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請求記録" sheetId="2" state="visible" r:id="rId2"/>
    <sheet xmlns:r="http://schemas.openxmlformats.org/officeDocument/2006/relationships" name="保留一覧" sheetId="3" state="visible" r:id="rId3"/>
    <sheet xmlns:r="http://schemas.openxmlformats.org/officeDocument/2006/relationships" name="月次集計" sheetId="4" state="visible" r:id="rId4"/>
    <sheet xmlns:r="http://schemas.openxmlformats.org/officeDocument/2006/relationships" name="職員別一覧" sheetId="5" state="visible" r:id="rId5"/>
    <sheet xmlns:r="http://schemas.openxmlformats.org/officeDocument/2006/relationships" name="職員マスタ" sheetId="6" state="visible" r:id="rId6"/>
    <sheet xmlns:r="http://schemas.openxmlformats.org/officeDocument/2006/relationships" name="人給データ" sheetId="7" state="visible" r:id="rId7"/>
    <sheet xmlns:r="http://schemas.openxmlformats.org/officeDocument/2006/relationships" name="設定" sheetId="8" state="visible" r:id="rId8"/>
  </sheets>
  <definedNames>
    <definedName name="_xlnm._FilterDatabase" localSheetId="1" hidden="1">'請求記録'!$A$5:$AO$3005</definedName>
    <definedName name="_xlnm._FilterDatabase" localSheetId="5" hidden="1">'職員マスタ'!$A$5:$P$405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14">
    <font>
      <name val="Calibri"/>
      <family val="2"/>
      <color theme="1"/>
      <sz val="11"/>
      <scheme val="minor"/>
    </font>
    <font>
      <name val="Meiryo UI"/>
      <b val="1"/>
      <sz val="15"/>
    </font>
    <font>
      <name val="Meiryo UI"/>
      <color rgb="00595959"/>
      <sz val="10"/>
    </font>
    <font>
      <name val="Meiryo UI"/>
      <color rgb="007F7F7F"/>
      <sz val="9"/>
    </font>
    <font>
      <name val="Meiryo UI"/>
      <b val="1"/>
    </font>
    <font>
      <name val="Meiryo UI"/>
      <b val="1"/>
      <color rgb="00FFFFFF"/>
      <sz val="10"/>
    </font>
    <font>
      <name val="Meiryo UI"/>
      <color rgb="00C00000"/>
      <sz val="9"/>
    </font>
    <font>
      <name val="Meiryo UI"/>
      <b val="1"/>
      <color rgb="001F4E78"/>
      <sz val="10"/>
    </font>
    <font>
      <name val="Meiryo UI"/>
      <b val="1"/>
      <sz val="11"/>
    </font>
    <font>
      <name val="Meiryo UI"/>
      <b val="1"/>
      <color rgb="00C00000"/>
      <sz val="11"/>
    </font>
    <font>
      <name val="Meiryo UI"/>
      <b val="1"/>
      <sz val="16"/>
    </font>
    <font>
      <name val="Meiryo UI"/>
      <sz val="10"/>
    </font>
    <font>
      <name val="Meiryo UI"/>
      <b val="1"/>
      <sz val="12"/>
    </font>
    <font>
      <name val="Meiryo UI"/>
      <sz val="11"/>
    </font>
  </fonts>
  <fills count="7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7F7F7F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0" fontId="8" fillId="0" borderId="0" pivotButton="0" quotePrefix="0" xfId="0"/>
    <xf numFmtId="3" fontId="8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3" fontId="4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9" fontId="0" fillId="2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  <color rgb="00C00000"/>
      </font>
    </dxf>
    <dxf>
      <fill>
        <patternFill patternType="solid">
          <fgColor rgb="00FF9999"/>
          <bgColor rgb="00FF9999"/>
        </patternFill>
      </fill>
    </dxf>
    <dxf>
      <fill>
        <patternFill patternType="solid">
          <fgColor rgb="00FFE699"/>
          <bgColor rgb="00FFE699"/>
        </patternFill>
      </fill>
    </dxf>
    <dxf>
      <font>
        <b val="1"/>
        <color rgb="00C00000"/>
      </font>
      <fill>
        <patternFill patternType="solid">
          <fgColor rgb="00F8CBAD"/>
          <bgColor rgb="00F8CBAD"/>
        </patternFill>
      </fill>
    </dxf>
    <dxf>
      <fill>
        <patternFill patternType="solid">
          <fgColor rgb="00F8CBAD"/>
          <b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支給月別 支給額（円）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'月次集計'!M4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'月次集計'!$K$5:$K$24</f>
            </numRef>
          </cat>
          <val>
            <numRef>
              <f>'月次集計'!$M$5:$M$24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育児時短勤務手当金　管理台帳　使い方</t>
        </is>
      </c>
    </row>
    <row r="3">
      <c r="B3" s="2" t="inlineStr"/>
    </row>
    <row r="4">
      <c r="B4" s="3" t="inlineStr">
        <is>
          <t>■ 毎月の流れ（Excelだけで動作・マクロ不使用）</t>
        </is>
      </c>
    </row>
    <row r="5">
      <c r="B5" s="4" t="inlineStr">
        <is>
          <t>1. 【マクロ有効版(.xlsm)】「請求記録」シート上部の［申請書ファイルを取り込む］ボタン → 提出された電子申請書(.xlsx/.xlsm)を複数選択 → 次の空行へ自動で追記（受付日＝今日）。入力エラーが残っている申請書・同じ職員同じ月の重複は取り込まず、理由を表示します。</t>
        </is>
      </c>
    </row>
    <row r="6">
      <c r="B6" s="4" t="inlineStr">
        <is>
          <t xml:space="preserve">　　【マクロなし版(.xlsx)】電子申請書の「共済組合提出データ」シート2行目（A2:T2）をコピー →「請求記録」の次の空行のB列へ『値のみ貼り付け』。</t>
        </is>
      </c>
    </row>
    <row r="7">
      <c r="B7" s="4" t="inlineStr">
        <is>
          <t xml:space="preserve">　　紙の申請書は黄色い列に直接入力（最低限：職員番号・対象年・対象月・報酬額）。</t>
        </is>
      </c>
    </row>
    <row r="8">
      <c r="B8" s="4" t="inlineStr">
        <is>
          <t>2. 氏名・所属・標準報酬月額・判定（○△×）・決定額・ステータスが自動で出ます。「チェック」列に文字が出た行は、申請書と人給/マスタの食い違い等があるので確認します。</t>
        </is>
      </c>
    </row>
    <row r="9">
      <c r="B9" s="4" t="inlineStr">
        <is>
          <t>3. 基幹システムへ入力して支給月が決まったら、「支給月」列を選択 →ステータスが「支給済」になります。</t>
        </is>
      </c>
    </row>
    <row r="10">
      <c r="B10" s="4" t="inlineStr">
        <is>
          <t>4. 支給を保留するときは「保留理由」（と保留開始日・次回確認予定日）を入れるだけ。「保留一覧」に自動で載り、経過日数が出ます。解決したら「保留解消日」または「支給月」を入れると一覧から消えます（履歴は残ります）。</t>
        </is>
      </c>
    </row>
    <row r="11">
      <c r="B11" s="4" t="inlineStr">
        <is>
          <t>5. 請求前に保留する場合（育休期間の変更待ち等）は「職員マスタ」の【職員単位の保留】に入れます。</t>
        </is>
      </c>
    </row>
    <row r="12">
      <c r="B12" s="2" t="inlineStr"/>
    </row>
    <row r="13">
      <c r="B13" s="3" t="inlineStr">
        <is>
          <t>■ シートの役割</t>
        </is>
      </c>
    </row>
    <row r="14">
      <c r="B14" s="4" t="inlineStr">
        <is>
          <t>請求記録：1請求1行の台帳（ここが本体。3,000行まで）／保留一覧：保留中の請求・職員と理由別件数／月次集計：対象月別・支給月別の件数と金額／職員別一覧：従来のリストと同じ見方（月×職員）</t>
        </is>
      </c>
    </row>
    <row r="15">
      <c r="B15" s="4" t="inlineStr">
        <is>
          <t>職員マスタ：職員ごとの時短期間・標準報酬月額・子の生年月日／人給データ：人給の出力を貼り付ける場所（職員マスタに自動反映）／設定：最低限度額(2,411円)・給付率・保留理由の一覧</t>
        </is>
      </c>
    </row>
    <row r="16">
      <c r="B16" s="2" t="inlineStr"/>
    </row>
    <row r="17">
      <c r="B17" s="3" t="inlineStr">
        <is>
          <t>■ 計算ルール（従来の「短時間支給リスト」と同じ）</t>
        </is>
      </c>
    </row>
    <row r="18">
      <c r="B18" s="4" t="inlineStr">
        <is>
          <t>報酬額 ≧ 標準報酬月額 →×（支給なし）／標準報酬月額の90%以上100%未満 →△（逓減）：率＝(9×標準報酬月額−9×報酬額)÷(10×報酬額)を小数4位に四捨五入し、報酬額×率の円未満切捨て</t>
        </is>
      </c>
    </row>
    <row r="19">
      <c r="B19" s="4" t="inlineStr">
        <is>
          <t>報酬額 ＜ 標準報酬月額の90% →○：報酬額×10%（円未満切捨て）／計算額が最低限度額（設定シート：2,411円）以下なら不支給</t>
        </is>
      </c>
    </row>
    <row r="20">
      <c r="B20" s="4" t="inlineStr">
        <is>
          <t>決定額を手で直したいときは「決定額（手修正）」列に入力します（旧リストの金額を引き継いだ行には備考があります）。</t>
        </is>
      </c>
    </row>
    <row r="21">
      <c r="B21" s="2" t="inlineStr"/>
    </row>
    <row r="22">
      <c r="B22" s="3" t="inlineStr">
        <is>
          <t>■ 注意</t>
        </is>
      </c>
    </row>
    <row r="23">
      <c r="B23" s="4" t="inlineStr">
        <is>
          <t>・個人情報を含むファイルです。保存場所・持ち出しにご注意ください。</t>
        </is>
      </c>
    </row>
    <row r="24">
      <c r="B24" s="4" t="inlineStr">
        <is>
          <t>・旧リストから移行した行の保留開始日は不明のため空欄です（入れると経過日数が出ます）。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005"/>
  <sheetViews>
    <sheetView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11" customWidth="1" min="5" max="5"/>
    <col width="8" customWidth="1" min="6" max="6"/>
    <col width="10" customWidth="1" min="7" max="7"/>
    <col width="14" customWidth="1" min="8" max="8"/>
    <col width="9" customWidth="1" min="9" max="9"/>
    <col width="10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4" customWidth="1" min="16" max="16"/>
    <col width="11" customWidth="1" min="17" max="17"/>
    <col width="22" customWidth="1" min="18" max="18"/>
    <col width="11" customWidth="1" min="19" max="19"/>
    <col width="9" customWidth="1" min="20" max="20"/>
    <col width="9" customWidth="1" min="21" max="21"/>
    <col width="14" customWidth="1" min="22" max="22"/>
    <col width="22" customWidth="1" min="23" max="23"/>
    <col width="8" customWidth="1" min="24" max="24"/>
    <col width="12" customWidth="1" min="25" max="25"/>
    <col width="6" customWidth="1" min="26" max="26"/>
    <col width="10" customWidth="1" min="27" max="27"/>
    <col width="11" customWidth="1" min="28" max="28"/>
    <col width="11" customWidth="1" min="29" max="29"/>
    <col width="10" customWidth="1" min="30" max="30"/>
    <col width="20" customWidth="1" min="31" max="31"/>
    <col width="11" customWidth="1" min="32" max="32"/>
    <col width="11" customWidth="1" min="33" max="33"/>
    <col width="11" customWidth="1" min="34" max="34"/>
    <col width="8" customWidth="1" min="35" max="35"/>
    <col width="9" customWidth="1" min="36" max="36"/>
    <col width="46" customWidth="1" min="37" max="37"/>
    <col width="36" customWidth="1" min="38" max="38"/>
    <col hidden="1" width="6" customWidth="1" min="39" max="39"/>
    <col hidden="1" width="6" customWidth="1" min="40" max="40"/>
    <col hidden="1" width="10" customWidth="1" min="41" max="41"/>
  </cols>
  <sheetData>
    <row r="1">
      <c r="A1" s="5" t="inlineStr">
        <is>
          <t>請求記録（1請求＝1行）</t>
        </is>
      </c>
    </row>
    <row r="2">
      <c r="A2" s="6" t="inlineStr">
        <is>
          <t>電子申請書の「共済組合提出データ」2行目をB列に値のみ貼り付け、または黄色い列を直接入力。灰色の列は自動計算です。</t>
        </is>
      </c>
    </row>
    <row r="4">
      <c r="A4" s="7" t="inlineStr">
        <is>
          <t>▼ 申請書の内容（貼付／入力）</t>
        </is>
      </c>
      <c r="V4" s="7" t="inlineStr">
        <is>
          <t>▼ 自動判定と管理（黄色＝入力）</t>
        </is>
      </c>
    </row>
    <row r="5" ht="34" customHeight="1">
      <c r="A5" s="8" t="inlineStr">
        <is>
          <t>受付日</t>
        </is>
      </c>
      <c r="B5" s="8" t="inlineStr">
        <is>
          <t>職員番号</t>
        </is>
      </c>
      <c r="C5" s="8" t="inlineStr">
        <is>
          <t>対象年(令和)</t>
        </is>
      </c>
      <c r="D5" s="8" t="inlineStr">
        <is>
          <t>対象月</t>
        </is>
      </c>
      <c r="E5" s="8" t="inlineStr">
        <is>
          <t>報酬額</t>
        </is>
      </c>
      <c r="F5" s="8" t="inlineStr">
        <is>
          <t>通勤手当有無</t>
        </is>
      </c>
      <c r="G5" s="8" t="inlineStr">
        <is>
          <t>通勤手当月額</t>
        </is>
      </c>
      <c r="H5" s="8" t="inlineStr">
        <is>
          <t>氏名(申請書)</t>
        </is>
      </c>
      <c r="I5" s="8" t="inlineStr">
        <is>
          <t>組合員記号</t>
        </is>
      </c>
      <c r="J5" s="8" t="inlineStr">
        <is>
          <t>組合員番号</t>
        </is>
      </c>
      <c r="K5" s="8" t="inlineStr">
        <is>
          <t>勤務区分</t>
        </is>
      </c>
      <c r="L5" s="8" t="inlineStr">
        <is>
          <t>時短開始日</t>
        </is>
      </c>
      <c r="M5" s="8" t="inlineStr">
        <is>
          <t>時短終了日</t>
        </is>
      </c>
      <c r="N5" s="8" t="inlineStr">
        <is>
          <t>請求期間開始</t>
        </is>
      </c>
      <c r="O5" s="8" t="inlineStr">
        <is>
          <t>請求期間終了</t>
        </is>
      </c>
      <c r="P5" s="8" t="inlineStr">
        <is>
          <t>子の氏名</t>
        </is>
      </c>
      <c r="Q5" s="8" t="inlineStr">
        <is>
          <t>子の生年月日</t>
        </is>
      </c>
      <c r="R5" s="8" t="inlineStr">
        <is>
          <t>所属名称</t>
        </is>
      </c>
      <c r="S5" s="8" t="inlineStr">
        <is>
          <t>請求日</t>
        </is>
      </c>
      <c r="T5" s="8" t="inlineStr">
        <is>
          <t>初回請求</t>
        </is>
      </c>
      <c r="U5" s="8" t="inlineStr">
        <is>
          <t>申請書の入力エラー件数</t>
        </is>
      </c>
      <c r="V5" s="9" t="inlineStr">
        <is>
          <t>氏名</t>
        </is>
      </c>
      <c r="W5" s="9" t="inlineStr">
        <is>
          <t>所属</t>
        </is>
      </c>
      <c r="X5" s="9" t="inlineStr">
        <is>
          <t>対象月</t>
        </is>
      </c>
      <c r="Y5" s="9" t="inlineStr">
        <is>
          <t>標準報酬月額</t>
        </is>
      </c>
      <c r="Z5" s="9" t="inlineStr">
        <is>
          <t>判定</t>
        </is>
      </c>
      <c r="AA5" s="9" t="inlineStr">
        <is>
          <t>計算額</t>
        </is>
      </c>
      <c r="AB5" s="10" t="inlineStr">
        <is>
          <t>決定額（手修正）</t>
        </is>
      </c>
      <c r="AC5" s="9" t="inlineStr">
        <is>
          <t>決定額</t>
        </is>
      </c>
      <c r="AD5" s="9" t="inlineStr">
        <is>
          <t>ステータス</t>
        </is>
      </c>
      <c r="AE5" s="10" t="inlineStr">
        <is>
          <t>保留理由</t>
        </is>
      </c>
      <c r="AF5" s="10" t="inlineStr">
        <is>
          <t>保留開始日</t>
        </is>
      </c>
      <c r="AG5" s="10" t="inlineStr">
        <is>
          <t>保留解消日</t>
        </is>
      </c>
      <c r="AH5" s="10" t="inlineStr">
        <is>
          <t>次回確認予定日</t>
        </is>
      </c>
      <c r="AI5" s="9" t="inlineStr">
        <is>
          <t>保留経過日数</t>
        </is>
      </c>
      <c r="AJ5" s="10" t="inlineStr">
        <is>
          <t>支給月</t>
        </is>
      </c>
      <c r="AK5" s="9" t="inlineStr">
        <is>
          <t>チェック（空欄＝問題なし）</t>
        </is>
      </c>
      <c r="AL5" s="10" t="inlineStr">
        <is>
          <t>備考</t>
        </is>
      </c>
      <c r="AM5" s="9" t="inlineStr">
        <is>
          <t>保留連番</t>
        </is>
      </c>
      <c r="AN5" s="9" t="inlineStr">
        <is>
          <t>マスタ行</t>
        </is>
      </c>
      <c r="AO5" s="9" t="inlineStr">
        <is>
          <t>対象月初日</t>
        </is>
      </c>
    </row>
    <row r="6">
      <c r="A6" s="11" t="n"/>
      <c r="B6" s="12" t="n">
        <v>5901723</v>
      </c>
      <c r="C6" s="12" t="n">
        <v>8</v>
      </c>
      <c r="D6" s="12" t="n">
        <v>5</v>
      </c>
      <c r="E6" s="13" t="n">
        <v>438260</v>
      </c>
      <c r="F6" s="12" t="n"/>
      <c r="G6" s="13" t="n"/>
      <c r="H6" s="12" t="n"/>
      <c r="I6" s="12" t="n"/>
      <c r="J6" s="12" t="n"/>
      <c r="K6" s="12" t="n"/>
      <c r="L6" s="11" t="n"/>
      <c r="M6" s="11" t="n"/>
      <c r="N6" s="11" t="n"/>
      <c r="O6" s="11" t="n"/>
      <c r="P6" s="12" t="n"/>
      <c r="Q6" s="11" t="n"/>
      <c r="R6" s="12" t="n"/>
      <c r="S6" s="11" t="n"/>
      <c r="T6" s="12" t="n"/>
      <c r="U6" s="12" t="n"/>
      <c r="V6" s="14">
        <f>IF($AN6="",IF($B6="","",$H6),IF(INDEX(職員マスタ!$B$6:$B$405,$AN6)="",$H6,INDEX(職員マスタ!$B$6:$B$405,$AN6)))</f>
        <v/>
      </c>
      <c r="W6" s="14">
        <f>IF($AN6="",IF($B6="","",$R6),IF(INDEX(職員マスタ!$C$6:$C$405,$AN6)="",$R6,INDEX(職員マスタ!$C$6:$C$405,$AN6)))</f>
        <v/>
      </c>
      <c r="X6" s="14">
        <f>IF($AO6="","","R"&amp;$C6&amp;"."&amp;$D6)</f>
        <v/>
      </c>
      <c r="Y6" s="15">
        <f>IF($AN6="","",IF(INDEX(職員マスタ!$K$6:$K$405,$AN6)="","",INDEX(職員マスタ!$K$6:$K$405,$AN6)))</f>
        <v/>
      </c>
      <c r="Z6" s="14">
        <f>IF(OR($E6="",$Y6=""),"",IF($E6&gt;=$Y6,"×",IF($E6&gt;=$Y6*設定!$C$5,"△","○")))</f>
        <v/>
      </c>
      <c r="AA6" s="15">
        <f>IF($Z6="","",IF($Z6="×",0,IF($Z6="○",ROUNDDOWN($E6*設定!$C$4,0),ROUNDDOWN($E6*ROUND((9*$Y6-9*$E6)/(10*$E6),4),0))))</f>
        <v/>
      </c>
      <c r="AB6" s="13" t="n"/>
      <c r="AC6" s="15">
        <f>IF($B6="","",IF($AB6&lt;&gt;"",$AB6,IF($AA6="","",IF($AA6&lt;=設定!$C$3,0,$AA6))))</f>
        <v/>
      </c>
      <c r="AD6" s="14">
        <f>IF($B6="","",IF(AND($AE6&lt;&gt;"",$AG6="",$AJ6=""),"保留中",IF($AJ6&lt;&gt;"",IF(N($AC6)&gt;0,"支給済","不支給"),IF($AC6="","要確認",IF($AC6=0,"不支給","未処理")))))</f>
        <v/>
      </c>
      <c r="AE6" s="12" t="n"/>
      <c r="AF6" s="11" t="n"/>
      <c r="AG6" s="11" t="n"/>
      <c r="AH6" s="11" t="n"/>
      <c r="AI6" s="14">
        <f>IF(AND($AD6="保留中",$AF6&lt;&gt;""),TODAY()-$AF6,"")</f>
        <v/>
      </c>
      <c r="AJ6" s="12" t="n"/>
      <c r="AK6" s="14">
        <f>IF($B6="","",IF($AO6="","対象年月が未入力／","")&amp;IF($B6="","",IF($AN6="","職員マスタに未登録の職員番号／",IF($Y6="","標準報酬月額が未登録／","")&amp;IF(AND($AO6&lt;&gt;"",OR(AND(INDEX(職員マスタ!$G$6:$G$405,$AN6)&lt;&gt;"",INDEX(職員マスタ!$G$6:$G$405,$AN6)&gt;EOMONTH($AO6,0)),AND(INDEX(職員マスタ!$H$6:$H$405,$AN6)&lt;&gt;"",INDEX(職員マスタ!$H$6:$H$405,$AN6)&lt;$AO6))),"対象月が時短期間外／","")&amp;IF(AND(INDEX(職員マスタ!$F$6:$F$405,$AN6)&lt;&gt;"",$AO6&lt;&gt;"",INDEX(職員マスタ!$F$6:$F$405,$AN6)&lt;$AO6),"対象月に子が2歳到達済／","")&amp;IF(AND($H6&lt;&gt;"",INDEX(職員マスタ!$B$6:$B$405,$AN6)&lt;&gt;"",SUBSTITUTE(SUBSTITUTE($H6," ","")," ","")&lt;&gt;SUBSTITUTE(SUBSTITUTE(INDEX(職員マスタ!$B$6:$B$405,$AN6)," ","")," ","")),"氏名がマスタと相違／","")&amp;IF(AND($Q6&lt;&gt;"",INDEX(職員マスタ!$E$6:$E$405,$AN6)&lt;&gt;"",$Q6&lt;&gt;INDEX(職員マスタ!$E$6:$E$405,$AN6)),"子の生年月日がマスタと相違／","")&amp;IF(AND($L6&lt;&gt;"",INDEX(職員マスタ!$G$6:$G$405,$AN6)&lt;&gt;"",$L6&lt;&gt;INDEX(職員マスタ!$G$6:$G$405,$AN6)),"時短開始日がマスタと相違／","")&amp;IF(AND($M6&lt;&gt;"",INDEX(職員マスタ!$H$6:$H$405,$AN6)&lt;&gt;"",$M6&lt;&gt;INDEX(職員マスタ!$H$6:$H$405,$AN6)),"時短終了日がマスタと相違／","")))&amp;IF(AND($B6&lt;&gt;"",$E6=""),"報酬額が未入力／","")&amp;IF(N($U6)&gt;0,"申請書に入力エラーが残っています／","")&amp;IF(AND($B6&lt;&gt;"",$AO6&lt;&gt;""),IF(COUNTIFS($B$6:$B$3005,$B6,$C$6:$C$3005,$C6,$D$6:$D$3005,$D6)&gt;1,"同じ月の請求が重複しています／",""),"")&amp;IF(AND(N($E6)&gt;0,$Z6&lt;&gt;"",$Z6&lt;&gt;"×",$AC6=0,$AB6=""),"計算額が下限以下のため不支給／",""))</f>
        <v/>
      </c>
      <c r="AL6" s="12" t="n"/>
      <c r="AM6" s="14">
        <f>IF($AD6="保留中",COUNTIF($AD$6:$AD6,"保留中"),"")</f>
        <v/>
      </c>
      <c r="AN6" s="14">
        <f>IF($AO6="","",IF(SUMPRODUCT(MAX((職員マスタ!$A$6:$A$405=$B6)*(((職員マスタ!$G$6:$G$405="")+(職員マスタ!$G$6:$G$405&lt;=EOMONTH($AO6,0)))&gt;0)*(((職員マスタ!$H$6:$H$405="")+(職員マスタ!$H$6:$H$405&gt;=$AO6))&gt;0)*(ROW(職員マスタ!$A$6:$A$405)-5)))&gt;0,SUMPRODUCT(MAX((職員マスタ!$A$6:$A$405=$B6)*(((職員マスタ!$G$6:$G$405="")+(職員マスタ!$G$6:$G$405&lt;=EOMONTH($AO6,0)))&gt;0)*(((職員マスタ!$H$6:$H$405="")+(職員マスタ!$H$6:$H$405&gt;=$AO6))&gt;0)*(ROW(職員マスタ!$A$6:$A$405)-5))),IFERROR(MATCH($B6,職員マスタ!$A$6:$A$405,0),"")))</f>
        <v/>
      </c>
      <c r="AO6" s="16">
        <f>IF(OR($B6="",$C6="",$D6=""),"",DATE($C6+2018,$D6,1))</f>
        <v/>
      </c>
    </row>
    <row r="7">
      <c r="A7" s="11" t="n"/>
      <c r="B7" s="12" t="n">
        <v>5901723</v>
      </c>
      <c r="C7" s="12" t="n">
        <v>8</v>
      </c>
      <c r="D7" s="12" t="n">
        <v>6</v>
      </c>
      <c r="E7" s="13" t="n">
        <v>386542</v>
      </c>
      <c r="F7" s="12" t="n"/>
      <c r="G7" s="13" t="n"/>
      <c r="H7" s="12" t="n"/>
      <c r="I7" s="12" t="n"/>
      <c r="J7" s="12" t="n"/>
      <c r="K7" s="12" t="n"/>
      <c r="L7" s="11" t="n"/>
      <c r="M7" s="11" t="n"/>
      <c r="N7" s="11" t="n"/>
      <c r="O7" s="11" t="n"/>
      <c r="P7" s="12" t="n"/>
      <c r="Q7" s="11" t="n"/>
      <c r="R7" s="12" t="n"/>
      <c r="S7" s="11" t="n"/>
      <c r="T7" s="12" t="n"/>
      <c r="U7" s="12" t="n"/>
      <c r="V7" s="14">
        <f>IF($AN7="",IF($B7="","",$H7),IF(INDEX(職員マスタ!$B$6:$B$405,$AN7)="",$H7,INDEX(職員マスタ!$B$6:$B$405,$AN7)))</f>
        <v/>
      </c>
      <c r="W7" s="14">
        <f>IF($AN7="",IF($B7="","",$R7),IF(INDEX(職員マスタ!$C$6:$C$405,$AN7)="",$R7,INDEX(職員マスタ!$C$6:$C$405,$AN7)))</f>
        <v/>
      </c>
      <c r="X7" s="14">
        <f>IF($AO7="","","R"&amp;$C7&amp;"."&amp;$D7)</f>
        <v/>
      </c>
      <c r="Y7" s="15">
        <f>IF($AN7="","",IF(INDEX(職員マスタ!$K$6:$K$405,$AN7)="","",INDEX(職員マスタ!$K$6:$K$405,$AN7)))</f>
        <v/>
      </c>
      <c r="Z7" s="14">
        <f>IF(OR($E7="",$Y7=""),"",IF($E7&gt;=$Y7,"×",IF($E7&gt;=$Y7*設定!$C$5,"△","○")))</f>
        <v/>
      </c>
      <c r="AA7" s="15">
        <f>IF($Z7="","",IF($Z7="×",0,IF($Z7="○",ROUNDDOWN($E7*設定!$C$4,0),ROUNDDOWN($E7*ROUND((9*$Y7-9*$E7)/(10*$E7),4),0))))</f>
        <v/>
      </c>
      <c r="AB7" s="13" t="n"/>
      <c r="AC7" s="15">
        <f>IF($B7="","",IF($AB7&lt;&gt;"",$AB7,IF($AA7="","",IF($AA7&lt;=設定!$C$3,0,$AA7))))</f>
        <v/>
      </c>
      <c r="AD7" s="14">
        <f>IF($B7="","",IF(AND($AE7&lt;&gt;"",$AG7="",$AJ7=""),"保留中",IF($AJ7&lt;&gt;"",IF(N($AC7)&gt;0,"支給済","不支給"),IF($AC7="","要確認",IF($AC7=0,"不支給","未処理")))))</f>
        <v/>
      </c>
      <c r="AE7" s="12" t="n"/>
      <c r="AF7" s="11" t="n"/>
      <c r="AG7" s="11" t="n"/>
      <c r="AH7" s="11" t="n"/>
      <c r="AI7" s="14">
        <f>IF(AND($AD7="保留中",$AF7&lt;&gt;""),TODAY()-$AF7,"")</f>
        <v/>
      </c>
      <c r="AJ7" s="12" t="inlineStr">
        <is>
          <t>R8.8</t>
        </is>
      </c>
      <c r="AK7" s="14">
        <f>IF($B7="","",IF($AO7="","対象年月が未入力／","")&amp;IF($B7="","",IF($AN7="","職員マスタに未登録の職員番号／",IF($Y7="","標準報酬月額が未登録／","")&amp;IF(AND($AO7&lt;&gt;"",OR(AND(INDEX(職員マスタ!$G$6:$G$405,$AN7)&lt;&gt;"",INDEX(職員マスタ!$G$6:$G$405,$AN7)&gt;EOMONTH($AO7,0)),AND(INDEX(職員マスタ!$H$6:$H$405,$AN7)&lt;&gt;"",INDEX(職員マスタ!$H$6:$H$405,$AN7)&lt;$AO7))),"対象月が時短期間外／","")&amp;IF(AND(INDEX(職員マスタ!$F$6:$F$405,$AN7)&lt;&gt;"",$AO7&lt;&gt;"",INDEX(職員マスタ!$F$6:$F$405,$AN7)&lt;$AO7),"対象月に子が2歳到達済／","")&amp;IF(AND($H7&lt;&gt;"",INDEX(職員マスタ!$B$6:$B$405,$AN7)&lt;&gt;"",SUBSTITUTE(SUBSTITUTE($H7," ","")," ","")&lt;&gt;SUBSTITUTE(SUBSTITUTE(INDEX(職員マスタ!$B$6:$B$405,$AN7)," ","")," ","")),"氏名がマスタと相違／","")&amp;IF(AND($Q7&lt;&gt;"",INDEX(職員マスタ!$E$6:$E$405,$AN7)&lt;&gt;"",$Q7&lt;&gt;INDEX(職員マスタ!$E$6:$E$405,$AN7)),"子の生年月日がマスタと相違／","")&amp;IF(AND($L7&lt;&gt;"",INDEX(職員マスタ!$G$6:$G$405,$AN7)&lt;&gt;"",$L7&lt;&gt;INDEX(職員マスタ!$G$6:$G$405,$AN7)),"時短開始日がマスタと相違／","")&amp;IF(AND($M7&lt;&gt;"",INDEX(職員マスタ!$H$6:$H$405,$AN7)&lt;&gt;"",$M7&lt;&gt;INDEX(職員マスタ!$H$6:$H$405,$AN7)),"時短終了日がマスタと相違／","")))&amp;IF(AND($B7&lt;&gt;"",$E7=""),"報酬額が未入力／","")&amp;IF(N($U7)&gt;0,"申請書に入力エラーが残っています／","")&amp;IF(AND($B7&lt;&gt;"",$AO7&lt;&gt;""),IF(COUNTIFS($B$6:$B$3005,$B7,$C$6:$C$3005,$C7,$D$6:$D$3005,$D7)&gt;1,"同じ月の請求が重複しています／",""),"")&amp;IF(AND(N($E7)&gt;0,$Z7&lt;&gt;"",$Z7&lt;&gt;"×",$AC7=0,$AB7=""),"計算額が下限以下のため不支給／",""))</f>
        <v/>
      </c>
      <c r="AL7" s="12" t="n"/>
      <c r="AM7" s="14">
        <f>IF($AD7="保留中",COUNTIF($AD$6:$AD7,"保留中"),"")</f>
        <v/>
      </c>
      <c r="AN7" s="14">
        <f>IF($AO7="","",IF(SUMPRODUCT(MAX((職員マスタ!$A$6:$A$405=$B7)*(((職員マスタ!$G$6:$G$405="")+(職員マスタ!$G$6:$G$405&lt;=EOMONTH($AO7,0)))&gt;0)*(((職員マスタ!$H$6:$H$405="")+(職員マスタ!$H$6:$H$405&gt;=$AO7))&gt;0)*(ROW(職員マスタ!$A$6:$A$405)-5)))&gt;0,SUMPRODUCT(MAX((職員マスタ!$A$6:$A$405=$B7)*(((職員マスタ!$G$6:$G$405="")+(職員マスタ!$G$6:$G$405&lt;=EOMONTH($AO7,0)))&gt;0)*(((職員マスタ!$H$6:$H$405="")+(職員マスタ!$H$6:$H$405&gt;=$AO7))&gt;0)*(ROW(職員マスタ!$A$6:$A$405)-5))),IFERROR(MATCH($B7,職員マスタ!$A$6:$A$405,0),"")))</f>
        <v/>
      </c>
      <c r="AO7" s="16">
        <f>IF(OR($B7="",$C7="",$D7=""),"",DATE($C7+2018,$D7,1))</f>
        <v/>
      </c>
    </row>
    <row r="8">
      <c r="A8" s="11" t="n"/>
      <c r="B8" s="12" t="n">
        <v>5901723</v>
      </c>
      <c r="C8" s="12" t="n">
        <v>8</v>
      </c>
      <c r="D8" s="12" t="n">
        <v>7</v>
      </c>
      <c r="E8" s="13" t="n">
        <v>397430</v>
      </c>
      <c r="F8" s="12" t="n"/>
      <c r="G8" s="13" t="n"/>
      <c r="H8" s="12" t="n"/>
      <c r="I8" s="12" t="n"/>
      <c r="J8" s="12" t="n"/>
      <c r="K8" s="12" t="n"/>
      <c r="L8" s="11" t="n"/>
      <c r="M8" s="11" t="n"/>
      <c r="N8" s="11" t="n"/>
      <c r="O8" s="11" t="n"/>
      <c r="P8" s="12" t="n"/>
      <c r="Q8" s="11" t="n"/>
      <c r="R8" s="12" t="n"/>
      <c r="S8" s="11" t="n"/>
      <c r="T8" s="12" t="n"/>
      <c r="U8" s="12" t="n"/>
      <c r="V8" s="14">
        <f>IF($AN8="",IF($B8="","",$H8),IF(INDEX(職員マスタ!$B$6:$B$405,$AN8)="",$H8,INDEX(職員マスタ!$B$6:$B$405,$AN8)))</f>
        <v/>
      </c>
      <c r="W8" s="14">
        <f>IF($AN8="",IF($B8="","",$R8),IF(INDEX(職員マスタ!$C$6:$C$405,$AN8)="",$R8,INDEX(職員マスタ!$C$6:$C$405,$AN8)))</f>
        <v/>
      </c>
      <c r="X8" s="14">
        <f>IF($AO8="","","R"&amp;$C8&amp;"."&amp;$D8)</f>
        <v/>
      </c>
      <c r="Y8" s="15">
        <f>IF($AN8="","",IF(INDEX(職員マスタ!$K$6:$K$405,$AN8)="","",INDEX(職員マスタ!$K$6:$K$405,$AN8)))</f>
        <v/>
      </c>
      <c r="Z8" s="14">
        <f>IF(OR($E8="",$Y8=""),"",IF($E8&gt;=$Y8,"×",IF($E8&gt;=$Y8*設定!$C$5,"△","○")))</f>
        <v/>
      </c>
      <c r="AA8" s="15">
        <f>IF($Z8="","",IF($Z8="×",0,IF($Z8="○",ROUNDDOWN($E8*設定!$C$4,0),ROUNDDOWN($E8*ROUND((9*$Y8-9*$E8)/(10*$E8),4),0))))</f>
        <v/>
      </c>
      <c r="AB8" s="13" t="n"/>
      <c r="AC8" s="15">
        <f>IF($B8="","",IF($AB8&lt;&gt;"",$AB8,IF($AA8="","",IF($AA8&lt;=設定!$C$3,0,$AA8))))</f>
        <v/>
      </c>
      <c r="AD8" s="14">
        <f>IF($B8="","",IF(AND($AE8&lt;&gt;"",$AG8="",$AJ8=""),"保留中",IF($AJ8&lt;&gt;"",IF(N($AC8)&gt;0,"支給済","不支給"),IF($AC8="","要確認",IF($AC8=0,"不支給","未処理")))))</f>
        <v/>
      </c>
      <c r="AE8" s="12" t="n"/>
      <c r="AF8" s="11" t="n"/>
      <c r="AG8" s="11" t="n"/>
      <c r="AH8" s="11" t="n"/>
      <c r="AI8" s="14">
        <f>IF(AND($AD8="保留中",$AF8&lt;&gt;""),TODAY()-$AF8,"")</f>
        <v/>
      </c>
      <c r="AJ8" s="12" t="inlineStr">
        <is>
          <t>R8.9</t>
        </is>
      </c>
      <c r="AK8" s="14">
        <f>IF($B8="","",IF($AO8="","対象年月が未入力／","")&amp;IF($B8="","",IF($AN8="","職員マスタに未登録の職員番号／",IF($Y8="","標準報酬月額が未登録／","")&amp;IF(AND($AO8&lt;&gt;"",OR(AND(INDEX(職員マスタ!$G$6:$G$405,$AN8)&lt;&gt;"",INDEX(職員マスタ!$G$6:$G$405,$AN8)&gt;EOMONTH($AO8,0)),AND(INDEX(職員マスタ!$H$6:$H$405,$AN8)&lt;&gt;"",INDEX(職員マスタ!$H$6:$H$405,$AN8)&lt;$AO8))),"対象月が時短期間外／","")&amp;IF(AND(INDEX(職員マスタ!$F$6:$F$405,$AN8)&lt;&gt;"",$AO8&lt;&gt;"",INDEX(職員マスタ!$F$6:$F$405,$AN8)&lt;$AO8),"対象月に子が2歳到達済／","")&amp;IF(AND($H8&lt;&gt;"",INDEX(職員マスタ!$B$6:$B$405,$AN8)&lt;&gt;"",SUBSTITUTE(SUBSTITUTE($H8," ","")," ","")&lt;&gt;SUBSTITUTE(SUBSTITUTE(INDEX(職員マスタ!$B$6:$B$405,$AN8)," ","")," ","")),"氏名がマスタと相違／","")&amp;IF(AND($Q8&lt;&gt;"",INDEX(職員マスタ!$E$6:$E$405,$AN8)&lt;&gt;"",$Q8&lt;&gt;INDEX(職員マスタ!$E$6:$E$405,$AN8)),"子の生年月日がマスタと相違／","")&amp;IF(AND($L8&lt;&gt;"",INDEX(職員マスタ!$G$6:$G$405,$AN8)&lt;&gt;"",$L8&lt;&gt;INDEX(職員マスタ!$G$6:$G$405,$AN8)),"時短開始日がマスタと相違／","")&amp;IF(AND($M8&lt;&gt;"",INDEX(職員マスタ!$H$6:$H$405,$AN8)&lt;&gt;"",$M8&lt;&gt;INDEX(職員マスタ!$H$6:$H$405,$AN8)),"時短終了日がマスタと相違／","")))&amp;IF(AND($B8&lt;&gt;"",$E8=""),"報酬額が未入力／","")&amp;IF(N($U8)&gt;0,"申請書に入力エラーが残っています／","")&amp;IF(AND($B8&lt;&gt;"",$AO8&lt;&gt;""),IF(COUNTIFS($B$6:$B$3005,$B8,$C$6:$C$3005,$C8,$D$6:$D$3005,$D8)&gt;1,"同じ月の請求が重複しています／",""),"")&amp;IF(AND(N($E8)&gt;0,$Z8&lt;&gt;"",$Z8&lt;&gt;"×",$AC8=0,$AB8=""),"計算額が下限以下のため不支給／",""))</f>
        <v/>
      </c>
      <c r="AL8" s="12" t="n"/>
      <c r="AM8" s="14">
        <f>IF($AD8="保留中",COUNTIF($AD$6:$AD8,"保留中"),"")</f>
        <v/>
      </c>
      <c r="AN8" s="14">
        <f>IF($AO8="","",IF(SUMPRODUCT(MAX((職員マスタ!$A$6:$A$405=$B8)*(((職員マスタ!$G$6:$G$405="")+(職員マスタ!$G$6:$G$405&lt;=EOMONTH($AO8,0)))&gt;0)*(((職員マスタ!$H$6:$H$405="")+(職員マスタ!$H$6:$H$405&gt;=$AO8))&gt;0)*(ROW(職員マスタ!$A$6:$A$405)-5)))&gt;0,SUMPRODUCT(MAX((職員マスタ!$A$6:$A$405=$B8)*(((職員マスタ!$G$6:$G$405="")+(職員マスタ!$G$6:$G$405&lt;=EOMONTH($AO8,0)))&gt;0)*(((職員マスタ!$H$6:$H$405="")+(職員マスタ!$H$6:$H$405&gt;=$AO8))&gt;0)*(ROW(職員マスタ!$A$6:$A$405)-5))),IFERROR(MATCH($B8,職員マスタ!$A$6:$A$405,0),"")))</f>
        <v/>
      </c>
      <c r="AO8" s="16">
        <f>IF(OR($B8="",$C8="",$D8=""),"",DATE($C8+2018,$D8,1))</f>
        <v/>
      </c>
    </row>
    <row r="9">
      <c r="A9" s="11" t="n"/>
      <c r="B9" s="12" t="n">
        <v>5901723</v>
      </c>
      <c r="C9" s="12" t="n">
        <v>8</v>
      </c>
      <c r="D9" s="12" t="n">
        <v>8</v>
      </c>
      <c r="E9" s="13" t="n">
        <v>378376</v>
      </c>
      <c r="F9" s="12" t="n"/>
      <c r="G9" s="13" t="n"/>
      <c r="H9" s="12" t="n"/>
      <c r="I9" s="12" t="n"/>
      <c r="J9" s="12" t="n"/>
      <c r="K9" s="12" t="n"/>
      <c r="L9" s="11" t="n"/>
      <c r="M9" s="11" t="n"/>
      <c r="N9" s="11" t="n"/>
      <c r="O9" s="11" t="n"/>
      <c r="P9" s="12" t="n"/>
      <c r="Q9" s="11" t="n"/>
      <c r="R9" s="12" t="n"/>
      <c r="S9" s="11" t="n"/>
      <c r="T9" s="12" t="n"/>
      <c r="U9" s="12" t="n"/>
      <c r="V9" s="14">
        <f>IF($AN9="",IF($B9="","",$H9),IF(INDEX(職員マスタ!$B$6:$B$405,$AN9)="",$H9,INDEX(職員マスタ!$B$6:$B$405,$AN9)))</f>
        <v/>
      </c>
      <c r="W9" s="14">
        <f>IF($AN9="",IF($B9="","",$R9),IF(INDEX(職員マスタ!$C$6:$C$405,$AN9)="",$R9,INDEX(職員マスタ!$C$6:$C$405,$AN9)))</f>
        <v/>
      </c>
      <c r="X9" s="14">
        <f>IF($AO9="","","R"&amp;$C9&amp;"."&amp;$D9)</f>
        <v/>
      </c>
      <c r="Y9" s="15">
        <f>IF($AN9="","",IF(INDEX(職員マスタ!$K$6:$K$405,$AN9)="","",INDEX(職員マスタ!$K$6:$K$405,$AN9)))</f>
        <v/>
      </c>
      <c r="Z9" s="14">
        <f>IF(OR($E9="",$Y9=""),"",IF($E9&gt;=$Y9,"×",IF($E9&gt;=$Y9*設定!$C$5,"△","○")))</f>
        <v/>
      </c>
      <c r="AA9" s="15">
        <f>IF($Z9="","",IF($Z9="×",0,IF($Z9="○",ROUNDDOWN($E9*設定!$C$4,0),ROUNDDOWN($E9*ROUND((9*$Y9-9*$E9)/(10*$E9),4),0))))</f>
        <v/>
      </c>
      <c r="AB9" s="13" t="n"/>
      <c r="AC9" s="15">
        <f>IF($B9="","",IF($AB9&lt;&gt;"",$AB9,IF($AA9="","",IF($AA9&lt;=設定!$C$3,0,$AA9))))</f>
        <v/>
      </c>
      <c r="AD9" s="14">
        <f>IF($B9="","",IF(AND($AE9&lt;&gt;"",$AG9="",$AJ9=""),"保留中",IF($AJ9&lt;&gt;"",IF(N($AC9)&gt;0,"支給済","不支給"),IF($AC9="","要確認",IF($AC9=0,"不支給","未処理")))))</f>
        <v/>
      </c>
      <c r="AE9" s="12" t="n"/>
      <c r="AF9" s="11" t="n"/>
      <c r="AG9" s="11" t="n"/>
      <c r="AH9" s="11" t="n"/>
      <c r="AI9" s="14">
        <f>IF(AND($AD9="保留中",$AF9&lt;&gt;""),TODAY()-$AF9,"")</f>
        <v/>
      </c>
      <c r="AJ9" s="12" t="inlineStr">
        <is>
          <t>R8.10</t>
        </is>
      </c>
      <c r="AK9" s="14">
        <f>IF($B9="","",IF($AO9="","対象年月が未入力／","")&amp;IF($B9="","",IF($AN9="","職員マスタに未登録の職員番号／",IF($Y9="","標準報酬月額が未登録／","")&amp;IF(AND($AO9&lt;&gt;"",OR(AND(INDEX(職員マスタ!$G$6:$G$405,$AN9)&lt;&gt;"",INDEX(職員マスタ!$G$6:$G$405,$AN9)&gt;EOMONTH($AO9,0)),AND(INDEX(職員マスタ!$H$6:$H$405,$AN9)&lt;&gt;"",INDEX(職員マスタ!$H$6:$H$405,$AN9)&lt;$AO9))),"対象月が時短期間外／","")&amp;IF(AND(INDEX(職員マスタ!$F$6:$F$405,$AN9)&lt;&gt;"",$AO9&lt;&gt;"",INDEX(職員マスタ!$F$6:$F$405,$AN9)&lt;$AO9),"対象月に子が2歳到達済／","")&amp;IF(AND($H9&lt;&gt;"",INDEX(職員マスタ!$B$6:$B$405,$AN9)&lt;&gt;"",SUBSTITUTE(SUBSTITUTE($H9," ","")," ","")&lt;&gt;SUBSTITUTE(SUBSTITUTE(INDEX(職員マスタ!$B$6:$B$405,$AN9)," ","")," ","")),"氏名がマスタと相違／","")&amp;IF(AND($Q9&lt;&gt;"",INDEX(職員マスタ!$E$6:$E$405,$AN9)&lt;&gt;"",$Q9&lt;&gt;INDEX(職員マスタ!$E$6:$E$405,$AN9)),"子の生年月日がマスタと相違／","")&amp;IF(AND($L9&lt;&gt;"",INDEX(職員マスタ!$G$6:$G$405,$AN9)&lt;&gt;"",$L9&lt;&gt;INDEX(職員マスタ!$G$6:$G$405,$AN9)),"時短開始日がマスタと相違／","")&amp;IF(AND($M9&lt;&gt;"",INDEX(職員マスタ!$H$6:$H$405,$AN9)&lt;&gt;"",$M9&lt;&gt;INDEX(職員マスタ!$H$6:$H$405,$AN9)),"時短終了日がマスタと相違／","")))&amp;IF(AND($B9&lt;&gt;"",$E9=""),"報酬額が未入力／","")&amp;IF(N($U9)&gt;0,"申請書に入力エラーが残っています／","")&amp;IF(AND($B9&lt;&gt;"",$AO9&lt;&gt;""),IF(COUNTIFS($B$6:$B$3005,$B9,$C$6:$C$3005,$C9,$D$6:$D$3005,$D9)&gt;1,"同じ月の請求が重複しています／",""),"")&amp;IF(AND(N($E9)&gt;0,$Z9&lt;&gt;"",$Z9&lt;&gt;"×",$AC9=0,$AB9=""),"計算額が下限以下のため不支給／",""))</f>
        <v/>
      </c>
      <c r="AL9" s="12" t="n"/>
      <c r="AM9" s="14">
        <f>IF($AD9="保留中",COUNTIF($AD$6:$AD9,"保留中"),"")</f>
        <v/>
      </c>
      <c r="AN9" s="14">
        <f>IF($AO9="","",IF(SUMPRODUCT(MAX((職員マスタ!$A$6:$A$405=$B9)*(((職員マスタ!$G$6:$G$405="")+(職員マスタ!$G$6:$G$405&lt;=EOMONTH($AO9,0)))&gt;0)*(((職員マスタ!$H$6:$H$405="")+(職員マスタ!$H$6:$H$405&gt;=$AO9))&gt;0)*(ROW(職員マスタ!$A$6:$A$405)-5)))&gt;0,SUMPRODUCT(MAX((職員マスタ!$A$6:$A$405=$B9)*(((職員マスタ!$G$6:$G$405="")+(職員マスタ!$G$6:$G$405&lt;=EOMONTH($AO9,0)))&gt;0)*(((職員マスタ!$H$6:$H$405="")+(職員マスタ!$H$6:$H$405&gt;=$AO9))&gt;0)*(ROW(職員マスタ!$A$6:$A$405)-5))),IFERROR(MATCH($B9,職員マスタ!$A$6:$A$405,0),"")))</f>
        <v/>
      </c>
      <c r="AO9" s="16">
        <f>IF(OR($B9="",$C9="",$D9=""),"",DATE($C9+2018,$D9,1))</f>
        <v/>
      </c>
    </row>
    <row r="10">
      <c r="A10" s="11" t="n"/>
      <c r="B10" s="12" t="n">
        <v>6202204</v>
      </c>
      <c r="C10" s="12" t="n">
        <v>7</v>
      </c>
      <c r="D10" s="12" t="n">
        <v>4</v>
      </c>
      <c r="E10" s="13" t="n">
        <v>153009</v>
      </c>
      <c r="F10" s="12" t="n"/>
      <c r="G10" s="13" t="n"/>
      <c r="H10" s="12" t="n"/>
      <c r="I10" s="12" t="n"/>
      <c r="J10" s="12" t="n"/>
      <c r="K10" s="12" t="n"/>
      <c r="L10" s="11" t="n"/>
      <c r="M10" s="11" t="n"/>
      <c r="N10" s="11" t="n"/>
      <c r="O10" s="11" t="n"/>
      <c r="P10" s="12" t="n"/>
      <c r="Q10" s="11" t="n"/>
      <c r="R10" s="12" t="n"/>
      <c r="S10" s="11" t="n"/>
      <c r="T10" s="12" t="n"/>
      <c r="U10" s="12" t="n"/>
      <c r="V10" s="14">
        <f>IF($AN10="",IF($B10="","",$H10),IF(INDEX(職員マスタ!$B$6:$B$405,$AN10)="",$H10,INDEX(職員マスタ!$B$6:$B$405,$AN10)))</f>
        <v/>
      </c>
      <c r="W10" s="14">
        <f>IF($AN10="",IF($B10="","",$R10),IF(INDEX(職員マスタ!$C$6:$C$405,$AN10)="",$R10,INDEX(職員マスタ!$C$6:$C$405,$AN10)))</f>
        <v/>
      </c>
      <c r="X10" s="14">
        <f>IF($AO10="","","R"&amp;$C10&amp;"."&amp;$D10)</f>
        <v/>
      </c>
      <c r="Y10" s="15">
        <f>IF($AN10="","",IF(INDEX(職員マスタ!$K$6:$K$405,$AN10)="","",INDEX(職員マスタ!$K$6:$K$405,$AN10)))</f>
        <v/>
      </c>
      <c r="Z10" s="14">
        <f>IF(OR($E10="",$Y10=""),"",IF($E10&gt;=$Y10,"×",IF($E10&gt;=$Y10*設定!$C$5,"△","○")))</f>
        <v/>
      </c>
      <c r="AA10" s="15">
        <f>IF($Z10="","",IF($Z10="×",0,IF($Z10="○",ROUNDDOWN($E10*設定!$C$4,0),ROUNDDOWN($E10*ROUND((9*$Y10-9*$E10)/(10*$E10),4),0))))</f>
        <v/>
      </c>
      <c r="AB10" s="13" t="n"/>
      <c r="AC10" s="15">
        <f>IF($B10="","",IF($AB10&lt;&gt;"",$AB10,IF($AA10="","",IF($AA10&lt;=設定!$C$3,0,$AA10))))</f>
        <v/>
      </c>
      <c r="AD10" s="14">
        <f>IF($B10="","",IF(AND($AE10&lt;&gt;"",$AG10="",$AJ10=""),"保留中",IF($AJ10&lt;&gt;"",IF(N($AC10)&gt;0,"支給済","不支給"),IF($AC10="","要確認",IF($AC10=0,"不支給","未処理")))))</f>
        <v/>
      </c>
      <c r="AE10" s="12" t="n"/>
      <c r="AF10" s="11" t="n"/>
      <c r="AG10" s="11" t="n"/>
      <c r="AH10" s="11" t="n"/>
      <c r="AI10" s="14">
        <f>IF(AND($AD10="保留中",$AF10&lt;&gt;""),TODAY()-$AF10,"")</f>
        <v/>
      </c>
      <c r="AJ10" s="12" t="inlineStr">
        <is>
          <t>R7.8</t>
        </is>
      </c>
      <c r="AK10" s="14">
        <f>IF($B10="","",IF($AO10="","対象年月が未入力／","")&amp;IF($B10="","",IF($AN10="","職員マスタに未登録の職員番号／",IF($Y10="","標準報酬月額が未登録／","")&amp;IF(AND($AO10&lt;&gt;"",OR(AND(INDEX(職員マスタ!$G$6:$G$405,$AN10)&lt;&gt;"",INDEX(職員マスタ!$G$6:$G$405,$AN10)&gt;EOMONTH($AO10,0)),AND(INDEX(職員マスタ!$H$6:$H$405,$AN10)&lt;&gt;"",INDEX(職員マスタ!$H$6:$H$405,$AN10)&lt;$AO10))),"対象月が時短期間外／","")&amp;IF(AND(INDEX(職員マスタ!$F$6:$F$405,$AN10)&lt;&gt;"",$AO10&lt;&gt;"",INDEX(職員マスタ!$F$6:$F$405,$AN10)&lt;$AO10),"対象月に子が2歳到達済／","")&amp;IF(AND($H10&lt;&gt;"",INDEX(職員マスタ!$B$6:$B$405,$AN10)&lt;&gt;"",SUBSTITUTE(SUBSTITUTE($H10," ","")," ","")&lt;&gt;SUBSTITUTE(SUBSTITUTE(INDEX(職員マスタ!$B$6:$B$405,$AN10)," ","")," ","")),"氏名がマスタと相違／","")&amp;IF(AND($Q10&lt;&gt;"",INDEX(職員マスタ!$E$6:$E$405,$AN10)&lt;&gt;"",$Q10&lt;&gt;INDEX(職員マスタ!$E$6:$E$405,$AN10)),"子の生年月日がマスタと相違／","")&amp;IF(AND($L10&lt;&gt;"",INDEX(職員マスタ!$G$6:$G$405,$AN10)&lt;&gt;"",$L10&lt;&gt;INDEX(職員マスタ!$G$6:$G$405,$AN10)),"時短開始日がマスタと相違／","")&amp;IF(AND($M10&lt;&gt;"",INDEX(職員マスタ!$H$6:$H$405,$AN10)&lt;&gt;"",$M10&lt;&gt;INDEX(職員マスタ!$H$6:$H$405,$AN10)),"時短終了日がマスタと相違／","")))&amp;IF(AND($B10&lt;&gt;"",$E10=""),"報酬額が未入力／","")&amp;IF(N($U10)&gt;0,"申請書に入力エラーが残っています／","")&amp;IF(AND($B10&lt;&gt;"",$AO10&lt;&gt;""),IF(COUNTIFS($B$6:$B$3005,$B10,$C$6:$C$3005,$C10,$D$6:$D$3005,$D10)&gt;1,"同じ月の請求が重複しています／",""),"")&amp;IF(AND(N($E10)&gt;0,$Z10&lt;&gt;"",$Z10&lt;&gt;"×",$AC10=0,$AB10=""),"計算額が下限以下のため不支給／",""))</f>
        <v/>
      </c>
      <c r="AL10" s="12" t="n"/>
      <c r="AM10" s="14">
        <f>IF($AD10="保留中",COUNTIF($AD$6:$AD10,"保留中"),"")</f>
        <v/>
      </c>
      <c r="AN10" s="14">
        <f>IF($AO10="","",IF(SUMPRODUCT(MAX((職員マスタ!$A$6:$A$405=$B10)*(((職員マスタ!$G$6:$G$405="")+(職員マスタ!$G$6:$G$405&lt;=EOMONTH($AO10,0)))&gt;0)*(((職員マスタ!$H$6:$H$405="")+(職員マスタ!$H$6:$H$405&gt;=$AO10))&gt;0)*(ROW(職員マスタ!$A$6:$A$405)-5)))&gt;0,SUMPRODUCT(MAX((職員マスタ!$A$6:$A$405=$B10)*(((職員マスタ!$G$6:$G$405="")+(職員マスタ!$G$6:$G$405&lt;=EOMONTH($AO10,0)))&gt;0)*(((職員マスタ!$H$6:$H$405="")+(職員マスタ!$H$6:$H$405&gt;=$AO10))&gt;0)*(ROW(職員マスタ!$A$6:$A$405)-5))),IFERROR(MATCH($B10,職員マスタ!$A$6:$A$405,0),"")))</f>
        <v/>
      </c>
      <c r="AO10" s="16">
        <f>IF(OR($B10="",$C10="",$D10=""),"",DATE($C10+2018,$D10,1))</f>
        <v/>
      </c>
    </row>
    <row r="11">
      <c r="A11" s="11" t="n"/>
      <c r="B11" s="12" t="n">
        <v>6202204</v>
      </c>
      <c r="C11" s="12" t="n">
        <v>7</v>
      </c>
      <c r="D11" s="12" t="n">
        <v>5</v>
      </c>
      <c r="E11" s="13" t="n">
        <v>207843</v>
      </c>
      <c r="F11" s="12" t="n"/>
      <c r="G11" s="13" t="n"/>
      <c r="H11" s="12" t="n"/>
      <c r="I11" s="12" t="n"/>
      <c r="J11" s="12" t="n"/>
      <c r="K11" s="12" t="n"/>
      <c r="L11" s="11" t="n"/>
      <c r="M11" s="11" t="n"/>
      <c r="N11" s="11" t="n"/>
      <c r="O11" s="11" t="n"/>
      <c r="P11" s="12" t="n"/>
      <c r="Q11" s="11" t="n"/>
      <c r="R11" s="12" t="n"/>
      <c r="S11" s="11" t="n"/>
      <c r="T11" s="12" t="n"/>
      <c r="U11" s="12" t="n"/>
      <c r="V11" s="14">
        <f>IF($AN11="",IF($B11="","",$H11),IF(INDEX(職員マスタ!$B$6:$B$405,$AN11)="",$H11,INDEX(職員マスタ!$B$6:$B$405,$AN11)))</f>
        <v/>
      </c>
      <c r="W11" s="14">
        <f>IF($AN11="",IF($B11="","",$R11),IF(INDEX(職員マスタ!$C$6:$C$405,$AN11)="",$R11,INDEX(職員マスタ!$C$6:$C$405,$AN11)))</f>
        <v/>
      </c>
      <c r="X11" s="14">
        <f>IF($AO11="","","R"&amp;$C11&amp;"."&amp;$D11)</f>
        <v/>
      </c>
      <c r="Y11" s="15">
        <f>IF($AN11="","",IF(INDEX(職員マスタ!$K$6:$K$405,$AN11)="","",INDEX(職員マスタ!$K$6:$K$405,$AN11)))</f>
        <v/>
      </c>
      <c r="Z11" s="14">
        <f>IF(OR($E11="",$Y11=""),"",IF($E11&gt;=$Y11,"×",IF($E11&gt;=$Y11*設定!$C$5,"△","○")))</f>
        <v/>
      </c>
      <c r="AA11" s="15">
        <f>IF($Z11="","",IF($Z11="×",0,IF($Z11="○",ROUNDDOWN($E11*設定!$C$4,0),ROUNDDOWN($E11*ROUND((9*$Y11-9*$E11)/(10*$E11),4),0))))</f>
        <v/>
      </c>
      <c r="AB11" s="13" t="n"/>
      <c r="AC11" s="15">
        <f>IF($B11="","",IF($AB11&lt;&gt;"",$AB11,IF($AA11="","",IF($AA11&lt;=設定!$C$3,0,$AA11))))</f>
        <v/>
      </c>
      <c r="AD11" s="14">
        <f>IF($B11="","",IF(AND($AE11&lt;&gt;"",$AG11="",$AJ11=""),"保留中",IF($AJ11&lt;&gt;"",IF(N($AC11)&gt;0,"支給済","不支給"),IF($AC11="","要確認",IF($AC11=0,"不支給","未処理")))))</f>
        <v/>
      </c>
      <c r="AE11" s="12" t="n"/>
      <c r="AF11" s="11" t="n"/>
      <c r="AG11" s="11" t="n"/>
      <c r="AH11" s="11" t="n"/>
      <c r="AI11" s="14">
        <f>IF(AND($AD11="保留中",$AF11&lt;&gt;""),TODAY()-$AF11,"")</f>
        <v/>
      </c>
      <c r="AJ11" s="12" t="inlineStr">
        <is>
          <t>R7.8</t>
        </is>
      </c>
      <c r="AK11" s="14">
        <f>IF($B11="","",IF($AO11="","対象年月が未入力／","")&amp;IF($B11="","",IF($AN11="","職員マスタに未登録の職員番号／",IF($Y11="","標準報酬月額が未登録／","")&amp;IF(AND($AO11&lt;&gt;"",OR(AND(INDEX(職員マスタ!$G$6:$G$405,$AN11)&lt;&gt;"",INDEX(職員マスタ!$G$6:$G$405,$AN11)&gt;EOMONTH($AO11,0)),AND(INDEX(職員マスタ!$H$6:$H$405,$AN11)&lt;&gt;"",INDEX(職員マスタ!$H$6:$H$405,$AN11)&lt;$AO11))),"対象月が時短期間外／","")&amp;IF(AND(INDEX(職員マスタ!$F$6:$F$405,$AN11)&lt;&gt;"",$AO11&lt;&gt;"",INDEX(職員マスタ!$F$6:$F$405,$AN11)&lt;$AO11),"対象月に子が2歳到達済／","")&amp;IF(AND($H11&lt;&gt;"",INDEX(職員マスタ!$B$6:$B$405,$AN11)&lt;&gt;"",SUBSTITUTE(SUBSTITUTE($H11," ","")," ","")&lt;&gt;SUBSTITUTE(SUBSTITUTE(INDEX(職員マスタ!$B$6:$B$405,$AN11)," ","")," ","")),"氏名がマスタと相違／","")&amp;IF(AND($Q11&lt;&gt;"",INDEX(職員マスタ!$E$6:$E$405,$AN11)&lt;&gt;"",$Q11&lt;&gt;INDEX(職員マスタ!$E$6:$E$405,$AN11)),"子の生年月日がマスタと相違／","")&amp;IF(AND($L11&lt;&gt;"",INDEX(職員マスタ!$G$6:$G$405,$AN11)&lt;&gt;"",$L11&lt;&gt;INDEX(職員マスタ!$G$6:$G$405,$AN11)),"時短開始日がマスタと相違／","")&amp;IF(AND($M11&lt;&gt;"",INDEX(職員マスタ!$H$6:$H$405,$AN11)&lt;&gt;"",$M11&lt;&gt;INDEX(職員マスタ!$H$6:$H$405,$AN11)),"時短終了日がマスタと相違／","")))&amp;IF(AND($B11&lt;&gt;"",$E11=""),"報酬額が未入力／","")&amp;IF(N($U11)&gt;0,"申請書に入力エラーが残っています／","")&amp;IF(AND($B11&lt;&gt;"",$AO11&lt;&gt;""),IF(COUNTIFS($B$6:$B$3005,$B11,$C$6:$C$3005,$C11,$D$6:$D$3005,$D11)&gt;1,"同じ月の請求が重複しています／",""),"")&amp;IF(AND(N($E11)&gt;0,$Z11&lt;&gt;"",$Z11&lt;&gt;"×",$AC11=0,$AB11=""),"計算額が下限以下のため不支給／",""))</f>
        <v/>
      </c>
      <c r="AL11" s="12" t="n"/>
      <c r="AM11" s="14">
        <f>IF($AD11="保留中",COUNTIF($AD$6:$AD11,"保留中"),"")</f>
        <v/>
      </c>
      <c r="AN11" s="14">
        <f>IF($AO11="","",IF(SUMPRODUCT(MAX((職員マスタ!$A$6:$A$405=$B11)*(((職員マスタ!$G$6:$G$405="")+(職員マスタ!$G$6:$G$405&lt;=EOMONTH($AO11,0)))&gt;0)*(((職員マスタ!$H$6:$H$405="")+(職員マスタ!$H$6:$H$405&gt;=$AO11))&gt;0)*(ROW(職員マスタ!$A$6:$A$405)-5)))&gt;0,SUMPRODUCT(MAX((職員マスタ!$A$6:$A$405=$B11)*(((職員マスタ!$G$6:$G$405="")+(職員マスタ!$G$6:$G$405&lt;=EOMONTH($AO11,0)))&gt;0)*(((職員マスタ!$H$6:$H$405="")+(職員マスタ!$H$6:$H$405&gt;=$AO11))&gt;0)*(ROW(職員マスタ!$A$6:$A$405)-5))),IFERROR(MATCH($B11,職員マスタ!$A$6:$A$405,0),"")))</f>
        <v/>
      </c>
      <c r="AO11" s="16">
        <f>IF(OR($B11="",$C11="",$D11=""),"",DATE($C11+2018,$D11,1))</f>
        <v/>
      </c>
    </row>
    <row r="12">
      <c r="A12" s="11" t="n"/>
      <c r="B12" s="12" t="n">
        <v>6202204</v>
      </c>
      <c r="C12" s="12" t="n">
        <v>7</v>
      </c>
      <c r="D12" s="12" t="n">
        <v>6</v>
      </c>
      <c r="E12" s="13" t="n">
        <v>204190</v>
      </c>
      <c r="F12" s="12" t="n"/>
      <c r="G12" s="13" t="n"/>
      <c r="H12" s="12" t="n"/>
      <c r="I12" s="12" t="n"/>
      <c r="J12" s="12" t="n"/>
      <c r="K12" s="12" t="n"/>
      <c r="L12" s="11" t="n"/>
      <c r="M12" s="11" t="n"/>
      <c r="N12" s="11" t="n"/>
      <c r="O12" s="11" t="n"/>
      <c r="P12" s="12" t="n"/>
      <c r="Q12" s="11" t="n"/>
      <c r="R12" s="12" t="n"/>
      <c r="S12" s="11" t="n"/>
      <c r="T12" s="12" t="n"/>
      <c r="U12" s="12" t="n"/>
      <c r="V12" s="14">
        <f>IF($AN12="",IF($B12="","",$H12),IF(INDEX(職員マスタ!$B$6:$B$405,$AN12)="",$H12,INDEX(職員マスタ!$B$6:$B$405,$AN12)))</f>
        <v/>
      </c>
      <c r="W12" s="14">
        <f>IF($AN12="",IF($B12="","",$R12),IF(INDEX(職員マスタ!$C$6:$C$405,$AN12)="",$R12,INDEX(職員マスタ!$C$6:$C$405,$AN12)))</f>
        <v/>
      </c>
      <c r="X12" s="14">
        <f>IF($AO12="","","R"&amp;$C12&amp;"."&amp;$D12)</f>
        <v/>
      </c>
      <c r="Y12" s="15">
        <f>IF($AN12="","",IF(INDEX(職員マスタ!$K$6:$K$405,$AN12)="","",INDEX(職員マスタ!$K$6:$K$405,$AN12)))</f>
        <v/>
      </c>
      <c r="Z12" s="14">
        <f>IF(OR($E12="",$Y12=""),"",IF($E12&gt;=$Y12,"×",IF($E12&gt;=$Y12*設定!$C$5,"△","○")))</f>
        <v/>
      </c>
      <c r="AA12" s="15">
        <f>IF($Z12="","",IF($Z12="×",0,IF($Z12="○",ROUNDDOWN($E12*設定!$C$4,0),ROUNDDOWN($E12*ROUND((9*$Y12-9*$E12)/(10*$E12),4),0))))</f>
        <v/>
      </c>
      <c r="AB12" s="13" t="n"/>
      <c r="AC12" s="15">
        <f>IF($B12="","",IF($AB12&lt;&gt;"",$AB12,IF($AA12="","",IF($AA12&lt;=設定!$C$3,0,$AA12))))</f>
        <v/>
      </c>
      <c r="AD12" s="14">
        <f>IF($B12="","",IF(AND($AE12&lt;&gt;"",$AG12="",$AJ12=""),"保留中",IF($AJ12&lt;&gt;"",IF(N($AC12)&gt;0,"支給済","不支給"),IF($AC12="","要確認",IF($AC12=0,"不支給","未処理")))))</f>
        <v/>
      </c>
      <c r="AE12" s="12" t="n"/>
      <c r="AF12" s="11" t="n"/>
      <c r="AG12" s="11" t="n"/>
      <c r="AH12" s="11" t="n"/>
      <c r="AI12" s="14">
        <f>IF(AND($AD12="保留中",$AF12&lt;&gt;""),TODAY()-$AF12,"")</f>
        <v/>
      </c>
      <c r="AJ12" s="12" t="inlineStr">
        <is>
          <t>R7.8</t>
        </is>
      </c>
      <c r="AK12" s="14">
        <f>IF($B12="","",IF($AO12="","対象年月が未入力／","")&amp;IF($B12="","",IF($AN12="","職員マスタに未登録の職員番号／",IF($Y12="","標準報酬月額が未登録／","")&amp;IF(AND($AO12&lt;&gt;"",OR(AND(INDEX(職員マスタ!$G$6:$G$405,$AN12)&lt;&gt;"",INDEX(職員マスタ!$G$6:$G$405,$AN12)&gt;EOMONTH($AO12,0)),AND(INDEX(職員マスタ!$H$6:$H$405,$AN12)&lt;&gt;"",INDEX(職員マスタ!$H$6:$H$405,$AN12)&lt;$AO12))),"対象月が時短期間外／","")&amp;IF(AND(INDEX(職員マスタ!$F$6:$F$405,$AN12)&lt;&gt;"",$AO12&lt;&gt;"",INDEX(職員マスタ!$F$6:$F$405,$AN12)&lt;$AO12),"対象月に子が2歳到達済／","")&amp;IF(AND($H12&lt;&gt;"",INDEX(職員マスタ!$B$6:$B$405,$AN12)&lt;&gt;"",SUBSTITUTE(SUBSTITUTE($H12," ","")," ","")&lt;&gt;SUBSTITUTE(SUBSTITUTE(INDEX(職員マスタ!$B$6:$B$405,$AN12)," ","")," ","")),"氏名がマスタと相違／","")&amp;IF(AND($Q12&lt;&gt;"",INDEX(職員マスタ!$E$6:$E$405,$AN12)&lt;&gt;"",$Q12&lt;&gt;INDEX(職員マスタ!$E$6:$E$405,$AN12)),"子の生年月日がマスタと相違／","")&amp;IF(AND($L12&lt;&gt;"",INDEX(職員マスタ!$G$6:$G$405,$AN12)&lt;&gt;"",$L12&lt;&gt;INDEX(職員マスタ!$G$6:$G$405,$AN12)),"時短開始日がマスタと相違／","")&amp;IF(AND($M12&lt;&gt;"",INDEX(職員マスタ!$H$6:$H$405,$AN12)&lt;&gt;"",$M12&lt;&gt;INDEX(職員マスタ!$H$6:$H$405,$AN12)),"時短終了日がマスタと相違／","")))&amp;IF(AND($B12&lt;&gt;"",$E12=""),"報酬額が未入力／","")&amp;IF(N($U12)&gt;0,"申請書に入力エラーが残っています／","")&amp;IF(AND($B12&lt;&gt;"",$AO12&lt;&gt;""),IF(COUNTIFS($B$6:$B$3005,$B12,$C$6:$C$3005,$C12,$D$6:$D$3005,$D12)&gt;1,"同じ月の請求が重複しています／",""),"")&amp;IF(AND(N($E12)&gt;0,$Z12&lt;&gt;"",$Z12&lt;&gt;"×",$AC12=0,$AB12=""),"計算額が下限以下のため不支給／",""))</f>
        <v/>
      </c>
      <c r="AL12" s="12" t="n"/>
      <c r="AM12" s="14">
        <f>IF($AD12="保留中",COUNTIF($AD$6:$AD12,"保留中"),"")</f>
        <v/>
      </c>
      <c r="AN12" s="14">
        <f>IF($AO12="","",IF(SUMPRODUCT(MAX((職員マスタ!$A$6:$A$405=$B12)*(((職員マスタ!$G$6:$G$405="")+(職員マスタ!$G$6:$G$405&lt;=EOMONTH($AO12,0)))&gt;0)*(((職員マスタ!$H$6:$H$405="")+(職員マスタ!$H$6:$H$405&gt;=$AO12))&gt;0)*(ROW(職員マスタ!$A$6:$A$405)-5)))&gt;0,SUMPRODUCT(MAX((職員マスタ!$A$6:$A$405=$B12)*(((職員マスタ!$G$6:$G$405="")+(職員マスタ!$G$6:$G$405&lt;=EOMONTH($AO12,0)))&gt;0)*(((職員マスタ!$H$6:$H$405="")+(職員マスタ!$H$6:$H$405&gt;=$AO12))&gt;0)*(ROW(職員マスタ!$A$6:$A$405)-5))),IFERROR(MATCH($B12,職員マスタ!$A$6:$A$405,0),"")))</f>
        <v/>
      </c>
      <c r="AO12" s="16">
        <f>IF(OR($B12="",$C12="",$D12=""),"",DATE($C12+2018,$D12,1))</f>
        <v/>
      </c>
    </row>
    <row r="13">
      <c r="A13" s="11" t="n"/>
      <c r="B13" s="12" t="n">
        <v>6202204</v>
      </c>
      <c r="C13" s="12" t="n">
        <v>7</v>
      </c>
      <c r="D13" s="12" t="n">
        <v>7</v>
      </c>
      <c r="E13" s="13" t="n">
        <v>206249</v>
      </c>
      <c r="F13" s="12" t="n"/>
      <c r="G13" s="13" t="n"/>
      <c r="H13" s="12" t="n"/>
      <c r="I13" s="12" t="n"/>
      <c r="J13" s="12" t="n"/>
      <c r="K13" s="12" t="n"/>
      <c r="L13" s="11" t="n"/>
      <c r="M13" s="11" t="n"/>
      <c r="N13" s="11" t="n"/>
      <c r="O13" s="11" t="n"/>
      <c r="P13" s="12" t="n"/>
      <c r="Q13" s="11" t="n"/>
      <c r="R13" s="12" t="n"/>
      <c r="S13" s="11" t="n"/>
      <c r="T13" s="12" t="n"/>
      <c r="U13" s="12" t="n"/>
      <c r="V13" s="14">
        <f>IF($AN13="",IF($B13="","",$H13),IF(INDEX(職員マスタ!$B$6:$B$405,$AN13)="",$H13,INDEX(職員マスタ!$B$6:$B$405,$AN13)))</f>
        <v/>
      </c>
      <c r="W13" s="14">
        <f>IF($AN13="",IF($B13="","",$R13),IF(INDEX(職員マスタ!$C$6:$C$405,$AN13)="",$R13,INDEX(職員マスタ!$C$6:$C$405,$AN13)))</f>
        <v/>
      </c>
      <c r="X13" s="14">
        <f>IF($AO13="","","R"&amp;$C13&amp;"."&amp;$D13)</f>
        <v/>
      </c>
      <c r="Y13" s="15">
        <f>IF($AN13="","",IF(INDEX(職員マスタ!$K$6:$K$405,$AN13)="","",INDEX(職員マスタ!$K$6:$K$405,$AN13)))</f>
        <v/>
      </c>
      <c r="Z13" s="14">
        <f>IF(OR($E13="",$Y13=""),"",IF($E13&gt;=$Y13,"×",IF($E13&gt;=$Y13*設定!$C$5,"△","○")))</f>
        <v/>
      </c>
      <c r="AA13" s="15">
        <f>IF($Z13="","",IF($Z13="×",0,IF($Z13="○",ROUNDDOWN($E13*設定!$C$4,0),ROUNDDOWN($E13*ROUND((9*$Y13-9*$E13)/(10*$E13),4),0))))</f>
        <v/>
      </c>
      <c r="AB13" s="13" t="n"/>
      <c r="AC13" s="15">
        <f>IF($B13="","",IF($AB13&lt;&gt;"",$AB13,IF($AA13="","",IF($AA13&lt;=設定!$C$3,0,$AA13))))</f>
        <v/>
      </c>
      <c r="AD13" s="14">
        <f>IF($B13="","",IF(AND($AE13&lt;&gt;"",$AG13="",$AJ13=""),"保留中",IF($AJ13&lt;&gt;"",IF(N($AC13)&gt;0,"支給済","不支給"),IF($AC13="","要確認",IF($AC13=0,"不支給","未処理")))))</f>
        <v/>
      </c>
      <c r="AE13" s="12" t="n"/>
      <c r="AF13" s="11" t="n"/>
      <c r="AG13" s="11" t="n"/>
      <c r="AH13" s="11" t="n"/>
      <c r="AI13" s="14">
        <f>IF(AND($AD13="保留中",$AF13&lt;&gt;""),TODAY()-$AF13,"")</f>
        <v/>
      </c>
      <c r="AJ13" s="12" t="inlineStr">
        <is>
          <t>R7.9</t>
        </is>
      </c>
      <c r="AK13" s="14">
        <f>IF($B13="","",IF($AO13="","対象年月が未入力／","")&amp;IF($B13="","",IF($AN13="","職員マスタに未登録の職員番号／",IF($Y13="","標準報酬月額が未登録／","")&amp;IF(AND($AO13&lt;&gt;"",OR(AND(INDEX(職員マスタ!$G$6:$G$405,$AN13)&lt;&gt;"",INDEX(職員マスタ!$G$6:$G$405,$AN13)&gt;EOMONTH($AO13,0)),AND(INDEX(職員マスタ!$H$6:$H$405,$AN13)&lt;&gt;"",INDEX(職員マスタ!$H$6:$H$405,$AN13)&lt;$AO13))),"対象月が時短期間外／","")&amp;IF(AND(INDEX(職員マスタ!$F$6:$F$405,$AN13)&lt;&gt;"",$AO13&lt;&gt;"",INDEX(職員マスタ!$F$6:$F$405,$AN13)&lt;$AO13),"対象月に子が2歳到達済／","")&amp;IF(AND($H13&lt;&gt;"",INDEX(職員マスタ!$B$6:$B$405,$AN13)&lt;&gt;"",SUBSTITUTE(SUBSTITUTE($H13," ","")," ","")&lt;&gt;SUBSTITUTE(SUBSTITUTE(INDEX(職員マスタ!$B$6:$B$405,$AN13)," ","")," ","")),"氏名がマスタと相違／","")&amp;IF(AND($Q13&lt;&gt;"",INDEX(職員マスタ!$E$6:$E$405,$AN13)&lt;&gt;"",$Q13&lt;&gt;INDEX(職員マスタ!$E$6:$E$405,$AN13)),"子の生年月日がマスタと相違／","")&amp;IF(AND($L13&lt;&gt;"",INDEX(職員マスタ!$G$6:$G$405,$AN13)&lt;&gt;"",$L13&lt;&gt;INDEX(職員マスタ!$G$6:$G$405,$AN13)),"時短開始日がマスタと相違／","")&amp;IF(AND($M13&lt;&gt;"",INDEX(職員マスタ!$H$6:$H$405,$AN13)&lt;&gt;"",$M13&lt;&gt;INDEX(職員マスタ!$H$6:$H$405,$AN13)),"時短終了日がマスタと相違／","")))&amp;IF(AND($B13&lt;&gt;"",$E13=""),"報酬額が未入力／","")&amp;IF(N($U13)&gt;0,"申請書に入力エラーが残っています／","")&amp;IF(AND($B13&lt;&gt;"",$AO13&lt;&gt;""),IF(COUNTIFS($B$6:$B$3005,$B13,$C$6:$C$3005,$C13,$D$6:$D$3005,$D13)&gt;1,"同じ月の請求が重複しています／",""),"")&amp;IF(AND(N($E13)&gt;0,$Z13&lt;&gt;"",$Z13&lt;&gt;"×",$AC13=0,$AB13=""),"計算額が下限以下のため不支給／",""))</f>
        <v/>
      </c>
      <c r="AL13" s="12" t="n"/>
      <c r="AM13" s="14">
        <f>IF($AD13="保留中",COUNTIF($AD$6:$AD13,"保留中"),"")</f>
        <v/>
      </c>
      <c r="AN13" s="14">
        <f>IF($AO13="","",IF(SUMPRODUCT(MAX((職員マスタ!$A$6:$A$405=$B13)*(((職員マスタ!$G$6:$G$405="")+(職員マスタ!$G$6:$G$405&lt;=EOMONTH($AO13,0)))&gt;0)*(((職員マスタ!$H$6:$H$405="")+(職員マスタ!$H$6:$H$405&gt;=$AO13))&gt;0)*(ROW(職員マスタ!$A$6:$A$405)-5)))&gt;0,SUMPRODUCT(MAX((職員マスタ!$A$6:$A$405=$B13)*(((職員マスタ!$G$6:$G$405="")+(職員マスタ!$G$6:$G$405&lt;=EOMONTH($AO13,0)))&gt;0)*(((職員マスタ!$H$6:$H$405="")+(職員マスタ!$H$6:$H$405&gt;=$AO13))&gt;0)*(ROW(職員マスタ!$A$6:$A$405)-5))),IFERROR(MATCH($B13,職員マスタ!$A$6:$A$405,0),"")))</f>
        <v/>
      </c>
      <c r="AO13" s="16">
        <f>IF(OR($B13="",$C13="",$D13=""),"",DATE($C13+2018,$D13,1))</f>
        <v/>
      </c>
    </row>
    <row r="14">
      <c r="A14" s="11" t="n"/>
      <c r="B14" s="12" t="n">
        <v>6202204</v>
      </c>
      <c r="C14" s="12" t="n">
        <v>7</v>
      </c>
      <c r="D14" s="12" t="n">
        <v>8</v>
      </c>
      <c r="E14" s="13" t="n">
        <v>202131</v>
      </c>
      <c r="F14" s="12" t="n"/>
      <c r="G14" s="13" t="n"/>
      <c r="H14" s="12" t="n"/>
      <c r="I14" s="12" t="n"/>
      <c r="J14" s="12" t="n"/>
      <c r="K14" s="12" t="n"/>
      <c r="L14" s="11" t="n"/>
      <c r="M14" s="11" t="n"/>
      <c r="N14" s="11" t="n"/>
      <c r="O14" s="11" t="n"/>
      <c r="P14" s="12" t="n"/>
      <c r="Q14" s="11" t="n"/>
      <c r="R14" s="12" t="n"/>
      <c r="S14" s="11" t="n"/>
      <c r="T14" s="12" t="n"/>
      <c r="U14" s="12" t="n"/>
      <c r="V14" s="14">
        <f>IF($AN14="",IF($B14="","",$H14),IF(INDEX(職員マスタ!$B$6:$B$405,$AN14)="",$H14,INDEX(職員マスタ!$B$6:$B$405,$AN14)))</f>
        <v/>
      </c>
      <c r="W14" s="14">
        <f>IF($AN14="",IF($B14="","",$R14),IF(INDEX(職員マスタ!$C$6:$C$405,$AN14)="",$R14,INDEX(職員マスタ!$C$6:$C$405,$AN14)))</f>
        <v/>
      </c>
      <c r="X14" s="14">
        <f>IF($AO14="","","R"&amp;$C14&amp;"."&amp;$D14)</f>
        <v/>
      </c>
      <c r="Y14" s="15">
        <f>IF($AN14="","",IF(INDEX(職員マスタ!$K$6:$K$405,$AN14)="","",INDEX(職員マスタ!$K$6:$K$405,$AN14)))</f>
        <v/>
      </c>
      <c r="Z14" s="14">
        <f>IF(OR($E14="",$Y14=""),"",IF($E14&gt;=$Y14,"×",IF($E14&gt;=$Y14*設定!$C$5,"△","○")))</f>
        <v/>
      </c>
      <c r="AA14" s="15">
        <f>IF($Z14="","",IF($Z14="×",0,IF($Z14="○",ROUNDDOWN($E14*設定!$C$4,0),ROUNDDOWN($E14*ROUND((9*$Y14-9*$E14)/(10*$E14),4),0))))</f>
        <v/>
      </c>
      <c r="AB14" s="13" t="n"/>
      <c r="AC14" s="15">
        <f>IF($B14="","",IF($AB14&lt;&gt;"",$AB14,IF($AA14="","",IF($AA14&lt;=設定!$C$3,0,$AA14))))</f>
        <v/>
      </c>
      <c r="AD14" s="14">
        <f>IF($B14="","",IF(AND($AE14&lt;&gt;"",$AG14="",$AJ14=""),"保留中",IF($AJ14&lt;&gt;"",IF(N($AC14)&gt;0,"支給済","不支給"),IF($AC14="","要確認",IF($AC14=0,"不支給","未処理")))))</f>
        <v/>
      </c>
      <c r="AE14" s="12" t="n"/>
      <c r="AF14" s="11" t="n"/>
      <c r="AG14" s="11" t="n"/>
      <c r="AH14" s="11" t="n"/>
      <c r="AI14" s="14">
        <f>IF(AND($AD14="保留中",$AF14&lt;&gt;""),TODAY()-$AF14,"")</f>
        <v/>
      </c>
      <c r="AJ14" s="12" t="inlineStr">
        <is>
          <t>R7.10</t>
        </is>
      </c>
      <c r="AK14" s="14">
        <f>IF($B14="","",IF($AO14="","対象年月が未入力／","")&amp;IF($B14="","",IF($AN14="","職員マスタに未登録の職員番号／",IF($Y14="","標準報酬月額が未登録／","")&amp;IF(AND($AO14&lt;&gt;"",OR(AND(INDEX(職員マスタ!$G$6:$G$405,$AN14)&lt;&gt;"",INDEX(職員マスタ!$G$6:$G$405,$AN14)&gt;EOMONTH($AO14,0)),AND(INDEX(職員マスタ!$H$6:$H$405,$AN14)&lt;&gt;"",INDEX(職員マスタ!$H$6:$H$405,$AN14)&lt;$AO14))),"対象月が時短期間外／","")&amp;IF(AND(INDEX(職員マスタ!$F$6:$F$405,$AN14)&lt;&gt;"",$AO14&lt;&gt;"",INDEX(職員マスタ!$F$6:$F$405,$AN14)&lt;$AO14),"対象月に子が2歳到達済／","")&amp;IF(AND($H14&lt;&gt;"",INDEX(職員マスタ!$B$6:$B$405,$AN14)&lt;&gt;"",SUBSTITUTE(SUBSTITUTE($H14," ","")," ","")&lt;&gt;SUBSTITUTE(SUBSTITUTE(INDEX(職員マスタ!$B$6:$B$405,$AN14)," ","")," ","")),"氏名がマスタと相違／","")&amp;IF(AND($Q14&lt;&gt;"",INDEX(職員マスタ!$E$6:$E$405,$AN14)&lt;&gt;"",$Q14&lt;&gt;INDEX(職員マスタ!$E$6:$E$405,$AN14)),"子の生年月日がマスタと相違／","")&amp;IF(AND($L14&lt;&gt;"",INDEX(職員マスタ!$G$6:$G$405,$AN14)&lt;&gt;"",$L14&lt;&gt;INDEX(職員マスタ!$G$6:$G$405,$AN14)),"時短開始日がマスタと相違／","")&amp;IF(AND($M14&lt;&gt;"",INDEX(職員マスタ!$H$6:$H$405,$AN14)&lt;&gt;"",$M14&lt;&gt;INDEX(職員マスタ!$H$6:$H$405,$AN14)),"時短終了日がマスタと相違／","")))&amp;IF(AND($B14&lt;&gt;"",$E14=""),"報酬額が未入力／","")&amp;IF(N($U14)&gt;0,"申請書に入力エラーが残っています／","")&amp;IF(AND($B14&lt;&gt;"",$AO14&lt;&gt;""),IF(COUNTIFS($B$6:$B$3005,$B14,$C$6:$C$3005,$C14,$D$6:$D$3005,$D14)&gt;1,"同じ月の請求が重複しています／",""),"")&amp;IF(AND(N($E14)&gt;0,$Z14&lt;&gt;"",$Z14&lt;&gt;"×",$AC14=0,$AB14=""),"計算額が下限以下のため不支給／",""))</f>
        <v/>
      </c>
      <c r="AL14" s="12" t="n"/>
      <c r="AM14" s="14">
        <f>IF($AD14="保留中",COUNTIF($AD$6:$AD14,"保留中"),"")</f>
        <v/>
      </c>
      <c r="AN14" s="14">
        <f>IF($AO14="","",IF(SUMPRODUCT(MAX((職員マスタ!$A$6:$A$405=$B14)*(((職員マスタ!$G$6:$G$405="")+(職員マスタ!$G$6:$G$405&lt;=EOMONTH($AO14,0)))&gt;0)*(((職員マスタ!$H$6:$H$405="")+(職員マスタ!$H$6:$H$405&gt;=$AO14))&gt;0)*(ROW(職員マスタ!$A$6:$A$405)-5)))&gt;0,SUMPRODUCT(MAX((職員マスタ!$A$6:$A$405=$B14)*(((職員マスタ!$G$6:$G$405="")+(職員マスタ!$G$6:$G$405&lt;=EOMONTH($AO14,0)))&gt;0)*(((職員マスタ!$H$6:$H$405="")+(職員マスタ!$H$6:$H$405&gt;=$AO14))&gt;0)*(ROW(職員マスタ!$A$6:$A$405)-5))),IFERROR(MATCH($B14,職員マスタ!$A$6:$A$405,0),"")))</f>
        <v/>
      </c>
      <c r="AO14" s="16">
        <f>IF(OR($B14="",$C14="",$D14=""),"",DATE($C14+2018,$D14,1))</f>
        <v/>
      </c>
    </row>
    <row r="15">
      <c r="A15" s="11" t="n"/>
      <c r="B15" s="12" t="n">
        <v>6202204</v>
      </c>
      <c r="C15" s="12" t="n">
        <v>7</v>
      </c>
      <c r="D15" s="12" t="n">
        <v>9</v>
      </c>
      <c r="E15" s="13" t="n">
        <v>202131</v>
      </c>
      <c r="F15" s="12" t="n"/>
      <c r="G15" s="13" t="n"/>
      <c r="H15" s="12" t="n"/>
      <c r="I15" s="12" t="n"/>
      <c r="J15" s="12" t="n"/>
      <c r="K15" s="12" t="n"/>
      <c r="L15" s="11" t="n"/>
      <c r="M15" s="11" t="n"/>
      <c r="N15" s="11" t="n"/>
      <c r="O15" s="11" t="n"/>
      <c r="P15" s="12" t="n"/>
      <c r="Q15" s="11" t="n"/>
      <c r="R15" s="12" t="n"/>
      <c r="S15" s="11" t="n"/>
      <c r="T15" s="12" t="n"/>
      <c r="U15" s="12" t="n"/>
      <c r="V15" s="14">
        <f>IF($AN15="",IF($B15="","",$H15),IF(INDEX(職員マスタ!$B$6:$B$405,$AN15)="",$H15,INDEX(職員マスタ!$B$6:$B$405,$AN15)))</f>
        <v/>
      </c>
      <c r="W15" s="14">
        <f>IF($AN15="",IF($B15="","",$R15),IF(INDEX(職員マスタ!$C$6:$C$405,$AN15)="",$R15,INDEX(職員マスタ!$C$6:$C$405,$AN15)))</f>
        <v/>
      </c>
      <c r="X15" s="14">
        <f>IF($AO15="","","R"&amp;$C15&amp;"."&amp;$D15)</f>
        <v/>
      </c>
      <c r="Y15" s="15">
        <f>IF($AN15="","",IF(INDEX(職員マスタ!$K$6:$K$405,$AN15)="","",INDEX(職員マスタ!$K$6:$K$405,$AN15)))</f>
        <v/>
      </c>
      <c r="Z15" s="14">
        <f>IF(OR($E15="",$Y15=""),"",IF($E15&gt;=$Y15,"×",IF($E15&gt;=$Y15*設定!$C$5,"△","○")))</f>
        <v/>
      </c>
      <c r="AA15" s="15">
        <f>IF($Z15="","",IF($Z15="×",0,IF($Z15="○",ROUNDDOWN($E15*設定!$C$4,0),ROUNDDOWN($E15*ROUND((9*$Y15-9*$E15)/(10*$E15),4),0))))</f>
        <v/>
      </c>
      <c r="AB15" s="13" t="n"/>
      <c r="AC15" s="15">
        <f>IF($B15="","",IF($AB15&lt;&gt;"",$AB15,IF($AA15="","",IF($AA15&lt;=設定!$C$3,0,$AA15))))</f>
        <v/>
      </c>
      <c r="AD15" s="14">
        <f>IF($B15="","",IF(AND($AE15&lt;&gt;"",$AG15="",$AJ15=""),"保留中",IF($AJ15&lt;&gt;"",IF(N($AC15)&gt;0,"支給済","不支給"),IF($AC15="","要確認",IF($AC15=0,"不支給","未処理")))))</f>
        <v/>
      </c>
      <c r="AE15" s="12" t="n"/>
      <c r="AF15" s="11" t="n"/>
      <c r="AG15" s="11" t="n"/>
      <c r="AH15" s="11" t="n"/>
      <c r="AI15" s="14">
        <f>IF(AND($AD15="保留中",$AF15&lt;&gt;""),TODAY()-$AF15,"")</f>
        <v/>
      </c>
      <c r="AJ15" s="12" t="inlineStr">
        <is>
          <t>R7.12</t>
        </is>
      </c>
      <c r="AK15" s="14">
        <f>IF($B15="","",IF($AO15="","対象年月が未入力／","")&amp;IF($B15="","",IF($AN15="","職員マスタに未登録の職員番号／",IF($Y15="","標準報酬月額が未登録／","")&amp;IF(AND($AO15&lt;&gt;"",OR(AND(INDEX(職員マスタ!$G$6:$G$405,$AN15)&lt;&gt;"",INDEX(職員マスタ!$G$6:$G$405,$AN15)&gt;EOMONTH($AO15,0)),AND(INDEX(職員マスタ!$H$6:$H$405,$AN15)&lt;&gt;"",INDEX(職員マスタ!$H$6:$H$405,$AN15)&lt;$AO15))),"対象月が時短期間外／","")&amp;IF(AND(INDEX(職員マスタ!$F$6:$F$405,$AN15)&lt;&gt;"",$AO15&lt;&gt;"",INDEX(職員マスタ!$F$6:$F$405,$AN15)&lt;$AO15),"対象月に子が2歳到達済／","")&amp;IF(AND($H15&lt;&gt;"",INDEX(職員マスタ!$B$6:$B$405,$AN15)&lt;&gt;"",SUBSTITUTE(SUBSTITUTE($H15," ","")," ","")&lt;&gt;SUBSTITUTE(SUBSTITUTE(INDEX(職員マスタ!$B$6:$B$405,$AN15)," ","")," ","")),"氏名がマスタと相違／","")&amp;IF(AND($Q15&lt;&gt;"",INDEX(職員マスタ!$E$6:$E$405,$AN15)&lt;&gt;"",$Q15&lt;&gt;INDEX(職員マスタ!$E$6:$E$405,$AN15)),"子の生年月日がマスタと相違／","")&amp;IF(AND($L15&lt;&gt;"",INDEX(職員マスタ!$G$6:$G$405,$AN15)&lt;&gt;"",$L15&lt;&gt;INDEX(職員マスタ!$G$6:$G$405,$AN15)),"時短開始日がマスタと相違／","")&amp;IF(AND($M15&lt;&gt;"",INDEX(職員マスタ!$H$6:$H$405,$AN15)&lt;&gt;"",$M15&lt;&gt;INDEX(職員マスタ!$H$6:$H$405,$AN15)),"時短終了日がマスタと相違／","")))&amp;IF(AND($B15&lt;&gt;"",$E15=""),"報酬額が未入力／","")&amp;IF(N($U15)&gt;0,"申請書に入力エラーが残っています／","")&amp;IF(AND($B15&lt;&gt;"",$AO15&lt;&gt;""),IF(COUNTIFS($B$6:$B$3005,$B15,$C$6:$C$3005,$C15,$D$6:$D$3005,$D15)&gt;1,"同じ月の請求が重複しています／",""),"")&amp;IF(AND(N($E15)&gt;0,$Z15&lt;&gt;"",$Z15&lt;&gt;"×",$AC15=0,$AB15=""),"計算額が下限以下のため不支給／",""))</f>
        <v/>
      </c>
      <c r="AL15" s="12" t="n"/>
      <c r="AM15" s="14">
        <f>IF($AD15="保留中",COUNTIF($AD$6:$AD15,"保留中"),"")</f>
        <v/>
      </c>
      <c r="AN15" s="14">
        <f>IF($AO15="","",IF(SUMPRODUCT(MAX((職員マスタ!$A$6:$A$405=$B15)*(((職員マスタ!$G$6:$G$405="")+(職員マスタ!$G$6:$G$405&lt;=EOMONTH($AO15,0)))&gt;0)*(((職員マスタ!$H$6:$H$405="")+(職員マスタ!$H$6:$H$405&gt;=$AO15))&gt;0)*(ROW(職員マスタ!$A$6:$A$405)-5)))&gt;0,SUMPRODUCT(MAX((職員マスタ!$A$6:$A$405=$B15)*(((職員マスタ!$G$6:$G$405="")+(職員マスタ!$G$6:$G$405&lt;=EOMONTH($AO15,0)))&gt;0)*(((職員マスタ!$H$6:$H$405="")+(職員マスタ!$H$6:$H$405&gt;=$AO15))&gt;0)*(ROW(職員マスタ!$A$6:$A$405)-5))),IFERROR(MATCH($B15,職員マスタ!$A$6:$A$405,0),"")))</f>
        <v/>
      </c>
      <c r="AO15" s="16">
        <f>IF(OR($B15="",$C15="",$D15=""),"",DATE($C15+2018,$D15,1))</f>
        <v/>
      </c>
    </row>
    <row r="16">
      <c r="A16" s="11" t="n"/>
      <c r="B16" s="12" t="n">
        <v>6202204</v>
      </c>
      <c r="C16" s="12" t="n">
        <v>8</v>
      </c>
      <c r="D16" s="12" t="n">
        <v>4</v>
      </c>
      <c r="E16" s="13" t="n">
        <v>207321</v>
      </c>
      <c r="F16" s="12" t="n"/>
      <c r="G16" s="13" t="n"/>
      <c r="H16" s="12" t="n"/>
      <c r="I16" s="12" t="n"/>
      <c r="J16" s="12" t="n"/>
      <c r="K16" s="12" t="n"/>
      <c r="L16" s="11" t="n"/>
      <c r="M16" s="11" t="n"/>
      <c r="N16" s="11" t="n"/>
      <c r="O16" s="11" t="n"/>
      <c r="P16" s="12" t="n"/>
      <c r="Q16" s="11" t="n"/>
      <c r="R16" s="12" t="n"/>
      <c r="S16" s="11" t="n"/>
      <c r="T16" s="12" t="n"/>
      <c r="U16" s="12" t="n"/>
      <c r="V16" s="14">
        <f>IF($AN16="",IF($B16="","",$H16),IF(INDEX(職員マスタ!$B$6:$B$405,$AN16)="",$H16,INDEX(職員マスタ!$B$6:$B$405,$AN16)))</f>
        <v/>
      </c>
      <c r="W16" s="14">
        <f>IF($AN16="",IF($B16="","",$R16),IF(INDEX(職員マスタ!$C$6:$C$405,$AN16)="",$R16,INDEX(職員マスタ!$C$6:$C$405,$AN16)))</f>
        <v/>
      </c>
      <c r="X16" s="14">
        <f>IF($AO16="","","R"&amp;$C16&amp;"."&amp;$D16)</f>
        <v/>
      </c>
      <c r="Y16" s="15">
        <f>IF($AN16="","",IF(INDEX(職員マスタ!$K$6:$K$405,$AN16)="","",INDEX(職員マスタ!$K$6:$K$405,$AN16)))</f>
        <v/>
      </c>
      <c r="Z16" s="14">
        <f>IF(OR($E16="",$Y16=""),"",IF($E16&gt;=$Y16,"×",IF($E16&gt;=$Y16*設定!$C$5,"△","○")))</f>
        <v/>
      </c>
      <c r="AA16" s="15">
        <f>IF($Z16="","",IF($Z16="×",0,IF($Z16="○",ROUNDDOWN($E16*設定!$C$4,0),ROUNDDOWN($E16*ROUND((9*$Y16-9*$E16)/(10*$E16),4),0))))</f>
        <v/>
      </c>
      <c r="AB16" s="13" t="n"/>
      <c r="AC16" s="15">
        <f>IF($B16="","",IF($AB16&lt;&gt;"",$AB16,IF($AA16="","",IF($AA16&lt;=設定!$C$3,0,$AA16))))</f>
        <v/>
      </c>
      <c r="AD16" s="14">
        <f>IF($B16="","",IF(AND($AE16&lt;&gt;"",$AG16="",$AJ16=""),"保留中",IF($AJ16&lt;&gt;"",IF(N($AC16)&gt;0,"支給済","不支給"),IF($AC16="","要確認",IF($AC16=0,"不支給","未処理")))))</f>
        <v/>
      </c>
      <c r="AE16" s="12" t="n"/>
      <c r="AF16" s="11" t="n"/>
      <c r="AG16" s="11" t="n"/>
      <c r="AH16" s="11" t="n"/>
      <c r="AI16" s="14">
        <f>IF(AND($AD16="保留中",$AF16&lt;&gt;""),TODAY()-$AF16,"")</f>
        <v/>
      </c>
      <c r="AJ16" s="12" t="inlineStr">
        <is>
          <t>R8.10</t>
        </is>
      </c>
      <c r="AK16" s="14">
        <f>IF($B16="","",IF($AO16="","対象年月が未入力／","")&amp;IF($B16="","",IF($AN16="","職員マスタに未登録の職員番号／",IF($Y16="","標準報酬月額が未登録／","")&amp;IF(AND($AO16&lt;&gt;"",OR(AND(INDEX(職員マスタ!$G$6:$G$405,$AN16)&lt;&gt;"",INDEX(職員マスタ!$G$6:$G$405,$AN16)&gt;EOMONTH($AO16,0)),AND(INDEX(職員マスタ!$H$6:$H$405,$AN16)&lt;&gt;"",INDEX(職員マスタ!$H$6:$H$405,$AN16)&lt;$AO16))),"対象月が時短期間外／","")&amp;IF(AND(INDEX(職員マスタ!$F$6:$F$405,$AN16)&lt;&gt;"",$AO16&lt;&gt;"",INDEX(職員マスタ!$F$6:$F$405,$AN16)&lt;$AO16),"対象月に子が2歳到達済／","")&amp;IF(AND($H16&lt;&gt;"",INDEX(職員マスタ!$B$6:$B$405,$AN16)&lt;&gt;"",SUBSTITUTE(SUBSTITUTE($H16," ","")," ","")&lt;&gt;SUBSTITUTE(SUBSTITUTE(INDEX(職員マスタ!$B$6:$B$405,$AN16)," ","")," ","")),"氏名がマスタと相違／","")&amp;IF(AND($Q16&lt;&gt;"",INDEX(職員マスタ!$E$6:$E$405,$AN16)&lt;&gt;"",$Q16&lt;&gt;INDEX(職員マスタ!$E$6:$E$405,$AN16)),"子の生年月日がマスタと相違／","")&amp;IF(AND($L16&lt;&gt;"",INDEX(職員マスタ!$G$6:$G$405,$AN16)&lt;&gt;"",$L16&lt;&gt;INDEX(職員マスタ!$G$6:$G$405,$AN16)),"時短開始日がマスタと相違／","")&amp;IF(AND($M16&lt;&gt;"",INDEX(職員マスタ!$H$6:$H$405,$AN16)&lt;&gt;"",$M16&lt;&gt;INDEX(職員マスタ!$H$6:$H$405,$AN16)),"時短終了日がマスタと相違／","")))&amp;IF(AND($B16&lt;&gt;"",$E16=""),"報酬額が未入力／","")&amp;IF(N($U16)&gt;0,"申請書に入力エラーが残っています／","")&amp;IF(AND($B16&lt;&gt;"",$AO16&lt;&gt;""),IF(COUNTIFS($B$6:$B$3005,$B16,$C$6:$C$3005,$C16,$D$6:$D$3005,$D16)&gt;1,"同じ月の請求が重複しています／",""),"")&amp;IF(AND(N($E16)&gt;0,$Z16&lt;&gt;"",$Z16&lt;&gt;"×",$AC16=0,$AB16=""),"計算額が下限以下のため不支給／",""))</f>
        <v/>
      </c>
      <c r="AL16" s="12" t="n"/>
      <c r="AM16" s="14">
        <f>IF($AD16="保留中",COUNTIF($AD$6:$AD16,"保留中"),"")</f>
        <v/>
      </c>
      <c r="AN16" s="14">
        <f>IF($AO16="","",IF(SUMPRODUCT(MAX((職員マスタ!$A$6:$A$405=$B16)*(((職員マスタ!$G$6:$G$405="")+(職員マスタ!$G$6:$G$405&lt;=EOMONTH($AO16,0)))&gt;0)*(((職員マスタ!$H$6:$H$405="")+(職員マスタ!$H$6:$H$405&gt;=$AO16))&gt;0)*(ROW(職員マスタ!$A$6:$A$405)-5)))&gt;0,SUMPRODUCT(MAX((職員マスタ!$A$6:$A$405=$B16)*(((職員マスタ!$G$6:$G$405="")+(職員マスタ!$G$6:$G$405&lt;=EOMONTH($AO16,0)))&gt;0)*(((職員マスタ!$H$6:$H$405="")+(職員マスタ!$H$6:$H$405&gt;=$AO16))&gt;0)*(ROW(職員マスタ!$A$6:$A$405)-5))),IFERROR(MATCH($B16,職員マスタ!$A$6:$A$405,0),"")))</f>
        <v/>
      </c>
      <c r="AO16" s="16">
        <f>IF(OR($B16="",$C16="",$D16=""),"",DATE($C16+2018,$D16,1))</f>
        <v/>
      </c>
    </row>
    <row r="17">
      <c r="A17" s="11" t="n"/>
      <c r="B17" s="12" t="n">
        <v>6202204</v>
      </c>
      <c r="C17" s="12" t="n">
        <v>8</v>
      </c>
      <c r="D17" s="12" t="n">
        <v>5</v>
      </c>
      <c r="E17" s="13" t="n">
        <v>210045</v>
      </c>
      <c r="F17" s="12" t="n"/>
      <c r="G17" s="13" t="n"/>
      <c r="H17" s="12" t="n"/>
      <c r="I17" s="12" t="n"/>
      <c r="J17" s="12" t="n"/>
      <c r="K17" s="12" t="n"/>
      <c r="L17" s="11" t="n"/>
      <c r="M17" s="11" t="n"/>
      <c r="N17" s="11" t="n"/>
      <c r="O17" s="11" t="n"/>
      <c r="P17" s="12" t="n"/>
      <c r="Q17" s="11" t="n"/>
      <c r="R17" s="12" t="n"/>
      <c r="S17" s="11" t="n"/>
      <c r="T17" s="12" t="n"/>
      <c r="U17" s="12" t="n"/>
      <c r="V17" s="14">
        <f>IF($AN17="",IF($B17="","",$H17),IF(INDEX(職員マスタ!$B$6:$B$405,$AN17)="",$H17,INDEX(職員マスタ!$B$6:$B$405,$AN17)))</f>
        <v/>
      </c>
      <c r="W17" s="14">
        <f>IF($AN17="",IF($B17="","",$R17),IF(INDEX(職員マスタ!$C$6:$C$405,$AN17)="",$R17,INDEX(職員マスタ!$C$6:$C$405,$AN17)))</f>
        <v/>
      </c>
      <c r="X17" s="14">
        <f>IF($AO17="","","R"&amp;$C17&amp;"."&amp;$D17)</f>
        <v/>
      </c>
      <c r="Y17" s="15">
        <f>IF($AN17="","",IF(INDEX(職員マスタ!$K$6:$K$405,$AN17)="","",INDEX(職員マスタ!$K$6:$K$405,$AN17)))</f>
        <v/>
      </c>
      <c r="Z17" s="14">
        <f>IF(OR($E17="",$Y17=""),"",IF($E17&gt;=$Y17,"×",IF($E17&gt;=$Y17*設定!$C$5,"△","○")))</f>
        <v/>
      </c>
      <c r="AA17" s="15">
        <f>IF($Z17="","",IF($Z17="×",0,IF($Z17="○",ROUNDDOWN($E17*設定!$C$4,0),ROUNDDOWN($E17*ROUND((9*$Y17-9*$E17)/(10*$E17),4),0))))</f>
        <v/>
      </c>
      <c r="AB17" s="13" t="n"/>
      <c r="AC17" s="15">
        <f>IF($B17="","",IF($AB17&lt;&gt;"",$AB17,IF($AA17="","",IF($AA17&lt;=設定!$C$3,0,$AA17))))</f>
        <v/>
      </c>
      <c r="AD17" s="14">
        <f>IF($B17="","",IF(AND($AE17&lt;&gt;"",$AG17="",$AJ17=""),"保留中",IF($AJ17&lt;&gt;"",IF(N($AC17)&gt;0,"支給済","不支給"),IF($AC17="","要確認",IF($AC17=0,"不支給","未処理")))))</f>
        <v/>
      </c>
      <c r="AE17" s="12" t="n"/>
      <c r="AF17" s="11" t="n"/>
      <c r="AG17" s="11" t="n"/>
      <c r="AH17" s="11" t="n"/>
      <c r="AI17" s="14">
        <f>IF(AND($AD17="保留中",$AF17&lt;&gt;""),TODAY()-$AF17,"")</f>
        <v/>
      </c>
      <c r="AJ17" s="12" t="inlineStr">
        <is>
          <t>R8.10</t>
        </is>
      </c>
      <c r="AK17" s="14">
        <f>IF($B17="","",IF($AO17="","対象年月が未入力／","")&amp;IF($B17="","",IF($AN17="","職員マスタに未登録の職員番号／",IF($Y17="","標準報酬月額が未登録／","")&amp;IF(AND($AO17&lt;&gt;"",OR(AND(INDEX(職員マスタ!$G$6:$G$405,$AN17)&lt;&gt;"",INDEX(職員マスタ!$G$6:$G$405,$AN17)&gt;EOMONTH($AO17,0)),AND(INDEX(職員マスタ!$H$6:$H$405,$AN17)&lt;&gt;"",INDEX(職員マスタ!$H$6:$H$405,$AN17)&lt;$AO17))),"対象月が時短期間外／","")&amp;IF(AND(INDEX(職員マスタ!$F$6:$F$405,$AN17)&lt;&gt;"",$AO17&lt;&gt;"",INDEX(職員マスタ!$F$6:$F$405,$AN17)&lt;$AO17),"対象月に子が2歳到達済／","")&amp;IF(AND($H17&lt;&gt;"",INDEX(職員マスタ!$B$6:$B$405,$AN17)&lt;&gt;"",SUBSTITUTE(SUBSTITUTE($H17," ","")," ","")&lt;&gt;SUBSTITUTE(SUBSTITUTE(INDEX(職員マスタ!$B$6:$B$405,$AN17)," ","")," ","")),"氏名がマスタと相違／","")&amp;IF(AND($Q17&lt;&gt;"",INDEX(職員マスタ!$E$6:$E$405,$AN17)&lt;&gt;"",$Q17&lt;&gt;INDEX(職員マスタ!$E$6:$E$405,$AN17)),"子の生年月日がマスタと相違／","")&amp;IF(AND($L17&lt;&gt;"",INDEX(職員マスタ!$G$6:$G$405,$AN17)&lt;&gt;"",$L17&lt;&gt;INDEX(職員マスタ!$G$6:$G$405,$AN17)),"時短開始日がマスタと相違／","")&amp;IF(AND($M17&lt;&gt;"",INDEX(職員マスタ!$H$6:$H$405,$AN17)&lt;&gt;"",$M17&lt;&gt;INDEX(職員マスタ!$H$6:$H$405,$AN17)),"時短終了日がマスタと相違／","")))&amp;IF(AND($B17&lt;&gt;"",$E17=""),"報酬額が未入力／","")&amp;IF(N($U17)&gt;0,"申請書に入力エラーが残っています／","")&amp;IF(AND($B17&lt;&gt;"",$AO17&lt;&gt;""),IF(COUNTIFS($B$6:$B$3005,$B17,$C$6:$C$3005,$C17,$D$6:$D$3005,$D17)&gt;1,"同じ月の請求が重複しています／",""),"")&amp;IF(AND(N($E17)&gt;0,$Z17&lt;&gt;"",$Z17&lt;&gt;"×",$AC17=0,$AB17=""),"計算額が下限以下のため不支給／",""))</f>
        <v/>
      </c>
      <c r="AL17" s="12" t="n"/>
      <c r="AM17" s="14">
        <f>IF($AD17="保留中",COUNTIF($AD$6:$AD17,"保留中"),"")</f>
        <v/>
      </c>
      <c r="AN17" s="14">
        <f>IF($AO17="","",IF(SUMPRODUCT(MAX((職員マスタ!$A$6:$A$405=$B17)*(((職員マスタ!$G$6:$G$405="")+(職員マスタ!$G$6:$G$405&lt;=EOMONTH($AO17,0)))&gt;0)*(((職員マスタ!$H$6:$H$405="")+(職員マスタ!$H$6:$H$405&gt;=$AO17))&gt;0)*(ROW(職員マスタ!$A$6:$A$405)-5)))&gt;0,SUMPRODUCT(MAX((職員マスタ!$A$6:$A$405=$B17)*(((職員マスタ!$G$6:$G$405="")+(職員マスタ!$G$6:$G$405&lt;=EOMONTH($AO17,0)))&gt;0)*(((職員マスタ!$H$6:$H$405="")+(職員マスタ!$H$6:$H$405&gt;=$AO17))&gt;0)*(ROW(職員マスタ!$A$6:$A$405)-5))),IFERROR(MATCH($B17,職員マスタ!$A$6:$A$405,0),"")))</f>
        <v/>
      </c>
      <c r="AO17" s="16">
        <f>IF(OR($B17="",$C17="",$D17=""),"",DATE($C17+2018,$D17,1))</f>
        <v/>
      </c>
    </row>
    <row r="18">
      <c r="A18" s="11" t="n"/>
      <c r="B18" s="12" t="n">
        <v>6202204</v>
      </c>
      <c r="C18" s="12" t="n">
        <v>8</v>
      </c>
      <c r="D18" s="12" t="n">
        <v>6</v>
      </c>
      <c r="E18" s="13" t="n">
        <v>207321</v>
      </c>
      <c r="F18" s="12" t="n"/>
      <c r="G18" s="13" t="n"/>
      <c r="H18" s="12" t="n"/>
      <c r="I18" s="12" t="n"/>
      <c r="J18" s="12" t="n"/>
      <c r="K18" s="12" t="n"/>
      <c r="L18" s="11" t="n"/>
      <c r="M18" s="11" t="n"/>
      <c r="N18" s="11" t="n"/>
      <c r="O18" s="11" t="n"/>
      <c r="P18" s="12" t="n"/>
      <c r="Q18" s="11" t="n"/>
      <c r="R18" s="12" t="n"/>
      <c r="S18" s="11" t="n"/>
      <c r="T18" s="12" t="n"/>
      <c r="U18" s="12" t="n"/>
      <c r="V18" s="14">
        <f>IF($AN18="",IF($B18="","",$H18),IF(INDEX(職員マスタ!$B$6:$B$405,$AN18)="",$H18,INDEX(職員マスタ!$B$6:$B$405,$AN18)))</f>
        <v/>
      </c>
      <c r="W18" s="14">
        <f>IF($AN18="",IF($B18="","",$R18),IF(INDEX(職員マスタ!$C$6:$C$405,$AN18)="",$R18,INDEX(職員マスタ!$C$6:$C$405,$AN18)))</f>
        <v/>
      </c>
      <c r="X18" s="14">
        <f>IF($AO18="","","R"&amp;$C18&amp;"."&amp;$D18)</f>
        <v/>
      </c>
      <c r="Y18" s="15">
        <f>IF($AN18="","",IF(INDEX(職員マスタ!$K$6:$K$405,$AN18)="","",INDEX(職員マスタ!$K$6:$K$405,$AN18)))</f>
        <v/>
      </c>
      <c r="Z18" s="14">
        <f>IF(OR($E18="",$Y18=""),"",IF($E18&gt;=$Y18,"×",IF($E18&gt;=$Y18*設定!$C$5,"△","○")))</f>
        <v/>
      </c>
      <c r="AA18" s="15">
        <f>IF($Z18="","",IF($Z18="×",0,IF($Z18="○",ROUNDDOWN($E18*設定!$C$4,0),ROUNDDOWN($E18*ROUND((9*$Y18-9*$E18)/(10*$E18),4),0))))</f>
        <v/>
      </c>
      <c r="AB18" s="13" t="n"/>
      <c r="AC18" s="15">
        <f>IF($B18="","",IF($AB18&lt;&gt;"",$AB18,IF($AA18="","",IF($AA18&lt;=設定!$C$3,0,$AA18))))</f>
        <v/>
      </c>
      <c r="AD18" s="14">
        <f>IF($B18="","",IF(AND($AE18&lt;&gt;"",$AG18="",$AJ18=""),"保留中",IF($AJ18&lt;&gt;"",IF(N($AC18)&gt;0,"支給済","不支給"),IF($AC18="","要確認",IF($AC18=0,"不支給","未処理")))))</f>
        <v/>
      </c>
      <c r="AE18" s="12" t="n"/>
      <c r="AF18" s="11" t="n"/>
      <c r="AG18" s="11" t="n"/>
      <c r="AH18" s="11" t="n"/>
      <c r="AI18" s="14">
        <f>IF(AND($AD18="保留中",$AF18&lt;&gt;""),TODAY()-$AF18,"")</f>
        <v/>
      </c>
      <c r="AJ18" s="12" t="inlineStr">
        <is>
          <t>R8.9</t>
        </is>
      </c>
      <c r="AK18" s="14">
        <f>IF($B18="","",IF($AO18="","対象年月が未入力／","")&amp;IF($B18="","",IF($AN18="","職員マスタに未登録の職員番号／",IF($Y18="","標準報酬月額が未登録／","")&amp;IF(AND($AO18&lt;&gt;"",OR(AND(INDEX(職員マスタ!$G$6:$G$405,$AN18)&lt;&gt;"",INDEX(職員マスタ!$G$6:$G$405,$AN18)&gt;EOMONTH($AO18,0)),AND(INDEX(職員マスタ!$H$6:$H$405,$AN18)&lt;&gt;"",INDEX(職員マスタ!$H$6:$H$405,$AN18)&lt;$AO18))),"対象月が時短期間外／","")&amp;IF(AND(INDEX(職員マスタ!$F$6:$F$405,$AN18)&lt;&gt;"",$AO18&lt;&gt;"",INDEX(職員マスタ!$F$6:$F$405,$AN18)&lt;$AO18),"対象月に子が2歳到達済／","")&amp;IF(AND($H18&lt;&gt;"",INDEX(職員マスタ!$B$6:$B$405,$AN18)&lt;&gt;"",SUBSTITUTE(SUBSTITUTE($H18," ","")," ","")&lt;&gt;SUBSTITUTE(SUBSTITUTE(INDEX(職員マスタ!$B$6:$B$405,$AN18)," ","")," ","")),"氏名がマスタと相違／","")&amp;IF(AND($Q18&lt;&gt;"",INDEX(職員マスタ!$E$6:$E$405,$AN18)&lt;&gt;"",$Q18&lt;&gt;INDEX(職員マスタ!$E$6:$E$405,$AN18)),"子の生年月日がマスタと相違／","")&amp;IF(AND($L18&lt;&gt;"",INDEX(職員マスタ!$G$6:$G$405,$AN18)&lt;&gt;"",$L18&lt;&gt;INDEX(職員マスタ!$G$6:$G$405,$AN18)),"時短開始日がマスタと相違／","")&amp;IF(AND($M18&lt;&gt;"",INDEX(職員マスタ!$H$6:$H$405,$AN18)&lt;&gt;"",$M18&lt;&gt;INDEX(職員マスタ!$H$6:$H$405,$AN18)),"時短終了日がマスタと相違／","")))&amp;IF(AND($B18&lt;&gt;"",$E18=""),"報酬額が未入力／","")&amp;IF(N($U18)&gt;0,"申請書に入力エラーが残っています／","")&amp;IF(AND($B18&lt;&gt;"",$AO18&lt;&gt;""),IF(COUNTIFS($B$6:$B$3005,$B18,$C$6:$C$3005,$C18,$D$6:$D$3005,$D18)&gt;1,"同じ月の請求が重複しています／",""),"")&amp;IF(AND(N($E18)&gt;0,$Z18&lt;&gt;"",$Z18&lt;&gt;"×",$AC18=0,$AB18=""),"計算額が下限以下のため不支給／",""))</f>
        <v/>
      </c>
      <c r="AL18" s="12" t="n"/>
      <c r="AM18" s="14">
        <f>IF($AD18="保留中",COUNTIF($AD$6:$AD18,"保留中"),"")</f>
        <v/>
      </c>
      <c r="AN18" s="14">
        <f>IF($AO18="","",IF(SUMPRODUCT(MAX((職員マスタ!$A$6:$A$405=$B18)*(((職員マスタ!$G$6:$G$405="")+(職員マスタ!$G$6:$G$405&lt;=EOMONTH($AO18,0)))&gt;0)*(((職員マスタ!$H$6:$H$405="")+(職員マスタ!$H$6:$H$405&gt;=$AO18))&gt;0)*(ROW(職員マスタ!$A$6:$A$405)-5)))&gt;0,SUMPRODUCT(MAX((職員マスタ!$A$6:$A$405=$B18)*(((職員マスタ!$G$6:$G$405="")+(職員マスタ!$G$6:$G$405&lt;=EOMONTH($AO18,0)))&gt;0)*(((職員マスタ!$H$6:$H$405="")+(職員マスタ!$H$6:$H$405&gt;=$AO18))&gt;0)*(ROW(職員マスタ!$A$6:$A$405)-5))),IFERROR(MATCH($B18,職員マスタ!$A$6:$A$405,0),"")))</f>
        <v/>
      </c>
      <c r="AO18" s="16">
        <f>IF(OR($B18="",$C18="",$D18=""),"",DATE($C18+2018,$D18,1))</f>
        <v/>
      </c>
    </row>
    <row r="19">
      <c r="A19" s="11" t="n"/>
      <c r="B19" s="12" t="n">
        <v>6202204</v>
      </c>
      <c r="C19" s="12" t="n">
        <v>8</v>
      </c>
      <c r="D19" s="12" t="n">
        <v>7</v>
      </c>
      <c r="E19" s="13" t="n">
        <v>210045</v>
      </c>
      <c r="F19" s="12" t="n"/>
      <c r="G19" s="13" t="n"/>
      <c r="H19" s="12" t="n"/>
      <c r="I19" s="12" t="n"/>
      <c r="J19" s="12" t="n"/>
      <c r="K19" s="12" t="n"/>
      <c r="L19" s="11" t="n"/>
      <c r="M19" s="11" t="n"/>
      <c r="N19" s="11" t="n"/>
      <c r="O19" s="11" t="n"/>
      <c r="P19" s="12" t="n"/>
      <c r="Q19" s="11" t="n"/>
      <c r="R19" s="12" t="n"/>
      <c r="S19" s="11" t="n"/>
      <c r="T19" s="12" t="n"/>
      <c r="U19" s="12" t="n"/>
      <c r="V19" s="14">
        <f>IF($AN19="",IF($B19="","",$H19),IF(INDEX(職員マスタ!$B$6:$B$405,$AN19)="",$H19,INDEX(職員マスタ!$B$6:$B$405,$AN19)))</f>
        <v/>
      </c>
      <c r="W19" s="14">
        <f>IF($AN19="",IF($B19="","",$R19),IF(INDEX(職員マスタ!$C$6:$C$405,$AN19)="",$R19,INDEX(職員マスタ!$C$6:$C$405,$AN19)))</f>
        <v/>
      </c>
      <c r="X19" s="14">
        <f>IF($AO19="","","R"&amp;$C19&amp;"."&amp;$D19)</f>
        <v/>
      </c>
      <c r="Y19" s="15">
        <f>IF($AN19="","",IF(INDEX(職員マスタ!$K$6:$K$405,$AN19)="","",INDEX(職員マスタ!$K$6:$K$405,$AN19)))</f>
        <v/>
      </c>
      <c r="Z19" s="14">
        <f>IF(OR($E19="",$Y19=""),"",IF($E19&gt;=$Y19,"×",IF($E19&gt;=$Y19*設定!$C$5,"△","○")))</f>
        <v/>
      </c>
      <c r="AA19" s="15">
        <f>IF($Z19="","",IF($Z19="×",0,IF($Z19="○",ROUNDDOWN($E19*設定!$C$4,0),ROUNDDOWN($E19*ROUND((9*$Y19-9*$E19)/(10*$E19),4),0))))</f>
        <v/>
      </c>
      <c r="AB19" s="13" t="n"/>
      <c r="AC19" s="15">
        <f>IF($B19="","",IF($AB19&lt;&gt;"",$AB19,IF($AA19="","",IF($AA19&lt;=設定!$C$3,0,$AA19))))</f>
        <v/>
      </c>
      <c r="AD19" s="14">
        <f>IF($B19="","",IF(AND($AE19&lt;&gt;"",$AG19="",$AJ19=""),"保留中",IF($AJ19&lt;&gt;"",IF(N($AC19)&gt;0,"支給済","不支給"),IF($AC19="","要確認",IF($AC19=0,"不支給","未処理")))))</f>
        <v/>
      </c>
      <c r="AE19" s="12" t="n"/>
      <c r="AF19" s="11" t="n"/>
      <c r="AG19" s="11" t="n"/>
      <c r="AH19" s="11" t="n"/>
      <c r="AI19" s="14">
        <f>IF(AND($AD19="保留中",$AF19&lt;&gt;""),TODAY()-$AF19,"")</f>
        <v/>
      </c>
      <c r="AJ19" s="12" t="inlineStr">
        <is>
          <t>R8.10</t>
        </is>
      </c>
      <c r="AK19" s="14">
        <f>IF($B19="","",IF($AO19="","対象年月が未入力／","")&amp;IF($B19="","",IF($AN19="","職員マスタに未登録の職員番号／",IF($Y19="","標準報酬月額が未登録／","")&amp;IF(AND($AO19&lt;&gt;"",OR(AND(INDEX(職員マスタ!$G$6:$G$405,$AN19)&lt;&gt;"",INDEX(職員マスタ!$G$6:$G$405,$AN19)&gt;EOMONTH($AO19,0)),AND(INDEX(職員マスタ!$H$6:$H$405,$AN19)&lt;&gt;"",INDEX(職員マスタ!$H$6:$H$405,$AN19)&lt;$AO19))),"対象月が時短期間外／","")&amp;IF(AND(INDEX(職員マスタ!$F$6:$F$405,$AN19)&lt;&gt;"",$AO19&lt;&gt;"",INDEX(職員マスタ!$F$6:$F$405,$AN19)&lt;$AO19),"対象月に子が2歳到達済／","")&amp;IF(AND($H19&lt;&gt;"",INDEX(職員マスタ!$B$6:$B$405,$AN19)&lt;&gt;"",SUBSTITUTE(SUBSTITUTE($H19," ","")," ","")&lt;&gt;SUBSTITUTE(SUBSTITUTE(INDEX(職員マスタ!$B$6:$B$405,$AN19)," ","")," ","")),"氏名がマスタと相違／","")&amp;IF(AND($Q19&lt;&gt;"",INDEX(職員マスタ!$E$6:$E$405,$AN19)&lt;&gt;"",$Q19&lt;&gt;INDEX(職員マスタ!$E$6:$E$405,$AN19)),"子の生年月日がマスタと相違／","")&amp;IF(AND($L19&lt;&gt;"",INDEX(職員マスタ!$G$6:$G$405,$AN19)&lt;&gt;"",$L19&lt;&gt;INDEX(職員マスタ!$G$6:$G$405,$AN19)),"時短開始日がマスタと相違／","")&amp;IF(AND($M19&lt;&gt;"",INDEX(職員マスタ!$H$6:$H$405,$AN19)&lt;&gt;"",$M19&lt;&gt;INDEX(職員マスタ!$H$6:$H$405,$AN19)),"時短終了日がマスタと相違／","")))&amp;IF(AND($B19&lt;&gt;"",$E19=""),"報酬額が未入力／","")&amp;IF(N($U19)&gt;0,"申請書に入力エラーが残っています／","")&amp;IF(AND($B19&lt;&gt;"",$AO19&lt;&gt;""),IF(COUNTIFS($B$6:$B$3005,$B19,$C$6:$C$3005,$C19,$D$6:$D$3005,$D19)&gt;1,"同じ月の請求が重複しています／",""),"")&amp;IF(AND(N($E19)&gt;0,$Z19&lt;&gt;"",$Z19&lt;&gt;"×",$AC19=0,$AB19=""),"計算額が下限以下のため不支給／",""))</f>
        <v/>
      </c>
      <c r="AL19" s="12" t="n"/>
      <c r="AM19" s="14">
        <f>IF($AD19="保留中",COUNTIF($AD$6:$AD19,"保留中"),"")</f>
        <v/>
      </c>
      <c r="AN19" s="14">
        <f>IF($AO19="","",IF(SUMPRODUCT(MAX((職員マスタ!$A$6:$A$405=$B19)*(((職員マスタ!$G$6:$G$405="")+(職員マスタ!$G$6:$G$405&lt;=EOMONTH($AO19,0)))&gt;0)*(((職員マスタ!$H$6:$H$405="")+(職員マスタ!$H$6:$H$405&gt;=$AO19))&gt;0)*(ROW(職員マスタ!$A$6:$A$405)-5)))&gt;0,SUMPRODUCT(MAX((職員マスタ!$A$6:$A$405=$B19)*(((職員マスタ!$G$6:$G$405="")+(職員マスタ!$G$6:$G$405&lt;=EOMONTH($AO19,0)))&gt;0)*(((職員マスタ!$H$6:$H$405="")+(職員マスタ!$H$6:$H$405&gt;=$AO19))&gt;0)*(ROW(職員マスタ!$A$6:$A$405)-5))),IFERROR(MATCH($B19,職員マスタ!$A$6:$A$405,0),"")))</f>
        <v/>
      </c>
      <c r="AO19" s="16">
        <f>IF(OR($B19="",$C19="",$D19=""),"",DATE($C19+2018,$D19,1))</f>
        <v/>
      </c>
    </row>
    <row r="20">
      <c r="A20" s="11" t="n"/>
      <c r="B20" s="12" t="n">
        <v>6202204</v>
      </c>
      <c r="C20" s="12" t="n">
        <v>8</v>
      </c>
      <c r="D20" s="12" t="n">
        <v>8</v>
      </c>
      <c r="E20" s="13" t="n">
        <v>207321</v>
      </c>
      <c r="F20" s="12" t="n"/>
      <c r="G20" s="13" t="n"/>
      <c r="H20" s="12" t="n"/>
      <c r="I20" s="12" t="n"/>
      <c r="J20" s="12" t="n"/>
      <c r="K20" s="12" t="n"/>
      <c r="L20" s="11" t="n"/>
      <c r="M20" s="11" t="n"/>
      <c r="N20" s="11" t="n"/>
      <c r="O20" s="11" t="n"/>
      <c r="P20" s="12" t="n"/>
      <c r="Q20" s="11" t="n"/>
      <c r="R20" s="12" t="n"/>
      <c r="S20" s="11" t="n"/>
      <c r="T20" s="12" t="n"/>
      <c r="U20" s="12" t="n"/>
      <c r="V20" s="14">
        <f>IF($AN20="",IF($B20="","",$H20),IF(INDEX(職員マスタ!$B$6:$B$405,$AN20)="",$H20,INDEX(職員マスタ!$B$6:$B$405,$AN20)))</f>
        <v/>
      </c>
      <c r="W20" s="14">
        <f>IF($AN20="",IF($B20="","",$R20),IF(INDEX(職員マスタ!$C$6:$C$405,$AN20)="",$R20,INDEX(職員マスタ!$C$6:$C$405,$AN20)))</f>
        <v/>
      </c>
      <c r="X20" s="14">
        <f>IF($AO20="","","R"&amp;$C20&amp;"."&amp;$D20)</f>
        <v/>
      </c>
      <c r="Y20" s="15">
        <f>IF($AN20="","",IF(INDEX(職員マスタ!$K$6:$K$405,$AN20)="","",INDEX(職員マスタ!$K$6:$K$405,$AN20)))</f>
        <v/>
      </c>
      <c r="Z20" s="14">
        <f>IF(OR($E20="",$Y20=""),"",IF($E20&gt;=$Y20,"×",IF($E20&gt;=$Y20*設定!$C$5,"△","○")))</f>
        <v/>
      </c>
      <c r="AA20" s="15">
        <f>IF($Z20="","",IF($Z20="×",0,IF($Z20="○",ROUNDDOWN($E20*設定!$C$4,0),ROUNDDOWN($E20*ROUND((9*$Y20-9*$E20)/(10*$E20),4),0))))</f>
        <v/>
      </c>
      <c r="AB20" s="13" t="n"/>
      <c r="AC20" s="15">
        <f>IF($B20="","",IF($AB20&lt;&gt;"",$AB20,IF($AA20="","",IF($AA20&lt;=設定!$C$3,0,$AA20))))</f>
        <v/>
      </c>
      <c r="AD20" s="14">
        <f>IF($B20="","",IF(AND($AE20&lt;&gt;"",$AG20="",$AJ20=""),"保留中",IF($AJ20&lt;&gt;"",IF(N($AC20)&gt;0,"支給済","不支給"),IF($AC20="","要確認",IF($AC20=0,"不支給","未処理")))))</f>
        <v/>
      </c>
      <c r="AE20" s="12" t="n"/>
      <c r="AF20" s="11" t="n"/>
      <c r="AG20" s="11" t="n"/>
      <c r="AH20" s="11" t="n"/>
      <c r="AI20" s="14">
        <f>IF(AND($AD20="保留中",$AF20&lt;&gt;""),TODAY()-$AF20,"")</f>
        <v/>
      </c>
      <c r="AJ20" s="12" t="inlineStr">
        <is>
          <t>R8.10</t>
        </is>
      </c>
      <c r="AK20" s="14">
        <f>IF($B20="","",IF($AO20="","対象年月が未入力／","")&amp;IF($B20="","",IF($AN20="","職員マスタに未登録の職員番号／",IF($Y20="","標準報酬月額が未登録／","")&amp;IF(AND($AO20&lt;&gt;"",OR(AND(INDEX(職員マスタ!$G$6:$G$405,$AN20)&lt;&gt;"",INDEX(職員マスタ!$G$6:$G$405,$AN20)&gt;EOMONTH($AO20,0)),AND(INDEX(職員マスタ!$H$6:$H$405,$AN20)&lt;&gt;"",INDEX(職員マスタ!$H$6:$H$405,$AN20)&lt;$AO20))),"対象月が時短期間外／","")&amp;IF(AND(INDEX(職員マスタ!$F$6:$F$405,$AN20)&lt;&gt;"",$AO20&lt;&gt;"",INDEX(職員マスタ!$F$6:$F$405,$AN20)&lt;$AO20),"対象月に子が2歳到達済／","")&amp;IF(AND($H20&lt;&gt;"",INDEX(職員マスタ!$B$6:$B$405,$AN20)&lt;&gt;"",SUBSTITUTE(SUBSTITUTE($H20," ","")," ","")&lt;&gt;SUBSTITUTE(SUBSTITUTE(INDEX(職員マスタ!$B$6:$B$405,$AN20)," ","")," ","")),"氏名がマスタと相違／","")&amp;IF(AND($Q20&lt;&gt;"",INDEX(職員マスタ!$E$6:$E$405,$AN20)&lt;&gt;"",$Q20&lt;&gt;INDEX(職員マスタ!$E$6:$E$405,$AN20)),"子の生年月日がマスタと相違／","")&amp;IF(AND($L20&lt;&gt;"",INDEX(職員マスタ!$G$6:$G$405,$AN20)&lt;&gt;"",$L20&lt;&gt;INDEX(職員マスタ!$G$6:$G$405,$AN20)),"時短開始日がマスタと相違／","")&amp;IF(AND($M20&lt;&gt;"",INDEX(職員マスタ!$H$6:$H$405,$AN20)&lt;&gt;"",$M20&lt;&gt;INDEX(職員マスタ!$H$6:$H$405,$AN20)),"時短終了日がマスタと相違／","")))&amp;IF(AND($B20&lt;&gt;"",$E20=""),"報酬額が未入力／","")&amp;IF(N($U20)&gt;0,"申請書に入力エラーが残っています／","")&amp;IF(AND($B20&lt;&gt;"",$AO20&lt;&gt;""),IF(COUNTIFS($B$6:$B$3005,$B20,$C$6:$C$3005,$C20,$D$6:$D$3005,$D20)&gt;1,"同じ月の請求が重複しています／",""),"")&amp;IF(AND(N($E20)&gt;0,$Z20&lt;&gt;"",$Z20&lt;&gt;"×",$AC20=0,$AB20=""),"計算額が下限以下のため不支給／",""))</f>
        <v/>
      </c>
      <c r="AL20" s="12" t="n"/>
      <c r="AM20" s="14">
        <f>IF($AD20="保留中",COUNTIF($AD$6:$AD20,"保留中"),"")</f>
        <v/>
      </c>
      <c r="AN20" s="14">
        <f>IF($AO20="","",IF(SUMPRODUCT(MAX((職員マスタ!$A$6:$A$405=$B20)*(((職員マスタ!$G$6:$G$405="")+(職員マスタ!$G$6:$G$405&lt;=EOMONTH($AO20,0)))&gt;0)*(((職員マスタ!$H$6:$H$405="")+(職員マスタ!$H$6:$H$405&gt;=$AO20))&gt;0)*(ROW(職員マスタ!$A$6:$A$405)-5)))&gt;0,SUMPRODUCT(MAX((職員マスタ!$A$6:$A$405=$B20)*(((職員マスタ!$G$6:$G$405="")+(職員マスタ!$G$6:$G$405&lt;=EOMONTH($AO20,0)))&gt;0)*(((職員マスタ!$H$6:$H$405="")+(職員マスタ!$H$6:$H$405&gt;=$AO20))&gt;0)*(ROW(職員マスタ!$A$6:$A$405)-5))),IFERROR(MATCH($B20,職員マスタ!$A$6:$A$405,0),"")))</f>
        <v/>
      </c>
      <c r="AO20" s="16">
        <f>IF(OR($B20="",$C20="",$D20=""),"",DATE($C20+2018,$D20,1))</f>
        <v/>
      </c>
    </row>
    <row r="21">
      <c r="A21" s="11" t="n"/>
      <c r="B21" s="12" t="n">
        <v>6300941</v>
      </c>
      <c r="C21" s="12" t="n">
        <v>8</v>
      </c>
      <c r="D21" s="12" t="n">
        <v>6</v>
      </c>
      <c r="E21" s="13" t="n">
        <v>370216</v>
      </c>
      <c r="F21" s="12" t="n"/>
      <c r="G21" s="13" t="n"/>
      <c r="H21" s="12" t="n"/>
      <c r="I21" s="12" t="n"/>
      <c r="J21" s="12" t="n"/>
      <c r="K21" s="12" t="n"/>
      <c r="L21" s="11" t="n"/>
      <c r="M21" s="11" t="n"/>
      <c r="N21" s="11" t="n"/>
      <c r="O21" s="11" t="n"/>
      <c r="P21" s="12" t="n"/>
      <c r="Q21" s="11" t="n"/>
      <c r="R21" s="12" t="n"/>
      <c r="S21" s="11" t="n"/>
      <c r="T21" s="12" t="n"/>
      <c r="U21" s="12" t="n"/>
      <c r="V21" s="14">
        <f>IF($AN21="",IF($B21="","",$H21),IF(INDEX(職員マスタ!$B$6:$B$405,$AN21)="",$H21,INDEX(職員マスタ!$B$6:$B$405,$AN21)))</f>
        <v/>
      </c>
      <c r="W21" s="14">
        <f>IF($AN21="",IF($B21="","",$R21),IF(INDEX(職員マスタ!$C$6:$C$405,$AN21)="",$R21,INDEX(職員マスタ!$C$6:$C$405,$AN21)))</f>
        <v/>
      </c>
      <c r="X21" s="14">
        <f>IF($AO21="","","R"&amp;$C21&amp;"."&amp;$D21)</f>
        <v/>
      </c>
      <c r="Y21" s="15">
        <f>IF($AN21="","",IF(INDEX(職員マスタ!$K$6:$K$405,$AN21)="","",INDEX(職員マスタ!$K$6:$K$405,$AN21)))</f>
        <v/>
      </c>
      <c r="Z21" s="14">
        <f>IF(OR($E21="",$Y21=""),"",IF($E21&gt;=$Y21,"×",IF($E21&gt;=$Y21*設定!$C$5,"△","○")))</f>
        <v/>
      </c>
      <c r="AA21" s="15">
        <f>IF($Z21="","",IF($Z21="×",0,IF($Z21="○",ROUNDDOWN($E21*設定!$C$4,0),ROUNDDOWN($E21*ROUND((9*$Y21-9*$E21)/(10*$E21),4),0))))</f>
        <v/>
      </c>
      <c r="AB21" s="13" t="n"/>
      <c r="AC21" s="15">
        <f>IF($B21="","",IF($AB21&lt;&gt;"",$AB21,IF($AA21="","",IF($AA21&lt;=設定!$C$3,0,$AA21))))</f>
        <v/>
      </c>
      <c r="AD21" s="14">
        <f>IF($B21="","",IF(AND($AE21&lt;&gt;"",$AG21="",$AJ21=""),"保留中",IF($AJ21&lt;&gt;"",IF(N($AC21)&gt;0,"支給済","不支給"),IF($AC21="","要確認",IF($AC21=0,"不支給","未処理")))))</f>
        <v/>
      </c>
      <c r="AE21" s="12" t="n"/>
      <c r="AF21" s="11" t="n"/>
      <c r="AG21" s="11" t="n"/>
      <c r="AH21" s="11" t="n"/>
      <c r="AI21" s="14">
        <f>IF(AND($AD21="保留中",$AF21&lt;&gt;""),TODAY()-$AF21,"")</f>
        <v/>
      </c>
      <c r="AJ21" s="12" t="n"/>
      <c r="AK21" s="14">
        <f>IF($B21="","",IF($AO21="","対象年月が未入力／","")&amp;IF($B21="","",IF($AN21="","職員マスタに未登録の職員番号／",IF($Y21="","標準報酬月額が未登録／","")&amp;IF(AND($AO21&lt;&gt;"",OR(AND(INDEX(職員マスタ!$G$6:$G$405,$AN21)&lt;&gt;"",INDEX(職員マスタ!$G$6:$G$405,$AN21)&gt;EOMONTH($AO21,0)),AND(INDEX(職員マスタ!$H$6:$H$405,$AN21)&lt;&gt;"",INDEX(職員マスタ!$H$6:$H$405,$AN21)&lt;$AO21))),"対象月が時短期間外／","")&amp;IF(AND(INDEX(職員マスタ!$F$6:$F$405,$AN21)&lt;&gt;"",$AO21&lt;&gt;"",INDEX(職員マスタ!$F$6:$F$405,$AN21)&lt;$AO21),"対象月に子が2歳到達済／","")&amp;IF(AND($H21&lt;&gt;"",INDEX(職員マスタ!$B$6:$B$405,$AN21)&lt;&gt;"",SUBSTITUTE(SUBSTITUTE($H21," ","")," ","")&lt;&gt;SUBSTITUTE(SUBSTITUTE(INDEX(職員マスタ!$B$6:$B$405,$AN21)," ","")," ","")),"氏名がマスタと相違／","")&amp;IF(AND($Q21&lt;&gt;"",INDEX(職員マスタ!$E$6:$E$405,$AN21)&lt;&gt;"",$Q21&lt;&gt;INDEX(職員マスタ!$E$6:$E$405,$AN21)),"子の生年月日がマスタと相違／","")&amp;IF(AND($L21&lt;&gt;"",INDEX(職員マスタ!$G$6:$G$405,$AN21)&lt;&gt;"",$L21&lt;&gt;INDEX(職員マスタ!$G$6:$G$405,$AN21)),"時短開始日がマスタと相違／","")&amp;IF(AND($M21&lt;&gt;"",INDEX(職員マスタ!$H$6:$H$405,$AN21)&lt;&gt;"",$M21&lt;&gt;INDEX(職員マスタ!$H$6:$H$405,$AN21)),"時短終了日がマスタと相違／","")))&amp;IF(AND($B21&lt;&gt;"",$E21=""),"報酬額が未入力／","")&amp;IF(N($U21)&gt;0,"申請書に入力エラーが残っています／","")&amp;IF(AND($B21&lt;&gt;"",$AO21&lt;&gt;""),IF(COUNTIFS($B$6:$B$3005,$B21,$C$6:$C$3005,$C21,$D$6:$D$3005,$D21)&gt;1,"同じ月の請求が重複しています／",""),"")&amp;IF(AND(N($E21)&gt;0,$Z21&lt;&gt;"",$Z21&lt;&gt;"×",$AC21=0,$AB21=""),"計算額が下限以下のため不支給／",""))</f>
        <v/>
      </c>
      <c r="AL21" s="12" t="n"/>
      <c r="AM21" s="14">
        <f>IF($AD21="保留中",COUNTIF($AD$6:$AD21,"保留中"),"")</f>
        <v/>
      </c>
      <c r="AN21" s="14">
        <f>IF($AO21="","",IF(SUMPRODUCT(MAX((職員マスタ!$A$6:$A$405=$B21)*(((職員マスタ!$G$6:$G$405="")+(職員マスタ!$G$6:$G$405&lt;=EOMONTH($AO21,0)))&gt;0)*(((職員マスタ!$H$6:$H$405="")+(職員マスタ!$H$6:$H$405&gt;=$AO21))&gt;0)*(ROW(職員マスタ!$A$6:$A$405)-5)))&gt;0,SUMPRODUCT(MAX((職員マスタ!$A$6:$A$405=$B21)*(((職員マスタ!$G$6:$G$405="")+(職員マスタ!$G$6:$G$405&lt;=EOMONTH($AO21,0)))&gt;0)*(((職員マスタ!$H$6:$H$405="")+(職員マスタ!$H$6:$H$405&gt;=$AO21))&gt;0)*(ROW(職員マスタ!$A$6:$A$405)-5))),IFERROR(MATCH($B21,職員マスタ!$A$6:$A$405,0),"")))</f>
        <v/>
      </c>
      <c r="AO21" s="16">
        <f>IF(OR($B21="",$C21="",$D21=""),"",DATE($C21+2018,$D21,1))</f>
        <v/>
      </c>
    </row>
    <row r="22">
      <c r="A22" s="11" t="n"/>
      <c r="B22" s="12" t="n">
        <v>6300941</v>
      </c>
      <c r="C22" s="12" t="n">
        <v>8</v>
      </c>
      <c r="D22" s="12" t="n">
        <v>7</v>
      </c>
      <c r="E22" s="13" t="n">
        <v>357142</v>
      </c>
      <c r="F22" s="12" t="n"/>
      <c r="G22" s="13" t="n"/>
      <c r="H22" s="12" t="n"/>
      <c r="I22" s="12" t="n"/>
      <c r="J22" s="12" t="n"/>
      <c r="K22" s="12" t="n"/>
      <c r="L22" s="11" t="n"/>
      <c r="M22" s="11" t="n"/>
      <c r="N22" s="11" t="n"/>
      <c r="O22" s="11" t="n"/>
      <c r="P22" s="12" t="n"/>
      <c r="Q22" s="11" t="n"/>
      <c r="R22" s="12" t="n"/>
      <c r="S22" s="11" t="n"/>
      <c r="T22" s="12" t="n"/>
      <c r="U22" s="12" t="n"/>
      <c r="V22" s="14">
        <f>IF($AN22="",IF($B22="","",$H22),IF(INDEX(職員マスタ!$B$6:$B$405,$AN22)="",$H22,INDEX(職員マスタ!$B$6:$B$405,$AN22)))</f>
        <v/>
      </c>
      <c r="W22" s="14">
        <f>IF($AN22="",IF($B22="","",$R22),IF(INDEX(職員マスタ!$C$6:$C$405,$AN22)="",$R22,INDEX(職員マスタ!$C$6:$C$405,$AN22)))</f>
        <v/>
      </c>
      <c r="X22" s="14">
        <f>IF($AO22="","","R"&amp;$C22&amp;"."&amp;$D22)</f>
        <v/>
      </c>
      <c r="Y22" s="15">
        <f>IF($AN22="","",IF(INDEX(職員マスタ!$K$6:$K$405,$AN22)="","",INDEX(職員マスタ!$K$6:$K$405,$AN22)))</f>
        <v/>
      </c>
      <c r="Z22" s="14">
        <f>IF(OR($E22="",$Y22=""),"",IF($E22&gt;=$Y22,"×",IF($E22&gt;=$Y22*設定!$C$5,"△","○")))</f>
        <v/>
      </c>
      <c r="AA22" s="15">
        <f>IF($Z22="","",IF($Z22="×",0,IF($Z22="○",ROUNDDOWN($E22*設定!$C$4,0),ROUNDDOWN($E22*ROUND((9*$Y22-9*$E22)/(10*$E22),4),0))))</f>
        <v/>
      </c>
      <c r="AB22" s="13" t="n"/>
      <c r="AC22" s="15">
        <f>IF($B22="","",IF($AB22&lt;&gt;"",$AB22,IF($AA22="","",IF($AA22&lt;=設定!$C$3,0,$AA22))))</f>
        <v/>
      </c>
      <c r="AD22" s="14">
        <f>IF($B22="","",IF(AND($AE22&lt;&gt;"",$AG22="",$AJ22=""),"保留中",IF($AJ22&lt;&gt;"",IF(N($AC22)&gt;0,"支給済","不支給"),IF($AC22="","要確認",IF($AC22=0,"不支給","未処理")))))</f>
        <v/>
      </c>
      <c r="AE22" s="12" t="n"/>
      <c r="AF22" s="11" t="n"/>
      <c r="AG22" s="11" t="n"/>
      <c r="AH22" s="11" t="n"/>
      <c r="AI22" s="14">
        <f>IF(AND($AD22="保留中",$AF22&lt;&gt;""),TODAY()-$AF22,"")</f>
        <v/>
      </c>
      <c r="AJ22" s="12" t="inlineStr">
        <is>
          <t>R8.9</t>
        </is>
      </c>
      <c r="AK22" s="14">
        <f>IF($B22="","",IF($AO22="","対象年月が未入力／","")&amp;IF($B22="","",IF($AN22="","職員マスタに未登録の職員番号／",IF($Y22="","標準報酬月額が未登録／","")&amp;IF(AND($AO22&lt;&gt;"",OR(AND(INDEX(職員マスタ!$G$6:$G$405,$AN22)&lt;&gt;"",INDEX(職員マスタ!$G$6:$G$405,$AN22)&gt;EOMONTH($AO22,0)),AND(INDEX(職員マスタ!$H$6:$H$405,$AN22)&lt;&gt;"",INDEX(職員マスタ!$H$6:$H$405,$AN22)&lt;$AO22))),"対象月が時短期間外／","")&amp;IF(AND(INDEX(職員マスタ!$F$6:$F$405,$AN22)&lt;&gt;"",$AO22&lt;&gt;"",INDEX(職員マスタ!$F$6:$F$405,$AN22)&lt;$AO22),"対象月に子が2歳到達済／","")&amp;IF(AND($H22&lt;&gt;"",INDEX(職員マスタ!$B$6:$B$405,$AN22)&lt;&gt;"",SUBSTITUTE(SUBSTITUTE($H22," ","")," ","")&lt;&gt;SUBSTITUTE(SUBSTITUTE(INDEX(職員マスタ!$B$6:$B$405,$AN22)," ","")," ","")),"氏名がマスタと相違／","")&amp;IF(AND($Q22&lt;&gt;"",INDEX(職員マスタ!$E$6:$E$405,$AN22)&lt;&gt;"",$Q22&lt;&gt;INDEX(職員マスタ!$E$6:$E$405,$AN22)),"子の生年月日がマスタと相違／","")&amp;IF(AND($L22&lt;&gt;"",INDEX(職員マスタ!$G$6:$G$405,$AN22)&lt;&gt;"",$L22&lt;&gt;INDEX(職員マスタ!$G$6:$G$405,$AN22)),"時短開始日がマスタと相違／","")&amp;IF(AND($M22&lt;&gt;"",INDEX(職員マスタ!$H$6:$H$405,$AN22)&lt;&gt;"",$M22&lt;&gt;INDEX(職員マスタ!$H$6:$H$405,$AN22)),"時短終了日がマスタと相違／","")))&amp;IF(AND($B22&lt;&gt;"",$E22=""),"報酬額が未入力／","")&amp;IF(N($U22)&gt;0,"申請書に入力エラーが残っています／","")&amp;IF(AND($B22&lt;&gt;"",$AO22&lt;&gt;""),IF(COUNTIFS($B$6:$B$3005,$B22,$C$6:$C$3005,$C22,$D$6:$D$3005,$D22)&gt;1,"同じ月の請求が重複しています／",""),"")&amp;IF(AND(N($E22)&gt;0,$Z22&lt;&gt;"",$Z22&lt;&gt;"×",$AC22=0,$AB22=""),"計算額が下限以下のため不支給／",""))</f>
        <v/>
      </c>
      <c r="AL22" s="12" t="n"/>
      <c r="AM22" s="14">
        <f>IF($AD22="保留中",COUNTIF($AD$6:$AD22,"保留中"),"")</f>
        <v/>
      </c>
      <c r="AN22" s="14">
        <f>IF($AO22="","",IF(SUMPRODUCT(MAX((職員マスタ!$A$6:$A$405=$B22)*(((職員マスタ!$G$6:$G$405="")+(職員マスタ!$G$6:$G$405&lt;=EOMONTH($AO22,0)))&gt;0)*(((職員マスタ!$H$6:$H$405="")+(職員マスタ!$H$6:$H$405&gt;=$AO22))&gt;0)*(ROW(職員マスタ!$A$6:$A$405)-5)))&gt;0,SUMPRODUCT(MAX((職員マスタ!$A$6:$A$405=$B22)*(((職員マスタ!$G$6:$G$405="")+(職員マスタ!$G$6:$G$405&lt;=EOMONTH($AO22,0)))&gt;0)*(((職員マスタ!$H$6:$H$405="")+(職員マスタ!$H$6:$H$405&gt;=$AO22))&gt;0)*(ROW(職員マスタ!$A$6:$A$405)-5))),IFERROR(MATCH($B22,職員マスタ!$A$6:$A$405,0),"")))</f>
        <v/>
      </c>
      <c r="AO22" s="16">
        <f>IF(OR($B22="",$C22="",$D22=""),"",DATE($C22+2018,$D22,1))</f>
        <v/>
      </c>
    </row>
    <row r="23">
      <c r="A23" s="11" t="n"/>
      <c r="B23" s="12" t="n">
        <v>6400857</v>
      </c>
      <c r="C23" s="12" t="n">
        <v>8</v>
      </c>
      <c r="D23" s="12" t="n">
        <v>4</v>
      </c>
      <c r="E23" s="13" t="n">
        <v>239718</v>
      </c>
      <c r="F23" s="12" t="n"/>
      <c r="G23" s="13" t="n"/>
      <c r="H23" s="12" t="n"/>
      <c r="I23" s="12" t="n"/>
      <c r="J23" s="12" t="n"/>
      <c r="K23" s="12" t="n"/>
      <c r="L23" s="11" t="n"/>
      <c r="M23" s="11" t="n"/>
      <c r="N23" s="11" t="n"/>
      <c r="O23" s="11" t="n"/>
      <c r="P23" s="12" t="n"/>
      <c r="Q23" s="11" t="n"/>
      <c r="R23" s="12" t="n"/>
      <c r="S23" s="11" t="n"/>
      <c r="T23" s="12" t="n"/>
      <c r="U23" s="12" t="n"/>
      <c r="V23" s="14">
        <f>IF($AN23="",IF($B23="","",$H23),IF(INDEX(職員マスタ!$B$6:$B$405,$AN23)="",$H23,INDEX(職員マスタ!$B$6:$B$405,$AN23)))</f>
        <v/>
      </c>
      <c r="W23" s="14">
        <f>IF($AN23="",IF($B23="","",$R23),IF(INDEX(職員マスタ!$C$6:$C$405,$AN23)="",$R23,INDEX(職員マスタ!$C$6:$C$405,$AN23)))</f>
        <v/>
      </c>
      <c r="X23" s="14">
        <f>IF($AO23="","","R"&amp;$C23&amp;"."&amp;$D23)</f>
        <v/>
      </c>
      <c r="Y23" s="15">
        <f>IF($AN23="","",IF(INDEX(職員マスタ!$K$6:$K$405,$AN23)="","",INDEX(職員マスタ!$K$6:$K$405,$AN23)))</f>
        <v/>
      </c>
      <c r="Z23" s="14">
        <f>IF(OR($E23="",$Y23=""),"",IF($E23&gt;=$Y23,"×",IF($E23&gt;=$Y23*設定!$C$5,"△","○")))</f>
        <v/>
      </c>
      <c r="AA23" s="15">
        <f>IF($Z23="","",IF($Z23="×",0,IF($Z23="○",ROUNDDOWN($E23*設定!$C$4,0),ROUNDDOWN($E23*ROUND((9*$Y23-9*$E23)/(10*$E23),4),0))))</f>
        <v/>
      </c>
      <c r="AB23" s="13" t="n"/>
      <c r="AC23" s="15">
        <f>IF($B23="","",IF($AB23&lt;&gt;"",$AB23,IF($AA23="","",IF($AA23&lt;=設定!$C$3,0,$AA23))))</f>
        <v/>
      </c>
      <c r="AD23" s="14">
        <f>IF($B23="","",IF(AND($AE23&lt;&gt;"",$AG23="",$AJ23=""),"保留中",IF($AJ23&lt;&gt;"",IF(N($AC23)&gt;0,"支給済","不支給"),IF($AC23="","要確認",IF($AC23=0,"不支給","未処理")))))</f>
        <v/>
      </c>
      <c r="AE23" s="12" t="n"/>
      <c r="AF23" s="11" t="n"/>
      <c r="AG23" s="11" t="n"/>
      <c r="AH23" s="11" t="n"/>
      <c r="AI23" s="14">
        <f>IF(AND($AD23="保留中",$AF23&lt;&gt;""),TODAY()-$AF23,"")</f>
        <v/>
      </c>
      <c r="AJ23" s="12" t="inlineStr">
        <is>
          <t>R8.6</t>
        </is>
      </c>
      <c r="AK23" s="14">
        <f>IF($B23="","",IF($AO23="","対象年月が未入力／","")&amp;IF($B23="","",IF($AN23="","職員マスタに未登録の職員番号／",IF($Y23="","標準報酬月額が未登録／","")&amp;IF(AND($AO23&lt;&gt;"",OR(AND(INDEX(職員マスタ!$G$6:$G$405,$AN23)&lt;&gt;"",INDEX(職員マスタ!$G$6:$G$405,$AN23)&gt;EOMONTH($AO23,0)),AND(INDEX(職員マスタ!$H$6:$H$405,$AN23)&lt;&gt;"",INDEX(職員マスタ!$H$6:$H$405,$AN23)&lt;$AO23))),"対象月が時短期間外／","")&amp;IF(AND(INDEX(職員マスタ!$F$6:$F$405,$AN23)&lt;&gt;"",$AO23&lt;&gt;"",INDEX(職員マスタ!$F$6:$F$405,$AN23)&lt;$AO23),"対象月に子が2歳到達済／","")&amp;IF(AND($H23&lt;&gt;"",INDEX(職員マスタ!$B$6:$B$405,$AN23)&lt;&gt;"",SUBSTITUTE(SUBSTITUTE($H23," ","")," ","")&lt;&gt;SUBSTITUTE(SUBSTITUTE(INDEX(職員マスタ!$B$6:$B$405,$AN23)," ","")," ","")),"氏名がマスタと相違／","")&amp;IF(AND($Q23&lt;&gt;"",INDEX(職員マスタ!$E$6:$E$405,$AN23)&lt;&gt;"",$Q23&lt;&gt;INDEX(職員マスタ!$E$6:$E$405,$AN23)),"子の生年月日がマスタと相違／","")&amp;IF(AND($L23&lt;&gt;"",INDEX(職員マスタ!$G$6:$G$405,$AN23)&lt;&gt;"",$L23&lt;&gt;INDEX(職員マスタ!$G$6:$G$405,$AN23)),"時短開始日がマスタと相違／","")&amp;IF(AND($M23&lt;&gt;"",INDEX(職員マスタ!$H$6:$H$405,$AN23)&lt;&gt;"",$M23&lt;&gt;INDEX(職員マスタ!$H$6:$H$405,$AN23)),"時短終了日がマスタと相違／","")))&amp;IF(AND($B23&lt;&gt;"",$E23=""),"報酬額が未入力／","")&amp;IF(N($U23)&gt;0,"申請書に入力エラーが残っています／","")&amp;IF(AND($B23&lt;&gt;"",$AO23&lt;&gt;""),IF(COUNTIFS($B$6:$B$3005,$B23,$C$6:$C$3005,$C23,$D$6:$D$3005,$D23)&gt;1,"同じ月の請求が重複しています／",""),"")&amp;IF(AND(N($E23)&gt;0,$Z23&lt;&gt;"",$Z23&lt;&gt;"×",$AC23=0,$AB23=""),"計算額が下限以下のため不支給／",""))</f>
        <v/>
      </c>
      <c r="AL23" s="12" t="n"/>
      <c r="AM23" s="14">
        <f>IF($AD23="保留中",COUNTIF($AD$6:$AD23,"保留中"),"")</f>
        <v/>
      </c>
      <c r="AN23" s="14">
        <f>IF($AO23="","",IF(SUMPRODUCT(MAX((職員マスタ!$A$6:$A$405=$B23)*(((職員マスタ!$G$6:$G$405="")+(職員マスタ!$G$6:$G$405&lt;=EOMONTH($AO23,0)))&gt;0)*(((職員マスタ!$H$6:$H$405="")+(職員マスタ!$H$6:$H$405&gt;=$AO23))&gt;0)*(ROW(職員マスタ!$A$6:$A$405)-5)))&gt;0,SUMPRODUCT(MAX((職員マスタ!$A$6:$A$405=$B23)*(((職員マスタ!$G$6:$G$405="")+(職員マスタ!$G$6:$G$405&lt;=EOMONTH($AO23,0)))&gt;0)*(((職員マスタ!$H$6:$H$405="")+(職員マスタ!$H$6:$H$405&gt;=$AO23))&gt;0)*(ROW(職員マスタ!$A$6:$A$405)-5))),IFERROR(MATCH($B23,職員マスタ!$A$6:$A$405,0),"")))</f>
        <v/>
      </c>
      <c r="AO23" s="16">
        <f>IF(OR($B23="",$C23="",$D23=""),"",DATE($C23+2018,$D23,1))</f>
        <v/>
      </c>
    </row>
    <row r="24">
      <c r="A24" s="11" t="n"/>
      <c r="B24" s="12" t="n">
        <v>6400857</v>
      </c>
      <c r="C24" s="12" t="n">
        <v>8</v>
      </c>
      <c r="D24" s="12" t="n">
        <v>5</v>
      </c>
      <c r="E24" s="13" t="n">
        <v>260051</v>
      </c>
      <c r="F24" s="12" t="n"/>
      <c r="G24" s="13" t="n"/>
      <c r="H24" s="12" t="n"/>
      <c r="I24" s="12" t="n"/>
      <c r="J24" s="12" t="n"/>
      <c r="K24" s="12" t="n"/>
      <c r="L24" s="11" t="n"/>
      <c r="M24" s="11" t="n"/>
      <c r="N24" s="11" t="n"/>
      <c r="O24" s="11" t="n"/>
      <c r="P24" s="12" t="n"/>
      <c r="Q24" s="11" t="n"/>
      <c r="R24" s="12" t="n"/>
      <c r="S24" s="11" t="n"/>
      <c r="T24" s="12" t="n"/>
      <c r="U24" s="12" t="n"/>
      <c r="V24" s="14">
        <f>IF($AN24="",IF($B24="","",$H24),IF(INDEX(職員マスタ!$B$6:$B$405,$AN24)="",$H24,INDEX(職員マスタ!$B$6:$B$405,$AN24)))</f>
        <v/>
      </c>
      <c r="W24" s="14">
        <f>IF($AN24="",IF($B24="","",$R24),IF(INDEX(職員マスタ!$C$6:$C$405,$AN24)="",$R24,INDEX(職員マスタ!$C$6:$C$405,$AN24)))</f>
        <v/>
      </c>
      <c r="X24" s="14">
        <f>IF($AO24="","","R"&amp;$C24&amp;"."&amp;$D24)</f>
        <v/>
      </c>
      <c r="Y24" s="15">
        <f>IF($AN24="","",IF(INDEX(職員マスタ!$K$6:$K$405,$AN24)="","",INDEX(職員マスタ!$K$6:$K$405,$AN24)))</f>
        <v/>
      </c>
      <c r="Z24" s="14">
        <f>IF(OR($E24="",$Y24=""),"",IF($E24&gt;=$Y24,"×",IF($E24&gt;=$Y24*設定!$C$5,"△","○")))</f>
        <v/>
      </c>
      <c r="AA24" s="15">
        <f>IF($Z24="","",IF($Z24="×",0,IF($Z24="○",ROUNDDOWN($E24*設定!$C$4,0),ROUNDDOWN($E24*ROUND((9*$Y24-9*$E24)/(10*$E24),4),0))))</f>
        <v/>
      </c>
      <c r="AB24" s="13" t="n"/>
      <c r="AC24" s="15">
        <f>IF($B24="","",IF($AB24&lt;&gt;"",$AB24,IF($AA24="","",IF($AA24&lt;=設定!$C$3,0,$AA24))))</f>
        <v/>
      </c>
      <c r="AD24" s="14">
        <f>IF($B24="","",IF(AND($AE24&lt;&gt;"",$AG24="",$AJ24=""),"保留中",IF($AJ24&lt;&gt;"",IF(N($AC24)&gt;0,"支給済","不支給"),IF($AC24="","要確認",IF($AC24=0,"不支給","未処理")))))</f>
        <v/>
      </c>
      <c r="AE24" s="12" t="n"/>
      <c r="AF24" s="11" t="n"/>
      <c r="AG24" s="11" t="n"/>
      <c r="AH24" s="11" t="n"/>
      <c r="AI24" s="14">
        <f>IF(AND($AD24="保留中",$AF24&lt;&gt;""),TODAY()-$AF24,"")</f>
        <v/>
      </c>
      <c r="AJ24" s="12" t="inlineStr">
        <is>
          <t>R8.7</t>
        </is>
      </c>
      <c r="AK24" s="14">
        <f>IF($B24="","",IF($AO24="","対象年月が未入力／","")&amp;IF($B24="","",IF($AN24="","職員マスタに未登録の職員番号／",IF($Y24="","標準報酬月額が未登録／","")&amp;IF(AND($AO24&lt;&gt;"",OR(AND(INDEX(職員マスタ!$G$6:$G$405,$AN24)&lt;&gt;"",INDEX(職員マスタ!$G$6:$G$405,$AN24)&gt;EOMONTH($AO24,0)),AND(INDEX(職員マスタ!$H$6:$H$405,$AN24)&lt;&gt;"",INDEX(職員マスタ!$H$6:$H$405,$AN24)&lt;$AO24))),"対象月が時短期間外／","")&amp;IF(AND(INDEX(職員マスタ!$F$6:$F$405,$AN24)&lt;&gt;"",$AO24&lt;&gt;"",INDEX(職員マスタ!$F$6:$F$405,$AN24)&lt;$AO24),"対象月に子が2歳到達済／","")&amp;IF(AND($H24&lt;&gt;"",INDEX(職員マスタ!$B$6:$B$405,$AN24)&lt;&gt;"",SUBSTITUTE(SUBSTITUTE($H24," ","")," ","")&lt;&gt;SUBSTITUTE(SUBSTITUTE(INDEX(職員マスタ!$B$6:$B$405,$AN24)," ","")," ","")),"氏名がマスタと相違／","")&amp;IF(AND($Q24&lt;&gt;"",INDEX(職員マスタ!$E$6:$E$405,$AN24)&lt;&gt;"",$Q24&lt;&gt;INDEX(職員マスタ!$E$6:$E$405,$AN24)),"子の生年月日がマスタと相違／","")&amp;IF(AND($L24&lt;&gt;"",INDEX(職員マスタ!$G$6:$G$405,$AN24)&lt;&gt;"",$L24&lt;&gt;INDEX(職員マスタ!$G$6:$G$405,$AN24)),"時短開始日がマスタと相違／","")&amp;IF(AND($M24&lt;&gt;"",INDEX(職員マスタ!$H$6:$H$405,$AN24)&lt;&gt;"",$M24&lt;&gt;INDEX(職員マスタ!$H$6:$H$405,$AN24)),"時短終了日がマスタと相違／","")))&amp;IF(AND($B24&lt;&gt;"",$E24=""),"報酬額が未入力／","")&amp;IF(N($U24)&gt;0,"申請書に入力エラーが残っています／","")&amp;IF(AND($B24&lt;&gt;"",$AO24&lt;&gt;""),IF(COUNTIFS($B$6:$B$3005,$B24,$C$6:$C$3005,$C24,$D$6:$D$3005,$D24)&gt;1,"同じ月の請求が重複しています／",""),"")&amp;IF(AND(N($E24)&gt;0,$Z24&lt;&gt;"",$Z24&lt;&gt;"×",$AC24=0,$AB24=""),"計算額が下限以下のため不支給／",""))</f>
        <v/>
      </c>
      <c r="AL24" s="12" t="n"/>
      <c r="AM24" s="14">
        <f>IF($AD24="保留中",COUNTIF($AD$6:$AD24,"保留中"),"")</f>
        <v/>
      </c>
      <c r="AN24" s="14">
        <f>IF($AO24="","",IF(SUMPRODUCT(MAX((職員マスタ!$A$6:$A$405=$B24)*(((職員マスタ!$G$6:$G$405="")+(職員マスタ!$G$6:$G$405&lt;=EOMONTH($AO24,0)))&gt;0)*(((職員マスタ!$H$6:$H$405="")+(職員マスタ!$H$6:$H$405&gt;=$AO24))&gt;0)*(ROW(職員マスタ!$A$6:$A$405)-5)))&gt;0,SUMPRODUCT(MAX((職員マスタ!$A$6:$A$405=$B24)*(((職員マスタ!$G$6:$G$405="")+(職員マスタ!$G$6:$G$405&lt;=EOMONTH($AO24,0)))&gt;0)*(((職員マスタ!$H$6:$H$405="")+(職員マスタ!$H$6:$H$405&gt;=$AO24))&gt;0)*(ROW(職員マスタ!$A$6:$A$405)-5))),IFERROR(MATCH($B24,職員マスタ!$A$6:$A$405,0),"")))</f>
        <v/>
      </c>
      <c r="AO24" s="16">
        <f>IF(OR($B24="",$C24="",$D24=""),"",DATE($C24+2018,$D24,1))</f>
        <v/>
      </c>
    </row>
    <row r="25">
      <c r="A25" s="11" t="n"/>
      <c r="B25" s="12" t="n">
        <v>6400857</v>
      </c>
      <c r="C25" s="12" t="n">
        <v>8</v>
      </c>
      <c r="D25" s="12" t="n">
        <v>6</v>
      </c>
      <c r="E25" s="13" t="n">
        <v>254399</v>
      </c>
      <c r="F25" s="12" t="n"/>
      <c r="G25" s="13" t="n"/>
      <c r="H25" s="12" t="n"/>
      <c r="I25" s="12" t="n"/>
      <c r="J25" s="12" t="n"/>
      <c r="K25" s="12" t="n"/>
      <c r="L25" s="11" t="n"/>
      <c r="M25" s="11" t="n"/>
      <c r="N25" s="11" t="n"/>
      <c r="O25" s="11" t="n"/>
      <c r="P25" s="12" t="n"/>
      <c r="Q25" s="11" t="n"/>
      <c r="R25" s="12" t="n"/>
      <c r="S25" s="11" t="n"/>
      <c r="T25" s="12" t="n"/>
      <c r="U25" s="12" t="n"/>
      <c r="V25" s="14">
        <f>IF($AN25="",IF($B25="","",$H25),IF(INDEX(職員マスタ!$B$6:$B$405,$AN25)="",$H25,INDEX(職員マスタ!$B$6:$B$405,$AN25)))</f>
        <v/>
      </c>
      <c r="W25" s="14">
        <f>IF($AN25="",IF($B25="","",$R25),IF(INDEX(職員マスタ!$C$6:$C$405,$AN25)="",$R25,INDEX(職員マスタ!$C$6:$C$405,$AN25)))</f>
        <v/>
      </c>
      <c r="X25" s="14">
        <f>IF($AO25="","","R"&amp;$C25&amp;"."&amp;$D25)</f>
        <v/>
      </c>
      <c r="Y25" s="15">
        <f>IF($AN25="","",IF(INDEX(職員マスタ!$K$6:$K$405,$AN25)="","",INDEX(職員マスタ!$K$6:$K$405,$AN25)))</f>
        <v/>
      </c>
      <c r="Z25" s="14">
        <f>IF(OR($E25="",$Y25=""),"",IF($E25&gt;=$Y25,"×",IF($E25&gt;=$Y25*設定!$C$5,"△","○")))</f>
        <v/>
      </c>
      <c r="AA25" s="15">
        <f>IF($Z25="","",IF($Z25="×",0,IF($Z25="○",ROUNDDOWN($E25*設定!$C$4,0),ROUNDDOWN($E25*ROUND((9*$Y25-9*$E25)/(10*$E25),4),0))))</f>
        <v/>
      </c>
      <c r="AB25" s="13" t="n"/>
      <c r="AC25" s="15">
        <f>IF($B25="","",IF($AB25&lt;&gt;"",$AB25,IF($AA25="","",IF($AA25&lt;=設定!$C$3,0,$AA25))))</f>
        <v/>
      </c>
      <c r="AD25" s="14">
        <f>IF($B25="","",IF(AND($AE25&lt;&gt;"",$AG25="",$AJ25=""),"保留中",IF($AJ25&lt;&gt;"",IF(N($AC25)&gt;0,"支給済","不支給"),IF($AC25="","要確認",IF($AC25=0,"不支給","未処理")))))</f>
        <v/>
      </c>
      <c r="AE25" s="12" t="n"/>
      <c r="AF25" s="11" t="n"/>
      <c r="AG25" s="11" t="n"/>
      <c r="AH25" s="11" t="n"/>
      <c r="AI25" s="14">
        <f>IF(AND($AD25="保留中",$AF25&lt;&gt;""),TODAY()-$AF25,"")</f>
        <v/>
      </c>
      <c r="AJ25" s="12" t="inlineStr">
        <is>
          <t>R8.8</t>
        </is>
      </c>
      <c r="AK25" s="14">
        <f>IF($B25="","",IF($AO25="","対象年月が未入力／","")&amp;IF($B25="","",IF($AN25="","職員マスタに未登録の職員番号／",IF($Y25="","標準報酬月額が未登録／","")&amp;IF(AND($AO25&lt;&gt;"",OR(AND(INDEX(職員マスタ!$G$6:$G$405,$AN25)&lt;&gt;"",INDEX(職員マスタ!$G$6:$G$405,$AN25)&gt;EOMONTH($AO25,0)),AND(INDEX(職員マスタ!$H$6:$H$405,$AN25)&lt;&gt;"",INDEX(職員マスタ!$H$6:$H$405,$AN25)&lt;$AO25))),"対象月が時短期間外／","")&amp;IF(AND(INDEX(職員マスタ!$F$6:$F$405,$AN25)&lt;&gt;"",$AO25&lt;&gt;"",INDEX(職員マスタ!$F$6:$F$405,$AN25)&lt;$AO25),"対象月に子が2歳到達済／","")&amp;IF(AND($H25&lt;&gt;"",INDEX(職員マスタ!$B$6:$B$405,$AN25)&lt;&gt;"",SUBSTITUTE(SUBSTITUTE($H25," ","")," ","")&lt;&gt;SUBSTITUTE(SUBSTITUTE(INDEX(職員マスタ!$B$6:$B$405,$AN25)," ","")," ","")),"氏名がマスタと相違／","")&amp;IF(AND($Q25&lt;&gt;"",INDEX(職員マスタ!$E$6:$E$405,$AN25)&lt;&gt;"",$Q25&lt;&gt;INDEX(職員マスタ!$E$6:$E$405,$AN25)),"子の生年月日がマスタと相違／","")&amp;IF(AND($L25&lt;&gt;"",INDEX(職員マスタ!$G$6:$G$405,$AN25)&lt;&gt;"",$L25&lt;&gt;INDEX(職員マスタ!$G$6:$G$405,$AN25)),"時短開始日がマスタと相違／","")&amp;IF(AND($M25&lt;&gt;"",INDEX(職員マスタ!$H$6:$H$405,$AN25)&lt;&gt;"",$M25&lt;&gt;INDEX(職員マスタ!$H$6:$H$405,$AN25)),"時短終了日がマスタと相違／","")))&amp;IF(AND($B25&lt;&gt;"",$E25=""),"報酬額が未入力／","")&amp;IF(N($U25)&gt;0,"申請書に入力エラーが残っています／","")&amp;IF(AND($B25&lt;&gt;"",$AO25&lt;&gt;""),IF(COUNTIFS($B$6:$B$3005,$B25,$C$6:$C$3005,$C25,$D$6:$D$3005,$D25)&gt;1,"同じ月の請求が重複しています／",""),"")&amp;IF(AND(N($E25)&gt;0,$Z25&lt;&gt;"",$Z25&lt;&gt;"×",$AC25=0,$AB25=""),"計算額が下限以下のため不支給／",""))</f>
        <v/>
      </c>
      <c r="AL25" s="12" t="n"/>
      <c r="AM25" s="14">
        <f>IF($AD25="保留中",COUNTIF($AD$6:$AD25,"保留中"),"")</f>
        <v/>
      </c>
      <c r="AN25" s="14">
        <f>IF($AO25="","",IF(SUMPRODUCT(MAX((職員マスタ!$A$6:$A$405=$B25)*(((職員マスタ!$G$6:$G$405="")+(職員マスタ!$G$6:$G$405&lt;=EOMONTH($AO25,0)))&gt;0)*(((職員マスタ!$H$6:$H$405="")+(職員マスタ!$H$6:$H$405&gt;=$AO25))&gt;0)*(ROW(職員マスタ!$A$6:$A$405)-5)))&gt;0,SUMPRODUCT(MAX((職員マスタ!$A$6:$A$405=$B25)*(((職員マスタ!$G$6:$G$405="")+(職員マスタ!$G$6:$G$405&lt;=EOMONTH($AO25,0)))&gt;0)*(((職員マスタ!$H$6:$H$405="")+(職員マスタ!$H$6:$H$405&gt;=$AO25))&gt;0)*(ROW(職員マスタ!$A$6:$A$405)-5))),IFERROR(MATCH($B25,職員マスタ!$A$6:$A$405,0),"")))</f>
        <v/>
      </c>
      <c r="AO25" s="16">
        <f>IF(OR($B25="",$C25="",$D25=""),"",DATE($C25+2018,$D25,1))</f>
        <v/>
      </c>
    </row>
    <row r="26">
      <c r="A26" s="11" t="n"/>
      <c r="B26" s="12" t="n">
        <v>6400857</v>
      </c>
      <c r="C26" s="12" t="n">
        <v>8</v>
      </c>
      <c r="D26" s="12" t="n">
        <v>7</v>
      </c>
      <c r="E26" s="13" t="n">
        <v>240269</v>
      </c>
      <c r="F26" s="12" t="n"/>
      <c r="G26" s="13" t="n"/>
      <c r="H26" s="12" t="n"/>
      <c r="I26" s="12" t="n"/>
      <c r="J26" s="12" t="n"/>
      <c r="K26" s="12" t="n"/>
      <c r="L26" s="11" t="n"/>
      <c r="M26" s="11" t="n"/>
      <c r="N26" s="11" t="n"/>
      <c r="O26" s="11" t="n"/>
      <c r="P26" s="12" t="n"/>
      <c r="Q26" s="11" t="n"/>
      <c r="R26" s="12" t="n"/>
      <c r="S26" s="11" t="n"/>
      <c r="T26" s="12" t="n"/>
      <c r="U26" s="12" t="n"/>
      <c r="V26" s="14">
        <f>IF($AN26="",IF($B26="","",$H26),IF(INDEX(職員マスタ!$B$6:$B$405,$AN26)="",$H26,INDEX(職員マスタ!$B$6:$B$405,$AN26)))</f>
        <v/>
      </c>
      <c r="W26" s="14">
        <f>IF($AN26="",IF($B26="","",$R26),IF(INDEX(職員マスタ!$C$6:$C$405,$AN26)="",$R26,INDEX(職員マスタ!$C$6:$C$405,$AN26)))</f>
        <v/>
      </c>
      <c r="X26" s="14">
        <f>IF($AO26="","","R"&amp;$C26&amp;"."&amp;$D26)</f>
        <v/>
      </c>
      <c r="Y26" s="15">
        <f>IF($AN26="","",IF(INDEX(職員マスタ!$K$6:$K$405,$AN26)="","",INDEX(職員マスタ!$K$6:$K$405,$AN26)))</f>
        <v/>
      </c>
      <c r="Z26" s="14">
        <f>IF(OR($E26="",$Y26=""),"",IF($E26&gt;=$Y26,"×",IF($E26&gt;=$Y26*設定!$C$5,"△","○")))</f>
        <v/>
      </c>
      <c r="AA26" s="15">
        <f>IF($Z26="","",IF($Z26="×",0,IF($Z26="○",ROUNDDOWN($E26*設定!$C$4,0),ROUNDDOWN($E26*ROUND((9*$Y26-9*$E26)/(10*$E26),4),0))))</f>
        <v/>
      </c>
      <c r="AB26" s="13" t="n"/>
      <c r="AC26" s="15">
        <f>IF($B26="","",IF($AB26&lt;&gt;"",$AB26,IF($AA26="","",IF($AA26&lt;=設定!$C$3,0,$AA26))))</f>
        <v/>
      </c>
      <c r="AD26" s="14">
        <f>IF($B26="","",IF(AND($AE26&lt;&gt;"",$AG26="",$AJ26=""),"保留中",IF($AJ26&lt;&gt;"",IF(N($AC26)&gt;0,"支給済","不支給"),IF($AC26="","要確認",IF($AC26=0,"不支給","未処理")))))</f>
        <v/>
      </c>
      <c r="AE26" s="12" t="n"/>
      <c r="AF26" s="11" t="n"/>
      <c r="AG26" s="11" t="n"/>
      <c r="AH26" s="11" t="n"/>
      <c r="AI26" s="14">
        <f>IF(AND($AD26="保留中",$AF26&lt;&gt;""),TODAY()-$AF26,"")</f>
        <v/>
      </c>
      <c r="AJ26" s="12" t="inlineStr">
        <is>
          <t>R8.9</t>
        </is>
      </c>
      <c r="AK26" s="14">
        <f>IF($B26="","",IF($AO26="","対象年月が未入力／","")&amp;IF($B26="","",IF($AN26="","職員マスタに未登録の職員番号／",IF($Y26="","標準報酬月額が未登録／","")&amp;IF(AND($AO26&lt;&gt;"",OR(AND(INDEX(職員マスタ!$G$6:$G$405,$AN26)&lt;&gt;"",INDEX(職員マスタ!$G$6:$G$405,$AN26)&gt;EOMONTH($AO26,0)),AND(INDEX(職員マスタ!$H$6:$H$405,$AN26)&lt;&gt;"",INDEX(職員マスタ!$H$6:$H$405,$AN26)&lt;$AO26))),"対象月が時短期間外／","")&amp;IF(AND(INDEX(職員マスタ!$F$6:$F$405,$AN26)&lt;&gt;"",$AO26&lt;&gt;"",INDEX(職員マスタ!$F$6:$F$405,$AN26)&lt;$AO26),"対象月に子が2歳到達済／","")&amp;IF(AND($H26&lt;&gt;"",INDEX(職員マスタ!$B$6:$B$405,$AN26)&lt;&gt;"",SUBSTITUTE(SUBSTITUTE($H26," ","")," ","")&lt;&gt;SUBSTITUTE(SUBSTITUTE(INDEX(職員マスタ!$B$6:$B$405,$AN26)," ","")," ","")),"氏名がマスタと相違／","")&amp;IF(AND($Q26&lt;&gt;"",INDEX(職員マスタ!$E$6:$E$405,$AN26)&lt;&gt;"",$Q26&lt;&gt;INDEX(職員マスタ!$E$6:$E$405,$AN26)),"子の生年月日がマスタと相違／","")&amp;IF(AND($L26&lt;&gt;"",INDEX(職員マスタ!$G$6:$G$405,$AN26)&lt;&gt;"",$L26&lt;&gt;INDEX(職員マスタ!$G$6:$G$405,$AN26)),"時短開始日がマスタと相違／","")&amp;IF(AND($M26&lt;&gt;"",INDEX(職員マスタ!$H$6:$H$405,$AN26)&lt;&gt;"",$M26&lt;&gt;INDEX(職員マスタ!$H$6:$H$405,$AN26)),"時短終了日がマスタと相違／","")))&amp;IF(AND($B26&lt;&gt;"",$E26=""),"報酬額が未入力／","")&amp;IF(N($U26)&gt;0,"申請書に入力エラーが残っています／","")&amp;IF(AND($B26&lt;&gt;"",$AO26&lt;&gt;""),IF(COUNTIFS($B$6:$B$3005,$B26,$C$6:$C$3005,$C26,$D$6:$D$3005,$D26)&gt;1,"同じ月の請求が重複しています／",""),"")&amp;IF(AND(N($E26)&gt;0,$Z26&lt;&gt;"",$Z26&lt;&gt;"×",$AC26=0,$AB26=""),"計算額が下限以下のため不支給／",""))</f>
        <v/>
      </c>
      <c r="AL26" s="12" t="n"/>
      <c r="AM26" s="14">
        <f>IF($AD26="保留中",COUNTIF($AD$6:$AD26,"保留中"),"")</f>
        <v/>
      </c>
      <c r="AN26" s="14">
        <f>IF($AO26="","",IF(SUMPRODUCT(MAX((職員マスタ!$A$6:$A$405=$B26)*(((職員マスタ!$G$6:$G$405="")+(職員マスタ!$G$6:$G$405&lt;=EOMONTH($AO26,0)))&gt;0)*(((職員マスタ!$H$6:$H$405="")+(職員マスタ!$H$6:$H$405&gt;=$AO26))&gt;0)*(ROW(職員マスタ!$A$6:$A$405)-5)))&gt;0,SUMPRODUCT(MAX((職員マスタ!$A$6:$A$405=$B26)*(((職員マスタ!$G$6:$G$405="")+(職員マスタ!$G$6:$G$405&lt;=EOMONTH($AO26,0)))&gt;0)*(((職員マスタ!$H$6:$H$405="")+(職員マスタ!$H$6:$H$405&gt;=$AO26))&gt;0)*(ROW(職員マスタ!$A$6:$A$405)-5))),IFERROR(MATCH($B26,職員マスタ!$A$6:$A$405,0),"")))</f>
        <v/>
      </c>
      <c r="AO26" s="16">
        <f>IF(OR($B26="",$C26="",$D26=""),"",DATE($C26+2018,$D26,1))</f>
        <v/>
      </c>
    </row>
    <row r="27">
      <c r="A27" s="11" t="n"/>
      <c r="B27" s="12" t="n">
        <v>6400857</v>
      </c>
      <c r="C27" s="12" t="n">
        <v>8</v>
      </c>
      <c r="D27" s="12" t="n">
        <v>8</v>
      </c>
      <c r="E27" s="13" t="n">
        <v>240269</v>
      </c>
      <c r="F27" s="12" t="n"/>
      <c r="G27" s="13" t="n"/>
      <c r="H27" s="12" t="n"/>
      <c r="I27" s="12" t="n"/>
      <c r="J27" s="12" t="n"/>
      <c r="K27" s="12" t="n"/>
      <c r="L27" s="11" t="n"/>
      <c r="M27" s="11" t="n"/>
      <c r="N27" s="11" t="n"/>
      <c r="O27" s="11" t="n"/>
      <c r="P27" s="12" t="n"/>
      <c r="Q27" s="11" t="n"/>
      <c r="R27" s="12" t="n"/>
      <c r="S27" s="11" t="n"/>
      <c r="T27" s="12" t="n"/>
      <c r="U27" s="12" t="n"/>
      <c r="V27" s="14">
        <f>IF($AN27="",IF($B27="","",$H27),IF(INDEX(職員マスタ!$B$6:$B$405,$AN27)="",$H27,INDEX(職員マスタ!$B$6:$B$405,$AN27)))</f>
        <v/>
      </c>
      <c r="W27" s="14">
        <f>IF($AN27="",IF($B27="","",$R27),IF(INDEX(職員マスタ!$C$6:$C$405,$AN27)="",$R27,INDEX(職員マスタ!$C$6:$C$405,$AN27)))</f>
        <v/>
      </c>
      <c r="X27" s="14">
        <f>IF($AO27="","","R"&amp;$C27&amp;"."&amp;$D27)</f>
        <v/>
      </c>
      <c r="Y27" s="15">
        <f>IF($AN27="","",IF(INDEX(職員マスタ!$K$6:$K$405,$AN27)="","",INDEX(職員マスタ!$K$6:$K$405,$AN27)))</f>
        <v/>
      </c>
      <c r="Z27" s="14">
        <f>IF(OR($E27="",$Y27=""),"",IF($E27&gt;=$Y27,"×",IF($E27&gt;=$Y27*設定!$C$5,"△","○")))</f>
        <v/>
      </c>
      <c r="AA27" s="15">
        <f>IF($Z27="","",IF($Z27="×",0,IF($Z27="○",ROUNDDOWN($E27*設定!$C$4,0),ROUNDDOWN($E27*ROUND((9*$Y27-9*$E27)/(10*$E27),4),0))))</f>
        <v/>
      </c>
      <c r="AB27" s="13" t="n"/>
      <c r="AC27" s="15">
        <f>IF($B27="","",IF($AB27&lt;&gt;"",$AB27,IF($AA27="","",IF($AA27&lt;=設定!$C$3,0,$AA27))))</f>
        <v/>
      </c>
      <c r="AD27" s="14">
        <f>IF($B27="","",IF(AND($AE27&lt;&gt;"",$AG27="",$AJ27=""),"保留中",IF($AJ27&lt;&gt;"",IF(N($AC27)&gt;0,"支給済","不支給"),IF($AC27="","要確認",IF($AC27=0,"不支給","未処理")))))</f>
        <v/>
      </c>
      <c r="AE27" s="12" t="n"/>
      <c r="AF27" s="11" t="n"/>
      <c r="AG27" s="11" t="n"/>
      <c r="AH27" s="11" t="n"/>
      <c r="AI27" s="14">
        <f>IF(AND($AD27="保留中",$AF27&lt;&gt;""),TODAY()-$AF27,"")</f>
        <v/>
      </c>
      <c r="AJ27" s="12" t="inlineStr">
        <is>
          <t>R8.10</t>
        </is>
      </c>
      <c r="AK27" s="14">
        <f>IF($B27="","",IF($AO27="","対象年月が未入力／","")&amp;IF($B27="","",IF($AN27="","職員マスタに未登録の職員番号／",IF($Y27="","標準報酬月額が未登録／","")&amp;IF(AND($AO27&lt;&gt;"",OR(AND(INDEX(職員マスタ!$G$6:$G$405,$AN27)&lt;&gt;"",INDEX(職員マスタ!$G$6:$G$405,$AN27)&gt;EOMONTH($AO27,0)),AND(INDEX(職員マスタ!$H$6:$H$405,$AN27)&lt;&gt;"",INDEX(職員マスタ!$H$6:$H$405,$AN27)&lt;$AO27))),"対象月が時短期間外／","")&amp;IF(AND(INDEX(職員マスタ!$F$6:$F$405,$AN27)&lt;&gt;"",$AO27&lt;&gt;"",INDEX(職員マスタ!$F$6:$F$405,$AN27)&lt;$AO27),"対象月に子が2歳到達済／","")&amp;IF(AND($H27&lt;&gt;"",INDEX(職員マスタ!$B$6:$B$405,$AN27)&lt;&gt;"",SUBSTITUTE(SUBSTITUTE($H27," ","")," ","")&lt;&gt;SUBSTITUTE(SUBSTITUTE(INDEX(職員マスタ!$B$6:$B$405,$AN27)," ","")," ","")),"氏名がマスタと相違／","")&amp;IF(AND($Q27&lt;&gt;"",INDEX(職員マスタ!$E$6:$E$405,$AN27)&lt;&gt;"",$Q27&lt;&gt;INDEX(職員マスタ!$E$6:$E$405,$AN27)),"子の生年月日がマスタと相違／","")&amp;IF(AND($L27&lt;&gt;"",INDEX(職員マスタ!$G$6:$G$405,$AN27)&lt;&gt;"",$L27&lt;&gt;INDEX(職員マスタ!$G$6:$G$405,$AN27)),"時短開始日がマスタと相違／","")&amp;IF(AND($M27&lt;&gt;"",INDEX(職員マスタ!$H$6:$H$405,$AN27)&lt;&gt;"",$M27&lt;&gt;INDEX(職員マスタ!$H$6:$H$405,$AN27)),"時短終了日がマスタと相違／","")))&amp;IF(AND($B27&lt;&gt;"",$E27=""),"報酬額が未入力／","")&amp;IF(N($U27)&gt;0,"申請書に入力エラーが残っています／","")&amp;IF(AND($B27&lt;&gt;"",$AO27&lt;&gt;""),IF(COUNTIFS($B$6:$B$3005,$B27,$C$6:$C$3005,$C27,$D$6:$D$3005,$D27)&gt;1,"同じ月の請求が重複しています／",""),"")&amp;IF(AND(N($E27)&gt;0,$Z27&lt;&gt;"",$Z27&lt;&gt;"×",$AC27=0,$AB27=""),"計算額が下限以下のため不支給／",""))</f>
        <v/>
      </c>
      <c r="AL27" s="12" t="n"/>
      <c r="AM27" s="14">
        <f>IF($AD27="保留中",COUNTIF($AD$6:$AD27,"保留中"),"")</f>
        <v/>
      </c>
      <c r="AN27" s="14">
        <f>IF($AO27="","",IF(SUMPRODUCT(MAX((職員マスタ!$A$6:$A$405=$B27)*(((職員マスタ!$G$6:$G$405="")+(職員マスタ!$G$6:$G$405&lt;=EOMONTH($AO27,0)))&gt;0)*(((職員マスタ!$H$6:$H$405="")+(職員マスタ!$H$6:$H$405&gt;=$AO27))&gt;0)*(ROW(職員マスタ!$A$6:$A$405)-5)))&gt;0,SUMPRODUCT(MAX((職員マスタ!$A$6:$A$405=$B27)*(((職員マスタ!$G$6:$G$405="")+(職員マスタ!$G$6:$G$405&lt;=EOMONTH($AO27,0)))&gt;0)*(((職員マスタ!$H$6:$H$405="")+(職員マスタ!$H$6:$H$405&gt;=$AO27))&gt;0)*(ROW(職員マスタ!$A$6:$A$405)-5))),IFERROR(MATCH($B27,職員マスタ!$A$6:$A$405,0),"")))</f>
        <v/>
      </c>
      <c r="AO27" s="16">
        <f>IF(OR($B27="",$C27="",$D27=""),"",DATE($C27+2018,$D27,1))</f>
        <v/>
      </c>
    </row>
    <row r="28">
      <c r="A28" s="11" t="n"/>
      <c r="B28" s="12" t="n">
        <v>6403315</v>
      </c>
      <c r="C28" s="12" t="n">
        <v>8</v>
      </c>
      <c r="D28" s="12" t="n">
        <v>5</v>
      </c>
      <c r="E28" s="13" t="n">
        <v>210833</v>
      </c>
      <c r="F28" s="12" t="n"/>
      <c r="G28" s="13" t="n"/>
      <c r="H28" s="12" t="n"/>
      <c r="I28" s="12" t="n"/>
      <c r="J28" s="12" t="n"/>
      <c r="K28" s="12" t="n"/>
      <c r="L28" s="11" t="n"/>
      <c r="M28" s="11" t="n"/>
      <c r="N28" s="11" t="n"/>
      <c r="O28" s="11" t="n"/>
      <c r="P28" s="12" t="n"/>
      <c r="Q28" s="11" t="n"/>
      <c r="R28" s="12" t="n"/>
      <c r="S28" s="11" t="n"/>
      <c r="T28" s="12" t="n"/>
      <c r="U28" s="12" t="n"/>
      <c r="V28" s="14">
        <f>IF($AN28="",IF($B28="","",$H28),IF(INDEX(職員マスタ!$B$6:$B$405,$AN28)="",$H28,INDEX(職員マスタ!$B$6:$B$405,$AN28)))</f>
        <v/>
      </c>
      <c r="W28" s="14">
        <f>IF($AN28="",IF($B28="","",$R28),IF(INDEX(職員マスタ!$C$6:$C$405,$AN28)="",$R28,INDEX(職員マスタ!$C$6:$C$405,$AN28)))</f>
        <v/>
      </c>
      <c r="X28" s="14">
        <f>IF($AO28="","","R"&amp;$C28&amp;"."&amp;$D28)</f>
        <v/>
      </c>
      <c r="Y28" s="15">
        <f>IF($AN28="","",IF(INDEX(職員マスタ!$K$6:$K$405,$AN28)="","",INDEX(職員マスタ!$K$6:$K$405,$AN28)))</f>
        <v/>
      </c>
      <c r="Z28" s="14">
        <f>IF(OR($E28="",$Y28=""),"",IF($E28&gt;=$Y28,"×",IF($E28&gt;=$Y28*設定!$C$5,"△","○")))</f>
        <v/>
      </c>
      <c r="AA28" s="15">
        <f>IF($Z28="","",IF($Z28="×",0,IF($Z28="○",ROUNDDOWN($E28*設定!$C$4,0),ROUNDDOWN($E28*ROUND((9*$Y28-9*$E28)/(10*$E28),4),0))))</f>
        <v/>
      </c>
      <c r="AB28" s="13" t="n"/>
      <c r="AC28" s="15">
        <f>IF($B28="","",IF($AB28&lt;&gt;"",$AB28,IF($AA28="","",IF($AA28&lt;=設定!$C$3,0,$AA28))))</f>
        <v/>
      </c>
      <c r="AD28" s="14">
        <f>IF($B28="","",IF(AND($AE28&lt;&gt;"",$AG28="",$AJ28=""),"保留中",IF($AJ28&lt;&gt;"",IF(N($AC28)&gt;0,"支給済","不支給"),IF($AC28="","要確認",IF($AC28=0,"不支給","未処理")))))</f>
        <v/>
      </c>
      <c r="AE28" s="12" t="n"/>
      <c r="AF28" s="11" t="n"/>
      <c r="AG28" s="11" t="n"/>
      <c r="AH28" s="11" t="n"/>
      <c r="AI28" s="14">
        <f>IF(AND($AD28="保留中",$AF28&lt;&gt;""),TODAY()-$AF28,"")</f>
        <v/>
      </c>
      <c r="AJ28" s="12" t="inlineStr">
        <is>
          <t>R8.9</t>
        </is>
      </c>
      <c r="AK28" s="14">
        <f>IF($B28="","",IF($AO28="","対象年月が未入力／","")&amp;IF($B28="","",IF($AN28="","職員マスタに未登録の職員番号／",IF($Y28="","標準報酬月額が未登録／","")&amp;IF(AND($AO28&lt;&gt;"",OR(AND(INDEX(職員マスタ!$G$6:$G$405,$AN28)&lt;&gt;"",INDEX(職員マスタ!$G$6:$G$405,$AN28)&gt;EOMONTH($AO28,0)),AND(INDEX(職員マスタ!$H$6:$H$405,$AN28)&lt;&gt;"",INDEX(職員マスタ!$H$6:$H$405,$AN28)&lt;$AO28))),"対象月が時短期間外／","")&amp;IF(AND(INDEX(職員マスタ!$F$6:$F$405,$AN28)&lt;&gt;"",$AO28&lt;&gt;"",INDEX(職員マスタ!$F$6:$F$405,$AN28)&lt;$AO28),"対象月に子が2歳到達済／","")&amp;IF(AND($H28&lt;&gt;"",INDEX(職員マスタ!$B$6:$B$405,$AN28)&lt;&gt;"",SUBSTITUTE(SUBSTITUTE($H28," ","")," ","")&lt;&gt;SUBSTITUTE(SUBSTITUTE(INDEX(職員マスタ!$B$6:$B$405,$AN28)," ","")," ","")),"氏名がマスタと相違／","")&amp;IF(AND($Q28&lt;&gt;"",INDEX(職員マスタ!$E$6:$E$405,$AN28)&lt;&gt;"",$Q28&lt;&gt;INDEX(職員マスタ!$E$6:$E$405,$AN28)),"子の生年月日がマスタと相違／","")&amp;IF(AND($L28&lt;&gt;"",INDEX(職員マスタ!$G$6:$G$405,$AN28)&lt;&gt;"",$L28&lt;&gt;INDEX(職員マスタ!$G$6:$G$405,$AN28)),"時短開始日がマスタと相違／","")&amp;IF(AND($M28&lt;&gt;"",INDEX(職員マスタ!$H$6:$H$405,$AN28)&lt;&gt;"",$M28&lt;&gt;INDEX(職員マスタ!$H$6:$H$405,$AN28)),"時短終了日がマスタと相違／","")))&amp;IF(AND($B28&lt;&gt;"",$E28=""),"報酬額が未入力／","")&amp;IF(N($U28)&gt;0,"申請書に入力エラーが残っています／","")&amp;IF(AND($B28&lt;&gt;"",$AO28&lt;&gt;""),IF(COUNTIFS($B$6:$B$3005,$B28,$C$6:$C$3005,$C28,$D$6:$D$3005,$D28)&gt;1,"同じ月の請求が重複しています／",""),"")&amp;IF(AND(N($E28)&gt;0,$Z28&lt;&gt;"",$Z28&lt;&gt;"×",$AC28=0,$AB28=""),"計算額が下限以下のため不支給／",""))</f>
        <v/>
      </c>
      <c r="AL28" s="12" t="n"/>
      <c r="AM28" s="14">
        <f>IF($AD28="保留中",COUNTIF($AD$6:$AD28,"保留中"),"")</f>
        <v/>
      </c>
      <c r="AN28" s="14">
        <f>IF($AO28="","",IF(SUMPRODUCT(MAX((職員マスタ!$A$6:$A$405=$B28)*(((職員マスタ!$G$6:$G$405="")+(職員マスタ!$G$6:$G$405&lt;=EOMONTH($AO28,0)))&gt;0)*(((職員マスタ!$H$6:$H$405="")+(職員マスタ!$H$6:$H$405&gt;=$AO28))&gt;0)*(ROW(職員マスタ!$A$6:$A$405)-5)))&gt;0,SUMPRODUCT(MAX((職員マスタ!$A$6:$A$405=$B28)*(((職員マスタ!$G$6:$G$405="")+(職員マスタ!$G$6:$G$405&lt;=EOMONTH($AO28,0)))&gt;0)*(((職員マスタ!$H$6:$H$405="")+(職員マスタ!$H$6:$H$405&gt;=$AO28))&gt;0)*(ROW(職員マスタ!$A$6:$A$405)-5))),IFERROR(MATCH($B28,職員マスタ!$A$6:$A$405,0),"")))</f>
        <v/>
      </c>
      <c r="AO28" s="16">
        <f>IF(OR($B28="",$C28="",$D28=""),"",DATE($C28+2018,$D28,1))</f>
        <v/>
      </c>
    </row>
    <row r="29">
      <c r="A29" s="11" t="n"/>
      <c r="B29" s="12" t="n">
        <v>6403315</v>
      </c>
      <c r="C29" s="12" t="n">
        <v>8</v>
      </c>
      <c r="D29" s="12" t="n">
        <v>6</v>
      </c>
      <c r="E29" s="13" t="n">
        <v>223858</v>
      </c>
      <c r="F29" s="12" t="n"/>
      <c r="G29" s="13" t="n"/>
      <c r="H29" s="12" t="n"/>
      <c r="I29" s="12" t="n"/>
      <c r="J29" s="12" t="n"/>
      <c r="K29" s="12" t="n"/>
      <c r="L29" s="11" t="n"/>
      <c r="M29" s="11" t="n"/>
      <c r="N29" s="11" t="n"/>
      <c r="O29" s="11" t="n"/>
      <c r="P29" s="12" t="n"/>
      <c r="Q29" s="11" t="n"/>
      <c r="R29" s="12" t="n"/>
      <c r="S29" s="11" t="n"/>
      <c r="T29" s="12" t="n"/>
      <c r="U29" s="12" t="n"/>
      <c r="V29" s="14">
        <f>IF($AN29="",IF($B29="","",$H29),IF(INDEX(職員マスタ!$B$6:$B$405,$AN29)="",$H29,INDEX(職員マスタ!$B$6:$B$405,$AN29)))</f>
        <v/>
      </c>
      <c r="W29" s="14">
        <f>IF($AN29="",IF($B29="","",$R29),IF(INDEX(職員マスタ!$C$6:$C$405,$AN29)="",$R29,INDEX(職員マスタ!$C$6:$C$405,$AN29)))</f>
        <v/>
      </c>
      <c r="X29" s="14">
        <f>IF($AO29="","","R"&amp;$C29&amp;"."&amp;$D29)</f>
        <v/>
      </c>
      <c r="Y29" s="15">
        <f>IF($AN29="","",IF(INDEX(職員マスタ!$K$6:$K$405,$AN29)="","",INDEX(職員マスタ!$K$6:$K$405,$AN29)))</f>
        <v/>
      </c>
      <c r="Z29" s="14">
        <f>IF(OR($E29="",$Y29=""),"",IF($E29&gt;=$Y29,"×",IF($E29&gt;=$Y29*設定!$C$5,"△","○")))</f>
        <v/>
      </c>
      <c r="AA29" s="15">
        <f>IF($Z29="","",IF($Z29="×",0,IF($Z29="○",ROUNDDOWN($E29*設定!$C$4,0),ROUNDDOWN($E29*ROUND((9*$Y29-9*$E29)/(10*$E29),4),0))))</f>
        <v/>
      </c>
      <c r="AB29" s="13" t="n"/>
      <c r="AC29" s="15">
        <f>IF($B29="","",IF($AB29&lt;&gt;"",$AB29,IF($AA29="","",IF($AA29&lt;=設定!$C$3,0,$AA29))))</f>
        <v/>
      </c>
      <c r="AD29" s="14">
        <f>IF($B29="","",IF(AND($AE29&lt;&gt;"",$AG29="",$AJ29=""),"保留中",IF($AJ29&lt;&gt;"",IF(N($AC29)&gt;0,"支給済","不支給"),IF($AC29="","要確認",IF($AC29=0,"不支給","未処理")))))</f>
        <v/>
      </c>
      <c r="AE29" s="12" t="n"/>
      <c r="AF29" s="11" t="n"/>
      <c r="AG29" s="11" t="n"/>
      <c r="AH29" s="11" t="n"/>
      <c r="AI29" s="14">
        <f>IF(AND($AD29="保留中",$AF29&lt;&gt;""),TODAY()-$AF29,"")</f>
        <v/>
      </c>
      <c r="AJ29" s="12" t="inlineStr">
        <is>
          <t>R8.9</t>
        </is>
      </c>
      <c r="AK29" s="14">
        <f>IF($B29="","",IF($AO29="","対象年月が未入力／","")&amp;IF($B29="","",IF($AN29="","職員マスタに未登録の職員番号／",IF($Y29="","標準報酬月額が未登録／","")&amp;IF(AND($AO29&lt;&gt;"",OR(AND(INDEX(職員マスタ!$G$6:$G$405,$AN29)&lt;&gt;"",INDEX(職員マスタ!$G$6:$G$405,$AN29)&gt;EOMONTH($AO29,0)),AND(INDEX(職員マスタ!$H$6:$H$405,$AN29)&lt;&gt;"",INDEX(職員マスタ!$H$6:$H$405,$AN29)&lt;$AO29))),"対象月が時短期間外／","")&amp;IF(AND(INDEX(職員マスタ!$F$6:$F$405,$AN29)&lt;&gt;"",$AO29&lt;&gt;"",INDEX(職員マスタ!$F$6:$F$405,$AN29)&lt;$AO29),"対象月に子が2歳到達済／","")&amp;IF(AND($H29&lt;&gt;"",INDEX(職員マスタ!$B$6:$B$405,$AN29)&lt;&gt;"",SUBSTITUTE(SUBSTITUTE($H29," ","")," ","")&lt;&gt;SUBSTITUTE(SUBSTITUTE(INDEX(職員マスタ!$B$6:$B$405,$AN29)," ","")," ","")),"氏名がマスタと相違／","")&amp;IF(AND($Q29&lt;&gt;"",INDEX(職員マスタ!$E$6:$E$405,$AN29)&lt;&gt;"",$Q29&lt;&gt;INDEX(職員マスタ!$E$6:$E$405,$AN29)),"子の生年月日がマスタと相違／","")&amp;IF(AND($L29&lt;&gt;"",INDEX(職員マスタ!$G$6:$G$405,$AN29)&lt;&gt;"",$L29&lt;&gt;INDEX(職員マスタ!$G$6:$G$405,$AN29)),"時短開始日がマスタと相違／","")&amp;IF(AND($M29&lt;&gt;"",INDEX(職員マスタ!$H$6:$H$405,$AN29)&lt;&gt;"",$M29&lt;&gt;INDEX(職員マスタ!$H$6:$H$405,$AN29)),"時短終了日がマスタと相違／","")))&amp;IF(AND($B29&lt;&gt;"",$E29=""),"報酬額が未入力／","")&amp;IF(N($U29)&gt;0,"申請書に入力エラーが残っています／","")&amp;IF(AND($B29&lt;&gt;"",$AO29&lt;&gt;""),IF(COUNTIFS($B$6:$B$3005,$B29,$C$6:$C$3005,$C29,$D$6:$D$3005,$D29)&gt;1,"同じ月の請求が重複しています／",""),"")&amp;IF(AND(N($E29)&gt;0,$Z29&lt;&gt;"",$Z29&lt;&gt;"×",$AC29=0,$AB29=""),"計算額が下限以下のため不支給／",""))</f>
        <v/>
      </c>
      <c r="AL29" s="12" t="n"/>
      <c r="AM29" s="14">
        <f>IF($AD29="保留中",COUNTIF($AD$6:$AD29,"保留中"),"")</f>
        <v/>
      </c>
      <c r="AN29" s="14">
        <f>IF($AO29="","",IF(SUMPRODUCT(MAX((職員マスタ!$A$6:$A$405=$B29)*(((職員マスタ!$G$6:$G$405="")+(職員マスタ!$G$6:$G$405&lt;=EOMONTH($AO29,0)))&gt;0)*(((職員マスタ!$H$6:$H$405="")+(職員マスタ!$H$6:$H$405&gt;=$AO29))&gt;0)*(ROW(職員マスタ!$A$6:$A$405)-5)))&gt;0,SUMPRODUCT(MAX((職員マスタ!$A$6:$A$405=$B29)*(((職員マスタ!$G$6:$G$405="")+(職員マスタ!$G$6:$G$405&lt;=EOMONTH($AO29,0)))&gt;0)*(((職員マスタ!$H$6:$H$405="")+(職員マスタ!$H$6:$H$405&gt;=$AO29))&gt;0)*(ROW(職員マスタ!$A$6:$A$405)-5))),IFERROR(MATCH($B29,職員マスタ!$A$6:$A$405,0),"")))</f>
        <v/>
      </c>
      <c r="AO29" s="16">
        <f>IF(OR($B29="",$C29="",$D29=""),"",DATE($C29+2018,$D29,1))</f>
        <v/>
      </c>
    </row>
    <row r="30">
      <c r="A30" s="11" t="n"/>
      <c r="B30" s="12" t="n">
        <v>6403315</v>
      </c>
      <c r="C30" s="12" t="n">
        <v>8</v>
      </c>
      <c r="D30" s="12" t="n">
        <v>7</v>
      </c>
      <c r="E30" s="13" t="n">
        <v>215001</v>
      </c>
      <c r="F30" s="12" t="n"/>
      <c r="G30" s="13" t="n"/>
      <c r="H30" s="12" t="n"/>
      <c r="I30" s="12" t="n"/>
      <c r="J30" s="12" t="n"/>
      <c r="K30" s="12" t="n"/>
      <c r="L30" s="11" t="n"/>
      <c r="M30" s="11" t="n"/>
      <c r="N30" s="11" t="n"/>
      <c r="O30" s="11" t="n"/>
      <c r="P30" s="12" t="n"/>
      <c r="Q30" s="11" t="n"/>
      <c r="R30" s="12" t="n"/>
      <c r="S30" s="11" t="n"/>
      <c r="T30" s="12" t="n"/>
      <c r="U30" s="12" t="n"/>
      <c r="V30" s="14">
        <f>IF($AN30="",IF($B30="","",$H30),IF(INDEX(職員マスタ!$B$6:$B$405,$AN30)="",$H30,INDEX(職員マスタ!$B$6:$B$405,$AN30)))</f>
        <v/>
      </c>
      <c r="W30" s="14">
        <f>IF($AN30="",IF($B30="","",$R30),IF(INDEX(職員マスタ!$C$6:$C$405,$AN30)="",$R30,INDEX(職員マスタ!$C$6:$C$405,$AN30)))</f>
        <v/>
      </c>
      <c r="X30" s="14">
        <f>IF($AO30="","","R"&amp;$C30&amp;"."&amp;$D30)</f>
        <v/>
      </c>
      <c r="Y30" s="15">
        <f>IF($AN30="","",IF(INDEX(職員マスタ!$K$6:$K$405,$AN30)="","",INDEX(職員マスタ!$K$6:$K$405,$AN30)))</f>
        <v/>
      </c>
      <c r="Z30" s="14">
        <f>IF(OR($E30="",$Y30=""),"",IF($E30&gt;=$Y30,"×",IF($E30&gt;=$Y30*設定!$C$5,"△","○")))</f>
        <v/>
      </c>
      <c r="AA30" s="15">
        <f>IF($Z30="","",IF($Z30="×",0,IF($Z30="○",ROUNDDOWN($E30*設定!$C$4,0),ROUNDDOWN($E30*ROUND((9*$Y30-9*$E30)/(10*$E30),4),0))))</f>
        <v/>
      </c>
      <c r="AB30" s="13" t="n"/>
      <c r="AC30" s="15">
        <f>IF($B30="","",IF($AB30&lt;&gt;"",$AB30,IF($AA30="","",IF($AA30&lt;=設定!$C$3,0,$AA30))))</f>
        <v/>
      </c>
      <c r="AD30" s="14">
        <f>IF($B30="","",IF(AND($AE30&lt;&gt;"",$AG30="",$AJ30=""),"保留中",IF($AJ30&lt;&gt;"",IF(N($AC30)&gt;0,"支給済","不支給"),IF($AC30="","要確認",IF($AC30=0,"不支給","未処理")))))</f>
        <v/>
      </c>
      <c r="AE30" s="12" t="n"/>
      <c r="AF30" s="11" t="n"/>
      <c r="AG30" s="11" t="n"/>
      <c r="AH30" s="11" t="n"/>
      <c r="AI30" s="14">
        <f>IF(AND($AD30="保留中",$AF30&lt;&gt;""),TODAY()-$AF30,"")</f>
        <v/>
      </c>
      <c r="AJ30" s="12" t="inlineStr">
        <is>
          <t>R8.10</t>
        </is>
      </c>
      <c r="AK30" s="14">
        <f>IF($B30="","",IF($AO30="","対象年月が未入力／","")&amp;IF($B30="","",IF($AN30="","職員マスタに未登録の職員番号／",IF($Y30="","標準報酬月額が未登録／","")&amp;IF(AND($AO30&lt;&gt;"",OR(AND(INDEX(職員マスタ!$G$6:$G$405,$AN30)&lt;&gt;"",INDEX(職員マスタ!$G$6:$G$405,$AN30)&gt;EOMONTH($AO30,0)),AND(INDEX(職員マスタ!$H$6:$H$405,$AN30)&lt;&gt;"",INDEX(職員マスタ!$H$6:$H$405,$AN30)&lt;$AO30))),"対象月が時短期間外／","")&amp;IF(AND(INDEX(職員マスタ!$F$6:$F$405,$AN30)&lt;&gt;"",$AO30&lt;&gt;"",INDEX(職員マスタ!$F$6:$F$405,$AN30)&lt;$AO30),"対象月に子が2歳到達済／","")&amp;IF(AND($H30&lt;&gt;"",INDEX(職員マスタ!$B$6:$B$405,$AN30)&lt;&gt;"",SUBSTITUTE(SUBSTITUTE($H30," ","")," ","")&lt;&gt;SUBSTITUTE(SUBSTITUTE(INDEX(職員マスタ!$B$6:$B$405,$AN30)," ","")," ","")),"氏名がマスタと相違／","")&amp;IF(AND($Q30&lt;&gt;"",INDEX(職員マスタ!$E$6:$E$405,$AN30)&lt;&gt;"",$Q30&lt;&gt;INDEX(職員マスタ!$E$6:$E$405,$AN30)),"子の生年月日がマスタと相違／","")&amp;IF(AND($L30&lt;&gt;"",INDEX(職員マスタ!$G$6:$G$405,$AN30)&lt;&gt;"",$L30&lt;&gt;INDEX(職員マスタ!$G$6:$G$405,$AN30)),"時短開始日がマスタと相違／","")&amp;IF(AND($M30&lt;&gt;"",INDEX(職員マスタ!$H$6:$H$405,$AN30)&lt;&gt;"",$M30&lt;&gt;INDEX(職員マスタ!$H$6:$H$405,$AN30)),"時短終了日がマスタと相違／","")))&amp;IF(AND($B30&lt;&gt;"",$E30=""),"報酬額が未入力／","")&amp;IF(N($U30)&gt;0,"申請書に入力エラーが残っています／","")&amp;IF(AND($B30&lt;&gt;"",$AO30&lt;&gt;""),IF(COUNTIFS($B$6:$B$3005,$B30,$C$6:$C$3005,$C30,$D$6:$D$3005,$D30)&gt;1,"同じ月の請求が重複しています／",""),"")&amp;IF(AND(N($E30)&gt;0,$Z30&lt;&gt;"",$Z30&lt;&gt;"×",$AC30=0,$AB30=""),"計算額が下限以下のため不支給／",""))</f>
        <v/>
      </c>
      <c r="AL30" s="12" t="n"/>
      <c r="AM30" s="14">
        <f>IF($AD30="保留中",COUNTIF($AD$6:$AD30,"保留中"),"")</f>
        <v/>
      </c>
      <c r="AN30" s="14">
        <f>IF($AO30="","",IF(SUMPRODUCT(MAX((職員マスタ!$A$6:$A$405=$B30)*(((職員マスタ!$G$6:$G$405="")+(職員マスタ!$G$6:$G$405&lt;=EOMONTH($AO30,0)))&gt;0)*(((職員マスタ!$H$6:$H$405="")+(職員マスタ!$H$6:$H$405&gt;=$AO30))&gt;0)*(ROW(職員マスタ!$A$6:$A$405)-5)))&gt;0,SUMPRODUCT(MAX((職員マスタ!$A$6:$A$405=$B30)*(((職員マスタ!$G$6:$G$405="")+(職員マスタ!$G$6:$G$405&lt;=EOMONTH($AO30,0)))&gt;0)*(((職員マスタ!$H$6:$H$405="")+(職員マスタ!$H$6:$H$405&gt;=$AO30))&gt;0)*(ROW(職員マスタ!$A$6:$A$405)-5))),IFERROR(MATCH($B30,職員マスタ!$A$6:$A$405,0),"")))</f>
        <v/>
      </c>
      <c r="AO30" s="16">
        <f>IF(OR($B30="",$C30="",$D30=""),"",DATE($C30+2018,$D30,1))</f>
        <v/>
      </c>
    </row>
    <row r="31">
      <c r="A31" s="11" t="n"/>
      <c r="B31" s="12" t="n">
        <v>6620462</v>
      </c>
      <c r="C31" s="12" t="n">
        <v>8</v>
      </c>
      <c r="D31" s="12" t="n">
        <v>1</v>
      </c>
      <c r="E31" s="13" t="n">
        <v>269662</v>
      </c>
      <c r="F31" s="12" t="n"/>
      <c r="G31" s="13" t="n"/>
      <c r="H31" s="12" t="n"/>
      <c r="I31" s="12" t="n"/>
      <c r="J31" s="12" t="n"/>
      <c r="K31" s="12" t="n"/>
      <c r="L31" s="11" t="n"/>
      <c r="M31" s="11" t="n"/>
      <c r="N31" s="11" t="n"/>
      <c r="O31" s="11" t="n"/>
      <c r="P31" s="12" t="n"/>
      <c r="Q31" s="11" t="n"/>
      <c r="R31" s="12" t="n"/>
      <c r="S31" s="11" t="n"/>
      <c r="T31" s="12" t="n"/>
      <c r="U31" s="12" t="n"/>
      <c r="V31" s="14">
        <f>IF($AN31="",IF($B31="","",$H31),IF(INDEX(職員マスタ!$B$6:$B$405,$AN31)="",$H31,INDEX(職員マスタ!$B$6:$B$405,$AN31)))</f>
        <v/>
      </c>
      <c r="W31" s="14">
        <f>IF($AN31="",IF($B31="","",$R31),IF(INDEX(職員マスタ!$C$6:$C$405,$AN31)="",$R31,INDEX(職員マスタ!$C$6:$C$405,$AN31)))</f>
        <v/>
      </c>
      <c r="X31" s="14">
        <f>IF($AO31="","","R"&amp;$C31&amp;"."&amp;$D31)</f>
        <v/>
      </c>
      <c r="Y31" s="15">
        <f>IF($AN31="","",IF(INDEX(職員マスタ!$K$6:$K$405,$AN31)="","",INDEX(職員マスタ!$K$6:$K$405,$AN31)))</f>
        <v/>
      </c>
      <c r="Z31" s="14">
        <f>IF(OR($E31="",$Y31=""),"",IF($E31&gt;=$Y31,"×",IF($E31&gt;=$Y31*設定!$C$5,"△","○")))</f>
        <v/>
      </c>
      <c r="AA31" s="15">
        <f>IF($Z31="","",IF($Z31="×",0,IF($Z31="○",ROUNDDOWN($E31*設定!$C$4,0),ROUNDDOWN($E31*ROUND((9*$Y31-9*$E31)/(10*$E31),4),0))))</f>
        <v/>
      </c>
      <c r="AB31" s="13" t="n"/>
      <c r="AC31" s="15">
        <f>IF($B31="","",IF($AB31&lt;&gt;"",$AB31,IF($AA31="","",IF($AA31&lt;=設定!$C$3,0,$AA31))))</f>
        <v/>
      </c>
      <c r="AD31" s="14">
        <f>IF($B31="","",IF(AND($AE31&lt;&gt;"",$AG31="",$AJ31=""),"保留中",IF($AJ31&lt;&gt;"",IF(N($AC31)&gt;0,"支給済","不支給"),IF($AC31="","要確認",IF($AC31=0,"不支給","未処理")))))</f>
        <v/>
      </c>
      <c r="AE31" s="12" t="n"/>
      <c r="AF31" s="11" t="n"/>
      <c r="AG31" s="11" t="n"/>
      <c r="AH31" s="11" t="n"/>
      <c r="AI31" s="14">
        <f>IF(AND($AD31="保留中",$AF31&lt;&gt;""),TODAY()-$AF31,"")</f>
        <v/>
      </c>
      <c r="AJ31" s="12" t="inlineStr">
        <is>
          <t>R8.8</t>
        </is>
      </c>
      <c r="AK31" s="14">
        <f>IF($B31="","",IF($AO31="","対象年月が未入力／","")&amp;IF($B31="","",IF($AN31="","職員マスタに未登録の職員番号／",IF($Y31="","標準報酬月額が未登録／","")&amp;IF(AND($AO31&lt;&gt;"",OR(AND(INDEX(職員マスタ!$G$6:$G$405,$AN31)&lt;&gt;"",INDEX(職員マスタ!$G$6:$G$405,$AN31)&gt;EOMONTH($AO31,0)),AND(INDEX(職員マスタ!$H$6:$H$405,$AN31)&lt;&gt;"",INDEX(職員マスタ!$H$6:$H$405,$AN31)&lt;$AO31))),"対象月が時短期間外／","")&amp;IF(AND(INDEX(職員マスタ!$F$6:$F$405,$AN31)&lt;&gt;"",$AO31&lt;&gt;"",INDEX(職員マスタ!$F$6:$F$405,$AN31)&lt;$AO31),"対象月に子が2歳到達済／","")&amp;IF(AND($H31&lt;&gt;"",INDEX(職員マスタ!$B$6:$B$405,$AN31)&lt;&gt;"",SUBSTITUTE(SUBSTITUTE($H31," ","")," ","")&lt;&gt;SUBSTITUTE(SUBSTITUTE(INDEX(職員マスタ!$B$6:$B$405,$AN31)," ","")," ","")),"氏名がマスタと相違／","")&amp;IF(AND($Q31&lt;&gt;"",INDEX(職員マスタ!$E$6:$E$405,$AN31)&lt;&gt;"",$Q31&lt;&gt;INDEX(職員マスタ!$E$6:$E$405,$AN31)),"子の生年月日がマスタと相違／","")&amp;IF(AND($L31&lt;&gt;"",INDEX(職員マスタ!$G$6:$G$405,$AN31)&lt;&gt;"",$L31&lt;&gt;INDEX(職員マスタ!$G$6:$G$405,$AN31)),"時短開始日がマスタと相違／","")&amp;IF(AND($M31&lt;&gt;"",INDEX(職員マスタ!$H$6:$H$405,$AN31)&lt;&gt;"",$M31&lt;&gt;INDEX(職員マスタ!$H$6:$H$405,$AN31)),"時短終了日がマスタと相違／","")))&amp;IF(AND($B31&lt;&gt;"",$E31=""),"報酬額が未入力／","")&amp;IF(N($U31)&gt;0,"申請書に入力エラーが残っています／","")&amp;IF(AND($B31&lt;&gt;"",$AO31&lt;&gt;""),IF(COUNTIFS($B$6:$B$3005,$B31,$C$6:$C$3005,$C31,$D$6:$D$3005,$D31)&gt;1,"同じ月の請求が重複しています／",""),"")&amp;IF(AND(N($E31)&gt;0,$Z31&lt;&gt;"",$Z31&lt;&gt;"×",$AC31=0,$AB31=""),"計算額が下限以下のため不支給／",""))</f>
        <v/>
      </c>
      <c r="AL31" s="12" t="n"/>
      <c r="AM31" s="14">
        <f>IF($AD31="保留中",COUNTIF($AD$6:$AD31,"保留中"),"")</f>
        <v/>
      </c>
      <c r="AN31" s="14">
        <f>IF($AO31="","",IF(SUMPRODUCT(MAX((職員マスタ!$A$6:$A$405=$B31)*(((職員マスタ!$G$6:$G$405="")+(職員マスタ!$G$6:$G$405&lt;=EOMONTH($AO31,0)))&gt;0)*(((職員マスタ!$H$6:$H$405="")+(職員マスタ!$H$6:$H$405&gt;=$AO31))&gt;0)*(ROW(職員マスタ!$A$6:$A$405)-5)))&gt;0,SUMPRODUCT(MAX((職員マスタ!$A$6:$A$405=$B31)*(((職員マスタ!$G$6:$G$405="")+(職員マスタ!$G$6:$G$405&lt;=EOMONTH($AO31,0)))&gt;0)*(((職員マスタ!$H$6:$H$405="")+(職員マスタ!$H$6:$H$405&gt;=$AO31))&gt;0)*(ROW(職員マスタ!$A$6:$A$405)-5))),IFERROR(MATCH($B31,職員マスタ!$A$6:$A$405,0),"")))</f>
        <v/>
      </c>
      <c r="AO31" s="16">
        <f>IF(OR($B31="",$C31="",$D31=""),"",DATE($C31+2018,$D31,1))</f>
        <v/>
      </c>
    </row>
    <row r="32">
      <c r="A32" s="11" t="n"/>
      <c r="B32" s="12" t="n">
        <v>6620462</v>
      </c>
      <c r="C32" s="12" t="n">
        <v>8</v>
      </c>
      <c r="D32" s="12" t="n">
        <v>2</v>
      </c>
      <c r="E32" s="13" t="n">
        <v>285278</v>
      </c>
      <c r="F32" s="12" t="n"/>
      <c r="G32" s="13" t="n"/>
      <c r="H32" s="12" t="n"/>
      <c r="I32" s="12" t="n"/>
      <c r="J32" s="12" t="n"/>
      <c r="K32" s="12" t="n"/>
      <c r="L32" s="11" t="n"/>
      <c r="M32" s="11" t="n"/>
      <c r="N32" s="11" t="n"/>
      <c r="O32" s="11" t="n"/>
      <c r="P32" s="12" t="n"/>
      <c r="Q32" s="11" t="n"/>
      <c r="R32" s="12" t="n"/>
      <c r="S32" s="11" t="n"/>
      <c r="T32" s="12" t="n"/>
      <c r="U32" s="12" t="n"/>
      <c r="V32" s="14">
        <f>IF($AN32="",IF($B32="","",$H32),IF(INDEX(職員マスタ!$B$6:$B$405,$AN32)="",$H32,INDEX(職員マスタ!$B$6:$B$405,$AN32)))</f>
        <v/>
      </c>
      <c r="W32" s="14">
        <f>IF($AN32="",IF($B32="","",$R32),IF(INDEX(職員マスタ!$C$6:$C$405,$AN32)="",$R32,INDEX(職員マスタ!$C$6:$C$405,$AN32)))</f>
        <v/>
      </c>
      <c r="X32" s="14">
        <f>IF($AO32="","","R"&amp;$C32&amp;"."&amp;$D32)</f>
        <v/>
      </c>
      <c r="Y32" s="15">
        <f>IF($AN32="","",IF(INDEX(職員マスタ!$K$6:$K$405,$AN32)="","",INDEX(職員マスタ!$K$6:$K$405,$AN32)))</f>
        <v/>
      </c>
      <c r="Z32" s="14">
        <f>IF(OR($E32="",$Y32=""),"",IF($E32&gt;=$Y32,"×",IF($E32&gt;=$Y32*設定!$C$5,"△","○")))</f>
        <v/>
      </c>
      <c r="AA32" s="15">
        <f>IF($Z32="","",IF($Z32="×",0,IF($Z32="○",ROUNDDOWN($E32*設定!$C$4,0),ROUNDDOWN($E32*ROUND((9*$Y32-9*$E32)/(10*$E32),4),0))))</f>
        <v/>
      </c>
      <c r="AB32" s="13" t="n"/>
      <c r="AC32" s="15">
        <f>IF($B32="","",IF($AB32&lt;&gt;"",$AB32,IF($AA32="","",IF($AA32&lt;=設定!$C$3,0,$AA32))))</f>
        <v/>
      </c>
      <c r="AD32" s="14">
        <f>IF($B32="","",IF(AND($AE32&lt;&gt;"",$AG32="",$AJ32=""),"保留中",IF($AJ32&lt;&gt;"",IF(N($AC32)&gt;0,"支給済","不支給"),IF($AC32="","要確認",IF($AC32=0,"不支給","未処理")))))</f>
        <v/>
      </c>
      <c r="AE32" s="12" t="n"/>
      <c r="AF32" s="11" t="n"/>
      <c r="AG32" s="11" t="n"/>
      <c r="AH32" s="11" t="n"/>
      <c r="AI32" s="14">
        <f>IF(AND($AD32="保留中",$AF32&lt;&gt;""),TODAY()-$AF32,"")</f>
        <v/>
      </c>
      <c r="AJ32" s="12" t="inlineStr">
        <is>
          <t>R8.8</t>
        </is>
      </c>
      <c r="AK32" s="14">
        <f>IF($B32="","",IF($AO32="","対象年月が未入力／","")&amp;IF($B32="","",IF($AN32="","職員マスタに未登録の職員番号／",IF($Y32="","標準報酬月額が未登録／","")&amp;IF(AND($AO32&lt;&gt;"",OR(AND(INDEX(職員マスタ!$G$6:$G$405,$AN32)&lt;&gt;"",INDEX(職員マスタ!$G$6:$G$405,$AN32)&gt;EOMONTH($AO32,0)),AND(INDEX(職員マスタ!$H$6:$H$405,$AN32)&lt;&gt;"",INDEX(職員マスタ!$H$6:$H$405,$AN32)&lt;$AO32))),"対象月が時短期間外／","")&amp;IF(AND(INDEX(職員マスタ!$F$6:$F$405,$AN32)&lt;&gt;"",$AO32&lt;&gt;"",INDEX(職員マスタ!$F$6:$F$405,$AN32)&lt;$AO32),"対象月に子が2歳到達済／","")&amp;IF(AND($H32&lt;&gt;"",INDEX(職員マスタ!$B$6:$B$405,$AN32)&lt;&gt;"",SUBSTITUTE(SUBSTITUTE($H32," ","")," ","")&lt;&gt;SUBSTITUTE(SUBSTITUTE(INDEX(職員マスタ!$B$6:$B$405,$AN32)," ","")," ","")),"氏名がマスタと相違／","")&amp;IF(AND($Q32&lt;&gt;"",INDEX(職員マスタ!$E$6:$E$405,$AN32)&lt;&gt;"",$Q32&lt;&gt;INDEX(職員マスタ!$E$6:$E$405,$AN32)),"子の生年月日がマスタと相違／","")&amp;IF(AND($L32&lt;&gt;"",INDEX(職員マスタ!$G$6:$G$405,$AN32)&lt;&gt;"",$L32&lt;&gt;INDEX(職員マスタ!$G$6:$G$405,$AN32)),"時短開始日がマスタと相違／","")&amp;IF(AND($M32&lt;&gt;"",INDEX(職員マスタ!$H$6:$H$405,$AN32)&lt;&gt;"",$M32&lt;&gt;INDEX(職員マスタ!$H$6:$H$405,$AN32)),"時短終了日がマスタと相違／","")))&amp;IF(AND($B32&lt;&gt;"",$E32=""),"報酬額が未入力／","")&amp;IF(N($U32)&gt;0,"申請書に入力エラーが残っています／","")&amp;IF(AND($B32&lt;&gt;"",$AO32&lt;&gt;""),IF(COUNTIFS($B$6:$B$3005,$B32,$C$6:$C$3005,$C32,$D$6:$D$3005,$D32)&gt;1,"同じ月の請求が重複しています／",""),"")&amp;IF(AND(N($E32)&gt;0,$Z32&lt;&gt;"",$Z32&lt;&gt;"×",$AC32=0,$AB32=""),"計算額が下限以下のため不支給／",""))</f>
        <v/>
      </c>
      <c r="AL32" s="12" t="n"/>
      <c r="AM32" s="14">
        <f>IF($AD32="保留中",COUNTIF($AD$6:$AD32,"保留中"),"")</f>
        <v/>
      </c>
      <c r="AN32" s="14">
        <f>IF($AO32="","",IF(SUMPRODUCT(MAX((職員マスタ!$A$6:$A$405=$B32)*(((職員マスタ!$G$6:$G$405="")+(職員マスタ!$G$6:$G$405&lt;=EOMONTH($AO32,0)))&gt;0)*(((職員マスタ!$H$6:$H$405="")+(職員マスタ!$H$6:$H$405&gt;=$AO32))&gt;0)*(ROW(職員マスタ!$A$6:$A$405)-5)))&gt;0,SUMPRODUCT(MAX((職員マスタ!$A$6:$A$405=$B32)*(((職員マスタ!$G$6:$G$405="")+(職員マスタ!$G$6:$G$405&lt;=EOMONTH($AO32,0)))&gt;0)*(((職員マスタ!$H$6:$H$405="")+(職員マスタ!$H$6:$H$405&gt;=$AO32))&gt;0)*(ROW(職員マスタ!$A$6:$A$405)-5))),IFERROR(MATCH($B32,職員マスタ!$A$6:$A$405,0),"")))</f>
        <v/>
      </c>
      <c r="AO32" s="16">
        <f>IF(OR($B32="",$C32="",$D32=""),"",DATE($C32+2018,$D32,1))</f>
        <v/>
      </c>
    </row>
    <row r="33">
      <c r="A33" s="11" t="n"/>
      <c r="B33" s="12" t="n">
        <v>6620462</v>
      </c>
      <c r="C33" s="12" t="n">
        <v>8</v>
      </c>
      <c r="D33" s="12" t="n">
        <v>3</v>
      </c>
      <c r="E33" s="13" t="n">
        <v>286580</v>
      </c>
      <c r="F33" s="12" t="n"/>
      <c r="G33" s="13" t="n"/>
      <c r="H33" s="12" t="n"/>
      <c r="I33" s="12" t="n"/>
      <c r="J33" s="12" t="n"/>
      <c r="K33" s="12" t="n"/>
      <c r="L33" s="11" t="n"/>
      <c r="M33" s="11" t="n"/>
      <c r="N33" s="11" t="n"/>
      <c r="O33" s="11" t="n"/>
      <c r="P33" s="12" t="n"/>
      <c r="Q33" s="11" t="n"/>
      <c r="R33" s="12" t="n"/>
      <c r="S33" s="11" t="n"/>
      <c r="T33" s="12" t="n"/>
      <c r="U33" s="12" t="n"/>
      <c r="V33" s="14">
        <f>IF($AN33="",IF($B33="","",$H33),IF(INDEX(職員マスタ!$B$6:$B$405,$AN33)="",$H33,INDEX(職員マスタ!$B$6:$B$405,$AN33)))</f>
        <v/>
      </c>
      <c r="W33" s="14">
        <f>IF($AN33="",IF($B33="","",$R33),IF(INDEX(職員マスタ!$C$6:$C$405,$AN33)="",$R33,INDEX(職員マスタ!$C$6:$C$405,$AN33)))</f>
        <v/>
      </c>
      <c r="X33" s="14">
        <f>IF($AO33="","","R"&amp;$C33&amp;"."&amp;$D33)</f>
        <v/>
      </c>
      <c r="Y33" s="15">
        <f>IF($AN33="","",IF(INDEX(職員マスタ!$K$6:$K$405,$AN33)="","",INDEX(職員マスタ!$K$6:$K$405,$AN33)))</f>
        <v/>
      </c>
      <c r="Z33" s="14">
        <f>IF(OR($E33="",$Y33=""),"",IF($E33&gt;=$Y33,"×",IF($E33&gt;=$Y33*設定!$C$5,"△","○")))</f>
        <v/>
      </c>
      <c r="AA33" s="15">
        <f>IF($Z33="","",IF($Z33="×",0,IF($Z33="○",ROUNDDOWN($E33*設定!$C$4,0),ROUNDDOWN($E33*ROUND((9*$Y33-9*$E33)/(10*$E33),4),0))))</f>
        <v/>
      </c>
      <c r="AB33" s="13" t="n"/>
      <c r="AC33" s="15">
        <f>IF($B33="","",IF($AB33&lt;&gt;"",$AB33,IF($AA33="","",IF($AA33&lt;=設定!$C$3,0,$AA33))))</f>
        <v/>
      </c>
      <c r="AD33" s="14">
        <f>IF($B33="","",IF(AND($AE33&lt;&gt;"",$AG33="",$AJ33=""),"保留中",IF($AJ33&lt;&gt;"",IF(N($AC33)&gt;0,"支給済","不支給"),IF($AC33="","要確認",IF($AC33=0,"不支給","未処理")))))</f>
        <v/>
      </c>
      <c r="AE33" s="12" t="n"/>
      <c r="AF33" s="11" t="n"/>
      <c r="AG33" s="11" t="n"/>
      <c r="AH33" s="11" t="n"/>
      <c r="AI33" s="14">
        <f>IF(AND($AD33="保留中",$AF33&lt;&gt;""),TODAY()-$AF33,"")</f>
        <v/>
      </c>
      <c r="AJ33" s="12" t="inlineStr">
        <is>
          <t>R8.9</t>
        </is>
      </c>
      <c r="AK33" s="14">
        <f>IF($B33="","",IF($AO33="","対象年月が未入力／","")&amp;IF($B33="","",IF($AN33="","職員マスタに未登録の職員番号／",IF($Y33="","標準報酬月額が未登録／","")&amp;IF(AND($AO33&lt;&gt;"",OR(AND(INDEX(職員マスタ!$G$6:$G$405,$AN33)&lt;&gt;"",INDEX(職員マスタ!$G$6:$G$405,$AN33)&gt;EOMONTH($AO33,0)),AND(INDEX(職員マスタ!$H$6:$H$405,$AN33)&lt;&gt;"",INDEX(職員マスタ!$H$6:$H$405,$AN33)&lt;$AO33))),"対象月が時短期間外／","")&amp;IF(AND(INDEX(職員マスタ!$F$6:$F$405,$AN33)&lt;&gt;"",$AO33&lt;&gt;"",INDEX(職員マスタ!$F$6:$F$405,$AN33)&lt;$AO33),"対象月に子が2歳到達済／","")&amp;IF(AND($H33&lt;&gt;"",INDEX(職員マスタ!$B$6:$B$405,$AN33)&lt;&gt;"",SUBSTITUTE(SUBSTITUTE($H33," ","")," ","")&lt;&gt;SUBSTITUTE(SUBSTITUTE(INDEX(職員マスタ!$B$6:$B$405,$AN33)," ","")," ","")),"氏名がマスタと相違／","")&amp;IF(AND($Q33&lt;&gt;"",INDEX(職員マスタ!$E$6:$E$405,$AN33)&lt;&gt;"",$Q33&lt;&gt;INDEX(職員マスタ!$E$6:$E$405,$AN33)),"子の生年月日がマスタと相違／","")&amp;IF(AND($L33&lt;&gt;"",INDEX(職員マスタ!$G$6:$G$405,$AN33)&lt;&gt;"",$L33&lt;&gt;INDEX(職員マスタ!$G$6:$G$405,$AN33)),"時短開始日がマスタと相違／","")&amp;IF(AND($M33&lt;&gt;"",INDEX(職員マスタ!$H$6:$H$405,$AN33)&lt;&gt;"",$M33&lt;&gt;INDEX(職員マスタ!$H$6:$H$405,$AN33)),"時短終了日がマスタと相違／","")))&amp;IF(AND($B33&lt;&gt;"",$E33=""),"報酬額が未入力／","")&amp;IF(N($U33)&gt;0,"申請書に入力エラーが残っています／","")&amp;IF(AND($B33&lt;&gt;"",$AO33&lt;&gt;""),IF(COUNTIFS($B$6:$B$3005,$B33,$C$6:$C$3005,$C33,$D$6:$D$3005,$D33)&gt;1,"同じ月の請求が重複しています／",""),"")&amp;IF(AND(N($E33)&gt;0,$Z33&lt;&gt;"",$Z33&lt;&gt;"×",$AC33=0,$AB33=""),"計算額が下限以下のため不支給／",""))</f>
        <v/>
      </c>
      <c r="AL33" s="12" t="n"/>
      <c r="AM33" s="14">
        <f>IF($AD33="保留中",COUNTIF($AD$6:$AD33,"保留中"),"")</f>
        <v/>
      </c>
      <c r="AN33" s="14">
        <f>IF($AO33="","",IF(SUMPRODUCT(MAX((職員マスタ!$A$6:$A$405=$B33)*(((職員マスタ!$G$6:$G$405="")+(職員マスタ!$G$6:$G$405&lt;=EOMONTH($AO33,0)))&gt;0)*(((職員マスタ!$H$6:$H$405="")+(職員マスタ!$H$6:$H$405&gt;=$AO33))&gt;0)*(ROW(職員マスタ!$A$6:$A$405)-5)))&gt;0,SUMPRODUCT(MAX((職員マスタ!$A$6:$A$405=$B33)*(((職員マスタ!$G$6:$G$405="")+(職員マスタ!$G$6:$G$405&lt;=EOMONTH($AO33,0)))&gt;0)*(((職員マスタ!$H$6:$H$405="")+(職員マスタ!$H$6:$H$405&gt;=$AO33))&gt;0)*(ROW(職員マスタ!$A$6:$A$405)-5))),IFERROR(MATCH($B33,職員マスタ!$A$6:$A$405,0),"")))</f>
        <v/>
      </c>
      <c r="AO33" s="16">
        <f>IF(OR($B33="",$C33="",$D33=""),"",DATE($C33+2018,$D33,1))</f>
        <v/>
      </c>
    </row>
    <row r="34">
      <c r="A34" s="11" t="n"/>
      <c r="B34" s="12" t="n">
        <v>6620462</v>
      </c>
      <c r="C34" s="12" t="n">
        <v>8</v>
      </c>
      <c r="D34" s="12" t="n">
        <v>4</v>
      </c>
      <c r="E34" s="13" t="n">
        <v>291160</v>
      </c>
      <c r="F34" s="12" t="n"/>
      <c r="G34" s="13" t="n"/>
      <c r="H34" s="12" t="n"/>
      <c r="I34" s="12" t="n"/>
      <c r="J34" s="12" t="n"/>
      <c r="K34" s="12" t="n"/>
      <c r="L34" s="11" t="n"/>
      <c r="M34" s="11" t="n"/>
      <c r="N34" s="11" t="n"/>
      <c r="O34" s="11" t="n"/>
      <c r="P34" s="12" t="n"/>
      <c r="Q34" s="11" t="n"/>
      <c r="R34" s="12" t="n"/>
      <c r="S34" s="11" t="n"/>
      <c r="T34" s="12" t="n"/>
      <c r="U34" s="12" t="n"/>
      <c r="V34" s="14">
        <f>IF($AN34="",IF($B34="","",$H34),IF(INDEX(職員マスタ!$B$6:$B$405,$AN34)="",$H34,INDEX(職員マスタ!$B$6:$B$405,$AN34)))</f>
        <v/>
      </c>
      <c r="W34" s="14">
        <f>IF($AN34="",IF($B34="","",$R34),IF(INDEX(職員マスタ!$C$6:$C$405,$AN34)="",$R34,INDEX(職員マスタ!$C$6:$C$405,$AN34)))</f>
        <v/>
      </c>
      <c r="X34" s="14">
        <f>IF($AO34="","","R"&amp;$C34&amp;"."&amp;$D34)</f>
        <v/>
      </c>
      <c r="Y34" s="15">
        <f>IF($AN34="","",IF(INDEX(職員マスタ!$K$6:$K$405,$AN34)="","",INDEX(職員マスタ!$K$6:$K$405,$AN34)))</f>
        <v/>
      </c>
      <c r="Z34" s="14">
        <f>IF(OR($E34="",$Y34=""),"",IF($E34&gt;=$Y34,"×",IF($E34&gt;=$Y34*設定!$C$5,"△","○")))</f>
        <v/>
      </c>
      <c r="AA34" s="15">
        <f>IF($Z34="","",IF($Z34="×",0,IF($Z34="○",ROUNDDOWN($E34*設定!$C$4,0),ROUNDDOWN($E34*ROUND((9*$Y34-9*$E34)/(10*$E34),4),0))))</f>
        <v/>
      </c>
      <c r="AB34" s="13" t="n"/>
      <c r="AC34" s="15">
        <f>IF($B34="","",IF($AB34&lt;&gt;"",$AB34,IF($AA34="","",IF($AA34&lt;=設定!$C$3,0,$AA34))))</f>
        <v/>
      </c>
      <c r="AD34" s="14">
        <f>IF($B34="","",IF(AND($AE34&lt;&gt;"",$AG34="",$AJ34=""),"保留中",IF($AJ34&lt;&gt;"",IF(N($AC34)&gt;0,"支給済","不支給"),IF($AC34="","要確認",IF($AC34=0,"不支給","未処理")))))</f>
        <v/>
      </c>
      <c r="AE34" s="12" t="n"/>
      <c r="AF34" s="11" t="n"/>
      <c r="AG34" s="11" t="n"/>
      <c r="AH34" s="11" t="n"/>
      <c r="AI34" s="14">
        <f>IF(AND($AD34="保留中",$AF34&lt;&gt;""),TODAY()-$AF34,"")</f>
        <v/>
      </c>
      <c r="AJ34" s="12" t="inlineStr">
        <is>
          <t>R8.9</t>
        </is>
      </c>
      <c r="AK34" s="14">
        <f>IF($B34="","",IF($AO34="","対象年月が未入力／","")&amp;IF($B34="","",IF($AN34="","職員マスタに未登録の職員番号／",IF($Y34="","標準報酬月額が未登録／","")&amp;IF(AND($AO34&lt;&gt;"",OR(AND(INDEX(職員マスタ!$G$6:$G$405,$AN34)&lt;&gt;"",INDEX(職員マスタ!$G$6:$G$405,$AN34)&gt;EOMONTH($AO34,0)),AND(INDEX(職員マスタ!$H$6:$H$405,$AN34)&lt;&gt;"",INDEX(職員マスタ!$H$6:$H$405,$AN34)&lt;$AO34))),"対象月が時短期間外／","")&amp;IF(AND(INDEX(職員マスタ!$F$6:$F$405,$AN34)&lt;&gt;"",$AO34&lt;&gt;"",INDEX(職員マスタ!$F$6:$F$405,$AN34)&lt;$AO34),"対象月に子が2歳到達済／","")&amp;IF(AND($H34&lt;&gt;"",INDEX(職員マスタ!$B$6:$B$405,$AN34)&lt;&gt;"",SUBSTITUTE(SUBSTITUTE($H34," ","")," ","")&lt;&gt;SUBSTITUTE(SUBSTITUTE(INDEX(職員マスタ!$B$6:$B$405,$AN34)," ","")," ","")),"氏名がマスタと相違／","")&amp;IF(AND($Q34&lt;&gt;"",INDEX(職員マスタ!$E$6:$E$405,$AN34)&lt;&gt;"",$Q34&lt;&gt;INDEX(職員マスタ!$E$6:$E$405,$AN34)),"子の生年月日がマスタと相違／","")&amp;IF(AND($L34&lt;&gt;"",INDEX(職員マスタ!$G$6:$G$405,$AN34)&lt;&gt;"",$L34&lt;&gt;INDEX(職員マスタ!$G$6:$G$405,$AN34)),"時短開始日がマスタと相違／","")&amp;IF(AND($M34&lt;&gt;"",INDEX(職員マスタ!$H$6:$H$405,$AN34)&lt;&gt;"",$M34&lt;&gt;INDEX(職員マスタ!$H$6:$H$405,$AN34)),"時短終了日がマスタと相違／","")))&amp;IF(AND($B34&lt;&gt;"",$E34=""),"報酬額が未入力／","")&amp;IF(N($U34)&gt;0,"申請書に入力エラーが残っています／","")&amp;IF(AND($B34&lt;&gt;"",$AO34&lt;&gt;""),IF(COUNTIFS($B$6:$B$3005,$B34,$C$6:$C$3005,$C34,$D$6:$D$3005,$D34)&gt;1,"同じ月の請求が重複しています／",""),"")&amp;IF(AND(N($E34)&gt;0,$Z34&lt;&gt;"",$Z34&lt;&gt;"×",$AC34=0,$AB34=""),"計算額が下限以下のため不支給／",""))</f>
        <v/>
      </c>
      <c r="AL34" s="12" t="n"/>
      <c r="AM34" s="14">
        <f>IF($AD34="保留中",COUNTIF($AD$6:$AD34,"保留中"),"")</f>
        <v/>
      </c>
      <c r="AN34" s="14">
        <f>IF($AO34="","",IF(SUMPRODUCT(MAX((職員マスタ!$A$6:$A$405=$B34)*(((職員マスタ!$G$6:$G$405="")+(職員マスタ!$G$6:$G$405&lt;=EOMONTH($AO34,0)))&gt;0)*(((職員マスタ!$H$6:$H$405="")+(職員マスタ!$H$6:$H$405&gt;=$AO34))&gt;0)*(ROW(職員マスタ!$A$6:$A$405)-5)))&gt;0,SUMPRODUCT(MAX((職員マスタ!$A$6:$A$405=$B34)*(((職員マスタ!$G$6:$G$405="")+(職員マスタ!$G$6:$G$405&lt;=EOMONTH($AO34,0)))&gt;0)*(((職員マスタ!$H$6:$H$405="")+(職員マスタ!$H$6:$H$405&gt;=$AO34))&gt;0)*(ROW(職員マスタ!$A$6:$A$405)-5))),IFERROR(MATCH($B34,職員マスタ!$A$6:$A$405,0),"")))</f>
        <v/>
      </c>
      <c r="AO34" s="16">
        <f>IF(OR($B34="",$C34="",$D34=""),"",DATE($C34+2018,$D34,1))</f>
        <v/>
      </c>
    </row>
    <row r="35">
      <c r="A35" s="11" t="n"/>
      <c r="B35" s="12" t="n">
        <v>6620462</v>
      </c>
      <c r="C35" s="12" t="n">
        <v>8</v>
      </c>
      <c r="D35" s="12" t="n">
        <v>5</v>
      </c>
      <c r="E35" s="13" t="n">
        <v>290121</v>
      </c>
      <c r="F35" s="12" t="n"/>
      <c r="G35" s="13" t="n"/>
      <c r="H35" s="12" t="n"/>
      <c r="I35" s="12" t="n"/>
      <c r="J35" s="12" t="n"/>
      <c r="K35" s="12" t="n"/>
      <c r="L35" s="11" t="n"/>
      <c r="M35" s="11" t="n"/>
      <c r="N35" s="11" t="n"/>
      <c r="O35" s="11" t="n"/>
      <c r="P35" s="12" t="n"/>
      <c r="Q35" s="11" t="n"/>
      <c r="R35" s="12" t="n"/>
      <c r="S35" s="11" t="n"/>
      <c r="T35" s="12" t="n"/>
      <c r="U35" s="12" t="n"/>
      <c r="V35" s="14">
        <f>IF($AN35="",IF($B35="","",$H35),IF(INDEX(職員マスタ!$B$6:$B$405,$AN35)="",$H35,INDEX(職員マスタ!$B$6:$B$405,$AN35)))</f>
        <v/>
      </c>
      <c r="W35" s="14">
        <f>IF($AN35="",IF($B35="","",$R35),IF(INDEX(職員マスタ!$C$6:$C$405,$AN35)="",$R35,INDEX(職員マスタ!$C$6:$C$405,$AN35)))</f>
        <v/>
      </c>
      <c r="X35" s="14">
        <f>IF($AO35="","","R"&amp;$C35&amp;"."&amp;$D35)</f>
        <v/>
      </c>
      <c r="Y35" s="15">
        <f>IF($AN35="","",IF(INDEX(職員マスタ!$K$6:$K$405,$AN35)="","",INDEX(職員マスタ!$K$6:$K$405,$AN35)))</f>
        <v/>
      </c>
      <c r="Z35" s="14">
        <f>IF(OR($E35="",$Y35=""),"",IF($E35&gt;=$Y35,"×",IF($E35&gt;=$Y35*設定!$C$5,"△","○")))</f>
        <v/>
      </c>
      <c r="AA35" s="15">
        <f>IF($Z35="","",IF($Z35="×",0,IF($Z35="○",ROUNDDOWN($E35*設定!$C$4,0),ROUNDDOWN($E35*ROUND((9*$Y35-9*$E35)/(10*$E35),4),0))))</f>
        <v/>
      </c>
      <c r="AB35" s="13" t="n"/>
      <c r="AC35" s="15">
        <f>IF($B35="","",IF($AB35&lt;&gt;"",$AB35,IF($AA35="","",IF($AA35&lt;=設定!$C$3,0,$AA35))))</f>
        <v/>
      </c>
      <c r="AD35" s="14">
        <f>IF($B35="","",IF(AND($AE35&lt;&gt;"",$AG35="",$AJ35=""),"保留中",IF($AJ35&lt;&gt;"",IF(N($AC35)&gt;0,"支給済","不支給"),IF($AC35="","要確認",IF($AC35=0,"不支給","未処理")))))</f>
        <v/>
      </c>
      <c r="AE35" s="12" t="n"/>
      <c r="AF35" s="11" t="n"/>
      <c r="AG35" s="11" t="n"/>
      <c r="AH35" s="11" t="n"/>
      <c r="AI35" s="14">
        <f>IF(AND($AD35="保留中",$AF35&lt;&gt;""),TODAY()-$AF35,"")</f>
        <v/>
      </c>
      <c r="AJ35" s="12" t="inlineStr">
        <is>
          <t>R8.9</t>
        </is>
      </c>
      <c r="AK35" s="14">
        <f>IF($B35="","",IF($AO35="","対象年月が未入力／","")&amp;IF($B35="","",IF($AN35="","職員マスタに未登録の職員番号／",IF($Y35="","標準報酬月額が未登録／","")&amp;IF(AND($AO35&lt;&gt;"",OR(AND(INDEX(職員マスタ!$G$6:$G$405,$AN35)&lt;&gt;"",INDEX(職員マスタ!$G$6:$G$405,$AN35)&gt;EOMONTH($AO35,0)),AND(INDEX(職員マスタ!$H$6:$H$405,$AN35)&lt;&gt;"",INDEX(職員マスタ!$H$6:$H$405,$AN35)&lt;$AO35))),"対象月が時短期間外／","")&amp;IF(AND(INDEX(職員マスタ!$F$6:$F$405,$AN35)&lt;&gt;"",$AO35&lt;&gt;"",INDEX(職員マスタ!$F$6:$F$405,$AN35)&lt;$AO35),"対象月に子が2歳到達済／","")&amp;IF(AND($H35&lt;&gt;"",INDEX(職員マスタ!$B$6:$B$405,$AN35)&lt;&gt;"",SUBSTITUTE(SUBSTITUTE($H35," ","")," ","")&lt;&gt;SUBSTITUTE(SUBSTITUTE(INDEX(職員マスタ!$B$6:$B$405,$AN35)," ","")," ","")),"氏名がマスタと相違／","")&amp;IF(AND($Q35&lt;&gt;"",INDEX(職員マスタ!$E$6:$E$405,$AN35)&lt;&gt;"",$Q35&lt;&gt;INDEX(職員マスタ!$E$6:$E$405,$AN35)),"子の生年月日がマスタと相違／","")&amp;IF(AND($L35&lt;&gt;"",INDEX(職員マスタ!$G$6:$G$405,$AN35)&lt;&gt;"",$L35&lt;&gt;INDEX(職員マスタ!$G$6:$G$405,$AN35)),"時短開始日がマスタと相違／","")&amp;IF(AND($M35&lt;&gt;"",INDEX(職員マスタ!$H$6:$H$405,$AN35)&lt;&gt;"",$M35&lt;&gt;INDEX(職員マスタ!$H$6:$H$405,$AN35)),"時短終了日がマスタと相違／","")))&amp;IF(AND($B35&lt;&gt;"",$E35=""),"報酬額が未入力／","")&amp;IF(N($U35)&gt;0,"申請書に入力エラーが残っています／","")&amp;IF(AND($B35&lt;&gt;"",$AO35&lt;&gt;""),IF(COUNTIFS($B$6:$B$3005,$B35,$C$6:$C$3005,$C35,$D$6:$D$3005,$D35)&gt;1,"同じ月の請求が重複しています／",""),"")&amp;IF(AND(N($E35)&gt;0,$Z35&lt;&gt;"",$Z35&lt;&gt;"×",$AC35=0,$AB35=""),"計算額が下限以下のため不支給／",""))</f>
        <v/>
      </c>
      <c r="AL35" s="12" t="n"/>
      <c r="AM35" s="14">
        <f>IF($AD35="保留中",COUNTIF($AD$6:$AD35,"保留中"),"")</f>
        <v/>
      </c>
      <c r="AN35" s="14">
        <f>IF($AO35="","",IF(SUMPRODUCT(MAX((職員マスタ!$A$6:$A$405=$B35)*(((職員マスタ!$G$6:$G$405="")+(職員マスタ!$G$6:$G$405&lt;=EOMONTH($AO35,0)))&gt;0)*(((職員マスタ!$H$6:$H$405="")+(職員マスタ!$H$6:$H$405&gt;=$AO35))&gt;0)*(ROW(職員マスタ!$A$6:$A$405)-5)))&gt;0,SUMPRODUCT(MAX((職員マスタ!$A$6:$A$405=$B35)*(((職員マスタ!$G$6:$G$405="")+(職員マスタ!$G$6:$G$405&lt;=EOMONTH($AO35,0)))&gt;0)*(((職員マスタ!$H$6:$H$405="")+(職員マスタ!$H$6:$H$405&gt;=$AO35))&gt;0)*(ROW(職員マスタ!$A$6:$A$405)-5))),IFERROR(MATCH($B35,職員マスタ!$A$6:$A$405,0),"")))</f>
        <v/>
      </c>
      <c r="AO35" s="16">
        <f>IF(OR($B35="",$C35="",$D35=""),"",DATE($C35+2018,$D35,1))</f>
        <v/>
      </c>
    </row>
    <row r="36">
      <c r="A36" s="11" t="n"/>
      <c r="B36" s="12" t="n">
        <v>6620462</v>
      </c>
      <c r="C36" s="12" t="n">
        <v>8</v>
      </c>
      <c r="D36" s="12" t="n">
        <v>6</v>
      </c>
      <c r="E36" s="13" t="n">
        <v>365873</v>
      </c>
      <c r="F36" s="12" t="n"/>
      <c r="G36" s="13" t="n"/>
      <c r="H36" s="12" t="n"/>
      <c r="I36" s="12" t="n"/>
      <c r="J36" s="12" t="n"/>
      <c r="K36" s="12" t="n"/>
      <c r="L36" s="11" t="n"/>
      <c r="M36" s="11" t="n"/>
      <c r="N36" s="11" t="n"/>
      <c r="O36" s="11" t="n"/>
      <c r="P36" s="12" t="n"/>
      <c r="Q36" s="11" t="n"/>
      <c r="R36" s="12" t="n"/>
      <c r="S36" s="11" t="n"/>
      <c r="T36" s="12" t="n"/>
      <c r="U36" s="12" t="n"/>
      <c r="V36" s="14">
        <f>IF($AN36="",IF($B36="","",$H36),IF(INDEX(職員マスタ!$B$6:$B$405,$AN36)="",$H36,INDEX(職員マスタ!$B$6:$B$405,$AN36)))</f>
        <v/>
      </c>
      <c r="W36" s="14">
        <f>IF($AN36="",IF($B36="","",$R36),IF(INDEX(職員マスタ!$C$6:$C$405,$AN36)="",$R36,INDEX(職員マスタ!$C$6:$C$405,$AN36)))</f>
        <v/>
      </c>
      <c r="X36" s="14">
        <f>IF($AO36="","","R"&amp;$C36&amp;"."&amp;$D36)</f>
        <v/>
      </c>
      <c r="Y36" s="15">
        <f>IF($AN36="","",IF(INDEX(職員マスタ!$K$6:$K$405,$AN36)="","",INDEX(職員マスタ!$K$6:$K$405,$AN36)))</f>
        <v/>
      </c>
      <c r="Z36" s="14">
        <f>IF(OR($E36="",$Y36=""),"",IF($E36&gt;=$Y36,"×",IF($E36&gt;=$Y36*設定!$C$5,"△","○")))</f>
        <v/>
      </c>
      <c r="AA36" s="15">
        <f>IF($Z36="","",IF($Z36="×",0,IF($Z36="○",ROUNDDOWN($E36*設定!$C$4,0),ROUNDDOWN($E36*ROUND((9*$Y36-9*$E36)/(10*$E36),4),0))))</f>
        <v/>
      </c>
      <c r="AB36" s="13" t="n"/>
      <c r="AC36" s="15">
        <f>IF($B36="","",IF($AB36&lt;&gt;"",$AB36,IF($AA36="","",IF($AA36&lt;=設定!$C$3,0,$AA36))))</f>
        <v/>
      </c>
      <c r="AD36" s="14">
        <f>IF($B36="","",IF(AND($AE36&lt;&gt;"",$AG36="",$AJ36=""),"保留中",IF($AJ36&lt;&gt;"",IF(N($AC36)&gt;0,"支給済","不支給"),IF($AC36="","要確認",IF($AC36=0,"不支給","未処理")))))</f>
        <v/>
      </c>
      <c r="AE36" s="12" t="n"/>
      <c r="AF36" s="11" t="n"/>
      <c r="AG36" s="11" t="n"/>
      <c r="AH36" s="11" t="n"/>
      <c r="AI36" s="14">
        <f>IF(AND($AD36="保留中",$AF36&lt;&gt;""),TODAY()-$AF36,"")</f>
        <v/>
      </c>
      <c r="AJ36" s="12" t="inlineStr">
        <is>
          <t>R8.9</t>
        </is>
      </c>
      <c r="AK36" s="14">
        <f>IF($B36="","",IF($AO36="","対象年月が未入力／","")&amp;IF($B36="","",IF($AN36="","職員マスタに未登録の職員番号／",IF($Y36="","標準報酬月額が未登録／","")&amp;IF(AND($AO36&lt;&gt;"",OR(AND(INDEX(職員マスタ!$G$6:$G$405,$AN36)&lt;&gt;"",INDEX(職員マスタ!$G$6:$G$405,$AN36)&gt;EOMONTH($AO36,0)),AND(INDEX(職員マスタ!$H$6:$H$405,$AN36)&lt;&gt;"",INDEX(職員マスタ!$H$6:$H$405,$AN36)&lt;$AO36))),"対象月が時短期間外／","")&amp;IF(AND(INDEX(職員マスタ!$F$6:$F$405,$AN36)&lt;&gt;"",$AO36&lt;&gt;"",INDEX(職員マスタ!$F$6:$F$405,$AN36)&lt;$AO36),"対象月に子が2歳到達済／","")&amp;IF(AND($H36&lt;&gt;"",INDEX(職員マスタ!$B$6:$B$405,$AN36)&lt;&gt;"",SUBSTITUTE(SUBSTITUTE($H36," ","")," ","")&lt;&gt;SUBSTITUTE(SUBSTITUTE(INDEX(職員マスタ!$B$6:$B$405,$AN36)," ","")," ","")),"氏名がマスタと相違／","")&amp;IF(AND($Q36&lt;&gt;"",INDEX(職員マスタ!$E$6:$E$405,$AN36)&lt;&gt;"",$Q36&lt;&gt;INDEX(職員マスタ!$E$6:$E$405,$AN36)),"子の生年月日がマスタと相違／","")&amp;IF(AND($L36&lt;&gt;"",INDEX(職員マスタ!$G$6:$G$405,$AN36)&lt;&gt;"",$L36&lt;&gt;INDEX(職員マスタ!$G$6:$G$405,$AN36)),"時短開始日がマスタと相違／","")&amp;IF(AND($M36&lt;&gt;"",INDEX(職員マスタ!$H$6:$H$405,$AN36)&lt;&gt;"",$M36&lt;&gt;INDEX(職員マスタ!$H$6:$H$405,$AN36)),"時短終了日がマスタと相違／","")))&amp;IF(AND($B36&lt;&gt;"",$E36=""),"報酬額が未入力／","")&amp;IF(N($U36)&gt;0,"申請書に入力エラーが残っています／","")&amp;IF(AND($B36&lt;&gt;"",$AO36&lt;&gt;""),IF(COUNTIFS($B$6:$B$3005,$B36,$C$6:$C$3005,$C36,$D$6:$D$3005,$D36)&gt;1,"同じ月の請求が重複しています／",""),"")&amp;IF(AND(N($E36)&gt;0,$Z36&lt;&gt;"",$Z36&lt;&gt;"×",$AC36=0,$AB36=""),"計算額が下限以下のため不支給／",""))</f>
        <v/>
      </c>
      <c r="AL36" s="12" t="n"/>
      <c r="AM36" s="14">
        <f>IF($AD36="保留中",COUNTIF($AD$6:$AD36,"保留中"),"")</f>
        <v/>
      </c>
      <c r="AN36" s="14">
        <f>IF($AO36="","",IF(SUMPRODUCT(MAX((職員マスタ!$A$6:$A$405=$B36)*(((職員マスタ!$G$6:$G$405="")+(職員マスタ!$G$6:$G$405&lt;=EOMONTH($AO36,0)))&gt;0)*(((職員マスタ!$H$6:$H$405="")+(職員マスタ!$H$6:$H$405&gt;=$AO36))&gt;0)*(ROW(職員マスタ!$A$6:$A$405)-5)))&gt;0,SUMPRODUCT(MAX((職員マスタ!$A$6:$A$405=$B36)*(((職員マスタ!$G$6:$G$405="")+(職員マスタ!$G$6:$G$405&lt;=EOMONTH($AO36,0)))&gt;0)*(((職員マスタ!$H$6:$H$405="")+(職員マスタ!$H$6:$H$405&gt;=$AO36))&gt;0)*(ROW(職員マスタ!$A$6:$A$405)-5))),IFERROR(MATCH($B36,職員マスタ!$A$6:$A$405,0),"")))</f>
        <v/>
      </c>
      <c r="AO36" s="16">
        <f>IF(OR($B36="",$C36="",$D36=""),"",DATE($C36+2018,$D36,1))</f>
        <v/>
      </c>
    </row>
    <row r="37">
      <c r="A37" s="11" t="n"/>
      <c r="B37" s="12" t="n">
        <v>6620462</v>
      </c>
      <c r="C37" s="12" t="n">
        <v>8</v>
      </c>
      <c r="D37" s="12" t="n">
        <v>7</v>
      </c>
      <c r="E37" s="13" t="n">
        <v>288798</v>
      </c>
      <c r="F37" s="12" t="n"/>
      <c r="G37" s="13" t="n"/>
      <c r="H37" s="12" t="n"/>
      <c r="I37" s="12" t="n"/>
      <c r="J37" s="12" t="n"/>
      <c r="K37" s="12" t="n"/>
      <c r="L37" s="11" t="n"/>
      <c r="M37" s="11" t="n"/>
      <c r="N37" s="11" t="n"/>
      <c r="O37" s="11" t="n"/>
      <c r="P37" s="12" t="n"/>
      <c r="Q37" s="11" t="n"/>
      <c r="R37" s="12" t="n"/>
      <c r="S37" s="11" t="n"/>
      <c r="T37" s="12" t="n"/>
      <c r="U37" s="12" t="n"/>
      <c r="V37" s="14">
        <f>IF($AN37="",IF($B37="","",$H37),IF(INDEX(職員マスタ!$B$6:$B$405,$AN37)="",$H37,INDEX(職員マスタ!$B$6:$B$405,$AN37)))</f>
        <v/>
      </c>
      <c r="W37" s="14">
        <f>IF($AN37="",IF($B37="","",$R37),IF(INDEX(職員マスタ!$C$6:$C$405,$AN37)="",$R37,INDEX(職員マスタ!$C$6:$C$405,$AN37)))</f>
        <v/>
      </c>
      <c r="X37" s="14">
        <f>IF($AO37="","","R"&amp;$C37&amp;"."&amp;$D37)</f>
        <v/>
      </c>
      <c r="Y37" s="15">
        <f>IF($AN37="","",IF(INDEX(職員マスタ!$K$6:$K$405,$AN37)="","",INDEX(職員マスタ!$K$6:$K$405,$AN37)))</f>
        <v/>
      </c>
      <c r="Z37" s="14">
        <f>IF(OR($E37="",$Y37=""),"",IF($E37&gt;=$Y37,"×",IF($E37&gt;=$Y37*設定!$C$5,"△","○")))</f>
        <v/>
      </c>
      <c r="AA37" s="15">
        <f>IF($Z37="","",IF($Z37="×",0,IF($Z37="○",ROUNDDOWN($E37*設定!$C$4,0),ROUNDDOWN($E37*ROUND((9*$Y37-9*$E37)/(10*$E37),4),0))))</f>
        <v/>
      </c>
      <c r="AB37" s="13" t="n"/>
      <c r="AC37" s="15">
        <f>IF($B37="","",IF($AB37&lt;&gt;"",$AB37,IF($AA37="","",IF($AA37&lt;=設定!$C$3,0,$AA37))))</f>
        <v/>
      </c>
      <c r="AD37" s="14">
        <f>IF($B37="","",IF(AND($AE37&lt;&gt;"",$AG37="",$AJ37=""),"保留中",IF($AJ37&lt;&gt;"",IF(N($AC37)&gt;0,"支給済","不支給"),IF($AC37="","要確認",IF($AC37=0,"不支給","未処理")))))</f>
        <v/>
      </c>
      <c r="AE37" s="12" t="n"/>
      <c r="AF37" s="11" t="n"/>
      <c r="AG37" s="11" t="n"/>
      <c r="AH37" s="11" t="n"/>
      <c r="AI37" s="14">
        <f>IF(AND($AD37="保留中",$AF37&lt;&gt;""),TODAY()-$AF37,"")</f>
        <v/>
      </c>
      <c r="AJ37" s="12" t="inlineStr">
        <is>
          <t>R8.9</t>
        </is>
      </c>
      <c r="AK37" s="14">
        <f>IF($B37="","",IF($AO37="","対象年月が未入力／","")&amp;IF($B37="","",IF($AN37="","職員マスタに未登録の職員番号／",IF($Y37="","標準報酬月額が未登録／","")&amp;IF(AND($AO37&lt;&gt;"",OR(AND(INDEX(職員マスタ!$G$6:$G$405,$AN37)&lt;&gt;"",INDEX(職員マスタ!$G$6:$G$405,$AN37)&gt;EOMONTH($AO37,0)),AND(INDEX(職員マスタ!$H$6:$H$405,$AN37)&lt;&gt;"",INDEX(職員マスタ!$H$6:$H$405,$AN37)&lt;$AO37))),"対象月が時短期間外／","")&amp;IF(AND(INDEX(職員マスタ!$F$6:$F$405,$AN37)&lt;&gt;"",$AO37&lt;&gt;"",INDEX(職員マスタ!$F$6:$F$405,$AN37)&lt;$AO37),"対象月に子が2歳到達済／","")&amp;IF(AND($H37&lt;&gt;"",INDEX(職員マスタ!$B$6:$B$405,$AN37)&lt;&gt;"",SUBSTITUTE(SUBSTITUTE($H37," ","")," ","")&lt;&gt;SUBSTITUTE(SUBSTITUTE(INDEX(職員マスタ!$B$6:$B$405,$AN37)," ","")," ","")),"氏名がマスタと相違／","")&amp;IF(AND($Q37&lt;&gt;"",INDEX(職員マスタ!$E$6:$E$405,$AN37)&lt;&gt;"",$Q37&lt;&gt;INDEX(職員マスタ!$E$6:$E$405,$AN37)),"子の生年月日がマスタと相違／","")&amp;IF(AND($L37&lt;&gt;"",INDEX(職員マスタ!$G$6:$G$405,$AN37)&lt;&gt;"",$L37&lt;&gt;INDEX(職員マスタ!$G$6:$G$405,$AN37)),"時短開始日がマスタと相違／","")&amp;IF(AND($M37&lt;&gt;"",INDEX(職員マスタ!$H$6:$H$405,$AN37)&lt;&gt;"",$M37&lt;&gt;INDEX(職員マスタ!$H$6:$H$405,$AN37)),"時短終了日がマスタと相違／","")))&amp;IF(AND($B37&lt;&gt;"",$E37=""),"報酬額が未入力／","")&amp;IF(N($U37)&gt;0,"申請書に入力エラーが残っています／","")&amp;IF(AND($B37&lt;&gt;"",$AO37&lt;&gt;""),IF(COUNTIFS($B$6:$B$3005,$B37,$C$6:$C$3005,$C37,$D$6:$D$3005,$D37)&gt;1,"同じ月の請求が重複しています／",""),"")&amp;IF(AND(N($E37)&gt;0,$Z37&lt;&gt;"",$Z37&lt;&gt;"×",$AC37=0,$AB37=""),"計算額が下限以下のため不支給／",""))</f>
        <v/>
      </c>
      <c r="AL37" s="12" t="n"/>
      <c r="AM37" s="14">
        <f>IF($AD37="保留中",COUNTIF($AD$6:$AD37,"保留中"),"")</f>
        <v/>
      </c>
      <c r="AN37" s="14">
        <f>IF($AO37="","",IF(SUMPRODUCT(MAX((職員マスタ!$A$6:$A$405=$B37)*(((職員マスタ!$G$6:$G$405="")+(職員マスタ!$G$6:$G$405&lt;=EOMONTH($AO37,0)))&gt;0)*(((職員マスタ!$H$6:$H$405="")+(職員マスタ!$H$6:$H$405&gt;=$AO37))&gt;0)*(ROW(職員マスタ!$A$6:$A$405)-5)))&gt;0,SUMPRODUCT(MAX((職員マスタ!$A$6:$A$405=$B37)*(((職員マスタ!$G$6:$G$405="")+(職員マスタ!$G$6:$G$405&lt;=EOMONTH($AO37,0)))&gt;0)*(((職員マスタ!$H$6:$H$405="")+(職員マスタ!$H$6:$H$405&gt;=$AO37))&gt;0)*(ROW(職員マスタ!$A$6:$A$405)-5))),IFERROR(MATCH($B37,職員マスタ!$A$6:$A$405,0),"")))</f>
        <v/>
      </c>
      <c r="AO37" s="16">
        <f>IF(OR($B37="",$C37="",$D37=""),"",DATE($C37+2018,$D37,1))</f>
        <v/>
      </c>
    </row>
    <row r="38">
      <c r="A38" s="11" t="n"/>
      <c r="B38" s="12" t="n">
        <v>6802253</v>
      </c>
      <c r="C38" s="12" t="n">
        <v>8</v>
      </c>
      <c r="D38" s="12" t="n">
        <v>5</v>
      </c>
      <c r="E38" s="13" t="n">
        <v>188713</v>
      </c>
      <c r="F38" s="12" t="n"/>
      <c r="G38" s="13" t="n"/>
      <c r="H38" s="12" t="n"/>
      <c r="I38" s="12" t="n"/>
      <c r="J38" s="12" t="n"/>
      <c r="K38" s="12" t="n"/>
      <c r="L38" s="11" t="n"/>
      <c r="M38" s="11" t="n"/>
      <c r="N38" s="11" t="n"/>
      <c r="O38" s="11" t="n"/>
      <c r="P38" s="12" t="n"/>
      <c r="Q38" s="11" t="n"/>
      <c r="R38" s="12" t="n"/>
      <c r="S38" s="11" t="n"/>
      <c r="T38" s="12" t="n"/>
      <c r="U38" s="12" t="n"/>
      <c r="V38" s="14">
        <f>IF($AN38="",IF($B38="","",$H38),IF(INDEX(職員マスタ!$B$6:$B$405,$AN38)="",$H38,INDEX(職員マスタ!$B$6:$B$405,$AN38)))</f>
        <v/>
      </c>
      <c r="W38" s="14">
        <f>IF($AN38="",IF($B38="","",$R38),IF(INDEX(職員マスタ!$C$6:$C$405,$AN38)="",$R38,INDEX(職員マスタ!$C$6:$C$405,$AN38)))</f>
        <v/>
      </c>
      <c r="X38" s="14">
        <f>IF($AO38="","","R"&amp;$C38&amp;"."&amp;$D38)</f>
        <v/>
      </c>
      <c r="Y38" s="15">
        <f>IF($AN38="","",IF(INDEX(職員マスタ!$K$6:$K$405,$AN38)="","",INDEX(職員マスタ!$K$6:$K$405,$AN38)))</f>
        <v/>
      </c>
      <c r="Z38" s="14">
        <f>IF(OR($E38="",$Y38=""),"",IF($E38&gt;=$Y38,"×",IF($E38&gt;=$Y38*設定!$C$5,"△","○")))</f>
        <v/>
      </c>
      <c r="AA38" s="15">
        <f>IF($Z38="","",IF($Z38="×",0,IF($Z38="○",ROUNDDOWN($E38*設定!$C$4,0),ROUNDDOWN($E38*ROUND((9*$Y38-9*$E38)/(10*$E38),4),0))))</f>
        <v/>
      </c>
      <c r="AB38" s="13" t="n"/>
      <c r="AC38" s="15">
        <f>IF($B38="","",IF($AB38&lt;&gt;"",$AB38,IF($AA38="","",IF($AA38&lt;=設定!$C$3,0,$AA38))))</f>
        <v/>
      </c>
      <c r="AD38" s="14">
        <f>IF($B38="","",IF(AND($AE38&lt;&gt;"",$AG38="",$AJ38=""),"保留中",IF($AJ38&lt;&gt;"",IF(N($AC38)&gt;0,"支給済","不支給"),IF($AC38="","要確認",IF($AC38=0,"不支給","未処理")))))</f>
        <v/>
      </c>
      <c r="AE38" s="12" t="n"/>
      <c r="AF38" s="11" t="n"/>
      <c r="AG38" s="11" t="n"/>
      <c r="AH38" s="11" t="n"/>
      <c r="AI38" s="14">
        <f>IF(AND($AD38="保留中",$AF38&lt;&gt;""),TODAY()-$AF38,"")</f>
        <v/>
      </c>
      <c r="AJ38" s="12" t="inlineStr">
        <is>
          <t>R8.9</t>
        </is>
      </c>
      <c r="AK38" s="14">
        <f>IF($B38="","",IF($AO38="","対象年月が未入力／","")&amp;IF($B38="","",IF($AN38="","職員マスタに未登録の職員番号／",IF($Y38="","標準報酬月額が未登録／","")&amp;IF(AND($AO38&lt;&gt;"",OR(AND(INDEX(職員マスタ!$G$6:$G$405,$AN38)&lt;&gt;"",INDEX(職員マスタ!$G$6:$G$405,$AN38)&gt;EOMONTH($AO38,0)),AND(INDEX(職員マスタ!$H$6:$H$405,$AN38)&lt;&gt;"",INDEX(職員マスタ!$H$6:$H$405,$AN38)&lt;$AO38))),"対象月が時短期間外／","")&amp;IF(AND(INDEX(職員マスタ!$F$6:$F$405,$AN38)&lt;&gt;"",$AO38&lt;&gt;"",INDEX(職員マスタ!$F$6:$F$405,$AN38)&lt;$AO38),"対象月に子が2歳到達済／","")&amp;IF(AND($H38&lt;&gt;"",INDEX(職員マスタ!$B$6:$B$405,$AN38)&lt;&gt;"",SUBSTITUTE(SUBSTITUTE($H38," ","")," ","")&lt;&gt;SUBSTITUTE(SUBSTITUTE(INDEX(職員マスタ!$B$6:$B$405,$AN38)," ","")," ","")),"氏名がマスタと相違／","")&amp;IF(AND($Q38&lt;&gt;"",INDEX(職員マスタ!$E$6:$E$405,$AN38)&lt;&gt;"",$Q38&lt;&gt;INDEX(職員マスタ!$E$6:$E$405,$AN38)),"子の生年月日がマスタと相違／","")&amp;IF(AND($L38&lt;&gt;"",INDEX(職員マスタ!$G$6:$G$405,$AN38)&lt;&gt;"",$L38&lt;&gt;INDEX(職員マスタ!$G$6:$G$405,$AN38)),"時短開始日がマスタと相違／","")&amp;IF(AND($M38&lt;&gt;"",INDEX(職員マスタ!$H$6:$H$405,$AN38)&lt;&gt;"",$M38&lt;&gt;INDEX(職員マスタ!$H$6:$H$405,$AN38)),"時短終了日がマスタと相違／","")))&amp;IF(AND($B38&lt;&gt;"",$E38=""),"報酬額が未入力／","")&amp;IF(N($U38)&gt;0,"申請書に入力エラーが残っています／","")&amp;IF(AND($B38&lt;&gt;"",$AO38&lt;&gt;""),IF(COUNTIFS($B$6:$B$3005,$B38,$C$6:$C$3005,$C38,$D$6:$D$3005,$D38)&gt;1,"同じ月の請求が重複しています／",""),"")&amp;IF(AND(N($E38)&gt;0,$Z38&lt;&gt;"",$Z38&lt;&gt;"×",$AC38=0,$AB38=""),"計算額が下限以下のため不支給／",""))</f>
        <v/>
      </c>
      <c r="AL38" s="12" t="n"/>
      <c r="AM38" s="14">
        <f>IF($AD38="保留中",COUNTIF($AD$6:$AD38,"保留中"),"")</f>
        <v/>
      </c>
      <c r="AN38" s="14">
        <f>IF($AO38="","",IF(SUMPRODUCT(MAX((職員マスタ!$A$6:$A$405=$B38)*(((職員マスタ!$G$6:$G$405="")+(職員マスタ!$G$6:$G$405&lt;=EOMONTH($AO38,0)))&gt;0)*(((職員マスタ!$H$6:$H$405="")+(職員マスタ!$H$6:$H$405&gt;=$AO38))&gt;0)*(ROW(職員マスタ!$A$6:$A$405)-5)))&gt;0,SUMPRODUCT(MAX((職員マスタ!$A$6:$A$405=$B38)*(((職員マスタ!$G$6:$G$405="")+(職員マスタ!$G$6:$G$405&lt;=EOMONTH($AO38,0)))&gt;0)*(((職員マスタ!$H$6:$H$405="")+(職員マスタ!$H$6:$H$405&gt;=$AO38))&gt;0)*(ROW(職員マスタ!$A$6:$A$405)-5))),IFERROR(MATCH($B38,職員マスタ!$A$6:$A$405,0),"")))</f>
        <v/>
      </c>
      <c r="AO38" s="16">
        <f>IF(OR($B38="",$C38="",$D38=""),"",DATE($C38+2018,$D38,1))</f>
        <v/>
      </c>
    </row>
    <row r="39">
      <c r="A39" s="11" t="n"/>
      <c r="B39" s="12" t="n">
        <v>6802253</v>
      </c>
      <c r="C39" s="12" t="n">
        <v>8</v>
      </c>
      <c r="D39" s="12" t="n">
        <v>6</v>
      </c>
      <c r="E39" s="13" t="n">
        <v>188713</v>
      </c>
      <c r="F39" s="12" t="n"/>
      <c r="G39" s="13" t="n"/>
      <c r="H39" s="12" t="n"/>
      <c r="I39" s="12" t="n"/>
      <c r="J39" s="12" t="n"/>
      <c r="K39" s="12" t="n"/>
      <c r="L39" s="11" t="n"/>
      <c r="M39" s="11" t="n"/>
      <c r="N39" s="11" t="n"/>
      <c r="O39" s="11" t="n"/>
      <c r="P39" s="12" t="n"/>
      <c r="Q39" s="11" t="n"/>
      <c r="R39" s="12" t="n"/>
      <c r="S39" s="11" t="n"/>
      <c r="T39" s="12" t="n"/>
      <c r="U39" s="12" t="n"/>
      <c r="V39" s="14">
        <f>IF($AN39="",IF($B39="","",$H39),IF(INDEX(職員マスタ!$B$6:$B$405,$AN39)="",$H39,INDEX(職員マスタ!$B$6:$B$405,$AN39)))</f>
        <v/>
      </c>
      <c r="W39" s="14">
        <f>IF($AN39="",IF($B39="","",$R39),IF(INDEX(職員マスタ!$C$6:$C$405,$AN39)="",$R39,INDEX(職員マスタ!$C$6:$C$405,$AN39)))</f>
        <v/>
      </c>
      <c r="X39" s="14">
        <f>IF($AO39="","","R"&amp;$C39&amp;"."&amp;$D39)</f>
        <v/>
      </c>
      <c r="Y39" s="15">
        <f>IF($AN39="","",IF(INDEX(職員マスタ!$K$6:$K$405,$AN39)="","",INDEX(職員マスタ!$K$6:$K$405,$AN39)))</f>
        <v/>
      </c>
      <c r="Z39" s="14">
        <f>IF(OR($E39="",$Y39=""),"",IF($E39&gt;=$Y39,"×",IF($E39&gt;=$Y39*設定!$C$5,"△","○")))</f>
        <v/>
      </c>
      <c r="AA39" s="15">
        <f>IF($Z39="","",IF($Z39="×",0,IF($Z39="○",ROUNDDOWN($E39*設定!$C$4,0),ROUNDDOWN($E39*ROUND((9*$Y39-9*$E39)/(10*$E39),4),0))))</f>
        <v/>
      </c>
      <c r="AB39" s="13" t="n"/>
      <c r="AC39" s="15">
        <f>IF($B39="","",IF($AB39&lt;&gt;"",$AB39,IF($AA39="","",IF($AA39&lt;=設定!$C$3,0,$AA39))))</f>
        <v/>
      </c>
      <c r="AD39" s="14">
        <f>IF($B39="","",IF(AND($AE39&lt;&gt;"",$AG39="",$AJ39=""),"保留中",IF($AJ39&lt;&gt;"",IF(N($AC39)&gt;0,"支給済","不支給"),IF($AC39="","要確認",IF($AC39=0,"不支給","未処理")))))</f>
        <v/>
      </c>
      <c r="AE39" s="12" t="n"/>
      <c r="AF39" s="11" t="n"/>
      <c r="AG39" s="11" t="n"/>
      <c r="AH39" s="11" t="n"/>
      <c r="AI39" s="14">
        <f>IF(AND($AD39="保留中",$AF39&lt;&gt;""),TODAY()-$AF39,"")</f>
        <v/>
      </c>
      <c r="AJ39" s="12" t="inlineStr">
        <is>
          <t>R8.9</t>
        </is>
      </c>
      <c r="AK39" s="14">
        <f>IF($B39="","",IF($AO39="","対象年月が未入力／","")&amp;IF($B39="","",IF($AN39="","職員マスタに未登録の職員番号／",IF($Y39="","標準報酬月額が未登録／","")&amp;IF(AND($AO39&lt;&gt;"",OR(AND(INDEX(職員マスタ!$G$6:$G$405,$AN39)&lt;&gt;"",INDEX(職員マスタ!$G$6:$G$405,$AN39)&gt;EOMONTH($AO39,0)),AND(INDEX(職員マスタ!$H$6:$H$405,$AN39)&lt;&gt;"",INDEX(職員マスタ!$H$6:$H$405,$AN39)&lt;$AO39))),"対象月が時短期間外／","")&amp;IF(AND(INDEX(職員マスタ!$F$6:$F$405,$AN39)&lt;&gt;"",$AO39&lt;&gt;"",INDEX(職員マスタ!$F$6:$F$405,$AN39)&lt;$AO39),"対象月に子が2歳到達済／","")&amp;IF(AND($H39&lt;&gt;"",INDEX(職員マスタ!$B$6:$B$405,$AN39)&lt;&gt;"",SUBSTITUTE(SUBSTITUTE($H39," ","")," ","")&lt;&gt;SUBSTITUTE(SUBSTITUTE(INDEX(職員マスタ!$B$6:$B$405,$AN39)," ","")," ","")),"氏名がマスタと相違／","")&amp;IF(AND($Q39&lt;&gt;"",INDEX(職員マスタ!$E$6:$E$405,$AN39)&lt;&gt;"",$Q39&lt;&gt;INDEX(職員マスタ!$E$6:$E$405,$AN39)),"子の生年月日がマスタと相違／","")&amp;IF(AND($L39&lt;&gt;"",INDEX(職員マスタ!$G$6:$G$405,$AN39)&lt;&gt;"",$L39&lt;&gt;INDEX(職員マスタ!$G$6:$G$405,$AN39)),"時短開始日がマスタと相違／","")&amp;IF(AND($M39&lt;&gt;"",INDEX(職員マスタ!$H$6:$H$405,$AN39)&lt;&gt;"",$M39&lt;&gt;INDEX(職員マスタ!$H$6:$H$405,$AN39)),"時短終了日がマスタと相違／","")))&amp;IF(AND($B39&lt;&gt;"",$E39=""),"報酬額が未入力／","")&amp;IF(N($U39)&gt;0,"申請書に入力エラーが残っています／","")&amp;IF(AND($B39&lt;&gt;"",$AO39&lt;&gt;""),IF(COUNTIFS($B$6:$B$3005,$B39,$C$6:$C$3005,$C39,$D$6:$D$3005,$D39)&gt;1,"同じ月の請求が重複しています／",""),"")&amp;IF(AND(N($E39)&gt;0,$Z39&lt;&gt;"",$Z39&lt;&gt;"×",$AC39=0,$AB39=""),"計算額が下限以下のため不支給／",""))</f>
        <v/>
      </c>
      <c r="AL39" s="12" t="n"/>
      <c r="AM39" s="14">
        <f>IF($AD39="保留中",COUNTIF($AD$6:$AD39,"保留中"),"")</f>
        <v/>
      </c>
      <c r="AN39" s="14">
        <f>IF($AO39="","",IF(SUMPRODUCT(MAX((職員マスタ!$A$6:$A$405=$B39)*(((職員マスタ!$G$6:$G$405="")+(職員マスタ!$G$6:$G$405&lt;=EOMONTH($AO39,0)))&gt;0)*(((職員マスタ!$H$6:$H$405="")+(職員マスタ!$H$6:$H$405&gt;=$AO39))&gt;0)*(ROW(職員マスタ!$A$6:$A$405)-5)))&gt;0,SUMPRODUCT(MAX((職員マスタ!$A$6:$A$405=$B39)*(((職員マスタ!$G$6:$G$405="")+(職員マスタ!$G$6:$G$405&lt;=EOMONTH($AO39,0)))&gt;0)*(((職員マスタ!$H$6:$H$405="")+(職員マスタ!$H$6:$H$405&gt;=$AO39))&gt;0)*(ROW(職員マスタ!$A$6:$A$405)-5))),IFERROR(MATCH($B39,職員マスタ!$A$6:$A$405,0),"")))</f>
        <v/>
      </c>
      <c r="AO39" s="16">
        <f>IF(OR($B39="",$C39="",$D39=""),"",DATE($C39+2018,$D39,1))</f>
        <v/>
      </c>
    </row>
    <row r="40">
      <c r="A40" s="11" t="n"/>
      <c r="B40" s="12" t="n">
        <v>6802253</v>
      </c>
      <c r="C40" s="12" t="n">
        <v>8</v>
      </c>
      <c r="D40" s="12" t="n">
        <v>7</v>
      </c>
      <c r="E40" s="13" t="n">
        <v>192551</v>
      </c>
      <c r="F40" s="12" t="n"/>
      <c r="G40" s="13" t="n"/>
      <c r="H40" s="12" t="n"/>
      <c r="I40" s="12" t="n"/>
      <c r="J40" s="12" t="n"/>
      <c r="K40" s="12" t="n"/>
      <c r="L40" s="11" t="n"/>
      <c r="M40" s="11" t="n"/>
      <c r="N40" s="11" t="n"/>
      <c r="O40" s="11" t="n"/>
      <c r="P40" s="12" t="n"/>
      <c r="Q40" s="11" t="n"/>
      <c r="R40" s="12" t="n"/>
      <c r="S40" s="11" t="n"/>
      <c r="T40" s="12" t="n"/>
      <c r="U40" s="12" t="n"/>
      <c r="V40" s="14">
        <f>IF($AN40="",IF($B40="","",$H40),IF(INDEX(職員マスタ!$B$6:$B$405,$AN40)="",$H40,INDEX(職員マスタ!$B$6:$B$405,$AN40)))</f>
        <v/>
      </c>
      <c r="W40" s="14">
        <f>IF($AN40="",IF($B40="","",$R40),IF(INDEX(職員マスタ!$C$6:$C$405,$AN40)="",$R40,INDEX(職員マスタ!$C$6:$C$405,$AN40)))</f>
        <v/>
      </c>
      <c r="X40" s="14">
        <f>IF($AO40="","","R"&amp;$C40&amp;"."&amp;$D40)</f>
        <v/>
      </c>
      <c r="Y40" s="15">
        <f>IF($AN40="","",IF(INDEX(職員マスタ!$K$6:$K$405,$AN40)="","",INDEX(職員マスタ!$K$6:$K$405,$AN40)))</f>
        <v/>
      </c>
      <c r="Z40" s="14">
        <f>IF(OR($E40="",$Y40=""),"",IF($E40&gt;=$Y40,"×",IF($E40&gt;=$Y40*設定!$C$5,"△","○")))</f>
        <v/>
      </c>
      <c r="AA40" s="15">
        <f>IF($Z40="","",IF($Z40="×",0,IF($Z40="○",ROUNDDOWN($E40*設定!$C$4,0),ROUNDDOWN($E40*ROUND((9*$Y40-9*$E40)/(10*$E40),4),0))))</f>
        <v/>
      </c>
      <c r="AB40" s="13" t="n"/>
      <c r="AC40" s="15">
        <f>IF($B40="","",IF($AB40&lt;&gt;"",$AB40,IF($AA40="","",IF($AA40&lt;=設定!$C$3,0,$AA40))))</f>
        <v/>
      </c>
      <c r="AD40" s="14">
        <f>IF($B40="","",IF(AND($AE40&lt;&gt;"",$AG40="",$AJ40=""),"保留中",IF($AJ40&lt;&gt;"",IF(N($AC40)&gt;0,"支給済","不支給"),IF($AC40="","要確認",IF($AC40=0,"不支給","未処理")))))</f>
        <v/>
      </c>
      <c r="AE40" s="12" t="n"/>
      <c r="AF40" s="11" t="n"/>
      <c r="AG40" s="11" t="n"/>
      <c r="AH40" s="11" t="n"/>
      <c r="AI40" s="14">
        <f>IF(AND($AD40="保留中",$AF40&lt;&gt;""),TODAY()-$AF40,"")</f>
        <v/>
      </c>
      <c r="AJ40" s="12" t="inlineStr">
        <is>
          <t>R8.10</t>
        </is>
      </c>
      <c r="AK40" s="14">
        <f>IF($B40="","",IF($AO40="","対象年月が未入力／","")&amp;IF($B40="","",IF($AN40="","職員マスタに未登録の職員番号／",IF($Y40="","標準報酬月額が未登録／","")&amp;IF(AND($AO40&lt;&gt;"",OR(AND(INDEX(職員マスタ!$G$6:$G$405,$AN40)&lt;&gt;"",INDEX(職員マスタ!$G$6:$G$405,$AN40)&gt;EOMONTH($AO40,0)),AND(INDEX(職員マスタ!$H$6:$H$405,$AN40)&lt;&gt;"",INDEX(職員マスタ!$H$6:$H$405,$AN40)&lt;$AO40))),"対象月が時短期間外／","")&amp;IF(AND(INDEX(職員マスタ!$F$6:$F$405,$AN40)&lt;&gt;"",$AO40&lt;&gt;"",INDEX(職員マスタ!$F$6:$F$405,$AN40)&lt;$AO40),"対象月に子が2歳到達済／","")&amp;IF(AND($H40&lt;&gt;"",INDEX(職員マスタ!$B$6:$B$405,$AN40)&lt;&gt;"",SUBSTITUTE(SUBSTITUTE($H40," ","")," ","")&lt;&gt;SUBSTITUTE(SUBSTITUTE(INDEX(職員マスタ!$B$6:$B$405,$AN40)," ","")," ","")),"氏名がマスタと相違／","")&amp;IF(AND($Q40&lt;&gt;"",INDEX(職員マスタ!$E$6:$E$405,$AN40)&lt;&gt;"",$Q40&lt;&gt;INDEX(職員マスタ!$E$6:$E$405,$AN40)),"子の生年月日がマスタと相違／","")&amp;IF(AND($L40&lt;&gt;"",INDEX(職員マスタ!$G$6:$G$405,$AN40)&lt;&gt;"",$L40&lt;&gt;INDEX(職員マスタ!$G$6:$G$405,$AN40)),"時短開始日がマスタと相違／","")&amp;IF(AND($M40&lt;&gt;"",INDEX(職員マスタ!$H$6:$H$405,$AN40)&lt;&gt;"",$M40&lt;&gt;INDEX(職員マスタ!$H$6:$H$405,$AN40)),"時短終了日がマスタと相違／","")))&amp;IF(AND($B40&lt;&gt;"",$E40=""),"報酬額が未入力／","")&amp;IF(N($U40)&gt;0,"申請書に入力エラーが残っています／","")&amp;IF(AND($B40&lt;&gt;"",$AO40&lt;&gt;""),IF(COUNTIFS($B$6:$B$3005,$B40,$C$6:$C$3005,$C40,$D$6:$D$3005,$D40)&gt;1,"同じ月の請求が重複しています／",""),"")&amp;IF(AND(N($E40)&gt;0,$Z40&lt;&gt;"",$Z40&lt;&gt;"×",$AC40=0,$AB40=""),"計算額が下限以下のため不支給／",""))</f>
        <v/>
      </c>
      <c r="AL40" s="12" t="n"/>
      <c r="AM40" s="14">
        <f>IF($AD40="保留中",COUNTIF($AD$6:$AD40,"保留中"),"")</f>
        <v/>
      </c>
      <c r="AN40" s="14">
        <f>IF($AO40="","",IF(SUMPRODUCT(MAX((職員マスタ!$A$6:$A$405=$B40)*(((職員マスタ!$G$6:$G$405="")+(職員マスタ!$G$6:$G$405&lt;=EOMONTH($AO40,0)))&gt;0)*(((職員マスタ!$H$6:$H$405="")+(職員マスタ!$H$6:$H$405&gt;=$AO40))&gt;0)*(ROW(職員マスタ!$A$6:$A$405)-5)))&gt;0,SUMPRODUCT(MAX((職員マスタ!$A$6:$A$405=$B40)*(((職員マスタ!$G$6:$G$405="")+(職員マスタ!$G$6:$G$405&lt;=EOMONTH($AO40,0)))&gt;0)*(((職員マスタ!$H$6:$H$405="")+(職員マスタ!$H$6:$H$405&gt;=$AO40))&gt;0)*(ROW(職員マスタ!$A$6:$A$405)-5))),IFERROR(MATCH($B40,職員マスタ!$A$6:$A$405,0),"")))</f>
        <v/>
      </c>
      <c r="AO40" s="16">
        <f>IF(OR($B40="",$C40="",$D40=""),"",DATE($C40+2018,$D40,1))</f>
        <v/>
      </c>
    </row>
    <row r="41">
      <c r="A41" s="11" t="n"/>
      <c r="B41" s="12" t="n">
        <v>7202969</v>
      </c>
      <c r="C41" s="12" t="n">
        <v>8</v>
      </c>
      <c r="D41" s="12" t="n">
        <v>4</v>
      </c>
      <c r="E41" s="13" t="n">
        <v>271929</v>
      </c>
      <c r="F41" s="12" t="n"/>
      <c r="G41" s="13" t="n"/>
      <c r="H41" s="12" t="n"/>
      <c r="I41" s="12" t="n"/>
      <c r="J41" s="12" t="n"/>
      <c r="K41" s="12" t="n"/>
      <c r="L41" s="11" t="n"/>
      <c r="M41" s="11" t="n"/>
      <c r="N41" s="11" t="n"/>
      <c r="O41" s="11" t="n"/>
      <c r="P41" s="12" t="n"/>
      <c r="Q41" s="11" t="n"/>
      <c r="R41" s="12" t="n"/>
      <c r="S41" s="11" t="n"/>
      <c r="T41" s="12" t="n"/>
      <c r="U41" s="12" t="n"/>
      <c r="V41" s="14">
        <f>IF($AN41="",IF($B41="","",$H41),IF(INDEX(職員マスタ!$B$6:$B$405,$AN41)="",$H41,INDEX(職員マスタ!$B$6:$B$405,$AN41)))</f>
        <v/>
      </c>
      <c r="W41" s="14">
        <f>IF($AN41="",IF($B41="","",$R41),IF(INDEX(職員マスタ!$C$6:$C$405,$AN41)="",$R41,INDEX(職員マスタ!$C$6:$C$405,$AN41)))</f>
        <v/>
      </c>
      <c r="X41" s="14">
        <f>IF($AO41="","","R"&amp;$C41&amp;"."&amp;$D41)</f>
        <v/>
      </c>
      <c r="Y41" s="15">
        <f>IF($AN41="","",IF(INDEX(職員マスタ!$K$6:$K$405,$AN41)="","",INDEX(職員マスタ!$K$6:$K$405,$AN41)))</f>
        <v/>
      </c>
      <c r="Z41" s="14">
        <f>IF(OR($E41="",$Y41=""),"",IF($E41&gt;=$Y41,"×",IF($E41&gt;=$Y41*設定!$C$5,"△","○")))</f>
        <v/>
      </c>
      <c r="AA41" s="15">
        <f>IF($Z41="","",IF($Z41="×",0,IF($Z41="○",ROUNDDOWN($E41*設定!$C$4,0),ROUNDDOWN($E41*ROUND((9*$Y41-9*$E41)/(10*$E41),4),0))))</f>
        <v/>
      </c>
      <c r="AB41" s="13" t="n"/>
      <c r="AC41" s="15">
        <f>IF($B41="","",IF($AB41&lt;&gt;"",$AB41,IF($AA41="","",IF($AA41&lt;=設定!$C$3,0,$AA41))))</f>
        <v/>
      </c>
      <c r="AD41" s="14">
        <f>IF($B41="","",IF(AND($AE41&lt;&gt;"",$AG41="",$AJ41=""),"保留中",IF($AJ41&lt;&gt;"",IF(N($AC41)&gt;0,"支給済","不支給"),IF($AC41="","要確認",IF($AC41=0,"不支給","未処理")))))</f>
        <v/>
      </c>
      <c r="AE41" s="12" t="n"/>
      <c r="AF41" s="11" t="n"/>
      <c r="AG41" s="11" t="n"/>
      <c r="AH41" s="11" t="n"/>
      <c r="AI41" s="14">
        <f>IF(AND($AD41="保留中",$AF41&lt;&gt;""),TODAY()-$AF41,"")</f>
        <v/>
      </c>
      <c r="AJ41" s="12" t="inlineStr">
        <is>
          <t>R8.6</t>
        </is>
      </c>
      <c r="AK41" s="14">
        <f>IF($B41="","",IF($AO41="","対象年月が未入力／","")&amp;IF($B41="","",IF($AN41="","職員マスタに未登録の職員番号／",IF($Y41="","標準報酬月額が未登録／","")&amp;IF(AND($AO41&lt;&gt;"",OR(AND(INDEX(職員マスタ!$G$6:$G$405,$AN41)&lt;&gt;"",INDEX(職員マスタ!$G$6:$G$405,$AN41)&gt;EOMONTH($AO41,0)),AND(INDEX(職員マスタ!$H$6:$H$405,$AN41)&lt;&gt;"",INDEX(職員マスタ!$H$6:$H$405,$AN41)&lt;$AO41))),"対象月が時短期間外／","")&amp;IF(AND(INDEX(職員マスタ!$F$6:$F$405,$AN41)&lt;&gt;"",$AO41&lt;&gt;"",INDEX(職員マスタ!$F$6:$F$405,$AN41)&lt;$AO41),"対象月に子が2歳到達済／","")&amp;IF(AND($H41&lt;&gt;"",INDEX(職員マスタ!$B$6:$B$405,$AN41)&lt;&gt;"",SUBSTITUTE(SUBSTITUTE($H41," ","")," ","")&lt;&gt;SUBSTITUTE(SUBSTITUTE(INDEX(職員マスタ!$B$6:$B$405,$AN41)," ","")," ","")),"氏名がマスタと相違／","")&amp;IF(AND($Q41&lt;&gt;"",INDEX(職員マスタ!$E$6:$E$405,$AN41)&lt;&gt;"",$Q41&lt;&gt;INDEX(職員マスタ!$E$6:$E$405,$AN41)),"子の生年月日がマスタと相違／","")&amp;IF(AND($L41&lt;&gt;"",INDEX(職員マスタ!$G$6:$G$405,$AN41)&lt;&gt;"",$L41&lt;&gt;INDEX(職員マスタ!$G$6:$G$405,$AN41)),"時短開始日がマスタと相違／","")&amp;IF(AND($M41&lt;&gt;"",INDEX(職員マスタ!$H$6:$H$405,$AN41)&lt;&gt;"",$M41&lt;&gt;INDEX(職員マスタ!$H$6:$H$405,$AN41)),"時短終了日がマスタと相違／","")))&amp;IF(AND($B41&lt;&gt;"",$E41=""),"報酬額が未入力／","")&amp;IF(N($U41)&gt;0,"申請書に入力エラーが残っています／","")&amp;IF(AND($B41&lt;&gt;"",$AO41&lt;&gt;""),IF(COUNTIFS($B$6:$B$3005,$B41,$C$6:$C$3005,$C41,$D$6:$D$3005,$D41)&gt;1,"同じ月の請求が重複しています／",""),"")&amp;IF(AND(N($E41)&gt;0,$Z41&lt;&gt;"",$Z41&lt;&gt;"×",$AC41=0,$AB41=""),"計算額が下限以下のため不支給／",""))</f>
        <v/>
      </c>
      <c r="AL41" s="12" t="n"/>
      <c r="AM41" s="14">
        <f>IF($AD41="保留中",COUNTIF($AD$6:$AD41,"保留中"),"")</f>
        <v/>
      </c>
      <c r="AN41" s="14">
        <f>IF($AO41="","",IF(SUMPRODUCT(MAX((職員マスタ!$A$6:$A$405=$B41)*(((職員マスタ!$G$6:$G$405="")+(職員マスタ!$G$6:$G$405&lt;=EOMONTH($AO41,0)))&gt;0)*(((職員マスタ!$H$6:$H$405="")+(職員マスタ!$H$6:$H$405&gt;=$AO41))&gt;0)*(ROW(職員マスタ!$A$6:$A$405)-5)))&gt;0,SUMPRODUCT(MAX((職員マスタ!$A$6:$A$405=$B41)*(((職員マスタ!$G$6:$G$405="")+(職員マスタ!$G$6:$G$405&lt;=EOMONTH($AO41,0)))&gt;0)*(((職員マスタ!$H$6:$H$405="")+(職員マスタ!$H$6:$H$405&gt;=$AO41))&gt;0)*(ROW(職員マスタ!$A$6:$A$405)-5))),IFERROR(MATCH($B41,職員マスタ!$A$6:$A$405,0),"")))</f>
        <v/>
      </c>
      <c r="AO41" s="16">
        <f>IF(OR($B41="",$C41="",$D41=""),"",DATE($C41+2018,$D41,1))</f>
        <v/>
      </c>
    </row>
    <row r="42">
      <c r="A42" s="11" t="n"/>
      <c r="B42" s="12" t="n">
        <v>7202969</v>
      </c>
      <c r="C42" s="12" t="n">
        <v>8</v>
      </c>
      <c r="D42" s="12" t="n">
        <v>5</v>
      </c>
      <c r="E42" s="13" t="n">
        <v>284187</v>
      </c>
      <c r="F42" s="12" t="n"/>
      <c r="G42" s="13" t="n"/>
      <c r="H42" s="12" t="n"/>
      <c r="I42" s="12" t="n"/>
      <c r="J42" s="12" t="n"/>
      <c r="K42" s="12" t="n"/>
      <c r="L42" s="11" t="n"/>
      <c r="M42" s="11" t="n"/>
      <c r="N42" s="11" t="n"/>
      <c r="O42" s="11" t="n"/>
      <c r="P42" s="12" t="n"/>
      <c r="Q42" s="11" t="n"/>
      <c r="R42" s="12" t="n"/>
      <c r="S42" s="11" t="n"/>
      <c r="T42" s="12" t="n"/>
      <c r="U42" s="12" t="n"/>
      <c r="V42" s="14">
        <f>IF($AN42="",IF($B42="","",$H42),IF(INDEX(職員マスタ!$B$6:$B$405,$AN42)="",$H42,INDEX(職員マスタ!$B$6:$B$405,$AN42)))</f>
        <v/>
      </c>
      <c r="W42" s="14">
        <f>IF($AN42="",IF($B42="","",$R42),IF(INDEX(職員マスタ!$C$6:$C$405,$AN42)="",$R42,INDEX(職員マスタ!$C$6:$C$405,$AN42)))</f>
        <v/>
      </c>
      <c r="X42" s="14">
        <f>IF($AO42="","","R"&amp;$C42&amp;"."&amp;$D42)</f>
        <v/>
      </c>
      <c r="Y42" s="15">
        <f>IF($AN42="","",IF(INDEX(職員マスタ!$K$6:$K$405,$AN42)="","",INDEX(職員マスタ!$K$6:$K$405,$AN42)))</f>
        <v/>
      </c>
      <c r="Z42" s="14">
        <f>IF(OR($E42="",$Y42=""),"",IF($E42&gt;=$Y42,"×",IF($E42&gt;=$Y42*設定!$C$5,"△","○")))</f>
        <v/>
      </c>
      <c r="AA42" s="15">
        <f>IF($Z42="","",IF($Z42="×",0,IF($Z42="○",ROUNDDOWN($E42*設定!$C$4,0),ROUNDDOWN($E42*ROUND((9*$Y42-9*$E42)/(10*$E42),4),0))))</f>
        <v/>
      </c>
      <c r="AB42" s="13" t="n"/>
      <c r="AC42" s="15">
        <f>IF($B42="","",IF($AB42&lt;&gt;"",$AB42,IF($AA42="","",IF($AA42&lt;=設定!$C$3,0,$AA42))))</f>
        <v/>
      </c>
      <c r="AD42" s="14">
        <f>IF($B42="","",IF(AND($AE42&lt;&gt;"",$AG42="",$AJ42=""),"保留中",IF($AJ42&lt;&gt;"",IF(N($AC42)&gt;0,"支給済","不支給"),IF($AC42="","要確認",IF($AC42=0,"不支給","未処理")))))</f>
        <v/>
      </c>
      <c r="AE42" s="12" t="n"/>
      <c r="AF42" s="11" t="n"/>
      <c r="AG42" s="11" t="n"/>
      <c r="AH42" s="11" t="n"/>
      <c r="AI42" s="14">
        <f>IF(AND($AD42="保留中",$AF42&lt;&gt;""),TODAY()-$AF42,"")</f>
        <v/>
      </c>
      <c r="AJ42" s="12" t="inlineStr">
        <is>
          <t>R8.7</t>
        </is>
      </c>
      <c r="AK42" s="14">
        <f>IF($B42="","",IF($AO42="","対象年月が未入力／","")&amp;IF($B42="","",IF($AN42="","職員マスタに未登録の職員番号／",IF($Y42="","標準報酬月額が未登録／","")&amp;IF(AND($AO42&lt;&gt;"",OR(AND(INDEX(職員マスタ!$G$6:$G$405,$AN42)&lt;&gt;"",INDEX(職員マスタ!$G$6:$G$405,$AN42)&gt;EOMONTH($AO42,0)),AND(INDEX(職員マスタ!$H$6:$H$405,$AN42)&lt;&gt;"",INDEX(職員マスタ!$H$6:$H$405,$AN42)&lt;$AO42))),"対象月が時短期間外／","")&amp;IF(AND(INDEX(職員マスタ!$F$6:$F$405,$AN42)&lt;&gt;"",$AO42&lt;&gt;"",INDEX(職員マスタ!$F$6:$F$405,$AN42)&lt;$AO42),"対象月に子が2歳到達済／","")&amp;IF(AND($H42&lt;&gt;"",INDEX(職員マスタ!$B$6:$B$405,$AN42)&lt;&gt;"",SUBSTITUTE(SUBSTITUTE($H42," ","")," ","")&lt;&gt;SUBSTITUTE(SUBSTITUTE(INDEX(職員マスタ!$B$6:$B$405,$AN42)," ","")," ","")),"氏名がマスタと相違／","")&amp;IF(AND($Q42&lt;&gt;"",INDEX(職員マスタ!$E$6:$E$405,$AN42)&lt;&gt;"",$Q42&lt;&gt;INDEX(職員マスタ!$E$6:$E$405,$AN42)),"子の生年月日がマスタと相違／","")&amp;IF(AND($L42&lt;&gt;"",INDEX(職員マスタ!$G$6:$G$405,$AN42)&lt;&gt;"",$L42&lt;&gt;INDEX(職員マスタ!$G$6:$G$405,$AN42)),"時短開始日がマスタと相違／","")&amp;IF(AND($M42&lt;&gt;"",INDEX(職員マスタ!$H$6:$H$405,$AN42)&lt;&gt;"",$M42&lt;&gt;INDEX(職員マスタ!$H$6:$H$405,$AN42)),"時短終了日がマスタと相違／","")))&amp;IF(AND($B42&lt;&gt;"",$E42=""),"報酬額が未入力／","")&amp;IF(N($U42)&gt;0,"申請書に入力エラーが残っています／","")&amp;IF(AND($B42&lt;&gt;"",$AO42&lt;&gt;""),IF(COUNTIFS($B$6:$B$3005,$B42,$C$6:$C$3005,$C42,$D$6:$D$3005,$D42)&gt;1,"同じ月の請求が重複しています／",""),"")&amp;IF(AND(N($E42)&gt;0,$Z42&lt;&gt;"",$Z42&lt;&gt;"×",$AC42=0,$AB42=""),"計算額が下限以下のため不支給／",""))</f>
        <v/>
      </c>
      <c r="AL42" s="12" t="n"/>
      <c r="AM42" s="14">
        <f>IF($AD42="保留中",COUNTIF($AD$6:$AD42,"保留中"),"")</f>
        <v/>
      </c>
      <c r="AN42" s="14">
        <f>IF($AO42="","",IF(SUMPRODUCT(MAX((職員マスタ!$A$6:$A$405=$B42)*(((職員マスタ!$G$6:$G$405="")+(職員マスタ!$G$6:$G$405&lt;=EOMONTH($AO42,0)))&gt;0)*(((職員マスタ!$H$6:$H$405="")+(職員マスタ!$H$6:$H$405&gt;=$AO42))&gt;0)*(ROW(職員マスタ!$A$6:$A$405)-5)))&gt;0,SUMPRODUCT(MAX((職員マスタ!$A$6:$A$405=$B42)*(((職員マスタ!$G$6:$G$405="")+(職員マスタ!$G$6:$G$405&lt;=EOMONTH($AO42,0)))&gt;0)*(((職員マスタ!$H$6:$H$405="")+(職員マスタ!$H$6:$H$405&gt;=$AO42))&gt;0)*(ROW(職員マスタ!$A$6:$A$405)-5))),IFERROR(MATCH($B42,職員マスタ!$A$6:$A$405,0),"")))</f>
        <v/>
      </c>
      <c r="AO42" s="16">
        <f>IF(OR($B42="",$C42="",$D42=""),"",DATE($C42+2018,$D42,1))</f>
        <v/>
      </c>
    </row>
    <row r="43">
      <c r="A43" s="11" t="n"/>
      <c r="B43" s="12" t="n">
        <v>7202969</v>
      </c>
      <c r="C43" s="12" t="n">
        <v>8</v>
      </c>
      <c r="D43" s="12" t="n">
        <v>6</v>
      </c>
      <c r="E43" s="13" t="n">
        <v>284187</v>
      </c>
      <c r="F43" s="12" t="n"/>
      <c r="G43" s="13" t="n"/>
      <c r="H43" s="12" t="n"/>
      <c r="I43" s="12" t="n"/>
      <c r="J43" s="12" t="n"/>
      <c r="K43" s="12" t="n"/>
      <c r="L43" s="11" t="n"/>
      <c r="M43" s="11" t="n"/>
      <c r="N43" s="11" t="n"/>
      <c r="O43" s="11" t="n"/>
      <c r="P43" s="12" t="n"/>
      <c r="Q43" s="11" t="n"/>
      <c r="R43" s="12" t="n"/>
      <c r="S43" s="11" t="n"/>
      <c r="T43" s="12" t="n"/>
      <c r="U43" s="12" t="n"/>
      <c r="V43" s="14">
        <f>IF($AN43="",IF($B43="","",$H43),IF(INDEX(職員マスタ!$B$6:$B$405,$AN43)="",$H43,INDEX(職員マスタ!$B$6:$B$405,$AN43)))</f>
        <v/>
      </c>
      <c r="W43" s="14">
        <f>IF($AN43="",IF($B43="","",$R43),IF(INDEX(職員マスタ!$C$6:$C$405,$AN43)="",$R43,INDEX(職員マスタ!$C$6:$C$405,$AN43)))</f>
        <v/>
      </c>
      <c r="X43" s="14">
        <f>IF($AO43="","","R"&amp;$C43&amp;"."&amp;$D43)</f>
        <v/>
      </c>
      <c r="Y43" s="15">
        <f>IF($AN43="","",IF(INDEX(職員マスタ!$K$6:$K$405,$AN43)="","",INDEX(職員マスタ!$K$6:$K$405,$AN43)))</f>
        <v/>
      </c>
      <c r="Z43" s="14">
        <f>IF(OR($E43="",$Y43=""),"",IF($E43&gt;=$Y43,"×",IF($E43&gt;=$Y43*設定!$C$5,"△","○")))</f>
        <v/>
      </c>
      <c r="AA43" s="15">
        <f>IF($Z43="","",IF($Z43="×",0,IF($Z43="○",ROUNDDOWN($E43*設定!$C$4,0),ROUNDDOWN($E43*ROUND((9*$Y43-9*$E43)/(10*$E43),4),0))))</f>
        <v/>
      </c>
      <c r="AB43" s="13" t="n"/>
      <c r="AC43" s="15">
        <f>IF($B43="","",IF($AB43&lt;&gt;"",$AB43,IF($AA43="","",IF($AA43&lt;=設定!$C$3,0,$AA43))))</f>
        <v/>
      </c>
      <c r="AD43" s="14">
        <f>IF($B43="","",IF(AND($AE43&lt;&gt;"",$AG43="",$AJ43=""),"保留中",IF($AJ43&lt;&gt;"",IF(N($AC43)&gt;0,"支給済","不支給"),IF($AC43="","要確認",IF($AC43=0,"不支給","未処理")))))</f>
        <v/>
      </c>
      <c r="AE43" s="12" t="n"/>
      <c r="AF43" s="11" t="n"/>
      <c r="AG43" s="11" t="n"/>
      <c r="AH43" s="11" t="n"/>
      <c r="AI43" s="14">
        <f>IF(AND($AD43="保留中",$AF43&lt;&gt;""),TODAY()-$AF43,"")</f>
        <v/>
      </c>
      <c r="AJ43" s="12" t="inlineStr">
        <is>
          <t>R8.8</t>
        </is>
      </c>
      <c r="AK43" s="14">
        <f>IF($B43="","",IF($AO43="","対象年月が未入力／","")&amp;IF($B43="","",IF($AN43="","職員マスタに未登録の職員番号／",IF($Y43="","標準報酬月額が未登録／","")&amp;IF(AND($AO43&lt;&gt;"",OR(AND(INDEX(職員マスタ!$G$6:$G$405,$AN43)&lt;&gt;"",INDEX(職員マスタ!$G$6:$G$405,$AN43)&gt;EOMONTH($AO43,0)),AND(INDEX(職員マスタ!$H$6:$H$405,$AN43)&lt;&gt;"",INDEX(職員マスタ!$H$6:$H$405,$AN43)&lt;$AO43))),"対象月が時短期間外／","")&amp;IF(AND(INDEX(職員マスタ!$F$6:$F$405,$AN43)&lt;&gt;"",$AO43&lt;&gt;"",INDEX(職員マスタ!$F$6:$F$405,$AN43)&lt;$AO43),"対象月に子が2歳到達済／","")&amp;IF(AND($H43&lt;&gt;"",INDEX(職員マスタ!$B$6:$B$405,$AN43)&lt;&gt;"",SUBSTITUTE(SUBSTITUTE($H43," ","")," ","")&lt;&gt;SUBSTITUTE(SUBSTITUTE(INDEX(職員マスタ!$B$6:$B$405,$AN43)," ","")," ","")),"氏名がマスタと相違／","")&amp;IF(AND($Q43&lt;&gt;"",INDEX(職員マスタ!$E$6:$E$405,$AN43)&lt;&gt;"",$Q43&lt;&gt;INDEX(職員マスタ!$E$6:$E$405,$AN43)),"子の生年月日がマスタと相違／","")&amp;IF(AND($L43&lt;&gt;"",INDEX(職員マスタ!$G$6:$G$405,$AN43)&lt;&gt;"",$L43&lt;&gt;INDEX(職員マスタ!$G$6:$G$405,$AN43)),"時短開始日がマスタと相違／","")&amp;IF(AND($M43&lt;&gt;"",INDEX(職員マスタ!$H$6:$H$405,$AN43)&lt;&gt;"",$M43&lt;&gt;INDEX(職員マスタ!$H$6:$H$405,$AN43)),"時短終了日がマスタと相違／","")))&amp;IF(AND($B43&lt;&gt;"",$E43=""),"報酬額が未入力／","")&amp;IF(N($U43)&gt;0,"申請書に入力エラーが残っています／","")&amp;IF(AND($B43&lt;&gt;"",$AO43&lt;&gt;""),IF(COUNTIFS($B$6:$B$3005,$B43,$C$6:$C$3005,$C43,$D$6:$D$3005,$D43)&gt;1,"同じ月の請求が重複しています／",""),"")&amp;IF(AND(N($E43)&gt;0,$Z43&lt;&gt;"",$Z43&lt;&gt;"×",$AC43=0,$AB43=""),"計算額が下限以下のため不支給／",""))</f>
        <v/>
      </c>
      <c r="AL43" s="12" t="n"/>
      <c r="AM43" s="14">
        <f>IF($AD43="保留中",COUNTIF($AD$6:$AD43,"保留中"),"")</f>
        <v/>
      </c>
      <c r="AN43" s="14">
        <f>IF($AO43="","",IF(SUMPRODUCT(MAX((職員マスタ!$A$6:$A$405=$B43)*(((職員マスタ!$G$6:$G$405="")+(職員マスタ!$G$6:$G$405&lt;=EOMONTH($AO43,0)))&gt;0)*(((職員マスタ!$H$6:$H$405="")+(職員マスタ!$H$6:$H$405&gt;=$AO43))&gt;0)*(ROW(職員マスタ!$A$6:$A$405)-5)))&gt;0,SUMPRODUCT(MAX((職員マスタ!$A$6:$A$405=$B43)*(((職員マスタ!$G$6:$G$405="")+(職員マスタ!$G$6:$G$405&lt;=EOMONTH($AO43,0)))&gt;0)*(((職員マスタ!$H$6:$H$405="")+(職員マスタ!$H$6:$H$405&gt;=$AO43))&gt;0)*(ROW(職員マスタ!$A$6:$A$405)-5))),IFERROR(MATCH($B43,職員マスタ!$A$6:$A$405,0),"")))</f>
        <v/>
      </c>
      <c r="AO43" s="16">
        <f>IF(OR($B43="",$C43="",$D43=""),"",DATE($C43+2018,$D43,1))</f>
        <v/>
      </c>
    </row>
    <row r="44">
      <c r="A44" s="11" t="n"/>
      <c r="B44" s="12" t="n">
        <v>7202969</v>
      </c>
      <c r="C44" s="12" t="n">
        <v>8</v>
      </c>
      <c r="D44" s="12" t="n">
        <v>7</v>
      </c>
      <c r="E44" s="13" t="n">
        <v>284187</v>
      </c>
      <c r="F44" s="12" t="n"/>
      <c r="G44" s="13" t="n"/>
      <c r="H44" s="12" t="n"/>
      <c r="I44" s="12" t="n"/>
      <c r="J44" s="12" t="n"/>
      <c r="K44" s="12" t="n"/>
      <c r="L44" s="11" t="n"/>
      <c r="M44" s="11" t="n"/>
      <c r="N44" s="11" t="n"/>
      <c r="O44" s="11" t="n"/>
      <c r="P44" s="12" t="n"/>
      <c r="Q44" s="11" t="n"/>
      <c r="R44" s="12" t="n"/>
      <c r="S44" s="11" t="n"/>
      <c r="T44" s="12" t="n"/>
      <c r="U44" s="12" t="n"/>
      <c r="V44" s="14">
        <f>IF($AN44="",IF($B44="","",$H44),IF(INDEX(職員マスタ!$B$6:$B$405,$AN44)="",$H44,INDEX(職員マスタ!$B$6:$B$405,$AN44)))</f>
        <v/>
      </c>
      <c r="W44" s="14">
        <f>IF($AN44="",IF($B44="","",$R44),IF(INDEX(職員マスタ!$C$6:$C$405,$AN44)="",$R44,INDEX(職員マスタ!$C$6:$C$405,$AN44)))</f>
        <v/>
      </c>
      <c r="X44" s="14">
        <f>IF($AO44="","","R"&amp;$C44&amp;"."&amp;$D44)</f>
        <v/>
      </c>
      <c r="Y44" s="15">
        <f>IF($AN44="","",IF(INDEX(職員マスタ!$K$6:$K$405,$AN44)="","",INDEX(職員マスタ!$K$6:$K$405,$AN44)))</f>
        <v/>
      </c>
      <c r="Z44" s="14">
        <f>IF(OR($E44="",$Y44=""),"",IF($E44&gt;=$Y44,"×",IF($E44&gt;=$Y44*設定!$C$5,"△","○")))</f>
        <v/>
      </c>
      <c r="AA44" s="15">
        <f>IF($Z44="","",IF($Z44="×",0,IF($Z44="○",ROUNDDOWN($E44*設定!$C$4,0),ROUNDDOWN($E44*ROUND((9*$Y44-9*$E44)/(10*$E44),4),0))))</f>
        <v/>
      </c>
      <c r="AB44" s="13" t="n"/>
      <c r="AC44" s="15">
        <f>IF($B44="","",IF($AB44&lt;&gt;"",$AB44,IF($AA44="","",IF($AA44&lt;=設定!$C$3,0,$AA44))))</f>
        <v/>
      </c>
      <c r="AD44" s="14">
        <f>IF($B44="","",IF(AND($AE44&lt;&gt;"",$AG44="",$AJ44=""),"保留中",IF($AJ44&lt;&gt;"",IF(N($AC44)&gt;0,"支給済","不支給"),IF($AC44="","要確認",IF($AC44=0,"不支給","未処理")))))</f>
        <v/>
      </c>
      <c r="AE44" s="12" t="n"/>
      <c r="AF44" s="11" t="n"/>
      <c r="AG44" s="11" t="n"/>
      <c r="AH44" s="11" t="n"/>
      <c r="AI44" s="14">
        <f>IF(AND($AD44="保留中",$AF44&lt;&gt;""),TODAY()-$AF44,"")</f>
        <v/>
      </c>
      <c r="AJ44" s="12" t="inlineStr">
        <is>
          <t>R8.9</t>
        </is>
      </c>
      <c r="AK44" s="14">
        <f>IF($B44="","",IF($AO44="","対象年月が未入力／","")&amp;IF($B44="","",IF($AN44="","職員マスタに未登録の職員番号／",IF($Y44="","標準報酬月額が未登録／","")&amp;IF(AND($AO44&lt;&gt;"",OR(AND(INDEX(職員マスタ!$G$6:$G$405,$AN44)&lt;&gt;"",INDEX(職員マスタ!$G$6:$G$405,$AN44)&gt;EOMONTH($AO44,0)),AND(INDEX(職員マスタ!$H$6:$H$405,$AN44)&lt;&gt;"",INDEX(職員マスタ!$H$6:$H$405,$AN44)&lt;$AO44))),"対象月が時短期間外／","")&amp;IF(AND(INDEX(職員マスタ!$F$6:$F$405,$AN44)&lt;&gt;"",$AO44&lt;&gt;"",INDEX(職員マスタ!$F$6:$F$405,$AN44)&lt;$AO44),"対象月に子が2歳到達済／","")&amp;IF(AND($H44&lt;&gt;"",INDEX(職員マスタ!$B$6:$B$405,$AN44)&lt;&gt;"",SUBSTITUTE(SUBSTITUTE($H44," ","")," ","")&lt;&gt;SUBSTITUTE(SUBSTITUTE(INDEX(職員マスタ!$B$6:$B$405,$AN44)," ","")," ","")),"氏名がマスタと相違／","")&amp;IF(AND($Q44&lt;&gt;"",INDEX(職員マスタ!$E$6:$E$405,$AN44)&lt;&gt;"",$Q44&lt;&gt;INDEX(職員マスタ!$E$6:$E$405,$AN44)),"子の生年月日がマスタと相違／","")&amp;IF(AND($L44&lt;&gt;"",INDEX(職員マスタ!$G$6:$G$405,$AN44)&lt;&gt;"",$L44&lt;&gt;INDEX(職員マスタ!$G$6:$G$405,$AN44)),"時短開始日がマスタと相違／","")&amp;IF(AND($M44&lt;&gt;"",INDEX(職員マスタ!$H$6:$H$405,$AN44)&lt;&gt;"",$M44&lt;&gt;INDEX(職員マスタ!$H$6:$H$405,$AN44)),"時短終了日がマスタと相違／","")))&amp;IF(AND($B44&lt;&gt;"",$E44=""),"報酬額が未入力／","")&amp;IF(N($U44)&gt;0,"申請書に入力エラーが残っています／","")&amp;IF(AND($B44&lt;&gt;"",$AO44&lt;&gt;""),IF(COUNTIFS($B$6:$B$3005,$B44,$C$6:$C$3005,$C44,$D$6:$D$3005,$D44)&gt;1,"同じ月の請求が重複しています／",""),"")&amp;IF(AND(N($E44)&gt;0,$Z44&lt;&gt;"",$Z44&lt;&gt;"×",$AC44=0,$AB44=""),"計算額が下限以下のため不支給／",""))</f>
        <v/>
      </c>
      <c r="AL44" s="12" t="n"/>
      <c r="AM44" s="14">
        <f>IF($AD44="保留中",COUNTIF($AD$6:$AD44,"保留中"),"")</f>
        <v/>
      </c>
      <c r="AN44" s="14">
        <f>IF($AO44="","",IF(SUMPRODUCT(MAX((職員マスタ!$A$6:$A$405=$B44)*(((職員マスタ!$G$6:$G$405="")+(職員マスタ!$G$6:$G$405&lt;=EOMONTH($AO44,0)))&gt;0)*(((職員マスタ!$H$6:$H$405="")+(職員マスタ!$H$6:$H$405&gt;=$AO44))&gt;0)*(ROW(職員マスタ!$A$6:$A$405)-5)))&gt;0,SUMPRODUCT(MAX((職員マスタ!$A$6:$A$405=$B44)*(((職員マスタ!$G$6:$G$405="")+(職員マスタ!$G$6:$G$405&lt;=EOMONTH($AO44,0)))&gt;0)*(((職員マスタ!$H$6:$H$405="")+(職員マスタ!$H$6:$H$405&gt;=$AO44))&gt;0)*(ROW(職員マスタ!$A$6:$A$405)-5))),IFERROR(MATCH($B44,職員マスタ!$A$6:$A$405,0),"")))</f>
        <v/>
      </c>
      <c r="AO44" s="16">
        <f>IF(OR($B44="",$C44="",$D44=""),"",DATE($C44+2018,$D44,1))</f>
        <v/>
      </c>
    </row>
    <row r="45">
      <c r="A45" s="11" t="n"/>
      <c r="B45" s="12" t="n">
        <v>7202969</v>
      </c>
      <c r="C45" s="12" t="n">
        <v>8</v>
      </c>
      <c r="D45" s="12" t="n">
        <v>8</v>
      </c>
      <c r="E45" s="13" t="n">
        <v>284187</v>
      </c>
      <c r="F45" s="12" t="n"/>
      <c r="G45" s="13" t="n"/>
      <c r="H45" s="12" t="n"/>
      <c r="I45" s="12" t="n"/>
      <c r="J45" s="12" t="n"/>
      <c r="K45" s="12" t="n"/>
      <c r="L45" s="11" t="n"/>
      <c r="M45" s="11" t="n"/>
      <c r="N45" s="11" t="n"/>
      <c r="O45" s="11" t="n"/>
      <c r="P45" s="12" t="n"/>
      <c r="Q45" s="11" t="n"/>
      <c r="R45" s="12" t="n"/>
      <c r="S45" s="11" t="n"/>
      <c r="T45" s="12" t="n"/>
      <c r="U45" s="12" t="n"/>
      <c r="V45" s="14">
        <f>IF($AN45="",IF($B45="","",$H45),IF(INDEX(職員マスタ!$B$6:$B$405,$AN45)="",$H45,INDEX(職員マスタ!$B$6:$B$405,$AN45)))</f>
        <v/>
      </c>
      <c r="W45" s="14">
        <f>IF($AN45="",IF($B45="","",$R45),IF(INDEX(職員マスタ!$C$6:$C$405,$AN45)="",$R45,INDEX(職員マスタ!$C$6:$C$405,$AN45)))</f>
        <v/>
      </c>
      <c r="X45" s="14">
        <f>IF($AO45="","","R"&amp;$C45&amp;"."&amp;$D45)</f>
        <v/>
      </c>
      <c r="Y45" s="15">
        <f>IF($AN45="","",IF(INDEX(職員マスタ!$K$6:$K$405,$AN45)="","",INDEX(職員マスタ!$K$6:$K$405,$AN45)))</f>
        <v/>
      </c>
      <c r="Z45" s="14">
        <f>IF(OR($E45="",$Y45=""),"",IF($E45&gt;=$Y45,"×",IF($E45&gt;=$Y45*設定!$C$5,"△","○")))</f>
        <v/>
      </c>
      <c r="AA45" s="15">
        <f>IF($Z45="","",IF($Z45="×",0,IF($Z45="○",ROUNDDOWN($E45*設定!$C$4,0),ROUNDDOWN($E45*ROUND((9*$Y45-9*$E45)/(10*$E45),4),0))))</f>
        <v/>
      </c>
      <c r="AB45" s="13" t="n"/>
      <c r="AC45" s="15">
        <f>IF($B45="","",IF($AB45&lt;&gt;"",$AB45,IF($AA45="","",IF($AA45&lt;=設定!$C$3,0,$AA45))))</f>
        <v/>
      </c>
      <c r="AD45" s="14">
        <f>IF($B45="","",IF(AND($AE45&lt;&gt;"",$AG45="",$AJ45=""),"保留中",IF($AJ45&lt;&gt;"",IF(N($AC45)&gt;0,"支給済","不支給"),IF($AC45="","要確認",IF($AC45=0,"不支給","未処理")))))</f>
        <v/>
      </c>
      <c r="AE45" s="12" t="n"/>
      <c r="AF45" s="11" t="n"/>
      <c r="AG45" s="11" t="n"/>
      <c r="AH45" s="11" t="n"/>
      <c r="AI45" s="14">
        <f>IF(AND($AD45="保留中",$AF45&lt;&gt;""),TODAY()-$AF45,"")</f>
        <v/>
      </c>
      <c r="AJ45" s="12" t="inlineStr">
        <is>
          <t>R8.10</t>
        </is>
      </c>
      <c r="AK45" s="14">
        <f>IF($B45="","",IF($AO45="","対象年月が未入力／","")&amp;IF($B45="","",IF($AN45="","職員マスタに未登録の職員番号／",IF($Y45="","標準報酬月額が未登録／","")&amp;IF(AND($AO45&lt;&gt;"",OR(AND(INDEX(職員マスタ!$G$6:$G$405,$AN45)&lt;&gt;"",INDEX(職員マスタ!$G$6:$G$405,$AN45)&gt;EOMONTH($AO45,0)),AND(INDEX(職員マスタ!$H$6:$H$405,$AN45)&lt;&gt;"",INDEX(職員マスタ!$H$6:$H$405,$AN45)&lt;$AO45))),"対象月が時短期間外／","")&amp;IF(AND(INDEX(職員マスタ!$F$6:$F$405,$AN45)&lt;&gt;"",$AO45&lt;&gt;"",INDEX(職員マスタ!$F$6:$F$405,$AN45)&lt;$AO45),"対象月に子が2歳到達済／","")&amp;IF(AND($H45&lt;&gt;"",INDEX(職員マスタ!$B$6:$B$405,$AN45)&lt;&gt;"",SUBSTITUTE(SUBSTITUTE($H45," ","")," ","")&lt;&gt;SUBSTITUTE(SUBSTITUTE(INDEX(職員マスタ!$B$6:$B$405,$AN45)," ","")," ","")),"氏名がマスタと相違／","")&amp;IF(AND($Q45&lt;&gt;"",INDEX(職員マスタ!$E$6:$E$405,$AN45)&lt;&gt;"",$Q45&lt;&gt;INDEX(職員マスタ!$E$6:$E$405,$AN45)),"子の生年月日がマスタと相違／","")&amp;IF(AND($L45&lt;&gt;"",INDEX(職員マスタ!$G$6:$G$405,$AN45)&lt;&gt;"",$L45&lt;&gt;INDEX(職員マスタ!$G$6:$G$405,$AN45)),"時短開始日がマスタと相違／","")&amp;IF(AND($M45&lt;&gt;"",INDEX(職員マスタ!$H$6:$H$405,$AN45)&lt;&gt;"",$M45&lt;&gt;INDEX(職員マスタ!$H$6:$H$405,$AN45)),"時短終了日がマスタと相違／","")))&amp;IF(AND($B45&lt;&gt;"",$E45=""),"報酬額が未入力／","")&amp;IF(N($U45)&gt;0,"申請書に入力エラーが残っています／","")&amp;IF(AND($B45&lt;&gt;"",$AO45&lt;&gt;""),IF(COUNTIFS($B$6:$B$3005,$B45,$C$6:$C$3005,$C45,$D$6:$D$3005,$D45)&gt;1,"同じ月の請求が重複しています／",""),"")&amp;IF(AND(N($E45)&gt;0,$Z45&lt;&gt;"",$Z45&lt;&gt;"×",$AC45=0,$AB45=""),"計算額が下限以下のため不支給／",""))</f>
        <v/>
      </c>
      <c r="AL45" s="12" t="n"/>
      <c r="AM45" s="14">
        <f>IF($AD45="保留中",COUNTIF($AD$6:$AD45,"保留中"),"")</f>
        <v/>
      </c>
      <c r="AN45" s="14">
        <f>IF($AO45="","",IF(SUMPRODUCT(MAX((職員マスタ!$A$6:$A$405=$B45)*(((職員マスタ!$G$6:$G$405="")+(職員マスタ!$G$6:$G$405&lt;=EOMONTH($AO45,0)))&gt;0)*(((職員マスタ!$H$6:$H$405="")+(職員マスタ!$H$6:$H$405&gt;=$AO45))&gt;0)*(ROW(職員マスタ!$A$6:$A$405)-5)))&gt;0,SUMPRODUCT(MAX((職員マスタ!$A$6:$A$405=$B45)*(((職員マスタ!$G$6:$G$405="")+(職員マスタ!$G$6:$G$405&lt;=EOMONTH($AO45,0)))&gt;0)*(((職員マスタ!$H$6:$H$405="")+(職員マスタ!$H$6:$H$405&gt;=$AO45))&gt;0)*(ROW(職員マスタ!$A$6:$A$405)-5))),IFERROR(MATCH($B45,職員マスタ!$A$6:$A$405,0),"")))</f>
        <v/>
      </c>
      <c r="AO45" s="16">
        <f>IF(OR($B45="",$C45="",$D45=""),"",DATE($C45+2018,$D45,1))</f>
        <v/>
      </c>
    </row>
    <row r="46">
      <c r="A46" s="11" t="n"/>
      <c r="B46" s="12" t="n">
        <v>6704266</v>
      </c>
      <c r="C46" s="12" t="n">
        <v>8</v>
      </c>
      <c r="D46" s="12" t="n">
        <v>5</v>
      </c>
      <c r="E46" s="13" t="n">
        <v>174674</v>
      </c>
      <c r="F46" s="12" t="n"/>
      <c r="G46" s="13" t="n"/>
      <c r="H46" s="12" t="n"/>
      <c r="I46" s="12" t="n"/>
      <c r="J46" s="12" t="n"/>
      <c r="K46" s="12" t="n"/>
      <c r="L46" s="11" t="n"/>
      <c r="M46" s="11" t="n"/>
      <c r="N46" s="11" t="n"/>
      <c r="O46" s="11" t="n"/>
      <c r="P46" s="12" t="n"/>
      <c r="Q46" s="11" t="n"/>
      <c r="R46" s="12" t="n"/>
      <c r="S46" s="11" t="n"/>
      <c r="T46" s="12" t="n"/>
      <c r="U46" s="12" t="n"/>
      <c r="V46" s="14">
        <f>IF($AN46="",IF($B46="","",$H46),IF(INDEX(職員マスタ!$B$6:$B$405,$AN46)="",$H46,INDEX(職員マスタ!$B$6:$B$405,$AN46)))</f>
        <v/>
      </c>
      <c r="W46" s="14">
        <f>IF($AN46="",IF($B46="","",$R46),IF(INDEX(職員マスタ!$C$6:$C$405,$AN46)="",$R46,INDEX(職員マスタ!$C$6:$C$405,$AN46)))</f>
        <v/>
      </c>
      <c r="X46" s="14">
        <f>IF($AO46="","","R"&amp;$C46&amp;"."&amp;$D46)</f>
        <v/>
      </c>
      <c r="Y46" s="15">
        <f>IF($AN46="","",IF(INDEX(職員マスタ!$K$6:$K$405,$AN46)="","",INDEX(職員マスタ!$K$6:$K$405,$AN46)))</f>
        <v/>
      </c>
      <c r="Z46" s="14">
        <f>IF(OR($E46="",$Y46=""),"",IF($E46&gt;=$Y46,"×",IF($E46&gt;=$Y46*設定!$C$5,"△","○")))</f>
        <v/>
      </c>
      <c r="AA46" s="15">
        <f>IF($Z46="","",IF($Z46="×",0,IF($Z46="○",ROUNDDOWN($E46*設定!$C$4,0),ROUNDDOWN($E46*ROUND((9*$Y46-9*$E46)/(10*$E46),4),0))))</f>
        <v/>
      </c>
      <c r="AB46" s="13" t="n"/>
      <c r="AC46" s="15">
        <f>IF($B46="","",IF($AB46&lt;&gt;"",$AB46,IF($AA46="","",IF($AA46&lt;=設定!$C$3,0,$AA46))))</f>
        <v/>
      </c>
      <c r="AD46" s="14">
        <f>IF($B46="","",IF(AND($AE46&lt;&gt;"",$AG46="",$AJ46=""),"保留中",IF($AJ46&lt;&gt;"",IF(N($AC46)&gt;0,"支給済","不支給"),IF($AC46="","要確認",IF($AC46=0,"不支給","未処理")))))</f>
        <v/>
      </c>
      <c r="AE46" s="12" t="n"/>
      <c r="AF46" s="11" t="n"/>
      <c r="AG46" s="11" t="n"/>
      <c r="AH46" s="11" t="n"/>
      <c r="AI46" s="14">
        <f>IF(AND($AD46="保留中",$AF46&lt;&gt;""),TODAY()-$AF46,"")</f>
        <v/>
      </c>
      <c r="AJ46" s="12" t="inlineStr">
        <is>
          <t>R8.7</t>
        </is>
      </c>
      <c r="AK46" s="14">
        <f>IF($B46="","",IF($AO46="","対象年月が未入力／","")&amp;IF($B46="","",IF($AN46="","職員マスタに未登録の職員番号／",IF($Y46="","標準報酬月額が未登録／","")&amp;IF(AND($AO46&lt;&gt;"",OR(AND(INDEX(職員マスタ!$G$6:$G$405,$AN46)&lt;&gt;"",INDEX(職員マスタ!$G$6:$G$405,$AN46)&gt;EOMONTH($AO46,0)),AND(INDEX(職員マスタ!$H$6:$H$405,$AN46)&lt;&gt;"",INDEX(職員マスタ!$H$6:$H$405,$AN46)&lt;$AO46))),"対象月が時短期間外／","")&amp;IF(AND(INDEX(職員マスタ!$F$6:$F$405,$AN46)&lt;&gt;"",$AO46&lt;&gt;"",INDEX(職員マスタ!$F$6:$F$405,$AN46)&lt;$AO46),"対象月に子が2歳到達済／","")&amp;IF(AND($H46&lt;&gt;"",INDEX(職員マスタ!$B$6:$B$405,$AN46)&lt;&gt;"",SUBSTITUTE(SUBSTITUTE($H46," ","")," ","")&lt;&gt;SUBSTITUTE(SUBSTITUTE(INDEX(職員マスタ!$B$6:$B$405,$AN46)," ","")," ","")),"氏名がマスタと相違／","")&amp;IF(AND($Q46&lt;&gt;"",INDEX(職員マスタ!$E$6:$E$405,$AN46)&lt;&gt;"",$Q46&lt;&gt;INDEX(職員マスタ!$E$6:$E$405,$AN46)),"子の生年月日がマスタと相違／","")&amp;IF(AND($L46&lt;&gt;"",INDEX(職員マスタ!$G$6:$G$405,$AN46)&lt;&gt;"",$L46&lt;&gt;INDEX(職員マスタ!$G$6:$G$405,$AN46)),"時短開始日がマスタと相違／","")&amp;IF(AND($M46&lt;&gt;"",INDEX(職員マスタ!$H$6:$H$405,$AN46)&lt;&gt;"",$M46&lt;&gt;INDEX(職員マスタ!$H$6:$H$405,$AN46)),"時短終了日がマスタと相違／","")))&amp;IF(AND($B46&lt;&gt;"",$E46=""),"報酬額が未入力／","")&amp;IF(N($U46)&gt;0,"申請書に入力エラーが残っています／","")&amp;IF(AND($B46&lt;&gt;"",$AO46&lt;&gt;""),IF(COUNTIFS($B$6:$B$3005,$B46,$C$6:$C$3005,$C46,$D$6:$D$3005,$D46)&gt;1,"同じ月の請求が重複しています／",""),"")&amp;IF(AND(N($E46)&gt;0,$Z46&lt;&gt;"",$Z46&lt;&gt;"×",$AC46=0,$AB46=""),"計算額が下限以下のため不支給／",""))</f>
        <v/>
      </c>
      <c r="AL46" s="12" t="n"/>
      <c r="AM46" s="14">
        <f>IF($AD46="保留中",COUNTIF($AD$6:$AD46,"保留中"),"")</f>
        <v/>
      </c>
      <c r="AN46" s="14">
        <f>IF($AO46="","",IF(SUMPRODUCT(MAX((職員マスタ!$A$6:$A$405=$B46)*(((職員マスタ!$G$6:$G$405="")+(職員マスタ!$G$6:$G$405&lt;=EOMONTH($AO46,0)))&gt;0)*(((職員マスタ!$H$6:$H$405="")+(職員マスタ!$H$6:$H$405&gt;=$AO46))&gt;0)*(ROW(職員マスタ!$A$6:$A$405)-5)))&gt;0,SUMPRODUCT(MAX((職員マスタ!$A$6:$A$405=$B46)*(((職員マスタ!$G$6:$G$405="")+(職員マスタ!$G$6:$G$405&lt;=EOMONTH($AO46,0)))&gt;0)*(((職員マスタ!$H$6:$H$405="")+(職員マスタ!$H$6:$H$405&gt;=$AO46))&gt;0)*(ROW(職員マスタ!$A$6:$A$405)-5))),IFERROR(MATCH($B46,職員マスタ!$A$6:$A$405,0),"")))</f>
        <v/>
      </c>
      <c r="AO46" s="16">
        <f>IF(OR($B46="",$C46="",$D46=""),"",DATE($C46+2018,$D46,1))</f>
        <v/>
      </c>
    </row>
    <row r="47">
      <c r="A47" s="11" t="n"/>
      <c r="B47" s="12" t="n">
        <v>6704266</v>
      </c>
      <c r="C47" s="12" t="n">
        <v>8</v>
      </c>
      <c r="D47" s="12" t="n">
        <v>6</v>
      </c>
      <c r="E47" s="13" t="n">
        <v>177699</v>
      </c>
      <c r="F47" s="12" t="n"/>
      <c r="G47" s="13" t="n"/>
      <c r="H47" s="12" t="n"/>
      <c r="I47" s="12" t="n"/>
      <c r="J47" s="12" t="n"/>
      <c r="K47" s="12" t="n"/>
      <c r="L47" s="11" t="n"/>
      <c r="M47" s="11" t="n"/>
      <c r="N47" s="11" t="n"/>
      <c r="O47" s="11" t="n"/>
      <c r="P47" s="12" t="n"/>
      <c r="Q47" s="11" t="n"/>
      <c r="R47" s="12" t="n"/>
      <c r="S47" s="11" t="n"/>
      <c r="T47" s="12" t="n"/>
      <c r="U47" s="12" t="n"/>
      <c r="V47" s="14">
        <f>IF($AN47="",IF($B47="","",$H47),IF(INDEX(職員マスタ!$B$6:$B$405,$AN47)="",$H47,INDEX(職員マスタ!$B$6:$B$405,$AN47)))</f>
        <v/>
      </c>
      <c r="W47" s="14">
        <f>IF($AN47="",IF($B47="","",$R47),IF(INDEX(職員マスタ!$C$6:$C$405,$AN47)="",$R47,INDEX(職員マスタ!$C$6:$C$405,$AN47)))</f>
        <v/>
      </c>
      <c r="X47" s="14">
        <f>IF($AO47="","","R"&amp;$C47&amp;"."&amp;$D47)</f>
        <v/>
      </c>
      <c r="Y47" s="15">
        <f>IF($AN47="","",IF(INDEX(職員マスタ!$K$6:$K$405,$AN47)="","",INDEX(職員マスタ!$K$6:$K$405,$AN47)))</f>
        <v/>
      </c>
      <c r="Z47" s="14">
        <f>IF(OR($E47="",$Y47=""),"",IF($E47&gt;=$Y47,"×",IF($E47&gt;=$Y47*設定!$C$5,"△","○")))</f>
        <v/>
      </c>
      <c r="AA47" s="15">
        <f>IF($Z47="","",IF($Z47="×",0,IF($Z47="○",ROUNDDOWN($E47*設定!$C$4,0),ROUNDDOWN($E47*ROUND((9*$Y47-9*$E47)/(10*$E47),4),0))))</f>
        <v/>
      </c>
      <c r="AB47" s="13" t="n"/>
      <c r="AC47" s="15">
        <f>IF($B47="","",IF($AB47&lt;&gt;"",$AB47,IF($AA47="","",IF($AA47&lt;=設定!$C$3,0,$AA47))))</f>
        <v/>
      </c>
      <c r="AD47" s="14">
        <f>IF($B47="","",IF(AND($AE47&lt;&gt;"",$AG47="",$AJ47=""),"保留中",IF($AJ47&lt;&gt;"",IF(N($AC47)&gt;0,"支給済","不支給"),IF($AC47="","要確認",IF($AC47=0,"不支給","未処理")))))</f>
        <v/>
      </c>
      <c r="AE47" s="12" t="n"/>
      <c r="AF47" s="11" t="n"/>
      <c r="AG47" s="11" t="n"/>
      <c r="AH47" s="11" t="n"/>
      <c r="AI47" s="14">
        <f>IF(AND($AD47="保留中",$AF47&lt;&gt;""),TODAY()-$AF47,"")</f>
        <v/>
      </c>
      <c r="AJ47" s="12" t="inlineStr">
        <is>
          <t>R8.8</t>
        </is>
      </c>
      <c r="AK47" s="14">
        <f>IF($B47="","",IF($AO47="","対象年月が未入力／","")&amp;IF($B47="","",IF($AN47="","職員マスタに未登録の職員番号／",IF($Y47="","標準報酬月額が未登録／","")&amp;IF(AND($AO47&lt;&gt;"",OR(AND(INDEX(職員マスタ!$G$6:$G$405,$AN47)&lt;&gt;"",INDEX(職員マスタ!$G$6:$G$405,$AN47)&gt;EOMONTH($AO47,0)),AND(INDEX(職員マスタ!$H$6:$H$405,$AN47)&lt;&gt;"",INDEX(職員マスタ!$H$6:$H$405,$AN47)&lt;$AO47))),"対象月が時短期間外／","")&amp;IF(AND(INDEX(職員マスタ!$F$6:$F$405,$AN47)&lt;&gt;"",$AO47&lt;&gt;"",INDEX(職員マスタ!$F$6:$F$405,$AN47)&lt;$AO47),"対象月に子が2歳到達済／","")&amp;IF(AND($H47&lt;&gt;"",INDEX(職員マスタ!$B$6:$B$405,$AN47)&lt;&gt;"",SUBSTITUTE(SUBSTITUTE($H47," ","")," ","")&lt;&gt;SUBSTITUTE(SUBSTITUTE(INDEX(職員マスタ!$B$6:$B$405,$AN47)," ","")," ","")),"氏名がマスタと相違／","")&amp;IF(AND($Q47&lt;&gt;"",INDEX(職員マスタ!$E$6:$E$405,$AN47)&lt;&gt;"",$Q47&lt;&gt;INDEX(職員マスタ!$E$6:$E$405,$AN47)),"子の生年月日がマスタと相違／","")&amp;IF(AND($L47&lt;&gt;"",INDEX(職員マスタ!$G$6:$G$405,$AN47)&lt;&gt;"",$L47&lt;&gt;INDEX(職員マスタ!$G$6:$G$405,$AN47)),"時短開始日がマスタと相違／","")&amp;IF(AND($M47&lt;&gt;"",INDEX(職員マスタ!$H$6:$H$405,$AN47)&lt;&gt;"",$M47&lt;&gt;INDEX(職員マスタ!$H$6:$H$405,$AN47)),"時短終了日がマスタと相違／","")))&amp;IF(AND($B47&lt;&gt;"",$E47=""),"報酬額が未入力／","")&amp;IF(N($U47)&gt;0,"申請書に入力エラーが残っています／","")&amp;IF(AND($B47&lt;&gt;"",$AO47&lt;&gt;""),IF(COUNTIFS($B$6:$B$3005,$B47,$C$6:$C$3005,$C47,$D$6:$D$3005,$D47)&gt;1,"同じ月の請求が重複しています／",""),"")&amp;IF(AND(N($E47)&gt;0,$Z47&lt;&gt;"",$Z47&lt;&gt;"×",$AC47=0,$AB47=""),"計算額が下限以下のため不支給／",""))</f>
        <v/>
      </c>
      <c r="AL47" s="12" t="n"/>
      <c r="AM47" s="14">
        <f>IF($AD47="保留中",COUNTIF($AD$6:$AD47,"保留中"),"")</f>
        <v/>
      </c>
      <c r="AN47" s="14">
        <f>IF($AO47="","",IF(SUMPRODUCT(MAX((職員マスタ!$A$6:$A$405=$B47)*(((職員マスタ!$G$6:$G$405="")+(職員マスタ!$G$6:$G$405&lt;=EOMONTH($AO47,0)))&gt;0)*(((職員マスタ!$H$6:$H$405="")+(職員マスタ!$H$6:$H$405&gt;=$AO47))&gt;0)*(ROW(職員マスタ!$A$6:$A$405)-5)))&gt;0,SUMPRODUCT(MAX((職員マスタ!$A$6:$A$405=$B47)*(((職員マスタ!$G$6:$G$405="")+(職員マスタ!$G$6:$G$405&lt;=EOMONTH($AO47,0)))&gt;0)*(((職員マスタ!$H$6:$H$405="")+(職員マスタ!$H$6:$H$405&gt;=$AO47))&gt;0)*(ROW(職員マスタ!$A$6:$A$405)-5))),IFERROR(MATCH($B47,職員マスタ!$A$6:$A$405,0),"")))</f>
        <v/>
      </c>
      <c r="AO47" s="16">
        <f>IF(OR($B47="",$C47="",$D47=""),"",DATE($C47+2018,$D47,1))</f>
        <v/>
      </c>
    </row>
    <row r="48">
      <c r="A48" s="11" t="n"/>
      <c r="B48" s="12" t="n">
        <v>6903256</v>
      </c>
      <c r="C48" s="12" t="n">
        <v>8</v>
      </c>
      <c r="D48" s="12" t="n">
        <v>5</v>
      </c>
      <c r="E48" s="13" t="n">
        <v>8130</v>
      </c>
      <c r="F48" s="12" t="n"/>
      <c r="G48" s="13" t="n"/>
      <c r="H48" s="12" t="n"/>
      <c r="I48" s="12" t="n"/>
      <c r="J48" s="12" t="n"/>
      <c r="K48" s="12" t="n"/>
      <c r="L48" s="11" t="n"/>
      <c r="M48" s="11" t="n"/>
      <c r="N48" s="11" t="n"/>
      <c r="O48" s="11" t="n"/>
      <c r="P48" s="12" t="n"/>
      <c r="Q48" s="11" t="n"/>
      <c r="R48" s="12" t="n"/>
      <c r="S48" s="11" t="n"/>
      <c r="T48" s="12" t="n"/>
      <c r="U48" s="12" t="n"/>
      <c r="V48" s="14">
        <f>IF($AN48="",IF($B48="","",$H48),IF(INDEX(職員マスタ!$B$6:$B$405,$AN48)="",$H48,INDEX(職員マスタ!$B$6:$B$405,$AN48)))</f>
        <v/>
      </c>
      <c r="W48" s="14">
        <f>IF($AN48="",IF($B48="","",$R48),IF(INDEX(職員マスタ!$C$6:$C$405,$AN48)="",$R48,INDEX(職員マスタ!$C$6:$C$405,$AN48)))</f>
        <v/>
      </c>
      <c r="X48" s="14">
        <f>IF($AO48="","","R"&amp;$C48&amp;"."&amp;$D48)</f>
        <v/>
      </c>
      <c r="Y48" s="15">
        <f>IF($AN48="","",IF(INDEX(職員マスタ!$K$6:$K$405,$AN48)="","",INDEX(職員マスタ!$K$6:$K$405,$AN48)))</f>
        <v/>
      </c>
      <c r="Z48" s="14">
        <f>IF(OR($E48="",$Y48=""),"",IF($E48&gt;=$Y48,"×",IF($E48&gt;=$Y48*設定!$C$5,"△","○")))</f>
        <v/>
      </c>
      <c r="AA48" s="15">
        <f>IF($Z48="","",IF($Z48="×",0,IF($Z48="○",ROUNDDOWN($E48*設定!$C$4,0),ROUNDDOWN($E48*ROUND((9*$Y48-9*$E48)/(10*$E48),4),0))))</f>
        <v/>
      </c>
      <c r="AB48" s="13" t="n"/>
      <c r="AC48" s="15">
        <f>IF($B48="","",IF($AB48&lt;&gt;"",$AB48,IF($AA48="","",IF($AA48&lt;=設定!$C$3,0,$AA48))))</f>
        <v/>
      </c>
      <c r="AD48" s="14">
        <f>IF($B48="","",IF(AND($AE48&lt;&gt;"",$AG48="",$AJ48=""),"保留中",IF($AJ48&lt;&gt;"",IF(N($AC48)&gt;0,"支給済","不支給"),IF($AC48="","要確認",IF($AC48=0,"不支給","未処理")))))</f>
        <v/>
      </c>
      <c r="AE48" s="12" t="n"/>
      <c r="AF48" s="11" t="n"/>
      <c r="AG48" s="11" t="n"/>
      <c r="AH48" s="11" t="n"/>
      <c r="AI48" s="14">
        <f>IF(AND($AD48="保留中",$AF48&lt;&gt;""),TODAY()-$AF48,"")</f>
        <v/>
      </c>
      <c r="AJ48" s="12" t="inlineStr">
        <is>
          <t>R8.7</t>
        </is>
      </c>
      <c r="AK48" s="14">
        <f>IF($B48="","",IF($AO48="","対象年月が未入力／","")&amp;IF($B48="","",IF($AN48="","職員マスタに未登録の職員番号／",IF($Y48="","標準報酬月額が未登録／","")&amp;IF(AND($AO48&lt;&gt;"",OR(AND(INDEX(職員マスタ!$G$6:$G$405,$AN48)&lt;&gt;"",INDEX(職員マスタ!$G$6:$G$405,$AN48)&gt;EOMONTH($AO48,0)),AND(INDEX(職員マスタ!$H$6:$H$405,$AN48)&lt;&gt;"",INDEX(職員マスタ!$H$6:$H$405,$AN48)&lt;$AO48))),"対象月が時短期間外／","")&amp;IF(AND(INDEX(職員マスタ!$F$6:$F$405,$AN48)&lt;&gt;"",$AO48&lt;&gt;"",INDEX(職員マスタ!$F$6:$F$405,$AN48)&lt;$AO48),"対象月に子が2歳到達済／","")&amp;IF(AND($H48&lt;&gt;"",INDEX(職員マスタ!$B$6:$B$405,$AN48)&lt;&gt;"",SUBSTITUTE(SUBSTITUTE($H48," ","")," ","")&lt;&gt;SUBSTITUTE(SUBSTITUTE(INDEX(職員マスタ!$B$6:$B$405,$AN48)," ","")," ","")),"氏名がマスタと相違／","")&amp;IF(AND($Q48&lt;&gt;"",INDEX(職員マスタ!$E$6:$E$405,$AN48)&lt;&gt;"",$Q48&lt;&gt;INDEX(職員マスタ!$E$6:$E$405,$AN48)),"子の生年月日がマスタと相違／","")&amp;IF(AND($L48&lt;&gt;"",INDEX(職員マスタ!$G$6:$G$405,$AN48)&lt;&gt;"",$L48&lt;&gt;INDEX(職員マスタ!$G$6:$G$405,$AN48)),"時短開始日がマスタと相違／","")&amp;IF(AND($M48&lt;&gt;"",INDEX(職員マスタ!$H$6:$H$405,$AN48)&lt;&gt;"",$M48&lt;&gt;INDEX(職員マスタ!$H$6:$H$405,$AN48)),"時短終了日がマスタと相違／","")))&amp;IF(AND($B48&lt;&gt;"",$E48=""),"報酬額が未入力／","")&amp;IF(N($U48)&gt;0,"申請書に入力エラーが残っています／","")&amp;IF(AND($B48&lt;&gt;"",$AO48&lt;&gt;""),IF(COUNTIFS($B$6:$B$3005,$B48,$C$6:$C$3005,$C48,$D$6:$D$3005,$D48)&gt;1,"同じ月の請求が重複しています／",""),"")&amp;IF(AND(N($E48)&gt;0,$Z48&lt;&gt;"",$Z48&lt;&gt;"×",$AC48=0,$AB48=""),"計算額が下限以下のため不支給／",""))</f>
        <v/>
      </c>
      <c r="AL48" s="12" t="n"/>
      <c r="AM48" s="14">
        <f>IF($AD48="保留中",COUNTIF($AD$6:$AD48,"保留中"),"")</f>
        <v/>
      </c>
      <c r="AN48" s="14">
        <f>IF($AO48="","",IF(SUMPRODUCT(MAX((職員マスタ!$A$6:$A$405=$B48)*(((職員マスタ!$G$6:$G$405="")+(職員マスタ!$G$6:$G$405&lt;=EOMONTH($AO48,0)))&gt;0)*(((職員マスタ!$H$6:$H$405="")+(職員マスタ!$H$6:$H$405&gt;=$AO48))&gt;0)*(ROW(職員マスタ!$A$6:$A$405)-5)))&gt;0,SUMPRODUCT(MAX((職員マスタ!$A$6:$A$405=$B48)*(((職員マスタ!$G$6:$G$405="")+(職員マスタ!$G$6:$G$405&lt;=EOMONTH($AO48,0)))&gt;0)*(((職員マスタ!$H$6:$H$405="")+(職員マスタ!$H$6:$H$405&gt;=$AO48))&gt;0)*(ROW(職員マスタ!$A$6:$A$405)-5))),IFERROR(MATCH($B48,職員マスタ!$A$6:$A$405,0),"")))</f>
        <v/>
      </c>
      <c r="AO48" s="16">
        <f>IF(OR($B48="",$C48="",$D48=""),"",DATE($C48+2018,$D48,1))</f>
        <v/>
      </c>
    </row>
    <row r="49">
      <c r="A49" s="11" t="n"/>
      <c r="B49" s="12" t="n">
        <v>6903256</v>
      </c>
      <c r="C49" s="12" t="n">
        <v>8</v>
      </c>
      <c r="D49" s="12" t="n">
        <v>6</v>
      </c>
      <c r="E49" s="13" t="n">
        <v>170737</v>
      </c>
      <c r="F49" s="12" t="n"/>
      <c r="G49" s="13" t="n"/>
      <c r="H49" s="12" t="n"/>
      <c r="I49" s="12" t="n"/>
      <c r="J49" s="12" t="n"/>
      <c r="K49" s="12" t="n"/>
      <c r="L49" s="11" t="n"/>
      <c r="M49" s="11" t="n"/>
      <c r="N49" s="11" t="n"/>
      <c r="O49" s="11" t="n"/>
      <c r="P49" s="12" t="n"/>
      <c r="Q49" s="11" t="n"/>
      <c r="R49" s="12" t="n"/>
      <c r="S49" s="11" t="n"/>
      <c r="T49" s="12" t="n"/>
      <c r="U49" s="12" t="n"/>
      <c r="V49" s="14">
        <f>IF($AN49="",IF($B49="","",$H49),IF(INDEX(職員マスタ!$B$6:$B$405,$AN49)="",$H49,INDEX(職員マスタ!$B$6:$B$405,$AN49)))</f>
        <v/>
      </c>
      <c r="W49" s="14">
        <f>IF($AN49="",IF($B49="","",$R49),IF(INDEX(職員マスタ!$C$6:$C$405,$AN49)="",$R49,INDEX(職員マスタ!$C$6:$C$405,$AN49)))</f>
        <v/>
      </c>
      <c r="X49" s="14">
        <f>IF($AO49="","","R"&amp;$C49&amp;"."&amp;$D49)</f>
        <v/>
      </c>
      <c r="Y49" s="15">
        <f>IF($AN49="","",IF(INDEX(職員マスタ!$K$6:$K$405,$AN49)="","",INDEX(職員マスタ!$K$6:$K$405,$AN49)))</f>
        <v/>
      </c>
      <c r="Z49" s="14">
        <f>IF(OR($E49="",$Y49=""),"",IF($E49&gt;=$Y49,"×",IF($E49&gt;=$Y49*設定!$C$5,"△","○")))</f>
        <v/>
      </c>
      <c r="AA49" s="15">
        <f>IF($Z49="","",IF($Z49="×",0,IF($Z49="○",ROUNDDOWN($E49*設定!$C$4,0),ROUNDDOWN($E49*ROUND((9*$Y49-9*$E49)/(10*$E49),4),0))))</f>
        <v/>
      </c>
      <c r="AB49" s="13" t="n"/>
      <c r="AC49" s="15">
        <f>IF($B49="","",IF($AB49&lt;&gt;"",$AB49,IF($AA49="","",IF($AA49&lt;=設定!$C$3,0,$AA49))))</f>
        <v/>
      </c>
      <c r="AD49" s="14">
        <f>IF($B49="","",IF(AND($AE49&lt;&gt;"",$AG49="",$AJ49=""),"保留中",IF($AJ49&lt;&gt;"",IF(N($AC49)&gt;0,"支給済","不支給"),IF($AC49="","要確認",IF($AC49=0,"不支給","未処理")))))</f>
        <v/>
      </c>
      <c r="AE49" s="12" t="n"/>
      <c r="AF49" s="11" t="n"/>
      <c r="AG49" s="11" t="n"/>
      <c r="AH49" s="11" t="n"/>
      <c r="AI49" s="14">
        <f>IF(AND($AD49="保留中",$AF49&lt;&gt;""),TODAY()-$AF49,"")</f>
        <v/>
      </c>
      <c r="AJ49" s="12" t="inlineStr">
        <is>
          <t>R8.8</t>
        </is>
      </c>
      <c r="AK49" s="14">
        <f>IF($B49="","",IF($AO49="","対象年月が未入力／","")&amp;IF($B49="","",IF($AN49="","職員マスタに未登録の職員番号／",IF($Y49="","標準報酬月額が未登録／","")&amp;IF(AND($AO49&lt;&gt;"",OR(AND(INDEX(職員マスタ!$G$6:$G$405,$AN49)&lt;&gt;"",INDEX(職員マスタ!$G$6:$G$405,$AN49)&gt;EOMONTH($AO49,0)),AND(INDEX(職員マスタ!$H$6:$H$405,$AN49)&lt;&gt;"",INDEX(職員マスタ!$H$6:$H$405,$AN49)&lt;$AO49))),"対象月が時短期間外／","")&amp;IF(AND(INDEX(職員マスタ!$F$6:$F$405,$AN49)&lt;&gt;"",$AO49&lt;&gt;"",INDEX(職員マスタ!$F$6:$F$405,$AN49)&lt;$AO49),"対象月に子が2歳到達済／","")&amp;IF(AND($H49&lt;&gt;"",INDEX(職員マスタ!$B$6:$B$405,$AN49)&lt;&gt;"",SUBSTITUTE(SUBSTITUTE($H49," ","")," ","")&lt;&gt;SUBSTITUTE(SUBSTITUTE(INDEX(職員マスタ!$B$6:$B$405,$AN49)," ","")," ","")),"氏名がマスタと相違／","")&amp;IF(AND($Q49&lt;&gt;"",INDEX(職員マスタ!$E$6:$E$405,$AN49)&lt;&gt;"",$Q49&lt;&gt;INDEX(職員マスタ!$E$6:$E$405,$AN49)),"子の生年月日がマスタと相違／","")&amp;IF(AND($L49&lt;&gt;"",INDEX(職員マスタ!$G$6:$G$405,$AN49)&lt;&gt;"",$L49&lt;&gt;INDEX(職員マスタ!$G$6:$G$405,$AN49)),"時短開始日がマスタと相違／","")&amp;IF(AND($M49&lt;&gt;"",INDEX(職員マスタ!$H$6:$H$405,$AN49)&lt;&gt;"",$M49&lt;&gt;INDEX(職員マスタ!$H$6:$H$405,$AN49)),"時短終了日がマスタと相違／","")))&amp;IF(AND($B49&lt;&gt;"",$E49=""),"報酬額が未入力／","")&amp;IF(N($U49)&gt;0,"申請書に入力エラーが残っています／","")&amp;IF(AND($B49&lt;&gt;"",$AO49&lt;&gt;""),IF(COUNTIFS($B$6:$B$3005,$B49,$C$6:$C$3005,$C49,$D$6:$D$3005,$D49)&gt;1,"同じ月の請求が重複しています／",""),"")&amp;IF(AND(N($E49)&gt;0,$Z49&lt;&gt;"",$Z49&lt;&gt;"×",$AC49=0,$AB49=""),"計算額が下限以下のため不支給／",""))</f>
        <v/>
      </c>
      <c r="AL49" s="12" t="n"/>
      <c r="AM49" s="14">
        <f>IF($AD49="保留中",COUNTIF($AD$6:$AD49,"保留中"),"")</f>
        <v/>
      </c>
      <c r="AN49" s="14">
        <f>IF($AO49="","",IF(SUMPRODUCT(MAX((職員マスタ!$A$6:$A$405=$B49)*(((職員マスタ!$G$6:$G$405="")+(職員マスタ!$G$6:$G$405&lt;=EOMONTH($AO49,0)))&gt;0)*(((職員マスタ!$H$6:$H$405="")+(職員マスタ!$H$6:$H$405&gt;=$AO49))&gt;0)*(ROW(職員マスタ!$A$6:$A$405)-5)))&gt;0,SUMPRODUCT(MAX((職員マスタ!$A$6:$A$405=$B49)*(((職員マスタ!$G$6:$G$405="")+(職員マスタ!$G$6:$G$405&lt;=EOMONTH($AO49,0)))&gt;0)*(((職員マスタ!$H$6:$H$405="")+(職員マスタ!$H$6:$H$405&gt;=$AO49))&gt;0)*(ROW(職員マスタ!$A$6:$A$405)-5))),IFERROR(MATCH($B49,職員マスタ!$A$6:$A$405,0),"")))</f>
        <v/>
      </c>
      <c r="AO49" s="16">
        <f>IF(OR($B49="",$C49="",$D49=""),"",DATE($C49+2018,$D49,1))</f>
        <v/>
      </c>
    </row>
    <row r="50">
      <c r="A50" s="11" t="n"/>
      <c r="B50" s="12" t="n">
        <v>5700828</v>
      </c>
      <c r="C50" s="12" t="n">
        <v>7</v>
      </c>
      <c r="D50" s="12" t="n">
        <v>4</v>
      </c>
      <c r="E50" s="13" t="n">
        <v>294274</v>
      </c>
      <c r="F50" s="12" t="n"/>
      <c r="G50" s="13" t="n"/>
      <c r="H50" s="12" t="n"/>
      <c r="I50" s="12" t="n"/>
      <c r="J50" s="12" t="n"/>
      <c r="K50" s="12" t="n"/>
      <c r="L50" s="11" t="n"/>
      <c r="M50" s="11" t="n"/>
      <c r="N50" s="11" t="n"/>
      <c r="O50" s="11" t="n"/>
      <c r="P50" s="12" t="n"/>
      <c r="Q50" s="11" t="n"/>
      <c r="R50" s="12" t="n"/>
      <c r="S50" s="11" t="n"/>
      <c r="T50" s="12" t="n"/>
      <c r="U50" s="12" t="n"/>
      <c r="V50" s="14">
        <f>IF($AN50="",IF($B50="","",$H50),IF(INDEX(職員マスタ!$B$6:$B$405,$AN50)="",$H50,INDEX(職員マスタ!$B$6:$B$405,$AN50)))</f>
        <v/>
      </c>
      <c r="W50" s="14">
        <f>IF($AN50="",IF($B50="","",$R50),IF(INDEX(職員マスタ!$C$6:$C$405,$AN50)="",$R50,INDEX(職員マスタ!$C$6:$C$405,$AN50)))</f>
        <v/>
      </c>
      <c r="X50" s="14">
        <f>IF($AO50="","","R"&amp;$C50&amp;"."&amp;$D50)</f>
        <v/>
      </c>
      <c r="Y50" s="15">
        <f>IF($AN50="","",IF(INDEX(職員マスタ!$K$6:$K$405,$AN50)="","",INDEX(職員マスタ!$K$6:$K$405,$AN50)))</f>
        <v/>
      </c>
      <c r="Z50" s="14">
        <f>IF(OR($E50="",$Y50=""),"",IF($E50&gt;=$Y50,"×",IF($E50&gt;=$Y50*設定!$C$5,"△","○")))</f>
        <v/>
      </c>
      <c r="AA50" s="15">
        <f>IF($Z50="","",IF($Z50="×",0,IF($Z50="○",ROUNDDOWN($E50*設定!$C$4,0),ROUNDDOWN($E50*ROUND((9*$Y50-9*$E50)/(10*$E50),4),0))))</f>
        <v/>
      </c>
      <c r="AB50" s="13" t="n"/>
      <c r="AC50" s="15">
        <f>IF($B50="","",IF($AB50&lt;&gt;"",$AB50,IF($AA50="","",IF($AA50&lt;=設定!$C$3,0,$AA50))))</f>
        <v/>
      </c>
      <c r="AD50" s="14">
        <f>IF($B50="","",IF(AND($AE50&lt;&gt;"",$AG50="",$AJ50=""),"保留中",IF($AJ50&lt;&gt;"",IF(N($AC50)&gt;0,"支給済","不支給"),IF($AC50="","要確認",IF($AC50=0,"不支給","未処理")))))</f>
        <v/>
      </c>
      <c r="AE50" s="12" t="inlineStr">
        <is>
          <t>住居手当の確認</t>
        </is>
      </c>
      <c r="AF50" s="11" t="n"/>
      <c r="AG50" s="11" t="n"/>
      <c r="AH50" s="11" t="n"/>
      <c r="AI50" s="14">
        <f>IF(AND($AD50="保留中",$AF50&lt;&gt;""),TODAY()-$AF50,"")</f>
        <v/>
      </c>
      <c r="AJ50" s="12" t="inlineStr">
        <is>
          <t>R7.11</t>
        </is>
      </c>
      <c r="AK50" s="14">
        <f>IF($B50="","",IF($AO50="","対象年月が未入力／","")&amp;IF($B50="","",IF($AN50="","職員マスタに未登録の職員番号／",IF($Y50="","標準報酬月額が未登録／","")&amp;IF(AND($AO50&lt;&gt;"",OR(AND(INDEX(職員マスタ!$G$6:$G$405,$AN50)&lt;&gt;"",INDEX(職員マスタ!$G$6:$G$405,$AN50)&gt;EOMONTH($AO50,0)),AND(INDEX(職員マスタ!$H$6:$H$405,$AN50)&lt;&gt;"",INDEX(職員マスタ!$H$6:$H$405,$AN50)&lt;$AO50))),"対象月が時短期間外／","")&amp;IF(AND(INDEX(職員マスタ!$F$6:$F$405,$AN50)&lt;&gt;"",$AO50&lt;&gt;"",INDEX(職員マスタ!$F$6:$F$405,$AN50)&lt;$AO50),"対象月に子が2歳到達済／","")&amp;IF(AND($H50&lt;&gt;"",INDEX(職員マスタ!$B$6:$B$405,$AN50)&lt;&gt;"",SUBSTITUTE(SUBSTITUTE($H50," ","")," ","")&lt;&gt;SUBSTITUTE(SUBSTITUTE(INDEX(職員マスタ!$B$6:$B$405,$AN50)," ","")," ","")),"氏名がマスタと相違／","")&amp;IF(AND($Q50&lt;&gt;"",INDEX(職員マスタ!$E$6:$E$405,$AN50)&lt;&gt;"",$Q50&lt;&gt;INDEX(職員マスタ!$E$6:$E$405,$AN50)),"子の生年月日がマスタと相違／","")&amp;IF(AND($L50&lt;&gt;"",INDEX(職員マスタ!$G$6:$G$405,$AN50)&lt;&gt;"",$L50&lt;&gt;INDEX(職員マスタ!$G$6:$G$405,$AN50)),"時短開始日がマスタと相違／","")&amp;IF(AND($M50&lt;&gt;"",INDEX(職員マスタ!$H$6:$H$405,$AN50)&lt;&gt;"",$M50&lt;&gt;INDEX(職員マスタ!$H$6:$H$405,$AN50)),"時短終了日がマスタと相違／","")))&amp;IF(AND($B50&lt;&gt;"",$E50=""),"報酬額が未入力／","")&amp;IF(N($U50)&gt;0,"申請書に入力エラーが残っています／","")&amp;IF(AND($B50&lt;&gt;"",$AO50&lt;&gt;""),IF(COUNTIFS($B$6:$B$3005,$B50,$C$6:$C$3005,$C50,$D$6:$D$3005,$D50)&gt;1,"同じ月の請求が重複しています／",""),"")&amp;IF(AND(N($E50)&gt;0,$Z50&lt;&gt;"",$Z50&lt;&gt;"×",$AC50=0,$AB50=""),"計算額が下限以下のため不支給／",""))</f>
        <v/>
      </c>
      <c r="AL50" s="12" t="inlineStr">
        <is>
          <t>保留　住居⇒支給</t>
        </is>
      </c>
      <c r="AM50" s="14">
        <f>IF($AD50="保留中",COUNTIF($AD$6:$AD50,"保留中"),"")</f>
        <v/>
      </c>
      <c r="AN50" s="14">
        <f>IF($AO50="","",IF(SUMPRODUCT(MAX((職員マスタ!$A$6:$A$405=$B50)*(((職員マスタ!$G$6:$G$405="")+(職員マスタ!$G$6:$G$405&lt;=EOMONTH($AO50,0)))&gt;0)*(((職員マスタ!$H$6:$H$405="")+(職員マスタ!$H$6:$H$405&gt;=$AO50))&gt;0)*(ROW(職員マスタ!$A$6:$A$405)-5)))&gt;0,SUMPRODUCT(MAX((職員マスタ!$A$6:$A$405=$B50)*(((職員マスタ!$G$6:$G$405="")+(職員マスタ!$G$6:$G$405&lt;=EOMONTH($AO50,0)))&gt;0)*(((職員マスタ!$H$6:$H$405="")+(職員マスタ!$H$6:$H$405&gt;=$AO50))&gt;0)*(ROW(職員マスタ!$A$6:$A$405)-5))),IFERROR(MATCH($B50,職員マスタ!$A$6:$A$405,0),"")))</f>
        <v/>
      </c>
      <c r="AO50" s="16">
        <f>IF(OR($B50="",$C50="",$D50=""),"",DATE($C50+2018,$D50,1))</f>
        <v/>
      </c>
    </row>
    <row r="51">
      <c r="A51" s="11" t="n"/>
      <c r="B51" s="12" t="n">
        <v>5700828</v>
      </c>
      <c r="C51" s="12" t="n">
        <v>7</v>
      </c>
      <c r="D51" s="12" t="n">
        <v>5</v>
      </c>
      <c r="E51" s="13" t="n">
        <v>269722</v>
      </c>
      <c r="F51" s="12" t="n"/>
      <c r="G51" s="13" t="n"/>
      <c r="H51" s="12" t="n"/>
      <c r="I51" s="12" t="n"/>
      <c r="J51" s="12" t="n"/>
      <c r="K51" s="12" t="n"/>
      <c r="L51" s="11" t="n"/>
      <c r="M51" s="11" t="n"/>
      <c r="N51" s="11" t="n"/>
      <c r="O51" s="11" t="n"/>
      <c r="P51" s="12" t="n"/>
      <c r="Q51" s="11" t="n"/>
      <c r="R51" s="12" t="n"/>
      <c r="S51" s="11" t="n"/>
      <c r="T51" s="12" t="n"/>
      <c r="U51" s="12" t="n"/>
      <c r="V51" s="14">
        <f>IF($AN51="",IF($B51="","",$H51),IF(INDEX(職員マスタ!$B$6:$B$405,$AN51)="",$H51,INDEX(職員マスタ!$B$6:$B$405,$AN51)))</f>
        <v/>
      </c>
      <c r="W51" s="14">
        <f>IF($AN51="",IF($B51="","",$R51),IF(INDEX(職員マスタ!$C$6:$C$405,$AN51)="",$R51,INDEX(職員マスタ!$C$6:$C$405,$AN51)))</f>
        <v/>
      </c>
      <c r="X51" s="14">
        <f>IF($AO51="","","R"&amp;$C51&amp;"."&amp;$D51)</f>
        <v/>
      </c>
      <c r="Y51" s="15">
        <f>IF($AN51="","",IF(INDEX(職員マスタ!$K$6:$K$405,$AN51)="","",INDEX(職員マスタ!$K$6:$K$405,$AN51)))</f>
        <v/>
      </c>
      <c r="Z51" s="14">
        <f>IF(OR($E51="",$Y51=""),"",IF($E51&gt;=$Y51,"×",IF($E51&gt;=$Y51*設定!$C$5,"△","○")))</f>
        <v/>
      </c>
      <c r="AA51" s="15">
        <f>IF($Z51="","",IF($Z51="×",0,IF($Z51="○",ROUNDDOWN($E51*設定!$C$4,0),ROUNDDOWN($E51*ROUND((9*$Y51-9*$E51)/(10*$E51),4),0))))</f>
        <v/>
      </c>
      <c r="AB51" s="13" t="n"/>
      <c r="AC51" s="15">
        <f>IF($B51="","",IF($AB51&lt;&gt;"",$AB51,IF($AA51="","",IF($AA51&lt;=設定!$C$3,0,$AA51))))</f>
        <v/>
      </c>
      <c r="AD51" s="14">
        <f>IF($B51="","",IF(AND($AE51&lt;&gt;"",$AG51="",$AJ51=""),"保留中",IF($AJ51&lt;&gt;"",IF(N($AC51)&gt;0,"支給済","不支給"),IF($AC51="","要確認",IF($AC51=0,"不支給","未処理")))))</f>
        <v/>
      </c>
      <c r="AE51" s="12" t="inlineStr">
        <is>
          <t>住居手当の確認</t>
        </is>
      </c>
      <c r="AF51" s="11" t="n"/>
      <c r="AG51" s="11" t="n"/>
      <c r="AH51" s="11" t="n"/>
      <c r="AI51" s="14">
        <f>IF(AND($AD51="保留中",$AF51&lt;&gt;""),TODAY()-$AF51,"")</f>
        <v/>
      </c>
      <c r="AJ51" s="12" t="inlineStr">
        <is>
          <t>R7.11</t>
        </is>
      </c>
      <c r="AK51" s="14">
        <f>IF($B51="","",IF($AO51="","対象年月が未入力／","")&amp;IF($B51="","",IF($AN51="","職員マスタに未登録の職員番号／",IF($Y51="","標準報酬月額が未登録／","")&amp;IF(AND($AO51&lt;&gt;"",OR(AND(INDEX(職員マスタ!$G$6:$G$405,$AN51)&lt;&gt;"",INDEX(職員マスタ!$G$6:$G$405,$AN51)&gt;EOMONTH($AO51,0)),AND(INDEX(職員マスタ!$H$6:$H$405,$AN51)&lt;&gt;"",INDEX(職員マスタ!$H$6:$H$405,$AN51)&lt;$AO51))),"対象月が時短期間外／","")&amp;IF(AND(INDEX(職員マスタ!$F$6:$F$405,$AN51)&lt;&gt;"",$AO51&lt;&gt;"",INDEX(職員マスタ!$F$6:$F$405,$AN51)&lt;$AO51),"対象月に子が2歳到達済／","")&amp;IF(AND($H51&lt;&gt;"",INDEX(職員マスタ!$B$6:$B$405,$AN51)&lt;&gt;"",SUBSTITUTE(SUBSTITUTE($H51," ","")," ","")&lt;&gt;SUBSTITUTE(SUBSTITUTE(INDEX(職員マスタ!$B$6:$B$405,$AN51)," ","")," ","")),"氏名がマスタと相違／","")&amp;IF(AND($Q51&lt;&gt;"",INDEX(職員マスタ!$E$6:$E$405,$AN51)&lt;&gt;"",$Q51&lt;&gt;INDEX(職員マスタ!$E$6:$E$405,$AN51)),"子の生年月日がマスタと相違／","")&amp;IF(AND($L51&lt;&gt;"",INDEX(職員マスタ!$G$6:$G$405,$AN51)&lt;&gt;"",$L51&lt;&gt;INDEX(職員マスタ!$G$6:$G$405,$AN51)),"時短開始日がマスタと相違／","")&amp;IF(AND($M51&lt;&gt;"",INDEX(職員マスタ!$H$6:$H$405,$AN51)&lt;&gt;"",$M51&lt;&gt;INDEX(職員マスタ!$H$6:$H$405,$AN51)),"時短終了日がマスタと相違／","")))&amp;IF(AND($B51&lt;&gt;"",$E51=""),"報酬額が未入力／","")&amp;IF(N($U51)&gt;0,"申請書に入力エラーが残っています／","")&amp;IF(AND($B51&lt;&gt;"",$AO51&lt;&gt;""),IF(COUNTIFS($B$6:$B$3005,$B51,$C$6:$C$3005,$C51,$D$6:$D$3005,$D51)&gt;1,"同じ月の請求が重複しています／",""),"")&amp;IF(AND(N($E51)&gt;0,$Z51&lt;&gt;"",$Z51&lt;&gt;"×",$AC51=0,$AB51=""),"計算額が下限以下のため不支給／",""))</f>
        <v/>
      </c>
      <c r="AL51" s="12" t="inlineStr">
        <is>
          <t>保留　住居⇒支給</t>
        </is>
      </c>
      <c r="AM51" s="14">
        <f>IF($AD51="保留中",COUNTIF($AD$6:$AD51,"保留中"),"")</f>
        <v/>
      </c>
      <c r="AN51" s="14">
        <f>IF($AO51="","",IF(SUMPRODUCT(MAX((職員マスタ!$A$6:$A$405=$B51)*(((職員マスタ!$G$6:$G$405="")+(職員マスタ!$G$6:$G$405&lt;=EOMONTH($AO51,0)))&gt;0)*(((職員マスタ!$H$6:$H$405="")+(職員マスタ!$H$6:$H$405&gt;=$AO51))&gt;0)*(ROW(職員マスタ!$A$6:$A$405)-5)))&gt;0,SUMPRODUCT(MAX((職員マスタ!$A$6:$A$405=$B51)*(((職員マスタ!$G$6:$G$405="")+(職員マスタ!$G$6:$G$405&lt;=EOMONTH($AO51,0)))&gt;0)*(((職員マスタ!$H$6:$H$405="")+(職員マスタ!$H$6:$H$405&gt;=$AO51))&gt;0)*(ROW(職員マスタ!$A$6:$A$405)-5))),IFERROR(MATCH($B51,職員マスタ!$A$6:$A$405,0),"")))</f>
        <v/>
      </c>
      <c r="AO51" s="16">
        <f>IF(OR($B51="",$C51="",$D51=""),"",DATE($C51+2018,$D51,1))</f>
        <v/>
      </c>
    </row>
    <row r="52">
      <c r="A52" s="11" t="n"/>
      <c r="B52" s="12" t="n">
        <v>5700828</v>
      </c>
      <c r="C52" s="12" t="n">
        <v>7</v>
      </c>
      <c r="D52" s="12" t="n">
        <v>6</v>
      </c>
      <c r="E52" s="13" t="n">
        <v>269722</v>
      </c>
      <c r="F52" s="12" t="n"/>
      <c r="G52" s="13" t="n"/>
      <c r="H52" s="12" t="n"/>
      <c r="I52" s="12" t="n"/>
      <c r="J52" s="12" t="n"/>
      <c r="K52" s="12" t="n"/>
      <c r="L52" s="11" t="n"/>
      <c r="M52" s="11" t="n"/>
      <c r="N52" s="11" t="n"/>
      <c r="O52" s="11" t="n"/>
      <c r="P52" s="12" t="n"/>
      <c r="Q52" s="11" t="n"/>
      <c r="R52" s="12" t="n"/>
      <c r="S52" s="11" t="n"/>
      <c r="T52" s="12" t="n"/>
      <c r="U52" s="12" t="n"/>
      <c r="V52" s="14">
        <f>IF($AN52="",IF($B52="","",$H52),IF(INDEX(職員マスタ!$B$6:$B$405,$AN52)="",$H52,INDEX(職員マスタ!$B$6:$B$405,$AN52)))</f>
        <v/>
      </c>
      <c r="W52" s="14">
        <f>IF($AN52="",IF($B52="","",$R52),IF(INDEX(職員マスタ!$C$6:$C$405,$AN52)="",$R52,INDEX(職員マスタ!$C$6:$C$405,$AN52)))</f>
        <v/>
      </c>
      <c r="X52" s="14">
        <f>IF($AO52="","","R"&amp;$C52&amp;"."&amp;$D52)</f>
        <v/>
      </c>
      <c r="Y52" s="15">
        <f>IF($AN52="","",IF(INDEX(職員マスタ!$K$6:$K$405,$AN52)="","",INDEX(職員マスタ!$K$6:$K$405,$AN52)))</f>
        <v/>
      </c>
      <c r="Z52" s="14">
        <f>IF(OR($E52="",$Y52=""),"",IF($E52&gt;=$Y52,"×",IF($E52&gt;=$Y52*設定!$C$5,"△","○")))</f>
        <v/>
      </c>
      <c r="AA52" s="15">
        <f>IF($Z52="","",IF($Z52="×",0,IF($Z52="○",ROUNDDOWN($E52*設定!$C$4,0),ROUNDDOWN($E52*ROUND((9*$Y52-9*$E52)/(10*$E52),4),0))))</f>
        <v/>
      </c>
      <c r="AB52" s="13" t="n"/>
      <c r="AC52" s="15">
        <f>IF($B52="","",IF($AB52&lt;&gt;"",$AB52,IF($AA52="","",IF($AA52&lt;=設定!$C$3,0,$AA52))))</f>
        <v/>
      </c>
      <c r="AD52" s="14">
        <f>IF($B52="","",IF(AND($AE52&lt;&gt;"",$AG52="",$AJ52=""),"保留中",IF($AJ52&lt;&gt;"",IF(N($AC52)&gt;0,"支給済","不支給"),IF($AC52="","要確認",IF($AC52=0,"不支給","未処理")))))</f>
        <v/>
      </c>
      <c r="AE52" s="12" t="n"/>
      <c r="AF52" s="11" t="n"/>
      <c r="AG52" s="11" t="n"/>
      <c r="AH52" s="11" t="n"/>
      <c r="AI52" s="14">
        <f>IF(AND($AD52="保留中",$AF52&lt;&gt;""),TODAY()-$AF52,"")</f>
        <v/>
      </c>
      <c r="AJ52" s="12" t="inlineStr">
        <is>
          <t>R7.9</t>
        </is>
      </c>
      <c r="AK52" s="14">
        <f>IF($B52="","",IF($AO52="","対象年月が未入力／","")&amp;IF($B52="","",IF($AN52="","職員マスタに未登録の職員番号／",IF($Y52="","標準報酬月額が未登録／","")&amp;IF(AND($AO52&lt;&gt;"",OR(AND(INDEX(職員マスタ!$G$6:$G$405,$AN52)&lt;&gt;"",INDEX(職員マスタ!$G$6:$G$405,$AN52)&gt;EOMONTH($AO52,0)),AND(INDEX(職員マスタ!$H$6:$H$405,$AN52)&lt;&gt;"",INDEX(職員マスタ!$H$6:$H$405,$AN52)&lt;$AO52))),"対象月が時短期間外／","")&amp;IF(AND(INDEX(職員マスタ!$F$6:$F$405,$AN52)&lt;&gt;"",$AO52&lt;&gt;"",INDEX(職員マスタ!$F$6:$F$405,$AN52)&lt;$AO52),"対象月に子が2歳到達済／","")&amp;IF(AND($H52&lt;&gt;"",INDEX(職員マスタ!$B$6:$B$405,$AN52)&lt;&gt;"",SUBSTITUTE(SUBSTITUTE($H52," ","")," ","")&lt;&gt;SUBSTITUTE(SUBSTITUTE(INDEX(職員マスタ!$B$6:$B$405,$AN52)," ","")," ","")),"氏名がマスタと相違／","")&amp;IF(AND($Q52&lt;&gt;"",INDEX(職員マスタ!$E$6:$E$405,$AN52)&lt;&gt;"",$Q52&lt;&gt;INDEX(職員マスタ!$E$6:$E$405,$AN52)),"子の生年月日がマスタと相違／","")&amp;IF(AND($L52&lt;&gt;"",INDEX(職員マスタ!$G$6:$G$405,$AN52)&lt;&gt;"",$L52&lt;&gt;INDEX(職員マスタ!$G$6:$G$405,$AN52)),"時短開始日がマスタと相違／","")&amp;IF(AND($M52&lt;&gt;"",INDEX(職員マスタ!$H$6:$H$405,$AN52)&lt;&gt;"",$M52&lt;&gt;INDEX(職員マスタ!$H$6:$H$405,$AN52)),"時短終了日がマスタと相違／","")))&amp;IF(AND($B52&lt;&gt;"",$E52=""),"報酬額が未入力／","")&amp;IF(N($U52)&gt;0,"申請書に入力エラーが残っています／","")&amp;IF(AND($B52&lt;&gt;"",$AO52&lt;&gt;""),IF(COUNTIFS($B$6:$B$3005,$B52,$C$6:$C$3005,$C52,$D$6:$D$3005,$D52)&gt;1,"同じ月の請求が重複しています／",""),"")&amp;IF(AND(N($E52)&gt;0,$Z52&lt;&gt;"",$Z52&lt;&gt;"×",$AC52=0,$AB52=""),"計算額が下限以下のため不支給／",""))</f>
        <v/>
      </c>
      <c r="AL52" s="12" t="n"/>
      <c r="AM52" s="14">
        <f>IF($AD52="保留中",COUNTIF($AD$6:$AD52,"保留中"),"")</f>
        <v/>
      </c>
      <c r="AN52" s="14">
        <f>IF($AO52="","",IF(SUMPRODUCT(MAX((職員マスタ!$A$6:$A$405=$B52)*(((職員マスタ!$G$6:$G$405="")+(職員マスタ!$G$6:$G$405&lt;=EOMONTH($AO52,0)))&gt;0)*(((職員マスタ!$H$6:$H$405="")+(職員マスタ!$H$6:$H$405&gt;=$AO52))&gt;0)*(ROW(職員マスタ!$A$6:$A$405)-5)))&gt;0,SUMPRODUCT(MAX((職員マスタ!$A$6:$A$405=$B52)*(((職員マスタ!$G$6:$G$405="")+(職員マスタ!$G$6:$G$405&lt;=EOMONTH($AO52,0)))&gt;0)*(((職員マスタ!$H$6:$H$405="")+(職員マスタ!$H$6:$H$405&gt;=$AO52))&gt;0)*(ROW(職員マスタ!$A$6:$A$405)-5))),IFERROR(MATCH($B52,職員マスタ!$A$6:$A$405,0),"")))</f>
        <v/>
      </c>
      <c r="AO52" s="16">
        <f>IF(OR($B52="",$C52="",$D52=""),"",DATE($C52+2018,$D52,1))</f>
        <v/>
      </c>
    </row>
    <row r="53">
      <c r="A53" s="11" t="n"/>
      <c r="B53" s="12" t="n">
        <v>5700828</v>
      </c>
      <c r="C53" s="12" t="n">
        <v>7</v>
      </c>
      <c r="D53" s="12" t="n">
        <v>7</v>
      </c>
      <c r="E53" s="13" t="n">
        <v>388634</v>
      </c>
      <c r="F53" s="12" t="n"/>
      <c r="G53" s="13" t="n"/>
      <c r="H53" s="12" t="n"/>
      <c r="I53" s="12" t="n"/>
      <c r="J53" s="12" t="n"/>
      <c r="K53" s="12" t="n"/>
      <c r="L53" s="11" t="n"/>
      <c r="M53" s="11" t="n"/>
      <c r="N53" s="11" t="n"/>
      <c r="O53" s="11" t="n"/>
      <c r="P53" s="12" t="n"/>
      <c r="Q53" s="11" t="n"/>
      <c r="R53" s="12" t="n"/>
      <c r="S53" s="11" t="n"/>
      <c r="T53" s="12" t="n"/>
      <c r="U53" s="12" t="n"/>
      <c r="V53" s="14">
        <f>IF($AN53="",IF($B53="","",$H53),IF(INDEX(職員マスタ!$B$6:$B$405,$AN53)="",$H53,INDEX(職員マスタ!$B$6:$B$405,$AN53)))</f>
        <v/>
      </c>
      <c r="W53" s="14">
        <f>IF($AN53="",IF($B53="","",$R53),IF(INDEX(職員マスタ!$C$6:$C$405,$AN53)="",$R53,INDEX(職員マスタ!$C$6:$C$405,$AN53)))</f>
        <v/>
      </c>
      <c r="X53" s="14">
        <f>IF($AO53="","","R"&amp;$C53&amp;"."&amp;$D53)</f>
        <v/>
      </c>
      <c r="Y53" s="15">
        <f>IF($AN53="","",IF(INDEX(職員マスタ!$K$6:$K$405,$AN53)="","",INDEX(職員マスタ!$K$6:$K$405,$AN53)))</f>
        <v/>
      </c>
      <c r="Z53" s="14">
        <f>IF(OR($E53="",$Y53=""),"",IF($E53&gt;=$Y53,"×",IF($E53&gt;=$Y53*設定!$C$5,"△","○")))</f>
        <v/>
      </c>
      <c r="AA53" s="15">
        <f>IF($Z53="","",IF($Z53="×",0,IF($Z53="○",ROUNDDOWN($E53*設定!$C$4,0),ROUNDDOWN($E53*ROUND((9*$Y53-9*$E53)/(10*$E53),4),0))))</f>
        <v/>
      </c>
      <c r="AB53" s="13" t="n"/>
      <c r="AC53" s="15">
        <f>IF($B53="","",IF($AB53&lt;&gt;"",$AB53,IF($AA53="","",IF($AA53&lt;=設定!$C$3,0,$AA53))))</f>
        <v/>
      </c>
      <c r="AD53" s="14">
        <f>IF($B53="","",IF(AND($AE53&lt;&gt;"",$AG53="",$AJ53=""),"保留中",IF($AJ53&lt;&gt;"",IF(N($AC53)&gt;0,"支給済","不支給"),IF($AC53="","要確認",IF($AC53=0,"不支給","未処理")))))</f>
        <v/>
      </c>
      <c r="AE53" s="12" t="n"/>
      <c r="AF53" s="11" t="n"/>
      <c r="AG53" s="11" t="n"/>
      <c r="AH53" s="11" t="n"/>
      <c r="AI53" s="14">
        <f>IF(AND($AD53="保留中",$AF53&lt;&gt;""),TODAY()-$AF53,"")</f>
        <v/>
      </c>
      <c r="AJ53" s="12" t="inlineStr">
        <is>
          <t>R7.9</t>
        </is>
      </c>
      <c r="AK53" s="14">
        <f>IF($B53="","",IF($AO53="","対象年月が未入力／","")&amp;IF($B53="","",IF($AN53="","職員マスタに未登録の職員番号／",IF($Y53="","標準報酬月額が未登録／","")&amp;IF(AND($AO53&lt;&gt;"",OR(AND(INDEX(職員マスタ!$G$6:$G$405,$AN53)&lt;&gt;"",INDEX(職員マスタ!$G$6:$G$405,$AN53)&gt;EOMONTH($AO53,0)),AND(INDEX(職員マスタ!$H$6:$H$405,$AN53)&lt;&gt;"",INDEX(職員マスタ!$H$6:$H$405,$AN53)&lt;$AO53))),"対象月が時短期間外／","")&amp;IF(AND(INDEX(職員マスタ!$F$6:$F$405,$AN53)&lt;&gt;"",$AO53&lt;&gt;"",INDEX(職員マスタ!$F$6:$F$405,$AN53)&lt;$AO53),"対象月に子が2歳到達済／","")&amp;IF(AND($H53&lt;&gt;"",INDEX(職員マスタ!$B$6:$B$405,$AN53)&lt;&gt;"",SUBSTITUTE(SUBSTITUTE($H53," ","")," ","")&lt;&gt;SUBSTITUTE(SUBSTITUTE(INDEX(職員マスタ!$B$6:$B$405,$AN53)," ","")," ","")),"氏名がマスタと相違／","")&amp;IF(AND($Q53&lt;&gt;"",INDEX(職員マスタ!$E$6:$E$405,$AN53)&lt;&gt;"",$Q53&lt;&gt;INDEX(職員マスタ!$E$6:$E$405,$AN53)),"子の生年月日がマスタと相違／","")&amp;IF(AND($L53&lt;&gt;"",INDEX(職員マスタ!$G$6:$G$405,$AN53)&lt;&gt;"",$L53&lt;&gt;INDEX(職員マスタ!$G$6:$G$405,$AN53)),"時短開始日がマスタと相違／","")&amp;IF(AND($M53&lt;&gt;"",INDEX(職員マスタ!$H$6:$H$405,$AN53)&lt;&gt;"",$M53&lt;&gt;INDEX(職員マスタ!$H$6:$H$405,$AN53)),"時短終了日がマスタと相違／","")))&amp;IF(AND($B53&lt;&gt;"",$E53=""),"報酬額が未入力／","")&amp;IF(N($U53)&gt;0,"申請書に入力エラーが残っています／","")&amp;IF(AND($B53&lt;&gt;"",$AO53&lt;&gt;""),IF(COUNTIFS($B$6:$B$3005,$B53,$C$6:$C$3005,$C53,$D$6:$D$3005,$D53)&gt;1,"同じ月の請求が重複しています／",""),"")&amp;IF(AND(N($E53)&gt;0,$Z53&lt;&gt;"",$Z53&lt;&gt;"×",$AC53=0,$AB53=""),"計算額が下限以下のため不支給／",""))</f>
        <v/>
      </c>
      <c r="AL53" s="12" t="n"/>
      <c r="AM53" s="14">
        <f>IF($AD53="保留中",COUNTIF($AD$6:$AD53,"保留中"),"")</f>
        <v/>
      </c>
      <c r="AN53" s="14">
        <f>IF($AO53="","",IF(SUMPRODUCT(MAX((職員マスタ!$A$6:$A$405=$B53)*(((職員マスタ!$G$6:$G$405="")+(職員マスタ!$G$6:$G$405&lt;=EOMONTH($AO53,0)))&gt;0)*(((職員マスタ!$H$6:$H$405="")+(職員マスタ!$H$6:$H$405&gt;=$AO53))&gt;0)*(ROW(職員マスタ!$A$6:$A$405)-5)))&gt;0,SUMPRODUCT(MAX((職員マスタ!$A$6:$A$405=$B53)*(((職員マスタ!$G$6:$G$405="")+(職員マスタ!$G$6:$G$405&lt;=EOMONTH($AO53,0)))&gt;0)*(((職員マスタ!$H$6:$H$405="")+(職員マスタ!$H$6:$H$405&gt;=$AO53))&gt;0)*(ROW(職員マスタ!$A$6:$A$405)-5))),IFERROR(MATCH($B53,職員マスタ!$A$6:$A$405,0),"")))</f>
        <v/>
      </c>
      <c r="AO53" s="16">
        <f>IF(OR($B53="",$C53="",$D53=""),"",DATE($C53+2018,$D53,1))</f>
        <v/>
      </c>
    </row>
    <row r="54">
      <c r="A54" s="11" t="n"/>
      <c r="B54" s="12" t="n">
        <v>5802509</v>
      </c>
      <c r="C54" s="12" t="n">
        <v>7</v>
      </c>
      <c r="D54" s="12" t="n">
        <v>4</v>
      </c>
      <c r="E54" s="13" t="n">
        <v>192173</v>
      </c>
      <c r="F54" s="12" t="n"/>
      <c r="G54" s="13" t="n"/>
      <c r="H54" s="12" t="n"/>
      <c r="I54" s="12" t="n"/>
      <c r="J54" s="12" t="n"/>
      <c r="K54" s="12" t="n"/>
      <c r="L54" s="11" t="n"/>
      <c r="M54" s="11" t="n"/>
      <c r="N54" s="11" t="n"/>
      <c r="O54" s="11" t="n"/>
      <c r="P54" s="12" t="n"/>
      <c r="Q54" s="11" t="n"/>
      <c r="R54" s="12" t="n"/>
      <c r="S54" s="11" t="n"/>
      <c r="T54" s="12" t="n"/>
      <c r="U54" s="12" t="n"/>
      <c r="V54" s="14">
        <f>IF($AN54="",IF($B54="","",$H54),IF(INDEX(職員マスタ!$B$6:$B$405,$AN54)="",$H54,INDEX(職員マスタ!$B$6:$B$405,$AN54)))</f>
        <v/>
      </c>
      <c r="W54" s="14">
        <f>IF($AN54="",IF($B54="","",$R54),IF(INDEX(職員マスタ!$C$6:$C$405,$AN54)="",$R54,INDEX(職員マスタ!$C$6:$C$405,$AN54)))</f>
        <v/>
      </c>
      <c r="X54" s="14">
        <f>IF($AO54="","","R"&amp;$C54&amp;"."&amp;$D54)</f>
        <v/>
      </c>
      <c r="Y54" s="15">
        <f>IF($AN54="","",IF(INDEX(職員マスタ!$K$6:$K$405,$AN54)="","",INDEX(職員マスタ!$K$6:$K$405,$AN54)))</f>
        <v/>
      </c>
      <c r="Z54" s="14">
        <f>IF(OR($E54="",$Y54=""),"",IF($E54&gt;=$Y54,"×",IF($E54&gt;=$Y54*設定!$C$5,"△","○")))</f>
        <v/>
      </c>
      <c r="AA54" s="15">
        <f>IF($Z54="","",IF($Z54="×",0,IF($Z54="○",ROUNDDOWN($E54*設定!$C$4,0),ROUNDDOWN($E54*ROUND((9*$Y54-9*$E54)/(10*$E54),4),0))))</f>
        <v/>
      </c>
      <c r="AB54" s="13" t="n"/>
      <c r="AC54" s="15">
        <f>IF($B54="","",IF($AB54&lt;&gt;"",$AB54,IF($AA54="","",IF($AA54&lt;=設定!$C$3,0,$AA54))))</f>
        <v/>
      </c>
      <c r="AD54" s="14">
        <f>IF($B54="","",IF(AND($AE54&lt;&gt;"",$AG54="",$AJ54=""),"保留中",IF($AJ54&lt;&gt;"",IF(N($AC54)&gt;0,"支給済","不支給"),IF($AC54="","要確認",IF($AC54=0,"不支給","未処理")))))</f>
        <v/>
      </c>
      <c r="AE54" s="12" t="n"/>
      <c r="AF54" s="11" t="n"/>
      <c r="AG54" s="11" t="n"/>
      <c r="AH54" s="11" t="n"/>
      <c r="AI54" s="14">
        <f>IF(AND($AD54="保留中",$AF54&lt;&gt;""),TODAY()-$AF54,"")</f>
        <v/>
      </c>
      <c r="AJ54" s="12" t="inlineStr">
        <is>
          <t>R7.8</t>
        </is>
      </c>
      <c r="AK54" s="14">
        <f>IF($B54="","",IF($AO54="","対象年月が未入力／","")&amp;IF($B54="","",IF($AN54="","職員マスタに未登録の職員番号／",IF($Y54="","標準報酬月額が未登録／","")&amp;IF(AND($AO54&lt;&gt;"",OR(AND(INDEX(職員マスタ!$G$6:$G$405,$AN54)&lt;&gt;"",INDEX(職員マスタ!$G$6:$G$405,$AN54)&gt;EOMONTH($AO54,0)),AND(INDEX(職員マスタ!$H$6:$H$405,$AN54)&lt;&gt;"",INDEX(職員マスタ!$H$6:$H$405,$AN54)&lt;$AO54))),"対象月が時短期間外／","")&amp;IF(AND(INDEX(職員マスタ!$F$6:$F$405,$AN54)&lt;&gt;"",$AO54&lt;&gt;"",INDEX(職員マスタ!$F$6:$F$405,$AN54)&lt;$AO54),"対象月に子が2歳到達済／","")&amp;IF(AND($H54&lt;&gt;"",INDEX(職員マスタ!$B$6:$B$405,$AN54)&lt;&gt;"",SUBSTITUTE(SUBSTITUTE($H54," ","")," ","")&lt;&gt;SUBSTITUTE(SUBSTITUTE(INDEX(職員マスタ!$B$6:$B$405,$AN54)," ","")," ","")),"氏名がマスタと相違／","")&amp;IF(AND($Q54&lt;&gt;"",INDEX(職員マスタ!$E$6:$E$405,$AN54)&lt;&gt;"",$Q54&lt;&gt;INDEX(職員マスタ!$E$6:$E$405,$AN54)),"子の生年月日がマスタと相違／","")&amp;IF(AND($L54&lt;&gt;"",INDEX(職員マスタ!$G$6:$G$405,$AN54)&lt;&gt;"",$L54&lt;&gt;INDEX(職員マスタ!$G$6:$G$405,$AN54)),"時短開始日がマスタと相違／","")&amp;IF(AND($M54&lt;&gt;"",INDEX(職員マスタ!$H$6:$H$405,$AN54)&lt;&gt;"",$M54&lt;&gt;INDEX(職員マスタ!$H$6:$H$405,$AN54)),"時短終了日がマスタと相違／","")))&amp;IF(AND($B54&lt;&gt;"",$E54=""),"報酬額が未入力／","")&amp;IF(N($U54)&gt;0,"申請書に入力エラーが残っています／","")&amp;IF(AND($B54&lt;&gt;"",$AO54&lt;&gt;""),IF(COUNTIFS($B$6:$B$3005,$B54,$C$6:$C$3005,$C54,$D$6:$D$3005,$D54)&gt;1,"同じ月の請求が重複しています／",""),"")&amp;IF(AND(N($E54)&gt;0,$Z54&lt;&gt;"",$Z54&lt;&gt;"×",$AC54=0,$AB54=""),"計算額が下限以下のため不支給／",""))</f>
        <v/>
      </c>
      <c r="AL54" s="12" t="n"/>
      <c r="AM54" s="14">
        <f>IF($AD54="保留中",COUNTIF($AD$6:$AD54,"保留中"),"")</f>
        <v/>
      </c>
      <c r="AN54" s="14">
        <f>IF($AO54="","",IF(SUMPRODUCT(MAX((職員マスタ!$A$6:$A$405=$B54)*(((職員マスタ!$G$6:$G$405="")+(職員マスタ!$G$6:$G$405&lt;=EOMONTH($AO54,0)))&gt;0)*(((職員マスタ!$H$6:$H$405="")+(職員マスタ!$H$6:$H$405&gt;=$AO54))&gt;0)*(ROW(職員マスタ!$A$6:$A$405)-5)))&gt;0,SUMPRODUCT(MAX((職員マスタ!$A$6:$A$405=$B54)*(((職員マスタ!$G$6:$G$405="")+(職員マスタ!$G$6:$G$405&lt;=EOMONTH($AO54,0)))&gt;0)*(((職員マスタ!$H$6:$H$405="")+(職員マスタ!$H$6:$H$405&gt;=$AO54))&gt;0)*(ROW(職員マスタ!$A$6:$A$405)-5))),IFERROR(MATCH($B54,職員マスタ!$A$6:$A$405,0),"")))</f>
        <v/>
      </c>
      <c r="AO54" s="16">
        <f>IF(OR($B54="",$C54="",$D54=""),"",DATE($C54+2018,$D54,1))</f>
        <v/>
      </c>
    </row>
    <row r="55">
      <c r="A55" s="11" t="n"/>
      <c r="B55" s="12" t="n">
        <v>5802509</v>
      </c>
      <c r="C55" s="12" t="n">
        <v>7</v>
      </c>
      <c r="D55" s="12" t="n">
        <v>5</v>
      </c>
      <c r="E55" s="13" t="n">
        <v>201065</v>
      </c>
      <c r="F55" s="12" t="n"/>
      <c r="G55" s="13" t="n"/>
      <c r="H55" s="12" t="n"/>
      <c r="I55" s="12" t="n"/>
      <c r="J55" s="12" t="n"/>
      <c r="K55" s="12" t="n"/>
      <c r="L55" s="11" t="n"/>
      <c r="M55" s="11" t="n"/>
      <c r="N55" s="11" t="n"/>
      <c r="O55" s="11" t="n"/>
      <c r="P55" s="12" t="n"/>
      <c r="Q55" s="11" t="n"/>
      <c r="R55" s="12" t="n"/>
      <c r="S55" s="11" t="n"/>
      <c r="T55" s="12" t="n"/>
      <c r="U55" s="12" t="n"/>
      <c r="V55" s="14">
        <f>IF($AN55="",IF($B55="","",$H55),IF(INDEX(職員マスタ!$B$6:$B$405,$AN55)="",$H55,INDEX(職員マスタ!$B$6:$B$405,$AN55)))</f>
        <v/>
      </c>
      <c r="W55" s="14">
        <f>IF($AN55="",IF($B55="","",$R55),IF(INDEX(職員マスタ!$C$6:$C$405,$AN55)="",$R55,INDEX(職員マスタ!$C$6:$C$405,$AN55)))</f>
        <v/>
      </c>
      <c r="X55" s="14">
        <f>IF($AO55="","","R"&amp;$C55&amp;"."&amp;$D55)</f>
        <v/>
      </c>
      <c r="Y55" s="15">
        <f>IF($AN55="","",IF(INDEX(職員マスタ!$K$6:$K$405,$AN55)="","",INDEX(職員マスタ!$K$6:$K$405,$AN55)))</f>
        <v/>
      </c>
      <c r="Z55" s="14">
        <f>IF(OR($E55="",$Y55=""),"",IF($E55&gt;=$Y55,"×",IF($E55&gt;=$Y55*設定!$C$5,"△","○")))</f>
        <v/>
      </c>
      <c r="AA55" s="15">
        <f>IF($Z55="","",IF($Z55="×",0,IF($Z55="○",ROUNDDOWN($E55*設定!$C$4,0),ROUNDDOWN($E55*ROUND((9*$Y55-9*$E55)/(10*$E55),4),0))))</f>
        <v/>
      </c>
      <c r="AB55" s="13" t="n"/>
      <c r="AC55" s="15">
        <f>IF($B55="","",IF($AB55&lt;&gt;"",$AB55,IF($AA55="","",IF($AA55&lt;=設定!$C$3,0,$AA55))))</f>
        <v/>
      </c>
      <c r="AD55" s="14">
        <f>IF($B55="","",IF(AND($AE55&lt;&gt;"",$AG55="",$AJ55=""),"保留中",IF($AJ55&lt;&gt;"",IF(N($AC55)&gt;0,"支給済","不支給"),IF($AC55="","要確認",IF($AC55=0,"不支給","未処理")))))</f>
        <v/>
      </c>
      <c r="AE55" s="12" t="n"/>
      <c r="AF55" s="11" t="n"/>
      <c r="AG55" s="11" t="n"/>
      <c r="AH55" s="11" t="n"/>
      <c r="AI55" s="14">
        <f>IF(AND($AD55="保留中",$AF55&lt;&gt;""),TODAY()-$AF55,"")</f>
        <v/>
      </c>
      <c r="AJ55" s="12" t="inlineStr">
        <is>
          <t>R7.8</t>
        </is>
      </c>
      <c r="AK55" s="14">
        <f>IF($B55="","",IF($AO55="","対象年月が未入力／","")&amp;IF($B55="","",IF($AN55="","職員マスタに未登録の職員番号／",IF($Y55="","標準報酬月額が未登録／","")&amp;IF(AND($AO55&lt;&gt;"",OR(AND(INDEX(職員マスタ!$G$6:$G$405,$AN55)&lt;&gt;"",INDEX(職員マスタ!$G$6:$G$405,$AN55)&gt;EOMONTH($AO55,0)),AND(INDEX(職員マスタ!$H$6:$H$405,$AN55)&lt;&gt;"",INDEX(職員マスタ!$H$6:$H$405,$AN55)&lt;$AO55))),"対象月が時短期間外／","")&amp;IF(AND(INDEX(職員マスタ!$F$6:$F$405,$AN55)&lt;&gt;"",$AO55&lt;&gt;"",INDEX(職員マスタ!$F$6:$F$405,$AN55)&lt;$AO55),"対象月に子が2歳到達済／","")&amp;IF(AND($H55&lt;&gt;"",INDEX(職員マスタ!$B$6:$B$405,$AN55)&lt;&gt;"",SUBSTITUTE(SUBSTITUTE($H55," ","")," ","")&lt;&gt;SUBSTITUTE(SUBSTITUTE(INDEX(職員マスタ!$B$6:$B$405,$AN55)," ","")," ","")),"氏名がマスタと相違／","")&amp;IF(AND($Q55&lt;&gt;"",INDEX(職員マスタ!$E$6:$E$405,$AN55)&lt;&gt;"",$Q55&lt;&gt;INDEX(職員マスタ!$E$6:$E$405,$AN55)),"子の生年月日がマスタと相違／","")&amp;IF(AND($L55&lt;&gt;"",INDEX(職員マスタ!$G$6:$G$405,$AN55)&lt;&gt;"",$L55&lt;&gt;INDEX(職員マスタ!$G$6:$G$405,$AN55)),"時短開始日がマスタと相違／","")&amp;IF(AND($M55&lt;&gt;"",INDEX(職員マスタ!$H$6:$H$405,$AN55)&lt;&gt;"",$M55&lt;&gt;INDEX(職員マスタ!$H$6:$H$405,$AN55)),"時短終了日がマスタと相違／","")))&amp;IF(AND($B55&lt;&gt;"",$E55=""),"報酬額が未入力／","")&amp;IF(N($U55)&gt;0,"申請書に入力エラーが残っています／","")&amp;IF(AND($B55&lt;&gt;"",$AO55&lt;&gt;""),IF(COUNTIFS($B$6:$B$3005,$B55,$C$6:$C$3005,$C55,$D$6:$D$3005,$D55)&gt;1,"同じ月の請求が重複しています／",""),"")&amp;IF(AND(N($E55)&gt;0,$Z55&lt;&gt;"",$Z55&lt;&gt;"×",$AC55=0,$AB55=""),"計算額が下限以下のため不支給／",""))</f>
        <v/>
      </c>
      <c r="AL55" s="12" t="n"/>
      <c r="AM55" s="14">
        <f>IF($AD55="保留中",COUNTIF($AD$6:$AD55,"保留中"),"")</f>
        <v/>
      </c>
      <c r="AN55" s="14">
        <f>IF($AO55="","",IF(SUMPRODUCT(MAX((職員マスタ!$A$6:$A$405=$B55)*(((職員マスタ!$G$6:$G$405="")+(職員マスタ!$G$6:$G$405&lt;=EOMONTH($AO55,0)))&gt;0)*(((職員マスタ!$H$6:$H$405="")+(職員マスタ!$H$6:$H$405&gt;=$AO55))&gt;0)*(ROW(職員マスタ!$A$6:$A$405)-5)))&gt;0,SUMPRODUCT(MAX((職員マスタ!$A$6:$A$405=$B55)*(((職員マスタ!$G$6:$G$405="")+(職員マスタ!$G$6:$G$405&lt;=EOMONTH($AO55,0)))&gt;0)*(((職員マスタ!$H$6:$H$405="")+(職員マスタ!$H$6:$H$405&gt;=$AO55))&gt;0)*(ROW(職員マスタ!$A$6:$A$405)-5))),IFERROR(MATCH($B55,職員マスタ!$A$6:$A$405,0),"")))</f>
        <v/>
      </c>
      <c r="AO55" s="16">
        <f>IF(OR($B55="",$C55="",$D55=""),"",DATE($C55+2018,$D55,1))</f>
        <v/>
      </c>
    </row>
    <row r="56">
      <c r="A56" s="11" t="n"/>
      <c r="B56" s="12" t="n">
        <v>5802913</v>
      </c>
      <c r="C56" s="12" t="n">
        <v>7</v>
      </c>
      <c r="D56" s="12" t="n">
        <v>5</v>
      </c>
      <c r="E56" s="13" t="n">
        <v>184188</v>
      </c>
      <c r="F56" s="12" t="n"/>
      <c r="G56" s="13" t="n"/>
      <c r="H56" s="12" t="n"/>
      <c r="I56" s="12" t="n"/>
      <c r="J56" s="12" t="n"/>
      <c r="K56" s="12" t="n"/>
      <c r="L56" s="11" t="n"/>
      <c r="M56" s="11" t="n"/>
      <c r="N56" s="11" t="n"/>
      <c r="O56" s="11" t="n"/>
      <c r="P56" s="12" t="n"/>
      <c r="Q56" s="11" t="n"/>
      <c r="R56" s="12" t="n"/>
      <c r="S56" s="11" t="n"/>
      <c r="T56" s="12" t="n"/>
      <c r="U56" s="12" t="n"/>
      <c r="V56" s="14">
        <f>IF($AN56="",IF($B56="","",$H56),IF(INDEX(職員マスタ!$B$6:$B$405,$AN56)="",$H56,INDEX(職員マスタ!$B$6:$B$405,$AN56)))</f>
        <v/>
      </c>
      <c r="W56" s="14">
        <f>IF($AN56="",IF($B56="","",$R56),IF(INDEX(職員マスタ!$C$6:$C$405,$AN56)="",$R56,INDEX(職員マスタ!$C$6:$C$405,$AN56)))</f>
        <v/>
      </c>
      <c r="X56" s="14">
        <f>IF($AO56="","","R"&amp;$C56&amp;"."&amp;$D56)</f>
        <v/>
      </c>
      <c r="Y56" s="15">
        <f>IF($AN56="","",IF(INDEX(職員マスタ!$K$6:$K$405,$AN56)="","",INDEX(職員マスタ!$K$6:$K$405,$AN56)))</f>
        <v/>
      </c>
      <c r="Z56" s="14">
        <f>IF(OR($E56="",$Y56=""),"",IF($E56&gt;=$Y56,"×",IF($E56&gt;=$Y56*設定!$C$5,"△","○")))</f>
        <v/>
      </c>
      <c r="AA56" s="15">
        <f>IF($Z56="","",IF($Z56="×",0,IF($Z56="○",ROUNDDOWN($E56*設定!$C$4,0),ROUNDDOWN($E56*ROUND((9*$Y56-9*$E56)/(10*$E56),4),0))))</f>
        <v/>
      </c>
      <c r="AB56" s="13" t="n"/>
      <c r="AC56" s="15">
        <f>IF($B56="","",IF($AB56&lt;&gt;"",$AB56,IF($AA56="","",IF($AA56&lt;=設定!$C$3,0,$AA56))))</f>
        <v/>
      </c>
      <c r="AD56" s="14">
        <f>IF($B56="","",IF(AND($AE56&lt;&gt;"",$AG56="",$AJ56=""),"保留中",IF($AJ56&lt;&gt;"",IF(N($AC56)&gt;0,"支給済","不支給"),IF($AC56="","要確認",IF($AC56=0,"不支給","未処理")))))</f>
        <v/>
      </c>
      <c r="AE56" s="12" t="n"/>
      <c r="AF56" s="11" t="n"/>
      <c r="AG56" s="11" t="n"/>
      <c r="AH56" s="11" t="n"/>
      <c r="AI56" s="14">
        <f>IF(AND($AD56="保留中",$AF56&lt;&gt;""),TODAY()-$AF56,"")</f>
        <v/>
      </c>
      <c r="AJ56" s="12" t="inlineStr">
        <is>
          <t>R7.8</t>
        </is>
      </c>
      <c r="AK56" s="14">
        <f>IF($B56="","",IF($AO56="","対象年月が未入力／","")&amp;IF($B56="","",IF($AN56="","職員マスタに未登録の職員番号／",IF($Y56="","標準報酬月額が未登録／","")&amp;IF(AND($AO56&lt;&gt;"",OR(AND(INDEX(職員マスタ!$G$6:$G$405,$AN56)&lt;&gt;"",INDEX(職員マスタ!$G$6:$G$405,$AN56)&gt;EOMONTH($AO56,0)),AND(INDEX(職員マスタ!$H$6:$H$405,$AN56)&lt;&gt;"",INDEX(職員マスタ!$H$6:$H$405,$AN56)&lt;$AO56))),"対象月が時短期間外／","")&amp;IF(AND(INDEX(職員マスタ!$F$6:$F$405,$AN56)&lt;&gt;"",$AO56&lt;&gt;"",INDEX(職員マスタ!$F$6:$F$405,$AN56)&lt;$AO56),"対象月に子が2歳到達済／","")&amp;IF(AND($H56&lt;&gt;"",INDEX(職員マスタ!$B$6:$B$405,$AN56)&lt;&gt;"",SUBSTITUTE(SUBSTITUTE($H56," ","")," ","")&lt;&gt;SUBSTITUTE(SUBSTITUTE(INDEX(職員マスタ!$B$6:$B$405,$AN56)," ","")," ","")),"氏名がマスタと相違／","")&amp;IF(AND($Q56&lt;&gt;"",INDEX(職員マスタ!$E$6:$E$405,$AN56)&lt;&gt;"",$Q56&lt;&gt;INDEX(職員マスタ!$E$6:$E$405,$AN56)),"子の生年月日がマスタと相違／","")&amp;IF(AND($L56&lt;&gt;"",INDEX(職員マスタ!$G$6:$G$405,$AN56)&lt;&gt;"",$L56&lt;&gt;INDEX(職員マスタ!$G$6:$G$405,$AN56)),"時短開始日がマスタと相違／","")&amp;IF(AND($M56&lt;&gt;"",INDEX(職員マスタ!$H$6:$H$405,$AN56)&lt;&gt;"",$M56&lt;&gt;INDEX(職員マスタ!$H$6:$H$405,$AN56)),"時短終了日がマスタと相違／","")))&amp;IF(AND($B56&lt;&gt;"",$E56=""),"報酬額が未入力／","")&amp;IF(N($U56)&gt;0,"申請書に入力エラーが残っています／","")&amp;IF(AND($B56&lt;&gt;"",$AO56&lt;&gt;""),IF(COUNTIFS($B$6:$B$3005,$B56,$C$6:$C$3005,$C56,$D$6:$D$3005,$D56)&gt;1,"同じ月の請求が重複しています／",""),"")&amp;IF(AND(N($E56)&gt;0,$Z56&lt;&gt;"",$Z56&lt;&gt;"×",$AC56=0,$AB56=""),"計算額が下限以下のため不支給／",""))</f>
        <v/>
      </c>
      <c r="AL56" s="12" t="n"/>
      <c r="AM56" s="14">
        <f>IF($AD56="保留中",COUNTIF($AD$6:$AD56,"保留中"),"")</f>
        <v/>
      </c>
      <c r="AN56" s="14">
        <f>IF($AO56="","",IF(SUMPRODUCT(MAX((職員マスタ!$A$6:$A$405=$B56)*(((職員マスタ!$G$6:$G$405="")+(職員マスタ!$G$6:$G$405&lt;=EOMONTH($AO56,0)))&gt;0)*(((職員マスタ!$H$6:$H$405="")+(職員マスタ!$H$6:$H$405&gt;=$AO56))&gt;0)*(ROW(職員マスタ!$A$6:$A$405)-5)))&gt;0,SUMPRODUCT(MAX((職員マスタ!$A$6:$A$405=$B56)*(((職員マスタ!$G$6:$G$405="")+(職員マスタ!$G$6:$G$405&lt;=EOMONTH($AO56,0)))&gt;0)*(((職員マスタ!$H$6:$H$405="")+(職員マスタ!$H$6:$H$405&gt;=$AO56))&gt;0)*(ROW(職員マスタ!$A$6:$A$405)-5))),IFERROR(MATCH($B56,職員マスタ!$A$6:$A$405,0),"")))</f>
        <v/>
      </c>
      <c r="AO56" s="16">
        <f>IF(OR($B56="",$C56="",$D56=""),"",DATE($C56+2018,$D56,1))</f>
        <v/>
      </c>
    </row>
    <row r="57">
      <c r="A57" s="11" t="n"/>
      <c r="B57" s="12" t="n">
        <v>5802913</v>
      </c>
      <c r="C57" s="12" t="n">
        <v>7</v>
      </c>
      <c r="D57" s="12" t="n">
        <v>6</v>
      </c>
      <c r="E57" s="13" t="n">
        <v>201016</v>
      </c>
      <c r="F57" s="12" t="n"/>
      <c r="G57" s="13" t="n"/>
      <c r="H57" s="12" t="n"/>
      <c r="I57" s="12" t="n"/>
      <c r="J57" s="12" t="n"/>
      <c r="K57" s="12" t="n"/>
      <c r="L57" s="11" t="n"/>
      <c r="M57" s="11" t="n"/>
      <c r="N57" s="11" t="n"/>
      <c r="O57" s="11" t="n"/>
      <c r="P57" s="12" t="n"/>
      <c r="Q57" s="11" t="n"/>
      <c r="R57" s="12" t="n"/>
      <c r="S57" s="11" t="n"/>
      <c r="T57" s="12" t="n"/>
      <c r="U57" s="12" t="n"/>
      <c r="V57" s="14">
        <f>IF($AN57="",IF($B57="","",$H57),IF(INDEX(職員マスタ!$B$6:$B$405,$AN57)="",$H57,INDEX(職員マスタ!$B$6:$B$405,$AN57)))</f>
        <v/>
      </c>
      <c r="W57" s="14">
        <f>IF($AN57="",IF($B57="","",$R57),IF(INDEX(職員マスタ!$C$6:$C$405,$AN57)="",$R57,INDEX(職員マスタ!$C$6:$C$405,$AN57)))</f>
        <v/>
      </c>
      <c r="X57" s="14">
        <f>IF($AO57="","","R"&amp;$C57&amp;"."&amp;$D57)</f>
        <v/>
      </c>
      <c r="Y57" s="15">
        <f>IF($AN57="","",IF(INDEX(職員マスタ!$K$6:$K$405,$AN57)="","",INDEX(職員マスタ!$K$6:$K$405,$AN57)))</f>
        <v/>
      </c>
      <c r="Z57" s="14">
        <f>IF(OR($E57="",$Y57=""),"",IF($E57&gt;=$Y57,"×",IF($E57&gt;=$Y57*設定!$C$5,"△","○")))</f>
        <v/>
      </c>
      <c r="AA57" s="15">
        <f>IF($Z57="","",IF($Z57="×",0,IF($Z57="○",ROUNDDOWN($E57*設定!$C$4,0),ROUNDDOWN($E57*ROUND((9*$Y57-9*$E57)/(10*$E57),4),0))))</f>
        <v/>
      </c>
      <c r="AB57" s="13" t="n"/>
      <c r="AC57" s="15">
        <f>IF($B57="","",IF($AB57&lt;&gt;"",$AB57,IF($AA57="","",IF($AA57&lt;=設定!$C$3,0,$AA57))))</f>
        <v/>
      </c>
      <c r="AD57" s="14">
        <f>IF($B57="","",IF(AND($AE57&lt;&gt;"",$AG57="",$AJ57=""),"保留中",IF($AJ57&lt;&gt;"",IF(N($AC57)&gt;0,"支給済","不支給"),IF($AC57="","要確認",IF($AC57=0,"不支給","未処理")))))</f>
        <v/>
      </c>
      <c r="AE57" s="12" t="n"/>
      <c r="AF57" s="11" t="n"/>
      <c r="AG57" s="11" t="n"/>
      <c r="AH57" s="11" t="n"/>
      <c r="AI57" s="14">
        <f>IF(AND($AD57="保留中",$AF57&lt;&gt;""),TODAY()-$AF57,"")</f>
        <v/>
      </c>
      <c r="AJ57" s="12" t="inlineStr">
        <is>
          <t>R7.8</t>
        </is>
      </c>
      <c r="AK57" s="14">
        <f>IF($B57="","",IF($AO57="","対象年月が未入力／","")&amp;IF($B57="","",IF($AN57="","職員マスタに未登録の職員番号／",IF($Y57="","標準報酬月額が未登録／","")&amp;IF(AND($AO57&lt;&gt;"",OR(AND(INDEX(職員マスタ!$G$6:$G$405,$AN57)&lt;&gt;"",INDEX(職員マスタ!$G$6:$G$405,$AN57)&gt;EOMONTH($AO57,0)),AND(INDEX(職員マスタ!$H$6:$H$405,$AN57)&lt;&gt;"",INDEX(職員マスタ!$H$6:$H$405,$AN57)&lt;$AO57))),"対象月が時短期間外／","")&amp;IF(AND(INDEX(職員マスタ!$F$6:$F$405,$AN57)&lt;&gt;"",$AO57&lt;&gt;"",INDEX(職員マスタ!$F$6:$F$405,$AN57)&lt;$AO57),"対象月に子が2歳到達済／","")&amp;IF(AND($H57&lt;&gt;"",INDEX(職員マスタ!$B$6:$B$405,$AN57)&lt;&gt;"",SUBSTITUTE(SUBSTITUTE($H57," ","")," ","")&lt;&gt;SUBSTITUTE(SUBSTITUTE(INDEX(職員マスタ!$B$6:$B$405,$AN57)," ","")," ","")),"氏名がマスタと相違／","")&amp;IF(AND($Q57&lt;&gt;"",INDEX(職員マスタ!$E$6:$E$405,$AN57)&lt;&gt;"",$Q57&lt;&gt;INDEX(職員マスタ!$E$6:$E$405,$AN57)),"子の生年月日がマスタと相違／","")&amp;IF(AND($L57&lt;&gt;"",INDEX(職員マスタ!$G$6:$G$405,$AN57)&lt;&gt;"",$L57&lt;&gt;INDEX(職員マスタ!$G$6:$G$405,$AN57)),"時短開始日がマスタと相違／","")&amp;IF(AND($M57&lt;&gt;"",INDEX(職員マスタ!$H$6:$H$405,$AN57)&lt;&gt;"",$M57&lt;&gt;INDEX(職員マスタ!$H$6:$H$405,$AN57)),"時短終了日がマスタと相違／","")))&amp;IF(AND($B57&lt;&gt;"",$E57=""),"報酬額が未入力／","")&amp;IF(N($U57)&gt;0,"申請書に入力エラーが残っています／","")&amp;IF(AND($B57&lt;&gt;"",$AO57&lt;&gt;""),IF(COUNTIFS($B$6:$B$3005,$B57,$C$6:$C$3005,$C57,$D$6:$D$3005,$D57)&gt;1,"同じ月の請求が重複しています／",""),"")&amp;IF(AND(N($E57)&gt;0,$Z57&lt;&gt;"",$Z57&lt;&gt;"×",$AC57=0,$AB57=""),"計算額が下限以下のため不支給／",""))</f>
        <v/>
      </c>
      <c r="AL57" s="12" t="n"/>
      <c r="AM57" s="14">
        <f>IF($AD57="保留中",COUNTIF($AD$6:$AD57,"保留中"),"")</f>
        <v/>
      </c>
      <c r="AN57" s="14">
        <f>IF($AO57="","",IF(SUMPRODUCT(MAX((職員マスタ!$A$6:$A$405=$B57)*(((職員マスタ!$G$6:$G$405="")+(職員マスタ!$G$6:$G$405&lt;=EOMONTH($AO57,0)))&gt;0)*(((職員マスタ!$H$6:$H$405="")+(職員マスタ!$H$6:$H$405&gt;=$AO57))&gt;0)*(ROW(職員マスタ!$A$6:$A$405)-5)))&gt;0,SUMPRODUCT(MAX((職員マスタ!$A$6:$A$405=$B57)*(((職員マスタ!$G$6:$G$405="")+(職員マスタ!$G$6:$G$405&lt;=EOMONTH($AO57,0)))&gt;0)*(((職員マスタ!$H$6:$H$405="")+(職員マスタ!$H$6:$H$405&gt;=$AO57))&gt;0)*(ROW(職員マスタ!$A$6:$A$405)-5))),IFERROR(MATCH($B57,職員マスタ!$A$6:$A$405,0),"")))</f>
        <v/>
      </c>
      <c r="AO57" s="16">
        <f>IF(OR($B57="",$C57="",$D57=""),"",DATE($C57+2018,$D57,1))</f>
        <v/>
      </c>
    </row>
    <row r="58">
      <c r="A58" s="11" t="n"/>
      <c r="B58" s="12" t="n">
        <v>5802913</v>
      </c>
      <c r="C58" s="12" t="n">
        <v>7</v>
      </c>
      <c r="D58" s="12" t="n">
        <v>7</v>
      </c>
      <c r="E58" s="13" t="n">
        <v>188736</v>
      </c>
      <c r="F58" s="12" t="n"/>
      <c r="G58" s="13" t="n"/>
      <c r="H58" s="12" t="n"/>
      <c r="I58" s="12" t="n"/>
      <c r="J58" s="12" t="n"/>
      <c r="K58" s="12" t="n"/>
      <c r="L58" s="11" t="n"/>
      <c r="M58" s="11" t="n"/>
      <c r="N58" s="11" t="n"/>
      <c r="O58" s="11" t="n"/>
      <c r="P58" s="12" t="n"/>
      <c r="Q58" s="11" t="n"/>
      <c r="R58" s="12" t="n"/>
      <c r="S58" s="11" t="n"/>
      <c r="T58" s="12" t="n"/>
      <c r="U58" s="12" t="n"/>
      <c r="V58" s="14">
        <f>IF($AN58="",IF($B58="","",$H58),IF(INDEX(職員マスタ!$B$6:$B$405,$AN58)="",$H58,INDEX(職員マスタ!$B$6:$B$405,$AN58)))</f>
        <v/>
      </c>
      <c r="W58" s="14">
        <f>IF($AN58="",IF($B58="","",$R58),IF(INDEX(職員マスタ!$C$6:$C$405,$AN58)="",$R58,INDEX(職員マスタ!$C$6:$C$405,$AN58)))</f>
        <v/>
      </c>
      <c r="X58" s="14">
        <f>IF($AO58="","","R"&amp;$C58&amp;"."&amp;$D58)</f>
        <v/>
      </c>
      <c r="Y58" s="15">
        <f>IF($AN58="","",IF(INDEX(職員マスタ!$K$6:$K$405,$AN58)="","",INDEX(職員マスタ!$K$6:$K$405,$AN58)))</f>
        <v/>
      </c>
      <c r="Z58" s="14">
        <f>IF(OR($E58="",$Y58=""),"",IF($E58&gt;=$Y58,"×",IF($E58&gt;=$Y58*設定!$C$5,"△","○")))</f>
        <v/>
      </c>
      <c r="AA58" s="15">
        <f>IF($Z58="","",IF($Z58="×",0,IF($Z58="○",ROUNDDOWN($E58*設定!$C$4,0),ROUNDDOWN($E58*ROUND((9*$Y58-9*$E58)/(10*$E58),4),0))))</f>
        <v/>
      </c>
      <c r="AB58" s="13" t="n"/>
      <c r="AC58" s="15">
        <f>IF($B58="","",IF($AB58&lt;&gt;"",$AB58,IF($AA58="","",IF($AA58&lt;=設定!$C$3,0,$AA58))))</f>
        <v/>
      </c>
      <c r="AD58" s="14">
        <f>IF($B58="","",IF(AND($AE58&lt;&gt;"",$AG58="",$AJ58=""),"保留中",IF($AJ58&lt;&gt;"",IF(N($AC58)&gt;0,"支給済","不支給"),IF($AC58="","要確認",IF($AC58=0,"不支給","未処理")))))</f>
        <v/>
      </c>
      <c r="AE58" s="12" t="n"/>
      <c r="AF58" s="11" t="n"/>
      <c r="AG58" s="11" t="n"/>
      <c r="AH58" s="11" t="n"/>
      <c r="AI58" s="14">
        <f>IF(AND($AD58="保留中",$AF58&lt;&gt;""),TODAY()-$AF58,"")</f>
        <v/>
      </c>
      <c r="AJ58" s="12" t="inlineStr">
        <is>
          <t>R7.9</t>
        </is>
      </c>
      <c r="AK58" s="14">
        <f>IF($B58="","",IF($AO58="","対象年月が未入力／","")&amp;IF($B58="","",IF($AN58="","職員マスタに未登録の職員番号／",IF($Y58="","標準報酬月額が未登録／","")&amp;IF(AND($AO58&lt;&gt;"",OR(AND(INDEX(職員マスタ!$G$6:$G$405,$AN58)&lt;&gt;"",INDEX(職員マスタ!$G$6:$G$405,$AN58)&gt;EOMONTH($AO58,0)),AND(INDEX(職員マスタ!$H$6:$H$405,$AN58)&lt;&gt;"",INDEX(職員マスタ!$H$6:$H$405,$AN58)&lt;$AO58))),"対象月が時短期間外／","")&amp;IF(AND(INDEX(職員マスタ!$F$6:$F$405,$AN58)&lt;&gt;"",$AO58&lt;&gt;"",INDEX(職員マスタ!$F$6:$F$405,$AN58)&lt;$AO58),"対象月に子が2歳到達済／","")&amp;IF(AND($H58&lt;&gt;"",INDEX(職員マスタ!$B$6:$B$405,$AN58)&lt;&gt;"",SUBSTITUTE(SUBSTITUTE($H58," ","")," ","")&lt;&gt;SUBSTITUTE(SUBSTITUTE(INDEX(職員マスタ!$B$6:$B$405,$AN58)," ","")," ","")),"氏名がマスタと相違／","")&amp;IF(AND($Q58&lt;&gt;"",INDEX(職員マスタ!$E$6:$E$405,$AN58)&lt;&gt;"",$Q58&lt;&gt;INDEX(職員マスタ!$E$6:$E$405,$AN58)),"子の生年月日がマスタと相違／","")&amp;IF(AND($L58&lt;&gt;"",INDEX(職員マスタ!$G$6:$G$405,$AN58)&lt;&gt;"",$L58&lt;&gt;INDEX(職員マスタ!$G$6:$G$405,$AN58)),"時短開始日がマスタと相違／","")&amp;IF(AND($M58&lt;&gt;"",INDEX(職員マスタ!$H$6:$H$405,$AN58)&lt;&gt;"",$M58&lt;&gt;INDEX(職員マスタ!$H$6:$H$405,$AN58)),"時短終了日がマスタと相違／","")))&amp;IF(AND($B58&lt;&gt;"",$E58=""),"報酬額が未入力／","")&amp;IF(N($U58)&gt;0,"申請書に入力エラーが残っています／","")&amp;IF(AND($B58&lt;&gt;"",$AO58&lt;&gt;""),IF(COUNTIFS($B$6:$B$3005,$B58,$C$6:$C$3005,$C58,$D$6:$D$3005,$D58)&gt;1,"同じ月の請求が重複しています／",""),"")&amp;IF(AND(N($E58)&gt;0,$Z58&lt;&gt;"",$Z58&lt;&gt;"×",$AC58=0,$AB58=""),"計算額が下限以下のため不支給／",""))</f>
        <v/>
      </c>
      <c r="AL58" s="12" t="n"/>
      <c r="AM58" s="14">
        <f>IF($AD58="保留中",COUNTIF($AD$6:$AD58,"保留中"),"")</f>
        <v/>
      </c>
      <c r="AN58" s="14">
        <f>IF($AO58="","",IF(SUMPRODUCT(MAX((職員マスタ!$A$6:$A$405=$B58)*(((職員マスタ!$G$6:$G$405="")+(職員マスタ!$G$6:$G$405&lt;=EOMONTH($AO58,0)))&gt;0)*(((職員マスタ!$H$6:$H$405="")+(職員マスタ!$H$6:$H$405&gt;=$AO58))&gt;0)*(ROW(職員マスタ!$A$6:$A$405)-5)))&gt;0,SUMPRODUCT(MAX((職員マスタ!$A$6:$A$405=$B58)*(((職員マスタ!$G$6:$G$405="")+(職員マスタ!$G$6:$G$405&lt;=EOMONTH($AO58,0)))&gt;0)*(((職員マスタ!$H$6:$H$405="")+(職員マスタ!$H$6:$H$405&gt;=$AO58))&gt;0)*(ROW(職員マスタ!$A$6:$A$405)-5))),IFERROR(MATCH($B58,職員マスタ!$A$6:$A$405,0),"")))</f>
        <v/>
      </c>
      <c r="AO58" s="16">
        <f>IF(OR($B58="",$C58="",$D58=""),"",DATE($C58+2018,$D58,1))</f>
        <v/>
      </c>
    </row>
    <row r="59">
      <c r="A59" s="11" t="n"/>
      <c r="B59" s="12" t="n">
        <v>5802913</v>
      </c>
      <c r="C59" s="12" t="n">
        <v>7</v>
      </c>
      <c r="D59" s="12" t="n">
        <v>8</v>
      </c>
      <c r="E59" s="13" t="n">
        <v>188736</v>
      </c>
      <c r="F59" s="12" t="n"/>
      <c r="G59" s="13" t="n"/>
      <c r="H59" s="12" t="n"/>
      <c r="I59" s="12" t="n"/>
      <c r="J59" s="12" t="n"/>
      <c r="K59" s="12" t="n"/>
      <c r="L59" s="11" t="n"/>
      <c r="M59" s="11" t="n"/>
      <c r="N59" s="11" t="n"/>
      <c r="O59" s="11" t="n"/>
      <c r="P59" s="12" t="n"/>
      <c r="Q59" s="11" t="n"/>
      <c r="R59" s="12" t="n"/>
      <c r="S59" s="11" t="n"/>
      <c r="T59" s="12" t="n"/>
      <c r="U59" s="12" t="n"/>
      <c r="V59" s="14">
        <f>IF($AN59="",IF($B59="","",$H59),IF(INDEX(職員マスタ!$B$6:$B$405,$AN59)="",$H59,INDEX(職員マスタ!$B$6:$B$405,$AN59)))</f>
        <v/>
      </c>
      <c r="W59" s="14">
        <f>IF($AN59="",IF($B59="","",$R59),IF(INDEX(職員マスタ!$C$6:$C$405,$AN59)="",$R59,INDEX(職員マスタ!$C$6:$C$405,$AN59)))</f>
        <v/>
      </c>
      <c r="X59" s="14">
        <f>IF($AO59="","","R"&amp;$C59&amp;"."&amp;$D59)</f>
        <v/>
      </c>
      <c r="Y59" s="15">
        <f>IF($AN59="","",IF(INDEX(職員マスタ!$K$6:$K$405,$AN59)="","",INDEX(職員マスタ!$K$6:$K$405,$AN59)))</f>
        <v/>
      </c>
      <c r="Z59" s="14">
        <f>IF(OR($E59="",$Y59=""),"",IF($E59&gt;=$Y59,"×",IF($E59&gt;=$Y59*設定!$C$5,"△","○")))</f>
        <v/>
      </c>
      <c r="AA59" s="15">
        <f>IF($Z59="","",IF($Z59="×",0,IF($Z59="○",ROUNDDOWN($E59*設定!$C$4,0),ROUNDDOWN($E59*ROUND((9*$Y59-9*$E59)/(10*$E59),4),0))))</f>
        <v/>
      </c>
      <c r="AB59" s="13" t="n"/>
      <c r="AC59" s="15">
        <f>IF($B59="","",IF($AB59&lt;&gt;"",$AB59,IF($AA59="","",IF($AA59&lt;=設定!$C$3,0,$AA59))))</f>
        <v/>
      </c>
      <c r="AD59" s="14">
        <f>IF($B59="","",IF(AND($AE59&lt;&gt;"",$AG59="",$AJ59=""),"保留中",IF($AJ59&lt;&gt;"",IF(N($AC59)&gt;0,"支給済","不支給"),IF($AC59="","要確認",IF($AC59=0,"不支給","未処理")))))</f>
        <v/>
      </c>
      <c r="AE59" s="12" t="n"/>
      <c r="AF59" s="11" t="n"/>
      <c r="AG59" s="11" t="n"/>
      <c r="AH59" s="11" t="n"/>
      <c r="AI59" s="14">
        <f>IF(AND($AD59="保留中",$AF59&lt;&gt;""),TODAY()-$AF59,"")</f>
        <v/>
      </c>
      <c r="AJ59" s="12" t="inlineStr">
        <is>
          <t>R7.10</t>
        </is>
      </c>
      <c r="AK59" s="14">
        <f>IF($B59="","",IF($AO59="","対象年月が未入力／","")&amp;IF($B59="","",IF($AN59="","職員マスタに未登録の職員番号／",IF($Y59="","標準報酬月額が未登録／","")&amp;IF(AND($AO59&lt;&gt;"",OR(AND(INDEX(職員マスタ!$G$6:$G$405,$AN59)&lt;&gt;"",INDEX(職員マスタ!$G$6:$G$405,$AN59)&gt;EOMONTH($AO59,0)),AND(INDEX(職員マスタ!$H$6:$H$405,$AN59)&lt;&gt;"",INDEX(職員マスタ!$H$6:$H$405,$AN59)&lt;$AO59))),"対象月が時短期間外／","")&amp;IF(AND(INDEX(職員マスタ!$F$6:$F$405,$AN59)&lt;&gt;"",$AO59&lt;&gt;"",INDEX(職員マスタ!$F$6:$F$405,$AN59)&lt;$AO59),"対象月に子が2歳到達済／","")&amp;IF(AND($H59&lt;&gt;"",INDEX(職員マスタ!$B$6:$B$405,$AN59)&lt;&gt;"",SUBSTITUTE(SUBSTITUTE($H59," ","")," ","")&lt;&gt;SUBSTITUTE(SUBSTITUTE(INDEX(職員マスタ!$B$6:$B$405,$AN59)," ","")," ","")),"氏名がマスタと相違／","")&amp;IF(AND($Q59&lt;&gt;"",INDEX(職員マスタ!$E$6:$E$405,$AN59)&lt;&gt;"",$Q59&lt;&gt;INDEX(職員マスタ!$E$6:$E$405,$AN59)),"子の生年月日がマスタと相違／","")&amp;IF(AND($L59&lt;&gt;"",INDEX(職員マスタ!$G$6:$G$405,$AN59)&lt;&gt;"",$L59&lt;&gt;INDEX(職員マスタ!$G$6:$G$405,$AN59)),"時短開始日がマスタと相違／","")&amp;IF(AND($M59&lt;&gt;"",INDEX(職員マスタ!$H$6:$H$405,$AN59)&lt;&gt;"",$M59&lt;&gt;INDEX(職員マスタ!$H$6:$H$405,$AN59)),"時短終了日がマスタと相違／","")))&amp;IF(AND($B59&lt;&gt;"",$E59=""),"報酬額が未入力／","")&amp;IF(N($U59)&gt;0,"申請書に入力エラーが残っています／","")&amp;IF(AND($B59&lt;&gt;"",$AO59&lt;&gt;""),IF(COUNTIFS($B$6:$B$3005,$B59,$C$6:$C$3005,$C59,$D$6:$D$3005,$D59)&gt;1,"同じ月の請求が重複しています／",""),"")&amp;IF(AND(N($E59)&gt;0,$Z59&lt;&gt;"",$Z59&lt;&gt;"×",$AC59=0,$AB59=""),"計算額が下限以下のため不支給／",""))</f>
        <v/>
      </c>
      <c r="AL59" s="12" t="n"/>
      <c r="AM59" s="14">
        <f>IF($AD59="保留中",COUNTIF($AD$6:$AD59,"保留中"),"")</f>
        <v/>
      </c>
      <c r="AN59" s="14">
        <f>IF($AO59="","",IF(SUMPRODUCT(MAX((職員マスタ!$A$6:$A$405=$B59)*(((職員マスタ!$G$6:$G$405="")+(職員マスタ!$G$6:$G$405&lt;=EOMONTH($AO59,0)))&gt;0)*(((職員マスタ!$H$6:$H$405="")+(職員マスタ!$H$6:$H$405&gt;=$AO59))&gt;0)*(ROW(職員マスタ!$A$6:$A$405)-5)))&gt;0,SUMPRODUCT(MAX((職員マスタ!$A$6:$A$405=$B59)*(((職員マスタ!$G$6:$G$405="")+(職員マスタ!$G$6:$G$405&lt;=EOMONTH($AO59,0)))&gt;0)*(((職員マスタ!$H$6:$H$405="")+(職員マスタ!$H$6:$H$405&gt;=$AO59))&gt;0)*(ROW(職員マスタ!$A$6:$A$405)-5))),IFERROR(MATCH($B59,職員マスタ!$A$6:$A$405,0),"")))</f>
        <v/>
      </c>
      <c r="AO59" s="16">
        <f>IF(OR($B59="",$C59="",$D59=""),"",DATE($C59+2018,$D59,1))</f>
        <v/>
      </c>
    </row>
    <row r="60">
      <c r="A60" s="11" t="n"/>
      <c r="B60" s="12" t="n">
        <v>5802913</v>
      </c>
      <c r="C60" s="12" t="n">
        <v>7</v>
      </c>
      <c r="D60" s="12" t="n">
        <v>9</v>
      </c>
      <c r="E60" s="13" t="n">
        <v>186462</v>
      </c>
      <c r="F60" s="12" t="n"/>
      <c r="G60" s="13" t="n"/>
      <c r="H60" s="12" t="n"/>
      <c r="I60" s="12" t="n"/>
      <c r="J60" s="12" t="n"/>
      <c r="K60" s="12" t="n"/>
      <c r="L60" s="11" t="n"/>
      <c r="M60" s="11" t="n"/>
      <c r="N60" s="11" t="n"/>
      <c r="O60" s="11" t="n"/>
      <c r="P60" s="12" t="n"/>
      <c r="Q60" s="11" t="n"/>
      <c r="R60" s="12" t="n"/>
      <c r="S60" s="11" t="n"/>
      <c r="T60" s="12" t="n"/>
      <c r="U60" s="12" t="n"/>
      <c r="V60" s="14">
        <f>IF($AN60="",IF($B60="","",$H60),IF(INDEX(職員マスタ!$B$6:$B$405,$AN60)="",$H60,INDEX(職員マスタ!$B$6:$B$405,$AN60)))</f>
        <v/>
      </c>
      <c r="W60" s="14">
        <f>IF($AN60="",IF($B60="","",$R60),IF(INDEX(職員マスタ!$C$6:$C$405,$AN60)="",$R60,INDEX(職員マスタ!$C$6:$C$405,$AN60)))</f>
        <v/>
      </c>
      <c r="X60" s="14">
        <f>IF($AO60="","","R"&amp;$C60&amp;"."&amp;$D60)</f>
        <v/>
      </c>
      <c r="Y60" s="15">
        <f>IF($AN60="","",IF(INDEX(職員マスタ!$K$6:$K$405,$AN60)="","",INDEX(職員マスタ!$K$6:$K$405,$AN60)))</f>
        <v/>
      </c>
      <c r="Z60" s="14">
        <f>IF(OR($E60="",$Y60=""),"",IF($E60&gt;=$Y60,"×",IF($E60&gt;=$Y60*設定!$C$5,"△","○")))</f>
        <v/>
      </c>
      <c r="AA60" s="15">
        <f>IF($Z60="","",IF($Z60="×",0,IF($Z60="○",ROUNDDOWN($E60*設定!$C$4,0),ROUNDDOWN($E60*ROUND((9*$Y60-9*$E60)/(10*$E60),4),0))))</f>
        <v/>
      </c>
      <c r="AB60" s="13" t="n"/>
      <c r="AC60" s="15">
        <f>IF($B60="","",IF($AB60&lt;&gt;"",$AB60,IF($AA60="","",IF($AA60&lt;=設定!$C$3,0,$AA60))))</f>
        <v/>
      </c>
      <c r="AD60" s="14">
        <f>IF($B60="","",IF(AND($AE60&lt;&gt;"",$AG60="",$AJ60=""),"保留中",IF($AJ60&lt;&gt;"",IF(N($AC60)&gt;0,"支給済","不支給"),IF($AC60="","要確認",IF($AC60=0,"不支給","未処理")))))</f>
        <v/>
      </c>
      <c r="AE60" s="12" t="n"/>
      <c r="AF60" s="11" t="n"/>
      <c r="AG60" s="11" t="n"/>
      <c r="AH60" s="11" t="n"/>
      <c r="AI60" s="14">
        <f>IF(AND($AD60="保留中",$AF60&lt;&gt;""),TODAY()-$AF60,"")</f>
        <v/>
      </c>
      <c r="AJ60" s="12" t="inlineStr">
        <is>
          <t>R7.11</t>
        </is>
      </c>
      <c r="AK60" s="14">
        <f>IF($B60="","",IF($AO60="","対象年月が未入力／","")&amp;IF($B60="","",IF($AN60="","職員マスタに未登録の職員番号／",IF($Y60="","標準報酬月額が未登録／","")&amp;IF(AND($AO60&lt;&gt;"",OR(AND(INDEX(職員マスタ!$G$6:$G$405,$AN60)&lt;&gt;"",INDEX(職員マスタ!$G$6:$G$405,$AN60)&gt;EOMONTH($AO60,0)),AND(INDEX(職員マスタ!$H$6:$H$405,$AN60)&lt;&gt;"",INDEX(職員マスタ!$H$6:$H$405,$AN60)&lt;$AO60))),"対象月が時短期間外／","")&amp;IF(AND(INDEX(職員マスタ!$F$6:$F$405,$AN60)&lt;&gt;"",$AO60&lt;&gt;"",INDEX(職員マスタ!$F$6:$F$405,$AN60)&lt;$AO60),"対象月に子が2歳到達済／","")&amp;IF(AND($H60&lt;&gt;"",INDEX(職員マスタ!$B$6:$B$405,$AN60)&lt;&gt;"",SUBSTITUTE(SUBSTITUTE($H60," ","")," ","")&lt;&gt;SUBSTITUTE(SUBSTITUTE(INDEX(職員マスタ!$B$6:$B$405,$AN60)," ","")," ","")),"氏名がマスタと相違／","")&amp;IF(AND($Q60&lt;&gt;"",INDEX(職員マスタ!$E$6:$E$405,$AN60)&lt;&gt;"",$Q60&lt;&gt;INDEX(職員マスタ!$E$6:$E$405,$AN60)),"子の生年月日がマスタと相違／","")&amp;IF(AND($L60&lt;&gt;"",INDEX(職員マスタ!$G$6:$G$405,$AN60)&lt;&gt;"",$L60&lt;&gt;INDEX(職員マスタ!$G$6:$G$405,$AN60)),"時短開始日がマスタと相違／","")&amp;IF(AND($M60&lt;&gt;"",INDEX(職員マスタ!$H$6:$H$405,$AN60)&lt;&gt;"",$M60&lt;&gt;INDEX(職員マスタ!$H$6:$H$405,$AN60)),"時短終了日がマスタと相違／","")))&amp;IF(AND($B60&lt;&gt;"",$E60=""),"報酬額が未入力／","")&amp;IF(N($U60)&gt;0,"申請書に入力エラーが残っています／","")&amp;IF(AND($B60&lt;&gt;"",$AO60&lt;&gt;""),IF(COUNTIFS($B$6:$B$3005,$B60,$C$6:$C$3005,$C60,$D$6:$D$3005,$D60)&gt;1,"同じ月の請求が重複しています／",""),"")&amp;IF(AND(N($E60)&gt;0,$Z60&lt;&gt;"",$Z60&lt;&gt;"×",$AC60=0,$AB60=""),"計算額が下限以下のため不支給／",""))</f>
        <v/>
      </c>
      <c r="AL60" s="12" t="n"/>
      <c r="AM60" s="14">
        <f>IF($AD60="保留中",COUNTIF($AD$6:$AD60,"保留中"),"")</f>
        <v/>
      </c>
      <c r="AN60" s="14">
        <f>IF($AO60="","",IF(SUMPRODUCT(MAX((職員マスタ!$A$6:$A$405=$B60)*(((職員マスタ!$G$6:$G$405="")+(職員マスタ!$G$6:$G$405&lt;=EOMONTH($AO60,0)))&gt;0)*(((職員マスタ!$H$6:$H$405="")+(職員マスタ!$H$6:$H$405&gt;=$AO60))&gt;0)*(ROW(職員マスタ!$A$6:$A$405)-5)))&gt;0,SUMPRODUCT(MAX((職員マスタ!$A$6:$A$405=$B60)*(((職員マスタ!$G$6:$G$405="")+(職員マスタ!$G$6:$G$405&lt;=EOMONTH($AO60,0)))&gt;0)*(((職員マスタ!$H$6:$H$405="")+(職員マスタ!$H$6:$H$405&gt;=$AO60))&gt;0)*(ROW(職員マスタ!$A$6:$A$405)-5))),IFERROR(MATCH($B60,職員マスタ!$A$6:$A$405,0),"")))</f>
        <v/>
      </c>
      <c r="AO60" s="16">
        <f>IF(OR($B60="",$C60="",$D60=""),"",DATE($C60+2018,$D60,1))</f>
        <v/>
      </c>
    </row>
    <row r="61">
      <c r="A61" s="11" t="n"/>
      <c r="B61" s="12" t="n">
        <v>5802913</v>
      </c>
      <c r="C61" s="12" t="n">
        <v>7</v>
      </c>
      <c r="D61" s="12" t="n">
        <v>10</v>
      </c>
      <c r="E61" s="13" t="n">
        <v>188736</v>
      </c>
      <c r="F61" s="12" t="n"/>
      <c r="G61" s="13" t="n"/>
      <c r="H61" s="12" t="n"/>
      <c r="I61" s="12" t="n"/>
      <c r="J61" s="12" t="n"/>
      <c r="K61" s="12" t="n"/>
      <c r="L61" s="11" t="n"/>
      <c r="M61" s="11" t="n"/>
      <c r="N61" s="11" t="n"/>
      <c r="O61" s="11" t="n"/>
      <c r="P61" s="12" t="n"/>
      <c r="Q61" s="11" t="n"/>
      <c r="R61" s="12" t="n"/>
      <c r="S61" s="11" t="n"/>
      <c r="T61" s="12" t="n"/>
      <c r="U61" s="12" t="n"/>
      <c r="V61" s="14">
        <f>IF($AN61="",IF($B61="","",$H61),IF(INDEX(職員マスタ!$B$6:$B$405,$AN61)="",$H61,INDEX(職員マスタ!$B$6:$B$405,$AN61)))</f>
        <v/>
      </c>
      <c r="W61" s="14">
        <f>IF($AN61="",IF($B61="","",$R61),IF(INDEX(職員マスタ!$C$6:$C$405,$AN61)="",$R61,INDEX(職員マスタ!$C$6:$C$405,$AN61)))</f>
        <v/>
      </c>
      <c r="X61" s="14">
        <f>IF($AO61="","","R"&amp;$C61&amp;"."&amp;$D61)</f>
        <v/>
      </c>
      <c r="Y61" s="15">
        <f>IF($AN61="","",IF(INDEX(職員マスタ!$K$6:$K$405,$AN61)="","",INDEX(職員マスタ!$K$6:$K$405,$AN61)))</f>
        <v/>
      </c>
      <c r="Z61" s="14">
        <f>IF(OR($E61="",$Y61=""),"",IF($E61&gt;=$Y61,"×",IF($E61&gt;=$Y61*設定!$C$5,"△","○")))</f>
        <v/>
      </c>
      <c r="AA61" s="15">
        <f>IF($Z61="","",IF($Z61="×",0,IF($Z61="○",ROUNDDOWN($E61*設定!$C$4,0),ROUNDDOWN($E61*ROUND((9*$Y61-9*$E61)/(10*$E61),4),0))))</f>
        <v/>
      </c>
      <c r="AB61" s="13" t="n"/>
      <c r="AC61" s="15">
        <f>IF($B61="","",IF($AB61&lt;&gt;"",$AB61,IF($AA61="","",IF($AA61&lt;=設定!$C$3,0,$AA61))))</f>
        <v/>
      </c>
      <c r="AD61" s="14">
        <f>IF($B61="","",IF(AND($AE61&lt;&gt;"",$AG61="",$AJ61=""),"保留中",IF($AJ61&lt;&gt;"",IF(N($AC61)&gt;0,"支給済","不支給"),IF($AC61="","要確認",IF($AC61=0,"不支給","未処理")))))</f>
        <v/>
      </c>
      <c r="AE61" s="12" t="n"/>
      <c r="AF61" s="11" t="n"/>
      <c r="AG61" s="11" t="n"/>
      <c r="AH61" s="11" t="n"/>
      <c r="AI61" s="14">
        <f>IF(AND($AD61="保留中",$AF61&lt;&gt;""),TODAY()-$AF61,"")</f>
        <v/>
      </c>
      <c r="AJ61" s="12" t="inlineStr">
        <is>
          <t>R7.12</t>
        </is>
      </c>
      <c r="AK61" s="14">
        <f>IF($B61="","",IF($AO61="","対象年月が未入力／","")&amp;IF($B61="","",IF($AN61="","職員マスタに未登録の職員番号／",IF($Y61="","標準報酬月額が未登録／","")&amp;IF(AND($AO61&lt;&gt;"",OR(AND(INDEX(職員マスタ!$G$6:$G$405,$AN61)&lt;&gt;"",INDEX(職員マスタ!$G$6:$G$405,$AN61)&gt;EOMONTH($AO61,0)),AND(INDEX(職員マスタ!$H$6:$H$405,$AN61)&lt;&gt;"",INDEX(職員マスタ!$H$6:$H$405,$AN61)&lt;$AO61))),"対象月が時短期間外／","")&amp;IF(AND(INDEX(職員マスタ!$F$6:$F$405,$AN61)&lt;&gt;"",$AO61&lt;&gt;"",INDEX(職員マスタ!$F$6:$F$405,$AN61)&lt;$AO61),"対象月に子が2歳到達済／","")&amp;IF(AND($H61&lt;&gt;"",INDEX(職員マスタ!$B$6:$B$405,$AN61)&lt;&gt;"",SUBSTITUTE(SUBSTITUTE($H61," ","")," ","")&lt;&gt;SUBSTITUTE(SUBSTITUTE(INDEX(職員マスタ!$B$6:$B$405,$AN61)," ","")," ","")),"氏名がマスタと相違／","")&amp;IF(AND($Q61&lt;&gt;"",INDEX(職員マスタ!$E$6:$E$405,$AN61)&lt;&gt;"",$Q61&lt;&gt;INDEX(職員マスタ!$E$6:$E$405,$AN61)),"子の生年月日がマスタと相違／","")&amp;IF(AND($L61&lt;&gt;"",INDEX(職員マスタ!$G$6:$G$405,$AN61)&lt;&gt;"",$L61&lt;&gt;INDEX(職員マスタ!$G$6:$G$405,$AN61)),"時短開始日がマスタと相違／","")&amp;IF(AND($M61&lt;&gt;"",INDEX(職員マスタ!$H$6:$H$405,$AN61)&lt;&gt;"",$M61&lt;&gt;INDEX(職員マスタ!$H$6:$H$405,$AN61)),"時短終了日がマスタと相違／","")))&amp;IF(AND($B61&lt;&gt;"",$E61=""),"報酬額が未入力／","")&amp;IF(N($U61)&gt;0,"申請書に入力エラーが残っています／","")&amp;IF(AND($B61&lt;&gt;"",$AO61&lt;&gt;""),IF(COUNTIFS($B$6:$B$3005,$B61,$C$6:$C$3005,$C61,$D$6:$D$3005,$D61)&gt;1,"同じ月の請求が重複しています／",""),"")&amp;IF(AND(N($E61)&gt;0,$Z61&lt;&gt;"",$Z61&lt;&gt;"×",$AC61=0,$AB61=""),"計算額が下限以下のため不支給／",""))</f>
        <v/>
      </c>
      <c r="AL61" s="12" t="n"/>
      <c r="AM61" s="14">
        <f>IF($AD61="保留中",COUNTIF($AD$6:$AD61,"保留中"),"")</f>
        <v/>
      </c>
      <c r="AN61" s="14">
        <f>IF($AO61="","",IF(SUMPRODUCT(MAX((職員マスタ!$A$6:$A$405=$B61)*(((職員マスタ!$G$6:$G$405="")+(職員マスタ!$G$6:$G$405&lt;=EOMONTH($AO61,0)))&gt;0)*(((職員マスタ!$H$6:$H$405="")+(職員マスタ!$H$6:$H$405&gt;=$AO61))&gt;0)*(ROW(職員マスタ!$A$6:$A$405)-5)))&gt;0,SUMPRODUCT(MAX((職員マスタ!$A$6:$A$405=$B61)*(((職員マスタ!$G$6:$G$405="")+(職員マスタ!$G$6:$G$405&lt;=EOMONTH($AO61,0)))&gt;0)*(((職員マスタ!$H$6:$H$405="")+(職員マスタ!$H$6:$H$405&gt;=$AO61))&gt;0)*(ROW(職員マスタ!$A$6:$A$405)-5))),IFERROR(MATCH($B61,職員マスタ!$A$6:$A$405,0),"")))</f>
        <v/>
      </c>
      <c r="AO61" s="16">
        <f>IF(OR($B61="",$C61="",$D61=""),"",DATE($C61+2018,$D61,1))</f>
        <v/>
      </c>
    </row>
    <row r="62">
      <c r="A62" s="11" t="n"/>
      <c r="B62" s="12" t="n">
        <v>5802913</v>
      </c>
      <c r="C62" s="12" t="n">
        <v>7</v>
      </c>
      <c r="D62" s="12" t="n">
        <v>11</v>
      </c>
      <c r="E62" s="13" t="n">
        <v>188736</v>
      </c>
      <c r="F62" s="12" t="n"/>
      <c r="G62" s="13" t="n"/>
      <c r="H62" s="12" t="n"/>
      <c r="I62" s="12" t="n"/>
      <c r="J62" s="12" t="n"/>
      <c r="K62" s="12" t="n"/>
      <c r="L62" s="11" t="n"/>
      <c r="M62" s="11" t="n"/>
      <c r="N62" s="11" t="n"/>
      <c r="O62" s="11" t="n"/>
      <c r="P62" s="12" t="n"/>
      <c r="Q62" s="11" t="n"/>
      <c r="R62" s="12" t="n"/>
      <c r="S62" s="11" t="n"/>
      <c r="T62" s="12" t="n"/>
      <c r="U62" s="12" t="n"/>
      <c r="V62" s="14">
        <f>IF($AN62="",IF($B62="","",$H62),IF(INDEX(職員マスタ!$B$6:$B$405,$AN62)="",$H62,INDEX(職員マスタ!$B$6:$B$405,$AN62)))</f>
        <v/>
      </c>
      <c r="W62" s="14">
        <f>IF($AN62="",IF($B62="","",$R62),IF(INDEX(職員マスタ!$C$6:$C$405,$AN62)="",$R62,INDEX(職員マスタ!$C$6:$C$405,$AN62)))</f>
        <v/>
      </c>
      <c r="X62" s="14">
        <f>IF($AO62="","","R"&amp;$C62&amp;"."&amp;$D62)</f>
        <v/>
      </c>
      <c r="Y62" s="15">
        <f>IF($AN62="","",IF(INDEX(職員マスタ!$K$6:$K$405,$AN62)="","",INDEX(職員マスタ!$K$6:$K$405,$AN62)))</f>
        <v/>
      </c>
      <c r="Z62" s="14">
        <f>IF(OR($E62="",$Y62=""),"",IF($E62&gt;=$Y62,"×",IF($E62&gt;=$Y62*設定!$C$5,"△","○")))</f>
        <v/>
      </c>
      <c r="AA62" s="15">
        <f>IF($Z62="","",IF($Z62="×",0,IF($Z62="○",ROUNDDOWN($E62*設定!$C$4,0),ROUNDDOWN($E62*ROUND((9*$Y62-9*$E62)/(10*$E62),4),0))))</f>
        <v/>
      </c>
      <c r="AB62" s="13" t="n"/>
      <c r="AC62" s="15">
        <f>IF($B62="","",IF($AB62&lt;&gt;"",$AB62,IF($AA62="","",IF($AA62&lt;=設定!$C$3,0,$AA62))))</f>
        <v/>
      </c>
      <c r="AD62" s="14">
        <f>IF($B62="","",IF(AND($AE62&lt;&gt;"",$AG62="",$AJ62=""),"保留中",IF($AJ62&lt;&gt;"",IF(N($AC62)&gt;0,"支給済","不支給"),IF($AC62="","要確認",IF($AC62=0,"不支給","未処理")))))</f>
        <v/>
      </c>
      <c r="AE62" s="12" t="n"/>
      <c r="AF62" s="11" t="n"/>
      <c r="AG62" s="11" t="n"/>
      <c r="AH62" s="11" t="n"/>
      <c r="AI62" s="14">
        <f>IF(AND($AD62="保留中",$AF62&lt;&gt;""),TODAY()-$AF62,"")</f>
        <v/>
      </c>
      <c r="AJ62" s="12" t="inlineStr">
        <is>
          <t>R8.1</t>
        </is>
      </c>
      <c r="AK62" s="14">
        <f>IF($B62="","",IF($AO62="","対象年月が未入力／","")&amp;IF($B62="","",IF($AN62="","職員マスタに未登録の職員番号／",IF($Y62="","標準報酬月額が未登録／","")&amp;IF(AND($AO62&lt;&gt;"",OR(AND(INDEX(職員マスタ!$G$6:$G$405,$AN62)&lt;&gt;"",INDEX(職員マスタ!$G$6:$G$405,$AN62)&gt;EOMONTH($AO62,0)),AND(INDEX(職員マスタ!$H$6:$H$405,$AN62)&lt;&gt;"",INDEX(職員マスタ!$H$6:$H$405,$AN62)&lt;$AO62))),"対象月が時短期間外／","")&amp;IF(AND(INDEX(職員マスタ!$F$6:$F$405,$AN62)&lt;&gt;"",$AO62&lt;&gt;"",INDEX(職員マスタ!$F$6:$F$405,$AN62)&lt;$AO62),"対象月に子が2歳到達済／","")&amp;IF(AND($H62&lt;&gt;"",INDEX(職員マスタ!$B$6:$B$405,$AN62)&lt;&gt;"",SUBSTITUTE(SUBSTITUTE($H62," ","")," ","")&lt;&gt;SUBSTITUTE(SUBSTITUTE(INDEX(職員マスタ!$B$6:$B$405,$AN62)," ","")," ","")),"氏名がマスタと相違／","")&amp;IF(AND($Q62&lt;&gt;"",INDEX(職員マスタ!$E$6:$E$405,$AN62)&lt;&gt;"",$Q62&lt;&gt;INDEX(職員マスタ!$E$6:$E$405,$AN62)),"子の生年月日がマスタと相違／","")&amp;IF(AND($L62&lt;&gt;"",INDEX(職員マスタ!$G$6:$G$405,$AN62)&lt;&gt;"",$L62&lt;&gt;INDEX(職員マスタ!$G$6:$G$405,$AN62)),"時短開始日がマスタと相違／","")&amp;IF(AND($M62&lt;&gt;"",INDEX(職員マスタ!$H$6:$H$405,$AN62)&lt;&gt;"",$M62&lt;&gt;INDEX(職員マスタ!$H$6:$H$405,$AN62)),"時短終了日がマスタと相違／","")))&amp;IF(AND($B62&lt;&gt;"",$E62=""),"報酬額が未入力／","")&amp;IF(N($U62)&gt;0,"申請書に入力エラーが残っています／","")&amp;IF(AND($B62&lt;&gt;"",$AO62&lt;&gt;""),IF(COUNTIFS($B$6:$B$3005,$B62,$C$6:$C$3005,$C62,$D$6:$D$3005,$D62)&gt;1,"同じ月の請求が重複しています／",""),"")&amp;IF(AND(N($E62)&gt;0,$Z62&lt;&gt;"",$Z62&lt;&gt;"×",$AC62=0,$AB62=""),"計算額が下限以下のため不支給／",""))</f>
        <v/>
      </c>
      <c r="AL62" s="12" t="n"/>
      <c r="AM62" s="14">
        <f>IF($AD62="保留中",COUNTIF($AD$6:$AD62,"保留中"),"")</f>
        <v/>
      </c>
      <c r="AN62" s="14">
        <f>IF($AO62="","",IF(SUMPRODUCT(MAX((職員マスタ!$A$6:$A$405=$B62)*(((職員マスタ!$G$6:$G$405="")+(職員マスタ!$G$6:$G$405&lt;=EOMONTH($AO62,0)))&gt;0)*(((職員マスタ!$H$6:$H$405="")+(職員マスタ!$H$6:$H$405&gt;=$AO62))&gt;0)*(ROW(職員マスタ!$A$6:$A$405)-5)))&gt;0,SUMPRODUCT(MAX((職員マスタ!$A$6:$A$405=$B62)*(((職員マスタ!$G$6:$G$405="")+(職員マスタ!$G$6:$G$405&lt;=EOMONTH($AO62,0)))&gt;0)*(((職員マスタ!$H$6:$H$405="")+(職員マスタ!$H$6:$H$405&gt;=$AO62))&gt;0)*(ROW(職員マスタ!$A$6:$A$405)-5))),IFERROR(MATCH($B62,職員マスタ!$A$6:$A$405,0),"")))</f>
        <v/>
      </c>
      <c r="AO62" s="16">
        <f>IF(OR($B62="",$C62="",$D62=""),"",DATE($C62+2018,$D62,1))</f>
        <v/>
      </c>
    </row>
    <row r="63">
      <c r="A63" s="11" t="n"/>
      <c r="B63" s="12" t="n">
        <v>6002646</v>
      </c>
      <c r="C63" s="12" t="n">
        <v>7</v>
      </c>
      <c r="D63" s="12" t="n">
        <v>5</v>
      </c>
      <c r="E63" s="13" t="n">
        <v>204828</v>
      </c>
      <c r="F63" s="12" t="n"/>
      <c r="G63" s="13" t="n"/>
      <c r="H63" s="12" t="n"/>
      <c r="I63" s="12" t="n"/>
      <c r="J63" s="12" t="n"/>
      <c r="K63" s="12" t="n"/>
      <c r="L63" s="11" t="n"/>
      <c r="M63" s="11" t="n"/>
      <c r="N63" s="11" t="n"/>
      <c r="O63" s="11" t="n"/>
      <c r="P63" s="12" t="n"/>
      <c r="Q63" s="11" t="n"/>
      <c r="R63" s="12" t="n"/>
      <c r="S63" s="11" t="n"/>
      <c r="T63" s="12" t="n"/>
      <c r="U63" s="12" t="n"/>
      <c r="V63" s="14">
        <f>IF($AN63="",IF($B63="","",$H63),IF(INDEX(職員マスタ!$B$6:$B$405,$AN63)="",$H63,INDEX(職員マスタ!$B$6:$B$405,$AN63)))</f>
        <v/>
      </c>
      <c r="W63" s="14">
        <f>IF($AN63="",IF($B63="","",$R63),IF(INDEX(職員マスタ!$C$6:$C$405,$AN63)="",$R63,INDEX(職員マスタ!$C$6:$C$405,$AN63)))</f>
        <v/>
      </c>
      <c r="X63" s="14">
        <f>IF($AO63="","","R"&amp;$C63&amp;"."&amp;$D63)</f>
        <v/>
      </c>
      <c r="Y63" s="15">
        <f>IF($AN63="","",IF(INDEX(職員マスタ!$K$6:$K$405,$AN63)="","",INDEX(職員マスタ!$K$6:$K$405,$AN63)))</f>
        <v/>
      </c>
      <c r="Z63" s="14">
        <f>IF(OR($E63="",$Y63=""),"",IF($E63&gt;=$Y63,"×",IF($E63&gt;=$Y63*設定!$C$5,"△","○")))</f>
        <v/>
      </c>
      <c r="AA63" s="15">
        <f>IF($Z63="","",IF($Z63="×",0,IF($Z63="○",ROUNDDOWN($E63*設定!$C$4,0),ROUNDDOWN($E63*ROUND((9*$Y63-9*$E63)/(10*$E63),4),0))))</f>
        <v/>
      </c>
      <c r="AB63" s="13" t="n"/>
      <c r="AC63" s="15">
        <f>IF($B63="","",IF($AB63&lt;&gt;"",$AB63,IF($AA63="","",IF($AA63&lt;=設定!$C$3,0,$AA63))))</f>
        <v/>
      </c>
      <c r="AD63" s="14">
        <f>IF($B63="","",IF(AND($AE63&lt;&gt;"",$AG63="",$AJ63=""),"保留中",IF($AJ63&lt;&gt;"",IF(N($AC63)&gt;0,"支給済","不支給"),IF($AC63="","要確認",IF($AC63=0,"不支給","未処理")))))</f>
        <v/>
      </c>
      <c r="AE63" s="12" t="n"/>
      <c r="AF63" s="11" t="n"/>
      <c r="AG63" s="11" t="n"/>
      <c r="AH63" s="11" t="n"/>
      <c r="AI63" s="14">
        <f>IF(AND($AD63="保留中",$AF63&lt;&gt;""),TODAY()-$AF63,"")</f>
        <v/>
      </c>
      <c r="AJ63" s="12" t="inlineStr">
        <is>
          <t>R7.8</t>
        </is>
      </c>
      <c r="AK63" s="14">
        <f>IF($B63="","",IF($AO63="","対象年月が未入力／","")&amp;IF($B63="","",IF($AN63="","職員マスタに未登録の職員番号／",IF($Y63="","標準報酬月額が未登録／","")&amp;IF(AND($AO63&lt;&gt;"",OR(AND(INDEX(職員マスタ!$G$6:$G$405,$AN63)&lt;&gt;"",INDEX(職員マスタ!$G$6:$G$405,$AN63)&gt;EOMONTH($AO63,0)),AND(INDEX(職員マスタ!$H$6:$H$405,$AN63)&lt;&gt;"",INDEX(職員マスタ!$H$6:$H$405,$AN63)&lt;$AO63))),"対象月が時短期間外／","")&amp;IF(AND(INDEX(職員マスタ!$F$6:$F$405,$AN63)&lt;&gt;"",$AO63&lt;&gt;"",INDEX(職員マスタ!$F$6:$F$405,$AN63)&lt;$AO63),"対象月に子が2歳到達済／","")&amp;IF(AND($H63&lt;&gt;"",INDEX(職員マスタ!$B$6:$B$405,$AN63)&lt;&gt;"",SUBSTITUTE(SUBSTITUTE($H63," ","")," ","")&lt;&gt;SUBSTITUTE(SUBSTITUTE(INDEX(職員マスタ!$B$6:$B$405,$AN63)," ","")," ","")),"氏名がマスタと相違／","")&amp;IF(AND($Q63&lt;&gt;"",INDEX(職員マスタ!$E$6:$E$405,$AN63)&lt;&gt;"",$Q63&lt;&gt;INDEX(職員マスタ!$E$6:$E$405,$AN63)),"子の生年月日がマスタと相違／","")&amp;IF(AND($L63&lt;&gt;"",INDEX(職員マスタ!$G$6:$G$405,$AN63)&lt;&gt;"",$L63&lt;&gt;INDEX(職員マスタ!$G$6:$G$405,$AN63)),"時短開始日がマスタと相違／","")&amp;IF(AND($M63&lt;&gt;"",INDEX(職員マスタ!$H$6:$H$405,$AN63)&lt;&gt;"",$M63&lt;&gt;INDEX(職員マスタ!$H$6:$H$405,$AN63)),"時短終了日がマスタと相違／","")))&amp;IF(AND($B63&lt;&gt;"",$E63=""),"報酬額が未入力／","")&amp;IF(N($U63)&gt;0,"申請書に入力エラーが残っています／","")&amp;IF(AND($B63&lt;&gt;"",$AO63&lt;&gt;""),IF(COUNTIFS($B$6:$B$3005,$B63,$C$6:$C$3005,$C63,$D$6:$D$3005,$D63)&gt;1,"同じ月の請求が重複しています／",""),"")&amp;IF(AND(N($E63)&gt;0,$Z63&lt;&gt;"",$Z63&lt;&gt;"×",$AC63=0,$AB63=""),"計算額が下限以下のため不支給／",""))</f>
        <v/>
      </c>
      <c r="AL63" s="12" t="n"/>
      <c r="AM63" s="14">
        <f>IF($AD63="保留中",COUNTIF($AD$6:$AD63,"保留中"),"")</f>
        <v/>
      </c>
      <c r="AN63" s="14">
        <f>IF($AO63="","",IF(SUMPRODUCT(MAX((職員マスタ!$A$6:$A$405=$B63)*(((職員マスタ!$G$6:$G$405="")+(職員マスタ!$G$6:$G$405&lt;=EOMONTH($AO63,0)))&gt;0)*(((職員マスタ!$H$6:$H$405="")+(職員マスタ!$H$6:$H$405&gt;=$AO63))&gt;0)*(ROW(職員マスタ!$A$6:$A$405)-5)))&gt;0,SUMPRODUCT(MAX((職員マスタ!$A$6:$A$405=$B63)*(((職員マスタ!$G$6:$G$405="")+(職員マスタ!$G$6:$G$405&lt;=EOMONTH($AO63,0)))&gt;0)*(((職員マスタ!$H$6:$H$405="")+(職員マスタ!$H$6:$H$405&gt;=$AO63))&gt;0)*(ROW(職員マスタ!$A$6:$A$405)-5))),IFERROR(MATCH($B63,職員マスタ!$A$6:$A$405,0),"")))</f>
        <v/>
      </c>
      <c r="AO63" s="16">
        <f>IF(OR($B63="",$C63="",$D63=""),"",DATE($C63+2018,$D63,1))</f>
        <v/>
      </c>
    </row>
    <row r="64">
      <c r="A64" s="11" t="n"/>
      <c r="B64" s="12" t="n">
        <v>6002646</v>
      </c>
      <c r="C64" s="12" t="n">
        <v>7</v>
      </c>
      <c r="D64" s="12" t="n">
        <v>6</v>
      </c>
      <c r="E64" s="13" t="n">
        <v>217602</v>
      </c>
      <c r="F64" s="12" t="n"/>
      <c r="G64" s="13" t="n"/>
      <c r="H64" s="12" t="n"/>
      <c r="I64" s="12" t="n"/>
      <c r="J64" s="12" t="n"/>
      <c r="K64" s="12" t="n"/>
      <c r="L64" s="11" t="n"/>
      <c r="M64" s="11" t="n"/>
      <c r="N64" s="11" t="n"/>
      <c r="O64" s="11" t="n"/>
      <c r="P64" s="12" t="n"/>
      <c r="Q64" s="11" t="n"/>
      <c r="R64" s="12" t="n"/>
      <c r="S64" s="11" t="n"/>
      <c r="T64" s="12" t="n"/>
      <c r="U64" s="12" t="n"/>
      <c r="V64" s="14">
        <f>IF($AN64="",IF($B64="","",$H64),IF(INDEX(職員マスタ!$B$6:$B$405,$AN64)="",$H64,INDEX(職員マスタ!$B$6:$B$405,$AN64)))</f>
        <v/>
      </c>
      <c r="W64" s="14">
        <f>IF($AN64="",IF($B64="","",$R64),IF(INDEX(職員マスタ!$C$6:$C$405,$AN64)="",$R64,INDEX(職員マスタ!$C$6:$C$405,$AN64)))</f>
        <v/>
      </c>
      <c r="X64" s="14">
        <f>IF($AO64="","","R"&amp;$C64&amp;"."&amp;$D64)</f>
        <v/>
      </c>
      <c r="Y64" s="15">
        <f>IF($AN64="","",IF(INDEX(職員マスタ!$K$6:$K$405,$AN64)="","",INDEX(職員マスタ!$K$6:$K$405,$AN64)))</f>
        <v/>
      </c>
      <c r="Z64" s="14">
        <f>IF(OR($E64="",$Y64=""),"",IF($E64&gt;=$Y64,"×",IF($E64&gt;=$Y64*設定!$C$5,"△","○")))</f>
        <v/>
      </c>
      <c r="AA64" s="15">
        <f>IF($Z64="","",IF($Z64="×",0,IF($Z64="○",ROUNDDOWN($E64*設定!$C$4,0),ROUNDDOWN($E64*ROUND((9*$Y64-9*$E64)/(10*$E64),4),0))))</f>
        <v/>
      </c>
      <c r="AB64" s="13" t="n"/>
      <c r="AC64" s="15">
        <f>IF($B64="","",IF($AB64&lt;&gt;"",$AB64,IF($AA64="","",IF($AA64&lt;=設定!$C$3,0,$AA64))))</f>
        <v/>
      </c>
      <c r="AD64" s="14">
        <f>IF($B64="","",IF(AND($AE64&lt;&gt;"",$AG64="",$AJ64=""),"保留中",IF($AJ64&lt;&gt;"",IF(N($AC64)&gt;0,"支給済","不支給"),IF($AC64="","要確認",IF($AC64=0,"不支給","未処理")))))</f>
        <v/>
      </c>
      <c r="AE64" s="12" t="n"/>
      <c r="AF64" s="11" t="n"/>
      <c r="AG64" s="11" t="n"/>
      <c r="AH64" s="11" t="n"/>
      <c r="AI64" s="14">
        <f>IF(AND($AD64="保留中",$AF64&lt;&gt;""),TODAY()-$AF64,"")</f>
        <v/>
      </c>
      <c r="AJ64" s="12" t="inlineStr">
        <is>
          <t>R7.8</t>
        </is>
      </c>
      <c r="AK64" s="14">
        <f>IF($B64="","",IF($AO64="","対象年月が未入力／","")&amp;IF($B64="","",IF($AN64="","職員マスタに未登録の職員番号／",IF($Y64="","標準報酬月額が未登録／","")&amp;IF(AND($AO64&lt;&gt;"",OR(AND(INDEX(職員マスタ!$G$6:$G$405,$AN64)&lt;&gt;"",INDEX(職員マスタ!$G$6:$G$405,$AN64)&gt;EOMONTH($AO64,0)),AND(INDEX(職員マスタ!$H$6:$H$405,$AN64)&lt;&gt;"",INDEX(職員マスタ!$H$6:$H$405,$AN64)&lt;$AO64))),"対象月が時短期間外／","")&amp;IF(AND(INDEX(職員マスタ!$F$6:$F$405,$AN64)&lt;&gt;"",$AO64&lt;&gt;"",INDEX(職員マスタ!$F$6:$F$405,$AN64)&lt;$AO64),"対象月に子が2歳到達済／","")&amp;IF(AND($H64&lt;&gt;"",INDEX(職員マスタ!$B$6:$B$405,$AN64)&lt;&gt;"",SUBSTITUTE(SUBSTITUTE($H64," ","")," ","")&lt;&gt;SUBSTITUTE(SUBSTITUTE(INDEX(職員マスタ!$B$6:$B$405,$AN64)," ","")," ","")),"氏名がマスタと相違／","")&amp;IF(AND($Q64&lt;&gt;"",INDEX(職員マスタ!$E$6:$E$405,$AN64)&lt;&gt;"",$Q64&lt;&gt;INDEX(職員マスタ!$E$6:$E$405,$AN64)),"子の生年月日がマスタと相違／","")&amp;IF(AND($L64&lt;&gt;"",INDEX(職員マスタ!$G$6:$G$405,$AN64)&lt;&gt;"",$L64&lt;&gt;INDEX(職員マスタ!$G$6:$G$405,$AN64)),"時短開始日がマスタと相違／","")&amp;IF(AND($M64&lt;&gt;"",INDEX(職員マスタ!$H$6:$H$405,$AN64)&lt;&gt;"",$M64&lt;&gt;INDEX(職員マスタ!$H$6:$H$405,$AN64)),"時短終了日がマスタと相違／","")))&amp;IF(AND($B64&lt;&gt;"",$E64=""),"報酬額が未入力／","")&amp;IF(N($U64)&gt;0,"申請書に入力エラーが残っています／","")&amp;IF(AND($B64&lt;&gt;"",$AO64&lt;&gt;""),IF(COUNTIFS($B$6:$B$3005,$B64,$C$6:$C$3005,$C64,$D$6:$D$3005,$D64)&gt;1,"同じ月の請求が重複しています／",""),"")&amp;IF(AND(N($E64)&gt;0,$Z64&lt;&gt;"",$Z64&lt;&gt;"×",$AC64=0,$AB64=""),"計算額が下限以下のため不支給／",""))</f>
        <v/>
      </c>
      <c r="AL64" s="12" t="n"/>
      <c r="AM64" s="14">
        <f>IF($AD64="保留中",COUNTIF($AD$6:$AD64,"保留中"),"")</f>
        <v/>
      </c>
      <c r="AN64" s="14">
        <f>IF($AO64="","",IF(SUMPRODUCT(MAX((職員マスタ!$A$6:$A$405=$B64)*(((職員マスタ!$G$6:$G$405="")+(職員マスタ!$G$6:$G$405&lt;=EOMONTH($AO64,0)))&gt;0)*(((職員マスタ!$H$6:$H$405="")+(職員マスタ!$H$6:$H$405&gt;=$AO64))&gt;0)*(ROW(職員マスタ!$A$6:$A$405)-5)))&gt;0,SUMPRODUCT(MAX((職員マスタ!$A$6:$A$405=$B64)*(((職員マスタ!$G$6:$G$405="")+(職員マスタ!$G$6:$G$405&lt;=EOMONTH($AO64,0)))&gt;0)*(((職員マスタ!$H$6:$H$405="")+(職員マスタ!$H$6:$H$405&gt;=$AO64))&gt;0)*(ROW(職員マスタ!$A$6:$A$405)-5))),IFERROR(MATCH($B64,職員マスタ!$A$6:$A$405,0),"")))</f>
        <v/>
      </c>
      <c r="AO64" s="16">
        <f>IF(OR($B64="",$C64="",$D64=""),"",DATE($C64+2018,$D64,1))</f>
        <v/>
      </c>
    </row>
    <row r="65">
      <c r="A65" s="11" t="n"/>
      <c r="B65" s="12" t="n">
        <v>6002646</v>
      </c>
      <c r="C65" s="12" t="n">
        <v>7</v>
      </c>
      <c r="D65" s="12" t="n">
        <v>7</v>
      </c>
      <c r="E65" s="13" t="n">
        <v>211215</v>
      </c>
      <c r="F65" s="12" t="n"/>
      <c r="G65" s="13" t="n"/>
      <c r="H65" s="12" t="n"/>
      <c r="I65" s="12" t="n"/>
      <c r="J65" s="12" t="n"/>
      <c r="K65" s="12" t="n"/>
      <c r="L65" s="11" t="n"/>
      <c r="M65" s="11" t="n"/>
      <c r="N65" s="11" t="n"/>
      <c r="O65" s="11" t="n"/>
      <c r="P65" s="12" t="n"/>
      <c r="Q65" s="11" t="n"/>
      <c r="R65" s="12" t="n"/>
      <c r="S65" s="11" t="n"/>
      <c r="T65" s="12" t="n"/>
      <c r="U65" s="12" t="n"/>
      <c r="V65" s="14">
        <f>IF($AN65="",IF($B65="","",$H65),IF(INDEX(職員マスタ!$B$6:$B$405,$AN65)="",$H65,INDEX(職員マスタ!$B$6:$B$405,$AN65)))</f>
        <v/>
      </c>
      <c r="W65" s="14">
        <f>IF($AN65="",IF($B65="","",$R65),IF(INDEX(職員マスタ!$C$6:$C$405,$AN65)="",$R65,INDEX(職員マスタ!$C$6:$C$405,$AN65)))</f>
        <v/>
      </c>
      <c r="X65" s="14">
        <f>IF($AO65="","","R"&amp;$C65&amp;"."&amp;$D65)</f>
        <v/>
      </c>
      <c r="Y65" s="15">
        <f>IF($AN65="","",IF(INDEX(職員マスタ!$K$6:$K$405,$AN65)="","",INDEX(職員マスタ!$K$6:$K$405,$AN65)))</f>
        <v/>
      </c>
      <c r="Z65" s="14">
        <f>IF(OR($E65="",$Y65=""),"",IF($E65&gt;=$Y65,"×",IF($E65&gt;=$Y65*設定!$C$5,"△","○")))</f>
        <v/>
      </c>
      <c r="AA65" s="15">
        <f>IF($Z65="","",IF($Z65="×",0,IF($Z65="○",ROUNDDOWN($E65*設定!$C$4,0),ROUNDDOWN($E65*ROUND((9*$Y65-9*$E65)/(10*$E65),4),0))))</f>
        <v/>
      </c>
      <c r="AB65" s="13" t="n"/>
      <c r="AC65" s="15">
        <f>IF($B65="","",IF($AB65&lt;&gt;"",$AB65,IF($AA65="","",IF($AA65&lt;=設定!$C$3,0,$AA65))))</f>
        <v/>
      </c>
      <c r="AD65" s="14">
        <f>IF($B65="","",IF(AND($AE65&lt;&gt;"",$AG65="",$AJ65=""),"保留中",IF($AJ65&lt;&gt;"",IF(N($AC65)&gt;0,"支給済","不支給"),IF($AC65="","要確認",IF($AC65=0,"不支給","未処理")))))</f>
        <v/>
      </c>
      <c r="AE65" s="12" t="n"/>
      <c r="AF65" s="11" t="n"/>
      <c r="AG65" s="11" t="n"/>
      <c r="AH65" s="11" t="n"/>
      <c r="AI65" s="14">
        <f>IF(AND($AD65="保留中",$AF65&lt;&gt;""),TODAY()-$AF65,"")</f>
        <v/>
      </c>
      <c r="AJ65" s="12" t="inlineStr">
        <is>
          <t>R7.9</t>
        </is>
      </c>
      <c r="AK65" s="14">
        <f>IF($B65="","",IF($AO65="","対象年月が未入力／","")&amp;IF($B65="","",IF($AN65="","職員マスタに未登録の職員番号／",IF($Y65="","標準報酬月額が未登録／","")&amp;IF(AND($AO65&lt;&gt;"",OR(AND(INDEX(職員マスタ!$G$6:$G$405,$AN65)&lt;&gt;"",INDEX(職員マスタ!$G$6:$G$405,$AN65)&gt;EOMONTH($AO65,0)),AND(INDEX(職員マスタ!$H$6:$H$405,$AN65)&lt;&gt;"",INDEX(職員マスタ!$H$6:$H$405,$AN65)&lt;$AO65))),"対象月が時短期間外／","")&amp;IF(AND(INDEX(職員マスタ!$F$6:$F$405,$AN65)&lt;&gt;"",$AO65&lt;&gt;"",INDEX(職員マスタ!$F$6:$F$405,$AN65)&lt;$AO65),"対象月に子が2歳到達済／","")&amp;IF(AND($H65&lt;&gt;"",INDEX(職員マスタ!$B$6:$B$405,$AN65)&lt;&gt;"",SUBSTITUTE(SUBSTITUTE($H65," ","")," ","")&lt;&gt;SUBSTITUTE(SUBSTITUTE(INDEX(職員マスタ!$B$6:$B$405,$AN65)," ","")," ","")),"氏名がマスタと相違／","")&amp;IF(AND($Q65&lt;&gt;"",INDEX(職員マスタ!$E$6:$E$405,$AN65)&lt;&gt;"",$Q65&lt;&gt;INDEX(職員マスタ!$E$6:$E$405,$AN65)),"子の生年月日がマスタと相違／","")&amp;IF(AND($L65&lt;&gt;"",INDEX(職員マスタ!$G$6:$G$405,$AN65)&lt;&gt;"",$L65&lt;&gt;INDEX(職員マスタ!$G$6:$G$405,$AN65)),"時短開始日がマスタと相違／","")&amp;IF(AND($M65&lt;&gt;"",INDEX(職員マスタ!$H$6:$H$405,$AN65)&lt;&gt;"",$M65&lt;&gt;INDEX(職員マスタ!$H$6:$H$405,$AN65)),"時短終了日がマスタと相違／","")))&amp;IF(AND($B65&lt;&gt;"",$E65=""),"報酬額が未入力／","")&amp;IF(N($U65)&gt;0,"申請書に入力エラーが残っています／","")&amp;IF(AND($B65&lt;&gt;"",$AO65&lt;&gt;""),IF(COUNTIFS($B$6:$B$3005,$B65,$C$6:$C$3005,$C65,$D$6:$D$3005,$D65)&gt;1,"同じ月の請求が重複しています／",""),"")&amp;IF(AND(N($E65)&gt;0,$Z65&lt;&gt;"",$Z65&lt;&gt;"×",$AC65=0,$AB65=""),"計算額が下限以下のため不支給／",""))</f>
        <v/>
      </c>
      <c r="AL65" s="12" t="n"/>
      <c r="AM65" s="14">
        <f>IF($AD65="保留中",COUNTIF($AD$6:$AD65,"保留中"),"")</f>
        <v/>
      </c>
      <c r="AN65" s="14">
        <f>IF($AO65="","",IF(SUMPRODUCT(MAX((職員マスタ!$A$6:$A$405=$B65)*(((職員マスタ!$G$6:$G$405="")+(職員マスタ!$G$6:$G$405&lt;=EOMONTH($AO65,0)))&gt;0)*(((職員マスタ!$H$6:$H$405="")+(職員マスタ!$H$6:$H$405&gt;=$AO65))&gt;0)*(ROW(職員マスタ!$A$6:$A$405)-5)))&gt;0,SUMPRODUCT(MAX((職員マスタ!$A$6:$A$405=$B65)*(((職員マスタ!$G$6:$G$405="")+(職員マスタ!$G$6:$G$405&lt;=EOMONTH($AO65,0)))&gt;0)*(((職員マスタ!$H$6:$H$405="")+(職員マスタ!$H$6:$H$405&gt;=$AO65))&gt;0)*(ROW(職員マスタ!$A$6:$A$405)-5))),IFERROR(MATCH($B65,職員マスタ!$A$6:$A$405,0),"")))</f>
        <v/>
      </c>
      <c r="AO65" s="16">
        <f>IF(OR($B65="",$C65="",$D65=""),"",DATE($C65+2018,$D65,1))</f>
        <v/>
      </c>
    </row>
    <row r="66">
      <c r="A66" s="11" t="n"/>
      <c r="B66" s="12" t="n">
        <v>6002646</v>
      </c>
      <c r="C66" s="12" t="n">
        <v>7</v>
      </c>
      <c r="D66" s="12" t="n">
        <v>8</v>
      </c>
      <c r="E66" s="13" t="n">
        <v>206957</v>
      </c>
      <c r="F66" s="12" t="n"/>
      <c r="G66" s="13" t="n"/>
      <c r="H66" s="12" t="n"/>
      <c r="I66" s="12" t="n"/>
      <c r="J66" s="12" t="n"/>
      <c r="K66" s="12" t="n"/>
      <c r="L66" s="11" t="n"/>
      <c r="M66" s="11" t="n"/>
      <c r="N66" s="11" t="n"/>
      <c r="O66" s="11" t="n"/>
      <c r="P66" s="12" t="n"/>
      <c r="Q66" s="11" t="n"/>
      <c r="R66" s="12" t="n"/>
      <c r="S66" s="11" t="n"/>
      <c r="T66" s="12" t="n"/>
      <c r="U66" s="12" t="n"/>
      <c r="V66" s="14">
        <f>IF($AN66="",IF($B66="","",$H66),IF(INDEX(職員マスタ!$B$6:$B$405,$AN66)="",$H66,INDEX(職員マスタ!$B$6:$B$405,$AN66)))</f>
        <v/>
      </c>
      <c r="W66" s="14">
        <f>IF($AN66="",IF($B66="","",$R66),IF(INDEX(職員マスタ!$C$6:$C$405,$AN66)="",$R66,INDEX(職員マスタ!$C$6:$C$405,$AN66)))</f>
        <v/>
      </c>
      <c r="X66" s="14">
        <f>IF($AO66="","","R"&amp;$C66&amp;"."&amp;$D66)</f>
        <v/>
      </c>
      <c r="Y66" s="15">
        <f>IF($AN66="","",IF(INDEX(職員マスタ!$K$6:$K$405,$AN66)="","",INDEX(職員マスタ!$K$6:$K$405,$AN66)))</f>
        <v/>
      </c>
      <c r="Z66" s="14">
        <f>IF(OR($E66="",$Y66=""),"",IF($E66&gt;=$Y66,"×",IF($E66&gt;=$Y66*設定!$C$5,"△","○")))</f>
        <v/>
      </c>
      <c r="AA66" s="15">
        <f>IF($Z66="","",IF($Z66="×",0,IF($Z66="○",ROUNDDOWN($E66*設定!$C$4,0),ROUNDDOWN($E66*ROUND((9*$Y66-9*$E66)/(10*$E66),4),0))))</f>
        <v/>
      </c>
      <c r="AB66" s="13" t="n"/>
      <c r="AC66" s="15">
        <f>IF($B66="","",IF($AB66&lt;&gt;"",$AB66,IF($AA66="","",IF($AA66&lt;=設定!$C$3,0,$AA66))))</f>
        <v/>
      </c>
      <c r="AD66" s="14">
        <f>IF($B66="","",IF(AND($AE66&lt;&gt;"",$AG66="",$AJ66=""),"保留中",IF($AJ66&lt;&gt;"",IF(N($AC66)&gt;0,"支給済","不支給"),IF($AC66="","要確認",IF($AC66=0,"不支給","未処理")))))</f>
        <v/>
      </c>
      <c r="AE66" s="12" t="n"/>
      <c r="AF66" s="11" t="n"/>
      <c r="AG66" s="11" t="n"/>
      <c r="AH66" s="11" t="n"/>
      <c r="AI66" s="14">
        <f>IF(AND($AD66="保留中",$AF66&lt;&gt;""),TODAY()-$AF66,"")</f>
        <v/>
      </c>
      <c r="AJ66" s="12" t="inlineStr">
        <is>
          <t>R7.10</t>
        </is>
      </c>
      <c r="AK66" s="14">
        <f>IF($B66="","",IF($AO66="","対象年月が未入力／","")&amp;IF($B66="","",IF($AN66="","職員マスタに未登録の職員番号／",IF($Y66="","標準報酬月額が未登録／","")&amp;IF(AND($AO66&lt;&gt;"",OR(AND(INDEX(職員マスタ!$G$6:$G$405,$AN66)&lt;&gt;"",INDEX(職員マスタ!$G$6:$G$405,$AN66)&gt;EOMONTH($AO66,0)),AND(INDEX(職員マスタ!$H$6:$H$405,$AN66)&lt;&gt;"",INDEX(職員マスタ!$H$6:$H$405,$AN66)&lt;$AO66))),"対象月が時短期間外／","")&amp;IF(AND(INDEX(職員マスタ!$F$6:$F$405,$AN66)&lt;&gt;"",$AO66&lt;&gt;"",INDEX(職員マスタ!$F$6:$F$405,$AN66)&lt;$AO66),"対象月に子が2歳到達済／","")&amp;IF(AND($H66&lt;&gt;"",INDEX(職員マスタ!$B$6:$B$405,$AN66)&lt;&gt;"",SUBSTITUTE(SUBSTITUTE($H66," ","")," ","")&lt;&gt;SUBSTITUTE(SUBSTITUTE(INDEX(職員マスタ!$B$6:$B$405,$AN66)," ","")," ","")),"氏名がマスタと相違／","")&amp;IF(AND($Q66&lt;&gt;"",INDEX(職員マスタ!$E$6:$E$405,$AN66)&lt;&gt;"",$Q66&lt;&gt;INDEX(職員マスタ!$E$6:$E$405,$AN66)),"子の生年月日がマスタと相違／","")&amp;IF(AND($L66&lt;&gt;"",INDEX(職員マスタ!$G$6:$G$405,$AN66)&lt;&gt;"",$L66&lt;&gt;INDEX(職員マスタ!$G$6:$G$405,$AN66)),"時短開始日がマスタと相違／","")&amp;IF(AND($M66&lt;&gt;"",INDEX(職員マスタ!$H$6:$H$405,$AN66)&lt;&gt;"",$M66&lt;&gt;INDEX(職員マスタ!$H$6:$H$405,$AN66)),"時短終了日がマスタと相違／","")))&amp;IF(AND($B66&lt;&gt;"",$E66=""),"報酬額が未入力／","")&amp;IF(N($U66)&gt;0,"申請書に入力エラーが残っています／","")&amp;IF(AND($B66&lt;&gt;"",$AO66&lt;&gt;""),IF(COUNTIFS($B$6:$B$3005,$B66,$C$6:$C$3005,$C66,$D$6:$D$3005,$D66)&gt;1,"同じ月の請求が重複しています／",""),"")&amp;IF(AND(N($E66)&gt;0,$Z66&lt;&gt;"",$Z66&lt;&gt;"×",$AC66=0,$AB66=""),"計算額が下限以下のため不支給／",""))</f>
        <v/>
      </c>
      <c r="AL66" s="12" t="n"/>
      <c r="AM66" s="14">
        <f>IF($AD66="保留中",COUNTIF($AD$6:$AD66,"保留中"),"")</f>
        <v/>
      </c>
      <c r="AN66" s="14">
        <f>IF($AO66="","",IF(SUMPRODUCT(MAX((職員マスタ!$A$6:$A$405=$B66)*(((職員マスタ!$G$6:$G$405="")+(職員マスタ!$G$6:$G$405&lt;=EOMONTH($AO66,0)))&gt;0)*(((職員マスタ!$H$6:$H$405="")+(職員マスタ!$H$6:$H$405&gt;=$AO66))&gt;0)*(ROW(職員マスタ!$A$6:$A$405)-5)))&gt;0,SUMPRODUCT(MAX((職員マスタ!$A$6:$A$405=$B66)*(((職員マスタ!$G$6:$G$405="")+(職員マスタ!$G$6:$G$405&lt;=EOMONTH($AO66,0)))&gt;0)*(((職員マスタ!$H$6:$H$405="")+(職員マスタ!$H$6:$H$405&gt;=$AO66))&gt;0)*(ROW(職員マスタ!$A$6:$A$405)-5))),IFERROR(MATCH($B66,職員マスタ!$A$6:$A$405,0),"")))</f>
        <v/>
      </c>
      <c r="AO66" s="16">
        <f>IF(OR($B66="",$C66="",$D66=""),"",DATE($C66+2018,$D66,1))</f>
        <v/>
      </c>
    </row>
    <row r="67">
      <c r="A67" s="11" t="n"/>
      <c r="B67" s="12" t="n">
        <v>6002646</v>
      </c>
      <c r="C67" s="12" t="n">
        <v>7</v>
      </c>
      <c r="D67" s="12" t="n">
        <v>9</v>
      </c>
      <c r="E67" s="13" t="n">
        <v>211215</v>
      </c>
      <c r="F67" s="12" t="n"/>
      <c r="G67" s="13" t="n"/>
      <c r="H67" s="12" t="n"/>
      <c r="I67" s="12" t="n"/>
      <c r="J67" s="12" t="n"/>
      <c r="K67" s="12" t="n"/>
      <c r="L67" s="11" t="n"/>
      <c r="M67" s="11" t="n"/>
      <c r="N67" s="11" t="n"/>
      <c r="O67" s="11" t="n"/>
      <c r="P67" s="12" t="n"/>
      <c r="Q67" s="11" t="n"/>
      <c r="R67" s="12" t="n"/>
      <c r="S67" s="11" t="n"/>
      <c r="T67" s="12" t="n"/>
      <c r="U67" s="12" t="n"/>
      <c r="V67" s="14">
        <f>IF($AN67="",IF($B67="","",$H67),IF(INDEX(職員マスタ!$B$6:$B$405,$AN67)="",$H67,INDEX(職員マスタ!$B$6:$B$405,$AN67)))</f>
        <v/>
      </c>
      <c r="W67" s="14">
        <f>IF($AN67="",IF($B67="","",$R67),IF(INDEX(職員マスタ!$C$6:$C$405,$AN67)="",$R67,INDEX(職員マスタ!$C$6:$C$405,$AN67)))</f>
        <v/>
      </c>
      <c r="X67" s="14">
        <f>IF($AO67="","","R"&amp;$C67&amp;"."&amp;$D67)</f>
        <v/>
      </c>
      <c r="Y67" s="15">
        <f>IF($AN67="","",IF(INDEX(職員マスタ!$K$6:$K$405,$AN67)="","",INDEX(職員マスタ!$K$6:$K$405,$AN67)))</f>
        <v/>
      </c>
      <c r="Z67" s="14">
        <f>IF(OR($E67="",$Y67=""),"",IF($E67&gt;=$Y67,"×",IF($E67&gt;=$Y67*設定!$C$5,"△","○")))</f>
        <v/>
      </c>
      <c r="AA67" s="15">
        <f>IF($Z67="","",IF($Z67="×",0,IF($Z67="○",ROUNDDOWN($E67*設定!$C$4,0),ROUNDDOWN($E67*ROUND((9*$Y67-9*$E67)/(10*$E67),4),0))))</f>
        <v/>
      </c>
      <c r="AB67" s="13" t="n"/>
      <c r="AC67" s="15">
        <f>IF($B67="","",IF($AB67&lt;&gt;"",$AB67,IF($AA67="","",IF($AA67&lt;=設定!$C$3,0,$AA67))))</f>
        <v/>
      </c>
      <c r="AD67" s="14">
        <f>IF($B67="","",IF(AND($AE67&lt;&gt;"",$AG67="",$AJ67=""),"保留中",IF($AJ67&lt;&gt;"",IF(N($AC67)&gt;0,"支給済","不支給"),IF($AC67="","要確認",IF($AC67=0,"不支給","未処理")))))</f>
        <v/>
      </c>
      <c r="AE67" s="12" t="n"/>
      <c r="AF67" s="11" t="n"/>
      <c r="AG67" s="11" t="n"/>
      <c r="AH67" s="11" t="n"/>
      <c r="AI67" s="14">
        <f>IF(AND($AD67="保留中",$AF67&lt;&gt;""),TODAY()-$AF67,"")</f>
        <v/>
      </c>
      <c r="AJ67" s="12" t="inlineStr">
        <is>
          <t>R7.11</t>
        </is>
      </c>
      <c r="AK67" s="14">
        <f>IF($B67="","",IF($AO67="","対象年月が未入力／","")&amp;IF($B67="","",IF($AN67="","職員マスタに未登録の職員番号／",IF($Y67="","標準報酬月額が未登録／","")&amp;IF(AND($AO67&lt;&gt;"",OR(AND(INDEX(職員マスタ!$G$6:$G$405,$AN67)&lt;&gt;"",INDEX(職員マスタ!$G$6:$G$405,$AN67)&gt;EOMONTH($AO67,0)),AND(INDEX(職員マスタ!$H$6:$H$405,$AN67)&lt;&gt;"",INDEX(職員マスタ!$H$6:$H$405,$AN67)&lt;$AO67))),"対象月が時短期間外／","")&amp;IF(AND(INDEX(職員マスタ!$F$6:$F$405,$AN67)&lt;&gt;"",$AO67&lt;&gt;"",INDEX(職員マスタ!$F$6:$F$405,$AN67)&lt;$AO67),"対象月に子が2歳到達済／","")&amp;IF(AND($H67&lt;&gt;"",INDEX(職員マスタ!$B$6:$B$405,$AN67)&lt;&gt;"",SUBSTITUTE(SUBSTITUTE($H67," ","")," ","")&lt;&gt;SUBSTITUTE(SUBSTITUTE(INDEX(職員マスタ!$B$6:$B$405,$AN67)," ","")," ","")),"氏名がマスタと相違／","")&amp;IF(AND($Q67&lt;&gt;"",INDEX(職員マスタ!$E$6:$E$405,$AN67)&lt;&gt;"",$Q67&lt;&gt;INDEX(職員マスタ!$E$6:$E$405,$AN67)),"子の生年月日がマスタと相違／","")&amp;IF(AND($L67&lt;&gt;"",INDEX(職員マスタ!$G$6:$G$405,$AN67)&lt;&gt;"",$L67&lt;&gt;INDEX(職員マスタ!$G$6:$G$405,$AN67)),"時短開始日がマスタと相違／","")&amp;IF(AND($M67&lt;&gt;"",INDEX(職員マスタ!$H$6:$H$405,$AN67)&lt;&gt;"",$M67&lt;&gt;INDEX(職員マスタ!$H$6:$H$405,$AN67)),"時短終了日がマスタと相違／","")))&amp;IF(AND($B67&lt;&gt;"",$E67=""),"報酬額が未入力／","")&amp;IF(N($U67)&gt;0,"申請書に入力エラーが残っています／","")&amp;IF(AND($B67&lt;&gt;"",$AO67&lt;&gt;""),IF(COUNTIFS($B$6:$B$3005,$B67,$C$6:$C$3005,$C67,$D$6:$D$3005,$D67)&gt;1,"同じ月の請求が重複しています／",""),"")&amp;IF(AND(N($E67)&gt;0,$Z67&lt;&gt;"",$Z67&lt;&gt;"×",$AC67=0,$AB67=""),"計算額が下限以下のため不支給／",""))</f>
        <v/>
      </c>
      <c r="AL67" s="12" t="n"/>
      <c r="AM67" s="14">
        <f>IF($AD67="保留中",COUNTIF($AD$6:$AD67,"保留中"),"")</f>
        <v/>
      </c>
      <c r="AN67" s="14">
        <f>IF($AO67="","",IF(SUMPRODUCT(MAX((職員マスタ!$A$6:$A$405=$B67)*(((職員マスタ!$G$6:$G$405="")+(職員マスタ!$G$6:$G$405&lt;=EOMONTH($AO67,0)))&gt;0)*(((職員マスタ!$H$6:$H$405="")+(職員マスタ!$H$6:$H$405&gt;=$AO67))&gt;0)*(ROW(職員マスタ!$A$6:$A$405)-5)))&gt;0,SUMPRODUCT(MAX((職員マスタ!$A$6:$A$405=$B67)*(((職員マスタ!$G$6:$G$405="")+(職員マスタ!$G$6:$G$405&lt;=EOMONTH($AO67,0)))&gt;0)*(((職員マスタ!$H$6:$H$405="")+(職員マスタ!$H$6:$H$405&gt;=$AO67))&gt;0)*(ROW(職員マスタ!$A$6:$A$405)-5))),IFERROR(MATCH($B67,職員マスタ!$A$6:$A$405,0),"")))</f>
        <v/>
      </c>
      <c r="AO67" s="16">
        <f>IF(OR($B67="",$C67="",$D67=""),"",DATE($C67+2018,$D67,1))</f>
        <v/>
      </c>
    </row>
    <row r="68">
      <c r="A68" s="11" t="n"/>
      <c r="B68" s="12" t="n">
        <v>6002646</v>
      </c>
      <c r="C68" s="12" t="n">
        <v>7</v>
      </c>
      <c r="D68" s="12" t="n">
        <v>10</v>
      </c>
      <c r="E68" s="13" t="n">
        <v>209086</v>
      </c>
      <c r="F68" s="12" t="n"/>
      <c r="G68" s="13" t="n"/>
      <c r="H68" s="12" t="n"/>
      <c r="I68" s="12" t="n"/>
      <c r="J68" s="12" t="n"/>
      <c r="K68" s="12" t="n"/>
      <c r="L68" s="11" t="n"/>
      <c r="M68" s="11" t="n"/>
      <c r="N68" s="11" t="n"/>
      <c r="O68" s="11" t="n"/>
      <c r="P68" s="12" t="n"/>
      <c r="Q68" s="11" t="n"/>
      <c r="R68" s="12" t="n"/>
      <c r="S68" s="11" t="n"/>
      <c r="T68" s="12" t="n"/>
      <c r="U68" s="12" t="n"/>
      <c r="V68" s="14">
        <f>IF($AN68="",IF($B68="","",$H68),IF(INDEX(職員マスタ!$B$6:$B$405,$AN68)="",$H68,INDEX(職員マスタ!$B$6:$B$405,$AN68)))</f>
        <v/>
      </c>
      <c r="W68" s="14">
        <f>IF($AN68="",IF($B68="","",$R68),IF(INDEX(職員マスタ!$C$6:$C$405,$AN68)="",$R68,INDEX(職員マスタ!$C$6:$C$405,$AN68)))</f>
        <v/>
      </c>
      <c r="X68" s="14">
        <f>IF($AO68="","","R"&amp;$C68&amp;"."&amp;$D68)</f>
        <v/>
      </c>
      <c r="Y68" s="15">
        <f>IF($AN68="","",IF(INDEX(職員マスタ!$K$6:$K$405,$AN68)="","",INDEX(職員マスタ!$K$6:$K$405,$AN68)))</f>
        <v/>
      </c>
      <c r="Z68" s="14">
        <f>IF(OR($E68="",$Y68=""),"",IF($E68&gt;=$Y68,"×",IF($E68&gt;=$Y68*設定!$C$5,"△","○")))</f>
        <v/>
      </c>
      <c r="AA68" s="15">
        <f>IF($Z68="","",IF($Z68="×",0,IF($Z68="○",ROUNDDOWN($E68*設定!$C$4,0),ROUNDDOWN($E68*ROUND((9*$Y68-9*$E68)/(10*$E68),4),0))))</f>
        <v/>
      </c>
      <c r="AB68" s="13" t="n"/>
      <c r="AC68" s="15">
        <f>IF($B68="","",IF($AB68&lt;&gt;"",$AB68,IF($AA68="","",IF($AA68&lt;=設定!$C$3,0,$AA68))))</f>
        <v/>
      </c>
      <c r="AD68" s="14">
        <f>IF($B68="","",IF(AND($AE68&lt;&gt;"",$AG68="",$AJ68=""),"保留中",IF($AJ68&lt;&gt;"",IF(N($AC68)&gt;0,"支給済","不支給"),IF($AC68="","要確認",IF($AC68=0,"不支給","未処理")))))</f>
        <v/>
      </c>
      <c r="AE68" s="12" t="n"/>
      <c r="AF68" s="11" t="n"/>
      <c r="AG68" s="11" t="n"/>
      <c r="AH68" s="11" t="n"/>
      <c r="AI68" s="14">
        <f>IF(AND($AD68="保留中",$AF68&lt;&gt;""),TODAY()-$AF68,"")</f>
        <v/>
      </c>
      <c r="AJ68" s="12" t="inlineStr">
        <is>
          <t>R7.12</t>
        </is>
      </c>
      <c r="AK68" s="14">
        <f>IF($B68="","",IF($AO68="","対象年月が未入力／","")&amp;IF($B68="","",IF($AN68="","職員マスタに未登録の職員番号／",IF($Y68="","標準報酬月額が未登録／","")&amp;IF(AND($AO68&lt;&gt;"",OR(AND(INDEX(職員マスタ!$G$6:$G$405,$AN68)&lt;&gt;"",INDEX(職員マスタ!$G$6:$G$405,$AN68)&gt;EOMONTH($AO68,0)),AND(INDEX(職員マスタ!$H$6:$H$405,$AN68)&lt;&gt;"",INDEX(職員マスタ!$H$6:$H$405,$AN68)&lt;$AO68))),"対象月が時短期間外／","")&amp;IF(AND(INDEX(職員マスタ!$F$6:$F$405,$AN68)&lt;&gt;"",$AO68&lt;&gt;"",INDEX(職員マスタ!$F$6:$F$405,$AN68)&lt;$AO68),"対象月に子が2歳到達済／","")&amp;IF(AND($H68&lt;&gt;"",INDEX(職員マスタ!$B$6:$B$405,$AN68)&lt;&gt;"",SUBSTITUTE(SUBSTITUTE($H68," ","")," ","")&lt;&gt;SUBSTITUTE(SUBSTITUTE(INDEX(職員マスタ!$B$6:$B$405,$AN68)," ","")," ","")),"氏名がマスタと相違／","")&amp;IF(AND($Q68&lt;&gt;"",INDEX(職員マスタ!$E$6:$E$405,$AN68)&lt;&gt;"",$Q68&lt;&gt;INDEX(職員マスタ!$E$6:$E$405,$AN68)),"子の生年月日がマスタと相違／","")&amp;IF(AND($L68&lt;&gt;"",INDEX(職員マスタ!$G$6:$G$405,$AN68)&lt;&gt;"",$L68&lt;&gt;INDEX(職員マスタ!$G$6:$G$405,$AN68)),"時短開始日がマスタと相違／","")&amp;IF(AND($M68&lt;&gt;"",INDEX(職員マスタ!$H$6:$H$405,$AN68)&lt;&gt;"",$M68&lt;&gt;INDEX(職員マスタ!$H$6:$H$405,$AN68)),"時短終了日がマスタと相違／","")))&amp;IF(AND($B68&lt;&gt;"",$E68=""),"報酬額が未入力／","")&amp;IF(N($U68)&gt;0,"申請書に入力エラーが残っています／","")&amp;IF(AND($B68&lt;&gt;"",$AO68&lt;&gt;""),IF(COUNTIFS($B$6:$B$3005,$B68,$C$6:$C$3005,$C68,$D$6:$D$3005,$D68)&gt;1,"同じ月の請求が重複しています／",""),"")&amp;IF(AND(N($E68)&gt;0,$Z68&lt;&gt;"",$Z68&lt;&gt;"×",$AC68=0,$AB68=""),"計算額が下限以下のため不支給／",""))</f>
        <v/>
      </c>
      <c r="AL68" s="12" t="n"/>
      <c r="AM68" s="14">
        <f>IF($AD68="保留中",COUNTIF($AD$6:$AD68,"保留中"),"")</f>
        <v/>
      </c>
      <c r="AN68" s="14">
        <f>IF($AO68="","",IF(SUMPRODUCT(MAX((職員マスタ!$A$6:$A$405=$B68)*(((職員マスタ!$G$6:$G$405="")+(職員マスタ!$G$6:$G$405&lt;=EOMONTH($AO68,0)))&gt;0)*(((職員マスタ!$H$6:$H$405="")+(職員マスタ!$H$6:$H$405&gt;=$AO68))&gt;0)*(ROW(職員マスタ!$A$6:$A$405)-5)))&gt;0,SUMPRODUCT(MAX((職員マスタ!$A$6:$A$405=$B68)*(((職員マスタ!$G$6:$G$405="")+(職員マスタ!$G$6:$G$405&lt;=EOMONTH($AO68,0)))&gt;0)*(((職員マスタ!$H$6:$H$405="")+(職員マスタ!$H$6:$H$405&gt;=$AO68))&gt;0)*(ROW(職員マスタ!$A$6:$A$405)-5))),IFERROR(MATCH($B68,職員マスタ!$A$6:$A$405,0),"")))</f>
        <v/>
      </c>
      <c r="AO68" s="16">
        <f>IF(OR($B68="",$C68="",$D68=""),"",DATE($C68+2018,$D68,1))</f>
        <v/>
      </c>
    </row>
    <row r="69">
      <c r="A69" s="11" t="n"/>
      <c r="B69" s="12" t="n">
        <v>6002646</v>
      </c>
      <c r="C69" s="12" t="n">
        <v>7</v>
      </c>
      <c r="D69" s="12" t="n">
        <v>11</v>
      </c>
      <c r="E69" s="13" t="n">
        <v>213344</v>
      </c>
      <c r="F69" s="12" t="n"/>
      <c r="G69" s="13" t="n"/>
      <c r="H69" s="12" t="n"/>
      <c r="I69" s="12" t="n"/>
      <c r="J69" s="12" t="n"/>
      <c r="K69" s="12" t="n"/>
      <c r="L69" s="11" t="n"/>
      <c r="M69" s="11" t="n"/>
      <c r="N69" s="11" t="n"/>
      <c r="O69" s="11" t="n"/>
      <c r="P69" s="12" t="n"/>
      <c r="Q69" s="11" t="n"/>
      <c r="R69" s="12" t="n"/>
      <c r="S69" s="11" t="n"/>
      <c r="T69" s="12" t="n"/>
      <c r="U69" s="12" t="n"/>
      <c r="V69" s="14">
        <f>IF($AN69="",IF($B69="","",$H69),IF(INDEX(職員マスタ!$B$6:$B$405,$AN69)="",$H69,INDEX(職員マスタ!$B$6:$B$405,$AN69)))</f>
        <v/>
      </c>
      <c r="W69" s="14">
        <f>IF($AN69="",IF($B69="","",$R69),IF(INDEX(職員マスタ!$C$6:$C$405,$AN69)="",$R69,INDEX(職員マスタ!$C$6:$C$405,$AN69)))</f>
        <v/>
      </c>
      <c r="X69" s="14">
        <f>IF($AO69="","","R"&amp;$C69&amp;"."&amp;$D69)</f>
        <v/>
      </c>
      <c r="Y69" s="15">
        <f>IF($AN69="","",IF(INDEX(職員マスタ!$K$6:$K$405,$AN69)="","",INDEX(職員マスタ!$K$6:$K$405,$AN69)))</f>
        <v/>
      </c>
      <c r="Z69" s="14">
        <f>IF(OR($E69="",$Y69=""),"",IF($E69&gt;=$Y69,"×",IF($E69&gt;=$Y69*設定!$C$5,"△","○")))</f>
        <v/>
      </c>
      <c r="AA69" s="15">
        <f>IF($Z69="","",IF($Z69="×",0,IF($Z69="○",ROUNDDOWN($E69*設定!$C$4,0),ROUNDDOWN($E69*ROUND((9*$Y69-9*$E69)/(10*$E69),4),0))))</f>
        <v/>
      </c>
      <c r="AB69" s="13" t="n"/>
      <c r="AC69" s="15">
        <f>IF($B69="","",IF($AB69&lt;&gt;"",$AB69,IF($AA69="","",IF($AA69&lt;=設定!$C$3,0,$AA69))))</f>
        <v/>
      </c>
      <c r="AD69" s="14">
        <f>IF($B69="","",IF(AND($AE69&lt;&gt;"",$AG69="",$AJ69=""),"保留中",IF($AJ69&lt;&gt;"",IF(N($AC69)&gt;0,"支給済","不支給"),IF($AC69="","要確認",IF($AC69=0,"不支給","未処理")))))</f>
        <v/>
      </c>
      <c r="AE69" s="12" t="n"/>
      <c r="AF69" s="11" t="n"/>
      <c r="AG69" s="11" t="n"/>
      <c r="AH69" s="11" t="n"/>
      <c r="AI69" s="14">
        <f>IF(AND($AD69="保留中",$AF69&lt;&gt;""),TODAY()-$AF69,"")</f>
        <v/>
      </c>
      <c r="AJ69" s="12" t="inlineStr">
        <is>
          <t>R8.1</t>
        </is>
      </c>
      <c r="AK69" s="14">
        <f>IF($B69="","",IF($AO69="","対象年月が未入力／","")&amp;IF($B69="","",IF($AN69="","職員マスタに未登録の職員番号／",IF($Y69="","標準報酬月額が未登録／","")&amp;IF(AND($AO69&lt;&gt;"",OR(AND(INDEX(職員マスタ!$G$6:$G$405,$AN69)&lt;&gt;"",INDEX(職員マスタ!$G$6:$G$405,$AN69)&gt;EOMONTH($AO69,0)),AND(INDEX(職員マスタ!$H$6:$H$405,$AN69)&lt;&gt;"",INDEX(職員マスタ!$H$6:$H$405,$AN69)&lt;$AO69))),"対象月が時短期間外／","")&amp;IF(AND(INDEX(職員マスタ!$F$6:$F$405,$AN69)&lt;&gt;"",$AO69&lt;&gt;"",INDEX(職員マスタ!$F$6:$F$405,$AN69)&lt;$AO69),"対象月に子が2歳到達済／","")&amp;IF(AND($H69&lt;&gt;"",INDEX(職員マスタ!$B$6:$B$405,$AN69)&lt;&gt;"",SUBSTITUTE(SUBSTITUTE($H69," ","")," ","")&lt;&gt;SUBSTITUTE(SUBSTITUTE(INDEX(職員マスタ!$B$6:$B$405,$AN69)," ","")," ","")),"氏名がマスタと相違／","")&amp;IF(AND($Q69&lt;&gt;"",INDEX(職員マスタ!$E$6:$E$405,$AN69)&lt;&gt;"",$Q69&lt;&gt;INDEX(職員マスタ!$E$6:$E$405,$AN69)),"子の生年月日がマスタと相違／","")&amp;IF(AND($L69&lt;&gt;"",INDEX(職員マスタ!$G$6:$G$405,$AN69)&lt;&gt;"",$L69&lt;&gt;INDEX(職員マスタ!$G$6:$G$405,$AN69)),"時短開始日がマスタと相違／","")&amp;IF(AND($M69&lt;&gt;"",INDEX(職員マスタ!$H$6:$H$405,$AN69)&lt;&gt;"",$M69&lt;&gt;INDEX(職員マスタ!$H$6:$H$405,$AN69)),"時短終了日がマスタと相違／","")))&amp;IF(AND($B69&lt;&gt;"",$E69=""),"報酬額が未入力／","")&amp;IF(N($U69)&gt;0,"申請書に入力エラーが残っています／","")&amp;IF(AND($B69&lt;&gt;"",$AO69&lt;&gt;""),IF(COUNTIFS($B$6:$B$3005,$B69,$C$6:$C$3005,$C69,$D$6:$D$3005,$D69)&gt;1,"同じ月の請求が重複しています／",""),"")&amp;IF(AND(N($E69)&gt;0,$Z69&lt;&gt;"",$Z69&lt;&gt;"×",$AC69=0,$AB69=""),"計算額が下限以下のため不支給／",""))</f>
        <v/>
      </c>
      <c r="AL69" s="12" t="n"/>
      <c r="AM69" s="14">
        <f>IF($AD69="保留中",COUNTIF($AD$6:$AD69,"保留中"),"")</f>
        <v/>
      </c>
      <c r="AN69" s="14">
        <f>IF($AO69="","",IF(SUMPRODUCT(MAX((職員マスタ!$A$6:$A$405=$B69)*(((職員マスタ!$G$6:$G$405="")+(職員マスタ!$G$6:$G$405&lt;=EOMONTH($AO69,0)))&gt;0)*(((職員マスタ!$H$6:$H$405="")+(職員マスタ!$H$6:$H$405&gt;=$AO69))&gt;0)*(ROW(職員マスタ!$A$6:$A$405)-5)))&gt;0,SUMPRODUCT(MAX((職員マスタ!$A$6:$A$405=$B69)*(((職員マスタ!$G$6:$G$405="")+(職員マスタ!$G$6:$G$405&lt;=EOMONTH($AO69,0)))&gt;0)*(((職員マスタ!$H$6:$H$405="")+(職員マスタ!$H$6:$H$405&gt;=$AO69))&gt;0)*(ROW(職員マスタ!$A$6:$A$405)-5))),IFERROR(MATCH($B69,職員マスタ!$A$6:$A$405,0),"")))</f>
        <v/>
      </c>
      <c r="AO69" s="16">
        <f>IF(OR($B69="",$C69="",$D69=""),"",DATE($C69+2018,$D69,1))</f>
        <v/>
      </c>
    </row>
    <row r="70">
      <c r="A70" s="11" t="n"/>
      <c r="B70" s="12" t="n">
        <v>6002646</v>
      </c>
      <c r="C70" s="12" t="n">
        <v>7</v>
      </c>
      <c r="D70" s="12" t="n">
        <v>12</v>
      </c>
      <c r="E70" s="13" t="n">
        <v>225267</v>
      </c>
      <c r="F70" s="12" t="n"/>
      <c r="G70" s="13" t="n"/>
      <c r="H70" s="12" t="n"/>
      <c r="I70" s="12" t="n"/>
      <c r="J70" s="12" t="n"/>
      <c r="K70" s="12" t="n"/>
      <c r="L70" s="11" t="n"/>
      <c r="M70" s="11" t="n"/>
      <c r="N70" s="11" t="n"/>
      <c r="O70" s="11" t="n"/>
      <c r="P70" s="12" t="n"/>
      <c r="Q70" s="11" t="n"/>
      <c r="R70" s="12" t="n"/>
      <c r="S70" s="11" t="n"/>
      <c r="T70" s="12" t="n"/>
      <c r="U70" s="12" t="n"/>
      <c r="V70" s="14">
        <f>IF($AN70="",IF($B70="","",$H70),IF(INDEX(職員マスタ!$B$6:$B$405,$AN70)="",$H70,INDEX(職員マスタ!$B$6:$B$405,$AN70)))</f>
        <v/>
      </c>
      <c r="W70" s="14">
        <f>IF($AN70="",IF($B70="","",$R70),IF(INDEX(職員マスタ!$C$6:$C$405,$AN70)="",$R70,INDEX(職員マスタ!$C$6:$C$405,$AN70)))</f>
        <v/>
      </c>
      <c r="X70" s="14">
        <f>IF($AO70="","","R"&amp;$C70&amp;"."&amp;$D70)</f>
        <v/>
      </c>
      <c r="Y70" s="15">
        <f>IF($AN70="","",IF(INDEX(職員マスタ!$K$6:$K$405,$AN70)="","",INDEX(職員マスタ!$K$6:$K$405,$AN70)))</f>
        <v/>
      </c>
      <c r="Z70" s="14">
        <f>IF(OR($E70="",$Y70=""),"",IF($E70&gt;=$Y70,"×",IF($E70&gt;=$Y70*設定!$C$5,"△","○")))</f>
        <v/>
      </c>
      <c r="AA70" s="15">
        <f>IF($Z70="","",IF($Z70="×",0,IF($Z70="○",ROUNDDOWN($E70*設定!$C$4,0),ROUNDDOWN($E70*ROUND((9*$Y70-9*$E70)/(10*$E70),4),0))))</f>
        <v/>
      </c>
      <c r="AB70" s="13" t="n"/>
      <c r="AC70" s="15">
        <f>IF($B70="","",IF($AB70&lt;&gt;"",$AB70,IF($AA70="","",IF($AA70&lt;=設定!$C$3,0,$AA70))))</f>
        <v/>
      </c>
      <c r="AD70" s="14">
        <f>IF($B70="","",IF(AND($AE70&lt;&gt;"",$AG70="",$AJ70=""),"保留中",IF($AJ70&lt;&gt;"",IF(N($AC70)&gt;0,"支給済","不支給"),IF($AC70="","要確認",IF($AC70=0,"不支給","未処理")))))</f>
        <v/>
      </c>
      <c r="AE70" s="12" t="n"/>
      <c r="AF70" s="11" t="n"/>
      <c r="AG70" s="11" t="n"/>
      <c r="AH70" s="11" t="n"/>
      <c r="AI70" s="14">
        <f>IF(AND($AD70="保留中",$AF70&lt;&gt;""),TODAY()-$AF70,"")</f>
        <v/>
      </c>
      <c r="AJ70" s="12" t="inlineStr">
        <is>
          <t>R8.2</t>
        </is>
      </c>
      <c r="AK70" s="14">
        <f>IF($B70="","",IF($AO70="","対象年月が未入力／","")&amp;IF($B70="","",IF($AN70="","職員マスタに未登録の職員番号／",IF($Y70="","標準報酬月額が未登録／","")&amp;IF(AND($AO70&lt;&gt;"",OR(AND(INDEX(職員マスタ!$G$6:$G$405,$AN70)&lt;&gt;"",INDEX(職員マスタ!$G$6:$G$405,$AN70)&gt;EOMONTH($AO70,0)),AND(INDEX(職員マスタ!$H$6:$H$405,$AN70)&lt;&gt;"",INDEX(職員マスタ!$H$6:$H$405,$AN70)&lt;$AO70))),"対象月が時短期間外／","")&amp;IF(AND(INDEX(職員マスタ!$F$6:$F$405,$AN70)&lt;&gt;"",$AO70&lt;&gt;"",INDEX(職員マスタ!$F$6:$F$405,$AN70)&lt;$AO70),"対象月に子が2歳到達済／","")&amp;IF(AND($H70&lt;&gt;"",INDEX(職員マスタ!$B$6:$B$405,$AN70)&lt;&gt;"",SUBSTITUTE(SUBSTITUTE($H70," ","")," ","")&lt;&gt;SUBSTITUTE(SUBSTITUTE(INDEX(職員マスタ!$B$6:$B$405,$AN70)," ","")," ","")),"氏名がマスタと相違／","")&amp;IF(AND($Q70&lt;&gt;"",INDEX(職員マスタ!$E$6:$E$405,$AN70)&lt;&gt;"",$Q70&lt;&gt;INDEX(職員マスタ!$E$6:$E$405,$AN70)),"子の生年月日がマスタと相違／","")&amp;IF(AND($L70&lt;&gt;"",INDEX(職員マスタ!$G$6:$G$405,$AN70)&lt;&gt;"",$L70&lt;&gt;INDEX(職員マスタ!$G$6:$G$405,$AN70)),"時短開始日がマスタと相違／","")&amp;IF(AND($M70&lt;&gt;"",INDEX(職員マスタ!$H$6:$H$405,$AN70)&lt;&gt;"",$M70&lt;&gt;INDEX(職員マスタ!$H$6:$H$405,$AN70)),"時短終了日がマスタと相違／","")))&amp;IF(AND($B70&lt;&gt;"",$E70=""),"報酬額が未入力／","")&amp;IF(N($U70)&gt;0,"申請書に入力エラーが残っています／","")&amp;IF(AND($B70&lt;&gt;"",$AO70&lt;&gt;""),IF(COUNTIFS($B$6:$B$3005,$B70,$C$6:$C$3005,$C70,$D$6:$D$3005,$D70)&gt;1,"同じ月の請求が重複しています／",""),"")&amp;IF(AND(N($E70)&gt;0,$Z70&lt;&gt;"",$Z70&lt;&gt;"×",$AC70=0,$AB70=""),"計算額が下限以下のため不支給／",""))</f>
        <v/>
      </c>
      <c r="AL70" s="12" t="n"/>
      <c r="AM70" s="14">
        <f>IF($AD70="保留中",COUNTIF($AD$6:$AD70,"保留中"),"")</f>
        <v/>
      </c>
      <c r="AN70" s="14">
        <f>IF($AO70="","",IF(SUMPRODUCT(MAX((職員マスタ!$A$6:$A$405=$B70)*(((職員マスタ!$G$6:$G$405="")+(職員マスタ!$G$6:$G$405&lt;=EOMONTH($AO70,0)))&gt;0)*(((職員マスタ!$H$6:$H$405="")+(職員マスタ!$H$6:$H$405&gt;=$AO70))&gt;0)*(ROW(職員マスタ!$A$6:$A$405)-5)))&gt;0,SUMPRODUCT(MAX((職員マスタ!$A$6:$A$405=$B70)*(((職員マスタ!$G$6:$G$405="")+(職員マスタ!$G$6:$G$405&lt;=EOMONTH($AO70,0)))&gt;0)*(((職員マスタ!$H$6:$H$405="")+(職員マスタ!$H$6:$H$405&gt;=$AO70))&gt;0)*(ROW(職員マスタ!$A$6:$A$405)-5))),IFERROR(MATCH($B70,職員マスタ!$A$6:$A$405,0),"")))</f>
        <v/>
      </c>
      <c r="AO70" s="16">
        <f>IF(OR($B70="",$C70="",$D70=""),"",DATE($C70+2018,$D70,1))</f>
        <v/>
      </c>
    </row>
    <row r="71">
      <c r="A71" s="11" t="n"/>
      <c r="B71" s="12" t="n">
        <v>6002646</v>
      </c>
      <c r="C71" s="12" t="n">
        <v>8</v>
      </c>
      <c r="D71" s="12" t="n">
        <v>1</v>
      </c>
      <c r="E71" s="13" t="n">
        <v>216451</v>
      </c>
      <c r="F71" s="12" t="n"/>
      <c r="G71" s="13" t="n"/>
      <c r="H71" s="12" t="n"/>
      <c r="I71" s="12" t="n"/>
      <c r="J71" s="12" t="n"/>
      <c r="K71" s="12" t="n"/>
      <c r="L71" s="11" t="n"/>
      <c r="M71" s="11" t="n"/>
      <c r="N71" s="11" t="n"/>
      <c r="O71" s="11" t="n"/>
      <c r="P71" s="12" t="n"/>
      <c r="Q71" s="11" t="n"/>
      <c r="R71" s="12" t="n"/>
      <c r="S71" s="11" t="n"/>
      <c r="T71" s="12" t="n"/>
      <c r="U71" s="12" t="n"/>
      <c r="V71" s="14">
        <f>IF($AN71="",IF($B71="","",$H71),IF(INDEX(職員マスタ!$B$6:$B$405,$AN71)="",$H71,INDEX(職員マスタ!$B$6:$B$405,$AN71)))</f>
        <v/>
      </c>
      <c r="W71" s="14">
        <f>IF($AN71="",IF($B71="","",$R71),IF(INDEX(職員マスタ!$C$6:$C$405,$AN71)="",$R71,INDEX(職員マスタ!$C$6:$C$405,$AN71)))</f>
        <v/>
      </c>
      <c r="X71" s="14">
        <f>IF($AO71="","","R"&amp;$C71&amp;"."&amp;$D71)</f>
        <v/>
      </c>
      <c r="Y71" s="15">
        <f>IF($AN71="","",IF(INDEX(職員マスタ!$K$6:$K$405,$AN71)="","",INDEX(職員マスタ!$K$6:$K$405,$AN71)))</f>
        <v/>
      </c>
      <c r="Z71" s="14">
        <f>IF(OR($E71="",$Y71=""),"",IF($E71&gt;=$Y71,"×",IF($E71&gt;=$Y71*設定!$C$5,"△","○")))</f>
        <v/>
      </c>
      <c r="AA71" s="15">
        <f>IF($Z71="","",IF($Z71="×",0,IF($Z71="○",ROUNDDOWN($E71*設定!$C$4,0),ROUNDDOWN($E71*ROUND((9*$Y71-9*$E71)/(10*$E71),4),0))))</f>
        <v/>
      </c>
      <c r="AB71" s="13" t="n"/>
      <c r="AC71" s="15">
        <f>IF($B71="","",IF($AB71&lt;&gt;"",$AB71,IF($AA71="","",IF($AA71&lt;=設定!$C$3,0,$AA71))))</f>
        <v/>
      </c>
      <c r="AD71" s="14">
        <f>IF($B71="","",IF(AND($AE71&lt;&gt;"",$AG71="",$AJ71=""),"保留中",IF($AJ71&lt;&gt;"",IF(N($AC71)&gt;0,"支給済","不支給"),IF($AC71="","要確認",IF($AC71=0,"不支給","未処理")))))</f>
        <v/>
      </c>
      <c r="AE71" s="12" t="n"/>
      <c r="AF71" s="11" t="n"/>
      <c r="AG71" s="11" t="n"/>
      <c r="AH71" s="11" t="n"/>
      <c r="AI71" s="14">
        <f>IF(AND($AD71="保留中",$AF71&lt;&gt;""),TODAY()-$AF71,"")</f>
        <v/>
      </c>
      <c r="AJ71" s="12" t="inlineStr">
        <is>
          <t>R8.3</t>
        </is>
      </c>
      <c r="AK71" s="14">
        <f>IF($B71="","",IF($AO71="","対象年月が未入力／","")&amp;IF($B71="","",IF($AN71="","職員マスタに未登録の職員番号／",IF($Y71="","標準報酬月額が未登録／","")&amp;IF(AND($AO71&lt;&gt;"",OR(AND(INDEX(職員マスタ!$G$6:$G$405,$AN71)&lt;&gt;"",INDEX(職員マスタ!$G$6:$G$405,$AN71)&gt;EOMONTH($AO71,0)),AND(INDEX(職員マスタ!$H$6:$H$405,$AN71)&lt;&gt;"",INDEX(職員マスタ!$H$6:$H$405,$AN71)&lt;$AO71))),"対象月が時短期間外／","")&amp;IF(AND(INDEX(職員マスタ!$F$6:$F$405,$AN71)&lt;&gt;"",$AO71&lt;&gt;"",INDEX(職員マスタ!$F$6:$F$405,$AN71)&lt;$AO71),"対象月に子が2歳到達済／","")&amp;IF(AND($H71&lt;&gt;"",INDEX(職員マスタ!$B$6:$B$405,$AN71)&lt;&gt;"",SUBSTITUTE(SUBSTITUTE($H71," ","")," ","")&lt;&gt;SUBSTITUTE(SUBSTITUTE(INDEX(職員マスタ!$B$6:$B$405,$AN71)," ","")," ","")),"氏名がマスタと相違／","")&amp;IF(AND($Q71&lt;&gt;"",INDEX(職員マスタ!$E$6:$E$405,$AN71)&lt;&gt;"",$Q71&lt;&gt;INDEX(職員マスタ!$E$6:$E$405,$AN71)),"子の生年月日がマスタと相違／","")&amp;IF(AND($L71&lt;&gt;"",INDEX(職員マスタ!$G$6:$G$405,$AN71)&lt;&gt;"",$L71&lt;&gt;INDEX(職員マスタ!$G$6:$G$405,$AN71)),"時短開始日がマスタと相違／","")&amp;IF(AND($M71&lt;&gt;"",INDEX(職員マスタ!$H$6:$H$405,$AN71)&lt;&gt;"",$M71&lt;&gt;INDEX(職員マスタ!$H$6:$H$405,$AN71)),"時短終了日がマスタと相違／","")))&amp;IF(AND($B71&lt;&gt;"",$E71=""),"報酬額が未入力／","")&amp;IF(N($U71)&gt;0,"申請書に入力エラーが残っています／","")&amp;IF(AND($B71&lt;&gt;"",$AO71&lt;&gt;""),IF(COUNTIFS($B$6:$B$3005,$B71,$C$6:$C$3005,$C71,$D$6:$D$3005,$D71)&gt;1,"同じ月の請求が重複しています／",""),"")&amp;IF(AND(N($E71)&gt;0,$Z71&lt;&gt;"",$Z71&lt;&gt;"×",$AC71=0,$AB71=""),"計算額が下限以下のため不支給／",""))</f>
        <v/>
      </c>
      <c r="AL71" s="12" t="n"/>
      <c r="AM71" s="14">
        <f>IF($AD71="保留中",COUNTIF($AD$6:$AD71,"保留中"),"")</f>
        <v/>
      </c>
      <c r="AN71" s="14">
        <f>IF($AO71="","",IF(SUMPRODUCT(MAX((職員マスタ!$A$6:$A$405=$B71)*(((職員マスタ!$G$6:$G$405="")+(職員マスタ!$G$6:$G$405&lt;=EOMONTH($AO71,0)))&gt;0)*(((職員マスタ!$H$6:$H$405="")+(職員マスタ!$H$6:$H$405&gt;=$AO71))&gt;0)*(ROW(職員マスタ!$A$6:$A$405)-5)))&gt;0,SUMPRODUCT(MAX((職員マスタ!$A$6:$A$405=$B71)*(((職員マスタ!$G$6:$G$405="")+(職員マスタ!$G$6:$G$405&lt;=EOMONTH($AO71,0)))&gt;0)*(((職員マスタ!$H$6:$H$405="")+(職員マスタ!$H$6:$H$405&gt;=$AO71))&gt;0)*(ROW(職員マスタ!$A$6:$A$405)-5))),IFERROR(MATCH($B71,職員マスタ!$A$6:$A$405,0),"")))</f>
        <v/>
      </c>
      <c r="AO71" s="16">
        <f>IF(OR($B71="",$C71="",$D71=""),"",DATE($C71+2018,$D71,1))</f>
        <v/>
      </c>
    </row>
    <row r="72">
      <c r="A72" s="11" t="n"/>
      <c r="B72" s="12" t="n">
        <v>6002646</v>
      </c>
      <c r="C72" s="12" t="n">
        <v>8</v>
      </c>
      <c r="D72" s="12" t="n">
        <v>2</v>
      </c>
      <c r="E72" s="13" t="n">
        <v>216451</v>
      </c>
      <c r="F72" s="12" t="n"/>
      <c r="G72" s="13" t="n"/>
      <c r="H72" s="12" t="n"/>
      <c r="I72" s="12" t="n"/>
      <c r="J72" s="12" t="n"/>
      <c r="K72" s="12" t="n"/>
      <c r="L72" s="11" t="n"/>
      <c r="M72" s="11" t="n"/>
      <c r="N72" s="11" t="n"/>
      <c r="O72" s="11" t="n"/>
      <c r="P72" s="12" t="n"/>
      <c r="Q72" s="11" t="n"/>
      <c r="R72" s="12" t="n"/>
      <c r="S72" s="11" t="n"/>
      <c r="T72" s="12" t="n"/>
      <c r="U72" s="12" t="n"/>
      <c r="V72" s="14">
        <f>IF($AN72="",IF($B72="","",$H72),IF(INDEX(職員マスタ!$B$6:$B$405,$AN72)="",$H72,INDEX(職員マスタ!$B$6:$B$405,$AN72)))</f>
        <v/>
      </c>
      <c r="W72" s="14">
        <f>IF($AN72="",IF($B72="","",$R72),IF(INDEX(職員マスタ!$C$6:$C$405,$AN72)="",$R72,INDEX(職員マスタ!$C$6:$C$405,$AN72)))</f>
        <v/>
      </c>
      <c r="X72" s="14">
        <f>IF($AO72="","","R"&amp;$C72&amp;"."&amp;$D72)</f>
        <v/>
      </c>
      <c r="Y72" s="15">
        <f>IF($AN72="","",IF(INDEX(職員マスタ!$K$6:$K$405,$AN72)="","",INDEX(職員マスタ!$K$6:$K$405,$AN72)))</f>
        <v/>
      </c>
      <c r="Z72" s="14">
        <f>IF(OR($E72="",$Y72=""),"",IF($E72&gt;=$Y72,"×",IF($E72&gt;=$Y72*設定!$C$5,"△","○")))</f>
        <v/>
      </c>
      <c r="AA72" s="15">
        <f>IF($Z72="","",IF($Z72="×",0,IF($Z72="○",ROUNDDOWN($E72*設定!$C$4,0),ROUNDDOWN($E72*ROUND((9*$Y72-9*$E72)/(10*$E72),4),0))))</f>
        <v/>
      </c>
      <c r="AB72" s="13" t="n"/>
      <c r="AC72" s="15">
        <f>IF($B72="","",IF($AB72&lt;&gt;"",$AB72,IF($AA72="","",IF($AA72&lt;=設定!$C$3,0,$AA72))))</f>
        <v/>
      </c>
      <c r="AD72" s="14">
        <f>IF($B72="","",IF(AND($AE72&lt;&gt;"",$AG72="",$AJ72=""),"保留中",IF($AJ72&lt;&gt;"",IF(N($AC72)&gt;0,"支給済","不支給"),IF($AC72="","要確認",IF($AC72=0,"不支給","未処理")))))</f>
        <v/>
      </c>
      <c r="AE72" s="12" t="n"/>
      <c r="AF72" s="11" t="n"/>
      <c r="AG72" s="11" t="n"/>
      <c r="AH72" s="11" t="n"/>
      <c r="AI72" s="14">
        <f>IF(AND($AD72="保留中",$AF72&lt;&gt;""),TODAY()-$AF72,"")</f>
        <v/>
      </c>
      <c r="AJ72" s="12" t="inlineStr">
        <is>
          <t>R8.4</t>
        </is>
      </c>
      <c r="AK72" s="14">
        <f>IF($B72="","",IF($AO72="","対象年月が未入力／","")&amp;IF($B72="","",IF($AN72="","職員マスタに未登録の職員番号／",IF($Y72="","標準報酬月額が未登録／","")&amp;IF(AND($AO72&lt;&gt;"",OR(AND(INDEX(職員マスタ!$G$6:$G$405,$AN72)&lt;&gt;"",INDEX(職員マスタ!$G$6:$G$405,$AN72)&gt;EOMONTH($AO72,0)),AND(INDEX(職員マスタ!$H$6:$H$405,$AN72)&lt;&gt;"",INDEX(職員マスタ!$H$6:$H$405,$AN72)&lt;$AO72))),"対象月が時短期間外／","")&amp;IF(AND(INDEX(職員マスタ!$F$6:$F$405,$AN72)&lt;&gt;"",$AO72&lt;&gt;"",INDEX(職員マスタ!$F$6:$F$405,$AN72)&lt;$AO72),"対象月に子が2歳到達済／","")&amp;IF(AND($H72&lt;&gt;"",INDEX(職員マスタ!$B$6:$B$405,$AN72)&lt;&gt;"",SUBSTITUTE(SUBSTITUTE($H72," ","")," ","")&lt;&gt;SUBSTITUTE(SUBSTITUTE(INDEX(職員マスタ!$B$6:$B$405,$AN72)," ","")," ","")),"氏名がマスタと相違／","")&amp;IF(AND($Q72&lt;&gt;"",INDEX(職員マスタ!$E$6:$E$405,$AN72)&lt;&gt;"",$Q72&lt;&gt;INDEX(職員マスタ!$E$6:$E$405,$AN72)),"子の生年月日がマスタと相違／","")&amp;IF(AND($L72&lt;&gt;"",INDEX(職員マスタ!$G$6:$G$405,$AN72)&lt;&gt;"",$L72&lt;&gt;INDEX(職員マスタ!$G$6:$G$405,$AN72)),"時短開始日がマスタと相違／","")&amp;IF(AND($M72&lt;&gt;"",INDEX(職員マスタ!$H$6:$H$405,$AN72)&lt;&gt;"",$M72&lt;&gt;INDEX(職員マスタ!$H$6:$H$405,$AN72)),"時短終了日がマスタと相違／","")))&amp;IF(AND($B72&lt;&gt;"",$E72=""),"報酬額が未入力／","")&amp;IF(N($U72)&gt;0,"申請書に入力エラーが残っています／","")&amp;IF(AND($B72&lt;&gt;"",$AO72&lt;&gt;""),IF(COUNTIFS($B$6:$B$3005,$B72,$C$6:$C$3005,$C72,$D$6:$D$3005,$D72)&gt;1,"同じ月の請求が重複しています／",""),"")&amp;IF(AND(N($E72)&gt;0,$Z72&lt;&gt;"",$Z72&lt;&gt;"×",$AC72=0,$AB72=""),"計算額が下限以下のため不支給／",""))</f>
        <v/>
      </c>
      <c r="AL72" s="12" t="n"/>
      <c r="AM72" s="14">
        <f>IF($AD72="保留中",COUNTIF($AD$6:$AD72,"保留中"),"")</f>
        <v/>
      </c>
      <c r="AN72" s="14">
        <f>IF($AO72="","",IF(SUMPRODUCT(MAX((職員マスタ!$A$6:$A$405=$B72)*(((職員マスタ!$G$6:$G$405="")+(職員マスタ!$G$6:$G$405&lt;=EOMONTH($AO72,0)))&gt;0)*(((職員マスタ!$H$6:$H$405="")+(職員マスタ!$H$6:$H$405&gt;=$AO72))&gt;0)*(ROW(職員マスタ!$A$6:$A$405)-5)))&gt;0,SUMPRODUCT(MAX((職員マスタ!$A$6:$A$405=$B72)*(((職員マスタ!$G$6:$G$405="")+(職員マスタ!$G$6:$G$405&lt;=EOMONTH($AO72,0)))&gt;0)*(((職員マスタ!$H$6:$H$405="")+(職員マスタ!$H$6:$H$405&gt;=$AO72))&gt;0)*(ROW(職員マスタ!$A$6:$A$405)-5))),IFERROR(MATCH($B72,職員マスタ!$A$6:$A$405,0),"")))</f>
        <v/>
      </c>
      <c r="AO72" s="16">
        <f>IF(OR($B72="",$C72="",$D72=""),"",DATE($C72+2018,$D72,1))</f>
        <v/>
      </c>
    </row>
    <row r="73">
      <c r="A73" s="11" t="n"/>
      <c r="B73" s="12" t="n">
        <v>6002968</v>
      </c>
      <c r="C73" s="12" t="n">
        <v>7</v>
      </c>
      <c r="D73" s="12" t="n">
        <v>4</v>
      </c>
      <c r="E73" s="13" t="n">
        <v>143812</v>
      </c>
      <c r="F73" s="12" t="n"/>
      <c r="G73" s="13" t="n"/>
      <c r="H73" s="12" t="n"/>
      <c r="I73" s="12" t="n"/>
      <c r="J73" s="12" t="n"/>
      <c r="K73" s="12" t="n"/>
      <c r="L73" s="11" t="n"/>
      <c r="M73" s="11" t="n"/>
      <c r="N73" s="11" t="n"/>
      <c r="O73" s="11" t="n"/>
      <c r="P73" s="12" t="n"/>
      <c r="Q73" s="11" t="n"/>
      <c r="R73" s="12" t="n"/>
      <c r="S73" s="11" t="n"/>
      <c r="T73" s="12" t="n"/>
      <c r="U73" s="12" t="n"/>
      <c r="V73" s="14">
        <f>IF($AN73="",IF($B73="","",$H73),IF(INDEX(職員マスタ!$B$6:$B$405,$AN73)="",$H73,INDEX(職員マスタ!$B$6:$B$405,$AN73)))</f>
        <v/>
      </c>
      <c r="W73" s="14">
        <f>IF($AN73="",IF($B73="","",$R73),IF(INDEX(職員マスタ!$C$6:$C$405,$AN73)="",$R73,INDEX(職員マスタ!$C$6:$C$405,$AN73)))</f>
        <v/>
      </c>
      <c r="X73" s="14">
        <f>IF($AO73="","","R"&amp;$C73&amp;"."&amp;$D73)</f>
        <v/>
      </c>
      <c r="Y73" s="15">
        <f>IF($AN73="","",IF(INDEX(職員マスタ!$K$6:$K$405,$AN73)="","",INDEX(職員マスタ!$K$6:$K$405,$AN73)))</f>
        <v/>
      </c>
      <c r="Z73" s="14">
        <f>IF(OR($E73="",$Y73=""),"",IF($E73&gt;=$Y73,"×",IF($E73&gt;=$Y73*設定!$C$5,"△","○")))</f>
        <v/>
      </c>
      <c r="AA73" s="15">
        <f>IF($Z73="","",IF($Z73="×",0,IF($Z73="○",ROUNDDOWN($E73*設定!$C$4,0),ROUNDDOWN($E73*ROUND((9*$Y73-9*$E73)/(10*$E73),4),0))))</f>
        <v/>
      </c>
      <c r="AB73" s="13" t="n"/>
      <c r="AC73" s="15">
        <f>IF($B73="","",IF($AB73&lt;&gt;"",$AB73,IF($AA73="","",IF($AA73&lt;=設定!$C$3,0,$AA73))))</f>
        <v/>
      </c>
      <c r="AD73" s="14">
        <f>IF($B73="","",IF(AND($AE73&lt;&gt;"",$AG73="",$AJ73=""),"保留中",IF($AJ73&lt;&gt;"",IF(N($AC73)&gt;0,"支給済","不支給"),IF($AC73="","要確認",IF($AC73=0,"不支給","未処理")))))</f>
        <v/>
      </c>
      <c r="AE73" s="12" t="n"/>
      <c r="AF73" s="11" t="n"/>
      <c r="AG73" s="11" t="n"/>
      <c r="AH73" s="11" t="n"/>
      <c r="AI73" s="14">
        <f>IF(AND($AD73="保留中",$AF73&lt;&gt;""),TODAY()-$AF73,"")</f>
        <v/>
      </c>
      <c r="AJ73" s="12" t="inlineStr">
        <is>
          <t>R7.8</t>
        </is>
      </c>
      <c r="AK73" s="14">
        <f>IF($B73="","",IF($AO73="","対象年月が未入力／","")&amp;IF($B73="","",IF($AN73="","職員マスタに未登録の職員番号／",IF($Y73="","標準報酬月額が未登録／","")&amp;IF(AND($AO73&lt;&gt;"",OR(AND(INDEX(職員マスタ!$G$6:$G$405,$AN73)&lt;&gt;"",INDEX(職員マスタ!$G$6:$G$405,$AN73)&gt;EOMONTH($AO73,0)),AND(INDEX(職員マスタ!$H$6:$H$405,$AN73)&lt;&gt;"",INDEX(職員マスタ!$H$6:$H$405,$AN73)&lt;$AO73))),"対象月が時短期間外／","")&amp;IF(AND(INDEX(職員マスタ!$F$6:$F$405,$AN73)&lt;&gt;"",$AO73&lt;&gt;"",INDEX(職員マスタ!$F$6:$F$405,$AN73)&lt;$AO73),"対象月に子が2歳到達済／","")&amp;IF(AND($H73&lt;&gt;"",INDEX(職員マスタ!$B$6:$B$405,$AN73)&lt;&gt;"",SUBSTITUTE(SUBSTITUTE($H73," ","")," ","")&lt;&gt;SUBSTITUTE(SUBSTITUTE(INDEX(職員マスタ!$B$6:$B$405,$AN73)," ","")," ","")),"氏名がマスタと相違／","")&amp;IF(AND($Q73&lt;&gt;"",INDEX(職員マスタ!$E$6:$E$405,$AN73)&lt;&gt;"",$Q73&lt;&gt;INDEX(職員マスタ!$E$6:$E$405,$AN73)),"子の生年月日がマスタと相違／","")&amp;IF(AND($L73&lt;&gt;"",INDEX(職員マスタ!$G$6:$G$405,$AN73)&lt;&gt;"",$L73&lt;&gt;INDEX(職員マスタ!$G$6:$G$405,$AN73)),"時短開始日がマスタと相違／","")&amp;IF(AND($M73&lt;&gt;"",INDEX(職員マスタ!$H$6:$H$405,$AN73)&lt;&gt;"",$M73&lt;&gt;INDEX(職員マスタ!$H$6:$H$405,$AN73)),"時短終了日がマスタと相違／","")))&amp;IF(AND($B73&lt;&gt;"",$E73=""),"報酬額が未入力／","")&amp;IF(N($U73)&gt;0,"申請書に入力エラーが残っています／","")&amp;IF(AND($B73&lt;&gt;"",$AO73&lt;&gt;""),IF(COUNTIFS($B$6:$B$3005,$B73,$C$6:$C$3005,$C73,$D$6:$D$3005,$D73)&gt;1,"同じ月の請求が重複しています／",""),"")&amp;IF(AND(N($E73)&gt;0,$Z73&lt;&gt;"",$Z73&lt;&gt;"×",$AC73=0,$AB73=""),"計算額が下限以下のため不支給／",""))</f>
        <v/>
      </c>
      <c r="AL73" s="12" t="n"/>
      <c r="AM73" s="14">
        <f>IF($AD73="保留中",COUNTIF($AD$6:$AD73,"保留中"),"")</f>
        <v/>
      </c>
      <c r="AN73" s="14">
        <f>IF($AO73="","",IF(SUMPRODUCT(MAX((職員マスタ!$A$6:$A$405=$B73)*(((職員マスタ!$G$6:$G$405="")+(職員マスタ!$G$6:$G$405&lt;=EOMONTH($AO73,0)))&gt;0)*(((職員マスタ!$H$6:$H$405="")+(職員マスタ!$H$6:$H$405&gt;=$AO73))&gt;0)*(ROW(職員マスタ!$A$6:$A$405)-5)))&gt;0,SUMPRODUCT(MAX((職員マスタ!$A$6:$A$405=$B73)*(((職員マスタ!$G$6:$G$405="")+(職員マスタ!$G$6:$G$405&lt;=EOMONTH($AO73,0)))&gt;0)*(((職員マスタ!$H$6:$H$405="")+(職員マスタ!$H$6:$H$405&gt;=$AO73))&gt;0)*(ROW(職員マスタ!$A$6:$A$405)-5))),IFERROR(MATCH($B73,職員マスタ!$A$6:$A$405,0),"")))</f>
        <v/>
      </c>
      <c r="AO73" s="16">
        <f>IF(OR($B73="",$C73="",$D73=""),"",DATE($C73+2018,$D73,1))</f>
        <v/>
      </c>
    </row>
    <row r="74">
      <c r="A74" s="11" t="n"/>
      <c r="B74" s="12" t="n">
        <v>6002968</v>
      </c>
      <c r="C74" s="12" t="n">
        <v>7</v>
      </c>
      <c r="D74" s="12" t="n">
        <v>5</v>
      </c>
      <c r="E74" s="13" t="n">
        <v>246784</v>
      </c>
      <c r="F74" s="12" t="n"/>
      <c r="G74" s="13" t="n"/>
      <c r="H74" s="12" t="n"/>
      <c r="I74" s="12" t="n"/>
      <c r="J74" s="12" t="n"/>
      <c r="K74" s="12" t="n"/>
      <c r="L74" s="11" t="n"/>
      <c r="M74" s="11" t="n"/>
      <c r="N74" s="11" t="n"/>
      <c r="O74" s="11" t="n"/>
      <c r="P74" s="12" t="n"/>
      <c r="Q74" s="11" t="n"/>
      <c r="R74" s="12" t="n"/>
      <c r="S74" s="11" t="n"/>
      <c r="T74" s="12" t="n"/>
      <c r="U74" s="12" t="n"/>
      <c r="V74" s="14">
        <f>IF($AN74="",IF($B74="","",$H74),IF(INDEX(職員マスタ!$B$6:$B$405,$AN74)="",$H74,INDEX(職員マスタ!$B$6:$B$405,$AN74)))</f>
        <v/>
      </c>
      <c r="W74" s="14">
        <f>IF($AN74="",IF($B74="","",$R74),IF(INDEX(職員マスタ!$C$6:$C$405,$AN74)="",$R74,INDEX(職員マスタ!$C$6:$C$405,$AN74)))</f>
        <v/>
      </c>
      <c r="X74" s="14">
        <f>IF($AO74="","","R"&amp;$C74&amp;"."&amp;$D74)</f>
        <v/>
      </c>
      <c r="Y74" s="15">
        <f>IF($AN74="","",IF(INDEX(職員マスタ!$K$6:$K$405,$AN74)="","",INDEX(職員マスタ!$K$6:$K$405,$AN74)))</f>
        <v/>
      </c>
      <c r="Z74" s="14">
        <f>IF(OR($E74="",$Y74=""),"",IF($E74&gt;=$Y74,"×",IF($E74&gt;=$Y74*設定!$C$5,"△","○")))</f>
        <v/>
      </c>
      <c r="AA74" s="15">
        <f>IF($Z74="","",IF($Z74="×",0,IF($Z74="○",ROUNDDOWN($E74*設定!$C$4,0),ROUNDDOWN($E74*ROUND((9*$Y74-9*$E74)/(10*$E74),4),0))))</f>
        <v/>
      </c>
      <c r="AB74" s="13" t="n"/>
      <c r="AC74" s="15">
        <f>IF($B74="","",IF($AB74&lt;&gt;"",$AB74,IF($AA74="","",IF($AA74&lt;=設定!$C$3,0,$AA74))))</f>
        <v/>
      </c>
      <c r="AD74" s="14">
        <f>IF($B74="","",IF(AND($AE74&lt;&gt;"",$AG74="",$AJ74=""),"保留中",IF($AJ74&lt;&gt;"",IF(N($AC74)&gt;0,"支給済","不支給"),IF($AC74="","要確認",IF($AC74=0,"不支給","未処理")))))</f>
        <v/>
      </c>
      <c r="AE74" s="12" t="n"/>
      <c r="AF74" s="11" t="n"/>
      <c r="AG74" s="11" t="n"/>
      <c r="AH74" s="11" t="n"/>
      <c r="AI74" s="14">
        <f>IF(AND($AD74="保留中",$AF74&lt;&gt;""),TODAY()-$AF74,"")</f>
        <v/>
      </c>
      <c r="AJ74" s="12" t="inlineStr">
        <is>
          <t>R7.8</t>
        </is>
      </c>
      <c r="AK74" s="14">
        <f>IF($B74="","",IF($AO74="","対象年月が未入力／","")&amp;IF($B74="","",IF($AN74="","職員マスタに未登録の職員番号／",IF($Y74="","標準報酬月額が未登録／","")&amp;IF(AND($AO74&lt;&gt;"",OR(AND(INDEX(職員マスタ!$G$6:$G$405,$AN74)&lt;&gt;"",INDEX(職員マスタ!$G$6:$G$405,$AN74)&gt;EOMONTH($AO74,0)),AND(INDEX(職員マスタ!$H$6:$H$405,$AN74)&lt;&gt;"",INDEX(職員マスタ!$H$6:$H$405,$AN74)&lt;$AO74))),"対象月が時短期間外／","")&amp;IF(AND(INDEX(職員マスタ!$F$6:$F$405,$AN74)&lt;&gt;"",$AO74&lt;&gt;"",INDEX(職員マスタ!$F$6:$F$405,$AN74)&lt;$AO74),"対象月に子が2歳到達済／","")&amp;IF(AND($H74&lt;&gt;"",INDEX(職員マスタ!$B$6:$B$405,$AN74)&lt;&gt;"",SUBSTITUTE(SUBSTITUTE($H74," ","")," ","")&lt;&gt;SUBSTITUTE(SUBSTITUTE(INDEX(職員マスタ!$B$6:$B$405,$AN74)," ","")," ","")),"氏名がマスタと相違／","")&amp;IF(AND($Q74&lt;&gt;"",INDEX(職員マスタ!$E$6:$E$405,$AN74)&lt;&gt;"",$Q74&lt;&gt;INDEX(職員マスタ!$E$6:$E$405,$AN74)),"子の生年月日がマスタと相違／","")&amp;IF(AND($L74&lt;&gt;"",INDEX(職員マスタ!$G$6:$G$405,$AN74)&lt;&gt;"",$L74&lt;&gt;INDEX(職員マスタ!$G$6:$G$405,$AN74)),"時短開始日がマスタと相違／","")&amp;IF(AND($M74&lt;&gt;"",INDEX(職員マスタ!$H$6:$H$405,$AN74)&lt;&gt;"",$M74&lt;&gt;INDEX(職員マスタ!$H$6:$H$405,$AN74)),"時短終了日がマスタと相違／","")))&amp;IF(AND($B74&lt;&gt;"",$E74=""),"報酬額が未入力／","")&amp;IF(N($U74)&gt;0,"申請書に入力エラーが残っています／","")&amp;IF(AND($B74&lt;&gt;"",$AO74&lt;&gt;""),IF(COUNTIFS($B$6:$B$3005,$B74,$C$6:$C$3005,$C74,$D$6:$D$3005,$D74)&gt;1,"同じ月の請求が重複しています／",""),"")&amp;IF(AND(N($E74)&gt;0,$Z74&lt;&gt;"",$Z74&lt;&gt;"×",$AC74=0,$AB74=""),"計算額が下限以下のため不支給／",""))</f>
        <v/>
      </c>
      <c r="AL74" s="12" t="n"/>
      <c r="AM74" s="14">
        <f>IF($AD74="保留中",COUNTIF($AD$6:$AD74,"保留中"),"")</f>
        <v/>
      </c>
      <c r="AN74" s="14">
        <f>IF($AO74="","",IF(SUMPRODUCT(MAX((職員マスタ!$A$6:$A$405=$B74)*(((職員マスタ!$G$6:$G$405="")+(職員マスタ!$G$6:$G$405&lt;=EOMONTH($AO74,0)))&gt;0)*(((職員マスタ!$H$6:$H$405="")+(職員マスタ!$H$6:$H$405&gt;=$AO74))&gt;0)*(ROW(職員マスタ!$A$6:$A$405)-5)))&gt;0,SUMPRODUCT(MAX((職員マスタ!$A$6:$A$405=$B74)*(((職員マスタ!$G$6:$G$405="")+(職員マスタ!$G$6:$G$405&lt;=EOMONTH($AO74,0)))&gt;0)*(((職員マスタ!$H$6:$H$405="")+(職員マスタ!$H$6:$H$405&gt;=$AO74))&gt;0)*(ROW(職員マスタ!$A$6:$A$405)-5))),IFERROR(MATCH($B74,職員マスタ!$A$6:$A$405,0),"")))</f>
        <v/>
      </c>
      <c r="AO74" s="16">
        <f>IF(OR($B74="",$C74="",$D74=""),"",DATE($C74+2018,$D74,1))</f>
        <v/>
      </c>
    </row>
    <row r="75">
      <c r="A75" s="11" t="n"/>
      <c r="B75" s="12" t="n">
        <v>6002976</v>
      </c>
      <c r="C75" s="12" t="n">
        <v>7</v>
      </c>
      <c r="D75" s="12" t="n">
        <v>5</v>
      </c>
      <c r="E75" s="13" t="n">
        <v>211538</v>
      </c>
      <c r="F75" s="12" t="n"/>
      <c r="G75" s="13" t="n"/>
      <c r="H75" s="12" t="n"/>
      <c r="I75" s="12" t="n"/>
      <c r="J75" s="12" t="n"/>
      <c r="K75" s="12" t="n"/>
      <c r="L75" s="11" t="n"/>
      <c r="M75" s="11" t="n"/>
      <c r="N75" s="11" t="n"/>
      <c r="O75" s="11" t="n"/>
      <c r="P75" s="12" t="n"/>
      <c r="Q75" s="11" t="n"/>
      <c r="R75" s="12" t="n"/>
      <c r="S75" s="11" t="n"/>
      <c r="T75" s="12" t="n"/>
      <c r="U75" s="12" t="n"/>
      <c r="V75" s="14">
        <f>IF($AN75="",IF($B75="","",$H75),IF(INDEX(職員マスタ!$B$6:$B$405,$AN75)="",$H75,INDEX(職員マスタ!$B$6:$B$405,$AN75)))</f>
        <v/>
      </c>
      <c r="W75" s="14">
        <f>IF($AN75="",IF($B75="","",$R75),IF(INDEX(職員マスタ!$C$6:$C$405,$AN75)="",$R75,INDEX(職員マスタ!$C$6:$C$405,$AN75)))</f>
        <v/>
      </c>
      <c r="X75" s="14">
        <f>IF($AO75="","","R"&amp;$C75&amp;"."&amp;$D75)</f>
        <v/>
      </c>
      <c r="Y75" s="15">
        <f>IF($AN75="","",IF(INDEX(職員マスタ!$K$6:$K$405,$AN75)="","",INDEX(職員マスタ!$K$6:$K$405,$AN75)))</f>
        <v/>
      </c>
      <c r="Z75" s="14">
        <f>IF(OR($E75="",$Y75=""),"",IF($E75&gt;=$Y75,"×",IF($E75&gt;=$Y75*設定!$C$5,"△","○")))</f>
        <v/>
      </c>
      <c r="AA75" s="15">
        <f>IF($Z75="","",IF($Z75="×",0,IF($Z75="○",ROUNDDOWN($E75*設定!$C$4,0),ROUNDDOWN($E75*ROUND((9*$Y75-9*$E75)/(10*$E75),4),0))))</f>
        <v/>
      </c>
      <c r="AB75" s="13" t="n"/>
      <c r="AC75" s="15">
        <f>IF($B75="","",IF($AB75&lt;&gt;"",$AB75,IF($AA75="","",IF($AA75&lt;=設定!$C$3,0,$AA75))))</f>
        <v/>
      </c>
      <c r="AD75" s="14">
        <f>IF($B75="","",IF(AND($AE75&lt;&gt;"",$AG75="",$AJ75=""),"保留中",IF($AJ75&lt;&gt;"",IF(N($AC75)&gt;0,"支給済","不支給"),IF($AC75="","要確認",IF($AC75=0,"不支給","未処理")))))</f>
        <v/>
      </c>
      <c r="AE75" s="12" t="inlineStr">
        <is>
          <t>通勤手当の確認</t>
        </is>
      </c>
      <c r="AF75" s="11" t="n"/>
      <c r="AG75" s="11" t="n"/>
      <c r="AH75" s="11" t="n"/>
      <c r="AI75" s="14">
        <f>IF(AND($AD75="保留中",$AF75&lt;&gt;""),TODAY()-$AF75,"")</f>
        <v/>
      </c>
      <c r="AJ75" s="12" t="inlineStr">
        <is>
          <t>R7.11</t>
        </is>
      </c>
      <c r="AK75" s="14">
        <f>IF($B75="","",IF($AO75="","対象年月が未入力／","")&amp;IF($B75="","",IF($AN75="","職員マスタに未登録の職員番号／",IF($Y75="","標準報酬月額が未登録／","")&amp;IF(AND($AO75&lt;&gt;"",OR(AND(INDEX(職員マスタ!$G$6:$G$405,$AN75)&lt;&gt;"",INDEX(職員マスタ!$G$6:$G$405,$AN75)&gt;EOMONTH($AO75,0)),AND(INDEX(職員マスタ!$H$6:$H$405,$AN75)&lt;&gt;"",INDEX(職員マスタ!$H$6:$H$405,$AN75)&lt;$AO75))),"対象月が時短期間外／","")&amp;IF(AND(INDEX(職員マスタ!$F$6:$F$405,$AN75)&lt;&gt;"",$AO75&lt;&gt;"",INDEX(職員マスタ!$F$6:$F$405,$AN75)&lt;$AO75),"対象月に子が2歳到達済／","")&amp;IF(AND($H75&lt;&gt;"",INDEX(職員マスタ!$B$6:$B$405,$AN75)&lt;&gt;"",SUBSTITUTE(SUBSTITUTE($H75," ","")," ","")&lt;&gt;SUBSTITUTE(SUBSTITUTE(INDEX(職員マスタ!$B$6:$B$405,$AN75)," ","")," ","")),"氏名がマスタと相違／","")&amp;IF(AND($Q75&lt;&gt;"",INDEX(職員マスタ!$E$6:$E$405,$AN75)&lt;&gt;"",$Q75&lt;&gt;INDEX(職員マスタ!$E$6:$E$405,$AN75)),"子の生年月日がマスタと相違／","")&amp;IF(AND($L75&lt;&gt;"",INDEX(職員マスタ!$G$6:$G$405,$AN75)&lt;&gt;"",$L75&lt;&gt;INDEX(職員マスタ!$G$6:$G$405,$AN75)),"時短開始日がマスタと相違／","")&amp;IF(AND($M75&lt;&gt;"",INDEX(職員マスタ!$H$6:$H$405,$AN75)&lt;&gt;"",$M75&lt;&gt;INDEX(職員マスタ!$H$6:$H$405,$AN75)),"時短終了日がマスタと相違／","")))&amp;IF(AND($B75&lt;&gt;"",$E75=""),"報酬額が未入力／","")&amp;IF(N($U75)&gt;0,"申請書に入力エラーが残っています／","")&amp;IF(AND($B75&lt;&gt;"",$AO75&lt;&gt;""),IF(COUNTIFS($B$6:$B$3005,$B75,$C$6:$C$3005,$C75,$D$6:$D$3005,$D75)&gt;1,"同じ月の請求が重複しています／",""),"")&amp;IF(AND(N($E75)&gt;0,$Z75&lt;&gt;"",$Z75&lt;&gt;"×",$AC75=0,$AB75=""),"計算額が下限以下のため不支給／",""))</f>
        <v/>
      </c>
      <c r="AL75" s="12" t="inlineStr">
        <is>
          <t>保留　通勤⇒支給</t>
        </is>
      </c>
      <c r="AM75" s="14">
        <f>IF($AD75="保留中",COUNTIF($AD$6:$AD75,"保留中"),"")</f>
        <v/>
      </c>
      <c r="AN75" s="14">
        <f>IF($AO75="","",IF(SUMPRODUCT(MAX((職員マスタ!$A$6:$A$405=$B75)*(((職員マスタ!$G$6:$G$405="")+(職員マスタ!$G$6:$G$405&lt;=EOMONTH($AO75,0)))&gt;0)*(((職員マスタ!$H$6:$H$405="")+(職員マスタ!$H$6:$H$405&gt;=$AO75))&gt;0)*(ROW(職員マスタ!$A$6:$A$405)-5)))&gt;0,SUMPRODUCT(MAX((職員マスタ!$A$6:$A$405=$B75)*(((職員マスタ!$G$6:$G$405="")+(職員マスタ!$G$6:$G$405&lt;=EOMONTH($AO75,0)))&gt;0)*(((職員マスタ!$H$6:$H$405="")+(職員マスタ!$H$6:$H$405&gt;=$AO75))&gt;0)*(ROW(職員マスタ!$A$6:$A$405)-5))),IFERROR(MATCH($B75,職員マスタ!$A$6:$A$405,0),"")))</f>
        <v/>
      </c>
      <c r="AO75" s="16">
        <f>IF(OR($B75="",$C75="",$D75=""),"",DATE($C75+2018,$D75,1))</f>
        <v/>
      </c>
    </row>
    <row r="76">
      <c r="A76" s="11" t="n"/>
      <c r="B76" s="12" t="n">
        <v>6002976</v>
      </c>
      <c r="C76" s="12" t="n">
        <v>7</v>
      </c>
      <c r="D76" s="12" t="n">
        <v>6</v>
      </c>
      <c r="E76" s="13" t="n">
        <v>220246</v>
      </c>
      <c r="F76" s="12" t="n"/>
      <c r="G76" s="13" t="n"/>
      <c r="H76" s="12" t="n"/>
      <c r="I76" s="12" t="n"/>
      <c r="J76" s="12" t="n"/>
      <c r="K76" s="12" t="n"/>
      <c r="L76" s="11" t="n"/>
      <c r="M76" s="11" t="n"/>
      <c r="N76" s="11" t="n"/>
      <c r="O76" s="11" t="n"/>
      <c r="P76" s="12" t="n"/>
      <c r="Q76" s="11" t="n"/>
      <c r="R76" s="12" t="n"/>
      <c r="S76" s="11" t="n"/>
      <c r="T76" s="12" t="n"/>
      <c r="U76" s="12" t="n"/>
      <c r="V76" s="14">
        <f>IF($AN76="",IF($B76="","",$H76),IF(INDEX(職員マスタ!$B$6:$B$405,$AN76)="",$H76,INDEX(職員マスタ!$B$6:$B$405,$AN76)))</f>
        <v/>
      </c>
      <c r="W76" s="14">
        <f>IF($AN76="",IF($B76="","",$R76),IF(INDEX(職員マスタ!$C$6:$C$405,$AN76)="",$R76,INDEX(職員マスタ!$C$6:$C$405,$AN76)))</f>
        <v/>
      </c>
      <c r="X76" s="14">
        <f>IF($AO76="","","R"&amp;$C76&amp;"."&amp;$D76)</f>
        <v/>
      </c>
      <c r="Y76" s="15">
        <f>IF($AN76="","",IF(INDEX(職員マスタ!$K$6:$K$405,$AN76)="","",INDEX(職員マスタ!$K$6:$K$405,$AN76)))</f>
        <v/>
      </c>
      <c r="Z76" s="14">
        <f>IF(OR($E76="",$Y76=""),"",IF($E76&gt;=$Y76,"×",IF($E76&gt;=$Y76*設定!$C$5,"△","○")))</f>
        <v/>
      </c>
      <c r="AA76" s="15">
        <f>IF($Z76="","",IF($Z76="×",0,IF($Z76="○",ROUNDDOWN($E76*設定!$C$4,0),ROUNDDOWN($E76*ROUND((9*$Y76-9*$E76)/(10*$E76),4),0))))</f>
        <v/>
      </c>
      <c r="AB76" s="13" t="n"/>
      <c r="AC76" s="15">
        <f>IF($B76="","",IF($AB76&lt;&gt;"",$AB76,IF($AA76="","",IF($AA76&lt;=設定!$C$3,0,$AA76))))</f>
        <v/>
      </c>
      <c r="AD76" s="14">
        <f>IF($B76="","",IF(AND($AE76&lt;&gt;"",$AG76="",$AJ76=""),"保留中",IF($AJ76&lt;&gt;"",IF(N($AC76)&gt;0,"支給済","不支給"),IF($AC76="","要確認",IF($AC76=0,"不支給","未処理")))))</f>
        <v/>
      </c>
      <c r="AE76" s="12" t="inlineStr">
        <is>
          <t>通勤手当の確認</t>
        </is>
      </c>
      <c r="AF76" s="11" t="n"/>
      <c r="AG76" s="11" t="n"/>
      <c r="AH76" s="11" t="n"/>
      <c r="AI76" s="14">
        <f>IF(AND($AD76="保留中",$AF76&lt;&gt;""),TODAY()-$AF76,"")</f>
        <v/>
      </c>
      <c r="AJ76" s="12" t="inlineStr">
        <is>
          <t>R7.11</t>
        </is>
      </c>
      <c r="AK76" s="14">
        <f>IF($B76="","",IF($AO76="","対象年月が未入力／","")&amp;IF($B76="","",IF($AN76="","職員マスタに未登録の職員番号／",IF($Y76="","標準報酬月額が未登録／","")&amp;IF(AND($AO76&lt;&gt;"",OR(AND(INDEX(職員マスタ!$G$6:$G$405,$AN76)&lt;&gt;"",INDEX(職員マスタ!$G$6:$G$405,$AN76)&gt;EOMONTH($AO76,0)),AND(INDEX(職員マスタ!$H$6:$H$405,$AN76)&lt;&gt;"",INDEX(職員マスタ!$H$6:$H$405,$AN76)&lt;$AO76))),"対象月が時短期間外／","")&amp;IF(AND(INDEX(職員マスタ!$F$6:$F$405,$AN76)&lt;&gt;"",$AO76&lt;&gt;"",INDEX(職員マスタ!$F$6:$F$405,$AN76)&lt;$AO76),"対象月に子が2歳到達済／","")&amp;IF(AND($H76&lt;&gt;"",INDEX(職員マスタ!$B$6:$B$405,$AN76)&lt;&gt;"",SUBSTITUTE(SUBSTITUTE($H76," ","")," ","")&lt;&gt;SUBSTITUTE(SUBSTITUTE(INDEX(職員マスタ!$B$6:$B$405,$AN76)," ","")," ","")),"氏名がマスタと相違／","")&amp;IF(AND($Q76&lt;&gt;"",INDEX(職員マスタ!$E$6:$E$405,$AN76)&lt;&gt;"",$Q76&lt;&gt;INDEX(職員マスタ!$E$6:$E$405,$AN76)),"子の生年月日がマスタと相違／","")&amp;IF(AND($L76&lt;&gt;"",INDEX(職員マスタ!$G$6:$G$405,$AN76)&lt;&gt;"",$L76&lt;&gt;INDEX(職員マスタ!$G$6:$G$405,$AN76)),"時短開始日がマスタと相違／","")&amp;IF(AND($M76&lt;&gt;"",INDEX(職員マスタ!$H$6:$H$405,$AN76)&lt;&gt;"",$M76&lt;&gt;INDEX(職員マスタ!$H$6:$H$405,$AN76)),"時短終了日がマスタと相違／","")))&amp;IF(AND($B76&lt;&gt;"",$E76=""),"報酬額が未入力／","")&amp;IF(N($U76)&gt;0,"申請書に入力エラーが残っています／","")&amp;IF(AND($B76&lt;&gt;"",$AO76&lt;&gt;""),IF(COUNTIFS($B$6:$B$3005,$B76,$C$6:$C$3005,$C76,$D$6:$D$3005,$D76)&gt;1,"同じ月の請求が重複しています／",""),"")&amp;IF(AND(N($E76)&gt;0,$Z76&lt;&gt;"",$Z76&lt;&gt;"×",$AC76=0,$AB76=""),"計算額が下限以下のため不支給／",""))</f>
        <v/>
      </c>
      <c r="AL76" s="12" t="inlineStr">
        <is>
          <t>保留　通勤⇒支給</t>
        </is>
      </c>
      <c r="AM76" s="14">
        <f>IF($AD76="保留中",COUNTIF($AD$6:$AD76,"保留中"),"")</f>
        <v/>
      </c>
      <c r="AN76" s="14">
        <f>IF($AO76="","",IF(SUMPRODUCT(MAX((職員マスタ!$A$6:$A$405=$B76)*(((職員マスタ!$G$6:$G$405="")+(職員マスタ!$G$6:$G$405&lt;=EOMONTH($AO76,0)))&gt;0)*(((職員マスタ!$H$6:$H$405="")+(職員マスタ!$H$6:$H$405&gt;=$AO76))&gt;0)*(ROW(職員マスタ!$A$6:$A$405)-5)))&gt;0,SUMPRODUCT(MAX((職員マスタ!$A$6:$A$405=$B76)*(((職員マスタ!$G$6:$G$405="")+(職員マスタ!$G$6:$G$405&lt;=EOMONTH($AO76,0)))&gt;0)*(((職員マスタ!$H$6:$H$405="")+(職員マスタ!$H$6:$H$405&gt;=$AO76))&gt;0)*(ROW(職員マスタ!$A$6:$A$405)-5))),IFERROR(MATCH($B76,職員マスタ!$A$6:$A$405,0),"")))</f>
        <v/>
      </c>
      <c r="AO76" s="16">
        <f>IF(OR($B76="",$C76="",$D76=""),"",DATE($C76+2018,$D76,1))</f>
        <v/>
      </c>
    </row>
    <row r="77">
      <c r="A77" s="11" t="n"/>
      <c r="B77" s="12" t="n">
        <v>6002976</v>
      </c>
      <c r="C77" s="12" t="n">
        <v>7</v>
      </c>
      <c r="D77" s="12" t="n">
        <v>7</v>
      </c>
      <c r="E77" s="13" t="n">
        <v>215892</v>
      </c>
      <c r="F77" s="12" t="n"/>
      <c r="G77" s="13" t="n"/>
      <c r="H77" s="12" t="n"/>
      <c r="I77" s="12" t="n"/>
      <c r="J77" s="12" t="n"/>
      <c r="K77" s="12" t="n"/>
      <c r="L77" s="11" t="n"/>
      <c r="M77" s="11" t="n"/>
      <c r="N77" s="11" t="n"/>
      <c r="O77" s="11" t="n"/>
      <c r="P77" s="12" t="n"/>
      <c r="Q77" s="11" t="n"/>
      <c r="R77" s="12" t="n"/>
      <c r="S77" s="11" t="n"/>
      <c r="T77" s="12" t="n"/>
      <c r="U77" s="12" t="n"/>
      <c r="V77" s="14">
        <f>IF($AN77="",IF($B77="","",$H77),IF(INDEX(職員マスタ!$B$6:$B$405,$AN77)="",$H77,INDEX(職員マスタ!$B$6:$B$405,$AN77)))</f>
        <v/>
      </c>
      <c r="W77" s="14">
        <f>IF($AN77="",IF($B77="","",$R77),IF(INDEX(職員マスタ!$C$6:$C$405,$AN77)="",$R77,INDEX(職員マスタ!$C$6:$C$405,$AN77)))</f>
        <v/>
      </c>
      <c r="X77" s="14">
        <f>IF($AO77="","","R"&amp;$C77&amp;"."&amp;$D77)</f>
        <v/>
      </c>
      <c r="Y77" s="15">
        <f>IF($AN77="","",IF(INDEX(職員マスタ!$K$6:$K$405,$AN77)="","",INDEX(職員マスタ!$K$6:$K$405,$AN77)))</f>
        <v/>
      </c>
      <c r="Z77" s="14">
        <f>IF(OR($E77="",$Y77=""),"",IF($E77&gt;=$Y77,"×",IF($E77&gt;=$Y77*設定!$C$5,"△","○")))</f>
        <v/>
      </c>
      <c r="AA77" s="15">
        <f>IF($Z77="","",IF($Z77="×",0,IF($Z77="○",ROUNDDOWN($E77*設定!$C$4,0),ROUNDDOWN($E77*ROUND((9*$Y77-9*$E77)/(10*$E77),4),0))))</f>
        <v/>
      </c>
      <c r="AB77" s="13" t="n"/>
      <c r="AC77" s="15">
        <f>IF($B77="","",IF($AB77&lt;&gt;"",$AB77,IF($AA77="","",IF($AA77&lt;=設定!$C$3,0,$AA77))))</f>
        <v/>
      </c>
      <c r="AD77" s="14">
        <f>IF($B77="","",IF(AND($AE77&lt;&gt;"",$AG77="",$AJ77=""),"保留中",IF($AJ77&lt;&gt;"",IF(N($AC77)&gt;0,"支給済","不支給"),IF($AC77="","要確認",IF($AC77=0,"不支給","未処理")))))</f>
        <v/>
      </c>
      <c r="AE77" s="12" t="n"/>
      <c r="AF77" s="11" t="n"/>
      <c r="AG77" s="11" t="n"/>
      <c r="AH77" s="11" t="n"/>
      <c r="AI77" s="14">
        <f>IF(AND($AD77="保留中",$AF77&lt;&gt;""),TODAY()-$AF77,"")</f>
        <v/>
      </c>
      <c r="AJ77" s="12" t="inlineStr">
        <is>
          <t>R7.9</t>
        </is>
      </c>
      <c r="AK77" s="14">
        <f>IF($B77="","",IF($AO77="","対象年月が未入力／","")&amp;IF($B77="","",IF($AN77="","職員マスタに未登録の職員番号／",IF($Y77="","標準報酬月額が未登録／","")&amp;IF(AND($AO77&lt;&gt;"",OR(AND(INDEX(職員マスタ!$G$6:$G$405,$AN77)&lt;&gt;"",INDEX(職員マスタ!$G$6:$G$405,$AN77)&gt;EOMONTH($AO77,0)),AND(INDEX(職員マスタ!$H$6:$H$405,$AN77)&lt;&gt;"",INDEX(職員マスタ!$H$6:$H$405,$AN77)&lt;$AO77))),"対象月が時短期間外／","")&amp;IF(AND(INDEX(職員マスタ!$F$6:$F$405,$AN77)&lt;&gt;"",$AO77&lt;&gt;"",INDEX(職員マスタ!$F$6:$F$405,$AN77)&lt;$AO77),"対象月に子が2歳到達済／","")&amp;IF(AND($H77&lt;&gt;"",INDEX(職員マスタ!$B$6:$B$405,$AN77)&lt;&gt;"",SUBSTITUTE(SUBSTITUTE($H77," ","")," ","")&lt;&gt;SUBSTITUTE(SUBSTITUTE(INDEX(職員マスタ!$B$6:$B$405,$AN77)," ","")," ","")),"氏名がマスタと相違／","")&amp;IF(AND($Q77&lt;&gt;"",INDEX(職員マスタ!$E$6:$E$405,$AN77)&lt;&gt;"",$Q77&lt;&gt;INDEX(職員マスタ!$E$6:$E$405,$AN77)),"子の生年月日がマスタと相違／","")&amp;IF(AND($L77&lt;&gt;"",INDEX(職員マスタ!$G$6:$G$405,$AN77)&lt;&gt;"",$L77&lt;&gt;INDEX(職員マスタ!$G$6:$G$405,$AN77)),"時短開始日がマスタと相違／","")&amp;IF(AND($M77&lt;&gt;"",INDEX(職員マスタ!$H$6:$H$405,$AN77)&lt;&gt;"",$M77&lt;&gt;INDEX(職員マスタ!$H$6:$H$405,$AN77)),"時短終了日がマスタと相違／","")))&amp;IF(AND($B77&lt;&gt;"",$E77=""),"報酬額が未入力／","")&amp;IF(N($U77)&gt;0,"申請書に入力エラーが残っています／","")&amp;IF(AND($B77&lt;&gt;"",$AO77&lt;&gt;""),IF(COUNTIFS($B$6:$B$3005,$B77,$C$6:$C$3005,$C77,$D$6:$D$3005,$D77)&gt;1,"同じ月の請求が重複しています／",""),"")&amp;IF(AND(N($E77)&gt;0,$Z77&lt;&gt;"",$Z77&lt;&gt;"×",$AC77=0,$AB77=""),"計算額が下限以下のため不支給／",""))</f>
        <v/>
      </c>
      <c r="AL77" s="12" t="n"/>
      <c r="AM77" s="14">
        <f>IF($AD77="保留中",COUNTIF($AD$6:$AD77,"保留中"),"")</f>
        <v/>
      </c>
      <c r="AN77" s="14">
        <f>IF($AO77="","",IF(SUMPRODUCT(MAX((職員マスタ!$A$6:$A$405=$B77)*(((職員マスタ!$G$6:$G$405="")+(職員マスタ!$G$6:$G$405&lt;=EOMONTH($AO77,0)))&gt;0)*(((職員マスタ!$H$6:$H$405="")+(職員マスタ!$H$6:$H$405&gt;=$AO77))&gt;0)*(ROW(職員マスタ!$A$6:$A$405)-5)))&gt;0,SUMPRODUCT(MAX((職員マスタ!$A$6:$A$405=$B77)*(((職員マスタ!$G$6:$G$405="")+(職員マスタ!$G$6:$G$405&lt;=EOMONTH($AO77,0)))&gt;0)*(((職員マスタ!$H$6:$H$405="")+(職員マスタ!$H$6:$H$405&gt;=$AO77))&gt;0)*(ROW(職員マスタ!$A$6:$A$405)-5))),IFERROR(MATCH($B77,職員マスタ!$A$6:$A$405,0),"")))</f>
        <v/>
      </c>
      <c r="AO77" s="16">
        <f>IF(OR($B77="",$C77="",$D77=""),"",DATE($C77+2018,$D77,1))</f>
        <v/>
      </c>
    </row>
    <row r="78">
      <c r="A78" s="11" t="n"/>
      <c r="B78" s="12" t="n">
        <v>6002976</v>
      </c>
      <c r="C78" s="12" t="n">
        <v>7</v>
      </c>
      <c r="D78" s="12" t="n">
        <v>8</v>
      </c>
      <c r="E78" s="13" t="n">
        <v>211538</v>
      </c>
      <c r="F78" s="12" t="n"/>
      <c r="G78" s="13" t="n"/>
      <c r="H78" s="12" t="n"/>
      <c r="I78" s="12" t="n"/>
      <c r="J78" s="12" t="n"/>
      <c r="K78" s="12" t="n"/>
      <c r="L78" s="11" t="n"/>
      <c r="M78" s="11" t="n"/>
      <c r="N78" s="11" t="n"/>
      <c r="O78" s="11" t="n"/>
      <c r="P78" s="12" t="n"/>
      <c r="Q78" s="11" t="n"/>
      <c r="R78" s="12" t="n"/>
      <c r="S78" s="11" t="n"/>
      <c r="T78" s="12" t="n"/>
      <c r="U78" s="12" t="n"/>
      <c r="V78" s="14">
        <f>IF($AN78="",IF($B78="","",$H78),IF(INDEX(職員マスタ!$B$6:$B$405,$AN78)="",$H78,INDEX(職員マスタ!$B$6:$B$405,$AN78)))</f>
        <v/>
      </c>
      <c r="W78" s="14">
        <f>IF($AN78="",IF($B78="","",$R78),IF(INDEX(職員マスタ!$C$6:$C$405,$AN78)="",$R78,INDEX(職員マスタ!$C$6:$C$405,$AN78)))</f>
        <v/>
      </c>
      <c r="X78" s="14">
        <f>IF($AO78="","","R"&amp;$C78&amp;"."&amp;$D78)</f>
        <v/>
      </c>
      <c r="Y78" s="15">
        <f>IF($AN78="","",IF(INDEX(職員マスタ!$K$6:$K$405,$AN78)="","",INDEX(職員マスタ!$K$6:$K$405,$AN78)))</f>
        <v/>
      </c>
      <c r="Z78" s="14">
        <f>IF(OR($E78="",$Y78=""),"",IF($E78&gt;=$Y78,"×",IF($E78&gt;=$Y78*設定!$C$5,"△","○")))</f>
        <v/>
      </c>
      <c r="AA78" s="15">
        <f>IF($Z78="","",IF($Z78="×",0,IF($Z78="○",ROUNDDOWN($E78*設定!$C$4,0),ROUNDDOWN($E78*ROUND((9*$Y78-9*$E78)/(10*$E78),4),0))))</f>
        <v/>
      </c>
      <c r="AB78" s="13" t="n"/>
      <c r="AC78" s="15">
        <f>IF($B78="","",IF($AB78&lt;&gt;"",$AB78,IF($AA78="","",IF($AA78&lt;=設定!$C$3,0,$AA78))))</f>
        <v/>
      </c>
      <c r="AD78" s="14">
        <f>IF($B78="","",IF(AND($AE78&lt;&gt;"",$AG78="",$AJ78=""),"保留中",IF($AJ78&lt;&gt;"",IF(N($AC78)&gt;0,"支給済","不支給"),IF($AC78="","要確認",IF($AC78=0,"不支給","未処理")))))</f>
        <v/>
      </c>
      <c r="AE78" s="12" t="n"/>
      <c r="AF78" s="11" t="n"/>
      <c r="AG78" s="11" t="n"/>
      <c r="AH78" s="11" t="n"/>
      <c r="AI78" s="14">
        <f>IF(AND($AD78="保留中",$AF78&lt;&gt;""),TODAY()-$AF78,"")</f>
        <v/>
      </c>
      <c r="AJ78" s="12" t="inlineStr">
        <is>
          <t>R7.10</t>
        </is>
      </c>
      <c r="AK78" s="14">
        <f>IF($B78="","",IF($AO78="","対象年月が未入力／","")&amp;IF($B78="","",IF($AN78="","職員マスタに未登録の職員番号／",IF($Y78="","標準報酬月額が未登録／","")&amp;IF(AND($AO78&lt;&gt;"",OR(AND(INDEX(職員マスタ!$G$6:$G$405,$AN78)&lt;&gt;"",INDEX(職員マスタ!$G$6:$G$405,$AN78)&gt;EOMONTH($AO78,0)),AND(INDEX(職員マスタ!$H$6:$H$405,$AN78)&lt;&gt;"",INDEX(職員マスタ!$H$6:$H$405,$AN78)&lt;$AO78))),"対象月が時短期間外／","")&amp;IF(AND(INDEX(職員マスタ!$F$6:$F$405,$AN78)&lt;&gt;"",$AO78&lt;&gt;"",INDEX(職員マスタ!$F$6:$F$405,$AN78)&lt;$AO78),"対象月に子が2歳到達済／","")&amp;IF(AND($H78&lt;&gt;"",INDEX(職員マスタ!$B$6:$B$405,$AN78)&lt;&gt;"",SUBSTITUTE(SUBSTITUTE($H78," ","")," ","")&lt;&gt;SUBSTITUTE(SUBSTITUTE(INDEX(職員マスタ!$B$6:$B$405,$AN78)," ","")," ","")),"氏名がマスタと相違／","")&amp;IF(AND($Q78&lt;&gt;"",INDEX(職員マスタ!$E$6:$E$405,$AN78)&lt;&gt;"",$Q78&lt;&gt;INDEX(職員マスタ!$E$6:$E$405,$AN78)),"子の生年月日がマスタと相違／","")&amp;IF(AND($L78&lt;&gt;"",INDEX(職員マスタ!$G$6:$G$405,$AN78)&lt;&gt;"",$L78&lt;&gt;INDEX(職員マスタ!$G$6:$G$405,$AN78)),"時短開始日がマスタと相違／","")&amp;IF(AND($M78&lt;&gt;"",INDEX(職員マスタ!$H$6:$H$405,$AN78)&lt;&gt;"",$M78&lt;&gt;INDEX(職員マスタ!$H$6:$H$405,$AN78)),"時短終了日がマスタと相違／","")))&amp;IF(AND($B78&lt;&gt;"",$E78=""),"報酬額が未入力／","")&amp;IF(N($U78)&gt;0,"申請書に入力エラーが残っています／","")&amp;IF(AND($B78&lt;&gt;"",$AO78&lt;&gt;""),IF(COUNTIFS($B$6:$B$3005,$B78,$C$6:$C$3005,$C78,$D$6:$D$3005,$D78)&gt;1,"同じ月の請求が重複しています／",""),"")&amp;IF(AND(N($E78)&gt;0,$Z78&lt;&gt;"",$Z78&lt;&gt;"×",$AC78=0,$AB78=""),"計算額が下限以下のため不支給／",""))</f>
        <v/>
      </c>
      <c r="AL78" s="12" t="n"/>
      <c r="AM78" s="14">
        <f>IF($AD78="保留中",COUNTIF($AD$6:$AD78,"保留中"),"")</f>
        <v/>
      </c>
      <c r="AN78" s="14">
        <f>IF($AO78="","",IF(SUMPRODUCT(MAX((職員マスタ!$A$6:$A$405=$B78)*(((職員マスタ!$G$6:$G$405="")+(職員マスタ!$G$6:$G$405&lt;=EOMONTH($AO78,0)))&gt;0)*(((職員マスタ!$H$6:$H$405="")+(職員マスタ!$H$6:$H$405&gt;=$AO78))&gt;0)*(ROW(職員マスタ!$A$6:$A$405)-5)))&gt;0,SUMPRODUCT(MAX((職員マスタ!$A$6:$A$405=$B78)*(((職員マスタ!$G$6:$G$405="")+(職員マスタ!$G$6:$G$405&lt;=EOMONTH($AO78,0)))&gt;0)*(((職員マスタ!$H$6:$H$405="")+(職員マスタ!$H$6:$H$405&gt;=$AO78))&gt;0)*(ROW(職員マスタ!$A$6:$A$405)-5))),IFERROR(MATCH($B78,職員マスタ!$A$6:$A$405,0),"")))</f>
        <v/>
      </c>
      <c r="AO78" s="16">
        <f>IF(OR($B78="",$C78="",$D78=""),"",DATE($C78+2018,$D78,1))</f>
        <v/>
      </c>
    </row>
    <row r="79">
      <c r="A79" s="11" t="n"/>
      <c r="B79" s="12" t="n">
        <v>6002976</v>
      </c>
      <c r="C79" s="12" t="n">
        <v>7</v>
      </c>
      <c r="D79" s="12" t="n">
        <v>9</v>
      </c>
      <c r="E79" s="13" t="n">
        <v>215892</v>
      </c>
      <c r="F79" s="12" t="n"/>
      <c r="G79" s="13" t="n"/>
      <c r="H79" s="12" t="n"/>
      <c r="I79" s="12" t="n"/>
      <c r="J79" s="12" t="n"/>
      <c r="K79" s="12" t="n"/>
      <c r="L79" s="11" t="n"/>
      <c r="M79" s="11" t="n"/>
      <c r="N79" s="11" t="n"/>
      <c r="O79" s="11" t="n"/>
      <c r="P79" s="12" t="n"/>
      <c r="Q79" s="11" t="n"/>
      <c r="R79" s="12" t="n"/>
      <c r="S79" s="11" t="n"/>
      <c r="T79" s="12" t="n"/>
      <c r="U79" s="12" t="n"/>
      <c r="V79" s="14">
        <f>IF($AN79="",IF($B79="","",$H79),IF(INDEX(職員マスタ!$B$6:$B$405,$AN79)="",$H79,INDEX(職員マスタ!$B$6:$B$405,$AN79)))</f>
        <v/>
      </c>
      <c r="W79" s="14">
        <f>IF($AN79="",IF($B79="","",$R79),IF(INDEX(職員マスタ!$C$6:$C$405,$AN79)="",$R79,INDEX(職員マスタ!$C$6:$C$405,$AN79)))</f>
        <v/>
      </c>
      <c r="X79" s="14">
        <f>IF($AO79="","","R"&amp;$C79&amp;"."&amp;$D79)</f>
        <v/>
      </c>
      <c r="Y79" s="15">
        <f>IF($AN79="","",IF(INDEX(職員マスタ!$K$6:$K$405,$AN79)="","",INDEX(職員マスタ!$K$6:$K$405,$AN79)))</f>
        <v/>
      </c>
      <c r="Z79" s="14">
        <f>IF(OR($E79="",$Y79=""),"",IF($E79&gt;=$Y79,"×",IF($E79&gt;=$Y79*設定!$C$5,"△","○")))</f>
        <v/>
      </c>
      <c r="AA79" s="15">
        <f>IF($Z79="","",IF($Z79="×",0,IF($Z79="○",ROUNDDOWN($E79*設定!$C$4,0),ROUNDDOWN($E79*ROUND((9*$Y79-9*$E79)/(10*$E79),4),0))))</f>
        <v/>
      </c>
      <c r="AB79" s="13" t="n"/>
      <c r="AC79" s="15">
        <f>IF($B79="","",IF($AB79&lt;&gt;"",$AB79,IF($AA79="","",IF($AA79&lt;=設定!$C$3,0,$AA79))))</f>
        <v/>
      </c>
      <c r="AD79" s="14">
        <f>IF($B79="","",IF(AND($AE79&lt;&gt;"",$AG79="",$AJ79=""),"保留中",IF($AJ79&lt;&gt;"",IF(N($AC79)&gt;0,"支給済","不支給"),IF($AC79="","要確認",IF($AC79=0,"不支給","未処理")))))</f>
        <v/>
      </c>
      <c r="AE79" s="12" t="n"/>
      <c r="AF79" s="11" t="n"/>
      <c r="AG79" s="11" t="n"/>
      <c r="AH79" s="11" t="n"/>
      <c r="AI79" s="14">
        <f>IF(AND($AD79="保留中",$AF79&lt;&gt;""),TODAY()-$AF79,"")</f>
        <v/>
      </c>
      <c r="AJ79" s="12" t="inlineStr">
        <is>
          <t>R7.11</t>
        </is>
      </c>
      <c r="AK79" s="14">
        <f>IF($B79="","",IF($AO79="","対象年月が未入力／","")&amp;IF($B79="","",IF($AN79="","職員マスタに未登録の職員番号／",IF($Y79="","標準報酬月額が未登録／","")&amp;IF(AND($AO79&lt;&gt;"",OR(AND(INDEX(職員マスタ!$G$6:$G$405,$AN79)&lt;&gt;"",INDEX(職員マスタ!$G$6:$G$405,$AN79)&gt;EOMONTH($AO79,0)),AND(INDEX(職員マスタ!$H$6:$H$405,$AN79)&lt;&gt;"",INDEX(職員マスタ!$H$6:$H$405,$AN79)&lt;$AO79))),"対象月が時短期間外／","")&amp;IF(AND(INDEX(職員マスタ!$F$6:$F$405,$AN79)&lt;&gt;"",$AO79&lt;&gt;"",INDEX(職員マスタ!$F$6:$F$405,$AN79)&lt;$AO79),"対象月に子が2歳到達済／","")&amp;IF(AND($H79&lt;&gt;"",INDEX(職員マスタ!$B$6:$B$405,$AN79)&lt;&gt;"",SUBSTITUTE(SUBSTITUTE($H79," ","")," ","")&lt;&gt;SUBSTITUTE(SUBSTITUTE(INDEX(職員マスタ!$B$6:$B$405,$AN79)," ","")," ","")),"氏名がマスタと相違／","")&amp;IF(AND($Q79&lt;&gt;"",INDEX(職員マスタ!$E$6:$E$405,$AN79)&lt;&gt;"",$Q79&lt;&gt;INDEX(職員マスタ!$E$6:$E$405,$AN79)),"子の生年月日がマスタと相違／","")&amp;IF(AND($L79&lt;&gt;"",INDEX(職員マスタ!$G$6:$G$405,$AN79)&lt;&gt;"",$L79&lt;&gt;INDEX(職員マスタ!$G$6:$G$405,$AN79)),"時短開始日がマスタと相違／","")&amp;IF(AND($M79&lt;&gt;"",INDEX(職員マスタ!$H$6:$H$405,$AN79)&lt;&gt;"",$M79&lt;&gt;INDEX(職員マスタ!$H$6:$H$405,$AN79)),"時短終了日がマスタと相違／","")))&amp;IF(AND($B79&lt;&gt;"",$E79=""),"報酬額が未入力／","")&amp;IF(N($U79)&gt;0,"申請書に入力エラーが残っています／","")&amp;IF(AND($B79&lt;&gt;"",$AO79&lt;&gt;""),IF(COUNTIFS($B$6:$B$3005,$B79,$C$6:$C$3005,$C79,$D$6:$D$3005,$D79)&gt;1,"同じ月の請求が重複しています／",""),"")&amp;IF(AND(N($E79)&gt;0,$Z79&lt;&gt;"",$Z79&lt;&gt;"×",$AC79=0,$AB79=""),"計算額が下限以下のため不支給／",""))</f>
        <v/>
      </c>
      <c r="AL79" s="12" t="n"/>
      <c r="AM79" s="14">
        <f>IF($AD79="保留中",COUNTIF($AD$6:$AD79,"保留中"),"")</f>
        <v/>
      </c>
      <c r="AN79" s="14">
        <f>IF($AO79="","",IF(SUMPRODUCT(MAX((職員マスタ!$A$6:$A$405=$B79)*(((職員マスタ!$G$6:$G$405="")+(職員マスタ!$G$6:$G$405&lt;=EOMONTH($AO79,0)))&gt;0)*(((職員マスタ!$H$6:$H$405="")+(職員マスタ!$H$6:$H$405&gt;=$AO79))&gt;0)*(ROW(職員マスタ!$A$6:$A$405)-5)))&gt;0,SUMPRODUCT(MAX((職員マスタ!$A$6:$A$405=$B79)*(((職員マスタ!$G$6:$G$405="")+(職員マスタ!$G$6:$G$405&lt;=EOMONTH($AO79,0)))&gt;0)*(((職員マスタ!$H$6:$H$405="")+(職員マスタ!$H$6:$H$405&gt;=$AO79))&gt;0)*(ROW(職員マスタ!$A$6:$A$405)-5))),IFERROR(MATCH($B79,職員マスタ!$A$6:$A$405,0),"")))</f>
        <v/>
      </c>
      <c r="AO79" s="16">
        <f>IF(OR($B79="",$C79="",$D79=""),"",DATE($C79+2018,$D79,1))</f>
        <v/>
      </c>
    </row>
    <row r="80">
      <c r="A80" s="11" t="n"/>
      <c r="B80" s="12" t="n">
        <v>6002976</v>
      </c>
      <c r="C80" s="12" t="n">
        <v>7</v>
      </c>
      <c r="D80" s="12" t="n">
        <v>10</v>
      </c>
      <c r="E80" s="13" t="n">
        <v>215892</v>
      </c>
      <c r="F80" s="12" t="n"/>
      <c r="G80" s="13" t="n"/>
      <c r="H80" s="12" t="n"/>
      <c r="I80" s="12" t="n"/>
      <c r="J80" s="12" t="n"/>
      <c r="K80" s="12" t="n"/>
      <c r="L80" s="11" t="n"/>
      <c r="M80" s="11" t="n"/>
      <c r="N80" s="11" t="n"/>
      <c r="O80" s="11" t="n"/>
      <c r="P80" s="12" t="n"/>
      <c r="Q80" s="11" t="n"/>
      <c r="R80" s="12" t="n"/>
      <c r="S80" s="11" t="n"/>
      <c r="T80" s="12" t="n"/>
      <c r="U80" s="12" t="n"/>
      <c r="V80" s="14">
        <f>IF($AN80="",IF($B80="","",$H80),IF(INDEX(職員マスタ!$B$6:$B$405,$AN80)="",$H80,INDEX(職員マスタ!$B$6:$B$405,$AN80)))</f>
        <v/>
      </c>
      <c r="W80" s="14">
        <f>IF($AN80="",IF($B80="","",$R80),IF(INDEX(職員マスタ!$C$6:$C$405,$AN80)="",$R80,INDEX(職員マスタ!$C$6:$C$405,$AN80)))</f>
        <v/>
      </c>
      <c r="X80" s="14">
        <f>IF($AO80="","","R"&amp;$C80&amp;"."&amp;$D80)</f>
        <v/>
      </c>
      <c r="Y80" s="15">
        <f>IF($AN80="","",IF(INDEX(職員マスタ!$K$6:$K$405,$AN80)="","",INDEX(職員マスタ!$K$6:$K$405,$AN80)))</f>
        <v/>
      </c>
      <c r="Z80" s="14">
        <f>IF(OR($E80="",$Y80=""),"",IF($E80&gt;=$Y80,"×",IF($E80&gt;=$Y80*設定!$C$5,"△","○")))</f>
        <v/>
      </c>
      <c r="AA80" s="15">
        <f>IF($Z80="","",IF($Z80="×",0,IF($Z80="○",ROUNDDOWN($E80*設定!$C$4,0),ROUNDDOWN($E80*ROUND((9*$Y80-9*$E80)/(10*$E80),4),0))))</f>
        <v/>
      </c>
      <c r="AB80" s="13" t="n"/>
      <c r="AC80" s="15">
        <f>IF($B80="","",IF($AB80&lt;&gt;"",$AB80,IF($AA80="","",IF($AA80&lt;=設定!$C$3,0,$AA80))))</f>
        <v/>
      </c>
      <c r="AD80" s="14">
        <f>IF($B80="","",IF(AND($AE80&lt;&gt;"",$AG80="",$AJ80=""),"保留中",IF($AJ80&lt;&gt;"",IF(N($AC80)&gt;0,"支給済","不支給"),IF($AC80="","要確認",IF($AC80=0,"不支給","未処理")))))</f>
        <v/>
      </c>
      <c r="AE80" s="12" t="n"/>
      <c r="AF80" s="11" t="n"/>
      <c r="AG80" s="11" t="n"/>
      <c r="AH80" s="11" t="n"/>
      <c r="AI80" s="14">
        <f>IF(AND($AD80="保留中",$AF80&lt;&gt;""),TODAY()-$AF80,"")</f>
        <v/>
      </c>
      <c r="AJ80" s="12" t="inlineStr">
        <is>
          <t>R7.12</t>
        </is>
      </c>
      <c r="AK80" s="14">
        <f>IF($B80="","",IF($AO80="","対象年月が未入力／","")&amp;IF($B80="","",IF($AN80="","職員マスタに未登録の職員番号／",IF($Y80="","標準報酬月額が未登録／","")&amp;IF(AND($AO80&lt;&gt;"",OR(AND(INDEX(職員マスタ!$G$6:$G$405,$AN80)&lt;&gt;"",INDEX(職員マスタ!$G$6:$G$405,$AN80)&gt;EOMONTH($AO80,0)),AND(INDEX(職員マスタ!$H$6:$H$405,$AN80)&lt;&gt;"",INDEX(職員マスタ!$H$6:$H$405,$AN80)&lt;$AO80))),"対象月が時短期間外／","")&amp;IF(AND(INDEX(職員マスタ!$F$6:$F$405,$AN80)&lt;&gt;"",$AO80&lt;&gt;"",INDEX(職員マスタ!$F$6:$F$405,$AN80)&lt;$AO80),"対象月に子が2歳到達済／","")&amp;IF(AND($H80&lt;&gt;"",INDEX(職員マスタ!$B$6:$B$405,$AN80)&lt;&gt;"",SUBSTITUTE(SUBSTITUTE($H80," ","")," ","")&lt;&gt;SUBSTITUTE(SUBSTITUTE(INDEX(職員マスタ!$B$6:$B$405,$AN80)," ","")," ","")),"氏名がマスタと相違／","")&amp;IF(AND($Q80&lt;&gt;"",INDEX(職員マスタ!$E$6:$E$405,$AN80)&lt;&gt;"",$Q80&lt;&gt;INDEX(職員マスタ!$E$6:$E$405,$AN80)),"子の生年月日がマスタと相違／","")&amp;IF(AND($L80&lt;&gt;"",INDEX(職員マスタ!$G$6:$G$405,$AN80)&lt;&gt;"",$L80&lt;&gt;INDEX(職員マスタ!$G$6:$G$405,$AN80)),"時短開始日がマスタと相違／","")&amp;IF(AND($M80&lt;&gt;"",INDEX(職員マスタ!$H$6:$H$405,$AN80)&lt;&gt;"",$M80&lt;&gt;INDEX(職員マスタ!$H$6:$H$405,$AN80)),"時短終了日がマスタと相違／","")))&amp;IF(AND($B80&lt;&gt;"",$E80=""),"報酬額が未入力／","")&amp;IF(N($U80)&gt;0,"申請書に入力エラーが残っています／","")&amp;IF(AND($B80&lt;&gt;"",$AO80&lt;&gt;""),IF(COUNTIFS($B$6:$B$3005,$B80,$C$6:$C$3005,$C80,$D$6:$D$3005,$D80)&gt;1,"同じ月の請求が重複しています／",""),"")&amp;IF(AND(N($E80)&gt;0,$Z80&lt;&gt;"",$Z80&lt;&gt;"×",$AC80=0,$AB80=""),"計算額が下限以下のため不支給／",""))</f>
        <v/>
      </c>
      <c r="AL80" s="12" t="n"/>
      <c r="AM80" s="14">
        <f>IF($AD80="保留中",COUNTIF($AD$6:$AD80,"保留中"),"")</f>
        <v/>
      </c>
      <c r="AN80" s="14">
        <f>IF($AO80="","",IF(SUMPRODUCT(MAX((職員マスタ!$A$6:$A$405=$B80)*(((職員マスタ!$G$6:$G$405="")+(職員マスタ!$G$6:$G$405&lt;=EOMONTH($AO80,0)))&gt;0)*(((職員マスタ!$H$6:$H$405="")+(職員マスタ!$H$6:$H$405&gt;=$AO80))&gt;0)*(ROW(職員マスタ!$A$6:$A$405)-5)))&gt;0,SUMPRODUCT(MAX((職員マスタ!$A$6:$A$405=$B80)*(((職員マスタ!$G$6:$G$405="")+(職員マスタ!$G$6:$G$405&lt;=EOMONTH($AO80,0)))&gt;0)*(((職員マスタ!$H$6:$H$405="")+(職員マスタ!$H$6:$H$405&gt;=$AO80))&gt;0)*(ROW(職員マスタ!$A$6:$A$405)-5))),IFERROR(MATCH($B80,職員マスタ!$A$6:$A$405,0),"")))</f>
        <v/>
      </c>
      <c r="AO80" s="16">
        <f>IF(OR($B80="",$C80="",$D80=""),"",DATE($C80+2018,$D80,1))</f>
        <v/>
      </c>
    </row>
    <row r="81">
      <c r="A81" s="11" t="n"/>
      <c r="B81" s="12" t="n">
        <v>6002976</v>
      </c>
      <c r="C81" s="12" t="n">
        <v>7</v>
      </c>
      <c r="D81" s="12" t="n">
        <v>11</v>
      </c>
      <c r="E81" s="13" t="n">
        <v>215892</v>
      </c>
      <c r="F81" s="12" t="n"/>
      <c r="G81" s="13" t="n"/>
      <c r="H81" s="12" t="n"/>
      <c r="I81" s="12" t="n"/>
      <c r="J81" s="12" t="n"/>
      <c r="K81" s="12" t="n"/>
      <c r="L81" s="11" t="n"/>
      <c r="M81" s="11" t="n"/>
      <c r="N81" s="11" t="n"/>
      <c r="O81" s="11" t="n"/>
      <c r="P81" s="12" t="n"/>
      <c r="Q81" s="11" t="n"/>
      <c r="R81" s="12" t="n"/>
      <c r="S81" s="11" t="n"/>
      <c r="T81" s="12" t="n"/>
      <c r="U81" s="12" t="n"/>
      <c r="V81" s="14">
        <f>IF($AN81="",IF($B81="","",$H81),IF(INDEX(職員マスタ!$B$6:$B$405,$AN81)="",$H81,INDEX(職員マスタ!$B$6:$B$405,$AN81)))</f>
        <v/>
      </c>
      <c r="W81" s="14">
        <f>IF($AN81="",IF($B81="","",$R81),IF(INDEX(職員マスタ!$C$6:$C$405,$AN81)="",$R81,INDEX(職員マスタ!$C$6:$C$405,$AN81)))</f>
        <v/>
      </c>
      <c r="X81" s="14">
        <f>IF($AO81="","","R"&amp;$C81&amp;"."&amp;$D81)</f>
        <v/>
      </c>
      <c r="Y81" s="15">
        <f>IF($AN81="","",IF(INDEX(職員マスタ!$K$6:$K$405,$AN81)="","",INDEX(職員マスタ!$K$6:$K$405,$AN81)))</f>
        <v/>
      </c>
      <c r="Z81" s="14">
        <f>IF(OR($E81="",$Y81=""),"",IF($E81&gt;=$Y81,"×",IF($E81&gt;=$Y81*設定!$C$5,"△","○")))</f>
        <v/>
      </c>
      <c r="AA81" s="15">
        <f>IF($Z81="","",IF($Z81="×",0,IF($Z81="○",ROUNDDOWN($E81*設定!$C$4,0),ROUNDDOWN($E81*ROUND((9*$Y81-9*$E81)/(10*$E81),4),0))))</f>
        <v/>
      </c>
      <c r="AB81" s="13" t="n"/>
      <c r="AC81" s="15">
        <f>IF($B81="","",IF($AB81&lt;&gt;"",$AB81,IF($AA81="","",IF($AA81&lt;=設定!$C$3,0,$AA81))))</f>
        <v/>
      </c>
      <c r="AD81" s="14">
        <f>IF($B81="","",IF(AND($AE81&lt;&gt;"",$AG81="",$AJ81=""),"保留中",IF($AJ81&lt;&gt;"",IF(N($AC81)&gt;0,"支給済","不支給"),IF($AC81="","要確認",IF($AC81=0,"不支給","未処理")))))</f>
        <v/>
      </c>
      <c r="AE81" s="12" t="n"/>
      <c r="AF81" s="11" t="n"/>
      <c r="AG81" s="11" t="n"/>
      <c r="AH81" s="11" t="n"/>
      <c r="AI81" s="14">
        <f>IF(AND($AD81="保留中",$AF81&lt;&gt;""),TODAY()-$AF81,"")</f>
        <v/>
      </c>
      <c r="AJ81" s="12" t="inlineStr">
        <is>
          <t>R8.1</t>
        </is>
      </c>
      <c r="AK81" s="14">
        <f>IF($B81="","",IF($AO81="","対象年月が未入力／","")&amp;IF($B81="","",IF($AN81="","職員マスタに未登録の職員番号／",IF($Y81="","標準報酬月額が未登録／","")&amp;IF(AND($AO81&lt;&gt;"",OR(AND(INDEX(職員マスタ!$G$6:$G$405,$AN81)&lt;&gt;"",INDEX(職員マスタ!$G$6:$G$405,$AN81)&gt;EOMONTH($AO81,0)),AND(INDEX(職員マスタ!$H$6:$H$405,$AN81)&lt;&gt;"",INDEX(職員マスタ!$H$6:$H$405,$AN81)&lt;$AO81))),"対象月が時短期間外／","")&amp;IF(AND(INDEX(職員マスタ!$F$6:$F$405,$AN81)&lt;&gt;"",$AO81&lt;&gt;"",INDEX(職員マスタ!$F$6:$F$405,$AN81)&lt;$AO81),"対象月に子が2歳到達済／","")&amp;IF(AND($H81&lt;&gt;"",INDEX(職員マスタ!$B$6:$B$405,$AN81)&lt;&gt;"",SUBSTITUTE(SUBSTITUTE($H81," ","")," ","")&lt;&gt;SUBSTITUTE(SUBSTITUTE(INDEX(職員マスタ!$B$6:$B$405,$AN81)," ","")," ","")),"氏名がマスタと相違／","")&amp;IF(AND($Q81&lt;&gt;"",INDEX(職員マスタ!$E$6:$E$405,$AN81)&lt;&gt;"",$Q81&lt;&gt;INDEX(職員マスタ!$E$6:$E$405,$AN81)),"子の生年月日がマスタと相違／","")&amp;IF(AND($L81&lt;&gt;"",INDEX(職員マスタ!$G$6:$G$405,$AN81)&lt;&gt;"",$L81&lt;&gt;INDEX(職員マスタ!$G$6:$G$405,$AN81)),"時短開始日がマスタと相違／","")&amp;IF(AND($M81&lt;&gt;"",INDEX(職員マスタ!$H$6:$H$405,$AN81)&lt;&gt;"",$M81&lt;&gt;INDEX(職員マスタ!$H$6:$H$405,$AN81)),"時短終了日がマスタと相違／","")))&amp;IF(AND($B81&lt;&gt;"",$E81=""),"報酬額が未入力／","")&amp;IF(N($U81)&gt;0,"申請書に入力エラーが残っています／","")&amp;IF(AND($B81&lt;&gt;"",$AO81&lt;&gt;""),IF(COUNTIFS($B$6:$B$3005,$B81,$C$6:$C$3005,$C81,$D$6:$D$3005,$D81)&gt;1,"同じ月の請求が重複しています／",""),"")&amp;IF(AND(N($E81)&gt;0,$Z81&lt;&gt;"",$Z81&lt;&gt;"×",$AC81=0,$AB81=""),"計算額が下限以下のため不支給／",""))</f>
        <v/>
      </c>
      <c r="AL81" s="12" t="n"/>
      <c r="AM81" s="14">
        <f>IF($AD81="保留中",COUNTIF($AD$6:$AD81,"保留中"),"")</f>
        <v/>
      </c>
      <c r="AN81" s="14">
        <f>IF($AO81="","",IF(SUMPRODUCT(MAX((職員マスタ!$A$6:$A$405=$B81)*(((職員マスタ!$G$6:$G$405="")+(職員マスタ!$G$6:$G$405&lt;=EOMONTH($AO81,0)))&gt;0)*(((職員マスタ!$H$6:$H$405="")+(職員マスタ!$H$6:$H$405&gt;=$AO81))&gt;0)*(ROW(職員マスタ!$A$6:$A$405)-5)))&gt;0,SUMPRODUCT(MAX((職員マスタ!$A$6:$A$405=$B81)*(((職員マスタ!$G$6:$G$405="")+(職員マスタ!$G$6:$G$405&lt;=EOMONTH($AO81,0)))&gt;0)*(((職員マスタ!$H$6:$H$405="")+(職員マスタ!$H$6:$H$405&gt;=$AO81))&gt;0)*(ROW(職員マスタ!$A$6:$A$405)-5))),IFERROR(MATCH($B81,職員マスタ!$A$6:$A$405,0),"")))</f>
        <v/>
      </c>
      <c r="AO81" s="16">
        <f>IF(OR($B81="",$C81="",$D81=""),"",DATE($C81+2018,$D81,1))</f>
        <v/>
      </c>
    </row>
    <row r="82">
      <c r="A82" s="11" t="n"/>
      <c r="B82" s="12" t="n">
        <v>6002976</v>
      </c>
      <c r="C82" s="12" t="n">
        <v>7</v>
      </c>
      <c r="D82" s="12" t="n">
        <v>12</v>
      </c>
      <c r="E82" s="13" t="n">
        <v>229409</v>
      </c>
      <c r="F82" s="12" t="n"/>
      <c r="G82" s="13" t="n"/>
      <c r="H82" s="12" t="n"/>
      <c r="I82" s="12" t="n"/>
      <c r="J82" s="12" t="n"/>
      <c r="K82" s="12" t="n"/>
      <c r="L82" s="11" t="n"/>
      <c r="M82" s="11" t="n"/>
      <c r="N82" s="11" t="n"/>
      <c r="O82" s="11" t="n"/>
      <c r="P82" s="12" t="n"/>
      <c r="Q82" s="11" t="n"/>
      <c r="R82" s="12" t="n"/>
      <c r="S82" s="11" t="n"/>
      <c r="T82" s="12" t="n"/>
      <c r="U82" s="12" t="n"/>
      <c r="V82" s="14">
        <f>IF($AN82="",IF($B82="","",$H82),IF(INDEX(職員マスタ!$B$6:$B$405,$AN82)="",$H82,INDEX(職員マスタ!$B$6:$B$405,$AN82)))</f>
        <v/>
      </c>
      <c r="W82" s="14">
        <f>IF($AN82="",IF($B82="","",$R82),IF(INDEX(職員マスタ!$C$6:$C$405,$AN82)="",$R82,INDEX(職員マスタ!$C$6:$C$405,$AN82)))</f>
        <v/>
      </c>
      <c r="X82" s="14">
        <f>IF($AO82="","","R"&amp;$C82&amp;"."&amp;$D82)</f>
        <v/>
      </c>
      <c r="Y82" s="15">
        <f>IF($AN82="","",IF(INDEX(職員マスタ!$K$6:$K$405,$AN82)="","",INDEX(職員マスタ!$K$6:$K$405,$AN82)))</f>
        <v/>
      </c>
      <c r="Z82" s="14">
        <f>IF(OR($E82="",$Y82=""),"",IF($E82&gt;=$Y82,"×",IF($E82&gt;=$Y82*設定!$C$5,"△","○")))</f>
        <v/>
      </c>
      <c r="AA82" s="15">
        <f>IF($Z82="","",IF($Z82="×",0,IF($Z82="○",ROUNDDOWN($E82*設定!$C$4,0),ROUNDDOWN($E82*ROUND((9*$Y82-9*$E82)/(10*$E82),4),0))))</f>
        <v/>
      </c>
      <c r="AB82" s="13" t="n"/>
      <c r="AC82" s="15">
        <f>IF($B82="","",IF($AB82&lt;&gt;"",$AB82,IF($AA82="","",IF($AA82&lt;=設定!$C$3,0,$AA82))))</f>
        <v/>
      </c>
      <c r="AD82" s="14">
        <f>IF($B82="","",IF(AND($AE82&lt;&gt;"",$AG82="",$AJ82=""),"保留中",IF($AJ82&lt;&gt;"",IF(N($AC82)&gt;0,"支給済","不支給"),IF($AC82="","要確認",IF($AC82=0,"不支給","未処理")))))</f>
        <v/>
      </c>
      <c r="AE82" s="12" t="n"/>
      <c r="AF82" s="11" t="n"/>
      <c r="AG82" s="11" t="n"/>
      <c r="AH82" s="11" t="n"/>
      <c r="AI82" s="14">
        <f>IF(AND($AD82="保留中",$AF82&lt;&gt;""),TODAY()-$AF82,"")</f>
        <v/>
      </c>
      <c r="AJ82" s="12" t="inlineStr">
        <is>
          <t>R8.2</t>
        </is>
      </c>
      <c r="AK82" s="14">
        <f>IF($B82="","",IF($AO82="","対象年月が未入力／","")&amp;IF($B82="","",IF($AN82="","職員マスタに未登録の職員番号／",IF($Y82="","標準報酬月額が未登録／","")&amp;IF(AND($AO82&lt;&gt;"",OR(AND(INDEX(職員マスタ!$G$6:$G$405,$AN82)&lt;&gt;"",INDEX(職員マスタ!$G$6:$G$405,$AN82)&gt;EOMONTH($AO82,0)),AND(INDEX(職員マスタ!$H$6:$H$405,$AN82)&lt;&gt;"",INDEX(職員マスタ!$H$6:$H$405,$AN82)&lt;$AO82))),"対象月が時短期間外／","")&amp;IF(AND(INDEX(職員マスタ!$F$6:$F$405,$AN82)&lt;&gt;"",$AO82&lt;&gt;"",INDEX(職員マスタ!$F$6:$F$405,$AN82)&lt;$AO82),"対象月に子が2歳到達済／","")&amp;IF(AND($H82&lt;&gt;"",INDEX(職員マスタ!$B$6:$B$405,$AN82)&lt;&gt;"",SUBSTITUTE(SUBSTITUTE($H82," ","")," ","")&lt;&gt;SUBSTITUTE(SUBSTITUTE(INDEX(職員マスタ!$B$6:$B$405,$AN82)," ","")," ","")),"氏名がマスタと相違／","")&amp;IF(AND($Q82&lt;&gt;"",INDEX(職員マスタ!$E$6:$E$405,$AN82)&lt;&gt;"",$Q82&lt;&gt;INDEX(職員マスタ!$E$6:$E$405,$AN82)),"子の生年月日がマスタと相違／","")&amp;IF(AND($L82&lt;&gt;"",INDEX(職員マスタ!$G$6:$G$405,$AN82)&lt;&gt;"",$L82&lt;&gt;INDEX(職員マスタ!$G$6:$G$405,$AN82)),"時短開始日がマスタと相違／","")&amp;IF(AND($M82&lt;&gt;"",INDEX(職員マスタ!$H$6:$H$405,$AN82)&lt;&gt;"",$M82&lt;&gt;INDEX(職員マスタ!$H$6:$H$405,$AN82)),"時短終了日がマスタと相違／","")))&amp;IF(AND($B82&lt;&gt;"",$E82=""),"報酬額が未入力／","")&amp;IF(N($U82)&gt;0,"申請書に入力エラーが残っています／","")&amp;IF(AND($B82&lt;&gt;"",$AO82&lt;&gt;""),IF(COUNTIFS($B$6:$B$3005,$B82,$C$6:$C$3005,$C82,$D$6:$D$3005,$D82)&gt;1,"同じ月の請求が重複しています／",""),"")&amp;IF(AND(N($E82)&gt;0,$Z82&lt;&gt;"",$Z82&lt;&gt;"×",$AC82=0,$AB82=""),"計算額が下限以下のため不支給／",""))</f>
        <v/>
      </c>
      <c r="AL82" s="12" t="n"/>
      <c r="AM82" s="14">
        <f>IF($AD82="保留中",COUNTIF($AD$6:$AD82,"保留中"),"")</f>
        <v/>
      </c>
      <c r="AN82" s="14">
        <f>IF($AO82="","",IF(SUMPRODUCT(MAX((職員マスタ!$A$6:$A$405=$B82)*(((職員マスタ!$G$6:$G$405="")+(職員マスタ!$G$6:$G$405&lt;=EOMONTH($AO82,0)))&gt;0)*(((職員マスタ!$H$6:$H$405="")+(職員マスタ!$H$6:$H$405&gt;=$AO82))&gt;0)*(ROW(職員マスタ!$A$6:$A$405)-5)))&gt;0,SUMPRODUCT(MAX((職員マスタ!$A$6:$A$405=$B82)*(((職員マスタ!$G$6:$G$405="")+(職員マスタ!$G$6:$G$405&lt;=EOMONTH($AO82,0)))&gt;0)*(((職員マスタ!$H$6:$H$405="")+(職員マスタ!$H$6:$H$405&gt;=$AO82))&gt;0)*(ROW(職員マスタ!$A$6:$A$405)-5))),IFERROR(MATCH($B82,職員マスタ!$A$6:$A$405,0),"")))</f>
        <v/>
      </c>
      <c r="AO82" s="16">
        <f>IF(OR($B82="",$C82="",$D82=""),"",DATE($C82+2018,$D82,1))</f>
        <v/>
      </c>
    </row>
    <row r="83">
      <c r="A83" s="11" t="n"/>
      <c r="B83" s="12" t="n">
        <v>6002976</v>
      </c>
      <c r="C83" s="12" t="n">
        <v>8</v>
      </c>
      <c r="D83" s="12" t="n">
        <v>1</v>
      </c>
      <c r="E83" s="13" t="n">
        <v>218819</v>
      </c>
      <c r="F83" s="12" t="n"/>
      <c r="G83" s="13" t="n"/>
      <c r="H83" s="12" t="n"/>
      <c r="I83" s="12" t="n"/>
      <c r="J83" s="12" t="n"/>
      <c r="K83" s="12" t="n"/>
      <c r="L83" s="11" t="n"/>
      <c r="M83" s="11" t="n"/>
      <c r="N83" s="11" t="n"/>
      <c r="O83" s="11" t="n"/>
      <c r="P83" s="12" t="n"/>
      <c r="Q83" s="11" t="n"/>
      <c r="R83" s="12" t="n"/>
      <c r="S83" s="11" t="n"/>
      <c r="T83" s="12" t="n"/>
      <c r="U83" s="12" t="n"/>
      <c r="V83" s="14">
        <f>IF($AN83="",IF($B83="","",$H83),IF(INDEX(職員マスタ!$B$6:$B$405,$AN83)="",$H83,INDEX(職員マスタ!$B$6:$B$405,$AN83)))</f>
        <v/>
      </c>
      <c r="W83" s="14">
        <f>IF($AN83="",IF($B83="","",$R83),IF(INDEX(職員マスタ!$C$6:$C$405,$AN83)="",$R83,INDEX(職員マスタ!$C$6:$C$405,$AN83)))</f>
        <v/>
      </c>
      <c r="X83" s="14">
        <f>IF($AO83="","","R"&amp;$C83&amp;"."&amp;$D83)</f>
        <v/>
      </c>
      <c r="Y83" s="15">
        <f>IF($AN83="","",IF(INDEX(職員マスタ!$K$6:$K$405,$AN83)="","",INDEX(職員マスタ!$K$6:$K$405,$AN83)))</f>
        <v/>
      </c>
      <c r="Z83" s="14">
        <f>IF(OR($E83="",$Y83=""),"",IF($E83&gt;=$Y83,"×",IF($E83&gt;=$Y83*設定!$C$5,"△","○")))</f>
        <v/>
      </c>
      <c r="AA83" s="15">
        <f>IF($Z83="","",IF($Z83="×",0,IF($Z83="○",ROUNDDOWN($E83*設定!$C$4,0),ROUNDDOWN($E83*ROUND((9*$Y83-9*$E83)/(10*$E83),4),0))))</f>
        <v/>
      </c>
      <c r="AB83" s="13" t="n"/>
      <c r="AC83" s="15">
        <f>IF($B83="","",IF($AB83&lt;&gt;"",$AB83,IF($AA83="","",IF($AA83&lt;=設定!$C$3,0,$AA83))))</f>
        <v/>
      </c>
      <c r="AD83" s="14">
        <f>IF($B83="","",IF(AND($AE83&lt;&gt;"",$AG83="",$AJ83=""),"保留中",IF($AJ83&lt;&gt;"",IF(N($AC83)&gt;0,"支給済","不支給"),IF($AC83="","要確認",IF($AC83=0,"不支給","未処理")))))</f>
        <v/>
      </c>
      <c r="AE83" s="12" t="n"/>
      <c r="AF83" s="11" t="n"/>
      <c r="AG83" s="11" t="n"/>
      <c r="AH83" s="11" t="n"/>
      <c r="AI83" s="14">
        <f>IF(AND($AD83="保留中",$AF83&lt;&gt;""),TODAY()-$AF83,"")</f>
        <v/>
      </c>
      <c r="AJ83" s="12" t="inlineStr">
        <is>
          <t>R8.3</t>
        </is>
      </c>
      <c r="AK83" s="14">
        <f>IF($B83="","",IF($AO83="","対象年月が未入力／","")&amp;IF($B83="","",IF($AN83="","職員マスタに未登録の職員番号／",IF($Y83="","標準報酬月額が未登録／","")&amp;IF(AND($AO83&lt;&gt;"",OR(AND(INDEX(職員マスタ!$G$6:$G$405,$AN83)&lt;&gt;"",INDEX(職員マスタ!$G$6:$G$405,$AN83)&gt;EOMONTH($AO83,0)),AND(INDEX(職員マスタ!$H$6:$H$405,$AN83)&lt;&gt;"",INDEX(職員マスタ!$H$6:$H$405,$AN83)&lt;$AO83))),"対象月が時短期間外／","")&amp;IF(AND(INDEX(職員マスタ!$F$6:$F$405,$AN83)&lt;&gt;"",$AO83&lt;&gt;"",INDEX(職員マスタ!$F$6:$F$405,$AN83)&lt;$AO83),"対象月に子が2歳到達済／","")&amp;IF(AND($H83&lt;&gt;"",INDEX(職員マスタ!$B$6:$B$405,$AN83)&lt;&gt;"",SUBSTITUTE(SUBSTITUTE($H83," ","")," ","")&lt;&gt;SUBSTITUTE(SUBSTITUTE(INDEX(職員マスタ!$B$6:$B$405,$AN83)," ","")," ","")),"氏名がマスタと相違／","")&amp;IF(AND($Q83&lt;&gt;"",INDEX(職員マスタ!$E$6:$E$405,$AN83)&lt;&gt;"",$Q83&lt;&gt;INDEX(職員マスタ!$E$6:$E$405,$AN83)),"子の生年月日がマスタと相違／","")&amp;IF(AND($L83&lt;&gt;"",INDEX(職員マスタ!$G$6:$G$405,$AN83)&lt;&gt;"",$L83&lt;&gt;INDEX(職員マスタ!$G$6:$G$405,$AN83)),"時短開始日がマスタと相違／","")&amp;IF(AND($M83&lt;&gt;"",INDEX(職員マスタ!$H$6:$H$405,$AN83)&lt;&gt;"",$M83&lt;&gt;INDEX(職員マスタ!$H$6:$H$405,$AN83)),"時短終了日がマスタと相違／","")))&amp;IF(AND($B83&lt;&gt;"",$E83=""),"報酬額が未入力／","")&amp;IF(N($U83)&gt;0,"申請書に入力エラーが残っています／","")&amp;IF(AND($B83&lt;&gt;"",$AO83&lt;&gt;""),IF(COUNTIFS($B$6:$B$3005,$B83,$C$6:$C$3005,$C83,$D$6:$D$3005,$D83)&gt;1,"同じ月の請求が重複しています／",""),"")&amp;IF(AND(N($E83)&gt;0,$Z83&lt;&gt;"",$Z83&lt;&gt;"×",$AC83=0,$AB83=""),"計算額が下限以下のため不支給／",""))</f>
        <v/>
      </c>
      <c r="AL83" s="12" t="n"/>
      <c r="AM83" s="14">
        <f>IF($AD83="保留中",COUNTIF($AD$6:$AD83,"保留中"),"")</f>
        <v/>
      </c>
      <c r="AN83" s="14">
        <f>IF($AO83="","",IF(SUMPRODUCT(MAX((職員マスタ!$A$6:$A$405=$B83)*(((職員マスタ!$G$6:$G$405="")+(職員マスタ!$G$6:$G$405&lt;=EOMONTH($AO83,0)))&gt;0)*(((職員マスタ!$H$6:$H$405="")+(職員マスタ!$H$6:$H$405&gt;=$AO83))&gt;0)*(ROW(職員マスタ!$A$6:$A$405)-5)))&gt;0,SUMPRODUCT(MAX((職員マスタ!$A$6:$A$405=$B83)*(((職員マスタ!$G$6:$G$405="")+(職員マスタ!$G$6:$G$405&lt;=EOMONTH($AO83,0)))&gt;0)*(((職員マスタ!$H$6:$H$405="")+(職員マスタ!$H$6:$H$405&gt;=$AO83))&gt;0)*(ROW(職員マスタ!$A$6:$A$405)-5))),IFERROR(MATCH($B83,職員マスタ!$A$6:$A$405,0),"")))</f>
        <v/>
      </c>
      <c r="AO83" s="16">
        <f>IF(OR($B83="",$C83="",$D83=""),"",DATE($C83+2018,$D83,1))</f>
        <v/>
      </c>
    </row>
    <row r="84">
      <c r="A84" s="11" t="n"/>
      <c r="B84" s="12" t="n">
        <v>6002976</v>
      </c>
      <c r="C84" s="12" t="n">
        <v>8</v>
      </c>
      <c r="D84" s="12" t="n">
        <v>2</v>
      </c>
      <c r="E84" s="13" t="n">
        <v>223325</v>
      </c>
      <c r="F84" s="12" t="n"/>
      <c r="G84" s="13" t="n"/>
      <c r="H84" s="12" t="n"/>
      <c r="I84" s="12" t="n"/>
      <c r="J84" s="12" t="n"/>
      <c r="K84" s="12" t="n"/>
      <c r="L84" s="11" t="n"/>
      <c r="M84" s="11" t="n"/>
      <c r="N84" s="11" t="n"/>
      <c r="O84" s="11" t="n"/>
      <c r="P84" s="12" t="n"/>
      <c r="Q84" s="11" t="n"/>
      <c r="R84" s="12" t="n"/>
      <c r="S84" s="11" t="n"/>
      <c r="T84" s="12" t="n"/>
      <c r="U84" s="12" t="n"/>
      <c r="V84" s="14">
        <f>IF($AN84="",IF($B84="","",$H84),IF(INDEX(職員マスタ!$B$6:$B$405,$AN84)="",$H84,INDEX(職員マスタ!$B$6:$B$405,$AN84)))</f>
        <v/>
      </c>
      <c r="W84" s="14">
        <f>IF($AN84="",IF($B84="","",$R84),IF(INDEX(職員マスタ!$C$6:$C$405,$AN84)="",$R84,INDEX(職員マスタ!$C$6:$C$405,$AN84)))</f>
        <v/>
      </c>
      <c r="X84" s="14">
        <f>IF($AO84="","","R"&amp;$C84&amp;"."&amp;$D84)</f>
        <v/>
      </c>
      <c r="Y84" s="15">
        <f>IF($AN84="","",IF(INDEX(職員マスタ!$K$6:$K$405,$AN84)="","",INDEX(職員マスタ!$K$6:$K$405,$AN84)))</f>
        <v/>
      </c>
      <c r="Z84" s="14">
        <f>IF(OR($E84="",$Y84=""),"",IF($E84&gt;=$Y84,"×",IF($E84&gt;=$Y84*設定!$C$5,"△","○")))</f>
        <v/>
      </c>
      <c r="AA84" s="15">
        <f>IF($Z84="","",IF($Z84="×",0,IF($Z84="○",ROUNDDOWN($E84*設定!$C$4,0),ROUNDDOWN($E84*ROUND((9*$Y84-9*$E84)/(10*$E84),4),0))))</f>
        <v/>
      </c>
      <c r="AB84" s="13" t="n"/>
      <c r="AC84" s="15">
        <f>IF($B84="","",IF($AB84&lt;&gt;"",$AB84,IF($AA84="","",IF($AA84&lt;=設定!$C$3,0,$AA84))))</f>
        <v/>
      </c>
      <c r="AD84" s="14">
        <f>IF($B84="","",IF(AND($AE84&lt;&gt;"",$AG84="",$AJ84=""),"保留中",IF($AJ84&lt;&gt;"",IF(N($AC84)&gt;0,"支給済","不支給"),IF($AC84="","要確認",IF($AC84=0,"不支給","未処理")))))</f>
        <v/>
      </c>
      <c r="AE84" s="12" t="n"/>
      <c r="AF84" s="11" t="n"/>
      <c r="AG84" s="11" t="n"/>
      <c r="AH84" s="11" t="n"/>
      <c r="AI84" s="14">
        <f>IF(AND($AD84="保留中",$AF84&lt;&gt;""),TODAY()-$AF84,"")</f>
        <v/>
      </c>
      <c r="AJ84" s="12" t="inlineStr">
        <is>
          <t>R8.4</t>
        </is>
      </c>
      <c r="AK84" s="14">
        <f>IF($B84="","",IF($AO84="","対象年月が未入力／","")&amp;IF($B84="","",IF($AN84="","職員マスタに未登録の職員番号／",IF($Y84="","標準報酬月額が未登録／","")&amp;IF(AND($AO84&lt;&gt;"",OR(AND(INDEX(職員マスタ!$G$6:$G$405,$AN84)&lt;&gt;"",INDEX(職員マスタ!$G$6:$G$405,$AN84)&gt;EOMONTH($AO84,0)),AND(INDEX(職員マスタ!$H$6:$H$405,$AN84)&lt;&gt;"",INDEX(職員マスタ!$H$6:$H$405,$AN84)&lt;$AO84))),"対象月が時短期間外／","")&amp;IF(AND(INDEX(職員マスタ!$F$6:$F$405,$AN84)&lt;&gt;"",$AO84&lt;&gt;"",INDEX(職員マスタ!$F$6:$F$405,$AN84)&lt;$AO84),"対象月に子が2歳到達済／","")&amp;IF(AND($H84&lt;&gt;"",INDEX(職員マスタ!$B$6:$B$405,$AN84)&lt;&gt;"",SUBSTITUTE(SUBSTITUTE($H84," ","")," ","")&lt;&gt;SUBSTITUTE(SUBSTITUTE(INDEX(職員マスタ!$B$6:$B$405,$AN84)," ","")," ","")),"氏名がマスタと相違／","")&amp;IF(AND($Q84&lt;&gt;"",INDEX(職員マスタ!$E$6:$E$405,$AN84)&lt;&gt;"",$Q84&lt;&gt;INDEX(職員マスタ!$E$6:$E$405,$AN84)),"子の生年月日がマスタと相違／","")&amp;IF(AND($L84&lt;&gt;"",INDEX(職員マスタ!$G$6:$G$405,$AN84)&lt;&gt;"",$L84&lt;&gt;INDEX(職員マスタ!$G$6:$G$405,$AN84)),"時短開始日がマスタと相違／","")&amp;IF(AND($M84&lt;&gt;"",INDEX(職員マスタ!$H$6:$H$405,$AN84)&lt;&gt;"",$M84&lt;&gt;INDEX(職員マスタ!$H$6:$H$405,$AN84)),"時短終了日がマスタと相違／","")))&amp;IF(AND($B84&lt;&gt;"",$E84=""),"報酬額が未入力／","")&amp;IF(N($U84)&gt;0,"申請書に入力エラーが残っています／","")&amp;IF(AND($B84&lt;&gt;"",$AO84&lt;&gt;""),IF(COUNTIFS($B$6:$B$3005,$B84,$C$6:$C$3005,$C84,$D$6:$D$3005,$D84)&gt;1,"同じ月の請求が重複しています／",""),"")&amp;IF(AND(N($E84)&gt;0,$Z84&lt;&gt;"",$Z84&lt;&gt;"×",$AC84=0,$AB84=""),"計算額が下限以下のため不支給／",""))</f>
        <v/>
      </c>
      <c r="AL84" s="12" t="n"/>
      <c r="AM84" s="14">
        <f>IF($AD84="保留中",COUNTIF($AD$6:$AD84,"保留中"),"")</f>
        <v/>
      </c>
      <c r="AN84" s="14">
        <f>IF($AO84="","",IF(SUMPRODUCT(MAX((職員マスタ!$A$6:$A$405=$B84)*(((職員マスタ!$G$6:$G$405="")+(職員マスタ!$G$6:$G$405&lt;=EOMONTH($AO84,0)))&gt;0)*(((職員マスタ!$H$6:$H$405="")+(職員マスタ!$H$6:$H$405&gt;=$AO84))&gt;0)*(ROW(職員マスタ!$A$6:$A$405)-5)))&gt;0,SUMPRODUCT(MAX((職員マスタ!$A$6:$A$405=$B84)*(((職員マスタ!$G$6:$G$405="")+(職員マスタ!$G$6:$G$405&lt;=EOMONTH($AO84,0)))&gt;0)*(((職員マスタ!$H$6:$H$405="")+(職員マスタ!$H$6:$H$405&gt;=$AO84))&gt;0)*(ROW(職員マスタ!$A$6:$A$405)-5))),IFERROR(MATCH($B84,職員マスタ!$A$6:$A$405,0),"")))</f>
        <v/>
      </c>
      <c r="AO84" s="16">
        <f>IF(OR($B84="",$C84="",$D84=""),"",DATE($C84+2018,$D84,1))</f>
        <v/>
      </c>
    </row>
    <row r="85">
      <c r="A85" s="11" t="n"/>
      <c r="B85" s="12" t="n">
        <v>6003057</v>
      </c>
      <c r="C85" s="12" t="n">
        <v>7</v>
      </c>
      <c r="D85" s="12" t="n">
        <v>4</v>
      </c>
      <c r="E85" s="13" t="n">
        <v>115134</v>
      </c>
      <c r="F85" s="12" t="n"/>
      <c r="G85" s="13" t="n"/>
      <c r="H85" s="12" t="n"/>
      <c r="I85" s="12" t="n"/>
      <c r="J85" s="12" t="n"/>
      <c r="K85" s="12" t="n"/>
      <c r="L85" s="11" t="n"/>
      <c r="M85" s="11" t="n"/>
      <c r="N85" s="11" t="n"/>
      <c r="O85" s="11" t="n"/>
      <c r="P85" s="12" t="n"/>
      <c r="Q85" s="11" t="n"/>
      <c r="R85" s="12" t="n"/>
      <c r="S85" s="11" t="n"/>
      <c r="T85" s="12" t="n"/>
      <c r="U85" s="12" t="n"/>
      <c r="V85" s="14">
        <f>IF($AN85="",IF($B85="","",$H85),IF(INDEX(職員マスタ!$B$6:$B$405,$AN85)="",$H85,INDEX(職員マスタ!$B$6:$B$405,$AN85)))</f>
        <v/>
      </c>
      <c r="W85" s="14">
        <f>IF($AN85="",IF($B85="","",$R85),IF(INDEX(職員マスタ!$C$6:$C$405,$AN85)="",$R85,INDEX(職員マスタ!$C$6:$C$405,$AN85)))</f>
        <v/>
      </c>
      <c r="X85" s="14">
        <f>IF($AO85="","","R"&amp;$C85&amp;"."&amp;$D85)</f>
        <v/>
      </c>
      <c r="Y85" s="15">
        <f>IF($AN85="","",IF(INDEX(職員マスタ!$K$6:$K$405,$AN85)="","",INDEX(職員マスタ!$K$6:$K$405,$AN85)))</f>
        <v/>
      </c>
      <c r="Z85" s="14">
        <f>IF(OR($E85="",$Y85=""),"",IF($E85&gt;=$Y85,"×",IF($E85&gt;=$Y85*設定!$C$5,"△","○")))</f>
        <v/>
      </c>
      <c r="AA85" s="15">
        <f>IF($Z85="","",IF($Z85="×",0,IF($Z85="○",ROUNDDOWN($E85*設定!$C$4,0),ROUNDDOWN($E85*ROUND((9*$Y85-9*$E85)/(10*$E85),4),0))))</f>
        <v/>
      </c>
      <c r="AB85" s="13" t="n"/>
      <c r="AC85" s="15">
        <f>IF($B85="","",IF($AB85&lt;&gt;"",$AB85,IF($AA85="","",IF($AA85&lt;=設定!$C$3,0,$AA85))))</f>
        <v/>
      </c>
      <c r="AD85" s="14">
        <f>IF($B85="","",IF(AND($AE85&lt;&gt;"",$AG85="",$AJ85=""),"保留中",IF($AJ85&lt;&gt;"",IF(N($AC85)&gt;0,"支給済","不支給"),IF($AC85="","要確認",IF($AC85=0,"不支給","未処理")))))</f>
        <v/>
      </c>
      <c r="AE85" s="12" t="n"/>
      <c r="AF85" s="11" t="n"/>
      <c r="AG85" s="11" t="n"/>
      <c r="AH85" s="11" t="n"/>
      <c r="AI85" s="14">
        <f>IF(AND($AD85="保留中",$AF85&lt;&gt;""),TODAY()-$AF85,"")</f>
        <v/>
      </c>
      <c r="AJ85" s="12" t="inlineStr">
        <is>
          <t>R8.1</t>
        </is>
      </c>
      <c r="AK85" s="14">
        <f>IF($B85="","",IF($AO85="","対象年月が未入力／","")&amp;IF($B85="","",IF($AN85="","職員マスタに未登録の職員番号／",IF($Y85="","標準報酬月額が未登録／","")&amp;IF(AND($AO85&lt;&gt;"",OR(AND(INDEX(職員マスタ!$G$6:$G$405,$AN85)&lt;&gt;"",INDEX(職員マスタ!$G$6:$G$405,$AN85)&gt;EOMONTH($AO85,0)),AND(INDEX(職員マスタ!$H$6:$H$405,$AN85)&lt;&gt;"",INDEX(職員マスタ!$H$6:$H$405,$AN85)&lt;$AO85))),"対象月が時短期間外／","")&amp;IF(AND(INDEX(職員マスタ!$F$6:$F$405,$AN85)&lt;&gt;"",$AO85&lt;&gt;"",INDEX(職員マスタ!$F$6:$F$405,$AN85)&lt;$AO85),"対象月に子が2歳到達済／","")&amp;IF(AND($H85&lt;&gt;"",INDEX(職員マスタ!$B$6:$B$405,$AN85)&lt;&gt;"",SUBSTITUTE(SUBSTITUTE($H85," ","")," ","")&lt;&gt;SUBSTITUTE(SUBSTITUTE(INDEX(職員マスタ!$B$6:$B$405,$AN85)," ","")," ","")),"氏名がマスタと相違／","")&amp;IF(AND($Q85&lt;&gt;"",INDEX(職員マスタ!$E$6:$E$405,$AN85)&lt;&gt;"",$Q85&lt;&gt;INDEX(職員マスタ!$E$6:$E$405,$AN85)),"子の生年月日がマスタと相違／","")&amp;IF(AND($L85&lt;&gt;"",INDEX(職員マスタ!$G$6:$G$405,$AN85)&lt;&gt;"",$L85&lt;&gt;INDEX(職員マスタ!$G$6:$G$405,$AN85)),"時短開始日がマスタと相違／","")&amp;IF(AND($M85&lt;&gt;"",INDEX(職員マスタ!$H$6:$H$405,$AN85)&lt;&gt;"",$M85&lt;&gt;INDEX(職員マスタ!$H$6:$H$405,$AN85)),"時短終了日がマスタと相違／","")))&amp;IF(AND($B85&lt;&gt;"",$E85=""),"報酬額が未入力／","")&amp;IF(N($U85)&gt;0,"申請書に入力エラーが残っています／","")&amp;IF(AND($B85&lt;&gt;"",$AO85&lt;&gt;""),IF(COUNTIFS($B$6:$B$3005,$B85,$C$6:$C$3005,$C85,$D$6:$D$3005,$D85)&gt;1,"同じ月の請求が重複しています／",""),"")&amp;IF(AND(N($E85)&gt;0,$Z85&lt;&gt;"",$Z85&lt;&gt;"×",$AC85=0,$AB85=""),"計算額が下限以下のため不支給／",""))</f>
        <v/>
      </c>
      <c r="AL85" s="12" t="n"/>
      <c r="AM85" s="14">
        <f>IF($AD85="保留中",COUNTIF($AD$6:$AD85,"保留中"),"")</f>
        <v/>
      </c>
      <c r="AN85" s="14">
        <f>IF($AO85="","",IF(SUMPRODUCT(MAX((職員マスタ!$A$6:$A$405=$B85)*(((職員マスタ!$G$6:$G$405="")+(職員マスタ!$G$6:$G$405&lt;=EOMONTH($AO85,0)))&gt;0)*(((職員マスタ!$H$6:$H$405="")+(職員マスタ!$H$6:$H$405&gt;=$AO85))&gt;0)*(ROW(職員マスタ!$A$6:$A$405)-5)))&gt;0,SUMPRODUCT(MAX((職員マスタ!$A$6:$A$405=$B85)*(((職員マスタ!$G$6:$G$405="")+(職員マスタ!$G$6:$G$405&lt;=EOMONTH($AO85,0)))&gt;0)*(((職員マスタ!$H$6:$H$405="")+(職員マスタ!$H$6:$H$405&gt;=$AO85))&gt;0)*(ROW(職員マスタ!$A$6:$A$405)-5))),IFERROR(MATCH($B85,職員マスタ!$A$6:$A$405,0),"")))</f>
        <v/>
      </c>
      <c r="AO85" s="16">
        <f>IF(OR($B85="",$C85="",$D85=""),"",DATE($C85+2018,$D85,1))</f>
        <v/>
      </c>
    </row>
    <row r="86">
      <c r="A86" s="11" t="n"/>
      <c r="B86" s="12" t="n">
        <v>6003057</v>
      </c>
      <c r="C86" s="12" t="n">
        <v>7</v>
      </c>
      <c r="D86" s="12" t="n">
        <v>5</v>
      </c>
      <c r="E86" s="13" t="n">
        <v>213544</v>
      </c>
      <c r="F86" s="12" t="n"/>
      <c r="G86" s="13" t="n"/>
      <c r="H86" s="12" t="n"/>
      <c r="I86" s="12" t="n"/>
      <c r="J86" s="12" t="n"/>
      <c r="K86" s="12" t="n"/>
      <c r="L86" s="11" t="n"/>
      <c r="M86" s="11" t="n"/>
      <c r="N86" s="11" t="n"/>
      <c r="O86" s="11" t="n"/>
      <c r="P86" s="12" t="n"/>
      <c r="Q86" s="11" t="n"/>
      <c r="R86" s="12" t="n"/>
      <c r="S86" s="11" t="n"/>
      <c r="T86" s="12" t="n"/>
      <c r="U86" s="12" t="n"/>
      <c r="V86" s="14">
        <f>IF($AN86="",IF($B86="","",$H86),IF(INDEX(職員マスタ!$B$6:$B$405,$AN86)="",$H86,INDEX(職員マスタ!$B$6:$B$405,$AN86)))</f>
        <v/>
      </c>
      <c r="W86" s="14">
        <f>IF($AN86="",IF($B86="","",$R86),IF(INDEX(職員マスタ!$C$6:$C$405,$AN86)="",$R86,INDEX(職員マスタ!$C$6:$C$405,$AN86)))</f>
        <v/>
      </c>
      <c r="X86" s="14">
        <f>IF($AO86="","","R"&amp;$C86&amp;"."&amp;$D86)</f>
        <v/>
      </c>
      <c r="Y86" s="15">
        <f>IF($AN86="","",IF(INDEX(職員マスタ!$K$6:$K$405,$AN86)="","",INDEX(職員マスタ!$K$6:$K$405,$AN86)))</f>
        <v/>
      </c>
      <c r="Z86" s="14">
        <f>IF(OR($E86="",$Y86=""),"",IF($E86&gt;=$Y86,"×",IF($E86&gt;=$Y86*設定!$C$5,"△","○")))</f>
        <v/>
      </c>
      <c r="AA86" s="15">
        <f>IF($Z86="","",IF($Z86="×",0,IF($Z86="○",ROUNDDOWN($E86*設定!$C$4,0),ROUNDDOWN($E86*ROUND((9*$Y86-9*$E86)/(10*$E86),4),0))))</f>
        <v/>
      </c>
      <c r="AB86" s="13" t="n"/>
      <c r="AC86" s="15">
        <f>IF($B86="","",IF($AB86&lt;&gt;"",$AB86,IF($AA86="","",IF($AA86&lt;=設定!$C$3,0,$AA86))))</f>
        <v/>
      </c>
      <c r="AD86" s="14">
        <f>IF($B86="","",IF(AND($AE86&lt;&gt;"",$AG86="",$AJ86=""),"保留中",IF($AJ86&lt;&gt;"",IF(N($AC86)&gt;0,"支給済","不支給"),IF($AC86="","要確認",IF($AC86=0,"不支給","未処理")))))</f>
        <v/>
      </c>
      <c r="AE86" s="12" t="n"/>
      <c r="AF86" s="11" t="n"/>
      <c r="AG86" s="11" t="n"/>
      <c r="AH86" s="11" t="n"/>
      <c r="AI86" s="14">
        <f>IF(AND($AD86="保留中",$AF86&lt;&gt;""),TODAY()-$AF86,"")</f>
        <v/>
      </c>
      <c r="AJ86" s="12" t="inlineStr">
        <is>
          <t>R8.1</t>
        </is>
      </c>
      <c r="AK86" s="14">
        <f>IF($B86="","",IF($AO86="","対象年月が未入力／","")&amp;IF($B86="","",IF($AN86="","職員マスタに未登録の職員番号／",IF($Y86="","標準報酬月額が未登録／","")&amp;IF(AND($AO86&lt;&gt;"",OR(AND(INDEX(職員マスタ!$G$6:$G$405,$AN86)&lt;&gt;"",INDEX(職員マスタ!$G$6:$G$405,$AN86)&gt;EOMONTH($AO86,0)),AND(INDEX(職員マスタ!$H$6:$H$405,$AN86)&lt;&gt;"",INDEX(職員マスタ!$H$6:$H$405,$AN86)&lt;$AO86))),"対象月が時短期間外／","")&amp;IF(AND(INDEX(職員マスタ!$F$6:$F$405,$AN86)&lt;&gt;"",$AO86&lt;&gt;"",INDEX(職員マスタ!$F$6:$F$405,$AN86)&lt;$AO86),"対象月に子が2歳到達済／","")&amp;IF(AND($H86&lt;&gt;"",INDEX(職員マスタ!$B$6:$B$405,$AN86)&lt;&gt;"",SUBSTITUTE(SUBSTITUTE($H86," ","")," ","")&lt;&gt;SUBSTITUTE(SUBSTITUTE(INDEX(職員マスタ!$B$6:$B$405,$AN86)," ","")," ","")),"氏名がマスタと相違／","")&amp;IF(AND($Q86&lt;&gt;"",INDEX(職員マスタ!$E$6:$E$405,$AN86)&lt;&gt;"",$Q86&lt;&gt;INDEX(職員マスタ!$E$6:$E$405,$AN86)),"子の生年月日がマスタと相違／","")&amp;IF(AND($L86&lt;&gt;"",INDEX(職員マスタ!$G$6:$G$405,$AN86)&lt;&gt;"",$L86&lt;&gt;INDEX(職員マスタ!$G$6:$G$405,$AN86)),"時短開始日がマスタと相違／","")&amp;IF(AND($M86&lt;&gt;"",INDEX(職員マスタ!$H$6:$H$405,$AN86)&lt;&gt;"",$M86&lt;&gt;INDEX(職員マスタ!$H$6:$H$405,$AN86)),"時短終了日がマスタと相違／","")))&amp;IF(AND($B86&lt;&gt;"",$E86=""),"報酬額が未入力／","")&amp;IF(N($U86)&gt;0,"申請書に入力エラーが残っています／","")&amp;IF(AND($B86&lt;&gt;"",$AO86&lt;&gt;""),IF(COUNTIFS($B$6:$B$3005,$B86,$C$6:$C$3005,$C86,$D$6:$D$3005,$D86)&gt;1,"同じ月の請求が重複しています／",""),"")&amp;IF(AND(N($E86)&gt;0,$Z86&lt;&gt;"",$Z86&lt;&gt;"×",$AC86=0,$AB86=""),"計算額が下限以下のため不支給／",""))</f>
        <v/>
      </c>
      <c r="AL86" s="12" t="n"/>
      <c r="AM86" s="14">
        <f>IF($AD86="保留中",COUNTIF($AD$6:$AD86,"保留中"),"")</f>
        <v/>
      </c>
      <c r="AN86" s="14">
        <f>IF($AO86="","",IF(SUMPRODUCT(MAX((職員マスタ!$A$6:$A$405=$B86)*(((職員マスタ!$G$6:$G$405="")+(職員マスタ!$G$6:$G$405&lt;=EOMONTH($AO86,0)))&gt;0)*(((職員マスタ!$H$6:$H$405="")+(職員マスタ!$H$6:$H$405&gt;=$AO86))&gt;0)*(ROW(職員マスタ!$A$6:$A$405)-5)))&gt;0,SUMPRODUCT(MAX((職員マスタ!$A$6:$A$405=$B86)*(((職員マスタ!$G$6:$G$405="")+(職員マスタ!$G$6:$G$405&lt;=EOMONTH($AO86,0)))&gt;0)*(((職員マスタ!$H$6:$H$405="")+(職員マスタ!$H$6:$H$405&gt;=$AO86))&gt;0)*(ROW(職員マスタ!$A$6:$A$405)-5))),IFERROR(MATCH($B86,職員マスタ!$A$6:$A$405,0),"")))</f>
        <v/>
      </c>
      <c r="AO86" s="16">
        <f>IF(OR($B86="",$C86="",$D86=""),"",DATE($C86+2018,$D86,1))</f>
        <v/>
      </c>
    </row>
    <row r="87">
      <c r="A87" s="11" t="n"/>
      <c r="B87" s="12" t="n">
        <v>6003057</v>
      </c>
      <c r="C87" s="12" t="n">
        <v>7</v>
      </c>
      <c r="D87" s="12" t="n">
        <v>6</v>
      </c>
      <c r="E87" s="13" t="n">
        <v>209332</v>
      </c>
      <c r="F87" s="12" t="n"/>
      <c r="G87" s="13" t="n"/>
      <c r="H87" s="12" t="n"/>
      <c r="I87" s="12" t="n"/>
      <c r="J87" s="12" t="n"/>
      <c r="K87" s="12" t="n"/>
      <c r="L87" s="11" t="n"/>
      <c r="M87" s="11" t="n"/>
      <c r="N87" s="11" t="n"/>
      <c r="O87" s="11" t="n"/>
      <c r="P87" s="12" t="n"/>
      <c r="Q87" s="11" t="n"/>
      <c r="R87" s="12" t="n"/>
      <c r="S87" s="11" t="n"/>
      <c r="T87" s="12" t="n"/>
      <c r="U87" s="12" t="n"/>
      <c r="V87" s="14">
        <f>IF($AN87="",IF($B87="","",$H87),IF(INDEX(職員マスタ!$B$6:$B$405,$AN87)="",$H87,INDEX(職員マスタ!$B$6:$B$405,$AN87)))</f>
        <v/>
      </c>
      <c r="W87" s="14">
        <f>IF($AN87="",IF($B87="","",$R87),IF(INDEX(職員マスタ!$C$6:$C$405,$AN87)="",$R87,INDEX(職員マスタ!$C$6:$C$405,$AN87)))</f>
        <v/>
      </c>
      <c r="X87" s="14">
        <f>IF($AO87="","","R"&amp;$C87&amp;"."&amp;$D87)</f>
        <v/>
      </c>
      <c r="Y87" s="15">
        <f>IF($AN87="","",IF(INDEX(職員マスタ!$K$6:$K$405,$AN87)="","",INDEX(職員マスタ!$K$6:$K$405,$AN87)))</f>
        <v/>
      </c>
      <c r="Z87" s="14">
        <f>IF(OR($E87="",$Y87=""),"",IF($E87&gt;=$Y87,"×",IF($E87&gt;=$Y87*設定!$C$5,"△","○")))</f>
        <v/>
      </c>
      <c r="AA87" s="15">
        <f>IF($Z87="","",IF($Z87="×",0,IF($Z87="○",ROUNDDOWN($E87*設定!$C$4,0),ROUNDDOWN($E87*ROUND((9*$Y87-9*$E87)/(10*$E87),4),0))))</f>
        <v/>
      </c>
      <c r="AB87" s="13" t="n"/>
      <c r="AC87" s="15">
        <f>IF($B87="","",IF($AB87&lt;&gt;"",$AB87,IF($AA87="","",IF($AA87&lt;=設定!$C$3,0,$AA87))))</f>
        <v/>
      </c>
      <c r="AD87" s="14">
        <f>IF($B87="","",IF(AND($AE87&lt;&gt;"",$AG87="",$AJ87=""),"保留中",IF($AJ87&lt;&gt;"",IF(N($AC87)&gt;0,"支給済","不支給"),IF($AC87="","要確認",IF($AC87=0,"不支給","未処理")))))</f>
        <v/>
      </c>
      <c r="AE87" s="12" t="n"/>
      <c r="AF87" s="11" t="n"/>
      <c r="AG87" s="11" t="n"/>
      <c r="AH87" s="11" t="n"/>
      <c r="AI87" s="14">
        <f>IF(AND($AD87="保留中",$AF87&lt;&gt;""),TODAY()-$AF87,"")</f>
        <v/>
      </c>
      <c r="AJ87" s="12" t="inlineStr">
        <is>
          <t>R7.9</t>
        </is>
      </c>
      <c r="AK87" s="14">
        <f>IF($B87="","",IF($AO87="","対象年月が未入力／","")&amp;IF($B87="","",IF($AN87="","職員マスタに未登録の職員番号／",IF($Y87="","標準報酬月額が未登録／","")&amp;IF(AND($AO87&lt;&gt;"",OR(AND(INDEX(職員マスタ!$G$6:$G$405,$AN87)&lt;&gt;"",INDEX(職員マスタ!$G$6:$G$405,$AN87)&gt;EOMONTH($AO87,0)),AND(INDEX(職員マスタ!$H$6:$H$405,$AN87)&lt;&gt;"",INDEX(職員マスタ!$H$6:$H$405,$AN87)&lt;$AO87))),"対象月が時短期間外／","")&amp;IF(AND(INDEX(職員マスタ!$F$6:$F$405,$AN87)&lt;&gt;"",$AO87&lt;&gt;"",INDEX(職員マスタ!$F$6:$F$405,$AN87)&lt;$AO87),"対象月に子が2歳到達済／","")&amp;IF(AND($H87&lt;&gt;"",INDEX(職員マスタ!$B$6:$B$405,$AN87)&lt;&gt;"",SUBSTITUTE(SUBSTITUTE($H87," ","")," ","")&lt;&gt;SUBSTITUTE(SUBSTITUTE(INDEX(職員マスタ!$B$6:$B$405,$AN87)," ","")," ","")),"氏名がマスタと相違／","")&amp;IF(AND($Q87&lt;&gt;"",INDEX(職員マスタ!$E$6:$E$405,$AN87)&lt;&gt;"",$Q87&lt;&gt;INDEX(職員マスタ!$E$6:$E$405,$AN87)),"子の生年月日がマスタと相違／","")&amp;IF(AND($L87&lt;&gt;"",INDEX(職員マスタ!$G$6:$G$405,$AN87)&lt;&gt;"",$L87&lt;&gt;INDEX(職員マスタ!$G$6:$G$405,$AN87)),"時短開始日がマスタと相違／","")&amp;IF(AND($M87&lt;&gt;"",INDEX(職員マスタ!$H$6:$H$405,$AN87)&lt;&gt;"",$M87&lt;&gt;INDEX(職員マスタ!$H$6:$H$405,$AN87)),"時短終了日がマスタと相違／","")))&amp;IF(AND($B87&lt;&gt;"",$E87=""),"報酬額が未入力／","")&amp;IF(N($U87)&gt;0,"申請書に入力エラーが残っています／","")&amp;IF(AND($B87&lt;&gt;"",$AO87&lt;&gt;""),IF(COUNTIFS($B$6:$B$3005,$B87,$C$6:$C$3005,$C87,$D$6:$D$3005,$D87)&gt;1,"同じ月の請求が重複しています／",""),"")&amp;IF(AND(N($E87)&gt;0,$Z87&lt;&gt;"",$Z87&lt;&gt;"×",$AC87=0,$AB87=""),"計算額が下限以下のため不支給／",""))</f>
        <v/>
      </c>
      <c r="AL87" s="12" t="n"/>
      <c r="AM87" s="14">
        <f>IF($AD87="保留中",COUNTIF($AD$6:$AD87,"保留中"),"")</f>
        <v/>
      </c>
      <c r="AN87" s="14">
        <f>IF($AO87="","",IF(SUMPRODUCT(MAX((職員マスタ!$A$6:$A$405=$B87)*(((職員マスタ!$G$6:$G$405="")+(職員マスタ!$G$6:$G$405&lt;=EOMONTH($AO87,0)))&gt;0)*(((職員マスタ!$H$6:$H$405="")+(職員マスタ!$H$6:$H$405&gt;=$AO87))&gt;0)*(ROW(職員マスタ!$A$6:$A$405)-5)))&gt;0,SUMPRODUCT(MAX((職員マスタ!$A$6:$A$405=$B87)*(((職員マスタ!$G$6:$G$405="")+(職員マスタ!$G$6:$G$405&lt;=EOMONTH($AO87,0)))&gt;0)*(((職員マスタ!$H$6:$H$405="")+(職員マスタ!$H$6:$H$405&gt;=$AO87))&gt;0)*(ROW(職員マスタ!$A$6:$A$405)-5))),IFERROR(MATCH($B87,職員マスタ!$A$6:$A$405,0),"")))</f>
        <v/>
      </c>
      <c r="AO87" s="16">
        <f>IF(OR($B87="",$C87="",$D87=""),"",DATE($C87+2018,$D87,1))</f>
        <v/>
      </c>
    </row>
    <row r="88">
      <c r="A88" s="11" t="n"/>
      <c r="B88" s="12" t="n">
        <v>6003057</v>
      </c>
      <c r="C88" s="12" t="n">
        <v>7</v>
      </c>
      <c r="D88" s="12" t="n">
        <v>7</v>
      </c>
      <c r="E88" s="13" t="n">
        <v>215640</v>
      </c>
      <c r="F88" s="12" t="n"/>
      <c r="G88" s="13" t="n"/>
      <c r="H88" s="12" t="n"/>
      <c r="I88" s="12" t="n"/>
      <c r="J88" s="12" t="n"/>
      <c r="K88" s="12" t="n"/>
      <c r="L88" s="11" t="n"/>
      <c r="M88" s="11" t="n"/>
      <c r="N88" s="11" t="n"/>
      <c r="O88" s="11" t="n"/>
      <c r="P88" s="12" t="n"/>
      <c r="Q88" s="11" t="n"/>
      <c r="R88" s="12" t="n"/>
      <c r="S88" s="11" t="n"/>
      <c r="T88" s="12" t="n"/>
      <c r="U88" s="12" t="n"/>
      <c r="V88" s="14">
        <f>IF($AN88="",IF($B88="","",$H88),IF(INDEX(職員マスタ!$B$6:$B$405,$AN88)="",$H88,INDEX(職員マスタ!$B$6:$B$405,$AN88)))</f>
        <v/>
      </c>
      <c r="W88" s="14">
        <f>IF($AN88="",IF($B88="","",$R88),IF(INDEX(職員マスタ!$C$6:$C$405,$AN88)="",$R88,INDEX(職員マスタ!$C$6:$C$405,$AN88)))</f>
        <v/>
      </c>
      <c r="X88" s="14">
        <f>IF($AO88="","","R"&amp;$C88&amp;"."&amp;$D88)</f>
        <v/>
      </c>
      <c r="Y88" s="15">
        <f>IF($AN88="","",IF(INDEX(職員マスタ!$K$6:$K$405,$AN88)="","",INDEX(職員マスタ!$K$6:$K$405,$AN88)))</f>
        <v/>
      </c>
      <c r="Z88" s="14">
        <f>IF(OR($E88="",$Y88=""),"",IF($E88&gt;=$Y88,"×",IF($E88&gt;=$Y88*設定!$C$5,"△","○")))</f>
        <v/>
      </c>
      <c r="AA88" s="15">
        <f>IF($Z88="","",IF($Z88="×",0,IF($Z88="○",ROUNDDOWN($E88*設定!$C$4,0),ROUNDDOWN($E88*ROUND((9*$Y88-9*$E88)/(10*$E88),4),0))))</f>
        <v/>
      </c>
      <c r="AB88" s="13" t="n"/>
      <c r="AC88" s="15">
        <f>IF($B88="","",IF($AB88&lt;&gt;"",$AB88,IF($AA88="","",IF($AA88&lt;=設定!$C$3,0,$AA88))))</f>
        <v/>
      </c>
      <c r="AD88" s="14">
        <f>IF($B88="","",IF(AND($AE88&lt;&gt;"",$AG88="",$AJ88=""),"保留中",IF($AJ88&lt;&gt;"",IF(N($AC88)&gt;0,"支給済","不支給"),IF($AC88="","要確認",IF($AC88=0,"不支給","未処理")))))</f>
        <v/>
      </c>
      <c r="AE88" s="12" t="n"/>
      <c r="AF88" s="11" t="n"/>
      <c r="AG88" s="11" t="n"/>
      <c r="AH88" s="11" t="n"/>
      <c r="AI88" s="14">
        <f>IF(AND($AD88="保留中",$AF88&lt;&gt;""),TODAY()-$AF88,"")</f>
        <v/>
      </c>
      <c r="AJ88" s="12" t="inlineStr">
        <is>
          <t>R7.9</t>
        </is>
      </c>
      <c r="AK88" s="14">
        <f>IF($B88="","",IF($AO88="","対象年月が未入力／","")&amp;IF($B88="","",IF($AN88="","職員マスタに未登録の職員番号／",IF($Y88="","標準報酬月額が未登録／","")&amp;IF(AND($AO88&lt;&gt;"",OR(AND(INDEX(職員マスタ!$G$6:$G$405,$AN88)&lt;&gt;"",INDEX(職員マスタ!$G$6:$G$405,$AN88)&gt;EOMONTH($AO88,0)),AND(INDEX(職員マスタ!$H$6:$H$405,$AN88)&lt;&gt;"",INDEX(職員マスタ!$H$6:$H$405,$AN88)&lt;$AO88))),"対象月が時短期間外／","")&amp;IF(AND(INDEX(職員マスタ!$F$6:$F$405,$AN88)&lt;&gt;"",$AO88&lt;&gt;"",INDEX(職員マスタ!$F$6:$F$405,$AN88)&lt;$AO88),"対象月に子が2歳到達済／","")&amp;IF(AND($H88&lt;&gt;"",INDEX(職員マスタ!$B$6:$B$405,$AN88)&lt;&gt;"",SUBSTITUTE(SUBSTITUTE($H88," ","")," ","")&lt;&gt;SUBSTITUTE(SUBSTITUTE(INDEX(職員マスタ!$B$6:$B$405,$AN88)," ","")," ","")),"氏名がマスタと相違／","")&amp;IF(AND($Q88&lt;&gt;"",INDEX(職員マスタ!$E$6:$E$405,$AN88)&lt;&gt;"",$Q88&lt;&gt;INDEX(職員マスタ!$E$6:$E$405,$AN88)),"子の生年月日がマスタと相違／","")&amp;IF(AND($L88&lt;&gt;"",INDEX(職員マスタ!$G$6:$G$405,$AN88)&lt;&gt;"",$L88&lt;&gt;INDEX(職員マスタ!$G$6:$G$405,$AN88)),"時短開始日がマスタと相違／","")&amp;IF(AND($M88&lt;&gt;"",INDEX(職員マスタ!$H$6:$H$405,$AN88)&lt;&gt;"",$M88&lt;&gt;INDEX(職員マスタ!$H$6:$H$405,$AN88)),"時短終了日がマスタと相違／","")))&amp;IF(AND($B88&lt;&gt;"",$E88=""),"報酬額が未入力／","")&amp;IF(N($U88)&gt;0,"申請書に入力エラーが残っています／","")&amp;IF(AND($B88&lt;&gt;"",$AO88&lt;&gt;""),IF(COUNTIFS($B$6:$B$3005,$B88,$C$6:$C$3005,$C88,$D$6:$D$3005,$D88)&gt;1,"同じ月の請求が重複しています／",""),"")&amp;IF(AND(N($E88)&gt;0,$Z88&lt;&gt;"",$Z88&lt;&gt;"×",$AC88=0,$AB88=""),"計算額が下限以下のため不支給／",""))</f>
        <v/>
      </c>
      <c r="AL88" s="12" t="n"/>
      <c r="AM88" s="14">
        <f>IF($AD88="保留中",COUNTIF($AD$6:$AD88,"保留中"),"")</f>
        <v/>
      </c>
      <c r="AN88" s="14">
        <f>IF($AO88="","",IF(SUMPRODUCT(MAX((職員マスタ!$A$6:$A$405=$B88)*(((職員マスタ!$G$6:$G$405="")+(職員マスタ!$G$6:$G$405&lt;=EOMONTH($AO88,0)))&gt;0)*(((職員マスタ!$H$6:$H$405="")+(職員マスタ!$H$6:$H$405&gt;=$AO88))&gt;0)*(ROW(職員マスタ!$A$6:$A$405)-5)))&gt;0,SUMPRODUCT(MAX((職員マスタ!$A$6:$A$405=$B88)*(((職員マスタ!$G$6:$G$405="")+(職員マスタ!$G$6:$G$405&lt;=EOMONTH($AO88,0)))&gt;0)*(((職員マスタ!$H$6:$H$405="")+(職員マスタ!$H$6:$H$405&gt;=$AO88))&gt;0)*(ROW(職員マスタ!$A$6:$A$405)-5))),IFERROR(MATCH($B88,職員マスタ!$A$6:$A$405,0),"")))</f>
        <v/>
      </c>
      <c r="AO88" s="16">
        <f>IF(OR($B88="",$C88="",$D88=""),"",DATE($C88+2018,$D88,1))</f>
        <v/>
      </c>
    </row>
    <row r="89">
      <c r="A89" s="11" t="n"/>
      <c r="B89" s="12" t="n">
        <v>6003057</v>
      </c>
      <c r="C89" s="12" t="n">
        <v>7</v>
      </c>
      <c r="D89" s="12" t="n">
        <v>8</v>
      </c>
      <c r="E89" s="13" t="n">
        <v>215640</v>
      </c>
      <c r="F89" s="12" t="n"/>
      <c r="G89" s="13" t="n"/>
      <c r="H89" s="12" t="n"/>
      <c r="I89" s="12" t="n"/>
      <c r="J89" s="12" t="n"/>
      <c r="K89" s="12" t="n"/>
      <c r="L89" s="11" t="n"/>
      <c r="M89" s="11" t="n"/>
      <c r="N89" s="11" t="n"/>
      <c r="O89" s="11" t="n"/>
      <c r="P89" s="12" t="n"/>
      <c r="Q89" s="11" t="n"/>
      <c r="R89" s="12" t="n"/>
      <c r="S89" s="11" t="n"/>
      <c r="T89" s="12" t="n"/>
      <c r="U89" s="12" t="n"/>
      <c r="V89" s="14">
        <f>IF($AN89="",IF($B89="","",$H89),IF(INDEX(職員マスタ!$B$6:$B$405,$AN89)="",$H89,INDEX(職員マスタ!$B$6:$B$405,$AN89)))</f>
        <v/>
      </c>
      <c r="W89" s="14">
        <f>IF($AN89="",IF($B89="","",$R89),IF(INDEX(職員マスタ!$C$6:$C$405,$AN89)="",$R89,INDEX(職員マスタ!$C$6:$C$405,$AN89)))</f>
        <v/>
      </c>
      <c r="X89" s="14">
        <f>IF($AO89="","","R"&amp;$C89&amp;"."&amp;$D89)</f>
        <v/>
      </c>
      <c r="Y89" s="15">
        <f>IF($AN89="","",IF(INDEX(職員マスタ!$K$6:$K$405,$AN89)="","",INDEX(職員マスタ!$K$6:$K$405,$AN89)))</f>
        <v/>
      </c>
      <c r="Z89" s="14">
        <f>IF(OR($E89="",$Y89=""),"",IF($E89&gt;=$Y89,"×",IF($E89&gt;=$Y89*設定!$C$5,"△","○")))</f>
        <v/>
      </c>
      <c r="AA89" s="15">
        <f>IF($Z89="","",IF($Z89="×",0,IF($Z89="○",ROUNDDOWN($E89*設定!$C$4,0),ROUNDDOWN($E89*ROUND((9*$Y89-9*$E89)/(10*$E89),4),0))))</f>
        <v/>
      </c>
      <c r="AB89" s="13" t="n"/>
      <c r="AC89" s="15">
        <f>IF($B89="","",IF($AB89&lt;&gt;"",$AB89,IF($AA89="","",IF($AA89&lt;=設定!$C$3,0,$AA89))))</f>
        <v/>
      </c>
      <c r="AD89" s="14">
        <f>IF($B89="","",IF(AND($AE89&lt;&gt;"",$AG89="",$AJ89=""),"保留中",IF($AJ89&lt;&gt;"",IF(N($AC89)&gt;0,"支給済","不支給"),IF($AC89="","要確認",IF($AC89=0,"不支給","未処理")))))</f>
        <v/>
      </c>
      <c r="AE89" s="12" t="n"/>
      <c r="AF89" s="11" t="n"/>
      <c r="AG89" s="11" t="n"/>
      <c r="AH89" s="11" t="n"/>
      <c r="AI89" s="14">
        <f>IF(AND($AD89="保留中",$AF89&lt;&gt;""),TODAY()-$AF89,"")</f>
        <v/>
      </c>
      <c r="AJ89" s="12" t="inlineStr">
        <is>
          <t>R7.10</t>
        </is>
      </c>
      <c r="AK89" s="14">
        <f>IF($B89="","",IF($AO89="","対象年月が未入力／","")&amp;IF($B89="","",IF($AN89="","職員マスタに未登録の職員番号／",IF($Y89="","標準報酬月額が未登録／","")&amp;IF(AND($AO89&lt;&gt;"",OR(AND(INDEX(職員マスタ!$G$6:$G$405,$AN89)&lt;&gt;"",INDEX(職員マスタ!$G$6:$G$405,$AN89)&gt;EOMONTH($AO89,0)),AND(INDEX(職員マスタ!$H$6:$H$405,$AN89)&lt;&gt;"",INDEX(職員マスタ!$H$6:$H$405,$AN89)&lt;$AO89))),"対象月が時短期間外／","")&amp;IF(AND(INDEX(職員マスタ!$F$6:$F$405,$AN89)&lt;&gt;"",$AO89&lt;&gt;"",INDEX(職員マスタ!$F$6:$F$405,$AN89)&lt;$AO89),"対象月に子が2歳到達済／","")&amp;IF(AND($H89&lt;&gt;"",INDEX(職員マスタ!$B$6:$B$405,$AN89)&lt;&gt;"",SUBSTITUTE(SUBSTITUTE($H89," ","")," ","")&lt;&gt;SUBSTITUTE(SUBSTITUTE(INDEX(職員マスタ!$B$6:$B$405,$AN89)," ","")," ","")),"氏名がマスタと相違／","")&amp;IF(AND($Q89&lt;&gt;"",INDEX(職員マスタ!$E$6:$E$405,$AN89)&lt;&gt;"",$Q89&lt;&gt;INDEX(職員マスタ!$E$6:$E$405,$AN89)),"子の生年月日がマスタと相違／","")&amp;IF(AND($L89&lt;&gt;"",INDEX(職員マスタ!$G$6:$G$405,$AN89)&lt;&gt;"",$L89&lt;&gt;INDEX(職員マスタ!$G$6:$G$405,$AN89)),"時短開始日がマスタと相違／","")&amp;IF(AND($M89&lt;&gt;"",INDEX(職員マスタ!$H$6:$H$405,$AN89)&lt;&gt;"",$M89&lt;&gt;INDEX(職員マスタ!$H$6:$H$405,$AN89)),"時短終了日がマスタと相違／","")))&amp;IF(AND($B89&lt;&gt;"",$E89=""),"報酬額が未入力／","")&amp;IF(N($U89)&gt;0,"申請書に入力エラーが残っています／","")&amp;IF(AND($B89&lt;&gt;"",$AO89&lt;&gt;""),IF(COUNTIFS($B$6:$B$3005,$B89,$C$6:$C$3005,$C89,$D$6:$D$3005,$D89)&gt;1,"同じ月の請求が重複しています／",""),"")&amp;IF(AND(N($E89)&gt;0,$Z89&lt;&gt;"",$Z89&lt;&gt;"×",$AC89=0,$AB89=""),"計算額が下限以下のため不支給／",""))</f>
        <v/>
      </c>
      <c r="AL89" s="12" t="n"/>
      <c r="AM89" s="14">
        <f>IF($AD89="保留中",COUNTIF($AD$6:$AD89,"保留中"),"")</f>
        <v/>
      </c>
      <c r="AN89" s="14">
        <f>IF($AO89="","",IF(SUMPRODUCT(MAX((職員マスタ!$A$6:$A$405=$B89)*(((職員マスタ!$G$6:$G$405="")+(職員マスタ!$G$6:$G$405&lt;=EOMONTH($AO89,0)))&gt;0)*(((職員マスタ!$H$6:$H$405="")+(職員マスタ!$H$6:$H$405&gt;=$AO89))&gt;0)*(ROW(職員マスタ!$A$6:$A$405)-5)))&gt;0,SUMPRODUCT(MAX((職員マスタ!$A$6:$A$405=$B89)*(((職員マスタ!$G$6:$G$405="")+(職員マスタ!$G$6:$G$405&lt;=EOMONTH($AO89,0)))&gt;0)*(((職員マスタ!$H$6:$H$405="")+(職員マスタ!$H$6:$H$405&gt;=$AO89))&gt;0)*(ROW(職員マスタ!$A$6:$A$405)-5))),IFERROR(MATCH($B89,職員マスタ!$A$6:$A$405,0),"")))</f>
        <v/>
      </c>
      <c r="AO89" s="16">
        <f>IF(OR($B89="",$C89="",$D89=""),"",DATE($C89+2018,$D89,1))</f>
        <v/>
      </c>
    </row>
    <row r="90">
      <c r="A90" s="11" t="n"/>
      <c r="B90" s="12" t="n">
        <v>6003057</v>
      </c>
      <c r="C90" s="12" t="n">
        <v>7</v>
      </c>
      <c r="D90" s="12" t="n">
        <v>9</v>
      </c>
      <c r="E90" s="13" t="n">
        <v>213486</v>
      </c>
      <c r="F90" s="12" t="n"/>
      <c r="G90" s="13" t="n"/>
      <c r="H90" s="12" t="n"/>
      <c r="I90" s="12" t="n"/>
      <c r="J90" s="12" t="n"/>
      <c r="K90" s="12" t="n"/>
      <c r="L90" s="11" t="n"/>
      <c r="M90" s="11" t="n"/>
      <c r="N90" s="11" t="n"/>
      <c r="O90" s="11" t="n"/>
      <c r="P90" s="12" t="n"/>
      <c r="Q90" s="11" t="n"/>
      <c r="R90" s="12" t="n"/>
      <c r="S90" s="11" t="n"/>
      <c r="T90" s="12" t="n"/>
      <c r="U90" s="12" t="n"/>
      <c r="V90" s="14">
        <f>IF($AN90="",IF($B90="","",$H90),IF(INDEX(職員マスタ!$B$6:$B$405,$AN90)="",$H90,INDEX(職員マスタ!$B$6:$B$405,$AN90)))</f>
        <v/>
      </c>
      <c r="W90" s="14">
        <f>IF($AN90="",IF($B90="","",$R90),IF(INDEX(職員マスタ!$C$6:$C$405,$AN90)="",$R90,INDEX(職員マスタ!$C$6:$C$405,$AN90)))</f>
        <v/>
      </c>
      <c r="X90" s="14">
        <f>IF($AO90="","","R"&amp;$C90&amp;"."&amp;$D90)</f>
        <v/>
      </c>
      <c r="Y90" s="15">
        <f>IF($AN90="","",IF(INDEX(職員マスタ!$K$6:$K$405,$AN90)="","",INDEX(職員マスタ!$K$6:$K$405,$AN90)))</f>
        <v/>
      </c>
      <c r="Z90" s="14">
        <f>IF(OR($E90="",$Y90=""),"",IF($E90&gt;=$Y90,"×",IF($E90&gt;=$Y90*設定!$C$5,"△","○")))</f>
        <v/>
      </c>
      <c r="AA90" s="15">
        <f>IF($Z90="","",IF($Z90="×",0,IF($Z90="○",ROUNDDOWN($E90*設定!$C$4,0),ROUNDDOWN($E90*ROUND((9*$Y90-9*$E90)/(10*$E90),4),0))))</f>
        <v/>
      </c>
      <c r="AB90" s="13" t="n"/>
      <c r="AC90" s="15">
        <f>IF($B90="","",IF($AB90&lt;&gt;"",$AB90,IF($AA90="","",IF($AA90&lt;=設定!$C$3,0,$AA90))))</f>
        <v/>
      </c>
      <c r="AD90" s="14">
        <f>IF($B90="","",IF(AND($AE90&lt;&gt;"",$AG90="",$AJ90=""),"保留中",IF($AJ90&lt;&gt;"",IF(N($AC90)&gt;0,"支給済","不支給"),IF($AC90="","要確認",IF($AC90=0,"不支給","未処理")))))</f>
        <v/>
      </c>
      <c r="AE90" s="12" t="n"/>
      <c r="AF90" s="11" t="n"/>
      <c r="AG90" s="11" t="n"/>
      <c r="AH90" s="11" t="n"/>
      <c r="AI90" s="14">
        <f>IF(AND($AD90="保留中",$AF90&lt;&gt;""),TODAY()-$AF90,"")</f>
        <v/>
      </c>
      <c r="AJ90" s="12" t="inlineStr">
        <is>
          <t>R8.1</t>
        </is>
      </c>
      <c r="AK90" s="14">
        <f>IF($B90="","",IF($AO90="","対象年月が未入力／","")&amp;IF($B90="","",IF($AN90="","職員マスタに未登録の職員番号／",IF($Y90="","標準報酬月額が未登録／","")&amp;IF(AND($AO90&lt;&gt;"",OR(AND(INDEX(職員マスタ!$G$6:$G$405,$AN90)&lt;&gt;"",INDEX(職員マスタ!$G$6:$G$405,$AN90)&gt;EOMONTH($AO90,0)),AND(INDEX(職員マスタ!$H$6:$H$405,$AN90)&lt;&gt;"",INDEX(職員マスタ!$H$6:$H$405,$AN90)&lt;$AO90))),"対象月が時短期間外／","")&amp;IF(AND(INDEX(職員マスタ!$F$6:$F$405,$AN90)&lt;&gt;"",$AO90&lt;&gt;"",INDEX(職員マスタ!$F$6:$F$405,$AN90)&lt;$AO90),"対象月に子が2歳到達済／","")&amp;IF(AND($H90&lt;&gt;"",INDEX(職員マスタ!$B$6:$B$405,$AN90)&lt;&gt;"",SUBSTITUTE(SUBSTITUTE($H90," ","")," ","")&lt;&gt;SUBSTITUTE(SUBSTITUTE(INDEX(職員マスタ!$B$6:$B$405,$AN90)," ","")," ","")),"氏名がマスタと相違／","")&amp;IF(AND($Q90&lt;&gt;"",INDEX(職員マスタ!$E$6:$E$405,$AN90)&lt;&gt;"",$Q90&lt;&gt;INDEX(職員マスタ!$E$6:$E$405,$AN90)),"子の生年月日がマスタと相違／","")&amp;IF(AND($L90&lt;&gt;"",INDEX(職員マスタ!$G$6:$G$405,$AN90)&lt;&gt;"",$L90&lt;&gt;INDEX(職員マスタ!$G$6:$G$405,$AN90)),"時短開始日がマスタと相違／","")&amp;IF(AND($M90&lt;&gt;"",INDEX(職員マスタ!$H$6:$H$405,$AN90)&lt;&gt;"",$M90&lt;&gt;INDEX(職員マスタ!$H$6:$H$405,$AN90)),"時短終了日がマスタと相違／","")))&amp;IF(AND($B90&lt;&gt;"",$E90=""),"報酬額が未入力／","")&amp;IF(N($U90)&gt;0,"申請書に入力エラーが残っています／","")&amp;IF(AND($B90&lt;&gt;"",$AO90&lt;&gt;""),IF(COUNTIFS($B$6:$B$3005,$B90,$C$6:$C$3005,$C90,$D$6:$D$3005,$D90)&gt;1,"同じ月の請求が重複しています／",""),"")&amp;IF(AND(N($E90)&gt;0,$Z90&lt;&gt;"",$Z90&lt;&gt;"×",$AC90=0,$AB90=""),"計算額が下限以下のため不支給／",""))</f>
        <v/>
      </c>
      <c r="AL90" s="12" t="n"/>
      <c r="AM90" s="14">
        <f>IF($AD90="保留中",COUNTIF($AD$6:$AD90,"保留中"),"")</f>
        <v/>
      </c>
      <c r="AN90" s="14">
        <f>IF($AO90="","",IF(SUMPRODUCT(MAX((職員マスタ!$A$6:$A$405=$B90)*(((職員マスタ!$G$6:$G$405="")+(職員マスタ!$G$6:$G$405&lt;=EOMONTH($AO90,0)))&gt;0)*(((職員マスタ!$H$6:$H$405="")+(職員マスタ!$H$6:$H$405&gt;=$AO90))&gt;0)*(ROW(職員マスタ!$A$6:$A$405)-5)))&gt;0,SUMPRODUCT(MAX((職員マスタ!$A$6:$A$405=$B90)*(((職員マスタ!$G$6:$G$405="")+(職員マスタ!$G$6:$G$405&lt;=EOMONTH($AO90,0)))&gt;0)*(((職員マスタ!$H$6:$H$405="")+(職員マスタ!$H$6:$H$405&gt;=$AO90))&gt;0)*(ROW(職員マスタ!$A$6:$A$405)-5))),IFERROR(MATCH($B90,職員マスタ!$A$6:$A$405,0),"")))</f>
        <v/>
      </c>
      <c r="AO90" s="16">
        <f>IF(OR($B90="",$C90="",$D90=""),"",DATE($C90+2018,$D90,1))</f>
        <v/>
      </c>
    </row>
    <row r="91">
      <c r="A91" s="11" t="n"/>
      <c r="B91" s="12" t="n">
        <v>6003057</v>
      </c>
      <c r="C91" s="12" t="n">
        <v>7</v>
      </c>
      <c r="D91" s="12" t="n">
        <v>10</v>
      </c>
      <c r="E91" s="13" t="n">
        <v>219948</v>
      </c>
      <c r="F91" s="12" t="n"/>
      <c r="G91" s="13" t="n"/>
      <c r="H91" s="12" t="n"/>
      <c r="I91" s="12" t="n"/>
      <c r="J91" s="12" t="n"/>
      <c r="K91" s="12" t="n"/>
      <c r="L91" s="11" t="n"/>
      <c r="M91" s="11" t="n"/>
      <c r="N91" s="11" t="n"/>
      <c r="O91" s="11" t="n"/>
      <c r="P91" s="12" t="n"/>
      <c r="Q91" s="11" t="n"/>
      <c r="R91" s="12" t="n"/>
      <c r="S91" s="11" t="n"/>
      <c r="T91" s="12" t="n"/>
      <c r="U91" s="12" t="n"/>
      <c r="V91" s="14">
        <f>IF($AN91="",IF($B91="","",$H91),IF(INDEX(職員マスタ!$B$6:$B$405,$AN91)="",$H91,INDEX(職員マスタ!$B$6:$B$405,$AN91)))</f>
        <v/>
      </c>
      <c r="W91" s="14">
        <f>IF($AN91="",IF($B91="","",$R91),IF(INDEX(職員マスタ!$C$6:$C$405,$AN91)="",$R91,INDEX(職員マスタ!$C$6:$C$405,$AN91)))</f>
        <v/>
      </c>
      <c r="X91" s="14">
        <f>IF($AO91="","","R"&amp;$C91&amp;"."&amp;$D91)</f>
        <v/>
      </c>
      <c r="Y91" s="15">
        <f>IF($AN91="","",IF(INDEX(職員マスタ!$K$6:$K$405,$AN91)="","",INDEX(職員マスタ!$K$6:$K$405,$AN91)))</f>
        <v/>
      </c>
      <c r="Z91" s="14">
        <f>IF(OR($E91="",$Y91=""),"",IF($E91&gt;=$Y91,"×",IF($E91&gt;=$Y91*設定!$C$5,"△","○")))</f>
        <v/>
      </c>
      <c r="AA91" s="15">
        <f>IF($Z91="","",IF($Z91="×",0,IF($Z91="○",ROUNDDOWN($E91*設定!$C$4,0),ROUNDDOWN($E91*ROUND((9*$Y91-9*$E91)/(10*$E91),4),0))))</f>
        <v/>
      </c>
      <c r="AB91" s="13" t="n"/>
      <c r="AC91" s="15">
        <f>IF($B91="","",IF($AB91&lt;&gt;"",$AB91,IF($AA91="","",IF($AA91&lt;=設定!$C$3,0,$AA91))))</f>
        <v/>
      </c>
      <c r="AD91" s="14">
        <f>IF($B91="","",IF(AND($AE91&lt;&gt;"",$AG91="",$AJ91=""),"保留中",IF($AJ91&lt;&gt;"",IF(N($AC91)&gt;0,"支給済","不支給"),IF($AC91="","要確認",IF($AC91=0,"不支給","未処理")))))</f>
        <v/>
      </c>
      <c r="AE91" s="12" t="n"/>
      <c r="AF91" s="11" t="n"/>
      <c r="AG91" s="11" t="n"/>
      <c r="AH91" s="11" t="n"/>
      <c r="AI91" s="14">
        <f>IF(AND($AD91="保留中",$AF91&lt;&gt;""),TODAY()-$AF91,"")</f>
        <v/>
      </c>
      <c r="AJ91" s="12" t="inlineStr">
        <is>
          <t>R8.1</t>
        </is>
      </c>
      <c r="AK91" s="14">
        <f>IF($B91="","",IF($AO91="","対象年月が未入力／","")&amp;IF($B91="","",IF($AN91="","職員マスタに未登録の職員番号／",IF($Y91="","標準報酬月額が未登録／","")&amp;IF(AND($AO91&lt;&gt;"",OR(AND(INDEX(職員マスタ!$G$6:$G$405,$AN91)&lt;&gt;"",INDEX(職員マスタ!$G$6:$G$405,$AN91)&gt;EOMONTH($AO91,0)),AND(INDEX(職員マスタ!$H$6:$H$405,$AN91)&lt;&gt;"",INDEX(職員マスタ!$H$6:$H$405,$AN91)&lt;$AO91))),"対象月が時短期間外／","")&amp;IF(AND(INDEX(職員マスタ!$F$6:$F$405,$AN91)&lt;&gt;"",$AO91&lt;&gt;"",INDEX(職員マスタ!$F$6:$F$405,$AN91)&lt;$AO91),"対象月に子が2歳到達済／","")&amp;IF(AND($H91&lt;&gt;"",INDEX(職員マスタ!$B$6:$B$405,$AN91)&lt;&gt;"",SUBSTITUTE(SUBSTITUTE($H91," ","")," ","")&lt;&gt;SUBSTITUTE(SUBSTITUTE(INDEX(職員マスタ!$B$6:$B$405,$AN91)," ","")," ","")),"氏名がマスタと相違／","")&amp;IF(AND($Q91&lt;&gt;"",INDEX(職員マスタ!$E$6:$E$405,$AN91)&lt;&gt;"",$Q91&lt;&gt;INDEX(職員マスタ!$E$6:$E$405,$AN91)),"子の生年月日がマスタと相違／","")&amp;IF(AND($L91&lt;&gt;"",INDEX(職員マスタ!$G$6:$G$405,$AN91)&lt;&gt;"",$L91&lt;&gt;INDEX(職員マスタ!$G$6:$G$405,$AN91)),"時短開始日がマスタと相違／","")&amp;IF(AND($M91&lt;&gt;"",INDEX(職員マスタ!$H$6:$H$405,$AN91)&lt;&gt;"",$M91&lt;&gt;INDEX(職員マスタ!$H$6:$H$405,$AN91)),"時短終了日がマスタと相違／","")))&amp;IF(AND($B91&lt;&gt;"",$E91=""),"報酬額が未入力／","")&amp;IF(N($U91)&gt;0,"申請書に入力エラーが残っています／","")&amp;IF(AND($B91&lt;&gt;"",$AO91&lt;&gt;""),IF(COUNTIFS($B$6:$B$3005,$B91,$C$6:$C$3005,$C91,$D$6:$D$3005,$D91)&gt;1,"同じ月の請求が重複しています／",""),"")&amp;IF(AND(N($E91)&gt;0,$Z91&lt;&gt;"",$Z91&lt;&gt;"×",$AC91=0,$AB91=""),"計算額が下限以下のため不支給／",""))</f>
        <v/>
      </c>
      <c r="AL91" s="12" t="n"/>
      <c r="AM91" s="14">
        <f>IF($AD91="保留中",COUNTIF($AD$6:$AD91,"保留中"),"")</f>
        <v/>
      </c>
      <c r="AN91" s="14">
        <f>IF($AO91="","",IF(SUMPRODUCT(MAX((職員マスタ!$A$6:$A$405=$B91)*(((職員マスタ!$G$6:$G$405="")+(職員マスタ!$G$6:$G$405&lt;=EOMONTH($AO91,0)))&gt;0)*(((職員マスタ!$H$6:$H$405="")+(職員マスタ!$H$6:$H$405&gt;=$AO91))&gt;0)*(ROW(職員マスタ!$A$6:$A$405)-5)))&gt;0,SUMPRODUCT(MAX((職員マスタ!$A$6:$A$405=$B91)*(((職員マスタ!$G$6:$G$405="")+(職員マスタ!$G$6:$G$405&lt;=EOMONTH($AO91,0)))&gt;0)*(((職員マスタ!$H$6:$H$405="")+(職員マスタ!$H$6:$H$405&gt;=$AO91))&gt;0)*(ROW(職員マスタ!$A$6:$A$405)-5))),IFERROR(MATCH($B91,職員マスタ!$A$6:$A$405,0),"")))</f>
        <v/>
      </c>
      <c r="AO91" s="16">
        <f>IF(OR($B91="",$C91="",$D91=""),"",DATE($C91+2018,$D91,1))</f>
        <v/>
      </c>
    </row>
    <row r="92">
      <c r="A92" s="11" t="n"/>
      <c r="B92" s="12" t="n">
        <v>6003057</v>
      </c>
      <c r="C92" s="12" t="n">
        <v>7</v>
      </c>
      <c r="D92" s="12" t="n">
        <v>11</v>
      </c>
      <c r="E92" s="13" t="n">
        <v>215640</v>
      </c>
      <c r="F92" s="12" t="n"/>
      <c r="G92" s="13" t="n"/>
      <c r="H92" s="12" t="n"/>
      <c r="I92" s="12" t="n"/>
      <c r="J92" s="12" t="n"/>
      <c r="K92" s="12" t="n"/>
      <c r="L92" s="11" t="n"/>
      <c r="M92" s="11" t="n"/>
      <c r="N92" s="11" t="n"/>
      <c r="O92" s="11" t="n"/>
      <c r="P92" s="12" t="n"/>
      <c r="Q92" s="11" t="n"/>
      <c r="R92" s="12" t="n"/>
      <c r="S92" s="11" t="n"/>
      <c r="T92" s="12" t="n"/>
      <c r="U92" s="12" t="n"/>
      <c r="V92" s="14">
        <f>IF($AN92="",IF($B92="","",$H92),IF(INDEX(職員マスタ!$B$6:$B$405,$AN92)="",$H92,INDEX(職員マスタ!$B$6:$B$405,$AN92)))</f>
        <v/>
      </c>
      <c r="W92" s="14">
        <f>IF($AN92="",IF($B92="","",$R92),IF(INDEX(職員マスタ!$C$6:$C$405,$AN92)="",$R92,INDEX(職員マスタ!$C$6:$C$405,$AN92)))</f>
        <v/>
      </c>
      <c r="X92" s="14">
        <f>IF($AO92="","","R"&amp;$C92&amp;"."&amp;$D92)</f>
        <v/>
      </c>
      <c r="Y92" s="15">
        <f>IF($AN92="","",IF(INDEX(職員マスタ!$K$6:$K$405,$AN92)="","",INDEX(職員マスタ!$K$6:$K$405,$AN92)))</f>
        <v/>
      </c>
      <c r="Z92" s="14">
        <f>IF(OR($E92="",$Y92=""),"",IF($E92&gt;=$Y92,"×",IF($E92&gt;=$Y92*設定!$C$5,"△","○")))</f>
        <v/>
      </c>
      <c r="AA92" s="15">
        <f>IF($Z92="","",IF($Z92="×",0,IF($Z92="○",ROUNDDOWN($E92*設定!$C$4,0),ROUNDDOWN($E92*ROUND((9*$Y92-9*$E92)/(10*$E92),4),0))))</f>
        <v/>
      </c>
      <c r="AB92" s="13" t="n"/>
      <c r="AC92" s="15">
        <f>IF($B92="","",IF($AB92&lt;&gt;"",$AB92,IF($AA92="","",IF($AA92&lt;=設定!$C$3,0,$AA92))))</f>
        <v/>
      </c>
      <c r="AD92" s="14">
        <f>IF($B92="","",IF(AND($AE92&lt;&gt;"",$AG92="",$AJ92=""),"保留中",IF($AJ92&lt;&gt;"",IF(N($AC92)&gt;0,"支給済","不支給"),IF($AC92="","要確認",IF($AC92=0,"不支給","未処理")))))</f>
        <v/>
      </c>
      <c r="AE92" s="12" t="n"/>
      <c r="AF92" s="11" t="n"/>
      <c r="AG92" s="11" t="n"/>
      <c r="AH92" s="11" t="n"/>
      <c r="AI92" s="14">
        <f>IF(AND($AD92="保留中",$AF92&lt;&gt;""),TODAY()-$AF92,"")</f>
        <v/>
      </c>
      <c r="AJ92" s="12" t="inlineStr">
        <is>
          <t>R8.1</t>
        </is>
      </c>
      <c r="AK92" s="14">
        <f>IF($B92="","",IF($AO92="","対象年月が未入力／","")&amp;IF($B92="","",IF($AN92="","職員マスタに未登録の職員番号／",IF($Y92="","標準報酬月額が未登録／","")&amp;IF(AND($AO92&lt;&gt;"",OR(AND(INDEX(職員マスタ!$G$6:$G$405,$AN92)&lt;&gt;"",INDEX(職員マスタ!$G$6:$G$405,$AN92)&gt;EOMONTH($AO92,0)),AND(INDEX(職員マスタ!$H$6:$H$405,$AN92)&lt;&gt;"",INDEX(職員マスタ!$H$6:$H$405,$AN92)&lt;$AO92))),"対象月が時短期間外／","")&amp;IF(AND(INDEX(職員マスタ!$F$6:$F$405,$AN92)&lt;&gt;"",$AO92&lt;&gt;"",INDEX(職員マスタ!$F$6:$F$405,$AN92)&lt;$AO92),"対象月に子が2歳到達済／","")&amp;IF(AND($H92&lt;&gt;"",INDEX(職員マスタ!$B$6:$B$405,$AN92)&lt;&gt;"",SUBSTITUTE(SUBSTITUTE($H92," ","")," ","")&lt;&gt;SUBSTITUTE(SUBSTITUTE(INDEX(職員マスタ!$B$6:$B$405,$AN92)," ","")," ","")),"氏名がマスタと相違／","")&amp;IF(AND($Q92&lt;&gt;"",INDEX(職員マスタ!$E$6:$E$405,$AN92)&lt;&gt;"",$Q92&lt;&gt;INDEX(職員マスタ!$E$6:$E$405,$AN92)),"子の生年月日がマスタと相違／","")&amp;IF(AND($L92&lt;&gt;"",INDEX(職員マスタ!$G$6:$G$405,$AN92)&lt;&gt;"",$L92&lt;&gt;INDEX(職員マスタ!$G$6:$G$405,$AN92)),"時短開始日がマスタと相違／","")&amp;IF(AND($M92&lt;&gt;"",INDEX(職員マスタ!$H$6:$H$405,$AN92)&lt;&gt;"",$M92&lt;&gt;INDEX(職員マスタ!$H$6:$H$405,$AN92)),"時短終了日がマスタと相違／","")))&amp;IF(AND($B92&lt;&gt;"",$E92=""),"報酬額が未入力／","")&amp;IF(N($U92)&gt;0,"申請書に入力エラーが残っています／","")&amp;IF(AND($B92&lt;&gt;"",$AO92&lt;&gt;""),IF(COUNTIFS($B$6:$B$3005,$B92,$C$6:$C$3005,$C92,$D$6:$D$3005,$D92)&gt;1,"同じ月の請求が重複しています／",""),"")&amp;IF(AND(N($E92)&gt;0,$Z92&lt;&gt;"",$Z92&lt;&gt;"×",$AC92=0,$AB92=""),"計算額が下限以下のため不支給／",""))</f>
        <v/>
      </c>
      <c r="AL92" s="12" t="n"/>
      <c r="AM92" s="14">
        <f>IF($AD92="保留中",COUNTIF($AD$6:$AD92,"保留中"),"")</f>
        <v/>
      </c>
      <c r="AN92" s="14">
        <f>IF($AO92="","",IF(SUMPRODUCT(MAX((職員マスタ!$A$6:$A$405=$B92)*(((職員マスタ!$G$6:$G$405="")+(職員マスタ!$G$6:$G$405&lt;=EOMONTH($AO92,0)))&gt;0)*(((職員マスタ!$H$6:$H$405="")+(職員マスタ!$H$6:$H$405&gt;=$AO92))&gt;0)*(ROW(職員マスタ!$A$6:$A$405)-5)))&gt;0,SUMPRODUCT(MAX((職員マスタ!$A$6:$A$405=$B92)*(((職員マスタ!$G$6:$G$405="")+(職員マスタ!$G$6:$G$405&lt;=EOMONTH($AO92,0)))&gt;0)*(((職員マスタ!$H$6:$H$405="")+(職員マスタ!$H$6:$H$405&gt;=$AO92))&gt;0)*(ROW(職員マスタ!$A$6:$A$405)-5))),IFERROR(MATCH($B92,職員マスタ!$A$6:$A$405,0),"")))</f>
        <v/>
      </c>
      <c r="AO92" s="16">
        <f>IF(OR($B92="",$C92="",$D92=""),"",DATE($C92+2018,$D92,1))</f>
        <v/>
      </c>
    </row>
    <row r="93">
      <c r="A93" s="11" t="n"/>
      <c r="B93" s="12" t="n">
        <v>6003057</v>
      </c>
      <c r="C93" s="12" t="n">
        <v>7</v>
      </c>
      <c r="D93" s="12" t="n">
        <v>12</v>
      </c>
      <c r="E93" s="13" t="n">
        <v>227463</v>
      </c>
      <c r="F93" s="12" t="n"/>
      <c r="G93" s="13" t="n"/>
      <c r="H93" s="12" t="n"/>
      <c r="I93" s="12" t="n"/>
      <c r="J93" s="12" t="n"/>
      <c r="K93" s="12" t="n"/>
      <c r="L93" s="11" t="n"/>
      <c r="M93" s="11" t="n"/>
      <c r="N93" s="11" t="n"/>
      <c r="O93" s="11" t="n"/>
      <c r="P93" s="12" t="n"/>
      <c r="Q93" s="11" t="n"/>
      <c r="R93" s="12" t="n"/>
      <c r="S93" s="11" t="n"/>
      <c r="T93" s="12" t="n"/>
      <c r="U93" s="12" t="n"/>
      <c r="V93" s="14">
        <f>IF($AN93="",IF($B93="","",$H93),IF(INDEX(職員マスタ!$B$6:$B$405,$AN93)="",$H93,INDEX(職員マスタ!$B$6:$B$405,$AN93)))</f>
        <v/>
      </c>
      <c r="W93" s="14">
        <f>IF($AN93="",IF($B93="","",$R93),IF(INDEX(職員マスタ!$C$6:$C$405,$AN93)="",$R93,INDEX(職員マスタ!$C$6:$C$405,$AN93)))</f>
        <v/>
      </c>
      <c r="X93" s="14">
        <f>IF($AO93="","","R"&amp;$C93&amp;"."&amp;$D93)</f>
        <v/>
      </c>
      <c r="Y93" s="15">
        <f>IF($AN93="","",IF(INDEX(職員マスタ!$K$6:$K$405,$AN93)="","",INDEX(職員マスタ!$K$6:$K$405,$AN93)))</f>
        <v/>
      </c>
      <c r="Z93" s="14">
        <f>IF(OR($E93="",$Y93=""),"",IF($E93&gt;=$Y93,"×",IF($E93&gt;=$Y93*設定!$C$5,"△","○")))</f>
        <v/>
      </c>
      <c r="AA93" s="15">
        <f>IF($Z93="","",IF($Z93="×",0,IF($Z93="○",ROUNDDOWN($E93*設定!$C$4,0),ROUNDDOWN($E93*ROUND((9*$Y93-9*$E93)/(10*$E93),4),0))))</f>
        <v/>
      </c>
      <c r="AB93" s="13" t="n"/>
      <c r="AC93" s="15">
        <f>IF($B93="","",IF($AB93&lt;&gt;"",$AB93,IF($AA93="","",IF($AA93&lt;=設定!$C$3,0,$AA93))))</f>
        <v/>
      </c>
      <c r="AD93" s="14">
        <f>IF($B93="","",IF(AND($AE93&lt;&gt;"",$AG93="",$AJ93=""),"保留中",IF($AJ93&lt;&gt;"",IF(N($AC93)&gt;0,"支給済","不支給"),IF($AC93="","要確認",IF($AC93=0,"不支給","未処理")))))</f>
        <v/>
      </c>
      <c r="AE93" s="12" t="n"/>
      <c r="AF93" s="11" t="n"/>
      <c r="AG93" s="11" t="n"/>
      <c r="AH93" s="11" t="n"/>
      <c r="AI93" s="14">
        <f>IF(AND($AD93="保留中",$AF93&lt;&gt;""),TODAY()-$AF93,"")</f>
        <v/>
      </c>
      <c r="AJ93" s="12" t="inlineStr">
        <is>
          <t>R8.2</t>
        </is>
      </c>
      <c r="AK93" s="14">
        <f>IF($B93="","",IF($AO93="","対象年月が未入力／","")&amp;IF($B93="","",IF($AN93="","職員マスタに未登録の職員番号／",IF($Y93="","標準報酬月額が未登録／","")&amp;IF(AND($AO93&lt;&gt;"",OR(AND(INDEX(職員マスタ!$G$6:$G$405,$AN93)&lt;&gt;"",INDEX(職員マスタ!$G$6:$G$405,$AN93)&gt;EOMONTH($AO93,0)),AND(INDEX(職員マスタ!$H$6:$H$405,$AN93)&lt;&gt;"",INDEX(職員マスタ!$H$6:$H$405,$AN93)&lt;$AO93))),"対象月が時短期間外／","")&amp;IF(AND(INDEX(職員マスタ!$F$6:$F$405,$AN93)&lt;&gt;"",$AO93&lt;&gt;"",INDEX(職員マスタ!$F$6:$F$405,$AN93)&lt;$AO93),"対象月に子が2歳到達済／","")&amp;IF(AND($H93&lt;&gt;"",INDEX(職員マスタ!$B$6:$B$405,$AN93)&lt;&gt;"",SUBSTITUTE(SUBSTITUTE($H93," ","")," ","")&lt;&gt;SUBSTITUTE(SUBSTITUTE(INDEX(職員マスタ!$B$6:$B$405,$AN93)," ","")," ","")),"氏名がマスタと相違／","")&amp;IF(AND($Q93&lt;&gt;"",INDEX(職員マスタ!$E$6:$E$405,$AN93)&lt;&gt;"",$Q93&lt;&gt;INDEX(職員マスタ!$E$6:$E$405,$AN93)),"子の生年月日がマスタと相違／","")&amp;IF(AND($L93&lt;&gt;"",INDEX(職員マスタ!$G$6:$G$405,$AN93)&lt;&gt;"",$L93&lt;&gt;INDEX(職員マスタ!$G$6:$G$405,$AN93)),"時短開始日がマスタと相違／","")&amp;IF(AND($M93&lt;&gt;"",INDEX(職員マスタ!$H$6:$H$405,$AN93)&lt;&gt;"",$M93&lt;&gt;INDEX(職員マスタ!$H$6:$H$405,$AN93)),"時短終了日がマスタと相違／","")))&amp;IF(AND($B93&lt;&gt;"",$E93=""),"報酬額が未入力／","")&amp;IF(N($U93)&gt;0,"申請書に入力エラーが残っています／","")&amp;IF(AND($B93&lt;&gt;"",$AO93&lt;&gt;""),IF(COUNTIFS($B$6:$B$3005,$B93,$C$6:$C$3005,$C93,$D$6:$D$3005,$D93)&gt;1,"同じ月の請求が重複しています／",""),"")&amp;IF(AND(N($E93)&gt;0,$Z93&lt;&gt;"",$Z93&lt;&gt;"×",$AC93=0,$AB93=""),"計算額が下限以下のため不支給／",""))</f>
        <v/>
      </c>
      <c r="AL93" s="12" t="n"/>
      <c r="AM93" s="14">
        <f>IF($AD93="保留中",COUNTIF($AD$6:$AD93,"保留中"),"")</f>
        <v/>
      </c>
      <c r="AN93" s="14">
        <f>IF($AO93="","",IF(SUMPRODUCT(MAX((職員マスタ!$A$6:$A$405=$B93)*(((職員マスタ!$G$6:$G$405="")+(職員マスタ!$G$6:$G$405&lt;=EOMONTH($AO93,0)))&gt;0)*(((職員マスタ!$H$6:$H$405="")+(職員マスタ!$H$6:$H$405&gt;=$AO93))&gt;0)*(ROW(職員マスタ!$A$6:$A$405)-5)))&gt;0,SUMPRODUCT(MAX((職員マスタ!$A$6:$A$405=$B93)*(((職員マスタ!$G$6:$G$405="")+(職員マスタ!$G$6:$G$405&lt;=EOMONTH($AO93,0)))&gt;0)*(((職員マスタ!$H$6:$H$405="")+(職員マスタ!$H$6:$H$405&gt;=$AO93))&gt;0)*(ROW(職員マスタ!$A$6:$A$405)-5))),IFERROR(MATCH($B93,職員マスタ!$A$6:$A$405,0),"")))</f>
        <v/>
      </c>
      <c r="AO93" s="16">
        <f>IF(OR($B93="",$C93="",$D93=""),"",DATE($C93+2018,$D93,1))</f>
        <v/>
      </c>
    </row>
    <row r="94">
      <c r="A94" s="11" t="n"/>
      <c r="B94" s="12" t="n">
        <v>6003057</v>
      </c>
      <c r="C94" s="12" t="n">
        <v>8</v>
      </c>
      <c r="D94" s="12" t="n">
        <v>1</v>
      </c>
      <c r="E94" s="13" t="n">
        <v>220776</v>
      </c>
      <c r="F94" s="12" t="n"/>
      <c r="G94" s="13" t="n"/>
      <c r="H94" s="12" t="n"/>
      <c r="I94" s="12" t="n"/>
      <c r="J94" s="12" t="n"/>
      <c r="K94" s="12" t="n"/>
      <c r="L94" s="11" t="n"/>
      <c r="M94" s="11" t="n"/>
      <c r="N94" s="11" t="n"/>
      <c r="O94" s="11" t="n"/>
      <c r="P94" s="12" t="n"/>
      <c r="Q94" s="11" t="n"/>
      <c r="R94" s="12" t="n"/>
      <c r="S94" s="11" t="n"/>
      <c r="T94" s="12" t="n"/>
      <c r="U94" s="12" t="n"/>
      <c r="V94" s="14">
        <f>IF($AN94="",IF($B94="","",$H94),IF(INDEX(職員マスタ!$B$6:$B$405,$AN94)="",$H94,INDEX(職員マスタ!$B$6:$B$405,$AN94)))</f>
        <v/>
      </c>
      <c r="W94" s="14">
        <f>IF($AN94="",IF($B94="","",$R94),IF(INDEX(職員マスタ!$C$6:$C$405,$AN94)="",$R94,INDEX(職員マスタ!$C$6:$C$405,$AN94)))</f>
        <v/>
      </c>
      <c r="X94" s="14">
        <f>IF($AO94="","","R"&amp;$C94&amp;"."&amp;$D94)</f>
        <v/>
      </c>
      <c r="Y94" s="15">
        <f>IF($AN94="","",IF(INDEX(職員マスタ!$K$6:$K$405,$AN94)="","",INDEX(職員マスタ!$K$6:$K$405,$AN94)))</f>
        <v/>
      </c>
      <c r="Z94" s="14">
        <f>IF(OR($E94="",$Y94=""),"",IF($E94&gt;=$Y94,"×",IF($E94&gt;=$Y94*設定!$C$5,"△","○")))</f>
        <v/>
      </c>
      <c r="AA94" s="15">
        <f>IF($Z94="","",IF($Z94="×",0,IF($Z94="○",ROUNDDOWN($E94*設定!$C$4,0),ROUNDDOWN($E94*ROUND((9*$Y94-9*$E94)/(10*$E94),4),0))))</f>
        <v/>
      </c>
      <c r="AB94" s="13" t="n"/>
      <c r="AC94" s="15">
        <f>IF($B94="","",IF($AB94&lt;&gt;"",$AB94,IF($AA94="","",IF($AA94&lt;=設定!$C$3,0,$AA94))))</f>
        <v/>
      </c>
      <c r="AD94" s="14">
        <f>IF($B94="","",IF(AND($AE94&lt;&gt;"",$AG94="",$AJ94=""),"保留中",IF($AJ94&lt;&gt;"",IF(N($AC94)&gt;0,"支給済","不支給"),IF($AC94="","要確認",IF($AC94=0,"不支給","未処理")))))</f>
        <v/>
      </c>
      <c r="AE94" s="12" t="n"/>
      <c r="AF94" s="11" t="n"/>
      <c r="AG94" s="11" t="n"/>
      <c r="AH94" s="11" t="n"/>
      <c r="AI94" s="14">
        <f>IF(AND($AD94="保留中",$AF94&lt;&gt;""),TODAY()-$AF94,"")</f>
        <v/>
      </c>
      <c r="AJ94" s="12" t="inlineStr">
        <is>
          <t>R8.3</t>
        </is>
      </c>
      <c r="AK94" s="14">
        <f>IF($B94="","",IF($AO94="","対象年月が未入力／","")&amp;IF($B94="","",IF($AN94="","職員マスタに未登録の職員番号／",IF($Y94="","標準報酬月額が未登録／","")&amp;IF(AND($AO94&lt;&gt;"",OR(AND(INDEX(職員マスタ!$G$6:$G$405,$AN94)&lt;&gt;"",INDEX(職員マスタ!$G$6:$G$405,$AN94)&gt;EOMONTH($AO94,0)),AND(INDEX(職員マスタ!$H$6:$H$405,$AN94)&lt;&gt;"",INDEX(職員マスタ!$H$6:$H$405,$AN94)&lt;$AO94))),"対象月が時短期間外／","")&amp;IF(AND(INDEX(職員マスタ!$F$6:$F$405,$AN94)&lt;&gt;"",$AO94&lt;&gt;"",INDEX(職員マスタ!$F$6:$F$405,$AN94)&lt;$AO94),"対象月に子が2歳到達済／","")&amp;IF(AND($H94&lt;&gt;"",INDEX(職員マスタ!$B$6:$B$405,$AN94)&lt;&gt;"",SUBSTITUTE(SUBSTITUTE($H94," ","")," ","")&lt;&gt;SUBSTITUTE(SUBSTITUTE(INDEX(職員マスタ!$B$6:$B$405,$AN94)," ","")," ","")),"氏名がマスタと相違／","")&amp;IF(AND($Q94&lt;&gt;"",INDEX(職員マスタ!$E$6:$E$405,$AN94)&lt;&gt;"",$Q94&lt;&gt;INDEX(職員マスタ!$E$6:$E$405,$AN94)),"子の生年月日がマスタと相違／","")&amp;IF(AND($L94&lt;&gt;"",INDEX(職員マスタ!$G$6:$G$405,$AN94)&lt;&gt;"",$L94&lt;&gt;INDEX(職員マスタ!$G$6:$G$405,$AN94)),"時短開始日がマスタと相違／","")&amp;IF(AND($M94&lt;&gt;"",INDEX(職員マスタ!$H$6:$H$405,$AN94)&lt;&gt;"",$M94&lt;&gt;INDEX(職員マスタ!$H$6:$H$405,$AN94)),"時短終了日がマスタと相違／","")))&amp;IF(AND($B94&lt;&gt;"",$E94=""),"報酬額が未入力／","")&amp;IF(N($U94)&gt;0,"申請書に入力エラーが残っています／","")&amp;IF(AND($B94&lt;&gt;"",$AO94&lt;&gt;""),IF(COUNTIFS($B$6:$B$3005,$B94,$C$6:$C$3005,$C94,$D$6:$D$3005,$D94)&gt;1,"同じ月の請求が重複しています／",""),"")&amp;IF(AND(N($E94)&gt;0,$Z94&lt;&gt;"",$Z94&lt;&gt;"×",$AC94=0,$AB94=""),"計算額が下限以下のため不支給／",""))</f>
        <v/>
      </c>
      <c r="AL94" s="12" t="n"/>
      <c r="AM94" s="14">
        <f>IF($AD94="保留中",COUNTIF($AD$6:$AD94,"保留中"),"")</f>
        <v/>
      </c>
      <c r="AN94" s="14">
        <f>IF($AO94="","",IF(SUMPRODUCT(MAX((職員マスタ!$A$6:$A$405=$B94)*(((職員マスタ!$G$6:$G$405="")+(職員マスタ!$G$6:$G$405&lt;=EOMONTH($AO94,0)))&gt;0)*(((職員マスタ!$H$6:$H$405="")+(職員マスタ!$H$6:$H$405&gt;=$AO94))&gt;0)*(ROW(職員マスタ!$A$6:$A$405)-5)))&gt;0,SUMPRODUCT(MAX((職員マスタ!$A$6:$A$405=$B94)*(((職員マスタ!$G$6:$G$405="")+(職員マスタ!$G$6:$G$405&lt;=EOMONTH($AO94,0)))&gt;0)*(((職員マスタ!$H$6:$H$405="")+(職員マスタ!$H$6:$H$405&gt;=$AO94))&gt;0)*(ROW(職員マスタ!$A$6:$A$405)-5))),IFERROR(MATCH($B94,職員マスタ!$A$6:$A$405,0),"")))</f>
        <v/>
      </c>
      <c r="AO94" s="16">
        <f>IF(OR($B94="",$C94="",$D94=""),"",DATE($C94+2018,$D94,1))</f>
        <v/>
      </c>
    </row>
    <row r="95">
      <c r="A95" s="11" t="n"/>
      <c r="B95" s="12" t="n">
        <v>6003057</v>
      </c>
      <c r="C95" s="12" t="n">
        <v>8</v>
      </c>
      <c r="D95" s="12" t="n">
        <v>2</v>
      </c>
      <c r="E95" s="13" t="n">
        <v>224567</v>
      </c>
      <c r="F95" s="12" t="n"/>
      <c r="G95" s="13" t="n"/>
      <c r="H95" s="12" t="n"/>
      <c r="I95" s="12" t="n"/>
      <c r="J95" s="12" t="n"/>
      <c r="K95" s="12" t="n"/>
      <c r="L95" s="11" t="n"/>
      <c r="M95" s="11" t="n"/>
      <c r="N95" s="11" t="n"/>
      <c r="O95" s="11" t="n"/>
      <c r="P95" s="12" t="n"/>
      <c r="Q95" s="11" t="n"/>
      <c r="R95" s="12" t="n"/>
      <c r="S95" s="11" t="n"/>
      <c r="T95" s="12" t="n"/>
      <c r="U95" s="12" t="n"/>
      <c r="V95" s="14">
        <f>IF($AN95="",IF($B95="","",$H95),IF(INDEX(職員マスタ!$B$6:$B$405,$AN95)="",$H95,INDEX(職員マスタ!$B$6:$B$405,$AN95)))</f>
        <v/>
      </c>
      <c r="W95" s="14">
        <f>IF($AN95="",IF($B95="","",$R95),IF(INDEX(職員マスタ!$C$6:$C$405,$AN95)="",$R95,INDEX(職員マスタ!$C$6:$C$405,$AN95)))</f>
        <v/>
      </c>
      <c r="X95" s="14">
        <f>IF($AO95="","","R"&amp;$C95&amp;"."&amp;$D95)</f>
        <v/>
      </c>
      <c r="Y95" s="15">
        <f>IF($AN95="","",IF(INDEX(職員マスタ!$K$6:$K$405,$AN95)="","",INDEX(職員マスタ!$K$6:$K$405,$AN95)))</f>
        <v/>
      </c>
      <c r="Z95" s="14">
        <f>IF(OR($E95="",$Y95=""),"",IF($E95&gt;=$Y95,"×",IF($E95&gt;=$Y95*設定!$C$5,"△","○")))</f>
        <v/>
      </c>
      <c r="AA95" s="15">
        <f>IF($Z95="","",IF($Z95="×",0,IF($Z95="○",ROUNDDOWN($E95*設定!$C$4,0),ROUNDDOWN($E95*ROUND((9*$Y95-9*$E95)/(10*$E95),4),0))))</f>
        <v/>
      </c>
      <c r="AB95" s="13" t="n"/>
      <c r="AC95" s="15">
        <f>IF($B95="","",IF($AB95&lt;&gt;"",$AB95,IF($AA95="","",IF($AA95&lt;=設定!$C$3,0,$AA95))))</f>
        <v/>
      </c>
      <c r="AD95" s="14">
        <f>IF($B95="","",IF(AND($AE95&lt;&gt;"",$AG95="",$AJ95=""),"保留中",IF($AJ95&lt;&gt;"",IF(N($AC95)&gt;0,"支給済","不支給"),IF($AC95="","要確認",IF($AC95=0,"不支給","未処理")))))</f>
        <v/>
      </c>
      <c r="AE95" s="12" t="n"/>
      <c r="AF95" s="11" t="n"/>
      <c r="AG95" s="11" t="n"/>
      <c r="AH95" s="11" t="n"/>
      <c r="AI95" s="14">
        <f>IF(AND($AD95="保留中",$AF95&lt;&gt;""),TODAY()-$AF95,"")</f>
        <v/>
      </c>
      <c r="AJ95" s="12" t="inlineStr">
        <is>
          <t>R8.4</t>
        </is>
      </c>
      <c r="AK95" s="14">
        <f>IF($B95="","",IF($AO95="","対象年月が未入力／","")&amp;IF($B95="","",IF($AN95="","職員マスタに未登録の職員番号／",IF($Y95="","標準報酬月額が未登録／","")&amp;IF(AND($AO95&lt;&gt;"",OR(AND(INDEX(職員マスタ!$G$6:$G$405,$AN95)&lt;&gt;"",INDEX(職員マスタ!$G$6:$G$405,$AN95)&gt;EOMONTH($AO95,0)),AND(INDEX(職員マスタ!$H$6:$H$405,$AN95)&lt;&gt;"",INDEX(職員マスタ!$H$6:$H$405,$AN95)&lt;$AO95))),"対象月が時短期間外／","")&amp;IF(AND(INDEX(職員マスタ!$F$6:$F$405,$AN95)&lt;&gt;"",$AO95&lt;&gt;"",INDEX(職員マスタ!$F$6:$F$405,$AN95)&lt;$AO95),"対象月に子が2歳到達済／","")&amp;IF(AND($H95&lt;&gt;"",INDEX(職員マスタ!$B$6:$B$405,$AN95)&lt;&gt;"",SUBSTITUTE(SUBSTITUTE($H95," ","")," ","")&lt;&gt;SUBSTITUTE(SUBSTITUTE(INDEX(職員マスタ!$B$6:$B$405,$AN95)," ","")," ","")),"氏名がマスタと相違／","")&amp;IF(AND($Q95&lt;&gt;"",INDEX(職員マスタ!$E$6:$E$405,$AN95)&lt;&gt;"",$Q95&lt;&gt;INDEX(職員マスタ!$E$6:$E$405,$AN95)),"子の生年月日がマスタと相違／","")&amp;IF(AND($L95&lt;&gt;"",INDEX(職員マスタ!$G$6:$G$405,$AN95)&lt;&gt;"",$L95&lt;&gt;INDEX(職員マスタ!$G$6:$G$405,$AN95)),"時短開始日がマスタと相違／","")&amp;IF(AND($M95&lt;&gt;"",INDEX(職員マスタ!$H$6:$H$405,$AN95)&lt;&gt;"",$M95&lt;&gt;INDEX(職員マスタ!$H$6:$H$405,$AN95)),"時短終了日がマスタと相違／","")))&amp;IF(AND($B95&lt;&gt;"",$E95=""),"報酬額が未入力／","")&amp;IF(N($U95)&gt;0,"申請書に入力エラーが残っています／","")&amp;IF(AND($B95&lt;&gt;"",$AO95&lt;&gt;""),IF(COUNTIFS($B$6:$B$3005,$B95,$C$6:$C$3005,$C95,$D$6:$D$3005,$D95)&gt;1,"同じ月の請求が重複しています／",""),"")&amp;IF(AND(N($E95)&gt;0,$Z95&lt;&gt;"",$Z95&lt;&gt;"×",$AC95=0,$AB95=""),"計算額が下限以下のため不支給／",""))</f>
        <v/>
      </c>
      <c r="AL95" s="12" t="n"/>
      <c r="AM95" s="14">
        <f>IF($AD95="保留中",COUNTIF($AD$6:$AD95,"保留中"),"")</f>
        <v/>
      </c>
      <c r="AN95" s="14">
        <f>IF($AO95="","",IF(SUMPRODUCT(MAX((職員マスタ!$A$6:$A$405=$B95)*(((職員マスタ!$G$6:$G$405="")+(職員マスタ!$G$6:$G$405&lt;=EOMONTH($AO95,0)))&gt;0)*(((職員マスタ!$H$6:$H$405="")+(職員マスタ!$H$6:$H$405&gt;=$AO95))&gt;0)*(ROW(職員マスタ!$A$6:$A$405)-5)))&gt;0,SUMPRODUCT(MAX((職員マスタ!$A$6:$A$405=$B95)*(((職員マスタ!$G$6:$G$405="")+(職員マスタ!$G$6:$G$405&lt;=EOMONTH($AO95,0)))&gt;0)*(((職員マスタ!$H$6:$H$405="")+(職員マスタ!$H$6:$H$405&gt;=$AO95))&gt;0)*(ROW(職員マスタ!$A$6:$A$405)-5))),IFERROR(MATCH($B95,職員マスタ!$A$6:$A$405,0),"")))</f>
        <v/>
      </c>
      <c r="AO95" s="16">
        <f>IF(OR($B95="",$C95="",$D95=""),"",DATE($C95+2018,$D95,1))</f>
        <v/>
      </c>
    </row>
    <row r="96">
      <c r="A96" s="11" t="n"/>
      <c r="B96" s="12" t="n">
        <v>6003057</v>
      </c>
      <c r="C96" s="12" t="n">
        <v>8</v>
      </c>
      <c r="D96" s="12" t="n">
        <v>3</v>
      </c>
      <c r="E96" s="13" t="n">
        <v>220776</v>
      </c>
      <c r="F96" s="12" t="n"/>
      <c r="G96" s="13" t="n"/>
      <c r="H96" s="12" t="n"/>
      <c r="I96" s="12" t="n"/>
      <c r="J96" s="12" t="n"/>
      <c r="K96" s="12" t="n"/>
      <c r="L96" s="11" t="n"/>
      <c r="M96" s="11" t="n"/>
      <c r="N96" s="11" t="n"/>
      <c r="O96" s="11" t="n"/>
      <c r="P96" s="12" t="n"/>
      <c r="Q96" s="11" t="n"/>
      <c r="R96" s="12" t="n"/>
      <c r="S96" s="11" t="n"/>
      <c r="T96" s="12" t="n"/>
      <c r="U96" s="12" t="n"/>
      <c r="V96" s="14">
        <f>IF($AN96="",IF($B96="","",$H96),IF(INDEX(職員マスタ!$B$6:$B$405,$AN96)="",$H96,INDEX(職員マスタ!$B$6:$B$405,$AN96)))</f>
        <v/>
      </c>
      <c r="W96" s="14">
        <f>IF($AN96="",IF($B96="","",$R96),IF(INDEX(職員マスタ!$C$6:$C$405,$AN96)="",$R96,INDEX(職員マスタ!$C$6:$C$405,$AN96)))</f>
        <v/>
      </c>
      <c r="X96" s="14">
        <f>IF($AO96="","","R"&amp;$C96&amp;"."&amp;$D96)</f>
        <v/>
      </c>
      <c r="Y96" s="15">
        <f>IF($AN96="","",IF(INDEX(職員マスタ!$K$6:$K$405,$AN96)="","",INDEX(職員マスタ!$K$6:$K$405,$AN96)))</f>
        <v/>
      </c>
      <c r="Z96" s="14">
        <f>IF(OR($E96="",$Y96=""),"",IF($E96&gt;=$Y96,"×",IF($E96&gt;=$Y96*設定!$C$5,"△","○")))</f>
        <v/>
      </c>
      <c r="AA96" s="15">
        <f>IF($Z96="","",IF($Z96="×",0,IF($Z96="○",ROUNDDOWN($E96*設定!$C$4,0),ROUNDDOWN($E96*ROUND((9*$Y96-9*$E96)/(10*$E96),4),0))))</f>
        <v/>
      </c>
      <c r="AB96" s="13" t="n"/>
      <c r="AC96" s="15">
        <f>IF($B96="","",IF($AB96&lt;&gt;"",$AB96,IF($AA96="","",IF($AA96&lt;=設定!$C$3,0,$AA96))))</f>
        <v/>
      </c>
      <c r="AD96" s="14">
        <f>IF($B96="","",IF(AND($AE96&lt;&gt;"",$AG96="",$AJ96=""),"保留中",IF($AJ96&lt;&gt;"",IF(N($AC96)&gt;0,"支給済","不支給"),IF($AC96="","要確認",IF($AC96=0,"不支給","未処理")))))</f>
        <v/>
      </c>
      <c r="AE96" s="12" t="n"/>
      <c r="AF96" s="11" t="n"/>
      <c r="AG96" s="11" t="n"/>
      <c r="AH96" s="11" t="n"/>
      <c r="AI96" s="14">
        <f>IF(AND($AD96="保留中",$AF96&lt;&gt;""),TODAY()-$AF96,"")</f>
        <v/>
      </c>
      <c r="AJ96" s="12" t="inlineStr">
        <is>
          <t>R8.5</t>
        </is>
      </c>
      <c r="AK96" s="14">
        <f>IF($B96="","",IF($AO96="","対象年月が未入力／","")&amp;IF($B96="","",IF($AN96="","職員マスタに未登録の職員番号／",IF($Y96="","標準報酬月額が未登録／","")&amp;IF(AND($AO96&lt;&gt;"",OR(AND(INDEX(職員マスタ!$G$6:$G$405,$AN96)&lt;&gt;"",INDEX(職員マスタ!$G$6:$G$405,$AN96)&gt;EOMONTH($AO96,0)),AND(INDEX(職員マスタ!$H$6:$H$405,$AN96)&lt;&gt;"",INDEX(職員マスタ!$H$6:$H$405,$AN96)&lt;$AO96))),"対象月が時短期間外／","")&amp;IF(AND(INDEX(職員マスタ!$F$6:$F$405,$AN96)&lt;&gt;"",$AO96&lt;&gt;"",INDEX(職員マスタ!$F$6:$F$405,$AN96)&lt;$AO96),"対象月に子が2歳到達済／","")&amp;IF(AND($H96&lt;&gt;"",INDEX(職員マスタ!$B$6:$B$405,$AN96)&lt;&gt;"",SUBSTITUTE(SUBSTITUTE($H96," ","")," ","")&lt;&gt;SUBSTITUTE(SUBSTITUTE(INDEX(職員マスタ!$B$6:$B$405,$AN96)," ","")," ","")),"氏名がマスタと相違／","")&amp;IF(AND($Q96&lt;&gt;"",INDEX(職員マスタ!$E$6:$E$405,$AN96)&lt;&gt;"",$Q96&lt;&gt;INDEX(職員マスタ!$E$6:$E$405,$AN96)),"子の生年月日がマスタと相違／","")&amp;IF(AND($L96&lt;&gt;"",INDEX(職員マスタ!$G$6:$G$405,$AN96)&lt;&gt;"",$L96&lt;&gt;INDEX(職員マスタ!$G$6:$G$405,$AN96)),"時短開始日がマスタと相違／","")&amp;IF(AND($M96&lt;&gt;"",INDEX(職員マスタ!$H$6:$H$405,$AN96)&lt;&gt;"",$M96&lt;&gt;INDEX(職員マスタ!$H$6:$H$405,$AN96)),"時短終了日がマスタと相違／","")))&amp;IF(AND($B96&lt;&gt;"",$E96=""),"報酬額が未入力／","")&amp;IF(N($U96)&gt;0,"申請書に入力エラーが残っています／","")&amp;IF(AND($B96&lt;&gt;"",$AO96&lt;&gt;""),IF(COUNTIFS($B$6:$B$3005,$B96,$C$6:$C$3005,$C96,$D$6:$D$3005,$D96)&gt;1,"同じ月の請求が重複しています／",""),"")&amp;IF(AND(N($E96)&gt;0,$Z96&lt;&gt;"",$Z96&lt;&gt;"×",$AC96=0,$AB96=""),"計算額が下限以下のため不支給／",""))</f>
        <v/>
      </c>
      <c r="AL96" s="12" t="n"/>
      <c r="AM96" s="14">
        <f>IF($AD96="保留中",COUNTIF($AD$6:$AD96,"保留中"),"")</f>
        <v/>
      </c>
      <c r="AN96" s="14">
        <f>IF($AO96="","",IF(SUMPRODUCT(MAX((職員マスタ!$A$6:$A$405=$B96)*(((職員マスタ!$G$6:$G$405="")+(職員マスタ!$G$6:$G$405&lt;=EOMONTH($AO96,0)))&gt;0)*(((職員マスタ!$H$6:$H$405="")+(職員マスタ!$H$6:$H$405&gt;=$AO96))&gt;0)*(ROW(職員マスタ!$A$6:$A$405)-5)))&gt;0,SUMPRODUCT(MAX((職員マスタ!$A$6:$A$405=$B96)*(((職員マスタ!$G$6:$G$405="")+(職員マスタ!$G$6:$G$405&lt;=EOMONTH($AO96,0)))&gt;0)*(((職員マスタ!$H$6:$H$405="")+(職員マスタ!$H$6:$H$405&gt;=$AO96))&gt;0)*(ROW(職員マスタ!$A$6:$A$405)-5))),IFERROR(MATCH($B96,職員マスタ!$A$6:$A$405,0),"")))</f>
        <v/>
      </c>
      <c r="AO96" s="16">
        <f>IF(OR($B96="",$C96="",$D96=""),"",DATE($C96+2018,$D96,1))</f>
        <v/>
      </c>
    </row>
    <row r="97">
      <c r="A97" s="11" t="n"/>
      <c r="B97" s="12" t="n">
        <v>6003057</v>
      </c>
      <c r="C97" s="12" t="n">
        <v>8</v>
      </c>
      <c r="D97" s="12" t="n">
        <v>4</v>
      </c>
      <c r="E97" s="13" t="n">
        <v>184044</v>
      </c>
      <c r="F97" s="12" t="n"/>
      <c r="G97" s="13" t="n"/>
      <c r="H97" s="12" t="n"/>
      <c r="I97" s="12" t="n"/>
      <c r="J97" s="12" t="n"/>
      <c r="K97" s="12" t="n"/>
      <c r="L97" s="11" t="n"/>
      <c r="M97" s="11" t="n"/>
      <c r="N97" s="11" t="n"/>
      <c r="O97" s="11" t="n"/>
      <c r="P97" s="12" t="n"/>
      <c r="Q97" s="11" t="n"/>
      <c r="R97" s="12" t="n"/>
      <c r="S97" s="11" t="n"/>
      <c r="T97" s="12" t="n"/>
      <c r="U97" s="12" t="n"/>
      <c r="V97" s="14">
        <f>IF($AN97="",IF($B97="","",$H97),IF(INDEX(職員マスタ!$B$6:$B$405,$AN97)="",$H97,INDEX(職員マスタ!$B$6:$B$405,$AN97)))</f>
        <v/>
      </c>
      <c r="W97" s="14">
        <f>IF($AN97="",IF($B97="","",$R97),IF(INDEX(職員マスタ!$C$6:$C$405,$AN97)="",$R97,INDEX(職員マスタ!$C$6:$C$405,$AN97)))</f>
        <v/>
      </c>
      <c r="X97" s="14">
        <f>IF($AO97="","","R"&amp;$C97&amp;"."&amp;$D97)</f>
        <v/>
      </c>
      <c r="Y97" s="15">
        <f>IF($AN97="","",IF(INDEX(職員マスタ!$K$6:$K$405,$AN97)="","",INDEX(職員マスタ!$K$6:$K$405,$AN97)))</f>
        <v/>
      </c>
      <c r="Z97" s="14">
        <f>IF(OR($E97="",$Y97=""),"",IF($E97&gt;=$Y97,"×",IF($E97&gt;=$Y97*設定!$C$5,"△","○")))</f>
        <v/>
      </c>
      <c r="AA97" s="15">
        <f>IF($Z97="","",IF($Z97="×",0,IF($Z97="○",ROUNDDOWN($E97*設定!$C$4,0),ROUNDDOWN($E97*ROUND((9*$Y97-9*$E97)/(10*$E97),4),0))))</f>
        <v/>
      </c>
      <c r="AB97" s="13" t="n"/>
      <c r="AC97" s="15">
        <f>IF($B97="","",IF($AB97&lt;&gt;"",$AB97,IF($AA97="","",IF($AA97&lt;=設定!$C$3,0,$AA97))))</f>
        <v/>
      </c>
      <c r="AD97" s="14">
        <f>IF($B97="","",IF(AND($AE97&lt;&gt;"",$AG97="",$AJ97=""),"保留中",IF($AJ97&lt;&gt;"",IF(N($AC97)&gt;0,"支給済","不支給"),IF($AC97="","要確認",IF($AC97=0,"不支給","未処理")))))</f>
        <v/>
      </c>
      <c r="AE97" s="12" t="n"/>
      <c r="AF97" s="11" t="n"/>
      <c r="AG97" s="11" t="n"/>
      <c r="AH97" s="11" t="n"/>
      <c r="AI97" s="14">
        <f>IF(AND($AD97="保留中",$AF97&lt;&gt;""),TODAY()-$AF97,"")</f>
        <v/>
      </c>
      <c r="AJ97" s="12" t="inlineStr">
        <is>
          <t>R8.10</t>
        </is>
      </c>
      <c r="AK97" s="14">
        <f>IF($B97="","",IF($AO97="","対象年月が未入力／","")&amp;IF($B97="","",IF($AN97="","職員マスタに未登録の職員番号／",IF($Y97="","標準報酬月額が未登録／","")&amp;IF(AND($AO97&lt;&gt;"",OR(AND(INDEX(職員マスタ!$G$6:$G$405,$AN97)&lt;&gt;"",INDEX(職員マスタ!$G$6:$G$405,$AN97)&gt;EOMONTH($AO97,0)),AND(INDEX(職員マスタ!$H$6:$H$405,$AN97)&lt;&gt;"",INDEX(職員マスタ!$H$6:$H$405,$AN97)&lt;$AO97))),"対象月が時短期間外／","")&amp;IF(AND(INDEX(職員マスタ!$F$6:$F$405,$AN97)&lt;&gt;"",$AO97&lt;&gt;"",INDEX(職員マスタ!$F$6:$F$405,$AN97)&lt;$AO97),"対象月に子が2歳到達済／","")&amp;IF(AND($H97&lt;&gt;"",INDEX(職員マスタ!$B$6:$B$405,$AN97)&lt;&gt;"",SUBSTITUTE(SUBSTITUTE($H97," ","")," ","")&lt;&gt;SUBSTITUTE(SUBSTITUTE(INDEX(職員マスタ!$B$6:$B$405,$AN97)," ","")," ","")),"氏名がマスタと相違／","")&amp;IF(AND($Q97&lt;&gt;"",INDEX(職員マスタ!$E$6:$E$405,$AN97)&lt;&gt;"",$Q97&lt;&gt;INDEX(職員マスタ!$E$6:$E$405,$AN97)),"子の生年月日がマスタと相違／","")&amp;IF(AND($L97&lt;&gt;"",INDEX(職員マスタ!$G$6:$G$405,$AN97)&lt;&gt;"",$L97&lt;&gt;INDEX(職員マスタ!$G$6:$G$405,$AN97)),"時短開始日がマスタと相違／","")&amp;IF(AND($M97&lt;&gt;"",INDEX(職員マスタ!$H$6:$H$405,$AN97)&lt;&gt;"",$M97&lt;&gt;INDEX(職員マスタ!$H$6:$H$405,$AN97)),"時短終了日がマスタと相違／","")))&amp;IF(AND($B97&lt;&gt;"",$E97=""),"報酬額が未入力／","")&amp;IF(N($U97)&gt;0,"申請書に入力エラーが残っています／","")&amp;IF(AND($B97&lt;&gt;"",$AO97&lt;&gt;""),IF(COUNTIFS($B$6:$B$3005,$B97,$C$6:$C$3005,$C97,$D$6:$D$3005,$D97)&gt;1,"同じ月の請求が重複しています／",""),"")&amp;IF(AND(N($E97)&gt;0,$Z97&lt;&gt;"",$Z97&lt;&gt;"×",$AC97=0,$AB97=""),"計算額が下限以下のため不支給／",""))</f>
        <v/>
      </c>
      <c r="AL97" s="12" t="n"/>
      <c r="AM97" s="14">
        <f>IF($AD97="保留中",COUNTIF($AD$6:$AD97,"保留中"),"")</f>
        <v/>
      </c>
      <c r="AN97" s="14">
        <f>IF($AO97="","",IF(SUMPRODUCT(MAX((職員マスタ!$A$6:$A$405=$B97)*(((職員マスタ!$G$6:$G$405="")+(職員マスタ!$G$6:$G$405&lt;=EOMONTH($AO97,0)))&gt;0)*(((職員マスタ!$H$6:$H$405="")+(職員マスタ!$H$6:$H$405&gt;=$AO97))&gt;0)*(ROW(職員マスタ!$A$6:$A$405)-5)))&gt;0,SUMPRODUCT(MAX((職員マスタ!$A$6:$A$405=$B97)*(((職員マスタ!$G$6:$G$405="")+(職員マスタ!$G$6:$G$405&lt;=EOMONTH($AO97,0)))&gt;0)*(((職員マスタ!$H$6:$H$405="")+(職員マスタ!$H$6:$H$405&gt;=$AO97))&gt;0)*(ROW(職員マスタ!$A$6:$A$405)-5))),IFERROR(MATCH($B97,職員マスタ!$A$6:$A$405,0),"")))</f>
        <v/>
      </c>
      <c r="AO97" s="16">
        <f>IF(OR($B97="",$C97="",$D97=""),"",DATE($C97+2018,$D97,1))</f>
        <v/>
      </c>
    </row>
    <row r="98">
      <c r="A98" s="11" t="n"/>
      <c r="B98" s="12" t="n">
        <v>6100309</v>
      </c>
      <c r="C98" s="12" t="n">
        <v>7</v>
      </c>
      <c r="D98" s="12" t="n">
        <v>7</v>
      </c>
      <c r="E98" s="13" t="n">
        <v>373987</v>
      </c>
      <c r="F98" s="12" t="n"/>
      <c r="G98" s="13" t="n"/>
      <c r="H98" s="12" t="n"/>
      <c r="I98" s="12" t="n"/>
      <c r="J98" s="12" t="n"/>
      <c r="K98" s="12" t="n"/>
      <c r="L98" s="11" t="n"/>
      <c r="M98" s="11" t="n"/>
      <c r="N98" s="11" t="n"/>
      <c r="O98" s="11" t="n"/>
      <c r="P98" s="12" t="n"/>
      <c r="Q98" s="11" t="n"/>
      <c r="R98" s="12" t="n"/>
      <c r="S98" s="11" t="n"/>
      <c r="T98" s="12" t="n"/>
      <c r="U98" s="12" t="n"/>
      <c r="V98" s="14">
        <f>IF($AN98="",IF($B98="","",$H98),IF(INDEX(職員マスタ!$B$6:$B$405,$AN98)="",$H98,INDEX(職員マスタ!$B$6:$B$405,$AN98)))</f>
        <v/>
      </c>
      <c r="W98" s="14">
        <f>IF($AN98="",IF($B98="","",$R98),IF(INDEX(職員マスタ!$C$6:$C$405,$AN98)="",$R98,INDEX(職員マスタ!$C$6:$C$405,$AN98)))</f>
        <v/>
      </c>
      <c r="X98" s="14">
        <f>IF($AO98="","","R"&amp;$C98&amp;"."&amp;$D98)</f>
        <v/>
      </c>
      <c r="Y98" s="15">
        <f>IF($AN98="","",IF(INDEX(職員マスタ!$K$6:$K$405,$AN98)="","",INDEX(職員マスタ!$K$6:$K$405,$AN98)))</f>
        <v/>
      </c>
      <c r="Z98" s="14">
        <f>IF(OR($E98="",$Y98=""),"",IF($E98&gt;=$Y98,"×",IF($E98&gt;=$Y98*設定!$C$5,"△","○")))</f>
        <v/>
      </c>
      <c r="AA98" s="15">
        <f>IF($Z98="","",IF($Z98="×",0,IF($Z98="○",ROUNDDOWN($E98*設定!$C$4,0),ROUNDDOWN($E98*ROUND((9*$Y98-9*$E98)/(10*$E98),4),0))))</f>
        <v/>
      </c>
      <c r="AB98" s="13" t="n"/>
      <c r="AC98" s="15">
        <f>IF($B98="","",IF($AB98&lt;&gt;"",$AB98,IF($AA98="","",IF($AA98&lt;=設定!$C$3,0,$AA98))))</f>
        <v/>
      </c>
      <c r="AD98" s="14">
        <f>IF($B98="","",IF(AND($AE98&lt;&gt;"",$AG98="",$AJ98=""),"保留中",IF($AJ98&lt;&gt;"",IF(N($AC98)&gt;0,"支給済","不支給"),IF($AC98="","要確認",IF($AC98=0,"不支給","未処理")))))</f>
        <v/>
      </c>
      <c r="AE98" s="12" t="n"/>
      <c r="AF98" s="11" t="n"/>
      <c r="AG98" s="11" t="n"/>
      <c r="AH98" s="11" t="n"/>
      <c r="AI98" s="14">
        <f>IF(AND($AD98="保留中",$AF98&lt;&gt;""),TODAY()-$AF98,"")</f>
        <v/>
      </c>
      <c r="AJ98" s="12" t="inlineStr">
        <is>
          <t>R7.9</t>
        </is>
      </c>
      <c r="AK98" s="14">
        <f>IF($B98="","",IF($AO98="","対象年月が未入力／","")&amp;IF($B98="","",IF($AN98="","職員マスタに未登録の職員番号／",IF($Y98="","標準報酬月額が未登録／","")&amp;IF(AND($AO98&lt;&gt;"",OR(AND(INDEX(職員マスタ!$G$6:$G$405,$AN98)&lt;&gt;"",INDEX(職員マスタ!$G$6:$G$405,$AN98)&gt;EOMONTH($AO98,0)),AND(INDEX(職員マスタ!$H$6:$H$405,$AN98)&lt;&gt;"",INDEX(職員マスタ!$H$6:$H$405,$AN98)&lt;$AO98))),"対象月が時短期間外／","")&amp;IF(AND(INDEX(職員マスタ!$F$6:$F$405,$AN98)&lt;&gt;"",$AO98&lt;&gt;"",INDEX(職員マスタ!$F$6:$F$405,$AN98)&lt;$AO98),"対象月に子が2歳到達済／","")&amp;IF(AND($H98&lt;&gt;"",INDEX(職員マスタ!$B$6:$B$405,$AN98)&lt;&gt;"",SUBSTITUTE(SUBSTITUTE($H98," ","")," ","")&lt;&gt;SUBSTITUTE(SUBSTITUTE(INDEX(職員マスタ!$B$6:$B$405,$AN98)," ","")," ","")),"氏名がマスタと相違／","")&amp;IF(AND($Q98&lt;&gt;"",INDEX(職員マスタ!$E$6:$E$405,$AN98)&lt;&gt;"",$Q98&lt;&gt;INDEX(職員マスタ!$E$6:$E$405,$AN98)),"子の生年月日がマスタと相違／","")&amp;IF(AND($L98&lt;&gt;"",INDEX(職員マスタ!$G$6:$G$405,$AN98)&lt;&gt;"",$L98&lt;&gt;INDEX(職員マスタ!$G$6:$G$405,$AN98)),"時短開始日がマスタと相違／","")&amp;IF(AND($M98&lt;&gt;"",INDEX(職員マスタ!$H$6:$H$405,$AN98)&lt;&gt;"",$M98&lt;&gt;INDEX(職員マスタ!$H$6:$H$405,$AN98)),"時短終了日がマスタと相違／","")))&amp;IF(AND($B98&lt;&gt;"",$E98=""),"報酬額が未入力／","")&amp;IF(N($U98)&gt;0,"申請書に入力エラーが残っています／","")&amp;IF(AND($B98&lt;&gt;"",$AO98&lt;&gt;""),IF(COUNTIFS($B$6:$B$3005,$B98,$C$6:$C$3005,$C98,$D$6:$D$3005,$D98)&gt;1,"同じ月の請求が重複しています／",""),"")&amp;IF(AND(N($E98)&gt;0,$Z98&lt;&gt;"",$Z98&lt;&gt;"×",$AC98=0,$AB98=""),"計算額が下限以下のため不支給／",""))</f>
        <v/>
      </c>
      <c r="AL98" s="12" t="n"/>
      <c r="AM98" s="14">
        <f>IF($AD98="保留中",COUNTIF($AD$6:$AD98,"保留中"),"")</f>
        <v/>
      </c>
      <c r="AN98" s="14">
        <f>IF($AO98="","",IF(SUMPRODUCT(MAX((職員マスタ!$A$6:$A$405=$B98)*(((職員マスタ!$G$6:$G$405="")+(職員マスタ!$G$6:$G$405&lt;=EOMONTH($AO98,0)))&gt;0)*(((職員マスタ!$H$6:$H$405="")+(職員マスタ!$H$6:$H$405&gt;=$AO98))&gt;0)*(ROW(職員マスタ!$A$6:$A$405)-5)))&gt;0,SUMPRODUCT(MAX((職員マスタ!$A$6:$A$405=$B98)*(((職員マスタ!$G$6:$G$405="")+(職員マスタ!$G$6:$G$405&lt;=EOMONTH($AO98,0)))&gt;0)*(((職員マスタ!$H$6:$H$405="")+(職員マスタ!$H$6:$H$405&gt;=$AO98))&gt;0)*(ROW(職員マスタ!$A$6:$A$405)-5))),IFERROR(MATCH($B98,職員マスタ!$A$6:$A$405,0),"")))</f>
        <v/>
      </c>
      <c r="AO98" s="16">
        <f>IF(OR($B98="",$C98="",$D98=""),"",DATE($C98+2018,$D98,1))</f>
        <v/>
      </c>
    </row>
    <row r="99">
      <c r="A99" s="11" t="n"/>
      <c r="B99" s="12" t="n">
        <v>6100309</v>
      </c>
      <c r="C99" s="12" t="n">
        <v>7</v>
      </c>
      <c r="D99" s="12" t="n">
        <v>8</v>
      </c>
      <c r="E99" s="13" t="n">
        <v>367219</v>
      </c>
      <c r="F99" s="12" t="n"/>
      <c r="G99" s="13" t="n"/>
      <c r="H99" s="12" t="n"/>
      <c r="I99" s="12" t="n"/>
      <c r="J99" s="12" t="n"/>
      <c r="K99" s="12" t="n"/>
      <c r="L99" s="11" t="n"/>
      <c r="M99" s="11" t="n"/>
      <c r="N99" s="11" t="n"/>
      <c r="O99" s="11" t="n"/>
      <c r="P99" s="12" t="n"/>
      <c r="Q99" s="11" t="n"/>
      <c r="R99" s="12" t="n"/>
      <c r="S99" s="11" t="n"/>
      <c r="T99" s="12" t="n"/>
      <c r="U99" s="12" t="n"/>
      <c r="V99" s="14">
        <f>IF($AN99="",IF($B99="","",$H99),IF(INDEX(職員マスタ!$B$6:$B$405,$AN99)="",$H99,INDEX(職員マスタ!$B$6:$B$405,$AN99)))</f>
        <v/>
      </c>
      <c r="W99" s="14">
        <f>IF($AN99="",IF($B99="","",$R99),IF(INDEX(職員マスタ!$C$6:$C$405,$AN99)="",$R99,INDEX(職員マスタ!$C$6:$C$405,$AN99)))</f>
        <v/>
      </c>
      <c r="X99" s="14">
        <f>IF($AO99="","","R"&amp;$C99&amp;"."&amp;$D99)</f>
        <v/>
      </c>
      <c r="Y99" s="15">
        <f>IF($AN99="","",IF(INDEX(職員マスタ!$K$6:$K$405,$AN99)="","",INDEX(職員マスタ!$K$6:$K$405,$AN99)))</f>
        <v/>
      </c>
      <c r="Z99" s="14">
        <f>IF(OR($E99="",$Y99=""),"",IF($E99&gt;=$Y99,"×",IF($E99&gt;=$Y99*設定!$C$5,"△","○")))</f>
        <v/>
      </c>
      <c r="AA99" s="15">
        <f>IF($Z99="","",IF($Z99="×",0,IF($Z99="○",ROUNDDOWN($E99*設定!$C$4,0),ROUNDDOWN($E99*ROUND((9*$Y99-9*$E99)/(10*$E99),4),0))))</f>
        <v/>
      </c>
      <c r="AB99" s="13" t="n"/>
      <c r="AC99" s="15">
        <f>IF($B99="","",IF($AB99&lt;&gt;"",$AB99,IF($AA99="","",IF($AA99&lt;=設定!$C$3,0,$AA99))))</f>
        <v/>
      </c>
      <c r="AD99" s="14">
        <f>IF($B99="","",IF(AND($AE99&lt;&gt;"",$AG99="",$AJ99=""),"保留中",IF($AJ99&lt;&gt;"",IF(N($AC99)&gt;0,"支給済","不支給"),IF($AC99="","要確認",IF($AC99=0,"不支給","未処理")))))</f>
        <v/>
      </c>
      <c r="AE99" s="12" t="n"/>
      <c r="AF99" s="11" t="n"/>
      <c r="AG99" s="11" t="n"/>
      <c r="AH99" s="11" t="n"/>
      <c r="AI99" s="14">
        <f>IF(AND($AD99="保留中",$AF99&lt;&gt;""),TODAY()-$AF99,"")</f>
        <v/>
      </c>
      <c r="AJ99" s="12" t="inlineStr">
        <is>
          <t>R7.12</t>
        </is>
      </c>
      <c r="AK99" s="14">
        <f>IF($B99="","",IF($AO99="","対象年月が未入力／","")&amp;IF($B99="","",IF($AN99="","職員マスタに未登録の職員番号／",IF($Y99="","標準報酬月額が未登録／","")&amp;IF(AND($AO99&lt;&gt;"",OR(AND(INDEX(職員マスタ!$G$6:$G$405,$AN99)&lt;&gt;"",INDEX(職員マスタ!$G$6:$G$405,$AN99)&gt;EOMONTH($AO99,0)),AND(INDEX(職員マスタ!$H$6:$H$405,$AN99)&lt;&gt;"",INDEX(職員マスタ!$H$6:$H$405,$AN99)&lt;$AO99))),"対象月が時短期間外／","")&amp;IF(AND(INDEX(職員マスタ!$F$6:$F$405,$AN99)&lt;&gt;"",$AO99&lt;&gt;"",INDEX(職員マスタ!$F$6:$F$405,$AN99)&lt;$AO99),"対象月に子が2歳到達済／","")&amp;IF(AND($H99&lt;&gt;"",INDEX(職員マスタ!$B$6:$B$405,$AN99)&lt;&gt;"",SUBSTITUTE(SUBSTITUTE($H99," ","")," ","")&lt;&gt;SUBSTITUTE(SUBSTITUTE(INDEX(職員マスタ!$B$6:$B$405,$AN99)," ","")," ","")),"氏名がマスタと相違／","")&amp;IF(AND($Q99&lt;&gt;"",INDEX(職員マスタ!$E$6:$E$405,$AN99)&lt;&gt;"",$Q99&lt;&gt;INDEX(職員マスタ!$E$6:$E$405,$AN99)),"子の生年月日がマスタと相違／","")&amp;IF(AND($L99&lt;&gt;"",INDEX(職員マスタ!$G$6:$G$405,$AN99)&lt;&gt;"",$L99&lt;&gt;INDEX(職員マスタ!$G$6:$G$405,$AN99)),"時短開始日がマスタと相違／","")&amp;IF(AND($M99&lt;&gt;"",INDEX(職員マスタ!$H$6:$H$405,$AN99)&lt;&gt;"",$M99&lt;&gt;INDEX(職員マスタ!$H$6:$H$405,$AN99)),"時短終了日がマスタと相違／","")))&amp;IF(AND($B99&lt;&gt;"",$E99=""),"報酬額が未入力／","")&amp;IF(N($U99)&gt;0,"申請書に入力エラーが残っています／","")&amp;IF(AND($B99&lt;&gt;"",$AO99&lt;&gt;""),IF(COUNTIFS($B$6:$B$3005,$B99,$C$6:$C$3005,$C99,$D$6:$D$3005,$D99)&gt;1,"同じ月の請求が重複しています／",""),"")&amp;IF(AND(N($E99)&gt;0,$Z99&lt;&gt;"",$Z99&lt;&gt;"×",$AC99=0,$AB99=""),"計算額が下限以下のため不支給／",""))</f>
        <v/>
      </c>
      <c r="AL99" s="12" t="n"/>
      <c r="AM99" s="14">
        <f>IF($AD99="保留中",COUNTIF($AD$6:$AD99,"保留中"),"")</f>
        <v/>
      </c>
      <c r="AN99" s="14">
        <f>IF($AO99="","",IF(SUMPRODUCT(MAX((職員マスタ!$A$6:$A$405=$B99)*(((職員マスタ!$G$6:$G$405="")+(職員マスタ!$G$6:$G$405&lt;=EOMONTH($AO99,0)))&gt;0)*(((職員マスタ!$H$6:$H$405="")+(職員マスタ!$H$6:$H$405&gt;=$AO99))&gt;0)*(ROW(職員マスタ!$A$6:$A$405)-5)))&gt;0,SUMPRODUCT(MAX((職員マスタ!$A$6:$A$405=$B99)*(((職員マスタ!$G$6:$G$405="")+(職員マスタ!$G$6:$G$405&lt;=EOMONTH($AO99,0)))&gt;0)*(((職員マスタ!$H$6:$H$405="")+(職員マスタ!$H$6:$H$405&gt;=$AO99))&gt;0)*(ROW(職員マスタ!$A$6:$A$405)-5))),IFERROR(MATCH($B99,職員マスタ!$A$6:$A$405,0),"")))</f>
        <v/>
      </c>
      <c r="AO99" s="16">
        <f>IF(OR($B99="",$C99="",$D99=""),"",DATE($C99+2018,$D99,1))</f>
        <v/>
      </c>
    </row>
    <row r="100">
      <c r="A100" s="11" t="n"/>
      <c r="B100" s="12" t="n">
        <v>6100309</v>
      </c>
      <c r="C100" s="12" t="n">
        <v>7</v>
      </c>
      <c r="D100" s="12" t="n">
        <v>9</v>
      </c>
      <c r="E100" s="13" t="n">
        <v>374505</v>
      </c>
      <c r="F100" s="12" t="n"/>
      <c r="G100" s="13" t="n"/>
      <c r="H100" s="12" t="n"/>
      <c r="I100" s="12" t="n"/>
      <c r="J100" s="12" t="n"/>
      <c r="K100" s="12" t="n"/>
      <c r="L100" s="11" t="n"/>
      <c r="M100" s="11" t="n"/>
      <c r="N100" s="11" t="n"/>
      <c r="O100" s="11" t="n"/>
      <c r="P100" s="12" t="n"/>
      <c r="Q100" s="11" t="n"/>
      <c r="R100" s="12" t="n"/>
      <c r="S100" s="11" t="n"/>
      <c r="T100" s="12" t="n"/>
      <c r="U100" s="12" t="n"/>
      <c r="V100" s="14">
        <f>IF($AN100="",IF($B100="","",$H100),IF(INDEX(職員マスタ!$B$6:$B$405,$AN100)="",$H100,INDEX(職員マスタ!$B$6:$B$405,$AN100)))</f>
        <v/>
      </c>
      <c r="W100" s="14">
        <f>IF($AN100="",IF($B100="","",$R100),IF(INDEX(職員マスタ!$C$6:$C$405,$AN100)="",$R100,INDEX(職員マスタ!$C$6:$C$405,$AN100)))</f>
        <v/>
      </c>
      <c r="X100" s="14">
        <f>IF($AO100="","","R"&amp;$C100&amp;"."&amp;$D100)</f>
        <v/>
      </c>
      <c r="Y100" s="15">
        <f>IF($AN100="","",IF(INDEX(職員マスタ!$K$6:$K$405,$AN100)="","",INDEX(職員マスタ!$K$6:$K$405,$AN100)))</f>
        <v/>
      </c>
      <c r="Z100" s="14">
        <f>IF(OR($E100="",$Y100=""),"",IF($E100&gt;=$Y100,"×",IF($E100&gt;=$Y100*設定!$C$5,"△","○")))</f>
        <v/>
      </c>
      <c r="AA100" s="15">
        <f>IF($Z100="","",IF($Z100="×",0,IF($Z100="○",ROUNDDOWN($E100*設定!$C$4,0),ROUNDDOWN($E100*ROUND((9*$Y100-9*$E100)/(10*$E100),4),0))))</f>
        <v/>
      </c>
      <c r="AB100" s="13" t="n"/>
      <c r="AC100" s="15">
        <f>IF($B100="","",IF($AB100&lt;&gt;"",$AB100,IF($AA100="","",IF($AA100&lt;=設定!$C$3,0,$AA100))))</f>
        <v/>
      </c>
      <c r="AD100" s="14">
        <f>IF($B100="","",IF(AND($AE100&lt;&gt;"",$AG100="",$AJ100=""),"保留中",IF($AJ100&lt;&gt;"",IF(N($AC100)&gt;0,"支給済","不支給"),IF($AC100="","要確認",IF($AC100=0,"不支給","未処理")))))</f>
        <v/>
      </c>
      <c r="AE100" s="12" t="n"/>
      <c r="AF100" s="11" t="n"/>
      <c r="AG100" s="11" t="n"/>
      <c r="AH100" s="11" t="n"/>
      <c r="AI100" s="14">
        <f>IF(AND($AD100="保留中",$AF100&lt;&gt;""),TODAY()-$AF100,"")</f>
        <v/>
      </c>
      <c r="AJ100" s="12" t="inlineStr">
        <is>
          <t>R7.12</t>
        </is>
      </c>
      <c r="AK100" s="14">
        <f>IF($B100="","",IF($AO100="","対象年月が未入力／","")&amp;IF($B100="","",IF($AN100="","職員マスタに未登録の職員番号／",IF($Y100="","標準報酬月額が未登録／","")&amp;IF(AND($AO100&lt;&gt;"",OR(AND(INDEX(職員マスタ!$G$6:$G$405,$AN100)&lt;&gt;"",INDEX(職員マスタ!$G$6:$G$405,$AN100)&gt;EOMONTH($AO100,0)),AND(INDEX(職員マスタ!$H$6:$H$405,$AN100)&lt;&gt;"",INDEX(職員マスタ!$H$6:$H$405,$AN100)&lt;$AO100))),"対象月が時短期間外／","")&amp;IF(AND(INDEX(職員マスタ!$F$6:$F$405,$AN100)&lt;&gt;"",$AO100&lt;&gt;"",INDEX(職員マスタ!$F$6:$F$405,$AN100)&lt;$AO100),"対象月に子が2歳到達済／","")&amp;IF(AND($H100&lt;&gt;"",INDEX(職員マスタ!$B$6:$B$405,$AN100)&lt;&gt;"",SUBSTITUTE(SUBSTITUTE($H100," ","")," ","")&lt;&gt;SUBSTITUTE(SUBSTITUTE(INDEX(職員マスタ!$B$6:$B$405,$AN100)," ","")," ","")),"氏名がマスタと相違／","")&amp;IF(AND($Q100&lt;&gt;"",INDEX(職員マスタ!$E$6:$E$405,$AN100)&lt;&gt;"",$Q100&lt;&gt;INDEX(職員マスタ!$E$6:$E$405,$AN100)),"子の生年月日がマスタと相違／","")&amp;IF(AND($L100&lt;&gt;"",INDEX(職員マスタ!$G$6:$G$405,$AN100)&lt;&gt;"",$L100&lt;&gt;INDEX(職員マスタ!$G$6:$G$405,$AN100)),"時短開始日がマスタと相違／","")&amp;IF(AND($M100&lt;&gt;"",INDEX(職員マスタ!$H$6:$H$405,$AN100)&lt;&gt;"",$M100&lt;&gt;INDEX(職員マスタ!$H$6:$H$405,$AN100)),"時短終了日がマスタと相違／","")))&amp;IF(AND($B100&lt;&gt;"",$E100=""),"報酬額が未入力／","")&amp;IF(N($U100)&gt;0,"申請書に入力エラーが残っています／","")&amp;IF(AND($B100&lt;&gt;"",$AO100&lt;&gt;""),IF(COUNTIFS($B$6:$B$3005,$B100,$C$6:$C$3005,$C100,$D$6:$D$3005,$D100)&gt;1,"同じ月の請求が重複しています／",""),"")&amp;IF(AND(N($E100)&gt;0,$Z100&lt;&gt;"",$Z100&lt;&gt;"×",$AC100=0,$AB100=""),"計算額が下限以下のため不支給／",""))</f>
        <v/>
      </c>
      <c r="AL100" s="12" t="n"/>
      <c r="AM100" s="14">
        <f>IF($AD100="保留中",COUNTIF($AD$6:$AD100,"保留中"),"")</f>
        <v/>
      </c>
      <c r="AN100" s="14">
        <f>IF($AO100="","",IF(SUMPRODUCT(MAX((職員マスタ!$A$6:$A$405=$B100)*(((職員マスタ!$G$6:$G$405="")+(職員マスタ!$G$6:$G$405&lt;=EOMONTH($AO100,0)))&gt;0)*(((職員マスタ!$H$6:$H$405="")+(職員マスタ!$H$6:$H$405&gt;=$AO100))&gt;0)*(ROW(職員マスタ!$A$6:$A$405)-5)))&gt;0,SUMPRODUCT(MAX((職員マスタ!$A$6:$A$405=$B100)*(((職員マスタ!$G$6:$G$405="")+(職員マスタ!$G$6:$G$405&lt;=EOMONTH($AO100,0)))&gt;0)*(((職員マスタ!$H$6:$H$405="")+(職員マスタ!$H$6:$H$405&gt;=$AO100))&gt;0)*(ROW(職員マスタ!$A$6:$A$405)-5))),IFERROR(MATCH($B100,職員マスタ!$A$6:$A$405,0),"")))</f>
        <v/>
      </c>
      <c r="AO100" s="16">
        <f>IF(OR($B100="",$C100="",$D100=""),"",DATE($C100+2018,$D100,1))</f>
        <v/>
      </c>
    </row>
    <row r="101">
      <c r="A101" s="11" t="n"/>
      <c r="B101" s="12" t="n">
        <v>6100309</v>
      </c>
      <c r="C101" s="12" t="n">
        <v>7</v>
      </c>
      <c r="D101" s="12" t="n">
        <v>10</v>
      </c>
      <c r="E101" s="13" t="n">
        <v>366181</v>
      </c>
      <c r="F101" s="12" t="n"/>
      <c r="G101" s="13" t="n"/>
      <c r="H101" s="12" t="n"/>
      <c r="I101" s="12" t="n"/>
      <c r="J101" s="12" t="n"/>
      <c r="K101" s="12" t="n"/>
      <c r="L101" s="11" t="n"/>
      <c r="M101" s="11" t="n"/>
      <c r="N101" s="11" t="n"/>
      <c r="O101" s="11" t="n"/>
      <c r="P101" s="12" t="n"/>
      <c r="Q101" s="11" t="n"/>
      <c r="R101" s="12" t="n"/>
      <c r="S101" s="11" t="n"/>
      <c r="T101" s="12" t="n"/>
      <c r="U101" s="12" t="n"/>
      <c r="V101" s="14">
        <f>IF($AN101="",IF($B101="","",$H101),IF(INDEX(職員マスタ!$B$6:$B$405,$AN101)="",$H101,INDEX(職員マスタ!$B$6:$B$405,$AN101)))</f>
        <v/>
      </c>
      <c r="W101" s="14">
        <f>IF($AN101="",IF($B101="","",$R101),IF(INDEX(職員マスタ!$C$6:$C$405,$AN101)="",$R101,INDEX(職員マスタ!$C$6:$C$405,$AN101)))</f>
        <v/>
      </c>
      <c r="X101" s="14">
        <f>IF($AO101="","","R"&amp;$C101&amp;"."&amp;$D101)</f>
        <v/>
      </c>
      <c r="Y101" s="15">
        <f>IF($AN101="","",IF(INDEX(職員マスタ!$K$6:$K$405,$AN101)="","",INDEX(職員マスタ!$K$6:$K$405,$AN101)))</f>
        <v/>
      </c>
      <c r="Z101" s="14">
        <f>IF(OR($E101="",$Y101=""),"",IF($E101&gt;=$Y101,"×",IF($E101&gt;=$Y101*設定!$C$5,"△","○")))</f>
        <v/>
      </c>
      <c r="AA101" s="15">
        <f>IF($Z101="","",IF($Z101="×",0,IF($Z101="○",ROUNDDOWN($E101*設定!$C$4,0),ROUNDDOWN($E101*ROUND((9*$Y101-9*$E101)/(10*$E101),4),0))))</f>
        <v/>
      </c>
      <c r="AB101" s="13" t="n"/>
      <c r="AC101" s="15">
        <f>IF($B101="","",IF($AB101&lt;&gt;"",$AB101,IF($AA101="","",IF($AA101&lt;=設定!$C$3,0,$AA101))))</f>
        <v/>
      </c>
      <c r="AD101" s="14">
        <f>IF($B101="","",IF(AND($AE101&lt;&gt;"",$AG101="",$AJ101=""),"保留中",IF($AJ101&lt;&gt;"",IF(N($AC101)&gt;0,"支給済","不支給"),IF($AC101="","要確認",IF($AC101=0,"不支給","未処理")))))</f>
        <v/>
      </c>
      <c r="AE101" s="12" t="n"/>
      <c r="AF101" s="11" t="n"/>
      <c r="AG101" s="11" t="n"/>
      <c r="AH101" s="11" t="n"/>
      <c r="AI101" s="14">
        <f>IF(AND($AD101="保留中",$AF101&lt;&gt;""),TODAY()-$AF101,"")</f>
        <v/>
      </c>
      <c r="AJ101" s="12" t="inlineStr">
        <is>
          <t>R7.12</t>
        </is>
      </c>
      <c r="AK101" s="14">
        <f>IF($B101="","",IF($AO101="","対象年月が未入力／","")&amp;IF($B101="","",IF($AN101="","職員マスタに未登録の職員番号／",IF($Y101="","標準報酬月額が未登録／","")&amp;IF(AND($AO101&lt;&gt;"",OR(AND(INDEX(職員マスタ!$G$6:$G$405,$AN101)&lt;&gt;"",INDEX(職員マスタ!$G$6:$G$405,$AN101)&gt;EOMONTH($AO101,0)),AND(INDEX(職員マスタ!$H$6:$H$405,$AN101)&lt;&gt;"",INDEX(職員マスタ!$H$6:$H$405,$AN101)&lt;$AO101))),"対象月が時短期間外／","")&amp;IF(AND(INDEX(職員マスタ!$F$6:$F$405,$AN101)&lt;&gt;"",$AO101&lt;&gt;"",INDEX(職員マスタ!$F$6:$F$405,$AN101)&lt;$AO101),"対象月に子が2歳到達済／","")&amp;IF(AND($H101&lt;&gt;"",INDEX(職員マスタ!$B$6:$B$405,$AN101)&lt;&gt;"",SUBSTITUTE(SUBSTITUTE($H101," ","")," ","")&lt;&gt;SUBSTITUTE(SUBSTITUTE(INDEX(職員マスタ!$B$6:$B$405,$AN101)," ","")," ","")),"氏名がマスタと相違／","")&amp;IF(AND($Q101&lt;&gt;"",INDEX(職員マスタ!$E$6:$E$405,$AN101)&lt;&gt;"",$Q101&lt;&gt;INDEX(職員マスタ!$E$6:$E$405,$AN101)),"子の生年月日がマスタと相違／","")&amp;IF(AND($L101&lt;&gt;"",INDEX(職員マスタ!$G$6:$G$405,$AN101)&lt;&gt;"",$L101&lt;&gt;INDEX(職員マスタ!$G$6:$G$405,$AN101)),"時短開始日がマスタと相違／","")&amp;IF(AND($M101&lt;&gt;"",INDEX(職員マスタ!$H$6:$H$405,$AN101)&lt;&gt;"",$M101&lt;&gt;INDEX(職員マスタ!$H$6:$H$405,$AN101)),"時短終了日がマスタと相違／","")))&amp;IF(AND($B101&lt;&gt;"",$E101=""),"報酬額が未入力／","")&amp;IF(N($U101)&gt;0,"申請書に入力エラーが残っています／","")&amp;IF(AND($B101&lt;&gt;"",$AO101&lt;&gt;""),IF(COUNTIFS($B$6:$B$3005,$B101,$C$6:$C$3005,$C101,$D$6:$D$3005,$D101)&gt;1,"同じ月の請求が重複しています／",""),"")&amp;IF(AND(N($E101)&gt;0,$Z101&lt;&gt;"",$Z101&lt;&gt;"×",$AC101=0,$AB101=""),"計算額が下限以下のため不支給／",""))</f>
        <v/>
      </c>
      <c r="AL101" s="12" t="n"/>
      <c r="AM101" s="14">
        <f>IF($AD101="保留中",COUNTIF($AD$6:$AD101,"保留中"),"")</f>
        <v/>
      </c>
      <c r="AN101" s="14">
        <f>IF($AO101="","",IF(SUMPRODUCT(MAX((職員マスタ!$A$6:$A$405=$B101)*(((職員マスタ!$G$6:$G$405="")+(職員マスタ!$G$6:$G$405&lt;=EOMONTH($AO101,0)))&gt;0)*(((職員マスタ!$H$6:$H$405="")+(職員マスタ!$H$6:$H$405&gt;=$AO101))&gt;0)*(ROW(職員マスタ!$A$6:$A$405)-5)))&gt;0,SUMPRODUCT(MAX((職員マスタ!$A$6:$A$405=$B101)*(((職員マスタ!$G$6:$G$405="")+(職員マスタ!$G$6:$G$405&lt;=EOMONTH($AO101,0)))&gt;0)*(((職員マスタ!$H$6:$H$405="")+(職員マスタ!$H$6:$H$405&gt;=$AO101))&gt;0)*(ROW(職員マスタ!$A$6:$A$405)-5))),IFERROR(MATCH($B101,職員マスタ!$A$6:$A$405,0),"")))</f>
        <v/>
      </c>
      <c r="AO101" s="16">
        <f>IF(OR($B101="",$C101="",$D101=""),"",DATE($C101+2018,$D101,1))</f>
        <v/>
      </c>
    </row>
    <row r="102">
      <c r="A102" s="11" t="n"/>
      <c r="B102" s="12" t="n">
        <v>6100309</v>
      </c>
      <c r="C102" s="12" t="n">
        <v>7</v>
      </c>
      <c r="D102" s="12" t="n">
        <v>11</v>
      </c>
      <c r="E102" s="13" t="n">
        <v>380749</v>
      </c>
      <c r="F102" s="12" t="n"/>
      <c r="G102" s="13" t="n"/>
      <c r="H102" s="12" t="n"/>
      <c r="I102" s="12" t="n"/>
      <c r="J102" s="12" t="n"/>
      <c r="K102" s="12" t="n"/>
      <c r="L102" s="11" t="n"/>
      <c r="M102" s="11" t="n"/>
      <c r="N102" s="11" t="n"/>
      <c r="O102" s="11" t="n"/>
      <c r="P102" s="12" t="n"/>
      <c r="Q102" s="11" t="n"/>
      <c r="R102" s="12" t="n"/>
      <c r="S102" s="11" t="n"/>
      <c r="T102" s="12" t="n"/>
      <c r="U102" s="12" t="n"/>
      <c r="V102" s="14">
        <f>IF($AN102="",IF($B102="","",$H102),IF(INDEX(職員マスタ!$B$6:$B$405,$AN102)="",$H102,INDEX(職員マスタ!$B$6:$B$405,$AN102)))</f>
        <v/>
      </c>
      <c r="W102" s="14">
        <f>IF($AN102="",IF($B102="","",$R102),IF(INDEX(職員マスタ!$C$6:$C$405,$AN102)="",$R102,INDEX(職員マスタ!$C$6:$C$405,$AN102)))</f>
        <v/>
      </c>
      <c r="X102" s="14">
        <f>IF($AO102="","","R"&amp;$C102&amp;"."&amp;$D102)</f>
        <v/>
      </c>
      <c r="Y102" s="15">
        <f>IF($AN102="","",IF(INDEX(職員マスタ!$K$6:$K$405,$AN102)="","",INDEX(職員マスタ!$K$6:$K$405,$AN102)))</f>
        <v/>
      </c>
      <c r="Z102" s="14">
        <f>IF(OR($E102="",$Y102=""),"",IF($E102&gt;=$Y102,"×",IF($E102&gt;=$Y102*設定!$C$5,"△","○")))</f>
        <v/>
      </c>
      <c r="AA102" s="15">
        <f>IF($Z102="","",IF($Z102="×",0,IF($Z102="○",ROUNDDOWN($E102*設定!$C$4,0),ROUNDDOWN($E102*ROUND((9*$Y102-9*$E102)/(10*$E102),4),0))))</f>
        <v/>
      </c>
      <c r="AB102" s="13" t="n"/>
      <c r="AC102" s="15">
        <f>IF($B102="","",IF($AB102&lt;&gt;"",$AB102,IF($AA102="","",IF($AA102&lt;=設定!$C$3,0,$AA102))))</f>
        <v/>
      </c>
      <c r="AD102" s="14">
        <f>IF($B102="","",IF(AND($AE102&lt;&gt;"",$AG102="",$AJ102=""),"保留中",IF($AJ102&lt;&gt;"",IF(N($AC102)&gt;0,"支給済","不支給"),IF($AC102="","要確認",IF($AC102=0,"不支給","未処理")))))</f>
        <v/>
      </c>
      <c r="AE102" s="12" t="n"/>
      <c r="AF102" s="11" t="n"/>
      <c r="AG102" s="11" t="n"/>
      <c r="AH102" s="11" t="n"/>
      <c r="AI102" s="14">
        <f>IF(AND($AD102="保留中",$AF102&lt;&gt;""),TODAY()-$AF102,"")</f>
        <v/>
      </c>
      <c r="AJ102" s="12" t="inlineStr">
        <is>
          <t>R8.2</t>
        </is>
      </c>
      <c r="AK102" s="14">
        <f>IF($B102="","",IF($AO102="","対象年月が未入力／","")&amp;IF($B102="","",IF($AN102="","職員マスタに未登録の職員番号／",IF($Y102="","標準報酬月額が未登録／","")&amp;IF(AND($AO102&lt;&gt;"",OR(AND(INDEX(職員マスタ!$G$6:$G$405,$AN102)&lt;&gt;"",INDEX(職員マスタ!$G$6:$G$405,$AN102)&gt;EOMONTH($AO102,0)),AND(INDEX(職員マスタ!$H$6:$H$405,$AN102)&lt;&gt;"",INDEX(職員マスタ!$H$6:$H$405,$AN102)&lt;$AO102))),"対象月が時短期間外／","")&amp;IF(AND(INDEX(職員マスタ!$F$6:$F$405,$AN102)&lt;&gt;"",$AO102&lt;&gt;"",INDEX(職員マスタ!$F$6:$F$405,$AN102)&lt;$AO102),"対象月に子が2歳到達済／","")&amp;IF(AND($H102&lt;&gt;"",INDEX(職員マスタ!$B$6:$B$405,$AN102)&lt;&gt;"",SUBSTITUTE(SUBSTITUTE($H102," ","")," ","")&lt;&gt;SUBSTITUTE(SUBSTITUTE(INDEX(職員マスタ!$B$6:$B$405,$AN102)," ","")," ","")),"氏名がマスタと相違／","")&amp;IF(AND($Q102&lt;&gt;"",INDEX(職員マスタ!$E$6:$E$405,$AN102)&lt;&gt;"",$Q102&lt;&gt;INDEX(職員マスタ!$E$6:$E$405,$AN102)),"子の生年月日がマスタと相違／","")&amp;IF(AND($L102&lt;&gt;"",INDEX(職員マスタ!$G$6:$G$405,$AN102)&lt;&gt;"",$L102&lt;&gt;INDEX(職員マスタ!$G$6:$G$405,$AN102)),"時短開始日がマスタと相違／","")&amp;IF(AND($M102&lt;&gt;"",INDEX(職員マスタ!$H$6:$H$405,$AN102)&lt;&gt;"",$M102&lt;&gt;INDEX(職員マスタ!$H$6:$H$405,$AN102)),"時短終了日がマスタと相違／","")))&amp;IF(AND($B102&lt;&gt;"",$E102=""),"報酬額が未入力／","")&amp;IF(N($U102)&gt;0,"申請書に入力エラーが残っています／","")&amp;IF(AND($B102&lt;&gt;"",$AO102&lt;&gt;""),IF(COUNTIFS($B$6:$B$3005,$B102,$C$6:$C$3005,$C102,$D$6:$D$3005,$D102)&gt;1,"同じ月の請求が重複しています／",""),"")&amp;IF(AND(N($E102)&gt;0,$Z102&lt;&gt;"",$Z102&lt;&gt;"×",$AC102=0,$AB102=""),"計算額が下限以下のため不支給／",""))</f>
        <v/>
      </c>
      <c r="AL102" s="12" t="n"/>
      <c r="AM102" s="14">
        <f>IF($AD102="保留中",COUNTIF($AD$6:$AD102,"保留中"),"")</f>
        <v/>
      </c>
      <c r="AN102" s="14">
        <f>IF($AO102="","",IF(SUMPRODUCT(MAX((職員マスタ!$A$6:$A$405=$B102)*(((職員マスタ!$G$6:$G$405="")+(職員マスタ!$G$6:$G$405&lt;=EOMONTH($AO102,0)))&gt;0)*(((職員マスタ!$H$6:$H$405="")+(職員マスタ!$H$6:$H$405&gt;=$AO102))&gt;0)*(ROW(職員マスタ!$A$6:$A$405)-5)))&gt;0,SUMPRODUCT(MAX((職員マスタ!$A$6:$A$405=$B102)*(((職員マスタ!$G$6:$G$405="")+(職員マスタ!$G$6:$G$405&lt;=EOMONTH($AO102,0)))&gt;0)*(((職員マスタ!$H$6:$H$405="")+(職員マスタ!$H$6:$H$405&gt;=$AO102))&gt;0)*(ROW(職員マスタ!$A$6:$A$405)-5))),IFERROR(MATCH($B102,職員マスタ!$A$6:$A$405,0),"")))</f>
        <v/>
      </c>
      <c r="AO102" s="16">
        <f>IF(OR($B102="",$C102="",$D102=""),"",DATE($C102+2018,$D102,1))</f>
        <v/>
      </c>
    </row>
    <row r="103">
      <c r="A103" s="11" t="n"/>
      <c r="B103" s="12" t="n">
        <v>6100309</v>
      </c>
      <c r="C103" s="12" t="n">
        <v>7</v>
      </c>
      <c r="D103" s="12" t="n">
        <v>12</v>
      </c>
      <c r="E103" s="13" t="n">
        <v>387695</v>
      </c>
      <c r="F103" s="12" t="n"/>
      <c r="G103" s="13" t="n"/>
      <c r="H103" s="12" t="n"/>
      <c r="I103" s="12" t="n"/>
      <c r="J103" s="12" t="n"/>
      <c r="K103" s="12" t="n"/>
      <c r="L103" s="11" t="n"/>
      <c r="M103" s="11" t="n"/>
      <c r="N103" s="11" t="n"/>
      <c r="O103" s="11" t="n"/>
      <c r="P103" s="12" t="n"/>
      <c r="Q103" s="11" t="n"/>
      <c r="R103" s="12" t="n"/>
      <c r="S103" s="11" t="n"/>
      <c r="T103" s="12" t="n"/>
      <c r="U103" s="12" t="n"/>
      <c r="V103" s="14">
        <f>IF($AN103="",IF($B103="","",$H103),IF(INDEX(職員マスタ!$B$6:$B$405,$AN103)="",$H103,INDEX(職員マスタ!$B$6:$B$405,$AN103)))</f>
        <v/>
      </c>
      <c r="W103" s="14">
        <f>IF($AN103="",IF($B103="","",$R103),IF(INDEX(職員マスタ!$C$6:$C$405,$AN103)="",$R103,INDEX(職員マスタ!$C$6:$C$405,$AN103)))</f>
        <v/>
      </c>
      <c r="X103" s="14">
        <f>IF($AO103="","","R"&amp;$C103&amp;"."&amp;$D103)</f>
        <v/>
      </c>
      <c r="Y103" s="15">
        <f>IF($AN103="","",IF(INDEX(職員マスタ!$K$6:$K$405,$AN103)="","",INDEX(職員マスタ!$K$6:$K$405,$AN103)))</f>
        <v/>
      </c>
      <c r="Z103" s="14">
        <f>IF(OR($E103="",$Y103=""),"",IF($E103&gt;=$Y103,"×",IF($E103&gt;=$Y103*設定!$C$5,"△","○")))</f>
        <v/>
      </c>
      <c r="AA103" s="15">
        <f>IF($Z103="","",IF($Z103="×",0,IF($Z103="○",ROUNDDOWN($E103*設定!$C$4,0),ROUNDDOWN($E103*ROUND((9*$Y103-9*$E103)/(10*$E103),4),0))))</f>
        <v/>
      </c>
      <c r="AB103" s="13" t="n"/>
      <c r="AC103" s="15">
        <f>IF($B103="","",IF($AB103&lt;&gt;"",$AB103,IF($AA103="","",IF($AA103&lt;=設定!$C$3,0,$AA103))))</f>
        <v/>
      </c>
      <c r="AD103" s="14">
        <f>IF($B103="","",IF(AND($AE103&lt;&gt;"",$AG103="",$AJ103=""),"保留中",IF($AJ103&lt;&gt;"",IF(N($AC103)&gt;0,"支給済","不支給"),IF($AC103="","要確認",IF($AC103=0,"不支給","未処理")))))</f>
        <v/>
      </c>
      <c r="AE103" s="12" t="n"/>
      <c r="AF103" s="11" t="n"/>
      <c r="AG103" s="11" t="n"/>
      <c r="AH103" s="11" t="n"/>
      <c r="AI103" s="14">
        <f>IF(AND($AD103="保留中",$AF103&lt;&gt;""),TODAY()-$AF103,"")</f>
        <v/>
      </c>
      <c r="AJ103" s="12" t="inlineStr">
        <is>
          <t>R8.2</t>
        </is>
      </c>
      <c r="AK103" s="14">
        <f>IF($B103="","",IF($AO103="","対象年月が未入力／","")&amp;IF($B103="","",IF($AN103="","職員マスタに未登録の職員番号／",IF($Y103="","標準報酬月額が未登録／","")&amp;IF(AND($AO103&lt;&gt;"",OR(AND(INDEX(職員マスタ!$G$6:$G$405,$AN103)&lt;&gt;"",INDEX(職員マスタ!$G$6:$G$405,$AN103)&gt;EOMONTH($AO103,0)),AND(INDEX(職員マスタ!$H$6:$H$405,$AN103)&lt;&gt;"",INDEX(職員マスタ!$H$6:$H$405,$AN103)&lt;$AO103))),"対象月が時短期間外／","")&amp;IF(AND(INDEX(職員マスタ!$F$6:$F$405,$AN103)&lt;&gt;"",$AO103&lt;&gt;"",INDEX(職員マスタ!$F$6:$F$405,$AN103)&lt;$AO103),"対象月に子が2歳到達済／","")&amp;IF(AND($H103&lt;&gt;"",INDEX(職員マスタ!$B$6:$B$405,$AN103)&lt;&gt;"",SUBSTITUTE(SUBSTITUTE($H103," ","")," ","")&lt;&gt;SUBSTITUTE(SUBSTITUTE(INDEX(職員マスタ!$B$6:$B$405,$AN103)," ","")," ","")),"氏名がマスタと相違／","")&amp;IF(AND($Q103&lt;&gt;"",INDEX(職員マスタ!$E$6:$E$405,$AN103)&lt;&gt;"",$Q103&lt;&gt;INDEX(職員マスタ!$E$6:$E$405,$AN103)),"子の生年月日がマスタと相違／","")&amp;IF(AND($L103&lt;&gt;"",INDEX(職員マスタ!$G$6:$G$405,$AN103)&lt;&gt;"",$L103&lt;&gt;INDEX(職員マスタ!$G$6:$G$405,$AN103)),"時短開始日がマスタと相違／","")&amp;IF(AND($M103&lt;&gt;"",INDEX(職員マスタ!$H$6:$H$405,$AN103)&lt;&gt;"",$M103&lt;&gt;INDEX(職員マスタ!$H$6:$H$405,$AN103)),"時短終了日がマスタと相違／","")))&amp;IF(AND($B103&lt;&gt;"",$E103=""),"報酬額が未入力／","")&amp;IF(N($U103)&gt;0,"申請書に入力エラーが残っています／","")&amp;IF(AND($B103&lt;&gt;"",$AO103&lt;&gt;""),IF(COUNTIFS($B$6:$B$3005,$B103,$C$6:$C$3005,$C103,$D$6:$D$3005,$D103)&gt;1,"同じ月の請求が重複しています／",""),"")&amp;IF(AND(N($E103)&gt;0,$Z103&lt;&gt;"",$Z103&lt;&gt;"×",$AC103=0,$AB103=""),"計算額が下限以下のため不支給／",""))</f>
        <v/>
      </c>
      <c r="AL103" s="12" t="n"/>
      <c r="AM103" s="14">
        <f>IF($AD103="保留中",COUNTIF($AD$6:$AD103,"保留中"),"")</f>
        <v/>
      </c>
      <c r="AN103" s="14">
        <f>IF($AO103="","",IF(SUMPRODUCT(MAX((職員マスタ!$A$6:$A$405=$B103)*(((職員マスタ!$G$6:$G$405="")+(職員マスタ!$G$6:$G$405&lt;=EOMONTH($AO103,0)))&gt;0)*(((職員マスタ!$H$6:$H$405="")+(職員マスタ!$H$6:$H$405&gt;=$AO103))&gt;0)*(ROW(職員マスタ!$A$6:$A$405)-5)))&gt;0,SUMPRODUCT(MAX((職員マスタ!$A$6:$A$405=$B103)*(((職員マスタ!$G$6:$G$405="")+(職員マスタ!$G$6:$G$405&lt;=EOMONTH($AO103,0)))&gt;0)*(((職員マスタ!$H$6:$H$405="")+(職員マスタ!$H$6:$H$405&gt;=$AO103))&gt;0)*(ROW(職員マスタ!$A$6:$A$405)-5))),IFERROR(MATCH($B103,職員マスタ!$A$6:$A$405,0),"")))</f>
        <v/>
      </c>
      <c r="AO103" s="16">
        <f>IF(OR($B103="",$C103="",$D103=""),"",DATE($C103+2018,$D103,1))</f>
        <v/>
      </c>
    </row>
    <row r="104">
      <c r="A104" s="11" t="n"/>
      <c r="B104" s="12" t="n">
        <v>6100309</v>
      </c>
      <c r="C104" s="12" t="n">
        <v>8</v>
      </c>
      <c r="D104" s="12" t="n">
        <v>1</v>
      </c>
      <c r="E104" s="13" t="n">
        <v>381764</v>
      </c>
      <c r="F104" s="12" t="n"/>
      <c r="G104" s="13" t="n"/>
      <c r="H104" s="12" t="n"/>
      <c r="I104" s="12" t="n"/>
      <c r="J104" s="12" t="n"/>
      <c r="K104" s="12" t="n"/>
      <c r="L104" s="11" t="n"/>
      <c r="M104" s="11" t="n"/>
      <c r="N104" s="11" t="n"/>
      <c r="O104" s="11" t="n"/>
      <c r="P104" s="12" t="n"/>
      <c r="Q104" s="11" t="n"/>
      <c r="R104" s="12" t="n"/>
      <c r="S104" s="11" t="n"/>
      <c r="T104" s="12" t="n"/>
      <c r="U104" s="12" t="n"/>
      <c r="V104" s="14">
        <f>IF($AN104="",IF($B104="","",$H104),IF(INDEX(職員マスタ!$B$6:$B$405,$AN104)="",$H104,INDEX(職員マスタ!$B$6:$B$405,$AN104)))</f>
        <v/>
      </c>
      <c r="W104" s="14">
        <f>IF($AN104="",IF($B104="","",$R104),IF(INDEX(職員マスタ!$C$6:$C$405,$AN104)="",$R104,INDEX(職員マスタ!$C$6:$C$405,$AN104)))</f>
        <v/>
      </c>
      <c r="X104" s="14">
        <f>IF($AO104="","","R"&amp;$C104&amp;"."&amp;$D104)</f>
        <v/>
      </c>
      <c r="Y104" s="15">
        <f>IF($AN104="","",IF(INDEX(職員マスタ!$K$6:$K$405,$AN104)="","",INDEX(職員マスタ!$K$6:$K$405,$AN104)))</f>
        <v/>
      </c>
      <c r="Z104" s="14">
        <f>IF(OR($E104="",$Y104=""),"",IF($E104&gt;=$Y104,"×",IF($E104&gt;=$Y104*設定!$C$5,"△","○")))</f>
        <v/>
      </c>
      <c r="AA104" s="15">
        <f>IF($Z104="","",IF($Z104="×",0,IF($Z104="○",ROUNDDOWN($E104*設定!$C$4,0),ROUNDDOWN($E104*ROUND((9*$Y104-9*$E104)/(10*$E104),4),0))))</f>
        <v/>
      </c>
      <c r="AB104" s="13" t="n"/>
      <c r="AC104" s="15">
        <f>IF($B104="","",IF($AB104&lt;&gt;"",$AB104,IF($AA104="","",IF($AA104&lt;=設定!$C$3,0,$AA104))))</f>
        <v/>
      </c>
      <c r="AD104" s="14">
        <f>IF($B104="","",IF(AND($AE104&lt;&gt;"",$AG104="",$AJ104=""),"保留中",IF($AJ104&lt;&gt;"",IF(N($AC104)&gt;0,"支給済","不支給"),IF($AC104="","要確認",IF($AC104=0,"不支給","未処理")))))</f>
        <v/>
      </c>
      <c r="AE104" s="12" t="n"/>
      <c r="AF104" s="11" t="n"/>
      <c r="AG104" s="11" t="n"/>
      <c r="AH104" s="11" t="n"/>
      <c r="AI104" s="14">
        <f>IF(AND($AD104="保留中",$AF104&lt;&gt;""),TODAY()-$AF104,"")</f>
        <v/>
      </c>
      <c r="AJ104" s="12" t="inlineStr">
        <is>
          <t>R8.3</t>
        </is>
      </c>
      <c r="AK104" s="14">
        <f>IF($B104="","",IF($AO104="","対象年月が未入力／","")&amp;IF($B104="","",IF($AN104="","職員マスタに未登録の職員番号／",IF($Y104="","標準報酬月額が未登録／","")&amp;IF(AND($AO104&lt;&gt;"",OR(AND(INDEX(職員マスタ!$G$6:$G$405,$AN104)&lt;&gt;"",INDEX(職員マスタ!$G$6:$G$405,$AN104)&gt;EOMONTH($AO104,0)),AND(INDEX(職員マスタ!$H$6:$H$405,$AN104)&lt;&gt;"",INDEX(職員マスタ!$H$6:$H$405,$AN104)&lt;$AO104))),"対象月が時短期間外／","")&amp;IF(AND(INDEX(職員マスタ!$F$6:$F$405,$AN104)&lt;&gt;"",$AO104&lt;&gt;"",INDEX(職員マスタ!$F$6:$F$405,$AN104)&lt;$AO104),"対象月に子が2歳到達済／","")&amp;IF(AND($H104&lt;&gt;"",INDEX(職員マスタ!$B$6:$B$405,$AN104)&lt;&gt;"",SUBSTITUTE(SUBSTITUTE($H104," ","")," ","")&lt;&gt;SUBSTITUTE(SUBSTITUTE(INDEX(職員マスタ!$B$6:$B$405,$AN104)," ","")," ","")),"氏名がマスタと相違／","")&amp;IF(AND($Q104&lt;&gt;"",INDEX(職員マスタ!$E$6:$E$405,$AN104)&lt;&gt;"",$Q104&lt;&gt;INDEX(職員マスタ!$E$6:$E$405,$AN104)),"子の生年月日がマスタと相違／","")&amp;IF(AND($L104&lt;&gt;"",INDEX(職員マスタ!$G$6:$G$405,$AN104)&lt;&gt;"",$L104&lt;&gt;INDEX(職員マスタ!$G$6:$G$405,$AN104)),"時短開始日がマスタと相違／","")&amp;IF(AND($M104&lt;&gt;"",INDEX(職員マスタ!$H$6:$H$405,$AN104)&lt;&gt;"",$M104&lt;&gt;INDEX(職員マスタ!$H$6:$H$405,$AN104)),"時短終了日がマスタと相違／","")))&amp;IF(AND($B104&lt;&gt;"",$E104=""),"報酬額が未入力／","")&amp;IF(N($U104)&gt;0,"申請書に入力エラーが残っています／","")&amp;IF(AND($B104&lt;&gt;"",$AO104&lt;&gt;""),IF(COUNTIFS($B$6:$B$3005,$B104,$C$6:$C$3005,$C104,$D$6:$D$3005,$D104)&gt;1,"同じ月の請求が重複しています／",""),"")&amp;IF(AND(N($E104)&gt;0,$Z104&lt;&gt;"",$Z104&lt;&gt;"×",$AC104=0,$AB104=""),"計算額が下限以下のため不支給／",""))</f>
        <v/>
      </c>
      <c r="AL104" s="12" t="n"/>
      <c r="AM104" s="14">
        <f>IF($AD104="保留中",COUNTIF($AD$6:$AD104,"保留中"),"")</f>
        <v/>
      </c>
      <c r="AN104" s="14">
        <f>IF($AO104="","",IF(SUMPRODUCT(MAX((職員マスタ!$A$6:$A$405=$B104)*(((職員マスタ!$G$6:$G$405="")+(職員マスタ!$G$6:$G$405&lt;=EOMONTH($AO104,0)))&gt;0)*(((職員マスタ!$H$6:$H$405="")+(職員マスタ!$H$6:$H$405&gt;=$AO104))&gt;0)*(ROW(職員マスタ!$A$6:$A$405)-5)))&gt;0,SUMPRODUCT(MAX((職員マスタ!$A$6:$A$405=$B104)*(((職員マスタ!$G$6:$G$405="")+(職員マスタ!$G$6:$G$405&lt;=EOMONTH($AO104,0)))&gt;0)*(((職員マスタ!$H$6:$H$405="")+(職員マスタ!$H$6:$H$405&gt;=$AO104))&gt;0)*(ROW(職員マスタ!$A$6:$A$405)-5))),IFERROR(MATCH($B104,職員マスタ!$A$6:$A$405,0),"")))</f>
        <v/>
      </c>
      <c r="AO104" s="16">
        <f>IF(OR($B104="",$C104="",$D104=""),"",DATE($C104+2018,$D104,1))</f>
        <v/>
      </c>
    </row>
    <row r="105">
      <c r="A105" s="11" t="n"/>
      <c r="B105" s="12" t="n">
        <v>6100309</v>
      </c>
      <c r="C105" s="12" t="n">
        <v>8</v>
      </c>
      <c r="D105" s="12" t="n">
        <v>2</v>
      </c>
      <c r="E105" s="13" t="n">
        <v>377991</v>
      </c>
      <c r="F105" s="12" t="n"/>
      <c r="G105" s="13" t="n"/>
      <c r="H105" s="12" t="n"/>
      <c r="I105" s="12" t="n"/>
      <c r="J105" s="12" t="n"/>
      <c r="K105" s="12" t="n"/>
      <c r="L105" s="11" t="n"/>
      <c r="M105" s="11" t="n"/>
      <c r="N105" s="11" t="n"/>
      <c r="O105" s="11" t="n"/>
      <c r="P105" s="12" t="n"/>
      <c r="Q105" s="11" t="n"/>
      <c r="R105" s="12" t="n"/>
      <c r="S105" s="11" t="n"/>
      <c r="T105" s="12" t="n"/>
      <c r="U105" s="12" t="n"/>
      <c r="V105" s="14">
        <f>IF($AN105="",IF($B105="","",$H105),IF(INDEX(職員マスタ!$B$6:$B$405,$AN105)="",$H105,INDEX(職員マスタ!$B$6:$B$405,$AN105)))</f>
        <v/>
      </c>
      <c r="W105" s="14">
        <f>IF($AN105="",IF($B105="","",$R105),IF(INDEX(職員マスタ!$C$6:$C$405,$AN105)="",$R105,INDEX(職員マスタ!$C$6:$C$405,$AN105)))</f>
        <v/>
      </c>
      <c r="X105" s="14">
        <f>IF($AO105="","","R"&amp;$C105&amp;"."&amp;$D105)</f>
        <v/>
      </c>
      <c r="Y105" s="15">
        <f>IF($AN105="","",IF(INDEX(職員マスタ!$K$6:$K$405,$AN105)="","",INDEX(職員マスタ!$K$6:$K$405,$AN105)))</f>
        <v/>
      </c>
      <c r="Z105" s="14">
        <f>IF(OR($E105="",$Y105=""),"",IF($E105&gt;=$Y105,"×",IF($E105&gt;=$Y105*設定!$C$5,"△","○")))</f>
        <v/>
      </c>
      <c r="AA105" s="15">
        <f>IF($Z105="","",IF($Z105="×",0,IF($Z105="○",ROUNDDOWN($E105*設定!$C$4,0),ROUNDDOWN($E105*ROUND((9*$Y105-9*$E105)/(10*$E105),4),0))))</f>
        <v/>
      </c>
      <c r="AB105" s="13" t="n"/>
      <c r="AC105" s="15">
        <f>IF($B105="","",IF($AB105&lt;&gt;"",$AB105,IF($AA105="","",IF($AA105&lt;=設定!$C$3,0,$AA105))))</f>
        <v/>
      </c>
      <c r="AD105" s="14">
        <f>IF($B105="","",IF(AND($AE105&lt;&gt;"",$AG105="",$AJ105=""),"保留中",IF($AJ105&lt;&gt;"",IF(N($AC105)&gt;0,"支給済","不支給"),IF($AC105="","要確認",IF($AC105=0,"不支給","未処理")))))</f>
        <v/>
      </c>
      <c r="AE105" s="12" t="n"/>
      <c r="AF105" s="11" t="n"/>
      <c r="AG105" s="11" t="n"/>
      <c r="AH105" s="11" t="n"/>
      <c r="AI105" s="14">
        <f>IF(AND($AD105="保留中",$AF105&lt;&gt;""),TODAY()-$AF105,"")</f>
        <v/>
      </c>
      <c r="AJ105" s="12" t="inlineStr">
        <is>
          <t>R8.4</t>
        </is>
      </c>
      <c r="AK105" s="14">
        <f>IF($B105="","",IF($AO105="","対象年月が未入力／","")&amp;IF($B105="","",IF($AN105="","職員マスタに未登録の職員番号／",IF($Y105="","標準報酬月額が未登録／","")&amp;IF(AND($AO105&lt;&gt;"",OR(AND(INDEX(職員マスタ!$G$6:$G$405,$AN105)&lt;&gt;"",INDEX(職員マスタ!$G$6:$G$405,$AN105)&gt;EOMONTH($AO105,0)),AND(INDEX(職員マスタ!$H$6:$H$405,$AN105)&lt;&gt;"",INDEX(職員マスタ!$H$6:$H$405,$AN105)&lt;$AO105))),"対象月が時短期間外／","")&amp;IF(AND(INDEX(職員マスタ!$F$6:$F$405,$AN105)&lt;&gt;"",$AO105&lt;&gt;"",INDEX(職員マスタ!$F$6:$F$405,$AN105)&lt;$AO105),"対象月に子が2歳到達済／","")&amp;IF(AND($H105&lt;&gt;"",INDEX(職員マスタ!$B$6:$B$405,$AN105)&lt;&gt;"",SUBSTITUTE(SUBSTITUTE($H105," ","")," ","")&lt;&gt;SUBSTITUTE(SUBSTITUTE(INDEX(職員マスタ!$B$6:$B$405,$AN105)," ","")," ","")),"氏名がマスタと相違／","")&amp;IF(AND($Q105&lt;&gt;"",INDEX(職員マスタ!$E$6:$E$405,$AN105)&lt;&gt;"",$Q105&lt;&gt;INDEX(職員マスタ!$E$6:$E$405,$AN105)),"子の生年月日がマスタと相違／","")&amp;IF(AND($L105&lt;&gt;"",INDEX(職員マスタ!$G$6:$G$405,$AN105)&lt;&gt;"",$L105&lt;&gt;INDEX(職員マスタ!$G$6:$G$405,$AN105)),"時短開始日がマスタと相違／","")&amp;IF(AND($M105&lt;&gt;"",INDEX(職員マスタ!$H$6:$H$405,$AN105)&lt;&gt;"",$M105&lt;&gt;INDEX(職員マスタ!$H$6:$H$405,$AN105)),"時短終了日がマスタと相違／","")))&amp;IF(AND($B105&lt;&gt;"",$E105=""),"報酬額が未入力／","")&amp;IF(N($U105)&gt;0,"申請書に入力エラーが残っています／","")&amp;IF(AND($B105&lt;&gt;"",$AO105&lt;&gt;""),IF(COUNTIFS($B$6:$B$3005,$B105,$C$6:$C$3005,$C105,$D$6:$D$3005,$D105)&gt;1,"同じ月の請求が重複しています／",""),"")&amp;IF(AND(N($E105)&gt;0,$Z105&lt;&gt;"",$Z105&lt;&gt;"×",$AC105=0,$AB105=""),"計算額が下限以下のため不支給／",""))</f>
        <v/>
      </c>
      <c r="AL105" s="12" t="n"/>
      <c r="AM105" s="14">
        <f>IF($AD105="保留中",COUNTIF($AD$6:$AD105,"保留中"),"")</f>
        <v/>
      </c>
      <c r="AN105" s="14">
        <f>IF($AO105="","",IF(SUMPRODUCT(MAX((職員マスタ!$A$6:$A$405=$B105)*(((職員マスタ!$G$6:$G$405="")+(職員マスタ!$G$6:$G$405&lt;=EOMONTH($AO105,0)))&gt;0)*(((職員マスタ!$H$6:$H$405="")+(職員マスタ!$H$6:$H$405&gt;=$AO105))&gt;0)*(ROW(職員マスタ!$A$6:$A$405)-5)))&gt;0,SUMPRODUCT(MAX((職員マスタ!$A$6:$A$405=$B105)*(((職員マスタ!$G$6:$G$405="")+(職員マスタ!$G$6:$G$405&lt;=EOMONTH($AO105,0)))&gt;0)*(((職員マスタ!$H$6:$H$405="")+(職員マスタ!$H$6:$H$405&gt;=$AO105))&gt;0)*(ROW(職員マスタ!$A$6:$A$405)-5))),IFERROR(MATCH($B105,職員マスタ!$A$6:$A$405,0),"")))</f>
        <v/>
      </c>
      <c r="AO105" s="16">
        <f>IF(OR($B105="",$C105="",$D105=""),"",DATE($C105+2018,$D105,1))</f>
        <v/>
      </c>
    </row>
    <row r="106">
      <c r="A106" s="11" t="n"/>
      <c r="B106" s="12" t="n">
        <v>6101653</v>
      </c>
      <c r="C106" s="12" t="n">
        <v>7</v>
      </c>
      <c r="D106" s="12" t="n">
        <v>4</v>
      </c>
      <c r="E106" s="13" t="n">
        <v>111266</v>
      </c>
      <c r="F106" s="12" t="n"/>
      <c r="G106" s="13" t="n"/>
      <c r="H106" s="12" t="n"/>
      <c r="I106" s="12" t="n"/>
      <c r="J106" s="12" t="n"/>
      <c r="K106" s="12" t="n"/>
      <c r="L106" s="11" t="n"/>
      <c r="M106" s="11" t="n"/>
      <c r="N106" s="11" t="n"/>
      <c r="O106" s="11" t="n"/>
      <c r="P106" s="12" t="n"/>
      <c r="Q106" s="11" t="n"/>
      <c r="R106" s="12" t="n"/>
      <c r="S106" s="11" t="n"/>
      <c r="T106" s="12" t="n"/>
      <c r="U106" s="12" t="n"/>
      <c r="V106" s="14">
        <f>IF($AN106="",IF($B106="","",$H106),IF(INDEX(職員マスタ!$B$6:$B$405,$AN106)="",$H106,INDEX(職員マスタ!$B$6:$B$405,$AN106)))</f>
        <v/>
      </c>
      <c r="W106" s="14">
        <f>IF($AN106="",IF($B106="","",$R106),IF(INDEX(職員マスタ!$C$6:$C$405,$AN106)="",$R106,INDEX(職員マスタ!$C$6:$C$405,$AN106)))</f>
        <v/>
      </c>
      <c r="X106" s="14">
        <f>IF($AO106="","","R"&amp;$C106&amp;"."&amp;$D106)</f>
        <v/>
      </c>
      <c r="Y106" s="15">
        <f>IF($AN106="","",IF(INDEX(職員マスタ!$K$6:$K$405,$AN106)="","",INDEX(職員マスタ!$K$6:$K$405,$AN106)))</f>
        <v/>
      </c>
      <c r="Z106" s="14">
        <f>IF(OR($E106="",$Y106=""),"",IF($E106&gt;=$Y106,"×",IF($E106&gt;=$Y106*設定!$C$5,"△","○")))</f>
        <v/>
      </c>
      <c r="AA106" s="15">
        <f>IF($Z106="","",IF($Z106="×",0,IF($Z106="○",ROUNDDOWN($E106*設定!$C$4,0),ROUNDDOWN($E106*ROUND((9*$Y106-9*$E106)/(10*$E106),4),0))))</f>
        <v/>
      </c>
      <c r="AB106" s="13" t="n"/>
      <c r="AC106" s="15">
        <f>IF($B106="","",IF($AB106&lt;&gt;"",$AB106,IF($AA106="","",IF($AA106&lt;=設定!$C$3,0,$AA106))))</f>
        <v/>
      </c>
      <c r="AD106" s="14">
        <f>IF($B106="","",IF(AND($AE106&lt;&gt;"",$AG106="",$AJ106=""),"保留中",IF($AJ106&lt;&gt;"",IF(N($AC106)&gt;0,"支給済","不支給"),IF($AC106="","要確認",IF($AC106=0,"不支給","未処理")))))</f>
        <v/>
      </c>
      <c r="AE106" s="12" t="n"/>
      <c r="AF106" s="11" t="n"/>
      <c r="AG106" s="11" t="n"/>
      <c r="AH106" s="11" t="n"/>
      <c r="AI106" s="14">
        <f>IF(AND($AD106="保留中",$AF106&lt;&gt;""),TODAY()-$AF106,"")</f>
        <v/>
      </c>
      <c r="AJ106" s="12" t="inlineStr">
        <is>
          <t>R7.7</t>
        </is>
      </c>
      <c r="AK106" s="14">
        <f>IF($B106="","",IF($AO106="","対象年月が未入力／","")&amp;IF($B106="","",IF($AN106="","職員マスタに未登録の職員番号／",IF($Y106="","標準報酬月額が未登録／","")&amp;IF(AND($AO106&lt;&gt;"",OR(AND(INDEX(職員マスタ!$G$6:$G$405,$AN106)&lt;&gt;"",INDEX(職員マスタ!$G$6:$G$405,$AN106)&gt;EOMONTH($AO106,0)),AND(INDEX(職員マスタ!$H$6:$H$405,$AN106)&lt;&gt;"",INDEX(職員マスタ!$H$6:$H$405,$AN106)&lt;$AO106))),"対象月が時短期間外／","")&amp;IF(AND(INDEX(職員マスタ!$F$6:$F$405,$AN106)&lt;&gt;"",$AO106&lt;&gt;"",INDEX(職員マスタ!$F$6:$F$405,$AN106)&lt;$AO106),"対象月に子が2歳到達済／","")&amp;IF(AND($H106&lt;&gt;"",INDEX(職員マスタ!$B$6:$B$405,$AN106)&lt;&gt;"",SUBSTITUTE(SUBSTITUTE($H106," ","")," ","")&lt;&gt;SUBSTITUTE(SUBSTITUTE(INDEX(職員マスタ!$B$6:$B$405,$AN106)," ","")," ","")),"氏名がマスタと相違／","")&amp;IF(AND($Q106&lt;&gt;"",INDEX(職員マスタ!$E$6:$E$405,$AN106)&lt;&gt;"",$Q106&lt;&gt;INDEX(職員マスタ!$E$6:$E$405,$AN106)),"子の生年月日がマスタと相違／","")&amp;IF(AND($L106&lt;&gt;"",INDEX(職員マスタ!$G$6:$G$405,$AN106)&lt;&gt;"",$L106&lt;&gt;INDEX(職員マスタ!$G$6:$G$405,$AN106)),"時短開始日がマスタと相違／","")&amp;IF(AND($M106&lt;&gt;"",INDEX(職員マスタ!$H$6:$H$405,$AN106)&lt;&gt;"",$M106&lt;&gt;INDEX(職員マスタ!$H$6:$H$405,$AN106)),"時短終了日がマスタと相違／","")))&amp;IF(AND($B106&lt;&gt;"",$E106=""),"報酬額が未入力／","")&amp;IF(N($U106)&gt;0,"申請書に入力エラーが残っています／","")&amp;IF(AND($B106&lt;&gt;"",$AO106&lt;&gt;""),IF(COUNTIFS($B$6:$B$3005,$B106,$C$6:$C$3005,$C106,$D$6:$D$3005,$D106)&gt;1,"同じ月の請求が重複しています／",""),"")&amp;IF(AND(N($E106)&gt;0,$Z106&lt;&gt;"",$Z106&lt;&gt;"×",$AC106=0,$AB106=""),"計算額が下限以下のため不支給／",""))</f>
        <v/>
      </c>
      <c r="AL106" s="12" t="n"/>
      <c r="AM106" s="14">
        <f>IF($AD106="保留中",COUNTIF($AD$6:$AD106,"保留中"),"")</f>
        <v/>
      </c>
      <c r="AN106" s="14">
        <f>IF($AO106="","",IF(SUMPRODUCT(MAX((職員マスタ!$A$6:$A$405=$B106)*(((職員マスタ!$G$6:$G$405="")+(職員マスタ!$G$6:$G$405&lt;=EOMONTH($AO106,0)))&gt;0)*(((職員マスタ!$H$6:$H$405="")+(職員マスタ!$H$6:$H$405&gt;=$AO106))&gt;0)*(ROW(職員マスタ!$A$6:$A$405)-5)))&gt;0,SUMPRODUCT(MAX((職員マスタ!$A$6:$A$405=$B106)*(((職員マスタ!$G$6:$G$405="")+(職員マスタ!$G$6:$G$405&lt;=EOMONTH($AO106,0)))&gt;0)*(((職員マスタ!$H$6:$H$405="")+(職員マスタ!$H$6:$H$405&gt;=$AO106))&gt;0)*(ROW(職員マスタ!$A$6:$A$405)-5))),IFERROR(MATCH($B106,職員マスタ!$A$6:$A$405,0),"")))</f>
        <v/>
      </c>
      <c r="AO106" s="16">
        <f>IF(OR($B106="",$C106="",$D106=""),"",DATE($C106+2018,$D106,1))</f>
        <v/>
      </c>
    </row>
    <row r="107">
      <c r="A107" s="11" t="n"/>
      <c r="B107" s="12" t="n">
        <v>6101653</v>
      </c>
      <c r="C107" s="12" t="n">
        <v>7</v>
      </c>
      <c r="D107" s="12" t="n">
        <v>5</v>
      </c>
      <c r="E107" s="13" t="n">
        <v>198843</v>
      </c>
      <c r="F107" s="12" t="n"/>
      <c r="G107" s="13" t="n"/>
      <c r="H107" s="12" t="n"/>
      <c r="I107" s="12" t="n"/>
      <c r="J107" s="12" t="n"/>
      <c r="K107" s="12" t="n"/>
      <c r="L107" s="11" t="n"/>
      <c r="M107" s="11" t="n"/>
      <c r="N107" s="11" t="n"/>
      <c r="O107" s="11" t="n"/>
      <c r="P107" s="12" t="n"/>
      <c r="Q107" s="11" t="n"/>
      <c r="R107" s="12" t="n"/>
      <c r="S107" s="11" t="n"/>
      <c r="T107" s="12" t="n"/>
      <c r="U107" s="12" t="n"/>
      <c r="V107" s="14">
        <f>IF($AN107="",IF($B107="","",$H107),IF(INDEX(職員マスタ!$B$6:$B$405,$AN107)="",$H107,INDEX(職員マスタ!$B$6:$B$405,$AN107)))</f>
        <v/>
      </c>
      <c r="W107" s="14">
        <f>IF($AN107="",IF($B107="","",$R107),IF(INDEX(職員マスタ!$C$6:$C$405,$AN107)="",$R107,INDEX(職員マスタ!$C$6:$C$405,$AN107)))</f>
        <v/>
      </c>
      <c r="X107" s="14">
        <f>IF($AO107="","","R"&amp;$C107&amp;"."&amp;$D107)</f>
        <v/>
      </c>
      <c r="Y107" s="15">
        <f>IF($AN107="","",IF(INDEX(職員マスタ!$K$6:$K$405,$AN107)="","",INDEX(職員マスタ!$K$6:$K$405,$AN107)))</f>
        <v/>
      </c>
      <c r="Z107" s="14">
        <f>IF(OR($E107="",$Y107=""),"",IF($E107&gt;=$Y107,"×",IF($E107&gt;=$Y107*設定!$C$5,"△","○")))</f>
        <v/>
      </c>
      <c r="AA107" s="15">
        <f>IF($Z107="","",IF($Z107="×",0,IF($Z107="○",ROUNDDOWN($E107*設定!$C$4,0),ROUNDDOWN($E107*ROUND((9*$Y107-9*$E107)/(10*$E107),4),0))))</f>
        <v/>
      </c>
      <c r="AB107" s="13" t="n"/>
      <c r="AC107" s="15">
        <f>IF($B107="","",IF($AB107&lt;&gt;"",$AB107,IF($AA107="","",IF($AA107&lt;=設定!$C$3,0,$AA107))))</f>
        <v/>
      </c>
      <c r="AD107" s="14">
        <f>IF($B107="","",IF(AND($AE107&lt;&gt;"",$AG107="",$AJ107=""),"保留中",IF($AJ107&lt;&gt;"",IF(N($AC107)&gt;0,"支給済","不支給"),IF($AC107="","要確認",IF($AC107=0,"不支給","未処理")))))</f>
        <v/>
      </c>
      <c r="AE107" s="12" t="n"/>
      <c r="AF107" s="11" t="n"/>
      <c r="AG107" s="11" t="n"/>
      <c r="AH107" s="11" t="n"/>
      <c r="AI107" s="14">
        <f>IF(AND($AD107="保留中",$AF107&lt;&gt;""),TODAY()-$AF107,"")</f>
        <v/>
      </c>
      <c r="AJ107" s="12" t="inlineStr">
        <is>
          <t>R7.7</t>
        </is>
      </c>
      <c r="AK107" s="14">
        <f>IF($B107="","",IF($AO107="","対象年月が未入力／","")&amp;IF($B107="","",IF($AN107="","職員マスタに未登録の職員番号／",IF($Y107="","標準報酬月額が未登録／","")&amp;IF(AND($AO107&lt;&gt;"",OR(AND(INDEX(職員マスタ!$G$6:$G$405,$AN107)&lt;&gt;"",INDEX(職員マスタ!$G$6:$G$405,$AN107)&gt;EOMONTH($AO107,0)),AND(INDEX(職員マスタ!$H$6:$H$405,$AN107)&lt;&gt;"",INDEX(職員マスタ!$H$6:$H$405,$AN107)&lt;$AO107))),"対象月が時短期間外／","")&amp;IF(AND(INDEX(職員マスタ!$F$6:$F$405,$AN107)&lt;&gt;"",$AO107&lt;&gt;"",INDEX(職員マスタ!$F$6:$F$405,$AN107)&lt;$AO107),"対象月に子が2歳到達済／","")&amp;IF(AND($H107&lt;&gt;"",INDEX(職員マスタ!$B$6:$B$405,$AN107)&lt;&gt;"",SUBSTITUTE(SUBSTITUTE($H107," ","")," ","")&lt;&gt;SUBSTITUTE(SUBSTITUTE(INDEX(職員マスタ!$B$6:$B$405,$AN107)," ","")," ","")),"氏名がマスタと相違／","")&amp;IF(AND($Q107&lt;&gt;"",INDEX(職員マスタ!$E$6:$E$405,$AN107)&lt;&gt;"",$Q107&lt;&gt;INDEX(職員マスタ!$E$6:$E$405,$AN107)),"子の生年月日がマスタと相違／","")&amp;IF(AND($L107&lt;&gt;"",INDEX(職員マスタ!$G$6:$G$405,$AN107)&lt;&gt;"",$L107&lt;&gt;INDEX(職員マスタ!$G$6:$G$405,$AN107)),"時短開始日がマスタと相違／","")&amp;IF(AND($M107&lt;&gt;"",INDEX(職員マスタ!$H$6:$H$405,$AN107)&lt;&gt;"",$M107&lt;&gt;INDEX(職員マスタ!$H$6:$H$405,$AN107)),"時短終了日がマスタと相違／","")))&amp;IF(AND($B107&lt;&gt;"",$E107=""),"報酬額が未入力／","")&amp;IF(N($U107)&gt;0,"申請書に入力エラーが残っています／","")&amp;IF(AND($B107&lt;&gt;"",$AO107&lt;&gt;""),IF(COUNTIFS($B$6:$B$3005,$B107,$C$6:$C$3005,$C107,$D$6:$D$3005,$D107)&gt;1,"同じ月の請求が重複しています／",""),"")&amp;IF(AND(N($E107)&gt;0,$Z107&lt;&gt;"",$Z107&lt;&gt;"×",$AC107=0,$AB107=""),"計算額が下限以下のため不支給／",""))</f>
        <v/>
      </c>
      <c r="AL107" s="12" t="n"/>
      <c r="AM107" s="14">
        <f>IF($AD107="保留中",COUNTIF($AD$6:$AD107,"保留中"),"")</f>
        <v/>
      </c>
      <c r="AN107" s="14">
        <f>IF($AO107="","",IF(SUMPRODUCT(MAX((職員マスタ!$A$6:$A$405=$B107)*(((職員マスタ!$G$6:$G$405="")+(職員マスタ!$G$6:$G$405&lt;=EOMONTH($AO107,0)))&gt;0)*(((職員マスタ!$H$6:$H$405="")+(職員マスタ!$H$6:$H$405&gt;=$AO107))&gt;0)*(ROW(職員マスタ!$A$6:$A$405)-5)))&gt;0,SUMPRODUCT(MAX((職員マスタ!$A$6:$A$405=$B107)*(((職員マスタ!$G$6:$G$405="")+(職員マスタ!$G$6:$G$405&lt;=EOMONTH($AO107,0)))&gt;0)*(((職員マスタ!$H$6:$H$405="")+(職員マスタ!$H$6:$H$405&gt;=$AO107))&gt;0)*(ROW(職員マスタ!$A$6:$A$405)-5))),IFERROR(MATCH($B107,職員マスタ!$A$6:$A$405,0),"")))</f>
        <v/>
      </c>
      <c r="AO107" s="16">
        <f>IF(OR($B107="",$C107="",$D107=""),"",DATE($C107+2018,$D107,1))</f>
        <v/>
      </c>
    </row>
    <row r="108">
      <c r="A108" s="11" t="n"/>
      <c r="B108" s="12" t="n">
        <v>6101653</v>
      </c>
      <c r="C108" s="12" t="n">
        <v>7</v>
      </c>
      <c r="D108" s="12" t="n">
        <v>6</v>
      </c>
      <c r="E108" s="13" t="n">
        <v>198843</v>
      </c>
      <c r="F108" s="12" t="n"/>
      <c r="G108" s="13" t="n"/>
      <c r="H108" s="12" t="n"/>
      <c r="I108" s="12" t="n"/>
      <c r="J108" s="12" t="n"/>
      <c r="K108" s="12" t="n"/>
      <c r="L108" s="11" t="n"/>
      <c r="M108" s="11" t="n"/>
      <c r="N108" s="11" t="n"/>
      <c r="O108" s="11" t="n"/>
      <c r="P108" s="12" t="n"/>
      <c r="Q108" s="11" t="n"/>
      <c r="R108" s="12" t="n"/>
      <c r="S108" s="11" t="n"/>
      <c r="T108" s="12" t="n"/>
      <c r="U108" s="12" t="n"/>
      <c r="V108" s="14">
        <f>IF($AN108="",IF($B108="","",$H108),IF(INDEX(職員マスタ!$B$6:$B$405,$AN108)="",$H108,INDEX(職員マスタ!$B$6:$B$405,$AN108)))</f>
        <v/>
      </c>
      <c r="W108" s="14">
        <f>IF($AN108="",IF($B108="","",$R108),IF(INDEX(職員マスタ!$C$6:$C$405,$AN108)="",$R108,INDEX(職員マスタ!$C$6:$C$405,$AN108)))</f>
        <v/>
      </c>
      <c r="X108" s="14">
        <f>IF($AO108="","","R"&amp;$C108&amp;"."&amp;$D108)</f>
        <v/>
      </c>
      <c r="Y108" s="15">
        <f>IF($AN108="","",IF(INDEX(職員マスタ!$K$6:$K$405,$AN108)="","",INDEX(職員マスタ!$K$6:$K$405,$AN108)))</f>
        <v/>
      </c>
      <c r="Z108" s="14">
        <f>IF(OR($E108="",$Y108=""),"",IF($E108&gt;=$Y108,"×",IF($E108&gt;=$Y108*設定!$C$5,"△","○")))</f>
        <v/>
      </c>
      <c r="AA108" s="15">
        <f>IF($Z108="","",IF($Z108="×",0,IF($Z108="○",ROUNDDOWN($E108*設定!$C$4,0),ROUNDDOWN($E108*ROUND((9*$Y108-9*$E108)/(10*$E108),4),0))))</f>
        <v/>
      </c>
      <c r="AB108" s="13" t="n"/>
      <c r="AC108" s="15">
        <f>IF($B108="","",IF($AB108&lt;&gt;"",$AB108,IF($AA108="","",IF($AA108&lt;=設定!$C$3,0,$AA108))))</f>
        <v/>
      </c>
      <c r="AD108" s="14">
        <f>IF($B108="","",IF(AND($AE108&lt;&gt;"",$AG108="",$AJ108=""),"保留中",IF($AJ108&lt;&gt;"",IF(N($AC108)&gt;0,"支給済","不支給"),IF($AC108="","要確認",IF($AC108=0,"不支給","未処理")))))</f>
        <v/>
      </c>
      <c r="AE108" s="12" t="n"/>
      <c r="AF108" s="11" t="n"/>
      <c r="AG108" s="11" t="n"/>
      <c r="AH108" s="11" t="n"/>
      <c r="AI108" s="14">
        <f>IF(AND($AD108="保留中",$AF108&lt;&gt;""),TODAY()-$AF108,"")</f>
        <v/>
      </c>
      <c r="AJ108" s="12" t="inlineStr">
        <is>
          <t>R7.10</t>
        </is>
      </c>
      <c r="AK108" s="14">
        <f>IF($B108="","",IF($AO108="","対象年月が未入力／","")&amp;IF($B108="","",IF($AN108="","職員マスタに未登録の職員番号／",IF($Y108="","標準報酬月額が未登録／","")&amp;IF(AND($AO108&lt;&gt;"",OR(AND(INDEX(職員マスタ!$G$6:$G$405,$AN108)&lt;&gt;"",INDEX(職員マスタ!$G$6:$G$405,$AN108)&gt;EOMONTH($AO108,0)),AND(INDEX(職員マスタ!$H$6:$H$405,$AN108)&lt;&gt;"",INDEX(職員マスタ!$H$6:$H$405,$AN108)&lt;$AO108))),"対象月が時短期間外／","")&amp;IF(AND(INDEX(職員マスタ!$F$6:$F$405,$AN108)&lt;&gt;"",$AO108&lt;&gt;"",INDEX(職員マスタ!$F$6:$F$405,$AN108)&lt;$AO108),"対象月に子が2歳到達済／","")&amp;IF(AND($H108&lt;&gt;"",INDEX(職員マスタ!$B$6:$B$405,$AN108)&lt;&gt;"",SUBSTITUTE(SUBSTITUTE($H108," ","")," ","")&lt;&gt;SUBSTITUTE(SUBSTITUTE(INDEX(職員マスタ!$B$6:$B$405,$AN108)," ","")," ","")),"氏名がマスタと相違／","")&amp;IF(AND($Q108&lt;&gt;"",INDEX(職員マスタ!$E$6:$E$405,$AN108)&lt;&gt;"",$Q108&lt;&gt;INDEX(職員マスタ!$E$6:$E$405,$AN108)),"子の生年月日がマスタと相違／","")&amp;IF(AND($L108&lt;&gt;"",INDEX(職員マスタ!$G$6:$G$405,$AN108)&lt;&gt;"",$L108&lt;&gt;INDEX(職員マスタ!$G$6:$G$405,$AN108)),"時短開始日がマスタと相違／","")&amp;IF(AND($M108&lt;&gt;"",INDEX(職員マスタ!$H$6:$H$405,$AN108)&lt;&gt;"",$M108&lt;&gt;INDEX(職員マスタ!$H$6:$H$405,$AN108)),"時短終了日がマスタと相違／","")))&amp;IF(AND($B108&lt;&gt;"",$E108=""),"報酬額が未入力／","")&amp;IF(N($U108)&gt;0,"申請書に入力エラーが残っています／","")&amp;IF(AND($B108&lt;&gt;"",$AO108&lt;&gt;""),IF(COUNTIFS($B$6:$B$3005,$B108,$C$6:$C$3005,$C108,$D$6:$D$3005,$D108)&gt;1,"同じ月の請求が重複しています／",""),"")&amp;IF(AND(N($E108)&gt;0,$Z108&lt;&gt;"",$Z108&lt;&gt;"×",$AC108=0,$AB108=""),"計算額が下限以下のため不支給／",""))</f>
        <v/>
      </c>
      <c r="AL108" s="12" t="n"/>
      <c r="AM108" s="14">
        <f>IF($AD108="保留中",COUNTIF($AD$6:$AD108,"保留中"),"")</f>
        <v/>
      </c>
      <c r="AN108" s="14">
        <f>IF($AO108="","",IF(SUMPRODUCT(MAX((職員マスタ!$A$6:$A$405=$B108)*(((職員マスタ!$G$6:$G$405="")+(職員マスタ!$G$6:$G$405&lt;=EOMONTH($AO108,0)))&gt;0)*(((職員マスタ!$H$6:$H$405="")+(職員マスタ!$H$6:$H$405&gt;=$AO108))&gt;0)*(ROW(職員マスタ!$A$6:$A$405)-5)))&gt;0,SUMPRODUCT(MAX((職員マスタ!$A$6:$A$405=$B108)*(((職員マスタ!$G$6:$G$405="")+(職員マスタ!$G$6:$G$405&lt;=EOMONTH($AO108,0)))&gt;0)*(((職員マスタ!$H$6:$H$405="")+(職員マスタ!$H$6:$H$405&gt;=$AO108))&gt;0)*(ROW(職員マスタ!$A$6:$A$405)-5))),IFERROR(MATCH($B108,職員マスタ!$A$6:$A$405,0),"")))</f>
        <v/>
      </c>
      <c r="AO108" s="16">
        <f>IF(OR($B108="",$C108="",$D108=""),"",DATE($C108+2018,$D108,1))</f>
        <v/>
      </c>
    </row>
    <row r="109">
      <c r="A109" s="11" t="n"/>
      <c r="B109" s="12" t="n">
        <v>6101653</v>
      </c>
      <c r="C109" s="12" t="n">
        <v>7</v>
      </c>
      <c r="D109" s="12" t="n">
        <v>7</v>
      </c>
      <c r="E109" s="13" t="n">
        <v>198843</v>
      </c>
      <c r="F109" s="12" t="n"/>
      <c r="G109" s="13" t="n"/>
      <c r="H109" s="12" t="n"/>
      <c r="I109" s="12" t="n"/>
      <c r="J109" s="12" t="n"/>
      <c r="K109" s="12" t="n"/>
      <c r="L109" s="11" t="n"/>
      <c r="M109" s="11" t="n"/>
      <c r="N109" s="11" t="n"/>
      <c r="O109" s="11" t="n"/>
      <c r="P109" s="12" t="n"/>
      <c r="Q109" s="11" t="n"/>
      <c r="R109" s="12" t="n"/>
      <c r="S109" s="11" t="n"/>
      <c r="T109" s="12" t="n"/>
      <c r="U109" s="12" t="n"/>
      <c r="V109" s="14">
        <f>IF($AN109="",IF($B109="","",$H109),IF(INDEX(職員マスタ!$B$6:$B$405,$AN109)="",$H109,INDEX(職員マスタ!$B$6:$B$405,$AN109)))</f>
        <v/>
      </c>
      <c r="W109" s="14">
        <f>IF($AN109="",IF($B109="","",$R109),IF(INDEX(職員マスタ!$C$6:$C$405,$AN109)="",$R109,INDEX(職員マスタ!$C$6:$C$405,$AN109)))</f>
        <v/>
      </c>
      <c r="X109" s="14">
        <f>IF($AO109="","","R"&amp;$C109&amp;"."&amp;$D109)</f>
        <v/>
      </c>
      <c r="Y109" s="15">
        <f>IF($AN109="","",IF(INDEX(職員マスタ!$K$6:$K$405,$AN109)="","",INDEX(職員マスタ!$K$6:$K$405,$AN109)))</f>
        <v/>
      </c>
      <c r="Z109" s="14">
        <f>IF(OR($E109="",$Y109=""),"",IF($E109&gt;=$Y109,"×",IF($E109&gt;=$Y109*設定!$C$5,"△","○")))</f>
        <v/>
      </c>
      <c r="AA109" s="15">
        <f>IF($Z109="","",IF($Z109="×",0,IF($Z109="○",ROUNDDOWN($E109*設定!$C$4,0),ROUNDDOWN($E109*ROUND((9*$Y109-9*$E109)/(10*$E109),4),0))))</f>
        <v/>
      </c>
      <c r="AB109" s="13" t="n"/>
      <c r="AC109" s="15">
        <f>IF($B109="","",IF($AB109&lt;&gt;"",$AB109,IF($AA109="","",IF($AA109&lt;=設定!$C$3,0,$AA109))))</f>
        <v/>
      </c>
      <c r="AD109" s="14">
        <f>IF($B109="","",IF(AND($AE109&lt;&gt;"",$AG109="",$AJ109=""),"保留中",IF($AJ109&lt;&gt;"",IF(N($AC109)&gt;0,"支給済","不支給"),IF($AC109="","要確認",IF($AC109=0,"不支給","未処理")))))</f>
        <v/>
      </c>
      <c r="AE109" s="12" t="n"/>
      <c r="AF109" s="11" t="n"/>
      <c r="AG109" s="11" t="n"/>
      <c r="AH109" s="11" t="n"/>
      <c r="AI109" s="14">
        <f>IF(AND($AD109="保留中",$AF109&lt;&gt;""),TODAY()-$AF109,"")</f>
        <v/>
      </c>
      <c r="AJ109" s="12" t="inlineStr">
        <is>
          <t>R7.10</t>
        </is>
      </c>
      <c r="AK109" s="14">
        <f>IF($B109="","",IF($AO109="","対象年月が未入力／","")&amp;IF($B109="","",IF($AN109="","職員マスタに未登録の職員番号／",IF($Y109="","標準報酬月額が未登録／","")&amp;IF(AND($AO109&lt;&gt;"",OR(AND(INDEX(職員マスタ!$G$6:$G$405,$AN109)&lt;&gt;"",INDEX(職員マスタ!$G$6:$G$405,$AN109)&gt;EOMONTH($AO109,0)),AND(INDEX(職員マスタ!$H$6:$H$405,$AN109)&lt;&gt;"",INDEX(職員マスタ!$H$6:$H$405,$AN109)&lt;$AO109))),"対象月が時短期間外／","")&amp;IF(AND(INDEX(職員マスタ!$F$6:$F$405,$AN109)&lt;&gt;"",$AO109&lt;&gt;"",INDEX(職員マスタ!$F$6:$F$405,$AN109)&lt;$AO109),"対象月に子が2歳到達済／","")&amp;IF(AND($H109&lt;&gt;"",INDEX(職員マスタ!$B$6:$B$405,$AN109)&lt;&gt;"",SUBSTITUTE(SUBSTITUTE($H109," ","")," ","")&lt;&gt;SUBSTITUTE(SUBSTITUTE(INDEX(職員マスタ!$B$6:$B$405,$AN109)," ","")," ","")),"氏名がマスタと相違／","")&amp;IF(AND($Q109&lt;&gt;"",INDEX(職員マスタ!$E$6:$E$405,$AN109)&lt;&gt;"",$Q109&lt;&gt;INDEX(職員マスタ!$E$6:$E$405,$AN109)),"子の生年月日がマスタと相違／","")&amp;IF(AND($L109&lt;&gt;"",INDEX(職員マスタ!$G$6:$G$405,$AN109)&lt;&gt;"",$L109&lt;&gt;INDEX(職員マスタ!$G$6:$G$405,$AN109)),"時短開始日がマスタと相違／","")&amp;IF(AND($M109&lt;&gt;"",INDEX(職員マスタ!$H$6:$H$405,$AN109)&lt;&gt;"",$M109&lt;&gt;INDEX(職員マスタ!$H$6:$H$405,$AN109)),"時短終了日がマスタと相違／","")))&amp;IF(AND($B109&lt;&gt;"",$E109=""),"報酬額が未入力／","")&amp;IF(N($U109)&gt;0,"申請書に入力エラーが残っています／","")&amp;IF(AND($B109&lt;&gt;"",$AO109&lt;&gt;""),IF(COUNTIFS($B$6:$B$3005,$B109,$C$6:$C$3005,$C109,$D$6:$D$3005,$D109)&gt;1,"同じ月の請求が重複しています／",""),"")&amp;IF(AND(N($E109)&gt;0,$Z109&lt;&gt;"",$Z109&lt;&gt;"×",$AC109=0,$AB109=""),"計算額が下限以下のため不支給／",""))</f>
        <v/>
      </c>
      <c r="AL109" s="12" t="n"/>
      <c r="AM109" s="14">
        <f>IF($AD109="保留中",COUNTIF($AD$6:$AD109,"保留中"),"")</f>
        <v/>
      </c>
      <c r="AN109" s="14">
        <f>IF($AO109="","",IF(SUMPRODUCT(MAX((職員マスタ!$A$6:$A$405=$B109)*(((職員マスタ!$G$6:$G$405="")+(職員マスタ!$G$6:$G$405&lt;=EOMONTH($AO109,0)))&gt;0)*(((職員マスタ!$H$6:$H$405="")+(職員マスタ!$H$6:$H$405&gt;=$AO109))&gt;0)*(ROW(職員マスタ!$A$6:$A$405)-5)))&gt;0,SUMPRODUCT(MAX((職員マスタ!$A$6:$A$405=$B109)*(((職員マスタ!$G$6:$G$405="")+(職員マスタ!$G$6:$G$405&lt;=EOMONTH($AO109,0)))&gt;0)*(((職員マスタ!$H$6:$H$405="")+(職員マスタ!$H$6:$H$405&gt;=$AO109))&gt;0)*(ROW(職員マスタ!$A$6:$A$405)-5))),IFERROR(MATCH($B109,職員マスタ!$A$6:$A$405,0),"")))</f>
        <v/>
      </c>
      <c r="AO109" s="16">
        <f>IF(OR($B109="",$C109="",$D109=""),"",DATE($C109+2018,$D109,1))</f>
        <v/>
      </c>
    </row>
    <row r="110">
      <c r="A110" s="11" t="n"/>
      <c r="B110" s="12" t="n">
        <v>6101653</v>
      </c>
      <c r="C110" s="12" t="n">
        <v>7</v>
      </c>
      <c r="D110" s="12" t="n">
        <v>8</v>
      </c>
      <c r="E110" s="13" t="n">
        <v>198843</v>
      </c>
      <c r="F110" s="12" t="n"/>
      <c r="G110" s="13" t="n"/>
      <c r="H110" s="12" t="n"/>
      <c r="I110" s="12" t="n"/>
      <c r="J110" s="12" t="n"/>
      <c r="K110" s="12" t="n"/>
      <c r="L110" s="11" t="n"/>
      <c r="M110" s="11" t="n"/>
      <c r="N110" s="11" t="n"/>
      <c r="O110" s="11" t="n"/>
      <c r="P110" s="12" t="n"/>
      <c r="Q110" s="11" t="n"/>
      <c r="R110" s="12" t="n"/>
      <c r="S110" s="11" t="n"/>
      <c r="T110" s="12" t="n"/>
      <c r="U110" s="12" t="n"/>
      <c r="V110" s="14">
        <f>IF($AN110="",IF($B110="","",$H110),IF(INDEX(職員マスタ!$B$6:$B$405,$AN110)="",$H110,INDEX(職員マスタ!$B$6:$B$405,$AN110)))</f>
        <v/>
      </c>
      <c r="W110" s="14">
        <f>IF($AN110="",IF($B110="","",$R110),IF(INDEX(職員マスタ!$C$6:$C$405,$AN110)="",$R110,INDEX(職員マスタ!$C$6:$C$405,$AN110)))</f>
        <v/>
      </c>
      <c r="X110" s="14">
        <f>IF($AO110="","","R"&amp;$C110&amp;"."&amp;$D110)</f>
        <v/>
      </c>
      <c r="Y110" s="15">
        <f>IF($AN110="","",IF(INDEX(職員マスタ!$K$6:$K$405,$AN110)="","",INDEX(職員マスタ!$K$6:$K$405,$AN110)))</f>
        <v/>
      </c>
      <c r="Z110" s="14">
        <f>IF(OR($E110="",$Y110=""),"",IF($E110&gt;=$Y110,"×",IF($E110&gt;=$Y110*設定!$C$5,"△","○")))</f>
        <v/>
      </c>
      <c r="AA110" s="15">
        <f>IF($Z110="","",IF($Z110="×",0,IF($Z110="○",ROUNDDOWN($E110*設定!$C$4,0),ROUNDDOWN($E110*ROUND((9*$Y110-9*$E110)/(10*$E110),4),0))))</f>
        <v/>
      </c>
      <c r="AB110" s="13" t="n"/>
      <c r="AC110" s="15">
        <f>IF($B110="","",IF($AB110&lt;&gt;"",$AB110,IF($AA110="","",IF($AA110&lt;=設定!$C$3,0,$AA110))))</f>
        <v/>
      </c>
      <c r="AD110" s="14">
        <f>IF($B110="","",IF(AND($AE110&lt;&gt;"",$AG110="",$AJ110=""),"保留中",IF($AJ110&lt;&gt;"",IF(N($AC110)&gt;0,"支給済","不支給"),IF($AC110="","要確認",IF($AC110=0,"不支給","未処理")))))</f>
        <v/>
      </c>
      <c r="AE110" s="12" t="n"/>
      <c r="AF110" s="11" t="n"/>
      <c r="AG110" s="11" t="n"/>
      <c r="AH110" s="11" t="n"/>
      <c r="AI110" s="14">
        <f>IF(AND($AD110="保留中",$AF110&lt;&gt;""),TODAY()-$AF110,"")</f>
        <v/>
      </c>
      <c r="AJ110" s="12" t="inlineStr">
        <is>
          <t>R7.10</t>
        </is>
      </c>
      <c r="AK110" s="14">
        <f>IF($B110="","",IF($AO110="","対象年月が未入力／","")&amp;IF($B110="","",IF($AN110="","職員マスタに未登録の職員番号／",IF($Y110="","標準報酬月額が未登録／","")&amp;IF(AND($AO110&lt;&gt;"",OR(AND(INDEX(職員マスタ!$G$6:$G$405,$AN110)&lt;&gt;"",INDEX(職員マスタ!$G$6:$G$405,$AN110)&gt;EOMONTH($AO110,0)),AND(INDEX(職員マスタ!$H$6:$H$405,$AN110)&lt;&gt;"",INDEX(職員マスタ!$H$6:$H$405,$AN110)&lt;$AO110))),"対象月が時短期間外／","")&amp;IF(AND(INDEX(職員マスタ!$F$6:$F$405,$AN110)&lt;&gt;"",$AO110&lt;&gt;"",INDEX(職員マスタ!$F$6:$F$405,$AN110)&lt;$AO110),"対象月に子が2歳到達済／","")&amp;IF(AND($H110&lt;&gt;"",INDEX(職員マスタ!$B$6:$B$405,$AN110)&lt;&gt;"",SUBSTITUTE(SUBSTITUTE($H110," ","")," ","")&lt;&gt;SUBSTITUTE(SUBSTITUTE(INDEX(職員マスタ!$B$6:$B$405,$AN110)," ","")," ","")),"氏名がマスタと相違／","")&amp;IF(AND($Q110&lt;&gt;"",INDEX(職員マスタ!$E$6:$E$405,$AN110)&lt;&gt;"",$Q110&lt;&gt;INDEX(職員マスタ!$E$6:$E$405,$AN110)),"子の生年月日がマスタと相違／","")&amp;IF(AND($L110&lt;&gt;"",INDEX(職員マスタ!$G$6:$G$405,$AN110)&lt;&gt;"",$L110&lt;&gt;INDEX(職員マスタ!$G$6:$G$405,$AN110)),"時短開始日がマスタと相違／","")&amp;IF(AND($M110&lt;&gt;"",INDEX(職員マスタ!$H$6:$H$405,$AN110)&lt;&gt;"",$M110&lt;&gt;INDEX(職員マスタ!$H$6:$H$405,$AN110)),"時短終了日がマスタと相違／","")))&amp;IF(AND($B110&lt;&gt;"",$E110=""),"報酬額が未入力／","")&amp;IF(N($U110)&gt;0,"申請書に入力エラーが残っています／","")&amp;IF(AND($B110&lt;&gt;"",$AO110&lt;&gt;""),IF(COUNTIFS($B$6:$B$3005,$B110,$C$6:$C$3005,$C110,$D$6:$D$3005,$D110)&gt;1,"同じ月の請求が重複しています／",""),"")&amp;IF(AND(N($E110)&gt;0,$Z110&lt;&gt;"",$Z110&lt;&gt;"×",$AC110=0,$AB110=""),"計算額が下限以下のため不支給／",""))</f>
        <v/>
      </c>
      <c r="AL110" s="12" t="n"/>
      <c r="AM110" s="14">
        <f>IF($AD110="保留中",COUNTIF($AD$6:$AD110,"保留中"),"")</f>
        <v/>
      </c>
      <c r="AN110" s="14">
        <f>IF($AO110="","",IF(SUMPRODUCT(MAX((職員マスタ!$A$6:$A$405=$B110)*(((職員マスタ!$G$6:$G$405="")+(職員マスタ!$G$6:$G$405&lt;=EOMONTH($AO110,0)))&gt;0)*(((職員マスタ!$H$6:$H$405="")+(職員マスタ!$H$6:$H$405&gt;=$AO110))&gt;0)*(ROW(職員マスタ!$A$6:$A$405)-5)))&gt;0,SUMPRODUCT(MAX((職員マスタ!$A$6:$A$405=$B110)*(((職員マスタ!$G$6:$G$405="")+(職員マスタ!$G$6:$G$405&lt;=EOMONTH($AO110,0)))&gt;0)*(((職員マスタ!$H$6:$H$405="")+(職員マスタ!$H$6:$H$405&gt;=$AO110))&gt;0)*(ROW(職員マスタ!$A$6:$A$405)-5))),IFERROR(MATCH($B110,職員マスタ!$A$6:$A$405,0),"")))</f>
        <v/>
      </c>
      <c r="AO110" s="16">
        <f>IF(OR($B110="",$C110="",$D110=""),"",DATE($C110+2018,$D110,1))</f>
        <v/>
      </c>
    </row>
    <row r="111">
      <c r="A111" s="11" t="n"/>
      <c r="B111" s="12" t="n">
        <v>6101828</v>
      </c>
      <c r="C111" s="12" t="n">
        <v>7</v>
      </c>
      <c r="D111" s="12" t="n">
        <v>11</v>
      </c>
      <c r="E111" s="13" t="n">
        <v>50639</v>
      </c>
      <c r="F111" s="12" t="n"/>
      <c r="G111" s="13" t="n"/>
      <c r="H111" s="12" t="n"/>
      <c r="I111" s="12" t="n"/>
      <c r="J111" s="12" t="n"/>
      <c r="K111" s="12" t="n"/>
      <c r="L111" s="11" t="n"/>
      <c r="M111" s="11" t="n"/>
      <c r="N111" s="11" t="n"/>
      <c r="O111" s="11" t="n"/>
      <c r="P111" s="12" t="n"/>
      <c r="Q111" s="11" t="n"/>
      <c r="R111" s="12" t="n"/>
      <c r="S111" s="11" t="n"/>
      <c r="T111" s="12" t="n"/>
      <c r="U111" s="12" t="n"/>
      <c r="V111" s="14">
        <f>IF($AN111="",IF($B111="","",$H111),IF(INDEX(職員マスタ!$B$6:$B$405,$AN111)="",$H111,INDEX(職員マスタ!$B$6:$B$405,$AN111)))</f>
        <v/>
      </c>
      <c r="W111" s="14">
        <f>IF($AN111="",IF($B111="","",$R111),IF(INDEX(職員マスタ!$C$6:$C$405,$AN111)="",$R111,INDEX(職員マスタ!$C$6:$C$405,$AN111)))</f>
        <v/>
      </c>
      <c r="X111" s="14">
        <f>IF($AO111="","","R"&amp;$C111&amp;"."&amp;$D111)</f>
        <v/>
      </c>
      <c r="Y111" s="15">
        <f>IF($AN111="","",IF(INDEX(職員マスタ!$K$6:$K$405,$AN111)="","",INDEX(職員マスタ!$K$6:$K$405,$AN111)))</f>
        <v/>
      </c>
      <c r="Z111" s="14">
        <f>IF(OR($E111="",$Y111=""),"",IF($E111&gt;=$Y111,"×",IF($E111&gt;=$Y111*設定!$C$5,"△","○")))</f>
        <v/>
      </c>
      <c r="AA111" s="15">
        <f>IF($Z111="","",IF($Z111="×",0,IF($Z111="○",ROUNDDOWN($E111*設定!$C$4,0),ROUNDDOWN($E111*ROUND((9*$Y111-9*$E111)/(10*$E111),4),0))))</f>
        <v/>
      </c>
      <c r="AB111" s="13" t="n"/>
      <c r="AC111" s="15">
        <f>IF($B111="","",IF($AB111&lt;&gt;"",$AB111,IF($AA111="","",IF($AA111&lt;=設定!$C$3,0,$AA111))))</f>
        <v/>
      </c>
      <c r="AD111" s="14">
        <f>IF($B111="","",IF(AND($AE111&lt;&gt;"",$AG111="",$AJ111=""),"保留中",IF($AJ111&lt;&gt;"",IF(N($AC111)&gt;0,"支給済","不支給"),IF($AC111="","要確認",IF($AC111=0,"不支給","未処理")))))</f>
        <v/>
      </c>
      <c r="AE111" s="12" t="n"/>
      <c r="AF111" s="11" t="n"/>
      <c r="AG111" s="11" t="n"/>
      <c r="AH111" s="11" t="n"/>
      <c r="AI111" s="14">
        <f>IF(AND($AD111="保留中",$AF111&lt;&gt;""),TODAY()-$AF111,"")</f>
        <v/>
      </c>
      <c r="AJ111" s="12" t="inlineStr">
        <is>
          <t>R8.1</t>
        </is>
      </c>
      <c r="AK111" s="14">
        <f>IF($B111="","",IF($AO111="","対象年月が未入力／","")&amp;IF($B111="","",IF($AN111="","職員マスタに未登録の職員番号／",IF($Y111="","標準報酬月額が未登録／","")&amp;IF(AND($AO111&lt;&gt;"",OR(AND(INDEX(職員マスタ!$G$6:$G$405,$AN111)&lt;&gt;"",INDEX(職員マスタ!$G$6:$G$405,$AN111)&gt;EOMONTH($AO111,0)),AND(INDEX(職員マスタ!$H$6:$H$405,$AN111)&lt;&gt;"",INDEX(職員マスタ!$H$6:$H$405,$AN111)&lt;$AO111))),"対象月が時短期間外／","")&amp;IF(AND(INDEX(職員マスタ!$F$6:$F$405,$AN111)&lt;&gt;"",$AO111&lt;&gt;"",INDEX(職員マスタ!$F$6:$F$405,$AN111)&lt;$AO111),"対象月に子が2歳到達済／","")&amp;IF(AND($H111&lt;&gt;"",INDEX(職員マスタ!$B$6:$B$405,$AN111)&lt;&gt;"",SUBSTITUTE(SUBSTITUTE($H111," ","")," ","")&lt;&gt;SUBSTITUTE(SUBSTITUTE(INDEX(職員マスタ!$B$6:$B$405,$AN111)," ","")," ","")),"氏名がマスタと相違／","")&amp;IF(AND($Q111&lt;&gt;"",INDEX(職員マスタ!$E$6:$E$405,$AN111)&lt;&gt;"",$Q111&lt;&gt;INDEX(職員マスタ!$E$6:$E$405,$AN111)),"子の生年月日がマスタと相違／","")&amp;IF(AND($L111&lt;&gt;"",INDEX(職員マスタ!$G$6:$G$405,$AN111)&lt;&gt;"",$L111&lt;&gt;INDEX(職員マスタ!$G$6:$G$405,$AN111)),"時短開始日がマスタと相違／","")&amp;IF(AND($M111&lt;&gt;"",INDEX(職員マスタ!$H$6:$H$405,$AN111)&lt;&gt;"",$M111&lt;&gt;INDEX(職員マスタ!$H$6:$H$405,$AN111)),"時短終了日がマスタと相違／","")))&amp;IF(AND($B111&lt;&gt;"",$E111=""),"報酬額が未入力／","")&amp;IF(N($U111)&gt;0,"申請書に入力エラーが残っています／","")&amp;IF(AND($B111&lt;&gt;"",$AO111&lt;&gt;""),IF(COUNTIFS($B$6:$B$3005,$B111,$C$6:$C$3005,$C111,$D$6:$D$3005,$D111)&gt;1,"同じ月の請求が重複しています／",""),"")&amp;IF(AND(N($E111)&gt;0,$Z111&lt;&gt;"",$Z111&lt;&gt;"×",$AC111=0,$AB111=""),"計算額が下限以下のため不支給／",""))</f>
        <v/>
      </c>
      <c r="AL111" s="12" t="n"/>
      <c r="AM111" s="14">
        <f>IF($AD111="保留中",COUNTIF($AD$6:$AD111,"保留中"),"")</f>
        <v/>
      </c>
      <c r="AN111" s="14">
        <f>IF($AO111="","",IF(SUMPRODUCT(MAX((職員マスタ!$A$6:$A$405=$B111)*(((職員マスタ!$G$6:$G$405="")+(職員マスタ!$G$6:$G$405&lt;=EOMONTH($AO111,0)))&gt;0)*(((職員マスタ!$H$6:$H$405="")+(職員マスタ!$H$6:$H$405&gt;=$AO111))&gt;0)*(ROW(職員マスタ!$A$6:$A$405)-5)))&gt;0,SUMPRODUCT(MAX((職員マスタ!$A$6:$A$405=$B111)*(((職員マスタ!$G$6:$G$405="")+(職員マスタ!$G$6:$G$405&lt;=EOMONTH($AO111,0)))&gt;0)*(((職員マスタ!$H$6:$H$405="")+(職員マスタ!$H$6:$H$405&gt;=$AO111))&gt;0)*(ROW(職員マスタ!$A$6:$A$405)-5))),IFERROR(MATCH($B111,職員マスタ!$A$6:$A$405,0),"")))</f>
        <v/>
      </c>
      <c r="AO111" s="16">
        <f>IF(OR($B111="",$C111="",$D111=""),"",DATE($C111+2018,$D111,1))</f>
        <v/>
      </c>
    </row>
    <row r="112">
      <c r="A112" s="11" t="n"/>
      <c r="B112" s="12" t="n">
        <v>6101828</v>
      </c>
      <c r="C112" s="12" t="n">
        <v>7</v>
      </c>
      <c r="D112" s="12" t="n">
        <v>12</v>
      </c>
      <c r="E112" s="13" t="n">
        <v>217271</v>
      </c>
      <c r="F112" s="12" t="n"/>
      <c r="G112" s="13" t="n"/>
      <c r="H112" s="12" t="n"/>
      <c r="I112" s="12" t="n"/>
      <c r="J112" s="12" t="n"/>
      <c r="K112" s="12" t="n"/>
      <c r="L112" s="11" t="n"/>
      <c r="M112" s="11" t="n"/>
      <c r="N112" s="11" t="n"/>
      <c r="O112" s="11" t="n"/>
      <c r="P112" s="12" t="n"/>
      <c r="Q112" s="11" t="n"/>
      <c r="R112" s="12" t="n"/>
      <c r="S112" s="11" t="n"/>
      <c r="T112" s="12" t="n"/>
      <c r="U112" s="12" t="n"/>
      <c r="V112" s="14">
        <f>IF($AN112="",IF($B112="","",$H112),IF(INDEX(職員マスタ!$B$6:$B$405,$AN112)="",$H112,INDEX(職員マスタ!$B$6:$B$405,$AN112)))</f>
        <v/>
      </c>
      <c r="W112" s="14">
        <f>IF($AN112="",IF($B112="","",$R112),IF(INDEX(職員マスタ!$C$6:$C$405,$AN112)="",$R112,INDEX(職員マスタ!$C$6:$C$405,$AN112)))</f>
        <v/>
      </c>
      <c r="X112" s="14">
        <f>IF($AO112="","","R"&amp;$C112&amp;"."&amp;$D112)</f>
        <v/>
      </c>
      <c r="Y112" s="15">
        <f>IF($AN112="","",IF(INDEX(職員マスタ!$K$6:$K$405,$AN112)="","",INDEX(職員マスタ!$K$6:$K$405,$AN112)))</f>
        <v/>
      </c>
      <c r="Z112" s="14">
        <f>IF(OR($E112="",$Y112=""),"",IF($E112&gt;=$Y112,"×",IF($E112&gt;=$Y112*設定!$C$5,"△","○")))</f>
        <v/>
      </c>
      <c r="AA112" s="15">
        <f>IF($Z112="","",IF($Z112="×",0,IF($Z112="○",ROUNDDOWN($E112*設定!$C$4,0),ROUNDDOWN($E112*ROUND((9*$Y112-9*$E112)/(10*$E112),4),0))))</f>
        <v/>
      </c>
      <c r="AB112" s="13" t="n"/>
      <c r="AC112" s="15">
        <f>IF($B112="","",IF($AB112&lt;&gt;"",$AB112,IF($AA112="","",IF($AA112&lt;=設定!$C$3,0,$AA112))))</f>
        <v/>
      </c>
      <c r="AD112" s="14">
        <f>IF($B112="","",IF(AND($AE112&lt;&gt;"",$AG112="",$AJ112=""),"保留中",IF($AJ112&lt;&gt;"",IF(N($AC112)&gt;0,"支給済","不支給"),IF($AC112="","要確認",IF($AC112=0,"不支給","未処理")))))</f>
        <v/>
      </c>
      <c r="AE112" s="12" t="n"/>
      <c r="AF112" s="11" t="n"/>
      <c r="AG112" s="11" t="n"/>
      <c r="AH112" s="11" t="n"/>
      <c r="AI112" s="14">
        <f>IF(AND($AD112="保留中",$AF112&lt;&gt;""),TODAY()-$AF112,"")</f>
        <v/>
      </c>
      <c r="AJ112" s="12" t="inlineStr">
        <is>
          <t>R8.2</t>
        </is>
      </c>
      <c r="AK112" s="14">
        <f>IF($B112="","",IF($AO112="","対象年月が未入力／","")&amp;IF($B112="","",IF($AN112="","職員マスタに未登録の職員番号／",IF($Y112="","標準報酬月額が未登録／","")&amp;IF(AND($AO112&lt;&gt;"",OR(AND(INDEX(職員マスタ!$G$6:$G$405,$AN112)&lt;&gt;"",INDEX(職員マスタ!$G$6:$G$405,$AN112)&gt;EOMONTH($AO112,0)),AND(INDEX(職員マスタ!$H$6:$H$405,$AN112)&lt;&gt;"",INDEX(職員マスタ!$H$6:$H$405,$AN112)&lt;$AO112))),"対象月が時短期間外／","")&amp;IF(AND(INDEX(職員マスタ!$F$6:$F$405,$AN112)&lt;&gt;"",$AO112&lt;&gt;"",INDEX(職員マスタ!$F$6:$F$405,$AN112)&lt;$AO112),"対象月に子が2歳到達済／","")&amp;IF(AND($H112&lt;&gt;"",INDEX(職員マスタ!$B$6:$B$405,$AN112)&lt;&gt;"",SUBSTITUTE(SUBSTITUTE($H112," ","")," ","")&lt;&gt;SUBSTITUTE(SUBSTITUTE(INDEX(職員マスタ!$B$6:$B$405,$AN112)," ","")," ","")),"氏名がマスタと相違／","")&amp;IF(AND($Q112&lt;&gt;"",INDEX(職員マスタ!$E$6:$E$405,$AN112)&lt;&gt;"",$Q112&lt;&gt;INDEX(職員マスタ!$E$6:$E$405,$AN112)),"子の生年月日がマスタと相違／","")&amp;IF(AND($L112&lt;&gt;"",INDEX(職員マスタ!$G$6:$G$405,$AN112)&lt;&gt;"",$L112&lt;&gt;INDEX(職員マスタ!$G$6:$G$405,$AN112)),"時短開始日がマスタと相違／","")&amp;IF(AND($M112&lt;&gt;"",INDEX(職員マスタ!$H$6:$H$405,$AN112)&lt;&gt;"",$M112&lt;&gt;INDEX(職員マスタ!$H$6:$H$405,$AN112)),"時短終了日がマスタと相違／","")))&amp;IF(AND($B112&lt;&gt;"",$E112=""),"報酬額が未入力／","")&amp;IF(N($U112)&gt;0,"申請書に入力エラーが残っています／","")&amp;IF(AND($B112&lt;&gt;"",$AO112&lt;&gt;""),IF(COUNTIFS($B$6:$B$3005,$B112,$C$6:$C$3005,$C112,$D$6:$D$3005,$D112)&gt;1,"同じ月の請求が重複しています／",""),"")&amp;IF(AND(N($E112)&gt;0,$Z112&lt;&gt;"",$Z112&lt;&gt;"×",$AC112=0,$AB112=""),"計算額が下限以下のため不支給／",""))</f>
        <v/>
      </c>
      <c r="AL112" s="12" t="n"/>
      <c r="AM112" s="14">
        <f>IF($AD112="保留中",COUNTIF($AD$6:$AD112,"保留中"),"")</f>
        <v/>
      </c>
      <c r="AN112" s="14">
        <f>IF($AO112="","",IF(SUMPRODUCT(MAX((職員マスタ!$A$6:$A$405=$B112)*(((職員マスタ!$G$6:$G$405="")+(職員マスタ!$G$6:$G$405&lt;=EOMONTH($AO112,0)))&gt;0)*(((職員マスタ!$H$6:$H$405="")+(職員マスタ!$H$6:$H$405&gt;=$AO112))&gt;0)*(ROW(職員マスタ!$A$6:$A$405)-5)))&gt;0,SUMPRODUCT(MAX((職員マスタ!$A$6:$A$405=$B112)*(((職員マスタ!$G$6:$G$405="")+(職員マスタ!$G$6:$G$405&lt;=EOMONTH($AO112,0)))&gt;0)*(((職員マスタ!$H$6:$H$405="")+(職員マスタ!$H$6:$H$405&gt;=$AO112))&gt;0)*(ROW(職員マスタ!$A$6:$A$405)-5))),IFERROR(MATCH($B112,職員マスタ!$A$6:$A$405,0),"")))</f>
        <v/>
      </c>
      <c r="AO112" s="16">
        <f>IF(OR($B112="",$C112="",$D112=""),"",DATE($C112+2018,$D112,1))</f>
        <v/>
      </c>
    </row>
    <row r="113">
      <c r="A113" s="11" t="n"/>
      <c r="B113" s="12" t="n">
        <v>6101828</v>
      </c>
      <c r="C113" s="12" t="n">
        <v>8</v>
      </c>
      <c r="D113" s="12" t="n">
        <v>1</v>
      </c>
      <c r="E113" s="13" t="n">
        <v>221633</v>
      </c>
      <c r="F113" s="12" t="n"/>
      <c r="G113" s="13" t="n"/>
      <c r="H113" s="12" t="n"/>
      <c r="I113" s="12" t="n"/>
      <c r="J113" s="12" t="n"/>
      <c r="K113" s="12" t="n"/>
      <c r="L113" s="11" t="n"/>
      <c r="M113" s="11" t="n"/>
      <c r="N113" s="11" t="n"/>
      <c r="O113" s="11" t="n"/>
      <c r="P113" s="12" t="n"/>
      <c r="Q113" s="11" t="n"/>
      <c r="R113" s="12" t="n"/>
      <c r="S113" s="11" t="n"/>
      <c r="T113" s="12" t="n"/>
      <c r="U113" s="12" t="n"/>
      <c r="V113" s="14">
        <f>IF($AN113="",IF($B113="","",$H113),IF(INDEX(職員マスタ!$B$6:$B$405,$AN113)="",$H113,INDEX(職員マスタ!$B$6:$B$405,$AN113)))</f>
        <v/>
      </c>
      <c r="W113" s="14">
        <f>IF($AN113="",IF($B113="","",$R113),IF(INDEX(職員マスタ!$C$6:$C$405,$AN113)="",$R113,INDEX(職員マスタ!$C$6:$C$405,$AN113)))</f>
        <v/>
      </c>
      <c r="X113" s="14">
        <f>IF($AO113="","","R"&amp;$C113&amp;"."&amp;$D113)</f>
        <v/>
      </c>
      <c r="Y113" s="15">
        <f>IF($AN113="","",IF(INDEX(職員マスタ!$K$6:$K$405,$AN113)="","",INDEX(職員マスタ!$K$6:$K$405,$AN113)))</f>
        <v/>
      </c>
      <c r="Z113" s="14">
        <f>IF(OR($E113="",$Y113=""),"",IF($E113&gt;=$Y113,"×",IF($E113&gt;=$Y113*設定!$C$5,"△","○")))</f>
        <v/>
      </c>
      <c r="AA113" s="15">
        <f>IF($Z113="","",IF($Z113="×",0,IF($Z113="○",ROUNDDOWN($E113*設定!$C$4,0),ROUNDDOWN($E113*ROUND((9*$Y113-9*$E113)/(10*$E113),4),0))))</f>
        <v/>
      </c>
      <c r="AB113" s="13" t="n"/>
      <c r="AC113" s="15">
        <f>IF($B113="","",IF($AB113&lt;&gt;"",$AB113,IF($AA113="","",IF($AA113&lt;=設定!$C$3,0,$AA113))))</f>
        <v/>
      </c>
      <c r="AD113" s="14">
        <f>IF($B113="","",IF(AND($AE113&lt;&gt;"",$AG113="",$AJ113=""),"保留中",IF($AJ113&lt;&gt;"",IF(N($AC113)&gt;0,"支給済","不支給"),IF($AC113="","要確認",IF($AC113=0,"不支給","未処理")))))</f>
        <v/>
      </c>
      <c r="AE113" s="12" t="n"/>
      <c r="AF113" s="11" t="n"/>
      <c r="AG113" s="11" t="n"/>
      <c r="AH113" s="11" t="n"/>
      <c r="AI113" s="14">
        <f>IF(AND($AD113="保留中",$AF113&lt;&gt;""),TODAY()-$AF113,"")</f>
        <v/>
      </c>
      <c r="AJ113" s="12" t="inlineStr">
        <is>
          <t>R8.3</t>
        </is>
      </c>
      <c r="AK113" s="14">
        <f>IF($B113="","",IF($AO113="","対象年月が未入力／","")&amp;IF($B113="","",IF($AN113="","職員マスタに未登録の職員番号／",IF($Y113="","標準報酬月額が未登録／","")&amp;IF(AND($AO113&lt;&gt;"",OR(AND(INDEX(職員マスタ!$G$6:$G$405,$AN113)&lt;&gt;"",INDEX(職員マスタ!$G$6:$G$405,$AN113)&gt;EOMONTH($AO113,0)),AND(INDEX(職員マスタ!$H$6:$H$405,$AN113)&lt;&gt;"",INDEX(職員マスタ!$H$6:$H$405,$AN113)&lt;$AO113))),"対象月が時短期間外／","")&amp;IF(AND(INDEX(職員マスタ!$F$6:$F$405,$AN113)&lt;&gt;"",$AO113&lt;&gt;"",INDEX(職員マスタ!$F$6:$F$405,$AN113)&lt;$AO113),"対象月に子が2歳到達済／","")&amp;IF(AND($H113&lt;&gt;"",INDEX(職員マスタ!$B$6:$B$405,$AN113)&lt;&gt;"",SUBSTITUTE(SUBSTITUTE($H113," ","")," ","")&lt;&gt;SUBSTITUTE(SUBSTITUTE(INDEX(職員マスタ!$B$6:$B$405,$AN113)," ","")," ","")),"氏名がマスタと相違／","")&amp;IF(AND($Q113&lt;&gt;"",INDEX(職員マスタ!$E$6:$E$405,$AN113)&lt;&gt;"",$Q113&lt;&gt;INDEX(職員マスタ!$E$6:$E$405,$AN113)),"子の生年月日がマスタと相違／","")&amp;IF(AND($L113&lt;&gt;"",INDEX(職員マスタ!$G$6:$G$405,$AN113)&lt;&gt;"",$L113&lt;&gt;INDEX(職員マスタ!$G$6:$G$405,$AN113)),"時短開始日がマスタと相違／","")&amp;IF(AND($M113&lt;&gt;"",INDEX(職員マスタ!$H$6:$H$405,$AN113)&lt;&gt;"",$M113&lt;&gt;INDEX(職員マスタ!$H$6:$H$405,$AN113)),"時短終了日がマスタと相違／","")))&amp;IF(AND($B113&lt;&gt;"",$E113=""),"報酬額が未入力／","")&amp;IF(N($U113)&gt;0,"申請書に入力エラーが残っています／","")&amp;IF(AND($B113&lt;&gt;"",$AO113&lt;&gt;""),IF(COUNTIFS($B$6:$B$3005,$B113,$C$6:$C$3005,$C113,$D$6:$D$3005,$D113)&gt;1,"同じ月の請求が重複しています／",""),"")&amp;IF(AND(N($E113)&gt;0,$Z113&lt;&gt;"",$Z113&lt;&gt;"×",$AC113=0,$AB113=""),"計算額が下限以下のため不支給／",""))</f>
        <v/>
      </c>
      <c r="AL113" s="12" t="n"/>
      <c r="AM113" s="14">
        <f>IF($AD113="保留中",COUNTIF($AD$6:$AD113,"保留中"),"")</f>
        <v/>
      </c>
      <c r="AN113" s="14">
        <f>IF($AO113="","",IF(SUMPRODUCT(MAX((職員マスタ!$A$6:$A$405=$B113)*(((職員マスタ!$G$6:$G$405="")+(職員マスタ!$G$6:$G$405&lt;=EOMONTH($AO113,0)))&gt;0)*(((職員マスタ!$H$6:$H$405="")+(職員マスタ!$H$6:$H$405&gt;=$AO113))&gt;0)*(ROW(職員マスタ!$A$6:$A$405)-5)))&gt;0,SUMPRODUCT(MAX((職員マスタ!$A$6:$A$405=$B113)*(((職員マスタ!$G$6:$G$405="")+(職員マスタ!$G$6:$G$405&lt;=EOMONTH($AO113,0)))&gt;0)*(((職員マスタ!$H$6:$H$405="")+(職員マスタ!$H$6:$H$405&gt;=$AO113))&gt;0)*(ROW(職員マスタ!$A$6:$A$405)-5))),IFERROR(MATCH($B113,職員マスタ!$A$6:$A$405,0),"")))</f>
        <v/>
      </c>
      <c r="AO113" s="16">
        <f>IF(OR($B113="",$C113="",$D113=""),"",DATE($C113+2018,$D113,1))</f>
        <v/>
      </c>
    </row>
    <row r="114">
      <c r="A114" s="11" t="n"/>
      <c r="B114" s="12" t="n">
        <v>6101828</v>
      </c>
      <c r="C114" s="12" t="n">
        <v>8</v>
      </c>
      <c r="D114" s="12" t="n">
        <v>2</v>
      </c>
      <c r="E114" s="13" t="n">
        <v>221633</v>
      </c>
      <c r="F114" s="12" t="n"/>
      <c r="G114" s="13" t="n"/>
      <c r="H114" s="12" t="n"/>
      <c r="I114" s="12" t="n"/>
      <c r="J114" s="12" t="n"/>
      <c r="K114" s="12" t="n"/>
      <c r="L114" s="11" t="n"/>
      <c r="M114" s="11" t="n"/>
      <c r="N114" s="11" t="n"/>
      <c r="O114" s="11" t="n"/>
      <c r="P114" s="12" t="n"/>
      <c r="Q114" s="11" t="n"/>
      <c r="R114" s="12" t="n"/>
      <c r="S114" s="11" t="n"/>
      <c r="T114" s="12" t="n"/>
      <c r="U114" s="12" t="n"/>
      <c r="V114" s="14">
        <f>IF($AN114="",IF($B114="","",$H114),IF(INDEX(職員マスタ!$B$6:$B$405,$AN114)="",$H114,INDEX(職員マスタ!$B$6:$B$405,$AN114)))</f>
        <v/>
      </c>
      <c r="W114" s="14">
        <f>IF($AN114="",IF($B114="","",$R114),IF(INDEX(職員マスタ!$C$6:$C$405,$AN114)="",$R114,INDEX(職員マスタ!$C$6:$C$405,$AN114)))</f>
        <v/>
      </c>
      <c r="X114" s="14">
        <f>IF($AO114="","","R"&amp;$C114&amp;"."&amp;$D114)</f>
        <v/>
      </c>
      <c r="Y114" s="15">
        <f>IF($AN114="","",IF(INDEX(職員マスタ!$K$6:$K$405,$AN114)="","",INDEX(職員マスタ!$K$6:$K$405,$AN114)))</f>
        <v/>
      </c>
      <c r="Z114" s="14">
        <f>IF(OR($E114="",$Y114=""),"",IF($E114&gt;=$Y114,"×",IF($E114&gt;=$Y114*設定!$C$5,"△","○")))</f>
        <v/>
      </c>
      <c r="AA114" s="15">
        <f>IF($Z114="","",IF($Z114="×",0,IF($Z114="○",ROUNDDOWN($E114*設定!$C$4,0),ROUNDDOWN($E114*ROUND((9*$Y114-9*$E114)/(10*$E114),4),0))))</f>
        <v/>
      </c>
      <c r="AB114" s="13" t="n"/>
      <c r="AC114" s="15">
        <f>IF($B114="","",IF($AB114&lt;&gt;"",$AB114,IF($AA114="","",IF($AA114&lt;=設定!$C$3,0,$AA114))))</f>
        <v/>
      </c>
      <c r="AD114" s="14">
        <f>IF($B114="","",IF(AND($AE114&lt;&gt;"",$AG114="",$AJ114=""),"保留中",IF($AJ114&lt;&gt;"",IF(N($AC114)&gt;0,"支給済","不支給"),IF($AC114="","要確認",IF($AC114=0,"不支給","未処理")))))</f>
        <v/>
      </c>
      <c r="AE114" s="12" t="n"/>
      <c r="AF114" s="11" t="n"/>
      <c r="AG114" s="11" t="n"/>
      <c r="AH114" s="11" t="n"/>
      <c r="AI114" s="14">
        <f>IF(AND($AD114="保留中",$AF114&lt;&gt;""),TODAY()-$AF114,"")</f>
        <v/>
      </c>
      <c r="AJ114" s="12" t="inlineStr">
        <is>
          <t>R8.4</t>
        </is>
      </c>
      <c r="AK114" s="14">
        <f>IF($B114="","",IF($AO114="","対象年月が未入力／","")&amp;IF($B114="","",IF($AN114="","職員マスタに未登録の職員番号／",IF($Y114="","標準報酬月額が未登録／","")&amp;IF(AND($AO114&lt;&gt;"",OR(AND(INDEX(職員マスタ!$G$6:$G$405,$AN114)&lt;&gt;"",INDEX(職員マスタ!$G$6:$G$405,$AN114)&gt;EOMONTH($AO114,0)),AND(INDEX(職員マスタ!$H$6:$H$405,$AN114)&lt;&gt;"",INDEX(職員マスタ!$H$6:$H$405,$AN114)&lt;$AO114))),"対象月が時短期間外／","")&amp;IF(AND(INDEX(職員マスタ!$F$6:$F$405,$AN114)&lt;&gt;"",$AO114&lt;&gt;"",INDEX(職員マスタ!$F$6:$F$405,$AN114)&lt;$AO114),"対象月に子が2歳到達済／","")&amp;IF(AND($H114&lt;&gt;"",INDEX(職員マスタ!$B$6:$B$405,$AN114)&lt;&gt;"",SUBSTITUTE(SUBSTITUTE($H114," ","")," ","")&lt;&gt;SUBSTITUTE(SUBSTITUTE(INDEX(職員マスタ!$B$6:$B$405,$AN114)," ","")," ","")),"氏名がマスタと相違／","")&amp;IF(AND($Q114&lt;&gt;"",INDEX(職員マスタ!$E$6:$E$405,$AN114)&lt;&gt;"",$Q114&lt;&gt;INDEX(職員マスタ!$E$6:$E$405,$AN114)),"子の生年月日がマスタと相違／","")&amp;IF(AND($L114&lt;&gt;"",INDEX(職員マスタ!$G$6:$G$405,$AN114)&lt;&gt;"",$L114&lt;&gt;INDEX(職員マスタ!$G$6:$G$405,$AN114)),"時短開始日がマスタと相違／","")&amp;IF(AND($M114&lt;&gt;"",INDEX(職員マスタ!$H$6:$H$405,$AN114)&lt;&gt;"",$M114&lt;&gt;INDEX(職員マスタ!$H$6:$H$405,$AN114)),"時短終了日がマスタと相違／","")))&amp;IF(AND($B114&lt;&gt;"",$E114=""),"報酬額が未入力／","")&amp;IF(N($U114)&gt;0,"申請書に入力エラーが残っています／","")&amp;IF(AND($B114&lt;&gt;"",$AO114&lt;&gt;""),IF(COUNTIFS($B$6:$B$3005,$B114,$C$6:$C$3005,$C114,$D$6:$D$3005,$D114)&gt;1,"同じ月の請求が重複しています／",""),"")&amp;IF(AND(N($E114)&gt;0,$Z114&lt;&gt;"",$Z114&lt;&gt;"×",$AC114=0,$AB114=""),"計算額が下限以下のため不支給／",""))</f>
        <v/>
      </c>
      <c r="AL114" s="12" t="n"/>
      <c r="AM114" s="14">
        <f>IF($AD114="保留中",COUNTIF($AD$6:$AD114,"保留中"),"")</f>
        <v/>
      </c>
      <c r="AN114" s="14">
        <f>IF($AO114="","",IF(SUMPRODUCT(MAX((職員マスタ!$A$6:$A$405=$B114)*(((職員マスタ!$G$6:$G$405="")+(職員マスタ!$G$6:$G$405&lt;=EOMONTH($AO114,0)))&gt;0)*(((職員マスタ!$H$6:$H$405="")+(職員マスタ!$H$6:$H$405&gt;=$AO114))&gt;0)*(ROW(職員マスタ!$A$6:$A$405)-5)))&gt;0,SUMPRODUCT(MAX((職員マスタ!$A$6:$A$405=$B114)*(((職員マスタ!$G$6:$G$405="")+(職員マスタ!$G$6:$G$405&lt;=EOMONTH($AO114,0)))&gt;0)*(((職員マスタ!$H$6:$H$405="")+(職員マスタ!$H$6:$H$405&gt;=$AO114))&gt;0)*(ROW(職員マスタ!$A$6:$A$405)-5))),IFERROR(MATCH($B114,職員マスタ!$A$6:$A$405,0),"")))</f>
        <v/>
      </c>
      <c r="AO114" s="16">
        <f>IF(OR($B114="",$C114="",$D114=""),"",DATE($C114+2018,$D114,1))</f>
        <v/>
      </c>
    </row>
    <row r="115">
      <c r="A115" s="11" t="n"/>
      <c r="B115" s="12" t="n">
        <v>6101828</v>
      </c>
      <c r="C115" s="12" t="n">
        <v>8</v>
      </c>
      <c r="D115" s="12" t="n">
        <v>3</v>
      </c>
      <c r="E115" s="13" t="n">
        <v>217271</v>
      </c>
      <c r="F115" s="12" t="n"/>
      <c r="G115" s="13" t="n"/>
      <c r="H115" s="12" t="n"/>
      <c r="I115" s="12" t="n"/>
      <c r="J115" s="12" t="n"/>
      <c r="K115" s="12" t="n"/>
      <c r="L115" s="11" t="n"/>
      <c r="M115" s="11" t="n"/>
      <c r="N115" s="11" t="n"/>
      <c r="O115" s="11" t="n"/>
      <c r="P115" s="12" t="n"/>
      <c r="Q115" s="11" t="n"/>
      <c r="R115" s="12" t="n"/>
      <c r="S115" s="11" t="n"/>
      <c r="T115" s="12" t="n"/>
      <c r="U115" s="12" t="n"/>
      <c r="V115" s="14">
        <f>IF($AN115="",IF($B115="","",$H115),IF(INDEX(職員マスタ!$B$6:$B$405,$AN115)="",$H115,INDEX(職員マスタ!$B$6:$B$405,$AN115)))</f>
        <v/>
      </c>
      <c r="W115" s="14">
        <f>IF($AN115="",IF($B115="","",$R115),IF(INDEX(職員マスタ!$C$6:$C$405,$AN115)="",$R115,INDEX(職員マスタ!$C$6:$C$405,$AN115)))</f>
        <v/>
      </c>
      <c r="X115" s="14">
        <f>IF($AO115="","","R"&amp;$C115&amp;"."&amp;$D115)</f>
        <v/>
      </c>
      <c r="Y115" s="15">
        <f>IF($AN115="","",IF(INDEX(職員マスタ!$K$6:$K$405,$AN115)="","",INDEX(職員マスタ!$K$6:$K$405,$AN115)))</f>
        <v/>
      </c>
      <c r="Z115" s="14">
        <f>IF(OR($E115="",$Y115=""),"",IF($E115&gt;=$Y115,"×",IF($E115&gt;=$Y115*設定!$C$5,"△","○")))</f>
        <v/>
      </c>
      <c r="AA115" s="15">
        <f>IF($Z115="","",IF($Z115="×",0,IF($Z115="○",ROUNDDOWN($E115*設定!$C$4,0),ROUNDDOWN($E115*ROUND((9*$Y115-9*$E115)/(10*$E115),4),0))))</f>
        <v/>
      </c>
      <c r="AB115" s="13" t="n"/>
      <c r="AC115" s="15">
        <f>IF($B115="","",IF($AB115&lt;&gt;"",$AB115,IF($AA115="","",IF($AA115&lt;=設定!$C$3,0,$AA115))))</f>
        <v/>
      </c>
      <c r="AD115" s="14">
        <f>IF($B115="","",IF(AND($AE115&lt;&gt;"",$AG115="",$AJ115=""),"保留中",IF($AJ115&lt;&gt;"",IF(N($AC115)&gt;0,"支給済","不支給"),IF($AC115="","要確認",IF($AC115=0,"不支給","未処理")))))</f>
        <v/>
      </c>
      <c r="AE115" s="12" t="n"/>
      <c r="AF115" s="11" t="n"/>
      <c r="AG115" s="11" t="n"/>
      <c r="AH115" s="11" t="n"/>
      <c r="AI115" s="14">
        <f>IF(AND($AD115="保留中",$AF115&lt;&gt;""),TODAY()-$AF115,"")</f>
        <v/>
      </c>
      <c r="AJ115" s="12" t="inlineStr">
        <is>
          <t>R8.5</t>
        </is>
      </c>
      <c r="AK115" s="14">
        <f>IF($B115="","",IF($AO115="","対象年月が未入力／","")&amp;IF($B115="","",IF($AN115="","職員マスタに未登録の職員番号／",IF($Y115="","標準報酬月額が未登録／","")&amp;IF(AND($AO115&lt;&gt;"",OR(AND(INDEX(職員マスタ!$G$6:$G$405,$AN115)&lt;&gt;"",INDEX(職員マスタ!$G$6:$G$405,$AN115)&gt;EOMONTH($AO115,0)),AND(INDEX(職員マスタ!$H$6:$H$405,$AN115)&lt;&gt;"",INDEX(職員マスタ!$H$6:$H$405,$AN115)&lt;$AO115))),"対象月が時短期間外／","")&amp;IF(AND(INDEX(職員マスタ!$F$6:$F$405,$AN115)&lt;&gt;"",$AO115&lt;&gt;"",INDEX(職員マスタ!$F$6:$F$405,$AN115)&lt;$AO115),"対象月に子が2歳到達済／","")&amp;IF(AND($H115&lt;&gt;"",INDEX(職員マスタ!$B$6:$B$405,$AN115)&lt;&gt;"",SUBSTITUTE(SUBSTITUTE($H115," ","")," ","")&lt;&gt;SUBSTITUTE(SUBSTITUTE(INDEX(職員マスタ!$B$6:$B$405,$AN115)," ","")," ","")),"氏名がマスタと相違／","")&amp;IF(AND($Q115&lt;&gt;"",INDEX(職員マスタ!$E$6:$E$405,$AN115)&lt;&gt;"",$Q115&lt;&gt;INDEX(職員マスタ!$E$6:$E$405,$AN115)),"子の生年月日がマスタと相違／","")&amp;IF(AND($L115&lt;&gt;"",INDEX(職員マスタ!$G$6:$G$405,$AN115)&lt;&gt;"",$L115&lt;&gt;INDEX(職員マスタ!$G$6:$G$405,$AN115)),"時短開始日がマスタと相違／","")&amp;IF(AND($M115&lt;&gt;"",INDEX(職員マスタ!$H$6:$H$405,$AN115)&lt;&gt;"",$M115&lt;&gt;INDEX(職員マスタ!$H$6:$H$405,$AN115)),"時短終了日がマスタと相違／","")))&amp;IF(AND($B115&lt;&gt;"",$E115=""),"報酬額が未入力／","")&amp;IF(N($U115)&gt;0,"申請書に入力エラーが残っています／","")&amp;IF(AND($B115&lt;&gt;"",$AO115&lt;&gt;""),IF(COUNTIFS($B$6:$B$3005,$B115,$C$6:$C$3005,$C115,$D$6:$D$3005,$D115)&gt;1,"同じ月の請求が重複しています／",""),"")&amp;IF(AND(N($E115)&gt;0,$Z115&lt;&gt;"",$Z115&lt;&gt;"×",$AC115=0,$AB115=""),"計算額が下限以下のため不支給／",""))</f>
        <v/>
      </c>
      <c r="AL115" s="12" t="n"/>
      <c r="AM115" s="14">
        <f>IF($AD115="保留中",COUNTIF($AD$6:$AD115,"保留中"),"")</f>
        <v/>
      </c>
      <c r="AN115" s="14">
        <f>IF($AO115="","",IF(SUMPRODUCT(MAX((職員マスタ!$A$6:$A$405=$B115)*(((職員マスタ!$G$6:$G$405="")+(職員マスタ!$G$6:$G$405&lt;=EOMONTH($AO115,0)))&gt;0)*(((職員マスタ!$H$6:$H$405="")+(職員マスタ!$H$6:$H$405&gt;=$AO115))&gt;0)*(ROW(職員マスタ!$A$6:$A$405)-5)))&gt;0,SUMPRODUCT(MAX((職員マスタ!$A$6:$A$405=$B115)*(((職員マスタ!$G$6:$G$405="")+(職員マスタ!$G$6:$G$405&lt;=EOMONTH($AO115,0)))&gt;0)*(((職員マスタ!$H$6:$H$405="")+(職員マスタ!$H$6:$H$405&gt;=$AO115))&gt;0)*(ROW(職員マスタ!$A$6:$A$405)-5))),IFERROR(MATCH($B115,職員マスタ!$A$6:$A$405,0),"")))</f>
        <v/>
      </c>
      <c r="AO115" s="16">
        <f>IF(OR($B115="",$C115="",$D115=""),"",DATE($C115+2018,$D115,1))</f>
        <v/>
      </c>
    </row>
    <row r="116">
      <c r="A116" s="11" t="n"/>
      <c r="B116" s="12" t="n">
        <v>6101828</v>
      </c>
      <c r="C116" s="12" t="n">
        <v>8</v>
      </c>
      <c r="D116" s="12" t="n">
        <v>4</v>
      </c>
      <c r="E116" s="13" t="n">
        <v>229129</v>
      </c>
      <c r="F116" s="12" t="n"/>
      <c r="G116" s="13" t="n"/>
      <c r="H116" s="12" t="n"/>
      <c r="I116" s="12" t="n"/>
      <c r="J116" s="12" t="n"/>
      <c r="K116" s="12" t="n"/>
      <c r="L116" s="11" t="n"/>
      <c r="M116" s="11" t="n"/>
      <c r="N116" s="11" t="n"/>
      <c r="O116" s="11" t="n"/>
      <c r="P116" s="12" t="n"/>
      <c r="Q116" s="11" t="n"/>
      <c r="R116" s="12" t="n"/>
      <c r="S116" s="11" t="n"/>
      <c r="T116" s="12" t="n"/>
      <c r="U116" s="12" t="n"/>
      <c r="V116" s="14">
        <f>IF($AN116="",IF($B116="","",$H116),IF(INDEX(職員マスタ!$B$6:$B$405,$AN116)="",$H116,INDEX(職員マスタ!$B$6:$B$405,$AN116)))</f>
        <v/>
      </c>
      <c r="W116" s="14">
        <f>IF($AN116="",IF($B116="","",$R116),IF(INDEX(職員マスタ!$C$6:$C$405,$AN116)="",$R116,INDEX(職員マスタ!$C$6:$C$405,$AN116)))</f>
        <v/>
      </c>
      <c r="X116" s="14">
        <f>IF($AO116="","","R"&amp;$C116&amp;"."&amp;$D116)</f>
        <v/>
      </c>
      <c r="Y116" s="15">
        <f>IF($AN116="","",IF(INDEX(職員マスタ!$K$6:$K$405,$AN116)="","",INDEX(職員マスタ!$K$6:$K$405,$AN116)))</f>
        <v/>
      </c>
      <c r="Z116" s="14">
        <f>IF(OR($E116="",$Y116=""),"",IF($E116&gt;=$Y116,"×",IF($E116&gt;=$Y116*設定!$C$5,"△","○")))</f>
        <v/>
      </c>
      <c r="AA116" s="15">
        <f>IF($Z116="","",IF($Z116="×",0,IF($Z116="○",ROUNDDOWN($E116*設定!$C$4,0),ROUNDDOWN($E116*ROUND((9*$Y116-9*$E116)/(10*$E116),4),0))))</f>
        <v/>
      </c>
      <c r="AB116" s="13" t="n"/>
      <c r="AC116" s="15">
        <f>IF($B116="","",IF($AB116&lt;&gt;"",$AB116,IF($AA116="","",IF($AA116&lt;=設定!$C$3,0,$AA116))))</f>
        <v/>
      </c>
      <c r="AD116" s="14">
        <f>IF($B116="","",IF(AND($AE116&lt;&gt;"",$AG116="",$AJ116=""),"保留中",IF($AJ116&lt;&gt;"",IF(N($AC116)&gt;0,"支給済","不支給"),IF($AC116="","要確認",IF($AC116=0,"不支給","未処理")))))</f>
        <v/>
      </c>
      <c r="AE116" s="12" t="inlineStr">
        <is>
          <t>育休期間の変更待ち</t>
        </is>
      </c>
      <c r="AF116" s="11" t="n"/>
      <c r="AG116" s="11" t="n"/>
      <c r="AH116" s="11" t="n"/>
      <c r="AI116" s="14">
        <f>IF(AND($AD116="保留中",$AF116&lt;&gt;""),TODAY()-$AF116,"")</f>
        <v/>
      </c>
      <c r="AJ116" s="12" t="n"/>
      <c r="AK116" s="14">
        <f>IF($B116="","",IF($AO116="","対象年月が未入力／","")&amp;IF($B116="","",IF($AN116="","職員マスタに未登録の職員番号／",IF($Y116="","標準報酬月額が未登録／","")&amp;IF(AND($AO116&lt;&gt;"",OR(AND(INDEX(職員マスタ!$G$6:$G$405,$AN116)&lt;&gt;"",INDEX(職員マスタ!$G$6:$G$405,$AN116)&gt;EOMONTH($AO116,0)),AND(INDEX(職員マスタ!$H$6:$H$405,$AN116)&lt;&gt;"",INDEX(職員マスタ!$H$6:$H$405,$AN116)&lt;$AO116))),"対象月が時短期間外／","")&amp;IF(AND(INDEX(職員マスタ!$F$6:$F$405,$AN116)&lt;&gt;"",$AO116&lt;&gt;"",INDEX(職員マスタ!$F$6:$F$405,$AN116)&lt;$AO116),"対象月に子が2歳到達済／","")&amp;IF(AND($H116&lt;&gt;"",INDEX(職員マスタ!$B$6:$B$405,$AN116)&lt;&gt;"",SUBSTITUTE(SUBSTITUTE($H116," ","")," ","")&lt;&gt;SUBSTITUTE(SUBSTITUTE(INDEX(職員マスタ!$B$6:$B$405,$AN116)," ","")," ","")),"氏名がマスタと相違／","")&amp;IF(AND($Q116&lt;&gt;"",INDEX(職員マスタ!$E$6:$E$405,$AN116)&lt;&gt;"",$Q116&lt;&gt;INDEX(職員マスタ!$E$6:$E$405,$AN116)),"子の生年月日がマスタと相違／","")&amp;IF(AND($L116&lt;&gt;"",INDEX(職員マスタ!$G$6:$G$405,$AN116)&lt;&gt;"",$L116&lt;&gt;INDEX(職員マスタ!$G$6:$G$405,$AN116)),"時短開始日がマスタと相違／","")&amp;IF(AND($M116&lt;&gt;"",INDEX(職員マスタ!$H$6:$H$405,$AN116)&lt;&gt;"",$M116&lt;&gt;INDEX(職員マスタ!$H$6:$H$405,$AN116)),"時短終了日がマスタと相違／","")))&amp;IF(AND($B116&lt;&gt;"",$E116=""),"報酬額が未入力／","")&amp;IF(N($U116)&gt;0,"申請書に入力エラーが残っています／","")&amp;IF(AND($B116&lt;&gt;"",$AO116&lt;&gt;""),IF(COUNTIFS($B$6:$B$3005,$B116,$C$6:$C$3005,$C116,$D$6:$D$3005,$D116)&gt;1,"同じ月の請求が重複しています／",""),"")&amp;IF(AND(N($E116)&gt;0,$Z116&lt;&gt;"",$Z116&lt;&gt;"×",$AC116=0,$AB116=""),"計算額が下限以下のため不支給／",""))</f>
        <v/>
      </c>
      <c r="AL116" s="12" t="n"/>
      <c r="AM116" s="14">
        <f>IF($AD116="保留中",COUNTIF($AD$6:$AD116,"保留中"),"")</f>
        <v/>
      </c>
      <c r="AN116" s="14">
        <f>IF($AO116="","",IF(SUMPRODUCT(MAX((職員マスタ!$A$6:$A$405=$B116)*(((職員マスタ!$G$6:$G$405="")+(職員マスタ!$G$6:$G$405&lt;=EOMONTH($AO116,0)))&gt;0)*(((職員マスタ!$H$6:$H$405="")+(職員マスタ!$H$6:$H$405&gt;=$AO116))&gt;0)*(ROW(職員マスタ!$A$6:$A$405)-5)))&gt;0,SUMPRODUCT(MAX((職員マスタ!$A$6:$A$405=$B116)*(((職員マスタ!$G$6:$G$405="")+(職員マスタ!$G$6:$G$405&lt;=EOMONTH($AO116,0)))&gt;0)*(((職員マスタ!$H$6:$H$405="")+(職員マスタ!$H$6:$H$405&gt;=$AO116))&gt;0)*(ROW(職員マスタ!$A$6:$A$405)-5))),IFERROR(MATCH($B116,職員マスタ!$A$6:$A$405,0),"")))</f>
        <v/>
      </c>
      <c r="AO116" s="16">
        <f>IF(OR($B116="",$C116="",$D116=""),"",DATE($C116+2018,$D116,1))</f>
        <v/>
      </c>
    </row>
    <row r="117">
      <c r="A117" s="11" t="n"/>
      <c r="B117" s="12" t="n">
        <v>6101828</v>
      </c>
      <c r="C117" s="12" t="n">
        <v>8</v>
      </c>
      <c r="D117" s="12" t="n">
        <v>5</v>
      </c>
      <c r="E117" s="13" t="n">
        <v>233679</v>
      </c>
      <c r="F117" s="12" t="n"/>
      <c r="G117" s="13" t="n"/>
      <c r="H117" s="12" t="n"/>
      <c r="I117" s="12" t="n"/>
      <c r="J117" s="12" t="n"/>
      <c r="K117" s="12" t="n"/>
      <c r="L117" s="11" t="n"/>
      <c r="M117" s="11" t="n"/>
      <c r="N117" s="11" t="n"/>
      <c r="O117" s="11" t="n"/>
      <c r="P117" s="12" t="n"/>
      <c r="Q117" s="11" t="n"/>
      <c r="R117" s="12" t="n"/>
      <c r="S117" s="11" t="n"/>
      <c r="T117" s="12" t="n"/>
      <c r="U117" s="12" t="n"/>
      <c r="V117" s="14">
        <f>IF($AN117="",IF($B117="","",$H117),IF(INDEX(職員マスタ!$B$6:$B$405,$AN117)="",$H117,INDEX(職員マスタ!$B$6:$B$405,$AN117)))</f>
        <v/>
      </c>
      <c r="W117" s="14">
        <f>IF($AN117="",IF($B117="","",$R117),IF(INDEX(職員マスタ!$C$6:$C$405,$AN117)="",$R117,INDEX(職員マスタ!$C$6:$C$405,$AN117)))</f>
        <v/>
      </c>
      <c r="X117" s="14">
        <f>IF($AO117="","","R"&amp;$C117&amp;"."&amp;$D117)</f>
        <v/>
      </c>
      <c r="Y117" s="15">
        <f>IF($AN117="","",IF(INDEX(職員マスタ!$K$6:$K$405,$AN117)="","",INDEX(職員マスタ!$K$6:$K$405,$AN117)))</f>
        <v/>
      </c>
      <c r="Z117" s="14">
        <f>IF(OR($E117="",$Y117=""),"",IF($E117&gt;=$Y117,"×",IF($E117&gt;=$Y117*設定!$C$5,"△","○")))</f>
        <v/>
      </c>
      <c r="AA117" s="15">
        <f>IF($Z117="","",IF($Z117="×",0,IF($Z117="○",ROUNDDOWN($E117*設定!$C$4,0),ROUNDDOWN($E117*ROUND((9*$Y117-9*$E117)/(10*$E117),4),0))))</f>
        <v/>
      </c>
      <c r="AB117" s="13" t="n"/>
      <c r="AC117" s="15">
        <f>IF($B117="","",IF($AB117&lt;&gt;"",$AB117,IF($AA117="","",IF($AA117&lt;=設定!$C$3,0,$AA117))))</f>
        <v/>
      </c>
      <c r="AD117" s="14">
        <f>IF($B117="","",IF(AND($AE117&lt;&gt;"",$AG117="",$AJ117=""),"保留中",IF($AJ117&lt;&gt;"",IF(N($AC117)&gt;0,"支給済","不支給"),IF($AC117="","要確認",IF($AC117=0,"不支給","未処理")))))</f>
        <v/>
      </c>
      <c r="AE117" s="12" t="inlineStr">
        <is>
          <t>育休期間の変更待ち</t>
        </is>
      </c>
      <c r="AF117" s="11" t="n"/>
      <c r="AG117" s="11" t="n"/>
      <c r="AH117" s="11" t="n"/>
      <c r="AI117" s="14">
        <f>IF(AND($AD117="保留中",$AF117&lt;&gt;""),TODAY()-$AF117,"")</f>
        <v/>
      </c>
      <c r="AJ117" s="12" t="n"/>
      <c r="AK117" s="14">
        <f>IF($B117="","",IF($AO117="","対象年月が未入力／","")&amp;IF($B117="","",IF($AN117="","職員マスタに未登録の職員番号／",IF($Y117="","標準報酬月額が未登録／","")&amp;IF(AND($AO117&lt;&gt;"",OR(AND(INDEX(職員マスタ!$G$6:$G$405,$AN117)&lt;&gt;"",INDEX(職員マスタ!$G$6:$G$405,$AN117)&gt;EOMONTH($AO117,0)),AND(INDEX(職員マスタ!$H$6:$H$405,$AN117)&lt;&gt;"",INDEX(職員マスタ!$H$6:$H$405,$AN117)&lt;$AO117))),"対象月が時短期間外／","")&amp;IF(AND(INDEX(職員マスタ!$F$6:$F$405,$AN117)&lt;&gt;"",$AO117&lt;&gt;"",INDEX(職員マスタ!$F$6:$F$405,$AN117)&lt;$AO117),"対象月に子が2歳到達済／","")&amp;IF(AND($H117&lt;&gt;"",INDEX(職員マスタ!$B$6:$B$405,$AN117)&lt;&gt;"",SUBSTITUTE(SUBSTITUTE($H117," ","")," ","")&lt;&gt;SUBSTITUTE(SUBSTITUTE(INDEX(職員マスタ!$B$6:$B$405,$AN117)," ","")," ","")),"氏名がマスタと相違／","")&amp;IF(AND($Q117&lt;&gt;"",INDEX(職員マスタ!$E$6:$E$405,$AN117)&lt;&gt;"",$Q117&lt;&gt;INDEX(職員マスタ!$E$6:$E$405,$AN117)),"子の生年月日がマスタと相違／","")&amp;IF(AND($L117&lt;&gt;"",INDEX(職員マスタ!$G$6:$G$405,$AN117)&lt;&gt;"",$L117&lt;&gt;INDEX(職員マスタ!$G$6:$G$405,$AN117)),"時短開始日がマスタと相違／","")&amp;IF(AND($M117&lt;&gt;"",INDEX(職員マスタ!$H$6:$H$405,$AN117)&lt;&gt;"",$M117&lt;&gt;INDEX(職員マスタ!$H$6:$H$405,$AN117)),"時短終了日がマスタと相違／","")))&amp;IF(AND($B117&lt;&gt;"",$E117=""),"報酬額が未入力／","")&amp;IF(N($U117)&gt;0,"申請書に入力エラーが残っています／","")&amp;IF(AND($B117&lt;&gt;"",$AO117&lt;&gt;""),IF(COUNTIFS($B$6:$B$3005,$B117,$C$6:$C$3005,$C117,$D$6:$D$3005,$D117)&gt;1,"同じ月の請求が重複しています／",""),"")&amp;IF(AND(N($E117)&gt;0,$Z117&lt;&gt;"",$Z117&lt;&gt;"×",$AC117=0,$AB117=""),"計算額が下限以下のため不支給／",""))</f>
        <v/>
      </c>
      <c r="AL117" s="12" t="n"/>
      <c r="AM117" s="14">
        <f>IF($AD117="保留中",COUNTIF($AD$6:$AD117,"保留中"),"")</f>
        <v/>
      </c>
      <c r="AN117" s="14">
        <f>IF($AO117="","",IF(SUMPRODUCT(MAX((職員マスタ!$A$6:$A$405=$B117)*(((職員マスタ!$G$6:$G$405="")+(職員マスタ!$G$6:$G$405&lt;=EOMONTH($AO117,0)))&gt;0)*(((職員マスタ!$H$6:$H$405="")+(職員マスタ!$H$6:$H$405&gt;=$AO117))&gt;0)*(ROW(職員マスタ!$A$6:$A$405)-5)))&gt;0,SUMPRODUCT(MAX((職員マスタ!$A$6:$A$405=$B117)*(((職員マスタ!$G$6:$G$405="")+(職員マスタ!$G$6:$G$405&lt;=EOMONTH($AO117,0)))&gt;0)*(((職員マスタ!$H$6:$H$405="")+(職員マスタ!$H$6:$H$405&gt;=$AO117))&gt;0)*(ROW(職員マスタ!$A$6:$A$405)-5))),IFERROR(MATCH($B117,職員マスタ!$A$6:$A$405,0),"")))</f>
        <v/>
      </c>
      <c r="AO117" s="16">
        <f>IF(OR($B117="",$C117="",$D117=""),"",DATE($C117+2018,$D117,1))</f>
        <v/>
      </c>
    </row>
    <row r="118">
      <c r="A118" s="11" t="n"/>
      <c r="B118" s="12" t="n">
        <v>6101828</v>
      </c>
      <c r="C118" s="12" t="n">
        <v>8</v>
      </c>
      <c r="D118" s="12" t="n">
        <v>6</v>
      </c>
      <c r="E118" s="13" t="n">
        <v>233679</v>
      </c>
      <c r="F118" s="12" t="n"/>
      <c r="G118" s="13" t="n"/>
      <c r="H118" s="12" t="n"/>
      <c r="I118" s="12" t="n"/>
      <c r="J118" s="12" t="n"/>
      <c r="K118" s="12" t="n"/>
      <c r="L118" s="11" t="n"/>
      <c r="M118" s="11" t="n"/>
      <c r="N118" s="11" t="n"/>
      <c r="O118" s="11" t="n"/>
      <c r="P118" s="12" t="n"/>
      <c r="Q118" s="11" t="n"/>
      <c r="R118" s="12" t="n"/>
      <c r="S118" s="11" t="n"/>
      <c r="T118" s="12" t="n"/>
      <c r="U118" s="12" t="n"/>
      <c r="V118" s="14">
        <f>IF($AN118="",IF($B118="","",$H118),IF(INDEX(職員マスタ!$B$6:$B$405,$AN118)="",$H118,INDEX(職員マスタ!$B$6:$B$405,$AN118)))</f>
        <v/>
      </c>
      <c r="W118" s="14">
        <f>IF($AN118="",IF($B118="","",$R118),IF(INDEX(職員マスタ!$C$6:$C$405,$AN118)="",$R118,INDEX(職員マスタ!$C$6:$C$405,$AN118)))</f>
        <v/>
      </c>
      <c r="X118" s="14">
        <f>IF($AO118="","","R"&amp;$C118&amp;"."&amp;$D118)</f>
        <v/>
      </c>
      <c r="Y118" s="15">
        <f>IF($AN118="","",IF(INDEX(職員マスタ!$K$6:$K$405,$AN118)="","",INDEX(職員マスタ!$K$6:$K$405,$AN118)))</f>
        <v/>
      </c>
      <c r="Z118" s="14">
        <f>IF(OR($E118="",$Y118=""),"",IF($E118&gt;=$Y118,"×",IF($E118&gt;=$Y118*設定!$C$5,"△","○")))</f>
        <v/>
      </c>
      <c r="AA118" s="15">
        <f>IF($Z118="","",IF($Z118="×",0,IF($Z118="○",ROUNDDOWN($E118*設定!$C$4,0),ROUNDDOWN($E118*ROUND((9*$Y118-9*$E118)/(10*$E118),4),0))))</f>
        <v/>
      </c>
      <c r="AB118" s="13" t="n"/>
      <c r="AC118" s="15">
        <f>IF($B118="","",IF($AB118&lt;&gt;"",$AB118,IF($AA118="","",IF($AA118&lt;=設定!$C$3,0,$AA118))))</f>
        <v/>
      </c>
      <c r="AD118" s="14">
        <f>IF($B118="","",IF(AND($AE118&lt;&gt;"",$AG118="",$AJ118=""),"保留中",IF($AJ118&lt;&gt;"",IF(N($AC118)&gt;0,"支給済","不支給"),IF($AC118="","要確認",IF($AC118=0,"不支給","未処理")))))</f>
        <v/>
      </c>
      <c r="AE118" s="12" t="inlineStr">
        <is>
          <t>育休期間の変更待ち</t>
        </is>
      </c>
      <c r="AF118" s="11" t="n"/>
      <c r="AG118" s="11" t="n"/>
      <c r="AH118" s="11" t="n"/>
      <c r="AI118" s="14">
        <f>IF(AND($AD118="保留中",$AF118&lt;&gt;""),TODAY()-$AF118,"")</f>
        <v/>
      </c>
      <c r="AJ118" s="12" t="n"/>
      <c r="AK118" s="14">
        <f>IF($B118="","",IF($AO118="","対象年月が未入力／","")&amp;IF($B118="","",IF($AN118="","職員マスタに未登録の職員番号／",IF($Y118="","標準報酬月額が未登録／","")&amp;IF(AND($AO118&lt;&gt;"",OR(AND(INDEX(職員マスタ!$G$6:$G$405,$AN118)&lt;&gt;"",INDEX(職員マスタ!$G$6:$G$405,$AN118)&gt;EOMONTH($AO118,0)),AND(INDEX(職員マスタ!$H$6:$H$405,$AN118)&lt;&gt;"",INDEX(職員マスタ!$H$6:$H$405,$AN118)&lt;$AO118))),"対象月が時短期間外／","")&amp;IF(AND(INDEX(職員マスタ!$F$6:$F$405,$AN118)&lt;&gt;"",$AO118&lt;&gt;"",INDEX(職員マスタ!$F$6:$F$405,$AN118)&lt;$AO118),"対象月に子が2歳到達済／","")&amp;IF(AND($H118&lt;&gt;"",INDEX(職員マスタ!$B$6:$B$405,$AN118)&lt;&gt;"",SUBSTITUTE(SUBSTITUTE($H118," ","")," ","")&lt;&gt;SUBSTITUTE(SUBSTITUTE(INDEX(職員マスタ!$B$6:$B$405,$AN118)," ","")," ","")),"氏名がマスタと相違／","")&amp;IF(AND($Q118&lt;&gt;"",INDEX(職員マスタ!$E$6:$E$405,$AN118)&lt;&gt;"",$Q118&lt;&gt;INDEX(職員マスタ!$E$6:$E$405,$AN118)),"子の生年月日がマスタと相違／","")&amp;IF(AND($L118&lt;&gt;"",INDEX(職員マスタ!$G$6:$G$405,$AN118)&lt;&gt;"",$L118&lt;&gt;INDEX(職員マスタ!$G$6:$G$405,$AN118)),"時短開始日がマスタと相違／","")&amp;IF(AND($M118&lt;&gt;"",INDEX(職員マスタ!$H$6:$H$405,$AN118)&lt;&gt;"",$M118&lt;&gt;INDEX(職員マスタ!$H$6:$H$405,$AN118)),"時短終了日がマスタと相違／","")))&amp;IF(AND($B118&lt;&gt;"",$E118=""),"報酬額が未入力／","")&amp;IF(N($U118)&gt;0,"申請書に入力エラーが残っています／","")&amp;IF(AND($B118&lt;&gt;"",$AO118&lt;&gt;""),IF(COUNTIFS($B$6:$B$3005,$B118,$C$6:$C$3005,$C118,$D$6:$D$3005,$D118)&gt;1,"同じ月の請求が重複しています／",""),"")&amp;IF(AND(N($E118)&gt;0,$Z118&lt;&gt;"",$Z118&lt;&gt;"×",$AC118=0,$AB118=""),"計算額が下限以下のため不支給／",""))</f>
        <v/>
      </c>
      <c r="AL118" s="12" t="n"/>
      <c r="AM118" s="14">
        <f>IF($AD118="保留中",COUNTIF($AD$6:$AD118,"保留中"),"")</f>
        <v/>
      </c>
      <c r="AN118" s="14">
        <f>IF($AO118="","",IF(SUMPRODUCT(MAX((職員マスタ!$A$6:$A$405=$B118)*(((職員マスタ!$G$6:$G$405="")+(職員マスタ!$G$6:$G$405&lt;=EOMONTH($AO118,0)))&gt;0)*(((職員マスタ!$H$6:$H$405="")+(職員マスタ!$H$6:$H$405&gt;=$AO118))&gt;0)*(ROW(職員マスタ!$A$6:$A$405)-5)))&gt;0,SUMPRODUCT(MAX((職員マスタ!$A$6:$A$405=$B118)*(((職員マスタ!$G$6:$G$405="")+(職員マスタ!$G$6:$G$405&lt;=EOMONTH($AO118,0)))&gt;0)*(((職員マスタ!$H$6:$H$405="")+(職員マスタ!$H$6:$H$405&gt;=$AO118))&gt;0)*(ROW(職員マスタ!$A$6:$A$405)-5))),IFERROR(MATCH($B118,職員マスタ!$A$6:$A$405,0),"")))</f>
        <v/>
      </c>
      <c r="AO118" s="16">
        <f>IF(OR($B118="",$C118="",$D118=""),"",DATE($C118+2018,$D118,1))</f>
        <v/>
      </c>
    </row>
    <row r="119">
      <c r="A119" s="11" t="n"/>
      <c r="B119" s="12" t="n">
        <v>6101828</v>
      </c>
      <c r="C119" s="12" t="n">
        <v>8</v>
      </c>
      <c r="D119" s="12" t="n">
        <v>7</v>
      </c>
      <c r="E119" s="13" t="n">
        <v>229223</v>
      </c>
      <c r="F119" s="12" t="n"/>
      <c r="G119" s="13" t="n"/>
      <c r="H119" s="12" t="n"/>
      <c r="I119" s="12" t="n"/>
      <c r="J119" s="12" t="n"/>
      <c r="K119" s="12" t="n"/>
      <c r="L119" s="11" t="n"/>
      <c r="M119" s="11" t="n"/>
      <c r="N119" s="11" t="n"/>
      <c r="O119" s="11" t="n"/>
      <c r="P119" s="12" t="n"/>
      <c r="Q119" s="11" t="n"/>
      <c r="R119" s="12" t="n"/>
      <c r="S119" s="11" t="n"/>
      <c r="T119" s="12" t="n"/>
      <c r="U119" s="12" t="n"/>
      <c r="V119" s="14">
        <f>IF($AN119="",IF($B119="","",$H119),IF(INDEX(職員マスタ!$B$6:$B$405,$AN119)="",$H119,INDEX(職員マスタ!$B$6:$B$405,$AN119)))</f>
        <v/>
      </c>
      <c r="W119" s="14">
        <f>IF($AN119="",IF($B119="","",$R119),IF(INDEX(職員マスタ!$C$6:$C$405,$AN119)="",$R119,INDEX(職員マスタ!$C$6:$C$405,$AN119)))</f>
        <v/>
      </c>
      <c r="X119" s="14">
        <f>IF($AO119="","","R"&amp;$C119&amp;"."&amp;$D119)</f>
        <v/>
      </c>
      <c r="Y119" s="15">
        <f>IF($AN119="","",IF(INDEX(職員マスタ!$K$6:$K$405,$AN119)="","",INDEX(職員マスタ!$K$6:$K$405,$AN119)))</f>
        <v/>
      </c>
      <c r="Z119" s="14">
        <f>IF(OR($E119="",$Y119=""),"",IF($E119&gt;=$Y119,"×",IF($E119&gt;=$Y119*設定!$C$5,"△","○")))</f>
        <v/>
      </c>
      <c r="AA119" s="15">
        <f>IF($Z119="","",IF($Z119="×",0,IF($Z119="○",ROUNDDOWN($E119*設定!$C$4,0),ROUNDDOWN($E119*ROUND((9*$Y119-9*$E119)/(10*$E119),4),0))))</f>
        <v/>
      </c>
      <c r="AB119" s="13" t="n"/>
      <c r="AC119" s="15">
        <f>IF($B119="","",IF($AB119&lt;&gt;"",$AB119,IF($AA119="","",IF($AA119&lt;=設定!$C$3,0,$AA119))))</f>
        <v/>
      </c>
      <c r="AD119" s="14">
        <f>IF($B119="","",IF(AND($AE119&lt;&gt;"",$AG119="",$AJ119=""),"保留中",IF($AJ119&lt;&gt;"",IF(N($AC119)&gt;0,"支給済","不支給"),IF($AC119="","要確認",IF($AC119=0,"不支給","未処理")))))</f>
        <v/>
      </c>
      <c r="AE119" s="12" t="n"/>
      <c r="AF119" s="11" t="n"/>
      <c r="AG119" s="11" t="n"/>
      <c r="AH119" s="11" t="n"/>
      <c r="AI119" s="14">
        <f>IF(AND($AD119="保留中",$AF119&lt;&gt;""),TODAY()-$AF119,"")</f>
        <v/>
      </c>
      <c r="AJ119" s="12" t="inlineStr">
        <is>
          <t>R8.10</t>
        </is>
      </c>
      <c r="AK119" s="14">
        <f>IF($B119="","",IF($AO119="","対象年月が未入力／","")&amp;IF($B119="","",IF($AN119="","職員マスタに未登録の職員番号／",IF($Y119="","標準報酬月額が未登録／","")&amp;IF(AND($AO119&lt;&gt;"",OR(AND(INDEX(職員マスタ!$G$6:$G$405,$AN119)&lt;&gt;"",INDEX(職員マスタ!$G$6:$G$405,$AN119)&gt;EOMONTH($AO119,0)),AND(INDEX(職員マスタ!$H$6:$H$405,$AN119)&lt;&gt;"",INDEX(職員マスタ!$H$6:$H$405,$AN119)&lt;$AO119))),"対象月が時短期間外／","")&amp;IF(AND(INDEX(職員マスタ!$F$6:$F$405,$AN119)&lt;&gt;"",$AO119&lt;&gt;"",INDEX(職員マスタ!$F$6:$F$405,$AN119)&lt;$AO119),"対象月に子が2歳到達済／","")&amp;IF(AND($H119&lt;&gt;"",INDEX(職員マスタ!$B$6:$B$405,$AN119)&lt;&gt;"",SUBSTITUTE(SUBSTITUTE($H119," ","")," ","")&lt;&gt;SUBSTITUTE(SUBSTITUTE(INDEX(職員マスタ!$B$6:$B$405,$AN119)," ","")," ","")),"氏名がマスタと相違／","")&amp;IF(AND($Q119&lt;&gt;"",INDEX(職員マスタ!$E$6:$E$405,$AN119)&lt;&gt;"",$Q119&lt;&gt;INDEX(職員マスタ!$E$6:$E$405,$AN119)),"子の生年月日がマスタと相違／","")&amp;IF(AND($L119&lt;&gt;"",INDEX(職員マスタ!$G$6:$G$405,$AN119)&lt;&gt;"",$L119&lt;&gt;INDEX(職員マスタ!$G$6:$G$405,$AN119)),"時短開始日がマスタと相違／","")&amp;IF(AND($M119&lt;&gt;"",INDEX(職員マスタ!$H$6:$H$405,$AN119)&lt;&gt;"",$M119&lt;&gt;INDEX(職員マスタ!$H$6:$H$405,$AN119)),"時短終了日がマスタと相違／","")))&amp;IF(AND($B119&lt;&gt;"",$E119=""),"報酬額が未入力／","")&amp;IF(N($U119)&gt;0,"申請書に入力エラーが残っています／","")&amp;IF(AND($B119&lt;&gt;"",$AO119&lt;&gt;""),IF(COUNTIFS($B$6:$B$3005,$B119,$C$6:$C$3005,$C119,$D$6:$D$3005,$D119)&gt;1,"同じ月の請求が重複しています／",""),"")&amp;IF(AND(N($E119)&gt;0,$Z119&lt;&gt;"",$Z119&lt;&gt;"×",$AC119=0,$AB119=""),"計算額が下限以下のため不支給／",""))</f>
        <v/>
      </c>
      <c r="AL119" s="12" t="n"/>
      <c r="AM119" s="14">
        <f>IF($AD119="保留中",COUNTIF($AD$6:$AD119,"保留中"),"")</f>
        <v/>
      </c>
      <c r="AN119" s="14">
        <f>IF($AO119="","",IF(SUMPRODUCT(MAX((職員マスタ!$A$6:$A$405=$B119)*(((職員マスタ!$G$6:$G$405="")+(職員マスタ!$G$6:$G$405&lt;=EOMONTH($AO119,0)))&gt;0)*(((職員マスタ!$H$6:$H$405="")+(職員マスタ!$H$6:$H$405&gt;=$AO119))&gt;0)*(ROW(職員マスタ!$A$6:$A$405)-5)))&gt;0,SUMPRODUCT(MAX((職員マスタ!$A$6:$A$405=$B119)*(((職員マスタ!$G$6:$G$405="")+(職員マスタ!$G$6:$G$405&lt;=EOMONTH($AO119,0)))&gt;0)*(((職員マスタ!$H$6:$H$405="")+(職員マスタ!$H$6:$H$405&gt;=$AO119))&gt;0)*(ROW(職員マスタ!$A$6:$A$405)-5))),IFERROR(MATCH($B119,職員マスタ!$A$6:$A$405,0),"")))</f>
        <v/>
      </c>
      <c r="AO119" s="16">
        <f>IF(OR($B119="",$C119="",$D119=""),"",DATE($C119+2018,$D119,1))</f>
        <v/>
      </c>
    </row>
    <row r="120">
      <c r="A120" s="11" t="n"/>
      <c r="B120" s="12" t="n">
        <v>6101828</v>
      </c>
      <c r="C120" s="12" t="n">
        <v>8</v>
      </c>
      <c r="D120" s="12" t="n">
        <v>8</v>
      </c>
      <c r="E120" s="13" t="n">
        <v>231451</v>
      </c>
      <c r="F120" s="12" t="n"/>
      <c r="G120" s="13" t="n"/>
      <c r="H120" s="12" t="n"/>
      <c r="I120" s="12" t="n"/>
      <c r="J120" s="12" t="n"/>
      <c r="K120" s="12" t="n"/>
      <c r="L120" s="11" t="n"/>
      <c r="M120" s="11" t="n"/>
      <c r="N120" s="11" t="n"/>
      <c r="O120" s="11" t="n"/>
      <c r="P120" s="12" t="n"/>
      <c r="Q120" s="11" t="n"/>
      <c r="R120" s="12" t="n"/>
      <c r="S120" s="11" t="n"/>
      <c r="T120" s="12" t="n"/>
      <c r="U120" s="12" t="n"/>
      <c r="V120" s="14">
        <f>IF($AN120="",IF($B120="","",$H120),IF(INDEX(職員マスタ!$B$6:$B$405,$AN120)="",$H120,INDEX(職員マスタ!$B$6:$B$405,$AN120)))</f>
        <v/>
      </c>
      <c r="W120" s="14">
        <f>IF($AN120="",IF($B120="","",$R120),IF(INDEX(職員マスタ!$C$6:$C$405,$AN120)="",$R120,INDEX(職員マスタ!$C$6:$C$405,$AN120)))</f>
        <v/>
      </c>
      <c r="X120" s="14">
        <f>IF($AO120="","","R"&amp;$C120&amp;"."&amp;$D120)</f>
        <v/>
      </c>
      <c r="Y120" s="15">
        <f>IF($AN120="","",IF(INDEX(職員マスタ!$K$6:$K$405,$AN120)="","",INDEX(職員マスタ!$K$6:$K$405,$AN120)))</f>
        <v/>
      </c>
      <c r="Z120" s="14">
        <f>IF(OR($E120="",$Y120=""),"",IF($E120&gt;=$Y120,"×",IF($E120&gt;=$Y120*設定!$C$5,"△","○")))</f>
        <v/>
      </c>
      <c r="AA120" s="15">
        <f>IF($Z120="","",IF($Z120="×",0,IF($Z120="○",ROUNDDOWN($E120*設定!$C$4,0),ROUNDDOWN($E120*ROUND((9*$Y120-9*$E120)/(10*$E120),4),0))))</f>
        <v/>
      </c>
      <c r="AB120" s="13" t="n"/>
      <c r="AC120" s="15">
        <f>IF($B120="","",IF($AB120&lt;&gt;"",$AB120,IF($AA120="","",IF($AA120&lt;=設定!$C$3,0,$AA120))))</f>
        <v/>
      </c>
      <c r="AD120" s="14">
        <f>IF($B120="","",IF(AND($AE120&lt;&gt;"",$AG120="",$AJ120=""),"保留中",IF($AJ120&lt;&gt;"",IF(N($AC120)&gt;0,"支給済","不支給"),IF($AC120="","要確認",IF($AC120=0,"不支給","未処理")))))</f>
        <v/>
      </c>
      <c r="AE120" s="12" t="n"/>
      <c r="AF120" s="11" t="n"/>
      <c r="AG120" s="11" t="n"/>
      <c r="AH120" s="11" t="n"/>
      <c r="AI120" s="14">
        <f>IF(AND($AD120="保留中",$AF120&lt;&gt;""),TODAY()-$AF120,"")</f>
        <v/>
      </c>
      <c r="AJ120" s="12" t="inlineStr">
        <is>
          <t>R8.10</t>
        </is>
      </c>
      <c r="AK120" s="14">
        <f>IF($B120="","",IF($AO120="","対象年月が未入力／","")&amp;IF($B120="","",IF($AN120="","職員マスタに未登録の職員番号／",IF($Y120="","標準報酬月額が未登録／","")&amp;IF(AND($AO120&lt;&gt;"",OR(AND(INDEX(職員マスタ!$G$6:$G$405,$AN120)&lt;&gt;"",INDEX(職員マスタ!$G$6:$G$405,$AN120)&gt;EOMONTH($AO120,0)),AND(INDEX(職員マスタ!$H$6:$H$405,$AN120)&lt;&gt;"",INDEX(職員マスタ!$H$6:$H$405,$AN120)&lt;$AO120))),"対象月が時短期間外／","")&amp;IF(AND(INDEX(職員マスタ!$F$6:$F$405,$AN120)&lt;&gt;"",$AO120&lt;&gt;"",INDEX(職員マスタ!$F$6:$F$405,$AN120)&lt;$AO120),"対象月に子が2歳到達済／","")&amp;IF(AND($H120&lt;&gt;"",INDEX(職員マスタ!$B$6:$B$405,$AN120)&lt;&gt;"",SUBSTITUTE(SUBSTITUTE($H120," ","")," ","")&lt;&gt;SUBSTITUTE(SUBSTITUTE(INDEX(職員マスタ!$B$6:$B$405,$AN120)," ","")," ","")),"氏名がマスタと相違／","")&amp;IF(AND($Q120&lt;&gt;"",INDEX(職員マスタ!$E$6:$E$405,$AN120)&lt;&gt;"",$Q120&lt;&gt;INDEX(職員マスタ!$E$6:$E$405,$AN120)),"子の生年月日がマスタと相違／","")&amp;IF(AND($L120&lt;&gt;"",INDEX(職員マスタ!$G$6:$G$405,$AN120)&lt;&gt;"",$L120&lt;&gt;INDEX(職員マスタ!$G$6:$G$405,$AN120)),"時短開始日がマスタと相違／","")&amp;IF(AND($M120&lt;&gt;"",INDEX(職員マスタ!$H$6:$H$405,$AN120)&lt;&gt;"",$M120&lt;&gt;INDEX(職員マスタ!$H$6:$H$405,$AN120)),"時短終了日がマスタと相違／","")))&amp;IF(AND($B120&lt;&gt;"",$E120=""),"報酬額が未入力／","")&amp;IF(N($U120)&gt;0,"申請書に入力エラーが残っています／","")&amp;IF(AND($B120&lt;&gt;"",$AO120&lt;&gt;""),IF(COUNTIFS($B$6:$B$3005,$B120,$C$6:$C$3005,$C120,$D$6:$D$3005,$D120)&gt;1,"同じ月の請求が重複しています／",""),"")&amp;IF(AND(N($E120)&gt;0,$Z120&lt;&gt;"",$Z120&lt;&gt;"×",$AC120=0,$AB120=""),"計算額が下限以下のため不支給／",""))</f>
        <v/>
      </c>
      <c r="AL120" s="12" t="n"/>
      <c r="AM120" s="14">
        <f>IF($AD120="保留中",COUNTIF($AD$6:$AD120,"保留中"),"")</f>
        <v/>
      </c>
      <c r="AN120" s="14">
        <f>IF($AO120="","",IF(SUMPRODUCT(MAX((職員マスタ!$A$6:$A$405=$B120)*(((職員マスタ!$G$6:$G$405="")+(職員マスタ!$G$6:$G$405&lt;=EOMONTH($AO120,0)))&gt;0)*(((職員マスタ!$H$6:$H$405="")+(職員マスタ!$H$6:$H$405&gt;=$AO120))&gt;0)*(ROW(職員マスタ!$A$6:$A$405)-5)))&gt;0,SUMPRODUCT(MAX((職員マスタ!$A$6:$A$405=$B120)*(((職員マスタ!$G$6:$G$405="")+(職員マスタ!$G$6:$G$405&lt;=EOMONTH($AO120,0)))&gt;0)*(((職員マスタ!$H$6:$H$405="")+(職員マスタ!$H$6:$H$405&gt;=$AO120))&gt;0)*(ROW(職員マスタ!$A$6:$A$405)-5))),IFERROR(MATCH($B120,職員マスタ!$A$6:$A$405,0),"")))</f>
        <v/>
      </c>
      <c r="AO120" s="16">
        <f>IF(OR($B120="",$C120="",$D120=""),"",DATE($C120+2018,$D120,1))</f>
        <v/>
      </c>
    </row>
    <row r="121">
      <c r="A121" s="11" t="n"/>
      <c r="B121" s="12" t="n">
        <v>6101950</v>
      </c>
      <c r="C121" s="12" t="n">
        <v>7</v>
      </c>
      <c r="D121" s="12" t="n">
        <v>5</v>
      </c>
      <c r="E121" s="13" t="n">
        <v>182570</v>
      </c>
      <c r="F121" s="12" t="n"/>
      <c r="G121" s="13" t="n"/>
      <c r="H121" s="12" t="n"/>
      <c r="I121" s="12" t="n"/>
      <c r="J121" s="12" t="n"/>
      <c r="K121" s="12" t="n"/>
      <c r="L121" s="11" t="n"/>
      <c r="M121" s="11" t="n"/>
      <c r="N121" s="11" t="n"/>
      <c r="O121" s="11" t="n"/>
      <c r="P121" s="12" t="n"/>
      <c r="Q121" s="11" t="n"/>
      <c r="R121" s="12" t="n"/>
      <c r="S121" s="11" t="n"/>
      <c r="T121" s="12" t="n"/>
      <c r="U121" s="12" t="n"/>
      <c r="V121" s="14">
        <f>IF($AN121="",IF($B121="","",$H121),IF(INDEX(職員マスタ!$B$6:$B$405,$AN121)="",$H121,INDEX(職員マスタ!$B$6:$B$405,$AN121)))</f>
        <v/>
      </c>
      <c r="W121" s="14">
        <f>IF($AN121="",IF($B121="","",$R121),IF(INDEX(職員マスタ!$C$6:$C$405,$AN121)="",$R121,INDEX(職員マスタ!$C$6:$C$405,$AN121)))</f>
        <v/>
      </c>
      <c r="X121" s="14">
        <f>IF($AO121="","","R"&amp;$C121&amp;"."&amp;$D121)</f>
        <v/>
      </c>
      <c r="Y121" s="15">
        <f>IF($AN121="","",IF(INDEX(職員マスタ!$K$6:$K$405,$AN121)="","",INDEX(職員マスタ!$K$6:$K$405,$AN121)))</f>
        <v/>
      </c>
      <c r="Z121" s="14">
        <f>IF(OR($E121="",$Y121=""),"",IF($E121&gt;=$Y121,"×",IF($E121&gt;=$Y121*設定!$C$5,"△","○")))</f>
        <v/>
      </c>
      <c r="AA121" s="15">
        <f>IF($Z121="","",IF($Z121="×",0,IF($Z121="○",ROUNDDOWN($E121*設定!$C$4,0),ROUNDDOWN($E121*ROUND((9*$Y121-9*$E121)/(10*$E121),4),0))))</f>
        <v/>
      </c>
      <c r="AB121" s="13" t="n"/>
      <c r="AC121" s="15">
        <f>IF($B121="","",IF($AB121&lt;&gt;"",$AB121,IF($AA121="","",IF($AA121&lt;=設定!$C$3,0,$AA121))))</f>
        <v/>
      </c>
      <c r="AD121" s="14">
        <f>IF($B121="","",IF(AND($AE121&lt;&gt;"",$AG121="",$AJ121=""),"保留中",IF($AJ121&lt;&gt;"",IF(N($AC121)&gt;0,"支給済","不支給"),IF($AC121="","要確認",IF($AC121=0,"不支給","未処理")))))</f>
        <v/>
      </c>
      <c r="AE121" s="12" t="inlineStr">
        <is>
          <t>その他</t>
        </is>
      </c>
      <c r="AF121" s="11" t="n"/>
      <c r="AG121" s="11" t="n"/>
      <c r="AH121" s="11" t="n"/>
      <c r="AI121" s="14">
        <f>IF(AND($AD121="保留中",$AF121&lt;&gt;""),TODAY()-$AF121,"")</f>
        <v/>
      </c>
      <c r="AJ121" s="12" t="inlineStr">
        <is>
          <t>R7.11</t>
        </is>
      </c>
      <c r="AK121" s="14">
        <f>IF($B121="","",IF($AO121="","対象年月が未入力／","")&amp;IF($B121="","",IF($AN121="","職員マスタに未登録の職員番号／",IF($Y121="","標準報酬月額が未登録／","")&amp;IF(AND($AO121&lt;&gt;"",OR(AND(INDEX(職員マスタ!$G$6:$G$405,$AN121)&lt;&gt;"",INDEX(職員マスタ!$G$6:$G$405,$AN121)&gt;EOMONTH($AO121,0)),AND(INDEX(職員マスタ!$H$6:$H$405,$AN121)&lt;&gt;"",INDEX(職員マスタ!$H$6:$H$405,$AN121)&lt;$AO121))),"対象月が時短期間外／","")&amp;IF(AND(INDEX(職員マスタ!$F$6:$F$405,$AN121)&lt;&gt;"",$AO121&lt;&gt;"",INDEX(職員マスタ!$F$6:$F$405,$AN121)&lt;$AO121),"対象月に子が2歳到達済／","")&amp;IF(AND($H121&lt;&gt;"",INDEX(職員マスタ!$B$6:$B$405,$AN121)&lt;&gt;"",SUBSTITUTE(SUBSTITUTE($H121," ","")," ","")&lt;&gt;SUBSTITUTE(SUBSTITUTE(INDEX(職員マスタ!$B$6:$B$405,$AN121)," ","")," ","")),"氏名がマスタと相違／","")&amp;IF(AND($Q121&lt;&gt;"",INDEX(職員マスタ!$E$6:$E$405,$AN121)&lt;&gt;"",$Q121&lt;&gt;INDEX(職員マスタ!$E$6:$E$405,$AN121)),"子の生年月日がマスタと相違／","")&amp;IF(AND($L121&lt;&gt;"",INDEX(職員マスタ!$G$6:$G$405,$AN121)&lt;&gt;"",$L121&lt;&gt;INDEX(職員マスタ!$G$6:$G$405,$AN121)),"時短開始日がマスタと相違／","")&amp;IF(AND($M121&lt;&gt;"",INDEX(職員マスタ!$H$6:$H$405,$AN121)&lt;&gt;"",$M121&lt;&gt;INDEX(職員マスタ!$H$6:$H$405,$AN121)),"時短終了日がマスタと相違／","")))&amp;IF(AND($B121&lt;&gt;"",$E121=""),"報酬額が未入力／","")&amp;IF(N($U121)&gt;0,"申請書に入力エラーが残っています／","")&amp;IF(AND($B121&lt;&gt;"",$AO121&lt;&gt;""),IF(COUNTIFS($B$6:$B$3005,$B121,$C$6:$C$3005,$C121,$D$6:$D$3005,$D121)&gt;1,"同じ月の請求が重複しています／",""),"")&amp;IF(AND(N($E121)&gt;0,$Z121&lt;&gt;"",$Z121&lt;&gt;"×",$AC121=0,$AB121=""),"計算額が下限以下のため不支給／",""))</f>
        <v/>
      </c>
      <c r="AL121" s="12" t="inlineStr">
        <is>
          <t>保留⇒支給</t>
        </is>
      </c>
      <c r="AM121" s="14">
        <f>IF($AD121="保留中",COUNTIF($AD$6:$AD121,"保留中"),"")</f>
        <v/>
      </c>
      <c r="AN121" s="14">
        <f>IF($AO121="","",IF(SUMPRODUCT(MAX((職員マスタ!$A$6:$A$405=$B121)*(((職員マスタ!$G$6:$G$405="")+(職員マスタ!$G$6:$G$405&lt;=EOMONTH($AO121,0)))&gt;0)*(((職員マスタ!$H$6:$H$405="")+(職員マスタ!$H$6:$H$405&gt;=$AO121))&gt;0)*(ROW(職員マスタ!$A$6:$A$405)-5)))&gt;0,SUMPRODUCT(MAX((職員マスタ!$A$6:$A$405=$B121)*(((職員マスタ!$G$6:$G$405="")+(職員マスタ!$G$6:$G$405&lt;=EOMONTH($AO121,0)))&gt;0)*(((職員マスタ!$H$6:$H$405="")+(職員マスタ!$H$6:$H$405&gt;=$AO121))&gt;0)*(ROW(職員マスタ!$A$6:$A$405)-5))),IFERROR(MATCH($B121,職員マスタ!$A$6:$A$405,0),"")))</f>
        <v/>
      </c>
      <c r="AO121" s="16">
        <f>IF(OR($B121="",$C121="",$D121=""),"",DATE($C121+2018,$D121,1))</f>
        <v/>
      </c>
    </row>
    <row r="122">
      <c r="A122" s="11" t="n"/>
      <c r="B122" s="12" t="n">
        <v>6101950</v>
      </c>
      <c r="C122" s="12" t="n">
        <v>7</v>
      </c>
      <c r="D122" s="12" t="n">
        <v>6</v>
      </c>
      <c r="E122" s="13" t="n">
        <v>182570</v>
      </c>
      <c r="F122" s="12" t="n"/>
      <c r="G122" s="13" t="n"/>
      <c r="H122" s="12" t="n"/>
      <c r="I122" s="12" t="n"/>
      <c r="J122" s="12" t="n"/>
      <c r="K122" s="12" t="n"/>
      <c r="L122" s="11" t="n"/>
      <c r="M122" s="11" t="n"/>
      <c r="N122" s="11" t="n"/>
      <c r="O122" s="11" t="n"/>
      <c r="P122" s="12" t="n"/>
      <c r="Q122" s="11" t="n"/>
      <c r="R122" s="12" t="n"/>
      <c r="S122" s="11" t="n"/>
      <c r="T122" s="12" t="n"/>
      <c r="U122" s="12" t="n"/>
      <c r="V122" s="14">
        <f>IF($AN122="",IF($B122="","",$H122),IF(INDEX(職員マスタ!$B$6:$B$405,$AN122)="",$H122,INDEX(職員マスタ!$B$6:$B$405,$AN122)))</f>
        <v/>
      </c>
      <c r="W122" s="14">
        <f>IF($AN122="",IF($B122="","",$R122),IF(INDEX(職員マスタ!$C$6:$C$405,$AN122)="",$R122,INDEX(職員マスタ!$C$6:$C$405,$AN122)))</f>
        <v/>
      </c>
      <c r="X122" s="14">
        <f>IF($AO122="","","R"&amp;$C122&amp;"."&amp;$D122)</f>
        <v/>
      </c>
      <c r="Y122" s="15">
        <f>IF($AN122="","",IF(INDEX(職員マスタ!$K$6:$K$405,$AN122)="","",INDEX(職員マスタ!$K$6:$K$405,$AN122)))</f>
        <v/>
      </c>
      <c r="Z122" s="14">
        <f>IF(OR($E122="",$Y122=""),"",IF($E122&gt;=$Y122,"×",IF($E122&gt;=$Y122*設定!$C$5,"△","○")))</f>
        <v/>
      </c>
      <c r="AA122" s="15">
        <f>IF($Z122="","",IF($Z122="×",0,IF($Z122="○",ROUNDDOWN($E122*設定!$C$4,0),ROUNDDOWN($E122*ROUND((9*$Y122-9*$E122)/(10*$E122),4),0))))</f>
        <v/>
      </c>
      <c r="AB122" s="13" t="n"/>
      <c r="AC122" s="15">
        <f>IF($B122="","",IF($AB122&lt;&gt;"",$AB122,IF($AA122="","",IF($AA122&lt;=設定!$C$3,0,$AA122))))</f>
        <v/>
      </c>
      <c r="AD122" s="14">
        <f>IF($B122="","",IF(AND($AE122&lt;&gt;"",$AG122="",$AJ122=""),"保留中",IF($AJ122&lt;&gt;"",IF(N($AC122)&gt;0,"支給済","不支給"),IF($AC122="","要確認",IF($AC122=0,"不支給","未処理")))))</f>
        <v/>
      </c>
      <c r="AE122" s="12" t="inlineStr">
        <is>
          <t>その他</t>
        </is>
      </c>
      <c r="AF122" s="11" t="n"/>
      <c r="AG122" s="11" t="n"/>
      <c r="AH122" s="11" t="n"/>
      <c r="AI122" s="14">
        <f>IF(AND($AD122="保留中",$AF122&lt;&gt;""),TODAY()-$AF122,"")</f>
        <v/>
      </c>
      <c r="AJ122" s="12" t="inlineStr">
        <is>
          <t>R7.11</t>
        </is>
      </c>
      <c r="AK122" s="14">
        <f>IF($B122="","",IF($AO122="","対象年月が未入力／","")&amp;IF($B122="","",IF($AN122="","職員マスタに未登録の職員番号／",IF($Y122="","標準報酬月額が未登録／","")&amp;IF(AND($AO122&lt;&gt;"",OR(AND(INDEX(職員マスタ!$G$6:$G$405,$AN122)&lt;&gt;"",INDEX(職員マスタ!$G$6:$G$405,$AN122)&gt;EOMONTH($AO122,0)),AND(INDEX(職員マスタ!$H$6:$H$405,$AN122)&lt;&gt;"",INDEX(職員マスタ!$H$6:$H$405,$AN122)&lt;$AO122))),"対象月が時短期間外／","")&amp;IF(AND(INDEX(職員マスタ!$F$6:$F$405,$AN122)&lt;&gt;"",$AO122&lt;&gt;"",INDEX(職員マスタ!$F$6:$F$405,$AN122)&lt;$AO122),"対象月に子が2歳到達済／","")&amp;IF(AND($H122&lt;&gt;"",INDEX(職員マスタ!$B$6:$B$405,$AN122)&lt;&gt;"",SUBSTITUTE(SUBSTITUTE($H122," ","")," ","")&lt;&gt;SUBSTITUTE(SUBSTITUTE(INDEX(職員マスタ!$B$6:$B$405,$AN122)," ","")," ","")),"氏名がマスタと相違／","")&amp;IF(AND($Q122&lt;&gt;"",INDEX(職員マスタ!$E$6:$E$405,$AN122)&lt;&gt;"",$Q122&lt;&gt;INDEX(職員マスタ!$E$6:$E$405,$AN122)),"子の生年月日がマスタと相違／","")&amp;IF(AND($L122&lt;&gt;"",INDEX(職員マスタ!$G$6:$G$405,$AN122)&lt;&gt;"",$L122&lt;&gt;INDEX(職員マスタ!$G$6:$G$405,$AN122)),"時短開始日がマスタと相違／","")&amp;IF(AND($M122&lt;&gt;"",INDEX(職員マスタ!$H$6:$H$405,$AN122)&lt;&gt;"",$M122&lt;&gt;INDEX(職員マスタ!$H$6:$H$405,$AN122)),"時短終了日がマスタと相違／","")))&amp;IF(AND($B122&lt;&gt;"",$E122=""),"報酬額が未入力／","")&amp;IF(N($U122)&gt;0,"申請書に入力エラーが残っています／","")&amp;IF(AND($B122&lt;&gt;"",$AO122&lt;&gt;""),IF(COUNTIFS($B$6:$B$3005,$B122,$C$6:$C$3005,$C122,$D$6:$D$3005,$D122)&gt;1,"同じ月の請求が重複しています／",""),"")&amp;IF(AND(N($E122)&gt;0,$Z122&lt;&gt;"",$Z122&lt;&gt;"×",$AC122=0,$AB122=""),"計算額が下限以下のため不支給／",""))</f>
        <v/>
      </c>
      <c r="AL122" s="12" t="inlineStr">
        <is>
          <t>保留⇒支給</t>
        </is>
      </c>
      <c r="AM122" s="14">
        <f>IF($AD122="保留中",COUNTIF($AD$6:$AD122,"保留中"),"")</f>
        <v/>
      </c>
      <c r="AN122" s="14">
        <f>IF($AO122="","",IF(SUMPRODUCT(MAX((職員マスタ!$A$6:$A$405=$B122)*(((職員マスタ!$G$6:$G$405="")+(職員マスタ!$G$6:$G$405&lt;=EOMONTH($AO122,0)))&gt;0)*(((職員マスタ!$H$6:$H$405="")+(職員マスタ!$H$6:$H$405&gt;=$AO122))&gt;0)*(ROW(職員マスタ!$A$6:$A$405)-5)))&gt;0,SUMPRODUCT(MAX((職員マスタ!$A$6:$A$405=$B122)*(((職員マスタ!$G$6:$G$405="")+(職員マスタ!$G$6:$G$405&lt;=EOMONTH($AO122,0)))&gt;0)*(((職員マスタ!$H$6:$H$405="")+(職員マスタ!$H$6:$H$405&gt;=$AO122))&gt;0)*(ROW(職員マスタ!$A$6:$A$405)-5))),IFERROR(MATCH($B122,職員マスタ!$A$6:$A$405,0),"")))</f>
        <v/>
      </c>
      <c r="AO122" s="16">
        <f>IF(OR($B122="",$C122="",$D122=""),"",DATE($C122+2018,$D122,1))</f>
        <v/>
      </c>
    </row>
    <row r="123">
      <c r="A123" s="11" t="n"/>
      <c r="B123" s="12" t="n">
        <v>6101950</v>
      </c>
      <c r="C123" s="12" t="n">
        <v>7</v>
      </c>
      <c r="D123" s="12" t="n">
        <v>7</v>
      </c>
      <c r="E123" s="13" t="n">
        <v>182570</v>
      </c>
      <c r="F123" s="12" t="n"/>
      <c r="G123" s="13" t="n"/>
      <c r="H123" s="12" t="n"/>
      <c r="I123" s="12" t="n"/>
      <c r="J123" s="12" t="n"/>
      <c r="K123" s="12" t="n"/>
      <c r="L123" s="11" t="n"/>
      <c r="M123" s="11" t="n"/>
      <c r="N123" s="11" t="n"/>
      <c r="O123" s="11" t="n"/>
      <c r="P123" s="12" t="n"/>
      <c r="Q123" s="11" t="n"/>
      <c r="R123" s="12" t="n"/>
      <c r="S123" s="11" t="n"/>
      <c r="T123" s="12" t="n"/>
      <c r="U123" s="12" t="n"/>
      <c r="V123" s="14">
        <f>IF($AN123="",IF($B123="","",$H123),IF(INDEX(職員マスタ!$B$6:$B$405,$AN123)="",$H123,INDEX(職員マスタ!$B$6:$B$405,$AN123)))</f>
        <v/>
      </c>
      <c r="W123" s="14">
        <f>IF($AN123="",IF($B123="","",$R123),IF(INDEX(職員マスタ!$C$6:$C$405,$AN123)="",$R123,INDEX(職員マスタ!$C$6:$C$405,$AN123)))</f>
        <v/>
      </c>
      <c r="X123" s="14">
        <f>IF($AO123="","","R"&amp;$C123&amp;"."&amp;$D123)</f>
        <v/>
      </c>
      <c r="Y123" s="15">
        <f>IF($AN123="","",IF(INDEX(職員マスタ!$K$6:$K$405,$AN123)="","",INDEX(職員マスタ!$K$6:$K$405,$AN123)))</f>
        <v/>
      </c>
      <c r="Z123" s="14">
        <f>IF(OR($E123="",$Y123=""),"",IF($E123&gt;=$Y123,"×",IF($E123&gt;=$Y123*設定!$C$5,"△","○")))</f>
        <v/>
      </c>
      <c r="AA123" s="15">
        <f>IF($Z123="","",IF($Z123="×",0,IF($Z123="○",ROUNDDOWN($E123*設定!$C$4,0),ROUNDDOWN($E123*ROUND((9*$Y123-9*$E123)/(10*$E123),4),0))))</f>
        <v/>
      </c>
      <c r="AB123" s="13" t="n"/>
      <c r="AC123" s="15">
        <f>IF($B123="","",IF($AB123&lt;&gt;"",$AB123,IF($AA123="","",IF($AA123&lt;=設定!$C$3,0,$AA123))))</f>
        <v/>
      </c>
      <c r="AD123" s="14">
        <f>IF($B123="","",IF(AND($AE123&lt;&gt;"",$AG123="",$AJ123=""),"保留中",IF($AJ123&lt;&gt;"",IF(N($AC123)&gt;0,"支給済","不支給"),IF($AC123="","要確認",IF($AC123=0,"不支給","未処理")))))</f>
        <v/>
      </c>
      <c r="AE123" s="12" t="n"/>
      <c r="AF123" s="11" t="n"/>
      <c r="AG123" s="11" t="n"/>
      <c r="AH123" s="11" t="n"/>
      <c r="AI123" s="14">
        <f>IF(AND($AD123="保留中",$AF123&lt;&gt;""),TODAY()-$AF123,"")</f>
        <v/>
      </c>
      <c r="AJ123" s="12" t="inlineStr">
        <is>
          <t>R7.9</t>
        </is>
      </c>
      <c r="AK123" s="14">
        <f>IF($B123="","",IF($AO123="","対象年月が未入力／","")&amp;IF($B123="","",IF($AN123="","職員マスタに未登録の職員番号／",IF($Y123="","標準報酬月額が未登録／","")&amp;IF(AND($AO123&lt;&gt;"",OR(AND(INDEX(職員マスタ!$G$6:$G$405,$AN123)&lt;&gt;"",INDEX(職員マスタ!$G$6:$G$405,$AN123)&gt;EOMONTH($AO123,0)),AND(INDEX(職員マスタ!$H$6:$H$405,$AN123)&lt;&gt;"",INDEX(職員マスタ!$H$6:$H$405,$AN123)&lt;$AO123))),"対象月が時短期間外／","")&amp;IF(AND(INDEX(職員マスタ!$F$6:$F$405,$AN123)&lt;&gt;"",$AO123&lt;&gt;"",INDEX(職員マスタ!$F$6:$F$405,$AN123)&lt;$AO123),"対象月に子が2歳到達済／","")&amp;IF(AND($H123&lt;&gt;"",INDEX(職員マスタ!$B$6:$B$405,$AN123)&lt;&gt;"",SUBSTITUTE(SUBSTITUTE($H123," ","")," ","")&lt;&gt;SUBSTITUTE(SUBSTITUTE(INDEX(職員マスタ!$B$6:$B$405,$AN123)," ","")," ","")),"氏名がマスタと相違／","")&amp;IF(AND($Q123&lt;&gt;"",INDEX(職員マスタ!$E$6:$E$405,$AN123)&lt;&gt;"",$Q123&lt;&gt;INDEX(職員マスタ!$E$6:$E$405,$AN123)),"子の生年月日がマスタと相違／","")&amp;IF(AND($L123&lt;&gt;"",INDEX(職員マスタ!$G$6:$G$405,$AN123)&lt;&gt;"",$L123&lt;&gt;INDEX(職員マスタ!$G$6:$G$405,$AN123)),"時短開始日がマスタと相違／","")&amp;IF(AND($M123&lt;&gt;"",INDEX(職員マスタ!$H$6:$H$405,$AN123)&lt;&gt;"",$M123&lt;&gt;INDEX(職員マスタ!$H$6:$H$405,$AN123)),"時短終了日がマスタと相違／","")))&amp;IF(AND($B123&lt;&gt;"",$E123=""),"報酬額が未入力／","")&amp;IF(N($U123)&gt;0,"申請書に入力エラーが残っています／","")&amp;IF(AND($B123&lt;&gt;"",$AO123&lt;&gt;""),IF(COUNTIFS($B$6:$B$3005,$B123,$C$6:$C$3005,$C123,$D$6:$D$3005,$D123)&gt;1,"同じ月の請求が重複しています／",""),"")&amp;IF(AND(N($E123)&gt;0,$Z123&lt;&gt;"",$Z123&lt;&gt;"×",$AC123=0,$AB123=""),"計算額が下限以下のため不支給／",""))</f>
        <v/>
      </c>
      <c r="AL123" s="12" t="n"/>
      <c r="AM123" s="14">
        <f>IF($AD123="保留中",COUNTIF($AD$6:$AD123,"保留中"),"")</f>
        <v/>
      </c>
      <c r="AN123" s="14">
        <f>IF($AO123="","",IF(SUMPRODUCT(MAX((職員マスタ!$A$6:$A$405=$B123)*(((職員マスタ!$G$6:$G$405="")+(職員マスタ!$G$6:$G$405&lt;=EOMONTH($AO123,0)))&gt;0)*(((職員マスタ!$H$6:$H$405="")+(職員マスタ!$H$6:$H$405&gt;=$AO123))&gt;0)*(ROW(職員マスタ!$A$6:$A$405)-5)))&gt;0,SUMPRODUCT(MAX((職員マスタ!$A$6:$A$405=$B123)*(((職員マスタ!$G$6:$G$405="")+(職員マスタ!$G$6:$G$405&lt;=EOMONTH($AO123,0)))&gt;0)*(((職員マスタ!$H$6:$H$405="")+(職員マスタ!$H$6:$H$405&gt;=$AO123))&gt;0)*(ROW(職員マスタ!$A$6:$A$405)-5))),IFERROR(MATCH($B123,職員マスタ!$A$6:$A$405,0),"")))</f>
        <v/>
      </c>
      <c r="AO123" s="16">
        <f>IF(OR($B123="",$C123="",$D123=""),"",DATE($C123+2018,$D123,1))</f>
        <v/>
      </c>
    </row>
    <row r="124">
      <c r="A124" s="11" t="n"/>
      <c r="B124" s="12" t="n">
        <v>6101950</v>
      </c>
      <c r="C124" s="12" t="n">
        <v>7</v>
      </c>
      <c r="D124" s="12" t="n">
        <v>8</v>
      </c>
      <c r="E124" s="13" t="n">
        <v>182570</v>
      </c>
      <c r="F124" s="12" t="n"/>
      <c r="G124" s="13" t="n"/>
      <c r="H124" s="12" t="n"/>
      <c r="I124" s="12" t="n"/>
      <c r="J124" s="12" t="n"/>
      <c r="K124" s="12" t="n"/>
      <c r="L124" s="11" t="n"/>
      <c r="M124" s="11" t="n"/>
      <c r="N124" s="11" t="n"/>
      <c r="O124" s="11" t="n"/>
      <c r="P124" s="12" t="n"/>
      <c r="Q124" s="11" t="n"/>
      <c r="R124" s="12" t="n"/>
      <c r="S124" s="11" t="n"/>
      <c r="T124" s="12" t="n"/>
      <c r="U124" s="12" t="n"/>
      <c r="V124" s="14">
        <f>IF($AN124="",IF($B124="","",$H124),IF(INDEX(職員マスタ!$B$6:$B$405,$AN124)="",$H124,INDEX(職員マスタ!$B$6:$B$405,$AN124)))</f>
        <v/>
      </c>
      <c r="W124" s="14">
        <f>IF($AN124="",IF($B124="","",$R124),IF(INDEX(職員マスタ!$C$6:$C$405,$AN124)="",$R124,INDEX(職員マスタ!$C$6:$C$405,$AN124)))</f>
        <v/>
      </c>
      <c r="X124" s="14">
        <f>IF($AO124="","","R"&amp;$C124&amp;"."&amp;$D124)</f>
        <v/>
      </c>
      <c r="Y124" s="15">
        <f>IF($AN124="","",IF(INDEX(職員マスタ!$K$6:$K$405,$AN124)="","",INDEX(職員マスタ!$K$6:$K$405,$AN124)))</f>
        <v/>
      </c>
      <c r="Z124" s="14">
        <f>IF(OR($E124="",$Y124=""),"",IF($E124&gt;=$Y124,"×",IF($E124&gt;=$Y124*設定!$C$5,"△","○")))</f>
        <v/>
      </c>
      <c r="AA124" s="15">
        <f>IF($Z124="","",IF($Z124="×",0,IF($Z124="○",ROUNDDOWN($E124*設定!$C$4,0),ROUNDDOWN($E124*ROUND((9*$Y124-9*$E124)/(10*$E124),4),0))))</f>
        <v/>
      </c>
      <c r="AB124" s="13" t="n"/>
      <c r="AC124" s="15">
        <f>IF($B124="","",IF($AB124&lt;&gt;"",$AB124,IF($AA124="","",IF($AA124&lt;=設定!$C$3,0,$AA124))))</f>
        <v/>
      </c>
      <c r="AD124" s="14">
        <f>IF($B124="","",IF(AND($AE124&lt;&gt;"",$AG124="",$AJ124=""),"保留中",IF($AJ124&lt;&gt;"",IF(N($AC124)&gt;0,"支給済","不支給"),IF($AC124="","要確認",IF($AC124=0,"不支給","未処理")))))</f>
        <v/>
      </c>
      <c r="AE124" s="12" t="n"/>
      <c r="AF124" s="11" t="n"/>
      <c r="AG124" s="11" t="n"/>
      <c r="AH124" s="11" t="n"/>
      <c r="AI124" s="14">
        <f>IF(AND($AD124="保留中",$AF124&lt;&gt;""),TODAY()-$AF124,"")</f>
        <v/>
      </c>
      <c r="AJ124" s="12" t="inlineStr">
        <is>
          <t>R7.10</t>
        </is>
      </c>
      <c r="AK124" s="14">
        <f>IF($B124="","",IF($AO124="","対象年月が未入力／","")&amp;IF($B124="","",IF($AN124="","職員マスタに未登録の職員番号／",IF($Y124="","標準報酬月額が未登録／","")&amp;IF(AND($AO124&lt;&gt;"",OR(AND(INDEX(職員マスタ!$G$6:$G$405,$AN124)&lt;&gt;"",INDEX(職員マスタ!$G$6:$G$405,$AN124)&gt;EOMONTH($AO124,0)),AND(INDEX(職員マスタ!$H$6:$H$405,$AN124)&lt;&gt;"",INDEX(職員マスタ!$H$6:$H$405,$AN124)&lt;$AO124))),"対象月が時短期間外／","")&amp;IF(AND(INDEX(職員マスタ!$F$6:$F$405,$AN124)&lt;&gt;"",$AO124&lt;&gt;"",INDEX(職員マスタ!$F$6:$F$405,$AN124)&lt;$AO124),"対象月に子が2歳到達済／","")&amp;IF(AND($H124&lt;&gt;"",INDEX(職員マスタ!$B$6:$B$405,$AN124)&lt;&gt;"",SUBSTITUTE(SUBSTITUTE($H124," ","")," ","")&lt;&gt;SUBSTITUTE(SUBSTITUTE(INDEX(職員マスタ!$B$6:$B$405,$AN124)," ","")," ","")),"氏名がマスタと相違／","")&amp;IF(AND($Q124&lt;&gt;"",INDEX(職員マスタ!$E$6:$E$405,$AN124)&lt;&gt;"",$Q124&lt;&gt;INDEX(職員マスタ!$E$6:$E$405,$AN124)),"子の生年月日がマスタと相違／","")&amp;IF(AND($L124&lt;&gt;"",INDEX(職員マスタ!$G$6:$G$405,$AN124)&lt;&gt;"",$L124&lt;&gt;INDEX(職員マスタ!$G$6:$G$405,$AN124)),"時短開始日がマスタと相違／","")&amp;IF(AND($M124&lt;&gt;"",INDEX(職員マスタ!$H$6:$H$405,$AN124)&lt;&gt;"",$M124&lt;&gt;INDEX(職員マスタ!$H$6:$H$405,$AN124)),"時短終了日がマスタと相違／","")))&amp;IF(AND($B124&lt;&gt;"",$E124=""),"報酬額が未入力／","")&amp;IF(N($U124)&gt;0,"申請書に入力エラーが残っています／","")&amp;IF(AND($B124&lt;&gt;"",$AO124&lt;&gt;""),IF(COUNTIFS($B$6:$B$3005,$B124,$C$6:$C$3005,$C124,$D$6:$D$3005,$D124)&gt;1,"同じ月の請求が重複しています／",""),"")&amp;IF(AND(N($E124)&gt;0,$Z124&lt;&gt;"",$Z124&lt;&gt;"×",$AC124=0,$AB124=""),"計算額が下限以下のため不支給／",""))</f>
        <v/>
      </c>
      <c r="AL124" s="12" t="n"/>
      <c r="AM124" s="14">
        <f>IF($AD124="保留中",COUNTIF($AD$6:$AD124,"保留中"),"")</f>
        <v/>
      </c>
      <c r="AN124" s="14">
        <f>IF($AO124="","",IF(SUMPRODUCT(MAX((職員マスタ!$A$6:$A$405=$B124)*(((職員マスタ!$G$6:$G$405="")+(職員マスタ!$G$6:$G$405&lt;=EOMONTH($AO124,0)))&gt;0)*(((職員マスタ!$H$6:$H$405="")+(職員マスタ!$H$6:$H$405&gt;=$AO124))&gt;0)*(ROW(職員マスタ!$A$6:$A$405)-5)))&gt;0,SUMPRODUCT(MAX((職員マスタ!$A$6:$A$405=$B124)*(((職員マスタ!$G$6:$G$405="")+(職員マスタ!$G$6:$G$405&lt;=EOMONTH($AO124,0)))&gt;0)*(((職員マスタ!$H$6:$H$405="")+(職員マスタ!$H$6:$H$405&gt;=$AO124))&gt;0)*(ROW(職員マスタ!$A$6:$A$405)-5))),IFERROR(MATCH($B124,職員マスタ!$A$6:$A$405,0),"")))</f>
        <v/>
      </c>
      <c r="AO124" s="16">
        <f>IF(OR($B124="",$C124="",$D124=""),"",DATE($C124+2018,$D124,1))</f>
        <v/>
      </c>
    </row>
    <row r="125">
      <c r="A125" s="11" t="n"/>
      <c r="B125" s="12" t="n">
        <v>6101950</v>
      </c>
      <c r="C125" s="12" t="n">
        <v>7</v>
      </c>
      <c r="D125" s="12" t="n">
        <v>9</v>
      </c>
      <c r="E125" s="13" t="n">
        <v>182570</v>
      </c>
      <c r="F125" s="12" t="n"/>
      <c r="G125" s="13" t="n"/>
      <c r="H125" s="12" t="n"/>
      <c r="I125" s="12" t="n"/>
      <c r="J125" s="12" t="n"/>
      <c r="K125" s="12" t="n"/>
      <c r="L125" s="11" t="n"/>
      <c r="M125" s="11" t="n"/>
      <c r="N125" s="11" t="n"/>
      <c r="O125" s="11" t="n"/>
      <c r="P125" s="12" t="n"/>
      <c r="Q125" s="11" t="n"/>
      <c r="R125" s="12" t="n"/>
      <c r="S125" s="11" t="n"/>
      <c r="T125" s="12" t="n"/>
      <c r="U125" s="12" t="n"/>
      <c r="V125" s="14">
        <f>IF($AN125="",IF($B125="","",$H125),IF(INDEX(職員マスタ!$B$6:$B$405,$AN125)="",$H125,INDEX(職員マスタ!$B$6:$B$405,$AN125)))</f>
        <v/>
      </c>
      <c r="W125" s="14">
        <f>IF($AN125="",IF($B125="","",$R125),IF(INDEX(職員マスタ!$C$6:$C$405,$AN125)="",$R125,INDEX(職員マスタ!$C$6:$C$405,$AN125)))</f>
        <v/>
      </c>
      <c r="X125" s="14">
        <f>IF($AO125="","","R"&amp;$C125&amp;"."&amp;$D125)</f>
        <v/>
      </c>
      <c r="Y125" s="15">
        <f>IF($AN125="","",IF(INDEX(職員マスタ!$K$6:$K$405,$AN125)="","",INDEX(職員マスタ!$K$6:$K$405,$AN125)))</f>
        <v/>
      </c>
      <c r="Z125" s="14">
        <f>IF(OR($E125="",$Y125=""),"",IF($E125&gt;=$Y125,"×",IF($E125&gt;=$Y125*設定!$C$5,"△","○")))</f>
        <v/>
      </c>
      <c r="AA125" s="15">
        <f>IF($Z125="","",IF($Z125="×",0,IF($Z125="○",ROUNDDOWN($E125*設定!$C$4,0),ROUNDDOWN($E125*ROUND((9*$Y125-9*$E125)/(10*$E125),4),0))))</f>
        <v/>
      </c>
      <c r="AB125" s="13" t="n"/>
      <c r="AC125" s="15">
        <f>IF($B125="","",IF($AB125&lt;&gt;"",$AB125,IF($AA125="","",IF($AA125&lt;=設定!$C$3,0,$AA125))))</f>
        <v/>
      </c>
      <c r="AD125" s="14">
        <f>IF($B125="","",IF(AND($AE125&lt;&gt;"",$AG125="",$AJ125=""),"保留中",IF($AJ125&lt;&gt;"",IF(N($AC125)&gt;0,"支給済","不支給"),IF($AC125="","要確認",IF($AC125=0,"不支給","未処理")))))</f>
        <v/>
      </c>
      <c r="AE125" s="12" t="n"/>
      <c r="AF125" s="11" t="n"/>
      <c r="AG125" s="11" t="n"/>
      <c r="AH125" s="11" t="n"/>
      <c r="AI125" s="14">
        <f>IF(AND($AD125="保留中",$AF125&lt;&gt;""),TODAY()-$AF125,"")</f>
        <v/>
      </c>
      <c r="AJ125" s="12" t="inlineStr">
        <is>
          <t>R7.11</t>
        </is>
      </c>
      <c r="AK125" s="14">
        <f>IF($B125="","",IF($AO125="","対象年月が未入力／","")&amp;IF($B125="","",IF($AN125="","職員マスタに未登録の職員番号／",IF($Y125="","標準報酬月額が未登録／","")&amp;IF(AND($AO125&lt;&gt;"",OR(AND(INDEX(職員マスタ!$G$6:$G$405,$AN125)&lt;&gt;"",INDEX(職員マスタ!$G$6:$G$405,$AN125)&gt;EOMONTH($AO125,0)),AND(INDEX(職員マスタ!$H$6:$H$405,$AN125)&lt;&gt;"",INDEX(職員マスタ!$H$6:$H$405,$AN125)&lt;$AO125))),"対象月が時短期間外／","")&amp;IF(AND(INDEX(職員マスタ!$F$6:$F$405,$AN125)&lt;&gt;"",$AO125&lt;&gt;"",INDEX(職員マスタ!$F$6:$F$405,$AN125)&lt;$AO125),"対象月に子が2歳到達済／","")&amp;IF(AND($H125&lt;&gt;"",INDEX(職員マスタ!$B$6:$B$405,$AN125)&lt;&gt;"",SUBSTITUTE(SUBSTITUTE($H125," ","")," ","")&lt;&gt;SUBSTITUTE(SUBSTITUTE(INDEX(職員マスタ!$B$6:$B$405,$AN125)," ","")," ","")),"氏名がマスタと相違／","")&amp;IF(AND($Q125&lt;&gt;"",INDEX(職員マスタ!$E$6:$E$405,$AN125)&lt;&gt;"",$Q125&lt;&gt;INDEX(職員マスタ!$E$6:$E$405,$AN125)),"子の生年月日がマスタと相違／","")&amp;IF(AND($L125&lt;&gt;"",INDEX(職員マスタ!$G$6:$G$405,$AN125)&lt;&gt;"",$L125&lt;&gt;INDEX(職員マスタ!$G$6:$G$405,$AN125)),"時短開始日がマスタと相違／","")&amp;IF(AND($M125&lt;&gt;"",INDEX(職員マスタ!$H$6:$H$405,$AN125)&lt;&gt;"",$M125&lt;&gt;INDEX(職員マスタ!$H$6:$H$405,$AN125)),"時短終了日がマスタと相違／","")))&amp;IF(AND($B125&lt;&gt;"",$E125=""),"報酬額が未入力／","")&amp;IF(N($U125)&gt;0,"申請書に入力エラーが残っています／","")&amp;IF(AND($B125&lt;&gt;"",$AO125&lt;&gt;""),IF(COUNTIFS($B$6:$B$3005,$B125,$C$6:$C$3005,$C125,$D$6:$D$3005,$D125)&gt;1,"同じ月の請求が重複しています／",""),"")&amp;IF(AND(N($E125)&gt;0,$Z125&lt;&gt;"",$Z125&lt;&gt;"×",$AC125=0,$AB125=""),"計算額が下限以下のため不支給／",""))</f>
        <v/>
      </c>
      <c r="AL125" s="12" t="n"/>
      <c r="AM125" s="14">
        <f>IF($AD125="保留中",COUNTIF($AD$6:$AD125,"保留中"),"")</f>
        <v/>
      </c>
      <c r="AN125" s="14">
        <f>IF($AO125="","",IF(SUMPRODUCT(MAX((職員マスタ!$A$6:$A$405=$B125)*(((職員マスタ!$G$6:$G$405="")+(職員マスタ!$G$6:$G$405&lt;=EOMONTH($AO125,0)))&gt;0)*(((職員マスタ!$H$6:$H$405="")+(職員マスタ!$H$6:$H$405&gt;=$AO125))&gt;0)*(ROW(職員マスタ!$A$6:$A$405)-5)))&gt;0,SUMPRODUCT(MAX((職員マスタ!$A$6:$A$405=$B125)*(((職員マスタ!$G$6:$G$405="")+(職員マスタ!$G$6:$G$405&lt;=EOMONTH($AO125,0)))&gt;0)*(((職員マスタ!$H$6:$H$405="")+(職員マスタ!$H$6:$H$405&gt;=$AO125))&gt;0)*(ROW(職員マスタ!$A$6:$A$405)-5))),IFERROR(MATCH($B125,職員マスタ!$A$6:$A$405,0),"")))</f>
        <v/>
      </c>
      <c r="AO125" s="16">
        <f>IF(OR($B125="",$C125="",$D125=""),"",DATE($C125+2018,$D125,1))</f>
        <v/>
      </c>
    </row>
    <row r="126">
      <c r="A126" s="11" t="n"/>
      <c r="B126" s="12" t="n">
        <v>6101950</v>
      </c>
      <c r="C126" s="12" t="n">
        <v>7</v>
      </c>
      <c r="D126" s="12" t="n">
        <v>10</v>
      </c>
      <c r="E126" s="13" t="n">
        <v>182574</v>
      </c>
      <c r="F126" s="12" t="n"/>
      <c r="G126" s="13" t="n"/>
      <c r="H126" s="12" t="n"/>
      <c r="I126" s="12" t="n"/>
      <c r="J126" s="12" t="n"/>
      <c r="K126" s="12" t="n"/>
      <c r="L126" s="11" t="n"/>
      <c r="M126" s="11" t="n"/>
      <c r="N126" s="11" t="n"/>
      <c r="O126" s="11" t="n"/>
      <c r="P126" s="12" t="n"/>
      <c r="Q126" s="11" t="n"/>
      <c r="R126" s="12" t="n"/>
      <c r="S126" s="11" t="n"/>
      <c r="T126" s="12" t="n"/>
      <c r="U126" s="12" t="n"/>
      <c r="V126" s="14">
        <f>IF($AN126="",IF($B126="","",$H126),IF(INDEX(職員マスタ!$B$6:$B$405,$AN126)="",$H126,INDEX(職員マスタ!$B$6:$B$405,$AN126)))</f>
        <v/>
      </c>
      <c r="W126" s="14">
        <f>IF($AN126="",IF($B126="","",$R126),IF(INDEX(職員マスタ!$C$6:$C$405,$AN126)="",$R126,INDEX(職員マスタ!$C$6:$C$405,$AN126)))</f>
        <v/>
      </c>
      <c r="X126" s="14">
        <f>IF($AO126="","","R"&amp;$C126&amp;"."&amp;$D126)</f>
        <v/>
      </c>
      <c r="Y126" s="15">
        <f>IF($AN126="","",IF(INDEX(職員マスタ!$K$6:$K$405,$AN126)="","",INDEX(職員マスタ!$K$6:$K$405,$AN126)))</f>
        <v/>
      </c>
      <c r="Z126" s="14">
        <f>IF(OR($E126="",$Y126=""),"",IF($E126&gt;=$Y126,"×",IF($E126&gt;=$Y126*設定!$C$5,"△","○")))</f>
        <v/>
      </c>
      <c r="AA126" s="15">
        <f>IF($Z126="","",IF($Z126="×",0,IF($Z126="○",ROUNDDOWN($E126*設定!$C$4,0),ROUNDDOWN($E126*ROUND((9*$Y126-9*$E126)/(10*$E126),4),0))))</f>
        <v/>
      </c>
      <c r="AB126" s="13" t="n"/>
      <c r="AC126" s="15">
        <f>IF($B126="","",IF($AB126&lt;&gt;"",$AB126,IF($AA126="","",IF($AA126&lt;=設定!$C$3,0,$AA126))))</f>
        <v/>
      </c>
      <c r="AD126" s="14">
        <f>IF($B126="","",IF(AND($AE126&lt;&gt;"",$AG126="",$AJ126=""),"保留中",IF($AJ126&lt;&gt;"",IF(N($AC126)&gt;0,"支給済","不支給"),IF($AC126="","要確認",IF($AC126=0,"不支給","未処理")))))</f>
        <v/>
      </c>
      <c r="AE126" s="12" t="n"/>
      <c r="AF126" s="11" t="n"/>
      <c r="AG126" s="11" t="n"/>
      <c r="AH126" s="11" t="n"/>
      <c r="AI126" s="14">
        <f>IF(AND($AD126="保留中",$AF126&lt;&gt;""),TODAY()-$AF126,"")</f>
        <v/>
      </c>
      <c r="AJ126" s="12" t="inlineStr">
        <is>
          <t>R7.12</t>
        </is>
      </c>
      <c r="AK126" s="14">
        <f>IF($B126="","",IF($AO126="","対象年月が未入力／","")&amp;IF($B126="","",IF($AN126="","職員マスタに未登録の職員番号／",IF($Y126="","標準報酬月額が未登録／","")&amp;IF(AND($AO126&lt;&gt;"",OR(AND(INDEX(職員マスタ!$G$6:$G$405,$AN126)&lt;&gt;"",INDEX(職員マスタ!$G$6:$G$405,$AN126)&gt;EOMONTH($AO126,0)),AND(INDEX(職員マスタ!$H$6:$H$405,$AN126)&lt;&gt;"",INDEX(職員マスタ!$H$6:$H$405,$AN126)&lt;$AO126))),"対象月が時短期間外／","")&amp;IF(AND(INDEX(職員マスタ!$F$6:$F$405,$AN126)&lt;&gt;"",$AO126&lt;&gt;"",INDEX(職員マスタ!$F$6:$F$405,$AN126)&lt;$AO126),"対象月に子が2歳到達済／","")&amp;IF(AND($H126&lt;&gt;"",INDEX(職員マスタ!$B$6:$B$405,$AN126)&lt;&gt;"",SUBSTITUTE(SUBSTITUTE($H126," ","")," ","")&lt;&gt;SUBSTITUTE(SUBSTITUTE(INDEX(職員マスタ!$B$6:$B$405,$AN126)," ","")," ","")),"氏名がマスタと相違／","")&amp;IF(AND($Q126&lt;&gt;"",INDEX(職員マスタ!$E$6:$E$405,$AN126)&lt;&gt;"",$Q126&lt;&gt;INDEX(職員マスタ!$E$6:$E$405,$AN126)),"子の生年月日がマスタと相違／","")&amp;IF(AND($L126&lt;&gt;"",INDEX(職員マスタ!$G$6:$G$405,$AN126)&lt;&gt;"",$L126&lt;&gt;INDEX(職員マスタ!$G$6:$G$405,$AN126)),"時短開始日がマスタと相違／","")&amp;IF(AND($M126&lt;&gt;"",INDEX(職員マスタ!$H$6:$H$405,$AN126)&lt;&gt;"",$M126&lt;&gt;INDEX(職員マスタ!$H$6:$H$405,$AN126)),"時短終了日がマスタと相違／","")))&amp;IF(AND($B126&lt;&gt;"",$E126=""),"報酬額が未入力／","")&amp;IF(N($U126)&gt;0,"申請書に入力エラーが残っています／","")&amp;IF(AND($B126&lt;&gt;"",$AO126&lt;&gt;""),IF(COUNTIFS($B$6:$B$3005,$B126,$C$6:$C$3005,$C126,$D$6:$D$3005,$D126)&gt;1,"同じ月の請求が重複しています／",""),"")&amp;IF(AND(N($E126)&gt;0,$Z126&lt;&gt;"",$Z126&lt;&gt;"×",$AC126=0,$AB126=""),"計算額が下限以下のため不支給／",""))</f>
        <v/>
      </c>
      <c r="AL126" s="12" t="n"/>
      <c r="AM126" s="14">
        <f>IF($AD126="保留中",COUNTIF($AD$6:$AD126,"保留中"),"")</f>
        <v/>
      </c>
      <c r="AN126" s="14">
        <f>IF($AO126="","",IF(SUMPRODUCT(MAX((職員マスタ!$A$6:$A$405=$B126)*(((職員マスタ!$G$6:$G$405="")+(職員マスタ!$G$6:$G$405&lt;=EOMONTH($AO126,0)))&gt;0)*(((職員マスタ!$H$6:$H$405="")+(職員マスタ!$H$6:$H$405&gt;=$AO126))&gt;0)*(ROW(職員マスタ!$A$6:$A$405)-5)))&gt;0,SUMPRODUCT(MAX((職員マスタ!$A$6:$A$405=$B126)*(((職員マスタ!$G$6:$G$405="")+(職員マスタ!$G$6:$G$405&lt;=EOMONTH($AO126,0)))&gt;0)*(((職員マスタ!$H$6:$H$405="")+(職員マスタ!$H$6:$H$405&gt;=$AO126))&gt;0)*(ROW(職員マスタ!$A$6:$A$405)-5))),IFERROR(MATCH($B126,職員マスタ!$A$6:$A$405,0),"")))</f>
        <v/>
      </c>
      <c r="AO126" s="16">
        <f>IF(OR($B126="",$C126="",$D126=""),"",DATE($C126+2018,$D126,1))</f>
        <v/>
      </c>
    </row>
    <row r="127">
      <c r="A127" s="11" t="n"/>
      <c r="B127" s="12" t="n">
        <v>6101950</v>
      </c>
      <c r="C127" s="12" t="n">
        <v>7</v>
      </c>
      <c r="D127" s="12" t="n">
        <v>11</v>
      </c>
      <c r="E127" s="13" t="n">
        <v>182570</v>
      </c>
      <c r="F127" s="12" t="n"/>
      <c r="G127" s="13" t="n"/>
      <c r="H127" s="12" t="n"/>
      <c r="I127" s="12" t="n"/>
      <c r="J127" s="12" t="n"/>
      <c r="K127" s="12" t="n"/>
      <c r="L127" s="11" t="n"/>
      <c r="M127" s="11" t="n"/>
      <c r="N127" s="11" t="n"/>
      <c r="O127" s="11" t="n"/>
      <c r="P127" s="12" t="n"/>
      <c r="Q127" s="11" t="n"/>
      <c r="R127" s="12" t="n"/>
      <c r="S127" s="11" t="n"/>
      <c r="T127" s="12" t="n"/>
      <c r="U127" s="12" t="n"/>
      <c r="V127" s="14">
        <f>IF($AN127="",IF($B127="","",$H127),IF(INDEX(職員マスタ!$B$6:$B$405,$AN127)="",$H127,INDEX(職員マスタ!$B$6:$B$405,$AN127)))</f>
        <v/>
      </c>
      <c r="W127" s="14">
        <f>IF($AN127="",IF($B127="","",$R127),IF(INDEX(職員マスタ!$C$6:$C$405,$AN127)="",$R127,INDEX(職員マスタ!$C$6:$C$405,$AN127)))</f>
        <v/>
      </c>
      <c r="X127" s="14">
        <f>IF($AO127="","","R"&amp;$C127&amp;"."&amp;$D127)</f>
        <v/>
      </c>
      <c r="Y127" s="15">
        <f>IF($AN127="","",IF(INDEX(職員マスタ!$K$6:$K$405,$AN127)="","",INDEX(職員マスタ!$K$6:$K$405,$AN127)))</f>
        <v/>
      </c>
      <c r="Z127" s="14">
        <f>IF(OR($E127="",$Y127=""),"",IF($E127&gt;=$Y127,"×",IF($E127&gt;=$Y127*設定!$C$5,"△","○")))</f>
        <v/>
      </c>
      <c r="AA127" s="15">
        <f>IF($Z127="","",IF($Z127="×",0,IF($Z127="○",ROUNDDOWN($E127*設定!$C$4,0),ROUNDDOWN($E127*ROUND((9*$Y127-9*$E127)/(10*$E127),4),0))))</f>
        <v/>
      </c>
      <c r="AB127" s="13" t="n"/>
      <c r="AC127" s="15">
        <f>IF($B127="","",IF($AB127&lt;&gt;"",$AB127,IF($AA127="","",IF($AA127&lt;=設定!$C$3,0,$AA127))))</f>
        <v/>
      </c>
      <c r="AD127" s="14">
        <f>IF($B127="","",IF(AND($AE127&lt;&gt;"",$AG127="",$AJ127=""),"保留中",IF($AJ127&lt;&gt;"",IF(N($AC127)&gt;0,"支給済","不支給"),IF($AC127="","要確認",IF($AC127=0,"不支給","未処理")))))</f>
        <v/>
      </c>
      <c r="AE127" s="12" t="n"/>
      <c r="AF127" s="11" t="n"/>
      <c r="AG127" s="11" t="n"/>
      <c r="AH127" s="11" t="n"/>
      <c r="AI127" s="14">
        <f>IF(AND($AD127="保留中",$AF127&lt;&gt;""),TODAY()-$AF127,"")</f>
        <v/>
      </c>
      <c r="AJ127" s="12" t="inlineStr">
        <is>
          <t>R8.1</t>
        </is>
      </c>
      <c r="AK127" s="14">
        <f>IF($B127="","",IF($AO127="","対象年月が未入力／","")&amp;IF($B127="","",IF($AN127="","職員マスタに未登録の職員番号／",IF($Y127="","標準報酬月額が未登録／","")&amp;IF(AND($AO127&lt;&gt;"",OR(AND(INDEX(職員マスタ!$G$6:$G$405,$AN127)&lt;&gt;"",INDEX(職員マスタ!$G$6:$G$405,$AN127)&gt;EOMONTH($AO127,0)),AND(INDEX(職員マスタ!$H$6:$H$405,$AN127)&lt;&gt;"",INDEX(職員マスタ!$H$6:$H$405,$AN127)&lt;$AO127))),"対象月が時短期間外／","")&amp;IF(AND(INDEX(職員マスタ!$F$6:$F$405,$AN127)&lt;&gt;"",$AO127&lt;&gt;"",INDEX(職員マスタ!$F$6:$F$405,$AN127)&lt;$AO127),"対象月に子が2歳到達済／","")&amp;IF(AND($H127&lt;&gt;"",INDEX(職員マスタ!$B$6:$B$405,$AN127)&lt;&gt;"",SUBSTITUTE(SUBSTITUTE($H127," ","")," ","")&lt;&gt;SUBSTITUTE(SUBSTITUTE(INDEX(職員マスタ!$B$6:$B$405,$AN127)," ","")," ","")),"氏名がマスタと相違／","")&amp;IF(AND($Q127&lt;&gt;"",INDEX(職員マスタ!$E$6:$E$405,$AN127)&lt;&gt;"",$Q127&lt;&gt;INDEX(職員マスタ!$E$6:$E$405,$AN127)),"子の生年月日がマスタと相違／","")&amp;IF(AND($L127&lt;&gt;"",INDEX(職員マスタ!$G$6:$G$405,$AN127)&lt;&gt;"",$L127&lt;&gt;INDEX(職員マスタ!$G$6:$G$405,$AN127)),"時短開始日がマスタと相違／","")&amp;IF(AND($M127&lt;&gt;"",INDEX(職員マスタ!$H$6:$H$405,$AN127)&lt;&gt;"",$M127&lt;&gt;INDEX(職員マスタ!$H$6:$H$405,$AN127)),"時短終了日がマスタと相違／","")))&amp;IF(AND($B127&lt;&gt;"",$E127=""),"報酬額が未入力／","")&amp;IF(N($U127)&gt;0,"申請書に入力エラーが残っています／","")&amp;IF(AND($B127&lt;&gt;"",$AO127&lt;&gt;""),IF(COUNTIFS($B$6:$B$3005,$B127,$C$6:$C$3005,$C127,$D$6:$D$3005,$D127)&gt;1,"同じ月の請求が重複しています／",""),"")&amp;IF(AND(N($E127)&gt;0,$Z127&lt;&gt;"",$Z127&lt;&gt;"×",$AC127=0,$AB127=""),"計算額が下限以下のため不支給／",""))</f>
        <v/>
      </c>
      <c r="AL127" s="12" t="n"/>
      <c r="AM127" s="14">
        <f>IF($AD127="保留中",COUNTIF($AD$6:$AD127,"保留中"),"")</f>
        <v/>
      </c>
      <c r="AN127" s="14">
        <f>IF($AO127="","",IF(SUMPRODUCT(MAX((職員マスタ!$A$6:$A$405=$B127)*(((職員マスタ!$G$6:$G$405="")+(職員マスタ!$G$6:$G$405&lt;=EOMONTH($AO127,0)))&gt;0)*(((職員マスタ!$H$6:$H$405="")+(職員マスタ!$H$6:$H$405&gt;=$AO127))&gt;0)*(ROW(職員マスタ!$A$6:$A$405)-5)))&gt;0,SUMPRODUCT(MAX((職員マスタ!$A$6:$A$405=$B127)*(((職員マスタ!$G$6:$G$405="")+(職員マスタ!$G$6:$G$405&lt;=EOMONTH($AO127,0)))&gt;0)*(((職員マスタ!$H$6:$H$405="")+(職員マスタ!$H$6:$H$405&gt;=$AO127))&gt;0)*(ROW(職員マスタ!$A$6:$A$405)-5))),IFERROR(MATCH($B127,職員マスタ!$A$6:$A$405,0),"")))</f>
        <v/>
      </c>
      <c r="AO127" s="16">
        <f>IF(OR($B127="",$C127="",$D127=""),"",DATE($C127+2018,$D127,1))</f>
        <v/>
      </c>
    </row>
    <row r="128">
      <c r="A128" s="11" t="n"/>
      <c r="B128" s="12" t="n">
        <v>6101950</v>
      </c>
      <c r="C128" s="12" t="n">
        <v>7</v>
      </c>
      <c r="D128" s="12" t="n">
        <v>12</v>
      </c>
      <c r="E128" s="13" t="n">
        <v>184591</v>
      </c>
      <c r="F128" s="12" t="n"/>
      <c r="G128" s="13" t="n"/>
      <c r="H128" s="12" t="n"/>
      <c r="I128" s="12" t="n"/>
      <c r="J128" s="12" t="n"/>
      <c r="K128" s="12" t="n"/>
      <c r="L128" s="11" t="n"/>
      <c r="M128" s="11" t="n"/>
      <c r="N128" s="11" t="n"/>
      <c r="O128" s="11" t="n"/>
      <c r="P128" s="12" t="n"/>
      <c r="Q128" s="11" t="n"/>
      <c r="R128" s="12" t="n"/>
      <c r="S128" s="11" t="n"/>
      <c r="T128" s="12" t="n"/>
      <c r="U128" s="12" t="n"/>
      <c r="V128" s="14">
        <f>IF($AN128="",IF($B128="","",$H128),IF(INDEX(職員マスタ!$B$6:$B$405,$AN128)="",$H128,INDEX(職員マスタ!$B$6:$B$405,$AN128)))</f>
        <v/>
      </c>
      <c r="W128" s="14">
        <f>IF($AN128="",IF($B128="","",$R128),IF(INDEX(職員マスタ!$C$6:$C$405,$AN128)="",$R128,INDEX(職員マスタ!$C$6:$C$405,$AN128)))</f>
        <v/>
      </c>
      <c r="X128" s="14">
        <f>IF($AO128="","","R"&amp;$C128&amp;"."&amp;$D128)</f>
        <v/>
      </c>
      <c r="Y128" s="15">
        <f>IF($AN128="","",IF(INDEX(職員マスタ!$K$6:$K$405,$AN128)="","",INDEX(職員マスタ!$K$6:$K$405,$AN128)))</f>
        <v/>
      </c>
      <c r="Z128" s="14">
        <f>IF(OR($E128="",$Y128=""),"",IF($E128&gt;=$Y128,"×",IF($E128&gt;=$Y128*設定!$C$5,"△","○")))</f>
        <v/>
      </c>
      <c r="AA128" s="15">
        <f>IF($Z128="","",IF($Z128="×",0,IF($Z128="○",ROUNDDOWN($E128*設定!$C$4,0),ROUNDDOWN($E128*ROUND((9*$Y128-9*$E128)/(10*$E128),4),0))))</f>
        <v/>
      </c>
      <c r="AB128" s="13" t="n"/>
      <c r="AC128" s="15">
        <f>IF($B128="","",IF($AB128&lt;&gt;"",$AB128,IF($AA128="","",IF($AA128&lt;=設定!$C$3,0,$AA128))))</f>
        <v/>
      </c>
      <c r="AD128" s="14">
        <f>IF($B128="","",IF(AND($AE128&lt;&gt;"",$AG128="",$AJ128=""),"保留中",IF($AJ128&lt;&gt;"",IF(N($AC128)&gt;0,"支給済","不支給"),IF($AC128="","要確認",IF($AC128=0,"不支給","未処理")))))</f>
        <v/>
      </c>
      <c r="AE128" s="12" t="n"/>
      <c r="AF128" s="11" t="n"/>
      <c r="AG128" s="11" t="n"/>
      <c r="AH128" s="11" t="n"/>
      <c r="AI128" s="14">
        <f>IF(AND($AD128="保留中",$AF128&lt;&gt;""),TODAY()-$AF128,"")</f>
        <v/>
      </c>
      <c r="AJ128" s="12" t="inlineStr">
        <is>
          <t>R8.2</t>
        </is>
      </c>
      <c r="AK128" s="14">
        <f>IF($B128="","",IF($AO128="","対象年月が未入力／","")&amp;IF($B128="","",IF($AN128="","職員マスタに未登録の職員番号／",IF($Y128="","標準報酬月額が未登録／","")&amp;IF(AND($AO128&lt;&gt;"",OR(AND(INDEX(職員マスタ!$G$6:$G$405,$AN128)&lt;&gt;"",INDEX(職員マスタ!$G$6:$G$405,$AN128)&gt;EOMONTH($AO128,0)),AND(INDEX(職員マスタ!$H$6:$H$405,$AN128)&lt;&gt;"",INDEX(職員マスタ!$H$6:$H$405,$AN128)&lt;$AO128))),"対象月が時短期間外／","")&amp;IF(AND(INDEX(職員マスタ!$F$6:$F$405,$AN128)&lt;&gt;"",$AO128&lt;&gt;"",INDEX(職員マスタ!$F$6:$F$405,$AN128)&lt;$AO128),"対象月に子が2歳到達済／","")&amp;IF(AND($H128&lt;&gt;"",INDEX(職員マスタ!$B$6:$B$405,$AN128)&lt;&gt;"",SUBSTITUTE(SUBSTITUTE($H128," ","")," ","")&lt;&gt;SUBSTITUTE(SUBSTITUTE(INDEX(職員マスタ!$B$6:$B$405,$AN128)," ","")," ","")),"氏名がマスタと相違／","")&amp;IF(AND($Q128&lt;&gt;"",INDEX(職員マスタ!$E$6:$E$405,$AN128)&lt;&gt;"",$Q128&lt;&gt;INDEX(職員マスタ!$E$6:$E$405,$AN128)),"子の生年月日がマスタと相違／","")&amp;IF(AND($L128&lt;&gt;"",INDEX(職員マスタ!$G$6:$G$405,$AN128)&lt;&gt;"",$L128&lt;&gt;INDEX(職員マスタ!$G$6:$G$405,$AN128)),"時短開始日がマスタと相違／","")&amp;IF(AND($M128&lt;&gt;"",INDEX(職員マスタ!$H$6:$H$405,$AN128)&lt;&gt;"",$M128&lt;&gt;INDEX(職員マスタ!$H$6:$H$405,$AN128)),"時短終了日がマスタと相違／","")))&amp;IF(AND($B128&lt;&gt;"",$E128=""),"報酬額が未入力／","")&amp;IF(N($U128)&gt;0,"申請書に入力エラーが残っています／","")&amp;IF(AND($B128&lt;&gt;"",$AO128&lt;&gt;""),IF(COUNTIFS($B$6:$B$3005,$B128,$C$6:$C$3005,$C128,$D$6:$D$3005,$D128)&gt;1,"同じ月の請求が重複しています／",""),"")&amp;IF(AND(N($E128)&gt;0,$Z128&lt;&gt;"",$Z128&lt;&gt;"×",$AC128=0,$AB128=""),"計算額が下限以下のため不支給／",""))</f>
        <v/>
      </c>
      <c r="AL128" s="12" t="n"/>
      <c r="AM128" s="14">
        <f>IF($AD128="保留中",COUNTIF($AD$6:$AD128,"保留中"),"")</f>
        <v/>
      </c>
      <c r="AN128" s="14">
        <f>IF($AO128="","",IF(SUMPRODUCT(MAX((職員マスタ!$A$6:$A$405=$B128)*(((職員マスタ!$G$6:$G$405="")+(職員マスタ!$G$6:$G$405&lt;=EOMONTH($AO128,0)))&gt;0)*(((職員マスタ!$H$6:$H$405="")+(職員マスタ!$H$6:$H$405&gt;=$AO128))&gt;0)*(ROW(職員マスタ!$A$6:$A$405)-5)))&gt;0,SUMPRODUCT(MAX((職員マスタ!$A$6:$A$405=$B128)*(((職員マスタ!$G$6:$G$405="")+(職員マスタ!$G$6:$G$405&lt;=EOMONTH($AO128,0)))&gt;0)*(((職員マスタ!$H$6:$H$405="")+(職員マスタ!$H$6:$H$405&gt;=$AO128))&gt;0)*(ROW(職員マスタ!$A$6:$A$405)-5))),IFERROR(MATCH($B128,職員マスタ!$A$6:$A$405,0),"")))</f>
        <v/>
      </c>
      <c r="AO128" s="16">
        <f>IF(OR($B128="",$C128="",$D128=""),"",DATE($C128+2018,$D128,1))</f>
        <v/>
      </c>
    </row>
    <row r="129">
      <c r="A129" s="11" t="n"/>
      <c r="B129" s="12" t="n">
        <v>6102230</v>
      </c>
      <c r="C129" s="12" t="n">
        <v>7</v>
      </c>
      <c r="D129" s="12" t="n">
        <v>4</v>
      </c>
      <c r="E129" s="13" t="n">
        <v>116553</v>
      </c>
      <c r="F129" s="12" t="n"/>
      <c r="G129" s="13" t="n"/>
      <c r="H129" s="12" t="n"/>
      <c r="I129" s="12" t="n"/>
      <c r="J129" s="12" t="n"/>
      <c r="K129" s="12" t="n"/>
      <c r="L129" s="11" t="n"/>
      <c r="M129" s="11" t="n"/>
      <c r="N129" s="11" t="n"/>
      <c r="O129" s="11" t="n"/>
      <c r="P129" s="12" t="n"/>
      <c r="Q129" s="11" t="n"/>
      <c r="R129" s="12" t="n"/>
      <c r="S129" s="11" t="n"/>
      <c r="T129" s="12" t="n"/>
      <c r="U129" s="12" t="n"/>
      <c r="V129" s="14">
        <f>IF($AN129="",IF($B129="","",$H129),IF(INDEX(職員マスタ!$B$6:$B$405,$AN129)="",$H129,INDEX(職員マスタ!$B$6:$B$405,$AN129)))</f>
        <v/>
      </c>
      <c r="W129" s="14">
        <f>IF($AN129="",IF($B129="","",$R129),IF(INDEX(職員マスタ!$C$6:$C$405,$AN129)="",$R129,INDEX(職員マスタ!$C$6:$C$405,$AN129)))</f>
        <v/>
      </c>
      <c r="X129" s="14">
        <f>IF($AO129="","","R"&amp;$C129&amp;"."&amp;$D129)</f>
        <v/>
      </c>
      <c r="Y129" s="15">
        <f>IF($AN129="","",IF(INDEX(職員マスタ!$K$6:$K$405,$AN129)="","",INDEX(職員マスタ!$K$6:$K$405,$AN129)))</f>
        <v/>
      </c>
      <c r="Z129" s="14">
        <f>IF(OR($E129="",$Y129=""),"",IF($E129&gt;=$Y129,"×",IF($E129&gt;=$Y129*設定!$C$5,"△","○")))</f>
        <v/>
      </c>
      <c r="AA129" s="15">
        <f>IF($Z129="","",IF($Z129="×",0,IF($Z129="○",ROUNDDOWN($E129*設定!$C$4,0),ROUNDDOWN($E129*ROUND((9*$Y129-9*$E129)/(10*$E129),4),0))))</f>
        <v/>
      </c>
      <c r="AB129" s="13" t="n"/>
      <c r="AC129" s="15">
        <f>IF($B129="","",IF($AB129&lt;&gt;"",$AB129,IF($AA129="","",IF($AA129&lt;=設定!$C$3,0,$AA129))))</f>
        <v/>
      </c>
      <c r="AD129" s="14">
        <f>IF($B129="","",IF(AND($AE129&lt;&gt;"",$AG129="",$AJ129=""),"保留中",IF($AJ129&lt;&gt;"",IF(N($AC129)&gt;0,"支給済","不支給"),IF($AC129="","要確認",IF($AC129=0,"不支給","未処理")))))</f>
        <v/>
      </c>
      <c r="AE129" s="12" t="n"/>
      <c r="AF129" s="11" t="n"/>
      <c r="AG129" s="11" t="n"/>
      <c r="AH129" s="11" t="n"/>
      <c r="AI129" s="14">
        <f>IF(AND($AD129="保留中",$AF129&lt;&gt;""),TODAY()-$AF129,"")</f>
        <v/>
      </c>
      <c r="AJ129" s="12" t="inlineStr">
        <is>
          <t>R7.8</t>
        </is>
      </c>
      <c r="AK129" s="14">
        <f>IF($B129="","",IF($AO129="","対象年月が未入力／","")&amp;IF($B129="","",IF($AN129="","職員マスタに未登録の職員番号／",IF($Y129="","標準報酬月額が未登録／","")&amp;IF(AND($AO129&lt;&gt;"",OR(AND(INDEX(職員マスタ!$G$6:$G$405,$AN129)&lt;&gt;"",INDEX(職員マスタ!$G$6:$G$405,$AN129)&gt;EOMONTH($AO129,0)),AND(INDEX(職員マスタ!$H$6:$H$405,$AN129)&lt;&gt;"",INDEX(職員マスタ!$H$6:$H$405,$AN129)&lt;$AO129))),"対象月が時短期間外／","")&amp;IF(AND(INDEX(職員マスタ!$F$6:$F$405,$AN129)&lt;&gt;"",$AO129&lt;&gt;"",INDEX(職員マスタ!$F$6:$F$405,$AN129)&lt;$AO129),"対象月に子が2歳到達済／","")&amp;IF(AND($H129&lt;&gt;"",INDEX(職員マスタ!$B$6:$B$405,$AN129)&lt;&gt;"",SUBSTITUTE(SUBSTITUTE($H129," ","")," ","")&lt;&gt;SUBSTITUTE(SUBSTITUTE(INDEX(職員マスタ!$B$6:$B$405,$AN129)," ","")," ","")),"氏名がマスタと相違／","")&amp;IF(AND($Q129&lt;&gt;"",INDEX(職員マスタ!$E$6:$E$405,$AN129)&lt;&gt;"",$Q129&lt;&gt;INDEX(職員マスタ!$E$6:$E$405,$AN129)),"子の生年月日がマスタと相違／","")&amp;IF(AND($L129&lt;&gt;"",INDEX(職員マスタ!$G$6:$G$405,$AN129)&lt;&gt;"",$L129&lt;&gt;INDEX(職員マスタ!$G$6:$G$405,$AN129)),"時短開始日がマスタと相違／","")&amp;IF(AND($M129&lt;&gt;"",INDEX(職員マスタ!$H$6:$H$405,$AN129)&lt;&gt;"",$M129&lt;&gt;INDEX(職員マスタ!$H$6:$H$405,$AN129)),"時短終了日がマスタと相違／","")))&amp;IF(AND($B129&lt;&gt;"",$E129=""),"報酬額が未入力／","")&amp;IF(N($U129)&gt;0,"申請書に入力エラーが残っています／","")&amp;IF(AND($B129&lt;&gt;"",$AO129&lt;&gt;""),IF(COUNTIFS($B$6:$B$3005,$B129,$C$6:$C$3005,$C129,$D$6:$D$3005,$D129)&gt;1,"同じ月の請求が重複しています／",""),"")&amp;IF(AND(N($E129)&gt;0,$Z129&lt;&gt;"",$Z129&lt;&gt;"×",$AC129=0,$AB129=""),"計算額が下限以下のため不支給／",""))</f>
        <v/>
      </c>
      <c r="AL129" s="12" t="n"/>
      <c r="AM129" s="14">
        <f>IF($AD129="保留中",COUNTIF($AD$6:$AD129,"保留中"),"")</f>
        <v/>
      </c>
      <c r="AN129" s="14">
        <f>IF($AO129="","",IF(SUMPRODUCT(MAX((職員マスタ!$A$6:$A$405=$B129)*(((職員マスタ!$G$6:$G$405="")+(職員マスタ!$G$6:$G$405&lt;=EOMONTH($AO129,0)))&gt;0)*(((職員マスタ!$H$6:$H$405="")+(職員マスタ!$H$6:$H$405&gt;=$AO129))&gt;0)*(ROW(職員マスタ!$A$6:$A$405)-5)))&gt;0,SUMPRODUCT(MAX((職員マスタ!$A$6:$A$405=$B129)*(((職員マスタ!$G$6:$G$405="")+(職員マスタ!$G$6:$G$405&lt;=EOMONTH($AO129,0)))&gt;0)*(((職員マスタ!$H$6:$H$405="")+(職員マスタ!$H$6:$H$405&gt;=$AO129))&gt;0)*(ROW(職員マスタ!$A$6:$A$405)-5))),IFERROR(MATCH($B129,職員マスタ!$A$6:$A$405,0),"")))</f>
        <v/>
      </c>
      <c r="AO129" s="16">
        <f>IF(OR($B129="",$C129="",$D129=""),"",DATE($C129+2018,$D129,1))</f>
        <v/>
      </c>
    </row>
    <row r="130">
      <c r="A130" s="11" t="n"/>
      <c r="B130" s="12" t="n">
        <v>6102230</v>
      </c>
      <c r="C130" s="12" t="n">
        <v>7</v>
      </c>
      <c r="D130" s="12" t="n">
        <v>5</v>
      </c>
      <c r="E130" s="13" t="n">
        <v>215507</v>
      </c>
      <c r="F130" s="12" t="n"/>
      <c r="G130" s="13" t="n"/>
      <c r="H130" s="12" t="n"/>
      <c r="I130" s="12" t="n"/>
      <c r="J130" s="12" t="n"/>
      <c r="K130" s="12" t="n"/>
      <c r="L130" s="11" t="n"/>
      <c r="M130" s="11" t="n"/>
      <c r="N130" s="11" t="n"/>
      <c r="O130" s="11" t="n"/>
      <c r="P130" s="12" t="n"/>
      <c r="Q130" s="11" t="n"/>
      <c r="R130" s="12" t="n"/>
      <c r="S130" s="11" t="n"/>
      <c r="T130" s="12" t="n"/>
      <c r="U130" s="12" t="n"/>
      <c r="V130" s="14">
        <f>IF($AN130="",IF($B130="","",$H130),IF(INDEX(職員マスタ!$B$6:$B$405,$AN130)="",$H130,INDEX(職員マスタ!$B$6:$B$405,$AN130)))</f>
        <v/>
      </c>
      <c r="W130" s="14">
        <f>IF($AN130="",IF($B130="","",$R130),IF(INDEX(職員マスタ!$C$6:$C$405,$AN130)="",$R130,INDEX(職員マスタ!$C$6:$C$405,$AN130)))</f>
        <v/>
      </c>
      <c r="X130" s="14">
        <f>IF($AO130="","","R"&amp;$C130&amp;"."&amp;$D130)</f>
        <v/>
      </c>
      <c r="Y130" s="15">
        <f>IF($AN130="","",IF(INDEX(職員マスタ!$K$6:$K$405,$AN130)="","",INDEX(職員マスタ!$K$6:$K$405,$AN130)))</f>
        <v/>
      </c>
      <c r="Z130" s="14">
        <f>IF(OR($E130="",$Y130=""),"",IF($E130&gt;=$Y130,"×",IF($E130&gt;=$Y130*設定!$C$5,"△","○")))</f>
        <v/>
      </c>
      <c r="AA130" s="15">
        <f>IF($Z130="","",IF($Z130="×",0,IF($Z130="○",ROUNDDOWN($E130*設定!$C$4,0),ROUNDDOWN($E130*ROUND((9*$Y130-9*$E130)/(10*$E130),4),0))))</f>
        <v/>
      </c>
      <c r="AB130" s="13" t="n"/>
      <c r="AC130" s="15">
        <f>IF($B130="","",IF($AB130&lt;&gt;"",$AB130,IF($AA130="","",IF($AA130&lt;=設定!$C$3,0,$AA130))))</f>
        <v/>
      </c>
      <c r="AD130" s="14">
        <f>IF($B130="","",IF(AND($AE130&lt;&gt;"",$AG130="",$AJ130=""),"保留中",IF($AJ130&lt;&gt;"",IF(N($AC130)&gt;0,"支給済","不支給"),IF($AC130="","要確認",IF($AC130=0,"不支給","未処理")))))</f>
        <v/>
      </c>
      <c r="AE130" s="12" t="n"/>
      <c r="AF130" s="11" t="n"/>
      <c r="AG130" s="11" t="n"/>
      <c r="AH130" s="11" t="n"/>
      <c r="AI130" s="14">
        <f>IF(AND($AD130="保留中",$AF130&lt;&gt;""),TODAY()-$AF130,"")</f>
        <v/>
      </c>
      <c r="AJ130" s="12" t="inlineStr">
        <is>
          <t>R7.8</t>
        </is>
      </c>
      <c r="AK130" s="14">
        <f>IF($B130="","",IF($AO130="","対象年月が未入力／","")&amp;IF($B130="","",IF($AN130="","職員マスタに未登録の職員番号／",IF($Y130="","標準報酬月額が未登録／","")&amp;IF(AND($AO130&lt;&gt;"",OR(AND(INDEX(職員マスタ!$G$6:$G$405,$AN130)&lt;&gt;"",INDEX(職員マスタ!$G$6:$G$405,$AN130)&gt;EOMONTH($AO130,0)),AND(INDEX(職員マスタ!$H$6:$H$405,$AN130)&lt;&gt;"",INDEX(職員マスタ!$H$6:$H$405,$AN130)&lt;$AO130))),"対象月が時短期間外／","")&amp;IF(AND(INDEX(職員マスタ!$F$6:$F$405,$AN130)&lt;&gt;"",$AO130&lt;&gt;"",INDEX(職員マスタ!$F$6:$F$405,$AN130)&lt;$AO130),"対象月に子が2歳到達済／","")&amp;IF(AND($H130&lt;&gt;"",INDEX(職員マスタ!$B$6:$B$405,$AN130)&lt;&gt;"",SUBSTITUTE(SUBSTITUTE($H130," ","")," ","")&lt;&gt;SUBSTITUTE(SUBSTITUTE(INDEX(職員マスタ!$B$6:$B$405,$AN130)," ","")," ","")),"氏名がマスタと相違／","")&amp;IF(AND($Q130&lt;&gt;"",INDEX(職員マスタ!$E$6:$E$405,$AN130)&lt;&gt;"",$Q130&lt;&gt;INDEX(職員マスタ!$E$6:$E$405,$AN130)),"子の生年月日がマスタと相違／","")&amp;IF(AND($L130&lt;&gt;"",INDEX(職員マスタ!$G$6:$G$405,$AN130)&lt;&gt;"",$L130&lt;&gt;INDEX(職員マスタ!$G$6:$G$405,$AN130)),"時短開始日がマスタと相違／","")&amp;IF(AND($M130&lt;&gt;"",INDEX(職員マスタ!$H$6:$H$405,$AN130)&lt;&gt;"",$M130&lt;&gt;INDEX(職員マスタ!$H$6:$H$405,$AN130)),"時短終了日がマスタと相違／","")))&amp;IF(AND($B130&lt;&gt;"",$E130=""),"報酬額が未入力／","")&amp;IF(N($U130)&gt;0,"申請書に入力エラーが残っています／","")&amp;IF(AND($B130&lt;&gt;"",$AO130&lt;&gt;""),IF(COUNTIFS($B$6:$B$3005,$B130,$C$6:$C$3005,$C130,$D$6:$D$3005,$D130)&gt;1,"同じ月の請求が重複しています／",""),"")&amp;IF(AND(N($E130)&gt;0,$Z130&lt;&gt;"",$Z130&lt;&gt;"×",$AC130=0,$AB130=""),"計算額が下限以下のため不支給／",""))</f>
        <v/>
      </c>
      <c r="AL130" s="12" t="n"/>
      <c r="AM130" s="14">
        <f>IF($AD130="保留中",COUNTIF($AD$6:$AD130,"保留中"),"")</f>
        <v/>
      </c>
      <c r="AN130" s="14">
        <f>IF($AO130="","",IF(SUMPRODUCT(MAX((職員マスタ!$A$6:$A$405=$B130)*(((職員マスタ!$G$6:$G$405="")+(職員マスタ!$G$6:$G$405&lt;=EOMONTH($AO130,0)))&gt;0)*(((職員マスタ!$H$6:$H$405="")+(職員マスタ!$H$6:$H$405&gt;=$AO130))&gt;0)*(ROW(職員マスタ!$A$6:$A$405)-5)))&gt;0,SUMPRODUCT(MAX((職員マスタ!$A$6:$A$405=$B130)*(((職員マスタ!$G$6:$G$405="")+(職員マスタ!$G$6:$G$405&lt;=EOMONTH($AO130,0)))&gt;0)*(((職員マスタ!$H$6:$H$405="")+(職員マスタ!$H$6:$H$405&gt;=$AO130))&gt;0)*(ROW(職員マスタ!$A$6:$A$405)-5))),IFERROR(MATCH($B130,職員マスタ!$A$6:$A$405,0),"")))</f>
        <v/>
      </c>
      <c r="AO130" s="16">
        <f>IF(OR($B130="",$C130="",$D130=""),"",DATE($C130+2018,$D130,1))</f>
        <v/>
      </c>
    </row>
    <row r="131">
      <c r="A131" s="11" t="n"/>
      <c r="B131" s="12" t="n">
        <v>6102230</v>
      </c>
      <c r="C131" s="12" t="n">
        <v>7</v>
      </c>
      <c r="D131" s="12" t="n">
        <v>6</v>
      </c>
      <c r="E131" s="13" t="n">
        <v>211727</v>
      </c>
      <c r="F131" s="12" t="n"/>
      <c r="G131" s="13" t="n"/>
      <c r="H131" s="12" t="n"/>
      <c r="I131" s="12" t="n"/>
      <c r="J131" s="12" t="n"/>
      <c r="K131" s="12" t="n"/>
      <c r="L131" s="11" t="n"/>
      <c r="M131" s="11" t="n"/>
      <c r="N131" s="11" t="n"/>
      <c r="O131" s="11" t="n"/>
      <c r="P131" s="12" t="n"/>
      <c r="Q131" s="11" t="n"/>
      <c r="R131" s="12" t="n"/>
      <c r="S131" s="11" t="n"/>
      <c r="T131" s="12" t="n"/>
      <c r="U131" s="12" t="n"/>
      <c r="V131" s="14">
        <f>IF($AN131="",IF($B131="","",$H131),IF(INDEX(職員マスタ!$B$6:$B$405,$AN131)="",$H131,INDEX(職員マスタ!$B$6:$B$405,$AN131)))</f>
        <v/>
      </c>
      <c r="W131" s="14">
        <f>IF($AN131="",IF($B131="","",$R131),IF(INDEX(職員マスタ!$C$6:$C$405,$AN131)="",$R131,INDEX(職員マスタ!$C$6:$C$405,$AN131)))</f>
        <v/>
      </c>
      <c r="X131" s="14">
        <f>IF($AO131="","","R"&amp;$C131&amp;"."&amp;$D131)</f>
        <v/>
      </c>
      <c r="Y131" s="15">
        <f>IF($AN131="","",IF(INDEX(職員マスタ!$K$6:$K$405,$AN131)="","",INDEX(職員マスタ!$K$6:$K$405,$AN131)))</f>
        <v/>
      </c>
      <c r="Z131" s="14">
        <f>IF(OR($E131="",$Y131=""),"",IF($E131&gt;=$Y131,"×",IF($E131&gt;=$Y131*設定!$C$5,"△","○")))</f>
        <v/>
      </c>
      <c r="AA131" s="15">
        <f>IF($Z131="","",IF($Z131="×",0,IF($Z131="○",ROUNDDOWN($E131*設定!$C$4,0),ROUNDDOWN($E131*ROUND((9*$Y131-9*$E131)/(10*$E131),4),0))))</f>
        <v/>
      </c>
      <c r="AB131" s="13" t="n"/>
      <c r="AC131" s="15">
        <f>IF($B131="","",IF($AB131&lt;&gt;"",$AB131,IF($AA131="","",IF($AA131&lt;=設定!$C$3,0,$AA131))))</f>
        <v/>
      </c>
      <c r="AD131" s="14">
        <f>IF($B131="","",IF(AND($AE131&lt;&gt;"",$AG131="",$AJ131=""),"保留中",IF($AJ131&lt;&gt;"",IF(N($AC131)&gt;0,"支給済","不支給"),IF($AC131="","要確認",IF($AC131=0,"不支給","未処理")))))</f>
        <v/>
      </c>
      <c r="AE131" s="12" t="n"/>
      <c r="AF131" s="11" t="n"/>
      <c r="AG131" s="11" t="n"/>
      <c r="AH131" s="11" t="n"/>
      <c r="AI131" s="14">
        <f>IF(AND($AD131="保留中",$AF131&lt;&gt;""),TODAY()-$AF131,"")</f>
        <v/>
      </c>
      <c r="AJ131" s="12" t="inlineStr">
        <is>
          <t>R7.8</t>
        </is>
      </c>
      <c r="AK131" s="14">
        <f>IF($B131="","",IF($AO131="","対象年月が未入力／","")&amp;IF($B131="","",IF($AN131="","職員マスタに未登録の職員番号／",IF($Y131="","標準報酬月額が未登録／","")&amp;IF(AND($AO131&lt;&gt;"",OR(AND(INDEX(職員マスタ!$G$6:$G$405,$AN131)&lt;&gt;"",INDEX(職員マスタ!$G$6:$G$405,$AN131)&gt;EOMONTH($AO131,0)),AND(INDEX(職員マスタ!$H$6:$H$405,$AN131)&lt;&gt;"",INDEX(職員マスタ!$H$6:$H$405,$AN131)&lt;$AO131))),"対象月が時短期間外／","")&amp;IF(AND(INDEX(職員マスタ!$F$6:$F$405,$AN131)&lt;&gt;"",$AO131&lt;&gt;"",INDEX(職員マスタ!$F$6:$F$405,$AN131)&lt;$AO131),"対象月に子が2歳到達済／","")&amp;IF(AND($H131&lt;&gt;"",INDEX(職員マスタ!$B$6:$B$405,$AN131)&lt;&gt;"",SUBSTITUTE(SUBSTITUTE($H131," ","")," ","")&lt;&gt;SUBSTITUTE(SUBSTITUTE(INDEX(職員マスタ!$B$6:$B$405,$AN131)," ","")," ","")),"氏名がマスタと相違／","")&amp;IF(AND($Q131&lt;&gt;"",INDEX(職員マスタ!$E$6:$E$405,$AN131)&lt;&gt;"",$Q131&lt;&gt;INDEX(職員マスタ!$E$6:$E$405,$AN131)),"子の生年月日がマスタと相違／","")&amp;IF(AND($L131&lt;&gt;"",INDEX(職員マスタ!$G$6:$G$405,$AN131)&lt;&gt;"",$L131&lt;&gt;INDEX(職員マスタ!$G$6:$G$405,$AN131)),"時短開始日がマスタと相違／","")&amp;IF(AND($M131&lt;&gt;"",INDEX(職員マスタ!$H$6:$H$405,$AN131)&lt;&gt;"",$M131&lt;&gt;INDEX(職員マスタ!$H$6:$H$405,$AN131)),"時短終了日がマスタと相違／","")))&amp;IF(AND($B131&lt;&gt;"",$E131=""),"報酬額が未入力／","")&amp;IF(N($U131)&gt;0,"申請書に入力エラーが残っています／","")&amp;IF(AND($B131&lt;&gt;"",$AO131&lt;&gt;""),IF(COUNTIFS($B$6:$B$3005,$B131,$C$6:$C$3005,$C131,$D$6:$D$3005,$D131)&gt;1,"同じ月の請求が重複しています／",""),"")&amp;IF(AND(N($E131)&gt;0,$Z131&lt;&gt;"",$Z131&lt;&gt;"×",$AC131=0,$AB131=""),"計算額が下限以下のため不支給／",""))</f>
        <v/>
      </c>
      <c r="AL131" s="12" t="n"/>
      <c r="AM131" s="14">
        <f>IF($AD131="保留中",COUNTIF($AD$6:$AD131,"保留中"),"")</f>
        <v/>
      </c>
      <c r="AN131" s="14">
        <f>IF($AO131="","",IF(SUMPRODUCT(MAX((職員マスタ!$A$6:$A$405=$B131)*(((職員マスタ!$G$6:$G$405="")+(職員マスタ!$G$6:$G$405&lt;=EOMONTH($AO131,0)))&gt;0)*(((職員マスタ!$H$6:$H$405="")+(職員マスタ!$H$6:$H$405&gt;=$AO131))&gt;0)*(ROW(職員マスタ!$A$6:$A$405)-5)))&gt;0,SUMPRODUCT(MAX((職員マスタ!$A$6:$A$405=$B131)*(((職員マスタ!$G$6:$G$405="")+(職員マスタ!$G$6:$G$405&lt;=EOMONTH($AO131,0)))&gt;0)*(((職員マスタ!$H$6:$H$405="")+(職員マスタ!$H$6:$H$405&gt;=$AO131))&gt;0)*(ROW(職員マスタ!$A$6:$A$405)-5))),IFERROR(MATCH($B131,職員マスタ!$A$6:$A$405,0),"")))</f>
        <v/>
      </c>
      <c r="AO131" s="16">
        <f>IF(OR($B131="",$C131="",$D131=""),"",DATE($C131+2018,$D131,1))</f>
        <v/>
      </c>
    </row>
    <row r="132">
      <c r="A132" s="11" t="n"/>
      <c r="B132" s="12" t="n">
        <v>6200224</v>
      </c>
      <c r="C132" s="12" t="n">
        <v>8</v>
      </c>
      <c r="D132" s="12" t="n">
        <v>5</v>
      </c>
      <c r="E132" s="13" t="n">
        <v>366816</v>
      </c>
      <c r="F132" s="12" t="n"/>
      <c r="G132" s="13" t="n"/>
      <c r="H132" s="12" t="n"/>
      <c r="I132" s="12" t="n"/>
      <c r="J132" s="12" t="n"/>
      <c r="K132" s="12" t="n"/>
      <c r="L132" s="11" t="n"/>
      <c r="M132" s="11" t="n"/>
      <c r="N132" s="11" t="n"/>
      <c r="O132" s="11" t="n"/>
      <c r="P132" s="12" t="n"/>
      <c r="Q132" s="11" t="n"/>
      <c r="R132" s="12" t="n"/>
      <c r="S132" s="11" t="n"/>
      <c r="T132" s="12" t="n"/>
      <c r="U132" s="12" t="n"/>
      <c r="V132" s="14">
        <f>IF($AN132="",IF($B132="","",$H132),IF(INDEX(職員マスタ!$B$6:$B$405,$AN132)="",$H132,INDEX(職員マスタ!$B$6:$B$405,$AN132)))</f>
        <v/>
      </c>
      <c r="W132" s="14">
        <f>IF($AN132="",IF($B132="","",$R132),IF(INDEX(職員マスタ!$C$6:$C$405,$AN132)="",$R132,INDEX(職員マスタ!$C$6:$C$405,$AN132)))</f>
        <v/>
      </c>
      <c r="X132" s="14">
        <f>IF($AO132="","","R"&amp;$C132&amp;"."&amp;$D132)</f>
        <v/>
      </c>
      <c r="Y132" s="15">
        <f>IF($AN132="","",IF(INDEX(職員マスタ!$K$6:$K$405,$AN132)="","",INDEX(職員マスタ!$K$6:$K$405,$AN132)))</f>
        <v/>
      </c>
      <c r="Z132" s="14">
        <f>IF(OR($E132="",$Y132=""),"",IF($E132&gt;=$Y132,"×",IF($E132&gt;=$Y132*設定!$C$5,"△","○")))</f>
        <v/>
      </c>
      <c r="AA132" s="15">
        <f>IF($Z132="","",IF($Z132="×",0,IF($Z132="○",ROUNDDOWN($E132*設定!$C$4,0),ROUNDDOWN($E132*ROUND((9*$Y132-9*$E132)/(10*$E132),4),0))))</f>
        <v/>
      </c>
      <c r="AB132" s="13" t="n"/>
      <c r="AC132" s="15">
        <f>IF($B132="","",IF($AB132&lt;&gt;"",$AB132,IF($AA132="","",IF($AA132&lt;=設定!$C$3,0,$AA132))))</f>
        <v/>
      </c>
      <c r="AD132" s="14">
        <f>IF($B132="","",IF(AND($AE132&lt;&gt;"",$AG132="",$AJ132=""),"保留中",IF($AJ132&lt;&gt;"",IF(N($AC132)&gt;0,"支給済","不支給"),IF($AC132="","要確認",IF($AC132=0,"不支給","未処理")))))</f>
        <v/>
      </c>
      <c r="AE132" s="12" t="n"/>
      <c r="AF132" s="11" t="n"/>
      <c r="AG132" s="11" t="n"/>
      <c r="AH132" s="11" t="n"/>
      <c r="AI132" s="14">
        <f>IF(AND($AD132="保留中",$AF132&lt;&gt;""),TODAY()-$AF132,"")</f>
        <v/>
      </c>
      <c r="AJ132" s="12" t="inlineStr">
        <is>
          <t>R8.10</t>
        </is>
      </c>
      <c r="AK132" s="14">
        <f>IF($B132="","",IF($AO132="","対象年月が未入力／","")&amp;IF($B132="","",IF($AN132="","職員マスタに未登録の職員番号／",IF($Y132="","標準報酬月額が未登録／","")&amp;IF(AND($AO132&lt;&gt;"",OR(AND(INDEX(職員マスタ!$G$6:$G$405,$AN132)&lt;&gt;"",INDEX(職員マスタ!$G$6:$G$405,$AN132)&gt;EOMONTH($AO132,0)),AND(INDEX(職員マスタ!$H$6:$H$405,$AN132)&lt;&gt;"",INDEX(職員マスタ!$H$6:$H$405,$AN132)&lt;$AO132))),"対象月が時短期間外／","")&amp;IF(AND(INDEX(職員マスタ!$F$6:$F$405,$AN132)&lt;&gt;"",$AO132&lt;&gt;"",INDEX(職員マスタ!$F$6:$F$405,$AN132)&lt;$AO132),"対象月に子が2歳到達済／","")&amp;IF(AND($H132&lt;&gt;"",INDEX(職員マスタ!$B$6:$B$405,$AN132)&lt;&gt;"",SUBSTITUTE(SUBSTITUTE($H132," ","")," ","")&lt;&gt;SUBSTITUTE(SUBSTITUTE(INDEX(職員マスタ!$B$6:$B$405,$AN132)," ","")," ","")),"氏名がマスタと相違／","")&amp;IF(AND($Q132&lt;&gt;"",INDEX(職員マスタ!$E$6:$E$405,$AN132)&lt;&gt;"",$Q132&lt;&gt;INDEX(職員マスタ!$E$6:$E$405,$AN132)),"子の生年月日がマスタと相違／","")&amp;IF(AND($L132&lt;&gt;"",INDEX(職員マスタ!$G$6:$G$405,$AN132)&lt;&gt;"",$L132&lt;&gt;INDEX(職員マスタ!$G$6:$G$405,$AN132)),"時短開始日がマスタと相違／","")&amp;IF(AND($M132&lt;&gt;"",INDEX(職員マスタ!$H$6:$H$405,$AN132)&lt;&gt;"",$M132&lt;&gt;INDEX(職員マスタ!$H$6:$H$405,$AN132)),"時短終了日がマスタと相違／","")))&amp;IF(AND($B132&lt;&gt;"",$E132=""),"報酬額が未入力／","")&amp;IF(N($U132)&gt;0,"申請書に入力エラーが残っています／","")&amp;IF(AND($B132&lt;&gt;"",$AO132&lt;&gt;""),IF(COUNTIFS($B$6:$B$3005,$B132,$C$6:$C$3005,$C132,$D$6:$D$3005,$D132)&gt;1,"同じ月の請求が重複しています／",""),"")&amp;IF(AND(N($E132)&gt;0,$Z132&lt;&gt;"",$Z132&lt;&gt;"×",$AC132=0,$AB132=""),"計算額が下限以下のため不支給／",""))</f>
        <v/>
      </c>
      <c r="AL132" s="12" t="n"/>
      <c r="AM132" s="14">
        <f>IF($AD132="保留中",COUNTIF($AD$6:$AD132,"保留中"),"")</f>
        <v/>
      </c>
      <c r="AN132" s="14">
        <f>IF($AO132="","",IF(SUMPRODUCT(MAX((職員マスタ!$A$6:$A$405=$B132)*(((職員マスタ!$G$6:$G$405="")+(職員マスタ!$G$6:$G$405&lt;=EOMONTH($AO132,0)))&gt;0)*(((職員マスタ!$H$6:$H$405="")+(職員マスタ!$H$6:$H$405&gt;=$AO132))&gt;0)*(ROW(職員マスタ!$A$6:$A$405)-5)))&gt;0,SUMPRODUCT(MAX((職員マスタ!$A$6:$A$405=$B132)*(((職員マスタ!$G$6:$G$405="")+(職員マスタ!$G$6:$G$405&lt;=EOMONTH($AO132,0)))&gt;0)*(((職員マスタ!$H$6:$H$405="")+(職員マスタ!$H$6:$H$405&gt;=$AO132))&gt;0)*(ROW(職員マスタ!$A$6:$A$405)-5))),IFERROR(MATCH($B132,職員マスタ!$A$6:$A$405,0),"")))</f>
        <v/>
      </c>
      <c r="AO132" s="16">
        <f>IF(OR($B132="",$C132="",$D132=""),"",DATE($C132+2018,$D132,1))</f>
        <v/>
      </c>
    </row>
    <row r="133">
      <c r="A133" s="11" t="n"/>
      <c r="B133" s="12" t="n">
        <v>6200224</v>
      </c>
      <c r="C133" s="12" t="n">
        <v>8</v>
      </c>
      <c r="D133" s="12" t="n">
        <v>6</v>
      </c>
      <c r="E133" s="13" t="n">
        <v>344036</v>
      </c>
      <c r="F133" s="12" t="n"/>
      <c r="G133" s="13" t="n"/>
      <c r="H133" s="12" t="n"/>
      <c r="I133" s="12" t="n"/>
      <c r="J133" s="12" t="n"/>
      <c r="K133" s="12" t="n"/>
      <c r="L133" s="11" t="n"/>
      <c r="M133" s="11" t="n"/>
      <c r="N133" s="11" t="n"/>
      <c r="O133" s="11" t="n"/>
      <c r="P133" s="12" t="n"/>
      <c r="Q133" s="11" t="n"/>
      <c r="R133" s="12" t="n"/>
      <c r="S133" s="11" t="n"/>
      <c r="T133" s="12" t="n"/>
      <c r="U133" s="12" t="n"/>
      <c r="V133" s="14">
        <f>IF($AN133="",IF($B133="","",$H133),IF(INDEX(職員マスタ!$B$6:$B$405,$AN133)="",$H133,INDEX(職員マスタ!$B$6:$B$405,$AN133)))</f>
        <v/>
      </c>
      <c r="W133" s="14">
        <f>IF($AN133="",IF($B133="","",$R133),IF(INDEX(職員マスタ!$C$6:$C$405,$AN133)="",$R133,INDEX(職員マスタ!$C$6:$C$405,$AN133)))</f>
        <v/>
      </c>
      <c r="X133" s="14">
        <f>IF($AO133="","","R"&amp;$C133&amp;"."&amp;$D133)</f>
        <v/>
      </c>
      <c r="Y133" s="15">
        <f>IF($AN133="","",IF(INDEX(職員マスタ!$K$6:$K$405,$AN133)="","",INDEX(職員マスタ!$K$6:$K$405,$AN133)))</f>
        <v/>
      </c>
      <c r="Z133" s="14">
        <f>IF(OR($E133="",$Y133=""),"",IF($E133&gt;=$Y133,"×",IF($E133&gt;=$Y133*設定!$C$5,"△","○")))</f>
        <v/>
      </c>
      <c r="AA133" s="15">
        <f>IF($Z133="","",IF($Z133="×",0,IF($Z133="○",ROUNDDOWN($E133*設定!$C$4,0),ROUNDDOWN($E133*ROUND((9*$Y133-9*$E133)/(10*$E133),4),0))))</f>
        <v/>
      </c>
      <c r="AB133" s="13" t="n"/>
      <c r="AC133" s="15">
        <f>IF($B133="","",IF($AB133&lt;&gt;"",$AB133,IF($AA133="","",IF($AA133&lt;=設定!$C$3,0,$AA133))))</f>
        <v/>
      </c>
      <c r="AD133" s="14">
        <f>IF($B133="","",IF(AND($AE133&lt;&gt;"",$AG133="",$AJ133=""),"保留中",IF($AJ133&lt;&gt;"",IF(N($AC133)&gt;0,"支給済","不支給"),IF($AC133="","要確認",IF($AC133=0,"不支給","未処理")))))</f>
        <v/>
      </c>
      <c r="AE133" s="12" t="n"/>
      <c r="AF133" s="11" t="n"/>
      <c r="AG133" s="11" t="n"/>
      <c r="AH133" s="11" t="n"/>
      <c r="AI133" s="14">
        <f>IF(AND($AD133="保留中",$AF133&lt;&gt;""),TODAY()-$AF133,"")</f>
        <v/>
      </c>
      <c r="AJ133" s="12" t="inlineStr">
        <is>
          <t>R8.8</t>
        </is>
      </c>
      <c r="AK133" s="14">
        <f>IF($B133="","",IF($AO133="","対象年月が未入力／","")&amp;IF($B133="","",IF($AN133="","職員マスタに未登録の職員番号／",IF($Y133="","標準報酬月額が未登録／","")&amp;IF(AND($AO133&lt;&gt;"",OR(AND(INDEX(職員マスタ!$G$6:$G$405,$AN133)&lt;&gt;"",INDEX(職員マスタ!$G$6:$G$405,$AN133)&gt;EOMONTH($AO133,0)),AND(INDEX(職員マスタ!$H$6:$H$405,$AN133)&lt;&gt;"",INDEX(職員マスタ!$H$6:$H$405,$AN133)&lt;$AO133))),"対象月が時短期間外／","")&amp;IF(AND(INDEX(職員マスタ!$F$6:$F$405,$AN133)&lt;&gt;"",$AO133&lt;&gt;"",INDEX(職員マスタ!$F$6:$F$405,$AN133)&lt;$AO133),"対象月に子が2歳到達済／","")&amp;IF(AND($H133&lt;&gt;"",INDEX(職員マスタ!$B$6:$B$405,$AN133)&lt;&gt;"",SUBSTITUTE(SUBSTITUTE($H133," ","")," ","")&lt;&gt;SUBSTITUTE(SUBSTITUTE(INDEX(職員マスタ!$B$6:$B$405,$AN133)," ","")," ","")),"氏名がマスタと相違／","")&amp;IF(AND($Q133&lt;&gt;"",INDEX(職員マスタ!$E$6:$E$405,$AN133)&lt;&gt;"",$Q133&lt;&gt;INDEX(職員マスタ!$E$6:$E$405,$AN133)),"子の生年月日がマスタと相違／","")&amp;IF(AND($L133&lt;&gt;"",INDEX(職員マスタ!$G$6:$G$405,$AN133)&lt;&gt;"",$L133&lt;&gt;INDEX(職員マスタ!$G$6:$G$405,$AN133)),"時短開始日がマスタと相違／","")&amp;IF(AND($M133&lt;&gt;"",INDEX(職員マスタ!$H$6:$H$405,$AN133)&lt;&gt;"",$M133&lt;&gt;INDEX(職員マスタ!$H$6:$H$405,$AN133)),"時短終了日がマスタと相違／","")))&amp;IF(AND($B133&lt;&gt;"",$E133=""),"報酬額が未入力／","")&amp;IF(N($U133)&gt;0,"申請書に入力エラーが残っています／","")&amp;IF(AND($B133&lt;&gt;"",$AO133&lt;&gt;""),IF(COUNTIFS($B$6:$B$3005,$B133,$C$6:$C$3005,$C133,$D$6:$D$3005,$D133)&gt;1,"同じ月の請求が重複しています／",""),"")&amp;IF(AND(N($E133)&gt;0,$Z133&lt;&gt;"",$Z133&lt;&gt;"×",$AC133=0,$AB133=""),"計算額が下限以下のため不支給／",""))</f>
        <v/>
      </c>
      <c r="AL133" s="12" t="n"/>
      <c r="AM133" s="14">
        <f>IF($AD133="保留中",COUNTIF($AD$6:$AD133,"保留中"),"")</f>
        <v/>
      </c>
      <c r="AN133" s="14">
        <f>IF($AO133="","",IF(SUMPRODUCT(MAX((職員マスタ!$A$6:$A$405=$B133)*(((職員マスタ!$G$6:$G$405="")+(職員マスタ!$G$6:$G$405&lt;=EOMONTH($AO133,0)))&gt;0)*(((職員マスタ!$H$6:$H$405="")+(職員マスタ!$H$6:$H$405&gt;=$AO133))&gt;0)*(ROW(職員マスタ!$A$6:$A$405)-5)))&gt;0,SUMPRODUCT(MAX((職員マスタ!$A$6:$A$405=$B133)*(((職員マスタ!$G$6:$G$405="")+(職員マスタ!$G$6:$G$405&lt;=EOMONTH($AO133,0)))&gt;0)*(((職員マスタ!$H$6:$H$405="")+(職員マスタ!$H$6:$H$405&gt;=$AO133))&gt;0)*(ROW(職員マスタ!$A$6:$A$405)-5))),IFERROR(MATCH($B133,職員マスタ!$A$6:$A$405,0),"")))</f>
        <v/>
      </c>
      <c r="AO133" s="16">
        <f>IF(OR($B133="",$C133="",$D133=""),"",DATE($C133+2018,$D133,1))</f>
        <v/>
      </c>
    </row>
    <row r="134">
      <c r="A134" s="11" t="n"/>
      <c r="B134" s="12" t="n">
        <v>6200224</v>
      </c>
      <c r="C134" s="12" t="n">
        <v>8</v>
      </c>
      <c r="D134" s="12" t="n">
        <v>7</v>
      </c>
      <c r="E134" s="13" t="n">
        <v>299650</v>
      </c>
      <c r="F134" s="12" t="n"/>
      <c r="G134" s="13" t="n"/>
      <c r="H134" s="12" t="n"/>
      <c r="I134" s="12" t="n"/>
      <c r="J134" s="12" t="n"/>
      <c r="K134" s="12" t="n"/>
      <c r="L134" s="11" t="n"/>
      <c r="M134" s="11" t="n"/>
      <c r="N134" s="11" t="n"/>
      <c r="O134" s="11" t="n"/>
      <c r="P134" s="12" t="n"/>
      <c r="Q134" s="11" t="n"/>
      <c r="R134" s="12" t="n"/>
      <c r="S134" s="11" t="n"/>
      <c r="T134" s="12" t="n"/>
      <c r="U134" s="12" t="n"/>
      <c r="V134" s="14">
        <f>IF($AN134="",IF($B134="","",$H134),IF(INDEX(職員マスタ!$B$6:$B$405,$AN134)="",$H134,INDEX(職員マスタ!$B$6:$B$405,$AN134)))</f>
        <v/>
      </c>
      <c r="W134" s="14">
        <f>IF($AN134="",IF($B134="","",$R134),IF(INDEX(職員マスタ!$C$6:$C$405,$AN134)="",$R134,INDEX(職員マスタ!$C$6:$C$405,$AN134)))</f>
        <v/>
      </c>
      <c r="X134" s="14">
        <f>IF($AO134="","","R"&amp;$C134&amp;"."&amp;$D134)</f>
        <v/>
      </c>
      <c r="Y134" s="15">
        <f>IF($AN134="","",IF(INDEX(職員マスタ!$K$6:$K$405,$AN134)="","",INDEX(職員マスタ!$K$6:$K$405,$AN134)))</f>
        <v/>
      </c>
      <c r="Z134" s="14">
        <f>IF(OR($E134="",$Y134=""),"",IF($E134&gt;=$Y134,"×",IF($E134&gt;=$Y134*設定!$C$5,"△","○")))</f>
        <v/>
      </c>
      <c r="AA134" s="15">
        <f>IF($Z134="","",IF($Z134="×",0,IF($Z134="○",ROUNDDOWN($E134*設定!$C$4,0),ROUNDDOWN($E134*ROUND((9*$Y134-9*$E134)/(10*$E134),4),0))))</f>
        <v/>
      </c>
      <c r="AB134" s="13" t="n"/>
      <c r="AC134" s="15">
        <f>IF($B134="","",IF($AB134&lt;&gt;"",$AB134,IF($AA134="","",IF($AA134&lt;=設定!$C$3,0,$AA134))))</f>
        <v/>
      </c>
      <c r="AD134" s="14">
        <f>IF($B134="","",IF(AND($AE134&lt;&gt;"",$AG134="",$AJ134=""),"保留中",IF($AJ134&lt;&gt;"",IF(N($AC134)&gt;0,"支給済","不支給"),IF($AC134="","要確認",IF($AC134=0,"不支給","未処理")))))</f>
        <v/>
      </c>
      <c r="AE134" s="12" t="n"/>
      <c r="AF134" s="11" t="n"/>
      <c r="AG134" s="11" t="n"/>
      <c r="AH134" s="11" t="n"/>
      <c r="AI134" s="14">
        <f>IF(AND($AD134="保留中",$AF134&lt;&gt;""),TODAY()-$AF134,"")</f>
        <v/>
      </c>
      <c r="AJ134" s="12" t="inlineStr">
        <is>
          <t>R8.10</t>
        </is>
      </c>
      <c r="AK134" s="14">
        <f>IF($B134="","",IF($AO134="","対象年月が未入力／","")&amp;IF($B134="","",IF($AN134="","職員マスタに未登録の職員番号／",IF($Y134="","標準報酬月額が未登録／","")&amp;IF(AND($AO134&lt;&gt;"",OR(AND(INDEX(職員マスタ!$G$6:$G$405,$AN134)&lt;&gt;"",INDEX(職員マスタ!$G$6:$G$405,$AN134)&gt;EOMONTH($AO134,0)),AND(INDEX(職員マスタ!$H$6:$H$405,$AN134)&lt;&gt;"",INDEX(職員マスタ!$H$6:$H$405,$AN134)&lt;$AO134))),"対象月が時短期間外／","")&amp;IF(AND(INDEX(職員マスタ!$F$6:$F$405,$AN134)&lt;&gt;"",$AO134&lt;&gt;"",INDEX(職員マスタ!$F$6:$F$405,$AN134)&lt;$AO134),"対象月に子が2歳到達済／","")&amp;IF(AND($H134&lt;&gt;"",INDEX(職員マスタ!$B$6:$B$405,$AN134)&lt;&gt;"",SUBSTITUTE(SUBSTITUTE($H134," ","")," ","")&lt;&gt;SUBSTITUTE(SUBSTITUTE(INDEX(職員マスタ!$B$6:$B$405,$AN134)," ","")," ","")),"氏名がマスタと相違／","")&amp;IF(AND($Q134&lt;&gt;"",INDEX(職員マスタ!$E$6:$E$405,$AN134)&lt;&gt;"",$Q134&lt;&gt;INDEX(職員マスタ!$E$6:$E$405,$AN134)),"子の生年月日がマスタと相違／","")&amp;IF(AND($L134&lt;&gt;"",INDEX(職員マスタ!$G$6:$G$405,$AN134)&lt;&gt;"",$L134&lt;&gt;INDEX(職員マスタ!$G$6:$G$405,$AN134)),"時短開始日がマスタと相違／","")&amp;IF(AND($M134&lt;&gt;"",INDEX(職員マスタ!$H$6:$H$405,$AN134)&lt;&gt;"",$M134&lt;&gt;INDEX(職員マスタ!$H$6:$H$405,$AN134)),"時短終了日がマスタと相違／","")))&amp;IF(AND($B134&lt;&gt;"",$E134=""),"報酬額が未入力／","")&amp;IF(N($U134)&gt;0,"申請書に入力エラーが残っています／","")&amp;IF(AND($B134&lt;&gt;"",$AO134&lt;&gt;""),IF(COUNTIFS($B$6:$B$3005,$B134,$C$6:$C$3005,$C134,$D$6:$D$3005,$D134)&gt;1,"同じ月の請求が重複しています／",""),"")&amp;IF(AND(N($E134)&gt;0,$Z134&lt;&gt;"",$Z134&lt;&gt;"×",$AC134=0,$AB134=""),"計算額が下限以下のため不支給／",""))</f>
        <v/>
      </c>
      <c r="AL134" s="12" t="n"/>
      <c r="AM134" s="14">
        <f>IF($AD134="保留中",COUNTIF($AD$6:$AD134,"保留中"),"")</f>
        <v/>
      </c>
      <c r="AN134" s="14">
        <f>IF($AO134="","",IF(SUMPRODUCT(MAX((職員マスタ!$A$6:$A$405=$B134)*(((職員マスタ!$G$6:$G$405="")+(職員マスタ!$G$6:$G$405&lt;=EOMONTH($AO134,0)))&gt;0)*(((職員マスタ!$H$6:$H$405="")+(職員マスタ!$H$6:$H$405&gt;=$AO134))&gt;0)*(ROW(職員マスタ!$A$6:$A$405)-5)))&gt;0,SUMPRODUCT(MAX((職員マスタ!$A$6:$A$405=$B134)*(((職員マスタ!$G$6:$G$405="")+(職員マスタ!$G$6:$G$405&lt;=EOMONTH($AO134,0)))&gt;0)*(((職員マスタ!$H$6:$H$405="")+(職員マスタ!$H$6:$H$405&gt;=$AO134))&gt;0)*(ROW(職員マスタ!$A$6:$A$405)-5))),IFERROR(MATCH($B134,職員マスタ!$A$6:$A$405,0),"")))</f>
        <v/>
      </c>
      <c r="AO134" s="16">
        <f>IF(OR($B134="",$C134="",$D134=""),"",DATE($C134+2018,$D134,1))</f>
        <v/>
      </c>
    </row>
    <row r="135">
      <c r="A135" s="11" t="n"/>
      <c r="B135" s="12" t="n">
        <v>6201735</v>
      </c>
      <c r="C135" s="12" t="n">
        <v>7</v>
      </c>
      <c r="D135" s="12" t="n">
        <v>4</v>
      </c>
      <c r="E135" s="13" t="n">
        <v>117686</v>
      </c>
      <c r="F135" s="12" t="n"/>
      <c r="G135" s="13" t="n"/>
      <c r="H135" s="12" t="n"/>
      <c r="I135" s="12" t="n"/>
      <c r="J135" s="12" t="n"/>
      <c r="K135" s="12" t="n"/>
      <c r="L135" s="11" t="n"/>
      <c r="M135" s="11" t="n"/>
      <c r="N135" s="11" t="n"/>
      <c r="O135" s="11" t="n"/>
      <c r="P135" s="12" t="n"/>
      <c r="Q135" s="11" t="n"/>
      <c r="R135" s="12" t="n"/>
      <c r="S135" s="11" t="n"/>
      <c r="T135" s="12" t="n"/>
      <c r="U135" s="12" t="n"/>
      <c r="V135" s="14">
        <f>IF($AN135="",IF($B135="","",$H135),IF(INDEX(職員マスタ!$B$6:$B$405,$AN135)="",$H135,INDEX(職員マスタ!$B$6:$B$405,$AN135)))</f>
        <v/>
      </c>
      <c r="W135" s="14">
        <f>IF($AN135="",IF($B135="","",$R135),IF(INDEX(職員マスタ!$C$6:$C$405,$AN135)="",$R135,INDEX(職員マスタ!$C$6:$C$405,$AN135)))</f>
        <v/>
      </c>
      <c r="X135" s="14">
        <f>IF($AO135="","","R"&amp;$C135&amp;"."&amp;$D135)</f>
        <v/>
      </c>
      <c r="Y135" s="15">
        <f>IF($AN135="","",IF(INDEX(職員マスタ!$K$6:$K$405,$AN135)="","",INDEX(職員マスタ!$K$6:$K$405,$AN135)))</f>
        <v/>
      </c>
      <c r="Z135" s="14">
        <f>IF(OR($E135="",$Y135=""),"",IF($E135&gt;=$Y135,"×",IF($E135&gt;=$Y135*設定!$C$5,"△","○")))</f>
        <v/>
      </c>
      <c r="AA135" s="15">
        <f>IF($Z135="","",IF($Z135="×",0,IF($Z135="○",ROUNDDOWN($E135*設定!$C$4,0),ROUNDDOWN($E135*ROUND((9*$Y135-9*$E135)/(10*$E135),4),0))))</f>
        <v/>
      </c>
      <c r="AB135" s="13" t="n"/>
      <c r="AC135" s="15">
        <f>IF($B135="","",IF($AB135&lt;&gt;"",$AB135,IF($AA135="","",IF($AA135&lt;=設定!$C$3,0,$AA135))))</f>
        <v/>
      </c>
      <c r="AD135" s="14">
        <f>IF($B135="","",IF(AND($AE135&lt;&gt;"",$AG135="",$AJ135=""),"保留中",IF($AJ135&lt;&gt;"",IF(N($AC135)&gt;0,"支給済","不支給"),IF($AC135="","要確認",IF($AC135=0,"不支給","未処理")))))</f>
        <v/>
      </c>
      <c r="AE135" s="12" t="n"/>
      <c r="AF135" s="11" t="n"/>
      <c r="AG135" s="11" t="n"/>
      <c r="AH135" s="11" t="n"/>
      <c r="AI135" s="14">
        <f>IF(AND($AD135="保留中",$AF135&lt;&gt;""),TODAY()-$AF135,"")</f>
        <v/>
      </c>
      <c r="AJ135" s="12" t="inlineStr">
        <is>
          <t>R7.8</t>
        </is>
      </c>
      <c r="AK135" s="14">
        <f>IF($B135="","",IF($AO135="","対象年月が未入力／","")&amp;IF($B135="","",IF($AN135="","職員マスタに未登録の職員番号／",IF($Y135="","標準報酬月額が未登録／","")&amp;IF(AND($AO135&lt;&gt;"",OR(AND(INDEX(職員マスタ!$G$6:$G$405,$AN135)&lt;&gt;"",INDEX(職員マスタ!$G$6:$G$405,$AN135)&gt;EOMONTH($AO135,0)),AND(INDEX(職員マスタ!$H$6:$H$405,$AN135)&lt;&gt;"",INDEX(職員マスタ!$H$6:$H$405,$AN135)&lt;$AO135))),"対象月が時短期間外／","")&amp;IF(AND(INDEX(職員マスタ!$F$6:$F$405,$AN135)&lt;&gt;"",$AO135&lt;&gt;"",INDEX(職員マスタ!$F$6:$F$405,$AN135)&lt;$AO135),"対象月に子が2歳到達済／","")&amp;IF(AND($H135&lt;&gt;"",INDEX(職員マスタ!$B$6:$B$405,$AN135)&lt;&gt;"",SUBSTITUTE(SUBSTITUTE($H135," ","")," ","")&lt;&gt;SUBSTITUTE(SUBSTITUTE(INDEX(職員マスタ!$B$6:$B$405,$AN135)," ","")," ","")),"氏名がマスタと相違／","")&amp;IF(AND($Q135&lt;&gt;"",INDEX(職員マスタ!$E$6:$E$405,$AN135)&lt;&gt;"",$Q135&lt;&gt;INDEX(職員マスタ!$E$6:$E$405,$AN135)),"子の生年月日がマスタと相違／","")&amp;IF(AND($L135&lt;&gt;"",INDEX(職員マスタ!$G$6:$G$405,$AN135)&lt;&gt;"",$L135&lt;&gt;INDEX(職員マスタ!$G$6:$G$405,$AN135)),"時短開始日がマスタと相違／","")&amp;IF(AND($M135&lt;&gt;"",INDEX(職員マスタ!$H$6:$H$405,$AN135)&lt;&gt;"",$M135&lt;&gt;INDEX(職員マスタ!$H$6:$H$405,$AN135)),"時短終了日がマスタと相違／","")))&amp;IF(AND($B135&lt;&gt;"",$E135=""),"報酬額が未入力／","")&amp;IF(N($U135)&gt;0,"申請書に入力エラーが残っています／","")&amp;IF(AND($B135&lt;&gt;"",$AO135&lt;&gt;""),IF(COUNTIFS($B$6:$B$3005,$B135,$C$6:$C$3005,$C135,$D$6:$D$3005,$D135)&gt;1,"同じ月の請求が重複しています／",""),"")&amp;IF(AND(N($E135)&gt;0,$Z135&lt;&gt;"",$Z135&lt;&gt;"×",$AC135=0,$AB135=""),"計算額が下限以下のため不支給／",""))</f>
        <v/>
      </c>
      <c r="AL135" s="12" t="n"/>
      <c r="AM135" s="14">
        <f>IF($AD135="保留中",COUNTIF($AD$6:$AD135,"保留中"),"")</f>
        <v/>
      </c>
      <c r="AN135" s="14">
        <f>IF($AO135="","",IF(SUMPRODUCT(MAX((職員マスタ!$A$6:$A$405=$B135)*(((職員マスタ!$G$6:$G$405="")+(職員マスタ!$G$6:$G$405&lt;=EOMONTH($AO135,0)))&gt;0)*(((職員マスタ!$H$6:$H$405="")+(職員マスタ!$H$6:$H$405&gt;=$AO135))&gt;0)*(ROW(職員マスタ!$A$6:$A$405)-5)))&gt;0,SUMPRODUCT(MAX((職員マスタ!$A$6:$A$405=$B135)*(((職員マスタ!$G$6:$G$405="")+(職員マスタ!$G$6:$G$405&lt;=EOMONTH($AO135,0)))&gt;0)*(((職員マスタ!$H$6:$H$405="")+(職員マスタ!$H$6:$H$405&gt;=$AO135))&gt;0)*(ROW(職員マスタ!$A$6:$A$405)-5))),IFERROR(MATCH($B135,職員マスタ!$A$6:$A$405,0),"")))</f>
        <v/>
      </c>
      <c r="AO135" s="16">
        <f>IF(OR($B135="",$C135="",$D135=""),"",DATE($C135+2018,$D135,1))</f>
        <v/>
      </c>
    </row>
    <row r="136">
      <c r="A136" s="11" t="n"/>
      <c r="B136" s="12" t="n">
        <v>6201735</v>
      </c>
      <c r="C136" s="12" t="n">
        <v>7</v>
      </c>
      <c r="D136" s="12" t="n">
        <v>5</v>
      </c>
      <c r="E136" s="13" t="n">
        <v>197709</v>
      </c>
      <c r="F136" s="12" t="n"/>
      <c r="G136" s="13" t="n"/>
      <c r="H136" s="12" t="n"/>
      <c r="I136" s="12" t="n"/>
      <c r="J136" s="12" t="n"/>
      <c r="K136" s="12" t="n"/>
      <c r="L136" s="11" t="n"/>
      <c r="M136" s="11" t="n"/>
      <c r="N136" s="11" t="n"/>
      <c r="O136" s="11" t="n"/>
      <c r="P136" s="12" t="n"/>
      <c r="Q136" s="11" t="n"/>
      <c r="R136" s="12" t="n"/>
      <c r="S136" s="11" t="n"/>
      <c r="T136" s="12" t="n"/>
      <c r="U136" s="12" t="n"/>
      <c r="V136" s="14">
        <f>IF($AN136="",IF($B136="","",$H136),IF(INDEX(職員マスタ!$B$6:$B$405,$AN136)="",$H136,INDEX(職員マスタ!$B$6:$B$405,$AN136)))</f>
        <v/>
      </c>
      <c r="W136" s="14">
        <f>IF($AN136="",IF($B136="","",$R136),IF(INDEX(職員マスタ!$C$6:$C$405,$AN136)="",$R136,INDEX(職員マスタ!$C$6:$C$405,$AN136)))</f>
        <v/>
      </c>
      <c r="X136" s="14">
        <f>IF($AO136="","","R"&amp;$C136&amp;"."&amp;$D136)</f>
        <v/>
      </c>
      <c r="Y136" s="15">
        <f>IF($AN136="","",IF(INDEX(職員マスタ!$K$6:$K$405,$AN136)="","",INDEX(職員マスタ!$K$6:$K$405,$AN136)))</f>
        <v/>
      </c>
      <c r="Z136" s="14">
        <f>IF(OR($E136="",$Y136=""),"",IF($E136&gt;=$Y136,"×",IF($E136&gt;=$Y136*設定!$C$5,"△","○")))</f>
        <v/>
      </c>
      <c r="AA136" s="15">
        <f>IF($Z136="","",IF($Z136="×",0,IF($Z136="○",ROUNDDOWN($E136*設定!$C$4,0),ROUNDDOWN($E136*ROUND((9*$Y136-9*$E136)/(10*$E136),4),0))))</f>
        <v/>
      </c>
      <c r="AB136" s="13" t="n"/>
      <c r="AC136" s="15">
        <f>IF($B136="","",IF($AB136&lt;&gt;"",$AB136,IF($AA136="","",IF($AA136&lt;=設定!$C$3,0,$AA136))))</f>
        <v/>
      </c>
      <c r="AD136" s="14">
        <f>IF($B136="","",IF(AND($AE136&lt;&gt;"",$AG136="",$AJ136=""),"保留中",IF($AJ136&lt;&gt;"",IF(N($AC136)&gt;0,"支給済","不支給"),IF($AC136="","要確認",IF($AC136=0,"不支給","未処理")))))</f>
        <v/>
      </c>
      <c r="AE136" s="12" t="n"/>
      <c r="AF136" s="11" t="n"/>
      <c r="AG136" s="11" t="n"/>
      <c r="AH136" s="11" t="n"/>
      <c r="AI136" s="14">
        <f>IF(AND($AD136="保留中",$AF136&lt;&gt;""),TODAY()-$AF136,"")</f>
        <v/>
      </c>
      <c r="AJ136" s="12" t="inlineStr">
        <is>
          <t>R7.8</t>
        </is>
      </c>
      <c r="AK136" s="14">
        <f>IF($B136="","",IF($AO136="","対象年月が未入力／","")&amp;IF($B136="","",IF($AN136="","職員マスタに未登録の職員番号／",IF($Y136="","標準報酬月額が未登録／","")&amp;IF(AND($AO136&lt;&gt;"",OR(AND(INDEX(職員マスタ!$G$6:$G$405,$AN136)&lt;&gt;"",INDEX(職員マスタ!$G$6:$G$405,$AN136)&gt;EOMONTH($AO136,0)),AND(INDEX(職員マスタ!$H$6:$H$405,$AN136)&lt;&gt;"",INDEX(職員マスタ!$H$6:$H$405,$AN136)&lt;$AO136))),"対象月が時短期間外／","")&amp;IF(AND(INDEX(職員マスタ!$F$6:$F$405,$AN136)&lt;&gt;"",$AO136&lt;&gt;"",INDEX(職員マスタ!$F$6:$F$405,$AN136)&lt;$AO136),"対象月に子が2歳到達済／","")&amp;IF(AND($H136&lt;&gt;"",INDEX(職員マスタ!$B$6:$B$405,$AN136)&lt;&gt;"",SUBSTITUTE(SUBSTITUTE($H136," ","")," ","")&lt;&gt;SUBSTITUTE(SUBSTITUTE(INDEX(職員マスタ!$B$6:$B$405,$AN136)," ","")," ","")),"氏名がマスタと相違／","")&amp;IF(AND($Q136&lt;&gt;"",INDEX(職員マスタ!$E$6:$E$405,$AN136)&lt;&gt;"",$Q136&lt;&gt;INDEX(職員マスタ!$E$6:$E$405,$AN136)),"子の生年月日がマスタと相違／","")&amp;IF(AND($L136&lt;&gt;"",INDEX(職員マスタ!$G$6:$G$405,$AN136)&lt;&gt;"",$L136&lt;&gt;INDEX(職員マスタ!$G$6:$G$405,$AN136)),"時短開始日がマスタと相違／","")&amp;IF(AND($M136&lt;&gt;"",INDEX(職員マスタ!$H$6:$H$405,$AN136)&lt;&gt;"",$M136&lt;&gt;INDEX(職員マスタ!$H$6:$H$405,$AN136)),"時短終了日がマスタと相違／","")))&amp;IF(AND($B136&lt;&gt;"",$E136=""),"報酬額が未入力／","")&amp;IF(N($U136)&gt;0,"申請書に入力エラーが残っています／","")&amp;IF(AND($B136&lt;&gt;"",$AO136&lt;&gt;""),IF(COUNTIFS($B$6:$B$3005,$B136,$C$6:$C$3005,$C136,$D$6:$D$3005,$D136)&gt;1,"同じ月の請求が重複しています／",""),"")&amp;IF(AND(N($E136)&gt;0,$Z136&lt;&gt;"",$Z136&lt;&gt;"×",$AC136=0,$AB136=""),"計算額が下限以下のため不支給／",""))</f>
        <v/>
      </c>
      <c r="AL136" s="12" t="n"/>
      <c r="AM136" s="14">
        <f>IF($AD136="保留中",COUNTIF($AD$6:$AD136,"保留中"),"")</f>
        <v/>
      </c>
      <c r="AN136" s="14">
        <f>IF($AO136="","",IF(SUMPRODUCT(MAX((職員マスタ!$A$6:$A$405=$B136)*(((職員マスタ!$G$6:$G$405="")+(職員マスタ!$G$6:$G$405&lt;=EOMONTH($AO136,0)))&gt;0)*(((職員マスタ!$H$6:$H$405="")+(職員マスタ!$H$6:$H$405&gt;=$AO136))&gt;0)*(ROW(職員マスタ!$A$6:$A$405)-5)))&gt;0,SUMPRODUCT(MAX((職員マスタ!$A$6:$A$405=$B136)*(((職員マスタ!$G$6:$G$405="")+(職員マスタ!$G$6:$G$405&lt;=EOMONTH($AO136,0)))&gt;0)*(((職員マスタ!$H$6:$H$405="")+(職員マスタ!$H$6:$H$405&gt;=$AO136))&gt;0)*(ROW(職員マスタ!$A$6:$A$405)-5))),IFERROR(MATCH($B136,職員マスタ!$A$6:$A$405,0),"")))</f>
        <v/>
      </c>
      <c r="AO136" s="16">
        <f>IF(OR($B136="",$C136="",$D136=""),"",DATE($C136+2018,$D136,1))</f>
        <v/>
      </c>
    </row>
    <row r="137">
      <c r="A137" s="11" t="n"/>
      <c r="B137" s="12" t="n">
        <v>6201735</v>
      </c>
      <c r="C137" s="12" t="n">
        <v>7</v>
      </c>
      <c r="D137" s="12" t="n">
        <v>6</v>
      </c>
      <c r="E137" s="13" t="n">
        <v>197709</v>
      </c>
      <c r="F137" s="12" t="n"/>
      <c r="G137" s="13" t="n"/>
      <c r="H137" s="12" t="n"/>
      <c r="I137" s="12" t="n"/>
      <c r="J137" s="12" t="n"/>
      <c r="K137" s="12" t="n"/>
      <c r="L137" s="11" t="n"/>
      <c r="M137" s="11" t="n"/>
      <c r="N137" s="11" t="n"/>
      <c r="O137" s="11" t="n"/>
      <c r="P137" s="12" t="n"/>
      <c r="Q137" s="11" t="n"/>
      <c r="R137" s="12" t="n"/>
      <c r="S137" s="11" t="n"/>
      <c r="T137" s="12" t="n"/>
      <c r="U137" s="12" t="n"/>
      <c r="V137" s="14">
        <f>IF($AN137="",IF($B137="","",$H137),IF(INDEX(職員マスタ!$B$6:$B$405,$AN137)="",$H137,INDEX(職員マスタ!$B$6:$B$405,$AN137)))</f>
        <v/>
      </c>
      <c r="W137" s="14">
        <f>IF($AN137="",IF($B137="","",$R137),IF(INDEX(職員マスタ!$C$6:$C$405,$AN137)="",$R137,INDEX(職員マスタ!$C$6:$C$405,$AN137)))</f>
        <v/>
      </c>
      <c r="X137" s="14">
        <f>IF($AO137="","","R"&amp;$C137&amp;"."&amp;$D137)</f>
        <v/>
      </c>
      <c r="Y137" s="15">
        <f>IF($AN137="","",IF(INDEX(職員マスタ!$K$6:$K$405,$AN137)="","",INDEX(職員マスタ!$K$6:$K$405,$AN137)))</f>
        <v/>
      </c>
      <c r="Z137" s="14">
        <f>IF(OR($E137="",$Y137=""),"",IF($E137&gt;=$Y137,"×",IF($E137&gt;=$Y137*設定!$C$5,"△","○")))</f>
        <v/>
      </c>
      <c r="AA137" s="15">
        <f>IF($Z137="","",IF($Z137="×",0,IF($Z137="○",ROUNDDOWN($E137*設定!$C$4,0),ROUNDDOWN($E137*ROUND((9*$Y137-9*$E137)/(10*$E137),4),0))))</f>
        <v/>
      </c>
      <c r="AB137" s="13" t="n"/>
      <c r="AC137" s="15">
        <f>IF($B137="","",IF($AB137&lt;&gt;"",$AB137,IF($AA137="","",IF($AA137&lt;=設定!$C$3,0,$AA137))))</f>
        <v/>
      </c>
      <c r="AD137" s="14">
        <f>IF($B137="","",IF(AND($AE137&lt;&gt;"",$AG137="",$AJ137=""),"保留中",IF($AJ137&lt;&gt;"",IF(N($AC137)&gt;0,"支給済","不支給"),IF($AC137="","要確認",IF($AC137=0,"不支給","未処理")))))</f>
        <v/>
      </c>
      <c r="AE137" s="12" t="n"/>
      <c r="AF137" s="11" t="n"/>
      <c r="AG137" s="11" t="n"/>
      <c r="AH137" s="11" t="n"/>
      <c r="AI137" s="14">
        <f>IF(AND($AD137="保留中",$AF137&lt;&gt;""),TODAY()-$AF137,"")</f>
        <v/>
      </c>
      <c r="AJ137" s="12" t="inlineStr">
        <is>
          <t>R7.8</t>
        </is>
      </c>
      <c r="AK137" s="14">
        <f>IF($B137="","",IF($AO137="","対象年月が未入力／","")&amp;IF($B137="","",IF($AN137="","職員マスタに未登録の職員番号／",IF($Y137="","標準報酬月額が未登録／","")&amp;IF(AND($AO137&lt;&gt;"",OR(AND(INDEX(職員マスタ!$G$6:$G$405,$AN137)&lt;&gt;"",INDEX(職員マスタ!$G$6:$G$405,$AN137)&gt;EOMONTH($AO137,0)),AND(INDEX(職員マスタ!$H$6:$H$405,$AN137)&lt;&gt;"",INDEX(職員マスタ!$H$6:$H$405,$AN137)&lt;$AO137))),"対象月が時短期間外／","")&amp;IF(AND(INDEX(職員マスタ!$F$6:$F$405,$AN137)&lt;&gt;"",$AO137&lt;&gt;"",INDEX(職員マスタ!$F$6:$F$405,$AN137)&lt;$AO137),"対象月に子が2歳到達済／","")&amp;IF(AND($H137&lt;&gt;"",INDEX(職員マスタ!$B$6:$B$405,$AN137)&lt;&gt;"",SUBSTITUTE(SUBSTITUTE($H137," ","")," ","")&lt;&gt;SUBSTITUTE(SUBSTITUTE(INDEX(職員マスタ!$B$6:$B$405,$AN137)," ","")," ","")),"氏名がマスタと相違／","")&amp;IF(AND($Q137&lt;&gt;"",INDEX(職員マスタ!$E$6:$E$405,$AN137)&lt;&gt;"",$Q137&lt;&gt;INDEX(職員マスタ!$E$6:$E$405,$AN137)),"子の生年月日がマスタと相違／","")&amp;IF(AND($L137&lt;&gt;"",INDEX(職員マスタ!$G$6:$G$405,$AN137)&lt;&gt;"",$L137&lt;&gt;INDEX(職員マスタ!$G$6:$G$405,$AN137)),"時短開始日がマスタと相違／","")&amp;IF(AND($M137&lt;&gt;"",INDEX(職員マスタ!$H$6:$H$405,$AN137)&lt;&gt;"",$M137&lt;&gt;INDEX(職員マスタ!$H$6:$H$405,$AN137)),"時短終了日がマスタと相違／","")))&amp;IF(AND($B137&lt;&gt;"",$E137=""),"報酬額が未入力／","")&amp;IF(N($U137)&gt;0,"申請書に入力エラーが残っています／","")&amp;IF(AND($B137&lt;&gt;"",$AO137&lt;&gt;""),IF(COUNTIFS($B$6:$B$3005,$B137,$C$6:$C$3005,$C137,$D$6:$D$3005,$D137)&gt;1,"同じ月の請求が重複しています／",""),"")&amp;IF(AND(N($E137)&gt;0,$Z137&lt;&gt;"",$Z137&lt;&gt;"×",$AC137=0,$AB137=""),"計算額が下限以下のため不支給／",""))</f>
        <v/>
      </c>
      <c r="AL137" s="12" t="n"/>
      <c r="AM137" s="14">
        <f>IF($AD137="保留中",COUNTIF($AD$6:$AD137,"保留中"),"")</f>
        <v/>
      </c>
      <c r="AN137" s="14">
        <f>IF($AO137="","",IF(SUMPRODUCT(MAX((職員マスタ!$A$6:$A$405=$B137)*(((職員マスタ!$G$6:$G$405="")+(職員マスタ!$G$6:$G$405&lt;=EOMONTH($AO137,0)))&gt;0)*(((職員マスタ!$H$6:$H$405="")+(職員マスタ!$H$6:$H$405&gt;=$AO137))&gt;0)*(ROW(職員マスタ!$A$6:$A$405)-5)))&gt;0,SUMPRODUCT(MAX((職員マスタ!$A$6:$A$405=$B137)*(((職員マスタ!$G$6:$G$405="")+(職員マスタ!$G$6:$G$405&lt;=EOMONTH($AO137,0)))&gt;0)*(((職員マスタ!$H$6:$H$405="")+(職員マスタ!$H$6:$H$405&gt;=$AO137))&gt;0)*(ROW(職員マスタ!$A$6:$A$405)-5))),IFERROR(MATCH($B137,職員マスタ!$A$6:$A$405,0),"")))</f>
        <v/>
      </c>
      <c r="AO137" s="16">
        <f>IF(OR($B137="",$C137="",$D137=""),"",DATE($C137+2018,$D137,1))</f>
        <v/>
      </c>
    </row>
    <row r="138">
      <c r="A138" s="11" t="n"/>
      <c r="B138" s="12" t="n">
        <v>6201735</v>
      </c>
      <c r="C138" s="12" t="n">
        <v>7</v>
      </c>
      <c r="D138" s="12" t="n">
        <v>7</v>
      </c>
      <c r="E138" s="13" t="n">
        <v>197709</v>
      </c>
      <c r="F138" s="12" t="n"/>
      <c r="G138" s="13" t="n"/>
      <c r="H138" s="12" t="n"/>
      <c r="I138" s="12" t="n"/>
      <c r="J138" s="12" t="n"/>
      <c r="K138" s="12" t="n"/>
      <c r="L138" s="11" t="n"/>
      <c r="M138" s="11" t="n"/>
      <c r="N138" s="11" t="n"/>
      <c r="O138" s="11" t="n"/>
      <c r="P138" s="12" t="n"/>
      <c r="Q138" s="11" t="n"/>
      <c r="R138" s="12" t="n"/>
      <c r="S138" s="11" t="n"/>
      <c r="T138" s="12" t="n"/>
      <c r="U138" s="12" t="n"/>
      <c r="V138" s="14">
        <f>IF($AN138="",IF($B138="","",$H138),IF(INDEX(職員マスタ!$B$6:$B$405,$AN138)="",$H138,INDEX(職員マスタ!$B$6:$B$405,$AN138)))</f>
        <v/>
      </c>
      <c r="W138" s="14">
        <f>IF($AN138="",IF($B138="","",$R138),IF(INDEX(職員マスタ!$C$6:$C$405,$AN138)="",$R138,INDEX(職員マスタ!$C$6:$C$405,$AN138)))</f>
        <v/>
      </c>
      <c r="X138" s="14">
        <f>IF($AO138="","","R"&amp;$C138&amp;"."&amp;$D138)</f>
        <v/>
      </c>
      <c r="Y138" s="15">
        <f>IF($AN138="","",IF(INDEX(職員マスタ!$K$6:$K$405,$AN138)="","",INDEX(職員マスタ!$K$6:$K$405,$AN138)))</f>
        <v/>
      </c>
      <c r="Z138" s="14">
        <f>IF(OR($E138="",$Y138=""),"",IF($E138&gt;=$Y138,"×",IF($E138&gt;=$Y138*設定!$C$5,"△","○")))</f>
        <v/>
      </c>
      <c r="AA138" s="15">
        <f>IF($Z138="","",IF($Z138="×",0,IF($Z138="○",ROUNDDOWN($E138*設定!$C$4,0),ROUNDDOWN($E138*ROUND((9*$Y138-9*$E138)/(10*$E138),4),0))))</f>
        <v/>
      </c>
      <c r="AB138" s="13" t="n"/>
      <c r="AC138" s="15">
        <f>IF($B138="","",IF($AB138&lt;&gt;"",$AB138,IF($AA138="","",IF($AA138&lt;=設定!$C$3,0,$AA138))))</f>
        <v/>
      </c>
      <c r="AD138" s="14">
        <f>IF($B138="","",IF(AND($AE138&lt;&gt;"",$AG138="",$AJ138=""),"保留中",IF($AJ138&lt;&gt;"",IF(N($AC138)&gt;0,"支給済","不支給"),IF($AC138="","要確認",IF($AC138=0,"不支給","未処理")))))</f>
        <v/>
      </c>
      <c r="AE138" s="12" t="n"/>
      <c r="AF138" s="11" t="n"/>
      <c r="AG138" s="11" t="n"/>
      <c r="AH138" s="11" t="n"/>
      <c r="AI138" s="14">
        <f>IF(AND($AD138="保留中",$AF138&lt;&gt;""),TODAY()-$AF138,"")</f>
        <v/>
      </c>
      <c r="AJ138" s="12" t="inlineStr">
        <is>
          <t>R7.9</t>
        </is>
      </c>
      <c r="AK138" s="14">
        <f>IF($B138="","",IF($AO138="","対象年月が未入力／","")&amp;IF($B138="","",IF($AN138="","職員マスタに未登録の職員番号／",IF($Y138="","標準報酬月額が未登録／","")&amp;IF(AND($AO138&lt;&gt;"",OR(AND(INDEX(職員マスタ!$G$6:$G$405,$AN138)&lt;&gt;"",INDEX(職員マスタ!$G$6:$G$405,$AN138)&gt;EOMONTH($AO138,0)),AND(INDEX(職員マスタ!$H$6:$H$405,$AN138)&lt;&gt;"",INDEX(職員マスタ!$H$6:$H$405,$AN138)&lt;$AO138))),"対象月が時短期間外／","")&amp;IF(AND(INDEX(職員マスタ!$F$6:$F$405,$AN138)&lt;&gt;"",$AO138&lt;&gt;"",INDEX(職員マスタ!$F$6:$F$405,$AN138)&lt;$AO138),"対象月に子が2歳到達済／","")&amp;IF(AND($H138&lt;&gt;"",INDEX(職員マスタ!$B$6:$B$405,$AN138)&lt;&gt;"",SUBSTITUTE(SUBSTITUTE($H138," ","")," ","")&lt;&gt;SUBSTITUTE(SUBSTITUTE(INDEX(職員マスタ!$B$6:$B$405,$AN138)," ","")," ","")),"氏名がマスタと相違／","")&amp;IF(AND($Q138&lt;&gt;"",INDEX(職員マスタ!$E$6:$E$405,$AN138)&lt;&gt;"",$Q138&lt;&gt;INDEX(職員マスタ!$E$6:$E$405,$AN138)),"子の生年月日がマスタと相違／","")&amp;IF(AND($L138&lt;&gt;"",INDEX(職員マスタ!$G$6:$G$405,$AN138)&lt;&gt;"",$L138&lt;&gt;INDEX(職員マスタ!$G$6:$G$405,$AN138)),"時短開始日がマスタと相違／","")&amp;IF(AND($M138&lt;&gt;"",INDEX(職員マスタ!$H$6:$H$405,$AN138)&lt;&gt;"",$M138&lt;&gt;INDEX(職員マスタ!$H$6:$H$405,$AN138)),"時短終了日がマスタと相違／","")))&amp;IF(AND($B138&lt;&gt;"",$E138=""),"報酬額が未入力／","")&amp;IF(N($U138)&gt;0,"申請書に入力エラーが残っています／","")&amp;IF(AND($B138&lt;&gt;"",$AO138&lt;&gt;""),IF(COUNTIFS($B$6:$B$3005,$B138,$C$6:$C$3005,$C138,$D$6:$D$3005,$D138)&gt;1,"同じ月の請求が重複しています／",""),"")&amp;IF(AND(N($E138)&gt;0,$Z138&lt;&gt;"",$Z138&lt;&gt;"×",$AC138=0,$AB138=""),"計算額が下限以下のため不支給／",""))</f>
        <v/>
      </c>
      <c r="AL138" s="12" t="n"/>
      <c r="AM138" s="14">
        <f>IF($AD138="保留中",COUNTIF($AD$6:$AD138,"保留中"),"")</f>
        <v/>
      </c>
      <c r="AN138" s="14">
        <f>IF($AO138="","",IF(SUMPRODUCT(MAX((職員マスタ!$A$6:$A$405=$B138)*(((職員マスタ!$G$6:$G$405="")+(職員マスタ!$G$6:$G$405&lt;=EOMONTH($AO138,0)))&gt;0)*(((職員マスタ!$H$6:$H$405="")+(職員マスタ!$H$6:$H$405&gt;=$AO138))&gt;0)*(ROW(職員マスタ!$A$6:$A$405)-5)))&gt;0,SUMPRODUCT(MAX((職員マスタ!$A$6:$A$405=$B138)*(((職員マスタ!$G$6:$G$405="")+(職員マスタ!$G$6:$G$405&lt;=EOMONTH($AO138,0)))&gt;0)*(((職員マスタ!$H$6:$H$405="")+(職員マスタ!$H$6:$H$405&gt;=$AO138))&gt;0)*(ROW(職員マスタ!$A$6:$A$405)-5))),IFERROR(MATCH($B138,職員マスタ!$A$6:$A$405,0),"")))</f>
        <v/>
      </c>
      <c r="AO138" s="16">
        <f>IF(OR($B138="",$C138="",$D138=""),"",DATE($C138+2018,$D138,1))</f>
        <v/>
      </c>
    </row>
    <row r="139">
      <c r="A139" s="11" t="n"/>
      <c r="B139" s="12" t="n">
        <v>6201776</v>
      </c>
      <c r="C139" s="12" t="n">
        <v>7</v>
      </c>
      <c r="D139" s="12" t="n">
        <v>4</v>
      </c>
      <c r="E139" s="13" t="n">
        <v>153009</v>
      </c>
      <c r="F139" s="12" t="n"/>
      <c r="G139" s="13" t="n"/>
      <c r="H139" s="12" t="n"/>
      <c r="I139" s="12" t="n"/>
      <c r="J139" s="12" t="n"/>
      <c r="K139" s="12" t="n"/>
      <c r="L139" s="11" t="n"/>
      <c r="M139" s="11" t="n"/>
      <c r="N139" s="11" t="n"/>
      <c r="O139" s="11" t="n"/>
      <c r="P139" s="12" t="n"/>
      <c r="Q139" s="11" t="n"/>
      <c r="R139" s="12" t="n"/>
      <c r="S139" s="11" t="n"/>
      <c r="T139" s="12" t="n"/>
      <c r="U139" s="12" t="n"/>
      <c r="V139" s="14">
        <f>IF($AN139="",IF($B139="","",$H139),IF(INDEX(職員マスタ!$B$6:$B$405,$AN139)="",$H139,INDEX(職員マスタ!$B$6:$B$405,$AN139)))</f>
        <v/>
      </c>
      <c r="W139" s="14">
        <f>IF($AN139="",IF($B139="","",$R139),IF(INDEX(職員マスタ!$C$6:$C$405,$AN139)="",$R139,INDEX(職員マスタ!$C$6:$C$405,$AN139)))</f>
        <v/>
      </c>
      <c r="X139" s="14">
        <f>IF($AO139="","","R"&amp;$C139&amp;"."&amp;$D139)</f>
        <v/>
      </c>
      <c r="Y139" s="15">
        <f>IF($AN139="","",IF(INDEX(職員マスタ!$K$6:$K$405,$AN139)="","",INDEX(職員マスタ!$K$6:$K$405,$AN139)))</f>
        <v/>
      </c>
      <c r="Z139" s="14">
        <f>IF(OR($E139="",$Y139=""),"",IF($E139&gt;=$Y139,"×",IF($E139&gt;=$Y139*設定!$C$5,"△","○")))</f>
        <v/>
      </c>
      <c r="AA139" s="15">
        <f>IF($Z139="","",IF($Z139="×",0,IF($Z139="○",ROUNDDOWN($E139*設定!$C$4,0),ROUNDDOWN($E139*ROUND((9*$Y139-9*$E139)/(10*$E139),4),0))))</f>
        <v/>
      </c>
      <c r="AB139" s="13" t="n"/>
      <c r="AC139" s="15">
        <f>IF($B139="","",IF($AB139&lt;&gt;"",$AB139,IF($AA139="","",IF($AA139&lt;=設定!$C$3,0,$AA139))))</f>
        <v/>
      </c>
      <c r="AD139" s="14">
        <f>IF($B139="","",IF(AND($AE139&lt;&gt;"",$AG139="",$AJ139=""),"保留中",IF($AJ139&lt;&gt;"",IF(N($AC139)&gt;0,"支給済","不支給"),IF($AC139="","要確認",IF($AC139=0,"不支給","未処理")))))</f>
        <v/>
      </c>
      <c r="AE139" s="12" t="n"/>
      <c r="AF139" s="11" t="n"/>
      <c r="AG139" s="11" t="n"/>
      <c r="AH139" s="11" t="n"/>
      <c r="AI139" s="14">
        <f>IF(AND($AD139="保留中",$AF139&lt;&gt;""),TODAY()-$AF139,"")</f>
        <v/>
      </c>
      <c r="AJ139" s="12" t="inlineStr">
        <is>
          <t>R7.8</t>
        </is>
      </c>
      <c r="AK139" s="14">
        <f>IF($B139="","",IF($AO139="","対象年月が未入力／","")&amp;IF($B139="","",IF($AN139="","職員マスタに未登録の職員番号／",IF($Y139="","標準報酬月額が未登録／","")&amp;IF(AND($AO139&lt;&gt;"",OR(AND(INDEX(職員マスタ!$G$6:$G$405,$AN139)&lt;&gt;"",INDEX(職員マスタ!$G$6:$G$405,$AN139)&gt;EOMONTH($AO139,0)),AND(INDEX(職員マスタ!$H$6:$H$405,$AN139)&lt;&gt;"",INDEX(職員マスタ!$H$6:$H$405,$AN139)&lt;$AO139))),"対象月が時短期間外／","")&amp;IF(AND(INDEX(職員マスタ!$F$6:$F$405,$AN139)&lt;&gt;"",$AO139&lt;&gt;"",INDEX(職員マスタ!$F$6:$F$405,$AN139)&lt;$AO139),"対象月に子が2歳到達済／","")&amp;IF(AND($H139&lt;&gt;"",INDEX(職員マスタ!$B$6:$B$405,$AN139)&lt;&gt;"",SUBSTITUTE(SUBSTITUTE($H139," ","")," ","")&lt;&gt;SUBSTITUTE(SUBSTITUTE(INDEX(職員マスタ!$B$6:$B$405,$AN139)," ","")," ","")),"氏名がマスタと相違／","")&amp;IF(AND($Q139&lt;&gt;"",INDEX(職員マスタ!$E$6:$E$405,$AN139)&lt;&gt;"",$Q139&lt;&gt;INDEX(職員マスタ!$E$6:$E$405,$AN139)),"子の生年月日がマスタと相違／","")&amp;IF(AND($L139&lt;&gt;"",INDEX(職員マスタ!$G$6:$G$405,$AN139)&lt;&gt;"",$L139&lt;&gt;INDEX(職員マスタ!$G$6:$G$405,$AN139)),"時短開始日がマスタと相違／","")&amp;IF(AND($M139&lt;&gt;"",INDEX(職員マスタ!$H$6:$H$405,$AN139)&lt;&gt;"",$M139&lt;&gt;INDEX(職員マスタ!$H$6:$H$405,$AN139)),"時短終了日がマスタと相違／","")))&amp;IF(AND($B139&lt;&gt;"",$E139=""),"報酬額が未入力／","")&amp;IF(N($U139)&gt;0,"申請書に入力エラーが残っています／","")&amp;IF(AND($B139&lt;&gt;"",$AO139&lt;&gt;""),IF(COUNTIFS($B$6:$B$3005,$B139,$C$6:$C$3005,$C139,$D$6:$D$3005,$D139)&gt;1,"同じ月の請求が重複しています／",""),"")&amp;IF(AND(N($E139)&gt;0,$Z139&lt;&gt;"",$Z139&lt;&gt;"×",$AC139=0,$AB139=""),"計算額が下限以下のため不支給／",""))</f>
        <v/>
      </c>
      <c r="AL139" s="12" t="n"/>
      <c r="AM139" s="14">
        <f>IF($AD139="保留中",COUNTIF($AD$6:$AD139,"保留中"),"")</f>
        <v/>
      </c>
      <c r="AN139" s="14">
        <f>IF($AO139="","",IF(SUMPRODUCT(MAX((職員マスタ!$A$6:$A$405=$B139)*(((職員マスタ!$G$6:$G$405="")+(職員マスタ!$G$6:$G$405&lt;=EOMONTH($AO139,0)))&gt;0)*(((職員マスタ!$H$6:$H$405="")+(職員マスタ!$H$6:$H$405&gt;=$AO139))&gt;0)*(ROW(職員マスタ!$A$6:$A$405)-5)))&gt;0,SUMPRODUCT(MAX((職員マスタ!$A$6:$A$405=$B139)*(((職員マスタ!$G$6:$G$405="")+(職員マスタ!$G$6:$G$405&lt;=EOMONTH($AO139,0)))&gt;0)*(((職員マスタ!$H$6:$H$405="")+(職員マスタ!$H$6:$H$405&gt;=$AO139))&gt;0)*(ROW(職員マスタ!$A$6:$A$405)-5))),IFERROR(MATCH($B139,職員マスタ!$A$6:$A$405,0),"")))</f>
        <v/>
      </c>
      <c r="AO139" s="16">
        <f>IF(OR($B139="",$C139="",$D139=""),"",DATE($C139+2018,$D139,1))</f>
        <v/>
      </c>
    </row>
    <row r="140">
      <c r="A140" s="11" t="n"/>
      <c r="B140" s="12" t="n">
        <v>6201776</v>
      </c>
      <c r="C140" s="12" t="n">
        <v>7</v>
      </c>
      <c r="D140" s="12" t="n">
        <v>5</v>
      </c>
      <c r="E140" s="13" t="n">
        <v>207843</v>
      </c>
      <c r="F140" s="12" t="n"/>
      <c r="G140" s="13" t="n"/>
      <c r="H140" s="12" t="n"/>
      <c r="I140" s="12" t="n"/>
      <c r="J140" s="12" t="n"/>
      <c r="K140" s="12" t="n"/>
      <c r="L140" s="11" t="n"/>
      <c r="M140" s="11" t="n"/>
      <c r="N140" s="11" t="n"/>
      <c r="O140" s="11" t="n"/>
      <c r="P140" s="12" t="n"/>
      <c r="Q140" s="11" t="n"/>
      <c r="R140" s="12" t="n"/>
      <c r="S140" s="11" t="n"/>
      <c r="T140" s="12" t="n"/>
      <c r="U140" s="12" t="n"/>
      <c r="V140" s="14">
        <f>IF($AN140="",IF($B140="","",$H140),IF(INDEX(職員マスタ!$B$6:$B$405,$AN140)="",$H140,INDEX(職員マスタ!$B$6:$B$405,$AN140)))</f>
        <v/>
      </c>
      <c r="W140" s="14">
        <f>IF($AN140="",IF($B140="","",$R140),IF(INDEX(職員マスタ!$C$6:$C$405,$AN140)="",$R140,INDEX(職員マスタ!$C$6:$C$405,$AN140)))</f>
        <v/>
      </c>
      <c r="X140" s="14">
        <f>IF($AO140="","","R"&amp;$C140&amp;"."&amp;$D140)</f>
        <v/>
      </c>
      <c r="Y140" s="15">
        <f>IF($AN140="","",IF(INDEX(職員マスタ!$K$6:$K$405,$AN140)="","",INDEX(職員マスタ!$K$6:$K$405,$AN140)))</f>
        <v/>
      </c>
      <c r="Z140" s="14">
        <f>IF(OR($E140="",$Y140=""),"",IF($E140&gt;=$Y140,"×",IF($E140&gt;=$Y140*設定!$C$5,"△","○")))</f>
        <v/>
      </c>
      <c r="AA140" s="15">
        <f>IF($Z140="","",IF($Z140="×",0,IF($Z140="○",ROUNDDOWN($E140*設定!$C$4,0),ROUNDDOWN($E140*ROUND((9*$Y140-9*$E140)/(10*$E140),4),0))))</f>
        <v/>
      </c>
      <c r="AB140" s="13" t="n"/>
      <c r="AC140" s="15">
        <f>IF($B140="","",IF($AB140&lt;&gt;"",$AB140,IF($AA140="","",IF($AA140&lt;=設定!$C$3,0,$AA140))))</f>
        <v/>
      </c>
      <c r="AD140" s="14">
        <f>IF($B140="","",IF(AND($AE140&lt;&gt;"",$AG140="",$AJ140=""),"保留中",IF($AJ140&lt;&gt;"",IF(N($AC140)&gt;0,"支給済","不支給"),IF($AC140="","要確認",IF($AC140=0,"不支給","未処理")))))</f>
        <v/>
      </c>
      <c r="AE140" s="12" t="n"/>
      <c r="AF140" s="11" t="n"/>
      <c r="AG140" s="11" t="n"/>
      <c r="AH140" s="11" t="n"/>
      <c r="AI140" s="14">
        <f>IF(AND($AD140="保留中",$AF140&lt;&gt;""),TODAY()-$AF140,"")</f>
        <v/>
      </c>
      <c r="AJ140" s="12" t="inlineStr">
        <is>
          <t>R7.8</t>
        </is>
      </c>
      <c r="AK140" s="14">
        <f>IF($B140="","",IF($AO140="","対象年月が未入力／","")&amp;IF($B140="","",IF($AN140="","職員マスタに未登録の職員番号／",IF($Y140="","標準報酬月額が未登録／","")&amp;IF(AND($AO140&lt;&gt;"",OR(AND(INDEX(職員マスタ!$G$6:$G$405,$AN140)&lt;&gt;"",INDEX(職員マスタ!$G$6:$G$405,$AN140)&gt;EOMONTH($AO140,0)),AND(INDEX(職員マスタ!$H$6:$H$405,$AN140)&lt;&gt;"",INDEX(職員マスタ!$H$6:$H$405,$AN140)&lt;$AO140))),"対象月が時短期間外／","")&amp;IF(AND(INDEX(職員マスタ!$F$6:$F$405,$AN140)&lt;&gt;"",$AO140&lt;&gt;"",INDEX(職員マスタ!$F$6:$F$405,$AN140)&lt;$AO140),"対象月に子が2歳到達済／","")&amp;IF(AND($H140&lt;&gt;"",INDEX(職員マスタ!$B$6:$B$405,$AN140)&lt;&gt;"",SUBSTITUTE(SUBSTITUTE($H140," ","")," ","")&lt;&gt;SUBSTITUTE(SUBSTITUTE(INDEX(職員マスタ!$B$6:$B$405,$AN140)," ","")," ","")),"氏名がマスタと相違／","")&amp;IF(AND($Q140&lt;&gt;"",INDEX(職員マスタ!$E$6:$E$405,$AN140)&lt;&gt;"",$Q140&lt;&gt;INDEX(職員マスタ!$E$6:$E$405,$AN140)),"子の生年月日がマスタと相違／","")&amp;IF(AND($L140&lt;&gt;"",INDEX(職員マスタ!$G$6:$G$405,$AN140)&lt;&gt;"",$L140&lt;&gt;INDEX(職員マスタ!$G$6:$G$405,$AN140)),"時短開始日がマスタと相違／","")&amp;IF(AND($M140&lt;&gt;"",INDEX(職員マスタ!$H$6:$H$405,$AN140)&lt;&gt;"",$M140&lt;&gt;INDEX(職員マスタ!$H$6:$H$405,$AN140)),"時短終了日がマスタと相違／","")))&amp;IF(AND($B140&lt;&gt;"",$E140=""),"報酬額が未入力／","")&amp;IF(N($U140)&gt;0,"申請書に入力エラーが残っています／","")&amp;IF(AND($B140&lt;&gt;"",$AO140&lt;&gt;""),IF(COUNTIFS($B$6:$B$3005,$B140,$C$6:$C$3005,$C140,$D$6:$D$3005,$D140)&gt;1,"同じ月の請求が重複しています／",""),"")&amp;IF(AND(N($E140)&gt;0,$Z140&lt;&gt;"",$Z140&lt;&gt;"×",$AC140=0,$AB140=""),"計算額が下限以下のため不支給／",""))</f>
        <v/>
      </c>
      <c r="AL140" s="12" t="n"/>
      <c r="AM140" s="14">
        <f>IF($AD140="保留中",COUNTIF($AD$6:$AD140,"保留中"),"")</f>
        <v/>
      </c>
      <c r="AN140" s="14">
        <f>IF($AO140="","",IF(SUMPRODUCT(MAX((職員マスタ!$A$6:$A$405=$B140)*(((職員マスタ!$G$6:$G$405="")+(職員マスタ!$G$6:$G$405&lt;=EOMONTH($AO140,0)))&gt;0)*(((職員マスタ!$H$6:$H$405="")+(職員マスタ!$H$6:$H$405&gt;=$AO140))&gt;0)*(ROW(職員マスタ!$A$6:$A$405)-5)))&gt;0,SUMPRODUCT(MAX((職員マスタ!$A$6:$A$405=$B140)*(((職員マスタ!$G$6:$G$405="")+(職員マスタ!$G$6:$G$405&lt;=EOMONTH($AO140,0)))&gt;0)*(((職員マスタ!$H$6:$H$405="")+(職員マスタ!$H$6:$H$405&gt;=$AO140))&gt;0)*(ROW(職員マスタ!$A$6:$A$405)-5))),IFERROR(MATCH($B140,職員マスタ!$A$6:$A$405,0),"")))</f>
        <v/>
      </c>
      <c r="AO140" s="16">
        <f>IF(OR($B140="",$C140="",$D140=""),"",DATE($C140+2018,$D140,1))</f>
        <v/>
      </c>
    </row>
    <row r="141">
      <c r="A141" s="11" t="n"/>
      <c r="B141" s="12" t="n">
        <v>6201776</v>
      </c>
      <c r="C141" s="12" t="n">
        <v>7</v>
      </c>
      <c r="D141" s="12" t="n">
        <v>6</v>
      </c>
      <c r="E141" s="13" t="n">
        <v>204190</v>
      </c>
      <c r="F141" s="12" t="n"/>
      <c r="G141" s="13" t="n"/>
      <c r="H141" s="12" t="n"/>
      <c r="I141" s="12" t="n"/>
      <c r="J141" s="12" t="n"/>
      <c r="K141" s="12" t="n"/>
      <c r="L141" s="11" t="n"/>
      <c r="M141" s="11" t="n"/>
      <c r="N141" s="11" t="n"/>
      <c r="O141" s="11" t="n"/>
      <c r="P141" s="12" t="n"/>
      <c r="Q141" s="11" t="n"/>
      <c r="R141" s="12" t="n"/>
      <c r="S141" s="11" t="n"/>
      <c r="T141" s="12" t="n"/>
      <c r="U141" s="12" t="n"/>
      <c r="V141" s="14">
        <f>IF($AN141="",IF($B141="","",$H141),IF(INDEX(職員マスタ!$B$6:$B$405,$AN141)="",$H141,INDEX(職員マスタ!$B$6:$B$405,$AN141)))</f>
        <v/>
      </c>
      <c r="W141" s="14">
        <f>IF($AN141="",IF($B141="","",$R141),IF(INDEX(職員マスタ!$C$6:$C$405,$AN141)="",$R141,INDEX(職員マスタ!$C$6:$C$405,$AN141)))</f>
        <v/>
      </c>
      <c r="X141" s="14">
        <f>IF($AO141="","","R"&amp;$C141&amp;"."&amp;$D141)</f>
        <v/>
      </c>
      <c r="Y141" s="15">
        <f>IF($AN141="","",IF(INDEX(職員マスタ!$K$6:$K$405,$AN141)="","",INDEX(職員マスタ!$K$6:$K$405,$AN141)))</f>
        <v/>
      </c>
      <c r="Z141" s="14">
        <f>IF(OR($E141="",$Y141=""),"",IF($E141&gt;=$Y141,"×",IF($E141&gt;=$Y141*設定!$C$5,"△","○")))</f>
        <v/>
      </c>
      <c r="AA141" s="15">
        <f>IF($Z141="","",IF($Z141="×",0,IF($Z141="○",ROUNDDOWN($E141*設定!$C$4,0),ROUNDDOWN($E141*ROUND((9*$Y141-9*$E141)/(10*$E141),4),0))))</f>
        <v/>
      </c>
      <c r="AB141" s="13" t="n"/>
      <c r="AC141" s="15">
        <f>IF($B141="","",IF($AB141&lt;&gt;"",$AB141,IF($AA141="","",IF($AA141&lt;=設定!$C$3,0,$AA141))))</f>
        <v/>
      </c>
      <c r="AD141" s="14">
        <f>IF($B141="","",IF(AND($AE141&lt;&gt;"",$AG141="",$AJ141=""),"保留中",IF($AJ141&lt;&gt;"",IF(N($AC141)&gt;0,"支給済","不支給"),IF($AC141="","要確認",IF($AC141=0,"不支給","未処理")))))</f>
        <v/>
      </c>
      <c r="AE141" s="12" t="n"/>
      <c r="AF141" s="11" t="n"/>
      <c r="AG141" s="11" t="n"/>
      <c r="AH141" s="11" t="n"/>
      <c r="AI141" s="14">
        <f>IF(AND($AD141="保留中",$AF141&lt;&gt;""),TODAY()-$AF141,"")</f>
        <v/>
      </c>
      <c r="AJ141" s="12" t="inlineStr">
        <is>
          <t>R7.8</t>
        </is>
      </c>
      <c r="AK141" s="14">
        <f>IF($B141="","",IF($AO141="","対象年月が未入力／","")&amp;IF($B141="","",IF($AN141="","職員マスタに未登録の職員番号／",IF($Y141="","標準報酬月額が未登録／","")&amp;IF(AND($AO141&lt;&gt;"",OR(AND(INDEX(職員マスタ!$G$6:$G$405,$AN141)&lt;&gt;"",INDEX(職員マスタ!$G$6:$G$405,$AN141)&gt;EOMONTH($AO141,0)),AND(INDEX(職員マスタ!$H$6:$H$405,$AN141)&lt;&gt;"",INDEX(職員マスタ!$H$6:$H$405,$AN141)&lt;$AO141))),"対象月が時短期間外／","")&amp;IF(AND(INDEX(職員マスタ!$F$6:$F$405,$AN141)&lt;&gt;"",$AO141&lt;&gt;"",INDEX(職員マスタ!$F$6:$F$405,$AN141)&lt;$AO141),"対象月に子が2歳到達済／","")&amp;IF(AND($H141&lt;&gt;"",INDEX(職員マスタ!$B$6:$B$405,$AN141)&lt;&gt;"",SUBSTITUTE(SUBSTITUTE($H141," ","")," ","")&lt;&gt;SUBSTITUTE(SUBSTITUTE(INDEX(職員マスタ!$B$6:$B$405,$AN141)," ","")," ","")),"氏名がマスタと相違／","")&amp;IF(AND($Q141&lt;&gt;"",INDEX(職員マスタ!$E$6:$E$405,$AN141)&lt;&gt;"",$Q141&lt;&gt;INDEX(職員マスタ!$E$6:$E$405,$AN141)),"子の生年月日がマスタと相違／","")&amp;IF(AND($L141&lt;&gt;"",INDEX(職員マスタ!$G$6:$G$405,$AN141)&lt;&gt;"",$L141&lt;&gt;INDEX(職員マスタ!$G$6:$G$405,$AN141)),"時短開始日がマスタと相違／","")&amp;IF(AND($M141&lt;&gt;"",INDEX(職員マスタ!$H$6:$H$405,$AN141)&lt;&gt;"",$M141&lt;&gt;INDEX(職員マスタ!$H$6:$H$405,$AN141)),"時短終了日がマスタと相違／","")))&amp;IF(AND($B141&lt;&gt;"",$E141=""),"報酬額が未入力／","")&amp;IF(N($U141)&gt;0,"申請書に入力エラーが残っています／","")&amp;IF(AND($B141&lt;&gt;"",$AO141&lt;&gt;""),IF(COUNTIFS($B$6:$B$3005,$B141,$C$6:$C$3005,$C141,$D$6:$D$3005,$D141)&gt;1,"同じ月の請求が重複しています／",""),"")&amp;IF(AND(N($E141)&gt;0,$Z141&lt;&gt;"",$Z141&lt;&gt;"×",$AC141=0,$AB141=""),"計算額が下限以下のため不支給／",""))</f>
        <v/>
      </c>
      <c r="AL141" s="12" t="n"/>
      <c r="AM141" s="14">
        <f>IF($AD141="保留中",COUNTIF($AD$6:$AD141,"保留中"),"")</f>
        <v/>
      </c>
      <c r="AN141" s="14">
        <f>IF($AO141="","",IF(SUMPRODUCT(MAX((職員マスタ!$A$6:$A$405=$B141)*(((職員マスタ!$G$6:$G$405="")+(職員マスタ!$G$6:$G$405&lt;=EOMONTH($AO141,0)))&gt;0)*(((職員マスタ!$H$6:$H$405="")+(職員マスタ!$H$6:$H$405&gt;=$AO141))&gt;0)*(ROW(職員マスタ!$A$6:$A$405)-5)))&gt;0,SUMPRODUCT(MAX((職員マスタ!$A$6:$A$405=$B141)*(((職員マスタ!$G$6:$G$405="")+(職員マスタ!$G$6:$G$405&lt;=EOMONTH($AO141,0)))&gt;0)*(((職員マスタ!$H$6:$H$405="")+(職員マスタ!$H$6:$H$405&gt;=$AO141))&gt;0)*(ROW(職員マスタ!$A$6:$A$405)-5))),IFERROR(MATCH($B141,職員マスタ!$A$6:$A$405,0),"")))</f>
        <v/>
      </c>
      <c r="AO141" s="16">
        <f>IF(OR($B141="",$C141="",$D141=""),"",DATE($C141+2018,$D141,1))</f>
        <v/>
      </c>
    </row>
    <row r="142">
      <c r="A142" s="11" t="n"/>
      <c r="B142" s="12" t="n">
        <v>6201776</v>
      </c>
      <c r="C142" s="12" t="n">
        <v>7</v>
      </c>
      <c r="D142" s="12" t="n">
        <v>7</v>
      </c>
      <c r="E142" s="13" t="n">
        <v>206249</v>
      </c>
      <c r="F142" s="12" t="n"/>
      <c r="G142" s="13" t="n"/>
      <c r="H142" s="12" t="n"/>
      <c r="I142" s="12" t="n"/>
      <c r="J142" s="12" t="n"/>
      <c r="K142" s="12" t="n"/>
      <c r="L142" s="11" t="n"/>
      <c r="M142" s="11" t="n"/>
      <c r="N142" s="11" t="n"/>
      <c r="O142" s="11" t="n"/>
      <c r="P142" s="12" t="n"/>
      <c r="Q142" s="11" t="n"/>
      <c r="R142" s="12" t="n"/>
      <c r="S142" s="11" t="n"/>
      <c r="T142" s="12" t="n"/>
      <c r="U142" s="12" t="n"/>
      <c r="V142" s="14">
        <f>IF($AN142="",IF($B142="","",$H142),IF(INDEX(職員マスタ!$B$6:$B$405,$AN142)="",$H142,INDEX(職員マスタ!$B$6:$B$405,$AN142)))</f>
        <v/>
      </c>
      <c r="W142" s="14">
        <f>IF($AN142="",IF($B142="","",$R142),IF(INDEX(職員マスタ!$C$6:$C$405,$AN142)="",$R142,INDEX(職員マスタ!$C$6:$C$405,$AN142)))</f>
        <v/>
      </c>
      <c r="X142" s="14">
        <f>IF($AO142="","","R"&amp;$C142&amp;"."&amp;$D142)</f>
        <v/>
      </c>
      <c r="Y142" s="15">
        <f>IF($AN142="","",IF(INDEX(職員マスタ!$K$6:$K$405,$AN142)="","",INDEX(職員マスタ!$K$6:$K$405,$AN142)))</f>
        <v/>
      </c>
      <c r="Z142" s="14">
        <f>IF(OR($E142="",$Y142=""),"",IF($E142&gt;=$Y142,"×",IF($E142&gt;=$Y142*設定!$C$5,"△","○")))</f>
        <v/>
      </c>
      <c r="AA142" s="15">
        <f>IF($Z142="","",IF($Z142="×",0,IF($Z142="○",ROUNDDOWN($E142*設定!$C$4,0),ROUNDDOWN($E142*ROUND((9*$Y142-9*$E142)/(10*$E142),4),0))))</f>
        <v/>
      </c>
      <c r="AB142" s="13" t="n"/>
      <c r="AC142" s="15">
        <f>IF($B142="","",IF($AB142&lt;&gt;"",$AB142,IF($AA142="","",IF($AA142&lt;=設定!$C$3,0,$AA142))))</f>
        <v/>
      </c>
      <c r="AD142" s="14">
        <f>IF($B142="","",IF(AND($AE142&lt;&gt;"",$AG142="",$AJ142=""),"保留中",IF($AJ142&lt;&gt;"",IF(N($AC142)&gt;0,"支給済","不支給"),IF($AC142="","要確認",IF($AC142=0,"不支給","未処理")))))</f>
        <v/>
      </c>
      <c r="AE142" s="12" t="n"/>
      <c r="AF142" s="11" t="n"/>
      <c r="AG142" s="11" t="n"/>
      <c r="AH142" s="11" t="n"/>
      <c r="AI142" s="14">
        <f>IF(AND($AD142="保留中",$AF142&lt;&gt;""),TODAY()-$AF142,"")</f>
        <v/>
      </c>
      <c r="AJ142" s="12" t="inlineStr">
        <is>
          <t>R7.9</t>
        </is>
      </c>
      <c r="AK142" s="14">
        <f>IF($B142="","",IF($AO142="","対象年月が未入力／","")&amp;IF($B142="","",IF($AN142="","職員マスタに未登録の職員番号／",IF($Y142="","標準報酬月額が未登録／","")&amp;IF(AND($AO142&lt;&gt;"",OR(AND(INDEX(職員マスタ!$G$6:$G$405,$AN142)&lt;&gt;"",INDEX(職員マスタ!$G$6:$G$405,$AN142)&gt;EOMONTH($AO142,0)),AND(INDEX(職員マスタ!$H$6:$H$405,$AN142)&lt;&gt;"",INDEX(職員マスタ!$H$6:$H$405,$AN142)&lt;$AO142))),"対象月が時短期間外／","")&amp;IF(AND(INDEX(職員マスタ!$F$6:$F$405,$AN142)&lt;&gt;"",$AO142&lt;&gt;"",INDEX(職員マスタ!$F$6:$F$405,$AN142)&lt;$AO142),"対象月に子が2歳到達済／","")&amp;IF(AND($H142&lt;&gt;"",INDEX(職員マスタ!$B$6:$B$405,$AN142)&lt;&gt;"",SUBSTITUTE(SUBSTITUTE($H142," ","")," ","")&lt;&gt;SUBSTITUTE(SUBSTITUTE(INDEX(職員マスタ!$B$6:$B$405,$AN142)," ","")," ","")),"氏名がマスタと相違／","")&amp;IF(AND($Q142&lt;&gt;"",INDEX(職員マスタ!$E$6:$E$405,$AN142)&lt;&gt;"",$Q142&lt;&gt;INDEX(職員マスタ!$E$6:$E$405,$AN142)),"子の生年月日がマスタと相違／","")&amp;IF(AND($L142&lt;&gt;"",INDEX(職員マスタ!$G$6:$G$405,$AN142)&lt;&gt;"",$L142&lt;&gt;INDEX(職員マスタ!$G$6:$G$405,$AN142)),"時短開始日がマスタと相違／","")&amp;IF(AND($M142&lt;&gt;"",INDEX(職員マスタ!$H$6:$H$405,$AN142)&lt;&gt;"",$M142&lt;&gt;INDEX(職員マスタ!$H$6:$H$405,$AN142)),"時短終了日がマスタと相違／","")))&amp;IF(AND($B142&lt;&gt;"",$E142=""),"報酬額が未入力／","")&amp;IF(N($U142)&gt;0,"申請書に入力エラーが残っています／","")&amp;IF(AND($B142&lt;&gt;"",$AO142&lt;&gt;""),IF(COUNTIFS($B$6:$B$3005,$B142,$C$6:$C$3005,$C142,$D$6:$D$3005,$D142)&gt;1,"同じ月の請求が重複しています／",""),"")&amp;IF(AND(N($E142)&gt;0,$Z142&lt;&gt;"",$Z142&lt;&gt;"×",$AC142=0,$AB142=""),"計算額が下限以下のため不支給／",""))</f>
        <v/>
      </c>
      <c r="AL142" s="12" t="n"/>
      <c r="AM142" s="14">
        <f>IF($AD142="保留中",COUNTIF($AD$6:$AD142,"保留中"),"")</f>
        <v/>
      </c>
      <c r="AN142" s="14">
        <f>IF($AO142="","",IF(SUMPRODUCT(MAX((職員マスタ!$A$6:$A$405=$B142)*(((職員マスタ!$G$6:$G$405="")+(職員マスタ!$G$6:$G$405&lt;=EOMONTH($AO142,0)))&gt;0)*(((職員マスタ!$H$6:$H$405="")+(職員マスタ!$H$6:$H$405&gt;=$AO142))&gt;0)*(ROW(職員マスタ!$A$6:$A$405)-5)))&gt;0,SUMPRODUCT(MAX((職員マスタ!$A$6:$A$405=$B142)*(((職員マスタ!$G$6:$G$405="")+(職員マスタ!$G$6:$G$405&lt;=EOMONTH($AO142,0)))&gt;0)*(((職員マスタ!$H$6:$H$405="")+(職員マスタ!$H$6:$H$405&gt;=$AO142))&gt;0)*(ROW(職員マスタ!$A$6:$A$405)-5))),IFERROR(MATCH($B142,職員マスタ!$A$6:$A$405,0),"")))</f>
        <v/>
      </c>
      <c r="AO142" s="16">
        <f>IF(OR($B142="",$C142="",$D142=""),"",DATE($C142+2018,$D142,1))</f>
        <v/>
      </c>
    </row>
    <row r="143">
      <c r="A143" s="11" t="n"/>
      <c r="B143" s="12" t="n">
        <v>6201776</v>
      </c>
      <c r="C143" s="12" t="n">
        <v>7</v>
      </c>
      <c r="D143" s="12" t="n">
        <v>8</v>
      </c>
      <c r="E143" s="13" t="n">
        <v>202131</v>
      </c>
      <c r="F143" s="12" t="n"/>
      <c r="G143" s="13" t="n"/>
      <c r="H143" s="12" t="n"/>
      <c r="I143" s="12" t="n"/>
      <c r="J143" s="12" t="n"/>
      <c r="K143" s="12" t="n"/>
      <c r="L143" s="11" t="n"/>
      <c r="M143" s="11" t="n"/>
      <c r="N143" s="11" t="n"/>
      <c r="O143" s="11" t="n"/>
      <c r="P143" s="12" t="n"/>
      <c r="Q143" s="11" t="n"/>
      <c r="R143" s="12" t="n"/>
      <c r="S143" s="11" t="n"/>
      <c r="T143" s="12" t="n"/>
      <c r="U143" s="12" t="n"/>
      <c r="V143" s="14">
        <f>IF($AN143="",IF($B143="","",$H143),IF(INDEX(職員マスタ!$B$6:$B$405,$AN143)="",$H143,INDEX(職員マスタ!$B$6:$B$405,$AN143)))</f>
        <v/>
      </c>
      <c r="W143" s="14">
        <f>IF($AN143="",IF($B143="","",$R143),IF(INDEX(職員マスタ!$C$6:$C$405,$AN143)="",$R143,INDEX(職員マスタ!$C$6:$C$405,$AN143)))</f>
        <v/>
      </c>
      <c r="X143" s="14">
        <f>IF($AO143="","","R"&amp;$C143&amp;"."&amp;$D143)</f>
        <v/>
      </c>
      <c r="Y143" s="15">
        <f>IF($AN143="","",IF(INDEX(職員マスタ!$K$6:$K$405,$AN143)="","",INDEX(職員マスタ!$K$6:$K$405,$AN143)))</f>
        <v/>
      </c>
      <c r="Z143" s="14">
        <f>IF(OR($E143="",$Y143=""),"",IF($E143&gt;=$Y143,"×",IF($E143&gt;=$Y143*設定!$C$5,"△","○")))</f>
        <v/>
      </c>
      <c r="AA143" s="15">
        <f>IF($Z143="","",IF($Z143="×",0,IF($Z143="○",ROUNDDOWN($E143*設定!$C$4,0),ROUNDDOWN($E143*ROUND((9*$Y143-9*$E143)/(10*$E143),4),0))))</f>
        <v/>
      </c>
      <c r="AB143" s="13" t="n"/>
      <c r="AC143" s="15">
        <f>IF($B143="","",IF($AB143&lt;&gt;"",$AB143,IF($AA143="","",IF($AA143&lt;=設定!$C$3,0,$AA143))))</f>
        <v/>
      </c>
      <c r="AD143" s="14">
        <f>IF($B143="","",IF(AND($AE143&lt;&gt;"",$AG143="",$AJ143=""),"保留中",IF($AJ143&lt;&gt;"",IF(N($AC143)&gt;0,"支給済","不支給"),IF($AC143="","要確認",IF($AC143=0,"不支給","未処理")))))</f>
        <v/>
      </c>
      <c r="AE143" s="12" t="n"/>
      <c r="AF143" s="11" t="n"/>
      <c r="AG143" s="11" t="n"/>
      <c r="AH143" s="11" t="n"/>
      <c r="AI143" s="14">
        <f>IF(AND($AD143="保留中",$AF143&lt;&gt;""),TODAY()-$AF143,"")</f>
        <v/>
      </c>
      <c r="AJ143" s="12" t="inlineStr">
        <is>
          <t>R7.10</t>
        </is>
      </c>
      <c r="AK143" s="14">
        <f>IF($B143="","",IF($AO143="","対象年月が未入力／","")&amp;IF($B143="","",IF($AN143="","職員マスタに未登録の職員番号／",IF($Y143="","標準報酬月額が未登録／","")&amp;IF(AND($AO143&lt;&gt;"",OR(AND(INDEX(職員マスタ!$G$6:$G$405,$AN143)&lt;&gt;"",INDEX(職員マスタ!$G$6:$G$405,$AN143)&gt;EOMONTH($AO143,0)),AND(INDEX(職員マスタ!$H$6:$H$405,$AN143)&lt;&gt;"",INDEX(職員マスタ!$H$6:$H$405,$AN143)&lt;$AO143))),"対象月が時短期間外／","")&amp;IF(AND(INDEX(職員マスタ!$F$6:$F$405,$AN143)&lt;&gt;"",$AO143&lt;&gt;"",INDEX(職員マスタ!$F$6:$F$405,$AN143)&lt;$AO143),"対象月に子が2歳到達済／","")&amp;IF(AND($H143&lt;&gt;"",INDEX(職員マスタ!$B$6:$B$405,$AN143)&lt;&gt;"",SUBSTITUTE(SUBSTITUTE($H143," ","")," ","")&lt;&gt;SUBSTITUTE(SUBSTITUTE(INDEX(職員マスタ!$B$6:$B$405,$AN143)," ","")," ","")),"氏名がマスタと相違／","")&amp;IF(AND($Q143&lt;&gt;"",INDEX(職員マスタ!$E$6:$E$405,$AN143)&lt;&gt;"",$Q143&lt;&gt;INDEX(職員マスタ!$E$6:$E$405,$AN143)),"子の生年月日がマスタと相違／","")&amp;IF(AND($L143&lt;&gt;"",INDEX(職員マスタ!$G$6:$G$405,$AN143)&lt;&gt;"",$L143&lt;&gt;INDEX(職員マスタ!$G$6:$G$405,$AN143)),"時短開始日がマスタと相違／","")&amp;IF(AND($M143&lt;&gt;"",INDEX(職員マスタ!$H$6:$H$405,$AN143)&lt;&gt;"",$M143&lt;&gt;INDEX(職員マスタ!$H$6:$H$405,$AN143)),"時短終了日がマスタと相違／","")))&amp;IF(AND($B143&lt;&gt;"",$E143=""),"報酬額が未入力／","")&amp;IF(N($U143)&gt;0,"申請書に入力エラーが残っています／","")&amp;IF(AND($B143&lt;&gt;"",$AO143&lt;&gt;""),IF(COUNTIFS($B$6:$B$3005,$B143,$C$6:$C$3005,$C143,$D$6:$D$3005,$D143)&gt;1,"同じ月の請求が重複しています／",""),"")&amp;IF(AND(N($E143)&gt;0,$Z143&lt;&gt;"",$Z143&lt;&gt;"×",$AC143=0,$AB143=""),"計算額が下限以下のため不支給／",""))</f>
        <v/>
      </c>
      <c r="AL143" s="12" t="n"/>
      <c r="AM143" s="14">
        <f>IF($AD143="保留中",COUNTIF($AD$6:$AD143,"保留中"),"")</f>
        <v/>
      </c>
      <c r="AN143" s="14">
        <f>IF($AO143="","",IF(SUMPRODUCT(MAX((職員マスタ!$A$6:$A$405=$B143)*(((職員マスタ!$G$6:$G$405="")+(職員マスタ!$G$6:$G$405&lt;=EOMONTH($AO143,0)))&gt;0)*(((職員マスタ!$H$6:$H$405="")+(職員マスタ!$H$6:$H$405&gt;=$AO143))&gt;0)*(ROW(職員マスタ!$A$6:$A$405)-5)))&gt;0,SUMPRODUCT(MAX((職員マスタ!$A$6:$A$405=$B143)*(((職員マスタ!$G$6:$G$405="")+(職員マスタ!$G$6:$G$405&lt;=EOMONTH($AO143,0)))&gt;0)*(((職員マスタ!$H$6:$H$405="")+(職員マスタ!$H$6:$H$405&gt;=$AO143))&gt;0)*(ROW(職員マスタ!$A$6:$A$405)-5))),IFERROR(MATCH($B143,職員マスタ!$A$6:$A$405,0),"")))</f>
        <v/>
      </c>
      <c r="AO143" s="16">
        <f>IF(OR($B143="",$C143="",$D143=""),"",DATE($C143+2018,$D143,1))</f>
        <v/>
      </c>
    </row>
    <row r="144">
      <c r="A144" s="11" t="n"/>
      <c r="B144" s="12" t="n">
        <v>6201776</v>
      </c>
      <c r="C144" s="12" t="n">
        <v>7</v>
      </c>
      <c r="D144" s="12" t="n">
        <v>9</v>
      </c>
      <c r="E144" s="13" t="n">
        <v>202131</v>
      </c>
      <c r="F144" s="12" t="n"/>
      <c r="G144" s="13" t="n"/>
      <c r="H144" s="12" t="n"/>
      <c r="I144" s="12" t="n"/>
      <c r="J144" s="12" t="n"/>
      <c r="K144" s="12" t="n"/>
      <c r="L144" s="11" t="n"/>
      <c r="M144" s="11" t="n"/>
      <c r="N144" s="11" t="n"/>
      <c r="O144" s="11" t="n"/>
      <c r="P144" s="12" t="n"/>
      <c r="Q144" s="11" t="n"/>
      <c r="R144" s="12" t="n"/>
      <c r="S144" s="11" t="n"/>
      <c r="T144" s="12" t="n"/>
      <c r="U144" s="12" t="n"/>
      <c r="V144" s="14">
        <f>IF($AN144="",IF($B144="","",$H144),IF(INDEX(職員マスタ!$B$6:$B$405,$AN144)="",$H144,INDEX(職員マスタ!$B$6:$B$405,$AN144)))</f>
        <v/>
      </c>
      <c r="W144" s="14">
        <f>IF($AN144="",IF($B144="","",$R144),IF(INDEX(職員マスタ!$C$6:$C$405,$AN144)="",$R144,INDEX(職員マスタ!$C$6:$C$405,$AN144)))</f>
        <v/>
      </c>
      <c r="X144" s="14">
        <f>IF($AO144="","","R"&amp;$C144&amp;"."&amp;$D144)</f>
        <v/>
      </c>
      <c r="Y144" s="15">
        <f>IF($AN144="","",IF(INDEX(職員マスタ!$K$6:$K$405,$AN144)="","",INDEX(職員マスタ!$K$6:$K$405,$AN144)))</f>
        <v/>
      </c>
      <c r="Z144" s="14">
        <f>IF(OR($E144="",$Y144=""),"",IF($E144&gt;=$Y144,"×",IF($E144&gt;=$Y144*設定!$C$5,"△","○")))</f>
        <v/>
      </c>
      <c r="AA144" s="15">
        <f>IF($Z144="","",IF($Z144="×",0,IF($Z144="○",ROUNDDOWN($E144*設定!$C$4,0),ROUNDDOWN($E144*ROUND((9*$Y144-9*$E144)/(10*$E144),4),0))))</f>
        <v/>
      </c>
      <c r="AB144" s="13" t="n"/>
      <c r="AC144" s="15">
        <f>IF($B144="","",IF($AB144&lt;&gt;"",$AB144,IF($AA144="","",IF($AA144&lt;=設定!$C$3,0,$AA144))))</f>
        <v/>
      </c>
      <c r="AD144" s="14">
        <f>IF($B144="","",IF(AND($AE144&lt;&gt;"",$AG144="",$AJ144=""),"保留中",IF($AJ144&lt;&gt;"",IF(N($AC144)&gt;0,"支給済","不支給"),IF($AC144="","要確認",IF($AC144=0,"不支給","未処理")))))</f>
        <v/>
      </c>
      <c r="AE144" s="12" t="n"/>
      <c r="AF144" s="11" t="n"/>
      <c r="AG144" s="11" t="n"/>
      <c r="AH144" s="11" t="n"/>
      <c r="AI144" s="14">
        <f>IF(AND($AD144="保留中",$AF144&lt;&gt;""),TODAY()-$AF144,"")</f>
        <v/>
      </c>
      <c r="AJ144" s="12" t="inlineStr">
        <is>
          <t>R7.12</t>
        </is>
      </c>
      <c r="AK144" s="14">
        <f>IF($B144="","",IF($AO144="","対象年月が未入力／","")&amp;IF($B144="","",IF($AN144="","職員マスタに未登録の職員番号／",IF($Y144="","標準報酬月額が未登録／","")&amp;IF(AND($AO144&lt;&gt;"",OR(AND(INDEX(職員マスタ!$G$6:$G$405,$AN144)&lt;&gt;"",INDEX(職員マスタ!$G$6:$G$405,$AN144)&gt;EOMONTH($AO144,0)),AND(INDEX(職員マスタ!$H$6:$H$405,$AN144)&lt;&gt;"",INDEX(職員マスタ!$H$6:$H$405,$AN144)&lt;$AO144))),"対象月が時短期間外／","")&amp;IF(AND(INDEX(職員マスタ!$F$6:$F$405,$AN144)&lt;&gt;"",$AO144&lt;&gt;"",INDEX(職員マスタ!$F$6:$F$405,$AN144)&lt;$AO144),"対象月に子が2歳到達済／","")&amp;IF(AND($H144&lt;&gt;"",INDEX(職員マスタ!$B$6:$B$405,$AN144)&lt;&gt;"",SUBSTITUTE(SUBSTITUTE($H144," ","")," ","")&lt;&gt;SUBSTITUTE(SUBSTITUTE(INDEX(職員マスタ!$B$6:$B$405,$AN144)," ","")," ","")),"氏名がマスタと相違／","")&amp;IF(AND($Q144&lt;&gt;"",INDEX(職員マスタ!$E$6:$E$405,$AN144)&lt;&gt;"",$Q144&lt;&gt;INDEX(職員マスタ!$E$6:$E$405,$AN144)),"子の生年月日がマスタと相違／","")&amp;IF(AND($L144&lt;&gt;"",INDEX(職員マスタ!$G$6:$G$405,$AN144)&lt;&gt;"",$L144&lt;&gt;INDEX(職員マスタ!$G$6:$G$405,$AN144)),"時短開始日がマスタと相違／","")&amp;IF(AND($M144&lt;&gt;"",INDEX(職員マスタ!$H$6:$H$405,$AN144)&lt;&gt;"",$M144&lt;&gt;INDEX(職員マスタ!$H$6:$H$405,$AN144)),"時短終了日がマスタと相違／","")))&amp;IF(AND($B144&lt;&gt;"",$E144=""),"報酬額が未入力／","")&amp;IF(N($U144)&gt;0,"申請書に入力エラーが残っています／","")&amp;IF(AND($B144&lt;&gt;"",$AO144&lt;&gt;""),IF(COUNTIFS($B$6:$B$3005,$B144,$C$6:$C$3005,$C144,$D$6:$D$3005,$D144)&gt;1,"同じ月の請求が重複しています／",""),"")&amp;IF(AND(N($E144)&gt;0,$Z144&lt;&gt;"",$Z144&lt;&gt;"×",$AC144=0,$AB144=""),"計算額が下限以下のため不支給／",""))</f>
        <v/>
      </c>
      <c r="AL144" s="12" t="n"/>
      <c r="AM144" s="14">
        <f>IF($AD144="保留中",COUNTIF($AD$6:$AD144,"保留中"),"")</f>
        <v/>
      </c>
      <c r="AN144" s="14">
        <f>IF($AO144="","",IF(SUMPRODUCT(MAX((職員マスタ!$A$6:$A$405=$B144)*(((職員マスタ!$G$6:$G$405="")+(職員マスタ!$G$6:$G$405&lt;=EOMONTH($AO144,0)))&gt;0)*(((職員マスタ!$H$6:$H$405="")+(職員マスタ!$H$6:$H$405&gt;=$AO144))&gt;0)*(ROW(職員マスタ!$A$6:$A$405)-5)))&gt;0,SUMPRODUCT(MAX((職員マスタ!$A$6:$A$405=$B144)*(((職員マスタ!$G$6:$G$405="")+(職員マスタ!$G$6:$G$405&lt;=EOMONTH($AO144,0)))&gt;0)*(((職員マスタ!$H$6:$H$405="")+(職員マスタ!$H$6:$H$405&gt;=$AO144))&gt;0)*(ROW(職員マスタ!$A$6:$A$405)-5))),IFERROR(MATCH($B144,職員マスタ!$A$6:$A$405,0),"")))</f>
        <v/>
      </c>
      <c r="AO144" s="16">
        <f>IF(OR($B144="",$C144="",$D144=""),"",DATE($C144+2018,$D144,1))</f>
        <v/>
      </c>
    </row>
    <row r="145">
      <c r="A145" s="11" t="n"/>
      <c r="B145" s="12" t="n">
        <v>6301386</v>
      </c>
      <c r="C145" s="12" t="n">
        <v>7</v>
      </c>
      <c r="D145" s="12" t="n">
        <v>4</v>
      </c>
      <c r="E145" s="13" t="n">
        <v>115219</v>
      </c>
      <c r="F145" s="12" t="n"/>
      <c r="G145" s="13" t="n"/>
      <c r="H145" s="12" t="n"/>
      <c r="I145" s="12" t="n"/>
      <c r="J145" s="12" t="n"/>
      <c r="K145" s="12" t="n"/>
      <c r="L145" s="11" t="n"/>
      <c r="M145" s="11" t="n"/>
      <c r="N145" s="11" t="n"/>
      <c r="O145" s="11" t="n"/>
      <c r="P145" s="12" t="n"/>
      <c r="Q145" s="11" t="n"/>
      <c r="R145" s="12" t="n"/>
      <c r="S145" s="11" t="n"/>
      <c r="T145" s="12" t="n"/>
      <c r="U145" s="12" t="n"/>
      <c r="V145" s="14">
        <f>IF($AN145="",IF($B145="","",$H145),IF(INDEX(職員マスタ!$B$6:$B$405,$AN145)="",$H145,INDEX(職員マスタ!$B$6:$B$405,$AN145)))</f>
        <v/>
      </c>
      <c r="W145" s="14">
        <f>IF($AN145="",IF($B145="","",$R145),IF(INDEX(職員マスタ!$C$6:$C$405,$AN145)="",$R145,INDEX(職員マスタ!$C$6:$C$405,$AN145)))</f>
        <v/>
      </c>
      <c r="X145" s="14">
        <f>IF($AO145="","","R"&amp;$C145&amp;"."&amp;$D145)</f>
        <v/>
      </c>
      <c r="Y145" s="15">
        <f>IF($AN145="","",IF(INDEX(職員マスタ!$K$6:$K$405,$AN145)="","",INDEX(職員マスタ!$K$6:$K$405,$AN145)))</f>
        <v/>
      </c>
      <c r="Z145" s="14">
        <f>IF(OR($E145="",$Y145=""),"",IF($E145&gt;=$Y145,"×",IF($E145&gt;=$Y145*設定!$C$5,"△","○")))</f>
        <v/>
      </c>
      <c r="AA145" s="15">
        <f>IF($Z145="","",IF($Z145="×",0,IF($Z145="○",ROUNDDOWN($E145*設定!$C$4,0),ROUNDDOWN($E145*ROUND((9*$Y145-9*$E145)/(10*$E145),4),0))))</f>
        <v/>
      </c>
      <c r="AB145" s="13" t="n"/>
      <c r="AC145" s="15">
        <f>IF($B145="","",IF($AB145&lt;&gt;"",$AB145,IF($AA145="","",IF($AA145&lt;=設定!$C$3,0,$AA145))))</f>
        <v/>
      </c>
      <c r="AD145" s="14">
        <f>IF($B145="","",IF(AND($AE145&lt;&gt;"",$AG145="",$AJ145=""),"保留中",IF($AJ145&lt;&gt;"",IF(N($AC145)&gt;0,"支給済","不支給"),IF($AC145="","要確認",IF($AC145=0,"不支給","未処理")))))</f>
        <v/>
      </c>
      <c r="AE145" s="12" t="n"/>
      <c r="AF145" s="11" t="n"/>
      <c r="AG145" s="11" t="n"/>
      <c r="AH145" s="11" t="n"/>
      <c r="AI145" s="14">
        <f>IF(AND($AD145="保留中",$AF145&lt;&gt;""),TODAY()-$AF145,"")</f>
        <v/>
      </c>
      <c r="AJ145" s="12" t="inlineStr">
        <is>
          <t>R7.9</t>
        </is>
      </c>
      <c r="AK145" s="14">
        <f>IF($B145="","",IF($AO145="","対象年月が未入力／","")&amp;IF($B145="","",IF($AN145="","職員マスタに未登録の職員番号／",IF($Y145="","標準報酬月額が未登録／","")&amp;IF(AND($AO145&lt;&gt;"",OR(AND(INDEX(職員マスタ!$G$6:$G$405,$AN145)&lt;&gt;"",INDEX(職員マスタ!$G$6:$G$405,$AN145)&gt;EOMONTH($AO145,0)),AND(INDEX(職員マスタ!$H$6:$H$405,$AN145)&lt;&gt;"",INDEX(職員マスタ!$H$6:$H$405,$AN145)&lt;$AO145))),"対象月が時短期間外／","")&amp;IF(AND(INDEX(職員マスタ!$F$6:$F$405,$AN145)&lt;&gt;"",$AO145&lt;&gt;"",INDEX(職員マスタ!$F$6:$F$405,$AN145)&lt;$AO145),"対象月に子が2歳到達済／","")&amp;IF(AND($H145&lt;&gt;"",INDEX(職員マスタ!$B$6:$B$405,$AN145)&lt;&gt;"",SUBSTITUTE(SUBSTITUTE($H145," ","")," ","")&lt;&gt;SUBSTITUTE(SUBSTITUTE(INDEX(職員マスタ!$B$6:$B$405,$AN145)," ","")," ","")),"氏名がマスタと相違／","")&amp;IF(AND($Q145&lt;&gt;"",INDEX(職員マスタ!$E$6:$E$405,$AN145)&lt;&gt;"",$Q145&lt;&gt;INDEX(職員マスタ!$E$6:$E$405,$AN145)),"子の生年月日がマスタと相違／","")&amp;IF(AND($L145&lt;&gt;"",INDEX(職員マスタ!$G$6:$G$405,$AN145)&lt;&gt;"",$L145&lt;&gt;INDEX(職員マスタ!$G$6:$G$405,$AN145)),"時短開始日がマスタと相違／","")&amp;IF(AND($M145&lt;&gt;"",INDEX(職員マスタ!$H$6:$H$405,$AN145)&lt;&gt;"",$M145&lt;&gt;INDEX(職員マスタ!$H$6:$H$405,$AN145)),"時短終了日がマスタと相違／","")))&amp;IF(AND($B145&lt;&gt;"",$E145=""),"報酬額が未入力／","")&amp;IF(N($U145)&gt;0,"申請書に入力エラーが残っています／","")&amp;IF(AND($B145&lt;&gt;"",$AO145&lt;&gt;""),IF(COUNTIFS($B$6:$B$3005,$B145,$C$6:$C$3005,$C145,$D$6:$D$3005,$D145)&gt;1,"同じ月の請求が重複しています／",""),"")&amp;IF(AND(N($E145)&gt;0,$Z145&lt;&gt;"",$Z145&lt;&gt;"×",$AC145=0,$AB145=""),"計算額が下限以下のため不支給／",""))</f>
        <v/>
      </c>
      <c r="AL145" s="12" t="n"/>
      <c r="AM145" s="14">
        <f>IF($AD145="保留中",COUNTIF($AD$6:$AD145,"保留中"),"")</f>
        <v/>
      </c>
      <c r="AN145" s="14">
        <f>IF($AO145="","",IF(SUMPRODUCT(MAX((職員マスタ!$A$6:$A$405=$B145)*(((職員マスタ!$G$6:$G$405="")+(職員マスタ!$G$6:$G$405&lt;=EOMONTH($AO145,0)))&gt;0)*(((職員マスタ!$H$6:$H$405="")+(職員マスタ!$H$6:$H$405&gt;=$AO145))&gt;0)*(ROW(職員マスタ!$A$6:$A$405)-5)))&gt;0,SUMPRODUCT(MAX((職員マスタ!$A$6:$A$405=$B145)*(((職員マスタ!$G$6:$G$405="")+(職員マスタ!$G$6:$G$405&lt;=EOMONTH($AO145,0)))&gt;0)*(((職員マスタ!$H$6:$H$405="")+(職員マスタ!$H$6:$H$405&gt;=$AO145))&gt;0)*(ROW(職員マスタ!$A$6:$A$405)-5))),IFERROR(MATCH($B145,職員マスタ!$A$6:$A$405,0),"")))</f>
        <v/>
      </c>
      <c r="AO145" s="16">
        <f>IF(OR($B145="",$C145="",$D145=""),"",DATE($C145+2018,$D145,1))</f>
        <v/>
      </c>
    </row>
    <row r="146">
      <c r="A146" s="11" t="n"/>
      <c r="B146" s="12" t="n">
        <v>6301386</v>
      </c>
      <c r="C146" s="12" t="n">
        <v>7</v>
      </c>
      <c r="D146" s="12" t="n">
        <v>5</v>
      </c>
      <c r="E146" s="13" t="n">
        <v>203070</v>
      </c>
      <c r="F146" s="12" t="n"/>
      <c r="G146" s="13" t="n"/>
      <c r="H146" s="12" t="n"/>
      <c r="I146" s="12" t="n"/>
      <c r="J146" s="12" t="n"/>
      <c r="K146" s="12" t="n"/>
      <c r="L146" s="11" t="n"/>
      <c r="M146" s="11" t="n"/>
      <c r="N146" s="11" t="n"/>
      <c r="O146" s="11" t="n"/>
      <c r="P146" s="12" t="n"/>
      <c r="Q146" s="11" t="n"/>
      <c r="R146" s="12" t="n"/>
      <c r="S146" s="11" t="n"/>
      <c r="T146" s="12" t="n"/>
      <c r="U146" s="12" t="n"/>
      <c r="V146" s="14">
        <f>IF($AN146="",IF($B146="","",$H146),IF(INDEX(職員マスタ!$B$6:$B$405,$AN146)="",$H146,INDEX(職員マスタ!$B$6:$B$405,$AN146)))</f>
        <v/>
      </c>
      <c r="W146" s="14">
        <f>IF($AN146="",IF($B146="","",$R146),IF(INDEX(職員マスタ!$C$6:$C$405,$AN146)="",$R146,INDEX(職員マスタ!$C$6:$C$405,$AN146)))</f>
        <v/>
      </c>
      <c r="X146" s="14">
        <f>IF($AO146="","","R"&amp;$C146&amp;"."&amp;$D146)</f>
        <v/>
      </c>
      <c r="Y146" s="15">
        <f>IF($AN146="","",IF(INDEX(職員マスタ!$K$6:$K$405,$AN146)="","",INDEX(職員マスタ!$K$6:$K$405,$AN146)))</f>
        <v/>
      </c>
      <c r="Z146" s="14">
        <f>IF(OR($E146="",$Y146=""),"",IF($E146&gt;=$Y146,"×",IF($E146&gt;=$Y146*設定!$C$5,"△","○")))</f>
        <v/>
      </c>
      <c r="AA146" s="15">
        <f>IF($Z146="","",IF($Z146="×",0,IF($Z146="○",ROUNDDOWN($E146*設定!$C$4,0),ROUNDDOWN($E146*ROUND((9*$Y146-9*$E146)/(10*$E146),4),0))))</f>
        <v/>
      </c>
      <c r="AB146" s="13" t="n"/>
      <c r="AC146" s="15">
        <f>IF($B146="","",IF($AB146&lt;&gt;"",$AB146,IF($AA146="","",IF($AA146&lt;=設定!$C$3,0,$AA146))))</f>
        <v/>
      </c>
      <c r="AD146" s="14">
        <f>IF($B146="","",IF(AND($AE146&lt;&gt;"",$AG146="",$AJ146=""),"保留中",IF($AJ146&lt;&gt;"",IF(N($AC146)&gt;0,"支給済","不支給"),IF($AC146="","要確認",IF($AC146=0,"不支給","未処理")))))</f>
        <v/>
      </c>
      <c r="AE146" s="12" t="n"/>
      <c r="AF146" s="11" t="n"/>
      <c r="AG146" s="11" t="n"/>
      <c r="AH146" s="11" t="n"/>
      <c r="AI146" s="14">
        <f>IF(AND($AD146="保留中",$AF146&lt;&gt;""),TODAY()-$AF146,"")</f>
        <v/>
      </c>
      <c r="AJ146" s="12" t="inlineStr">
        <is>
          <t>R7.9</t>
        </is>
      </c>
      <c r="AK146" s="14">
        <f>IF($B146="","",IF($AO146="","対象年月が未入力／","")&amp;IF($B146="","",IF($AN146="","職員マスタに未登録の職員番号／",IF($Y146="","標準報酬月額が未登録／","")&amp;IF(AND($AO146&lt;&gt;"",OR(AND(INDEX(職員マスタ!$G$6:$G$405,$AN146)&lt;&gt;"",INDEX(職員マスタ!$G$6:$G$405,$AN146)&gt;EOMONTH($AO146,0)),AND(INDEX(職員マスタ!$H$6:$H$405,$AN146)&lt;&gt;"",INDEX(職員マスタ!$H$6:$H$405,$AN146)&lt;$AO146))),"対象月が時短期間外／","")&amp;IF(AND(INDEX(職員マスタ!$F$6:$F$405,$AN146)&lt;&gt;"",$AO146&lt;&gt;"",INDEX(職員マスタ!$F$6:$F$405,$AN146)&lt;$AO146),"対象月に子が2歳到達済／","")&amp;IF(AND($H146&lt;&gt;"",INDEX(職員マスタ!$B$6:$B$405,$AN146)&lt;&gt;"",SUBSTITUTE(SUBSTITUTE($H146," ","")," ","")&lt;&gt;SUBSTITUTE(SUBSTITUTE(INDEX(職員マスタ!$B$6:$B$405,$AN146)," ","")," ","")),"氏名がマスタと相違／","")&amp;IF(AND($Q146&lt;&gt;"",INDEX(職員マスタ!$E$6:$E$405,$AN146)&lt;&gt;"",$Q146&lt;&gt;INDEX(職員マスタ!$E$6:$E$405,$AN146)),"子の生年月日がマスタと相違／","")&amp;IF(AND($L146&lt;&gt;"",INDEX(職員マスタ!$G$6:$G$405,$AN146)&lt;&gt;"",$L146&lt;&gt;INDEX(職員マスタ!$G$6:$G$405,$AN146)),"時短開始日がマスタと相違／","")&amp;IF(AND($M146&lt;&gt;"",INDEX(職員マスタ!$H$6:$H$405,$AN146)&lt;&gt;"",$M146&lt;&gt;INDEX(職員マスタ!$H$6:$H$405,$AN146)),"時短終了日がマスタと相違／","")))&amp;IF(AND($B146&lt;&gt;"",$E146=""),"報酬額が未入力／","")&amp;IF(N($U146)&gt;0,"申請書に入力エラーが残っています／","")&amp;IF(AND($B146&lt;&gt;"",$AO146&lt;&gt;""),IF(COUNTIFS($B$6:$B$3005,$B146,$C$6:$C$3005,$C146,$D$6:$D$3005,$D146)&gt;1,"同じ月の請求が重複しています／",""),"")&amp;IF(AND(N($E146)&gt;0,$Z146&lt;&gt;"",$Z146&lt;&gt;"×",$AC146=0,$AB146=""),"計算額が下限以下のため不支給／",""))</f>
        <v/>
      </c>
      <c r="AL146" s="12" t="n"/>
      <c r="AM146" s="14">
        <f>IF($AD146="保留中",COUNTIF($AD$6:$AD146,"保留中"),"")</f>
        <v/>
      </c>
      <c r="AN146" s="14">
        <f>IF($AO146="","",IF(SUMPRODUCT(MAX((職員マスタ!$A$6:$A$405=$B146)*(((職員マスタ!$G$6:$G$405="")+(職員マスタ!$G$6:$G$405&lt;=EOMONTH($AO146,0)))&gt;0)*(((職員マスタ!$H$6:$H$405="")+(職員マスタ!$H$6:$H$405&gt;=$AO146))&gt;0)*(ROW(職員マスタ!$A$6:$A$405)-5)))&gt;0,SUMPRODUCT(MAX((職員マスタ!$A$6:$A$405=$B146)*(((職員マスタ!$G$6:$G$405="")+(職員マスタ!$G$6:$G$405&lt;=EOMONTH($AO146,0)))&gt;0)*(((職員マスタ!$H$6:$H$405="")+(職員マスタ!$H$6:$H$405&gt;=$AO146))&gt;0)*(ROW(職員マスタ!$A$6:$A$405)-5))),IFERROR(MATCH($B146,職員マスタ!$A$6:$A$405,0),"")))</f>
        <v/>
      </c>
      <c r="AO146" s="16">
        <f>IF(OR($B146="",$C146="",$D146=""),"",DATE($C146+2018,$D146,1))</f>
        <v/>
      </c>
    </row>
    <row r="147">
      <c r="A147" s="11" t="n"/>
      <c r="B147" s="12" t="n">
        <v>6301386</v>
      </c>
      <c r="C147" s="12" t="n">
        <v>7</v>
      </c>
      <c r="D147" s="12" t="n">
        <v>6</v>
      </c>
      <c r="E147" s="13" t="n">
        <v>203070</v>
      </c>
      <c r="F147" s="12" t="n"/>
      <c r="G147" s="13" t="n"/>
      <c r="H147" s="12" t="n"/>
      <c r="I147" s="12" t="n"/>
      <c r="J147" s="12" t="n"/>
      <c r="K147" s="12" t="n"/>
      <c r="L147" s="11" t="n"/>
      <c r="M147" s="11" t="n"/>
      <c r="N147" s="11" t="n"/>
      <c r="O147" s="11" t="n"/>
      <c r="P147" s="12" t="n"/>
      <c r="Q147" s="11" t="n"/>
      <c r="R147" s="12" t="n"/>
      <c r="S147" s="11" t="n"/>
      <c r="T147" s="12" t="n"/>
      <c r="U147" s="12" t="n"/>
      <c r="V147" s="14">
        <f>IF($AN147="",IF($B147="","",$H147),IF(INDEX(職員マスタ!$B$6:$B$405,$AN147)="",$H147,INDEX(職員マスタ!$B$6:$B$405,$AN147)))</f>
        <v/>
      </c>
      <c r="W147" s="14">
        <f>IF($AN147="",IF($B147="","",$R147),IF(INDEX(職員マスタ!$C$6:$C$405,$AN147)="",$R147,INDEX(職員マスタ!$C$6:$C$405,$AN147)))</f>
        <v/>
      </c>
      <c r="X147" s="14">
        <f>IF($AO147="","","R"&amp;$C147&amp;"."&amp;$D147)</f>
        <v/>
      </c>
      <c r="Y147" s="15">
        <f>IF($AN147="","",IF(INDEX(職員マスタ!$K$6:$K$405,$AN147)="","",INDEX(職員マスタ!$K$6:$K$405,$AN147)))</f>
        <v/>
      </c>
      <c r="Z147" s="14">
        <f>IF(OR($E147="",$Y147=""),"",IF($E147&gt;=$Y147,"×",IF($E147&gt;=$Y147*設定!$C$5,"△","○")))</f>
        <v/>
      </c>
      <c r="AA147" s="15">
        <f>IF($Z147="","",IF($Z147="×",0,IF($Z147="○",ROUNDDOWN($E147*設定!$C$4,0),ROUNDDOWN($E147*ROUND((9*$Y147-9*$E147)/(10*$E147),4),0))))</f>
        <v/>
      </c>
      <c r="AB147" s="13" t="n"/>
      <c r="AC147" s="15">
        <f>IF($B147="","",IF($AB147&lt;&gt;"",$AB147,IF($AA147="","",IF($AA147&lt;=設定!$C$3,0,$AA147))))</f>
        <v/>
      </c>
      <c r="AD147" s="14">
        <f>IF($B147="","",IF(AND($AE147&lt;&gt;"",$AG147="",$AJ147=""),"保留中",IF($AJ147&lt;&gt;"",IF(N($AC147)&gt;0,"支給済","不支給"),IF($AC147="","要確認",IF($AC147=0,"不支給","未処理")))))</f>
        <v/>
      </c>
      <c r="AE147" s="12" t="n"/>
      <c r="AF147" s="11" t="n"/>
      <c r="AG147" s="11" t="n"/>
      <c r="AH147" s="11" t="n"/>
      <c r="AI147" s="14">
        <f>IF(AND($AD147="保留中",$AF147&lt;&gt;""),TODAY()-$AF147,"")</f>
        <v/>
      </c>
      <c r="AJ147" s="12" t="inlineStr">
        <is>
          <t>R7.9</t>
        </is>
      </c>
      <c r="AK147" s="14">
        <f>IF($B147="","",IF($AO147="","対象年月が未入力／","")&amp;IF($B147="","",IF($AN147="","職員マスタに未登録の職員番号／",IF($Y147="","標準報酬月額が未登録／","")&amp;IF(AND($AO147&lt;&gt;"",OR(AND(INDEX(職員マスタ!$G$6:$G$405,$AN147)&lt;&gt;"",INDEX(職員マスタ!$G$6:$G$405,$AN147)&gt;EOMONTH($AO147,0)),AND(INDEX(職員マスタ!$H$6:$H$405,$AN147)&lt;&gt;"",INDEX(職員マスタ!$H$6:$H$405,$AN147)&lt;$AO147))),"対象月が時短期間外／","")&amp;IF(AND(INDEX(職員マスタ!$F$6:$F$405,$AN147)&lt;&gt;"",$AO147&lt;&gt;"",INDEX(職員マスタ!$F$6:$F$405,$AN147)&lt;$AO147),"対象月に子が2歳到達済／","")&amp;IF(AND($H147&lt;&gt;"",INDEX(職員マスタ!$B$6:$B$405,$AN147)&lt;&gt;"",SUBSTITUTE(SUBSTITUTE($H147," ","")," ","")&lt;&gt;SUBSTITUTE(SUBSTITUTE(INDEX(職員マスタ!$B$6:$B$405,$AN147)," ","")," ","")),"氏名がマスタと相違／","")&amp;IF(AND($Q147&lt;&gt;"",INDEX(職員マスタ!$E$6:$E$405,$AN147)&lt;&gt;"",$Q147&lt;&gt;INDEX(職員マスタ!$E$6:$E$405,$AN147)),"子の生年月日がマスタと相違／","")&amp;IF(AND($L147&lt;&gt;"",INDEX(職員マスタ!$G$6:$G$405,$AN147)&lt;&gt;"",$L147&lt;&gt;INDEX(職員マスタ!$G$6:$G$405,$AN147)),"時短開始日がマスタと相違／","")&amp;IF(AND($M147&lt;&gt;"",INDEX(職員マスタ!$H$6:$H$405,$AN147)&lt;&gt;"",$M147&lt;&gt;INDEX(職員マスタ!$H$6:$H$405,$AN147)),"時短終了日がマスタと相違／","")))&amp;IF(AND($B147&lt;&gt;"",$E147=""),"報酬額が未入力／","")&amp;IF(N($U147)&gt;0,"申請書に入力エラーが残っています／","")&amp;IF(AND($B147&lt;&gt;"",$AO147&lt;&gt;""),IF(COUNTIFS($B$6:$B$3005,$B147,$C$6:$C$3005,$C147,$D$6:$D$3005,$D147)&gt;1,"同じ月の請求が重複しています／",""),"")&amp;IF(AND(N($E147)&gt;0,$Z147&lt;&gt;"",$Z147&lt;&gt;"×",$AC147=0,$AB147=""),"計算額が下限以下のため不支給／",""))</f>
        <v/>
      </c>
      <c r="AL147" s="12" t="n"/>
      <c r="AM147" s="14">
        <f>IF($AD147="保留中",COUNTIF($AD$6:$AD147,"保留中"),"")</f>
        <v/>
      </c>
      <c r="AN147" s="14">
        <f>IF($AO147="","",IF(SUMPRODUCT(MAX((職員マスタ!$A$6:$A$405=$B147)*(((職員マスタ!$G$6:$G$405="")+(職員マスタ!$G$6:$G$405&lt;=EOMONTH($AO147,0)))&gt;0)*(((職員マスタ!$H$6:$H$405="")+(職員マスタ!$H$6:$H$405&gt;=$AO147))&gt;0)*(ROW(職員マスタ!$A$6:$A$405)-5)))&gt;0,SUMPRODUCT(MAX((職員マスタ!$A$6:$A$405=$B147)*(((職員マスタ!$G$6:$G$405="")+(職員マスタ!$G$6:$G$405&lt;=EOMONTH($AO147,0)))&gt;0)*(((職員マスタ!$H$6:$H$405="")+(職員マスタ!$H$6:$H$405&gt;=$AO147))&gt;0)*(ROW(職員マスタ!$A$6:$A$405)-5))),IFERROR(MATCH($B147,職員マスタ!$A$6:$A$405,0),"")))</f>
        <v/>
      </c>
      <c r="AO147" s="16">
        <f>IF(OR($B147="",$C147="",$D147=""),"",DATE($C147+2018,$D147,1))</f>
        <v/>
      </c>
    </row>
    <row r="148">
      <c r="A148" s="11" t="n"/>
      <c r="B148" s="12" t="n">
        <v>6301386</v>
      </c>
      <c r="C148" s="12" t="n">
        <v>7</v>
      </c>
      <c r="D148" s="12" t="n">
        <v>7</v>
      </c>
      <c r="E148" s="13" t="n">
        <v>205079</v>
      </c>
      <c r="F148" s="12" t="n"/>
      <c r="G148" s="13" t="n"/>
      <c r="H148" s="12" t="n"/>
      <c r="I148" s="12" t="n"/>
      <c r="J148" s="12" t="n"/>
      <c r="K148" s="12" t="n"/>
      <c r="L148" s="11" t="n"/>
      <c r="M148" s="11" t="n"/>
      <c r="N148" s="11" t="n"/>
      <c r="O148" s="11" t="n"/>
      <c r="P148" s="12" t="n"/>
      <c r="Q148" s="11" t="n"/>
      <c r="R148" s="12" t="n"/>
      <c r="S148" s="11" t="n"/>
      <c r="T148" s="12" t="n"/>
      <c r="U148" s="12" t="n"/>
      <c r="V148" s="14">
        <f>IF($AN148="",IF($B148="","",$H148),IF(INDEX(職員マスタ!$B$6:$B$405,$AN148)="",$H148,INDEX(職員マスタ!$B$6:$B$405,$AN148)))</f>
        <v/>
      </c>
      <c r="W148" s="14">
        <f>IF($AN148="",IF($B148="","",$R148),IF(INDEX(職員マスタ!$C$6:$C$405,$AN148)="",$R148,INDEX(職員マスタ!$C$6:$C$405,$AN148)))</f>
        <v/>
      </c>
      <c r="X148" s="14">
        <f>IF($AO148="","","R"&amp;$C148&amp;"."&amp;$D148)</f>
        <v/>
      </c>
      <c r="Y148" s="15">
        <f>IF($AN148="","",IF(INDEX(職員マスタ!$K$6:$K$405,$AN148)="","",INDEX(職員マスタ!$K$6:$K$405,$AN148)))</f>
        <v/>
      </c>
      <c r="Z148" s="14">
        <f>IF(OR($E148="",$Y148=""),"",IF($E148&gt;=$Y148,"×",IF($E148&gt;=$Y148*設定!$C$5,"△","○")))</f>
        <v/>
      </c>
      <c r="AA148" s="15">
        <f>IF($Z148="","",IF($Z148="×",0,IF($Z148="○",ROUNDDOWN($E148*設定!$C$4,0),ROUNDDOWN($E148*ROUND((9*$Y148-9*$E148)/(10*$E148),4),0))))</f>
        <v/>
      </c>
      <c r="AB148" s="13" t="n"/>
      <c r="AC148" s="15">
        <f>IF($B148="","",IF($AB148&lt;&gt;"",$AB148,IF($AA148="","",IF($AA148&lt;=設定!$C$3,0,$AA148))))</f>
        <v/>
      </c>
      <c r="AD148" s="14">
        <f>IF($B148="","",IF(AND($AE148&lt;&gt;"",$AG148="",$AJ148=""),"保留中",IF($AJ148&lt;&gt;"",IF(N($AC148)&gt;0,"支給済","不支給"),IF($AC148="","要確認",IF($AC148=0,"不支給","未処理")))))</f>
        <v/>
      </c>
      <c r="AE148" s="12" t="n"/>
      <c r="AF148" s="11" t="n"/>
      <c r="AG148" s="11" t="n"/>
      <c r="AH148" s="11" t="n"/>
      <c r="AI148" s="14">
        <f>IF(AND($AD148="保留中",$AF148&lt;&gt;""),TODAY()-$AF148,"")</f>
        <v/>
      </c>
      <c r="AJ148" s="12" t="inlineStr">
        <is>
          <t>R7.9</t>
        </is>
      </c>
      <c r="AK148" s="14">
        <f>IF($B148="","",IF($AO148="","対象年月が未入力／","")&amp;IF($B148="","",IF($AN148="","職員マスタに未登録の職員番号／",IF($Y148="","標準報酬月額が未登録／","")&amp;IF(AND($AO148&lt;&gt;"",OR(AND(INDEX(職員マスタ!$G$6:$G$405,$AN148)&lt;&gt;"",INDEX(職員マスタ!$G$6:$G$405,$AN148)&gt;EOMONTH($AO148,0)),AND(INDEX(職員マスタ!$H$6:$H$405,$AN148)&lt;&gt;"",INDEX(職員マスタ!$H$6:$H$405,$AN148)&lt;$AO148))),"対象月が時短期間外／","")&amp;IF(AND(INDEX(職員マスタ!$F$6:$F$405,$AN148)&lt;&gt;"",$AO148&lt;&gt;"",INDEX(職員マスタ!$F$6:$F$405,$AN148)&lt;$AO148),"対象月に子が2歳到達済／","")&amp;IF(AND($H148&lt;&gt;"",INDEX(職員マスタ!$B$6:$B$405,$AN148)&lt;&gt;"",SUBSTITUTE(SUBSTITUTE($H148," ","")," ","")&lt;&gt;SUBSTITUTE(SUBSTITUTE(INDEX(職員マスタ!$B$6:$B$405,$AN148)," ","")," ","")),"氏名がマスタと相違／","")&amp;IF(AND($Q148&lt;&gt;"",INDEX(職員マスタ!$E$6:$E$405,$AN148)&lt;&gt;"",$Q148&lt;&gt;INDEX(職員マスタ!$E$6:$E$405,$AN148)),"子の生年月日がマスタと相違／","")&amp;IF(AND($L148&lt;&gt;"",INDEX(職員マスタ!$G$6:$G$405,$AN148)&lt;&gt;"",$L148&lt;&gt;INDEX(職員マスタ!$G$6:$G$405,$AN148)),"時短開始日がマスタと相違／","")&amp;IF(AND($M148&lt;&gt;"",INDEX(職員マスタ!$H$6:$H$405,$AN148)&lt;&gt;"",$M148&lt;&gt;INDEX(職員マスタ!$H$6:$H$405,$AN148)),"時短終了日がマスタと相違／","")))&amp;IF(AND($B148&lt;&gt;"",$E148=""),"報酬額が未入力／","")&amp;IF(N($U148)&gt;0,"申請書に入力エラーが残っています／","")&amp;IF(AND($B148&lt;&gt;"",$AO148&lt;&gt;""),IF(COUNTIFS($B$6:$B$3005,$B148,$C$6:$C$3005,$C148,$D$6:$D$3005,$D148)&gt;1,"同じ月の請求が重複しています／",""),"")&amp;IF(AND(N($E148)&gt;0,$Z148&lt;&gt;"",$Z148&lt;&gt;"×",$AC148=0,$AB148=""),"計算額が下限以下のため不支給／",""))</f>
        <v/>
      </c>
      <c r="AL148" s="12" t="n"/>
      <c r="AM148" s="14">
        <f>IF($AD148="保留中",COUNTIF($AD$6:$AD148,"保留中"),"")</f>
        <v/>
      </c>
      <c r="AN148" s="14">
        <f>IF($AO148="","",IF(SUMPRODUCT(MAX((職員マスタ!$A$6:$A$405=$B148)*(((職員マスタ!$G$6:$G$405="")+(職員マスタ!$G$6:$G$405&lt;=EOMONTH($AO148,0)))&gt;0)*(((職員マスタ!$H$6:$H$405="")+(職員マスタ!$H$6:$H$405&gt;=$AO148))&gt;0)*(ROW(職員マスタ!$A$6:$A$405)-5)))&gt;0,SUMPRODUCT(MAX((職員マスタ!$A$6:$A$405=$B148)*(((職員マスタ!$G$6:$G$405="")+(職員マスタ!$G$6:$G$405&lt;=EOMONTH($AO148,0)))&gt;0)*(((職員マスタ!$H$6:$H$405="")+(職員マスタ!$H$6:$H$405&gt;=$AO148))&gt;0)*(ROW(職員マスタ!$A$6:$A$405)-5))),IFERROR(MATCH($B148,職員マスタ!$A$6:$A$405,0),"")))</f>
        <v/>
      </c>
      <c r="AO148" s="16">
        <f>IF(OR($B148="",$C148="",$D148=""),"",DATE($C148+2018,$D148,1))</f>
        <v/>
      </c>
    </row>
    <row r="149">
      <c r="A149" s="11" t="n"/>
      <c r="B149" s="12" t="n">
        <v>6301386</v>
      </c>
      <c r="C149" s="12" t="n">
        <v>7</v>
      </c>
      <c r="D149" s="12" t="n">
        <v>8</v>
      </c>
      <c r="E149" s="13" t="n">
        <v>208496</v>
      </c>
      <c r="F149" s="12" t="n"/>
      <c r="G149" s="13" t="n"/>
      <c r="H149" s="12" t="n"/>
      <c r="I149" s="12" t="n"/>
      <c r="J149" s="12" t="n"/>
      <c r="K149" s="12" t="n"/>
      <c r="L149" s="11" t="n"/>
      <c r="M149" s="11" t="n"/>
      <c r="N149" s="11" t="n"/>
      <c r="O149" s="11" t="n"/>
      <c r="P149" s="12" t="n"/>
      <c r="Q149" s="11" t="n"/>
      <c r="R149" s="12" t="n"/>
      <c r="S149" s="11" t="n"/>
      <c r="T149" s="12" t="n"/>
      <c r="U149" s="12" t="n"/>
      <c r="V149" s="14">
        <f>IF($AN149="",IF($B149="","",$H149),IF(INDEX(職員マスタ!$B$6:$B$405,$AN149)="",$H149,INDEX(職員マスタ!$B$6:$B$405,$AN149)))</f>
        <v/>
      </c>
      <c r="W149" s="14">
        <f>IF($AN149="",IF($B149="","",$R149),IF(INDEX(職員マスタ!$C$6:$C$405,$AN149)="",$R149,INDEX(職員マスタ!$C$6:$C$405,$AN149)))</f>
        <v/>
      </c>
      <c r="X149" s="14">
        <f>IF($AO149="","","R"&amp;$C149&amp;"."&amp;$D149)</f>
        <v/>
      </c>
      <c r="Y149" s="15">
        <f>IF($AN149="","",IF(INDEX(職員マスタ!$K$6:$K$405,$AN149)="","",INDEX(職員マスタ!$K$6:$K$405,$AN149)))</f>
        <v/>
      </c>
      <c r="Z149" s="14">
        <f>IF(OR($E149="",$Y149=""),"",IF($E149&gt;=$Y149,"×",IF($E149&gt;=$Y149*設定!$C$5,"△","○")))</f>
        <v/>
      </c>
      <c r="AA149" s="15">
        <f>IF($Z149="","",IF($Z149="×",0,IF($Z149="○",ROUNDDOWN($E149*設定!$C$4,0),ROUNDDOWN($E149*ROUND((9*$Y149-9*$E149)/(10*$E149),4),0))))</f>
        <v/>
      </c>
      <c r="AB149" s="13" t="n"/>
      <c r="AC149" s="15">
        <f>IF($B149="","",IF($AB149&lt;&gt;"",$AB149,IF($AA149="","",IF($AA149&lt;=設定!$C$3,0,$AA149))))</f>
        <v/>
      </c>
      <c r="AD149" s="14">
        <f>IF($B149="","",IF(AND($AE149&lt;&gt;"",$AG149="",$AJ149=""),"保留中",IF($AJ149&lt;&gt;"",IF(N($AC149)&gt;0,"支給済","不支給"),IF($AC149="","要確認",IF($AC149=0,"不支給","未処理")))))</f>
        <v/>
      </c>
      <c r="AE149" s="12" t="n"/>
      <c r="AF149" s="11" t="n"/>
      <c r="AG149" s="11" t="n"/>
      <c r="AH149" s="11" t="n"/>
      <c r="AI149" s="14">
        <f>IF(AND($AD149="保留中",$AF149&lt;&gt;""),TODAY()-$AF149,"")</f>
        <v/>
      </c>
      <c r="AJ149" s="12" t="inlineStr">
        <is>
          <t>R7.10</t>
        </is>
      </c>
      <c r="AK149" s="14">
        <f>IF($B149="","",IF($AO149="","対象年月が未入力／","")&amp;IF($B149="","",IF($AN149="","職員マスタに未登録の職員番号／",IF($Y149="","標準報酬月額が未登録／","")&amp;IF(AND($AO149&lt;&gt;"",OR(AND(INDEX(職員マスタ!$G$6:$G$405,$AN149)&lt;&gt;"",INDEX(職員マスタ!$G$6:$G$405,$AN149)&gt;EOMONTH($AO149,0)),AND(INDEX(職員マスタ!$H$6:$H$405,$AN149)&lt;&gt;"",INDEX(職員マスタ!$H$6:$H$405,$AN149)&lt;$AO149))),"対象月が時短期間外／","")&amp;IF(AND(INDEX(職員マスタ!$F$6:$F$405,$AN149)&lt;&gt;"",$AO149&lt;&gt;"",INDEX(職員マスタ!$F$6:$F$405,$AN149)&lt;$AO149),"対象月に子が2歳到達済／","")&amp;IF(AND($H149&lt;&gt;"",INDEX(職員マスタ!$B$6:$B$405,$AN149)&lt;&gt;"",SUBSTITUTE(SUBSTITUTE($H149," ","")," ","")&lt;&gt;SUBSTITUTE(SUBSTITUTE(INDEX(職員マスタ!$B$6:$B$405,$AN149)," ","")," ","")),"氏名がマスタと相違／","")&amp;IF(AND($Q149&lt;&gt;"",INDEX(職員マスタ!$E$6:$E$405,$AN149)&lt;&gt;"",$Q149&lt;&gt;INDEX(職員マスタ!$E$6:$E$405,$AN149)),"子の生年月日がマスタと相違／","")&amp;IF(AND($L149&lt;&gt;"",INDEX(職員マスタ!$G$6:$G$405,$AN149)&lt;&gt;"",$L149&lt;&gt;INDEX(職員マスタ!$G$6:$G$405,$AN149)),"時短開始日がマスタと相違／","")&amp;IF(AND($M149&lt;&gt;"",INDEX(職員マスタ!$H$6:$H$405,$AN149)&lt;&gt;"",$M149&lt;&gt;INDEX(職員マスタ!$H$6:$H$405,$AN149)),"時短終了日がマスタと相違／","")))&amp;IF(AND($B149&lt;&gt;"",$E149=""),"報酬額が未入力／","")&amp;IF(N($U149)&gt;0,"申請書に入力エラーが残っています／","")&amp;IF(AND($B149&lt;&gt;"",$AO149&lt;&gt;""),IF(COUNTIFS($B$6:$B$3005,$B149,$C$6:$C$3005,$C149,$D$6:$D$3005,$D149)&gt;1,"同じ月の請求が重複しています／",""),"")&amp;IF(AND(N($E149)&gt;0,$Z149&lt;&gt;"",$Z149&lt;&gt;"×",$AC149=0,$AB149=""),"計算額が下限以下のため不支給／",""))</f>
        <v/>
      </c>
      <c r="AL149" s="12" t="n"/>
      <c r="AM149" s="14">
        <f>IF($AD149="保留中",COUNTIF($AD$6:$AD149,"保留中"),"")</f>
        <v/>
      </c>
      <c r="AN149" s="14">
        <f>IF($AO149="","",IF(SUMPRODUCT(MAX((職員マスタ!$A$6:$A$405=$B149)*(((職員マスタ!$G$6:$G$405="")+(職員マスタ!$G$6:$G$405&lt;=EOMONTH($AO149,0)))&gt;0)*(((職員マスタ!$H$6:$H$405="")+(職員マスタ!$H$6:$H$405&gt;=$AO149))&gt;0)*(ROW(職員マスタ!$A$6:$A$405)-5)))&gt;0,SUMPRODUCT(MAX((職員マスタ!$A$6:$A$405=$B149)*(((職員マスタ!$G$6:$G$405="")+(職員マスタ!$G$6:$G$405&lt;=EOMONTH($AO149,0)))&gt;0)*(((職員マスタ!$H$6:$H$405="")+(職員マスタ!$H$6:$H$405&gt;=$AO149))&gt;0)*(ROW(職員マスタ!$A$6:$A$405)-5))),IFERROR(MATCH($B149,職員マスタ!$A$6:$A$405,0),"")))</f>
        <v/>
      </c>
      <c r="AO149" s="16">
        <f>IF(OR($B149="",$C149="",$D149=""),"",DATE($C149+2018,$D149,1))</f>
        <v/>
      </c>
    </row>
    <row r="150">
      <c r="A150" s="11" t="n"/>
      <c r="B150" s="12" t="n">
        <v>6301386</v>
      </c>
      <c r="C150" s="12" t="n">
        <v>7</v>
      </c>
      <c r="D150" s="12" t="n">
        <v>9</v>
      </c>
      <c r="E150" s="13" t="n">
        <v>203070</v>
      </c>
      <c r="F150" s="12" t="n"/>
      <c r="G150" s="13" t="n"/>
      <c r="H150" s="12" t="n"/>
      <c r="I150" s="12" t="n"/>
      <c r="J150" s="12" t="n"/>
      <c r="K150" s="12" t="n"/>
      <c r="L150" s="11" t="n"/>
      <c r="M150" s="11" t="n"/>
      <c r="N150" s="11" t="n"/>
      <c r="O150" s="11" t="n"/>
      <c r="P150" s="12" t="n"/>
      <c r="Q150" s="11" t="n"/>
      <c r="R150" s="12" t="n"/>
      <c r="S150" s="11" t="n"/>
      <c r="T150" s="12" t="n"/>
      <c r="U150" s="12" t="n"/>
      <c r="V150" s="14">
        <f>IF($AN150="",IF($B150="","",$H150),IF(INDEX(職員マスタ!$B$6:$B$405,$AN150)="",$H150,INDEX(職員マスタ!$B$6:$B$405,$AN150)))</f>
        <v/>
      </c>
      <c r="W150" s="14">
        <f>IF($AN150="",IF($B150="","",$R150),IF(INDEX(職員マスタ!$C$6:$C$405,$AN150)="",$R150,INDEX(職員マスタ!$C$6:$C$405,$AN150)))</f>
        <v/>
      </c>
      <c r="X150" s="14">
        <f>IF($AO150="","","R"&amp;$C150&amp;"."&amp;$D150)</f>
        <v/>
      </c>
      <c r="Y150" s="15">
        <f>IF($AN150="","",IF(INDEX(職員マスタ!$K$6:$K$405,$AN150)="","",INDEX(職員マスタ!$K$6:$K$405,$AN150)))</f>
        <v/>
      </c>
      <c r="Z150" s="14">
        <f>IF(OR($E150="",$Y150=""),"",IF($E150&gt;=$Y150,"×",IF($E150&gt;=$Y150*設定!$C$5,"△","○")))</f>
        <v/>
      </c>
      <c r="AA150" s="15">
        <f>IF($Z150="","",IF($Z150="×",0,IF($Z150="○",ROUNDDOWN($E150*設定!$C$4,0),ROUNDDOWN($E150*ROUND((9*$Y150-9*$E150)/(10*$E150),4),0))))</f>
        <v/>
      </c>
      <c r="AB150" s="13" t="n"/>
      <c r="AC150" s="15">
        <f>IF($B150="","",IF($AB150&lt;&gt;"",$AB150,IF($AA150="","",IF($AA150&lt;=設定!$C$3,0,$AA150))))</f>
        <v/>
      </c>
      <c r="AD150" s="14">
        <f>IF($B150="","",IF(AND($AE150&lt;&gt;"",$AG150="",$AJ150=""),"保留中",IF($AJ150&lt;&gt;"",IF(N($AC150)&gt;0,"支給済","不支給"),IF($AC150="","要確認",IF($AC150=0,"不支給","未処理")))))</f>
        <v/>
      </c>
      <c r="AE150" s="12" t="n"/>
      <c r="AF150" s="11" t="n"/>
      <c r="AG150" s="11" t="n"/>
      <c r="AH150" s="11" t="n"/>
      <c r="AI150" s="14">
        <f>IF(AND($AD150="保留中",$AF150&lt;&gt;""),TODAY()-$AF150,"")</f>
        <v/>
      </c>
      <c r="AJ150" s="12" t="inlineStr">
        <is>
          <t>R7.11</t>
        </is>
      </c>
      <c r="AK150" s="14">
        <f>IF($B150="","",IF($AO150="","対象年月が未入力／","")&amp;IF($B150="","",IF($AN150="","職員マスタに未登録の職員番号／",IF($Y150="","標準報酬月額が未登録／","")&amp;IF(AND($AO150&lt;&gt;"",OR(AND(INDEX(職員マスタ!$G$6:$G$405,$AN150)&lt;&gt;"",INDEX(職員マスタ!$G$6:$G$405,$AN150)&gt;EOMONTH($AO150,0)),AND(INDEX(職員マスタ!$H$6:$H$405,$AN150)&lt;&gt;"",INDEX(職員マスタ!$H$6:$H$405,$AN150)&lt;$AO150))),"対象月が時短期間外／","")&amp;IF(AND(INDEX(職員マスタ!$F$6:$F$405,$AN150)&lt;&gt;"",$AO150&lt;&gt;"",INDEX(職員マスタ!$F$6:$F$405,$AN150)&lt;$AO150),"対象月に子が2歳到達済／","")&amp;IF(AND($H150&lt;&gt;"",INDEX(職員マスタ!$B$6:$B$405,$AN150)&lt;&gt;"",SUBSTITUTE(SUBSTITUTE($H150," ","")," ","")&lt;&gt;SUBSTITUTE(SUBSTITUTE(INDEX(職員マスタ!$B$6:$B$405,$AN150)," ","")," ","")),"氏名がマスタと相違／","")&amp;IF(AND($Q150&lt;&gt;"",INDEX(職員マスタ!$E$6:$E$405,$AN150)&lt;&gt;"",$Q150&lt;&gt;INDEX(職員マスタ!$E$6:$E$405,$AN150)),"子の生年月日がマスタと相違／","")&amp;IF(AND($L150&lt;&gt;"",INDEX(職員マスタ!$G$6:$G$405,$AN150)&lt;&gt;"",$L150&lt;&gt;INDEX(職員マスタ!$G$6:$G$405,$AN150)),"時短開始日がマスタと相違／","")&amp;IF(AND($M150&lt;&gt;"",INDEX(職員マスタ!$H$6:$H$405,$AN150)&lt;&gt;"",$M150&lt;&gt;INDEX(職員マスタ!$H$6:$H$405,$AN150)),"時短終了日がマスタと相違／","")))&amp;IF(AND($B150&lt;&gt;"",$E150=""),"報酬額が未入力／","")&amp;IF(N($U150)&gt;0,"申請書に入力エラーが残っています／","")&amp;IF(AND($B150&lt;&gt;"",$AO150&lt;&gt;""),IF(COUNTIFS($B$6:$B$3005,$B150,$C$6:$C$3005,$C150,$D$6:$D$3005,$D150)&gt;1,"同じ月の請求が重複しています／",""),"")&amp;IF(AND(N($E150)&gt;0,$Z150&lt;&gt;"",$Z150&lt;&gt;"×",$AC150=0,$AB150=""),"計算額が下限以下のため不支給／",""))</f>
        <v/>
      </c>
      <c r="AL150" s="12" t="n"/>
      <c r="AM150" s="14">
        <f>IF($AD150="保留中",COUNTIF($AD$6:$AD150,"保留中"),"")</f>
        <v/>
      </c>
      <c r="AN150" s="14">
        <f>IF($AO150="","",IF(SUMPRODUCT(MAX((職員マスタ!$A$6:$A$405=$B150)*(((職員マスタ!$G$6:$G$405="")+(職員マスタ!$G$6:$G$405&lt;=EOMONTH($AO150,0)))&gt;0)*(((職員マスタ!$H$6:$H$405="")+(職員マスタ!$H$6:$H$405&gt;=$AO150))&gt;0)*(ROW(職員マスタ!$A$6:$A$405)-5)))&gt;0,SUMPRODUCT(MAX((職員マスタ!$A$6:$A$405=$B150)*(((職員マスタ!$G$6:$G$405="")+(職員マスタ!$G$6:$G$405&lt;=EOMONTH($AO150,0)))&gt;0)*(((職員マスタ!$H$6:$H$405="")+(職員マスタ!$H$6:$H$405&gt;=$AO150))&gt;0)*(ROW(職員マスタ!$A$6:$A$405)-5))),IFERROR(MATCH($B150,職員マスタ!$A$6:$A$405,0),"")))</f>
        <v/>
      </c>
      <c r="AO150" s="16">
        <f>IF(OR($B150="",$C150="",$D150=""),"",DATE($C150+2018,$D150,1))</f>
        <v/>
      </c>
    </row>
    <row r="151">
      <c r="A151" s="11" t="n"/>
      <c r="B151" s="12" t="n">
        <v>6301576</v>
      </c>
      <c r="C151" s="12" t="n">
        <v>7</v>
      </c>
      <c r="D151" s="12" t="n">
        <v>11</v>
      </c>
      <c r="E151" s="13" t="n">
        <v>287060</v>
      </c>
      <c r="F151" s="12" t="n"/>
      <c r="G151" s="13" t="n"/>
      <c r="H151" s="12" t="n"/>
      <c r="I151" s="12" t="n"/>
      <c r="J151" s="12" t="n"/>
      <c r="K151" s="12" t="n"/>
      <c r="L151" s="11" t="n"/>
      <c r="M151" s="11" t="n"/>
      <c r="N151" s="11" t="n"/>
      <c r="O151" s="11" t="n"/>
      <c r="P151" s="12" t="n"/>
      <c r="Q151" s="11" t="n"/>
      <c r="R151" s="12" t="n"/>
      <c r="S151" s="11" t="n"/>
      <c r="T151" s="12" t="n"/>
      <c r="U151" s="12" t="n"/>
      <c r="V151" s="14">
        <f>IF($AN151="",IF($B151="","",$H151),IF(INDEX(職員マスタ!$B$6:$B$405,$AN151)="",$H151,INDEX(職員マスタ!$B$6:$B$405,$AN151)))</f>
        <v/>
      </c>
      <c r="W151" s="14">
        <f>IF($AN151="",IF($B151="","",$R151),IF(INDEX(職員マスタ!$C$6:$C$405,$AN151)="",$R151,INDEX(職員マスタ!$C$6:$C$405,$AN151)))</f>
        <v/>
      </c>
      <c r="X151" s="14">
        <f>IF($AO151="","","R"&amp;$C151&amp;"."&amp;$D151)</f>
        <v/>
      </c>
      <c r="Y151" s="15">
        <f>IF($AN151="","",IF(INDEX(職員マスタ!$K$6:$K$405,$AN151)="","",INDEX(職員マスタ!$K$6:$K$405,$AN151)))</f>
        <v/>
      </c>
      <c r="Z151" s="14">
        <f>IF(OR($E151="",$Y151=""),"",IF($E151&gt;=$Y151,"×",IF($E151&gt;=$Y151*設定!$C$5,"△","○")))</f>
        <v/>
      </c>
      <c r="AA151" s="15">
        <f>IF($Z151="","",IF($Z151="×",0,IF($Z151="○",ROUNDDOWN($E151*設定!$C$4,0),ROUNDDOWN($E151*ROUND((9*$Y151-9*$E151)/(10*$E151),4),0))))</f>
        <v/>
      </c>
      <c r="AB151" s="13" t="n"/>
      <c r="AC151" s="15">
        <f>IF($B151="","",IF($AB151&lt;&gt;"",$AB151,IF($AA151="","",IF($AA151&lt;=設定!$C$3,0,$AA151))))</f>
        <v/>
      </c>
      <c r="AD151" s="14">
        <f>IF($B151="","",IF(AND($AE151&lt;&gt;"",$AG151="",$AJ151=""),"保留中",IF($AJ151&lt;&gt;"",IF(N($AC151)&gt;0,"支給済","不支給"),IF($AC151="","要確認",IF($AC151=0,"不支給","未処理")))))</f>
        <v/>
      </c>
      <c r="AE151" s="12" t="n"/>
      <c r="AF151" s="11" t="n"/>
      <c r="AG151" s="11" t="n"/>
      <c r="AH151" s="11" t="n"/>
      <c r="AI151" s="14">
        <f>IF(AND($AD151="保留中",$AF151&lt;&gt;""),TODAY()-$AF151,"")</f>
        <v/>
      </c>
      <c r="AJ151" s="12" t="inlineStr">
        <is>
          <t>R8.1</t>
        </is>
      </c>
      <c r="AK151" s="14">
        <f>IF($B151="","",IF($AO151="","対象年月が未入力／","")&amp;IF($B151="","",IF($AN151="","職員マスタに未登録の職員番号／",IF($Y151="","標準報酬月額が未登録／","")&amp;IF(AND($AO151&lt;&gt;"",OR(AND(INDEX(職員マスタ!$G$6:$G$405,$AN151)&lt;&gt;"",INDEX(職員マスタ!$G$6:$G$405,$AN151)&gt;EOMONTH($AO151,0)),AND(INDEX(職員マスタ!$H$6:$H$405,$AN151)&lt;&gt;"",INDEX(職員マスタ!$H$6:$H$405,$AN151)&lt;$AO151))),"対象月が時短期間外／","")&amp;IF(AND(INDEX(職員マスタ!$F$6:$F$405,$AN151)&lt;&gt;"",$AO151&lt;&gt;"",INDEX(職員マスタ!$F$6:$F$405,$AN151)&lt;$AO151),"対象月に子が2歳到達済／","")&amp;IF(AND($H151&lt;&gt;"",INDEX(職員マスタ!$B$6:$B$405,$AN151)&lt;&gt;"",SUBSTITUTE(SUBSTITUTE($H151," ","")," ","")&lt;&gt;SUBSTITUTE(SUBSTITUTE(INDEX(職員マスタ!$B$6:$B$405,$AN151)," ","")," ","")),"氏名がマスタと相違／","")&amp;IF(AND($Q151&lt;&gt;"",INDEX(職員マスタ!$E$6:$E$405,$AN151)&lt;&gt;"",$Q151&lt;&gt;INDEX(職員マスタ!$E$6:$E$405,$AN151)),"子の生年月日がマスタと相違／","")&amp;IF(AND($L151&lt;&gt;"",INDEX(職員マスタ!$G$6:$G$405,$AN151)&lt;&gt;"",$L151&lt;&gt;INDEX(職員マスタ!$G$6:$G$405,$AN151)),"時短開始日がマスタと相違／","")&amp;IF(AND($M151&lt;&gt;"",INDEX(職員マスタ!$H$6:$H$405,$AN151)&lt;&gt;"",$M151&lt;&gt;INDEX(職員マスタ!$H$6:$H$405,$AN151)),"時短終了日がマスタと相違／","")))&amp;IF(AND($B151&lt;&gt;"",$E151=""),"報酬額が未入力／","")&amp;IF(N($U151)&gt;0,"申請書に入力エラーが残っています／","")&amp;IF(AND($B151&lt;&gt;"",$AO151&lt;&gt;""),IF(COUNTIFS($B$6:$B$3005,$B151,$C$6:$C$3005,$C151,$D$6:$D$3005,$D151)&gt;1,"同じ月の請求が重複しています／",""),"")&amp;IF(AND(N($E151)&gt;0,$Z151&lt;&gt;"",$Z151&lt;&gt;"×",$AC151=0,$AB151=""),"計算額が下限以下のため不支給／",""))</f>
        <v/>
      </c>
      <c r="AL151" s="12" t="n"/>
      <c r="AM151" s="14">
        <f>IF($AD151="保留中",COUNTIF($AD$6:$AD151,"保留中"),"")</f>
        <v/>
      </c>
      <c r="AN151" s="14">
        <f>IF($AO151="","",IF(SUMPRODUCT(MAX((職員マスタ!$A$6:$A$405=$B151)*(((職員マスタ!$G$6:$G$405="")+(職員マスタ!$G$6:$G$405&lt;=EOMONTH($AO151,0)))&gt;0)*(((職員マスタ!$H$6:$H$405="")+(職員マスタ!$H$6:$H$405&gt;=$AO151))&gt;0)*(ROW(職員マスタ!$A$6:$A$405)-5)))&gt;0,SUMPRODUCT(MAX((職員マスタ!$A$6:$A$405=$B151)*(((職員マスタ!$G$6:$G$405="")+(職員マスタ!$G$6:$G$405&lt;=EOMONTH($AO151,0)))&gt;0)*(((職員マスタ!$H$6:$H$405="")+(職員マスタ!$H$6:$H$405&gt;=$AO151))&gt;0)*(ROW(職員マスタ!$A$6:$A$405)-5))),IFERROR(MATCH($B151,職員マスタ!$A$6:$A$405,0),"")))</f>
        <v/>
      </c>
      <c r="AO151" s="16">
        <f>IF(OR($B151="",$C151="",$D151=""),"",DATE($C151+2018,$D151,1))</f>
        <v/>
      </c>
    </row>
    <row r="152">
      <c r="A152" s="11" t="n"/>
      <c r="B152" s="12" t="n">
        <v>6301576</v>
      </c>
      <c r="C152" s="12" t="n">
        <v>7</v>
      </c>
      <c r="D152" s="12" t="n">
        <v>12</v>
      </c>
      <c r="E152" s="13" t="n">
        <v>303191</v>
      </c>
      <c r="F152" s="12" t="n"/>
      <c r="G152" s="13" t="n"/>
      <c r="H152" s="12" t="n"/>
      <c r="I152" s="12" t="n"/>
      <c r="J152" s="12" t="n"/>
      <c r="K152" s="12" t="n"/>
      <c r="L152" s="11" t="n"/>
      <c r="M152" s="11" t="n"/>
      <c r="N152" s="11" t="n"/>
      <c r="O152" s="11" t="n"/>
      <c r="P152" s="12" t="n"/>
      <c r="Q152" s="11" t="n"/>
      <c r="R152" s="12" t="n"/>
      <c r="S152" s="11" t="n"/>
      <c r="T152" s="12" t="n"/>
      <c r="U152" s="12" t="n"/>
      <c r="V152" s="14">
        <f>IF($AN152="",IF($B152="","",$H152),IF(INDEX(職員マスタ!$B$6:$B$405,$AN152)="",$H152,INDEX(職員マスタ!$B$6:$B$405,$AN152)))</f>
        <v/>
      </c>
      <c r="W152" s="14">
        <f>IF($AN152="",IF($B152="","",$R152),IF(INDEX(職員マスタ!$C$6:$C$405,$AN152)="",$R152,INDEX(職員マスタ!$C$6:$C$405,$AN152)))</f>
        <v/>
      </c>
      <c r="X152" s="14">
        <f>IF($AO152="","","R"&amp;$C152&amp;"."&amp;$D152)</f>
        <v/>
      </c>
      <c r="Y152" s="15">
        <f>IF($AN152="","",IF(INDEX(職員マスタ!$K$6:$K$405,$AN152)="","",INDEX(職員マスタ!$K$6:$K$405,$AN152)))</f>
        <v/>
      </c>
      <c r="Z152" s="14">
        <f>IF(OR($E152="",$Y152=""),"",IF($E152&gt;=$Y152,"×",IF($E152&gt;=$Y152*設定!$C$5,"△","○")))</f>
        <v/>
      </c>
      <c r="AA152" s="15">
        <f>IF($Z152="","",IF($Z152="×",0,IF($Z152="○",ROUNDDOWN($E152*設定!$C$4,0),ROUNDDOWN($E152*ROUND((9*$Y152-9*$E152)/(10*$E152),4),0))))</f>
        <v/>
      </c>
      <c r="AB152" s="13" t="n"/>
      <c r="AC152" s="15">
        <f>IF($B152="","",IF($AB152&lt;&gt;"",$AB152,IF($AA152="","",IF($AA152&lt;=設定!$C$3,0,$AA152))))</f>
        <v/>
      </c>
      <c r="AD152" s="14">
        <f>IF($B152="","",IF(AND($AE152&lt;&gt;"",$AG152="",$AJ152=""),"保留中",IF($AJ152&lt;&gt;"",IF(N($AC152)&gt;0,"支給済","不支給"),IF($AC152="","要確認",IF($AC152=0,"不支給","未処理")))))</f>
        <v/>
      </c>
      <c r="AE152" s="12" t="n"/>
      <c r="AF152" s="11" t="n"/>
      <c r="AG152" s="11" t="n"/>
      <c r="AH152" s="11" t="n"/>
      <c r="AI152" s="14">
        <f>IF(AND($AD152="保留中",$AF152&lt;&gt;""),TODAY()-$AF152,"")</f>
        <v/>
      </c>
      <c r="AJ152" s="12" t="inlineStr">
        <is>
          <t>R8.2</t>
        </is>
      </c>
      <c r="AK152" s="14">
        <f>IF($B152="","",IF($AO152="","対象年月が未入力／","")&amp;IF($B152="","",IF($AN152="","職員マスタに未登録の職員番号／",IF($Y152="","標準報酬月額が未登録／","")&amp;IF(AND($AO152&lt;&gt;"",OR(AND(INDEX(職員マスタ!$G$6:$G$405,$AN152)&lt;&gt;"",INDEX(職員マスタ!$G$6:$G$405,$AN152)&gt;EOMONTH($AO152,0)),AND(INDEX(職員マスタ!$H$6:$H$405,$AN152)&lt;&gt;"",INDEX(職員マスタ!$H$6:$H$405,$AN152)&lt;$AO152))),"対象月が時短期間外／","")&amp;IF(AND(INDEX(職員マスタ!$F$6:$F$405,$AN152)&lt;&gt;"",$AO152&lt;&gt;"",INDEX(職員マスタ!$F$6:$F$405,$AN152)&lt;$AO152),"対象月に子が2歳到達済／","")&amp;IF(AND($H152&lt;&gt;"",INDEX(職員マスタ!$B$6:$B$405,$AN152)&lt;&gt;"",SUBSTITUTE(SUBSTITUTE($H152," ","")," ","")&lt;&gt;SUBSTITUTE(SUBSTITUTE(INDEX(職員マスタ!$B$6:$B$405,$AN152)," ","")," ","")),"氏名がマスタと相違／","")&amp;IF(AND($Q152&lt;&gt;"",INDEX(職員マスタ!$E$6:$E$405,$AN152)&lt;&gt;"",$Q152&lt;&gt;INDEX(職員マスタ!$E$6:$E$405,$AN152)),"子の生年月日がマスタと相違／","")&amp;IF(AND($L152&lt;&gt;"",INDEX(職員マスタ!$G$6:$G$405,$AN152)&lt;&gt;"",$L152&lt;&gt;INDEX(職員マスタ!$G$6:$G$405,$AN152)),"時短開始日がマスタと相違／","")&amp;IF(AND($M152&lt;&gt;"",INDEX(職員マスタ!$H$6:$H$405,$AN152)&lt;&gt;"",$M152&lt;&gt;INDEX(職員マスタ!$H$6:$H$405,$AN152)),"時短終了日がマスタと相違／","")))&amp;IF(AND($B152&lt;&gt;"",$E152=""),"報酬額が未入力／","")&amp;IF(N($U152)&gt;0,"申請書に入力エラーが残っています／","")&amp;IF(AND($B152&lt;&gt;"",$AO152&lt;&gt;""),IF(COUNTIFS($B$6:$B$3005,$B152,$C$6:$C$3005,$C152,$D$6:$D$3005,$D152)&gt;1,"同じ月の請求が重複しています／",""),"")&amp;IF(AND(N($E152)&gt;0,$Z152&lt;&gt;"",$Z152&lt;&gt;"×",$AC152=0,$AB152=""),"計算額が下限以下のため不支給／",""))</f>
        <v/>
      </c>
      <c r="AL152" s="12" t="n"/>
      <c r="AM152" s="14">
        <f>IF($AD152="保留中",COUNTIF($AD$6:$AD152,"保留中"),"")</f>
        <v/>
      </c>
      <c r="AN152" s="14">
        <f>IF($AO152="","",IF(SUMPRODUCT(MAX((職員マスタ!$A$6:$A$405=$B152)*(((職員マスタ!$G$6:$G$405="")+(職員マスタ!$G$6:$G$405&lt;=EOMONTH($AO152,0)))&gt;0)*(((職員マスタ!$H$6:$H$405="")+(職員マスタ!$H$6:$H$405&gt;=$AO152))&gt;0)*(ROW(職員マスタ!$A$6:$A$405)-5)))&gt;0,SUMPRODUCT(MAX((職員マスタ!$A$6:$A$405=$B152)*(((職員マスタ!$G$6:$G$405="")+(職員マスタ!$G$6:$G$405&lt;=EOMONTH($AO152,0)))&gt;0)*(((職員マスタ!$H$6:$H$405="")+(職員マスタ!$H$6:$H$405&gt;=$AO152))&gt;0)*(ROW(職員マスタ!$A$6:$A$405)-5))),IFERROR(MATCH($B152,職員マスタ!$A$6:$A$405,0),"")))</f>
        <v/>
      </c>
      <c r="AO152" s="16">
        <f>IF(OR($B152="",$C152="",$D152=""),"",DATE($C152+2018,$D152,1))</f>
        <v/>
      </c>
    </row>
    <row r="153">
      <c r="A153" s="11" t="n"/>
      <c r="B153" s="12" t="n">
        <v>6301576</v>
      </c>
      <c r="C153" s="12" t="n">
        <v>8</v>
      </c>
      <c r="D153" s="12" t="n">
        <v>1</v>
      </c>
      <c r="E153" s="13" t="n">
        <v>294275</v>
      </c>
      <c r="F153" s="12" t="n"/>
      <c r="G153" s="13" t="n"/>
      <c r="H153" s="12" t="n"/>
      <c r="I153" s="12" t="n"/>
      <c r="J153" s="12" t="n"/>
      <c r="K153" s="12" t="n"/>
      <c r="L153" s="11" t="n"/>
      <c r="M153" s="11" t="n"/>
      <c r="N153" s="11" t="n"/>
      <c r="O153" s="11" t="n"/>
      <c r="P153" s="12" t="n"/>
      <c r="Q153" s="11" t="n"/>
      <c r="R153" s="12" t="n"/>
      <c r="S153" s="11" t="n"/>
      <c r="T153" s="12" t="n"/>
      <c r="U153" s="12" t="n"/>
      <c r="V153" s="14">
        <f>IF($AN153="",IF($B153="","",$H153),IF(INDEX(職員マスタ!$B$6:$B$405,$AN153)="",$H153,INDEX(職員マスタ!$B$6:$B$405,$AN153)))</f>
        <v/>
      </c>
      <c r="W153" s="14">
        <f>IF($AN153="",IF($B153="","",$R153),IF(INDEX(職員マスタ!$C$6:$C$405,$AN153)="",$R153,INDEX(職員マスタ!$C$6:$C$405,$AN153)))</f>
        <v/>
      </c>
      <c r="X153" s="14">
        <f>IF($AO153="","","R"&amp;$C153&amp;"."&amp;$D153)</f>
        <v/>
      </c>
      <c r="Y153" s="15">
        <f>IF($AN153="","",IF(INDEX(職員マスタ!$K$6:$K$405,$AN153)="","",INDEX(職員マスタ!$K$6:$K$405,$AN153)))</f>
        <v/>
      </c>
      <c r="Z153" s="14">
        <f>IF(OR($E153="",$Y153=""),"",IF($E153&gt;=$Y153,"×",IF($E153&gt;=$Y153*設定!$C$5,"△","○")))</f>
        <v/>
      </c>
      <c r="AA153" s="15">
        <f>IF($Z153="","",IF($Z153="×",0,IF($Z153="○",ROUNDDOWN($E153*設定!$C$4,0),ROUNDDOWN($E153*ROUND((9*$Y153-9*$E153)/(10*$E153),4),0))))</f>
        <v/>
      </c>
      <c r="AB153" s="13" t="n"/>
      <c r="AC153" s="15">
        <f>IF($B153="","",IF($AB153&lt;&gt;"",$AB153,IF($AA153="","",IF($AA153&lt;=設定!$C$3,0,$AA153))))</f>
        <v/>
      </c>
      <c r="AD153" s="14">
        <f>IF($B153="","",IF(AND($AE153&lt;&gt;"",$AG153="",$AJ153=""),"保留中",IF($AJ153&lt;&gt;"",IF(N($AC153)&gt;0,"支給済","不支給"),IF($AC153="","要確認",IF($AC153=0,"不支給","未処理")))))</f>
        <v/>
      </c>
      <c r="AE153" s="12" t="n"/>
      <c r="AF153" s="11" t="n"/>
      <c r="AG153" s="11" t="n"/>
      <c r="AH153" s="11" t="n"/>
      <c r="AI153" s="14">
        <f>IF(AND($AD153="保留中",$AF153&lt;&gt;""),TODAY()-$AF153,"")</f>
        <v/>
      </c>
      <c r="AJ153" s="12" t="inlineStr">
        <is>
          <t>R8.3</t>
        </is>
      </c>
      <c r="AK153" s="14">
        <f>IF($B153="","",IF($AO153="","対象年月が未入力／","")&amp;IF($B153="","",IF($AN153="","職員マスタに未登録の職員番号／",IF($Y153="","標準報酬月額が未登録／","")&amp;IF(AND($AO153&lt;&gt;"",OR(AND(INDEX(職員マスタ!$G$6:$G$405,$AN153)&lt;&gt;"",INDEX(職員マスタ!$G$6:$G$405,$AN153)&gt;EOMONTH($AO153,0)),AND(INDEX(職員マスタ!$H$6:$H$405,$AN153)&lt;&gt;"",INDEX(職員マスタ!$H$6:$H$405,$AN153)&lt;$AO153))),"対象月が時短期間外／","")&amp;IF(AND(INDEX(職員マスタ!$F$6:$F$405,$AN153)&lt;&gt;"",$AO153&lt;&gt;"",INDEX(職員マスタ!$F$6:$F$405,$AN153)&lt;$AO153),"対象月に子が2歳到達済／","")&amp;IF(AND($H153&lt;&gt;"",INDEX(職員マスタ!$B$6:$B$405,$AN153)&lt;&gt;"",SUBSTITUTE(SUBSTITUTE($H153," ","")," ","")&lt;&gt;SUBSTITUTE(SUBSTITUTE(INDEX(職員マスタ!$B$6:$B$405,$AN153)," ","")," ","")),"氏名がマスタと相違／","")&amp;IF(AND($Q153&lt;&gt;"",INDEX(職員マスタ!$E$6:$E$405,$AN153)&lt;&gt;"",$Q153&lt;&gt;INDEX(職員マスタ!$E$6:$E$405,$AN153)),"子の生年月日がマスタと相違／","")&amp;IF(AND($L153&lt;&gt;"",INDEX(職員マスタ!$G$6:$G$405,$AN153)&lt;&gt;"",$L153&lt;&gt;INDEX(職員マスタ!$G$6:$G$405,$AN153)),"時短開始日がマスタと相違／","")&amp;IF(AND($M153&lt;&gt;"",INDEX(職員マスタ!$H$6:$H$405,$AN153)&lt;&gt;"",$M153&lt;&gt;INDEX(職員マスタ!$H$6:$H$405,$AN153)),"時短終了日がマスタと相違／","")))&amp;IF(AND($B153&lt;&gt;"",$E153=""),"報酬額が未入力／","")&amp;IF(N($U153)&gt;0,"申請書に入力エラーが残っています／","")&amp;IF(AND($B153&lt;&gt;"",$AO153&lt;&gt;""),IF(COUNTIFS($B$6:$B$3005,$B153,$C$6:$C$3005,$C153,$D$6:$D$3005,$D153)&gt;1,"同じ月の請求が重複しています／",""),"")&amp;IF(AND(N($E153)&gt;0,$Z153&lt;&gt;"",$Z153&lt;&gt;"×",$AC153=0,$AB153=""),"計算額が下限以下のため不支給／",""))</f>
        <v/>
      </c>
      <c r="AL153" s="12" t="n"/>
      <c r="AM153" s="14">
        <f>IF($AD153="保留中",COUNTIF($AD$6:$AD153,"保留中"),"")</f>
        <v/>
      </c>
      <c r="AN153" s="14">
        <f>IF($AO153="","",IF(SUMPRODUCT(MAX((職員マスタ!$A$6:$A$405=$B153)*(((職員マスタ!$G$6:$G$405="")+(職員マスタ!$G$6:$G$405&lt;=EOMONTH($AO153,0)))&gt;0)*(((職員マスタ!$H$6:$H$405="")+(職員マスタ!$H$6:$H$405&gt;=$AO153))&gt;0)*(ROW(職員マスタ!$A$6:$A$405)-5)))&gt;0,SUMPRODUCT(MAX((職員マスタ!$A$6:$A$405=$B153)*(((職員マスタ!$G$6:$G$405="")+(職員マスタ!$G$6:$G$405&lt;=EOMONTH($AO153,0)))&gt;0)*(((職員マスタ!$H$6:$H$405="")+(職員マスタ!$H$6:$H$405&gt;=$AO153))&gt;0)*(ROW(職員マスタ!$A$6:$A$405)-5))),IFERROR(MATCH($B153,職員マスタ!$A$6:$A$405,0),"")))</f>
        <v/>
      </c>
      <c r="AO153" s="16">
        <f>IF(OR($B153="",$C153="",$D153=""),"",DATE($C153+2018,$D153,1))</f>
        <v/>
      </c>
    </row>
    <row r="154">
      <c r="A154" s="11" t="n"/>
      <c r="B154" s="12" t="n">
        <v>6301576</v>
      </c>
      <c r="C154" s="12" t="n">
        <v>8</v>
      </c>
      <c r="D154" s="12" t="n">
        <v>2</v>
      </c>
      <c r="E154" s="13" t="n">
        <v>294275</v>
      </c>
      <c r="F154" s="12" t="n"/>
      <c r="G154" s="13" t="n"/>
      <c r="H154" s="12" t="n"/>
      <c r="I154" s="12" t="n"/>
      <c r="J154" s="12" t="n"/>
      <c r="K154" s="12" t="n"/>
      <c r="L154" s="11" t="n"/>
      <c r="M154" s="11" t="n"/>
      <c r="N154" s="11" t="n"/>
      <c r="O154" s="11" t="n"/>
      <c r="P154" s="12" t="n"/>
      <c r="Q154" s="11" t="n"/>
      <c r="R154" s="12" t="n"/>
      <c r="S154" s="11" t="n"/>
      <c r="T154" s="12" t="n"/>
      <c r="U154" s="12" t="n"/>
      <c r="V154" s="14">
        <f>IF($AN154="",IF($B154="","",$H154),IF(INDEX(職員マスタ!$B$6:$B$405,$AN154)="",$H154,INDEX(職員マスタ!$B$6:$B$405,$AN154)))</f>
        <v/>
      </c>
      <c r="W154" s="14">
        <f>IF($AN154="",IF($B154="","",$R154),IF(INDEX(職員マスタ!$C$6:$C$405,$AN154)="",$R154,INDEX(職員マスタ!$C$6:$C$405,$AN154)))</f>
        <v/>
      </c>
      <c r="X154" s="14">
        <f>IF($AO154="","","R"&amp;$C154&amp;"."&amp;$D154)</f>
        <v/>
      </c>
      <c r="Y154" s="15">
        <f>IF($AN154="","",IF(INDEX(職員マスタ!$K$6:$K$405,$AN154)="","",INDEX(職員マスタ!$K$6:$K$405,$AN154)))</f>
        <v/>
      </c>
      <c r="Z154" s="14">
        <f>IF(OR($E154="",$Y154=""),"",IF($E154&gt;=$Y154,"×",IF($E154&gt;=$Y154*設定!$C$5,"△","○")))</f>
        <v/>
      </c>
      <c r="AA154" s="15">
        <f>IF($Z154="","",IF($Z154="×",0,IF($Z154="○",ROUNDDOWN($E154*設定!$C$4,0),ROUNDDOWN($E154*ROUND((9*$Y154-9*$E154)/(10*$E154),4),0))))</f>
        <v/>
      </c>
      <c r="AB154" s="13" t="n"/>
      <c r="AC154" s="15">
        <f>IF($B154="","",IF($AB154&lt;&gt;"",$AB154,IF($AA154="","",IF($AA154&lt;=設定!$C$3,0,$AA154))))</f>
        <v/>
      </c>
      <c r="AD154" s="14">
        <f>IF($B154="","",IF(AND($AE154&lt;&gt;"",$AG154="",$AJ154=""),"保留中",IF($AJ154&lt;&gt;"",IF(N($AC154)&gt;0,"支給済","不支給"),IF($AC154="","要確認",IF($AC154=0,"不支給","未処理")))))</f>
        <v/>
      </c>
      <c r="AE154" s="12" t="n"/>
      <c r="AF154" s="11" t="n"/>
      <c r="AG154" s="11" t="n"/>
      <c r="AH154" s="11" t="n"/>
      <c r="AI154" s="14">
        <f>IF(AND($AD154="保留中",$AF154&lt;&gt;""),TODAY()-$AF154,"")</f>
        <v/>
      </c>
      <c r="AJ154" s="12" t="inlineStr">
        <is>
          <t>R8.4</t>
        </is>
      </c>
      <c r="AK154" s="14">
        <f>IF($B154="","",IF($AO154="","対象年月が未入力／","")&amp;IF($B154="","",IF($AN154="","職員マスタに未登録の職員番号／",IF($Y154="","標準報酬月額が未登録／","")&amp;IF(AND($AO154&lt;&gt;"",OR(AND(INDEX(職員マスタ!$G$6:$G$405,$AN154)&lt;&gt;"",INDEX(職員マスタ!$G$6:$G$405,$AN154)&gt;EOMONTH($AO154,0)),AND(INDEX(職員マスタ!$H$6:$H$405,$AN154)&lt;&gt;"",INDEX(職員マスタ!$H$6:$H$405,$AN154)&lt;$AO154))),"対象月が時短期間外／","")&amp;IF(AND(INDEX(職員マスタ!$F$6:$F$405,$AN154)&lt;&gt;"",$AO154&lt;&gt;"",INDEX(職員マスタ!$F$6:$F$405,$AN154)&lt;$AO154),"対象月に子が2歳到達済／","")&amp;IF(AND($H154&lt;&gt;"",INDEX(職員マスタ!$B$6:$B$405,$AN154)&lt;&gt;"",SUBSTITUTE(SUBSTITUTE($H154," ","")," ","")&lt;&gt;SUBSTITUTE(SUBSTITUTE(INDEX(職員マスタ!$B$6:$B$405,$AN154)," ","")," ","")),"氏名がマスタと相違／","")&amp;IF(AND($Q154&lt;&gt;"",INDEX(職員マスタ!$E$6:$E$405,$AN154)&lt;&gt;"",$Q154&lt;&gt;INDEX(職員マスタ!$E$6:$E$405,$AN154)),"子の生年月日がマスタと相違／","")&amp;IF(AND($L154&lt;&gt;"",INDEX(職員マスタ!$G$6:$G$405,$AN154)&lt;&gt;"",$L154&lt;&gt;INDEX(職員マスタ!$G$6:$G$405,$AN154)),"時短開始日がマスタと相違／","")&amp;IF(AND($M154&lt;&gt;"",INDEX(職員マスタ!$H$6:$H$405,$AN154)&lt;&gt;"",$M154&lt;&gt;INDEX(職員マスタ!$H$6:$H$405,$AN154)),"時短終了日がマスタと相違／","")))&amp;IF(AND($B154&lt;&gt;"",$E154=""),"報酬額が未入力／","")&amp;IF(N($U154)&gt;0,"申請書に入力エラーが残っています／","")&amp;IF(AND($B154&lt;&gt;"",$AO154&lt;&gt;""),IF(COUNTIFS($B$6:$B$3005,$B154,$C$6:$C$3005,$C154,$D$6:$D$3005,$D154)&gt;1,"同じ月の請求が重複しています／",""),"")&amp;IF(AND(N($E154)&gt;0,$Z154&lt;&gt;"",$Z154&lt;&gt;"×",$AC154=0,$AB154=""),"計算額が下限以下のため不支給／",""))</f>
        <v/>
      </c>
      <c r="AL154" s="12" t="n"/>
      <c r="AM154" s="14">
        <f>IF($AD154="保留中",COUNTIF($AD$6:$AD154,"保留中"),"")</f>
        <v/>
      </c>
      <c r="AN154" s="14">
        <f>IF($AO154="","",IF(SUMPRODUCT(MAX((職員マスタ!$A$6:$A$405=$B154)*(((職員マスタ!$G$6:$G$405="")+(職員マスタ!$G$6:$G$405&lt;=EOMONTH($AO154,0)))&gt;0)*(((職員マスタ!$H$6:$H$405="")+(職員マスタ!$H$6:$H$405&gt;=$AO154))&gt;0)*(ROW(職員マスタ!$A$6:$A$405)-5)))&gt;0,SUMPRODUCT(MAX((職員マスタ!$A$6:$A$405=$B154)*(((職員マスタ!$G$6:$G$405="")+(職員マスタ!$G$6:$G$405&lt;=EOMONTH($AO154,0)))&gt;0)*(((職員マスタ!$H$6:$H$405="")+(職員マスタ!$H$6:$H$405&gt;=$AO154))&gt;0)*(ROW(職員マスタ!$A$6:$A$405)-5))),IFERROR(MATCH($B154,職員マスタ!$A$6:$A$405,0),"")))</f>
        <v/>
      </c>
      <c r="AO154" s="16">
        <f>IF(OR($B154="",$C154="",$D154=""),"",DATE($C154+2018,$D154,1))</f>
        <v/>
      </c>
    </row>
    <row r="155">
      <c r="A155" s="11" t="n"/>
      <c r="B155" s="12" t="n">
        <v>6301576</v>
      </c>
      <c r="C155" s="12" t="n">
        <v>8</v>
      </c>
      <c r="D155" s="12" t="n">
        <v>3</v>
      </c>
      <c r="E155" s="13" t="n">
        <v>294275</v>
      </c>
      <c r="F155" s="12" t="n"/>
      <c r="G155" s="13" t="n"/>
      <c r="H155" s="12" t="n"/>
      <c r="I155" s="12" t="n"/>
      <c r="J155" s="12" t="n"/>
      <c r="K155" s="12" t="n"/>
      <c r="L155" s="11" t="n"/>
      <c r="M155" s="11" t="n"/>
      <c r="N155" s="11" t="n"/>
      <c r="O155" s="11" t="n"/>
      <c r="P155" s="12" t="n"/>
      <c r="Q155" s="11" t="n"/>
      <c r="R155" s="12" t="n"/>
      <c r="S155" s="11" t="n"/>
      <c r="T155" s="12" t="n"/>
      <c r="U155" s="12" t="n"/>
      <c r="V155" s="14">
        <f>IF($AN155="",IF($B155="","",$H155),IF(INDEX(職員マスタ!$B$6:$B$405,$AN155)="",$H155,INDEX(職員マスタ!$B$6:$B$405,$AN155)))</f>
        <v/>
      </c>
      <c r="W155" s="14">
        <f>IF($AN155="",IF($B155="","",$R155),IF(INDEX(職員マスタ!$C$6:$C$405,$AN155)="",$R155,INDEX(職員マスタ!$C$6:$C$405,$AN155)))</f>
        <v/>
      </c>
      <c r="X155" s="14">
        <f>IF($AO155="","","R"&amp;$C155&amp;"."&amp;$D155)</f>
        <v/>
      </c>
      <c r="Y155" s="15">
        <f>IF($AN155="","",IF(INDEX(職員マスタ!$K$6:$K$405,$AN155)="","",INDEX(職員マスタ!$K$6:$K$405,$AN155)))</f>
        <v/>
      </c>
      <c r="Z155" s="14">
        <f>IF(OR($E155="",$Y155=""),"",IF($E155&gt;=$Y155,"×",IF($E155&gt;=$Y155*設定!$C$5,"△","○")))</f>
        <v/>
      </c>
      <c r="AA155" s="15">
        <f>IF($Z155="","",IF($Z155="×",0,IF($Z155="○",ROUNDDOWN($E155*設定!$C$4,0),ROUNDDOWN($E155*ROUND((9*$Y155-9*$E155)/(10*$E155),4),0))))</f>
        <v/>
      </c>
      <c r="AB155" s="13" t="n"/>
      <c r="AC155" s="15">
        <f>IF($B155="","",IF($AB155&lt;&gt;"",$AB155,IF($AA155="","",IF($AA155&lt;=設定!$C$3,0,$AA155))))</f>
        <v/>
      </c>
      <c r="AD155" s="14">
        <f>IF($B155="","",IF(AND($AE155&lt;&gt;"",$AG155="",$AJ155=""),"保留中",IF($AJ155&lt;&gt;"",IF(N($AC155)&gt;0,"支給済","不支給"),IF($AC155="","要確認",IF($AC155=0,"不支給","未処理")))))</f>
        <v/>
      </c>
      <c r="AE155" s="12" t="n"/>
      <c r="AF155" s="11" t="n"/>
      <c r="AG155" s="11" t="n"/>
      <c r="AH155" s="11" t="n"/>
      <c r="AI155" s="14">
        <f>IF(AND($AD155="保留中",$AF155&lt;&gt;""),TODAY()-$AF155,"")</f>
        <v/>
      </c>
      <c r="AJ155" s="12" t="inlineStr">
        <is>
          <t>R8.5</t>
        </is>
      </c>
      <c r="AK155" s="14">
        <f>IF($B155="","",IF($AO155="","対象年月が未入力／","")&amp;IF($B155="","",IF($AN155="","職員マスタに未登録の職員番号／",IF($Y155="","標準報酬月額が未登録／","")&amp;IF(AND($AO155&lt;&gt;"",OR(AND(INDEX(職員マスタ!$G$6:$G$405,$AN155)&lt;&gt;"",INDEX(職員マスタ!$G$6:$G$405,$AN155)&gt;EOMONTH($AO155,0)),AND(INDEX(職員マスタ!$H$6:$H$405,$AN155)&lt;&gt;"",INDEX(職員マスタ!$H$6:$H$405,$AN155)&lt;$AO155))),"対象月が時短期間外／","")&amp;IF(AND(INDEX(職員マスタ!$F$6:$F$405,$AN155)&lt;&gt;"",$AO155&lt;&gt;"",INDEX(職員マスタ!$F$6:$F$405,$AN155)&lt;$AO155),"対象月に子が2歳到達済／","")&amp;IF(AND($H155&lt;&gt;"",INDEX(職員マスタ!$B$6:$B$405,$AN155)&lt;&gt;"",SUBSTITUTE(SUBSTITUTE($H155," ","")," ","")&lt;&gt;SUBSTITUTE(SUBSTITUTE(INDEX(職員マスタ!$B$6:$B$405,$AN155)," ","")," ","")),"氏名がマスタと相違／","")&amp;IF(AND($Q155&lt;&gt;"",INDEX(職員マスタ!$E$6:$E$405,$AN155)&lt;&gt;"",$Q155&lt;&gt;INDEX(職員マスタ!$E$6:$E$405,$AN155)),"子の生年月日がマスタと相違／","")&amp;IF(AND($L155&lt;&gt;"",INDEX(職員マスタ!$G$6:$G$405,$AN155)&lt;&gt;"",$L155&lt;&gt;INDEX(職員マスタ!$G$6:$G$405,$AN155)),"時短開始日がマスタと相違／","")&amp;IF(AND($M155&lt;&gt;"",INDEX(職員マスタ!$H$6:$H$405,$AN155)&lt;&gt;"",$M155&lt;&gt;INDEX(職員マスタ!$H$6:$H$405,$AN155)),"時短終了日がマスタと相違／","")))&amp;IF(AND($B155&lt;&gt;"",$E155=""),"報酬額が未入力／","")&amp;IF(N($U155)&gt;0,"申請書に入力エラーが残っています／","")&amp;IF(AND($B155&lt;&gt;"",$AO155&lt;&gt;""),IF(COUNTIFS($B$6:$B$3005,$B155,$C$6:$C$3005,$C155,$D$6:$D$3005,$D155)&gt;1,"同じ月の請求が重複しています／",""),"")&amp;IF(AND(N($E155)&gt;0,$Z155&lt;&gt;"",$Z155&lt;&gt;"×",$AC155=0,$AB155=""),"計算額が下限以下のため不支給／",""))</f>
        <v/>
      </c>
      <c r="AL155" s="12" t="n"/>
      <c r="AM155" s="14">
        <f>IF($AD155="保留中",COUNTIF($AD$6:$AD155,"保留中"),"")</f>
        <v/>
      </c>
      <c r="AN155" s="14">
        <f>IF($AO155="","",IF(SUMPRODUCT(MAX((職員マスタ!$A$6:$A$405=$B155)*(((職員マスタ!$G$6:$G$405="")+(職員マスタ!$G$6:$G$405&lt;=EOMONTH($AO155,0)))&gt;0)*(((職員マスタ!$H$6:$H$405="")+(職員マスタ!$H$6:$H$405&gt;=$AO155))&gt;0)*(ROW(職員マスタ!$A$6:$A$405)-5)))&gt;0,SUMPRODUCT(MAX((職員マスタ!$A$6:$A$405=$B155)*(((職員マスタ!$G$6:$G$405="")+(職員マスタ!$G$6:$G$405&lt;=EOMONTH($AO155,0)))&gt;0)*(((職員マスタ!$H$6:$H$405="")+(職員マスタ!$H$6:$H$405&gt;=$AO155))&gt;0)*(ROW(職員マスタ!$A$6:$A$405)-5))),IFERROR(MATCH($B155,職員マスタ!$A$6:$A$405,0),"")))</f>
        <v/>
      </c>
      <c r="AO155" s="16">
        <f>IF(OR($B155="",$C155="",$D155=""),"",DATE($C155+2018,$D155,1))</f>
        <v/>
      </c>
    </row>
    <row r="156">
      <c r="A156" s="11" t="n"/>
      <c r="B156" s="12" t="n">
        <v>6402739</v>
      </c>
      <c r="C156" s="12" t="n">
        <v>8</v>
      </c>
      <c r="D156" s="12" t="n">
        <v>4</v>
      </c>
      <c r="E156" s="13" t="n">
        <v>202533</v>
      </c>
      <c r="F156" s="12" t="n"/>
      <c r="G156" s="13" t="n"/>
      <c r="H156" s="12" t="n"/>
      <c r="I156" s="12" t="n"/>
      <c r="J156" s="12" t="n"/>
      <c r="K156" s="12" t="n"/>
      <c r="L156" s="11" t="n"/>
      <c r="M156" s="11" t="n"/>
      <c r="N156" s="11" t="n"/>
      <c r="O156" s="11" t="n"/>
      <c r="P156" s="12" t="n"/>
      <c r="Q156" s="11" t="n"/>
      <c r="R156" s="12" t="n"/>
      <c r="S156" s="11" t="n"/>
      <c r="T156" s="12" t="n"/>
      <c r="U156" s="12" t="n"/>
      <c r="V156" s="14">
        <f>IF($AN156="",IF($B156="","",$H156),IF(INDEX(職員マスタ!$B$6:$B$405,$AN156)="",$H156,INDEX(職員マスタ!$B$6:$B$405,$AN156)))</f>
        <v/>
      </c>
      <c r="W156" s="14">
        <f>IF($AN156="",IF($B156="","",$R156),IF(INDEX(職員マスタ!$C$6:$C$405,$AN156)="",$R156,INDEX(職員マスタ!$C$6:$C$405,$AN156)))</f>
        <v/>
      </c>
      <c r="X156" s="14">
        <f>IF($AO156="","","R"&amp;$C156&amp;"."&amp;$D156)</f>
        <v/>
      </c>
      <c r="Y156" s="15">
        <f>IF($AN156="","",IF(INDEX(職員マスタ!$K$6:$K$405,$AN156)="","",INDEX(職員マスタ!$K$6:$K$405,$AN156)))</f>
        <v/>
      </c>
      <c r="Z156" s="14">
        <f>IF(OR($E156="",$Y156=""),"",IF($E156&gt;=$Y156,"×",IF($E156&gt;=$Y156*設定!$C$5,"△","○")))</f>
        <v/>
      </c>
      <c r="AA156" s="15">
        <f>IF($Z156="","",IF($Z156="×",0,IF($Z156="○",ROUNDDOWN($E156*設定!$C$4,0),ROUNDDOWN($E156*ROUND((9*$Y156-9*$E156)/(10*$E156),4),0))))</f>
        <v/>
      </c>
      <c r="AB156" s="13" t="n"/>
      <c r="AC156" s="15">
        <f>IF($B156="","",IF($AB156&lt;&gt;"",$AB156,IF($AA156="","",IF($AA156&lt;=設定!$C$3,0,$AA156))))</f>
        <v/>
      </c>
      <c r="AD156" s="14">
        <f>IF($B156="","",IF(AND($AE156&lt;&gt;"",$AG156="",$AJ156=""),"保留中",IF($AJ156&lt;&gt;"",IF(N($AC156)&gt;0,"支給済","不支給"),IF($AC156="","要確認",IF($AC156=0,"不支給","未処理")))))</f>
        <v/>
      </c>
      <c r="AE156" s="12" t="n"/>
      <c r="AF156" s="11" t="n"/>
      <c r="AG156" s="11" t="n"/>
      <c r="AH156" s="11" t="n"/>
      <c r="AI156" s="14">
        <f>IF(AND($AD156="保留中",$AF156&lt;&gt;""),TODAY()-$AF156,"")</f>
        <v/>
      </c>
      <c r="AJ156" s="12" t="inlineStr">
        <is>
          <t>R8.10</t>
        </is>
      </c>
      <c r="AK156" s="14">
        <f>IF($B156="","",IF($AO156="","対象年月が未入力／","")&amp;IF($B156="","",IF($AN156="","職員マスタに未登録の職員番号／",IF($Y156="","標準報酬月額が未登録／","")&amp;IF(AND($AO156&lt;&gt;"",OR(AND(INDEX(職員マスタ!$G$6:$G$405,$AN156)&lt;&gt;"",INDEX(職員マスタ!$G$6:$G$405,$AN156)&gt;EOMONTH($AO156,0)),AND(INDEX(職員マスタ!$H$6:$H$405,$AN156)&lt;&gt;"",INDEX(職員マスタ!$H$6:$H$405,$AN156)&lt;$AO156))),"対象月が時短期間外／","")&amp;IF(AND(INDEX(職員マスタ!$F$6:$F$405,$AN156)&lt;&gt;"",$AO156&lt;&gt;"",INDEX(職員マスタ!$F$6:$F$405,$AN156)&lt;$AO156),"対象月に子が2歳到達済／","")&amp;IF(AND($H156&lt;&gt;"",INDEX(職員マスタ!$B$6:$B$405,$AN156)&lt;&gt;"",SUBSTITUTE(SUBSTITUTE($H156," ","")," ","")&lt;&gt;SUBSTITUTE(SUBSTITUTE(INDEX(職員マスタ!$B$6:$B$405,$AN156)," ","")," ","")),"氏名がマスタと相違／","")&amp;IF(AND($Q156&lt;&gt;"",INDEX(職員マスタ!$E$6:$E$405,$AN156)&lt;&gt;"",$Q156&lt;&gt;INDEX(職員マスタ!$E$6:$E$405,$AN156)),"子の生年月日がマスタと相違／","")&amp;IF(AND($L156&lt;&gt;"",INDEX(職員マスタ!$G$6:$G$405,$AN156)&lt;&gt;"",$L156&lt;&gt;INDEX(職員マスタ!$G$6:$G$405,$AN156)),"時短開始日がマスタと相違／","")&amp;IF(AND($M156&lt;&gt;"",INDEX(職員マスタ!$H$6:$H$405,$AN156)&lt;&gt;"",$M156&lt;&gt;INDEX(職員マスタ!$H$6:$H$405,$AN156)),"時短終了日がマスタと相違／","")))&amp;IF(AND($B156&lt;&gt;"",$E156=""),"報酬額が未入力／","")&amp;IF(N($U156)&gt;0,"申請書に入力エラーが残っています／","")&amp;IF(AND($B156&lt;&gt;"",$AO156&lt;&gt;""),IF(COUNTIFS($B$6:$B$3005,$B156,$C$6:$C$3005,$C156,$D$6:$D$3005,$D156)&gt;1,"同じ月の請求が重複しています／",""),"")&amp;IF(AND(N($E156)&gt;0,$Z156&lt;&gt;"",$Z156&lt;&gt;"×",$AC156=0,$AB156=""),"計算額が下限以下のため不支給／",""))</f>
        <v/>
      </c>
      <c r="AL156" s="12" t="n"/>
      <c r="AM156" s="14">
        <f>IF($AD156="保留中",COUNTIF($AD$6:$AD156,"保留中"),"")</f>
        <v/>
      </c>
      <c r="AN156" s="14">
        <f>IF($AO156="","",IF(SUMPRODUCT(MAX((職員マスタ!$A$6:$A$405=$B156)*(((職員マスタ!$G$6:$G$405="")+(職員マスタ!$G$6:$G$405&lt;=EOMONTH($AO156,0)))&gt;0)*(((職員マスタ!$H$6:$H$405="")+(職員マスタ!$H$6:$H$405&gt;=$AO156))&gt;0)*(ROW(職員マスタ!$A$6:$A$405)-5)))&gt;0,SUMPRODUCT(MAX((職員マスタ!$A$6:$A$405=$B156)*(((職員マスタ!$G$6:$G$405="")+(職員マスタ!$G$6:$G$405&lt;=EOMONTH($AO156,0)))&gt;0)*(((職員マスタ!$H$6:$H$405="")+(職員マスタ!$H$6:$H$405&gt;=$AO156))&gt;0)*(ROW(職員マスタ!$A$6:$A$405)-5))),IFERROR(MATCH($B156,職員マスタ!$A$6:$A$405,0),"")))</f>
        <v/>
      </c>
      <c r="AO156" s="16">
        <f>IF(OR($B156="",$C156="",$D156=""),"",DATE($C156+2018,$D156,1))</f>
        <v/>
      </c>
    </row>
    <row r="157">
      <c r="A157" s="11" t="n"/>
      <c r="B157" s="12" t="n">
        <v>6402739</v>
      </c>
      <c r="C157" s="12" t="n">
        <v>8</v>
      </c>
      <c r="D157" s="12" t="n">
        <v>5</v>
      </c>
      <c r="E157" s="13" t="n">
        <v>210869</v>
      </c>
      <c r="F157" s="12" t="n"/>
      <c r="G157" s="13" t="n"/>
      <c r="H157" s="12" t="n"/>
      <c r="I157" s="12" t="n"/>
      <c r="J157" s="12" t="n"/>
      <c r="K157" s="12" t="n"/>
      <c r="L157" s="11" t="n"/>
      <c r="M157" s="11" t="n"/>
      <c r="N157" s="11" t="n"/>
      <c r="O157" s="11" t="n"/>
      <c r="P157" s="12" t="n"/>
      <c r="Q157" s="11" t="n"/>
      <c r="R157" s="12" t="n"/>
      <c r="S157" s="11" t="n"/>
      <c r="T157" s="12" t="n"/>
      <c r="U157" s="12" t="n"/>
      <c r="V157" s="14">
        <f>IF($AN157="",IF($B157="","",$H157),IF(INDEX(職員マスタ!$B$6:$B$405,$AN157)="",$H157,INDEX(職員マスタ!$B$6:$B$405,$AN157)))</f>
        <v/>
      </c>
      <c r="W157" s="14">
        <f>IF($AN157="",IF($B157="","",$R157),IF(INDEX(職員マスタ!$C$6:$C$405,$AN157)="",$R157,INDEX(職員マスタ!$C$6:$C$405,$AN157)))</f>
        <v/>
      </c>
      <c r="X157" s="14">
        <f>IF($AO157="","","R"&amp;$C157&amp;"."&amp;$D157)</f>
        <v/>
      </c>
      <c r="Y157" s="15">
        <f>IF($AN157="","",IF(INDEX(職員マスタ!$K$6:$K$405,$AN157)="","",INDEX(職員マスタ!$K$6:$K$405,$AN157)))</f>
        <v/>
      </c>
      <c r="Z157" s="14">
        <f>IF(OR($E157="",$Y157=""),"",IF($E157&gt;=$Y157,"×",IF($E157&gt;=$Y157*設定!$C$5,"△","○")))</f>
        <v/>
      </c>
      <c r="AA157" s="15">
        <f>IF($Z157="","",IF($Z157="×",0,IF($Z157="○",ROUNDDOWN($E157*設定!$C$4,0),ROUNDDOWN($E157*ROUND((9*$Y157-9*$E157)/(10*$E157),4),0))))</f>
        <v/>
      </c>
      <c r="AB157" s="13" t="n"/>
      <c r="AC157" s="15">
        <f>IF($B157="","",IF($AB157&lt;&gt;"",$AB157,IF($AA157="","",IF($AA157&lt;=設定!$C$3,0,$AA157))))</f>
        <v/>
      </c>
      <c r="AD157" s="14">
        <f>IF($B157="","",IF(AND($AE157&lt;&gt;"",$AG157="",$AJ157=""),"保留中",IF($AJ157&lt;&gt;"",IF(N($AC157)&gt;0,"支給済","不支給"),IF($AC157="","要確認",IF($AC157=0,"不支給","未処理")))))</f>
        <v/>
      </c>
      <c r="AE157" s="12" t="n"/>
      <c r="AF157" s="11" t="n"/>
      <c r="AG157" s="11" t="n"/>
      <c r="AH157" s="11" t="n"/>
      <c r="AI157" s="14">
        <f>IF(AND($AD157="保留中",$AF157&lt;&gt;""),TODAY()-$AF157,"")</f>
        <v/>
      </c>
      <c r="AJ157" s="12" t="inlineStr">
        <is>
          <t>R8.10</t>
        </is>
      </c>
      <c r="AK157" s="14">
        <f>IF($B157="","",IF($AO157="","対象年月が未入力／","")&amp;IF($B157="","",IF($AN157="","職員マスタに未登録の職員番号／",IF($Y157="","標準報酬月額が未登録／","")&amp;IF(AND($AO157&lt;&gt;"",OR(AND(INDEX(職員マスタ!$G$6:$G$405,$AN157)&lt;&gt;"",INDEX(職員マスタ!$G$6:$G$405,$AN157)&gt;EOMONTH($AO157,0)),AND(INDEX(職員マスタ!$H$6:$H$405,$AN157)&lt;&gt;"",INDEX(職員マスタ!$H$6:$H$405,$AN157)&lt;$AO157))),"対象月が時短期間外／","")&amp;IF(AND(INDEX(職員マスタ!$F$6:$F$405,$AN157)&lt;&gt;"",$AO157&lt;&gt;"",INDEX(職員マスタ!$F$6:$F$405,$AN157)&lt;$AO157),"対象月に子が2歳到達済／","")&amp;IF(AND($H157&lt;&gt;"",INDEX(職員マスタ!$B$6:$B$405,$AN157)&lt;&gt;"",SUBSTITUTE(SUBSTITUTE($H157," ","")," ","")&lt;&gt;SUBSTITUTE(SUBSTITUTE(INDEX(職員マスタ!$B$6:$B$405,$AN157)," ","")," ","")),"氏名がマスタと相違／","")&amp;IF(AND($Q157&lt;&gt;"",INDEX(職員マスタ!$E$6:$E$405,$AN157)&lt;&gt;"",$Q157&lt;&gt;INDEX(職員マスタ!$E$6:$E$405,$AN157)),"子の生年月日がマスタと相違／","")&amp;IF(AND($L157&lt;&gt;"",INDEX(職員マスタ!$G$6:$G$405,$AN157)&lt;&gt;"",$L157&lt;&gt;INDEX(職員マスタ!$G$6:$G$405,$AN157)),"時短開始日がマスタと相違／","")&amp;IF(AND($M157&lt;&gt;"",INDEX(職員マスタ!$H$6:$H$405,$AN157)&lt;&gt;"",$M157&lt;&gt;INDEX(職員マスタ!$H$6:$H$405,$AN157)),"時短終了日がマスタと相違／","")))&amp;IF(AND($B157&lt;&gt;"",$E157=""),"報酬額が未入力／","")&amp;IF(N($U157)&gt;0,"申請書に入力エラーが残っています／","")&amp;IF(AND($B157&lt;&gt;"",$AO157&lt;&gt;""),IF(COUNTIFS($B$6:$B$3005,$B157,$C$6:$C$3005,$C157,$D$6:$D$3005,$D157)&gt;1,"同じ月の請求が重複しています／",""),"")&amp;IF(AND(N($E157)&gt;0,$Z157&lt;&gt;"",$Z157&lt;&gt;"×",$AC157=0,$AB157=""),"計算額が下限以下のため不支給／",""))</f>
        <v/>
      </c>
      <c r="AL157" s="12" t="n"/>
      <c r="AM157" s="14">
        <f>IF($AD157="保留中",COUNTIF($AD$6:$AD157,"保留中"),"")</f>
        <v/>
      </c>
      <c r="AN157" s="14">
        <f>IF($AO157="","",IF(SUMPRODUCT(MAX((職員マスタ!$A$6:$A$405=$B157)*(((職員マスタ!$G$6:$G$405="")+(職員マスタ!$G$6:$G$405&lt;=EOMONTH($AO157,0)))&gt;0)*(((職員マスタ!$H$6:$H$405="")+(職員マスタ!$H$6:$H$405&gt;=$AO157))&gt;0)*(ROW(職員マスタ!$A$6:$A$405)-5)))&gt;0,SUMPRODUCT(MAX((職員マスタ!$A$6:$A$405=$B157)*(((職員マスタ!$G$6:$G$405="")+(職員マスタ!$G$6:$G$405&lt;=EOMONTH($AO157,0)))&gt;0)*(((職員マスタ!$H$6:$H$405="")+(職員マスタ!$H$6:$H$405&gt;=$AO157))&gt;0)*(ROW(職員マスタ!$A$6:$A$405)-5))),IFERROR(MATCH($B157,職員マスタ!$A$6:$A$405,0),"")))</f>
        <v/>
      </c>
      <c r="AO157" s="16">
        <f>IF(OR($B157="",$C157="",$D157=""),"",DATE($C157+2018,$D157,1))</f>
        <v/>
      </c>
    </row>
    <row r="158">
      <c r="A158" s="11" t="n"/>
      <c r="B158" s="12" t="n">
        <v>6402739</v>
      </c>
      <c r="C158" s="12" t="n">
        <v>8</v>
      </c>
      <c r="D158" s="12" t="n">
        <v>6</v>
      </c>
      <c r="E158" s="13" t="n">
        <v>208785</v>
      </c>
      <c r="F158" s="12" t="n"/>
      <c r="G158" s="13" t="n"/>
      <c r="H158" s="12" t="n"/>
      <c r="I158" s="12" t="n"/>
      <c r="J158" s="12" t="n"/>
      <c r="K158" s="12" t="n"/>
      <c r="L158" s="11" t="n"/>
      <c r="M158" s="11" t="n"/>
      <c r="N158" s="11" t="n"/>
      <c r="O158" s="11" t="n"/>
      <c r="P158" s="12" t="n"/>
      <c r="Q158" s="11" t="n"/>
      <c r="R158" s="12" t="n"/>
      <c r="S158" s="11" t="n"/>
      <c r="T158" s="12" t="n"/>
      <c r="U158" s="12" t="n"/>
      <c r="V158" s="14">
        <f>IF($AN158="",IF($B158="","",$H158),IF(INDEX(職員マスタ!$B$6:$B$405,$AN158)="",$H158,INDEX(職員マスタ!$B$6:$B$405,$AN158)))</f>
        <v/>
      </c>
      <c r="W158" s="14">
        <f>IF($AN158="",IF($B158="","",$R158),IF(INDEX(職員マスタ!$C$6:$C$405,$AN158)="",$R158,INDEX(職員マスタ!$C$6:$C$405,$AN158)))</f>
        <v/>
      </c>
      <c r="X158" s="14">
        <f>IF($AO158="","","R"&amp;$C158&amp;"."&amp;$D158)</f>
        <v/>
      </c>
      <c r="Y158" s="15">
        <f>IF($AN158="","",IF(INDEX(職員マスタ!$K$6:$K$405,$AN158)="","",INDEX(職員マスタ!$K$6:$K$405,$AN158)))</f>
        <v/>
      </c>
      <c r="Z158" s="14">
        <f>IF(OR($E158="",$Y158=""),"",IF($E158&gt;=$Y158,"×",IF($E158&gt;=$Y158*設定!$C$5,"△","○")))</f>
        <v/>
      </c>
      <c r="AA158" s="15">
        <f>IF($Z158="","",IF($Z158="×",0,IF($Z158="○",ROUNDDOWN($E158*設定!$C$4,0),ROUNDDOWN($E158*ROUND((9*$Y158-9*$E158)/(10*$E158),4),0))))</f>
        <v/>
      </c>
      <c r="AB158" s="13" t="n"/>
      <c r="AC158" s="15">
        <f>IF($B158="","",IF($AB158&lt;&gt;"",$AB158,IF($AA158="","",IF($AA158&lt;=設定!$C$3,0,$AA158))))</f>
        <v/>
      </c>
      <c r="AD158" s="14">
        <f>IF($B158="","",IF(AND($AE158&lt;&gt;"",$AG158="",$AJ158=""),"保留中",IF($AJ158&lt;&gt;"",IF(N($AC158)&gt;0,"支給済","不支給"),IF($AC158="","要確認",IF($AC158=0,"不支給","未処理")))))</f>
        <v/>
      </c>
      <c r="AE158" s="12" t="n"/>
      <c r="AF158" s="11" t="n"/>
      <c r="AG158" s="11" t="n"/>
      <c r="AH158" s="11" t="n"/>
      <c r="AI158" s="14">
        <f>IF(AND($AD158="保留中",$AF158&lt;&gt;""),TODAY()-$AF158,"")</f>
        <v/>
      </c>
      <c r="AJ158" s="12" t="inlineStr">
        <is>
          <t>R8.10</t>
        </is>
      </c>
      <c r="AK158" s="14">
        <f>IF($B158="","",IF($AO158="","対象年月が未入力／","")&amp;IF($B158="","",IF($AN158="","職員マスタに未登録の職員番号／",IF($Y158="","標準報酬月額が未登録／","")&amp;IF(AND($AO158&lt;&gt;"",OR(AND(INDEX(職員マスタ!$G$6:$G$405,$AN158)&lt;&gt;"",INDEX(職員マスタ!$G$6:$G$405,$AN158)&gt;EOMONTH($AO158,0)),AND(INDEX(職員マスタ!$H$6:$H$405,$AN158)&lt;&gt;"",INDEX(職員マスタ!$H$6:$H$405,$AN158)&lt;$AO158))),"対象月が時短期間外／","")&amp;IF(AND(INDEX(職員マスタ!$F$6:$F$405,$AN158)&lt;&gt;"",$AO158&lt;&gt;"",INDEX(職員マスタ!$F$6:$F$405,$AN158)&lt;$AO158),"対象月に子が2歳到達済／","")&amp;IF(AND($H158&lt;&gt;"",INDEX(職員マスタ!$B$6:$B$405,$AN158)&lt;&gt;"",SUBSTITUTE(SUBSTITUTE($H158," ","")," ","")&lt;&gt;SUBSTITUTE(SUBSTITUTE(INDEX(職員マスタ!$B$6:$B$405,$AN158)," ","")," ","")),"氏名がマスタと相違／","")&amp;IF(AND($Q158&lt;&gt;"",INDEX(職員マスタ!$E$6:$E$405,$AN158)&lt;&gt;"",$Q158&lt;&gt;INDEX(職員マスタ!$E$6:$E$405,$AN158)),"子の生年月日がマスタと相違／","")&amp;IF(AND($L158&lt;&gt;"",INDEX(職員マスタ!$G$6:$G$405,$AN158)&lt;&gt;"",$L158&lt;&gt;INDEX(職員マスタ!$G$6:$G$405,$AN158)),"時短開始日がマスタと相違／","")&amp;IF(AND($M158&lt;&gt;"",INDEX(職員マスタ!$H$6:$H$405,$AN158)&lt;&gt;"",$M158&lt;&gt;INDEX(職員マスタ!$H$6:$H$405,$AN158)),"時短終了日がマスタと相違／","")))&amp;IF(AND($B158&lt;&gt;"",$E158=""),"報酬額が未入力／","")&amp;IF(N($U158)&gt;0,"申請書に入力エラーが残っています／","")&amp;IF(AND($B158&lt;&gt;"",$AO158&lt;&gt;""),IF(COUNTIFS($B$6:$B$3005,$B158,$C$6:$C$3005,$C158,$D$6:$D$3005,$D158)&gt;1,"同じ月の請求が重複しています／",""),"")&amp;IF(AND(N($E158)&gt;0,$Z158&lt;&gt;"",$Z158&lt;&gt;"×",$AC158=0,$AB158=""),"計算額が下限以下のため不支給／",""))</f>
        <v/>
      </c>
      <c r="AL158" s="12" t="n"/>
      <c r="AM158" s="14">
        <f>IF($AD158="保留中",COUNTIF($AD$6:$AD158,"保留中"),"")</f>
        <v/>
      </c>
      <c r="AN158" s="14">
        <f>IF($AO158="","",IF(SUMPRODUCT(MAX((職員マスタ!$A$6:$A$405=$B158)*(((職員マスタ!$G$6:$G$405="")+(職員マスタ!$G$6:$G$405&lt;=EOMONTH($AO158,0)))&gt;0)*(((職員マスタ!$H$6:$H$405="")+(職員マスタ!$H$6:$H$405&gt;=$AO158))&gt;0)*(ROW(職員マスタ!$A$6:$A$405)-5)))&gt;0,SUMPRODUCT(MAX((職員マスタ!$A$6:$A$405=$B158)*(((職員マスタ!$G$6:$G$405="")+(職員マスタ!$G$6:$G$405&lt;=EOMONTH($AO158,0)))&gt;0)*(((職員マスタ!$H$6:$H$405="")+(職員マスタ!$H$6:$H$405&gt;=$AO158))&gt;0)*(ROW(職員マスタ!$A$6:$A$405)-5))),IFERROR(MATCH($B158,職員マスタ!$A$6:$A$405,0),"")))</f>
        <v/>
      </c>
      <c r="AO158" s="16">
        <f>IF(OR($B158="",$C158="",$D158=""),"",DATE($C158+2018,$D158,1))</f>
        <v/>
      </c>
    </row>
    <row r="159">
      <c r="A159" s="11" t="n"/>
      <c r="B159" s="12" t="n">
        <v>6402739</v>
      </c>
      <c r="C159" s="12" t="n">
        <v>8</v>
      </c>
      <c r="D159" s="12" t="n">
        <v>7</v>
      </c>
      <c r="E159" s="13" t="n">
        <v>202533</v>
      </c>
      <c r="F159" s="12" t="n"/>
      <c r="G159" s="13" t="n"/>
      <c r="H159" s="12" t="n"/>
      <c r="I159" s="12" t="n"/>
      <c r="J159" s="12" t="n"/>
      <c r="K159" s="12" t="n"/>
      <c r="L159" s="11" t="n"/>
      <c r="M159" s="11" t="n"/>
      <c r="N159" s="11" t="n"/>
      <c r="O159" s="11" t="n"/>
      <c r="P159" s="12" t="n"/>
      <c r="Q159" s="11" t="n"/>
      <c r="R159" s="12" t="n"/>
      <c r="S159" s="11" t="n"/>
      <c r="T159" s="12" t="n"/>
      <c r="U159" s="12" t="n"/>
      <c r="V159" s="14">
        <f>IF($AN159="",IF($B159="","",$H159),IF(INDEX(職員マスタ!$B$6:$B$405,$AN159)="",$H159,INDEX(職員マスタ!$B$6:$B$405,$AN159)))</f>
        <v/>
      </c>
      <c r="W159" s="14">
        <f>IF($AN159="",IF($B159="","",$R159),IF(INDEX(職員マスタ!$C$6:$C$405,$AN159)="",$R159,INDEX(職員マスタ!$C$6:$C$405,$AN159)))</f>
        <v/>
      </c>
      <c r="X159" s="14">
        <f>IF($AO159="","","R"&amp;$C159&amp;"."&amp;$D159)</f>
        <v/>
      </c>
      <c r="Y159" s="15">
        <f>IF($AN159="","",IF(INDEX(職員マスタ!$K$6:$K$405,$AN159)="","",INDEX(職員マスタ!$K$6:$K$405,$AN159)))</f>
        <v/>
      </c>
      <c r="Z159" s="14">
        <f>IF(OR($E159="",$Y159=""),"",IF($E159&gt;=$Y159,"×",IF($E159&gt;=$Y159*設定!$C$5,"△","○")))</f>
        <v/>
      </c>
      <c r="AA159" s="15">
        <f>IF($Z159="","",IF($Z159="×",0,IF($Z159="○",ROUNDDOWN($E159*設定!$C$4,0),ROUNDDOWN($E159*ROUND((9*$Y159-9*$E159)/(10*$E159),4),0))))</f>
        <v/>
      </c>
      <c r="AB159" s="13" t="n"/>
      <c r="AC159" s="15">
        <f>IF($B159="","",IF($AB159&lt;&gt;"",$AB159,IF($AA159="","",IF($AA159&lt;=設定!$C$3,0,$AA159))))</f>
        <v/>
      </c>
      <c r="AD159" s="14">
        <f>IF($B159="","",IF(AND($AE159&lt;&gt;"",$AG159="",$AJ159=""),"保留中",IF($AJ159&lt;&gt;"",IF(N($AC159)&gt;0,"支給済","不支給"),IF($AC159="","要確認",IF($AC159=0,"不支給","未処理")))))</f>
        <v/>
      </c>
      <c r="AE159" s="12" t="n"/>
      <c r="AF159" s="11" t="n"/>
      <c r="AG159" s="11" t="n"/>
      <c r="AH159" s="11" t="n"/>
      <c r="AI159" s="14">
        <f>IF(AND($AD159="保留中",$AF159&lt;&gt;""),TODAY()-$AF159,"")</f>
        <v/>
      </c>
      <c r="AJ159" s="12" t="inlineStr">
        <is>
          <t>R8.10</t>
        </is>
      </c>
      <c r="AK159" s="14">
        <f>IF($B159="","",IF($AO159="","対象年月が未入力／","")&amp;IF($B159="","",IF($AN159="","職員マスタに未登録の職員番号／",IF($Y159="","標準報酬月額が未登録／","")&amp;IF(AND($AO159&lt;&gt;"",OR(AND(INDEX(職員マスタ!$G$6:$G$405,$AN159)&lt;&gt;"",INDEX(職員マスタ!$G$6:$G$405,$AN159)&gt;EOMONTH($AO159,0)),AND(INDEX(職員マスタ!$H$6:$H$405,$AN159)&lt;&gt;"",INDEX(職員マスタ!$H$6:$H$405,$AN159)&lt;$AO159))),"対象月が時短期間外／","")&amp;IF(AND(INDEX(職員マスタ!$F$6:$F$405,$AN159)&lt;&gt;"",$AO159&lt;&gt;"",INDEX(職員マスタ!$F$6:$F$405,$AN159)&lt;$AO159),"対象月に子が2歳到達済／","")&amp;IF(AND($H159&lt;&gt;"",INDEX(職員マスタ!$B$6:$B$405,$AN159)&lt;&gt;"",SUBSTITUTE(SUBSTITUTE($H159," ","")," ","")&lt;&gt;SUBSTITUTE(SUBSTITUTE(INDEX(職員マスタ!$B$6:$B$405,$AN159)," ","")," ","")),"氏名がマスタと相違／","")&amp;IF(AND($Q159&lt;&gt;"",INDEX(職員マスタ!$E$6:$E$405,$AN159)&lt;&gt;"",$Q159&lt;&gt;INDEX(職員マスタ!$E$6:$E$405,$AN159)),"子の生年月日がマスタと相違／","")&amp;IF(AND($L159&lt;&gt;"",INDEX(職員マスタ!$G$6:$G$405,$AN159)&lt;&gt;"",$L159&lt;&gt;INDEX(職員マスタ!$G$6:$G$405,$AN159)),"時短開始日がマスタと相違／","")&amp;IF(AND($M159&lt;&gt;"",INDEX(職員マスタ!$H$6:$H$405,$AN159)&lt;&gt;"",$M159&lt;&gt;INDEX(職員マスタ!$H$6:$H$405,$AN159)),"時短終了日がマスタと相違／","")))&amp;IF(AND($B159&lt;&gt;"",$E159=""),"報酬額が未入力／","")&amp;IF(N($U159)&gt;0,"申請書に入力エラーが残っています／","")&amp;IF(AND($B159&lt;&gt;"",$AO159&lt;&gt;""),IF(COUNTIFS($B$6:$B$3005,$B159,$C$6:$C$3005,$C159,$D$6:$D$3005,$D159)&gt;1,"同じ月の請求が重複しています／",""),"")&amp;IF(AND(N($E159)&gt;0,$Z159&lt;&gt;"",$Z159&lt;&gt;"×",$AC159=0,$AB159=""),"計算額が下限以下のため不支給／",""))</f>
        <v/>
      </c>
      <c r="AL159" s="12" t="n"/>
      <c r="AM159" s="14">
        <f>IF($AD159="保留中",COUNTIF($AD$6:$AD159,"保留中"),"")</f>
        <v/>
      </c>
      <c r="AN159" s="14">
        <f>IF($AO159="","",IF(SUMPRODUCT(MAX((職員マスタ!$A$6:$A$405=$B159)*(((職員マスタ!$G$6:$G$405="")+(職員マスタ!$G$6:$G$405&lt;=EOMONTH($AO159,0)))&gt;0)*(((職員マスタ!$H$6:$H$405="")+(職員マスタ!$H$6:$H$405&gt;=$AO159))&gt;0)*(ROW(職員マスタ!$A$6:$A$405)-5)))&gt;0,SUMPRODUCT(MAX((職員マスタ!$A$6:$A$405=$B159)*(((職員マスタ!$G$6:$G$405="")+(職員マスタ!$G$6:$G$405&lt;=EOMONTH($AO159,0)))&gt;0)*(((職員マスタ!$H$6:$H$405="")+(職員マスタ!$H$6:$H$405&gt;=$AO159))&gt;0)*(ROW(職員マスタ!$A$6:$A$405)-5))),IFERROR(MATCH($B159,職員マスタ!$A$6:$A$405,0),"")))</f>
        <v/>
      </c>
      <c r="AO159" s="16">
        <f>IF(OR($B159="",$C159="",$D159=""),"",DATE($C159+2018,$D159,1))</f>
        <v/>
      </c>
    </row>
    <row r="160">
      <c r="A160" s="11" t="n"/>
      <c r="B160" s="12" t="n">
        <v>6402739</v>
      </c>
      <c r="C160" s="12" t="n">
        <v>8</v>
      </c>
      <c r="D160" s="12" t="n">
        <v>8</v>
      </c>
      <c r="E160" s="13" t="n">
        <v>206701</v>
      </c>
      <c r="F160" s="12" t="n"/>
      <c r="G160" s="13" t="n"/>
      <c r="H160" s="12" t="n"/>
      <c r="I160" s="12" t="n"/>
      <c r="J160" s="12" t="n"/>
      <c r="K160" s="12" t="n"/>
      <c r="L160" s="11" t="n"/>
      <c r="M160" s="11" t="n"/>
      <c r="N160" s="11" t="n"/>
      <c r="O160" s="11" t="n"/>
      <c r="P160" s="12" t="n"/>
      <c r="Q160" s="11" t="n"/>
      <c r="R160" s="12" t="n"/>
      <c r="S160" s="11" t="n"/>
      <c r="T160" s="12" t="n"/>
      <c r="U160" s="12" t="n"/>
      <c r="V160" s="14">
        <f>IF($AN160="",IF($B160="","",$H160),IF(INDEX(職員マスタ!$B$6:$B$405,$AN160)="",$H160,INDEX(職員マスタ!$B$6:$B$405,$AN160)))</f>
        <v/>
      </c>
      <c r="W160" s="14">
        <f>IF($AN160="",IF($B160="","",$R160),IF(INDEX(職員マスタ!$C$6:$C$405,$AN160)="",$R160,INDEX(職員マスタ!$C$6:$C$405,$AN160)))</f>
        <v/>
      </c>
      <c r="X160" s="14">
        <f>IF($AO160="","","R"&amp;$C160&amp;"."&amp;$D160)</f>
        <v/>
      </c>
      <c r="Y160" s="15">
        <f>IF($AN160="","",IF(INDEX(職員マスタ!$K$6:$K$405,$AN160)="","",INDEX(職員マスタ!$K$6:$K$405,$AN160)))</f>
        <v/>
      </c>
      <c r="Z160" s="14">
        <f>IF(OR($E160="",$Y160=""),"",IF($E160&gt;=$Y160,"×",IF($E160&gt;=$Y160*設定!$C$5,"△","○")))</f>
        <v/>
      </c>
      <c r="AA160" s="15">
        <f>IF($Z160="","",IF($Z160="×",0,IF($Z160="○",ROUNDDOWN($E160*設定!$C$4,0),ROUNDDOWN($E160*ROUND((9*$Y160-9*$E160)/(10*$E160),4),0))))</f>
        <v/>
      </c>
      <c r="AB160" s="13" t="n"/>
      <c r="AC160" s="15">
        <f>IF($B160="","",IF($AB160&lt;&gt;"",$AB160,IF($AA160="","",IF($AA160&lt;=設定!$C$3,0,$AA160))))</f>
        <v/>
      </c>
      <c r="AD160" s="14">
        <f>IF($B160="","",IF(AND($AE160&lt;&gt;"",$AG160="",$AJ160=""),"保留中",IF($AJ160&lt;&gt;"",IF(N($AC160)&gt;0,"支給済","不支給"),IF($AC160="","要確認",IF($AC160=0,"不支給","未処理")))))</f>
        <v/>
      </c>
      <c r="AE160" s="12" t="n"/>
      <c r="AF160" s="11" t="n"/>
      <c r="AG160" s="11" t="n"/>
      <c r="AH160" s="11" t="n"/>
      <c r="AI160" s="14">
        <f>IF(AND($AD160="保留中",$AF160&lt;&gt;""),TODAY()-$AF160,"")</f>
        <v/>
      </c>
      <c r="AJ160" s="12" t="inlineStr">
        <is>
          <t>R8.10</t>
        </is>
      </c>
      <c r="AK160" s="14">
        <f>IF($B160="","",IF($AO160="","対象年月が未入力／","")&amp;IF($B160="","",IF($AN160="","職員マスタに未登録の職員番号／",IF($Y160="","標準報酬月額が未登録／","")&amp;IF(AND($AO160&lt;&gt;"",OR(AND(INDEX(職員マスタ!$G$6:$G$405,$AN160)&lt;&gt;"",INDEX(職員マスタ!$G$6:$G$405,$AN160)&gt;EOMONTH($AO160,0)),AND(INDEX(職員マスタ!$H$6:$H$405,$AN160)&lt;&gt;"",INDEX(職員マスタ!$H$6:$H$405,$AN160)&lt;$AO160))),"対象月が時短期間外／","")&amp;IF(AND(INDEX(職員マスタ!$F$6:$F$405,$AN160)&lt;&gt;"",$AO160&lt;&gt;"",INDEX(職員マスタ!$F$6:$F$405,$AN160)&lt;$AO160),"対象月に子が2歳到達済／","")&amp;IF(AND($H160&lt;&gt;"",INDEX(職員マスタ!$B$6:$B$405,$AN160)&lt;&gt;"",SUBSTITUTE(SUBSTITUTE($H160," ","")," ","")&lt;&gt;SUBSTITUTE(SUBSTITUTE(INDEX(職員マスタ!$B$6:$B$405,$AN160)," ","")," ","")),"氏名がマスタと相違／","")&amp;IF(AND($Q160&lt;&gt;"",INDEX(職員マスタ!$E$6:$E$405,$AN160)&lt;&gt;"",$Q160&lt;&gt;INDEX(職員マスタ!$E$6:$E$405,$AN160)),"子の生年月日がマスタと相違／","")&amp;IF(AND($L160&lt;&gt;"",INDEX(職員マスタ!$G$6:$G$405,$AN160)&lt;&gt;"",$L160&lt;&gt;INDEX(職員マスタ!$G$6:$G$405,$AN160)),"時短開始日がマスタと相違／","")&amp;IF(AND($M160&lt;&gt;"",INDEX(職員マスタ!$H$6:$H$405,$AN160)&lt;&gt;"",$M160&lt;&gt;INDEX(職員マスタ!$H$6:$H$405,$AN160)),"時短終了日がマスタと相違／","")))&amp;IF(AND($B160&lt;&gt;"",$E160=""),"報酬額が未入力／","")&amp;IF(N($U160)&gt;0,"申請書に入力エラーが残っています／","")&amp;IF(AND($B160&lt;&gt;"",$AO160&lt;&gt;""),IF(COUNTIFS($B$6:$B$3005,$B160,$C$6:$C$3005,$C160,$D$6:$D$3005,$D160)&gt;1,"同じ月の請求が重複しています／",""),"")&amp;IF(AND(N($E160)&gt;0,$Z160&lt;&gt;"",$Z160&lt;&gt;"×",$AC160=0,$AB160=""),"計算額が下限以下のため不支給／",""))</f>
        <v/>
      </c>
      <c r="AL160" s="12" t="n"/>
      <c r="AM160" s="14">
        <f>IF($AD160="保留中",COUNTIF($AD$6:$AD160,"保留中"),"")</f>
        <v/>
      </c>
      <c r="AN160" s="14">
        <f>IF($AO160="","",IF(SUMPRODUCT(MAX((職員マスタ!$A$6:$A$405=$B160)*(((職員マスタ!$G$6:$G$405="")+(職員マスタ!$G$6:$G$405&lt;=EOMONTH($AO160,0)))&gt;0)*(((職員マスタ!$H$6:$H$405="")+(職員マスタ!$H$6:$H$405&gt;=$AO160))&gt;0)*(ROW(職員マスタ!$A$6:$A$405)-5)))&gt;0,SUMPRODUCT(MAX((職員マスタ!$A$6:$A$405=$B160)*(((職員マスタ!$G$6:$G$405="")+(職員マスタ!$G$6:$G$405&lt;=EOMONTH($AO160,0)))&gt;0)*(((職員マスタ!$H$6:$H$405="")+(職員マスタ!$H$6:$H$405&gt;=$AO160))&gt;0)*(ROW(職員マスタ!$A$6:$A$405)-5))),IFERROR(MATCH($B160,職員マスタ!$A$6:$A$405,0),"")))</f>
        <v/>
      </c>
      <c r="AO160" s="16">
        <f>IF(OR($B160="",$C160="",$D160=""),"",DATE($C160+2018,$D160,1))</f>
        <v/>
      </c>
    </row>
    <row r="161">
      <c r="A161" s="11" t="n"/>
      <c r="B161" s="12" t="n">
        <v>6402829</v>
      </c>
      <c r="C161" s="12" t="n">
        <v>7</v>
      </c>
      <c r="D161" s="12" t="n">
        <v>4</v>
      </c>
      <c r="E161" s="13" t="n">
        <v>115817</v>
      </c>
      <c r="F161" s="12" t="n"/>
      <c r="G161" s="13" t="n"/>
      <c r="H161" s="12" t="n"/>
      <c r="I161" s="12" t="n"/>
      <c r="J161" s="12" t="n"/>
      <c r="K161" s="12" t="n"/>
      <c r="L161" s="11" t="n"/>
      <c r="M161" s="11" t="n"/>
      <c r="N161" s="11" t="n"/>
      <c r="O161" s="11" t="n"/>
      <c r="P161" s="12" t="n"/>
      <c r="Q161" s="11" t="n"/>
      <c r="R161" s="12" t="n"/>
      <c r="S161" s="11" t="n"/>
      <c r="T161" s="12" t="n"/>
      <c r="U161" s="12" t="n"/>
      <c r="V161" s="14">
        <f>IF($AN161="",IF($B161="","",$H161),IF(INDEX(職員マスタ!$B$6:$B$405,$AN161)="",$H161,INDEX(職員マスタ!$B$6:$B$405,$AN161)))</f>
        <v/>
      </c>
      <c r="W161" s="14">
        <f>IF($AN161="",IF($B161="","",$R161),IF(INDEX(職員マスタ!$C$6:$C$405,$AN161)="",$R161,INDEX(職員マスタ!$C$6:$C$405,$AN161)))</f>
        <v/>
      </c>
      <c r="X161" s="14">
        <f>IF($AO161="","","R"&amp;$C161&amp;"."&amp;$D161)</f>
        <v/>
      </c>
      <c r="Y161" s="15">
        <f>IF($AN161="","",IF(INDEX(職員マスタ!$K$6:$K$405,$AN161)="","",INDEX(職員マスタ!$K$6:$K$405,$AN161)))</f>
        <v/>
      </c>
      <c r="Z161" s="14">
        <f>IF(OR($E161="",$Y161=""),"",IF($E161&gt;=$Y161,"×",IF($E161&gt;=$Y161*設定!$C$5,"△","○")))</f>
        <v/>
      </c>
      <c r="AA161" s="15">
        <f>IF($Z161="","",IF($Z161="×",0,IF($Z161="○",ROUNDDOWN($E161*設定!$C$4,0),ROUNDDOWN($E161*ROUND((9*$Y161-9*$E161)/(10*$E161),4),0))))</f>
        <v/>
      </c>
      <c r="AB161" s="13" t="n"/>
      <c r="AC161" s="15">
        <f>IF($B161="","",IF($AB161&lt;&gt;"",$AB161,IF($AA161="","",IF($AA161&lt;=設定!$C$3,0,$AA161))))</f>
        <v/>
      </c>
      <c r="AD161" s="14">
        <f>IF($B161="","",IF(AND($AE161&lt;&gt;"",$AG161="",$AJ161=""),"保留中",IF($AJ161&lt;&gt;"",IF(N($AC161)&gt;0,"支給済","不支給"),IF($AC161="","要確認",IF($AC161=0,"不支給","未処理")))))</f>
        <v/>
      </c>
      <c r="AE161" s="12" t="n"/>
      <c r="AF161" s="11" t="n"/>
      <c r="AG161" s="11" t="n"/>
      <c r="AH161" s="11" t="n"/>
      <c r="AI161" s="14">
        <f>IF(AND($AD161="保留中",$AF161&lt;&gt;""),TODAY()-$AF161,"")</f>
        <v/>
      </c>
      <c r="AJ161" s="12" t="inlineStr">
        <is>
          <t>R7.8</t>
        </is>
      </c>
      <c r="AK161" s="14">
        <f>IF($B161="","",IF($AO161="","対象年月が未入力／","")&amp;IF($B161="","",IF($AN161="","職員マスタに未登録の職員番号／",IF($Y161="","標準報酬月額が未登録／","")&amp;IF(AND($AO161&lt;&gt;"",OR(AND(INDEX(職員マスタ!$G$6:$G$405,$AN161)&lt;&gt;"",INDEX(職員マスタ!$G$6:$G$405,$AN161)&gt;EOMONTH($AO161,0)),AND(INDEX(職員マスタ!$H$6:$H$405,$AN161)&lt;&gt;"",INDEX(職員マスタ!$H$6:$H$405,$AN161)&lt;$AO161))),"対象月が時短期間外／","")&amp;IF(AND(INDEX(職員マスタ!$F$6:$F$405,$AN161)&lt;&gt;"",$AO161&lt;&gt;"",INDEX(職員マスタ!$F$6:$F$405,$AN161)&lt;$AO161),"対象月に子が2歳到達済／","")&amp;IF(AND($H161&lt;&gt;"",INDEX(職員マスタ!$B$6:$B$405,$AN161)&lt;&gt;"",SUBSTITUTE(SUBSTITUTE($H161," ","")," ","")&lt;&gt;SUBSTITUTE(SUBSTITUTE(INDEX(職員マスタ!$B$6:$B$405,$AN161)," ","")," ","")),"氏名がマスタと相違／","")&amp;IF(AND($Q161&lt;&gt;"",INDEX(職員マスタ!$E$6:$E$405,$AN161)&lt;&gt;"",$Q161&lt;&gt;INDEX(職員マスタ!$E$6:$E$405,$AN161)),"子の生年月日がマスタと相違／","")&amp;IF(AND($L161&lt;&gt;"",INDEX(職員マスタ!$G$6:$G$405,$AN161)&lt;&gt;"",$L161&lt;&gt;INDEX(職員マスタ!$G$6:$G$405,$AN161)),"時短開始日がマスタと相違／","")&amp;IF(AND($M161&lt;&gt;"",INDEX(職員マスタ!$H$6:$H$405,$AN161)&lt;&gt;"",$M161&lt;&gt;INDEX(職員マスタ!$H$6:$H$405,$AN161)),"時短終了日がマスタと相違／","")))&amp;IF(AND($B161&lt;&gt;"",$E161=""),"報酬額が未入力／","")&amp;IF(N($U161)&gt;0,"申請書に入力エラーが残っています／","")&amp;IF(AND($B161&lt;&gt;"",$AO161&lt;&gt;""),IF(COUNTIFS($B$6:$B$3005,$B161,$C$6:$C$3005,$C161,$D$6:$D$3005,$D161)&gt;1,"同じ月の請求が重複しています／",""),"")&amp;IF(AND(N($E161)&gt;0,$Z161&lt;&gt;"",$Z161&lt;&gt;"×",$AC161=0,$AB161=""),"計算額が下限以下のため不支給／",""))</f>
        <v/>
      </c>
      <c r="AL161" s="12" t="n"/>
      <c r="AM161" s="14">
        <f>IF($AD161="保留中",COUNTIF($AD$6:$AD161,"保留中"),"")</f>
        <v/>
      </c>
      <c r="AN161" s="14">
        <f>IF($AO161="","",IF(SUMPRODUCT(MAX((職員マスタ!$A$6:$A$405=$B161)*(((職員マスタ!$G$6:$G$405="")+(職員マスタ!$G$6:$G$405&lt;=EOMONTH($AO161,0)))&gt;0)*(((職員マスタ!$H$6:$H$405="")+(職員マスタ!$H$6:$H$405&gt;=$AO161))&gt;0)*(ROW(職員マスタ!$A$6:$A$405)-5)))&gt;0,SUMPRODUCT(MAX((職員マスタ!$A$6:$A$405=$B161)*(((職員マスタ!$G$6:$G$405="")+(職員マスタ!$G$6:$G$405&lt;=EOMONTH($AO161,0)))&gt;0)*(((職員マスタ!$H$6:$H$405="")+(職員マスタ!$H$6:$H$405&gt;=$AO161))&gt;0)*(ROW(職員マスタ!$A$6:$A$405)-5))),IFERROR(MATCH($B161,職員マスタ!$A$6:$A$405,0),"")))</f>
        <v/>
      </c>
      <c r="AO161" s="16">
        <f>IF(OR($B161="",$C161="",$D161=""),"",DATE($C161+2018,$D161,1))</f>
        <v/>
      </c>
    </row>
    <row r="162">
      <c r="A162" s="11" t="n"/>
      <c r="B162" s="12" t="n">
        <v>6402829</v>
      </c>
      <c r="C162" s="12" t="n">
        <v>7</v>
      </c>
      <c r="D162" s="12" t="n">
        <v>5</v>
      </c>
      <c r="E162" s="13" t="n">
        <v>198927</v>
      </c>
      <c r="F162" s="12" t="n"/>
      <c r="G162" s="13" t="n"/>
      <c r="H162" s="12" t="n"/>
      <c r="I162" s="12" t="n"/>
      <c r="J162" s="12" t="n"/>
      <c r="K162" s="12" t="n"/>
      <c r="L162" s="11" t="n"/>
      <c r="M162" s="11" t="n"/>
      <c r="N162" s="11" t="n"/>
      <c r="O162" s="11" t="n"/>
      <c r="P162" s="12" t="n"/>
      <c r="Q162" s="11" t="n"/>
      <c r="R162" s="12" t="n"/>
      <c r="S162" s="11" t="n"/>
      <c r="T162" s="12" t="n"/>
      <c r="U162" s="12" t="n"/>
      <c r="V162" s="14">
        <f>IF($AN162="",IF($B162="","",$H162),IF(INDEX(職員マスタ!$B$6:$B$405,$AN162)="",$H162,INDEX(職員マスタ!$B$6:$B$405,$AN162)))</f>
        <v/>
      </c>
      <c r="W162" s="14">
        <f>IF($AN162="",IF($B162="","",$R162),IF(INDEX(職員マスタ!$C$6:$C$405,$AN162)="",$R162,INDEX(職員マスタ!$C$6:$C$405,$AN162)))</f>
        <v/>
      </c>
      <c r="X162" s="14">
        <f>IF($AO162="","","R"&amp;$C162&amp;"."&amp;$D162)</f>
        <v/>
      </c>
      <c r="Y162" s="15">
        <f>IF($AN162="","",IF(INDEX(職員マスタ!$K$6:$K$405,$AN162)="","",INDEX(職員マスタ!$K$6:$K$405,$AN162)))</f>
        <v/>
      </c>
      <c r="Z162" s="14">
        <f>IF(OR($E162="",$Y162=""),"",IF($E162&gt;=$Y162,"×",IF($E162&gt;=$Y162*設定!$C$5,"△","○")))</f>
        <v/>
      </c>
      <c r="AA162" s="15">
        <f>IF($Z162="","",IF($Z162="×",0,IF($Z162="○",ROUNDDOWN($E162*設定!$C$4,0),ROUNDDOWN($E162*ROUND((9*$Y162-9*$E162)/(10*$E162),4),0))))</f>
        <v/>
      </c>
      <c r="AB162" s="13" t="n"/>
      <c r="AC162" s="15">
        <f>IF($B162="","",IF($AB162&lt;&gt;"",$AB162,IF($AA162="","",IF($AA162&lt;=設定!$C$3,0,$AA162))))</f>
        <v/>
      </c>
      <c r="AD162" s="14">
        <f>IF($B162="","",IF(AND($AE162&lt;&gt;"",$AG162="",$AJ162=""),"保留中",IF($AJ162&lt;&gt;"",IF(N($AC162)&gt;0,"支給済","不支給"),IF($AC162="","要確認",IF($AC162=0,"不支給","未処理")))))</f>
        <v/>
      </c>
      <c r="AE162" s="12" t="n"/>
      <c r="AF162" s="11" t="n"/>
      <c r="AG162" s="11" t="n"/>
      <c r="AH162" s="11" t="n"/>
      <c r="AI162" s="14">
        <f>IF(AND($AD162="保留中",$AF162&lt;&gt;""),TODAY()-$AF162,"")</f>
        <v/>
      </c>
      <c r="AJ162" s="12" t="inlineStr">
        <is>
          <t>R7.8</t>
        </is>
      </c>
      <c r="AK162" s="14">
        <f>IF($B162="","",IF($AO162="","対象年月が未入力／","")&amp;IF($B162="","",IF($AN162="","職員マスタに未登録の職員番号／",IF($Y162="","標準報酬月額が未登録／","")&amp;IF(AND($AO162&lt;&gt;"",OR(AND(INDEX(職員マスタ!$G$6:$G$405,$AN162)&lt;&gt;"",INDEX(職員マスタ!$G$6:$G$405,$AN162)&gt;EOMONTH($AO162,0)),AND(INDEX(職員マスタ!$H$6:$H$405,$AN162)&lt;&gt;"",INDEX(職員マスタ!$H$6:$H$405,$AN162)&lt;$AO162))),"対象月が時短期間外／","")&amp;IF(AND(INDEX(職員マスタ!$F$6:$F$405,$AN162)&lt;&gt;"",$AO162&lt;&gt;"",INDEX(職員マスタ!$F$6:$F$405,$AN162)&lt;$AO162),"対象月に子が2歳到達済／","")&amp;IF(AND($H162&lt;&gt;"",INDEX(職員マスタ!$B$6:$B$405,$AN162)&lt;&gt;"",SUBSTITUTE(SUBSTITUTE($H162," ","")," ","")&lt;&gt;SUBSTITUTE(SUBSTITUTE(INDEX(職員マスタ!$B$6:$B$405,$AN162)," ","")," ","")),"氏名がマスタと相違／","")&amp;IF(AND($Q162&lt;&gt;"",INDEX(職員マスタ!$E$6:$E$405,$AN162)&lt;&gt;"",$Q162&lt;&gt;INDEX(職員マスタ!$E$6:$E$405,$AN162)),"子の生年月日がマスタと相違／","")&amp;IF(AND($L162&lt;&gt;"",INDEX(職員マスタ!$G$6:$G$405,$AN162)&lt;&gt;"",$L162&lt;&gt;INDEX(職員マスタ!$G$6:$G$405,$AN162)),"時短開始日がマスタと相違／","")&amp;IF(AND($M162&lt;&gt;"",INDEX(職員マスタ!$H$6:$H$405,$AN162)&lt;&gt;"",$M162&lt;&gt;INDEX(職員マスタ!$H$6:$H$405,$AN162)),"時短終了日がマスタと相違／","")))&amp;IF(AND($B162&lt;&gt;"",$E162=""),"報酬額が未入力／","")&amp;IF(N($U162)&gt;0,"申請書に入力エラーが残っています／","")&amp;IF(AND($B162&lt;&gt;"",$AO162&lt;&gt;""),IF(COUNTIFS($B$6:$B$3005,$B162,$C$6:$C$3005,$C162,$D$6:$D$3005,$D162)&gt;1,"同じ月の請求が重複しています／",""),"")&amp;IF(AND(N($E162)&gt;0,$Z162&lt;&gt;"",$Z162&lt;&gt;"×",$AC162=0,$AB162=""),"計算額が下限以下のため不支給／",""))</f>
        <v/>
      </c>
      <c r="AL162" s="12" t="n"/>
      <c r="AM162" s="14">
        <f>IF($AD162="保留中",COUNTIF($AD$6:$AD162,"保留中"),"")</f>
        <v/>
      </c>
      <c r="AN162" s="14">
        <f>IF($AO162="","",IF(SUMPRODUCT(MAX((職員マスタ!$A$6:$A$405=$B162)*(((職員マスタ!$G$6:$G$405="")+(職員マスタ!$G$6:$G$405&lt;=EOMONTH($AO162,0)))&gt;0)*(((職員マスタ!$H$6:$H$405="")+(職員マスタ!$H$6:$H$405&gt;=$AO162))&gt;0)*(ROW(職員マスタ!$A$6:$A$405)-5)))&gt;0,SUMPRODUCT(MAX((職員マスタ!$A$6:$A$405=$B162)*(((職員マスタ!$G$6:$G$405="")+(職員マスタ!$G$6:$G$405&lt;=EOMONTH($AO162,0)))&gt;0)*(((職員マスタ!$H$6:$H$405="")+(職員マスタ!$H$6:$H$405&gt;=$AO162))&gt;0)*(ROW(職員マスタ!$A$6:$A$405)-5))),IFERROR(MATCH($B162,職員マスタ!$A$6:$A$405,0),"")))</f>
        <v/>
      </c>
      <c r="AO162" s="16">
        <f>IF(OR($B162="",$C162="",$D162=""),"",DATE($C162+2018,$D162,1))</f>
        <v/>
      </c>
    </row>
    <row r="163">
      <c r="A163" s="11" t="n"/>
      <c r="B163" s="12" t="n">
        <v>6402829</v>
      </c>
      <c r="C163" s="12" t="n">
        <v>7</v>
      </c>
      <c r="D163" s="12" t="n">
        <v>6</v>
      </c>
      <c r="E163" s="13" t="n">
        <v>203025</v>
      </c>
      <c r="F163" s="12" t="n"/>
      <c r="G163" s="13" t="n"/>
      <c r="H163" s="12" t="n"/>
      <c r="I163" s="12" t="n"/>
      <c r="J163" s="12" t="n"/>
      <c r="K163" s="12" t="n"/>
      <c r="L163" s="11" t="n"/>
      <c r="M163" s="11" t="n"/>
      <c r="N163" s="11" t="n"/>
      <c r="O163" s="11" t="n"/>
      <c r="P163" s="12" t="n"/>
      <c r="Q163" s="11" t="n"/>
      <c r="R163" s="12" t="n"/>
      <c r="S163" s="11" t="n"/>
      <c r="T163" s="12" t="n"/>
      <c r="U163" s="12" t="n"/>
      <c r="V163" s="14">
        <f>IF($AN163="",IF($B163="","",$H163),IF(INDEX(職員マスタ!$B$6:$B$405,$AN163)="",$H163,INDEX(職員マスタ!$B$6:$B$405,$AN163)))</f>
        <v/>
      </c>
      <c r="W163" s="14">
        <f>IF($AN163="",IF($B163="","",$R163),IF(INDEX(職員マスタ!$C$6:$C$405,$AN163)="",$R163,INDEX(職員マスタ!$C$6:$C$405,$AN163)))</f>
        <v/>
      </c>
      <c r="X163" s="14">
        <f>IF($AO163="","","R"&amp;$C163&amp;"."&amp;$D163)</f>
        <v/>
      </c>
      <c r="Y163" s="15">
        <f>IF($AN163="","",IF(INDEX(職員マスタ!$K$6:$K$405,$AN163)="","",INDEX(職員マスタ!$K$6:$K$405,$AN163)))</f>
        <v/>
      </c>
      <c r="Z163" s="14">
        <f>IF(OR($E163="",$Y163=""),"",IF($E163&gt;=$Y163,"×",IF($E163&gt;=$Y163*設定!$C$5,"△","○")))</f>
        <v/>
      </c>
      <c r="AA163" s="15">
        <f>IF($Z163="","",IF($Z163="×",0,IF($Z163="○",ROUNDDOWN($E163*設定!$C$4,0),ROUNDDOWN($E163*ROUND((9*$Y163-9*$E163)/(10*$E163),4),0))))</f>
        <v/>
      </c>
      <c r="AB163" s="13" t="n"/>
      <c r="AC163" s="15">
        <f>IF($B163="","",IF($AB163&lt;&gt;"",$AB163,IF($AA163="","",IF($AA163&lt;=設定!$C$3,0,$AA163))))</f>
        <v/>
      </c>
      <c r="AD163" s="14">
        <f>IF($B163="","",IF(AND($AE163&lt;&gt;"",$AG163="",$AJ163=""),"保留中",IF($AJ163&lt;&gt;"",IF(N($AC163)&gt;0,"支給済","不支給"),IF($AC163="","要確認",IF($AC163=0,"不支給","未処理")))))</f>
        <v/>
      </c>
      <c r="AE163" s="12" t="n"/>
      <c r="AF163" s="11" t="n"/>
      <c r="AG163" s="11" t="n"/>
      <c r="AH163" s="11" t="n"/>
      <c r="AI163" s="14">
        <f>IF(AND($AD163="保留中",$AF163&lt;&gt;""),TODAY()-$AF163,"")</f>
        <v/>
      </c>
      <c r="AJ163" s="12" t="inlineStr">
        <is>
          <t>R7.8</t>
        </is>
      </c>
      <c r="AK163" s="14">
        <f>IF($B163="","",IF($AO163="","対象年月が未入力／","")&amp;IF($B163="","",IF($AN163="","職員マスタに未登録の職員番号／",IF($Y163="","標準報酬月額が未登録／","")&amp;IF(AND($AO163&lt;&gt;"",OR(AND(INDEX(職員マスタ!$G$6:$G$405,$AN163)&lt;&gt;"",INDEX(職員マスタ!$G$6:$G$405,$AN163)&gt;EOMONTH($AO163,0)),AND(INDEX(職員マスタ!$H$6:$H$405,$AN163)&lt;&gt;"",INDEX(職員マスタ!$H$6:$H$405,$AN163)&lt;$AO163))),"対象月が時短期間外／","")&amp;IF(AND(INDEX(職員マスタ!$F$6:$F$405,$AN163)&lt;&gt;"",$AO163&lt;&gt;"",INDEX(職員マスタ!$F$6:$F$405,$AN163)&lt;$AO163),"対象月に子が2歳到達済／","")&amp;IF(AND($H163&lt;&gt;"",INDEX(職員マスタ!$B$6:$B$405,$AN163)&lt;&gt;"",SUBSTITUTE(SUBSTITUTE($H163," ","")," ","")&lt;&gt;SUBSTITUTE(SUBSTITUTE(INDEX(職員マスタ!$B$6:$B$405,$AN163)," ","")," ","")),"氏名がマスタと相違／","")&amp;IF(AND($Q163&lt;&gt;"",INDEX(職員マスタ!$E$6:$E$405,$AN163)&lt;&gt;"",$Q163&lt;&gt;INDEX(職員マスタ!$E$6:$E$405,$AN163)),"子の生年月日がマスタと相違／","")&amp;IF(AND($L163&lt;&gt;"",INDEX(職員マスタ!$G$6:$G$405,$AN163)&lt;&gt;"",$L163&lt;&gt;INDEX(職員マスタ!$G$6:$G$405,$AN163)),"時短開始日がマスタと相違／","")&amp;IF(AND($M163&lt;&gt;"",INDEX(職員マスタ!$H$6:$H$405,$AN163)&lt;&gt;"",$M163&lt;&gt;INDEX(職員マスタ!$H$6:$H$405,$AN163)),"時短終了日がマスタと相違／","")))&amp;IF(AND($B163&lt;&gt;"",$E163=""),"報酬額が未入力／","")&amp;IF(N($U163)&gt;0,"申請書に入力エラーが残っています／","")&amp;IF(AND($B163&lt;&gt;"",$AO163&lt;&gt;""),IF(COUNTIFS($B$6:$B$3005,$B163,$C$6:$C$3005,$C163,$D$6:$D$3005,$D163)&gt;1,"同じ月の請求が重複しています／",""),"")&amp;IF(AND(N($E163)&gt;0,$Z163&lt;&gt;"",$Z163&lt;&gt;"×",$AC163=0,$AB163=""),"計算額が下限以下のため不支給／",""))</f>
        <v/>
      </c>
      <c r="AL163" s="12" t="n"/>
      <c r="AM163" s="14">
        <f>IF($AD163="保留中",COUNTIF($AD$6:$AD163,"保留中"),"")</f>
        <v/>
      </c>
      <c r="AN163" s="14">
        <f>IF($AO163="","",IF(SUMPRODUCT(MAX((職員マスタ!$A$6:$A$405=$B163)*(((職員マスタ!$G$6:$G$405="")+(職員マスタ!$G$6:$G$405&lt;=EOMONTH($AO163,0)))&gt;0)*(((職員マスタ!$H$6:$H$405="")+(職員マスタ!$H$6:$H$405&gt;=$AO163))&gt;0)*(ROW(職員マスタ!$A$6:$A$405)-5)))&gt;0,SUMPRODUCT(MAX((職員マスタ!$A$6:$A$405=$B163)*(((職員マスタ!$G$6:$G$405="")+(職員マスタ!$G$6:$G$405&lt;=EOMONTH($AO163,0)))&gt;0)*(((職員マスタ!$H$6:$H$405="")+(職員マスタ!$H$6:$H$405&gt;=$AO163))&gt;0)*(ROW(職員マスタ!$A$6:$A$405)-5))),IFERROR(MATCH($B163,職員マスタ!$A$6:$A$405,0),"")))</f>
        <v/>
      </c>
      <c r="AO163" s="16">
        <f>IF(OR($B163="",$C163="",$D163=""),"",DATE($C163+2018,$D163,1))</f>
        <v/>
      </c>
    </row>
    <row r="164">
      <c r="A164" s="11" t="n"/>
      <c r="B164" s="12" t="n">
        <v>6402829</v>
      </c>
      <c r="C164" s="12" t="n">
        <v>7</v>
      </c>
      <c r="D164" s="12" t="n">
        <v>7</v>
      </c>
      <c r="E164" s="13" t="n">
        <v>201059</v>
      </c>
      <c r="F164" s="12" t="n"/>
      <c r="G164" s="13" t="n"/>
      <c r="H164" s="12" t="n"/>
      <c r="I164" s="12" t="n"/>
      <c r="J164" s="12" t="n"/>
      <c r="K164" s="12" t="n"/>
      <c r="L164" s="11" t="n"/>
      <c r="M164" s="11" t="n"/>
      <c r="N164" s="11" t="n"/>
      <c r="O164" s="11" t="n"/>
      <c r="P164" s="12" t="n"/>
      <c r="Q164" s="11" t="n"/>
      <c r="R164" s="12" t="n"/>
      <c r="S164" s="11" t="n"/>
      <c r="T164" s="12" t="n"/>
      <c r="U164" s="12" t="n"/>
      <c r="V164" s="14">
        <f>IF($AN164="",IF($B164="","",$H164),IF(INDEX(職員マスタ!$B$6:$B$405,$AN164)="",$H164,INDEX(職員マスタ!$B$6:$B$405,$AN164)))</f>
        <v/>
      </c>
      <c r="W164" s="14">
        <f>IF($AN164="",IF($B164="","",$R164),IF(INDEX(職員マスタ!$C$6:$C$405,$AN164)="",$R164,INDEX(職員マスタ!$C$6:$C$405,$AN164)))</f>
        <v/>
      </c>
      <c r="X164" s="14">
        <f>IF($AO164="","","R"&amp;$C164&amp;"."&amp;$D164)</f>
        <v/>
      </c>
      <c r="Y164" s="15">
        <f>IF($AN164="","",IF(INDEX(職員マスタ!$K$6:$K$405,$AN164)="","",INDEX(職員マスタ!$K$6:$K$405,$AN164)))</f>
        <v/>
      </c>
      <c r="Z164" s="14">
        <f>IF(OR($E164="",$Y164=""),"",IF($E164&gt;=$Y164,"×",IF($E164&gt;=$Y164*設定!$C$5,"△","○")))</f>
        <v/>
      </c>
      <c r="AA164" s="15">
        <f>IF($Z164="","",IF($Z164="×",0,IF($Z164="○",ROUNDDOWN($E164*設定!$C$4,0),ROUNDDOWN($E164*ROUND((9*$Y164-9*$E164)/(10*$E164),4),0))))</f>
        <v/>
      </c>
      <c r="AB164" s="13" t="n"/>
      <c r="AC164" s="15">
        <f>IF($B164="","",IF($AB164&lt;&gt;"",$AB164,IF($AA164="","",IF($AA164&lt;=設定!$C$3,0,$AA164))))</f>
        <v/>
      </c>
      <c r="AD164" s="14">
        <f>IF($B164="","",IF(AND($AE164&lt;&gt;"",$AG164="",$AJ164=""),"保留中",IF($AJ164&lt;&gt;"",IF(N($AC164)&gt;0,"支給済","不支給"),IF($AC164="","要確認",IF($AC164=0,"不支給","未処理")))))</f>
        <v/>
      </c>
      <c r="AE164" s="12" t="n"/>
      <c r="AF164" s="11" t="n"/>
      <c r="AG164" s="11" t="n"/>
      <c r="AH164" s="11" t="n"/>
      <c r="AI164" s="14">
        <f>IF(AND($AD164="保留中",$AF164&lt;&gt;""),TODAY()-$AF164,"")</f>
        <v/>
      </c>
      <c r="AJ164" s="12" t="inlineStr">
        <is>
          <t>R7.9</t>
        </is>
      </c>
      <c r="AK164" s="14">
        <f>IF($B164="","",IF($AO164="","対象年月が未入力／","")&amp;IF($B164="","",IF($AN164="","職員マスタに未登録の職員番号／",IF($Y164="","標準報酬月額が未登録／","")&amp;IF(AND($AO164&lt;&gt;"",OR(AND(INDEX(職員マスタ!$G$6:$G$405,$AN164)&lt;&gt;"",INDEX(職員マスタ!$G$6:$G$405,$AN164)&gt;EOMONTH($AO164,0)),AND(INDEX(職員マスタ!$H$6:$H$405,$AN164)&lt;&gt;"",INDEX(職員マスタ!$H$6:$H$405,$AN164)&lt;$AO164))),"対象月が時短期間外／","")&amp;IF(AND(INDEX(職員マスタ!$F$6:$F$405,$AN164)&lt;&gt;"",$AO164&lt;&gt;"",INDEX(職員マスタ!$F$6:$F$405,$AN164)&lt;$AO164),"対象月に子が2歳到達済／","")&amp;IF(AND($H164&lt;&gt;"",INDEX(職員マスタ!$B$6:$B$405,$AN164)&lt;&gt;"",SUBSTITUTE(SUBSTITUTE($H164," ","")," ","")&lt;&gt;SUBSTITUTE(SUBSTITUTE(INDEX(職員マスタ!$B$6:$B$405,$AN164)," ","")," ","")),"氏名がマスタと相違／","")&amp;IF(AND($Q164&lt;&gt;"",INDEX(職員マスタ!$E$6:$E$405,$AN164)&lt;&gt;"",$Q164&lt;&gt;INDEX(職員マスタ!$E$6:$E$405,$AN164)),"子の生年月日がマスタと相違／","")&amp;IF(AND($L164&lt;&gt;"",INDEX(職員マスタ!$G$6:$G$405,$AN164)&lt;&gt;"",$L164&lt;&gt;INDEX(職員マスタ!$G$6:$G$405,$AN164)),"時短開始日がマスタと相違／","")&amp;IF(AND($M164&lt;&gt;"",INDEX(職員マスタ!$H$6:$H$405,$AN164)&lt;&gt;"",$M164&lt;&gt;INDEX(職員マスタ!$H$6:$H$405,$AN164)),"時短終了日がマスタと相違／","")))&amp;IF(AND($B164&lt;&gt;"",$E164=""),"報酬額が未入力／","")&amp;IF(N($U164)&gt;0,"申請書に入力エラーが残っています／","")&amp;IF(AND($B164&lt;&gt;"",$AO164&lt;&gt;""),IF(COUNTIFS($B$6:$B$3005,$B164,$C$6:$C$3005,$C164,$D$6:$D$3005,$D164)&gt;1,"同じ月の請求が重複しています／",""),"")&amp;IF(AND(N($E164)&gt;0,$Z164&lt;&gt;"",$Z164&lt;&gt;"×",$AC164=0,$AB164=""),"計算額が下限以下のため不支給／",""))</f>
        <v/>
      </c>
      <c r="AL164" s="12" t="n"/>
      <c r="AM164" s="14">
        <f>IF($AD164="保留中",COUNTIF($AD$6:$AD164,"保留中"),"")</f>
        <v/>
      </c>
      <c r="AN164" s="14">
        <f>IF($AO164="","",IF(SUMPRODUCT(MAX((職員マスタ!$A$6:$A$405=$B164)*(((職員マスタ!$G$6:$G$405="")+(職員マスタ!$G$6:$G$405&lt;=EOMONTH($AO164,0)))&gt;0)*(((職員マスタ!$H$6:$H$405="")+(職員マスタ!$H$6:$H$405&gt;=$AO164))&gt;0)*(ROW(職員マスタ!$A$6:$A$405)-5)))&gt;0,SUMPRODUCT(MAX((職員マスタ!$A$6:$A$405=$B164)*(((職員マスタ!$G$6:$G$405="")+(職員マスタ!$G$6:$G$405&lt;=EOMONTH($AO164,0)))&gt;0)*(((職員マスタ!$H$6:$H$405="")+(職員マスタ!$H$6:$H$405&gt;=$AO164))&gt;0)*(ROW(職員マスタ!$A$6:$A$405)-5))),IFERROR(MATCH($B164,職員マスタ!$A$6:$A$405,0),"")))</f>
        <v/>
      </c>
      <c r="AO164" s="16">
        <f>IF(OR($B164="",$C164="",$D164=""),"",DATE($C164+2018,$D164,1))</f>
        <v/>
      </c>
    </row>
    <row r="165">
      <c r="A165" s="11" t="n"/>
      <c r="B165" s="12" t="n">
        <v>6402829</v>
      </c>
      <c r="C165" s="12" t="n">
        <v>7</v>
      </c>
      <c r="D165" s="12" t="n">
        <v>8</v>
      </c>
      <c r="E165" s="13" t="n">
        <v>199093</v>
      </c>
      <c r="F165" s="12" t="n"/>
      <c r="G165" s="13" t="n"/>
      <c r="H165" s="12" t="n"/>
      <c r="I165" s="12" t="n"/>
      <c r="J165" s="12" t="n"/>
      <c r="K165" s="12" t="n"/>
      <c r="L165" s="11" t="n"/>
      <c r="M165" s="11" t="n"/>
      <c r="N165" s="11" t="n"/>
      <c r="O165" s="11" t="n"/>
      <c r="P165" s="12" t="n"/>
      <c r="Q165" s="11" t="n"/>
      <c r="R165" s="12" t="n"/>
      <c r="S165" s="11" t="n"/>
      <c r="T165" s="12" t="n"/>
      <c r="U165" s="12" t="n"/>
      <c r="V165" s="14">
        <f>IF($AN165="",IF($B165="","",$H165),IF(INDEX(職員マスタ!$B$6:$B$405,$AN165)="",$H165,INDEX(職員マスタ!$B$6:$B$405,$AN165)))</f>
        <v/>
      </c>
      <c r="W165" s="14">
        <f>IF($AN165="",IF($B165="","",$R165),IF(INDEX(職員マスタ!$C$6:$C$405,$AN165)="",$R165,INDEX(職員マスタ!$C$6:$C$405,$AN165)))</f>
        <v/>
      </c>
      <c r="X165" s="14">
        <f>IF($AO165="","","R"&amp;$C165&amp;"."&amp;$D165)</f>
        <v/>
      </c>
      <c r="Y165" s="15">
        <f>IF($AN165="","",IF(INDEX(職員マスタ!$K$6:$K$405,$AN165)="","",INDEX(職員マスタ!$K$6:$K$405,$AN165)))</f>
        <v/>
      </c>
      <c r="Z165" s="14">
        <f>IF(OR($E165="",$Y165=""),"",IF($E165&gt;=$Y165,"×",IF($E165&gt;=$Y165*設定!$C$5,"△","○")))</f>
        <v/>
      </c>
      <c r="AA165" s="15">
        <f>IF($Z165="","",IF($Z165="×",0,IF($Z165="○",ROUNDDOWN($E165*設定!$C$4,0),ROUNDDOWN($E165*ROUND((9*$Y165-9*$E165)/(10*$E165),4),0))))</f>
        <v/>
      </c>
      <c r="AB165" s="13" t="n"/>
      <c r="AC165" s="15">
        <f>IF($B165="","",IF($AB165&lt;&gt;"",$AB165,IF($AA165="","",IF($AA165&lt;=設定!$C$3,0,$AA165))))</f>
        <v/>
      </c>
      <c r="AD165" s="14">
        <f>IF($B165="","",IF(AND($AE165&lt;&gt;"",$AG165="",$AJ165=""),"保留中",IF($AJ165&lt;&gt;"",IF(N($AC165)&gt;0,"支給済","不支給"),IF($AC165="","要確認",IF($AC165=0,"不支給","未処理")))))</f>
        <v/>
      </c>
      <c r="AE165" s="12" t="n"/>
      <c r="AF165" s="11" t="n"/>
      <c r="AG165" s="11" t="n"/>
      <c r="AH165" s="11" t="n"/>
      <c r="AI165" s="14">
        <f>IF(AND($AD165="保留中",$AF165&lt;&gt;""),TODAY()-$AF165,"")</f>
        <v/>
      </c>
      <c r="AJ165" s="12" t="inlineStr">
        <is>
          <t>R7.10</t>
        </is>
      </c>
      <c r="AK165" s="14">
        <f>IF($B165="","",IF($AO165="","対象年月が未入力／","")&amp;IF($B165="","",IF($AN165="","職員マスタに未登録の職員番号／",IF($Y165="","標準報酬月額が未登録／","")&amp;IF(AND($AO165&lt;&gt;"",OR(AND(INDEX(職員マスタ!$G$6:$G$405,$AN165)&lt;&gt;"",INDEX(職員マスタ!$G$6:$G$405,$AN165)&gt;EOMONTH($AO165,0)),AND(INDEX(職員マスタ!$H$6:$H$405,$AN165)&lt;&gt;"",INDEX(職員マスタ!$H$6:$H$405,$AN165)&lt;$AO165))),"対象月が時短期間外／","")&amp;IF(AND(INDEX(職員マスタ!$F$6:$F$405,$AN165)&lt;&gt;"",$AO165&lt;&gt;"",INDEX(職員マスタ!$F$6:$F$405,$AN165)&lt;$AO165),"対象月に子が2歳到達済／","")&amp;IF(AND($H165&lt;&gt;"",INDEX(職員マスタ!$B$6:$B$405,$AN165)&lt;&gt;"",SUBSTITUTE(SUBSTITUTE($H165," ","")," ","")&lt;&gt;SUBSTITUTE(SUBSTITUTE(INDEX(職員マスタ!$B$6:$B$405,$AN165)," ","")," ","")),"氏名がマスタと相違／","")&amp;IF(AND($Q165&lt;&gt;"",INDEX(職員マスタ!$E$6:$E$405,$AN165)&lt;&gt;"",$Q165&lt;&gt;INDEX(職員マスタ!$E$6:$E$405,$AN165)),"子の生年月日がマスタと相違／","")&amp;IF(AND($L165&lt;&gt;"",INDEX(職員マスタ!$G$6:$G$405,$AN165)&lt;&gt;"",$L165&lt;&gt;INDEX(職員マスタ!$G$6:$G$405,$AN165)),"時短開始日がマスタと相違／","")&amp;IF(AND($M165&lt;&gt;"",INDEX(職員マスタ!$H$6:$H$405,$AN165)&lt;&gt;"",$M165&lt;&gt;INDEX(職員マスタ!$H$6:$H$405,$AN165)),"時短終了日がマスタと相違／","")))&amp;IF(AND($B165&lt;&gt;"",$E165=""),"報酬額が未入力／","")&amp;IF(N($U165)&gt;0,"申請書に入力エラーが残っています／","")&amp;IF(AND($B165&lt;&gt;"",$AO165&lt;&gt;""),IF(COUNTIFS($B$6:$B$3005,$B165,$C$6:$C$3005,$C165,$D$6:$D$3005,$D165)&gt;1,"同じ月の請求が重複しています／",""),"")&amp;IF(AND(N($E165)&gt;0,$Z165&lt;&gt;"",$Z165&lt;&gt;"×",$AC165=0,$AB165=""),"計算額が下限以下のため不支給／",""))</f>
        <v/>
      </c>
      <c r="AL165" s="12" t="n"/>
      <c r="AM165" s="14">
        <f>IF($AD165="保留中",COUNTIF($AD$6:$AD165,"保留中"),"")</f>
        <v/>
      </c>
      <c r="AN165" s="14">
        <f>IF($AO165="","",IF(SUMPRODUCT(MAX((職員マスタ!$A$6:$A$405=$B165)*(((職員マスタ!$G$6:$G$405="")+(職員マスタ!$G$6:$G$405&lt;=EOMONTH($AO165,0)))&gt;0)*(((職員マスタ!$H$6:$H$405="")+(職員マスタ!$H$6:$H$405&gt;=$AO165))&gt;0)*(ROW(職員マスタ!$A$6:$A$405)-5)))&gt;0,SUMPRODUCT(MAX((職員マスタ!$A$6:$A$405=$B165)*(((職員マスタ!$G$6:$G$405="")+(職員マスタ!$G$6:$G$405&lt;=EOMONTH($AO165,0)))&gt;0)*(((職員マスタ!$H$6:$H$405="")+(職員マスタ!$H$6:$H$405&gt;=$AO165))&gt;0)*(ROW(職員マスタ!$A$6:$A$405)-5))),IFERROR(MATCH($B165,職員マスタ!$A$6:$A$405,0),"")))</f>
        <v/>
      </c>
      <c r="AO165" s="16">
        <f>IF(OR($B165="",$C165="",$D165=""),"",DATE($C165+2018,$D165,1))</f>
        <v/>
      </c>
    </row>
    <row r="166">
      <c r="A166" s="11" t="n"/>
      <c r="B166" s="12" t="n">
        <v>6402887</v>
      </c>
      <c r="C166" s="12" t="n">
        <v>7</v>
      </c>
      <c r="D166" s="12" t="n">
        <v>4</v>
      </c>
      <c r="E166" s="13" t="n">
        <v>124492</v>
      </c>
      <c r="F166" s="12" t="n"/>
      <c r="G166" s="13" t="n"/>
      <c r="H166" s="12" t="n"/>
      <c r="I166" s="12" t="n"/>
      <c r="J166" s="12" t="n"/>
      <c r="K166" s="12" t="n"/>
      <c r="L166" s="11" t="n"/>
      <c r="M166" s="11" t="n"/>
      <c r="N166" s="11" t="n"/>
      <c r="O166" s="11" t="n"/>
      <c r="P166" s="12" t="n"/>
      <c r="Q166" s="11" t="n"/>
      <c r="R166" s="12" t="n"/>
      <c r="S166" s="11" t="n"/>
      <c r="T166" s="12" t="n"/>
      <c r="U166" s="12" t="n"/>
      <c r="V166" s="14">
        <f>IF($AN166="",IF($B166="","",$H166),IF(INDEX(職員マスタ!$B$6:$B$405,$AN166)="",$H166,INDEX(職員マスタ!$B$6:$B$405,$AN166)))</f>
        <v/>
      </c>
      <c r="W166" s="14">
        <f>IF($AN166="",IF($B166="","",$R166),IF(INDEX(職員マスタ!$C$6:$C$405,$AN166)="",$R166,INDEX(職員マスタ!$C$6:$C$405,$AN166)))</f>
        <v/>
      </c>
      <c r="X166" s="14">
        <f>IF($AO166="","","R"&amp;$C166&amp;"."&amp;$D166)</f>
        <v/>
      </c>
      <c r="Y166" s="15">
        <f>IF($AN166="","",IF(INDEX(職員マスタ!$K$6:$K$405,$AN166)="","",INDEX(職員マスタ!$K$6:$K$405,$AN166)))</f>
        <v/>
      </c>
      <c r="Z166" s="14">
        <f>IF(OR($E166="",$Y166=""),"",IF($E166&gt;=$Y166,"×",IF($E166&gt;=$Y166*設定!$C$5,"△","○")))</f>
        <v/>
      </c>
      <c r="AA166" s="15">
        <f>IF($Z166="","",IF($Z166="×",0,IF($Z166="○",ROUNDDOWN($E166*設定!$C$4,0),ROUNDDOWN($E166*ROUND((9*$Y166-9*$E166)/(10*$E166),4),0))))</f>
        <v/>
      </c>
      <c r="AB166" s="13" t="n"/>
      <c r="AC166" s="15">
        <f>IF($B166="","",IF($AB166&lt;&gt;"",$AB166,IF($AA166="","",IF($AA166&lt;=設定!$C$3,0,$AA166))))</f>
        <v/>
      </c>
      <c r="AD166" s="14">
        <f>IF($B166="","",IF(AND($AE166&lt;&gt;"",$AG166="",$AJ166=""),"保留中",IF($AJ166&lt;&gt;"",IF(N($AC166)&gt;0,"支給済","不支給"),IF($AC166="","要確認",IF($AC166=0,"不支給","未処理")))))</f>
        <v/>
      </c>
      <c r="AE166" s="12" t="n"/>
      <c r="AF166" s="11" t="n"/>
      <c r="AG166" s="11" t="n"/>
      <c r="AH166" s="11" t="n"/>
      <c r="AI166" s="14">
        <f>IF(AND($AD166="保留中",$AF166&lt;&gt;""),TODAY()-$AF166,"")</f>
        <v/>
      </c>
      <c r="AJ166" s="12" t="inlineStr">
        <is>
          <t>R7.8</t>
        </is>
      </c>
      <c r="AK166" s="14">
        <f>IF($B166="","",IF($AO166="","対象年月が未入力／","")&amp;IF($B166="","",IF($AN166="","職員マスタに未登録の職員番号／",IF($Y166="","標準報酬月額が未登録／","")&amp;IF(AND($AO166&lt;&gt;"",OR(AND(INDEX(職員マスタ!$G$6:$G$405,$AN166)&lt;&gt;"",INDEX(職員マスタ!$G$6:$G$405,$AN166)&gt;EOMONTH($AO166,0)),AND(INDEX(職員マスタ!$H$6:$H$405,$AN166)&lt;&gt;"",INDEX(職員マスタ!$H$6:$H$405,$AN166)&lt;$AO166))),"対象月が時短期間外／","")&amp;IF(AND(INDEX(職員マスタ!$F$6:$F$405,$AN166)&lt;&gt;"",$AO166&lt;&gt;"",INDEX(職員マスタ!$F$6:$F$405,$AN166)&lt;$AO166),"対象月に子が2歳到達済／","")&amp;IF(AND($H166&lt;&gt;"",INDEX(職員マスタ!$B$6:$B$405,$AN166)&lt;&gt;"",SUBSTITUTE(SUBSTITUTE($H166," ","")," ","")&lt;&gt;SUBSTITUTE(SUBSTITUTE(INDEX(職員マスタ!$B$6:$B$405,$AN166)," ","")," ","")),"氏名がマスタと相違／","")&amp;IF(AND($Q166&lt;&gt;"",INDEX(職員マスタ!$E$6:$E$405,$AN166)&lt;&gt;"",$Q166&lt;&gt;INDEX(職員マスタ!$E$6:$E$405,$AN166)),"子の生年月日がマスタと相違／","")&amp;IF(AND($L166&lt;&gt;"",INDEX(職員マスタ!$G$6:$G$405,$AN166)&lt;&gt;"",$L166&lt;&gt;INDEX(職員マスタ!$G$6:$G$405,$AN166)),"時短開始日がマスタと相違／","")&amp;IF(AND($M166&lt;&gt;"",INDEX(職員マスタ!$H$6:$H$405,$AN166)&lt;&gt;"",$M166&lt;&gt;INDEX(職員マスタ!$H$6:$H$405,$AN166)),"時短終了日がマスタと相違／","")))&amp;IF(AND($B166&lt;&gt;"",$E166=""),"報酬額が未入力／","")&amp;IF(N($U166)&gt;0,"申請書に入力エラーが残っています／","")&amp;IF(AND($B166&lt;&gt;"",$AO166&lt;&gt;""),IF(COUNTIFS($B$6:$B$3005,$B166,$C$6:$C$3005,$C166,$D$6:$D$3005,$D166)&gt;1,"同じ月の請求が重複しています／",""),"")&amp;IF(AND(N($E166)&gt;0,$Z166&lt;&gt;"",$Z166&lt;&gt;"×",$AC166=0,$AB166=""),"計算額が下限以下のため不支給／",""))</f>
        <v/>
      </c>
      <c r="AL166" s="12" t="n"/>
      <c r="AM166" s="14">
        <f>IF($AD166="保留中",COUNTIF($AD$6:$AD166,"保留中"),"")</f>
        <v/>
      </c>
      <c r="AN166" s="14">
        <f>IF($AO166="","",IF(SUMPRODUCT(MAX((職員マスタ!$A$6:$A$405=$B166)*(((職員マスタ!$G$6:$G$405="")+(職員マスタ!$G$6:$G$405&lt;=EOMONTH($AO166,0)))&gt;0)*(((職員マスタ!$H$6:$H$405="")+(職員マスタ!$H$6:$H$405&gt;=$AO166))&gt;0)*(ROW(職員マスタ!$A$6:$A$405)-5)))&gt;0,SUMPRODUCT(MAX((職員マスタ!$A$6:$A$405=$B166)*(((職員マスタ!$G$6:$G$405="")+(職員マスタ!$G$6:$G$405&lt;=EOMONTH($AO166,0)))&gt;0)*(((職員マスタ!$H$6:$H$405="")+(職員マスタ!$H$6:$H$405&gt;=$AO166))&gt;0)*(ROW(職員マスタ!$A$6:$A$405)-5))),IFERROR(MATCH($B166,職員マスタ!$A$6:$A$405,0),"")))</f>
        <v/>
      </c>
      <c r="AO166" s="16">
        <f>IF(OR($B166="",$C166="",$D166=""),"",DATE($C166+2018,$D166,1))</f>
        <v/>
      </c>
    </row>
    <row r="167">
      <c r="A167" s="11" t="n"/>
      <c r="B167" s="12" t="n">
        <v>6402887</v>
      </c>
      <c r="C167" s="12" t="n">
        <v>7</v>
      </c>
      <c r="D167" s="12" t="n">
        <v>5</v>
      </c>
      <c r="E167" s="13" t="n">
        <v>220678</v>
      </c>
      <c r="F167" s="12" t="n"/>
      <c r="G167" s="13" t="n"/>
      <c r="H167" s="12" t="n"/>
      <c r="I167" s="12" t="n"/>
      <c r="J167" s="12" t="n"/>
      <c r="K167" s="12" t="n"/>
      <c r="L167" s="11" t="n"/>
      <c r="M167" s="11" t="n"/>
      <c r="N167" s="11" t="n"/>
      <c r="O167" s="11" t="n"/>
      <c r="P167" s="12" t="n"/>
      <c r="Q167" s="11" t="n"/>
      <c r="R167" s="12" t="n"/>
      <c r="S167" s="11" t="n"/>
      <c r="T167" s="12" t="n"/>
      <c r="U167" s="12" t="n"/>
      <c r="V167" s="14">
        <f>IF($AN167="",IF($B167="","",$H167),IF(INDEX(職員マスタ!$B$6:$B$405,$AN167)="",$H167,INDEX(職員マスタ!$B$6:$B$405,$AN167)))</f>
        <v/>
      </c>
      <c r="W167" s="14">
        <f>IF($AN167="",IF($B167="","",$R167),IF(INDEX(職員マスタ!$C$6:$C$405,$AN167)="",$R167,INDEX(職員マスタ!$C$6:$C$405,$AN167)))</f>
        <v/>
      </c>
      <c r="X167" s="14">
        <f>IF($AO167="","","R"&amp;$C167&amp;"."&amp;$D167)</f>
        <v/>
      </c>
      <c r="Y167" s="15">
        <f>IF($AN167="","",IF(INDEX(職員マスタ!$K$6:$K$405,$AN167)="","",INDEX(職員マスタ!$K$6:$K$405,$AN167)))</f>
        <v/>
      </c>
      <c r="Z167" s="14">
        <f>IF(OR($E167="",$Y167=""),"",IF($E167&gt;=$Y167,"×",IF($E167&gt;=$Y167*設定!$C$5,"△","○")))</f>
        <v/>
      </c>
      <c r="AA167" s="15">
        <f>IF($Z167="","",IF($Z167="×",0,IF($Z167="○",ROUNDDOWN($E167*設定!$C$4,0),ROUNDDOWN($E167*ROUND((9*$Y167-9*$E167)/(10*$E167),4),0))))</f>
        <v/>
      </c>
      <c r="AB167" s="13" t="n"/>
      <c r="AC167" s="15">
        <f>IF($B167="","",IF($AB167&lt;&gt;"",$AB167,IF($AA167="","",IF($AA167&lt;=設定!$C$3,0,$AA167))))</f>
        <v/>
      </c>
      <c r="AD167" s="14">
        <f>IF($B167="","",IF(AND($AE167&lt;&gt;"",$AG167="",$AJ167=""),"保留中",IF($AJ167&lt;&gt;"",IF(N($AC167)&gt;0,"支給済","不支給"),IF($AC167="","要確認",IF($AC167=0,"不支給","未処理")))))</f>
        <v/>
      </c>
      <c r="AE167" s="12" t="n"/>
      <c r="AF167" s="11" t="n"/>
      <c r="AG167" s="11" t="n"/>
      <c r="AH167" s="11" t="n"/>
      <c r="AI167" s="14">
        <f>IF(AND($AD167="保留中",$AF167&lt;&gt;""),TODAY()-$AF167,"")</f>
        <v/>
      </c>
      <c r="AJ167" s="12" t="inlineStr">
        <is>
          <t>R7.8</t>
        </is>
      </c>
      <c r="AK167" s="14">
        <f>IF($B167="","",IF($AO167="","対象年月が未入力／","")&amp;IF($B167="","",IF($AN167="","職員マスタに未登録の職員番号／",IF($Y167="","標準報酬月額が未登録／","")&amp;IF(AND($AO167&lt;&gt;"",OR(AND(INDEX(職員マスタ!$G$6:$G$405,$AN167)&lt;&gt;"",INDEX(職員マスタ!$G$6:$G$405,$AN167)&gt;EOMONTH($AO167,0)),AND(INDEX(職員マスタ!$H$6:$H$405,$AN167)&lt;&gt;"",INDEX(職員マスタ!$H$6:$H$405,$AN167)&lt;$AO167))),"対象月が時短期間外／","")&amp;IF(AND(INDEX(職員マスタ!$F$6:$F$405,$AN167)&lt;&gt;"",$AO167&lt;&gt;"",INDEX(職員マスタ!$F$6:$F$405,$AN167)&lt;$AO167),"対象月に子が2歳到達済／","")&amp;IF(AND($H167&lt;&gt;"",INDEX(職員マスタ!$B$6:$B$405,$AN167)&lt;&gt;"",SUBSTITUTE(SUBSTITUTE($H167," ","")," ","")&lt;&gt;SUBSTITUTE(SUBSTITUTE(INDEX(職員マスタ!$B$6:$B$405,$AN167)," ","")," ","")),"氏名がマスタと相違／","")&amp;IF(AND($Q167&lt;&gt;"",INDEX(職員マスタ!$E$6:$E$405,$AN167)&lt;&gt;"",$Q167&lt;&gt;INDEX(職員マスタ!$E$6:$E$405,$AN167)),"子の生年月日がマスタと相違／","")&amp;IF(AND($L167&lt;&gt;"",INDEX(職員マスタ!$G$6:$G$405,$AN167)&lt;&gt;"",$L167&lt;&gt;INDEX(職員マスタ!$G$6:$G$405,$AN167)),"時短開始日がマスタと相違／","")&amp;IF(AND($M167&lt;&gt;"",INDEX(職員マスタ!$H$6:$H$405,$AN167)&lt;&gt;"",$M167&lt;&gt;INDEX(職員マスタ!$H$6:$H$405,$AN167)),"時短終了日がマスタと相違／","")))&amp;IF(AND($B167&lt;&gt;"",$E167=""),"報酬額が未入力／","")&amp;IF(N($U167)&gt;0,"申請書に入力エラーが残っています／","")&amp;IF(AND($B167&lt;&gt;"",$AO167&lt;&gt;""),IF(COUNTIFS($B$6:$B$3005,$B167,$C$6:$C$3005,$C167,$D$6:$D$3005,$D167)&gt;1,"同じ月の請求が重複しています／",""),"")&amp;IF(AND(N($E167)&gt;0,$Z167&lt;&gt;"",$Z167&lt;&gt;"×",$AC167=0,$AB167=""),"計算額が下限以下のため不支給／",""))</f>
        <v/>
      </c>
      <c r="AL167" s="12" t="n"/>
      <c r="AM167" s="14">
        <f>IF($AD167="保留中",COUNTIF($AD$6:$AD167,"保留中"),"")</f>
        <v/>
      </c>
      <c r="AN167" s="14">
        <f>IF($AO167="","",IF(SUMPRODUCT(MAX((職員マスタ!$A$6:$A$405=$B167)*(((職員マスタ!$G$6:$G$405="")+(職員マスタ!$G$6:$G$405&lt;=EOMONTH($AO167,0)))&gt;0)*(((職員マスタ!$H$6:$H$405="")+(職員マスタ!$H$6:$H$405&gt;=$AO167))&gt;0)*(ROW(職員マスタ!$A$6:$A$405)-5)))&gt;0,SUMPRODUCT(MAX((職員マスタ!$A$6:$A$405=$B167)*(((職員マスタ!$G$6:$G$405="")+(職員マスタ!$G$6:$G$405&lt;=EOMONTH($AO167,0)))&gt;0)*(((職員マスタ!$H$6:$H$405="")+(職員マスタ!$H$6:$H$405&gt;=$AO167))&gt;0)*(ROW(職員マスタ!$A$6:$A$405)-5))),IFERROR(MATCH($B167,職員マスタ!$A$6:$A$405,0),"")))</f>
        <v/>
      </c>
      <c r="AO167" s="16">
        <f>IF(OR($B167="",$C167="",$D167=""),"",DATE($C167+2018,$D167,1))</f>
        <v/>
      </c>
    </row>
    <row r="168">
      <c r="A168" s="11" t="n"/>
      <c r="B168" s="12" t="n">
        <v>6402887</v>
      </c>
      <c r="C168" s="12" t="n">
        <v>7</v>
      </c>
      <c r="D168" s="12" t="n">
        <v>6</v>
      </c>
      <c r="E168" s="13" t="n">
        <v>220678</v>
      </c>
      <c r="F168" s="12" t="n"/>
      <c r="G168" s="13" t="n"/>
      <c r="H168" s="12" t="n"/>
      <c r="I168" s="12" t="n"/>
      <c r="J168" s="12" t="n"/>
      <c r="K168" s="12" t="n"/>
      <c r="L168" s="11" t="n"/>
      <c r="M168" s="11" t="n"/>
      <c r="N168" s="11" t="n"/>
      <c r="O168" s="11" t="n"/>
      <c r="P168" s="12" t="n"/>
      <c r="Q168" s="11" t="n"/>
      <c r="R168" s="12" t="n"/>
      <c r="S168" s="11" t="n"/>
      <c r="T168" s="12" t="n"/>
      <c r="U168" s="12" t="n"/>
      <c r="V168" s="14">
        <f>IF($AN168="",IF($B168="","",$H168),IF(INDEX(職員マスタ!$B$6:$B$405,$AN168)="",$H168,INDEX(職員マスタ!$B$6:$B$405,$AN168)))</f>
        <v/>
      </c>
      <c r="W168" s="14">
        <f>IF($AN168="",IF($B168="","",$R168),IF(INDEX(職員マスタ!$C$6:$C$405,$AN168)="",$R168,INDEX(職員マスタ!$C$6:$C$405,$AN168)))</f>
        <v/>
      </c>
      <c r="X168" s="14">
        <f>IF($AO168="","","R"&amp;$C168&amp;"."&amp;$D168)</f>
        <v/>
      </c>
      <c r="Y168" s="15">
        <f>IF($AN168="","",IF(INDEX(職員マスタ!$K$6:$K$405,$AN168)="","",INDEX(職員マスタ!$K$6:$K$405,$AN168)))</f>
        <v/>
      </c>
      <c r="Z168" s="14">
        <f>IF(OR($E168="",$Y168=""),"",IF($E168&gt;=$Y168,"×",IF($E168&gt;=$Y168*設定!$C$5,"△","○")))</f>
        <v/>
      </c>
      <c r="AA168" s="15">
        <f>IF($Z168="","",IF($Z168="×",0,IF($Z168="○",ROUNDDOWN($E168*設定!$C$4,0),ROUNDDOWN($E168*ROUND((9*$Y168-9*$E168)/(10*$E168),4),0))))</f>
        <v/>
      </c>
      <c r="AB168" s="13" t="n"/>
      <c r="AC168" s="15">
        <f>IF($B168="","",IF($AB168&lt;&gt;"",$AB168,IF($AA168="","",IF($AA168&lt;=設定!$C$3,0,$AA168))))</f>
        <v/>
      </c>
      <c r="AD168" s="14">
        <f>IF($B168="","",IF(AND($AE168&lt;&gt;"",$AG168="",$AJ168=""),"保留中",IF($AJ168&lt;&gt;"",IF(N($AC168)&gt;0,"支給済","不支給"),IF($AC168="","要確認",IF($AC168=0,"不支給","未処理")))))</f>
        <v/>
      </c>
      <c r="AE168" s="12" t="n"/>
      <c r="AF168" s="11" t="n"/>
      <c r="AG168" s="11" t="n"/>
      <c r="AH168" s="11" t="n"/>
      <c r="AI168" s="14">
        <f>IF(AND($AD168="保留中",$AF168&lt;&gt;""),TODAY()-$AF168,"")</f>
        <v/>
      </c>
      <c r="AJ168" s="12" t="inlineStr">
        <is>
          <t>R7.8</t>
        </is>
      </c>
      <c r="AK168" s="14">
        <f>IF($B168="","",IF($AO168="","対象年月が未入力／","")&amp;IF($B168="","",IF($AN168="","職員マスタに未登録の職員番号／",IF($Y168="","標準報酬月額が未登録／","")&amp;IF(AND($AO168&lt;&gt;"",OR(AND(INDEX(職員マスタ!$G$6:$G$405,$AN168)&lt;&gt;"",INDEX(職員マスタ!$G$6:$G$405,$AN168)&gt;EOMONTH($AO168,0)),AND(INDEX(職員マスタ!$H$6:$H$405,$AN168)&lt;&gt;"",INDEX(職員マスタ!$H$6:$H$405,$AN168)&lt;$AO168))),"対象月が時短期間外／","")&amp;IF(AND(INDEX(職員マスタ!$F$6:$F$405,$AN168)&lt;&gt;"",$AO168&lt;&gt;"",INDEX(職員マスタ!$F$6:$F$405,$AN168)&lt;$AO168),"対象月に子が2歳到達済／","")&amp;IF(AND($H168&lt;&gt;"",INDEX(職員マスタ!$B$6:$B$405,$AN168)&lt;&gt;"",SUBSTITUTE(SUBSTITUTE($H168," ","")," ","")&lt;&gt;SUBSTITUTE(SUBSTITUTE(INDEX(職員マスタ!$B$6:$B$405,$AN168)," ","")," ","")),"氏名がマスタと相違／","")&amp;IF(AND($Q168&lt;&gt;"",INDEX(職員マスタ!$E$6:$E$405,$AN168)&lt;&gt;"",$Q168&lt;&gt;INDEX(職員マスタ!$E$6:$E$405,$AN168)),"子の生年月日がマスタと相違／","")&amp;IF(AND($L168&lt;&gt;"",INDEX(職員マスタ!$G$6:$G$405,$AN168)&lt;&gt;"",$L168&lt;&gt;INDEX(職員マスタ!$G$6:$G$405,$AN168)),"時短開始日がマスタと相違／","")&amp;IF(AND($M168&lt;&gt;"",INDEX(職員マスタ!$H$6:$H$405,$AN168)&lt;&gt;"",$M168&lt;&gt;INDEX(職員マスタ!$H$6:$H$405,$AN168)),"時短終了日がマスタと相違／","")))&amp;IF(AND($B168&lt;&gt;"",$E168=""),"報酬額が未入力／","")&amp;IF(N($U168)&gt;0,"申請書に入力エラーが残っています／","")&amp;IF(AND($B168&lt;&gt;"",$AO168&lt;&gt;""),IF(COUNTIFS($B$6:$B$3005,$B168,$C$6:$C$3005,$C168,$D$6:$D$3005,$D168)&gt;1,"同じ月の請求が重複しています／",""),"")&amp;IF(AND(N($E168)&gt;0,$Z168&lt;&gt;"",$Z168&lt;&gt;"×",$AC168=0,$AB168=""),"計算額が下限以下のため不支給／",""))</f>
        <v/>
      </c>
      <c r="AL168" s="12" t="n"/>
      <c r="AM168" s="14">
        <f>IF($AD168="保留中",COUNTIF($AD$6:$AD168,"保留中"),"")</f>
        <v/>
      </c>
      <c r="AN168" s="14">
        <f>IF($AO168="","",IF(SUMPRODUCT(MAX((職員マスタ!$A$6:$A$405=$B168)*(((職員マスタ!$G$6:$G$405="")+(職員マスタ!$G$6:$G$405&lt;=EOMONTH($AO168,0)))&gt;0)*(((職員マスタ!$H$6:$H$405="")+(職員マスタ!$H$6:$H$405&gt;=$AO168))&gt;0)*(ROW(職員マスタ!$A$6:$A$405)-5)))&gt;0,SUMPRODUCT(MAX((職員マスタ!$A$6:$A$405=$B168)*(((職員マスタ!$G$6:$G$405="")+(職員マスタ!$G$6:$G$405&lt;=EOMONTH($AO168,0)))&gt;0)*(((職員マスタ!$H$6:$H$405="")+(職員マスタ!$H$6:$H$405&gt;=$AO168))&gt;0)*(ROW(職員マスタ!$A$6:$A$405)-5))),IFERROR(MATCH($B168,職員マスタ!$A$6:$A$405,0),"")))</f>
        <v/>
      </c>
      <c r="AO168" s="16">
        <f>IF(OR($B168="",$C168="",$D168=""),"",DATE($C168+2018,$D168,1))</f>
        <v/>
      </c>
    </row>
    <row r="169">
      <c r="A169" s="11" t="n"/>
      <c r="B169" s="12" t="n">
        <v>6402903</v>
      </c>
      <c r="C169" s="12" t="n">
        <v>7</v>
      </c>
      <c r="D169" s="12" t="n">
        <v>4</v>
      </c>
      <c r="E169" s="13" t="n">
        <v>102306</v>
      </c>
      <c r="F169" s="12" t="n"/>
      <c r="G169" s="13" t="n"/>
      <c r="H169" s="12" t="n"/>
      <c r="I169" s="12" t="n"/>
      <c r="J169" s="12" t="n"/>
      <c r="K169" s="12" t="n"/>
      <c r="L169" s="11" t="n"/>
      <c r="M169" s="11" t="n"/>
      <c r="N169" s="11" t="n"/>
      <c r="O169" s="11" t="n"/>
      <c r="P169" s="12" t="n"/>
      <c r="Q169" s="11" t="n"/>
      <c r="R169" s="12" t="n"/>
      <c r="S169" s="11" t="n"/>
      <c r="T169" s="12" t="n"/>
      <c r="U169" s="12" t="n"/>
      <c r="V169" s="14">
        <f>IF($AN169="",IF($B169="","",$H169),IF(INDEX(職員マスタ!$B$6:$B$405,$AN169)="",$H169,INDEX(職員マスタ!$B$6:$B$405,$AN169)))</f>
        <v/>
      </c>
      <c r="W169" s="14">
        <f>IF($AN169="",IF($B169="","",$R169),IF(INDEX(職員マスタ!$C$6:$C$405,$AN169)="",$R169,INDEX(職員マスタ!$C$6:$C$405,$AN169)))</f>
        <v/>
      </c>
      <c r="X169" s="14">
        <f>IF($AO169="","","R"&amp;$C169&amp;"."&amp;$D169)</f>
        <v/>
      </c>
      <c r="Y169" s="15">
        <f>IF($AN169="","",IF(INDEX(職員マスタ!$K$6:$K$405,$AN169)="","",INDEX(職員マスタ!$K$6:$K$405,$AN169)))</f>
        <v/>
      </c>
      <c r="Z169" s="14">
        <f>IF(OR($E169="",$Y169=""),"",IF($E169&gt;=$Y169,"×",IF($E169&gt;=$Y169*設定!$C$5,"△","○")))</f>
        <v/>
      </c>
      <c r="AA169" s="15">
        <f>IF($Z169="","",IF($Z169="×",0,IF($Z169="○",ROUNDDOWN($E169*設定!$C$4,0),ROUNDDOWN($E169*ROUND((9*$Y169-9*$E169)/(10*$E169),4),0))))</f>
        <v/>
      </c>
      <c r="AB169" s="13" t="n"/>
      <c r="AC169" s="15">
        <f>IF($B169="","",IF($AB169&lt;&gt;"",$AB169,IF($AA169="","",IF($AA169&lt;=設定!$C$3,0,$AA169))))</f>
        <v/>
      </c>
      <c r="AD169" s="14">
        <f>IF($B169="","",IF(AND($AE169&lt;&gt;"",$AG169="",$AJ169=""),"保留中",IF($AJ169&lt;&gt;"",IF(N($AC169)&gt;0,"支給済","不支給"),IF($AC169="","要確認",IF($AC169=0,"不支給","未処理")))))</f>
        <v/>
      </c>
      <c r="AE169" s="12" t="n"/>
      <c r="AF169" s="11" t="n"/>
      <c r="AG169" s="11" t="n"/>
      <c r="AH169" s="11" t="n"/>
      <c r="AI169" s="14">
        <f>IF(AND($AD169="保留中",$AF169&lt;&gt;""),TODAY()-$AF169,"")</f>
        <v/>
      </c>
      <c r="AJ169" s="12" t="inlineStr">
        <is>
          <t>R7.8</t>
        </is>
      </c>
      <c r="AK169" s="14">
        <f>IF($B169="","",IF($AO169="","対象年月が未入力／","")&amp;IF($B169="","",IF($AN169="","職員マスタに未登録の職員番号／",IF($Y169="","標準報酬月額が未登録／","")&amp;IF(AND($AO169&lt;&gt;"",OR(AND(INDEX(職員マスタ!$G$6:$G$405,$AN169)&lt;&gt;"",INDEX(職員マスタ!$G$6:$G$405,$AN169)&gt;EOMONTH($AO169,0)),AND(INDEX(職員マスタ!$H$6:$H$405,$AN169)&lt;&gt;"",INDEX(職員マスタ!$H$6:$H$405,$AN169)&lt;$AO169))),"対象月が時短期間外／","")&amp;IF(AND(INDEX(職員マスタ!$F$6:$F$405,$AN169)&lt;&gt;"",$AO169&lt;&gt;"",INDEX(職員マスタ!$F$6:$F$405,$AN169)&lt;$AO169),"対象月に子が2歳到達済／","")&amp;IF(AND($H169&lt;&gt;"",INDEX(職員マスタ!$B$6:$B$405,$AN169)&lt;&gt;"",SUBSTITUTE(SUBSTITUTE($H169," ","")," ","")&lt;&gt;SUBSTITUTE(SUBSTITUTE(INDEX(職員マスタ!$B$6:$B$405,$AN169)," ","")," ","")),"氏名がマスタと相違／","")&amp;IF(AND($Q169&lt;&gt;"",INDEX(職員マスタ!$E$6:$E$405,$AN169)&lt;&gt;"",$Q169&lt;&gt;INDEX(職員マスタ!$E$6:$E$405,$AN169)),"子の生年月日がマスタと相違／","")&amp;IF(AND($L169&lt;&gt;"",INDEX(職員マスタ!$G$6:$G$405,$AN169)&lt;&gt;"",$L169&lt;&gt;INDEX(職員マスタ!$G$6:$G$405,$AN169)),"時短開始日がマスタと相違／","")&amp;IF(AND($M169&lt;&gt;"",INDEX(職員マスタ!$H$6:$H$405,$AN169)&lt;&gt;"",$M169&lt;&gt;INDEX(職員マスタ!$H$6:$H$405,$AN169)),"時短終了日がマスタと相違／","")))&amp;IF(AND($B169&lt;&gt;"",$E169=""),"報酬額が未入力／","")&amp;IF(N($U169)&gt;0,"申請書に入力エラーが残っています／","")&amp;IF(AND($B169&lt;&gt;"",$AO169&lt;&gt;""),IF(COUNTIFS($B$6:$B$3005,$B169,$C$6:$C$3005,$C169,$D$6:$D$3005,$D169)&gt;1,"同じ月の請求が重複しています／",""),"")&amp;IF(AND(N($E169)&gt;0,$Z169&lt;&gt;"",$Z169&lt;&gt;"×",$AC169=0,$AB169=""),"計算額が下限以下のため不支給／",""))</f>
        <v/>
      </c>
      <c r="AL169" s="12" t="n"/>
      <c r="AM169" s="14">
        <f>IF($AD169="保留中",COUNTIF($AD$6:$AD169,"保留中"),"")</f>
        <v/>
      </c>
      <c r="AN169" s="14">
        <f>IF($AO169="","",IF(SUMPRODUCT(MAX((職員マスタ!$A$6:$A$405=$B169)*(((職員マスタ!$G$6:$G$405="")+(職員マスタ!$G$6:$G$405&lt;=EOMONTH($AO169,0)))&gt;0)*(((職員マスタ!$H$6:$H$405="")+(職員マスタ!$H$6:$H$405&gt;=$AO169))&gt;0)*(ROW(職員マスタ!$A$6:$A$405)-5)))&gt;0,SUMPRODUCT(MAX((職員マスタ!$A$6:$A$405=$B169)*(((職員マスタ!$G$6:$G$405="")+(職員マスタ!$G$6:$G$405&lt;=EOMONTH($AO169,0)))&gt;0)*(((職員マスタ!$H$6:$H$405="")+(職員マスタ!$H$6:$H$405&gt;=$AO169))&gt;0)*(ROW(職員マスタ!$A$6:$A$405)-5))),IFERROR(MATCH($B169,職員マスタ!$A$6:$A$405,0),"")))</f>
        <v/>
      </c>
      <c r="AO169" s="16">
        <f>IF(OR($B169="",$C169="",$D169=""),"",DATE($C169+2018,$D169,1))</f>
        <v/>
      </c>
    </row>
    <row r="170">
      <c r="A170" s="11" t="n"/>
      <c r="B170" s="12" t="n">
        <v>6402903</v>
      </c>
      <c r="C170" s="12" t="n">
        <v>7</v>
      </c>
      <c r="D170" s="12" t="n">
        <v>5</v>
      </c>
      <c r="E170" s="13" t="n">
        <v>205431</v>
      </c>
      <c r="F170" s="12" t="n"/>
      <c r="G170" s="13" t="n"/>
      <c r="H170" s="12" t="n"/>
      <c r="I170" s="12" t="n"/>
      <c r="J170" s="12" t="n"/>
      <c r="K170" s="12" t="n"/>
      <c r="L170" s="11" t="n"/>
      <c r="M170" s="11" t="n"/>
      <c r="N170" s="11" t="n"/>
      <c r="O170" s="11" t="n"/>
      <c r="P170" s="12" t="n"/>
      <c r="Q170" s="11" t="n"/>
      <c r="R170" s="12" t="n"/>
      <c r="S170" s="11" t="n"/>
      <c r="T170" s="12" t="n"/>
      <c r="U170" s="12" t="n"/>
      <c r="V170" s="14">
        <f>IF($AN170="",IF($B170="","",$H170),IF(INDEX(職員マスタ!$B$6:$B$405,$AN170)="",$H170,INDEX(職員マスタ!$B$6:$B$405,$AN170)))</f>
        <v/>
      </c>
      <c r="W170" s="14">
        <f>IF($AN170="",IF($B170="","",$R170),IF(INDEX(職員マスタ!$C$6:$C$405,$AN170)="",$R170,INDEX(職員マスタ!$C$6:$C$405,$AN170)))</f>
        <v/>
      </c>
      <c r="X170" s="14">
        <f>IF($AO170="","","R"&amp;$C170&amp;"."&amp;$D170)</f>
        <v/>
      </c>
      <c r="Y170" s="15">
        <f>IF($AN170="","",IF(INDEX(職員マスタ!$K$6:$K$405,$AN170)="","",INDEX(職員マスタ!$K$6:$K$405,$AN170)))</f>
        <v/>
      </c>
      <c r="Z170" s="14">
        <f>IF(OR($E170="",$Y170=""),"",IF($E170&gt;=$Y170,"×",IF($E170&gt;=$Y170*設定!$C$5,"△","○")))</f>
        <v/>
      </c>
      <c r="AA170" s="15">
        <f>IF($Z170="","",IF($Z170="×",0,IF($Z170="○",ROUNDDOWN($E170*設定!$C$4,0),ROUNDDOWN($E170*ROUND((9*$Y170-9*$E170)/(10*$E170),4),0))))</f>
        <v/>
      </c>
      <c r="AB170" s="13" t="n"/>
      <c r="AC170" s="15">
        <f>IF($B170="","",IF($AB170&lt;&gt;"",$AB170,IF($AA170="","",IF($AA170&lt;=設定!$C$3,0,$AA170))))</f>
        <v/>
      </c>
      <c r="AD170" s="14">
        <f>IF($B170="","",IF(AND($AE170&lt;&gt;"",$AG170="",$AJ170=""),"保留中",IF($AJ170&lt;&gt;"",IF(N($AC170)&gt;0,"支給済","不支給"),IF($AC170="","要確認",IF($AC170=0,"不支給","未処理")))))</f>
        <v/>
      </c>
      <c r="AE170" s="12" t="n"/>
      <c r="AF170" s="11" t="n"/>
      <c r="AG170" s="11" t="n"/>
      <c r="AH170" s="11" t="n"/>
      <c r="AI170" s="14">
        <f>IF(AND($AD170="保留中",$AF170&lt;&gt;""),TODAY()-$AF170,"")</f>
        <v/>
      </c>
      <c r="AJ170" s="12" t="inlineStr">
        <is>
          <t>R7.8</t>
        </is>
      </c>
      <c r="AK170" s="14">
        <f>IF($B170="","",IF($AO170="","対象年月が未入力／","")&amp;IF($B170="","",IF($AN170="","職員マスタに未登録の職員番号／",IF($Y170="","標準報酬月額が未登録／","")&amp;IF(AND($AO170&lt;&gt;"",OR(AND(INDEX(職員マスタ!$G$6:$G$405,$AN170)&lt;&gt;"",INDEX(職員マスタ!$G$6:$G$405,$AN170)&gt;EOMONTH($AO170,0)),AND(INDEX(職員マスタ!$H$6:$H$405,$AN170)&lt;&gt;"",INDEX(職員マスタ!$H$6:$H$405,$AN170)&lt;$AO170))),"対象月が時短期間外／","")&amp;IF(AND(INDEX(職員マスタ!$F$6:$F$405,$AN170)&lt;&gt;"",$AO170&lt;&gt;"",INDEX(職員マスタ!$F$6:$F$405,$AN170)&lt;$AO170),"対象月に子が2歳到達済／","")&amp;IF(AND($H170&lt;&gt;"",INDEX(職員マスタ!$B$6:$B$405,$AN170)&lt;&gt;"",SUBSTITUTE(SUBSTITUTE($H170," ","")," ","")&lt;&gt;SUBSTITUTE(SUBSTITUTE(INDEX(職員マスタ!$B$6:$B$405,$AN170)," ","")," ","")),"氏名がマスタと相違／","")&amp;IF(AND($Q170&lt;&gt;"",INDEX(職員マスタ!$E$6:$E$405,$AN170)&lt;&gt;"",$Q170&lt;&gt;INDEX(職員マスタ!$E$6:$E$405,$AN170)),"子の生年月日がマスタと相違／","")&amp;IF(AND($L170&lt;&gt;"",INDEX(職員マスタ!$G$6:$G$405,$AN170)&lt;&gt;"",$L170&lt;&gt;INDEX(職員マスタ!$G$6:$G$405,$AN170)),"時短開始日がマスタと相違／","")&amp;IF(AND($M170&lt;&gt;"",INDEX(職員マスタ!$H$6:$H$405,$AN170)&lt;&gt;"",$M170&lt;&gt;INDEX(職員マスタ!$H$6:$H$405,$AN170)),"時短終了日がマスタと相違／","")))&amp;IF(AND($B170&lt;&gt;"",$E170=""),"報酬額が未入力／","")&amp;IF(N($U170)&gt;0,"申請書に入力エラーが残っています／","")&amp;IF(AND($B170&lt;&gt;"",$AO170&lt;&gt;""),IF(COUNTIFS($B$6:$B$3005,$B170,$C$6:$C$3005,$C170,$D$6:$D$3005,$D170)&gt;1,"同じ月の請求が重複しています／",""),"")&amp;IF(AND(N($E170)&gt;0,$Z170&lt;&gt;"",$Z170&lt;&gt;"×",$AC170=0,$AB170=""),"計算額が下限以下のため不支給／",""))</f>
        <v/>
      </c>
      <c r="AL170" s="12" t="n"/>
      <c r="AM170" s="14">
        <f>IF($AD170="保留中",COUNTIF($AD$6:$AD170,"保留中"),"")</f>
        <v/>
      </c>
      <c r="AN170" s="14">
        <f>IF($AO170="","",IF(SUMPRODUCT(MAX((職員マスタ!$A$6:$A$405=$B170)*(((職員マスタ!$G$6:$G$405="")+(職員マスタ!$G$6:$G$405&lt;=EOMONTH($AO170,0)))&gt;0)*(((職員マスタ!$H$6:$H$405="")+(職員マスタ!$H$6:$H$405&gt;=$AO170))&gt;0)*(ROW(職員マスタ!$A$6:$A$405)-5)))&gt;0,SUMPRODUCT(MAX((職員マスタ!$A$6:$A$405=$B170)*(((職員マスタ!$G$6:$G$405="")+(職員マスタ!$G$6:$G$405&lt;=EOMONTH($AO170,0)))&gt;0)*(((職員マスタ!$H$6:$H$405="")+(職員マスタ!$H$6:$H$405&gt;=$AO170))&gt;0)*(ROW(職員マスタ!$A$6:$A$405)-5))),IFERROR(MATCH($B170,職員マスタ!$A$6:$A$405,0),"")))</f>
        <v/>
      </c>
      <c r="AO170" s="16">
        <f>IF(OR($B170="",$C170="",$D170=""),"",DATE($C170+2018,$D170,1))</f>
        <v/>
      </c>
    </row>
    <row r="171">
      <c r="A171" s="11" t="n"/>
      <c r="B171" s="12" t="n">
        <v>6402903</v>
      </c>
      <c r="C171" s="12" t="n">
        <v>7</v>
      </c>
      <c r="D171" s="12" t="n">
        <v>6</v>
      </c>
      <c r="E171" s="13" t="n">
        <v>209363</v>
      </c>
      <c r="F171" s="12" t="n"/>
      <c r="G171" s="13" t="n"/>
      <c r="H171" s="12" t="n"/>
      <c r="I171" s="12" t="n"/>
      <c r="J171" s="12" t="n"/>
      <c r="K171" s="12" t="n"/>
      <c r="L171" s="11" t="n"/>
      <c r="M171" s="11" t="n"/>
      <c r="N171" s="11" t="n"/>
      <c r="O171" s="11" t="n"/>
      <c r="P171" s="12" t="n"/>
      <c r="Q171" s="11" t="n"/>
      <c r="R171" s="12" t="n"/>
      <c r="S171" s="11" t="n"/>
      <c r="T171" s="12" t="n"/>
      <c r="U171" s="12" t="n"/>
      <c r="V171" s="14">
        <f>IF($AN171="",IF($B171="","",$H171),IF(INDEX(職員マスタ!$B$6:$B$405,$AN171)="",$H171,INDEX(職員マスタ!$B$6:$B$405,$AN171)))</f>
        <v/>
      </c>
      <c r="W171" s="14">
        <f>IF($AN171="",IF($B171="","",$R171),IF(INDEX(職員マスタ!$C$6:$C$405,$AN171)="",$R171,INDEX(職員マスタ!$C$6:$C$405,$AN171)))</f>
        <v/>
      </c>
      <c r="X171" s="14">
        <f>IF($AO171="","","R"&amp;$C171&amp;"."&amp;$D171)</f>
        <v/>
      </c>
      <c r="Y171" s="15">
        <f>IF($AN171="","",IF(INDEX(職員マスタ!$K$6:$K$405,$AN171)="","",INDEX(職員マスタ!$K$6:$K$405,$AN171)))</f>
        <v/>
      </c>
      <c r="Z171" s="14">
        <f>IF(OR($E171="",$Y171=""),"",IF($E171&gt;=$Y171,"×",IF($E171&gt;=$Y171*設定!$C$5,"△","○")))</f>
        <v/>
      </c>
      <c r="AA171" s="15">
        <f>IF($Z171="","",IF($Z171="×",0,IF($Z171="○",ROUNDDOWN($E171*設定!$C$4,0),ROUNDDOWN($E171*ROUND((9*$Y171-9*$E171)/(10*$E171),4),0))))</f>
        <v/>
      </c>
      <c r="AB171" s="13" t="n"/>
      <c r="AC171" s="15">
        <f>IF($B171="","",IF($AB171&lt;&gt;"",$AB171,IF($AA171="","",IF($AA171&lt;=設定!$C$3,0,$AA171))))</f>
        <v/>
      </c>
      <c r="AD171" s="14">
        <f>IF($B171="","",IF(AND($AE171&lt;&gt;"",$AG171="",$AJ171=""),"保留中",IF($AJ171&lt;&gt;"",IF(N($AC171)&gt;0,"支給済","不支給"),IF($AC171="","要確認",IF($AC171=0,"不支給","未処理")))))</f>
        <v/>
      </c>
      <c r="AE171" s="12" t="n"/>
      <c r="AF171" s="11" t="n"/>
      <c r="AG171" s="11" t="n"/>
      <c r="AH171" s="11" t="n"/>
      <c r="AI171" s="14">
        <f>IF(AND($AD171="保留中",$AF171&lt;&gt;""),TODAY()-$AF171,"")</f>
        <v/>
      </c>
      <c r="AJ171" s="12" t="inlineStr">
        <is>
          <t>R7.8</t>
        </is>
      </c>
      <c r="AK171" s="14">
        <f>IF($B171="","",IF($AO171="","対象年月が未入力／","")&amp;IF($B171="","",IF($AN171="","職員マスタに未登録の職員番号／",IF($Y171="","標準報酬月額が未登録／","")&amp;IF(AND($AO171&lt;&gt;"",OR(AND(INDEX(職員マスタ!$G$6:$G$405,$AN171)&lt;&gt;"",INDEX(職員マスタ!$G$6:$G$405,$AN171)&gt;EOMONTH($AO171,0)),AND(INDEX(職員マスタ!$H$6:$H$405,$AN171)&lt;&gt;"",INDEX(職員マスタ!$H$6:$H$405,$AN171)&lt;$AO171))),"対象月が時短期間外／","")&amp;IF(AND(INDEX(職員マスタ!$F$6:$F$405,$AN171)&lt;&gt;"",$AO171&lt;&gt;"",INDEX(職員マスタ!$F$6:$F$405,$AN171)&lt;$AO171),"対象月に子が2歳到達済／","")&amp;IF(AND($H171&lt;&gt;"",INDEX(職員マスタ!$B$6:$B$405,$AN171)&lt;&gt;"",SUBSTITUTE(SUBSTITUTE($H171," ","")," ","")&lt;&gt;SUBSTITUTE(SUBSTITUTE(INDEX(職員マスタ!$B$6:$B$405,$AN171)," ","")," ","")),"氏名がマスタと相違／","")&amp;IF(AND($Q171&lt;&gt;"",INDEX(職員マスタ!$E$6:$E$405,$AN171)&lt;&gt;"",$Q171&lt;&gt;INDEX(職員マスタ!$E$6:$E$405,$AN171)),"子の生年月日がマスタと相違／","")&amp;IF(AND($L171&lt;&gt;"",INDEX(職員マスタ!$G$6:$G$405,$AN171)&lt;&gt;"",$L171&lt;&gt;INDEX(職員マスタ!$G$6:$G$405,$AN171)),"時短開始日がマスタと相違／","")&amp;IF(AND($M171&lt;&gt;"",INDEX(職員マスタ!$H$6:$H$405,$AN171)&lt;&gt;"",$M171&lt;&gt;INDEX(職員マスタ!$H$6:$H$405,$AN171)),"時短終了日がマスタと相違／","")))&amp;IF(AND($B171&lt;&gt;"",$E171=""),"報酬額が未入力／","")&amp;IF(N($U171)&gt;0,"申請書に入力エラーが残っています／","")&amp;IF(AND($B171&lt;&gt;"",$AO171&lt;&gt;""),IF(COUNTIFS($B$6:$B$3005,$B171,$C$6:$C$3005,$C171,$D$6:$D$3005,$D171)&gt;1,"同じ月の請求が重複しています／",""),"")&amp;IF(AND(N($E171)&gt;0,$Z171&lt;&gt;"",$Z171&lt;&gt;"×",$AC171=0,$AB171=""),"計算額が下限以下のため不支給／",""))</f>
        <v/>
      </c>
      <c r="AL171" s="12" t="n"/>
      <c r="AM171" s="14">
        <f>IF($AD171="保留中",COUNTIF($AD$6:$AD171,"保留中"),"")</f>
        <v/>
      </c>
      <c r="AN171" s="14">
        <f>IF($AO171="","",IF(SUMPRODUCT(MAX((職員マスタ!$A$6:$A$405=$B171)*(((職員マスタ!$G$6:$G$405="")+(職員マスタ!$G$6:$G$405&lt;=EOMONTH($AO171,0)))&gt;0)*(((職員マスタ!$H$6:$H$405="")+(職員マスタ!$H$6:$H$405&gt;=$AO171))&gt;0)*(ROW(職員マスタ!$A$6:$A$405)-5)))&gt;0,SUMPRODUCT(MAX((職員マスタ!$A$6:$A$405=$B171)*(((職員マスタ!$G$6:$G$405="")+(職員マスタ!$G$6:$G$405&lt;=EOMONTH($AO171,0)))&gt;0)*(((職員マスタ!$H$6:$H$405="")+(職員マスタ!$H$6:$H$405&gt;=$AO171))&gt;0)*(ROW(職員マスタ!$A$6:$A$405)-5))),IFERROR(MATCH($B171,職員マスタ!$A$6:$A$405,0),"")))</f>
        <v/>
      </c>
      <c r="AO171" s="16">
        <f>IF(OR($B171="",$C171="",$D171=""),"",DATE($C171+2018,$D171,1))</f>
        <v/>
      </c>
    </row>
    <row r="172">
      <c r="A172" s="11" t="n"/>
      <c r="B172" s="12" t="n">
        <v>6402903</v>
      </c>
      <c r="C172" s="12" t="n">
        <v>7</v>
      </c>
      <c r="D172" s="12" t="n">
        <v>7</v>
      </c>
      <c r="E172" s="13" t="n">
        <v>207397</v>
      </c>
      <c r="F172" s="12" t="n"/>
      <c r="G172" s="13" t="n"/>
      <c r="H172" s="12" t="n"/>
      <c r="I172" s="12" t="n"/>
      <c r="J172" s="12" t="n"/>
      <c r="K172" s="12" t="n"/>
      <c r="L172" s="11" t="n"/>
      <c r="M172" s="11" t="n"/>
      <c r="N172" s="11" t="n"/>
      <c r="O172" s="11" t="n"/>
      <c r="P172" s="12" t="n"/>
      <c r="Q172" s="11" t="n"/>
      <c r="R172" s="12" t="n"/>
      <c r="S172" s="11" t="n"/>
      <c r="T172" s="12" t="n"/>
      <c r="U172" s="12" t="n"/>
      <c r="V172" s="14">
        <f>IF($AN172="",IF($B172="","",$H172),IF(INDEX(職員マスタ!$B$6:$B$405,$AN172)="",$H172,INDEX(職員マスタ!$B$6:$B$405,$AN172)))</f>
        <v/>
      </c>
      <c r="W172" s="14">
        <f>IF($AN172="",IF($B172="","",$R172),IF(INDEX(職員マスタ!$C$6:$C$405,$AN172)="",$R172,INDEX(職員マスタ!$C$6:$C$405,$AN172)))</f>
        <v/>
      </c>
      <c r="X172" s="14">
        <f>IF($AO172="","","R"&amp;$C172&amp;"."&amp;$D172)</f>
        <v/>
      </c>
      <c r="Y172" s="15">
        <f>IF($AN172="","",IF(INDEX(職員マスタ!$K$6:$K$405,$AN172)="","",INDEX(職員マスタ!$K$6:$K$405,$AN172)))</f>
        <v/>
      </c>
      <c r="Z172" s="14">
        <f>IF(OR($E172="",$Y172=""),"",IF($E172&gt;=$Y172,"×",IF($E172&gt;=$Y172*設定!$C$5,"△","○")))</f>
        <v/>
      </c>
      <c r="AA172" s="15">
        <f>IF($Z172="","",IF($Z172="×",0,IF($Z172="○",ROUNDDOWN($E172*設定!$C$4,0),ROUNDDOWN($E172*ROUND((9*$Y172-9*$E172)/(10*$E172),4),0))))</f>
        <v/>
      </c>
      <c r="AB172" s="13" t="n"/>
      <c r="AC172" s="15">
        <f>IF($B172="","",IF($AB172&lt;&gt;"",$AB172,IF($AA172="","",IF($AA172&lt;=設定!$C$3,0,$AA172))))</f>
        <v/>
      </c>
      <c r="AD172" s="14">
        <f>IF($B172="","",IF(AND($AE172&lt;&gt;"",$AG172="",$AJ172=""),"保留中",IF($AJ172&lt;&gt;"",IF(N($AC172)&gt;0,"支給済","不支給"),IF($AC172="","要確認",IF($AC172=0,"不支給","未処理")))))</f>
        <v/>
      </c>
      <c r="AE172" s="12" t="n"/>
      <c r="AF172" s="11" t="n"/>
      <c r="AG172" s="11" t="n"/>
      <c r="AH172" s="11" t="n"/>
      <c r="AI172" s="14">
        <f>IF(AND($AD172="保留中",$AF172&lt;&gt;""),TODAY()-$AF172,"")</f>
        <v/>
      </c>
      <c r="AJ172" s="12" t="inlineStr">
        <is>
          <t>R7.9</t>
        </is>
      </c>
      <c r="AK172" s="14">
        <f>IF($B172="","",IF($AO172="","対象年月が未入力／","")&amp;IF($B172="","",IF($AN172="","職員マスタに未登録の職員番号／",IF($Y172="","標準報酬月額が未登録／","")&amp;IF(AND($AO172&lt;&gt;"",OR(AND(INDEX(職員マスタ!$G$6:$G$405,$AN172)&lt;&gt;"",INDEX(職員マスタ!$G$6:$G$405,$AN172)&gt;EOMONTH($AO172,0)),AND(INDEX(職員マスタ!$H$6:$H$405,$AN172)&lt;&gt;"",INDEX(職員マスタ!$H$6:$H$405,$AN172)&lt;$AO172))),"対象月が時短期間外／","")&amp;IF(AND(INDEX(職員マスタ!$F$6:$F$405,$AN172)&lt;&gt;"",$AO172&lt;&gt;"",INDEX(職員マスタ!$F$6:$F$405,$AN172)&lt;$AO172),"対象月に子が2歳到達済／","")&amp;IF(AND($H172&lt;&gt;"",INDEX(職員マスタ!$B$6:$B$405,$AN172)&lt;&gt;"",SUBSTITUTE(SUBSTITUTE($H172," ","")," ","")&lt;&gt;SUBSTITUTE(SUBSTITUTE(INDEX(職員マスタ!$B$6:$B$405,$AN172)," ","")," ","")),"氏名がマスタと相違／","")&amp;IF(AND($Q172&lt;&gt;"",INDEX(職員マスタ!$E$6:$E$405,$AN172)&lt;&gt;"",$Q172&lt;&gt;INDEX(職員マスタ!$E$6:$E$405,$AN172)),"子の生年月日がマスタと相違／","")&amp;IF(AND($L172&lt;&gt;"",INDEX(職員マスタ!$G$6:$G$405,$AN172)&lt;&gt;"",$L172&lt;&gt;INDEX(職員マスタ!$G$6:$G$405,$AN172)),"時短開始日がマスタと相違／","")&amp;IF(AND($M172&lt;&gt;"",INDEX(職員マスタ!$H$6:$H$405,$AN172)&lt;&gt;"",$M172&lt;&gt;INDEX(職員マスタ!$H$6:$H$405,$AN172)),"時短終了日がマスタと相違／","")))&amp;IF(AND($B172&lt;&gt;"",$E172=""),"報酬額が未入力／","")&amp;IF(N($U172)&gt;0,"申請書に入力エラーが残っています／","")&amp;IF(AND($B172&lt;&gt;"",$AO172&lt;&gt;""),IF(COUNTIFS($B$6:$B$3005,$B172,$C$6:$C$3005,$C172,$D$6:$D$3005,$D172)&gt;1,"同じ月の請求が重複しています／",""),"")&amp;IF(AND(N($E172)&gt;0,$Z172&lt;&gt;"",$Z172&lt;&gt;"×",$AC172=0,$AB172=""),"計算額が下限以下のため不支給／",""))</f>
        <v/>
      </c>
      <c r="AL172" s="12" t="n"/>
      <c r="AM172" s="14">
        <f>IF($AD172="保留中",COUNTIF($AD$6:$AD172,"保留中"),"")</f>
        <v/>
      </c>
      <c r="AN172" s="14">
        <f>IF($AO172="","",IF(SUMPRODUCT(MAX((職員マスタ!$A$6:$A$405=$B172)*(((職員マスタ!$G$6:$G$405="")+(職員マスタ!$G$6:$G$405&lt;=EOMONTH($AO172,0)))&gt;0)*(((職員マスタ!$H$6:$H$405="")+(職員マスタ!$H$6:$H$405&gt;=$AO172))&gt;0)*(ROW(職員マスタ!$A$6:$A$405)-5)))&gt;0,SUMPRODUCT(MAX((職員マスタ!$A$6:$A$405=$B172)*(((職員マスタ!$G$6:$G$405="")+(職員マスタ!$G$6:$G$405&lt;=EOMONTH($AO172,0)))&gt;0)*(((職員マスタ!$H$6:$H$405="")+(職員マスタ!$H$6:$H$405&gt;=$AO172))&gt;0)*(ROW(職員マスタ!$A$6:$A$405)-5))),IFERROR(MATCH($B172,職員マスタ!$A$6:$A$405,0),"")))</f>
        <v/>
      </c>
      <c r="AO172" s="16">
        <f>IF(OR($B172="",$C172="",$D172=""),"",DATE($C172+2018,$D172,1))</f>
        <v/>
      </c>
    </row>
    <row r="173">
      <c r="A173" s="11" t="n"/>
      <c r="B173" s="12" t="n">
        <v>6402903</v>
      </c>
      <c r="C173" s="12" t="n">
        <v>7</v>
      </c>
      <c r="D173" s="12" t="n">
        <v>8</v>
      </c>
      <c r="E173" s="13" t="n">
        <v>205431</v>
      </c>
      <c r="F173" s="12" t="n"/>
      <c r="G173" s="13" t="n"/>
      <c r="H173" s="12" t="n"/>
      <c r="I173" s="12" t="n"/>
      <c r="J173" s="12" t="n"/>
      <c r="K173" s="12" t="n"/>
      <c r="L173" s="11" t="n"/>
      <c r="M173" s="11" t="n"/>
      <c r="N173" s="11" t="n"/>
      <c r="O173" s="11" t="n"/>
      <c r="P173" s="12" t="n"/>
      <c r="Q173" s="11" t="n"/>
      <c r="R173" s="12" t="n"/>
      <c r="S173" s="11" t="n"/>
      <c r="T173" s="12" t="n"/>
      <c r="U173" s="12" t="n"/>
      <c r="V173" s="14">
        <f>IF($AN173="",IF($B173="","",$H173),IF(INDEX(職員マスタ!$B$6:$B$405,$AN173)="",$H173,INDEX(職員マスタ!$B$6:$B$405,$AN173)))</f>
        <v/>
      </c>
      <c r="W173" s="14">
        <f>IF($AN173="",IF($B173="","",$R173),IF(INDEX(職員マスタ!$C$6:$C$405,$AN173)="",$R173,INDEX(職員マスタ!$C$6:$C$405,$AN173)))</f>
        <v/>
      </c>
      <c r="X173" s="14">
        <f>IF($AO173="","","R"&amp;$C173&amp;"."&amp;$D173)</f>
        <v/>
      </c>
      <c r="Y173" s="15">
        <f>IF($AN173="","",IF(INDEX(職員マスタ!$K$6:$K$405,$AN173)="","",INDEX(職員マスタ!$K$6:$K$405,$AN173)))</f>
        <v/>
      </c>
      <c r="Z173" s="14">
        <f>IF(OR($E173="",$Y173=""),"",IF($E173&gt;=$Y173,"×",IF($E173&gt;=$Y173*設定!$C$5,"△","○")))</f>
        <v/>
      </c>
      <c r="AA173" s="15">
        <f>IF($Z173="","",IF($Z173="×",0,IF($Z173="○",ROUNDDOWN($E173*設定!$C$4,0),ROUNDDOWN($E173*ROUND((9*$Y173-9*$E173)/(10*$E173),4),0))))</f>
        <v/>
      </c>
      <c r="AB173" s="13" t="n"/>
      <c r="AC173" s="15">
        <f>IF($B173="","",IF($AB173&lt;&gt;"",$AB173,IF($AA173="","",IF($AA173&lt;=設定!$C$3,0,$AA173))))</f>
        <v/>
      </c>
      <c r="AD173" s="14">
        <f>IF($B173="","",IF(AND($AE173&lt;&gt;"",$AG173="",$AJ173=""),"保留中",IF($AJ173&lt;&gt;"",IF(N($AC173)&gt;0,"支給済","不支給"),IF($AC173="","要確認",IF($AC173=0,"不支給","未処理")))))</f>
        <v/>
      </c>
      <c r="AE173" s="12" t="n"/>
      <c r="AF173" s="11" t="n"/>
      <c r="AG173" s="11" t="n"/>
      <c r="AH173" s="11" t="n"/>
      <c r="AI173" s="14">
        <f>IF(AND($AD173="保留中",$AF173&lt;&gt;""),TODAY()-$AF173,"")</f>
        <v/>
      </c>
      <c r="AJ173" s="12" t="inlineStr">
        <is>
          <t>R7.10</t>
        </is>
      </c>
      <c r="AK173" s="14">
        <f>IF($B173="","",IF($AO173="","対象年月が未入力／","")&amp;IF($B173="","",IF($AN173="","職員マスタに未登録の職員番号／",IF($Y173="","標準報酬月額が未登録／","")&amp;IF(AND($AO173&lt;&gt;"",OR(AND(INDEX(職員マスタ!$G$6:$G$405,$AN173)&lt;&gt;"",INDEX(職員マスタ!$G$6:$G$405,$AN173)&gt;EOMONTH($AO173,0)),AND(INDEX(職員マスタ!$H$6:$H$405,$AN173)&lt;&gt;"",INDEX(職員マスタ!$H$6:$H$405,$AN173)&lt;$AO173))),"対象月が時短期間外／","")&amp;IF(AND(INDEX(職員マスタ!$F$6:$F$405,$AN173)&lt;&gt;"",$AO173&lt;&gt;"",INDEX(職員マスタ!$F$6:$F$405,$AN173)&lt;$AO173),"対象月に子が2歳到達済／","")&amp;IF(AND($H173&lt;&gt;"",INDEX(職員マスタ!$B$6:$B$405,$AN173)&lt;&gt;"",SUBSTITUTE(SUBSTITUTE($H173," ","")," ","")&lt;&gt;SUBSTITUTE(SUBSTITUTE(INDEX(職員マスタ!$B$6:$B$405,$AN173)," ","")," ","")),"氏名がマスタと相違／","")&amp;IF(AND($Q173&lt;&gt;"",INDEX(職員マスタ!$E$6:$E$405,$AN173)&lt;&gt;"",$Q173&lt;&gt;INDEX(職員マスタ!$E$6:$E$405,$AN173)),"子の生年月日がマスタと相違／","")&amp;IF(AND($L173&lt;&gt;"",INDEX(職員マスタ!$G$6:$G$405,$AN173)&lt;&gt;"",$L173&lt;&gt;INDEX(職員マスタ!$G$6:$G$405,$AN173)),"時短開始日がマスタと相違／","")&amp;IF(AND($M173&lt;&gt;"",INDEX(職員マスタ!$H$6:$H$405,$AN173)&lt;&gt;"",$M173&lt;&gt;INDEX(職員マスタ!$H$6:$H$405,$AN173)),"時短終了日がマスタと相違／","")))&amp;IF(AND($B173&lt;&gt;"",$E173=""),"報酬額が未入力／","")&amp;IF(N($U173)&gt;0,"申請書に入力エラーが残っています／","")&amp;IF(AND($B173&lt;&gt;"",$AO173&lt;&gt;""),IF(COUNTIFS($B$6:$B$3005,$B173,$C$6:$C$3005,$C173,$D$6:$D$3005,$D173)&gt;1,"同じ月の請求が重複しています／",""),"")&amp;IF(AND(N($E173)&gt;0,$Z173&lt;&gt;"",$Z173&lt;&gt;"×",$AC173=0,$AB173=""),"計算額が下限以下のため不支給／",""))</f>
        <v/>
      </c>
      <c r="AL173" s="12" t="n"/>
      <c r="AM173" s="14">
        <f>IF($AD173="保留中",COUNTIF($AD$6:$AD173,"保留中"),"")</f>
        <v/>
      </c>
      <c r="AN173" s="14">
        <f>IF($AO173="","",IF(SUMPRODUCT(MAX((職員マスタ!$A$6:$A$405=$B173)*(((職員マスタ!$G$6:$G$405="")+(職員マスタ!$G$6:$G$405&lt;=EOMONTH($AO173,0)))&gt;0)*(((職員マスタ!$H$6:$H$405="")+(職員マスタ!$H$6:$H$405&gt;=$AO173))&gt;0)*(ROW(職員マスタ!$A$6:$A$405)-5)))&gt;0,SUMPRODUCT(MAX((職員マスタ!$A$6:$A$405=$B173)*(((職員マスタ!$G$6:$G$405="")+(職員マスタ!$G$6:$G$405&lt;=EOMONTH($AO173,0)))&gt;0)*(((職員マスタ!$H$6:$H$405="")+(職員マスタ!$H$6:$H$405&gt;=$AO173))&gt;0)*(ROW(職員マスタ!$A$6:$A$405)-5))),IFERROR(MATCH($B173,職員マスタ!$A$6:$A$405,0),"")))</f>
        <v/>
      </c>
      <c r="AO173" s="16">
        <f>IF(OR($B173="",$C173="",$D173=""),"",DATE($C173+2018,$D173,1))</f>
        <v/>
      </c>
    </row>
    <row r="174">
      <c r="A174" s="11" t="n"/>
      <c r="B174" s="12" t="n">
        <v>6402903</v>
      </c>
      <c r="C174" s="12" t="n">
        <v>7</v>
      </c>
      <c r="D174" s="12" t="n">
        <v>9</v>
      </c>
      <c r="E174" s="13" t="n">
        <v>205431</v>
      </c>
      <c r="F174" s="12" t="n"/>
      <c r="G174" s="13" t="n"/>
      <c r="H174" s="12" t="n"/>
      <c r="I174" s="12" t="n"/>
      <c r="J174" s="12" t="n"/>
      <c r="K174" s="12" t="n"/>
      <c r="L174" s="11" t="n"/>
      <c r="M174" s="11" t="n"/>
      <c r="N174" s="11" t="n"/>
      <c r="O174" s="11" t="n"/>
      <c r="P174" s="12" t="n"/>
      <c r="Q174" s="11" t="n"/>
      <c r="R174" s="12" t="n"/>
      <c r="S174" s="11" t="n"/>
      <c r="T174" s="12" t="n"/>
      <c r="U174" s="12" t="n"/>
      <c r="V174" s="14">
        <f>IF($AN174="",IF($B174="","",$H174),IF(INDEX(職員マスタ!$B$6:$B$405,$AN174)="",$H174,INDEX(職員マスタ!$B$6:$B$405,$AN174)))</f>
        <v/>
      </c>
      <c r="W174" s="14">
        <f>IF($AN174="",IF($B174="","",$R174),IF(INDEX(職員マスタ!$C$6:$C$405,$AN174)="",$R174,INDEX(職員マスタ!$C$6:$C$405,$AN174)))</f>
        <v/>
      </c>
      <c r="X174" s="14">
        <f>IF($AO174="","","R"&amp;$C174&amp;"."&amp;$D174)</f>
        <v/>
      </c>
      <c r="Y174" s="15">
        <f>IF($AN174="","",IF(INDEX(職員マスタ!$K$6:$K$405,$AN174)="","",INDEX(職員マスタ!$K$6:$K$405,$AN174)))</f>
        <v/>
      </c>
      <c r="Z174" s="14">
        <f>IF(OR($E174="",$Y174=""),"",IF($E174&gt;=$Y174,"×",IF($E174&gt;=$Y174*設定!$C$5,"△","○")))</f>
        <v/>
      </c>
      <c r="AA174" s="15">
        <f>IF($Z174="","",IF($Z174="×",0,IF($Z174="○",ROUNDDOWN($E174*設定!$C$4,0),ROUNDDOWN($E174*ROUND((9*$Y174-9*$E174)/(10*$E174),4),0))))</f>
        <v/>
      </c>
      <c r="AB174" s="13" t="n"/>
      <c r="AC174" s="15">
        <f>IF($B174="","",IF($AB174&lt;&gt;"",$AB174,IF($AA174="","",IF($AA174&lt;=設定!$C$3,0,$AA174))))</f>
        <v/>
      </c>
      <c r="AD174" s="14">
        <f>IF($B174="","",IF(AND($AE174&lt;&gt;"",$AG174="",$AJ174=""),"保留中",IF($AJ174&lt;&gt;"",IF(N($AC174)&gt;0,"支給済","不支給"),IF($AC174="","要確認",IF($AC174=0,"不支給","未処理")))))</f>
        <v/>
      </c>
      <c r="AE174" s="12" t="n"/>
      <c r="AF174" s="11" t="n"/>
      <c r="AG174" s="11" t="n"/>
      <c r="AH174" s="11" t="n"/>
      <c r="AI174" s="14">
        <f>IF(AND($AD174="保留中",$AF174&lt;&gt;""),TODAY()-$AF174,"")</f>
        <v/>
      </c>
      <c r="AJ174" s="12" t="inlineStr">
        <is>
          <t>R7.11</t>
        </is>
      </c>
      <c r="AK174" s="14">
        <f>IF($B174="","",IF($AO174="","対象年月が未入力／","")&amp;IF($B174="","",IF($AN174="","職員マスタに未登録の職員番号／",IF($Y174="","標準報酬月額が未登録／","")&amp;IF(AND($AO174&lt;&gt;"",OR(AND(INDEX(職員マスタ!$G$6:$G$405,$AN174)&lt;&gt;"",INDEX(職員マスタ!$G$6:$G$405,$AN174)&gt;EOMONTH($AO174,0)),AND(INDEX(職員マスタ!$H$6:$H$405,$AN174)&lt;&gt;"",INDEX(職員マスタ!$H$6:$H$405,$AN174)&lt;$AO174))),"対象月が時短期間外／","")&amp;IF(AND(INDEX(職員マスタ!$F$6:$F$405,$AN174)&lt;&gt;"",$AO174&lt;&gt;"",INDEX(職員マスタ!$F$6:$F$405,$AN174)&lt;$AO174),"対象月に子が2歳到達済／","")&amp;IF(AND($H174&lt;&gt;"",INDEX(職員マスタ!$B$6:$B$405,$AN174)&lt;&gt;"",SUBSTITUTE(SUBSTITUTE($H174," ","")," ","")&lt;&gt;SUBSTITUTE(SUBSTITUTE(INDEX(職員マスタ!$B$6:$B$405,$AN174)," ","")," ","")),"氏名がマスタと相違／","")&amp;IF(AND($Q174&lt;&gt;"",INDEX(職員マスタ!$E$6:$E$405,$AN174)&lt;&gt;"",$Q174&lt;&gt;INDEX(職員マスタ!$E$6:$E$405,$AN174)),"子の生年月日がマスタと相違／","")&amp;IF(AND($L174&lt;&gt;"",INDEX(職員マスタ!$G$6:$G$405,$AN174)&lt;&gt;"",$L174&lt;&gt;INDEX(職員マスタ!$G$6:$G$405,$AN174)),"時短開始日がマスタと相違／","")&amp;IF(AND($M174&lt;&gt;"",INDEX(職員マスタ!$H$6:$H$405,$AN174)&lt;&gt;"",$M174&lt;&gt;INDEX(職員マスタ!$H$6:$H$405,$AN174)),"時短終了日がマスタと相違／","")))&amp;IF(AND($B174&lt;&gt;"",$E174=""),"報酬額が未入力／","")&amp;IF(N($U174)&gt;0,"申請書に入力エラーが残っています／","")&amp;IF(AND($B174&lt;&gt;"",$AO174&lt;&gt;""),IF(COUNTIFS($B$6:$B$3005,$B174,$C$6:$C$3005,$C174,$D$6:$D$3005,$D174)&gt;1,"同じ月の請求が重複しています／",""),"")&amp;IF(AND(N($E174)&gt;0,$Z174&lt;&gt;"",$Z174&lt;&gt;"×",$AC174=0,$AB174=""),"計算額が下限以下のため不支給／",""))</f>
        <v/>
      </c>
      <c r="AL174" s="12" t="n"/>
      <c r="AM174" s="14">
        <f>IF($AD174="保留中",COUNTIF($AD$6:$AD174,"保留中"),"")</f>
        <v/>
      </c>
      <c r="AN174" s="14">
        <f>IF($AO174="","",IF(SUMPRODUCT(MAX((職員マスタ!$A$6:$A$405=$B174)*(((職員マスタ!$G$6:$G$405="")+(職員マスタ!$G$6:$G$405&lt;=EOMONTH($AO174,0)))&gt;0)*(((職員マスタ!$H$6:$H$405="")+(職員マスタ!$H$6:$H$405&gt;=$AO174))&gt;0)*(ROW(職員マスタ!$A$6:$A$405)-5)))&gt;0,SUMPRODUCT(MAX((職員マスタ!$A$6:$A$405=$B174)*(((職員マスタ!$G$6:$G$405="")+(職員マスタ!$G$6:$G$405&lt;=EOMONTH($AO174,0)))&gt;0)*(((職員マスタ!$H$6:$H$405="")+(職員マスタ!$H$6:$H$405&gt;=$AO174))&gt;0)*(ROW(職員マスタ!$A$6:$A$405)-5))),IFERROR(MATCH($B174,職員マスタ!$A$6:$A$405,0),"")))</f>
        <v/>
      </c>
      <c r="AO174" s="16">
        <f>IF(OR($B174="",$C174="",$D174=""),"",DATE($C174+2018,$D174,1))</f>
        <v/>
      </c>
    </row>
    <row r="175">
      <c r="A175" s="11" t="n"/>
      <c r="B175" s="12" t="n">
        <v>6402903</v>
      </c>
      <c r="C175" s="12" t="n">
        <v>7</v>
      </c>
      <c r="D175" s="12" t="n">
        <v>10</v>
      </c>
      <c r="E175" s="13" t="n">
        <v>205431</v>
      </c>
      <c r="F175" s="12" t="n"/>
      <c r="G175" s="13" t="n"/>
      <c r="H175" s="12" t="n"/>
      <c r="I175" s="12" t="n"/>
      <c r="J175" s="12" t="n"/>
      <c r="K175" s="12" t="n"/>
      <c r="L175" s="11" t="n"/>
      <c r="M175" s="11" t="n"/>
      <c r="N175" s="11" t="n"/>
      <c r="O175" s="11" t="n"/>
      <c r="P175" s="12" t="n"/>
      <c r="Q175" s="11" t="n"/>
      <c r="R175" s="12" t="n"/>
      <c r="S175" s="11" t="n"/>
      <c r="T175" s="12" t="n"/>
      <c r="U175" s="12" t="n"/>
      <c r="V175" s="14">
        <f>IF($AN175="",IF($B175="","",$H175),IF(INDEX(職員マスタ!$B$6:$B$405,$AN175)="",$H175,INDEX(職員マスタ!$B$6:$B$405,$AN175)))</f>
        <v/>
      </c>
      <c r="W175" s="14">
        <f>IF($AN175="",IF($B175="","",$R175),IF(INDEX(職員マスタ!$C$6:$C$405,$AN175)="",$R175,INDEX(職員マスタ!$C$6:$C$405,$AN175)))</f>
        <v/>
      </c>
      <c r="X175" s="14">
        <f>IF($AO175="","","R"&amp;$C175&amp;"."&amp;$D175)</f>
        <v/>
      </c>
      <c r="Y175" s="15">
        <f>IF($AN175="","",IF(INDEX(職員マスタ!$K$6:$K$405,$AN175)="","",INDEX(職員マスタ!$K$6:$K$405,$AN175)))</f>
        <v/>
      </c>
      <c r="Z175" s="14">
        <f>IF(OR($E175="",$Y175=""),"",IF($E175&gt;=$Y175,"×",IF($E175&gt;=$Y175*設定!$C$5,"△","○")))</f>
        <v/>
      </c>
      <c r="AA175" s="15">
        <f>IF($Z175="","",IF($Z175="×",0,IF($Z175="○",ROUNDDOWN($E175*設定!$C$4,0),ROUNDDOWN($E175*ROUND((9*$Y175-9*$E175)/(10*$E175),4),0))))</f>
        <v/>
      </c>
      <c r="AB175" s="13" t="n"/>
      <c r="AC175" s="15">
        <f>IF($B175="","",IF($AB175&lt;&gt;"",$AB175,IF($AA175="","",IF($AA175&lt;=設定!$C$3,0,$AA175))))</f>
        <v/>
      </c>
      <c r="AD175" s="14">
        <f>IF($B175="","",IF(AND($AE175&lt;&gt;"",$AG175="",$AJ175=""),"保留中",IF($AJ175&lt;&gt;"",IF(N($AC175)&gt;0,"支給済","不支給"),IF($AC175="","要確認",IF($AC175=0,"不支給","未処理")))))</f>
        <v/>
      </c>
      <c r="AE175" s="12" t="n"/>
      <c r="AF175" s="11" t="n"/>
      <c r="AG175" s="11" t="n"/>
      <c r="AH175" s="11" t="n"/>
      <c r="AI175" s="14">
        <f>IF(AND($AD175="保留中",$AF175&lt;&gt;""),TODAY()-$AF175,"")</f>
        <v/>
      </c>
      <c r="AJ175" s="12" t="inlineStr">
        <is>
          <t>R7.12</t>
        </is>
      </c>
      <c r="AK175" s="14">
        <f>IF($B175="","",IF($AO175="","対象年月が未入力／","")&amp;IF($B175="","",IF($AN175="","職員マスタに未登録の職員番号／",IF($Y175="","標準報酬月額が未登録／","")&amp;IF(AND($AO175&lt;&gt;"",OR(AND(INDEX(職員マスタ!$G$6:$G$405,$AN175)&lt;&gt;"",INDEX(職員マスタ!$G$6:$G$405,$AN175)&gt;EOMONTH($AO175,0)),AND(INDEX(職員マスタ!$H$6:$H$405,$AN175)&lt;&gt;"",INDEX(職員マスタ!$H$6:$H$405,$AN175)&lt;$AO175))),"対象月が時短期間外／","")&amp;IF(AND(INDEX(職員マスタ!$F$6:$F$405,$AN175)&lt;&gt;"",$AO175&lt;&gt;"",INDEX(職員マスタ!$F$6:$F$405,$AN175)&lt;$AO175),"対象月に子が2歳到達済／","")&amp;IF(AND($H175&lt;&gt;"",INDEX(職員マスタ!$B$6:$B$405,$AN175)&lt;&gt;"",SUBSTITUTE(SUBSTITUTE($H175," ","")," ","")&lt;&gt;SUBSTITUTE(SUBSTITUTE(INDEX(職員マスタ!$B$6:$B$405,$AN175)," ","")," ","")),"氏名がマスタと相違／","")&amp;IF(AND($Q175&lt;&gt;"",INDEX(職員マスタ!$E$6:$E$405,$AN175)&lt;&gt;"",$Q175&lt;&gt;INDEX(職員マスタ!$E$6:$E$405,$AN175)),"子の生年月日がマスタと相違／","")&amp;IF(AND($L175&lt;&gt;"",INDEX(職員マスタ!$G$6:$G$405,$AN175)&lt;&gt;"",$L175&lt;&gt;INDEX(職員マスタ!$G$6:$G$405,$AN175)),"時短開始日がマスタと相違／","")&amp;IF(AND($M175&lt;&gt;"",INDEX(職員マスタ!$H$6:$H$405,$AN175)&lt;&gt;"",$M175&lt;&gt;INDEX(職員マスタ!$H$6:$H$405,$AN175)),"時短終了日がマスタと相違／","")))&amp;IF(AND($B175&lt;&gt;"",$E175=""),"報酬額が未入力／","")&amp;IF(N($U175)&gt;0,"申請書に入力エラーが残っています／","")&amp;IF(AND($B175&lt;&gt;"",$AO175&lt;&gt;""),IF(COUNTIFS($B$6:$B$3005,$B175,$C$6:$C$3005,$C175,$D$6:$D$3005,$D175)&gt;1,"同じ月の請求が重複しています／",""),"")&amp;IF(AND(N($E175)&gt;0,$Z175&lt;&gt;"",$Z175&lt;&gt;"×",$AC175=0,$AB175=""),"計算額が下限以下のため不支給／",""))</f>
        <v/>
      </c>
      <c r="AL175" s="12" t="n"/>
      <c r="AM175" s="14">
        <f>IF($AD175="保留中",COUNTIF($AD$6:$AD175,"保留中"),"")</f>
        <v/>
      </c>
      <c r="AN175" s="14">
        <f>IF($AO175="","",IF(SUMPRODUCT(MAX((職員マスタ!$A$6:$A$405=$B175)*(((職員マスタ!$G$6:$G$405="")+(職員マスタ!$G$6:$G$405&lt;=EOMONTH($AO175,0)))&gt;0)*(((職員マスタ!$H$6:$H$405="")+(職員マスタ!$H$6:$H$405&gt;=$AO175))&gt;0)*(ROW(職員マスタ!$A$6:$A$405)-5)))&gt;0,SUMPRODUCT(MAX((職員マスタ!$A$6:$A$405=$B175)*(((職員マスタ!$G$6:$G$405="")+(職員マスタ!$G$6:$G$405&lt;=EOMONTH($AO175,0)))&gt;0)*(((職員マスタ!$H$6:$H$405="")+(職員マスタ!$H$6:$H$405&gt;=$AO175))&gt;0)*(ROW(職員マスタ!$A$6:$A$405)-5))),IFERROR(MATCH($B175,職員マスタ!$A$6:$A$405,0),"")))</f>
        <v/>
      </c>
      <c r="AO175" s="16">
        <f>IF(OR($B175="",$C175="",$D175=""),"",DATE($C175+2018,$D175,1))</f>
        <v/>
      </c>
    </row>
    <row r="176">
      <c r="A176" s="11" t="n"/>
      <c r="B176" s="12" t="n">
        <v>6402903</v>
      </c>
      <c r="C176" s="12" t="n">
        <v>7</v>
      </c>
      <c r="D176" s="12" t="n">
        <v>11</v>
      </c>
      <c r="E176" s="13" t="n">
        <v>207397</v>
      </c>
      <c r="F176" s="12" t="n"/>
      <c r="G176" s="13" t="n"/>
      <c r="H176" s="12" t="n"/>
      <c r="I176" s="12" t="n"/>
      <c r="J176" s="12" t="n"/>
      <c r="K176" s="12" t="n"/>
      <c r="L176" s="11" t="n"/>
      <c r="M176" s="11" t="n"/>
      <c r="N176" s="11" t="n"/>
      <c r="O176" s="11" t="n"/>
      <c r="P176" s="12" t="n"/>
      <c r="Q176" s="11" t="n"/>
      <c r="R176" s="12" t="n"/>
      <c r="S176" s="11" t="n"/>
      <c r="T176" s="12" t="n"/>
      <c r="U176" s="12" t="n"/>
      <c r="V176" s="14">
        <f>IF($AN176="",IF($B176="","",$H176),IF(INDEX(職員マスタ!$B$6:$B$405,$AN176)="",$H176,INDEX(職員マスタ!$B$6:$B$405,$AN176)))</f>
        <v/>
      </c>
      <c r="W176" s="14">
        <f>IF($AN176="",IF($B176="","",$R176),IF(INDEX(職員マスタ!$C$6:$C$405,$AN176)="",$R176,INDEX(職員マスタ!$C$6:$C$405,$AN176)))</f>
        <v/>
      </c>
      <c r="X176" s="14">
        <f>IF($AO176="","","R"&amp;$C176&amp;"."&amp;$D176)</f>
        <v/>
      </c>
      <c r="Y176" s="15">
        <f>IF($AN176="","",IF(INDEX(職員マスタ!$K$6:$K$405,$AN176)="","",INDEX(職員マスタ!$K$6:$K$405,$AN176)))</f>
        <v/>
      </c>
      <c r="Z176" s="14">
        <f>IF(OR($E176="",$Y176=""),"",IF($E176&gt;=$Y176,"×",IF($E176&gt;=$Y176*設定!$C$5,"△","○")))</f>
        <v/>
      </c>
      <c r="AA176" s="15">
        <f>IF($Z176="","",IF($Z176="×",0,IF($Z176="○",ROUNDDOWN($E176*設定!$C$4,0),ROUNDDOWN($E176*ROUND((9*$Y176-9*$E176)/(10*$E176),4),0))))</f>
        <v/>
      </c>
      <c r="AB176" s="13" t="n"/>
      <c r="AC176" s="15">
        <f>IF($B176="","",IF($AB176&lt;&gt;"",$AB176,IF($AA176="","",IF($AA176&lt;=設定!$C$3,0,$AA176))))</f>
        <v/>
      </c>
      <c r="AD176" s="14">
        <f>IF($B176="","",IF(AND($AE176&lt;&gt;"",$AG176="",$AJ176=""),"保留中",IF($AJ176&lt;&gt;"",IF(N($AC176)&gt;0,"支給済","不支給"),IF($AC176="","要確認",IF($AC176=0,"不支給","未処理")))))</f>
        <v/>
      </c>
      <c r="AE176" s="12" t="n"/>
      <c r="AF176" s="11" t="n"/>
      <c r="AG176" s="11" t="n"/>
      <c r="AH176" s="11" t="n"/>
      <c r="AI176" s="14">
        <f>IF(AND($AD176="保留中",$AF176&lt;&gt;""),TODAY()-$AF176,"")</f>
        <v/>
      </c>
      <c r="AJ176" s="12" t="inlineStr">
        <is>
          <t>R8.1</t>
        </is>
      </c>
      <c r="AK176" s="14">
        <f>IF($B176="","",IF($AO176="","対象年月が未入力／","")&amp;IF($B176="","",IF($AN176="","職員マスタに未登録の職員番号／",IF($Y176="","標準報酬月額が未登録／","")&amp;IF(AND($AO176&lt;&gt;"",OR(AND(INDEX(職員マスタ!$G$6:$G$405,$AN176)&lt;&gt;"",INDEX(職員マスタ!$G$6:$G$405,$AN176)&gt;EOMONTH($AO176,0)),AND(INDEX(職員マスタ!$H$6:$H$405,$AN176)&lt;&gt;"",INDEX(職員マスタ!$H$6:$H$405,$AN176)&lt;$AO176))),"対象月が時短期間外／","")&amp;IF(AND(INDEX(職員マスタ!$F$6:$F$405,$AN176)&lt;&gt;"",$AO176&lt;&gt;"",INDEX(職員マスタ!$F$6:$F$405,$AN176)&lt;$AO176),"対象月に子が2歳到達済／","")&amp;IF(AND($H176&lt;&gt;"",INDEX(職員マスタ!$B$6:$B$405,$AN176)&lt;&gt;"",SUBSTITUTE(SUBSTITUTE($H176," ","")," ","")&lt;&gt;SUBSTITUTE(SUBSTITUTE(INDEX(職員マスタ!$B$6:$B$405,$AN176)," ","")," ","")),"氏名がマスタと相違／","")&amp;IF(AND($Q176&lt;&gt;"",INDEX(職員マスタ!$E$6:$E$405,$AN176)&lt;&gt;"",$Q176&lt;&gt;INDEX(職員マスタ!$E$6:$E$405,$AN176)),"子の生年月日がマスタと相違／","")&amp;IF(AND($L176&lt;&gt;"",INDEX(職員マスタ!$G$6:$G$405,$AN176)&lt;&gt;"",$L176&lt;&gt;INDEX(職員マスタ!$G$6:$G$405,$AN176)),"時短開始日がマスタと相違／","")&amp;IF(AND($M176&lt;&gt;"",INDEX(職員マスタ!$H$6:$H$405,$AN176)&lt;&gt;"",$M176&lt;&gt;INDEX(職員マスタ!$H$6:$H$405,$AN176)),"時短終了日がマスタと相違／","")))&amp;IF(AND($B176&lt;&gt;"",$E176=""),"報酬額が未入力／","")&amp;IF(N($U176)&gt;0,"申請書に入力エラーが残っています／","")&amp;IF(AND($B176&lt;&gt;"",$AO176&lt;&gt;""),IF(COUNTIFS($B$6:$B$3005,$B176,$C$6:$C$3005,$C176,$D$6:$D$3005,$D176)&gt;1,"同じ月の請求が重複しています／",""),"")&amp;IF(AND(N($E176)&gt;0,$Z176&lt;&gt;"",$Z176&lt;&gt;"×",$AC176=0,$AB176=""),"計算額が下限以下のため不支給／",""))</f>
        <v/>
      </c>
      <c r="AL176" s="12" t="n"/>
      <c r="AM176" s="14">
        <f>IF($AD176="保留中",COUNTIF($AD$6:$AD176,"保留中"),"")</f>
        <v/>
      </c>
      <c r="AN176" s="14">
        <f>IF($AO176="","",IF(SUMPRODUCT(MAX((職員マスタ!$A$6:$A$405=$B176)*(((職員マスタ!$G$6:$G$405="")+(職員マスタ!$G$6:$G$405&lt;=EOMONTH($AO176,0)))&gt;0)*(((職員マスタ!$H$6:$H$405="")+(職員マスタ!$H$6:$H$405&gt;=$AO176))&gt;0)*(ROW(職員マスタ!$A$6:$A$405)-5)))&gt;0,SUMPRODUCT(MAX((職員マスタ!$A$6:$A$405=$B176)*(((職員マスタ!$G$6:$G$405="")+(職員マスタ!$G$6:$G$405&lt;=EOMONTH($AO176,0)))&gt;0)*(((職員マスタ!$H$6:$H$405="")+(職員マスタ!$H$6:$H$405&gt;=$AO176))&gt;0)*(ROW(職員マスタ!$A$6:$A$405)-5))),IFERROR(MATCH($B176,職員マスタ!$A$6:$A$405,0),"")))</f>
        <v/>
      </c>
      <c r="AO176" s="16">
        <f>IF(OR($B176="",$C176="",$D176=""),"",DATE($C176+2018,$D176,1))</f>
        <v/>
      </c>
    </row>
    <row r="177">
      <c r="A177" s="11" t="n"/>
      <c r="B177" s="12" t="n">
        <v>6402903</v>
      </c>
      <c r="C177" s="12" t="n">
        <v>7</v>
      </c>
      <c r="D177" s="12" t="n">
        <v>12</v>
      </c>
      <c r="E177" s="13" t="n">
        <v>212646</v>
      </c>
      <c r="F177" s="12" t="n"/>
      <c r="G177" s="13" t="n"/>
      <c r="H177" s="12" t="n"/>
      <c r="I177" s="12" t="n"/>
      <c r="J177" s="12" t="n"/>
      <c r="K177" s="12" t="n"/>
      <c r="L177" s="11" t="n"/>
      <c r="M177" s="11" t="n"/>
      <c r="N177" s="11" t="n"/>
      <c r="O177" s="11" t="n"/>
      <c r="P177" s="12" t="n"/>
      <c r="Q177" s="11" t="n"/>
      <c r="R177" s="12" t="n"/>
      <c r="S177" s="11" t="n"/>
      <c r="T177" s="12" t="n"/>
      <c r="U177" s="12" t="n"/>
      <c r="V177" s="14">
        <f>IF($AN177="",IF($B177="","",$H177),IF(INDEX(職員マスタ!$B$6:$B$405,$AN177)="",$H177,INDEX(職員マスタ!$B$6:$B$405,$AN177)))</f>
        <v/>
      </c>
      <c r="W177" s="14">
        <f>IF($AN177="",IF($B177="","",$R177),IF(INDEX(職員マスタ!$C$6:$C$405,$AN177)="",$R177,INDEX(職員マスタ!$C$6:$C$405,$AN177)))</f>
        <v/>
      </c>
      <c r="X177" s="14">
        <f>IF($AO177="","","R"&amp;$C177&amp;"."&amp;$D177)</f>
        <v/>
      </c>
      <c r="Y177" s="15">
        <f>IF($AN177="","",IF(INDEX(職員マスタ!$K$6:$K$405,$AN177)="","",INDEX(職員マスタ!$K$6:$K$405,$AN177)))</f>
        <v/>
      </c>
      <c r="Z177" s="14">
        <f>IF(OR($E177="",$Y177=""),"",IF($E177&gt;=$Y177,"×",IF($E177&gt;=$Y177*設定!$C$5,"△","○")))</f>
        <v/>
      </c>
      <c r="AA177" s="15">
        <f>IF($Z177="","",IF($Z177="×",0,IF($Z177="○",ROUNDDOWN($E177*設定!$C$4,0),ROUNDDOWN($E177*ROUND((9*$Y177-9*$E177)/(10*$E177),4),0))))</f>
        <v/>
      </c>
      <c r="AB177" s="13" t="n"/>
      <c r="AC177" s="15">
        <f>IF($B177="","",IF($AB177&lt;&gt;"",$AB177,IF($AA177="","",IF($AA177&lt;=設定!$C$3,0,$AA177))))</f>
        <v/>
      </c>
      <c r="AD177" s="14">
        <f>IF($B177="","",IF(AND($AE177&lt;&gt;"",$AG177="",$AJ177=""),"保留中",IF($AJ177&lt;&gt;"",IF(N($AC177)&gt;0,"支給済","不支給"),IF($AC177="","要確認",IF($AC177=0,"不支給","未処理")))))</f>
        <v/>
      </c>
      <c r="AE177" s="12" t="n"/>
      <c r="AF177" s="11" t="n"/>
      <c r="AG177" s="11" t="n"/>
      <c r="AH177" s="11" t="n"/>
      <c r="AI177" s="14">
        <f>IF(AND($AD177="保留中",$AF177&lt;&gt;""),TODAY()-$AF177,"")</f>
        <v/>
      </c>
      <c r="AJ177" s="12" t="inlineStr">
        <is>
          <t>R8.2</t>
        </is>
      </c>
      <c r="AK177" s="14">
        <f>IF($B177="","",IF($AO177="","対象年月が未入力／","")&amp;IF($B177="","",IF($AN177="","職員マスタに未登録の職員番号／",IF($Y177="","標準報酬月額が未登録／","")&amp;IF(AND($AO177&lt;&gt;"",OR(AND(INDEX(職員マスタ!$G$6:$G$405,$AN177)&lt;&gt;"",INDEX(職員マスタ!$G$6:$G$405,$AN177)&gt;EOMONTH($AO177,0)),AND(INDEX(職員マスタ!$H$6:$H$405,$AN177)&lt;&gt;"",INDEX(職員マスタ!$H$6:$H$405,$AN177)&lt;$AO177))),"対象月が時短期間外／","")&amp;IF(AND(INDEX(職員マスタ!$F$6:$F$405,$AN177)&lt;&gt;"",$AO177&lt;&gt;"",INDEX(職員マスタ!$F$6:$F$405,$AN177)&lt;$AO177),"対象月に子が2歳到達済／","")&amp;IF(AND($H177&lt;&gt;"",INDEX(職員マスタ!$B$6:$B$405,$AN177)&lt;&gt;"",SUBSTITUTE(SUBSTITUTE($H177," ","")," ","")&lt;&gt;SUBSTITUTE(SUBSTITUTE(INDEX(職員マスタ!$B$6:$B$405,$AN177)," ","")," ","")),"氏名がマスタと相違／","")&amp;IF(AND($Q177&lt;&gt;"",INDEX(職員マスタ!$E$6:$E$405,$AN177)&lt;&gt;"",$Q177&lt;&gt;INDEX(職員マスタ!$E$6:$E$405,$AN177)),"子の生年月日がマスタと相違／","")&amp;IF(AND($L177&lt;&gt;"",INDEX(職員マスタ!$G$6:$G$405,$AN177)&lt;&gt;"",$L177&lt;&gt;INDEX(職員マスタ!$G$6:$G$405,$AN177)),"時短開始日がマスタと相違／","")&amp;IF(AND($M177&lt;&gt;"",INDEX(職員マスタ!$H$6:$H$405,$AN177)&lt;&gt;"",$M177&lt;&gt;INDEX(職員マスタ!$H$6:$H$405,$AN177)),"時短終了日がマスタと相違／","")))&amp;IF(AND($B177&lt;&gt;"",$E177=""),"報酬額が未入力／","")&amp;IF(N($U177)&gt;0,"申請書に入力エラーが残っています／","")&amp;IF(AND($B177&lt;&gt;"",$AO177&lt;&gt;""),IF(COUNTIFS($B$6:$B$3005,$B177,$C$6:$C$3005,$C177,$D$6:$D$3005,$D177)&gt;1,"同じ月の請求が重複しています／",""),"")&amp;IF(AND(N($E177)&gt;0,$Z177&lt;&gt;"",$Z177&lt;&gt;"×",$AC177=0,$AB177=""),"計算額が下限以下のため不支給／",""))</f>
        <v/>
      </c>
      <c r="AL177" s="12" t="n"/>
      <c r="AM177" s="14">
        <f>IF($AD177="保留中",COUNTIF($AD$6:$AD177,"保留中"),"")</f>
        <v/>
      </c>
      <c r="AN177" s="14">
        <f>IF($AO177="","",IF(SUMPRODUCT(MAX((職員マスタ!$A$6:$A$405=$B177)*(((職員マスタ!$G$6:$G$405="")+(職員マスタ!$G$6:$G$405&lt;=EOMONTH($AO177,0)))&gt;0)*(((職員マスタ!$H$6:$H$405="")+(職員マスタ!$H$6:$H$405&gt;=$AO177))&gt;0)*(ROW(職員マスタ!$A$6:$A$405)-5)))&gt;0,SUMPRODUCT(MAX((職員マスタ!$A$6:$A$405=$B177)*(((職員マスタ!$G$6:$G$405="")+(職員マスタ!$G$6:$G$405&lt;=EOMONTH($AO177,0)))&gt;0)*(((職員マスタ!$H$6:$H$405="")+(職員マスタ!$H$6:$H$405&gt;=$AO177))&gt;0)*(ROW(職員マスタ!$A$6:$A$405)-5))),IFERROR(MATCH($B177,職員マスタ!$A$6:$A$405,0),"")))</f>
        <v/>
      </c>
      <c r="AO177" s="16">
        <f>IF(OR($B177="",$C177="",$D177=""),"",DATE($C177+2018,$D177,1))</f>
        <v/>
      </c>
    </row>
    <row r="178">
      <c r="A178" s="11" t="n"/>
      <c r="B178" s="12" t="n">
        <v>6402903</v>
      </c>
      <c r="C178" s="12" t="n">
        <v>8</v>
      </c>
      <c r="D178" s="12" t="n">
        <v>1</v>
      </c>
      <c r="E178" s="13" t="n">
        <v>218769</v>
      </c>
      <c r="F178" s="12" t="n"/>
      <c r="G178" s="13" t="n"/>
      <c r="H178" s="12" t="n"/>
      <c r="I178" s="12" t="n"/>
      <c r="J178" s="12" t="n"/>
      <c r="K178" s="12" t="n"/>
      <c r="L178" s="11" t="n"/>
      <c r="M178" s="11" t="n"/>
      <c r="N178" s="11" t="n"/>
      <c r="O178" s="11" t="n"/>
      <c r="P178" s="12" t="n"/>
      <c r="Q178" s="11" t="n"/>
      <c r="R178" s="12" t="n"/>
      <c r="S178" s="11" t="n"/>
      <c r="T178" s="12" t="n"/>
      <c r="U178" s="12" t="n"/>
      <c r="V178" s="14">
        <f>IF($AN178="",IF($B178="","",$H178),IF(INDEX(職員マスタ!$B$6:$B$405,$AN178)="",$H178,INDEX(職員マスタ!$B$6:$B$405,$AN178)))</f>
        <v/>
      </c>
      <c r="W178" s="14">
        <f>IF($AN178="",IF($B178="","",$R178),IF(INDEX(職員マスタ!$C$6:$C$405,$AN178)="",$R178,INDEX(職員マスタ!$C$6:$C$405,$AN178)))</f>
        <v/>
      </c>
      <c r="X178" s="14">
        <f>IF($AO178="","","R"&amp;$C178&amp;"."&amp;$D178)</f>
        <v/>
      </c>
      <c r="Y178" s="15">
        <f>IF($AN178="","",IF(INDEX(職員マスタ!$K$6:$K$405,$AN178)="","",INDEX(職員マスタ!$K$6:$K$405,$AN178)))</f>
        <v/>
      </c>
      <c r="Z178" s="14">
        <f>IF(OR($E178="",$Y178=""),"",IF($E178&gt;=$Y178,"×",IF($E178&gt;=$Y178*設定!$C$5,"△","○")))</f>
        <v/>
      </c>
      <c r="AA178" s="15">
        <f>IF($Z178="","",IF($Z178="×",0,IF($Z178="○",ROUNDDOWN($E178*設定!$C$4,0),ROUNDDOWN($E178*ROUND((9*$Y178-9*$E178)/(10*$E178),4),0))))</f>
        <v/>
      </c>
      <c r="AB178" s="13" t="n"/>
      <c r="AC178" s="15">
        <f>IF($B178="","",IF($AB178&lt;&gt;"",$AB178,IF($AA178="","",IF($AA178&lt;=設定!$C$3,0,$AA178))))</f>
        <v/>
      </c>
      <c r="AD178" s="14">
        <f>IF($B178="","",IF(AND($AE178&lt;&gt;"",$AG178="",$AJ178=""),"保留中",IF($AJ178&lt;&gt;"",IF(N($AC178)&gt;0,"支給済","不支給"),IF($AC178="","要確認",IF($AC178=0,"不支給","未処理")))))</f>
        <v/>
      </c>
      <c r="AE178" s="12" t="n"/>
      <c r="AF178" s="11" t="n"/>
      <c r="AG178" s="11" t="n"/>
      <c r="AH178" s="11" t="n"/>
      <c r="AI178" s="14">
        <f>IF(AND($AD178="保留中",$AF178&lt;&gt;""),TODAY()-$AF178,"")</f>
        <v/>
      </c>
      <c r="AJ178" s="12" t="inlineStr">
        <is>
          <t>R8.3</t>
        </is>
      </c>
      <c r="AK178" s="14">
        <f>IF($B178="","",IF($AO178="","対象年月が未入力／","")&amp;IF($B178="","",IF($AN178="","職員マスタに未登録の職員番号／",IF($Y178="","標準報酬月額が未登録／","")&amp;IF(AND($AO178&lt;&gt;"",OR(AND(INDEX(職員マスタ!$G$6:$G$405,$AN178)&lt;&gt;"",INDEX(職員マスタ!$G$6:$G$405,$AN178)&gt;EOMONTH($AO178,0)),AND(INDEX(職員マスタ!$H$6:$H$405,$AN178)&lt;&gt;"",INDEX(職員マスタ!$H$6:$H$405,$AN178)&lt;$AO178))),"対象月が時短期間外／","")&amp;IF(AND(INDEX(職員マスタ!$F$6:$F$405,$AN178)&lt;&gt;"",$AO178&lt;&gt;"",INDEX(職員マスタ!$F$6:$F$405,$AN178)&lt;$AO178),"対象月に子が2歳到達済／","")&amp;IF(AND($H178&lt;&gt;"",INDEX(職員マスタ!$B$6:$B$405,$AN178)&lt;&gt;"",SUBSTITUTE(SUBSTITUTE($H178," ","")," ","")&lt;&gt;SUBSTITUTE(SUBSTITUTE(INDEX(職員マスタ!$B$6:$B$405,$AN178)," ","")," ","")),"氏名がマスタと相違／","")&amp;IF(AND($Q178&lt;&gt;"",INDEX(職員マスタ!$E$6:$E$405,$AN178)&lt;&gt;"",$Q178&lt;&gt;INDEX(職員マスタ!$E$6:$E$405,$AN178)),"子の生年月日がマスタと相違／","")&amp;IF(AND($L178&lt;&gt;"",INDEX(職員マスタ!$G$6:$G$405,$AN178)&lt;&gt;"",$L178&lt;&gt;INDEX(職員マスタ!$G$6:$G$405,$AN178)),"時短開始日がマスタと相違／","")&amp;IF(AND($M178&lt;&gt;"",INDEX(職員マスタ!$H$6:$H$405,$AN178)&lt;&gt;"",$M178&lt;&gt;INDEX(職員マスタ!$H$6:$H$405,$AN178)),"時短終了日がマスタと相違／","")))&amp;IF(AND($B178&lt;&gt;"",$E178=""),"報酬額が未入力／","")&amp;IF(N($U178)&gt;0,"申請書に入力エラーが残っています／","")&amp;IF(AND($B178&lt;&gt;"",$AO178&lt;&gt;""),IF(COUNTIFS($B$6:$B$3005,$B178,$C$6:$C$3005,$C178,$D$6:$D$3005,$D178)&gt;1,"同じ月の請求が重複しています／",""),"")&amp;IF(AND(N($E178)&gt;0,$Z178&lt;&gt;"",$Z178&lt;&gt;"×",$AC178=0,$AB178=""),"計算額が下限以下のため不支給／",""))</f>
        <v/>
      </c>
      <c r="AL178" s="12" t="n"/>
      <c r="AM178" s="14">
        <f>IF($AD178="保留中",COUNTIF($AD$6:$AD178,"保留中"),"")</f>
        <v/>
      </c>
      <c r="AN178" s="14">
        <f>IF($AO178="","",IF(SUMPRODUCT(MAX((職員マスタ!$A$6:$A$405=$B178)*(((職員マスタ!$G$6:$G$405="")+(職員マスタ!$G$6:$G$405&lt;=EOMONTH($AO178,0)))&gt;0)*(((職員マスタ!$H$6:$H$405="")+(職員マスタ!$H$6:$H$405&gt;=$AO178))&gt;0)*(ROW(職員マスタ!$A$6:$A$405)-5)))&gt;0,SUMPRODUCT(MAX((職員マスタ!$A$6:$A$405=$B178)*(((職員マスタ!$G$6:$G$405="")+(職員マスタ!$G$6:$G$405&lt;=EOMONTH($AO178,0)))&gt;0)*(((職員マスタ!$H$6:$H$405="")+(職員マスタ!$H$6:$H$405&gt;=$AO178))&gt;0)*(ROW(職員マスタ!$A$6:$A$405)-5))),IFERROR(MATCH($B178,職員マスタ!$A$6:$A$405,0),"")))</f>
        <v/>
      </c>
      <c r="AO178" s="16">
        <f>IF(OR($B178="",$C178="",$D178=""),"",DATE($C178+2018,$D178,1))</f>
        <v/>
      </c>
    </row>
    <row r="179">
      <c r="A179" s="11" t="n"/>
      <c r="B179" s="12" t="n">
        <v>6402911</v>
      </c>
      <c r="C179" s="12" t="n">
        <v>8</v>
      </c>
      <c r="D179" s="12" t="n">
        <v>5</v>
      </c>
      <c r="E179" s="13" t="n">
        <v>207533</v>
      </c>
      <c r="F179" s="12" t="n"/>
      <c r="G179" s="13" t="n"/>
      <c r="H179" s="12" t="n"/>
      <c r="I179" s="12" t="n"/>
      <c r="J179" s="12" t="n"/>
      <c r="K179" s="12" t="n"/>
      <c r="L179" s="11" t="n"/>
      <c r="M179" s="11" t="n"/>
      <c r="N179" s="11" t="n"/>
      <c r="O179" s="11" t="n"/>
      <c r="P179" s="12" t="n"/>
      <c r="Q179" s="11" t="n"/>
      <c r="R179" s="12" t="n"/>
      <c r="S179" s="11" t="n"/>
      <c r="T179" s="12" t="n"/>
      <c r="U179" s="12" t="n"/>
      <c r="V179" s="14">
        <f>IF($AN179="",IF($B179="","",$H179),IF(INDEX(職員マスタ!$B$6:$B$405,$AN179)="",$H179,INDEX(職員マスタ!$B$6:$B$405,$AN179)))</f>
        <v/>
      </c>
      <c r="W179" s="14">
        <f>IF($AN179="",IF($B179="","",$R179),IF(INDEX(職員マスタ!$C$6:$C$405,$AN179)="",$R179,INDEX(職員マスタ!$C$6:$C$405,$AN179)))</f>
        <v/>
      </c>
      <c r="X179" s="14">
        <f>IF($AO179="","","R"&amp;$C179&amp;"."&amp;$D179)</f>
        <v/>
      </c>
      <c r="Y179" s="15">
        <f>IF($AN179="","",IF(INDEX(職員マスタ!$K$6:$K$405,$AN179)="","",INDEX(職員マスタ!$K$6:$K$405,$AN179)))</f>
        <v/>
      </c>
      <c r="Z179" s="14">
        <f>IF(OR($E179="",$Y179=""),"",IF($E179&gt;=$Y179,"×",IF($E179&gt;=$Y179*設定!$C$5,"△","○")))</f>
        <v/>
      </c>
      <c r="AA179" s="15">
        <f>IF($Z179="","",IF($Z179="×",0,IF($Z179="○",ROUNDDOWN($E179*設定!$C$4,0),ROUNDDOWN($E179*ROUND((9*$Y179-9*$E179)/(10*$E179),4),0))))</f>
        <v/>
      </c>
      <c r="AB179" s="13" t="n"/>
      <c r="AC179" s="15">
        <f>IF($B179="","",IF($AB179&lt;&gt;"",$AB179,IF($AA179="","",IF($AA179&lt;=設定!$C$3,0,$AA179))))</f>
        <v/>
      </c>
      <c r="AD179" s="14">
        <f>IF($B179="","",IF(AND($AE179&lt;&gt;"",$AG179="",$AJ179=""),"保留中",IF($AJ179&lt;&gt;"",IF(N($AC179)&gt;0,"支給済","不支給"),IF($AC179="","要確認",IF($AC179=0,"不支給","未処理")))))</f>
        <v/>
      </c>
      <c r="AE179" s="12" t="n"/>
      <c r="AF179" s="11" t="n"/>
      <c r="AG179" s="11" t="n"/>
      <c r="AH179" s="11" t="n"/>
      <c r="AI179" s="14">
        <f>IF(AND($AD179="保留中",$AF179&lt;&gt;""),TODAY()-$AF179,"")</f>
        <v/>
      </c>
      <c r="AJ179" s="12" t="inlineStr">
        <is>
          <t>R8.10</t>
        </is>
      </c>
      <c r="AK179" s="14">
        <f>IF($B179="","",IF($AO179="","対象年月が未入力／","")&amp;IF($B179="","",IF($AN179="","職員マスタに未登録の職員番号／",IF($Y179="","標準報酬月額が未登録／","")&amp;IF(AND($AO179&lt;&gt;"",OR(AND(INDEX(職員マスタ!$G$6:$G$405,$AN179)&lt;&gt;"",INDEX(職員マスタ!$G$6:$G$405,$AN179)&gt;EOMONTH($AO179,0)),AND(INDEX(職員マスタ!$H$6:$H$405,$AN179)&lt;&gt;"",INDEX(職員マスタ!$H$6:$H$405,$AN179)&lt;$AO179))),"対象月が時短期間外／","")&amp;IF(AND(INDEX(職員マスタ!$F$6:$F$405,$AN179)&lt;&gt;"",$AO179&lt;&gt;"",INDEX(職員マスタ!$F$6:$F$405,$AN179)&lt;$AO179),"対象月に子が2歳到達済／","")&amp;IF(AND($H179&lt;&gt;"",INDEX(職員マスタ!$B$6:$B$405,$AN179)&lt;&gt;"",SUBSTITUTE(SUBSTITUTE($H179," ","")," ","")&lt;&gt;SUBSTITUTE(SUBSTITUTE(INDEX(職員マスタ!$B$6:$B$405,$AN179)," ","")," ","")),"氏名がマスタと相違／","")&amp;IF(AND($Q179&lt;&gt;"",INDEX(職員マスタ!$E$6:$E$405,$AN179)&lt;&gt;"",$Q179&lt;&gt;INDEX(職員マスタ!$E$6:$E$405,$AN179)),"子の生年月日がマスタと相違／","")&amp;IF(AND($L179&lt;&gt;"",INDEX(職員マスタ!$G$6:$G$405,$AN179)&lt;&gt;"",$L179&lt;&gt;INDEX(職員マスタ!$G$6:$G$405,$AN179)),"時短開始日がマスタと相違／","")&amp;IF(AND($M179&lt;&gt;"",INDEX(職員マスタ!$H$6:$H$405,$AN179)&lt;&gt;"",$M179&lt;&gt;INDEX(職員マスタ!$H$6:$H$405,$AN179)),"時短終了日がマスタと相違／","")))&amp;IF(AND($B179&lt;&gt;"",$E179=""),"報酬額が未入力／","")&amp;IF(N($U179)&gt;0,"申請書に入力エラーが残っています／","")&amp;IF(AND($B179&lt;&gt;"",$AO179&lt;&gt;""),IF(COUNTIFS($B$6:$B$3005,$B179,$C$6:$C$3005,$C179,$D$6:$D$3005,$D179)&gt;1,"同じ月の請求が重複しています／",""),"")&amp;IF(AND(N($E179)&gt;0,$Z179&lt;&gt;"",$Z179&lt;&gt;"×",$AC179=0,$AB179=""),"計算額が下限以下のため不支給／",""))</f>
        <v/>
      </c>
      <c r="AL179" s="12" t="n"/>
      <c r="AM179" s="14">
        <f>IF($AD179="保留中",COUNTIF($AD$6:$AD179,"保留中"),"")</f>
        <v/>
      </c>
      <c r="AN179" s="14">
        <f>IF($AO179="","",IF(SUMPRODUCT(MAX((職員マスタ!$A$6:$A$405=$B179)*(((職員マスタ!$G$6:$G$405="")+(職員マスタ!$G$6:$G$405&lt;=EOMONTH($AO179,0)))&gt;0)*(((職員マスタ!$H$6:$H$405="")+(職員マスタ!$H$6:$H$405&gt;=$AO179))&gt;0)*(ROW(職員マスタ!$A$6:$A$405)-5)))&gt;0,SUMPRODUCT(MAX((職員マスタ!$A$6:$A$405=$B179)*(((職員マスタ!$G$6:$G$405="")+(職員マスタ!$G$6:$G$405&lt;=EOMONTH($AO179,0)))&gt;0)*(((職員マスタ!$H$6:$H$405="")+(職員マスタ!$H$6:$H$405&gt;=$AO179))&gt;0)*(ROW(職員マスタ!$A$6:$A$405)-5))),IFERROR(MATCH($B179,職員マスタ!$A$6:$A$405,0),"")))</f>
        <v/>
      </c>
      <c r="AO179" s="16">
        <f>IF(OR($B179="",$C179="",$D179=""),"",DATE($C179+2018,$D179,1))</f>
        <v/>
      </c>
    </row>
    <row r="180">
      <c r="A180" s="11" t="n"/>
      <c r="B180" s="12" t="n">
        <v>6402911</v>
      </c>
      <c r="C180" s="12" t="n">
        <v>8</v>
      </c>
      <c r="D180" s="12" t="n">
        <v>6</v>
      </c>
      <c r="E180" s="13" t="n">
        <v>211701</v>
      </c>
      <c r="F180" s="12" t="n"/>
      <c r="G180" s="13" t="n"/>
      <c r="H180" s="12" t="n"/>
      <c r="I180" s="12" t="n"/>
      <c r="J180" s="12" t="n"/>
      <c r="K180" s="12" t="n"/>
      <c r="L180" s="11" t="n"/>
      <c r="M180" s="11" t="n"/>
      <c r="N180" s="11" t="n"/>
      <c r="O180" s="11" t="n"/>
      <c r="P180" s="12" t="n"/>
      <c r="Q180" s="11" t="n"/>
      <c r="R180" s="12" t="n"/>
      <c r="S180" s="11" t="n"/>
      <c r="T180" s="12" t="n"/>
      <c r="U180" s="12" t="n"/>
      <c r="V180" s="14">
        <f>IF($AN180="",IF($B180="","",$H180),IF(INDEX(職員マスタ!$B$6:$B$405,$AN180)="",$H180,INDEX(職員マスタ!$B$6:$B$405,$AN180)))</f>
        <v/>
      </c>
      <c r="W180" s="14">
        <f>IF($AN180="",IF($B180="","",$R180),IF(INDEX(職員マスタ!$C$6:$C$405,$AN180)="",$R180,INDEX(職員マスタ!$C$6:$C$405,$AN180)))</f>
        <v/>
      </c>
      <c r="X180" s="14">
        <f>IF($AO180="","","R"&amp;$C180&amp;"."&amp;$D180)</f>
        <v/>
      </c>
      <c r="Y180" s="15">
        <f>IF($AN180="","",IF(INDEX(職員マスタ!$K$6:$K$405,$AN180)="","",INDEX(職員マスタ!$K$6:$K$405,$AN180)))</f>
        <v/>
      </c>
      <c r="Z180" s="14">
        <f>IF(OR($E180="",$Y180=""),"",IF($E180&gt;=$Y180,"×",IF($E180&gt;=$Y180*設定!$C$5,"△","○")))</f>
        <v/>
      </c>
      <c r="AA180" s="15">
        <f>IF($Z180="","",IF($Z180="×",0,IF($Z180="○",ROUNDDOWN($E180*設定!$C$4,0),ROUNDDOWN($E180*ROUND((9*$Y180-9*$E180)/(10*$E180),4),0))))</f>
        <v/>
      </c>
      <c r="AB180" s="13" t="n"/>
      <c r="AC180" s="15">
        <f>IF($B180="","",IF($AB180&lt;&gt;"",$AB180,IF($AA180="","",IF($AA180&lt;=設定!$C$3,0,$AA180))))</f>
        <v/>
      </c>
      <c r="AD180" s="14">
        <f>IF($B180="","",IF(AND($AE180&lt;&gt;"",$AG180="",$AJ180=""),"保留中",IF($AJ180&lt;&gt;"",IF(N($AC180)&gt;0,"支給済","不支給"),IF($AC180="","要確認",IF($AC180=0,"不支給","未処理")))))</f>
        <v/>
      </c>
      <c r="AE180" s="12" t="n"/>
      <c r="AF180" s="11" t="n"/>
      <c r="AG180" s="11" t="n"/>
      <c r="AH180" s="11" t="n"/>
      <c r="AI180" s="14">
        <f>IF(AND($AD180="保留中",$AF180&lt;&gt;""),TODAY()-$AF180,"")</f>
        <v/>
      </c>
      <c r="AJ180" s="12" t="inlineStr">
        <is>
          <t>R8.10</t>
        </is>
      </c>
      <c r="AK180" s="14">
        <f>IF($B180="","",IF($AO180="","対象年月が未入力／","")&amp;IF($B180="","",IF($AN180="","職員マスタに未登録の職員番号／",IF($Y180="","標準報酬月額が未登録／","")&amp;IF(AND($AO180&lt;&gt;"",OR(AND(INDEX(職員マスタ!$G$6:$G$405,$AN180)&lt;&gt;"",INDEX(職員マスタ!$G$6:$G$405,$AN180)&gt;EOMONTH($AO180,0)),AND(INDEX(職員マスタ!$H$6:$H$405,$AN180)&lt;&gt;"",INDEX(職員マスタ!$H$6:$H$405,$AN180)&lt;$AO180))),"対象月が時短期間外／","")&amp;IF(AND(INDEX(職員マスタ!$F$6:$F$405,$AN180)&lt;&gt;"",$AO180&lt;&gt;"",INDEX(職員マスタ!$F$6:$F$405,$AN180)&lt;$AO180),"対象月に子が2歳到達済／","")&amp;IF(AND($H180&lt;&gt;"",INDEX(職員マスタ!$B$6:$B$405,$AN180)&lt;&gt;"",SUBSTITUTE(SUBSTITUTE($H180," ","")," ","")&lt;&gt;SUBSTITUTE(SUBSTITUTE(INDEX(職員マスタ!$B$6:$B$405,$AN180)," ","")," ","")),"氏名がマスタと相違／","")&amp;IF(AND($Q180&lt;&gt;"",INDEX(職員マスタ!$E$6:$E$405,$AN180)&lt;&gt;"",$Q180&lt;&gt;INDEX(職員マスタ!$E$6:$E$405,$AN180)),"子の生年月日がマスタと相違／","")&amp;IF(AND($L180&lt;&gt;"",INDEX(職員マスタ!$G$6:$G$405,$AN180)&lt;&gt;"",$L180&lt;&gt;INDEX(職員マスタ!$G$6:$G$405,$AN180)),"時短開始日がマスタと相違／","")&amp;IF(AND($M180&lt;&gt;"",INDEX(職員マスタ!$H$6:$H$405,$AN180)&lt;&gt;"",$M180&lt;&gt;INDEX(職員マスタ!$H$6:$H$405,$AN180)),"時短終了日がマスタと相違／","")))&amp;IF(AND($B180&lt;&gt;"",$E180=""),"報酬額が未入力／","")&amp;IF(N($U180)&gt;0,"申請書に入力エラーが残っています／","")&amp;IF(AND($B180&lt;&gt;"",$AO180&lt;&gt;""),IF(COUNTIFS($B$6:$B$3005,$B180,$C$6:$C$3005,$C180,$D$6:$D$3005,$D180)&gt;1,"同じ月の請求が重複しています／",""),"")&amp;IF(AND(N($E180)&gt;0,$Z180&lt;&gt;"",$Z180&lt;&gt;"×",$AC180=0,$AB180=""),"計算額が下限以下のため不支給／",""))</f>
        <v/>
      </c>
      <c r="AL180" s="12" t="n"/>
      <c r="AM180" s="14">
        <f>IF($AD180="保留中",COUNTIF($AD$6:$AD180,"保留中"),"")</f>
        <v/>
      </c>
      <c r="AN180" s="14">
        <f>IF($AO180="","",IF(SUMPRODUCT(MAX((職員マスタ!$A$6:$A$405=$B180)*(((職員マスタ!$G$6:$G$405="")+(職員マスタ!$G$6:$G$405&lt;=EOMONTH($AO180,0)))&gt;0)*(((職員マスタ!$H$6:$H$405="")+(職員マスタ!$H$6:$H$405&gt;=$AO180))&gt;0)*(ROW(職員マスタ!$A$6:$A$405)-5)))&gt;0,SUMPRODUCT(MAX((職員マスタ!$A$6:$A$405=$B180)*(((職員マスタ!$G$6:$G$405="")+(職員マスタ!$G$6:$G$405&lt;=EOMONTH($AO180,0)))&gt;0)*(((職員マスタ!$H$6:$H$405="")+(職員マスタ!$H$6:$H$405&gt;=$AO180))&gt;0)*(ROW(職員マスタ!$A$6:$A$405)-5))),IFERROR(MATCH($B180,職員マスタ!$A$6:$A$405,0),"")))</f>
        <v/>
      </c>
      <c r="AO180" s="16">
        <f>IF(OR($B180="",$C180="",$D180=""),"",DATE($C180+2018,$D180,1))</f>
        <v/>
      </c>
    </row>
    <row r="181">
      <c r="A181" s="11" t="n"/>
      <c r="B181" s="12" t="n">
        <v>6402911</v>
      </c>
      <c r="C181" s="12" t="n">
        <v>8</v>
      </c>
      <c r="D181" s="12" t="n">
        <v>7</v>
      </c>
      <c r="E181" s="13" t="n">
        <v>211701</v>
      </c>
      <c r="F181" s="12" t="n"/>
      <c r="G181" s="13" t="n"/>
      <c r="H181" s="12" t="n"/>
      <c r="I181" s="12" t="n"/>
      <c r="J181" s="12" t="n"/>
      <c r="K181" s="12" t="n"/>
      <c r="L181" s="11" t="n"/>
      <c r="M181" s="11" t="n"/>
      <c r="N181" s="11" t="n"/>
      <c r="O181" s="11" t="n"/>
      <c r="P181" s="12" t="n"/>
      <c r="Q181" s="11" t="n"/>
      <c r="R181" s="12" t="n"/>
      <c r="S181" s="11" t="n"/>
      <c r="T181" s="12" t="n"/>
      <c r="U181" s="12" t="n"/>
      <c r="V181" s="14">
        <f>IF($AN181="",IF($B181="","",$H181),IF(INDEX(職員マスタ!$B$6:$B$405,$AN181)="",$H181,INDEX(職員マスタ!$B$6:$B$405,$AN181)))</f>
        <v/>
      </c>
      <c r="W181" s="14">
        <f>IF($AN181="",IF($B181="","",$R181),IF(INDEX(職員マスタ!$C$6:$C$405,$AN181)="",$R181,INDEX(職員マスタ!$C$6:$C$405,$AN181)))</f>
        <v/>
      </c>
      <c r="X181" s="14">
        <f>IF($AO181="","","R"&amp;$C181&amp;"."&amp;$D181)</f>
        <v/>
      </c>
      <c r="Y181" s="15">
        <f>IF($AN181="","",IF(INDEX(職員マスタ!$K$6:$K$405,$AN181)="","",INDEX(職員マスタ!$K$6:$K$405,$AN181)))</f>
        <v/>
      </c>
      <c r="Z181" s="14">
        <f>IF(OR($E181="",$Y181=""),"",IF($E181&gt;=$Y181,"×",IF($E181&gt;=$Y181*設定!$C$5,"△","○")))</f>
        <v/>
      </c>
      <c r="AA181" s="15">
        <f>IF($Z181="","",IF($Z181="×",0,IF($Z181="○",ROUNDDOWN($E181*設定!$C$4,0),ROUNDDOWN($E181*ROUND((9*$Y181-9*$E181)/(10*$E181),4),0))))</f>
        <v/>
      </c>
      <c r="AB181" s="13" t="n"/>
      <c r="AC181" s="15">
        <f>IF($B181="","",IF($AB181&lt;&gt;"",$AB181,IF($AA181="","",IF($AA181&lt;=設定!$C$3,0,$AA181))))</f>
        <v/>
      </c>
      <c r="AD181" s="14">
        <f>IF($B181="","",IF(AND($AE181&lt;&gt;"",$AG181="",$AJ181=""),"保留中",IF($AJ181&lt;&gt;"",IF(N($AC181)&gt;0,"支給済","不支給"),IF($AC181="","要確認",IF($AC181=0,"不支給","未処理")))))</f>
        <v/>
      </c>
      <c r="AE181" s="12" t="n"/>
      <c r="AF181" s="11" t="n"/>
      <c r="AG181" s="11" t="n"/>
      <c r="AH181" s="11" t="n"/>
      <c r="AI181" s="14">
        <f>IF(AND($AD181="保留中",$AF181&lt;&gt;""),TODAY()-$AF181,"")</f>
        <v/>
      </c>
      <c r="AJ181" s="12" t="inlineStr">
        <is>
          <t>R8.10</t>
        </is>
      </c>
      <c r="AK181" s="14">
        <f>IF($B181="","",IF($AO181="","対象年月が未入力／","")&amp;IF($B181="","",IF($AN181="","職員マスタに未登録の職員番号／",IF($Y181="","標準報酬月額が未登録／","")&amp;IF(AND($AO181&lt;&gt;"",OR(AND(INDEX(職員マスタ!$G$6:$G$405,$AN181)&lt;&gt;"",INDEX(職員マスタ!$G$6:$G$405,$AN181)&gt;EOMONTH($AO181,0)),AND(INDEX(職員マスタ!$H$6:$H$405,$AN181)&lt;&gt;"",INDEX(職員マスタ!$H$6:$H$405,$AN181)&lt;$AO181))),"対象月が時短期間外／","")&amp;IF(AND(INDEX(職員マスタ!$F$6:$F$405,$AN181)&lt;&gt;"",$AO181&lt;&gt;"",INDEX(職員マスタ!$F$6:$F$405,$AN181)&lt;$AO181),"対象月に子が2歳到達済／","")&amp;IF(AND($H181&lt;&gt;"",INDEX(職員マスタ!$B$6:$B$405,$AN181)&lt;&gt;"",SUBSTITUTE(SUBSTITUTE($H181," ","")," ","")&lt;&gt;SUBSTITUTE(SUBSTITUTE(INDEX(職員マスタ!$B$6:$B$405,$AN181)," ","")," ","")),"氏名がマスタと相違／","")&amp;IF(AND($Q181&lt;&gt;"",INDEX(職員マスタ!$E$6:$E$405,$AN181)&lt;&gt;"",$Q181&lt;&gt;INDEX(職員マスタ!$E$6:$E$405,$AN181)),"子の生年月日がマスタと相違／","")&amp;IF(AND($L181&lt;&gt;"",INDEX(職員マスタ!$G$6:$G$405,$AN181)&lt;&gt;"",$L181&lt;&gt;INDEX(職員マスタ!$G$6:$G$405,$AN181)),"時短開始日がマスタと相違／","")&amp;IF(AND($M181&lt;&gt;"",INDEX(職員マスタ!$H$6:$H$405,$AN181)&lt;&gt;"",$M181&lt;&gt;INDEX(職員マスタ!$H$6:$H$405,$AN181)),"時短終了日がマスタと相違／","")))&amp;IF(AND($B181&lt;&gt;"",$E181=""),"報酬額が未入力／","")&amp;IF(N($U181)&gt;0,"申請書に入力エラーが残っています／","")&amp;IF(AND($B181&lt;&gt;"",$AO181&lt;&gt;""),IF(COUNTIFS($B$6:$B$3005,$B181,$C$6:$C$3005,$C181,$D$6:$D$3005,$D181)&gt;1,"同じ月の請求が重複しています／",""),"")&amp;IF(AND(N($E181)&gt;0,$Z181&lt;&gt;"",$Z181&lt;&gt;"×",$AC181=0,$AB181=""),"計算額が下限以下のため不支給／",""))</f>
        <v/>
      </c>
      <c r="AL181" s="12" t="n"/>
      <c r="AM181" s="14">
        <f>IF($AD181="保留中",COUNTIF($AD$6:$AD181,"保留中"),"")</f>
        <v/>
      </c>
      <c r="AN181" s="14">
        <f>IF($AO181="","",IF(SUMPRODUCT(MAX((職員マスタ!$A$6:$A$405=$B181)*(((職員マスタ!$G$6:$G$405="")+(職員マスタ!$G$6:$G$405&lt;=EOMONTH($AO181,0)))&gt;0)*(((職員マスタ!$H$6:$H$405="")+(職員マスタ!$H$6:$H$405&gt;=$AO181))&gt;0)*(ROW(職員マスタ!$A$6:$A$405)-5)))&gt;0,SUMPRODUCT(MAX((職員マスタ!$A$6:$A$405=$B181)*(((職員マスタ!$G$6:$G$405="")+(職員マスタ!$G$6:$G$405&lt;=EOMONTH($AO181,0)))&gt;0)*(((職員マスタ!$H$6:$H$405="")+(職員マスタ!$H$6:$H$405&gt;=$AO181))&gt;0)*(ROW(職員マスタ!$A$6:$A$405)-5))),IFERROR(MATCH($B181,職員マスタ!$A$6:$A$405,0),"")))</f>
        <v/>
      </c>
      <c r="AO181" s="16">
        <f>IF(OR($B181="",$C181="",$D181=""),"",DATE($C181+2018,$D181,1))</f>
        <v/>
      </c>
    </row>
    <row r="182">
      <c r="A182" s="11" t="n"/>
      <c r="B182" s="12" t="n">
        <v>6402911</v>
      </c>
      <c r="C182" s="12" t="n">
        <v>8</v>
      </c>
      <c r="D182" s="12" t="n">
        <v>8</v>
      </c>
      <c r="E182" s="13" t="n">
        <v>211701</v>
      </c>
      <c r="F182" s="12" t="n"/>
      <c r="G182" s="13" t="n"/>
      <c r="H182" s="12" t="n"/>
      <c r="I182" s="12" t="n"/>
      <c r="J182" s="12" t="n"/>
      <c r="K182" s="12" t="n"/>
      <c r="L182" s="11" t="n"/>
      <c r="M182" s="11" t="n"/>
      <c r="N182" s="11" t="n"/>
      <c r="O182" s="11" t="n"/>
      <c r="P182" s="12" t="n"/>
      <c r="Q182" s="11" t="n"/>
      <c r="R182" s="12" t="n"/>
      <c r="S182" s="11" t="n"/>
      <c r="T182" s="12" t="n"/>
      <c r="U182" s="12" t="n"/>
      <c r="V182" s="14">
        <f>IF($AN182="",IF($B182="","",$H182),IF(INDEX(職員マスタ!$B$6:$B$405,$AN182)="",$H182,INDEX(職員マスタ!$B$6:$B$405,$AN182)))</f>
        <v/>
      </c>
      <c r="W182" s="14">
        <f>IF($AN182="",IF($B182="","",$R182),IF(INDEX(職員マスタ!$C$6:$C$405,$AN182)="",$R182,INDEX(職員マスタ!$C$6:$C$405,$AN182)))</f>
        <v/>
      </c>
      <c r="X182" s="14">
        <f>IF($AO182="","","R"&amp;$C182&amp;"."&amp;$D182)</f>
        <v/>
      </c>
      <c r="Y182" s="15">
        <f>IF($AN182="","",IF(INDEX(職員マスタ!$K$6:$K$405,$AN182)="","",INDEX(職員マスタ!$K$6:$K$405,$AN182)))</f>
        <v/>
      </c>
      <c r="Z182" s="14">
        <f>IF(OR($E182="",$Y182=""),"",IF($E182&gt;=$Y182,"×",IF($E182&gt;=$Y182*設定!$C$5,"△","○")))</f>
        <v/>
      </c>
      <c r="AA182" s="15">
        <f>IF($Z182="","",IF($Z182="×",0,IF($Z182="○",ROUNDDOWN($E182*設定!$C$4,0),ROUNDDOWN($E182*ROUND((9*$Y182-9*$E182)/(10*$E182),4),0))))</f>
        <v/>
      </c>
      <c r="AB182" s="13" t="n"/>
      <c r="AC182" s="15">
        <f>IF($B182="","",IF($AB182&lt;&gt;"",$AB182,IF($AA182="","",IF($AA182&lt;=設定!$C$3,0,$AA182))))</f>
        <v/>
      </c>
      <c r="AD182" s="14">
        <f>IF($B182="","",IF(AND($AE182&lt;&gt;"",$AG182="",$AJ182=""),"保留中",IF($AJ182&lt;&gt;"",IF(N($AC182)&gt;0,"支給済","不支給"),IF($AC182="","要確認",IF($AC182=0,"不支給","未処理")))))</f>
        <v/>
      </c>
      <c r="AE182" s="12" t="n"/>
      <c r="AF182" s="11" t="n"/>
      <c r="AG182" s="11" t="n"/>
      <c r="AH182" s="11" t="n"/>
      <c r="AI182" s="14">
        <f>IF(AND($AD182="保留中",$AF182&lt;&gt;""),TODAY()-$AF182,"")</f>
        <v/>
      </c>
      <c r="AJ182" s="12" t="inlineStr">
        <is>
          <t>R8.10</t>
        </is>
      </c>
      <c r="AK182" s="14">
        <f>IF($B182="","",IF($AO182="","対象年月が未入力／","")&amp;IF($B182="","",IF($AN182="","職員マスタに未登録の職員番号／",IF($Y182="","標準報酬月額が未登録／","")&amp;IF(AND($AO182&lt;&gt;"",OR(AND(INDEX(職員マスタ!$G$6:$G$405,$AN182)&lt;&gt;"",INDEX(職員マスタ!$G$6:$G$405,$AN182)&gt;EOMONTH($AO182,0)),AND(INDEX(職員マスタ!$H$6:$H$405,$AN182)&lt;&gt;"",INDEX(職員マスタ!$H$6:$H$405,$AN182)&lt;$AO182))),"対象月が時短期間外／","")&amp;IF(AND(INDEX(職員マスタ!$F$6:$F$405,$AN182)&lt;&gt;"",$AO182&lt;&gt;"",INDEX(職員マスタ!$F$6:$F$405,$AN182)&lt;$AO182),"対象月に子が2歳到達済／","")&amp;IF(AND($H182&lt;&gt;"",INDEX(職員マスタ!$B$6:$B$405,$AN182)&lt;&gt;"",SUBSTITUTE(SUBSTITUTE($H182," ","")," ","")&lt;&gt;SUBSTITUTE(SUBSTITUTE(INDEX(職員マスタ!$B$6:$B$405,$AN182)," ","")," ","")),"氏名がマスタと相違／","")&amp;IF(AND($Q182&lt;&gt;"",INDEX(職員マスタ!$E$6:$E$405,$AN182)&lt;&gt;"",$Q182&lt;&gt;INDEX(職員マスタ!$E$6:$E$405,$AN182)),"子の生年月日がマスタと相違／","")&amp;IF(AND($L182&lt;&gt;"",INDEX(職員マスタ!$G$6:$G$405,$AN182)&lt;&gt;"",$L182&lt;&gt;INDEX(職員マスタ!$G$6:$G$405,$AN182)),"時短開始日がマスタと相違／","")&amp;IF(AND($M182&lt;&gt;"",INDEX(職員マスタ!$H$6:$H$405,$AN182)&lt;&gt;"",$M182&lt;&gt;INDEX(職員マスタ!$H$6:$H$405,$AN182)),"時短終了日がマスタと相違／","")))&amp;IF(AND($B182&lt;&gt;"",$E182=""),"報酬額が未入力／","")&amp;IF(N($U182)&gt;0,"申請書に入力エラーが残っています／","")&amp;IF(AND($B182&lt;&gt;"",$AO182&lt;&gt;""),IF(COUNTIFS($B$6:$B$3005,$B182,$C$6:$C$3005,$C182,$D$6:$D$3005,$D182)&gt;1,"同じ月の請求が重複しています／",""),"")&amp;IF(AND(N($E182)&gt;0,$Z182&lt;&gt;"",$Z182&lt;&gt;"×",$AC182=0,$AB182=""),"計算額が下限以下のため不支給／",""))</f>
        <v/>
      </c>
      <c r="AL182" s="12" t="n"/>
      <c r="AM182" s="14">
        <f>IF($AD182="保留中",COUNTIF($AD$6:$AD182,"保留中"),"")</f>
        <v/>
      </c>
      <c r="AN182" s="14">
        <f>IF($AO182="","",IF(SUMPRODUCT(MAX((職員マスタ!$A$6:$A$405=$B182)*(((職員マスタ!$G$6:$G$405="")+(職員マスタ!$G$6:$G$405&lt;=EOMONTH($AO182,0)))&gt;0)*(((職員マスタ!$H$6:$H$405="")+(職員マスタ!$H$6:$H$405&gt;=$AO182))&gt;0)*(ROW(職員マスタ!$A$6:$A$405)-5)))&gt;0,SUMPRODUCT(MAX((職員マスタ!$A$6:$A$405=$B182)*(((職員マスタ!$G$6:$G$405="")+(職員マスタ!$G$6:$G$405&lt;=EOMONTH($AO182,0)))&gt;0)*(((職員マスタ!$H$6:$H$405="")+(職員マスタ!$H$6:$H$405&gt;=$AO182))&gt;0)*(ROW(職員マスタ!$A$6:$A$405)-5))),IFERROR(MATCH($B182,職員マスタ!$A$6:$A$405,0),"")))</f>
        <v/>
      </c>
      <c r="AO182" s="16">
        <f>IF(OR($B182="",$C182="",$D182=""),"",DATE($C182+2018,$D182,1))</f>
        <v/>
      </c>
    </row>
    <row r="183">
      <c r="A183" s="11" t="n"/>
      <c r="B183" s="12" t="n">
        <v>6402952</v>
      </c>
      <c r="C183" s="12" t="n">
        <v>7</v>
      </c>
      <c r="D183" s="12" t="n">
        <v>5</v>
      </c>
      <c r="E183" s="13" t="n">
        <v>141598</v>
      </c>
      <c r="F183" s="12" t="n"/>
      <c r="G183" s="13" t="n"/>
      <c r="H183" s="12" t="n"/>
      <c r="I183" s="12" t="n"/>
      <c r="J183" s="12" t="n"/>
      <c r="K183" s="12" t="n"/>
      <c r="L183" s="11" t="n"/>
      <c r="M183" s="11" t="n"/>
      <c r="N183" s="11" t="n"/>
      <c r="O183" s="11" t="n"/>
      <c r="P183" s="12" t="n"/>
      <c r="Q183" s="11" t="n"/>
      <c r="R183" s="12" t="n"/>
      <c r="S183" s="11" t="n"/>
      <c r="T183" s="12" t="n"/>
      <c r="U183" s="12" t="n"/>
      <c r="V183" s="14">
        <f>IF($AN183="",IF($B183="","",$H183),IF(INDEX(職員マスタ!$B$6:$B$405,$AN183)="",$H183,INDEX(職員マスタ!$B$6:$B$405,$AN183)))</f>
        <v/>
      </c>
      <c r="W183" s="14">
        <f>IF($AN183="",IF($B183="","",$R183),IF(INDEX(職員マスタ!$C$6:$C$405,$AN183)="",$R183,INDEX(職員マスタ!$C$6:$C$405,$AN183)))</f>
        <v/>
      </c>
      <c r="X183" s="14">
        <f>IF($AO183="","","R"&amp;$C183&amp;"."&amp;$D183)</f>
        <v/>
      </c>
      <c r="Y183" s="15">
        <f>IF($AN183="","",IF(INDEX(職員マスタ!$K$6:$K$405,$AN183)="","",INDEX(職員マスタ!$K$6:$K$405,$AN183)))</f>
        <v/>
      </c>
      <c r="Z183" s="14">
        <f>IF(OR($E183="",$Y183=""),"",IF($E183&gt;=$Y183,"×",IF($E183&gt;=$Y183*設定!$C$5,"△","○")))</f>
        <v/>
      </c>
      <c r="AA183" s="15">
        <f>IF($Z183="","",IF($Z183="×",0,IF($Z183="○",ROUNDDOWN($E183*設定!$C$4,0),ROUNDDOWN($E183*ROUND((9*$Y183-9*$E183)/(10*$E183),4),0))))</f>
        <v/>
      </c>
      <c r="AB183" s="13" t="n"/>
      <c r="AC183" s="15">
        <f>IF($B183="","",IF($AB183&lt;&gt;"",$AB183,IF($AA183="","",IF($AA183&lt;=設定!$C$3,0,$AA183))))</f>
        <v/>
      </c>
      <c r="AD183" s="14">
        <f>IF($B183="","",IF(AND($AE183&lt;&gt;"",$AG183="",$AJ183=""),"保留中",IF($AJ183&lt;&gt;"",IF(N($AC183)&gt;0,"支給済","不支給"),IF($AC183="","要確認",IF($AC183=0,"不支給","未処理")))))</f>
        <v/>
      </c>
      <c r="AE183" s="12" t="n"/>
      <c r="AF183" s="11" t="n"/>
      <c r="AG183" s="11" t="n"/>
      <c r="AH183" s="11" t="n"/>
      <c r="AI183" s="14">
        <f>IF(AND($AD183="保留中",$AF183&lt;&gt;""),TODAY()-$AF183,"")</f>
        <v/>
      </c>
      <c r="AJ183" s="12" t="inlineStr">
        <is>
          <t>R7.8</t>
        </is>
      </c>
      <c r="AK183" s="14">
        <f>IF($B183="","",IF($AO183="","対象年月が未入力／","")&amp;IF($B183="","",IF($AN183="","職員マスタに未登録の職員番号／",IF($Y183="","標準報酬月額が未登録／","")&amp;IF(AND($AO183&lt;&gt;"",OR(AND(INDEX(職員マスタ!$G$6:$G$405,$AN183)&lt;&gt;"",INDEX(職員マスタ!$G$6:$G$405,$AN183)&gt;EOMONTH($AO183,0)),AND(INDEX(職員マスタ!$H$6:$H$405,$AN183)&lt;&gt;"",INDEX(職員マスタ!$H$6:$H$405,$AN183)&lt;$AO183))),"対象月が時短期間外／","")&amp;IF(AND(INDEX(職員マスタ!$F$6:$F$405,$AN183)&lt;&gt;"",$AO183&lt;&gt;"",INDEX(職員マスタ!$F$6:$F$405,$AN183)&lt;$AO183),"対象月に子が2歳到達済／","")&amp;IF(AND($H183&lt;&gt;"",INDEX(職員マスタ!$B$6:$B$405,$AN183)&lt;&gt;"",SUBSTITUTE(SUBSTITUTE($H183," ","")," ","")&lt;&gt;SUBSTITUTE(SUBSTITUTE(INDEX(職員マスタ!$B$6:$B$405,$AN183)," ","")," ","")),"氏名がマスタと相違／","")&amp;IF(AND($Q183&lt;&gt;"",INDEX(職員マスタ!$E$6:$E$405,$AN183)&lt;&gt;"",$Q183&lt;&gt;INDEX(職員マスタ!$E$6:$E$405,$AN183)),"子の生年月日がマスタと相違／","")&amp;IF(AND($L183&lt;&gt;"",INDEX(職員マスタ!$G$6:$G$405,$AN183)&lt;&gt;"",$L183&lt;&gt;INDEX(職員マスタ!$G$6:$G$405,$AN183)),"時短開始日がマスタと相違／","")&amp;IF(AND($M183&lt;&gt;"",INDEX(職員マスタ!$H$6:$H$405,$AN183)&lt;&gt;"",$M183&lt;&gt;INDEX(職員マスタ!$H$6:$H$405,$AN183)),"時短終了日がマスタと相違／","")))&amp;IF(AND($B183&lt;&gt;"",$E183=""),"報酬額が未入力／","")&amp;IF(N($U183)&gt;0,"申請書に入力エラーが残っています／","")&amp;IF(AND($B183&lt;&gt;"",$AO183&lt;&gt;""),IF(COUNTIFS($B$6:$B$3005,$B183,$C$6:$C$3005,$C183,$D$6:$D$3005,$D183)&gt;1,"同じ月の請求が重複しています／",""),"")&amp;IF(AND(N($E183)&gt;0,$Z183&lt;&gt;"",$Z183&lt;&gt;"×",$AC183=0,$AB183=""),"計算額が下限以下のため不支給／",""))</f>
        <v/>
      </c>
      <c r="AL183" s="12" t="n"/>
      <c r="AM183" s="14">
        <f>IF($AD183="保留中",COUNTIF($AD$6:$AD183,"保留中"),"")</f>
        <v/>
      </c>
      <c r="AN183" s="14">
        <f>IF($AO183="","",IF(SUMPRODUCT(MAX((職員マスタ!$A$6:$A$405=$B183)*(((職員マスタ!$G$6:$G$405="")+(職員マスタ!$G$6:$G$405&lt;=EOMONTH($AO183,0)))&gt;0)*(((職員マスタ!$H$6:$H$405="")+(職員マスタ!$H$6:$H$405&gt;=$AO183))&gt;0)*(ROW(職員マスタ!$A$6:$A$405)-5)))&gt;0,SUMPRODUCT(MAX((職員マスタ!$A$6:$A$405=$B183)*(((職員マスタ!$G$6:$G$405="")+(職員マスタ!$G$6:$G$405&lt;=EOMONTH($AO183,0)))&gt;0)*(((職員マスタ!$H$6:$H$405="")+(職員マスタ!$H$6:$H$405&gt;=$AO183))&gt;0)*(ROW(職員マスタ!$A$6:$A$405)-5))),IFERROR(MATCH($B183,職員マスタ!$A$6:$A$405,0),"")))</f>
        <v/>
      </c>
      <c r="AO183" s="16">
        <f>IF(OR($B183="",$C183="",$D183=""),"",DATE($C183+2018,$D183,1))</f>
        <v/>
      </c>
    </row>
    <row r="184">
      <c r="A184" s="11" t="n"/>
      <c r="B184" s="12" t="n">
        <v>6402952</v>
      </c>
      <c r="C184" s="12" t="n">
        <v>7</v>
      </c>
      <c r="D184" s="12" t="n">
        <v>6</v>
      </c>
      <c r="E184" s="13" t="n">
        <v>193161</v>
      </c>
      <c r="F184" s="12" t="n"/>
      <c r="G184" s="13" t="n"/>
      <c r="H184" s="12" t="n"/>
      <c r="I184" s="12" t="n"/>
      <c r="J184" s="12" t="n"/>
      <c r="K184" s="12" t="n"/>
      <c r="L184" s="11" t="n"/>
      <c r="M184" s="11" t="n"/>
      <c r="N184" s="11" t="n"/>
      <c r="O184" s="11" t="n"/>
      <c r="P184" s="12" t="n"/>
      <c r="Q184" s="11" t="n"/>
      <c r="R184" s="12" t="n"/>
      <c r="S184" s="11" t="n"/>
      <c r="T184" s="12" t="n"/>
      <c r="U184" s="12" t="n"/>
      <c r="V184" s="14">
        <f>IF($AN184="",IF($B184="","",$H184),IF(INDEX(職員マスタ!$B$6:$B$405,$AN184)="",$H184,INDEX(職員マスタ!$B$6:$B$405,$AN184)))</f>
        <v/>
      </c>
      <c r="W184" s="14">
        <f>IF($AN184="",IF($B184="","",$R184),IF(INDEX(職員マスタ!$C$6:$C$405,$AN184)="",$R184,INDEX(職員マスタ!$C$6:$C$405,$AN184)))</f>
        <v/>
      </c>
      <c r="X184" s="14">
        <f>IF($AO184="","","R"&amp;$C184&amp;"."&amp;$D184)</f>
        <v/>
      </c>
      <c r="Y184" s="15">
        <f>IF($AN184="","",IF(INDEX(職員マスタ!$K$6:$K$405,$AN184)="","",INDEX(職員マスタ!$K$6:$K$405,$AN184)))</f>
        <v/>
      </c>
      <c r="Z184" s="14">
        <f>IF(OR($E184="",$Y184=""),"",IF($E184&gt;=$Y184,"×",IF($E184&gt;=$Y184*設定!$C$5,"△","○")))</f>
        <v/>
      </c>
      <c r="AA184" s="15">
        <f>IF($Z184="","",IF($Z184="×",0,IF($Z184="○",ROUNDDOWN($E184*設定!$C$4,0),ROUNDDOWN($E184*ROUND((9*$Y184-9*$E184)/(10*$E184),4),0))))</f>
        <v/>
      </c>
      <c r="AB184" s="13" t="n"/>
      <c r="AC184" s="15">
        <f>IF($B184="","",IF($AB184&lt;&gt;"",$AB184,IF($AA184="","",IF($AA184&lt;=設定!$C$3,0,$AA184))))</f>
        <v/>
      </c>
      <c r="AD184" s="14">
        <f>IF($B184="","",IF(AND($AE184&lt;&gt;"",$AG184="",$AJ184=""),"保留中",IF($AJ184&lt;&gt;"",IF(N($AC184)&gt;0,"支給済","不支給"),IF($AC184="","要確認",IF($AC184=0,"不支給","未処理")))))</f>
        <v/>
      </c>
      <c r="AE184" s="12" t="n"/>
      <c r="AF184" s="11" t="n"/>
      <c r="AG184" s="11" t="n"/>
      <c r="AH184" s="11" t="n"/>
      <c r="AI184" s="14">
        <f>IF(AND($AD184="保留中",$AF184&lt;&gt;""),TODAY()-$AF184,"")</f>
        <v/>
      </c>
      <c r="AJ184" s="12" t="inlineStr">
        <is>
          <t>R7.8</t>
        </is>
      </c>
      <c r="AK184" s="14">
        <f>IF($B184="","",IF($AO184="","対象年月が未入力／","")&amp;IF($B184="","",IF($AN184="","職員マスタに未登録の職員番号／",IF($Y184="","標準報酬月額が未登録／","")&amp;IF(AND($AO184&lt;&gt;"",OR(AND(INDEX(職員マスタ!$G$6:$G$405,$AN184)&lt;&gt;"",INDEX(職員マスタ!$G$6:$G$405,$AN184)&gt;EOMONTH($AO184,0)),AND(INDEX(職員マスタ!$H$6:$H$405,$AN184)&lt;&gt;"",INDEX(職員マスタ!$H$6:$H$405,$AN184)&lt;$AO184))),"対象月が時短期間外／","")&amp;IF(AND(INDEX(職員マスタ!$F$6:$F$405,$AN184)&lt;&gt;"",$AO184&lt;&gt;"",INDEX(職員マスタ!$F$6:$F$405,$AN184)&lt;$AO184),"対象月に子が2歳到達済／","")&amp;IF(AND($H184&lt;&gt;"",INDEX(職員マスタ!$B$6:$B$405,$AN184)&lt;&gt;"",SUBSTITUTE(SUBSTITUTE($H184," ","")," ","")&lt;&gt;SUBSTITUTE(SUBSTITUTE(INDEX(職員マスタ!$B$6:$B$405,$AN184)," ","")," ","")),"氏名がマスタと相違／","")&amp;IF(AND($Q184&lt;&gt;"",INDEX(職員マスタ!$E$6:$E$405,$AN184)&lt;&gt;"",$Q184&lt;&gt;INDEX(職員マスタ!$E$6:$E$405,$AN184)),"子の生年月日がマスタと相違／","")&amp;IF(AND($L184&lt;&gt;"",INDEX(職員マスタ!$G$6:$G$405,$AN184)&lt;&gt;"",$L184&lt;&gt;INDEX(職員マスタ!$G$6:$G$405,$AN184)),"時短開始日がマスタと相違／","")&amp;IF(AND($M184&lt;&gt;"",INDEX(職員マスタ!$H$6:$H$405,$AN184)&lt;&gt;"",$M184&lt;&gt;INDEX(職員マスタ!$H$6:$H$405,$AN184)),"時短終了日がマスタと相違／","")))&amp;IF(AND($B184&lt;&gt;"",$E184=""),"報酬額が未入力／","")&amp;IF(N($U184)&gt;0,"申請書に入力エラーが残っています／","")&amp;IF(AND($B184&lt;&gt;"",$AO184&lt;&gt;""),IF(COUNTIFS($B$6:$B$3005,$B184,$C$6:$C$3005,$C184,$D$6:$D$3005,$D184)&gt;1,"同じ月の請求が重複しています／",""),"")&amp;IF(AND(N($E184)&gt;0,$Z184&lt;&gt;"",$Z184&lt;&gt;"×",$AC184=0,$AB184=""),"計算額が下限以下のため不支給／",""))</f>
        <v/>
      </c>
      <c r="AL184" s="12" t="n"/>
      <c r="AM184" s="14">
        <f>IF($AD184="保留中",COUNTIF($AD$6:$AD184,"保留中"),"")</f>
        <v/>
      </c>
      <c r="AN184" s="14">
        <f>IF($AO184="","",IF(SUMPRODUCT(MAX((職員マスタ!$A$6:$A$405=$B184)*(((職員マスタ!$G$6:$G$405="")+(職員マスタ!$G$6:$G$405&lt;=EOMONTH($AO184,0)))&gt;0)*(((職員マスタ!$H$6:$H$405="")+(職員マスタ!$H$6:$H$405&gt;=$AO184))&gt;0)*(ROW(職員マスタ!$A$6:$A$405)-5)))&gt;0,SUMPRODUCT(MAX((職員マスタ!$A$6:$A$405=$B184)*(((職員マスタ!$G$6:$G$405="")+(職員マスタ!$G$6:$G$405&lt;=EOMONTH($AO184,0)))&gt;0)*(((職員マスタ!$H$6:$H$405="")+(職員マスタ!$H$6:$H$405&gt;=$AO184))&gt;0)*(ROW(職員マスタ!$A$6:$A$405)-5))),IFERROR(MATCH($B184,職員マスタ!$A$6:$A$405,0),"")))</f>
        <v/>
      </c>
      <c r="AO184" s="16">
        <f>IF(OR($B184="",$C184="",$D184=""),"",DATE($C184+2018,$D184,1))</f>
        <v/>
      </c>
    </row>
    <row r="185">
      <c r="A185" s="11" t="n"/>
      <c r="B185" s="12" t="n">
        <v>6402952</v>
      </c>
      <c r="C185" s="12" t="n">
        <v>7</v>
      </c>
      <c r="D185" s="12" t="n">
        <v>7</v>
      </c>
      <c r="E185" s="13" t="n">
        <v>197093</v>
      </c>
      <c r="F185" s="12" t="n"/>
      <c r="G185" s="13" t="n"/>
      <c r="H185" s="12" t="n"/>
      <c r="I185" s="12" t="n"/>
      <c r="J185" s="12" t="n"/>
      <c r="K185" s="12" t="n"/>
      <c r="L185" s="11" t="n"/>
      <c r="M185" s="11" t="n"/>
      <c r="N185" s="11" t="n"/>
      <c r="O185" s="11" t="n"/>
      <c r="P185" s="12" t="n"/>
      <c r="Q185" s="11" t="n"/>
      <c r="R185" s="12" t="n"/>
      <c r="S185" s="11" t="n"/>
      <c r="T185" s="12" t="n"/>
      <c r="U185" s="12" t="n"/>
      <c r="V185" s="14">
        <f>IF($AN185="",IF($B185="","",$H185),IF(INDEX(職員マスタ!$B$6:$B$405,$AN185)="",$H185,INDEX(職員マスタ!$B$6:$B$405,$AN185)))</f>
        <v/>
      </c>
      <c r="W185" s="14">
        <f>IF($AN185="",IF($B185="","",$R185),IF(INDEX(職員マスタ!$C$6:$C$405,$AN185)="",$R185,INDEX(職員マスタ!$C$6:$C$405,$AN185)))</f>
        <v/>
      </c>
      <c r="X185" s="14">
        <f>IF($AO185="","","R"&amp;$C185&amp;"."&amp;$D185)</f>
        <v/>
      </c>
      <c r="Y185" s="15">
        <f>IF($AN185="","",IF(INDEX(職員マスタ!$K$6:$K$405,$AN185)="","",INDEX(職員マスタ!$K$6:$K$405,$AN185)))</f>
        <v/>
      </c>
      <c r="Z185" s="14">
        <f>IF(OR($E185="",$Y185=""),"",IF($E185&gt;=$Y185,"×",IF($E185&gt;=$Y185*設定!$C$5,"△","○")))</f>
        <v/>
      </c>
      <c r="AA185" s="15">
        <f>IF($Z185="","",IF($Z185="×",0,IF($Z185="○",ROUNDDOWN($E185*設定!$C$4,0),ROUNDDOWN($E185*ROUND((9*$Y185-9*$E185)/(10*$E185),4),0))))</f>
        <v/>
      </c>
      <c r="AB185" s="13" t="n"/>
      <c r="AC185" s="15">
        <f>IF($B185="","",IF($AB185&lt;&gt;"",$AB185,IF($AA185="","",IF($AA185&lt;=設定!$C$3,0,$AA185))))</f>
        <v/>
      </c>
      <c r="AD185" s="14">
        <f>IF($B185="","",IF(AND($AE185&lt;&gt;"",$AG185="",$AJ185=""),"保留中",IF($AJ185&lt;&gt;"",IF(N($AC185)&gt;0,"支給済","不支給"),IF($AC185="","要確認",IF($AC185=0,"不支給","未処理")))))</f>
        <v/>
      </c>
      <c r="AE185" s="12" t="n"/>
      <c r="AF185" s="11" t="n"/>
      <c r="AG185" s="11" t="n"/>
      <c r="AH185" s="11" t="n"/>
      <c r="AI185" s="14">
        <f>IF(AND($AD185="保留中",$AF185&lt;&gt;""),TODAY()-$AF185,"")</f>
        <v/>
      </c>
      <c r="AJ185" s="12" t="inlineStr">
        <is>
          <t>R7.9</t>
        </is>
      </c>
      <c r="AK185" s="14">
        <f>IF($B185="","",IF($AO185="","対象年月が未入力／","")&amp;IF($B185="","",IF($AN185="","職員マスタに未登録の職員番号／",IF($Y185="","標準報酬月額が未登録／","")&amp;IF(AND($AO185&lt;&gt;"",OR(AND(INDEX(職員マスタ!$G$6:$G$405,$AN185)&lt;&gt;"",INDEX(職員マスタ!$G$6:$G$405,$AN185)&gt;EOMONTH($AO185,0)),AND(INDEX(職員マスタ!$H$6:$H$405,$AN185)&lt;&gt;"",INDEX(職員マスタ!$H$6:$H$405,$AN185)&lt;$AO185))),"対象月が時短期間外／","")&amp;IF(AND(INDEX(職員マスタ!$F$6:$F$405,$AN185)&lt;&gt;"",$AO185&lt;&gt;"",INDEX(職員マスタ!$F$6:$F$405,$AN185)&lt;$AO185),"対象月に子が2歳到達済／","")&amp;IF(AND($H185&lt;&gt;"",INDEX(職員マスタ!$B$6:$B$405,$AN185)&lt;&gt;"",SUBSTITUTE(SUBSTITUTE($H185," ","")," ","")&lt;&gt;SUBSTITUTE(SUBSTITUTE(INDEX(職員マスタ!$B$6:$B$405,$AN185)," ","")," ","")),"氏名がマスタと相違／","")&amp;IF(AND($Q185&lt;&gt;"",INDEX(職員マスタ!$E$6:$E$405,$AN185)&lt;&gt;"",$Q185&lt;&gt;INDEX(職員マスタ!$E$6:$E$405,$AN185)),"子の生年月日がマスタと相違／","")&amp;IF(AND($L185&lt;&gt;"",INDEX(職員マスタ!$G$6:$G$405,$AN185)&lt;&gt;"",$L185&lt;&gt;INDEX(職員マスタ!$G$6:$G$405,$AN185)),"時短開始日がマスタと相違／","")&amp;IF(AND($M185&lt;&gt;"",INDEX(職員マスタ!$H$6:$H$405,$AN185)&lt;&gt;"",$M185&lt;&gt;INDEX(職員マスタ!$H$6:$H$405,$AN185)),"時短終了日がマスタと相違／","")))&amp;IF(AND($B185&lt;&gt;"",$E185=""),"報酬額が未入力／","")&amp;IF(N($U185)&gt;0,"申請書に入力エラーが残っています／","")&amp;IF(AND($B185&lt;&gt;"",$AO185&lt;&gt;""),IF(COUNTIFS($B$6:$B$3005,$B185,$C$6:$C$3005,$C185,$D$6:$D$3005,$D185)&gt;1,"同じ月の請求が重複しています／",""),"")&amp;IF(AND(N($E185)&gt;0,$Z185&lt;&gt;"",$Z185&lt;&gt;"×",$AC185=0,$AB185=""),"計算額が下限以下のため不支給／",""))</f>
        <v/>
      </c>
      <c r="AL185" s="12" t="n"/>
      <c r="AM185" s="14">
        <f>IF($AD185="保留中",COUNTIF($AD$6:$AD185,"保留中"),"")</f>
        <v/>
      </c>
      <c r="AN185" s="14">
        <f>IF($AO185="","",IF(SUMPRODUCT(MAX((職員マスタ!$A$6:$A$405=$B185)*(((職員マスタ!$G$6:$G$405="")+(職員マスタ!$G$6:$G$405&lt;=EOMONTH($AO185,0)))&gt;0)*(((職員マスタ!$H$6:$H$405="")+(職員マスタ!$H$6:$H$405&gt;=$AO185))&gt;0)*(ROW(職員マスタ!$A$6:$A$405)-5)))&gt;0,SUMPRODUCT(MAX((職員マスタ!$A$6:$A$405=$B185)*(((職員マスタ!$G$6:$G$405="")+(職員マスタ!$G$6:$G$405&lt;=EOMONTH($AO185,0)))&gt;0)*(((職員マスタ!$H$6:$H$405="")+(職員マスタ!$H$6:$H$405&gt;=$AO185))&gt;0)*(ROW(職員マスタ!$A$6:$A$405)-5))),IFERROR(MATCH($B185,職員マスタ!$A$6:$A$405,0),"")))</f>
        <v/>
      </c>
      <c r="AO185" s="16">
        <f>IF(OR($B185="",$C185="",$D185=""),"",DATE($C185+2018,$D185,1))</f>
        <v/>
      </c>
    </row>
    <row r="186">
      <c r="A186" s="11" t="n"/>
      <c r="B186" s="12" t="n">
        <v>6402952</v>
      </c>
      <c r="C186" s="12" t="n">
        <v>7</v>
      </c>
      <c r="D186" s="12" t="n">
        <v>8</v>
      </c>
      <c r="E186" s="13" t="n">
        <v>197093</v>
      </c>
      <c r="F186" s="12" t="n"/>
      <c r="G186" s="13" t="n"/>
      <c r="H186" s="12" t="n"/>
      <c r="I186" s="12" t="n"/>
      <c r="J186" s="12" t="n"/>
      <c r="K186" s="12" t="n"/>
      <c r="L186" s="11" t="n"/>
      <c r="M186" s="11" t="n"/>
      <c r="N186" s="11" t="n"/>
      <c r="O186" s="11" t="n"/>
      <c r="P186" s="12" t="n"/>
      <c r="Q186" s="11" t="n"/>
      <c r="R186" s="12" t="n"/>
      <c r="S186" s="11" t="n"/>
      <c r="T186" s="12" t="n"/>
      <c r="U186" s="12" t="n"/>
      <c r="V186" s="14">
        <f>IF($AN186="",IF($B186="","",$H186),IF(INDEX(職員マスタ!$B$6:$B$405,$AN186)="",$H186,INDEX(職員マスタ!$B$6:$B$405,$AN186)))</f>
        <v/>
      </c>
      <c r="W186" s="14">
        <f>IF($AN186="",IF($B186="","",$R186),IF(INDEX(職員マスタ!$C$6:$C$405,$AN186)="",$R186,INDEX(職員マスタ!$C$6:$C$405,$AN186)))</f>
        <v/>
      </c>
      <c r="X186" s="14">
        <f>IF($AO186="","","R"&amp;$C186&amp;"."&amp;$D186)</f>
        <v/>
      </c>
      <c r="Y186" s="15">
        <f>IF($AN186="","",IF(INDEX(職員マスタ!$K$6:$K$405,$AN186)="","",INDEX(職員マスタ!$K$6:$K$405,$AN186)))</f>
        <v/>
      </c>
      <c r="Z186" s="14">
        <f>IF(OR($E186="",$Y186=""),"",IF($E186&gt;=$Y186,"×",IF($E186&gt;=$Y186*設定!$C$5,"△","○")))</f>
        <v/>
      </c>
      <c r="AA186" s="15">
        <f>IF($Z186="","",IF($Z186="×",0,IF($Z186="○",ROUNDDOWN($E186*設定!$C$4,0),ROUNDDOWN($E186*ROUND((9*$Y186-9*$E186)/(10*$E186),4),0))))</f>
        <v/>
      </c>
      <c r="AB186" s="13" t="n"/>
      <c r="AC186" s="15">
        <f>IF($B186="","",IF($AB186&lt;&gt;"",$AB186,IF($AA186="","",IF($AA186&lt;=設定!$C$3,0,$AA186))))</f>
        <v/>
      </c>
      <c r="AD186" s="14">
        <f>IF($B186="","",IF(AND($AE186&lt;&gt;"",$AG186="",$AJ186=""),"保留中",IF($AJ186&lt;&gt;"",IF(N($AC186)&gt;0,"支給済","不支給"),IF($AC186="","要確認",IF($AC186=0,"不支給","未処理")))))</f>
        <v/>
      </c>
      <c r="AE186" s="12" t="n"/>
      <c r="AF186" s="11" t="n"/>
      <c r="AG186" s="11" t="n"/>
      <c r="AH186" s="11" t="n"/>
      <c r="AI186" s="14">
        <f>IF(AND($AD186="保留中",$AF186&lt;&gt;""),TODAY()-$AF186,"")</f>
        <v/>
      </c>
      <c r="AJ186" s="12" t="inlineStr">
        <is>
          <t>R7.10</t>
        </is>
      </c>
      <c r="AK186" s="14">
        <f>IF($B186="","",IF($AO186="","対象年月が未入力／","")&amp;IF($B186="","",IF($AN186="","職員マスタに未登録の職員番号／",IF($Y186="","標準報酬月額が未登録／","")&amp;IF(AND($AO186&lt;&gt;"",OR(AND(INDEX(職員マスタ!$G$6:$G$405,$AN186)&lt;&gt;"",INDEX(職員マスタ!$G$6:$G$405,$AN186)&gt;EOMONTH($AO186,0)),AND(INDEX(職員マスタ!$H$6:$H$405,$AN186)&lt;&gt;"",INDEX(職員マスタ!$H$6:$H$405,$AN186)&lt;$AO186))),"対象月が時短期間外／","")&amp;IF(AND(INDEX(職員マスタ!$F$6:$F$405,$AN186)&lt;&gt;"",$AO186&lt;&gt;"",INDEX(職員マスタ!$F$6:$F$405,$AN186)&lt;$AO186),"対象月に子が2歳到達済／","")&amp;IF(AND($H186&lt;&gt;"",INDEX(職員マスタ!$B$6:$B$405,$AN186)&lt;&gt;"",SUBSTITUTE(SUBSTITUTE($H186," ","")," ","")&lt;&gt;SUBSTITUTE(SUBSTITUTE(INDEX(職員マスタ!$B$6:$B$405,$AN186)," ","")," ","")),"氏名がマスタと相違／","")&amp;IF(AND($Q186&lt;&gt;"",INDEX(職員マスタ!$E$6:$E$405,$AN186)&lt;&gt;"",$Q186&lt;&gt;INDEX(職員マスタ!$E$6:$E$405,$AN186)),"子の生年月日がマスタと相違／","")&amp;IF(AND($L186&lt;&gt;"",INDEX(職員マスタ!$G$6:$G$405,$AN186)&lt;&gt;"",$L186&lt;&gt;INDEX(職員マスタ!$G$6:$G$405,$AN186)),"時短開始日がマスタと相違／","")&amp;IF(AND($M186&lt;&gt;"",INDEX(職員マスタ!$H$6:$H$405,$AN186)&lt;&gt;"",$M186&lt;&gt;INDEX(職員マスタ!$H$6:$H$405,$AN186)),"時短終了日がマスタと相違／","")))&amp;IF(AND($B186&lt;&gt;"",$E186=""),"報酬額が未入力／","")&amp;IF(N($U186)&gt;0,"申請書に入力エラーが残っています／","")&amp;IF(AND($B186&lt;&gt;"",$AO186&lt;&gt;""),IF(COUNTIFS($B$6:$B$3005,$B186,$C$6:$C$3005,$C186,$D$6:$D$3005,$D186)&gt;1,"同じ月の請求が重複しています／",""),"")&amp;IF(AND(N($E186)&gt;0,$Z186&lt;&gt;"",$Z186&lt;&gt;"×",$AC186=0,$AB186=""),"計算額が下限以下のため不支給／",""))</f>
        <v/>
      </c>
      <c r="AL186" s="12" t="n"/>
      <c r="AM186" s="14">
        <f>IF($AD186="保留中",COUNTIF($AD$6:$AD186,"保留中"),"")</f>
        <v/>
      </c>
      <c r="AN186" s="14">
        <f>IF($AO186="","",IF(SUMPRODUCT(MAX((職員マスタ!$A$6:$A$405=$B186)*(((職員マスタ!$G$6:$G$405="")+(職員マスタ!$G$6:$G$405&lt;=EOMONTH($AO186,0)))&gt;0)*(((職員マスタ!$H$6:$H$405="")+(職員マスタ!$H$6:$H$405&gt;=$AO186))&gt;0)*(ROW(職員マスタ!$A$6:$A$405)-5)))&gt;0,SUMPRODUCT(MAX((職員マスタ!$A$6:$A$405=$B186)*(((職員マスタ!$G$6:$G$405="")+(職員マスタ!$G$6:$G$405&lt;=EOMONTH($AO186,0)))&gt;0)*(((職員マスタ!$H$6:$H$405="")+(職員マスタ!$H$6:$H$405&gt;=$AO186))&gt;0)*(ROW(職員マスタ!$A$6:$A$405)-5))),IFERROR(MATCH($B186,職員マスタ!$A$6:$A$405,0),"")))</f>
        <v/>
      </c>
      <c r="AO186" s="16">
        <f>IF(OR($B186="",$C186="",$D186=""),"",DATE($C186+2018,$D186,1))</f>
        <v/>
      </c>
    </row>
    <row r="187">
      <c r="A187" s="11" t="n"/>
      <c r="B187" s="12" t="n">
        <v>6402952</v>
      </c>
      <c r="C187" s="12" t="n">
        <v>7</v>
      </c>
      <c r="D187" s="12" t="n">
        <v>9</v>
      </c>
      <c r="E187" s="13" t="n">
        <v>197093</v>
      </c>
      <c r="F187" s="12" t="n"/>
      <c r="G187" s="13" t="n"/>
      <c r="H187" s="12" t="n"/>
      <c r="I187" s="12" t="n"/>
      <c r="J187" s="12" t="n"/>
      <c r="K187" s="12" t="n"/>
      <c r="L187" s="11" t="n"/>
      <c r="M187" s="11" t="n"/>
      <c r="N187" s="11" t="n"/>
      <c r="O187" s="11" t="n"/>
      <c r="P187" s="12" t="n"/>
      <c r="Q187" s="11" t="n"/>
      <c r="R187" s="12" t="n"/>
      <c r="S187" s="11" t="n"/>
      <c r="T187" s="12" t="n"/>
      <c r="U187" s="12" t="n"/>
      <c r="V187" s="14">
        <f>IF($AN187="",IF($B187="","",$H187),IF(INDEX(職員マスタ!$B$6:$B$405,$AN187)="",$H187,INDEX(職員マスタ!$B$6:$B$405,$AN187)))</f>
        <v/>
      </c>
      <c r="W187" s="14">
        <f>IF($AN187="",IF($B187="","",$R187),IF(INDEX(職員マスタ!$C$6:$C$405,$AN187)="",$R187,INDEX(職員マスタ!$C$6:$C$405,$AN187)))</f>
        <v/>
      </c>
      <c r="X187" s="14">
        <f>IF($AO187="","","R"&amp;$C187&amp;"."&amp;$D187)</f>
        <v/>
      </c>
      <c r="Y187" s="15">
        <f>IF($AN187="","",IF(INDEX(職員マスタ!$K$6:$K$405,$AN187)="","",INDEX(職員マスタ!$K$6:$K$405,$AN187)))</f>
        <v/>
      </c>
      <c r="Z187" s="14">
        <f>IF(OR($E187="",$Y187=""),"",IF($E187&gt;=$Y187,"×",IF($E187&gt;=$Y187*設定!$C$5,"△","○")))</f>
        <v/>
      </c>
      <c r="AA187" s="15">
        <f>IF($Z187="","",IF($Z187="×",0,IF($Z187="○",ROUNDDOWN($E187*設定!$C$4,0),ROUNDDOWN($E187*ROUND((9*$Y187-9*$E187)/(10*$E187),4),0))))</f>
        <v/>
      </c>
      <c r="AB187" s="13" t="n"/>
      <c r="AC187" s="15">
        <f>IF($B187="","",IF($AB187&lt;&gt;"",$AB187,IF($AA187="","",IF($AA187&lt;=設定!$C$3,0,$AA187))))</f>
        <v/>
      </c>
      <c r="AD187" s="14">
        <f>IF($B187="","",IF(AND($AE187&lt;&gt;"",$AG187="",$AJ187=""),"保留中",IF($AJ187&lt;&gt;"",IF(N($AC187)&gt;0,"支給済","不支給"),IF($AC187="","要確認",IF($AC187=0,"不支給","未処理")))))</f>
        <v/>
      </c>
      <c r="AE187" s="12" t="n"/>
      <c r="AF187" s="11" t="n"/>
      <c r="AG187" s="11" t="n"/>
      <c r="AH187" s="11" t="n"/>
      <c r="AI187" s="14">
        <f>IF(AND($AD187="保留中",$AF187&lt;&gt;""),TODAY()-$AF187,"")</f>
        <v/>
      </c>
      <c r="AJ187" s="12" t="inlineStr">
        <is>
          <t>R8.1</t>
        </is>
      </c>
      <c r="AK187" s="14">
        <f>IF($B187="","",IF($AO187="","対象年月が未入力／","")&amp;IF($B187="","",IF($AN187="","職員マスタに未登録の職員番号／",IF($Y187="","標準報酬月額が未登録／","")&amp;IF(AND($AO187&lt;&gt;"",OR(AND(INDEX(職員マスタ!$G$6:$G$405,$AN187)&lt;&gt;"",INDEX(職員マスタ!$G$6:$G$405,$AN187)&gt;EOMONTH($AO187,0)),AND(INDEX(職員マスタ!$H$6:$H$405,$AN187)&lt;&gt;"",INDEX(職員マスタ!$H$6:$H$405,$AN187)&lt;$AO187))),"対象月が時短期間外／","")&amp;IF(AND(INDEX(職員マスタ!$F$6:$F$405,$AN187)&lt;&gt;"",$AO187&lt;&gt;"",INDEX(職員マスタ!$F$6:$F$405,$AN187)&lt;$AO187),"対象月に子が2歳到達済／","")&amp;IF(AND($H187&lt;&gt;"",INDEX(職員マスタ!$B$6:$B$405,$AN187)&lt;&gt;"",SUBSTITUTE(SUBSTITUTE($H187," ","")," ","")&lt;&gt;SUBSTITUTE(SUBSTITUTE(INDEX(職員マスタ!$B$6:$B$405,$AN187)," ","")," ","")),"氏名がマスタと相違／","")&amp;IF(AND($Q187&lt;&gt;"",INDEX(職員マスタ!$E$6:$E$405,$AN187)&lt;&gt;"",$Q187&lt;&gt;INDEX(職員マスタ!$E$6:$E$405,$AN187)),"子の生年月日がマスタと相違／","")&amp;IF(AND($L187&lt;&gt;"",INDEX(職員マスタ!$G$6:$G$405,$AN187)&lt;&gt;"",$L187&lt;&gt;INDEX(職員マスタ!$G$6:$G$405,$AN187)),"時短開始日がマスタと相違／","")&amp;IF(AND($M187&lt;&gt;"",INDEX(職員マスタ!$H$6:$H$405,$AN187)&lt;&gt;"",$M187&lt;&gt;INDEX(職員マスタ!$H$6:$H$405,$AN187)),"時短終了日がマスタと相違／","")))&amp;IF(AND($B187&lt;&gt;"",$E187=""),"報酬額が未入力／","")&amp;IF(N($U187)&gt;0,"申請書に入力エラーが残っています／","")&amp;IF(AND($B187&lt;&gt;"",$AO187&lt;&gt;""),IF(COUNTIFS($B$6:$B$3005,$B187,$C$6:$C$3005,$C187,$D$6:$D$3005,$D187)&gt;1,"同じ月の請求が重複しています／",""),"")&amp;IF(AND(N($E187)&gt;0,$Z187&lt;&gt;"",$Z187&lt;&gt;"×",$AC187=0,$AB187=""),"計算額が下限以下のため不支給／",""))</f>
        <v/>
      </c>
      <c r="AL187" s="12" t="n"/>
      <c r="AM187" s="14">
        <f>IF($AD187="保留中",COUNTIF($AD$6:$AD187,"保留中"),"")</f>
        <v/>
      </c>
      <c r="AN187" s="14">
        <f>IF($AO187="","",IF(SUMPRODUCT(MAX((職員マスタ!$A$6:$A$405=$B187)*(((職員マスタ!$G$6:$G$405="")+(職員マスタ!$G$6:$G$405&lt;=EOMONTH($AO187,0)))&gt;0)*(((職員マスタ!$H$6:$H$405="")+(職員マスタ!$H$6:$H$405&gt;=$AO187))&gt;0)*(ROW(職員マスタ!$A$6:$A$405)-5)))&gt;0,SUMPRODUCT(MAX((職員マスタ!$A$6:$A$405=$B187)*(((職員マスタ!$G$6:$G$405="")+(職員マスタ!$G$6:$G$405&lt;=EOMONTH($AO187,0)))&gt;0)*(((職員マスタ!$H$6:$H$405="")+(職員マスタ!$H$6:$H$405&gt;=$AO187))&gt;0)*(ROW(職員マスタ!$A$6:$A$405)-5))),IFERROR(MATCH($B187,職員マスタ!$A$6:$A$405,0),"")))</f>
        <v/>
      </c>
      <c r="AO187" s="16">
        <f>IF(OR($B187="",$C187="",$D187=""),"",DATE($C187+2018,$D187,1))</f>
        <v/>
      </c>
    </row>
    <row r="188">
      <c r="A188" s="11" t="n"/>
      <c r="B188" s="12" t="n">
        <v>6402952</v>
      </c>
      <c r="C188" s="12" t="n">
        <v>7</v>
      </c>
      <c r="D188" s="12" t="n">
        <v>10</v>
      </c>
      <c r="E188" s="13" t="n">
        <v>193161</v>
      </c>
      <c r="F188" s="12" t="n"/>
      <c r="G188" s="13" t="n"/>
      <c r="H188" s="12" t="n"/>
      <c r="I188" s="12" t="n"/>
      <c r="J188" s="12" t="n"/>
      <c r="K188" s="12" t="n"/>
      <c r="L188" s="11" t="n"/>
      <c r="M188" s="11" t="n"/>
      <c r="N188" s="11" t="n"/>
      <c r="O188" s="11" t="n"/>
      <c r="P188" s="12" t="n"/>
      <c r="Q188" s="11" t="n"/>
      <c r="R188" s="12" t="n"/>
      <c r="S188" s="11" t="n"/>
      <c r="T188" s="12" t="n"/>
      <c r="U188" s="12" t="n"/>
      <c r="V188" s="14">
        <f>IF($AN188="",IF($B188="","",$H188),IF(INDEX(職員マスタ!$B$6:$B$405,$AN188)="",$H188,INDEX(職員マスタ!$B$6:$B$405,$AN188)))</f>
        <v/>
      </c>
      <c r="W188" s="14">
        <f>IF($AN188="",IF($B188="","",$R188),IF(INDEX(職員マスタ!$C$6:$C$405,$AN188)="",$R188,INDEX(職員マスタ!$C$6:$C$405,$AN188)))</f>
        <v/>
      </c>
      <c r="X188" s="14">
        <f>IF($AO188="","","R"&amp;$C188&amp;"."&amp;$D188)</f>
        <v/>
      </c>
      <c r="Y188" s="15">
        <f>IF($AN188="","",IF(INDEX(職員マスタ!$K$6:$K$405,$AN188)="","",INDEX(職員マスタ!$K$6:$K$405,$AN188)))</f>
        <v/>
      </c>
      <c r="Z188" s="14">
        <f>IF(OR($E188="",$Y188=""),"",IF($E188&gt;=$Y188,"×",IF($E188&gt;=$Y188*設定!$C$5,"△","○")))</f>
        <v/>
      </c>
      <c r="AA188" s="15">
        <f>IF($Z188="","",IF($Z188="×",0,IF($Z188="○",ROUNDDOWN($E188*設定!$C$4,0),ROUNDDOWN($E188*ROUND((9*$Y188-9*$E188)/(10*$E188),4),0))))</f>
        <v/>
      </c>
      <c r="AB188" s="13" t="n"/>
      <c r="AC188" s="15">
        <f>IF($B188="","",IF($AB188&lt;&gt;"",$AB188,IF($AA188="","",IF($AA188&lt;=設定!$C$3,0,$AA188))))</f>
        <v/>
      </c>
      <c r="AD188" s="14">
        <f>IF($B188="","",IF(AND($AE188&lt;&gt;"",$AG188="",$AJ188=""),"保留中",IF($AJ188&lt;&gt;"",IF(N($AC188)&gt;0,"支給済","不支給"),IF($AC188="","要確認",IF($AC188=0,"不支給","未処理")))))</f>
        <v/>
      </c>
      <c r="AE188" s="12" t="n"/>
      <c r="AF188" s="11" t="n"/>
      <c r="AG188" s="11" t="n"/>
      <c r="AH188" s="11" t="n"/>
      <c r="AI188" s="14">
        <f>IF(AND($AD188="保留中",$AF188&lt;&gt;""),TODAY()-$AF188,"")</f>
        <v/>
      </c>
      <c r="AJ188" s="12" t="inlineStr">
        <is>
          <t>R8.1</t>
        </is>
      </c>
      <c r="AK188" s="14">
        <f>IF($B188="","",IF($AO188="","対象年月が未入力／","")&amp;IF($B188="","",IF($AN188="","職員マスタに未登録の職員番号／",IF($Y188="","標準報酬月額が未登録／","")&amp;IF(AND($AO188&lt;&gt;"",OR(AND(INDEX(職員マスタ!$G$6:$G$405,$AN188)&lt;&gt;"",INDEX(職員マスタ!$G$6:$G$405,$AN188)&gt;EOMONTH($AO188,0)),AND(INDEX(職員マスタ!$H$6:$H$405,$AN188)&lt;&gt;"",INDEX(職員マスタ!$H$6:$H$405,$AN188)&lt;$AO188))),"対象月が時短期間外／","")&amp;IF(AND(INDEX(職員マスタ!$F$6:$F$405,$AN188)&lt;&gt;"",$AO188&lt;&gt;"",INDEX(職員マスタ!$F$6:$F$405,$AN188)&lt;$AO188),"対象月に子が2歳到達済／","")&amp;IF(AND($H188&lt;&gt;"",INDEX(職員マスタ!$B$6:$B$405,$AN188)&lt;&gt;"",SUBSTITUTE(SUBSTITUTE($H188," ","")," ","")&lt;&gt;SUBSTITUTE(SUBSTITUTE(INDEX(職員マスタ!$B$6:$B$405,$AN188)," ","")," ","")),"氏名がマスタと相違／","")&amp;IF(AND($Q188&lt;&gt;"",INDEX(職員マスタ!$E$6:$E$405,$AN188)&lt;&gt;"",$Q188&lt;&gt;INDEX(職員マスタ!$E$6:$E$405,$AN188)),"子の生年月日がマスタと相違／","")&amp;IF(AND($L188&lt;&gt;"",INDEX(職員マスタ!$G$6:$G$405,$AN188)&lt;&gt;"",$L188&lt;&gt;INDEX(職員マスタ!$G$6:$G$405,$AN188)),"時短開始日がマスタと相違／","")&amp;IF(AND($M188&lt;&gt;"",INDEX(職員マスタ!$H$6:$H$405,$AN188)&lt;&gt;"",$M188&lt;&gt;INDEX(職員マスタ!$H$6:$H$405,$AN188)),"時短終了日がマスタと相違／","")))&amp;IF(AND($B188&lt;&gt;"",$E188=""),"報酬額が未入力／","")&amp;IF(N($U188)&gt;0,"申請書に入力エラーが残っています／","")&amp;IF(AND($B188&lt;&gt;"",$AO188&lt;&gt;""),IF(COUNTIFS($B$6:$B$3005,$B188,$C$6:$C$3005,$C188,$D$6:$D$3005,$D188)&gt;1,"同じ月の請求が重複しています／",""),"")&amp;IF(AND(N($E188)&gt;0,$Z188&lt;&gt;"",$Z188&lt;&gt;"×",$AC188=0,$AB188=""),"計算額が下限以下のため不支給／",""))</f>
        <v/>
      </c>
      <c r="AL188" s="12" t="n"/>
      <c r="AM188" s="14">
        <f>IF($AD188="保留中",COUNTIF($AD$6:$AD188,"保留中"),"")</f>
        <v/>
      </c>
      <c r="AN188" s="14">
        <f>IF($AO188="","",IF(SUMPRODUCT(MAX((職員マスタ!$A$6:$A$405=$B188)*(((職員マスタ!$G$6:$G$405="")+(職員マスタ!$G$6:$G$405&lt;=EOMONTH($AO188,0)))&gt;0)*(((職員マスタ!$H$6:$H$405="")+(職員マスタ!$H$6:$H$405&gt;=$AO188))&gt;0)*(ROW(職員マスタ!$A$6:$A$405)-5)))&gt;0,SUMPRODUCT(MAX((職員マスタ!$A$6:$A$405=$B188)*(((職員マスタ!$G$6:$G$405="")+(職員マスタ!$G$6:$G$405&lt;=EOMONTH($AO188,0)))&gt;0)*(((職員マスタ!$H$6:$H$405="")+(職員マスタ!$H$6:$H$405&gt;=$AO188))&gt;0)*(ROW(職員マスタ!$A$6:$A$405)-5))),IFERROR(MATCH($B188,職員マスタ!$A$6:$A$405,0),"")))</f>
        <v/>
      </c>
      <c r="AO188" s="16">
        <f>IF(OR($B188="",$C188="",$D188=""),"",DATE($C188+2018,$D188,1))</f>
        <v/>
      </c>
    </row>
    <row r="189">
      <c r="A189" s="11" t="n"/>
      <c r="B189" s="12" t="n">
        <v>6402952</v>
      </c>
      <c r="C189" s="12" t="n">
        <v>7</v>
      </c>
      <c r="D189" s="12" t="n">
        <v>11</v>
      </c>
      <c r="E189" s="13" t="n">
        <v>197093</v>
      </c>
      <c r="F189" s="12" t="n"/>
      <c r="G189" s="13" t="n"/>
      <c r="H189" s="12" t="n"/>
      <c r="I189" s="12" t="n"/>
      <c r="J189" s="12" t="n"/>
      <c r="K189" s="12" t="n"/>
      <c r="L189" s="11" t="n"/>
      <c r="M189" s="11" t="n"/>
      <c r="N189" s="11" t="n"/>
      <c r="O189" s="11" t="n"/>
      <c r="P189" s="12" t="n"/>
      <c r="Q189" s="11" t="n"/>
      <c r="R189" s="12" t="n"/>
      <c r="S189" s="11" t="n"/>
      <c r="T189" s="12" t="n"/>
      <c r="U189" s="12" t="n"/>
      <c r="V189" s="14">
        <f>IF($AN189="",IF($B189="","",$H189),IF(INDEX(職員マスタ!$B$6:$B$405,$AN189)="",$H189,INDEX(職員マスタ!$B$6:$B$405,$AN189)))</f>
        <v/>
      </c>
      <c r="W189" s="14">
        <f>IF($AN189="",IF($B189="","",$R189),IF(INDEX(職員マスタ!$C$6:$C$405,$AN189)="",$R189,INDEX(職員マスタ!$C$6:$C$405,$AN189)))</f>
        <v/>
      </c>
      <c r="X189" s="14">
        <f>IF($AO189="","","R"&amp;$C189&amp;"."&amp;$D189)</f>
        <v/>
      </c>
      <c r="Y189" s="15">
        <f>IF($AN189="","",IF(INDEX(職員マスタ!$K$6:$K$405,$AN189)="","",INDEX(職員マスタ!$K$6:$K$405,$AN189)))</f>
        <v/>
      </c>
      <c r="Z189" s="14">
        <f>IF(OR($E189="",$Y189=""),"",IF($E189&gt;=$Y189,"×",IF($E189&gt;=$Y189*設定!$C$5,"△","○")))</f>
        <v/>
      </c>
      <c r="AA189" s="15">
        <f>IF($Z189="","",IF($Z189="×",0,IF($Z189="○",ROUNDDOWN($E189*設定!$C$4,0),ROUNDDOWN($E189*ROUND((9*$Y189-9*$E189)/(10*$E189),4),0))))</f>
        <v/>
      </c>
      <c r="AB189" s="13" t="n"/>
      <c r="AC189" s="15">
        <f>IF($B189="","",IF($AB189&lt;&gt;"",$AB189,IF($AA189="","",IF($AA189&lt;=設定!$C$3,0,$AA189))))</f>
        <v/>
      </c>
      <c r="AD189" s="14">
        <f>IF($B189="","",IF(AND($AE189&lt;&gt;"",$AG189="",$AJ189=""),"保留中",IF($AJ189&lt;&gt;"",IF(N($AC189)&gt;0,"支給済","不支給"),IF($AC189="","要確認",IF($AC189=0,"不支給","未処理")))))</f>
        <v/>
      </c>
      <c r="AE189" s="12" t="n"/>
      <c r="AF189" s="11" t="n"/>
      <c r="AG189" s="11" t="n"/>
      <c r="AH189" s="11" t="n"/>
      <c r="AI189" s="14">
        <f>IF(AND($AD189="保留中",$AF189&lt;&gt;""),TODAY()-$AF189,"")</f>
        <v/>
      </c>
      <c r="AJ189" s="12" t="inlineStr">
        <is>
          <t>R8.1</t>
        </is>
      </c>
      <c r="AK189" s="14">
        <f>IF($B189="","",IF($AO189="","対象年月が未入力／","")&amp;IF($B189="","",IF($AN189="","職員マスタに未登録の職員番号／",IF($Y189="","標準報酬月額が未登録／","")&amp;IF(AND($AO189&lt;&gt;"",OR(AND(INDEX(職員マスタ!$G$6:$G$405,$AN189)&lt;&gt;"",INDEX(職員マスタ!$G$6:$G$405,$AN189)&gt;EOMONTH($AO189,0)),AND(INDEX(職員マスタ!$H$6:$H$405,$AN189)&lt;&gt;"",INDEX(職員マスタ!$H$6:$H$405,$AN189)&lt;$AO189))),"対象月が時短期間外／","")&amp;IF(AND(INDEX(職員マスタ!$F$6:$F$405,$AN189)&lt;&gt;"",$AO189&lt;&gt;"",INDEX(職員マスタ!$F$6:$F$405,$AN189)&lt;$AO189),"対象月に子が2歳到達済／","")&amp;IF(AND($H189&lt;&gt;"",INDEX(職員マスタ!$B$6:$B$405,$AN189)&lt;&gt;"",SUBSTITUTE(SUBSTITUTE($H189," ","")," ","")&lt;&gt;SUBSTITUTE(SUBSTITUTE(INDEX(職員マスタ!$B$6:$B$405,$AN189)," ","")," ","")),"氏名がマスタと相違／","")&amp;IF(AND($Q189&lt;&gt;"",INDEX(職員マスタ!$E$6:$E$405,$AN189)&lt;&gt;"",$Q189&lt;&gt;INDEX(職員マスタ!$E$6:$E$405,$AN189)),"子の生年月日がマスタと相違／","")&amp;IF(AND($L189&lt;&gt;"",INDEX(職員マスタ!$G$6:$G$405,$AN189)&lt;&gt;"",$L189&lt;&gt;INDEX(職員マスタ!$G$6:$G$405,$AN189)),"時短開始日がマスタと相違／","")&amp;IF(AND($M189&lt;&gt;"",INDEX(職員マスタ!$H$6:$H$405,$AN189)&lt;&gt;"",$M189&lt;&gt;INDEX(職員マスタ!$H$6:$H$405,$AN189)),"時短終了日がマスタと相違／","")))&amp;IF(AND($B189&lt;&gt;"",$E189=""),"報酬額が未入力／","")&amp;IF(N($U189)&gt;0,"申請書に入力エラーが残っています／","")&amp;IF(AND($B189&lt;&gt;"",$AO189&lt;&gt;""),IF(COUNTIFS($B$6:$B$3005,$B189,$C$6:$C$3005,$C189,$D$6:$D$3005,$D189)&gt;1,"同じ月の請求が重複しています／",""),"")&amp;IF(AND(N($E189)&gt;0,$Z189&lt;&gt;"",$Z189&lt;&gt;"×",$AC189=0,$AB189=""),"計算額が下限以下のため不支給／",""))</f>
        <v/>
      </c>
      <c r="AL189" s="12" t="n"/>
      <c r="AM189" s="14">
        <f>IF($AD189="保留中",COUNTIF($AD$6:$AD189,"保留中"),"")</f>
        <v/>
      </c>
      <c r="AN189" s="14">
        <f>IF($AO189="","",IF(SUMPRODUCT(MAX((職員マスタ!$A$6:$A$405=$B189)*(((職員マスタ!$G$6:$G$405="")+(職員マスタ!$G$6:$G$405&lt;=EOMONTH($AO189,0)))&gt;0)*(((職員マスタ!$H$6:$H$405="")+(職員マスタ!$H$6:$H$405&gt;=$AO189))&gt;0)*(ROW(職員マスタ!$A$6:$A$405)-5)))&gt;0,SUMPRODUCT(MAX((職員マスタ!$A$6:$A$405=$B189)*(((職員マスタ!$G$6:$G$405="")+(職員マスタ!$G$6:$G$405&lt;=EOMONTH($AO189,0)))&gt;0)*(((職員マスタ!$H$6:$H$405="")+(職員マスタ!$H$6:$H$405&gt;=$AO189))&gt;0)*(ROW(職員マスタ!$A$6:$A$405)-5))),IFERROR(MATCH($B189,職員マスタ!$A$6:$A$405,0),"")))</f>
        <v/>
      </c>
      <c r="AO189" s="16">
        <f>IF(OR($B189="",$C189="",$D189=""),"",DATE($C189+2018,$D189,1))</f>
        <v/>
      </c>
    </row>
    <row r="190">
      <c r="A190" s="11" t="n"/>
      <c r="B190" s="12" t="n">
        <v>6402952</v>
      </c>
      <c r="C190" s="12" t="n">
        <v>7</v>
      </c>
      <c r="D190" s="12" t="n">
        <v>12</v>
      </c>
      <c r="E190" s="13" t="n">
        <v>204458</v>
      </c>
      <c r="F190" s="12" t="n"/>
      <c r="G190" s="13" t="n"/>
      <c r="H190" s="12" t="n"/>
      <c r="I190" s="12" t="n"/>
      <c r="J190" s="12" t="n"/>
      <c r="K190" s="12" t="n"/>
      <c r="L190" s="11" t="n"/>
      <c r="M190" s="11" t="n"/>
      <c r="N190" s="11" t="n"/>
      <c r="O190" s="11" t="n"/>
      <c r="P190" s="12" t="n"/>
      <c r="Q190" s="11" t="n"/>
      <c r="R190" s="12" t="n"/>
      <c r="S190" s="11" t="n"/>
      <c r="T190" s="12" t="n"/>
      <c r="U190" s="12" t="n"/>
      <c r="V190" s="14">
        <f>IF($AN190="",IF($B190="","",$H190),IF(INDEX(職員マスタ!$B$6:$B$405,$AN190)="",$H190,INDEX(職員マスタ!$B$6:$B$405,$AN190)))</f>
        <v/>
      </c>
      <c r="W190" s="14">
        <f>IF($AN190="",IF($B190="","",$R190),IF(INDEX(職員マスタ!$C$6:$C$405,$AN190)="",$R190,INDEX(職員マスタ!$C$6:$C$405,$AN190)))</f>
        <v/>
      </c>
      <c r="X190" s="14">
        <f>IF($AO190="","","R"&amp;$C190&amp;"."&amp;$D190)</f>
        <v/>
      </c>
      <c r="Y190" s="15">
        <f>IF($AN190="","",IF(INDEX(職員マスタ!$K$6:$K$405,$AN190)="","",INDEX(職員マスタ!$K$6:$K$405,$AN190)))</f>
        <v/>
      </c>
      <c r="Z190" s="14">
        <f>IF(OR($E190="",$Y190=""),"",IF($E190&gt;=$Y190,"×",IF($E190&gt;=$Y190*設定!$C$5,"△","○")))</f>
        <v/>
      </c>
      <c r="AA190" s="15">
        <f>IF($Z190="","",IF($Z190="×",0,IF($Z190="○",ROUNDDOWN($E190*設定!$C$4,0),ROUNDDOWN($E190*ROUND((9*$Y190-9*$E190)/(10*$E190),4),0))))</f>
        <v/>
      </c>
      <c r="AB190" s="13" t="n"/>
      <c r="AC190" s="15">
        <f>IF($B190="","",IF($AB190&lt;&gt;"",$AB190,IF($AA190="","",IF($AA190&lt;=設定!$C$3,0,$AA190))))</f>
        <v/>
      </c>
      <c r="AD190" s="14">
        <f>IF($B190="","",IF(AND($AE190&lt;&gt;"",$AG190="",$AJ190=""),"保留中",IF($AJ190&lt;&gt;"",IF(N($AC190)&gt;0,"支給済","不支給"),IF($AC190="","要確認",IF($AC190=0,"不支給","未処理")))))</f>
        <v/>
      </c>
      <c r="AE190" s="12" t="n"/>
      <c r="AF190" s="11" t="n"/>
      <c r="AG190" s="11" t="n"/>
      <c r="AH190" s="11" t="n"/>
      <c r="AI190" s="14">
        <f>IF(AND($AD190="保留中",$AF190&lt;&gt;""),TODAY()-$AF190,"")</f>
        <v/>
      </c>
      <c r="AJ190" s="12" t="inlineStr">
        <is>
          <t>R8.2</t>
        </is>
      </c>
      <c r="AK190" s="14">
        <f>IF($B190="","",IF($AO190="","対象年月が未入力／","")&amp;IF($B190="","",IF($AN190="","職員マスタに未登録の職員番号／",IF($Y190="","標準報酬月額が未登録／","")&amp;IF(AND($AO190&lt;&gt;"",OR(AND(INDEX(職員マスタ!$G$6:$G$405,$AN190)&lt;&gt;"",INDEX(職員マスタ!$G$6:$G$405,$AN190)&gt;EOMONTH($AO190,0)),AND(INDEX(職員マスタ!$H$6:$H$405,$AN190)&lt;&gt;"",INDEX(職員マスタ!$H$6:$H$405,$AN190)&lt;$AO190))),"対象月が時短期間外／","")&amp;IF(AND(INDEX(職員マスタ!$F$6:$F$405,$AN190)&lt;&gt;"",$AO190&lt;&gt;"",INDEX(職員マスタ!$F$6:$F$405,$AN190)&lt;$AO190),"対象月に子が2歳到達済／","")&amp;IF(AND($H190&lt;&gt;"",INDEX(職員マスタ!$B$6:$B$405,$AN190)&lt;&gt;"",SUBSTITUTE(SUBSTITUTE($H190," ","")," ","")&lt;&gt;SUBSTITUTE(SUBSTITUTE(INDEX(職員マスタ!$B$6:$B$405,$AN190)," ","")," ","")),"氏名がマスタと相違／","")&amp;IF(AND($Q190&lt;&gt;"",INDEX(職員マスタ!$E$6:$E$405,$AN190)&lt;&gt;"",$Q190&lt;&gt;INDEX(職員マスタ!$E$6:$E$405,$AN190)),"子の生年月日がマスタと相違／","")&amp;IF(AND($L190&lt;&gt;"",INDEX(職員マスタ!$G$6:$G$405,$AN190)&lt;&gt;"",$L190&lt;&gt;INDEX(職員マスタ!$G$6:$G$405,$AN190)),"時短開始日がマスタと相違／","")&amp;IF(AND($M190&lt;&gt;"",INDEX(職員マスタ!$H$6:$H$405,$AN190)&lt;&gt;"",$M190&lt;&gt;INDEX(職員マスタ!$H$6:$H$405,$AN190)),"時短終了日がマスタと相違／","")))&amp;IF(AND($B190&lt;&gt;"",$E190=""),"報酬額が未入力／","")&amp;IF(N($U190)&gt;0,"申請書に入力エラーが残っています／","")&amp;IF(AND($B190&lt;&gt;"",$AO190&lt;&gt;""),IF(COUNTIFS($B$6:$B$3005,$B190,$C$6:$C$3005,$C190,$D$6:$D$3005,$D190)&gt;1,"同じ月の請求が重複しています／",""),"")&amp;IF(AND(N($E190)&gt;0,$Z190&lt;&gt;"",$Z190&lt;&gt;"×",$AC190=0,$AB190=""),"計算額が下限以下のため不支給／",""))</f>
        <v/>
      </c>
      <c r="AL190" s="12" t="n"/>
      <c r="AM190" s="14">
        <f>IF($AD190="保留中",COUNTIF($AD$6:$AD190,"保留中"),"")</f>
        <v/>
      </c>
      <c r="AN190" s="14">
        <f>IF($AO190="","",IF(SUMPRODUCT(MAX((職員マスタ!$A$6:$A$405=$B190)*(((職員マスタ!$G$6:$G$405="")+(職員マスタ!$G$6:$G$405&lt;=EOMONTH($AO190,0)))&gt;0)*(((職員マスタ!$H$6:$H$405="")+(職員マスタ!$H$6:$H$405&gt;=$AO190))&gt;0)*(ROW(職員マスタ!$A$6:$A$405)-5)))&gt;0,SUMPRODUCT(MAX((職員マスタ!$A$6:$A$405=$B190)*(((職員マスタ!$G$6:$G$405="")+(職員マスタ!$G$6:$G$405&lt;=EOMONTH($AO190,0)))&gt;0)*(((職員マスタ!$H$6:$H$405="")+(職員マスタ!$H$6:$H$405&gt;=$AO190))&gt;0)*(ROW(職員マスタ!$A$6:$A$405)-5))),IFERROR(MATCH($B190,職員マスタ!$A$6:$A$405,0),"")))</f>
        <v/>
      </c>
      <c r="AO190" s="16">
        <f>IF(OR($B190="",$C190="",$D190=""),"",DATE($C190+2018,$D190,1))</f>
        <v/>
      </c>
    </row>
    <row r="191">
      <c r="A191" s="11" t="n"/>
      <c r="B191" s="12" t="n">
        <v>6402952</v>
      </c>
      <c r="C191" s="12" t="n">
        <v>8</v>
      </c>
      <c r="D191" s="12" t="n">
        <v>1</v>
      </c>
      <c r="E191" s="13" t="n">
        <v>204458</v>
      </c>
      <c r="F191" s="12" t="n"/>
      <c r="G191" s="13" t="n"/>
      <c r="H191" s="12" t="n"/>
      <c r="I191" s="12" t="n"/>
      <c r="J191" s="12" t="n"/>
      <c r="K191" s="12" t="n"/>
      <c r="L191" s="11" t="n"/>
      <c r="M191" s="11" t="n"/>
      <c r="N191" s="11" t="n"/>
      <c r="O191" s="11" t="n"/>
      <c r="P191" s="12" t="n"/>
      <c r="Q191" s="11" t="n"/>
      <c r="R191" s="12" t="n"/>
      <c r="S191" s="11" t="n"/>
      <c r="T191" s="12" t="n"/>
      <c r="U191" s="12" t="n"/>
      <c r="V191" s="14">
        <f>IF($AN191="",IF($B191="","",$H191),IF(INDEX(職員マスタ!$B$6:$B$405,$AN191)="",$H191,INDEX(職員マスタ!$B$6:$B$405,$AN191)))</f>
        <v/>
      </c>
      <c r="W191" s="14">
        <f>IF($AN191="",IF($B191="","",$R191),IF(INDEX(職員マスタ!$C$6:$C$405,$AN191)="",$R191,INDEX(職員マスタ!$C$6:$C$405,$AN191)))</f>
        <v/>
      </c>
      <c r="X191" s="14">
        <f>IF($AO191="","","R"&amp;$C191&amp;"."&amp;$D191)</f>
        <v/>
      </c>
      <c r="Y191" s="15">
        <f>IF($AN191="","",IF(INDEX(職員マスタ!$K$6:$K$405,$AN191)="","",INDEX(職員マスタ!$K$6:$K$405,$AN191)))</f>
        <v/>
      </c>
      <c r="Z191" s="14">
        <f>IF(OR($E191="",$Y191=""),"",IF($E191&gt;=$Y191,"×",IF($E191&gt;=$Y191*設定!$C$5,"△","○")))</f>
        <v/>
      </c>
      <c r="AA191" s="15">
        <f>IF($Z191="","",IF($Z191="×",0,IF($Z191="○",ROUNDDOWN($E191*設定!$C$4,0),ROUNDDOWN($E191*ROUND((9*$Y191-9*$E191)/(10*$E191),4),0))))</f>
        <v/>
      </c>
      <c r="AB191" s="13" t="n"/>
      <c r="AC191" s="15">
        <f>IF($B191="","",IF($AB191&lt;&gt;"",$AB191,IF($AA191="","",IF($AA191&lt;=設定!$C$3,0,$AA191))))</f>
        <v/>
      </c>
      <c r="AD191" s="14">
        <f>IF($B191="","",IF(AND($AE191&lt;&gt;"",$AG191="",$AJ191=""),"保留中",IF($AJ191&lt;&gt;"",IF(N($AC191)&gt;0,"支給済","不支給"),IF($AC191="","要確認",IF($AC191=0,"不支給","未処理")))))</f>
        <v/>
      </c>
      <c r="AE191" s="12" t="n"/>
      <c r="AF191" s="11" t="n"/>
      <c r="AG191" s="11" t="n"/>
      <c r="AH191" s="11" t="n"/>
      <c r="AI191" s="14">
        <f>IF(AND($AD191="保留中",$AF191&lt;&gt;""),TODAY()-$AF191,"")</f>
        <v/>
      </c>
      <c r="AJ191" s="12" t="inlineStr">
        <is>
          <t>R8.3</t>
        </is>
      </c>
      <c r="AK191" s="14">
        <f>IF($B191="","",IF($AO191="","対象年月が未入力／","")&amp;IF($B191="","",IF($AN191="","職員マスタに未登録の職員番号／",IF($Y191="","標準報酬月額が未登録／","")&amp;IF(AND($AO191&lt;&gt;"",OR(AND(INDEX(職員マスタ!$G$6:$G$405,$AN191)&lt;&gt;"",INDEX(職員マスタ!$G$6:$G$405,$AN191)&gt;EOMONTH($AO191,0)),AND(INDEX(職員マスタ!$H$6:$H$405,$AN191)&lt;&gt;"",INDEX(職員マスタ!$H$6:$H$405,$AN191)&lt;$AO191))),"対象月が時短期間外／","")&amp;IF(AND(INDEX(職員マスタ!$F$6:$F$405,$AN191)&lt;&gt;"",$AO191&lt;&gt;"",INDEX(職員マスタ!$F$6:$F$405,$AN191)&lt;$AO191),"対象月に子が2歳到達済／","")&amp;IF(AND($H191&lt;&gt;"",INDEX(職員マスタ!$B$6:$B$405,$AN191)&lt;&gt;"",SUBSTITUTE(SUBSTITUTE($H191," ","")," ","")&lt;&gt;SUBSTITUTE(SUBSTITUTE(INDEX(職員マスタ!$B$6:$B$405,$AN191)," ","")," ","")),"氏名がマスタと相違／","")&amp;IF(AND($Q191&lt;&gt;"",INDEX(職員マスタ!$E$6:$E$405,$AN191)&lt;&gt;"",$Q191&lt;&gt;INDEX(職員マスタ!$E$6:$E$405,$AN191)),"子の生年月日がマスタと相違／","")&amp;IF(AND($L191&lt;&gt;"",INDEX(職員マスタ!$G$6:$G$405,$AN191)&lt;&gt;"",$L191&lt;&gt;INDEX(職員マスタ!$G$6:$G$405,$AN191)),"時短開始日がマスタと相違／","")&amp;IF(AND($M191&lt;&gt;"",INDEX(職員マスタ!$H$6:$H$405,$AN191)&lt;&gt;"",$M191&lt;&gt;INDEX(職員マスタ!$H$6:$H$405,$AN191)),"時短終了日がマスタと相違／","")))&amp;IF(AND($B191&lt;&gt;"",$E191=""),"報酬額が未入力／","")&amp;IF(N($U191)&gt;0,"申請書に入力エラーが残っています／","")&amp;IF(AND($B191&lt;&gt;"",$AO191&lt;&gt;""),IF(COUNTIFS($B$6:$B$3005,$B191,$C$6:$C$3005,$C191,$D$6:$D$3005,$D191)&gt;1,"同じ月の請求が重複しています／",""),"")&amp;IF(AND(N($E191)&gt;0,$Z191&lt;&gt;"",$Z191&lt;&gt;"×",$AC191=0,$AB191=""),"計算額が下限以下のため不支給／",""))</f>
        <v/>
      </c>
      <c r="AL191" s="12" t="n"/>
      <c r="AM191" s="14">
        <f>IF($AD191="保留中",COUNTIF($AD$6:$AD191,"保留中"),"")</f>
        <v/>
      </c>
      <c r="AN191" s="14">
        <f>IF($AO191="","",IF(SUMPRODUCT(MAX((職員マスタ!$A$6:$A$405=$B191)*(((職員マスタ!$G$6:$G$405="")+(職員マスタ!$G$6:$G$405&lt;=EOMONTH($AO191,0)))&gt;0)*(((職員マスタ!$H$6:$H$405="")+(職員マスタ!$H$6:$H$405&gt;=$AO191))&gt;0)*(ROW(職員マスタ!$A$6:$A$405)-5)))&gt;0,SUMPRODUCT(MAX((職員マスタ!$A$6:$A$405=$B191)*(((職員マスタ!$G$6:$G$405="")+(職員マスタ!$G$6:$G$405&lt;=EOMONTH($AO191,0)))&gt;0)*(((職員マスタ!$H$6:$H$405="")+(職員マスタ!$H$6:$H$405&gt;=$AO191))&gt;0)*(ROW(職員マスタ!$A$6:$A$405)-5))),IFERROR(MATCH($B191,職員マスタ!$A$6:$A$405,0),"")))</f>
        <v/>
      </c>
      <c r="AO191" s="16">
        <f>IF(OR($B191="",$C191="",$D191=""),"",DATE($C191+2018,$D191,1))</f>
        <v/>
      </c>
    </row>
    <row r="192">
      <c r="A192" s="11" t="n"/>
      <c r="B192" s="12" t="n">
        <v>6402952</v>
      </c>
      <c r="C192" s="12" t="n">
        <v>8</v>
      </c>
      <c r="D192" s="12" t="n">
        <v>2</v>
      </c>
      <c r="E192" s="13" t="n">
        <v>204458</v>
      </c>
      <c r="F192" s="12" t="n"/>
      <c r="G192" s="13" t="n"/>
      <c r="H192" s="12" t="n"/>
      <c r="I192" s="12" t="n"/>
      <c r="J192" s="12" t="n"/>
      <c r="K192" s="12" t="n"/>
      <c r="L192" s="11" t="n"/>
      <c r="M192" s="11" t="n"/>
      <c r="N192" s="11" t="n"/>
      <c r="O192" s="11" t="n"/>
      <c r="P192" s="12" t="n"/>
      <c r="Q192" s="11" t="n"/>
      <c r="R192" s="12" t="n"/>
      <c r="S192" s="11" t="n"/>
      <c r="T192" s="12" t="n"/>
      <c r="U192" s="12" t="n"/>
      <c r="V192" s="14">
        <f>IF($AN192="",IF($B192="","",$H192),IF(INDEX(職員マスタ!$B$6:$B$405,$AN192)="",$H192,INDEX(職員マスタ!$B$6:$B$405,$AN192)))</f>
        <v/>
      </c>
      <c r="W192" s="14">
        <f>IF($AN192="",IF($B192="","",$R192),IF(INDEX(職員マスタ!$C$6:$C$405,$AN192)="",$R192,INDEX(職員マスタ!$C$6:$C$405,$AN192)))</f>
        <v/>
      </c>
      <c r="X192" s="14">
        <f>IF($AO192="","","R"&amp;$C192&amp;"."&amp;$D192)</f>
        <v/>
      </c>
      <c r="Y192" s="15">
        <f>IF($AN192="","",IF(INDEX(職員マスタ!$K$6:$K$405,$AN192)="","",INDEX(職員マスタ!$K$6:$K$405,$AN192)))</f>
        <v/>
      </c>
      <c r="Z192" s="14">
        <f>IF(OR($E192="",$Y192=""),"",IF($E192&gt;=$Y192,"×",IF($E192&gt;=$Y192*設定!$C$5,"△","○")))</f>
        <v/>
      </c>
      <c r="AA192" s="15">
        <f>IF($Z192="","",IF($Z192="×",0,IF($Z192="○",ROUNDDOWN($E192*設定!$C$4,0),ROUNDDOWN($E192*ROUND((9*$Y192-9*$E192)/(10*$E192),4),0))))</f>
        <v/>
      </c>
      <c r="AB192" s="13" t="n"/>
      <c r="AC192" s="15">
        <f>IF($B192="","",IF($AB192&lt;&gt;"",$AB192,IF($AA192="","",IF($AA192&lt;=設定!$C$3,0,$AA192))))</f>
        <v/>
      </c>
      <c r="AD192" s="14">
        <f>IF($B192="","",IF(AND($AE192&lt;&gt;"",$AG192="",$AJ192=""),"保留中",IF($AJ192&lt;&gt;"",IF(N($AC192)&gt;0,"支給済","不支給"),IF($AC192="","要確認",IF($AC192=0,"不支給","未処理")))))</f>
        <v/>
      </c>
      <c r="AE192" s="12" t="n"/>
      <c r="AF192" s="11" t="n"/>
      <c r="AG192" s="11" t="n"/>
      <c r="AH192" s="11" t="n"/>
      <c r="AI192" s="14">
        <f>IF(AND($AD192="保留中",$AF192&lt;&gt;""),TODAY()-$AF192,"")</f>
        <v/>
      </c>
      <c r="AJ192" s="12" t="inlineStr">
        <is>
          <t>R8.4</t>
        </is>
      </c>
      <c r="AK192" s="14">
        <f>IF($B192="","",IF($AO192="","対象年月が未入力／","")&amp;IF($B192="","",IF($AN192="","職員マスタに未登録の職員番号／",IF($Y192="","標準報酬月額が未登録／","")&amp;IF(AND($AO192&lt;&gt;"",OR(AND(INDEX(職員マスタ!$G$6:$G$405,$AN192)&lt;&gt;"",INDEX(職員マスタ!$G$6:$G$405,$AN192)&gt;EOMONTH($AO192,0)),AND(INDEX(職員マスタ!$H$6:$H$405,$AN192)&lt;&gt;"",INDEX(職員マスタ!$H$6:$H$405,$AN192)&lt;$AO192))),"対象月が時短期間外／","")&amp;IF(AND(INDEX(職員マスタ!$F$6:$F$405,$AN192)&lt;&gt;"",$AO192&lt;&gt;"",INDEX(職員マスタ!$F$6:$F$405,$AN192)&lt;$AO192),"対象月に子が2歳到達済／","")&amp;IF(AND($H192&lt;&gt;"",INDEX(職員マスタ!$B$6:$B$405,$AN192)&lt;&gt;"",SUBSTITUTE(SUBSTITUTE($H192," ","")," ","")&lt;&gt;SUBSTITUTE(SUBSTITUTE(INDEX(職員マスタ!$B$6:$B$405,$AN192)," ","")," ","")),"氏名がマスタと相違／","")&amp;IF(AND($Q192&lt;&gt;"",INDEX(職員マスタ!$E$6:$E$405,$AN192)&lt;&gt;"",$Q192&lt;&gt;INDEX(職員マスタ!$E$6:$E$405,$AN192)),"子の生年月日がマスタと相違／","")&amp;IF(AND($L192&lt;&gt;"",INDEX(職員マスタ!$G$6:$G$405,$AN192)&lt;&gt;"",$L192&lt;&gt;INDEX(職員マスタ!$G$6:$G$405,$AN192)),"時短開始日がマスタと相違／","")&amp;IF(AND($M192&lt;&gt;"",INDEX(職員マスタ!$H$6:$H$405,$AN192)&lt;&gt;"",$M192&lt;&gt;INDEX(職員マスタ!$H$6:$H$405,$AN192)),"時短終了日がマスタと相違／","")))&amp;IF(AND($B192&lt;&gt;"",$E192=""),"報酬額が未入力／","")&amp;IF(N($U192)&gt;0,"申請書に入力エラーが残っています／","")&amp;IF(AND($B192&lt;&gt;"",$AO192&lt;&gt;""),IF(COUNTIFS($B$6:$B$3005,$B192,$C$6:$C$3005,$C192,$D$6:$D$3005,$D192)&gt;1,"同じ月の請求が重複しています／",""),"")&amp;IF(AND(N($E192)&gt;0,$Z192&lt;&gt;"",$Z192&lt;&gt;"×",$AC192=0,$AB192=""),"計算額が下限以下のため不支給／",""))</f>
        <v/>
      </c>
      <c r="AL192" s="12" t="n"/>
      <c r="AM192" s="14">
        <f>IF($AD192="保留中",COUNTIF($AD$6:$AD192,"保留中"),"")</f>
        <v/>
      </c>
      <c r="AN192" s="14">
        <f>IF($AO192="","",IF(SUMPRODUCT(MAX((職員マスタ!$A$6:$A$405=$B192)*(((職員マスタ!$G$6:$G$405="")+(職員マスタ!$G$6:$G$405&lt;=EOMONTH($AO192,0)))&gt;0)*(((職員マスタ!$H$6:$H$405="")+(職員マスタ!$H$6:$H$405&gt;=$AO192))&gt;0)*(ROW(職員マスタ!$A$6:$A$405)-5)))&gt;0,SUMPRODUCT(MAX((職員マスタ!$A$6:$A$405=$B192)*(((職員マスタ!$G$6:$G$405="")+(職員マスタ!$G$6:$G$405&lt;=EOMONTH($AO192,0)))&gt;0)*(((職員マスタ!$H$6:$H$405="")+(職員マスタ!$H$6:$H$405&gt;=$AO192))&gt;0)*(ROW(職員マスタ!$A$6:$A$405)-5))),IFERROR(MATCH($B192,職員マスタ!$A$6:$A$405,0),"")))</f>
        <v/>
      </c>
      <c r="AO192" s="16">
        <f>IF(OR($B192="",$C192="",$D192=""),"",DATE($C192+2018,$D192,1))</f>
        <v/>
      </c>
    </row>
    <row r="193">
      <c r="A193" s="11" t="n"/>
      <c r="B193" s="12" t="n">
        <v>6402952</v>
      </c>
      <c r="C193" s="12" t="n">
        <v>8</v>
      </c>
      <c r="D193" s="12" t="n">
        <v>3</v>
      </c>
      <c r="E193" s="13" t="n">
        <v>200376</v>
      </c>
      <c r="F193" s="12" t="n"/>
      <c r="G193" s="13" t="n"/>
      <c r="H193" s="12" t="n"/>
      <c r="I193" s="12" t="n"/>
      <c r="J193" s="12" t="n"/>
      <c r="K193" s="12" t="n"/>
      <c r="L193" s="11" t="n"/>
      <c r="M193" s="11" t="n"/>
      <c r="N193" s="11" t="n"/>
      <c r="O193" s="11" t="n"/>
      <c r="P193" s="12" t="n"/>
      <c r="Q193" s="11" t="n"/>
      <c r="R193" s="12" t="n"/>
      <c r="S193" s="11" t="n"/>
      <c r="T193" s="12" t="n"/>
      <c r="U193" s="12" t="n"/>
      <c r="V193" s="14">
        <f>IF($AN193="",IF($B193="","",$H193),IF(INDEX(職員マスタ!$B$6:$B$405,$AN193)="",$H193,INDEX(職員マスタ!$B$6:$B$405,$AN193)))</f>
        <v/>
      </c>
      <c r="W193" s="14">
        <f>IF($AN193="",IF($B193="","",$R193),IF(INDEX(職員マスタ!$C$6:$C$405,$AN193)="",$R193,INDEX(職員マスタ!$C$6:$C$405,$AN193)))</f>
        <v/>
      </c>
      <c r="X193" s="14">
        <f>IF($AO193="","","R"&amp;$C193&amp;"."&amp;$D193)</f>
        <v/>
      </c>
      <c r="Y193" s="15">
        <f>IF($AN193="","",IF(INDEX(職員マスタ!$K$6:$K$405,$AN193)="","",INDEX(職員マスタ!$K$6:$K$405,$AN193)))</f>
        <v/>
      </c>
      <c r="Z193" s="14">
        <f>IF(OR($E193="",$Y193=""),"",IF($E193&gt;=$Y193,"×",IF($E193&gt;=$Y193*設定!$C$5,"△","○")))</f>
        <v/>
      </c>
      <c r="AA193" s="15">
        <f>IF($Z193="","",IF($Z193="×",0,IF($Z193="○",ROUNDDOWN($E193*設定!$C$4,0),ROUNDDOWN($E193*ROUND((9*$Y193-9*$E193)/(10*$E193),4),0))))</f>
        <v/>
      </c>
      <c r="AB193" s="13" t="n"/>
      <c r="AC193" s="15">
        <f>IF($B193="","",IF($AB193&lt;&gt;"",$AB193,IF($AA193="","",IF($AA193&lt;=設定!$C$3,0,$AA193))))</f>
        <v/>
      </c>
      <c r="AD193" s="14">
        <f>IF($B193="","",IF(AND($AE193&lt;&gt;"",$AG193="",$AJ193=""),"保留中",IF($AJ193&lt;&gt;"",IF(N($AC193)&gt;0,"支給済","不支給"),IF($AC193="","要確認",IF($AC193=0,"不支給","未処理")))))</f>
        <v/>
      </c>
      <c r="AE193" s="12" t="n"/>
      <c r="AF193" s="11" t="n"/>
      <c r="AG193" s="11" t="n"/>
      <c r="AH193" s="11" t="n"/>
      <c r="AI193" s="14">
        <f>IF(AND($AD193="保留中",$AF193&lt;&gt;""),TODAY()-$AF193,"")</f>
        <v/>
      </c>
      <c r="AJ193" s="12" t="inlineStr">
        <is>
          <t>R8.10</t>
        </is>
      </c>
      <c r="AK193" s="14">
        <f>IF($B193="","",IF($AO193="","対象年月が未入力／","")&amp;IF($B193="","",IF($AN193="","職員マスタに未登録の職員番号／",IF($Y193="","標準報酬月額が未登録／","")&amp;IF(AND($AO193&lt;&gt;"",OR(AND(INDEX(職員マスタ!$G$6:$G$405,$AN193)&lt;&gt;"",INDEX(職員マスタ!$G$6:$G$405,$AN193)&gt;EOMONTH($AO193,0)),AND(INDEX(職員マスタ!$H$6:$H$405,$AN193)&lt;&gt;"",INDEX(職員マスタ!$H$6:$H$405,$AN193)&lt;$AO193))),"対象月が時短期間外／","")&amp;IF(AND(INDEX(職員マスタ!$F$6:$F$405,$AN193)&lt;&gt;"",$AO193&lt;&gt;"",INDEX(職員マスタ!$F$6:$F$405,$AN193)&lt;$AO193),"対象月に子が2歳到達済／","")&amp;IF(AND($H193&lt;&gt;"",INDEX(職員マスタ!$B$6:$B$405,$AN193)&lt;&gt;"",SUBSTITUTE(SUBSTITUTE($H193," ","")," ","")&lt;&gt;SUBSTITUTE(SUBSTITUTE(INDEX(職員マスタ!$B$6:$B$405,$AN193)," ","")," ","")),"氏名がマスタと相違／","")&amp;IF(AND($Q193&lt;&gt;"",INDEX(職員マスタ!$E$6:$E$405,$AN193)&lt;&gt;"",$Q193&lt;&gt;INDEX(職員マスタ!$E$6:$E$405,$AN193)),"子の生年月日がマスタと相違／","")&amp;IF(AND($L193&lt;&gt;"",INDEX(職員マスタ!$G$6:$G$405,$AN193)&lt;&gt;"",$L193&lt;&gt;INDEX(職員マスタ!$G$6:$G$405,$AN193)),"時短開始日がマスタと相違／","")&amp;IF(AND($M193&lt;&gt;"",INDEX(職員マスタ!$H$6:$H$405,$AN193)&lt;&gt;"",$M193&lt;&gt;INDEX(職員マスタ!$H$6:$H$405,$AN193)),"時短終了日がマスタと相違／","")))&amp;IF(AND($B193&lt;&gt;"",$E193=""),"報酬額が未入力／","")&amp;IF(N($U193)&gt;0,"申請書に入力エラーが残っています／","")&amp;IF(AND($B193&lt;&gt;"",$AO193&lt;&gt;""),IF(COUNTIFS($B$6:$B$3005,$B193,$C$6:$C$3005,$C193,$D$6:$D$3005,$D193)&gt;1,"同じ月の請求が重複しています／",""),"")&amp;IF(AND(N($E193)&gt;0,$Z193&lt;&gt;"",$Z193&lt;&gt;"×",$AC193=0,$AB193=""),"計算額が下限以下のため不支給／",""))</f>
        <v/>
      </c>
      <c r="AL193" s="12" t="n"/>
      <c r="AM193" s="14">
        <f>IF($AD193="保留中",COUNTIF($AD$6:$AD193,"保留中"),"")</f>
        <v/>
      </c>
      <c r="AN193" s="14">
        <f>IF($AO193="","",IF(SUMPRODUCT(MAX((職員マスタ!$A$6:$A$405=$B193)*(((職員マスタ!$G$6:$G$405="")+(職員マスタ!$G$6:$G$405&lt;=EOMONTH($AO193,0)))&gt;0)*(((職員マスタ!$H$6:$H$405="")+(職員マスタ!$H$6:$H$405&gt;=$AO193))&gt;0)*(ROW(職員マスタ!$A$6:$A$405)-5)))&gt;0,SUMPRODUCT(MAX((職員マスタ!$A$6:$A$405=$B193)*(((職員マスタ!$G$6:$G$405="")+(職員マスタ!$G$6:$G$405&lt;=EOMONTH($AO193,0)))&gt;0)*(((職員マスタ!$H$6:$H$405="")+(職員マスタ!$H$6:$H$405&gt;=$AO193))&gt;0)*(ROW(職員マスタ!$A$6:$A$405)-5))),IFERROR(MATCH($B193,職員マスタ!$A$6:$A$405,0),"")))</f>
        <v/>
      </c>
      <c r="AO193" s="16">
        <f>IF(OR($B193="",$C193="",$D193=""),"",DATE($C193+2018,$D193,1))</f>
        <v/>
      </c>
    </row>
    <row r="194">
      <c r="A194" s="11" t="n"/>
      <c r="B194" s="12" t="n">
        <v>6403091</v>
      </c>
      <c r="C194" s="12" t="n">
        <v>7</v>
      </c>
      <c r="D194" s="12" t="n">
        <v>4</v>
      </c>
      <c r="E194" s="13" t="n">
        <v>106816</v>
      </c>
      <c r="F194" s="12" t="n"/>
      <c r="G194" s="13" t="n"/>
      <c r="H194" s="12" t="n"/>
      <c r="I194" s="12" t="n"/>
      <c r="J194" s="12" t="n"/>
      <c r="K194" s="12" t="n"/>
      <c r="L194" s="11" t="n"/>
      <c r="M194" s="11" t="n"/>
      <c r="N194" s="11" t="n"/>
      <c r="O194" s="11" t="n"/>
      <c r="P194" s="12" t="n"/>
      <c r="Q194" s="11" t="n"/>
      <c r="R194" s="12" t="n"/>
      <c r="S194" s="11" t="n"/>
      <c r="T194" s="12" t="n"/>
      <c r="U194" s="12" t="n"/>
      <c r="V194" s="14">
        <f>IF($AN194="",IF($B194="","",$H194),IF(INDEX(職員マスタ!$B$6:$B$405,$AN194)="",$H194,INDEX(職員マスタ!$B$6:$B$405,$AN194)))</f>
        <v/>
      </c>
      <c r="W194" s="14">
        <f>IF($AN194="",IF($B194="","",$R194),IF(INDEX(職員マスタ!$C$6:$C$405,$AN194)="",$R194,INDEX(職員マスタ!$C$6:$C$405,$AN194)))</f>
        <v/>
      </c>
      <c r="X194" s="14">
        <f>IF($AO194="","","R"&amp;$C194&amp;"."&amp;$D194)</f>
        <v/>
      </c>
      <c r="Y194" s="15">
        <f>IF($AN194="","",IF(INDEX(職員マスタ!$K$6:$K$405,$AN194)="","",INDEX(職員マスタ!$K$6:$K$405,$AN194)))</f>
        <v/>
      </c>
      <c r="Z194" s="14">
        <f>IF(OR($E194="",$Y194=""),"",IF($E194&gt;=$Y194,"×",IF($E194&gt;=$Y194*設定!$C$5,"△","○")))</f>
        <v/>
      </c>
      <c r="AA194" s="15">
        <f>IF($Z194="","",IF($Z194="×",0,IF($Z194="○",ROUNDDOWN($E194*設定!$C$4,0),ROUNDDOWN($E194*ROUND((9*$Y194-9*$E194)/(10*$E194),4),0))))</f>
        <v/>
      </c>
      <c r="AB194" s="13" t="n"/>
      <c r="AC194" s="15">
        <f>IF($B194="","",IF($AB194&lt;&gt;"",$AB194,IF($AA194="","",IF($AA194&lt;=設定!$C$3,0,$AA194))))</f>
        <v/>
      </c>
      <c r="AD194" s="14">
        <f>IF($B194="","",IF(AND($AE194&lt;&gt;"",$AG194="",$AJ194=""),"保留中",IF($AJ194&lt;&gt;"",IF(N($AC194)&gt;0,"支給済","不支給"),IF($AC194="","要確認",IF($AC194=0,"不支給","未処理")))))</f>
        <v/>
      </c>
      <c r="AE194" s="12" t="n"/>
      <c r="AF194" s="11" t="n"/>
      <c r="AG194" s="11" t="n"/>
      <c r="AH194" s="11" t="n"/>
      <c r="AI194" s="14">
        <f>IF(AND($AD194="保留中",$AF194&lt;&gt;""),TODAY()-$AF194,"")</f>
        <v/>
      </c>
      <c r="AJ194" s="12" t="inlineStr">
        <is>
          <t>R7.8</t>
        </is>
      </c>
      <c r="AK194" s="14">
        <f>IF($B194="","",IF($AO194="","対象年月が未入力／","")&amp;IF($B194="","",IF($AN194="","職員マスタに未登録の職員番号／",IF($Y194="","標準報酬月額が未登録／","")&amp;IF(AND($AO194&lt;&gt;"",OR(AND(INDEX(職員マスタ!$G$6:$G$405,$AN194)&lt;&gt;"",INDEX(職員マスタ!$G$6:$G$405,$AN194)&gt;EOMONTH($AO194,0)),AND(INDEX(職員マスタ!$H$6:$H$405,$AN194)&lt;&gt;"",INDEX(職員マスタ!$H$6:$H$405,$AN194)&lt;$AO194))),"対象月が時短期間外／","")&amp;IF(AND(INDEX(職員マスタ!$F$6:$F$405,$AN194)&lt;&gt;"",$AO194&lt;&gt;"",INDEX(職員マスタ!$F$6:$F$405,$AN194)&lt;$AO194),"対象月に子が2歳到達済／","")&amp;IF(AND($H194&lt;&gt;"",INDEX(職員マスタ!$B$6:$B$405,$AN194)&lt;&gt;"",SUBSTITUTE(SUBSTITUTE($H194," ","")," ","")&lt;&gt;SUBSTITUTE(SUBSTITUTE(INDEX(職員マスタ!$B$6:$B$405,$AN194)," ","")," ","")),"氏名がマスタと相違／","")&amp;IF(AND($Q194&lt;&gt;"",INDEX(職員マスタ!$E$6:$E$405,$AN194)&lt;&gt;"",$Q194&lt;&gt;INDEX(職員マスタ!$E$6:$E$405,$AN194)),"子の生年月日がマスタと相違／","")&amp;IF(AND($L194&lt;&gt;"",INDEX(職員マスタ!$G$6:$G$405,$AN194)&lt;&gt;"",$L194&lt;&gt;INDEX(職員マスタ!$G$6:$G$405,$AN194)),"時短開始日がマスタと相違／","")&amp;IF(AND($M194&lt;&gt;"",INDEX(職員マスタ!$H$6:$H$405,$AN194)&lt;&gt;"",$M194&lt;&gt;INDEX(職員マスタ!$H$6:$H$405,$AN194)),"時短終了日がマスタと相違／","")))&amp;IF(AND($B194&lt;&gt;"",$E194=""),"報酬額が未入力／","")&amp;IF(N($U194)&gt;0,"申請書に入力エラーが残っています／","")&amp;IF(AND($B194&lt;&gt;"",$AO194&lt;&gt;""),IF(COUNTIFS($B$6:$B$3005,$B194,$C$6:$C$3005,$C194,$D$6:$D$3005,$D194)&gt;1,"同じ月の請求が重複しています／",""),"")&amp;IF(AND(N($E194)&gt;0,$Z194&lt;&gt;"",$Z194&lt;&gt;"×",$AC194=0,$AB194=""),"計算額が下限以下のため不支給／",""))</f>
        <v/>
      </c>
      <c r="AL194" s="12" t="n"/>
      <c r="AM194" s="14">
        <f>IF($AD194="保留中",COUNTIF($AD$6:$AD194,"保留中"),"")</f>
        <v/>
      </c>
      <c r="AN194" s="14">
        <f>IF($AO194="","",IF(SUMPRODUCT(MAX((職員マスタ!$A$6:$A$405=$B194)*(((職員マスタ!$G$6:$G$405="")+(職員マスタ!$G$6:$G$405&lt;=EOMONTH($AO194,0)))&gt;0)*(((職員マスタ!$H$6:$H$405="")+(職員マスタ!$H$6:$H$405&gt;=$AO194))&gt;0)*(ROW(職員マスタ!$A$6:$A$405)-5)))&gt;0,SUMPRODUCT(MAX((職員マスタ!$A$6:$A$405=$B194)*(((職員マスタ!$G$6:$G$405="")+(職員マスタ!$G$6:$G$405&lt;=EOMONTH($AO194,0)))&gt;0)*(((職員マスタ!$H$6:$H$405="")+(職員マスタ!$H$6:$H$405&gt;=$AO194))&gt;0)*(ROW(職員マスタ!$A$6:$A$405)-5))),IFERROR(MATCH($B194,職員マスタ!$A$6:$A$405,0),"")))</f>
        <v/>
      </c>
      <c r="AO194" s="16">
        <f>IF(OR($B194="",$C194="",$D194=""),"",DATE($C194+2018,$D194,1))</f>
        <v/>
      </c>
    </row>
    <row r="195">
      <c r="A195" s="11" t="n"/>
      <c r="B195" s="12" t="n">
        <v>6403091</v>
      </c>
      <c r="C195" s="12" t="n">
        <v>7</v>
      </c>
      <c r="D195" s="12" t="n">
        <v>5</v>
      </c>
      <c r="E195" s="13" t="n">
        <v>202169</v>
      </c>
      <c r="F195" s="12" t="n"/>
      <c r="G195" s="13" t="n"/>
      <c r="H195" s="12" t="n"/>
      <c r="I195" s="12" t="n"/>
      <c r="J195" s="12" t="n"/>
      <c r="K195" s="12" t="n"/>
      <c r="L195" s="11" t="n"/>
      <c r="M195" s="11" t="n"/>
      <c r="N195" s="11" t="n"/>
      <c r="O195" s="11" t="n"/>
      <c r="P195" s="12" t="n"/>
      <c r="Q195" s="11" t="n"/>
      <c r="R195" s="12" t="n"/>
      <c r="S195" s="11" t="n"/>
      <c r="T195" s="12" t="n"/>
      <c r="U195" s="12" t="n"/>
      <c r="V195" s="14">
        <f>IF($AN195="",IF($B195="","",$H195),IF(INDEX(職員マスタ!$B$6:$B$405,$AN195)="",$H195,INDEX(職員マスタ!$B$6:$B$405,$AN195)))</f>
        <v/>
      </c>
      <c r="W195" s="14">
        <f>IF($AN195="",IF($B195="","",$R195),IF(INDEX(職員マスタ!$C$6:$C$405,$AN195)="",$R195,INDEX(職員マスタ!$C$6:$C$405,$AN195)))</f>
        <v/>
      </c>
      <c r="X195" s="14">
        <f>IF($AO195="","","R"&amp;$C195&amp;"."&amp;$D195)</f>
        <v/>
      </c>
      <c r="Y195" s="15">
        <f>IF($AN195="","",IF(INDEX(職員マスタ!$K$6:$K$405,$AN195)="","",INDEX(職員マスタ!$K$6:$K$405,$AN195)))</f>
        <v/>
      </c>
      <c r="Z195" s="14">
        <f>IF(OR($E195="",$Y195=""),"",IF($E195&gt;=$Y195,"×",IF($E195&gt;=$Y195*設定!$C$5,"△","○")))</f>
        <v/>
      </c>
      <c r="AA195" s="15">
        <f>IF($Z195="","",IF($Z195="×",0,IF($Z195="○",ROUNDDOWN($E195*設定!$C$4,0),ROUNDDOWN($E195*ROUND((9*$Y195-9*$E195)/(10*$E195),4),0))))</f>
        <v/>
      </c>
      <c r="AB195" s="13" t="n"/>
      <c r="AC195" s="15">
        <f>IF($B195="","",IF($AB195&lt;&gt;"",$AB195,IF($AA195="","",IF($AA195&lt;=設定!$C$3,0,$AA195))))</f>
        <v/>
      </c>
      <c r="AD195" s="14">
        <f>IF($B195="","",IF(AND($AE195&lt;&gt;"",$AG195="",$AJ195=""),"保留中",IF($AJ195&lt;&gt;"",IF(N($AC195)&gt;0,"支給済","不支給"),IF($AC195="","要確認",IF($AC195=0,"不支給","未処理")))))</f>
        <v/>
      </c>
      <c r="AE195" s="12" t="n"/>
      <c r="AF195" s="11" t="n"/>
      <c r="AG195" s="11" t="n"/>
      <c r="AH195" s="11" t="n"/>
      <c r="AI195" s="14">
        <f>IF(AND($AD195="保留中",$AF195&lt;&gt;""),TODAY()-$AF195,"")</f>
        <v/>
      </c>
      <c r="AJ195" s="12" t="inlineStr">
        <is>
          <t>R7.8</t>
        </is>
      </c>
      <c r="AK195" s="14">
        <f>IF($B195="","",IF($AO195="","対象年月が未入力／","")&amp;IF($B195="","",IF($AN195="","職員マスタに未登録の職員番号／",IF($Y195="","標準報酬月額が未登録／","")&amp;IF(AND($AO195&lt;&gt;"",OR(AND(INDEX(職員マスタ!$G$6:$G$405,$AN195)&lt;&gt;"",INDEX(職員マスタ!$G$6:$G$405,$AN195)&gt;EOMONTH($AO195,0)),AND(INDEX(職員マスタ!$H$6:$H$405,$AN195)&lt;&gt;"",INDEX(職員マスタ!$H$6:$H$405,$AN195)&lt;$AO195))),"対象月が時短期間外／","")&amp;IF(AND(INDEX(職員マスタ!$F$6:$F$405,$AN195)&lt;&gt;"",$AO195&lt;&gt;"",INDEX(職員マスタ!$F$6:$F$405,$AN195)&lt;$AO195),"対象月に子が2歳到達済／","")&amp;IF(AND($H195&lt;&gt;"",INDEX(職員マスタ!$B$6:$B$405,$AN195)&lt;&gt;"",SUBSTITUTE(SUBSTITUTE($H195," ","")," ","")&lt;&gt;SUBSTITUTE(SUBSTITUTE(INDEX(職員マスタ!$B$6:$B$405,$AN195)," ","")," ","")),"氏名がマスタと相違／","")&amp;IF(AND($Q195&lt;&gt;"",INDEX(職員マスタ!$E$6:$E$405,$AN195)&lt;&gt;"",$Q195&lt;&gt;INDEX(職員マスタ!$E$6:$E$405,$AN195)),"子の生年月日がマスタと相違／","")&amp;IF(AND($L195&lt;&gt;"",INDEX(職員マスタ!$G$6:$G$405,$AN195)&lt;&gt;"",$L195&lt;&gt;INDEX(職員マスタ!$G$6:$G$405,$AN195)),"時短開始日がマスタと相違／","")&amp;IF(AND($M195&lt;&gt;"",INDEX(職員マスタ!$H$6:$H$405,$AN195)&lt;&gt;"",$M195&lt;&gt;INDEX(職員マスタ!$H$6:$H$405,$AN195)),"時短終了日がマスタと相違／","")))&amp;IF(AND($B195&lt;&gt;"",$E195=""),"報酬額が未入力／","")&amp;IF(N($U195)&gt;0,"申請書に入力エラーが残っています／","")&amp;IF(AND($B195&lt;&gt;"",$AO195&lt;&gt;""),IF(COUNTIFS($B$6:$B$3005,$B195,$C$6:$C$3005,$C195,$D$6:$D$3005,$D195)&gt;1,"同じ月の請求が重複しています／",""),"")&amp;IF(AND(N($E195)&gt;0,$Z195&lt;&gt;"",$Z195&lt;&gt;"×",$AC195=0,$AB195=""),"計算額が下限以下のため不支給／",""))</f>
        <v/>
      </c>
      <c r="AL195" s="12" t="n"/>
      <c r="AM195" s="14">
        <f>IF($AD195="保留中",COUNTIF($AD$6:$AD195,"保留中"),"")</f>
        <v/>
      </c>
      <c r="AN195" s="14">
        <f>IF($AO195="","",IF(SUMPRODUCT(MAX((職員マスタ!$A$6:$A$405=$B195)*(((職員マスタ!$G$6:$G$405="")+(職員マスタ!$G$6:$G$405&lt;=EOMONTH($AO195,0)))&gt;0)*(((職員マスタ!$H$6:$H$405="")+(職員マスタ!$H$6:$H$405&gt;=$AO195))&gt;0)*(ROW(職員マスタ!$A$6:$A$405)-5)))&gt;0,SUMPRODUCT(MAX((職員マスタ!$A$6:$A$405=$B195)*(((職員マスタ!$G$6:$G$405="")+(職員マスタ!$G$6:$G$405&lt;=EOMONTH($AO195,0)))&gt;0)*(((職員マスタ!$H$6:$H$405="")+(職員マスタ!$H$6:$H$405&gt;=$AO195))&gt;0)*(ROW(職員マスタ!$A$6:$A$405)-5))),IFERROR(MATCH($B195,職員マスタ!$A$6:$A$405,0),"")))</f>
        <v/>
      </c>
      <c r="AO195" s="16">
        <f>IF(OR($B195="",$C195="",$D195=""),"",DATE($C195+2018,$D195,1))</f>
        <v/>
      </c>
    </row>
    <row r="196">
      <c r="A196" s="11" t="n"/>
      <c r="B196" s="12" t="n">
        <v>6403091</v>
      </c>
      <c r="C196" s="12" t="n">
        <v>7</v>
      </c>
      <c r="D196" s="12" t="n">
        <v>6</v>
      </c>
      <c r="E196" s="13" t="n">
        <v>200618</v>
      </c>
      <c r="F196" s="12" t="n"/>
      <c r="G196" s="13" t="n"/>
      <c r="H196" s="12" t="n"/>
      <c r="I196" s="12" t="n"/>
      <c r="J196" s="12" t="n"/>
      <c r="K196" s="12" t="n"/>
      <c r="L196" s="11" t="n"/>
      <c r="M196" s="11" t="n"/>
      <c r="N196" s="11" t="n"/>
      <c r="O196" s="11" t="n"/>
      <c r="P196" s="12" t="n"/>
      <c r="Q196" s="11" t="n"/>
      <c r="R196" s="12" t="n"/>
      <c r="S196" s="11" t="n"/>
      <c r="T196" s="12" t="n"/>
      <c r="U196" s="12" t="n"/>
      <c r="V196" s="14">
        <f>IF($AN196="",IF($B196="","",$H196),IF(INDEX(職員マスタ!$B$6:$B$405,$AN196)="",$H196,INDEX(職員マスタ!$B$6:$B$405,$AN196)))</f>
        <v/>
      </c>
      <c r="W196" s="14">
        <f>IF($AN196="",IF($B196="","",$R196),IF(INDEX(職員マスタ!$C$6:$C$405,$AN196)="",$R196,INDEX(職員マスタ!$C$6:$C$405,$AN196)))</f>
        <v/>
      </c>
      <c r="X196" s="14">
        <f>IF($AO196="","","R"&amp;$C196&amp;"."&amp;$D196)</f>
        <v/>
      </c>
      <c r="Y196" s="15">
        <f>IF($AN196="","",IF(INDEX(職員マスタ!$K$6:$K$405,$AN196)="","",INDEX(職員マスタ!$K$6:$K$405,$AN196)))</f>
        <v/>
      </c>
      <c r="Z196" s="14">
        <f>IF(OR($E196="",$Y196=""),"",IF($E196&gt;=$Y196,"×",IF($E196&gt;=$Y196*設定!$C$5,"△","○")))</f>
        <v/>
      </c>
      <c r="AA196" s="15">
        <f>IF($Z196="","",IF($Z196="×",0,IF($Z196="○",ROUNDDOWN($E196*設定!$C$4,0),ROUNDDOWN($E196*ROUND((9*$Y196-9*$E196)/(10*$E196),4),0))))</f>
        <v/>
      </c>
      <c r="AB196" s="13" t="n"/>
      <c r="AC196" s="15">
        <f>IF($B196="","",IF($AB196&lt;&gt;"",$AB196,IF($AA196="","",IF($AA196&lt;=設定!$C$3,0,$AA196))))</f>
        <v/>
      </c>
      <c r="AD196" s="14">
        <f>IF($B196="","",IF(AND($AE196&lt;&gt;"",$AG196="",$AJ196=""),"保留中",IF($AJ196&lt;&gt;"",IF(N($AC196)&gt;0,"支給済","不支給"),IF($AC196="","要確認",IF($AC196=0,"不支給","未処理")))))</f>
        <v/>
      </c>
      <c r="AE196" s="12" t="n"/>
      <c r="AF196" s="11" t="n"/>
      <c r="AG196" s="11" t="n"/>
      <c r="AH196" s="11" t="n"/>
      <c r="AI196" s="14">
        <f>IF(AND($AD196="保留中",$AF196&lt;&gt;""),TODAY()-$AF196,"")</f>
        <v/>
      </c>
      <c r="AJ196" s="12" t="inlineStr">
        <is>
          <t>R7.8</t>
        </is>
      </c>
      <c r="AK196" s="14">
        <f>IF($B196="","",IF($AO196="","対象年月が未入力／","")&amp;IF($B196="","",IF($AN196="","職員マスタに未登録の職員番号／",IF($Y196="","標準報酬月額が未登録／","")&amp;IF(AND($AO196&lt;&gt;"",OR(AND(INDEX(職員マスタ!$G$6:$G$405,$AN196)&lt;&gt;"",INDEX(職員マスタ!$G$6:$G$405,$AN196)&gt;EOMONTH($AO196,0)),AND(INDEX(職員マスタ!$H$6:$H$405,$AN196)&lt;&gt;"",INDEX(職員マスタ!$H$6:$H$405,$AN196)&lt;$AO196))),"対象月が時短期間外／","")&amp;IF(AND(INDEX(職員マスタ!$F$6:$F$405,$AN196)&lt;&gt;"",$AO196&lt;&gt;"",INDEX(職員マスタ!$F$6:$F$405,$AN196)&lt;$AO196),"対象月に子が2歳到達済／","")&amp;IF(AND($H196&lt;&gt;"",INDEX(職員マスタ!$B$6:$B$405,$AN196)&lt;&gt;"",SUBSTITUTE(SUBSTITUTE($H196," ","")," ","")&lt;&gt;SUBSTITUTE(SUBSTITUTE(INDEX(職員マスタ!$B$6:$B$405,$AN196)," ","")," ","")),"氏名がマスタと相違／","")&amp;IF(AND($Q196&lt;&gt;"",INDEX(職員マスタ!$E$6:$E$405,$AN196)&lt;&gt;"",$Q196&lt;&gt;INDEX(職員マスタ!$E$6:$E$405,$AN196)),"子の生年月日がマスタと相違／","")&amp;IF(AND($L196&lt;&gt;"",INDEX(職員マスタ!$G$6:$G$405,$AN196)&lt;&gt;"",$L196&lt;&gt;INDEX(職員マスタ!$G$6:$G$405,$AN196)),"時短開始日がマスタと相違／","")&amp;IF(AND($M196&lt;&gt;"",INDEX(職員マスタ!$H$6:$H$405,$AN196)&lt;&gt;"",$M196&lt;&gt;INDEX(職員マスタ!$H$6:$H$405,$AN196)),"時短終了日がマスタと相違／","")))&amp;IF(AND($B196&lt;&gt;"",$E196=""),"報酬額が未入力／","")&amp;IF(N($U196)&gt;0,"申請書に入力エラーが残っています／","")&amp;IF(AND($B196&lt;&gt;"",$AO196&lt;&gt;""),IF(COUNTIFS($B$6:$B$3005,$B196,$C$6:$C$3005,$C196,$D$6:$D$3005,$D196)&gt;1,"同じ月の請求が重複しています／",""),"")&amp;IF(AND(N($E196)&gt;0,$Z196&lt;&gt;"",$Z196&lt;&gt;"×",$AC196=0,$AB196=""),"計算額が下限以下のため不支給／",""))</f>
        <v/>
      </c>
      <c r="AL196" s="12" t="n"/>
      <c r="AM196" s="14">
        <f>IF($AD196="保留中",COUNTIF($AD$6:$AD196,"保留中"),"")</f>
        <v/>
      </c>
      <c r="AN196" s="14">
        <f>IF($AO196="","",IF(SUMPRODUCT(MAX((職員マスタ!$A$6:$A$405=$B196)*(((職員マスタ!$G$6:$G$405="")+(職員マスタ!$G$6:$G$405&lt;=EOMONTH($AO196,0)))&gt;0)*(((職員マスタ!$H$6:$H$405="")+(職員マスタ!$H$6:$H$405&gt;=$AO196))&gt;0)*(ROW(職員マスタ!$A$6:$A$405)-5)))&gt;0,SUMPRODUCT(MAX((職員マスタ!$A$6:$A$405=$B196)*(((職員マスタ!$G$6:$G$405="")+(職員マスタ!$G$6:$G$405&lt;=EOMONTH($AO196,0)))&gt;0)*(((職員マスタ!$H$6:$H$405="")+(職員マスタ!$H$6:$H$405&gt;=$AO196))&gt;0)*(ROW(職員マスタ!$A$6:$A$405)-5))),IFERROR(MATCH($B196,職員マスタ!$A$6:$A$405,0),"")))</f>
        <v/>
      </c>
      <c r="AO196" s="16">
        <f>IF(OR($B196="",$C196="",$D196=""),"",DATE($C196+2018,$D196,1))</f>
        <v/>
      </c>
    </row>
    <row r="197">
      <c r="A197" s="11" t="n"/>
      <c r="B197" s="12" t="n">
        <v>6403091</v>
      </c>
      <c r="C197" s="12" t="n">
        <v>7</v>
      </c>
      <c r="D197" s="12" t="n">
        <v>7</v>
      </c>
      <c r="E197" s="13" t="n">
        <v>200618</v>
      </c>
      <c r="F197" s="12" t="n"/>
      <c r="G197" s="13" t="n"/>
      <c r="H197" s="12" t="n"/>
      <c r="I197" s="12" t="n"/>
      <c r="J197" s="12" t="n"/>
      <c r="K197" s="12" t="n"/>
      <c r="L197" s="11" t="n"/>
      <c r="M197" s="11" t="n"/>
      <c r="N197" s="11" t="n"/>
      <c r="O197" s="11" t="n"/>
      <c r="P197" s="12" t="n"/>
      <c r="Q197" s="11" t="n"/>
      <c r="R197" s="12" t="n"/>
      <c r="S197" s="11" t="n"/>
      <c r="T197" s="12" t="n"/>
      <c r="U197" s="12" t="n"/>
      <c r="V197" s="14">
        <f>IF($AN197="",IF($B197="","",$H197),IF(INDEX(職員マスタ!$B$6:$B$405,$AN197)="",$H197,INDEX(職員マスタ!$B$6:$B$405,$AN197)))</f>
        <v/>
      </c>
      <c r="W197" s="14">
        <f>IF($AN197="",IF($B197="","",$R197),IF(INDEX(職員マスタ!$C$6:$C$405,$AN197)="",$R197,INDEX(職員マスタ!$C$6:$C$405,$AN197)))</f>
        <v/>
      </c>
      <c r="X197" s="14">
        <f>IF($AO197="","","R"&amp;$C197&amp;"."&amp;$D197)</f>
        <v/>
      </c>
      <c r="Y197" s="15">
        <f>IF($AN197="","",IF(INDEX(職員マスタ!$K$6:$K$405,$AN197)="","",INDEX(職員マスタ!$K$6:$K$405,$AN197)))</f>
        <v/>
      </c>
      <c r="Z197" s="14">
        <f>IF(OR($E197="",$Y197=""),"",IF($E197&gt;=$Y197,"×",IF($E197&gt;=$Y197*設定!$C$5,"△","○")))</f>
        <v/>
      </c>
      <c r="AA197" s="15">
        <f>IF($Z197="","",IF($Z197="×",0,IF($Z197="○",ROUNDDOWN($E197*設定!$C$4,0),ROUNDDOWN($E197*ROUND((9*$Y197-9*$E197)/(10*$E197),4),0))))</f>
        <v/>
      </c>
      <c r="AB197" s="13" t="n"/>
      <c r="AC197" s="15">
        <f>IF($B197="","",IF($AB197&lt;&gt;"",$AB197,IF($AA197="","",IF($AA197&lt;=設定!$C$3,0,$AA197))))</f>
        <v/>
      </c>
      <c r="AD197" s="14">
        <f>IF($B197="","",IF(AND($AE197&lt;&gt;"",$AG197="",$AJ197=""),"保留中",IF($AJ197&lt;&gt;"",IF(N($AC197)&gt;0,"支給済","不支給"),IF($AC197="","要確認",IF($AC197=0,"不支給","未処理")))))</f>
        <v/>
      </c>
      <c r="AE197" s="12" t="n"/>
      <c r="AF197" s="11" t="n"/>
      <c r="AG197" s="11" t="n"/>
      <c r="AH197" s="11" t="n"/>
      <c r="AI197" s="14">
        <f>IF(AND($AD197="保留中",$AF197&lt;&gt;""),TODAY()-$AF197,"")</f>
        <v/>
      </c>
      <c r="AJ197" s="12" t="inlineStr">
        <is>
          <t>R7.9</t>
        </is>
      </c>
      <c r="AK197" s="14">
        <f>IF($B197="","",IF($AO197="","対象年月が未入力／","")&amp;IF($B197="","",IF($AN197="","職員マスタに未登録の職員番号／",IF($Y197="","標準報酬月額が未登録／","")&amp;IF(AND($AO197&lt;&gt;"",OR(AND(INDEX(職員マスタ!$G$6:$G$405,$AN197)&lt;&gt;"",INDEX(職員マスタ!$G$6:$G$405,$AN197)&gt;EOMONTH($AO197,0)),AND(INDEX(職員マスタ!$H$6:$H$405,$AN197)&lt;&gt;"",INDEX(職員マスタ!$H$6:$H$405,$AN197)&lt;$AO197))),"対象月が時短期間外／","")&amp;IF(AND(INDEX(職員マスタ!$F$6:$F$405,$AN197)&lt;&gt;"",$AO197&lt;&gt;"",INDEX(職員マスタ!$F$6:$F$405,$AN197)&lt;$AO197),"対象月に子が2歳到達済／","")&amp;IF(AND($H197&lt;&gt;"",INDEX(職員マスタ!$B$6:$B$405,$AN197)&lt;&gt;"",SUBSTITUTE(SUBSTITUTE($H197," ","")," ","")&lt;&gt;SUBSTITUTE(SUBSTITUTE(INDEX(職員マスタ!$B$6:$B$405,$AN197)," ","")," ","")),"氏名がマスタと相違／","")&amp;IF(AND($Q197&lt;&gt;"",INDEX(職員マスタ!$E$6:$E$405,$AN197)&lt;&gt;"",$Q197&lt;&gt;INDEX(職員マスタ!$E$6:$E$405,$AN197)),"子の生年月日がマスタと相違／","")&amp;IF(AND($L197&lt;&gt;"",INDEX(職員マスタ!$G$6:$G$405,$AN197)&lt;&gt;"",$L197&lt;&gt;INDEX(職員マスタ!$G$6:$G$405,$AN197)),"時短開始日がマスタと相違／","")&amp;IF(AND($M197&lt;&gt;"",INDEX(職員マスタ!$H$6:$H$405,$AN197)&lt;&gt;"",$M197&lt;&gt;INDEX(職員マスタ!$H$6:$H$405,$AN197)),"時短終了日がマスタと相違／","")))&amp;IF(AND($B197&lt;&gt;"",$E197=""),"報酬額が未入力／","")&amp;IF(N($U197)&gt;0,"申請書に入力エラーが残っています／","")&amp;IF(AND($B197&lt;&gt;"",$AO197&lt;&gt;""),IF(COUNTIFS($B$6:$B$3005,$B197,$C$6:$C$3005,$C197,$D$6:$D$3005,$D197)&gt;1,"同じ月の請求が重複しています／",""),"")&amp;IF(AND(N($E197)&gt;0,$Z197&lt;&gt;"",$Z197&lt;&gt;"×",$AC197=0,$AB197=""),"計算額が下限以下のため不支給／",""))</f>
        <v/>
      </c>
      <c r="AL197" s="12" t="n"/>
      <c r="AM197" s="14">
        <f>IF($AD197="保留中",COUNTIF($AD$6:$AD197,"保留中"),"")</f>
        <v/>
      </c>
      <c r="AN197" s="14">
        <f>IF($AO197="","",IF(SUMPRODUCT(MAX((職員マスタ!$A$6:$A$405=$B197)*(((職員マスタ!$G$6:$G$405="")+(職員マスタ!$G$6:$G$405&lt;=EOMONTH($AO197,0)))&gt;0)*(((職員マスタ!$H$6:$H$405="")+(職員マスタ!$H$6:$H$405&gt;=$AO197))&gt;0)*(ROW(職員マスタ!$A$6:$A$405)-5)))&gt;0,SUMPRODUCT(MAX((職員マスタ!$A$6:$A$405=$B197)*(((職員マスタ!$G$6:$G$405="")+(職員マスタ!$G$6:$G$405&lt;=EOMONTH($AO197,0)))&gt;0)*(((職員マスタ!$H$6:$H$405="")+(職員マスタ!$H$6:$H$405&gt;=$AO197))&gt;0)*(ROW(職員マスタ!$A$6:$A$405)-5))),IFERROR(MATCH($B197,職員マスタ!$A$6:$A$405,0),"")))</f>
        <v/>
      </c>
      <c r="AO197" s="16">
        <f>IF(OR($B197="",$C197="",$D197=""),"",DATE($C197+2018,$D197,1))</f>
        <v/>
      </c>
    </row>
    <row r="198">
      <c r="A198" s="11" t="n"/>
      <c r="B198" s="12" t="n">
        <v>6403091</v>
      </c>
      <c r="C198" s="12" t="n">
        <v>7</v>
      </c>
      <c r="D198" s="12" t="n">
        <v>8</v>
      </c>
      <c r="E198" s="13" t="n">
        <v>192754</v>
      </c>
      <c r="F198" s="12" t="n"/>
      <c r="G198" s="13" t="n"/>
      <c r="H198" s="12" t="n"/>
      <c r="I198" s="12" t="n"/>
      <c r="J198" s="12" t="n"/>
      <c r="K198" s="12" t="n"/>
      <c r="L198" s="11" t="n"/>
      <c r="M198" s="11" t="n"/>
      <c r="N198" s="11" t="n"/>
      <c r="O198" s="11" t="n"/>
      <c r="P198" s="12" t="n"/>
      <c r="Q198" s="11" t="n"/>
      <c r="R198" s="12" t="n"/>
      <c r="S198" s="11" t="n"/>
      <c r="T198" s="12" t="n"/>
      <c r="U198" s="12" t="n"/>
      <c r="V198" s="14">
        <f>IF($AN198="",IF($B198="","",$H198),IF(INDEX(職員マスタ!$B$6:$B$405,$AN198)="",$H198,INDEX(職員マスタ!$B$6:$B$405,$AN198)))</f>
        <v/>
      </c>
      <c r="W198" s="14">
        <f>IF($AN198="",IF($B198="","",$R198),IF(INDEX(職員マスタ!$C$6:$C$405,$AN198)="",$R198,INDEX(職員マスタ!$C$6:$C$405,$AN198)))</f>
        <v/>
      </c>
      <c r="X198" s="14">
        <f>IF($AO198="","","R"&amp;$C198&amp;"."&amp;$D198)</f>
        <v/>
      </c>
      <c r="Y198" s="15">
        <f>IF($AN198="","",IF(INDEX(職員マスタ!$K$6:$K$405,$AN198)="","",INDEX(職員マスタ!$K$6:$K$405,$AN198)))</f>
        <v/>
      </c>
      <c r="Z198" s="14">
        <f>IF(OR($E198="",$Y198=""),"",IF($E198&gt;=$Y198,"×",IF($E198&gt;=$Y198*設定!$C$5,"△","○")))</f>
        <v/>
      </c>
      <c r="AA198" s="15">
        <f>IF($Z198="","",IF($Z198="×",0,IF($Z198="○",ROUNDDOWN($E198*設定!$C$4,0),ROUNDDOWN($E198*ROUND((9*$Y198-9*$E198)/(10*$E198),4),0))))</f>
        <v/>
      </c>
      <c r="AB198" s="13" t="n"/>
      <c r="AC198" s="15">
        <f>IF($B198="","",IF($AB198&lt;&gt;"",$AB198,IF($AA198="","",IF($AA198&lt;=設定!$C$3,0,$AA198))))</f>
        <v/>
      </c>
      <c r="AD198" s="14">
        <f>IF($B198="","",IF(AND($AE198&lt;&gt;"",$AG198="",$AJ198=""),"保留中",IF($AJ198&lt;&gt;"",IF(N($AC198)&gt;0,"支給済","不支給"),IF($AC198="","要確認",IF($AC198=0,"不支給","未処理")))))</f>
        <v/>
      </c>
      <c r="AE198" s="12" t="n"/>
      <c r="AF198" s="11" t="n"/>
      <c r="AG198" s="11" t="n"/>
      <c r="AH198" s="11" t="n"/>
      <c r="AI198" s="14">
        <f>IF(AND($AD198="保留中",$AF198&lt;&gt;""),TODAY()-$AF198,"")</f>
        <v/>
      </c>
      <c r="AJ198" s="12" t="inlineStr">
        <is>
          <t>R7.10</t>
        </is>
      </c>
      <c r="AK198" s="14">
        <f>IF($B198="","",IF($AO198="","対象年月が未入力／","")&amp;IF($B198="","",IF($AN198="","職員マスタに未登録の職員番号／",IF($Y198="","標準報酬月額が未登録／","")&amp;IF(AND($AO198&lt;&gt;"",OR(AND(INDEX(職員マスタ!$G$6:$G$405,$AN198)&lt;&gt;"",INDEX(職員マスタ!$G$6:$G$405,$AN198)&gt;EOMONTH($AO198,0)),AND(INDEX(職員マスタ!$H$6:$H$405,$AN198)&lt;&gt;"",INDEX(職員マスタ!$H$6:$H$405,$AN198)&lt;$AO198))),"対象月が時短期間外／","")&amp;IF(AND(INDEX(職員マスタ!$F$6:$F$405,$AN198)&lt;&gt;"",$AO198&lt;&gt;"",INDEX(職員マスタ!$F$6:$F$405,$AN198)&lt;$AO198),"対象月に子が2歳到達済／","")&amp;IF(AND($H198&lt;&gt;"",INDEX(職員マスタ!$B$6:$B$405,$AN198)&lt;&gt;"",SUBSTITUTE(SUBSTITUTE($H198," ","")," ","")&lt;&gt;SUBSTITUTE(SUBSTITUTE(INDEX(職員マスタ!$B$6:$B$405,$AN198)," ","")," ","")),"氏名がマスタと相違／","")&amp;IF(AND($Q198&lt;&gt;"",INDEX(職員マスタ!$E$6:$E$405,$AN198)&lt;&gt;"",$Q198&lt;&gt;INDEX(職員マスタ!$E$6:$E$405,$AN198)),"子の生年月日がマスタと相違／","")&amp;IF(AND($L198&lt;&gt;"",INDEX(職員マスタ!$G$6:$G$405,$AN198)&lt;&gt;"",$L198&lt;&gt;INDEX(職員マスタ!$G$6:$G$405,$AN198)),"時短開始日がマスタと相違／","")&amp;IF(AND($M198&lt;&gt;"",INDEX(職員マスタ!$H$6:$H$405,$AN198)&lt;&gt;"",$M198&lt;&gt;INDEX(職員マスタ!$H$6:$H$405,$AN198)),"時短終了日がマスタと相違／","")))&amp;IF(AND($B198&lt;&gt;"",$E198=""),"報酬額が未入力／","")&amp;IF(N($U198)&gt;0,"申請書に入力エラーが残っています／","")&amp;IF(AND($B198&lt;&gt;"",$AO198&lt;&gt;""),IF(COUNTIFS($B$6:$B$3005,$B198,$C$6:$C$3005,$C198,$D$6:$D$3005,$D198)&gt;1,"同じ月の請求が重複しています／",""),"")&amp;IF(AND(N($E198)&gt;0,$Z198&lt;&gt;"",$Z198&lt;&gt;"×",$AC198=0,$AB198=""),"計算額が下限以下のため不支給／",""))</f>
        <v/>
      </c>
      <c r="AL198" s="12" t="n"/>
      <c r="AM198" s="14">
        <f>IF($AD198="保留中",COUNTIF($AD$6:$AD198,"保留中"),"")</f>
        <v/>
      </c>
      <c r="AN198" s="14">
        <f>IF($AO198="","",IF(SUMPRODUCT(MAX((職員マスタ!$A$6:$A$405=$B198)*(((職員マスタ!$G$6:$G$405="")+(職員マスタ!$G$6:$G$405&lt;=EOMONTH($AO198,0)))&gt;0)*(((職員マスタ!$H$6:$H$405="")+(職員マスタ!$H$6:$H$405&gt;=$AO198))&gt;0)*(ROW(職員マスタ!$A$6:$A$405)-5)))&gt;0,SUMPRODUCT(MAX((職員マスタ!$A$6:$A$405=$B198)*(((職員マスタ!$G$6:$G$405="")+(職員マスタ!$G$6:$G$405&lt;=EOMONTH($AO198,0)))&gt;0)*(((職員マスタ!$H$6:$H$405="")+(職員マスタ!$H$6:$H$405&gt;=$AO198))&gt;0)*(ROW(職員マスタ!$A$6:$A$405)-5))),IFERROR(MATCH($B198,職員マスタ!$A$6:$A$405,0),"")))</f>
        <v/>
      </c>
      <c r="AO198" s="16">
        <f>IF(OR($B198="",$C198="",$D198=""),"",DATE($C198+2018,$D198,1))</f>
        <v/>
      </c>
    </row>
    <row r="199">
      <c r="A199" s="11" t="n"/>
      <c r="B199" s="12" t="n">
        <v>6403091</v>
      </c>
      <c r="C199" s="12" t="n">
        <v>7</v>
      </c>
      <c r="D199" s="12" t="n">
        <v>9</v>
      </c>
      <c r="E199" s="13" t="n">
        <v>196688</v>
      </c>
      <c r="F199" s="12" t="n"/>
      <c r="G199" s="13" t="n"/>
      <c r="H199" s="12" t="n"/>
      <c r="I199" s="12" t="n"/>
      <c r="J199" s="12" t="n"/>
      <c r="K199" s="12" t="n"/>
      <c r="L199" s="11" t="n"/>
      <c r="M199" s="11" t="n"/>
      <c r="N199" s="11" t="n"/>
      <c r="O199" s="11" t="n"/>
      <c r="P199" s="12" t="n"/>
      <c r="Q199" s="11" t="n"/>
      <c r="R199" s="12" t="n"/>
      <c r="S199" s="11" t="n"/>
      <c r="T199" s="12" t="n"/>
      <c r="U199" s="12" t="n"/>
      <c r="V199" s="14">
        <f>IF($AN199="",IF($B199="","",$H199),IF(INDEX(職員マスタ!$B$6:$B$405,$AN199)="",$H199,INDEX(職員マスタ!$B$6:$B$405,$AN199)))</f>
        <v/>
      </c>
      <c r="W199" s="14">
        <f>IF($AN199="",IF($B199="","",$R199),IF(INDEX(職員マスタ!$C$6:$C$405,$AN199)="",$R199,INDEX(職員マスタ!$C$6:$C$405,$AN199)))</f>
        <v/>
      </c>
      <c r="X199" s="14">
        <f>IF($AO199="","","R"&amp;$C199&amp;"."&amp;$D199)</f>
        <v/>
      </c>
      <c r="Y199" s="15">
        <f>IF($AN199="","",IF(INDEX(職員マスタ!$K$6:$K$405,$AN199)="","",INDEX(職員マスタ!$K$6:$K$405,$AN199)))</f>
        <v/>
      </c>
      <c r="Z199" s="14">
        <f>IF(OR($E199="",$Y199=""),"",IF($E199&gt;=$Y199,"×",IF($E199&gt;=$Y199*設定!$C$5,"△","○")))</f>
        <v/>
      </c>
      <c r="AA199" s="15">
        <f>IF($Z199="","",IF($Z199="×",0,IF($Z199="○",ROUNDDOWN($E199*設定!$C$4,0),ROUNDDOWN($E199*ROUND((9*$Y199-9*$E199)/(10*$E199),4),0))))</f>
        <v/>
      </c>
      <c r="AB199" s="13" t="n"/>
      <c r="AC199" s="15">
        <f>IF($B199="","",IF($AB199&lt;&gt;"",$AB199,IF($AA199="","",IF($AA199&lt;=設定!$C$3,0,$AA199))))</f>
        <v/>
      </c>
      <c r="AD199" s="14">
        <f>IF($B199="","",IF(AND($AE199&lt;&gt;"",$AG199="",$AJ199=""),"保留中",IF($AJ199&lt;&gt;"",IF(N($AC199)&gt;0,"支給済","不支給"),IF($AC199="","要確認",IF($AC199=0,"不支給","未処理")))))</f>
        <v/>
      </c>
      <c r="AE199" s="12" t="n"/>
      <c r="AF199" s="11" t="n"/>
      <c r="AG199" s="11" t="n"/>
      <c r="AH199" s="11" t="n"/>
      <c r="AI199" s="14">
        <f>IF(AND($AD199="保留中",$AF199&lt;&gt;""),TODAY()-$AF199,"")</f>
        <v/>
      </c>
      <c r="AJ199" s="12" t="inlineStr">
        <is>
          <t>R7.12</t>
        </is>
      </c>
      <c r="AK199" s="14">
        <f>IF($B199="","",IF($AO199="","対象年月が未入力／","")&amp;IF($B199="","",IF($AN199="","職員マスタに未登録の職員番号／",IF($Y199="","標準報酬月額が未登録／","")&amp;IF(AND($AO199&lt;&gt;"",OR(AND(INDEX(職員マスタ!$G$6:$G$405,$AN199)&lt;&gt;"",INDEX(職員マスタ!$G$6:$G$405,$AN199)&gt;EOMONTH($AO199,0)),AND(INDEX(職員マスタ!$H$6:$H$405,$AN199)&lt;&gt;"",INDEX(職員マスタ!$H$6:$H$405,$AN199)&lt;$AO199))),"対象月が時短期間外／","")&amp;IF(AND(INDEX(職員マスタ!$F$6:$F$405,$AN199)&lt;&gt;"",$AO199&lt;&gt;"",INDEX(職員マスタ!$F$6:$F$405,$AN199)&lt;$AO199),"対象月に子が2歳到達済／","")&amp;IF(AND($H199&lt;&gt;"",INDEX(職員マスタ!$B$6:$B$405,$AN199)&lt;&gt;"",SUBSTITUTE(SUBSTITUTE($H199," ","")," ","")&lt;&gt;SUBSTITUTE(SUBSTITUTE(INDEX(職員マスタ!$B$6:$B$405,$AN199)," ","")," ","")),"氏名がマスタと相違／","")&amp;IF(AND($Q199&lt;&gt;"",INDEX(職員マスタ!$E$6:$E$405,$AN199)&lt;&gt;"",$Q199&lt;&gt;INDEX(職員マスタ!$E$6:$E$405,$AN199)),"子の生年月日がマスタと相違／","")&amp;IF(AND($L199&lt;&gt;"",INDEX(職員マスタ!$G$6:$G$405,$AN199)&lt;&gt;"",$L199&lt;&gt;INDEX(職員マスタ!$G$6:$G$405,$AN199)),"時短開始日がマスタと相違／","")&amp;IF(AND($M199&lt;&gt;"",INDEX(職員マスタ!$H$6:$H$405,$AN199)&lt;&gt;"",$M199&lt;&gt;INDEX(職員マスタ!$H$6:$H$405,$AN199)),"時短終了日がマスタと相違／","")))&amp;IF(AND($B199&lt;&gt;"",$E199=""),"報酬額が未入力／","")&amp;IF(N($U199)&gt;0,"申請書に入力エラーが残っています／","")&amp;IF(AND($B199&lt;&gt;"",$AO199&lt;&gt;""),IF(COUNTIFS($B$6:$B$3005,$B199,$C$6:$C$3005,$C199,$D$6:$D$3005,$D199)&gt;1,"同じ月の請求が重複しています／",""),"")&amp;IF(AND(N($E199)&gt;0,$Z199&lt;&gt;"",$Z199&lt;&gt;"×",$AC199=0,$AB199=""),"計算額が下限以下のため不支給／",""))</f>
        <v/>
      </c>
      <c r="AL199" s="12" t="n"/>
      <c r="AM199" s="14">
        <f>IF($AD199="保留中",COUNTIF($AD$6:$AD199,"保留中"),"")</f>
        <v/>
      </c>
      <c r="AN199" s="14">
        <f>IF($AO199="","",IF(SUMPRODUCT(MAX((職員マスタ!$A$6:$A$405=$B199)*(((職員マスタ!$G$6:$G$405="")+(職員マスタ!$G$6:$G$405&lt;=EOMONTH($AO199,0)))&gt;0)*(((職員マスタ!$H$6:$H$405="")+(職員マスタ!$H$6:$H$405&gt;=$AO199))&gt;0)*(ROW(職員マスタ!$A$6:$A$405)-5)))&gt;0,SUMPRODUCT(MAX((職員マスタ!$A$6:$A$405=$B199)*(((職員マスタ!$G$6:$G$405="")+(職員マスタ!$G$6:$G$405&lt;=EOMONTH($AO199,0)))&gt;0)*(((職員マスタ!$H$6:$H$405="")+(職員マスタ!$H$6:$H$405&gt;=$AO199))&gt;0)*(ROW(職員マスタ!$A$6:$A$405)-5))),IFERROR(MATCH($B199,職員マスタ!$A$6:$A$405,0),"")))</f>
        <v/>
      </c>
      <c r="AO199" s="16">
        <f>IF(OR($B199="",$C199="",$D199=""),"",DATE($C199+2018,$D199,1))</f>
        <v/>
      </c>
    </row>
    <row r="200">
      <c r="A200" s="11" t="n"/>
      <c r="B200" s="12" t="n">
        <v>6403091</v>
      </c>
      <c r="C200" s="12" t="n">
        <v>7</v>
      </c>
      <c r="D200" s="12" t="n">
        <v>10</v>
      </c>
      <c r="E200" s="13" t="n">
        <v>192754</v>
      </c>
      <c r="F200" s="12" t="n"/>
      <c r="G200" s="13" t="n"/>
      <c r="H200" s="12" t="n"/>
      <c r="I200" s="12" t="n"/>
      <c r="J200" s="12" t="n"/>
      <c r="K200" s="12" t="n"/>
      <c r="L200" s="11" t="n"/>
      <c r="M200" s="11" t="n"/>
      <c r="N200" s="11" t="n"/>
      <c r="O200" s="11" t="n"/>
      <c r="P200" s="12" t="n"/>
      <c r="Q200" s="11" t="n"/>
      <c r="R200" s="12" t="n"/>
      <c r="S200" s="11" t="n"/>
      <c r="T200" s="12" t="n"/>
      <c r="U200" s="12" t="n"/>
      <c r="V200" s="14">
        <f>IF($AN200="",IF($B200="","",$H200),IF(INDEX(職員マスタ!$B$6:$B$405,$AN200)="",$H200,INDEX(職員マスタ!$B$6:$B$405,$AN200)))</f>
        <v/>
      </c>
      <c r="W200" s="14">
        <f>IF($AN200="",IF($B200="","",$R200),IF(INDEX(職員マスタ!$C$6:$C$405,$AN200)="",$R200,INDEX(職員マスタ!$C$6:$C$405,$AN200)))</f>
        <v/>
      </c>
      <c r="X200" s="14">
        <f>IF($AO200="","","R"&amp;$C200&amp;"."&amp;$D200)</f>
        <v/>
      </c>
      <c r="Y200" s="15">
        <f>IF($AN200="","",IF(INDEX(職員マスタ!$K$6:$K$405,$AN200)="","",INDEX(職員マスタ!$K$6:$K$405,$AN200)))</f>
        <v/>
      </c>
      <c r="Z200" s="14">
        <f>IF(OR($E200="",$Y200=""),"",IF($E200&gt;=$Y200,"×",IF($E200&gt;=$Y200*設定!$C$5,"△","○")))</f>
        <v/>
      </c>
      <c r="AA200" s="15">
        <f>IF($Z200="","",IF($Z200="×",0,IF($Z200="○",ROUNDDOWN($E200*設定!$C$4,0),ROUNDDOWN($E200*ROUND((9*$Y200-9*$E200)/(10*$E200),4),0))))</f>
        <v/>
      </c>
      <c r="AB200" s="13" t="n"/>
      <c r="AC200" s="15">
        <f>IF($B200="","",IF($AB200&lt;&gt;"",$AB200,IF($AA200="","",IF($AA200&lt;=設定!$C$3,0,$AA200))))</f>
        <v/>
      </c>
      <c r="AD200" s="14">
        <f>IF($B200="","",IF(AND($AE200&lt;&gt;"",$AG200="",$AJ200=""),"保留中",IF($AJ200&lt;&gt;"",IF(N($AC200)&gt;0,"支給済","不支給"),IF($AC200="","要確認",IF($AC200=0,"不支給","未処理")))))</f>
        <v/>
      </c>
      <c r="AE200" s="12" t="n"/>
      <c r="AF200" s="11" t="n"/>
      <c r="AG200" s="11" t="n"/>
      <c r="AH200" s="11" t="n"/>
      <c r="AI200" s="14">
        <f>IF(AND($AD200="保留中",$AF200&lt;&gt;""),TODAY()-$AF200,"")</f>
        <v/>
      </c>
      <c r="AJ200" s="12" t="inlineStr">
        <is>
          <t>R7.12</t>
        </is>
      </c>
      <c r="AK200" s="14">
        <f>IF($B200="","",IF($AO200="","対象年月が未入力／","")&amp;IF($B200="","",IF($AN200="","職員マスタに未登録の職員番号／",IF($Y200="","標準報酬月額が未登録／","")&amp;IF(AND($AO200&lt;&gt;"",OR(AND(INDEX(職員マスタ!$G$6:$G$405,$AN200)&lt;&gt;"",INDEX(職員マスタ!$G$6:$G$405,$AN200)&gt;EOMONTH($AO200,0)),AND(INDEX(職員マスタ!$H$6:$H$405,$AN200)&lt;&gt;"",INDEX(職員マスタ!$H$6:$H$405,$AN200)&lt;$AO200))),"対象月が時短期間外／","")&amp;IF(AND(INDEX(職員マスタ!$F$6:$F$405,$AN200)&lt;&gt;"",$AO200&lt;&gt;"",INDEX(職員マスタ!$F$6:$F$405,$AN200)&lt;$AO200),"対象月に子が2歳到達済／","")&amp;IF(AND($H200&lt;&gt;"",INDEX(職員マスタ!$B$6:$B$405,$AN200)&lt;&gt;"",SUBSTITUTE(SUBSTITUTE($H200," ","")," ","")&lt;&gt;SUBSTITUTE(SUBSTITUTE(INDEX(職員マスタ!$B$6:$B$405,$AN200)," ","")," ","")),"氏名がマスタと相違／","")&amp;IF(AND($Q200&lt;&gt;"",INDEX(職員マスタ!$E$6:$E$405,$AN200)&lt;&gt;"",$Q200&lt;&gt;INDEX(職員マスタ!$E$6:$E$405,$AN200)),"子の生年月日がマスタと相違／","")&amp;IF(AND($L200&lt;&gt;"",INDEX(職員マスタ!$G$6:$G$405,$AN200)&lt;&gt;"",$L200&lt;&gt;INDEX(職員マスタ!$G$6:$G$405,$AN200)),"時短開始日がマスタと相違／","")&amp;IF(AND($M200&lt;&gt;"",INDEX(職員マスタ!$H$6:$H$405,$AN200)&lt;&gt;"",$M200&lt;&gt;INDEX(職員マスタ!$H$6:$H$405,$AN200)),"時短終了日がマスタと相違／","")))&amp;IF(AND($B200&lt;&gt;"",$E200=""),"報酬額が未入力／","")&amp;IF(N($U200)&gt;0,"申請書に入力エラーが残っています／","")&amp;IF(AND($B200&lt;&gt;"",$AO200&lt;&gt;""),IF(COUNTIFS($B$6:$B$3005,$B200,$C$6:$C$3005,$C200,$D$6:$D$3005,$D200)&gt;1,"同じ月の請求が重複しています／",""),"")&amp;IF(AND(N($E200)&gt;0,$Z200&lt;&gt;"",$Z200&lt;&gt;"×",$AC200=0,$AB200=""),"計算額が下限以下のため不支給／",""))</f>
        <v/>
      </c>
      <c r="AL200" s="12" t="n"/>
      <c r="AM200" s="14">
        <f>IF($AD200="保留中",COUNTIF($AD$6:$AD200,"保留中"),"")</f>
        <v/>
      </c>
      <c r="AN200" s="14">
        <f>IF($AO200="","",IF(SUMPRODUCT(MAX((職員マスタ!$A$6:$A$405=$B200)*(((職員マスタ!$G$6:$G$405="")+(職員マスタ!$G$6:$G$405&lt;=EOMONTH($AO200,0)))&gt;0)*(((職員マスタ!$H$6:$H$405="")+(職員マスタ!$H$6:$H$405&gt;=$AO200))&gt;0)*(ROW(職員マスタ!$A$6:$A$405)-5)))&gt;0,SUMPRODUCT(MAX((職員マスタ!$A$6:$A$405=$B200)*(((職員マスタ!$G$6:$G$405="")+(職員マスタ!$G$6:$G$405&lt;=EOMONTH($AO200,0)))&gt;0)*(((職員マスタ!$H$6:$H$405="")+(職員マスタ!$H$6:$H$405&gt;=$AO200))&gt;0)*(ROW(職員マスタ!$A$6:$A$405)-5))),IFERROR(MATCH($B200,職員マスタ!$A$6:$A$405,0),"")))</f>
        <v/>
      </c>
      <c r="AO200" s="16">
        <f>IF(OR($B200="",$C200="",$D200=""),"",DATE($C200+2018,$D200,1))</f>
        <v/>
      </c>
    </row>
    <row r="201">
      <c r="A201" s="11" t="n"/>
      <c r="B201" s="12" t="n">
        <v>6403091</v>
      </c>
      <c r="C201" s="12" t="n">
        <v>7</v>
      </c>
      <c r="D201" s="12" t="n">
        <v>11</v>
      </c>
      <c r="E201" s="13" t="n">
        <v>210448</v>
      </c>
      <c r="F201" s="12" t="n"/>
      <c r="G201" s="13" t="n"/>
      <c r="H201" s="12" t="n"/>
      <c r="I201" s="12" t="n"/>
      <c r="J201" s="12" t="n"/>
      <c r="K201" s="12" t="n"/>
      <c r="L201" s="11" t="n"/>
      <c r="M201" s="11" t="n"/>
      <c r="N201" s="11" t="n"/>
      <c r="O201" s="11" t="n"/>
      <c r="P201" s="12" t="n"/>
      <c r="Q201" s="11" t="n"/>
      <c r="R201" s="12" t="n"/>
      <c r="S201" s="11" t="n"/>
      <c r="T201" s="12" t="n"/>
      <c r="U201" s="12" t="n"/>
      <c r="V201" s="14">
        <f>IF($AN201="",IF($B201="","",$H201),IF(INDEX(職員マスタ!$B$6:$B$405,$AN201)="",$H201,INDEX(職員マスタ!$B$6:$B$405,$AN201)))</f>
        <v/>
      </c>
      <c r="W201" s="14">
        <f>IF($AN201="",IF($B201="","",$R201),IF(INDEX(職員マスタ!$C$6:$C$405,$AN201)="",$R201,INDEX(職員マスタ!$C$6:$C$405,$AN201)))</f>
        <v/>
      </c>
      <c r="X201" s="14">
        <f>IF($AO201="","","R"&amp;$C201&amp;"."&amp;$D201)</f>
        <v/>
      </c>
      <c r="Y201" s="15">
        <f>IF($AN201="","",IF(INDEX(職員マスタ!$K$6:$K$405,$AN201)="","",INDEX(職員マスタ!$K$6:$K$405,$AN201)))</f>
        <v/>
      </c>
      <c r="Z201" s="14">
        <f>IF(OR($E201="",$Y201=""),"",IF($E201&gt;=$Y201,"×",IF($E201&gt;=$Y201*設定!$C$5,"△","○")))</f>
        <v/>
      </c>
      <c r="AA201" s="15">
        <f>IF($Z201="","",IF($Z201="×",0,IF($Z201="○",ROUNDDOWN($E201*設定!$C$4,0),ROUNDDOWN($E201*ROUND((9*$Y201-9*$E201)/(10*$E201),4),0))))</f>
        <v/>
      </c>
      <c r="AB201" s="13" t="n"/>
      <c r="AC201" s="15">
        <f>IF($B201="","",IF($AB201&lt;&gt;"",$AB201,IF($AA201="","",IF($AA201&lt;=設定!$C$3,0,$AA201))))</f>
        <v/>
      </c>
      <c r="AD201" s="14">
        <f>IF($B201="","",IF(AND($AE201&lt;&gt;"",$AG201="",$AJ201=""),"保留中",IF($AJ201&lt;&gt;"",IF(N($AC201)&gt;0,"支給済","不支給"),IF($AC201="","要確認",IF($AC201=0,"不支給","未処理")))))</f>
        <v/>
      </c>
      <c r="AE201" s="12" t="n"/>
      <c r="AF201" s="11" t="n"/>
      <c r="AG201" s="11" t="n"/>
      <c r="AH201" s="11" t="n"/>
      <c r="AI201" s="14">
        <f>IF(AND($AD201="保留中",$AF201&lt;&gt;""),TODAY()-$AF201,"")</f>
        <v/>
      </c>
      <c r="AJ201" s="12" t="inlineStr">
        <is>
          <t>R8.1</t>
        </is>
      </c>
      <c r="AK201" s="14">
        <f>IF($B201="","",IF($AO201="","対象年月が未入力／","")&amp;IF($B201="","",IF($AN201="","職員マスタに未登録の職員番号／",IF($Y201="","標準報酬月額が未登録／","")&amp;IF(AND($AO201&lt;&gt;"",OR(AND(INDEX(職員マスタ!$G$6:$G$405,$AN201)&lt;&gt;"",INDEX(職員マスタ!$G$6:$G$405,$AN201)&gt;EOMONTH($AO201,0)),AND(INDEX(職員マスタ!$H$6:$H$405,$AN201)&lt;&gt;"",INDEX(職員マスタ!$H$6:$H$405,$AN201)&lt;$AO201))),"対象月が時短期間外／","")&amp;IF(AND(INDEX(職員マスタ!$F$6:$F$405,$AN201)&lt;&gt;"",$AO201&lt;&gt;"",INDEX(職員マスタ!$F$6:$F$405,$AN201)&lt;$AO201),"対象月に子が2歳到達済／","")&amp;IF(AND($H201&lt;&gt;"",INDEX(職員マスタ!$B$6:$B$405,$AN201)&lt;&gt;"",SUBSTITUTE(SUBSTITUTE($H201," ","")," ","")&lt;&gt;SUBSTITUTE(SUBSTITUTE(INDEX(職員マスタ!$B$6:$B$405,$AN201)," ","")," ","")),"氏名がマスタと相違／","")&amp;IF(AND($Q201&lt;&gt;"",INDEX(職員マスタ!$E$6:$E$405,$AN201)&lt;&gt;"",$Q201&lt;&gt;INDEX(職員マスタ!$E$6:$E$405,$AN201)),"子の生年月日がマスタと相違／","")&amp;IF(AND($L201&lt;&gt;"",INDEX(職員マスタ!$G$6:$G$405,$AN201)&lt;&gt;"",$L201&lt;&gt;INDEX(職員マスタ!$G$6:$G$405,$AN201)),"時短開始日がマスタと相違／","")&amp;IF(AND($M201&lt;&gt;"",INDEX(職員マスタ!$H$6:$H$405,$AN201)&lt;&gt;"",$M201&lt;&gt;INDEX(職員マスタ!$H$6:$H$405,$AN201)),"時短終了日がマスタと相違／","")))&amp;IF(AND($B201&lt;&gt;"",$E201=""),"報酬額が未入力／","")&amp;IF(N($U201)&gt;0,"申請書に入力エラーが残っています／","")&amp;IF(AND($B201&lt;&gt;"",$AO201&lt;&gt;""),IF(COUNTIFS($B$6:$B$3005,$B201,$C$6:$C$3005,$C201,$D$6:$D$3005,$D201)&gt;1,"同じ月の請求が重複しています／",""),"")&amp;IF(AND(N($E201)&gt;0,$Z201&lt;&gt;"",$Z201&lt;&gt;"×",$AC201=0,$AB201=""),"計算額が下限以下のため不支給／",""))</f>
        <v/>
      </c>
      <c r="AL201" s="12" t="n"/>
      <c r="AM201" s="14">
        <f>IF($AD201="保留中",COUNTIF($AD$6:$AD201,"保留中"),"")</f>
        <v/>
      </c>
      <c r="AN201" s="14">
        <f>IF($AO201="","",IF(SUMPRODUCT(MAX((職員マスタ!$A$6:$A$405=$B201)*(((職員マスタ!$G$6:$G$405="")+(職員マスタ!$G$6:$G$405&lt;=EOMONTH($AO201,0)))&gt;0)*(((職員マスタ!$H$6:$H$405="")+(職員マスタ!$H$6:$H$405&gt;=$AO201))&gt;0)*(ROW(職員マスタ!$A$6:$A$405)-5)))&gt;0,SUMPRODUCT(MAX((職員マスタ!$A$6:$A$405=$B201)*(((職員マスタ!$G$6:$G$405="")+(職員マスタ!$G$6:$G$405&lt;=EOMONTH($AO201,0)))&gt;0)*(((職員マスタ!$H$6:$H$405="")+(職員マスタ!$H$6:$H$405&gt;=$AO201))&gt;0)*(ROW(職員マスタ!$A$6:$A$405)-5))),IFERROR(MATCH($B201,職員マスタ!$A$6:$A$405,0),"")))</f>
        <v/>
      </c>
      <c r="AO201" s="16">
        <f>IF(OR($B201="",$C201="",$D201=""),"",DATE($C201+2018,$D201,1))</f>
        <v/>
      </c>
    </row>
    <row r="202">
      <c r="A202" s="11" t="n"/>
      <c r="B202" s="12" t="n">
        <v>6403091</v>
      </c>
      <c r="C202" s="12" t="n">
        <v>7</v>
      </c>
      <c r="D202" s="12" t="n">
        <v>12</v>
      </c>
      <c r="E202" s="13" t="n">
        <v>208133</v>
      </c>
      <c r="F202" s="12" t="n"/>
      <c r="G202" s="13" t="n"/>
      <c r="H202" s="12" t="n"/>
      <c r="I202" s="12" t="n"/>
      <c r="J202" s="12" t="n"/>
      <c r="K202" s="12" t="n"/>
      <c r="L202" s="11" t="n"/>
      <c r="M202" s="11" t="n"/>
      <c r="N202" s="11" t="n"/>
      <c r="O202" s="11" t="n"/>
      <c r="P202" s="12" t="n"/>
      <c r="Q202" s="11" t="n"/>
      <c r="R202" s="12" t="n"/>
      <c r="S202" s="11" t="n"/>
      <c r="T202" s="12" t="n"/>
      <c r="U202" s="12" t="n"/>
      <c r="V202" s="14">
        <f>IF($AN202="",IF($B202="","",$H202),IF(INDEX(職員マスタ!$B$6:$B$405,$AN202)="",$H202,INDEX(職員マスタ!$B$6:$B$405,$AN202)))</f>
        <v/>
      </c>
      <c r="W202" s="14">
        <f>IF($AN202="",IF($B202="","",$R202),IF(INDEX(職員マスタ!$C$6:$C$405,$AN202)="",$R202,INDEX(職員マスタ!$C$6:$C$405,$AN202)))</f>
        <v/>
      </c>
      <c r="X202" s="14">
        <f>IF($AO202="","","R"&amp;$C202&amp;"."&amp;$D202)</f>
        <v/>
      </c>
      <c r="Y202" s="15">
        <f>IF($AN202="","",IF(INDEX(職員マスタ!$K$6:$K$405,$AN202)="","",INDEX(職員マスタ!$K$6:$K$405,$AN202)))</f>
        <v/>
      </c>
      <c r="Z202" s="14">
        <f>IF(OR($E202="",$Y202=""),"",IF($E202&gt;=$Y202,"×",IF($E202&gt;=$Y202*設定!$C$5,"△","○")))</f>
        <v/>
      </c>
      <c r="AA202" s="15">
        <f>IF($Z202="","",IF($Z202="×",0,IF($Z202="○",ROUNDDOWN($E202*設定!$C$4,0),ROUNDDOWN($E202*ROUND((9*$Y202-9*$E202)/(10*$E202),4),0))))</f>
        <v/>
      </c>
      <c r="AB202" s="13" t="n"/>
      <c r="AC202" s="15">
        <f>IF($B202="","",IF($AB202&lt;&gt;"",$AB202,IF($AA202="","",IF($AA202&lt;=設定!$C$3,0,$AA202))))</f>
        <v/>
      </c>
      <c r="AD202" s="14">
        <f>IF($B202="","",IF(AND($AE202&lt;&gt;"",$AG202="",$AJ202=""),"保留中",IF($AJ202&lt;&gt;"",IF(N($AC202)&gt;0,"支給済","不支給"),IF($AC202="","要確認",IF($AC202=0,"不支給","未処理")))))</f>
        <v/>
      </c>
      <c r="AE202" s="12" t="n"/>
      <c r="AF202" s="11" t="n"/>
      <c r="AG202" s="11" t="n"/>
      <c r="AH202" s="11" t="n"/>
      <c r="AI202" s="14">
        <f>IF(AND($AD202="保留中",$AF202&lt;&gt;""),TODAY()-$AF202,"")</f>
        <v/>
      </c>
      <c r="AJ202" s="12" t="inlineStr">
        <is>
          <t>R8.2</t>
        </is>
      </c>
      <c r="AK202" s="14">
        <f>IF($B202="","",IF($AO202="","対象年月が未入力／","")&amp;IF($B202="","",IF($AN202="","職員マスタに未登録の職員番号／",IF($Y202="","標準報酬月額が未登録／","")&amp;IF(AND($AO202&lt;&gt;"",OR(AND(INDEX(職員マスタ!$G$6:$G$405,$AN202)&lt;&gt;"",INDEX(職員マスタ!$G$6:$G$405,$AN202)&gt;EOMONTH($AO202,0)),AND(INDEX(職員マスタ!$H$6:$H$405,$AN202)&lt;&gt;"",INDEX(職員マスタ!$H$6:$H$405,$AN202)&lt;$AO202))),"対象月が時短期間外／","")&amp;IF(AND(INDEX(職員マスタ!$F$6:$F$405,$AN202)&lt;&gt;"",$AO202&lt;&gt;"",INDEX(職員マスタ!$F$6:$F$405,$AN202)&lt;$AO202),"対象月に子が2歳到達済／","")&amp;IF(AND($H202&lt;&gt;"",INDEX(職員マスタ!$B$6:$B$405,$AN202)&lt;&gt;"",SUBSTITUTE(SUBSTITUTE($H202," ","")," ","")&lt;&gt;SUBSTITUTE(SUBSTITUTE(INDEX(職員マスタ!$B$6:$B$405,$AN202)," ","")," ","")),"氏名がマスタと相違／","")&amp;IF(AND($Q202&lt;&gt;"",INDEX(職員マスタ!$E$6:$E$405,$AN202)&lt;&gt;"",$Q202&lt;&gt;INDEX(職員マスタ!$E$6:$E$405,$AN202)),"子の生年月日がマスタと相違／","")&amp;IF(AND($L202&lt;&gt;"",INDEX(職員マスタ!$G$6:$G$405,$AN202)&lt;&gt;"",$L202&lt;&gt;INDEX(職員マスタ!$G$6:$G$405,$AN202)),"時短開始日がマスタと相違／","")&amp;IF(AND($M202&lt;&gt;"",INDEX(職員マスタ!$H$6:$H$405,$AN202)&lt;&gt;"",$M202&lt;&gt;INDEX(職員マスタ!$H$6:$H$405,$AN202)),"時短終了日がマスタと相違／","")))&amp;IF(AND($B202&lt;&gt;"",$E202=""),"報酬額が未入力／","")&amp;IF(N($U202)&gt;0,"申請書に入力エラーが残っています／","")&amp;IF(AND($B202&lt;&gt;"",$AO202&lt;&gt;""),IF(COUNTIFS($B$6:$B$3005,$B202,$C$6:$C$3005,$C202,$D$6:$D$3005,$D202)&gt;1,"同じ月の請求が重複しています／",""),"")&amp;IF(AND(N($E202)&gt;0,$Z202&lt;&gt;"",$Z202&lt;&gt;"×",$AC202=0,$AB202=""),"計算額が下限以下のため不支給／",""))</f>
        <v/>
      </c>
      <c r="AL202" s="12" t="n"/>
      <c r="AM202" s="14">
        <f>IF($AD202="保留中",COUNTIF($AD$6:$AD202,"保留中"),"")</f>
        <v/>
      </c>
      <c r="AN202" s="14">
        <f>IF($AO202="","",IF(SUMPRODUCT(MAX((職員マスタ!$A$6:$A$405=$B202)*(((職員マスタ!$G$6:$G$405="")+(職員マスタ!$G$6:$G$405&lt;=EOMONTH($AO202,0)))&gt;0)*(((職員マスタ!$H$6:$H$405="")+(職員マスタ!$H$6:$H$405&gt;=$AO202))&gt;0)*(ROW(職員マスタ!$A$6:$A$405)-5)))&gt;0,SUMPRODUCT(MAX((職員マスタ!$A$6:$A$405=$B202)*(((職員マスタ!$G$6:$G$405="")+(職員マスタ!$G$6:$G$405&lt;=EOMONTH($AO202,0)))&gt;0)*(((職員マスタ!$H$6:$H$405="")+(職員マスタ!$H$6:$H$405&gt;=$AO202))&gt;0)*(ROW(職員マスタ!$A$6:$A$405)-5))),IFERROR(MATCH($B202,職員マスタ!$A$6:$A$405,0),"")))</f>
        <v/>
      </c>
      <c r="AO202" s="16">
        <f>IF(OR($B202="",$C202="",$D202=""),"",DATE($C202+2018,$D202,1))</f>
        <v/>
      </c>
    </row>
    <row r="203">
      <c r="A203" s="11" t="n"/>
      <c r="B203" s="12" t="n">
        <v>6403091</v>
      </c>
      <c r="C203" s="12" t="n">
        <v>8</v>
      </c>
      <c r="D203" s="12" t="n">
        <v>1</v>
      </c>
      <c r="E203" s="13" t="n">
        <v>210174</v>
      </c>
      <c r="F203" s="12" t="n"/>
      <c r="G203" s="13" t="n"/>
      <c r="H203" s="12" t="n"/>
      <c r="I203" s="12" t="n"/>
      <c r="J203" s="12" t="n"/>
      <c r="K203" s="12" t="n"/>
      <c r="L203" s="11" t="n"/>
      <c r="M203" s="11" t="n"/>
      <c r="N203" s="11" t="n"/>
      <c r="O203" s="11" t="n"/>
      <c r="P203" s="12" t="n"/>
      <c r="Q203" s="11" t="n"/>
      <c r="R203" s="12" t="n"/>
      <c r="S203" s="11" t="n"/>
      <c r="T203" s="12" t="n"/>
      <c r="U203" s="12" t="n"/>
      <c r="V203" s="14">
        <f>IF($AN203="",IF($B203="","",$H203),IF(INDEX(職員マスタ!$B$6:$B$405,$AN203)="",$H203,INDEX(職員マスタ!$B$6:$B$405,$AN203)))</f>
        <v/>
      </c>
      <c r="W203" s="14">
        <f>IF($AN203="",IF($B203="","",$R203),IF(INDEX(職員マスタ!$C$6:$C$405,$AN203)="",$R203,INDEX(職員マスタ!$C$6:$C$405,$AN203)))</f>
        <v/>
      </c>
      <c r="X203" s="14">
        <f>IF($AO203="","","R"&amp;$C203&amp;"."&amp;$D203)</f>
        <v/>
      </c>
      <c r="Y203" s="15">
        <f>IF($AN203="","",IF(INDEX(職員マスタ!$K$6:$K$405,$AN203)="","",INDEX(職員マスタ!$K$6:$K$405,$AN203)))</f>
        <v/>
      </c>
      <c r="Z203" s="14">
        <f>IF(OR($E203="",$Y203=""),"",IF($E203&gt;=$Y203,"×",IF($E203&gt;=$Y203*設定!$C$5,"△","○")))</f>
        <v/>
      </c>
      <c r="AA203" s="15">
        <f>IF($Z203="","",IF($Z203="×",0,IF($Z203="○",ROUNDDOWN($E203*設定!$C$4,0),ROUNDDOWN($E203*ROUND((9*$Y203-9*$E203)/(10*$E203),4),0))))</f>
        <v/>
      </c>
      <c r="AB203" s="13" t="n"/>
      <c r="AC203" s="15">
        <f>IF($B203="","",IF($AB203&lt;&gt;"",$AB203,IF($AA203="","",IF($AA203&lt;=設定!$C$3,0,$AA203))))</f>
        <v/>
      </c>
      <c r="AD203" s="14">
        <f>IF($B203="","",IF(AND($AE203&lt;&gt;"",$AG203="",$AJ203=""),"保留中",IF($AJ203&lt;&gt;"",IF(N($AC203)&gt;0,"支給済","不支給"),IF($AC203="","要確認",IF($AC203=0,"不支給","未処理")))))</f>
        <v/>
      </c>
      <c r="AE203" s="12" t="n"/>
      <c r="AF203" s="11" t="n"/>
      <c r="AG203" s="11" t="n"/>
      <c r="AH203" s="11" t="n"/>
      <c r="AI203" s="14">
        <f>IF(AND($AD203="保留中",$AF203&lt;&gt;""),TODAY()-$AF203,"")</f>
        <v/>
      </c>
      <c r="AJ203" s="12" t="inlineStr">
        <is>
          <t>R8.4</t>
        </is>
      </c>
      <c r="AK203" s="14">
        <f>IF($B203="","",IF($AO203="","対象年月が未入力／","")&amp;IF($B203="","",IF($AN203="","職員マスタに未登録の職員番号／",IF($Y203="","標準報酬月額が未登録／","")&amp;IF(AND($AO203&lt;&gt;"",OR(AND(INDEX(職員マスタ!$G$6:$G$405,$AN203)&lt;&gt;"",INDEX(職員マスタ!$G$6:$G$405,$AN203)&gt;EOMONTH($AO203,0)),AND(INDEX(職員マスタ!$H$6:$H$405,$AN203)&lt;&gt;"",INDEX(職員マスタ!$H$6:$H$405,$AN203)&lt;$AO203))),"対象月が時短期間外／","")&amp;IF(AND(INDEX(職員マスタ!$F$6:$F$405,$AN203)&lt;&gt;"",$AO203&lt;&gt;"",INDEX(職員マスタ!$F$6:$F$405,$AN203)&lt;$AO203),"対象月に子が2歳到達済／","")&amp;IF(AND($H203&lt;&gt;"",INDEX(職員マスタ!$B$6:$B$405,$AN203)&lt;&gt;"",SUBSTITUTE(SUBSTITUTE($H203," ","")," ","")&lt;&gt;SUBSTITUTE(SUBSTITUTE(INDEX(職員マスタ!$B$6:$B$405,$AN203)," ","")," ","")),"氏名がマスタと相違／","")&amp;IF(AND($Q203&lt;&gt;"",INDEX(職員マスタ!$E$6:$E$405,$AN203)&lt;&gt;"",$Q203&lt;&gt;INDEX(職員マスタ!$E$6:$E$405,$AN203)),"子の生年月日がマスタと相違／","")&amp;IF(AND($L203&lt;&gt;"",INDEX(職員マスタ!$G$6:$G$405,$AN203)&lt;&gt;"",$L203&lt;&gt;INDEX(職員マスタ!$G$6:$G$405,$AN203)),"時短開始日がマスタと相違／","")&amp;IF(AND($M203&lt;&gt;"",INDEX(職員マスタ!$H$6:$H$405,$AN203)&lt;&gt;"",$M203&lt;&gt;INDEX(職員マスタ!$H$6:$H$405,$AN203)),"時短終了日がマスタと相違／","")))&amp;IF(AND($B203&lt;&gt;"",$E203=""),"報酬額が未入力／","")&amp;IF(N($U203)&gt;0,"申請書に入力エラーが残っています／","")&amp;IF(AND($B203&lt;&gt;"",$AO203&lt;&gt;""),IF(COUNTIFS($B$6:$B$3005,$B203,$C$6:$C$3005,$C203,$D$6:$D$3005,$D203)&gt;1,"同じ月の請求が重複しています／",""),"")&amp;IF(AND(N($E203)&gt;0,$Z203&lt;&gt;"",$Z203&lt;&gt;"×",$AC203=0,$AB203=""),"計算額が下限以下のため不支給／",""))</f>
        <v/>
      </c>
      <c r="AL203" s="12" t="n"/>
      <c r="AM203" s="14">
        <f>IF($AD203="保留中",COUNTIF($AD$6:$AD203,"保留中"),"")</f>
        <v/>
      </c>
      <c r="AN203" s="14">
        <f>IF($AO203="","",IF(SUMPRODUCT(MAX((職員マスタ!$A$6:$A$405=$B203)*(((職員マスタ!$G$6:$G$405="")+(職員マスタ!$G$6:$G$405&lt;=EOMONTH($AO203,0)))&gt;0)*(((職員マスタ!$H$6:$H$405="")+(職員マスタ!$H$6:$H$405&gt;=$AO203))&gt;0)*(ROW(職員マスタ!$A$6:$A$405)-5)))&gt;0,SUMPRODUCT(MAX((職員マスタ!$A$6:$A$405=$B203)*(((職員マスタ!$G$6:$G$405="")+(職員マスタ!$G$6:$G$405&lt;=EOMONTH($AO203,0)))&gt;0)*(((職員マスタ!$H$6:$H$405="")+(職員マスタ!$H$6:$H$405&gt;=$AO203))&gt;0)*(ROW(職員マスタ!$A$6:$A$405)-5))),IFERROR(MATCH($B203,職員マスタ!$A$6:$A$405,0),"")))</f>
        <v/>
      </c>
      <c r="AO203" s="16">
        <f>IF(OR($B203="",$C203="",$D203=""),"",DATE($C203+2018,$D203,1))</f>
        <v/>
      </c>
    </row>
    <row r="204">
      <c r="A204" s="11" t="n"/>
      <c r="B204" s="12" t="n">
        <v>6403208</v>
      </c>
      <c r="C204" s="12" t="n">
        <v>7</v>
      </c>
      <c r="D204" s="12" t="n">
        <v>4</v>
      </c>
      <c r="E204" s="13" t="n">
        <v>113950</v>
      </c>
      <c r="F204" s="12" t="n"/>
      <c r="G204" s="13" t="n"/>
      <c r="H204" s="12" t="n"/>
      <c r="I204" s="12" t="n"/>
      <c r="J204" s="12" t="n"/>
      <c r="K204" s="12" t="n"/>
      <c r="L204" s="11" t="n"/>
      <c r="M204" s="11" t="n"/>
      <c r="N204" s="11" t="n"/>
      <c r="O204" s="11" t="n"/>
      <c r="P204" s="12" t="n"/>
      <c r="Q204" s="11" t="n"/>
      <c r="R204" s="12" t="n"/>
      <c r="S204" s="11" t="n"/>
      <c r="T204" s="12" t="n"/>
      <c r="U204" s="12" t="n"/>
      <c r="V204" s="14">
        <f>IF($AN204="",IF($B204="","",$H204),IF(INDEX(職員マスタ!$B$6:$B$405,$AN204)="",$H204,INDEX(職員マスタ!$B$6:$B$405,$AN204)))</f>
        <v/>
      </c>
      <c r="W204" s="14">
        <f>IF($AN204="",IF($B204="","",$R204),IF(INDEX(職員マスタ!$C$6:$C$405,$AN204)="",$R204,INDEX(職員マスタ!$C$6:$C$405,$AN204)))</f>
        <v/>
      </c>
      <c r="X204" s="14">
        <f>IF($AO204="","","R"&amp;$C204&amp;"."&amp;$D204)</f>
        <v/>
      </c>
      <c r="Y204" s="15">
        <f>IF($AN204="","",IF(INDEX(職員マスタ!$K$6:$K$405,$AN204)="","",INDEX(職員マスタ!$K$6:$K$405,$AN204)))</f>
        <v/>
      </c>
      <c r="Z204" s="14">
        <f>IF(OR($E204="",$Y204=""),"",IF($E204&gt;=$Y204,"×",IF($E204&gt;=$Y204*設定!$C$5,"△","○")))</f>
        <v/>
      </c>
      <c r="AA204" s="15">
        <f>IF($Z204="","",IF($Z204="×",0,IF($Z204="○",ROUNDDOWN($E204*設定!$C$4,0),ROUNDDOWN($E204*ROUND((9*$Y204-9*$E204)/(10*$E204),4),0))))</f>
        <v/>
      </c>
      <c r="AB204" s="13" t="n"/>
      <c r="AC204" s="15">
        <f>IF($B204="","",IF($AB204&lt;&gt;"",$AB204,IF($AA204="","",IF($AA204&lt;=設定!$C$3,0,$AA204))))</f>
        <v/>
      </c>
      <c r="AD204" s="14">
        <f>IF($B204="","",IF(AND($AE204&lt;&gt;"",$AG204="",$AJ204=""),"保留中",IF($AJ204&lt;&gt;"",IF(N($AC204)&gt;0,"支給済","不支給"),IF($AC204="","要確認",IF($AC204=0,"不支給","未処理")))))</f>
        <v/>
      </c>
      <c r="AE204" s="12" t="n"/>
      <c r="AF204" s="11" t="n"/>
      <c r="AG204" s="11" t="n"/>
      <c r="AH204" s="11" t="n"/>
      <c r="AI204" s="14">
        <f>IF(AND($AD204="保留中",$AF204&lt;&gt;""),TODAY()-$AF204,"")</f>
        <v/>
      </c>
      <c r="AJ204" s="12" t="inlineStr">
        <is>
          <t>R7.8</t>
        </is>
      </c>
      <c r="AK204" s="14">
        <f>IF($B204="","",IF($AO204="","対象年月が未入力／","")&amp;IF($B204="","",IF($AN204="","職員マスタに未登録の職員番号／",IF($Y204="","標準報酬月額が未登録／","")&amp;IF(AND($AO204&lt;&gt;"",OR(AND(INDEX(職員マスタ!$G$6:$G$405,$AN204)&lt;&gt;"",INDEX(職員マスタ!$G$6:$G$405,$AN204)&gt;EOMONTH($AO204,0)),AND(INDEX(職員マスタ!$H$6:$H$405,$AN204)&lt;&gt;"",INDEX(職員マスタ!$H$6:$H$405,$AN204)&lt;$AO204))),"対象月が時短期間外／","")&amp;IF(AND(INDEX(職員マスタ!$F$6:$F$405,$AN204)&lt;&gt;"",$AO204&lt;&gt;"",INDEX(職員マスタ!$F$6:$F$405,$AN204)&lt;$AO204),"対象月に子が2歳到達済／","")&amp;IF(AND($H204&lt;&gt;"",INDEX(職員マスタ!$B$6:$B$405,$AN204)&lt;&gt;"",SUBSTITUTE(SUBSTITUTE($H204," ","")," ","")&lt;&gt;SUBSTITUTE(SUBSTITUTE(INDEX(職員マスタ!$B$6:$B$405,$AN204)," ","")," ","")),"氏名がマスタと相違／","")&amp;IF(AND($Q204&lt;&gt;"",INDEX(職員マスタ!$E$6:$E$405,$AN204)&lt;&gt;"",$Q204&lt;&gt;INDEX(職員マスタ!$E$6:$E$405,$AN204)),"子の生年月日がマスタと相違／","")&amp;IF(AND($L204&lt;&gt;"",INDEX(職員マスタ!$G$6:$G$405,$AN204)&lt;&gt;"",$L204&lt;&gt;INDEX(職員マスタ!$G$6:$G$405,$AN204)),"時短開始日がマスタと相違／","")&amp;IF(AND($M204&lt;&gt;"",INDEX(職員マスタ!$H$6:$H$405,$AN204)&lt;&gt;"",$M204&lt;&gt;INDEX(職員マスタ!$H$6:$H$405,$AN204)),"時短終了日がマスタと相違／","")))&amp;IF(AND($B204&lt;&gt;"",$E204=""),"報酬額が未入力／","")&amp;IF(N($U204)&gt;0,"申請書に入力エラーが残っています／","")&amp;IF(AND($B204&lt;&gt;"",$AO204&lt;&gt;""),IF(COUNTIFS($B$6:$B$3005,$B204,$C$6:$C$3005,$C204,$D$6:$D$3005,$D204)&gt;1,"同じ月の請求が重複しています／",""),"")&amp;IF(AND(N($E204)&gt;0,$Z204&lt;&gt;"",$Z204&lt;&gt;"×",$AC204=0,$AB204=""),"計算額が下限以下のため不支給／",""))</f>
        <v/>
      </c>
      <c r="AL204" s="12" t="n"/>
      <c r="AM204" s="14">
        <f>IF($AD204="保留中",COUNTIF($AD$6:$AD204,"保留中"),"")</f>
        <v/>
      </c>
      <c r="AN204" s="14">
        <f>IF($AO204="","",IF(SUMPRODUCT(MAX((職員マスタ!$A$6:$A$405=$B204)*(((職員マスタ!$G$6:$G$405="")+(職員マスタ!$G$6:$G$405&lt;=EOMONTH($AO204,0)))&gt;0)*(((職員マスタ!$H$6:$H$405="")+(職員マスタ!$H$6:$H$405&gt;=$AO204))&gt;0)*(ROW(職員マスタ!$A$6:$A$405)-5)))&gt;0,SUMPRODUCT(MAX((職員マスタ!$A$6:$A$405=$B204)*(((職員マスタ!$G$6:$G$405="")+(職員マスタ!$G$6:$G$405&lt;=EOMONTH($AO204,0)))&gt;0)*(((職員マスタ!$H$6:$H$405="")+(職員マスタ!$H$6:$H$405&gt;=$AO204))&gt;0)*(ROW(職員マスタ!$A$6:$A$405)-5))),IFERROR(MATCH($B204,職員マスタ!$A$6:$A$405,0),"")))</f>
        <v/>
      </c>
      <c r="AO204" s="16">
        <f>IF(OR($B204="",$C204="",$D204=""),"",DATE($C204+2018,$D204,1))</f>
        <v/>
      </c>
    </row>
    <row r="205">
      <c r="A205" s="11" t="n"/>
      <c r="B205" s="12" t="n">
        <v>6403208</v>
      </c>
      <c r="C205" s="12" t="n">
        <v>7</v>
      </c>
      <c r="D205" s="12" t="n">
        <v>5</v>
      </c>
      <c r="E205" s="13" t="n">
        <v>228052</v>
      </c>
      <c r="F205" s="12" t="n"/>
      <c r="G205" s="13" t="n"/>
      <c r="H205" s="12" t="n"/>
      <c r="I205" s="12" t="n"/>
      <c r="J205" s="12" t="n"/>
      <c r="K205" s="12" t="n"/>
      <c r="L205" s="11" t="n"/>
      <c r="M205" s="11" t="n"/>
      <c r="N205" s="11" t="n"/>
      <c r="O205" s="11" t="n"/>
      <c r="P205" s="12" t="n"/>
      <c r="Q205" s="11" t="n"/>
      <c r="R205" s="12" t="n"/>
      <c r="S205" s="11" t="n"/>
      <c r="T205" s="12" t="n"/>
      <c r="U205" s="12" t="n"/>
      <c r="V205" s="14">
        <f>IF($AN205="",IF($B205="","",$H205),IF(INDEX(職員マスタ!$B$6:$B$405,$AN205)="",$H205,INDEX(職員マスタ!$B$6:$B$405,$AN205)))</f>
        <v/>
      </c>
      <c r="W205" s="14">
        <f>IF($AN205="",IF($B205="","",$R205),IF(INDEX(職員マスタ!$C$6:$C$405,$AN205)="",$R205,INDEX(職員マスタ!$C$6:$C$405,$AN205)))</f>
        <v/>
      </c>
      <c r="X205" s="14">
        <f>IF($AO205="","","R"&amp;$C205&amp;"."&amp;$D205)</f>
        <v/>
      </c>
      <c r="Y205" s="15">
        <f>IF($AN205="","",IF(INDEX(職員マスタ!$K$6:$K$405,$AN205)="","",INDEX(職員マスタ!$K$6:$K$405,$AN205)))</f>
        <v/>
      </c>
      <c r="Z205" s="14">
        <f>IF(OR($E205="",$Y205=""),"",IF($E205&gt;=$Y205,"×",IF($E205&gt;=$Y205*設定!$C$5,"△","○")))</f>
        <v/>
      </c>
      <c r="AA205" s="15">
        <f>IF($Z205="","",IF($Z205="×",0,IF($Z205="○",ROUNDDOWN($E205*設定!$C$4,0),ROUNDDOWN($E205*ROUND((9*$Y205-9*$E205)/(10*$E205),4),0))))</f>
        <v/>
      </c>
      <c r="AB205" s="13" t="n"/>
      <c r="AC205" s="15">
        <f>IF($B205="","",IF($AB205&lt;&gt;"",$AB205,IF($AA205="","",IF($AA205&lt;=設定!$C$3,0,$AA205))))</f>
        <v/>
      </c>
      <c r="AD205" s="14">
        <f>IF($B205="","",IF(AND($AE205&lt;&gt;"",$AG205="",$AJ205=""),"保留中",IF($AJ205&lt;&gt;"",IF(N($AC205)&gt;0,"支給済","不支給"),IF($AC205="","要確認",IF($AC205=0,"不支給","未処理")))))</f>
        <v/>
      </c>
      <c r="AE205" s="12" t="n"/>
      <c r="AF205" s="11" t="n"/>
      <c r="AG205" s="11" t="n"/>
      <c r="AH205" s="11" t="n"/>
      <c r="AI205" s="14">
        <f>IF(AND($AD205="保留中",$AF205&lt;&gt;""),TODAY()-$AF205,"")</f>
        <v/>
      </c>
      <c r="AJ205" s="12" t="inlineStr">
        <is>
          <t>R7.8</t>
        </is>
      </c>
      <c r="AK205" s="14">
        <f>IF($B205="","",IF($AO205="","対象年月が未入力／","")&amp;IF($B205="","",IF($AN205="","職員マスタに未登録の職員番号／",IF($Y205="","標準報酬月額が未登録／","")&amp;IF(AND($AO205&lt;&gt;"",OR(AND(INDEX(職員マスタ!$G$6:$G$405,$AN205)&lt;&gt;"",INDEX(職員マスタ!$G$6:$G$405,$AN205)&gt;EOMONTH($AO205,0)),AND(INDEX(職員マスタ!$H$6:$H$405,$AN205)&lt;&gt;"",INDEX(職員マスタ!$H$6:$H$405,$AN205)&lt;$AO205))),"対象月が時短期間外／","")&amp;IF(AND(INDEX(職員マスタ!$F$6:$F$405,$AN205)&lt;&gt;"",$AO205&lt;&gt;"",INDEX(職員マスタ!$F$6:$F$405,$AN205)&lt;$AO205),"対象月に子が2歳到達済／","")&amp;IF(AND($H205&lt;&gt;"",INDEX(職員マスタ!$B$6:$B$405,$AN205)&lt;&gt;"",SUBSTITUTE(SUBSTITUTE($H205," ","")," ","")&lt;&gt;SUBSTITUTE(SUBSTITUTE(INDEX(職員マスタ!$B$6:$B$405,$AN205)," ","")," ","")),"氏名がマスタと相違／","")&amp;IF(AND($Q205&lt;&gt;"",INDEX(職員マスタ!$E$6:$E$405,$AN205)&lt;&gt;"",$Q205&lt;&gt;INDEX(職員マスタ!$E$6:$E$405,$AN205)),"子の生年月日がマスタと相違／","")&amp;IF(AND($L205&lt;&gt;"",INDEX(職員マスタ!$G$6:$G$405,$AN205)&lt;&gt;"",$L205&lt;&gt;INDEX(職員マスタ!$G$6:$G$405,$AN205)),"時短開始日がマスタと相違／","")&amp;IF(AND($M205&lt;&gt;"",INDEX(職員マスタ!$H$6:$H$405,$AN205)&lt;&gt;"",$M205&lt;&gt;INDEX(職員マスタ!$H$6:$H$405,$AN205)),"時短終了日がマスタと相違／","")))&amp;IF(AND($B205&lt;&gt;"",$E205=""),"報酬額が未入力／","")&amp;IF(N($U205)&gt;0,"申請書に入力エラーが残っています／","")&amp;IF(AND($B205&lt;&gt;"",$AO205&lt;&gt;""),IF(COUNTIFS($B$6:$B$3005,$B205,$C$6:$C$3005,$C205,$D$6:$D$3005,$D205)&gt;1,"同じ月の請求が重複しています／",""),"")&amp;IF(AND(N($E205)&gt;0,$Z205&lt;&gt;"",$Z205&lt;&gt;"×",$AC205=0,$AB205=""),"計算額が下限以下のため不支給／",""))</f>
        <v/>
      </c>
      <c r="AL205" s="12" t="n"/>
      <c r="AM205" s="14">
        <f>IF($AD205="保留中",COUNTIF($AD$6:$AD205,"保留中"),"")</f>
        <v/>
      </c>
      <c r="AN205" s="14">
        <f>IF($AO205="","",IF(SUMPRODUCT(MAX((職員マスタ!$A$6:$A$405=$B205)*(((職員マスタ!$G$6:$G$405="")+(職員マスタ!$G$6:$G$405&lt;=EOMONTH($AO205,0)))&gt;0)*(((職員マスタ!$H$6:$H$405="")+(職員マスタ!$H$6:$H$405&gt;=$AO205))&gt;0)*(ROW(職員マスタ!$A$6:$A$405)-5)))&gt;0,SUMPRODUCT(MAX((職員マスタ!$A$6:$A$405=$B205)*(((職員マスタ!$G$6:$G$405="")+(職員マスタ!$G$6:$G$405&lt;=EOMONTH($AO205,0)))&gt;0)*(((職員マスタ!$H$6:$H$405="")+(職員マスタ!$H$6:$H$405&gt;=$AO205))&gt;0)*(ROW(職員マスタ!$A$6:$A$405)-5))),IFERROR(MATCH($B205,職員マスタ!$A$6:$A$405,0),"")))</f>
        <v/>
      </c>
      <c r="AO205" s="16">
        <f>IF(OR($B205="",$C205="",$D205=""),"",DATE($C205+2018,$D205,1))</f>
        <v/>
      </c>
    </row>
    <row r="206">
      <c r="A206" s="11" t="n"/>
      <c r="B206" s="12" t="n">
        <v>6403208</v>
      </c>
      <c r="C206" s="12" t="n">
        <v>7</v>
      </c>
      <c r="D206" s="12" t="n">
        <v>6</v>
      </c>
      <c r="E206" s="13" t="n">
        <v>222434</v>
      </c>
      <c r="F206" s="12" t="n"/>
      <c r="G206" s="13" t="n"/>
      <c r="H206" s="12" t="n"/>
      <c r="I206" s="12" t="n"/>
      <c r="J206" s="12" t="n"/>
      <c r="K206" s="12" t="n"/>
      <c r="L206" s="11" t="n"/>
      <c r="M206" s="11" t="n"/>
      <c r="N206" s="11" t="n"/>
      <c r="O206" s="11" t="n"/>
      <c r="P206" s="12" t="n"/>
      <c r="Q206" s="11" t="n"/>
      <c r="R206" s="12" t="n"/>
      <c r="S206" s="11" t="n"/>
      <c r="T206" s="12" t="n"/>
      <c r="U206" s="12" t="n"/>
      <c r="V206" s="14">
        <f>IF($AN206="",IF($B206="","",$H206),IF(INDEX(職員マスタ!$B$6:$B$405,$AN206)="",$H206,INDEX(職員マスタ!$B$6:$B$405,$AN206)))</f>
        <v/>
      </c>
      <c r="W206" s="14">
        <f>IF($AN206="",IF($B206="","",$R206),IF(INDEX(職員マスタ!$C$6:$C$405,$AN206)="",$R206,INDEX(職員マスタ!$C$6:$C$405,$AN206)))</f>
        <v/>
      </c>
      <c r="X206" s="14">
        <f>IF($AO206="","","R"&amp;$C206&amp;"."&amp;$D206)</f>
        <v/>
      </c>
      <c r="Y206" s="15">
        <f>IF($AN206="","",IF(INDEX(職員マスタ!$K$6:$K$405,$AN206)="","",INDEX(職員マスタ!$K$6:$K$405,$AN206)))</f>
        <v/>
      </c>
      <c r="Z206" s="14">
        <f>IF(OR($E206="",$Y206=""),"",IF($E206&gt;=$Y206,"×",IF($E206&gt;=$Y206*設定!$C$5,"△","○")))</f>
        <v/>
      </c>
      <c r="AA206" s="15">
        <f>IF($Z206="","",IF($Z206="×",0,IF($Z206="○",ROUNDDOWN($E206*設定!$C$4,0),ROUNDDOWN($E206*ROUND((9*$Y206-9*$E206)/(10*$E206),4),0))))</f>
        <v/>
      </c>
      <c r="AB206" s="13" t="n"/>
      <c r="AC206" s="15">
        <f>IF($B206="","",IF($AB206&lt;&gt;"",$AB206,IF($AA206="","",IF($AA206&lt;=設定!$C$3,0,$AA206))))</f>
        <v/>
      </c>
      <c r="AD206" s="14">
        <f>IF($B206="","",IF(AND($AE206&lt;&gt;"",$AG206="",$AJ206=""),"保留中",IF($AJ206&lt;&gt;"",IF(N($AC206)&gt;0,"支給済","不支給"),IF($AC206="","要確認",IF($AC206=0,"不支給","未処理")))))</f>
        <v/>
      </c>
      <c r="AE206" s="12" t="n"/>
      <c r="AF206" s="11" t="n"/>
      <c r="AG206" s="11" t="n"/>
      <c r="AH206" s="11" t="n"/>
      <c r="AI206" s="14">
        <f>IF(AND($AD206="保留中",$AF206&lt;&gt;""),TODAY()-$AF206,"")</f>
        <v/>
      </c>
      <c r="AJ206" s="12" t="inlineStr">
        <is>
          <t>R7.8</t>
        </is>
      </c>
      <c r="AK206" s="14">
        <f>IF($B206="","",IF($AO206="","対象年月が未入力／","")&amp;IF($B206="","",IF($AN206="","職員マスタに未登録の職員番号／",IF($Y206="","標準報酬月額が未登録／","")&amp;IF(AND($AO206&lt;&gt;"",OR(AND(INDEX(職員マスタ!$G$6:$G$405,$AN206)&lt;&gt;"",INDEX(職員マスタ!$G$6:$G$405,$AN206)&gt;EOMONTH($AO206,0)),AND(INDEX(職員マスタ!$H$6:$H$405,$AN206)&lt;&gt;"",INDEX(職員マスタ!$H$6:$H$405,$AN206)&lt;$AO206))),"対象月が時短期間外／","")&amp;IF(AND(INDEX(職員マスタ!$F$6:$F$405,$AN206)&lt;&gt;"",$AO206&lt;&gt;"",INDEX(職員マスタ!$F$6:$F$405,$AN206)&lt;$AO206),"対象月に子が2歳到達済／","")&amp;IF(AND($H206&lt;&gt;"",INDEX(職員マスタ!$B$6:$B$405,$AN206)&lt;&gt;"",SUBSTITUTE(SUBSTITUTE($H206," ","")," ","")&lt;&gt;SUBSTITUTE(SUBSTITUTE(INDEX(職員マスタ!$B$6:$B$405,$AN206)," ","")," ","")),"氏名がマスタと相違／","")&amp;IF(AND($Q206&lt;&gt;"",INDEX(職員マスタ!$E$6:$E$405,$AN206)&lt;&gt;"",$Q206&lt;&gt;INDEX(職員マスタ!$E$6:$E$405,$AN206)),"子の生年月日がマスタと相違／","")&amp;IF(AND($L206&lt;&gt;"",INDEX(職員マスタ!$G$6:$G$405,$AN206)&lt;&gt;"",$L206&lt;&gt;INDEX(職員マスタ!$G$6:$G$405,$AN206)),"時短開始日がマスタと相違／","")&amp;IF(AND($M206&lt;&gt;"",INDEX(職員マスタ!$H$6:$H$405,$AN206)&lt;&gt;"",$M206&lt;&gt;INDEX(職員マスタ!$H$6:$H$405,$AN206)),"時短終了日がマスタと相違／","")))&amp;IF(AND($B206&lt;&gt;"",$E206=""),"報酬額が未入力／","")&amp;IF(N($U206)&gt;0,"申請書に入力エラーが残っています／","")&amp;IF(AND($B206&lt;&gt;"",$AO206&lt;&gt;""),IF(COUNTIFS($B$6:$B$3005,$B206,$C$6:$C$3005,$C206,$D$6:$D$3005,$D206)&gt;1,"同じ月の請求が重複しています／",""),"")&amp;IF(AND(N($E206)&gt;0,$Z206&lt;&gt;"",$Z206&lt;&gt;"×",$AC206=0,$AB206=""),"計算額が下限以下のため不支給／",""))</f>
        <v/>
      </c>
      <c r="AL206" s="12" t="n"/>
      <c r="AM206" s="14">
        <f>IF($AD206="保留中",COUNTIF($AD$6:$AD206,"保留中"),"")</f>
        <v/>
      </c>
      <c r="AN206" s="14">
        <f>IF($AO206="","",IF(SUMPRODUCT(MAX((職員マスタ!$A$6:$A$405=$B206)*(((職員マスタ!$G$6:$G$405="")+(職員マスタ!$G$6:$G$405&lt;=EOMONTH($AO206,0)))&gt;0)*(((職員マスタ!$H$6:$H$405="")+(職員マスタ!$H$6:$H$405&gt;=$AO206))&gt;0)*(ROW(職員マスタ!$A$6:$A$405)-5)))&gt;0,SUMPRODUCT(MAX((職員マスタ!$A$6:$A$405=$B206)*(((職員マスタ!$G$6:$G$405="")+(職員マスタ!$G$6:$G$405&lt;=EOMONTH($AO206,0)))&gt;0)*(((職員マスタ!$H$6:$H$405="")+(職員マスタ!$H$6:$H$405&gt;=$AO206))&gt;0)*(ROW(職員マスタ!$A$6:$A$405)-5))),IFERROR(MATCH($B206,職員マスタ!$A$6:$A$405,0),"")))</f>
        <v/>
      </c>
      <c r="AO206" s="16">
        <f>IF(OR($B206="",$C206="",$D206=""),"",DATE($C206+2018,$D206,1))</f>
        <v/>
      </c>
    </row>
    <row r="207">
      <c r="A207" s="11" t="n"/>
      <c r="B207" s="12" t="n">
        <v>6403208</v>
      </c>
      <c r="C207" s="12" t="n">
        <v>7</v>
      </c>
      <c r="D207" s="12" t="n">
        <v>7</v>
      </c>
      <c r="E207" s="13" t="n">
        <v>222434</v>
      </c>
      <c r="F207" s="12" t="n"/>
      <c r="G207" s="13" t="n"/>
      <c r="H207" s="12" t="n"/>
      <c r="I207" s="12" t="n"/>
      <c r="J207" s="12" t="n"/>
      <c r="K207" s="12" t="n"/>
      <c r="L207" s="11" t="n"/>
      <c r="M207" s="11" t="n"/>
      <c r="N207" s="11" t="n"/>
      <c r="O207" s="11" t="n"/>
      <c r="P207" s="12" t="n"/>
      <c r="Q207" s="11" t="n"/>
      <c r="R207" s="12" t="n"/>
      <c r="S207" s="11" t="n"/>
      <c r="T207" s="12" t="n"/>
      <c r="U207" s="12" t="n"/>
      <c r="V207" s="14">
        <f>IF($AN207="",IF($B207="","",$H207),IF(INDEX(職員マスタ!$B$6:$B$405,$AN207)="",$H207,INDEX(職員マスタ!$B$6:$B$405,$AN207)))</f>
        <v/>
      </c>
      <c r="W207" s="14">
        <f>IF($AN207="",IF($B207="","",$R207),IF(INDEX(職員マスタ!$C$6:$C$405,$AN207)="",$R207,INDEX(職員マスタ!$C$6:$C$405,$AN207)))</f>
        <v/>
      </c>
      <c r="X207" s="14">
        <f>IF($AO207="","","R"&amp;$C207&amp;"."&amp;$D207)</f>
        <v/>
      </c>
      <c r="Y207" s="15">
        <f>IF($AN207="","",IF(INDEX(職員マスタ!$K$6:$K$405,$AN207)="","",INDEX(職員マスタ!$K$6:$K$405,$AN207)))</f>
        <v/>
      </c>
      <c r="Z207" s="14">
        <f>IF(OR($E207="",$Y207=""),"",IF($E207&gt;=$Y207,"×",IF($E207&gt;=$Y207*設定!$C$5,"△","○")))</f>
        <v/>
      </c>
      <c r="AA207" s="15">
        <f>IF($Z207="","",IF($Z207="×",0,IF($Z207="○",ROUNDDOWN($E207*設定!$C$4,0),ROUNDDOWN($E207*ROUND((9*$Y207-9*$E207)/(10*$E207),4),0))))</f>
        <v/>
      </c>
      <c r="AB207" s="13" t="n"/>
      <c r="AC207" s="15">
        <f>IF($B207="","",IF($AB207&lt;&gt;"",$AB207,IF($AA207="","",IF($AA207&lt;=設定!$C$3,0,$AA207))))</f>
        <v/>
      </c>
      <c r="AD207" s="14">
        <f>IF($B207="","",IF(AND($AE207&lt;&gt;"",$AG207="",$AJ207=""),"保留中",IF($AJ207&lt;&gt;"",IF(N($AC207)&gt;0,"支給済","不支給"),IF($AC207="","要確認",IF($AC207=0,"不支給","未処理")))))</f>
        <v/>
      </c>
      <c r="AE207" s="12" t="n"/>
      <c r="AF207" s="11" t="n"/>
      <c r="AG207" s="11" t="n"/>
      <c r="AH207" s="11" t="n"/>
      <c r="AI207" s="14">
        <f>IF(AND($AD207="保留中",$AF207&lt;&gt;""),TODAY()-$AF207,"")</f>
        <v/>
      </c>
      <c r="AJ207" s="12" t="inlineStr">
        <is>
          <t>R7.9</t>
        </is>
      </c>
      <c r="AK207" s="14">
        <f>IF($B207="","",IF($AO207="","対象年月が未入力／","")&amp;IF($B207="","",IF($AN207="","職員マスタに未登録の職員番号／",IF($Y207="","標準報酬月額が未登録／","")&amp;IF(AND($AO207&lt;&gt;"",OR(AND(INDEX(職員マスタ!$G$6:$G$405,$AN207)&lt;&gt;"",INDEX(職員マスタ!$G$6:$G$405,$AN207)&gt;EOMONTH($AO207,0)),AND(INDEX(職員マスタ!$H$6:$H$405,$AN207)&lt;&gt;"",INDEX(職員マスタ!$H$6:$H$405,$AN207)&lt;$AO207))),"対象月が時短期間外／","")&amp;IF(AND(INDEX(職員マスタ!$F$6:$F$405,$AN207)&lt;&gt;"",$AO207&lt;&gt;"",INDEX(職員マスタ!$F$6:$F$405,$AN207)&lt;$AO207),"対象月に子が2歳到達済／","")&amp;IF(AND($H207&lt;&gt;"",INDEX(職員マスタ!$B$6:$B$405,$AN207)&lt;&gt;"",SUBSTITUTE(SUBSTITUTE($H207," ","")," ","")&lt;&gt;SUBSTITUTE(SUBSTITUTE(INDEX(職員マスタ!$B$6:$B$405,$AN207)," ","")," ","")),"氏名がマスタと相違／","")&amp;IF(AND($Q207&lt;&gt;"",INDEX(職員マスタ!$E$6:$E$405,$AN207)&lt;&gt;"",$Q207&lt;&gt;INDEX(職員マスタ!$E$6:$E$405,$AN207)),"子の生年月日がマスタと相違／","")&amp;IF(AND($L207&lt;&gt;"",INDEX(職員マスタ!$G$6:$G$405,$AN207)&lt;&gt;"",$L207&lt;&gt;INDEX(職員マスタ!$G$6:$G$405,$AN207)),"時短開始日がマスタと相違／","")&amp;IF(AND($M207&lt;&gt;"",INDEX(職員マスタ!$H$6:$H$405,$AN207)&lt;&gt;"",$M207&lt;&gt;INDEX(職員マスタ!$H$6:$H$405,$AN207)),"時短終了日がマスタと相違／","")))&amp;IF(AND($B207&lt;&gt;"",$E207=""),"報酬額が未入力／","")&amp;IF(N($U207)&gt;0,"申請書に入力エラーが残っています／","")&amp;IF(AND($B207&lt;&gt;"",$AO207&lt;&gt;""),IF(COUNTIFS($B$6:$B$3005,$B207,$C$6:$C$3005,$C207,$D$6:$D$3005,$D207)&gt;1,"同じ月の請求が重複しています／",""),"")&amp;IF(AND(N($E207)&gt;0,$Z207&lt;&gt;"",$Z207&lt;&gt;"×",$AC207=0,$AB207=""),"計算額が下限以下のため不支給／",""))</f>
        <v/>
      </c>
      <c r="AL207" s="12" t="n"/>
      <c r="AM207" s="14">
        <f>IF($AD207="保留中",COUNTIF($AD$6:$AD207,"保留中"),"")</f>
        <v/>
      </c>
      <c r="AN207" s="14">
        <f>IF($AO207="","",IF(SUMPRODUCT(MAX((職員マスタ!$A$6:$A$405=$B207)*(((職員マスタ!$G$6:$G$405="")+(職員マスタ!$G$6:$G$405&lt;=EOMONTH($AO207,0)))&gt;0)*(((職員マスタ!$H$6:$H$405="")+(職員マスタ!$H$6:$H$405&gt;=$AO207))&gt;0)*(ROW(職員マスタ!$A$6:$A$405)-5)))&gt;0,SUMPRODUCT(MAX((職員マスタ!$A$6:$A$405=$B207)*(((職員マスタ!$G$6:$G$405="")+(職員マスタ!$G$6:$G$405&lt;=EOMONTH($AO207,0)))&gt;0)*(((職員マスタ!$H$6:$H$405="")+(職員マスタ!$H$6:$H$405&gt;=$AO207))&gt;0)*(ROW(職員マスタ!$A$6:$A$405)-5))),IFERROR(MATCH($B207,職員マスタ!$A$6:$A$405,0),"")))</f>
        <v/>
      </c>
      <c r="AO207" s="16">
        <f>IF(OR($B207="",$C207="",$D207=""),"",DATE($C207+2018,$D207,1))</f>
        <v/>
      </c>
    </row>
    <row r="208">
      <c r="A208" s="11" t="n"/>
      <c r="B208" s="12" t="n">
        <v>6403208</v>
      </c>
      <c r="C208" s="12" t="n">
        <v>7</v>
      </c>
      <c r="D208" s="12" t="n">
        <v>8</v>
      </c>
      <c r="E208" s="13" t="n">
        <v>218102</v>
      </c>
      <c r="F208" s="12" t="n"/>
      <c r="G208" s="13" t="n"/>
      <c r="H208" s="12" t="n"/>
      <c r="I208" s="12" t="n"/>
      <c r="J208" s="12" t="n"/>
      <c r="K208" s="12" t="n"/>
      <c r="L208" s="11" t="n"/>
      <c r="M208" s="11" t="n"/>
      <c r="N208" s="11" t="n"/>
      <c r="O208" s="11" t="n"/>
      <c r="P208" s="12" t="n"/>
      <c r="Q208" s="11" t="n"/>
      <c r="R208" s="12" t="n"/>
      <c r="S208" s="11" t="n"/>
      <c r="T208" s="12" t="n"/>
      <c r="U208" s="12" t="n"/>
      <c r="V208" s="14">
        <f>IF($AN208="",IF($B208="","",$H208),IF(INDEX(職員マスタ!$B$6:$B$405,$AN208)="",$H208,INDEX(職員マスタ!$B$6:$B$405,$AN208)))</f>
        <v/>
      </c>
      <c r="W208" s="14">
        <f>IF($AN208="",IF($B208="","",$R208),IF(INDEX(職員マスタ!$C$6:$C$405,$AN208)="",$R208,INDEX(職員マスタ!$C$6:$C$405,$AN208)))</f>
        <v/>
      </c>
      <c r="X208" s="14">
        <f>IF($AO208="","","R"&amp;$C208&amp;"."&amp;$D208)</f>
        <v/>
      </c>
      <c r="Y208" s="15">
        <f>IF($AN208="","",IF(INDEX(職員マスタ!$K$6:$K$405,$AN208)="","",INDEX(職員マスタ!$K$6:$K$405,$AN208)))</f>
        <v/>
      </c>
      <c r="Z208" s="14">
        <f>IF(OR($E208="",$Y208=""),"",IF($E208&gt;=$Y208,"×",IF($E208&gt;=$Y208*設定!$C$5,"△","○")))</f>
        <v/>
      </c>
      <c r="AA208" s="15">
        <f>IF($Z208="","",IF($Z208="×",0,IF($Z208="○",ROUNDDOWN($E208*設定!$C$4,0),ROUNDDOWN($E208*ROUND((9*$Y208-9*$E208)/(10*$E208),4),0))))</f>
        <v/>
      </c>
      <c r="AB208" s="13" t="n"/>
      <c r="AC208" s="15">
        <f>IF($B208="","",IF($AB208&lt;&gt;"",$AB208,IF($AA208="","",IF($AA208&lt;=設定!$C$3,0,$AA208))))</f>
        <v/>
      </c>
      <c r="AD208" s="14">
        <f>IF($B208="","",IF(AND($AE208&lt;&gt;"",$AG208="",$AJ208=""),"保留中",IF($AJ208&lt;&gt;"",IF(N($AC208)&gt;0,"支給済","不支給"),IF($AC208="","要確認",IF($AC208=0,"不支給","未処理")))))</f>
        <v/>
      </c>
      <c r="AE208" s="12" t="n"/>
      <c r="AF208" s="11" t="n"/>
      <c r="AG208" s="11" t="n"/>
      <c r="AH208" s="11" t="n"/>
      <c r="AI208" s="14">
        <f>IF(AND($AD208="保留中",$AF208&lt;&gt;""),TODAY()-$AF208,"")</f>
        <v/>
      </c>
      <c r="AJ208" s="12" t="inlineStr">
        <is>
          <t>R7.10</t>
        </is>
      </c>
      <c r="AK208" s="14">
        <f>IF($B208="","",IF($AO208="","対象年月が未入力／","")&amp;IF($B208="","",IF($AN208="","職員マスタに未登録の職員番号／",IF($Y208="","標準報酬月額が未登録／","")&amp;IF(AND($AO208&lt;&gt;"",OR(AND(INDEX(職員マスタ!$G$6:$G$405,$AN208)&lt;&gt;"",INDEX(職員マスタ!$G$6:$G$405,$AN208)&gt;EOMONTH($AO208,0)),AND(INDEX(職員マスタ!$H$6:$H$405,$AN208)&lt;&gt;"",INDEX(職員マスタ!$H$6:$H$405,$AN208)&lt;$AO208))),"対象月が時短期間外／","")&amp;IF(AND(INDEX(職員マスタ!$F$6:$F$405,$AN208)&lt;&gt;"",$AO208&lt;&gt;"",INDEX(職員マスタ!$F$6:$F$405,$AN208)&lt;$AO208),"対象月に子が2歳到達済／","")&amp;IF(AND($H208&lt;&gt;"",INDEX(職員マスタ!$B$6:$B$405,$AN208)&lt;&gt;"",SUBSTITUTE(SUBSTITUTE($H208," ","")," ","")&lt;&gt;SUBSTITUTE(SUBSTITUTE(INDEX(職員マスタ!$B$6:$B$405,$AN208)," ","")," ","")),"氏名がマスタと相違／","")&amp;IF(AND($Q208&lt;&gt;"",INDEX(職員マスタ!$E$6:$E$405,$AN208)&lt;&gt;"",$Q208&lt;&gt;INDEX(職員マスタ!$E$6:$E$405,$AN208)),"子の生年月日がマスタと相違／","")&amp;IF(AND($L208&lt;&gt;"",INDEX(職員マスタ!$G$6:$G$405,$AN208)&lt;&gt;"",$L208&lt;&gt;INDEX(職員マスタ!$G$6:$G$405,$AN208)),"時短開始日がマスタと相違／","")&amp;IF(AND($M208&lt;&gt;"",INDEX(職員マスタ!$H$6:$H$405,$AN208)&lt;&gt;"",$M208&lt;&gt;INDEX(職員マスタ!$H$6:$H$405,$AN208)),"時短終了日がマスタと相違／","")))&amp;IF(AND($B208&lt;&gt;"",$E208=""),"報酬額が未入力／","")&amp;IF(N($U208)&gt;0,"申請書に入力エラーが残っています／","")&amp;IF(AND($B208&lt;&gt;"",$AO208&lt;&gt;""),IF(COUNTIFS($B$6:$B$3005,$B208,$C$6:$C$3005,$C208,$D$6:$D$3005,$D208)&gt;1,"同じ月の請求が重複しています／",""),"")&amp;IF(AND(N($E208)&gt;0,$Z208&lt;&gt;"",$Z208&lt;&gt;"×",$AC208=0,$AB208=""),"計算額が下限以下のため不支給／",""))</f>
        <v/>
      </c>
      <c r="AL208" s="12" t="n"/>
      <c r="AM208" s="14">
        <f>IF($AD208="保留中",COUNTIF($AD$6:$AD208,"保留中"),"")</f>
        <v/>
      </c>
      <c r="AN208" s="14">
        <f>IF($AO208="","",IF(SUMPRODUCT(MAX((職員マスタ!$A$6:$A$405=$B208)*(((職員マスタ!$G$6:$G$405="")+(職員マスタ!$G$6:$G$405&lt;=EOMONTH($AO208,0)))&gt;0)*(((職員マスタ!$H$6:$H$405="")+(職員マスタ!$H$6:$H$405&gt;=$AO208))&gt;0)*(ROW(職員マスタ!$A$6:$A$405)-5)))&gt;0,SUMPRODUCT(MAX((職員マスタ!$A$6:$A$405=$B208)*(((職員マスタ!$G$6:$G$405="")+(職員マスタ!$G$6:$G$405&lt;=EOMONTH($AO208,0)))&gt;0)*(((職員マスタ!$H$6:$H$405="")+(職員マスタ!$H$6:$H$405&gt;=$AO208))&gt;0)*(ROW(職員マスタ!$A$6:$A$405)-5))),IFERROR(MATCH($B208,職員マスタ!$A$6:$A$405,0),"")))</f>
        <v/>
      </c>
      <c r="AO208" s="16">
        <f>IF(OR($B208="",$C208="",$D208=""),"",DATE($C208+2018,$D208,1))</f>
        <v/>
      </c>
    </row>
    <row r="209">
      <c r="A209" s="11" t="n"/>
      <c r="B209" s="12" t="n">
        <v>6403208</v>
      </c>
      <c r="C209" s="12" t="n">
        <v>7</v>
      </c>
      <c r="D209" s="12" t="n">
        <v>9</v>
      </c>
      <c r="E209" s="13" t="n">
        <v>222434</v>
      </c>
      <c r="F209" s="12" t="n"/>
      <c r="G209" s="13" t="n"/>
      <c r="H209" s="12" t="n"/>
      <c r="I209" s="12" t="n"/>
      <c r="J209" s="12" t="n"/>
      <c r="K209" s="12" t="n"/>
      <c r="L209" s="11" t="n"/>
      <c r="M209" s="11" t="n"/>
      <c r="N209" s="11" t="n"/>
      <c r="O209" s="11" t="n"/>
      <c r="P209" s="12" t="n"/>
      <c r="Q209" s="11" t="n"/>
      <c r="R209" s="12" t="n"/>
      <c r="S209" s="11" t="n"/>
      <c r="T209" s="12" t="n"/>
      <c r="U209" s="12" t="n"/>
      <c r="V209" s="14">
        <f>IF($AN209="",IF($B209="","",$H209),IF(INDEX(職員マスタ!$B$6:$B$405,$AN209)="",$H209,INDEX(職員マスタ!$B$6:$B$405,$AN209)))</f>
        <v/>
      </c>
      <c r="W209" s="14">
        <f>IF($AN209="",IF($B209="","",$R209),IF(INDEX(職員マスタ!$C$6:$C$405,$AN209)="",$R209,INDEX(職員マスタ!$C$6:$C$405,$AN209)))</f>
        <v/>
      </c>
      <c r="X209" s="14">
        <f>IF($AO209="","","R"&amp;$C209&amp;"."&amp;$D209)</f>
        <v/>
      </c>
      <c r="Y209" s="15">
        <f>IF($AN209="","",IF(INDEX(職員マスタ!$K$6:$K$405,$AN209)="","",INDEX(職員マスタ!$K$6:$K$405,$AN209)))</f>
        <v/>
      </c>
      <c r="Z209" s="14">
        <f>IF(OR($E209="",$Y209=""),"",IF($E209&gt;=$Y209,"×",IF($E209&gt;=$Y209*設定!$C$5,"△","○")))</f>
        <v/>
      </c>
      <c r="AA209" s="15">
        <f>IF($Z209="","",IF($Z209="×",0,IF($Z209="○",ROUNDDOWN($E209*設定!$C$4,0),ROUNDDOWN($E209*ROUND((9*$Y209-9*$E209)/(10*$E209),4),0))))</f>
        <v/>
      </c>
      <c r="AB209" s="13" t="n"/>
      <c r="AC209" s="15">
        <f>IF($B209="","",IF($AB209&lt;&gt;"",$AB209,IF($AA209="","",IF($AA209&lt;=設定!$C$3,0,$AA209))))</f>
        <v/>
      </c>
      <c r="AD209" s="14">
        <f>IF($B209="","",IF(AND($AE209&lt;&gt;"",$AG209="",$AJ209=""),"保留中",IF($AJ209&lt;&gt;"",IF(N($AC209)&gt;0,"支給済","不支給"),IF($AC209="","要確認",IF($AC209=0,"不支給","未処理")))))</f>
        <v/>
      </c>
      <c r="AE209" s="12" t="n"/>
      <c r="AF209" s="11" t="n"/>
      <c r="AG209" s="11" t="n"/>
      <c r="AH209" s="11" t="n"/>
      <c r="AI209" s="14">
        <f>IF(AND($AD209="保留中",$AF209&lt;&gt;""),TODAY()-$AF209,"")</f>
        <v/>
      </c>
      <c r="AJ209" s="12" t="inlineStr">
        <is>
          <t>R7.11</t>
        </is>
      </c>
      <c r="AK209" s="14">
        <f>IF($B209="","",IF($AO209="","対象年月が未入力／","")&amp;IF($B209="","",IF($AN209="","職員マスタに未登録の職員番号／",IF($Y209="","標準報酬月額が未登録／","")&amp;IF(AND($AO209&lt;&gt;"",OR(AND(INDEX(職員マスタ!$G$6:$G$405,$AN209)&lt;&gt;"",INDEX(職員マスタ!$G$6:$G$405,$AN209)&gt;EOMONTH($AO209,0)),AND(INDEX(職員マスタ!$H$6:$H$405,$AN209)&lt;&gt;"",INDEX(職員マスタ!$H$6:$H$405,$AN209)&lt;$AO209))),"対象月が時短期間外／","")&amp;IF(AND(INDEX(職員マスタ!$F$6:$F$405,$AN209)&lt;&gt;"",$AO209&lt;&gt;"",INDEX(職員マスタ!$F$6:$F$405,$AN209)&lt;$AO209),"対象月に子が2歳到達済／","")&amp;IF(AND($H209&lt;&gt;"",INDEX(職員マスタ!$B$6:$B$405,$AN209)&lt;&gt;"",SUBSTITUTE(SUBSTITUTE($H209," ","")," ","")&lt;&gt;SUBSTITUTE(SUBSTITUTE(INDEX(職員マスタ!$B$6:$B$405,$AN209)," ","")," ","")),"氏名がマスタと相違／","")&amp;IF(AND($Q209&lt;&gt;"",INDEX(職員マスタ!$E$6:$E$405,$AN209)&lt;&gt;"",$Q209&lt;&gt;INDEX(職員マスタ!$E$6:$E$405,$AN209)),"子の生年月日がマスタと相違／","")&amp;IF(AND($L209&lt;&gt;"",INDEX(職員マスタ!$G$6:$G$405,$AN209)&lt;&gt;"",$L209&lt;&gt;INDEX(職員マスタ!$G$6:$G$405,$AN209)),"時短開始日がマスタと相違／","")&amp;IF(AND($M209&lt;&gt;"",INDEX(職員マスタ!$H$6:$H$405,$AN209)&lt;&gt;"",$M209&lt;&gt;INDEX(職員マスタ!$H$6:$H$405,$AN209)),"時短終了日がマスタと相違／","")))&amp;IF(AND($B209&lt;&gt;"",$E209=""),"報酬額が未入力／","")&amp;IF(N($U209)&gt;0,"申請書に入力エラーが残っています／","")&amp;IF(AND($B209&lt;&gt;"",$AO209&lt;&gt;""),IF(COUNTIFS($B$6:$B$3005,$B209,$C$6:$C$3005,$C209,$D$6:$D$3005,$D209)&gt;1,"同じ月の請求が重複しています／",""),"")&amp;IF(AND(N($E209)&gt;0,$Z209&lt;&gt;"",$Z209&lt;&gt;"×",$AC209=0,$AB209=""),"計算額が下限以下のため不支給／",""))</f>
        <v/>
      </c>
      <c r="AL209" s="12" t="n"/>
      <c r="AM209" s="14">
        <f>IF($AD209="保留中",COUNTIF($AD$6:$AD209,"保留中"),"")</f>
        <v/>
      </c>
      <c r="AN209" s="14">
        <f>IF($AO209="","",IF(SUMPRODUCT(MAX((職員マスタ!$A$6:$A$405=$B209)*(((職員マスタ!$G$6:$G$405="")+(職員マスタ!$G$6:$G$405&lt;=EOMONTH($AO209,0)))&gt;0)*(((職員マスタ!$H$6:$H$405="")+(職員マスタ!$H$6:$H$405&gt;=$AO209))&gt;0)*(ROW(職員マスタ!$A$6:$A$405)-5)))&gt;0,SUMPRODUCT(MAX((職員マスタ!$A$6:$A$405=$B209)*(((職員マスタ!$G$6:$G$405="")+(職員マスタ!$G$6:$G$405&lt;=EOMONTH($AO209,0)))&gt;0)*(((職員マスタ!$H$6:$H$405="")+(職員マスタ!$H$6:$H$405&gt;=$AO209))&gt;0)*(ROW(職員マスタ!$A$6:$A$405)-5))),IFERROR(MATCH($B209,職員マスタ!$A$6:$A$405,0),"")))</f>
        <v/>
      </c>
      <c r="AO209" s="16">
        <f>IF(OR($B209="",$C209="",$D209=""),"",DATE($C209+2018,$D209,1))</f>
        <v/>
      </c>
    </row>
    <row r="210">
      <c r="A210" s="11" t="n"/>
      <c r="B210" s="12" t="n">
        <v>6403208</v>
      </c>
      <c r="C210" s="12" t="n">
        <v>7</v>
      </c>
      <c r="D210" s="12" t="n">
        <v>10</v>
      </c>
      <c r="E210" s="13" t="n">
        <v>228932</v>
      </c>
      <c r="F210" s="12" t="n"/>
      <c r="G210" s="13" t="n"/>
      <c r="H210" s="12" t="n"/>
      <c r="I210" s="12" t="n"/>
      <c r="J210" s="12" t="n"/>
      <c r="K210" s="12" t="n"/>
      <c r="L210" s="11" t="n"/>
      <c r="M210" s="11" t="n"/>
      <c r="N210" s="11" t="n"/>
      <c r="O210" s="11" t="n"/>
      <c r="P210" s="12" t="n"/>
      <c r="Q210" s="11" t="n"/>
      <c r="R210" s="12" t="n"/>
      <c r="S210" s="11" t="n"/>
      <c r="T210" s="12" t="n"/>
      <c r="U210" s="12" t="n"/>
      <c r="V210" s="14">
        <f>IF($AN210="",IF($B210="","",$H210),IF(INDEX(職員マスタ!$B$6:$B$405,$AN210)="",$H210,INDEX(職員マスタ!$B$6:$B$405,$AN210)))</f>
        <v/>
      </c>
      <c r="W210" s="14">
        <f>IF($AN210="",IF($B210="","",$R210),IF(INDEX(職員マスタ!$C$6:$C$405,$AN210)="",$R210,INDEX(職員マスタ!$C$6:$C$405,$AN210)))</f>
        <v/>
      </c>
      <c r="X210" s="14">
        <f>IF($AO210="","","R"&amp;$C210&amp;"."&amp;$D210)</f>
        <v/>
      </c>
      <c r="Y210" s="15">
        <f>IF($AN210="","",IF(INDEX(職員マスタ!$K$6:$K$405,$AN210)="","",INDEX(職員マスタ!$K$6:$K$405,$AN210)))</f>
        <v/>
      </c>
      <c r="Z210" s="14">
        <f>IF(OR($E210="",$Y210=""),"",IF($E210&gt;=$Y210,"×",IF($E210&gt;=$Y210*設定!$C$5,"△","○")))</f>
        <v/>
      </c>
      <c r="AA210" s="15">
        <f>IF($Z210="","",IF($Z210="×",0,IF($Z210="○",ROUNDDOWN($E210*設定!$C$4,0),ROUNDDOWN($E210*ROUND((9*$Y210-9*$E210)/(10*$E210),4),0))))</f>
        <v/>
      </c>
      <c r="AB210" s="13" t="n"/>
      <c r="AC210" s="15">
        <f>IF($B210="","",IF($AB210&lt;&gt;"",$AB210,IF($AA210="","",IF($AA210&lt;=設定!$C$3,0,$AA210))))</f>
        <v/>
      </c>
      <c r="AD210" s="14">
        <f>IF($B210="","",IF(AND($AE210&lt;&gt;"",$AG210="",$AJ210=""),"保留中",IF($AJ210&lt;&gt;"",IF(N($AC210)&gt;0,"支給済","不支給"),IF($AC210="","要確認",IF($AC210=0,"不支給","未処理")))))</f>
        <v/>
      </c>
      <c r="AE210" s="12" t="n"/>
      <c r="AF210" s="11" t="n"/>
      <c r="AG210" s="11" t="n"/>
      <c r="AH210" s="11" t="n"/>
      <c r="AI210" s="14">
        <f>IF(AND($AD210="保留中",$AF210&lt;&gt;""),TODAY()-$AF210,"")</f>
        <v/>
      </c>
      <c r="AJ210" s="12" t="inlineStr">
        <is>
          <t>R7.12</t>
        </is>
      </c>
      <c r="AK210" s="14">
        <f>IF($B210="","",IF($AO210="","対象年月が未入力／","")&amp;IF($B210="","",IF($AN210="","職員マスタに未登録の職員番号／",IF($Y210="","標準報酬月額が未登録／","")&amp;IF(AND($AO210&lt;&gt;"",OR(AND(INDEX(職員マスタ!$G$6:$G$405,$AN210)&lt;&gt;"",INDEX(職員マスタ!$G$6:$G$405,$AN210)&gt;EOMONTH($AO210,0)),AND(INDEX(職員マスタ!$H$6:$H$405,$AN210)&lt;&gt;"",INDEX(職員マスタ!$H$6:$H$405,$AN210)&lt;$AO210))),"対象月が時短期間外／","")&amp;IF(AND(INDEX(職員マスタ!$F$6:$F$405,$AN210)&lt;&gt;"",$AO210&lt;&gt;"",INDEX(職員マスタ!$F$6:$F$405,$AN210)&lt;$AO210),"対象月に子が2歳到達済／","")&amp;IF(AND($H210&lt;&gt;"",INDEX(職員マスタ!$B$6:$B$405,$AN210)&lt;&gt;"",SUBSTITUTE(SUBSTITUTE($H210," ","")," ","")&lt;&gt;SUBSTITUTE(SUBSTITUTE(INDEX(職員マスタ!$B$6:$B$405,$AN210)," ","")," ","")),"氏名がマスタと相違／","")&amp;IF(AND($Q210&lt;&gt;"",INDEX(職員マスタ!$E$6:$E$405,$AN210)&lt;&gt;"",$Q210&lt;&gt;INDEX(職員マスタ!$E$6:$E$405,$AN210)),"子の生年月日がマスタと相違／","")&amp;IF(AND($L210&lt;&gt;"",INDEX(職員マスタ!$G$6:$G$405,$AN210)&lt;&gt;"",$L210&lt;&gt;INDEX(職員マスタ!$G$6:$G$405,$AN210)),"時短開始日がマスタと相違／","")&amp;IF(AND($M210&lt;&gt;"",INDEX(職員マスタ!$H$6:$H$405,$AN210)&lt;&gt;"",$M210&lt;&gt;INDEX(職員マスタ!$H$6:$H$405,$AN210)),"時短終了日がマスタと相違／","")))&amp;IF(AND($B210&lt;&gt;"",$E210=""),"報酬額が未入力／","")&amp;IF(N($U210)&gt;0,"申請書に入力エラーが残っています／","")&amp;IF(AND($B210&lt;&gt;"",$AO210&lt;&gt;""),IF(COUNTIFS($B$6:$B$3005,$B210,$C$6:$C$3005,$C210,$D$6:$D$3005,$D210)&gt;1,"同じ月の請求が重複しています／",""),"")&amp;IF(AND(N($E210)&gt;0,$Z210&lt;&gt;"",$Z210&lt;&gt;"×",$AC210=0,$AB210=""),"計算額が下限以下のため不支給／",""))</f>
        <v/>
      </c>
      <c r="AL210" s="12" t="n"/>
      <c r="AM210" s="14">
        <f>IF($AD210="保留中",COUNTIF($AD$6:$AD210,"保留中"),"")</f>
        <v/>
      </c>
      <c r="AN210" s="14">
        <f>IF($AO210="","",IF(SUMPRODUCT(MAX((職員マスタ!$A$6:$A$405=$B210)*(((職員マスタ!$G$6:$G$405="")+(職員マスタ!$G$6:$G$405&lt;=EOMONTH($AO210,0)))&gt;0)*(((職員マスタ!$H$6:$H$405="")+(職員マスタ!$H$6:$H$405&gt;=$AO210))&gt;0)*(ROW(職員マスタ!$A$6:$A$405)-5)))&gt;0,SUMPRODUCT(MAX((職員マスタ!$A$6:$A$405=$B210)*(((職員マスタ!$G$6:$G$405="")+(職員マスタ!$G$6:$G$405&lt;=EOMONTH($AO210,0)))&gt;0)*(((職員マスタ!$H$6:$H$405="")+(職員マスタ!$H$6:$H$405&gt;=$AO210))&gt;0)*(ROW(職員マスタ!$A$6:$A$405)-5))),IFERROR(MATCH($B210,職員マスタ!$A$6:$A$405,0),"")))</f>
        <v/>
      </c>
      <c r="AO210" s="16">
        <f>IF(OR($B210="",$C210="",$D210=""),"",DATE($C210+2018,$D210,1))</f>
        <v/>
      </c>
    </row>
    <row r="211">
      <c r="A211" s="11" t="n"/>
      <c r="B211" s="12" t="n">
        <v>6403208</v>
      </c>
      <c r="C211" s="12" t="n">
        <v>7</v>
      </c>
      <c r="D211" s="12" t="n">
        <v>11</v>
      </c>
      <c r="E211" s="13" t="n">
        <v>218102</v>
      </c>
      <c r="F211" s="12" t="n"/>
      <c r="G211" s="13" t="n"/>
      <c r="H211" s="12" t="n"/>
      <c r="I211" s="12" t="n"/>
      <c r="J211" s="12" t="n"/>
      <c r="K211" s="12" t="n"/>
      <c r="L211" s="11" t="n"/>
      <c r="M211" s="11" t="n"/>
      <c r="N211" s="11" t="n"/>
      <c r="O211" s="11" t="n"/>
      <c r="P211" s="12" t="n"/>
      <c r="Q211" s="11" t="n"/>
      <c r="R211" s="12" t="n"/>
      <c r="S211" s="11" t="n"/>
      <c r="T211" s="12" t="n"/>
      <c r="U211" s="12" t="n"/>
      <c r="V211" s="14">
        <f>IF($AN211="",IF($B211="","",$H211),IF(INDEX(職員マスタ!$B$6:$B$405,$AN211)="",$H211,INDEX(職員マスタ!$B$6:$B$405,$AN211)))</f>
        <v/>
      </c>
      <c r="W211" s="14">
        <f>IF($AN211="",IF($B211="","",$R211),IF(INDEX(職員マスタ!$C$6:$C$405,$AN211)="",$R211,INDEX(職員マスタ!$C$6:$C$405,$AN211)))</f>
        <v/>
      </c>
      <c r="X211" s="14">
        <f>IF($AO211="","","R"&amp;$C211&amp;"."&amp;$D211)</f>
        <v/>
      </c>
      <c r="Y211" s="15">
        <f>IF($AN211="","",IF(INDEX(職員マスタ!$K$6:$K$405,$AN211)="","",INDEX(職員マスタ!$K$6:$K$405,$AN211)))</f>
        <v/>
      </c>
      <c r="Z211" s="14">
        <f>IF(OR($E211="",$Y211=""),"",IF($E211&gt;=$Y211,"×",IF($E211&gt;=$Y211*設定!$C$5,"△","○")))</f>
        <v/>
      </c>
      <c r="AA211" s="15">
        <f>IF($Z211="","",IF($Z211="×",0,IF($Z211="○",ROUNDDOWN($E211*設定!$C$4,0),ROUNDDOWN($E211*ROUND((9*$Y211-9*$E211)/(10*$E211),4),0))))</f>
        <v/>
      </c>
      <c r="AB211" s="13" t="n"/>
      <c r="AC211" s="15">
        <f>IF($B211="","",IF($AB211&lt;&gt;"",$AB211,IF($AA211="","",IF($AA211&lt;=設定!$C$3,0,$AA211))))</f>
        <v/>
      </c>
      <c r="AD211" s="14">
        <f>IF($B211="","",IF(AND($AE211&lt;&gt;"",$AG211="",$AJ211=""),"保留中",IF($AJ211&lt;&gt;"",IF(N($AC211)&gt;0,"支給済","不支給"),IF($AC211="","要確認",IF($AC211=0,"不支給","未処理")))))</f>
        <v/>
      </c>
      <c r="AE211" s="12" t="n"/>
      <c r="AF211" s="11" t="n"/>
      <c r="AG211" s="11" t="n"/>
      <c r="AH211" s="11" t="n"/>
      <c r="AI211" s="14">
        <f>IF(AND($AD211="保留中",$AF211&lt;&gt;""),TODAY()-$AF211,"")</f>
        <v/>
      </c>
      <c r="AJ211" s="12" t="inlineStr">
        <is>
          <t>R8.1</t>
        </is>
      </c>
      <c r="AK211" s="14">
        <f>IF($B211="","",IF($AO211="","対象年月が未入力／","")&amp;IF($B211="","",IF($AN211="","職員マスタに未登録の職員番号／",IF($Y211="","標準報酬月額が未登録／","")&amp;IF(AND($AO211&lt;&gt;"",OR(AND(INDEX(職員マスタ!$G$6:$G$405,$AN211)&lt;&gt;"",INDEX(職員マスタ!$G$6:$G$405,$AN211)&gt;EOMONTH($AO211,0)),AND(INDEX(職員マスタ!$H$6:$H$405,$AN211)&lt;&gt;"",INDEX(職員マスタ!$H$6:$H$405,$AN211)&lt;$AO211))),"対象月が時短期間外／","")&amp;IF(AND(INDEX(職員マスタ!$F$6:$F$405,$AN211)&lt;&gt;"",$AO211&lt;&gt;"",INDEX(職員マスタ!$F$6:$F$405,$AN211)&lt;$AO211),"対象月に子が2歳到達済／","")&amp;IF(AND($H211&lt;&gt;"",INDEX(職員マスタ!$B$6:$B$405,$AN211)&lt;&gt;"",SUBSTITUTE(SUBSTITUTE($H211," ","")," ","")&lt;&gt;SUBSTITUTE(SUBSTITUTE(INDEX(職員マスタ!$B$6:$B$405,$AN211)," ","")," ","")),"氏名がマスタと相違／","")&amp;IF(AND($Q211&lt;&gt;"",INDEX(職員マスタ!$E$6:$E$405,$AN211)&lt;&gt;"",$Q211&lt;&gt;INDEX(職員マスタ!$E$6:$E$405,$AN211)),"子の生年月日がマスタと相違／","")&amp;IF(AND($L211&lt;&gt;"",INDEX(職員マスタ!$G$6:$G$405,$AN211)&lt;&gt;"",$L211&lt;&gt;INDEX(職員マスタ!$G$6:$G$405,$AN211)),"時短開始日がマスタと相違／","")&amp;IF(AND($M211&lt;&gt;"",INDEX(職員マスタ!$H$6:$H$405,$AN211)&lt;&gt;"",$M211&lt;&gt;INDEX(職員マスタ!$H$6:$H$405,$AN211)),"時短終了日がマスタと相違／","")))&amp;IF(AND($B211&lt;&gt;"",$E211=""),"報酬額が未入力／","")&amp;IF(N($U211)&gt;0,"申請書に入力エラーが残っています／","")&amp;IF(AND($B211&lt;&gt;"",$AO211&lt;&gt;""),IF(COUNTIFS($B$6:$B$3005,$B211,$C$6:$C$3005,$C211,$D$6:$D$3005,$D211)&gt;1,"同じ月の請求が重複しています／",""),"")&amp;IF(AND(N($E211)&gt;0,$Z211&lt;&gt;"",$Z211&lt;&gt;"×",$AC211=0,$AB211=""),"計算額が下限以下のため不支給／",""))</f>
        <v/>
      </c>
      <c r="AL211" s="12" t="n"/>
      <c r="AM211" s="14">
        <f>IF($AD211="保留中",COUNTIF($AD$6:$AD211,"保留中"),"")</f>
        <v/>
      </c>
      <c r="AN211" s="14">
        <f>IF($AO211="","",IF(SUMPRODUCT(MAX((職員マスタ!$A$6:$A$405=$B211)*(((職員マスタ!$G$6:$G$405="")+(職員マスタ!$G$6:$G$405&lt;=EOMONTH($AO211,0)))&gt;0)*(((職員マスタ!$H$6:$H$405="")+(職員マスタ!$H$6:$H$405&gt;=$AO211))&gt;0)*(ROW(職員マスタ!$A$6:$A$405)-5)))&gt;0,SUMPRODUCT(MAX((職員マスタ!$A$6:$A$405=$B211)*(((職員マスタ!$G$6:$G$405="")+(職員マスタ!$G$6:$G$405&lt;=EOMONTH($AO211,0)))&gt;0)*(((職員マスタ!$H$6:$H$405="")+(職員マスタ!$H$6:$H$405&gt;=$AO211))&gt;0)*(ROW(職員マスタ!$A$6:$A$405)-5))),IFERROR(MATCH($B211,職員マスタ!$A$6:$A$405,0),"")))</f>
        <v/>
      </c>
      <c r="AO211" s="16">
        <f>IF(OR($B211="",$C211="",$D211=""),"",DATE($C211+2018,$D211,1))</f>
        <v/>
      </c>
    </row>
    <row r="212">
      <c r="A212" s="11" t="n"/>
      <c r="B212" s="12" t="n">
        <v>6403208</v>
      </c>
      <c r="C212" s="12" t="n">
        <v>7</v>
      </c>
      <c r="D212" s="12" t="n">
        <v>12</v>
      </c>
      <c r="E212" s="13" t="n">
        <v>225383</v>
      </c>
      <c r="F212" s="12" t="n"/>
      <c r="G212" s="13" t="n"/>
      <c r="H212" s="12" t="n"/>
      <c r="I212" s="12" t="n"/>
      <c r="J212" s="12" t="n"/>
      <c r="K212" s="12" t="n"/>
      <c r="L212" s="11" t="n"/>
      <c r="M212" s="11" t="n"/>
      <c r="N212" s="11" t="n"/>
      <c r="O212" s="11" t="n"/>
      <c r="P212" s="12" t="n"/>
      <c r="Q212" s="11" t="n"/>
      <c r="R212" s="12" t="n"/>
      <c r="S212" s="11" t="n"/>
      <c r="T212" s="12" t="n"/>
      <c r="U212" s="12" t="n"/>
      <c r="V212" s="14">
        <f>IF($AN212="",IF($B212="","",$H212),IF(INDEX(職員マスタ!$B$6:$B$405,$AN212)="",$H212,INDEX(職員マスタ!$B$6:$B$405,$AN212)))</f>
        <v/>
      </c>
      <c r="W212" s="14">
        <f>IF($AN212="",IF($B212="","",$R212),IF(INDEX(職員マスタ!$C$6:$C$405,$AN212)="",$R212,INDEX(職員マスタ!$C$6:$C$405,$AN212)))</f>
        <v/>
      </c>
      <c r="X212" s="14">
        <f>IF($AO212="","","R"&amp;$C212&amp;"."&amp;$D212)</f>
        <v/>
      </c>
      <c r="Y212" s="15">
        <f>IF($AN212="","",IF(INDEX(職員マスタ!$K$6:$K$405,$AN212)="","",INDEX(職員マスタ!$K$6:$K$405,$AN212)))</f>
        <v/>
      </c>
      <c r="Z212" s="14">
        <f>IF(OR($E212="",$Y212=""),"",IF($E212&gt;=$Y212,"×",IF($E212&gt;=$Y212*設定!$C$5,"△","○")))</f>
        <v/>
      </c>
      <c r="AA212" s="15">
        <f>IF($Z212="","",IF($Z212="×",0,IF($Z212="○",ROUNDDOWN($E212*設定!$C$4,0),ROUNDDOWN($E212*ROUND((9*$Y212-9*$E212)/(10*$E212),4),0))))</f>
        <v/>
      </c>
      <c r="AB212" s="13" t="n"/>
      <c r="AC212" s="15">
        <f>IF($B212="","",IF($AB212&lt;&gt;"",$AB212,IF($AA212="","",IF($AA212&lt;=設定!$C$3,0,$AA212))))</f>
        <v/>
      </c>
      <c r="AD212" s="14">
        <f>IF($B212="","",IF(AND($AE212&lt;&gt;"",$AG212="",$AJ212=""),"保留中",IF($AJ212&lt;&gt;"",IF(N($AC212)&gt;0,"支給済","不支給"),IF($AC212="","要確認",IF($AC212=0,"不支給","未処理")))))</f>
        <v/>
      </c>
      <c r="AE212" s="12" t="n"/>
      <c r="AF212" s="11" t="n"/>
      <c r="AG212" s="11" t="n"/>
      <c r="AH212" s="11" t="n"/>
      <c r="AI212" s="14">
        <f>IF(AND($AD212="保留中",$AF212&lt;&gt;""),TODAY()-$AF212,"")</f>
        <v/>
      </c>
      <c r="AJ212" s="12" t="inlineStr">
        <is>
          <t>R8.2</t>
        </is>
      </c>
      <c r="AK212" s="14">
        <f>IF($B212="","",IF($AO212="","対象年月が未入力／","")&amp;IF($B212="","",IF($AN212="","職員マスタに未登録の職員番号／",IF($Y212="","標準報酬月額が未登録／","")&amp;IF(AND($AO212&lt;&gt;"",OR(AND(INDEX(職員マスタ!$G$6:$G$405,$AN212)&lt;&gt;"",INDEX(職員マスタ!$G$6:$G$405,$AN212)&gt;EOMONTH($AO212,0)),AND(INDEX(職員マスタ!$H$6:$H$405,$AN212)&lt;&gt;"",INDEX(職員マスタ!$H$6:$H$405,$AN212)&lt;$AO212))),"対象月が時短期間外／","")&amp;IF(AND(INDEX(職員マスタ!$F$6:$F$405,$AN212)&lt;&gt;"",$AO212&lt;&gt;"",INDEX(職員マスタ!$F$6:$F$405,$AN212)&lt;$AO212),"対象月に子が2歳到達済／","")&amp;IF(AND($H212&lt;&gt;"",INDEX(職員マスタ!$B$6:$B$405,$AN212)&lt;&gt;"",SUBSTITUTE(SUBSTITUTE($H212," ","")," ","")&lt;&gt;SUBSTITUTE(SUBSTITUTE(INDEX(職員マスタ!$B$6:$B$405,$AN212)," ","")," ","")),"氏名がマスタと相違／","")&amp;IF(AND($Q212&lt;&gt;"",INDEX(職員マスタ!$E$6:$E$405,$AN212)&lt;&gt;"",$Q212&lt;&gt;INDEX(職員マスタ!$E$6:$E$405,$AN212)),"子の生年月日がマスタと相違／","")&amp;IF(AND($L212&lt;&gt;"",INDEX(職員マスタ!$G$6:$G$405,$AN212)&lt;&gt;"",$L212&lt;&gt;INDEX(職員マスタ!$G$6:$G$405,$AN212)),"時短開始日がマスタと相違／","")&amp;IF(AND($M212&lt;&gt;"",INDEX(職員マスタ!$H$6:$H$405,$AN212)&lt;&gt;"",$M212&lt;&gt;INDEX(職員マスタ!$H$6:$H$405,$AN212)),"時短終了日がマスタと相違／","")))&amp;IF(AND($B212&lt;&gt;"",$E212=""),"報酬額が未入力／","")&amp;IF(N($U212)&gt;0,"申請書に入力エラーが残っています／","")&amp;IF(AND($B212&lt;&gt;"",$AO212&lt;&gt;""),IF(COUNTIFS($B$6:$B$3005,$B212,$C$6:$C$3005,$C212,$D$6:$D$3005,$D212)&gt;1,"同じ月の請求が重複しています／",""),"")&amp;IF(AND(N($E212)&gt;0,$Z212&lt;&gt;"",$Z212&lt;&gt;"×",$AC212=0,$AB212=""),"計算額が下限以下のため不支給／",""))</f>
        <v/>
      </c>
      <c r="AL212" s="12" t="n"/>
      <c r="AM212" s="14">
        <f>IF($AD212="保留中",COUNTIF($AD$6:$AD212,"保留中"),"")</f>
        <v/>
      </c>
      <c r="AN212" s="14">
        <f>IF($AO212="","",IF(SUMPRODUCT(MAX((職員マスタ!$A$6:$A$405=$B212)*(((職員マスタ!$G$6:$G$405="")+(職員マスタ!$G$6:$G$405&lt;=EOMONTH($AO212,0)))&gt;0)*(((職員マスタ!$H$6:$H$405="")+(職員マスタ!$H$6:$H$405&gt;=$AO212))&gt;0)*(ROW(職員マスタ!$A$6:$A$405)-5)))&gt;0,SUMPRODUCT(MAX((職員マスタ!$A$6:$A$405=$B212)*(((職員マスタ!$G$6:$G$405="")+(職員マスタ!$G$6:$G$405&lt;=EOMONTH($AO212,0)))&gt;0)*(((職員マスタ!$H$6:$H$405="")+(職員マスタ!$H$6:$H$405&gt;=$AO212))&gt;0)*(ROW(職員マスタ!$A$6:$A$405)-5))),IFERROR(MATCH($B212,職員マスタ!$A$6:$A$405,0),"")))</f>
        <v/>
      </c>
      <c r="AO212" s="16">
        <f>IF(OR($B212="",$C212="",$D212=""),"",DATE($C212+2018,$D212,1))</f>
        <v/>
      </c>
    </row>
    <row r="213">
      <c r="A213" s="11" t="n"/>
      <c r="B213" s="12" t="n">
        <v>6403208</v>
      </c>
      <c r="C213" s="12" t="n">
        <v>8</v>
      </c>
      <c r="D213" s="12" t="n">
        <v>1</v>
      </c>
      <c r="E213" s="13" t="n">
        <v>229865</v>
      </c>
      <c r="F213" s="12" t="n"/>
      <c r="G213" s="13" t="n"/>
      <c r="H213" s="12" t="n"/>
      <c r="I213" s="12" t="n"/>
      <c r="J213" s="12" t="n"/>
      <c r="K213" s="12" t="n"/>
      <c r="L213" s="11" t="n"/>
      <c r="M213" s="11" t="n"/>
      <c r="N213" s="11" t="n"/>
      <c r="O213" s="11" t="n"/>
      <c r="P213" s="12" t="n"/>
      <c r="Q213" s="11" t="n"/>
      <c r="R213" s="12" t="n"/>
      <c r="S213" s="11" t="n"/>
      <c r="T213" s="12" t="n"/>
      <c r="U213" s="12" t="n"/>
      <c r="V213" s="14">
        <f>IF($AN213="",IF($B213="","",$H213),IF(INDEX(職員マスタ!$B$6:$B$405,$AN213)="",$H213,INDEX(職員マスタ!$B$6:$B$405,$AN213)))</f>
        <v/>
      </c>
      <c r="W213" s="14">
        <f>IF($AN213="",IF($B213="","",$R213),IF(INDEX(職員マスタ!$C$6:$C$405,$AN213)="",$R213,INDEX(職員マスタ!$C$6:$C$405,$AN213)))</f>
        <v/>
      </c>
      <c r="X213" s="14">
        <f>IF($AO213="","","R"&amp;$C213&amp;"."&amp;$D213)</f>
        <v/>
      </c>
      <c r="Y213" s="15">
        <f>IF($AN213="","",IF(INDEX(職員マスタ!$K$6:$K$405,$AN213)="","",INDEX(職員マスタ!$K$6:$K$405,$AN213)))</f>
        <v/>
      </c>
      <c r="Z213" s="14">
        <f>IF(OR($E213="",$Y213=""),"",IF($E213&gt;=$Y213,"×",IF($E213&gt;=$Y213*設定!$C$5,"△","○")))</f>
        <v/>
      </c>
      <c r="AA213" s="15">
        <f>IF($Z213="","",IF($Z213="×",0,IF($Z213="○",ROUNDDOWN($E213*設定!$C$4,0),ROUNDDOWN($E213*ROUND((9*$Y213-9*$E213)/(10*$E213),4),0))))</f>
        <v/>
      </c>
      <c r="AB213" s="13" t="n"/>
      <c r="AC213" s="15">
        <f>IF($B213="","",IF($AB213&lt;&gt;"",$AB213,IF($AA213="","",IF($AA213&lt;=設定!$C$3,0,$AA213))))</f>
        <v/>
      </c>
      <c r="AD213" s="14">
        <f>IF($B213="","",IF(AND($AE213&lt;&gt;"",$AG213="",$AJ213=""),"保留中",IF($AJ213&lt;&gt;"",IF(N($AC213)&gt;0,"支給済","不支給"),IF($AC213="","要確認",IF($AC213=0,"不支給","未処理")))))</f>
        <v/>
      </c>
      <c r="AE213" s="12" t="n"/>
      <c r="AF213" s="11" t="n"/>
      <c r="AG213" s="11" t="n"/>
      <c r="AH213" s="11" t="n"/>
      <c r="AI213" s="14">
        <f>IF(AND($AD213="保留中",$AF213&lt;&gt;""),TODAY()-$AF213,"")</f>
        <v/>
      </c>
      <c r="AJ213" s="12" t="inlineStr">
        <is>
          <t>R8.3</t>
        </is>
      </c>
      <c r="AK213" s="14">
        <f>IF($B213="","",IF($AO213="","対象年月が未入力／","")&amp;IF($B213="","",IF($AN213="","職員マスタに未登録の職員番号／",IF($Y213="","標準報酬月額が未登録／","")&amp;IF(AND($AO213&lt;&gt;"",OR(AND(INDEX(職員マスタ!$G$6:$G$405,$AN213)&lt;&gt;"",INDEX(職員マスタ!$G$6:$G$405,$AN213)&gt;EOMONTH($AO213,0)),AND(INDEX(職員マスタ!$H$6:$H$405,$AN213)&lt;&gt;"",INDEX(職員マスタ!$H$6:$H$405,$AN213)&lt;$AO213))),"対象月が時短期間外／","")&amp;IF(AND(INDEX(職員マスタ!$F$6:$F$405,$AN213)&lt;&gt;"",$AO213&lt;&gt;"",INDEX(職員マスタ!$F$6:$F$405,$AN213)&lt;$AO213),"対象月に子が2歳到達済／","")&amp;IF(AND($H213&lt;&gt;"",INDEX(職員マスタ!$B$6:$B$405,$AN213)&lt;&gt;"",SUBSTITUTE(SUBSTITUTE($H213," ","")," ","")&lt;&gt;SUBSTITUTE(SUBSTITUTE(INDEX(職員マスタ!$B$6:$B$405,$AN213)," ","")," ","")),"氏名がマスタと相違／","")&amp;IF(AND($Q213&lt;&gt;"",INDEX(職員マスタ!$E$6:$E$405,$AN213)&lt;&gt;"",$Q213&lt;&gt;INDEX(職員マスタ!$E$6:$E$405,$AN213)),"子の生年月日がマスタと相違／","")&amp;IF(AND($L213&lt;&gt;"",INDEX(職員マスタ!$G$6:$G$405,$AN213)&lt;&gt;"",$L213&lt;&gt;INDEX(職員マスタ!$G$6:$G$405,$AN213)),"時短開始日がマスタと相違／","")&amp;IF(AND($M213&lt;&gt;"",INDEX(職員マスタ!$H$6:$H$405,$AN213)&lt;&gt;"",$M213&lt;&gt;INDEX(職員マスタ!$H$6:$H$405,$AN213)),"時短終了日がマスタと相違／","")))&amp;IF(AND($B213&lt;&gt;"",$E213=""),"報酬額が未入力／","")&amp;IF(N($U213)&gt;0,"申請書に入力エラーが残っています／","")&amp;IF(AND($B213&lt;&gt;"",$AO213&lt;&gt;""),IF(COUNTIFS($B$6:$B$3005,$B213,$C$6:$C$3005,$C213,$D$6:$D$3005,$D213)&gt;1,"同じ月の請求が重複しています／",""),"")&amp;IF(AND(N($E213)&gt;0,$Z213&lt;&gt;"",$Z213&lt;&gt;"×",$AC213=0,$AB213=""),"計算額が下限以下のため不支給／",""))</f>
        <v/>
      </c>
      <c r="AL213" s="12" t="n"/>
      <c r="AM213" s="14">
        <f>IF($AD213="保留中",COUNTIF($AD$6:$AD213,"保留中"),"")</f>
        <v/>
      </c>
      <c r="AN213" s="14">
        <f>IF($AO213="","",IF(SUMPRODUCT(MAX((職員マスタ!$A$6:$A$405=$B213)*(((職員マスタ!$G$6:$G$405="")+(職員マスタ!$G$6:$G$405&lt;=EOMONTH($AO213,0)))&gt;0)*(((職員マスタ!$H$6:$H$405="")+(職員マスタ!$H$6:$H$405&gt;=$AO213))&gt;0)*(ROW(職員マスタ!$A$6:$A$405)-5)))&gt;0,SUMPRODUCT(MAX((職員マスタ!$A$6:$A$405=$B213)*(((職員マスタ!$G$6:$G$405="")+(職員マスタ!$G$6:$G$405&lt;=EOMONTH($AO213,0)))&gt;0)*(((職員マスタ!$H$6:$H$405="")+(職員マスタ!$H$6:$H$405&gt;=$AO213))&gt;0)*(ROW(職員マスタ!$A$6:$A$405)-5))),IFERROR(MATCH($B213,職員マスタ!$A$6:$A$405,0),"")))</f>
        <v/>
      </c>
      <c r="AO213" s="16">
        <f>IF(OR($B213="",$C213="",$D213=""),"",DATE($C213+2018,$D213,1))</f>
        <v/>
      </c>
    </row>
    <row r="214">
      <c r="A214" s="11" t="n"/>
      <c r="B214" s="12" t="n">
        <v>6403208</v>
      </c>
      <c r="C214" s="12" t="n">
        <v>8</v>
      </c>
      <c r="D214" s="12" t="n">
        <v>2</v>
      </c>
      <c r="E214" s="13" t="n">
        <v>229865</v>
      </c>
      <c r="F214" s="12" t="n"/>
      <c r="G214" s="13" t="n"/>
      <c r="H214" s="12" t="n"/>
      <c r="I214" s="12" t="n"/>
      <c r="J214" s="12" t="n"/>
      <c r="K214" s="12" t="n"/>
      <c r="L214" s="11" t="n"/>
      <c r="M214" s="11" t="n"/>
      <c r="N214" s="11" t="n"/>
      <c r="O214" s="11" t="n"/>
      <c r="P214" s="12" t="n"/>
      <c r="Q214" s="11" t="n"/>
      <c r="R214" s="12" t="n"/>
      <c r="S214" s="11" t="n"/>
      <c r="T214" s="12" t="n"/>
      <c r="U214" s="12" t="n"/>
      <c r="V214" s="14">
        <f>IF($AN214="",IF($B214="","",$H214),IF(INDEX(職員マスタ!$B$6:$B$405,$AN214)="",$H214,INDEX(職員マスタ!$B$6:$B$405,$AN214)))</f>
        <v/>
      </c>
      <c r="W214" s="14">
        <f>IF($AN214="",IF($B214="","",$R214),IF(INDEX(職員マスタ!$C$6:$C$405,$AN214)="",$R214,INDEX(職員マスタ!$C$6:$C$405,$AN214)))</f>
        <v/>
      </c>
      <c r="X214" s="14">
        <f>IF($AO214="","","R"&amp;$C214&amp;"."&amp;$D214)</f>
        <v/>
      </c>
      <c r="Y214" s="15">
        <f>IF($AN214="","",IF(INDEX(職員マスタ!$K$6:$K$405,$AN214)="","",INDEX(職員マスタ!$K$6:$K$405,$AN214)))</f>
        <v/>
      </c>
      <c r="Z214" s="14">
        <f>IF(OR($E214="",$Y214=""),"",IF($E214&gt;=$Y214,"×",IF($E214&gt;=$Y214*設定!$C$5,"△","○")))</f>
        <v/>
      </c>
      <c r="AA214" s="15">
        <f>IF($Z214="","",IF($Z214="×",0,IF($Z214="○",ROUNDDOWN($E214*設定!$C$4,0),ROUNDDOWN($E214*ROUND((9*$Y214-9*$E214)/(10*$E214),4),0))))</f>
        <v/>
      </c>
      <c r="AB214" s="13" t="n"/>
      <c r="AC214" s="15">
        <f>IF($B214="","",IF($AB214&lt;&gt;"",$AB214,IF($AA214="","",IF($AA214&lt;=設定!$C$3,0,$AA214))))</f>
        <v/>
      </c>
      <c r="AD214" s="14">
        <f>IF($B214="","",IF(AND($AE214&lt;&gt;"",$AG214="",$AJ214=""),"保留中",IF($AJ214&lt;&gt;"",IF(N($AC214)&gt;0,"支給済","不支給"),IF($AC214="","要確認",IF($AC214=0,"不支給","未処理")))))</f>
        <v/>
      </c>
      <c r="AE214" s="12" t="n"/>
      <c r="AF214" s="11" t="n"/>
      <c r="AG214" s="11" t="n"/>
      <c r="AH214" s="11" t="n"/>
      <c r="AI214" s="14">
        <f>IF(AND($AD214="保留中",$AF214&lt;&gt;""),TODAY()-$AF214,"")</f>
        <v/>
      </c>
      <c r="AJ214" s="12" t="inlineStr">
        <is>
          <t>R8.4</t>
        </is>
      </c>
      <c r="AK214" s="14">
        <f>IF($B214="","",IF($AO214="","対象年月が未入力／","")&amp;IF($B214="","",IF($AN214="","職員マスタに未登録の職員番号／",IF($Y214="","標準報酬月額が未登録／","")&amp;IF(AND($AO214&lt;&gt;"",OR(AND(INDEX(職員マスタ!$G$6:$G$405,$AN214)&lt;&gt;"",INDEX(職員マスタ!$G$6:$G$405,$AN214)&gt;EOMONTH($AO214,0)),AND(INDEX(職員マスタ!$H$6:$H$405,$AN214)&lt;&gt;"",INDEX(職員マスタ!$H$6:$H$405,$AN214)&lt;$AO214))),"対象月が時短期間外／","")&amp;IF(AND(INDEX(職員マスタ!$F$6:$F$405,$AN214)&lt;&gt;"",$AO214&lt;&gt;"",INDEX(職員マスタ!$F$6:$F$405,$AN214)&lt;$AO214),"対象月に子が2歳到達済／","")&amp;IF(AND($H214&lt;&gt;"",INDEX(職員マスタ!$B$6:$B$405,$AN214)&lt;&gt;"",SUBSTITUTE(SUBSTITUTE($H214," ","")," ","")&lt;&gt;SUBSTITUTE(SUBSTITUTE(INDEX(職員マスタ!$B$6:$B$405,$AN214)," ","")," ","")),"氏名がマスタと相違／","")&amp;IF(AND($Q214&lt;&gt;"",INDEX(職員マスタ!$E$6:$E$405,$AN214)&lt;&gt;"",$Q214&lt;&gt;INDEX(職員マスタ!$E$6:$E$405,$AN214)),"子の生年月日がマスタと相違／","")&amp;IF(AND($L214&lt;&gt;"",INDEX(職員マスタ!$G$6:$G$405,$AN214)&lt;&gt;"",$L214&lt;&gt;INDEX(職員マスタ!$G$6:$G$405,$AN214)),"時短開始日がマスタと相違／","")&amp;IF(AND($M214&lt;&gt;"",INDEX(職員マスタ!$H$6:$H$405,$AN214)&lt;&gt;"",$M214&lt;&gt;INDEX(職員マスタ!$H$6:$H$405,$AN214)),"時短終了日がマスタと相違／","")))&amp;IF(AND($B214&lt;&gt;"",$E214=""),"報酬額が未入力／","")&amp;IF(N($U214)&gt;0,"申請書に入力エラーが残っています／","")&amp;IF(AND($B214&lt;&gt;"",$AO214&lt;&gt;""),IF(COUNTIFS($B$6:$B$3005,$B214,$C$6:$C$3005,$C214,$D$6:$D$3005,$D214)&gt;1,"同じ月の請求が重複しています／",""),"")&amp;IF(AND(N($E214)&gt;0,$Z214&lt;&gt;"",$Z214&lt;&gt;"×",$AC214=0,$AB214=""),"計算額が下限以下のため不支給／",""))</f>
        <v/>
      </c>
      <c r="AL214" s="12" t="n"/>
      <c r="AM214" s="14">
        <f>IF($AD214="保留中",COUNTIF($AD$6:$AD214,"保留中"),"")</f>
        <v/>
      </c>
      <c r="AN214" s="14">
        <f>IF($AO214="","",IF(SUMPRODUCT(MAX((職員マスタ!$A$6:$A$405=$B214)*(((職員マスタ!$G$6:$G$405="")+(職員マスタ!$G$6:$G$405&lt;=EOMONTH($AO214,0)))&gt;0)*(((職員マスタ!$H$6:$H$405="")+(職員マスタ!$H$6:$H$405&gt;=$AO214))&gt;0)*(ROW(職員マスタ!$A$6:$A$405)-5)))&gt;0,SUMPRODUCT(MAX((職員マスタ!$A$6:$A$405=$B214)*(((職員マスタ!$G$6:$G$405="")+(職員マスタ!$G$6:$G$405&lt;=EOMONTH($AO214,0)))&gt;0)*(((職員マスタ!$H$6:$H$405="")+(職員マスタ!$H$6:$H$405&gt;=$AO214))&gt;0)*(ROW(職員マスタ!$A$6:$A$405)-5))),IFERROR(MATCH($B214,職員マスタ!$A$6:$A$405,0),"")))</f>
        <v/>
      </c>
      <c r="AO214" s="16">
        <f>IF(OR($B214="",$C214="",$D214=""),"",DATE($C214+2018,$D214,1))</f>
        <v/>
      </c>
    </row>
    <row r="215">
      <c r="A215" s="11" t="n"/>
      <c r="B215" s="12" t="n">
        <v>6403281</v>
      </c>
      <c r="C215" s="12" t="n">
        <v>8</v>
      </c>
      <c r="D215" s="12" t="n">
        <v>5</v>
      </c>
      <c r="E215" s="13" t="n">
        <v>213933</v>
      </c>
      <c r="F215" s="12" t="n"/>
      <c r="G215" s="13" t="n"/>
      <c r="H215" s="12" t="n"/>
      <c r="I215" s="12" t="n"/>
      <c r="J215" s="12" t="n"/>
      <c r="K215" s="12" t="n"/>
      <c r="L215" s="11" t="n"/>
      <c r="M215" s="11" t="n"/>
      <c r="N215" s="11" t="n"/>
      <c r="O215" s="11" t="n"/>
      <c r="P215" s="12" t="n"/>
      <c r="Q215" s="11" t="n"/>
      <c r="R215" s="12" t="n"/>
      <c r="S215" s="11" t="n"/>
      <c r="T215" s="12" t="n"/>
      <c r="U215" s="12" t="n"/>
      <c r="V215" s="14">
        <f>IF($AN215="",IF($B215="","",$H215),IF(INDEX(職員マスタ!$B$6:$B$405,$AN215)="",$H215,INDEX(職員マスタ!$B$6:$B$405,$AN215)))</f>
        <v/>
      </c>
      <c r="W215" s="14">
        <f>IF($AN215="",IF($B215="","",$R215),IF(INDEX(職員マスタ!$C$6:$C$405,$AN215)="",$R215,INDEX(職員マスタ!$C$6:$C$405,$AN215)))</f>
        <v/>
      </c>
      <c r="X215" s="14">
        <f>IF($AO215="","","R"&amp;$C215&amp;"."&amp;$D215)</f>
        <v/>
      </c>
      <c r="Y215" s="15">
        <f>IF($AN215="","",IF(INDEX(職員マスタ!$K$6:$K$405,$AN215)="","",INDEX(職員マスタ!$K$6:$K$405,$AN215)))</f>
        <v/>
      </c>
      <c r="Z215" s="14">
        <f>IF(OR($E215="",$Y215=""),"",IF($E215&gt;=$Y215,"×",IF($E215&gt;=$Y215*設定!$C$5,"△","○")))</f>
        <v/>
      </c>
      <c r="AA215" s="15">
        <f>IF($Z215="","",IF($Z215="×",0,IF($Z215="○",ROUNDDOWN($E215*設定!$C$4,0),ROUNDDOWN($E215*ROUND((9*$Y215-9*$E215)/(10*$E215),4),0))))</f>
        <v/>
      </c>
      <c r="AB215" s="13" t="n"/>
      <c r="AC215" s="15">
        <f>IF($B215="","",IF($AB215&lt;&gt;"",$AB215,IF($AA215="","",IF($AA215&lt;=設定!$C$3,0,$AA215))))</f>
        <v/>
      </c>
      <c r="AD215" s="14">
        <f>IF($B215="","",IF(AND($AE215&lt;&gt;"",$AG215="",$AJ215=""),"保留中",IF($AJ215&lt;&gt;"",IF(N($AC215)&gt;0,"支給済","不支給"),IF($AC215="","要確認",IF($AC215=0,"不支給","未処理")))))</f>
        <v/>
      </c>
      <c r="AE215" s="12" t="n"/>
      <c r="AF215" s="11" t="n"/>
      <c r="AG215" s="11" t="n"/>
      <c r="AH215" s="11" t="n"/>
      <c r="AI215" s="14">
        <f>IF(AND($AD215="保留中",$AF215&lt;&gt;""),TODAY()-$AF215,"")</f>
        <v/>
      </c>
      <c r="AJ215" s="12" t="inlineStr">
        <is>
          <t>R8.7</t>
        </is>
      </c>
      <c r="AK215" s="14">
        <f>IF($B215="","",IF($AO215="","対象年月が未入力／","")&amp;IF($B215="","",IF($AN215="","職員マスタに未登録の職員番号／",IF($Y215="","標準報酬月額が未登録／","")&amp;IF(AND($AO215&lt;&gt;"",OR(AND(INDEX(職員マスタ!$G$6:$G$405,$AN215)&lt;&gt;"",INDEX(職員マスタ!$G$6:$G$405,$AN215)&gt;EOMONTH($AO215,0)),AND(INDEX(職員マスタ!$H$6:$H$405,$AN215)&lt;&gt;"",INDEX(職員マスタ!$H$6:$H$405,$AN215)&lt;$AO215))),"対象月が時短期間外／","")&amp;IF(AND(INDEX(職員マスタ!$F$6:$F$405,$AN215)&lt;&gt;"",$AO215&lt;&gt;"",INDEX(職員マスタ!$F$6:$F$405,$AN215)&lt;$AO215),"対象月に子が2歳到達済／","")&amp;IF(AND($H215&lt;&gt;"",INDEX(職員マスタ!$B$6:$B$405,$AN215)&lt;&gt;"",SUBSTITUTE(SUBSTITUTE($H215," ","")," ","")&lt;&gt;SUBSTITUTE(SUBSTITUTE(INDEX(職員マスタ!$B$6:$B$405,$AN215)," ","")," ","")),"氏名がマスタと相違／","")&amp;IF(AND($Q215&lt;&gt;"",INDEX(職員マスタ!$E$6:$E$405,$AN215)&lt;&gt;"",$Q215&lt;&gt;INDEX(職員マスタ!$E$6:$E$405,$AN215)),"子の生年月日がマスタと相違／","")&amp;IF(AND($L215&lt;&gt;"",INDEX(職員マスタ!$G$6:$G$405,$AN215)&lt;&gt;"",$L215&lt;&gt;INDEX(職員マスタ!$G$6:$G$405,$AN215)),"時短開始日がマスタと相違／","")&amp;IF(AND($M215&lt;&gt;"",INDEX(職員マスタ!$H$6:$H$405,$AN215)&lt;&gt;"",$M215&lt;&gt;INDEX(職員マスタ!$H$6:$H$405,$AN215)),"時短終了日がマスタと相違／","")))&amp;IF(AND($B215&lt;&gt;"",$E215=""),"報酬額が未入力／","")&amp;IF(N($U215)&gt;0,"申請書に入力エラーが残っています／","")&amp;IF(AND($B215&lt;&gt;"",$AO215&lt;&gt;""),IF(COUNTIFS($B$6:$B$3005,$B215,$C$6:$C$3005,$C215,$D$6:$D$3005,$D215)&gt;1,"同じ月の請求が重複しています／",""),"")&amp;IF(AND(N($E215)&gt;0,$Z215&lt;&gt;"",$Z215&lt;&gt;"×",$AC215=0,$AB215=""),"計算額が下限以下のため不支給／",""))</f>
        <v/>
      </c>
      <c r="AL215" s="12" t="n"/>
      <c r="AM215" s="14">
        <f>IF($AD215="保留中",COUNTIF($AD$6:$AD215,"保留中"),"")</f>
        <v/>
      </c>
      <c r="AN215" s="14">
        <f>IF($AO215="","",IF(SUMPRODUCT(MAX((職員マスタ!$A$6:$A$405=$B215)*(((職員マスタ!$G$6:$G$405="")+(職員マスタ!$G$6:$G$405&lt;=EOMONTH($AO215,0)))&gt;0)*(((職員マスタ!$H$6:$H$405="")+(職員マスタ!$H$6:$H$405&gt;=$AO215))&gt;0)*(ROW(職員マスタ!$A$6:$A$405)-5)))&gt;0,SUMPRODUCT(MAX((職員マスタ!$A$6:$A$405=$B215)*(((職員マスタ!$G$6:$G$405="")+(職員マスタ!$G$6:$G$405&lt;=EOMONTH($AO215,0)))&gt;0)*(((職員マスタ!$H$6:$H$405="")+(職員マスタ!$H$6:$H$405&gt;=$AO215))&gt;0)*(ROW(職員マスタ!$A$6:$A$405)-5))),IFERROR(MATCH($B215,職員マスタ!$A$6:$A$405,0),"")))</f>
        <v/>
      </c>
      <c r="AO215" s="16">
        <f>IF(OR($B215="",$C215="",$D215=""),"",DATE($C215+2018,$D215,1))</f>
        <v/>
      </c>
    </row>
    <row r="216">
      <c r="A216" s="11" t="n"/>
      <c r="B216" s="12" t="n">
        <v>6403349</v>
      </c>
      <c r="C216" s="12" t="n">
        <v>7</v>
      </c>
      <c r="D216" s="12" t="n">
        <v>4</v>
      </c>
      <c r="E216" s="13" t="n">
        <v>228710</v>
      </c>
      <c r="F216" s="12" t="n"/>
      <c r="G216" s="13" t="n"/>
      <c r="H216" s="12" t="n"/>
      <c r="I216" s="12" t="n"/>
      <c r="J216" s="12" t="n"/>
      <c r="K216" s="12" t="n"/>
      <c r="L216" s="11" t="n"/>
      <c r="M216" s="11" t="n"/>
      <c r="N216" s="11" t="n"/>
      <c r="O216" s="11" t="n"/>
      <c r="P216" s="12" t="n"/>
      <c r="Q216" s="11" t="n"/>
      <c r="R216" s="12" t="n"/>
      <c r="S216" s="11" t="n"/>
      <c r="T216" s="12" t="n"/>
      <c r="U216" s="12" t="n"/>
      <c r="V216" s="14">
        <f>IF($AN216="",IF($B216="","",$H216),IF(INDEX(職員マスタ!$B$6:$B$405,$AN216)="",$H216,INDEX(職員マスタ!$B$6:$B$405,$AN216)))</f>
        <v/>
      </c>
      <c r="W216" s="14">
        <f>IF($AN216="",IF($B216="","",$R216),IF(INDEX(職員マスタ!$C$6:$C$405,$AN216)="",$R216,INDEX(職員マスタ!$C$6:$C$405,$AN216)))</f>
        <v/>
      </c>
      <c r="X216" s="14">
        <f>IF($AO216="","","R"&amp;$C216&amp;"."&amp;$D216)</f>
        <v/>
      </c>
      <c r="Y216" s="15">
        <f>IF($AN216="","",IF(INDEX(職員マスタ!$K$6:$K$405,$AN216)="","",INDEX(職員マスタ!$K$6:$K$405,$AN216)))</f>
        <v/>
      </c>
      <c r="Z216" s="14">
        <f>IF(OR($E216="",$Y216=""),"",IF($E216&gt;=$Y216,"×",IF($E216&gt;=$Y216*設定!$C$5,"△","○")))</f>
        <v/>
      </c>
      <c r="AA216" s="15">
        <f>IF($Z216="","",IF($Z216="×",0,IF($Z216="○",ROUNDDOWN($E216*設定!$C$4,0),ROUNDDOWN($E216*ROUND((9*$Y216-9*$E216)/(10*$E216),4),0))))</f>
        <v/>
      </c>
      <c r="AB216" s="13" t="n"/>
      <c r="AC216" s="15">
        <f>IF($B216="","",IF($AB216&lt;&gt;"",$AB216,IF($AA216="","",IF($AA216&lt;=設定!$C$3,0,$AA216))))</f>
        <v/>
      </c>
      <c r="AD216" s="14">
        <f>IF($B216="","",IF(AND($AE216&lt;&gt;"",$AG216="",$AJ216=""),"保留中",IF($AJ216&lt;&gt;"",IF(N($AC216)&gt;0,"支給済","不支給"),IF($AC216="","要確認",IF($AC216=0,"不支給","未処理")))))</f>
        <v/>
      </c>
      <c r="AE216" s="12" t="n"/>
      <c r="AF216" s="11" t="n"/>
      <c r="AG216" s="11" t="n"/>
      <c r="AH216" s="11" t="n"/>
      <c r="AI216" s="14">
        <f>IF(AND($AD216="保留中",$AF216&lt;&gt;""),TODAY()-$AF216,"")</f>
        <v/>
      </c>
      <c r="AJ216" s="12" t="inlineStr">
        <is>
          <t>R7.8</t>
        </is>
      </c>
      <c r="AK216" s="14">
        <f>IF($B216="","",IF($AO216="","対象年月が未入力／","")&amp;IF($B216="","",IF($AN216="","職員マスタに未登録の職員番号／",IF($Y216="","標準報酬月額が未登録／","")&amp;IF(AND($AO216&lt;&gt;"",OR(AND(INDEX(職員マスタ!$G$6:$G$405,$AN216)&lt;&gt;"",INDEX(職員マスタ!$G$6:$G$405,$AN216)&gt;EOMONTH($AO216,0)),AND(INDEX(職員マスタ!$H$6:$H$405,$AN216)&lt;&gt;"",INDEX(職員マスタ!$H$6:$H$405,$AN216)&lt;$AO216))),"対象月が時短期間外／","")&amp;IF(AND(INDEX(職員マスタ!$F$6:$F$405,$AN216)&lt;&gt;"",$AO216&lt;&gt;"",INDEX(職員マスタ!$F$6:$F$405,$AN216)&lt;$AO216),"対象月に子が2歳到達済／","")&amp;IF(AND($H216&lt;&gt;"",INDEX(職員マスタ!$B$6:$B$405,$AN216)&lt;&gt;"",SUBSTITUTE(SUBSTITUTE($H216," ","")," ","")&lt;&gt;SUBSTITUTE(SUBSTITUTE(INDEX(職員マスタ!$B$6:$B$405,$AN216)," ","")," ","")),"氏名がマスタと相違／","")&amp;IF(AND($Q216&lt;&gt;"",INDEX(職員マスタ!$E$6:$E$405,$AN216)&lt;&gt;"",$Q216&lt;&gt;INDEX(職員マスタ!$E$6:$E$405,$AN216)),"子の生年月日がマスタと相違／","")&amp;IF(AND($L216&lt;&gt;"",INDEX(職員マスタ!$G$6:$G$405,$AN216)&lt;&gt;"",$L216&lt;&gt;INDEX(職員マスタ!$G$6:$G$405,$AN216)),"時短開始日がマスタと相違／","")&amp;IF(AND($M216&lt;&gt;"",INDEX(職員マスタ!$H$6:$H$405,$AN216)&lt;&gt;"",$M216&lt;&gt;INDEX(職員マスタ!$H$6:$H$405,$AN216)),"時短終了日がマスタと相違／","")))&amp;IF(AND($B216&lt;&gt;"",$E216=""),"報酬額が未入力／","")&amp;IF(N($U216)&gt;0,"申請書に入力エラーが残っています／","")&amp;IF(AND($B216&lt;&gt;"",$AO216&lt;&gt;""),IF(COUNTIFS($B$6:$B$3005,$B216,$C$6:$C$3005,$C216,$D$6:$D$3005,$D216)&gt;1,"同じ月の請求が重複しています／",""),"")&amp;IF(AND(N($E216)&gt;0,$Z216&lt;&gt;"",$Z216&lt;&gt;"×",$AC216=0,$AB216=""),"計算額が下限以下のため不支給／",""))</f>
        <v/>
      </c>
      <c r="AL216" s="12" t="n"/>
      <c r="AM216" s="14">
        <f>IF($AD216="保留中",COUNTIF($AD$6:$AD216,"保留中"),"")</f>
        <v/>
      </c>
      <c r="AN216" s="14">
        <f>IF($AO216="","",IF(SUMPRODUCT(MAX((職員マスタ!$A$6:$A$405=$B216)*(((職員マスタ!$G$6:$G$405="")+(職員マスタ!$G$6:$G$405&lt;=EOMONTH($AO216,0)))&gt;0)*(((職員マスタ!$H$6:$H$405="")+(職員マスタ!$H$6:$H$405&gt;=$AO216))&gt;0)*(ROW(職員マスタ!$A$6:$A$405)-5)))&gt;0,SUMPRODUCT(MAX((職員マスタ!$A$6:$A$405=$B216)*(((職員マスタ!$G$6:$G$405="")+(職員マスタ!$G$6:$G$405&lt;=EOMONTH($AO216,0)))&gt;0)*(((職員マスタ!$H$6:$H$405="")+(職員マスタ!$H$6:$H$405&gt;=$AO216))&gt;0)*(ROW(職員マスタ!$A$6:$A$405)-5))),IFERROR(MATCH($B216,職員マスタ!$A$6:$A$405,0),"")))</f>
        <v/>
      </c>
      <c r="AO216" s="16">
        <f>IF(OR($B216="",$C216="",$D216=""),"",DATE($C216+2018,$D216,1))</f>
        <v/>
      </c>
    </row>
    <row r="217">
      <c r="A217" s="11" t="n"/>
      <c r="B217" s="12" t="n">
        <v>6403349</v>
      </c>
      <c r="C217" s="12" t="n">
        <v>7</v>
      </c>
      <c r="D217" s="12" t="n">
        <v>5</v>
      </c>
      <c r="E217" s="13" t="n">
        <v>228710</v>
      </c>
      <c r="F217" s="12" t="n"/>
      <c r="G217" s="13" t="n"/>
      <c r="H217" s="12" t="n"/>
      <c r="I217" s="12" t="n"/>
      <c r="J217" s="12" t="n"/>
      <c r="K217" s="12" t="n"/>
      <c r="L217" s="11" t="n"/>
      <c r="M217" s="11" t="n"/>
      <c r="N217" s="11" t="n"/>
      <c r="O217" s="11" t="n"/>
      <c r="P217" s="12" t="n"/>
      <c r="Q217" s="11" t="n"/>
      <c r="R217" s="12" t="n"/>
      <c r="S217" s="11" t="n"/>
      <c r="T217" s="12" t="n"/>
      <c r="U217" s="12" t="n"/>
      <c r="V217" s="14">
        <f>IF($AN217="",IF($B217="","",$H217),IF(INDEX(職員マスタ!$B$6:$B$405,$AN217)="",$H217,INDEX(職員マスタ!$B$6:$B$405,$AN217)))</f>
        <v/>
      </c>
      <c r="W217" s="14">
        <f>IF($AN217="",IF($B217="","",$R217),IF(INDEX(職員マスタ!$C$6:$C$405,$AN217)="",$R217,INDEX(職員マスタ!$C$6:$C$405,$AN217)))</f>
        <v/>
      </c>
      <c r="X217" s="14">
        <f>IF($AO217="","","R"&amp;$C217&amp;"."&amp;$D217)</f>
        <v/>
      </c>
      <c r="Y217" s="15">
        <f>IF($AN217="","",IF(INDEX(職員マスタ!$K$6:$K$405,$AN217)="","",INDEX(職員マスタ!$K$6:$K$405,$AN217)))</f>
        <v/>
      </c>
      <c r="Z217" s="14">
        <f>IF(OR($E217="",$Y217=""),"",IF($E217&gt;=$Y217,"×",IF($E217&gt;=$Y217*設定!$C$5,"△","○")))</f>
        <v/>
      </c>
      <c r="AA217" s="15">
        <f>IF($Z217="","",IF($Z217="×",0,IF($Z217="○",ROUNDDOWN($E217*設定!$C$4,0),ROUNDDOWN($E217*ROUND((9*$Y217-9*$E217)/(10*$E217),4),0))))</f>
        <v/>
      </c>
      <c r="AB217" s="13" t="n"/>
      <c r="AC217" s="15">
        <f>IF($B217="","",IF($AB217&lt;&gt;"",$AB217,IF($AA217="","",IF($AA217&lt;=設定!$C$3,0,$AA217))))</f>
        <v/>
      </c>
      <c r="AD217" s="14">
        <f>IF($B217="","",IF(AND($AE217&lt;&gt;"",$AG217="",$AJ217=""),"保留中",IF($AJ217&lt;&gt;"",IF(N($AC217)&gt;0,"支給済","不支給"),IF($AC217="","要確認",IF($AC217=0,"不支給","未処理")))))</f>
        <v/>
      </c>
      <c r="AE217" s="12" t="n"/>
      <c r="AF217" s="11" t="n"/>
      <c r="AG217" s="11" t="n"/>
      <c r="AH217" s="11" t="n"/>
      <c r="AI217" s="14">
        <f>IF(AND($AD217="保留中",$AF217&lt;&gt;""),TODAY()-$AF217,"")</f>
        <v/>
      </c>
      <c r="AJ217" s="12" t="inlineStr">
        <is>
          <t>R7.8</t>
        </is>
      </c>
      <c r="AK217" s="14">
        <f>IF($B217="","",IF($AO217="","対象年月が未入力／","")&amp;IF($B217="","",IF($AN217="","職員マスタに未登録の職員番号／",IF($Y217="","標準報酬月額が未登録／","")&amp;IF(AND($AO217&lt;&gt;"",OR(AND(INDEX(職員マスタ!$G$6:$G$405,$AN217)&lt;&gt;"",INDEX(職員マスタ!$G$6:$G$405,$AN217)&gt;EOMONTH($AO217,0)),AND(INDEX(職員マスタ!$H$6:$H$405,$AN217)&lt;&gt;"",INDEX(職員マスタ!$H$6:$H$405,$AN217)&lt;$AO217))),"対象月が時短期間外／","")&amp;IF(AND(INDEX(職員マスタ!$F$6:$F$405,$AN217)&lt;&gt;"",$AO217&lt;&gt;"",INDEX(職員マスタ!$F$6:$F$405,$AN217)&lt;$AO217),"対象月に子が2歳到達済／","")&amp;IF(AND($H217&lt;&gt;"",INDEX(職員マスタ!$B$6:$B$405,$AN217)&lt;&gt;"",SUBSTITUTE(SUBSTITUTE($H217," ","")," ","")&lt;&gt;SUBSTITUTE(SUBSTITUTE(INDEX(職員マスタ!$B$6:$B$405,$AN217)," ","")," ","")),"氏名がマスタと相違／","")&amp;IF(AND($Q217&lt;&gt;"",INDEX(職員マスタ!$E$6:$E$405,$AN217)&lt;&gt;"",$Q217&lt;&gt;INDEX(職員マスタ!$E$6:$E$405,$AN217)),"子の生年月日がマスタと相違／","")&amp;IF(AND($L217&lt;&gt;"",INDEX(職員マスタ!$G$6:$G$405,$AN217)&lt;&gt;"",$L217&lt;&gt;INDEX(職員マスタ!$G$6:$G$405,$AN217)),"時短開始日がマスタと相違／","")&amp;IF(AND($M217&lt;&gt;"",INDEX(職員マスタ!$H$6:$H$405,$AN217)&lt;&gt;"",$M217&lt;&gt;INDEX(職員マスタ!$H$6:$H$405,$AN217)),"時短終了日がマスタと相違／","")))&amp;IF(AND($B217&lt;&gt;"",$E217=""),"報酬額が未入力／","")&amp;IF(N($U217)&gt;0,"申請書に入力エラーが残っています／","")&amp;IF(AND($B217&lt;&gt;"",$AO217&lt;&gt;""),IF(COUNTIFS($B$6:$B$3005,$B217,$C$6:$C$3005,$C217,$D$6:$D$3005,$D217)&gt;1,"同じ月の請求が重複しています／",""),"")&amp;IF(AND(N($E217)&gt;0,$Z217&lt;&gt;"",$Z217&lt;&gt;"×",$AC217=0,$AB217=""),"計算額が下限以下のため不支給／",""))</f>
        <v/>
      </c>
      <c r="AL217" s="12" t="n"/>
      <c r="AM217" s="14">
        <f>IF($AD217="保留中",COUNTIF($AD$6:$AD217,"保留中"),"")</f>
        <v/>
      </c>
      <c r="AN217" s="14">
        <f>IF($AO217="","",IF(SUMPRODUCT(MAX((職員マスタ!$A$6:$A$405=$B217)*(((職員マスタ!$G$6:$G$405="")+(職員マスタ!$G$6:$G$405&lt;=EOMONTH($AO217,0)))&gt;0)*(((職員マスタ!$H$6:$H$405="")+(職員マスタ!$H$6:$H$405&gt;=$AO217))&gt;0)*(ROW(職員マスタ!$A$6:$A$405)-5)))&gt;0,SUMPRODUCT(MAX((職員マスタ!$A$6:$A$405=$B217)*(((職員マスタ!$G$6:$G$405="")+(職員マスタ!$G$6:$G$405&lt;=EOMONTH($AO217,0)))&gt;0)*(((職員マスタ!$H$6:$H$405="")+(職員マスタ!$H$6:$H$405&gt;=$AO217))&gt;0)*(ROW(職員マスタ!$A$6:$A$405)-5))),IFERROR(MATCH($B217,職員マスタ!$A$6:$A$405,0),"")))</f>
        <v/>
      </c>
      <c r="AO217" s="16">
        <f>IF(OR($B217="",$C217="",$D217=""),"",DATE($C217+2018,$D217,1))</f>
        <v/>
      </c>
    </row>
    <row r="218">
      <c r="A218" s="11" t="n"/>
      <c r="B218" s="12" t="n">
        <v>6408289</v>
      </c>
      <c r="C218" s="12" t="n">
        <v>7</v>
      </c>
      <c r="D218" s="12" t="n">
        <v>4</v>
      </c>
      <c r="E218" s="13" t="n">
        <v>313634</v>
      </c>
      <c r="F218" s="12" t="n"/>
      <c r="G218" s="13" t="n"/>
      <c r="H218" s="12" t="n"/>
      <c r="I218" s="12" t="n"/>
      <c r="J218" s="12" t="n"/>
      <c r="K218" s="12" t="n"/>
      <c r="L218" s="11" t="n"/>
      <c r="M218" s="11" t="n"/>
      <c r="N218" s="11" t="n"/>
      <c r="O218" s="11" t="n"/>
      <c r="P218" s="12" t="n"/>
      <c r="Q218" s="11" t="n"/>
      <c r="R218" s="12" t="n"/>
      <c r="S218" s="11" t="n"/>
      <c r="T218" s="12" t="n"/>
      <c r="U218" s="12" t="n"/>
      <c r="V218" s="14">
        <f>IF($AN218="",IF($B218="","",$H218),IF(INDEX(職員マスタ!$B$6:$B$405,$AN218)="",$H218,INDEX(職員マスタ!$B$6:$B$405,$AN218)))</f>
        <v/>
      </c>
      <c r="W218" s="14">
        <f>IF($AN218="",IF($B218="","",$R218),IF(INDEX(職員マスタ!$C$6:$C$405,$AN218)="",$R218,INDEX(職員マスタ!$C$6:$C$405,$AN218)))</f>
        <v/>
      </c>
      <c r="X218" s="14">
        <f>IF($AO218="","","R"&amp;$C218&amp;"."&amp;$D218)</f>
        <v/>
      </c>
      <c r="Y218" s="15">
        <f>IF($AN218="","",IF(INDEX(職員マスタ!$K$6:$K$405,$AN218)="","",INDEX(職員マスタ!$K$6:$K$405,$AN218)))</f>
        <v/>
      </c>
      <c r="Z218" s="14">
        <f>IF(OR($E218="",$Y218=""),"",IF($E218&gt;=$Y218,"×",IF($E218&gt;=$Y218*設定!$C$5,"△","○")))</f>
        <v/>
      </c>
      <c r="AA218" s="15">
        <f>IF($Z218="","",IF($Z218="×",0,IF($Z218="○",ROUNDDOWN($E218*設定!$C$4,0),ROUNDDOWN($E218*ROUND((9*$Y218-9*$E218)/(10*$E218),4),0))))</f>
        <v/>
      </c>
      <c r="AB218" s="13" t="n"/>
      <c r="AC218" s="15">
        <f>IF($B218="","",IF($AB218&lt;&gt;"",$AB218,IF($AA218="","",IF($AA218&lt;=設定!$C$3,0,$AA218))))</f>
        <v/>
      </c>
      <c r="AD218" s="14">
        <f>IF($B218="","",IF(AND($AE218&lt;&gt;"",$AG218="",$AJ218=""),"保留中",IF($AJ218&lt;&gt;"",IF(N($AC218)&gt;0,"支給済","不支給"),IF($AC218="","要確認",IF($AC218=0,"不支給","未処理")))))</f>
        <v/>
      </c>
      <c r="AE218" s="12" t="n"/>
      <c r="AF218" s="11" t="n"/>
      <c r="AG218" s="11" t="n"/>
      <c r="AH218" s="11" t="n"/>
      <c r="AI218" s="14">
        <f>IF(AND($AD218="保留中",$AF218&lt;&gt;""),TODAY()-$AF218,"")</f>
        <v/>
      </c>
      <c r="AJ218" s="12" t="inlineStr">
        <is>
          <t>R7.8</t>
        </is>
      </c>
      <c r="AK218" s="14">
        <f>IF($B218="","",IF($AO218="","対象年月が未入力／","")&amp;IF($B218="","",IF($AN218="","職員マスタに未登録の職員番号／",IF($Y218="","標準報酬月額が未登録／","")&amp;IF(AND($AO218&lt;&gt;"",OR(AND(INDEX(職員マスタ!$G$6:$G$405,$AN218)&lt;&gt;"",INDEX(職員マスタ!$G$6:$G$405,$AN218)&gt;EOMONTH($AO218,0)),AND(INDEX(職員マスタ!$H$6:$H$405,$AN218)&lt;&gt;"",INDEX(職員マスタ!$H$6:$H$405,$AN218)&lt;$AO218))),"対象月が時短期間外／","")&amp;IF(AND(INDEX(職員マスタ!$F$6:$F$405,$AN218)&lt;&gt;"",$AO218&lt;&gt;"",INDEX(職員マスタ!$F$6:$F$405,$AN218)&lt;$AO218),"対象月に子が2歳到達済／","")&amp;IF(AND($H218&lt;&gt;"",INDEX(職員マスタ!$B$6:$B$405,$AN218)&lt;&gt;"",SUBSTITUTE(SUBSTITUTE($H218," ","")," ","")&lt;&gt;SUBSTITUTE(SUBSTITUTE(INDEX(職員マスタ!$B$6:$B$405,$AN218)," ","")," ","")),"氏名がマスタと相違／","")&amp;IF(AND($Q218&lt;&gt;"",INDEX(職員マスタ!$E$6:$E$405,$AN218)&lt;&gt;"",$Q218&lt;&gt;INDEX(職員マスタ!$E$6:$E$405,$AN218)),"子の生年月日がマスタと相違／","")&amp;IF(AND($L218&lt;&gt;"",INDEX(職員マスタ!$G$6:$G$405,$AN218)&lt;&gt;"",$L218&lt;&gt;INDEX(職員マスタ!$G$6:$G$405,$AN218)),"時短開始日がマスタと相違／","")&amp;IF(AND($M218&lt;&gt;"",INDEX(職員マスタ!$H$6:$H$405,$AN218)&lt;&gt;"",$M218&lt;&gt;INDEX(職員マスタ!$H$6:$H$405,$AN218)),"時短終了日がマスタと相違／","")))&amp;IF(AND($B218&lt;&gt;"",$E218=""),"報酬額が未入力／","")&amp;IF(N($U218)&gt;0,"申請書に入力エラーが残っています／","")&amp;IF(AND($B218&lt;&gt;"",$AO218&lt;&gt;""),IF(COUNTIFS($B$6:$B$3005,$B218,$C$6:$C$3005,$C218,$D$6:$D$3005,$D218)&gt;1,"同じ月の請求が重複しています／",""),"")&amp;IF(AND(N($E218)&gt;0,$Z218&lt;&gt;"",$Z218&lt;&gt;"×",$AC218=0,$AB218=""),"計算額が下限以下のため不支給／",""))</f>
        <v/>
      </c>
      <c r="AL218" s="12" t="n"/>
      <c r="AM218" s="14">
        <f>IF($AD218="保留中",COUNTIF($AD$6:$AD218,"保留中"),"")</f>
        <v/>
      </c>
      <c r="AN218" s="14">
        <f>IF($AO218="","",IF(SUMPRODUCT(MAX((職員マスタ!$A$6:$A$405=$B218)*(((職員マスタ!$G$6:$G$405="")+(職員マスタ!$G$6:$G$405&lt;=EOMONTH($AO218,0)))&gt;0)*(((職員マスタ!$H$6:$H$405="")+(職員マスタ!$H$6:$H$405&gt;=$AO218))&gt;0)*(ROW(職員マスタ!$A$6:$A$405)-5)))&gt;0,SUMPRODUCT(MAX((職員マスタ!$A$6:$A$405=$B218)*(((職員マスタ!$G$6:$G$405="")+(職員マスタ!$G$6:$G$405&lt;=EOMONTH($AO218,0)))&gt;0)*(((職員マスタ!$H$6:$H$405="")+(職員マスタ!$H$6:$H$405&gt;=$AO218))&gt;0)*(ROW(職員マスタ!$A$6:$A$405)-5))),IFERROR(MATCH($B218,職員マスタ!$A$6:$A$405,0),"")))</f>
        <v/>
      </c>
      <c r="AO218" s="16">
        <f>IF(OR($B218="",$C218="",$D218=""),"",DATE($C218+2018,$D218,1))</f>
        <v/>
      </c>
    </row>
    <row r="219">
      <c r="A219" s="11" t="n"/>
      <c r="B219" s="12" t="n">
        <v>6408289</v>
      </c>
      <c r="C219" s="12" t="n">
        <v>7</v>
      </c>
      <c r="D219" s="12" t="n">
        <v>5</v>
      </c>
      <c r="E219" s="13" t="n">
        <v>315740</v>
      </c>
      <c r="F219" s="12" t="n"/>
      <c r="G219" s="13" t="n"/>
      <c r="H219" s="12" t="n"/>
      <c r="I219" s="12" t="n"/>
      <c r="J219" s="12" t="n"/>
      <c r="K219" s="12" t="n"/>
      <c r="L219" s="11" t="n"/>
      <c r="M219" s="11" t="n"/>
      <c r="N219" s="11" t="n"/>
      <c r="O219" s="11" t="n"/>
      <c r="P219" s="12" t="n"/>
      <c r="Q219" s="11" t="n"/>
      <c r="R219" s="12" t="n"/>
      <c r="S219" s="11" t="n"/>
      <c r="T219" s="12" t="n"/>
      <c r="U219" s="12" t="n"/>
      <c r="V219" s="14">
        <f>IF($AN219="",IF($B219="","",$H219),IF(INDEX(職員マスタ!$B$6:$B$405,$AN219)="",$H219,INDEX(職員マスタ!$B$6:$B$405,$AN219)))</f>
        <v/>
      </c>
      <c r="W219" s="14">
        <f>IF($AN219="",IF($B219="","",$R219),IF(INDEX(職員マスタ!$C$6:$C$405,$AN219)="",$R219,INDEX(職員マスタ!$C$6:$C$405,$AN219)))</f>
        <v/>
      </c>
      <c r="X219" s="14">
        <f>IF($AO219="","","R"&amp;$C219&amp;"."&amp;$D219)</f>
        <v/>
      </c>
      <c r="Y219" s="15">
        <f>IF($AN219="","",IF(INDEX(職員マスタ!$K$6:$K$405,$AN219)="","",INDEX(職員マスタ!$K$6:$K$405,$AN219)))</f>
        <v/>
      </c>
      <c r="Z219" s="14">
        <f>IF(OR($E219="",$Y219=""),"",IF($E219&gt;=$Y219,"×",IF($E219&gt;=$Y219*設定!$C$5,"△","○")))</f>
        <v/>
      </c>
      <c r="AA219" s="15">
        <f>IF($Z219="","",IF($Z219="×",0,IF($Z219="○",ROUNDDOWN($E219*設定!$C$4,0),ROUNDDOWN($E219*ROUND((9*$Y219-9*$E219)/(10*$E219),4),0))))</f>
        <v/>
      </c>
      <c r="AB219" s="13" t="n"/>
      <c r="AC219" s="15">
        <f>IF($B219="","",IF($AB219&lt;&gt;"",$AB219,IF($AA219="","",IF($AA219&lt;=設定!$C$3,0,$AA219))))</f>
        <v/>
      </c>
      <c r="AD219" s="14">
        <f>IF($B219="","",IF(AND($AE219&lt;&gt;"",$AG219="",$AJ219=""),"保留中",IF($AJ219&lt;&gt;"",IF(N($AC219)&gt;0,"支給済","不支給"),IF($AC219="","要確認",IF($AC219=0,"不支給","未処理")))))</f>
        <v/>
      </c>
      <c r="AE219" s="12" t="n"/>
      <c r="AF219" s="11" t="n"/>
      <c r="AG219" s="11" t="n"/>
      <c r="AH219" s="11" t="n"/>
      <c r="AI219" s="14">
        <f>IF(AND($AD219="保留中",$AF219&lt;&gt;""),TODAY()-$AF219,"")</f>
        <v/>
      </c>
      <c r="AJ219" s="12" t="inlineStr">
        <is>
          <t>R7.8</t>
        </is>
      </c>
      <c r="AK219" s="14">
        <f>IF($B219="","",IF($AO219="","対象年月が未入力／","")&amp;IF($B219="","",IF($AN219="","職員マスタに未登録の職員番号／",IF($Y219="","標準報酬月額が未登録／","")&amp;IF(AND($AO219&lt;&gt;"",OR(AND(INDEX(職員マスタ!$G$6:$G$405,$AN219)&lt;&gt;"",INDEX(職員マスタ!$G$6:$G$405,$AN219)&gt;EOMONTH($AO219,0)),AND(INDEX(職員マスタ!$H$6:$H$405,$AN219)&lt;&gt;"",INDEX(職員マスタ!$H$6:$H$405,$AN219)&lt;$AO219))),"対象月が時短期間外／","")&amp;IF(AND(INDEX(職員マスタ!$F$6:$F$405,$AN219)&lt;&gt;"",$AO219&lt;&gt;"",INDEX(職員マスタ!$F$6:$F$405,$AN219)&lt;$AO219),"対象月に子が2歳到達済／","")&amp;IF(AND($H219&lt;&gt;"",INDEX(職員マスタ!$B$6:$B$405,$AN219)&lt;&gt;"",SUBSTITUTE(SUBSTITUTE($H219," ","")," ","")&lt;&gt;SUBSTITUTE(SUBSTITUTE(INDEX(職員マスタ!$B$6:$B$405,$AN219)," ","")," ","")),"氏名がマスタと相違／","")&amp;IF(AND($Q219&lt;&gt;"",INDEX(職員マスタ!$E$6:$E$405,$AN219)&lt;&gt;"",$Q219&lt;&gt;INDEX(職員マスタ!$E$6:$E$405,$AN219)),"子の生年月日がマスタと相違／","")&amp;IF(AND($L219&lt;&gt;"",INDEX(職員マスタ!$G$6:$G$405,$AN219)&lt;&gt;"",$L219&lt;&gt;INDEX(職員マスタ!$G$6:$G$405,$AN219)),"時短開始日がマスタと相違／","")&amp;IF(AND($M219&lt;&gt;"",INDEX(職員マスタ!$H$6:$H$405,$AN219)&lt;&gt;"",$M219&lt;&gt;INDEX(職員マスタ!$H$6:$H$405,$AN219)),"時短終了日がマスタと相違／","")))&amp;IF(AND($B219&lt;&gt;"",$E219=""),"報酬額が未入力／","")&amp;IF(N($U219)&gt;0,"申請書に入力エラーが残っています／","")&amp;IF(AND($B219&lt;&gt;"",$AO219&lt;&gt;""),IF(COUNTIFS($B$6:$B$3005,$B219,$C$6:$C$3005,$C219,$D$6:$D$3005,$D219)&gt;1,"同じ月の請求が重複しています／",""),"")&amp;IF(AND(N($E219)&gt;0,$Z219&lt;&gt;"",$Z219&lt;&gt;"×",$AC219=0,$AB219=""),"計算額が下限以下のため不支給／",""))</f>
        <v/>
      </c>
      <c r="AL219" s="12" t="n"/>
      <c r="AM219" s="14">
        <f>IF($AD219="保留中",COUNTIF($AD$6:$AD219,"保留中"),"")</f>
        <v/>
      </c>
      <c r="AN219" s="14">
        <f>IF($AO219="","",IF(SUMPRODUCT(MAX((職員マスタ!$A$6:$A$405=$B219)*(((職員マスタ!$G$6:$G$405="")+(職員マスタ!$G$6:$G$405&lt;=EOMONTH($AO219,0)))&gt;0)*(((職員マスタ!$H$6:$H$405="")+(職員マスタ!$H$6:$H$405&gt;=$AO219))&gt;0)*(ROW(職員マスタ!$A$6:$A$405)-5)))&gt;0,SUMPRODUCT(MAX((職員マスタ!$A$6:$A$405=$B219)*(((職員マスタ!$G$6:$G$405="")+(職員マスタ!$G$6:$G$405&lt;=EOMONTH($AO219,0)))&gt;0)*(((職員マスタ!$H$6:$H$405="")+(職員マスタ!$H$6:$H$405&gt;=$AO219))&gt;0)*(ROW(職員マスタ!$A$6:$A$405)-5))),IFERROR(MATCH($B219,職員マスタ!$A$6:$A$405,0),"")))</f>
        <v/>
      </c>
      <c r="AO219" s="16">
        <f>IF(OR($B219="",$C219="",$D219=""),"",DATE($C219+2018,$D219,1))</f>
        <v/>
      </c>
    </row>
    <row r="220">
      <c r="A220" s="11" t="n"/>
      <c r="B220" s="12" t="n">
        <v>6408289</v>
      </c>
      <c r="C220" s="12" t="n">
        <v>7</v>
      </c>
      <c r="D220" s="12" t="n">
        <v>6</v>
      </c>
      <c r="E220" s="13" t="n">
        <v>315740</v>
      </c>
      <c r="F220" s="12" t="n"/>
      <c r="G220" s="13" t="n"/>
      <c r="H220" s="12" t="n"/>
      <c r="I220" s="12" t="n"/>
      <c r="J220" s="12" t="n"/>
      <c r="K220" s="12" t="n"/>
      <c r="L220" s="11" t="n"/>
      <c r="M220" s="11" t="n"/>
      <c r="N220" s="11" t="n"/>
      <c r="O220" s="11" t="n"/>
      <c r="P220" s="12" t="n"/>
      <c r="Q220" s="11" t="n"/>
      <c r="R220" s="12" t="n"/>
      <c r="S220" s="11" t="n"/>
      <c r="T220" s="12" t="n"/>
      <c r="U220" s="12" t="n"/>
      <c r="V220" s="14">
        <f>IF($AN220="",IF($B220="","",$H220),IF(INDEX(職員マスタ!$B$6:$B$405,$AN220)="",$H220,INDEX(職員マスタ!$B$6:$B$405,$AN220)))</f>
        <v/>
      </c>
      <c r="W220" s="14">
        <f>IF($AN220="",IF($B220="","",$R220),IF(INDEX(職員マスタ!$C$6:$C$405,$AN220)="",$R220,INDEX(職員マスタ!$C$6:$C$405,$AN220)))</f>
        <v/>
      </c>
      <c r="X220" s="14">
        <f>IF($AO220="","","R"&amp;$C220&amp;"."&amp;$D220)</f>
        <v/>
      </c>
      <c r="Y220" s="15">
        <f>IF($AN220="","",IF(INDEX(職員マスタ!$K$6:$K$405,$AN220)="","",INDEX(職員マスタ!$K$6:$K$405,$AN220)))</f>
        <v/>
      </c>
      <c r="Z220" s="14">
        <f>IF(OR($E220="",$Y220=""),"",IF($E220&gt;=$Y220,"×",IF($E220&gt;=$Y220*設定!$C$5,"△","○")))</f>
        <v/>
      </c>
      <c r="AA220" s="15">
        <f>IF($Z220="","",IF($Z220="×",0,IF($Z220="○",ROUNDDOWN($E220*設定!$C$4,0),ROUNDDOWN($E220*ROUND((9*$Y220-9*$E220)/(10*$E220),4),0))))</f>
        <v/>
      </c>
      <c r="AB220" s="13" t="n"/>
      <c r="AC220" s="15">
        <f>IF($B220="","",IF($AB220&lt;&gt;"",$AB220,IF($AA220="","",IF($AA220&lt;=設定!$C$3,0,$AA220))))</f>
        <v/>
      </c>
      <c r="AD220" s="14">
        <f>IF($B220="","",IF(AND($AE220&lt;&gt;"",$AG220="",$AJ220=""),"保留中",IF($AJ220&lt;&gt;"",IF(N($AC220)&gt;0,"支給済","不支給"),IF($AC220="","要確認",IF($AC220=0,"不支給","未処理")))))</f>
        <v/>
      </c>
      <c r="AE220" s="12" t="n"/>
      <c r="AF220" s="11" t="n"/>
      <c r="AG220" s="11" t="n"/>
      <c r="AH220" s="11" t="n"/>
      <c r="AI220" s="14">
        <f>IF(AND($AD220="保留中",$AF220&lt;&gt;""),TODAY()-$AF220,"")</f>
        <v/>
      </c>
      <c r="AJ220" s="12" t="inlineStr">
        <is>
          <t>R7.9</t>
        </is>
      </c>
      <c r="AK220" s="14">
        <f>IF($B220="","",IF($AO220="","対象年月が未入力／","")&amp;IF($B220="","",IF($AN220="","職員マスタに未登録の職員番号／",IF($Y220="","標準報酬月額が未登録／","")&amp;IF(AND($AO220&lt;&gt;"",OR(AND(INDEX(職員マスタ!$G$6:$G$405,$AN220)&lt;&gt;"",INDEX(職員マスタ!$G$6:$G$405,$AN220)&gt;EOMONTH($AO220,0)),AND(INDEX(職員マスタ!$H$6:$H$405,$AN220)&lt;&gt;"",INDEX(職員マスタ!$H$6:$H$405,$AN220)&lt;$AO220))),"対象月が時短期間外／","")&amp;IF(AND(INDEX(職員マスタ!$F$6:$F$405,$AN220)&lt;&gt;"",$AO220&lt;&gt;"",INDEX(職員マスタ!$F$6:$F$405,$AN220)&lt;$AO220),"対象月に子が2歳到達済／","")&amp;IF(AND($H220&lt;&gt;"",INDEX(職員マスタ!$B$6:$B$405,$AN220)&lt;&gt;"",SUBSTITUTE(SUBSTITUTE($H220," ","")," ","")&lt;&gt;SUBSTITUTE(SUBSTITUTE(INDEX(職員マスタ!$B$6:$B$405,$AN220)," ","")," ","")),"氏名がマスタと相違／","")&amp;IF(AND($Q220&lt;&gt;"",INDEX(職員マスタ!$E$6:$E$405,$AN220)&lt;&gt;"",$Q220&lt;&gt;INDEX(職員マスタ!$E$6:$E$405,$AN220)),"子の生年月日がマスタと相違／","")&amp;IF(AND($L220&lt;&gt;"",INDEX(職員マスタ!$G$6:$G$405,$AN220)&lt;&gt;"",$L220&lt;&gt;INDEX(職員マスタ!$G$6:$G$405,$AN220)),"時短開始日がマスタと相違／","")&amp;IF(AND($M220&lt;&gt;"",INDEX(職員マスタ!$H$6:$H$405,$AN220)&lt;&gt;"",$M220&lt;&gt;INDEX(職員マスタ!$H$6:$H$405,$AN220)),"時短終了日がマスタと相違／","")))&amp;IF(AND($B220&lt;&gt;"",$E220=""),"報酬額が未入力／","")&amp;IF(N($U220)&gt;0,"申請書に入力エラーが残っています／","")&amp;IF(AND($B220&lt;&gt;"",$AO220&lt;&gt;""),IF(COUNTIFS($B$6:$B$3005,$B220,$C$6:$C$3005,$C220,$D$6:$D$3005,$D220)&gt;1,"同じ月の請求が重複しています／",""),"")&amp;IF(AND(N($E220)&gt;0,$Z220&lt;&gt;"",$Z220&lt;&gt;"×",$AC220=0,$AB220=""),"計算額が下限以下のため不支給／",""))</f>
        <v/>
      </c>
      <c r="AL220" s="12" t="n"/>
      <c r="AM220" s="14">
        <f>IF($AD220="保留中",COUNTIF($AD$6:$AD220,"保留中"),"")</f>
        <v/>
      </c>
      <c r="AN220" s="14">
        <f>IF($AO220="","",IF(SUMPRODUCT(MAX((職員マスタ!$A$6:$A$405=$B220)*(((職員マスタ!$G$6:$G$405="")+(職員マスタ!$G$6:$G$405&lt;=EOMONTH($AO220,0)))&gt;0)*(((職員マスタ!$H$6:$H$405="")+(職員マスタ!$H$6:$H$405&gt;=$AO220))&gt;0)*(ROW(職員マスタ!$A$6:$A$405)-5)))&gt;0,SUMPRODUCT(MAX((職員マスタ!$A$6:$A$405=$B220)*(((職員マスタ!$G$6:$G$405="")+(職員マスタ!$G$6:$G$405&lt;=EOMONTH($AO220,0)))&gt;0)*(((職員マスタ!$H$6:$H$405="")+(職員マスタ!$H$6:$H$405&gt;=$AO220))&gt;0)*(ROW(職員マスタ!$A$6:$A$405)-5))),IFERROR(MATCH($B220,職員マスタ!$A$6:$A$405,0),"")))</f>
        <v/>
      </c>
      <c r="AO220" s="16">
        <f>IF(OR($B220="",$C220="",$D220=""),"",DATE($C220+2018,$D220,1))</f>
        <v/>
      </c>
    </row>
    <row r="221">
      <c r="A221" s="11" t="n"/>
      <c r="B221" s="12" t="n">
        <v>6502529</v>
      </c>
      <c r="C221" s="12" t="n">
        <v>8</v>
      </c>
      <c r="D221" s="12" t="n">
        <v>4</v>
      </c>
      <c r="E221" s="13" t="n">
        <v>200363</v>
      </c>
      <c r="F221" s="12" t="n"/>
      <c r="G221" s="13" t="n"/>
      <c r="H221" s="12" t="n"/>
      <c r="I221" s="12" t="n"/>
      <c r="J221" s="12" t="n"/>
      <c r="K221" s="12" t="n"/>
      <c r="L221" s="11" t="n"/>
      <c r="M221" s="11" t="n"/>
      <c r="N221" s="11" t="n"/>
      <c r="O221" s="11" t="n"/>
      <c r="P221" s="12" t="n"/>
      <c r="Q221" s="11" t="n"/>
      <c r="R221" s="12" t="n"/>
      <c r="S221" s="11" t="n"/>
      <c r="T221" s="12" t="n"/>
      <c r="U221" s="12" t="n"/>
      <c r="V221" s="14">
        <f>IF($AN221="",IF($B221="","",$H221),IF(INDEX(職員マスタ!$B$6:$B$405,$AN221)="",$H221,INDEX(職員マスタ!$B$6:$B$405,$AN221)))</f>
        <v/>
      </c>
      <c r="W221" s="14">
        <f>IF($AN221="",IF($B221="","",$R221),IF(INDEX(職員マスタ!$C$6:$C$405,$AN221)="",$R221,INDEX(職員マスタ!$C$6:$C$405,$AN221)))</f>
        <v/>
      </c>
      <c r="X221" s="14">
        <f>IF($AO221="","","R"&amp;$C221&amp;"."&amp;$D221)</f>
        <v/>
      </c>
      <c r="Y221" s="15">
        <f>IF($AN221="","",IF(INDEX(職員マスタ!$K$6:$K$405,$AN221)="","",INDEX(職員マスタ!$K$6:$K$405,$AN221)))</f>
        <v/>
      </c>
      <c r="Z221" s="14">
        <f>IF(OR($E221="",$Y221=""),"",IF($E221&gt;=$Y221,"×",IF($E221&gt;=$Y221*設定!$C$5,"△","○")))</f>
        <v/>
      </c>
      <c r="AA221" s="15">
        <f>IF($Z221="","",IF($Z221="×",0,IF($Z221="○",ROUNDDOWN($E221*設定!$C$4,0),ROUNDDOWN($E221*ROUND((9*$Y221-9*$E221)/(10*$E221),4),0))))</f>
        <v/>
      </c>
      <c r="AB221" s="13" t="n"/>
      <c r="AC221" s="15">
        <f>IF($B221="","",IF($AB221&lt;&gt;"",$AB221,IF($AA221="","",IF($AA221&lt;=設定!$C$3,0,$AA221))))</f>
        <v/>
      </c>
      <c r="AD221" s="14">
        <f>IF($B221="","",IF(AND($AE221&lt;&gt;"",$AG221="",$AJ221=""),"保留中",IF($AJ221&lt;&gt;"",IF(N($AC221)&gt;0,"支給済","不支給"),IF($AC221="","要確認",IF($AC221=0,"不支給","未処理")))))</f>
        <v/>
      </c>
      <c r="AE221" s="12" t="n"/>
      <c r="AF221" s="11" t="n"/>
      <c r="AG221" s="11" t="n"/>
      <c r="AH221" s="11" t="n"/>
      <c r="AI221" s="14">
        <f>IF(AND($AD221="保留中",$AF221&lt;&gt;""),TODAY()-$AF221,"")</f>
        <v/>
      </c>
      <c r="AJ221" s="12" t="inlineStr">
        <is>
          <t>R8.10</t>
        </is>
      </c>
      <c r="AK221" s="14">
        <f>IF($B221="","",IF($AO221="","対象年月が未入力／","")&amp;IF($B221="","",IF($AN221="","職員マスタに未登録の職員番号／",IF($Y221="","標準報酬月額が未登録／","")&amp;IF(AND($AO221&lt;&gt;"",OR(AND(INDEX(職員マスタ!$G$6:$G$405,$AN221)&lt;&gt;"",INDEX(職員マスタ!$G$6:$G$405,$AN221)&gt;EOMONTH($AO221,0)),AND(INDEX(職員マスタ!$H$6:$H$405,$AN221)&lt;&gt;"",INDEX(職員マスタ!$H$6:$H$405,$AN221)&lt;$AO221))),"対象月が時短期間外／","")&amp;IF(AND(INDEX(職員マスタ!$F$6:$F$405,$AN221)&lt;&gt;"",$AO221&lt;&gt;"",INDEX(職員マスタ!$F$6:$F$405,$AN221)&lt;$AO221),"対象月に子が2歳到達済／","")&amp;IF(AND($H221&lt;&gt;"",INDEX(職員マスタ!$B$6:$B$405,$AN221)&lt;&gt;"",SUBSTITUTE(SUBSTITUTE($H221," ","")," ","")&lt;&gt;SUBSTITUTE(SUBSTITUTE(INDEX(職員マスタ!$B$6:$B$405,$AN221)," ","")," ","")),"氏名がマスタと相違／","")&amp;IF(AND($Q221&lt;&gt;"",INDEX(職員マスタ!$E$6:$E$405,$AN221)&lt;&gt;"",$Q221&lt;&gt;INDEX(職員マスタ!$E$6:$E$405,$AN221)),"子の生年月日がマスタと相違／","")&amp;IF(AND($L221&lt;&gt;"",INDEX(職員マスタ!$G$6:$G$405,$AN221)&lt;&gt;"",$L221&lt;&gt;INDEX(職員マスタ!$G$6:$G$405,$AN221)),"時短開始日がマスタと相違／","")&amp;IF(AND($M221&lt;&gt;"",INDEX(職員マスタ!$H$6:$H$405,$AN221)&lt;&gt;"",$M221&lt;&gt;INDEX(職員マスタ!$H$6:$H$405,$AN221)),"時短終了日がマスタと相違／","")))&amp;IF(AND($B221&lt;&gt;"",$E221=""),"報酬額が未入力／","")&amp;IF(N($U221)&gt;0,"申請書に入力エラーが残っています／","")&amp;IF(AND($B221&lt;&gt;"",$AO221&lt;&gt;""),IF(COUNTIFS($B$6:$B$3005,$B221,$C$6:$C$3005,$C221,$D$6:$D$3005,$D221)&gt;1,"同じ月の請求が重複しています／",""),"")&amp;IF(AND(N($E221)&gt;0,$Z221&lt;&gt;"",$Z221&lt;&gt;"×",$AC221=0,$AB221=""),"計算額が下限以下のため不支給／",""))</f>
        <v/>
      </c>
      <c r="AL221" s="12" t="n"/>
      <c r="AM221" s="14">
        <f>IF($AD221="保留中",COUNTIF($AD$6:$AD221,"保留中"),"")</f>
        <v/>
      </c>
      <c r="AN221" s="14">
        <f>IF($AO221="","",IF(SUMPRODUCT(MAX((職員マスタ!$A$6:$A$405=$B221)*(((職員マスタ!$G$6:$G$405="")+(職員マスタ!$G$6:$G$405&lt;=EOMONTH($AO221,0)))&gt;0)*(((職員マスタ!$H$6:$H$405="")+(職員マスタ!$H$6:$H$405&gt;=$AO221))&gt;0)*(ROW(職員マスタ!$A$6:$A$405)-5)))&gt;0,SUMPRODUCT(MAX((職員マスタ!$A$6:$A$405=$B221)*(((職員マスタ!$G$6:$G$405="")+(職員マスタ!$G$6:$G$405&lt;=EOMONTH($AO221,0)))&gt;0)*(((職員マスタ!$H$6:$H$405="")+(職員マスタ!$H$6:$H$405&gt;=$AO221))&gt;0)*(ROW(職員マスタ!$A$6:$A$405)-5))),IFERROR(MATCH($B221,職員マスタ!$A$6:$A$405,0),"")))</f>
        <v/>
      </c>
      <c r="AO221" s="16">
        <f>IF(OR($B221="",$C221="",$D221=""),"",DATE($C221+2018,$D221,1))</f>
        <v/>
      </c>
    </row>
    <row r="222">
      <c r="A222" s="11" t="n"/>
      <c r="B222" s="12" t="n">
        <v>6502529</v>
      </c>
      <c r="C222" s="12" t="n">
        <v>8</v>
      </c>
      <c r="D222" s="12" t="n">
        <v>5</v>
      </c>
      <c r="E222" s="13" t="n">
        <v>206483</v>
      </c>
      <c r="F222" s="12" t="n"/>
      <c r="G222" s="13" t="n"/>
      <c r="H222" s="12" t="n"/>
      <c r="I222" s="12" t="n"/>
      <c r="J222" s="12" t="n"/>
      <c r="K222" s="12" t="n"/>
      <c r="L222" s="11" t="n"/>
      <c r="M222" s="11" t="n"/>
      <c r="N222" s="11" t="n"/>
      <c r="O222" s="11" t="n"/>
      <c r="P222" s="12" t="n"/>
      <c r="Q222" s="11" t="n"/>
      <c r="R222" s="12" t="n"/>
      <c r="S222" s="11" t="n"/>
      <c r="T222" s="12" t="n"/>
      <c r="U222" s="12" t="n"/>
      <c r="V222" s="14">
        <f>IF($AN222="",IF($B222="","",$H222),IF(INDEX(職員マスタ!$B$6:$B$405,$AN222)="",$H222,INDEX(職員マスタ!$B$6:$B$405,$AN222)))</f>
        <v/>
      </c>
      <c r="W222" s="14">
        <f>IF($AN222="",IF($B222="","",$R222),IF(INDEX(職員マスタ!$C$6:$C$405,$AN222)="",$R222,INDEX(職員マスタ!$C$6:$C$405,$AN222)))</f>
        <v/>
      </c>
      <c r="X222" s="14">
        <f>IF($AO222="","","R"&amp;$C222&amp;"."&amp;$D222)</f>
        <v/>
      </c>
      <c r="Y222" s="15">
        <f>IF($AN222="","",IF(INDEX(職員マスタ!$K$6:$K$405,$AN222)="","",INDEX(職員マスタ!$K$6:$K$405,$AN222)))</f>
        <v/>
      </c>
      <c r="Z222" s="14">
        <f>IF(OR($E222="",$Y222=""),"",IF($E222&gt;=$Y222,"×",IF($E222&gt;=$Y222*設定!$C$5,"△","○")))</f>
        <v/>
      </c>
      <c r="AA222" s="15">
        <f>IF($Z222="","",IF($Z222="×",0,IF($Z222="○",ROUNDDOWN($E222*設定!$C$4,0),ROUNDDOWN($E222*ROUND((9*$Y222-9*$E222)/(10*$E222),4),0))))</f>
        <v/>
      </c>
      <c r="AB222" s="13" t="n"/>
      <c r="AC222" s="15">
        <f>IF($B222="","",IF($AB222&lt;&gt;"",$AB222,IF($AA222="","",IF($AA222&lt;=設定!$C$3,0,$AA222))))</f>
        <v/>
      </c>
      <c r="AD222" s="14">
        <f>IF($B222="","",IF(AND($AE222&lt;&gt;"",$AG222="",$AJ222=""),"保留中",IF($AJ222&lt;&gt;"",IF(N($AC222)&gt;0,"支給済","不支給"),IF($AC222="","要確認",IF($AC222=0,"不支給","未処理")))))</f>
        <v/>
      </c>
      <c r="AE222" s="12" t="n"/>
      <c r="AF222" s="11" t="n"/>
      <c r="AG222" s="11" t="n"/>
      <c r="AH222" s="11" t="n"/>
      <c r="AI222" s="14">
        <f>IF(AND($AD222="保留中",$AF222&lt;&gt;""),TODAY()-$AF222,"")</f>
        <v/>
      </c>
      <c r="AJ222" s="12" t="inlineStr">
        <is>
          <t>R8.10</t>
        </is>
      </c>
      <c r="AK222" s="14">
        <f>IF($B222="","",IF($AO222="","対象年月が未入力／","")&amp;IF($B222="","",IF($AN222="","職員マスタに未登録の職員番号／",IF($Y222="","標準報酬月額が未登録／","")&amp;IF(AND($AO222&lt;&gt;"",OR(AND(INDEX(職員マスタ!$G$6:$G$405,$AN222)&lt;&gt;"",INDEX(職員マスタ!$G$6:$G$405,$AN222)&gt;EOMONTH($AO222,0)),AND(INDEX(職員マスタ!$H$6:$H$405,$AN222)&lt;&gt;"",INDEX(職員マスタ!$H$6:$H$405,$AN222)&lt;$AO222))),"対象月が時短期間外／","")&amp;IF(AND(INDEX(職員マスタ!$F$6:$F$405,$AN222)&lt;&gt;"",$AO222&lt;&gt;"",INDEX(職員マスタ!$F$6:$F$405,$AN222)&lt;$AO222),"対象月に子が2歳到達済／","")&amp;IF(AND($H222&lt;&gt;"",INDEX(職員マスタ!$B$6:$B$405,$AN222)&lt;&gt;"",SUBSTITUTE(SUBSTITUTE($H222," ","")," ","")&lt;&gt;SUBSTITUTE(SUBSTITUTE(INDEX(職員マスタ!$B$6:$B$405,$AN222)," ","")," ","")),"氏名がマスタと相違／","")&amp;IF(AND($Q222&lt;&gt;"",INDEX(職員マスタ!$E$6:$E$405,$AN222)&lt;&gt;"",$Q222&lt;&gt;INDEX(職員マスタ!$E$6:$E$405,$AN222)),"子の生年月日がマスタと相違／","")&amp;IF(AND($L222&lt;&gt;"",INDEX(職員マスタ!$G$6:$G$405,$AN222)&lt;&gt;"",$L222&lt;&gt;INDEX(職員マスタ!$G$6:$G$405,$AN222)),"時短開始日がマスタと相違／","")&amp;IF(AND($M222&lt;&gt;"",INDEX(職員マスタ!$H$6:$H$405,$AN222)&lt;&gt;"",$M222&lt;&gt;INDEX(職員マスタ!$H$6:$H$405,$AN222)),"時短終了日がマスタと相違／","")))&amp;IF(AND($B222&lt;&gt;"",$E222=""),"報酬額が未入力／","")&amp;IF(N($U222)&gt;0,"申請書に入力エラーが残っています／","")&amp;IF(AND($B222&lt;&gt;"",$AO222&lt;&gt;""),IF(COUNTIFS($B$6:$B$3005,$B222,$C$6:$C$3005,$C222,$D$6:$D$3005,$D222)&gt;1,"同じ月の請求が重複しています／",""),"")&amp;IF(AND(N($E222)&gt;0,$Z222&lt;&gt;"",$Z222&lt;&gt;"×",$AC222=0,$AB222=""),"計算額が下限以下のため不支給／",""))</f>
        <v/>
      </c>
      <c r="AL222" s="12" t="n"/>
      <c r="AM222" s="14">
        <f>IF($AD222="保留中",COUNTIF($AD$6:$AD222,"保留中"),"")</f>
        <v/>
      </c>
      <c r="AN222" s="14">
        <f>IF($AO222="","",IF(SUMPRODUCT(MAX((職員マスタ!$A$6:$A$405=$B222)*(((職員マスタ!$G$6:$G$405="")+(職員マスタ!$G$6:$G$405&lt;=EOMONTH($AO222,0)))&gt;0)*(((職員マスタ!$H$6:$H$405="")+(職員マスタ!$H$6:$H$405&gt;=$AO222))&gt;0)*(ROW(職員マスタ!$A$6:$A$405)-5)))&gt;0,SUMPRODUCT(MAX((職員マスタ!$A$6:$A$405=$B222)*(((職員マスタ!$G$6:$G$405="")+(職員マスタ!$G$6:$G$405&lt;=EOMONTH($AO222,0)))&gt;0)*(((職員マスタ!$H$6:$H$405="")+(職員マスタ!$H$6:$H$405&gt;=$AO222))&gt;0)*(ROW(職員マスタ!$A$6:$A$405)-5))),IFERROR(MATCH($B222,職員マスタ!$A$6:$A$405,0),"")))</f>
        <v/>
      </c>
      <c r="AO222" s="16">
        <f>IF(OR($B222="",$C222="",$D222=""),"",DATE($C222+2018,$D222,1))</f>
        <v/>
      </c>
    </row>
    <row r="223">
      <c r="A223" s="11" t="n"/>
      <c r="B223" s="12" t="n">
        <v>6502529</v>
      </c>
      <c r="C223" s="12" t="n">
        <v>8</v>
      </c>
      <c r="D223" s="12" t="n">
        <v>6</v>
      </c>
      <c r="E223" s="13" t="n">
        <v>204443</v>
      </c>
      <c r="F223" s="12" t="n"/>
      <c r="G223" s="13" t="n"/>
      <c r="H223" s="12" t="n"/>
      <c r="I223" s="12" t="n"/>
      <c r="J223" s="12" t="n"/>
      <c r="K223" s="12" t="n"/>
      <c r="L223" s="11" t="n"/>
      <c r="M223" s="11" t="n"/>
      <c r="N223" s="11" t="n"/>
      <c r="O223" s="11" t="n"/>
      <c r="P223" s="12" t="n"/>
      <c r="Q223" s="11" t="n"/>
      <c r="R223" s="12" t="n"/>
      <c r="S223" s="11" t="n"/>
      <c r="T223" s="12" t="n"/>
      <c r="U223" s="12" t="n"/>
      <c r="V223" s="14">
        <f>IF($AN223="",IF($B223="","",$H223),IF(INDEX(職員マスタ!$B$6:$B$405,$AN223)="",$H223,INDEX(職員マスタ!$B$6:$B$405,$AN223)))</f>
        <v/>
      </c>
      <c r="W223" s="14">
        <f>IF($AN223="",IF($B223="","",$R223),IF(INDEX(職員マスタ!$C$6:$C$405,$AN223)="",$R223,INDEX(職員マスタ!$C$6:$C$405,$AN223)))</f>
        <v/>
      </c>
      <c r="X223" s="14">
        <f>IF($AO223="","","R"&amp;$C223&amp;"."&amp;$D223)</f>
        <v/>
      </c>
      <c r="Y223" s="15">
        <f>IF($AN223="","",IF(INDEX(職員マスタ!$K$6:$K$405,$AN223)="","",INDEX(職員マスタ!$K$6:$K$405,$AN223)))</f>
        <v/>
      </c>
      <c r="Z223" s="14">
        <f>IF(OR($E223="",$Y223=""),"",IF($E223&gt;=$Y223,"×",IF($E223&gt;=$Y223*設定!$C$5,"△","○")))</f>
        <v/>
      </c>
      <c r="AA223" s="15">
        <f>IF($Z223="","",IF($Z223="×",0,IF($Z223="○",ROUNDDOWN($E223*設定!$C$4,0),ROUNDDOWN($E223*ROUND((9*$Y223-9*$E223)/(10*$E223),4),0))))</f>
        <v/>
      </c>
      <c r="AB223" s="13" t="n"/>
      <c r="AC223" s="15">
        <f>IF($B223="","",IF($AB223&lt;&gt;"",$AB223,IF($AA223="","",IF($AA223&lt;=設定!$C$3,0,$AA223))))</f>
        <v/>
      </c>
      <c r="AD223" s="14">
        <f>IF($B223="","",IF(AND($AE223&lt;&gt;"",$AG223="",$AJ223=""),"保留中",IF($AJ223&lt;&gt;"",IF(N($AC223)&gt;0,"支給済","不支給"),IF($AC223="","要確認",IF($AC223=0,"不支給","未処理")))))</f>
        <v/>
      </c>
      <c r="AE223" s="12" t="n"/>
      <c r="AF223" s="11" t="n"/>
      <c r="AG223" s="11" t="n"/>
      <c r="AH223" s="11" t="n"/>
      <c r="AI223" s="14">
        <f>IF(AND($AD223="保留中",$AF223&lt;&gt;""),TODAY()-$AF223,"")</f>
        <v/>
      </c>
      <c r="AJ223" s="12" t="inlineStr">
        <is>
          <t>R8.10</t>
        </is>
      </c>
      <c r="AK223" s="14">
        <f>IF($B223="","",IF($AO223="","対象年月が未入力／","")&amp;IF($B223="","",IF($AN223="","職員マスタに未登録の職員番号／",IF($Y223="","標準報酬月額が未登録／","")&amp;IF(AND($AO223&lt;&gt;"",OR(AND(INDEX(職員マスタ!$G$6:$G$405,$AN223)&lt;&gt;"",INDEX(職員マスタ!$G$6:$G$405,$AN223)&gt;EOMONTH($AO223,0)),AND(INDEX(職員マスタ!$H$6:$H$405,$AN223)&lt;&gt;"",INDEX(職員マスタ!$H$6:$H$405,$AN223)&lt;$AO223))),"対象月が時短期間外／","")&amp;IF(AND(INDEX(職員マスタ!$F$6:$F$405,$AN223)&lt;&gt;"",$AO223&lt;&gt;"",INDEX(職員マスタ!$F$6:$F$405,$AN223)&lt;$AO223),"対象月に子が2歳到達済／","")&amp;IF(AND($H223&lt;&gt;"",INDEX(職員マスタ!$B$6:$B$405,$AN223)&lt;&gt;"",SUBSTITUTE(SUBSTITUTE($H223," ","")," ","")&lt;&gt;SUBSTITUTE(SUBSTITUTE(INDEX(職員マスタ!$B$6:$B$405,$AN223)," ","")," ","")),"氏名がマスタと相違／","")&amp;IF(AND($Q223&lt;&gt;"",INDEX(職員マスタ!$E$6:$E$405,$AN223)&lt;&gt;"",$Q223&lt;&gt;INDEX(職員マスタ!$E$6:$E$405,$AN223)),"子の生年月日がマスタと相違／","")&amp;IF(AND($L223&lt;&gt;"",INDEX(職員マスタ!$G$6:$G$405,$AN223)&lt;&gt;"",$L223&lt;&gt;INDEX(職員マスタ!$G$6:$G$405,$AN223)),"時短開始日がマスタと相違／","")&amp;IF(AND($M223&lt;&gt;"",INDEX(職員マスタ!$H$6:$H$405,$AN223)&lt;&gt;"",$M223&lt;&gt;INDEX(職員マスタ!$H$6:$H$405,$AN223)),"時短終了日がマスタと相違／","")))&amp;IF(AND($B223&lt;&gt;"",$E223=""),"報酬額が未入力／","")&amp;IF(N($U223)&gt;0,"申請書に入力エラーが残っています／","")&amp;IF(AND($B223&lt;&gt;"",$AO223&lt;&gt;""),IF(COUNTIFS($B$6:$B$3005,$B223,$C$6:$C$3005,$C223,$D$6:$D$3005,$D223)&gt;1,"同じ月の請求が重複しています／",""),"")&amp;IF(AND(N($E223)&gt;0,$Z223&lt;&gt;"",$Z223&lt;&gt;"×",$AC223=0,$AB223=""),"計算額が下限以下のため不支給／",""))</f>
        <v/>
      </c>
      <c r="AL223" s="12" t="n"/>
      <c r="AM223" s="14">
        <f>IF($AD223="保留中",COUNTIF($AD$6:$AD223,"保留中"),"")</f>
        <v/>
      </c>
      <c r="AN223" s="14">
        <f>IF($AO223="","",IF(SUMPRODUCT(MAX((職員マスタ!$A$6:$A$405=$B223)*(((職員マスタ!$G$6:$G$405="")+(職員マスタ!$G$6:$G$405&lt;=EOMONTH($AO223,0)))&gt;0)*(((職員マスタ!$H$6:$H$405="")+(職員マスタ!$H$6:$H$405&gt;=$AO223))&gt;0)*(ROW(職員マスタ!$A$6:$A$405)-5)))&gt;0,SUMPRODUCT(MAX((職員マスタ!$A$6:$A$405=$B223)*(((職員マスタ!$G$6:$G$405="")+(職員マスタ!$G$6:$G$405&lt;=EOMONTH($AO223,0)))&gt;0)*(((職員マスタ!$H$6:$H$405="")+(職員マスタ!$H$6:$H$405&gt;=$AO223))&gt;0)*(ROW(職員マスタ!$A$6:$A$405)-5))),IFERROR(MATCH($B223,職員マスタ!$A$6:$A$405,0),"")))</f>
        <v/>
      </c>
      <c r="AO223" s="16">
        <f>IF(OR($B223="",$C223="",$D223=""),"",DATE($C223+2018,$D223,1))</f>
        <v/>
      </c>
    </row>
    <row r="224">
      <c r="A224" s="11" t="n"/>
      <c r="B224" s="12" t="n">
        <v>6502529</v>
      </c>
      <c r="C224" s="12" t="n">
        <v>8</v>
      </c>
      <c r="D224" s="12" t="n">
        <v>7</v>
      </c>
      <c r="E224" s="13" t="n">
        <v>204443</v>
      </c>
      <c r="F224" s="12" t="n"/>
      <c r="G224" s="13" t="n"/>
      <c r="H224" s="12" t="n"/>
      <c r="I224" s="12" t="n"/>
      <c r="J224" s="12" t="n"/>
      <c r="K224" s="12" t="n"/>
      <c r="L224" s="11" t="n"/>
      <c r="M224" s="11" t="n"/>
      <c r="N224" s="11" t="n"/>
      <c r="O224" s="11" t="n"/>
      <c r="P224" s="12" t="n"/>
      <c r="Q224" s="11" t="n"/>
      <c r="R224" s="12" t="n"/>
      <c r="S224" s="11" t="n"/>
      <c r="T224" s="12" t="n"/>
      <c r="U224" s="12" t="n"/>
      <c r="V224" s="14">
        <f>IF($AN224="",IF($B224="","",$H224),IF(INDEX(職員マスタ!$B$6:$B$405,$AN224)="",$H224,INDEX(職員マスタ!$B$6:$B$405,$AN224)))</f>
        <v/>
      </c>
      <c r="W224" s="14">
        <f>IF($AN224="",IF($B224="","",$R224),IF(INDEX(職員マスタ!$C$6:$C$405,$AN224)="",$R224,INDEX(職員マスタ!$C$6:$C$405,$AN224)))</f>
        <v/>
      </c>
      <c r="X224" s="14">
        <f>IF($AO224="","","R"&amp;$C224&amp;"."&amp;$D224)</f>
        <v/>
      </c>
      <c r="Y224" s="15">
        <f>IF($AN224="","",IF(INDEX(職員マスタ!$K$6:$K$405,$AN224)="","",INDEX(職員マスタ!$K$6:$K$405,$AN224)))</f>
        <v/>
      </c>
      <c r="Z224" s="14">
        <f>IF(OR($E224="",$Y224=""),"",IF($E224&gt;=$Y224,"×",IF($E224&gt;=$Y224*設定!$C$5,"△","○")))</f>
        <v/>
      </c>
      <c r="AA224" s="15">
        <f>IF($Z224="","",IF($Z224="×",0,IF($Z224="○",ROUNDDOWN($E224*設定!$C$4,0),ROUNDDOWN($E224*ROUND((9*$Y224-9*$E224)/(10*$E224),4),0))))</f>
        <v/>
      </c>
      <c r="AB224" s="13" t="n"/>
      <c r="AC224" s="15">
        <f>IF($B224="","",IF($AB224&lt;&gt;"",$AB224,IF($AA224="","",IF($AA224&lt;=設定!$C$3,0,$AA224))))</f>
        <v/>
      </c>
      <c r="AD224" s="14">
        <f>IF($B224="","",IF(AND($AE224&lt;&gt;"",$AG224="",$AJ224=""),"保留中",IF($AJ224&lt;&gt;"",IF(N($AC224)&gt;0,"支給済","不支給"),IF($AC224="","要確認",IF($AC224=0,"不支給","未処理")))))</f>
        <v/>
      </c>
      <c r="AE224" s="12" t="n"/>
      <c r="AF224" s="11" t="n"/>
      <c r="AG224" s="11" t="n"/>
      <c r="AH224" s="11" t="n"/>
      <c r="AI224" s="14">
        <f>IF(AND($AD224="保留中",$AF224&lt;&gt;""),TODAY()-$AF224,"")</f>
        <v/>
      </c>
      <c r="AJ224" s="12" t="inlineStr">
        <is>
          <t>R8.10</t>
        </is>
      </c>
      <c r="AK224" s="14">
        <f>IF($B224="","",IF($AO224="","対象年月が未入力／","")&amp;IF($B224="","",IF($AN224="","職員マスタに未登録の職員番号／",IF($Y224="","標準報酬月額が未登録／","")&amp;IF(AND($AO224&lt;&gt;"",OR(AND(INDEX(職員マスタ!$G$6:$G$405,$AN224)&lt;&gt;"",INDEX(職員マスタ!$G$6:$G$405,$AN224)&gt;EOMONTH($AO224,0)),AND(INDEX(職員マスタ!$H$6:$H$405,$AN224)&lt;&gt;"",INDEX(職員マスタ!$H$6:$H$405,$AN224)&lt;$AO224))),"対象月が時短期間外／","")&amp;IF(AND(INDEX(職員マスタ!$F$6:$F$405,$AN224)&lt;&gt;"",$AO224&lt;&gt;"",INDEX(職員マスタ!$F$6:$F$405,$AN224)&lt;$AO224),"対象月に子が2歳到達済／","")&amp;IF(AND($H224&lt;&gt;"",INDEX(職員マスタ!$B$6:$B$405,$AN224)&lt;&gt;"",SUBSTITUTE(SUBSTITUTE($H224," ","")," ","")&lt;&gt;SUBSTITUTE(SUBSTITUTE(INDEX(職員マスタ!$B$6:$B$405,$AN224)," ","")," ","")),"氏名がマスタと相違／","")&amp;IF(AND($Q224&lt;&gt;"",INDEX(職員マスタ!$E$6:$E$405,$AN224)&lt;&gt;"",$Q224&lt;&gt;INDEX(職員マスタ!$E$6:$E$405,$AN224)),"子の生年月日がマスタと相違／","")&amp;IF(AND($L224&lt;&gt;"",INDEX(職員マスタ!$G$6:$G$405,$AN224)&lt;&gt;"",$L224&lt;&gt;INDEX(職員マスタ!$G$6:$G$405,$AN224)),"時短開始日がマスタと相違／","")&amp;IF(AND($M224&lt;&gt;"",INDEX(職員マスタ!$H$6:$H$405,$AN224)&lt;&gt;"",$M224&lt;&gt;INDEX(職員マスタ!$H$6:$H$405,$AN224)),"時短終了日がマスタと相違／","")))&amp;IF(AND($B224&lt;&gt;"",$E224=""),"報酬額が未入力／","")&amp;IF(N($U224)&gt;0,"申請書に入力エラーが残っています／","")&amp;IF(AND($B224&lt;&gt;"",$AO224&lt;&gt;""),IF(COUNTIFS($B$6:$B$3005,$B224,$C$6:$C$3005,$C224,$D$6:$D$3005,$D224)&gt;1,"同じ月の請求が重複しています／",""),"")&amp;IF(AND(N($E224)&gt;0,$Z224&lt;&gt;"",$Z224&lt;&gt;"×",$AC224=0,$AB224=""),"計算額が下限以下のため不支給／",""))</f>
        <v/>
      </c>
      <c r="AL224" s="12" t="n"/>
      <c r="AM224" s="14">
        <f>IF($AD224="保留中",COUNTIF($AD$6:$AD224,"保留中"),"")</f>
        <v/>
      </c>
      <c r="AN224" s="14">
        <f>IF($AO224="","",IF(SUMPRODUCT(MAX((職員マスタ!$A$6:$A$405=$B224)*(((職員マスタ!$G$6:$G$405="")+(職員マスタ!$G$6:$G$405&lt;=EOMONTH($AO224,0)))&gt;0)*(((職員マスタ!$H$6:$H$405="")+(職員マスタ!$H$6:$H$405&gt;=$AO224))&gt;0)*(ROW(職員マスタ!$A$6:$A$405)-5)))&gt;0,SUMPRODUCT(MAX((職員マスタ!$A$6:$A$405=$B224)*(((職員マスタ!$G$6:$G$405="")+(職員マスタ!$G$6:$G$405&lt;=EOMONTH($AO224,0)))&gt;0)*(((職員マスタ!$H$6:$H$405="")+(職員マスタ!$H$6:$H$405&gt;=$AO224))&gt;0)*(ROW(職員マスタ!$A$6:$A$405)-5))),IFERROR(MATCH($B224,職員マスタ!$A$6:$A$405,0),"")))</f>
        <v/>
      </c>
      <c r="AO224" s="16">
        <f>IF(OR($B224="",$C224="",$D224=""),"",DATE($C224+2018,$D224,1))</f>
        <v/>
      </c>
    </row>
    <row r="225">
      <c r="A225" s="11" t="n"/>
      <c r="B225" s="12" t="n">
        <v>6502529</v>
      </c>
      <c r="C225" s="12" t="n">
        <v>8</v>
      </c>
      <c r="D225" s="12" t="n">
        <v>8</v>
      </c>
      <c r="E225" s="13" t="n">
        <v>200363</v>
      </c>
      <c r="F225" s="12" t="n"/>
      <c r="G225" s="13" t="n"/>
      <c r="H225" s="12" t="n"/>
      <c r="I225" s="12" t="n"/>
      <c r="J225" s="12" t="n"/>
      <c r="K225" s="12" t="n"/>
      <c r="L225" s="11" t="n"/>
      <c r="M225" s="11" t="n"/>
      <c r="N225" s="11" t="n"/>
      <c r="O225" s="11" t="n"/>
      <c r="P225" s="12" t="n"/>
      <c r="Q225" s="11" t="n"/>
      <c r="R225" s="12" t="n"/>
      <c r="S225" s="11" t="n"/>
      <c r="T225" s="12" t="n"/>
      <c r="U225" s="12" t="n"/>
      <c r="V225" s="14">
        <f>IF($AN225="",IF($B225="","",$H225),IF(INDEX(職員マスタ!$B$6:$B$405,$AN225)="",$H225,INDEX(職員マスタ!$B$6:$B$405,$AN225)))</f>
        <v/>
      </c>
      <c r="W225" s="14">
        <f>IF($AN225="",IF($B225="","",$R225),IF(INDEX(職員マスタ!$C$6:$C$405,$AN225)="",$R225,INDEX(職員マスタ!$C$6:$C$405,$AN225)))</f>
        <v/>
      </c>
      <c r="X225" s="14">
        <f>IF($AO225="","","R"&amp;$C225&amp;"."&amp;$D225)</f>
        <v/>
      </c>
      <c r="Y225" s="15">
        <f>IF($AN225="","",IF(INDEX(職員マスタ!$K$6:$K$405,$AN225)="","",INDEX(職員マスタ!$K$6:$K$405,$AN225)))</f>
        <v/>
      </c>
      <c r="Z225" s="14">
        <f>IF(OR($E225="",$Y225=""),"",IF($E225&gt;=$Y225,"×",IF($E225&gt;=$Y225*設定!$C$5,"△","○")))</f>
        <v/>
      </c>
      <c r="AA225" s="15">
        <f>IF($Z225="","",IF($Z225="×",0,IF($Z225="○",ROUNDDOWN($E225*設定!$C$4,0),ROUNDDOWN($E225*ROUND((9*$Y225-9*$E225)/(10*$E225),4),0))))</f>
        <v/>
      </c>
      <c r="AB225" s="13" t="n"/>
      <c r="AC225" s="15">
        <f>IF($B225="","",IF($AB225&lt;&gt;"",$AB225,IF($AA225="","",IF($AA225&lt;=設定!$C$3,0,$AA225))))</f>
        <v/>
      </c>
      <c r="AD225" s="14">
        <f>IF($B225="","",IF(AND($AE225&lt;&gt;"",$AG225="",$AJ225=""),"保留中",IF($AJ225&lt;&gt;"",IF(N($AC225)&gt;0,"支給済","不支給"),IF($AC225="","要確認",IF($AC225=0,"不支給","未処理")))))</f>
        <v/>
      </c>
      <c r="AE225" s="12" t="n"/>
      <c r="AF225" s="11" t="n"/>
      <c r="AG225" s="11" t="n"/>
      <c r="AH225" s="11" t="n"/>
      <c r="AI225" s="14">
        <f>IF(AND($AD225="保留中",$AF225&lt;&gt;""),TODAY()-$AF225,"")</f>
        <v/>
      </c>
      <c r="AJ225" s="12" t="inlineStr">
        <is>
          <t>R8.10</t>
        </is>
      </c>
      <c r="AK225" s="14">
        <f>IF($B225="","",IF($AO225="","対象年月が未入力／","")&amp;IF($B225="","",IF($AN225="","職員マスタに未登録の職員番号／",IF($Y225="","標準報酬月額が未登録／","")&amp;IF(AND($AO225&lt;&gt;"",OR(AND(INDEX(職員マスタ!$G$6:$G$405,$AN225)&lt;&gt;"",INDEX(職員マスタ!$G$6:$G$405,$AN225)&gt;EOMONTH($AO225,0)),AND(INDEX(職員マスタ!$H$6:$H$405,$AN225)&lt;&gt;"",INDEX(職員マスタ!$H$6:$H$405,$AN225)&lt;$AO225))),"対象月が時短期間外／","")&amp;IF(AND(INDEX(職員マスタ!$F$6:$F$405,$AN225)&lt;&gt;"",$AO225&lt;&gt;"",INDEX(職員マスタ!$F$6:$F$405,$AN225)&lt;$AO225),"対象月に子が2歳到達済／","")&amp;IF(AND($H225&lt;&gt;"",INDEX(職員マスタ!$B$6:$B$405,$AN225)&lt;&gt;"",SUBSTITUTE(SUBSTITUTE($H225," ","")," ","")&lt;&gt;SUBSTITUTE(SUBSTITUTE(INDEX(職員マスタ!$B$6:$B$405,$AN225)," ","")," ","")),"氏名がマスタと相違／","")&amp;IF(AND($Q225&lt;&gt;"",INDEX(職員マスタ!$E$6:$E$405,$AN225)&lt;&gt;"",$Q225&lt;&gt;INDEX(職員マスタ!$E$6:$E$405,$AN225)),"子の生年月日がマスタと相違／","")&amp;IF(AND($L225&lt;&gt;"",INDEX(職員マスタ!$G$6:$G$405,$AN225)&lt;&gt;"",$L225&lt;&gt;INDEX(職員マスタ!$G$6:$G$405,$AN225)),"時短開始日がマスタと相違／","")&amp;IF(AND($M225&lt;&gt;"",INDEX(職員マスタ!$H$6:$H$405,$AN225)&lt;&gt;"",$M225&lt;&gt;INDEX(職員マスタ!$H$6:$H$405,$AN225)),"時短終了日がマスタと相違／","")))&amp;IF(AND($B225&lt;&gt;"",$E225=""),"報酬額が未入力／","")&amp;IF(N($U225)&gt;0,"申請書に入力エラーが残っています／","")&amp;IF(AND($B225&lt;&gt;"",$AO225&lt;&gt;""),IF(COUNTIFS($B$6:$B$3005,$B225,$C$6:$C$3005,$C225,$D$6:$D$3005,$D225)&gt;1,"同じ月の請求が重複しています／",""),"")&amp;IF(AND(N($E225)&gt;0,$Z225&lt;&gt;"",$Z225&lt;&gt;"×",$AC225=0,$AB225=""),"計算額が下限以下のため不支給／",""))</f>
        <v/>
      </c>
      <c r="AL225" s="12" t="n"/>
      <c r="AM225" s="14">
        <f>IF($AD225="保留中",COUNTIF($AD$6:$AD225,"保留中"),"")</f>
        <v/>
      </c>
      <c r="AN225" s="14">
        <f>IF($AO225="","",IF(SUMPRODUCT(MAX((職員マスタ!$A$6:$A$405=$B225)*(((職員マスタ!$G$6:$G$405="")+(職員マスタ!$G$6:$G$405&lt;=EOMONTH($AO225,0)))&gt;0)*(((職員マスタ!$H$6:$H$405="")+(職員マスタ!$H$6:$H$405&gt;=$AO225))&gt;0)*(ROW(職員マスタ!$A$6:$A$405)-5)))&gt;0,SUMPRODUCT(MAX((職員マスタ!$A$6:$A$405=$B225)*(((職員マスタ!$G$6:$G$405="")+(職員マスタ!$G$6:$G$405&lt;=EOMONTH($AO225,0)))&gt;0)*(((職員マスタ!$H$6:$H$405="")+(職員マスタ!$H$6:$H$405&gt;=$AO225))&gt;0)*(ROW(職員マスタ!$A$6:$A$405)-5))),IFERROR(MATCH($B225,職員マスタ!$A$6:$A$405,0),"")))</f>
        <v/>
      </c>
      <c r="AO225" s="16">
        <f>IF(OR($B225="",$C225="",$D225=""),"",DATE($C225+2018,$D225,1))</f>
        <v/>
      </c>
    </row>
    <row r="226">
      <c r="A226" s="11" t="n"/>
      <c r="B226" s="12" t="n">
        <v>6502538</v>
      </c>
      <c r="C226" s="12" t="n">
        <v>7</v>
      </c>
      <c r="D226" s="12" t="n">
        <v>5</v>
      </c>
      <c r="E226" s="13" t="n">
        <v>106364</v>
      </c>
      <c r="F226" s="12" t="n"/>
      <c r="G226" s="13" t="n"/>
      <c r="H226" s="12" t="n"/>
      <c r="I226" s="12" t="n"/>
      <c r="J226" s="12" t="n"/>
      <c r="K226" s="12" t="n"/>
      <c r="L226" s="11" t="n"/>
      <c r="M226" s="11" t="n"/>
      <c r="N226" s="11" t="n"/>
      <c r="O226" s="11" t="n"/>
      <c r="P226" s="12" t="n"/>
      <c r="Q226" s="11" t="n"/>
      <c r="R226" s="12" t="n"/>
      <c r="S226" s="11" t="n"/>
      <c r="T226" s="12" t="n"/>
      <c r="U226" s="12" t="n"/>
      <c r="V226" s="14">
        <f>IF($AN226="",IF($B226="","",$H226),IF(INDEX(職員マスタ!$B$6:$B$405,$AN226)="",$H226,INDEX(職員マスタ!$B$6:$B$405,$AN226)))</f>
        <v/>
      </c>
      <c r="W226" s="14">
        <f>IF($AN226="",IF($B226="","",$R226),IF(INDEX(職員マスタ!$C$6:$C$405,$AN226)="",$R226,INDEX(職員マスタ!$C$6:$C$405,$AN226)))</f>
        <v/>
      </c>
      <c r="X226" s="14">
        <f>IF($AO226="","","R"&amp;$C226&amp;"."&amp;$D226)</f>
        <v/>
      </c>
      <c r="Y226" s="15">
        <f>IF($AN226="","",IF(INDEX(職員マスタ!$K$6:$K$405,$AN226)="","",INDEX(職員マスタ!$K$6:$K$405,$AN226)))</f>
        <v/>
      </c>
      <c r="Z226" s="14">
        <f>IF(OR($E226="",$Y226=""),"",IF($E226&gt;=$Y226,"×",IF($E226&gt;=$Y226*設定!$C$5,"△","○")))</f>
        <v/>
      </c>
      <c r="AA226" s="15">
        <f>IF($Z226="","",IF($Z226="×",0,IF($Z226="○",ROUNDDOWN($E226*設定!$C$4,0),ROUNDDOWN($E226*ROUND((9*$Y226-9*$E226)/(10*$E226),4),0))))</f>
        <v/>
      </c>
      <c r="AB226" s="13" t="n"/>
      <c r="AC226" s="15">
        <f>IF($B226="","",IF($AB226&lt;&gt;"",$AB226,IF($AA226="","",IF($AA226&lt;=設定!$C$3,0,$AA226))))</f>
        <v/>
      </c>
      <c r="AD226" s="14">
        <f>IF($B226="","",IF(AND($AE226&lt;&gt;"",$AG226="",$AJ226=""),"保留中",IF($AJ226&lt;&gt;"",IF(N($AC226)&gt;0,"支給済","不支給"),IF($AC226="","要確認",IF($AC226=0,"不支給","未処理")))))</f>
        <v/>
      </c>
      <c r="AE226" s="12" t="n"/>
      <c r="AF226" s="11" t="n"/>
      <c r="AG226" s="11" t="n"/>
      <c r="AH226" s="11" t="n"/>
      <c r="AI226" s="14">
        <f>IF(AND($AD226="保留中",$AF226&lt;&gt;""),TODAY()-$AF226,"")</f>
        <v/>
      </c>
      <c r="AJ226" s="12" t="inlineStr">
        <is>
          <t>R7.8</t>
        </is>
      </c>
      <c r="AK226" s="14">
        <f>IF($B226="","",IF($AO226="","対象年月が未入力／","")&amp;IF($B226="","",IF($AN226="","職員マスタに未登録の職員番号／",IF($Y226="","標準報酬月額が未登録／","")&amp;IF(AND($AO226&lt;&gt;"",OR(AND(INDEX(職員マスタ!$G$6:$G$405,$AN226)&lt;&gt;"",INDEX(職員マスタ!$G$6:$G$405,$AN226)&gt;EOMONTH($AO226,0)),AND(INDEX(職員マスタ!$H$6:$H$405,$AN226)&lt;&gt;"",INDEX(職員マスタ!$H$6:$H$405,$AN226)&lt;$AO226))),"対象月が時短期間外／","")&amp;IF(AND(INDEX(職員マスタ!$F$6:$F$405,$AN226)&lt;&gt;"",$AO226&lt;&gt;"",INDEX(職員マスタ!$F$6:$F$405,$AN226)&lt;$AO226),"対象月に子が2歳到達済／","")&amp;IF(AND($H226&lt;&gt;"",INDEX(職員マスタ!$B$6:$B$405,$AN226)&lt;&gt;"",SUBSTITUTE(SUBSTITUTE($H226," ","")," ","")&lt;&gt;SUBSTITUTE(SUBSTITUTE(INDEX(職員マスタ!$B$6:$B$405,$AN226)," ","")," ","")),"氏名がマスタと相違／","")&amp;IF(AND($Q226&lt;&gt;"",INDEX(職員マスタ!$E$6:$E$405,$AN226)&lt;&gt;"",$Q226&lt;&gt;INDEX(職員マスタ!$E$6:$E$405,$AN226)),"子の生年月日がマスタと相違／","")&amp;IF(AND($L226&lt;&gt;"",INDEX(職員マスタ!$G$6:$G$405,$AN226)&lt;&gt;"",$L226&lt;&gt;INDEX(職員マスタ!$G$6:$G$405,$AN226)),"時短開始日がマスタと相違／","")&amp;IF(AND($M226&lt;&gt;"",INDEX(職員マスタ!$H$6:$H$405,$AN226)&lt;&gt;"",$M226&lt;&gt;INDEX(職員マスタ!$H$6:$H$405,$AN226)),"時短終了日がマスタと相違／","")))&amp;IF(AND($B226&lt;&gt;"",$E226=""),"報酬額が未入力／","")&amp;IF(N($U226)&gt;0,"申請書に入力エラーが残っています／","")&amp;IF(AND($B226&lt;&gt;"",$AO226&lt;&gt;""),IF(COUNTIFS($B$6:$B$3005,$B226,$C$6:$C$3005,$C226,$D$6:$D$3005,$D226)&gt;1,"同じ月の請求が重複しています／",""),"")&amp;IF(AND(N($E226)&gt;0,$Z226&lt;&gt;"",$Z226&lt;&gt;"×",$AC226=0,$AB226=""),"計算額が下限以下のため不支給／",""))</f>
        <v/>
      </c>
      <c r="AL226" s="12" t="n"/>
      <c r="AM226" s="14">
        <f>IF($AD226="保留中",COUNTIF($AD$6:$AD226,"保留中"),"")</f>
        <v/>
      </c>
      <c r="AN226" s="14">
        <f>IF($AO226="","",IF(SUMPRODUCT(MAX((職員マスタ!$A$6:$A$405=$B226)*(((職員マスタ!$G$6:$G$405="")+(職員マスタ!$G$6:$G$405&lt;=EOMONTH($AO226,0)))&gt;0)*(((職員マスタ!$H$6:$H$405="")+(職員マスタ!$H$6:$H$405&gt;=$AO226))&gt;0)*(ROW(職員マスタ!$A$6:$A$405)-5)))&gt;0,SUMPRODUCT(MAX((職員マスタ!$A$6:$A$405=$B226)*(((職員マスタ!$G$6:$G$405="")+(職員マスタ!$G$6:$G$405&lt;=EOMONTH($AO226,0)))&gt;0)*(((職員マスタ!$H$6:$H$405="")+(職員マスタ!$H$6:$H$405&gt;=$AO226))&gt;0)*(ROW(職員マスタ!$A$6:$A$405)-5))),IFERROR(MATCH($B226,職員マスタ!$A$6:$A$405,0),"")))</f>
        <v/>
      </c>
      <c r="AO226" s="16">
        <f>IF(OR($B226="",$C226="",$D226=""),"",DATE($C226+2018,$D226,1))</f>
        <v/>
      </c>
    </row>
    <row r="227">
      <c r="A227" s="11" t="n"/>
      <c r="B227" s="12" t="n">
        <v>6502538</v>
      </c>
      <c r="C227" s="12" t="n">
        <v>7</v>
      </c>
      <c r="D227" s="12" t="n">
        <v>6</v>
      </c>
      <c r="E227" s="13" t="n">
        <v>156002</v>
      </c>
      <c r="F227" s="12" t="n"/>
      <c r="G227" s="13" t="n"/>
      <c r="H227" s="12" t="n"/>
      <c r="I227" s="12" t="n"/>
      <c r="J227" s="12" t="n"/>
      <c r="K227" s="12" t="n"/>
      <c r="L227" s="11" t="n"/>
      <c r="M227" s="11" t="n"/>
      <c r="N227" s="11" t="n"/>
      <c r="O227" s="11" t="n"/>
      <c r="P227" s="12" t="n"/>
      <c r="Q227" s="11" t="n"/>
      <c r="R227" s="12" t="n"/>
      <c r="S227" s="11" t="n"/>
      <c r="T227" s="12" t="n"/>
      <c r="U227" s="12" t="n"/>
      <c r="V227" s="14">
        <f>IF($AN227="",IF($B227="","",$H227),IF(INDEX(職員マスタ!$B$6:$B$405,$AN227)="",$H227,INDEX(職員マスタ!$B$6:$B$405,$AN227)))</f>
        <v/>
      </c>
      <c r="W227" s="14">
        <f>IF($AN227="",IF($B227="","",$R227),IF(INDEX(職員マスタ!$C$6:$C$405,$AN227)="",$R227,INDEX(職員マスタ!$C$6:$C$405,$AN227)))</f>
        <v/>
      </c>
      <c r="X227" s="14">
        <f>IF($AO227="","","R"&amp;$C227&amp;"."&amp;$D227)</f>
        <v/>
      </c>
      <c r="Y227" s="15">
        <f>IF($AN227="","",IF(INDEX(職員マスタ!$K$6:$K$405,$AN227)="","",INDEX(職員マスタ!$K$6:$K$405,$AN227)))</f>
        <v/>
      </c>
      <c r="Z227" s="14">
        <f>IF(OR($E227="",$Y227=""),"",IF($E227&gt;=$Y227,"×",IF($E227&gt;=$Y227*設定!$C$5,"△","○")))</f>
        <v/>
      </c>
      <c r="AA227" s="15">
        <f>IF($Z227="","",IF($Z227="×",0,IF($Z227="○",ROUNDDOWN($E227*設定!$C$4,0),ROUNDDOWN($E227*ROUND((9*$Y227-9*$E227)/(10*$E227),4),0))))</f>
        <v/>
      </c>
      <c r="AB227" s="13" t="n"/>
      <c r="AC227" s="15">
        <f>IF($B227="","",IF($AB227&lt;&gt;"",$AB227,IF($AA227="","",IF($AA227&lt;=設定!$C$3,0,$AA227))))</f>
        <v/>
      </c>
      <c r="AD227" s="14">
        <f>IF($B227="","",IF(AND($AE227&lt;&gt;"",$AG227="",$AJ227=""),"保留中",IF($AJ227&lt;&gt;"",IF(N($AC227)&gt;0,"支給済","不支給"),IF($AC227="","要確認",IF($AC227=0,"不支給","未処理")))))</f>
        <v/>
      </c>
      <c r="AE227" s="12" t="n"/>
      <c r="AF227" s="11" t="n"/>
      <c r="AG227" s="11" t="n"/>
      <c r="AH227" s="11" t="n"/>
      <c r="AI227" s="14">
        <f>IF(AND($AD227="保留中",$AF227&lt;&gt;""),TODAY()-$AF227,"")</f>
        <v/>
      </c>
      <c r="AJ227" s="12" t="inlineStr">
        <is>
          <t>R7.8</t>
        </is>
      </c>
      <c r="AK227" s="14">
        <f>IF($B227="","",IF($AO227="","対象年月が未入力／","")&amp;IF($B227="","",IF($AN227="","職員マスタに未登録の職員番号／",IF($Y227="","標準報酬月額が未登録／","")&amp;IF(AND($AO227&lt;&gt;"",OR(AND(INDEX(職員マスタ!$G$6:$G$405,$AN227)&lt;&gt;"",INDEX(職員マスタ!$G$6:$G$405,$AN227)&gt;EOMONTH($AO227,0)),AND(INDEX(職員マスタ!$H$6:$H$405,$AN227)&lt;&gt;"",INDEX(職員マスタ!$H$6:$H$405,$AN227)&lt;$AO227))),"対象月が時短期間外／","")&amp;IF(AND(INDEX(職員マスタ!$F$6:$F$405,$AN227)&lt;&gt;"",$AO227&lt;&gt;"",INDEX(職員マスタ!$F$6:$F$405,$AN227)&lt;$AO227),"対象月に子が2歳到達済／","")&amp;IF(AND($H227&lt;&gt;"",INDEX(職員マスタ!$B$6:$B$405,$AN227)&lt;&gt;"",SUBSTITUTE(SUBSTITUTE($H227," ","")," ","")&lt;&gt;SUBSTITUTE(SUBSTITUTE(INDEX(職員マスタ!$B$6:$B$405,$AN227)," ","")," ","")),"氏名がマスタと相違／","")&amp;IF(AND($Q227&lt;&gt;"",INDEX(職員マスタ!$E$6:$E$405,$AN227)&lt;&gt;"",$Q227&lt;&gt;INDEX(職員マスタ!$E$6:$E$405,$AN227)),"子の生年月日がマスタと相違／","")&amp;IF(AND($L227&lt;&gt;"",INDEX(職員マスタ!$G$6:$G$405,$AN227)&lt;&gt;"",$L227&lt;&gt;INDEX(職員マスタ!$G$6:$G$405,$AN227)),"時短開始日がマスタと相違／","")&amp;IF(AND($M227&lt;&gt;"",INDEX(職員マスタ!$H$6:$H$405,$AN227)&lt;&gt;"",$M227&lt;&gt;INDEX(職員マスタ!$H$6:$H$405,$AN227)),"時短終了日がマスタと相違／","")))&amp;IF(AND($B227&lt;&gt;"",$E227=""),"報酬額が未入力／","")&amp;IF(N($U227)&gt;0,"申請書に入力エラーが残っています／","")&amp;IF(AND($B227&lt;&gt;"",$AO227&lt;&gt;""),IF(COUNTIFS($B$6:$B$3005,$B227,$C$6:$C$3005,$C227,$D$6:$D$3005,$D227)&gt;1,"同じ月の請求が重複しています／",""),"")&amp;IF(AND(N($E227)&gt;0,$Z227&lt;&gt;"",$Z227&lt;&gt;"×",$AC227=0,$AB227=""),"計算額が下限以下のため不支給／",""))</f>
        <v/>
      </c>
      <c r="AL227" s="12" t="n"/>
      <c r="AM227" s="14">
        <f>IF($AD227="保留中",COUNTIF($AD$6:$AD227,"保留中"),"")</f>
        <v/>
      </c>
      <c r="AN227" s="14">
        <f>IF($AO227="","",IF(SUMPRODUCT(MAX((職員マスタ!$A$6:$A$405=$B227)*(((職員マスタ!$G$6:$G$405="")+(職員マスタ!$G$6:$G$405&lt;=EOMONTH($AO227,0)))&gt;0)*(((職員マスタ!$H$6:$H$405="")+(職員マスタ!$H$6:$H$405&gt;=$AO227))&gt;0)*(ROW(職員マスタ!$A$6:$A$405)-5)))&gt;0,SUMPRODUCT(MAX((職員マスタ!$A$6:$A$405=$B227)*(((職員マスタ!$G$6:$G$405="")+(職員マスタ!$G$6:$G$405&lt;=EOMONTH($AO227,0)))&gt;0)*(((職員マスタ!$H$6:$H$405="")+(職員マスタ!$H$6:$H$405&gt;=$AO227))&gt;0)*(ROW(職員マスタ!$A$6:$A$405)-5))),IFERROR(MATCH($B227,職員マスタ!$A$6:$A$405,0),"")))</f>
        <v/>
      </c>
      <c r="AO227" s="16">
        <f>IF(OR($B227="",$C227="",$D227=""),"",DATE($C227+2018,$D227,1))</f>
        <v/>
      </c>
    </row>
    <row r="228">
      <c r="A228" s="11" t="n"/>
      <c r="B228" s="12" t="n">
        <v>6502587</v>
      </c>
      <c r="C228" s="12" t="n">
        <v>8</v>
      </c>
      <c r="D228" s="12" t="n">
        <v>4</v>
      </c>
      <c r="E228" s="13" t="n">
        <v>79530</v>
      </c>
      <c r="F228" s="12" t="n"/>
      <c r="G228" s="13" t="n"/>
      <c r="H228" s="12" t="n"/>
      <c r="I228" s="12" t="n"/>
      <c r="J228" s="12" t="n"/>
      <c r="K228" s="12" t="n"/>
      <c r="L228" s="11" t="n"/>
      <c r="M228" s="11" t="n"/>
      <c r="N228" s="11" t="n"/>
      <c r="O228" s="11" t="n"/>
      <c r="P228" s="12" t="n"/>
      <c r="Q228" s="11" t="n"/>
      <c r="R228" s="12" t="n"/>
      <c r="S228" s="11" t="n"/>
      <c r="T228" s="12" t="n"/>
      <c r="U228" s="12" t="n"/>
      <c r="V228" s="14">
        <f>IF($AN228="",IF($B228="","",$H228),IF(INDEX(職員マスタ!$B$6:$B$405,$AN228)="",$H228,INDEX(職員マスタ!$B$6:$B$405,$AN228)))</f>
        <v/>
      </c>
      <c r="W228" s="14">
        <f>IF($AN228="",IF($B228="","",$R228),IF(INDEX(職員マスタ!$C$6:$C$405,$AN228)="",$R228,INDEX(職員マスタ!$C$6:$C$405,$AN228)))</f>
        <v/>
      </c>
      <c r="X228" s="14">
        <f>IF($AO228="","","R"&amp;$C228&amp;"."&amp;$D228)</f>
        <v/>
      </c>
      <c r="Y228" s="15">
        <f>IF($AN228="","",IF(INDEX(職員マスタ!$K$6:$K$405,$AN228)="","",INDEX(職員マスタ!$K$6:$K$405,$AN228)))</f>
        <v/>
      </c>
      <c r="Z228" s="14">
        <f>IF(OR($E228="",$Y228=""),"",IF($E228&gt;=$Y228,"×",IF($E228&gt;=$Y228*設定!$C$5,"△","○")))</f>
        <v/>
      </c>
      <c r="AA228" s="15">
        <f>IF($Z228="","",IF($Z228="×",0,IF($Z228="○",ROUNDDOWN($E228*設定!$C$4,0),ROUNDDOWN($E228*ROUND((9*$Y228-9*$E228)/(10*$E228),4),0))))</f>
        <v/>
      </c>
      <c r="AB228" s="13" t="n"/>
      <c r="AC228" s="15">
        <f>IF($B228="","",IF($AB228&lt;&gt;"",$AB228,IF($AA228="","",IF($AA228&lt;=設定!$C$3,0,$AA228))))</f>
        <v/>
      </c>
      <c r="AD228" s="14">
        <f>IF($B228="","",IF(AND($AE228&lt;&gt;"",$AG228="",$AJ228=""),"保留中",IF($AJ228&lt;&gt;"",IF(N($AC228)&gt;0,"支給済","不支給"),IF($AC228="","要確認",IF($AC228=0,"不支給","未処理")))))</f>
        <v/>
      </c>
      <c r="AE228" s="12" t="n"/>
      <c r="AF228" s="11" t="n"/>
      <c r="AG228" s="11" t="n"/>
      <c r="AH228" s="11" t="n"/>
      <c r="AI228" s="14">
        <f>IF(AND($AD228="保留中",$AF228&lt;&gt;""),TODAY()-$AF228,"")</f>
        <v/>
      </c>
      <c r="AJ228" s="12" t="inlineStr">
        <is>
          <t>R8.10</t>
        </is>
      </c>
      <c r="AK228" s="14">
        <f>IF($B228="","",IF($AO228="","対象年月が未入力／","")&amp;IF($B228="","",IF($AN228="","職員マスタに未登録の職員番号／",IF($Y228="","標準報酬月額が未登録／","")&amp;IF(AND($AO228&lt;&gt;"",OR(AND(INDEX(職員マスタ!$G$6:$G$405,$AN228)&lt;&gt;"",INDEX(職員マスタ!$G$6:$G$405,$AN228)&gt;EOMONTH($AO228,0)),AND(INDEX(職員マスタ!$H$6:$H$405,$AN228)&lt;&gt;"",INDEX(職員マスタ!$H$6:$H$405,$AN228)&lt;$AO228))),"対象月が時短期間外／","")&amp;IF(AND(INDEX(職員マスタ!$F$6:$F$405,$AN228)&lt;&gt;"",$AO228&lt;&gt;"",INDEX(職員マスタ!$F$6:$F$405,$AN228)&lt;$AO228),"対象月に子が2歳到達済／","")&amp;IF(AND($H228&lt;&gt;"",INDEX(職員マスタ!$B$6:$B$405,$AN228)&lt;&gt;"",SUBSTITUTE(SUBSTITUTE($H228," ","")," ","")&lt;&gt;SUBSTITUTE(SUBSTITUTE(INDEX(職員マスタ!$B$6:$B$405,$AN228)," ","")," ","")),"氏名がマスタと相違／","")&amp;IF(AND($Q228&lt;&gt;"",INDEX(職員マスタ!$E$6:$E$405,$AN228)&lt;&gt;"",$Q228&lt;&gt;INDEX(職員マスタ!$E$6:$E$405,$AN228)),"子の生年月日がマスタと相違／","")&amp;IF(AND($L228&lt;&gt;"",INDEX(職員マスタ!$G$6:$G$405,$AN228)&lt;&gt;"",$L228&lt;&gt;INDEX(職員マスタ!$G$6:$G$405,$AN228)),"時短開始日がマスタと相違／","")&amp;IF(AND($M228&lt;&gt;"",INDEX(職員マスタ!$H$6:$H$405,$AN228)&lt;&gt;"",$M228&lt;&gt;INDEX(職員マスタ!$H$6:$H$405,$AN228)),"時短終了日がマスタと相違／","")))&amp;IF(AND($B228&lt;&gt;"",$E228=""),"報酬額が未入力／","")&amp;IF(N($U228)&gt;0,"申請書に入力エラーが残っています／","")&amp;IF(AND($B228&lt;&gt;"",$AO228&lt;&gt;""),IF(COUNTIFS($B$6:$B$3005,$B228,$C$6:$C$3005,$C228,$D$6:$D$3005,$D228)&gt;1,"同じ月の請求が重複しています／",""),"")&amp;IF(AND(N($E228)&gt;0,$Z228&lt;&gt;"",$Z228&lt;&gt;"×",$AC228=0,$AB228=""),"計算額が下限以下のため不支給／",""))</f>
        <v/>
      </c>
      <c r="AL228" s="12" t="n"/>
      <c r="AM228" s="14">
        <f>IF($AD228="保留中",COUNTIF($AD$6:$AD228,"保留中"),"")</f>
        <v/>
      </c>
      <c r="AN228" s="14">
        <f>IF($AO228="","",IF(SUMPRODUCT(MAX((職員マスタ!$A$6:$A$405=$B228)*(((職員マスタ!$G$6:$G$405="")+(職員マスタ!$G$6:$G$405&lt;=EOMONTH($AO228,0)))&gt;0)*(((職員マスタ!$H$6:$H$405="")+(職員マスタ!$H$6:$H$405&gt;=$AO228))&gt;0)*(ROW(職員マスタ!$A$6:$A$405)-5)))&gt;0,SUMPRODUCT(MAX((職員マスタ!$A$6:$A$405=$B228)*(((職員マスタ!$G$6:$G$405="")+(職員マスタ!$G$6:$G$405&lt;=EOMONTH($AO228,0)))&gt;0)*(((職員マスタ!$H$6:$H$405="")+(職員マスタ!$H$6:$H$405&gt;=$AO228))&gt;0)*(ROW(職員マスタ!$A$6:$A$405)-5))),IFERROR(MATCH($B228,職員マスタ!$A$6:$A$405,0),"")))</f>
        <v/>
      </c>
      <c r="AO228" s="16">
        <f>IF(OR($B228="",$C228="",$D228=""),"",DATE($C228+2018,$D228,1))</f>
        <v/>
      </c>
    </row>
    <row r="229">
      <c r="A229" s="11" t="n"/>
      <c r="B229" s="12" t="n">
        <v>6502587</v>
      </c>
      <c r="C229" s="12" t="n">
        <v>8</v>
      </c>
      <c r="D229" s="12" t="n">
        <v>5</v>
      </c>
      <c r="E229" s="13" t="n">
        <v>198283</v>
      </c>
      <c r="F229" s="12" t="n"/>
      <c r="G229" s="13" t="n"/>
      <c r="H229" s="12" t="n"/>
      <c r="I229" s="12" t="n"/>
      <c r="J229" s="12" t="n"/>
      <c r="K229" s="12" t="n"/>
      <c r="L229" s="11" t="n"/>
      <c r="M229" s="11" t="n"/>
      <c r="N229" s="11" t="n"/>
      <c r="O229" s="11" t="n"/>
      <c r="P229" s="12" t="n"/>
      <c r="Q229" s="11" t="n"/>
      <c r="R229" s="12" t="n"/>
      <c r="S229" s="11" t="n"/>
      <c r="T229" s="12" t="n"/>
      <c r="U229" s="12" t="n"/>
      <c r="V229" s="14">
        <f>IF($AN229="",IF($B229="","",$H229),IF(INDEX(職員マスタ!$B$6:$B$405,$AN229)="",$H229,INDEX(職員マスタ!$B$6:$B$405,$AN229)))</f>
        <v/>
      </c>
      <c r="W229" s="14">
        <f>IF($AN229="",IF($B229="","",$R229),IF(INDEX(職員マスタ!$C$6:$C$405,$AN229)="",$R229,INDEX(職員マスタ!$C$6:$C$405,$AN229)))</f>
        <v/>
      </c>
      <c r="X229" s="14">
        <f>IF($AO229="","","R"&amp;$C229&amp;"."&amp;$D229)</f>
        <v/>
      </c>
      <c r="Y229" s="15">
        <f>IF($AN229="","",IF(INDEX(職員マスタ!$K$6:$K$405,$AN229)="","",INDEX(職員マスタ!$K$6:$K$405,$AN229)))</f>
        <v/>
      </c>
      <c r="Z229" s="14">
        <f>IF(OR($E229="",$Y229=""),"",IF($E229&gt;=$Y229,"×",IF($E229&gt;=$Y229*設定!$C$5,"△","○")))</f>
        <v/>
      </c>
      <c r="AA229" s="15">
        <f>IF($Z229="","",IF($Z229="×",0,IF($Z229="○",ROUNDDOWN($E229*設定!$C$4,0),ROUNDDOWN($E229*ROUND((9*$Y229-9*$E229)/(10*$E229),4),0))))</f>
        <v/>
      </c>
      <c r="AB229" s="13" t="n"/>
      <c r="AC229" s="15">
        <f>IF($B229="","",IF($AB229&lt;&gt;"",$AB229,IF($AA229="","",IF($AA229&lt;=設定!$C$3,0,$AA229))))</f>
        <v/>
      </c>
      <c r="AD229" s="14">
        <f>IF($B229="","",IF(AND($AE229&lt;&gt;"",$AG229="",$AJ229=""),"保留中",IF($AJ229&lt;&gt;"",IF(N($AC229)&gt;0,"支給済","不支給"),IF($AC229="","要確認",IF($AC229=0,"不支給","未処理")))))</f>
        <v/>
      </c>
      <c r="AE229" s="12" t="n"/>
      <c r="AF229" s="11" t="n"/>
      <c r="AG229" s="11" t="n"/>
      <c r="AH229" s="11" t="n"/>
      <c r="AI229" s="14">
        <f>IF(AND($AD229="保留中",$AF229&lt;&gt;""),TODAY()-$AF229,"")</f>
        <v/>
      </c>
      <c r="AJ229" s="12" t="inlineStr">
        <is>
          <t>R8.10</t>
        </is>
      </c>
      <c r="AK229" s="14">
        <f>IF($B229="","",IF($AO229="","対象年月が未入力／","")&amp;IF($B229="","",IF($AN229="","職員マスタに未登録の職員番号／",IF($Y229="","標準報酬月額が未登録／","")&amp;IF(AND($AO229&lt;&gt;"",OR(AND(INDEX(職員マスタ!$G$6:$G$405,$AN229)&lt;&gt;"",INDEX(職員マスタ!$G$6:$G$405,$AN229)&gt;EOMONTH($AO229,0)),AND(INDEX(職員マスタ!$H$6:$H$405,$AN229)&lt;&gt;"",INDEX(職員マスタ!$H$6:$H$405,$AN229)&lt;$AO229))),"対象月が時短期間外／","")&amp;IF(AND(INDEX(職員マスタ!$F$6:$F$405,$AN229)&lt;&gt;"",$AO229&lt;&gt;"",INDEX(職員マスタ!$F$6:$F$405,$AN229)&lt;$AO229),"対象月に子が2歳到達済／","")&amp;IF(AND($H229&lt;&gt;"",INDEX(職員マスタ!$B$6:$B$405,$AN229)&lt;&gt;"",SUBSTITUTE(SUBSTITUTE($H229," ","")," ","")&lt;&gt;SUBSTITUTE(SUBSTITUTE(INDEX(職員マスタ!$B$6:$B$405,$AN229)," ","")," ","")),"氏名がマスタと相違／","")&amp;IF(AND($Q229&lt;&gt;"",INDEX(職員マスタ!$E$6:$E$405,$AN229)&lt;&gt;"",$Q229&lt;&gt;INDEX(職員マスタ!$E$6:$E$405,$AN229)),"子の生年月日がマスタと相違／","")&amp;IF(AND($L229&lt;&gt;"",INDEX(職員マスタ!$G$6:$G$405,$AN229)&lt;&gt;"",$L229&lt;&gt;INDEX(職員マスタ!$G$6:$G$405,$AN229)),"時短開始日がマスタと相違／","")&amp;IF(AND($M229&lt;&gt;"",INDEX(職員マスタ!$H$6:$H$405,$AN229)&lt;&gt;"",$M229&lt;&gt;INDEX(職員マスタ!$H$6:$H$405,$AN229)),"時短終了日がマスタと相違／","")))&amp;IF(AND($B229&lt;&gt;"",$E229=""),"報酬額が未入力／","")&amp;IF(N($U229)&gt;0,"申請書に入力エラーが残っています／","")&amp;IF(AND($B229&lt;&gt;"",$AO229&lt;&gt;""),IF(COUNTIFS($B$6:$B$3005,$B229,$C$6:$C$3005,$C229,$D$6:$D$3005,$D229)&gt;1,"同じ月の請求が重複しています／",""),"")&amp;IF(AND(N($E229)&gt;0,$Z229&lt;&gt;"",$Z229&lt;&gt;"×",$AC229=0,$AB229=""),"計算額が下限以下のため不支給／",""))</f>
        <v/>
      </c>
      <c r="AL229" s="12" t="n"/>
      <c r="AM229" s="14">
        <f>IF($AD229="保留中",COUNTIF($AD$6:$AD229,"保留中"),"")</f>
        <v/>
      </c>
      <c r="AN229" s="14">
        <f>IF($AO229="","",IF(SUMPRODUCT(MAX((職員マスタ!$A$6:$A$405=$B229)*(((職員マスタ!$G$6:$G$405="")+(職員マスタ!$G$6:$G$405&lt;=EOMONTH($AO229,0)))&gt;0)*(((職員マスタ!$H$6:$H$405="")+(職員マスタ!$H$6:$H$405&gt;=$AO229))&gt;0)*(ROW(職員マスタ!$A$6:$A$405)-5)))&gt;0,SUMPRODUCT(MAX((職員マスタ!$A$6:$A$405=$B229)*(((職員マスタ!$G$6:$G$405="")+(職員マスタ!$G$6:$G$405&lt;=EOMONTH($AO229,0)))&gt;0)*(((職員マスタ!$H$6:$H$405="")+(職員マスタ!$H$6:$H$405&gt;=$AO229))&gt;0)*(ROW(職員マスタ!$A$6:$A$405)-5))),IFERROR(MATCH($B229,職員マスタ!$A$6:$A$405,0),"")))</f>
        <v/>
      </c>
      <c r="AO229" s="16">
        <f>IF(OR($B229="",$C229="",$D229=""),"",DATE($C229+2018,$D229,1))</f>
        <v/>
      </c>
    </row>
    <row r="230">
      <c r="A230" s="11" t="n"/>
      <c r="B230" s="12" t="n">
        <v>6502587</v>
      </c>
      <c r="C230" s="12" t="n">
        <v>8</v>
      </c>
      <c r="D230" s="12" t="n">
        <v>6</v>
      </c>
      <c r="E230" s="13" t="n">
        <v>198451</v>
      </c>
      <c r="F230" s="12" t="n"/>
      <c r="G230" s="13" t="n"/>
      <c r="H230" s="12" t="n"/>
      <c r="I230" s="12" t="n"/>
      <c r="J230" s="12" t="n"/>
      <c r="K230" s="12" t="n"/>
      <c r="L230" s="11" t="n"/>
      <c r="M230" s="11" t="n"/>
      <c r="N230" s="11" t="n"/>
      <c r="O230" s="11" t="n"/>
      <c r="P230" s="12" t="n"/>
      <c r="Q230" s="11" t="n"/>
      <c r="R230" s="12" t="n"/>
      <c r="S230" s="11" t="n"/>
      <c r="T230" s="12" t="n"/>
      <c r="U230" s="12" t="n"/>
      <c r="V230" s="14">
        <f>IF($AN230="",IF($B230="","",$H230),IF(INDEX(職員マスタ!$B$6:$B$405,$AN230)="",$H230,INDEX(職員マスタ!$B$6:$B$405,$AN230)))</f>
        <v/>
      </c>
      <c r="W230" s="14">
        <f>IF($AN230="",IF($B230="","",$R230),IF(INDEX(職員マスタ!$C$6:$C$405,$AN230)="",$R230,INDEX(職員マスタ!$C$6:$C$405,$AN230)))</f>
        <v/>
      </c>
      <c r="X230" s="14">
        <f>IF($AO230="","","R"&amp;$C230&amp;"."&amp;$D230)</f>
        <v/>
      </c>
      <c r="Y230" s="15">
        <f>IF($AN230="","",IF(INDEX(職員マスタ!$K$6:$K$405,$AN230)="","",INDEX(職員マスタ!$K$6:$K$405,$AN230)))</f>
        <v/>
      </c>
      <c r="Z230" s="14">
        <f>IF(OR($E230="",$Y230=""),"",IF($E230&gt;=$Y230,"×",IF($E230&gt;=$Y230*設定!$C$5,"△","○")))</f>
        <v/>
      </c>
      <c r="AA230" s="15">
        <f>IF($Z230="","",IF($Z230="×",0,IF($Z230="○",ROUNDDOWN($E230*設定!$C$4,0),ROUNDDOWN($E230*ROUND((9*$Y230-9*$E230)/(10*$E230),4),0))))</f>
        <v/>
      </c>
      <c r="AB230" s="13" t="n"/>
      <c r="AC230" s="15">
        <f>IF($B230="","",IF($AB230&lt;&gt;"",$AB230,IF($AA230="","",IF($AA230&lt;=設定!$C$3,0,$AA230))))</f>
        <v/>
      </c>
      <c r="AD230" s="14">
        <f>IF($B230="","",IF(AND($AE230&lt;&gt;"",$AG230="",$AJ230=""),"保留中",IF($AJ230&lt;&gt;"",IF(N($AC230)&gt;0,"支給済","不支給"),IF($AC230="","要確認",IF($AC230=0,"不支給","未処理")))))</f>
        <v/>
      </c>
      <c r="AE230" s="12" t="n"/>
      <c r="AF230" s="11" t="n"/>
      <c r="AG230" s="11" t="n"/>
      <c r="AH230" s="11" t="n"/>
      <c r="AI230" s="14">
        <f>IF(AND($AD230="保留中",$AF230&lt;&gt;""),TODAY()-$AF230,"")</f>
        <v/>
      </c>
      <c r="AJ230" s="12" t="inlineStr">
        <is>
          <t>R8.10</t>
        </is>
      </c>
      <c r="AK230" s="14">
        <f>IF($B230="","",IF($AO230="","対象年月が未入力／","")&amp;IF($B230="","",IF($AN230="","職員マスタに未登録の職員番号／",IF($Y230="","標準報酬月額が未登録／","")&amp;IF(AND($AO230&lt;&gt;"",OR(AND(INDEX(職員マスタ!$G$6:$G$405,$AN230)&lt;&gt;"",INDEX(職員マスタ!$G$6:$G$405,$AN230)&gt;EOMONTH($AO230,0)),AND(INDEX(職員マスタ!$H$6:$H$405,$AN230)&lt;&gt;"",INDEX(職員マスタ!$H$6:$H$405,$AN230)&lt;$AO230))),"対象月が時短期間外／","")&amp;IF(AND(INDEX(職員マスタ!$F$6:$F$405,$AN230)&lt;&gt;"",$AO230&lt;&gt;"",INDEX(職員マスタ!$F$6:$F$405,$AN230)&lt;$AO230),"対象月に子が2歳到達済／","")&amp;IF(AND($H230&lt;&gt;"",INDEX(職員マスタ!$B$6:$B$405,$AN230)&lt;&gt;"",SUBSTITUTE(SUBSTITUTE($H230," ","")," ","")&lt;&gt;SUBSTITUTE(SUBSTITUTE(INDEX(職員マスタ!$B$6:$B$405,$AN230)," ","")," ","")),"氏名がマスタと相違／","")&amp;IF(AND($Q230&lt;&gt;"",INDEX(職員マスタ!$E$6:$E$405,$AN230)&lt;&gt;"",$Q230&lt;&gt;INDEX(職員マスタ!$E$6:$E$405,$AN230)),"子の生年月日がマスタと相違／","")&amp;IF(AND($L230&lt;&gt;"",INDEX(職員マスタ!$G$6:$G$405,$AN230)&lt;&gt;"",$L230&lt;&gt;INDEX(職員マスタ!$G$6:$G$405,$AN230)),"時短開始日がマスタと相違／","")&amp;IF(AND($M230&lt;&gt;"",INDEX(職員マスタ!$H$6:$H$405,$AN230)&lt;&gt;"",$M230&lt;&gt;INDEX(職員マスタ!$H$6:$H$405,$AN230)),"時短終了日がマスタと相違／","")))&amp;IF(AND($B230&lt;&gt;"",$E230=""),"報酬額が未入力／","")&amp;IF(N($U230)&gt;0,"申請書に入力エラーが残っています／","")&amp;IF(AND($B230&lt;&gt;"",$AO230&lt;&gt;""),IF(COUNTIFS($B$6:$B$3005,$B230,$C$6:$C$3005,$C230,$D$6:$D$3005,$D230)&gt;1,"同じ月の請求が重複しています／",""),"")&amp;IF(AND(N($E230)&gt;0,$Z230&lt;&gt;"",$Z230&lt;&gt;"×",$AC230=0,$AB230=""),"計算額が下限以下のため不支給／",""))</f>
        <v/>
      </c>
      <c r="AL230" s="12" t="n"/>
      <c r="AM230" s="14">
        <f>IF($AD230="保留中",COUNTIF($AD$6:$AD230,"保留中"),"")</f>
        <v/>
      </c>
      <c r="AN230" s="14">
        <f>IF($AO230="","",IF(SUMPRODUCT(MAX((職員マスタ!$A$6:$A$405=$B230)*(((職員マスタ!$G$6:$G$405="")+(職員マスタ!$G$6:$G$405&lt;=EOMONTH($AO230,0)))&gt;0)*(((職員マスタ!$H$6:$H$405="")+(職員マスタ!$H$6:$H$405&gt;=$AO230))&gt;0)*(ROW(職員マスタ!$A$6:$A$405)-5)))&gt;0,SUMPRODUCT(MAX((職員マスタ!$A$6:$A$405=$B230)*(((職員マスタ!$G$6:$G$405="")+(職員マスタ!$G$6:$G$405&lt;=EOMONTH($AO230,0)))&gt;0)*(((職員マスタ!$H$6:$H$405="")+(職員マスタ!$H$6:$H$405&gt;=$AO230))&gt;0)*(ROW(職員マスタ!$A$6:$A$405)-5))),IFERROR(MATCH($B230,職員マスタ!$A$6:$A$405,0),"")))</f>
        <v/>
      </c>
      <c r="AO230" s="16">
        <f>IF(OR($B230="",$C230="",$D230=""),"",DATE($C230+2018,$D230,1))</f>
        <v/>
      </c>
    </row>
    <row r="231">
      <c r="A231" s="11" t="n"/>
      <c r="B231" s="12" t="n">
        <v>6502587</v>
      </c>
      <c r="C231" s="12" t="n">
        <v>8</v>
      </c>
      <c r="D231" s="12" t="n">
        <v>7</v>
      </c>
      <c r="E231" s="13" t="n">
        <v>202493</v>
      </c>
      <c r="F231" s="12" t="n"/>
      <c r="G231" s="13" t="n"/>
      <c r="H231" s="12" t="n"/>
      <c r="I231" s="12" t="n"/>
      <c r="J231" s="12" t="n"/>
      <c r="K231" s="12" t="n"/>
      <c r="L231" s="11" t="n"/>
      <c r="M231" s="11" t="n"/>
      <c r="N231" s="11" t="n"/>
      <c r="O231" s="11" t="n"/>
      <c r="P231" s="12" t="n"/>
      <c r="Q231" s="11" t="n"/>
      <c r="R231" s="12" t="n"/>
      <c r="S231" s="11" t="n"/>
      <c r="T231" s="12" t="n"/>
      <c r="U231" s="12" t="n"/>
      <c r="V231" s="14">
        <f>IF($AN231="",IF($B231="","",$H231),IF(INDEX(職員マスタ!$B$6:$B$405,$AN231)="",$H231,INDEX(職員マスタ!$B$6:$B$405,$AN231)))</f>
        <v/>
      </c>
      <c r="W231" s="14">
        <f>IF($AN231="",IF($B231="","",$R231),IF(INDEX(職員マスタ!$C$6:$C$405,$AN231)="",$R231,INDEX(職員マスタ!$C$6:$C$405,$AN231)))</f>
        <v/>
      </c>
      <c r="X231" s="14">
        <f>IF($AO231="","","R"&amp;$C231&amp;"."&amp;$D231)</f>
        <v/>
      </c>
      <c r="Y231" s="15">
        <f>IF($AN231="","",IF(INDEX(職員マスタ!$K$6:$K$405,$AN231)="","",INDEX(職員マスタ!$K$6:$K$405,$AN231)))</f>
        <v/>
      </c>
      <c r="Z231" s="14">
        <f>IF(OR($E231="",$Y231=""),"",IF($E231&gt;=$Y231,"×",IF($E231&gt;=$Y231*設定!$C$5,"△","○")))</f>
        <v/>
      </c>
      <c r="AA231" s="15">
        <f>IF($Z231="","",IF($Z231="×",0,IF($Z231="○",ROUNDDOWN($E231*設定!$C$4,0),ROUNDDOWN($E231*ROUND((9*$Y231-9*$E231)/(10*$E231),4),0))))</f>
        <v/>
      </c>
      <c r="AB231" s="13" t="n"/>
      <c r="AC231" s="15">
        <f>IF($B231="","",IF($AB231&lt;&gt;"",$AB231,IF($AA231="","",IF($AA231&lt;=設定!$C$3,0,$AA231))))</f>
        <v/>
      </c>
      <c r="AD231" s="14">
        <f>IF($B231="","",IF(AND($AE231&lt;&gt;"",$AG231="",$AJ231=""),"保留中",IF($AJ231&lt;&gt;"",IF(N($AC231)&gt;0,"支給済","不支給"),IF($AC231="","要確認",IF($AC231=0,"不支給","未処理")))))</f>
        <v/>
      </c>
      <c r="AE231" s="12" t="n"/>
      <c r="AF231" s="11" t="n"/>
      <c r="AG231" s="11" t="n"/>
      <c r="AH231" s="11" t="n"/>
      <c r="AI231" s="14">
        <f>IF(AND($AD231="保留中",$AF231&lt;&gt;""),TODAY()-$AF231,"")</f>
        <v/>
      </c>
      <c r="AJ231" s="12" t="inlineStr">
        <is>
          <t>R8.10</t>
        </is>
      </c>
      <c r="AK231" s="14">
        <f>IF($B231="","",IF($AO231="","対象年月が未入力／","")&amp;IF($B231="","",IF($AN231="","職員マスタに未登録の職員番号／",IF($Y231="","標準報酬月額が未登録／","")&amp;IF(AND($AO231&lt;&gt;"",OR(AND(INDEX(職員マスタ!$G$6:$G$405,$AN231)&lt;&gt;"",INDEX(職員マスタ!$G$6:$G$405,$AN231)&gt;EOMONTH($AO231,0)),AND(INDEX(職員マスタ!$H$6:$H$405,$AN231)&lt;&gt;"",INDEX(職員マスタ!$H$6:$H$405,$AN231)&lt;$AO231))),"対象月が時短期間外／","")&amp;IF(AND(INDEX(職員マスタ!$F$6:$F$405,$AN231)&lt;&gt;"",$AO231&lt;&gt;"",INDEX(職員マスタ!$F$6:$F$405,$AN231)&lt;$AO231),"対象月に子が2歳到達済／","")&amp;IF(AND($H231&lt;&gt;"",INDEX(職員マスタ!$B$6:$B$405,$AN231)&lt;&gt;"",SUBSTITUTE(SUBSTITUTE($H231," ","")," ","")&lt;&gt;SUBSTITUTE(SUBSTITUTE(INDEX(職員マスタ!$B$6:$B$405,$AN231)," ","")," ","")),"氏名がマスタと相違／","")&amp;IF(AND($Q231&lt;&gt;"",INDEX(職員マスタ!$E$6:$E$405,$AN231)&lt;&gt;"",$Q231&lt;&gt;INDEX(職員マスタ!$E$6:$E$405,$AN231)),"子の生年月日がマスタと相違／","")&amp;IF(AND($L231&lt;&gt;"",INDEX(職員マスタ!$G$6:$G$405,$AN231)&lt;&gt;"",$L231&lt;&gt;INDEX(職員マスタ!$G$6:$G$405,$AN231)),"時短開始日がマスタと相違／","")&amp;IF(AND($M231&lt;&gt;"",INDEX(職員マスタ!$H$6:$H$405,$AN231)&lt;&gt;"",$M231&lt;&gt;INDEX(職員マスタ!$H$6:$H$405,$AN231)),"時短終了日がマスタと相違／","")))&amp;IF(AND($B231&lt;&gt;"",$E231=""),"報酬額が未入力／","")&amp;IF(N($U231)&gt;0,"申請書に入力エラーが残っています／","")&amp;IF(AND($B231&lt;&gt;"",$AO231&lt;&gt;""),IF(COUNTIFS($B$6:$B$3005,$B231,$C$6:$C$3005,$C231,$D$6:$D$3005,$D231)&gt;1,"同じ月の請求が重複しています／",""),"")&amp;IF(AND(N($E231)&gt;0,$Z231&lt;&gt;"",$Z231&lt;&gt;"×",$AC231=0,$AB231=""),"計算額が下限以下のため不支給／",""))</f>
        <v/>
      </c>
      <c r="AL231" s="12" t="n"/>
      <c r="AM231" s="14">
        <f>IF($AD231="保留中",COUNTIF($AD$6:$AD231,"保留中"),"")</f>
        <v/>
      </c>
      <c r="AN231" s="14">
        <f>IF($AO231="","",IF(SUMPRODUCT(MAX((職員マスタ!$A$6:$A$405=$B231)*(((職員マスタ!$G$6:$G$405="")+(職員マスタ!$G$6:$G$405&lt;=EOMONTH($AO231,0)))&gt;0)*(((職員マスタ!$H$6:$H$405="")+(職員マスタ!$H$6:$H$405&gt;=$AO231))&gt;0)*(ROW(職員マスタ!$A$6:$A$405)-5)))&gt;0,SUMPRODUCT(MAX((職員マスタ!$A$6:$A$405=$B231)*(((職員マスタ!$G$6:$G$405="")+(職員マスタ!$G$6:$G$405&lt;=EOMONTH($AO231,0)))&gt;0)*(((職員マスタ!$H$6:$H$405="")+(職員マスタ!$H$6:$H$405&gt;=$AO231))&gt;0)*(ROW(職員マスタ!$A$6:$A$405)-5))),IFERROR(MATCH($B231,職員マスタ!$A$6:$A$405,0),"")))</f>
        <v/>
      </c>
      <c r="AO231" s="16">
        <f>IF(OR($B231="",$C231="",$D231=""),"",DATE($C231+2018,$D231,1))</f>
        <v/>
      </c>
    </row>
    <row r="232">
      <c r="A232" s="11" t="n"/>
      <c r="B232" s="12" t="n">
        <v>6502587</v>
      </c>
      <c r="C232" s="12" t="n">
        <v>8</v>
      </c>
      <c r="D232" s="12" t="n">
        <v>8</v>
      </c>
      <c r="E232" s="13" t="n">
        <v>198451</v>
      </c>
      <c r="F232" s="12" t="n"/>
      <c r="G232" s="13" t="n"/>
      <c r="H232" s="12" t="n"/>
      <c r="I232" s="12" t="n"/>
      <c r="J232" s="12" t="n"/>
      <c r="K232" s="12" t="n"/>
      <c r="L232" s="11" t="n"/>
      <c r="M232" s="11" t="n"/>
      <c r="N232" s="11" t="n"/>
      <c r="O232" s="11" t="n"/>
      <c r="P232" s="12" t="n"/>
      <c r="Q232" s="11" t="n"/>
      <c r="R232" s="12" t="n"/>
      <c r="S232" s="11" t="n"/>
      <c r="T232" s="12" t="n"/>
      <c r="U232" s="12" t="n"/>
      <c r="V232" s="14">
        <f>IF($AN232="",IF($B232="","",$H232),IF(INDEX(職員マスタ!$B$6:$B$405,$AN232)="",$H232,INDEX(職員マスタ!$B$6:$B$405,$AN232)))</f>
        <v/>
      </c>
      <c r="W232" s="14">
        <f>IF($AN232="",IF($B232="","",$R232),IF(INDEX(職員マスタ!$C$6:$C$405,$AN232)="",$R232,INDEX(職員マスタ!$C$6:$C$405,$AN232)))</f>
        <v/>
      </c>
      <c r="X232" s="14">
        <f>IF($AO232="","","R"&amp;$C232&amp;"."&amp;$D232)</f>
        <v/>
      </c>
      <c r="Y232" s="15">
        <f>IF($AN232="","",IF(INDEX(職員マスタ!$K$6:$K$405,$AN232)="","",INDEX(職員マスタ!$K$6:$K$405,$AN232)))</f>
        <v/>
      </c>
      <c r="Z232" s="14">
        <f>IF(OR($E232="",$Y232=""),"",IF($E232&gt;=$Y232,"×",IF($E232&gt;=$Y232*設定!$C$5,"△","○")))</f>
        <v/>
      </c>
      <c r="AA232" s="15">
        <f>IF($Z232="","",IF($Z232="×",0,IF($Z232="○",ROUNDDOWN($E232*設定!$C$4,0),ROUNDDOWN($E232*ROUND((9*$Y232-9*$E232)/(10*$E232),4),0))))</f>
        <v/>
      </c>
      <c r="AB232" s="13" t="n"/>
      <c r="AC232" s="15">
        <f>IF($B232="","",IF($AB232&lt;&gt;"",$AB232,IF($AA232="","",IF($AA232&lt;=設定!$C$3,0,$AA232))))</f>
        <v/>
      </c>
      <c r="AD232" s="14">
        <f>IF($B232="","",IF(AND($AE232&lt;&gt;"",$AG232="",$AJ232=""),"保留中",IF($AJ232&lt;&gt;"",IF(N($AC232)&gt;0,"支給済","不支給"),IF($AC232="","要確認",IF($AC232=0,"不支給","未処理")))))</f>
        <v/>
      </c>
      <c r="AE232" s="12" t="n"/>
      <c r="AF232" s="11" t="n"/>
      <c r="AG232" s="11" t="n"/>
      <c r="AH232" s="11" t="n"/>
      <c r="AI232" s="14">
        <f>IF(AND($AD232="保留中",$AF232&lt;&gt;""),TODAY()-$AF232,"")</f>
        <v/>
      </c>
      <c r="AJ232" s="12" t="inlineStr">
        <is>
          <t>R8.10</t>
        </is>
      </c>
      <c r="AK232" s="14">
        <f>IF($B232="","",IF($AO232="","対象年月が未入力／","")&amp;IF($B232="","",IF($AN232="","職員マスタに未登録の職員番号／",IF($Y232="","標準報酬月額が未登録／","")&amp;IF(AND($AO232&lt;&gt;"",OR(AND(INDEX(職員マスタ!$G$6:$G$405,$AN232)&lt;&gt;"",INDEX(職員マスタ!$G$6:$G$405,$AN232)&gt;EOMONTH($AO232,0)),AND(INDEX(職員マスタ!$H$6:$H$405,$AN232)&lt;&gt;"",INDEX(職員マスタ!$H$6:$H$405,$AN232)&lt;$AO232))),"対象月が時短期間外／","")&amp;IF(AND(INDEX(職員マスタ!$F$6:$F$405,$AN232)&lt;&gt;"",$AO232&lt;&gt;"",INDEX(職員マスタ!$F$6:$F$405,$AN232)&lt;$AO232),"対象月に子が2歳到達済／","")&amp;IF(AND($H232&lt;&gt;"",INDEX(職員マスタ!$B$6:$B$405,$AN232)&lt;&gt;"",SUBSTITUTE(SUBSTITUTE($H232," ","")," ","")&lt;&gt;SUBSTITUTE(SUBSTITUTE(INDEX(職員マスタ!$B$6:$B$405,$AN232)," ","")," ","")),"氏名がマスタと相違／","")&amp;IF(AND($Q232&lt;&gt;"",INDEX(職員マスタ!$E$6:$E$405,$AN232)&lt;&gt;"",$Q232&lt;&gt;INDEX(職員マスタ!$E$6:$E$405,$AN232)),"子の生年月日がマスタと相違／","")&amp;IF(AND($L232&lt;&gt;"",INDEX(職員マスタ!$G$6:$G$405,$AN232)&lt;&gt;"",$L232&lt;&gt;INDEX(職員マスタ!$G$6:$G$405,$AN232)),"時短開始日がマスタと相違／","")&amp;IF(AND($M232&lt;&gt;"",INDEX(職員マスタ!$H$6:$H$405,$AN232)&lt;&gt;"",$M232&lt;&gt;INDEX(職員マスタ!$H$6:$H$405,$AN232)),"時短終了日がマスタと相違／","")))&amp;IF(AND($B232&lt;&gt;"",$E232=""),"報酬額が未入力／","")&amp;IF(N($U232)&gt;0,"申請書に入力エラーが残っています／","")&amp;IF(AND($B232&lt;&gt;"",$AO232&lt;&gt;""),IF(COUNTIFS($B$6:$B$3005,$B232,$C$6:$C$3005,$C232,$D$6:$D$3005,$D232)&gt;1,"同じ月の請求が重複しています／",""),"")&amp;IF(AND(N($E232)&gt;0,$Z232&lt;&gt;"",$Z232&lt;&gt;"×",$AC232=0,$AB232=""),"計算額が下限以下のため不支給／",""))</f>
        <v/>
      </c>
      <c r="AL232" s="12" t="n"/>
      <c r="AM232" s="14">
        <f>IF($AD232="保留中",COUNTIF($AD$6:$AD232,"保留中"),"")</f>
        <v/>
      </c>
      <c r="AN232" s="14">
        <f>IF($AO232="","",IF(SUMPRODUCT(MAX((職員マスタ!$A$6:$A$405=$B232)*(((職員マスタ!$G$6:$G$405="")+(職員マスタ!$G$6:$G$405&lt;=EOMONTH($AO232,0)))&gt;0)*(((職員マスタ!$H$6:$H$405="")+(職員マスタ!$H$6:$H$405&gt;=$AO232))&gt;0)*(ROW(職員マスタ!$A$6:$A$405)-5)))&gt;0,SUMPRODUCT(MAX((職員マスタ!$A$6:$A$405=$B232)*(((職員マスタ!$G$6:$G$405="")+(職員マスタ!$G$6:$G$405&lt;=EOMONTH($AO232,0)))&gt;0)*(((職員マスタ!$H$6:$H$405="")+(職員マスタ!$H$6:$H$405&gt;=$AO232))&gt;0)*(ROW(職員マスタ!$A$6:$A$405)-5))),IFERROR(MATCH($B232,職員マスタ!$A$6:$A$405,0),"")))</f>
        <v/>
      </c>
      <c r="AO232" s="16">
        <f>IF(OR($B232="",$C232="",$D232=""),"",DATE($C232+2018,$D232,1))</f>
        <v/>
      </c>
    </row>
    <row r="233">
      <c r="A233" s="11" t="n"/>
      <c r="B233" s="12" t="n">
        <v>2502728</v>
      </c>
      <c r="C233" s="12" t="n">
        <v>8</v>
      </c>
      <c r="D233" s="12" t="n">
        <v>4</v>
      </c>
      <c r="E233" s="13" t="n">
        <v>196263</v>
      </c>
      <c r="F233" s="12" t="n"/>
      <c r="G233" s="13" t="n"/>
      <c r="H233" s="12" t="n"/>
      <c r="I233" s="12" t="n"/>
      <c r="J233" s="12" t="n"/>
      <c r="K233" s="12" t="n"/>
      <c r="L233" s="11" t="n"/>
      <c r="M233" s="11" t="n"/>
      <c r="N233" s="11" t="n"/>
      <c r="O233" s="11" t="n"/>
      <c r="P233" s="12" t="n"/>
      <c r="Q233" s="11" t="n"/>
      <c r="R233" s="12" t="n"/>
      <c r="S233" s="11" t="n"/>
      <c r="T233" s="12" t="n"/>
      <c r="U233" s="12" t="n"/>
      <c r="V233" s="14">
        <f>IF($AN233="",IF($B233="","",$H233),IF(INDEX(職員マスタ!$B$6:$B$405,$AN233)="",$H233,INDEX(職員マスタ!$B$6:$B$405,$AN233)))</f>
        <v/>
      </c>
      <c r="W233" s="14">
        <f>IF($AN233="",IF($B233="","",$R233),IF(INDEX(職員マスタ!$C$6:$C$405,$AN233)="",$R233,INDEX(職員マスタ!$C$6:$C$405,$AN233)))</f>
        <v/>
      </c>
      <c r="X233" s="14">
        <f>IF($AO233="","","R"&amp;$C233&amp;"."&amp;$D233)</f>
        <v/>
      </c>
      <c r="Y233" s="15">
        <f>IF($AN233="","",IF(INDEX(職員マスタ!$K$6:$K$405,$AN233)="","",INDEX(職員マスタ!$K$6:$K$405,$AN233)))</f>
        <v/>
      </c>
      <c r="Z233" s="14">
        <f>IF(OR($E233="",$Y233=""),"",IF($E233&gt;=$Y233,"×",IF($E233&gt;=$Y233*設定!$C$5,"△","○")))</f>
        <v/>
      </c>
      <c r="AA233" s="15">
        <f>IF($Z233="","",IF($Z233="×",0,IF($Z233="○",ROUNDDOWN($E233*設定!$C$4,0),ROUNDDOWN($E233*ROUND((9*$Y233-9*$E233)/(10*$E233),4),0))))</f>
        <v/>
      </c>
      <c r="AB233" s="13" t="n"/>
      <c r="AC233" s="15">
        <f>IF($B233="","",IF($AB233&lt;&gt;"",$AB233,IF($AA233="","",IF($AA233&lt;=設定!$C$3,0,$AA233))))</f>
        <v/>
      </c>
      <c r="AD233" s="14">
        <f>IF($B233="","",IF(AND($AE233&lt;&gt;"",$AG233="",$AJ233=""),"保留中",IF($AJ233&lt;&gt;"",IF(N($AC233)&gt;0,"支給済","不支給"),IF($AC233="","要確認",IF($AC233=0,"不支給","未処理")))))</f>
        <v/>
      </c>
      <c r="AE233" s="12" t="n"/>
      <c r="AF233" s="11" t="n"/>
      <c r="AG233" s="11" t="n"/>
      <c r="AH233" s="11" t="n"/>
      <c r="AI233" s="14">
        <f>IF(AND($AD233="保留中",$AF233&lt;&gt;""),TODAY()-$AF233,"")</f>
        <v/>
      </c>
      <c r="AJ233" s="12" t="inlineStr">
        <is>
          <t>R8.10</t>
        </is>
      </c>
      <c r="AK233" s="14">
        <f>IF($B233="","",IF($AO233="","対象年月が未入力／","")&amp;IF($B233="","",IF($AN233="","職員マスタに未登録の職員番号／",IF($Y233="","標準報酬月額が未登録／","")&amp;IF(AND($AO233&lt;&gt;"",OR(AND(INDEX(職員マスタ!$G$6:$G$405,$AN233)&lt;&gt;"",INDEX(職員マスタ!$G$6:$G$405,$AN233)&gt;EOMONTH($AO233,0)),AND(INDEX(職員マスタ!$H$6:$H$405,$AN233)&lt;&gt;"",INDEX(職員マスタ!$H$6:$H$405,$AN233)&lt;$AO233))),"対象月が時短期間外／","")&amp;IF(AND(INDEX(職員マスタ!$F$6:$F$405,$AN233)&lt;&gt;"",$AO233&lt;&gt;"",INDEX(職員マスタ!$F$6:$F$405,$AN233)&lt;$AO233),"対象月に子が2歳到達済／","")&amp;IF(AND($H233&lt;&gt;"",INDEX(職員マスタ!$B$6:$B$405,$AN233)&lt;&gt;"",SUBSTITUTE(SUBSTITUTE($H233," ","")," ","")&lt;&gt;SUBSTITUTE(SUBSTITUTE(INDEX(職員マスタ!$B$6:$B$405,$AN233)," ","")," ","")),"氏名がマスタと相違／","")&amp;IF(AND($Q233&lt;&gt;"",INDEX(職員マスタ!$E$6:$E$405,$AN233)&lt;&gt;"",$Q233&lt;&gt;INDEX(職員マスタ!$E$6:$E$405,$AN233)),"子の生年月日がマスタと相違／","")&amp;IF(AND($L233&lt;&gt;"",INDEX(職員マスタ!$G$6:$G$405,$AN233)&lt;&gt;"",$L233&lt;&gt;INDEX(職員マスタ!$G$6:$G$405,$AN233)),"時短開始日がマスタと相違／","")&amp;IF(AND($M233&lt;&gt;"",INDEX(職員マスタ!$H$6:$H$405,$AN233)&lt;&gt;"",$M233&lt;&gt;INDEX(職員マスタ!$H$6:$H$405,$AN233)),"時短終了日がマスタと相違／","")))&amp;IF(AND($B233&lt;&gt;"",$E233=""),"報酬額が未入力／","")&amp;IF(N($U233)&gt;0,"申請書に入力エラーが残っています／","")&amp;IF(AND($B233&lt;&gt;"",$AO233&lt;&gt;""),IF(COUNTIFS($B$6:$B$3005,$B233,$C$6:$C$3005,$C233,$D$6:$D$3005,$D233)&gt;1,"同じ月の請求が重複しています／",""),"")&amp;IF(AND(N($E233)&gt;0,$Z233&lt;&gt;"",$Z233&lt;&gt;"×",$AC233=0,$AB233=""),"計算額が下限以下のため不支給／",""))</f>
        <v/>
      </c>
      <c r="AL233" s="12" t="n"/>
      <c r="AM233" s="14">
        <f>IF($AD233="保留中",COUNTIF($AD$6:$AD233,"保留中"),"")</f>
        <v/>
      </c>
      <c r="AN233" s="14">
        <f>IF($AO233="","",IF(SUMPRODUCT(MAX((職員マスタ!$A$6:$A$405=$B233)*(((職員マスタ!$G$6:$G$405="")+(職員マスタ!$G$6:$G$405&lt;=EOMONTH($AO233,0)))&gt;0)*(((職員マスタ!$H$6:$H$405="")+(職員マスタ!$H$6:$H$405&gt;=$AO233))&gt;0)*(ROW(職員マスタ!$A$6:$A$405)-5)))&gt;0,SUMPRODUCT(MAX((職員マスタ!$A$6:$A$405=$B233)*(((職員マスタ!$G$6:$G$405="")+(職員マスタ!$G$6:$G$405&lt;=EOMONTH($AO233,0)))&gt;0)*(((職員マスタ!$H$6:$H$405="")+(職員マスタ!$H$6:$H$405&gt;=$AO233))&gt;0)*(ROW(職員マスタ!$A$6:$A$405)-5))),IFERROR(MATCH($B233,職員マスタ!$A$6:$A$405,0),"")))</f>
        <v/>
      </c>
      <c r="AO233" s="16">
        <f>IF(OR($B233="",$C233="",$D233=""),"",DATE($C233+2018,$D233,1))</f>
        <v/>
      </c>
    </row>
    <row r="234">
      <c r="A234" s="11" t="n"/>
      <c r="B234" s="12" t="n">
        <v>2502728</v>
      </c>
      <c r="C234" s="12" t="n">
        <v>8</v>
      </c>
      <c r="D234" s="12" t="n">
        <v>5</v>
      </c>
      <c r="E234" s="13" t="n">
        <v>198303</v>
      </c>
      <c r="F234" s="12" t="n"/>
      <c r="G234" s="13" t="n"/>
      <c r="H234" s="12" t="n"/>
      <c r="I234" s="12" t="n"/>
      <c r="J234" s="12" t="n"/>
      <c r="K234" s="12" t="n"/>
      <c r="L234" s="11" t="n"/>
      <c r="M234" s="11" t="n"/>
      <c r="N234" s="11" t="n"/>
      <c r="O234" s="11" t="n"/>
      <c r="P234" s="12" t="n"/>
      <c r="Q234" s="11" t="n"/>
      <c r="R234" s="12" t="n"/>
      <c r="S234" s="11" t="n"/>
      <c r="T234" s="12" t="n"/>
      <c r="U234" s="12" t="n"/>
      <c r="V234" s="14">
        <f>IF($AN234="",IF($B234="","",$H234),IF(INDEX(職員マスタ!$B$6:$B$405,$AN234)="",$H234,INDEX(職員マスタ!$B$6:$B$405,$AN234)))</f>
        <v/>
      </c>
      <c r="W234" s="14">
        <f>IF($AN234="",IF($B234="","",$R234),IF(INDEX(職員マスタ!$C$6:$C$405,$AN234)="",$R234,INDEX(職員マスタ!$C$6:$C$405,$AN234)))</f>
        <v/>
      </c>
      <c r="X234" s="14">
        <f>IF($AO234="","","R"&amp;$C234&amp;"."&amp;$D234)</f>
        <v/>
      </c>
      <c r="Y234" s="15">
        <f>IF($AN234="","",IF(INDEX(職員マスタ!$K$6:$K$405,$AN234)="","",INDEX(職員マスタ!$K$6:$K$405,$AN234)))</f>
        <v/>
      </c>
      <c r="Z234" s="14">
        <f>IF(OR($E234="",$Y234=""),"",IF($E234&gt;=$Y234,"×",IF($E234&gt;=$Y234*設定!$C$5,"△","○")))</f>
        <v/>
      </c>
      <c r="AA234" s="15">
        <f>IF($Z234="","",IF($Z234="×",0,IF($Z234="○",ROUNDDOWN($E234*設定!$C$4,0),ROUNDDOWN($E234*ROUND((9*$Y234-9*$E234)/(10*$E234),4),0))))</f>
        <v/>
      </c>
      <c r="AB234" s="13" t="n"/>
      <c r="AC234" s="15">
        <f>IF($B234="","",IF($AB234&lt;&gt;"",$AB234,IF($AA234="","",IF($AA234&lt;=設定!$C$3,0,$AA234))))</f>
        <v/>
      </c>
      <c r="AD234" s="14">
        <f>IF($B234="","",IF(AND($AE234&lt;&gt;"",$AG234="",$AJ234=""),"保留中",IF($AJ234&lt;&gt;"",IF(N($AC234)&gt;0,"支給済","不支給"),IF($AC234="","要確認",IF($AC234=0,"不支給","未処理")))))</f>
        <v/>
      </c>
      <c r="AE234" s="12" t="n"/>
      <c r="AF234" s="11" t="n"/>
      <c r="AG234" s="11" t="n"/>
      <c r="AH234" s="11" t="n"/>
      <c r="AI234" s="14">
        <f>IF(AND($AD234="保留中",$AF234&lt;&gt;""),TODAY()-$AF234,"")</f>
        <v/>
      </c>
      <c r="AJ234" s="12" t="inlineStr">
        <is>
          <t>R8.10</t>
        </is>
      </c>
      <c r="AK234" s="14">
        <f>IF($B234="","",IF($AO234="","対象年月が未入力／","")&amp;IF($B234="","",IF($AN234="","職員マスタに未登録の職員番号／",IF($Y234="","標準報酬月額が未登録／","")&amp;IF(AND($AO234&lt;&gt;"",OR(AND(INDEX(職員マスタ!$G$6:$G$405,$AN234)&lt;&gt;"",INDEX(職員マスタ!$G$6:$G$405,$AN234)&gt;EOMONTH($AO234,0)),AND(INDEX(職員マスタ!$H$6:$H$405,$AN234)&lt;&gt;"",INDEX(職員マスタ!$H$6:$H$405,$AN234)&lt;$AO234))),"対象月が時短期間外／","")&amp;IF(AND(INDEX(職員マスタ!$F$6:$F$405,$AN234)&lt;&gt;"",$AO234&lt;&gt;"",INDEX(職員マスタ!$F$6:$F$405,$AN234)&lt;$AO234),"対象月に子が2歳到達済／","")&amp;IF(AND($H234&lt;&gt;"",INDEX(職員マスタ!$B$6:$B$405,$AN234)&lt;&gt;"",SUBSTITUTE(SUBSTITUTE($H234," ","")," ","")&lt;&gt;SUBSTITUTE(SUBSTITUTE(INDEX(職員マスタ!$B$6:$B$405,$AN234)," ","")," ","")),"氏名がマスタと相違／","")&amp;IF(AND($Q234&lt;&gt;"",INDEX(職員マスタ!$E$6:$E$405,$AN234)&lt;&gt;"",$Q234&lt;&gt;INDEX(職員マスタ!$E$6:$E$405,$AN234)),"子の生年月日がマスタと相違／","")&amp;IF(AND($L234&lt;&gt;"",INDEX(職員マスタ!$G$6:$G$405,$AN234)&lt;&gt;"",$L234&lt;&gt;INDEX(職員マスタ!$G$6:$G$405,$AN234)),"時短開始日がマスタと相違／","")&amp;IF(AND($M234&lt;&gt;"",INDEX(職員マスタ!$H$6:$H$405,$AN234)&lt;&gt;"",$M234&lt;&gt;INDEX(職員マスタ!$H$6:$H$405,$AN234)),"時短終了日がマスタと相違／","")))&amp;IF(AND($B234&lt;&gt;"",$E234=""),"報酬額が未入力／","")&amp;IF(N($U234)&gt;0,"申請書に入力エラーが残っています／","")&amp;IF(AND($B234&lt;&gt;"",$AO234&lt;&gt;""),IF(COUNTIFS($B$6:$B$3005,$B234,$C$6:$C$3005,$C234,$D$6:$D$3005,$D234)&gt;1,"同じ月の請求が重複しています／",""),"")&amp;IF(AND(N($E234)&gt;0,$Z234&lt;&gt;"",$Z234&lt;&gt;"×",$AC234=0,$AB234=""),"計算額が下限以下のため不支給／",""))</f>
        <v/>
      </c>
      <c r="AL234" s="12" t="n"/>
      <c r="AM234" s="14">
        <f>IF($AD234="保留中",COUNTIF($AD$6:$AD234,"保留中"),"")</f>
        <v/>
      </c>
      <c r="AN234" s="14">
        <f>IF($AO234="","",IF(SUMPRODUCT(MAX((職員マスタ!$A$6:$A$405=$B234)*(((職員マスタ!$G$6:$G$405="")+(職員マスタ!$G$6:$G$405&lt;=EOMONTH($AO234,0)))&gt;0)*(((職員マスタ!$H$6:$H$405="")+(職員マスタ!$H$6:$H$405&gt;=$AO234))&gt;0)*(ROW(職員マスタ!$A$6:$A$405)-5)))&gt;0,SUMPRODUCT(MAX((職員マスタ!$A$6:$A$405=$B234)*(((職員マスタ!$G$6:$G$405="")+(職員マスタ!$G$6:$G$405&lt;=EOMONTH($AO234,0)))&gt;0)*(((職員マスタ!$H$6:$H$405="")+(職員マスタ!$H$6:$H$405&gt;=$AO234))&gt;0)*(ROW(職員マスタ!$A$6:$A$405)-5))),IFERROR(MATCH($B234,職員マスタ!$A$6:$A$405,0),"")))</f>
        <v/>
      </c>
      <c r="AO234" s="16">
        <f>IF(OR($B234="",$C234="",$D234=""),"",DATE($C234+2018,$D234,1))</f>
        <v/>
      </c>
    </row>
    <row r="235">
      <c r="A235" s="11" t="n"/>
      <c r="B235" s="12" t="n">
        <v>2502728</v>
      </c>
      <c r="C235" s="12" t="n">
        <v>8</v>
      </c>
      <c r="D235" s="12" t="n">
        <v>6</v>
      </c>
      <c r="E235" s="13" t="n">
        <v>204423</v>
      </c>
      <c r="F235" s="12" t="n"/>
      <c r="G235" s="13" t="n"/>
      <c r="H235" s="12" t="n"/>
      <c r="I235" s="12" t="n"/>
      <c r="J235" s="12" t="n"/>
      <c r="K235" s="12" t="n"/>
      <c r="L235" s="11" t="n"/>
      <c r="M235" s="11" t="n"/>
      <c r="N235" s="11" t="n"/>
      <c r="O235" s="11" t="n"/>
      <c r="P235" s="12" t="n"/>
      <c r="Q235" s="11" t="n"/>
      <c r="R235" s="12" t="n"/>
      <c r="S235" s="11" t="n"/>
      <c r="T235" s="12" t="n"/>
      <c r="U235" s="12" t="n"/>
      <c r="V235" s="14">
        <f>IF($AN235="",IF($B235="","",$H235),IF(INDEX(職員マスタ!$B$6:$B$405,$AN235)="",$H235,INDEX(職員マスタ!$B$6:$B$405,$AN235)))</f>
        <v/>
      </c>
      <c r="W235" s="14">
        <f>IF($AN235="",IF($B235="","",$R235),IF(INDEX(職員マスタ!$C$6:$C$405,$AN235)="",$R235,INDEX(職員マスタ!$C$6:$C$405,$AN235)))</f>
        <v/>
      </c>
      <c r="X235" s="14">
        <f>IF($AO235="","","R"&amp;$C235&amp;"."&amp;$D235)</f>
        <v/>
      </c>
      <c r="Y235" s="15">
        <f>IF($AN235="","",IF(INDEX(職員マスタ!$K$6:$K$405,$AN235)="","",INDEX(職員マスタ!$K$6:$K$405,$AN235)))</f>
        <v/>
      </c>
      <c r="Z235" s="14">
        <f>IF(OR($E235="",$Y235=""),"",IF($E235&gt;=$Y235,"×",IF($E235&gt;=$Y235*設定!$C$5,"△","○")))</f>
        <v/>
      </c>
      <c r="AA235" s="15">
        <f>IF($Z235="","",IF($Z235="×",0,IF($Z235="○",ROUNDDOWN($E235*設定!$C$4,0),ROUNDDOWN($E235*ROUND((9*$Y235-9*$E235)/(10*$E235),4),0))))</f>
        <v/>
      </c>
      <c r="AB235" s="13" t="n"/>
      <c r="AC235" s="15">
        <f>IF($B235="","",IF($AB235&lt;&gt;"",$AB235,IF($AA235="","",IF($AA235&lt;=設定!$C$3,0,$AA235))))</f>
        <v/>
      </c>
      <c r="AD235" s="14">
        <f>IF($B235="","",IF(AND($AE235&lt;&gt;"",$AG235="",$AJ235=""),"保留中",IF($AJ235&lt;&gt;"",IF(N($AC235)&gt;0,"支給済","不支給"),IF($AC235="","要確認",IF($AC235=0,"不支給","未処理")))))</f>
        <v/>
      </c>
      <c r="AE235" s="12" t="n"/>
      <c r="AF235" s="11" t="n"/>
      <c r="AG235" s="11" t="n"/>
      <c r="AH235" s="11" t="n"/>
      <c r="AI235" s="14">
        <f>IF(AND($AD235="保留中",$AF235&lt;&gt;""),TODAY()-$AF235,"")</f>
        <v/>
      </c>
      <c r="AJ235" s="12" t="inlineStr">
        <is>
          <t>R8.10</t>
        </is>
      </c>
      <c r="AK235" s="14">
        <f>IF($B235="","",IF($AO235="","対象年月が未入力／","")&amp;IF($B235="","",IF($AN235="","職員マスタに未登録の職員番号／",IF($Y235="","標準報酬月額が未登録／","")&amp;IF(AND($AO235&lt;&gt;"",OR(AND(INDEX(職員マスタ!$G$6:$G$405,$AN235)&lt;&gt;"",INDEX(職員マスタ!$G$6:$G$405,$AN235)&gt;EOMONTH($AO235,0)),AND(INDEX(職員マスタ!$H$6:$H$405,$AN235)&lt;&gt;"",INDEX(職員マスタ!$H$6:$H$405,$AN235)&lt;$AO235))),"対象月が時短期間外／","")&amp;IF(AND(INDEX(職員マスタ!$F$6:$F$405,$AN235)&lt;&gt;"",$AO235&lt;&gt;"",INDEX(職員マスタ!$F$6:$F$405,$AN235)&lt;$AO235),"対象月に子が2歳到達済／","")&amp;IF(AND($H235&lt;&gt;"",INDEX(職員マスタ!$B$6:$B$405,$AN235)&lt;&gt;"",SUBSTITUTE(SUBSTITUTE($H235," ","")," ","")&lt;&gt;SUBSTITUTE(SUBSTITUTE(INDEX(職員マスタ!$B$6:$B$405,$AN235)," ","")," ","")),"氏名がマスタと相違／","")&amp;IF(AND($Q235&lt;&gt;"",INDEX(職員マスタ!$E$6:$E$405,$AN235)&lt;&gt;"",$Q235&lt;&gt;INDEX(職員マスタ!$E$6:$E$405,$AN235)),"子の生年月日がマスタと相違／","")&amp;IF(AND($L235&lt;&gt;"",INDEX(職員マスタ!$G$6:$G$405,$AN235)&lt;&gt;"",$L235&lt;&gt;INDEX(職員マスタ!$G$6:$G$405,$AN235)),"時短開始日がマスタと相違／","")&amp;IF(AND($M235&lt;&gt;"",INDEX(職員マスタ!$H$6:$H$405,$AN235)&lt;&gt;"",$M235&lt;&gt;INDEX(職員マスタ!$H$6:$H$405,$AN235)),"時短終了日がマスタと相違／","")))&amp;IF(AND($B235&lt;&gt;"",$E235=""),"報酬額が未入力／","")&amp;IF(N($U235)&gt;0,"申請書に入力エラーが残っています／","")&amp;IF(AND($B235&lt;&gt;"",$AO235&lt;&gt;""),IF(COUNTIFS($B$6:$B$3005,$B235,$C$6:$C$3005,$C235,$D$6:$D$3005,$D235)&gt;1,"同じ月の請求が重複しています／",""),"")&amp;IF(AND(N($E235)&gt;0,$Z235&lt;&gt;"",$Z235&lt;&gt;"×",$AC235=0,$AB235=""),"計算額が下限以下のため不支給／",""))</f>
        <v/>
      </c>
      <c r="AL235" s="12" t="n"/>
      <c r="AM235" s="14">
        <f>IF($AD235="保留中",COUNTIF($AD$6:$AD235,"保留中"),"")</f>
        <v/>
      </c>
      <c r="AN235" s="14">
        <f>IF($AO235="","",IF(SUMPRODUCT(MAX((職員マスタ!$A$6:$A$405=$B235)*(((職員マスタ!$G$6:$G$405="")+(職員マスタ!$G$6:$G$405&lt;=EOMONTH($AO235,0)))&gt;0)*(((職員マスタ!$H$6:$H$405="")+(職員マスタ!$H$6:$H$405&gt;=$AO235))&gt;0)*(ROW(職員マスタ!$A$6:$A$405)-5)))&gt;0,SUMPRODUCT(MAX((職員マスタ!$A$6:$A$405=$B235)*(((職員マスタ!$G$6:$G$405="")+(職員マスタ!$G$6:$G$405&lt;=EOMONTH($AO235,0)))&gt;0)*(((職員マスタ!$H$6:$H$405="")+(職員マスタ!$H$6:$H$405&gt;=$AO235))&gt;0)*(ROW(職員マスタ!$A$6:$A$405)-5))),IFERROR(MATCH($B235,職員マスタ!$A$6:$A$405,0),"")))</f>
        <v/>
      </c>
      <c r="AO235" s="16">
        <f>IF(OR($B235="",$C235="",$D235=""),"",DATE($C235+2018,$D235,1))</f>
        <v/>
      </c>
    </row>
    <row r="236">
      <c r="A236" s="11" t="n"/>
      <c r="B236" s="12" t="n">
        <v>2502728</v>
      </c>
      <c r="C236" s="12" t="n">
        <v>8</v>
      </c>
      <c r="D236" s="12" t="n">
        <v>7</v>
      </c>
      <c r="E236" s="13" t="n">
        <v>196263</v>
      </c>
      <c r="F236" s="12" t="n"/>
      <c r="G236" s="13" t="n"/>
      <c r="H236" s="12" t="n"/>
      <c r="I236" s="12" t="n"/>
      <c r="J236" s="12" t="n"/>
      <c r="K236" s="12" t="n"/>
      <c r="L236" s="11" t="n"/>
      <c r="M236" s="11" t="n"/>
      <c r="N236" s="11" t="n"/>
      <c r="O236" s="11" t="n"/>
      <c r="P236" s="12" t="n"/>
      <c r="Q236" s="11" t="n"/>
      <c r="R236" s="12" t="n"/>
      <c r="S236" s="11" t="n"/>
      <c r="T236" s="12" t="n"/>
      <c r="U236" s="12" t="n"/>
      <c r="V236" s="14">
        <f>IF($AN236="",IF($B236="","",$H236),IF(INDEX(職員マスタ!$B$6:$B$405,$AN236)="",$H236,INDEX(職員マスタ!$B$6:$B$405,$AN236)))</f>
        <v/>
      </c>
      <c r="W236" s="14">
        <f>IF($AN236="",IF($B236="","",$R236),IF(INDEX(職員マスタ!$C$6:$C$405,$AN236)="",$R236,INDEX(職員マスタ!$C$6:$C$405,$AN236)))</f>
        <v/>
      </c>
      <c r="X236" s="14">
        <f>IF($AO236="","","R"&amp;$C236&amp;"."&amp;$D236)</f>
        <v/>
      </c>
      <c r="Y236" s="15">
        <f>IF($AN236="","",IF(INDEX(職員マスタ!$K$6:$K$405,$AN236)="","",INDEX(職員マスタ!$K$6:$K$405,$AN236)))</f>
        <v/>
      </c>
      <c r="Z236" s="14">
        <f>IF(OR($E236="",$Y236=""),"",IF($E236&gt;=$Y236,"×",IF($E236&gt;=$Y236*設定!$C$5,"△","○")))</f>
        <v/>
      </c>
      <c r="AA236" s="15">
        <f>IF($Z236="","",IF($Z236="×",0,IF($Z236="○",ROUNDDOWN($E236*設定!$C$4,0),ROUNDDOWN($E236*ROUND((9*$Y236-9*$E236)/(10*$E236),4),0))))</f>
        <v/>
      </c>
      <c r="AB236" s="13" t="n"/>
      <c r="AC236" s="15">
        <f>IF($B236="","",IF($AB236&lt;&gt;"",$AB236,IF($AA236="","",IF($AA236&lt;=設定!$C$3,0,$AA236))))</f>
        <v/>
      </c>
      <c r="AD236" s="14">
        <f>IF($B236="","",IF(AND($AE236&lt;&gt;"",$AG236="",$AJ236=""),"保留中",IF($AJ236&lt;&gt;"",IF(N($AC236)&gt;0,"支給済","不支給"),IF($AC236="","要確認",IF($AC236=0,"不支給","未処理")))))</f>
        <v/>
      </c>
      <c r="AE236" s="12" t="n"/>
      <c r="AF236" s="11" t="n"/>
      <c r="AG236" s="11" t="n"/>
      <c r="AH236" s="11" t="n"/>
      <c r="AI236" s="14">
        <f>IF(AND($AD236="保留中",$AF236&lt;&gt;""),TODAY()-$AF236,"")</f>
        <v/>
      </c>
      <c r="AJ236" s="12" t="inlineStr">
        <is>
          <t>R8.10</t>
        </is>
      </c>
      <c r="AK236" s="14">
        <f>IF($B236="","",IF($AO236="","対象年月が未入力／","")&amp;IF($B236="","",IF($AN236="","職員マスタに未登録の職員番号／",IF($Y236="","標準報酬月額が未登録／","")&amp;IF(AND($AO236&lt;&gt;"",OR(AND(INDEX(職員マスタ!$G$6:$G$405,$AN236)&lt;&gt;"",INDEX(職員マスタ!$G$6:$G$405,$AN236)&gt;EOMONTH($AO236,0)),AND(INDEX(職員マスタ!$H$6:$H$405,$AN236)&lt;&gt;"",INDEX(職員マスタ!$H$6:$H$405,$AN236)&lt;$AO236))),"対象月が時短期間外／","")&amp;IF(AND(INDEX(職員マスタ!$F$6:$F$405,$AN236)&lt;&gt;"",$AO236&lt;&gt;"",INDEX(職員マスタ!$F$6:$F$405,$AN236)&lt;$AO236),"対象月に子が2歳到達済／","")&amp;IF(AND($H236&lt;&gt;"",INDEX(職員マスタ!$B$6:$B$405,$AN236)&lt;&gt;"",SUBSTITUTE(SUBSTITUTE($H236," ","")," ","")&lt;&gt;SUBSTITUTE(SUBSTITUTE(INDEX(職員マスタ!$B$6:$B$405,$AN236)," ","")," ","")),"氏名がマスタと相違／","")&amp;IF(AND($Q236&lt;&gt;"",INDEX(職員マスタ!$E$6:$E$405,$AN236)&lt;&gt;"",$Q236&lt;&gt;INDEX(職員マスタ!$E$6:$E$405,$AN236)),"子の生年月日がマスタと相違／","")&amp;IF(AND($L236&lt;&gt;"",INDEX(職員マスタ!$G$6:$G$405,$AN236)&lt;&gt;"",$L236&lt;&gt;INDEX(職員マスタ!$G$6:$G$405,$AN236)),"時短開始日がマスタと相違／","")&amp;IF(AND($M236&lt;&gt;"",INDEX(職員マスタ!$H$6:$H$405,$AN236)&lt;&gt;"",$M236&lt;&gt;INDEX(職員マスタ!$H$6:$H$405,$AN236)),"時短終了日がマスタと相違／","")))&amp;IF(AND($B236&lt;&gt;"",$E236=""),"報酬額が未入力／","")&amp;IF(N($U236)&gt;0,"申請書に入力エラーが残っています／","")&amp;IF(AND($B236&lt;&gt;"",$AO236&lt;&gt;""),IF(COUNTIFS($B$6:$B$3005,$B236,$C$6:$C$3005,$C236,$D$6:$D$3005,$D236)&gt;1,"同じ月の請求が重複しています／",""),"")&amp;IF(AND(N($E236)&gt;0,$Z236&lt;&gt;"",$Z236&lt;&gt;"×",$AC236=0,$AB236=""),"計算額が下限以下のため不支給／",""))</f>
        <v/>
      </c>
      <c r="AL236" s="12" t="n"/>
      <c r="AM236" s="14">
        <f>IF($AD236="保留中",COUNTIF($AD$6:$AD236,"保留中"),"")</f>
        <v/>
      </c>
      <c r="AN236" s="14">
        <f>IF($AO236="","",IF(SUMPRODUCT(MAX((職員マスタ!$A$6:$A$405=$B236)*(((職員マスタ!$G$6:$G$405="")+(職員マスタ!$G$6:$G$405&lt;=EOMONTH($AO236,0)))&gt;0)*(((職員マスタ!$H$6:$H$405="")+(職員マスタ!$H$6:$H$405&gt;=$AO236))&gt;0)*(ROW(職員マスタ!$A$6:$A$405)-5)))&gt;0,SUMPRODUCT(MAX((職員マスタ!$A$6:$A$405=$B236)*(((職員マスタ!$G$6:$G$405="")+(職員マスタ!$G$6:$G$405&lt;=EOMONTH($AO236,0)))&gt;0)*(((職員マスタ!$H$6:$H$405="")+(職員マスタ!$H$6:$H$405&gt;=$AO236))&gt;0)*(ROW(職員マスタ!$A$6:$A$405)-5))),IFERROR(MATCH($B236,職員マスタ!$A$6:$A$405,0),"")))</f>
        <v/>
      </c>
      <c r="AO236" s="16">
        <f>IF(OR($B236="",$C236="",$D236=""),"",DATE($C236+2018,$D236,1))</f>
        <v/>
      </c>
    </row>
    <row r="237">
      <c r="A237" s="11" t="n"/>
      <c r="B237" s="12" t="n">
        <v>2502728</v>
      </c>
      <c r="C237" s="12" t="n">
        <v>8</v>
      </c>
      <c r="D237" s="12" t="n">
        <v>8</v>
      </c>
      <c r="E237" s="13" t="n">
        <v>200343</v>
      </c>
      <c r="F237" s="12" t="n"/>
      <c r="G237" s="13" t="n"/>
      <c r="H237" s="12" t="n"/>
      <c r="I237" s="12" t="n"/>
      <c r="J237" s="12" t="n"/>
      <c r="K237" s="12" t="n"/>
      <c r="L237" s="11" t="n"/>
      <c r="M237" s="11" t="n"/>
      <c r="N237" s="11" t="n"/>
      <c r="O237" s="11" t="n"/>
      <c r="P237" s="12" t="n"/>
      <c r="Q237" s="11" t="n"/>
      <c r="R237" s="12" t="n"/>
      <c r="S237" s="11" t="n"/>
      <c r="T237" s="12" t="n"/>
      <c r="U237" s="12" t="n"/>
      <c r="V237" s="14">
        <f>IF($AN237="",IF($B237="","",$H237),IF(INDEX(職員マスタ!$B$6:$B$405,$AN237)="",$H237,INDEX(職員マスタ!$B$6:$B$405,$AN237)))</f>
        <v/>
      </c>
      <c r="W237" s="14">
        <f>IF($AN237="",IF($B237="","",$R237),IF(INDEX(職員マスタ!$C$6:$C$405,$AN237)="",$R237,INDEX(職員マスタ!$C$6:$C$405,$AN237)))</f>
        <v/>
      </c>
      <c r="X237" s="14">
        <f>IF($AO237="","","R"&amp;$C237&amp;"."&amp;$D237)</f>
        <v/>
      </c>
      <c r="Y237" s="15">
        <f>IF($AN237="","",IF(INDEX(職員マスタ!$K$6:$K$405,$AN237)="","",INDEX(職員マスタ!$K$6:$K$405,$AN237)))</f>
        <v/>
      </c>
      <c r="Z237" s="14">
        <f>IF(OR($E237="",$Y237=""),"",IF($E237&gt;=$Y237,"×",IF($E237&gt;=$Y237*設定!$C$5,"△","○")))</f>
        <v/>
      </c>
      <c r="AA237" s="15">
        <f>IF($Z237="","",IF($Z237="×",0,IF($Z237="○",ROUNDDOWN($E237*設定!$C$4,0),ROUNDDOWN($E237*ROUND((9*$Y237-9*$E237)/(10*$E237),4),0))))</f>
        <v/>
      </c>
      <c r="AB237" s="13" t="n"/>
      <c r="AC237" s="15">
        <f>IF($B237="","",IF($AB237&lt;&gt;"",$AB237,IF($AA237="","",IF($AA237&lt;=設定!$C$3,0,$AA237))))</f>
        <v/>
      </c>
      <c r="AD237" s="14">
        <f>IF($B237="","",IF(AND($AE237&lt;&gt;"",$AG237="",$AJ237=""),"保留中",IF($AJ237&lt;&gt;"",IF(N($AC237)&gt;0,"支給済","不支給"),IF($AC237="","要確認",IF($AC237=0,"不支給","未処理")))))</f>
        <v/>
      </c>
      <c r="AE237" s="12" t="n"/>
      <c r="AF237" s="11" t="n"/>
      <c r="AG237" s="11" t="n"/>
      <c r="AH237" s="11" t="n"/>
      <c r="AI237" s="14">
        <f>IF(AND($AD237="保留中",$AF237&lt;&gt;""),TODAY()-$AF237,"")</f>
        <v/>
      </c>
      <c r="AJ237" s="12" t="inlineStr">
        <is>
          <t>R8.10</t>
        </is>
      </c>
      <c r="AK237" s="14">
        <f>IF($B237="","",IF($AO237="","対象年月が未入力／","")&amp;IF($B237="","",IF($AN237="","職員マスタに未登録の職員番号／",IF($Y237="","標準報酬月額が未登録／","")&amp;IF(AND($AO237&lt;&gt;"",OR(AND(INDEX(職員マスタ!$G$6:$G$405,$AN237)&lt;&gt;"",INDEX(職員マスタ!$G$6:$G$405,$AN237)&gt;EOMONTH($AO237,0)),AND(INDEX(職員マスタ!$H$6:$H$405,$AN237)&lt;&gt;"",INDEX(職員マスタ!$H$6:$H$405,$AN237)&lt;$AO237))),"対象月が時短期間外／","")&amp;IF(AND(INDEX(職員マスタ!$F$6:$F$405,$AN237)&lt;&gt;"",$AO237&lt;&gt;"",INDEX(職員マスタ!$F$6:$F$405,$AN237)&lt;$AO237),"対象月に子が2歳到達済／","")&amp;IF(AND($H237&lt;&gt;"",INDEX(職員マスタ!$B$6:$B$405,$AN237)&lt;&gt;"",SUBSTITUTE(SUBSTITUTE($H237," ","")," ","")&lt;&gt;SUBSTITUTE(SUBSTITUTE(INDEX(職員マスタ!$B$6:$B$405,$AN237)," ","")," ","")),"氏名がマスタと相違／","")&amp;IF(AND($Q237&lt;&gt;"",INDEX(職員マスタ!$E$6:$E$405,$AN237)&lt;&gt;"",$Q237&lt;&gt;INDEX(職員マスタ!$E$6:$E$405,$AN237)),"子の生年月日がマスタと相違／","")&amp;IF(AND($L237&lt;&gt;"",INDEX(職員マスタ!$G$6:$G$405,$AN237)&lt;&gt;"",$L237&lt;&gt;INDEX(職員マスタ!$G$6:$G$405,$AN237)),"時短開始日がマスタと相違／","")&amp;IF(AND($M237&lt;&gt;"",INDEX(職員マスタ!$H$6:$H$405,$AN237)&lt;&gt;"",$M237&lt;&gt;INDEX(職員マスタ!$H$6:$H$405,$AN237)),"時短終了日がマスタと相違／","")))&amp;IF(AND($B237&lt;&gt;"",$E237=""),"報酬額が未入力／","")&amp;IF(N($U237)&gt;0,"申請書に入力エラーが残っています／","")&amp;IF(AND($B237&lt;&gt;"",$AO237&lt;&gt;""),IF(COUNTIFS($B$6:$B$3005,$B237,$C$6:$C$3005,$C237,$D$6:$D$3005,$D237)&gt;1,"同じ月の請求が重複しています／",""),"")&amp;IF(AND(N($E237)&gt;0,$Z237&lt;&gt;"",$Z237&lt;&gt;"×",$AC237=0,$AB237=""),"計算額が下限以下のため不支給／",""))</f>
        <v/>
      </c>
      <c r="AL237" s="12" t="n"/>
      <c r="AM237" s="14">
        <f>IF($AD237="保留中",COUNTIF($AD$6:$AD237,"保留中"),"")</f>
        <v/>
      </c>
      <c r="AN237" s="14">
        <f>IF($AO237="","",IF(SUMPRODUCT(MAX((職員マスタ!$A$6:$A$405=$B237)*(((職員マスタ!$G$6:$G$405="")+(職員マスタ!$G$6:$G$405&lt;=EOMONTH($AO237,0)))&gt;0)*(((職員マスタ!$H$6:$H$405="")+(職員マスタ!$H$6:$H$405&gt;=$AO237))&gt;0)*(ROW(職員マスタ!$A$6:$A$405)-5)))&gt;0,SUMPRODUCT(MAX((職員マスタ!$A$6:$A$405=$B237)*(((職員マスタ!$G$6:$G$405="")+(職員マスタ!$G$6:$G$405&lt;=EOMONTH($AO237,0)))&gt;0)*(((職員マスタ!$H$6:$H$405="")+(職員マスタ!$H$6:$H$405&gt;=$AO237))&gt;0)*(ROW(職員マスタ!$A$6:$A$405)-5))),IFERROR(MATCH($B237,職員マスタ!$A$6:$A$405,0),"")))</f>
        <v/>
      </c>
      <c r="AO237" s="16">
        <f>IF(OR($B237="",$C237="",$D237=""),"",DATE($C237+2018,$D237,1))</f>
        <v/>
      </c>
    </row>
    <row r="238">
      <c r="A238" s="11" t="n"/>
      <c r="B238" s="12" t="n">
        <v>6502736</v>
      </c>
      <c r="C238" s="12" t="n">
        <v>7</v>
      </c>
      <c r="D238" s="12" t="n">
        <v>4</v>
      </c>
      <c r="E238" s="13" t="n">
        <v>200451</v>
      </c>
      <c r="F238" s="12" t="n"/>
      <c r="G238" s="13" t="n"/>
      <c r="H238" s="12" t="n"/>
      <c r="I238" s="12" t="n"/>
      <c r="J238" s="12" t="n"/>
      <c r="K238" s="12" t="n"/>
      <c r="L238" s="11" t="n"/>
      <c r="M238" s="11" t="n"/>
      <c r="N238" s="11" t="n"/>
      <c r="O238" s="11" t="n"/>
      <c r="P238" s="12" t="n"/>
      <c r="Q238" s="11" t="n"/>
      <c r="R238" s="12" t="n"/>
      <c r="S238" s="11" t="n"/>
      <c r="T238" s="12" t="n"/>
      <c r="U238" s="12" t="n"/>
      <c r="V238" s="14">
        <f>IF($AN238="",IF($B238="","",$H238),IF(INDEX(職員マスタ!$B$6:$B$405,$AN238)="",$H238,INDEX(職員マスタ!$B$6:$B$405,$AN238)))</f>
        <v/>
      </c>
      <c r="W238" s="14">
        <f>IF($AN238="",IF($B238="","",$R238),IF(INDEX(職員マスタ!$C$6:$C$405,$AN238)="",$R238,INDEX(職員マスタ!$C$6:$C$405,$AN238)))</f>
        <v/>
      </c>
      <c r="X238" s="14">
        <f>IF($AO238="","","R"&amp;$C238&amp;"."&amp;$D238)</f>
        <v/>
      </c>
      <c r="Y238" s="15">
        <f>IF($AN238="","",IF(INDEX(職員マスタ!$K$6:$K$405,$AN238)="","",INDEX(職員マスタ!$K$6:$K$405,$AN238)))</f>
        <v/>
      </c>
      <c r="Z238" s="14">
        <f>IF(OR($E238="",$Y238=""),"",IF($E238&gt;=$Y238,"×",IF($E238&gt;=$Y238*設定!$C$5,"△","○")))</f>
        <v/>
      </c>
      <c r="AA238" s="15">
        <f>IF($Z238="","",IF($Z238="×",0,IF($Z238="○",ROUNDDOWN($E238*設定!$C$4,0),ROUNDDOWN($E238*ROUND((9*$Y238-9*$E238)/(10*$E238),4),0))))</f>
        <v/>
      </c>
      <c r="AB238" s="13" t="n"/>
      <c r="AC238" s="15">
        <f>IF($B238="","",IF($AB238&lt;&gt;"",$AB238,IF($AA238="","",IF($AA238&lt;=設定!$C$3,0,$AA238))))</f>
        <v/>
      </c>
      <c r="AD238" s="14">
        <f>IF($B238="","",IF(AND($AE238&lt;&gt;"",$AG238="",$AJ238=""),"保留中",IF($AJ238&lt;&gt;"",IF(N($AC238)&gt;0,"支給済","不支給"),IF($AC238="","要確認",IF($AC238=0,"不支給","未処理")))))</f>
        <v/>
      </c>
      <c r="AE238" s="12" t="n"/>
      <c r="AF238" s="11" t="n"/>
      <c r="AG238" s="11" t="n"/>
      <c r="AH238" s="11" t="n"/>
      <c r="AI238" s="14">
        <f>IF(AND($AD238="保留中",$AF238&lt;&gt;""),TODAY()-$AF238,"")</f>
        <v/>
      </c>
      <c r="AJ238" s="12" t="inlineStr">
        <is>
          <t>R7.8</t>
        </is>
      </c>
      <c r="AK238" s="14">
        <f>IF($B238="","",IF($AO238="","対象年月が未入力／","")&amp;IF($B238="","",IF($AN238="","職員マスタに未登録の職員番号／",IF($Y238="","標準報酬月額が未登録／","")&amp;IF(AND($AO238&lt;&gt;"",OR(AND(INDEX(職員マスタ!$G$6:$G$405,$AN238)&lt;&gt;"",INDEX(職員マスタ!$G$6:$G$405,$AN238)&gt;EOMONTH($AO238,0)),AND(INDEX(職員マスタ!$H$6:$H$405,$AN238)&lt;&gt;"",INDEX(職員マスタ!$H$6:$H$405,$AN238)&lt;$AO238))),"対象月が時短期間外／","")&amp;IF(AND(INDEX(職員マスタ!$F$6:$F$405,$AN238)&lt;&gt;"",$AO238&lt;&gt;"",INDEX(職員マスタ!$F$6:$F$405,$AN238)&lt;$AO238),"対象月に子が2歳到達済／","")&amp;IF(AND($H238&lt;&gt;"",INDEX(職員マスタ!$B$6:$B$405,$AN238)&lt;&gt;"",SUBSTITUTE(SUBSTITUTE($H238," ","")," ","")&lt;&gt;SUBSTITUTE(SUBSTITUTE(INDEX(職員マスタ!$B$6:$B$405,$AN238)," ","")," ","")),"氏名がマスタと相違／","")&amp;IF(AND($Q238&lt;&gt;"",INDEX(職員マスタ!$E$6:$E$405,$AN238)&lt;&gt;"",$Q238&lt;&gt;INDEX(職員マスタ!$E$6:$E$405,$AN238)),"子の生年月日がマスタと相違／","")&amp;IF(AND($L238&lt;&gt;"",INDEX(職員マスタ!$G$6:$G$405,$AN238)&lt;&gt;"",$L238&lt;&gt;INDEX(職員マスタ!$G$6:$G$405,$AN238)),"時短開始日がマスタと相違／","")&amp;IF(AND($M238&lt;&gt;"",INDEX(職員マスタ!$H$6:$H$405,$AN238)&lt;&gt;"",$M238&lt;&gt;INDEX(職員マスタ!$H$6:$H$405,$AN238)),"時短終了日がマスタと相違／","")))&amp;IF(AND($B238&lt;&gt;"",$E238=""),"報酬額が未入力／","")&amp;IF(N($U238)&gt;0,"申請書に入力エラーが残っています／","")&amp;IF(AND($B238&lt;&gt;"",$AO238&lt;&gt;""),IF(COUNTIFS($B$6:$B$3005,$B238,$C$6:$C$3005,$C238,$D$6:$D$3005,$D238)&gt;1,"同じ月の請求が重複しています／",""),"")&amp;IF(AND(N($E238)&gt;0,$Z238&lt;&gt;"",$Z238&lt;&gt;"×",$AC238=0,$AB238=""),"計算額が下限以下のため不支給／",""))</f>
        <v/>
      </c>
      <c r="AL238" s="12" t="n"/>
      <c r="AM238" s="14">
        <f>IF($AD238="保留中",COUNTIF($AD$6:$AD238,"保留中"),"")</f>
        <v/>
      </c>
      <c r="AN238" s="14">
        <f>IF($AO238="","",IF(SUMPRODUCT(MAX((職員マスタ!$A$6:$A$405=$B238)*(((職員マスタ!$G$6:$G$405="")+(職員マスタ!$G$6:$G$405&lt;=EOMONTH($AO238,0)))&gt;0)*(((職員マスタ!$H$6:$H$405="")+(職員マスタ!$H$6:$H$405&gt;=$AO238))&gt;0)*(ROW(職員マスタ!$A$6:$A$405)-5)))&gt;0,SUMPRODUCT(MAX((職員マスタ!$A$6:$A$405=$B238)*(((職員マスタ!$G$6:$G$405="")+(職員マスタ!$G$6:$G$405&lt;=EOMONTH($AO238,0)))&gt;0)*(((職員マスタ!$H$6:$H$405="")+(職員マスタ!$H$6:$H$405&gt;=$AO238))&gt;0)*(ROW(職員マスタ!$A$6:$A$405)-5))),IFERROR(MATCH($B238,職員マスタ!$A$6:$A$405,0),"")))</f>
        <v/>
      </c>
      <c r="AO238" s="16">
        <f>IF(OR($B238="",$C238="",$D238=""),"",DATE($C238+2018,$D238,1))</f>
        <v/>
      </c>
    </row>
    <row r="239">
      <c r="A239" s="11" t="n"/>
      <c r="B239" s="12" t="n">
        <v>6502736</v>
      </c>
      <c r="C239" s="12" t="n">
        <v>7</v>
      </c>
      <c r="D239" s="12" t="n">
        <v>5</v>
      </c>
      <c r="E239" s="13" t="n">
        <v>204469</v>
      </c>
      <c r="F239" s="12" t="n"/>
      <c r="G239" s="13" t="n"/>
      <c r="H239" s="12" t="n"/>
      <c r="I239" s="12" t="n"/>
      <c r="J239" s="12" t="n"/>
      <c r="K239" s="12" t="n"/>
      <c r="L239" s="11" t="n"/>
      <c r="M239" s="11" t="n"/>
      <c r="N239" s="11" t="n"/>
      <c r="O239" s="11" t="n"/>
      <c r="P239" s="12" t="n"/>
      <c r="Q239" s="11" t="n"/>
      <c r="R239" s="12" t="n"/>
      <c r="S239" s="11" t="n"/>
      <c r="T239" s="12" t="n"/>
      <c r="U239" s="12" t="n"/>
      <c r="V239" s="14">
        <f>IF($AN239="",IF($B239="","",$H239),IF(INDEX(職員マスタ!$B$6:$B$405,$AN239)="",$H239,INDEX(職員マスタ!$B$6:$B$405,$AN239)))</f>
        <v/>
      </c>
      <c r="W239" s="14">
        <f>IF($AN239="",IF($B239="","",$R239),IF(INDEX(職員マスタ!$C$6:$C$405,$AN239)="",$R239,INDEX(職員マスタ!$C$6:$C$405,$AN239)))</f>
        <v/>
      </c>
      <c r="X239" s="14">
        <f>IF($AO239="","","R"&amp;$C239&amp;"."&amp;$D239)</f>
        <v/>
      </c>
      <c r="Y239" s="15">
        <f>IF($AN239="","",IF(INDEX(職員マスタ!$K$6:$K$405,$AN239)="","",INDEX(職員マスタ!$K$6:$K$405,$AN239)))</f>
        <v/>
      </c>
      <c r="Z239" s="14">
        <f>IF(OR($E239="",$Y239=""),"",IF($E239&gt;=$Y239,"×",IF($E239&gt;=$Y239*設定!$C$5,"△","○")))</f>
        <v/>
      </c>
      <c r="AA239" s="15">
        <f>IF($Z239="","",IF($Z239="×",0,IF($Z239="○",ROUNDDOWN($E239*設定!$C$4,0),ROUNDDOWN($E239*ROUND((9*$Y239-9*$E239)/(10*$E239),4),0))))</f>
        <v/>
      </c>
      <c r="AB239" s="13" t="n"/>
      <c r="AC239" s="15">
        <f>IF($B239="","",IF($AB239&lt;&gt;"",$AB239,IF($AA239="","",IF($AA239&lt;=設定!$C$3,0,$AA239))))</f>
        <v/>
      </c>
      <c r="AD239" s="14">
        <f>IF($B239="","",IF(AND($AE239&lt;&gt;"",$AG239="",$AJ239=""),"保留中",IF($AJ239&lt;&gt;"",IF(N($AC239)&gt;0,"支給済","不支給"),IF($AC239="","要確認",IF($AC239=0,"不支給","未処理")))))</f>
        <v/>
      </c>
      <c r="AE239" s="12" t="n"/>
      <c r="AF239" s="11" t="n"/>
      <c r="AG239" s="11" t="n"/>
      <c r="AH239" s="11" t="n"/>
      <c r="AI239" s="14">
        <f>IF(AND($AD239="保留中",$AF239&lt;&gt;""),TODAY()-$AF239,"")</f>
        <v/>
      </c>
      <c r="AJ239" s="12" t="inlineStr">
        <is>
          <t>R7.8</t>
        </is>
      </c>
      <c r="AK239" s="14">
        <f>IF($B239="","",IF($AO239="","対象年月が未入力／","")&amp;IF($B239="","",IF($AN239="","職員マスタに未登録の職員番号／",IF($Y239="","標準報酬月額が未登録／","")&amp;IF(AND($AO239&lt;&gt;"",OR(AND(INDEX(職員マスタ!$G$6:$G$405,$AN239)&lt;&gt;"",INDEX(職員マスタ!$G$6:$G$405,$AN239)&gt;EOMONTH($AO239,0)),AND(INDEX(職員マスタ!$H$6:$H$405,$AN239)&lt;&gt;"",INDEX(職員マスタ!$H$6:$H$405,$AN239)&lt;$AO239))),"対象月が時短期間外／","")&amp;IF(AND(INDEX(職員マスタ!$F$6:$F$405,$AN239)&lt;&gt;"",$AO239&lt;&gt;"",INDEX(職員マスタ!$F$6:$F$405,$AN239)&lt;$AO239),"対象月に子が2歳到達済／","")&amp;IF(AND($H239&lt;&gt;"",INDEX(職員マスタ!$B$6:$B$405,$AN239)&lt;&gt;"",SUBSTITUTE(SUBSTITUTE($H239," ","")," ","")&lt;&gt;SUBSTITUTE(SUBSTITUTE(INDEX(職員マスタ!$B$6:$B$405,$AN239)," ","")," ","")),"氏名がマスタと相違／","")&amp;IF(AND($Q239&lt;&gt;"",INDEX(職員マスタ!$E$6:$E$405,$AN239)&lt;&gt;"",$Q239&lt;&gt;INDEX(職員マスタ!$E$6:$E$405,$AN239)),"子の生年月日がマスタと相違／","")&amp;IF(AND($L239&lt;&gt;"",INDEX(職員マスタ!$G$6:$G$405,$AN239)&lt;&gt;"",$L239&lt;&gt;INDEX(職員マスタ!$G$6:$G$405,$AN239)),"時短開始日がマスタと相違／","")&amp;IF(AND($M239&lt;&gt;"",INDEX(職員マスタ!$H$6:$H$405,$AN239)&lt;&gt;"",$M239&lt;&gt;INDEX(職員マスタ!$H$6:$H$405,$AN239)),"時短終了日がマスタと相違／","")))&amp;IF(AND($B239&lt;&gt;"",$E239=""),"報酬額が未入力／","")&amp;IF(N($U239)&gt;0,"申請書に入力エラーが残っています／","")&amp;IF(AND($B239&lt;&gt;"",$AO239&lt;&gt;""),IF(COUNTIFS($B$6:$B$3005,$B239,$C$6:$C$3005,$C239,$D$6:$D$3005,$D239)&gt;1,"同じ月の請求が重複しています／",""),"")&amp;IF(AND(N($E239)&gt;0,$Z239&lt;&gt;"",$Z239&lt;&gt;"×",$AC239=0,$AB239=""),"計算額が下限以下のため不支給／",""))</f>
        <v/>
      </c>
      <c r="AL239" s="12" t="n"/>
      <c r="AM239" s="14">
        <f>IF($AD239="保留中",COUNTIF($AD$6:$AD239,"保留中"),"")</f>
        <v/>
      </c>
      <c r="AN239" s="14">
        <f>IF($AO239="","",IF(SUMPRODUCT(MAX((職員マスタ!$A$6:$A$405=$B239)*(((職員マスタ!$G$6:$G$405="")+(職員マスタ!$G$6:$G$405&lt;=EOMONTH($AO239,0)))&gt;0)*(((職員マスタ!$H$6:$H$405="")+(職員マスタ!$H$6:$H$405&gt;=$AO239))&gt;0)*(ROW(職員マスタ!$A$6:$A$405)-5)))&gt;0,SUMPRODUCT(MAX((職員マスタ!$A$6:$A$405=$B239)*(((職員マスタ!$G$6:$G$405="")+(職員マスタ!$G$6:$G$405&lt;=EOMONTH($AO239,0)))&gt;0)*(((職員マスタ!$H$6:$H$405="")+(職員マスタ!$H$6:$H$405&gt;=$AO239))&gt;0)*(ROW(職員マスタ!$A$6:$A$405)-5))),IFERROR(MATCH($B239,職員マスタ!$A$6:$A$405,0),"")))</f>
        <v/>
      </c>
      <c r="AO239" s="16">
        <f>IF(OR($B239="",$C239="",$D239=""),"",DATE($C239+2018,$D239,1))</f>
        <v/>
      </c>
    </row>
    <row r="240">
      <c r="A240" s="11" t="n"/>
      <c r="B240" s="12" t="n">
        <v>6502736</v>
      </c>
      <c r="C240" s="12" t="n">
        <v>7</v>
      </c>
      <c r="D240" s="12" t="n">
        <v>6</v>
      </c>
      <c r="E240" s="13" t="n">
        <v>200451</v>
      </c>
      <c r="F240" s="12" t="n"/>
      <c r="G240" s="13" t="n"/>
      <c r="H240" s="12" t="n"/>
      <c r="I240" s="12" t="n"/>
      <c r="J240" s="12" t="n"/>
      <c r="K240" s="12" t="n"/>
      <c r="L240" s="11" t="n"/>
      <c r="M240" s="11" t="n"/>
      <c r="N240" s="11" t="n"/>
      <c r="O240" s="11" t="n"/>
      <c r="P240" s="12" t="n"/>
      <c r="Q240" s="11" t="n"/>
      <c r="R240" s="12" t="n"/>
      <c r="S240" s="11" t="n"/>
      <c r="T240" s="12" t="n"/>
      <c r="U240" s="12" t="n"/>
      <c r="V240" s="14">
        <f>IF($AN240="",IF($B240="","",$H240),IF(INDEX(職員マスタ!$B$6:$B$405,$AN240)="",$H240,INDEX(職員マスタ!$B$6:$B$405,$AN240)))</f>
        <v/>
      </c>
      <c r="W240" s="14">
        <f>IF($AN240="",IF($B240="","",$R240),IF(INDEX(職員マスタ!$C$6:$C$405,$AN240)="",$R240,INDEX(職員マスタ!$C$6:$C$405,$AN240)))</f>
        <v/>
      </c>
      <c r="X240" s="14">
        <f>IF($AO240="","","R"&amp;$C240&amp;"."&amp;$D240)</f>
        <v/>
      </c>
      <c r="Y240" s="15">
        <f>IF($AN240="","",IF(INDEX(職員マスタ!$K$6:$K$405,$AN240)="","",INDEX(職員マスタ!$K$6:$K$405,$AN240)))</f>
        <v/>
      </c>
      <c r="Z240" s="14">
        <f>IF(OR($E240="",$Y240=""),"",IF($E240&gt;=$Y240,"×",IF($E240&gt;=$Y240*設定!$C$5,"△","○")))</f>
        <v/>
      </c>
      <c r="AA240" s="15">
        <f>IF($Z240="","",IF($Z240="×",0,IF($Z240="○",ROUNDDOWN($E240*設定!$C$4,0),ROUNDDOWN($E240*ROUND((9*$Y240-9*$E240)/(10*$E240),4),0))))</f>
        <v/>
      </c>
      <c r="AB240" s="13" t="n"/>
      <c r="AC240" s="15">
        <f>IF($B240="","",IF($AB240&lt;&gt;"",$AB240,IF($AA240="","",IF($AA240&lt;=設定!$C$3,0,$AA240))))</f>
        <v/>
      </c>
      <c r="AD240" s="14">
        <f>IF($B240="","",IF(AND($AE240&lt;&gt;"",$AG240="",$AJ240=""),"保留中",IF($AJ240&lt;&gt;"",IF(N($AC240)&gt;0,"支給済","不支給"),IF($AC240="","要確認",IF($AC240=0,"不支給","未処理")))))</f>
        <v/>
      </c>
      <c r="AE240" s="12" t="n"/>
      <c r="AF240" s="11" t="n"/>
      <c r="AG240" s="11" t="n"/>
      <c r="AH240" s="11" t="n"/>
      <c r="AI240" s="14">
        <f>IF(AND($AD240="保留中",$AF240&lt;&gt;""),TODAY()-$AF240,"")</f>
        <v/>
      </c>
      <c r="AJ240" s="12" t="inlineStr">
        <is>
          <t>R7.8</t>
        </is>
      </c>
      <c r="AK240" s="14">
        <f>IF($B240="","",IF($AO240="","対象年月が未入力／","")&amp;IF($B240="","",IF($AN240="","職員マスタに未登録の職員番号／",IF($Y240="","標準報酬月額が未登録／","")&amp;IF(AND($AO240&lt;&gt;"",OR(AND(INDEX(職員マスタ!$G$6:$G$405,$AN240)&lt;&gt;"",INDEX(職員マスタ!$G$6:$G$405,$AN240)&gt;EOMONTH($AO240,0)),AND(INDEX(職員マスタ!$H$6:$H$405,$AN240)&lt;&gt;"",INDEX(職員マスタ!$H$6:$H$405,$AN240)&lt;$AO240))),"対象月が時短期間外／","")&amp;IF(AND(INDEX(職員マスタ!$F$6:$F$405,$AN240)&lt;&gt;"",$AO240&lt;&gt;"",INDEX(職員マスタ!$F$6:$F$405,$AN240)&lt;$AO240),"対象月に子が2歳到達済／","")&amp;IF(AND($H240&lt;&gt;"",INDEX(職員マスタ!$B$6:$B$405,$AN240)&lt;&gt;"",SUBSTITUTE(SUBSTITUTE($H240," ","")," ","")&lt;&gt;SUBSTITUTE(SUBSTITUTE(INDEX(職員マスタ!$B$6:$B$405,$AN240)," ","")," ","")),"氏名がマスタと相違／","")&amp;IF(AND($Q240&lt;&gt;"",INDEX(職員マスタ!$E$6:$E$405,$AN240)&lt;&gt;"",$Q240&lt;&gt;INDEX(職員マスタ!$E$6:$E$405,$AN240)),"子の生年月日がマスタと相違／","")&amp;IF(AND($L240&lt;&gt;"",INDEX(職員マスタ!$G$6:$G$405,$AN240)&lt;&gt;"",$L240&lt;&gt;INDEX(職員マスタ!$G$6:$G$405,$AN240)),"時短開始日がマスタと相違／","")&amp;IF(AND($M240&lt;&gt;"",INDEX(職員マスタ!$H$6:$H$405,$AN240)&lt;&gt;"",$M240&lt;&gt;INDEX(職員マスタ!$H$6:$H$405,$AN240)),"時短終了日がマスタと相違／","")))&amp;IF(AND($B240&lt;&gt;"",$E240=""),"報酬額が未入力／","")&amp;IF(N($U240)&gt;0,"申請書に入力エラーが残っています／","")&amp;IF(AND($B240&lt;&gt;"",$AO240&lt;&gt;""),IF(COUNTIFS($B$6:$B$3005,$B240,$C$6:$C$3005,$C240,$D$6:$D$3005,$D240)&gt;1,"同じ月の請求が重複しています／",""),"")&amp;IF(AND(N($E240)&gt;0,$Z240&lt;&gt;"",$Z240&lt;&gt;"×",$AC240=0,$AB240=""),"計算額が下限以下のため不支給／",""))</f>
        <v/>
      </c>
      <c r="AL240" s="12" t="n"/>
      <c r="AM240" s="14">
        <f>IF($AD240="保留中",COUNTIF($AD$6:$AD240,"保留中"),"")</f>
        <v/>
      </c>
      <c r="AN240" s="14">
        <f>IF($AO240="","",IF(SUMPRODUCT(MAX((職員マスタ!$A$6:$A$405=$B240)*(((職員マスタ!$G$6:$G$405="")+(職員マスタ!$G$6:$G$405&lt;=EOMONTH($AO240,0)))&gt;0)*(((職員マスタ!$H$6:$H$405="")+(職員マスタ!$H$6:$H$405&gt;=$AO240))&gt;0)*(ROW(職員マスタ!$A$6:$A$405)-5)))&gt;0,SUMPRODUCT(MAX((職員マスタ!$A$6:$A$405=$B240)*(((職員マスタ!$G$6:$G$405="")+(職員マスタ!$G$6:$G$405&lt;=EOMONTH($AO240,0)))&gt;0)*(((職員マスタ!$H$6:$H$405="")+(職員マスタ!$H$6:$H$405&gt;=$AO240))&gt;0)*(ROW(職員マスタ!$A$6:$A$405)-5))),IFERROR(MATCH($B240,職員マスタ!$A$6:$A$405,0),"")))</f>
        <v/>
      </c>
      <c r="AO240" s="16">
        <f>IF(OR($B240="",$C240="",$D240=""),"",DATE($C240+2018,$D240,1))</f>
        <v/>
      </c>
    </row>
    <row r="241">
      <c r="A241" s="11" t="n"/>
      <c r="B241" s="12" t="n">
        <v>6502736</v>
      </c>
      <c r="C241" s="12" t="n">
        <v>7</v>
      </c>
      <c r="D241" s="12" t="n">
        <v>7</v>
      </c>
      <c r="E241" s="13" t="n">
        <v>206478</v>
      </c>
      <c r="F241" s="12" t="n"/>
      <c r="G241" s="13" t="n"/>
      <c r="H241" s="12" t="n"/>
      <c r="I241" s="12" t="n"/>
      <c r="J241" s="12" t="n"/>
      <c r="K241" s="12" t="n"/>
      <c r="L241" s="11" t="n"/>
      <c r="M241" s="11" t="n"/>
      <c r="N241" s="11" t="n"/>
      <c r="O241" s="11" t="n"/>
      <c r="P241" s="12" t="n"/>
      <c r="Q241" s="11" t="n"/>
      <c r="R241" s="12" t="n"/>
      <c r="S241" s="11" t="n"/>
      <c r="T241" s="12" t="n"/>
      <c r="U241" s="12" t="n"/>
      <c r="V241" s="14">
        <f>IF($AN241="",IF($B241="","",$H241),IF(INDEX(職員マスタ!$B$6:$B$405,$AN241)="",$H241,INDEX(職員マスタ!$B$6:$B$405,$AN241)))</f>
        <v/>
      </c>
      <c r="W241" s="14">
        <f>IF($AN241="",IF($B241="","",$R241),IF(INDEX(職員マスタ!$C$6:$C$405,$AN241)="",$R241,INDEX(職員マスタ!$C$6:$C$405,$AN241)))</f>
        <v/>
      </c>
      <c r="X241" s="14">
        <f>IF($AO241="","","R"&amp;$C241&amp;"."&amp;$D241)</f>
        <v/>
      </c>
      <c r="Y241" s="15">
        <f>IF($AN241="","",IF(INDEX(職員マスタ!$K$6:$K$405,$AN241)="","",INDEX(職員マスタ!$K$6:$K$405,$AN241)))</f>
        <v/>
      </c>
      <c r="Z241" s="14">
        <f>IF(OR($E241="",$Y241=""),"",IF($E241&gt;=$Y241,"×",IF($E241&gt;=$Y241*設定!$C$5,"△","○")))</f>
        <v/>
      </c>
      <c r="AA241" s="15">
        <f>IF($Z241="","",IF($Z241="×",0,IF($Z241="○",ROUNDDOWN($E241*設定!$C$4,0),ROUNDDOWN($E241*ROUND((9*$Y241-9*$E241)/(10*$E241),4),0))))</f>
        <v/>
      </c>
      <c r="AB241" s="13" t="n"/>
      <c r="AC241" s="15">
        <f>IF($B241="","",IF($AB241&lt;&gt;"",$AB241,IF($AA241="","",IF($AA241&lt;=設定!$C$3,0,$AA241))))</f>
        <v/>
      </c>
      <c r="AD241" s="14">
        <f>IF($B241="","",IF(AND($AE241&lt;&gt;"",$AG241="",$AJ241=""),"保留中",IF($AJ241&lt;&gt;"",IF(N($AC241)&gt;0,"支給済","不支給"),IF($AC241="","要確認",IF($AC241=0,"不支給","未処理")))))</f>
        <v/>
      </c>
      <c r="AE241" s="12" t="n"/>
      <c r="AF241" s="11" t="n"/>
      <c r="AG241" s="11" t="n"/>
      <c r="AH241" s="11" t="n"/>
      <c r="AI241" s="14">
        <f>IF(AND($AD241="保留中",$AF241&lt;&gt;""),TODAY()-$AF241,"")</f>
        <v/>
      </c>
      <c r="AJ241" s="12" t="inlineStr">
        <is>
          <t>R7.9</t>
        </is>
      </c>
      <c r="AK241" s="14">
        <f>IF($B241="","",IF($AO241="","対象年月が未入力／","")&amp;IF($B241="","",IF($AN241="","職員マスタに未登録の職員番号／",IF($Y241="","標準報酬月額が未登録／","")&amp;IF(AND($AO241&lt;&gt;"",OR(AND(INDEX(職員マスタ!$G$6:$G$405,$AN241)&lt;&gt;"",INDEX(職員マスタ!$G$6:$G$405,$AN241)&gt;EOMONTH($AO241,0)),AND(INDEX(職員マスタ!$H$6:$H$405,$AN241)&lt;&gt;"",INDEX(職員マスタ!$H$6:$H$405,$AN241)&lt;$AO241))),"対象月が時短期間外／","")&amp;IF(AND(INDEX(職員マスタ!$F$6:$F$405,$AN241)&lt;&gt;"",$AO241&lt;&gt;"",INDEX(職員マスタ!$F$6:$F$405,$AN241)&lt;$AO241),"対象月に子が2歳到達済／","")&amp;IF(AND($H241&lt;&gt;"",INDEX(職員マスタ!$B$6:$B$405,$AN241)&lt;&gt;"",SUBSTITUTE(SUBSTITUTE($H241," ","")," ","")&lt;&gt;SUBSTITUTE(SUBSTITUTE(INDEX(職員マスタ!$B$6:$B$405,$AN241)," ","")," ","")),"氏名がマスタと相違／","")&amp;IF(AND($Q241&lt;&gt;"",INDEX(職員マスタ!$E$6:$E$405,$AN241)&lt;&gt;"",$Q241&lt;&gt;INDEX(職員マスタ!$E$6:$E$405,$AN241)),"子の生年月日がマスタと相違／","")&amp;IF(AND($L241&lt;&gt;"",INDEX(職員マスタ!$G$6:$G$405,$AN241)&lt;&gt;"",$L241&lt;&gt;INDEX(職員マスタ!$G$6:$G$405,$AN241)),"時短開始日がマスタと相違／","")&amp;IF(AND($M241&lt;&gt;"",INDEX(職員マスタ!$H$6:$H$405,$AN241)&lt;&gt;"",$M241&lt;&gt;INDEX(職員マスタ!$H$6:$H$405,$AN241)),"時短終了日がマスタと相違／","")))&amp;IF(AND($B241&lt;&gt;"",$E241=""),"報酬額が未入力／","")&amp;IF(N($U241)&gt;0,"申請書に入力エラーが残っています／","")&amp;IF(AND($B241&lt;&gt;"",$AO241&lt;&gt;""),IF(COUNTIFS($B$6:$B$3005,$B241,$C$6:$C$3005,$C241,$D$6:$D$3005,$D241)&gt;1,"同じ月の請求が重複しています／",""),"")&amp;IF(AND(N($E241)&gt;0,$Z241&lt;&gt;"",$Z241&lt;&gt;"×",$AC241=0,$AB241=""),"計算額が下限以下のため不支給／",""))</f>
        <v/>
      </c>
      <c r="AL241" s="12" t="n"/>
      <c r="AM241" s="14">
        <f>IF($AD241="保留中",COUNTIF($AD$6:$AD241,"保留中"),"")</f>
        <v/>
      </c>
      <c r="AN241" s="14">
        <f>IF($AO241="","",IF(SUMPRODUCT(MAX((職員マスタ!$A$6:$A$405=$B241)*(((職員マスタ!$G$6:$G$405="")+(職員マスタ!$G$6:$G$405&lt;=EOMONTH($AO241,0)))&gt;0)*(((職員マスタ!$H$6:$H$405="")+(職員マスタ!$H$6:$H$405&gt;=$AO241))&gt;0)*(ROW(職員マスタ!$A$6:$A$405)-5)))&gt;0,SUMPRODUCT(MAX((職員マスタ!$A$6:$A$405=$B241)*(((職員マスタ!$G$6:$G$405="")+(職員マスタ!$G$6:$G$405&lt;=EOMONTH($AO241,0)))&gt;0)*(((職員マスタ!$H$6:$H$405="")+(職員マスタ!$H$6:$H$405&gt;=$AO241))&gt;0)*(ROW(職員マスタ!$A$6:$A$405)-5))),IFERROR(MATCH($B241,職員マスタ!$A$6:$A$405,0),"")))</f>
        <v/>
      </c>
      <c r="AO241" s="16">
        <f>IF(OR($B241="",$C241="",$D241=""),"",DATE($C241+2018,$D241,1))</f>
        <v/>
      </c>
    </row>
    <row r="242">
      <c r="A242" s="11" t="n"/>
      <c r="B242" s="12" t="n">
        <v>6502892</v>
      </c>
      <c r="C242" s="12" t="n">
        <v>7</v>
      </c>
      <c r="D242" s="12" t="n">
        <v>5</v>
      </c>
      <c r="E242" s="13" t="n">
        <v>194991</v>
      </c>
      <c r="F242" s="12" t="n"/>
      <c r="G242" s="13" t="n"/>
      <c r="H242" s="12" t="n"/>
      <c r="I242" s="12" t="n"/>
      <c r="J242" s="12" t="n"/>
      <c r="K242" s="12" t="n"/>
      <c r="L242" s="11" t="n"/>
      <c r="M242" s="11" t="n"/>
      <c r="N242" s="11" t="n"/>
      <c r="O242" s="11" t="n"/>
      <c r="P242" s="12" t="n"/>
      <c r="Q242" s="11" t="n"/>
      <c r="R242" s="12" t="n"/>
      <c r="S242" s="11" t="n"/>
      <c r="T242" s="12" t="n"/>
      <c r="U242" s="12" t="n"/>
      <c r="V242" s="14">
        <f>IF($AN242="",IF($B242="","",$H242),IF(INDEX(職員マスタ!$B$6:$B$405,$AN242)="",$H242,INDEX(職員マスタ!$B$6:$B$405,$AN242)))</f>
        <v/>
      </c>
      <c r="W242" s="14">
        <f>IF($AN242="",IF($B242="","",$R242),IF(INDEX(職員マスタ!$C$6:$C$405,$AN242)="",$R242,INDEX(職員マスタ!$C$6:$C$405,$AN242)))</f>
        <v/>
      </c>
      <c r="X242" s="14">
        <f>IF($AO242="","","R"&amp;$C242&amp;"."&amp;$D242)</f>
        <v/>
      </c>
      <c r="Y242" s="15">
        <f>IF($AN242="","",IF(INDEX(職員マスタ!$K$6:$K$405,$AN242)="","",INDEX(職員マスタ!$K$6:$K$405,$AN242)))</f>
        <v/>
      </c>
      <c r="Z242" s="14">
        <f>IF(OR($E242="",$Y242=""),"",IF($E242&gt;=$Y242,"×",IF($E242&gt;=$Y242*設定!$C$5,"△","○")))</f>
        <v/>
      </c>
      <c r="AA242" s="15">
        <f>IF($Z242="","",IF($Z242="×",0,IF($Z242="○",ROUNDDOWN($E242*設定!$C$4,0),ROUNDDOWN($E242*ROUND((9*$Y242-9*$E242)/(10*$E242),4),0))))</f>
        <v/>
      </c>
      <c r="AB242" s="13" t="n"/>
      <c r="AC242" s="15">
        <f>IF($B242="","",IF($AB242&lt;&gt;"",$AB242,IF($AA242="","",IF($AA242&lt;=設定!$C$3,0,$AA242))))</f>
        <v/>
      </c>
      <c r="AD242" s="14">
        <f>IF($B242="","",IF(AND($AE242&lt;&gt;"",$AG242="",$AJ242=""),"保留中",IF($AJ242&lt;&gt;"",IF(N($AC242)&gt;0,"支給済","不支給"),IF($AC242="","要確認",IF($AC242=0,"不支給","未処理")))))</f>
        <v/>
      </c>
      <c r="AE242" s="12" t="n"/>
      <c r="AF242" s="11" t="n"/>
      <c r="AG242" s="11" t="n"/>
      <c r="AH242" s="11" t="n"/>
      <c r="AI242" s="14">
        <f>IF(AND($AD242="保留中",$AF242&lt;&gt;""),TODAY()-$AF242,"")</f>
        <v/>
      </c>
      <c r="AJ242" s="12" t="inlineStr">
        <is>
          <t>R7.8</t>
        </is>
      </c>
      <c r="AK242" s="14">
        <f>IF($B242="","",IF($AO242="","対象年月が未入力／","")&amp;IF($B242="","",IF($AN242="","職員マスタに未登録の職員番号／",IF($Y242="","標準報酬月額が未登録／","")&amp;IF(AND($AO242&lt;&gt;"",OR(AND(INDEX(職員マスタ!$G$6:$G$405,$AN242)&lt;&gt;"",INDEX(職員マスタ!$G$6:$G$405,$AN242)&gt;EOMONTH($AO242,0)),AND(INDEX(職員マスタ!$H$6:$H$405,$AN242)&lt;&gt;"",INDEX(職員マスタ!$H$6:$H$405,$AN242)&lt;$AO242))),"対象月が時短期間外／","")&amp;IF(AND(INDEX(職員マスタ!$F$6:$F$405,$AN242)&lt;&gt;"",$AO242&lt;&gt;"",INDEX(職員マスタ!$F$6:$F$405,$AN242)&lt;$AO242),"対象月に子が2歳到達済／","")&amp;IF(AND($H242&lt;&gt;"",INDEX(職員マスタ!$B$6:$B$405,$AN242)&lt;&gt;"",SUBSTITUTE(SUBSTITUTE($H242," ","")," ","")&lt;&gt;SUBSTITUTE(SUBSTITUTE(INDEX(職員マスタ!$B$6:$B$405,$AN242)," ","")," ","")),"氏名がマスタと相違／","")&amp;IF(AND($Q242&lt;&gt;"",INDEX(職員マスタ!$E$6:$E$405,$AN242)&lt;&gt;"",$Q242&lt;&gt;INDEX(職員マスタ!$E$6:$E$405,$AN242)),"子の生年月日がマスタと相違／","")&amp;IF(AND($L242&lt;&gt;"",INDEX(職員マスタ!$G$6:$G$405,$AN242)&lt;&gt;"",$L242&lt;&gt;INDEX(職員マスタ!$G$6:$G$405,$AN242)),"時短開始日がマスタと相違／","")&amp;IF(AND($M242&lt;&gt;"",INDEX(職員マスタ!$H$6:$H$405,$AN242)&lt;&gt;"",$M242&lt;&gt;INDEX(職員マスタ!$H$6:$H$405,$AN242)),"時短終了日がマスタと相違／","")))&amp;IF(AND($B242&lt;&gt;"",$E242=""),"報酬額が未入力／","")&amp;IF(N($U242)&gt;0,"申請書に入力エラーが残っています／","")&amp;IF(AND($B242&lt;&gt;"",$AO242&lt;&gt;""),IF(COUNTIFS($B$6:$B$3005,$B242,$C$6:$C$3005,$C242,$D$6:$D$3005,$D242)&gt;1,"同じ月の請求が重複しています／",""),"")&amp;IF(AND(N($E242)&gt;0,$Z242&lt;&gt;"",$Z242&lt;&gt;"×",$AC242=0,$AB242=""),"計算額が下限以下のため不支給／",""))</f>
        <v/>
      </c>
      <c r="AL242" s="12" t="n"/>
      <c r="AM242" s="14">
        <f>IF($AD242="保留中",COUNTIF($AD$6:$AD242,"保留中"),"")</f>
        <v/>
      </c>
      <c r="AN242" s="14">
        <f>IF($AO242="","",IF(SUMPRODUCT(MAX((職員マスタ!$A$6:$A$405=$B242)*(((職員マスタ!$G$6:$G$405="")+(職員マスタ!$G$6:$G$405&lt;=EOMONTH($AO242,0)))&gt;0)*(((職員マスタ!$H$6:$H$405="")+(職員マスタ!$H$6:$H$405&gt;=$AO242))&gt;0)*(ROW(職員マスタ!$A$6:$A$405)-5)))&gt;0,SUMPRODUCT(MAX((職員マスタ!$A$6:$A$405=$B242)*(((職員マスタ!$G$6:$G$405="")+(職員マスタ!$G$6:$G$405&lt;=EOMONTH($AO242,0)))&gt;0)*(((職員マスタ!$H$6:$H$405="")+(職員マスタ!$H$6:$H$405&gt;=$AO242))&gt;0)*(ROW(職員マスタ!$A$6:$A$405)-5))),IFERROR(MATCH($B242,職員マスタ!$A$6:$A$405,0),"")))</f>
        <v/>
      </c>
      <c r="AO242" s="16">
        <f>IF(OR($B242="",$C242="",$D242=""),"",DATE($C242+2018,$D242,1))</f>
        <v/>
      </c>
    </row>
    <row r="243">
      <c r="A243" s="11" t="n"/>
      <c r="B243" s="12" t="n">
        <v>6502892</v>
      </c>
      <c r="C243" s="12" t="n">
        <v>7</v>
      </c>
      <c r="D243" s="12" t="n">
        <v>6</v>
      </c>
      <c r="E243" s="13" t="n">
        <v>194991</v>
      </c>
      <c r="F243" s="12" t="n"/>
      <c r="G243" s="13" t="n"/>
      <c r="H243" s="12" t="n"/>
      <c r="I243" s="12" t="n"/>
      <c r="J243" s="12" t="n"/>
      <c r="K243" s="12" t="n"/>
      <c r="L243" s="11" t="n"/>
      <c r="M243" s="11" t="n"/>
      <c r="N243" s="11" t="n"/>
      <c r="O243" s="11" t="n"/>
      <c r="P243" s="12" t="n"/>
      <c r="Q243" s="11" t="n"/>
      <c r="R243" s="12" t="n"/>
      <c r="S243" s="11" t="n"/>
      <c r="T243" s="12" t="n"/>
      <c r="U243" s="12" t="n"/>
      <c r="V243" s="14">
        <f>IF($AN243="",IF($B243="","",$H243),IF(INDEX(職員マスタ!$B$6:$B$405,$AN243)="",$H243,INDEX(職員マスタ!$B$6:$B$405,$AN243)))</f>
        <v/>
      </c>
      <c r="W243" s="14">
        <f>IF($AN243="",IF($B243="","",$R243),IF(INDEX(職員マスタ!$C$6:$C$405,$AN243)="",$R243,INDEX(職員マスタ!$C$6:$C$405,$AN243)))</f>
        <v/>
      </c>
      <c r="X243" s="14">
        <f>IF($AO243="","","R"&amp;$C243&amp;"."&amp;$D243)</f>
        <v/>
      </c>
      <c r="Y243" s="15">
        <f>IF($AN243="","",IF(INDEX(職員マスタ!$K$6:$K$405,$AN243)="","",INDEX(職員マスタ!$K$6:$K$405,$AN243)))</f>
        <v/>
      </c>
      <c r="Z243" s="14">
        <f>IF(OR($E243="",$Y243=""),"",IF($E243&gt;=$Y243,"×",IF($E243&gt;=$Y243*設定!$C$5,"△","○")))</f>
        <v/>
      </c>
      <c r="AA243" s="15">
        <f>IF($Z243="","",IF($Z243="×",0,IF($Z243="○",ROUNDDOWN($E243*設定!$C$4,0),ROUNDDOWN($E243*ROUND((9*$Y243-9*$E243)/(10*$E243),4),0))))</f>
        <v/>
      </c>
      <c r="AB243" s="13" t="n"/>
      <c r="AC243" s="15">
        <f>IF($B243="","",IF($AB243&lt;&gt;"",$AB243,IF($AA243="","",IF($AA243&lt;=設定!$C$3,0,$AA243))))</f>
        <v/>
      </c>
      <c r="AD243" s="14">
        <f>IF($B243="","",IF(AND($AE243&lt;&gt;"",$AG243="",$AJ243=""),"保留中",IF($AJ243&lt;&gt;"",IF(N($AC243)&gt;0,"支給済","不支給"),IF($AC243="","要確認",IF($AC243=0,"不支給","未処理")))))</f>
        <v/>
      </c>
      <c r="AE243" s="12" t="n"/>
      <c r="AF243" s="11" t="n"/>
      <c r="AG243" s="11" t="n"/>
      <c r="AH243" s="11" t="n"/>
      <c r="AI243" s="14">
        <f>IF(AND($AD243="保留中",$AF243&lt;&gt;""),TODAY()-$AF243,"")</f>
        <v/>
      </c>
      <c r="AJ243" s="12" t="inlineStr">
        <is>
          <t>R7.8</t>
        </is>
      </c>
      <c r="AK243" s="14">
        <f>IF($B243="","",IF($AO243="","対象年月が未入力／","")&amp;IF($B243="","",IF($AN243="","職員マスタに未登録の職員番号／",IF($Y243="","標準報酬月額が未登録／","")&amp;IF(AND($AO243&lt;&gt;"",OR(AND(INDEX(職員マスタ!$G$6:$G$405,$AN243)&lt;&gt;"",INDEX(職員マスタ!$G$6:$G$405,$AN243)&gt;EOMONTH($AO243,0)),AND(INDEX(職員マスタ!$H$6:$H$405,$AN243)&lt;&gt;"",INDEX(職員マスタ!$H$6:$H$405,$AN243)&lt;$AO243))),"対象月が時短期間外／","")&amp;IF(AND(INDEX(職員マスタ!$F$6:$F$405,$AN243)&lt;&gt;"",$AO243&lt;&gt;"",INDEX(職員マスタ!$F$6:$F$405,$AN243)&lt;$AO243),"対象月に子が2歳到達済／","")&amp;IF(AND($H243&lt;&gt;"",INDEX(職員マスタ!$B$6:$B$405,$AN243)&lt;&gt;"",SUBSTITUTE(SUBSTITUTE($H243," ","")," ","")&lt;&gt;SUBSTITUTE(SUBSTITUTE(INDEX(職員マスタ!$B$6:$B$405,$AN243)," ","")," ","")),"氏名がマスタと相違／","")&amp;IF(AND($Q243&lt;&gt;"",INDEX(職員マスタ!$E$6:$E$405,$AN243)&lt;&gt;"",$Q243&lt;&gt;INDEX(職員マスタ!$E$6:$E$405,$AN243)),"子の生年月日がマスタと相違／","")&amp;IF(AND($L243&lt;&gt;"",INDEX(職員マスタ!$G$6:$G$405,$AN243)&lt;&gt;"",$L243&lt;&gt;INDEX(職員マスタ!$G$6:$G$405,$AN243)),"時短開始日がマスタと相違／","")&amp;IF(AND($M243&lt;&gt;"",INDEX(職員マスタ!$H$6:$H$405,$AN243)&lt;&gt;"",$M243&lt;&gt;INDEX(職員マスタ!$H$6:$H$405,$AN243)),"時短終了日がマスタと相違／","")))&amp;IF(AND($B243&lt;&gt;"",$E243=""),"報酬額が未入力／","")&amp;IF(N($U243)&gt;0,"申請書に入力エラーが残っています／","")&amp;IF(AND($B243&lt;&gt;"",$AO243&lt;&gt;""),IF(COUNTIFS($B$6:$B$3005,$B243,$C$6:$C$3005,$C243,$D$6:$D$3005,$D243)&gt;1,"同じ月の請求が重複しています／",""),"")&amp;IF(AND(N($E243)&gt;0,$Z243&lt;&gt;"",$Z243&lt;&gt;"×",$AC243=0,$AB243=""),"計算額が下限以下のため不支給／",""))</f>
        <v/>
      </c>
      <c r="AL243" s="12" t="n"/>
      <c r="AM243" s="14">
        <f>IF($AD243="保留中",COUNTIF($AD$6:$AD243,"保留中"),"")</f>
        <v/>
      </c>
      <c r="AN243" s="14">
        <f>IF($AO243="","",IF(SUMPRODUCT(MAX((職員マスタ!$A$6:$A$405=$B243)*(((職員マスタ!$G$6:$G$405="")+(職員マスタ!$G$6:$G$405&lt;=EOMONTH($AO243,0)))&gt;0)*(((職員マスタ!$H$6:$H$405="")+(職員マスタ!$H$6:$H$405&gt;=$AO243))&gt;0)*(ROW(職員マスタ!$A$6:$A$405)-5)))&gt;0,SUMPRODUCT(MAX((職員マスタ!$A$6:$A$405=$B243)*(((職員マスタ!$G$6:$G$405="")+(職員マスタ!$G$6:$G$405&lt;=EOMONTH($AO243,0)))&gt;0)*(((職員マスタ!$H$6:$H$405="")+(職員マスタ!$H$6:$H$405&gt;=$AO243))&gt;0)*(ROW(職員マスタ!$A$6:$A$405)-5))),IFERROR(MATCH($B243,職員マスタ!$A$6:$A$405,0),"")))</f>
        <v/>
      </c>
      <c r="AO243" s="16">
        <f>IF(OR($B243="",$C243="",$D243=""),"",DATE($C243+2018,$D243,1))</f>
        <v/>
      </c>
    </row>
    <row r="244">
      <c r="A244" s="11" t="n"/>
      <c r="B244" s="12" t="n">
        <v>6502892</v>
      </c>
      <c r="C244" s="12" t="n">
        <v>7</v>
      </c>
      <c r="D244" s="12" t="n">
        <v>7</v>
      </c>
      <c r="E244" s="13" t="n">
        <v>194991</v>
      </c>
      <c r="F244" s="12" t="n"/>
      <c r="G244" s="13" t="n"/>
      <c r="H244" s="12" t="n"/>
      <c r="I244" s="12" t="n"/>
      <c r="J244" s="12" t="n"/>
      <c r="K244" s="12" t="n"/>
      <c r="L244" s="11" t="n"/>
      <c r="M244" s="11" t="n"/>
      <c r="N244" s="11" t="n"/>
      <c r="O244" s="11" t="n"/>
      <c r="P244" s="12" t="n"/>
      <c r="Q244" s="11" t="n"/>
      <c r="R244" s="12" t="n"/>
      <c r="S244" s="11" t="n"/>
      <c r="T244" s="12" t="n"/>
      <c r="U244" s="12" t="n"/>
      <c r="V244" s="14">
        <f>IF($AN244="",IF($B244="","",$H244),IF(INDEX(職員マスタ!$B$6:$B$405,$AN244)="",$H244,INDEX(職員マスタ!$B$6:$B$405,$AN244)))</f>
        <v/>
      </c>
      <c r="W244" s="14">
        <f>IF($AN244="",IF($B244="","",$R244),IF(INDEX(職員マスタ!$C$6:$C$405,$AN244)="",$R244,INDEX(職員マスタ!$C$6:$C$405,$AN244)))</f>
        <v/>
      </c>
      <c r="X244" s="14">
        <f>IF($AO244="","","R"&amp;$C244&amp;"."&amp;$D244)</f>
        <v/>
      </c>
      <c r="Y244" s="15">
        <f>IF($AN244="","",IF(INDEX(職員マスタ!$K$6:$K$405,$AN244)="","",INDEX(職員マスタ!$K$6:$K$405,$AN244)))</f>
        <v/>
      </c>
      <c r="Z244" s="14">
        <f>IF(OR($E244="",$Y244=""),"",IF($E244&gt;=$Y244,"×",IF($E244&gt;=$Y244*設定!$C$5,"△","○")))</f>
        <v/>
      </c>
      <c r="AA244" s="15">
        <f>IF($Z244="","",IF($Z244="×",0,IF($Z244="○",ROUNDDOWN($E244*設定!$C$4,0),ROUNDDOWN($E244*ROUND((9*$Y244-9*$E244)/(10*$E244),4),0))))</f>
        <v/>
      </c>
      <c r="AB244" s="13" t="n"/>
      <c r="AC244" s="15">
        <f>IF($B244="","",IF($AB244&lt;&gt;"",$AB244,IF($AA244="","",IF($AA244&lt;=設定!$C$3,0,$AA244))))</f>
        <v/>
      </c>
      <c r="AD244" s="14">
        <f>IF($B244="","",IF(AND($AE244&lt;&gt;"",$AG244="",$AJ244=""),"保留中",IF($AJ244&lt;&gt;"",IF(N($AC244)&gt;0,"支給済","不支給"),IF($AC244="","要確認",IF($AC244=0,"不支給","未処理")))))</f>
        <v/>
      </c>
      <c r="AE244" s="12" t="n"/>
      <c r="AF244" s="11" t="n"/>
      <c r="AG244" s="11" t="n"/>
      <c r="AH244" s="11" t="n"/>
      <c r="AI244" s="14">
        <f>IF(AND($AD244="保留中",$AF244&lt;&gt;""),TODAY()-$AF244,"")</f>
        <v/>
      </c>
      <c r="AJ244" s="12" t="inlineStr">
        <is>
          <t>R7.9</t>
        </is>
      </c>
      <c r="AK244" s="14">
        <f>IF($B244="","",IF($AO244="","対象年月が未入力／","")&amp;IF($B244="","",IF($AN244="","職員マスタに未登録の職員番号／",IF($Y244="","標準報酬月額が未登録／","")&amp;IF(AND($AO244&lt;&gt;"",OR(AND(INDEX(職員マスタ!$G$6:$G$405,$AN244)&lt;&gt;"",INDEX(職員マスタ!$G$6:$G$405,$AN244)&gt;EOMONTH($AO244,0)),AND(INDEX(職員マスタ!$H$6:$H$405,$AN244)&lt;&gt;"",INDEX(職員マスタ!$H$6:$H$405,$AN244)&lt;$AO244))),"対象月が時短期間外／","")&amp;IF(AND(INDEX(職員マスタ!$F$6:$F$405,$AN244)&lt;&gt;"",$AO244&lt;&gt;"",INDEX(職員マスタ!$F$6:$F$405,$AN244)&lt;$AO244),"対象月に子が2歳到達済／","")&amp;IF(AND($H244&lt;&gt;"",INDEX(職員マスタ!$B$6:$B$405,$AN244)&lt;&gt;"",SUBSTITUTE(SUBSTITUTE($H244," ","")," ","")&lt;&gt;SUBSTITUTE(SUBSTITUTE(INDEX(職員マスタ!$B$6:$B$405,$AN244)," ","")," ","")),"氏名がマスタと相違／","")&amp;IF(AND($Q244&lt;&gt;"",INDEX(職員マスタ!$E$6:$E$405,$AN244)&lt;&gt;"",$Q244&lt;&gt;INDEX(職員マスタ!$E$6:$E$405,$AN244)),"子の生年月日がマスタと相違／","")&amp;IF(AND($L244&lt;&gt;"",INDEX(職員マスタ!$G$6:$G$405,$AN244)&lt;&gt;"",$L244&lt;&gt;INDEX(職員マスタ!$G$6:$G$405,$AN244)),"時短開始日がマスタと相違／","")&amp;IF(AND($M244&lt;&gt;"",INDEX(職員マスタ!$H$6:$H$405,$AN244)&lt;&gt;"",$M244&lt;&gt;INDEX(職員マスタ!$H$6:$H$405,$AN244)),"時短終了日がマスタと相違／","")))&amp;IF(AND($B244&lt;&gt;"",$E244=""),"報酬額が未入力／","")&amp;IF(N($U244)&gt;0,"申請書に入力エラーが残っています／","")&amp;IF(AND($B244&lt;&gt;"",$AO244&lt;&gt;""),IF(COUNTIFS($B$6:$B$3005,$B244,$C$6:$C$3005,$C244,$D$6:$D$3005,$D244)&gt;1,"同じ月の請求が重複しています／",""),"")&amp;IF(AND(N($E244)&gt;0,$Z244&lt;&gt;"",$Z244&lt;&gt;"×",$AC244=0,$AB244=""),"計算額が下限以下のため不支給／",""))</f>
        <v/>
      </c>
      <c r="AL244" s="12" t="n"/>
      <c r="AM244" s="14">
        <f>IF($AD244="保留中",COUNTIF($AD$6:$AD244,"保留中"),"")</f>
        <v/>
      </c>
      <c r="AN244" s="14">
        <f>IF($AO244="","",IF(SUMPRODUCT(MAX((職員マスタ!$A$6:$A$405=$B244)*(((職員マスタ!$G$6:$G$405="")+(職員マスタ!$G$6:$G$405&lt;=EOMONTH($AO244,0)))&gt;0)*(((職員マスタ!$H$6:$H$405="")+(職員マスタ!$H$6:$H$405&gt;=$AO244))&gt;0)*(ROW(職員マスタ!$A$6:$A$405)-5)))&gt;0,SUMPRODUCT(MAX((職員マスタ!$A$6:$A$405=$B244)*(((職員マスタ!$G$6:$G$405="")+(職員マスタ!$G$6:$G$405&lt;=EOMONTH($AO244,0)))&gt;0)*(((職員マスタ!$H$6:$H$405="")+(職員マスタ!$H$6:$H$405&gt;=$AO244))&gt;0)*(ROW(職員マスタ!$A$6:$A$405)-5))),IFERROR(MATCH($B244,職員マスタ!$A$6:$A$405,0),"")))</f>
        <v/>
      </c>
      <c r="AO244" s="16">
        <f>IF(OR($B244="",$C244="",$D244=""),"",DATE($C244+2018,$D244,1))</f>
        <v/>
      </c>
    </row>
    <row r="245">
      <c r="A245" s="11" t="n"/>
      <c r="B245" s="12" t="n">
        <v>6502892</v>
      </c>
      <c r="C245" s="12" t="n">
        <v>7</v>
      </c>
      <c r="D245" s="12" t="n">
        <v>8</v>
      </c>
      <c r="E245" s="13" t="n">
        <v>194991</v>
      </c>
      <c r="F245" s="12" t="n"/>
      <c r="G245" s="13" t="n"/>
      <c r="H245" s="12" t="n"/>
      <c r="I245" s="12" t="n"/>
      <c r="J245" s="12" t="n"/>
      <c r="K245" s="12" t="n"/>
      <c r="L245" s="11" t="n"/>
      <c r="M245" s="11" t="n"/>
      <c r="N245" s="11" t="n"/>
      <c r="O245" s="11" t="n"/>
      <c r="P245" s="12" t="n"/>
      <c r="Q245" s="11" t="n"/>
      <c r="R245" s="12" t="n"/>
      <c r="S245" s="11" t="n"/>
      <c r="T245" s="12" t="n"/>
      <c r="U245" s="12" t="n"/>
      <c r="V245" s="14">
        <f>IF($AN245="",IF($B245="","",$H245),IF(INDEX(職員マスタ!$B$6:$B$405,$AN245)="",$H245,INDEX(職員マスタ!$B$6:$B$405,$AN245)))</f>
        <v/>
      </c>
      <c r="W245" s="14">
        <f>IF($AN245="",IF($B245="","",$R245),IF(INDEX(職員マスタ!$C$6:$C$405,$AN245)="",$R245,INDEX(職員マスタ!$C$6:$C$405,$AN245)))</f>
        <v/>
      </c>
      <c r="X245" s="14">
        <f>IF($AO245="","","R"&amp;$C245&amp;"."&amp;$D245)</f>
        <v/>
      </c>
      <c r="Y245" s="15">
        <f>IF($AN245="","",IF(INDEX(職員マスタ!$K$6:$K$405,$AN245)="","",INDEX(職員マスタ!$K$6:$K$405,$AN245)))</f>
        <v/>
      </c>
      <c r="Z245" s="14">
        <f>IF(OR($E245="",$Y245=""),"",IF($E245&gt;=$Y245,"×",IF($E245&gt;=$Y245*設定!$C$5,"△","○")))</f>
        <v/>
      </c>
      <c r="AA245" s="15">
        <f>IF($Z245="","",IF($Z245="×",0,IF($Z245="○",ROUNDDOWN($E245*設定!$C$4,0),ROUNDDOWN($E245*ROUND((9*$Y245-9*$E245)/(10*$E245),4),0))))</f>
        <v/>
      </c>
      <c r="AB245" s="13" t="n"/>
      <c r="AC245" s="15">
        <f>IF($B245="","",IF($AB245&lt;&gt;"",$AB245,IF($AA245="","",IF($AA245&lt;=設定!$C$3,0,$AA245))))</f>
        <v/>
      </c>
      <c r="AD245" s="14">
        <f>IF($B245="","",IF(AND($AE245&lt;&gt;"",$AG245="",$AJ245=""),"保留中",IF($AJ245&lt;&gt;"",IF(N($AC245)&gt;0,"支給済","不支給"),IF($AC245="","要確認",IF($AC245=0,"不支給","未処理")))))</f>
        <v/>
      </c>
      <c r="AE245" s="12" t="n"/>
      <c r="AF245" s="11" t="n"/>
      <c r="AG245" s="11" t="n"/>
      <c r="AH245" s="11" t="n"/>
      <c r="AI245" s="14">
        <f>IF(AND($AD245="保留中",$AF245&lt;&gt;""),TODAY()-$AF245,"")</f>
        <v/>
      </c>
      <c r="AJ245" s="12" t="inlineStr">
        <is>
          <t>R7.10</t>
        </is>
      </c>
      <c r="AK245" s="14">
        <f>IF($B245="","",IF($AO245="","対象年月が未入力／","")&amp;IF($B245="","",IF($AN245="","職員マスタに未登録の職員番号／",IF($Y245="","標準報酬月額が未登録／","")&amp;IF(AND($AO245&lt;&gt;"",OR(AND(INDEX(職員マスタ!$G$6:$G$405,$AN245)&lt;&gt;"",INDEX(職員マスタ!$G$6:$G$405,$AN245)&gt;EOMONTH($AO245,0)),AND(INDEX(職員マスタ!$H$6:$H$405,$AN245)&lt;&gt;"",INDEX(職員マスタ!$H$6:$H$405,$AN245)&lt;$AO245))),"対象月が時短期間外／","")&amp;IF(AND(INDEX(職員マスタ!$F$6:$F$405,$AN245)&lt;&gt;"",$AO245&lt;&gt;"",INDEX(職員マスタ!$F$6:$F$405,$AN245)&lt;$AO245),"対象月に子が2歳到達済／","")&amp;IF(AND($H245&lt;&gt;"",INDEX(職員マスタ!$B$6:$B$405,$AN245)&lt;&gt;"",SUBSTITUTE(SUBSTITUTE($H245," ","")," ","")&lt;&gt;SUBSTITUTE(SUBSTITUTE(INDEX(職員マスタ!$B$6:$B$405,$AN245)," ","")," ","")),"氏名がマスタと相違／","")&amp;IF(AND($Q245&lt;&gt;"",INDEX(職員マスタ!$E$6:$E$405,$AN245)&lt;&gt;"",$Q245&lt;&gt;INDEX(職員マスタ!$E$6:$E$405,$AN245)),"子の生年月日がマスタと相違／","")&amp;IF(AND($L245&lt;&gt;"",INDEX(職員マスタ!$G$6:$G$405,$AN245)&lt;&gt;"",$L245&lt;&gt;INDEX(職員マスタ!$G$6:$G$405,$AN245)),"時短開始日がマスタと相違／","")&amp;IF(AND($M245&lt;&gt;"",INDEX(職員マスタ!$H$6:$H$405,$AN245)&lt;&gt;"",$M245&lt;&gt;INDEX(職員マスタ!$H$6:$H$405,$AN245)),"時短終了日がマスタと相違／","")))&amp;IF(AND($B245&lt;&gt;"",$E245=""),"報酬額が未入力／","")&amp;IF(N($U245)&gt;0,"申請書に入力エラーが残っています／","")&amp;IF(AND($B245&lt;&gt;"",$AO245&lt;&gt;""),IF(COUNTIFS($B$6:$B$3005,$B245,$C$6:$C$3005,$C245,$D$6:$D$3005,$D245)&gt;1,"同じ月の請求が重複しています／",""),"")&amp;IF(AND(N($E245)&gt;0,$Z245&lt;&gt;"",$Z245&lt;&gt;"×",$AC245=0,$AB245=""),"計算額が下限以下のため不支給／",""))</f>
        <v/>
      </c>
      <c r="AL245" s="12" t="n"/>
      <c r="AM245" s="14">
        <f>IF($AD245="保留中",COUNTIF($AD$6:$AD245,"保留中"),"")</f>
        <v/>
      </c>
      <c r="AN245" s="14">
        <f>IF($AO245="","",IF(SUMPRODUCT(MAX((職員マスタ!$A$6:$A$405=$B245)*(((職員マスタ!$G$6:$G$405="")+(職員マスタ!$G$6:$G$405&lt;=EOMONTH($AO245,0)))&gt;0)*(((職員マスタ!$H$6:$H$405="")+(職員マスタ!$H$6:$H$405&gt;=$AO245))&gt;0)*(ROW(職員マスタ!$A$6:$A$405)-5)))&gt;0,SUMPRODUCT(MAX((職員マスタ!$A$6:$A$405=$B245)*(((職員マスタ!$G$6:$G$405="")+(職員マスタ!$G$6:$G$405&lt;=EOMONTH($AO245,0)))&gt;0)*(((職員マスタ!$H$6:$H$405="")+(職員マスタ!$H$6:$H$405&gt;=$AO245))&gt;0)*(ROW(職員マスタ!$A$6:$A$405)-5))),IFERROR(MATCH($B245,職員マスタ!$A$6:$A$405,0),"")))</f>
        <v/>
      </c>
      <c r="AO245" s="16">
        <f>IF(OR($B245="",$C245="",$D245=""),"",DATE($C245+2018,$D245,1))</f>
        <v/>
      </c>
    </row>
    <row r="246">
      <c r="A246" s="11" t="n"/>
      <c r="B246" s="12" t="n">
        <v>6502892</v>
      </c>
      <c r="C246" s="12" t="n">
        <v>7</v>
      </c>
      <c r="D246" s="12" t="n">
        <v>9</v>
      </c>
      <c r="E246" s="13" t="n">
        <v>198883</v>
      </c>
      <c r="F246" s="12" t="n"/>
      <c r="G246" s="13" t="n"/>
      <c r="H246" s="12" t="n"/>
      <c r="I246" s="12" t="n"/>
      <c r="J246" s="12" t="n"/>
      <c r="K246" s="12" t="n"/>
      <c r="L246" s="11" t="n"/>
      <c r="M246" s="11" t="n"/>
      <c r="N246" s="11" t="n"/>
      <c r="O246" s="11" t="n"/>
      <c r="P246" s="12" t="n"/>
      <c r="Q246" s="11" t="n"/>
      <c r="R246" s="12" t="n"/>
      <c r="S246" s="11" t="n"/>
      <c r="T246" s="12" t="n"/>
      <c r="U246" s="12" t="n"/>
      <c r="V246" s="14">
        <f>IF($AN246="",IF($B246="","",$H246),IF(INDEX(職員マスタ!$B$6:$B$405,$AN246)="",$H246,INDEX(職員マスタ!$B$6:$B$405,$AN246)))</f>
        <v/>
      </c>
      <c r="W246" s="14">
        <f>IF($AN246="",IF($B246="","",$R246),IF(INDEX(職員マスタ!$C$6:$C$405,$AN246)="",$R246,INDEX(職員マスタ!$C$6:$C$405,$AN246)))</f>
        <v/>
      </c>
      <c r="X246" s="14">
        <f>IF($AO246="","","R"&amp;$C246&amp;"."&amp;$D246)</f>
        <v/>
      </c>
      <c r="Y246" s="15">
        <f>IF($AN246="","",IF(INDEX(職員マスタ!$K$6:$K$405,$AN246)="","",INDEX(職員マスタ!$K$6:$K$405,$AN246)))</f>
        <v/>
      </c>
      <c r="Z246" s="14">
        <f>IF(OR($E246="",$Y246=""),"",IF($E246&gt;=$Y246,"×",IF($E246&gt;=$Y246*設定!$C$5,"△","○")))</f>
        <v/>
      </c>
      <c r="AA246" s="15">
        <f>IF($Z246="","",IF($Z246="×",0,IF($Z246="○",ROUNDDOWN($E246*設定!$C$4,0),ROUNDDOWN($E246*ROUND((9*$Y246-9*$E246)/(10*$E246),4),0))))</f>
        <v/>
      </c>
      <c r="AB246" s="13" t="n"/>
      <c r="AC246" s="15">
        <f>IF($B246="","",IF($AB246&lt;&gt;"",$AB246,IF($AA246="","",IF($AA246&lt;=設定!$C$3,0,$AA246))))</f>
        <v/>
      </c>
      <c r="AD246" s="14">
        <f>IF($B246="","",IF(AND($AE246&lt;&gt;"",$AG246="",$AJ246=""),"保留中",IF($AJ246&lt;&gt;"",IF(N($AC246)&gt;0,"支給済","不支給"),IF($AC246="","要確認",IF($AC246=0,"不支給","未処理")))))</f>
        <v/>
      </c>
      <c r="AE246" s="12" t="n"/>
      <c r="AF246" s="11" t="n"/>
      <c r="AG246" s="11" t="n"/>
      <c r="AH246" s="11" t="n"/>
      <c r="AI246" s="14">
        <f>IF(AND($AD246="保留中",$AF246&lt;&gt;""),TODAY()-$AF246,"")</f>
        <v/>
      </c>
      <c r="AJ246" s="12" t="inlineStr">
        <is>
          <t>R7.11</t>
        </is>
      </c>
      <c r="AK246" s="14">
        <f>IF($B246="","",IF($AO246="","対象年月が未入力／","")&amp;IF($B246="","",IF($AN246="","職員マスタに未登録の職員番号／",IF($Y246="","標準報酬月額が未登録／","")&amp;IF(AND($AO246&lt;&gt;"",OR(AND(INDEX(職員マスタ!$G$6:$G$405,$AN246)&lt;&gt;"",INDEX(職員マスタ!$G$6:$G$405,$AN246)&gt;EOMONTH($AO246,0)),AND(INDEX(職員マスタ!$H$6:$H$405,$AN246)&lt;&gt;"",INDEX(職員マスタ!$H$6:$H$405,$AN246)&lt;$AO246))),"対象月が時短期間外／","")&amp;IF(AND(INDEX(職員マスタ!$F$6:$F$405,$AN246)&lt;&gt;"",$AO246&lt;&gt;"",INDEX(職員マスタ!$F$6:$F$405,$AN246)&lt;$AO246),"対象月に子が2歳到達済／","")&amp;IF(AND($H246&lt;&gt;"",INDEX(職員マスタ!$B$6:$B$405,$AN246)&lt;&gt;"",SUBSTITUTE(SUBSTITUTE($H246," ","")," ","")&lt;&gt;SUBSTITUTE(SUBSTITUTE(INDEX(職員マスタ!$B$6:$B$405,$AN246)," ","")," ","")),"氏名がマスタと相違／","")&amp;IF(AND($Q246&lt;&gt;"",INDEX(職員マスタ!$E$6:$E$405,$AN246)&lt;&gt;"",$Q246&lt;&gt;INDEX(職員マスタ!$E$6:$E$405,$AN246)),"子の生年月日がマスタと相違／","")&amp;IF(AND($L246&lt;&gt;"",INDEX(職員マスタ!$G$6:$G$405,$AN246)&lt;&gt;"",$L246&lt;&gt;INDEX(職員マスタ!$G$6:$G$405,$AN246)),"時短開始日がマスタと相違／","")&amp;IF(AND($M246&lt;&gt;"",INDEX(職員マスタ!$H$6:$H$405,$AN246)&lt;&gt;"",$M246&lt;&gt;INDEX(職員マスタ!$H$6:$H$405,$AN246)),"時短終了日がマスタと相違／","")))&amp;IF(AND($B246&lt;&gt;"",$E246=""),"報酬額が未入力／","")&amp;IF(N($U246)&gt;0,"申請書に入力エラーが残っています／","")&amp;IF(AND($B246&lt;&gt;"",$AO246&lt;&gt;""),IF(COUNTIFS($B$6:$B$3005,$B246,$C$6:$C$3005,$C246,$D$6:$D$3005,$D246)&gt;1,"同じ月の請求が重複しています／",""),"")&amp;IF(AND(N($E246)&gt;0,$Z246&lt;&gt;"",$Z246&lt;&gt;"×",$AC246=0,$AB246=""),"計算額が下限以下のため不支給／",""))</f>
        <v/>
      </c>
      <c r="AL246" s="12" t="n"/>
      <c r="AM246" s="14">
        <f>IF($AD246="保留中",COUNTIF($AD$6:$AD246,"保留中"),"")</f>
        <v/>
      </c>
      <c r="AN246" s="14">
        <f>IF($AO246="","",IF(SUMPRODUCT(MAX((職員マスタ!$A$6:$A$405=$B246)*(((職員マスタ!$G$6:$G$405="")+(職員マスタ!$G$6:$G$405&lt;=EOMONTH($AO246,0)))&gt;0)*(((職員マスタ!$H$6:$H$405="")+(職員マスタ!$H$6:$H$405&gt;=$AO246))&gt;0)*(ROW(職員マスタ!$A$6:$A$405)-5)))&gt;0,SUMPRODUCT(MAX((職員マスタ!$A$6:$A$405=$B246)*(((職員マスタ!$G$6:$G$405="")+(職員マスタ!$G$6:$G$405&lt;=EOMONTH($AO246,0)))&gt;0)*(((職員マスタ!$H$6:$H$405="")+(職員マスタ!$H$6:$H$405&gt;=$AO246))&gt;0)*(ROW(職員マスタ!$A$6:$A$405)-5))),IFERROR(MATCH($B246,職員マスタ!$A$6:$A$405,0),"")))</f>
        <v/>
      </c>
      <c r="AO246" s="16">
        <f>IF(OR($B246="",$C246="",$D246=""),"",DATE($C246+2018,$D246,1))</f>
        <v/>
      </c>
    </row>
    <row r="247">
      <c r="A247" s="11" t="n"/>
      <c r="B247" s="12" t="n">
        <v>6502892</v>
      </c>
      <c r="C247" s="12" t="n">
        <v>7</v>
      </c>
      <c r="D247" s="12" t="n">
        <v>10</v>
      </c>
      <c r="E247" s="13" t="n">
        <v>194991</v>
      </c>
      <c r="F247" s="12" t="n"/>
      <c r="G247" s="13" t="n"/>
      <c r="H247" s="12" t="n"/>
      <c r="I247" s="12" t="n"/>
      <c r="J247" s="12" t="n"/>
      <c r="K247" s="12" t="n"/>
      <c r="L247" s="11" t="n"/>
      <c r="M247" s="11" t="n"/>
      <c r="N247" s="11" t="n"/>
      <c r="O247" s="11" t="n"/>
      <c r="P247" s="12" t="n"/>
      <c r="Q247" s="11" t="n"/>
      <c r="R247" s="12" t="n"/>
      <c r="S247" s="11" t="n"/>
      <c r="T247" s="12" t="n"/>
      <c r="U247" s="12" t="n"/>
      <c r="V247" s="14">
        <f>IF($AN247="",IF($B247="","",$H247),IF(INDEX(職員マスタ!$B$6:$B$405,$AN247)="",$H247,INDEX(職員マスタ!$B$6:$B$405,$AN247)))</f>
        <v/>
      </c>
      <c r="W247" s="14">
        <f>IF($AN247="",IF($B247="","",$R247),IF(INDEX(職員マスタ!$C$6:$C$405,$AN247)="",$R247,INDEX(職員マスタ!$C$6:$C$405,$AN247)))</f>
        <v/>
      </c>
      <c r="X247" s="14">
        <f>IF($AO247="","","R"&amp;$C247&amp;"."&amp;$D247)</f>
        <v/>
      </c>
      <c r="Y247" s="15">
        <f>IF($AN247="","",IF(INDEX(職員マスタ!$K$6:$K$405,$AN247)="","",INDEX(職員マスタ!$K$6:$K$405,$AN247)))</f>
        <v/>
      </c>
      <c r="Z247" s="14">
        <f>IF(OR($E247="",$Y247=""),"",IF($E247&gt;=$Y247,"×",IF($E247&gt;=$Y247*設定!$C$5,"△","○")))</f>
        <v/>
      </c>
      <c r="AA247" s="15">
        <f>IF($Z247="","",IF($Z247="×",0,IF($Z247="○",ROUNDDOWN($E247*設定!$C$4,0),ROUNDDOWN($E247*ROUND((9*$Y247-9*$E247)/(10*$E247),4),0))))</f>
        <v/>
      </c>
      <c r="AB247" s="13" t="n"/>
      <c r="AC247" s="15">
        <f>IF($B247="","",IF($AB247&lt;&gt;"",$AB247,IF($AA247="","",IF($AA247&lt;=設定!$C$3,0,$AA247))))</f>
        <v/>
      </c>
      <c r="AD247" s="14">
        <f>IF($B247="","",IF(AND($AE247&lt;&gt;"",$AG247="",$AJ247=""),"保留中",IF($AJ247&lt;&gt;"",IF(N($AC247)&gt;0,"支給済","不支給"),IF($AC247="","要確認",IF($AC247=0,"不支給","未処理")))))</f>
        <v/>
      </c>
      <c r="AE247" s="12" t="n"/>
      <c r="AF247" s="11" t="n"/>
      <c r="AG247" s="11" t="n"/>
      <c r="AH247" s="11" t="n"/>
      <c r="AI247" s="14">
        <f>IF(AND($AD247="保留中",$AF247&lt;&gt;""),TODAY()-$AF247,"")</f>
        <v/>
      </c>
      <c r="AJ247" s="12" t="inlineStr">
        <is>
          <t>R7.12</t>
        </is>
      </c>
      <c r="AK247" s="14">
        <f>IF($B247="","",IF($AO247="","対象年月が未入力／","")&amp;IF($B247="","",IF($AN247="","職員マスタに未登録の職員番号／",IF($Y247="","標準報酬月額が未登録／","")&amp;IF(AND($AO247&lt;&gt;"",OR(AND(INDEX(職員マスタ!$G$6:$G$405,$AN247)&lt;&gt;"",INDEX(職員マスタ!$G$6:$G$405,$AN247)&gt;EOMONTH($AO247,0)),AND(INDEX(職員マスタ!$H$6:$H$405,$AN247)&lt;&gt;"",INDEX(職員マスタ!$H$6:$H$405,$AN247)&lt;$AO247))),"対象月が時短期間外／","")&amp;IF(AND(INDEX(職員マスタ!$F$6:$F$405,$AN247)&lt;&gt;"",$AO247&lt;&gt;"",INDEX(職員マスタ!$F$6:$F$405,$AN247)&lt;$AO247),"対象月に子が2歳到達済／","")&amp;IF(AND($H247&lt;&gt;"",INDEX(職員マスタ!$B$6:$B$405,$AN247)&lt;&gt;"",SUBSTITUTE(SUBSTITUTE($H247," ","")," ","")&lt;&gt;SUBSTITUTE(SUBSTITUTE(INDEX(職員マスタ!$B$6:$B$405,$AN247)," ","")," ","")),"氏名がマスタと相違／","")&amp;IF(AND($Q247&lt;&gt;"",INDEX(職員マスタ!$E$6:$E$405,$AN247)&lt;&gt;"",$Q247&lt;&gt;INDEX(職員マスタ!$E$6:$E$405,$AN247)),"子の生年月日がマスタと相違／","")&amp;IF(AND($L247&lt;&gt;"",INDEX(職員マスタ!$G$6:$G$405,$AN247)&lt;&gt;"",$L247&lt;&gt;INDEX(職員マスタ!$G$6:$G$405,$AN247)),"時短開始日がマスタと相違／","")&amp;IF(AND($M247&lt;&gt;"",INDEX(職員マスタ!$H$6:$H$405,$AN247)&lt;&gt;"",$M247&lt;&gt;INDEX(職員マスタ!$H$6:$H$405,$AN247)),"時短終了日がマスタと相違／","")))&amp;IF(AND($B247&lt;&gt;"",$E247=""),"報酬額が未入力／","")&amp;IF(N($U247)&gt;0,"申請書に入力エラーが残っています／","")&amp;IF(AND($B247&lt;&gt;"",$AO247&lt;&gt;""),IF(COUNTIFS($B$6:$B$3005,$B247,$C$6:$C$3005,$C247,$D$6:$D$3005,$D247)&gt;1,"同じ月の請求が重複しています／",""),"")&amp;IF(AND(N($E247)&gt;0,$Z247&lt;&gt;"",$Z247&lt;&gt;"×",$AC247=0,$AB247=""),"計算額が下限以下のため不支給／",""))</f>
        <v/>
      </c>
      <c r="AL247" s="12" t="n"/>
      <c r="AM247" s="14">
        <f>IF($AD247="保留中",COUNTIF($AD$6:$AD247,"保留中"),"")</f>
        <v/>
      </c>
      <c r="AN247" s="14">
        <f>IF($AO247="","",IF(SUMPRODUCT(MAX((職員マスタ!$A$6:$A$405=$B247)*(((職員マスタ!$G$6:$G$405="")+(職員マスタ!$G$6:$G$405&lt;=EOMONTH($AO247,0)))&gt;0)*(((職員マスタ!$H$6:$H$405="")+(職員マスタ!$H$6:$H$405&gt;=$AO247))&gt;0)*(ROW(職員マスタ!$A$6:$A$405)-5)))&gt;0,SUMPRODUCT(MAX((職員マスタ!$A$6:$A$405=$B247)*(((職員マスタ!$G$6:$G$405="")+(職員マスタ!$G$6:$G$405&lt;=EOMONTH($AO247,0)))&gt;0)*(((職員マスタ!$H$6:$H$405="")+(職員マスタ!$H$6:$H$405&gt;=$AO247))&gt;0)*(ROW(職員マスタ!$A$6:$A$405)-5))),IFERROR(MATCH($B247,職員マスタ!$A$6:$A$405,0),"")))</f>
        <v/>
      </c>
      <c r="AO247" s="16">
        <f>IF(OR($B247="",$C247="",$D247=""),"",DATE($C247+2018,$D247,1))</f>
        <v/>
      </c>
    </row>
    <row r="248">
      <c r="A248" s="11" t="n"/>
      <c r="B248" s="12" t="n">
        <v>6503056</v>
      </c>
      <c r="C248" s="12" t="n">
        <v>8</v>
      </c>
      <c r="D248" s="12" t="n">
        <v>4</v>
      </c>
      <c r="E248" s="13" t="n">
        <v>154835</v>
      </c>
      <c r="F248" s="12" t="n"/>
      <c r="G248" s="13" t="n"/>
      <c r="H248" s="12" t="n"/>
      <c r="I248" s="12" t="n"/>
      <c r="J248" s="12" t="n"/>
      <c r="K248" s="12" t="n"/>
      <c r="L248" s="11" t="n"/>
      <c r="M248" s="11" t="n"/>
      <c r="N248" s="11" t="n"/>
      <c r="O248" s="11" t="n"/>
      <c r="P248" s="12" t="n"/>
      <c r="Q248" s="11" t="n"/>
      <c r="R248" s="12" t="n"/>
      <c r="S248" s="11" t="n"/>
      <c r="T248" s="12" t="n"/>
      <c r="U248" s="12" t="n"/>
      <c r="V248" s="14">
        <f>IF($AN248="",IF($B248="","",$H248),IF(INDEX(職員マスタ!$B$6:$B$405,$AN248)="",$H248,INDEX(職員マスタ!$B$6:$B$405,$AN248)))</f>
        <v/>
      </c>
      <c r="W248" s="14">
        <f>IF($AN248="",IF($B248="","",$R248),IF(INDEX(職員マスタ!$C$6:$C$405,$AN248)="",$R248,INDEX(職員マスタ!$C$6:$C$405,$AN248)))</f>
        <v/>
      </c>
      <c r="X248" s="14">
        <f>IF($AO248="","","R"&amp;$C248&amp;"."&amp;$D248)</f>
        <v/>
      </c>
      <c r="Y248" s="15">
        <f>IF($AN248="","",IF(INDEX(職員マスタ!$K$6:$K$405,$AN248)="","",INDEX(職員マスタ!$K$6:$K$405,$AN248)))</f>
        <v/>
      </c>
      <c r="Z248" s="14">
        <f>IF(OR($E248="",$Y248=""),"",IF($E248&gt;=$Y248,"×",IF($E248&gt;=$Y248*設定!$C$5,"△","○")))</f>
        <v/>
      </c>
      <c r="AA248" s="15">
        <f>IF($Z248="","",IF($Z248="×",0,IF($Z248="○",ROUNDDOWN($E248*設定!$C$4,0),ROUNDDOWN($E248*ROUND((9*$Y248-9*$E248)/(10*$E248),4),0))))</f>
        <v/>
      </c>
      <c r="AB248" s="13" t="n"/>
      <c r="AC248" s="15">
        <f>IF($B248="","",IF($AB248&lt;&gt;"",$AB248,IF($AA248="","",IF($AA248&lt;=設定!$C$3,0,$AA248))))</f>
        <v/>
      </c>
      <c r="AD248" s="14">
        <f>IF($B248="","",IF(AND($AE248&lt;&gt;"",$AG248="",$AJ248=""),"保留中",IF($AJ248&lt;&gt;"",IF(N($AC248)&gt;0,"支給済","不支給"),IF($AC248="","要確認",IF($AC248=0,"不支給","未処理")))))</f>
        <v/>
      </c>
      <c r="AE248" s="12" t="n"/>
      <c r="AF248" s="11" t="n"/>
      <c r="AG248" s="11" t="n"/>
      <c r="AH248" s="11" t="n"/>
      <c r="AI248" s="14">
        <f>IF(AND($AD248="保留中",$AF248&lt;&gt;""),TODAY()-$AF248,"")</f>
        <v/>
      </c>
      <c r="AJ248" s="12" t="inlineStr">
        <is>
          <t>R8.10</t>
        </is>
      </c>
      <c r="AK248" s="14">
        <f>IF($B248="","",IF($AO248="","対象年月が未入力／","")&amp;IF($B248="","",IF($AN248="","職員マスタに未登録の職員番号／",IF($Y248="","標準報酬月額が未登録／","")&amp;IF(AND($AO248&lt;&gt;"",OR(AND(INDEX(職員マスタ!$G$6:$G$405,$AN248)&lt;&gt;"",INDEX(職員マスタ!$G$6:$G$405,$AN248)&gt;EOMONTH($AO248,0)),AND(INDEX(職員マスタ!$H$6:$H$405,$AN248)&lt;&gt;"",INDEX(職員マスタ!$H$6:$H$405,$AN248)&lt;$AO248))),"対象月が時短期間外／","")&amp;IF(AND(INDEX(職員マスタ!$F$6:$F$405,$AN248)&lt;&gt;"",$AO248&lt;&gt;"",INDEX(職員マスタ!$F$6:$F$405,$AN248)&lt;$AO248),"対象月に子が2歳到達済／","")&amp;IF(AND($H248&lt;&gt;"",INDEX(職員マスタ!$B$6:$B$405,$AN248)&lt;&gt;"",SUBSTITUTE(SUBSTITUTE($H248," ","")," ","")&lt;&gt;SUBSTITUTE(SUBSTITUTE(INDEX(職員マスタ!$B$6:$B$405,$AN248)," ","")," ","")),"氏名がマスタと相違／","")&amp;IF(AND($Q248&lt;&gt;"",INDEX(職員マスタ!$E$6:$E$405,$AN248)&lt;&gt;"",$Q248&lt;&gt;INDEX(職員マスタ!$E$6:$E$405,$AN248)),"子の生年月日がマスタと相違／","")&amp;IF(AND($L248&lt;&gt;"",INDEX(職員マスタ!$G$6:$G$405,$AN248)&lt;&gt;"",$L248&lt;&gt;INDEX(職員マスタ!$G$6:$G$405,$AN248)),"時短開始日がマスタと相違／","")&amp;IF(AND($M248&lt;&gt;"",INDEX(職員マスタ!$H$6:$H$405,$AN248)&lt;&gt;"",$M248&lt;&gt;INDEX(職員マスタ!$H$6:$H$405,$AN248)),"時短終了日がマスタと相違／","")))&amp;IF(AND($B248&lt;&gt;"",$E248=""),"報酬額が未入力／","")&amp;IF(N($U248)&gt;0,"申請書に入力エラーが残っています／","")&amp;IF(AND($B248&lt;&gt;"",$AO248&lt;&gt;""),IF(COUNTIFS($B$6:$B$3005,$B248,$C$6:$C$3005,$C248,$D$6:$D$3005,$D248)&gt;1,"同じ月の請求が重複しています／",""),"")&amp;IF(AND(N($E248)&gt;0,$Z248&lt;&gt;"",$Z248&lt;&gt;"×",$AC248=0,$AB248=""),"計算額が下限以下のため不支給／",""))</f>
        <v/>
      </c>
      <c r="AL248" s="12" t="n"/>
      <c r="AM248" s="14">
        <f>IF($AD248="保留中",COUNTIF($AD$6:$AD248,"保留中"),"")</f>
        <v/>
      </c>
      <c r="AN248" s="14">
        <f>IF($AO248="","",IF(SUMPRODUCT(MAX((職員マスタ!$A$6:$A$405=$B248)*(((職員マスタ!$G$6:$G$405="")+(職員マスタ!$G$6:$G$405&lt;=EOMONTH($AO248,0)))&gt;0)*(((職員マスタ!$H$6:$H$405="")+(職員マスタ!$H$6:$H$405&gt;=$AO248))&gt;0)*(ROW(職員マスタ!$A$6:$A$405)-5)))&gt;0,SUMPRODUCT(MAX((職員マスタ!$A$6:$A$405=$B248)*(((職員マスタ!$G$6:$G$405="")+(職員マスタ!$G$6:$G$405&lt;=EOMONTH($AO248,0)))&gt;0)*(((職員マスタ!$H$6:$H$405="")+(職員マスタ!$H$6:$H$405&gt;=$AO248))&gt;0)*(ROW(職員マスタ!$A$6:$A$405)-5))),IFERROR(MATCH($B248,職員マスタ!$A$6:$A$405,0),"")))</f>
        <v/>
      </c>
      <c r="AO248" s="16">
        <f>IF(OR($B248="",$C248="",$D248=""),"",DATE($C248+2018,$D248,1))</f>
        <v/>
      </c>
    </row>
    <row r="249">
      <c r="A249" s="11" t="n"/>
      <c r="B249" s="12" t="n">
        <v>6503056</v>
      </c>
      <c r="C249" s="12" t="n">
        <v>8</v>
      </c>
      <c r="D249" s="12" t="n">
        <v>5</v>
      </c>
      <c r="E249" s="13" t="n">
        <v>279283</v>
      </c>
      <c r="F249" s="12" t="n"/>
      <c r="G249" s="13" t="n"/>
      <c r="H249" s="12" t="n"/>
      <c r="I249" s="12" t="n"/>
      <c r="J249" s="12" t="n"/>
      <c r="K249" s="12" t="n"/>
      <c r="L249" s="11" t="n"/>
      <c r="M249" s="11" t="n"/>
      <c r="N249" s="11" t="n"/>
      <c r="O249" s="11" t="n"/>
      <c r="P249" s="12" t="n"/>
      <c r="Q249" s="11" t="n"/>
      <c r="R249" s="12" t="n"/>
      <c r="S249" s="11" t="n"/>
      <c r="T249" s="12" t="n"/>
      <c r="U249" s="12" t="n"/>
      <c r="V249" s="14">
        <f>IF($AN249="",IF($B249="","",$H249),IF(INDEX(職員マスタ!$B$6:$B$405,$AN249)="",$H249,INDEX(職員マスタ!$B$6:$B$405,$AN249)))</f>
        <v/>
      </c>
      <c r="W249" s="14">
        <f>IF($AN249="",IF($B249="","",$R249),IF(INDEX(職員マスタ!$C$6:$C$405,$AN249)="",$R249,INDEX(職員マスタ!$C$6:$C$405,$AN249)))</f>
        <v/>
      </c>
      <c r="X249" s="14">
        <f>IF($AO249="","","R"&amp;$C249&amp;"."&amp;$D249)</f>
        <v/>
      </c>
      <c r="Y249" s="15">
        <f>IF($AN249="","",IF(INDEX(職員マスタ!$K$6:$K$405,$AN249)="","",INDEX(職員マスタ!$K$6:$K$405,$AN249)))</f>
        <v/>
      </c>
      <c r="Z249" s="14">
        <f>IF(OR($E249="",$Y249=""),"",IF($E249&gt;=$Y249,"×",IF($E249&gt;=$Y249*設定!$C$5,"△","○")))</f>
        <v/>
      </c>
      <c r="AA249" s="15">
        <f>IF($Z249="","",IF($Z249="×",0,IF($Z249="○",ROUNDDOWN($E249*設定!$C$4,0),ROUNDDOWN($E249*ROUND((9*$Y249-9*$E249)/(10*$E249),4),0))))</f>
        <v/>
      </c>
      <c r="AB249" s="13" t="n"/>
      <c r="AC249" s="15">
        <f>IF($B249="","",IF($AB249&lt;&gt;"",$AB249,IF($AA249="","",IF($AA249&lt;=設定!$C$3,0,$AA249))))</f>
        <v/>
      </c>
      <c r="AD249" s="14">
        <f>IF($B249="","",IF(AND($AE249&lt;&gt;"",$AG249="",$AJ249=""),"保留中",IF($AJ249&lt;&gt;"",IF(N($AC249)&gt;0,"支給済","不支給"),IF($AC249="","要確認",IF($AC249=0,"不支給","未処理")))))</f>
        <v/>
      </c>
      <c r="AE249" s="12" t="n"/>
      <c r="AF249" s="11" t="n"/>
      <c r="AG249" s="11" t="n"/>
      <c r="AH249" s="11" t="n"/>
      <c r="AI249" s="14">
        <f>IF(AND($AD249="保留中",$AF249&lt;&gt;""),TODAY()-$AF249,"")</f>
        <v/>
      </c>
      <c r="AJ249" s="12" t="inlineStr">
        <is>
          <t>R8.10</t>
        </is>
      </c>
      <c r="AK249" s="14">
        <f>IF($B249="","",IF($AO249="","対象年月が未入力／","")&amp;IF($B249="","",IF($AN249="","職員マスタに未登録の職員番号／",IF($Y249="","標準報酬月額が未登録／","")&amp;IF(AND($AO249&lt;&gt;"",OR(AND(INDEX(職員マスタ!$G$6:$G$405,$AN249)&lt;&gt;"",INDEX(職員マスタ!$G$6:$G$405,$AN249)&gt;EOMONTH($AO249,0)),AND(INDEX(職員マスタ!$H$6:$H$405,$AN249)&lt;&gt;"",INDEX(職員マスタ!$H$6:$H$405,$AN249)&lt;$AO249))),"対象月が時短期間外／","")&amp;IF(AND(INDEX(職員マスタ!$F$6:$F$405,$AN249)&lt;&gt;"",$AO249&lt;&gt;"",INDEX(職員マスタ!$F$6:$F$405,$AN249)&lt;$AO249),"対象月に子が2歳到達済／","")&amp;IF(AND($H249&lt;&gt;"",INDEX(職員マスタ!$B$6:$B$405,$AN249)&lt;&gt;"",SUBSTITUTE(SUBSTITUTE($H249," ","")," ","")&lt;&gt;SUBSTITUTE(SUBSTITUTE(INDEX(職員マスタ!$B$6:$B$405,$AN249)," ","")," ","")),"氏名がマスタと相違／","")&amp;IF(AND($Q249&lt;&gt;"",INDEX(職員マスタ!$E$6:$E$405,$AN249)&lt;&gt;"",$Q249&lt;&gt;INDEX(職員マスタ!$E$6:$E$405,$AN249)),"子の生年月日がマスタと相違／","")&amp;IF(AND($L249&lt;&gt;"",INDEX(職員マスタ!$G$6:$G$405,$AN249)&lt;&gt;"",$L249&lt;&gt;INDEX(職員マスタ!$G$6:$G$405,$AN249)),"時短開始日がマスタと相違／","")&amp;IF(AND($M249&lt;&gt;"",INDEX(職員マスタ!$H$6:$H$405,$AN249)&lt;&gt;"",$M249&lt;&gt;INDEX(職員マスタ!$H$6:$H$405,$AN249)),"時短終了日がマスタと相違／","")))&amp;IF(AND($B249&lt;&gt;"",$E249=""),"報酬額が未入力／","")&amp;IF(N($U249)&gt;0,"申請書に入力エラーが残っています／","")&amp;IF(AND($B249&lt;&gt;"",$AO249&lt;&gt;""),IF(COUNTIFS($B$6:$B$3005,$B249,$C$6:$C$3005,$C249,$D$6:$D$3005,$D249)&gt;1,"同じ月の請求が重複しています／",""),"")&amp;IF(AND(N($E249)&gt;0,$Z249&lt;&gt;"",$Z249&lt;&gt;"×",$AC249=0,$AB249=""),"計算額が下限以下のため不支給／",""))</f>
        <v/>
      </c>
      <c r="AL249" s="12" t="n"/>
      <c r="AM249" s="14">
        <f>IF($AD249="保留中",COUNTIF($AD$6:$AD249,"保留中"),"")</f>
        <v/>
      </c>
      <c r="AN249" s="14">
        <f>IF($AO249="","",IF(SUMPRODUCT(MAX((職員マスタ!$A$6:$A$405=$B249)*(((職員マスタ!$G$6:$G$405="")+(職員マスタ!$G$6:$G$405&lt;=EOMONTH($AO249,0)))&gt;0)*(((職員マスタ!$H$6:$H$405="")+(職員マスタ!$H$6:$H$405&gt;=$AO249))&gt;0)*(ROW(職員マスタ!$A$6:$A$405)-5)))&gt;0,SUMPRODUCT(MAX((職員マスタ!$A$6:$A$405=$B249)*(((職員マスタ!$G$6:$G$405="")+(職員マスタ!$G$6:$G$405&lt;=EOMONTH($AO249,0)))&gt;0)*(((職員マスタ!$H$6:$H$405="")+(職員マスタ!$H$6:$H$405&gt;=$AO249))&gt;0)*(ROW(職員マスタ!$A$6:$A$405)-5))),IFERROR(MATCH($B249,職員マスタ!$A$6:$A$405,0),"")))</f>
        <v/>
      </c>
      <c r="AO249" s="16">
        <f>IF(OR($B249="",$C249="",$D249=""),"",DATE($C249+2018,$D249,1))</f>
        <v/>
      </c>
    </row>
    <row r="250">
      <c r="A250" s="11" t="n"/>
      <c r="B250" s="12" t="n">
        <v>6503056</v>
      </c>
      <c r="C250" s="12" t="n">
        <v>8</v>
      </c>
      <c r="D250" s="12" t="n">
        <v>6</v>
      </c>
      <c r="E250" s="13" t="n">
        <v>279283</v>
      </c>
      <c r="F250" s="12" t="n"/>
      <c r="G250" s="13" t="n"/>
      <c r="H250" s="12" t="n"/>
      <c r="I250" s="12" t="n"/>
      <c r="J250" s="12" t="n"/>
      <c r="K250" s="12" t="n"/>
      <c r="L250" s="11" t="n"/>
      <c r="M250" s="11" t="n"/>
      <c r="N250" s="11" t="n"/>
      <c r="O250" s="11" t="n"/>
      <c r="P250" s="12" t="n"/>
      <c r="Q250" s="11" t="n"/>
      <c r="R250" s="12" t="n"/>
      <c r="S250" s="11" t="n"/>
      <c r="T250" s="12" t="n"/>
      <c r="U250" s="12" t="n"/>
      <c r="V250" s="14">
        <f>IF($AN250="",IF($B250="","",$H250),IF(INDEX(職員マスタ!$B$6:$B$405,$AN250)="",$H250,INDEX(職員マスタ!$B$6:$B$405,$AN250)))</f>
        <v/>
      </c>
      <c r="W250" s="14">
        <f>IF($AN250="",IF($B250="","",$R250),IF(INDEX(職員マスタ!$C$6:$C$405,$AN250)="",$R250,INDEX(職員マスタ!$C$6:$C$405,$AN250)))</f>
        <v/>
      </c>
      <c r="X250" s="14">
        <f>IF($AO250="","","R"&amp;$C250&amp;"."&amp;$D250)</f>
        <v/>
      </c>
      <c r="Y250" s="15">
        <f>IF($AN250="","",IF(INDEX(職員マスタ!$K$6:$K$405,$AN250)="","",INDEX(職員マスタ!$K$6:$K$405,$AN250)))</f>
        <v/>
      </c>
      <c r="Z250" s="14">
        <f>IF(OR($E250="",$Y250=""),"",IF($E250&gt;=$Y250,"×",IF($E250&gt;=$Y250*設定!$C$5,"△","○")))</f>
        <v/>
      </c>
      <c r="AA250" s="15">
        <f>IF($Z250="","",IF($Z250="×",0,IF($Z250="○",ROUNDDOWN($E250*設定!$C$4,0),ROUNDDOWN($E250*ROUND((9*$Y250-9*$E250)/(10*$E250),4),0))))</f>
        <v/>
      </c>
      <c r="AB250" s="13" t="n"/>
      <c r="AC250" s="15">
        <f>IF($B250="","",IF($AB250&lt;&gt;"",$AB250,IF($AA250="","",IF($AA250&lt;=設定!$C$3,0,$AA250))))</f>
        <v/>
      </c>
      <c r="AD250" s="14">
        <f>IF($B250="","",IF(AND($AE250&lt;&gt;"",$AG250="",$AJ250=""),"保留中",IF($AJ250&lt;&gt;"",IF(N($AC250)&gt;0,"支給済","不支給"),IF($AC250="","要確認",IF($AC250=0,"不支給","未処理")))))</f>
        <v/>
      </c>
      <c r="AE250" s="12" t="n"/>
      <c r="AF250" s="11" t="n"/>
      <c r="AG250" s="11" t="n"/>
      <c r="AH250" s="11" t="n"/>
      <c r="AI250" s="14">
        <f>IF(AND($AD250="保留中",$AF250&lt;&gt;""),TODAY()-$AF250,"")</f>
        <v/>
      </c>
      <c r="AJ250" s="12" t="inlineStr">
        <is>
          <t>R8.10</t>
        </is>
      </c>
      <c r="AK250" s="14">
        <f>IF($B250="","",IF($AO250="","対象年月が未入力／","")&amp;IF($B250="","",IF($AN250="","職員マスタに未登録の職員番号／",IF($Y250="","標準報酬月額が未登録／","")&amp;IF(AND($AO250&lt;&gt;"",OR(AND(INDEX(職員マスタ!$G$6:$G$405,$AN250)&lt;&gt;"",INDEX(職員マスタ!$G$6:$G$405,$AN250)&gt;EOMONTH($AO250,0)),AND(INDEX(職員マスタ!$H$6:$H$405,$AN250)&lt;&gt;"",INDEX(職員マスタ!$H$6:$H$405,$AN250)&lt;$AO250))),"対象月が時短期間外／","")&amp;IF(AND(INDEX(職員マスタ!$F$6:$F$405,$AN250)&lt;&gt;"",$AO250&lt;&gt;"",INDEX(職員マスタ!$F$6:$F$405,$AN250)&lt;$AO250),"対象月に子が2歳到達済／","")&amp;IF(AND($H250&lt;&gt;"",INDEX(職員マスタ!$B$6:$B$405,$AN250)&lt;&gt;"",SUBSTITUTE(SUBSTITUTE($H250," ","")," ","")&lt;&gt;SUBSTITUTE(SUBSTITUTE(INDEX(職員マスタ!$B$6:$B$405,$AN250)," ","")," ","")),"氏名がマスタと相違／","")&amp;IF(AND($Q250&lt;&gt;"",INDEX(職員マスタ!$E$6:$E$405,$AN250)&lt;&gt;"",$Q250&lt;&gt;INDEX(職員マスタ!$E$6:$E$405,$AN250)),"子の生年月日がマスタと相違／","")&amp;IF(AND($L250&lt;&gt;"",INDEX(職員マスタ!$G$6:$G$405,$AN250)&lt;&gt;"",$L250&lt;&gt;INDEX(職員マスタ!$G$6:$G$405,$AN250)),"時短開始日がマスタと相違／","")&amp;IF(AND($M250&lt;&gt;"",INDEX(職員マスタ!$H$6:$H$405,$AN250)&lt;&gt;"",$M250&lt;&gt;INDEX(職員マスタ!$H$6:$H$405,$AN250)),"時短終了日がマスタと相違／","")))&amp;IF(AND($B250&lt;&gt;"",$E250=""),"報酬額が未入力／","")&amp;IF(N($U250)&gt;0,"申請書に入力エラーが残っています／","")&amp;IF(AND($B250&lt;&gt;"",$AO250&lt;&gt;""),IF(COUNTIFS($B$6:$B$3005,$B250,$C$6:$C$3005,$C250,$D$6:$D$3005,$D250)&gt;1,"同じ月の請求が重複しています／",""),"")&amp;IF(AND(N($E250)&gt;0,$Z250&lt;&gt;"",$Z250&lt;&gt;"×",$AC250=0,$AB250=""),"計算額が下限以下のため不支給／",""))</f>
        <v/>
      </c>
      <c r="AL250" s="12" t="n"/>
      <c r="AM250" s="14">
        <f>IF($AD250="保留中",COUNTIF($AD$6:$AD250,"保留中"),"")</f>
        <v/>
      </c>
      <c r="AN250" s="14">
        <f>IF($AO250="","",IF(SUMPRODUCT(MAX((職員マスタ!$A$6:$A$405=$B250)*(((職員マスタ!$G$6:$G$405="")+(職員マスタ!$G$6:$G$405&lt;=EOMONTH($AO250,0)))&gt;0)*(((職員マスタ!$H$6:$H$405="")+(職員マスタ!$H$6:$H$405&gt;=$AO250))&gt;0)*(ROW(職員マスタ!$A$6:$A$405)-5)))&gt;0,SUMPRODUCT(MAX((職員マスタ!$A$6:$A$405=$B250)*(((職員マスタ!$G$6:$G$405="")+(職員マスタ!$G$6:$G$405&lt;=EOMONTH($AO250,0)))&gt;0)*(((職員マスタ!$H$6:$H$405="")+(職員マスタ!$H$6:$H$405&gt;=$AO250))&gt;0)*(ROW(職員マスタ!$A$6:$A$405)-5))),IFERROR(MATCH($B250,職員マスタ!$A$6:$A$405,0),"")))</f>
        <v/>
      </c>
      <c r="AO250" s="16">
        <f>IF(OR($B250="",$C250="",$D250=""),"",DATE($C250+2018,$D250,1))</f>
        <v/>
      </c>
    </row>
    <row r="251">
      <c r="A251" s="11" t="n"/>
      <c r="B251" s="12" t="n">
        <v>6503056</v>
      </c>
      <c r="C251" s="12" t="n">
        <v>8</v>
      </c>
      <c r="D251" s="12" t="n">
        <v>7</v>
      </c>
      <c r="E251" s="13" t="n">
        <v>279283</v>
      </c>
      <c r="F251" s="12" t="n"/>
      <c r="G251" s="13" t="n"/>
      <c r="H251" s="12" t="n"/>
      <c r="I251" s="12" t="n"/>
      <c r="J251" s="12" t="n"/>
      <c r="K251" s="12" t="n"/>
      <c r="L251" s="11" t="n"/>
      <c r="M251" s="11" t="n"/>
      <c r="N251" s="11" t="n"/>
      <c r="O251" s="11" t="n"/>
      <c r="P251" s="12" t="n"/>
      <c r="Q251" s="11" t="n"/>
      <c r="R251" s="12" t="n"/>
      <c r="S251" s="11" t="n"/>
      <c r="T251" s="12" t="n"/>
      <c r="U251" s="12" t="n"/>
      <c r="V251" s="14">
        <f>IF($AN251="",IF($B251="","",$H251),IF(INDEX(職員マスタ!$B$6:$B$405,$AN251)="",$H251,INDEX(職員マスタ!$B$6:$B$405,$AN251)))</f>
        <v/>
      </c>
      <c r="W251" s="14">
        <f>IF($AN251="",IF($B251="","",$R251),IF(INDEX(職員マスタ!$C$6:$C$405,$AN251)="",$R251,INDEX(職員マスタ!$C$6:$C$405,$AN251)))</f>
        <v/>
      </c>
      <c r="X251" s="14">
        <f>IF($AO251="","","R"&amp;$C251&amp;"."&amp;$D251)</f>
        <v/>
      </c>
      <c r="Y251" s="15">
        <f>IF($AN251="","",IF(INDEX(職員マスタ!$K$6:$K$405,$AN251)="","",INDEX(職員マスタ!$K$6:$K$405,$AN251)))</f>
        <v/>
      </c>
      <c r="Z251" s="14">
        <f>IF(OR($E251="",$Y251=""),"",IF($E251&gt;=$Y251,"×",IF($E251&gt;=$Y251*設定!$C$5,"△","○")))</f>
        <v/>
      </c>
      <c r="AA251" s="15">
        <f>IF($Z251="","",IF($Z251="×",0,IF($Z251="○",ROUNDDOWN($E251*設定!$C$4,0),ROUNDDOWN($E251*ROUND((9*$Y251-9*$E251)/(10*$E251),4),0))))</f>
        <v/>
      </c>
      <c r="AB251" s="13" t="n"/>
      <c r="AC251" s="15">
        <f>IF($B251="","",IF($AB251&lt;&gt;"",$AB251,IF($AA251="","",IF($AA251&lt;=設定!$C$3,0,$AA251))))</f>
        <v/>
      </c>
      <c r="AD251" s="14">
        <f>IF($B251="","",IF(AND($AE251&lt;&gt;"",$AG251="",$AJ251=""),"保留中",IF($AJ251&lt;&gt;"",IF(N($AC251)&gt;0,"支給済","不支給"),IF($AC251="","要確認",IF($AC251=0,"不支給","未処理")))))</f>
        <v/>
      </c>
      <c r="AE251" s="12" t="n"/>
      <c r="AF251" s="11" t="n"/>
      <c r="AG251" s="11" t="n"/>
      <c r="AH251" s="11" t="n"/>
      <c r="AI251" s="14">
        <f>IF(AND($AD251="保留中",$AF251&lt;&gt;""),TODAY()-$AF251,"")</f>
        <v/>
      </c>
      <c r="AJ251" s="12" t="inlineStr">
        <is>
          <t>R8.10</t>
        </is>
      </c>
      <c r="AK251" s="14">
        <f>IF($B251="","",IF($AO251="","対象年月が未入力／","")&amp;IF($B251="","",IF($AN251="","職員マスタに未登録の職員番号／",IF($Y251="","標準報酬月額が未登録／","")&amp;IF(AND($AO251&lt;&gt;"",OR(AND(INDEX(職員マスタ!$G$6:$G$405,$AN251)&lt;&gt;"",INDEX(職員マスタ!$G$6:$G$405,$AN251)&gt;EOMONTH($AO251,0)),AND(INDEX(職員マスタ!$H$6:$H$405,$AN251)&lt;&gt;"",INDEX(職員マスタ!$H$6:$H$405,$AN251)&lt;$AO251))),"対象月が時短期間外／","")&amp;IF(AND(INDEX(職員マスタ!$F$6:$F$405,$AN251)&lt;&gt;"",$AO251&lt;&gt;"",INDEX(職員マスタ!$F$6:$F$405,$AN251)&lt;$AO251),"対象月に子が2歳到達済／","")&amp;IF(AND($H251&lt;&gt;"",INDEX(職員マスタ!$B$6:$B$405,$AN251)&lt;&gt;"",SUBSTITUTE(SUBSTITUTE($H251," ","")," ","")&lt;&gt;SUBSTITUTE(SUBSTITUTE(INDEX(職員マスタ!$B$6:$B$405,$AN251)," ","")," ","")),"氏名がマスタと相違／","")&amp;IF(AND($Q251&lt;&gt;"",INDEX(職員マスタ!$E$6:$E$405,$AN251)&lt;&gt;"",$Q251&lt;&gt;INDEX(職員マスタ!$E$6:$E$405,$AN251)),"子の生年月日がマスタと相違／","")&amp;IF(AND($L251&lt;&gt;"",INDEX(職員マスタ!$G$6:$G$405,$AN251)&lt;&gt;"",$L251&lt;&gt;INDEX(職員マスタ!$G$6:$G$405,$AN251)),"時短開始日がマスタと相違／","")&amp;IF(AND($M251&lt;&gt;"",INDEX(職員マスタ!$H$6:$H$405,$AN251)&lt;&gt;"",$M251&lt;&gt;INDEX(職員マスタ!$H$6:$H$405,$AN251)),"時短終了日がマスタと相違／","")))&amp;IF(AND($B251&lt;&gt;"",$E251=""),"報酬額が未入力／","")&amp;IF(N($U251)&gt;0,"申請書に入力エラーが残っています／","")&amp;IF(AND($B251&lt;&gt;"",$AO251&lt;&gt;""),IF(COUNTIFS($B$6:$B$3005,$B251,$C$6:$C$3005,$C251,$D$6:$D$3005,$D251)&gt;1,"同じ月の請求が重複しています／",""),"")&amp;IF(AND(N($E251)&gt;0,$Z251&lt;&gt;"",$Z251&lt;&gt;"×",$AC251=0,$AB251=""),"計算額が下限以下のため不支給／",""))</f>
        <v/>
      </c>
      <c r="AL251" s="12" t="n"/>
      <c r="AM251" s="14">
        <f>IF($AD251="保留中",COUNTIF($AD$6:$AD251,"保留中"),"")</f>
        <v/>
      </c>
      <c r="AN251" s="14">
        <f>IF($AO251="","",IF(SUMPRODUCT(MAX((職員マスタ!$A$6:$A$405=$B251)*(((職員マスタ!$G$6:$G$405="")+(職員マスタ!$G$6:$G$405&lt;=EOMONTH($AO251,0)))&gt;0)*(((職員マスタ!$H$6:$H$405="")+(職員マスタ!$H$6:$H$405&gt;=$AO251))&gt;0)*(ROW(職員マスタ!$A$6:$A$405)-5)))&gt;0,SUMPRODUCT(MAX((職員マスタ!$A$6:$A$405=$B251)*(((職員マスタ!$G$6:$G$405="")+(職員マスタ!$G$6:$G$405&lt;=EOMONTH($AO251,0)))&gt;0)*(((職員マスタ!$H$6:$H$405="")+(職員マスタ!$H$6:$H$405&gt;=$AO251))&gt;0)*(ROW(職員マスタ!$A$6:$A$405)-5))),IFERROR(MATCH($B251,職員マスタ!$A$6:$A$405,0),"")))</f>
        <v/>
      </c>
      <c r="AO251" s="16">
        <f>IF(OR($B251="",$C251="",$D251=""),"",DATE($C251+2018,$D251,1))</f>
        <v/>
      </c>
    </row>
    <row r="252">
      <c r="A252" s="11" t="n"/>
      <c r="B252" s="12" t="n">
        <v>6600324</v>
      </c>
      <c r="C252" s="12" t="n">
        <v>8</v>
      </c>
      <c r="D252" s="12" t="n">
        <v>4</v>
      </c>
      <c r="E252" s="13" t="n">
        <v>584632</v>
      </c>
      <c r="F252" s="12" t="n"/>
      <c r="G252" s="13" t="n"/>
      <c r="H252" s="12" t="n"/>
      <c r="I252" s="12" t="n"/>
      <c r="J252" s="12" t="n"/>
      <c r="K252" s="12" t="n"/>
      <c r="L252" s="11" t="n"/>
      <c r="M252" s="11" t="n"/>
      <c r="N252" s="11" t="n"/>
      <c r="O252" s="11" t="n"/>
      <c r="P252" s="12" t="n"/>
      <c r="Q252" s="11" t="n"/>
      <c r="R252" s="12" t="n"/>
      <c r="S252" s="11" t="n"/>
      <c r="T252" s="12" t="n"/>
      <c r="U252" s="12" t="n"/>
      <c r="V252" s="14">
        <f>IF($AN252="",IF($B252="","",$H252),IF(INDEX(職員マスタ!$B$6:$B$405,$AN252)="",$H252,INDEX(職員マスタ!$B$6:$B$405,$AN252)))</f>
        <v/>
      </c>
      <c r="W252" s="14">
        <f>IF($AN252="",IF($B252="","",$R252),IF(INDEX(職員マスタ!$C$6:$C$405,$AN252)="",$R252,INDEX(職員マスタ!$C$6:$C$405,$AN252)))</f>
        <v/>
      </c>
      <c r="X252" s="14">
        <f>IF($AO252="","","R"&amp;$C252&amp;"."&amp;$D252)</f>
        <v/>
      </c>
      <c r="Y252" s="15">
        <f>IF($AN252="","",IF(INDEX(職員マスタ!$K$6:$K$405,$AN252)="","",INDEX(職員マスタ!$K$6:$K$405,$AN252)))</f>
        <v/>
      </c>
      <c r="Z252" s="14">
        <f>IF(OR($E252="",$Y252=""),"",IF($E252&gt;=$Y252,"×",IF($E252&gt;=$Y252*設定!$C$5,"△","○")))</f>
        <v/>
      </c>
      <c r="AA252" s="15">
        <f>IF($Z252="","",IF($Z252="×",0,IF($Z252="○",ROUNDDOWN($E252*設定!$C$4,0),ROUNDDOWN($E252*ROUND((9*$Y252-9*$E252)/(10*$E252),4),0))))</f>
        <v/>
      </c>
      <c r="AB252" s="13" t="n"/>
      <c r="AC252" s="15">
        <f>IF($B252="","",IF($AB252&lt;&gt;"",$AB252,IF($AA252="","",IF($AA252&lt;=設定!$C$3,0,$AA252))))</f>
        <v/>
      </c>
      <c r="AD252" s="14">
        <f>IF($B252="","",IF(AND($AE252&lt;&gt;"",$AG252="",$AJ252=""),"保留中",IF($AJ252&lt;&gt;"",IF(N($AC252)&gt;0,"支給済","不支給"),IF($AC252="","要確認",IF($AC252=0,"不支給","未処理")))))</f>
        <v/>
      </c>
      <c r="AE252" s="12" t="n"/>
      <c r="AF252" s="11" t="n"/>
      <c r="AG252" s="11" t="n"/>
      <c r="AH252" s="11" t="n"/>
      <c r="AI252" s="14">
        <f>IF(AND($AD252="保留中",$AF252&lt;&gt;""),TODAY()-$AF252,"")</f>
        <v/>
      </c>
      <c r="AJ252" s="12" t="inlineStr">
        <is>
          <t>R8.10</t>
        </is>
      </c>
      <c r="AK252" s="14">
        <f>IF($B252="","",IF($AO252="","対象年月が未入力／","")&amp;IF($B252="","",IF($AN252="","職員マスタに未登録の職員番号／",IF($Y252="","標準報酬月額が未登録／","")&amp;IF(AND($AO252&lt;&gt;"",OR(AND(INDEX(職員マスタ!$G$6:$G$405,$AN252)&lt;&gt;"",INDEX(職員マスタ!$G$6:$G$405,$AN252)&gt;EOMONTH($AO252,0)),AND(INDEX(職員マスタ!$H$6:$H$405,$AN252)&lt;&gt;"",INDEX(職員マスタ!$H$6:$H$405,$AN252)&lt;$AO252))),"対象月が時短期間外／","")&amp;IF(AND(INDEX(職員マスタ!$F$6:$F$405,$AN252)&lt;&gt;"",$AO252&lt;&gt;"",INDEX(職員マスタ!$F$6:$F$405,$AN252)&lt;$AO252),"対象月に子が2歳到達済／","")&amp;IF(AND($H252&lt;&gt;"",INDEX(職員マスタ!$B$6:$B$405,$AN252)&lt;&gt;"",SUBSTITUTE(SUBSTITUTE($H252," ","")," ","")&lt;&gt;SUBSTITUTE(SUBSTITUTE(INDEX(職員マスタ!$B$6:$B$405,$AN252)," ","")," ","")),"氏名がマスタと相違／","")&amp;IF(AND($Q252&lt;&gt;"",INDEX(職員マスタ!$E$6:$E$405,$AN252)&lt;&gt;"",$Q252&lt;&gt;INDEX(職員マスタ!$E$6:$E$405,$AN252)),"子の生年月日がマスタと相違／","")&amp;IF(AND($L252&lt;&gt;"",INDEX(職員マスタ!$G$6:$G$405,$AN252)&lt;&gt;"",$L252&lt;&gt;INDEX(職員マスタ!$G$6:$G$405,$AN252)),"時短開始日がマスタと相違／","")&amp;IF(AND($M252&lt;&gt;"",INDEX(職員マスタ!$H$6:$H$405,$AN252)&lt;&gt;"",$M252&lt;&gt;INDEX(職員マスタ!$H$6:$H$405,$AN252)),"時短終了日がマスタと相違／","")))&amp;IF(AND($B252&lt;&gt;"",$E252=""),"報酬額が未入力／","")&amp;IF(N($U252)&gt;0,"申請書に入力エラーが残っています／","")&amp;IF(AND($B252&lt;&gt;"",$AO252&lt;&gt;""),IF(COUNTIFS($B$6:$B$3005,$B252,$C$6:$C$3005,$C252,$D$6:$D$3005,$D252)&gt;1,"同じ月の請求が重複しています／",""),"")&amp;IF(AND(N($E252)&gt;0,$Z252&lt;&gt;"",$Z252&lt;&gt;"×",$AC252=0,$AB252=""),"計算額が下限以下のため不支給／",""))</f>
        <v/>
      </c>
      <c r="AL252" s="12" t="n"/>
      <c r="AM252" s="14">
        <f>IF($AD252="保留中",COUNTIF($AD$6:$AD252,"保留中"),"")</f>
        <v/>
      </c>
      <c r="AN252" s="14">
        <f>IF($AO252="","",IF(SUMPRODUCT(MAX((職員マスタ!$A$6:$A$405=$B252)*(((職員マスタ!$G$6:$G$405="")+(職員マスタ!$G$6:$G$405&lt;=EOMONTH($AO252,0)))&gt;0)*(((職員マスタ!$H$6:$H$405="")+(職員マスタ!$H$6:$H$405&gt;=$AO252))&gt;0)*(ROW(職員マスタ!$A$6:$A$405)-5)))&gt;0,SUMPRODUCT(MAX((職員マスタ!$A$6:$A$405=$B252)*(((職員マスタ!$G$6:$G$405="")+(職員マスタ!$G$6:$G$405&lt;=EOMONTH($AO252,0)))&gt;0)*(((職員マスタ!$H$6:$H$405="")+(職員マスタ!$H$6:$H$405&gt;=$AO252))&gt;0)*(ROW(職員マスタ!$A$6:$A$405)-5))),IFERROR(MATCH($B252,職員マスタ!$A$6:$A$405,0),"")))</f>
        <v/>
      </c>
      <c r="AO252" s="16">
        <f>IF(OR($B252="",$C252="",$D252=""),"",DATE($C252+2018,$D252,1))</f>
        <v/>
      </c>
    </row>
    <row r="253">
      <c r="A253" s="11" t="n"/>
      <c r="B253" s="12" t="n">
        <v>6600324</v>
      </c>
      <c r="C253" s="12" t="n">
        <v>8</v>
      </c>
      <c r="D253" s="12" t="n">
        <v>5</v>
      </c>
      <c r="E253" s="13" t="n">
        <v>462111</v>
      </c>
      <c r="F253" s="12" t="n"/>
      <c r="G253" s="13" t="n"/>
      <c r="H253" s="12" t="n"/>
      <c r="I253" s="12" t="n"/>
      <c r="J253" s="12" t="n"/>
      <c r="K253" s="12" t="n"/>
      <c r="L253" s="11" t="n"/>
      <c r="M253" s="11" t="n"/>
      <c r="N253" s="11" t="n"/>
      <c r="O253" s="11" t="n"/>
      <c r="P253" s="12" t="n"/>
      <c r="Q253" s="11" t="n"/>
      <c r="R253" s="12" t="n"/>
      <c r="S253" s="11" t="n"/>
      <c r="T253" s="12" t="n"/>
      <c r="U253" s="12" t="n"/>
      <c r="V253" s="14">
        <f>IF($AN253="",IF($B253="","",$H253),IF(INDEX(職員マスタ!$B$6:$B$405,$AN253)="",$H253,INDEX(職員マスタ!$B$6:$B$405,$AN253)))</f>
        <v/>
      </c>
      <c r="W253" s="14">
        <f>IF($AN253="",IF($B253="","",$R253),IF(INDEX(職員マスタ!$C$6:$C$405,$AN253)="",$R253,INDEX(職員マスタ!$C$6:$C$405,$AN253)))</f>
        <v/>
      </c>
      <c r="X253" s="14">
        <f>IF($AO253="","","R"&amp;$C253&amp;"."&amp;$D253)</f>
        <v/>
      </c>
      <c r="Y253" s="15">
        <f>IF($AN253="","",IF(INDEX(職員マスタ!$K$6:$K$405,$AN253)="","",INDEX(職員マスタ!$K$6:$K$405,$AN253)))</f>
        <v/>
      </c>
      <c r="Z253" s="14">
        <f>IF(OR($E253="",$Y253=""),"",IF($E253&gt;=$Y253,"×",IF($E253&gt;=$Y253*設定!$C$5,"△","○")))</f>
        <v/>
      </c>
      <c r="AA253" s="15">
        <f>IF($Z253="","",IF($Z253="×",0,IF($Z253="○",ROUNDDOWN($E253*設定!$C$4,0),ROUNDDOWN($E253*ROUND((9*$Y253-9*$E253)/(10*$E253),4),0))))</f>
        <v/>
      </c>
      <c r="AB253" s="13" t="n"/>
      <c r="AC253" s="15">
        <f>IF($B253="","",IF($AB253&lt;&gt;"",$AB253,IF($AA253="","",IF($AA253&lt;=設定!$C$3,0,$AA253))))</f>
        <v/>
      </c>
      <c r="AD253" s="14">
        <f>IF($B253="","",IF(AND($AE253&lt;&gt;"",$AG253="",$AJ253=""),"保留中",IF($AJ253&lt;&gt;"",IF(N($AC253)&gt;0,"支給済","不支給"),IF($AC253="","要確認",IF($AC253=0,"不支給","未処理")))))</f>
        <v/>
      </c>
      <c r="AE253" s="12" t="n"/>
      <c r="AF253" s="11" t="n"/>
      <c r="AG253" s="11" t="n"/>
      <c r="AH253" s="11" t="n"/>
      <c r="AI253" s="14">
        <f>IF(AND($AD253="保留中",$AF253&lt;&gt;""),TODAY()-$AF253,"")</f>
        <v/>
      </c>
      <c r="AJ253" s="12" t="inlineStr">
        <is>
          <t>R8.10</t>
        </is>
      </c>
      <c r="AK253" s="14">
        <f>IF($B253="","",IF($AO253="","対象年月が未入力／","")&amp;IF($B253="","",IF($AN253="","職員マスタに未登録の職員番号／",IF($Y253="","標準報酬月額が未登録／","")&amp;IF(AND($AO253&lt;&gt;"",OR(AND(INDEX(職員マスタ!$G$6:$G$405,$AN253)&lt;&gt;"",INDEX(職員マスタ!$G$6:$G$405,$AN253)&gt;EOMONTH($AO253,0)),AND(INDEX(職員マスタ!$H$6:$H$405,$AN253)&lt;&gt;"",INDEX(職員マスタ!$H$6:$H$405,$AN253)&lt;$AO253))),"対象月が時短期間外／","")&amp;IF(AND(INDEX(職員マスタ!$F$6:$F$405,$AN253)&lt;&gt;"",$AO253&lt;&gt;"",INDEX(職員マスタ!$F$6:$F$405,$AN253)&lt;$AO253),"対象月に子が2歳到達済／","")&amp;IF(AND($H253&lt;&gt;"",INDEX(職員マスタ!$B$6:$B$405,$AN253)&lt;&gt;"",SUBSTITUTE(SUBSTITUTE($H253," ","")," ","")&lt;&gt;SUBSTITUTE(SUBSTITUTE(INDEX(職員マスタ!$B$6:$B$405,$AN253)," ","")," ","")),"氏名がマスタと相違／","")&amp;IF(AND($Q253&lt;&gt;"",INDEX(職員マスタ!$E$6:$E$405,$AN253)&lt;&gt;"",$Q253&lt;&gt;INDEX(職員マスタ!$E$6:$E$405,$AN253)),"子の生年月日がマスタと相違／","")&amp;IF(AND($L253&lt;&gt;"",INDEX(職員マスタ!$G$6:$G$405,$AN253)&lt;&gt;"",$L253&lt;&gt;INDEX(職員マスタ!$G$6:$G$405,$AN253)),"時短開始日がマスタと相違／","")&amp;IF(AND($M253&lt;&gt;"",INDEX(職員マスタ!$H$6:$H$405,$AN253)&lt;&gt;"",$M253&lt;&gt;INDEX(職員マスタ!$H$6:$H$405,$AN253)),"時短終了日がマスタと相違／","")))&amp;IF(AND($B253&lt;&gt;"",$E253=""),"報酬額が未入力／","")&amp;IF(N($U253)&gt;0,"申請書に入力エラーが残っています／","")&amp;IF(AND($B253&lt;&gt;"",$AO253&lt;&gt;""),IF(COUNTIFS($B$6:$B$3005,$B253,$C$6:$C$3005,$C253,$D$6:$D$3005,$D253)&gt;1,"同じ月の請求が重複しています／",""),"")&amp;IF(AND(N($E253)&gt;0,$Z253&lt;&gt;"",$Z253&lt;&gt;"×",$AC253=0,$AB253=""),"計算額が下限以下のため不支給／",""))</f>
        <v/>
      </c>
      <c r="AL253" s="12" t="n"/>
      <c r="AM253" s="14">
        <f>IF($AD253="保留中",COUNTIF($AD$6:$AD253,"保留中"),"")</f>
        <v/>
      </c>
      <c r="AN253" s="14">
        <f>IF($AO253="","",IF(SUMPRODUCT(MAX((職員マスタ!$A$6:$A$405=$B253)*(((職員マスタ!$G$6:$G$405="")+(職員マスタ!$G$6:$G$405&lt;=EOMONTH($AO253,0)))&gt;0)*(((職員マスタ!$H$6:$H$405="")+(職員マスタ!$H$6:$H$405&gt;=$AO253))&gt;0)*(ROW(職員マスタ!$A$6:$A$405)-5)))&gt;0,SUMPRODUCT(MAX((職員マスタ!$A$6:$A$405=$B253)*(((職員マスタ!$G$6:$G$405="")+(職員マスタ!$G$6:$G$405&lt;=EOMONTH($AO253,0)))&gt;0)*(((職員マスタ!$H$6:$H$405="")+(職員マスタ!$H$6:$H$405&gt;=$AO253))&gt;0)*(ROW(職員マスタ!$A$6:$A$405)-5))),IFERROR(MATCH($B253,職員マスタ!$A$6:$A$405,0),"")))</f>
        <v/>
      </c>
      <c r="AO253" s="16">
        <f>IF(OR($B253="",$C253="",$D253=""),"",DATE($C253+2018,$D253,1))</f>
        <v/>
      </c>
    </row>
    <row r="254">
      <c r="A254" s="11" t="n"/>
      <c r="B254" s="12" t="n">
        <v>6600324</v>
      </c>
      <c r="C254" s="12" t="n">
        <v>8</v>
      </c>
      <c r="D254" s="12" t="n">
        <v>6</v>
      </c>
      <c r="E254" s="13" t="n">
        <v>385926</v>
      </c>
      <c r="F254" s="12" t="n"/>
      <c r="G254" s="13" t="n"/>
      <c r="H254" s="12" t="n"/>
      <c r="I254" s="12" t="n"/>
      <c r="J254" s="12" t="n"/>
      <c r="K254" s="12" t="n"/>
      <c r="L254" s="11" t="n"/>
      <c r="M254" s="11" t="n"/>
      <c r="N254" s="11" t="n"/>
      <c r="O254" s="11" t="n"/>
      <c r="P254" s="12" t="n"/>
      <c r="Q254" s="11" t="n"/>
      <c r="R254" s="12" t="n"/>
      <c r="S254" s="11" t="n"/>
      <c r="T254" s="12" t="n"/>
      <c r="U254" s="12" t="n"/>
      <c r="V254" s="14">
        <f>IF($AN254="",IF($B254="","",$H254),IF(INDEX(職員マスタ!$B$6:$B$405,$AN254)="",$H254,INDEX(職員マスタ!$B$6:$B$405,$AN254)))</f>
        <v/>
      </c>
      <c r="W254" s="14">
        <f>IF($AN254="",IF($B254="","",$R254),IF(INDEX(職員マスタ!$C$6:$C$405,$AN254)="",$R254,INDEX(職員マスタ!$C$6:$C$405,$AN254)))</f>
        <v/>
      </c>
      <c r="X254" s="14">
        <f>IF($AO254="","","R"&amp;$C254&amp;"."&amp;$D254)</f>
        <v/>
      </c>
      <c r="Y254" s="15">
        <f>IF($AN254="","",IF(INDEX(職員マスタ!$K$6:$K$405,$AN254)="","",INDEX(職員マスタ!$K$6:$K$405,$AN254)))</f>
        <v/>
      </c>
      <c r="Z254" s="14">
        <f>IF(OR($E254="",$Y254=""),"",IF($E254&gt;=$Y254,"×",IF($E254&gt;=$Y254*設定!$C$5,"△","○")))</f>
        <v/>
      </c>
      <c r="AA254" s="15">
        <f>IF($Z254="","",IF($Z254="×",0,IF($Z254="○",ROUNDDOWN($E254*設定!$C$4,0),ROUNDDOWN($E254*ROUND((9*$Y254-9*$E254)/(10*$E254),4),0))))</f>
        <v/>
      </c>
      <c r="AB254" s="13" t="n"/>
      <c r="AC254" s="15">
        <f>IF($B254="","",IF($AB254&lt;&gt;"",$AB254,IF($AA254="","",IF($AA254&lt;=設定!$C$3,0,$AA254))))</f>
        <v/>
      </c>
      <c r="AD254" s="14">
        <f>IF($B254="","",IF(AND($AE254&lt;&gt;"",$AG254="",$AJ254=""),"保留中",IF($AJ254&lt;&gt;"",IF(N($AC254)&gt;0,"支給済","不支給"),IF($AC254="","要確認",IF($AC254=0,"不支給","未処理")))))</f>
        <v/>
      </c>
      <c r="AE254" s="12" t="n"/>
      <c r="AF254" s="11" t="n"/>
      <c r="AG254" s="11" t="n"/>
      <c r="AH254" s="11" t="n"/>
      <c r="AI254" s="14">
        <f>IF(AND($AD254="保留中",$AF254&lt;&gt;""),TODAY()-$AF254,"")</f>
        <v/>
      </c>
      <c r="AJ254" s="12" t="inlineStr">
        <is>
          <t>R8.10</t>
        </is>
      </c>
      <c r="AK254" s="14">
        <f>IF($B254="","",IF($AO254="","対象年月が未入力／","")&amp;IF($B254="","",IF($AN254="","職員マスタに未登録の職員番号／",IF($Y254="","標準報酬月額が未登録／","")&amp;IF(AND($AO254&lt;&gt;"",OR(AND(INDEX(職員マスタ!$G$6:$G$405,$AN254)&lt;&gt;"",INDEX(職員マスタ!$G$6:$G$405,$AN254)&gt;EOMONTH($AO254,0)),AND(INDEX(職員マスタ!$H$6:$H$405,$AN254)&lt;&gt;"",INDEX(職員マスタ!$H$6:$H$405,$AN254)&lt;$AO254))),"対象月が時短期間外／","")&amp;IF(AND(INDEX(職員マスタ!$F$6:$F$405,$AN254)&lt;&gt;"",$AO254&lt;&gt;"",INDEX(職員マスタ!$F$6:$F$405,$AN254)&lt;$AO254),"対象月に子が2歳到達済／","")&amp;IF(AND($H254&lt;&gt;"",INDEX(職員マスタ!$B$6:$B$405,$AN254)&lt;&gt;"",SUBSTITUTE(SUBSTITUTE($H254," ","")," ","")&lt;&gt;SUBSTITUTE(SUBSTITUTE(INDEX(職員マスタ!$B$6:$B$405,$AN254)," ","")," ","")),"氏名がマスタと相違／","")&amp;IF(AND($Q254&lt;&gt;"",INDEX(職員マスタ!$E$6:$E$405,$AN254)&lt;&gt;"",$Q254&lt;&gt;INDEX(職員マスタ!$E$6:$E$405,$AN254)),"子の生年月日がマスタと相違／","")&amp;IF(AND($L254&lt;&gt;"",INDEX(職員マスタ!$G$6:$G$405,$AN254)&lt;&gt;"",$L254&lt;&gt;INDEX(職員マスタ!$G$6:$G$405,$AN254)),"時短開始日がマスタと相違／","")&amp;IF(AND($M254&lt;&gt;"",INDEX(職員マスタ!$H$6:$H$405,$AN254)&lt;&gt;"",$M254&lt;&gt;INDEX(職員マスタ!$H$6:$H$405,$AN254)),"時短終了日がマスタと相違／","")))&amp;IF(AND($B254&lt;&gt;"",$E254=""),"報酬額が未入力／","")&amp;IF(N($U254)&gt;0,"申請書に入力エラーが残っています／","")&amp;IF(AND($B254&lt;&gt;"",$AO254&lt;&gt;""),IF(COUNTIFS($B$6:$B$3005,$B254,$C$6:$C$3005,$C254,$D$6:$D$3005,$D254)&gt;1,"同じ月の請求が重複しています／",""),"")&amp;IF(AND(N($E254)&gt;0,$Z254&lt;&gt;"",$Z254&lt;&gt;"×",$AC254=0,$AB254=""),"計算額が下限以下のため不支給／",""))</f>
        <v/>
      </c>
      <c r="AL254" s="12" t="n"/>
      <c r="AM254" s="14">
        <f>IF($AD254="保留中",COUNTIF($AD$6:$AD254,"保留中"),"")</f>
        <v/>
      </c>
      <c r="AN254" s="14">
        <f>IF($AO254="","",IF(SUMPRODUCT(MAX((職員マスタ!$A$6:$A$405=$B254)*(((職員マスタ!$G$6:$G$405="")+(職員マスタ!$G$6:$G$405&lt;=EOMONTH($AO254,0)))&gt;0)*(((職員マスタ!$H$6:$H$405="")+(職員マスタ!$H$6:$H$405&gt;=$AO254))&gt;0)*(ROW(職員マスタ!$A$6:$A$405)-5)))&gt;0,SUMPRODUCT(MAX((職員マスタ!$A$6:$A$405=$B254)*(((職員マスタ!$G$6:$G$405="")+(職員マスタ!$G$6:$G$405&lt;=EOMONTH($AO254,0)))&gt;0)*(((職員マスタ!$H$6:$H$405="")+(職員マスタ!$H$6:$H$405&gt;=$AO254))&gt;0)*(ROW(職員マスタ!$A$6:$A$405)-5))),IFERROR(MATCH($B254,職員マスタ!$A$6:$A$405,0),"")))</f>
        <v/>
      </c>
      <c r="AO254" s="16">
        <f>IF(OR($B254="",$C254="",$D254=""),"",DATE($C254+2018,$D254,1))</f>
        <v/>
      </c>
    </row>
    <row r="255">
      <c r="A255" s="11" t="n"/>
      <c r="B255" s="12" t="n">
        <v>6601751</v>
      </c>
      <c r="C255" s="12" t="n">
        <v>8</v>
      </c>
      <c r="D255" s="12" t="n">
        <v>1</v>
      </c>
      <c r="E255" s="13" t="n">
        <v>193593</v>
      </c>
      <c r="F255" s="12" t="n"/>
      <c r="G255" s="13" t="n"/>
      <c r="H255" s="12" t="n"/>
      <c r="I255" s="12" t="n"/>
      <c r="J255" s="12" t="n"/>
      <c r="K255" s="12" t="n"/>
      <c r="L255" s="11" t="n"/>
      <c r="M255" s="11" t="n"/>
      <c r="N255" s="11" t="n"/>
      <c r="O255" s="11" t="n"/>
      <c r="P255" s="12" t="n"/>
      <c r="Q255" s="11" t="n"/>
      <c r="R255" s="12" t="n"/>
      <c r="S255" s="11" t="n"/>
      <c r="T255" s="12" t="n"/>
      <c r="U255" s="12" t="n"/>
      <c r="V255" s="14">
        <f>IF($AN255="",IF($B255="","",$H255),IF(INDEX(職員マスタ!$B$6:$B$405,$AN255)="",$H255,INDEX(職員マスタ!$B$6:$B$405,$AN255)))</f>
        <v/>
      </c>
      <c r="W255" s="14">
        <f>IF($AN255="",IF($B255="","",$R255),IF(INDEX(職員マスタ!$C$6:$C$405,$AN255)="",$R255,INDEX(職員マスタ!$C$6:$C$405,$AN255)))</f>
        <v/>
      </c>
      <c r="X255" s="14">
        <f>IF($AO255="","","R"&amp;$C255&amp;"."&amp;$D255)</f>
        <v/>
      </c>
      <c r="Y255" s="15">
        <f>IF($AN255="","",IF(INDEX(職員マスタ!$K$6:$K$405,$AN255)="","",INDEX(職員マスタ!$K$6:$K$405,$AN255)))</f>
        <v/>
      </c>
      <c r="Z255" s="14">
        <f>IF(OR($E255="",$Y255=""),"",IF($E255&gt;=$Y255,"×",IF($E255&gt;=$Y255*設定!$C$5,"△","○")))</f>
        <v/>
      </c>
      <c r="AA255" s="15">
        <f>IF($Z255="","",IF($Z255="×",0,IF($Z255="○",ROUNDDOWN($E255*設定!$C$4,0),ROUNDDOWN($E255*ROUND((9*$Y255-9*$E255)/(10*$E255),4),0))))</f>
        <v/>
      </c>
      <c r="AB255" s="13" t="n"/>
      <c r="AC255" s="15">
        <f>IF($B255="","",IF($AB255&lt;&gt;"",$AB255,IF($AA255="","",IF($AA255&lt;=設定!$C$3,0,$AA255))))</f>
        <v/>
      </c>
      <c r="AD255" s="14">
        <f>IF($B255="","",IF(AND($AE255&lt;&gt;"",$AG255="",$AJ255=""),"保留中",IF($AJ255&lt;&gt;"",IF(N($AC255)&gt;0,"支給済","不支給"),IF($AC255="","要確認",IF($AC255=0,"不支給","未処理")))))</f>
        <v/>
      </c>
      <c r="AE255" s="12" t="n"/>
      <c r="AF255" s="11" t="n"/>
      <c r="AG255" s="11" t="n"/>
      <c r="AH255" s="11" t="n"/>
      <c r="AI255" s="14">
        <f>IF(AND($AD255="保留中",$AF255&lt;&gt;""),TODAY()-$AF255,"")</f>
        <v/>
      </c>
      <c r="AJ255" s="12" t="inlineStr">
        <is>
          <t>R8.4</t>
        </is>
      </c>
      <c r="AK255" s="14">
        <f>IF($B255="","",IF($AO255="","対象年月が未入力／","")&amp;IF($B255="","",IF($AN255="","職員マスタに未登録の職員番号／",IF($Y255="","標準報酬月額が未登録／","")&amp;IF(AND($AO255&lt;&gt;"",OR(AND(INDEX(職員マスタ!$G$6:$G$405,$AN255)&lt;&gt;"",INDEX(職員マスタ!$G$6:$G$405,$AN255)&gt;EOMONTH($AO255,0)),AND(INDEX(職員マスタ!$H$6:$H$405,$AN255)&lt;&gt;"",INDEX(職員マスタ!$H$6:$H$405,$AN255)&lt;$AO255))),"対象月が時短期間外／","")&amp;IF(AND(INDEX(職員マスタ!$F$6:$F$405,$AN255)&lt;&gt;"",$AO255&lt;&gt;"",INDEX(職員マスタ!$F$6:$F$405,$AN255)&lt;$AO255),"対象月に子が2歳到達済／","")&amp;IF(AND($H255&lt;&gt;"",INDEX(職員マスタ!$B$6:$B$405,$AN255)&lt;&gt;"",SUBSTITUTE(SUBSTITUTE($H255," ","")," ","")&lt;&gt;SUBSTITUTE(SUBSTITUTE(INDEX(職員マスタ!$B$6:$B$405,$AN255)," ","")," ","")),"氏名がマスタと相違／","")&amp;IF(AND($Q255&lt;&gt;"",INDEX(職員マスタ!$E$6:$E$405,$AN255)&lt;&gt;"",$Q255&lt;&gt;INDEX(職員マスタ!$E$6:$E$405,$AN255)),"子の生年月日がマスタと相違／","")&amp;IF(AND($L255&lt;&gt;"",INDEX(職員マスタ!$G$6:$G$405,$AN255)&lt;&gt;"",$L255&lt;&gt;INDEX(職員マスタ!$G$6:$G$405,$AN255)),"時短開始日がマスタと相違／","")&amp;IF(AND($M255&lt;&gt;"",INDEX(職員マスタ!$H$6:$H$405,$AN255)&lt;&gt;"",$M255&lt;&gt;INDEX(職員マスタ!$H$6:$H$405,$AN255)),"時短終了日がマスタと相違／","")))&amp;IF(AND($B255&lt;&gt;"",$E255=""),"報酬額が未入力／","")&amp;IF(N($U255)&gt;0,"申請書に入力エラーが残っています／","")&amp;IF(AND($B255&lt;&gt;"",$AO255&lt;&gt;""),IF(COUNTIFS($B$6:$B$3005,$B255,$C$6:$C$3005,$C255,$D$6:$D$3005,$D255)&gt;1,"同じ月の請求が重複しています／",""),"")&amp;IF(AND(N($E255)&gt;0,$Z255&lt;&gt;"",$Z255&lt;&gt;"×",$AC255=0,$AB255=""),"計算額が下限以下のため不支給／",""))</f>
        <v/>
      </c>
      <c r="AL255" s="12" t="n"/>
      <c r="AM255" s="14">
        <f>IF($AD255="保留中",COUNTIF($AD$6:$AD255,"保留中"),"")</f>
        <v/>
      </c>
      <c r="AN255" s="14">
        <f>IF($AO255="","",IF(SUMPRODUCT(MAX((職員マスタ!$A$6:$A$405=$B255)*(((職員マスタ!$G$6:$G$405="")+(職員マスタ!$G$6:$G$405&lt;=EOMONTH($AO255,0)))&gt;0)*(((職員マスタ!$H$6:$H$405="")+(職員マスタ!$H$6:$H$405&gt;=$AO255))&gt;0)*(ROW(職員マスタ!$A$6:$A$405)-5)))&gt;0,SUMPRODUCT(MAX((職員マスタ!$A$6:$A$405=$B255)*(((職員マスタ!$G$6:$G$405="")+(職員マスタ!$G$6:$G$405&lt;=EOMONTH($AO255,0)))&gt;0)*(((職員マスタ!$H$6:$H$405="")+(職員マスタ!$H$6:$H$405&gt;=$AO255))&gt;0)*(ROW(職員マスタ!$A$6:$A$405)-5))),IFERROR(MATCH($B255,職員マスタ!$A$6:$A$405,0),"")))</f>
        <v/>
      </c>
      <c r="AO255" s="16">
        <f>IF(OR($B255="",$C255="",$D255=""),"",DATE($C255+2018,$D255,1))</f>
        <v/>
      </c>
    </row>
    <row r="256">
      <c r="A256" s="11" t="n"/>
      <c r="B256" s="12" t="n">
        <v>6601751</v>
      </c>
      <c r="C256" s="12" t="n">
        <v>8</v>
      </c>
      <c r="D256" s="12" t="n">
        <v>2</v>
      </c>
      <c r="E256" s="13" t="n">
        <v>198258</v>
      </c>
      <c r="F256" s="12" t="n"/>
      <c r="G256" s="13" t="n"/>
      <c r="H256" s="12" t="n"/>
      <c r="I256" s="12" t="n"/>
      <c r="J256" s="12" t="n"/>
      <c r="K256" s="12" t="n"/>
      <c r="L256" s="11" t="n"/>
      <c r="M256" s="11" t="n"/>
      <c r="N256" s="11" t="n"/>
      <c r="O256" s="11" t="n"/>
      <c r="P256" s="12" t="n"/>
      <c r="Q256" s="11" t="n"/>
      <c r="R256" s="12" t="n"/>
      <c r="S256" s="11" t="n"/>
      <c r="T256" s="12" t="n"/>
      <c r="U256" s="12" t="n"/>
      <c r="V256" s="14">
        <f>IF($AN256="",IF($B256="","",$H256),IF(INDEX(職員マスタ!$B$6:$B$405,$AN256)="",$H256,INDEX(職員マスタ!$B$6:$B$405,$AN256)))</f>
        <v/>
      </c>
      <c r="W256" s="14">
        <f>IF($AN256="",IF($B256="","",$R256),IF(INDEX(職員マスタ!$C$6:$C$405,$AN256)="",$R256,INDEX(職員マスタ!$C$6:$C$405,$AN256)))</f>
        <v/>
      </c>
      <c r="X256" s="14">
        <f>IF($AO256="","","R"&amp;$C256&amp;"."&amp;$D256)</f>
        <v/>
      </c>
      <c r="Y256" s="15">
        <f>IF($AN256="","",IF(INDEX(職員マスタ!$K$6:$K$405,$AN256)="","",INDEX(職員マスタ!$K$6:$K$405,$AN256)))</f>
        <v/>
      </c>
      <c r="Z256" s="14">
        <f>IF(OR($E256="",$Y256=""),"",IF($E256&gt;=$Y256,"×",IF($E256&gt;=$Y256*設定!$C$5,"△","○")))</f>
        <v/>
      </c>
      <c r="AA256" s="15">
        <f>IF($Z256="","",IF($Z256="×",0,IF($Z256="○",ROUNDDOWN($E256*設定!$C$4,0),ROUNDDOWN($E256*ROUND((9*$Y256-9*$E256)/(10*$E256),4),0))))</f>
        <v/>
      </c>
      <c r="AB256" s="13" t="n"/>
      <c r="AC256" s="15">
        <f>IF($B256="","",IF($AB256&lt;&gt;"",$AB256,IF($AA256="","",IF($AA256&lt;=設定!$C$3,0,$AA256))))</f>
        <v/>
      </c>
      <c r="AD256" s="14">
        <f>IF($B256="","",IF(AND($AE256&lt;&gt;"",$AG256="",$AJ256=""),"保留中",IF($AJ256&lt;&gt;"",IF(N($AC256)&gt;0,"支給済","不支給"),IF($AC256="","要確認",IF($AC256=0,"不支給","未処理")))))</f>
        <v/>
      </c>
      <c r="AE256" s="12" t="n"/>
      <c r="AF256" s="11" t="n"/>
      <c r="AG256" s="11" t="n"/>
      <c r="AH256" s="11" t="n"/>
      <c r="AI256" s="14">
        <f>IF(AND($AD256="保留中",$AF256&lt;&gt;""),TODAY()-$AF256,"")</f>
        <v/>
      </c>
      <c r="AJ256" s="12" t="inlineStr">
        <is>
          <t>R8.4</t>
        </is>
      </c>
      <c r="AK256" s="14">
        <f>IF($B256="","",IF($AO256="","対象年月が未入力／","")&amp;IF($B256="","",IF($AN256="","職員マスタに未登録の職員番号／",IF($Y256="","標準報酬月額が未登録／","")&amp;IF(AND($AO256&lt;&gt;"",OR(AND(INDEX(職員マスタ!$G$6:$G$405,$AN256)&lt;&gt;"",INDEX(職員マスタ!$G$6:$G$405,$AN256)&gt;EOMONTH($AO256,0)),AND(INDEX(職員マスタ!$H$6:$H$405,$AN256)&lt;&gt;"",INDEX(職員マスタ!$H$6:$H$405,$AN256)&lt;$AO256))),"対象月が時短期間外／","")&amp;IF(AND(INDEX(職員マスタ!$F$6:$F$405,$AN256)&lt;&gt;"",$AO256&lt;&gt;"",INDEX(職員マスタ!$F$6:$F$405,$AN256)&lt;$AO256),"対象月に子が2歳到達済／","")&amp;IF(AND($H256&lt;&gt;"",INDEX(職員マスタ!$B$6:$B$405,$AN256)&lt;&gt;"",SUBSTITUTE(SUBSTITUTE($H256," ","")," ","")&lt;&gt;SUBSTITUTE(SUBSTITUTE(INDEX(職員マスタ!$B$6:$B$405,$AN256)," ","")," ","")),"氏名がマスタと相違／","")&amp;IF(AND($Q256&lt;&gt;"",INDEX(職員マスタ!$E$6:$E$405,$AN256)&lt;&gt;"",$Q256&lt;&gt;INDEX(職員マスタ!$E$6:$E$405,$AN256)),"子の生年月日がマスタと相違／","")&amp;IF(AND($L256&lt;&gt;"",INDEX(職員マスタ!$G$6:$G$405,$AN256)&lt;&gt;"",$L256&lt;&gt;INDEX(職員マスタ!$G$6:$G$405,$AN256)),"時短開始日がマスタと相違／","")&amp;IF(AND($M256&lt;&gt;"",INDEX(職員マスタ!$H$6:$H$405,$AN256)&lt;&gt;"",$M256&lt;&gt;INDEX(職員マスタ!$H$6:$H$405,$AN256)),"時短終了日がマスタと相違／","")))&amp;IF(AND($B256&lt;&gt;"",$E256=""),"報酬額が未入力／","")&amp;IF(N($U256)&gt;0,"申請書に入力エラーが残っています／","")&amp;IF(AND($B256&lt;&gt;"",$AO256&lt;&gt;""),IF(COUNTIFS($B$6:$B$3005,$B256,$C$6:$C$3005,$C256,$D$6:$D$3005,$D256)&gt;1,"同じ月の請求が重複しています／",""),"")&amp;IF(AND(N($E256)&gt;0,$Z256&lt;&gt;"",$Z256&lt;&gt;"×",$AC256=0,$AB256=""),"計算額が下限以下のため不支給／",""))</f>
        <v/>
      </c>
      <c r="AL256" s="12" t="n"/>
      <c r="AM256" s="14">
        <f>IF($AD256="保留中",COUNTIF($AD$6:$AD256,"保留中"),"")</f>
        <v/>
      </c>
      <c r="AN256" s="14">
        <f>IF($AO256="","",IF(SUMPRODUCT(MAX((職員マスタ!$A$6:$A$405=$B256)*(((職員マスタ!$G$6:$G$405="")+(職員マスタ!$G$6:$G$405&lt;=EOMONTH($AO256,0)))&gt;0)*(((職員マスタ!$H$6:$H$405="")+(職員マスタ!$H$6:$H$405&gt;=$AO256))&gt;0)*(ROW(職員マスタ!$A$6:$A$405)-5)))&gt;0,SUMPRODUCT(MAX((職員マスタ!$A$6:$A$405=$B256)*(((職員マスタ!$G$6:$G$405="")+(職員マスタ!$G$6:$G$405&lt;=EOMONTH($AO256,0)))&gt;0)*(((職員マスタ!$H$6:$H$405="")+(職員マスタ!$H$6:$H$405&gt;=$AO256))&gt;0)*(ROW(職員マスタ!$A$6:$A$405)-5))),IFERROR(MATCH($B256,職員マスタ!$A$6:$A$405,0),"")))</f>
        <v/>
      </c>
      <c r="AO256" s="16">
        <f>IF(OR($B256="",$C256="",$D256=""),"",DATE($C256+2018,$D256,1))</f>
        <v/>
      </c>
    </row>
    <row r="257">
      <c r="A257" s="11" t="n"/>
      <c r="B257" s="12" t="n">
        <v>6601751</v>
      </c>
      <c r="C257" s="12" t="n">
        <v>8</v>
      </c>
      <c r="D257" s="12" t="n">
        <v>3</v>
      </c>
      <c r="E257" s="13" t="n">
        <v>187894</v>
      </c>
      <c r="F257" s="12" t="n"/>
      <c r="G257" s="13" t="n"/>
      <c r="H257" s="12" t="n"/>
      <c r="I257" s="12" t="n"/>
      <c r="J257" s="12" t="n"/>
      <c r="K257" s="12" t="n"/>
      <c r="L257" s="11" t="n"/>
      <c r="M257" s="11" t="n"/>
      <c r="N257" s="11" t="n"/>
      <c r="O257" s="11" t="n"/>
      <c r="P257" s="12" t="n"/>
      <c r="Q257" s="11" t="n"/>
      <c r="R257" s="12" t="n"/>
      <c r="S257" s="11" t="n"/>
      <c r="T257" s="12" t="n"/>
      <c r="U257" s="12" t="n"/>
      <c r="V257" s="14">
        <f>IF($AN257="",IF($B257="","",$H257),IF(INDEX(職員マスタ!$B$6:$B$405,$AN257)="",$H257,INDEX(職員マスタ!$B$6:$B$405,$AN257)))</f>
        <v/>
      </c>
      <c r="W257" s="14">
        <f>IF($AN257="",IF($B257="","",$R257),IF(INDEX(職員マスタ!$C$6:$C$405,$AN257)="",$R257,INDEX(職員マスタ!$C$6:$C$405,$AN257)))</f>
        <v/>
      </c>
      <c r="X257" s="14">
        <f>IF($AO257="","","R"&amp;$C257&amp;"."&amp;$D257)</f>
        <v/>
      </c>
      <c r="Y257" s="15">
        <f>IF($AN257="","",IF(INDEX(職員マスタ!$K$6:$K$405,$AN257)="","",INDEX(職員マスタ!$K$6:$K$405,$AN257)))</f>
        <v/>
      </c>
      <c r="Z257" s="14">
        <f>IF(OR($E257="",$Y257=""),"",IF($E257&gt;=$Y257,"×",IF($E257&gt;=$Y257*設定!$C$5,"△","○")))</f>
        <v/>
      </c>
      <c r="AA257" s="15">
        <f>IF($Z257="","",IF($Z257="×",0,IF($Z257="○",ROUNDDOWN($E257*設定!$C$4,0),ROUNDDOWN($E257*ROUND((9*$Y257-9*$E257)/(10*$E257),4),0))))</f>
        <v/>
      </c>
      <c r="AB257" s="13" t="n"/>
      <c r="AC257" s="15">
        <f>IF($B257="","",IF($AB257&lt;&gt;"",$AB257,IF($AA257="","",IF($AA257&lt;=設定!$C$3,0,$AA257))))</f>
        <v/>
      </c>
      <c r="AD257" s="14">
        <f>IF($B257="","",IF(AND($AE257&lt;&gt;"",$AG257="",$AJ257=""),"保留中",IF($AJ257&lt;&gt;"",IF(N($AC257)&gt;0,"支給済","不支給"),IF($AC257="","要確認",IF($AC257=0,"不支給","未処理")))))</f>
        <v/>
      </c>
      <c r="AE257" s="12" t="n"/>
      <c r="AF257" s="11" t="n"/>
      <c r="AG257" s="11" t="n"/>
      <c r="AH257" s="11" t="n"/>
      <c r="AI257" s="14">
        <f>IF(AND($AD257="保留中",$AF257&lt;&gt;""),TODAY()-$AF257,"")</f>
        <v/>
      </c>
      <c r="AJ257" s="12" t="inlineStr">
        <is>
          <t>R8.5</t>
        </is>
      </c>
      <c r="AK257" s="14">
        <f>IF($B257="","",IF($AO257="","対象年月が未入力／","")&amp;IF($B257="","",IF($AN257="","職員マスタに未登録の職員番号／",IF($Y257="","標準報酬月額が未登録／","")&amp;IF(AND($AO257&lt;&gt;"",OR(AND(INDEX(職員マスタ!$G$6:$G$405,$AN257)&lt;&gt;"",INDEX(職員マスタ!$G$6:$G$405,$AN257)&gt;EOMONTH($AO257,0)),AND(INDEX(職員マスタ!$H$6:$H$405,$AN257)&lt;&gt;"",INDEX(職員マスタ!$H$6:$H$405,$AN257)&lt;$AO257))),"対象月が時短期間外／","")&amp;IF(AND(INDEX(職員マスタ!$F$6:$F$405,$AN257)&lt;&gt;"",$AO257&lt;&gt;"",INDEX(職員マスタ!$F$6:$F$405,$AN257)&lt;$AO257),"対象月に子が2歳到達済／","")&amp;IF(AND($H257&lt;&gt;"",INDEX(職員マスタ!$B$6:$B$405,$AN257)&lt;&gt;"",SUBSTITUTE(SUBSTITUTE($H257," ","")," ","")&lt;&gt;SUBSTITUTE(SUBSTITUTE(INDEX(職員マスタ!$B$6:$B$405,$AN257)," ","")," ","")),"氏名がマスタと相違／","")&amp;IF(AND($Q257&lt;&gt;"",INDEX(職員マスタ!$E$6:$E$405,$AN257)&lt;&gt;"",$Q257&lt;&gt;INDEX(職員マスタ!$E$6:$E$405,$AN257)),"子の生年月日がマスタと相違／","")&amp;IF(AND($L257&lt;&gt;"",INDEX(職員マスタ!$G$6:$G$405,$AN257)&lt;&gt;"",$L257&lt;&gt;INDEX(職員マスタ!$G$6:$G$405,$AN257)),"時短開始日がマスタと相違／","")&amp;IF(AND($M257&lt;&gt;"",INDEX(職員マスタ!$H$6:$H$405,$AN257)&lt;&gt;"",$M257&lt;&gt;INDEX(職員マスタ!$H$6:$H$405,$AN257)),"時短終了日がマスタと相違／","")))&amp;IF(AND($B257&lt;&gt;"",$E257=""),"報酬額が未入力／","")&amp;IF(N($U257)&gt;0,"申請書に入力エラーが残っています／","")&amp;IF(AND($B257&lt;&gt;"",$AO257&lt;&gt;""),IF(COUNTIFS($B$6:$B$3005,$B257,$C$6:$C$3005,$C257,$D$6:$D$3005,$D257)&gt;1,"同じ月の請求が重複しています／",""),"")&amp;IF(AND(N($E257)&gt;0,$Z257&lt;&gt;"",$Z257&lt;&gt;"×",$AC257=0,$AB257=""),"計算額が下限以下のため不支給／",""))</f>
        <v/>
      </c>
      <c r="AL257" s="12" t="n"/>
      <c r="AM257" s="14">
        <f>IF($AD257="保留中",COUNTIF($AD$6:$AD257,"保留中"),"")</f>
        <v/>
      </c>
      <c r="AN257" s="14">
        <f>IF($AO257="","",IF(SUMPRODUCT(MAX((職員マスタ!$A$6:$A$405=$B257)*(((職員マスタ!$G$6:$G$405="")+(職員マスタ!$G$6:$G$405&lt;=EOMONTH($AO257,0)))&gt;0)*(((職員マスタ!$H$6:$H$405="")+(職員マスタ!$H$6:$H$405&gt;=$AO257))&gt;0)*(ROW(職員マスタ!$A$6:$A$405)-5)))&gt;0,SUMPRODUCT(MAX((職員マスタ!$A$6:$A$405=$B257)*(((職員マスタ!$G$6:$G$405="")+(職員マスタ!$G$6:$G$405&lt;=EOMONTH($AO257,0)))&gt;0)*(((職員マスタ!$H$6:$H$405="")+(職員マスタ!$H$6:$H$405&gt;=$AO257))&gt;0)*(ROW(職員マスタ!$A$6:$A$405)-5))),IFERROR(MATCH($B257,職員マスタ!$A$6:$A$405,0),"")))</f>
        <v/>
      </c>
      <c r="AO257" s="16">
        <f>IF(OR($B257="",$C257="",$D257=""),"",DATE($C257+2018,$D257,1))</f>
        <v/>
      </c>
    </row>
    <row r="258">
      <c r="A258" s="11" t="n"/>
      <c r="B258" s="12" t="n">
        <v>6602486</v>
      </c>
      <c r="C258" s="12" t="n">
        <v>8</v>
      </c>
      <c r="D258" s="12" t="n">
        <v>6</v>
      </c>
      <c r="E258" s="13" t="n">
        <v>127910</v>
      </c>
      <c r="F258" s="12" t="n"/>
      <c r="G258" s="13" t="n"/>
      <c r="H258" s="12" t="n"/>
      <c r="I258" s="12" t="n"/>
      <c r="J258" s="12" t="n"/>
      <c r="K258" s="12" t="n"/>
      <c r="L258" s="11" t="n"/>
      <c r="M258" s="11" t="n"/>
      <c r="N258" s="11" t="n"/>
      <c r="O258" s="11" t="n"/>
      <c r="P258" s="12" t="n"/>
      <c r="Q258" s="11" t="n"/>
      <c r="R258" s="12" t="n"/>
      <c r="S258" s="11" t="n"/>
      <c r="T258" s="12" t="n"/>
      <c r="U258" s="12" t="n"/>
      <c r="V258" s="14">
        <f>IF($AN258="",IF($B258="","",$H258),IF(INDEX(職員マスタ!$B$6:$B$405,$AN258)="",$H258,INDEX(職員マスタ!$B$6:$B$405,$AN258)))</f>
        <v/>
      </c>
      <c r="W258" s="14">
        <f>IF($AN258="",IF($B258="","",$R258),IF(INDEX(職員マスタ!$C$6:$C$405,$AN258)="",$R258,INDEX(職員マスタ!$C$6:$C$405,$AN258)))</f>
        <v/>
      </c>
      <c r="X258" s="14">
        <f>IF($AO258="","","R"&amp;$C258&amp;"."&amp;$D258)</f>
        <v/>
      </c>
      <c r="Y258" s="15">
        <f>IF($AN258="","",IF(INDEX(職員マスタ!$K$6:$K$405,$AN258)="","",INDEX(職員マスタ!$K$6:$K$405,$AN258)))</f>
        <v/>
      </c>
      <c r="Z258" s="14">
        <f>IF(OR($E258="",$Y258=""),"",IF($E258&gt;=$Y258,"×",IF($E258&gt;=$Y258*設定!$C$5,"△","○")))</f>
        <v/>
      </c>
      <c r="AA258" s="15">
        <f>IF($Z258="","",IF($Z258="×",0,IF($Z258="○",ROUNDDOWN($E258*設定!$C$4,0),ROUNDDOWN($E258*ROUND((9*$Y258-9*$E258)/(10*$E258),4),0))))</f>
        <v/>
      </c>
      <c r="AB258" s="13" t="n"/>
      <c r="AC258" s="15">
        <f>IF($B258="","",IF($AB258&lt;&gt;"",$AB258,IF($AA258="","",IF($AA258&lt;=設定!$C$3,0,$AA258))))</f>
        <v/>
      </c>
      <c r="AD258" s="14">
        <f>IF($B258="","",IF(AND($AE258&lt;&gt;"",$AG258="",$AJ258=""),"保留中",IF($AJ258&lt;&gt;"",IF(N($AC258)&gt;0,"支給済","不支給"),IF($AC258="","要確認",IF($AC258=0,"不支給","未処理")))))</f>
        <v/>
      </c>
      <c r="AE258" s="12" t="n"/>
      <c r="AF258" s="11" t="n"/>
      <c r="AG258" s="11" t="n"/>
      <c r="AH258" s="11" t="n"/>
      <c r="AI258" s="14">
        <f>IF(AND($AD258="保留中",$AF258&lt;&gt;""),TODAY()-$AF258,"")</f>
        <v/>
      </c>
      <c r="AJ258" s="12" t="inlineStr">
        <is>
          <t>R8.10</t>
        </is>
      </c>
      <c r="AK258" s="14">
        <f>IF($B258="","",IF($AO258="","対象年月が未入力／","")&amp;IF($B258="","",IF($AN258="","職員マスタに未登録の職員番号／",IF($Y258="","標準報酬月額が未登録／","")&amp;IF(AND($AO258&lt;&gt;"",OR(AND(INDEX(職員マスタ!$G$6:$G$405,$AN258)&lt;&gt;"",INDEX(職員マスタ!$G$6:$G$405,$AN258)&gt;EOMONTH($AO258,0)),AND(INDEX(職員マスタ!$H$6:$H$405,$AN258)&lt;&gt;"",INDEX(職員マスタ!$H$6:$H$405,$AN258)&lt;$AO258))),"対象月が時短期間外／","")&amp;IF(AND(INDEX(職員マスタ!$F$6:$F$405,$AN258)&lt;&gt;"",$AO258&lt;&gt;"",INDEX(職員マスタ!$F$6:$F$405,$AN258)&lt;$AO258),"対象月に子が2歳到達済／","")&amp;IF(AND($H258&lt;&gt;"",INDEX(職員マスタ!$B$6:$B$405,$AN258)&lt;&gt;"",SUBSTITUTE(SUBSTITUTE($H258," ","")," ","")&lt;&gt;SUBSTITUTE(SUBSTITUTE(INDEX(職員マスタ!$B$6:$B$405,$AN258)," ","")," ","")),"氏名がマスタと相違／","")&amp;IF(AND($Q258&lt;&gt;"",INDEX(職員マスタ!$E$6:$E$405,$AN258)&lt;&gt;"",$Q258&lt;&gt;INDEX(職員マスタ!$E$6:$E$405,$AN258)),"子の生年月日がマスタと相違／","")&amp;IF(AND($L258&lt;&gt;"",INDEX(職員マスタ!$G$6:$G$405,$AN258)&lt;&gt;"",$L258&lt;&gt;INDEX(職員マスタ!$G$6:$G$405,$AN258)),"時短開始日がマスタと相違／","")&amp;IF(AND($M258&lt;&gt;"",INDEX(職員マスタ!$H$6:$H$405,$AN258)&lt;&gt;"",$M258&lt;&gt;INDEX(職員マスタ!$H$6:$H$405,$AN258)),"時短終了日がマスタと相違／","")))&amp;IF(AND($B258&lt;&gt;"",$E258=""),"報酬額が未入力／","")&amp;IF(N($U258)&gt;0,"申請書に入力エラーが残っています／","")&amp;IF(AND($B258&lt;&gt;"",$AO258&lt;&gt;""),IF(COUNTIFS($B$6:$B$3005,$B258,$C$6:$C$3005,$C258,$D$6:$D$3005,$D258)&gt;1,"同じ月の請求が重複しています／",""),"")&amp;IF(AND(N($E258)&gt;0,$Z258&lt;&gt;"",$Z258&lt;&gt;"×",$AC258=0,$AB258=""),"計算額が下限以下のため不支給／",""))</f>
        <v/>
      </c>
      <c r="AL258" s="12" t="n"/>
      <c r="AM258" s="14">
        <f>IF($AD258="保留中",COUNTIF($AD$6:$AD258,"保留中"),"")</f>
        <v/>
      </c>
      <c r="AN258" s="14">
        <f>IF($AO258="","",IF(SUMPRODUCT(MAX((職員マスタ!$A$6:$A$405=$B258)*(((職員マスタ!$G$6:$G$405="")+(職員マスタ!$G$6:$G$405&lt;=EOMONTH($AO258,0)))&gt;0)*(((職員マスタ!$H$6:$H$405="")+(職員マスタ!$H$6:$H$405&gt;=$AO258))&gt;0)*(ROW(職員マスタ!$A$6:$A$405)-5)))&gt;0,SUMPRODUCT(MAX((職員マスタ!$A$6:$A$405=$B258)*(((職員マスタ!$G$6:$G$405="")+(職員マスタ!$G$6:$G$405&lt;=EOMONTH($AO258,0)))&gt;0)*(((職員マスタ!$H$6:$H$405="")+(職員マスタ!$H$6:$H$405&gt;=$AO258))&gt;0)*(ROW(職員マスタ!$A$6:$A$405)-5))),IFERROR(MATCH($B258,職員マスタ!$A$6:$A$405,0),"")))</f>
        <v/>
      </c>
      <c r="AO258" s="16">
        <f>IF(OR($B258="",$C258="",$D258=""),"",DATE($C258+2018,$D258,1))</f>
        <v/>
      </c>
    </row>
    <row r="259">
      <c r="A259" s="11" t="n"/>
      <c r="B259" s="12" t="n">
        <v>6602486</v>
      </c>
      <c r="C259" s="12" t="n">
        <v>8</v>
      </c>
      <c r="D259" s="12" t="n">
        <v>7</v>
      </c>
      <c r="E259" s="13" t="n">
        <v>203734</v>
      </c>
      <c r="F259" s="12" t="n"/>
      <c r="G259" s="13" t="n"/>
      <c r="H259" s="12" t="n"/>
      <c r="I259" s="12" t="n"/>
      <c r="J259" s="12" t="n"/>
      <c r="K259" s="12" t="n"/>
      <c r="L259" s="11" t="n"/>
      <c r="M259" s="11" t="n"/>
      <c r="N259" s="11" t="n"/>
      <c r="O259" s="11" t="n"/>
      <c r="P259" s="12" t="n"/>
      <c r="Q259" s="11" t="n"/>
      <c r="R259" s="12" t="n"/>
      <c r="S259" s="11" t="n"/>
      <c r="T259" s="12" t="n"/>
      <c r="U259" s="12" t="n"/>
      <c r="V259" s="14">
        <f>IF($AN259="",IF($B259="","",$H259),IF(INDEX(職員マスタ!$B$6:$B$405,$AN259)="",$H259,INDEX(職員マスタ!$B$6:$B$405,$AN259)))</f>
        <v/>
      </c>
      <c r="W259" s="14">
        <f>IF($AN259="",IF($B259="","",$R259),IF(INDEX(職員マスタ!$C$6:$C$405,$AN259)="",$R259,INDEX(職員マスタ!$C$6:$C$405,$AN259)))</f>
        <v/>
      </c>
      <c r="X259" s="14">
        <f>IF($AO259="","","R"&amp;$C259&amp;"."&amp;$D259)</f>
        <v/>
      </c>
      <c r="Y259" s="15">
        <f>IF($AN259="","",IF(INDEX(職員マスタ!$K$6:$K$405,$AN259)="","",INDEX(職員マスタ!$K$6:$K$405,$AN259)))</f>
        <v/>
      </c>
      <c r="Z259" s="14">
        <f>IF(OR($E259="",$Y259=""),"",IF($E259&gt;=$Y259,"×",IF($E259&gt;=$Y259*設定!$C$5,"△","○")))</f>
        <v/>
      </c>
      <c r="AA259" s="15">
        <f>IF($Z259="","",IF($Z259="×",0,IF($Z259="○",ROUNDDOWN($E259*設定!$C$4,0),ROUNDDOWN($E259*ROUND((9*$Y259-9*$E259)/(10*$E259),4),0))))</f>
        <v/>
      </c>
      <c r="AB259" s="13" t="n"/>
      <c r="AC259" s="15">
        <f>IF($B259="","",IF($AB259&lt;&gt;"",$AB259,IF($AA259="","",IF($AA259&lt;=設定!$C$3,0,$AA259))))</f>
        <v/>
      </c>
      <c r="AD259" s="14">
        <f>IF($B259="","",IF(AND($AE259&lt;&gt;"",$AG259="",$AJ259=""),"保留中",IF($AJ259&lt;&gt;"",IF(N($AC259)&gt;0,"支給済","不支給"),IF($AC259="","要確認",IF($AC259=0,"不支給","未処理")))))</f>
        <v/>
      </c>
      <c r="AE259" s="12" t="n"/>
      <c r="AF259" s="11" t="n"/>
      <c r="AG259" s="11" t="n"/>
      <c r="AH259" s="11" t="n"/>
      <c r="AI259" s="14">
        <f>IF(AND($AD259="保留中",$AF259&lt;&gt;""),TODAY()-$AF259,"")</f>
        <v/>
      </c>
      <c r="AJ259" s="12" t="inlineStr">
        <is>
          <t>R8.10</t>
        </is>
      </c>
      <c r="AK259" s="14">
        <f>IF($B259="","",IF($AO259="","対象年月が未入力／","")&amp;IF($B259="","",IF($AN259="","職員マスタに未登録の職員番号／",IF($Y259="","標準報酬月額が未登録／","")&amp;IF(AND($AO259&lt;&gt;"",OR(AND(INDEX(職員マスタ!$G$6:$G$405,$AN259)&lt;&gt;"",INDEX(職員マスタ!$G$6:$G$405,$AN259)&gt;EOMONTH($AO259,0)),AND(INDEX(職員マスタ!$H$6:$H$405,$AN259)&lt;&gt;"",INDEX(職員マスタ!$H$6:$H$405,$AN259)&lt;$AO259))),"対象月が時短期間外／","")&amp;IF(AND(INDEX(職員マスタ!$F$6:$F$405,$AN259)&lt;&gt;"",$AO259&lt;&gt;"",INDEX(職員マスタ!$F$6:$F$405,$AN259)&lt;$AO259),"対象月に子が2歳到達済／","")&amp;IF(AND($H259&lt;&gt;"",INDEX(職員マスタ!$B$6:$B$405,$AN259)&lt;&gt;"",SUBSTITUTE(SUBSTITUTE($H259," ","")," ","")&lt;&gt;SUBSTITUTE(SUBSTITUTE(INDEX(職員マスタ!$B$6:$B$405,$AN259)," ","")," ","")),"氏名がマスタと相違／","")&amp;IF(AND($Q259&lt;&gt;"",INDEX(職員マスタ!$E$6:$E$405,$AN259)&lt;&gt;"",$Q259&lt;&gt;INDEX(職員マスタ!$E$6:$E$405,$AN259)),"子の生年月日がマスタと相違／","")&amp;IF(AND($L259&lt;&gt;"",INDEX(職員マスタ!$G$6:$G$405,$AN259)&lt;&gt;"",$L259&lt;&gt;INDEX(職員マスタ!$G$6:$G$405,$AN259)),"時短開始日がマスタと相違／","")&amp;IF(AND($M259&lt;&gt;"",INDEX(職員マスタ!$H$6:$H$405,$AN259)&lt;&gt;"",$M259&lt;&gt;INDEX(職員マスタ!$H$6:$H$405,$AN259)),"時短終了日がマスタと相違／","")))&amp;IF(AND($B259&lt;&gt;"",$E259=""),"報酬額が未入力／","")&amp;IF(N($U259)&gt;0,"申請書に入力エラーが残っています／","")&amp;IF(AND($B259&lt;&gt;"",$AO259&lt;&gt;""),IF(COUNTIFS($B$6:$B$3005,$B259,$C$6:$C$3005,$C259,$D$6:$D$3005,$D259)&gt;1,"同じ月の請求が重複しています／",""),"")&amp;IF(AND(N($E259)&gt;0,$Z259&lt;&gt;"",$Z259&lt;&gt;"×",$AC259=0,$AB259=""),"計算額が下限以下のため不支給／",""))</f>
        <v/>
      </c>
      <c r="AL259" s="12" t="n"/>
      <c r="AM259" s="14">
        <f>IF($AD259="保留中",COUNTIF($AD$6:$AD259,"保留中"),"")</f>
        <v/>
      </c>
      <c r="AN259" s="14">
        <f>IF($AO259="","",IF(SUMPRODUCT(MAX((職員マスタ!$A$6:$A$405=$B259)*(((職員マスタ!$G$6:$G$405="")+(職員マスタ!$G$6:$G$405&lt;=EOMONTH($AO259,0)))&gt;0)*(((職員マスタ!$H$6:$H$405="")+(職員マスタ!$H$6:$H$405&gt;=$AO259))&gt;0)*(ROW(職員マスタ!$A$6:$A$405)-5)))&gt;0,SUMPRODUCT(MAX((職員マスタ!$A$6:$A$405=$B259)*(((職員マスタ!$G$6:$G$405="")+(職員マスタ!$G$6:$G$405&lt;=EOMONTH($AO259,0)))&gt;0)*(((職員マスタ!$H$6:$H$405="")+(職員マスタ!$H$6:$H$405&gt;=$AO259))&gt;0)*(ROW(職員マスタ!$A$6:$A$405)-5))),IFERROR(MATCH($B259,職員マスタ!$A$6:$A$405,0),"")))</f>
        <v/>
      </c>
      <c r="AO259" s="16">
        <f>IF(OR($B259="",$C259="",$D259=""),"",DATE($C259+2018,$D259,1))</f>
        <v/>
      </c>
    </row>
    <row r="260">
      <c r="A260" s="11" t="n"/>
      <c r="B260" s="12" t="n">
        <v>6602486</v>
      </c>
      <c r="C260" s="12" t="n">
        <v>8</v>
      </c>
      <c r="D260" s="12" t="n">
        <v>8</v>
      </c>
      <c r="E260" s="13" t="n">
        <v>203842</v>
      </c>
      <c r="F260" s="12" t="n"/>
      <c r="G260" s="13" t="n"/>
      <c r="H260" s="12" t="n"/>
      <c r="I260" s="12" t="n"/>
      <c r="J260" s="12" t="n"/>
      <c r="K260" s="12" t="n"/>
      <c r="L260" s="11" t="n"/>
      <c r="M260" s="11" t="n"/>
      <c r="N260" s="11" t="n"/>
      <c r="O260" s="11" t="n"/>
      <c r="P260" s="12" t="n"/>
      <c r="Q260" s="11" t="n"/>
      <c r="R260" s="12" t="n"/>
      <c r="S260" s="11" t="n"/>
      <c r="T260" s="12" t="n"/>
      <c r="U260" s="12" t="n"/>
      <c r="V260" s="14">
        <f>IF($AN260="",IF($B260="","",$H260),IF(INDEX(職員マスタ!$B$6:$B$405,$AN260)="",$H260,INDEX(職員マスタ!$B$6:$B$405,$AN260)))</f>
        <v/>
      </c>
      <c r="W260" s="14">
        <f>IF($AN260="",IF($B260="","",$R260),IF(INDEX(職員マスタ!$C$6:$C$405,$AN260)="",$R260,INDEX(職員マスタ!$C$6:$C$405,$AN260)))</f>
        <v/>
      </c>
      <c r="X260" s="14">
        <f>IF($AO260="","","R"&amp;$C260&amp;"."&amp;$D260)</f>
        <v/>
      </c>
      <c r="Y260" s="15">
        <f>IF($AN260="","",IF(INDEX(職員マスタ!$K$6:$K$405,$AN260)="","",INDEX(職員マスタ!$K$6:$K$405,$AN260)))</f>
        <v/>
      </c>
      <c r="Z260" s="14">
        <f>IF(OR($E260="",$Y260=""),"",IF($E260&gt;=$Y260,"×",IF($E260&gt;=$Y260*設定!$C$5,"△","○")))</f>
        <v/>
      </c>
      <c r="AA260" s="15">
        <f>IF($Z260="","",IF($Z260="×",0,IF($Z260="○",ROUNDDOWN($E260*設定!$C$4,0),ROUNDDOWN($E260*ROUND((9*$Y260-9*$E260)/(10*$E260),4),0))))</f>
        <v/>
      </c>
      <c r="AB260" s="13" t="n"/>
      <c r="AC260" s="15">
        <f>IF($B260="","",IF($AB260&lt;&gt;"",$AB260,IF($AA260="","",IF($AA260&lt;=設定!$C$3,0,$AA260))))</f>
        <v/>
      </c>
      <c r="AD260" s="14">
        <f>IF($B260="","",IF(AND($AE260&lt;&gt;"",$AG260="",$AJ260=""),"保留中",IF($AJ260&lt;&gt;"",IF(N($AC260)&gt;0,"支給済","不支給"),IF($AC260="","要確認",IF($AC260=0,"不支給","未処理")))))</f>
        <v/>
      </c>
      <c r="AE260" s="12" t="n"/>
      <c r="AF260" s="11" t="n"/>
      <c r="AG260" s="11" t="n"/>
      <c r="AH260" s="11" t="n"/>
      <c r="AI260" s="14">
        <f>IF(AND($AD260="保留中",$AF260&lt;&gt;""),TODAY()-$AF260,"")</f>
        <v/>
      </c>
      <c r="AJ260" s="12" t="inlineStr">
        <is>
          <t>R8.10</t>
        </is>
      </c>
      <c r="AK260" s="14">
        <f>IF($B260="","",IF($AO260="","対象年月が未入力／","")&amp;IF($B260="","",IF($AN260="","職員マスタに未登録の職員番号／",IF($Y260="","標準報酬月額が未登録／","")&amp;IF(AND($AO260&lt;&gt;"",OR(AND(INDEX(職員マスタ!$G$6:$G$405,$AN260)&lt;&gt;"",INDEX(職員マスタ!$G$6:$G$405,$AN260)&gt;EOMONTH($AO260,0)),AND(INDEX(職員マスタ!$H$6:$H$405,$AN260)&lt;&gt;"",INDEX(職員マスタ!$H$6:$H$405,$AN260)&lt;$AO260))),"対象月が時短期間外／","")&amp;IF(AND(INDEX(職員マスタ!$F$6:$F$405,$AN260)&lt;&gt;"",$AO260&lt;&gt;"",INDEX(職員マスタ!$F$6:$F$405,$AN260)&lt;$AO260),"対象月に子が2歳到達済／","")&amp;IF(AND($H260&lt;&gt;"",INDEX(職員マスタ!$B$6:$B$405,$AN260)&lt;&gt;"",SUBSTITUTE(SUBSTITUTE($H260," ","")," ","")&lt;&gt;SUBSTITUTE(SUBSTITUTE(INDEX(職員マスタ!$B$6:$B$405,$AN260)," ","")," ","")),"氏名がマスタと相違／","")&amp;IF(AND($Q260&lt;&gt;"",INDEX(職員マスタ!$E$6:$E$405,$AN260)&lt;&gt;"",$Q260&lt;&gt;INDEX(職員マスタ!$E$6:$E$405,$AN260)),"子の生年月日がマスタと相違／","")&amp;IF(AND($L260&lt;&gt;"",INDEX(職員マスタ!$G$6:$G$405,$AN260)&lt;&gt;"",$L260&lt;&gt;INDEX(職員マスタ!$G$6:$G$405,$AN260)),"時短開始日がマスタと相違／","")&amp;IF(AND($M260&lt;&gt;"",INDEX(職員マスタ!$H$6:$H$405,$AN260)&lt;&gt;"",$M260&lt;&gt;INDEX(職員マスタ!$H$6:$H$405,$AN260)),"時短終了日がマスタと相違／","")))&amp;IF(AND($B260&lt;&gt;"",$E260=""),"報酬額が未入力／","")&amp;IF(N($U260)&gt;0,"申請書に入力エラーが残っています／","")&amp;IF(AND($B260&lt;&gt;"",$AO260&lt;&gt;""),IF(COUNTIFS($B$6:$B$3005,$B260,$C$6:$C$3005,$C260,$D$6:$D$3005,$D260)&gt;1,"同じ月の請求が重複しています／",""),"")&amp;IF(AND(N($E260)&gt;0,$Z260&lt;&gt;"",$Z260&lt;&gt;"×",$AC260=0,$AB260=""),"計算額が下限以下のため不支給／",""))</f>
        <v/>
      </c>
      <c r="AL260" s="12" t="n"/>
      <c r="AM260" s="14">
        <f>IF($AD260="保留中",COUNTIF($AD$6:$AD260,"保留中"),"")</f>
        <v/>
      </c>
      <c r="AN260" s="14">
        <f>IF($AO260="","",IF(SUMPRODUCT(MAX((職員マスタ!$A$6:$A$405=$B260)*(((職員マスタ!$G$6:$G$405="")+(職員マスタ!$G$6:$G$405&lt;=EOMONTH($AO260,0)))&gt;0)*(((職員マスタ!$H$6:$H$405="")+(職員マスタ!$H$6:$H$405&gt;=$AO260))&gt;0)*(ROW(職員マスタ!$A$6:$A$405)-5)))&gt;0,SUMPRODUCT(MAX((職員マスタ!$A$6:$A$405=$B260)*(((職員マスタ!$G$6:$G$405="")+(職員マスタ!$G$6:$G$405&lt;=EOMONTH($AO260,0)))&gt;0)*(((職員マスタ!$H$6:$H$405="")+(職員マスタ!$H$6:$H$405&gt;=$AO260))&gt;0)*(ROW(職員マスタ!$A$6:$A$405)-5))),IFERROR(MATCH($B260,職員マスタ!$A$6:$A$405,0),"")))</f>
        <v/>
      </c>
      <c r="AO260" s="16">
        <f>IF(OR($B260="",$C260="",$D260=""),"",DATE($C260+2018,$D260,1))</f>
        <v/>
      </c>
    </row>
    <row r="261">
      <c r="A261" s="11" t="n"/>
      <c r="B261" s="12" t="n">
        <v>6602502</v>
      </c>
      <c r="C261" s="12" t="n">
        <v>8</v>
      </c>
      <c r="D261" s="12" t="n">
        <v>2</v>
      </c>
      <c r="E261" s="13" t="n">
        <v>263062</v>
      </c>
      <c r="F261" s="12" t="n"/>
      <c r="G261" s="13" t="n"/>
      <c r="H261" s="12" t="n"/>
      <c r="I261" s="12" t="n"/>
      <c r="J261" s="12" t="n"/>
      <c r="K261" s="12" t="n"/>
      <c r="L261" s="11" t="n"/>
      <c r="M261" s="11" t="n"/>
      <c r="N261" s="11" t="n"/>
      <c r="O261" s="11" t="n"/>
      <c r="P261" s="12" t="n"/>
      <c r="Q261" s="11" t="n"/>
      <c r="R261" s="12" t="n"/>
      <c r="S261" s="11" t="n"/>
      <c r="T261" s="12" t="n"/>
      <c r="U261" s="12" t="n"/>
      <c r="V261" s="14">
        <f>IF($AN261="",IF($B261="","",$H261),IF(INDEX(職員マスタ!$B$6:$B$405,$AN261)="",$H261,INDEX(職員マスタ!$B$6:$B$405,$AN261)))</f>
        <v/>
      </c>
      <c r="W261" s="14">
        <f>IF($AN261="",IF($B261="","",$R261),IF(INDEX(職員マスタ!$C$6:$C$405,$AN261)="",$R261,INDEX(職員マスタ!$C$6:$C$405,$AN261)))</f>
        <v/>
      </c>
      <c r="X261" s="14">
        <f>IF($AO261="","","R"&amp;$C261&amp;"."&amp;$D261)</f>
        <v/>
      </c>
      <c r="Y261" s="15">
        <f>IF($AN261="","",IF(INDEX(職員マスタ!$K$6:$K$405,$AN261)="","",INDEX(職員マスタ!$K$6:$K$405,$AN261)))</f>
        <v/>
      </c>
      <c r="Z261" s="14">
        <f>IF(OR($E261="",$Y261=""),"",IF($E261&gt;=$Y261,"×",IF($E261&gt;=$Y261*設定!$C$5,"△","○")))</f>
        <v/>
      </c>
      <c r="AA261" s="15">
        <f>IF($Z261="","",IF($Z261="×",0,IF($Z261="○",ROUNDDOWN($E261*設定!$C$4,0),ROUNDDOWN($E261*ROUND((9*$Y261-9*$E261)/(10*$E261),4),0))))</f>
        <v/>
      </c>
      <c r="AB261" s="13" t="n"/>
      <c r="AC261" s="15">
        <f>IF($B261="","",IF($AB261&lt;&gt;"",$AB261,IF($AA261="","",IF($AA261&lt;=設定!$C$3,0,$AA261))))</f>
        <v/>
      </c>
      <c r="AD261" s="14">
        <f>IF($B261="","",IF(AND($AE261&lt;&gt;"",$AG261="",$AJ261=""),"保留中",IF($AJ261&lt;&gt;"",IF(N($AC261)&gt;0,"支給済","不支給"),IF($AC261="","要確認",IF($AC261=0,"不支給","未処理")))))</f>
        <v/>
      </c>
      <c r="AE261" s="12" t="n"/>
      <c r="AF261" s="11" t="n"/>
      <c r="AG261" s="11" t="n"/>
      <c r="AH261" s="11" t="n"/>
      <c r="AI261" s="14">
        <f>IF(AND($AD261="保留中",$AF261&lt;&gt;""),TODAY()-$AF261,"")</f>
        <v/>
      </c>
      <c r="AJ261" s="12" t="inlineStr">
        <is>
          <t>R8.6</t>
        </is>
      </c>
      <c r="AK261" s="14">
        <f>IF($B261="","",IF($AO261="","対象年月が未入力／","")&amp;IF($B261="","",IF($AN261="","職員マスタに未登録の職員番号／",IF($Y261="","標準報酬月額が未登録／","")&amp;IF(AND($AO261&lt;&gt;"",OR(AND(INDEX(職員マスタ!$G$6:$G$405,$AN261)&lt;&gt;"",INDEX(職員マスタ!$G$6:$G$405,$AN261)&gt;EOMONTH($AO261,0)),AND(INDEX(職員マスタ!$H$6:$H$405,$AN261)&lt;&gt;"",INDEX(職員マスタ!$H$6:$H$405,$AN261)&lt;$AO261))),"対象月が時短期間外／","")&amp;IF(AND(INDEX(職員マスタ!$F$6:$F$405,$AN261)&lt;&gt;"",$AO261&lt;&gt;"",INDEX(職員マスタ!$F$6:$F$405,$AN261)&lt;$AO261),"対象月に子が2歳到達済／","")&amp;IF(AND($H261&lt;&gt;"",INDEX(職員マスタ!$B$6:$B$405,$AN261)&lt;&gt;"",SUBSTITUTE(SUBSTITUTE($H261," ","")," ","")&lt;&gt;SUBSTITUTE(SUBSTITUTE(INDEX(職員マスタ!$B$6:$B$405,$AN261)," ","")," ","")),"氏名がマスタと相違／","")&amp;IF(AND($Q261&lt;&gt;"",INDEX(職員マスタ!$E$6:$E$405,$AN261)&lt;&gt;"",$Q261&lt;&gt;INDEX(職員マスタ!$E$6:$E$405,$AN261)),"子の生年月日がマスタと相違／","")&amp;IF(AND($L261&lt;&gt;"",INDEX(職員マスタ!$G$6:$G$405,$AN261)&lt;&gt;"",$L261&lt;&gt;INDEX(職員マスタ!$G$6:$G$405,$AN261)),"時短開始日がマスタと相違／","")&amp;IF(AND($M261&lt;&gt;"",INDEX(職員マスタ!$H$6:$H$405,$AN261)&lt;&gt;"",$M261&lt;&gt;INDEX(職員マスタ!$H$6:$H$405,$AN261)),"時短終了日がマスタと相違／","")))&amp;IF(AND($B261&lt;&gt;"",$E261=""),"報酬額が未入力／","")&amp;IF(N($U261)&gt;0,"申請書に入力エラーが残っています／","")&amp;IF(AND($B261&lt;&gt;"",$AO261&lt;&gt;""),IF(COUNTIFS($B$6:$B$3005,$B261,$C$6:$C$3005,$C261,$D$6:$D$3005,$D261)&gt;1,"同じ月の請求が重複しています／",""),"")&amp;IF(AND(N($E261)&gt;0,$Z261&lt;&gt;"",$Z261&lt;&gt;"×",$AC261=0,$AB261=""),"計算額が下限以下のため不支給／",""))</f>
        <v/>
      </c>
      <c r="AL261" s="12" t="n"/>
      <c r="AM261" s="14">
        <f>IF($AD261="保留中",COUNTIF($AD$6:$AD261,"保留中"),"")</f>
        <v/>
      </c>
      <c r="AN261" s="14">
        <f>IF($AO261="","",IF(SUMPRODUCT(MAX((職員マスタ!$A$6:$A$405=$B261)*(((職員マスタ!$G$6:$G$405="")+(職員マスタ!$G$6:$G$405&lt;=EOMONTH($AO261,0)))&gt;0)*(((職員マスタ!$H$6:$H$405="")+(職員マスタ!$H$6:$H$405&gt;=$AO261))&gt;0)*(ROW(職員マスタ!$A$6:$A$405)-5)))&gt;0,SUMPRODUCT(MAX((職員マスタ!$A$6:$A$405=$B261)*(((職員マスタ!$G$6:$G$405="")+(職員マスタ!$G$6:$G$405&lt;=EOMONTH($AO261,0)))&gt;0)*(((職員マスタ!$H$6:$H$405="")+(職員マスタ!$H$6:$H$405&gt;=$AO261))&gt;0)*(ROW(職員マスタ!$A$6:$A$405)-5))),IFERROR(MATCH($B261,職員マスタ!$A$6:$A$405,0),"")))</f>
        <v/>
      </c>
      <c r="AO261" s="16">
        <f>IF(OR($B261="",$C261="",$D261=""),"",DATE($C261+2018,$D261,1))</f>
        <v/>
      </c>
    </row>
    <row r="262">
      <c r="A262" s="11" t="n"/>
      <c r="B262" s="12" t="n">
        <v>6602502</v>
      </c>
      <c r="C262" s="12" t="n">
        <v>8</v>
      </c>
      <c r="D262" s="12" t="n">
        <v>3</v>
      </c>
      <c r="E262" s="13" t="n">
        <v>287478</v>
      </c>
      <c r="F262" s="12" t="n"/>
      <c r="G262" s="13" t="n"/>
      <c r="H262" s="12" t="n"/>
      <c r="I262" s="12" t="n"/>
      <c r="J262" s="12" t="n"/>
      <c r="K262" s="12" t="n"/>
      <c r="L262" s="11" t="n"/>
      <c r="M262" s="11" t="n"/>
      <c r="N262" s="11" t="n"/>
      <c r="O262" s="11" t="n"/>
      <c r="P262" s="12" t="n"/>
      <c r="Q262" s="11" t="n"/>
      <c r="R262" s="12" t="n"/>
      <c r="S262" s="11" t="n"/>
      <c r="T262" s="12" t="n"/>
      <c r="U262" s="12" t="n"/>
      <c r="V262" s="14">
        <f>IF($AN262="",IF($B262="","",$H262),IF(INDEX(職員マスタ!$B$6:$B$405,$AN262)="",$H262,INDEX(職員マスタ!$B$6:$B$405,$AN262)))</f>
        <v/>
      </c>
      <c r="W262" s="14">
        <f>IF($AN262="",IF($B262="","",$R262),IF(INDEX(職員マスタ!$C$6:$C$405,$AN262)="",$R262,INDEX(職員マスタ!$C$6:$C$405,$AN262)))</f>
        <v/>
      </c>
      <c r="X262" s="14">
        <f>IF($AO262="","","R"&amp;$C262&amp;"."&amp;$D262)</f>
        <v/>
      </c>
      <c r="Y262" s="15">
        <f>IF($AN262="","",IF(INDEX(職員マスタ!$K$6:$K$405,$AN262)="","",INDEX(職員マスタ!$K$6:$K$405,$AN262)))</f>
        <v/>
      </c>
      <c r="Z262" s="14">
        <f>IF(OR($E262="",$Y262=""),"",IF($E262&gt;=$Y262,"×",IF($E262&gt;=$Y262*設定!$C$5,"△","○")))</f>
        <v/>
      </c>
      <c r="AA262" s="15">
        <f>IF($Z262="","",IF($Z262="×",0,IF($Z262="○",ROUNDDOWN($E262*設定!$C$4,0),ROUNDDOWN($E262*ROUND((9*$Y262-9*$E262)/(10*$E262),4),0))))</f>
        <v/>
      </c>
      <c r="AB262" s="13" t="n"/>
      <c r="AC262" s="15">
        <f>IF($B262="","",IF($AB262&lt;&gt;"",$AB262,IF($AA262="","",IF($AA262&lt;=設定!$C$3,0,$AA262))))</f>
        <v/>
      </c>
      <c r="AD262" s="14">
        <f>IF($B262="","",IF(AND($AE262&lt;&gt;"",$AG262="",$AJ262=""),"保留中",IF($AJ262&lt;&gt;"",IF(N($AC262)&gt;0,"支給済","不支給"),IF($AC262="","要確認",IF($AC262=0,"不支給","未処理")))))</f>
        <v/>
      </c>
      <c r="AE262" s="12" t="n"/>
      <c r="AF262" s="11" t="n"/>
      <c r="AG262" s="11" t="n"/>
      <c r="AH262" s="11" t="n"/>
      <c r="AI262" s="14">
        <f>IF(AND($AD262="保留中",$AF262&lt;&gt;""),TODAY()-$AF262,"")</f>
        <v/>
      </c>
      <c r="AJ262" s="12" t="inlineStr">
        <is>
          <t>R8.5</t>
        </is>
      </c>
      <c r="AK262" s="14">
        <f>IF($B262="","",IF($AO262="","対象年月が未入力／","")&amp;IF($B262="","",IF($AN262="","職員マスタに未登録の職員番号／",IF($Y262="","標準報酬月額が未登録／","")&amp;IF(AND($AO262&lt;&gt;"",OR(AND(INDEX(職員マスタ!$G$6:$G$405,$AN262)&lt;&gt;"",INDEX(職員マスタ!$G$6:$G$405,$AN262)&gt;EOMONTH($AO262,0)),AND(INDEX(職員マスタ!$H$6:$H$405,$AN262)&lt;&gt;"",INDEX(職員マスタ!$H$6:$H$405,$AN262)&lt;$AO262))),"対象月が時短期間外／","")&amp;IF(AND(INDEX(職員マスタ!$F$6:$F$405,$AN262)&lt;&gt;"",$AO262&lt;&gt;"",INDEX(職員マスタ!$F$6:$F$405,$AN262)&lt;$AO262),"対象月に子が2歳到達済／","")&amp;IF(AND($H262&lt;&gt;"",INDEX(職員マスタ!$B$6:$B$405,$AN262)&lt;&gt;"",SUBSTITUTE(SUBSTITUTE($H262," ","")," ","")&lt;&gt;SUBSTITUTE(SUBSTITUTE(INDEX(職員マスタ!$B$6:$B$405,$AN262)," ","")," ","")),"氏名がマスタと相違／","")&amp;IF(AND($Q262&lt;&gt;"",INDEX(職員マスタ!$E$6:$E$405,$AN262)&lt;&gt;"",$Q262&lt;&gt;INDEX(職員マスタ!$E$6:$E$405,$AN262)),"子の生年月日がマスタと相違／","")&amp;IF(AND($L262&lt;&gt;"",INDEX(職員マスタ!$G$6:$G$405,$AN262)&lt;&gt;"",$L262&lt;&gt;INDEX(職員マスタ!$G$6:$G$405,$AN262)),"時短開始日がマスタと相違／","")&amp;IF(AND($M262&lt;&gt;"",INDEX(職員マスタ!$H$6:$H$405,$AN262)&lt;&gt;"",$M262&lt;&gt;INDEX(職員マスタ!$H$6:$H$405,$AN262)),"時短終了日がマスタと相違／","")))&amp;IF(AND($B262&lt;&gt;"",$E262=""),"報酬額が未入力／","")&amp;IF(N($U262)&gt;0,"申請書に入力エラーが残っています／","")&amp;IF(AND($B262&lt;&gt;"",$AO262&lt;&gt;""),IF(COUNTIFS($B$6:$B$3005,$B262,$C$6:$C$3005,$C262,$D$6:$D$3005,$D262)&gt;1,"同じ月の請求が重複しています／",""),"")&amp;IF(AND(N($E262)&gt;0,$Z262&lt;&gt;"",$Z262&lt;&gt;"×",$AC262=0,$AB262=""),"計算額が下限以下のため不支給／",""))</f>
        <v/>
      </c>
      <c r="AL262" s="12" t="n"/>
      <c r="AM262" s="14">
        <f>IF($AD262="保留中",COUNTIF($AD$6:$AD262,"保留中"),"")</f>
        <v/>
      </c>
      <c r="AN262" s="14">
        <f>IF($AO262="","",IF(SUMPRODUCT(MAX((職員マスタ!$A$6:$A$405=$B262)*(((職員マスタ!$G$6:$G$405="")+(職員マスタ!$G$6:$G$405&lt;=EOMONTH($AO262,0)))&gt;0)*(((職員マスタ!$H$6:$H$405="")+(職員マスタ!$H$6:$H$405&gt;=$AO262))&gt;0)*(ROW(職員マスタ!$A$6:$A$405)-5)))&gt;0,SUMPRODUCT(MAX((職員マスタ!$A$6:$A$405=$B262)*(((職員マスタ!$G$6:$G$405="")+(職員マスタ!$G$6:$G$405&lt;=EOMONTH($AO262,0)))&gt;0)*(((職員マスタ!$H$6:$H$405="")+(職員マスタ!$H$6:$H$405&gt;=$AO262))&gt;0)*(ROW(職員マスタ!$A$6:$A$405)-5))),IFERROR(MATCH($B262,職員マスタ!$A$6:$A$405,0),"")))</f>
        <v/>
      </c>
      <c r="AO262" s="16">
        <f>IF(OR($B262="",$C262="",$D262=""),"",DATE($C262+2018,$D262,1))</f>
        <v/>
      </c>
    </row>
    <row r="263">
      <c r="A263" s="11" t="n"/>
      <c r="B263" s="12" t="n">
        <v>6602502</v>
      </c>
      <c r="C263" s="12" t="n">
        <v>8</v>
      </c>
      <c r="D263" s="12" t="n">
        <v>4</v>
      </c>
      <c r="E263" s="13" t="n">
        <v>293274</v>
      </c>
      <c r="F263" s="12" t="n"/>
      <c r="G263" s="13" t="n"/>
      <c r="H263" s="12" t="n"/>
      <c r="I263" s="12" t="n"/>
      <c r="J263" s="12" t="n"/>
      <c r="K263" s="12" t="n"/>
      <c r="L263" s="11" t="n"/>
      <c r="M263" s="11" t="n"/>
      <c r="N263" s="11" t="n"/>
      <c r="O263" s="11" t="n"/>
      <c r="P263" s="12" t="n"/>
      <c r="Q263" s="11" t="n"/>
      <c r="R263" s="12" t="n"/>
      <c r="S263" s="11" t="n"/>
      <c r="T263" s="12" t="n"/>
      <c r="U263" s="12" t="n"/>
      <c r="V263" s="14">
        <f>IF($AN263="",IF($B263="","",$H263),IF(INDEX(職員マスタ!$B$6:$B$405,$AN263)="",$H263,INDEX(職員マスタ!$B$6:$B$405,$AN263)))</f>
        <v/>
      </c>
      <c r="W263" s="14">
        <f>IF($AN263="",IF($B263="","",$R263),IF(INDEX(職員マスタ!$C$6:$C$405,$AN263)="",$R263,INDEX(職員マスタ!$C$6:$C$405,$AN263)))</f>
        <v/>
      </c>
      <c r="X263" s="14">
        <f>IF($AO263="","","R"&amp;$C263&amp;"."&amp;$D263)</f>
        <v/>
      </c>
      <c r="Y263" s="15">
        <f>IF($AN263="","",IF(INDEX(職員マスタ!$K$6:$K$405,$AN263)="","",INDEX(職員マスタ!$K$6:$K$405,$AN263)))</f>
        <v/>
      </c>
      <c r="Z263" s="14">
        <f>IF(OR($E263="",$Y263=""),"",IF($E263&gt;=$Y263,"×",IF($E263&gt;=$Y263*設定!$C$5,"△","○")))</f>
        <v/>
      </c>
      <c r="AA263" s="15">
        <f>IF($Z263="","",IF($Z263="×",0,IF($Z263="○",ROUNDDOWN($E263*設定!$C$4,0),ROUNDDOWN($E263*ROUND((9*$Y263-9*$E263)/(10*$E263),4),0))))</f>
        <v/>
      </c>
      <c r="AB263" s="13" t="n"/>
      <c r="AC263" s="15">
        <f>IF($B263="","",IF($AB263&lt;&gt;"",$AB263,IF($AA263="","",IF($AA263&lt;=設定!$C$3,0,$AA263))))</f>
        <v/>
      </c>
      <c r="AD263" s="14">
        <f>IF($B263="","",IF(AND($AE263&lt;&gt;"",$AG263="",$AJ263=""),"保留中",IF($AJ263&lt;&gt;"",IF(N($AC263)&gt;0,"支給済","不支給"),IF($AC263="","要確認",IF($AC263=0,"不支給","未処理")))))</f>
        <v/>
      </c>
      <c r="AE263" s="12" t="n"/>
      <c r="AF263" s="11" t="n"/>
      <c r="AG263" s="11" t="n"/>
      <c r="AH263" s="11" t="n"/>
      <c r="AI263" s="14">
        <f>IF(AND($AD263="保留中",$AF263&lt;&gt;""),TODAY()-$AF263,"")</f>
        <v/>
      </c>
      <c r="AJ263" s="12" t="inlineStr">
        <is>
          <t>R8.10</t>
        </is>
      </c>
      <c r="AK263" s="14">
        <f>IF($B263="","",IF($AO263="","対象年月が未入力／","")&amp;IF($B263="","",IF($AN263="","職員マスタに未登録の職員番号／",IF($Y263="","標準報酬月額が未登録／","")&amp;IF(AND($AO263&lt;&gt;"",OR(AND(INDEX(職員マスタ!$G$6:$G$405,$AN263)&lt;&gt;"",INDEX(職員マスタ!$G$6:$G$405,$AN263)&gt;EOMONTH($AO263,0)),AND(INDEX(職員マスタ!$H$6:$H$405,$AN263)&lt;&gt;"",INDEX(職員マスタ!$H$6:$H$405,$AN263)&lt;$AO263))),"対象月が時短期間外／","")&amp;IF(AND(INDEX(職員マスタ!$F$6:$F$405,$AN263)&lt;&gt;"",$AO263&lt;&gt;"",INDEX(職員マスタ!$F$6:$F$405,$AN263)&lt;$AO263),"対象月に子が2歳到達済／","")&amp;IF(AND($H263&lt;&gt;"",INDEX(職員マスタ!$B$6:$B$405,$AN263)&lt;&gt;"",SUBSTITUTE(SUBSTITUTE($H263," ","")," ","")&lt;&gt;SUBSTITUTE(SUBSTITUTE(INDEX(職員マスタ!$B$6:$B$405,$AN263)," ","")," ","")),"氏名がマスタと相違／","")&amp;IF(AND($Q263&lt;&gt;"",INDEX(職員マスタ!$E$6:$E$405,$AN263)&lt;&gt;"",$Q263&lt;&gt;INDEX(職員マスタ!$E$6:$E$405,$AN263)),"子の生年月日がマスタと相違／","")&amp;IF(AND($L263&lt;&gt;"",INDEX(職員マスタ!$G$6:$G$405,$AN263)&lt;&gt;"",$L263&lt;&gt;INDEX(職員マスタ!$G$6:$G$405,$AN263)),"時短開始日がマスタと相違／","")&amp;IF(AND($M263&lt;&gt;"",INDEX(職員マスタ!$H$6:$H$405,$AN263)&lt;&gt;"",$M263&lt;&gt;INDEX(職員マスタ!$H$6:$H$405,$AN263)),"時短終了日がマスタと相違／","")))&amp;IF(AND($B263&lt;&gt;"",$E263=""),"報酬額が未入力／","")&amp;IF(N($U263)&gt;0,"申請書に入力エラーが残っています／","")&amp;IF(AND($B263&lt;&gt;"",$AO263&lt;&gt;""),IF(COUNTIFS($B$6:$B$3005,$B263,$C$6:$C$3005,$C263,$D$6:$D$3005,$D263)&gt;1,"同じ月の請求が重複しています／",""),"")&amp;IF(AND(N($E263)&gt;0,$Z263&lt;&gt;"",$Z263&lt;&gt;"×",$AC263=0,$AB263=""),"計算額が下限以下のため不支給／",""))</f>
        <v/>
      </c>
      <c r="AL263" s="12" t="n"/>
      <c r="AM263" s="14">
        <f>IF($AD263="保留中",COUNTIF($AD$6:$AD263,"保留中"),"")</f>
        <v/>
      </c>
      <c r="AN263" s="14">
        <f>IF($AO263="","",IF(SUMPRODUCT(MAX((職員マスタ!$A$6:$A$405=$B263)*(((職員マスタ!$G$6:$G$405="")+(職員マスタ!$G$6:$G$405&lt;=EOMONTH($AO263,0)))&gt;0)*(((職員マスタ!$H$6:$H$405="")+(職員マスタ!$H$6:$H$405&gt;=$AO263))&gt;0)*(ROW(職員マスタ!$A$6:$A$405)-5)))&gt;0,SUMPRODUCT(MAX((職員マスタ!$A$6:$A$405=$B263)*(((職員マスタ!$G$6:$G$405="")+(職員マスタ!$G$6:$G$405&lt;=EOMONTH($AO263,0)))&gt;0)*(((職員マスタ!$H$6:$H$405="")+(職員マスタ!$H$6:$H$405&gt;=$AO263))&gt;0)*(ROW(職員マスタ!$A$6:$A$405)-5))),IFERROR(MATCH($B263,職員マスタ!$A$6:$A$405,0),"")))</f>
        <v/>
      </c>
      <c r="AO263" s="16">
        <f>IF(OR($B263="",$C263="",$D263=""),"",DATE($C263+2018,$D263,1))</f>
        <v/>
      </c>
    </row>
    <row r="264">
      <c r="A264" s="11" t="n"/>
      <c r="B264" s="12" t="n">
        <v>6602502</v>
      </c>
      <c r="C264" s="12" t="n">
        <v>8</v>
      </c>
      <c r="D264" s="12" t="n">
        <v>5</v>
      </c>
      <c r="E264" s="13" t="n">
        <v>295776</v>
      </c>
      <c r="F264" s="12" t="n"/>
      <c r="G264" s="13" t="n"/>
      <c r="H264" s="12" t="n"/>
      <c r="I264" s="12" t="n"/>
      <c r="J264" s="12" t="n"/>
      <c r="K264" s="12" t="n"/>
      <c r="L264" s="11" t="n"/>
      <c r="M264" s="11" t="n"/>
      <c r="N264" s="11" t="n"/>
      <c r="O264" s="11" t="n"/>
      <c r="P264" s="12" t="n"/>
      <c r="Q264" s="11" t="n"/>
      <c r="R264" s="12" t="n"/>
      <c r="S264" s="11" t="n"/>
      <c r="T264" s="12" t="n"/>
      <c r="U264" s="12" t="n"/>
      <c r="V264" s="14">
        <f>IF($AN264="",IF($B264="","",$H264),IF(INDEX(職員マスタ!$B$6:$B$405,$AN264)="",$H264,INDEX(職員マスタ!$B$6:$B$405,$AN264)))</f>
        <v/>
      </c>
      <c r="W264" s="14">
        <f>IF($AN264="",IF($B264="","",$R264),IF(INDEX(職員マスタ!$C$6:$C$405,$AN264)="",$R264,INDEX(職員マスタ!$C$6:$C$405,$AN264)))</f>
        <v/>
      </c>
      <c r="X264" s="14">
        <f>IF($AO264="","","R"&amp;$C264&amp;"."&amp;$D264)</f>
        <v/>
      </c>
      <c r="Y264" s="15">
        <f>IF($AN264="","",IF(INDEX(職員マスタ!$K$6:$K$405,$AN264)="","",INDEX(職員マスタ!$K$6:$K$405,$AN264)))</f>
        <v/>
      </c>
      <c r="Z264" s="14">
        <f>IF(OR($E264="",$Y264=""),"",IF($E264&gt;=$Y264,"×",IF($E264&gt;=$Y264*設定!$C$5,"△","○")))</f>
        <v/>
      </c>
      <c r="AA264" s="15">
        <f>IF($Z264="","",IF($Z264="×",0,IF($Z264="○",ROUNDDOWN($E264*設定!$C$4,0),ROUNDDOWN($E264*ROUND((9*$Y264-9*$E264)/(10*$E264),4),0))))</f>
        <v/>
      </c>
      <c r="AB264" s="13" t="n"/>
      <c r="AC264" s="15">
        <f>IF($B264="","",IF($AB264&lt;&gt;"",$AB264,IF($AA264="","",IF($AA264&lt;=設定!$C$3,0,$AA264))))</f>
        <v/>
      </c>
      <c r="AD264" s="14">
        <f>IF($B264="","",IF(AND($AE264&lt;&gt;"",$AG264="",$AJ264=""),"保留中",IF($AJ264&lt;&gt;"",IF(N($AC264)&gt;0,"支給済","不支給"),IF($AC264="","要確認",IF($AC264=0,"不支給","未処理")))))</f>
        <v/>
      </c>
      <c r="AE264" s="12" t="n"/>
      <c r="AF264" s="11" t="n"/>
      <c r="AG264" s="11" t="n"/>
      <c r="AH264" s="11" t="n"/>
      <c r="AI264" s="14">
        <f>IF(AND($AD264="保留中",$AF264&lt;&gt;""),TODAY()-$AF264,"")</f>
        <v/>
      </c>
      <c r="AJ264" s="12" t="inlineStr">
        <is>
          <t>R8.10</t>
        </is>
      </c>
      <c r="AK264" s="14">
        <f>IF($B264="","",IF($AO264="","対象年月が未入力／","")&amp;IF($B264="","",IF($AN264="","職員マスタに未登録の職員番号／",IF($Y264="","標準報酬月額が未登録／","")&amp;IF(AND($AO264&lt;&gt;"",OR(AND(INDEX(職員マスタ!$G$6:$G$405,$AN264)&lt;&gt;"",INDEX(職員マスタ!$G$6:$G$405,$AN264)&gt;EOMONTH($AO264,0)),AND(INDEX(職員マスタ!$H$6:$H$405,$AN264)&lt;&gt;"",INDEX(職員マスタ!$H$6:$H$405,$AN264)&lt;$AO264))),"対象月が時短期間外／","")&amp;IF(AND(INDEX(職員マスタ!$F$6:$F$405,$AN264)&lt;&gt;"",$AO264&lt;&gt;"",INDEX(職員マスタ!$F$6:$F$405,$AN264)&lt;$AO264),"対象月に子が2歳到達済／","")&amp;IF(AND($H264&lt;&gt;"",INDEX(職員マスタ!$B$6:$B$405,$AN264)&lt;&gt;"",SUBSTITUTE(SUBSTITUTE($H264," ","")," ","")&lt;&gt;SUBSTITUTE(SUBSTITUTE(INDEX(職員マスタ!$B$6:$B$405,$AN264)," ","")," ","")),"氏名がマスタと相違／","")&amp;IF(AND($Q264&lt;&gt;"",INDEX(職員マスタ!$E$6:$E$405,$AN264)&lt;&gt;"",$Q264&lt;&gt;INDEX(職員マスタ!$E$6:$E$405,$AN264)),"子の生年月日がマスタと相違／","")&amp;IF(AND($L264&lt;&gt;"",INDEX(職員マスタ!$G$6:$G$405,$AN264)&lt;&gt;"",$L264&lt;&gt;INDEX(職員マスタ!$G$6:$G$405,$AN264)),"時短開始日がマスタと相違／","")&amp;IF(AND($M264&lt;&gt;"",INDEX(職員マスタ!$H$6:$H$405,$AN264)&lt;&gt;"",$M264&lt;&gt;INDEX(職員マスタ!$H$6:$H$405,$AN264)),"時短終了日がマスタと相違／","")))&amp;IF(AND($B264&lt;&gt;"",$E264=""),"報酬額が未入力／","")&amp;IF(N($U264)&gt;0,"申請書に入力エラーが残っています／","")&amp;IF(AND($B264&lt;&gt;"",$AO264&lt;&gt;""),IF(COUNTIFS($B$6:$B$3005,$B264,$C$6:$C$3005,$C264,$D$6:$D$3005,$D264)&gt;1,"同じ月の請求が重複しています／",""),"")&amp;IF(AND(N($E264)&gt;0,$Z264&lt;&gt;"",$Z264&lt;&gt;"×",$AC264=0,$AB264=""),"計算額が下限以下のため不支給／",""))</f>
        <v/>
      </c>
      <c r="AL264" s="12" t="n"/>
      <c r="AM264" s="14">
        <f>IF($AD264="保留中",COUNTIF($AD$6:$AD264,"保留中"),"")</f>
        <v/>
      </c>
      <c r="AN264" s="14">
        <f>IF($AO264="","",IF(SUMPRODUCT(MAX((職員マスタ!$A$6:$A$405=$B264)*(((職員マスタ!$G$6:$G$405="")+(職員マスタ!$G$6:$G$405&lt;=EOMONTH($AO264,0)))&gt;0)*(((職員マスタ!$H$6:$H$405="")+(職員マスタ!$H$6:$H$405&gt;=$AO264))&gt;0)*(ROW(職員マスタ!$A$6:$A$405)-5)))&gt;0,SUMPRODUCT(MAX((職員マスタ!$A$6:$A$405=$B264)*(((職員マスタ!$G$6:$G$405="")+(職員マスタ!$G$6:$G$405&lt;=EOMONTH($AO264,0)))&gt;0)*(((職員マスタ!$H$6:$H$405="")+(職員マスタ!$H$6:$H$405&gt;=$AO264))&gt;0)*(ROW(職員マスタ!$A$6:$A$405)-5))),IFERROR(MATCH($B264,職員マスタ!$A$6:$A$405,0),"")))</f>
        <v/>
      </c>
      <c r="AO264" s="16">
        <f>IF(OR($B264="",$C264="",$D264=""),"",DATE($C264+2018,$D264,1))</f>
        <v/>
      </c>
    </row>
    <row r="265">
      <c r="A265" s="11" t="n"/>
      <c r="B265" s="12" t="n">
        <v>6602502</v>
      </c>
      <c r="C265" s="12" t="n">
        <v>8</v>
      </c>
      <c r="D265" s="12" t="n">
        <v>6</v>
      </c>
      <c r="E265" s="13" t="n">
        <v>298278</v>
      </c>
      <c r="F265" s="12" t="n"/>
      <c r="G265" s="13" t="n"/>
      <c r="H265" s="12" t="n"/>
      <c r="I265" s="12" t="n"/>
      <c r="J265" s="12" t="n"/>
      <c r="K265" s="12" t="n"/>
      <c r="L265" s="11" t="n"/>
      <c r="M265" s="11" t="n"/>
      <c r="N265" s="11" t="n"/>
      <c r="O265" s="11" t="n"/>
      <c r="P265" s="12" t="n"/>
      <c r="Q265" s="11" t="n"/>
      <c r="R265" s="12" t="n"/>
      <c r="S265" s="11" t="n"/>
      <c r="T265" s="12" t="n"/>
      <c r="U265" s="12" t="n"/>
      <c r="V265" s="14">
        <f>IF($AN265="",IF($B265="","",$H265),IF(INDEX(職員マスタ!$B$6:$B$405,$AN265)="",$H265,INDEX(職員マスタ!$B$6:$B$405,$AN265)))</f>
        <v/>
      </c>
      <c r="W265" s="14">
        <f>IF($AN265="",IF($B265="","",$R265),IF(INDEX(職員マスタ!$C$6:$C$405,$AN265)="",$R265,INDEX(職員マスタ!$C$6:$C$405,$AN265)))</f>
        <v/>
      </c>
      <c r="X265" s="14">
        <f>IF($AO265="","","R"&amp;$C265&amp;"."&amp;$D265)</f>
        <v/>
      </c>
      <c r="Y265" s="15">
        <f>IF($AN265="","",IF(INDEX(職員マスタ!$K$6:$K$405,$AN265)="","",INDEX(職員マスタ!$K$6:$K$405,$AN265)))</f>
        <v/>
      </c>
      <c r="Z265" s="14">
        <f>IF(OR($E265="",$Y265=""),"",IF($E265&gt;=$Y265,"×",IF($E265&gt;=$Y265*設定!$C$5,"△","○")))</f>
        <v/>
      </c>
      <c r="AA265" s="15">
        <f>IF($Z265="","",IF($Z265="×",0,IF($Z265="○",ROUNDDOWN($E265*設定!$C$4,0),ROUNDDOWN($E265*ROUND((9*$Y265-9*$E265)/(10*$E265),4),0))))</f>
        <v/>
      </c>
      <c r="AB265" s="13" t="n"/>
      <c r="AC265" s="15">
        <f>IF($B265="","",IF($AB265&lt;&gt;"",$AB265,IF($AA265="","",IF($AA265&lt;=設定!$C$3,0,$AA265))))</f>
        <v/>
      </c>
      <c r="AD265" s="14">
        <f>IF($B265="","",IF(AND($AE265&lt;&gt;"",$AG265="",$AJ265=""),"保留中",IF($AJ265&lt;&gt;"",IF(N($AC265)&gt;0,"支給済","不支給"),IF($AC265="","要確認",IF($AC265=0,"不支給","未処理")))))</f>
        <v/>
      </c>
      <c r="AE265" s="12" t="n"/>
      <c r="AF265" s="11" t="n"/>
      <c r="AG265" s="11" t="n"/>
      <c r="AH265" s="11" t="n"/>
      <c r="AI265" s="14">
        <f>IF(AND($AD265="保留中",$AF265&lt;&gt;""),TODAY()-$AF265,"")</f>
        <v/>
      </c>
      <c r="AJ265" s="12" t="inlineStr">
        <is>
          <t>R8.10</t>
        </is>
      </c>
      <c r="AK265" s="14">
        <f>IF($B265="","",IF($AO265="","対象年月が未入力／","")&amp;IF($B265="","",IF($AN265="","職員マスタに未登録の職員番号／",IF($Y265="","標準報酬月額が未登録／","")&amp;IF(AND($AO265&lt;&gt;"",OR(AND(INDEX(職員マスタ!$G$6:$G$405,$AN265)&lt;&gt;"",INDEX(職員マスタ!$G$6:$G$405,$AN265)&gt;EOMONTH($AO265,0)),AND(INDEX(職員マスタ!$H$6:$H$405,$AN265)&lt;&gt;"",INDEX(職員マスタ!$H$6:$H$405,$AN265)&lt;$AO265))),"対象月が時短期間外／","")&amp;IF(AND(INDEX(職員マスタ!$F$6:$F$405,$AN265)&lt;&gt;"",$AO265&lt;&gt;"",INDEX(職員マスタ!$F$6:$F$405,$AN265)&lt;$AO265),"対象月に子が2歳到達済／","")&amp;IF(AND($H265&lt;&gt;"",INDEX(職員マスタ!$B$6:$B$405,$AN265)&lt;&gt;"",SUBSTITUTE(SUBSTITUTE($H265," ","")," ","")&lt;&gt;SUBSTITUTE(SUBSTITUTE(INDEX(職員マスタ!$B$6:$B$405,$AN265)," ","")," ","")),"氏名がマスタと相違／","")&amp;IF(AND($Q265&lt;&gt;"",INDEX(職員マスタ!$E$6:$E$405,$AN265)&lt;&gt;"",$Q265&lt;&gt;INDEX(職員マスタ!$E$6:$E$405,$AN265)),"子の生年月日がマスタと相違／","")&amp;IF(AND($L265&lt;&gt;"",INDEX(職員マスタ!$G$6:$G$405,$AN265)&lt;&gt;"",$L265&lt;&gt;INDEX(職員マスタ!$G$6:$G$405,$AN265)),"時短開始日がマスタと相違／","")&amp;IF(AND($M265&lt;&gt;"",INDEX(職員マスタ!$H$6:$H$405,$AN265)&lt;&gt;"",$M265&lt;&gt;INDEX(職員マスタ!$H$6:$H$405,$AN265)),"時短終了日がマスタと相違／","")))&amp;IF(AND($B265&lt;&gt;"",$E265=""),"報酬額が未入力／","")&amp;IF(N($U265)&gt;0,"申請書に入力エラーが残っています／","")&amp;IF(AND($B265&lt;&gt;"",$AO265&lt;&gt;""),IF(COUNTIFS($B$6:$B$3005,$B265,$C$6:$C$3005,$C265,$D$6:$D$3005,$D265)&gt;1,"同じ月の請求が重複しています／",""),"")&amp;IF(AND(N($E265)&gt;0,$Z265&lt;&gt;"",$Z265&lt;&gt;"×",$AC265=0,$AB265=""),"計算額が下限以下のため不支給／",""))</f>
        <v/>
      </c>
      <c r="AL265" s="12" t="n"/>
      <c r="AM265" s="14">
        <f>IF($AD265="保留中",COUNTIF($AD$6:$AD265,"保留中"),"")</f>
        <v/>
      </c>
      <c r="AN265" s="14">
        <f>IF($AO265="","",IF(SUMPRODUCT(MAX((職員マスタ!$A$6:$A$405=$B265)*(((職員マスタ!$G$6:$G$405="")+(職員マスタ!$G$6:$G$405&lt;=EOMONTH($AO265,0)))&gt;0)*(((職員マスタ!$H$6:$H$405="")+(職員マスタ!$H$6:$H$405&gt;=$AO265))&gt;0)*(ROW(職員マスタ!$A$6:$A$405)-5)))&gt;0,SUMPRODUCT(MAX((職員マスタ!$A$6:$A$405=$B265)*(((職員マスタ!$G$6:$G$405="")+(職員マスタ!$G$6:$G$405&lt;=EOMONTH($AO265,0)))&gt;0)*(((職員マスタ!$H$6:$H$405="")+(職員マスタ!$H$6:$H$405&gt;=$AO265))&gt;0)*(ROW(職員マスタ!$A$6:$A$405)-5))),IFERROR(MATCH($B265,職員マスタ!$A$6:$A$405,0),"")))</f>
        <v/>
      </c>
      <c r="AO265" s="16">
        <f>IF(OR($B265="",$C265="",$D265=""),"",DATE($C265+2018,$D265,1))</f>
        <v/>
      </c>
    </row>
    <row r="266">
      <c r="A266" s="11" t="n"/>
      <c r="B266" s="12" t="n">
        <v>6602502</v>
      </c>
      <c r="C266" s="12" t="n">
        <v>8</v>
      </c>
      <c r="D266" s="12" t="n">
        <v>8</v>
      </c>
      <c r="E266" s="13" t="n">
        <v>293274</v>
      </c>
      <c r="F266" s="12" t="n"/>
      <c r="G266" s="13" t="n"/>
      <c r="H266" s="12" t="n"/>
      <c r="I266" s="12" t="n"/>
      <c r="J266" s="12" t="n"/>
      <c r="K266" s="12" t="n"/>
      <c r="L266" s="11" t="n"/>
      <c r="M266" s="11" t="n"/>
      <c r="N266" s="11" t="n"/>
      <c r="O266" s="11" t="n"/>
      <c r="P266" s="12" t="n"/>
      <c r="Q266" s="11" t="n"/>
      <c r="R266" s="12" t="n"/>
      <c r="S266" s="11" t="n"/>
      <c r="T266" s="12" t="n"/>
      <c r="U266" s="12" t="n"/>
      <c r="V266" s="14">
        <f>IF($AN266="",IF($B266="","",$H266),IF(INDEX(職員マスタ!$B$6:$B$405,$AN266)="",$H266,INDEX(職員マスタ!$B$6:$B$405,$AN266)))</f>
        <v/>
      </c>
      <c r="W266" s="14">
        <f>IF($AN266="",IF($B266="","",$R266),IF(INDEX(職員マスタ!$C$6:$C$405,$AN266)="",$R266,INDEX(職員マスタ!$C$6:$C$405,$AN266)))</f>
        <v/>
      </c>
      <c r="X266" s="14">
        <f>IF($AO266="","","R"&amp;$C266&amp;"."&amp;$D266)</f>
        <v/>
      </c>
      <c r="Y266" s="15">
        <f>IF($AN266="","",IF(INDEX(職員マスタ!$K$6:$K$405,$AN266)="","",INDEX(職員マスタ!$K$6:$K$405,$AN266)))</f>
        <v/>
      </c>
      <c r="Z266" s="14">
        <f>IF(OR($E266="",$Y266=""),"",IF($E266&gt;=$Y266,"×",IF($E266&gt;=$Y266*設定!$C$5,"△","○")))</f>
        <v/>
      </c>
      <c r="AA266" s="15">
        <f>IF($Z266="","",IF($Z266="×",0,IF($Z266="○",ROUNDDOWN($E266*設定!$C$4,0),ROUNDDOWN($E266*ROUND((9*$Y266-9*$E266)/(10*$E266),4),0))))</f>
        <v/>
      </c>
      <c r="AB266" s="13" t="n"/>
      <c r="AC266" s="15">
        <f>IF($B266="","",IF($AB266&lt;&gt;"",$AB266,IF($AA266="","",IF($AA266&lt;=設定!$C$3,0,$AA266))))</f>
        <v/>
      </c>
      <c r="AD266" s="14">
        <f>IF($B266="","",IF(AND($AE266&lt;&gt;"",$AG266="",$AJ266=""),"保留中",IF($AJ266&lt;&gt;"",IF(N($AC266)&gt;0,"支給済","不支給"),IF($AC266="","要確認",IF($AC266=0,"不支給","未処理")))))</f>
        <v/>
      </c>
      <c r="AE266" s="12" t="n"/>
      <c r="AF266" s="11" t="n"/>
      <c r="AG266" s="11" t="n"/>
      <c r="AH266" s="11" t="n"/>
      <c r="AI266" s="14">
        <f>IF(AND($AD266="保留中",$AF266&lt;&gt;""),TODAY()-$AF266,"")</f>
        <v/>
      </c>
      <c r="AJ266" s="12" t="inlineStr">
        <is>
          <t>R8.10</t>
        </is>
      </c>
      <c r="AK266" s="14">
        <f>IF($B266="","",IF($AO266="","対象年月が未入力／","")&amp;IF($B266="","",IF($AN266="","職員マスタに未登録の職員番号／",IF($Y266="","標準報酬月額が未登録／","")&amp;IF(AND($AO266&lt;&gt;"",OR(AND(INDEX(職員マスタ!$G$6:$G$405,$AN266)&lt;&gt;"",INDEX(職員マスタ!$G$6:$G$405,$AN266)&gt;EOMONTH($AO266,0)),AND(INDEX(職員マスタ!$H$6:$H$405,$AN266)&lt;&gt;"",INDEX(職員マスタ!$H$6:$H$405,$AN266)&lt;$AO266))),"対象月が時短期間外／","")&amp;IF(AND(INDEX(職員マスタ!$F$6:$F$405,$AN266)&lt;&gt;"",$AO266&lt;&gt;"",INDEX(職員マスタ!$F$6:$F$405,$AN266)&lt;$AO266),"対象月に子が2歳到達済／","")&amp;IF(AND($H266&lt;&gt;"",INDEX(職員マスタ!$B$6:$B$405,$AN266)&lt;&gt;"",SUBSTITUTE(SUBSTITUTE($H266," ","")," ","")&lt;&gt;SUBSTITUTE(SUBSTITUTE(INDEX(職員マスタ!$B$6:$B$405,$AN266)," ","")," ","")),"氏名がマスタと相違／","")&amp;IF(AND($Q266&lt;&gt;"",INDEX(職員マスタ!$E$6:$E$405,$AN266)&lt;&gt;"",$Q266&lt;&gt;INDEX(職員マスタ!$E$6:$E$405,$AN266)),"子の生年月日がマスタと相違／","")&amp;IF(AND($L266&lt;&gt;"",INDEX(職員マスタ!$G$6:$G$405,$AN266)&lt;&gt;"",$L266&lt;&gt;INDEX(職員マスタ!$G$6:$G$405,$AN266)),"時短開始日がマスタと相違／","")&amp;IF(AND($M266&lt;&gt;"",INDEX(職員マスタ!$H$6:$H$405,$AN266)&lt;&gt;"",$M266&lt;&gt;INDEX(職員マスタ!$H$6:$H$405,$AN266)),"時短終了日がマスタと相違／","")))&amp;IF(AND($B266&lt;&gt;"",$E266=""),"報酬額が未入力／","")&amp;IF(N($U266)&gt;0,"申請書に入力エラーが残っています／","")&amp;IF(AND($B266&lt;&gt;"",$AO266&lt;&gt;""),IF(COUNTIFS($B$6:$B$3005,$B266,$C$6:$C$3005,$C266,$D$6:$D$3005,$D266)&gt;1,"同じ月の請求が重複しています／",""),"")&amp;IF(AND(N($E266)&gt;0,$Z266&lt;&gt;"",$Z266&lt;&gt;"×",$AC266=0,$AB266=""),"計算額が下限以下のため不支給／",""))</f>
        <v/>
      </c>
      <c r="AL266" s="12" t="n"/>
      <c r="AM266" s="14">
        <f>IF($AD266="保留中",COUNTIF($AD$6:$AD266,"保留中"),"")</f>
        <v/>
      </c>
      <c r="AN266" s="14">
        <f>IF($AO266="","",IF(SUMPRODUCT(MAX((職員マスタ!$A$6:$A$405=$B266)*(((職員マスタ!$G$6:$G$405="")+(職員マスタ!$G$6:$G$405&lt;=EOMONTH($AO266,0)))&gt;0)*(((職員マスタ!$H$6:$H$405="")+(職員マスタ!$H$6:$H$405&gt;=$AO266))&gt;0)*(ROW(職員マスタ!$A$6:$A$405)-5)))&gt;0,SUMPRODUCT(MAX((職員マスタ!$A$6:$A$405=$B266)*(((職員マスタ!$G$6:$G$405="")+(職員マスタ!$G$6:$G$405&lt;=EOMONTH($AO266,0)))&gt;0)*(((職員マスタ!$H$6:$H$405="")+(職員マスタ!$H$6:$H$405&gt;=$AO266))&gt;0)*(ROW(職員マスタ!$A$6:$A$405)-5))),IFERROR(MATCH($B266,職員マスタ!$A$6:$A$405,0),"")))</f>
        <v/>
      </c>
      <c r="AO266" s="16">
        <f>IF(OR($B266="",$C266="",$D266=""),"",DATE($C266+2018,$D266,1))</f>
        <v/>
      </c>
    </row>
    <row r="267">
      <c r="A267" s="11" t="n"/>
      <c r="B267" s="12" t="n">
        <v>6602536</v>
      </c>
      <c r="C267" s="12" t="n">
        <v>7</v>
      </c>
      <c r="D267" s="12" t="n">
        <v>4</v>
      </c>
      <c r="E267" s="13" t="n">
        <v>183726</v>
      </c>
      <c r="F267" s="12" t="n"/>
      <c r="G267" s="13" t="n"/>
      <c r="H267" s="12" t="n"/>
      <c r="I267" s="12" t="n"/>
      <c r="J267" s="12" t="n"/>
      <c r="K267" s="12" t="n"/>
      <c r="L267" s="11" t="n"/>
      <c r="M267" s="11" t="n"/>
      <c r="N267" s="11" t="n"/>
      <c r="O267" s="11" t="n"/>
      <c r="P267" s="12" t="n"/>
      <c r="Q267" s="11" t="n"/>
      <c r="R267" s="12" t="n"/>
      <c r="S267" s="11" t="n"/>
      <c r="T267" s="12" t="n"/>
      <c r="U267" s="12" t="n"/>
      <c r="V267" s="14">
        <f>IF($AN267="",IF($B267="","",$H267),IF(INDEX(職員マスタ!$B$6:$B$405,$AN267)="",$H267,INDEX(職員マスタ!$B$6:$B$405,$AN267)))</f>
        <v/>
      </c>
      <c r="W267" s="14">
        <f>IF($AN267="",IF($B267="","",$R267),IF(INDEX(職員マスタ!$C$6:$C$405,$AN267)="",$R267,INDEX(職員マスタ!$C$6:$C$405,$AN267)))</f>
        <v/>
      </c>
      <c r="X267" s="14">
        <f>IF($AO267="","","R"&amp;$C267&amp;"."&amp;$D267)</f>
        <v/>
      </c>
      <c r="Y267" s="15">
        <f>IF($AN267="","",IF(INDEX(職員マスタ!$K$6:$K$405,$AN267)="","",INDEX(職員マスタ!$K$6:$K$405,$AN267)))</f>
        <v/>
      </c>
      <c r="Z267" s="14">
        <f>IF(OR($E267="",$Y267=""),"",IF($E267&gt;=$Y267,"×",IF($E267&gt;=$Y267*設定!$C$5,"△","○")))</f>
        <v/>
      </c>
      <c r="AA267" s="15">
        <f>IF($Z267="","",IF($Z267="×",0,IF($Z267="○",ROUNDDOWN($E267*設定!$C$4,0),ROUNDDOWN($E267*ROUND((9*$Y267-9*$E267)/(10*$E267),4),0))))</f>
        <v/>
      </c>
      <c r="AB267" s="13" t="n"/>
      <c r="AC267" s="15">
        <f>IF($B267="","",IF($AB267&lt;&gt;"",$AB267,IF($AA267="","",IF($AA267&lt;=設定!$C$3,0,$AA267))))</f>
        <v/>
      </c>
      <c r="AD267" s="14">
        <f>IF($B267="","",IF(AND($AE267&lt;&gt;"",$AG267="",$AJ267=""),"保留中",IF($AJ267&lt;&gt;"",IF(N($AC267)&gt;0,"支給済","不支給"),IF($AC267="","要確認",IF($AC267=0,"不支給","未処理")))))</f>
        <v/>
      </c>
      <c r="AE267" s="12" t="n"/>
      <c r="AF267" s="11" t="n"/>
      <c r="AG267" s="11" t="n"/>
      <c r="AH267" s="11" t="n"/>
      <c r="AI267" s="14">
        <f>IF(AND($AD267="保留中",$AF267&lt;&gt;""),TODAY()-$AF267,"")</f>
        <v/>
      </c>
      <c r="AJ267" s="12" t="inlineStr">
        <is>
          <t>R7.8</t>
        </is>
      </c>
      <c r="AK267" s="14">
        <f>IF($B267="","",IF($AO267="","対象年月が未入力／","")&amp;IF($B267="","",IF($AN267="","職員マスタに未登録の職員番号／",IF($Y267="","標準報酬月額が未登録／","")&amp;IF(AND($AO267&lt;&gt;"",OR(AND(INDEX(職員マスタ!$G$6:$G$405,$AN267)&lt;&gt;"",INDEX(職員マスタ!$G$6:$G$405,$AN267)&gt;EOMONTH($AO267,0)),AND(INDEX(職員マスタ!$H$6:$H$405,$AN267)&lt;&gt;"",INDEX(職員マスタ!$H$6:$H$405,$AN267)&lt;$AO267))),"対象月が時短期間外／","")&amp;IF(AND(INDEX(職員マスタ!$F$6:$F$405,$AN267)&lt;&gt;"",$AO267&lt;&gt;"",INDEX(職員マスタ!$F$6:$F$405,$AN267)&lt;$AO267),"対象月に子が2歳到達済／","")&amp;IF(AND($H267&lt;&gt;"",INDEX(職員マスタ!$B$6:$B$405,$AN267)&lt;&gt;"",SUBSTITUTE(SUBSTITUTE($H267," ","")," ","")&lt;&gt;SUBSTITUTE(SUBSTITUTE(INDEX(職員マスタ!$B$6:$B$405,$AN267)," ","")," ","")),"氏名がマスタと相違／","")&amp;IF(AND($Q267&lt;&gt;"",INDEX(職員マスタ!$E$6:$E$405,$AN267)&lt;&gt;"",$Q267&lt;&gt;INDEX(職員マスタ!$E$6:$E$405,$AN267)),"子の生年月日がマスタと相違／","")&amp;IF(AND($L267&lt;&gt;"",INDEX(職員マスタ!$G$6:$G$405,$AN267)&lt;&gt;"",$L267&lt;&gt;INDEX(職員マスタ!$G$6:$G$405,$AN267)),"時短開始日がマスタと相違／","")&amp;IF(AND($M267&lt;&gt;"",INDEX(職員マスタ!$H$6:$H$405,$AN267)&lt;&gt;"",$M267&lt;&gt;INDEX(職員マスタ!$H$6:$H$405,$AN267)),"時短終了日がマスタと相違／","")))&amp;IF(AND($B267&lt;&gt;"",$E267=""),"報酬額が未入力／","")&amp;IF(N($U267)&gt;0,"申請書に入力エラーが残っています／","")&amp;IF(AND($B267&lt;&gt;"",$AO267&lt;&gt;""),IF(COUNTIFS($B$6:$B$3005,$B267,$C$6:$C$3005,$C267,$D$6:$D$3005,$D267)&gt;1,"同じ月の請求が重複しています／",""),"")&amp;IF(AND(N($E267)&gt;0,$Z267&lt;&gt;"",$Z267&lt;&gt;"×",$AC267=0,$AB267=""),"計算額が下限以下のため不支給／",""))</f>
        <v/>
      </c>
      <c r="AL267" s="12" t="n"/>
      <c r="AM267" s="14">
        <f>IF($AD267="保留中",COUNTIF($AD$6:$AD267,"保留中"),"")</f>
        <v/>
      </c>
      <c r="AN267" s="14">
        <f>IF($AO267="","",IF(SUMPRODUCT(MAX((職員マスタ!$A$6:$A$405=$B267)*(((職員マスタ!$G$6:$G$405="")+(職員マスタ!$G$6:$G$405&lt;=EOMONTH($AO267,0)))&gt;0)*(((職員マスタ!$H$6:$H$405="")+(職員マスタ!$H$6:$H$405&gt;=$AO267))&gt;0)*(ROW(職員マスタ!$A$6:$A$405)-5)))&gt;0,SUMPRODUCT(MAX((職員マスタ!$A$6:$A$405=$B267)*(((職員マスタ!$G$6:$G$405="")+(職員マスタ!$G$6:$G$405&lt;=EOMONTH($AO267,0)))&gt;0)*(((職員マスタ!$H$6:$H$405="")+(職員マスタ!$H$6:$H$405&gt;=$AO267))&gt;0)*(ROW(職員マスタ!$A$6:$A$405)-5))),IFERROR(MATCH($B267,職員マスタ!$A$6:$A$405,0),"")))</f>
        <v/>
      </c>
      <c r="AO267" s="16">
        <f>IF(OR($B267="",$C267="",$D267=""),"",DATE($C267+2018,$D267,1))</f>
        <v/>
      </c>
    </row>
    <row r="268">
      <c r="A268" s="11" t="n"/>
      <c r="B268" s="12" t="n">
        <v>6602536</v>
      </c>
      <c r="C268" s="12" t="n">
        <v>7</v>
      </c>
      <c r="D268" s="12" t="n">
        <v>5</v>
      </c>
      <c r="E268" s="13" t="n">
        <v>185587</v>
      </c>
      <c r="F268" s="12" t="n"/>
      <c r="G268" s="13" t="n"/>
      <c r="H268" s="12" t="n"/>
      <c r="I268" s="12" t="n"/>
      <c r="J268" s="12" t="n"/>
      <c r="K268" s="12" t="n"/>
      <c r="L268" s="11" t="n"/>
      <c r="M268" s="11" t="n"/>
      <c r="N268" s="11" t="n"/>
      <c r="O268" s="11" t="n"/>
      <c r="P268" s="12" t="n"/>
      <c r="Q268" s="11" t="n"/>
      <c r="R268" s="12" t="n"/>
      <c r="S268" s="11" t="n"/>
      <c r="T268" s="12" t="n"/>
      <c r="U268" s="12" t="n"/>
      <c r="V268" s="14">
        <f>IF($AN268="",IF($B268="","",$H268),IF(INDEX(職員マスタ!$B$6:$B$405,$AN268)="",$H268,INDEX(職員マスタ!$B$6:$B$405,$AN268)))</f>
        <v/>
      </c>
      <c r="W268" s="14">
        <f>IF($AN268="",IF($B268="","",$R268),IF(INDEX(職員マスタ!$C$6:$C$405,$AN268)="",$R268,INDEX(職員マスタ!$C$6:$C$405,$AN268)))</f>
        <v/>
      </c>
      <c r="X268" s="14">
        <f>IF($AO268="","","R"&amp;$C268&amp;"."&amp;$D268)</f>
        <v/>
      </c>
      <c r="Y268" s="15">
        <f>IF($AN268="","",IF(INDEX(職員マスタ!$K$6:$K$405,$AN268)="","",INDEX(職員マスタ!$K$6:$K$405,$AN268)))</f>
        <v/>
      </c>
      <c r="Z268" s="14">
        <f>IF(OR($E268="",$Y268=""),"",IF($E268&gt;=$Y268,"×",IF($E268&gt;=$Y268*設定!$C$5,"△","○")))</f>
        <v/>
      </c>
      <c r="AA268" s="15">
        <f>IF($Z268="","",IF($Z268="×",0,IF($Z268="○",ROUNDDOWN($E268*設定!$C$4,0),ROUNDDOWN($E268*ROUND((9*$Y268-9*$E268)/(10*$E268),4),0))))</f>
        <v/>
      </c>
      <c r="AB268" s="13" t="n"/>
      <c r="AC268" s="15">
        <f>IF($B268="","",IF($AB268&lt;&gt;"",$AB268,IF($AA268="","",IF($AA268&lt;=設定!$C$3,0,$AA268))))</f>
        <v/>
      </c>
      <c r="AD268" s="14">
        <f>IF($B268="","",IF(AND($AE268&lt;&gt;"",$AG268="",$AJ268=""),"保留中",IF($AJ268&lt;&gt;"",IF(N($AC268)&gt;0,"支給済","不支給"),IF($AC268="","要確認",IF($AC268=0,"不支給","未処理")))))</f>
        <v/>
      </c>
      <c r="AE268" s="12" t="n"/>
      <c r="AF268" s="11" t="n"/>
      <c r="AG268" s="11" t="n"/>
      <c r="AH268" s="11" t="n"/>
      <c r="AI268" s="14">
        <f>IF(AND($AD268="保留中",$AF268&lt;&gt;""),TODAY()-$AF268,"")</f>
        <v/>
      </c>
      <c r="AJ268" s="12" t="inlineStr">
        <is>
          <t>R7.8</t>
        </is>
      </c>
      <c r="AK268" s="14">
        <f>IF($B268="","",IF($AO268="","対象年月が未入力／","")&amp;IF($B268="","",IF($AN268="","職員マスタに未登録の職員番号／",IF($Y268="","標準報酬月額が未登録／","")&amp;IF(AND($AO268&lt;&gt;"",OR(AND(INDEX(職員マスタ!$G$6:$G$405,$AN268)&lt;&gt;"",INDEX(職員マスタ!$G$6:$G$405,$AN268)&gt;EOMONTH($AO268,0)),AND(INDEX(職員マスタ!$H$6:$H$405,$AN268)&lt;&gt;"",INDEX(職員マスタ!$H$6:$H$405,$AN268)&lt;$AO268))),"対象月が時短期間外／","")&amp;IF(AND(INDEX(職員マスタ!$F$6:$F$405,$AN268)&lt;&gt;"",$AO268&lt;&gt;"",INDEX(職員マスタ!$F$6:$F$405,$AN268)&lt;$AO268),"対象月に子が2歳到達済／","")&amp;IF(AND($H268&lt;&gt;"",INDEX(職員マスタ!$B$6:$B$405,$AN268)&lt;&gt;"",SUBSTITUTE(SUBSTITUTE($H268," ","")," ","")&lt;&gt;SUBSTITUTE(SUBSTITUTE(INDEX(職員マスタ!$B$6:$B$405,$AN268)," ","")," ","")),"氏名がマスタと相違／","")&amp;IF(AND($Q268&lt;&gt;"",INDEX(職員マスタ!$E$6:$E$405,$AN268)&lt;&gt;"",$Q268&lt;&gt;INDEX(職員マスタ!$E$6:$E$405,$AN268)),"子の生年月日がマスタと相違／","")&amp;IF(AND($L268&lt;&gt;"",INDEX(職員マスタ!$G$6:$G$405,$AN268)&lt;&gt;"",$L268&lt;&gt;INDEX(職員マスタ!$G$6:$G$405,$AN268)),"時短開始日がマスタと相違／","")&amp;IF(AND($M268&lt;&gt;"",INDEX(職員マスタ!$H$6:$H$405,$AN268)&lt;&gt;"",$M268&lt;&gt;INDEX(職員マスタ!$H$6:$H$405,$AN268)),"時短終了日がマスタと相違／","")))&amp;IF(AND($B268&lt;&gt;"",$E268=""),"報酬額が未入力／","")&amp;IF(N($U268)&gt;0,"申請書に入力エラーが残っています／","")&amp;IF(AND($B268&lt;&gt;"",$AO268&lt;&gt;""),IF(COUNTIFS($B$6:$B$3005,$B268,$C$6:$C$3005,$C268,$D$6:$D$3005,$D268)&gt;1,"同じ月の請求が重複しています／",""),"")&amp;IF(AND(N($E268)&gt;0,$Z268&lt;&gt;"",$Z268&lt;&gt;"×",$AC268=0,$AB268=""),"計算額が下限以下のため不支給／",""))</f>
        <v/>
      </c>
      <c r="AL268" s="12" t="n"/>
      <c r="AM268" s="14">
        <f>IF($AD268="保留中",COUNTIF($AD$6:$AD268,"保留中"),"")</f>
        <v/>
      </c>
      <c r="AN268" s="14">
        <f>IF($AO268="","",IF(SUMPRODUCT(MAX((職員マスタ!$A$6:$A$405=$B268)*(((職員マスタ!$G$6:$G$405="")+(職員マスタ!$G$6:$G$405&lt;=EOMONTH($AO268,0)))&gt;0)*(((職員マスタ!$H$6:$H$405="")+(職員マスタ!$H$6:$H$405&gt;=$AO268))&gt;0)*(ROW(職員マスタ!$A$6:$A$405)-5)))&gt;0,SUMPRODUCT(MAX((職員マスタ!$A$6:$A$405=$B268)*(((職員マスタ!$G$6:$G$405="")+(職員マスタ!$G$6:$G$405&lt;=EOMONTH($AO268,0)))&gt;0)*(((職員マスタ!$H$6:$H$405="")+(職員マスタ!$H$6:$H$405&gt;=$AO268))&gt;0)*(ROW(職員マスタ!$A$6:$A$405)-5))),IFERROR(MATCH($B268,職員マスタ!$A$6:$A$405,0),"")))</f>
        <v/>
      </c>
      <c r="AO268" s="16">
        <f>IF(OR($B268="",$C268="",$D268=""),"",DATE($C268+2018,$D268,1))</f>
        <v/>
      </c>
    </row>
    <row r="269">
      <c r="A269" s="11" t="n"/>
      <c r="B269" s="12" t="n">
        <v>6602536</v>
      </c>
      <c r="C269" s="12" t="n">
        <v>7</v>
      </c>
      <c r="D269" s="12" t="n">
        <v>6</v>
      </c>
      <c r="E269" s="13" t="n">
        <v>191172</v>
      </c>
      <c r="F269" s="12" t="n"/>
      <c r="G269" s="13" t="n"/>
      <c r="H269" s="12" t="n"/>
      <c r="I269" s="12" t="n"/>
      <c r="J269" s="12" t="n"/>
      <c r="K269" s="12" t="n"/>
      <c r="L269" s="11" t="n"/>
      <c r="M269" s="11" t="n"/>
      <c r="N269" s="11" t="n"/>
      <c r="O269" s="11" t="n"/>
      <c r="P269" s="12" t="n"/>
      <c r="Q269" s="11" t="n"/>
      <c r="R269" s="12" t="n"/>
      <c r="S269" s="11" t="n"/>
      <c r="T269" s="12" t="n"/>
      <c r="U269" s="12" t="n"/>
      <c r="V269" s="14">
        <f>IF($AN269="",IF($B269="","",$H269),IF(INDEX(職員マスタ!$B$6:$B$405,$AN269)="",$H269,INDEX(職員マスタ!$B$6:$B$405,$AN269)))</f>
        <v/>
      </c>
      <c r="W269" s="14">
        <f>IF($AN269="",IF($B269="","",$R269),IF(INDEX(職員マスタ!$C$6:$C$405,$AN269)="",$R269,INDEX(職員マスタ!$C$6:$C$405,$AN269)))</f>
        <v/>
      </c>
      <c r="X269" s="14">
        <f>IF($AO269="","","R"&amp;$C269&amp;"."&amp;$D269)</f>
        <v/>
      </c>
      <c r="Y269" s="15">
        <f>IF($AN269="","",IF(INDEX(職員マスタ!$K$6:$K$405,$AN269)="","",INDEX(職員マスタ!$K$6:$K$405,$AN269)))</f>
        <v/>
      </c>
      <c r="Z269" s="14">
        <f>IF(OR($E269="",$Y269=""),"",IF($E269&gt;=$Y269,"×",IF($E269&gt;=$Y269*設定!$C$5,"△","○")))</f>
        <v/>
      </c>
      <c r="AA269" s="15">
        <f>IF($Z269="","",IF($Z269="×",0,IF($Z269="○",ROUNDDOWN($E269*設定!$C$4,0),ROUNDDOWN($E269*ROUND((9*$Y269-9*$E269)/(10*$E269),4),0))))</f>
        <v/>
      </c>
      <c r="AB269" s="13" t="n"/>
      <c r="AC269" s="15">
        <f>IF($B269="","",IF($AB269&lt;&gt;"",$AB269,IF($AA269="","",IF($AA269&lt;=設定!$C$3,0,$AA269))))</f>
        <v/>
      </c>
      <c r="AD269" s="14">
        <f>IF($B269="","",IF(AND($AE269&lt;&gt;"",$AG269="",$AJ269=""),"保留中",IF($AJ269&lt;&gt;"",IF(N($AC269)&gt;0,"支給済","不支給"),IF($AC269="","要確認",IF($AC269=0,"不支給","未処理")))))</f>
        <v/>
      </c>
      <c r="AE269" s="12" t="n"/>
      <c r="AF269" s="11" t="n"/>
      <c r="AG269" s="11" t="n"/>
      <c r="AH269" s="11" t="n"/>
      <c r="AI269" s="14">
        <f>IF(AND($AD269="保留中",$AF269&lt;&gt;""),TODAY()-$AF269,"")</f>
        <v/>
      </c>
      <c r="AJ269" s="12" t="inlineStr">
        <is>
          <t>R7.8</t>
        </is>
      </c>
      <c r="AK269" s="14">
        <f>IF($B269="","",IF($AO269="","対象年月が未入力／","")&amp;IF($B269="","",IF($AN269="","職員マスタに未登録の職員番号／",IF($Y269="","標準報酬月額が未登録／","")&amp;IF(AND($AO269&lt;&gt;"",OR(AND(INDEX(職員マスタ!$G$6:$G$405,$AN269)&lt;&gt;"",INDEX(職員マスタ!$G$6:$G$405,$AN269)&gt;EOMONTH($AO269,0)),AND(INDEX(職員マスタ!$H$6:$H$405,$AN269)&lt;&gt;"",INDEX(職員マスタ!$H$6:$H$405,$AN269)&lt;$AO269))),"対象月が時短期間外／","")&amp;IF(AND(INDEX(職員マスタ!$F$6:$F$405,$AN269)&lt;&gt;"",$AO269&lt;&gt;"",INDEX(職員マスタ!$F$6:$F$405,$AN269)&lt;$AO269),"対象月に子が2歳到達済／","")&amp;IF(AND($H269&lt;&gt;"",INDEX(職員マスタ!$B$6:$B$405,$AN269)&lt;&gt;"",SUBSTITUTE(SUBSTITUTE($H269," ","")," ","")&lt;&gt;SUBSTITUTE(SUBSTITUTE(INDEX(職員マスタ!$B$6:$B$405,$AN269)," ","")," ","")),"氏名がマスタと相違／","")&amp;IF(AND($Q269&lt;&gt;"",INDEX(職員マスタ!$E$6:$E$405,$AN269)&lt;&gt;"",$Q269&lt;&gt;INDEX(職員マスタ!$E$6:$E$405,$AN269)),"子の生年月日がマスタと相違／","")&amp;IF(AND($L269&lt;&gt;"",INDEX(職員マスタ!$G$6:$G$405,$AN269)&lt;&gt;"",$L269&lt;&gt;INDEX(職員マスタ!$G$6:$G$405,$AN269)),"時短開始日がマスタと相違／","")&amp;IF(AND($M269&lt;&gt;"",INDEX(職員マスタ!$H$6:$H$405,$AN269)&lt;&gt;"",$M269&lt;&gt;INDEX(職員マスタ!$H$6:$H$405,$AN269)),"時短終了日がマスタと相違／","")))&amp;IF(AND($B269&lt;&gt;"",$E269=""),"報酬額が未入力／","")&amp;IF(N($U269)&gt;0,"申請書に入力エラーが残っています／","")&amp;IF(AND($B269&lt;&gt;"",$AO269&lt;&gt;""),IF(COUNTIFS($B$6:$B$3005,$B269,$C$6:$C$3005,$C269,$D$6:$D$3005,$D269)&gt;1,"同じ月の請求が重複しています／",""),"")&amp;IF(AND(N($E269)&gt;0,$Z269&lt;&gt;"",$Z269&lt;&gt;"×",$AC269=0,$AB269=""),"計算額が下限以下のため不支給／",""))</f>
        <v/>
      </c>
      <c r="AL269" s="12" t="n"/>
      <c r="AM269" s="14">
        <f>IF($AD269="保留中",COUNTIF($AD$6:$AD269,"保留中"),"")</f>
        <v/>
      </c>
      <c r="AN269" s="14">
        <f>IF($AO269="","",IF(SUMPRODUCT(MAX((職員マスタ!$A$6:$A$405=$B269)*(((職員マスタ!$G$6:$G$405="")+(職員マスタ!$G$6:$G$405&lt;=EOMONTH($AO269,0)))&gt;0)*(((職員マスタ!$H$6:$H$405="")+(職員マスタ!$H$6:$H$405&gt;=$AO269))&gt;0)*(ROW(職員マスタ!$A$6:$A$405)-5)))&gt;0,SUMPRODUCT(MAX((職員マスタ!$A$6:$A$405=$B269)*(((職員マスタ!$G$6:$G$405="")+(職員マスタ!$G$6:$G$405&lt;=EOMONTH($AO269,0)))&gt;0)*(((職員マスタ!$H$6:$H$405="")+(職員マスタ!$H$6:$H$405&gt;=$AO269))&gt;0)*(ROW(職員マスタ!$A$6:$A$405)-5))),IFERROR(MATCH($B269,職員マスタ!$A$6:$A$405,0),"")))</f>
        <v/>
      </c>
      <c r="AO269" s="16">
        <f>IF(OR($B269="",$C269="",$D269=""),"",DATE($C269+2018,$D269,1))</f>
        <v/>
      </c>
    </row>
    <row r="270">
      <c r="A270" s="11" t="n"/>
      <c r="B270" s="12" t="n">
        <v>6602536</v>
      </c>
      <c r="C270" s="12" t="n">
        <v>7</v>
      </c>
      <c r="D270" s="12" t="n">
        <v>7</v>
      </c>
      <c r="E270" s="13" t="n">
        <v>183726</v>
      </c>
      <c r="F270" s="12" t="n"/>
      <c r="G270" s="13" t="n"/>
      <c r="H270" s="12" t="n"/>
      <c r="I270" s="12" t="n"/>
      <c r="J270" s="12" t="n"/>
      <c r="K270" s="12" t="n"/>
      <c r="L270" s="11" t="n"/>
      <c r="M270" s="11" t="n"/>
      <c r="N270" s="11" t="n"/>
      <c r="O270" s="11" t="n"/>
      <c r="P270" s="12" t="n"/>
      <c r="Q270" s="11" t="n"/>
      <c r="R270" s="12" t="n"/>
      <c r="S270" s="11" t="n"/>
      <c r="T270" s="12" t="n"/>
      <c r="U270" s="12" t="n"/>
      <c r="V270" s="14">
        <f>IF($AN270="",IF($B270="","",$H270),IF(INDEX(職員マスタ!$B$6:$B$405,$AN270)="",$H270,INDEX(職員マスタ!$B$6:$B$405,$AN270)))</f>
        <v/>
      </c>
      <c r="W270" s="14">
        <f>IF($AN270="",IF($B270="","",$R270),IF(INDEX(職員マスタ!$C$6:$C$405,$AN270)="",$R270,INDEX(職員マスタ!$C$6:$C$405,$AN270)))</f>
        <v/>
      </c>
      <c r="X270" s="14">
        <f>IF($AO270="","","R"&amp;$C270&amp;"."&amp;$D270)</f>
        <v/>
      </c>
      <c r="Y270" s="15">
        <f>IF($AN270="","",IF(INDEX(職員マスタ!$K$6:$K$405,$AN270)="","",INDEX(職員マスタ!$K$6:$K$405,$AN270)))</f>
        <v/>
      </c>
      <c r="Z270" s="14">
        <f>IF(OR($E270="",$Y270=""),"",IF($E270&gt;=$Y270,"×",IF($E270&gt;=$Y270*設定!$C$5,"△","○")))</f>
        <v/>
      </c>
      <c r="AA270" s="15">
        <f>IF($Z270="","",IF($Z270="×",0,IF($Z270="○",ROUNDDOWN($E270*設定!$C$4,0),ROUNDDOWN($E270*ROUND((9*$Y270-9*$E270)/(10*$E270),4),0))))</f>
        <v/>
      </c>
      <c r="AB270" s="13" t="n"/>
      <c r="AC270" s="15">
        <f>IF($B270="","",IF($AB270&lt;&gt;"",$AB270,IF($AA270="","",IF($AA270&lt;=設定!$C$3,0,$AA270))))</f>
        <v/>
      </c>
      <c r="AD270" s="14">
        <f>IF($B270="","",IF(AND($AE270&lt;&gt;"",$AG270="",$AJ270=""),"保留中",IF($AJ270&lt;&gt;"",IF(N($AC270)&gt;0,"支給済","不支給"),IF($AC270="","要確認",IF($AC270=0,"不支給","未処理")))))</f>
        <v/>
      </c>
      <c r="AE270" s="12" t="n"/>
      <c r="AF270" s="11" t="n"/>
      <c r="AG270" s="11" t="n"/>
      <c r="AH270" s="11" t="n"/>
      <c r="AI270" s="14">
        <f>IF(AND($AD270="保留中",$AF270&lt;&gt;""),TODAY()-$AF270,"")</f>
        <v/>
      </c>
      <c r="AJ270" s="12" t="inlineStr">
        <is>
          <t>R7.9</t>
        </is>
      </c>
      <c r="AK270" s="14">
        <f>IF($B270="","",IF($AO270="","対象年月が未入力／","")&amp;IF($B270="","",IF($AN270="","職員マスタに未登録の職員番号／",IF($Y270="","標準報酬月額が未登録／","")&amp;IF(AND($AO270&lt;&gt;"",OR(AND(INDEX(職員マスタ!$G$6:$G$405,$AN270)&lt;&gt;"",INDEX(職員マスタ!$G$6:$G$405,$AN270)&gt;EOMONTH($AO270,0)),AND(INDEX(職員マスタ!$H$6:$H$405,$AN270)&lt;&gt;"",INDEX(職員マスタ!$H$6:$H$405,$AN270)&lt;$AO270))),"対象月が時短期間外／","")&amp;IF(AND(INDEX(職員マスタ!$F$6:$F$405,$AN270)&lt;&gt;"",$AO270&lt;&gt;"",INDEX(職員マスタ!$F$6:$F$405,$AN270)&lt;$AO270),"対象月に子が2歳到達済／","")&amp;IF(AND($H270&lt;&gt;"",INDEX(職員マスタ!$B$6:$B$405,$AN270)&lt;&gt;"",SUBSTITUTE(SUBSTITUTE($H270," ","")," ","")&lt;&gt;SUBSTITUTE(SUBSTITUTE(INDEX(職員マスタ!$B$6:$B$405,$AN270)," ","")," ","")),"氏名がマスタと相違／","")&amp;IF(AND($Q270&lt;&gt;"",INDEX(職員マスタ!$E$6:$E$405,$AN270)&lt;&gt;"",$Q270&lt;&gt;INDEX(職員マスタ!$E$6:$E$405,$AN270)),"子の生年月日がマスタと相違／","")&amp;IF(AND($L270&lt;&gt;"",INDEX(職員マスタ!$G$6:$G$405,$AN270)&lt;&gt;"",$L270&lt;&gt;INDEX(職員マスタ!$G$6:$G$405,$AN270)),"時短開始日がマスタと相違／","")&amp;IF(AND($M270&lt;&gt;"",INDEX(職員マスタ!$H$6:$H$405,$AN270)&lt;&gt;"",$M270&lt;&gt;INDEX(職員マスタ!$H$6:$H$405,$AN270)),"時短終了日がマスタと相違／","")))&amp;IF(AND($B270&lt;&gt;"",$E270=""),"報酬額が未入力／","")&amp;IF(N($U270)&gt;0,"申請書に入力エラーが残っています／","")&amp;IF(AND($B270&lt;&gt;"",$AO270&lt;&gt;""),IF(COUNTIFS($B$6:$B$3005,$B270,$C$6:$C$3005,$C270,$D$6:$D$3005,$D270)&gt;1,"同じ月の請求が重複しています／",""),"")&amp;IF(AND(N($E270)&gt;0,$Z270&lt;&gt;"",$Z270&lt;&gt;"×",$AC270=0,$AB270=""),"計算額が下限以下のため不支給／",""))</f>
        <v/>
      </c>
      <c r="AL270" s="12" t="n"/>
      <c r="AM270" s="14">
        <f>IF($AD270="保留中",COUNTIF($AD$6:$AD270,"保留中"),"")</f>
        <v/>
      </c>
      <c r="AN270" s="14">
        <f>IF($AO270="","",IF(SUMPRODUCT(MAX((職員マスタ!$A$6:$A$405=$B270)*(((職員マスタ!$G$6:$G$405="")+(職員マスタ!$G$6:$G$405&lt;=EOMONTH($AO270,0)))&gt;0)*(((職員マスタ!$H$6:$H$405="")+(職員マスタ!$H$6:$H$405&gt;=$AO270))&gt;0)*(ROW(職員マスタ!$A$6:$A$405)-5)))&gt;0,SUMPRODUCT(MAX((職員マスタ!$A$6:$A$405=$B270)*(((職員マスタ!$G$6:$G$405="")+(職員マスタ!$G$6:$G$405&lt;=EOMONTH($AO270,0)))&gt;0)*(((職員マスタ!$H$6:$H$405="")+(職員マスタ!$H$6:$H$405&gt;=$AO270))&gt;0)*(ROW(職員マスタ!$A$6:$A$405)-5))),IFERROR(MATCH($B270,職員マスタ!$A$6:$A$405,0),"")))</f>
        <v/>
      </c>
      <c r="AO270" s="16">
        <f>IF(OR($B270="",$C270="",$D270=""),"",DATE($C270+2018,$D270,1))</f>
        <v/>
      </c>
    </row>
    <row r="271">
      <c r="A271" s="11" t="n"/>
      <c r="B271" s="12" t="n">
        <v>6602536</v>
      </c>
      <c r="C271" s="12" t="n">
        <v>7</v>
      </c>
      <c r="D271" s="12" t="n">
        <v>8</v>
      </c>
      <c r="E271" s="13" t="n">
        <v>189309</v>
      </c>
      <c r="F271" s="12" t="n"/>
      <c r="G271" s="13" t="n"/>
      <c r="H271" s="12" t="n"/>
      <c r="I271" s="12" t="n"/>
      <c r="J271" s="12" t="n"/>
      <c r="K271" s="12" t="n"/>
      <c r="L271" s="11" t="n"/>
      <c r="M271" s="11" t="n"/>
      <c r="N271" s="11" t="n"/>
      <c r="O271" s="11" t="n"/>
      <c r="P271" s="12" t="n"/>
      <c r="Q271" s="11" t="n"/>
      <c r="R271" s="12" t="n"/>
      <c r="S271" s="11" t="n"/>
      <c r="T271" s="12" t="n"/>
      <c r="U271" s="12" t="n"/>
      <c r="V271" s="14">
        <f>IF($AN271="",IF($B271="","",$H271),IF(INDEX(職員マスタ!$B$6:$B$405,$AN271)="",$H271,INDEX(職員マスタ!$B$6:$B$405,$AN271)))</f>
        <v/>
      </c>
      <c r="W271" s="14">
        <f>IF($AN271="",IF($B271="","",$R271),IF(INDEX(職員マスタ!$C$6:$C$405,$AN271)="",$R271,INDEX(職員マスタ!$C$6:$C$405,$AN271)))</f>
        <v/>
      </c>
      <c r="X271" s="14">
        <f>IF($AO271="","","R"&amp;$C271&amp;"."&amp;$D271)</f>
        <v/>
      </c>
      <c r="Y271" s="15">
        <f>IF($AN271="","",IF(INDEX(職員マスタ!$K$6:$K$405,$AN271)="","",INDEX(職員マスタ!$K$6:$K$405,$AN271)))</f>
        <v/>
      </c>
      <c r="Z271" s="14">
        <f>IF(OR($E271="",$Y271=""),"",IF($E271&gt;=$Y271,"×",IF($E271&gt;=$Y271*設定!$C$5,"△","○")))</f>
        <v/>
      </c>
      <c r="AA271" s="15">
        <f>IF($Z271="","",IF($Z271="×",0,IF($Z271="○",ROUNDDOWN($E271*設定!$C$4,0),ROUNDDOWN($E271*ROUND((9*$Y271-9*$E271)/(10*$E271),4),0))))</f>
        <v/>
      </c>
      <c r="AB271" s="13" t="n"/>
      <c r="AC271" s="15">
        <f>IF($B271="","",IF($AB271&lt;&gt;"",$AB271,IF($AA271="","",IF($AA271&lt;=設定!$C$3,0,$AA271))))</f>
        <v/>
      </c>
      <c r="AD271" s="14">
        <f>IF($B271="","",IF(AND($AE271&lt;&gt;"",$AG271="",$AJ271=""),"保留中",IF($AJ271&lt;&gt;"",IF(N($AC271)&gt;0,"支給済","不支給"),IF($AC271="","要確認",IF($AC271=0,"不支給","未処理")))))</f>
        <v/>
      </c>
      <c r="AE271" s="12" t="n"/>
      <c r="AF271" s="11" t="n"/>
      <c r="AG271" s="11" t="n"/>
      <c r="AH271" s="11" t="n"/>
      <c r="AI271" s="14">
        <f>IF(AND($AD271="保留中",$AF271&lt;&gt;""),TODAY()-$AF271,"")</f>
        <v/>
      </c>
      <c r="AJ271" s="12" t="inlineStr">
        <is>
          <t>R7.10</t>
        </is>
      </c>
      <c r="AK271" s="14">
        <f>IF($B271="","",IF($AO271="","対象年月が未入力／","")&amp;IF($B271="","",IF($AN271="","職員マスタに未登録の職員番号／",IF($Y271="","標準報酬月額が未登録／","")&amp;IF(AND($AO271&lt;&gt;"",OR(AND(INDEX(職員マスタ!$G$6:$G$405,$AN271)&lt;&gt;"",INDEX(職員マスタ!$G$6:$G$405,$AN271)&gt;EOMONTH($AO271,0)),AND(INDEX(職員マスタ!$H$6:$H$405,$AN271)&lt;&gt;"",INDEX(職員マスタ!$H$6:$H$405,$AN271)&lt;$AO271))),"対象月が時短期間外／","")&amp;IF(AND(INDEX(職員マスタ!$F$6:$F$405,$AN271)&lt;&gt;"",$AO271&lt;&gt;"",INDEX(職員マスタ!$F$6:$F$405,$AN271)&lt;$AO271),"対象月に子が2歳到達済／","")&amp;IF(AND($H271&lt;&gt;"",INDEX(職員マスタ!$B$6:$B$405,$AN271)&lt;&gt;"",SUBSTITUTE(SUBSTITUTE($H271," ","")," ","")&lt;&gt;SUBSTITUTE(SUBSTITUTE(INDEX(職員マスタ!$B$6:$B$405,$AN271)," ","")," ","")),"氏名がマスタと相違／","")&amp;IF(AND($Q271&lt;&gt;"",INDEX(職員マスタ!$E$6:$E$405,$AN271)&lt;&gt;"",$Q271&lt;&gt;INDEX(職員マスタ!$E$6:$E$405,$AN271)),"子の生年月日がマスタと相違／","")&amp;IF(AND($L271&lt;&gt;"",INDEX(職員マスタ!$G$6:$G$405,$AN271)&lt;&gt;"",$L271&lt;&gt;INDEX(職員マスタ!$G$6:$G$405,$AN271)),"時短開始日がマスタと相違／","")&amp;IF(AND($M271&lt;&gt;"",INDEX(職員マスタ!$H$6:$H$405,$AN271)&lt;&gt;"",$M271&lt;&gt;INDEX(職員マスタ!$H$6:$H$405,$AN271)),"時短終了日がマスタと相違／","")))&amp;IF(AND($B271&lt;&gt;"",$E271=""),"報酬額が未入力／","")&amp;IF(N($U271)&gt;0,"申請書に入力エラーが残っています／","")&amp;IF(AND($B271&lt;&gt;"",$AO271&lt;&gt;""),IF(COUNTIFS($B$6:$B$3005,$B271,$C$6:$C$3005,$C271,$D$6:$D$3005,$D271)&gt;1,"同じ月の請求が重複しています／",""),"")&amp;IF(AND(N($E271)&gt;0,$Z271&lt;&gt;"",$Z271&lt;&gt;"×",$AC271=0,$AB271=""),"計算額が下限以下のため不支給／",""))</f>
        <v/>
      </c>
      <c r="AL271" s="12" t="n"/>
      <c r="AM271" s="14">
        <f>IF($AD271="保留中",COUNTIF($AD$6:$AD271,"保留中"),"")</f>
        <v/>
      </c>
      <c r="AN271" s="14">
        <f>IF($AO271="","",IF(SUMPRODUCT(MAX((職員マスタ!$A$6:$A$405=$B271)*(((職員マスタ!$G$6:$G$405="")+(職員マスタ!$G$6:$G$405&lt;=EOMONTH($AO271,0)))&gt;0)*(((職員マスタ!$H$6:$H$405="")+(職員マスタ!$H$6:$H$405&gt;=$AO271))&gt;0)*(ROW(職員マスタ!$A$6:$A$405)-5)))&gt;0,SUMPRODUCT(MAX((職員マスタ!$A$6:$A$405=$B271)*(((職員マスタ!$G$6:$G$405="")+(職員マスタ!$G$6:$G$405&lt;=EOMONTH($AO271,0)))&gt;0)*(((職員マスタ!$H$6:$H$405="")+(職員マスタ!$H$6:$H$405&gt;=$AO271))&gt;0)*(ROW(職員マスタ!$A$6:$A$405)-5))),IFERROR(MATCH($B271,職員マスタ!$A$6:$A$405,0),"")))</f>
        <v/>
      </c>
      <c r="AO271" s="16">
        <f>IF(OR($B271="",$C271="",$D271=""),"",DATE($C271+2018,$D271,1))</f>
        <v/>
      </c>
    </row>
    <row r="272">
      <c r="A272" s="11" t="n"/>
      <c r="B272" s="12" t="n">
        <v>6602619</v>
      </c>
      <c r="C272" s="12" t="n">
        <v>7</v>
      </c>
      <c r="D272" s="12" t="n">
        <v>4</v>
      </c>
      <c r="E272" s="13" t="n">
        <v>71250</v>
      </c>
      <c r="F272" s="12" t="n"/>
      <c r="G272" s="13" t="n"/>
      <c r="H272" s="12" t="n"/>
      <c r="I272" s="12" t="n"/>
      <c r="J272" s="12" t="n"/>
      <c r="K272" s="12" t="n"/>
      <c r="L272" s="11" t="n"/>
      <c r="M272" s="11" t="n"/>
      <c r="N272" s="11" t="n"/>
      <c r="O272" s="11" t="n"/>
      <c r="P272" s="12" t="n"/>
      <c r="Q272" s="11" t="n"/>
      <c r="R272" s="12" t="n"/>
      <c r="S272" s="11" t="n"/>
      <c r="T272" s="12" t="n"/>
      <c r="U272" s="12" t="n"/>
      <c r="V272" s="14">
        <f>IF($AN272="",IF($B272="","",$H272),IF(INDEX(職員マスタ!$B$6:$B$405,$AN272)="",$H272,INDEX(職員マスタ!$B$6:$B$405,$AN272)))</f>
        <v/>
      </c>
      <c r="W272" s="14">
        <f>IF($AN272="",IF($B272="","",$R272),IF(INDEX(職員マスタ!$C$6:$C$405,$AN272)="",$R272,INDEX(職員マスタ!$C$6:$C$405,$AN272)))</f>
        <v/>
      </c>
      <c r="X272" s="14">
        <f>IF($AO272="","","R"&amp;$C272&amp;"."&amp;$D272)</f>
        <v/>
      </c>
      <c r="Y272" s="15">
        <f>IF($AN272="","",IF(INDEX(職員マスタ!$K$6:$K$405,$AN272)="","",INDEX(職員マスタ!$K$6:$K$405,$AN272)))</f>
        <v/>
      </c>
      <c r="Z272" s="14">
        <f>IF(OR($E272="",$Y272=""),"",IF($E272&gt;=$Y272,"×",IF($E272&gt;=$Y272*設定!$C$5,"△","○")))</f>
        <v/>
      </c>
      <c r="AA272" s="15">
        <f>IF($Z272="","",IF($Z272="×",0,IF($Z272="○",ROUNDDOWN($E272*設定!$C$4,0),ROUNDDOWN($E272*ROUND((9*$Y272-9*$E272)/(10*$E272),4),0))))</f>
        <v/>
      </c>
      <c r="AB272" s="13" t="n"/>
      <c r="AC272" s="15">
        <f>IF($B272="","",IF($AB272&lt;&gt;"",$AB272,IF($AA272="","",IF($AA272&lt;=設定!$C$3,0,$AA272))))</f>
        <v/>
      </c>
      <c r="AD272" s="14">
        <f>IF($B272="","",IF(AND($AE272&lt;&gt;"",$AG272="",$AJ272=""),"保留中",IF($AJ272&lt;&gt;"",IF(N($AC272)&gt;0,"支給済","不支給"),IF($AC272="","要確認",IF($AC272=0,"不支給","未処理")))))</f>
        <v/>
      </c>
      <c r="AE272" s="12" t="n"/>
      <c r="AF272" s="11" t="n"/>
      <c r="AG272" s="11" t="n"/>
      <c r="AH272" s="11" t="n"/>
      <c r="AI272" s="14">
        <f>IF(AND($AD272="保留中",$AF272&lt;&gt;""),TODAY()-$AF272,"")</f>
        <v/>
      </c>
      <c r="AJ272" s="12" t="inlineStr">
        <is>
          <t>R7.8</t>
        </is>
      </c>
      <c r="AK272" s="14">
        <f>IF($B272="","",IF($AO272="","対象年月が未入力／","")&amp;IF($B272="","",IF($AN272="","職員マスタに未登録の職員番号／",IF($Y272="","標準報酬月額が未登録／","")&amp;IF(AND($AO272&lt;&gt;"",OR(AND(INDEX(職員マスタ!$G$6:$G$405,$AN272)&lt;&gt;"",INDEX(職員マスタ!$G$6:$G$405,$AN272)&gt;EOMONTH($AO272,0)),AND(INDEX(職員マスタ!$H$6:$H$405,$AN272)&lt;&gt;"",INDEX(職員マスタ!$H$6:$H$405,$AN272)&lt;$AO272))),"対象月が時短期間外／","")&amp;IF(AND(INDEX(職員マスタ!$F$6:$F$405,$AN272)&lt;&gt;"",$AO272&lt;&gt;"",INDEX(職員マスタ!$F$6:$F$405,$AN272)&lt;$AO272),"対象月に子が2歳到達済／","")&amp;IF(AND($H272&lt;&gt;"",INDEX(職員マスタ!$B$6:$B$405,$AN272)&lt;&gt;"",SUBSTITUTE(SUBSTITUTE($H272," ","")," ","")&lt;&gt;SUBSTITUTE(SUBSTITUTE(INDEX(職員マスタ!$B$6:$B$405,$AN272)," ","")," ","")),"氏名がマスタと相違／","")&amp;IF(AND($Q272&lt;&gt;"",INDEX(職員マスタ!$E$6:$E$405,$AN272)&lt;&gt;"",$Q272&lt;&gt;INDEX(職員マスタ!$E$6:$E$405,$AN272)),"子の生年月日がマスタと相違／","")&amp;IF(AND($L272&lt;&gt;"",INDEX(職員マスタ!$G$6:$G$405,$AN272)&lt;&gt;"",$L272&lt;&gt;INDEX(職員マスタ!$G$6:$G$405,$AN272)),"時短開始日がマスタと相違／","")&amp;IF(AND($M272&lt;&gt;"",INDEX(職員マスタ!$H$6:$H$405,$AN272)&lt;&gt;"",$M272&lt;&gt;INDEX(職員マスタ!$H$6:$H$405,$AN272)),"時短終了日がマスタと相違／","")))&amp;IF(AND($B272&lt;&gt;"",$E272=""),"報酬額が未入力／","")&amp;IF(N($U272)&gt;0,"申請書に入力エラーが残っています／","")&amp;IF(AND($B272&lt;&gt;"",$AO272&lt;&gt;""),IF(COUNTIFS($B$6:$B$3005,$B272,$C$6:$C$3005,$C272,$D$6:$D$3005,$D272)&gt;1,"同じ月の請求が重複しています／",""),"")&amp;IF(AND(N($E272)&gt;0,$Z272&lt;&gt;"",$Z272&lt;&gt;"×",$AC272=0,$AB272=""),"計算額が下限以下のため不支給／",""))</f>
        <v/>
      </c>
      <c r="AL272" s="12" t="n"/>
      <c r="AM272" s="14">
        <f>IF($AD272="保留中",COUNTIF($AD$6:$AD272,"保留中"),"")</f>
        <v/>
      </c>
      <c r="AN272" s="14">
        <f>IF($AO272="","",IF(SUMPRODUCT(MAX((職員マスタ!$A$6:$A$405=$B272)*(((職員マスタ!$G$6:$G$405="")+(職員マスタ!$G$6:$G$405&lt;=EOMONTH($AO272,0)))&gt;0)*(((職員マスタ!$H$6:$H$405="")+(職員マスタ!$H$6:$H$405&gt;=$AO272))&gt;0)*(ROW(職員マスタ!$A$6:$A$405)-5)))&gt;0,SUMPRODUCT(MAX((職員マスタ!$A$6:$A$405=$B272)*(((職員マスタ!$G$6:$G$405="")+(職員マスタ!$G$6:$G$405&lt;=EOMONTH($AO272,0)))&gt;0)*(((職員マスタ!$H$6:$H$405="")+(職員マスタ!$H$6:$H$405&gt;=$AO272))&gt;0)*(ROW(職員マスタ!$A$6:$A$405)-5))),IFERROR(MATCH($B272,職員マスタ!$A$6:$A$405,0),"")))</f>
        <v/>
      </c>
      <c r="AO272" s="16">
        <f>IF(OR($B272="",$C272="",$D272=""),"",DATE($C272+2018,$D272,1))</f>
        <v/>
      </c>
    </row>
    <row r="273">
      <c r="A273" s="11" t="n"/>
      <c r="B273" s="12" t="n">
        <v>6602619</v>
      </c>
      <c r="C273" s="12" t="n">
        <v>7</v>
      </c>
      <c r="D273" s="12" t="n">
        <v>5</v>
      </c>
      <c r="E273" s="13" t="n">
        <v>183284</v>
      </c>
      <c r="F273" s="12" t="n"/>
      <c r="G273" s="13" t="n"/>
      <c r="H273" s="12" t="n"/>
      <c r="I273" s="12" t="n"/>
      <c r="J273" s="12" t="n"/>
      <c r="K273" s="12" t="n"/>
      <c r="L273" s="11" t="n"/>
      <c r="M273" s="11" t="n"/>
      <c r="N273" s="11" t="n"/>
      <c r="O273" s="11" t="n"/>
      <c r="P273" s="12" t="n"/>
      <c r="Q273" s="11" t="n"/>
      <c r="R273" s="12" t="n"/>
      <c r="S273" s="11" t="n"/>
      <c r="T273" s="12" t="n"/>
      <c r="U273" s="12" t="n"/>
      <c r="V273" s="14">
        <f>IF($AN273="",IF($B273="","",$H273),IF(INDEX(職員マスタ!$B$6:$B$405,$AN273)="",$H273,INDEX(職員マスタ!$B$6:$B$405,$AN273)))</f>
        <v/>
      </c>
      <c r="W273" s="14">
        <f>IF($AN273="",IF($B273="","",$R273),IF(INDEX(職員マスタ!$C$6:$C$405,$AN273)="",$R273,INDEX(職員マスタ!$C$6:$C$405,$AN273)))</f>
        <v/>
      </c>
      <c r="X273" s="14">
        <f>IF($AO273="","","R"&amp;$C273&amp;"."&amp;$D273)</f>
        <v/>
      </c>
      <c r="Y273" s="15">
        <f>IF($AN273="","",IF(INDEX(職員マスタ!$K$6:$K$405,$AN273)="","",INDEX(職員マスタ!$K$6:$K$405,$AN273)))</f>
        <v/>
      </c>
      <c r="Z273" s="14">
        <f>IF(OR($E273="",$Y273=""),"",IF($E273&gt;=$Y273,"×",IF($E273&gt;=$Y273*設定!$C$5,"△","○")))</f>
        <v/>
      </c>
      <c r="AA273" s="15">
        <f>IF($Z273="","",IF($Z273="×",0,IF($Z273="○",ROUNDDOWN($E273*設定!$C$4,0),ROUNDDOWN($E273*ROUND((9*$Y273-9*$E273)/(10*$E273),4),0))))</f>
        <v/>
      </c>
      <c r="AB273" s="13" t="n"/>
      <c r="AC273" s="15">
        <f>IF($B273="","",IF($AB273&lt;&gt;"",$AB273,IF($AA273="","",IF($AA273&lt;=設定!$C$3,0,$AA273))))</f>
        <v/>
      </c>
      <c r="AD273" s="14">
        <f>IF($B273="","",IF(AND($AE273&lt;&gt;"",$AG273="",$AJ273=""),"保留中",IF($AJ273&lt;&gt;"",IF(N($AC273)&gt;0,"支給済","不支給"),IF($AC273="","要確認",IF($AC273=0,"不支給","未処理")))))</f>
        <v/>
      </c>
      <c r="AE273" s="12" t="n"/>
      <c r="AF273" s="11" t="n"/>
      <c r="AG273" s="11" t="n"/>
      <c r="AH273" s="11" t="n"/>
      <c r="AI273" s="14">
        <f>IF(AND($AD273="保留中",$AF273&lt;&gt;""),TODAY()-$AF273,"")</f>
        <v/>
      </c>
      <c r="AJ273" s="12" t="inlineStr">
        <is>
          <t>R7.8</t>
        </is>
      </c>
      <c r="AK273" s="14">
        <f>IF($B273="","",IF($AO273="","対象年月が未入力／","")&amp;IF($B273="","",IF($AN273="","職員マスタに未登録の職員番号／",IF($Y273="","標準報酬月額が未登録／","")&amp;IF(AND($AO273&lt;&gt;"",OR(AND(INDEX(職員マスタ!$G$6:$G$405,$AN273)&lt;&gt;"",INDEX(職員マスタ!$G$6:$G$405,$AN273)&gt;EOMONTH($AO273,0)),AND(INDEX(職員マスタ!$H$6:$H$405,$AN273)&lt;&gt;"",INDEX(職員マスタ!$H$6:$H$405,$AN273)&lt;$AO273))),"対象月が時短期間外／","")&amp;IF(AND(INDEX(職員マスタ!$F$6:$F$405,$AN273)&lt;&gt;"",$AO273&lt;&gt;"",INDEX(職員マスタ!$F$6:$F$405,$AN273)&lt;$AO273),"対象月に子が2歳到達済／","")&amp;IF(AND($H273&lt;&gt;"",INDEX(職員マスタ!$B$6:$B$405,$AN273)&lt;&gt;"",SUBSTITUTE(SUBSTITUTE($H273," ","")," ","")&lt;&gt;SUBSTITUTE(SUBSTITUTE(INDEX(職員マスタ!$B$6:$B$405,$AN273)," ","")," ","")),"氏名がマスタと相違／","")&amp;IF(AND($Q273&lt;&gt;"",INDEX(職員マスタ!$E$6:$E$405,$AN273)&lt;&gt;"",$Q273&lt;&gt;INDEX(職員マスタ!$E$6:$E$405,$AN273)),"子の生年月日がマスタと相違／","")&amp;IF(AND($L273&lt;&gt;"",INDEX(職員マスタ!$G$6:$G$405,$AN273)&lt;&gt;"",$L273&lt;&gt;INDEX(職員マスタ!$G$6:$G$405,$AN273)),"時短開始日がマスタと相違／","")&amp;IF(AND($M273&lt;&gt;"",INDEX(職員マスタ!$H$6:$H$405,$AN273)&lt;&gt;"",$M273&lt;&gt;INDEX(職員マスタ!$H$6:$H$405,$AN273)),"時短終了日がマスタと相違／","")))&amp;IF(AND($B273&lt;&gt;"",$E273=""),"報酬額が未入力／","")&amp;IF(N($U273)&gt;0,"申請書に入力エラーが残っています／","")&amp;IF(AND($B273&lt;&gt;"",$AO273&lt;&gt;""),IF(COUNTIFS($B$6:$B$3005,$B273,$C$6:$C$3005,$C273,$D$6:$D$3005,$D273)&gt;1,"同じ月の請求が重複しています／",""),"")&amp;IF(AND(N($E273)&gt;0,$Z273&lt;&gt;"",$Z273&lt;&gt;"×",$AC273=0,$AB273=""),"計算額が下限以下のため不支給／",""))</f>
        <v/>
      </c>
      <c r="AL273" s="12" t="n"/>
      <c r="AM273" s="14">
        <f>IF($AD273="保留中",COUNTIF($AD$6:$AD273,"保留中"),"")</f>
        <v/>
      </c>
      <c r="AN273" s="14">
        <f>IF($AO273="","",IF(SUMPRODUCT(MAX((職員マスタ!$A$6:$A$405=$B273)*(((職員マスタ!$G$6:$G$405="")+(職員マスタ!$G$6:$G$405&lt;=EOMONTH($AO273,0)))&gt;0)*(((職員マスタ!$H$6:$H$405="")+(職員マスタ!$H$6:$H$405&gt;=$AO273))&gt;0)*(ROW(職員マスタ!$A$6:$A$405)-5)))&gt;0,SUMPRODUCT(MAX((職員マスタ!$A$6:$A$405=$B273)*(((職員マスタ!$G$6:$G$405="")+(職員マスタ!$G$6:$G$405&lt;=EOMONTH($AO273,0)))&gt;0)*(((職員マスタ!$H$6:$H$405="")+(職員マスタ!$H$6:$H$405&gt;=$AO273))&gt;0)*(ROW(職員マスタ!$A$6:$A$405)-5))),IFERROR(MATCH($B273,職員マスタ!$A$6:$A$405,0),"")))</f>
        <v/>
      </c>
      <c r="AO273" s="16">
        <f>IF(OR($B273="",$C273="",$D273=""),"",DATE($C273+2018,$D273,1))</f>
        <v/>
      </c>
    </row>
    <row r="274">
      <c r="A274" s="11" t="n"/>
      <c r="B274" s="12" t="n">
        <v>6602619</v>
      </c>
      <c r="C274" s="12" t="n">
        <v>7</v>
      </c>
      <c r="D274" s="12" t="n">
        <v>6</v>
      </c>
      <c r="E274" s="13" t="n">
        <v>179916</v>
      </c>
      <c r="F274" s="12" t="n"/>
      <c r="G274" s="13" t="n"/>
      <c r="H274" s="12" t="n"/>
      <c r="I274" s="12" t="n"/>
      <c r="J274" s="12" t="n"/>
      <c r="K274" s="12" t="n"/>
      <c r="L274" s="11" t="n"/>
      <c r="M274" s="11" t="n"/>
      <c r="N274" s="11" t="n"/>
      <c r="O274" s="11" t="n"/>
      <c r="P274" s="12" t="n"/>
      <c r="Q274" s="11" t="n"/>
      <c r="R274" s="12" t="n"/>
      <c r="S274" s="11" t="n"/>
      <c r="T274" s="12" t="n"/>
      <c r="U274" s="12" t="n"/>
      <c r="V274" s="14">
        <f>IF($AN274="",IF($B274="","",$H274),IF(INDEX(職員マスタ!$B$6:$B$405,$AN274)="",$H274,INDEX(職員マスタ!$B$6:$B$405,$AN274)))</f>
        <v/>
      </c>
      <c r="W274" s="14">
        <f>IF($AN274="",IF($B274="","",$R274),IF(INDEX(職員マスタ!$C$6:$C$405,$AN274)="",$R274,INDEX(職員マスタ!$C$6:$C$405,$AN274)))</f>
        <v/>
      </c>
      <c r="X274" s="14">
        <f>IF($AO274="","","R"&amp;$C274&amp;"."&amp;$D274)</f>
        <v/>
      </c>
      <c r="Y274" s="15">
        <f>IF($AN274="","",IF(INDEX(職員マスタ!$K$6:$K$405,$AN274)="","",INDEX(職員マスタ!$K$6:$K$405,$AN274)))</f>
        <v/>
      </c>
      <c r="Z274" s="14">
        <f>IF(OR($E274="",$Y274=""),"",IF($E274&gt;=$Y274,"×",IF($E274&gt;=$Y274*設定!$C$5,"△","○")))</f>
        <v/>
      </c>
      <c r="AA274" s="15">
        <f>IF($Z274="","",IF($Z274="×",0,IF($Z274="○",ROUNDDOWN($E274*設定!$C$4,0),ROUNDDOWN($E274*ROUND((9*$Y274-9*$E274)/(10*$E274),4),0))))</f>
        <v/>
      </c>
      <c r="AB274" s="13" t="n"/>
      <c r="AC274" s="15">
        <f>IF($B274="","",IF($AB274&lt;&gt;"",$AB274,IF($AA274="","",IF($AA274&lt;=設定!$C$3,0,$AA274))))</f>
        <v/>
      </c>
      <c r="AD274" s="14">
        <f>IF($B274="","",IF(AND($AE274&lt;&gt;"",$AG274="",$AJ274=""),"保留中",IF($AJ274&lt;&gt;"",IF(N($AC274)&gt;0,"支給済","不支給"),IF($AC274="","要確認",IF($AC274=0,"不支給","未処理")))))</f>
        <v/>
      </c>
      <c r="AE274" s="12" t="n"/>
      <c r="AF274" s="11" t="n"/>
      <c r="AG274" s="11" t="n"/>
      <c r="AH274" s="11" t="n"/>
      <c r="AI274" s="14">
        <f>IF(AND($AD274="保留中",$AF274&lt;&gt;""),TODAY()-$AF274,"")</f>
        <v/>
      </c>
      <c r="AJ274" s="12" t="inlineStr">
        <is>
          <t>R7.8</t>
        </is>
      </c>
      <c r="AK274" s="14">
        <f>IF($B274="","",IF($AO274="","対象年月が未入力／","")&amp;IF($B274="","",IF($AN274="","職員マスタに未登録の職員番号／",IF($Y274="","標準報酬月額が未登録／","")&amp;IF(AND($AO274&lt;&gt;"",OR(AND(INDEX(職員マスタ!$G$6:$G$405,$AN274)&lt;&gt;"",INDEX(職員マスタ!$G$6:$G$405,$AN274)&gt;EOMONTH($AO274,0)),AND(INDEX(職員マスタ!$H$6:$H$405,$AN274)&lt;&gt;"",INDEX(職員マスタ!$H$6:$H$405,$AN274)&lt;$AO274))),"対象月が時短期間外／","")&amp;IF(AND(INDEX(職員マスタ!$F$6:$F$405,$AN274)&lt;&gt;"",$AO274&lt;&gt;"",INDEX(職員マスタ!$F$6:$F$405,$AN274)&lt;$AO274),"対象月に子が2歳到達済／","")&amp;IF(AND($H274&lt;&gt;"",INDEX(職員マスタ!$B$6:$B$405,$AN274)&lt;&gt;"",SUBSTITUTE(SUBSTITUTE($H274," ","")," ","")&lt;&gt;SUBSTITUTE(SUBSTITUTE(INDEX(職員マスタ!$B$6:$B$405,$AN274)," ","")," ","")),"氏名がマスタと相違／","")&amp;IF(AND($Q274&lt;&gt;"",INDEX(職員マスタ!$E$6:$E$405,$AN274)&lt;&gt;"",$Q274&lt;&gt;INDEX(職員マスタ!$E$6:$E$405,$AN274)),"子の生年月日がマスタと相違／","")&amp;IF(AND($L274&lt;&gt;"",INDEX(職員マスタ!$G$6:$G$405,$AN274)&lt;&gt;"",$L274&lt;&gt;INDEX(職員マスタ!$G$6:$G$405,$AN274)),"時短開始日がマスタと相違／","")&amp;IF(AND($M274&lt;&gt;"",INDEX(職員マスタ!$H$6:$H$405,$AN274)&lt;&gt;"",$M274&lt;&gt;INDEX(職員マスタ!$H$6:$H$405,$AN274)),"時短終了日がマスタと相違／","")))&amp;IF(AND($B274&lt;&gt;"",$E274=""),"報酬額が未入力／","")&amp;IF(N($U274)&gt;0,"申請書に入力エラーが残っています／","")&amp;IF(AND($B274&lt;&gt;"",$AO274&lt;&gt;""),IF(COUNTIFS($B$6:$B$3005,$B274,$C$6:$C$3005,$C274,$D$6:$D$3005,$D274)&gt;1,"同じ月の請求が重複しています／",""),"")&amp;IF(AND(N($E274)&gt;0,$Z274&lt;&gt;"",$Z274&lt;&gt;"×",$AC274=0,$AB274=""),"計算額が下限以下のため不支給／",""))</f>
        <v/>
      </c>
      <c r="AL274" s="12" t="n"/>
      <c r="AM274" s="14">
        <f>IF($AD274="保留中",COUNTIF($AD$6:$AD274,"保留中"),"")</f>
        <v/>
      </c>
      <c r="AN274" s="14">
        <f>IF($AO274="","",IF(SUMPRODUCT(MAX((職員マスタ!$A$6:$A$405=$B274)*(((職員マスタ!$G$6:$G$405="")+(職員マスタ!$G$6:$G$405&lt;=EOMONTH($AO274,0)))&gt;0)*(((職員マスタ!$H$6:$H$405="")+(職員マスタ!$H$6:$H$405&gt;=$AO274))&gt;0)*(ROW(職員マスタ!$A$6:$A$405)-5)))&gt;0,SUMPRODUCT(MAX((職員マスタ!$A$6:$A$405=$B274)*(((職員マスタ!$G$6:$G$405="")+(職員マスタ!$G$6:$G$405&lt;=EOMONTH($AO274,0)))&gt;0)*(((職員マスタ!$H$6:$H$405="")+(職員マスタ!$H$6:$H$405&gt;=$AO274))&gt;0)*(ROW(職員マスタ!$A$6:$A$405)-5))),IFERROR(MATCH($B274,職員マスタ!$A$6:$A$405,0),"")))</f>
        <v/>
      </c>
      <c r="AO274" s="16">
        <f>IF(OR($B274="",$C274="",$D274=""),"",DATE($C274+2018,$D274,1))</f>
        <v/>
      </c>
    </row>
    <row r="275">
      <c r="A275" s="11" t="n"/>
      <c r="B275" s="12" t="n">
        <v>6602619</v>
      </c>
      <c r="C275" s="12" t="n">
        <v>7</v>
      </c>
      <c r="D275" s="12" t="n">
        <v>7</v>
      </c>
      <c r="E275" s="13" t="n">
        <v>185145</v>
      </c>
      <c r="F275" s="12" t="n"/>
      <c r="G275" s="13" t="n"/>
      <c r="H275" s="12" t="n"/>
      <c r="I275" s="12" t="n"/>
      <c r="J275" s="12" t="n"/>
      <c r="K275" s="12" t="n"/>
      <c r="L275" s="11" t="n"/>
      <c r="M275" s="11" t="n"/>
      <c r="N275" s="11" t="n"/>
      <c r="O275" s="11" t="n"/>
      <c r="P275" s="12" t="n"/>
      <c r="Q275" s="11" t="n"/>
      <c r="R275" s="12" t="n"/>
      <c r="S275" s="11" t="n"/>
      <c r="T275" s="12" t="n"/>
      <c r="U275" s="12" t="n"/>
      <c r="V275" s="14">
        <f>IF($AN275="",IF($B275="","",$H275),IF(INDEX(職員マスタ!$B$6:$B$405,$AN275)="",$H275,INDEX(職員マスタ!$B$6:$B$405,$AN275)))</f>
        <v/>
      </c>
      <c r="W275" s="14">
        <f>IF($AN275="",IF($B275="","",$R275),IF(INDEX(職員マスタ!$C$6:$C$405,$AN275)="",$R275,INDEX(職員マスタ!$C$6:$C$405,$AN275)))</f>
        <v/>
      </c>
      <c r="X275" s="14">
        <f>IF($AO275="","","R"&amp;$C275&amp;"."&amp;$D275)</f>
        <v/>
      </c>
      <c r="Y275" s="15">
        <f>IF($AN275="","",IF(INDEX(職員マスタ!$K$6:$K$405,$AN275)="","",INDEX(職員マスタ!$K$6:$K$405,$AN275)))</f>
        <v/>
      </c>
      <c r="Z275" s="14">
        <f>IF(OR($E275="",$Y275=""),"",IF($E275&gt;=$Y275,"×",IF($E275&gt;=$Y275*設定!$C$5,"△","○")))</f>
        <v/>
      </c>
      <c r="AA275" s="15">
        <f>IF($Z275="","",IF($Z275="×",0,IF($Z275="○",ROUNDDOWN($E275*設定!$C$4,0),ROUNDDOWN($E275*ROUND((9*$Y275-9*$E275)/(10*$E275),4),0))))</f>
        <v/>
      </c>
      <c r="AB275" s="13" t="n"/>
      <c r="AC275" s="15">
        <f>IF($B275="","",IF($AB275&lt;&gt;"",$AB275,IF($AA275="","",IF($AA275&lt;=設定!$C$3,0,$AA275))))</f>
        <v/>
      </c>
      <c r="AD275" s="14">
        <f>IF($B275="","",IF(AND($AE275&lt;&gt;"",$AG275="",$AJ275=""),"保留中",IF($AJ275&lt;&gt;"",IF(N($AC275)&gt;0,"支給済","不支給"),IF($AC275="","要確認",IF($AC275=0,"不支給","未処理")))))</f>
        <v/>
      </c>
      <c r="AE275" s="12" t="n"/>
      <c r="AF275" s="11" t="n"/>
      <c r="AG275" s="11" t="n"/>
      <c r="AH275" s="11" t="n"/>
      <c r="AI275" s="14">
        <f>IF(AND($AD275="保留中",$AF275&lt;&gt;""),TODAY()-$AF275,"")</f>
        <v/>
      </c>
      <c r="AJ275" s="12" t="inlineStr">
        <is>
          <t>R7.10</t>
        </is>
      </c>
      <c r="AK275" s="14">
        <f>IF($B275="","",IF($AO275="","対象年月が未入力／","")&amp;IF($B275="","",IF($AN275="","職員マスタに未登録の職員番号／",IF($Y275="","標準報酬月額が未登録／","")&amp;IF(AND($AO275&lt;&gt;"",OR(AND(INDEX(職員マスタ!$G$6:$G$405,$AN275)&lt;&gt;"",INDEX(職員マスタ!$G$6:$G$405,$AN275)&gt;EOMONTH($AO275,0)),AND(INDEX(職員マスタ!$H$6:$H$405,$AN275)&lt;&gt;"",INDEX(職員マスタ!$H$6:$H$405,$AN275)&lt;$AO275))),"対象月が時短期間外／","")&amp;IF(AND(INDEX(職員マスタ!$F$6:$F$405,$AN275)&lt;&gt;"",$AO275&lt;&gt;"",INDEX(職員マスタ!$F$6:$F$405,$AN275)&lt;$AO275),"対象月に子が2歳到達済／","")&amp;IF(AND($H275&lt;&gt;"",INDEX(職員マスタ!$B$6:$B$405,$AN275)&lt;&gt;"",SUBSTITUTE(SUBSTITUTE($H275," ","")," ","")&lt;&gt;SUBSTITUTE(SUBSTITUTE(INDEX(職員マスタ!$B$6:$B$405,$AN275)," ","")," ","")),"氏名がマスタと相違／","")&amp;IF(AND($Q275&lt;&gt;"",INDEX(職員マスタ!$E$6:$E$405,$AN275)&lt;&gt;"",$Q275&lt;&gt;INDEX(職員マスタ!$E$6:$E$405,$AN275)),"子の生年月日がマスタと相違／","")&amp;IF(AND($L275&lt;&gt;"",INDEX(職員マスタ!$G$6:$G$405,$AN275)&lt;&gt;"",$L275&lt;&gt;INDEX(職員マスタ!$G$6:$G$405,$AN275)),"時短開始日がマスタと相違／","")&amp;IF(AND($M275&lt;&gt;"",INDEX(職員マスタ!$H$6:$H$405,$AN275)&lt;&gt;"",$M275&lt;&gt;INDEX(職員マスタ!$H$6:$H$405,$AN275)),"時短終了日がマスタと相違／","")))&amp;IF(AND($B275&lt;&gt;"",$E275=""),"報酬額が未入力／","")&amp;IF(N($U275)&gt;0,"申請書に入力エラーが残っています／","")&amp;IF(AND($B275&lt;&gt;"",$AO275&lt;&gt;""),IF(COUNTIFS($B$6:$B$3005,$B275,$C$6:$C$3005,$C275,$D$6:$D$3005,$D275)&gt;1,"同じ月の請求が重複しています／",""),"")&amp;IF(AND(N($E275)&gt;0,$Z275&lt;&gt;"",$Z275&lt;&gt;"×",$AC275=0,$AB275=""),"計算額が下限以下のため不支給／",""))</f>
        <v/>
      </c>
      <c r="AL275" s="12" t="n"/>
      <c r="AM275" s="14">
        <f>IF($AD275="保留中",COUNTIF($AD$6:$AD275,"保留中"),"")</f>
        <v/>
      </c>
      <c r="AN275" s="14">
        <f>IF($AO275="","",IF(SUMPRODUCT(MAX((職員マスタ!$A$6:$A$405=$B275)*(((職員マスタ!$G$6:$G$405="")+(職員マスタ!$G$6:$G$405&lt;=EOMONTH($AO275,0)))&gt;0)*(((職員マスタ!$H$6:$H$405="")+(職員マスタ!$H$6:$H$405&gt;=$AO275))&gt;0)*(ROW(職員マスタ!$A$6:$A$405)-5)))&gt;0,SUMPRODUCT(MAX((職員マスタ!$A$6:$A$405=$B275)*(((職員マスタ!$G$6:$G$405="")+(職員マスタ!$G$6:$G$405&lt;=EOMONTH($AO275,0)))&gt;0)*(((職員マスタ!$H$6:$H$405="")+(職員マスタ!$H$6:$H$405&gt;=$AO275))&gt;0)*(ROW(職員マスタ!$A$6:$A$405)-5))),IFERROR(MATCH($B275,職員マスタ!$A$6:$A$405,0),"")))</f>
        <v/>
      </c>
      <c r="AO275" s="16">
        <f>IF(OR($B275="",$C275="",$D275=""),"",DATE($C275+2018,$D275,1))</f>
        <v/>
      </c>
    </row>
    <row r="276">
      <c r="A276" s="11" t="n"/>
      <c r="B276" s="12" t="n">
        <v>6602635</v>
      </c>
      <c r="C276" s="12" t="n">
        <v>7</v>
      </c>
      <c r="D276" s="12" t="n">
        <v>5</v>
      </c>
      <c r="E276" s="13" t="n">
        <v>187354</v>
      </c>
      <c r="F276" s="12" t="n"/>
      <c r="G276" s="13" t="n"/>
      <c r="H276" s="12" t="n"/>
      <c r="I276" s="12" t="n"/>
      <c r="J276" s="12" t="n"/>
      <c r="K276" s="12" t="n"/>
      <c r="L276" s="11" t="n"/>
      <c r="M276" s="11" t="n"/>
      <c r="N276" s="11" t="n"/>
      <c r="O276" s="11" t="n"/>
      <c r="P276" s="12" t="n"/>
      <c r="Q276" s="11" t="n"/>
      <c r="R276" s="12" t="n"/>
      <c r="S276" s="11" t="n"/>
      <c r="T276" s="12" t="n"/>
      <c r="U276" s="12" t="n"/>
      <c r="V276" s="14">
        <f>IF($AN276="",IF($B276="","",$H276),IF(INDEX(職員マスタ!$B$6:$B$405,$AN276)="",$H276,INDEX(職員マスタ!$B$6:$B$405,$AN276)))</f>
        <v/>
      </c>
      <c r="W276" s="14">
        <f>IF($AN276="",IF($B276="","",$R276),IF(INDEX(職員マスタ!$C$6:$C$405,$AN276)="",$R276,INDEX(職員マスタ!$C$6:$C$405,$AN276)))</f>
        <v/>
      </c>
      <c r="X276" s="14">
        <f>IF($AO276="","","R"&amp;$C276&amp;"."&amp;$D276)</f>
        <v/>
      </c>
      <c r="Y276" s="15">
        <f>IF($AN276="","",IF(INDEX(職員マスタ!$K$6:$K$405,$AN276)="","",INDEX(職員マスタ!$K$6:$K$405,$AN276)))</f>
        <v/>
      </c>
      <c r="Z276" s="14">
        <f>IF(OR($E276="",$Y276=""),"",IF($E276&gt;=$Y276,"×",IF($E276&gt;=$Y276*設定!$C$5,"△","○")))</f>
        <v/>
      </c>
      <c r="AA276" s="15">
        <f>IF($Z276="","",IF($Z276="×",0,IF($Z276="○",ROUNDDOWN($E276*設定!$C$4,0),ROUNDDOWN($E276*ROUND((9*$Y276-9*$E276)/(10*$E276),4),0))))</f>
        <v/>
      </c>
      <c r="AB276" s="13" t="n"/>
      <c r="AC276" s="15">
        <f>IF($B276="","",IF($AB276&lt;&gt;"",$AB276,IF($AA276="","",IF($AA276&lt;=設定!$C$3,0,$AA276))))</f>
        <v/>
      </c>
      <c r="AD276" s="14">
        <f>IF($B276="","",IF(AND($AE276&lt;&gt;"",$AG276="",$AJ276=""),"保留中",IF($AJ276&lt;&gt;"",IF(N($AC276)&gt;0,"支給済","不支給"),IF($AC276="","要確認",IF($AC276=0,"不支給","未処理")))))</f>
        <v/>
      </c>
      <c r="AE276" s="12" t="n"/>
      <c r="AF276" s="11" t="n"/>
      <c r="AG276" s="11" t="n"/>
      <c r="AH276" s="11" t="n"/>
      <c r="AI276" s="14">
        <f>IF(AND($AD276="保留中",$AF276&lt;&gt;""),TODAY()-$AF276,"")</f>
        <v/>
      </c>
      <c r="AJ276" s="12" t="inlineStr">
        <is>
          <t>R7.8</t>
        </is>
      </c>
      <c r="AK276" s="14">
        <f>IF($B276="","",IF($AO276="","対象年月が未入力／","")&amp;IF($B276="","",IF($AN276="","職員マスタに未登録の職員番号／",IF($Y276="","標準報酬月額が未登録／","")&amp;IF(AND($AO276&lt;&gt;"",OR(AND(INDEX(職員マスタ!$G$6:$G$405,$AN276)&lt;&gt;"",INDEX(職員マスタ!$G$6:$G$405,$AN276)&gt;EOMONTH($AO276,0)),AND(INDEX(職員マスタ!$H$6:$H$405,$AN276)&lt;&gt;"",INDEX(職員マスタ!$H$6:$H$405,$AN276)&lt;$AO276))),"対象月が時短期間外／","")&amp;IF(AND(INDEX(職員マスタ!$F$6:$F$405,$AN276)&lt;&gt;"",$AO276&lt;&gt;"",INDEX(職員マスタ!$F$6:$F$405,$AN276)&lt;$AO276),"対象月に子が2歳到達済／","")&amp;IF(AND($H276&lt;&gt;"",INDEX(職員マスタ!$B$6:$B$405,$AN276)&lt;&gt;"",SUBSTITUTE(SUBSTITUTE($H276," ","")," ","")&lt;&gt;SUBSTITUTE(SUBSTITUTE(INDEX(職員マスタ!$B$6:$B$405,$AN276)," ","")," ","")),"氏名がマスタと相違／","")&amp;IF(AND($Q276&lt;&gt;"",INDEX(職員マスタ!$E$6:$E$405,$AN276)&lt;&gt;"",$Q276&lt;&gt;INDEX(職員マスタ!$E$6:$E$405,$AN276)),"子の生年月日がマスタと相違／","")&amp;IF(AND($L276&lt;&gt;"",INDEX(職員マスタ!$G$6:$G$405,$AN276)&lt;&gt;"",$L276&lt;&gt;INDEX(職員マスタ!$G$6:$G$405,$AN276)),"時短開始日がマスタと相違／","")&amp;IF(AND($M276&lt;&gt;"",INDEX(職員マスタ!$H$6:$H$405,$AN276)&lt;&gt;"",$M276&lt;&gt;INDEX(職員マスタ!$H$6:$H$405,$AN276)),"時短終了日がマスタと相違／","")))&amp;IF(AND($B276&lt;&gt;"",$E276=""),"報酬額が未入力／","")&amp;IF(N($U276)&gt;0,"申請書に入力エラーが残っています／","")&amp;IF(AND($B276&lt;&gt;"",$AO276&lt;&gt;""),IF(COUNTIFS($B$6:$B$3005,$B276,$C$6:$C$3005,$C276,$D$6:$D$3005,$D276)&gt;1,"同じ月の請求が重複しています／",""),"")&amp;IF(AND(N($E276)&gt;0,$Z276&lt;&gt;"",$Z276&lt;&gt;"×",$AC276=0,$AB276=""),"計算額が下限以下のため不支給／",""))</f>
        <v/>
      </c>
      <c r="AL276" s="12" t="n"/>
      <c r="AM276" s="14">
        <f>IF($AD276="保留中",COUNTIF($AD$6:$AD276,"保留中"),"")</f>
        <v/>
      </c>
      <c r="AN276" s="14">
        <f>IF($AO276="","",IF(SUMPRODUCT(MAX((職員マスタ!$A$6:$A$405=$B276)*(((職員マスタ!$G$6:$G$405="")+(職員マスタ!$G$6:$G$405&lt;=EOMONTH($AO276,0)))&gt;0)*(((職員マスタ!$H$6:$H$405="")+(職員マスタ!$H$6:$H$405&gt;=$AO276))&gt;0)*(ROW(職員マスタ!$A$6:$A$405)-5)))&gt;0,SUMPRODUCT(MAX((職員マスタ!$A$6:$A$405=$B276)*(((職員マスタ!$G$6:$G$405="")+(職員マスタ!$G$6:$G$405&lt;=EOMONTH($AO276,0)))&gt;0)*(((職員マスタ!$H$6:$H$405="")+(職員マスタ!$H$6:$H$405&gt;=$AO276))&gt;0)*(ROW(職員マスタ!$A$6:$A$405)-5))),IFERROR(MATCH($B276,職員マスタ!$A$6:$A$405,0),"")))</f>
        <v/>
      </c>
      <c r="AO276" s="16">
        <f>IF(OR($B276="",$C276="",$D276=""),"",DATE($C276+2018,$D276,1))</f>
        <v/>
      </c>
    </row>
    <row r="277">
      <c r="A277" s="11" t="n"/>
      <c r="B277" s="12" t="n">
        <v>6602635</v>
      </c>
      <c r="C277" s="12" t="n">
        <v>7</v>
      </c>
      <c r="D277" s="12" t="n">
        <v>6</v>
      </c>
      <c r="E277" s="13" t="n">
        <v>189280</v>
      </c>
      <c r="F277" s="12" t="n"/>
      <c r="G277" s="13" t="n"/>
      <c r="H277" s="12" t="n"/>
      <c r="I277" s="12" t="n"/>
      <c r="J277" s="12" t="n"/>
      <c r="K277" s="12" t="n"/>
      <c r="L277" s="11" t="n"/>
      <c r="M277" s="11" t="n"/>
      <c r="N277" s="11" t="n"/>
      <c r="O277" s="11" t="n"/>
      <c r="P277" s="12" t="n"/>
      <c r="Q277" s="11" t="n"/>
      <c r="R277" s="12" t="n"/>
      <c r="S277" s="11" t="n"/>
      <c r="T277" s="12" t="n"/>
      <c r="U277" s="12" t="n"/>
      <c r="V277" s="14">
        <f>IF($AN277="",IF($B277="","",$H277),IF(INDEX(職員マスタ!$B$6:$B$405,$AN277)="",$H277,INDEX(職員マスタ!$B$6:$B$405,$AN277)))</f>
        <v/>
      </c>
      <c r="W277" s="14">
        <f>IF($AN277="",IF($B277="","",$R277),IF(INDEX(職員マスタ!$C$6:$C$405,$AN277)="",$R277,INDEX(職員マスタ!$C$6:$C$405,$AN277)))</f>
        <v/>
      </c>
      <c r="X277" s="14">
        <f>IF($AO277="","","R"&amp;$C277&amp;"."&amp;$D277)</f>
        <v/>
      </c>
      <c r="Y277" s="15">
        <f>IF($AN277="","",IF(INDEX(職員マスタ!$K$6:$K$405,$AN277)="","",INDEX(職員マスタ!$K$6:$K$405,$AN277)))</f>
        <v/>
      </c>
      <c r="Z277" s="14">
        <f>IF(OR($E277="",$Y277=""),"",IF($E277&gt;=$Y277,"×",IF($E277&gt;=$Y277*設定!$C$5,"△","○")))</f>
        <v/>
      </c>
      <c r="AA277" s="15">
        <f>IF($Z277="","",IF($Z277="×",0,IF($Z277="○",ROUNDDOWN($E277*設定!$C$4,0),ROUNDDOWN($E277*ROUND((9*$Y277-9*$E277)/(10*$E277),4),0))))</f>
        <v/>
      </c>
      <c r="AB277" s="13" t="n"/>
      <c r="AC277" s="15">
        <f>IF($B277="","",IF($AB277&lt;&gt;"",$AB277,IF($AA277="","",IF($AA277&lt;=設定!$C$3,0,$AA277))))</f>
        <v/>
      </c>
      <c r="AD277" s="14">
        <f>IF($B277="","",IF(AND($AE277&lt;&gt;"",$AG277="",$AJ277=""),"保留中",IF($AJ277&lt;&gt;"",IF(N($AC277)&gt;0,"支給済","不支給"),IF($AC277="","要確認",IF($AC277=0,"不支給","未処理")))))</f>
        <v/>
      </c>
      <c r="AE277" s="12" t="n"/>
      <c r="AF277" s="11" t="n"/>
      <c r="AG277" s="11" t="n"/>
      <c r="AH277" s="11" t="n"/>
      <c r="AI277" s="14">
        <f>IF(AND($AD277="保留中",$AF277&lt;&gt;""),TODAY()-$AF277,"")</f>
        <v/>
      </c>
      <c r="AJ277" s="12" t="inlineStr">
        <is>
          <t>R7.8</t>
        </is>
      </c>
      <c r="AK277" s="14">
        <f>IF($B277="","",IF($AO277="","対象年月が未入力／","")&amp;IF($B277="","",IF($AN277="","職員マスタに未登録の職員番号／",IF($Y277="","標準報酬月額が未登録／","")&amp;IF(AND($AO277&lt;&gt;"",OR(AND(INDEX(職員マスタ!$G$6:$G$405,$AN277)&lt;&gt;"",INDEX(職員マスタ!$G$6:$G$405,$AN277)&gt;EOMONTH($AO277,0)),AND(INDEX(職員マスタ!$H$6:$H$405,$AN277)&lt;&gt;"",INDEX(職員マスタ!$H$6:$H$405,$AN277)&lt;$AO277))),"対象月が時短期間外／","")&amp;IF(AND(INDEX(職員マスタ!$F$6:$F$405,$AN277)&lt;&gt;"",$AO277&lt;&gt;"",INDEX(職員マスタ!$F$6:$F$405,$AN277)&lt;$AO277),"対象月に子が2歳到達済／","")&amp;IF(AND($H277&lt;&gt;"",INDEX(職員マスタ!$B$6:$B$405,$AN277)&lt;&gt;"",SUBSTITUTE(SUBSTITUTE($H277," ","")," ","")&lt;&gt;SUBSTITUTE(SUBSTITUTE(INDEX(職員マスタ!$B$6:$B$405,$AN277)," ","")," ","")),"氏名がマスタと相違／","")&amp;IF(AND($Q277&lt;&gt;"",INDEX(職員マスタ!$E$6:$E$405,$AN277)&lt;&gt;"",$Q277&lt;&gt;INDEX(職員マスタ!$E$6:$E$405,$AN277)),"子の生年月日がマスタと相違／","")&amp;IF(AND($L277&lt;&gt;"",INDEX(職員マスタ!$G$6:$G$405,$AN277)&lt;&gt;"",$L277&lt;&gt;INDEX(職員マスタ!$G$6:$G$405,$AN277)),"時短開始日がマスタと相違／","")&amp;IF(AND($M277&lt;&gt;"",INDEX(職員マスタ!$H$6:$H$405,$AN277)&lt;&gt;"",$M277&lt;&gt;INDEX(職員マスタ!$H$6:$H$405,$AN277)),"時短終了日がマスタと相違／","")))&amp;IF(AND($B277&lt;&gt;"",$E277=""),"報酬額が未入力／","")&amp;IF(N($U277)&gt;0,"申請書に入力エラーが残っています／","")&amp;IF(AND($B277&lt;&gt;"",$AO277&lt;&gt;""),IF(COUNTIFS($B$6:$B$3005,$B277,$C$6:$C$3005,$C277,$D$6:$D$3005,$D277)&gt;1,"同じ月の請求が重複しています／",""),"")&amp;IF(AND(N($E277)&gt;0,$Z277&lt;&gt;"",$Z277&lt;&gt;"×",$AC277=0,$AB277=""),"計算額が下限以下のため不支給／",""))</f>
        <v/>
      </c>
      <c r="AL277" s="12" t="n"/>
      <c r="AM277" s="14">
        <f>IF($AD277="保留中",COUNTIF($AD$6:$AD277,"保留中"),"")</f>
        <v/>
      </c>
      <c r="AN277" s="14">
        <f>IF($AO277="","",IF(SUMPRODUCT(MAX((職員マスタ!$A$6:$A$405=$B277)*(((職員マスタ!$G$6:$G$405="")+(職員マスタ!$G$6:$G$405&lt;=EOMONTH($AO277,0)))&gt;0)*(((職員マスタ!$H$6:$H$405="")+(職員マスタ!$H$6:$H$405&gt;=$AO277))&gt;0)*(ROW(職員マスタ!$A$6:$A$405)-5)))&gt;0,SUMPRODUCT(MAX((職員マスタ!$A$6:$A$405=$B277)*(((職員マスタ!$G$6:$G$405="")+(職員マスタ!$G$6:$G$405&lt;=EOMONTH($AO277,0)))&gt;0)*(((職員マスタ!$H$6:$H$405="")+(職員マスタ!$H$6:$H$405&gt;=$AO277))&gt;0)*(ROW(職員マスタ!$A$6:$A$405)-5))),IFERROR(MATCH($B277,職員マスタ!$A$6:$A$405,0),"")))</f>
        <v/>
      </c>
      <c r="AO277" s="16">
        <f>IF(OR($B277="",$C277="",$D277=""),"",DATE($C277+2018,$D277,1))</f>
        <v/>
      </c>
    </row>
    <row r="278">
      <c r="A278" s="11" t="n"/>
      <c r="B278" s="12" t="n">
        <v>6602635</v>
      </c>
      <c r="C278" s="12" t="n">
        <v>7</v>
      </c>
      <c r="D278" s="12" t="n">
        <v>7</v>
      </c>
      <c r="E278" s="13" t="n">
        <v>187354</v>
      </c>
      <c r="F278" s="12" t="n"/>
      <c r="G278" s="13" t="n"/>
      <c r="H278" s="12" t="n"/>
      <c r="I278" s="12" t="n"/>
      <c r="J278" s="12" t="n"/>
      <c r="K278" s="12" t="n"/>
      <c r="L278" s="11" t="n"/>
      <c r="M278" s="11" t="n"/>
      <c r="N278" s="11" t="n"/>
      <c r="O278" s="11" t="n"/>
      <c r="P278" s="12" t="n"/>
      <c r="Q278" s="11" t="n"/>
      <c r="R278" s="12" t="n"/>
      <c r="S278" s="11" t="n"/>
      <c r="T278" s="12" t="n"/>
      <c r="U278" s="12" t="n"/>
      <c r="V278" s="14">
        <f>IF($AN278="",IF($B278="","",$H278),IF(INDEX(職員マスタ!$B$6:$B$405,$AN278)="",$H278,INDEX(職員マスタ!$B$6:$B$405,$AN278)))</f>
        <v/>
      </c>
      <c r="W278" s="14">
        <f>IF($AN278="",IF($B278="","",$R278),IF(INDEX(職員マスタ!$C$6:$C$405,$AN278)="",$R278,INDEX(職員マスタ!$C$6:$C$405,$AN278)))</f>
        <v/>
      </c>
      <c r="X278" s="14">
        <f>IF($AO278="","","R"&amp;$C278&amp;"."&amp;$D278)</f>
        <v/>
      </c>
      <c r="Y278" s="15">
        <f>IF($AN278="","",IF(INDEX(職員マスタ!$K$6:$K$405,$AN278)="","",INDEX(職員マスタ!$K$6:$K$405,$AN278)))</f>
        <v/>
      </c>
      <c r="Z278" s="14">
        <f>IF(OR($E278="",$Y278=""),"",IF($E278&gt;=$Y278,"×",IF($E278&gt;=$Y278*設定!$C$5,"△","○")))</f>
        <v/>
      </c>
      <c r="AA278" s="15">
        <f>IF($Z278="","",IF($Z278="×",0,IF($Z278="○",ROUNDDOWN($E278*設定!$C$4,0),ROUNDDOWN($E278*ROUND((9*$Y278-9*$E278)/(10*$E278),4),0))))</f>
        <v/>
      </c>
      <c r="AB278" s="13" t="n"/>
      <c r="AC278" s="15">
        <f>IF($B278="","",IF($AB278&lt;&gt;"",$AB278,IF($AA278="","",IF($AA278&lt;=設定!$C$3,0,$AA278))))</f>
        <v/>
      </c>
      <c r="AD278" s="14">
        <f>IF($B278="","",IF(AND($AE278&lt;&gt;"",$AG278="",$AJ278=""),"保留中",IF($AJ278&lt;&gt;"",IF(N($AC278)&gt;0,"支給済","不支給"),IF($AC278="","要確認",IF($AC278=0,"不支給","未処理")))))</f>
        <v/>
      </c>
      <c r="AE278" s="12" t="n"/>
      <c r="AF278" s="11" t="n"/>
      <c r="AG278" s="11" t="n"/>
      <c r="AH278" s="11" t="n"/>
      <c r="AI278" s="14">
        <f>IF(AND($AD278="保留中",$AF278&lt;&gt;""),TODAY()-$AF278,"")</f>
        <v/>
      </c>
      <c r="AJ278" s="12" t="inlineStr">
        <is>
          <t>R7.9</t>
        </is>
      </c>
      <c r="AK278" s="14">
        <f>IF($B278="","",IF($AO278="","対象年月が未入力／","")&amp;IF($B278="","",IF($AN278="","職員マスタに未登録の職員番号／",IF($Y278="","標準報酬月額が未登録／","")&amp;IF(AND($AO278&lt;&gt;"",OR(AND(INDEX(職員マスタ!$G$6:$G$405,$AN278)&lt;&gt;"",INDEX(職員マスタ!$G$6:$G$405,$AN278)&gt;EOMONTH($AO278,0)),AND(INDEX(職員マスタ!$H$6:$H$405,$AN278)&lt;&gt;"",INDEX(職員マスタ!$H$6:$H$405,$AN278)&lt;$AO278))),"対象月が時短期間外／","")&amp;IF(AND(INDEX(職員マスタ!$F$6:$F$405,$AN278)&lt;&gt;"",$AO278&lt;&gt;"",INDEX(職員マスタ!$F$6:$F$405,$AN278)&lt;$AO278),"対象月に子が2歳到達済／","")&amp;IF(AND($H278&lt;&gt;"",INDEX(職員マスタ!$B$6:$B$405,$AN278)&lt;&gt;"",SUBSTITUTE(SUBSTITUTE($H278," ","")," ","")&lt;&gt;SUBSTITUTE(SUBSTITUTE(INDEX(職員マスタ!$B$6:$B$405,$AN278)," ","")," ","")),"氏名がマスタと相違／","")&amp;IF(AND($Q278&lt;&gt;"",INDEX(職員マスタ!$E$6:$E$405,$AN278)&lt;&gt;"",$Q278&lt;&gt;INDEX(職員マスタ!$E$6:$E$405,$AN278)),"子の生年月日がマスタと相違／","")&amp;IF(AND($L278&lt;&gt;"",INDEX(職員マスタ!$G$6:$G$405,$AN278)&lt;&gt;"",$L278&lt;&gt;INDEX(職員マスタ!$G$6:$G$405,$AN278)),"時短開始日がマスタと相違／","")&amp;IF(AND($M278&lt;&gt;"",INDEX(職員マスタ!$H$6:$H$405,$AN278)&lt;&gt;"",$M278&lt;&gt;INDEX(職員マスタ!$H$6:$H$405,$AN278)),"時短終了日がマスタと相違／","")))&amp;IF(AND($B278&lt;&gt;"",$E278=""),"報酬額が未入力／","")&amp;IF(N($U278)&gt;0,"申請書に入力エラーが残っています／","")&amp;IF(AND($B278&lt;&gt;"",$AO278&lt;&gt;""),IF(COUNTIFS($B$6:$B$3005,$B278,$C$6:$C$3005,$C278,$D$6:$D$3005,$D278)&gt;1,"同じ月の請求が重複しています／",""),"")&amp;IF(AND(N($E278)&gt;0,$Z278&lt;&gt;"",$Z278&lt;&gt;"×",$AC278=0,$AB278=""),"計算額が下限以下のため不支給／",""))</f>
        <v/>
      </c>
      <c r="AL278" s="12" t="n"/>
      <c r="AM278" s="14">
        <f>IF($AD278="保留中",COUNTIF($AD$6:$AD278,"保留中"),"")</f>
        <v/>
      </c>
      <c r="AN278" s="14">
        <f>IF($AO278="","",IF(SUMPRODUCT(MAX((職員マスタ!$A$6:$A$405=$B278)*(((職員マスタ!$G$6:$G$405="")+(職員マスタ!$G$6:$G$405&lt;=EOMONTH($AO278,0)))&gt;0)*(((職員マスタ!$H$6:$H$405="")+(職員マスタ!$H$6:$H$405&gt;=$AO278))&gt;0)*(ROW(職員マスタ!$A$6:$A$405)-5)))&gt;0,SUMPRODUCT(MAX((職員マスタ!$A$6:$A$405=$B278)*(((職員マスタ!$G$6:$G$405="")+(職員マスタ!$G$6:$G$405&lt;=EOMONTH($AO278,0)))&gt;0)*(((職員マスタ!$H$6:$H$405="")+(職員マスタ!$H$6:$H$405&gt;=$AO278))&gt;0)*(ROW(職員マスタ!$A$6:$A$405)-5))),IFERROR(MATCH($B278,職員マスタ!$A$6:$A$405,0),"")))</f>
        <v/>
      </c>
      <c r="AO278" s="16">
        <f>IF(OR($B278="",$C278="",$D278=""),"",DATE($C278+2018,$D278,1))</f>
        <v/>
      </c>
    </row>
    <row r="279">
      <c r="A279" s="11" t="n"/>
      <c r="B279" s="12" t="n">
        <v>6602635</v>
      </c>
      <c r="C279" s="12" t="n">
        <v>7</v>
      </c>
      <c r="D279" s="12" t="n">
        <v>8</v>
      </c>
      <c r="E279" s="13" t="n">
        <v>187354</v>
      </c>
      <c r="F279" s="12" t="n"/>
      <c r="G279" s="13" t="n"/>
      <c r="H279" s="12" t="n"/>
      <c r="I279" s="12" t="n"/>
      <c r="J279" s="12" t="n"/>
      <c r="K279" s="12" t="n"/>
      <c r="L279" s="11" t="n"/>
      <c r="M279" s="11" t="n"/>
      <c r="N279" s="11" t="n"/>
      <c r="O279" s="11" t="n"/>
      <c r="P279" s="12" t="n"/>
      <c r="Q279" s="11" t="n"/>
      <c r="R279" s="12" t="n"/>
      <c r="S279" s="11" t="n"/>
      <c r="T279" s="12" t="n"/>
      <c r="U279" s="12" t="n"/>
      <c r="V279" s="14">
        <f>IF($AN279="",IF($B279="","",$H279),IF(INDEX(職員マスタ!$B$6:$B$405,$AN279)="",$H279,INDEX(職員マスタ!$B$6:$B$405,$AN279)))</f>
        <v/>
      </c>
      <c r="W279" s="14">
        <f>IF($AN279="",IF($B279="","",$R279),IF(INDEX(職員マスタ!$C$6:$C$405,$AN279)="",$R279,INDEX(職員マスタ!$C$6:$C$405,$AN279)))</f>
        <v/>
      </c>
      <c r="X279" s="14">
        <f>IF($AO279="","","R"&amp;$C279&amp;"."&amp;$D279)</f>
        <v/>
      </c>
      <c r="Y279" s="15">
        <f>IF($AN279="","",IF(INDEX(職員マスタ!$K$6:$K$405,$AN279)="","",INDEX(職員マスタ!$K$6:$K$405,$AN279)))</f>
        <v/>
      </c>
      <c r="Z279" s="14">
        <f>IF(OR($E279="",$Y279=""),"",IF($E279&gt;=$Y279,"×",IF($E279&gt;=$Y279*設定!$C$5,"△","○")))</f>
        <v/>
      </c>
      <c r="AA279" s="15">
        <f>IF($Z279="","",IF($Z279="×",0,IF($Z279="○",ROUNDDOWN($E279*設定!$C$4,0),ROUNDDOWN($E279*ROUND((9*$Y279-9*$E279)/(10*$E279),4),0))))</f>
        <v/>
      </c>
      <c r="AB279" s="13" t="n"/>
      <c r="AC279" s="15">
        <f>IF($B279="","",IF($AB279&lt;&gt;"",$AB279,IF($AA279="","",IF($AA279&lt;=設定!$C$3,0,$AA279))))</f>
        <v/>
      </c>
      <c r="AD279" s="14">
        <f>IF($B279="","",IF(AND($AE279&lt;&gt;"",$AG279="",$AJ279=""),"保留中",IF($AJ279&lt;&gt;"",IF(N($AC279)&gt;0,"支給済","不支給"),IF($AC279="","要確認",IF($AC279=0,"不支給","未処理")))))</f>
        <v/>
      </c>
      <c r="AE279" s="12" t="n"/>
      <c r="AF279" s="11" t="n"/>
      <c r="AG279" s="11" t="n"/>
      <c r="AH279" s="11" t="n"/>
      <c r="AI279" s="14">
        <f>IF(AND($AD279="保留中",$AF279&lt;&gt;""),TODAY()-$AF279,"")</f>
        <v/>
      </c>
      <c r="AJ279" s="12" t="inlineStr">
        <is>
          <t>R7.10</t>
        </is>
      </c>
      <c r="AK279" s="14">
        <f>IF($B279="","",IF($AO279="","対象年月が未入力／","")&amp;IF($B279="","",IF($AN279="","職員マスタに未登録の職員番号／",IF($Y279="","標準報酬月額が未登録／","")&amp;IF(AND($AO279&lt;&gt;"",OR(AND(INDEX(職員マスタ!$G$6:$G$405,$AN279)&lt;&gt;"",INDEX(職員マスタ!$G$6:$G$405,$AN279)&gt;EOMONTH($AO279,0)),AND(INDEX(職員マスタ!$H$6:$H$405,$AN279)&lt;&gt;"",INDEX(職員マスタ!$H$6:$H$405,$AN279)&lt;$AO279))),"対象月が時短期間外／","")&amp;IF(AND(INDEX(職員マスタ!$F$6:$F$405,$AN279)&lt;&gt;"",$AO279&lt;&gt;"",INDEX(職員マスタ!$F$6:$F$405,$AN279)&lt;$AO279),"対象月に子が2歳到達済／","")&amp;IF(AND($H279&lt;&gt;"",INDEX(職員マスタ!$B$6:$B$405,$AN279)&lt;&gt;"",SUBSTITUTE(SUBSTITUTE($H279," ","")," ","")&lt;&gt;SUBSTITUTE(SUBSTITUTE(INDEX(職員マスタ!$B$6:$B$405,$AN279)," ","")," ","")),"氏名がマスタと相違／","")&amp;IF(AND($Q279&lt;&gt;"",INDEX(職員マスタ!$E$6:$E$405,$AN279)&lt;&gt;"",$Q279&lt;&gt;INDEX(職員マスタ!$E$6:$E$405,$AN279)),"子の生年月日がマスタと相違／","")&amp;IF(AND($L279&lt;&gt;"",INDEX(職員マスタ!$G$6:$G$405,$AN279)&lt;&gt;"",$L279&lt;&gt;INDEX(職員マスタ!$G$6:$G$405,$AN279)),"時短開始日がマスタと相違／","")&amp;IF(AND($M279&lt;&gt;"",INDEX(職員マスタ!$H$6:$H$405,$AN279)&lt;&gt;"",$M279&lt;&gt;INDEX(職員マスタ!$H$6:$H$405,$AN279)),"時短終了日がマスタと相違／","")))&amp;IF(AND($B279&lt;&gt;"",$E279=""),"報酬額が未入力／","")&amp;IF(N($U279)&gt;0,"申請書に入力エラーが残っています／","")&amp;IF(AND($B279&lt;&gt;"",$AO279&lt;&gt;""),IF(COUNTIFS($B$6:$B$3005,$B279,$C$6:$C$3005,$C279,$D$6:$D$3005,$D279)&gt;1,"同じ月の請求が重複しています／",""),"")&amp;IF(AND(N($E279)&gt;0,$Z279&lt;&gt;"",$Z279&lt;&gt;"×",$AC279=0,$AB279=""),"計算額が下限以下のため不支給／",""))</f>
        <v/>
      </c>
      <c r="AL279" s="12" t="n"/>
      <c r="AM279" s="14">
        <f>IF($AD279="保留中",COUNTIF($AD$6:$AD279,"保留中"),"")</f>
        <v/>
      </c>
      <c r="AN279" s="14">
        <f>IF($AO279="","",IF(SUMPRODUCT(MAX((職員マスタ!$A$6:$A$405=$B279)*(((職員マスタ!$G$6:$G$405="")+(職員マスタ!$G$6:$G$405&lt;=EOMONTH($AO279,0)))&gt;0)*(((職員マスタ!$H$6:$H$405="")+(職員マスタ!$H$6:$H$405&gt;=$AO279))&gt;0)*(ROW(職員マスタ!$A$6:$A$405)-5)))&gt;0,SUMPRODUCT(MAX((職員マスタ!$A$6:$A$405=$B279)*(((職員マスタ!$G$6:$G$405="")+(職員マスタ!$G$6:$G$405&lt;=EOMONTH($AO279,0)))&gt;0)*(((職員マスタ!$H$6:$H$405="")+(職員マスタ!$H$6:$H$405&gt;=$AO279))&gt;0)*(ROW(職員マスタ!$A$6:$A$405)-5))),IFERROR(MATCH($B279,職員マスタ!$A$6:$A$405,0),"")))</f>
        <v/>
      </c>
      <c r="AO279" s="16">
        <f>IF(OR($B279="",$C279="",$D279=""),"",DATE($C279+2018,$D279,1))</f>
        <v/>
      </c>
    </row>
    <row r="280">
      <c r="A280" s="11" t="n"/>
      <c r="B280" s="12" t="n">
        <v>6602635</v>
      </c>
      <c r="C280" s="12" t="n">
        <v>7</v>
      </c>
      <c r="D280" s="12" t="n">
        <v>9</v>
      </c>
      <c r="E280" s="13" t="n">
        <v>189280</v>
      </c>
      <c r="F280" s="12" t="n"/>
      <c r="G280" s="13" t="n"/>
      <c r="H280" s="12" t="n"/>
      <c r="I280" s="12" t="n"/>
      <c r="J280" s="12" t="n"/>
      <c r="K280" s="12" t="n"/>
      <c r="L280" s="11" t="n"/>
      <c r="M280" s="11" t="n"/>
      <c r="N280" s="11" t="n"/>
      <c r="O280" s="11" t="n"/>
      <c r="P280" s="12" t="n"/>
      <c r="Q280" s="11" t="n"/>
      <c r="R280" s="12" t="n"/>
      <c r="S280" s="11" t="n"/>
      <c r="T280" s="12" t="n"/>
      <c r="U280" s="12" t="n"/>
      <c r="V280" s="14">
        <f>IF($AN280="",IF($B280="","",$H280),IF(INDEX(職員マスタ!$B$6:$B$405,$AN280)="",$H280,INDEX(職員マスタ!$B$6:$B$405,$AN280)))</f>
        <v/>
      </c>
      <c r="W280" s="14">
        <f>IF($AN280="",IF($B280="","",$R280),IF(INDEX(職員マスタ!$C$6:$C$405,$AN280)="",$R280,INDEX(職員マスタ!$C$6:$C$405,$AN280)))</f>
        <v/>
      </c>
      <c r="X280" s="14">
        <f>IF($AO280="","","R"&amp;$C280&amp;"."&amp;$D280)</f>
        <v/>
      </c>
      <c r="Y280" s="15">
        <f>IF($AN280="","",IF(INDEX(職員マスタ!$K$6:$K$405,$AN280)="","",INDEX(職員マスタ!$K$6:$K$405,$AN280)))</f>
        <v/>
      </c>
      <c r="Z280" s="14">
        <f>IF(OR($E280="",$Y280=""),"",IF($E280&gt;=$Y280,"×",IF($E280&gt;=$Y280*設定!$C$5,"△","○")))</f>
        <v/>
      </c>
      <c r="AA280" s="15">
        <f>IF($Z280="","",IF($Z280="×",0,IF($Z280="○",ROUNDDOWN($E280*設定!$C$4,0),ROUNDDOWN($E280*ROUND((9*$Y280-9*$E280)/(10*$E280),4),0))))</f>
        <v/>
      </c>
      <c r="AB280" s="13" t="n"/>
      <c r="AC280" s="15">
        <f>IF($B280="","",IF($AB280&lt;&gt;"",$AB280,IF($AA280="","",IF($AA280&lt;=設定!$C$3,0,$AA280))))</f>
        <v/>
      </c>
      <c r="AD280" s="14">
        <f>IF($B280="","",IF(AND($AE280&lt;&gt;"",$AG280="",$AJ280=""),"保留中",IF($AJ280&lt;&gt;"",IF(N($AC280)&gt;0,"支給済","不支給"),IF($AC280="","要確認",IF($AC280=0,"不支給","未処理")))))</f>
        <v/>
      </c>
      <c r="AE280" s="12" t="n"/>
      <c r="AF280" s="11" t="n"/>
      <c r="AG280" s="11" t="n"/>
      <c r="AH280" s="11" t="n"/>
      <c r="AI280" s="14">
        <f>IF(AND($AD280="保留中",$AF280&lt;&gt;""),TODAY()-$AF280,"")</f>
        <v/>
      </c>
      <c r="AJ280" s="12" t="inlineStr">
        <is>
          <t>R7.11</t>
        </is>
      </c>
      <c r="AK280" s="14">
        <f>IF($B280="","",IF($AO280="","対象年月が未入力／","")&amp;IF($B280="","",IF($AN280="","職員マスタに未登録の職員番号／",IF($Y280="","標準報酬月額が未登録／","")&amp;IF(AND($AO280&lt;&gt;"",OR(AND(INDEX(職員マスタ!$G$6:$G$405,$AN280)&lt;&gt;"",INDEX(職員マスタ!$G$6:$G$405,$AN280)&gt;EOMONTH($AO280,0)),AND(INDEX(職員マスタ!$H$6:$H$405,$AN280)&lt;&gt;"",INDEX(職員マスタ!$H$6:$H$405,$AN280)&lt;$AO280))),"対象月が時短期間外／","")&amp;IF(AND(INDEX(職員マスタ!$F$6:$F$405,$AN280)&lt;&gt;"",$AO280&lt;&gt;"",INDEX(職員マスタ!$F$6:$F$405,$AN280)&lt;$AO280),"対象月に子が2歳到達済／","")&amp;IF(AND($H280&lt;&gt;"",INDEX(職員マスタ!$B$6:$B$405,$AN280)&lt;&gt;"",SUBSTITUTE(SUBSTITUTE($H280," ","")," ","")&lt;&gt;SUBSTITUTE(SUBSTITUTE(INDEX(職員マスタ!$B$6:$B$405,$AN280)," ","")," ","")),"氏名がマスタと相違／","")&amp;IF(AND($Q280&lt;&gt;"",INDEX(職員マスタ!$E$6:$E$405,$AN280)&lt;&gt;"",$Q280&lt;&gt;INDEX(職員マスタ!$E$6:$E$405,$AN280)),"子の生年月日がマスタと相違／","")&amp;IF(AND($L280&lt;&gt;"",INDEX(職員マスタ!$G$6:$G$405,$AN280)&lt;&gt;"",$L280&lt;&gt;INDEX(職員マスタ!$G$6:$G$405,$AN280)),"時短開始日がマスタと相違／","")&amp;IF(AND($M280&lt;&gt;"",INDEX(職員マスタ!$H$6:$H$405,$AN280)&lt;&gt;"",$M280&lt;&gt;INDEX(職員マスタ!$H$6:$H$405,$AN280)),"時短終了日がマスタと相違／","")))&amp;IF(AND($B280&lt;&gt;"",$E280=""),"報酬額が未入力／","")&amp;IF(N($U280)&gt;0,"申請書に入力エラーが残っています／","")&amp;IF(AND($B280&lt;&gt;"",$AO280&lt;&gt;""),IF(COUNTIFS($B$6:$B$3005,$B280,$C$6:$C$3005,$C280,$D$6:$D$3005,$D280)&gt;1,"同じ月の請求が重複しています／",""),"")&amp;IF(AND(N($E280)&gt;0,$Z280&lt;&gt;"",$Z280&lt;&gt;"×",$AC280=0,$AB280=""),"計算額が下限以下のため不支給／",""))</f>
        <v/>
      </c>
      <c r="AL280" s="12" t="n"/>
      <c r="AM280" s="14">
        <f>IF($AD280="保留中",COUNTIF($AD$6:$AD280,"保留中"),"")</f>
        <v/>
      </c>
      <c r="AN280" s="14">
        <f>IF($AO280="","",IF(SUMPRODUCT(MAX((職員マスタ!$A$6:$A$405=$B280)*(((職員マスタ!$G$6:$G$405="")+(職員マスタ!$G$6:$G$405&lt;=EOMONTH($AO280,0)))&gt;0)*(((職員マスタ!$H$6:$H$405="")+(職員マスタ!$H$6:$H$405&gt;=$AO280))&gt;0)*(ROW(職員マスタ!$A$6:$A$405)-5)))&gt;0,SUMPRODUCT(MAX((職員マスタ!$A$6:$A$405=$B280)*(((職員マスタ!$G$6:$G$405="")+(職員マスタ!$G$6:$G$405&lt;=EOMONTH($AO280,0)))&gt;0)*(((職員マスタ!$H$6:$H$405="")+(職員マスタ!$H$6:$H$405&gt;=$AO280))&gt;0)*(ROW(職員マスタ!$A$6:$A$405)-5))),IFERROR(MATCH($B280,職員マスタ!$A$6:$A$405,0),"")))</f>
        <v/>
      </c>
      <c r="AO280" s="16">
        <f>IF(OR($B280="",$C280="",$D280=""),"",DATE($C280+2018,$D280,1))</f>
        <v/>
      </c>
    </row>
    <row r="281">
      <c r="A281" s="11" t="n"/>
      <c r="B281" s="12" t="n">
        <v>6602635</v>
      </c>
      <c r="C281" s="12" t="n">
        <v>7</v>
      </c>
      <c r="D281" s="12" t="n">
        <v>10</v>
      </c>
      <c r="E281" s="13" t="n">
        <v>189280</v>
      </c>
      <c r="F281" s="12" t="n"/>
      <c r="G281" s="13" t="n"/>
      <c r="H281" s="12" t="n"/>
      <c r="I281" s="12" t="n"/>
      <c r="J281" s="12" t="n"/>
      <c r="K281" s="12" t="n"/>
      <c r="L281" s="11" t="n"/>
      <c r="M281" s="11" t="n"/>
      <c r="N281" s="11" t="n"/>
      <c r="O281" s="11" t="n"/>
      <c r="P281" s="12" t="n"/>
      <c r="Q281" s="11" t="n"/>
      <c r="R281" s="12" t="n"/>
      <c r="S281" s="11" t="n"/>
      <c r="T281" s="12" t="n"/>
      <c r="U281" s="12" t="n"/>
      <c r="V281" s="14">
        <f>IF($AN281="",IF($B281="","",$H281),IF(INDEX(職員マスタ!$B$6:$B$405,$AN281)="",$H281,INDEX(職員マスタ!$B$6:$B$405,$AN281)))</f>
        <v/>
      </c>
      <c r="W281" s="14">
        <f>IF($AN281="",IF($B281="","",$R281),IF(INDEX(職員マスタ!$C$6:$C$405,$AN281)="",$R281,INDEX(職員マスタ!$C$6:$C$405,$AN281)))</f>
        <v/>
      </c>
      <c r="X281" s="14">
        <f>IF($AO281="","","R"&amp;$C281&amp;"."&amp;$D281)</f>
        <v/>
      </c>
      <c r="Y281" s="15">
        <f>IF($AN281="","",IF(INDEX(職員マスタ!$K$6:$K$405,$AN281)="","",INDEX(職員マスタ!$K$6:$K$405,$AN281)))</f>
        <v/>
      </c>
      <c r="Z281" s="14">
        <f>IF(OR($E281="",$Y281=""),"",IF($E281&gt;=$Y281,"×",IF($E281&gt;=$Y281*設定!$C$5,"△","○")))</f>
        <v/>
      </c>
      <c r="AA281" s="15">
        <f>IF($Z281="","",IF($Z281="×",0,IF($Z281="○",ROUNDDOWN($E281*設定!$C$4,0),ROUNDDOWN($E281*ROUND((9*$Y281-9*$E281)/(10*$E281),4),0))))</f>
        <v/>
      </c>
      <c r="AB281" s="13" t="n"/>
      <c r="AC281" s="15">
        <f>IF($B281="","",IF($AB281&lt;&gt;"",$AB281,IF($AA281="","",IF($AA281&lt;=設定!$C$3,0,$AA281))))</f>
        <v/>
      </c>
      <c r="AD281" s="14">
        <f>IF($B281="","",IF(AND($AE281&lt;&gt;"",$AG281="",$AJ281=""),"保留中",IF($AJ281&lt;&gt;"",IF(N($AC281)&gt;0,"支給済","不支給"),IF($AC281="","要確認",IF($AC281=0,"不支給","未処理")))))</f>
        <v/>
      </c>
      <c r="AE281" s="12" t="n"/>
      <c r="AF281" s="11" t="n"/>
      <c r="AG281" s="11" t="n"/>
      <c r="AH281" s="11" t="n"/>
      <c r="AI281" s="14">
        <f>IF(AND($AD281="保留中",$AF281&lt;&gt;""),TODAY()-$AF281,"")</f>
        <v/>
      </c>
      <c r="AJ281" s="12" t="inlineStr">
        <is>
          <t>R7.12</t>
        </is>
      </c>
      <c r="AK281" s="14">
        <f>IF($B281="","",IF($AO281="","対象年月が未入力／","")&amp;IF($B281="","",IF($AN281="","職員マスタに未登録の職員番号／",IF($Y281="","標準報酬月額が未登録／","")&amp;IF(AND($AO281&lt;&gt;"",OR(AND(INDEX(職員マスタ!$G$6:$G$405,$AN281)&lt;&gt;"",INDEX(職員マスタ!$G$6:$G$405,$AN281)&gt;EOMONTH($AO281,0)),AND(INDEX(職員マスタ!$H$6:$H$405,$AN281)&lt;&gt;"",INDEX(職員マスタ!$H$6:$H$405,$AN281)&lt;$AO281))),"対象月が時短期間外／","")&amp;IF(AND(INDEX(職員マスタ!$F$6:$F$405,$AN281)&lt;&gt;"",$AO281&lt;&gt;"",INDEX(職員マスタ!$F$6:$F$405,$AN281)&lt;$AO281),"対象月に子が2歳到達済／","")&amp;IF(AND($H281&lt;&gt;"",INDEX(職員マスタ!$B$6:$B$405,$AN281)&lt;&gt;"",SUBSTITUTE(SUBSTITUTE($H281," ","")," ","")&lt;&gt;SUBSTITUTE(SUBSTITUTE(INDEX(職員マスタ!$B$6:$B$405,$AN281)," ","")," ","")),"氏名がマスタと相違／","")&amp;IF(AND($Q281&lt;&gt;"",INDEX(職員マスタ!$E$6:$E$405,$AN281)&lt;&gt;"",$Q281&lt;&gt;INDEX(職員マスタ!$E$6:$E$405,$AN281)),"子の生年月日がマスタと相違／","")&amp;IF(AND($L281&lt;&gt;"",INDEX(職員マスタ!$G$6:$G$405,$AN281)&lt;&gt;"",$L281&lt;&gt;INDEX(職員マスタ!$G$6:$G$405,$AN281)),"時短開始日がマスタと相違／","")&amp;IF(AND($M281&lt;&gt;"",INDEX(職員マスタ!$H$6:$H$405,$AN281)&lt;&gt;"",$M281&lt;&gt;INDEX(職員マスタ!$H$6:$H$405,$AN281)),"時短終了日がマスタと相違／","")))&amp;IF(AND($B281&lt;&gt;"",$E281=""),"報酬額が未入力／","")&amp;IF(N($U281)&gt;0,"申請書に入力エラーが残っています／","")&amp;IF(AND($B281&lt;&gt;"",$AO281&lt;&gt;""),IF(COUNTIFS($B$6:$B$3005,$B281,$C$6:$C$3005,$C281,$D$6:$D$3005,$D281)&gt;1,"同じ月の請求が重複しています／",""),"")&amp;IF(AND(N($E281)&gt;0,$Z281&lt;&gt;"",$Z281&lt;&gt;"×",$AC281=0,$AB281=""),"計算額が下限以下のため不支給／",""))</f>
        <v/>
      </c>
      <c r="AL281" s="12" t="n"/>
      <c r="AM281" s="14">
        <f>IF($AD281="保留中",COUNTIF($AD$6:$AD281,"保留中"),"")</f>
        <v/>
      </c>
      <c r="AN281" s="14">
        <f>IF($AO281="","",IF(SUMPRODUCT(MAX((職員マスタ!$A$6:$A$405=$B281)*(((職員マスタ!$G$6:$G$405="")+(職員マスタ!$G$6:$G$405&lt;=EOMONTH($AO281,0)))&gt;0)*(((職員マスタ!$H$6:$H$405="")+(職員マスタ!$H$6:$H$405&gt;=$AO281))&gt;0)*(ROW(職員マスタ!$A$6:$A$405)-5)))&gt;0,SUMPRODUCT(MAX((職員マスタ!$A$6:$A$405=$B281)*(((職員マスタ!$G$6:$G$405="")+(職員マスタ!$G$6:$G$405&lt;=EOMONTH($AO281,0)))&gt;0)*(((職員マスタ!$H$6:$H$405="")+(職員マスタ!$H$6:$H$405&gt;=$AO281))&gt;0)*(ROW(職員マスタ!$A$6:$A$405)-5))),IFERROR(MATCH($B281,職員マスタ!$A$6:$A$405,0),"")))</f>
        <v/>
      </c>
      <c r="AO281" s="16">
        <f>IF(OR($B281="",$C281="",$D281=""),"",DATE($C281+2018,$D281,1))</f>
        <v/>
      </c>
    </row>
    <row r="282">
      <c r="A282" s="11" t="n"/>
      <c r="B282" s="12" t="n">
        <v>6602668</v>
      </c>
      <c r="C282" s="12" t="n">
        <v>7</v>
      </c>
      <c r="D282" s="12" t="n">
        <v>7</v>
      </c>
      <c r="E282" s="13" t="n">
        <v>42612</v>
      </c>
      <c r="F282" s="12" t="n"/>
      <c r="G282" s="13" t="n"/>
      <c r="H282" s="12" t="n"/>
      <c r="I282" s="12" t="n"/>
      <c r="J282" s="12" t="n"/>
      <c r="K282" s="12" t="n"/>
      <c r="L282" s="11" t="n"/>
      <c r="M282" s="11" t="n"/>
      <c r="N282" s="11" t="n"/>
      <c r="O282" s="11" t="n"/>
      <c r="P282" s="12" t="n"/>
      <c r="Q282" s="11" t="n"/>
      <c r="R282" s="12" t="n"/>
      <c r="S282" s="11" t="n"/>
      <c r="T282" s="12" t="n"/>
      <c r="U282" s="12" t="n"/>
      <c r="V282" s="14">
        <f>IF($AN282="",IF($B282="","",$H282),IF(INDEX(職員マスタ!$B$6:$B$405,$AN282)="",$H282,INDEX(職員マスタ!$B$6:$B$405,$AN282)))</f>
        <v/>
      </c>
      <c r="W282" s="14">
        <f>IF($AN282="",IF($B282="","",$R282),IF(INDEX(職員マスタ!$C$6:$C$405,$AN282)="",$R282,INDEX(職員マスタ!$C$6:$C$405,$AN282)))</f>
        <v/>
      </c>
      <c r="X282" s="14">
        <f>IF($AO282="","","R"&amp;$C282&amp;"."&amp;$D282)</f>
        <v/>
      </c>
      <c r="Y282" s="15">
        <f>IF($AN282="","",IF(INDEX(職員マスタ!$K$6:$K$405,$AN282)="","",INDEX(職員マスタ!$K$6:$K$405,$AN282)))</f>
        <v/>
      </c>
      <c r="Z282" s="14">
        <f>IF(OR($E282="",$Y282=""),"",IF($E282&gt;=$Y282,"×",IF($E282&gt;=$Y282*設定!$C$5,"△","○")))</f>
        <v/>
      </c>
      <c r="AA282" s="15">
        <f>IF($Z282="","",IF($Z282="×",0,IF($Z282="○",ROUNDDOWN($E282*設定!$C$4,0),ROUNDDOWN($E282*ROUND((9*$Y282-9*$E282)/(10*$E282),4),0))))</f>
        <v/>
      </c>
      <c r="AB282" s="13" t="n"/>
      <c r="AC282" s="15">
        <f>IF($B282="","",IF($AB282&lt;&gt;"",$AB282,IF($AA282="","",IF($AA282&lt;=設定!$C$3,0,$AA282))))</f>
        <v/>
      </c>
      <c r="AD282" s="14">
        <f>IF($B282="","",IF(AND($AE282&lt;&gt;"",$AG282="",$AJ282=""),"保留中",IF($AJ282&lt;&gt;"",IF(N($AC282)&gt;0,"支給済","不支給"),IF($AC282="","要確認",IF($AC282=0,"不支給","未処理")))))</f>
        <v/>
      </c>
      <c r="AE282" s="12" t="n"/>
      <c r="AF282" s="11" t="n"/>
      <c r="AG282" s="11" t="n"/>
      <c r="AH282" s="11" t="n"/>
      <c r="AI282" s="14">
        <f>IF(AND($AD282="保留中",$AF282&lt;&gt;""),TODAY()-$AF282,"")</f>
        <v/>
      </c>
      <c r="AJ282" s="12" t="inlineStr">
        <is>
          <t>R7.10</t>
        </is>
      </c>
      <c r="AK282" s="14">
        <f>IF($B282="","",IF($AO282="","対象年月が未入力／","")&amp;IF($B282="","",IF($AN282="","職員マスタに未登録の職員番号／",IF($Y282="","標準報酬月額が未登録／","")&amp;IF(AND($AO282&lt;&gt;"",OR(AND(INDEX(職員マスタ!$G$6:$G$405,$AN282)&lt;&gt;"",INDEX(職員マスタ!$G$6:$G$405,$AN282)&gt;EOMONTH($AO282,0)),AND(INDEX(職員マスタ!$H$6:$H$405,$AN282)&lt;&gt;"",INDEX(職員マスタ!$H$6:$H$405,$AN282)&lt;$AO282))),"対象月が時短期間外／","")&amp;IF(AND(INDEX(職員マスタ!$F$6:$F$405,$AN282)&lt;&gt;"",$AO282&lt;&gt;"",INDEX(職員マスタ!$F$6:$F$405,$AN282)&lt;$AO282),"対象月に子が2歳到達済／","")&amp;IF(AND($H282&lt;&gt;"",INDEX(職員マスタ!$B$6:$B$405,$AN282)&lt;&gt;"",SUBSTITUTE(SUBSTITUTE($H282," ","")," ","")&lt;&gt;SUBSTITUTE(SUBSTITUTE(INDEX(職員マスタ!$B$6:$B$405,$AN282)," ","")," ","")),"氏名がマスタと相違／","")&amp;IF(AND($Q282&lt;&gt;"",INDEX(職員マスタ!$E$6:$E$405,$AN282)&lt;&gt;"",$Q282&lt;&gt;INDEX(職員マスタ!$E$6:$E$405,$AN282)),"子の生年月日がマスタと相違／","")&amp;IF(AND($L282&lt;&gt;"",INDEX(職員マスタ!$G$6:$G$405,$AN282)&lt;&gt;"",$L282&lt;&gt;INDEX(職員マスタ!$G$6:$G$405,$AN282)),"時短開始日がマスタと相違／","")&amp;IF(AND($M282&lt;&gt;"",INDEX(職員マスタ!$H$6:$H$405,$AN282)&lt;&gt;"",$M282&lt;&gt;INDEX(職員マスタ!$H$6:$H$405,$AN282)),"時短終了日がマスタと相違／","")))&amp;IF(AND($B282&lt;&gt;"",$E282=""),"報酬額が未入力／","")&amp;IF(N($U282)&gt;0,"申請書に入力エラーが残っています／","")&amp;IF(AND($B282&lt;&gt;"",$AO282&lt;&gt;""),IF(COUNTIFS($B$6:$B$3005,$B282,$C$6:$C$3005,$C282,$D$6:$D$3005,$D282)&gt;1,"同じ月の請求が重複しています／",""),"")&amp;IF(AND(N($E282)&gt;0,$Z282&lt;&gt;"",$Z282&lt;&gt;"×",$AC282=0,$AB282=""),"計算額が下限以下のため不支給／",""))</f>
        <v/>
      </c>
      <c r="AL282" s="12" t="n"/>
      <c r="AM282" s="14">
        <f>IF($AD282="保留中",COUNTIF($AD$6:$AD282,"保留中"),"")</f>
        <v/>
      </c>
      <c r="AN282" s="14">
        <f>IF($AO282="","",IF(SUMPRODUCT(MAX((職員マスタ!$A$6:$A$405=$B282)*(((職員マスタ!$G$6:$G$405="")+(職員マスタ!$G$6:$G$405&lt;=EOMONTH($AO282,0)))&gt;0)*(((職員マスタ!$H$6:$H$405="")+(職員マスタ!$H$6:$H$405&gt;=$AO282))&gt;0)*(ROW(職員マスタ!$A$6:$A$405)-5)))&gt;0,SUMPRODUCT(MAX((職員マスタ!$A$6:$A$405=$B282)*(((職員マスタ!$G$6:$G$405="")+(職員マスタ!$G$6:$G$405&lt;=EOMONTH($AO282,0)))&gt;0)*(((職員マスタ!$H$6:$H$405="")+(職員マスタ!$H$6:$H$405&gt;=$AO282))&gt;0)*(ROW(職員マスタ!$A$6:$A$405)-5))),IFERROR(MATCH($B282,職員マスタ!$A$6:$A$405,0),"")))</f>
        <v/>
      </c>
      <c r="AO282" s="16">
        <f>IF(OR($B282="",$C282="",$D282=""),"",DATE($C282+2018,$D282,1))</f>
        <v/>
      </c>
    </row>
    <row r="283">
      <c r="A283" s="11" t="n"/>
      <c r="B283" s="12" t="n">
        <v>6602668</v>
      </c>
      <c r="C283" s="12" t="n">
        <v>7</v>
      </c>
      <c r="D283" s="12" t="n">
        <v>8</v>
      </c>
      <c r="E283" s="13" t="n">
        <v>187349</v>
      </c>
      <c r="F283" s="12" t="n"/>
      <c r="G283" s="13" t="n"/>
      <c r="H283" s="12" t="n"/>
      <c r="I283" s="12" t="n"/>
      <c r="J283" s="12" t="n"/>
      <c r="K283" s="12" t="n"/>
      <c r="L283" s="11" t="n"/>
      <c r="M283" s="11" t="n"/>
      <c r="N283" s="11" t="n"/>
      <c r="O283" s="11" t="n"/>
      <c r="P283" s="12" t="n"/>
      <c r="Q283" s="11" t="n"/>
      <c r="R283" s="12" t="n"/>
      <c r="S283" s="11" t="n"/>
      <c r="T283" s="12" t="n"/>
      <c r="U283" s="12" t="n"/>
      <c r="V283" s="14">
        <f>IF($AN283="",IF($B283="","",$H283),IF(INDEX(職員マスタ!$B$6:$B$405,$AN283)="",$H283,INDEX(職員マスタ!$B$6:$B$405,$AN283)))</f>
        <v/>
      </c>
      <c r="W283" s="14">
        <f>IF($AN283="",IF($B283="","",$R283),IF(INDEX(職員マスタ!$C$6:$C$405,$AN283)="",$R283,INDEX(職員マスタ!$C$6:$C$405,$AN283)))</f>
        <v/>
      </c>
      <c r="X283" s="14">
        <f>IF($AO283="","","R"&amp;$C283&amp;"."&amp;$D283)</f>
        <v/>
      </c>
      <c r="Y283" s="15">
        <f>IF($AN283="","",IF(INDEX(職員マスタ!$K$6:$K$405,$AN283)="","",INDEX(職員マスタ!$K$6:$K$405,$AN283)))</f>
        <v/>
      </c>
      <c r="Z283" s="14">
        <f>IF(OR($E283="",$Y283=""),"",IF($E283&gt;=$Y283,"×",IF($E283&gt;=$Y283*設定!$C$5,"△","○")))</f>
        <v/>
      </c>
      <c r="AA283" s="15">
        <f>IF($Z283="","",IF($Z283="×",0,IF($Z283="○",ROUNDDOWN($E283*設定!$C$4,0),ROUNDDOWN($E283*ROUND((9*$Y283-9*$E283)/(10*$E283),4),0))))</f>
        <v/>
      </c>
      <c r="AB283" s="13" t="n"/>
      <c r="AC283" s="15">
        <f>IF($B283="","",IF($AB283&lt;&gt;"",$AB283,IF($AA283="","",IF($AA283&lt;=設定!$C$3,0,$AA283))))</f>
        <v/>
      </c>
      <c r="AD283" s="14">
        <f>IF($B283="","",IF(AND($AE283&lt;&gt;"",$AG283="",$AJ283=""),"保留中",IF($AJ283&lt;&gt;"",IF(N($AC283)&gt;0,"支給済","不支給"),IF($AC283="","要確認",IF($AC283=0,"不支給","未処理")))))</f>
        <v/>
      </c>
      <c r="AE283" s="12" t="n"/>
      <c r="AF283" s="11" t="n"/>
      <c r="AG283" s="11" t="n"/>
      <c r="AH283" s="11" t="n"/>
      <c r="AI283" s="14">
        <f>IF(AND($AD283="保留中",$AF283&lt;&gt;""),TODAY()-$AF283,"")</f>
        <v/>
      </c>
      <c r="AJ283" s="12" t="inlineStr">
        <is>
          <t>R7.10</t>
        </is>
      </c>
      <c r="AK283" s="14">
        <f>IF($B283="","",IF($AO283="","対象年月が未入力／","")&amp;IF($B283="","",IF($AN283="","職員マスタに未登録の職員番号／",IF($Y283="","標準報酬月額が未登録／","")&amp;IF(AND($AO283&lt;&gt;"",OR(AND(INDEX(職員マスタ!$G$6:$G$405,$AN283)&lt;&gt;"",INDEX(職員マスタ!$G$6:$G$405,$AN283)&gt;EOMONTH($AO283,0)),AND(INDEX(職員マスタ!$H$6:$H$405,$AN283)&lt;&gt;"",INDEX(職員マスタ!$H$6:$H$405,$AN283)&lt;$AO283))),"対象月が時短期間外／","")&amp;IF(AND(INDEX(職員マスタ!$F$6:$F$405,$AN283)&lt;&gt;"",$AO283&lt;&gt;"",INDEX(職員マスタ!$F$6:$F$405,$AN283)&lt;$AO283),"対象月に子が2歳到達済／","")&amp;IF(AND($H283&lt;&gt;"",INDEX(職員マスタ!$B$6:$B$405,$AN283)&lt;&gt;"",SUBSTITUTE(SUBSTITUTE($H283," ","")," ","")&lt;&gt;SUBSTITUTE(SUBSTITUTE(INDEX(職員マスタ!$B$6:$B$405,$AN283)," ","")," ","")),"氏名がマスタと相違／","")&amp;IF(AND($Q283&lt;&gt;"",INDEX(職員マスタ!$E$6:$E$405,$AN283)&lt;&gt;"",$Q283&lt;&gt;INDEX(職員マスタ!$E$6:$E$405,$AN283)),"子の生年月日がマスタと相違／","")&amp;IF(AND($L283&lt;&gt;"",INDEX(職員マスタ!$G$6:$G$405,$AN283)&lt;&gt;"",$L283&lt;&gt;INDEX(職員マスタ!$G$6:$G$405,$AN283)),"時短開始日がマスタと相違／","")&amp;IF(AND($M283&lt;&gt;"",INDEX(職員マスタ!$H$6:$H$405,$AN283)&lt;&gt;"",$M283&lt;&gt;INDEX(職員マスタ!$H$6:$H$405,$AN283)),"時短終了日がマスタと相違／","")))&amp;IF(AND($B283&lt;&gt;"",$E283=""),"報酬額が未入力／","")&amp;IF(N($U283)&gt;0,"申請書に入力エラーが残っています／","")&amp;IF(AND($B283&lt;&gt;"",$AO283&lt;&gt;""),IF(COUNTIFS($B$6:$B$3005,$B283,$C$6:$C$3005,$C283,$D$6:$D$3005,$D283)&gt;1,"同じ月の請求が重複しています／",""),"")&amp;IF(AND(N($E283)&gt;0,$Z283&lt;&gt;"",$Z283&lt;&gt;"×",$AC283=0,$AB283=""),"計算額が下限以下のため不支給／",""))</f>
        <v/>
      </c>
      <c r="AL283" s="12" t="n"/>
      <c r="AM283" s="14">
        <f>IF($AD283="保留中",COUNTIF($AD$6:$AD283,"保留中"),"")</f>
        <v/>
      </c>
      <c r="AN283" s="14">
        <f>IF($AO283="","",IF(SUMPRODUCT(MAX((職員マスタ!$A$6:$A$405=$B283)*(((職員マスタ!$G$6:$G$405="")+(職員マスタ!$G$6:$G$405&lt;=EOMONTH($AO283,0)))&gt;0)*(((職員マスタ!$H$6:$H$405="")+(職員マスタ!$H$6:$H$405&gt;=$AO283))&gt;0)*(ROW(職員マスタ!$A$6:$A$405)-5)))&gt;0,SUMPRODUCT(MAX((職員マスタ!$A$6:$A$405=$B283)*(((職員マスタ!$G$6:$G$405="")+(職員マスタ!$G$6:$G$405&lt;=EOMONTH($AO283,0)))&gt;0)*(((職員マスタ!$H$6:$H$405="")+(職員マスタ!$H$6:$H$405&gt;=$AO283))&gt;0)*(ROW(職員マスタ!$A$6:$A$405)-5))),IFERROR(MATCH($B283,職員マスタ!$A$6:$A$405,0),"")))</f>
        <v/>
      </c>
      <c r="AO283" s="16">
        <f>IF(OR($B283="",$C283="",$D283=""),"",DATE($C283+2018,$D283,1))</f>
        <v/>
      </c>
    </row>
    <row r="284">
      <c r="A284" s="11" t="n"/>
      <c r="B284" s="12" t="n">
        <v>6602668</v>
      </c>
      <c r="C284" s="12" t="n">
        <v>7</v>
      </c>
      <c r="D284" s="12" t="n">
        <v>9</v>
      </c>
      <c r="E284" s="13" t="n">
        <v>192001</v>
      </c>
      <c r="F284" s="12" t="n"/>
      <c r="G284" s="13" t="n"/>
      <c r="H284" s="12" t="n"/>
      <c r="I284" s="12" t="n"/>
      <c r="J284" s="12" t="n"/>
      <c r="K284" s="12" t="n"/>
      <c r="L284" s="11" t="n"/>
      <c r="M284" s="11" t="n"/>
      <c r="N284" s="11" t="n"/>
      <c r="O284" s="11" t="n"/>
      <c r="P284" s="12" t="n"/>
      <c r="Q284" s="11" t="n"/>
      <c r="R284" s="12" t="n"/>
      <c r="S284" s="11" t="n"/>
      <c r="T284" s="12" t="n"/>
      <c r="U284" s="12" t="n"/>
      <c r="V284" s="14">
        <f>IF($AN284="",IF($B284="","",$H284),IF(INDEX(職員マスタ!$B$6:$B$405,$AN284)="",$H284,INDEX(職員マスタ!$B$6:$B$405,$AN284)))</f>
        <v/>
      </c>
      <c r="W284" s="14">
        <f>IF($AN284="",IF($B284="","",$R284),IF(INDEX(職員マスタ!$C$6:$C$405,$AN284)="",$R284,INDEX(職員マスタ!$C$6:$C$405,$AN284)))</f>
        <v/>
      </c>
      <c r="X284" s="14">
        <f>IF($AO284="","","R"&amp;$C284&amp;"."&amp;$D284)</f>
        <v/>
      </c>
      <c r="Y284" s="15">
        <f>IF($AN284="","",IF(INDEX(職員マスタ!$K$6:$K$405,$AN284)="","",INDEX(職員マスタ!$K$6:$K$405,$AN284)))</f>
        <v/>
      </c>
      <c r="Z284" s="14">
        <f>IF(OR($E284="",$Y284=""),"",IF($E284&gt;=$Y284,"×",IF($E284&gt;=$Y284*設定!$C$5,"△","○")))</f>
        <v/>
      </c>
      <c r="AA284" s="15">
        <f>IF($Z284="","",IF($Z284="×",0,IF($Z284="○",ROUNDDOWN($E284*設定!$C$4,0),ROUNDDOWN($E284*ROUND((9*$Y284-9*$E284)/(10*$E284),4),0))))</f>
        <v/>
      </c>
      <c r="AB284" s="13" t="n"/>
      <c r="AC284" s="15">
        <f>IF($B284="","",IF($AB284&lt;&gt;"",$AB284,IF($AA284="","",IF($AA284&lt;=設定!$C$3,0,$AA284))))</f>
        <v/>
      </c>
      <c r="AD284" s="14">
        <f>IF($B284="","",IF(AND($AE284&lt;&gt;"",$AG284="",$AJ284=""),"保留中",IF($AJ284&lt;&gt;"",IF(N($AC284)&gt;0,"支給済","不支給"),IF($AC284="","要確認",IF($AC284=0,"不支給","未処理")))))</f>
        <v/>
      </c>
      <c r="AE284" s="12" t="n"/>
      <c r="AF284" s="11" t="n"/>
      <c r="AG284" s="11" t="n"/>
      <c r="AH284" s="11" t="n"/>
      <c r="AI284" s="14">
        <f>IF(AND($AD284="保留中",$AF284&lt;&gt;""),TODAY()-$AF284,"")</f>
        <v/>
      </c>
      <c r="AJ284" s="12" t="inlineStr">
        <is>
          <t>R7.12</t>
        </is>
      </c>
      <c r="AK284" s="14">
        <f>IF($B284="","",IF($AO284="","対象年月が未入力／","")&amp;IF($B284="","",IF($AN284="","職員マスタに未登録の職員番号／",IF($Y284="","標準報酬月額が未登録／","")&amp;IF(AND($AO284&lt;&gt;"",OR(AND(INDEX(職員マスタ!$G$6:$G$405,$AN284)&lt;&gt;"",INDEX(職員マスタ!$G$6:$G$405,$AN284)&gt;EOMONTH($AO284,0)),AND(INDEX(職員マスタ!$H$6:$H$405,$AN284)&lt;&gt;"",INDEX(職員マスタ!$H$6:$H$405,$AN284)&lt;$AO284))),"対象月が時短期間外／","")&amp;IF(AND(INDEX(職員マスタ!$F$6:$F$405,$AN284)&lt;&gt;"",$AO284&lt;&gt;"",INDEX(職員マスタ!$F$6:$F$405,$AN284)&lt;$AO284),"対象月に子が2歳到達済／","")&amp;IF(AND($H284&lt;&gt;"",INDEX(職員マスタ!$B$6:$B$405,$AN284)&lt;&gt;"",SUBSTITUTE(SUBSTITUTE($H284," ","")," ","")&lt;&gt;SUBSTITUTE(SUBSTITUTE(INDEX(職員マスタ!$B$6:$B$405,$AN284)," ","")," ","")),"氏名がマスタと相違／","")&amp;IF(AND($Q284&lt;&gt;"",INDEX(職員マスタ!$E$6:$E$405,$AN284)&lt;&gt;"",$Q284&lt;&gt;INDEX(職員マスタ!$E$6:$E$405,$AN284)),"子の生年月日がマスタと相違／","")&amp;IF(AND($L284&lt;&gt;"",INDEX(職員マスタ!$G$6:$G$405,$AN284)&lt;&gt;"",$L284&lt;&gt;INDEX(職員マスタ!$G$6:$G$405,$AN284)),"時短開始日がマスタと相違／","")&amp;IF(AND($M284&lt;&gt;"",INDEX(職員マスタ!$H$6:$H$405,$AN284)&lt;&gt;"",$M284&lt;&gt;INDEX(職員マスタ!$H$6:$H$405,$AN284)),"時短終了日がマスタと相違／","")))&amp;IF(AND($B284&lt;&gt;"",$E284=""),"報酬額が未入力／","")&amp;IF(N($U284)&gt;0,"申請書に入力エラーが残っています／","")&amp;IF(AND($B284&lt;&gt;"",$AO284&lt;&gt;""),IF(COUNTIFS($B$6:$B$3005,$B284,$C$6:$C$3005,$C284,$D$6:$D$3005,$D284)&gt;1,"同じ月の請求が重複しています／",""),"")&amp;IF(AND(N($E284)&gt;0,$Z284&lt;&gt;"",$Z284&lt;&gt;"×",$AC284=0,$AB284=""),"計算額が下限以下のため不支給／",""))</f>
        <v/>
      </c>
      <c r="AL284" s="12" t="n"/>
      <c r="AM284" s="14">
        <f>IF($AD284="保留中",COUNTIF($AD$6:$AD284,"保留中"),"")</f>
        <v/>
      </c>
      <c r="AN284" s="14">
        <f>IF($AO284="","",IF(SUMPRODUCT(MAX((職員マスタ!$A$6:$A$405=$B284)*(((職員マスタ!$G$6:$G$405="")+(職員マスタ!$G$6:$G$405&lt;=EOMONTH($AO284,0)))&gt;0)*(((職員マスタ!$H$6:$H$405="")+(職員マスタ!$H$6:$H$405&gt;=$AO284))&gt;0)*(ROW(職員マスタ!$A$6:$A$405)-5)))&gt;0,SUMPRODUCT(MAX((職員マスタ!$A$6:$A$405=$B284)*(((職員マスタ!$G$6:$G$405="")+(職員マスタ!$G$6:$G$405&lt;=EOMONTH($AO284,0)))&gt;0)*(((職員マスタ!$H$6:$H$405="")+(職員マスタ!$H$6:$H$405&gt;=$AO284))&gt;0)*(ROW(職員マスタ!$A$6:$A$405)-5))),IFERROR(MATCH($B284,職員マスタ!$A$6:$A$405,0),"")))</f>
        <v/>
      </c>
      <c r="AO284" s="16">
        <f>IF(OR($B284="",$C284="",$D284=""),"",DATE($C284+2018,$D284,1))</f>
        <v/>
      </c>
    </row>
    <row r="285">
      <c r="A285" s="11" t="n"/>
      <c r="B285" s="12" t="n">
        <v>6602668</v>
      </c>
      <c r="C285" s="12" t="n">
        <v>7</v>
      </c>
      <c r="D285" s="12" t="n">
        <v>10</v>
      </c>
      <c r="E285" s="13" t="n">
        <v>197025</v>
      </c>
      <c r="F285" s="12" t="n"/>
      <c r="G285" s="13" t="n"/>
      <c r="H285" s="12" t="n"/>
      <c r="I285" s="12" t="n"/>
      <c r="J285" s="12" t="n"/>
      <c r="K285" s="12" t="n"/>
      <c r="L285" s="11" t="n"/>
      <c r="M285" s="11" t="n"/>
      <c r="N285" s="11" t="n"/>
      <c r="O285" s="11" t="n"/>
      <c r="P285" s="12" t="n"/>
      <c r="Q285" s="11" t="n"/>
      <c r="R285" s="12" t="n"/>
      <c r="S285" s="11" t="n"/>
      <c r="T285" s="12" t="n"/>
      <c r="U285" s="12" t="n"/>
      <c r="V285" s="14">
        <f>IF($AN285="",IF($B285="","",$H285),IF(INDEX(職員マスタ!$B$6:$B$405,$AN285)="",$H285,INDEX(職員マスタ!$B$6:$B$405,$AN285)))</f>
        <v/>
      </c>
      <c r="W285" s="14">
        <f>IF($AN285="",IF($B285="","",$R285),IF(INDEX(職員マスタ!$C$6:$C$405,$AN285)="",$R285,INDEX(職員マスタ!$C$6:$C$405,$AN285)))</f>
        <v/>
      </c>
      <c r="X285" s="14">
        <f>IF($AO285="","","R"&amp;$C285&amp;"."&amp;$D285)</f>
        <v/>
      </c>
      <c r="Y285" s="15">
        <f>IF($AN285="","",IF(INDEX(職員マスタ!$K$6:$K$405,$AN285)="","",INDEX(職員マスタ!$K$6:$K$405,$AN285)))</f>
        <v/>
      </c>
      <c r="Z285" s="14">
        <f>IF(OR($E285="",$Y285=""),"",IF($E285&gt;=$Y285,"×",IF($E285&gt;=$Y285*設定!$C$5,"△","○")))</f>
        <v/>
      </c>
      <c r="AA285" s="15">
        <f>IF($Z285="","",IF($Z285="×",0,IF($Z285="○",ROUNDDOWN($E285*設定!$C$4,0),ROUNDDOWN($E285*ROUND((9*$Y285-9*$E285)/(10*$E285),4),0))))</f>
        <v/>
      </c>
      <c r="AB285" s="13" t="n"/>
      <c r="AC285" s="15">
        <f>IF($B285="","",IF($AB285&lt;&gt;"",$AB285,IF($AA285="","",IF($AA285&lt;=設定!$C$3,0,$AA285))))</f>
        <v/>
      </c>
      <c r="AD285" s="14">
        <f>IF($B285="","",IF(AND($AE285&lt;&gt;"",$AG285="",$AJ285=""),"保留中",IF($AJ285&lt;&gt;"",IF(N($AC285)&gt;0,"支給済","不支給"),IF($AC285="","要確認",IF($AC285=0,"不支給","未処理")))))</f>
        <v/>
      </c>
      <c r="AE285" s="12" t="n"/>
      <c r="AF285" s="11" t="n"/>
      <c r="AG285" s="11" t="n"/>
      <c r="AH285" s="11" t="n"/>
      <c r="AI285" s="14">
        <f>IF(AND($AD285="保留中",$AF285&lt;&gt;""),TODAY()-$AF285,"")</f>
        <v/>
      </c>
      <c r="AJ285" s="12" t="inlineStr">
        <is>
          <t>R8.1</t>
        </is>
      </c>
      <c r="AK285" s="14">
        <f>IF($B285="","",IF($AO285="","対象年月が未入力／","")&amp;IF($B285="","",IF($AN285="","職員マスタに未登録の職員番号／",IF($Y285="","標準報酬月額が未登録／","")&amp;IF(AND($AO285&lt;&gt;"",OR(AND(INDEX(職員マスタ!$G$6:$G$405,$AN285)&lt;&gt;"",INDEX(職員マスタ!$G$6:$G$405,$AN285)&gt;EOMONTH($AO285,0)),AND(INDEX(職員マスタ!$H$6:$H$405,$AN285)&lt;&gt;"",INDEX(職員マスタ!$H$6:$H$405,$AN285)&lt;$AO285))),"対象月が時短期間外／","")&amp;IF(AND(INDEX(職員マスタ!$F$6:$F$405,$AN285)&lt;&gt;"",$AO285&lt;&gt;"",INDEX(職員マスタ!$F$6:$F$405,$AN285)&lt;$AO285),"対象月に子が2歳到達済／","")&amp;IF(AND($H285&lt;&gt;"",INDEX(職員マスタ!$B$6:$B$405,$AN285)&lt;&gt;"",SUBSTITUTE(SUBSTITUTE($H285," ","")," ","")&lt;&gt;SUBSTITUTE(SUBSTITUTE(INDEX(職員マスタ!$B$6:$B$405,$AN285)," ","")," ","")),"氏名がマスタと相違／","")&amp;IF(AND($Q285&lt;&gt;"",INDEX(職員マスタ!$E$6:$E$405,$AN285)&lt;&gt;"",$Q285&lt;&gt;INDEX(職員マスタ!$E$6:$E$405,$AN285)),"子の生年月日がマスタと相違／","")&amp;IF(AND($L285&lt;&gt;"",INDEX(職員マスタ!$G$6:$G$405,$AN285)&lt;&gt;"",$L285&lt;&gt;INDEX(職員マスタ!$G$6:$G$405,$AN285)),"時短開始日がマスタと相違／","")&amp;IF(AND($M285&lt;&gt;"",INDEX(職員マスタ!$H$6:$H$405,$AN285)&lt;&gt;"",$M285&lt;&gt;INDEX(職員マスタ!$H$6:$H$405,$AN285)),"時短終了日がマスタと相違／","")))&amp;IF(AND($B285&lt;&gt;"",$E285=""),"報酬額が未入力／","")&amp;IF(N($U285)&gt;0,"申請書に入力エラーが残っています／","")&amp;IF(AND($B285&lt;&gt;"",$AO285&lt;&gt;""),IF(COUNTIFS($B$6:$B$3005,$B285,$C$6:$C$3005,$C285,$D$6:$D$3005,$D285)&gt;1,"同じ月の請求が重複しています／",""),"")&amp;IF(AND(N($E285)&gt;0,$Z285&lt;&gt;"",$Z285&lt;&gt;"×",$AC285=0,$AB285=""),"計算額が下限以下のため不支給／",""))</f>
        <v/>
      </c>
      <c r="AL285" s="12" t="n"/>
      <c r="AM285" s="14">
        <f>IF($AD285="保留中",COUNTIF($AD$6:$AD285,"保留中"),"")</f>
        <v/>
      </c>
      <c r="AN285" s="14">
        <f>IF($AO285="","",IF(SUMPRODUCT(MAX((職員マスタ!$A$6:$A$405=$B285)*(((職員マスタ!$G$6:$G$405="")+(職員マスタ!$G$6:$G$405&lt;=EOMONTH($AO285,0)))&gt;0)*(((職員マスタ!$H$6:$H$405="")+(職員マスタ!$H$6:$H$405&gt;=$AO285))&gt;0)*(ROW(職員マスタ!$A$6:$A$405)-5)))&gt;0,SUMPRODUCT(MAX((職員マスタ!$A$6:$A$405=$B285)*(((職員マスタ!$G$6:$G$405="")+(職員マスタ!$G$6:$G$405&lt;=EOMONTH($AO285,0)))&gt;0)*(((職員マスタ!$H$6:$H$405="")+(職員マスタ!$H$6:$H$405&gt;=$AO285))&gt;0)*(ROW(職員マスタ!$A$6:$A$405)-5))),IFERROR(MATCH($B285,職員マスタ!$A$6:$A$405,0),"")))</f>
        <v/>
      </c>
      <c r="AO285" s="16">
        <f>IF(OR($B285="",$C285="",$D285=""),"",DATE($C285+2018,$D285,1))</f>
        <v/>
      </c>
    </row>
    <row r="286">
      <c r="A286" s="11" t="n"/>
      <c r="B286" s="12" t="n">
        <v>6602668</v>
      </c>
      <c r="C286" s="12" t="n">
        <v>7</v>
      </c>
      <c r="D286" s="12" t="n">
        <v>11</v>
      </c>
      <c r="E286" s="13" t="n">
        <v>192001</v>
      </c>
      <c r="F286" s="12" t="n"/>
      <c r="G286" s="13" t="n"/>
      <c r="H286" s="12" t="n"/>
      <c r="I286" s="12" t="n"/>
      <c r="J286" s="12" t="n"/>
      <c r="K286" s="12" t="n"/>
      <c r="L286" s="11" t="n"/>
      <c r="M286" s="11" t="n"/>
      <c r="N286" s="11" t="n"/>
      <c r="O286" s="11" t="n"/>
      <c r="P286" s="12" t="n"/>
      <c r="Q286" s="11" t="n"/>
      <c r="R286" s="12" t="n"/>
      <c r="S286" s="11" t="n"/>
      <c r="T286" s="12" t="n"/>
      <c r="U286" s="12" t="n"/>
      <c r="V286" s="14">
        <f>IF($AN286="",IF($B286="","",$H286),IF(INDEX(職員マスタ!$B$6:$B$405,$AN286)="",$H286,INDEX(職員マスタ!$B$6:$B$405,$AN286)))</f>
        <v/>
      </c>
      <c r="W286" s="14">
        <f>IF($AN286="",IF($B286="","",$R286),IF(INDEX(職員マスタ!$C$6:$C$405,$AN286)="",$R286,INDEX(職員マスタ!$C$6:$C$405,$AN286)))</f>
        <v/>
      </c>
      <c r="X286" s="14">
        <f>IF($AO286="","","R"&amp;$C286&amp;"."&amp;$D286)</f>
        <v/>
      </c>
      <c r="Y286" s="15">
        <f>IF($AN286="","",IF(INDEX(職員マスタ!$K$6:$K$405,$AN286)="","",INDEX(職員マスタ!$K$6:$K$405,$AN286)))</f>
        <v/>
      </c>
      <c r="Z286" s="14">
        <f>IF(OR($E286="",$Y286=""),"",IF($E286&gt;=$Y286,"×",IF($E286&gt;=$Y286*設定!$C$5,"△","○")))</f>
        <v/>
      </c>
      <c r="AA286" s="15">
        <f>IF($Z286="","",IF($Z286="×",0,IF($Z286="○",ROUNDDOWN($E286*設定!$C$4,0),ROUNDDOWN($E286*ROUND((9*$Y286-9*$E286)/(10*$E286),4),0))))</f>
        <v/>
      </c>
      <c r="AB286" s="13" t="n"/>
      <c r="AC286" s="15">
        <f>IF($B286="","",IF($AB286&lt;&gt;"",$AB286,IF($AA286="","",IF($AA286&lt;=設定!$C$3,0,$AA286))))</f>
        <v/>
      </c>
      <c r="AD286" s="14">
        <f>IF($B286="","",IF(AND($AE286&lt;&gt;"",$AG286="",$AJ286=""),"保留中",IF($AJ286&lt;&gt;"",IF(N($AC286)&gt;0,"支給済","不支給"),IF($AC286="","要確認",IF($AC286=0,"不支給","未処理")))))</f>
        <v/>
      </c>
      <c r="AE286" s="12" t="n"/>
      <c r="AF286" s="11" t="n"/>
      <c r="AG286" s="11" t="n"/>
      <c r="AH286" s="11" t="n"/>
      <c r="AI286" s="14">
        <f>IF(AND($AD286="保留中",$AF286&lt;&gt;""),TODAY()-$AF286,"")</f>
        <v/>
      </c>
      <c r="AJ286" s="12" t="inlineStr">
        <is>
          <t>R8.1</t>
        </is>
      </c>
      <c r="AK286" s="14">
        <f>IF($B286="","",IF($AO286="","対象年月が未入力／","")&amp;IF($B286="","",IF($AN286="","職員マスタに未登録の職員番号／",IF($Y286="","標準報酬月額が未登録／","")&amp;IF(AND($AO286&lt;&gt;"",OR(AND(INDEX(職員マスタ!$G$6:$G$405,$AN286)&lt;&gt;"",INDEX(職員マスタ!$G$6:$G$405,$AN286)&gt;EOMONTH($AO286,0)),AND(INDEX(職員マスタ!$H$6:$H$405,$AN286)&lt;&gt;"",INDEX(職員マスタ!$H$6:$H$405,$AN286)&lt;$AO286))),"対象月が時短期間外／","")&amp;IF(AND(INDEX(職員マスタ!$F$6:$F$405,$AN286)&lt;&gt;"",$AO286&lt;&gt;"",INDEX(職員マスタ!$F$6:$F$405,$AN286)&lt;$AO286),"対象月に子が2歳到達済／","")&amp;IF(AND($H286&lt;&gt;"",INDEX(職員マスタ!$B$6:$B$405,$AN286)&lt;&gt;"",SUBSTITUTE(SUBSTITUTE($H286," ","")," ","")&lt;&gt;SUBSTITUTE(SUBSTITUTE(INDEX(職員マスタ!$B$6:$B$405,$AN286)," ","")," ","")),"氏名がマスタと相違／","")&amp;IF(AND($Q286&lt;&gt;"",INDEX(職員マスタ!$E$6:$E$405,$AN286)&lt;&gt;"",$Q286&lt;&gt;INDEX(職員マスタ!$E$6:$E$405,$AN286)),"子の生年月日がマスタと相違／","")&amp;IF(AND($L286&lt;&gt;"",INDEX(職員マスタ!$G$6:$G$405,$AN286)&lt;&gt;"",$L286&lt;&gt;INDEX(職員マスタ!$G$6:$G$405,$AN286)),"時短開始日がマスタと相違／","")&amp;IF(AND($M286&lt;&gt;"",INDEX(職員マスタ!$H$6:$H$405,$AN286)&lt;&gt;"",$M286&lt;&gt;INDEX(職員マスタ!$H$6:$H$405,$AN286)),"時短終了日がマスタと相違／","")))&amp;IF(AND($B286&lt;&gt;"",$E286=""),"報酬額が未入力／","")&amp;IF(N($U286)&gt;0,"申請書に入力エラーが残っています／","")&amp;IF(AND($B286&lt;&gt;"",$AO286&lt;&gt;""),IF(COUNTIFS($B$6:$B$3005,$B286,$C$6:$C$3005,$C286,$D$6:$D$3005,$D286)&gt;1,"同じ月の請求が重複しています／",""),"")&amp;IF(AND(N($E286)&gt;0,$Z286&lt;&gt;"",$Z286&lt;&gt;"×",$AC286=0,$AB286=""),"計算額が下限以下のため不支給／",""))</f>
        <v/>
      </c>
      <c r="AL286" s="12" t="n"/>
      <c r="AM286" s="14">
        <f>IF($AD286="保留中",COUNTIF($AD$6:$AD286,"保留中"),"")</f>
        <v/>
      </c>
      <c r="AN286" s="14">
        <f>IF($AO286="","",IF(SUMPRODUCT(MAX((職員マスタ!$A$6:$A$405=$B286)*(((職員マスタ!$G$6:$G$405="")+(職員マスタ!$G$6:$G$405&lt;=EOMONTH($AO286,0)))&gt;0)*(((職員マスタ!$H$6:$H$405="")+(職員マスタ!$H$6:$H$405&gt;=$AO286))&gt;0)*(ROW(職員マスタ!$A$6:$A$405)-5)))&gt;0,SUMPRODUCT(MAX((職員マスタ!$A$6:$A$405=$B286)*(((職員マスタ!$G$6:$G$405="")+(職員マスタ!$G$6:$G$405&lt;=EOMONTH($AO286,0)))&gt;0)*(((職員マスタ!$H$6:$H$405="")+(職員マスタ!$H$6:$H$405&gt;=$AO286))&gt;0)*(ROW(職員マスタ!$A$6:$A$405)-5))),IFERROR(MATCH($B286,職員マスタ!$A$6:$A$405,0),"")))</f>
        <v/>
      </c>
      <c r="AO286" s="16">
        <f>IF(OR($B286="",$C286="",$D286=""),"",DATE($C286+2018,$D286,1))</f>
        <v/>
      </c>
    </row>
    <row r="287">
      <c r="A287" s="11" t="n"/>
      <c r="B287" s="12" t="n">
        <v>6602668</v>
      </c>
      <c r="C287" s="12" t="n">
        <v>7</v>
      </c>
      <c r="D287" s="12" t="n">
        <v>12</v>
      </c>
      <c r="E287" s="13" t="n">
        <v>199254</v>
      </c>
      <c r="F287" s="12" t="n"/>
      <c r="G287" s="13" t="n"/>
      <c r="H287" s="12" t="n"/>
      <c r="I287" s="12" t="n"/>
      <c r="J287" s="12" t="n"/>
      <c r="K287" s="12" t="n"/>
      <c r="L287" s="11" t="n"/>
      <c r="M287" s="11" t="n"/>
      <c r="N287" s="11" t="n"/>
      <c r="O287" s="11" t="n"/>
      <c r="P287" s="12" t="n"/>
      <c r="Q287" s="11" t="n"/>
      <c r="R287" s="12" t="n"/>
      <c r="S287" s="11" t="n"/>
      <c r="T287" s="12" t="n"/>
      <c r="U287" s="12" t="n"/>
      <c r="V287" s="14">
        <f>IF($AN287="",IF($B287="","",$H287),IF(INDEX(職員マスタ!$B$6:$B$405,$AN287)="",$H287,INDEX(職員マスタ!$B$6:$B$405,$AN287)))</f>
        <v/>
      </c>
      <c r="W287" s="14">
        <f>IF($AN287="",IF($B287="","",$R287),IF(INDEX(職員マスタ!$C$6:$C$405,$AN287)="",$R287,INDEX(職員マスタ!$C$6:$C$405,$AN287)))</f>
        <v/>
      </c>
      <c r="X287" s="14">
        <f>IF($AO287="","","R"&amp;$C287&amp;"."&amp;$D287)</f>
        <v/>
      </c>
      <c r="Y287" s="15">
        <f>IF($AN287="","",IF(INDEX(職員マスタ!$K$6:$K$405,$AN287)="","",INDEX(職員マスタ!$K$6:$K$405,$AN287)))</f>
        <v/>
      </c>
      <c r="Z287" s="14">
        <f>IF(OR($E287="",$Y287=""),"",IF($E287&gt;=$Y287,"×",IF($E287&gt;=$Y287*設定!$C$5,"△","○")))</f>
        <v/>
      </c>
      <c r="AA287" s="15">
        <f>IF($Z287="","",IF($Z287="×",0,IF($Z287="○",ROUNDDOWN($E287*設定!$C$4,0),ROUNDDOWN($E287*ROUND((9*$Y287-9*$E287)/(10*$E287),4),0))))</f>
        <v/>
      </c>
      <c r="AB287" s="13" t="n"/>
      <c r="AC287" s="15">
        <f>IF($B287="","",IF($AB287&lt;&gt;"",$AB287,IF($AA287="","",IF($AA287&lt;=設定!$C$3,0,$AA287))))</f>
        <v/>
      </c>
      <c r="AD287" s="14">
        <f>IF($B287="","",IF(AND($AE287&lt;&gt;"",$AG287="",$AJ287=""),"保留中",IF($AJ287&lt;&gt;"",IF(N($AC287)&gt;0,"支給済","不支給"),IF($AC287="","要確認",IF($AC287=0,"不支給","未処理")))))</f>
        <v/>
      </c>
      <c r="AE287" s="12" t="n"/>
      <c r="AF287" s="11" t="n"/>
      <c r="AG287" s="11" t="n"/>
      <c r="AH287" s="11" t="n"/>
      <c r="AI287" s="14">
        <f>IF(AND($AD287="保留中",$AF287&lt;&gt;""),TODAY()-$AF287,"")</f>
        <v/>
      </c>
      <c r="AJ287" s="12" t="inlineStr">
        <is>
          <t>R8.3</t>
        </is>
      </c>
      <c r="AK287" s="14">
        <f>IF($B287="","",IF($AO287="","対象年月が未入力／","")&amp;IF($B287="","",IF($AN287="","職員マスタに未登録の職員番号／",IF($Y287="","標準報酬月額が未登録／","")&amp;IF(AND($AO287&lt;&gt;"",OR(AND(INDEX(職員マスタ!$G$6:$G$405,$AN287)&lt;&gt;"",INDEX(職員マスタ!$G$6:$G$405,$AN287)&gt;EOMONTH($AO287,0)),AND(INDEX(職員マスタ!$H$6:$H$405,$AN287)&lt;&gt;"",INDEX(職員マスタ!$H$6:$H$405,$AN287)&lt;$AO287))),"対象月が時短期間外／","")&amp;IF(AND(INDEX(職員マスタ!$F$6:$F$405,$AN287)&lt;&gt;"",$AO287&lt;&gt;"",INDEX(職員マスタ!$F$6:$F$405,$AN287)&lt;$AO287),"対象月に子が2歳到達済／","")&amp;IF(AND($H287&lt;&gt;"",INDEX(職員マスタ!$B$6:$B$405,$AN287)&lt;&gt;"",SUBSTITUTE(SUBSTITUTE($H287," ","")," ","")&lt;&gt;SUBSTITUTE(SUBSTITUTE(INDEX(職員マスタ!$B$6:$B$405,$AN287)," ","")," ","")),"氏名がマスタと相違／","")&amp;IF(AND($Q287&lt;&gt;"",INDEX(職員マスタ!$E$6:$E$405,$AN287)&lt;&gt;"",$Q287&lt;&gt;INDEX(職員マスタ!$E$6:$E$405,$AN287)),"子の生年月日がマスタと相違／","")&amp;IF(AND($L287&lt;&gt;"",INDEX(職員マスタ!$G$6:$G$405,$AN287)&lt;&gt;"",$L287&lt;&gt;INDEX(職員マスタ!$G$6:$G$405,$AN287)),"時短開始日がマスタと相違／","")&amp;IF(AND($M287&lt;&gt;"",INDEX(職員マスタ!$H$6:$H$405,$AN287)&lt;&gt;"",$M287&lt;&gt;INDEX(職員マスタ!$H$6:$H$405,$AN287)),"時短終了日がマスタと相違／","")))&amp;IF(AND($B287&lt;&gt;"",$E287=""),"報酬額が未入力／","")&amp;IF(N($U287)&gt;0,"申請書に入力エラーが残っています／","")&amp;IF(AND($B287&lt;&gt;"",$AO287&lt;&gt;""),IF(COUNTIFS($B$6:$B$3005,$B287,$C$6:$C$3005,$C287,$D$6:$D$3005,$D287)&gt;1,"同じ月の請求が重複しています／",""),"")&amp;IF(AND(N($E287)&gt;0,$Z287&lt;&gt;"",$Z287&lt;&gt;"×",$AC287=0,$AB287=""),"計算額が下限以下のため不支給／",""))</f>
        <v/>
      </c>
      <c r="AL287" s="12" t="n"/>
      <c r="AM287" s="14">
        <f>IF($AD287="保留中",COUNTIF($AD$6:$AD287,"保留中"),"")</f>
        <v/>
      </c>
      <c r="AN287" s="14">
        <f>IF($AO287="","",IF(SUMPRODUCT(MAX((職員マスタ!$A$6:$A$405=$B287)*(((職員マスタ!$G$6:$G$405="")+(職員マスタ!$G$6:$G$405&lt;=EOMONTH($AO287,0)))&gt;0)*(((職員マスタ!$H$6:$H$405="")+(職員マスタ!$H$6:$H$405&gt;=$AO287))&gt;0)*(ROW(職員マスタ!$A$6:$A$405)-5)))&gt;0,SUMPRODUCT(MAX((職員マスタ!$A$6:$A$405=$B287)*(((職員マスタ!$G$6:$G$405="")+(職員マスタ!$G$6:$G$405&lt;=EOMONTH($AO287,0)))&gt;0)*(((職員マスタ!$H$6:$H$405="")+(職員マスタ!$H$6:$H$405&gt;=$AO287))&gt;0)*(ROW(職員マスタ!$A$6:$A$405)-5))),IFERROR(MATCH($B287,職員マスタ!$A$6:$A$405,0),"")))</f>
        <v/>
      </c>
      <c r="AO287" s="16">
        <f>IF(OR($B287="",$C287="",$D287=""),"",DATE($C287+2018,$D287,1))</f>
        <v/>
      </c>
    </row>
    <row r="288">
      <c r="A288" s="11" t="n"/>
      <c r="B288" s="12" t="n">
        <v>6602668</v>
      </c>
      <c r="C288" s="12" t="n">
        <v>8</v>
      </c>
      <c r="D288" s="12" t="n">
        <v>1</v>
      </c>
      <c r="E288" s="13" t="n">
        <v>199252</v>
      </c>
      <c r="F288" s="12" t="n"/>
      <c r="G288" s="13" t="n"/>
      <c r="H288" s="12" t="n"/>
      <c r="I288" s="12" t="n"/>
      <c r="J288" s="12" t="n"/>
      <c r="K288" s="12" t="n"/>
      <c r="L288" s="11" t="n"/>
      <c r="M288" s="11" t="n"/>
      <c r="N288" s="11" t="n"/>
      <c r="O288" s="11" t="n"/>
      <c r="P288" s="12" t="n"/>
      <c r="Q288" s="11" t="n"/>
      <c r="R288" s="12" t="n"/>
      <c r="S288" s="11" t="n"/>
      <c r="T288" s="12" t="n"/>
      <c r="U288" s="12" t="n"/>
      <c r="V288" s="14">
        <f>IF($AN288="",IF($B288="","",$H288),IF(INDEX(職員マスタ!$B$6:$B$405,$AN288)="",$H288,INDEX(職員マスタ!$B$6:$B$405,$AN288)))</f>
        <v/>
      </c>
      <c r="W288" s="14">
        <f>IF($AN288="",IF($B288="","",$R288),IF(INDEX(職員マスタ!$C$6:$C$405,$AN288)="",$R288,INDEX(職員マスタ!$C$6:$C$405,$AN288)))</f>
        <v/>
      </c>
      <c r="X288" s="14">
        <f>IF($AO288="","","R"&amp;$C288&amp;"."&amp;$D288)</f>
        <v/>
      </c>
      <c r="Y288" s="15">
        <f>IF($AN288="","",IF(INDEX(職員マスタ!$K$6:$K$405,$AN288)="","",INDEX(職員マスタ!$K$6:$K$405,$AN288)))</f>
        <v/>
      </c>
      <c r="Z288" s="14">
        <f>IF(OR($E288="",$Y288=""),"",IF($E288&gt;=$Y288,"×",IF($E288&gt;=$Y288*設定!$C$5,"△","○")))</f>
        <v/>
      </c>
      <c r="AA288" s="15">
        <f>IF($Z288="","",IF($Z288="×",0,IF($Z288="○",ROUNDDOWN($E288*設定!$C$4,0),ROUNDDOWN($E288*ROUND((9*$Y288-9*$E288)/(10*$E288),4),0))))</f>
        <v/>
      </c>
      <c r="AB288" s="13" t="n"/>
      <c r="AC288" s="15">
        <f>IF($B288="","",IF($AB288&lt;&gt;"",$AB288,IF($AA288="","",IF($AA288&lt;=設定!$C$3,0,$AA288))))</f>
        <v/>
      </c>
      <c r="AD288" s="14">
        <f>IF($B288="","",IF(AND($AE288&lt;&gt;"",$AG288="",$AJ288=""),"保留中",IF($AJ288&lt;&gt;"",IF(N($AC288)&gt;0,"支給済","不支給"),IF($AC288="","要確認",IF($AC288=0,"不支給","未処理")))))</f>
        <v/>
      </c>
      <c r="AE288" s="12" t="n"/>
      <c r="AF288" s="11" t="n"/>
      <c r="AG288" s="11" t="n"/>
      <c r="AH288" s="11" t="n"/>
      <c r="AI288" s="14">
        <f>IF(AND($AD288="保留中",$AF288&lt;&gt;""),TODAY()-$AF288,"")</f>
        <v/>
      </c>
      <c r="AJ288" s="12" t="inlineStr">
        <is>
          <t>R8.3</t>
        </is>
      </c>
      <c r="AK288" s="14">
        <f>IF($B288="","",IF($AO288="","対象年月が未入力／","")&amp;IF($B288="","",IF($AN288="","職員マスタに未登録の職員番号／",IF($Y288="","標準報酬月額が未登録／","")&amp;IF(AND($AO288&lt;&gt;"",OR(AND(INDEX(職員マスタ!$G$6:$G$405,$AN288)&lt;&gt;"",INDEX(職員マスタ!$G$6:$G$405,$AN288)&gt;EOMONTH($AO288,0)),AND(INDEX(職員マスタ!$H$6:$H$405,$AN288)&lt;&gt;"",INDEX(職員マスタ!$H$6:$H$405,$AN288)&lt;$AO288))),"対象月が時短期間外／","")&amp;IF(AND(INDEX(職員マスタ!$F$6:$F$405,$AN288)&lt;&gt;"",$AO288&lt;&gt;"",INDEX(職員マスタ!$F$6:$F$405,$AN288)&lt;$AO288),"対象月に子が2歳到達済／","")&amp;IF(AND($H288&lt;&gt;"",INDEX(職員マスタ!$B$6:$B$405,$AN288)&lt;&gt;"",SUBSTITUTE(SUBSTITUTE($H288," ","")," ","")&lt;&gt;SUBSTITUTE(SUBSTITUTE(INDEX(職員マスタ!$B$6:$B$405,$AN288)," ","")," ","")),"氏名がマスタと相違／","")&amp;IF(AND($Q288&lt;&gt;"",INDEX(職員マスタ!$E$6:$E$405,$AN288)&lt;&gt;"",$Q288&lt;&gt;INDEX(職員マスタ!$E$6:$E$405,$AN288)),"子の生年月日がマスタと相違／","")&amp;IF(AND($L288&lt;&gt;"",INDEX(職員マスタ!$G$6:$G$405,$AN288)&lt;&gt;"",$L288&lt;&gt;INDEX(職員マスタ!$G$6:$G$405,$AN288)),"時短開始日がマスタと相違／","")&amp;IF(AND($M288&lt;&gt;"",INDEX(職員マスタ!$H$6:$H$405,$AN288)&lt;&gt;"",$M288&lt;&gt;INDEX(職員マスタ!$H$6:$H$405,$AN288)),"時短終了日がマスタと相違／","")))&amp;IF(AND($B288&lt;&gt;"",$E288=""),"報酬額が未入力／","")&amp;IF(N($U288)&gt;0,"申請書に入力エラーが残っています／","")&amp;IF(AND($B288&lt;&gt;"",$AO288&lt;&gt;""),IF(COUNTIFS($B$6:$B$3005,$B288,$C$6:$C$3005,$C288,$D$6:$D$3005,$D288)&gt;1,"同じ月の請求が重複しています／",""),"")&amp;IF(AND(N($E288)&gt;0,$Z288&lt;&gt;"",$Z288&lt;&gt;"×",$AC288=0,$AB288=""),"計算額が下限以下のため不支給／",""))</f>
        <v/>
      </c>
      <c r="AL288" s="12" t="n"/>
      <c r="AM288" s="14">
        <f>IF($AD288="保留中",COUNTIF($AD$6:$AD288,"保留中"),"")</f>
        <v/>
      </c>
      <c r="AN288" s="14">
        <f>IF($AO288="","",IF(SUMPRODUCT(MAX((職員マスタ!$A$6:$A$405=$B288)*(((職員マスタ!$G$6:$G$405="")+(職員マスタ!$G$6:$G$405&lt;=EOMONTH($AO288,0)))&gt;0)*(((職員マスタ!$H$6:$H$405="")+(職員マスタ!$H$6:$H$405&gt;=$AO288))&gt;0)*(ROW(職員マスタ!$A$6:$A$405)-5)))&gt;0,SUMPRODUCT(MAX((職員マスタ!$A$6:$A$405=$B288)*(((職員マスタ!$G$6:$G$405="")+(職員マスタ!$G$6:$G$405&lt;=EOMONTH($AO288,0)))&gt;0)*(((職員マスタ!$H$6:$H$405="")+(職員マスタ!$H$6:$H$405&gt;=$AO288))&gt;0)*(ROW(職員マスタ!$A$6:$A$405)-5))),IFERROR(MATCH($B288,職員マスタ!$A$6:$A$405,0),"")))</f>
        <v/>
      </c>
      <c r="AO288" s="16">
        <f>IF(OR($B288="",$C288="",$D288=""),"",DATE($C288+2018,$D288,1))</f>
        <v/>
      </c>
    </row>
    <row r="289">
      <c r="A289" s="11" t="n"/>
      <c r="B289" s="12" t="n">
        <v>6602668</v>
      </c>
      <c r="C289" s="12" t="n">
        <v>8</v>
      </c>
      <c r="D289" s="12" t="n">
        <v>2</v>
      </c>
      <c r="E289" s="13" t="n">
        <v>199252</v>
      </c>
      <c r="F289" s="12" t="n"/>
      <c r="G289" s="13" t="n"/>
      <c r="H289" s="12" t="n"/>
      <c r="I289" s="12" t="n"/>
      <c r="J289" s="12" t="n"/>
      <c r="K289" s="12" t="n"/>
      <c r="L289" s="11" t="n"/>
      <c r="M289" s="11" t="n"/>
      <c r="N289" s="11" t="n"/>
      <c r="O289" s="11" t="n"/>
      <c r="P289" s="12" t="n"/>
      <c r="Q289" s="11" t="n"/>
      <c r="R289" s="12" t="n"/>
      <c r="S289" s="11" t="n"/>
      <c r="T289" s="12" t="n"/>
      <c r="U289" s="12" t="n"/>
      <c r="V289" s="14">
        <f>IF($AN289="",IF($B289="","",$H289),IF(INDEX(職員マスタ!$B$6:$B$405,$AN289)="",$H289,INDEX(職員マスタ!$B$6:$B$405,$AN289)))</f>
        <v/>
      </c>
      <c r="W289" s="14">
        <f>IF($AN289="",IF($B289="","",$R289),IF(INDEX(職員マスタ!$C$6:$C$405,$AN289)="",$R289,INDEX(職員マスタ!$C$6:$C$405,$AN289)))</f>
        <v/>
      </c>
      <c r="X289" s="14">
        <f>IF($AO289="","","R"&amp;$C289&amp;"."&amp;$D289)</f>
        <v/>
      </c>
      <c r="Y289" s="15">
        <f>IF($AN289="","",IF(INDEX(職員マスタ!$K$6:$K$405,$AN289)="","",INDEX(職員マスタ!$K$6:$K$405,$AN289)))</f>
        <v/>
      </c>
      <c r="Z289" s="14">
        <f>IF(OR($E289="",$Y289=""),"",IF($E289&gt;=$Y289,"×",IF($E289&gt;=$Y289*設定!$C$5,"△","○")))</f>
        <v/>
      </c>
      <c r="AA289" s="15">
        <f>IF($Z289="","",IF($Z289="×",0,IF($Z289="○",ROUNDDOWN($E289*設定!$C$4,0),ROUNDDOWN($E289*ROUND((9*$Y289-9*$E289)/(10*$E289),4),0))))</f>
        <v/>
      </c>
      <c r="AB289" s="13" t="n"/>
      <c r="AC289" s="15">
        <f>IF($B289="","",IF($AB289&lt;&gt;"",$AB289,IF($AA289="","",IF($AA289&lt;=設定!$C$3,0,$AA289))))</f>
        <v/>
      </c>
      <c r="AD289" s="14">
        <f>IF($B289="","",IF(AND($AE289&lt;&gt;"",$AG289="",$AJ289=""),"保留中",IF($AJ289&lt;&gt;"",IF(N($AC289)&gt;0,"支給済","不支給"),IF($AC289="","要確認",IF($AC289=0,"不支給","未処理")))))</f>
        <v/>
      </c>
      <c r="AE289" s="12" t="n"/>
      <c r="AF289" s="11" t="n"/>
      <c r="AG289" s="11" t="n"/>
      <c r="AH289" s="11" t="n"/>
      <c r="AI289" s="14">
        <f>IF(AND($AD289="保留中",$AF289&lt;&gt;""),TODAY()-$AF289,"")</f>
        <v/>
      </c>
      <c r="AJ289" s="12" t="inlineStr">
        <is>
          <t>R8.4</t>
        </is>
      </c>
      <c r="AK289" s="14">
        <f>IF($B289="","",IF($AO289="","対象年月が未入力／","")&amp;IF($B289="","",IF($AN289="","職員マスタに未登録の職員番号／",IF($Y289="","標準報酬月額が未登録／","")&amp;IF(AND($AO289&lt;&gt;"",OR(AND(INDEX(職員マスタ!$G$6:$G$405,$AN289)&lt;&gt;"",INDEX(職員マスタ!$G$6:$G$405,$AN289)&gt;EOMONTH($AO289,0)),AND(INDEX(職員マスタ!$H$6:$H$405,$AN289)&lt;&gt;"",INDEX(職員マスタ!$H$6:$H$405,$AN289)&lt;$AO289))),"対象月が時短期間外／","")&amp;IF(AND(INDEX(職員マスタ!$F$6:$F$405,$AN289)&lt;&gt;"",$AO289&lt;&gt;"",INDEX(職員マスタ!$F$6:$F$405,$AN289)&lt;$AO289),"対象月に子が2歳到達済／","")&amp;IF(AND($H289&lt;&gt;"",INDEX(職員マスタ!$B$6:$B$405,$AN289)&lt;&gt;"",SUBSTITUTE(SUBSTITUTE($H289," ","")," ","")&lt;&gt;SUBSTITUTE(SUBSTITUTE(INDEX(職員マスタ!$B$6:$B$405,$AN289)," ","")," ","")),"氏名がマスタと相違／","")&amp;IF(AND($Q289&lt;&gt;"",INDEX(職員マスタ!$E$6:$E$405,$AN289)&lt;&gt;"",$Q289&lt;&gt;INDEX(職員マスタ!$E$6:$E$405,$AN289)),"子の生年月日がマスタと相違／","")&amp;IF(AND($L289&lt;&gt;"",INDEX(職員マスタ!$G$6:$G$405,$AN289)&lt;&gt;"",$L289&lt;&gt;INDEX(職員マスタ!$G$6:$G$405,$AN289)),"時短開始日がマスタと相違／","")&amp;IF(AND($M289&lt;&gt;"",INDEX(職員マスタ!$H$6:$H$405,$AN289)&lt;&gt;"",$M289&lt;&gt;INDEX(職員マスタ!$H$6:$H$405,$AN289)),"時短終了日がマスタと相違／","")))&amp;IF(AND($B289&lt;&gt;"",$E289=""),"報酬額が未入力／","")&amp;IF(N($U289)&gt;0,"申請書に入力エラーが残っています／","")&amp;IF(AND($B289&lt;&gt;"",$AO289&lt;&gt;""),IF(COUNTIFS($B$6:$B$3005,$B289,$C$6:$C$3005,$C289,$D$6:$D$3005,$D289)&gt;1,"同じ月の請求が重複しています／",""),"")&amp;IF(AND(N($E289)&gt;0,$Z289&lt;&gt;"",$Z289&lt;&gt;"×",$AC289=0,$AB289=""),"計算額が下限以下のため不支給／",""))</f>
        <v/>
      </c>
      <c r="AL289" s="12" t="n"/>
      <c r="AM289" s="14">
        <f>IF($AD289="保留中",COUNTIF($AD$6:$AD289,"保留中"),"")</f>
        <v/>
      </c>
      <c r="AN289" s="14">
        <f>IF($AO289="","",IF(SUMPRODUCT(MAX((職員マスタ!$A$6:$A$405=$B289)*(((職員マスタ!$G$6:$G$405="")+(職員マスタ!$G$6:$G$405&lt;=EOMONTH($AO289,0)))&gt;0)*(((職員マスタ!$H$6:$H$405="")+(職員マスタ!$H$6:$H$405&gt;=$AO289))&gt;0)*(ROW(職員マスタ!$A$6:$A$405)-5)))&gt;0,SUMPRODUCT(MAX((職員マスタ!$A$6:$A$405=$B289)*(((職員マスタ!$G$6:$G$405="")+(職員マスタ!$G$6:$G$405&lt;=EOMONTH($AO289,0)))&gt;0)*(((職員マスタ!$H$6:$H$405="")+(職員マスタ!$H$6:$H$405&gt;=$AO289))&gt;0)*(ROW(職員マスタ!$A$6:$A$405)-5))),IFERROR(MATCH($B289,職員マスタ!$A$6:$A$405,0),"")))</f>
        <v/>
      </c>
      <c r="AO289" s="16">
        <f>IF(OR($B289="",$C289="",$D289=""),"",DATE($C289+2018,$D289,1))</f>
        <v/>
      </c>
    </row>
    <row r="290">
      <c r="A290" s="11" t="n"/>
      <c r="B290" s="12" t="n">
        <v>6602668</v>
      </c>
      <c r="C290" s="12" t="n">
        <v>8</v>
      </c>
      <c r="D290" s="12" t="n">
        <v>3</v>
      </c>
      <c r="E290" s="13" t="n">
        <v>199252</v>
      </c>
      <c r="F290" s="12" t="n"/>
      <c r="G290" s="13" t="n"/>
      <c r="H290" s="12" t="n"/>
      <c r="I290" s="12" t="n"/>
      <c r="J290" s="12" t="n"/>
      <c r="K290" s="12" t="n"/>
      <c r="L290" s="11" t="n"/>
      <c r="M290" s="11" t="n"/>
      <c r="N290" s="11" t="n"/>
      <c r="O290" s="11" t="n"/>
      <c r="P290" s="12" t="n"/>
      <c r="Q290" s="11" t="n"/>
      <c r="R290" s="12" t="n"/>
      <c r="S290" s="11" t="n"/>
      <c r="T290" s="12" t="n"/>
      <c r="U290" s="12" t="n"/>
      <c r="V290" s="14">
        <f>IF($AN290="",IF($B290="","",$H290),IF(INDEX(職員マスタ!$B$6:$B$405,$AN290)="",$H290,INDEX(職員マスタ!$B$6:$B$405,$AN290)))</f>
        <v/>
      </c>
      <c r="W290" s="14">
        <f>IF($AN290="",IF($B290="","",$R290),IF(INDEX(職員マスタ!$C$6:$C$405,$AN290)="",$R290,INDEX(職員マスタ!$C$6:$C$405,$AN290)))</f>
        <v/>
      </c>
      <c r="X290" s="14">
        <f>IF($AO290="","","R"&amp;$C290&amp;"."&amp;$D290)</f>
        <v/>
      </c>
      <c r="Y290" s="15">
        <f>IF($AN290="","",IF(INDEX(職員マスタ!$K$6:$K$405,$AN290)="","",INDEX(職員マスタ!$K$6:$K$405,$AN290)))</f>
        <v/>
      </c>
      <c r="Z290" s="14">
        <f>IF(OR($E290="",$Y290=""),"",IF($E290&gt;=$Y290,"×",IF($E290&gt;=$Y290*設定!$C$5,"△","○")))</f>
        <v/>
      </c>
      <c r="AA290" s="15">
        <f>IF($Z290="","",IF($Z290="×",0,IF($Z290="○",ROUNDDOWN($E290*設定!$C$4,0),ROUNDDOWN($E290*ROUND((9*$Y290-9*$E290)/(10*$E290),4),0))))</f>
        <v/>
      </c>
      <c r="AB290" s="13" t="n"/>
      <c r="AC290" s="15">
        <f>IF($B290="","",IF($AB290&lt;&gt;"",$AB290,IF($AA290="","",IF($AA290&lt;=設定!$C$3,0,$AA290))))</f>
        <v/>
      </c>
      <c r="AD290" s="14">
        <f>IF($B290="","",IF(AND($AE290&lt;&gt;"",$AG290="",$AJ290=""),"保留中",IF($AJ290&lt;&gt;"",IF(N($AC290)&gt;0,"支給済","不支給"),IF($AC290="","要確認",IF($AC290=0,"不支給","未処理")))))</f>
        <v/>
      </c>
      <c r="AE290" s="12" t="n"/>
      <c r="AF290" s="11" t="n"/>
      <c r="AG290" s="11" t="n"/>
      <c r="AH290" s="11" t="n"/>
      <c r="AI290" s="14">
        <f>IF(AND($AD290="保留中",$AF290&lt;&gt;""),TODAY()-$AF290,"")</f>
        <v/>
      </c>
      <c r="AJ290" s="12" t="inlineStr">
        <is>
          <t>R8.10</t>
        </is>
      </c>
      <c r="AK290" s="14">
        <f>IF($B290="","",IF($AO290="","対象年月が未入力／","")&amp;IF($B290="","",IF($AN290="","職員マスタに未登録の職員番号／",IF($Y290="","標準報酬月額が未登録／","")&amp;IF(AND($AO290&lt;&gt;"",OR(AND(INDEX(職員マスタ!$G$6:$G$405,$AN290)&lt;&gt;"",INDEX(職員マスタ!$G$6:$G$405,$AN290)&gt;EOMONTH($AO290,0)),AND(INDEX(職員マスタ!$H$6:$H$405,$AN290)&lt;&gt;"",INDEX(職員マスタ!$H$6:$H$405,$AN290)&lt;$AO290))),"対象月が時短期間外／","")&amp;IF(AND(INDEX(職員マスタ!$F$6:$F$405,$AN290)&lt;&gt;"",$AO290&lt;&gt;"",INDEX(職員マスタ!$F$6:$F$405,$AN290)&lt;$AO290),"対象月に子が2歳到達済／","")&amp;IF(AND($H290&lt;&gt;"",INDEX(職員マスタ!$B$6:$B$405,$AN290)&lt;&gt;"",SUBSTITUTE(SUBSTITUTE($H290," ","")," ","")&lt;&gt;SUBSTITUTE(SUBSTITUTE(INDEX(職員マスタ!$B$6:$B$405,$AN290)," ","")," ","")),"氏名がマスタと相違／","")&amp;IF(AND($Q290&lt;&gt;"",INDEX(職員マスタ!$E$6:$E$405,$AN290)&lt;&gt;"",$Q290&lt;&gt;INDEX(職員マスタ!$E$6:$E$405,$AN290)),"子の生年月日がマスタと相違／","")&amp;IF(AND($L290&lt;&gt;"",INDEX(職員マスタ!$G$6:$G$405,$AN290)&lt;&gt;"",$L290&lt;&gt;INDEX(職員マスタ!$G$6:$G$405,$AN290)),"時短開始日がマスタと相違／","")&amp;IF(AND($M290&lt;&gt;"",INDEX(職員マスタ!$H$6:$H$405,$AN290)&lt;&gt;"",$M290&lt;&gt;INDEX(職員マスタ!$H$6:$H$405,$AN290)),"時短終了日がマスタと相違／","")))&amp;IF(AND($B290&lt;&gt;"",$E290=""),"報酬額が未入力／","")&amp;IF(N($U290)&gt;0,"申請書に入力エラーが残っています／","")&amp;IF(AND($B290&lt;&gt;"",$AO290&lt;&gt;""),IF(COUNTIFS($B$6:$B$3005,$B290,$C$6:$C$3005,$C290,$D$6:$D$3005,$D290)&gt;1,"同じ月の請求が重複しています／",""),"")&amp;IF(AND(N($E290)&gt;0,$Z290&lt;&gt;"",$Z290&lt;&gt;"×",$AC290=0,$AB290=""),"計算額が下限以下のため不支給／",""))</f>
        <v/>
      </c>
      <c r="AL290" s="12" t="n"/>
      <c r="AM290" s="14">
        <f>IF($AD290="保留中",COUNTIF($AD$6:$AD290,"保留中"),"")</f>
        <v/>
      </c>
      <c r="AN290" s="14">
        <f>IF($AO290="","",IF(SUMPRODUCT(MAX((職員マスタ!$A$6:$A$405=$B290)*(((職員マスタ!$G$6:$G$405="")+(職員マスタ!$G$6:$G$405&lt;=EOMONTH($AO290,0)))&gt;0)*(((職員マスタ!$H$6:$H$405="")+(職員マスタ!$H$6:$H$405&gt;=$AO290))&gt;0)*(ROW(職員マスタ!$A$6:$A$405)-5)))&gt;0,SUMPRODUCT(MAX((職員マスタ!$A$6:$A$405=$B290)*(((職員マスタ!$G$6:$G$405="")+(職員マスタ!$G$6:$G$405&lt;=EOMONTH($AO290,0)))&gt;0)*(((職員マスタ!$H$6:$H$405="")+(職員マスタ!$H$6:$H$405&gt;=$AO290))&gt;0)*(ROW(職員マスタ!$A$6:$A$405)-5))),IFERROR(MATCH($B290,職員マスタ!$A$6:$A$405,0),"")))</f>
        <v/>
      </c>
      <c r="AO290" s="16">
        <f>IF(OR($B290="",$C290="",$D290=""),"",DATE($C290+2018,$D290,1))</f>
        <v/>
      </c>
    </row>
    <row r="291">
      <c r="A291" s="11" t="n"/>
      <c r="B291" s="12" t="n">
        <v>6602817</v>
      </c>
      <c r="C291" s="12" t="n">
        <v>7</v>
      </c>
      <c r="D291" s="12" t="n">
        <v>4</v>
      </c>
      <c r="E291" s="13" t="n">
        <v>184733</v>
      </c>
      <c r="F291" s="12" t="n"/>
      <c r="G291" s="13" t="n"/>
      <c r="H291" s="12" t="n"/>
      <c r="I291" s="12" t="n"/>
      <c r="J291" s="12" t="n"/>
      <c r="K291" s="12" t="n"/>
      <c r="L291" s="11" t="n"/>
      <c r="M291" s="11" t="n"/>
      <c r="N291" s="11" t="n"/>
      <c r="O291" s="11" t="n"/>
      <c r="P291" s="12" t="n"/>
      <c r="Q291" s="11" t="n"/>
      <c r="R291" s="12" t="n"/>
      <c r="S291" s="11" t="n"/>
      <c r="T291" s="12" t="n"/>
      <c r="U291" s="12" t="n"/>
      <c r="V291" s="14">
        <f>IF($AN291="",IF($B291="","",$H291),IF(INDEX(職員マスタ!$B$6:$B$405,$AN291)="",$H291,INDEX(職員マスタ!$B$6:$B$405,$AN291)))</f>
        <v/>
      </c>
      <c r="W291" s="14">
        <f>IF($AN291="",IF($B291="","",$R291),IF(INDEX(職員マスタ!$C$6:$C$405,$AN291)="",$R291,INDEX(職員マスタ!$C$6:$C$405,$AN291)))</f>
        <v/>
      </c>
      <c r="X291" s="14">
        <f>IF($AO291="","","R"&amp;$C291&amp;"."&amp;$D291)</f>
        <v/>
      </c>
      <c r="Y291" s="15">
        <f>IF($AN291="","",IF(INDEX(職員マスタ!$K$6:$K$405,$AN291)="","",INDEX(職員マスタ!$K$6:$K$405,$AN291)))</f>
        <v/>
      </c>
      <c r="Z291" s="14">
        <f>IF(OR($E291="",$Y291=""),"",IF($E291&gt;=$Y291,"×",IF($E291&gt;=$Y291*設定!$C$5,"△","○")))</f>
        <v/>
      </c>
      <c r="AA291" s="15">
        <f>IF($Z291="","",IF($Z291="×",0,IF($Z291="○",ROUNDDOWN($E291*設定!$C$4,0),ROUNDDOWN($E291*ROUND((9*$Y291-9*$E291)/(10*$E291),4),0))))</f>
        <v/>
      </c>
      <c r="AB291" s="13" t="n"/>
      <c r="AC291" s="15">
        <f>IF($B291="","",IF($AB291&lt;&gt;"",$AB291,IF($AA291="","",IF($AA291&lt;=設定!$C$3,0,$AA291))))</f>
        <v/>
      </c>
      <c r="AD291" s="14">
        <f>IF($B291="","",IF(AND($AE291&lt;&gt;"",$AG291="",$AJ291=""),"保留中",IF($AJ291&lt;&gt;"",IF(N($AC291)&gt;0,"支給済","不支給"),IF($AC291="","要確認",IF($AC291=0,"不支給","未処理")))))</f>
        <v/>
      </c>
      <c r="AE291" s="12" t="n"/>
      <c r="AF291" s="11" t="n"/>
      <c r="AG291" s="11" t="n"/>
      <c r="AH291" s="11" t="n"/>
      <c r="AI291" s="14">
        <f>IF(AND($AD291="保留中",$AF291&lt;&gt;""),TODAY()-$AF291,"")</f>
        <v/>
      </c>
      <c r="AJ291" s="12" t="inlineStr">
        <is>
          <t>R7.8</t>
        </is>
      </c>
      <c r="AK291" s="14">
        <f>IF($B291="","",IF($AO291="","対象年月が未入力／","")&amp;IF($B291="","",IF($AN291="","職員マスタに未登録の職員番号／",IF($Y291="","標準報酬月額が未登録／","")&amp;IF(AND($AO291&lt;&gt;"",OR(AND(INDEX(職員マスタ!$G$6:$G$405,$AN291)&lt;&gt;"",INDEX(職員マスタ!$G$6:$G$405,$AN291)&gt;EOMONTH($AO291,0)),AND(INDEX(職員マスタ!$H$6:$H$405,$AN291)&lt;&gt;"",INDEX(職員マスタ!$H$6:$H$405,$AN291)&lt;$AO291))),"対象月が時短期間外／","")&amp;IF(AND(INDEX(職員マスタ!$F$6:$F$405,$AN291)&lt;&gt;"",$AO291&lt;&gt;"",INDEX(職員マスタ!$F$6:$F$405,$AN291)&lt;$AO291),"対象月に子が2歳到達済／","")&amp;IF(AND($H291&lt;&gt;"",INDEX(職員マスタ!$B$6:$B$405,$AN291)&lt;&gt;"",SUBSTITUTE(SUBSTITUTE($H291," ","")," ","")&lt;&gt;SUBSTITUTE(SUBSTITUTE(INDEX(職員マスタ!$B$6:$B$405,$AN291)," ","")," ","")),"氏名がマスタと相違／","")&amp;IF(AND($Q291&lt;&gt;"",INDEX(職員マスタ!$E$6:$E$405,$AN291)&lt;&gt;"",$Q291&lt;&gt;INDEX(職員マスタ!$E$6:$E$405,$AN291)),"子の生年月日がマスタと相違／","")&amp;IF(AND($L291&lt;&gt;"",INDEX(職員マスタ!$G$6:$G$405,$AN291)&lt;&gt;"",$L291&lt;&gt;INDEX(職員マスタ!$G$6:$G$405,$AN291)),"時短開始日がマスタと相違／","")&amp;IF(AND($M291&lt;&gt;"",INDEX(職員マスタ!$H$6:$H$405,$AN291)&lt;&gt;"",$M291&lt;&gt;INDEX(職員マスタ!$H$6:$H$405,$AN291)),"時短終了日がマスタと相違／","")))&amp;IF(AND($B291&lt;&gt;"",$E291=""),"報酬額が未入力／","")&amp;IF(N($U291)&gt;0,"申請書に入力エラーが残っています／","")&amp;IF(AND($B291&lt;&gt;"",$AO291&lt;&gt;""),IF(COUNTIFS($B$6:$B$3005,$B291,$C$6:$C$3005,$C291,$D$6:$D$3005,$D291)&gt;1,"同じ月の請求が重複しています／",""),"")&amp;IF(AND(N($E291)&gt;0,$Z291&lt;&gt;"",$Z291&lt;&gt;"×",$AC291=0,$AB291=""),"計算額が下限以下のため不支給／",""))</f>
        <v/>
      </c>
      <c r="AL291" s="12" t="n"/>
      <c r="AM291" s="14">
        <f>IF($AD291="保留中",COUNTIF($AD$6:$AD291,"保留中"),"")</f>
        <v/>
      </c>
      <c r="AN291" s="14">
        <f>IF($AO291="","",IF(SUMPRODUCT(MAX((職員マスタ!$A$6:$A$405=$B291)*(((職員マスタ!$G$6:$G$405="")+(職員マスタ!$G$6:$G$405&lt;=EOMONTH($AO291,0)))&gt;0)*(((職員マスタ!$H$6:$H$405="")+(職員マスタ!$H$6:$H$405&gt;=$AO291))&gt;0)*(ROW(職員マスタ!$A$6:$A$405)-5)))&gt;0,SUMPRODUCT(MAX((職員マスタ!$A$6:$A$405=$B291)*(((職員マスタ!$G$6:$G$405="")+(職員マスタ!$G$6:$G$405&lt;=EOMONTH($AO291,0)))&gt;0)*(((職員マスタ!$H$6:$H$405="")+(職員マスタ!$H$6:$H$405&gt;=$AO291))&gt;0)*(ROW(職員マスタ!$A$6:$A$405)-5))),IFERROR(MATCH($B291,職員マスタ!$A$6:$A$405,0),"")))</f>
        <v/>
      </c>
      <c r="AO291" s="16">
        <f>IF(OR($B291="",$C291="",$D291=""),"",DATE($C291+2018,$D291,1))</f>
        <v/>
      </c>
    </row>
    <row r="292">
      <c r="A292" s="11" t="n"/>
      <c r="B292" s="12" t="n">
        <v>6602825</v>
      </c>
      <c r="C292" s="12" t="n">
        <v>8</v>
      </c>
      <c r="D292" s="12" t="n">
        <v>4</v>
      </c>
      <c r="E292" s="13" t="n">
        <v>87004</v>
      </c>
      <c r="F292" s="12" t="n"/>
      <c r="G292" s="13" t="n"/>
      <c r="H292" s="12" t="n"/>
      <c r="I292" s="12" t="n"/>
      <c r="J292" s="12" t="n"/>
      <c r="K292" s="12" t="n"/>
      <c r="L292" s="11" t="n"/>
      <c r="M292" s="11" t="n"/>
      <c r="N292" s="11" t="n"/>
      <c r="O292" s="11" t="n"/>
      <c r="P292" s="12" t="n"/>
      <c r="Q292" s="11" t="n"/>
      <c r="R292" s="12" t="n"/>
      <c r="S292" s="11" t="n"/>
      <c r="T292" s="12" t="n"/>
      <c r="U292" s="12" t="n"/>
      <c r="V292" s="14">
        <f>IF($AN292="",IF($B292="","",$H292),IF(INDEX(職員マスタ!$B$6:$B$405,$AN292)="",$H292,INDEX(職員マスタ!$B$6:$B$405,$AN292)))</f>
        <v/>
      </c>
      <c r="W292" s="14">
        <f>IF($AN292="",IF($B292="","",$R292),IF(INDEX(職員マスタ!$C$6:$C$405,$AN292)="",$R292,INDEX(職員マスタ!$C$6:$C$405,$AN292)))</f>
        <v/>
      </c>
      <c r="X292" s="14">
        <f>IF($AO292="","","R"&amp;$C292&amp;"."&amp;$D292)</f>
        <v/>
      </c>
      <c r="Y292" s="15">
        <f>IF($AN292="","",IF(INDEX(職員マスタ!$K$6:$K$405,$AN292)="","",INDEX(職員マスタ!$K$6:$K$405,$AN292)))</f>
        <v/>
      </c>
      <c r="Z292" s="14">
        <f>IF(OR($E292="",$Y292=""),"",IF($E292&gt;=$Y292,"×",IF($E292&gt;=$Y292*設定!$C$5,"△","○")))</f>
        <v/>
      </c>
      <c r="AA292" s="15">
        <f>IF($Z292="","",IF($Z292="×",0,IF($Z292="○",ROUNDDOWN($E292*設定!$C$4,0),ROUNDDOWN($E292*ROUND((9*$Y292-9*$E292)/(10*$E292),4),0))))</f>
        <v/>
      </c>
      <c r="AB292" s="13" t="n"/>
      <c r="AC292" s="15">
        <f>IF($B292="","",IF($AB292&lt;&gt;"",$AB292,IF($AA292="","",IF($AA292&lt;=設定!$C$3,0,$AA292))))</f>
        <v/>
      </c>
      <c r="AD292" s="14">
        <f>IF($B292="","",IF(AND($AE292&lt;&gt;"",$AG292="",$AJ292=""),"保留中",IF($AJ292&lt;&gt;"",IF(N($AC292)&gt;0,"支給済","不支給"),IF($AC292="","要確認",IF($AC292=0,"不支給","未処理")))))</f>
        <v/>
      </c>
      <c r="AE292" s="12" t="n"/>
      <c r="AF292" s="11" t="n"/>
      <c r="AG292" s="11" t="n"/>
      <c r="AH292" s="11" t="n"/>
      <c r="AI292" s="14">
        <f>IF(AND($AD292="保留中",$AF292&lt;&gt;""),TODAY()-$AF292,"")</f>
        <v/>
      </c>
      <c r="AJ292" s="12" t="inlineStr">
        <is>
          <t>R8.10</t>
        </is>
      </c>
      <c r="AK292" s="14">
        <f>IF($B292="","",IF($AO292="","対象年月が未入力／","")&amp;IF($B292="","",IF($AN292="","職員マスタに未登録の職員番号／",IF($Y292="","標準報酬月額が未登録／","")&amp;IF(AND($AO292&lt;&gt;"",OR(AND(INDEX(職員マスタ!$G$6:$G$405,$AN292)&lt;&gt;"",INDEX(職員マスタ!$G$6:$G$405,$AN292)&gt;EOMONTH($AO292,0)),AND(INDEX(職員マスタ!$H$6:$H$405,$AN292)&lt;&gt;"",INDEX(職員マスタ!$H$6:$H$405,$AN292)&lt;$AO292))),"対象月が時短期間外／","")&amp;IF(AND(INDEX(職員マスタ!$F$6:$F$405,$AN292)&lt;&gt;"",$AO292&lt;&gt;"",INDEX(職員マスタ!$F$6:$F$405,$AN292)&lt;$AO292),"対象月に子が2歳到達済／","")&amp;IF(AND($H292&lt;&gt;"",INDEX(職員マスタ!$B$6:$B$405,$AN292)&lt;&gt;"",SUBSTITUTE(SUBSTITUTE($H292," ","")," ","")&lt;&gt;SUBSTITUTE(SUBSTITUTE(INDEX(職員マスタ!$B$6:$B$405,$AN292)," ","")," ","")),"氏名がマスタと相違／","")&amp;IF(AND($Q292&lt;&gt;"",INDEX(職員マスタ!$E$6:$E$405,$AN292)&lt;&gt;"",$Q292&lt;&gt;INDEX(職員マスタ!$E$6:$E$405,$AN292)),"子の生年月日がマスタと相違／","")&amp;IF(AND($L292&lt;&gt;"",INDEX(職員マスタ!$G$6:$G$405,$AN292)&lt;&gt;"",$L292&lt;&gt;INDEX(職員マスタ!$G$6:$G$405,$AN292)),"時短開始日がマスタと相違／","")&amp;IF(AND($M292&lt;&gt;"",INDEX(職員マスタ!$H$6:$H$405,$AN292)&lt;&gt;"",$M292&lt;&gt;INDEX(職員マスタ!$H$6:$H$405,$AN292)),"時短終了日がマスタと相違／","")))&amp;IF(AND($B292&lt;&gt;"",$E292=""),"報酬額が未入力／","")&amp;IF(N($U292)&gt;0,"申請書に入力エラーが残っています／","")&amp;IF(AND($B292&lt;&gt;"",$AO292&lt;&gt;""),IF(COUNTIFS($B$6:$B$3005,$B292,$C$6:$C$3005,$C292,$D$6:$D$3005,$D292)&gt;1,"同じ月の請求が重複しています／",""),"")&amp;IF(AND(N($E292)&gt;0,$Z292&lt;&gt;"",$Z292&lt;&gt;"×",$AC292=0,$AB292=""),"計算額が下限以下のため不支給／",""))</f>
        <v/>
      </c>
      <c r="AL292" s="12" t="n"/>
      <c r="AM292" s="14">
        <f>IF($AD292="保留中",COUNTIF($AD$6:$AD292,"保留中"),"")</f>
        <v/>
      </c>
      <c r="AN292" s="14">
        <f>IF($AO292="","",IF(SUMPRODUCT(MAX((職員マスタ!$A$6:$A$405=$B292)*(((職員マスタ!$G$6:$G$405="")+(職員マスタ!$G$6:$G$405&lt;=EOMONTH($AO292,0)))&gt;0)*(((職員マスタ!$H$6:$H$405="")+(職員マスタ!$H$6:$H$405&gt;=$AO292))&gt;0)*(ROW(職員マスタ!$A$6:$A$405)-5)))&gt;0,SUMPRODUCT(MAX((職員マスタ!$A$6:$A$405=$B292)*(((職員マスタ!$G$6:$G$405="")+(職員マスタ!$G$6:$G$405&lt;=EOMONTH($AO292,0)))&gt;0)*(((職員マスタ!$H$6:$H$405="")+(職員マスタ!$H$6:$H$405&gt;=$AO292))&gt;0)*(ROW(職員マスタ!$A$6:$A$405)-5))),IFERROR(MATCH($B292,職員マスタ!$A$6:$A$405,0),"")))</f>
        <v/>
      </c>
      <c r="AO292" s="16">
        <f>IF(OR($B292="",$C292="",$D292=""),"",DATE($C292+2018,$D292,1))</f>
        <v/>
      </c>
    </row>
    <row r="293">
      <c r="A293" s="11" t="n"/>
      <c r="B293" s="12" t="n">
        <v>6602825</v>
      </c>
      <c r="C293" s="12" t="n">
        <v>8</v>
      </c>
      <c r="D293" s="12" t="n">
        <v>5</v>
      </c>
      <c r="E293" s="13" t="n">
        <v>199497</v>
      </c>
      <c r="F293" s="12" t="n"/>
      <c r="G293" s="13" t="n"/>
      <c r="H293" s="12" t="n"/>
      <c r="I293" s="12" t="n"/>
      <c r="J293" s="12" t="n"/>
      <c r="K293" s="12" t="n"/>
      <c r="L293" s="11" t="n"/>
      <c r="M293" s="11" t="n"/>
      <c r="N293" s="11" t="n"/>
      <c r="O293" s="11" t="n"/>
      <c r="P293" s="12" t="n"/>
      <c r="Q293" s="11" t="n"/>
      <c r="R293" s="12" t="n"/>
      <c r="S293" s="11" t="n"/>
      <c r="T293" s="12" t="n"/>
      <c r="U293" s="12" t="n"/>
      <c r="V293" s="14">
        <f>IF($AN293="",IF($B293="","",$H293),IF(INDEX(職員マスタ!$B$6:$B$405,$AN293)="",$H293,INDEX(職員マスタ!$B$6:$B$405,$AN293)))</f>
        <v/>
      </c>
      <c r="W293" s="14">
        <f>IF($AN293="",IF($B293="","",$R293),IF(INDEX(職員マスタ!$C$6:$C$405,$AN293)="",$R293,INDEX(職員マスタ!$C$6:$C$405,$AN293)))</f>
        <v/>
      </c>
      <c r="X293" s="14">
        <f>IF($AO293="","","R"&amp;$C293&amp;"."&amp;$D293)</f>
        <v/>
      </c>
      <c r="Y293" s="15">
        <f>IF($AN293="","",IF(INDEX(職員マスタ!$K$6:$K$405,$AN293)="","",INDEX(職員マスタ!$K$6:$K$405,$AN293)))</f>
        <v/>
      </c>
      <c r="Z293" s="14">
        <f>IF(OR($E293="",$Y293=""),"",IF($E293&gt;=$Y293,"×",IF($E293&gt;=$Y293*設定!$C$5,"△","○")))</f>
        <v/>
      </c>
      <c r="AA293" s="15">
        <f>IF($Z293="","",IF($Z293="×",0,IF($Z293="○",ROUNDDOWN($E293*設定!$C$4,0),ROUNDDOWN($E293*ROUND((9*$Y293-9*$E293)/(10*$E293),4),0))))</f>
        <v/>
      </c>
      <c r="AB293" s="13" t="n"/>
      <c r="AC293" s="15">
        <f>IF($B293="","",IF($AB293&lt;&gt;"",$AB293,IF($AA293="","",IF($AA293&lt;=設定!$C$3,0,$AA293))))</f>
        <v/>
      </c>
      <c r="AD293" s="14">
        <f>IF($B293="","",IF(AND($AE293&lt;&gt;"",$AG293="",$AJ293=""),"保留中",IF($AJ293&lt;&gt;"",IF(N($AC293)&gt;0,"支給済","不支給"),IF($AC293="","要確認",IF($AC293=0,"不支給","未処理")))))</f>
        <v/>
      </c>
      <c r="AE293" s="12" t="n"/>
      <c r="AF293" s="11" t="n"/>
      <c r="AG293" s="11" t="n"/>
      <c r="AH293" s="11" t="n"/>
      <c r="AI293" s="14">
        <f>IF(AND($AD293="保留中",$AF293&lt;&gt;""),TODAY()-$AF293,"")</f>
        <v/>
      </c>
      <c r="AJ293" s="12" t="inlineStr">
        <is>
          <t>R8.10</t>
        </is>
      </c>
      <c r="AK293" s="14">
        <f>IF($B293="","",IF($AO293="","対象年月が未入力／","")&amp;IF($B293="","",IF($AN293="","職員マスタに未登録の職員番号／",IF($Y293="","標準報酬月額が未登録／","")&amp;IF(AND($AO293&lt;&gt;"",OR(AND(INDEX(職員マスタ!$G$6:$G$405,$AN293)&lt;&gt;"",INDEX(職員マスタ!$G$6:$G$405,$AN293)&gt;EOMONTH($AO293,0)),AND(INDEX(職員マスタ!$H$6:$H$405,$AN293)&lt;&gt;"",INDEX(職員マスタ!$H$6:$H$405,$AN293)&lt;$AO293))),"対象月が時短期間外／","")&amp;IF(AND(INDEX(職員マスタ!$F$6:$F$405,$AN293)&lt;&gt;"",$AO293&lt;&gt;"",INDEX(職員マスタ!$F$6:$F$405,$AN293)&lt;$AO293),"対象月に子が2歳到達済／","")&amp;IF(AND($H293&lt;&gt;"",INDEX(職員マスタ!$B$6:$B$405,$AN293)&lt;&gt;"",SUBSTITUTE(SUBSTITUTE($H293," ","")," ","")&lt;&gt;SUBSTITUTE(SUBSTITUTE(INDEX(職員マスタ!$B$6:$B$405,$AN293)," ","")," ","")),"氏名がマスタと相違／","")&amp;IF(AND($Q293&lt;&gt;"",INDEX(職員マスタ!$E$6:$E$405,$AN293)&lt;&gt;"",$Q293&lt;&gt;INDEX(職員マスタ!$E$6:$E$405,$AN293)),"子の生年月日がマスタと相違／","")&amp;IF(AND($L293&lt;&gt;"",INDEX(職員マスタ!$G$6:$G$405,$AN293)&lt;&gt;"",$L293&lt;&gt;INDEX(職員マスタ!$G$6:$G$405,$AN293)),"時短開始日がマスタと相違／","")&amp;IF(AND($M293&lt;&gt;"",INDEX(職員マスタ!$H$6:$H$405,$AN293)&lt;&gt;"",$M293&lt;&gt;INDEX(職員マスタ!$H$6:$H$405,$AN293)),"時短終了日がマスタと相違／","")))&amp;IF(AND($B293&lt;&gt;"",$E293=""),"報酬額が未入力／","")&amp;IF(N($U293)&gt;0,"申請書に入力エラーが残っています／","")&amp;IF(AND($B293&lt;&gt;"",$AO293&lt;&gt;""),IF(COUNTIFS($B$6:$B$3005,$B293,$C$6:$C$3005,$C293,$D$6:$D$3005,$D293)&gt;1,"同じ月の請求が重複しています／",""),"")&amp;IF(AND(N($E293)&gt;0,$Z293&lt;&gt;"",$Z293&lt;&gt;"×",$AC293=0,$AB293=""),"計算額が下限以下のため不支給／",""))</f>
        <v/>
      </c>
      <c r="AL293" s="12" t="n"/>
      <c r="AM293" s="14">
        <f>IF($AD293="保留中",COUNTIF($AD$6:$AD293,"保留中"),"")</f>
        <v/>
      </c>
      <c r="AN293" s="14">
        <f>IF($AO293="","",IF(SUMPRODUCT(MAX((職員マスタ!$A$6:$A$405=$B293)*(((職員マスタ!$G$6:$G$405="")+(職員マスタ!$G$6:$G$405&lt;=EOMONTH($AO293,0)))&gt;0)*(((職員マスタ!$H$6:$H$405="")+(職員マスタ!$H$6:$H$405&gt;=$AO293))&gt;0)*(ROW(職員マスタ!$A$6:$A$405)-5)))&gt;0,SUMPRODUCT(MAX((職員マスタ!$A$6:$A$405=$B293)*(((職員マスタ!$G$6:$G$405="")+(職員マスタ!$G$6:$G$405&lt;=EOMONTH($AO293,0)))&gt;0)*(((職員マスタ!$H$6:$H$405="")+(職員マスタ!$H$6:$H$405&gt;=$AO293))&gt;0)*(ROW(職員マスタ!$A$6:$A$405)-5))),IFERROR(MATCH($B293,職員マスタ!$A$6:$A$405,0),"")))</f>
        <v/>
      </c>
      <c r="AO293" s="16">
        <f>IF(OR($B293="",$C293="",$D293=""),"",DATE($C293+2018,$D293,1))</f>
        <v/>
      </c>
    </row>
    <row r="294">
      <c r="A294" s="11" t="n"/>
      <c r="B294" s="12" t="n">
        <v>6602825</v>
      </c>
      <c r="C294" s="12" t="n">
        <v>8</v>
      </c>
      <c r="D294" s="12" t="n">
        <v>6</v>
      </c>
      <c r="E294" s="13" t="n">
        <v>199497</v>
      </c>
      <c r="F294" s="12" t="n"/>
      <c r="G294" s="13" t="n"/>
      <c r="H294" s="12" t="n"/>
      <c r="I294" s="12" t="n"/>
      <c r="J294" s="12" t="n"/>
      <c r="K294" s="12" t="n"/>
      <c r="L294" s="11" t="n"/>
      <c r="M294" s="11" t="n"/>
      <c r="N294" s="11" t="n"/>
      <c r="O294" s="11" t="n"/>
      <c r="P294" s="12" t="n"/>
      <c r="Q294" s="11" t="n"/>
      <c r="R294" s="12" t="n"/>
      <c r="S294" s="11" t="n"/>
      <c r="T294" s="12" t="n"/>
      <c r="U294" s="12" t="n"/>
      <c r="V294" s="14">
        <f>IF($AN294="",IF($B294="","",$H294),IF(INDEX(職員マスタ!$B$6:$B$405,$AN294)="",$H294,INDEX(職員マスタ!$B$6:$B$405,$AN294)))</f>
        <v/>
      </c>
      <c r="W294" s="14">
        <f>IF($AN294="",IF($B294="","",$R294),IF(INDEX(職員マスタ!$C$6:$C$405,$AN294)="",$R294,INDEX(職員マスタ!$C$6:$C$405,$AN294)))</f>
        <v/>
      </c>
      <c r="X294" s="14">
        <f>IF($AO294="","","R"&amp;$C294&amp;"."&amp;$D294)</f>
        <v/>
      </c>
      <c r="Y294" s="15">
        <f>IF($AN294="","",IF(INDEX(職員マスタ!$K$6:$K$405,$AN294)="","",INDEX(職員マスタ!$K$6:$K$405,$AN294)))</f>
        <v/>
      </c>
      <c r="Z294" s="14">
        <f>IF(OR($E294="",$Y294=""),"",IF($E294&gt;=$Y294,"×",IF($E294&gt;=$Y294*設定!$C$5,"△","○")))</f>
        <v/>
      </c>
      <c r="AA294" s="15">
        <f>IF($Z294="","",IF($Z294="×",0,IF($Z294="○",ROUNDDOWN($E294*設定!$C$4,0),ROUNDDOWN($E294*ROUND((9*$Y294-9*$E294)/(10*$E294),4),0))))</f>
        <v/>
      </c>
      <c r="AB294" s="13" t="n"/>
      <c r="AC294" s="15">
        <f>IF($B294="","",IF($AB294&lt;&gt;"",$AB294,IF($AA294="","",IF($AA294&lt;=設定!$C$3,0,$AA294))))</f>
        <v/>
      </c>
      <c r="AD294" s="14">
        <f>IF($B294="","",IF(AND($AE294&lt;&gt;"",$AG294="",$AJ294=""),"保留中",IF($AJ294&lt;&gt;"",IF(N($AC294)&gt;0,"支給済","不支給"),IF($AC294="","要確認",IF($AC294=0,"不支給","未処理")))))</f>
        <v/>
      </c>
      <c r="AE294" s="12" t="n"/>
      <c r="AF294" s="11" t="n"/>
      <c r="AG294" s="11" t="n"/>
      <c r="AH294" s="11" t="n"/>
      <c r="AI294" s="14">
        <f>IF(AND($AD294="保留中",$AF294&lt;&gt;""),TODAY()-$AF294,"")</f>
        <v/>
      </c>
      <c r="AJ294" s="12" t="inlineStr">
        <is>
          <t>R8.10</t>
        </is>
      </c>
      <c r="AK294" s="14">
        <f>IF($B294="","",IF($AO294="","対象年月が未入力／","")&amp;IF($B294="","",IF($AN294="","職員マスタに未登録の職員番号／",IF($Y294="","標準報酬月額が未登録／","")&amp;IF(AND($AO294&lt;&gt;"",OR(AND(INDEX(職員マスタ!$G$6:$G$405,$AN294)&lt;&gt;"",INDEX(職員マスタ!$G$6:$G$405,$AN294)&gt;EOMONTH($AO294,0)),AND(INDEX(職員マスタ!$H$6:$H$405,$AN294)&lt;&gt;"",INDEX(職員マスタ!$H$6:$H$405,$AN294)&lt;$AO294))),"対象月が時短期間外／","")&amp;IF(AND(INDEX(職員マスタ!$F$6:$F$405,$AN294)&lt;&gt;"",$AO294&lt;&gt;"",INDEX(職員マスタ!$F$6:$F$405,$AN294)&lt;$AO294),"対象月に子が2歳到達済／","")&amp;IF(AND($H294&lt;&gt;"",INDEX(職員マスタ!$B$6:$B$405,$AN294)&lt;&gt;"",SUBSTITUTE(SUBSTITUTE($H294," ","")," ","")&lt;&gt;SUBSTITUTE(SUBSTITUTE(INDEX(職員マスタ!$B$6:$B$405,$AN294)," ","")," ","")),"氏名がマスタと相違／","")&amp;IF(AND($Q294&lt;&gt;"",INDEX(職員マスタ!$E$6:$E$405,$AN294)&lt;&gt;"",$Q294&lt;&gt;INDEX(職員マスタ!$E$6:$E$405,$AN294)),"子の生年月日がマスタと相違／","")&amp;IF(AND($L294&lt;&gt;"",INDEX(職員マスタ!$G$6:$G$405,$AN294)&lt;&gt;"",$L294&lt;&gt;INDEX(職員マスタ!$G$6:$G$405,$AN294)),"時短開始日がマスタと相違／","")&amp;IF(AND($M294&lt;&gt;"",INDEX(職員マスタ!$H$6:$H$405,$AN294)&lt;&gt;"",$M294&lt;&gt;INDEX(職員マスタ!$H$6:$H$405,$AN294)),"時短終了日がマスタと相違／","")))&amp;IF(AND($B294&lt;&gt;"",$E294=""),"報酬額が未入力／","")&amp;IF(N($U294)&gt;0,"申請書に入力エラーが残っています／","")&amp;IF(AND($B294&lt;&gt;"",$AO294&lt;&gt;""),IF(COUNTIFS($B$6:$B$3005,$B294,$C$6:$C$3005,$C294,$D$6:$D$3005,$D294)&gt;1,"同じ月の請求が重複しています／",""),"")&amp;IF(AND(N($E294)&gt;0,$Z294&lt;&gt;"",$Z294&lt;&gt;"×",$AC294=0,$AB294=""),"計算額が下限以下のため不支給／",""))</f>
        <v/>
      </c>
      <c r="AL294" s="12" t="n"/>
      <c r="AM294" s="14">
        <f>IF($AD294="保留中",COUNTIF($AD$6:$AD294,"保留中"),"")</f>
        <v/>
      </c>
      <c r="AN294" s="14">
        <f>IF($AO294="","",IF(SUMPRODUCT(MAX((職員マスタ!$A$6:$A$405=$B294)*(((職員マスタ!$G$6:$G$405="")+(職員マスタ!$G$6:$G$405&lt;=EOMONTH($AO294,0)))&gt;0)*(((職員マスタ!$H$6:$H$405="")+(職員マスタ!$H$6:$H$405&gt;=$AO294))&gt;0)*(ROW(職員マスタ!$A$6:$A$405)-5)))&gt;0,SUMPRODUCT(MAX((職員マスタ!$A$6:$A$405=$B294)*(((職員マスタ!$G$6:$G$405="")+(職員マスタ!$G$6:$G$405&lt;=EOMONTH($AO294,0)))&gt;0)*(((職員マスタ!$H$6:$H$405="")+(職員マスタ!$H$6:$H$405&gt;=$AO294))&gt;0)*(ROW(職員マスタ!$A$6:$A$405)-5))),IFERROR(MATCH($B294,職員マスタ!$A$6:$A$405,0),"")))</f>
        <v/>
      </c>
      <c r="AO294" s="16">
        <f>IF(OR($B294="",$C294="",$D294=""),"",DATE($C294+2018,$D294,1))</f>
        <v/>
      </c>
    </row>
    <row r="295">
      <c r="A295" s="11" t="n"/>
      <c r="B295" s="12" t="n">
        <v>6602825</v>
      </c>
      <c r="C295" s="12" t="n">
        <v>8</v>
      </c>
      <c r="D295" s="12" t="n">
        <v>7</v>
      </c>
      <c r="E295" s="13" t="n">
        <v>207413</v>
      </c>
      <c r="F295" s="12" t="n"/>
      <c r="G295" s="13" t="n"/>
      <c r="H295" s="12" t="n"/>
      <c r="I295" s="12" t="n"/>
      <c r="J295" s="12" t="n"/>
      <c r="K295" s="12" t="n"/>
      <c r="L295" s="11" t="n"/>
      <c r="M295" s="11" t="n"/>
      <c r="N295" s="11" t="n"/>
      <c r="O295" s="11" t="n"/>
      <c r="P295" s="12" t="n"/>
      <c r="Q295" s="11" t="n"/>
      <c r="R295" s="12" t="n"/>
      <c r="S295" s="11" t="n"/>
      <c r="T295" s="12" t="n"/>
      <c r="U295" s="12" t="n"/>
      <c r="V295" s="14">
        <f>IF($AN295="",IF($B295="","",$H295),IF(INDEX(職員マスタ!$B$6:$B$405,$AN295)="",$H295,INDEX(職員マスタ!$B$6:$B$405,$AN295)))</f>
        <v/>
      </c>
      <c r="W295" s="14">
        <f>IF($AN295="",IF($B295="","",$R295),IF(INDEX(職員マスタ!$C$6:$C$405,$AN295)="",$R295,INDEX(職員マスタ!$C$6:$C$405,$AN295)))</f>
        <v/>
      </c>
      <c r="X295" s="14">
        <f>IF($AO295="","","R"&amp;$C295&amp;"."&amp;$D295)</f>
        <v/>
      </c>
      <c r="Y295" s="15">
        <f>IF($AN295="","",IF(INDEX(職員マスタ!$K$6:$K$405,$AN295)="","",INDEX(職員マスタ!$K$6:$K$405,$AN295)))</f>
        <v/>
      </c>
      <c r="Z295" s="14">
        <f>IF(OR($E295="",$Y295=""),"",IF($E295&gt;=$Y295,"×",IF($E295&gt;=$Y295*設定!$C$5,"△","○")))</f>
        <v/>
      </c>
      <c r="AA295" s="15">
        <f>IF($Z295="","",IF($Z295="×",0,IF($Z295="○",ROUNDDOWN($E295*設定!$C$4,0),ROUNDDOWN($E295*ROUND((9*$Y295-9*$E295)/(10*$E295),4),0))))</f>
        <v/>
      </c>
      <c r="AB295" s="13" t="n"/>
      <c r="AC295" s="15">
        <f>IF($B295="","",IF($AB295&lt;&gt;"",$AB295,IF($AA295="","",IF($AA295&lt;=設定!$C$3,0,$AA295))))</f>
        <v/>
      </c>
      <c r="AD295" s="14">
        <f>IF($B295="","",IF(AND($AE295&lt;&gt;"",$AG295="",$AJ295=""),"保留中",IF($AJ295&lt;&gt;"",IF(N($AC295)&gt;0,"支給済","不支給"),IF($AC295="","要確認",IF($AC295=0,"不支給","未処理")))))</f>
        <v/>
      </c>
      <c r="AE295" s="12" t="n"/>
      <c r="AF295" s="11" t="n"/>
      <c r="AG295" s="11" t="n"/>
      <c r="AH295" s="11" t="n"/>
      <c r="AI295" s="14">
        <f>IF(AND($AD295="保留中",$AF295&lt;&gt;""),TODAY()-$AF295,"")</f>
        <v/>
      </c>
      <c r="AJ295" s="12" t="inlineStr">
        <is>
          <t>R8.10</t>
        </is>
      </c>
      <c r="AK295" s="14">
        <f>IF($B295="","",IF($AO295="","対象年月が未入力／","")&amp;IF($B295="","",IF($AN295="","職員マスタに未登録の職員番号／",IF($Y295="","標準報酬月額が未登録／","")&amp;IF(AND($AO295&lt;&gt;"",OR(AND(INDEX(職員マスタ!$G$6:$G$405,$AN295)&lt;&gt;"",INDEX(職員マスタ!$G$6:$G$405,$AN295)&gt;EOMONTH($AO295,0)),AND(INDEX(職員マスタ!$H$6:$H$405,$AN295)&lt;&gt;"",INDEX(職員マスタ!$H$6:$H$405,$AN295)&lt;$AO295))),"対象月が時短期間外／","")&amp;IF(AND(INDEX(職員マスタ!$F$6:$F$405,$AN295)&lt;&gt;"",$AO295&lt;&gt;"",INDEX(職員マスタ!$F$6:$F$405,$AN295)&lt;$AO295),"対象月に子が2歳到達済／","")&amp;IF(AND($H295&lt;&gt;"",INDEX(職員マスタ!$B$6:$B$405,$AN295)&lt;&gt;"",SUBSTITUTE(SUBSTITUTE($H295," ","")," ","")&lt;&gt;SUBSTITUTE(SUBSTITUTE(INDEX(職員マスタ!$B$6:$B$405,$AN295)," ","")," ","")),"氏名がマスタと相違／","")&amp;IF(AND($Q295&lt;&gt;"",INDEX(職員マスタ!$E$6:$E$405,$AN295)&lt;&gt;"",$Q295&lt;&gt;INDEX(職員マスタ!$E$6:$E$405,$AN295)),"子の生年月日がマスタと相違／","")&amp;IF(AND($L295&lt;&gt;"",INDEX(職員マスタ!$G$6:$G$405,$AN295)&lt;&gt;"",$L295&lt;&gt;INDEX(職員マスタ!$G$6:$G$405,$AN295)),"時短開始日がマスタと相違／","")&amp;IF(AND($M295&lt;&gt;"",INDEX(職員マスタ!$H$6:$H$405,$AN295)&lt;&gt;"",$M295&lt;&gt;INDEX(職員マスタ!$H$6:$H$405,$AN295)),"時短終了日がマスタと相違／","")))&amp;IF(AND($B295&lt;&gt;"",$E295=""),"報酬額が未入力／","")&amp;IF(N($U295)&gt;0,"申請書に入力エラーが残っています／","")&amp;IF(AND($B295&lt;&gt;"",$AO295&lt;&gt;""),IF(COUNTIFS($B$6:$B$3005,$B295,$C$6:$C$3005,$C295,$D$6:$D$3005,$D295)&gt;1,"同じ月の請求が重複しています／",""),"")&amp;IF(AND(N($E295)&gt;0,$Z295&lt;&gt;"",$Z295&lt;&gt;"×",$AC295=0,$AB295=""),"計算額が下限以下のため不支給／",""))</f>
        <v/>
      </c>
      <c r="AL295" s="12" t="n"/>
      <c r="AM295" s="14">
        <f>IF($AD295="保留中",COUNTIF($AD$6:$AD295,"保留中"),"")</f>
        <v/>
      </c>
      <c r="AN295" s="14">
        <f>IF($AO295="","",IF(SUMPRODUCT(MAX((職員マスタ!$A$6:$A$405=$B295)*(((職員マスタ!$G$6:$G$405="")+(職員マスタ!$G$6:$G$405&lt;=EOMONTH($AO295,0)))&gt;0)*(((職員マスタ!$H$6:$H$405="")+(職員マスタ!$H$6:$H$405&gt;=$AO295))&gt;0)*(ROW(職員マスタ!$A$6:$A$405)-5)))&gt;0,SUMPRODUCT(MAX((職員マスタ!$A$6:$A$405=$B295)*(((職員マスタ!$G$6:$G$405="")+(職員マスタ!$G$6:$G$405&lt;=EOMONTH($AO295,0)))&gt;0)*(((職員マスタ!$H$6:$H$405="")+(職員マスタ!$H$6:$H$405&gt;=$AO295))&gt;0)*(ROW(職員マスタ!$A$6:$A$405)-5))),IFERROR(MATCH($B295,職員マスタ!$A$6:$A$405,0),"")))</f>
        <v/>
      </c>
      <c r="AO295" s="16">
        <f>IF(OR($B295="",$C295="",$D295=""),"",DATE($C295+2018,$D295,1))</f>
        <v/>
      </c>
    </row>
    <row r="296">
      <c r="A296" s="11" t="n"/>
      <c r="B296" s="12" t="n">
        <v>6602825</v>
      </c>
      <c r="C296" s="12" t="n">
        <v>8</v>
      </c>
      <c r="D296" s="12" t="n">
        <v>8</v>
      </c>
      <c r="E296" s="13" t="n">
        <v>203455</v>
      </c>
      <c r="F296" s="12" t="n"/>
      <c r="G296" s="13" t="n"/>
      <c r="H296" s="12" t="n"/>
      <c r="I296" s="12" t="n"/>
      <c r="J296" s="12" t="n"/>
      <c r="K296" s="12" t="n"/>
      <c r="L296" s="11" t="n"/>
      <c r="M296" s="11" t="n"/>
      <c r="N296" s="11" t="n"/>
      <c r="O296" s="11" t="n"/>
      <c r="P296" s="12" t="n"/>
      <c r="Q296" s="11" t="n"/>
      <c r="R296" s="12" t="n"/>
      <c r="S296" s="11" t="n"/>
      <c r="T296" s="12" t="n"/>
      <c r="U296" s="12" t="n"/>
      <c r="V296" s="14">
        <f>IF($AN296="",IF($B296="","",$H296),IF(INDEX(職員マスタ!$B$6:$B$405,$AN296)="",$H296,INDEX(職員マスタ!$B$6:$B$405,$AN296)))</f>
        <v/>
      </c>
      <c r="W296" s="14">
        <f>IF($AN296="",IF($B296="","",$R296),IF(INDEX(職員マスタ!$C$6:$C$405,$AN296)="",$R296,INDEX(職員マスタ!$C$6:$C$405,$AN296)))</f>
        <v/>
      </c>
      <c r="X296" s="14">
        <f>IF($AO296="","","R"&amp;$C296&amp;"."&amp;$D296)</f>
        <v/>
      </c>
      <c r="Y296" s="15">
        <f>IF($AN296="","",IF(INDEX(職員マスタ!$K$6:$K$405,$AN296)="","",INDEX(職員マスタ!$K$6:$K$405,$AN296)))</f>
        <v/>
      </c>
      <c r="Z296" s="14">
        <f>IF(OR($E296="",$Y296=""),"",IF($E296&gt;=$Y296,"×",IF($E296&gt;=$Y296*設定!$C$5,"△","○")))</f>
        <v/>
      </c>
      <c r="AA296" s="15">
        <f>IF($Z296="","",IF($Z296="×",0,IF($Z296="○",ROUNDDOWN($E296*設定!$C$4,0),ROUNDDOWN($E296*ROUND((9*$Y296-9*$E296)/(10*$E296),4),0))))</f>
        <v/>
      </c>
      <c r="AB296" s="13" t="n"/>
      <c r="AC296" s="15">
        <f>IF($B296="","",IF($AB296&lt;&gt;"",$AB296,IF($AA296="","",IF($AA296&lt;=設定!$C$3,0,$AA296))))</f>
        <v/>
      </c>
      <c r="AD296" s="14">
        <f>IF($B296="","",IF(AND($AE296&lt;&gt;"",$AG296="",$AJ296=""),"保留中",IF($AJ296&lt;&gt;"",IF(N($AC296)&gt;0,"支給済","不支給"),IF($AC296="","要確認",IF($AC296=0,"不支給","未処理")))))</f>
        <v/>
      </c>
      <c r="AE296" s="12" t="n"/>
      <c r="AF296" s="11" t="n"/>
      <c r="AG296" s="11" t="n"/>
      <c r="AH296" s="11" t="n"/>
      <c r="AI296" s="14">
        <f>IF(AND($AD296="保留中",$AF296&lt;&gt;""),TODAY()-$AF296,"")</f>
        <v/>
      </c>
      <c r="AJ296" s="12" t="inlineStr">
        <is>
          <t>R8.10</t>
        </is>
      </c>
      <c r="AK296" s="14">
        <f>IF($B296="","",IF($AO296="","対象年月が未入力／","")&amp;IF($B296="","",IF($AN296="","職員マスタに未登録の職員番号／",IF($Y296="","標準報酬月額が未登録／","")&amp;IF(AND($AO296&lt;&gt;"",OR(AND(INDEX(職員マスタ!$G$6:$G$405,$AN296)&lt;&gt;"",INDEX(職員マスタ!$G$6:$G$405,$AN296)&gt;EOMONTH($AO296,0)),AND(INDEX(職員マスタ!$H$6:$H$405,$AN296)&lt;&gt;"",INDEX(職員マスタ!$H$6:$H$405,$AN296)&lt;$AO296))),"対象月が時短期間外／","")&amp;IF(AND(INDEX(職員マスタ!$F$6:$F$405,$AN296)&lt;&gt;"",$AO296&lt;&gt;"",INDEX(職員マスタ!$F$6:$F$405,$AN296)&lt;$AO296),"対象月に子が2歳到達済／","")&amp;IF(AND($H296&lt;&gt;"",INDEX(職員マスタ!$B$6:$B$405,$AN296)&lt;&gt;"",SUBSTITUTE(SUBSTITUTE($H296," ","")," ","")&lt;&gt;SUBSTITUTE(SUBSTITUTE(INDEX(職員マスタ!$B$6:$B$405,$AN296)," ","")," ","")),"氏名がマスタと相違／","")&amp;IF(AND($Q296&lt;&gt;"",INDEX(職員マスタ!$E$6:$E$405,$AN296)&lt;&gt;"",$Q296&lt;&gt;INDEX(職員マスタ!$E$6:$E$405,$AN296)),"子の生年月日がマスタと相違／","")&amp;IF(AND($L296&lt;&gt;"",INDEX(職員マスタ!$G$6:$G$405,$AN296)&lt;&gt;"",$L296&lt;&gt;INDEX(職員マスタ!$G$6:$G$405,$AN296)),"時短開始日がマスタと相違／","")&amp;IF(AND($M296&lt;&gt;"",INDEX(職員マスタ!$H$6:$H$405,$AN296)&lt;&gt;"",$M296&lt;&gt;INDEX(職員マスタ!$H$6:$H$405,$AN296)),"時短終了日がマスタと相違／","")))&amp;IF(AND($B296&lt;&gt;"",$E296=""),"報酬額が未入力／","")&amp;IF(N($U296)&gt;0,"申請書に入力エラーが残っています／","")&amp;IF(AND($B296&lt;&gt;"",$AO296&lt;&gt;""),IF(COUNTIFS($B$6:$B$3005,$B296,$C$6:$C$3005,$C296,$D$6:$D$3005,$D296)&gt;1,"同じ月の請求が重複しています／",""),"")&amp;IF(AND(N($E296)&gt;0,$Z296&lt;&gt;"",$Z296&lt;&gt;"×",$AC296=0,$AB296=""),"計算額が下限以下のため不支給／",""))</f>
        <v/>
      </c>
      <c r="AL296" s="12" t="n"/>
      <c r="AM296" s="14">
        <f>IF($AD296="保留中",COUNTIF($AD$6:$AD296,"保留中"),"")</f>
        <v/>
      </c>
      <c r="AN296" s="14">
        <f>IF($AO296="","",IF(SUMPRODUCT(MAX((職員マスタ!$A$6:$A$405=$B296)*(((職員マスタ!$G$6:$G$405="")+(職員マスタ!$G$6:$G$405&lt;=EOMONTH($AO296,0)))&gt;0)*(((職員マスタ!$H$6:$H$405="")+(職員マスタ!$H$6:$H$405&gt;=$AO296))&gt;0)*(ROW(職員マスタ!$A$6:$A$405)-5)))&gt;0,SUMPRODUCT(MAX((職員マスタ!$A$6:$A$405=$B296)*(((職員マスタ!$G$6:$G$405="")+(職員マスタ!$G$6:$G$405&lt;=EOMONTH($AO296,0)))&gt;0)*(((職員マスタ!$H$6:$H$405="")+(職員マスタ!$H$6:$H$405&gt;=$AO296))&gt;0)*(ROW(職員マスタ!$A$6:$A$405)-5))),IFERROR(MATCH($B296,職員マスタ!$A$6:$A$405,0),"")))</f>
        <v/>
      </c>
      <c r="AO296" s="16">
        <f>IF(OR($B296="",$C296="",$D296=""),"",DATE($C296+2018,$D296,1))</f>
        <v/>
      </c>
    </row>
    <row r="297">
      <c r="A297" s="11" t="n"/>
      <c r="B297" s="12" t="n">
        <v>6602899</v>
      </c>
      <c r="C297" s="12" t="n">
        <v>7</v>
      </c>
      <c r="D297" s="12" t="n">
        <v>4</v>
      </c>
      <c r="E297" s="13" t="n">
        <v>153814</v>
      </c>
      <c r="F297" s="12" t="n"/>
      <c r="G297" s="13" t="n"/>
      <c r="H297" s="12" t="n"/>
      <c r="I297" s="12" t="n"/>
      <c r="J297" s="12" t="n"/>
      <c r="K297" s="12" t="n"/>
      <c r="L297" s="11" t="n"/>
      <c r="M297" s="11" t="n"/>
      <c r="N297" s="11" t="n"/>
      <c r="O297" s="11" t="n"/>
      <c r="P297" s="12" t="n"/>
      <c r="Q297" s="11" t="n"/>
      <c r="R297" s="12" t="n"/>
      <c r="S297" s="11" t="n"/>
      <c r="T297" s="12" t="n"/>
      <c r="U297" s="12" t="n"/>
      <c r="V297" s="14">
        <f>IF($AN297="",IF($B297="","",$H297),IF(INDEX(職員マスタ!$B$6:$B$405,$AN297)="",$H297,INDEX(職員マスタ!$B$6:$B$405,$AN297)))</f>
        <v/>
      </c>
      <c r="W297" s="14">
        <f>IF($AN297="",IF($B297="","",$R297),IF(INDEX(職員マスタ!$C$6:$C$405,$AN297)="",$R297,INDEX(職員マスタ!$C$6:$C$405,$AN297)))</f>
        <v/>
      </c>
      <c r="X297" s="14">
        <f>IF($AO297="","","R"&amp;$C297&amp;"."&amp;$D297)</f>
        <v/>
      </c>
      <c r="Y297" s="15">
        <f>IF($AN297="","",IF(INDEX(職員マスタ!$K$6:$K$405,$AN297)="","",INDEX(職員マスタ!$K$6:$K$405,$AN297)))</f>
        <v/>
      </c>
      <c r="Z297" s="14">
        <f>IF(OR($E297="",$Y297=""),"",IF($E297&gt;=$Y297,"×",IF($E297&gt;=$Y297*設定!$C$5,"△","○")))</f>
        <v/>
      </c>
      <c r="AA297" s="15">
        <f>IF($Z297="","",IF($Z297="×",0,IF($Z297="○",ROUNDDOWN($E297*設定!$C$4,0),ROUNDDOWN($E297*ROUND((9*$Y297-9*$E297)/(10*$E297),4),0))))</f>
        <v/>
      </c>
      <c r="AB297" s="13" t="n"/>
      <c r="AC297" s="15">
        <f>IF($B297="","",IF($AB297&lt;&gt;"",$AB297,IF($AA297="","",IF($AA297&lt;=設定!$C$3,0,$AA297))))</f>
        <v/>
      </c>
      <c r="AD297" s="14">
        <f>IF($B297="","",IF(AND($AE297&lt;&gt;"",$AG297="",$AJ297=""),"保留中",IF($AJ297&lt;&gt;"",IF(N($AC297)&gt;0,"支給済","不支給"),IF($AC297="","要確認",IF($AC297=0,"不支給","未処理")))))</f>
        <v/>
      </c>
      <c r="AE297" s="12" t="n"/>
      <c r="AF297" s="11" t="n"/>
      <c r="AG297" s="11" t="n"/>
      <c r="AH297" s="11" t="n"/>
      <c r="AI297" s="14">
        <f>IF(AND($AD297="保留中",$AF297&lt;&gt;""),TODAY()-$AF297,"")</f>
        <v/>
      </c>
      <c r="AJ297" s="12" t="inlineStr">
        <is>
          <t>R7.8</t>
        </is>
      </c>
      <c r="AK297" s="14">
        <f>IF($B297="","",IF($AO297="","対象年月が未入力／","")&amp;IF($B297="","",IF($AN297="","職員マスタに未登録の職員番号／",IF($Y297="","標準報酬月額が未登録／","")&amp;IF(AND($AO297&lt;&gt;"",OR(AND(INDEX(職員マスタ!$G$6:$G$405,$AN297)&lt;&gt;"",INDEX(職員マスタ!$G$6:$G$405,$AN297)&gt;EOMONTH($AO297,0)),AND(INDEX(職員マスタ!$H$6:$H$405,$AN297)&lt;&gt;"",INDEX(職員マスタ!$H$6:$H$405,$AN297)&lt;$AO297))),"対象月が時短期間外／","")&amp;IF(AND(INDEX(職員マスタ!$F$6:$F$405,$AN297)&lt;&gt;"",$AO297&lt;&gt;"",INDEX(職員マスタ!$F$6:$F$405,$AN297)&lt;$AO297),"対象月に子が2歳到達済／","")&amp;IF(AND($H297&lt;&gt;"",INDEX(職員マスタ!$B$6:$B$405,$AN297)&lt;&gt;"",SUBSTITUTE(SUBSTITUTE($H297," ","")," ","")&lt;&gt;SUBSTITUTE(SUBSTITUTE(INDEX(職員マスタ!$B$6:$B$405,$AN297)," ","")," ","")),"氏名がマスタと相違／","")&amp;IF(AND($Q297&lt;&gt;"",INDEX(職員マスタ!$E$6:$E$405,$AN297)&lt;&gt;"",$Q297&lt;&gt;INDEX(職員マスタ!$E$6:$E$405,$AN297)),"子の生年月日がマスタと相違／","")&amp;IF(AND($L297&lt;&gt;"",INDEX(職員マスタ!$G$6:$G$405,$AN297)&lt;&gt;"",$L297&lt;&gt;INDEX(職員マスタ!$G$6:$G$405,$AN297)),"時短開始日がマスタと相違／","")&amp;IF(AND($M297&lt;&gt;"",INDEX(職員マスタ!$H$6:$H$405,$AN297)&lt;&gt;"",$M297&lt;&gt;INDEX(職員マスタ!$H$6:$H$405,$AN297)),"時短終了日がマスタと相違／","")))&amp;IF(AND($B297&lt;&gt;"",$E297=""),"報酬額が未入力／","")&amp;IF(N($U297)&gt;0,"申請書に入力エラーが残っています／","")&amp;IF(AND($B297&lt;&gt;"",$AO297&lt;&gt;""),IF(COUNTIFS($B$6:$B$3005,$B297,$C$6:$C$3005,$C297,$D$6:$D$3005,$D297)&gt;1,"同じ月の請求が重複しています／",""),"")&amp;IF(AND(N($E297)&gt;0,$Z297&lt;&gt;"",$Z297&lt;&gt;"×",$AC297=0,$AB297=""),"計算額が下限以下のため不支給／",""))</f>
        <v/>
      </c>
      <c r="AL297" s="12" t="n"/>
      <c r="AM297" s="14">
        <f>IF($AD297="保留中",COUNTIF($AD$6:$AD297,"保留中"),"")</f>
        <v/>
      </c>
      <c r="AN297" s="14">
        <f>IF($AO297="","",IF(SUMPRODUCT(MAX((職員マスタ!$A$6:$A$405=$B297)*(((職員マスタ!$G$6:$G$405="")+(職員マスタ!$G$6:$G$405&lt;=EOMONTH($AO297,0)))&gt;0)*(((職員マスタ!$H$6:$H$405="")+(職員マスタ!$H$6:$H$405&gt;=$AO297))&gt;0)*(ROW(職員マスタ!$A$6:$A$405)-5)))&gt;0,SUMPRODUCT(MAX((職員マスタ!$A$6:$A$405=$B297)*(((職員マスタ!$G$6:$G$405="")+(職員マスタ!$G$6:$G$405&lt;=EOMONTH($AO297,0)))&gt;0)*(((職員マスタ!$H$6:$H$405="")+(職員マスタ!$H$6:$H$405&gt;=$AO297))&gt;0)*(ROW(職員マスタ!$A$6:$A$405)-5))),IFERROR(MATCH($B297,職員マスタ!$A$6:$A$405,0),"")))</f>
        <v/>
      </c>
      <c r="AO297" s="16">
        <f>IF(OR($B297="",$C297="",$D297=""),"",DATE($C297+2018,$D297,1))</f>
        <v/>
      </c>
    </row>
    <row r="298">
      <c r="A298" s="11" t="n"/>
      <c r="B298" s="12" t="n">
        <v>6602899</v>
      </c>
      <c r="C298" s="12" t="n">
        <v>7</v>
      </c>
      <c r="D298" s="12" t="n">
        <v>5</v>
      </c>
      <c r="E298" s="13" t="n">
        <v>252924</v>
      </c>
      <c r="F298" s="12" t="n"/>
      <c r="G298" s="13" t="n"/>
      <c r="H298" s="12" t="n"/>
      <c r="I298" s="12" t="n"/>
      <c r="J298" s="12" t="n"/>
      <c r="K298" s="12" t="n"/>
      <c r="L298" s="11" t="n"/>
      <c r="M298" s="11" t="n"/>
      <c r="N298" s="11" t="n"/>
      <c r="O298" s="11" t="n"/>
      <c r="P298" s="12" t="n"/>
      <c r="Q298" s="11" t="n"/>
      <c r="R298" s="12" t="n"/>
      <c r="S298" s="11" t="n"/>
      <c r="T298" s="12" t="n"/>
      <c r="U298" s="12" t="n"/>
      <c r="V298" s="14">
        <f>IF($AN298="",IF($B298="","",$H298),IF(INDEX(職員マスタ!$B$6:$B$405,$AN298)="",$H298,INDEX(職員マスタ!$B$6:$B$405,$AN298)))</f>
        <v/>
      </c>
      <c r="W298" s="14">
        <f>IF($AN298="",IF($B298="","",$R298),IF(INDEX(職員マスタ!$C$6:$C$405,$AN298)="",$R298,INDEX(職員マスタ!$C$6:$C$405,$AN298)))</f>
        <v/>
      </c>
      <c r="X298" s="14">
        <f>IF($AO298="","","R"&amp;$C298&amp;"."&amp;$D298)</f>
        <v/>
      </c>
      <c r="Y298" s="15">
        <f>IF($AN298="","",IF(INDEX(職員マスタ!$K$6:$K$405,$AN298)="","",INDEX(職員マスタ!$K$6:$K$405,$AN298)))</f>
        <v/>
      </c>
      <c r="Z298" s="14">
        <f>IF(OR($E298="",$Y298=""),"",IF($E298&gt;=$Y298,"×",IF($E298&gt;=$Y298*設定!$C$5,"△","○")))</f>
        <v/>
      </c>
      <c r="AA298" s="15">
        <f>IF($Z298="","",IF($Z298="×",0,IF($Z298="○",ROUNDDOWN($E298*設定!$C$4,0),ROUNDDOWN($E298*ROUND((9*$Y298-9*$E298)/(10*$E298),4),0))))</f>
        <v/>
      </c>
      <c r="AB298" s="13" t="n"/>
      <c r="AC298" s="15">
        <f>IF($B298="","",IF($AB298&lt;&gt;"",$AB298,IF($AA298="","",IF($AA298&lt;=設定!$C$3,0,$AA298))))</f>
        <v/>
      </c>
      <c r="AD298" s="14">
        <f>IF($B298="","",IF(AND($AE298&lt;&gt;"",$AG298="",$AJ298=""),"保留中",IF($AJ298&lt;&gt;"",IF(N($AC298)&gt;0,"支給済","不支給"),IF($AC298="","要確認",IF($AC298=0,"不支給","未処理")))))</f>
        <v/>
      </c>
      <c r="AE298" s="12" t="n"/>
      <c r="AF298" s="11" t="n"/>
      <c r="AG298" s="11" t="n"/>
      <c r="AH298" s="11" t="n"/>
      <c r="AI298" s="14">
        <f>IF(AND($AD298="保留中",$AF298&lt;&gt;""),TODAY()-$AF298,"")</f>
        <v/>
      </c>
      <c r="AJ298" s="12" t="inlineStr">
        <is>
          <t>R7.8</t>
        </is>
      </c>
      <c r="AK298" s="14">
        <f>IF($B298="","",IF($AO298="","対象年月が未入力／","")&amp;IF($B298="","",IF($AN298="","職員マスタに未登録の職員番号／",IF($Y298="","標準報酬月額が未登録／","")&amp;IF(AND($AO298&lt;&gt;"",OR(AND(INDEX(職員マスタ!$G$6:$G$405,$AN298)&lt;&gt;"",INDEX(職員マスタ!$G$6:$G$405,$AN298)&gt;EOMONTH($AO298,0)),AND(INDEX(職員マスタ!$H$6:$H$405,$AN298)&lt;&gt;"",INDEX(職員マスタ!$H$6:$H$405,$AN298)&lt;$AO298))),"対象月が時短期間外／","")&amp;IF(AND(INDEX(職員マスタ!$F$6:$F$405,$AN298)&lt;&gt;"",$AO298&lt;&gt;"",INDEX(職員マスタ!$F$6:$F$405,$AN298)&lt;$AO298),"対象月に子が2歳到達済／","")&amp;IF(AND($H298&lt;&gt;"",INDEX(職員マスタ!$B$6:$B$405,$AN298)&lt;&gt;"",SUBSTITUTE(SUBSTITUTE($H298," ","")," ","")&lt;&gt;SUBSTITUTE(SUBSTITUTE(INDEX(職員マスタ!$B$6:$B$405,$AN298)," ","")," ","")),"氏名がマスタと相違／","")&amp;IF(AND($Q298&lt;&gt;"",INDEX(職員マスタ!$E$6:$E$405,$AN298)&lt;&gt;"",$Q298&lt;&gt;INDEX(職員マスタ!$E$6:$E$405,$AN298)),"子の生年月日がマスタと相違／","")&amp;IF(AND($L298&lt;&gt;"",INDEX(職員マスタ!$G$6:$G$405,$AN298)&lt;&gt;"",$L298&lt;&gt;INDEX(職員マスタ!$G$6:$G$405,$AN298)),"時短開始日がマスタと相違／","")&amp;IF(AND($M298&lt;&gt;"",INDEX(職員マスタ!$H$6:$H$405,$AN298)&lt;&gt;"",$M298&lt;&gt;INDEX(職員マスタ!$H$6:$H$405,$AN298)),"時短終了日がマスタと相違／","")))&amp;IF(AND($B298&lt;&gt;"",$E298=""),"報酬額が未入力／","")&amp;IF(N($U298)&gt;0,"申請書に入力エラーが残っています／","")&amp;IF(AND($B298&lt;&gt;"",$AO298&lt;&gt;""),IF(COUNTIFS($B$6:$B$3005,$B298,$C$6:$C$3005,$C298,$D$6:$D$3005,$D298)&gt;1,"同じ月の請求が重複しています／",""),"")&amp;IF(AND(N($E298)&gt;0,$Z298&lt;&gt;"",$Z298&lt;&gt;"×",$AC298=0,$AB298=""),"計算額が下限以下のため不支給／",""))</f>
        <v/>
      </c>
      <c r="AL298" s="12" t="n"/>
      <c r="AM298" s="14">
        <f>IF($AD298="保留中",COUNTIF($AD$6:$AD298,"保留中"),"")</f>
        <v/>
      </c>
      <c r="AN298" s="14">
        <f>IF($AO298="","",IF(SUMPRODUCT(MAX((職員マスタ!$A$6:$A$405=$B298)*(((職員マスタ!$G$6:$G$405="")+(職員マスタ!$G$6:$G$405&lt;=EOMONTH($AO298,0)))&gt;0)*(((職員マスタ!$H$6:$H$405="")+(職員マスタ!$H$6:$H$405&gt;=$AO298))&gt;0)*(ROW(職員マスタ!$A$6:$A$405)-5)))&gt;0,SUMPRODUCT(MAX((職員マスタ!$A$6:$A$405=$B298)*(((職員マスタ!$G$6:$G$405="")+(職員マスタ!$G$6:$G$405&lt;=EOMONTH($AO298,0)))&gt;0)*(((職員マスタ!$H$6:$H$405="")+(職員マスタ!$H$6:$H$405&gt;=$AO298))&gt;0)*(ROW(職員マスタ!$A$6:$A$405)-5))),IFERROR(MATCH($B298,職員マスタ!$A$6:$A$405,0),"")))</f>
        <v/>
      </c>
      <c r="AO298" s="16">
        <f>IF(OR($B298="",$C298="",$D298=""),"",DATE($C298+2018,$D298,1))</f>
        <v/>
      </c>
    </row>
    <row r="299">
      <c r="A299" s="11" t="n"/>
      <c r="B299" s="12" t="n">
        <v>6602899</v>
      </c>
      <c r="C299" s="12" t="n">
        <v>7</v>
      </c>
      <c r="D299" s="12" t="n">
        <v>6</v>
      </c>
      <c r="E299" s="13" t="n">
        <v>257828</v>
      </c>
      <c r="F299" s="12" t="n"/>
      <c r="G299" s="13" t="n"/>
      <c r="H299" s="12" t="n"/>
      <c r="I299" s="12" t="n"/>
      <c r="J299" s="12" t="n"/>
      <c r="K299" s="12" t="n"/>
      <c r="L299" s="11" t="n"/>
      <c r="M299" s="11" t="n"/>
      <c r="N299" s="11" t="n"/>
      <c r="O299" s="11" t="n"/>
      <c r="P299" s="12" t="n"/>
      <c r="Q299" s="11" t="n"/>
      <c r="R299" s="12" t="n"/>
      <c r="S299" s="11" t="n"/>
      <c r="T299" s="12" t="n"/>
      <c r="U299" s="12" t="n"/>
      <c r="V299" s="14">
        <f>IF($AN299="",IF($B299="","",$H299),IF(INDEX(職員マスタ!$B$6:$B$405,$AN299)="",$H299,INDEX(職員マスタ!$B$6:$B$405,$AN299)))</f>
        <v/>
      </c>
      <c r="W299" s="14">
        <f>IF($AN299="",IF($B299="","",$R299),IF(INDEX(職員マスタ!$C$6:$C$405,$AN299)="",$R299,INDEX(職員マスタ!$C$6:$C$405,$AN299)))</f>
        <v/>
      </c>
      <c r="X299" s="14">
        <f>IF($AO299="","","R"&amp;$C299&amp;"."&amp;$D299)</f>
        <v/>
      </c>
      <c r="Y299" s="15">
        <f>IF($AN299="","",IF(INDEX(職員マスタ!$K$6:$K$405,$AN299)="","",INDEX(職員マスタ!$K$6:$K$405,$AN299)))</f>
        <v/>
      </c>
      <c r="Z299" s="14">
        <f>IF(OR($E299="",$Y299=""),"",IF($E299&gt;=$Y299,"×",IF($E299&gt;=$Y299*設定!$C$5,"△","○")))</f>
        <v/>
      </c>
      <c r="AA299" s="15">
        <f>IF($Z299="","",IF($Z299="×",0,IF($Z299="○",ROUNDDOWN($E299*設定!$C$4,0),ROUNDDOWN($E299*ROUND((9*$Y299-9*$E299)/(10*$E299),4),0))))</f>
        <v/>
      </c>
      <c r="AB299" s="13" t="n"/>
      <c r="AC299" s="15">
        <f>IF($B299="","",IF($AB299&lt;&gt;"",$AB299,IF($AA299="","",IF($AA299&lt;=設定!$C$3,0,$AA299))))</f>
        <v/>
      </c>
      <c r="AD299" s="14">
        <f>IF($B299="","",IF(AND($AE299&lt;&gt;"",$AG299="",$AJ299=""),"保留中",IF($AJ299&lt;&gt;"",IF(N($AC299)&gt;0,"支給済","不支給"),IF($AC299="","要確認",IF($AC299=0,"不支給","未処理")))))</f>
        <v/>
      </c>
      <c r="AE299" s="12" t="n"/>
      <c r="AF299" s="11" t="n"/>
      <c r="AG299" s="11" t="n"/>
      <c r="AH299" s="11" t="n"/>
      <c r="AI299" s="14">
        <f>IF(AND($AD299="保留中",$AF299&lt;&gt;""),TODAY()-$AF299,"")</f>
        <v/>
      </c>
      <c r="AJ299" s="12" t="inlineStr">
        <is>
          <t>R7.8</t>
        </is>
      </c>
      <c r="AK299" s="14">
        <f>IF($B299="","",IF($AO299="","対象年月が未入力／","")&amp;IF($B299="","",IF($AN299="","職員マスタに未登録の職員番号／",IF($Y299="","標準報酬月額が未登録／","")&amp;IF(AND($AO299&lt;&gt;"",OR(AND(INDEX(職員マスタ!$G$6:$G$405,$AN299)&lt;&gt;"",INDEX(職員マスタ!$G$6:$G$405,$AN299)&gt;EOMONTH($AO299,0)),AND(INDEX(職員マスタ!$H$6:$H$405,$AN299)&lt;&gt;"",INDEX(職員マスタ!$H$6:$H$405,$AN299)&lt;$AO299))),"対象月が時短期間外／","")&amp;IF(AND(INDEX(職員マスタ!$F$6:$F$405,$AN299)&lt;&gt;"",$AO299&lt;&gt;"",INDEX(職員マスタ!$F$6:$F$405,$AN299)&lt;$AO299),"対象月に子が2歳到達済／","")&amp;IF(AND($H299&lt;&gt;"",INDEX(職員マスタ!$B$6:$B$405,$AN299)&lt;&gt;"",SUBSTITUTE(SUBSTITUTE($H299," ","")," ","")&lt;&gt;SUBSTITUTE(SUBSTITUTE(INDEX(職員マスタ!$B$6:$B$405,$AN299)," ","")," ","")),"氏名がマスタと相違／","")&amp;IF(AND($Q299&lt;&gt;"",INDEX(職員マスタ!$E$6:$E$405,$AN299)&lt;&gt;"",$Q299&lt;&gt;INDEX(職員マスタ!$E$6:$E$405,$AN299)),"子の生年月日がマスタと相違／","")&amp;IF(AND($L299&lt;&gt;"",INDEX(職員マスタ!$G$6:$G$405,$AN299)&lt;&gt;"",$L299&lt;&gt;INDEX(職員マスタ!$G$6:$G$405,$AN299)),"時短開始日がマスタと相違／","")&amp;IF(AND($M299&lt;&gt;"",INDEX(職員マスタ!$H$6:$H$405,$AN299)&lt;&gt;"",$M299&lt;&gt;INDEX(職員マスタ!$H$6:$H$405,$AN299)),"時短終了日がマスタと相違／","")))&amp;IF(AND($B299&lt;&gt;"",$E299=""),"報酬額が未入力／","")&amp;IF(N($U299)&gt;0,"申請書に入力エラーが残っています／","")&amp;IF(AND($B299&lt;&gt;"",$AO299&lt;&gt;""),IF(COUNTIFS($B$6:$B$3005,$B299,$C$6:$C$3005,$C299,$D$6:$D$3005,$D299)&gt;1,"同じ月の請求が重複しています／",""),"")&amp;IF(AND(N($E299)&gt;0,$Z299&lt;&gt;"",$Z299&lt;&gt;"×",$AC299=0,$AB299=""),"計算額が下限以下のため不支給／",""))</f>
        <v/>
      </c>
      <c r="AL299" s="12" t="n"/>
      <c r="AM299" s="14">
        <f>IF($AD299="保留中",COUNTIF($AD$6:$AD299,"保留中"),"")</f>
        <v/>
      </c>
      <c r="AN299" s="14">
        <f>IF($AO299="","",IF(SUMPRODUCT(MAX((職員マスタ!$A$6:$A$405=$B299)*(((職員マスタ!$G$6:$G$405="")+(職員マスタ!$G$6:$G$405&lt;=EOMONTH($AO299,0)))&gt;0)*(((職員マスタ!$H$6:$H$405="")+(職員マスタ!$H$6:$H$405&gt;=$AO299))&gt;0)*(ROW(職員マスタ!$A$6:$A$405)-5)))&gt;0,SUMPRODUCT(MAX((職員マスタ!$A$6:$A$405=$B299)*(((職員マスタ!$G$6:$G$405="")+(職員マスタ!$G$6:$G$405&lt;=EOMONTH($AO299,0)))&gt;0)*(((職員マスタ!$H$6:$H$405="")+(職員マスタ!$H$6:$H$405&gt;=$AO299))&gt;0)*(ROW(職員マスタ!$A$6:$A$405)-5))),IFERROR(MATCH($B299,職員マスタ!$A$6:$A$405,0),"")))</f>
        <v/>
      </c>
      <c r="AO299" s="16">
        <f>IF(OR($B299="",$C299="",$D299=""),"",DATE($C299+2018,$D299,1))</f>
        <v/>
      </c>
    </row>
    <row r="300">
      <c r="A300" s="11" t="n"/>
      <c r="B300" s="12" t="n">
        <v>6602899</v>
      </c>
      <c r="C300" s="12" t="n">
        <v>7</v>
      </c>
      <c r="D300" s="12" t="n">
        <v>7</v>
      </c>
      <c r="E300" s="13" t="n">
        <v>254061</v>
      </c>
      <c r="F300" s="12" t="n"/>
      <c r="G300" s="13" t="n"/>
      <c r="H300" s="12" t="n"/>
      <c r="I300" s="12" t="n"/>
      <c r="J300" s="12" t="n"/>
      <c r="K300" s="12" t="n"/>
      <c r="L300" s="11" t="n"/>
      <c r="M300" s="11" t="n"/>
      <c r="N300" s="11" t="n"/>
      <c r="O300" s="11" t="n"/>
      <c r="P300" s="12" t="n"/>
      <c r="Q300" s="11" t="n"/>
      <c r="R300" s="12" t="n"/>
      <c r="S300" s="11" t="n"/>
      <c r="T300" s="12" t="n"/>
      <c r="U300" s="12" t="n"/>
      <c r="V300" s="14">
        <f>IF($AN300="",IF($B300="","",$H300),IF(INDEX(職員マスタ!$B$6:$B$405,$AN300)="",$H300,INDEX(職員マスタ!$B$6:$B$405,$AN300)))</f>
        <v/>
      </c>
      <c r="W300" s="14">
        <f>IF($AN300="",IF($B300="","",$R300),IF(INDEX(職員マスタ!$C$6:$C$405,$AN300)="",$R300,INDEX(職員マスタ!$C$6:$C$405,$AN300)))</f>
        <v/>
      </c>
      <c r="X300" s="14">
        <f>IF($AO300="","","R"&amp;$C300&amp;"."&amp;$D300)</f>
        <v/>
      </c>
      <c r="Y300" s="15">
        <f>IF($AN300="","",IF(INDEX(職員マスタ!$K$6:$K$405,$AN300)="","",INDEX(職員マスタ!$K$6:$K$405,$AN300)))</f>
        <v/>
      </c>
      <c r="Z300" s="14">
        <f>IF(OR($E300="",$Y300=""),"",IF($E300&gt;=$Y300,"×",IF($E300&gt;=$Y300*設定!$C$5,"△","○")))</f>
        <v/>
      </c>
      <c r="AA300" s="15">
        <f>IF($Z300="","",IF($Z300="×",0,IF($Z300="○",ROUNDDOWN($E300*設定!$C$4,0),ROUNDDOWN($E300*ROUND((9*$Y300-9*$E300)/(10*$E300),4),0))))</f>
        <v/>
      </c>
      <c r="AB300" s="13" t="n"/>
      <c r="AC300" s="15">
        <f>IF($B300="","",IF($AB300&lt;&gt;"",$AB300,IF($AA300="","",IF($AA300&lt;=設定!$C$3,0,$AA300))))</f>
        <v/>
      </c>
      <c r="AD300" s="14">
        <f>IF($B300="","",IF(AND($AE300&lt;&gt;"",$AG300="",$AJ300=""),"保留中",IF($AJ300&lt;&gt;"",IF(N($AC300)&gt;0,"支給済","不支給"),IF($AC300="","要確認",IF($AC300=0,"不支給","未処理")))))</f>
        <v/>
      </c>
      <c r="AE300" s="12" t="n"/>
      <c r="AF300" s="11" t="n"/>
      <c r="AG300" s="11" t="n"/>
      <c r="AH300" s="11" t="n"/>
      <c r="AI300" s="14">
        <f>IF(AND($AD300="保留中",$AF300&lt;&gt;""),TODAY()-$AF300,"")</f>
        <v/>
      </c>
      <c r="AJ300" s="12" t="inlineStr">
        <is>
          <t>R7.9</t>
        </is>
      </c>
      <c r="AK300" s="14">
        <f>IF($B300="","",IF($AO300="","対象年月が未入力／","")&amp;IF($B300="","",IF($AN300="","職員マスタに未登録の職員番号／",IF($Y300="","標準報酬月額が未登録／","")&amp;IF(AND($AO300&lt;&gt;"",OR(AND(INDEX(職員マスタ!$G$6:$G$405,$AN300)&lt;&gt;"",INDEX(職員マスタ!$G$6:$G$405,$AN300)&gt;EOMONTH($AO300,0)),AND(INDEX(職員マスタ!$H$6:$H$405,$AN300)&lt;&gt;"",INDEX(職員マスタ!$H$6:$H$405,$AN300)&lt;$AO300))),"対象月が時短期間外／","")&amp;IF(AND(INDEX(職員マスタ!$F$6:$F$405,$AN300)&lt;&gt;"",$AO300&lt;&gt;"",INDEX(職員マスタ!$F$6:$F$405,$AN300)&lt;$AO300),"対象月に子が2歳到達済／","")&amp;IF(AND($H300&lt;&gt;"",INDEX(職員マスタ!$B$6:$B$405,$AN300)&lt;&gt;"",SUBSTITUTE(SUBSTITUTE($H300," ","")," ","")&lt;&gt;SUBSTITUTE(SUBSTITUTE(INDEX(職員マスタ!$B$6:$B$405,$AN300)," ","")," ","")),"氏名がマスタと相違／","")&amp;IF(AND($Q300&lt;&gt;"",INDEX(職員マスタ!$E$6:$E$405,$AN300)&lt;&gt;"",$Q300&lt;&gt;INDEX(職員マスタ!$E$6:$E$405,$AN300)),"子の生年月日がマスタと相違／","")&amp;IF(AND($L300&lt;&gt;"",INDEX(職員マスタ!$G$6:$G$405,$AN300)&lt;&gt;"",$L300&lt;&gt;INDEX(職員マスタ!$G$6:$G$405,$AN300)),"時短開始日がマスタと相違／","")&amp;IF(AND($M300&lt;&gt;"",INDEX(職員マスタ!$H$6:$H$405,$AN300)&lt;&gt;"",$M300&lt;&gt;INDEX(職員マスタ!$H$6:$H$405,$AN300)),"時短終了日がマスタと相違／","")))&amp;IF(AND($B300&lt;&gt;"",$E300=""),"報酬額が未入力／","")&amp;IF(N($U300)&gt;0,"申請書に入力エラーが残っています／","")&amp;IF(AND($B300&lt;&gt;"",$AO300&lt;&gt;""),IF(COUNTIFS($B$6:$B$3005,$B300,$C$6:$C$3005,$C300,$D$6:$D$3005,$D300)&gt;1,"同じ月の請求が重複しています／",""),"")&amp;IF(AND(N($E300)&gt;0,$Z300&lt;&gt;"",$Z300&lt;&gt;"×",$AC300=0,$AB300=""),"計算額が下限以下のため不支給／",""))</f>
        <v/>
      </c>
      <c r="AL300" s="12" t="n"/>
      <c r="AM300" s="14">
        <f>IF($AD300="保留中",COUNTIF($AD$6:$AD300,"保留中"),"")</f>
        <v/>
      </c>
      <c r="AN300" s="14">
        <f>IF($AO300="","",IF(SUMPRODUCT(MAX((職員マスタ!$A$6:$A$405=$B300)*(((職員マスタ!$G$6:$G$405="")+(職員マスタ!$G$6:$G$405&lt;=EOMONTH($AO300,0)))&gt;0)*(((職員マスタ!$H$6:$H$405="")+(職員マスタ!$H$6:$H$405&gt;=$AO300))&gt;0)*(ROW(職員マスタ!$A$6:$A$405)-5)))&gt;0,SUMPRODUCT(MAX((職員マスタ!$A$6:$A$405=$B300)*(((職員マスタ!$G$6:$G$405="")+(職員マスタ!$G$6:$G$405&lt;=EOMONTH($AO300,0)))&gt;0)*(((職員マスタ!$H$6:$H$405="")+(職員マスタ!$H$6:$H$405&gt;=$AO300))&gt;0)*(ROW(職員マスタ!$A$6:$A$405)-5))),IFERROR(MATCH($B300,職員マスタ!$A$6:$A$405,0),"")))</f>
        <v/>
      </c>
      <c r="AO300" s="16">
        <f>IF(OR($B300="",$C300="",$D300=""),"",DATE($C300+2018,$D300,1))</f>
        <v/>
      </c>
    </row>
    <row r="301">
      <c r="A301" s="11" t="n"/>
      <c r="B301" s="12" t="n">
        <v>6602899</v>
      </c>
      <c r="C301" s="12" t="n">
        <v>7</v>
      </c>
      <c r="D301" s="12" t="n">
        <v>8</v>
      </c>
      <c r="E301" s="13" t="n">
        <v>248412</v>
      </c>
      <c r="F301" s="12" t="n"/>
      <c r="G301" s="13" t="n"/>
      <c r="H301" s="12" t="n"/>
      <c r="I301" s="12" t="n"/>
      <c r="J301" s="12" t="n"/>
      <c r="K301" s="12" t="n"/>
      <c r="L301" s="11" t="n"/>
      <c r="M301" s="11" t="n"/>
      <c r="N301" s="11" t="n"/>
      <c r="O301" s="11" t="n"/>
      <c r="P301" s="12" t="n"/>
      <c r="Q301" s="11" t="n"/>
      <c r="R301" s="12" t="n"/>
      <c r="S301" s="11" t="n"/>
      <c r="T301" s="12" t="n"/>
      <c r="U301" s="12" t="n"/>
      <c r="V301" s="14">
        <f>IF($AN301="",IF($B301="","",$H301),IF(INDEX(職員マスタ!$B$6:$B$405,$AN301)="",$H301,INDEX(職員マスタ!$B$6:$B$405,$AN301)))</f>
        <v/>
      </c>
      <c r="W301" s="14">
        <f>IF($AN301="",IF($B301="","",$R301),IF(INDEX(職員マスタ!$C$6:$C$405,$AN301)="",$R301,INDEX(職員マスタ!$C$6:$C$405,$AN301)))</f>
        <v/>
      </c>
      <c r="X301" s="14">
        <f>IF($AO301="","","R"&amp;$C301&amp;"."&amp;$D301)</f>
        <v/>
      </c>
      <c r="Y301" s="15">
        <f>IF($AN301="","",IF(INDEX(職員マスタ!$K$6:$K$405,$AN301)="","",INDEX(職員マスタ!$K$6:$K$405,$AN301)))</f>
        <v/>
      </c>
      <c r="Z301" s="14">
        <f>IF(OR($E301="",$Y301=""),"",IF($E301&gt;=$Y301,"×",IF($E301&gt;=$Y301*設定!$C$5,"△","○")))</f>
        <v/>
      </c>
      <c r="AA301" s="15">
        <f>IF($Z301="","",IF($Z301="×",0,IF($Z301="○",ROUNDDOWN($E301*設定!$C$4,0),ROUNDDOWN($E301*ROUND((9*$Y301-9*$E301)/(10*$E301),4),0))))</f>
        <v/>
      </c>
      <c r="AB301" s="13" t="n"/>
      <c r="AC301" s="15">
        <f>IF($B301="","",IF($AB301&lt;&gt;"",$AB301,IF($AA301="","",IF($AA301&lt;=設定!$C$3,0,$AA301))))</f>
        <v/>
      </c>
      <c r="AD301" s="14">
        <f>IF($B301="","",IF(AND($AE301&lt;&gt;"",$AG301="",$AJ301=""),"保留中",IF($AJ301&lt;&gt;"",IF(N($AC301)&gt;0,"支給済","不支給"),IF($AC301="","要確認",IF($AC301=0,"不支給","未処理")))))</f>
        <v/>
      </c>
      <c r="AE301" s="12" t="n"/>
      <c r="AF301" s="11" t="n"/>
      <c r="AG301" s="11" t="n"/>
      <c r="AH301" s="11" t="n"/>
      <c r="AI301" s="14">
        <f>IF(AND($AD301="保留中",$AF301&lt;&gt;""),TODAY()-$AF301,"")</f>
        <v/>
      </c>
      <c r="AJ301" s="12" t="inlineStr">
        <is>
          <t>R7.10</t>
        </is>
      </c>
      <c r="AK301" s="14">
        <f>IF($B301="","",IF($AO301="","対象年月が未入力／","")&amp;IF($B301="","",IF($AN301="","職員マスタに未登録の職員番号／",IF($Y301="","標準報酬月額が未登録／","")&amp;IF(AND($AO301&lt;&gt;"",OR(AND(INDEX(職員マスタ!$G$6:$G$405,$AN301)&lt;&gt;"",INDEX(職員マスタ!$G$6:$G$405,$AN301)&gt;EOMONTH($AO301,0)),AND(INDEX(職員マスタ!$H$6:$H$405,$AN301)&lt;&gt;"",INDEX(職員マスタ!$H$6:$H$405,$AN301)&lt;$AO301))),"対象月が時短期間外／","")&amp;IF(AND(INDEX(職員マスタ!$F$6:$F$405,$AN301)&lt;&gt;"",$AO301&lt;&gt;"",INDEX(職員マスタ!$F$6:$F$405,$AN301)&lt;$AO301),"対象月に子が2歳到達済／","")&amp;IF(AND($H301&lt;&gt;"",INDEX(職員マスタ!$B$6:$B$405,$AN301)&lt;&gt;"",SUBSTITUTE(SUBSTITUTE($H301," ","")," ","")&lt;&gt;SUBSTITUTE(SUBSTITUTE(INDEX(職員マスタ!$B$6:$B$405,$AN301)," ","")," ","")),"氏名がマスタと相違／","")&amp;IF(AND($Q301&lt;&gt;"",INDEX(職員マスタ!$E$6:$E$405,$AN301)&lt;&gt;"",$Q301&lt;&gt;INDEX(職員マスタ!$E$6:$E$405,$AN301)),"子の生年月日がマスタと相違／","")&amp;IF(AND($L301&lt;&gt;"",INDEX(職員マスタ!$G$6:$G$405,$AN301)&lt;&gt;"",$L301&lt;&gt;INDEX(職員マスタ!$G$6:$G$405,$AN301)),"時短開始日がマスタと相違／","")&amp;IF(AND($M301&lt;&gt;"",INDEX(職員マスタ!$H$6:$H$405,$AN301)&lt;&gt;"",$M301&lt;&gt;INDEX(職員マスタ!$H$6:$H$405,$AN301)),"時短終了日がマスタと相違／","")))&amp;IF(AND($B301&lt;&gt;"",$E301=""),"報酬額が未入力／","")&amp;IF(N($U301)&gt;0,"申請書に入力エラーが残っています／","")&amp;IF(AND($B301&lt;&gt;"",$AO301&lt;&gt;""),IF(COUNTIFS($B$6:$B$3005,$B301,$C$6:$C$3005,$C301,$D$6:$D$3005,$D301)&gt;1,"同じ月の請求が重複しています／",""),"")&amp;IF(AND(N($E301)&gt;0,$Z301&lt;&gt;"",$Z301&lt;&gt;"×",$AC301=0,$AB301=""),"計算額が下限以下のため不支給／",""))</f>
        <v/>
      </c>
      <c r="AL301" s="12" t="n"/>
      <c r="AM301" s="14">
        <f>IF($AD301="保留中",COUNTIF($AD$6:$AD301,"保留中"),"")</f>
        <v/>
      </c>
      <c r="AN301" s="14">
        <f>IF($AO301="","",IF(SUMPRODUCT(MAX((職員マスタ!$A$6:$A$405=$B301)*(((職員マスタ!$G$6:$G$405="")+(職員マスタ!$G$6:$G$405&lt;=EOMONTH($AO301,0)))&gt;0)*(((職員マスタ!$H$6:$H$405="")+(職員マスタ!$H$6:$H$405&gt;=$AO301))&gt;0)*(ROW(職員マスタ!$A$6:$A$405)-5)))&gt;0,SUMPRODUCT(MAX((職員マスタ!$A$6:$A$405=$B301)*(((職員マスタ!$G$6:$G$405="")+(職員マスタ!$G$6:$G$405&lt;=EOMONTH($AO301,0)))&gt;0)*(((職員マスタ!$H$6:$H$405="")+(職員マスタ!$H$6:$H$405&gt;=$AO301))&gt;0)*(ROW(職員マスタ!$A$6:$A$405)-5))),IFERROR(MATCH($B301,職員マスタ!$A$6:$A$405,0),"")))</f>
        <v/>
      </c>
      <c r="AO301" s="16">
        <f>IF(OR($B301="",$C301="",$D301=""),"",DATE($C301+2018,$D301,1))</f>
        <v/>
      </c>
    </row>
    <row r="302">
      <c r="A302" s="11" t="n"/>
      <c r="B302" s="12" t="n">
        <v>6701601</v>
      </c>
      <c r="C302" s="12" t="n">
        <v>7</v>
      </c>
      <c r="D302" s="12" t="n">
        <v>12</v>
      </c>
      <c r="E302" s="13" t="n">
        <v>361957</v>
      </c>
      <c r="F302" s="12" t="n"/>
      <c r="G302" s="13" t="n"/>
      <c r="H302" s="12" t="n"/>
      <c r="I302" s="12" t="n"/>
      <c r="J302" s="12" t="n"/>
      <c r="K302" s="12" t="n"/>
      <c r="L302" s="11" t="n"/>
      <c r="M302" s="11" t="n"/>
      <c r="N302" s="11" t="n"/>
      <c r="O302" s="11" t="n"/>
      <c r="P302" s="12" t="n"/>
      <c r="Q302" s="11" t="n"/>
      <c r="R302" s="12" t="n"/>
      <c r="S302" s="11" t="n"/>
      <c r="T302" s="12" t="n"/>
      <c r="U302" s="12" t="n"/>
      <c r="V302" s="14">
        <f>IF($AN302="",IF($B302="","",$H302),IF(INDEX(職員マスタ!$B$6:$B$405,$AN302)="",$H302,INDEX(職員マスタ!$B$6:$B$405,$AN302)))</f>
        <v/>
      </c>
      <c r="W302" s="14">
        <f>IF($AN302="",IF($B302="","",$R302),IF(INDEX(職員マスタ!$C$6:$C$405,$AN302)="",$R302,INDEX(職員マスタ!$C$6:$C$405,$AN302)))</f>
        <v/>
      </c>
      <c r="X302" s="14">
        <f>IF($AO302="","","R"&amp;$C302&amp;"."&amp;$D302)</f>
        <v/>
      </c>
      <c r="Y302" s="15">
        <f>IF($AN302="","",IF(INDEX(職員マスタ!$K$6:$K$405,$AN302)="","",INDEX(職員マスタ!$K$6:$K$405,$AN302)))</f>
        <v/>
      </c>
      <c r="Z302" s="14">
        <f>IF(OR($E302="",$Y302=""),"",IF($E302&gt;=$Y302,"×",IF($E302&gt;=$Y302*設定!$C$5,"△","○")))</f>
        <v/>
      </c>
      <c r="AA302" s="15">
        <f>IF($Z302="","",IF($Z302="×",0,IF($Z302="○",ROUNDDOWN($E302*設定!$C$4,0),ROUNDDOWN($E302*ROUND((9*$Y302-9*$E302)/(10*$E302),4),0))))</f>
        <v/>
      </c>
      <c r="AB302" s="13" t="n"/>
      <c r="AC302" s="15">
        <f>IF($B302="","",IF($AB302&lt;&gt;"",$AB302,IF($AA302="","",IF($AA302&lt;=設定!$C$3,0,$AA302))))</f>
        <v/>
      </c>
      <c r="AD302" s="14">
        <f>IF($B302="","",IF(AND($AE302&lt;&gt;"",$AG302="",$AJ302=""),"保留中",IF($AJ302&lt;&gt;"",IF(N($AC302)&gt;0,"支給済","不支給"),IF($AC302="","要確認",IF($AC302=0,"不支給","未処理")))))</f>
        <v/>
      </c>
      <c r="AE302" s="12" t="n"/>
      <c r="AF302" s="11" t="n"/>
      <c r="AG302" s="11" t="n"/>
      <c r="AH302" s="11" t="n"/>
      <c r="AI302" s="14">
        <f>IF(AND($AD302="保留中",$AF302&lt;&gt;""),TODAY()-$AF302,"")</f>
        <v/>
      </c>
      <c r="AJ302" s="12" t="inlineStr">
        <is>
          <t>R8.4</t>
        </is>
      </c>
      <c r="AK302" s="14">
        <f>IF($B302="","",IF($AO302="","対象年月が未入力／","")&amp;IF($B302="","",IF($AN302="","職員マスタに未登録の職員番号／",IF($Y302="","標準報酬月額が未登録／","")&amp;IF(AND($AO302&lt;&gt;"",OR(AND(INDEX(職員マスタ!$G$6:$G$405,$AN302)&lt;&gt;"",INDEX(職員マスタ!$G$6:$G$405,$AN302)&gt;EOMONTH($AO302,0)),AND(INDEX(職員マスタ!$H$6:$H$405,$AN302)&lt;&gt;"",INDEX(職員マスタ!$H$6:$H$405,$AN302)&lt;$AO302))),"対象月が時短期間外／","")&amp;IF(AND(INDEX(職員マスタ!$F$6:$F$405,$AN302)&lt;&gt;"",$AO302&lt;&gt;"",INDEX(職員マスタ!$F$6:$F$405,$AN302)&lt;$AO302),"対象月に子が2歳到達済／","")&amp;IF(AND($H302&lt;&gt;"",INDEX(職員マスタ!$B$6:$B$405,$AN302)&lt;&gt;"",SUBSTITUTE(SUBSTITUTE($H302," ","")," ","")&lt;&gt;SUBSTITUTE(SUBSTITUTE(INDEX(職員マスタ!$B$6:$B$405,$AN302)," ","")," ","")),"氏名がマスタと相違／","")&amp;IF(AND($Q302&lt;&gt;"",INDEX(職員マスタ!$E$6:$E$405,$AN302)&lt;&gt;"",$Q302&lt;&gt;INDEX(職員マスタ!$E$6:$E$405,$AN302)),"子の生年月日がマスタと相違／","")&amp;IF(AND($L302&lt;&gt;"",INDEX(職員マスタ!$G$6:$G$405,$AN302)&lt;&gt;"",$L302&lt;&gt;INDEX(職員マスタ!$G$6:$G$405,$AN302)),"時短開始日がマスタと相違／","")&amp;IF(AND($M302&lt;&gt;"",INDEX(職員マスタ!$H$6:$H$405,$AN302)&lt;&gt;"",$M302&lt;&gt;INDEX(職員マスタ!$H$6:$H$405,$AN302)),"時短終了日がマスタと相違／","")))&amp;IF(AND($B302&lt;&gt;"",$E302=""),"報酬額が未入力／","")&amp;IF(N($U302)&gt;0,"申請書に入力エラーが残っています／","")&amp;IF(AND($B302&lt;&gt;"",$AO302&lt;&gt;""),IF(COUNTIFS($B$6:$B$3005,$B302,$C$6:$C$3005,$C302,$D$6:$D$3005,$D302)&gt;1,"同じ月の請求が重複しています／",""),"")&amp;IF(AND(N($E302)&gt;0,$Z302&lt;&gt;"",$Z302&lt;&gt;"×",$AC302=0,$AB302=""),"計算額が下限以下のため不支給／",""))</f>
        <v/>
      </c>
      <c r="AL302" s="12" t="n"/>
      <c r="AM302" s="14">
        <f>IF($AD302="保留中",COUNTIF($AD$6:$AD302,"保留中"),"")</f>
        <v/>
      </c>
      <c r="AN302" s="14">
        <f>IF($AO302="","",IF(SUMPRODUCT(MAX((職員マスタ!$A$6:$A$405=$B302)*(((職員マスタ!$G$6:$G$405="")+(職員マスタ!$G$6:$G$405&lt;=EOMONTH($AO302,0)))&gt;0)*(((職員マスタ!$H$6:$H$405="")+(職員マスタ!$H$6:$H$405&gt;=$AO302))&gt;0)*(ROW(職員マスタ!$A$6:$A$405)-5)))&gt;0,SUMPRODUCT(MAX((職員マスタ!$A$6:$A$405=$B302)*(((職員マスタ!$G$6:$G$405="")+(職員マスタ!$G$6:$G$405&lt;=EOMONTH($AO302,0)))&gt;0)*(((職員マスタ!$H$6:$H$405="")+(職員マスタ!$H$6:$H$405&gt;=$AO302))&gt;0)*(ROW(職員マスタ!$A$6:$A$405)-5))),IFERROR(MATCH($B302,職員マスタ!$A$6:$A$405,0),"")))</f>
        <v/>
      </c>
      <c r="AO302" s="16">
        <f>IF(OR($B302="",$C302="",$D302=""),"",DATE($C302+2018,$D302,1))</f>
        <v/>
      </c>
    </row>
    <row r="303">
      <c r="A303" s="11" t="n"/>
      <c r="B303" s="12" t="n">
        <v>6701601</v>
      </c>
      <c r="C303" s="12" t="n">
        <v>8</v>
      </c>
      <c r="D303" s="12" t="n">
        <v>1</v>
      </c>
      <c r="E303" s="13" t="n">
        <v>340188</v>
      </c>
      <c r="F303" s="12" t="n"/>
      <c r="G303" s="13" t="n"/>
      <c r="H303" s="12" t="n"/>
      <c r="I303" s="12" t="n"/>
      <c r="J303" s="12" t="n"/>
      <c r="K303" s="12" t="n"/>
      <c r="L303" s="11" t="n"/>
      <c r="M303" s="11" t="n"/>
      <c r="N303" s="11" t="n"/>
      <c r="O303" s="11" t="n"/>
      <c r="P303" s="12" t="n"/>
      <c r="Q303" s="11" t="n"/>
      <c r="R303" s="12" t="n"/>
      <c r="S303" s="11" t="n"/>
      <c r="T303" s="12" t="n"/>
      <c r="U303" s="12" t="n"/>
      <c r="V303" s="14">
        <f>IF($AN303="",IF($B303="","",$H303),IF(INDEX(職員マスタ!$B$6:$B$405,$AN303)="",$H303,INDEX(職員マスタ!$B$6:$B$405,$AN303)))</f>
        <v/>
      </c>
      <c r="W303" s="14">
        <f>IF($AN303="",IF($B303="","",$R303),IF(INDEX(職員マスタ!$C$6:$C$405,$AN303)="",$R303,INDEX(職員マスタ!$C$6:$C$405,$AN303)))</f>
        <v/>
      </c>
      <c r="X303" s="14">
        <f>IF($AO303="","","R"&amp;$C303&amp;"."&amp;$D303)</f>
        <v/>
      </c>
      <c r="Y303" s="15">
        <f>IF($AN303="","",IF(INDEX(職員マスタ!$K$6:$K$405,$AN303)="","",INDEX(職員マスタ!$K$6:$K$405,$AN303)))</f>
        <v/>
      </c>
      <c r="Z303" s="14">
        <f>IF(OR($E303="",$Y303=""),"",IF($E303&gt;=$Y303,"×",IF($E303&gt;=$Y303*設定!$C$5,"△","○")))</f>
        <v/>
      </c>
      <c r="AA303" s="15">
        <f>IF($Z303="","",IF($Z303="×",0,IF($Z303="○",ROUNDDOWN($E303*設定!$C$4,0),ROUNDDOWN($E303*ROUND((9*$Y303-9*$E303)/(10*$E303),4),0))))</f>
        <v/>
      </c>
      <c r="AB303" s="13" t="n"/>
      <c r="AC303" s="15">
        <f>IF($B303="","",IF($AB303&lt;&gt;"",$AB303,IF($AA303="","",IF($AA303&lt;=設定!$C$3,0,$AA303))))</f>
        <v/>
      </c>
      <c r="AD303" s="14">
        <f>IF($B303="","",IF(AND($AE303&lt;&gt;"",$AG303="",$AJ303=""),"保留中",IF($AJ303&lt;&gt;"",IF(N($AC303)&gt;0,"支給済","不支給"),IF($AC303="","要確認",IF($AC303=0,"不支給","未処理")))))</f>
        <v/>
      </c>
      <c r="AE303" s="12" t="n"/>
      <c r="AF303" s="11" t="n"/>
      <c r="AG303" s="11" t="n"/>
      <c r="AH303" s="11" t="n"/>
      <c r="AI303" s="14">
        <f>IF(AND($AD303="保留中",$AF303&lt;&gt;""),TODAY()-$AF303,"")</f>
        <v/>
      </c>
      <c r="AJ303" s="12" t="inlineStr">
        <is>
          <t>R8.5</t>
        </is>
      </c>
      <c r="AK303" s="14">
        <f>IF($B303="","",IF($AO303="","対象年月が未入力／","")&amp;IF($B303="","",IF($AN303="","職員マスタに未登録の職員番号／",IF($Y303="","標準報酬月額が未登録／","")&amp;IF(AND($AO303&lt;&gt;"",OR(AND(INDEX(職員マスタ!$G$6:$G$405,$AN303)&lt;&gt;"",INDEX(職員マスタ!$G$6:$G$405,$AN303)&gt;EOMONTH($AO303,0)),AND(INDEX(職員マスタ!$H$6:$H$405,$AN303)&lt;&gt;"",INDEX(職員マスタ!$H$6:$H$405,$AN303)&lt;$AO303))),"対象月が時短期間外／","")&amp;IF(AND(INDEX(職員マスタ!$F$6:$F$405,$AN303)&lt;&gt;"",$AO303&lt;&gt;"",INDEX(職員マスタ!$F$6:$F$405,$AN303)&lt;$AO303),"対象月に子が2歳到達済／","")&amp;IF(AND($H303&lt;&gt;"",INDEX(職員マスタ!$B$6:$B$405,$AN303)&lt;&gt;"",SUBSTITUTE(SUBSTITUTE($H303," ","")," ","")&lt;&gt;SUBSTITUTE(SUBSTITUTE(INDEX(職員マスタ!$B$6:$B$405,$AN303)," ","")," ","")),"氏名がマスタと相違／","")&amp;IF(AND($Q303&lt;&gt;"",INDEX(職員マスタ!$E$6:$E$405,$AN303)&lt;&gt;"",$Q303&lt;&gt;INDEX(職員マスタ!$E$6:$E$405,$AN303)),"子の生年月日がマスタと相違／","")&amp;IF(AND($L303&lt;&gt;"",INDEX(職員マスタ!$G$6:$G$405,$AN303)&lt;&gt;"",$L303&lt;&gt;INDEX(職員マスタ!$G$6:$G$405,$AN303)),"時短開始日がマスタと相違／","")&amp;IF(AND($M303&lt;&gt;"",INDEX(職員マスタ!$H$6:$H$405,$AN303)&lt;&gt;"",$M303&lt;&gt;INDEX(職員マスタ!$H$6:$H$405,$AN303)),"時短終了日がマスタと相違／","")))&amp;IF(AND($B303&lt;&gt;"",$E303=""),"報酬額が未入力／","")&amp;IF(N($U303)&gt;0,"申請書に入力エラーが残っています／","")&amp;IF(AND($B303&lt;&gt;"",$AO303&lt;&gt;""),IF(COUNTIFS($B$6:$B$3005,$B303,$C$6:$C$3005,$C303,$D$6:$D$3005,$D303)&gt;1,"同じ月の請求が重複しています／",""),"")&amp;IF(AND(N($E303)&gt;0,$Z303&lt;&gt;"",$Z303&lt;&gt;"×",$AC303=0,$AB303=""),"計算額が下限以下のため不支給／",""))</f>
        <v/>
      </c>
      <c r="AL303" s="12" t="n"/>
      <c r="AM303" s="14">
        <f>IF($AD303="保留中",COUNTIF($AD$6:$AD303,"保留中"),"")</f>
        <v/>
      </c>
      <c r="AN303" s="14">
        <f>IF($AO303="","",IF(SUMPRODUCT(MAX((職員マスタ!$A$6:$A$405=$B303)*(((職員マスタ!$G$6:$G$405="")+(職員マスタ!$G$6:$G$405&lt;=EOMONTH($AO303,0)))&gt;0)*(((職員マスタ!$H$6:$H$405="")+(職員マスタ!$H$6:$H$405&gt;=$AO303))&gt;0)*(ROW(職員マスタ!$A$6:$A$405)-5)))&gt;0,SUMPRODUCT(MAX((職員マスタ!$A$6:$A$405=$B303)*(((職員マスタ!$G$6:$G$405="")+(職員マスタ!$G$6:$G$405&lt;=EOMONTH($AO303,0)))&gt;0)*(((職員マスタ!$H$6:$H$405="")+(職員マスタ!$H$6:$H$405&gt;=$AO303))&gt;0)*(ROW(職員マスタ!$A$6:$A$405)-5))),IFERROR(MATCH($B303,職員マスタ!$A$6:$A$405,0),"")))</f>
        <v/>
      </c>
      <c r="AO303" s="16">
        <f>IF(OR($B303="",$C303="",$D303=""),"",DATE($C303+2018,$D303,1))</f>
        <v/>
      </c>
    </row>
    <row r="304">
      <c r="A304" s="11" t="n"/>
      <c r="B304" s="12" t="n">
        <v>6701601</v>
      </c>
      <c r="C304" s="12" t="n">
        <v>8</v>
      </c>
      <c r="D304" s="12" t="n">
        <v>2</v>
      </c>
      <c r="E304" s="13" t="n">
        <v>338306</v>
      </c>
      <c r="F304" s="12" t="n"/>
      <c r="G304" s="13" t="n"/>
      <c r="H304" s="12" t="n"/>
      <c r="I304" s="12" t="n"/>
      <c r="J304" s="12" t="n"/>
      <c r="K304" s="12" t="n"/>
      <c r="L304" s="11" t="n"/>
      <c r="M304" s="11" t="n"/>
      <c r="N304" s="11" t="n"/>
      <c r="O304" s="11" t="n"/>
      <c r="P304" s="12" t="n"/>
      <c r="Q304" s="11" t="n"/>
      <c r="R304" s="12" t="n"/>
      <c r="S304" s="11" t="n"/>
      <c r="T304" s="12" t="n"/>
      <c r="U304" s="12" t="n"/>
      <c r="V304" s="14">
        <f>IF($AN304="",IF($B304="","",$H304),IF(INDEX(職員マスタ!$B$6:$B$405,$AN304)="",$H304,INDEX(職員マスタ!$B$6:$B$405,$AN304)))</f>
        <v/>
      </c>
      <c r="W304" s="14">
        <f>IF($AN304="",IF($B304="","",$R304),IF(INDEX(職員マスタ!$C$6:$C$405,$AN304)="",$R304,INDEX(職員マスタ!$C$6:$C$405,$AN304)))</f>
        <v/>
      </c>
      <c r="X304" s="14">
        <f>IF($AO304="","","R"&amp;$C304&amp;"."&amp;$D304)</f>
        <v/>
      </c>
      <c r="Y304" s="15">
        <f>IF($AN304="","",IF(INDEX(職員マスタ!$K$6:$K$405,$AN304)="","",INDEX(職員マスタ!$K$6:$K$405,$AN304)))</f>
        <v/>
      </c>
      <c r="Z304" s="14">
        <f>IF(OR($E304="",$Y304=""),"",IF($E304&gt;=$Y304,"×",IF($E304&gt;=$Y304*設定!$C$5,"△","○")))</f>
        <v/>
      </c>
      <c r="AA304" s="15">
        <f>IF($Z304="","",IF($Z304="×",0,IF($Z304="○",ROUNDDOWN($E304*設定!$C$4,0),ROUNDDOWN($E304*ROUND((9*$Y304-9*$E304)/(10*$E304),4),0))))</f>
        <v/>
      </c>
      <c r="AB304" s="13" t="n"/>
      <c r="AC304" s="15">
        <f>IF($B304="","",IF($AB304&lt;&gt;"",$AB304,IF($AA304="","",IF($AA304&lt;=設定!$C$3,0,$AA304))))</f>
        <v/>
      </c>
      <c r="AD304" s="14">
        <f>IF($B304="","",IF(AND($AE304&lt;&gt;"",$AG304="",$AJ304=""),"保留中",IF($AJ304&lt;&gt;"",IF(N($AC304)&gt;0,"支給済","不支給"),IF($AC304="","要確認",IF($AC304=0,"不支給","未処理")))))</f>
        <v/>
      </c>
      <c r="AE304" s="12" t="n"/>
      <c r="AF304" s="11" t="n"/>
      <c r="AG304" s="11" t="n"/>
      <c r="AH304" s="11" t="n"/>
      <c r="AI304" s="14">
        <f>IF(AND($AD304="保留中",$AF304&lt;&gt;""),TODAY()-$AF304,"")</f>
        <v/>
      </c>
      <c r="AJ304" s="12" t="inlineStr">
        <is>
          <t>R8.5</t>
        </is>
      </c>
      <c r="AK304" s="14">
        <f>IF($B304="","",IF($AO304="","対象年月が未入力／","")&amp;IF($B304="","",IF($AN304="","職員マスタに未登録の職員番号／",IF($Y304="","標準報酬月額が未登録／","")&amp;IF(AND($AO304&lt;&gt;"",OR(AND(INDEX(職員マスタ!$G$6:$G$405,$AN304)&lt;&gt;"",INDEX(職員マスタ!$G$6:$G$405,$AN304)&gt;EOMONTH($AO304,0)),AND(INDEX(職員マスタ!$H$6:$H$405,$AN304)&lt;&gt;"",INDEX(職員マスタ!$H$6:$H$405,$AN304)&lt;$AO304))),"対象月が時短期間外／","")&amp;IF(AND(INDEX(職員マスタ!$F$6:$F$405,$AN304)&lt;&gt;"",$AO304&lt;&gt;"",INDEX(職員マスタ!$F$6:$F$405,$AN304)&lt;$AO304),"対象月に子が2歳到達済／","")&amp;IF(AND($H304&lt;&gt;"",INDEX(職員マスタ!$B$6:$B$405,$AN304)&lt;&gt;"",SUBSTITUTE(SUBSTITUTE($H304," ","")," ","")&lt;&gt;SUBSTITUTE(SUBSTITUTE(INDEX(職員マスタ!$B$6:$B$405,$AN304)," ","")," ","")),"氏名がマスタと相違／","")&amp;IF(AND($Q304&lt;&gt;"",INDEX(職員マスタ!$E$6:$E$405,$AN304)&lt;&gt;"",$Q304&lt;&gt;INDEX(職員マスタ!$E$6:$E$405,$AN304)),"子の生年月日がマスタと相違／","")&amp;IF(AND($L304&lt;&gt;"",INDEX(職員マスタ!$G$6:$G$405,$AN304)&lt;&gt;"",$L304&lt;&gt;INDEX(職員マスタ!$G$6:$G$405,$AN304)),"時短開始日がマスタと相違／","")&amp;IF(AND($M304&lt;&gt;"",INDEX(職員マスタ!$H$6:$H$405,$AN304)&lt;&gt;"",$M304&lt;&gt;INDEX(職員マスタ!$H$6:$H$405,$AN304)),"時短終了日がマスタと相違／","")))&amp;IF(AND($B304&lt;&gt;"",$E304=""),"報酬額が未入力／","")&amp;IF(N($U304)&gt;0,"申請書に入力エラーが残っています／","")&amp;IF(AND($B304&lt;&gt;"",$AO304&lt;&gt;""),IF(COUNTIFS($B$6:$B$3005,$B304,$C$6:$C$3005,$C304,$D$6:$D$3005,$D304)&gt;1,"同じ月の請求が重複しています／",""),"")&amp;IF(AND(N($E304)&gt;0,$Z304&lt;&gt;"",$Z304&lt;&gt;"×",$AC304=0,$AB304=""),"計算額が下限以下のため不支給／",""))</f>
        <v/>
      </c>
      <c r="AL304" s="12" t="n"/>
      <c r="AM304" s="14">
        <f>IF($AD304="保留中",COUNTIF($AD$6:$AD304,"保留中"),"")</f>
        <v/>
      </c>
      <c r="AN304" s="14">
        <f>IF($AO304="","",IF(SUMPRODUCT(MAX((職員マスタ!$A$6:$A$405=$B304)*(((職員マスタ!$G$6:$G$405="")+(職員マスタ!$G$6:$G$405&lt;=EOMONTH($AO304,0)))&gt;0)*(((職員マスタ!$H$6:$H$405="")+(職員マスタ!$H$6:$H$405&gt;=$AO304))&gt;0)*(ROW(職員マスタ!$A$6:$A$405)-5)))&gt;0,SUMPRODUCT(MAX((職員マスタ!$A$6:$A$405=$B304)*(((職員マスタ!$G$6:$G$405="")+(職員マスタ!$G$6:$G$405&lt;=EOMONTH($AO304,0)))&gt;0)*(((職員マスタ!$H$6:$H$405="")+(職員マスタ!$H$6:$H$405&gt;=$AO304))&gt;0)*(ROW(職員マスタ!$A$6:$A$405)-5))),IFERROR(MATCH($B304,職員マスタ!$A$6:$A$405,0),"")))</f>
        <v/>
      </c>
      <c r="AO304" s="16">
        <f>IF(OR($B304="",$C304="",$D304=""),"",DATE($C304+2018,$D304,1))</f>
        <v/>
      </c>
    </row>
    <row r="305">
      <c r="A305" s="11" t="n"/>
      <c r="B305" s="12" t="n">
        <v>6702344</v>
      </c>
      <c r="C305" s="12" t="n">
        <v>8</v>
      </c>
      <c r="D305" s="12" t="n">
        <v>4</v>
      </c>
      <c r="E305" s="13" t="n">
        <v>190486</v>
      </c>
      <c r="F305" s="12" t="n"/>
      <c r="G305" s="13" t="n"/>
      <c r="H305" s="12" t="n"/>
      <c r="I305" s="12" t="n"/>
      <c r="J305" s="12" t="n"/>
      <c r="K305" s="12" t="n"/>
      <c r="L305" s="11" t="n"/>
      <c r="M305" s="11" t="n"/>
      <c r="N305" s="11" t="n"/>
      <c r="O305" s="11" t="n"/>
      <c r="P305" s="12" t="n"/>
      <c r="Q305" s="11" t="n"/>
      <c r="R305" s="12" t="n"/>
      <c r="S305" s="11" t="n"/>
      <c r="T305" s="12" t="n"/>
      <c r="U305" s="12" t="n"/>
      <c r="V305" s="14">
        <f>IF($AN305="",IF($B305="","",$H305),IF(INDEX(職員マスタ!$B$6:$B$405,$AN305)="",$H305,INDEX(職員マスタ!$B$6:$B$405,$AN305)))</f>
        <v/>
      </c>
      <c r="W305" s="14">
        <f>IF($AN305="",IF($B305="","",$R305),IF(INDEX(職員マスタ!$C$6:$C$405,$AN305)="",$R305,INDEX(職員マスタ!$C$6:$C$405,$AN305)))</f>
        <v/>
      </c>
      <c r="X305" s="14">
        <f>IF($AO305="","","R"&amp;$C305&amp;"."&amp;$D305)</f>
        <v/>
      </c>
      <c r="Y305" s="15">
        <f>IF($AN305="","",IF(INDEX(職員マスタ!$K$6:$K$405,$AN305)="","",INDEX(職員マスタ!$K$6:$K$405,$AN305)))</f>
        <v/>
      </c>
      <c r="Z305" s="14">
        <f>IF(OR($E305="",$Y305=""),"",IF($E305&gt;=$Y305,"×",IF($E305&gt;=$Y305*設定!$C$5,"△","○")))</f>
        <v/>
      </c>
      <c r="AA305" s="15">
        <f>IF($Z305="","",IF($Z305="×",0,IF($Z305="○",ROUNDDOWN($E305*設定!$C$4,0),ROUNDDOWN($E305*ROUND((9*$Y305-9*$E305)/(10*$E305),4),0))))</f>
        <v/>
      </c>
      <c r="AB305" s="13" t="n"/>
      <c r="AC305" s="15">
        <f>IF($B305="","",IF($AB305&lt;&gt;"",$AB305,IF($AA305="","",IF($AA305&lt;=設定!$C$3,0,$AA305))))</f>
        <v/>
      </c>
      <c r="AD305" s="14">
        <f>IF($B305="","",IF(AND($AE305&lt;&gt;"",$AG305="",$AJ305=""),"保留中",IF($AJ305&lt;&gt;"",IF(N($AC305)&gt;0,"支給済","不支給"),IF($AC305="","要確認",IF($AC305=0,"不支給","未処理")))))</f>
        <v/>
      </c>
      <c r="AE305" s="12" t="n"/>
      <c r="AF305" s="11" t="n"/>
      <c r="AG305" s="11" t="n"/>
      <c r="AH305" s="11" t="n"/>
      <c r="AI305" s="14">
        <f>IF(AND($AD305="保留中",$AF305&lt;&gt;""),TODAY()-$AF305,"")</f>
        <v/>
      </c>
      <c r="AJ305" s="12" t="inlineStr">
        <is>
          <t>R8.10</t>
        </is>
      </c>
      <c r="AK305" s="14">
        <f>IF($B305="","",IF($AO305="","対象年月が未入力／","")&amp;IF($B305="","",IF($AN305="","職員マスタに未登録の職員番号／",IF($Y305="","標準報酬月額が未登録／","")&amp;IF(AND($AO305&lt;&gt;"",OR(AND(INDEX(職員マスタ!$G$6:$G$405,$AN305)&lt;&gt;"",INDEX(職員マスタ!$G$6:$G$405,$AN305)&gt;EOMONTH($AO305,0)),AND(INDEX(職員マスタ!$H$6:$H$405,$AN305)&lt;&gt;"",INDEX(職員マスタ!$H$6:$H$405,$AN305)&lt;$AO305))),"対象月が時短期間外／","")&amp;IF(AND(INDEX(職員マスタ!$F$6:$F$405,$AN305)&lt;&gt;"",$AO305&lt;&gt;"",INDEX(職員マスタ!$F$6:$F$405,$AN305)&lt;$AO305),"対象月に子が2歳到達済／","")&amp;IF(AND($H305&lt;&gt;"",INDEX(職員マスタ!$B$6:$B$405,$AN305)&lt;&gt;"",SUBSTITUTE(SUBSTITUTE($H305," ","")," ","")&lt;&gt;SUBSTITUTE(SUBSTITUTE(INDEX(職員マスタ!$B$6:$B$405,$AN305)," ","")," ","")),"氏名がマスタと相違／","")&amp;IF(AND($Q305&lt;&gt;"",INDEX(職員マスタ!$E$6:$E$405,$AN305)&lt;&gt;"",$Q305&lt;&gt;INDEX(職員マスタ!$E$6:$E$405,$AN305)),"子の生年月日がマスタと相違／","")&amp;IF(AND($L305&lt;&gt;"",INDEX(職員マスタ!$G$6:$G$405,$AN305)&lt;&gt;"",$L305&lt;&gt;INDEX(職員マスタ!$G$6:$G$405,$AN305)),"時短開始日がマスタと相違／","")&amp;IF(AND($M305&lt;&gt;"",INDEX(職員マスタ!$H$6:$H$405,$AN305)&lt;&gt;"",$M305&lt;&gt;INDEX(職員マスタ!$H$6:$H$405,$AN305)),"時短終了日がマスタと相違／","")))&amp;IF(AND($B305&lt;&gt;"",$E305=""),"報酬額が未入力／","")&amp;IF(N($U305)&gt;0,"申請書に入力エラーが残っています／","")&amp;IF(AND($B305&lt;&gt;"",$AO305&lt;&gt;""),IF(COUNTIFS($B$6:$B$3005,$B305,$C$6:$C$3005,$C305,$D$6:$D$3005,$D305)&gt;1,"同じ月の請求が重複しています／",""),"")&amp;IF(AND(N($E305)&gt;0,$Z305&lt;&gt;"",$Z305&lt;&gt;"×",$AC305=0,$AB305=""),"計算額が下限以下のため不支給／",""))</f>
        <v/>
      </c>
      <c r="AL305" s="12" t="n"/>
      <c r="AM305" s="14">
        <f>IF($AD305="保留中",COUNTIF($AD$6:$AD305,"保留中"),"")</f>
        <v/>
      </c>
      <c r="AN305" s="14">
        <f>IF($AO305="","",IF(SUMPRODUCT(MAX((職員マスタ!$A$6:$A$405=$B305)*(((職員マスタ!$G$6:$G$405="")+(職員マスタ!$G$6:$G$405&lt;=EOMONTH($AO305,0)))&gt;0)*(((職員マスタ!$H$6:$H$405="")+(職員マスタ!$H$6:$H$405&gt;=$AO305))&gt;0)*(ROW(職員マスタ!$A$6:$A$405)-5)))&gt;0,SUMPRODUCT(MAX((職員マスタ!$A$6:$A$405=$B305)*(((職員マスタ!$G$6:$G$405="")+(職員マスタ!$G$6:$G$405&lt;=EOMONTH($AO305,0)))&gt;0)*(((職員マスタ!$H$6:$H$405="")+(職員マスタ!$H$6:$H$405&gt;=$AO305))&gt;0)*(ROW(職員マスタ!$A$6:$A$405)-5))),IFERROR(MATCH($B305,職員マスタ!$A$6:$A$405,0),"")))</f>
        <v/>
      </c>
      <c r="AO305" s="16">
        <f>IF(OR($B305="",$C305="",$D305=""),"",DATE($C305+2018,$D305,1))</f>
        <v/>
      </c>
    </row>
    <row r="306">
      <c r="A306" s="11" t="n"/>
      <c r="B306" s="12" t="n">
        <v>6702344</v>
      </c>
      <c r="C306" s="12" t="n">
        <v>8</v>
      </c>
      <c r="D306" s="12" t="n">
        <v>5</v>
      </c>
      <c r="E306" s="13" t="n">
        <v>192934</v>
      </c>
      <c r="F306" s="12" t="n"/>
      <c r="G306" s="13" t="n"/>
      <c r="H306" s="12" t="n"/>
      <c r="I306" s="12" t="n"/>
      <c r="J306" s="12" t="n"/>
      <c r="K306" s="12" t="n"/>
      <c r="L306" s="11" t="n"/>
      <c r="M306" s="11" t="n"/>
      <c r="N306" s="11" t="n"/>
      <c r="O306" s="11" t="n"/>
      <c r="P306" s="12" t="n"/>
      <c r="Q306" s="11" t="n"/>
      <c r="R306" s="12" t="n"/>
      <c r="S306" s="11" t="n"/>
      <c r="T306" s="12" t="n"/>
      <c r="U306" s="12" t="n"/>
      <c r="V306" s="14">
        <f>IF($AN306="",IF($B306="","",$H306),IF(INDEX(職員マスタ!$B$6:$B$405,$AN306)="",$H306,INDEX(職員マスタ!$B$6:$B$405,$AN306)))</f>
        <v/>
      </c>
      <c r="W306" s="14">
        <f>IF($AN306="",IF($B306="","",$R306),IF(INDEX(職員マスタ!$C$6:$C$405,$AN306)="",$R306,INDEX(職員マスタ!$C$6:$C$405,$AN306)))</f>
        <v/>
      </c>
      <c r="X306" s="14">
        <f>IF($AO306="","","R"&amp;$C306&amp;"."&amp;$D306)</f>
        <v/>
      </c>
      <c r="Y306" s="15">
        <f>IF($AN306="","",IF(INDEX(職員マスタ!$K$6:$K$405,$AN306)="","",INDEX(職員マスタ!$K$6:$K$405,$AN306)))</f>
        <v/>
      </c>
      <c r="Z306" s="14">
        <f>IF(OR($E306="",$Y306=""),"",IF($E306&gt;=$Y306,"×",IF($E306&gt;=$Y306*設定!$C$5,"△","○")))</f>
        <v/>
      </c>
      <c r="AA306" s="15">
        <f>IF($Z306="","",IF($Z306="×",0,IF($Z306="○",ROUNDDOWN($E306*設定!$C$4,0),ROUNDDOWN($E306*ROUND((9*$Y306-9*$E306)/(10*$E306),4),0))))</f>
        <v/>
      </c>
      <c r="AB306" s="13" t="n"/>
      <c r="AC306" s="15">
        <f>IF($B306="","",IF($AB306&lt;&gt;"",$AB306,IF($AA306="","",IF($AA306&lt;=設定!$C$3,0,$AA306))))</f>
        <v/>
      </c>
      <c r="AD306" s="14">
        <f>IF($B306="","",IF(AND($AE306&lt;&gt;"",$AG306="",$AJ306=""),"保留中",IF($AJ306&lt;&gt;"",IF(N($AC306)&gt;0,"支給済","不支給"),IF($AC306="","要確認",IF($AC306=0,"不支給","未処理")))))</f>
        <v/>
      </c>
      <c r="AE306" s="12" t="n"/>
      <c r="AF306" s="11" t="n"/>
      <c r="AG306" s="11" t="n"/>
      <c r="AH306" s="11" t="n"/>
      <c r="AI306" s="14">
        <f>IF(AND($AD306="保留中",$AF306&lt;&gt;""),TODAY()-$AF306,"")</f>
        <v/>
      </c>
      <c r="AJ306" s="12" t="inlineStr">
        <is>
          <t>R8.10</t>
        </is>
      </c>
      <c r="AK306" s="14">
        <f>IF($B306="","",IF($AO306="","対象年月が未入力／","")&amp;IF($B306="","",IF($AN306="","職員マスタに未登録の職員番号／",IF($Y306="","標準報酬月額が未登録／","")&amp;IF(AND($AO306&lt;&gt;"",OR(AND(INDEX(職員マスタ!$G$6:$G$405,$AN306)&lt;&gt;"",INDEX(職員マスタ!$G$6:$G$405,$AN306)&gt;EOMONTH($AO306,0)),AND(INDEX(職員マスタ!$H$6:$H$405,$AN306)&lt;&gt;"",INDEX(職員マスタ!$H$6:$H$405,$AN306)&lt;$AO306))),"対象月が時短期間外／","")&amp;IF(AND(INDEX(職員マスタ!$F$6:$F$405,$AN306)&lt;&gt;"",$AO306&lt;&gt;"",INDEX(職員マスタ!$F$6:$F$405,$AN306)&lt;$AO306),"対象月に子が2歳到達済／","")&amp;IF(AND($H306&lt;&gt;"",INDEX(職員マスタ!$B$6:$B$405,$AN306)&lt;&gt;"",SUBSTITUTE(SUBSTITUTE($H306," ","")," ","")&lt;&gt;SUBSTITUTE(SUBSTITUTE(INDEX(職員マスタ!$B$6:$B$405,$AN306)," ","")," ","")),"氏名がマスタと相違／","")&amp;IF(AND($Q306&lt;&gt;"",INDEX(職員マスタ!$E$6:$E$405,$AN306)&lt;&gt;"",$Q306&lt;&gt;INDEX(職員マスタ!$E$6:$E$405,$AN306)),"子の生年月日がマスタと相違／","")&amp;IF(AND($L306&lt;&gt;"",INDEX(職員マスタ!$G$6:$G$405,$AN306)&lt;&gt;"",$L306&lt;&gt;INDEX(職員マスタ!$G$6:$G$405,$AN306)),"時短開始日がマスタと相違／","")&amp;IF(AND($M306&lt;&gt;"",INDEX(職員マスタ!$H$6:$H$405,$AN306)&lt;&gt;"",$M306&lt;&gt;INDEX(職員マスタ!$H$6:$H$405,$AN306)),"時短終了日がマスタと相違／","")))&amp;IF(AND($B306&lt;&gt;"",$E306=""),"報酬額が未入力／","")&amp;IF(N($U306)&gt;0,"申請書に入力エラーが残っています／","")&amp;IF(AND($B306&lt;&gt;"",$AO306&lt;&gt;""),IF(COUNTIFS($B$6:$B$3005,$B306,$C$6:$C$3005,$C306,$D$6:$D$3005,$D306)&gt;1,"同じ月の請求が重複しています／",""),"")&amp;IF(AND(N($E306)&gt;0,$Z306&lt;&gt;"",$Z306&lt;&gt;"×",$AC306=0,$AB306=""),"計算額が下限以下のため不支給／",""))</f>
        <v/>
      </c>
      <c r="AL306" s="12" t="n"/>
      <c r="AM306" s="14">
        <f>IF($AD306="保留中",COUNTIF($AD$6:$AD306,"保留中"),"")</f>
        <v/>
      </c>
      <c r="AN306" s="14">
        <f>IF($AO306="","",IF(SUMPRODUCT(MAX((職員マスタ!$A$6:$A$405=$B306)*(((職員マスタ!$G$6:$G$405="")+(職員マスタ!$G$6:$G$405&lt;=EOMONTH($AO306,0)))&gt;0)*(((職員マスタ!$H$6:$H$405="")+(職員マスタ!$H$6:$H$405&gt;=$AO306))&gt;0)*(ROW(職員マスタ!$A$6:$A$405)-5)))&gt;0,SUMPRODUCT(MAX((職員マスタ!$A$6:$A$405=$B306)*(((職員マスタ!$G$6:$G$405="")+(職員マスタ!$G$6:$G$405&lt;=EOMONTH($AO306,0)))&gt;0)*(((職員マスタ!$H$6:$H$405="")+(職員マスタ!$H$6:$H$405&gt;=$AO306))&gt;0)*(ROW(職員マスタ!$A$6:$A$405)-5))),IFERROR(MATCH($B306,職員マスタ!$A$6:$A$405,0),"")))</f>
        <v/>
      </c>
      <c r="AO306" s="16">
        <f>IF(OR($B306="",$C306="",$D306=""),"",DATE($C306+2018,$D306,1))</f>
        <v/>
      </c>
    </row>
    <row r="307">
      <c r="A307" s="11" t="n"/>
      <c r="B307" s="12" t="n">
        <v>6702344</v>
      </c>
      <c r="C307" s="12" t="n">
        <v>8</v>
      </c>
      <c r="D307" s="12" t="n">
        <v>6</v>
      </c>
      <c r="E307" s="13" t="n">
        <v>200278</v>
      </c>
      <c r="F307" s="12" t="n"/>
      <c r="G307" s="13" t="n"/>
      <c r="H307" s="12" t="n"/>
      <c r="I307" s="12" t="n"/>
      <c r="J307" s="12" t="n"/>
      <c r="K307" s="12" t="n"/>
      <c r="L307" s="11" t="n"/>
      <c r="M307" s="11" t="n"/>
      <c r="N307" s="11" t="n"/>
      <c r="O307" s="11" t="n"/>
      <c r="P307" s="12" t="n"/>
      <c r="Q307" s="11" t="n"/>
      <c r="R307" s="12" t="n"/>
      <c r="S307" s="11" t="n"/>
      <c r="T307" s="12" t="n"/>
      <c r="U307" s="12" t="n"/>
      <c r="V307" s="14">
        <f>IF($AN307="",IF($B307="","",$H307),IF(INDEX(職員マスタ!$B$6:$B$405,$AN307)="",$H307,INDEX(職員マスタ!$B$6:$B$405,$AN307)))</f>
        <v/>
      </c>
      <c r="W307" s="14">
        <f>IF($AN307="",IF($B307="","",$R307),IF(INDEX(職員マスタ!$C$6:$C$405,$AN307)="",$R307,INDEX(職員マスタ!$C$6:$C$405,$AN307)))</f>
        <v/>
      </c>
      <c r="X307" s="14">
        <f>IF($AO307="","","R"&amp;$C307&amp;"."&amp;$D307)</f>
        <v/>
      </c>
      <c r="Y307" s="15">
        <f>IF($AN307="","",IF(INDEX(職員マスタ!$K$6:$K$405,$AN307)="","",INDEX(職員マスタ!$K$6:$K$405,$AN307)))</f>
        <v/>
      </c>
      <c r="Z307" s="14">
        <f>IF(OR($E307="",$Y307=""),"",IF($E307&gt;=$Y307,"×",IF($E307&gt;=$Y307*設定!$C$5,"△","○")))</f>
        <v/>
      </c>
      <c r="AA307" s="15">
        <f>IF($Z307="","",IF($Z307="×",0,IF($Z307="○",ROUNDDOWN($E307*設定!$C$4,0),ROUNDDOWN($E307*ROUND((9*$Y307-9*$E307)/(10*$E307),4),0))))</f>
        <v/>
      </c>
      <c r="AB307" s="13" t="n"/>
      <c r="AC307" s="15">
        <f>IF($B307="","",IF($AB307&lt;&gt;"",$AB307,IF($AA307="","",IF($AA307&lt;=設定!$C$3,0,$AA307))))</f>
        <v/>
      </c>
      <c r="AD307" s="14">
        <f>IF($B307="","",IF(AND($AE307&lt;&gt;"",$AG307="",$AJ307=""),"保留中",IF($AJ307&lt;&gt;"",IF(N($AC307)&gt;0,"支給済","不支給"),IF($AC307="","要確認",IF($AC307=0,"不支給","未処理")))))</f>
        <v/>
      </c>
      <c r="AE307" s="12" t="n"/>
      <c r="AF307" s="11" t="n"/>
      <c r="AG307" s="11" t="n"/>
      <c r="AH307" s="11" t="n"/>
      <c r="AI307" s="14">
        <f>IF(AND($AD307="保留中",$AF307&lt;&gt;""),TODAY()-$AF307,"")</f>
        <v/>
      </c>
      <c r="AJ307" s="12" t="inlineStr">
        <is>
          <t>R8.10</t>
        </is>
      </c>
      <c r="AK307" s="14">
        <f>IF($B307="","",IF($AO307="","対象年月が未入力／","")&amp;IF($B307="","",IF($AN307="","職員マスタに未登録の職員番号／",IF($Y307="","標準報酬月額が未登録／","")&amp;IF(AND($AO307&lt;&gt;"",OR(AND(INDEX(職員マスタ!$G$6:$G$405,$AN307)&lt;&gt;"",INDEX(職員マスタ!$G$6:$G$405,$AN307)&gt;EOMONTH($AO307,0)),AND(INDEX(職員マスタ!$H$6:$H$405,$AN307)&lt;&gt;"",INDEX(職員マスタ!$H$6:$H$405,$AN307)&lt;$AO307))),"対象月が時短期間外／","")&amp;IF(AND(INDEX(職員マスタ!$F$6:$F$405,$AN307)&lt;&gt;"",$AO307&lt;&gt;"",INDEX(職員マスタ!$F$6:$F$405,$AN307)&lt;$AO307),"対象月に子が2歳到達済／","")&amp;IF(AND($H307&lt;&gt;"",INDEX(職員マスタ!$B$6:$B$405,$AN307)&lt;&gt;"",SUBSTITUTE(SUBSTITUTE($H307," ","")," ","")&lt;&gt;SUBSTITUTE(SUBSTITUTE(INDEX(職員マスタ!$B$6:$B$405,$AN307)," ","")," ","")),"氏名がマスタと相違／","")&amp;IF(AND($Q307&lt;&gt;"",INDEX(職員マスタ!$E$6:$E$405,$AN307)&lt;&gt;"",$Q307&lt;&gt;INDEX(職員マスタ!$E$6:$E$405,$AN307)),"子の生年月日がマスタと相違／","")&amp;IF(AND($L307&lt;&gt;"",INDEX(職員マスタ!$G$6:$G$405,$AN307)&lt;&gt;"",$L307&lt;&gt;INDEX(職員マスタ!$G$6:$G$405,$AN307)),"時短開始日がマスタと相違／","")&amp;IF(AND($M307&lt;&gt;"",INDEX(職員マスタ!$H$6:$H$405,$AN307)&lt;&gt;"",$M307&lt;&gt;INDEX(職員マスタ!$H$6:$H$405,$AN307)),"時短終了日がマスタと相違／","")))&amp;IF(AND($B307&lt;&gt;"",$E307=""),"報酬額が未入力／","")&amp;IF(N($U307)&gt;0,"申請書に入力エラーが残っています／","")&amp;IF(AND($B307&lt;&gt;"",$AO307&lt;&gt;""),IF(COUNTIFS($B$6:$B$3005,$B307,$C$6:$C$3005,$C307,$D$6:$D$3005,$D307)&gt;1,"同じ月の請求が重複しています／",""),"")&amp;IF(AND(N($E307)&gt;0,$Z307&lt;&gt;"",$Z307&lt;&gt;"×",$AC307=0,$AB307=""),"計算額が下限以下のため不支給／",""))</f>
        <v/>
      </c>
      <c r="AL307" s="12" t="n"/>
      <c r="AM307" s="14">
        <f>IF($AD307="保留中",COUNTIF($AD$6:$AD307,"保留中"),"")</f>
        <v/>
      </c>
      <c r="AN307" s="14">
        <f>IF($AO307="","",IF(SUMPRODUCT(MAX((職員マスタ!$A$6:$A$405=$B307)*(((職員マスタ!$G$6:$G$405="")+(職員マスタ!$G$6:$G$405&lt;=EOMONTH($AO307,0)))&gt;0)*(((職員マスタ!$H$6:$H$405="")+(職員マスタ!$H$6:$H$405&gt;=$AO307))&gt;0)*(ROW(職員マスタ!$A$6:$A$405)-5)))&gt;0,SUMPRODUCT(MAX((職員マスタ!$A$6:$A$405=$B307)*(((職員マスタ!$G$6:$G$405="")+(職員マスタ!$G$6:$G$405&lt;=EOMONTH($AO307,0)))&gt;0)*(((職員マスタ!$H$6:$H$405="")+(職員マスタ!$H$6:$H$405&gt;=$AO307))&gt;0)*(ROW(職員マスタ!$A$6:$A$405)-5))),IFERROR(MATCH($B307,職員マスタ!$A$6:$A$405,0),"")))</f>
        <v/>
      </c>
      <c r="AO307" s="16">
        <f>IF(OR($B307="",$C307="",$D307=""),"",DATE($C307+2018,$D307,1))</f>
        <v/>
      </c>
    </row>
    <row r="308">
      <c r="A308" s="11" t="n"/>
      <c r="B308" s="12" t="n">
        <v>6702344</v>
      </c>
      <c r="C308" s="12" t="n">
        <v>8</v>
      </c>
      <c r="D308" s="12" t="n">
        <v>7</v>
      </c>
      <c r="E308" s="13" t="n">
        <v>197830</v>
      </c>
      <c r="F308" s="12" t="n"/>
      <c r="G308" s="13" t="n"/>
      <c r="H308" s="12" t="n"/>
      <c r="I308" s="12" t="n"/>
      <c r="J308" s="12" t="n"/>
      <c r="K308" s="12" t="n"/>
      <c r="L308" s="11" t="n"/>
      <c r="M308" s="11" t="n"/>
      <c r="N308" s="11" t="n"/>
      <c r="O308" s="11" t="n"/>
      <c r="P308" s="12" t="n"/>
      <c r="Q308" s="11" t="n"/>
      <c r="R308" s="12" t="n"/>
      <c r="S308" s="11" t="n"/>
      <c r="T308" s="12" t="n"/>
      <c r="U308" s="12" t="n"/>
      <c r="V308" s="14">
        <f>IF($AN308="",IF($B308="","",$H308),IF(INDEX(職員マスタ!$B$6:$B$405,$AN308)="",$H308,INDEX(職員マスタ!$B$6:$B$405,$AN308)))</f>
        <v/>
      </c>
      <c r="W308" s="14">
        <f>IF($AN308="",IF($B308="","",$R308),IF(INDEX(職員マスタ!$C$6:$C$405,$AN308)="",$R308,INDEX(職員マスタ!$C$6:$C$405,$AN308)))</f>
        <v/>
      </c>
      <c r="X308" s="14">
        <f>IF($AO308="","","R"&amp;$C308&amp;"."&amp;$D308)</f>
        <v/>
      </c>
      <c r="Y308" s="15">
        <f>IF($AN308="","",IF(INDEX(職員マスタ!$K$6:$K$405,$AN308)="","",INDEX(職員マスタ!$K$6:$K$405,$AN308)))</f>
        <v/>
      </c>
      <c r="Z308" s="14">
        <f>IF(OR($E308="",$Y308=""),"",IF($E308&gt;=$Y308,"×",IF($E308&gt;=$Y308*設定!$C$5,"△","○")))</f>
        <v/>
      </c>
      <c r="AA308" s="15">
        <f>IF($Z308="","",IF($Z308="×",0,IF($Z308="○",ROUNDDOWN($E308*設定!$C$4,0),ROUNDDOWN($E308*ROUND((9*$Y308-9*$E308)/(10*$E308),4),0))))</f>
        <v/>
      </c>
      <c r="AB308" s="13" t="n"/>
      <c r="AC308" s="15">
        <f>IF($B308="","",IF($AB308&lt;&gt;"",$AB308,IF($AA308="","",IF($AA308&lt;=設定!$C$3,0,$AA308))))</f>
        <v/>
      </c>
      <c r="AD308" s="14">
        <f>IF($B308="","",IF(AND($AE308&lt;&gt;"",$AG308="",$AJ308=""),"保留中",IF($AJ308&lt;&gt;"",IF(N($AC308)&gt;0,"支給済","不支給"),IF($AC308="","要確認",IF($AC308=0,"不支給","未処理")))))</f>
        <v/>
      </c>
      <c r="AE308" s="12" t="n"/>
      <c r="AF308" s="11" t="n"/>
      <c r="AG308" s="11" t="n"/>
      <c r="AH308" s="11" t="n"/>
      <c r="AI308" s="14">
        <f>IF(AND($AD308="保留中",$AF308&lt;&gt;""),TODAY()-$AF308,"")</f>
        <v/>
      </c>
      <c r="AJ308" s="12" t="inlineStr">
        <is>
          <t>R8.10</t>
        </is>
      </c>
      <c r="AK308" s="14">
        <f>IF($B308="","",IF($AO308="","対象年月が未入力／","")&amp;IF($B308="","",IF($AN308="","職員マスタに未登録の職員番号／",IF($Y308="","標準報酬月額が未登録／","")&amp;IF(AND($AO308&lt;&gt;"",OR(AND(INDEX(職員マスタ!$G$6:$G$405,$AN308)&lt;&gt;"",INDEX(職員マスタ!$G$6:$G$405,$AN308)&gt;EOMONTH($AO308,0)),AND(INDEX(職員マスタ!$H$6:$H$405,$AN308)&lt;&gt;"",INDEX(職員マスタ!$H$6:$H$405,$AN308)&lt;$AO308))),"対象月が時短期間外／","")&amp;IF(AND(INDEX(職員マスタ!$F$6:$F$405,$AN308)&lt;&gt;"",$AO308&lt;&gt;"",INDEX(職員マスタ!$F$6:$F$405,$AN308)&lt;$AO308),"対象月に子が2歳到達済／","")&amp;IF(AND($H308&lt;&gt;"",INDEX(職員マスタ!$B$6:$B$405,$AN308)&lt;&gt;"",SUBSTITUTE(SUBSTITUTE($H308," ","")," ","")&lt;&gt;SUBSTITUTE(SUBSTITUTE(INDEX(職員マスタ!$B$6:$B$405,$AN308)," ","")," ","")),"氏名がマスタと相違／","")&amp;IF(AND($Q308&lt;&gt;"",INDEX(職員マスタ!$E$6:$E$405,$AN308)&lt;&gt;"",$Q308&lt;&gt;INDEX(職員マスタ!$E$6:$E$405,$AN308)),"子の生年月日がマスタと相違／","")&amp;IF(AND($L308&lt;&gt;"",INDEX(職員マスタ!$G$6:$G$405,$AN308)&lt;&gt;"",$L308&lt;&gt;INDEX(職員マスタ!$G$6:$G$405,$AN308)),"時短開始日がマスタと相違／","")&amp;IF(AND($M308&lt;&gt;"",INDEX(職員マスタ!$H$6:$H$405,$AN308)&lt;&gt;"",$M308&lt;&gt;INDEX(職員マスタ!$H$6:$H$405,$AN308)),"時短終了日がマスタと相違／","")))&amp;IF(AND($B308&lt;&gt;"",$E308=""),"報酬額が未入力／","")&amp;IF(N($U308)&gt;0,"申請書に入力エラーが残っています／","")&amp;IF(AND($B308&lt;&gt;"",$AO308&lt;&gt;""),IF(COUNTIFS($B$6:$B$3005,$B308,$C$6:$C$3005,$C308,$D$6:$D$3005,$D308)&gt;1,"同じ月の請求が重複しています／",""),"")&amp;IF(AND(N($E308)&gt;0,$Z308&lt;&gt;"",$Z308&lt;&gt;"×",$AC308=0,$AB308=""),"計算額が下限以下のため不支給／",""))</f>
        <v/>
      </c>
      <c r="AL308" s="12" t="n"/>
      <c r="AM308" s="14">
        <f>IF($AD308="保留中",COUNTIF($AD$6:$AD308,"保留中"),"")</f>
        <v/>
      </c>
      <c r="AN308" s="14">
        <f>IF($AO308="","",IF(SUMPRODUCT(MAX((職員マスタ!$A$6:$A$405=$B308)*(((職員マスタ!$G$6:$G$405="")+(職員マスタ!$G$6:$G$405&lt;=EOMONTH($AO308,0)))&gt;0)*(((職員マスタ!$H$6:$H$405="")+(職員マスタ!$H$6:$H$405&gt;=$AO308))&gt;0)*(ROW(職員マスタ!$A$6:$A$405)-5)))&gt;0,SUMPRODUCT(MAX((職員マスタ!$A$6:$A$405=$B308)*(((職員マスタ!$G$6:$G$405="")+(職員マスタ!$G$6:$G$405&lt;=EOMONTH($AO308,0)))&gt;0)*(((職員マスタ!$H$6:$H$405="")+(職員マスタ!$H$6:$H$405&gt;=$AO308))&gt;0)*(ROW(職員マスタ!$A$6:$A$405)-5))),IFERROR(MATCH($B308,職員マスタ!$A$6:$A$405,0),"")))</f>
        <v/>
      </c>
      <c r="AO308" s="16">
        <f>IF(OR($B308="",$C308="",$D308=""),"",DATE($C308+2018,$D308,1))</f>
        <v/>
      </c>
    </row>
    <row r="309">
      <c r="A309" s="11" t="n"/>
      <c r="B309" s="12" t="n">
        <v>6702344</v>
      </c>
      <c r="C309" s="12" t="n">
        <v>8</v>
      </c>
      <c r="D309" s="12" t="n">
        <v>8</v>
      </c>
      <c r="E309" s="13" t="n">
        <v>190492</v>
      </c>
      <c r="F309" s="12" t="n"/>
      <c r="G309" s="13" t="n"/>
      <c r="H309" s="12" t="n"/>
      <c r="I309" s="12" t="n"/>
      <c r="J309" s="12" t="n"/>
      <c r="K309" s="12" t="n"/>
      <c r="L309" s="11" t="n"/>
      <c r="M309" s="11" t="n"/>
      <c r="N309" s="11" t="n"/>
      <c r="O309" s="11" t="n"/>
      <c r="P309" s="12" t="n"/>
      <c r="Q309" s="11" t="n"/>
      <c r="R309" s="12" t="n"/>
      <c r="S309" s="11" t="n"/>
      <c r="T309" s="12" t="n"/>
      <c r="U309" s="12" t="n"/>
      <c r="V309" s="14">
        <f>IF($AN309="",IF($B309="","",$H309),IF(INDEX(職員マスタ!$B$6:$B$405,$AN309)="",$H309,INDEX(職員マスタ!$B$6:$B$405,$AN309)))</f>
        <v/>
      </c>
      <c r="W309" s="14">
        <f>IF($AN309="",IF($B309="","",$R309),IF(INDEX(職員マスタ!$C$6:$C$405,$AN309)="",$R309,INDEX(職員マスタ!$C$6:$C$405,$AN309)))</f>
        <v/>
      </c>
      <c r="X309" s="14">
        <f>IF($AO309="","","R"&amp;$C309&amp;"."&amp;$D309)</f>
        <v/>
      </c>
      <c r="Y309" s="15">
        <f>IF($AN309="","",IF(INDEX(職員マスタ!$K$6:$K$405,$AN309)="","",INDEX(職員マスタ!$K$6:$K$405,$AN309)))</f>
        <v/>
      </c>
      <c r="Z309" s="14">
        <f>IF(OR($E309="",$Y309=""),"",IF($E309&gt;=$Y309,"×",IF($E309&gt;=$Y309*設定!$C$5,"△","○")))</f>
        <v/>
      </c>
      <c r="AA309" s="15">
        <f>IF($Z309="","",IF($Z309="×",0,IF($Z309="○",ROUNDDOWN($E309*設定!$C$4,0),ROUNDDOWN($E309*ROUND((9*$Y309-9*$E309)/(10*$E309),4),0))))</f>
        <v/>
      </c>
      <c r="AB309" s="13" t="n"/>
      <c r="AC309" s="15">
        <f>IF($B309="","",IF($AB309&lt;&gt;"",$AB309,IF($AA309="","",IF($AA309&lt;=設定!$C$3,0,$AA309))))</f>
        <v/>
      </c>
      <c r="AD309" s="14">
        <f>IF($B309="","",IF(AND($AE309&lt;&gt;"",$AG309="",$AJ309=""),"保留中",IF($AJ309&lt;&gt;"",IF(N($AC309)&gt;0,"支給済","不支給"),IF($AC309="","要確認",IF($AC309=0,"不支給","未処理")))))</f>
        <v/>
      </c>
      <c r="AE309" s="12" t="n"/>
      <c r="AF309" s="11" t="n"/>
      <c r="AG309" s="11" t="n"/>
      <c r="AH309" s="11" t="n"/>
      <c r="AI309" s="14">
        <f>IF(AND($AD309="保留中",$AF309&lt;&gt;""),TODAY()-$AF309,"")</f>
        <v/>
      </c>
      <c r="AJ309" s="12" t="inlineStr">
        <is>
          <t>R8.10</t>
        </is>
      </c>
      <c r="AK309" s="14">
        <f>IF($B309="","",IF($AO309="","対象年月が未入力／","")&amp;IF($B309="","",IF($AN309="","職員マスタに未登録の職員番号／",IF($Y309="","標準報酬月額が未登録／","")&amp;IF(AND($AO309&lt;&gt;"",OR(AND(INDEX(職員マスタ!$G$6:$G$405,$AN309)&lt;&gt;"",INDEX(職員マスタ!$G$6:$G$405,$AN309)&gt;EOMONTH($AO309,0)),AND(INDEX(職員マスタ!$H$6:$H$405,$AN309)&lt;&gt;"",INDEX(職員マスタ!$H$6:$H$405,$AN309)&lt;$AO309))),"対象月が時短期間外／","")&amp;IF(AND(INDEX(職員マスタ!$F$6:$F$405,$AN309)&lt;&gt;"",$AO309&lt;&gt;"",INDEX(職員マスタ!$F$6:$F$405,$AN309)&lt;$AO309),"対象月に子が2歳到達済／","")&amp;IF(AND($H309&lt;&gt;"",INDEX(職員マスタ!$B$6:$B$405,$AN309)&lt;&gt;"",SUBSTITUTE(SUBSTITUTE($H309," ","")," ","")&lt;&gt;SUBSTITUTE(SUBSTITUTE(INDEX(職員マスタ!$B$6:$B$405,$AN309)," ","")," ","")),"氏名がマスタと相違／","")&amp;IF(AND($Q309&lt;&gt;"",INDEX(職員マスタ!$E$6:$E$405,$AN309)&lt;&gt;"",$Q309&lt;&gt;INDEX(職員マスタ!$E$6:$E$405,$AN309)),"子の生年月日がマスタと相違／","")&amp;IF(AND($L309&lt;&gt;"",INDEX(職員マスタ!$G$6:$G$405,$AN309)&lt;&gt;"",$L309&lt;&gt;INDEX(職員マスタ!$G$6:$G$405,$AN309)),"時短開始日がマスタと相違／","")&amp;IF(AND($M309&lt;&gt;"",INDEX(職員マスタ!$H$6:$H$405,$AN309)&lt;&gt;"",$M309&lt;&gt;INDEX(職員マスタ!$H$6:$H$405,$AN309)),"時短終了日がマスタと相違／","")))&amp;IF(AND($B309&lt;&gt;"",$E309=""),"報酬額が未入力／","")&amp;IF(N($U309)&gt;0,"申請書に入力エラーが残っています／","")&amp;IF(AND($B309&lt;&gt;"",$AO309&lt;&gt;""),IF(COUNTIFS($B$6:$B$3005,$B309,$C$6:$C$3005,$C309,$D$6:$D$3005,$D309)&gt;1,"同じ月の請求が重複しています／",""),"")&amp;IF(AND(N($E309)&gt;0,$Z309&lt;&gt;"",$Z309&lt;&gt;"×",$AC309=0,$AB309=""),"計算額が下限以下のため不支給／",""))</f>
        <v/>
      </c>
      <c r="AL309" s="12" t="n"/>
      <c r="AM309" s="14">
        <f>IF($AD309="保留中",COUNTIF($AD$6:$AD309,"保留中"),"")</f>
        <v/>
      </c>
      <c r="AN309" s="14">
        <f>IF($AO309="","",IF(SUMPRODUCT(MAX((職員マスタ!$A$6:$A$405=$B309)*(((職員マスタ!$G$6:$G$405="")+(職員マスタ!$G$6:$G$405&lt;=EOMONTH($AO309,0)))&gt;0)*(((職員マスタ!$H$6:$H$405="")+(職員マスタ!$H$6:$H$405&gt;=$AO309))&gt;0)*(ROW(職員マスタ!$A$6:$A$405)-5)))&gt;0,SUMPRODUCT(MAX((職員マスタ!$A$6:$A$405=$B309)*(((職員マスタ!$G$6:$G$405="")+(職員マスタ!$G$6:$G$405&lt;=EOMONTH($AO309,0)))&gt;0)*(((職員マスタ!$H$6:$H$405="")+(職員マスタ!$H$6:$H$405&gt;=$AO309))&gt;0)*(ROW(職員マスタ!$A$6:$A$405)-5))),IFERROR(MATCH($B309,職員マスタ!$A$6:$A$405,0),"")))</f>
        <v/>
      </c>
      <c r="AO309" s="16">
        <f>IF(OR($B309="",$C309="",$D309=""),"",DATE($C309+2018,$D309,1))</f>
        <v/>
      </c>
    </row>
    <row r="310">
      <c r="A310" s="11" t="n"/>
      <c r="B310" s="12" t="n">
        <v>6702427</v>
      </c>
      <c r="C310" s="12" t="n">
        <v>7</v>
      </c>
      <c r="D310" s="12" t="n">
        <v>5</v>
      </c>
      <c r="E310" s="13" t="n">
        <v>176522</v>
      </c>
      <c r="F310" s="12" t="n"/>
      <c r="G310" s="13" t="n"/>
      <c r="H310" s="12" t="n"/>
      <c r="I310" s="12" t="n"/>
      <c r="J310" s="12" t="n"/>
      <c r="K310" s="12" t="n"/>
      <c r="L310" s="11" t="n"/>
      <c r="M310" s="11" t="n"/>
      <c r="N310" s="11" t="n"/>
      <c r="O310" s="11" t="n"/>
      <c r="P310" s="12" t="n"/>
      <c r="Q310" s="11" t="n"/>
      <c r="R310" s="12" t="n"/>
      <c r="S310" s="11" t="n"/>
      <c r="T310" s="12" t="n"/>
      <c r="U310" s="12" t="n"/>
      <c r="V310" s="14">
        <f>IF($AN310="",IF($B310="","",$H310),IF(INDEX(職員マスタ!$B$6:$B$405,$AN310)="",$H310,INDEX(職員マスタ!$B$6:$B$405,$AN310)))</f>
        <v/>
      </c>
      <c r="W310" s="14">
        <f>IF($AN310="",IF($B310="","",$R310),IF(INDEX(職員マスタ!$C$6:$C$405,$AN310)="",$R310,INDEX(職員マスタ!$C$6:$C$405,$AN310)))</f>
        <v/>
      </c>
      <c r="X310" s="14">
        <f>IF($AO310="","","R"&amp;$C310&amp;"."&amp;$D310)</f>
        <v/>
      </c>
      <c r="Y310" s="15">
        <f>IF($AN310="","",IF(INDEX(職員マスタ!$K$6:$K$405,$AN310)="","",INDEX(職員マスタ!$K$6:$K$405,$AN310)))</f>
        <v/>
      </c>
      <c r="Z310" s="14">
        <f>IF(OR($E310="",$Y310=""),"",IF($E310&gt;=$Y310,"×",IF($E310&gt;=$Y310*設定!$C$5,"△","○")))</f>
        <v/>
      </c>
      <c r="AA310" s="15">
        <f>IF($Z310="","",IF($Z310="×",0,IF($Z310="○",ROUNDDOWN($E310*設定!$C$4,0),ROUNDDOWN($E310*ROUND((9*$Y310-9*$E310)/(10*$E310),4),0))))</f>
        <v/>
      </c>
      <c r="AB310" s="13" t="n"/>
      <c r="AC310" s="15">
        <f>IF($B310="","",IF($AB310&lt;&gt;"",$AB310,IF($AA310="","",IF($AA310&lt;=設定!$C$3,0,$AA310))))</f>
        <v/>
      </c>
      <c r="AD310" s="14">
        <f>IF($B310="","",IF(AND($AE310&lt;&gt;"",$AG310="",$AJ310=""),"保留中",IF($AJ310&lt;&gt;"",IF(N($AC310)&gt;0,"支給済","不支給"),IF($AC310="","要確認",IF($AC310=0,"不支給","未処理")))))</f>
        <v/>
      </c>
      <c r="AE310" s="12" t="n"/>
      <c r="AF310" s="11" t="n"/>
      <c r="AG310" s="11" t="n"/>
      <c r="AH310" s="11" t="n"/>
      <c r="AI310" s="14">
        <f>IF(AND($AD310="保留中",$AF310&lt;&gt;""),TODAY()-$AF310,"")</f>
        <v/>
      </c>
      <c r="AJ310" s="12" t="inlineStr">
        <is>
          <t>R7.8</t>
        </is>
      </c>
      <c r="AK310" s="14">
        <f>IF($B310="","",IF($AO310="","対象年月が未入力／","")&amp;IF($B310="","",IF($AN310="","職員マスタに未登録の職員番号／",IF($Y310="","標準報酬月額が未登録／","")&amp;IF(AND($AO310&lt;&gt;"",OR(AND(INDEX(職員マスタ!$G$6:$G$405,$AN310)&lt;&gt;"",INDEX(職員マスタ!$G$6:$G$405,$AN310)&gt;EOMONTH($AO310,0)),AND(INDEX(職員マスタ!$H$6:$H$405,$AN310)&lt;&gt;"",INDEX(職員マスタ!$H$6:$H$405,$AN310)&lt;$AO310))),"対象月が時短期間外／","")&amp;IF(AND(INDEX(職員マスタ!$F$6:$F$405,$AN310)&lt;&gt;"",$AO310&lt;&gt;"",INDEX(職員マスタ!$F$6:$F$405,$AN310)&lt;$AO310),"対象月に子が2歳到達済／","")&amp;IF(AND($H310&lt;&gt;"",INDEX(職員マスタ!$B$6:$B$405,$AN310)&lt;&gt;"",SUBSTITUTE(SUBSTITUTE($H310," ","")," ","")&lt;&gt;SUBSTITUTE(SUBSTITUTE(INDEX(職員マスタ!$B$6:$B$405,$AN310)," ","")," ","")),"氏名がマスタと相違／","")&amp;IF(AND($Q310&lt;&gt;"",INDEX(職員マスタ!$E$6:$E$405,$AN310)&lt;&gt;"",$Q310&lt;&gt;INDEX(職員マスタ!$E$6:$E$405,$AN310)),"子の生年月日がマスタと相違／","")&amp;IF(AND($L310&lt;&gt;"",INDEX(職員マスタ!$G$6:$G$405,$AN310)&lt;&gt;"",$L310&lt;&gt;INDEX(職員マスタ!$G$6:$G$405,$AN310)),"時短開始日がマスタと相違／","")&amp;IF(AND($M310&lt;&gt;"",INDEX(職員マスタ!$H$6:$H$405,$AN310)&lt;&gt;"",$M310&lt;&gt;INDEX(職員マスタ!$H$6:$H$405,$AN310)),"時短終了日がマスタと相違／","")))&amp;IF(AND($B310&lt;&gt;"",$E310=""),"報酬額が未入力／","")&amp;IF(N($U310)&gt;0,"申請書に入力エラーが残っています／","")&amp;IF(AND($B310&lt;&gt;"",$AO310&lt;&gt;""),IF(COUNTIFS($B$6:$B$3005,$B310,$C$6:$C$3005,$C310,$D$6:$D$3005,$D310)&gt;1,"同じ月の請求が重複しています／",""),"")&amp;IF(AND(N($E310)&gt;0,$Z310&lt;&gt;"",$Z310&lt;&gt;"×",$AC310=0,$AB310=""),"計算額が下限以下のため不支給／",""))</f>
        <v/>
      </c>
      <c r="AL310" s="12" t="n"/>
      <c r="AM310" s="14">
        <f>IF($AD310="保留中",COUNTIF($AD$6:$AD310,"保留中"),"")</f>
        <v/>
      </c>
      <c r="AN310" s="14">
        <f>IF($AO310="","",IF(SUMPRODUCT(MAX((職員マスタ!$A$6:$A$405=$B310)*(((職員マスタ!$G$6:$G$405="")+(職員マスタ!$G$6:$G$405&lt;=EOMONTH($AO310,0)))&gt;0)*(((職員マスタ!$H$6:$H$405="")+(職員マスタ!$H$6:$H$405&gt;=$AO310))&gt;0)*(ROW(職員マスタ!$A$6:$A$405)-5)))&gt;0,SUMPRODUCT(MAX((職員マスタ!$A$6:$A$405=$B310)*(((職員マスタ!$G$6:$G$405="")+(職員マスタ!$G$6:$G$405&lt;=EOMONTH($AO310,0)))&gt;0)*(((職員マスタ!$H$6:$H$405="")+(職員マスタ!$H$6:$H$405&gt;=$AO310))&gt;0)*(ROW(職員マスタ!$A$6:$A$405)-5))),IFERROR(MATCH($B310,職員マスタ!$A$6:$A$405,0),"")))</f>
        <v/>
      </c>
      <c r="AO310" s="16">
        <f>IF(OR($B310="",$C310="",$D310=""),"",DATE($C310+2018,$D310,1))</f>
        <v/>
      </c>
    </row>
    <row r="311">
      <c r="A311" s="11" t="n"/>
      <c r="B311" s="12" t="n">
        <v>6702427</v>
      </c>
      <c r="C311" s="12" t="n">
        <v>7</v>
      </c>
      <c r="D311" s="12" t="n">
        <v>6</v>
      </c>
      <c r="E311" s="13" t="n">
        <v>180066</v>
      </c>
      <c r="F311" s="12" t="n"/>
      <c r="G311" s="13" t="n"/>
      <c r="H311" s="12" t="n"/>
      <c r="I311" s="12" t="n"/>
      <c r="J311" s="12" t="n"/>
      <c r="K311" s="12" t="n"/>
      <c r="L311" s="11" t="n"/>
      <c r="M311" s="11" t="n"/>
      <c r="N311" s="11" t="n"/>
      <c r="O311" s="11" t="n"/>
      <c r="P311" s="12" t="n"/>
      <c r="Q311" s="11" t="n"/>
      <c r="R311" s="12" t="n"/>
      <c r="S311" s="11" t="n"/>
      <c r="T311" s="12" t="n"/>
      <c r="U311" s="12" t="n"/>
      <c r="V311" s="14">
        <f>IF($AN311="",IF($B311="","",$H311),IF(INDEX(職員マスタ!$B$6:$B$405,$AN311)="",$H311,INDEX(職員マスタ!$B$6:$B$405,$AN311)))</f>
        <v/>
      </c>
      <c r="W311" s="14">
        <f>IF($AN311="",IF($B311="","",$R311),IF(INDEX(職員マスタ!$C$6:$C$405,$AN311)="",$R311,INDEX(職員マスタ!$C$6:$C$405,$AN311)))</f>
        <v/>
      </c>
      <c r="X311" s="14">
        <f>IF($AO311="","","R"&amp;$C311&amp;"."&amp;$D311)</f>
        <v/>
      </c>
      <c r="Y311" s="15">
        <f>IF($AN311="","",IF(INDEX(職員マスタ!$K$6:$K$405,$AN311)="","",INDEX(職員マスタ!$K$6:$K$405,$AN311)))</f>
        <v/>
      </c>
      <c r="Z311" s="14">
        <f>IF(OR($E311="",$Y311=""),"",IF($E311&gt;=$Y311,"×",IF($E311&gt;=$Y311*設定!$C$5,"△","○")))</f>
        <v/>
      </c>
      <c r="AA311" s="15">
        <f>IF($Z311="","",IF($Z311="×",0,IF($Z311="○",ROUNDDOWN($E311*設定!$C$4,0),ROUNDDOWN($E311*ROUND((9*$Y311-9*$E311)/(10*$E311),4),0))))</f>
        <v/>
      </c>
      <c r="AB311" s="13" t="n"/>
      <c r="AC311" s="15">
        <f>IF($B311="","",IF($AB311&lt;&gt;"",$AB311,IF($AA311="","",IF($AA311&lt;=設定!$C$3,0,$AA311))))</f>
        <v/>
      </c>
      <c r="AD311" s="14">
        <f>IF($B311="","",IF(AND($AE311&lt;&gt;"",$AG311="",$AJ311=""),"保留中",IF($AJ311&lt;&gt;"",IF(N($AC311)&gt;0,"支給済","不支給"),IF($AC311="","要確認",IF($AC311=0,"不支給","未処理")))))</f>
        <v/>
      </c>
      <c r="AE311" s="12" t="n"/>
      <c r="AF311" s="11" t="n"/>
      <c r="AG311" s="11" t="n"/>
      <c r="AH311" s="11" t="n"/>
      <c r="AI311" s="14">
        <f>IF(AND($AD311="保留中",$AF311&lt;&gt;""),TODAY()-$AF311,"")</f>
        <v/>
      </c>
      <c r="AJ311" s="12" t="inlineStr">
        <is>
          <t>R7.8</t>
        </is>
      </c>
      <c r="AK311" s="14">
        <f>IF($B311="","",IF($AO311="","対象年月が未入力／","")&amp;IF($B311="","",IF($AN311="","職員マスタに未登録の職員番号／",IF($Y311="","標準報酬月額が未登録／","")&amp;IF(AND($AO311&lt;&gt;"",OR(AND(INDEX(職員マスタ!$G$6:$G$405,$AN311)&lt;&gt;"",INDEX(職員マスタ!$G$6:$G$405,$AN311)&gt;EOMONTH($AO311,0)),AND(INDEX(職員マスタ!$H$6:$H$405,$AN311)&lt;&gt;"",INDEX(職員マスタ!$H$6:$H$405,$AN311)&lt;$AO311))),"対象月が時短期間外／","")&amp;IF(AND(INDEX(職員マスタ!$F$6:$F$405,$AN311)&lt;&gt;"",$AO311&lt;&gt;"",INDEX(職員マスタ!$F$6:$F$405,$AN311)&lt;$AO311),"対象月に子が2歳到達済／","")&amp;IF(AND($H311&lt;&gt;"",INDEX(職員マスタ!$B$6:$B$405,$AN311)&lt;&gt;"",SUBSTITUTE(SUBSTITUTE($H311," ","")," ","")&lt;&gt;SUBSTITUTE(SUBSTITUTE(INDEX(職員マスタ!$B$6:$B$405,$AN311)," ","")," ","")),"氏名がマスタと相違／","")&amp;IF(AND($Q311&lt;&gt;"",INDEX(職員マスタ!$E$6:$E$405,$AN311)&lt;&gt;"",$Q311&lt;&gt;INDEX(職員マスタ!$E$6:$E$405,$AN311)),"子の生年月日がマスタと相違／","")&amp;IF(AND($L311&lt;&gt;"",INDEX(職員マスタ!$G$6:$G$405,$AN311)&lt;&gt;"",$L311&lt;&gt;INDEX(職員マスタ!$G$6:$G$405,$AN311)),"時短開始日がマスタと相違／","")&amp;IF(AND($M311&lt;&gt;"",INDEX(職員マスタ!$H$6:$H$405,$AN311)&lt;&gt;"",$M311&lt;&gt;INDEX(職員マスタ!$H$6:$H$405,$AN311)),"時短終了日がマスタと相違／","")))&amp;IF(AND($B311&lt;&gt;"",$E311=""),"報酬額が未入力／","")&amp;IF(N($U311)&gt;0,"申請書に入力エラーが残っています／","")&amp;IF(AND($B311&lt;&gt;"",$AO311&lt;&gt;""),IF(COUNTIFS($B$6:$B$3005,$B311,$C$6:$C$3005,$C311,$D$6:$D$3005,$D311)&gt;1,"同じ月の請求が重複しています／",""),"")&amp;IF(AND(N($E311)&gt;0,$Z311&lt;&gt;"",$Z311&lt;&gt;"×",$AC311=0,$AB311=""),"計算額が下限以下のため不支給／",""))</f>
        <v/>
      </c>
      <c r="AL311" s="12" t="n"/>
      <c r="AM311" s="14">
        <f>IF($AD311="保留中",COUNTIF($AD$6:$AD311,"保留中"),"")</f>
        <v/>
      </c>
      <c r="AN311" s="14">
        <f>IF($AO311="","",IF(SUMPRODUCT(MAX((職員マスタ!$A$6:$A$405=$B311)*(((職員マスタ!$G$6:$G$405="")+(職員マスタ!$G$6:$G$405&lt;=EOMONTH($AO311,0)))&gt;0)*(((職員マスタ!$H$6:$H$405="")+(職員マスタ!$H$6:$H$405&gt;=$AO311))&gt;0)*(ROW(職員マスタ!$A$6:$A$405)-5)))&gt;0,SUMPRODUCT(MAX((職員マスタ!$A$6:$A$405=$B311)*(((職員マスタ!$G$6:$G$405="")+(職員マスタ!$G$6:$G$405&lt;=EOMONTH($AO311,0)))&gt;0)*(((職員マスタ!$H$6:$H$405="")+(職員マスタ!$H$6:$H$405&gt;=$AO311))&gt;0)*(ROW(職員マスタ!$A$6:$A$405)-5))),IFERROR(MATCH($B311,職員マスタ!$A$6:$A$405,0),"")))</f>
        <v/>
      </c>
      <c r="AO311" s="16">
        <f>IF(OR($B311="",$C311="",$D311=""),"",DATE($C311+2018,$D311,1))</f>
        <v/>
      </c>
    </row>
    <row r="312">
      <c r="A312" s="11" t="n"/>
      <c r="B312" s="12" t="n">
        <v>6702443</v>
      </c>
      <c r="C312" s="12" t="n">
        <v>7</v>
      </c>
      <c r="D312" s="12" t="n">
        <v>5</v>
      </c>
      <c r="E312" s="13" t="n">
        <v>182669</v>
      </c>
      <c r="F312" s="12" t="n"/>
      <c r="G312" s="13" t="n"/>
      <c r="H312" s="12" t="n"/>
      <c r="I312" s="12" t="n"/>
      <c r="J312" s="12" t="n"/>
      <c r="K312" s="12" t="n"/>
      <c r="L312" s="11" t="n"/>
      <c r="M312" s="11" t="n"/>
      <c r="N312" s="11" t="n"/>
      <c r="O312" s="11" t="n"/>
      <c r="P312" s="12" t="n"/>
      <c r="Q312" s="11" t="n"/>
      <c r="R312" s="12" t="n"/>
      <c r="S312" s="11" t="n"/>
      <c r="T312" s="12" t="n"/>
      <c r="U312" s="12" t="n"/>
      <c r="V312" s="14">
        <f>IF($AN312="",IF($B312="","",$H312),IF(INDEX(職員マスタ!$B$6:$B$405,$AN312)="",$H312,INDEX(職員マスタ!$B$6:$B$405,$AN312)))</f>
        <v/>
      </c>
      <c r="W312" s="14">
        <f>IF($AN312="",IF($B312="","",$R312),IF(INDEX(職員マスタ!$C$6:$C$405,$AN312)="",$R312,INDEX(職員マスタ!$C$6:$C$405,$AN312)))</f>
        <v/>
      </c>
      <c r="X312" s="14">
        <f>IF($AO312="","","R"&amp;$C312&amp;"."&amp;$D312)</f>
        <v/>
      </c>
      <c r="Y312" s="15">
        <f>IF($AN312="","",IF(INDEX(職員マスタ!$K$6:$K$405,$AN312)="","",INDEX(職員マスタ!$K$6:$K$405,$AN312)))</f>
        <v/>
      </c>
      <c r="Z312" s="14">
        <f>IF(OR($E312="",$Y312=""),"",IF($E312&gt;=$Y312,"×",IF($E312&gt;=$Y312*設定!$C$5,"△","○")))</f>
        <v/>
      </c>
      <c r="AA312" s="15">
        <f>IF($Z312="","",IF($Z312="×",0,IF($Z312="○",ROUNDDOWN($E312*設定!$C$4,0),ROUNDDOWN($E312*ROUND((9*$Y312-9*$E312)/(10*$E312),4),0))))</f>
        <v/>
      </c>
      <c r="AB312" s="13" t="n"/>
      <c r="AC312" s="15">
        <f>IF($B312="","",IF($AB312&lt;&gt;"",$AB312,IF($AA312="","",IF($AA312&lt;=設定!$C$3,0,$AA312))))</f>
        <v/>
      </c>
      <c r="AD312" s="14">
        <f>IF($B312="","",IF(AND($AE312&lt;&gt;"",$AG312="",$AJ312=""),"保留中",IF($AJ312&lt;&gt;"",IF(N($AC312)&gt;0,"支給済","不支給"),IF($AC312="","要確認",IF($AC312=0,"不支給","未処理")))))</f>
        <v/>
      </c>
      <c r="AE312" s="12" t="n"/>
      <c r="AF312" s="11" t="n"/>
      <c r="AG312" s="11" t="n"/>
      <c r="AH312" s="11" t="n"/>
      <c r="AI312" s="14">
        <f>IF(AND($AD312="保留中",$AF312&lt;&gt;""),TODAY()-$AF312,"")</f>
        <v/>
      </c>
      <c r="AJ312" s="12" t="inlineStr">
        <is>
          <t>R7.8</t>
        </is>
      </c>
      <c r="AK312" s="14">
        <f>IF($B312="","",IF($AO312="","対象年月が未入力／","")&amp;IF($B312="","",IF($AN312="","職員マスタに未登録の職員番号／",IF($Y312="","標準報酬月額が未登録／","")&amp;IF(AND($AO312&lt;&gt;"",OR(AND(INDEX(職員マスタ!$G$6:$G$405,$AN312)&lt;&gt;"",INDEX(職員マスタ!$G$6:$G$405,$AN312)&gt;EOMONTH($AO312,0)),AND(INDEX(職員マスタ!$H$6:$H$405,$AN312)&lt;&gt;"",INDEX(職員マスタ!$H$6:$H$405,$AN312)&lt;$AO312))),"対象月が時短期間外／","")&amp;IF(AND(INDEX(職員マスタ!$F$6:$F$405,$AN312)&lt;&gt;"",$AO312&lt;&gt;"",INDEX(職員マスタ!$F$6:$F$405,$AN312)&lt;$AO312),"対象月に子が2歳到達済／","")&amp;IF(AND($H312&lt;&gt;"",INDEX(職員マスタ!$B$6:$B$405,$AN312)&lt;&gt;"",SUBSTITUTE(SUBSTITUTE($H312," ","")," ","")&lt;&gt;SUBSTITUTE(SUBSTITUTE(INDEX(職員マスタ!$B$6:$B$405,$AN312)," ","")," ","")),"氏名がマスタと相違／","")&amp;IF(AND($Q312&lt;&gt;"",INDEX(職員マスタ!$E$6:$E$405,$AN312)&lt;&gt;"",$Q312&lt;&gt;INDEX(職員マスタ!$E$6:$E$405,$AN312)),"子の生年月日がマスタと相違／","")&amp;IF(AND($L312&lt;&gt;"",INDEX(職員マスタ!$G$6:$G$405,$AN312)&lt;&gt;"",$L312&lt;&gt;INDEX(職員マスタ!$G$6:$G$405,$AN312)),"時短開始日がマスタと相違／","")&amp;IF(AND($M312&lt;&gt;"",INDEX(職員マスタ!$H$6:$H$405,$AN312)&lt;&gt;"",$M312&lt;&gt;INDEX(職員マスタ!$H$6:$H$405,$AN312)),"時短終了日がマスタと相違／","")))&amp;IF(AND($B312&lt;&gt;"",$E312=""),"報酬額が未入力／","")&amp;IF(N($U312)&gt;0,"申請書に入力エラーが残っています／","")&amp;IF(AND($B312&lt;&gt;"",$AO312&lt;&gt;""),IF(COUNTIFS($B$6:$B$3005,$B312,$C$6:$C$3005,$C312,$D$6:$D$3005,$D312)&gt;1,"同じ月の請求が重複しています／",""),"")&amp;IF(AND(N($E312)&gt;0,$Z312&lt;&gt;"",$Z312&lt;&gt;"×",$AC312=0,$AB312=""),"計算額が下限以下のため不支給／",""))</f>
        <v/>
      </c>
      <c r="AL312" s="12" t="n"/>
      <c r="AM312" s="14">
        <f>IF($AD312="保留中",COUNTIF($AD$6:$AD312,"保留中"),"")</f>
        <v/>
      </c>
      <c r="AN312" s="14">
        <f>IF($AO312="","",IF(SUMPRODUCT(MAX((職員マスタ!$A$6:$A$405=$B312)*(((職員マスタ!$G$6:$G$405="")+(職員マスタ!$G$6:$G$405&lt;=EOMONTH($AO312,0)))&gt;0)*(((職員マスタ!$H$6:$H$405="")+(職員マスタ!$H$6:$H$405&gt;=$AO312))&gt;0)*(ROW(職員マスタ!$A$6:$A$405)-5)))&gt;0,SUMPRODUCT(MAX((職員マスタ!$A$6:$A$405=$B312)*(((職員マスタ!$G$6:$G$405="")+(職員マスタ!$G$6:$G$405&lt;=EOMONTH($AO312,0)))&gt;0)*(((職員マスタ!$H$6:$H$405="")+(職員マスタ!$H$6:$H$405&gt;=$AO312))&gt;0)*(ROW(職員マスタ!$A$6:$A$405)-5))),IFERROR(MATCH($B312,職員マスタ!$A$6:$A$405,0),"")))</f>
        <v/>
      </c>
      <c r="AO312" s="16">
        <f>IF(OR($B312="",$C312="",$D312=""),"",DATE($C312+2018,$D312,1))</f>
        <v/>
      </c>
    </row>
    <row r="313">
      <c r="A313" s="11" t="n"/>
      <c r="B313" s="12" t="n">
        <v>6702443</v>
      </c>
      <c r="C313" s="12" t="n">
        <v>7</v>
      </c>
      <c r="D313" s="12" t="n">
        <v>6</v>
      </c>
      <c r="E313" s="13" t="n">
        <v>186353</v>
      </c>
      <c r="F313" s="12" t="n"/>
      <c r="G313" s="13" t="n"/>
      <c r="H313" s="12" t="n"/>
      <c r="I313" s="12" t="n"/>
      <c r="J313" s="12" t="n"/>
      <c r="K313" s="12" t="n"/>
      <c r="L313" s="11" t="n"/>
      <c r="M313" s="11" t="n"/>
      <c r="N313" s="11" t="n"/>
      <c r="O313" s="11" t="n"/>
      <c r="P313" s="12" t="n"/>
      <c r="Q313" s="11" t="n"/>
      <c r="R313" s="12" t="n"/>
      <c r="S313" s="11" t="n"/>
      <c r="T313" s="12" t="n"/>
      <c r="U313" s="12" t="n"/>
      <c r="V313" s="14">
        <f>IF($AN313="",IF($B313="","",$H313),IF(INDEX(職員マスタ!$B$6:$B$405,$AN313)="",$H313,INDEX(職員マスタ!$B$6:$B$405,$AN313)))</f>
        <v/>
      </c>
      <c r="W313" s="14">
        <f>IF($AN313="",IF($B313="","",$R313),IF(INDEX(職員マスタ!$C$6:$C$405,$AN313)="",$R313,INDEX(職員マスタ!$C$6:$C$405,$AN313)))</f>
        <v/>
      </c>
      <c r="X313" s="14">
        <f>IF($AO313="","","R"&amp;$C313&amp;"."&amp;$D313)</f>
        <v/>
      </c>
      <c r="Y313" s="15">
        <f>IF($AN313="","",IF(INDEX(職員マスタ!$K$6:$K$405,$AN313)="","",INDEX(職員マスタ!$K$6:$K$405,$AN313)))</f>
        <v/>
      </c>
      <c r="Z313" s="14">
        <f>IF(OR($E313="",$Y313=""),"",IF($E313&gt;=$Y313,"×",IF($E313&gt;=$Y313*設定!$C$5,"△","○")))</f>
        <v/>
      </c>
      <c r="AA313" s="15">
        <f>IF($Z313="","",IF($Z313="×",0,IF($Z313="○",ROUNDDOWN($E313*設定!$C$4,0),ROUNDDOWN($E313*ROUND((9*$Y313-9*$E313)/(10*$E313),4),0))))</f>
        <v/>
      </c>
      <c r="AB313" s="13" t="n"/>
      <c r="AC313" s="15">
        <f>IF($B313="","",IF($AB313&lt;&gt;"",$AB313,IF($AA313="","",IF($AA313&lt;=設定!$C$3,0,$AA313))))</f>
        <v/>
      </c>
      <c r="AD313" s="14">
        <f>IF($B313="","",IF(AND($AE313&lt;&gt;"",$AG313="",$AJ313=""),"保留中",IF($AJ313&lt;&gt;"",IF(N($AC313)&gt;0,"支給済","不支給"),IF($AC313="","要確認",IF($AC313=0,"不支給","未処理")))))</f>
        <v/>
      </c>
      <c r="AE313" s="12" t="n"/>
      <c r="AF313" s="11" t="n"/>
      <c r="AG313" s="11" t="n"/>
      <c r="AH313" s="11" t="n"/>
      <c r="AI313" s="14">
        <f>IF(AND($AD313="保留中",$AF313&lt;&gt;""),TODAY()-$AF313,"")</f>
        <v/>
      </c>
      <c r="AJ313" s="12" t="inlineStr">
        <is>
          <t>R7.9</t>
        </is>
      </c>
      <c r="AK313" s="14">
        <f>IF($B313="","",IF($AO313="","対象年月が未入力／","")&amp;IF($B313="","",IF($AN313="","職員マスタに未登録の職員番号／",IF($Y313="","標準報酬月額が未登録／","")&amp;IF(AND($AO313&lt;&gt;"",OR(AND(INDEX(職員マスタ!$G$6:$G$405,$AN313)&lt;&gt;"",INDEX(職員マスタ!$G$6:$G$405,$AN313)&gt;EOMONTH($AO313,0)),AND(INDEX(職員マスタ!$H$6:$H$405,$AN313)&lt;&gt;"",INDEX(職員マスタ!$H$6:$H$405,$AN313)&lt;$AO313))),"対象月が時短期間外／","")&amp;IF(AND(INDEX(職員マスタ!$F$6:$F$405,$AN313)&lt;&gt;"",$AO313&lt;&gt;"",INDEX(職員マスタ!$F$6:$F$405,$AN313)&lt;$AO313),"対象月に子が2歳到達済／","")&amp;IF(AND($H313&lt;&gt;"",INDEX(職員マスタ!$B$6:$B$405,$AN313)&lt;&gt;"",SUBSTITUTE(SUBSTITUTE($H313," ","")," ","")&lt;&gt;SUBSTITUTE(SUBSTITUTE(INDEX(職員マスタ!$B$6:$B$405,$AN313)," ","")," ","")),"氏名がマスタと相違／","")&amp;IF(AND($Q313&lt;&gt;"",INDEX(職員マスタ!$E$6:$E$405,$AN313)&lt;&gt;"",$Q313&lt;&gt;INDEX(職員マスタ!$E$6:$E$405,$AN313)),"子の生年月日がマスタと相違／","")&amp;IF(AND($L313&lt;&gt;"",INDEX(職員マスタ!$G$6:$G$405,$AN313)&lt;&gt;"",$L313&lt;&gt;INDEX(職員マスタ!$G$6:$G$405,$AN313)),"時短開始日がマスタと相違／","")&amp;IF(AND($M313&lt;&gt;"",INDEX(職員マスタ!$H$6:$H$405,$AN313)&lt;&gt;"",$M313&lt;&gt;INDEX(職員マスタ!$H$6:$H$405,$AN313)),"時短終了日がマスタと相違／","")))&amp;IF(AND($B313&lt;&gt;"",$E313=""),"報酬額が未入力／","")&amp;IF(N($U313)&gt;0,"申請書に入力エラーが残っています／","")&amp;IF(AND($B313&lt;&gt;"",$AO313&lt;&gt;""),IF(COUNTIFS($B$6:$B$3005,$B313,$C$6:$C$3005,$C313,$D$6:$D$3005,$D313)&gt;1,"同じ月の請求が重複しています／",""),"")&amp;IF(AND(N($E313)&gt;0,$Z313&lt;&gt;"",$Z313&lt;&gt;"×",$AC313=0,$AB313=""),"計算額が下限以下のため不支給／",""))</f>
        <v/>
      </c>
      <c r="AL313" s="12" t="n"/>
      <c r="AM313" s="14">
        <f>IF($AD313="保留中",COUNTIF($AD$6:$AD313,"保留中"),"")</f>
        <v/>
      </c>
      <c r="AN313" s="14">
        <f>IF($AO313="","",IF(SUMPRODUCT(MAX((職員マスタ!$A$6:$A$405=$B313)*(((職員マスタ!$G$6:$G$405="")+(職員マスタ!$G$6:$G$405&lt;=EOMONTH($AO313,0)))&gt;0)*(((職員マスタ!$H$6:$H$405="")+(職員マスタ!$H$6:$H$405&gt;=$AO313))&gt;0)*(ROW(職員マスタ!$A$6:$A$405)-5)))&gt;0,SUMPRODUCT(MAX((職員マスタ!$A$6:$A$405=$B313)*(((職員マスタ!$G$6:$G$405="")+(職員マスタ!$G$6:$G$405&lt;=EOMONTH($AO313,0)))&gt;0)*(((職員マスタ!$H$6:$H$405="")+(職員マスタ!$H$6:$H$405&gt;=$AO313))&gt;0)*(ROW(職員マスタ!$A$6:$A$405)-5))),IFERROR(MATCH($B313,職員マスタ!$A$6:$A$405,0),"")))</f>
        <v/>
      </c>
      <c r="AO313" s="16">
        <f>IF(OR($B313="",$C313="",$D313=""),"",DATE($C313+2018,$D313,1))</f>
        <v/>
      </c>
    </row>
    <row r="314">
      <c r="A314" s="11" t="n"/>
      <c r="B314" s="12" t="n">
        <v>6702443</v>
      </c>
      <c r="C314" s="12" t="n">
        <v>7</v>
      </c>
      <c r="D314" s="12" t="n">
        <v>7</v>
      </c>
      <c r="E314" s="13" t="n">
        <v>186353</v>
      </c>
      <c r="F314" s="12" t="n"/>
      <c r="G314" s="13" t="n"/>
      <c r="H314" s="12" t="n"/>
      <c r="I314" s="12" t="n"/>
      <c r="J314" s="12" t="n"/>
      <c r="K314" s="12" t="n"/>
      <c r="L314" s="11" t="n"/>
      <c r="M314" s="11" t="n"/>
      <c r="N314" s="11" t="n"/>
      <c r="O314" s="11" t="n"/>
      <c r="P314" s="12" t="n"/>
      <c r="Q314" s="11" t="n"/>
      <c r="R314" s="12" t="n"/>
      <c r="S314" s="11" t="n"/>
      <c r="T314" s="12" t="n"/>
      <c r="U314" s="12" t="n"/>
      <c r="V314" s="14">
        <f>IF($AN314="",IF($B314="","",$H314),IF(INDEX(職員マスタ!$B$6:$B$405,$AN314)="",$H314,INDEX(職員マスタ!$B$6:$B$405,$AN314)))</f>
        <v/>
      </c>
      <c r="W314" s="14">
        <f>IF($AN314="",IF($B314="","",$R314),IF(INDEX(職員マスタ!$C$6:$C$405,$AN314)="",$R314,INDEX(職員マスタ!$C$6:$C$405,$AN314)))</f>
        <v/>
      </c>
      <c r="X314" s="14">
        <f>IF($AO314="","","R"&amp;$C314&amp;"."&amp;$D314)</f>
        <v/>
      </c>
      <c r="Y314" s="15">
        <f>IF($AN314="","",IF(INDEX(職員マスタ!$K$6:$K$405,$AN314)="","",INDEX(職員マスタ!$K$6:$K$405,$AN314)))</f>
        <v/>
      </c>
      <c r="Z314" s="14">
        <f>IF(OR($E314="",$Y314=""),"",IF($E314&gt;=$Y314,"×",IF($E314&gt;=$Y314*設定!$C$5,"△","○")))</f>
        <v/>
      </c>
      <c r="AA314" s="15">
        <f>IF($Z314="","",IF($Z314="×",0,IF($Z314="○",ROUNDDOWN($E314*設定!$C$4,0),ROUNDDOWN($E314*ROUND((9*$Y314-9*$E314)/(10*$E314),4),0))))</f>
        <v/>
      </c>
      <c r="AB314" s="13" t="n"/>
      <c r="AC314" s="15">
        <f>IF($B314="","",IF($AB314&lt;&gt;"",$AB314,IF($AA314="","",IF($AA314&lt;=設定!$C$3,0,$AA314))))</f>
        <v/>
      </c>
      <c r="AD314" s="14">
        <f>IF($B314="","",IF(AND($AE314&lt;&gt;"",$AG314="",$AJ314=""),"保留中",IF($AJ314&lt;&gt;"",IF(N($AC314)&gt;0,"支給済","不支給"),IF($AC314="","要確認",IF($AC314=0,"不支給","未処理")))))</f>
        <v/>
      </c>
      <c r="AE314" s="12" t="n"/>
      <c r="AF314" s="11" t="n"/>
      <c r="AG314" s="11" t="n"/>
      <c r="AH314" s="11" t="n"/>
      <c r="AI314" s="14">
        <f>IF(AND($AD314="保留中",$AF314&lt;&gt;""),TODAY()-$AF314,"")</f>
        <v/>
      </c>
      <c r="AJ314" s="12" t="inlineStr">
        <is>
          <t>R7.9</t>
        </is>
      </c>
      <c r="AK314" s="14">
        <f>IF($B314="","",IF($AO314="","対象年月が未入力／","")&amp;IF($B314="","",IF($AN314="","職員マスタに未登録の職員番号／",IF($Y314="","標準報酬月額が未登録／","")&amp;IF(AND($AO314&lt;&gt;"",OR(AND(INDEX(職員マスタ!$G$6:$G$405,$AN314)&lt;&gt;"",INDEX(職員マスタ!$G$6:$G$405,$AN314)&gt;EOMONTH($AO314,0)),AND(INDEX(職員マスタ!$H$6:$H$405,$AN314)&lt;&gt;"",INDEX(職員マスタ!$H$6:$H$405,$AN314)&lt;$AO314))),"対象月が時短期間外／","")&amp;IF(AND(INDEX(職員マスタ!$F$6:$F$405,$AN314)&lt;&gt;"",$AO314&lt;&gt;"",INDEX(職員マスタ!$F$6:$F$405,$AN314)&lt;$AO314),"対象月に子が2歳到達済／","")&amp;IF(AND($H314&lt;&gt;"",INDEX(職員マスタ!$B$6:$B$405,$AN314)&lt;&gt;"",SUBSTITUTE(SUBSTITUTE($H314," ","")," ","")&lt;&gt;SUBSTITUTE(SUBSTITUTE(INDEX(職員マスタ!$B$6:$B$405,$AN314)," ","")," ","")),"氏名がマスタと相違／","")&amp;IF(AND($Q314&lt;&gt;"",INDEX(職員マスタ!$E$6:$E$405,$AN314)&lt;&gt;"",$Q314&lt;&gt;INDEX(職員マスタ!$E$6:$E$405,$AN314)),"子の生年月日がマスタと相違／","")&amp;IF(AND($L314&lt;&gt;"",INDEX(職員マスタ!$G$6:$G$405,$AN314)&lt;&gt;"",$L314&lt;&gt;INDEX(職員マスタ!$G$6:$G$405,$AN314)),"時短開始日がマスタと相違／","")&amp;IF(AND($M314&lt;&gt;"",INDEX(職員マスタ!$H$6:$H$405,$AN314)&lt;&gt;"",$M314&lt;&gt;INDEX(職員マスタ!$H$6:$H$405,$AN314)),"時短終了日がマスタと相違／","")))&amp;IF(AND($B314&lt;&gt;"",$E314=""),"報酬額が未入力／","")&amp;IF(N($U314)&gt;0,"申請書に入力エラーが残っています／","")&amp;IF(AND($B314&lt;&gt;"",$AO314&lt;&gt;""),IF(COUNTIFS($B$6:$B$3005,$B314,$C$6:$C$3005,$C314,$D$6:$D$3005,$D314)&gt;1,"同じ月の請求が重複しています／",""),"")&amp;IF(AND(N($E314)&gt;0,$Z314&lt;&gt;"",$Z314&lt;&gt;"×",$AC314=0,$AB314=""),"計算額が下限以下のため不支給／",""))</f>
        <v/>
      </c>
      <c r="AL314" s="12" t="n"/>
      <c r="AM314" s="14">
        <f>IF($AD314="保留中",COUNTIF($AD$6:$AD314,"保留中"),"")</f>
        <v/>
      </c>
      <c r="AN314" s="14">
        <f>IF($AO314="","",IF(SUMPRODUCT(MAX((職員マスタ!$A$6:$A$405=$B314)*(((職員マスタ!$G$6:$G$405="")+(職員マスタ!$G$6:$G$405&lt;=EOMONTH($AO314,0)))&gt;0)*(((職員マスタ!$H$6:$H$405="")+(職員マスタ!$H$6:$H$405&gt;=$AO314))&gt;0)*(ROW(職員マスタ!$A$6:$A$405)-5)))&gt;0,SUMPRODUCT(MAX((職員マスタ!$A$6:$A$405=$B314)*(((職員マスタ!$G$6:$G$405="")+(職員マスタ!$G$6:$G$405&lt;=EOMONTH($AO314,0)))&gt;0)*(((職員マスタ!$H$6:$H$405="")+(職員マスタ!$H$6:$H$405&gt;=$AO314))&gt;0)*(ROW(職員マスタ!$A$6:$A$405)-5))),IFERROR(MATCH($B314,職員マスタ!$A$6:$A$405,0),"")))</f>
        <v/>
      </c>
      <c r="AO314" s="16">
        <f>IF(OR($B314="",$C314="",$D314=""),"",DATE($C314+2018,$D314,1))</f>
        <v/>
      </c>
    </row>
    <row r="315">
      <c r="A315" s="11" t="n"/>
      <c r="B315" s="12" t="n">
        <v>6702443</v>
      </c>
      <c r="C315" s="12" t="n">
        <v>7</v>
      </c>
      <c r="D315" s="12" t="n">
        <v>8</v>
      </c>
      <c r="E315" s="13" t="n">
        <v>182669</v>
      </c>
      <c r="F315" s="12" t="n"/>
      <c r="G315" s="13" t="n"/>
      <c r="H315" s="12" t="n"/>
      <c r="I315" s="12" t="n"/>
      <c r="J315" s="12" t="n"/>
      <c r="K315" s="12" t="n"/>
      <c r="L315" s="11" t="n"/>
      <c r="M315" s="11" t="n"/>
      <c r="N315" s="11" t="n"/>
      <c r="O315" s="11" t="n"/>
      <c r="P315" s="12" t="n"/>
      <c r="Q315" s="11" t="n"/>
      <c r="R315" s="12" t="n"/>
      <c r="S315" s="11" t="n"/>
      <c r="T315" s="12" t="n"/>
      <c r="U315" s="12" t="n"/>
      <c r="V315" s="14">
        <f>IF($AN315="",IF($B315="","",$H315),IF(INDEX(職員マスタ!$B$6:$B$405,$AN315)="",$H315,INDEX(職員マスタ!$B$6:$B$405,$AN315)))</f>
        <v/>
      </c>
      <c r="W315" s="14">
        <f>IF($AN315="",IF($B315="","",$R315),IF(INDEX(職員マスタ!$C$6:$C$405,$AN315)="",$R315,INDEX(職員マスタ!$C$6:$C$405,$AN315)))</f>
        <v/>
      </c>
      <c r="X315" s="14">
        <f>IF($AO315="","","R"&amp;$C315&amp;"."&amp;$D315)</f>
        <v/>
      </c>
      <c r="Y315" s="15">
        <f>IF($AN315="","",IF(INDEX(職員マスタ!$K$6:$K$405,$AN315)="","",INDEX(職員マスタ!$K$6:$K$405,$AN315)))</f>
        <v/>
      </c>
      <c r="Z315" s="14">
        <f>IF(OR($E315="",$Y315=""),"",IF($E315&gt;=$Y315,"×",IF($E315&gt;=$Y315*設定!$C$5,"△","○")))</f>
        <v/>
      </c>
      <c r="AA315" s="15">
        <f>IF($Z315="","",IF($Z315="×",0,IF($Z315="○",ROUNDDOWN($E315*設定!$C$4,0),ROUNDDOWN($E315*ROUND((9*$Y315-9*$E315)/(10*$E315),4),0))))</f>
        <v/>
      </c>
      <c r="AB315" s="13" t="n"/>
      <c r="AC315" s="15">
        <f>IF($B315="","",IF($AB315&lt;&gt;"",$AB315,IF($AA315="","",IF($AA315&lt;=設定!$C$3,0,$AA315))))</f>
        <v/>
      </c>
      <c r="AD315" s="14">
        <f>IF($B315="","",IF(AND($AE315&lt;&gt;"",$AG315="",$AJ315=""),"保留中",IF($AJ315&lt;&gt;"",IF(N($AC315)&gt;0,"支給済","不支給"),IF($AC315="","要確認",IF($AC315=0,"不支給","未処理")))))</f>
        <v/>
      </c>
      <c r="AE315" s="12" t="n"/>
      <c r="AF315" s="11" t="n"/>
      <c r="AG315" s="11" t="n"/>
      <c r="AH315" s="11" t="n"/>
      <c r="AI315" s="14">
        <f>IF(AND($AD315="保留中",$AF315&lt;&gt;""),TODAY()-$AF315,"")</f>
        <v/>
      </c>
      <c r="AJ315" s="12" t="inlineStr">
        <is>
          <t>R7.10</t>
        </is>
      </c>
      <c r="AK315" s="14">
        <f>IF($B315="","",IF($AO315="","対象年月が未入力／","")&amp;IF($B315="","",IF($AN315="","職員マスタに未登録の職員番号／",IF($Y315="","標準報酬月額が未登録／","")&amp;IF(AND($AO315&lt;&gt;"",OR(AND(INDEX(職員マスタ!$G$6:$G$405,$AN315)&lt;&gt;"",INDEX(職員マスタ!$G$6:$G$405,$AN315)&gt;EOMONTH($AO315,0)),AND(INDEX(職員マスタ!$H$6:$H$405,$AN315)&lt;&gt;"",INDEX(職員マスタ!$H$6:$H$405,$AN315)&lt;$AO315))),"対象月が時短期間外／","")&amp;IF(AND(INDEX(職員マスタ!$F$6:$F$405,$AN315)&lt;&gt;"",$AO315&lt;&gt;"",INDEX(職員マスタ!$F$6:$F$405,$AN315)&lt;$AO315),"対象月に子が2歳到達済／","")&amp;IF(AND($H315&lt;&gt;"",INDEX(職員マスタ!$B$6:$B$405,$AN315)&lt;&gt;"",SUBSTITUTE(SUBSTITUTE($H315," ","")," ","")&lt;&gt;SUBSTITUTE(SUBSTITUTE(INDEX(職員マスタ!$B$6:$B$405,$AN315)," ","")," ","")),"氏名がマスタと相違／","")&amp;IF(AND($Q315&lt;&gt;"",INDEX(職員マスタ!$E$6:$E$405,$AN315)&lt;&gt;"",$Q315&lt;&gt;INDEX(職員マスタ!$E$6:$E$405,$AN315)),"子の生年月日がマスタと相違／","")&amp;IF(AND($L315&lt;&gt;"",INDEX(職員マスタ!$G$6:$G$405,$AN315)&lt;&gt;"",$L315&lt;&gt;INDEX(職員マスタ!$G$6:$G$405,$AN315)),"時短開始日がマスタと相違／","")&amp;IF(AND($M315&lt;&gt;"",INDEX(職員マスタ!$H$6:$H$405,$AN315)&lt;&gt;"",$M315&lt;&gt;INDEX(職員マスタ!$H$6:$H$405,$AN315)),"時短終了日がマスタと相違／","")))&amp;IF(AND($B315&lt;&gt;"",$E315=""),"報酬額が未入力／","")&amp;IF(N($U315)&gt;0,"申請書に入力エラーが残っています／","")&amp;IF(AND($B315&lt;&gt;"",$AO315&lt;&gt;""),IF(COUNTIFS($B$6:$B$3005,$B315,$C$6:$C$3005,$C315,$D$6:$D$3005,$D315)&gt;1,"同じ月の請求が重複しています／",""),"")&amp;IF(AND(N($E315)&gt;0,$Z315&lt;&gt;"",$Z315&lt;&gt;"×",$AC315=0,$AB315=""),"計算額が下限以下のため不支給／",""))</f>
        <v/>
      </c>
      <c r="AL315" s="12" t="n"/>
      <c r="AM315" s="14">
        <f>IF($AD315="保留中",COUNTIF($AD$6:$AD315,"保留中"),"")</f>
        <v/>
      </c>
      <c r="AN315" s="14">
        <f>IF($AO315="","",IF(SUMPRODUCT(MAX((職員マスタ!$A$6:$A$405=$B315)*(((職員マスタ!$G$6:$G$405="")+(職員マスタ!$G$6:$G$405&lt;=EOMONTH($AO315,0)))&gt;0)*(((職員マスタ!$H$6:$H$405="")+(職員マスタ!$H$6:$H$405&gt;=$AO315))&gt;0)*(ROW(職員マスタ!$A$6:$A$405)-5)))&gt;0,SUMPRODUCT(MAX((職員マスタ!$A$6:$A$405=$B315)*(((職員マスタ!$G$6:$G$405="")+(職員マスタ!$G$6:$G$405&lt;=EOMONTH($AO315,0)))&gt;0)*(((職員マスタ!$H$6:$H$405="")+(職員マスタ!$H$6:$H$405&gt;=$AO315))&gt;0)*(ROW(職員マスタ!$A$6:$A$405)-5))),IFERROR(MATCH($B315,職員マスタ!$A$6:$A$405,0),"")))</f>
        <v/>
      </c>
      <c r="AO315" s="16">
        <f>IF(OR($B315="",$C315="",$D315=""),"",DATE($C315+2018,$D315,1))</f>
        <v/>
      </c>
    </row>
    <row r="316">
      <c r="A316" s="11" t="n"/>
      <c r="B316" s="12" t="n">
        <v>6702534</v>
      </c>
      <c r="C316" s="12" t="n">
        <v>7</v>
      </c>
      <c r="D316" s="12" t="n">
        <v>4</v>
      </c>
      <c r="E316" s="13" t="n">
        <v>116841</v>
      </c>
      <c r="F316" s="12" t="n"/>
      <c r="G316" s="13" t="n"/>
      <c r="H316" s="12" t="n"/>
      <c r="I316" s="12" t="n"/>
      <c r="J316" s="12" t="n"/>
      <c r="K316" s="12" t="n"/>
      <c r="L316" s="11" t="n"/>
      <c r="M316" s="11" t="n"/>
      <c r="N316" s="11" t="n"/>
      <c r="O316" s="11" t="n"/>
      <c r="P316" s="12" t="n"/>
      <c r="Q316" s="11" t="n"/>
      <c r="R316" s="12" t="n"/>
      <c r="S316" s="11" t="n"/>
      <c r="T316" s="12" t="n"/>
      <c r="U316" s="12" t="n"/>
      <c r="V316" s="14">
        <f>IF($AN316="",IF($B316="","",$H316),IF(INDEX(職員マスタ!$B$6:$B$405,$AN316)="",$H316,INDEX(職員マスタ!$B$6:$B$405,$AN316)))</f>
        <v/>
      </c>
      <c r="W316" s="14">
        <f>IF($AN316="",IF($B316="","",$R316),IF(INDEX(職員マスタ!$C$6:$C$405,$AN316)="",$R316,INDEX(職員マスタ!$C$6:$C$405,$AN316)))</f>
        <v/>
      </c>
      <c r="X316" s="14">
        <f>IF($AO316="","","R"&amp;$C316&amp;"."&amp;$D316)</f>
        <v/>
      </c>
      <c r="Y316" s="15">
        <f>IF($AN316="","",IF(INDEX(職員マスタ!$K$6:$K$405,$AN316)="","",INDEX(職員マスタ!$K$6:$K$405,$AN316)))</f>
        <v/>
      </c>
      <c r="Z316" s="14">
        <f>IF(OR($E316="",$Y316=""),"",IF($E316&gt;=$Y316,"×",IF($E316&gt;=$Y316*設定!$C$5,"△","○")))</f>
        <v/>
      </c>
      <c r="AA316" s="15">
        <f>IF($Z316="","",IF($Z316="×",0,IF($Z316="○",ROUNDDOWN($E316*設定!$C$4,0),ROUNDDOWN($E316*ROUND((9*$Y316-9*$E316)/(10*$E316),4),0))))</f>
        <v/>
      </c>
      <c r="AB316" s="13" t="n"/>
      <c r="AC316" s="15">
        <f>IF($B316="","",IF($AB316&lt;&gt;"",$AB316,IF($AA316="","",IF($AA316&lt;=設定!$C$3,0,$AA316))))</f>
        <v/>
      </c>
      <c r="AD316" s="14">
        <f>IF($B316="","",IF(AND($AE316&lt;&gt;"",$AG316="",$AJ316=""),"保留中",IF($AJ316&lt;&gt;"",IF(N($AC316)&gt;0,"支給済","不支給"),IF($AC316="","要確認",IF($AC316=0,"不支給","未処理")))))</f>
        <v/>
      </c>
      <c r="AE316" s="12" t="n"/>
      <c r="AF316" s="11" t="n"/>
      <c r="AG316" s="11" t="n"/>
      <c r="AH316" s="11" t="n"/>
      <c r="AI316" s="14">
        <f>IF(AND($AD316="保留中",$AF316&lt;&gt;""),TODAY()-$AF316,"")</f>
        <v/>
      </c>
      <c r="AJ316" s="12" t="inlineStr">
        <is>
          <t>R7.8</t>
        </is>
      </c>
      <c r="AK316" s="14">
        <f>IF($B316="","",IF($AO316="","対象年月が未入力／","")&amp;IF($B316="","",IF($AN316="","職員マスタに未登録の職員番号／",IF($Y316="","標準報酬月額が未登録／","")&amp;IF(AND($AO316&lt;&gt;"",OR(AND(INDEX(職員マスタ!$G$6:$G$405,$AN316)&lt;&gt;"",INDEX(職員マスタ!$G$6:$G$405,$AN316)&gt;EOMONTH($AO316,0)),AND(INDEX(職員マスタ!$H$6:$H$405,$AN316)&lt;&gt;"",INDEX(職員マスタ!$H$6:$H$405,$AN316)&lt;$AO316))),"対象月が時短期間外／","")&amp;IF(AND(INDEX(職員マスタ!$F$6:$F$405,$AN316)&lt;&gt;"",$AO316&lt;&gt;"",INDEX(職員マスタ!$F$6:$F$405,$AN316)&lt;$AO316),"対象月に子が2歳到達済／","")&amp;IF(AND($H316&lt;&gt;"",INDEX(職員マスタ!$B$6:$B$405,$AN316)&lt;&gt;"",SUBSTITUTE(SUBSTITUTE($H316," ","")," ","")&lt;&gt;SUBSTITUTE(SUBSTITUTE(INDEX(職員マスタ!$B$6:$B$405,$AN316)," ","")," ","")),"氏名がマスタと相違／","")&amp;IF(AND($Q316&lt;&gt;"",INDEX(職員マスタ!$E$6:$E$405,$AN316)&lt;&gt;"",$Q316&lt;&gt;INDEX(職員マスタ!$E$6:$E$405,$AN316)),"子の生年月日がマスタと相違／","")&amp;IF(AND($L316&lt;&gt;"",INDEX(職員マスタ!$G$6:$G$405,$AN316)&lt;&gt;"",$L316&lt;&gt;INDEX(職員マスタ!$G$6:$G$405,$AN316)),"時短開始日がマスタと相違／","")&amp;IF(AND($M316&lt;&gt;"",INDEX(職員マスタ!$H$6:$H$405,$AN316)&lt;&gt;"",$M316&lt;&gt;INDEX(職員マスタ!$H$6:$H$405,$AN316)),"時短終了日がマスタと相違／","")))&amp;IF(AND($B316&lt;&gt;"",$E316=""),"報酬額が未入力／","")&amp;IF(N($U316)&gt;0,"申請書に入力エラーが残っています／","")&amp;IF(AND($B316&lt;&gt;"",$AO316&lt;&gt;""),IF(COUNTIFS($B$6:$B$3005,$B316,$C$6:$C$3005,$C316,$D$6:$D$3005,$D316)&gt;1,"同じ月の請求が重複しています／",""),"")&amp;IF(AND(N($E316)&gt;0,$Z316&lt;&gt;"",$Z316&lt;&gt;"×",$AC316=0,$AB316=""),"計算額が下限以下のため不支給／",""))</f>
        <v/>
      </c>
      <c r="AL316" s="12" t="n"/>
      <c r="AM316" s="14">
        <f>IF($AD316="保留中",COUNTIF($AD$6:$AD316,"保留中"),"")</f>
        <v/>
      </c>
      <c r="AN316" s="14">
        <f>IF($AO316="","",IF(SUMPRODUCT(MAX((職員マスタ!$A$6:$A$405=$B316)*(((職員マスタ!$G$6:$G$405="")+(職員マスタ!$G$6:$G$405&lt;=EOMONTH($AO316,0)))&gt;0)*(((職員マスタ!$H$6:$H$405="")+(職員マスタ!$H$6:$H$405&gt;=$AO316))&gt;0)*(ROW(職員マスタ!$A$6:$A$405)-5)))&gt;0,SUMPRODUCT(MAX((職員マスタ!$A$6:$A$405=$B316)*(((職員マスタ!$G$6:$G$405="")+(職員マスタ!$G$6:$G$405&lt;=EOMONTH($AO316,0)))&gt;0)*(((職員マスタ!$H$6:$H$405="")+(職員マスタ!$H$6:$H$405&gt;=$AO316))&gt;0)*(ROW(職員マスタ!$A$6:$A$405)-5))),IFERROR(MATCH($B316,職員マスタ!$A$6:$A$405,0),"")))</f>
        <v/>
      </c>
      <c r="AO316" s="16">
        <f>IF(OR($B316="",$C316="",$D316=""),"",DATE($C316+2018,$D316,1))</f>
        <v/>
      </c>
    </row>
    <row r="317">
      <c r="A317" s="11" t="n"/>
      <c r="B317" s="12" t="n">
        <v>6702534</v>
      </c>
      <c r="C317" s="12" t="n">
        <v>7</v>
      </c>
      <c r="D317" s="12" t="n">
        <v>5</v>
      </c>
      <c r="E317" s="13" t="n">
        <v>191934</v>
      </c>
      <c r="F317" s="12" t="n"/>
      <c r="G317" s="13" t="n"/>
      <c r="H317" s="12" t="n"/>
      <c r="I317" s="12" t="n"/>
      <c r="J317" s="12" t="n"/>
      <c r="K317" s="12" t="n"/>
      <c r="L317" s="11" t="n"/>
      <c r="M317" s="11" t="n"/>
      <c r="N317" s="11" t="n"/>
      <c r="O317" s="11" t="n"/>
      <c r="P317" s="12" t="n"/>
      <c r="Q317" s="11" t="n"/>
      <c r="R317" s="12" t="n"/>
      <c r="S317" s="11" t="n"/>
      <c r="T317" s="12" t="n"/>
      <c r="U317" s="12" t="n"/>
      <c r="V317" s="14">
        <f>IF($AN317="",IF($B317="","",$H317),IF(INDEX(職員マスタ!$B$6:$B$405,$AN317)="",$H317,INDEX(職員マスタ!$B$6:$B$405,$AN317)))</f>
        <v/>
      </c>
      <c r="W317" s="14">
        <f>IF($AN317="",IF($B317="","",$R317),IF(INDEX(職員マスタ!$C$6:$C$405,$AN317)="",$R317,INDEX(職員マスタ!$C$6:$C$405,$AN317)))</f>
        <v/>
      </c>
      <c r="X317" s="14">
        <f>IF($AO317="","","R"&amp;$C317&amp;"."&amp;$D317)</f>
        <v/>
      </c>
      <c r="Y317" s="15">
        <f>IF($AN317="","",IF(INDEX(職員マスタ!$K$6:$K$405,$AN317)="","",INDEX(職員マスタ!$K$6:$K$405,$AN317)))</f>
        <v/>
      </c>
      <c r="Z317" s="14">
        <f>IF(OR($E317="",$Y317=""),"",IF($E317&gt;=$Y317,"×",IF($E317&gt;=$Y317*設定!$C$5,"△","○")))</f>
        <v/>
      </c>
      <c r="AA317" s="15">
        <f>IF($Z317="","",IF($Z317="×",0,IF($Z317="○",ROUNDDOWN($E317*設定!$C$4,0),ROUNDDOWN($E317*ROUND((9*$Y317-9*$E317)/(10*$E317),4),0))))</f>
        <v/>
      </c>
      <c r="AB317" s="13" t="n"/>
      <c r="AC317" s="15">
        <f>IF($B317="","",IF($AB317&lt;&gt;"",$AB317,IF($AA317="","",IF($AA317&lt;=設定!$C$3,0,$AA317))))</f>
        <v/>
      </c>
      <c r="AD317" s="14">
        <f>IF($B317="","",IF(AND($AE317&lt;&gt;"",$AG317="",$AJ317=""),"保留中",IF($AJ317&lt;&gt;"",IF(N($AC317)&gt;0,"支給済","不支給"),IF($AC317="","要確認",IF($AC317=0,"不支給","未処理")))))</f>
        <v/>
      </c>
      <c r="AE317" s="12" t="n"/>
      <c r="AF317" s="11" t="n"/>
      <c r="AG317" s="11" t="n"/>
      <c r="AH317" s="11" t="n"/>
      <c r="AI317" s="14">
        <f>IF(AND($AD317="保留中",$AF317&lt;&gt;""),TODAY()-$AF317,"")</f>
        <v/>
      </c>
      <c r="AJ317" s="12" t="inlineStr">
        <is>
          <t>R7.8</t>
        </is>
      </c>
      <c r="AK317" s="14">
        <f>IF($B317="","",IF($AO317="","対象年月が未入力／","")&amp;IF($B317="","",IF($AN317="","職員マスタに未登録の職員番号／",IF($Y317="","標準報酬月額が未登録／","")&amp;IF(AND($AO317&lt;&gt;"",OR(AND(INDEX(職員マスタ!$G$6:$G$405,$AN317)&lt;&gt;"",INDEX(職員マスタ!$G$6:$G$405,$AN317)&gt;EOMONTH($AO317,0)),AND(INDEX(職員マスタ!$H$6:$H$405,$AN317)&lt;&gt;"",INDEX(職員マスタ!$H$6:$H$405,$AN317)&lt;$AO317))),"対象月が時短期間外／","")&amp;IF(AND(INDEX(職員マスタ!$F$6:$F$405,$AN317)&lt;&gt;"",$AO317&lt;&gt;"",INDEX(職員マスタ!$F$6:$F$405,$AN317)&lt;$AO317),"対象月に子が2歳到達済／","")&amp;IF(AND($H317&lt;&gt;"",INDEX(職員マスタ!$B$6:$B$405,$AN317)&lt;&gt;"",SUBSTITUTE(SUBSTITUTE($H317," ","")," ","")&lt;&gt;SUBSTITUTE(SUBSTITUTE(INDEX(職員マスタ!$B$6:$B$405,$AN317)," ","")," ","")),"氏名がマスタと相違／","")&amp;IF(AND($Q317&lt;&gt;"",INDEX(職員マスタ!$E$6:$E$405,$AN317)&lt;&gt;"",$Q317&lt;&gt;INDEX(職員マスタ!$E$6:$E$405,$AN317)),"子の生年月日がマスタと相違／","")&amp;IF(AND($L317&lt;&gt;"",INDEX(職員マスタ!$G$6:$G$405,$AN317)&lt;&gt;"",$L317&lt;&gt;INDEX(職員マスタ!$G$6:$G$405,$AN317)),"時短開始日がマスタと相違／","")&amp;IF(AND($M317&lt;&gt;"",INDEX(職員マスタ!$H$6:$H$405,$AN317)&lt;&gt;"",$M317&lt;&gt;INDEX(職員マスタ!$H$6:$H$405,$AN317)),"時短終了日がマスタと相違／","")))&amp;IF(AND($B317&lt;&gt;"",$E317=""),"報酬額が未入力／","")&amp;IF(N($U317)&gt;0,"申請書に入力エラーが残っています／","")&amp;IF(AND($B317&lt;&gt;"",$AO317&lt;&gt;""),IF(COUNTIFS($B$6:$B$3005,$B317,$C$6:$C$3005,$C317,$D$6:$D$3005,$D317)&gt;1,"同じ月の請求が重複しています／",""),"")&amp;IF(AND(N($E317)&gt;0,$Z317&lt;&gt;"",$Z317&lt;&gt;"×",$AC317=0,$AB317=""),"計算額が下限以下のため不支給／",""))</f>
        <v/>
      </c>
      <c r="AL317" s="12" t="n"/>
      <c r="AM317" s="14">
        <f>IF($AD317="保留中",COUNTIF($AD$6:$AD317,"保留中"),"")</f>
        <v/>
      </c>
      <c r="AN317" s="14">
        <f>IF($AO317="","",IF(SUMPRODUCT(MAX((職員マスタ!$A$6:$A$405=$B317)*(((職員マスタ!$G$6:$G$405="")+(職員マスタ!$G$6:$G$405&lt;=EOMONTH($AO317,0)))&gt;0)*(((職員マスタ!$H$6:$H$405="")+(職員マスタ!$H$6:$H$405&gt;=$AO317))&gt;0)*(ROW(職員マスタ!$A$6:$A$405)-5)))&gt;0,SUMPRODUCT(MAX((職員マスタ!$A$6:$A$405=$B317)*(((職員マスタ!$G$6:$G$405="")+(職員マスタ!$G$6:$G$405&lt;=EOMONTH($AO317,0)))&gt;0)*(((職員マスタ!$H$6:$H$405="")+(職員マスタ!$H$6:$H$405&gt;=$AO317))&gt;0)*(ROW(職員マスタ!$A$6:$A$405)-5))),IFERROR(MATCH($B317,職員マスタ!$A$6:$A$405,0),"")))</f>
        <v/>
      </c>
      <c r="AO317" s="16">
        <f>IF(OR($B317="",$C317="",$D317=""),"",DATE($C317+2018,$D317,1))</f>
        <v/>
      </c>
    </row>
    <row r="318">
      <c r="A318" s="11" t="n"/>
      <c r="B318" s="12" t="n">
        <v>6702534</v>
      </c>
      <c r="C318" s="12" t="n">
        <v>7</v>
      </c>
      <c r="D318" s="12" t="n">
        <v>6</v>
      </c>
      <c r="E318" s="13" t="n">
        <v>188418</v>
      </c>
      <c r="F318" s="12" t="n"/>
      <c r="G318" s="13" t="n"/>
      <c r="H318" s="12" t="n"/>
      <c r="I318" s="12" t="n"/>
      <c r="J318" s="12" t="n"/>
      <c r="K318" s="12" t="n"/>
      <c r="L318" s="11" t="n"/>
      <c r="M318" s="11" t="n"/>
      <c r="N318" s="11" t="n"/>
      <c r="O318" s="11" t="n"/>
      <c r="P318" s="12" t="n"/>
      <c r="Q318" s="11" t="n"/>
      <c r="R318" s="12" t="n"/>
      <c r="S318" s="11" t="n"/>
      <c r="T318" s="12" t="n"/>
      <c r="U318" s="12" t="n"/>
      <c r="V318" s="14">
        <f>IF($AN318="",IF($B318="","",$H318),IF(INDEX(職員マスタ!$B$6:$B$405,$AN318)="",$H318,INDEX(職員マスタ!$B$6:$B$405,$AN318)))</f>
        <v/>
      </c>
      <c r="W318" s="14">
        <f>IF($AN318="",IF($B318="","",$R318),IF(INDEX(職員マスタ!$C$6:$C$405,$AN318)="",$R318,INDEX(職員マスタ!$C$6:$C$405,$AN318)))</f>
        <v/>
      </c>
      <c r="X318" s="14">
        <f>IF($AO318="","","R"&amp;$C318&amp;"."&amp;$D318)</f>
        <v/>
      </c>
      <c r="Y318" s="15">
        <f>IF($AN318="","",IF(INDEX(職員マスタ!$K$6:$K$405,$AN318)="","",INDEX(職員マスタ!$K$6:$K$405,$AN318)))</f>
        <v/>
      </c>
      <c r="Z318" s="14">
        <f>IF(OR($E318="",$Y318=""),"",IF($E318&gt;=$Y318,"×",IF($E318&gt;=$Y318*設定!$C$5,"△","○")))</f>
        <v/>
      </c>
      <c r="AA318" s="15">
        <f>IF($Z318="","",IF($Z318="×",0,IF($Z318="○",ROUNDDOWN($E318*設定!$C$4,0),ROUNDDOWN($E318*ROUND((9*$Y318-9*$E318)/(10*$E318),4),0))))</f>
        <v/>
      </c>
      <c r="AB318" s="13" t="n"/>
      <c r="AC318" s="15">
        <f>IF($B318="","",IF($AB318&lt;&gt;"",$AB318,IF($AA318="","",IF($AA318&lt;=設定!$C$3,0,$AA318))))</f>
        <v/>
      </c>
      <c r="AD318" s="14">
        <f>IF($B318="","",IF(AND($AE318&lt;&gt;"",$AG318="",$AJ318=""),"保留中",IF($AJ318&lt;&gt;"",IF(N($AC318)&gt;0,"支給済","不支給"),IF($AC318="","要確認",IF($AC318=0,"不支給","未処理")))))</f>
        <v/>
      </c>
      <c r="AE318" s="12" t="n"/>
      <c r="AF318" s="11" t="n"/>
      <c r="AG318" s="11" t="n"/>
      <c r="AH318" s="11" t="n"/>
      <c r="AI318" s="14">
        <f>IF(AND($AD318="保留中",$AF318&lt;&gt;""),TODAY()-$AF318,"")</f>
        <v/>
      </c>
      <c r="AJ318" s="12" t="inlineStr">
        <is>
          <t>R7.8</t>
        </is>
      </c>
      <c r="AK318" s="14">
        <f>IF($B318="","",IF($AO318="","対象年月が未入力／","")&amp;IF($B318="","",IF($AN318="","職員マスタに未登録の職員番号／",IF($Y318="","標準報酬月額が未登録／","")&amp;IF(AND($AO318&lt;&gt;"",OR(AND(INDEX(職員マスタ!$G$6:$G$405,$AN318)&lt;&gt;"",INDEX(職員マスタ!$G$6:$G$405,$AN318)&gt;EOMONTH($AO318,0)),AND(INDEX(職員マスタ!$H$6:$H$405,$AN318)&lt;&gt;"",INDEX(職員マスタ!$H$6:$H$405,$AN318)&lt;$AO318))),"対象月が時短期間外／","")&amp;IF(AND(INDEX(職員マスタ!$F$6:$F$405,$AN318)&lt;&gt;"",$AO318&lt;&gt;"",INDEX(職員マスタ!$F$6:$F$405,$AN318)&lt;$AO318),"対象月に子が2歳到達済／","")&amp;IF(AND($H318&lt;&gt;"",INDEX(職員マスタ!$B$6:$B$405,$AN318)&lt;&gt;"",SUBSTITUTE(SUBSTITUTE($H318," ","")," ","")&lt;&gt;SUBSTITUTE(SUBSTITUTE(INDEX(職員マスタ!$B$6:$B$405,$AN318)," ","")," ","")),"氏名がマスタと相違／","")&amp;IF(AND($Q318&lt;&gt;"",INDEX(職員マスタ!$E$6:$E$405,$AN318)&lt;&gt;"",$Q318&lt;&gt;INDEX(職員マスタ!$E$6:$E$405,$AN318)),"子の生年月日がマスタと相違／","")&amp;IF(AND($L318&lt;&gt;"",INDEX(職員マスタ!$G$6:$G$405,$AN318)&lt;&gt;"",$L318&lt;&gt;INDEX(職員マスタ!$G$6:$G$405,$AN318)),"時短開始日がマスタと相違／","")&amp;IF(AND($M318&lt;&gt;"",INDEX(職員マスタ!$H$6:$H$405,$AN318)&lt;&gt;"",$M318&lt;&gt;INDEX(職員マスタ!$H$6:$H$405,$AN318)),"時短終了日がマスタと相違／","")))&amp;IF(AND($B318&lt;&gt;"",$E318=""),"報酬額が未入力／","")&amp;IF(N($U318)&gt;0,"申請書に入力エラーが残っています／","")&amp;IF(AND($B318&lt;&gt;"",$AO318&lt;&gt;""),IF(COUNTIFS($B$6:$B$3005,$B318,$C$6:$C$3005,$C318,$D$6:$D$3005,$D318)&gt;1,"同じ月の請求が重複しています／",""),"")&amp;IF(AND(N($E318)&gt;0,$Z318&lt;&gt;"",$Z318&lt;&gt;"×",$AC318=0,$AB318=""),"計算額が下限以下のため不支給／",""))</f>
        <v/>
      </c>
      <c r="AL318" s="12" t="n"/>
      <c r="AM318" s="14">
        <f>IF($AD318="保留中",COUNTIF($AD$6:$AD318,"保留中"),"")</f>
        <v/>
      </c>
      <c r="AN318" s="14">
        <f>IF($AO318="","",IF(SUMPRODUCT(MAX((職員マスタ!$A$6:$A$405=$B318)*(((職員マスタ!$G$6:$G$405="")+(職員マスタ!$G$6:$G$405&lt;=EOMONTH($AO318,0)))&gt;0)*(((職員マスタ!$H$6:$H$405="")+(職員マスタ!$H$6:$H$405&gt;=$AO318))&gt;0)*(ROW(職員マスタ!$A$6:$A$405)-5)))&gt;0,SUMPRODUCT(MAX((職員マスタ!$A$6:$A$405=$B318)*(((職員マスタ!$G$6:$G$405="")+(職員マスタ!$G$6:$G$405&lt;=EOMONTH($AO318,0)))&gt;0)*(((職員マスタ!$H$6:$H$405="")+(職員マスタ!$H$6:$H$405&gt;=$AO318))&gt;0)*(ROW(職員マスタ!$A$6:$A$405)-5))),IFERROR(MATCH($B318,職員マスタ!$A$6:$A$405,0),"")))</f>
        <v/>
      </c>
      <c r="AO318" s="16">
        <f>IF(OR($B318="",$C318="",$D318=""),"",DATE($C318+2018,$D318,1))</f>
        <v/>
      </c>
    </row>
    <row r="319">
      <c r="A319" s="11" t="n"/>
      <c r="B319" s="12" t="n">
        <v>6702534</v>
      </c>
      <c r="C319" s="12" t="n">
        <v>7</v>
      </c>
      <c r="D319" s="12" t="n">
        <v>7</v>
      </c>
      <c r="E319" s="13" t="n">
        <v>195694</v>
      </c>
      <c r="F319" s="12" t="n"/>
      <c r="G319" s="13" t="n"/>
      <c r="H319" s="12" t="n"/>
      <c r="I319" s="12" t="n"/>
      <c r="J319" s="12" t="n"/>
      <c r="K319" s="12" t="n"/>
      <c r="L319" s="11" t="n"/>
      <c r="M319" s="11" t="n"/>
      <c r="N319" s="11" t="n"/>
      <c r="O319" s="11" t="n"/>
      <c r="P319" s="12" t="n"/>
      <c r="Q319" s="11" t="n"/>
      <c r="R319" s="12" t="n"/>
      <c r="S319" s="11" t="n"/>
      <c r="T319" s="12" t="n"/>
      <c r="U319" s="12" t="n"/>
      <c r="V319" s="14">
        <f>IF($AN319="",IF($B319="","",$H319),IF(INDEX(職員マスタ!$B$6:$B$405,$AN319)="",$H319,INDEX(職員マスタ!$B$6:$B$405,$AN319)))</f>
        <v/>
      </c>
      <c r="W319" s="14">
        <f>IF($AN319="",IF($B319="","",$R319),IF(INDEX(職員マスタ!$C$6:$C$405,$AN319)="",$R319,INDEX(職員マスタ!$C$6:$C$405,$AN319)))</f>
        <v/>
      </c>
      <c r="X319" s="14">
        <f>IF($AO319="","","R"&amp;$C319&amp;"."&amp;$D319)</f>
        <v/>
      </c>
      <c r="Y319" s="15">
        <f>IF($AN319="","",IF(INDEX(職員マスタ!$K$6:$K$405,$AN319)="","",INDEX(職員マスタ!$K$6:$K$405,$AN319)))</f>
        <v/>
      </c>
      <c r="Z319" s="14">
        <f>IF(OR($E319="",$Y319=""),"",IF($E319&gt;=$Y319,"×",IF($E319&gt;=$Y319*設定!$C$5,"△","○")))</f>
        <v/>
      </c>
      <c r="AA319" s="15">
        <f>IF($Z319="","",IF($Z319="×",0,IF($Z319="○",ROUNDDOWN($E319*設定!$C$4,0),ROUNDDOWN($E319*ROUND((9*$Y319-9*$E319)/(10*$E319),4),0))))</f>
        <v/>
      </c>
      <c r="AB319" s="13" t="n"/>
      <c r="AC319" s="15">
        <f>IF($B319="","",IF($AB319&lt;&gt;"",$AB319,IF($AA319="","",IF($AA319&lt;=設定!$C$3,0,$AA319))))</f>
        <v/>
      </c>
      <c r="AD319" s="14">
        <f>IF($B319="","",IF(AND($AE319&lt;&gt;"",$AG319="",$AJ319=""),"保留中",IF($AJ319&lt;&gt;"",IF(N($AC319)&gt;0,"支給済","不支給"),IF($AC319="","要確認",IF($AC319=0,"不支給","未処理")))))</f>
        <v/>
      </c>
      <c r="AE319" s="12" t="n"/>
      <c r="AF319" s="11" t="n"/>
      <c r="AG319" s="11" t="n"/>
      <c r="AH319" s="11" t="n"/>
      <c r="AI319" s="14">
        <f>IF(AND($AD319="保留中",$AF319&lt;&gt;""),TODAY()-$AF319,"")</f>
        <v/>
      </c>
      <c r="AJ319" s="12" t="inlineStr">
        <is>
          <t>R7.9</t>
        </is>
      </c>
      <c r="AK319" s="14">
        <f>IF($B319="","",IF($AO319="","対象年月が未入力／","")&amp;IF($B319="","",IF($AN319="","職員マスタに未登録の職員番号／",IF($Y319="","標準報酬月額が未登録／","")&amp;IF(AND($AO319&lt;&gt;"",OR(AND(INDEX(職員マスタ!$G$6:$G$405,$AN319)&lt;&gt;"",INDEX(職員マスタ!$G$6:$G$405,$AN319)&gt;EOMONTH($AO319,0)),AND(INDEX(職員マスタ!$H$6:$H$405,$AN319)&lt;&gt;"",INDEX(職員マスタ!$H$6:$H$405,$AN319)&lt;$AO319))),"対象月が時短期間外／","")&amp;IF(AND(INDEX(職員マスタ!$F$6:$F$405,$AN319)&lt;&gt;"",$AO319&lt;&gt;"",INDEX(職員マスタ!$F$6:$F$405,$AN319)&lt;$AO319),"対象月に子が2歳到達済／","")&amp;IF(AND($H319&lt;&gt;"",INDEX(職員マスタ!$B$6:$B$405,$AN319)&lt;&gt;"",SUBSTITUTE(SUBSTITUTE($H319," ","")," ","")&lt;&gt;SUBSTITUTE(SUBSTITUTE(INDEX(職員マスタ!$B$6:$B$405,$AN319)," ","")," ","")),"氏名がマスタと相違／","")&amp;IF(AND($Q319&lt;&gt;"",INDEX(職員マスタ!$E$6:$E$405,$AN319)&lt;&gt;"",$Q319&lt;&gt;INDEX(職員マスタ!$E$6:$E$405,$AN319)),"子の生年月日がマスタと相違／","")&amp;IF(AND($L319&lt;&gt;"",INDEX(職員マスタ!$G$6:$G$405,$AN319)&lt;&gt;"",$L319&lt;&gt;INDEX(職員マスタ!$G$6:$G$405,$AN319)),"時短開始日がマスタと相違／","")&amp;IF(AND($M319&lt;&gt;"",INDEX(職員マスタ!$H$6:$H$405,$AN319)&lt;&gt;"",$M319&lt;&gt;INDEX(職員マスタ!$H$6:$H$405,$AN319)),"時短終了日がマスタと相違／","")))&amp;IF(AND($B319&lt;&gt;"",$E319=""),"報酬額が未入力／","")&amp;IF(N($U319)&gt;0,"申請書に入力エラーが残っています／","")&amp;IF(AND($B319&lt;&gt;"",$AO319&lt;&gt;""),IF(COUNTIFS($B$6:$B$3005,$B319,$C$6:$C$3005,$C319,$D$6:$D$3005,$D319)&gt;1,"同じ月の請求が重複しています／",""),"")&amp;IF(AND(N($E319)&gt;0,$Z319&lt;&gt;"",$Z319&lt;&gt;"×",$AC319=0,$AB319=""),"計算額が下限以下のため不支給／",""))</f>
        <v/>
      </c>
      <c r="AL319" s="12" t="n"/>
      <c r="AM319" s="14">
        <f>IF($AD319="保留中",COUNTIF($AD$6:$AD319,"保留中"),"")</f>
        <v/>
      </c>
      <c r="AN319" s="14">
        <f>IF($AO319="","",IF(SUMPRODUCT(MAX((職員マスタ!$A$6:$A$405=$B319)*(((職員マスタ!$G$6:$G$405="")+(職員マスタ!$G$6:$G$405&lt;=EOMONTH($AO319,0)))&gt;0)*(((職員マスタ!$H$6:$H$405="")+(職員マスタ!$H$6:$H$405&gt;=$AO319))&gt;0)*(ROW(職員マスタ!$A$6:$A$405)-5)))&gt;0,SUMPRODUCT(MAX((職員マスタ!$A$6:$A$405=$B319)*(((職員マスタ!$G$6:$G$405="")+(職員マスタ!$G$6:$G$405&lt;=EOMONTH($AO319,0)))&gt;0)*(((職員マスタ!$H$6:$H$405="")+(職員マスタ!$H$6:$H$405&gt;=$AO319))&gt;0)*(ROW(職員マスタ!$A$6:$A$405)-5))),IFERROR(MATCH($B319,職員マスタ!$A$6:$A$405,0),"")))</f>
        <v/>
      </c>
      <c r="AO319" s="16">
        <f>IF(OR($B319="",$C319="",$D319=""),"",DATE($C319+2018,$D319,1))</f>
        <v/>
      </c>
    </row>
    <row r="320">
      <c r="A320" s="11" t="n"/>
      <c r="B320" s="12" t="n">
        <v>6702534</v>
      </c>
      <c r="C320" s="12" t="n">
        <v>7</v>
      </c>
      <c r="D320" s="12" t="n">
        <v>8</v>
      </c>
      <c r="E320" s="13" t="n">
        <v>188418</v>
      </c>
      <c r="F320" s="12" t="n"/>
      <c r="G320" s="13" t="n"/>
      <c r="H320" s="12" t="n"/>
      <c r="I320" s="12" t="n"/>
      <c r="J320" s="12" t="n"/>
      <c r="K320" s="12" t="n"/>
      <c r="L320" s="11" t="n"/>
      <c r="M320" s="11" t="n"/>
      <c r="N320" s="11" t="n"/>
      <c r="O320" s="11" t="n"/>
      <c r="P320" s="12" t="n"/>
      <c r="Q320" s="11" t="n"/>
      <c r="R320" s="12" t="n"/>
      <c r="S320" s="11" t="n"/>
      <c r="T320" s="12" t="n"/>
      <c r="U320" s="12" t="n"/>
      <c r="V320" s="14">
        <f>IF($AN320="",IF($B320="","",$H320),IF(INDEX(職員マスタ!$B$6:$B$405,$AN320)="",$H320,INDEX(職員マスタ!$B$6:$B$405,$AN320)))</f>
        <v/>
      </c>
      <c r="W320" s="14">
        <f>IF($AN320="",IF($B320="","",$R320),IF(INDEX(職員マスタ!$C$6:$C$405,$AN320)="",$R320,INDEX(職員マスタ!$C$6:$C$405,$AN320)))</f>
        <v/>
      </c>
      <c r="X320" s="14">
        <f>IF($AO320="","","R"&amp;$C320&amp;"."&amp;$D320)</f>
        <v/>
      </c>
      <c r="Y320" s="15">
        <f>IF($AN320="","",IF(INDEX(職員マスタ!$K$6:$K$405,$AN320)="","",INDEX(職員マスタ!$K$6:$K$405,$AN320)))</f>
        <v/>
      </c>
      <c r="Z320" s="14">
        <f>IF(OR($E320="",$Y320=""),"",IF($E320&gt;=$Y320,"×",IF($E320&gt;=$Y320*設定!$C$5,"△","○")))</f>
        <v/>
      </c>
      <c r="AA320" s="15">
        <f>IF($Z320="","",IF($Z320="×",0,IF($Z320="○",ROUNDDOWN($E320*設定!$C$4,0),ROUNDDOWN($E320*ROUND((9*$Y320-9*$E320)/(10*$E320),4),0))))</f>
        <v/>
      </c>
      <c r="AB320" s="13" t="n"/>
      <c r="AC320" s="15">
        <f>IF($B320="","",IF($AB320&lt;&gt;"",$AB320,IF($AA320="","",IF($AA320&lt;=設定!$C$3,0,$AA320))))</f>
        <v/>
      </c>
      <c r="AD320" s="14">
        <f>IF($B320="","",IF(AND($AE320&lt;&gt;"",$AG320="",$AJ320=""),"保留中",IF($AJ320&lt;&gt;"",IF(N($AC320)&gt;0,"支給済","不支給"),IF($AC320="","要確認",IF($AC320=0,"不支給","未処理")))))</f>
        <v/>
      </c>
      <c r="AE320" s="12" t="n"/>
      <c r="AF320" s="11" t="n"/>
      <c r="AG320" s="11" t="n"/>
      <c r="AH320" s="11" t="n"/>
      <c r="AI320" s="14">
        <f>IF(AND($AD320="保留中",$AF320&lt;&gt;""),TODAY()-$AF320,"")</f>
        <v/>
      </c>
      <c r="AJ320" s="12" t="inlineStr">
        <is>
          <t>R7.10</t>
        </is>
      </c>
      <c r="AK320" s="14">
        <f>IF($B320="","",IF($AO320="","対象年月が未入力／","")&amp;IF($B320="","",IF($AN320="","職員マスタに未登録の職員番号／",IF($Y320="","標準報酬月額が未登録／","")&amp;IF(AND($AO320&lt;&gt;"",OR(AND(INDEX(職員マスタ!$G$6:$G$405,$AN320)&lt;&gt;"",INDEX(職員マスタ!$G$6:$G$405,$AN320)&gt;EOMONTH($AO320,0)),AND(INDEX(職員マスタ!$H$6:$H$405,$AN320)&lt;&gt;"",INDEX(職員マスタ!$H$6:$H$405,$AN320)&lt;$AO320))),"対象月が時短期間外／","")&amp;IF(AND(INDEX(職員マスタ!$F$6:$F$405,$AN320)&lt;&gt;"",$AO320&lt;&gt;"",INDEX(職員マスタ!$F$6:$F$405,$AN320)&lt;$AO320),"対象月に子が2歳到達済／","")&amp;IF(AND($H320&lt;&gt;"",INDEX(職員マスタ!$B$6:$B$405,$AN320)&lt;&gt;"",SUBSTITUTE(SUBSTITUTE($H320," ","")," ","")&lt;&gt;SUBSTITUTE(SUBSTITUTE(INDEX(職員マスタ!$B$6:$B$405,$AN320)," ","")," ","")),"氏名がマスタと相違／","")&amp;IF(AND($Q320&lt;&gt;"",INDEX(職員マスタ!$E$6:$E$405,$AN320)&lt;&gt;"",$Q320&lt;&gt;INDEX(職員マスタ!$E$6:$E$405,$AN320)),"子の生年月日がマスタと相違／","")&amp;IF(AND($L320&lt;&gt;"",INDEX(職員マスタ!$G$6:$G$405,$AN320)&lt;&gt;"",$L320&lt;&gt;INDEX(職員マスタ!$G$6:$G$405,$AN320)),"時短開始日がマスタと相違／","")&amp;IF(AND($M320&lt;&gt;"",INDEX(職員マスタ!$H$6:$H$405,$AN320)&lt;&gt;"",$M320&lt;&gt;INDEX(職員マスタ!$H$6:$H$405,$AN320)),"時短終了日がマスタと相違／","")))&amp;IF(AND($B320&lt;&gt;"",$E320=""),"報酬額が未入力／","")&amp;IF(N($U320)&gt;0,"申請書に入力エラーが残っています／","")&amp;IF(AND($B320&lt;&gt;"",$AO320&lt;&gt;""),IF(COUNTIFS($B$6:$B$3005,$B320,$C$6:$C$3005,$C320,$D$6:$D$3005,$D320)&gt;1,"同じ月の請求が重複しています／",""),"")&amp;IF(AND(N($E320)&gt;0,$Z320&lt;&gt;"",$Z320&lt;&gt;"×",$AC320=0,$AB320=""),"計算額が下限以下のため不支給／",""))</f>
        <v/>
      </c>
      <c r="AL320" s="12" t="n"/>
      <c r="AM320" s="14">
        <f>IF($AD320="保留中",COUNTIF($AD$6:$AD320,"保留中"),"")</f>
        <v/>
      </c>
      <c r="AN320" s="14">
        <f>IF($AO320="","",IF(SUMPRODUCT(MAX((職員マスタ!$A$6:$A$405=$B320)*(((職員マスタ!$G$6:$G$405="")+(職員マスタ!$G$6:$G$405&lt;=EOMONTH($AO320,0)))&gt;0)*(((職員マスタ!$H$6:$H$405="")+(職員マスタ!$H$6:$H$405&gt;=$AO320))&gt;0)*(ROW(職員マスタ!$A$6:$A$405)-5)))&gt;0,SUMPRODUCT(MAX((職員マスタ!$A$6:$A$405=$B320)*(((職員マスタ!$G$6:$G$405="")+(職員マスタ!$G$6:$G$405&lt;=EOMONTH($AO320,0)))&gt;0)*(((職員マスタ!$H$6:$H$405="")+(職員マスタ!$H$6:$H$405&gt;=$AO320))&gt;0)*(ROW(職員マスタ!$A$6:$A$405)-5))),IFERROR(MATCH($B320,職員マスタ!$A$6:$A$405,0),"")))</f>
        <v/>
      </c>
      <c r="AO320" s="16">
        <f>IF(OR($B320="",$C320="",$D320=""),"",DATE($C320+2018,$D320,1))</f>
        <v/>
      </c>
    </row>
    <row r="321">
      <c r="A321" s="11" t="n"/>
      <c r="B321" s="12" t="n">
        <v>6702534</v>
      </c>
      <c r="C321" s="12" t="n">
        <v>7</v>
      </c>
      <c r="D321" s="12" t="n">
        <v>9</v>
      </c>
      <c r="E321" s="13" t="n">
        <v>192058</v>
      </c>
      <c r="F321" s="12" t="n"/>
      <c r="G321" s="13" t="n"/>
      <c r="H321" s="12" t="n"/>
      <c r="I321" s="12" t="n"/>
      <c r="J321" s="12" t="n"/>
      <c r="K321" s="12" t="n"/>
      <c r="L321" s="11" t="n"/>
      <c r="M321" s="11" t="n"/>
      <c r="N321" s="11" t="n"/>
      <c r="O321" s="11" t="n"/>
      <c r="P321" s="12" t="n"/>
      <c r="Q321" s="11" t="n"/>
      <c r="R321" s="12" t="n"/>
      <c r="S321" s="11" t="n"/>
      <c r="T321" s="12" t="n"/>
      <c r="U321" s="12" t="n"/>
      <c r="V321" s="14">
        <f>IF($AN321="",IF($B321="","",$H321),IF(INDEX(職員マスタ!$B$6:$B$405,$AN321)="",$H321,INDEX(職員マスタ!$B$6:$B$405,$AN321)))</f>
        <v/>
      </c>
      <c r="W321" s="14">
        <f>IF($AN321="",IF($B321="","",$R321),IF(INDEX(職員マスタ!$C$6:$C$405,$AN321)="",$R321,INDEX(職員マスタ!$C$6:$C$405,$AN321)))</f>
        <v/>
      </c>
      <c r="X321" s="14">
        <f>IF($AO321="","","R"&amp;$C321&amp;"."&amp;$D321)</f>
        <v/>
      </c>
      <c r="Y321" s="15">
        <f>IF($AN321="","",IF(INDEX(職員マスタ!$K$6:$K$405,$AN321)="","",INDEX(職員マスタ!$K$6:$K$405,$AN321)))</f>
        <v/>
      </c>
      <c r="Z321" s="14">
        <f>IF(OR($E321="",$Y321=""),"",IF($E321&gt;=$Y321,"×",IF($E321&gt;=$Y321*設定!$C$5,"△","○")))</f>
        <v/>
      </c>
      <c r="AA321" s="15">
        <f>IF($Z321="","",IF($Z321="×",0,IF($Z321="○",ROUNDDOWN($E321*設定!$C$4,0),ROUNDDOWN($E321*ROUND((9*$Y321-9*$E321)/(10*$E321),4),0))))</f>
        <v/>
      </c>
      <c r="AB321" s="13" t="n"/>
      <c r="AC321" s="15">
        <f>IF($B321="","",IF($AB321&lt;&gt;"",$AB321,IF($AA321="","",IF($AA321&lt;=設定!$C$3,0,$AA321))))</f>
        <v/>
      </c>
      <c r="AD321" s="14">
        <f>IF($B321="","",IF(AND($AE321&lt;&gt;"",$AG321="",$AJ321=""),"保留中",IF($AJ321&lt;&gt;"",IF(N($AC321)&gt;0,"支給済","不支給"),IF($AC321="","要確認",IF($AC321=0,"不支給","未処理")))))</f>
        <v/>
      </c>
      <c r="AE321" s="12" t="n"/>
      <c r="AF321" s="11" t="n"/>
      <c r="AG321" s="11" t="n"/>
      <c r="AH321" s="11" t="n"/>
      <c r="AI321" s="14">
        <f>IF(AND($AD321="保留中",$AF321&lt;&gt;""),TODAY()-$AF321,"")</f>
        <v/>
      </c>
      <c r="AJ321" s="12" t="inlineStr">
        <is>
          <t>R7.11</t>
        </is>
      </c>
      <c r="AK321" s="14">
        <f>IF($B321="","",IF($AO321="","対象年月が未入力／","")&amp;IF($B321="","",IF($AN321="","職員マスタに未登録の職員番号／",IF($Y321="","標準報酬月額が未登録／","")&amp;IF(AND($AO321&lt;&gt;"",OR(AND(INDEX(職員マスタ!$G$6:$G$405,$AN321)&lt;&gt;"",INDEX(職員マスタ!$G$6:$G$405,$AN321)&gt;EOMONTH($AO321,0)),AND(INDEX(職員マスタ!$H$6:$H$405,$AN321)&lt;&gt;"",INDEX(職員マスタ!$H$6:$H$405,$AN321)&lt;$AO321))),"対象月が時短期間外／","")&amp;IF(AND(INDEX(職員マスタ!$F$6:$F$405,$AN321)&lt;&gt;"",$AO321&lt;&gt;"",INDEX(職員マスタ!$F$6:$F$405,$AN321)&lt;$AO321),"対象月に子が2歳到達済／","")&amp;IF(AND($H321&lt;&gt;"",INDEX(職員マスタ!$B$6:$B$405,$AN321)&lt;&gt;"",SUBSTITUTE(SUBSTITUTE($H321," ","")," ","")&lt;&gt;SUBSTITUTE(SUBSTITUTE(INDEX(職員マスタ!$B$6:$B$405,$AN321)," ","")," ","")),"氏名がマスタと相違／","")&amp;IF(AND($Q321&lt;&gt;"",INDEX(職員マスタ!$E$6:$E$405,$AN321)&lt;&gt;"",$Q321&lt;&gt;INDEX(職員マスタ!$E$6:$E$405,$AN321)),"子の生年月日がマスタと相違／","")&amp;IF(AND($L321&lt;&gt;"",INDEX(職員マスタ!$G$6:$G$405,$AN321)&lt;&gt;"",$L321&lt;&gt;INDEX(職員マスタ!$G$6:$G$405,$AN321)),"時短開始日がマスタと相違／","")&amp;IF(AND($M321&lt;&gt;"",INDEX(職員マスタ!$H$6:$H$405,$AN321)&lt;&gt;"",$M321&lt;&gt;INDEX(職員マスタ!$H$6:$H$405,$AN321)),"時短終了日がマスタと相違／","")))&amp;IF(AND($B321&lt;&gt;"",$E321=""),"報酬額が未入力／","")&amp;IF(N($U321)&gt;0,"申請書に入力エラーが残っています／","")&amp;IF(AND($B321&lt;&gt;"",$AO321&lt;&gt;""),IF(COUNTIFS($B$6:$B$3005,$B321,$C$6:$C$3005,$C321,$D$6:$D$3005,$D321)&gt;1,"同じ月の請求が重複しています／",""),"")&amp;IF(AND(N($E321)&gt;0,$Z321&lt;&gt;"",$Z321&lt;&gt;"×",$AC321=0,$AB321=""),"計算額が下限以下のため不支給／",""))</f>
        <v/>
      </c>
      <c r="AL321" s="12" t="n"/>
      <c r="AM321" s="14">
        <f>IF($AD321="保留中",COUNTIF($AD$6:$AD321,"保留中"),"")</f>
        <v/>
      </c>
      <c r="AN321" s="14">
        <f>IF($AO321="","",IF(SUMPRODUCT(MAX((職員マスタ!$A$6:$A$405=$B321)*(((職員マスタ!$G$6:$G$405="")+(職員マスタ!$G$6:$G$405&lt;=EOMONTH($AO321,0)))&gt;0)*(((職員マスタ!$H$6:$H$405="")+(職員マスタ!$H$6:$H$405&gt;=$AO321))&gt;0)*(ROW(職員マスタ!$A$6:$A$405)-5)))&gt;0,SUMPRODUCT(MAX((職員マスタ!$A$6:$A$405=$B321)*(((職員マスタ!$G$6:$G$405="")+(職員マスタ!$G$6:$G$405&lt;=EOMONTH($AO321,0)))&gt;0)*(((職員マスタ!$H$6:$H$405="")+(職員マスタ!$H$6:$H$405&gt;=$AO321))&gt;0)*(ROW(職員マスタ!$A$6:$A$405)-5))),IFERROR(MATCH($B321,職員マスタ!$A$6:$A$405,0),"")))</f>
        <v/>
      </c>
      <c r="AO321" s="16">
        <f>IF(OR($B321="",$C321="",$D321=""),"",DATE($C321+2018,$D321,1))</f>
        <v/>
      </c>
    </row>
    <row r="322">
      <c r="A322" s="11" t="n"/>
      <c r="B322" s="12" t="n">
        <v>6702534</v>
      </c>
      <c r="C322" s="12" t="n">
        <v>7</v>
      </c>
      <c r="D322" s="12" t="n">
        <v>10</v>
      </c>
      <c r="E322" s="13" t="n">
        <v>200890</v>
      </c>
      <c r="F322" s="12" t="n"/>
      <c r="G322" s="13" t="n"/>
      <c r="H322" s="12" t="n"/>
      <c r="I322" s="12" t="n"/>
      <c r="J322" s="12" t="n"/>
      <c r="K322" s="12" t="n"/>
      <c r="L322" s="11" t="n"/>
      <c r="M322" s="11" t="n"/>
      <c r="N322" s="11" t="n"/>
      <c r="O322" s="11" t="n"/>
      <c r="P322" s="12" t="n"/>
      <c r="Q322" s="11" t="n"/>
      <c r="R322" s="12" t="n"/>
      <c r="S322" s="11" t="n"/>
      <c r="T322" s="12" t="n"/>
      <c r="U322" s="12" t="n"/>
      <c r="V322" s="14">
        <f>IF($AN322="",IF($B322="","",$H322),IF(INDEX(職員マスタ!$B$6:$B$405,$AN322)="",$H322,INDEX(職員マスタ!$B$6:$B$405,$AN322)))</f>
        <v/>
      </c>
      <c r="W322" s="14">
        <f>IF($AN322="",IF($B322="","",$R322),IF(INDEX(職員マスタ!$C$6:$C$405,$AN322)="",$R322,INDEX(職員マスタ!$C$6:$C$405,$AN322)))</f>
        <v/>
      </c>
      <c r="X322" s="14">
        <f>IF($AO322="","","R"&amp;$C322&amp;"."&amp;$D322)</f>
        <v/>
      </c>
      <c r="Y322" s="15">
        <f>IF($AN322="","",IF(INDEX(職員マスタ!$K$6:$K$405,$AN322)="","",INDEX(職員マスタ!$K$6:$K$405,$AN322)))</f>
        <v/>
      </c>
      <c r="Z322" s="14">
        <f>IF(OR($E322="",$Y322=""),"",IF($E322&gt;=$Y322,"×",IF($E322&gt;=$Y322*設定!$C$5,"△","○")))</f>
        <v/>
      </c>
      <c r="AA322" s="15">
        <f>IF($Z322="","",IF($Z322="×",0,IF($Z322="○",ROUNDDOWN($E322*設定!$C$4,0),ROUNDDOWN($E322*ROUND((9*$Y322-9*$E322)/(10*$E322),4),0))))</f>
        <v/>
      </c>
      <c r="AB322" s="13" t="n"/>
      <c r="AC322" s="15">
        <f>IF($B322="","",IF($AB322&lt;&gt;"",$AB322,IF($AA322="","",IF($AA322&lt;=設定!$C$3,0,$AA322))))</f>
        <v/>
      </c>
      <c r="AD322" s="14">
        <f>IF($B322="","",IF(AND($AE322&lt;&gt;"",$AG322="",$AJ322=""),"保留中",IF($AJ322&lt;&gt;"",IF(N($AC322)&gt;0,"支給済","不支給"),IF($AC322="","要確認",IF($AC322=0,"不支給","未処理")))))</f>
        <v/>
      </c>
      <c r="AE322" s="12" t="n"/>
      <c r="AF322" s="11" t="n"/>
      <c r="AG322" s="11" t="n"/>
      <c r="AH322" s="11" t="n"/>
      <c r="AI322" s="14">
        <f>IF(AND($AD322="保留中",$AF322&lt;&gt;""),TODAY()-$AF322,"")</f>
        <v/>
      </c>
      <c r="AJ322" s="12" t="inlineStr">
        <is>
          <t>R7.12</t>
        </is>
      </c>
      <c r="AK322" s="14">
        <f>IF($B322="","",IF($AO322="","対象年月が未入力／","")&amp;IF($B322="","",IF($AN322="","職員マスタに未登録の職員番号／",IF($Y322="","標準報酬月額が未登録／","")&amp;IF(AND($AO322&lt;&gt;"",OR(AND(INDEX(職員マスタ!$G$6:$G$405,$AN322)&lt;&gt;"",INDEX(職員マスタ!$G$6:$G$405,$AN322)&gt;EOMONTH($AO322,0)),AND(INDEX(職員マスタ!$H$6:$H$405,$AN322)&lt;&gt;"",INDEX(職員マスタ!$H$6:$H$405,$AN322)&lt;$AO322))),"対象月が時短期間外／","")&amp;IF(AND(INDEX(職員マスタ!$F$6:$F$405,$AN322)&lt;&gt;"",$AO322&lt;&gt;"",INDEX(職員マスタ!$F$6:$F$405,$AN322)&lt;$AO322),"対象月に子が2歳到達済／","")&amp;IF(AND($H322&lt;&gt;"",INDEX(職員マスタ!$B$6:$B$405,$AN322)&lt;&gt;"",SUBSTITUTE(SUBSTITUTE($H322," ","")," ","")&lt;&gt;SUBSTITUTE(SUBSTITUTE(INDEX(職員マスタ!$B$6:$B$405,$AN322)," ","")," ","")),"氏名がマスタと相違／","")&amp;IF(AND($Q322&lt;&gt;"",INDEX(職員マスタ!$E$6:$E$405,$AN322)&lt;&gt;"",$Q322&lt;&gt;INDEX(職員マスタ!$E$6:$E$405,$AN322)),"子の生年月日がマスタと相違／","")&amp;IF(AND($L322&lt;&gt;"",INDEX(職員マスタ!$G$6:$G$405,$AN322)&lt;&gt;"",$L322&lt;&gt;INDEX(職員マスタ!$G$6:$G$405,$AN322)),"時短開始日がマスタと相違／","")&amp;IF(AND($M322&lt;&gt;"",INDEX(職員マスタ!$H$6:$H$405,$AN322)&lt;&gt;"",$M322&lt;&gt;INDEX(職員マスタ!$H$6:$H$405,$AN322)),"時短終了日がマスタと相違／","")))&amp;IF(AND($B322&lt;&gt;"",$E322=""),"報酬額が未入力／","")&amp;IF(N($U322)&gt;0,"申請書に入力エラーが残っています／","")&amp;IF(AND($B322&lt;&gt;"",$AO322&lt;&gt;""),IF(COUNTIFS($B$6:$B$3005,$B322,$C$6:$C$3005,$C322,$D$6:$D$3005,$D322)&gt;1,"同じ月の請求が重複しています／",""),"")&amp;IF(AND(N($E322)&gt;0,$Z322&lt;&gt;"",$Z322&lt;&gt;"×",$AC322=0,$AB322=""),"計算額が下限以下のため不支給／",""))</f>
        <v/>
      </c>
      <c r="AL322" s="12" t="n"/>
      <c r="AM322" s="14">
        <f>IF($AD322="保留中",COUNTIF($AD$6:$AD322,"保留中"),"")</f>
        <v/>
      </c>
      <c r="AN322" s="14">
        <f>IF($AO322="","",IF(SUMPRODUCT(MAX((職員マスタ!$A$6:$A$405=$B322)*(((職員マスタ!$G$6:$G$405="")+(職員マスタ!$G$6:$G$405&lt;=EOMONTH($AO322,0)))&gt;0)*(((職員マスタ!$H$6:$H$405="")+(職員マスタ!$H$6:$H$405&gt;=$AO322))&gt;0)*(ROW(職員マスタ!$A$6:$A$405)-5)))&gt;0,SUMPRODUCT(MAX((職員マスタ!$A$6:$A$405=$B322)*(((職員マスタ!$G$6:$G$405="")+(職員マスタ!$G$6:$G$405&lt;=EOMONTH($AO322,0)))&gt;0)*(((職員マスタ!$H$6:$H$405="")+(職員マスタ!$H$6:$H$405&gt;=$AO322))&gt;0)*(ROW(職員マスタ!$A$6:$A$405)-5))),IFERROR(MATCH($B322,職員マスタ!$A$6:$A$405,0),"")))</f>
        <v/>
      </c>
      <c r="AO322" s="16">
        <f>IF(OR($B322="",$C322="",$D322=""),"",DATE($C322+2018,$D322,1))</f>
        <v/>
      </c>
    </row>
    <row r="323">
      <c r="A323" s="11" t="n"/>
      <c r="B323" s="12" t="n">
        <v>6702534</v>
      </c>
      <c r="C323" s="12" t="n">
        <v>7</v>
      </c>
      <c r="D323" s="12" t="n">
        <v>11</v>
      </c>
      <c r="E323" s="13" t="n">
        <v>201018</v>
      </c>
      <c r="F323" s="12" t="n"/>
      <c r="G323" s="13" t="n"/>
      <c r="H323" s="12" t="n"/>
      <c r="I323" s="12" t="n"/>
      <c r="J323" s="12" t="n"/>
      <c r="K323" s="12" t="n"/>
      <c r="L323" s="11" t="n"/>
      <c r="M323" s="11" t="n"/>
      <c r="N323" s="11" t="n"/>
      <c r="O323" s="11" t="n"/>
      <c r="P323" s="12" t="n"/>
      <c r="Q323" s="11" t="n"/>
      <c r="R323" s="12" t="n"/>
      <c r="S323" s="11" t="n"/>
      <c r="T323" s="12" t="n"/>
      <c r="U323" s="12" t="n"/>
      <c r="V323" s="14">
        <f>IF($AN323="",IF($B323="","",$H323),IF(INDEX(職員マスタ!$B$6:$B$405,$AN323)="",$H323,INDEX(職員マスタ!$B$6:$B$405,$AN323)))</f>
        <v/>
      </c>
      <c r="W323" s="14">
        <f>IF($AN323="",IF($B323="","",$R323),IF(INDEX(職員マスタ!$C$6:$C$405,$AN323)="",$R323,INDEX(職員マスタ!$C$6:$C$405,$AN323)))</f>
        <v/>
      </c>
      <c r="X323" s="14">
        <f>IF($AO323="","","R"&amp;$C323&amp;"."&amp;$D323)</f>
        <v/>
      </c>
      <c r="Y323" s="15">
        <f>IF($AN323="","",IF(INDEX(職員マスタ!$K$6:$K$405,$AN323)="","",INDEX(職員マスタ!$K$6:$K$405,$AN323)))</f>
        <v/>
      </c>
      <c r="Z323" s="14">
        <f>IF(OR($E323="",$Y323=""),"",IF($E323&gt;=$Y323,"×",IF($E323&gt;=$Y323*設定!$C$5,"△","○")))</f>
        <v/>
      </c>
      <c r="AA323" s="15">
        <f>IF($Z323="","",IF($Z323="×",0,IF($Z323="○",ROUNDDOWN($E323*設定!$C$4,0),ROUNDDOWN($E323*ROUND((9*$Y323-9*$E323)/(10*$E323),4),0))))</f>
        <v/>
      </c>
      <c r="AB323" s="13" t="n"/>
      <c r="AC323" s="15">
        <f>IF($B323="","",IF($AB323&lt;&gt;"",$AB323,IF($AA323="","",IF($AA323&lt;=設定!$C$3,0,$AA323))))</f>
        <v/>
      </c>
      <c r="AD323" s="14">
        <f>IF($B323="","",IF(AND($AE323&lt;&gt;"",$AG323="",$AJ323=""),"保留中",IF($AJ323&lt;&gt;"",IF(N($AC323)&gt;0,"支給済","不支給"),IF($AC323="","要確認",IF($AC323=0,"不支給","未処理")))))</f>
        <v/>
      </c>
      <c r="AE323" s="12" t="n"/>
      <c r="AF323" s="11" t="n"/>
      <c r="AG323" s="11" t="n"/>
      <c r="AH323" s="11" t="n"/>
      <c r="AI323" s="14">
        <f>IF(AND($AD323="保留中",$AF323&lt;&gt;""),TODAY()-$AF323,"")</f>
        <v/>
      </c>
      <c r="AJ323" s="12" t="inlineStr">
        <is>
          <t>R8.1</t>
        </is>
      </c>
      <c r="AK323" s="14">
        <f>IF($B323="","",IF($AO323="","対象年月が未入力／","")&amp;IF($B323="","",IF($AN323="","職員マスタに未登録の職員番号／",IF($Y323="","標準報酬月額が未登録／","")&amp;IF(AND($AO323&lt;&gt;"",OR(AND(INDEX(職員マスタ!$G$6:$G$405,$AN323)&lt;&gt;"",INDEX(職員マスタ!$G$6:$G$405,$AN323)&gt;EOMONTH($AO323,0)),AND(INDEX(職員マスタ!$H$6:$H$405,$AN323)&lt;&gt;"",INDEX(職員マスタ!$H$6:$H$405,$AN323)&lt;$AO323))),"対象月が時短期間外／","")&amp;IF(AND(INDEX(職員マスタ!$F$6:$F$405,$AN323)&lt;&gt;"",$AO323&lt;&gt;"",INDEX(職員マスタ!$F$6:$F$405,$AN323)&lt;$AO323),"対象月に子が2歳到達済／","")&amp;IF(AND($H323&lt;&gt;"",INDEX(職員マスタ!$B$6:$B$405,$AN323)&lt;&gt;"",SUBSTITUTE(SUBSTITUTE($H323," ","")," ","")&lt;&gt;SUBSTITUTE(SUBSTITUTE(INDEX(職員マスタ!$B$6:$B$405,$AN323)," ","")," ","")),"氏名がマスタと相違／","")&amp;IF(AND($Q323&lt;&gt;"",INDEX(職員マスタ!$E$6:$E$405,$AN323)&lt;&gt;"",$Q323&lt;&gt;INDEX(職員マスタ!$E$6:$E$405,$AN323)),"子の生年月日がマスタと相違／","")&amp;IF(AND($L323&lt;&gt;"",INDEX(職員マスタ!$G$6:$G$405,$AN323)&lt;&gt;"",$L323&lt;&gt;INDEX(職員マスタ!$G$6:$G$405,$AN323)),"時短開始日がマスタと相違／","")&amp;IF(AND($M323&lt;&gt;"",INDEX(職員マスタ!$H$6:$H$405,$AN323)&lt;&gt;"",$M323&lt;&gt;INDEX(職員マスタ!$H$6:$H$405,$AN323)),"時短終了日がマスタと相違／","")))&amp;IF(AND($B323&lt;&gt;"",$E323=""),"報酬額が未入力／","")&amp;IF(N($U323)&gt;0,"申請書に入力エラーが残っています／","")&amp;IF(AND($B323&lt;&gt;"",$AO323&lt;&gt;""),IF(COUNTIFS($B$6:$B$3005,$B323,$C$6:$C$3005,$C323,$D$6:$D$3005,$D323)&gt;1,"同じ月の請求が重複しています／",""),"")&amp;IF(AND(N($E323)&gt;0,$Z323&lt;&gt;"",$Z323&lt;&gt;"×",$AC323=0,$AB323=""),"計算額が下限以下のため不支給／",""))</f>
        <v/>
      </c>
      <c r="AL323" s="12" t="n"/>
      <c r="AM323" s="14">
        <f>IF($AD323="保留中",COUNTIF($AD$6:$AD323,"保留中"),"")</f>
        <v/>
      </c>
      <c r="AN323" s="14">
        <f>IF($AO323="","",IF(SUMPRODUCT(MAX((職員マスタ!$A$6:$A$405=$B323)*(((職員マスタ!$G$6:$G$405="")+(職員マスタ!$G$6:$G$405&lt;=EOMONTH($AO323,0)))&gt;0)*(((職員マスタ!$H$6:$H$405="")+(職員マスタ!$H$6:$H$405&gt;=$AO323))&gt;0)*(ROW(職員マスタ!$A$6:$A$405)-5)))&gt;0,SUMPRODUCT(MAX((職員マスタ!$A$6:$A$405=$B323)*(((職員マスタ!$G$6:$G$405="")+(職員マスタ!$G$6:$G$405&lt;=EOMONTH($AO323,0)))&gt;0)*(((職員マスタ!$H$6:$H$405="")+(職員マスタ!$H$6:$H$405&gt;=$AO323))&gt;0)*(ROW(職員マスタ!$A$6:$A$405)-5))),IFERROR(MATCH($B323,職員マスタ!$A$6:$A$405,0),"")))</f>
        <v/>
      </c>
      <c r="AO323" s="16">
        <f>IF(OR($B323="",$C323="",$D323=""),"",DATE($C323+2018,$D323,1))</f>
        <v/>
      </c>
    </row>
    <row r="324">
      <c r="A324" s="11" t="n"/>
      <c r="B324" s="12" t="n">
        <v>6702559</v>
      </c>
      <c r="C324" s="12" t="n">
        <v>8</v>
      </c>
      <c r="D324" s="12" t="n">
        <v>1</v>
      </c>
      <c r="E324" s="13" t="n">
        <v>193711</v>
      </c>
      <c r="F324" s="12" t="n"/>
      <c r="G324" s="13" t="n"/>
      <c r="H324" s="12" t="n"/>
      <c r="I324" s="12" t="n"/>
      <c r="J324" s="12" t="n"/>
      <c r="K324" s="12" t="n"/>
      <c r="L324" s="11" t="n"/>
      <c r="M324" s="11" t="n"/>
      <c r="N324" s="11" t="n"/>
      <c r="O324" s="11" t="n"/>
      <c r="P324" s="12" t="n"/>
      <c r="Q324" s="11" t="n"/>
      <c r="R324" s="12" t="n"/>
      <c r="S324" s="11" t="n"/>
      <c r="T324" s="12" t="n"/>
      <c r="U324" s="12" t="n"/>
      <c r="V324" s="14">
        <f>IF($AN324="",IF($B324="","",$H324),IF(INDEX(職員マスタ!$B$6:$B$405,$AN324)="",$H324,INDEX(職員マスタ!$B$6:$B$405,$AN324)))</f>
        <v/>
      </c>
      <c r="W324" s="14">
        <f>IF($AN324="",IF($B324="","",$R324),IF(INDEX(職員マスタ!$C$6:$C$405,$AN324)="",$R324,INDEX(職員マスタ!$C$6:$C$405,$AN324)))</f>
        <v/>
      </c>
      <c r="X324" s="14">
        <f>IF($AO324="","","R"&amp;$C324&amp;"."&amp;$D324)</f>
        <v/>
      </c>
      <c r="Y324" s="15">
        <f>IF($AN324="","",IF(INDEX(職員マスタ!$K$6:$K$405,$AN324)="","",INDEX(職員マスタ!$K$6:$K$405,$AN324)))</f>
        <v/>
      </c>
      <c r="Z324" s="14">
        <f>IF(OR($E324="",$Y324=""),"",IF($E324&gt;=$Y324,"×",IF($E324&gt;=$Y324*設定!$C$5,"△","○")))</f>
        <v/>
      </c>
      <c r="AA324" s="15">
        <f>IF($Z324="","",IF($Z324="×",0,IF($Z324="○",ROUNDDOWN($E324*設定!$C$4,0),ROUNDDOWN($E324*ROUND((9*$Y324-9*$E324)/(10*$E324),4),0))))</f>
        <v/>
      </c>
      <c r="AB324" s="13" t="n"/>
      <c r="AC324" s="15">
        <f>IF($B324="","",IF($AB324&lt;&gt;"",$AB324,IF($AA324="","",IF($AA324&lt;=設定!$C$3,0,$AA324))))</f>
        <v/>
      </c>
      <c r="AD324" s="14">
        <f>IF($B324="","",IF(AND($AE324&lt;&gt;"",$AG324="",$AJ324=""),"保留中",IF($AJ324&lt;&gt;"",IF(N($AC324)&gt;0,"支給済","不支給"),IF($AC324="","要確認",IF($AC324=0,"不支給","未処理")))))</f>
        <v/>
      </c>
      <c r="AE324" s="12" t="n"/>
      <c r="AF324" s="11" t="n"/>
      <c r="AG324" s="11" t="n"/>
      <c r="AH324" s="11" t="n"/>
      <c r="AI324" s="14">
        <f>IF(AND($AD324="保留中",$AF324&lt;&gt;""),TODAY()-$AF324,"")</f>
        <v/>
      </c>
      <c r="AJ324" s="12" t="inlineStr">
        <is>
          <t>R8.4</t>
        </is>
      </c>
      <c r="AK324" s="14">
        <f>IF($B324="","",IF($AO324="","対象年月が未入力／","")&amp;IF($B324="","",IF($AN324="","職員マスタに未登録の職員番号／",IF($Y324="","標準報酬月額が未登録／","")&amp;IF(AND($AO324&lt;&gt;"",OR(AND(INDEX(職員マスタ!$G$6:$G$405,$AN324)&lt;&gt;"",INDEX(職員マスタ!$G$6:$G$405,$AN324)&gt;EOMONTH($AO324,0)),AND(INDEX(職員マスタ!$H$6:$H$405,$AN324)&lt;&gt;"",INDEX(職員マスタ!$H$6:$H$405,$AN324)&lt;$AO324))),"対象月が時短期間外／","")&amp;IF(AND(INDEX(職員マスタ!$F$6:$F$405,$AN324)&lt;&gt;"",$AO324&lt;&gt;"",INDEX(職員マスタ!$F$6:$F$405,$AN324)&lt;$AO324),"対象月に子が2歳到達済／","")&amp;IF(AND($H324&lt;&gt;"",INDEX(職員マスタ!$B$6:$B$405,$AN324)&lt;&gt;"",SUBSTITUTE(SUBSTITUTE($H324," ","")," ","")&lt;&gt;SUBSTITUTE(SUBSTITUTE(INDEX(職員マスタ!$B$6:$B$405,$AN324)," ","")," ","")),"氏名がマスタと相違／","")&amp;IF(AND($Q324&lt;&gt;"",INDEX(職員マスタ!$E$6:$E$405,$AN324)&lt;&gt;"",$Q324&lt;&gt;INDEX(職員マスタ!$E$6:$E$405,$AN324)),"子の生年月日がマスタと相違／","")&amp;IF(AND($L324&lt;&gt;"",INDEX(職員マスタ!$G$6:$G$405,$AN324)&lt;&gt;"",$L324&lt;&gt;INDEX(職員マスタ!$G$6:$G$405,$AN324)),"時短開始日がマスタと相違／","")&amp;IF(AND($M324&lt;&gt;"",INDEX(職員マスタ!$H$6:$H$405,$AN324)&lt;&gt;"",$M324&lt;&gt;INDEX(職員マスタ!$H$6:$H$405,$AN324)),"時短終了日がマスタと相違／","")))&amp;IF(AND($B324&lt;&gt;"",$E324=""),"報酬額が未入力／","")&amp;IF(N($U324)&gt;0,"申請書に入力エラーが残っています／","")&amp;IF(AND($B324&lt;&gt;"",$AO324&lt;&gt;""),IF(COUNTIFS($B$6:$B$3005,$B324,$C$6:$C$3005,$C324,$D$6:$D$3005,$D324)&gt;1,"同じ月の請求が重複しています／",""),"")&amp;IF(AND(N($E324)&gt;0,$Z324&lt;&gt;"",$Z324&lt;&gt;"×",$AC324=0,$AB324=""),"計算額が下限以下のため不支給／",""))</f>
        <v/>
      </c>
      <c r="AL324" s="12" t="n"/>
      <c r="AM324" s="14">
        <f>IF($AD324="保留中",COUNTIF($AD$6:$AD324,"保留中"),"")</f>
        <v/>
      </c>
      <c r="AN324" s="14">
        <f>IF($AO324="","",IF(SUMPRODUCT(MAX((職員マスタ!$A$6:$A$405=$B324)*(((職員マスタ!$G$6:$G$405="")+(職員マスタ!$G$6:$G$405&lt;=EOMONTH($AO324,0)))&gt;0)*(((職員マスタ!$H$6:$H$405="")+(職員マスタ!$H$6:$H$405&gt;=$AO324))&gt;0)*(ROW(職員マスタ!$A$6:$A$405)-5)))&gt;0,SUMPRODUCT(MAX((職員マスタ!$A$6:$A$405=$B324)*(((職員マスタ!$G$6:$G$405="")+(職員マスタ!$G$6:$G$405&lt;=EOMONTH($AO324,0)))&gt;0)*(((職員マスタ!$H$6:$H$405="")+(職員マスタ!$H$6:$H$405&gt;=$AO324))&gt;0)*(ROW(職員マスタ!$A$6:$A$405)-5))),IFERROR(MATCH($B324,職員マスタ!$A$6:$A$405,0),"")))</f>
        <v/>
      </c>
      <c r="AO324" s="16">
        <f>IF(OR($B324="",$C324="",$D324=""),"",DATE($C324+2018,$D324,1))</f>
        <v/>
      </c>
    </row>
    <row r="325">
      <c r="A325" s="11" t="n"/>
      <c r="B325" s="12" t="n">
        <v>6702559</v>
      </c>
      <c r="C325" s="12" t="n">
        <v>8</v>
      </c>
      <c r="D325" s="12" t="n">
        <v>2</v>
      </c>
      <c r="E325" s="13" t="n">
        <v>188934</v>
      </c>
      <c r="F325" s="12" t="n"/>
      <c r="G325" s="13" t="n"/>
      <c r="H325" s="12" t="n"/>
      <c r="I325" s="12" t="n"/>
      <c r="J325" s="12" t="n"/>
      <c r="K325" s="12" t="n"/>
      <c r="L325" s="11" t="n"/>
      <c r="M325" s="11" t="n"/>
      <c r="N325" s="11" t="n"/>
      <c r="O325" s="11" t="n"/>
      <c r="P325" s="12" t="n"/>
      <c r="Q325" s="11" t="n"/>
      <c r="R325" s="12" t="n"/>
      <c r="S325" s="11" t="n"/>
      <c r="T325" s="12" t="n"/>
      <c r="U325" s="12" t="n"/>
      <c r="V325" s="14">
        <f>IF($AN325="",IF($B325="","",$H325),IF(INDEX(職員マスタ!$B$6:$B$405,$AN325)="",$H325,INDEX(職員マスタ!$B$6:$B$405,$AN325)))</f>
        <v/>
      </c>
      <c r="W325" s="14">
        <f>IF($AN325="",IF($B325="","",$R325),IF(INDEX(職員マスタ!$C$6:$C$405,$AN325)="",$R325,INDEX(職員マスタ!$C$6:$C$405,$AN325)))</f>
        <v/>
      </c>
      <c r="X325" s="14">
        <f>IF($AO325="","","R"&amp;$C325&amp;"."&amp;$D325)</f>
        <v/>
      </c>
      <c r="Y325" s="15">
        <f>IF($AN325="","",IF(INDEX(職員マスタ!$K$6:$K$405,$AN325)="","",INDEX(職員マスタ!$K$6:$K$405,$AN325)))</f>
        <v/>
      </c>
      <c r="Z325" s="14">
        <f>IF(OR($E325="",$Y325=""),"",IF($E325&gt;=$Y325,"×",IF($E325&gt;=$Y325*設定!$C$5,"△","○")))</f>
        <v/>
      </c>
      <c r="AA325" s="15">
        <f>IF($Z325="","",IF($Z325="×",0,IF($Z325="○",ROUNDDOWN($E325*設定!$C$4,0),ROUNDDOWN($E325*ROUND((9*$Y325-9*$E325)/(10*$E325),4),0))))</f>
        <v/>
      </c>
      <c r="AB325" s="13" t="n"/>
      <c r="AC325" s="15">
        <f>IF($B325="","",IF($AB325&lt;&gt;"",$AB325,IF($AA325="","",IF($AA325&lt;=設定!$C$3,0,$AA325))))</f>
        <v/>
      </c>
      <c r="AD325" s="14">
        <f>IF($B325="","",IF(AND($AE325&lt;&gt;"",$AG325="",$AJ325=""),"保留中",IF($AJ325&lt;&gt;"",IF(N($AC325)&gt;0,"支給済","不支給"),IF($AC325="","要確認",IF($AC325=0,"不支給","未処理")))))</f>
        <v/>
      </c>
      <c r="AE325" s="12" t="n"/>
      <c r="AF325" s="11" t="n"/>
      <c r="AG325" s="11" t="n"/>
      <c r="AH325" s="11" t="n"/>
      <c r="AI325" s="14">
        <f>IF(AND($AD325="保留中",$AF325&lt;&gt;""),TODAY()-$AF325,"")</f>
        <v/>
      </c>
      <c r="AJ325" s="12" t="inlineStr">
        <is>
          <t>R8.5</t>
        </is>
      </c>
      <c r="AK325" s="14">
        <f>IF($B325="","",IF($AO325="","対象年月が未入力／","")&amp;IF($B325="","",IF($AN325="","職員マスタに未登録の職員番号／",IF($Y325="","標準報酬月額が未登録／","")&amp;IF(AND($AO325&lt;&gt;"",OR(AND(INDEX(職員マスタ!$G$6:$G$405,$AN325)&lt;&gt;"",INDEX(職員マスタ!$G$6:$G$405,$AN325)&gt;EOMONTH($AO325,0)),AND(INDEX(職員マスタ!$H$6:$H$405,$AN325)&lt;&gt;"",INDEX(職員マスタ!$H$6:$H$405,$AN325)&lt;$AO325))),"対象月が時短期間外／","")&amp;IF(AND(INDEX(職員マスタ!$F$6:$F$405,$AN325)&lt;&gt;"",$AO325&lt;&gt;"",INDEX(職員マスタ!$F$6:$F$405,$AN325)&lt;$AO325),"対象月に子が2歳到達済／","")&amp;IF(AND($H325&lt;&gt;"",INDEX(職員マスタ!$B$6:$B$405,$AN325)&lt;&gt;"",SUBSTITUTE(SUBSTITUTE($H325," ","")," ","")&lt;&gt;SUBSTITUTE(SUBSTITUTE(INDEX(職員マスタ!$B$6:$B$405,$AN325)," ","")," ","")),"氏名がマスタと相違／","")&amp;IF(AND($Q325&lt;&gt;"",INDEX(職員マスタ!$E$6:$E$405,$AN325)&lt;&gt;"",$Q325&lt;&gt;INDEX(職員マスタ!$E$6:$E$405,$AN325)),"子の生年月日がマスタと相違／","")&amp;IF(AND($L325&lt;&gt;"",INDEX(職員マスタ!$G$6:$G$405,$AN325)&lt;&gt;"",$L325&lt;&gt;INDEX(職員マスタ!$G$6:$G$405,$AN325)),"時短開始日がマスタと相違／","")&amp;IF(AND($M325&lt;&gt;"",INDEX(職員マスタ!$H$6:$H$405,$AN325)&lt;&gt;"",$M325&lt;&gt;INDEX(職員マスタ!$H$6:$H$405,$AN325)),"時短終了日がマスタと相違／","")))&amp;IF(AND($B325&lt;&gt;"",$E325=""),"報酬額が未入力／","")&amp;IF(N($U325)&gt;0,"申請書に入力エラーが残っています／","")&amp;IF(AND($B325&lt;&gt;"",$AO325&lt;&gt;""),IF(COUNTIFS($B$6:$B$3005,$B325,$C$6:$C$3005,$C325,$D$6:$D$3005,$D325)&gt;1,"同じ月の請求が重複しています／",""),"")&amp;IF(AND(N($E325)&gt;0,$Z325&lt;&gt;"",$Z325&lt;&gt;"×",$AC325=0,$AB325=""),"計算額が下限以下のため不支給／",""))</f>
        <v/>
      </c>
      <c r="AL325" s="12" t="n"/>
      <c r="AM325" s="14">
        <f>IF($AD325="保留中",COUNTIF($AD$6:$AD325,"保留中"),"")</f>
        <v/>
      </c>
      <c r="AN325" s="14">
        <f>IF($AO325="","",IF(SUMPRODUCT(MAX((職員マスタ!$A$6:$A$405=$B325)*(((職員マスタ!$G$6:$G$405="")+(職員マスタ!$G$6:$G$405&lt;=EOMONTH($AO325,0)))&gt;0)*(((職員マスタ!$H$6:$H$405="")+(職員マスタ!$H$6:$H$405&gt;=$AO325))&gt;0)*(ROW(職員マスタ!$A$6:$A$405)-5)))&gt;0,SUMPRODUCT(MAX((職員マスタ!$A$6:$A$405=$B325)*(((職員マスタ!$G$6:$G$405="")+(職員マスタ!$G$6:$G$405&lt;=EOMONTH($AO325,0)))&gt;0)*(((職員マスタ!$H$6:$H$405="")+(職員マスタ!$H$6:$H$405&gt;=$AO325))&gt;0)*(ROW(職員マスタ!$A$6:$A$405)-5))),IFERROR(MATCH($B325,職員マスタ!$A$6:$A$405,0),"")))</f>
        <v/>
      </c>
      <c r="AO325" s="16">
        <f>IF(OR($B325="",$C325="",$D325=""),"",DATE($C325+2018,$D325,1))</f>
        <v/>
      </c>
    </row>
    <row r="326">
      <c r="A326" s="11" t="n"/>
      <c r="B326" s="12" t="n">
        <v>6702591</v>
      </c>
      <c r="C326" s="12" t="n">
        <v>7</v>
      </c>
      <c r="D326" s="12" t="n">
        <v>4</v>
      </c>
      <c r="E326" s="13" t="n">
        <v>87657</v>
      </c>
      <c r="F326" s="12" t="n"/>
      <c r="G326" s="13" t="n"/>
      <c r="H326" s="12" t="n"/>
      <c r="I326" s="12" t="n"/>
      <c r="J326" s="12" t="n"/>
      <c r="K326" s="12" t="n"/>
      <c r="L326" s="11" t="n"/>
      <c r="M326" s="11" t="n"/>
      <c r="N326" s="11" t="n"/>
      <c r="O326" s="11" t="n"/>
      <c r="P326" s="12" t="n"/>
      <c r="Q326" s="11" t="n"/>
      <c r="R326" s="12" t="n"/>
      <c r="S326" s="11" t="n"/>
      <c r="T326" s="12" t="n"/>
      <c r="U326" s="12" t="n"/>
      <c r="V326" s="14">
        <f>IF($AN326="",IF($B326="","",$H326),IF(INDEX(職員マスタ!$B$6:$B$405,$AN326)="",$H326,INDEX(職員マスタ!$B$6:$B$405,$AN326)))</f>
        <v/>
      </c>
      <c r="W326" s="14">
        <f>IF($AN326="",IF($B326="","",$R326),IF(INDEX(職員マスタ!$C$6:$C$405,$AN326)="",$R326,INDEX(職員マスタ!$C$6:$C$405,$AN326)))</f>
        <v/>
      </c>
      <c r="X326" s="14">
        <f>IF($AO326="","","R"&amp;$C326&amp;"."&amp;$D326)</f>
        <v/>
      </c>
      <c r="Y326" s="15">
        <f>IF($AN326="","",IF(INDEX(職員マスタ!$K$6:$K$405,$AN326)="","",INDEX(職員マスタ!$K$6:$K$405,$AN326)))</f>
        <v/>
      </c>
      <c r="Z326" s="14">
        <f>IF(OR($E326="",$Y326=""),"",IF($E326&gt;=$Y326,"×",IF($E326&gt;=$Y326*設定!$C$5,"△","○")))</f>
        <v/>
      </c>
      <c r="AA326" s="15">
        <f>IF($Z326="","",IF($Z326="×",0,IF($Z326="○",ROUNDDOWN($E326*設定!$C$4,0),ROUNDDOWN($E326*ROUND((9*$Y326-9*$E326)/(10*$E326),4),0))))</f>
        <v/>
      </c>
      <c r="AB326" s="13" t="n"/>
      <c r="AC326" s="15">
        <f>IF($B326="","",IF($AB326&lt;&gt;"",$AB326,IF($AA326="","",IF($AA326&lt;=設定!$C$3,0,$AA326))))</f>
        <v/>
      </c>
      <c r="AD326" s="14">
        <f>IF($B326="","",IF(AND($AE326&lt;&gt;"",$AG326="",$AJ326=""),"保留中",IF($AJ326&lt;&gt;"",IF(N($AC326)&gt;0,"支給済","不支給"),IF($AC326="","要確認",IF($AC326=0,"不支給","未処理")))))</f>
        <v/>
      </c>
      <c r="AE326" s="12" t="n"/>
      <c r="AF326" s="11" t="n"/>
      <c r="AG326" s="11" t="n"/>
      <c r="AH326" s="11" t="n"/>
      <c r="AI326" s="14">
        <f>IF(AND($AD326="保留中",$AF326&lt;&gt;""),TODAY()-$AF326,"")</f>
        <v/>
      </c>
      <c r="AJ326" s="12" t="inlineStr">
        <is>
          <t>R7.8</t>
        </is>
      </c>
      <c r="AK326" s="14">
        <f>IF($B326="","",IF($AO326="","対象年月が未入力／","")&amp;IF($B326="","",IF($AN326="","職員マスタに未登録の職員番号／",IF($Y326="","標準報酬月額が未登録／","")&amp;IF(AND($AO326&lt;&gt;"",OR(AND(INDEX(職員マスタ!$G$6:$G$405,$AN326)&lt;&gt;"",INDEX(職員マスタ!$G$6:$G$405,$AN326)&gt;EOMONTH($AO326,0)),AND(INDEX(職員マスタ!$H$6:$H$405,$AN326)&lt;&gt;"",INDEX(職員マスタ!$H$6:$H$405,$AN326)&lt;$AO326))),"対象月が時短期間外／","")&amp;IF(AND(INDEX(職員マスタ!$F$6:$F$405,$AN326)&lt;&gt;"",$AO326&lt;&gt;"",INDEX(職員マスタ!$F$6:$F$405,$AN326)&lt;$AO326),"対象月に子が2歳到達済／","")&amp;IF(AND($H326&lt;&gt;"",INDEX(職員マスタ!$B$6:$B$405,$AN326)&lt;&gt;"",SUBSTITUTE(SUBSTITUTE($H326," ","")," ","")&lt;&gt;SUBSTITUTE(SUBSTITUTE(INDEX(職員マスタ!$B$6:$B$405,$AN326)," ","")," ","")),"氏名がマスタと相違／","")&amp;IF(AND($Q326&lt;&gt;"",INDEX(職員マスタ!$E$6:$E$405,$AN326)&lt;&gt;"",$Q326&lt;&gt;INDEX(職員マスタ!$E$6:$E$405,$AN326)),"子の生年月日がマスタと相違／","")&amp;IF(AND($L326&lt;&gt;"",INDEX(職員マスタ!$G$6:$G$405,$AN326)&lt;&gt;"",$L326&lt;&gt;INDEX(職員マスタ!$G$6:$G$405,$AN326)),"時短開始日がマスタと相違／","")&amp;IF(AND($M326&lt;&gt;"",INDEX(職員マスタ!$H$6:$H$405,$AN326)&lt;&gt;"",$M326&lt;&gt;INDEX(職員マスタ!$H$6:$H$405,$AN326)),"時短終了日がマスタと相違／","")))&amp;IF(AND($B326&lt;&gt;"",$E326=""),"報酬額が未入力／","")&amp;IF(N($U326)&gt;0,"申請書に入力エラーが残っています／","")&amp;IF(AND($B326&lt;&gt;"",$AO326&lt;&gt;""),IF(COUNTIFS($B$6:$B$3005,$B326,$C$6:$C$3005,$C326,$D$6:$D$3005,$D326)&gt;1,"同じ月の請求が重複しています／",""),"")&amp;IF(AND(N($E326)&gt;0,$Z326&lt;&gt;"",$Z326&lt;&gt;"×",$AC326=0,$AB326=""),"計算額が下限以下のため不支給／",""))</f>
        <v/>
      </c>
      <c r="AL326" s="12" t="n"/>
      <c r="AM326" s="14">
        <f>IF($AD326="保留中",COUNTIF($AD$6:$AD326,"保留中"),"")</f>
        <v/>
      </c>
      <c r="AN326" s="14">
        <f>IF($AO326="","",IF(SUMPRODUCT(MAX((職員マスタ!$A$6:$A$405=$B326)*(((職員マスタ!$G$6:$G$405="")+(職員マスタ!$G$6:$G$405&lt;=EOMONTH($AO326,0)))&gt;0)*(((職員マスタ!$H$6:$H$405="")+(職員マスタ!$H$6:$H$405&gt;=$AO326))&gt;0)*(ROW(職員マスタ!$A$6:$A$405)-5)))&gt;0,SUMPRODUCT(MAX((職員マスタ!$A$6:$A$405=$B326)*(((職員マスタ!$G$6:$G$405="")+(職員マスタ!$G$6:$G$405&lt;=EOMONTH($AO326,0)))&gt;0)*(((職員マスタ!$H$6:$H$405="")+(職員マスタ!$H$6:$H$405&gt;=$AO326))&gt;0)*(ROW(職員マスタ!$A$6:$A$405)-5))),IFERROR(MATCH($B326,職員マスタ!$A$6:$A$405,0),"")))</f>
        <v/>
      </c>
      <c r="AO326" s="16">
        <f>IF(OR($B326="",$C326="",$D326=""),"",DATE($C326+2018,$D326,1))</f>
        <v/>
      </c>
    </row>
    <row r="327">
      <c r="A327" s="11" t="n"/>
      <c r="B327" s="12" t="n">
        <v>6702591</v>
      </c>
      <c r="C327" s="12" t="n">
        <v>7</v>
      </c>
      <c r="D327" s="12" t="n">
        <v>5</v>
      </c>
      <c r="E327" s="13" t="n">
        <v>210010</v>
      </c>
      <c r="F327" s="12" t="n"/>
      <c r="G327" s="13" t="n"/>
      <c r="H327" s="12" t="n"/>
      <c r="I327" s="12" t="n"/>
      <c r="J327" s="12" t="n"/>
      <c r="K327" s="12" t="n"/>
      <c r="L327" s="11" t="n"/>
      <c r="M327" s="11" t="n"/>
      <c r="N327" s="11" t="n"/>
      <c r="O327" s="11" t="n"/>
      <c r="P327" s="12" t="n"/>
      <c r="Q327" s="11" t="n"/>
      <c r="R327" s="12" t="n"/>
      <c r="S327" s="11" t="n"/>
      <c r="T327" s="12" t="n"/>
      <c r="U327" s="12" t="n"/>
      <c r="V327" s="14">
        <f>IF($AN327="",IF($B327="","",$H327),IF(INDEX(職員マスタ!$B$6:$B$405,$AN327)="",$H327,INDEX(職員マスタ!$B$6:$B$405,$AN327)))</f>
        <v/>
      </c>
      <c r="W327" s="14">
        <f>IF($AN327="",IF($B327="","",$R327),IF(INDEX(職員マスタ!$C$6:$C$405,$AN327)="",$R327,INDEX(職員マスタ!$C$6:$C$405,$AN327)))</f>
        <v/>
      </c>
      <c r="X327" s="14">
        <f>IF($AO327="","","R"&amp;$C327&amp;"."&amp;$D327)</f>
        <v/>
      </c>
      <c r="Y327" s="15">
        <f>IF($AN327="","",IF(INDEX(職員マスタ!$K$6:$K$405,$AN327)="","",INDEX(職員マスタ!$K$6:$K$405,$AN327)))</f>
        <v/>
      </c>
      <c r="Z327" s="14">
        <f>IF(OR($E327="",$Y327=""),"",IF($E327&gt;=$Y327,"×",IF($E327&gt;=$Y327*設定!$C$5,"△","○")))</f>
        <v/>
      </c>
      <c r="AA327" s="15">
        <f>IF($Z327="","",IF($Z327="×",0,IF($Z327="○",ROUNDDOWN($E327*設定!$C$4,0),ROUNDDOWN($E327*ROUND((9*$Y327-9*$E327)/(10*$E327),4),0))))</f>
        <v/>
      </c>
      <c r="AB327" s="13" t="n"/>
      <c r="AC327" s="15">
        <f>IF($B327="","",IF($AB327&lt;&gt;"",$AB327,IF($AA327="","",IF($AA327&lt;=設定!$C$3,0,$AA327))))</f>
        <v/>
      </c>
      <c r="AD327" s="14">
        <f>IF($B327="","",IF(AND($AE327&lt;&gt;"",$AG327="",$AJ327=""),"保留中",IF($AJ327&lt;&gt;"",IF(N($AC327)&gt;0,"支給済","不支給"),IF($AC327="","要確認",IF($AC327=0,"不支給","未処理")))))</f>
        <v/>
      </c>
      <c r="AE327" s="12" t="n"/>
      <c r="AF327" s="11" t="n"/>
      <c r="AG327" s="11" t="n"/>
      <c r="AH327" s="11" t="n"/>
      <c r="AI327" s="14">
        <f>IF(AND($AD327="保留中",$AF327&lt;&gt;""),TODAY()-$AF327,"")</f>
        <v/>
      </c>
      <c r="AJ327" s="12" t="inlineStr">
        <is>
          <t>R7.8</t>
        </is>
      </c>
      <c r="AK327" s="14">
        <f>IF($B327="","",IF($AO327="","対象年月が未入力／","")&amp;IF($B327="","",IF($AN327="","職員マスタに未登録の職員番号／",IF($Y327="","標準報酬月額が未登録／","")&amp;IF(AND($AO327&lt;&gt;"",OR(AND(INDEX(職員マスタ!$G$6:$G$405,$AN327)&lt;&gt;"",INDEX(職員マスタ!$G$6:$G$405,$AN327)&gt;EOMONTH($AO327,0)),AND(INDEX(職員マスタ!$H$6:$H$405,$AN327)&lt;&gt;"",INDEX(職員マスタ!$H$6:$H$405,$AN327)&lt;$AO327))),"対象月が時短期間外／","")&amp;IF(AND(INDEX(職員マスタ!$F$6:$F$405,$AN327)&lt;&gt;"",$AO327&lt;&gt;"",INDEX(職員マスタ!$F$6:$F$405,$AN327)&lt;$AO327),"対象月に子が2歳到達済／","")&amp;IF(AND($H327&lt;&gt;"",INDEX(職員マスタ!$B$6:$B$405,$AN327)&lt;&gt;"",SUBSTITUTE(SUBSTITUTE($H327," ","")," ","")&lt;&gt;SUBSTITUTE(SUBSTITUTE(INDEX(職員マスタ!$B$6:$B$405,$AN327)," ","")," ","")),"氏名がマスタと相違／","")&amp;IF(AND($Q327&lt;&gt;"",INDEX(職員マスタ!$E$6:$E$405,$AN327)&lt;&gt;"",$Q327&lt;&gt;INDEX(職員マスタ!$E$6:$E$405,$AN327)),"子の生年月日がマスタと相違／","")&amp;IF(AND($L327&lt;&gt;"",INDEX(職員マスタ!$G$6:$G$405,$AN327)&lt;&gt;"",$L327&lt;&gt;INDEX(職員マスタ!$G$6:$G$405,$AN327)),"時短開始日がマスタと相違／","")&amp;IF(AND($M327&lt;&gt;"",INDEX(職員マスタ!$H$6:$H$405,$AN327)&lt;&gt;"",$M327&lt;&gt;INDEX(職員マスタ!$H$6:$H$405,$AN327)),"時短終了日がマスタと相違／","")))&amp;IF(AND($B327&lt;&gt;"",$E327=""),"報酬額が未入力／","")&amp;IF(N($U327)&gt;0,"申請書に入力エラーが残っています／","")&amp;IF(AND($B327&lt;&gt;"",$AO327&lt;&gt;""),IF(COUNTIFS($B$6:$B$3005,$B327,$C$6:$C$3005,$C327,$D$6:$D$3005,$D327)&gt;1,"同じ月の請求が重複しています／",""),"")&amp;IF(AND(N($E327)&gt;0,$Z327&lt;&gt;"",$Z327&lt;&gt;"×",$AC327=0,$AB327=""),"計算額が下限以下のため不支給／",""))</f>
        <v/>
      </c>
      <c r="AL327" s="12" t="n"/>
      <c r="AM327" s="14">
        <f>IF($AD327="保留中",COUNTIF($AD$6:$AD327,"保留中"),"")</f>
        <v/>
      </c>
      <c r="AN327" s="14">
        <f>IF($AO327="","",IF(SUMPRODUCT(MAX((職員マスタ!$A$6:$A$405=$B327)*(((職員マスタ!$G$6:$G$405="")+(職員マスタ!$G$6:$G$405&lt;=EOMONTH($AO327,0)))&gt;0)*(((職員マスタ!$H$6:$H$405="")+(職員マスタ!$H$6:$H$405&gt;=$AO327))&gt;0)*(ROW(職員マスタ!$A$6:$A$405)-5)))&gt;0,SUMPRODUCT(MAX((職員マスタ!$A$6:$A$405=$B327)*(((職員マスタ!$G$6:$G$405="")+(職員マスタ!$G$6:$G$405&lt;=EOMONTH($AO327,0)))&gt;0)*(((職員マスタ!$H$6:$H$405="")+(職員マスタ!$H$6:$H$405&gt;=$AO327))&gt;0)*(ROW(職員マスタ!$A$6:$A$405)-5))),IFERROR(MATCH($B327,職員マスタ!$A$6:$A$405,0),"")))</f>
        <v/>
      </c>
      <c r="AO327" s="16">
        <f>IF(OR($B327="",$C327="",$D327=""),"",DATE($C327+2018,$D327,1))</f>
        <v/>
      </c>
    </row>
    <row r="328">
      <c r="A328" s="11" t="n"/>
      <c r="B328" s="12" t="n">
        <v>6702591</v>
      </c>
      <c r="C328" s="12" t="n">
        <v>7</v>
      </c>
      <c r="D328" s="12" t="n">
        <v>6</v>
      </c>
      <c r="E328" s="13" t="n">
        <v>212471</v>
      </c>
      <c r="F328" s="12" t="n"/>
      <c r="G328" s="13" t="n"/>
      <c r="H328" s="12" t="n"/>
      <c r="I328" s="12" t="n"/>
      <c r="J328" s="12" t="n"/>
      <c r="K328" s="12" t="n"/>
      <c r="L328" s="11" t="n"/>
      <c r="M328" s="11" t="n"/>
      <c r="N328" s="11" t="n"/>
      <c r="O328" s="11" t="n"/>
      <c r="P328" s="12" t="n"/>
      <c r="Q328" s="11" t="n"/>
      <c r="R328" s="12" t="n"/>
      <c r="S328" s="11" t="n"/>
      <c r="T328" s="12" t="n"/>
      <c r="U328" s="12" t="n"/>
      <c r="V328" s="14">
        <f>IF($AN328="",IF($B328="","",$H328),IF(INDEX(職員マスタ!$B$6:$B$405,$AN328)="",$H328,INDEX(職員マスタ!$B$6:$B$405,$AN328)))</f>
        <v/>
      </c>
      <c r="W328" s="14">
        <f>IF($AN328="",IF($B328="","",$R328),IF(INDEX(職員マスタ!$C$6:$C$405,$AN328)="",$R328,INDEX(職員マスタ!$C$6:$C$405,$AN328)))</f>
        <v/>
      </c>
      <c r="X328" s="14">
        <f>IF($AO328="","","R"&amp;$C328&amp;"."&amp;$D328)</f>
        <v/>
      </c>
      <c r="Y328" s="15">
        <f>IF($AN328="","",IF(INDEX(職員マスタ!$K$6:$K$405,$AN328)="","",INDEX(職員マスタ!$K$6:$K$405,$AN328)))</f>
        <v/>
      </c>
      <c r="Z328" s="14">
        <f>IF(OR($E328="",$Y328=""),"",IF($E328&gt;=$Y328,"×",IF($E328&gt;=$Y328*設定!$C$5,"△","○")))</f>
        <v/>
      </c>
      <c r="AA328" s="15">
        <f>IF($Z328="","",IF($Z328="×",0,IF($Z328="○",ROUNDDOWN($E328*設定!$C$4,0),ROUNDDOWN($E328*ROUND((9*$Y328-9*$E328)/(10*$E328),4),0))))</f>
        <v/>
      </c>
      <c r="AB328" s="13" t="n"/>
      <c r="AC328" s="15">
        <f>IF($B328="","",IF($AB328&lt;&gt;"",$AB328,IF($AA328="","",IF($AA328&lt;=設定!$C$3,0,$AA328))))</f>
        <v/>
      </c>
      <c r="AD328" s="14">
        <f>IF($B328="","",IF(AND($AE328&lt;&gt;"",$AG328="",$AJ328=""),"保留中",IF($AJ328&lt;&gt;"",IF(N($AC328)&gt;0,"支給済","不支給"),IF($AC328="","要確認",IF($AC328=0,"不支給","未処理")))))</f>
        <v/>
      </c>
      <c r="AE328" s="12" t="n"/>
      <c r="AF328" s="11" t="n"/>
      <c r="AG328" s="11" t="n"/>
      <c r="AH328" s="11" t="n"/>
      <c r="AI328" s="14">
        <f>IF(AND($AD328="保留中",$AF328&lt;&gt;""),TODAY()-$AF328,"")</f>
        <v/>
      </c>
      <c r="AJ328" s="12" t="inlineStr">
        <is>
          <t>R7.8</t>
        </is>
      </c>
      <c r="AK328" s="14">
        <f>IF($B328="","",IF($AO328="","対象年月が未入力／","")&amp;IF($B328="","",IF($AN328="","職員マスタに未登録の職員番号／",IF($Y328="","標準報酬月額が未登録／","")&amp;IF(AND($AO328&lt;&gt;"",OR(AND(INDEX(職員マスタ!$G$6:$G$405,$AN328)&lt;&gt;"",INDEX(職員マスタ!$G$6:$G$405,$AN328)&gt;EOMONTH($AO328,0)),AND(INDEX(職員マスタ!$H$6:$H$405,$AN328)&lt;&gt;"",INDEX(職員マスタ!$H$6:$H$405,$AN328)&lt;$AO328))),"対象月が時短期間外／","")&amp;IF(AND(INDEX(職員マスタ!$F$6:$F$405,$AN328)&lt;&gt;"",$AO328&lt;&gt;"",INDEX(職員マスタ!$F$6:$F$405,$AN328)&lt;$AO328),"対象月に子が2歳到達済／","")&amp;IF(AND($H328&lt;&gt;"",INDEX(職員マスタ!$B$6:$B$405,$AN328)&lt;&gt;"",SUBSTITUTE(SUBSTITUTE($H328," ","")," ","")&lt;&gt;SUBSTITUTE(SUBSTITUTE(INDEX(職員マスタ!$B$6:$B$405,$AN328)," ","")," ","")),"氏名がマスタと相違／","")&amp;IF(AND($Q328&lt;&gt;"",INDEX(職員マスタ!$E$6:$E$405,$AN328)&lt;&gt;"",$Q328&lt;&gt;INDEX(職員マスタ!$E$6:$E$405,$AN328)),"子の生年月日がマスタと相違／","")&amp;IF(AND($L328&lt;&gt;"",INDEX(職員マスタ!$G$6:$G$405,$AN328)&lt;&gt;"",$L328&lt;&gt;INDEX(職員マスタ!$G$6:$G$405,$AN328)),"時短開始日がマスタと相違／","")&amp;IF(AND($M328&lt;&gt;"",INDEX(職員マスタ!$H$6:$H$405,$AN328)&lt;&gt;"",$M328&lt;&gt;INDEX(職員マスタ!$H$6:$H$405,$AN328)),"時短終了日がマスタと相違／","")))&amp;IF(AND($B328&lt;&gt;"",$E328=""),"報酬額が未入力／","")&amp;IF(N($U328)&gt;0,"申請書に入力エラーが残っています／","")&amp;IF(AND($B328&lt;&gt;"",$AO328&lt;&gt;""),IF(COUNTIFS($B$6:$B$3005,$B328,$C$6:$C$3005,$C328,$D$6:$D$3005,$D328)&gt;1,"同じ月の請求が重複しています／",""),"")&amp;IF(AND(N($E328)&gt;0,$Z328&lt;&gt;"",$Z328&lt;&gt;"×",$AC328=0,$AB328=""),"計算額が下限以下のため不支給／",""))</f>
        <v/>
      </c>
      <c r="AL328" s="12" t="n"/>
      <c r="AM328" s="14">
        <f>IF($AD328="保留中",COUNTIF($AD$6:$AD328,"保留中"),"")</f>
        <v/>
      </c>
      <c r="AN328" s="14">
        <f>IF($AO328="","",IF(SUMPRODUCT(MAX((職員マスタ!$A$6:$A$405=$B328)*(((職員マスタ!$G$6:$G$405="")+(職員マスタ!$G$6:$G$405&lt;=EOMONTH($AO328,0)))&gt;0)*(((職員マスタ!$H$6:$H$405="")+(職員マスタ!$H$6:$H$405&gt;=$AO328))&gt;0)*(ROW(職員マスタ!$A$6:$A$405)-5)))&gt;0,SUMPRODUCT(MAX((職員マスタ!$A$6:$A$405=$B328)*(((職員マスタ!$G$6:$G$405="")+(職員マスタ!$G$6:$G$405&lt;=EOMONTH($AO328,0)))&gt;0)*(((職員マスタ!$H$6:$H$405="")+(職員マスタ!$H$6:$H$405&gt;=$AO328))&gt;0)*(ROW(職員マスタ!$A$6:$A$405)-5))),IFERROR(MATCH($B328,職員マスタ!$A$6:$A$405,0),"")))</f>
        <v/>
      </c>
      <c r="AO328" s="16">
        <f>IF(OR($B328="",$C328="",$D328=""),"",DATE($C328+2018,$D328,1))</f>
        <v/>
      </c>
    </row>
    <row r="329">
      <c r="A329" s="11" t="n"/>
      <c r="B329" s="12" t="n">
        <v>6702591</v>
      </c>
      <c r="C329" s="12" t="n">
        <v>7</v>
      </c>
      <c r="D329" s="12" t="n">
        <v>7</v>
      </c>
      <c r="E329" s="13" t="n">
        <v>224841</v>
      </c>
      <c r="F329" s="12" t="n"/>
      <c r="G329" s="13" t="n"/>
      <c r="H329" s="12" t="n"/>
      <c r="I329" s="12" t="n"/>
      <c r="J329" s="12" t="n"/>
      <c r="K329" s="12" t="n"/>
      <c r="L329" s="11" t="n"/>
      <c r="M329" s="11" t="n"/>
      <c r="N329" s="11" t="n"/>
      <c r="O329" s="11" t="n"/>
      <c r="P329" s="12" t="n"/>
      <c r="Q329" s="11" t="n"/>
      <c r="R329" s="12" t="n"/>
      <c r="S329" s="11" t="n"/>
      <c r="T329" s="12" t="n"/>
      <c r="U329" s="12" t="n"/>
      <c r="V329" s="14">
        <f>IF($AN329="",IF($B329="","",$H329),IF(INDEX(職員マスタ!$B$6:$B$405,$AN329)="",$H329,INDEX(職員マスタ!$B$6:$B$405,$AN329)))</f>
        <v/>
      </c>
      <c r="W329" s="14">
        <f>IF($AN329="",IF($B329="","",$R329),IF(INDEX(職員マスタ!$C$6:$C$405,$AN329)="",$R329,INDEX(職員マスタ!$C$6:$C$405,$AN329)))</f>
        <v/>
      </c>
      <c r="X329" s="14">
        <f>IF($AO329="","","R"&amp;$C329&amp;"."&amp;$D329)</f>
        <v/>
      </c>
      <c r="Y329" s="15">
        <f>IF($AN329="","",IF(INDEX(職員マスタ!$K$6:$K$405,$AN329)="","",INDEX(職員マスタ!$K$6:$K$405,$AN329)))</f>
        <v/>
      </c>
      <c r="Z329" s="14">
        <f>IF(OR($E329="",$Y329=""),"",IF($E329&gt;=$Y329,"×",IF($E329&gt;=$Y329*設定!$C$5,"△","○")))</f>
        <v/>
      </c>
      <c r="AA329" s="15">
        <f>IF($Z329="","",IF($Z329="×",0,IF($Z329="○",ROUNDDOWN($E329*設定!$C$4,0),ROUNDDOWN($E329*ROUND((9*$Y329-9*$E329)/(10*$E329),4),0))))</f>
        <v/>
      </c>
      <c r="AB329" s="13" t="n"/>
      <c r="AC329" s="15">
        <f>IF($B329="","",IF($AB329&lt;&gt;"",$AB329,IF($AA329="","",IF($AA329&lt;=設定!$C$3,0,$AA329))))</f>
        <v/>
      </c>
      <c r="AD329" s="14">
        <f>IF($B329="","",IF(AND($AE329&lt;&gt;"",$AG329="",$AJ329=""),"保留中",IF($AJ329&lt;&gt;"",IF(N($AC329)&gt;0,"支給済","不支給"),IF($AC329="","要確認",IF($AC329=0,"不支給","未処理")))))</f>
        <v/>
      </c>
      <c r="AE329" s="12" t="n"/>
      <c r="AF329" s="11" t="n"/>
      <c r="AG329" s="11" t="n"/>
      <c r="AH329" s="11" t="n"/>
      <c r="AI329" s="14">
        <f>IF(AND($AD329="保留中",$AF329&lt;&gt;""),TODAY()-$AF329,"")</f>
        <v/>
      </c>
      <c r="AJ329" s="12" t="inlineStr">
        <is>
          <t>R7.9</t>
        </is>
      </c>
      <c r="AK329" s="14">
        <f>IF($B329="","",IF($AO329="","対象年月が未入力／","")&amp;IF($B329="","",IF($AN329="","職員マスタに未登録の職員番号／",IF($Y329="","標準報酬月額が未登録／","")&amp;IF(AND($AO329&lt;&gt;"",OR(AND(INDEX(職員マスタ!$G$6:$G$405,$AN329)&lt;&gt;"",INDEX(職員マスタ!$G$6:$G$405,$AN329)&gt;EOMONTH($AO329,0)),AND(INDEX(職員マスタ!$H$6:$H$405,$AN329)&lt;&gt;"",INDEX(職員マスタ!$H$6:$H$405,$AN329)&lt;$AO329))),"対象月が時短期間外／","")&amp;IF(AND(INDEX(職員マスタ!$F$6:$F$405,$AN329)&lt;&gt;"",$AO329&lt;&gt;"",INDEX(職員マスタ!$F$6:$F$405,$AN329)&lt;$AO329),"対象月に子が2歳到達済／","")&amp;IF(AND($H329&lt;&gt;"",INDEX(職員マスタ!$B$6:$B$405,$AN329)&lt;&gt;"",SUBSTITUTE(SUBSTITUTE($H329," ","")," ","")&lt;&gt;SUBSTITUTE(SUBSTITUTE(INDEX(職員マスタ!$B$6:$B$405,$AN329)," ","")," ","")),"氏名がマスタと相違／","")&amp;IF(AND($Q329&lt;&gt;"",INDEX(職員マスタ!$E$6:$E$405,$AN329)&lt;&gt;"",$Q329&lt;&gt;INDEX(職員マスタ!$E$6:$E$405,$AN329)),"子の生年月日がマスタと相違／","")&amp;IF(AND($L329&lt;&gt;"",INDEX(職員マスタ!$G$6:$G$405,$AN329)&lt;&gt;"",$L329&lt;&gt;INDEX(職員マスタ!$G$6:$G$405,$AN329)),"時短開始日がマスタと相違／","")&amp;IF(AND($M329&lt;&gt;"",INDEX(職員マスタ!$H$6:$H$405,$AN329)&lt;&gt;"",$M329&lt;&gt;INDEX(職員マスタ!$H$6:$H$405,$AN329)),"時短終了日がマスタと相違／","")))&amp;IF(AND($B329&lt;&gt;"",$E329=""),"報酬額が未入力／","")&amp;IF(N($U329)&gt;0,"申請書に入力エラーが残っています／","")&amp;IF(AND($B329&lt;&gt;"",$AO329&lt;&gt;""),IF(COUNTIFS($B$6:$B$3005,$B329,$C$6:$C$3005,$C329,$D$6:$D$3005,$D329)&gt;1,"同じ月の請求が重複しています／",""),"")&amp;IF(AND(N($E329)&gt;0,$Z329&lt;&gt;"",$Z329&lt;&gt;"×",$AC329=0,$AB329=""),"計算額が下限以下のため不支給／",""))</f>
        <v/>
      </c>
      <c r="AL329" s="12" t="n"/>
      <c r="AM329" s="14">
        <f>IF($AD329="保留中",COUNTIF($AD$6:$AD329,"保留中"),"")</f>
        <v/>
      </c>
      <c r="AN329" s="14">
        <f>IF($AO329="","",IF(SUMPRODUCT(MAX((職員マスタ!$A$6:$A$405=$B329)*(((職員マスタ!$G$6:$G$405="")+(職員マスタ!$G$6:$G$405&lt;=EOMONTH($AO329,0)))&gt;0)*(((職員マスタ!$H$6:$H$405="")+(職員マスタ!$H$6:$H$405&gt;=$AO329))&gt;0)*(ROW(職員マスタ!$A$6:$A$405)-5)))&gt;0,SUMPRODUCT(MAX((職員マスタ!$A$6:$A$405=$B329)*(((職員マスタ!$G$6:$G$405="")+(職員マスタ!$G$6:$G$405&lt;=EOMONTH($AO329,0)))&gt;0)*(((職員マスタ!$H$6:$H$405="")+(職員マスタ!$H$6:$H$405&gt;=$AO329))&gt;0)*(ROW(職員マスタ!$A$6:$A$405)-5))),IFERROR(MATCH($B329,職員マスタ!$A$6:$A$405,0),"")))</f>
        <v/>
      </c>
      <c r="AO329" s="16">
        <f>IF(OR($B329="",$C329="",$D329=""),"",DATE($C329+2018,$D329,1))</f>
        <v/>
      </c>
    </row>
    <row r="330">
      <c r="A330" s="11" t="n"/>
      <c r="B330" s="12" t="n">
        <v>6702591</v>
      </c>
      <c r="C330" s="12" t="n">
        <v>7</v>
      </c>
      <c r="D330" s="12" t="n">
        <v>8</v>
      </c>
      <c r="E330" s="13" t="n">
        <v>205598</v>
      </c>
      <c r="F330" s="12" t="n"/>
      <c r="G330" s="13" t="n"/>
      <c r="H330" s="12" t="n"/>
      <c r="I330" s="12" t="n"/>
      <c r="J330" s="12" t="n"/>
      <c r="K330" s="12" t="n"/>
      <c r="L330" s="11" t="n"/>
      <c r="M330" s="11" t="n"/>
      <c r="N330" s="11" t="n"/>
      <c r="O330" s="11" t="n"/>
      <c r="P330" s="12" t="n"/>
      <c r="Q330" s="11" t="n"/>
      <c r="R330" s="12" t="n"/>
      <c r="S330" s="11" t="n"/>
      <c r="T330" s="12" t="n"/>
      <c r="U330" s="12" t="n"/>
      <c r="V330" s="14">
        <f>IF($AN330="",IF($B330="","",$H330),IF(INDEX(職員マスタ!$B$6:$B$405,$AN330)="",$H330,INDEX(職員マスタ!$B$6:$B$405,$AN330)))</f>
        <v/>
      </c>
      <c r="W330" s="14">
        <f>IF($AN330="",IF($B330="","",$R330),IF(INDEX(職員マスタ!$C$6:$C$405,$AN330)="",$R330,INDEX(職員マスタ!$C$6:$C$405,$AN330)))</f>
        <v/>
      </c>
      <c r="X330" s="14">
        <f>IF($AO330="","","R"&amp;$C330&amp;"."&amp;$D330)</f>
        <v/>
      </c>
      <c r="Y330" s="15">
        <f>IF($AN330="","",IF(INDEX(職員マスタ!$K$6:$K$405,$AN330)="","",INDEX(職員マスタ!$K$6:$K$405,$AN330)))</f>
        <v/>
      </c>
      <c r="Z330" s="14">
        <f>IF(OR($E330="",$Y330=""),"",IF($E330&gt;=$Y330,"×",IF($E330&gt;=$Y330*設定!$C$5,"△","○")))</f>
        <v/>
      </c>
      <c r="AA330" s="15">
        <f>IF($Z330="","",IF($Z330="×",0,IF($Z330="○",ROUNDDOWN($E330*設定!$C$4,0),ROUNDDOWN($E330*ROUND((9*$Y330-9*$E330)/(10*$E330),4),0))))</f>
        <v/>
      </c>
      <c r="AB330" s="13" t="n"/>
      <c r="AC330" s="15">
        <f>IF($B330="","",IF($AB330&lt;&gt;"",$AB330,IF($AA330="","",IF($AA330&lt;=設定!$C$3,0,$AA330))))</f>
        <v/>
      </c>
      <c r="AD330" s="14">
        <f>IF($B330="","",IF(AND($AE330&lt;&gt;"",$AG330="",$AJ330=""),"保留中",IF($AJ330&lt;&gt;"",IF(N($AC330)&gt;0,"支給済","不支給"),IF($AC330="","要確認",IF($AC330=0,"不支給","未処理")))))</f>
        <v/>
      </c>
      <c r="AE330" s="12" t="n"/>
      <c r="AF330" s="11" t="n"/>
      <c r="AG330" s="11" t="n"/>
      <c r="AH330" s="11" t="n"/>
      <c r="AI330" s="14">
        <f>IF(AND($AD330="保留中",$AF330&lt;&gt;""),TODAY()-$AF330,"")</f>
        <v/>
      </c>
      <c r="AJ330" s="12" t="inlineStr">
        <is>
          <t>R7.10</t>
        </is>
      </c>
      <c r="AK330" s="14">
        <f>IF($B330="","",IF($AO330="","対象年月が未入力／","")&amp;IF($B330="","",IF($AN330="","職員マスタに未登録の職員番号／",IF($Y330="","標準報酬月額が未登録／","")&amp;IF(AND($AO330&lt;&gt;"",OR(AND(INDEX(職員マスタ!$G$6:$G$405,$AN330)&lt;&gt;"",INDEX(職員マスタ!$G$6:$G$405,$AN330)&gt;EOMONTH($AO330,0)),AND(INDEX(職員マスタ!$H$6:$H$405,$AN330)&lt;&gt;"",INDEX(職員マスタ!$H$6:$H$405,$AN330)&lt;$AO330))),"対象月が時短期間外／","")&amp;IF(AND(INDEX(職員マスタ!$F$6:$F$405,$AN330)&lt;&gt;"",$AO330&lt;&gt;"",INDEX(職員マスタ!$F$6:$F$405,$AN330)&lt;$AO330),"対象月に子が2歳到達済／","")&amp;IF(AND($H330&lt;&gt;"",INDEX(職員マスタ!$B$6:$B$405,$AN330)&lt;&gt;"",SUBSTITUTE(SUBSTITUTE($H330," ","")," ","")&lt;&gt;SUBSTITUTE(SUBSTITUTE(INDEX(職員マスタ!$B$6:$B$405,$AN330)," ","")," ","")),"氏名がマスタと相違／","")&amp;IF(AND($Q330&lt;&gt;"",INDEX(職員マスタ!$E$6:$E$405,$AN330)&lt;&gt;"",$Q330&lt;&gt;INDEX(職員マスタ!$E$6:$E$405,$AN330)),"子の生年月日がマスタと相違／","")&amp;IF(AND($L330&lt;&gt;"",INDEX(職員マスタ!$G$6:$G$405,$AN330)&lt;&gt;"",$L330&lt;&gt;INDEX(職員マスタ!$G$6:$G$405,$AN330)),"時短開始日がマスタと相違／","")&amp;IF(AND($M330&lt;&gt;"",INDEX(職員マスタ!$H$6:$H$405,$AN330)&lt;&gt;"",$M330&lt;&gt;INDEX(職員マスタ!$H$6:$H$405,$AN330)),"時短終了日がマスタと相違／","")))&amp;IF(AND($B330&lt;&gt;"",$E330=""),"報酬額が未入力／","")&amp;IF(N($U330)&gt;0,"申請書に入力エラーが残っています／","")&amp;IF(AND($B330&lt;&gt;"",$AO330&lt;&gt;""),IF(COUNTIFS($B$6:$B$3005,$B330,$C$6:$C$3005,$C330,$D$6:$D$3005,$D330)&gt;1,"同じ月の請求が重複しています／",""),"")&amp;IF(AND(N($E330)&gt;0,$Z330&lt;&gt;"",$Z330&lt;&gt;"×",$AC330=0,$AB330=""),"計算額が下限以下のため不支給／",""))</f>
        <v/>
      </c>
      <c r="AL330" s="12" t="n"/>
      <c r="AM330" s="14">
        <f>IF($AD330="保留中",COUNTIF($AD$6:$AD330,"保留中"),"")</f>
        <v/>
      </c>
      <c r="AN330" s="14">
        <f>IF($AO330="","",IF(SUMPRODUCT(MAX((職員マスタ!$A$6:$A$405=$B330)*(((職員マスタ!$G$6:$G$405="")+(職員マスタ!$G$6:$G$405&lt;=EOMONTH($AO330,0)))&gt;0)*(((職員マスタ!$H$6:$H$405="")+(職員マスタ!$H$6:$H$405&gt;=$AO330))&gt;0)*(ROW(職員マスタ!$A$6:$A$405)-5)))&gt;0,SUMPRODUCT(MAX((職員マスタ!$A$6:$A$405=$B330)*(((職員マスタ!$G$6:$G$405="")+(職員マスタ!$G$6:$G$405&lt;=EOMONTH($AO330,0)))&gt;0)*(((職員マスタ!$H$6:$H$405="")+(職員マスタ!$H$6:$H$405&gt;=$AO330))&gt;0)*(ROW(職員マスタ!$A$6:$A$405)-5))),IFERROR(MATCH($B330,職員マスタ!$A$6:$A$405,0),"")))</f>
        <v/>
      </c>
      <c r="AO330" s="16">
        <f>IF(OR($B330="",$C330="",$D330=""),"",DATE($C330+2018,$D330,1))</f>
        <v/>
      </c>
    </row>
    <row r="331">
      <c r="A331" s="11" t="n"/>
      <c r="B331" s="12" t="n">
        <v>6702591</v>
      </c>
      <c r="C331" s="12" t="n">
        <v>7</v>
      </c>
      <c r="D331" s="12" t="n">
        <v>9</v>
      </c>
      <c r="E331" s="13" t="n">
        <v>210182</v>
      </c>
      <c r="F331" s="12" t="n"/>
      <c r="G331" s="13" t="n"/>
      <c r="H331" s="12" t="n"/>
      <c r="I331" s="12" t="n"/>
      <c r="J331" s="12" t="n"/>
      <c r="K331" s="12" t="n"/>
      <c r="L331" s="11" t="n"/>
      <c r="M331" s="11" t="n"/>
      <c r="N331" s="11" t="n"/>
      <c r="O331" s="11" t="n"/>
      <c r="P331" s="12" t="n"/>
      <c r="Q331" s="11" t="n"/>
      <c r="R331" s="12" t="n"/>
      <c r="S331" s="11" t="n"/>
      <c r="T331" s="12" t="n"/>
      <c r="U331" s="12" t="n"/>
      <c r="V331" s="14">
        <f>IF($AN331="",IF($B331="","",$H331),IF(INDEX(職員マスタ!$B$6:$B$405,$AN331)="",$H331,INDEX(職員マスタ!$B$6:$B$405,$AN331)))</f>
        <v/>
      </c>
      <c r="W331" s="14">
        <f>IF($AN331="",IF($B331="","",$R331),IF(INDEX(職員マスタ!$C$6:$C$405,$AN331)="",$R331,INDEX(職員マスタ!$C$6:$C$405,$AN331)))</f>
        <v/>
      </c>
      <c r="X331" s="14">
        <f>IF($AO331="","","R"&amp;$C331&amp;"."&amp;$D331)</f>
        <v/>
      </c>
      <c r="Y331" s="15">
        <f>IF($AN331="","",IF(INDEX(職員マスタ!$K$6:$K$405,$AN331)="","",INDEX(職員マスタ!$K$6:$K$405,$AN331)))</f>
        <v/>
      </c>
      <c r="Z331" s="14">
        <f>IF(OR($E331="",$Y331=""),"",IF($E331&gt;=$Y331,"×",IF($E331&gt;=$Y331*設定!$C$5,"△","○")))</f>
        <v/>
      </c>
      <c r="AA331" s="15">
        <f>IF($Z331="","",IF($Z331="×",0,IF($Z331="○",ROUNDDOWN($E331*設定!$C$4,0),ROUNDDOWN($E331*ROUND((9*$Y331-9*$E331)/(10*$E331),4),0))))</f>
        <v/>
      </c>
      <c r="AB331" s="13" t="n"/>
      <c r="AC331" s="15">
        <f>IF($B331="","",IF($AB331&lt;&gt;"",$AB331,IF($AA331="","",IF($AA331&lt;=設定!$C$3,0,$AA331))))</f>
        <v/>
      </c>
      <c r="AD331" s="14">
        <f>IF($B331="","",IF(AND($AE331&lt;&gt;"",$AG331="",$AJ331=""),"保留中",IF($AJ331&lt;&gt;"",IF(N($AC331)&gt;0,"支給済","不支給"),IF($AC331="","要確認",IF($AC331=0,"不支給","未処理")))))</f>
        <v/>
      </c>
      <c r="AE331" s="12" t="n"/>
      <c r="AF331" s="11" t="n"/>
      <c r="AG331" s="11" t="n"/>
      <c r="AH331" s="11" t="n"/>
      <c r="AI331" s="14">
        <f>IF(AND($AD331="保留中",$AF331&lt;&gt;""),TODAY()-$AF331,"")</f>
        <v/>
      </c>
      <c r="AJ331" s="12" t="inlineStr">
        <is>
          <t>R7.11</t>
        </is>
      </c>
      <c r="AK331" s="14">
        <f>IF($B331="","",IF($AO331="","対象年月が未入力／","")&amp;IF($B331="","",IF($AN331="","職員マスタに未登録の職員番号／",IF($Y331="","標準報酬月額が未登録／","")&amp;IF(AND($AO331&lt;&gt;"",OR(AND(INDEX(職員マスタ!$G$6:$G$405,$AN331)&lt;&gt;"",INDEX(職員マスタ!$G$6:$G$405,$AN331)&gt;EOMONTH($AO331,0)),AND(INDEX(職員マスタ!$H$6:$H$405,$AN331)&lt;&gt;"",INDEX(職員マスタ!$H$6:$H$405,$AN331)&lt;$AO331))),"対象月が時短期間外／","")&amp;IF(AND(INDEX(職員マスタ!$F$6:$F$405,$AN331)&lt;&gt;"",$AO331&lt;&gt;"",INDEX(職員マスタ!$F$6:$F$405,$AN331)&lt;$AO331),"対象月に子が2歳到達済／","")&amp;IF(AND($H331&lt;&gt;"",INDEX(職員マスタ!$B$6:$B$405,$AN331)&lt;&gt;"",SUBSTITUTE(SUBSTITUTE($H331," ","")," ","")&lt;&gt;SUBSTITUTE(SUBSTITUTE(INDEX(職員マスタ!$B$6:$B$405,$AN331)," ","")," ","")),"氏名がマスタと相違／","")&amp;IF(AND($Q331&lt;&gt;"",INDEX(職員マスタ!$E$6:$E$405,$AN331)&lt;&gt;"",$Q331&lt;&gt;INDEX(職員マスタ!$E$6:$E$405,$AN331)),"子の生年月日がマスタと相違／","")&amp;IF(AND($L331&lt;&gt;"",INDEX(職員マスタ!$G$6:$G$405,$AN331)&lt;&gt;"",$L331&lt;&gt;INDEX(職員マスタ!$G$6:$G$405,$AN331)),"時短開始日がマスタと相違／","")&amp;IF(AND($M331&lt;&gt;"",INDEX(職員マスタ!$H$6:$H$405,$AN331)&lt;&gt;"",$M331&lt;&gt;INDEX(職員マスタ!$H$6:$H$405,$AN331)),"時短終了日がマスタと相違／","")))&amp;IF(AND($B331&lt;&gt;"",$E331=""),"報酬額が未入力／","")&amp;IF(N($U331)&gt;0,"申請書に入力エラーが残っています／","")&amp;IF(AND($B331&lt;&gt;"",$AO331&lt;&gt;""),IF(COUNTIFS($B$6:$B$3005,$B331,$C$6:$C$3005,$C331,$D$6:$D$3005,$D331)&gt;1,"同じ月の請求が重複しています／",""),"")&amp;IF(AND(N($E331)&gt;0,$Z331&lt;&gt;"",$Z331&lt;&gt;"×",$AC331=0,$AB331=""),"計算額が下限以下のため不支給／",""))</f>
        <v/>
      </c>
      <c r="AL331" s="12" t="n"/>
      <c r="AM331" s="14">
        <f>IF($AD331="保留中",COUNTIF($AD$6:$AD331,"保留中"),"")</f>
        <v/>
      </c>
      <c r="AN331" s="14">
        <f>IF($AO331="","",IF(SUMPRODUCT(MAX((職員マスタ!$A$6:$A$405=$B331)*(((職員マスタ!$G$6:$G$405="")+(職員マスタ!$G$6:$G$405&lt;=EOMONTH($AO331,0)))&gt;0)*(((職員マスタ!$H$6:$H$405="")+(職員マスタ!$H$6:$H$405&gt;=$AO331))&gt;0)*(ROW(職員マスタ!$A$6:$A$405)-5)))&gt;0,SUMPRODUCT(MAX((職員マスタ!$A$6:$A$405=$B331)*(((職員マスタ!$G$6:$G$405="")+(職員マスタ!$G$6:$G$405&lt;=EOMONTH($AO331,0)))&gt;0)*(((職員マスタ!$H$6:$H$405="")+(職員マスタ!$H$6:$H$405&gt;=$AO331))&gt;0)*(ROW(職員マスタ!$A$6:$A$405)-5))),IFERROR(MATCH($B331,職員マスタ!$A$6:$A$405,0),"")))</f>
        <v/>
      </c>
      <c r="AO331" s="16">
        <f>IF(OR($B331="",$C331="",$D331=""),"",DATE($C331+2018,$D331,1))</f>
        <v/>
      </c>
    </row>
    <row r="332">
      <c r="A332" s="11" t="n"/>
      <c r="B332" s="12" t="n">
        <v>6702591</v>
      </c>
      <c r="C332" s="12" t="n">
        <v>7</v>
      </c>
      <c r="D332" s="12" t="n">
        <v>10</v>
      </c>
      <c r="E332" s="13" t="n">
        <v>211895</v>
      </c>
      <c r="F332" s="12" t="n"/>
      <c r="G332" s="13" t="n"/>
      <c r="H332" s="12" t="n"/>
      <c r="I332" s="12" t="n"/>
      <c r="J332" s="12" t="n"/>
      <c r="K332" s="12" t="n"/>
      <c r="L332" s="11" t="n"/>
      <c r="M332" s="11" t="n"/>
      <c r="N332" s="11" t="n"/>
      <c r="O332" s="11" t="n"/>
      <c r="P332" s="12" t="n"/>
      <c r="Q332" s="11" t="n"/>
      <c r="R332" s="12" t="n"/>
      <c r="S332" s="11" t="n"/>
      <c r="T332" s="12" t="n"/>
      <c r="U332" s="12" t="n"/>
      <c r="V332" s="14">
        <f>IF($AN332="",IF($B332="","",$H332),IF(INDEX(職員マスタ!$B$6:$B$405,$AN332)="",$H332,INDEX(職員マスタ!$B$6:$B$405,$AN332)))</f>
        <v/>
      </c>
      <c r="W332" s="14">
        <f>IF($AN332="",IF($B332="","",$R332),IF(INDEX(職員マスタ!$C$6:$C$405,$AN332)="",$R332,INDEX(職員マスタ!$C$6:$C$405,$AN332)))</f>
        <v/>
      </c>
      <c r="X332" s="14">
        <f>IF($AO332="","","R"&amp;$C332&amp;"."&amp;$D332)</f>
        <v/>
      </c>
      <c r="Y332" s="15">
        <f>IF($AN332="","",IF(INDEX(職員マスタ!$K$6:$K$405,$AN332)="","",INDEX(職員マスタ!$K$6:$K$405,$AN332)))</f>
        <v/>
      </c>
      <c r="Z332" s="14">
        <f>IF(OR($E332="",$Y332=""),"",IF($E332&gt;=$Y332,"×",IF($E332&gt;=$Y332*設定!$C$5,"△","○")))</f>
        <v/>
      </c>
      <c r="AA332" s="15">
        <f>IF($Z332="","",IF($Z332="×",0,IF($Z332="○",ROUNDDOWN($E332*設定!$C$4,0),ROUNDDOWN($E332*ROUND((9*$Y332-9*$E332)/(10*$E332),4),0))))</f>
        <v/>
      </c>
      <c r="AB332" s="13" t="n"/>
      <c r="AC332" s="15">
        <f>IF($B332="","",IF($AB332&lt;&gt;"",$AB332,IF($AA332="","",IF($AA332&lt;=設定!$C$3,0,$AA332))))</f>
        <v/>
      </c>
      <c r="AD332" s="14">
        <f>IF($B332="","",IF(AND($AE332&lt;&gt;"",$AG332="",$AJ332=""),"保留中",IF($AJ332&lt;&gt;"",IF(N($AC332)&gt;0,"支給済","不支給"),IF($AC332="","要確認",IF($AC332=0,"不支給","未処理")))))</f>
        <v/>
      </c>
      <c r="AE332" s="12" t="n"/>
      <c r="AF332" s="11" t="n"/>
      <c r="AG332" s="11" t="n"/>
      <c r="AH332" s="11" t="n"/>
      <c r="AI332" s="14">
        <f>IF(AND($AD332="保留中",$AF332&lt;&gt;""),TODAY()-$AF332,"")</f>
        <v/>
      </c>
      <c r="AJ332" s="12" t="inlineStr">
        <is>
          <t>R8.1</t>
        </is>
      </c>
      <c r="AK332" s="14">
        <f>IF($B332="","",IF($AO332="","対象年月が未入力／","")&amp;IF($B332="","",IF($AN332="","職員マスタに未登録の職員番号／",IF($Y332="","標準報酬月額が未登録／","")&amp;IF(AND($AO332&lt;&gt;"",OR(AND(INDEX(職員マスタ!$G$6:$G$405,$AN332)&lt;&gt;"",INDEX(職員マスタ!$G$6:$G$405,$AN332)&gt;EOMONTH($AO332,0)),AND(INDEX(職員マスタ!$H$6:$H$405,$AN332)&lt;&gt;"",INDEX(職員マスタ!$H$6:$H$405,$AN332)&lt;$AO332))),"対象月が時短期間外／","")&amp;IF(AND(INDEX(職員マスタ!$F$6:$F$405,$AN332)&lt;&gt;"",$AO332&lt;&gt;"",INDEX(職員マスタ!$F$6:$F$405,$AN332)&lt;$AO332),"対象月に子が2歳到達済／","")&amp;IF(AND($H332&lt;&gt;"",INDEX(職員マスタ!$B$6:$B$405,$AN332)&lt;&gt;"",SUBSTITUTE(SUBSTITUTE($H332," ","")," ","")&lt;&gt;SUBSTITUTE(SUBSTITUTE(INDEX(職員マスタ!$B$6:$B$405,$AN332)," ","")," ","")),"氏名がマスタと相違／","")&amp;IF(AND($Q332&lt;&gt;"",INDEX(職員マスタ!$E$6:$E$405,$AN332)&lt;&gt;"",$Q332&lt;&gt;INDEX(職員マスタ!$E$6:$E$405,$AN332)),"子の生年月日がマスタと相違／","")&amp;IF(AND($L332&lt;&gt;"",INDEX(職員マスタ!$G$6:$G$405,$AN332)&lt;&gt;"",$L332&lt;&gt;INDEX(職員マスタ!$G$6:$G$405,$AN332)),"時短開始日がマスタと相違／","")&amp;IF(AND($M332&lt;&gt;"",INDEX(職員マスタ!$H$6:$H$405,$AN332)&lt;&gt;"",$M332&lt;&gt;INDEX(職員マスタ!$H$6:$H$405,$AN332)),"時短終了日がマスタと相違／","")))&amp;IF(AND($B332&lt;&gt;"",$E332=""),"報酬額が未入力／","")&amp;IF(N($U332)&gt;0,"申請書に入力エラーが残っています／","")&amp;IF(AND($B332&lt;&gt;"",$AO332&lt;&gt;""),IF(COUNTIFS($B$6:$B$3005,$B332,$C$6:$C$3005,$C332,$D$6:$D$3005,$D332)&gt;1,"同じ月の請求が重複しています／",""),"")&amp;IF(AND(N($E332)&gt;0,$Z332&lt;&gt;"",$Z332&lt;&gt;"×",$AC332=0,$AB332=""),"計算額が下限以下のため不支給／",""))</f>
        <v/>
      </c>
      <c r="AL332" s="12" t="n"/>
      <c r="AM332" s="14">
        <f>IF($AD332="保留中",COUNTIF($AD$6:$AD332,"保留中"),"")</f>
        <v/>
      </c>
      <c r="AN332" s="14">
        <f>IF($AO332="","",IF(SUMPRODUCT(MAX((職員マスタ!$A$6:$A$405=$B332)*(((職員マスタ!$G$6:$G$405="")+(職員マスタ!$G$6:$G$405&lt;=EOMONTH($AO332,0)))&gt;0)*(((職員マスタ!$H$6:$H$405="")+(職員マスタ!$H$6:$H$405&gt;=$AO332))&gt;0)*(ROW(職員マスタ!$A$6:$A$405)-5)))&gt;0,SUMPRODUCT(MAX((職員マスタ!$A$6:$A$405=$B332)*(((職員マスタ!$G$6:$G$405="")+(職員マスタ!$G$6:$G$405&lt;=EOMONTH($AO332,0)))&gt;0)*(((職員マスタ!$H$6:$H$405="")+(職員マスタ!$H$6:$H$405&gt;=$AO332))&gt;0)*(ROW(職員マスタ!$A$6:$A$405)-5))),IFERROR(MATCH($B332,職員マスタ!$A$6:$A$405,0),"")))</f>
        <v/>
      </c>
      <c r="AO332" s="16">
        <f>IF(OR($B332="",$C332="",$D332=""),"",DATE($C332+2018,$D332,1))</f>
        <v/>
      </c>
    </row>
    <row r="333">
      <c r="A333" s="11" t="n"/>
      <c r="B333" s="12" t="n">
        <v>6702591</v>
      </c>
      <c r="C333" s="12" t="n">
        <v>7</v>
      </c>
      <c r="D333" s="12" t="n">
        <v>11</v>
      </c>
      <c r="E333" s="13" t="n">
        <v>214186</v>
      </c>
      <c r="F333" s="12" t="n"/>
      <c r="G333" s="13" t="n"/>
      <c r="H333" s="12" t="n"/>
      <c r="I333" s="12" t="n"/>
      <c r="J333" s="12" t="n"/>
      <c r="K333" s="12" t="n"/>
      <c r="L333" s="11" t="n"/>
      <c r="M333" s="11" t="n"/>
      <c r="N333" s="11" t="n"/>
      <c r="O333" s="11" t="n"/>
      <c r="P333" s="12" t="n"/>
      <c r="Q333" s="11" t="n"/>
      <c r="R333" s="12" t="n"/>
      <c r="S333" s="11" t="n"/>
      <c r="T333" s="12" t="n"/>
      <c r="U333" s="12" t="n"/>
      <c r="V333" s="14">
        <f>IF($AN333="",IF($B333="","",$H333),IF(INDEX(職員マスタ!$B$6:$B$405,$AN333)="",$H333,INDEX(職員マスタ!$B$6:$B$405,$AN333)))</f>
        <v/>
      </c>
      <c r="W333" s="14">
        <f>IF($AN333="",IF($B333="","",$R333),IF(INDEX(職員マスタ!$C$6:$C$405,$AN333)="",$R333,INDEX(職員マスタ!$C$6:$C$405,$AN333)))</f>
        <v/>
      </c>
      <c r="X333" s="14">
        <f>IF($AO333="","","R"&amp;$C333&amp;"."&amp;$D333)</f>
        <v/>
      </c>
      <c r="Y333" s="15">
        <f>IF($AN333="","",IF(INDEX(職員マスタ!$K$6:$K$405,$AN333)="","",INDEX(職員マスタ!$K$6:$K$405,$AN333)))</f>
        <v/>
      </c>
      <c r="Z333" s="14">
        <f>IF(OR($E333="",$Y333=""),"",IF($E333&gt;=$Y333,"×",IF($E333&gt;=$Y333*設定!$C$5,"△","○")))</f>
        <v/>
      </c>
      <c r="AA333" s="15">
        <f>IF($Z333="","",IF($Z333="×",0,IF($Z333="○",ROUNDDOWN($E333*設定!$C$4,0),ROUNDDOWN($E333*ROUND((9*$Y333-9*$E333)/(10*$E333),4),0))))</f>
        <v/>
      </c>
      <c r="AB333" s="13" t="n"/>
      <c r="AC333" s="15">
        <f>IF($B333="","",IF($AB333&lt;&gt;"",$AB333,IF($AA333="","",IF($AA333&lt;=設定!$C$3,0,$AA333))))</f>
        <v/>
      </c>
      <c r="AD333" s="14">
        <f>IF($B333="","",IF(AND($AE333&lt;&gt;"",$AG333="",$AJ333=""),"保留中",IF($AJ333&lt;&gt;"",IF(N($AC333)&gt;0,"支給済","不支給"),IF($AC333="","要確認",IF($AC333=0,"不支給","未処理")))))</f>
        <v/>
      </c>
      <c r="AE333" s="12" t="n"/>
      <c r="AF333" s="11" t="n"/>
      <c r="AG333" s="11" t="n"/>
      <c r="AH333" s="11" t="n"/>
      <c r="AI333" s="14">
        <f>IF(AND($AD333="保留中",$AF333&lt;&gt;""),TODAY()-$AF333,"")</f>
        <v/>
      </c>
      <c r="AJ333" s="12" t="inlineStr">
        <is>
          <t>R8.1</t>
        </is>
      </c>
      <c r="AK333" s="14">
        <f>IF($B333="","",IF($AO333="","対象年月が未入力／","")&amp;IF($B333="","",IF($AN333="","職員マスタに未登録の職員番号／",IF($Y333="","標準報酬月額が未登録／","")&amp;IF(AND($AO333&lt;&gt;"",OR(AND(INDEX(職員マスタ!$G$6:$G$405,$AN333)&lt;&gt;"",INDEX(職員マスタ!$G$6:$G$405,$AN333)&gt;EOMONTH($AO333,0)),AND(INDEX(職員マスタ!$H$6:$H$405,$AN333)&lt;&gt;"",INDEX(職員マスタ!$H$6:$H$405,$AN333)&lt;$AO333))),"対象月が時短期間外／","")&amp;IF(AND(INDEX(職員マスタ!$F$6:$F$405,$AN333)&lt;&gt;"",$AO333&lt;&gt;"",INDEX(職員マスタ!$F$6:$F$405,$AN333)&lt;$AO333),"対象月に子が2歳到達済／","")&amp;IF(AND($H333&lt;&gt;"",INDEX(職員マスタ!$B$6:$B$405,$AN333)&lt;&gt;"",SUBSTITUTE(SUBSTITUTE($H333," ","")," ","")&lt;&gt;SUBSTITUTE(SUBSTITUTE(INDEX(職員マスタ!$B$6:$B$405,$AN333)," ","")," ","")),"氏名がマスタと相違／","")&amp;IF(AND($Q333&lt;&gt;"",INDEX(職員マスタ!$E$6:$E$405,$AN333)&lt;&gt;"",$Q333&lt;&gt;INDEX(職員マスタ!$E$6:$E$405,$AN333)),"子の生年月日がマスタと相違／","")&amp;IF(AND($L333&lt;&gt;"",INDEX(職員マスタ!$G$6:$G$405,$AN333)&lt;&gt;"",$L333&lt;&gt;INDEX(職員マスタ!$G$6:$G$405,$AN333)),"時短開始日がマスタと相違／","")&amp;IF(AND($M333&lt;&gt;"",INDEX(職員マスタ!$H$6:$H$405,$AN333)&lt;&gt;"",$M333&lt;&gt;INDEX(職員マスタ!$H$6:$H$405,$AN333)),"時短終了日がマスタと相違／","")))&amp;IF(AND($B333&lt;&gt;"",$E333=""),"報酬額が未入力／","")&amp;IF(N($U333)&gt;0,"申請書に入力エラーが残っています／","")&amp;IF(AND($B333&lt;&gt;"",$AO333&lt;&gt;""),IF(COUNTIFS($B$6:$B$3005,$B333,$C$6:$C$3005,$C333,$D$6:$D$3005,$D333)&gt;1,"同じ月の請求が重複しています／",""),"")&amp;IF(AND(N($E333)&gt;0,$Z333&lt;&gt;"",$Z333&lt;&gt;"×",$AC333=0,$AB333=""),"計算額が下限以下のため不支給／",""))</f>
        <v/>
      </c>
      <c r="AL333" s="12" t="n"/>
      <c r="AM333" s="14">
        <f>IF($AD333="保留中",COUNTIF($AD$6:$AD333,"保留中"),"")</f>
        <v/>
      </c>
      <c r="AN333" s="14">
        <f>IF($AO333="","",IF(SUMPRODUCT(MAX((職員マスタ!$A$6:$A$405=$B333)*(((職員マスタ!$G$6:$G$405="")+(職員マスタ!$G$6:$G$405&lt;=EOMONTH($AO333,0)))&gt;0)*(((職員マスタ!$H$6:$H$405="")+(職員マスタ!$H$6:$H$405&gt;=$AO333))&gt;0)*(ROW(職員マスタ!$A$6:$A$405)-5)))&gt;0,SUMPRODUCT(MAX((職員マスタ!$A$6:$A$405=$B333)*(((職員マスタ!$G$6:$G$405="")+(職員マスタ!$G$6:$G$405&lt;=EOMONTH($AO333,0)))&gt;0)*(((職員マスタ!$H$6:$H$405="")+(職員マスタ!$H$6:$H$405&gt;=$AO333))&gt;0)*(ROW(職員マスタ!$A$6:$A$405)-5))),IFERROR(MATCH($B333,職員マスタ!$A$6:$A$405,0),"")))</f>
        <v/>
      </c>
      <c r="AO333" s="16">
        <f>IF(OR($B333="",$C333="",$D333=""),"",DATE($C333+2018,$D333,1))</f>
        <v/>
      </c>
    </row>
    <row r="334">
      <c r="A334" s="11" t="n"/>
      <c r="B334" s="12" t="n">
        <v>6702591</v>
      </c>
      <c r="C334" s="12" t="n">
        <v>7</v>
      </c>
      <c r="D334" s="12" t="n">
        <v>12</v>
      </c>
      <c r="E334" s="13" t="n">
        <v>214376</v>
      </c>
      <c r="F334" s="12" t="n"/>
      <c r="G334" s="13" t="n"/>
      <c r="H334" s="12" t="n"/>
      <c r="I334" s="12" t="n"/>
      <c r="J334" s="12" t="n"/>
      <c r="K334" s="12" t="n"/>
      <c r="L334" s="11" t="n"/>
      <c r="M334" s="11" t="n"/>
      <c r="N334" s="11" t="n"/>
      <c r="O334" s="11" t="n"/>
      <c r="P334" s="12" t="n"/>
      <c r="Q334" s="11" t="n"/>
      <c r="R334" s="12" t="n"/>
      <c r="S334" s="11" t="n"/>
      <c r="T334" s="12" t="n"/>
      <c r="U334" s="12" t="n"/>
      <c r="V334" s="14">
        <f>IF($AN334="",IF($B334="","",$H334),IF(INDEX(職員マスタ!$B$6:$B$405,$AN334)="",$H334,INDEX(職員マスタ!$B$6:$B$405,$AN334)))</f>
        <v/>
      </c>
      <c r="W334" s="14">
        <f>IF($AN334="",IF($B334="","",$R334),IF(INDEX(職員マスタ!$C$6:$C$405,$AN334)="",$R334,INDEX(職員マスタ!$C$6:$C$405,$AN334)))</f>
        <v/>
      </c>
      <c r="X334" s="14">
        <f>IF($AO334="","","R"&amp;$C334&amp;"."&amp;$D334)</f>
        <v/>
      </c>
      <c r="Y334" s="15">
        <f>IF($AN334="","",IF(INDEX(職員マスタ!$K$6:$K$405,$AN334)="","",INDEX(職員マスタ!$K$6:$K$405,$AN334)))</f>
        <v/>
      </c>
      <c r="Z334" s="14">
        <f>IF(OR($E334="",$Y334=""),"",IF($E334&gt;=$Y334,"×",IF($E334&gt;=$Y334*設定!$C$5,"△","○")))</f>
        <v/>
      </c>
      <c r="AA334" s="15">
        <f>IF($Z334="","",IF($Z334="×",0,IF($Z334="○",ROUNDDOWN($E334*設定!$C$4,0),ROUNDDOWN($E334*ROUND((9*$Y334-9*$E334)/(10*$E334),4),0))))</f>
        <v/>
      </c>
      <c r="AB334" s="13" t="n"/>
      <c r="AC334" s="15">
        <f>IF($B334="","",IF($AB334&lt;&gt;"",$AB334,IF($AA334="","",IF($AA334&lt;=設定!$C$3,0,$AA334))))</f>
        <v/>
      </c>
      <c r="AD334" s="14">
        <f>IF($B334="","",IF(AND($AE334&lt;&gt;"",$AG334="",$AJ334=""),"保留中",IF($AJ334&lt;&gt;"",IF(N($AC334)&gt;0,"支給済","不支給"),IF($AC334="","要確認",IF($AC334=0,"不支給","未処理")))))</f>
        <v/>
      </c>
      <c r="AE334" s="12" t="n"/>
      <c r="AF334" s="11" t="n"/>
      <c r="AG334" s="11" t="n"/>
      <c r="AH334" s="11" t="n"/>
      <c r="AI334" s="14">
        <f>IF(AND($AD334="保留中",$AF334&lt;&gt;""),TODAY()-$AF334,"")</f>
        <v/>
      </c>
      <c r="AJ334" s="12" t="inlineStr">
        <is>
          <t>R8.2</t>
        </is>
      </c>
      <c r="AK334" s="14">
        <f>IF($B334="","",IF($AO334="","対象年月が未入力／","")&amp;IF($B334="","",IF($AN334="","職員マスタに未登録の職員番号／",IF($Y334="","標準報酬月額が未登録／","")&amp;IF(AND($AO334&lt;&gt;"",OR(AND(INDEX(職員マスタ!$G$6:$G$405,$AN334)&lt;&gt;"",INDEX(職員マスタ!$G$6:$G$405,$AN334)&gt;EOMONTH($AO334,0)),AND(INDEX(職員マスタ!$H$6:$H$405,$AN334)&lt;&gt;"",INDEX(職員マスタ!$H$6:$H$405,$AN334)&lt;$AO334))),"対象月が時短期間外／","")&amp;IF(AND(INDEX(職員マスタ!$F$6:$F$405,$AN334)&lt;&gt;"",$AO334&lt;&gt;"",INDEX(職員マスタ!$F$6:$F$405,$AN334)&lt;$AO334),"対象月に子が2歳到達済／","")&amp;IF(AND($H334&lt;&gt;"",INDEX(職員マスタ!$B$6:$B$405,$AN334)&lt;&gt;"",SUBSTITUTE(SUBSTITUTE($H334," ","")," ","")&lt;&gt;SUBSTITUTE(SUBSTITUTE(INDEX(職員マスタ!$B$6:$B$405,$AN334)," ","")," ","")),"氏名がマスタと相違／","")&amp;IF(AND($Q334&lt;&gt;"",INDEX(職員マスタ!$E$6:$E$405,$AN334)&lt;&gt;"",$Q334&lt;&gt;INDEX(職員マスタ!$E$6:$E$405,$AN334)),"子の生年月日がマスタと相違／","")&amp;IF(AND($L334&lt;&gt;"",INDEX(職員マスタ!$G$6:$G$405,$AN334)&lt;&gt;"",$L334&lt;&gt;INDEX(職員マスタ!$G$6:$G$405,$AN334)),"時短開始日がマスタと相違／","")&amp;IF(AND($M334&lt;&gt;"",INDEX(職員マスタ!$H$6:$H$405,$AN334)&lt;&gt;"",$M334&lt;&gt;INDEX(職員マスタ!$H$6:$H$405,$AN334)),"時短終了日がマスタと相違／","")))&amp;IF(AND($B334&lt;&gt;"",$E334=""),"報酬額が未入力／","")&amp;IF(N($U334)&gt;0,"申請書に入力エラーが残っています／","")&amp;IF(AND($B334&lt;&gt;"",$AO334&lt;&gt;""),IF(COUNTIFS($B$6:$B$3005,$B334,$C$6:$C$3005,$C334,$D$6:$D$3005,$D334)&gt;1,"同じ月の請求が重複しています／",""),"")&amp;IF(AND(N($E334)&gt;0,$Z334&lt;&gt;"",$Z334&lt;&gt;"×",$AC334=0,$AB334=""),"計算額が下限以下のため不支給／",""))</f>
        <v/>
      </c>
      <c r="AL334" s="12" t="n"/>
      <c r="AM334" s="14">
        <f>IF($AD334="保留中",COUNTIF($AD$6:$AD334,"保留中"),"")</f>
        <v/>
      </c>
      <c r="AN334" s="14">
        <f>IF($AO334="","",IF(SUMPRODUCT(MAX((職員マスタ!$A$6:$A$405=$B334)*(((職員マスタ!$G$6:$G$405="")+(職員マスタ!$G$6:$G$405&lt;=EOMONTH($AO334,0)))&gt;0)*(((職員マスタ!$H$6:$H$405="")+(職員マスタ!$H$6:$H$405&gt;=$AO334))&gt;0)*(ROW(職員マスタ!$A$6:$A$405)-5)))&gt;0,SUMPRODUCT(MAX((職員マスタ!$A$6:$A$405=$B334)*(((職員マスタ!$G$6:$G$405="")+(職員マスタ!$G$6:$G$405&lt;=EOMONTH($AO334,0)))&gt;0)*(((職員マスタ!$H$6:$H$405="")+(職員マスタ!$H$6:$H$405&gt;=$AO334))&gt;0)*(ROW(職員マスタ!$A$6:$A$405)-5))),IFERROR(MATCH($B334,職員マスタ!$A$6:$A$405,0),"")))</f>
        <v/>
      </c>
      <c r="AO334" s="16">
        <f>IF(OR($B334="",$C334="",$D334=""),"",DATE($C334+2018,$D334,1))</f>
        <v/>
      </c>
    </row>
    <row r="335">
      <c r="A335" s="11" t="n"/>
      <c r="B335" s="12" t="n">
        <v>6702674</v>
      </c>
      <c r="C335" s="12" t="n">
        <v>7</v>
      </c>
      <c r="D335" s="12" t="n">
        <v>4</v>
      </c>
      <c r="E335" s="13" t="n">
        <v>105489</v>
      </c>
      <c r="F335" s="12" t="n"/>
      <c r="G335" s="13" t="n"/>
      <c r="H335" s="12" t="n"/>
      <c r="I335" s="12" t="n"/>
      <c r="J335" s="12" t="n"/>
      <c r="K335" s="12" t="n"/>
      <c r="L335" s="11" t="n"/>
      <c r="M335" s="11" t="n"/>
      <c r="N335" s="11" t="n"/>
      <c r="O335" s="11" t="n"/>
      <c r="P335" s="12" t="n"/>
      <c r="Q335" s="11" t="n"/>
      <c r="R335" s="12" t="n"/>
      <c r="S335" s="11" t="n"/>
      <c r="T335" s="12" t="n"/>
      <c r="U335" s="12" t="n"/>
      <c r="V335" s="14">
        <f>IF($AN335="",IF($B335="","",$H335),IF(INDEX(職員マスタ!$B$6:$B$405,$AN335)="",$H335,INDEX(職員マスタ!$B$6:$B$405,$AN335)))</f>
        <v/>
      </c>
      <c r="W335" s="14">
        <f>IF($AN335="",IF($B335="","",$R335),IF(INDEX(職員マスタ!$C$6:$C$405,$AN335)="",$R335,INDEX(職員マスタ!$C$6:$C$405,$AN335)))</f>
        <v/>
      </c>
      <c r="X335" s="14">
        <f>IF($AO335="","","R"&amp;$C335&amp;"."&amp;$D335)</f>
        <v/>
      </c>
      <c r="Y335" s="15">
        <f>IF($AN335="","",IF(INDEX(職員マスタ!$K$6:$K$405,$AN335)="","",INDEX(職員マスタ!$K$6:$K$405,$AN335)))</f>
        <v/>
      </c>
      <c r="Z335" s="14">
        <f>IF(OR($E335="",$Y335=""),"",IF($E335&gt;=$Y335,"×",IF($E335&gt;=$Y335*設定!$C$5,"△","○")))</f>
        <v/>
      </c>
      <c r="AA335" s="15">
        <f>IF($Z335="","",IF($Z335="×",0,IF($Z335="○",ROUNDDOWN($E335*設定!$C$4,0),ROUNDDOWN($E335*ROUND((9*$Y335-9*$E335)/(10*$E335),4),0))))</f>
        <v/>
      </c>
      <c r="AB335" s="13" t="n"/>
      <c r="AC335" s="15">
        <f>IF($B335="","",IF($AB335&lt;&gt;"",$AB335,IF($AA335="","",IF($AA335&lt;=設定!$C$3,0,$AA335))))</f>
        <v/>
      </c>
      <c r="AD335" s="14">
        <f>IF($B335="","",IF(AND($AE335&lt;&gt;"",$AG335="",$AJ335=""),"保留中",IF($AJ335&lt;&gt;"",IF(N($AC335)&gt;0,"支給済","不支給"),IF($AC335="","要確認",IF($AC335=0,"不支給","未処理")))))</f>
        <v/>
      </c>
      <c r="AE335" s="12" t="n"/>
      <c r="AF335" s="11" t="n"/>
      <c r="AG335" s="11" t="n"/>
      <c r="AH335" s="11" t="n"/>
      <c r="AI335" s="14">
        <f>IF(AND($AD335="保留中",$AF335&lt;&gt;""),TODAY()-$AF335,"")</f>
        <v/>
      </c>
      <c r="AJ335" s="12" t="inlineStr">
        <is>
          <t>R7.8</t>
        </is>
      </c>
      <c r="AK335" s="14">
        <f>IF($B335="","",IF($AO335="","対象年月が未入力／","")&amp;IF($B335="","",IF($AN335="","職員マスタに未登録の職員番号／",IF($Y335="","標準報酬月額が未登録／","")&amp;IF(AND($AO335&lt;&gt;"",OR(AND(INDEX(職員マスタ!$G$6:$G$405,$AN335)&lt;&gt;"",INDEX(職員マスタ!$G$6:$G$405,$AN335)&gt;EOMONTH($AO335,0)),AND(INDEX(職員マスタ!$H$6:$H$405,$AN335)&lt;&gt;"",INDEX(職員マスタ!$H$6:$H$405,$AN335)&lt;$AO335))),"対象月が時短期間外／","")&amp;IF(AND(INDEX(職員マスタ!$F$6:$F$405,$AN335)&lt;&gt;"",$AO335&lt;&gt;"",INDEX(職員マスタ!$F$6:$F$405,$AN335)&lt;$AO335),"対象月に子が2歳到達済／","")&amp;IF(AND($H335&lt;&gt;"",INDEX(職員マスタ!$B$6:$B$405,$AN335)&lt;&gt;"",SUBSTITUTE(SUBSTITUTE($H335," ","")," ","")&lt;&gt;SUBSTITUTE(SUBSTITUTE(INDEX(職員マスタ!$B$6:$B$405,$AN335)," ","")," ","")),"氏名がマスタと相違／","")&amp;IF(AND($Q335&lt;&gt;"",INDEX(職員マスタ!$E$6:$E$405,$AN335)&lt;&gt;"",$Q335&lt;&gt;INDEX(職員マスタ!$E$6:$E$405,$AN335)),"子の生年月日がマスタと相違／","")&amp;IF(AND($L335&lt;&gt;"",INDEX(職員マスタ!$G$6:$G$405,$AN335)&lt;&gt;"",$L335&lt;&gt;INDEX(職員マスタ!$G$6:$G$405,$AN335)),"時短開始日がマスタと相違／","")&amp;IF(AND($M335&lt;&gt;"",INDEX(職員マスタ!$H$6:$H$405,$AN335)&lt;&gt;"",$M335&lt;&gt;INDEX(職員マスタ!$H$6:$H$405,$AN335)),"時短終了日がマスタと相違／","")))&amp;IF(AND($B335&lt;&gt;"",$E335=""),"報酬額が未入力／","")&amp;IF(N($U335)&gt;0,"申請書に入力エラーが残っています／","")&amp;IF(AND($B335&lt;&gt;"",$AO335&lt;&gt;""),IF(COUNTIFS($B$6:$B$3005,$B335,$C$6:$C$3005,$C335,$D$6:$D$3005,$D335)&gt;1,"同じ月の請求が重複しています／",""),"")&amp;IF(AND(N($E335)&gt;0,$Z335&lt;&gt;"",$Z335&lt;&gt;"×",$AC335=0,$AB335=""),"計算額が下限以下のため不支給／",""))</f>
        <v/>
      </c>
      <c r="AL335" s="12" t="n"/>
      <c r="AM335" s="14">
        <f>IF($AD335="保留中",COUNTIF($AD$6:$AD335,"保留中"),"")</f>
        <v/>
      </c>
      <c r="AN335" s="14">
        <f>IF($AO335="","",IF(SUMPRODUCT(MAX((職員マスタ!$A$6:$A$405=$B335)*(((職員マスタ!$G$6:$G$405="")+(職員マスタ!$G$6:$G$405&lt;=EOMONTH($AO335,0)))&gt;0)*(((職員マスタ!$H$6:$H$405="")+(職員マスタ!$H$6:$H$405&gt;=$AO335))&gt;0)*(ROW(職員マスタ!$A$6:$A$405)-5)))&gt;0,SUMPRODUCT(MAX((職員マスタ!$A$6:$A$405=$B335)*(((職員マスタ!$G$6:$G$405="")+(職員マスタ!$G$6:$G$405&lt;=EOMONTH($AO335,0)))&gt;0)*(((職員マスタ!$H$6:$H$405="")+(職員マスタ!$H$6:$H$405&gt;=$AO335))&gt;0)*(ROW(職員マスタ!$A$6:$A$405)-5))),IFERROR(MATCH($B335,職員マスタ!$A$6:$A$405,0),"")))</f>
        <v/>
      </c>
      <c r="AO335" s="16">
        <f>IF(OR($B335="",$C335="",$D335=""),"",DATE($C335+2018,$D335,1))</f>
        <v/>
      </c>
    </row>
    <row r="336">
      <c r="A336" s="11" t="n"/>
      <c r="B336" s="12" t="n">
        <v>6702674</v>
      </c>
      <c r="C336" s="12" t="n">
        <v>7</v>
      </c>
      <c r="D336" s="12" t="n">
        <v>5</v>
      </c>
      <c r="E336" s="13" t="n">
        <v>185233</v>
      </c>
      <c r="F336" s="12" t="n"/>
      <c r="G336" s="13" t="n"/>
      <c r="H336" s="12" t="n"/>
      <c r="I336" s="12" t="n"/>
      <c r="J336" s="12" t="n"/>
      <c r="K336" s="12" t="n"/>
      <c r="L336" s="11" t="n"/>
      <c r="M336" s="11" t="n"/>
      <c r="N336" s="11" t="n"/>
      <c r="O336" s="11" t="n"/>
      <c r="P336" s="12" t="n"/>
      <c r="Q336" s="11" t="n"/>
      <c r="R336" s="12" t="n"/>
      <c r="S336" s="11" t="n"/>
      <c r="T336" s="12" t="n"/>
      <c r="U336" s="12" t="n"/>
      <c r="V336" s="14">
        <f>IF($AN336="",IF($B336="","",$H336),IF(INDEX(職員マスタ!$B$6:$B$405,$AN336)="",$H336,INDEX(職員マスタ!$B$6:$B$405,$AN336)))</f>
        <v/>
      </c>
      <c r="W336" s="14">
        <f>IF($AN336="",IF($B336="","",$R336),IF(INDEX(職員マスタ!$C$6:$C$405,$AN336)="",$R336,INDEX(職員マスタ!$C$6:$C$405,$AN336)))</f>
        <v/>
      </c>
      <c r="X336" s="14">
        <f>IF($AO336="","","R"&amp;$C336&amp;"."&amp;$D336)</f>
        <v/>
      </c>
      <c r="Y336" s="15">
        <f>IF($AN336="","",IF(INDEX(職員マスタ!$K$6:$K$405,$AN336)="","",INDEX(職員マスタ!$K$6:$K$405,$AN336)))</f>
        <v/>
      </c>
      <c r="Z336" s="14">
        <f>IF(OR($E336="",$Y336=""),"",IF($E336&gt;=$Y336,"×",IF($E336&gt;=$Y336*設定!$C$5,"△","○")))</f>
        <v/>
      </c>
      <c r="AA336" s="15">
        <f>IF($Z336="","",IF($Z336="×",0,IF($Z336="○",ROUNDDOWN($E336*設定!$C$4,0),ROUNDDOWN($E336*ROUND((9*$Y336-9*$E336)/(10*$E336),4),0))))</f>
        <v/>
      </c>
      <c r="AB336" s="13" t="n"/>
      <c r="AC336" s="15">
        <f>IF($B336="","",IF($AB336&lt;&gt;"",$AB336,IF($AA336="","",IF($AA336&lt;=設定!$C$3,0,$AA336))))</f>
        <v/>
      </c>
      <c r="AD336" s="14">
        <f>IF($B336="","",IF(AND($AE336&lt;&gt;"",$AG336="",$AJ336=""),"保留中",IF($AJ336&lt;&gt;"",IF(N($AC336)&gt;0,"支給済","不支給"),IF($AC336="","要確認",IF($AC336=0,"不支給","未処理")))))</f>
        <v/>
      </c>
      <c r="AE336" s="12" t="n"/>
      <c r="AF336" s="11" t="n"/>
      <c r="AG336" s="11" t="n"/>
      <c r="AH336" s="11" t="n"/>
      <c r="AI336" s="14">
        <f>IF(AND($AD336="保留中",$AF336&lt;&gt;""),TODAY()-$AF336,"")</f>
        <v/>
      </c>
      <c r="AJ336" s="12" t="inlineStr">
        <is>
          <t>R7.8</t>
        </is>
      </c>
      <c r="AK336" s="14">
        <f>IF($B336="","",IF($AO336="","対象年月が未入力／","")&amp;IF($B336="","",IF($AN336="","職員マスタに未登録の職員番号／",IF($Y336="","標準報酬月額が未登録／","")&amp;IF(AND($AO336&lt;&gt;"",OR(AND(INDEX(職員マスタ!$G$6:$G$405,$AN336)&lt;&gt;"",INDEX(職員マスタ!$G$6:$G$405,$AN336)&gt;EOMONTH($AO336,0)),AND(INDEX(職員マスタ!$H$6:$H$405,$AN336)&lt;&gt;"",INDEX(職員マスタ!$H$6:$H$405,$AN336)&lt;$AO336))),"対象月が時短期間外／","")&amp;IF(AND(INDEX(職員マスタ!$F$6:$F$405,$AN336)&lt;&gt;"",$AO336&lt;&gt;"",INDEX(職員マスタ!$F$6:$F$405,$AN336)&lt;$AO336),"対象月に子が2歳到達済／","")&amp;IF(AND($H336&lt;&gt;"",INDEX(職員マスタ!$B$6:$B$405,$AN336)&lt;&gt;"",SUBSTITUTE(SUBSTITUTE($H336," ","")," ","")&lt;&gt;SUBSTITUTE(SUBSTITUTE(INDEX(職員マスタ!$B$6:$B$405,$AN336)," ","")," ","")),"氏名がマスタと相違／","")&amp;IF(AND($Q336&lt;&gt;"",INDEX(職員マスタ!$E$6:$E$405,$AN336)&lt;&gt;"",$Q336&lt;&gt;INDEX(職員マスタ!$E$6:$E$405,$AN336)),"子の生年月日がマスタと相違／","")&amp;IF(AND($L336&lt;&gt;"",INDEX(職員マスタ!$G$6:$G$405,$AN336)&lt;&gt;"",$L336&lt;&gt;INDEX(職員マスタ!$G$6:$G$405,$AN336)),"時短開始日がマスタと相違／","")&amp;IF(AND($M336&lt;&gt;"",INDEX(職員マスタ!$H$6:$H$405,$AN336)&lt;&gt;"",$M336&lt;&gt;INDEX(職員マスタ!$H$6:$H$405,$AN336)),"時短終了日がマスタと相違／","")))&amp;IF(AND($B336&lt;&gt;"",$E336=""),"報酬額が未入力／","")&amp;IF(N($U336)&gt;0,"申請書に入力エラーが残っています／","")&amp;IF(AND($B336&lt;&gt;"",$AO336&lt;&gt;""),IF(COUNTIFS($B$6:$B$3005,$B336,$C$6:$C$3005,$C336,$D$6:$D$3005,$D336)&gt;1,"同じ月の請求が重複しています／",""),"")&amp;IF(AND(N($E336)&gt;0,$Z336&lt;&gt;"",$Z336&lt;&gt;"×",$AC336=0,$AB336=""),"計算額が下限以下のため不支給／",""))</f>
        <v/>
      </c>
      <c r="AL336" s="12" t="n"/>
      <c r="AM336" s="14">
        <f>IF($AD336="保留中",COUNTIF($AD$6:$AD336,"保留中"),"")</f>
        <v/>
      </c>
      <c r="AN336" s="14">
        <f>IF($AO336="","",IF(SUMPRODUCT(MAX((職員マスタ!$A$6:$A$405=$B336)*(((職員マスタ!$G$6:$G$405="")+(職員マスタ!$G$6:$G$405&lt;=EOMONTH($AO336,0)))&gt;0)*(((職員マスタ!$H$6:$H$405="")+(職員マスタ!$H$6:$H$405&gt;=$AO336))&gt;0)*(ROW(職員マスタ!$A$6:$A$405)-5)))&gt;0,SUMPRODUCT(MAX((職員マスタ!$A$6:$A$405=$B336)*(((職員マスタ!$G$6:$G$405="")+(職員マスタ!$G$6:$G$405&lt;=EOMONTH($AO336,0)))&gt;0)*(((職員マスタ!$H$6:$H$405="")+(職員マスタ!$H$6:$H$405&gt;=$AO336))&gt;0)*(ROW(職員マスタ!$A$6:$A$405)-5))),IFERROR(MATCH($B336,職員マスタ!$A$6:$A$405,0),"")))</f>
        <v/>
      </c>
      <c r="AO336" s="16">
        <f>IF(OR($B336="",$C336="",$D336=""),"",DATE($C336+2018,$D336,1))</f>
        <v/>
      </c>
    </row>
    <row r="337">
      <c r="A337" s="11" t="n"/>
      <c r="B337" s="12" t="n">
        <v>6702674</v>
      </c>
      <c r="C337" s="12" t="n">
        <v>7</v>
      </c>
      <c r="D337" s="12" t="n">
        <v>6</v>
      </c>
      <c r="E337" s="13" t="n">
        <v>189793</v>
      </c>
      <c r="F337" s="12" t="n"/>
      <c r="G337" s="13" t="n"/>
      <c r="H337" s="12" t="n"/>
      <c r="I337" s="12" t="n"/>
      <c r="J337" s="12" t="n"/>
      <c r="K337" s="12" t="n"/>
      <c r="L337" s="11" t="n"/>
      <c r="M337" s="11" t="n"/>
      <c r="N337" s="11" t="n"/>
      <c r="O337" s="11" t="n"/>
      <c r="P337" s="12" t="n"/>
      <c r="Q337" s="11" t="n"/>
      <c r="R337" s="12" t="n"/>
      <c r="S337" s="11" t="n"/>
      <c r="T337" s="12" t="n"/>
      <c r="U337" s="12" t="n"/>
      <c r="V337" s="14">
        <f>IF($AN337="",IF($B337="","",$H337),IF(INDEX(職員マスタ!$B$6:$B$405,$AN337)="",$H337,INDEX(職員マスタ!$B$6:$B$405,$AN337)))</f>
        <v/>
      </c>
      <c r="W337" s="14">
        <f>IF($AN337="",IF($B337="","",$R337),IF(INDEX(職員マスタ!$C$6:$C$405,$AN337)="",$R337,INDEX(職員マスタ!$C$6:$C$405,$AN337)))</f>
        <v/>
      </c>
      <c r="X337" s="14">
        <f>IF($AO337="","","R"&amp;$C337&amp;"."&amp;$D337)</f>
        <v/>
      </c>
      <c r="Y337" s="15">
        <f>IF($AN337="","",IF(INDEX(職員マスタ!$K$6:$K$405,$AN337)="","",INDEX(職員マスタ!$K$6:$K$405,$AN337)))</f>
        <v/>
      </c>
      <c r="Z337" s="14">
        <f>IF(OR($E337="",$Y337=""),"",IF($E337&gt;=$Y337,"×",IF($E337&gt;=$Y337*設定!$C$5,"△","○")))</f>
        <v/>
      </c>
      <c r="AA337" s="15">
        <f>IF($Z337="","",IF($Z337="×",0,IF($Z337="○",ROUNDDOWN($E337*設定!$C$4,0),ROUNDDOWN($E337*ROUND((9*$Y337-9*$E337)/(10*$E337),4),0))))</f>
        <v/>
      </c>
      <c r="AB337" s="13" t="n"/>
      <c r="AC337" s="15">
        <f>IF($B337="","",IF($AB337&lt;&gt;"",$AB337,IF($AA337="","",IF($AA337&lt;=設定!$C$3,0,$AA337))))</f>
        <v/>
      </c>
      <c r="AD337" s="14">
        <f>IF($B337="","",IF(AND($AE337&lt;&gt;"",$AG337="",$AJ337=""),"保留中",IF($AJ337&lt;&gt;"",IF(N($AC337)&gt;0,"支給済","不支給"),IF($AC337="","要確認",IF($AC337=0,"不支給","未処理")))))</f>
        <v/>
      </c>
      <c r="AE337" s="12" t="n"/>
      <c r="AF337" s="11" t="n"/>
      <c r="AG337" s="11" t="n"/>
      <c r="AH337" s="11" t="n"/>
      <c r="AI337" s="14">
        <f>IF(AND($AD337="保留中",$AF337&lt;&gt;""),TODAY()-$AF337,"")</f>
        <v/>
      </c>
      <c r="AJ337" s="12" t="inlineStr">
        <is>
          <t>R7.8</t>
        </is>
      </c>
      <c r="AK337" s="14">
        <f>IF($B337="","",IF($AO337="","対象年月が未入力／","")&amp;IF($B337="","",IF($AN337="","職員マスタに未登録の職員番号／",IF($Y337="","標準報酬月額が未登録／","")&amp;IF(AND($AO337&lt;&gt;"",OR(AND(INDEX(職員マスタ!$G$6:$G$405,$AN337)&lt;&gt;"",INDEX(職員マスタ!$G$6:$G$405,$AN337)&gt;EOMONTH($AO337,0)),AND(INDEX(職員マスタ!$H$6:$H$405,$AN337)&lt;&gt;"",INDEX(職員マスタ!$H$6:$H$405,$AN337)&lt;$AO337))),"対象月が時短期間外／","")&amp;IF(AND(INDEX(職員マスタ!$F$6:$F$405,$AN337)&lt;&gt;"",$AO337&lt;&gt;"",INDEX(職員マスタ!$F$6:$F$405,$AN337)&lt;$AO337),"対象月に子が2歳到達済／","")&amp;IF(AND($H337&lt;&gt;"",INDEX(職員マスタ!$B$6:$B$405,$AN337)&lt;&gt;"",SUBSTITUTE(SUBSTITUTE($H337," ","")," ","")&lt;&gt;SUBSTITUTE(SUBSTITUTE(INDEX(職員マスタ!$B$6:$B$405,$AN337)," ","")," ","")),"氏名がマスタと相違／","")&amp;IF(AND($Q337&lt;&gt;"",INDEX(職員マスタ!$E$6:$E$405,$AN337)&lt;&gt;"",$Q337&lt;&gt;INDEX(職員マスタ!$E$6:$E$405,$AN337)),"子の生年月日がマスタと相違／","")&amp;IF(AND($L337&lt;&gt;"",INDEX(職員マスタ!$G$6:$G$405,$AN337)&lt;&gt;"",$L337&lt;&gt;INDEX(職員マスタ!$G$6:$G$405,$AN337)),"時短開始日がマスタと相違／","")&amp;IF(AND($M337&lt;&gt;"",INDEX(職員マスタ!$H$6:$H$405,$AN337)&lt;&gt;"",$M337&lt;&gt;INDEX(職員マスタ!$H$6:$H$405,$AN337)),"時短終了日がマスタと相違／","")))&amp;IF(AND($B337&lt;&gt;"",$E337=""),"報酬額が未入力／","")&amp;IF(N($U337)&gt;0,"申請書に入力エラーが残っています／","")&amp;IF(AND($B337&lt;&gt;"",$AO337&lt;&gt;""),IF(COUNTIFS($B$6:$B$3005,$B337,$C$6:$C$3005,$C337,$D$6:$D$3005,$D337)&gt;1,"同じ月の請求が重複しています／",""),"")&amp;IF(AND(N($E337)&gt;0,$Z337&lt;&gt;"",$Z337&lt;&gt;"×",$AC337=0,$AB337=""),"計算額が下限以下のため不支給／",""))</f>
        <v/>
      </c>
      <c r="AL337" s="12" t="n"/>
      <c r="AM337" s="14">
        <f>IF($AD337="保留中",COUNTIF($AD$6:$AD337,"保留中"),"")</f>
        <v/>
      </c>
      <c r="AN337" s="14">
        <f>IF($AO337="","",IF(SUMPRODUCT(MAX((職員マスタ!$A$6:$A$405=$B337)*(((職員マスタ!$G$6:$G$405="")+(職員マスタ!$G$6:$G$405&lt;=EOMONTH($AO337,0)))&gt;0)*(((職員マスタ!$H$6:$H$405="")+(職員マスタ!$H$6:$H$405&gt;=$AO337))&gt;0)*(ROW(職員マスタ!$A$6:$A$405)-5)))&gt;0,SUMPRODUCT(MAX((職員マスタ!$A$6:$A$405=$B337)*(((職員マスタ!$G$6:$G$405="")+(職員マスタ!$G$6:$G$405&lt;=EOMONTH($AO337,0)))&gt;0)*(((職員マスタ!$H$6:$H$405="")+(職員マスタ!$H$6:$H$405&gt;=$AO337))&gt;0)*(ROW(職員マスタ!$A$6:$A$405)-5))),IFERROR(MATCH($B337,職員マスタ!$A$6:$A$405,0),"")))</f>
        <v/>
      </c>
      <c r="AO337" s="16">
        <f>IF(OR($B337="",$C337="",$D337=""),"",DATE($C337+2018,$D337,1))</f>
        <v/>
      </c>
    </row>
    <row r="338">
      <c r="A338" s="11" t="n"/>
      <c r="B338" s="12" t="n">
        <v>6702674</v>
      </c>
      <c r="C338" s="12" t="n">
        <v>7</v>
      </c>
      <c r="D338" s="12" t="n">
        <v>7</v>
      </c>
      <c r="E338" s="13" t="n">
        <v>185233</v>
      </c>
      <c r="F338" s="12" t="n"/>
      <c r="G338" s="13" t="n"/>
      <c r="H338" s="12" t="n"/>
      <c r="I338" s="12" t="n"/>
      <c r="J338" s="12" t="n"/>
      <c r="K338" s="12" t="n"/>
      <c r="L338" s="11" t="n"/>
      <c r="M338" s="11" t="n"/>
      <c r="N338" s="11" t="n"/>
      <c r="O338" s="11" t="n"/>
      <c r="P338" s="12" t="n"/>
      <c r="Q338" s="11" t="n"/>
      <c r="R338" s="12" t="n"/>
      <c r="S338" s="11" t="n"/>
      <c r="T338" s="12" t="n"/>
      <c r="U338" s="12" t="n"/>
      <c r="V338" s="14">
        <f>IF($AN338="",IF($B338="","",$H338),IF(INDEX(職員マスタ!$B$6:$B$405,$AN338)="",$H338,INDEX(職員マスタ!$B$6:$B$405,$AN338)))</f>
        <v/>
      </c>
      <c r="W338" s="14">
        <f>IF($AN338="",IF($B338="","",$R338),IF(INDEX(職員マスタ!$C$6:$C$405,$AN338)="",$R338,INDEX(職員マスタ!$C$6:$C$405,$AN338)))</f>
        <v/>
      </c>
      <c r="X338" s="14">
        <f>IF($AO338="","","R"&amp;$C338&amp;"."&amp;$D338)</f>
        <v/>
      </c>
      <c r="Y338" s="15">
        <f>IF($AN338="","",IF(INDEX(職員マスタ!$K$6:$K$405,$AN338)="","",INDEX(職員マスタ!$K$6:$K$405,$AN338)))</f>
        <v/>
      </c>
      <c r="Z338" s="14">
        <f>IF(OR($E338="",$Y338=""),"",IF($E338&gt;=$Y338,"×",IF($E338&gt;=$Y338*設定!$C$5,"△","○")))</f>
        <v/>
      </c>
      <c r="AA338" s="15">
        <f>IF($Z338="","",IF($Z338="×",0,IF($Z338="○",ROUNDDOWN($E338*設定!$C$4,0),ROUNDDOWN($E338*ROUND((9*$Y338-9*$E338)/(10*$E338),4),0))))</f>
        <v/>
      </c>
      <c r="AB338" s="13" t="n"/>
      <c r="AC338" s="15">
        <f>IF($B338="","",IF($AB338&lt;&gt;"",$AB338,IF($AA338="","",IF($AA338&lt;=設定!$C$3,0,$AA338))))</f>
        <v/>
      </c>
      <c r="AD338" s="14">
        <f>IF($B338="","",IF(AND($AE338&lt;&gt;"",$AG338="",$AJ338=""),"保留中",IF($AJ338&lt;&gt;"",IF(N($AC338)&gt;0,"支給済","不支給"),IF($AC338="","要確認",IF($AC338=0,"不支給","未処理")))))</f>
        <v/>
      </c>
      <c r="AE338" s="12" t="n"/>
      <c r="AF338" s="11" t="n"/>
      <c r="AG338" s="11" t="n"/>
      <c r="AH338" s="11" t="n"/>
      <c r="AI338" s="14">
        <f>IF(AND($AD338="保留中",$AF338&lt;&gt;""),TODAY()-$AF338,"")</f>
        <v/>
      </c>
      <c r="AJ338" s="12" t="inlineStr">
        <is>
          <t>R7.9</t>
        </is>
      </c>
      <c r="AK338" s="14">
        <f>IF($B338="","",IF($AO338="","対象年月が未入力／","")&amp;IF($B338="","",IF($AN338="","職員マスタに未登録の職員番号／",IF($Y338="","標準報酬月額が未登録／","")&amp;IF(AND($AO338&lt;&gt;"",OR(AND(INDEX(職員マスタ!$G$6:$G$405,$AN338)&lt;&gt;"",INDEX(職員マスタ!$G$6:$G$405,$AN338)&gt;EOMONTH($AO338,0)),AND(INDEX(職員マスタ!$H$6:$H$405,$AN338)&lt;&gt;"",INDEX(職員マスタ!$H$6:$H$405,$AN338)&lt;$AO338))),"対象月が時短期間外／","")&amp;IF(AND(INDEX(職員マスタ!$F$6:$F$405,$AN338)&lt;&gt;"",$AO338&lt;&gt;"",INDEX(職員マスタ!$F$6:$F$405,$AN338)&lt;$AO338),"対象月に子が2歳到達済／","")&amp;IF(AND($H338&lt;&gt;"",INDEX(職員マスタ!$B$6:$B$405,$AN338)&lt;&gt;"",SUBSTITUTE(SUBSTITUTE($H338," ","")," ","")&lt;&gt;SUBSTITUTE(SUBSTITUTE(INDEX(職員マスタ!$B$6:$B$405,$AN338)," ","")," ","")),"氏名がマスタと相違／","")&amp;IF(AND($Q338&lt;&gt;"",INDEX(職員マスタ!$E$6:$E$405,$AN338)&lt;&gt;"",$Q338&lt;&gt;INDEX(職員マスタ!$E$6:$E$405,$AN338)),"子の生年月日がマスタと相違／","")&amp;IF(AND($L338&lt;&gt;"",INDEX(職員マスタ!$G$6:$G$405,$AN338)&lt;&gt;"",$L338&lt;&gt;INDEX(職員マスタ!$G$6:$G$405,$AN338)),"時短開始日がマスタと相違／","")&amp;IF(AND($M338&lt;&gt;"",INDEX(職員マスタ!$H$6:$H$405,$AN338)&lt;&gt;"",$M338&lt;&gt;INDEX(職員マスタ!$H$6:$H$405,$AN338)),"時短終了日がマスタと相違／","")))&amp;IF(AND($B338&lt;&gt;"",$E338=""),"報酬額が未入力／","")&amp;IF(N($U338)&gt;0,"申請書に入力エラーが残っています／","")&amp;IF(AND($B338&lt;&gt;"",$AO338&lt;&gt;""),IF(COUNTIFS($B$6:$B$3005,$B338,$C$6:$C$3005,$C338,$D$6:$D$3005,$D338)&gt;1,"同じ月の請求が重複しています／",""),"")&amp;IF(AND(N($E338)&gt;0,$Z338&lt;&gt;"",$Z338&lt;&gt;"×",$AC338=0,$AB338=""),"計算額が下限以下のため不支給／",""))</f>
        <v/>
      </c>
      <c r="AL338" s="12" t="n"/>
      <c r="AM338" s="14">
        <f>IF($AD338="保留中",COUNTIF($AD$6:$AD338,"保留中"),"")</f>
        <v/>
      </c>
      <c r="AN338" s="14">
        <f>IF($AO338="","",IF(SUMPRODUCT(MAX((職員マスタ!$A$6:$A$405=$B338)*(((職員マスタ!$G$6:$G$405="")+(職員マスタ!$G$6:$G$405&lt;=EOMONTH($AO338,0)))&gt;0)*(((職員マスタ!$H$6:$H$405="")+(職員マスタ!$H$6:$H$405&gt;=$AO338))&gt;0)*(ROW(職員マスタ!$A$6:$A$405)-5)))&gt;0,SUMPRODUCT(MAX((職員マスタ!$A$6:$A$405=$B338)*(((職員マスタ!$G$6:$G$405="")+(職員マスタ!$G$6:$G$405&lt;=EOMONTH($AO338,0)))&gt;0)*(((職員マスタ!$H$6:$H$405="")+(職員マスタ!$H$6:$H$405&gt;=$AO338))&gt;0)*(ROW(職員マスタ!$A$6:$A$405)-5))),IFERROR(MATCH($B338,職員マスタ!$A$6:$A$405,0),"")))</f>
        <v/>
      </c>
      <c r="AO338" s="16">
        <f>IF(OR($B338="",$C338="",$D338=""),"",DATE($C338+2018,$D338,1))</f>
        <v/>
      </c>
    </row>
    <row r="339">
      <c r="A339" s="11" t="n"/>
      <c r="B339" s="12" t="n">
        <v>6702674</v>
      </c>
      <c r="C339" s="12" t="n">
        <v>7</v>
      </c>
      <c r="D339" s="12" t="n">
        <v>8</v>
      </c>
      <c r="E339" s="13" t="n">
        <v>185233</v>
      </c>
      <c r="F339" s="12" t="n"/>
      <c r="G339" s="13" t="n"/>
      <c r="H339" s="12" t="n"/>
      <c r="I339" s="12" t="n"/>
      <c r="J339" s="12" t="n"/>
      <c r="K339" s="12" t="n"/>
      <c r="L339" s="11" t="n"/>
      <c r="M339" s="11" t="n"/>
      <c r="N339" s="11" t="n"/>
      <c r="O339" s="11" t="n"/>
      <c r="P339" s="12" t="n"/>
      <c r="Q339" s="11" t="n"/>
      <c r="R339" s="12" t="n"/>
      <c r="S339" s="11" t="n"/>
      <c r="T339" s="12" t="n"/>
      <c r="U339" s="12" t="n"/>
      <c r="V339" s="14">
        <f>IF($AN339="",IF($B339="","",$H339),IF(INDEX(職員マスタ!$B$6:$B$405,$AN339)="",$H339,INDEX(職員マスタ!$B$6:$B$405,$AN339)))</f>
        <v/>
      </c>
      <c r="W339" s="14">
        <f>IF($AN339="",IF($B339="","",$R339),IF(INDEX(職員マスタ!$C$6:$C$405,$AN339)="",$R339,INDEX(職員マスタ!$C$6:$C$405,$AN339)))</f>
        <v/>
      </c>
      <c r="X339" s="14">
        <f>IF($AO339="","","R"&amp;$C339&amp;"."&amp;$D339)</f>
        <v/>
      </c>
      <c r="Y339" s="15">
        <f>IF($AN339="","",IF(INDEX(職員マスタ!$K$6:$K$405,$AN339)="","",INDEX(職員マスタ!$K$6:$K$405,$AN339)))</f>
        <v/>
      </c>
      <c r="Z339" s="14">
        <f>IF(OR($E339="",$Y339=""),"",IF($E339&gt;=$Y339,"×",IF($E339&gt;=$Y339*設定!$C$5,"△","○")))</f>
        <v/>
      </c>
      <c r="AA339" s="15">
        <f>IF($Z339="","",IF($Z339="×",0,IF($Z339="○",ROUNDDOWN($E339*設定!$C$4,0),ROUNDDOWN($E339*ROUND((9*$Y339-9*$E339)/(10*$E339),4),0))))</f>
        <v/>
      </c>
      <c r="AB339" s="13" t="n"/>
      <c r="AC339" s="15">
        <f>IF($B339="","",IF($AB339&lt;&gt;"",$AB339,IF($AA339="","",IF($AA339&lt;=設定!$C$3,0,$AA339))))</f>
        <v/>
      </c>
      <c r="AD339" s="14">
        <f>IF($B339="","",IF(AND($AE339&lt;&gt;"",$AG339="",$AJ339=""),"保留中",IF($AJ339&lt;&gt;"",IF(N($AC339)&gt;0,"支給済","不支給"),IF($AC339="","要確認",IF($AC339=0,"不支給","未処理")))))</f>
        <v/>
      </c>
      <c r="AE339" s="12" t="n"/>
      <c r="AF339" s="11" t="n"/>
      <c r="AG339" s="11" t="n"/>
      <c r="AH339" s="11" t="n"/>
      <c r="AI339" s="14">
        <f>IF(AND($AD339="保留中",$AF339&lt;&gt;""),TODAY()-$AF339,"")</f>
        <v/>
      </c>
      <c r="AJ339" s="12" t="inlineStr">
        <is>
          <t>R7.11</t>
        </is>
      </c>
      <c r="AK339" s="14">
        <f>IF($B339="","",IF($AO339="","対象年月が未入力／","")&amp;IF($B339="","",IF($AN339="","職員マスタに未登録の職員番号／",IF($Y339="","標準報酬月額が未登録／","")&amp;IF(AND($AO339&lt;&gt;"",OR(AND(INDEX(職員マスタ!$G$6:$G$405,$AN339)&lt;&gt;"",INDEX(職員マスタ!$G$6:$G$405,$AN339)&gt;EOMONTH($AO339,0)),AND(INDEX(職員マスタ!$H$6:$H$405,$AN339)&lt;&gt;"",INDEX(職員マスタ!$H$6:$H$405,$AN339)&lt;$AO339))),"対象月が時短期間外／","")&amp;IF(AND(INDEX(職員マスタ!$F$6:$F$405,$AN339)&lt;&gt;"",$AO339&lt;&gt;"",INDEX(職員マスタ!$F$6:$F$405,$AN339)&lt;$AO339),"対象月に子が2歳到達済／","")&amp;IF(AND($H339&lt;&gt;"",INDEX(職員マスタ!$B$6:$B$405,$AN339)&lt;&gt;"",SUBSTITUTE(SUBSTITUTE($H339," ","")," ","")&lt;&gt;SUBSTITUTE(SUBSTITUTE(INDEX(職員マスタ!$B$6:$B$405,$AN339)," ","")," ","")),"氏名がマスタと相違／","")&amp;IF(AND($Q339&lt;&gt;"",INDEX(職員マスタ!$E$6:$E$405,$AN339)&lt;&gt;"",$Q339&lt;&gt;INDEX(職員マスタ!$E$6:$E$405,$AN339)),"子の生年月日がマスタと相違／","")&amp;IF(AND($L339&lt;&gt;"",INDEX(職員マスタ!$G$6:$G$405,$AN339)&lt;&gt;"",$L339&lt;&gt;INDEX(職員マスタ!$G$6:$G$405,$AN339)),"時短開始日がマスタと相違／","")&amp;IF(AND($M339&lt;&gt;"",INDEX(職員マスタ!$H$6:$H$405,$AN339)&lt;&gt;"",$M339&lt;&gt;INDEX(職員マスタ!$H$6:$H$405,$AN339)),"時短終了日がマスタと相違／","")))&amp;IF(AND($B339&lt;&gt;"",$E339=""),"報酬額が未入力／","")&amp;IF(N($U339)&gt;0,"申請書に入力エラーが残っています／","")&amp;IF(AND($B339&lt;&gt;"",$AO339&lt;&gt;""),IF(COUNTIFS($B$6:$B$3005,$B339,$C$6:$C$3005,$C339,$D$6:$D$3005,$D339)&gt;1,"同じ月の請求が重複しています／",""),"")&amp;IF(AND(N($E339)&gt;0,$Z339&lt;&gt;"",$Z339&lt;&gt;"×",$AC339=0,$AB339=""),"計算額が下限以下のため不支給／",""))</f>
        <v/>
      </c>
      <c r="AL339" s="12" t="n"/>
      <c r="AM339" s="14">
        <f>IF($AD339="保留中",COUNTIF($AD$6:$AD339,"保留中"),"")</f>
        <v/>
      </c>
      <c r="AN339" s="14">
        <f>IF($AO339="","",IF(SUMPRODUCT(MAX((職員マスタ!$A$6:$A$405=$B339)*(((職員マスタ!$G$6:$G$405="")+(職員マスタ!$G$6:$G$405&lt;=EOMONTH($AO339,0)))&gt;0)*(((職員マスタ!$H$6:$H$405="")+(職員マスタ!$H$6:$H$405&gt;=$AO339))&gt;0)*(ROW(職員マスタ!$A$6:$A$405)-5)))&gt;0,SUMPRODUCT(MAX((職員マスタ!$A$6:$A$405=$B339)*(((職員マスタ!$G$6:$G$405="")+(職員マスタ!$G$6:$G$405&lt;=EOMONTH($AO339,0)))&gt;0)*(((職員マスタ!$H$6:$H$405="")+(職員マスタ!$H$6:$H$405&gt;=$AO339))&gt;0)*(ROW(職員マスタ!$A$6:$A$405)-5))),IFERROR(MATCH($B339,職員マスタ!$A$6:$A$405,0),"")))</f>
        <v/>
      </c>
      <c r="AO339" s="16">
        <f>IF(OR($B339="",$C339="",$D339=""),"",DATE($C339+2018,$D339,1))</f>
        <v/>
      </c>
    </row>
    <row r="340">
      <c r="A340" s="11" t="n"/>
      <c r="B340" s="12" t="n">
        <v>6702674</v>
      </c>
      <c r="C340" s="12" t="n">
        <v>7</v>
      </c>
      <c r="D340" s="12" t="n">
        <v>9</v>
      </c>
      <c r="E340" s="13" t="n">
        <v>185233</v>
      </c>
      <c r="F340" s="12" t="n"/>
      <c r="G340" s="13" t="n"/>
      <c r="H340" s="12" t="n"/>
      <c r="I340" s="12" t="n"/>
      <c r="J340" s="12" t="n"/>
      <c r="K340" s="12" t="n"/>
      <c r="L340" s="11" t="n"/>
      <c r="M340" s="11" t="n"/>
      <c r="N340" s="11" t="n"/>
      <c r="O340" s="11" t="n"/>
      <c r="P340" s="12" t="n"/>
      <c r="Q340" s="11" t="n"/>
      <c r="R340" s="12" t="n"/>
      <c r="S340" s="11" t="n"/>
      <c r="T340" s="12" t="n"/>
      <c r="U340" s="12" t="n"/>
      <c r="V340" s="14">
        <f>IF($AN340="",IF($B340="","",$H340),IF(INDEX(職員マスタ!$B$6:$B$405,$AN340)="",$H340,INDEX(職員マスタ!$B$6:$B$405,$AN340)))</f>
        <v/>
      </c>
      <c r="W340" s="14">
        <f>IF($AN340="",IF($B340="","",$R340),IF(INDEX(職員マスタ!$C$6:$C$405,$AN340)="",$R340,INDEX(職員マスタ!$C$6:$C$405,$AN340)))</f>
        <v/>
      </c>
      <c r="X340" s="14">
        <f>IF($AO340="","","R"&amp;$C340&amp;"."&amp;$D340)</f>
        <v/>
      </c>
      <c r="Y340" s="15">
        <f>IF($AN340="","",IF(INDEX(職員マスタ!$K$6:$K$405,$AN340)="","",INDEX(職員マスタ!$K$6:$K$405,$AN340)))</f>
        <v/>
      </c>
      <c r="Z340" s="14">
        <f>IF(OR($E340="",$Y340=""),"",IF($E340&gt;=$Y340,"×",IF($E340&gt;=$Y340*設定!$C$5,"△","○")))</f>
        <v/>
      </c>
      <c r="AA340" s="15">
        <f>IF($Z340="","",IF($Z340="×",0,IF($Z340="○",ROUNDDOWN($E340*設定!$C$4,0),ROUNDDOWN($E340*ROUND((9*$Y340-9*$E340)/(10*$E340),4),0))))</f>
        <v/>
      </c>
      <c r="AB340" s="13" t="n"/>
      <c r="AC340" s="15">
        <f>IF($B340="","",IF($AB340&lt;&gt;"",$AB340,IF($AA340="","",IF($AA340&lt;=設定!$C$3,0,$AA340))))</f>
        <v/>
      </c>
      <c r="AD340" s="14">
        <f>IF($B340="","",IF(AND($AE340&lt;&gt;"",$AG340="",$AJ340=""),"保留中",IF($AJ340&lt;&gt;"",IF(N($AC340)&gt;0,"支給済","不支給"),IF($AC340="","要確認",IF($AC340=0,"不支給","未処理")))))</f>
        <v/>
      </c>
      <c r="AE340" s="12" t="n"/>
      <c r="AF340" s="11" t="n"/>
      <c r="AG340" s="11" t="n"/>
      <c r="AH340" s="11" t="n"/>
      <c r="AI340" s="14">
        <f>IF(AND($AD340="保留中",$AF340&lt;&gt;""),TODAY()-$AF340,"")</f>
        <v/>
      </c>
      <c r="AJ340" s="12" t="inlineStr">
        <is>
          <t>R7.12</t>
        </is>
      </c>
      <c r="AK340" s="14">
        <f>IF($B340="","",IF($AO340="","対象年月が未入力／","")&amp;IF($B340="","",IF($AN340="","職員マスタに未登録の職員番号／",IF($Y340="","標準報酬月額が未登録／","")&amp;IF(AND($AO340&lt;&gt;"",OR(AND(INDEX(職員マスタ!$G$6:$G$405,$AN340)&lt;&gt;"",INDEX(職員マスタ!$G$6:$G$405,$AN340)&gt;EOMONTH($AO340,0)),AND(INDEX(職員マスタ!$H$6:$H$405,$AN340)&lt;&gt;"",INDEX(職員マスタ!$H$6:$H$405,$AN340)&lt;$AO340))),"対象月が時短期間外／","")&amp;IF(AND(INDEX(職員マスタ!$F$6:$F$405,$AN340)&lt;&gt;"",$AO340&lt;&gt;"",INDEX(職員マスタ!$F$6:$F$405,$AN340)&lt;$AO340),"対象月に子が2歳到達済／","")&amp;IF(AND($H340&lt;&gt;"",INDEX(職員マスタ!$B$6:$B$405,$AN340)&lt;&gt;"",SUBSTITUTE(SUBSTITUTE($H340," ","")," ","")&lt;&gt;SUBSTITUTE(SUBSTITUTE(INDEX(職員マスタ!$B$6:$B$405,$AN340)," ","")," ","")),"氏名がマスタと相違／","")&amp;IF(AND($Q340&lt;&gt;"",INDEX(職員マスタ!$E$6:$E$405,$AN340)&lt;&gt;"",$Q340&lt;&gt;INDEX(職員マスタ!$E$6:$E$405,$AN340)),"子の生年月日がマスタと相違／","")&amp;IF(AND($L340&lt;&gt;"",INDEX(職員マスタ!$G$6:$G$405,$AN340)&lt;&gt;"",$L340&lt;&gt;INDEX(職員マスタ!$G$6:$G$405,$AN340)),"時短開始日がマスタと相違／","")&amp;IF(AND($M340&lt;&gt;"",INDEX(職員マスタ!$H$6:$H$405,$AN340)&lt;&gt;"",$M340&lt;&gt;INDEX(職員マスタ!$H$6:$H$405,$AN340)),"時短終了日がマスタと相違／","")))&amp;IF(AND($B340&lt;&gt;"",$E340=""),"報酬額が未入力／","")&amp;IF(N($U340)&gt;0,"申請書に入力エラーが残っています／","")&amp;IF(AND($B340&lt;&gt;"",$AO340&lt;&gt;""),IF(COUNTIFS($B$6:$B$3005,$B340,$C$6:$C$3005,$C340,$D$6:$D$3005,$D340)&gt;1,"同じ月の請求が重複しています／",""),"")&amp;IF(AND(N($E340)&gt;0,$Z340&lt;&gt;"",$Z340&lt;&gt;"×",$AC340=0,$AB340=""),"計算額が下限以下のため不支給／",""))</f>
        <v/>
      </c>
      <c r="AL340" s="12" t="n"/>
      <c r="AM340" s="14">
        <f>IF($AD340="保留中",COUNTIF($AD$6:$AD340,"保留中"),"")</f>
        <v/>
      </c>
      <c r="AN340" s="14">
        <f>IF($AO340="","",IF(SUMPRODUCT(MAX((職員マスタ!$A$6:$A$405=$B340)*(((職員マスタ!$G$6:$G$405="")+(職員マスタ!$G$6:$G$405&lt;=EOMONTH($AO340,0)))&gt;0)*(((職員マスタ!$H$6:$H$405="")+(職員マスタ!$H$6:$H$405&gt;=$AO340))&gt;0)*(ROW(職員マスタ!$A$6:$A$405)-5)))&gt;0,SUMPRODUCT(MAX((職員マスタ!$A$6:$A$405=$B340)*(((職員マスタ!$G$6:$G$405="")+(職員マスタ!$G$6:$G$405&lt;=EOMONTH($AO340,0)))&gt;0)*(((職員マスタ!$H$6:$H$405="")+(職員マスタ!$H$6:$H$405&gt;=$AO340))&gt;0)*(ROW(職員マスタ!$A$6:$A$405)-5))),IFERROR(MATCH($B340,職員マスタ!$A$6:$A$405,0),"")))</f>
        <v/>
      </c>
      <c r="AO340" s="16">
        <f>IF(OR($B340="",$C340="",$D340=""),"",DATE($C340+2018,$D340,1))</f>
        <v/>
      </c>
    </row>
    <row r="341">
      <c r="A341" s="11" t="n"/>
      <c r="B341" s="12" t="n">
        <v>6702674</v>
      </c>
      <c r="C341" s="12" t="n">
        <v>7</v>
      </c>
      <c r="D341" s="12" t="n">
        <v>10</v>
      </c>
      <c r="E341" s="13" t="n">
        <v>185233</v>
      </c>
      <c r="F341" s="12" t="n"/>
      <c r="G341" s="13" t="n"/>
      <c r="H341" s="12" t="n"/>
      <c r="I341" s="12" t="n"/>
      <c r="J341" s="12" t="n"/>
      <c r="K341" s="12" t="n"/>
      <c r="L341" s="11" t="n"/>
      <c r="M341" s="11" t="n"/>
      <c r="N341" s="11" t="n"/>
      <c r="O341" s="11" t="n"/>
      <c r="P341" s="12" t="n"/>
      <c r="Q341" s="11" t="n"/>
      <c r="R341" s="12" t="n"/>
      <c r="S341" s="11" t="n"/>
      <c r="T341" s="12" t="n"/>
      <c r="U341" s="12" t="n"/>
      <c r="V341" s="14">
        <f>IF($AN341="",IF($B341="","",$H341),IF(INDEX(職員マスタ!$B$6:$B$405,$AN341)="",$H341,INDEX(職員マスタ!$B$6:$B$405,$AN341)))</f>
        <v/>
      </c>
      <c r="W341" s="14">
        <f>IF($AN341="",IF($B341="","",$R341),IF(INDEX(職員マスタ!$C$6:$C$405,$AN341)="",$R341,INDEX(職員マスタ!$C$6:$C$405,$AN341)))</f>
        <v/>
      </c>
      <c r="X341" s="14">
        <f>IF($AO341="","","R"&amp;$C341&amp;"."&amp;$D341)</f>
        <v/>
      </c>
      <c r="Y341" s="15">
        <f>IF($AN341="","",IF(INDEX(職員マスタ!$K$6:$K$405,$AN341)="","",INDEX(職員マスタ!$K$6:$K$405,$AN341)))</f>
        <v/>
      </c>
      <c r="Z341" s="14">
        <f>IF(OR($E341="",$Y341=""),"",IF($E341&gt;=$Y341,"×",IF($E341&gt;=$Y341*設定!$C$5,"△","○")))</f>
        <v/>
      </c>
      <c r="AA341" s="15">
        <f>IF($Z341="","",IF($Z341="×",0,IF($Z341="○",ROUNDDOWN($E341*設定!$C$4,0),ROUNDDOWN($E341*ROUND((9*$Y341-9*$E341)/(10*$E341),4),0))))</f>
        <v/>
      </c>
      <c r="AB341" s="13" t="n"/>
      <c r="AC341" s="15">
        <f>IF($B341="","",IF($AB341&lt;&gt;"",$AB341,IF($AA341="","",IF($AA341&lt;=設定!$C$3,0,$AA341))))</f>
        <v/>
      </c>
      <c r="AD341" s="14">
        <f>IF($B341="","",IF(AND($AE341&lt;&gt;"",$AG341="",$AJ341=""),"保留中",IF($AJ341&lt;&gt;"",IF(N($AC341)&gt;0,"支給済","不支給"),IF($AC341="","要確認",IF($AC341=0,"不支給","未処理")))))</f>
        <v/>
      </c>
      <c r="AE341" s="12" t="n"/>
      <c r="AF341" s="11" t="n"/>
      <c r="AG341" s="11" t="n"/>
      <c r="AH341" s="11" t="n"/>
      <c r="AI341" s="14">
        <f>IF(AND($AD341="保留中",$AF341&lt;&gt;""),TODAY()-$AF341,"")</f>
        <v/>
      </c>
      <c r="AJ341" s="12" t="inlineStr">
        <is>
          <t>R8.1</t>
        </is>
      </c>
      <c r="AK341" s="14">
        <f>IF($B341="","",IF($AO341="","対象年月が未入力／","")&amp;IF($B341="","",IF($AN341="","職員マスタに未登録の職員番号／",IF($Y341="","標準報酬月額が未登録／","")&amp;IF(AND($AO341&lt;&gt;"",OR(AND(INDEX(職員マスタ!$G$6:$G$405,$AN341)&lt;&gt;"",INDEX(職員マスタ!$G$6:$G$405,$AN341)&gt;EOMONTH($AO341,0)),AND(INDEX(職員マスタ!$H$6:$H$405,$AN341)&lt;&gt;"",INDEX(職員マスタ!$H$6:$H$405,$AN341)&lt;$AO341))),"対象月が時短期間外／","")&amp;IF(AND(INDEX(職員マスタ!$F$6:$F$405,$AN341)&lt;&gt;"",$AO341&lt;&gt;"",INDEX(職員マスタ!$F$6:$F$405,$AN341)&lt;$AO341),"対象月に子が2歳到達済／","")&amp;IF(AND($H341&lt;&gt;"",INDEX(職員マスタ!$B$6:$B$405,$AN341)&lt;&gt;"",SUBSTITUTE(SUBSTITUTE($H341," ","")," ","")&lt;&gt;SUBSTITUTE(SUBSTITUTE(INDEX(職員マスタ!$B$6:$B$405,$AN341)," ","")," ","")),"氏名がマスタと相違／","")&amp;IF(AND($Q341&lt;&gt;"",INDEX(職員マスタ!$E$6:$E$405,$AN341)&lt;&gt;"",$Q341&lt;&gt;INDEX(職員マスタ!$E$6:$E$405,$AN341)),"子の生年月日がマスタと相違／","")&amp;IF(AND($L341&lt;&gt;"",INDEX(職員マスタ!$G$6:$G$405,$AN341)&lt;&gt;"",$L341&lt;&gt;INDEX(職員マスタ!$G$6:$G$405,$AN341)),"時短開始日がマスタと相違／","")&amp;IF(AND($M341&lt;&gt;"",INDEX(職員マスタ!$H$6:$H$405,$AN341)&lt;&gt;"",$M341&lt;&gt;INDEX(職員マスタ!$H$6:$H$405,$AN341)),"時短終了日がマスタと相違／","")))&amp;IF(AND($B341&lt;&gt;"",$E341=""),"報酬額が未入力／","")&amp;IF(N($U341)&gt;0,"申請書に入力エラーが残っています／","")&amp;IF(AND($B341&lt;&gt;"",$AO341&lt;&gt;""),IF(COUNTIFS($B$6:$B$3005,$B341,$C$6:$C$3005,$C341,$D$6:$D$3005,$D341)&gt;1,"同じ月の請求が重複しています／",""),"")&amp;IF(AND(N($E341)&gt;0,$Z341&lt;&gt;"",$Z341&lt;&gt;"×",$AC341=0,$AB341=""),"計算額が下限以下のため不支給／",""))</f>
        <v/>
      </c>
      <c r="AL341" s="12" t="n"/>
      <c r="AM341" s="14">
        <f>IF($AD341="保留中",COUNTIF($AD$6:$AD341,"保留中"),"")</f>
        <v/>
      </c>
      <c r="AN341" s="14">
        <f>IF($AO341="","",IF(SUMPRODUCT(MAX((職員マスタ!$A$6:$A$405=$B341)*(((職員マスタ!$G$6:$G$405="")+(職員マスタ!$G$6:$G$405&lt;=EOMONTH($AO341,0)))&gt;0)*(((職員マスタ!$H$6:$H$405="")+(職員マスタ!$H$6:$H$405&gt;=$AO341))&gt;0)*(ROW(職員マスタ!$A$6:$A$405)-5)))&gt;0,SUMPRODUCT(MAX((職員マスタ!$A$6:$A$405=$B341)*(((職員マスタ!$G$6:$G$405="")+(職員マスタ!$G$6:$G$405&lt;=EOMONTH($AO341,0)))&gt;0)*(((職員マスタ!$H$6:$H$405="")+(職員マスタ!$H$6:$H$405&gt;=$AO341))&gt;0)*(ROW(職員マスタ!$A$6:$A$405)-5))),IFERROR(MATCH($B341,職員マスタ!$A$6:$A$405,0),"")))</f>
        <v/>
      </c>
      <c r="AO341" s="16">
        <f>IF(OR($B341="",$C341="",$D341=""),"",DATE($C341+2018,$D341,1))</f>
        <v/>
      </c>
    </row>
    <row r="342">
      <c r="A342" s="11" t="n"/>
      <c r="B342" s="12" t="n">
        <v>6702674</v>
      </c>
      <c r="C342" s="12" t="n">
        <v>7</v>
      </c>
      <c r="D342" s="12" t="n">
        <v>11</v>
      </c>
      <c r="E342" s="13" t="n">
        <v>185233</v>
      </c>
      <c r="F342" s="12" t="n"/>
      <c r="G342" s="13" t="n"/>
      <c r="H342" s="12" t="n"/>
      <c r="I342" s="12" t="n"/>
      <c r="J342" s="12" t="n"/>
      <c r="K342" s="12" t="n"/>
      <c r="L342" s="11" t="n"/>
      <c r="M342" s="11" t="n"/>
      <c r="N342" s="11" t="n"/>
      <c r="O342" s="11" t="n"/>
      <c r="P342" s="12" t="n"/>
      <c r="Q342" s="11" t="n"/>
      <c r="R342" s="12" t="n"/>
      <c r="S342" s="11" t="n"/>
      <c r="T342" s="12" t="n"/>
      <c r="U342" s="12" t="n"/>
      <c r="V342" s="14">
        <f>IF($AN342="",IF($B342="","",$H342),IF(INDEX(職員マスタ!$B$6:$B$405,$AN342)="",$H342,INDEX(職員マスタ!$B$6:$B$405,$AN342)))</f>
        <v/>
      </c>
      <c r="W342" s="14">
        <f>IF($AN342="",IF($B342="","",$R342),IF(INDEX(職員マスタ!$C$6:$C$405,$AN342)="",$R342,INDEX(職員マスタ!$C$6:$C$405,$AN342)))</f>
        <v/>
      </c>
      <c r="X342" s="14">
        <f>IF($AO342="","","R"&amp;$C342&amp;"."&amp;$D342)</f>
        <v/>
      </c>
      <c r="Y342" s="15">
        <f>IF($AN342="","",IF(INDEX(職員マスタ!$K$6:$K$405,$AN342)="","",INDEX(職員マスタ!$K$6:$K$405,$AN342)))</f>
        <v/>
      </c>
      <c r="Z342" s="14">
        <f>IF(OR($E342="",$Y342=""),"",IF($E342&gt;=$Y342,"×",IF($E342&gt;=$Y342*設定!$C$5,"△","○")))</f>
        <v/>
      </c>
      <c r="AA342" s="15">
        <f>IF($Z342="","",IF($Z342="×",0,IF($Z342="○",ROUNDDOWN($E342*設定!$C$4,0),ROUNDDOWN($E342*ROUND((9*$Y342-9*$E342)/(10*$E342),4),0))))</f>
        <v/>
      </c>
      <c r="AB342" s="13" t="n"/>
      <c r="AC342" s="15">
        <f>IF($B342="","",IF($AB342&lt;&gt;"",$AB342,IF($AA342="","",IF($AA342&lt;=設定!$C$3,0,$AA342))))</f>
        <v/>
      </c>
      <c r="AD342" s="14">
        <f>IF($B342="","",IF(AND($AE342&lt;&gt;"",$AG342="",$AJ342=""),"保留中",IF($AJ342&lt;&gt;"",IF(N($AC342)&gt;0,"支給済","不支給"),IF($AC342="","要確認",IF($AC342=0,"不支給","未処理")))))</f>
        <v/>
      </c>
      <c r="AE342" s="12" t="n"/>
      <c r="AF342" s="11" t="n"/>
      <c r="AG342" s="11" t="n"/>
      <c r="AH342" s="11" t="n"/>
      <c r="AI342" s="14">
        <f>IF(AND($AD342="保留中",$AF342&lt;&gt;""),TODAY()-$AF342,"")</f>
        <v/>
      </c>
      <c r="AJ342" s="12" t="inlineStr">
        <is>
          <t>R8.1</t>
        </is>
      </c>
      <c r="AK342" s="14">
        <f>IF($B342="","",IF($AO342="","対象年月が未入力／","")&amp;IF($B342="","",IF($AN342="","職員マスタに未登録の職員番号／",IF($Y342="","標準報酬月額が未登録／","")&amp;IF(AND($AO342&lt;&gt;"",OR(AND(INDEX(職員マスタ!$G$6:$G$405,$AN342)&lt;&gt;"",INDEX(職員マスタ!$G$6:$G$405,$AN342)&gt;EOMONTH($AO342,0)),AND(INDEX(職員マスタ!$H$6:$H$405,$AN342)&lt;&gt;"",INDEX(職員マスタ!$H$6:$H$405,$AN342)&lt;$AO342))),"対象月が時短期間外／","")&amp;IF(AND(INDEX(職員マスタ!$F$6:$F$405,$AN342)&lt;&gt;"",$AO342&lt;&gt;"",INDEX(職員マスタ!$F$6:$F$405,$AN342)&lt;$AO342),"対象月に子が2歳到達済／","")&amp;IF(AND($H342&lt;&gt;"",INDEX(職員マスタ!$B$6:$B$405,$AN342)&lt;&gt;"",SUBSTITUTE(SUBSTITUTE($H342," ","")," ","")&lt;&gt;SUBSTITUTE(SUBSTITUTE(INDEX(職員マスタ!$B$6:$B$405,$AN342)," ","")," ","")),"氏名がマスタと相違／","")&amp;IF(AND($Q342&lt;&gt;"",INDEX(職員マスタ!$E$6:$E$405,$AN342)&lt;&gt;"",$Q342&lt;&gt;INDEX(職員マスタ!$E$6:$E$405,$AN342)),"子の生年月日がマスタと相違／","")&amp;IF(AND($L342&lt;&gt;"",INDEX(職員マスタ!$G$6:$G$405,$AN342)&lt;&gt;"",$L342&lt;&gt;INDEX(職員マスタ!$G$6:$G$405,$AN342)),"時短開始日がマスタと相違／","")&amp;IF(AND($M342&lt;&gt;"",INDEX(職員マスタ!$H$6:$H$405,$AN342)&lt;&gt;"",$M342&lt;&gt;INDEX(職員マスタ!$H$6:$H$405,$AN342)),"時短終了日がマスタと相違／","")))&amp;IF(AND($B342&lt;&gt;"",$E342=""),"報酬額が未入力／","")&amp;IF(N($U342)&gt;0,"申請書に入力エラーが残っています／","")&amp;IF(AND($B342&lt;&gt;"",$AO342&lt;&gt;""),IF(COUNTIFS($B$6:$B$3005,$B342,$C$6:$C$3005,$C342,$D$6:$D$3005,$D342)&gt;1,"同じ月の請求が重複しています／",""),"")&amp;IF(AND(N($E342)&gt;0,$Z342&lt;&gt;"",$Z342&lt;&gt;"×",$AC342=0,$AB342=""),"計算額が下限以下のため不支給／",""))</f>
        <v/>
      </c>
      <c r="AL342" s="12" t="n"/>
      <c r="AM342" s="14">
        <f>IF($AD342="保留中",COUNTIF($AD$6:$AD342,"保留中"),"")</f>
        <v/>
      </c>
      <c r="AN342" s="14">
        <f>IF($AO342="","",IF(SUMPRODUCT(MAX((職員マスタ!$A$6:$A$405=$B342)*(((職員マスタ!$G$6:$G$405="")+(職員マスタ!$G$6:$G$405&lt;=EOMONTH($AO342,0)))&gt;0)*(((職員マスタ!$H$6:$H$405="")+(職員マスタ!$H$6:$H$405&gt;=$AO342))&gt;0)*(ROW(職員マスタ!$A$6:$A$405)-5)))&gt;0,SUMPRODUCT(MAX((職員マスタ!$A$6:$A$405=$B342)*(((職員マスタ!$G$6:$G$405="")+(職員マスタ!$G$6:$G$405&lt;=EOMONTH($AO342,0)))&gt;0)*(((職員マスタ!$H$6:$H$405="")+(職員マスタ!$H$6:$H$405&gt;=$AO342))&gt;0)*(ROW(職員マスタ!$A$6:$A$405)-5))),IFERROR(MATCH($B342,職員マスタ!$A$6:$A$405,0),"")))</f>
        <v/>
      </c>
      <c r="AO342" s="16">
        <f>IF(OR($B342="",$C342="",$D342=""),"",DATE($C342+2018,$D342,1))</f>
        <v/>
      </c>
    </row>
    <row r="343">
      <c r="A343" s="11" t="n"/>
      <c r="B343" s="12" t="n">
        <v>6702674</v>
      </c>
      <c r="C343" s="12" t="n">
        <v>7</v>
      </c>
      <c r="D343" s="12" t="n">
        <v>12</v>
      </c>
      <c r="E343" s="13" t="n">
        <v>192448</v>
      </c>
      <c r="F343" s="12" t="n"/>
      <c r="G343" s="13" t="n"/>
      <c r="H343" s="12" t="n"/>
      <c r="I343" s="12" t="n"/>
      <c r="J343" s="12" t="n"/>
      <c r="K343" s="12" t="n"/>
      <c r="L343" s="11" t="n"/>
      <c r="M343" s="11" t="n"/>
      <c r="N343" s="11" t="n"/>
      <c r="O343" s="11" t="n"/>
      <c r="P343" s="12" t="n"/>
      <c r="Q343" s="11" t="n"/>
      <c r="R343" s="12" t="n"/>
      <c r="S343" s="11" t="n"/>
      <c r="T343" s="12" t="n"/>
      <c r="U343" s="12" t="n"/>
      <c r="V343" s="14">
        <f>IF($AN343="",IF($B343="","",$H343),IF(INDEX(職員マスタ!$B$6:$B$405,$AN343)="",$H343,INDEX(職員マスタ!$B$6:$B$405,$AN343)))</f>
        <v/>
      </c>
      <c r="W343" s="14">
        <f>IF($AN343="",IF($B343="","",$R343),IF(INDEX(職員マスタ!$C$6:$C$405,$AN343)="",$R343,INDEX(職員マスタ!$C$6:$C$405,$AN343)))</f>
        <v/>
      </c>
      <c r="X343" s="14">
        <f>IF($AO343="","","R"&amp;$C343&amp;"."&amp;$D343)</f>
        <v/>
      </c>
      <c r="Y343" s="15">
        <f>IF($AN343="","",IF(INDEX(職員マスタ!$K$6:$K$405,$AN343)="","",INDEX(職員マスタ!$K$6:$K$405,$AN343)))</f>
        <v/>
      </c>
      <c r="Z343" s="14">
        <f>IF(OR($E343="",$Y343=""),"",IF($E343&gt;=$Y343,"×",IF($E343&gt;=$Y343*設定!$C$5,"△","○")))</f>
        <v/>
      </c>
      <c r="AA343" s="15">
        <f>IF($Z343="","",IF($Z343="×",0,IF($Z343="○",ROUNDDOWN($E343*設定!$C$4,0),ROUNDDOWN($E343*ROUND((9*$Y343-9*$E343)/(10*$E343),4),0))))</f>
        <v/>
      </c>
      <c r="AB343" s="13" t="n"/>
      <c r="AC343" s="15">
        <f>IF($B343="","",IF($AB343&lt;&gt;"",$AB343,IF($AA343="","",IF($AA343&lt;=設定!$C$3,0,$AA343))))</f>
        <v/>
      </c>
      <c r="AD343" s="14">
        <f>IF($B343="","",IF(AND($AE343&lt;&gt;"",$AG343="",$AJ343=""),"保留中",IF($AJ343&lt;&gt;"",IF(N($AC343)&gt;0,"支給済","不支給"),IF($AC343="","要確認",IF($AC343=0,"不支給","未処理")))))</f>
        <v/>
      </c>
      <c r="AE343" s="12" t="n"/>
      <c r="AF343" s="11" t="n"/>
      <c r="AG343" s="11" t="n"/>
      <c r="AH343" s="11" t="n"/>
      <c r="AI343" s="14">
        <f>IF(AND($AD343="保留中",$AF343&lt;&gt;""),TODAY()-$AF343,"")</f>
        <v/>
      </c>
      <c r="AJ343" s="12" t="inlineStr">
        <is>
          <t>R8.5</t>
        </is>
      </c>
      <c r="AK343" s="14">
        <f>IF($B343="","",IF($AO343="","対象年月が未入力／","")&amp;IF($B343="","",IF($AN343="","職員マスタに未登録の職員番号／",IF($Y343="","標準報酬月額が未登録／","")&amp;IF(AND($AO343&lt;&gt;"",OR(AND(INDEX(職員マスタ!$G$6:$G$405,$AN343)&lt;&gt;"",INDEX(職員マスタ!$G$6:$G$405,$AN343)&gt;EOMONTH($AO343,0)),AND(INDEX(職員マスタ!$H$6:$H$405,$AN343)&lt;&gt;"",INDEX(職員マスタ!$H$6:$H$405,$AN343)&lt;$AO343))),"対象月が時短期間外／","")&amp;IF(AND(INDEX(職員マスタ!$F$6:$F$405,$AN343)&lt;&gt;"",$AO343&lt;&gt;"",INDEX(職員マスタ!$F$6:$F$405,$AN343)&lt;$AO343),"対象月に子が2歳到達済／","")&amp;IF(AND($H343&lt;&gt;"",INDEX(職員マスタ!$B$6:$B$405,$AN343)&lt;&gt;"",SUBSTITUTE(SUBSTITUTE($H343," ","")," ","")&lt;&gt;SUBSTITUTE(SUBSTITUTE(INDEX(職員マスタ!$B$6:$B$405,$AN343)," ","")," ","")),"氏名がマスタと相違／","")&amp;IF(AND($Q343&lt;&gt;"",INDEX(職員マスタ!$E$6:$E$405,$AN343)&lt;&gt;"",$Q343&lt;&gt;INDEX(職員マスタ!$E$6:$E$405,$AN343)),"子の生年月日がマスタと相違／","")&amp;IF(AND($L343&lt;&gt;"",INDEX(職員マスタ!$G$6:$G$405,$AN343)&lt;&gt;"",$L343&lt;&gt;INDEX(職員マスタ!$G$6:$G$405,$AN343)),"時短開始日がマスタと相違／","")&amp;IF(AND($M343&lt;&gt;"",INDEX(職員マスタ!$H$6:$H$405,$AN343)&lt;&gt;"",$M343&lt;&gt;INDEX(職員マスタ!$H$6:$H$405,$AN343)),"時短終了日がマスタと相違／","")))&amp;IF(AND($B343&lt;&gt;"",$E343=""),"報酬額が未入力／","")&amp;IF(N($U343)&gt;0,"申請書に入力エラーが残っています／","")&amp;IF(AND($B343&lt;&gt;"",$AO343&lt;&gt;""),IF(COUNTIFS($B$6:$B$3005,$B343,$C$6:$C$3005,$C343,$D$6:$D$3005,$D343)&gt;1,"同じ月の請求が重複しています／",""),"")&amp;IF(AND(N($E343)&gt;0,$Z343&lt;&gt;"",$Z343&lt;&gt;"×",$AC343=0,$AB343=""),"計算額が下限以下のため不支給／",""))</f>
        <v/>
      </c>
      <c r="AL343" s="12" t="n"/>
      <c r="AM343" s="14">
        <f>IF($AD343="保留中",COUNTIF($AD$6:$AD343,"保留中"),"")</f>
        <v/>
      </c>
      <c r="AN343" s="14">
        <f>IF($AO343="","",IF(SUMPRODUCT(MAX((職員マスタ!$A$6:$A$405=$B343)*(((職員マスタ!$G$6:$G$405="")+(職員マスタ!$G$6:$G$405&lt;=EOMONTH($AO343,0)))&gt;0)*(((職員マスタ!$H$6:$H$405="")+(職員マスタ!$H$6:$H$405&gt;=$AO343))&gt;0)*(ROW(職員マスタ!$A$6:$A$405)-5)))&gt;0,SUMPRODUCT(MAX((職員マスタ!$A$6:$A$405=$B343)*(((職員マスタ!$G$6:$G$405="")+(職員マスタ!$G$6:$G$405&lt;=EOMONTH($AO343,0)))&gt;0)*(((職員マスタ!$H$6:$H$405="")+(職員マスタ!$H$6:$H$405&gt;=$AO343))&gt;0)*(ROW(職員マスタ!$A$6:$A$405)-5))),IFERROR(MATCH($B343,職員マスタ!$A$6:$A$405,0),"")))</f>
        <v/>
      </c>
      <c r="AO343" s="16">
        <f>IF(OR($B343="",$C343="",$D343=""),"",DATE($C343+2018,$D343,1))</f>
        <v/>
      </c>
    </row>
    <row r="344">
      <c r="A344" s="11" t="n"/>
      <c r="B344" s="12" t="n">
        <v>6702674</v>
      </c>
      <c r="C344" s="12" t="n">
        <v>8</v>
      </c>
      <c r="D344" s="12" t="n">
        <v>1</v>
      </c>
      <c r="E344" s="13" t="n">
        <v>192448</v>
      </c>
      <c r="F344" s="12" t="n"/>
      <c r="G344" s="13" t="n"/>
      <c r="H344" s="12" t="n"/>
      <c r="I344" s="12" t="n"/>
      <c r="J344" s="12" t="n"/>
      <c r="K344" s="12" t="n"/>
      <c r="L344" s="11" t="n"/>
      <c r="M344" s="11" t="n"/>
      <c r="N344" s="11" t="n"/>
      <c r="O344" s="11" t="n"/>
      <c r="P344" s="12" t="n"/>
      <c r="Q344" s="11" t="n"/>
      <c r="R344" s="12" t="n"/>
      <c r="S344" s="11" t="n"/>
      <c r="T344" s="12" t="n"/>
      <c r="U344" s="12" t="n"/>
      <c r="V344" s="14">
        <f>IF($AN344="",IF($B344="","",$H344),IF(INDEX(職員マスタ!$B$6:$B$405,$AN344)="",$H344,INDEX(職員マスタ!$B$6:$B$405,$AN344)))</f>
        <v/>
      </c>
      <c r="W344" s="14">
        <f>IF($AN344="",IF($B344="","",$R344),IF(INDEX(職員マスタ!$C$6:$C$405,$AN344)="",$R344,INDEX(職員マスタ!$C$6:$C$405,$AN344)))</f>
        <v/>
      </c>
      <c r="X344" s="14">
        <f>IF($AO344="","","R"&amp;$C344&amp;"."&amp;$D344)</f>
        <v/>
      </c>
      <c r="Y344" s="15">
        <f>IF($AN344="","",IF(INDEX(職員マスタ!$K$6:$K$405,$AN344)="","",INDEX(職員マスタ!$K$6:$K$405,$AN344)))</f>
        <v/>
      </c>
      <c r="Z344" s="14">
        <f>IF(OR($E344="",$Y344=""),"",IF($E344&gt;=$Y344,"×",IF($E344&gt;=$Y344*設定!$C$5,"△","○")))</f>
        <v/>
      </c>
      <c r="AA344" s="15">
        <f>IF($Z344="","",IF($Z344="×",0,IF($Z344="○",ROUNDDOWN($E344*設定!$C$4,0),ROUNDDOWN($E344*ROUND((9*$Y344-9*$E344)/(10*$E344),4),0))))</f>
        <v/>
      </c>
      <c r="AB344" s="13" t="n"/>
      <c r="AC344" s="15">
        <f>IF($B344="","",IF($AB344&lt;&gt;"",$AB344,IF($AA344="","",IF($AA344&lt;=設定!$C$3,0,$AA344))))</f>
        <v/>
      </c>
      <c r="AD344" s="14">
        <f>IF($B344="","",IF(AND($AE344&lt;&gt;"",$AG344="",$AJ344=""),"保留中",IF($AJ344&lt;&gt;"",IF(N($AC344)&gt;0,"支給済","不支給"),IF($AC344="","要確認",IF($AC344=0,"不支給","未処理")))))</f>
        <v/>
      </c>
      <c r="AE344" s="12" t="n"/>
      <c r="AF344" s="11" t="n"/>
      <c r="AG344" s="11" t="n"/>
      <c r="AH344" s="11" t="n"/>
      <c r="AI344" s="14">
        <f>IF(AND($AD344="保留中",$AF344&lt;&gt;""),TODAY()-$AF344,"")</f>
        <v/>
      </c>
      <c r="AJ344" s="12" t="inlineStr">
        <is>
          <t>R8.5</t>
        </is>
      </c>
      <c r="AK344" s="14">
        <f>IF($B344="","",IF($AO344="","対象年月が未入力／","")&amp;IF($B344="","",IF($AN344="","職員マスタに未登録の職員番号／",IF($Y344="","標準報酬月額が未登録／","")&amp;IF(AND($AO344&lt;&gt;"",OR(AND(INDEX(職員マスタ!$G$6:$G$405,$AN344)&lt;&gt;"",INDEX(職員マスタ!$G$6:$G$405,$AN344)&gt;EOMONTH($AO344,0)),AND(INDEX(職員マスタ!$H$6:$H$405,$AN344)&lt;&gt;"",INDEX(職員マスタ!$H$6:$H$405,$AN344)&lt;$AO344))),"対象月が時短期間外／","")&amp;IF(AND(INDEX(職員マスタ!$F$6:$F$405,$AN344)&lt;&gt;"",$AO344&lt;&gt;"",INDEX(職員マスタ!$F$6:$F$405,$AN344)&lt;$AO344),"対象月に子が2歳到達済／","")&amp;IF(AND($H344&lt;&gt;"",INDEX(職員マスタ!$B$6:$B$405,$AN344)&lt;&gt;"",SUBSTITUTE(SUBSTITUTE($H344," ","")," ","")&lt;&gt;SUBSTITUTE(SUBSTITUTE(INDEX(職員マスタ!$B$6:$B$405,$AN344)," ","")," ","")),"氏名がマスタと相違／","")&amp;IF(AND($Q344&lt;&gt;"",INDEX(職員マスタ!$E$6:$E$405,$AN344)&lt;&gt;"",$Q344&lt;&gt;INDEX(職員マスタ!$E$6:$E$405,$AN344)),"子の生年月日がマスタと相違／","")&amp;IF(AND($L344&lt;&gt;"",INDEX(職員マスタ!$G$6:$G$405,$AN344)&lt;&gt;"",$L344&lt;&gt;INDEX(職員マスタ!$G$6:$G$405,$AN344)),"時短開始日がマスタと相違／","")&amp;IF(AND($M344&lt;&gt;"",INDEX(職員マスタ!$H$6:$H$405,$AN344)&lt;&gt;"",$M344&lt;&gt;INDEX(職員マスタ!$H$6:$H$405,$AN344)),"時短終了日がマスタと相違／","")))&amp;IF(AND($B344&lt;&gt;"",$E344=""),"報酬額が未入力／","")&amp;IF(N($U344)&gt;0,"申請書に入力エラーが残っています／","")&amp;IF(AND($B344&lt;&gt;"",$AO344&lt;&gt;""),IF(COUNTIFS($B$6:$B$3005,$B344,$C$6:$C$3005,$C344,$D$6:$D$3005,$D344)&gt;1,"同じ月の請求が重複しています／",""),"")&amp;IF(AND(N($E344)&gt;0,$Z344&lt;&gt;"",$Z344&lt;&gt;"×",$AC344=0,$AB344=""),"計算額が下限以下のため不支給／",""))</f>
        <v/>
      </c>
      <c r="AL344" s="12" t="n"/>
      <c r="AM344" s="14">
        <f>IF($AD344="保留中",COUNTIF($AD$6:$AD344,"保留中"),"")</f>
        <v/>
      </c>
      <c r="AN344" s="14">
        <f>IF($AO344="","",IF(SUMPRODUCT(MAX((職員マスタ!$A$6:$A$405=$B344)*(((職員マスタ!$G$6:$G$405="")+(職員マスタ!$G$6:$G$405&lt;=EOMONTH($AO344,0)))&gt;0)*(((職員マスタ!$H$6:$H$405="")+(職員マスタ!$H$6:$H$405&gt;=$AO344))&gt;0)*(ROW(職員マスタ!$A$6:$A$405)-5)))&gt;0,SUMPRODUCT(MAX((職員マスタ!$A$6:$A$405=$B344)*(((職員マスタ!$G$6:$G$405="")+(職員マスタ!$G$6:$G$405&lt;=EOMONTH($AO344,0)))&gt;0)*(((職員マスタ!$H$6:$H$405="")+(職員マスタ!$H$6:$H$405&gt;=$AO344))&gt;0)*(ROW(職員マスタ!$A$6:$A$405)-5))),IFERROR(MATCH($B344,職員マスタ!$A$6:$A$405,0),"")))</f>
        <v/>
      </c>
      <c r="AO344" s="16">
        <f>IF(OR($B344="",$C344="",$D344=""),"",DATE($C344+2018,$D344,1))</f>
        <v/>
      </c>
    </row>
    <row r="345">
      <c r="A345" s="11" t="n"/>
      <c r="B345" s="12" t="n">
        <v>6702674</v>
      </c>
      <c r="C345" s="12" t="n">
        <v>8</v>
      </c>
      <c r="D345" s="12" t="n">
        <v>2</v>
      </c>
      <c r="E345" s="13" t="n">
        <v>192448</v>
      </c>
      <c r="F345" s="12" t="n"/>
      <c r="G345" s="13" t="n"/>
      <c r="H345" s="12" t="n"/>
      <c r="I345" s="12" t="n"/>
      <c r="J345" s="12" t="n"/>
      <c r="K345" s="12" t="n"/>
      <c r="L345" s="11" t="n"/>
      <c r="M345" s="11" t="n"/>
      <c r="N345" s="11" t="n"/>
      <c r="O345" s="11" t="n"/>
      <c r="P345" s="12" t="n"/>
      <c r="Q345" s="11" t="n"/>
      <c r="R345" s="12" t="n"/>
      <c r="S345" s="11" t="n"/>
      <c r="T345" s="12" t="n"/>
      <c r="U345" s="12" t="n"/>
      <c r="V345" s="14">
        <f>IF($AN345="",IF($B345="","",$H345),IF(INDEX(職員マスタ!$B$6:$B$405,$AN345)="",$H345,INDEX(職員マスタ!$B$6:$B$405,$AN345)))</f>
        <v/>
      </c>
      <c r="W345" s="14">
        <f>IF($AN345="",IF($B345="","",$R345),IF(INDEX(職員マスタ!$C$6:$C$405,$AN345)="",$R345,INDEX(職員マスタ!$C$6:$C$405,$AN345)))</f>
        <v/>
      </c>
      <c r="X345" s="14">
        <f>IF($AO345="","","R"&amp;$C345&amp;"."&amp;$D345)</f>
        <v/>
      </c>
      <c r="Y345" s="15">
        <f>IF($AN345="","",IF(INDEX(職員マスタ!$K$6:$K$405,$AN345)="","",INDEX(職員マスタ!$K$6:$K$405,$AN345)))</f>
        <v/>
      </c>
      <c r="Z345" s="14">
        <f>IF(OR($E345="",$Y345=""),"",IF($E345&gt;=$Y345,"×",IF($E345&gt;=$Y345*設定!$C$5,"△","○")))</f>
        <v/>
      </c>
      <c r="AA345" s="15">
        <f>IF($Z345="","",IF($Z345="×",0,IF($Z345="○",ROUNDDOWN($E345*設定!$C$4,0),ROUNDDOWN($E345*ROUND((9*$Y345-9*$E345)/(10*$E345),4),0))))</f>
        <v/>
      </c>
      <c r="AB345" s="13" t="n"/>
      <c r="AC345" s="15">
        <f>IF($B345="","",IF($AB345&lt;&gt;"",$AB345,IF($AA345="","",IF($AA345&lt;=設定!$C$3,0,$AA345))))</f>
        <v/>
      </c>
      <c r="AD345" s="14">
        <f>IF($B345="","",IF(AND($AE345&lt;&gt;"",$AG345="",$AJ345=""),"保留中",IF($AJ345&lt;&gt;"",IF(N($AC345)&gt;0,"支給済","不支給"),IF($AC345="","要確認",IF($AC345=0,"不支給","未処理")))))</f>
        <v/>
      </c>
      <c r="AE345" s="12" t="n"/>
      <c r="AF345" s="11" t="n"/>
      <c r="AG345" s="11" t="n"/>
      <c r="AH345" s="11" t="n"/>
      <c r="AI345" s="14">
        <f>IF(AND($AD345="保留中",$AF345&lt;&gt;""),TODAY()-$AF345,"")</f>
        <v/>
      </c>
      <c r="AJ345" s="12" t="inlineStr">
        <is>
          <t>R8.5</t>
        </is>
      </c>
      <c r="AK345" s="14">
        <f>IF($B345="","",IF($AO345="","対象年月が未入力／","")&amp;IF($B345="","",IF($AN345="","職員マスタに未登録の職員番号／",IF($Y345="","標準報酬月額が未登録／","")&amp;IF(AND($AO345&lt;&gt;"",OR(AND(INDEX(職員マスタ!$G$6:$G$405,$AN345)&lt;&gt;"",INDEX(職員マスタ!$G$6:$G$405,$AN345)&gt;EOMONTH($AO345,0)),AND(INDEX(職員マスタ!$H$6:$H$405,$AN345)&lt;&gt;"",INDEX(職員マスタ!$H$6:$H$405,$AN345)&lt;$AO345))),"対象月が時短期間外／","")&amp;IF(AND(INDEX(職員マスタ!$F$6:$F$405,$AN345)&lt;&gt;"",$AO345&lt;&gt;"",INDEX(職員マスタ!$F$6:$F$405,$AN345)&lt;$AO345),"対象月に子が2歳到達済／","")&amp;IF(AND($H345&lt;&gt;"",INDEX(職員マスタ!$B$6:$B$405,$AN345)&lt;&gt;"",SUBSTITUTE(SUBSTITUTE($H345," ","")," ","")&lt;&gt;SUBSTITUTE(SUBSTITUTE(INDEX(職員マスタ!$B$6:$B$405,$AN345)," ","")," ","")),"氏名がマスタと相違／","")&amp;IF(AND($Q345&lt;&gt;"",INDEX(職員マスタ!$E$6:$E$405,$AN345)&lt;&gt;"",$Q345&lt;&gt;INDEX(職員マスタ!$E$6:$E$405,$AN345)),"子の生年月日がマスタと相違／","")&amp;IF(AND($L345&lt;&gt;"",INDEX(職員マスタ!$G$6:$G$405,$AN345)&lt;&gt;"",$L345&lt;&gt;INDEX(職員マスタ!$G$6:$G$405,$AN345)),"時短開始日がマスタと相違／","")&amp;IF(AND($M345&lt;&gt;"",INDEX(職員マスタ!$H$6:$H$405,$AN345)&lt;&gt;"",$M345&lt;&gt;INDEX(職員マスタ!$H$6:$H$405,$AN345)),"時短終了日がマスタと相違／","")))&amp;IF(AND($B345&lt;&gt;"",$E345=""),"報酬額が未入力／","")&amp;IF(N($U345)&gt;0,"申請書に入力エラーが残っています／","")&amp;IF(AND($B345&lt;&gt;"",$AO345&lt;&gt;""),IF(COUNTIFS($B$6:$B$3005,$B345,$C$6:$C$3005,$C345,$D$6:$D$3005,$D345)&gt;1,"同じ月の請求が重複しています／",""),"")&amp;IF(AND(N($E345)&gt;0,$Z345&lt;&gt;"",$Z345&lt;&gt;"×",$AC345=0,$AB345=""),"計算額が下限以下のため不支給／",""))</f>
        <v/>
      </c>
      <c r="AL345" s="12" t="n"/>
      <c r="AM345" s="14">
        <f>IF($AD345="保留中",COUNTIF($AD$6:$AD345,"保留中"),"")</f>
        <v/>
      </c>
      <c r="AN345" s="14">
        <f>IF($AO345="","",IF(SUMPRODUCT(MAX((職員マスタ!$A$6:$A$405=$B345)*(((職員マスタ!$G$6:$G$405="")+(職員マスタ!$G$6:$G$405&lt;=EOMONTH($AO345,0)))&gt;0)*(((職員マスタ!$H$6:$H$405="")+(職員マスタ!$H$6:$H$405&gt;=$AO345))&gt;0)*(ROW(職員マスタ!$A$6:$A$405)-5)))&gt;0,SUMPRODUCT(MAX((職員マスタ!$A$6:$A$405=$B345)*(((職員マスタ!$G$6:$G$405="")+(職員マスタ!$G$6:$G$405&lt;=EOMONTH($AO345,0)))&gt;0)*(((職員マスタ!$H$6:$H$405="")+(職員マスタ!$H$6:$H$405&gt;=$AO345))&gt;0)*(ROW(職員マスタ!$A$6:$A$405)-5))),IFERROR(MATCH($B345,職員マスタ!$A$6:$A$405,0),"")))</f>
        <v/>
      </c>
      <c r="AO345" s="16">
        <f>IF(OR($B345="",$C345="",$D345=""),"",DATE($C345+2018,$D345,1))</f>
        <v/>
      </c>
    </row>
    <row r="346">
      <c r="A346" s="11" t="n"/>
      <c r="B346" s="12" t="n">
        <v>6702757</v>
      </c>
      <c r="C346" s="12" t="n">
        <v>8</v>
      </c>
      <c r="D346" s="12" t="n">
        <v>5</v>
      </c>
      <c r="E346" s="13" t="n">
        <v>194409</v>
      </c>
      <c r="F346" s="12" t="n"/>
      <c r="G346" s="13" t="n"/>
      <c r="H346" s="12" t="n"/>
      <c r="I346" s="12" t="n"/>
      <c r="J346" s="12" t="n"/>
      <c r="K346" s="12" t="n"/>
      <c r="L346" s="11" t="n"/>
      <c r="M346" s="11" t="n"/>
      <c r="N346" s="11" t="n"/>
      <c r="O346" s="11" t="n"/>
      <c r="P346" s="12" t="n"/>
      <c r="Q346" s="11" t="n"/>
      <c r="R346" s="12" t="n"/>
      <c r="S346" s="11" t="n"/>
      <c r="T346" s="12" t="n"/>
      <c r="U346" s="12" t="n"/>
      <c r="V346" s="14">
        <f>IF($AN346="",IF($B346="","",$H346),IF(INDEX(職員マスタ!$B$6:$B$405,$AN346)="",$H346,INDEX(職員マスタ!$B$6:$B$405,$AN346)))</f>
        <v/>
      </c>
      <c r="W346" s="14">
        <f>IF($AN346="",IF($B346="","",$R346),IF(INDEX(職員マスタ!$C$6:$C$405,$AN346)="",$R346,INDEX(職員マスタ!$C$6:$C$405,$AN346)))</f>
        <v/>
      </c>
      <c r="X346" s="14">
        <f>IF($AO346="","","R"&amp;$C346&amp;"."&amp;$D346)</f>
        <v/>
      </c>
      <c r="Y346" s="15">
        <f>IF($AN346="","",IF(INDEX(職員マスタ!$K$6:$K$405,$AN346)="","",INDEX(職員マスタ!$K$6:$K$405,$AN346)))</f>
        <v/>
      </c>
      <c r="Z346" s="14">
        <f>IF(OR($E346="",$Y346=""),"",IF($E346&gt;=$Y346,"×",IF($E346&gt;=$Y346*設定!$C$5,"△","○")))</f>
        <v/>
      </c>
      <c r="AA346" s="15">
        <f>IF($Z346="","",IF($Z346="×",0,IF($Z346="○",ROUNDDOWN($E346*設定!$C$4,0),ROUNDDOWN($E346*ROUND((9*$Y346-9*$E346)/(10*$E346),4),0))))</f>
        <v/>
      </c>
      <c r="AB346" s="13" t="n"/>
      <c r="AC346" s="15">
        <f>IF($B346="","",IF($AB346&lt;&gt;"",$AB346,IF($AA346="","",IF($AA346&lt;=設定!$C$3,0,$AA346))))</f>
        <v/>
      </c>
      <c r="AD346" s="14">
        <f>IF($B346="","",IF(AND($AE346&lt;&gt;"",$AG346="",$AJ346=""),"保留中",IF($AJ346&lt;&gt;"",IF(N($AC346)&gt;0,"支給済","不支給"),IF($AC346="","要確認",IF($AC346=0,"不支給","未処理")))))</f>
        <v/>
      </c>
      <c r="AE346" s="12" t="n"/>
      <c r="AF346" s="11" t="n"/>
      <c r="AG346" s="11" t="n"/>
      <c r="AH346" s="11" t="n"/>
      <c r="AI346" s="14">
        <f>IF(AND($AD346="保留中",$AF346&lt;&gt;""),TODAY()-$AF346,"")</f>
        <v/>
      </c>
      <c r="AJ346" s="12" t="inlineStr">
        <is>
          <t>R8.10</t>
        </is>
      </c>
      <c r="AK346" s="14">
        <f>IF($B346="","",IF($AO346="","対象年月が未入力／","")&amp;IF($B346="","",IF($AN346="","職員マスタに未登録の職員番号／",IF($Y346="","標準報酬月額が未登録／","")&amp;IF(AND($AO346&lt;&gt;"",OR(AND(INDEX(職員マスタ!$G$6:$G$405,$AN346)&lt;&gt;"",INDEX(職員マスタ!$G$6:$G$405,$AN346)&gt;EOMONTH($AO346,0)),AND(INDEX(職員マスタ!$H$6:$H$405,$AN346)&lt;&gt;"",INDEX(職員マスタ!$H$6:$H$405,$AN346)&lt;$AO346))),"対象月が時短期間外／","")&amp;IF(AND(INDEX(職員マスタ!$F$6:$F$405,$AN346)&lt;&gt;"",$AO346&lt;&gt;"",INDEX(職員マスタ!$F$6:$F$405,$AN346)&lt;$AO346),"対象月に子が2歳到達済／","")&amp;IF(AND($H346&lt;&gt;"",INDEX(職員マスタ!$B$6:$B$405,$AN346)&lt;&gt;"",SUBSTITUTE(SUBSTITUTE($H346," ","")," ","")&lt;&gt;SUBSTITUTE(SUBSTITUTE(INDEX(職員マスタ!$B$6:$B$405,$AN346)," ","")," ","")),"氏名がマスタと相違／","")&amp;IF(AND($Q346&lt;&gt;"",INDEX(職員マスタ!$E$6:$E$405,$AN346)&lt;&gt;"",$Q346&lt;&gt;INDEX(職員マスタ!$E$6:$E$405,$AN346)),"子の生年月日がマスタと相違／","")&amp;IF(AND($L346&lt;&gt;"",INDEX(職員マスタ!$G$6:$G$405,$AN346)&lt;&gt;"",$L346&lt;&gt;INDEX(職員マスタ!$G$6:$G$405,$AN346)),"時短開始日がマスタと相違／","")&amp;IF(AND($M346&lt;&gt;"",INDEX(職員マスタ!$H$6:$H$405,$AN346)&lt;&gt;"",$M346&lt;&gt;INDEX(職員マスタ!$H$6:$H$405,$AN346)),"時短終了日がマスタと相違／","")))&amp;IF(AND($B346&lt;&gt;"",$E346=""),"報酬額が未入力／","")&amp;IF(N($U346)&gt;0,"申請書に入力エラーが残っています／","")&amp;IF(AND($B346&lt;&gt;"",$AO346&lt;&gt;""),IF(COUNTIFS($B$6:$B$3005,$B346,$C$6:$C$3005,$C346,$D$6:$D$3005,$D346)&gt;1,"同じ月の請求が重複しています／",""),"")&amp;IF(AND(N($E346)&gt;0,$Z346&lt;&gt;"",$Z346&lt;&gt;"×",$AC346=0,$AB346=""),"計算額が下限以下のため不支給／",""))</f>
        <v/>
      </c>
      <c r="AL346" s="12" t="n"/>
      <c r="AM346" s="14">
        <f>IF($AD346="保留中",COUNTIF($AD$6:$AD346,"保留中"),"")</f>
        <v/>
      </c>
      <c r="AN346" s="14">
        <f>IF($AO346="","",IF(SUMPRODUCT(MAX((職員マスタ!$A$6:$A$405=$B346)*(((職員マスタ!$G$6:$G$405="")+(職員マスタ!$G$6:$G$405&lt;=EOMONTH($AO346,0)))&gt;0)*(((職員マスタ!$H$6:$H$405="")+(職員マスタ!$H$6:$H$405&gt;=$AO346))&gt;0)*(ROW(職員マスタ!$A$6:$A$405)-5)))&gt;0,SUMPRODUCT(MAX((職員マスタ!$A$6:$A$405=$B346)*(((職員マスタ!$G$6:$G$405="")+(職員マスタ!$G$6:$G$405&lt;=EOMONTH($AO346,0)))&gt;0)*(((職員マスタ!$H$6:$H$405="")+(職員マスタ!$H$6:$H$405&gt;=$AO346))&gt;0)*(ROW(職員マスタ!$A$6:$A$405)-5))),IFERROR(MATCH($B346,職員マスタ!$A$6:$A$405,0),"")))</f>
        <v/>
      </c>
      <c r="AO346" s="16">
        <f>IF(OR($B346="",$C346="",$D346=""),"",DATE($C346+2018,$D346,1))</f>
        <v/>
      </c>
    </row>
    <row r="347">
      <c r="A347" s="11" t="n"/>
      <c r="B347" s="12" t="n">
        <v>6702757</v>
      </c>
      <c r="C347" s="12" t="n">
        <v>8</v>
      </c>
      <c r="D347" s="12" t="n">
        <v>6</v>
      </c>
      <c r="E347" s="13" t="n">
        <v>202493</v>
      </c>
      <c r="F347" s="12" t="n"/>
      <c r="G347" s="13" t="n"/>
      <c r="H347" s="12" t="n"/>
      <c r="I347" s="12" t="n"/>
      <c r="J347" s="12" t="n"/>
      <c r="K347" s="12" t="n"/>
      <c r="L347" s="11" t="n"/>
      <c r="M347" s="11" t="n"/>
      <c r="N347" s="11" t="n"/>
      <c r="O347" s="11" t="n"/>
      <c r="P347" s="12" t="n"/>
      <c r="Q347" s="11" t="n"/>
      <c r="R347" s="12" t="n"/>
      <c r="S347" s="11" t="n"/>
      <c r="T347" s="12" t="n"/>
      <c r="U347" s="12" t="n"/>
      <c r="V347" s="14">
        <f>IF($AN347="",IF($B347="","",$H347),IF(INDEX(職員マスタ!$B$6:$B$405,$AN347)="",$H347,INDEX(職員マスタ!$B$6:$B$405,$AN347)))</f>
        <v/>
      </c>
      <c r="W347" s="14">
        <f>IF($AN347="",IF($B347="","",$R347),IF(INDEX(職員マスタ!$C$6:$C$405,$AN347)="",$R347,INDEX(職員マスタ!$C$6:$C$405,$AN347)))</f>
        <v/>
      </c>
      <c r="X347" s="14">
        <f>IF($AO347="","","R"&amp;$C347&amp;"."&amp;$D347)</f>
        <v/>
      </c>
      <c r="Y347" s="15">
        <f>IF($AN347="","",IF(INDEX(職員マスタ!$K$6:$K$405,$AN347)="","",INDEX(職員マスタ!$K$6:$K$405,$AN347)))</f>
        <v/>
      </c>
      <c r="Z347" s="14">
        <f>IF(OR($E347="",$Y347=""),"",IF($E347&gt;=$Y347,"×",IF($E347&gt;=$Y347*設定!$C$5,"△","○")))</f>
        <v/>
      </c>
      <c r="AA347" s="15">
        <f>IF($Z347="","",IF($Z347="×",0,IF($Z347="○",ROUNDDOWN($E347*設定!$C$4,0),ROUNDDOWN($E347*ROUND((9*$Y347-9*$E347)/(10*$E347),4),0))))</f>
        <v/>
      </c>
      <c r="AB347" s="13" t="n"/>
      <c r="AC347" s="15">
        <f>IF($B347="","",IF($AB347&lt;&gt;"",$AB347,IF($AA347="","",IF($AA347&lt;=設定!$C$3,0,$AA347))))</f>
        <v/>
      </c>
      <c r="AD347" s="14">
        <f>IF($B347="","",IF(AND($AE347&lt;&gt;"",$AG347="",$AJ347=""),"保留中",IF($AJ347&lt;&gt;"",IF(N($AC347)&gt;0,"支給済","不支給"),IF($AC347="","要確認",IF($AC347=0,"不支給","未処理")))))</f>
        <v/>
      </c>
      <c r="AE347" s="12" t="n"/>
      <c r="AF347" s="11" t="n"/>
      <c r="AG347" s="11" t="n"/>
      <c r="AH347" s="11" t="n"/>
      <c r="AI347" s="14">
        <f>IF(AND($AD347="保留中",$AF347&lt;&gt;""),TODAY()-$AF347,"")</f>
        <v/>
      </c>
      <c r="AJ347" s="12" t="inlineStr">
        <is>
          <t>R8.10</t>
        </is>
      </c>
      <c r="AK347" s="14">
        <f>IF($B347="","",IF($AO347="","対象年月が未入力／","")&amp;IF($B347="","",IF($AN347="","職員マスタに未登録の職員番号／",IF($Y347="","標準報酬月額が未登録／","")&amp;IF(AND($AO347&lt;&gt;"",OR(AND(INDEX(職員マスタ!$G$6:$G$405,$AN347)&lt;&gt;"",INDEX(職員マスタ!$G$6:$G$405,$AN347)&gt;EOMONTH($AO347,0)),AND(INDEX(職員マスタ!$H$6:$H$405,$AN347)&lt;&gt;"",INDEX(職員マスタ!$H$6:$H$405,$AN347)&lt;$AO347))),"対象月が時短期間外／","")&amp;IF(AND(INDEX(職員マスタ!$F$6:$F$405,$AN347)&lt;&gt;"",$AO347&lt;&gt;"",INDEX(職員マスタ!$F$6:$F$405,$AN347)&lt;$AO347),"対象月に子が2歳到達済／","")&amp;IF(AND($H347&lt;&gt;"",INDEX(職員マスタ!$B$6:$B$405,$AN347)&lt;&gt;"",SUBSTITUTE(SUBSTITUTE($H347," ","")," ","")&lt;&gt;SUBSTITUTE(SUBSTITUTE(INDEX(職員マスタ!$B$6:$B$405,$AN347)," ","")," ","")),"氏名がマスタと相違／","")&amp;IF(AND($Q347&lt;&gt;"",INDEX(職員マスタ!$E$6:$E$405,$AN347)&lt;&gt;"",$Q347&lt;&gt;INDEX(職員マスタ!$E$6:$E$405,$AN347)),"子の生年月日がマスタと相違／","")&amp;IF(AND($L347&lt;&gt;"",INDEX(職員マスタ!$G$6:$G$405,$AN347)&lt;&gt;"",$L347&lt;&gt;INDEX(職員マスタ!$G$6:$G$405,$AN347)),"時短開始日がマスタと相違／","")&amp;IF(AND($M347&lt;&gt;"",INDEX(職員マスタ!$H$6:$H$405,$AN347)&lt;&gt;"",$M347&lt;&gt;INDEX(職員マスタ!$H$6:$H$405,$AN347)),"時短終了日がマスタと相違／","")))&amp;IF(AND($B347&lt;&gt;"",$E347=""),"報酬額が未入力／","")&amp;IF(N($U347)&gt;0,"申請書に入力エラーが残っています／","")&amp;IF(AND($B347&lt;&gt;"",$AO347&lt;&gt;""),IF(COUNTIFS($B$6:$B$3005,$B347,$C$6:$C$3005,$C347,$D$6:$D$3005,$D347)&gt;1,"同じ月の請求が重複しています／",""),"")&amp;IF(AND(N($E347)&gt;0,$Z347&lt;&gt;"",$Z347&lt;&gt;"×",$AC347=0,$AB347=""),"計算額が下限以下のため不支給／",""))</f>
        <v/>
      </c>
      <c r="AL347" s="12" t="n"/>
      <c r="AM347" s="14">
        <f>IF($AD347="保留中",COUNTIF($AD$6:$AD347,"保留中"),"")</f>
        <v/>
      </c>
      <c r="AN347" s="14">
        <f>IF($AO347="","",IF(SUMPRODUCT(MAX((職員マスタ!$A$6:$A$405=$B347)*(((職員マスタ!$G$6:$G$405="")+(職員マスタ!$G$6:$G$405&lt;=EOMONTH($AO347,0)))&gt;0)*(((職員マスタ!$H$6:$H$405="")+(職員マスタ!$H$6:$H$405&gt;=$AO347))&gt;0)*(ROW(職員マスタ!$A$6:$A$405)-5)))&gt;0,SUMPRODUCT(MAX((職員マスタ!$A$6:$A$405=$B347)*(((職員マスタ!$G$6:$G$405="")+(職員マスタ!$G$6:$G$405&lt;=EOMONTH($AO347,0)))&gt;0)*(((職員マスタ!$H$6:$H$405="")+(職員マスタ!$H$6:$H$405&gt;=$AO347))&gt;0)*(ROW(職員マスタ!$A$6:$A$405)-5))),IFERROR(MATCH($B347,職員マスタ!$A$6:$A$405,0),"")))</f>
        <v/>
      </c>
      <c r="AO347" s="16">
        <f>IF(OR($B347="",$C347="",$D347=""),"",DATE($C347+2018,$D347,1))</f>
        <v/>
      </c>
    </row>
    <row r="348">
      <c r="A348" s="11" t="n"/>
      <c r="B348" s="12" t="n">
        <v>6702757</v>
      </c>
      <c r="C348" s="12" t="n">
        <v>8</v>
      </c>
      <c r="D348" s="12" t="n">
        <v>7</v>
      </c>
      <c r="E348" s="13" t="n">
        <v>198451</v>
      </c>
      <c r="F348" s="12" t="n"/>
      <c r="G348" s="13" t="n"/>
      <c r="H348" s="12" t="n"/>
      <c r="I348" s="12" t="n"/>
      <c r="J348" s="12" t="n"/>
      <c r="K348" s="12" t="n"/>
      <c r="L348" s="11" t="n"/>
      <c r="M348" s="11" t="n"/>
      <c r="N348" s="11" t="n"/>
      <c r="O348" s="11" t="n"/>
      <c r="P348" s="12" t="n"/>
      <c r="Q348" s="11" t="n"/>
      <c r="R348" s="12" t="n"/>
      <c r="S348" s="11" t="n"/>
      <c r="T348" s="12" t="n"/>
      <c r="U348" s="12" t="n"/>
      <c r="V348" s="14">
        <f>IF($AN348="",IF($B348="","",$H348),IF(INDEX(職員マスタ!$B$6:$B$405,$AN348)="",$H348,INDEX(職員マスタ!$B$6:$B$405,$AN348)))</f>
        <v/>
      </c>
      <c r="W348" s="14">
        <f>IF($AN348="",IF($B348="","",$R348),IF(INDEX(職員マスタ!$C$6:$C$405,$AN348)="",$R348,INDEX(職員マスタ!$C$6:$C$405,$AN348)))</f>
        <v/>
      </c>
      <c r="X348" s="14">
        <f>IF($AO348="","","R"&amp;$C348&amp;"."&amp;$D348)</f>
        <v/>
      </c>
      <c r="Y348" s="15">
        <f>IF($AN348="","",IF(INDEX(職員マスタ!$K$6:$K$405,$AN348)="","",INDEX(職員マスタ!$K$6:$K$405,$AN348)))</f>
        <v/>
      </c>
      <c r="Z348" s="14">
        <f>IF(OR($E348="",$Y348=""),"",IF($E348&gt;=$Y348,"×",IF($E348&gt;=$Y348*設定!$C$5,"△","○")))</f>
        <v/>
      </c>
      <c r="AA348" s="15">
        <f>IF($Z348="","",IF($Z348="×",0,IF($Z348="○",ROUNDDOWN($E348*設定!$C$4,0),ROUNDDOWN($E348*ROUND((9*$Y348-9*$E348)/(10*$E348),4),0))))</f>
        <v/>
      </c>
      <c r="AB348" s="13" t="n"/>
      <c r="AC348" s="15">
        <f>IF($B348="","",IF($AB348&lt;&gt;"",$AB348,IF($AA348="","",IF($AA348&lt;=設定!$C$3,0,$AA348))))</f>
        <v/>
      </c>
      <c r="AD348" s="14">
        <f>IF($B348="","",IF(AND($AE348&lt;&gt;"",$AG348="",$AJ348=""),"保留中",IF($AJ348&lt;&gt;"",IF(N($AC348)&gt;0,"支給済","不支給"),IF($AC348="","要確認",IF($AC348=0,"不支給","未処理")))))</f>
        <v/>
      </c>
      <c r="AE348" s="12" t="n"/>
      <c r="AF348" s="11" t="n"/>
      <c r="AG348" s="11" t="n"/>
      <c r="AH348" s="11" t="n"/>
      <c r="AI348" s="14">
        <f>IF(AND($AD348="保留中",$AF348&lt;&gt;""),TODAY()-$AF348,"")</f>
        <v/>
      </c>
      <c r="AJ348" s="12" t="inlineStr">
        <is>
          <t>R8.10</t>
        </is>
      </c>
      <c r="AK348" s="14">
        <f>IF($B348="","",IF($AO348="","対象年月が未入力／","")&amp;IF($B348="","",IF($AN348="","職員マスタに未登録の職員番号／",IF($Y348="","標準報酬月額が未登録／","")&amp;IF(AND($AO348&lt;&gt;"",OR(AND(INDEX(職員マスタ!$G$6:$G$405,$AN348)&lt;&gt;"",INDEX(職員マスタ!$G$6:$G$405,$AN348)&gt;EOMONTH($AO348,0)),AND(INDEX(職員マスタ!$H$6:$H$405,$AN348)&lt;&gt;"",INDEX(職員マスタ!$H$6:$H$405,$AN348)&lt;$AO348))),"対象月が時短期間外／","")&amp;IF(AND(INDEX(職員マスタ!$F$6:$F$405,$AN348)&lt;&gt;"",$AO348&lt;&gt;"",INDEX(職員マスタ!$F$6:$F$405,$AN348)&lt;$AO348),"対象月に子が2歳到達済／","")&amp;IF(AND($H348&lt;&gt;"",INDEX(職員マスタ!$B$6:$B$405,$AN348)&lt;&gt;"",SUBSTITUTE(SUBSTITUTE($H348," ","")," ","")&lt;&gt;SUBSTITUTE(SUBSTITUTE(INDEX(職員マスタ!$B$6:$B$405,$AN348)," ","")," ","")),"氏名がマスタと相違／","")&amp;IF(AND($Q348&lt;&gt;"",INDEX(職員マスタ!$E$6:$E$405,$AN348)&lt;&gt;"",$Q348&lt;&gt;INDEX(職員マスタ!$E$6:$E$405,$AN348)),"子の生年月日がマスタと相違／","")&amp;IF(AND($L348&lt;&gt;"",INDEX(職員マスタ!$G$6:$G$405,$AN348)&lt;&gt;"",$L348&lt;&gt;INDEX(職員マスタ!$G$6:$G$405,$AN348)),"時短開始日がマスタと相違／","")&amp;IF(AND($M348&lt;&gt;"",INDEX(職員マスタ!$H$6:$H$405,$AN348)&lt;&gt;"",$M348&lt;&gt;INDEX(職員マスタ!$H$6:$H$405,$AN348)),"時短終了日がマスタと相違／","")))&amp;IF(AND($B348&lt;&gt;"",$E348=""),"報酬額が未入力／","")&amp;IF(N($U348)&gt;0,"申請書に入力エラーが残っています／","")&amp;IF(AND($B348&lt;&gt;"",$AO348&lt;&gt;""),IF(COUNTIFS($B$6:$B$3005,$B348,$C$6:$C$3005,$C348,$D$6:$D$3005,$D348)&gt;1,"同じ月の請求が重複しています／",""),"")&amp;IF(AND(N($E348)&gt;0,$Z348&lt;&gt;"",$Z348&lt;&gt;"×",$AC348=0,$AB348=""),"計算額が下限以下のため不支給／",""))</f>
        <v/>
      </c>
      <c r="AL348" s="12" t="n"/>
      <c r="AM348" s="14">
        <f>IF($AD348="保留中",COUNTIF($AD$6:$AD348,"保留中"),"")</f>
        <v/>
      </c>
      <c r="AN348" s="14">
        <f>IF($AO348="","",IF(SUMPRODUCT(MAX((職員マスタ!$A$6:$A$405=$B348)*(((職員マスタ!$G$6:$G$405="")+(職員マスタ!$G$6:$G$405&lt;=EOMONTH($AO348,0)))&gt;0)*(((職員マスタ!$H$6:$H$405="")+(職員マスタ!$H$6:$H$405&gt;=$AO348))&gt;0)*(ROW(職員マスタ!$A$6:$A$405)-5)))&gt;0,SUMPRODUCT(MAX((職員マスタ!$A$6:$A$405=$B348)*(((職員マスタ!$G$6:$G$405="")+(職員マスタ!$G$6:$G$405&lt;=EOMONTH($AO348,0)))&gt;0)*(((職員マスタ!$H$6:$H$405="")+(職員マスタ!$H$6:$H$405&gt;=$AO348))&gt;0)*(ROW(職員マスタ!$A$6:$A$405)-5))),IFERROR(MATCH($B348,職員マスタ!$A$6:$A$405,0),"")))</f>
        <v/>
      </c>
      <c r="AO348" s="16">
        <f>IF(OR($B348="",$C348="",$D348=""),"",DATE($C348+2018,$D348,1))</f>
        <v/>
      </c>
    </row>
    <row r="349">
      <c r="A349" s="11" t="n"/>
      <c r="B349" s="12" t="n">
        <v>6702872</v>
      </c>
      <c r="C349" s="12" t="n">
        <v>8</v>
      </c>
      <c r="D349" s="12" t="n">
        <v>5</v>
      </c>
      <c r="E349" s="13" t="n">
        <v>201310</v>
      </c>
      <c r="F349" s="12" t="n"/>
      <c r="G349" s="13" t="n"/>
      <c r="H349" s="12" t="n"/>
      <c r="I349" s="12" t="n"/>
      <c r="J349" s="12" t="n"/>
      <c r="K349" s="12" t="n"/>
      <c r="L349" s="11" t="n"/>
      <c r="M349" s="11" t="n"/>
      <c r="N349" s="11" t="n"/>
      <c r="O349" s="11" t="n"/>
      <c r="P349" s="12" t="n"/>
      <c r="Q349" s="11" t="n"/>
      <c r="R349" s="12" t="n"/>
      <c r="S349" s="11" t="n"/>
      <c r="T349" s="12" t="n"/>
      <c r="U349" s="12" t="n"/>
      <c r="V349" s="14">
        <f>IF($AN349="",IF($B349="","",$H349),IF(INDEX(職員マスタ!$B$6:$B$405,$AN349)="",$H349,INDEX(職員マスタ!$B$6:$B$405,$AN349)))</f>
        <v/>
      </c>
      <c r="W349" s="14">
        <f>IF($AN349="",IF($B349="","",$R349),IF(INDEX(職員マスタ!$C$6:$C$405,$AN349)="",$R349,INDEX(職員マスタ!$C$6:$C$405,$AN349)))</f>
        <v/>
      </c>
      <c r="X349" s="14">
        <f>IF($AO349="","","R"&amp;$C349&amp;"."&amp;$D349)</f>
        <v/>
      </c>
      <c r="Y349" s="15">
        <f>IF($AN349="","",IF(INDEX(職員マスタ!$K$6:$K$405,$AN349)="","",INDEX(職員マスタ!$K$6:$K$405,$AN349)))</f>
        <v/>
      </c>
      <c r="Z349" s="14">
        <f>IF(OR($E349="",$Y349=""),"",IF($E349&gt;=$Y349,"×",IF($E349&gt;=$Y349*設定!$C$5,"△","○")))</f>
        <v/>
      </c>
      <c r="AA349" s="15">
        <f>IF($Z349="","",IF($Z349="×",0,IF($Z349="○",ROUNDDOWN($E349*設定!$C$4,0),ROUNDDOWN($E349*ROUND((9*$Y349-9*$E349)/(10*$E349),4),0))))</f>
        <v/>
      </c>
      <c r="AB349" s="13" t="n"/>
      <c r="AC349" s="15">
        <f>IF($B349="","",IF($AB349&lt;&gt;"",$AB349,IF($AA349="","",IF($AA349&lt;=設定!$C$3,0,$AA349))))</f>
        <v/>
      </c>
      <c r="AD349" s="14">
        <f>IF($B349="","",IF(AND($AE349&lt;&gt;"",$AG349="",$AJ349=""),"保留中",IF($AJ349&lt;&gt;"",IF(N($AC349)&gt;0,"支給済","不支給"),IF($AC349="","要確認",IF($AC349=0,"不支給","未処理")))))</f>
        <v/>
      </c>
      <c r="AE349" s="12" t="n"/>
      <c r="AF349" s="11" t="n"/>
      <c r="AG349" s="11" t="n"/>
      <c r="AH349" s="11" t="n"/>
      <c r="AI349" s="14">
        <f>IF(AND($AD349="保留中",$AF349&lt;&gt;""),TODAY()-$AF349,"")</f>
        <v/>
      </c>
      <c r="AJ349" s="12" t="inlineStr">
        <is>
          <t>R8.10</t>
        </is>
      </c>
      <c r="AK349" s="14">
        <f>IF($B349="","",IF($AO349="","対象年月が未入力／","")&amp;IF($B349="","",IF($AN349="","職員マスタに未登録の職員番号／",IF($Y349="","標準報酬月額が未登録／","")&amp;IF(AND($AO349&lt;&gt;"",OR(AND(INDEX(職員マスタ!$G$6:$G$405,$AN349)&lt;&gt;"",INDEX(職員マスタ!$G$6:$G$405,$AN349)&gt;EOMONTH($AO349,0)),AND(INDEX(職員マスタ!$H$6:$H$405,$AN349)&lt;&gt;"",INDEX(職員マスタ!$H$6:$H$405,$AN349)&lt;$AO349))),"対象月が時短期間外／","")&amp;IF(AND(INDEX(職員マスタ!$F$6:$F$405,$AN349)&lt;&gt;"",$AO349&lt;&gt;"",INDEX(職員マスタ!$F$6:$F$405,$AN349)&lt;$AO349),"対象月に子が2歳到達済／","")&amp;IF(AND($H349&lt;&gt;"",INDEX(職員マスタ!$B$6:$B$405,$AN349)&lt;&gt;"",SUBSTITUTE(SUBSTITUTE($H349," ","")," ","")&lt;&gt;SUBSTITUTE(SUBSTITUTE(INDEX(職員マスタ!$B$6:$B$405,$AN349)," ","")," ","")),"氏名がマスタと相違／","")&amp;IF(AND($Q349&lt;&gt;"",INDEX(職員マスタ!$E$6:$E$405,$AN349)&lt;&gt;"",$Q349&lt;&gt;INDEX(職員マスタ!$E$6:$E$405,$AN349)),"子の生年月日がマスタと相違／","")&amp;IF(AND($L349&lt;&gt;"",INDEX(職員マスタ!$G$6:$G$405,$AN349)&lt;&gt;"",$L349&lt;&gt;INDEX(職員マスタ!$G$6:$G$405,$AN349)),"時短開始日がマスタと相違／","")&amp;IF(AND($M349&lt;&gt;"",INDEX(職員マスタ!$H$6:$H$405,$AN349)&lt;&gt;"",$M349&lt;&gt;INDEX(職員マスタ!$H$6:$H$405,$AN349)),"時短終了日がマスタと相違／","")))&amp;IF(AND($B349&lt;&gt;"",$E349=""),"報酬額が未入力／","")&amp;IF(N($U349)&gt;0,"申請書に入力エラーが残っています／","")&amp;IF(AND($B349&lt;&gt;"",$AO349&lt;&gt;""),IF(COUNTIFS($B$6:$B$3005,$B349,$C$6:$C$3005,$C349,$D$6:$D$3005,$D349)&gt;1,"同じ月の請求が重複しています／",""),"")&amp;IF(AND(N($E349)&gt;0,$Z349&lt;&gt;"",$Z349&lt;&gt;"×",$AC349=0,$AB349=""),"計算額が下限以下のため不支給／",""))</f>
        <v/>
      </c>
      <c r="AL349" s="12" t="n"/>
      <c r="AM349" s="14">
        <f>IF($AD349="保留中",COUNTIF($AD$6:$AD349,"保留中"),"")</f>
        <v/>
      </c>
      <c r="AN349" s="14">
        <f>IF($AO349="","",IF(SUMPRODUCT(MAX((職員マスタ!$A$6:$A$405=$B349)*(((職員マスタ!$G$6:$G$405="")+(職員マスタ!$G$6:$G$405&lt;=EOMONTH($AO349,0)))&gt;0)*(((職員マスタ!$H$6:$H$405="")+(職員マスタ!$H$6:$H$405&gt;=$AO349))&gt;0)*(ROW(職員マスタ!$A$6:$A$405)-5)))&gt;0,SUMPRODUCT(MAX((職員マスタ!$A$6:$A$405=$B349)*(((職員マスタ!$G$6:$G$405="")+(職員マスタ!$G$6:$G$405&lt;=EOMONTH($AO349,0)))&gt;0)*(((職員マスタ!$H$6:$H$405="")+(職員マスタ!$H$6:$H$405&gt;=$AO349))&gt;0)*(ROW(職員マスタ!$A$6:$A$405)-5))),IFERROR(MATCH($B349,職員マスタ!$A$6:$A$405,0),"")))</f>
        <v/>
      </c>
      <c r="AO349" s="16">
        <f>IF(OR($B349="",$C349="",$D349=""),"",DATE($C349+2018,$D349,1))</f>
        <v/>
      </c>
    </row>
    <row r="350">
      <c r="A350" s="11" t="n"/>
      <c r="B350" s="12" t="n">
        <v>6702906</v>
      </c>
      <c r="C350" s="12" t="n">
        <v>7</v>
      </c>
      <c r="D350" s="12" t="n">
        <v>7</v>
      </c>
      <c r="E350" s="13" t="n">
        <v>162630</v>
      </c>
      <c r="F350" s="12" t="n"/>
      <c r="G350" s="13" t="n"/>
      <c r="H350" s="12" t="n"/>
      <c r="I350" s="12" t="n"/>
      <c r="J350" s="12" t="n"/>
      <c r="K350" s="12" t="n"/>
      <c r="L350" s="11" t="n"/>
      <c r="M350" s="11" t="n"/>
      <c r="N350" s="11" t="n"/>
      <c r="O350" s="11" t="n"/>
      <c r="P350" s="12" t="n"/>
      <c r="Q350" s="11" t="n"/>
      <c r="R350" s="12" t="n"/>
      <c r="S350" s="11" t="n"/>
      <c r="T350" s="12" t="n"/>
      <c r="U350" s="12" t="n"/>
      <c r="V350" s="14">
        <f>IF($AN350="",IF($B350="","",$H350),IF(INDEX(職員マスタ!$B$6:$B$405,$AN350)="",$H350,INDEX(職員マスタ!$B$6:$B$405,$AN350)))</f>
        <v/>
      </c>
      <c r="W350" s="14">
        <f>IF($AN350="",IF($B350="","",$R350),IF(INDEX(職員マスタ!$C$6:$C$405,$AN350)="",$R350,INDEX(職員マスタ!$C$6:$C$405,$AN350)))</f>
        <v/>
      </c>
      <c r="X350" s="14">
        <f>IF($AO350="","","R"&amp;$C350&amp;"."&amp;$D350)</f>
        <v/>
      </c>
      <c r="Y350" s="15">
        <f>IF($AN350="","",IF(INDEX(職員マスタ!$K$6:$K$405,$AN350)="","",INDEX(職員マスタ!$K$6:$K$405,$AN350)))</f>
        <v/>
      </c>
      <c r="Z350" s="14">
        <f>IF(OR($E350="",$Y350=""),"",IF($E350&gt;=$Y350,"×",IF($E350&gt;=$Y350*設定!$C$5,"△","○")))</f>
        <v/>
      </c>
      <c r="AA350" s="15">
        <f>IF($Z350="","",IF($Z350="×",0,IF($Z350="○",ROUNDDOWN($E350*設定!$C$4,0),ROUNDDOWN($E350*ROUND((9*$Y350-9*$E350)/(10*$E350),4),0))))</f>
        <v/>
      </c>
      <c r="AB350" s="13" t="n"/>
      <c r="AC350" s="15">
        <f>IF($B350="","",IF($AB350&lt;&gt;"",$AB350,IF($AA350="","",IF($AA350&lt;=設定!$C$3,0,$AA350))))</f>
        <v/>
      </c>
      <c r="AD350" s="14">
        <f>IF($B350="","",IF(AND($AE350&lt;&gt;"",$AG350="",$AJ350=""),"保留中",IF($AJ350&lt;&gt;"",IF(N($AC350)&gt;0,"支給済","不支給"),IF($AC350="","要確認",IF($AC350=0,"不支給","未処理")))))</f>
        <v/>
      </c>
      <c r="AE350" s="12" t="n"/>
      <c r="AF350" s="11" t="n"/>
      <c r="AG350" s="11" t="n"/>
      <c r="AH350" s="11" t="n"/>
      <c r="AI350" s="14">
        <f>IF(AND($AD350="保留中",$AF350&lt;&gt;""),TODAY()-$AF350,"")</f>
        <v/>
      </c>
      <c r="AJ350" s="12" t="inlineStr">
        <is>
          <t>R7.11</t>
        </is>
      </c>
      <c r="AK350" s="14">
        <f>IF($B350="","",IF($AO350="","対象年月が未入力／","")&amp;IF($B350="","",IF($AN350="","職員マスタに未登録の職員番号／",IF($Y350="","標準報酬月額が未登録／","")&amp;IF(AND($AO350&lt;&gt;"",OR(AND(INDEX(職員マスタ!$G$6:$G$405,$AN350)&lt;&gt;"",INDEX(職員マスタ!$G$6:$G$405,$AN350)&gt;EOMONTH($AO350,0)),AND(INDEX(職員マスタ!$H$6:$H$405,$AN350)&lt;&gt;"",INDEX(職員マスタ!$H$6:$H$405,$AN350)&lt;$AO350))),"対象月が時短期間外／","")&amp;IF(AND(INDEX(職員マスタ!$F$6:$F$405,$AN350)&lt;&gt;"",$AO350&lt;&gt;"",INDEX(職員マスタ!$F$6:$F$405,$AN350)&lt;$AO350),"対象月に子が2歳到達済／","")&amp;IF(AND($H350&lt;&gt;"",INDEX(職員マスタ!$B$6:$B$405,$AN350)&lt;&gt;"",SUBSTITUTE(SUBSTITUTE($H350," ","")," ","")&lt;&gt;SUBSTITUTE(SUBSTITUTE(INDEX(職員マスタ!$B$6:$B$405,$AN350)," ","")," ","")),"氏名がマスタと相違／","")&amp;IF(AND($Q350&lt;&gt;"",INDEX(職員マスタ!$E$6:$E$405,$AN350)&lt;&gt;"",$Q350&lt;&gt;INDEX(職員マスタ!$E$6:$E$405,$AN350)),"子の生年月日がマスタと相違／","")&amp;IF(AND($L350&lt;&gt;"",INDEX(職員マスタ!$G$6:$G$405,$AN350)&lt;&gt;"",$L350&lt;&gt;INDEX(職員マスタ!$G$6:$G$405,$AN350)),"時短開始日がマスタと相違／","")&amp;IF(AND($M350&lt;&gt;"",INDEX(職員マスタ!$H$6:$H$405,$AN350)&lt;&gt;"",$M350&lt;&gt;INDEX(職員マスタ!$H$6:$H$405,$AN350)),"時短終了日がマスタと相違／","")))&amp;IF(AND($B350&lt;&gt;"",$E350=""),"報酬額が未入力／","")&amp;IF(N($U350)&gt;0,"申請書に入力エラーが残っています／","")&amp;IF(AND($B350&lt;&gt;"",$AO350&lt;&gt;""),IF(COUNTIFS($B$6:$B$3005,$B350,$C$6:$C$3005,$C350,$D$6:$D$3005,$D350)&gt;1,"同じ月の請求が重複しています／",""),"")&amp;IF(AND(N($E350)&gt;0,$Z350&lt;&gt;"",$Z350&lt;&gt;"×",$AC350=0,$AB350=""),"計算額が下限以下のため不支給／",""))</f>
        <v/>
      </c>
      <c r="AL350" s="12" t="n"/>
      <c r="AM350" s="14">
        <f>IF($AD350="保留中",COUNTIF($AD$6:$AD350,"保留中"),"")</f>
        <v/>
      </c>
      <c r="AN350" s="14">
        <f>IF($AO350="","",IF(SUMPRODUCT(MAX((職員マスタ!$A$6:$A$405=$B350)*(((職員マスタ!$G$6:$G$405="")+(職員マスタ!$G$6:$G$405&lt;=EOMONTH($AO350,0)))&gt;0)*(((職員マスタ!$H$6:$H$405="")+(職員マスタ!$H$6:$H$405&gt;=$AO350))&gt;0)*(ROW(職員マスタ!$A$6:$A$405)-5)))&gt;0,SUMPRODUCT(MAX((職員マスタ!$A$6:$A$405=$B350)*(((職員マスタ!$G$6:$G$405="")+(職員マスタ!$G$6:$G$405&lt;=EOMONTH($AO350,0)))&gt;0)*(((職員マスタ!$H$6:$H$405="")+(職員マスタ!$H$6:$H$405&gt;=$AO350))&gt;0)*(ROW(職員マスタ!$A$6:$A$405)-5))),IFERROR(MATCH($B350,職員マスタ!$A$6:$A$405,0),"")))</f>
        <v/>
      </c>
      <c r="AO350" s="16">
        <f>IF(OR($B350="",$C350="",$D350=""),"",DATE($C350+2018,$D350,1))</f>
        <v/>
      </c>
    </row>
    <row r="351">
      <c r="A351" s="11" t="n"/>
      <c r="B351" s="12" t="n">
        <v>6702906</v>
      </c>
      <c r="C351" s="12" t="n">
        <v>7</v>
      </c>
      <c r="D351" s="12" t="n">
        <v>8</v>
      </c>
      <c r="E351" s="13" t="n">
        <v>141545</v>
      </c>
      <c r="F351" s="12" t="n"/>
      <c r="G351" s="13" t="n"/>
      <c r="H351" s="12" t="n"/>
      <c r="I351" s="12" t="n"/>
      <c r="J351" s="12" t="n"/>
      <c r="K351" s="12" t="n"/>
      <c r="L351" s="11" t="n"/>
      <c r="M351" s="11" t="n"/>
      <c r="N351" s="11" t="n"/>
      <c r="O351" s="11" t="n"/>
      <c r="P351" s="12" t="n"/>
      <c r="Q351" s="11" t="n"/>
      <c r="R351" s="12" t="n"/>
      <c r="S351" s="11" t="n"/>
      <c r="T351" s="12" t="n"/>
      <c r="U351" s="12" t="n"/>
      <c r="V351" s="14">
        <f>IF($AN351="",IF($B351="","",$H351),IF(INDEX(職員マスタ!$B$6:$B$405,$AN351)="",$H351,INDEX(職員マスタ!$B$6:$B$405,$AN351)))</f>
        <v/>
      </c>
      <c r="W351" s="14">
        <f>IF($AN351="",IF($B351="","",$R351),IF(INDEX(職員マスタ!$C$6:$C$405,$AN351)="",$R351,INDEX(職員マスタ!$C$6:$C$405,$AN351)))</f>
        <v/>
      </c>
      <c r="X351" s="14">
        <f>IF($AO351="","","R"&amp;$C351&amp;"."&amp;$D351)</f>
        <v/>
      </c>
      <c r="Y351" s="15">
        <f>IF($AN351="","",IF(INDEX(職員マスタ!$K$6:$K$405,$AN351)="","",INDEX(職員マスタ!$K$6:$K$405,$AN351)))</f>
        <v/>
      </c>
      <c r="Z351" s="14">
        <f>IF(OR($E351="",$Y351=""),"",IF($E351&gt;=$Y351,"×",IF($E351&gt;=$Y351*設定!$C$5,"△","○")))</f>
        <v/>
      </c>
      <c r="AA351" s="15">
        <f>IF($Z351="","",IF($Z351="×",0,IF($Z351="○",ROUNDDOWN($E351*設定!$C$4,0),ROUNDDOWN($E351*ROUND((9*$Y351-9*$E351)/(10*$E351),4),0))))</f>
        <v/>
      </c>
      <c r="AB351" s="13" t="n"/>
      <c r="AC351" s="15">
        <f>IF($B351="","",IF($AB351&lt;&gt;"",$AB351,IF($AA351="","",IF($AA351&lt;=設定!$C$3,0,$AA351))))</f>
        <v/>
      </c>
      <c r="AD351" s="14">
        <f>IF($B351="","",IF(AND($AE351&lt;&gt;"",$AG351="",$AJ351=""),"保留中",IF($AJ351&lt;&gt;"",IF(N($AC351)&gt;0,"支給済","不支給"),IF($AC351="","要確認",IF($AC351=0,"不支給","未処理")))))</f>
        <v/>
      </c>
      <c r="AE351" s="12" t="n"/>
      <c r="AF351" s="11" t="n"/>
      <c r="AG351" s="11" t="n"/>
      <c r="AH351" s="11" t="n"/>
      <c r="AI351" s="14">
        <f>IF(AND($AD351="保留中",$AF351&lt;&gt;""),TODAY()-$AF351,"")</f>
        <v/>
      </c>
      <c r="AJ351" s="12" t="inlineStr">
        <is>
          <t>R7.11</t>
        </is>
      </c>
      <c r="AK351" s="14">
        <f>IF($B351="","",IF($AO351="","対象年月が未入力／","")&amp;IF($B351="","",IF($AN351="","職員マスタに未登録の職員番号／",IF($Y351="","標準報酬月額が未登録／","")&amp;IF(AND($AO351&lt;&gt;"",OR(AND(INDEX(職員マスタ!$G$6:$G$405,$AN351)&lt;&gt;"",INDEX(職員マスタ!$G$6:$G$405,$AN351)&gt;EOMONTH($AO351,0)),AND(INDEX(職員マスタ!$H$6:$H$405,$AN351)&lt;&gt;"",INDEX(職員マスタ!$H$6:$H$405,$AN351)&lt;$AO351))),"対象月が時短期間外／","")&amp;IF(AND(INDEX(職員マスタ!$F$6:$F$405,$AN351)&lt;&gt;"",$AO351&lt;&gt;"",INDEX(職員マスタ!$F$6:$F$405,$AN351)&lt;$AO351),"対象月に子が2歳到達済／","")&amp;IF(AND($H351&lt;&gt;"",INDEX(職員マスタ!$B$6:$B$405,$AN351)&lt;&gt;"",SUBSTITUTE(SUBSTITUTE($H351," ","")," ","")&lt;&gt;SUBSTITUTE(SUBSTITUTE(INDEX(職員マスタ!$B$6:$B$405,$AN351)," ","")," ","")),"氏名がマスタと相違／","")&amp;IF(AND($Q351&lt;&gt;"",INDEX(職員マスタ!$E$6:$E$405,$AN351)&lt;&gt;"",$Q351&lt;&gt;INDEX(職員マスタ!$E$6:$E$405,$AN351)),"子の生年月日がマスタと相違／","")&amp;IF(AND($L351&lt;&gt;"",INDEX(職員マスタ!$G$6:$G$405,$AN351)&lt;&gt;"",$L351&lt;&gt;INDEX(職員マスタ!$G$6:$G$405,$AN351)),"時短開始日がマスタと相違／","")&amp;IF(AND($M351&lt;&gt;"",INDEX(職員マスタ!$H$6:$H$405,$AN351)&lt;&gt;"",$M351&lt;&gt;INDEX(職員マスタ!$H$6:$H$405,$AN351)),"時短終了日がマスタと相違／","")))&amp;IF(AND($B351&lt;&gt;"",$E351=""),"報酬額が未入力／","")&amp;IF(N($U351)&gt;0,"申請書に入力エラーが残っています／","")&amp;IF(AND($B351&lt;&gt;"",$AO351&lt;&gt;""),IF(COUNTIFS($B$6:$B$3005,$B351,$C$6:$C$3005,$C351,$D$6:$D$3005,$D351)&gt;1,"同じ月の請求が重複しています／",""),"")&amp;IF(AND(N($E351)&gt;0,$Z351&lt;&gt;"",$Z351&lt;&gt;"×",$AC351=0,$AB351=""),"計算額が下限以下のため不支給／",""))</f>
        <v/>
      </c>
      <c r="AL351" s="12" t="n"/>
      <c r="AM351" s="14">
        <f>IF($AD351="保留中",COUNTIF($AD$6:$AD351,"保留中"),"")</f>
        <v/>
      </c>
      <c r="AN351" s="14">
        <f>IF($AO351="","",IF(SUMPRODUCT(MAX((職員マスタ!$A$6:$A$405=$B351)*(((職員マスタ!$G$6:$G$405="")+(職員マスタ!$G$6:$G$405&lt;=EOMONTH($AO351,0)))&gt;0)*(((職員マスタ!$H$6:$H$405="")+(職員マスタ!$H$6:$H$405&gt;=$AO351))&gt;0)*(ROW(職員マスタ!$A$6:$A$405)-5)))&gt;0,SUMPRODUCT(MAX((職員マスタ!$A$6:$A$405=$B351)*(((職員マスタ!$G$6:$G$405="")+(職員マスタ!$G$6:$G$405&lt;=EOMONTH($AO351,0)))&gt;0)*(((職員マスタ!$H$6:$H$405="")+(職員マスタ!$H$6:$H$405&gt;=$AO351))&gt;0)*(ROW(職員マスタ!$A$6:$A$405)-5))),IFERROR(MATCH($B351,職員マスタ!$A$6:$A$405,0),"")))</f>
        <v/>
      </c>
      <c r="AO351" s="16">
        <f>IF(OR($B351="",$C351="",$D351=""),"",DATE($C351+2018,$D351,1))</f>
        <v/>
      </c>
    </row>
    <row r="352">
      <c r="A352" s="11" t="n"/>
      <c r="B352" s="12" t="n">
        <v>6702906</v>
      </c>
      <c r="C352" s="12" t="n">
        <v>7</v>
      </c>
      <c r="D352" s="12" t="n">
        <v>9</v>
      </c>
      <c r="E352" s="13" t="n">
        <v>88811</v>
      </c>
      <c r="F352" s="12" t="n"/>
      <c r="G352" s="13" t="n"/>
      <c r="H352" s="12" t="n"/>
      <c r="I352" s="12" t="n"/>
      <c r="J352" s="12" t="n"/>
      <c r="K352" s="12" t="n"/>
      <c r="L352" s="11" t="n"/>
      <c r="M352" s="11" t="n"/>
      <c r="N352" s="11" t="n"/>
      <c r="O352" s="11" t="n"/>
      <c r="P352" s="12" t="n"/>
      <c r="Q352" s="11" t="n"/>
      <c r="R352" s="12" t="n"/>
      <c r="S352" s="11" t="n"/>
      <c r="T352" s="12" t="n"/>
      <c r="U352" s="12" t="n"/>
      <c r="V352" s="14">
        <f>IF($AN352="",IF($B352="","",$H352),IF(INDEX(職員マスタ!$B$6:$B$405,$AN352)="",$H352,INDEX(職員マスタ!$B$6:$B$405,$AN352)))</f>
        <v/>
      </c>
      <c r="W352" s="14">
        <f>IF($AN352="",IF($B352="","",$R352),IF(INDEX(職員マスタ!$C$6:$C$405,$AN352)="",$R352,INDEX(職員マスタ!$C$6:$C$405,$AN352)))</f>
        <v/>
      </c>
      <c r="X352" s="14">
        <f>IF($AO352="","","R"&amp;$C352&amp;"."&amp;$D352)</f>
        <v/>
      </c>
      <c r="Y352" s="15">
        <f>IF($AN352="","",IF(INDEX(職員マスタ!$K$6:$K$405,$AN352)="","",INDEX(職員マスタ!$K$6:$K$405,$AN352)))</f>
        <v/>
      </c>
      <c r="Z352" s="14">
        <f>IF(OR($E352="",$Y352=""),"",IF($E352&gt;=$Y352,"×",IF($E352&gt;=$Y352*設定!$C$5,"△","○")))</f>
        <v/>
      </c>
      <c r="AA352" s="15">
        <f>IF($Z352="","",IF($Z352="×",0,IF($Z352="○",ROUNDDOWN($E352*設定!$C$4,0),ROUNDDOWN($E352*ROUND((9*$Y352-9*$E352)/(10*$E352),4),0))))</f>
        <v/>
      </c>
      <c r="AB352" s="13" t="n"/>
      <c r="AC352" s="15">
        <f>IF($B352="","",IF($AB352&lt;&gt;"",$AB352,IF($AA352="","",IF($AA352&lt;=設定!$C$3,0,$AA352))))</f>
        <v/>
      </c>
      <c r="AD352" s="14">
        <f>IF($B352="","",IF(AND($AE352&lt;&gt;"",$AG352="",$AJ352=""),"保留中",IF($AJ352&lt;&gt;"",IF(N($AC352)&gt;0,"支給済","不支給"),IF($AC352="","要確認",IF($AC352=0,"不支給","未処理")))))</f>
        <v/>
      </c>
      <c r="AE352" s="12" t="n"/>
      <c r="AF352" s="11" t="n"/>
      <c r="AG352" s="11" t="n"/>
      <c r="AH352" s="11" t="n"/>
      <c r="AI352" s="14">
        <f>IF(AND($AD352="保留中",$AF352&lt;&gt;""),TODAY()-$AF352,"")</f>
        <v/>
      </c>
      <c r="AJ352" s="12" t="inlineStr">
        <is>
          <t>R7.11</t>
        </is>
      </c>
      <c r="AK352" s="14">
        <f>IF($B352="","",IF($AO352="","対象年月が未入力／","")&amp;IF($B352="","",IF($AN352="","職員マスタに未登録の職員番号／",IF($Y352="","標準報酬月額が未登録／","")&amp;IF(AND($AO352&lt;&gt;"",OR(AND(INDEX(職員マスタ!$G$6:$G$405,$AN352)&lt;&gt;"",INDEX(職員マスタ!$G$6:$G$405,$AN352)&gt;EOMONTH($AO352,0)),AND(INDEX(職員マスタ!$H$6:$H$405,$AN352)&lt;&gt;"",INDEX(職員マスタ!$H$6:$H$405,$AN352)&lt;$AO352))),"対象月が時短期間外／","")&amp;IF(AND(INDEX(職員マスタ!$F$6:$F$405,$AN352)&lt;&gt;"",$AO352&lt;&gt;"",INDEX(職員マスタ!$F$6:$F$405,$AN352)&lt;$AO352),"対象月に子が2歳到達済／","")&amp;IF(AND($H352&lt;&gt;"",INDEX(職員マスタ!$B$6:$B$405,$AN352)&lt;&gt;"",SUBSTITUTE(SUBSTITUTE($H352," ","")," ","")&lt;&gt;SUBSTITUTE(SUBSTITUTE(INDEX(職員マスタ!$B$6:$B$405,$AN352)," ","")," ","")),"氏名がマスタと相違／","")&amp;IF(AND($Q352&lt;&gt;"",INDEX(職員マスタ!$E$6:$E$405,$AN352)&lt;&gt;"",$Q352&lt;&gt;INDEX(職員マスタ!$E$6:$E$405,$AN352)),"子の生年月日がマスタと相違／","")&amp;IF(AND($L352&lt;&gt;"",INDEX(職員マスタ!$G$6:$G$405,$AN352)&lt;&gt;"",$L352&lt;&gt;INDEX(職員マスタ!$G$6:$G$405,$AN352)),"時短開始日がマスタと相違／","")&amp;IF(AND($M352&lt;&gt;"",INDEX(職員マスタ!$H$6:$H$405,$AN352)&lt;&gt;"",$M352&lt;&gt;INDEX(職員マスタ!$H$6:$H$405,$AN352)),"時短終了日がマスタと相違／","")))&amp;IF(AND($B352&lt;&gt;"",$E352=""),"報酬額が未入力／","")&amp;IF(N($U352)&gt;0,"申請書に入力エラーが残っています／","")&amp;IF(AND($B352&lt;&gt;"",$AO352&lt;&gt;""),IF(COUNTIFS($B$6:$B$3005,$B352,$C$6:$C$3005,$C352,$D$6:$D$3005,$D352)&gt;1,"同じ月の請求が重複しています／",""),"")&amp;IF(AND(N($E352)&gt;0,$Z352&lt;&gt;"",$Z352&lt;&gt;"×",$AC352=0,$AB352=""),"計算額が下限以下のため不支給／",""))</f>
        <v/>
      </c>
      <c r="AL352" s="12" t="n"/>
      <c r="AM352" s="14">
        <f>IF($AD352="保留中",COUNTIF($AD$6:$AD352,"保留中"),"")</f>
        <v/>
      </c>
      <c r="AN352" s="14">
        <f>IF($AO352="","",IF(SUMPRODUCT(MAX((職員マスタ!$A$6:$A$405=$B352)*(((職員マスタ!$G$6:$G$405="")+(職員マスタ!$G$6:$G$405&lt;=EOMONTH($AO352,0)))&gt;0)*(((職員マスタ!$H$6:$H$405="")+(職員マスタ!$H$6:$H$405&gt;=$AO352))&gt;0)*(ROW(職員マスタ!$A$6:$A$405)-5)))&gt;0,SUMPRODUCT(MAX((職員マスタ!$A$6:$A$405=$B352)*(((職員マスタ!$G$6:$G$405="")+(職員マスタ!$G$6:$G$405&lt;=EOMONTH($AO352,0)))&gt;0)*(((職員マスタ!$H$6:$H$405="")+(職員マスタ!$H$6:$H$405&gt;=$AO352))&gt;0)*(ROW(職員マスタ!$A$6:$A$405)-5))),IFERROR(MATCH($B352,職員マスタ!$A$6:$A$405,0),"")))</f>
        <v/>
      </c>
      <c r="AO352" s="16">
        <f>IF(OR($B352="",$C352="",$D352=""),"",DATE($C352+2018,$D352,1))</f>
        <v/>
      </c>
    </row>
    <row r="353">
      <c r="A353" s="11" t="n"/>
      <c r="B353" s="12" t="n">
        <v>6704258</v>
      </c>
      <c r="C353" s="12" t="n">
        <v>7</v>
      </c>
      <c r="D353" s="12" t="n">
        <v>9</v>
      </c>
      <c r="E353" s="13" t="n">
        <v>304319</v>
      </c>
      <c r="F353" s="12" t="n"/>
      <c r="G353" s="13" t="n"/>
      <c r="H353" s="12" t="n"/>
      <c r="I353" s="12" t="n"/>
      <c r="J353" s="12" t="n"/>
      <c r="K353" s="12" t="n"/>
      <c r="L353" s="11" t="n"/>
      <c r="M353" s="11" t="n"/>
      <c r="N353" s="11" t="n"/>
      <c r="O353" s="11" t="n"/>
      <c r="P353" s="12" t="n"/>
      <c r="Q353" s="11" t="n"/>
      <c r="R353" s="12" t="n"/>
      <c r="S353" s="11" t="n"/>
      <c r="T353" s="12" t="n"/>
      <c r="U353" s="12" t="n"/>
      <c r="V353" s="14">
        <f>IF($AN353="",IF($B353="","",$H353),IF(INDEX(職員マスタ!$B$6:$B$405,$AN353)="",$H353,INDEX(職員マスタ!$B$6:$B$405,$AN353)))</f>
        <v/>
      </c>
      <c r="W353" s="14">
        <f>IF($AN353="",IF($B353="","",$R353),IF(INDEX(職員マスタ!$C$6:$C$405,$AN353)="",$R353,INDEX(職員マスタ!$C$6:$C$405,$AN353)))</f>
        <v/>
      </c>
      <c r="X353" s="14">
        <f>IF($AO353="","","R"&amp;$C353&amp;"."&amp;$D353)</f>
        <v/>
      </c>
      <c r="Y353" s="15">
        <f>IF($AN353="","",IF(INDEX(職員マスタ!$K$6:$K$405,$AN353)="","",INDEX(職員マスタ!$K$6:$K$405,$AN353)))</f>
        <v/>
      </c>
      <c r="Z353" s="14">
        <f>IF(OR($E353="",$Y353=""),"",IF($E353&gt;=$Y353,"×",IF($E353&gt;=$Y353*設定!$C$5,"△","○")))</f>
        <v/>
      </c>
      <c r="AA353" s="15">
        <f>IF($Z353="","",IF($Z353="×",0,IF($Z353="○",ROUNDDOWN($E353*設定!$C$4,0),ROUNDDOWN($E353*ROUND((9*$Y353-9*$E353)/(10*$E353),4),0))))</f>
        <v/>
      </c>
      <c r="AB353" s="13" t="n"/>
      <c r="AC353" s="15">
        <f>IF($B353="","",IF($AB353&lt;&gt;"",$AB353,IF($AA353="","",IF($AA353&lt;=設定!$C$3,0,$AA353))))</f>
        <v/>
      </c>
      <c r="AD353" s="14">
        <f>IF($B353="","",IF(AND($AE353&lt;&gt;"",$AG353="",$AJ353=""),"保留中",IF($AJ353&lt;&gt;"",IF(N($AC353)&gt;0,"支給済","不支給"),IF($AC353="","要確認",IF($AC353=0,"不支給","未処理")))))</f>
        <v/>
      </c>
      <c r="AE353" s="12" t="n"/>
      <c r="AF353" s="11" t="n"/>
      <c r="AG353" s="11" t="n"/>
      <c r="AH353" s="11" t="n"/>
      <c r="AI353" s="14">
        <f>IF(AND($AD353="保留中",$AF353&lt;&gt;""),TODAY()-$AF353,"")</f>
        <v/>
      </c>
      <c r="AJ353" s="12" t="inlineStr">
        <is>
          <t>R7.11</t>
        </is>
      </c>
      <c r="AK353" s="14">
        <f>IF($B353="","",IF($AO353="","対象年月が未入力／","")&amp;IF($B353="","",IF($AN353="","職員マスタに未登録の職員番号／",IF($Y353="","標準報酬月額が未登録／","")&amp;IF(AND($AO353&lt;&gt;"",OR(AND(INDEX(職員マスタ!$G$6:$G$405,$AN353)&lt;&gt;"",INDEX(職員マスタ!$G$6:$G$405,$AN353)&gt;EOMONTH($AO353,0)),AND(INDEX(職員マスタ!$H$6:$H$405,$AN353)&lt;&gt;"",INDEX(職員マスタ!$H$6:$H$405,$AN353)&lt;$AO353))),"対象月が時短期間外／","")&amp;IF(AND(INDEX(職員マスタ!$F$6:$F$405,$AN353)&lt;&gt;"",$AO353&lt;&gt;"",INDEX(職員マスタ!$F$6:$F$405,$AN353)&lt;$AO353),"対象月に子が2歳到達済／","")&amp;IF(AND($H353&lt;&gt;"",INDEX(職員マスタ!$B$6:$B$405,$AN353)&lt;&gt;"",SUBSTITUTE(SUBSTITUTE($H353," ","")," ","")&lt;&gt;SUBSTITUTE(SUBSTITUTE(INDEX(職員マスタ!$B$6:$B$405,$AN353)," ","")," ","")),"氏名がマスタと相違／","")&amp;IF(AND($Q353&lt;&gt;"",INDEX(職員マスタ!$E$6:$E$405,$AN353)&lt;&gt;"",$Q353&lt;&gt;INDEX(職員マスタ!$E$6:$E$405,$AN353)),"子の生年月日がマスタと相違／","")&amp;IF(AND($L353&lt;&gt;"",INDEX(職員マスタ!$G$6:$G$405,$AN353)&lt;&gt;"",$L353&lt;&gt;INDEX(職員マスタ!$G$6:$G$405,$AN353)),"時短開始日がマスタと相違／","")&amp;IF(AND($M353&lt;&gt;"",INDEX(職員マスタ!$H$6:$H$405,$AN353)&lt;&gt;"",$M353&lt;&gt;INDEX(職員マスタ!$H$6:$H$405,$AN353)),"時短終了日がマスタと相違／","")))&amp;IF(AND($B353&lt;&gt;"",$E353=""),"報酬額が未入力／","")&amp;IF(N($U353)&gt;0,"申請書に入力エラーが残っています／","")&amp;IF(AND($B353&lt;&gt;"",$AO353&lt;&gt;""),IF(COUNTIFS($B$6:$B$3005,$B353,$C$6:$C$3005,$C353,$D$6:$D$3005,$D353)&gt;1,"同じ月の請求が重複しています／",""),"")&amp;IF(AND(N($E353)&gt;0,$Z353&lt;&gt;"",$Z353&lt;&gt;"×",$AC353=0,$AB353=""),"計算額が下限以下のため不支給／",""))</f>
        <v/>
      </c>
      <c r="AL353" s="12" t="n"/>
      <c r="AM353" s="14">
        <f>IF($AD353="保留中",COUNTIF($AD$6:$AD353,"保留中"),"")</f>
        <v/>
      </c>
      <c r="AN353" s="14">
        <f>IF($AO353="","",IF(SUMPRODUCT(MAX((職員マスタ!$A$6:$A$405=$B353)*(((職員マスタ!$G$6:$G$405="")+(職員マスタ!$G$6:$G$405&lt;=EOMONTH($AO353,0)))&gt;0)*(((職員マスタ!$H$6:$H$405="")+(職員マスタ!$H$6:$H$405&gt;=$AO353))&gt;0)*(ROW(職員マスタ!$A$6:$A$405)-5)))&gt;0,SUMPRODUCT(MAX((職員マスタ!$A$6:$A$405=$B353)*(((職員マスタ!$G$6:$G$405="")+(職員マスタ!$G$6:$G$405&lt;=EOMONTH($AO353,0)))&gt;0)*(((職員マスタ!$H$6:$H$405="")+(職員マスタ!$H$6:$H$405&gt;=$AO353))&gt;0)*(ROW(職員マスタ!$A$6:$A$405)-5))),IFERROR(MATCH($B353,職員マスタ!$A$6:$A$405,0),"")))</f>
        <v/>
      </c>
      <c r="AO353" s="16">
        <f>IF(OR($B353="",$C353="",$D353=""),"",DATE($C353+2018,$D353,1))</f>
        <v/>
      </c>
    </row>
    <row r="354">
      <c r="A354" s="11" t="n"/>
      <c r="B354" s="12" t="n">
        <v>6704258</v>
      </c>
      <c r="C354" s="12" t="n">
        <v>7</v>
      </c>
      <c r="D354" s="12" t="n">
        <v>10</v>
      </c>
      <c r="E354" s="13" t="n">
        <v>261468</v>
      </c>
      <c r="F354" s="12" t="n"/>
      <c r="G354" s="13" t="n"/>
      <c r="H354" s="12" t="n"/>
      <c r="I354" s="12" t="n"/>
      <c r="J354" s="12" t="n"/>
      <c r="K354" s="12" t="n"/>
      <c r="L354" s="11" t="n"/>
      <c r="M354" s="11" t="n"/>
      <c r="N354" s="11" t="n"/>
      <c r="O354" s="11" t="n"/>
      <c r="P354" s="12" t="n"/>
      <c r="Q354" s="11" t="n"/>
      <c r="R354" s="12" t="n"/>
      <c r="S354" s="11" t="n"/>
      <c r="T354" s="12" t="n"/>
      <c r="U354" s="12" t="n"/>
      <c r="V354" s="14">
        <f>IF($AN354="",IF($B354="","",$H354),IF(INDEX(職員マスタ!$B$6:$B$405,$AN354)="",$H354,INDEX(職員マスタ!$B$6:$B$405,$AN354)))</f>
        <v/>
      </c>
      <c r="W354" s="14">
        <f>IF($AN354="",IF($B354="","",$R354),IF(INDEX(職員マスタ!$C$6:$C$405,$AN354)="",$R354,INDEX(職員マスタ!$C$6:$C$405,$AN354)))</f>
        <v/>
      </c>
      <c r="X354" s="14">
        <f>IF($AO354="","","R"&amp;$C354&amp;"."&amp;$D354)</f>
        <v/>
      </c>
      <c r="Y354" s="15">
        <f>IF($AN354="","",IF(INDEX(職員マスタ!$K$6:$K$405,$AN354)="","",INDEX(職員マスタ!$K$6:$K$405,$AN354)))</f>
        <v/>
      </c>
      <c r="Z354" s="14">
        <f>IF(OR($E354="",$Y354=""),"",IF($E354&gt;=$Y354,"×",IF($E354&gt;=$Y354*設定!$C$5,"△","○")))</f>
        <v/>
      </c>
      <c r="AA354" s="15">
        <f>IF($Z354="","",IF($Z354="×",0,IF($Z354="○",ROUNDDOWN($E354*設定!$C$4,0),ROUNDDOWN($E354*ROUND((9*$Y354-9*$E354)/(10*$E354),4),0))))</f>
        <v/>
      </c>
      <c r="AB354" s="13" t="n"/>
      <c r="AC354" s="15">
        <f>IF($B354="","",IF($AB354&lt;&gt;"",$AB354,IF($AA354="","",IF($AA354&lt;=設定!$C$3,0,$AA354))))</f>
        <v/>
      </c>
      <c r="AD354" s="14">
        <f>IF($B354="","",IF(AND($AE354&lt;&gt;"",$AG354="",$AJ354=""),"保留中",IF($AJ354&lt;&gt;"",IF(N($AC354)&gt;0,"支給済","不支給"),IF($AC354="","要確認",IF($AC354=0,"不支給","未処理")))))</f>
        <v/>
      </c>
      <c r="AE354" s="12" t="n"/>
      <c r="AF354" s="11" t="n"/>
      <c r="AG354" s="11" t="n"/>
      <c r="AH354" s="11" t="n"/>
      <c r="AI354" s="14">
        <f>IF(AND($AD354="保留中",$AF354&lt;&gt;""),TODAY()-$AF354,"")</f>
        <v/>
      </c>
      <c r="AJ354" s="12" t="inlineStr">
        <is>
          <t>R7.12</t>
        </is>
      </c>
      <c r="AK354" s="14">
        <f>IF($B354="","",IF($AO354="","対象年月が未入力／","")&amp;IF($B354="","",IF($AN354="","職員マスタに未登録の職員番号／",IF($Y354="","標準報酬月額が未登録／","")&amp;IF(AND($AO354&lt;&gt;"",OR(AND(INDEX(職員マスタ!$G$6:$G$405,$AN354)&lt;&gt;"",INDEX(職員マスタ!$G$6:$G$405,$AN354)&gt;EOMONTH($AO354,0)),AND(INDEX(職員マスタ!$H$6:$H$405,$AN354)&lt;&gt;"",INDEX(職員マスタ!$H$6:$H$405,$AN354)&lt;$AO354))),"対象月が時短期間外／","")&amp;IF(AND(INDEX(職員マスタ!$F$6:$F$405,$AN354)&lt;&gt;"",$AO354&lt;&gt;"",INDEX(職員マスタ!$F$6:$F$405,$AN354)&lt;$AO354),"対象月に子が2歳到達済／","")&amp;IF(AND($H354&lt;&gt;"",INDEX(職員マスタ!$B$6:$B$405,$AN354)&lt;&gt;"",SUBSTITUTE(SUBSTITUTE($H354," ","")," ","")&lt;&gt;SUBSTITUTE(SUBSTITUTE(INDEX(職員マスタ!$B$6:$B$405,$AN354)," ","")," ","")),"氏名がマスタと相違／","")&amp;IF(AND($Q354&lt;&gt;"",INDEX(職員マスタ!$E$6:$E$405,$AN354)&lt;&gt;"",$Q354&lt;&gt;INDEX(職員マスタ!$E$6:$E$405,$AN354)),"子の生年月日がマスタと相違／","")&amp;IF(AND($L354&lt;&gt;"",INDEX(職員マスタ!$G$6:$G$405,$AN354)&lt;&gt;"",$L354&lt;&gt;INDEX(職員マスタ!$G$6:$G$405,$AN354)),"時短開始日がマスタと相違／","")&amp;IF(AND($M354&lt;&gt;"",INDEX(職員マスタ!$H$6:$H$405,$AN354)&lt;&gt;"",$M354&lt;&gt;INDEX(職員マスタ!$H$6:$H$405,$AN354)),"時短終了日がマスタと相違／","")))&amp;IF(AND($B354&lt;&gt;"",$E354=""),"報酬額が未入力／","")&amp;IF(N($U354)&gt;0,"申請書に入力エラーが残っています／","")&amp;IF(AND($B354&lt;&gt;"",$AO354&lt;&gt;""),IF(COUNTIFS($B$6:$B$3005,$B354,$C$6:$C$3005,$C354,$D$6:$D$3005,$D354)&gt;1,"同じ月の請求が重複しています／",""),"")&amp;IF(AND(N($E354)&gt;0,$Z354&lt;&gt;"",$Z354&lt;&gt;"×",$AC354=0,$AB354=""),"計算額が下限以下のため不支給／",""))</f>
        <v/>
      </c>
      <c r="AL354" s="12" t="n"/>
      <c r="AM354" s="14">
        <f>IF($AD354="保留中",COUNTIF($AD$6:$AD354,"保留中"),"")</f>
        <v/>
      </c>
      <c r="AN354" s="14">
        <f>IF($AO354="","",IF(SUMPRODUCT(MAX((職員マスタ!$A$6:$A$405=$B354)*(((職員マスタ!$G$6:$G$405="")+(職員マスタ!$G$6:$G$405&lt;=EOMONTH($AO354,0)))&gt;0)*(((職員マスタ!$H$6:$H$405="")+(職員マスタ!$H$6:$H$405&gt;=$AO354))&gt;0)*(ROW(職員マスタ!$A$6:$A$405)-5)))&gt;0,SUMPRODUCT(MAX((職員マスタ!$A$6:$A$405=$B354)*(((職員マスタ!$G$6:$G$405="")+(職員マスタ!$G$6:$G$405&lt;=EOMONTH($AO354,0)))&gt;0)*(((職員マスタ!$H$6:$H$405="")+(職員マスタ!$H$6:$H$405&gt;=$AO354))&gt;0)*(ROW(職員マスタ!$A$6:$A$405)-5))),IFERROR(MATCH($B354,職員マスタ!$A$6:$A$405,0),"")))</f>
        <v/>
      </c>
      <c r="AO354" s="16">
        <f>IF(OR($B354="",$C354="",$D354=""),"",DATE($C354+2018,$D354,1))</f>
        <v/>
      </c>
    </row>
    <row r="355">
      <c r="A355" s="11" t="n"/>
      <c r="B355" s="12" t="n">
        <v>6704258</v>
      </c>
      <c r="C355" s="12" t="n">
        <v>7</v>
      </c>
      <c r="D355" s="12" t="n">
        <v>11</v>
      </c>
      <c r="E355" s="13" t="n">
        <v>260235</v>
      </c>
      <c r="F355" s="12" t="n"/>
      <c r="G355" s="13" t="n"/>
      <c r="H355" s="12" t="n"/>
      <c r="I355" s="12" t="n"/>
      <c r="J355" s="12" t="n"/>
      <c r="K355" s="12" t="n"/>
      <c r="L355" s="11" t="n"/>
      <c r="M355" s="11" t="n"/>
      <c r="N355" s="11" t="n"/>
      <c r="O355" s="11" t="n"/>
      <c r="P355" s="12" t="n"/>
      <c r="Q355" s="11" t="n"/>
      <c r="R355" s="12" t="n"/>
      <c r="S355" s="11" t="n"/>
      <c r="T355" s="12" t="n"/>
      <c r="U355" s="12" t="n"/>
      <c r="V355" s="14">
        <f>IF($AN355="",IF($B355="","",$H355),IF(INDEX(職員マスタ!$B$6:$B$405,$AN355)="",$H355,INDEX(職員マスタ!$B$6:$B$405,$AN355)))</f>
        <v/>
      </c>
      <c r="W355" s="14">
        <f>IF($AN355="",IF($B355="","",$R355),IF(INDEX(職員マスタ!$C$6:$C$405,$AN355)="",$R355,INDEX(職員マスタ!$C$6:$C$405,$AN355)))</f>
        <v/>
      </c>
      <c r="X355" s="14">
        <f>IF($AO355="","","R"&amp;$C355&amp;"."&amp;$D355)</f>
        <v/>
      </c>
      <c r="Y355" s="15">
        <f>IF($AN355="","",IF(INDEX(職員マスタ!$K$6:$K$405,$AN355)="","",INDEX(職員マスタ!$K$6:$K$405,$AN355)))</f>
        <v/>
      </c>
      <c r="Z355" s="14">
        <f>IF(OR($E355="",$Y355=""),"",IF($E355&gt;=$Y355,"×",IF($E355&gt;=$Y355*設定!$C$5,"△","○")))</f>
        <v/>
      </c>
      <c r="AA355" s="15">
        <f>IF($Z355="","",IF($Z355="×",0,IF($Z355="○",ROUNDDOWN($E355*設定!$C$4,0),ROUNDDOWN($E355*ROUND((9*$Y355-9*$E355)/(10*$E355),4),0))))</f>
        <v/>
      </c>
      <c r="AB355" s="13" t="n"/>
      <c r="AC355" s="15">
        <f>IF($B355="","",IF($AB355&lt;&gt;"",$AB355,IF($AA355="","",IF($AA355&lt;=設定!$C$3,0,$AA355))))</f>
        <v/>
      </c>
      <c r="AD355" s="14">
        <f>IF($B355="","",IF(AND($AE355&lt;&gt;"",$AG355="",$AJ355=""),"保留中",IF($AJ355&lt;&gt;"",IF(N($AC355)&gt;0,"支給済","不支給"),IF($AC355="","要確認",IF($AC355=0,"不支給","未処理")))))</f>
        <v/>
      </c>
      <c r="AE355" s="12" t="n"/>
      <c r="AF355" s="11" t="n"/>
      <c r="AG355" s="11" t="n"/>
      <c r="AH355" s="11" t="n"/>
      <c r="AI355" s="14">
        <f>IF(AND($AD355="保留中",$AF355&lt;&gt;""),TODAY()-$AF355,"")</f>
        <v/>
      </c>
      <c r="AJ355" s="12" t="inlineStr">
        <is>
          <t>R8.1</t>
        </is>
      </c>
      <c r="AK355" s="14">
        <f>IF($B355="","",IF($AO355="","対象年月が未入力／","")&amp;IF($B355="","",IF($AN355="","職員マスタに未登録の職員番号／",IF($Y355="","標準報酬月額が未登録／","")&amp;IF(AND($AO355&lt;&gt;"",OR(AND(INDEX(職員マスタ!$G$6:$G$405,$AN355)&lt;&gt;"",INDEX(職員マスタ!$G$6:$G$405,$AN355)&gt;EOMONTH($AO355,0)),AND(INDEX(職員マスタ!$H$6:$H$405,$AN355)&lt;&gt;"",INDEX(職員マスタ!$H$6:$H$405,$AN355)&lt;$AO355))),"対象月が時短期間外／","")&amp;IF(AND(INDEX(職員マスタ!$F$6:$F$405,$AN355)&lt;&gt;"",$AO355&lt;&gt;"",INDEX(職員マスタ!$F$6:$F$405,$AN355)&lt;$AO355),"対象月に子が2歳到達済／","")&amp;IF(AND($H355&lt;&gt;"",INDEX(職員マスタ!$B$6:$B$405,$AN355)&lt;&gt;"",SUBSTITUTE(SUBSTITUTE($H355," ","")," ","")&lt;&gt;SUBSTITUTE(SUBSTITUTE(INDEX(職員マスタ!$B$6:$B$405,$AN355)," ","")," ","")),"氏名がマスタと相違／","")&amp;IF(AND($Q355&lt;&gt;"",INDEX(職員マスタ!$E$6:$E$405,$AN355)&lt;&gt;"",$Q355&lt;&gt;INDEX(職員マスタ!$E$6:$E$405,$AN355)),"子の生年月日がマスタと相違／","")&amp;IF(AND($L355&lt;&gt;"",INDEX(職員マスタ!$G$6:$G$405,$AN355)&lt;&gt;"",$L355&lt;&gt;INDEX(職員マスタ!$G$6:$G$405,$AN355)),"時短開始日がマスタと相違／","")&amp;IF(AND($M355&lt;&gt;"",INDEX(職員マスタ!$H$6:$H$405,$AN355)&lt;&gt;"",$M355&lt;&gt;INDEX(職員マスタ!$H$6:$H$405,$AN355)),"時短終了日がマスタと相違／","")))&amp;IF(AND($B355&lt;&gt;"",$E355=""),"報酬額が未入力／","")&amp;IF(N($U355)&gt;0,"申請書に入力エラーが残っています／","")&amp;IF(AND($B355&lt;&gt;"",$AO355&lt;&gt;""),IF(COUNTIFS($B$6:$B$3005,$B355,$C$6:$C$3005,$C355,$D$6:$D$3005,$D355)&gt;1,"同じ月の請求が重複しています／",""),"")&amp;IF(AND(N($E355)&gt;0,$Z355&lt;&gt;"",$Z355&lt;&gt;"×",$AC355=0,$AB355=""),"計算額が下限以下のため不支給／",""))</f>
        <v/>
      </c>
      <c r="AL355" s="12" t="n"/>
      <c r="AM355" s="14">
        <f>IF($AD355="保留中",COUNTIF($AD$6:$AD355,"保留中"),"")</f>
        <v/>
      </c>
      <c r="AN355" s="14">
        <f>IF($AO355="","",IF(SUMPRODUCT(MAX((職員マスタ!$A$6:$A$405=$B355)*(((職員マスタ!$G$6:$G$405="")+(職員マスタ!$G$6:$G$405&lt;=EOMONTH($AO355,0)))&gt;0)*(((職員マスタ!$H$6:$H$405="")+(職員マスタ!$H$6:$H$405&gt;=$AO355))&gt;0)*(ROW(職員マスタ!$A$6:$A$405)-5)))&gt;0,SUMPRODUCT(MAX((職員マスタ!$A$6:$A$405=$B355)*(((職員マスタ!$G$6:$G$405="")+(職員マスタ!$G$6:$G$405&lt;=EOMONTH($AO355,0)))&gt;0)*(((職員マスタ!$H$6:$H$405="")+(職員マスタ!$H$6:$H$405&gt;=$AO355))&gt;0)*(ROW(職員マスタ!$A$6:$A$405)-5))),IFERROR(MATCH($B355,職員マスタ!$A$6:$A$405,0),"")))</f>
        <v/>
      </c>
      <c r="AO355" s="16">
        <f>IF(OR($B355="",$C355="",$D355=""),"",DATE($C355+2018,$D355,1))</f>
        <v/>
      </c>
    </row>
    <row r="356">
      <c r="A356" s="11" t="n"/>
      <c r="B356" s="12" t="n">
        <v>6704258</v>
      </c>
      <c r="C356" s="12" t="n">
        <v>7</v>
      </c>
      <c r="D356" s="12" t="n">
        <v>12</v>
      </c>
      <c r="E356" s="13" t="n">
        <v>282463</v>
      </c>
      <c r="F356" s="12" t="n"/>
      <c r="G356" s="13" t="n"/>
      <c r="H356" s="12" t="n"/>
      <c r="I356" s="12" t="n"/>
      <c r="J356" s="12" t="n"/>
      <c r="K356" s="12" t="n"/>
      <c r="L356" s="11" t="n"/>
      <c r="M356" s="11" t="n"/>
      <c r="N356" s="11" t="n"/>
      <c r="O356" s="11" t="n"/>
      <c r="P356" s="12" t="n"/>
      <c r="Q356" s="11" t="n"/>
      <c r="R356" s="12" t="n"/>
      <c r="S356" s="11" t="n"/>
      <c r="T356" s="12" t="n"/>
      <c r="U356" s="12" t="n"/>
      <c r="V356" s="14">
        <f>IF($AN356="",IF($B356="","",$H356),IF(INDEX(職員マスタ!$B$6:$B$405,$AN356)="",$H356,INDEX(職員マスタ!$B$6:$B$405,$AN356)))</f>
        <v/>
      </c>
      <c r="W356" s="14">
        <f>IF($AN356="",IF($B356="","",$R356),IF(INDEX(職員マスタ!$C$6:$C$405,$AN356)="",$R356,INDEX(職員マスタ!$C$6:$C$405,$AN356)))</f>
        <v/>
      </c>
      <c r="X356" s="14">
        <f>IF($AO356="","","R"&amp;$C356&amp;"."&amp;$D356)</f>
        <v/>
      </c>
      <c r="Y356" s="15">
        <f>IF($AN356="","",IF(INDEX(職員マスタ!$K$6:$K$405,$AN356)="","",INDEX(職員マスタ!$K$6:$K$405,$AN356)))</f>
        <v/>
      </c>
      <c r="Z356" s="14">
        <f>IF(OR($E356="",$Y356=""),"",IF($E356&gt;=$Y356,"×",IF($E356&gt;=$Y356*設定!$C$5,"△","○")))</f>
        <v/>
      </c>
      <c r="AA356" s="15">
        <f>IF($Z356="","",IF($Z356="×",0,IF($Z356="○",ROUNDDOWN($E356*設定!$C$4,0),ROUNDDOWN($E356*ROUND((9*$Y356-9*$E356)/(10*$E356),4),0))))</f>
        <v/>
      </c>
      <c r="AB356" s="13" t="n"/>
      <c r="AC356" s="15">
        <f>IF($B356="","",IF($AB356&lt;&gt;"",$AB356,IF($AA356="","",IF($AA356&lt;=設定!$C$3,0,$AA356))))</f>
        <v/>
      </c>
      <c r="AD356" s="14">
        <f>IF($B356="","",IF(AND($AE356&lt;&gt;"",$AG356="",$AJ356=""),"保留中",IF($AJ356&lt;&gt;"",IF(N($AC356)&gt;0,"支給済","不支給"),IF($AC356="","要確認",IF($AC356=0,"不支給","未処理")))))</f>
        <v/>
      </c>
      <c r="AE356" s="12" t="n"/>
      <c r="AF356" s="11" t="n"/>
      <c r="AG356" s="11" t="n"/>
      <c r="AH356" s="11" t="n"/>
      <c r="AI356" s="14">
        <f>IF(AND($AD356="保留中",$AF356&lt;&gt;""),TODAY()-$AF356,"")</f>
        <v/>
      </c>
      <c r="AJ356" s="12" t="inlineStr">
        <is>
          <t>R8.2</t>
        </is>
      </c>
      <c r="AK356" s="14">
        <f>IF($B356="","",IF($AO356="","対象年月が未入力／","")&amp;IF($B356="","",IF($AN356="","職員マスタに未登録の職員番号／",IF($Y356="","標準報酬月額が未登録／","")&amp;IF(AND($AO356&lt;&gt;"",OR(AND(INDEX(職員マスタ!$G$6:$G$405,$AN356)&lt;&gt;"",INDEX(職員マスタ!$G$6:$G$405,$AN356)&gt;EOMONTH($AO356,0)),AND(INDEX(職員マスタ!$H$6:$H$405,$AN356)&lt;&gt;"",INDEX(職員マスタ!$H$6:$H$405,$AN356)&lt;$AO356))),"対象月が時短期間外／","")&amp;IF(AND(INDEX(職員マスタ!$F$6:$F$405,$AN356)&lt;&gt;"",$AO356&lt;&gt;"",INDEX(職員マスタ!$F$6:$F$405,$AN356)&lt;$AO356),"対象月に子が2歳到達済／","")&amp;IF(AND($H356&lt;&gt;"",INDEX(職員マスタ!$B$6:$B$405,$AN356)&lt;&gt;"",SUBSTITUTE(SUBSTITUTE($H356," ","")," ","")&lt;&gt;SUBSTITUTE(SUBSTITUTE(INDEX(職員マスタ!$B$6:$B$405,$AN356)," ","")," ","")),"氏名がマスタと相違／","")&amp;IF(AND($Q356&lt;&gt;"",INDEX(職員マスタ!$E$6:$E$405,$AN356)&lt;&gt;"",$Q356&lt;&gt;INDEX(職員マスタ!$E$6:$E$405,$AN356)),"子の生年月日がマスタと相違／","")&amp;IF(AND($L356&lt;&gt;"",INDEX(職員マスタ!$G$6:$G$405,$AN356)&lt;&gt;"",$L356&lt;&gt;INDEX(職員マスタ!$G$6:$G$405,$AN356)),"時短開始日がマスタと相違／","")&amp;IF(AND($M356&lt;&gt;"",INDEX(職員マスタ!$H$6:$H$405,$AN356)&lt;&gt;"",$M356&lt;&gt;INDEX(職員マスタ!$H$6:$H$405,$AN356)),"時短終了日がマスタと相違／","")))&amp;IF(AND($B356&lt;&gt;"",$E356=""),"報酬額が未入力／","")&amp;IF(N($U356)&gt;0,"申請書に入力エラーが残っています／","")&amp;IF(AND($B356&lt;&gt;"",$AO356&lt;&gt;""),IF(COUNTIFS($B$6:$B$3005,$B356,$C$6:$C$3005,$C356,$D$6:$D$3005,$D356)&gt;1,"同じ月の請求が重複しています／",""),"")&amp;IF(AND(N($E356)&gt;0,$Z356&lt;&gt;"",$Z356&lt;&gt;"×",$AC356=0,$AB356=""),"計算額が下限以下のため不支給／",""))</f>
        <v/>
      </c>
      <c r="AL356" s="12" t="n"/>
      <c r="AM356" s="14">
        <f>IF($AD356="保留中",COUNTIF($AD$6:$AD356,"保留中"),"")</f>
        <v/>
      </c>
      <c r="AN356" s="14">
        <f>IF($AO356="","",IF(SUMPRODUCT(MAX((職員マスタ!$A$6:$A$405=$B356)*(((職員マスタ!$G$6:$G$405="")+(職員マスタ!$G$6:$G$405&lt;=EOMONTH($AO356,0)))&gt;0)*(((職員マスタ!$H$6:$H$405="")+(職員マスタ!$H$6:$H$405&gt;=$AO356))&gt;0)*(ROW(職員マスタ!$A$6:$A$405)-5)))&gt;0,SUMPRODUCT(MAX((職員マスタ!$A$6:$A$405=$B356)*(((職員マスタ!$G$6:$G$405="")+(職員マスタ!$G$6:$G$405&lt;=EOMONTH($AO356,0)))&gt;0)*(((職員マスタ!$H$6:$H$405="")+(職員マスタ!$H$6:$H$405&gt;=$AO356))&gt;0)*(ROW(職員マスタ!$A$6:$A$405)-5))),IFERROR(MATCH($B356,職員マスタ!$A$6:$A$405,0),"")))</f>
        <v/>
      </c>
      <c r="AO356" s="16">
        <f>IF(OR($B356="",$C356="",$D356=""),"",DATE($C356+2018,$D356,1))</f>
        <v/>
      </c>
    </row>
    <row r="357">
      <c r="A357" s="11" t="n"/>
      <c r="B357" s="12" t="n">
        <v>6704258</v>
      </c>
      <c r="C357" s="12" t="n">
        <v>8</v>
      </c>
      <c r="D357" s="12" t="n">
        <v>1</v>
      </c>
      <c r="E357" s="13" t="n">
        <v>296819</v>
      </c>
      <c r="F357" s="12" t="n"/>
      <c r="G357" s="13" t="n"/>
      <c r="H357" s="12" t="n"/>
      <c r="I357" s="12" t="n"/>
      <c r="J357" s="12" t="n"/>
      <c r="K357" s="12" t="n"/>
      <c r="L357" s="11" t="n"/>
      <c r="M357" s="11" t="n"/>
      <c r="N357" s="11" t="n"/>
      <c r="O357" s="11" t="n"/>
      <c r="P357" s="12" t="n"/>
      <c r="Q357" s="11" t="n"/>
      <c r="R357" s="12" t="n"/>
      <c r="S357" s="11" t="n"/>
      <c r="T357" s="12" t="n"/>
      <c r="U357" s="12" t="n"/>
      <c r="V357" s="14">
        <f>IF($AN357="",IF($B357="","",$H357),IF(INDEX(職員マスタ!$B$6:$B$405,$AN357)="",$H357,INDEX(職員マスタ!$B$6:$B$405,$AN357)))</f>
        <v/>
      </c>
      <c r="W357" s="14">
        <f>IF($AN357="",IF($B357="","",$R357),IF(INDEX(職員マスタ!$C$6:$C$405,$AN357)="",$R357,INDEX(職員マスタ!$C$6:$C$405,$AN357)))</f>
        <v/>
      </c>
      <c r="X357" s="14">
        <f>IF($AO357="","","R"&amp;$C357&amp;"."&amp;$D357)</f>
        <v/>
      </c>
      <c r="Y357" s="15">
        <f>IF($AN357="","",IF(INDEX(職員マスタ!$K$6:$K$405,$AN357)="","",INDEX(職員マスタ!$K$6:$K$405,$AN357)))</f>
        <v/>
      </c>
      <c r="Z357" s="14">
        <f>IF(OR($E357="",$Y357=""),"",IF($E357&gt;=$Y357,"×",IF($E357&gt;=$Y357*設定!$C$5,"△","○")))</f>
        <v/>
      </c>
      <c r="AA357" s="15">
        <f>IF($Z357="","",IF($Z357="×",0,IF($Z357="○",ROUNDDOWN($E357*設定!$C$4,0),ROUNDDOWN($E357*ROUND((9*$Y357-9*$E357)/(10*$E357),4),0))))</f>
        <v/>
      </c>
      <c r="AB357" s="13" t="n"/>
      <c r="AC357" s="15">
        <f>IF($B357="","",IF($AB357&lt;&gt;"",$AB357,IF($AA357="","",IF($AA357&lt;=設定!$C$3,0,$AA357))))</f>
        <v/>
      </c>
      <c r="AD357" s="14">
        <f>IF($B357="","",IF(AND($AE357&lt;&gt;"",$AG357="",$AJ357=""),"保留中",IF($AJ357&lt;&gt;"",IF(N($AC357)&gt;0,"支給済","不支給"),IF($AC357="","要確認",IF($AC357=0,"不支給","未処理")))))</f>
        <v/>
      </c>
      <c r="AE357" s="12" t="n"/>
      <c r="AF357" s="11" t="n"/>
      <c r="AG357" s="11" t="n"/>
      <c r="AH357" s="11" t="n"/>
      <c r="AI357" s="14">
        <f>IF(AND($AD357="保留中",$AF357&lt;&gt;""),TODAY()-$AF357,"")</f>
        <v/>
      </c>
      <c r="AJ357" s="12" t="inlineStr">
        <is>
          <t>R8.3</t>
        </is>
      </c>
      <c r="AK357" s="14">
        <f>IF($B357="","",IF($AO357="","対象年月が未入力／","")&amp;IF($B357="","",IF($AN357="","職員マスタに未登録の職員番号／",IF($Y357="","標準報酬月額が未登録／","")&amp;IF(AND($AO357&lt;&gt;"",OR(AND(INDEX(職員マスタ!$G$6:$G$405,$AN357)&lt;&gt;"",INDEX(職員マスタ!$G$6:$G$405,$AN357)&gt;EOMONTH($AO357,0)),AND(INDEX(職員マスタ!$H$6:$H$405,$AN357)&lt;&gt;"",INDEX(職員マスタ!$H$6:$H$405,$AN357)&lt;$AO357))),"対象月が時短期間外／","")&amp;IF(AND(INDEX(職員マスタ!$F$6:$F$405,$AN357)&lt;&gt;"",$AO357&lt;&gt;"",INDEX(職員マスタ!$F$6:$F$405,$AN357)&lt;$AO357),"対象月に子が2歳到達済／","")&amp;IF(AND($H357&lt;&gt;"",INDEX(職員マスタ!$B$6:$B$405,$AN357)&lt;&gt;"",SUBSTITUTE(SUBSTITUTE($H357," ","")," ","")&lt;&gt;SUBSTITUTE(SUBSTITUTE(INDEX(職員マスタ!$B$6:$B$405,$AN357)," ","")," ","")),"氏名がマスタと相違／","")&amp;IF(AND($Q357&lt;&gt;"",INDEX(職員マスタ!$E$6:$E$405,$AN357)&lt;&gt;"",$Q357&lt;&gt;INDEX(職員マスタ!$E$6:$E$405,$AN357)),"子の生年月日がマスタと相違／","")&amp;IF(AND($L357&lt;&gt;"",INDEX(職員マスタ!$G$6:$G$405,$AN357)&lt;&gt;"",$L357&lt;&gt;INDEX(職員マスタ!$G$6:$G$405,$AN357)),"時短開始日がマスタと相違／","")&amp;IF(AND($M357&lt;&gt;"",INDEX(職員マスタ!$H$6:$H$405,$AN357)&lt;&gt;"",$M357&lt;&gt;INDEX(職員マスタ!$H$6:$H$405,$AN357)),"時短終了日がマスタと相違／","")))&amp;IF(AND($B357&lt;&gt;"",$E357=""),"報酬額が未入力／","")&amp;IF(N($U357)&gt;0,"申請書に入力エラーが残っています／","")&amp;IF(AND($B357&lt;&gt;"",$AO357&lt;&gt;""),IF(COUNTIFS($B$6:$B$3005,$B357,$C$6:$C$3005,$C357,$D$6:$D$3005,$D357)&gt;1,"同じ月の請求が重複しています／",""),"")&amp;IF(AND(N($E357)&gt;0,$Z357&lt;&gt;"",$Z357&lt;&gt;"×",$AC357=0,$AB357=""),"計算額が下限以下のため不支給／",""))</f>
        <v/>
      </c>
      <c r="AL357" s="12" t="n"/>
      <c r="AM357" s="14">
        <f>IF($AD357="保留中",COUNTIF($AD$6:$AD357,"保留中"),"")</f>
        <v/>
      </c>
      <c r="AN357" s="14">
        <f>IF($AO357="","",IF(SUMPRODUCT(MAX((職員マスタ!$A$6:$A$405=$B357)*(((職員マスタ!$G$6:$G$405="")+(職員マスタ!$G$6:$G$405&lt;=EOMONTH($AO357,0)))&gt;0)*(((職員マスタ!$H$6:$H$405="")+(職員マスタ!$H$6:$H$405&gt;=$AO357))&gt;0)*(ROW(職員マスタ!$A$6:$A$405)-5)))&gt;0,SUMPRODUCT(MAX((職員マスタ!$A$6:$A$405=$B357)*(((職員マスタ!$G$6:$G$405="")+(職員マスタ!$G$6:$G$405&lt;=EOMONTH($AO357,0)))&gt;0)*(((職員マスタ!$H$6:$H$405="")+(職員マスタ!$H$6:$H$405&gt;=$AO357))&gt;0)*(ROW(職員マスタ!$A$6:$A$405)-5))),IFERROR(MATCH($B357,職員マスタ!$A$6:$A$405,0),"")))</f>
        <v/>
      </c>
      <c r="AO357" s="16">
        <f>IF(OR($B357="",$C357="",$D357=""),"",DATE($C357+2018,$D357,1))</f>
        <v/>
      </c>
    </row>
    <row r="358">
      <c r="A358" s="11" t="n"/>
      <c r="B358" s="12" t="n">
        <v>6801509</v>
      </c>
      <c r="C358" s="12" t="n">
        <v>8</v>
      </c>
      <c r="D358" s="12" t="n">
        <v>3</v>
      </c>
      <c r="E358" s="13" t="n">
        <v>365038</v>
      </c>
      <c r="F358" s="12" t="n"/>
      <c r="G358" s="13" t="n"/>
      <c r="H358" s="12" t="n"/>
      <c r="I358" s="12" t="n"/>
      <c r="J358" s="12" t="n"/>
      <c r="K358" s="12" t="n"/>
      <c r="L358" s="11" t="n"/>
      <c r="M358" s="11" t="n"/>
      <c r="N358" s="11" t="n"/>
      <c r="O358" s="11" t="n"/>
      <c r="P358" s="12" t="n"/>
      <c r="Q358" s="11" t="n"/>
      <c r="R358" s="12" t="n"/>
      <c r="S358" s="11" t="n"/>
      <c r="T358" s="12" t="n"/>
      <c r="U358" s="12" t="n"/>
      <c r="V358" s="14">
        <f>IF($AN358="",IF($B358="","",$H358),IF(INDEX(職員マスタ!$B$6:$B$405,$AN358)="",$H358,INDEX(職員マスタ!$B$6:$B$405,$AN358)))</f>
        <v/>
      </c>
      <c r="W358" s="14">
        <f>IF($AN358="",IF($B358="","",$R358),IF(INDEX(職員マスタ!$C$6:$C$405,$AN358)="",$R358,INDEX(職員マスタ!$C$6:$C$405,$AN358)))</f>
        <v/>
      </c>
      <c r="X358" s="14">
        <f>IF($AO358="","","R"&amp;$C358&amp;"."&amp;$D358)</f>
        <v/>
      </c>
      <c r="Y358" s="15">
        <f>IF($AN358="","",IF(INDEX(職員マスタ!$K$6:$K$405,$AN358)="","",INDEX(職員マスタ!$K$6:$K$405,$AN358)))</f>
        <v/>
      </c>
      <c r="Z358" s="14">
        <f>IF(OR($E358="",$Y358=""),"",IF($E358&gt;=$Y358,"×",IF($E358&gt;=$Y358*設定!$C$5,"△","○")))</f>
        <v/>
      </c>
      <c r="AA358" s="15">
        <f>IF($Z358="","",IF($Z358="×",0,IF($Z358="○",ROUNDDOWN($E358*設定!$C$4,0),ROUNDDOWN($E358*ROUND((9*$Y358-9*$E358)/(10*$E358),4),0))))</f>
        <v/>
      </c>
      <c r="AB358" s="13" t="n"/>
      <c r="AC358" s="15">
        <f>IF($B358="","",IF($AB358&lt;&gt;"",$AB358,IF($AA358="","",IF($AA358&lt;=設定!$C$3,0,$AA358))))</f>
        <v/>
      </c>
      <c r="AD358" s="14">
        <f>IF($B358="","",IF(AND($AE358&lt;&gt;"",$AG358="",$AJ358=""),"保留中",IF($AJ358&lt;&gt;"",IF(N($AC358)&gt;0,"支給済","不支給"),IF($AC358="","要確認",IF($AC358=0,"不支給","未処理")))))</f>
        <v/>
      </c>
      <c r="AE358" s="12" t="n"/>
      <c r="AF358" s="11" t="n"/>
      <c r="AG358" s="11" t="n"/>
      <c r="AH358" s="11" t="n"/>
      <c r="AI358" s="14">
        <f>IF(AND($AD358="保留中",$AF358&lt;&gt;""),TODAY()-$AF358,"")</f>
        <v/>
      </c>
      <c r="AJ358" s="12" t="inlineStr">
        <is>
          <t>R8.10</t>
        </is>
      </c>
      <c r="AK358" s="14">
        <f>IF($B358="","",IF($AO358="","対象年月が未入力／","")&amp;IF($B358="","",IF($AN358="","職員マスタに未登録の職員番号／",IF($Y358="","標準報酬月額が未登録／","")&amp;IF(AND($AO358&lt;&gt;"",OR(AND(INDEX(職員マスタ!$G$6:$G$405,$AN358)&lt;&gt;"",INDEX(職員マスタ!$G$6:$G$405,$AN358)&gt;EOMONTH($AO358,0)),AND(INDEX(職員マスタ!$H$6:$H$405,$AN358)&lt;&gt;"",INDEX(職員マスタ!$H$6:$H$405,$AN358)&lt;$AO358))),"対象月が時短期間外／","")&amp;IF(AND(INDEX(職員マスタ!$F$6:$F$405,$AN358)&lt;&gt;"",$AO358&lt;&gt;"",INDEX(職員マスタ!$F$6:$F$405,$AN358)&lt;$AO358),"対象月に子が2歳到達済／","")&amp;IF(AND($H358&lt;&gt;"",INDEX(職員マスタ!$B$6:$B$405,$AN358)&lt;&gt;"",SUBSTITUTE(SUBSTITUTE($H358," ","")," ","")&lt;&gt;SUBSTITUTE(SUBSTITUTE(INDEX(職員マスタ!$B$6:$B$405,$AN358)," ","")," ","")),"氏名がマスタと相違／","")&amp;IF(AND($Q358&lt;&gt;"",INDEX(職員マスタ!$E$6:$E$405,$AN358)&lt;&gt;"",$Q358&lt;&gt;INDEX(職員マスタ!$E$6:$E$405,$AN358)),"子の生年月日がマスタと相違／","")&amp;IF(AND($L358&lt;&gt;"",INDEX(職員マスタ!$G$6:$G$405,$AN358)&lt;&gt;"",$L358&lt;&gt;INDEX(職員マスタ!$G$6:$G$405,$AN358)),"時短開始日がマスタと相違／","")&amp;IF(AND($M358&lt;&gt;"",INDEX(職員マスタ!$H$6:$H$405,$AN358)&lt;&gt;"",$M358&lt;&gt;INDEX(職員マスタ!$H$6:$H$405,$AN358)),"時短終了日がマスタと相違／","")))&amp;IF(AND($B358&lt;&gt;"",$E358=""),"報酬額が未入力／","")&amp;IF(N($U358)&gt;0,"申請書に入力エラーが残っています／","")&amp;IF(AND($B358&lt;&gt;"",$AO358&lt;&gt;""),IF(COUNTIFS($B$6:$B$3005,$B358,$C$6:$C$3005,$C358,$D$6:$D$3005,$D358)&gt;1,"同じ月の請求が重複しています／",""),"")&amp;IF(AND(N($E358)&gt;0,$Z358&lt;&gt;"",$Z358&lt;&gt;"×",$AC358=0,$AB358=""),"計算額が下限以下のため不支給／",""))</f>
        <v/>
      </c>
      <c r="AL358" s="12" t="n"/>
      <c r="AM358" s="14">
        <f>IF($AD358="保留中",COUNTIF($AD$6:$AD358,"保留中"),"")</f>
        <v/>
      </c>
      <c r="AN358" s="14">
        <f>IF($AO358="","",IF(SUMPRODUCT(MAX((職員マスタ!$A$6:$A$405=$B358)*(((職員マスタ!$G$6:$G$405="")+(職員マスタ!$G$6:$G$405&lt;=EOMONTH($AO358,0)))&gt;0)*(((職員マスタ!$H$6:$H$405="")+(職員マスタ!$H$6:$H$405&gt;=$AO358))&gt;0)*(ROW(職員マスタ!$A$6:$A$405)-5)))&gt;0,SUMPRODUCT(MAX((職員マスタ!$A$6:$A$405=$B358)*(((職員マスタ!$G$6:$G$405="")+(職員マスタ!$G$6:$G$405&lt;=EOMONTH($AO358,0)))&gt;0)*(((職員マスタ!$H$6:$H$405="")+(職員マスタ!$H$6:$H$405&gt;=$AO358))&gt;0)*(ROW(職員マスタ!$A$6:$A$405)-5))),IFERROR(MATCH($B358,職員マスタ!$A$6:$A$405,0),"")))</f>
        <v/>
      </c>
      <c r="AO358" s="16">
        <f>IF(OR($B358="",$C358="",$D358=""),"",DATE($C358+2018,$D358,1))</f>
        <v/>
      </c>
    </row>
    <row r="359">
      <c r="A359" s="11" t="n"/>
      <c r="B359" s="12" t="n">
        <v>6801509</v>
      </c>
      <c r="C359" s="12" t="n">
        <v>8</v>
      </c>
      <c r="D359" s="12" t="n">
        <v>5</v>
      </c>
      <c r="E359" s="13" t="n">
        <v>314708</v>
      </c>
      <c r="F359" s="12" t="n"/>
      <c r="G359" s="13" t="n"/>
      <c r="H359" s="12" t="n"/>
      <c r="I359" s="12" t="n"/>
      <c r="J359" s="12" t="n"/>
      <c r="K359" s="12" t="n"/>
      <c r="L359" s="11" t="n"/>
      <c r="M359" s="11" t="n"/>
      <c r="N359" s="11" t="n"/>
      <c r="O359" s="11" t="n"/>
      <c r="P359" s="12" t="n"/>
      <c r="Q359" s="11" t="n"/>
      <c r="R359" s="12" t="n"/>
      <c r="S359" s="11" t="n"/>
      <c r="T359" s="12" t="n"/>
      <c r="U359" s="12" t="n"/>
      <c r="V359" s="14">
        <f>IF($AN359="",IF($B359="","",$H359),IF(INDEX(職員マスタ!$B$6:$B$405,$AN359)="",$H359,INDEX(職員マスタ!$B$6:$B$405,$AN359)))</f>
        <v/>
      </c>
      <c r="W359" s="14">
        <f>IF($AN359="",IF($B359="","",$R359),IF(INDEX(職員マスタ!$C$6:$C$405,$AN359)="",$R359,INDEX(職員マスタ!$C$6:$C$405,$AN359)))</f>
        <v/>
      </c>
      <c r="X359" s="14">
        <f>IF($AO359="","","R"&amp;$C359&amp;"."&amp;$D359)</f>
        <v/>
      </c>
      <c r="Y359" s="15">
        <f>IF($AN359="","",IF(INDEX(職員マスタ!$K$6:$K$405,$AN359)="","",INDEX(職員マスタ!$K$6:$K$405,$AN359)))</f>
        <v/>
      </c>
      <c r="Z359" s="14">
        <f>IF(OR($E359="",$Y359=""),"",IF($E359&gt;=$Y359,"×",IF($E359&gt;=$Y359*設定!$C$5,"△","○")))</f>
        <v/>
      </c>
      <c r="AA359" s="15">
        <f>IF($Z359="","",IF($Z359="×",0,IF($Z359="○",ROUNDDOWN($E359*設定!$C$4,0),ROUNDDOWN($E359*ROUND((9*$Y359-9*$E359)/(10*$E359),4),0))))</f>
        <v/>
      </c>
      <c r="AB359" s="13" t="n"/>
      <c r="AC359" s="15">
        <f>IF($B359="","",IF($AB359&lt;&gt;"",$AB359,IF($AA359="","",IF($AA359&lt;=設定!$C$3,0,$AA359))))</f>
        <v/>
      </c>
      <c r="AD359" s="14">
        <f>IF($B359="","",IF(AND($AE359&lt;&gt;"",$AG359="",$AJ359=""),"保留中",IF($AJ359&lt;&gt;"",IF(N($AC359)&gt;0,"支給済","不支給"),IF($AC359="","要確認",IF($AC359=0,"不支給","未処理")))))</f>
        <v/>
      </c>
      <c r="AE359" s="12" t="n"/>
      <c r="AF359" s="11" t="n"/>
      <c r="AG359" s="11" t="n"/>
      <c r="AH359" s="11" t="n"/>
      <c r="AI359" s="14">
        <f>IF(AND($AD359="保留中",$AF359&lt;&gt;""),TODAY()-$AF359,"")</f>
        <v/>
      </c>
      <c r="AJ359" s="12" t="inlineStr">
        <is>
          <t>R8.10</t>
        </is>
      </c>
      <c r="AK359" s="14">
        <f>IF($B359="","",IF($AO359="","対象年月が未入力／","")&amp;IF($B359="","",IF($AN359="","職員マスタに未登録の職員番号／",IF($Y359="","標準報酬月額が未登録／","")&amp;IF(AND($AO359&lt;&gt;"",OR(AND(INDEX(職員マスタ!$G$6:$G$405,$AN359)&lt;&gt;"",INDEX(職員マスタ!$G$6:$G$405,$AN359)&gt;EOMONTH($AO359,0)),AND(INDEX(職員マスタ!$H$6:$H$405,$AN359)&lt;&gt;"",INDEX(職員マスタ!$H$6:$H$405,$AN359)&lt;$AO359))),"対象月が時短期間外／","")&amp;IF(AND(INDEX(職員マスタ!$F$6:$F$405,$AN359)&lt;&gt;"",$AO359&lt;&gt;"",INDEX(職員マスタ!$F$6:$F$405,$AN359)&lt;$AO359),"対象月に子が2歳到達済／","")&amp;IF(AND($H359&lt;&gt;"",INDEX(職員マスタ!$B$6:$B$405,$AN359)&lt;&gt;"",SUBSTITUTE(SUBSTITUTE($H359," ","")," ","")&lt;&gt;SUBSTITUTE(SUBSTITUTE(INDEX(職員マスタ!$B$6:$B$405,$AN359)," ","")," ","")),"氏名がマスタと相違／","")&amp;IF(AND($Q359&lt;&gt;"",INDEX(職員マスタ!$E$6:$E$405,$AN359)&lt;&gt;"",$Q359&lt;&gt;INDEX(職員マスタ!$E$6:$E$405,$AN359)),"子の生年月日がマスタと相違／","")&amp;IF(AND($L359&lt;&gt;"",INDEX(職員マスタ!$G$6:$G$405,$AN359)&lt;&gt;"",$L359&lt;&gt;INDEX(職員マスタ!$G$6:$G$405,$AN359)),"時短開始日がマスタと相違／","")&amp;IF(AND($M359&lt;&gt;"",INDEX(職員マスタ!$H$6:$H$405,$AN359)&lt;&gt;"",$M359&lt;&gt;INDEX(職員マスタ!$H$6:$H$405,$AN359)),"時短終了日がマスタと相違／","")))&amp;IF(AND($B359&lt;&gt;"",$E359=""),"報酬額が未入力／","")&amp;IF(N($U359)&gt;0,"申請書に入力エラーが残っています／","")&amp;IF(AND($B359&lt;&gt;"",$AO359&lt;&gt;""),IF(COUNTIFS($B$6:$B$3005,$B359,$C$6:$C$3005,$C359,$D$6:$D$3005,$D359)&gt;1,"同じ月の請求が重複しています／",""),"")&amp;IF(AND(N($E359)&gt;0,$Z359&lt;&gt;"",$Z359&lt;&gt;"×",$AC359=0,$AB359=""),"計算額が下限以下のため不支給／",""))</f>
        <v/>
      </c>
      <c r="AL359" s="12" t="n"/>
      <c r="AM359" s="14">
        <f>IF($AD359="保留中",COUNTIF($AD$6:$AD359,"保留中"),"")</f>
        <v/>
      </c>
      <c r="AN359" s="14">
        <f>IF($AO359="","",IF(SUMPRODUCT(MAX((職員マスタ!$A$6:$A$405=$B359)*(((職員マスタ!$G$6:$G$405="")+(職員マスタ!$G$6:$G$405&lt;=EOMONTH($AO359,0)))&gt;0)*(((職員マスタ!$H$6:$H$405="")+(職員マスタ!$H$6:$H$405&gt;=$AO359))&gt;0)*(ROW(職員マスタ!$A$6:$A$405)-5)))&gt;0,SUMPRODUCT(MAX((職員マスタ!$A$6:$A$405=$B359)*(((職員マスタ!$G$6:$G$405="")+(職員マスタ!$G$6:$G$405&lt;=EOMONTH($AO359,0)))&gt;0)*(((職員マスタ!$H$6:$H$405="")+(職員マスタ!$H$6:$H$405&gt;=$AO359))&gt;0)*(ROW(職員マスタ!$A$6:$A$405)-5))),IFERROR(MATCH($B359,職員マスタ!$A$6:$A$405,0),"")))</f>
        <v/>
      </c>
      <c r="AO359" s="16">
        <f>IF(OR($B359="",$C359="",$D359=""),"",DATE($C359+2018,$D359,1))</f>
        <v/>
      </c>
    </row>
    <row r="360">
      <c r="A360" s="11" t="n"/>
      <c r="B360" s="12" t="n">
        <v>6801831</v>
      </c>
      <c r="C360" s="12" t="n">
        <v>7</v>
      </c>
      <c r="D360" s="12" t="n">
        <v>4</v>
      </c>
      <c r="E360" s="13" t="n">
        <v>104506</v>
      </c>
      <c r="F360" s="12" t="n"/>
      <c r="G360" s="13" t="n"/>
      <c r="H360" s="12" t="n"/>
      <c r="I360" s="12" t="n"/>
      <c r="J360" s="12" t="n"/>
      <c r="K360" s="12" t="n"/>
      <c r="L360" s="11" t="n"/>
      <c r="M360" s="11" t="n"/>
      <c r="N360" s="11" t="n"/>
      <c r="O360" s="11" t="n"/>
      <c r="P360" s="12" t="n"/>
      <c r="Q360" s="11" t="n"/>
      <c r="R360" s="12" t="n"/>
      <c r="S360" s="11" t="n"/>
      <c r="T360" s="12" t="n"/>
      <c r="U360" s="12" t="n"/>
      <c r="V360" s="14">
        <f>IF($AN360="",IF($B360="","",$H360),IF(INDEX(職員マスタ!$B$6:$B$405,$AN360)="",$H360,INDEX(職員マスタ!$B$6:$B$405,$AN360)))</f>
        <v/>
      </c>
      <c r="W360" s="14">
        <f>IF($AN360="",IF($B360="","",$R360),IF(INDEX(職員マスタ!$C$6:$C$405,$AN360)="",$R360,INDEX(職員マスタ!$C$6:$C$405,$AN360)))</f>
        <v/>
      </c>
      <c r="X360" s="14">
        <f>IF($AO360="","","R"&amp;$C360&amp;"."&amp;$D360)</f>
        <v/>
      </c>
      <c r="Y360" s="15">
        <f>IF($AN360="","",IF(INDEX(職員マスタ!$K$6:$K$405,$AN360)="","",INDEX(職員マスタ!$K$6:$K$405,$AN360)))</f>
        <v/>
      </c>
      <c r="Z360" s="14">
        <f>IF(OR($E360="",$Y360=""),"",IF($E360&gt;=$Y360,"×",IF($E360&gt;=$Y360*設定!$C$5,"△","○")))</f>
        <v/>
      </c>
      <c r="AA360" s="15">
        <f>IF($Z360="","",IF($Z360="×",0,IF($Z360="○",ROUNDDOWN($E360*設定!$C$4,0),ROUNDDOWN($E360*ROUND((9*$Y360-9*$E360)/(10*$E360),4),0))))</f>
        <v/>
      </c>
      <c r="AB360" s="13" t="n"/>
      <c r="AC360" s="15">
        <f>IF($B360="","",IF($AB360&lt;&gt;"",$AB360,IF($AA360="","",IF($AA360&lt;=設定!$C$3,0,$AA360))))</f>
        <v/>
      </c>
      <c r="AD360" s="14">
        <f>IF($B360="","",IF(AND($AE360&lt;&gt;"",$AG360="",$AJ360=""),"保留中",IF($AJ360&lt;&gt;"",IF(N($AC360)&gt;0,"支給済","不支給"),IF($AC360="","要確認",IF($AC360=0,"不支給","未処理")))))</f>
        <v/>
      </c>
      <c r="AE360" s="12" t="n"/>
      <c r="AF360" s="11" t="n"/>
      <c r="AG360" s="11" t="n"/>
      <c r="AH360" s="11" t="n"/>
      <c r="AI360" s="14">
        <f>IF(AND($AD360="保留中",$AF360&lt;&gt;""),TODAY()-$AF360,"")</f>
        <v/>
      </c>
      <c r="AJ360" s="12" t="inlineStr">
        <is>
          <t>R7.8</t>
        </is>
      </c>
      <c r="AK360" s="14">
        <f>IF($B360="","",IF($AO360="","対象年月が未入力／","")&amp;IF($B360="","",IF($AN360="","職員マスタに未登録の職員番号／",IF($Y360="","標準報酬月額が未登録／","")&amp;IF(AND($AO360&lt;&gt;"",OR(AND(INDEX(職員マスタ!$G$6:$G$405,$AN360)&lt;&gt;"",INDEX(職員マスタ!$G$6:$G$405,$AN360)&gt;EOMONTH($AO360,0)),AND(INDEX(職員マスタ!$H$6:$H$405,$AN360)&lt;&gt;"",INDEX(職員マスタ!$H$6:$H$405,$AN360)&lt;$AO360))),"対象月が時短期間外／","")&amp;IF(AND(INDEX(職員マスタ!$F$6:$F$405,$AN360)&lt;&gt;"",$AO360&lt;&gt;"",INDEX(職員マスタ!$F$6:$F$405,$AN360)&lt;$AO360),"対象月に子が2歳到達済／","")&amp;IF(AND($H360&lt;&gt;"",INDEX(職員マスタ!$B$6:$B$405,$AN360)&lt;&gt;"",SUBSTITUTE(SUBSTITUTE($H360," ","")," ","")&lt;&gt;SUBSTITUTE(SUBSTITUTE(INDEX(職員マスタ!$B$6:$B$405,$AN360)," ","")," ","")),"氏名がマスタと相違／","")&amp;IF(AND($Q360&lt;&gt;"",INDEX(職員マスタ!$E$6:$E$405,$AN360)&lt;&gt;"",$Q360&lt;&gt;INDEX(職員マスタ!$E$6:$E$405,$AN360)),"子の生年月日がマスタと相違／","")&amp;IF(AND($L360&lt;&gt;"",INDEX(職員マスタ!$G$6:$G$405,$AN360)&lt;&gt;"",$L360&lt;&gt;INDEX(職員マスタ!$G$6:$G$405,$AN360)),"時短開始日がマスタと相違／","")&amp;IF(AND($M360&lt;&gt;"",INDEX(職員マスタ!$H$6:$H$405,$AN360)&lt;&gt;"",$M360&lt;&gt;INDEX(職員マスタ!$H$6:$H$405,$AN360)),"時短終了日がマスタと相違／","")))&amp;IF(AND($B360&lt;&gt;"",$E360=""),"報酬額が未入力／","")&amp;IF(N($U360)&gt;0,"申請書に入力エラーが残っています／","")&amp;IF(AND($B360&lt;&gt;"",$AO360&lt;&gt;""),IF(COUNTIFS($B$6:$B$3005,$B360,$C$6:$C$3005,$C360,$D$6:$D$3005,$D360)&gt;1,"同じ月の請求が重複しています／",""),"")&amp;IF(AND(N($E360)&gt;0,$Z360&lt;&gt;"",$Z360&lt;&gt;"×",$AC360=0,$AB360=""),"計算額が下限以下のため不支給／",""))</f>
        <v/>
      </c>
      <c r="AL360" s="12" t="n"/>
      <c r="AM360" s="14">
        <f>IF($AD360="保留中",COUNTIF($AD$6:$AD360,"保留中"),"")</f>
        <v/>
      </c>
      <c r="AN360" s="14">
        <f>IF($AO360="","",IF(SUMPRODUCT(MAX((職員マスタ!$A$6:$A$405=$B360)*(((職員マスタ!$G$6:$G$405="")+(職員マスタ!$G$6:$G$405&lt;=EOMONTH($AO360,0)))&gt;0)*(((職員マスタ!$H$6:$H$405="")+(職員マスタ!$H$6:$H$405&gt;=$AO360))&gt;0)*(ROW(職員マスタ!$A$6:$A$405)-5)))&gt;0,SUMPRODUCT(MAX((職員マスタ!$A$6:$A$405=$B360)*(((職員マスタ!$G$6:$G$405="")+(職員マスタ!$G$6:$G$405&lt;=EOMONTH($AO360,0)))&gt;0)*(((職員マスタ!$H$6:$H$405="")+(職員マスタ!$H$6:$H$405&gt;=$AO360))&gt;0)*(ROW(職員マスタ!$A$6:$A$405)-5))),IFERROR(MATCH($B360,職員マスタ!$A$6:$A$405,0),"")))</f>
        <v/>
      </c>
      <c r="AO360" s="16">
        <f>IF(OR($B360="",$C360="",$D360=""),"",DATE($C360+2018,$D360,1))</f>
        <v/>
      </c>
    </row>
    <row r="361">
      <c r="A361" s="11" t="n"/>
      <c r="B361" s="12" t="n">
        <v>6801831</v>
      </c>
      <c r="C361" s="12" t="n">
        <v>7</v>
      </c>
      <c r="D361" s="12" t="n">
        <v>5</v>
      </c>
      <c r="E361" s="13" t="n">
        <v>183429</v>
      </c>
      <c r="F361" s="12" t="n"/>
      <c r="G361" s="13" t="n"/>
      <c r="H361" s="12" t="n"/>
      <c r="I361" s="12" t="n"/>
      <c r="J361" s="12" t="n"/>
      <c r="K361" s="12" t="n"/>
      <c r="L361" s="11" t="n"/>
      <c r="M361" s="11" t="n"/>
      <c r="N361" s="11" t="n"/>
      <c r="O361" s="11" t="n"/>
      <c r="P361" s="12" t="n"/>
      <c r="Q361" s="11" t="n"/>
      <c r="R361" s="12" t="n"/>
      <c r="S361" s="11" t="n"/>
      <c r="T361" s="12" t="n"/>
      <c r="U361" s="12" t="n"/>
      <c r="V361" s="14">
        <f>IF($AN361="",IF($B361="","",$H361),IF(INDEX(職員マスタ!$B$6:$B$405,$AN361)="",$H361,INDEX(職員マスタ!$B$6:$B$405,$AN361)))</f>
        <v/>
      </c>
      <c r="W361" s="14">
        <f>IF($AN361="",IF($B361="","",$R361),IF(INDEX(職員マスタ!$C$6:$C$405,$AN361)="",$R361,INDEX(職員マスタ!$C$6:$C$405,$AN361)))</f>
        <v/>
      </c>
      <c r="X361" s="14">
        <f>IF($AO361="","","R"&amp;$C361&amp;"."&amp;$D361)</f>
        <v/>
      </c>
      <c r="Y361" s="15">
        <f>IF($AN361="","",IF(INDEX(職員マスタ!$K$6:$K$405,$AN361)="","",INDEX(職員マスタ!$K$6:$K$405,$AN361)))</f>
        <v/>
      </c>
      <c r="Z361" s="14">
        <f>IF(OR($E361="",$Y361=""),"",IF($E361&gt;=$Y361,"×",IF($E361&gt;=$Y361*設定!$C$5,"△","○")))</f>
        <v/>
      </c>
      <c r="AA361" s="15">
        <f>IF($Z361="","",IF($Z361="×",0,IF($Z361="○",ROUNDDOWN($E361*設定!$C$4,0),ROUNDDOWN($E361*ROUND((9*$Y361-9*$E361)/(10*$E361),4),0))))</f>
        <v/>
      </c>
      <c r="AB361" s="13" t="n"/>
      <c r="AC361" s="15">
        <f>IF($B361="","",IF($AB361&lt;&gt;"",$AB361,IF($AA361="","",IF($AA361&lt;=設定!$C$3,0,$AA361))))</f>
        <v/>
      </c>
      <c r="AD361" s="14">
        <f>IF($B361="","",IF(AND($AE361&lt;&gt;"",$AG361="",$AJ361=""),"保留中",IF($AJ361&lt;&gt;"",IF(N($AC361)&gt;0,"支給済","不支給"),IF($AC361="","要確認",IF($AC361=0,"不支給","未処理")))))</f>
        <v/>
      </c>
      <c r="AE361" s="12" t="n"/>
      <c r="AF361" s="11" t="n"/>
      <c r="AG361" s="11" t="n"/>
      <c r="AH361" s="11" t="n"/>
      <c r="AI361" s="14">
        <f>IF(AND($AD361="保留中",$AF361&lt;&gt;""),TODAY()-$AF361,"")</f>
        <v/>
      </c>
      <c r="AJ361" s="12" t="inlineStr">
        <is>
          <t>R7.8</t>
        </is>
      </c>
      <c r="AK361" s="14">
        <f>IF($B361="","",IF($AO361="","対象年月が未入力／","")&amp;IF($B361="","",IF($AN361="","職員マスタに未登録の職員番号／",IF($Y361="","標準報酬月額が未登録／","")&amp;IF(AND($AO361&lt;&gt;"",OR(AND(INDEX(職員マスタ!$G$6:$G$405,$AN361)&lt;&gt;"",INDEX(職員マスタ!$G$6:$G$405,$AN361)&gt;EOMONTH($AO361,0)),AND(INDEX(職員マスタ!$H$6:$H$405,$AN361)&lt;&gt;"",INDEX(職員マスタ!$H$6:$H$405,$AN361)&lt;$AO361))),"対象月が時短期間外／","")&amp;IF(AND(INDEX(職員マスタ!$F$6:$F$405,$AN361)&lt;&gt;"",$AO361&lt;&gt;"",INDEX(職員マスタ!$F$6:$F$405,$AN361)&lt;$AO361),"対象月に子が2歳到達済／","")&amp;IF(AND($H361&lt;&gt;"",INDEX(職員マスタ!$B$6:$B$405,$AN361)&lt;&gt;"",SUBSTITUTE(SUBSTITUTE($H361," ","")," ","")&lt;&gt;SUBSTITUTE(SUBSTITUTE(INDEX(職員マスタ!$B$6:$B$405,$AN361)," ","")," ","")),"氏名がマスタと相違／","")&amp;IF(AND($Q361&lt;&gt;"",INDEX(職員マスタ!$E$6:$E$405,$AN361)&lt;&gt;"",$Q361&lt;&gt;INDEX(職員マスタ!$E$6:$E$405,$AN361)),"子の生年月日がマスタと相違／","")&amp;IF(AND($L361&lt;&gt;"",INDEX(職員マスタ!$G$6:$G$405,$AN361)&lt;&gt;"",$L361&lt;&gt;INDEX(職員マスタ!$G$6:$G$405,$AN361)),"時短開始日がマスタと相違／","")&amp;IF(AND($M361&lt;&gt;"",INDEX(職員マスタ!$H$6:$H$405,$AN361)&lt;&gt;"",$M361&lt;&gt;INDEX(職員マスタ!$H$6:$H$405,$AN361)),"時短終了日がマスタと相違／","")))&amp;IF(AND($B361&lt;&gt;"",$E361=""),"報酬額が未入力／","")&amp;IF(N($U361)&gt;0,"申請書に入力エラーが残っています／","")&amp;IF(AND($B361&lt;&gt;"",$AO361&lt;&gt;""),IF(COUNTIFS($B$6:$B$3005,$B361,$C$6:$C$3005,$C361,$D$6:$D$3005,$D361)&gt;1,"同じ月の請求が重複しています／",""),"")&amp;IF(AND(N($E361)&gt;0,$Z361&lt;&gt;"",$Z361&lt;&gt;"×",$AC361=0,$AB361=""),"計算額が下限以下のため不支給／",""))</f>
        <v/>
      </c>
      <c r="AL361" s="12" t="n"/>
      <c r="AM361" s="14">
        <f>IF($AD361="保留中",COUNTIF($AD$6:$AD361,"保留中"),"")</f>
        <v/>
      </c>
      <c r="AN361" s="14">
        <f>IF($AO361="","",IF(SUMPRODUCT(MAX((職員マスタ!$A$6:$A$405=$B361)*(((職員マスタ!$G$6:$G$405="")+(職員マスタ!$G$6:$G$405&lt;=EOMONTH($AO361,0)))&gt;0)*(((職員マスタ!$H$6:$H$405="")+(職員マスタ!$H$6:$H$405&gt;=$AO361))&gt;0)*(ROW(職員マスタ!$A$6:$A$405)-5)))&gt;0,SUMPRODUCT(MAX((職員マスタ!$A$6:$A$405=$B361)*(((職員マスタ!$G$6:$G$405="")+(職員マスタ!$G$6:$G$405&lt;=EOMONTH($AO361,0)))&gt;0)*(((職員マスタ!$H$6:$H$405="")+(職員マスタ!$H$6:$H$405&gt;=$AO361))&gt;0)*(ROW(職員マスタ!$A$6:$A$405)-5))),IFERROR(MATCH($B361,職員マスタ!$A$6:$A$405,0),"")))</f>
        <v/>
      </c>
      <c r="AO361" s="16">
        <f>IF(OR($B361="",$C361="",$D361=""),"",DATE($C361+2018,$D361,1))</f>
        <v/>
      </c>
    </row>
    <row r="362">
      <c r="A362" s="11" t="n"/>
      <c r="B362" s="12" t="n">
        <v>6801831</v>
      </c>
      <c r="C362" s="12" t="n">
        <v>7</v>
      </c>
      <c r="D362" s="12" t="n">
        <v>6</v>
      </c>
      <c r="E362" s="13" t="n">
        <v>187039</v>
      </c>
      <c r="F362" s="12" t="n"/>
      <c r="G362" s="13" t="n"/>
      <c r="H362" s="12" t="n"/>
      <c r="I362" s="12" t="n"/>
      <c r="J362" s="12" t="n"/>
      <c r="K362" s="12" t="n"/>
      <c r="L362" s="11" t="n"/>
      <c r="M362" s="11" t="n"/>
      <c r="N362" s="11" t="n"/>
      <c r="O362" s="11" t="n"/>
      <c r="P362" s="12" t="n"/>
      <c r="Q362" s="11" t="n"/>
      <c r="R362" s="12" t="n"/>
      <c r="S362" s="11" t="n"/>
      <c r="T362" s="12" t="n"/>
      <c r="U362" s="12" t="n"/>
      <c r="V362" s="14">
        <f>IF($AN362="",IF($B362="","",$H362),IF(INDEX(職員マスタ!$B$6:$B$405,$AN362)="",$H362,INDEX(職員マスタ!$B$6:$B$405,$AN362)))</f>
        <v/>
      </c>
      <c r="W362" s="14">
        <f>IF($AN362="",IF($B362="","",$R362),IF(INDEX(職員マスタ!$C$6:$C$405,$AN362)="",$R362,INDEX(職員マスタ!$C$6:$C$405,$AN362)))</f>
        <v/>
      </c>
      <c r="X362" s="14">
        <f>IF($AO362="","","R"&amp;$C362&amp;"."&amp;$D362)</f>
        <v/>
      </c>
      <c r="Y362" s="15">
        <f>IF($AN362="","",IF(INDEX(職員マスタ!$K$6:$K$405,$AN362)="","",INDEX(職員マスタ!$K$6:$K$405,$AN362)))</f>
        <v/>
      </c>
      <c r="Z362" s="14">
        <f>IF(OR($E362="",$Y362=""),"",IF($E362&gt;=$Y362,"×",IF($E362&gt;=$Y362*設定!$C$5,"△","○")))</f>
        <v/>
      </c>
      <c r="AA362" s="15">
        <f>IF($Z362="","",IF($Z362="×",0,IF($Z362="○",ROUNDDOWN($E362*設定!$C$4,0),ROUNDDOWN($E362*ROUND((9*$Y362-9*$E362)/(10*$E362),4),0))))</f>
        <v/>
      </c>
      <c r="AB362" s="13" t="n"/>
      <c r="AC362" s="15">
        <f>IF($B362="","",IF($AB362&lt;&gt;"",$AB362,IF($AA362="","",IF($AA362&lt;=設定!$C$3,0,$AA362))))</f>
        <v/>
      </c>
      <c r="AD362" s="14">
        <f>IF($B362="","",IF(AND($AE362&lt;&gt;"",$AG362="",$AJ362=""),"保留中",IF($AJ362&lt;&gt;"",IF(N($AC362)&gt;0,"支給済","不支給"),IF($AC362="","要確認",IF($AC362=0,"不支給","未処理")))))</f>
        <v/>
      </c>
      <c r="AE362" s="12" t="n"/>
      <c r="AF362" s="11" t="n"/>
      <c r="AG362" s="11" t="n"/>
      <c r="AH362" s="11" t="n"/>
      <c r="AI362" s="14">
        <f>IF(AND($AD362="保留中",$AF362&lt;&gt;""),TODAY()-$AF362,"")</f>
        <v/>
      </c>
      <c r="AJ362" s="12" t="inlineStr">
        <is>
          <t>R7.8</t>
        </is>
      </c>
      <c r="AK362" s="14">
        <f>IF($B362="","",IF($AO362="","対象年月が未入力／","")&amp;IF($B362="","",IF($AN362="","職員マスタに未登録の職員番号／",IF($Y362="","標準報酬月額が未登録／","")&amp;IF(AND($AO362&lt;&gt;"",OR(AND(INDEX(職員マスタ!$G$6:$G$405,$AN362)&lt;&gt;"",INDEX(職員マスタ!$G$6:$G$405,$AN362)&gt;EOMONTH($AO362,0)),AND(INDEX(職員マスタ!$H$6:$H$405,$AN362)&lt;&gt;"",INDEX(職員マスタ!$H$6:$H$405,$AN362)&lt;$AO362))),"対象月が時短期間外／","")&amp;IF(AND(INDEX(職員マスタ!$F$6:$F$405,$AN362)&lt;&gt;"",$AO362&lt;&gt;"",INDEX(職員マスタ!$F$6:$F$405,$AN362)&lt;$AO362),"対象月に子が2歳到達済／","")&amp;IF(AND($H362&lt;&gt;"",INDEX(職員マスタ!$B$6:$B$405,$AN362)&lt;&gt;"",SUBSTITUTE(SUBSTITUTE($H362," ","")," ","")&lt;&gt;SUBSTITUTE(SUBSTITUTE(INDEX(職員マスタ!$B$6:$B$405,$AN362)," ","")," ","")),"氏名がマスタと相違／","")&amp;IF(AND($Q362&lt;&gt;"",INDEX(職員マスタ!$E$6:$E$405,$AN362)&lt;&gt;"",$Q362&lt;&gt;INDEX(職員マスタ!$E$6:$E$405,$AN362)),"子の生年月日がマスタと相違／","")&amp;IF(AND($L362&lt;&gt;"",INDEX(職員マスタ!$G$6:$G$405,$AN362)&lt;&gt;"",$L362&lt;&gt;INDEX(職員マスタ!$G$6:$G$405,$AN362)),"時短開始日がマスタと相違／","")&amp;IF(AND($M362&lt;&gt;"",INDEX(職員マスタ!$H$6:$H$405,$AN362)&lt;&gt;"",$M362&lt;&gt;INDEX(職員マスタ!$H$6:$H$405,$AN362)),"時短終了日がマスタと相違／","")))&amp;IF(AND($B362&lt;&gt;"",$E362=""),"報酬額が未入力／","")&amp;IF(N($U362)&gt;0,"申請書に入力エラーが残っています／","")&amp;IF(AND($B362&lt;&gt;"",$AO362&lt;&gt;""),IF(COUNTIFS($B$6:$B$3005,$B362,$C$6:$C$3005,$C362,$D$6:$D$3005,$D362)&gt;1,"同じ月の請求が重複しています／",""),"")&amp;IF(AND(N($E362)&gt;0,$Z362&lt;&gt;"",$Z362&lt;&gt;"×",$AC362=0,$AB362=""),"計算額が下限以下のため不支給／",""))</f>
        <v/>
      </c>
      <c r="AL362" s="12" t="n"/>
      <c r="AM362" s="14">
        <f>IF($AD362="保留中",COUNTIF($AD$6:$AD362,"保留中"),"")</f>
        <v/>
      </c>
      <c r="AN362" s="14">
        <f>IF($AO362="","",IF(SUMPRODUCT(MAX((職員マスタ!$A$6:$A$405=$B362)*(((職員マスタ!$G$6:$G$405="")+(職員マスタ!$G$6:$G$405&lt;=EOMONTH($AO362,0)))&gt;0)*(((職員マスタ!$H$6:$H$405="")+(職員マスタ!$H$6:$H$405&gt;=$AO362))&gt;0)*(ROW(職員マスタ!$A$6:$A$405)-5)))&gt;0,SUMPRODUCT(MAX((職員マスタ!$A$6:$A$405=$B362)*(((職員マスタ!$G$6:$G$405="")+(職員マスタ!$G$6:$G$405&lt;=EOMONTH($AO362,0)))&gt;0)*(((職員マスタ!$H$6:$H$405="")+(職員マスタ!$H$6:$H$405&gt;=$AO362))&gt;0)*(ROW(職員マスタ!$A$6:$A$405)-5))),IFERROR(MATCH($B362,職員マスタ!$A$6:$A$405,0),"")))</f>
        <v/>
      </c>
      <c r="AO362" s="16">
        <f>IF(OR($B362="",$C362="",$D362=""),"",DATE($C362+2018,$D362,1))</f>
        <v/>
      </c>
    </row>
    <row r="363">
      <c r="A363" s="11" t="n"/>
      <c r="B363" s="12" t="n">
        <v>6801831</v>
      </c>
      <c r="C363" s="12" t="n">
        <v>7</v>
      </c>
      <c r="D363" s="12" t="n">
        <v>7</v>
      </c>
      <c r="E363" s="13" t="n">
        <v>183429</v>
      </c>
      <c r="F363" s="12" t="n"/>
      <c r="G363" s="13" t="n"/>
      <c r="H363" s="12" t="n"/>
      <c r="I363" s="12" t="n"/>
      <c r="J363" s="12" t="n"/>
      <c r="K363" s="12" t="n"/>
      <c r="L363" s="11" t="n"/>
      <c r="M363" s="11" t="n"/>
      <c r="N363" s="11" t="n"/>
      <c r="O363" s="11" t="n"/>
      <c r="P363" s="12" t="n"/>
      <c r="Q363" s="11" t="n"/>
      <c r="R363" s="12" t="n"/>
      <c r="S363" s="11" t="n"/>
      <c r="T363" s="12" t="n"/>
      <c r="U363" s="12" t="n"/>
      <c r="V363" s="14">
        <f>IF($AN363="",IF($B363="","",$H363),IF(INDEX(職員マスタ!$B$6:$B$405,$AN363)="",$H363,INDEX(職員マスタ!$B$6:$B$405,$AN363)))</f>
        <v/>
      </c>
      <c r="W363" s="14">
        <f>IF($AN363="",IF($B363="","",$R363),IF(INDEX(職員マスタ!$C$6:$C$405,$AN363)="",$R363,INDEX(職員マスタ!$C$6:$C$405,$AN363)))</f>
        <v/>
      </c>
      <c r="X363" s="14">
        <f>IF($AO363="","","R"&amp;$C363&amp;"."&amp;$D363)</f>
        <v/>
      </c>
      <c r="Y363" s="15">
        <f>IF($AN363="","",IF(INDEX(職員マスタ!$K$6:$K$405,$AN363)="","",INDEX(職員マスタ!$K$6:$K$405,$AN363)))</f>
        <v/>
      </c>
      <c r="Z363" s="14">
        <f>IF(OR($E363="",$Y363=""),"",IF($E363&gt;=$Y363,"×",IF($E363&gt;=$Y363*設定!$C$5,"△","○")))</f>
        <v/>
      </c>
      <c r="AA363" s="15">
        <f>IF($Z363="","",IF($Z363="×",0,IF($Z363="○",ROUNDDOWN($E363*設定!$C$4,0),ROUNDDOWN($E363*ROUND((9*$Y363-9*$E363)/(10*$E363),4),0))))</f>
        <v/>
      </c>
      <c r="AB363" s="13" t="n"/>
      <c r="AC363" s="15">
        <f>IF($B363="","",IF($AB363&lt;&gt;"",$AB363,IF($AA363="","",IF($AA363&lt;=設定!$C$3,0,$AA363))))</f>
        <v/>
      </c>
      <c r="AD363" s="14">
        <f>IF($B363="","",IF(AND($AE363&lt;&gt;"",$AG363="",$AJ363=""),"保留中",IF($AJ363&lt;&gt;"",IF(N($AC363)&gt;0,"支給済","不支給"),IF($AC363="","要確認",IF($AC363=0,"不支給","未処理")))))</f>
        <v/>
      </c>
      <c r="AE363" s="12" t="n"/>
      <c r="AF363" s="11" t="n"/>
      <c r="AG363" s="11" t="n"/>
      <c r="AH363" s="11" t="n"/>
      <c r="AI363" s="14">
        <f>IF(AND($AD363="保留中",$AF363&lt;&gt;""),TODAY()-$AF363,"")</f>
        <v/>
      </c>
      <c r="AJ363" s="12" t="inlineStr">
        <is>
          <t>R7.9</t>
        </is>
      </c>
      <c r="AK363" s="14">
        <f>IF($B363="","",IF($AO363="","対象年月が未入力／","")&amp;IF($B363="","",IF($AN363="","職員マスタに未登録の職員番号／",IF($Y363="","標準報酬月額が未登録／","")&amp;IF(AND($AO363&lt;&gt;"",OR(AND(INDEX(職員マスタ!$G$6:$G$405,$AN363)&lt;&gt;"",INDEX(職員マスタ!$G$6:$G$405,$AN363)&gt;EOMONTH($AO363,0)),AND(INDEX(職員マスタ!$H$6:$H$405,$AN363)&lt;&gt;"",INDEX(職員マスタ!$H$6:$H$405,$AN363)&lt;$AO363))),"対象月が時短期間外／","")&amp;IF(AND(INDEX(職員マスタ!$F$6:$F$405,$AN363)&lt;&gt;"",$AO363&lt;&gt;"",INDEX(職員マスタ!$F$6:$F$405,$AN363)&lt;$AO363),"対象月に子が2歳到達済／","")&amp;IF(AND($H363&lt;&gt;"",INDEX(職員マスタ!$B$6:$B$405,$AN363)&lt;&gt;"",SUBSTITUTE(SUBSTITUTE($H363," ","")," ","")&lt;&gt;SUBSTITUTE(SUBSTITUTE(INDEX(職員マスタ!$B$6:$B$405,$AN363)," ","")," ","")),"氏名がマスタと相違／","")&amp;IF(AND($Q363&lt;&gt;"",INDEX(職員マスタ!$E$6:$E$405,$AN363)&lt;&gt;"",$Q363&lt;&gt;INDEX(職員マスタ!$E$6:$E$405,$AN363)),"子の生年月日がマスタと相違／","")&amp;IF(AND($L363&lt;&gt;"",INDEX(職員マスタ!$G$6:$G$405,$AN363)&lt;&gt;"",$L363&lt;&gt;INDEX(職員マスタ!$G$6:$G$405,$AN363)),"時短開始日がマスタと相違／","")&amp;IF(AND($M363&lt;&gt;"",INDEX(職員マスタ!$H$6:$H$405,$AN363)&lt;&gt;"",$M363&lt;&gt;INDEX(職員マスタ!$H$6:$H$405,$AN363)),"時短終了日がマスタと相違／","")))&amp;IF(AND($B363&lt;&gt;"",$E363=""),"報酬額が未入力／","")&amp;IF(N($U363)&gt;0,"申請書に入力エラーが残っています／","")&amp;IF(AND($B363&lt;&gt;"",$AO363&lt;&gt;""),IF(COUNTIFS($B$6:$B$3005,$B363,$C$6:$C$3005,$C363,$D$6:$D$3005,$D363)&gt;1,"同じ月の請求が重複しています／",""),"")&amp;IF(AND(N($E363)&gt;0,$Z363&lt;&gt;"",$Z363&lt;&gt;"×",$AC363=0,$AB363=""),"計算額が下限以下のため不支給／",""))</f>
        <v/>
      </c>
      <c r="AL363" s="12" t="n"/>
      <c r="AM363" s="14">
        <f>IF($AD363="保留中",COUNTIF($AD$6:$AD363,"保留中"),"")</f>
        <v/>
      </c>
      <c r="AN363" s="14">
        <f>IF($AO363="","",IF(SUMPRODUCT(MAX((職員マスタ!$A$6:$A$405=$B363)*(((職員マスタ!$G$6:$G$405="")+(職員マスタ!$G$6:$G$405&lt;=EOMONTH($AO363,0)))&gt;0)*(((職員マスタ!$H$6:$H$405="")+(職員マスタ!$H$6:$H$405&gt;=$AO363))&gt;0)*(ROW(職員マスタ!$A$6:$A$405)-5)))&gt;0,SUMPRODUCT(MAX((職員マスタ!$A$6:$A$405=$B363)*(((職員マスタ!$G$6:$G$405="")+(職員マスタ!$G$6:$G$405&lt;=EOMONTH($AO363,0)))&gt;0)*(((職員マスタ!$H$6:$H$405="")+(職員マスタ!$H$6:$H$405&gt;=$AO363))&gt;0)*(ROW(職員マスタ!$A$6:$A$405)-5))),IFERROR(MATCH($B363,職員マスタ!$A$6:$A$405,0),"")))</f>
        <v/>
      </c>
      <c r="AO363" s="16">
        <f>IF(OR($B363="",$C363="",$D363=""),"",DATE($C363+2018,$D363,1))</f>
        <v/>
      </c>
    </row>
    <row r="364">
      <c r="A364" s="11" t="n"/>
      <c r="B364" s="12" t="n">
        <v>6801831</v>
      </c>
      <c r="C364" s="12" t="n">
        <v>7</v>
      </c>
      <c r="D364" s="12" t="n">
        <v>8</v>
      </c>
      <c r="E364" s="13" t="n">
        <v>183429</v>
      </c>
      <c r="F364" s="12" t="n"/>
      <c r="G364" s="13" t="n"/>
      <c r="H364" s="12" t="n"/>
      <c r="I364" s="12" t="n"/>
      <c r="J364" s="12" t="n"/>
      <c r="K364" s="12" t="n"/>
      <c r="L364" s="11" t="n"/>
      <c r="M364" s="11" t="n"/>
      <c r="N364" s="11" t="n"/>
      <c r="O364" s="11" t="n"/>
      <c r="P364" s="12" t="n"/>
      <c r="Q364" s="11" t="n"/>
      <c r="R364" s="12" t="n"/>
      <c r="S364" s="11" t="n"/>
      <c r="T364" s="12" t="n"/>
      <c r="U364" s="12" t="n"/>
      <c r="V364" s="14">
        <f>IF($AN364="",IF($B364="","",$H364),IF(INDEX(職員マスタ!$B$6:$B$405,$AN364)="",$H364,INDEX(職員マスタ!$B$6:$B$405,$AN364)))</f>
        <v/>
      </c>
      <c r="W364" s="14">
        <f>IF($AN364="",IF($B364="","",$R364),IF(INDEX(職員マスタ!$C$6:$C$405,$AN364)="",$R364,INDEX(職員マスタ!$C$6:$C$405,$AN364)))</f>
        <v/>
      </c>
      <c r="X364" s="14">
        <f>IF($AO364="","","R"&amp;$C364&amp;"."&amp;$D364)</f>
        <v/>
      </c>
      <c r="Y364" s="15">
        <f>IF($AN364="","",IF(INDEX(職員マスタ!$K$6:$K$405,$AN364)="","",INDEX(職員マスタ!$K$6:$K$405,$AN364)))</f>
        <v/>
      </c>
      <c r="Z364" s="14">
        <f>IF(OR($E364="",$Y364=""),"",IF($E364&gt;=$Y364,"×",IF($E364&gt;=$Y364*設定!$C$5,"△","○")))</f>
        <v/>
      </c>
      <c r="AA364" s="15">
        <f>IF($Z364="","",IF($Z364="×",0,IF($Z364="○",ROUNDDOWN($E364*設定!$C$4,0),ROUNDDOWN($E364*ROUND((9*$Y364-9*$E364)/(10*$E364),4),0))))</f>
        <v/>
      </c>
      <c r="AB364" s="13" t="n"/>
      <c r="AC364" s="15">
        <f>IF($B364="","",IF($AB364&lt;&gt;"",$AB364,IF($AA364="","",IF($AA364&lt;=設定!$C$3,0,$AA364))))</f>
        <v/>
      </c>
      <c r="AD364" s="14">
        <f>IF($B364="","",IF(AND($AE364&lt;&gt;"",$AG364="",$AJ364=""),"保留中",IF($AJ364&lt;&gt;"",IF(N($AC364)&gt;0,"支給済","不支給"),IF($AC364="","要確認",IF($AC364=0,"不支給","未処理")))))</f>
        <v/>
      </c>
      <c r="AE364" s="12" t="n"/>
      <c r="AF364" s="11" t="n"/>
      <c r="AG364" s="11" t="n"/>
      <c r="AH364" s="11" t="n"/>
      <c r="AI364" s="14">
        <f>IF(AND($AD364="保留中",$AF364&lt;&gt;""),TODAY()-$AF364,"")</f>
        <v/>
      </c>
      <c r="AJ364" s="12" t="inlineStr">
        <is>
          <t>R7.10</t>
        </is>
      </c>
      <c r="AK364" s="14">
        <f>IF($B364="","",IF($AO364="","対象年月が未入力／","")&amp;IF($B364="","",IF($AN364="","職員マスタに未登録の職員番号／",IF($Y364="","標準報酬月額が未登録／","")&amp;IF(AND($AO364&lt;&gt;"",OR(AND(INDEX(職員マスタ!$G$6:$G$405,$AN364)&lt;&gt;"",INDEX(職員マスタ!$G$6:$G$405,$AN364)&gt;EOMONTH($AO364,0)),AND(INDEX(職員マスタ!$H$6:$H$405,$AN364)&lt;&gt;"",INDEX(職員マスタ!$H$6:$H$405,$AN364)&lt;$AO364))),"対象月が時短期間外／","")&amp;IF(AND(INDEX(職員マスタ!$F$6:$F$405,$AN364)&lt;&gt;"",$AO364&lt;&gt;"",INDEX(職員マスタ!$F$6:$F$405,$AN364)&lt;$AO364),"対象月に子が2歳到達済／","")&amp;IF(AND($H364&lt;&gt;"",INDEX(職員マスタ!$B$6:$B$405,$AN364)&lt;&gt;"",SUBSTITUTE(SUBSTITUTE($H364," ","")," ","")&lt;&gt;SUBSTITUTE(SUBSTITUTE(INDEX(職員マスタ!$B$6:$B$405,$AN364)," ","")," ","")),"氏名がマスタと相違／","")&amp;IF(AND($Q364&lt;&gt;"",INDEX(職員マスタ!$E$6:$E$405,$AN364)&lt;&gt;"",$Q364&lt;&gt;INDEX(職員マスタ!$E$6:$E$405,$AN364)),"子の生年月日がマスタと相違／","")&amp;IF(AND($L364&lt;&gt;"",INDEX(職員マスタ!$G$6:$G$405,$AN364)&lt;&gt;"",$L364&lt;&gt;INDEX(職員マスタ!$G$6:$G$405,$AN364)),"時短開始日がマスタと相違／","")&amp;IF(AND($M364&lt;&gt;"",INDEX(職員マスタ!$H$6:$H$405,$AN364)&lt;&gt;"",$M364&lt;&gt;INDEX(職員マスタ!$H$6:$H$405,$AN364)),"時短終了日がマスタと相違／","")))&amp;IF(AND($B364&lt;&gt;"",$E364=""),"報酬額が未入力／","")&amp;IF(N($U364)&gt;0,"申請書に入力エラーが残っています／","")&amp;IF(AND($B364&lt;&gt;"",$AO364&lt;&gt;""),IF(COUNTIFS($B$6:$B$3005,$B364,$C$6:$C$3005,$C364,$D$6:$D$3005,$D364)&gt;1,"同じ月の請求が重複しています／",""),"")&amp;IF(AND(N($E364)&gt;0,$Z364&lt;&gt;"",$Z364&lt;&gt;"×",$AC364=0,$AB364=""),"計算額が下限以下のため不支給／",""))</f>
        <v/>
      </c>
      <c r="AL364" s="12" t="n"/>
      <c r="AM364" s="14">
        <f>IF($AD364="保留中",COUNTIF($AD$6:$AD364,"保留中"),"")</f>
        <v/>
      </c>
      <c r="AN364" s="14">
        <f>IF($AO364="","",IF(SUMPRODUCT(MAX((職員マスタ!$A$6:$A$405=$B364)*(((職員マスタ!$G$6:$G$405="")+(職員マスタ!$G$6:$G$405&lt;=EOMONTH($AO364,0)))&gt;0)*(((職員マスタ!$H$6:$H$405="")+(職員マスタ!$H$6:$H$405&gt;=$AO364))&gt;0)*(ROW(職員マスタ!$A$6:$A$405)-5)))&gt;0,SUMPRODUCT(MAX((職員マスタ!$A$6:$A$405=$B364)*(((職員マスタ!$G$6:$G$405="")+(職員マスタ!$G$6:$G$405&lt;=EOMONTH($AO364,0)))&gt;0)*(((職員マスタ!$H$6:$H$405="")+(職員マスタ!$H$6:$H$405&gt;=$AO364))&gt;0)*(ROW(職員マスタ!$A$6:$A$405)-5))),IFERROR(MATCH($B364,職員マスタ!$A$6:$A$405,0),"")))</f>
        <v/>
      </c>
      <c r="AO364" s="16">
        <f>IF(OR($B364="",$C364="",$D364=""),"",DATE($C364+2018,$D364,1))</f>
        <v/>
      </c>
    </row>
    <row r="365">
      <c r="A365" s="11" t="n"/>
      <c r="B365" s="12" t="n">
        <v>6801831</v>
      </c>
      <c r="C365" s="12" t="n">
        <v>7</v>
      </c>
      <c r="D365" s="12" t="n">
        <v>9</v>
      </c>
      <c r="E365" s="13" t="n">
        <v>183429</v>
      </c>
      <c r="F365" s="12" t="n"/>
      <c r="G365" s="13" t="n"/>
      <c r="H365" s="12" t="n"/>
      <c r="I365" s="12" t="n"/>
      <c r="J365" s="12" t="n"/>
      <c r="K365" s="12" t="n"/>
      <c r="L365" s="11" t="n"/>
      <c r="M365" s="11" t="n"/>
      <c r="N365" s="11" t="n"/>
      <c r="O365" s="11" t="n"/>
      <c r="P365" s="12" t="n"/>
      <c r="Q365" s="11" t="n"/>
      <c r="R365" s="12" t="n"/>
      <c r="S365" s="11" t="n"/>
      <c r="T365" s="12" t="n"/>
      <c r="U365" s="12" t="n"/>
      <c r="V365" s="14">
        <f>IF($AN365="",IF($B365="","",$H365),IF(INDEX(職員マスタ!$B$6:$B$405,$AN365)="",$H365,INDEX(職員マスタ!$B$6:$B$405,$AN365)))</f>
        <v/>
      </c>
      <c r="W365" s="14">
        <f>IF($AN365="",IF($B365="","",$R365),IF(INDEX(職員マスタ!$C$6:$C$405,$AN365)="",$R365,INDEX(職員マスタ!$C$6:$C$405,$AN365)))</f>
        <v/>
      </c>
      <c r="X365" s="14">
        <f>IF($AO365="","","R"&amp;$C365&amp;"."&amp;$D365)</f>
        <v/>
      </c>
      <c r="Y365" s="15">
        <f>IF($AN365="","",IF(INDEX(職員マスタ!$K$6:$K$405,$AN365)="","",INDEX(職員マスタ!$K$6:$K$405,$AN365)))</f>
        <v/>
      </c>
      <c r="Z365" s="14">
        <f>IF(OR($E365="",$Y365=""),"",IF($E365&gt;=$Y365,"×",IF($E365&gt;=$Y365*設定!$C$5,"△","○")))</f>
        <v/>
      </c>
      <c r="AA365" s="15">
        <f>IF($Z365="","",IF($Z365="×",0,IF($Z365="○",ROUNDDOWN($E365*設定!$C$4,0),ROUNDDOWN($E365*ROUND((9*$Y365-9*$E365)/(10*$E365),4),0))))</f>
        <v/>
      </c>
      <c r="AB365" s="13" t="n"/>
      <c r="AC365" s="15">
        <f>IF($B365="","",IF($AB365&lt;&gt;"",$AB365,IF($AA365="","",IF($AA365&lt;=設定!$C$3,0,$AA365))))</f>
        <v/>
      </c>
      <c r="AD365" s="14">
        <f>IF($B365="","",IF(AND($AE365&lt;&gt;"",$AG365="",$AJ365=""),"保留中",IF($AJ365&lt;&gt;"",IF(N($AC365)&gt;0,"支給済","不支給"),IF($AC365="","要確認",IF($AC365=0,"不支給","未処理")))))</f>
        <v/>
      </c>
      <c r="AE365" s="12" t="n"/>
      <c r="AF365" s="11" t="n"/>
      <c r="AG365" s="11" t="n"/>
      <c r="AH365" s="11" t="n"/>
      <c r="AI365" s="14">
        <f>IF(AND($AD365="保留中",$AF365&lt;&gt;""),TODAY()-$AF365,"")</f>
        <v/>
      </c>
      <c r="AJ365" s="12" t="inlineStr">
        <is>
          <t>R7.11</t>
        </is>
      </c>
      <c r="AK365" s="14">
        <f>IF($B365="","",IF($AO365="","対象年月が未入力／","")&amp;IF($B365="","",IF($AN365="","職員マスタに未登録の職員番号／",IF($Y365="","標準報酬月額が未登録／","")&amp;IF(AND($AO365&lt;&gt;"",OR(AND(INDEX(職員マスタ!$G$6:$G$405,$AN365)&lt;&gt;"",INDEX(職員マスタ!$G$6:$G$405,$AN365)&gt;EOMONTH($AO365,0)),AND(INDEX(職員マスタ!$H$6:$H$405,$AN365)&lt;&gt;"",INDEX(職員マスタ!$H$6:$H$405,$AN365)&lt;$AO365))),"対象月が時短期間外／","")&amp;IF(AND(INDEX(職員マスタ!$F$6:$F$405,$AN365)&lt;&gt;"",$AO365&lt;&gt;"",INDEX(職員マスタ!$F$6:$F$405,$AN365)&lt;$AO365),"対象月に子が2歳到達済／","")&amp;IF(AND($H365&lt;&gt;"",INDEX(職員マスタ!$B$6:$B$405,$AN365)&lt;&gt;"",SUBSTITUTE(SUBSTITUTE($H365," ","")," ","")&lt;&gt;SUBSTITUTE(SUBSTITUTE(INDEX(職員マスタ!$B$6:$B$405,$AN365)," ","")," ","")),"氏名がマスタと相違／","")&amp;IF(AND($Q365&lt;&gt;"",INDEX(職員マスタ!$E$6:$E$405,$AN365)&lt;&gt;"",$Q365&lt;&gt;INDEX(職員マスタ!$E$6:$E$405,$AN365)),"子の生年月日がマスタと相違／","")&amp;IF(AND($L365&lt;&gt;"",INDEX(職員マスタ!$G$6:$G$405,$AN365)&lt;&gt;"",$L365&lt;&gt;INDEX(職員マスタ!$G$6:$G$405,$AN365)),"時短開始日がマスタと相違／","")&amp;IF(AND($M365&lt;&gt;"",INDEX(職員マスタ!$H$6:$H$405,$AN365)&lt;&gt;"",$M365&lt;&gt;INDEX(職員マスタ!$H$6:$H$405,$AN365)),"時短終了日がマスタと相違／","")))&amp;IF(AND($B365&lt;&gt;"",$E365=""),"報酬額が未入力／","")&amp;IF(N($U365)&gt;0,"申請書に入力エラーが残っています／","")&amp;IF(AND($B365&lt;&gt;"",$AO365&lt;&gt;""),IF(COUNTIFS($B$6:$B$3005,$B365,$C$6:$C$3005,$C365,$D$6:$D$3005,$D365)&gt;1,"同じ月の請求が重複しています／",""),"")&amp;IF(AND(N($E365)&gt;0,$Z365&lt;&gt;"",$Z365&lt;&gt;"×",$AC365=0,$AB365=""),"計算額が下限以下のため不支給／",""))</f>
        <v/>
      </c>
      <c r="AL365" s="12" t="n"/>
      <c r="AM365" s="14">
        <f>IF($AD365="保留中",COUNTIF($AD$6:$AD365,"保留中"),"")</f>
        <v/>
      </c>
      <c r="AN365" s="14">
        <f>IF($AO365="","",IF(SUMPRODUCT(MAX((職員マスタ!$A$6:$A$405=$B365)*(((職員マスタ!$G$6:$G$405="")+(職員マスタ!$G$6:$G$405&lt;=EOMONTH($AO365,0)))&gt;0)*(((職員マスタ!$H$6:$H$405="")+(職員マスタ!$H$6:$H$405&gt;=$AO365))&gt;0)*(ROW(職員マスタ!$A$6:$A$405)-5)))&gt;0,SUMPRODUCT(MAX((職員マスタ!$A$6:$A$405=$B365)*(((職員マスタ!$G$6:$G$405="")+(職員マスタ!$G$6:$G$405&lt;=EOMONTH($AO365,0)))&gt;0)*(((職員マスタ!$H$6:$H$405="")+(職員マスタ!$H$6:$H$405&gt;=$AO365))&gt;0)*(ROW(職員マスタ!$A$6:$A$405)-5))),IFERROR(MATCH($B365,職員マスタ!$A$6:$A$405,0),"")))</f>
        <v/>
      </c>
      <c r="AO365" s="16">
        <f>IF(OR($B365="",$C365="",$D365=""),"",DATE($C365+2018,$D365,1))</f>
        <v/>
      </c>
    </row>
    <row r="366">
      <c r="A366" s="11" t="n"/>
      <c r="B366" s="12" t="n">
        <v>6801831</v>
      </c>
      <c r="C366" s="12" t="n">
        <v>7</v>
      </c>
      <c r="D366" s="12" t="n">
        <v>10</v>
      </c>
      <c r="E366" s="13" t="n">
        <v>183429</v>
      </c>
      <c r="F366" s="12" t="n"/>
      <c r="G366" s="13" t="n"/>
      <c r="H366" s="12" t="n"/>
      <c r="I366" s="12" t="n"/>
      <c r="J366" s="12" t="n"/>
      <c r="K366" s="12" t="n"/>
      <c r="L366" s="11" t="n"/>
      <c r="M366" s="11" t="n"/>
      <c r="N366" s="11" t="n"/>
      <c r="O366" s="11" t="n"/>
      <c r="P366" s="12" t="n"/>
      <c r="Q366" s="11" t="n"/>
      <c r="R366" s="12" t="n"/>
      <c r="S366" s="11" t="n"/>
      <c r="T366" s="12" t="n"/>
      <c r="U366" s="12" t="n"/>
      <c r="V366" s="14">
        <f>IF($AN366="",IF($B366="","",$H366),IF(INDEX(職員マスタ!$B$6:$B$405,$AN366)="",$H366,INDEX(職員マスタ!$B$6:$B$405,$AN366)))</f>
        <v/>
      </c>
      <c r="W366" s="14">
        <f>IF($AN366="",IF($B366="","",$R366),IF(INDEX(職員マスタ!$C$6:$C$405,$AN366)="",$R366,INDEX(職員マスタ!$C$6:$C$405,$AN366)))</f>
        <v/>
      </c>
      <c r="X366" s="14">
        <f>IF($AO366="","","R"&amp;$C366&amp;"."&amp;$D366)</f>
        <v/>
      </c>
      <c r="Y366" s="15">
        <f>IF($AN366="","",IF(INDEX(職員マスタ!$K$6:$K$405,$AN366)="","",INDEX(職員マスタ!$K$6:$K$405,$AN366)))</f>
        <v/>
      </c>
      <c r="Z366" s="14">
        <f>IF(OR($E366="",$Y366=""),"",IF($E366&gt;=$Y366,"×",IF($E366&gt;=$Y366*設定!$C$5,"△","○")))</f>
        <v/>
      </c>
      <c r="AA366" s="15">
        <f>IF($Z366="","",IF($Z366="×",0,IF($Z366="○",ROUNDDOWN($E366*設定!$C$4,0),ROUNDDOWN($E366*ROUND((9*$Y366-9*$E366)/(10*$E366),4),0))))</f>
        <v/>
      </c>
      <c r="AB366" s="13" t="n"/>
      <c r="AC366" s="15">
        <f>IF($B366="","",IF($AB366&lt;&gt;"",$AB366,IF($AA366="","",IF($AA366&lt;=設定!$C$3,0,$AA366))))</f>
        <v/>
      </c>
      <c r="AD366" s="14">
        <f>IF($B366="","",IF(AND($AE366&lt;&gt;"",$AG366="",$AJ366=""),"保留中",IF($AJ366&lt;&gt;"",IF(N($AC366)&gt;0,"支給済","不支給"),IF($AC366="","要確認",IF($AC366=0,"不支給","未処理")))))</f>
        <v/>
      </c>
      <c r="AE366" s="12" t="n"/>
      <c r="AF366" s="11" t="n"/>
      <c r="AG366" s="11" t="n"/>
      <c r="AH366" s="11" t="n"/>
      <c r="AI366" s="14">
        <f>IF(AND($AD366="保留中",$AF366&lt;&gt;""),TODAY()-$AF366,"")</f>
        <v/>
      </c>
      <c r="AJ366" s="12" t="inlineStr">
        <is>
          <t>R8.1</t>
        </is>
      </c>
      <c r="AK366" s="14">
        <f>IF($B366="","",IF($AO366="","対象年月が未入力／","")&amp;IF($B366="","",IF($AN366="","職員マスタに未登録の職員番号／",IF($Y366="","標準報酬月額が未登録／","")&amp;IF(AND($AO366&lt;&gt;"",OR(AND(INDEX(職員マスタ!$G$6:$G$405,$AN366)&lt;&gt;"",INDEX(職員マスタ!$G$6:$G$405,$AN366)&gt;EOMONTH($AO366,0)),AND(INDEX(職員マスタ!$H$6:$H$405,$AN366)&lt;&gt;"",INDEX(職員マスタ!$H$6:$H$405,$AN366)&lt;$AO366))),"対象月が時短期間外／","")&amp;IF(AND(INDEX(職員マスタ!$F$6:$F$405,$AN366)&lt;&gt;"",$AO366&lt;&gt;"",INDEX(職員マスタ!$F$6:$F$405,$AN366)&lt;$AO366),"対象月に子が2歳到達済／","")&amp;IF(AND($H366&lt;&gt;"",INDEX(職員マスタ!$B$6:$B$405,$AN366)&lt;&gt;"",SUBSTITUTE(SUBSTITUTE($H366," ","")," ","")&lt;&gt;SUBSTITUTE(SUBSTITUTE(INDEX(職員マスタ!$B$6:$B$405,$AN366)," ","")," ","")),"氏名がマスタと相違／","")&amp;IF(AND($Q366&lt;&gt;"",INDEX(職員マスタ!$E$6:$E$405,$AN366)&lt;&gt;"",$Q366&lt;&gt;INDEX(職員マスタ!$E$6:$E$405,$AN366)),"子の生年月日がマスタと相違／","")&amp;IF(AND($L366&lt;&gt;"",INDEX(職員マスタ!$G$6:$G$405,$AN366)&lt;&gt;"",$L366&lt;&gt;INDEX(職員マスタ!$G$6:$G$405,$AN366)),"時短開始日がマスタと相違／","")&amp;IF(AND($M366&lt;&gt;"",INDEX(職員マスタ!$H$6:$H$405,$AN366)&lt;&gt;"",$M366&lt;&gt;INDEX(職員マスタ!$H$6:$H$405,$AN366)),"時短終了日がマスタと相違／","")))&amp;IF(AND($B366&lt;&gt;"",$E366=""),"報酬額が未入力／","")&amp;IF(N($U366)&gt;0,"申請書に入力エラーが残っています／","")&amp;IF(AND($B366&lt;&gt;"",$AO366&lt;&gt;""),IF(COUNTIFS($B$6:$B$3005,$B366,$C$6:$C$3005,$C366,$D$6:$D$3005,$D366)&gt;1,"同じ月の請求が重複しています／",""),"")&amp;IF(AND(N($E366)&gt;0,$Z366&lt;&gt;"",$Z366&lt;&gt;"×",$AC366=0,$AB366=""),"計算額が下限以下のため不支給／",""))</f>
        <v/>
      </c>
      <c r="AL366" s="12" t="n"/>
      <c r="AM366" s="14">
        <f>IF($AD366="保留中",COUNTIF($AD$6:$AD366,"保留中"),"")</f>
        <v/>
      </c>
      <c r="AN366" s="14">
        <f>IF($AO366="","",IF(SUMPRODUCT(MAX((職員マスタ!$A$6:$A$405=$B366)*(((職員マスタ!$G$6:$G$405="")+(職員マスタ!$G$6:$G$405&lt;=EOMONTH($AO366,0)))&gt;0)*(((職員マスタ!$H$6:$H$405="")+(職員マスタ!$H$6:$H$405&gt;=$AO366))&gt;0)*(ROW(職員マスタ!$A$6:$A$405)-5)))&gt;0,SUMPRODUCT(MAX((職員マスタ!$A$6:$A$405=$B366)*(((職員マスタ!$G$6:$G$405="")+(職員マスタ!$G$6:$G$405&lt;=EOMONTH($AO366,0)))&gt;0)*(((職員マスタ!$H$6:$H$405="")+(職員マスタ!$H$6:$H$405&gt;=$AO366))&gt;0)*(ROW(職員マスタ!$A$6:$A$405)-5))),IFERROR(MATCH($B366,職員マスタ!$A$6:$A$405,0),"")))</f>
        <v/>
      </c>
      <c r="AO366" s="16">
        <f>IF(OR($B366="",$C366="",$D366=""),"",DATE($C366+2018,$D366,1))</f>
        <v/>
      </c>
    </row>
    <row r="367">
      <c r="A367" s="11" t="n"/>
      <c r="B367" s="12" t="n">
        <v>6801831</v>
      </c>
      <c r="C367" s="12" t="n">
        <v>7</v>
      </c>
      <c r="D367" s="12" t="n">
        <v>11</v>
      </c>
      <c r="E367" s="13" t="n">
        <v>187039</v>
      </c>
      <c r="F367" s="12" t="n"/>
      <c r="G367" s="13" t="n"/>
      <c r="H367" s="12" t="n"/>
      <c r="I367" s="12" t="n"/>
      <c r="J367" s="12" t="n"/>
      <c r="K367" s="12" t="n"/>
      <c r="L367" s="11" t="n"/>
      <c r="M367" s="11" t="n"/>
      <c r="N367" s="11" t="n"/>
      <c r="O367" s="11" t="n"/>
      <c r="P367" s="12" t="n"/>
      <c r="Q367" s="11" t="n"/>
      <c r="R367" s="12" t="n"/>
      <c r="S367" s="11" t="n"/>
      <c r="T367" s="12" t="n"/>
      <c r="U367" s="12" t="n"/>
      <c r="V367" s="14">
        <f>IF($AN367="",IF($B367="","",$H367),IF(INDEX(職員マスタ!$B$6:$B$405,$AN367)="",$H367,INDEX(職員マスタ!$B$6:$B$405,$AN367)))</f>
        <v/>
      </c>
      <c r="W367" s="14">
        <f>IF($AN367="",IF($B367="","",$R367),IF(INDEX(職員マスタ!$C$6:$C$405,$AN367)="",$R367,INDEX(職員マスタ!$C$6:$C$405,$AN367)))</f>
        <v/>
      </c>
      <c r="X367" s="14">
        <f>IF($AO367="","","R"&amp;$C367&amp;"."&amp;$D367)</f>
        <v/>
      </c>
      <c r="Y367" s="15">
        <f>IF($AN367="","",IF(INDEX(職員マスタ!$K$6:$K$405,$AN367)="","",INDEX(職員マスタ!$K$6:$K$405,$AN367)))</f>
        <v/>
      </c>
      <c r="Z367" s="14">
        <f>IF(OR($E367="",$Y367=""),"",IF($E367&gt;=$Y367,"×",IF($E367&gt;=$Y367*設定!$C$5,"△","○")))</f>
        <v/>
      </c>
      <c r="AA367" s="15">
        <f>IF($Z367="","",IF($Z367="×",0,IF($Z367="○",ROUNDDOWN($E367*設定!$C$4,0),ROUNDDOWN($E367*ROUND((9*$Y367-9*$E367)/(10*$E367),4),0))))</f>
        <v/>
      </c>
      <c r="AB367" s="13" t="n"/>
      <c r="AC367" s="15">
        <f>IF($B367="","",IF($AB367&lt;&gt;"",$AB367,IF($AA367="","",IF($AA367&lt;=設定!$C$3,0,$AA367))))</f>
        <v/>
      </c>
      <c r="AD367" s="14">
        <f>IF($B367="","",IF(AND($AE367&lt;&gt;"",$AG367="",$AJ367=""),"保留中",IF($AJ367&lt;&gt;"",IF(N($AC367)&gt;0,"支給済","不支給"),IF($AC367="","要確認",IF($AC367=0,"不支給","未処理")))))</f>
        <v/>
      </c>
      <c r="AE367" s="12" t="n"/>
      <c r="AF367" s="11" t="n"/>
      <c r="AG367" s="11" t="n"/>
      <c r="AH367" s="11" t="n"/>
      <c r="AI367" s="14">
        <f>IF(AND($AD367="保留中",$AF367&lt;&gt;""),TODAY()-$AF367,"")</f>
        <v/>
      </c>
      <c r="AJ367" s="12" t="inlineStr">
        <is>
          <t>R8.1</t>
        </is>
      </c>
      <c r="AK367" s="14">
        <f>IF($B367="","",IF($AO367="","対象年月が未入力／","")&amp;IF($B367="","",IF($AN367="","職員マスタに未登録の職員番号／",IF($Y367="","標準報酬月額が未登録／","")&amp;IF(AND($AO367&lt;&gt;"",OR(AND(INDEX(職員マスタ!$G$6:$G$405,$AN367)&lt;&gt;"",INDEX(職員マスタ!$G$6:$G$405,$AN367)&gt;EOMONTH($AO367,0)),AND(INDEX(職員マスタ!$H$6:$H$405,$AN367)&lt;&gt;"",INDEX(職員マスタ!$H$6:$H$405,$AN367)&lt;$AO367))),"対象月が時短期間外／","")&amp;IF(AND(INDEX(職員マスタ!$F$6:$F$405,$AN367)&lt;&gt;"",$AO367&lt;&gt;"",INDEX(職員マスタ!$F$6:$F$405,$AN367)&lt;$AO367),"対象月に子が2歳到達済／","")&amp;IF(AND($H367&lt;&gt;"",INDEX(職員マスタ!$B$6:$B$405,$AN367)&lt;&gt;"",SUBSTITUTE(SUBSTITUTE($H367," ","")," ","")&lt;&gt;SUBSTITUTE(SUBSTITUTE(INDEX(職員マスタ!$B$6:$B$405,$AN367)," ","")," ","")),"氏名がマスタと相違／","")&amp;IF(AND($Q367&lt;&gt;"",INDEX(職員マスタ!$E$6:$E$405,$AN367)&lt;&gt;"",$Q367&lt;&gt;INDEX(職員マスタ!$E$6:$E$405,$AN367)),"子の生年月日がマスタと相違／","")&amp;IF(AND($L367&lt;&gt;"",INDEX(職員マスタ!$G$6:$G$405,$AN367)&lt;&gt;"",$L367&lt;&gt;INDEX(職員マスタ!$G$6:$G$405,$AN367)),"時短開始日がマスタと相違／","")&amp;IF(AND($M367&lt;&gt;"",INDEX(職員マスタ!$H$6:$H$405,$AN367)&lt;&gt;"",$M367&lt;&gt;INDEX(職員マスタ!$H$6:$H$405,$AN367)),"時短終了日がマスタと相違／","")))&amp;IF(AND($B367&lt;&gt;"",$E367=""),"報酬額が未入力／","")&amp;IF(N($U367)&gt;0,"申請書に入力エラーが残っています／","")&amp;IF(AND($B367&lt;&gt;"",$AO367&lt;&gt;""),IF(COUNTIFS($B$6:$B$3005,$B367,$C$6:$C$3005,$C367,$D$6:$D$3005,$D367)&gt;1,"同じ月の請求が重複しています／",""),"")&amp;IF(AND(N($E367)&gt;0,$Z367&lt;&gt;"",$Z367&lt;&gt;"×",$AC367=0,$AB367=""),"計算額が下限以下のため不支給／",""))</f>
        <v/>
      </c>
      <c r="AL367" s="12" t="n"/>
      <c r="AM367" s="14">
        <f>IF($AD367="保留中",COUNTIF($AD$6:$AD367,"保留中"),"")</f>
        <v/>
      </c>
      <c r="AN367" s="14">
        <f>IF($AO367="","",IF(SUMPRODUCT(MAX((職員マスタ!$A$6:$A$405=$B367)*(((職員マスタ!$G$6:$G$405="")+(職員マスタ!$G$6:$G$405&lt;=EOMONTH($AO367,0)))&gt;0)*(((職員マスタ!$H$6:$H$405="")+(職員マスタ!$H$6:$H$405&gt;=$AO367))&gt;0)*(ROW(職員マスタ!$A$6:$A$405)-5)))&gt;0,SUMPRODUCT(MAX((職員マスタ!$A$6:$A$405=$B367)*(((職員マスタ!$G$6:$G$405="")+(職員マスタ!$G$6:$G$405&lt;=EOMONTH($AO367,0)))&gt;0)*(((職員マスタ!$H$6:$H$405="")+(職員マスタ!$H$6:$H$405&gt;=$AO367))&gt;0)*(ROW(職員マスタ!$A$6:$A$405)-5))),IFERROR(MATCH($B367,職員マスタ!$A$6:$A$405,0),"")))</f>
        <v/>
      </c>
      <c r="AO367" s="16">
        <f>IF(OR($B367="",$C367="",$D367=""),"",DATE($C367+2018,$D367,1))</f>
        <v/>
      </c>
    </row>
    <row r="368">
      <c r="A368" s="11" t="n"/>
      <c r="B368" s="12" t="n">
        <v>6801831</v>
      </c>
      <c r="C368" s="12" t="n">
        <v>7</v>
      </c>
      <c r="D368" s="12" t="n">
        <v>12</v>
      </c>
      <c r="E368" s="13" t="n">
        <v>194404</v>
      </c>
      <c r="F368" s="12" t="n"/>
      <c r="G368" s="13" t="n"/>
      <c r="H368" s="12" t="n"/>
      <c r="I368" s="12" t="n"/>
      <c r="J368" s="12" t="n"/>
      <c r="K368" s="12" t="n"/>
      <c r="L368" s="11" t="n"/>
      <c r="M368" s="11" t="n"/>
      <c r="N368" s="11" t="n"/>
      <c r="O368" s="11" t="n"/>
      <c r="P368" s="12" t="n"/>
      <c r="Q368" s="11" t="n"/>
      <c r="R368" s="12" t="n"/>
      <c r="S368" s="11" t="n"/>
      <c r="T368" s="12" t="n"/>
      <c r="U368" s="12" t="n"/>
      <c r="V368" s="14">
        <f>IF($AN368="",IF($B368="","",$H368),IF(INDEX(職員マスタ!$B$6:$B$405,$AN368)="",$H368,INDEX(職員マスタ!$B$6:$B$405,$AN368)))</f>
        <v/>
      </c>
      <c r="W368" s="14">
        <f>IF($AN368="",IF($B368="","",$R368),IF(INDEX(職員マスタ!$C$6:$C$405,$AN368)="",$R368,INDEX(職員マスタ!$C$6:$C$405,$AN368)))</f>
        <v/>
      </c>
      <c r="X368" s="14">
        <f>IF($AO368="","","R"&amp;$C368&amp;"."&amp;$D368)</f>
        <v/>
      </c>
      <c r="Y368" s="15">
        <f>IF($AN368="","",IF(INDEX(職員マスタ!$K$6:$K$405,$AN368)="","",INDEX(職員マスタ!$K$6:$K$405,$AN368)))</f>
        <v/>
      </c>
      <c r="Z368" s="14">
        <f>IF(OR($E368="",$Y368=""),"",IF($E368&gt;=$Y368,"×",IF($E368&gt;=$Y368*設定!$C$5,"△","○")))</f>
        <v/>
      </c>
      <c r="AA368" s="15">
        <f>IF($Z368="","",IF($Z368="×",0,IF($Z368="○",ROUNDDOWN($E368*設定!$C$4,0),ROUNDDOWN($E368*ROUND((9*$Y368-9*$E368)/(10*$E368),4),0))))</f>
        <v/>
      </c>
      <c r="AB368" s="13" t="n"/>
      <c r="AC368" s="15">
        <f>IF($B368="","",IF($AB368&lt;&gt;"",$AB368,IF($AA368="","",IF($AA368&lt;=設定!$C$3,0,$AA368))))</f>
        <v/>
      </c>
      <c r="AD368" s="14">
        <f>IF($B368="","",IF(AND($AE368&lt;&gt;"",$AG368="",$AJ368=""),"保留中",IF($AJ368&lt;&gt;"",IF(N($AC368)&gt;0,"支給済","不支給"),IF($AC368="","要確認",IF($AC368=0,"不支給","未処理")))))</f>
        <v/>
      </c>
      <c r="AE368" s="12" t="n"/>
      <c r="AF368" s="11" t="n"/>
      <c r="AG368" s="11" t="n"/>
      <c r="AH368" s="11" t="n"/>
      <c r="AI368" s="14">
        <f>IF(AND($AD368="保留中",$AF368&lt;&gt;""),TODAY()-$AF368,"")</f>
        <v/>
      </c>
      <c r="AJ368" s="12" t="inlineStr">
        <is>
          <t>R8.2</t>
        </is>
      </c>
      <c r="AK368" s="14">
        <f>IF($B368="","",IF($AO368="","対象年月が未入力／","")&amp;IF($B368="","",IF($AN368="","職員マスタに未登録の職員番号／",IF($Y368="","標準報酬月額が未登録／","")&amp;IF(AND($AO368&lt;&gt;"",OR(AND(INDEX(職員マスタ!$G$6:$G$405,$AN368)&lt;&gt;"",INDEX(職員マスタ!$G$6:$G$405,$AN368)&gt;EOMONTH($AO368,0)),AND(INDEX(職員マスタ!$H$6:$H$405,$AN368)&lt;&gt;"",INDEX(職員マスタ!$H$6:$H$405,$AN368)&lt;$AO368))),"対象月が時短期間外／","")&amp;IF(AND(INDEX(職員マスタ!$F$6:$F$405,$AN368)&lt;&gt;"",$AO368&lt;&gt;"",INDEX(職員マスタ!$F$6:$F$405,$AN368)&lt;$AO368),"対象月に子が2歳到達済／","")&amp;IF(AND($H368&lt;&gt;"",INDEX(職員マスタ!$B$6:$B$405,$AN368)&lt;&gt;"",SUBSTITUTE(SUBSTITUTE($H368," ","")," ","")&lt;&gt;SUBSTITUTE(SUBSTITUTE(INDEX(職員マスタ!$B$6:$B$405,$AN368)," ","")," ","")),"氏名がマスタと相違／","")&amp;IF(AND($Q368&lt;&gt;"",INDEX(職員マスタ!$E$6:$E$405,$AN368)&lt;&gt;"",$Q368&lt;&gt;INDEX(職員マスタ!$E$6:$E$405,$AN368)),"子の生年月日がマスタと相違／","")&amp;IF(AND($L368&lt;&gt;"",INDEX(職員マスタ!$G$6:$G$405,$AN368)&lt;&gt;"",$L368&lt;&gt;INDEX(職員マスタ!$G$6:$G$405,$AN368)),"時短開始日がマスタと相違／","")&amp;IF(AND($M368&lt;&gt;"",INDEX(職員マスタ!$H$6:$H$405,$AN368)&lt;&gt;"",$M368&lt;&gt;INDEX(職員マスタ!$H$6:$H$405,$AN368)),"時短終了日がマスタと相違／","")))&amp;IF(AND($B368&lt;&gt;"",$E368=""),"報酬額が未入力／","")&amp;IF(N($U368)&gt;0,"申請書に入力エラーが残っています／","")&amp;IF(AND($B368&lt;&gt;"",$AO368&lt;&gt;""),IF(COUNTIFS($B$6:$B$3005,$B368,$C$6:$C$3005,$C368,$D$6:$D$3005,$D368)&gt;1,"同じ月の請求が重複しています／",""),"")&amp;IF(AND(N($E368)&gt;0,$Z368&lt;&gt;"",$Z368&lt;&gt;"×",$AC368=0,$AB368=""),"計算額が下限以下のため不支給／",""))</f>
        <v/>
      </c>
      <c r="AL368" s="12" t="n"/>
      <c r="AM368" s="14">
        <f>IF($AD368="保留中",COUNTIF($AD$6:$AD368,"保留中"),"")</f>
        <v/>
      </c>
      <c r="AN368" s="14">
        <f>IF($AO368="","",IF(SUMPRODUCT(MAX((職員マスタ!$A$6:$A$405=$B368)*(((職員マスタ!$G$6:$G$405="")+(職員マスタ!$G$6:$G$405&lt;=EOMONTH($AO368,0)))&gt;0)*(((職員マスタ!$H$6:$H$405="")+(職員マスタ!$H$6:$H$405&gt;=$AO368))&gt;0)*(ROW(職員マスタ!$A$6:$A$405)-5)))&gt;0,SUMPRODUCT(MAX((職員マスタ!$A$6:$A$405=$B368)*(((職員マスタ!$G$6:$G$405="")+(職員マスタ!$G$6:$G$405&lt;=EOMONTH($AO368,0)))&gt;0)*(((職員マスタ!$H$6:$H$405="")+(職員マスタ!$H$6:$H$405&gt;=$AO368))&gt;0)*(ROW(職員マスタ!$A$6:$A$405)-5))),IFERROR(MATCH($B368,職員マスタ!$A$6:$A$405,0),"")))</f>
        <v/>
      </c>
      <c r="AO368" s="16">
        <f>IF(OR($B368="",$C368="",$D368=""),"",DATE($C368+2018,$D368,1))</f>
        <v/>
      </c>
    </row>
    <row r="369">
      <c r="A369" s="11" t="n"/>
      <c r="B369" s="12" t="n">
        <v>6801831</v>
      </c>
      <c r="C369" s="12" t="n">
        <v>8</v>
      </c>
      <c r="D369" s="12" t="n">
        <v>1</v>
      </c>
      <c r="E369" s="13" t="n">
        <v>190644</v>
      </c>
      <c r="F369" s="12" t="n"/>
      <c r="G369" s="13" t="n"/>
      <c r="H369" s="12" t="n"/>
      <c r="I369" s="12" t="n"/>
      <c r="J369" s="12" t="n"/>
      <c r="K369" s="12" t="n"/>
      <c r="L369" s="11" t="n"/>
      <c r="M369" s="11" t="n"/>
      <c r="N369" s="11" t="n"/>
      <c r="O369" s="11" t="n"/>
      <c r="P369" s="12" t="n"/>
      <c r="Q369" s="11" t="n"/>
      <c r="R369" s="12" t="n"/>
      <c r="S369" s="11" t="n"/>
      <c r="T369" s="12" t="n"/>
      <c r="U369" s="12" t="n"/>
      <c r="V369" s="14">
        <f>IF($AN369="",IF($B369="","",$H369),IF(INDEX(職員マスタ!$B$6:$B$405,$AN369)="",$H369,INDEX(職員マスタ!$B$6:$B$405,$AN369)))</f>
        <v/>
      </c>
      <c r="W369" s="14">
        <f>IF($AN369="",IF($B369="","",$R369),IF(INDEX(職員マスタ!$C$6:$C$405,$AN369)="",$R369,INDEX(職員マスタ!$C$6:$C$405,$AN369)))</f>
        <v/>
      </c>
      <c r="X369" s="14">
        <f>IF($AO369="","","R"&amp;$C369&amp;"."&amp;$D369)</f>
        <v/>
      </c>
      <c r="Y369" s="15">
        <f>IF($AN369="","",IF(INDEX(職員マスタ!$K$6:$K$405,$AN369)="","",INDEX(職員マスタ!$K$6:$K$405,$AN369)))</f>
        <v/>
      </c>
      <c r="Z369" s="14">
        <f>IF(OR($E369="",$Y369=""),"",IF($E369&gt;=$Y369,"×",IF($E369&gt;=$Y369*設定!$C$5,"△","○")))</f>
        <v/>
      </c>
      <c r="AA369" s="15">
        <f>IF($Z369="","",IF($Z369="×",0,IF($Z369="○",ROUNDDOWN($E369*設定!$C$4,0),ROUNDDOWN($E369*ROUND((9*$Y369-9*$E369)/(10*$E369),4),0))))</f>
        <v/>
      </c>
      <c r="AB369" s="13" t="n"/>
      <c r="AC369" s="15">
        <f>IF($B369="","",IF($AB369&lt;&gt;"",$AB369,IF($AA369="","",IF($AA369&lt;=設定!$C$3,0,$AA369))))</f>
        <v/>
      </c>
      <c r="AD369" s="14">
        <f>IF($B369="","",IF(AND($AE369&lt;&gt;"",$AG369="",$AJ369=""),"保留中",IF($AJ369&lt;&gt;"",IF(N($AC369)&gt;0,"支給済","不支給"),IF($AC369="","要確認",IF($AC369=0,"不支給","未処理")))))</f>
        <v/>
      </c>
      <c r="AE369" s="12" t="n"/>
      <c r="AF369" s="11" t="n"/>
      <c r="AG369" s="11" t="n"/>
      <c r="AH369" s="11" t="n"/>
      <c r="AI369" s="14">
        <f>IF(AND($AD369="保留中",$AF369&lt;&gt;""),TODAY()-$AF369,"")</f>
        <v/>
      </c>
      <c r="AJ369" s="12" t="inlineStr">
        <is>
          <t>R8.3</t>
        </is>
      </c>
      <c r="AK369" s="14">
        <f>IF($B369="","",IF($AO369="","対象年月が未入力／","")&amp;IF($B369="","",IF($AN369="","職員マスタに未登録の職員番号／",IF($Y369="","標準報酬月額が未登録／","")&amp;IF(AND($AO369&lt;&gt;"",OR(AND(INDEX(職員マスタ!$G$6:$G$405,$AN369)&lt;&gt;"",INDEX(職員マスタ!$G$6:$G$405,$AN369)&gt;EOMONTH($AO369,0)),AND(INDEX(職員マスタ!$H$6:$H$405,$AN369)&lt;&gt;"",INDEX(職員マスタ!$H$6:$H$405,$AN369)&lt;$AO369))),"対象月が時短期間外／","")&amp;IF(AND(INDEX(職員マスタ!$F$6:$F$405,$AN369)&lt;&gt;"",$AO369&lt;&gt;"",INDEX(職員マスタ!$F$6:$F$405,$AN369)&lt;$AO369),"対象月に子が2歳到達済／","")&amp;IF(AND($H369&lt;&gt;"",INDEX(職員マスタ!$B$6:$B$405,$AN369)&lt;&gt;"",SUBSTITUTE(SUBSTITUTE($H369," ","")," ","")&lt;&gt;SUBSTITUTE(SUBSTITUTE(INDEX(職員マスタ!$B$6:$B$405,$AN369)," ","")," ","")),"氏名がマスタと相違／","")&amp;IF(AND($Q369&lt;&gt;"",INDEX(職員マスタ!$E$6:$E$405,$AN369)&lt;&gt;"",$Q369&lt;&gt;INDEX(職員マスタ!$E$6:$E$405,$AN369)),"子の生年月日がマスタと相違／","")&amp;IF(AND($L369&lt;&gt;"",INDEX(職員マスタ!$G$6:$G$405,$AN369)&lt;&gt;"",$L369&lt;&gt;INDEX(職員マスタ!$G$6:$G$405,$AN369)),"時短開始日がマスタと相違／","")&amp;IF(AND($M369&lt;&gt;"",INDEX(職員マスタ!$H$6:$H$405,$AN369)&lt;&gt;"",$M369&lt;&gt;INDEX(職員マスタ!$H$6:$H$405,$AN369)),"時短終了日がマスタと相違／","")))&amp;IF(AND($B369&lt;&gt;"",$E369=""),"報酬額が未入力／","")&amp;IF(N($U369)&gt;0,"申請書に入力エラーが残っています／","")&amp;IF(AND($B369&lt;&gt;"",$AO369&lt;&gt;""),IF(COUNTIFS($B$6:$B$3005,$B369,$C$6:$C$3005,$C369,$D$6:$D$3005,$D369)&gt;1,"同じ月の請求が重複しています／",""),"")&amp;IF(AND(N($E369)&gt;0,$Z369&lt;&gt;"",$Z369&lt;&gt;"×",$AC369=0,$AB369=""),"計算額が下限以下のため不支給／",""))</f>
        <v/>
      </c>
      <c r="AL369" s="12" t="n"/>
      <c r="AM369" s="14">
        <f>IF($AD369="保留中",COUNTIF($AD$6:$AD369,"保留中"),"")</f>
        <v/>
      </c>
      <c r="AN369" s="14">
        <f>IF($AO369="","",IF(SUMPRODUCT(MAX((職員マスタ!$A$6:$A$405=$B369)*(((職員マスタ!$G$6:$G$405="")+(職員マスタ!$G$6:$G$405&lt;=EOMONTH($AO369,0)))&gt;0)*(((職員マスタ!$H$6:$H$405="")+(職員マスタ!$H$6:$H$405&gt;=$AO369))&gt;0)*(ROW(職員マスタ!$A$6:$A$405)-5)))&gt;0,SUMPRODUCT(MAX((職員マスタ!$A$6:$A$405=$B369)*(((職員マスタ!$G$6:$G$405="")+(職員マスタ!$G$6:$G$405&lt;=EOMONTH($AO369,0)))&gt;0)*(((職員マスタ!$H$6:$H$405="")+(職員マスタ!$H$6:$H$405&gt;=$AO369))&gt;0)*(ROW(職員マスタ!$A$6:$A$405)-5))),IFERROR(MATCH($B369,職員マスタ!$A$6:$A$405,0),"")))</f>
        <v/>
      </c>
      <c r="AO369" s="16">
        <f>IF(OR($B369="",$C369="",$D369=""),"",DATE($C369+2018,$D369,1))</f>
        <v/>
      </c>
    </row>
    <row r="370">
      <c r="A370" s="11" t="n"/>
      <c r="B370" s="12" t="n">
        <v>6801831</v>
      </c>
      <c r="C370" s="12" t="n">
        <v>8</v>
      </c>
      <c r="D370" s="12" t="n">
        <v>2</v>
      </c>
      <c r="E370" s="13" t="n">
        <v>190644</v>
      </c>
      <c r="F370" s="12" t="n"/>
      <c r="G370" s="13" t="n"/>
      <c r="H370" s="12" t="n"/>
      <c r="I370" s="12" t="n"/>
      <c r="J370" s="12" t="n"/>
      <c r="K370" s="12" t="n"/>
      <c r="L370" s="11" t="n"/>
      <c r="M370" s="11" t="n"/>
      <c r="N370" s="11" t="n"/>
      <c r="O370" s="11" t="n"/>
      <c r="P370" s="12" t="n"/>
      <c r="Q370" s="11" t="n"/>
      <c r="R370" s="12" t="n"/>
      <c r="S370" s="11" t="n"/>
      <c r="T370" s="12" t="n"/>
      <c r="U370" s="12" t="n"/>
      <c r="V370" s="14">
        <f>IF($AN370="",IF($B370="","",$H370),IF(INDEX(職員マスタ!$B$6:$B$405,$AN370)="",$H370,INDEX(職員マスタ!$B$6:$B$405,$AN370)))</f>
        <v/>
      </c>
      <c r="W370" s="14">
        <f>IF($AN370="",IF($B370="","",$R370),IF(INDEX(職員マスタ!$C$6:$C$405,$AN370)="",$R370,INDEX(職員マスタ!$C$6:$C$405,$AN370)))</f>
        <v/>
      </c>
      <c r="X370" s="14">
        <f>IF($AO370="","","R"&amp;$C370&amp;"."&amp;$D370)</f>
        <v/>
      </c>
      <c r="Y370" s="15">
        <f>IF($AN370="","",IF(INDEX(職員マスタ!$K$6:$K$405,$AN370)="","",INDEX(職員マスタ!$K$6:$K$405,$AN370)))</f>
        <v/>
      </c>
      <c r="Z370" s="14">
        <f>IF(OR($E370="",$Y370=""),"",IF($E370&gt;=$Y370,"×",IF($E370&gt;=$Y370*設定!$C$5,"△","○")))</f>
        <v/>
      </c>
      <c r="AA370" s="15">
        <f>IF($Z370="","",IF($Z370="×",0,IF($Z370="○",ROUNDDOWN($E370*設定!$C$4,0),ROUNDDOWN($E370*ROUND((9*$Y370-9*$E370)/(10*$E370),4),0))))</f>
        <v/>
      </c>
      <c r="AB370" s="13" t="n"/>
      <c r="AC370" s="15">
        <f>IF($B370="","",IF($AB370&lt;&gt;"",$AB370,IF($AA370="","",IF($AA370&lt;=設定!$C$3,0,$AA370))))</f>
        <v/>
      </c>
      <c r="AD370" s="14">
        <f>IF($B370="","",IF(AND($AE370&lt;&gt;"",$AG370="",$AJ370=""),"保留中",IF($AJ370&lt;&gt;"",IF(N($AC370)&gt;0,"支給済","不支給"),IF($AC370="","要確認",IF($AC370=0,"不支給","未処理")))))</f>
        <v/>
      </c>
      <c r="AE370" s="12" t="n"/>
      <c r="AF370" s="11" t="n"/>
      <c r="AG370" s="11" t="n"/>
      <c r="AH370" s="11" t="n"/>
      <c r="AI370" s="14">
        <f>IF(AND($AD370="保留中",$AF370&lt;&gt;""),TODAY()-$AF370,"")</f>
        <v/>
      </c>
      <c r="AJ370" s="12" t="inlineStr">
        <is>
          <t>R8.4</t>
        </is>
      </c>
      <c r="AK370" s="14">
        <f>IF($B370="","",IF($AO370="","対象年月が未入力／","")&amp;IF($B370="","",IF($AN370="","職員マスタに未登録の職員番号／",IF($Y370="","標準報酬月額が未登録／","")&amp;IF(AND($AO370&lt;&gt;"",OR(AND(INDEX(職員マスタ!$G$6:$G$405,$AN370)&lt;&gt;"",INDEX(職員マスタ!$G$6:$G$405,$AN370)&gt;EOMONTH($AO370,0)),AND(INDEX(職員マスタ!$H$6:$H$405,$AN370)&lt;&gt;"",INDEX(職員マスタ!$H$6:$H$405,$AN370)&lt;$AO370))),"対象月が時短期間外／","")&amp;IF(AND(INDEX(職員マスタ!$F$6:$F$405,$AN370)&lt;&gt;"",$AO370&lt;&gt;"",INDEX(職員マスタ!$F$6:$F$405,$AN370)&lt;$AO370),"対象月に子が2歳到達済／","")&amp;IF(AND($H370&lt;&gt;"",INDEX(職員マスタ!$B$6:$B$405,$AN370)&lt;&gt;"",SUBSTITUTE(SUBSTITUTE($H370," ","")," ","")&lt;&gt;SUBSTITUTE(SUBSTITUTE(INDEX(職員マスタ!$B$6:$B$405,$AN370)," ","")," ","")),"氏名がマスタと相違／","")&amp;IF(AND($Q370&lt;&gt;"",INDEX(職員マスタ!$E$6:$E$405,$AN370)&lt;&gt;"",$Q370&lt;&gt;INDEX(職員マスタ!$E$6:$E$405,$AN370)),"子の生年月日がマスタと相違／","")&amp;IF(AND($L370&lt;&gt;"",INDEX(職員マスタ!$G$6:$G$405,$AN370)&lt;&gt;"",$L370&lt;&gt;INDEX(職員マスタ!$G$6:$G$405,$AN370)),"時短開始日がマスタと相違／","")&amp;IF(AND($M370&lt;&gt;"",INDEX(職員マスタ!$H$6:$H$405,$AN370)&lt;&gt;"",$M370&lt;&gt;INDEX(職員マスタ!$H$6:$H$405,$AN370)),"時短終了日がマスタと相違／","")))&amp;IF(AND($B370&lt;&gt;"",$E370=""),"報酬額が未入力／","")&amp;IF(N($U370)&gt;0,"申請書に入力エラーが残っています／","")&amp;IF(AND($B370&lt;&gt;"",$AO370&lt;&gt;""),IF(COUNTIFS($B$6:$B$3005,$B370,$C$6:$C$3005,$C370,$D$6:$D$3005,$D370)&gt;1,"同じ月の請求が重複しています／",""),"")&amp;IF(AND(N($E370)&gt;0,$Z370&lt;&gt;"",$Z370&lt;&gt;"×",$AC370=0,$AB370=""),"計算額が下限以下のため不支給／",""))</f>
        <v/>
      </c>
      <c r="AL370" s="12" t="n"/>
      <c r="AM370" s="14">
        <f>IF($AD370="保留中",COUNTIF($AD$6:$AD370,"保留中"),"")</f>
        <v/>
      </c>
      <c r="AN370" s="14">
        <f>IF($AO370="","",IF(SUMPRODUCT(MAX((職員マスタ!$A$6:$A$405=$B370)*(((職員マスタ!$G$6:$G$405="")+(職員マスタ!$G$6:$G$405&lt;=EOMONTH($AO370,0)))&gt;0)*(((職員マスタ!$H$6:$H$405="")+(職員マスタ!$H$6:$H$405&gt;=$AO370))&gt;0)*(ROW(職員マスタ!$A$6:$A$405)-5)))&gt;0,SUMPRODUCT(MAX((職員マスタ!$A$6:$A$405=$B370)*(((職員マスタ!$G$6:$G$405="")+(職員マスタ!$G$6:$G$405&lt;=EOMONTH($AO370,0)))&gt;0)*(((職員マスタ!$H$6:$H$405="")+(職員マスタ!$H$6:$H$405&gt;=$AO370))&gt;0)*(ROW(職員マスタ!$A$6:$A$405)-5))),IFERROR(MATCH($B370,職員マスタ!$A$6:$A$405,0),"")))</f>
        <v/>
      </c>
      <c r="AO370" s="16">
        <f>IF(OR($B370="",$C370="",$D370=""),"",DATE($C370+2018,$D370,1))</f>
        <v/>
      </c>
    </row>
    <row r="371">
      <c r="A371" s="11" t="n"/>
      <c r="B371" s="12" t="n">
        <v>6801831</v>
      </c>
      <c r="C371" s="12" t="n">
        <v>8</v>
      </c>
      <c r="D371" s="12" t="n">
        <v>3</v>
      </c>
      <c r="E371" s="13" t="n">
        <v>194404</v>
      </c>
      <c r="F371" s="12" t="n"/>
      <c r="G371" s="13" t="n"/>
      <c r="H371" s="12" t="n"/>
      <c r="I371" s="12" t="n"/>
      <c r="J371" s="12" t="n"/>
      <c r="K371" s="12" t="n"/>
      <c r="L371" s="11" t="n"/>
      <c r="M371" s="11" t="n"/>
      <c r="N371" s="11" t="n"/>
      <c r="O371" s="11" t="n"/>
      <c r="P371" s="12" t="n"/>
      <c r="Q371" s="11" t="n"/>
      <c r="R371" s="12" t="n"/>
      <c r="S371" s="11" t="n"/>
      <c r="T371" s="12" t="n"/>
      <c r="U371" s="12" t="n"/>
      <c r="V371" s="14">
        <f>IF($AN371="",IF($B371="","",$H371),IF(INDEX(職員マスタ!$B$6:$B$405,$AN371)="",$H371,INDEX(職員マスタ!$B$6:$B$405,$AN371)))</f>
        <v/>
      </c>
      <c r="W371" s="14">
        <f>IF($AN371="",IF($B371="","",$R371),IF(INDEX(職員マスタ!$C$6:$C$405,$AN371)="",$R371,INDEX(職員マスタ!$C$6:$C$405,$AN371)))</f>
        <v/>
      </c>
      <c r="X371" s="14">
        <f>IF($AO371="","","R"&amp;$C371&amp;"."&amp;$D371)</f>
        <v/>
      </c>
      <c r="Y371" s="15">
        <f>IF($AN371="","",IF(INDEX(職員マスタ!$K$6:$K$405,$AN371)="","",INDEX(職員マスタ!$K$6:$K$405,$AN371)))</f>
        <v/>
      </c>
      <c r="Z371" s="14">
        <f>IF(OR($E371="",$Y371=""),"",IF($E371&gt;=$Y371,"×",IF($E371&gt;=$Y371*設定!$C$5,"△","○")))</f>
        <v/>
      </c>
      <c r="AA371" s="15">
        <f>IF($Z371="","",IF($Z371="×",0,IF($Z371="○",ROUNDDOWN($E371*設定!$C$4,0),ROUNDDOWN($E371*ROUND((9*$Y371-9*$E371)/(10*$E371),4),0))))</f>
        <v/>
      </c>
      <c r="AB371" s="13" t="n"/>
      <c r="AC371" s="15">
        <f>IF($B371="","",IF($AB371&lt;&gt;"",$AB371,IF($AA371="","",IF($AA371&lt;=設定!$C$3,0,$AA371))))</f>
        <v/>
      </c>
      <c r="AD371" s="14">
        <f>IF($B371="","",IF(AND($AE371&lt;&gt;"",$AG371="",$AJ371=""),"保留中",IF($AJ371&lt;&gt;"",IF(N($AC371)&gt;0,"支給済","不支給"),IF($AC371="","要確認",IF($AC371=0,"不支給","未処理")))))</f>
        <v/>
      </c>
      <c r="AE371" s="12" t="n"/>
      <c r="AF371" s="11" t="n"/>
      <c r="AG371" s="11" t="n"/>
      <c r="AH371" s="11" t="n"/>
      <c r="AI371" s="14">
        <f>IF(AND($AD371="保留中",$AF371&lt;&gt;""),TODAY()-$AF371,"")</f>
        <v/>
      </c>
      <c r="AJ371" s="12" t="inlineStr">
        <is>
          <t>R8.5</t>
        </is>
      </c>
      <c r="AK371" s="14">
        <f>IF($B371="","",IF($AO371="","対象年月が未入力／","")&amp;IF($B371="","",IF($AN371="","職員マスタに未登録の職員番号／",IF($Y371="","標準報酬月額が未登録／","")&amp;IF(AND($AO371&lt;&gt;"",OR(AND(INDEX(職員マスタ!$G$6:$G$405,$AN371)&lt;&gt;"",INDEX(職員マスタ!$G$6:$G$405,$AN371)&gt;EOMONTH($AO371,0)),AND(INDEX(職員マスタ!$H$6:$H$405,$AN371)&lt;&gt;"",INDEX(職員マスタ!$H$6:$H$405,$AN371)&lt;$AO371))),"対象月が時短期間外／","")&amp;IF(AND(INDEX(職員マスタ!$F$6:$F$405,$AN371)&lt;&gt;"",$AO371&lt;&gt;"",INDEX(職員マスタ!$F$6:$F$405,$AN371)&lt;$AO371),"対象月に子が2歳到達済／","")&amp;IF(AND($H371&lt;&gt;"",INDEX(職員マスタ!$B$6:$B$405,$AN371)&lt;&gt;"",SUBSTITUTE(SUBSTITUTE($H371," ","")," ","")&lt;&gt;SUBSTITUTE(SUBSTITUTE(INDEX(職員マスタ!$B$6:$B$405,$AN371)," ","")," ","")),"氏名がマスタと相違／","")&amp;IF(AND($Q371&lt;&gt;"",INDEX(職員マスタ!$E$6:$E$405,$AN371)&lt;&gt;"",$Q371&lt;&gt;INDEX(職員マスタ!$E$6:$E$405,$AN371)),"子の生年月日がマスタと相違／","")&amp;IF(AND($L371&lt;&gt;"",INDEX(職員マスタ!$G$6:$G$405,$AN371)&lt;&gt;"",$L371&lt;&gt;INDEX(職員マスタ!$G$6:$G$405,$AN371)),"時短開始日がマスタと相違／","")&amp;IF(AND($M371&lt;&gt;"",INDEX(職員マスタ!$H$6:$H$405,$AN371)&lt;&gt;"",$M371&lt;&gt;INDEX(職員マスタ!$H$6:$H$405,$AN371)),"時短終了日がマスタと相違／","")))&amp;IF(AND($B371&lt;&gt;"",$E371=""),"報酬額が未入力／","")&amp;IF(N($U371)&gt;0,"申請書に入力エラーが残っています／","")&amp;IF(AND($B371&lt;&gt;"",$AO371&lt;&gt;""),IF(COUNTIFS($B$6:$B$3005,$B371,$C$6:$C$3005,$C371,$D$6:$D$3005,$D371)&gt;1,"同じ月の請求が重複しています／",""),"")&amp;IF(AND(N($E371)&gt;0,$Z371&lt;&gt;"",$Z371&lt;&gt;"×",$AC371=0,$AB371=""),"計算額が下限以下のため不支給／",""))</f>
        <v/>
      </c>
      <c r="AL371" s="12" t="n"/>
      <c r="AM371" s="14">
        <f>IF($AD371="保留中",COUNTIF($AD$6:$AD371,"保留中"),"")</f>
        <v/>
      </c>
      <c r="AN371" s="14">
        <f>IF($AO371="","",IF(SUMPRODUCT(MAX((職員マスタ!$A$6:$A$405=$B371)*(((職員マスタ!$G$6:$G$405="")+(職員マスタ!$G$6:$G$405&lt;=EOMONTH($AO371,0)))&gt;0)*(((職員マスタ!$H$6:$H$405="")+(職員マスタ!$H$6:$H$405&gt;=$AO371))&gt;0)*(ROW(職員マスタ!$A$6:$A$405)-5)))&gt;0,SUMPRODUCT(MAX((職員マスタ!$A$6:$A$405=$B371)*(((職員マスタ!$G$6:$G$405="")+(職員マスタ!$G$6:$G$405&lt;=EOMONTH($AO371,0)))&gt;0)*(((職員マスタ!$H$6:$H$405="")+(職員マスタ!$H$6:$H$405&gt;=$AO371))&gt;0)*(ROW(職員マスタ!$A$6:$A$405)-5))),IFERROR(MATCH($B371,職員マスタ!$A$6:$A$405,0),"")))</f>
        <v/>
      </c>
      <c r="AO371" s="16">
        <f>IF(OR($B371="",$C371="",$D371=""),"",DATE($C371+2018,$D371,1))</f>
        <v/>
      </c>
    </row>
    <row r="372">
      <c r="A372" s="11" t="n"/>
      <c r="B372" s="12" t="n">
        <v>6801872</v>
      </c>
      <c r="C372" s="12" t="n">
        <v>7</v>
      </c>
      <c r="D372" s="12" t="n">
        <v>4</v>
      </c>
      <c r="E372" s="13" t="n">
        <v>93526</v>
      </c>
      <c r="F372" s="12" t="n"/>
      <c r="G372" s="13" t="n"/>
      <c r="H372" s="12" t="n"/>
      <c r="I372" s="12" t="n"/>
      <c r="J372" s="12" t="n"/>
      <c r="K372" s="12" t="n"/>
      <c r="L372" s="11" t="n"/>
      <c r="M372" s="11" t="n"/>
      <c r="N372" s="11" t="n"/>
      <c r="O372" s="11" t="n"/>
      <c r="P372" s="12" t="n"/>
      <c r="Q372" s="11" t="n"/>
      <c r="R372" s="12" t="n"/>
      <c r="S372" s="11" t="n"/>
      <c r="T372" s="12" t="n"/>
      <c r="U372" s="12" t="n"/>
      <c r="V372" s="14">
        <f>IF($AN372="",IF($B372="","",$H372),IF(INDEX(職員マスタ!$B$6:$B$405,$AN372)="",$H372,INDEX(職員マスタ!$B$6:$B$405,$AN372)))</f>
        <v/>
      </c>
      <c r="W372" s="14">
        <f>IF($AN372="",IF($B372="","",$R372),IF(INDEX(職員マスタ!$C$6:$C$405,$AN372)="",$R372,INDEX(職員マスタ!$C$6:$C$405,$AN372)))</f>
        <v/>
      </c>
      <c r="X372" s="14">
        <f>IF($AO372="","","R"&amp;$C372&amp;"."&amp;$D372)</f>
        <v/>
      </c>
      <c r="Y372" s="15">
        <f>IF($AN372="","",IF(INDEX(職員マスタ!$K$6:$K$405,$AN372)="","",INDEX(職員マスタ!$K$6:$K$405,$AN372)))</f>
        <v/>
      </c>
      <c r="Z372" s="14">
        <f>IF(OR($E372="",$Y372=""),"",IF($E372&gt;=$Y372,"×",IF($E372&gt;=$Y372*設定!$C$5,"△","○")))</f>
        <v/>
      </c>
      <c r="AA372" s="15">
        <f>IF($Z372="","",IF($Z372="×",0,IF($Z372="○",ROUNDDOWN($E372*設定!$C$4,0),ROUNDDOWN($E372*ROUND((9*$Y372-9*$E372)/(10*$E372),4),0))))</f>
        <v/>
      </c>
      <c r="AB372" s="13" t="n"/>
      <c r="AC372" s="15">
        <f>IF($B372="","",IF($AB372&lt;&gt;"",$AB372,IF($AA372="","",IF($AA372&lt;=設定!$C$3,0,$AA372))))</f>
        <v/>
      </c>
      <c r="AD372" s="14">
        <f>IF($B372="","",IF(AND($AE372&lt;&gt;"",$AG372="",$AJ372=""),"保留中",IF($AJ372&lt;&gt;"",IF(N($AC372)&gt;0,"支給済","不支給"),IF($AC372="","要確認",IF($AC372=0,"不支給","未処理")))))</f>
        <v/>
      </c>
      <c r="AE372" s="12" t="n"/>
      <c r="AF372" s="11" t="n"/>
      <c r="AG372" s="11" t="n"/>
      <c r="AH372" s="11" t="n"/>
      <c r="AI372" s="14">
        <f>IF(AND($AD372="保留中",$AF372&lt;&gt;""),TODAY()-$AF372,"")</f>
        <v/>
      </c>
      <c r="AJ372" s="12" t="inlineStr">
        <is>
          <t>R7.8</t>
        </is>
      </c>
      <c r="AK372" s="14">
        <f>IF($B372="","",IF($AO372="","対象年月が未入力／","")&amp;IF($B372="","",IF($AN372="","職員マスタに未登録の職員番号／",IF($Y372="","標準報酬月額が未登録／","")&amp;IF(AND($AO372&lt;&gt;"",OR(AND(INDEX(職員マスタ!$G$6:$G$405,$AN372)&lt;&gt;"",INDEX(職員マスタ!$G$6:$G$405,$AN372)&gt;EOMONTH($AO372,0)),AND(INDEX(職員マスタ!$H$6:$H$405,$AN372)&lt;&gt;"",INDEX(職員マスタ!$H$6:$H$405,$AN372)&lt;$AO372))),"対象月が時短期間外／","")&amp;IF(AND(INDEX(職員マスタ!$F$6:$F$405,$AN372)&lt;&gt;"",$AO372&lt;&gt;"",INDEX(職員マスタ!$F$6:$F$405,$AN372)&lt;$AO372),"対象月に子が2歳到達済／","")&amp;IF(AND($H372&lt;&gt;"",INDEX(職員マスタ!$B$6:$B$405,$AN372)&lt;&gt;"",SUBSTITUTE(SUBSTITUTE($H372," ","")," ","")&lt;&gt;SUBSTITUTE(SUBSTITUTE(INDEX(職員マスタ!$B$6:$B$405,$AN372)," ","")," ","")),"氏名がマスタと相違／","")&amp;IF(AND($Q372&lt;&gt;"",INDEX(職員マスタ!$E$6:$E$405,$AN372)&lt;&gt;"",$Q372&lt;&gt;INDEX(職員マスタ!$E$6:$E$405,$AN372)),"子の生年月日がマスタと相違／","")&amp;IF(AND($L372&lt;&gt;"",INDEX(職員マスタ!$G$6:$G$405,$AN372)&lt;&gt;"",$L372&lt;&gt;INDEX(職員マスタ!$G$6:$G$405,$AN372)),"時短開始日がマスタと相違／","")&amp;IF(AND($M372&lt;&gt;"",INDEX(職員マスタ!$H$6:$H$405,$AN372)&lt;&gt;"",$M372&lt;&gt;INDEX(職員マスタ!$H$6:$H$405,$AN372)),"時短終了日がマスタと相違／","")))&amp;IF(AND($B372&lt;&gt;"",$E372=""),"報酬額が未入力／","")&amp;IF(N($U372)&gt;0,"申請書に入力エラーが残っています／","")&amp;IF(AND($B372&lt;&gt;"",$AO372&lt;&gt;""),IF(COUNTIFS($B$6:$B$3005,$B372,$C$6:$C$3005,$C372,$D$6:$D$3005,$D372)&gt;1,"同じ月の請求が重複しています／",""),"")&amp;IF(AND(N($E372)&gt;0,$Z372&lt;&gt;"",$Z372&lt;&gt;"×",$AC372=0,$AB372=""),"計算額が下限以下のため不支給／",""))</f>
        <v/>
      </c>
      <c r="AL372" s="12" t="n"/>
      <c r="AM372" s="14">
        <f>IF($AD372="保留中",COUNTIF($AD$6:$AD372,"保留中"),"")</f>
        <v/>
      </c>
      <c r="AN372" s="14">
        <f>IF($AO372="","",IF(SUMPRODUCT(MAX((職員マスタ!$A$6:$A$405=$B372)*(((職員マスタ!$G$6:$G$405="")+(職員マスタ!$G$6:$G$405&lt;=EOMONTH($AO372,0)))&gt;0)*(((職員マスタ!$H$6:$H$405="")+(職員マスタ!$H$6:$H$405&gt;=$AO372))&gt;0)*(ROW(職員マスタ!$A$6:$A$405)-5)))&gt;0,SUMPRODUCT(MAX((職員マスタ!$A$6:$A$405=$B372)*(((職員マスタ!$G$6:$G$405="")+(職員マスタ!$G$6:$G$405&lt;=EOMONTH($AO372,0)))&gt;0)*(((職員マスタ!$H$6:$H$405="")+(職員マスタ!$H$6:$H$405&gt;=$AO372))&gt;0)*(ROW(職員マスタ!$A$6:$A$405)-5))),IFERROR(MATCH($B372,職員マスタ!$A$6:$A$405,0),"")))</f>
        <v/>
      </c>
      <c r="AO372" s="16">
        <f>IF(OR($B372="",$C372="",$D372=""),"",DATE($C372+2018,$D372,1))</f>
        <v/>
      </c>
    </row>
    <row r="373">
      <c r="A373" s="11" t="n"/>
      <c r="B373" s="12" t="n">
        <v>6801872</v>
      </c>
      <c r="C373" s="12" t="n">
        <v>7</v>
      </c>
      <c r="D373" s="12" t="n">
        <v>5</v>
      </c>
      <c r="E373" s="13" t="n">
        <v>169716</v>
      </c>
      <c r="F373" s="12" t="n"/>
      <c r="G373" s="13" t="n"/>
      <c r="H373" s="12" t="n"/>
      <c r="I373" s="12" t="n"/>
      <c r="J373" s="12" t="n"/>
      <c r="K373" s="12" t="n"/>
      <c r="L373" s="11" t="n"/>
      <c r="M373" s="11" t="n"/>
      <c r="N373" s="11" t="n"/>
      <c r="O373" s="11" t="n"/>
      <c r="P373" s="12" t="n"/>
      <c r="Q373" s="11" t="n"/>
      <c r="R373" s="12" t="n"/>
      <c r="S373" s="11" t="n"/>
      <c r="T373" s="12" t="n"/>
      <c r="U373" s="12" t="n"/>
      <c r="V373" s="14">
        <f>IF($AN373="",IF($B373="","",$H373),IF(INDEX(職員マスタ!$B$6:$B$405,$AN373)="",$H373,INDEX(職員マスタ!$B$6:$B$405,$AN373)))</f>
        <v/>
      </c>
      <c r="W373" s="14">
        <f>IF($AN373="",IF($B373="","",$R373),IF(INDEX(職員マスタ!$C$6:$C$405,$AN373)="",$R373,INDEX(職員マスタ!$C$6:$C$405,$AN373)))</f>
        <v/>
      </c>
      <c r="X373" s="14">
        <f>IF($AO373="","","R"&amp;$C373&amp;"."&amp;$D373)</f>
        <v/>
      </c>
      <c r="Y373" s="15">
        <f>IF($AN373="","",IF(INDEX(職員マスタ!$K$6:$K$405,$AN373)="","",INDEX(職員マスタ!$K$6:$K$405,$AN373)))</f>
        <v/>
      </c>
      <c r="Z373" s="14">
        <f>IF(OR($E373="",$Y373=""),"",IF($E373&gt;=$Y373,"×",IF($E373&gt;=$Y373*設定!$C$5,"△","○")))</f>
        <v/>
      </c>
      <c r="AA373" s="15">
        <f>IF($Z373="","",IF($Z373="×",0,IF($Z373="○",ROUNDDOWN($E373*設定!$C$4,0),ROUNDDOWN($E373*ROUND((9*$Y373-9*$E373)/(10*$E373),4),0))))</f>
        <v/>
      </c>
      <c r="AB373" s="13" t="n"/>
      <c r="AC373" s="15">
        <f>IF($B373="","",IF($AB373&lt;&gt;"",$AB373,IF($AA373="","",IF($AA373&lt;=設定!$C$3,0,$AA373))))</f>
        <v/>
      </c>
      <c r="AD373" s="14">
        <f>IF($B373="","",IF(AND($AE373&lt;&gt;"",$AG373="",$AJ373=""),"保留中",IF($AJ373&lt;&gt;"",IF(N($AC373)&gt;0,"支給済","不支給"),IF($AC373="","要確認",IF($AC373=0,"不支給","未処理")))))</f>
        <v/>
      </c>
      <c r="AE373" s="12" t="n"/>
      <c r="AF373" s="11" t="n"/>
      <c r="AG373" s="11" t="n"/>
      <c r="AH373" s="11" t="n"/>
      <c r="AI373" s="14">
        <f>IF(AND($AD373="保留中",$AF373&lt;&gt;""),TODAY()-$AF373,"")</f>
        <v/>
      </c>
      <c r="AJ373" s="12" t="inlineStr">
        <is>
          <t>R7.8</t>
        </is>
      </c>
      <c r="AK373" s="14">
        <f>IF($B373="","",IF($AO373="","対象年月が未入力／","")&amp;IF($B373="","",IF($AN373="","職員マスタに未登録の職員番号／",IF($Y373="","標準報酬月額が未登録／","")&amp;IF(AND($AO373&lt;&gt;"",OR(AND(INDEX(職員マスタ!$G$6:$G$405,$AN373)&lt;&gt;"",INDEX(職員マスタ!$G$6:$G$405,$AN373)&gt;EOMONTH($AO373,0)),AND(INDEX(職員マスタ!$H$6:$H$405,$AN373)&lt;&gt;"",INDEX(職員マスタ!$H$6:$H$405,$AN373)&lt;$AO373))),"対象月が時短期間外／","")&amp;IF(AND(INDEX(職員マスタ!$F$6:$F$405,$AN373)&lt;&gt;"",$AO373&lt;&gt;"",INDEX(職員マスタ!$F$6:$F$405,$AN373)&lt;$AO373),"対象月に子が2歳到達済／","")&amp;IF(AND($H373&lt;&gt;"",INDEX(職員マスタ!$B$6:$B$405,$AN373)&lt;&gt;"",SUBSTITUTE(SUBSTITUTE($H373," ","")," ","")&lt;&gt;SUBSTITUTE(SUBSTITUTE(INDEX(職員マスタ!$B$6:$B$405,$AN373)," ","")," ","")),"氏名がマスタと相違／","")&amp;IF(AND($Q373&lt;&gt;"",INDEX(職員マスタ!$E$6:$E$405,$AN373)&lt;&gt;"",$Q373&lt;&gt;INDEX(職員マスタ!$E$6:$E$405,$AN373)),"子の生年月日がマスタと相違／","")&amp;IF(AND($L373&lt;&gt;"",INDEX(職員マスタ!$G$6:$G$405,$AN373)&lt;&gt;"",$L373&lt;&gt;INDEX(職員マスタ!$G$6:$G$405,$AN373)),"時短開始日がマスタと相違／","")&amp;IF(AND($M373&lt;&gt;"",INDEX(職員マスタ!$H$6:$H$405,$AN373)&lt;&gt;"",$M373&lt;&gt;INDEX(職員マスタ!$H$6:$H$405,$AN373)),"時短終了日がマスタと相違／","")))&amp;IF(AND($B373&lt;&gt;"",$E373=""),"報酬額が未入力／","")&amp;IF(N($U373)&gt;0,"申請書に入力エラーが残っています／","")&amp;IF(AND($B373&lt;&gt;"",$AO373&lt;&gt;""),IF(COUNTIFS($B$6:$B$3005,$B373,$C$6:$C$3005,$C373,$D$6:$D$3005,$D373)&gt;1,"同じ月の請求が重複しています／",""),"")&amp;IF(AND(N($E373)&gt;0,$Z373&lt;&gt;"",$Z373&lt;&gt;"×",$AC373=0,$AB373=""),"計算額が下限以下のため不支給／",""))</f>
        <v/>
      </c>
      <c r="AL373" s="12" t="n"/>
      <c r="AM373" s="14">
        <f>IF($AD373="保留中",COUNTIF($AD$6:$AD373,"保留中"),"")</f>
        <v/>
      </c>
      <c r="AN373" s="14">
        <f>IF($AO373="","",IF(SUMPRODUCT(MAX((職員マスタ!$A$6:$A$405=$B373)*(((職員マスタ!$G$6:$G$405="")+(職員マスタ!$G$6:$G$405&lt;=EOMONTH($AO373,0)))&gt;0)*(((職員マスタ!$H$6:$H$405="")+(職員マスタ!$H$6:$H$405&gt;=$AO373))&gt;0)*(ROW(職員マスタ!$A$6:$A$405)-5)))&gt;0,SUMPRODUCT(MAX((職員マスタ!$A$6:$A$405=$B373)*(((職員マスタ!$G$6:$G$405="")+(職員マスタ!$G$6:$G$405&lt;=EOMONTH($AO373,0)))&gt;0)*(((職員マスタ!$H$6:$H$405="")+(職員マスタ!$H$6:$H$405&gt;=$AO373))&gt;0)*(ROW(職員マスタ!$A$6:$A$405)-5))),IFERROR(MATCH($B373,職員マスタ!$A$6:$A$405,0),"")))</f>
        <v/>
      </c>
      <c r="AO373" s="16">
        <f>IF(OR($B373="",$C373="",$D373=""),"",DATE($C373+2018,$D373,1))</f>
        <v/>
      </c>
    </row>
    <row r="374">
      <c r="A374" s="11" t="n"/>
      <c r="B374" s="12" t="n">
        <v>6801872</v>
      </c>
      <c r="C374" s="12" t="n">
        <v>7</v>
      </c>
      <c r="D374" s="12" t="n">
        <v>6</v>
      </c>
      <c r="E374" s="13" t="n">
        <v>176688</v>
      </c>
      <c r="F374" s="12" t="n"/>
      <c r="G374" s="13" t="n"/>
      <c r="H374" s="12" t="n"/>
      <c r="I374" s="12" t="n"/>
      <c r="J374" s="12" t="n"/>
      <c r="K374" s="12" t="n"/>
      <c r="L374" s="11" t="n"/>
      <c r="M374" s="11" t="n"/>
      <c r="N374" s="11" t="n"/>
      <c r="O374" s="11" t="n"/>
      <c r="P374" s="12" t="n"/>
      <c r="Q374" s="11" t="n"/>
      <c r="R374" s="12" t="n"/>
      <c r="S374" s="11" t="n"/>
      <c r="T374" s="12" t="n"/>
      <c r="U374" s="12" t="n"/>
      <c r="V374" s="14">
        <f>IF($AN374="",IF($B374="","",$H374),IF(INDEX(職員マスタ!$B$6:$B$405,$AN374)="",$H374,INDEX(職員マスタ!$B$6:$B$405,$AN374)))</f>
        <v/>
      </c>
      <c r="W374" s="14">
        <f>IF($AN374="",IF($B374="","",$R374),IF(INDEX(職員マスタ!$C$6:$C$405,$AN374)="",$R374,INDEX(職員マスタ!$C$6:$C$405,$AN374)))</f>
        <v/>
      </c>
      <c r="X374" s="14">
        <f>IF($AO374="","","R"&amp;$C374&amp;"."&amp;$D374)</f>
        <v/>
      </c>
      <c r="Y374" s="15">
        <f>IF($AN374="","",IF(INDEX(職員マスタ!$K$6:$K$405,$AN374)="","",INDEX(職員マスタ!$K$6:$K$405,$AN374)))</f>
        <v/>
      </c>
      <c r="Z374" s="14">
        <f>IF(OR($E374="",$Y374=""),"",IF($E374&gt;=$Y374,"×",IF($E374&gt;=$Y374*設定!$C$5,"△","○")))</f>
        <v/>
      </c>
      <c r="AA374" s="15">
        <f>IF($Z374="","",IF($Z374="×",0,IF($Z374="○",ROUNDDOWN($E374*設定!$C$4,0),ROUNDDOWN($E374*ROUND((9*$Y374-9*$E374)/(10*$E374),4),0))))</f>
        <v/>
      </c>
      <c r="AB374" s="13" t="n"/>
      <c r="AC374" s="15">
        <f>IF($B374="","",IF($AB374&lt;&gt;"",$AB374,IF($AA374="","",IF($AA374&lt;=設定!$C$3,0,$AA374))))</f>
        <v/>
      </c>
      <c r="AD374" s="14">
        <f>IF($B374="","",IF(AND($AE374&lt;&gt;"",$AG374="",$AJ374=""),"保留中",IF($AJ374&lt;&gt;"",IF(N($AC374)&gt;0,"支給済","不支給"),IF($AC374="","要確認",IF($AC374=0,"不支給","未処理")))))</f>
        <v/>
      </c>
      <c r="AE374" s="12" t="n"/>
      <c r="AF374" s="11" t="n"/>
      <c r="AG374" s="11" t="n"/>
      <c r="AH374" s="11" t="n"/>
      <c r="AI374" s="14">
        <f>IF(AND($AD374="保留中",$AF374&lt;&gt;""),TODAY()-$AF374,"")</f>
        <v/>
      </c>
      <c r="AJ374" s="12" t="inlineStr">
        <is>
          <t>R7.8</t>
        </is>
      </c>
      <c r="AK374" s="14">
        <f>IF($B374="","",IF($AO374="","対象年月が未入力／","")&amp;IF($B374="","",IF($AN374="","職員マスタに未登録の職員番号／",IF($Y374="","標準報酬月額が未登録／","")&amp;IF(AND($AO374&lt;&gt;"",OR(AND(INDEX(職員マスタ!$G$6:$G$405,$AN374)&lt;&gt;"",INDEX(職員マスタ!$G$6:$G$405,$AN374)&gt;EOMONTH($AO374,0)),AND(INDEX(職員マスタ!$H$6:$H$405,$AN374)&lt;&gt;"",INDEX(職員マスタ!$H$6:$H$405,$AN374)&lt;$AO374))),"対象月が時短期間外／","")&amp;IF(AND(INDEX(職員マスタ!$F$6:$F$405,$AN374)&lt;&gt;"",$AO374&lt;&gt;"",INDEX(職員マスタ!$F$6:$F$405,$AN374)&lt;$AO374),"対象月に子が2歳到達済／","")&amp;IF(AND($H374&lt;&gt;"",INDEX(職員マスタ!$B$6:$B$405,$AN374)&lt;&gt;"",SUBSTITUTE(SUBSTITUTE($H374," ","")," ","")&lt;&gt;SUBSTITUTE(SUBSTITUTE(INDEX(職員マスタ!$B$6:$B$405,$AN374)," ","")," ","")),"氏名がマスタと相違／","")&amp;IF(AND($Q374&lt;&gt;"",INDEX(職員マスタ!$E$6:$E$405,$AN374)&lt;&gt;"",$Q374&lt;&gt;INDEX(職員マスタ!$E$6:$E$405,$AN374)),"子の生年月日がマスタと相違／","")&amp;IF(AND($L374&lt;&gt;"",INDEX(職員マスタ!$G$6:$G$405,$AN374)&lt;&gt;"",$L374&lt;&gt;INDEX(職員マスタ!$G$6:$G$405,$AN374)),"時短開始日がマスタと相違／","")&amp;IF(AND($M374&lt;&gt;"",INDEX(職員マスタ!$H$6:$H$405,$AN374)&lt;&gt;"",$M374&lt;&gt;INDEX(職員マスタ!$H$6:$H$405,$AN374)),"時短終了日がマスタと相違／","")))&amp;IF(AND($B374&lt;&gt;"",$E374=""),"報酬額が未入力／","")&amp;IF(N($U374)&gt;0,"申請書に入力エラーが残っています／","")&amp;IF(AND($B374&lt;&gt;"",$AO374&lt;&gt;""),IF(COUNTIFS($B$6:$B$3005,$B374,$C$6:$C$3005,$C374,$D$6:$D$3005,$D374)&gt;1,"同じ月の請求が重複しています／",""),"")&amp;IF(AND(N($E374)&gt;0,$Z374&lt;&gt;"",$Z374&lt;&gt;"×",$AC374=0,$AB374=""),"計算額が下限以下のため不支給／",""))</f>
        <v/>
      </c>
      <c r="AL374" s="12" t="n"/>
      <c r="AM374" s="14">
        <f>IF($AD374="保留中",COUNTIF($AD$6:$AD374,"保留中"),"")</f>
        <v/>
      </c>
      <c r="AN374" s="14">
        <f>IF($AO374="","",IF(SUMPRODUCT(MAX((職員マスタ!$A$6:$A$405=$B374)*(((職員マスタ!$G$6:$G$405="")+(職員マスタ!$G$6:$G$405&lt;=EOMONTH($AO374,0)))&gt;0)*(((職員マスタ!$H$6:$H$405="")+(職員マスタ!$H$6:$H$405&gt;=$AO374))&gt;0)*(ROW(職員マスタ!$A$6:$A$405)-5)))&gt;0,SUMPRODUCT(MAX((職員マスタ!$A$6:$A$405=$B374)*(((職員マスタ!$G$6:$G$405="")+(職員マスタ!$G$6:$G$405&lt;=EOMONTH($AO374,0)))&gt;0)*(((職員マスタ!$H$6:$H$405="")+(職員マスタ!$H$6:$H$405&gt;=$AO374))&gt;0)*(ROW(職員マスタ!$A$6:$A$405)-5))),IFERROR(MATCH($B374,職員マスタ!$A$6:$A$405,0),"")))</f>
        <v/>
      </c>
      <c r="AO374" s="16">
        <f>IF(OR($B374="",$C374="",$D374=""),"",DATE($C374+2018,$D374,1))</f>
        <v/>
      </c>
    </row>
    <row r="375">
      <c r="A375" s="11" t="n"/>
      <c r="B375" s="12" t="n">
        <v>6801872</v>
      </c>
      <c r="C375" s="12" t="n">
        <v>7</v>
      </c>
      <c r="D375" s="12" t="n">
        <v>7</v>
      </c>
      <c r="E375" s="13" t="n">
        <v>173202</v>
      </c>
      <c r="F375" s="12" t="n"/>
      <c r="G375" s="13" t="n"/>
      <c r="H375" s="12" t="n"/>
      <c r="I375" s="12" t="n"/>
      <c r="J375" s="12" t="n"/>
      <c r="K375" s="12" t="n"/>
      <c r="L375" s="11" t="n"/>
      <c r="M375" s="11" t="n"/>
      <c r="N375" s="11" t="n"/>
      <c r="O375" s="11" t="n"/>
      <c r="P375" s="12" t="n"/>
      <c r="Q375" s="11" t="n"/>
      <c r="R375" s="12" t="n"/>
      <c r="S375" s="11" t="n"/>
      <c r="T375" s="12" t="n"/>
      <c r="U375" s="12" t="n"/>
      <c r="V375" s="14">
        <f>IF($AN375="",IF($B375="","",$H375),IF(INDEX(職員マスタ!$B$6:$B$405,$AN375)="",$H375,INDEX(職員マスタ!$B$6:$B$405,$AN375)))</f>
        <v/>
      </c>
      <c r="W375" s="14">
        <f>IF($AN375="",IF($B375="","",$R375),IF(INDEX(職員マスタ!$C$6:$C$405,$AN375)="",$R375,INDEX(職員マスタ!$C$6:$C$405,$AN375)))</f>
        <v/>
      </c>
      <c r="X375" s="14">
        <f>IF($AO375="","","R"&amp;$C375&amp;"."&amp;$D375)</f>
        <v/>
      </c>
      <c r="Y375" s="15">
        <f>IF($AN375="","",IF(INDEX(職員マスタ!$K$6:$K$405,$AN375)="","",INDEX(職員マスタ!$K$6:$K$405,$AN375)))</f>
        <v/>
      </c>
      <c r="Z375" s="14">
        <f>IF(OR($E375="",$Y375=""),"",IF($E375&gt;=$Y375,"×",IF($E375&gt;=$Y375*設定!$C$5,"△","○")))</f>
        <v/>
      </c>
      <c r="AA375" s="15">
        <f>IF($Z375="","",IF($Z375="×",0,IF($Z375="○",ROUNDDOWN($E375*設定!$C$4,0),ROUNDDOWN($E375*ROUND((9*$Y375-9*$E375)/(10*$E375),4),0))))</f>
        <v/>
      </c>
      <c r="AB375" s="13" t="n"/>
      <c r="AC375" s="15">
        <f>IF($B375="","",IF($AB375&lt;&gt;"",$AB375,IF($AA375="","",IF($AA375&lt;=設定!$C$3,0,$AA375))))</f>
        <v/>
      </c>
      <c r="AD375" s="14">
        <f>IF($B375="","",IF(AND($AE375&lt;&gt;"",$AG375="",$AJ375=""),"保留中",IF($AJ375&lt;&gt;"",IF(N($AC375)&gt;0,"支給済","不支給"),IF($AC375="","要確認",IF($AC375=0,"不支給","未処理")))))</f>
        <v/>
      </c>
      <c r="AE375" s="12" t="n"/>
      <c r="AF375" s="11" t="n"/>
      <c r="AG375" s="11" t="n"/>
      <c r="AH375" s="11" t="n"/>
      <c r="AI375" s="14">
        <f>IF(AND($AD375="保留中",$AF375&lt;&gt;""),TODAY()-$AF375,"")</f>
        <v/>
      </c>
      <c r="AJ375" s="12" t="inlineStr">
        <is>
          <t>R7.9</t>
        </is>
      </c>
      <c r="AK375" s="14">
        <f>IF($B375="","",IF($AO375="","対象年月が未入力／","")&amp;IF($B375="","",IF($AN375="","職員マスタに未登録の職員番号／",IF($Y375="","標準報酬月額が未登録／","")&amp;IF(AND($AO375&lt;&gt;"",OR(AND(INDEX(職員マスタ!$G$6:$G$405,$AN375)&lt;&gt;"",INDEX(職員マスタ!$G$6:$G$405,$AN375)&gt;EOMONTH($AO375,0)),AND(INDEX(職員マスタ!$H$6:$H$405,$AN375)&lt;&gt;"",INDEX(職員マスタ!$H$6:$H$405,$AN375)&lt;$AO375))),"対象月が時短期間外／","")&amp;IF(AND(INDEX(職員マスタ!$F$6:$F$405,$AN375)&lt;&gt;"",$AO375&lt;&gt;"",INDEX(職員マスタ!$F$6:$F$405,$AN375)&lt;$AO375),"対象月に子が2歳到達済／","")&amp;IF(AND($H375&lt;&gt;"",INDEX(職員マスタ!$B$6:$B$405,$AN375)&lt;&gt;"",SUBSTITUTE(SUBSTITUTE($H375," ","")," ","")&lt;&gt;SUBSTITUTE(SUBSTITUTE(INDEX(職員マスタ!$B$6:$B$405,$AN375)," ","")," ","")),"氏名がマスタと相違／","")&amp;IF(AND($Q375&lt;&gt;"",INDEX(職員マスタ!$E$6:$E$405,$AN375)&lt;&gt;"",$Q375&lt;&gt;INDEX(職員マスタ!$E$6:$E$405,$AN375)),"子の生年月日がマスタと相違／","")&amp;IF(AND($L375&lt;&gt;"",INDEX(職員マスタ!$G$6:$G$405,$AN375)&lt;&gt;"",$L375&lt;&gt;INDEX(職員マスタ!$G$6:$G$405,$AN375)),"時短開始日がマスタと相違／","")&amp;IF(AND($M375&lt;&gt;"",INDEX(職員マスタ!$H$6:$H$405,$AN375)&lt;&gt;"",$M375&lt;&gt;INDEX(職員マスタ!$H$6:$H$405,$AN375)),"時短終了日がマスタと相違／","")))&amp;IF(AND($B375&lt;&gt;"",$E375=""),"報酬額が未入力／","")&amp;IF(N($U375)&gt;0,"申請書に入力エラーが残っています／","")&amp;IF(AND($B375&lt;&gt;"",$AO375&lt;&gt;""),IF(COUNTIFS($B$6:$B$3005,$B375,$C$6:$C$3005,$C375,$D$6:$D$3005,$D375)&gt;1,"同じ月の請求が重複しています／",""),"")&amp;IF(AND(N($E375)&gt;0,$Z375&lt;&gt;"",$Z375&lt;&gt;"×",$AC375=0,$AB375=""),"計算額が下限以下のため不支給／",""))</f>
        <v/>
      </c>
      <c r="AL375" s="12" t="n"/>
      <c r="AM375" s="14">
        <f>IF($AD375="保留中",COUNTIF($AD$6:$AD375,"保留中"),"")</f>
        <v/>
      </c>
      <c r="AN375" s="14">
        <f>IF($AO375="","",IF(SUMPRODUCT(MAX((職員マスタ!$A$6:$A$405=$B375)*(((職員マスタ!$G$6:$G$405="")+(職員マスタ!$G$6:$G$405&lt;=EOMONTH($AO375,0)))&gt;0)*(((職員マスタ!$H$6:$H$405="")+(職員マスタ!$H$6:$H$405&gt;=$AO375))&gt;0)*(ROW(職員マスタ!$A$6:$A$405)-5)))&gt;0,SUMPRODUCT(MAX((職員マスタ!$A$6:$A$405=$B375)*(((職員マスタ!$G$6:$G$405="")+(職員マスタ!$G$6:$G$405&lt;=EOMONTH($AO375,0)))&gt;0)*(((職員マスタ!$H$6:$H$405="")+(職員マスタ!$H$6:$H$405&gt;=$AO375))&gt;0)*(ROW(職員マスタ!$A$6:$A$405)-5))),IFERROR(MATCH($B375,職員マスタ!$A$6:$A$405,0),"")))</f>
        <v/>
      </c>
      <c r="AO375" s="16">
        <f>IF(OR($B375="",$C375="",$D375=""),"",DATE($C375+2018,$D375,1))</f>
        <v/>
      </c>
    </row>
    <row r="376">
      <c r="A376" s="11" t="n"/>
      <c r="B376" s="12" t="n">
        <v>6801872</v>
      </c>
      <c r="C376" s="12" t="n">
        <v>7</v>
      </c>
      <c r="D376" s="12" t="n">
        <v>8</v>
      </c>
      <c r="E376" s="13" t="n">
        <v>169716</v>
      </c>
      <c r="F376" s="12" t="n"/>
      <c r="G376" s="13" t="n"/>
      <c r="H376" s="12" t="n"/>
      <c r="I376" s="12" t="n"/>
      <c r="J376" s="12" t="n"/>
      <c r="K376" s="12" t="n"/>
      <c r="L376" s="11" t="n"/>
      <c r="M376" s="11" t="n"/>
      <c r="N376" s="11" t="n"/>
      <c r="O376" s="11" t="n"/>
      <c r="P376" s="12" t="n"/>
      <c r="Q376" s="11" t="n"/>
      <c r="R376" s="12" t="n"/>
      <c r="S376" s="11" t="n"/>
      <c r="T376" s="12" t="n"/>
      <c r="U376" s="12" t="n"/>
      <c r="V376" s="14">
        <f>IF($AN376="",IF($B376="","",$H376),IF(INDEX(職員マスタ!$B$6:$B$405,$AN376)="",$H376,INDEX(職員マスタ!$B$6:$B$405,$AN376)))</f>
        <v/>
      </c>
      <c r="W376" s="14">
        <f>IF($AN376="",IF($B376="","",$R376),IF(INDEX(職員マスタ!$C$6:$C$405,$AN376)="",$R376,INDEX(職員マスタ!$C$6:$C$405,$AN376)))</f>
        <v/>
      </c>
      <c r="X376" s="14">
        <f>IF($AO376="","","R"&amp;$C376&amp;"."&amp;$D376)</f>
        <v/>
      </c>
      <c r="Y376" s="15">
        <f>IF($AN376="","",IF(INDEX(職員マスタ!$K$6:$K$405,$AN376)="","",INDEX(職員マスタ!$K$6:$K$405,$AN376)))</f>
        <v/>
      </c>
      <c r="Z376" s="14">
        <f>IF(OR($E376="",$Y376=""),"",IF($E376&gt;=$Y376,"×",IF($E376&gt;=$Y376*設定!$C$5,"△","○")))</f>
        <v/>
      </c>
      <c r="AA376" s="15">
        <f>IF($Z376="","",IF($Z376="×",0,IF($Z376="○",ROUNDDOWN($E376*設定!$C$4,0),ROUNDDOWN($E376*ROUND((9*$Y376-9*$E376)/(10*$E376),4),0))))</f>
        <v/>
      </c>
      <c r="AB376" s="13" t="n"/>
      <c r="AC376" s="15">
        <f>IF($B376="","",IF($AB376&lt;&gt;"",$AB376,IF($AA376="","",IF($AA376&lt;=設定!$C$3,0,$AA376))))</f>
        <v/>
      </c>
      <c r="AD376" s="14">
        <f>IF($B376="","",IF(AND($AE376&lt;&gt;"",$AG376="",$AJ376=""),"保留中",IF($AJ376&lt;&gt;"",IF(N($AC376)&gt;0,"支給済","不支給"),IF($AC376="","要確認",IF($AC376=0,"不支給","未処理")))))</f>
        <v/>
      </c>
      <c r="AE376" s="12" t="n"/>
      <c r="AF376" s="11" t="n"/>
      <c r="AG376" s="11" t="n"/>
      <c r="AH376" s="11" t="n"/>
      <c r="AI376" s="14">
        <f>IF(AND($AD376="保留中",$AF376&lt;&gt;""),TODAY()-$AF376,"")</f>
        <v/>
      </c>
      <c r="AJ376" s="12" t="inlineStr">
        <is>
          <t>R7.10</t>
        </is>
      </c>
      <c r="AK376" s="14">
        <f>IF($B376="","",IF($AO376="","対象年月が未入力／","")&amp;IF($B376="","",IF($AN376="","職員マスタに未登録の職員番号／",IF($Y376="","標準報酬月額が未登録／","")&amp;IF(AND($AO376&lt;&gt;"",OR(AND(INDEX(職員マスタ!$G$6:$G$405,$AN376)&lt;&gt;"",INDEX(職員マスタ!$G$6:$G$405,$AN376)&gt;EOMONTH($AO376,0)),AND(INDEX(職員マスタ!$H$6:$H$405,$AN376)&lt;&gt;"",INDEX(職員マスタ!$H$6:$H$405,$AN376)&lt;$AO376))),"対象月が時短期間外／","")&amp;IF(AND(INDEX(職員マスタ!$F$6:$F$405,$AN376)&lt;&gt;"",$AO376&lt;&gt;"",INDEX(職員マスタ!$F$6:$F$405,$AN376)&lt;$AO376),"対象月に子が2歳到達済／","")&amp;IF(AND($H376&lt;&gt;"",INDEX(職員マスタ!$B$6:$B$405,$AN376)&lt;&gt;"",SUBSTITUTE(SUBSTITUTE($H376," ","")," ","")&lt;&gt;SUBSTITUTE(SUBSTITUTE(INDEX(職員マスタ!$B$6:$B$405,$AN376)," ","")," ","")),"氏名がマスタと相違／","")&amp;IF(AND($Q376&lt;&gt;"",INDEX(職員マスタ!$E$6:$E$405,$AN376)&lt;&gt;"",$Q376&lt;&gt;INDEX(職員マスタ!$E$6:$E$405,$AN376)),"子の生年月日がマスタと相違／","")&amp;IF(AND($L376&lt;&gt;"",INDEX(職員マスタ!$G$6:$G$405,$AN376)&lt;&gt;"",$L376&lt;&gt;INDEX(職員マスタ!$G$6:$G$405,$AN376)),"時短開始日がマスタと相違／","")&amp;IF(AND($M376&lt;&gt;"",INDEX(職員マスタ!$H$6:$H$405,$AN376)&lt;&gt;"",$M376&lt;&gt;INDEX(職員マスタ!$H$6:$H$405,$AN376)),"時短終了日がマスタと相違／","")))&amp;IF(AND($B376&lt;&gt;"",$E376=""),"報酬額が未入力／","")&amp;IF(N($U376)&gt;0,"申請書に入力エラーが残っています／","")&amp;IF(AND($B376&lt;&gt;"",$AO376&lt;&gt;""),IF(COUNTIFS($B$6:$B$3005,$B376,$C$6:$C$3005,$C376,$D$6:$D$3005,$D376)&gt;1,"同じ月の請求が重複しています／",""),"")&amp;IF(AND(N($E376)&gt;0,$Z376&lt;&gt;"",$Z376&lt;&gt;"×",$AC376=0,$AB376=""),"計算額が下限以下のため不支給／",""))</f>
        <v/>
      </c>
      <c r="AL376" s="12" t="n"/>
      <c r="AM376" s="14">
        <f>IF($AD376="保留中",COUNTIF($AD$6:$AD376,"保留中"),"")</f>
        <v/>
      </c>
      <c r="AN376" s="14">
        <f>IF($AO376="","",IF(SUMPRODUCT(MAX((職員マスタ!$A$6:$A$405=$B376)*(((職員マスタ!$G$6:$G$405="")+(職員マスタ!$G$6:$G$405&lt;=EOMONTH($AO376,0)))&gt;0)*(((職員マスタ!$H$6:$H$405="")+(職員マスタ!$H$6:$H$405&gt;=$AO376))&gt;0)*(ROW(職員マスタ!$A$6:$A$405)-5)))&gt;0,SUMPRODUCT(MAX((職員マスタ!$A$6:$A$405=$B376)*(((職員マスタ!$G$6:$G$405="")+(職員マスタ!$G$6:$G$405&lt;=EOMONTH($AO376,0)))&gt;0)*(((職員マスタ!$H$6:$H$405="")+(職員マスタ!$H$6:$H$405&gt;=$AO376))&gt;0)*(ROW(職員マスタ!$A$6:$A$405)-5))),IFERROR(MATCH($B376,職員マスタ!$A$6:$A$405,0),"")))</f>
        <v/>
      </c>
      <c r="AO376" s="16">
        <f>IF(OR($B376="",$C376="",$D376=""),"",DATE($C376+2018,$D376,1))</f>
        <v/>
      </c>
    </row>
    <row r="377">
      <c r="A377" s="11" t="n"/>
      <c r="B377" s="12" t="n">
        <v>6801872</v>
      </c>
      <c r="C377" s="12" t="n">
        <v>7</v>
      </c>
      <c r="D377" s="12" t="n">
        <v>9</v>
      </c>
      <c r="E377" s="13" t="n">
        <v>169716</v>
      </c>
      <c r="F377" s="12" t="n"/>
      <c r="G377" s="13" t="n"/>
      <c r="H377" s="12" t="n"/>
      <c r="I377" s="12" t="n"/>
      <c r="J377" s="12" t="n"/>
      <c r="K377" s="12" t="n"/>
      <c r="L377" s="11" t="n"/>
      <c r="M377" s="11" t="n"/>
      <c r="N377" s="11" t="n"/>
      <c r="O377" s="11" t="n"/>
      <c r="P377" s="12" t="n"/>
      <c r="Q377" s="11" t="n"/>
      <c r="R377" s="12" t="n"/>
      <c r="S377" s="11" t="n"/>
      <c r="T377" s="12" t="n"/>
      <c r="U377" s="12" t="n"/>
      <c r="V377" s="14">
        <f>IF($AN377="",IF($B377="","",$H377),IF(INDEX(職員マスタ!$B$6:$B$405,$AN377)="",$H377,INDEX(職員マスタ!$B$6:$B$405,$AN377)))</f>
        <v/>
      </c>
      <c r="W377" s="14">
        <f>IF($AN377="",IF($B377="","",$R377),IF(INDEX(職員マスタ!$C$6:$C$405,$AN377)="",$R377,INDEX(職員マスタ!$C$6:$C$405,$AN377)))</f>
        <v/>
      </c>
      <c r="X377" s="14">
        <f>IF($AO377="","","R"&amp;$C377&amp;"."&amp;$D377)</f>
        <v/>
      </c>
      <c r="Y377" s="15">
        <f>IF($AN377="","",IF(INDEX(職員マスタ!$K$6:$K$405,$AN377)="","",INDEX(職員マスタ!$K$6:$K$405,$AN377)))</f>
        <v/>
      </c>
      <c r="Z377" s="14">
        <f>IF(OR($E377="",$Y377=""),"",IF($E377&gt;=$Y377,"×",IF($E377&gt;=$Y377*設定!$C$5,"△","○")))</f>
        <v/>
      </c>
      <c r="AA377" s="15">
        <f>IF($Z377="","",IF($Z377="×",0,IF($Z377="○",ROUNDDOWN($E377*設定!$C$4,0),ROUNDDOWN($E377*ROUND((9*$Y377-9*$E377)/(10*$E377),4),0))))</f>
        <v/>
      </c>
      <c r="AB377" s="13" t="n"/>
      <c r="AC377" s="15">
        <f>IF($B377="","",IF($AB377&lt;&gt;"",$AB377,IF($AA377="","",IF($AA377&lt;=設定!$C$3,0,$AA377))))</f>
        <v/>
      </c>
      <c r="AD377" s="14">
        <f>IF($B377="","",IF(AND($AE377&lt;&gt;"",$AG377="",$AJ377=""),"保留中",IF($AJ377&lt;&gt;"",IF(N($AC377)&gt;0,"支給済","不支給"),IF($AC377="","要確認",IF($AC377=0,"不支給","未処理")))))</f>
        <v/>
      </c>
      <c r="AE377" s="12" t="n"/>
      <c r="AF377" s="11" t="n"/>
      <c r="AG377" s="11" t="n"/>
      <c r="AH377" s="11" t="n"/>
      <c r="AI377" s="14">
        <f>IF(AND($AD377="保留中",$AF377&lt;&gt;""),TODAY()-$AF377,"")</f>
        <v/>
      </c>
      <c r="AJ377" s="12" t="inlineStr">
        <is>
          <t>R7.11</t>
        </is>
      </c>
      <c r="AK377" s="14">
        <f>IF($B377="","",IF($AO377="","対象年月が未入力／","")&amp;IF($B377="","",IF($AN377="","職員マスタに未登録の職員番号／",IF($Y377="","標準報酬月額が未登録／","")&amp;IF(AND($AO377&lt;&gt;"",OR(AND(INDEX(職員マスタ!$G$6:$G$405,$AN377)&lt;&gt;"",INDEX(職員マスタ!$G$6:$G$405,$AN377)&gt;EOMONTH($AO377,0)),AND(INDEX(職員マスタ!$H$6:$H$405,$AN377)&lt;&gt;"",INDEX(職員マスタ!$H$6:$H$405,$AN377)&lt;$AO377))),"対象月が時短期間外／","")&amp;IF(AND(INDEX(職員マスタ!$F$6:$F$405,$AN377)&lt;&gt;"",$AO377&lt;&gt;"",INDEX(職員マスタ!$F$6:$F$405,$AN377)&lt;$AO377),"対象月に子が2歳到達済／","")&amp;IF(AND($H377&lt;&gt;"",INDEX(職員マスタ!$B$6:$B$405,$AN377)&lt;&gt;"",SUBSTITUTE(SUBSTITUTE($H377," ","")," ","")&lt;&gt;SUBSTITUTE(SUBSTITUTE(INDEX(職員マスタ!$B$6:$B$405,$AN377)," ","")," ","")),"氏名がマスタと相違／","")&amp;IF(AND($Q377&lt;&gt;"",INDEX(職員マスタ!$E$6:$E$405,$AN377)&lt;&gt;"",$Q377&lt;&gt;INDEX(職員マスタ!$E$6:$E$405,$AN377)),"子の生年月日がマスタと相違／","")&amp;IF(AND($L377&lt;&gt;"",INDEX(職員マスタ!$G$6:$G$405,$AN377)&lt;&gt;"",$L377&lt;&gt;INDEX(職員マスタ!$G$6:$G$405,$AN377)),"時短開始日がマスタと相違／","")&amp;IF(AND($M377&lt;&gt;"",INDEX(職員マスタ!$H$6:$H$405,$AN377)&lt;&gt;"",$M377&lt;&gt;INDEX(職員マスタ!$H$6:$H$405,$AN377)),"時短終了日がマスタと相違／","")))&amp;IF(AND($B377&lt;&gt;"",$E377=""),"報酬額が未入力／","")&amp;IF(N($U377)&gt;0,"申請書に入力エラーが残っています／","")&amp;IF(AND($B377&lt;&gt;"",$AO377&lt;&gt;""),IF(COUNTIFS($B$6:$B$3005,$B377,$C$6:$C$3005,$C377,$D$6:$D$3005,$D377)&gt;1,"同じ月の請求が重複しています／",""),"")&amp;IF(AND(N($E377)&gt;0,$Z377&lt;&gt;"",$Z377&lt;&gt;"×",$AC377=0,$AB377=""),"計算額が下限以下のため不支給／",""))</f>
        <v/>
      </c>
      <c r="AL377" s="12" t="n"/>
      <c r="AM377" s="14">
        <f>IF($AD377="保留中",COUNTIF($AD$6:$AD377,"保留中"),"")</f>
        <v/>
      </c>
      <c r="AN377" s="14">
        <f>IF($AO377="","",IF(SUMPRODUCT(MAX((職員マスタ!$A$6:$A$405=$B377)*(((職員マスタ!$G$6:$G$405="")+(職員マスタ!$G$6:$G$405&lt;=EOMONTH($AO377,0)))&gt;0)*(((職員マスタ!$H$6:$H$405="")+(職員マスタ!$H$6:$H$405&gt;=$AO377))&gt;0)*(ROW(職員マスタ!$A$6:$A$405)-5)))&gt;0,SUMPRODUCT(MAX((職員マスタ!$A$6:$A$405=$B377)*(((職員マスタ!$G$6:$G$405="")+(職員マスタ!$G$6:$G$405&lt;=EOMONTH($AO377,0)))&gt;0)*(((職員マスタ!$H$6:$H$405="")+(職員マスタ!$H$6:$H$405&gt;=$AO377))&gt;0)*(ROW(職員マスタ!$A$6:$A$405)-5))),IFERROR(MATCH($B377,職員マスタ!$A$6:$A$405,0),"")))</f>
        <v/>
      </c>
      <c r="AO377" s="16">
        <f>IF(OR($B377="",$C377="",$D377=""),"",DATE($C377+2018,$D377,1))</f>
        <v/>
      </c>
    </row>
    <row r="378">
      <c r="A378" s="11" t="n"/>
      <c r="B378" s="12" t="n">
        <v>6801872</v>
      </c>
      <c r="C378" s="12" t="n">
        <v>7</v>
      </c>
      <c r="D378" s="12" t="n">
        <v>10</v>
      </c>
      <c r="E378" s="13" t="n">
        <v>188340</v>
      </c>
      <c r="F378" s="12" t="n"/>
      <c r="G378" s="13" t="n"/>
      <c r="H378" s="12" t="n"/>
      <c r="I378" s="12" t="n"/>
      <c r="J378" s="12" t="n"/>
      <c r="K378" s="12" t="n"/>
      <c r="L378" s="11" t="n"/>
      <c r="M378" s="11" t="n"/>
      <c r="N378" s="11" t="n"/>
      <c r="O378" s="11" t="n"/>
      <c r="P378" s="12" t="n"/>
      <c r="Q378" s="11" t="n"/>
      <c r="R378" s="12" t="n"/>
      <c r="S378" s="11" t="n"/>
      <c r="T378" s="12" t="n"/>
      <c r="U378" s="12" t="n"/>
      <c r="V378" s="14">
        <f>IF($AN378="",IF($B378="","",$H378),IF(INDEX(職員マスタ!$B$6:$B$405,$AN378)="",$H378,INDEX(職員マスタ!$B$6:$B$405,$AN378)))</f>
        <v/>
      </c>
      <c r="W378" s="14">
        <f>IF($AN378="",IF($B378="","",$R378),IF(INDEX(職員マスタ!$C$6:$C$405,$AN378)="",$R378,INDEX(職員マスタ!$C$6:$C$405,$AN378)))</f>
        <v/>
      </c>
      <c r="X378" s="14">
        <f>IF($AO378="","","R"&amp;$C378&amp;"."&amp;$D378)</f>
        <v/>
      </c>
      <c r="Y378" s="15">
        <f>IF($AN378="","",IF(INDEX(職員マスタ!$K$6:$K$405,$AN378)="","",INDEX(職員マスタ!$K$6:$K$405,$AN378)))</f>
        <v/>
      </c>
      <c r="Z378" s="14">
        <f>IF(OR($E378="",$Y378=""),"",IF($E378&gt;=$Y378,"×",IF($E378&gt;=$Y378*設定!$C$5,"△","○")))</f>
        <v/>
      </c>
      <c r="AA378" s="15">
        <f>IF($Z378="","",IF($Z378="×",0,IF($Z378="○",ROUNDDOWN($E378*設定!$C$4,0),ROUNDDOWN($E378*ROUND((9*$Y378-9*$E378)/(10*$E378),4),0))))</f>
        <v/>
      </c>
      <c r="AB378" s="13" t="n"/>
      <c r="AC378" s="15">
        <f>IF($B378="","",IF($AB378&lt;&gt;"",$AB378,IF($AA378="","",IF($AA378&lt;=設定!$C$3,0,$AA378))))</f>
        <v/>
      </c>
      <c r="AD378" s="14">
        <f>IF($B378="","",IF(AND($AE378&lt;&gt;"",$AG378="",$AJ378=""),"保留中",IF($AJ378&lt;&gt;"",IF(N($AC378)&gt;0,"支給済","不支給"),IF($AC378="","要確認",IF($AC378=0,"不支給","未処理")))))</f>
        <v/>
      </c>
      <c r="AE378" s="12" t="n"/>
      <c r="AF378" s="11" t="n"/>
      <c r="AG378" s="11" t="n"/>
      <c r="AH378" s="11" t="n"/>
      <c r="AI378" s="14">
        <f>IF(AND($AD378="保留中",$AF378&lt;&gt;""),TODAY()-$AF378,"")</f>
        <v/>
      </c>
      <c r="AJ378" s="12" t="inlineStr">
        <is>
          <t>R7.12</t>
        </is>
      </c>
      <c r="AK378" s="14">
        <f>IF($B378="","",IF($AO378="","対象年月が未入力／","")&amp;IF($B378="","",IF($AN378="","職員マスタに未登録の職員番号／",IF($Y378="","標準報酬月額が未登録／","")&amp;IF(AND($AO378&lt;&gt;"",OR(AND(INDEX(職員マスタ!$G$6:$G$405,$AN378)&lt;&gt;"",INDEX(職員マスタ!$G$6:$G$405,$AN378)&gt;EOMONTH($AO378,0)),AND(INDEX(職員マスタ!$H$6:$H$405,$AN378)&lt;&gt;"",INDEX(職員マスタ!$H$6:$H$405,$AN378)&lt;$AO378))),"対象月が時短期間外／","")&amp;IF(AND(INDEX(職員マスタ!$F$6:$F$405,$AN378)&lt;&gt;"",$AO378&lt;&gt;"",INDEX(職員マスタ!$F$6:$F$405,$AN378)&lt;$AO378),"対象月に子が2歳到達済／","")&amp;IF(AND($H378&lt;&gt;"",INDEX(職員マスタ!$B$6:$B$405,$AN378)&lt;&gt;"",SUBSTITUTE(SUBSTITUTE($H378," ","")," ","")&lt;&gt;SUBSTITUTE(SUBSTITUTE(INDEX(職員マスタ!$B$6:$B$405,$AN378)," ","")," ","")),"氏名がマスタと相違／","")&amp;IF(AND($Q378&lt;&gt;"",INDEX(職員マスタ!$E$6:$E$405,$AN378)&lt;&gt;"",$Q378&lt;&gt;INDEX(職員マスタ!$E$6:$E$405,$AN378)),"子の生年月日がマスタと相違／","")&amp;IF(AND($L378&lt;&gt;"",INDEX(職員マスタ!$G$6:$G$405,$AN378)&lt;&gt;"",$L378&lt;&gt;INDEX(職員マスタ!$G$6:$G$405,$AN378)),"時短開始日がマスタと相違／","")&amp;IF(AND($M378&lt;&gt;"",INDEX(職員マスタ!$H$6:$H$405,$AN378)&lt;&gt;"",$M378&lt;&gt;INDEX(職員マスタ!$H$6:$H$405,$AN378)),"時短終了日がマスタと相違／","")))&amp;IF(AND($B378&lt;&gt;"",$E378=""),"報酬額が未入力／","")&amp;IF(N($U378)&gt;0,"申請書に入力エラーが残っています／","")&amp;IF(AND($B378&lt;&gt;"",$AO378&lt;&gt;""),IF(COUNTIFS($B$6:$B$3005,$B378,$C$6:$C$3005,$C378,$D$6:$D$3005,$D378)&gt;1,"同じ月の請求が重複しています／",""),"")&amp;IF(AND(N($E378)&gt;0,$Z378&lt;&gt;"",$Z378&lt;&gt;"×",$AC378=0,$AB378=""),"計算額が下限以下のため不支給／",""))</f>
        <v/>
      </c>
      <c r="AL378" s="12" t="n"/>
      <c r="AM378" s="14">
        <f>IF($AD378="保留中",COUNTIF($AD$6:$AD378,"保留中"),"")</f>
        <v/>
      </c>
      <c r="AN378" s="14">
        <f>IF($AO378="","",IF(SUMPRODUCT(MAX((職員マスタ!$A$6:$A$405=$B378)*(((職員マスタ!$G$6:$G$405="")+(職員マスタ!$G$6:$G$405&lt;=EOMONTH($AO378,0)))&gt;0)*(((職員マスタ!$H$6:$H$405="")+(職員マスタ!$H$6:$H$405&gt;=$AO378))&gt;0)*(ROW(職員マスタ!$A$6:$A$405)-5)))&gt;0,SUMPRODUCT(MAX((職員マスタ!$A$6:$A$405=$B378)*(((職員マスタ!$G$6:$G$405="")+(職員マスタ!$G$6:$G$405&lt;=EOMONTH($AO378,0)))&gt;0)*(((職員マスタ!$H$6:$H$405="")+(職員マスタ!$H$6:$H$405&gt;=$AO378))&gt;0)*(ROW(職員マスタ!$A$6:$A$405)-5))),IFERROR(MATCH($B378,職員マスタ!$A$6:$A$405,0),"")))</f>
        <v/>
      </c>
      <c r="AO378" s="16">
        <f>IF(OR($B378="",$C378="",$D378=""),"",DATE($C378+2018,$D378,1))</f>
        <v/>
      </c>
    </row>
    <row r="379">
      <c r="A379" s="11" t="n"/>
      <c r="B379" s="12" t="n">
        <v>6801872</v>
      </c>
      <c r="C379" s="12" t="n">
        <v>8</v>
      </c>
      <c r="D379" s="12" t="n">
        <v>1</v>
      </c>
      <c r="E379" s="13" t="n">
        <v>192070</v>
      </c>
      <c r="F379" s="12" t="n"/>
      <c r="G379" s="13" t="n"/>
      <c r="H379" s="12" t="n"/>
      <c r="I379" s="12" t="n"/>
      <c r="J379" s="12" t="n"/>
      <c r="K379" s="12" t="n"/>
      <c r="L379" s="11" t="n"/>
      <c r="M379" s="11" t="n"/>
      <c r="N379" s="11" t="n"/>
      <c r="O379" s="11" t="n"/>
      <c r="P379" s="12" t="n"/>
      <c r="Q379" s="11" t="n"/>
      <c r="R379" s="12" t="n"/>
      <c r="S379" s="11" t="n"/>
      <c r="T379" s="12" t="n"/>
      <c r="U379" s="12" t="n"/>
      <c r="V379" s="14">
        <f>IF($AN379="",IF($B379="","",$H379),IF(INDEX(職員マスタ!$B$6:$B$405,$AN379)="",$H379,INDEX(職員マスタ!$B$6:$B$405,$AN379)))</f>
        <v/>
      </c>
      <c r="W379" s="14">
        <f>IF($AN379="",IF($B379="","",$R379),IF(INDEX(職員マスタ!$C$6:$C$405,$AN379)="",$R379,INDEX(職員マスタ!$C$6:$C$405,$AN379)))</f>
        <v/>
      </c>
      <c r="X379" s="14">
        <f>IF($AO379="","","R"&amp;$C379&amp;"."&amp;$D379)</f>
        <v/>
      </c>
      <c r="Y379" s="15">
        <f>IF($AN379="","",IF(INDEX(職員マスタ!$K$6:$K$405,$AN379)="","",INDEX(職員マスタ!$K$6:$K$405,$AN379)))</f>
        <v/>
      </c>
      <c r="Z379" s="14">
        <f>IF(OR($E379="",$Y379=""),"",IF($E379&gt;=$Y379,"×",IF($E379&gt;=$Y379*設定!$C$5,"△","○")))</f>
        <v/>
      </c>
      <c r="AA379" s="15">
        <f>IF($Z379="","",IF($Z379="×",0,IF($Z379="○",ROUNDDOWN($E379*設定!$C$4,0),ROUNDDOWN($E379*ROUND((9*$Y379-9*$E379)/(10*$E379),4),0))))</f>
        <v/>
      </c>
      <c r="AB379" s="13" t="n"/>
      <c r="AC379" s="15">
        <f>IF($B379="","",IF($AB379&lt;&gt;"",$AB379,IF($AA379="","",IF($AA379&lt;=設定!$C$3,0,$AA379))))</f>
        <v/>
      </c>
      <c r="AD379" s="14">
        <f>IF($B379="","",IF(AND($AE379&lt;&gt;"",$AG379="",$AJ379=""),"保留中",IF($AJ379&lt;&gt;"",IF(N($AC379)&gt;0,"支給済","不支給"),IF($AC379="","要確認",IF($AC379=0,"不支給","未処理")))))</f>
        <v/>
      </c>
      <c r="AE379" s="12" t="n"/>
      <c r="AF379" s="11" t="n"/>
      <c r="AG379" s="11" t="n"/>
      <c r="AH379" s="11" t="n"/>
      <c r="AI379" s="14">
        <f>IF(AND($AD379="保留中",$AF379&lt;&gt;""),TODAY()-$AF379,"")</f>
        <v/>
      </c>
      <c r="AJ379" s="12" t="inlineStr">
        <is>
          <t>R8.3</t>
        </is>
      </c>
      <c r="AK379" s="14">
        <f>IF($B379="","",IF($AO379="","対象年月が未入力／","")&amp;IF($B379="","",IF($AN379="","職員マスタに未登録の職員番号／",IF($Y379="","標準報酬月額が未登録／","")&amp;IF(AND($AO379&lt;&gt;"",OR(AND(INDEX(職員マスタ!$G$6:$G$405,$AN379)&lt;&gt;"",INDEX(職員マスタ!$G$6:$G$405,$AN379)&gt;EOMONTH($AO379,0)),AND(INDEX(職員マスタ!$H$6:$H$405,$AN379)&lt;&gt;"",INDEX(職員マスタ!$H$6:$H$405,$AN379)&lt;$AO379))),"対象月が時短期間外／","")&amp;IF(AND(INDEX(職員マスタ!$F$6:$F$405,$AN379)&lt;&gt;"",$AO379&lt;&gt;"",INDEX(職員マスタ!$F$6:$F$405,$AN379)&lt;$AO379),"対象月に子が2歳到達済／","")&amp;IF(AND($H379&lt;&gt;"",INDEX(職員マスタ!$B$6:$B$405,$AN379)&lt;&gt;"",SUBSTITUTE(SUBSTITUTE($H379," ","")," ","")&lt;&gt;SUBSTITUTE(SUBSTITUTE(INDEX(職員マスタ!$B$6:$B$405,$AN379)," ","")," ","")),"氏名がマスタと相違／","")&amp;IF(AND($Q379&lt;&gt;"",INDEX(職員マスタ!$E$6:$E$405,$AN379)&lt;&gt;"",$Q379&lt;&gt;INDEX(職員マスタ!$E$6:$E$405,$AN379)),"子の生年月日がマスタと相違／","")&amp;IF(AND($L379&lt;&gt;"",INDEX(職員マスタ!$G$6:$G$405,$AN379)&lt;&gt;"",$L379&lt;&gt;INDEX(職員マスタ!$G$6:$G$405,$AN379)),"時短開始日がマスタと相違／","")&amp;IF(AND($M379&lt;&gt;"",INDEX(職員マスタ!$H$6:$H$405,$AN379)&lt;&gt;"",$M379&lt;&gt;INDEX(職員マスタ!$H$6:$H$405,$AN379)),"時短終了日がマスタと相違／","")))&amp;IF(AND($B379&lt;&gt;"",$E379=""),"報酬額が未入力／","")&amp;IF(N($U379)&gt;0,"申請書に入力エラーが残っています／","")&amp;IF(AND($B379&lt;&gt;"",$AO379&lt;&gt;""),IF(COUNTIFS($B$6:$B$3005,$B379,$C$6:$C$3005,$C379,$D$6:$D$3005,$D379)&gt;1,"同じ月の請求が重複しています／",""),"")&amp;IF(AND(N($E379)&gt;0,$Z379&lt;&gt;"",$Z379&lt;&gt;"×",$AC379=0,$AB379=""),"計算額が下限以下のため不支給／",""))</f>
        <v/>
      </c>
      <c r="AL379" s="12" t="n"/>
      <c r="AM379" s="14">
        <f>IF($AD379="保留中",COUNTIF($AD$6:$AD379,"保留中"),"")</f>
        <v/>
      </c>
      <c r="AN379" s="14">
        <f>IF($AO379="","",IF(SUMPRODUCT(MAX((職員マスタ!$A$6:$A$405=$B379)*(((職員マスタ!$G$6:$G$405="")+(職員マスタ!$G$6:$G$405&lt;=EOMONTH($AO379,0)))&gt;0)*(((職員マスタ!$H$6:$H$405="")+(職員マスタ!$H$6:$H$405&gt;=$AO379))&gt;0)*(ROW(職員マスタ!$A$6:$A$405)-5)))&gt;0,SUMPRODUCT(MAX((職員マスタ!$A$6:$A$405=$B379)*(((職員マスタ!$G$6:$G$405="")+(職員マスタ!$G$6:$G$405&lt;=EOMONTH($AO379,0)))&gt;0)*(((職員マスタ!$H$6:$H$405="")+(職員マスタ!$H$6:$H$405&gt;=$AO379))&gt;0)*(ROW(職員マスタ!$A$6:$A$405)-5))),IFERROR(MATCH($B379,職員マスタ!$A$6:$A$405,0),"")))</f>
        <v/>
      </c>
      <c r="AO379" s="16">
        <f>IF(OR($B379="",$C379="",$D379=""),"",DATE($C379+2018,$D379,1))</f>
        <v/>
      </c>
    </row>
    <row r="380">
      <c r="A380" s="11" t="n"/>
      <c r="B380" s="12" t="n">
        <v>6802235</v>
      </c>
      <c r="C380" s="12" t="n">
        <v>7</v>
      </c>
      <c r="D380" s="12" t="n">
        <v>8</v>
      </c>
      <c r="E380" s="13" t="n">
        <v>143973</v>
      </c>
      <c r="F380" s="12" t="n"/>
      <c r="G380" s="13" t="n"/>
      <c r="H380" s="12" t="n"/>
      <c r="I380" s="12" t="n"/>
      <c r="J380" s="12" t="n"/>
      <c r="K380" s="12" t="n"/>
      <c r="L380" s="11" t="n"/>
      <c r="M380" s="11" t="n"/>
      <c r="N380" s="11" t="n"/>
      <c r="O380" s="11" t="n"/>
      <c r="P380" s="12" t="n"/>
      <c r="Q380" s="11" t="n"/>
      <c r="R380" s="12" t="n"/>
      <c r="S380" s="11" t="n"/>
      <c r="T380" s="12" t="n"/>
      <c r="U380" s="12" t="n"/>
      <c r="V380" s="14">
        <f>IF($AN380="",IF($B380="","",$H380),IF(INDEX(職員マスタ!$B$6:$B$405,$AN380)="",$H380,INDEX(職員マスタ!$B$6:$B$405,$AN380)))</f>
        <v/>
      </c>
      <c r="W380" s="14">
        <f>IF($AN380="",IF($B380="","",$R380),IF(INDEX(職員マスタ!$C$6:$C$405,$AN380)="",$R380,INDEX(職員マスタ!$C$6:$C$405,$AN380)))</f>
        <v/>
      </c>
      <c r="X380" s="14">
        <f>IF($AO380="","","R"&amp;$C380&amp;"."&amp;$D380)</f>
        <v/>
      </c>
      <c r="Y380" s="15">
        <f>IF($AN380="","",IF(INDEX(職員マスタ!$K$6:$K$405,$AN380)="","",INDEX(職員マスタ!$K$6:$K$405,$AN380)))</f>
        <v/>
      </c>
      <c r="Z380" s="14">
        <f>IF(OR($E380="",$Y380=""),"",IF($E380&gt;=$Y380,"×",IF($E380&gt;=$Y380*設定!$C$5,"△","○")))</f>
        <v/>
      </c>
      <c r="AA380" s="15">
        <f>IF($Z380="","",IF($Z380="×",0,IF($Z380="○",ROUNDDOWN($E380*設定!$C$4,0),ROUNDDOWN($E380*ROUND((9*$Y380-9*$E380)/(10*$E380),4),0))))</f>
        <v/>
      </c>
      <c r="AB380" s="13" t="n"/>
      <c r="AC380" s="15">
        <f>IF($B380="","",IF($AB380&lt;&gt;"",$AB380,IF($AA380="","",IF($AA380&lt;=設定!$C$3,0,$AA380))))</f>
        <v/>
      </c>
      <c r="AD380" s="14">
        <f>IF($B380="","",IF(AND($AE380&lt;&gt;"",$AG380="",$AJ380=""),"保留中",IF($AJ380&lt;&gt;"",IF(N($AC380)&gt;0,"支給済","不支給"),IF($AC380="","要確認",IF($AC380=0,"不支給","未処理")))))</f>
        <v/>
      </c>
      <c r="AE380" s="12" t="n"/>
      <c r="AF380" s="11" t="n"/>
      <c r="AG380" s="11" t="n"/>
      <c r="AH380" s="11" t="n"/>
      <c r="AI380" s="14">
        <f>IF(AND($AD380="保留中",$AF380&lt;&gt;""),TODAY()-$AF380,"")</f>
        <v/>
      </c>
      <c r="AJ380" s="12" t="inlineStr">
        <is>
          <t>R7.10</t>
        </is>
      </c>
      <c r="AK380" s="14">
        <f>IF($B380="","",IF($AO380="","対象年月が未入力／","")&amp;IF($B380="","",IF($AN380="","職員マスタに未登録の職員番号／",IF($Y380="","標準報酬月額が未登録／","")&amp;IF(AND($AO380&lt;&gt;"",OR(AND(INDEX(職員マスタ!$G$6:$G$405,$AN380)&lt;&gt;"",INDEX(職員マスタ!$G$6:$G$405,$AN380)&gt;EOMONTH($AO380,0)),AND(INDEX(職員マスタ!$H$6:$H$405,$AN380)&lt;&gt;"",INDEX(職員マスタ!$H$6:$H$405,$AN380)&lt;$AO380))),"対象月が時短期間外／","")&amp;IF(AND(INDEX(職員マスタ!$F$6:$F$405,$AN380)&lt;&gt;"",$AO380&lt;&gt;"",INDEX(職員マスタ!$F$6:$F$405,$AN380)&lt;$AO380),"対象月に子が2歳到達済／","")&amp;IF(AND($H380&lt;&gt;"",INDEX(職員マスタ!$B$6:$B$405,$AN380)&lt;&gt;"",SUBSTITUTE(SUBSTITUTE($H380," ","")," ","")&lt;&gt;SUBSTITUTE(SUBSTITUTE(INDEX(職員マスタ!$B$6:$B$405,$AN380)," ","")," ","")),"氏名がマスタと相違／","")&amp;IF(AND($Q380&lt;&gt;"",INDEX(職員マスタ!$E$6:$E$405,$AN380)&lt;&gt;"",$Q380&lt;&gt;INDEX(職員マスタ!$E$6:$E$405,$AN380)),"子の生年月日がマスタと相違／","")&amp;IF(AND($L380&lt;&gt;"",INDEX(職員マスタ!$G$6:$G$405,$AN380)&lt;&gt;"",$L380&lt;&gt;INDEX(職員マスタ!$G$6:$G$405,$AN380)),"時短開始日がマスタと相違／","")&amp;IF(AND($M380&lt;&gt;"",INDEX(職員マスタ!$H$6:$H$405,$AN380)&lt;&gt;"",$M380&lt;&gt;INDEX(職員マスタ!$H$6:$H$405,$AN380)),"時短終了日がマスタと相違／","")))&amp;IF(AND($B380&lt;&gt;"",$E380=""),"報酬額が未入力／","")&amp;IF(N($U380)&gt;0,"申請書に入力エラーが残っています／","")&amp;IF(AND($B380&lt;&gt;"",$AO380&lt;&gt;""),IF(COUNTIFS($B$6:$B$3005,$B380,$C$6:$C$3005,$C380,$D$6:$D$3005,$D380)&gt;1,"同じ月の請求が重複しています／",""),"")&amp;IF(AND(N($E380)&gt;0,$Z380&lt;&gt;"",$Z380&lt;&gt;"×",$AC380=0,$AB380=""),"計算額が下限以下のため不支給／",""))</f>
        <v/>
      </c>
      <c r="AL380" s="12" t="n"/>
      <c r="AM380" s="14">
        <f>IF($AD380="保留中",COUNTIF($AD$6:$AD380,"保留中"),"")</f>
        <v/>
      </c>
      <c r="AN380" s="14">
        <f>IF($AO380="","",IF(SUMPRODUCT(MAX((職員マスタ!$A$6:$A$405=$B380)*(((職員マスタ!$G$6:$G$405="")+(職員マスタ!$G$6:$G$405&lt;=EOMONTH($AO380,0)))&gt;0)*(((職員マスタ!$H$6:$H$405="")+(職員マスタ!$H$6:$H$405&gt;=$AO380))&gt;0)*(ROW(職員マスタ!$A$6:$A$405)-5)))&gt;0,SUMPRODUCT(MAX((職員マスタ!$A$6:$A$405=$B380)*(((職員マスタ!$G$6:$G$405="")+(職員マスタ!$G$6:$G$405&lt;=EOMONTH($AO380,0)))&gt;0)*(((職員マスタ!$H$6:$H$405="")+(職員マスタ!$H$6:$H$405&gt;=$AO380))&gt;0)*(ROW(職員マスタ!$A$6:$A$405)-5))),IFERROR(MATCH($B380,職員マスタ!$A$6:$A$405,0),"")))</f>
        <v/>
      </c>
      <c r="AO380" s="16">
        <f>IF(OR($B380="",$C380="",$D380=""),"",DATE($C380+2018,$D380,1))</f>
        <v/>
      </c>
    </row>
    <row r="381">
      <c r="A381" s="11" t="n"/>
      <c r="B381" s="12" t="n">
        <v>6802235</v>
      </c>
      <c r="C381" s="12" t="n">
        <v>7</v>
      </c>
      <c r="D381" s="12" t="n">
        <v>9</v>
      </c>
      <c r="E381" s="13" t="n">
        <v>204214</v>
      </c>
      <c r="F381" s="12" t="n"/>
      <c r="G381" s="13" t="n"/>
      <c r="H381" s="12" t="n"/>
      <c r="I381" s="12" t="n"/>
      <c r="J381" s="12" t="n"/>
      <c r="K381" s="12" t="n"/>
      <c r="L381" s="11" t="n"/>
      <c r="M381" s="11" t="n"/>
      <c r="N381" s="11" t="n"/>
      <c r="O381" s="11" t="n"/>
      <c r="P381" s="12" t="n"/>
      <c r="Q381" s="11" t="n"/>
      <c r="R381" s="12" t="n"/>
      <c r="S381" s="11" t="n"/>
      <c r="T381" s="12" t="n"/>
      <c r="U381" s="12" t="n"/>
      <c r="V381" s="14">
        <f>IF($AN381="",IF($B381="","",$H381),IF(INDEX(職員マスタ!$B$6:$B$405,$AN381)="",$H381,INDEX(職員マスタ!$B$6:$B$405,$AN381)))</f>
        <v/>
      </c>
      <c r="W381" s="14">
        <f>IF($AN381="",IF($B381="","",$R381),IF(INDEX(職員マスタ!$C$6:$C$405,$AN381)="",$R381,INDEX(職員マスタ!$C$6:$C$405,$AN381)))</f>
        <v/>
      </c>
      <c r="X381" s="14">
        <f>IF($AO381="","","R"&amp;$C381&amp;"."&amp;$D381)</f>
        <v/>
      </c>
      <c r="Y381" s="15">
        <f>IF($AN381="","",IF(INDEX(職員マスタ!$K$6:$K$405,$AN381)="","",INDEX(職員マスタ!$K$6:$K$405,$AN381)))</f>
        <v/>
      </c>
      <c r="Z381" s="14">
        <f>IF(OR($E381="",$Y381=""),"",IF($E381&gt;=$Y381,"×",IF($E381&gt;=$Y381*設定!$C$5,"△","○")))</f>
        <v/>
      </c>
      <c r="AA381" s="15">
        <f>IF($Z381="","",IF($Z381="×",0,IF($Z381="○",ROUNDDOWN($E381*設定!$C$4,0),ROUNDDOWN($E381*ROUND((9*$Y381-9*$E381)/(10*$E381),4),0))))</f>
        <v/>
      </c>
      <c r="AB381" s="13" t="n"/>
      <c r="AC381" s="15">
        <f>IF($B381="","",IF($AB381&lt;&gt;"",$AB381,IF($AA381="","",IF($AA381&lt;=設定!$C$3,0,$AA381))))</f>
        <v/>
      </c>
      <c r="AD381" s="14">
        <f>IF($B381="","",IF(AND($AE381&lt;&gt;"",$AG381="",$AJ381=""),"保留中",IF($AJ381&lt;&gt;"",IF(N($AC381)&gt;0,"支給済","不支給"),IF($AC381="","要確認",IF($AC381=0,"不支給","未処理")))))</f>
        <v/>
      </c>
      <c r="AE381" s="12" t="n"/>
      <c r="AF381" s="11" t="n"/>
      <c r="AG381" s="11" t="n"/>
      <c r="AH381" s="11" t="n"/>
      <c r="AI381" s="14">
        <f>IF(AND($AD381="保留中",$AF381&lt;&gt;""),TODAY()-$AF381,"")</f>
        <v/>
      </c>
      <c r="AJ381" s="12" t="inlineStr">
        <is>
          <t>R7.11</t>
        </is>
      </c>
      <c r="AK381" s="14">
        <f>IF($B381="","",IF($AO381="","対象年月が未入力／","")&amp;IF($B381="","",IF($AN381="","職員マスタに未登録の職員番号／",IF($Y381="","標準報酬月額が未登録／","")&amp;IF(AND($AO381&lt;&gt;"",OR(AND(INDEX(職員マスタ!$G$6:$G$405,$AN381)&lt;&gt;"",INDEX(職員マスタ!$G$6:$G$405,$AN381)&gt;EOMONTH($AO381,0)),AND(INDEX(職員マスタ!$H$6:$H$405,$AN381)&lt;&gt;"",INDEX(職員マスタ!$H$6:$H$405,$AN381)&lt;$AO381))),"対象月が時短期間外／","")&amp;IF(AND(INDEX(職員マスタ!$F$6:$F$405,$AN381)&lt;&gt;"",$AO381&lt;&gt;"",INDEX(職員マスタ!$F$6:$F$405,$AN381)&lt;$AO381),"対象月に子が2歳到達済／","")&amp;IF(AND($H381&lt;&gt;"",INDEX(職員マスタ!$B$6:$B$405,$AN381)&lt;&gt;"",SUBSTITUTE(SUBSTITUTE($H381," ","")," ","")&lt;&gt;SUBSTITUTE(SUBSTITUTE(INDEX(職員マスタ!$B$6:$B$405,$AN381)," ","")," ","")),"氏名がマスタと相違／","")&amp;IF(AND($Q381&lt;&gt;"",INDEX(職員マスタ!$E$6:$E$405,$AN381)&lt;&gt;"",$Q381&lt;&gt;INDEX(職員マスタ!$E$6:$E$405,$AN381)),"子の生年月日がマスタと相違／","")&amp;IF(AND($L381&lt;&gt;"",INDEX(職員マスタ!$G$6:$G$405,$AN381)&lt;&gt;"",$L381&lt;&gt;INDEX(職員マスタ!$G$6:$G$405,$AN381)),"時短開始日がマスタと相違／","")&amp;IF(AND($M381&lt;&gt;"",INDEX(職員マスタ!$H$6:$H$405,$AN381)&lt;&gt;"",$M381&lt;&gt;INDEX(職員マスタ!$H$6:$H$405,$AN381)),"時短終了日がマスタと相違／","")))&amp;IF(AND($B381&lt;&gt;"",$E381=""),"報酬額が未入力／","")&amp;IF(N($U381)&gt;0,"申請書に入力エラーが残っています／","")&amp;IF(AND($B381&lt;&gt;"",$AO381&lt;&gt;""),IF(COUNTIFS($B$6:$B$3005,$B381,$C$6:$C$3005,$C381,$D$6:$D$3005,$D381)&gt;1,"同じ月の請求が重複しています／",""),"")&amp;IF(AND(N($E381)&gt;0,$Z381&lt;&gt;"",$Z381&lt;&gt;"×",$AC381=0,$AB381=""),"計算額が下限以下のため不支給／",""))</f>
        <v/>
      </c>
      <c r="AL381" s="12" t="n"/>
      <c r="AM381" s="14">
        <f>IF($AD381="保留中",COUNTIF($AD$6:$AD381,"保留中"),"")</f>
        <v/>
      </c>
      <c r="AN381" s="14">
        <f>IF($AO381="","",IF(SUMPRODUCT(MAX((職員マスタ!$A$6:$A$405=$B381)*(((職員マスタ!$G$6:$G$405="")+(職員マスタ!$G$6:$G$405&lt;=EOMONTH($AO381,0)))&gt;0)*(((職員マスタ!$H$6:$H$405="")+(職員マスタ!$H$6:$H$405&gt;=$AO381))&gt;0)*(ROW(職員マスタ!$A$6:$A$405)-5)))&gt;0,SUMPRODUCT(MAX((職員マスタ!$A$6:$A$405=$B381)*(((職員マスタ!$G$6:$G$405="")+(職員マスタ!$G$6:$G$405&lt;=EOMONTH($AO381,0)))&gt;0)*(((職員マスタ!$H$6:$H$405="")+(職員マスタ!$H$6:$H$405&gt;=$AO381))&gt;0)*(ROW(職員マスタ!$A$6:$A$405)-5))),IFERROR(MATCH($B381,職員マスタ!$A$6:$A$405,0),"")))</f>
        <v/>
      </c>
      <c r="AO381" s="16">
        <f>IF(OR($B381="",$C381="",$D381=""),"",DATE($C381+2018,$D381,1))</f>
        <v/>
      </c>
    </row>
    <row r="382">
      <c r="A382" s="11" t="n"/>
      <c r="B382" s="12" t="n">
        <v>6802235</v>
      </c>
      <c r="C382" s="12" t="n">
        <v>7</v>
      </c>
      <c r="D382" s="12" t="n">
        <v>10</v>
      </c>
      <c r="E382" s="13" t="n">
        <v>204292</v>
      </c>
      <c r="F382" s="12" t="n"/>
      <c r="G382" s="13" t="n"/>
      <c r="H382" s="12" t="n"/>
      <c r="I382" s="12" t="n"/>
      <c r="J382" s="12" t="n"/>
      <c r="K382" s="12" t="n"/>
      <c r="L382" s="11" t="n"/>
      <c r="M382" s="11" t="n"/>
      <c r="N382" s="11" t="n"/>
      <c r="O382" s="11" t="n"/>
      <c r="P382" s="12" t="n"/>
      <c r="Q382" s="11" t="n"/>
      <c r="R382" s="12" t="n"/>
      <c r="S382" s="11" t="n"/>
      <c r="T382" s="12" t="n"/>
      <c r="U382" s="12" t="n"/>
      <c r="V382" s="14">
        <f>IF($AN382="",IF($B382="","",$H382),IF(INDEX(職員マスタ!$B$6:$B$405,$AN382)="",$H382,INDEX(職員マスタ!$B$6:$B$405,$AN382)))</f>
        <v/>
      </c>
      <c r="W382" s="14">
        <f>IF($AN382="",IF($B382="","",$R382),IF(INDEX(職員マスタ!$C$6:$C$405,$AN382)="",$R382,INDEX(職員マスタ!$C$6:$C$405,$AN382)))</f>
        <v/>
      </c>
      <c r="X382" s="14">
        <f>IF($AO382="","","R"&amp;$C382&amp;"."&amp;$D382)</f>
        <v/>
      </c>
      <c r="Y382" s="15">
        <f>IF($AN382="","",IF(INDEX(職員マスタ!$K$6:$K$405,$AN382)="","",INDEX(職員マスタ!$K$6:$K$405,$AN382)))</f>
        <v/>
      </c>
      <c r="Z382" s="14">
        <f>IF(OR($E382="",$Y382=""),"",IF($E382&gt;=$Y382,"×",IF($E382&gt;=$Y382*設定!$C$5,"△","○")))</f>
        <v/>
      </c>
      <c r="AA382" s="15">
        <f>IF($Z382="","",IF($Z382="×",0,IF($Z382="○",ROUNDDOWN($E382*設定!$C$4,0),ROUNDDOWN($E382*ROUND((9*$Y382-9*$E382)/(10*$E382),4),0))))</f>
        <v/>
      </c>
      <c r="AB382" s="13" t="n"/>
      <c r="AC382" s="15">
        <f>IF($B382="","",IF($AB382&lt;&gt;"",$AB382,IF($AA382="","",IF($AA382&lt;=設定!$C$3,0,$AA382))))</f>
        <v/>
      </c>
      <c r="AD382" s="14">
        <f>IF($B382="","",IF(AND($AE382&lt;&gt;"",$AG382="",$AJ382=""),"保留中",IF($AJ382&lt;&gt;"",IF(N($AC382)&gt;0,"支給済","不支給"),IF($AC382="","要確認",IF($AC382=0,"不支給","未処理")))))</f>
        <v/>
      </c>
      <c r="AE382" s="12" t="n"/>
      <c r="AF382" s="11" t="n"/>
      <c r="AG382" s="11" t="n"/>
      <c r="AH382" s="11" t="n"/>
      <c r="AI382" s="14">
        <f>IF(AND($AD382="保留中",$AF382&lt;&gt;""),TODAY()-$AF382,"")</f>
        <v/>
      </c>
      <c r="AJ382" s="12" t="inlineStr">
        <is>
          <t>R7.12</t>
        </is>
      </c>
      <c r="AK382" s="14">
        <f>IF($B382="","",IF($AO382="","対象年月が未入力／","")&amp;IF($B382="","",IF($AN382="","職員マスタに未登録の職員番号／",IF($Y382="","標準報酬月額が未登録／","")&amp;IF(AND($AO382&lt;&gt;"",OR(AND(INDEX(職員マスタ!$G$6:$G$405,$AN382)&lt;&gt;"",INDEX(職員マスタ!$G$6:$G$405,$AN382)&gt;EOMONTH($AO382,0)),AND(INDEX(職員マスタ!$H$6:$H$405,$AN382)&lt;&gt;"",INDEX(職員マスタ!$H$6:$H$405,$AN382)&lt;$AO382))),"対象月が時短期間外／","")&amp;IF(AND(INDEX(職員マスタ!$F$6:$F$405,$AN382)&lt;&gt;"",$AO382&lt;&gt;"",INDEX(職員マスタ!$F$6:$F$405,$AN382)&lt;$AO382),"対象月に子が2歳到達済／","")&amp;IF(AND($H382&lt;&gt;"",INDEX(職員マスタ!$B$6:$B$405,$AN382)&lt;&gt;"",SUBSTITUTE(SUBSTITUTE($H382," ","")," ","")&lt;&gt;SUBSTITUTE(SUBSTITUTE(INDEX(職員マスタ!$B$6:$B$405,$AN382)," ","")," ","")),"氏名がマスタと相違／","")&amp;IF(AND($Q382&lt;&gt;"",INDEX(職員マスタ!$E$6:$E$405,$AN382)&lt;&gt;"",$Q382&lt;&gt;INDEX(職員マスタ!$E$6:$E$405,$AN382)),"子の生年月日がマスタと相違／","")&amp;IF(AND($L382&lt;&gt;"",INDEX(職員マスタ!$G$6:$G$405,$AN382)&lt;&gt;"",$L382&lt;&gt;INDEX(職員マスタ!$G$6:$G$405,$AN382)),"時短開始日がマスタと相違／","")&amp;IF(AND($M382&lt;&gt;"",INDEX(職員マスタ!$H$6:$H$405,$AN382)&lt;&gt;"",$M382&lt;&gt;INDEX(職員マスタ!$H$6:$H$405,$AN382)),"時短終了日がマスタと相違／","")))&amp;IF(AND($B382&lt;&gt;"",$E382=""),"報酬額が未入力／","")&amp;IF(N($U382)&gt;0,"申請書に入力エラーが残っています／","")&amp;IF(AND($B382&lt;&gt;"",$AO382&lt;&gt;""),IF(COUNTIFS($B$6:$B$3005,$B382,$C$6:$C$3005,$C382,$D$6:$D$3005,$D382)&gt;1,"同じ月の請求が重複しています／",""),"")&amp;IF(AND(N($E382)&gt;0,$Z382&lt;&gt;"",$Z382&lt;&gt;"×",$AC382=0,$AB382=""),"計算額が下限以下のため不支給／",""))</f>
        <v/>
      </c>
      <c r="AL382" s="12" t="n"/>
      <c r="AM382" s="14">
        <f>IF($AD382="保留中",COUNTIF($AD$6:$AD382,"保留中"),"")</f>
        <v/>
      </c>
      <c r="AN382" s="14">
        <f>IF($AO382="","",IF(SUMPRODUCT(MAX((職員マスタ!$A$6:$A$405=$B382)*(((職員マスタ!$G$6:$G$405="")+(職員マスタ!$G$6:$G$405&lt;=EOMONTH($AO382,0)))&gt;0)*(((職員マスタ!$H$6:$H$405="")+(職員マスタ!$H$6:$H$405&gt;=$AO382))&gt;0)*(ROW(職員マスタ!$A$6:$A$405)-5)))&gt;0,SUMPRODUCT(MAX((職員マスタ!$A$6:$A$405=$B382)*(((職員マスタ!$G$6:$G$405="")+(職員マスタ!$G$6:$G$405&lt;=EOMONTH($AO382,0)))&gt;0)*(((職員マスタ!$H$6:$H$405="")+(職員マスタ!$H$6:$H$405&gt;=$AO382))&gt;0)*(ROW(職員マスタ!$A$6:$A$405)-5))),IFERROR(MATCH($B382,職員マスタ!$A$6:$A$405,0),"")))</f>
        <v/>
      </c>
      <c r="AO382" s="16">
        <f>IF(OR($B382="",$C382="",$D382=""),"",DATE($C382+2018,$D382,1))</f>
        <v/>
      </c>
    </row>
    <row r="383">
      <c r="A383" s="11" t="n"/>
      <c r="B383" s="12" t="n">
        <v>6802235</v>
      </c>
      <c r="C383" s="12" t="n">
        <v>7</v>
      </c>
      <c r="D383" s="12" t="n">
        <v>11</v>
      </c>
      <c r="E383" s="13" t="n">
        <v>204292</v>
      </c>
      <c r="F383" s="12" t="n"/>
      <c r="G383" s="13" t="n"/>
      <c r="H383" s="12" t="n"/>
      <c r="I383" s="12" t="n"/>
      <c r="J383" s="12" t="n"/>
      <c r="K383" s="12" t="n"/>
      <c r="L383" s="11" t="n"/>
      <c r="M383" s="11" t="n"/>
      <c r="N383" s="11" t="n"/>
      <c r="O383" s="11" t="n"/>
      <c r="P383" s="12" t="n"/>
      <c r="Q383" s="11" t="n"/>
      <c r="R383" s="12" t="n"/>
      <c r="S383" s="11" t="n"/>
      <c r="T383" s="12" t="n"/>
      <c r="U383" s="12" t="n"/>
      <c r="V383" s="14">
        <f>IF($AN383="",IF($B383="","",$H383),IF(INDEX(職員マスタ!$B$6:$B$405,$AN383)="",$H383,INDEX(職員マスタ!$B$6:$B$405,$AN383)))</f>
        <v/>
      </c>
      <c r="W383" s="14">
        <f>IF($AN383="",IF($B383="","",$R383),IF(INDEX(職員マスタ!$C$6:$C$405,$AN383)="",$R383,INDEX(職員マスタ!$C$6:$C$405,$AN383)))</f>
        <v/>
      </c>
      <c r="X383" s="14">
        <f>IF($AO383="","","R"&amp;$C383&amp;"."&amp;$D383)</f>
        <v/>
      </c>
      <c r="Y383" s="15">
        <f>IF($AN383="","",IF(INDEX(職員マスタ!$K$6:$K$405,$AN383)="","",INDEX(職員マスタ!$K$6:$K$405,$AN383)))</f>
        <v/>
      </c>
      <c r="Z383" s="14">
        <f>IF(OR($E383="",$Y383=""),"",IF($E383&gt;=$Y383,"×",IF($E383&gt;=$Y383*設定!$C$5,"△","○")))</f>
        <v/>
      </c>
      <c r="AA383" s="15">
        <f>IF($Z383="","",IF($Z383="×",0,IF($Z383="○",ROUNDDOWN($E383*設定!$C$4,0),ROUNDDOWN($E383*ROUND((9*$Y383-9*$E383)/(10*$E383),4),0))))</f>
        <v/>
      </c>
      <c r="AB383" s="13" t="n"/>
      <c r="AC383" s="15">
        <f>IF($B383="","",IF($AB383&lt;&gt;"",$AB383,IF($AA383="","",IF($AA383&lt;=設定!$C$3,0,$AA383))))</f>
        <v/>
      </c>
      <c r="AD383" s="14">
        <f>IF($B383="","",IF(AND($AE383&lt;&gt;"",$AG383="",$AJ383=""),"保留中",IF($AJ383&lt;&gt;"",IF(N($AC383)&gt;0,"支給済","不支給"),IF($AC383="","要確認",IF($AC383=0,"不支給","未処理")))))</f>
        <v/>
      </c>
      <c r="AE383" s="12" t="n"/>
      <c r="AF383" s="11" t="n"/>
      <c r="AG383" s="11" t="n"/>
      <c r="AH383" s="11" t="n"/>
      <c r="AI383" s="14">
        <f>IF(AND($AD383="保留中",$AF383&lt;&gt;""),TODAY()-$AF383,"")</f>
        <v/>
      </c>
      <c r="AJ383" s="12" t="inlineStr">
        <is>
          <t>R8.1</t>
        </is>
      </c>
      <c r="AK383" s="14">
        <f>IF($B383="","",IF($AO383="","対象年月が未入力／","")&amp;IF($B383="","",IF($AN383="","職員マスタに未登録の職員番号／",IF($Y383="","標準報酬月額が未登録／","")&amp;IF(AND($AO383&lt;&gt;"",OR(AND(INDEX(職員マスタ!$G$6:$G$405,$AN383)&lt;&gt;"",INDEX(職員マスタ!$G$6:$G$405,$AN383)&gt;EOMONTH($AO383,0)),AND(INDEX(職員マスタ!$H$6:$H$405,$AN383)&lt;&gt;"",INDEX(職員マスタ!$H$6:$H$405,$AN383)&lt;$AO383))),"対象月が時短期間外／","")&amp;IF(AND(INDEX(職員マスタ!$F$6:$F$405,$AN383)&lt;&gt;"",$AO383&lt;&gt;"",INDEX(職員マスタ!$F$6:$F$405,$AN383)&lt;$AO383),"対象月に子が2歳到達済／","")&amp;IF(AND($H383&lt;&gt;"",INDEX(職員マスタ!$B$6:$B$405,$AN383)&lt;&gt;"",SUBSTITUTE(SUBSTITUTE($H383," ","")," ","")&lt;&gt;SUBSTITUTE(SUBSTITUTE(INDEX(職員マスタ!$B$6:$B$405,$AN383)," ","")," ","")),"氏名がマスタと相違／","")&amp;IF(AND($Q383&lt;&gt;"",INDEX(職員マスタ!$E$6:$E$405,$AN383)&lt;&gt;"",$Q383&lt;&gt;INDEX(職員マスタ!$E$6:$E$405,$AN383)),"子の生年月日がマスタと相違／","")&amp;IF(AND($L383&lt;&gt;"",INDEX(職員マスタ!$G$6:$G$405,$AN383)&lt;&gt;"",$L383&lt;&gt;INDEX(職員マスタ!$G$6:$G$405,$AN383)),"時短開始日がマスタと相違／","")&amp;IF(AND($M383&lt;&gt;"",INDEX(職員マスタ!$H$6:$H$405,$AN383)&lt;&gt;"",$M383&lt;&gt;INDEX(職員マスタ!$H$6:$H$405,$AN383)),"時短終了日がマスタと相違／","")))&amp;IF(AND($B383&lt;&gt;"",$E383=""),"報酬額が未入力／","")&amp;IF(N($U383)&gt;0,"申請書に入力エラーが残っています／","")&amp;IF(AND($B383&lt;&gt;"",$AO383&lt;&gt;""),IF(COUNTIFS($B$6:$B$3005,$B383,$C$6:$C$3005,$C383,$D$6:$D$3005,$D383)&gt;1,"同じ月の請求が重複しています／",""),"")&amp;IF(AND(N($E383)&gt;0,$Z383&lt;&gt;"",$Z383&lt;&gt;"×",$AC383=0,$AB383=""),"計算額が下限以下のため不支給／",""))</f>
        <v/>
      </c>
      <c r="AL383" s="12" t="n"/>
      <c r="AM383" s="14">
        <f>IF($AD383="保留中",COUNTIF($AD$6:$AD383,"保留中"),"")</f>
        <v/>
      </c>
      <c r="AN383" s="14">
        <f>IF($AO383="","",IF(SUMPRODUCT(MAX((職員マスタ!$A$6:$A$405=$B383)*(((職員マスタ!$G$6:$G$405="")+(職員マスタ!$G$6:$G$405&lt;=EOMONTH($AO383,0)))&gt;0)*(((職員マスタ!$H$6:$H$405="")+(職員マスタ!$H$6:$H$405&gt;=$AO383))&gt;0)*(ROW(職員マスタ!$A$6:$A$405)-5)))&gt;0,SUMPRODUCT(MAX((職員マスタ!$A$6:$A$405=$B383)*(((職員マスタ!$G$6:$G$405="")+(職員マスタ!$G$6:$G$405&lt;=EOMONTH($AO383,0)))&gt;0)*(((職員マスタ!$H$6:$H$405="")+(職員マスタ!$H$6:$H$405&gt;=$AO383))&gt;0)*(ROW(職員マスタ!$A$6:$A$405)-5))),IFERROR(MATCH($B383,職員マスタ!$A$6:$A$405,0),"")))</f>
        <v/>
      </c>
      <c r="AO383" s="16">
        <f>IF(OR($B383="",$C383="",$D383=""),"",DATE($C383+2018,$D383,1))</f>
        <v/>
      </c>
    </row>
    <row r="384">
      <c r="A384" s="11" t="n"/>
      <c r="B384" s="12" t="n">
        <v>6802235</v>
      </c>
      <c r="C384" s="12" t="n">
        <v>7</v>
      </c>
      <c r="D384" s="12" t="n">
        <v>12</v>
      </c>
      <c r="E384" s="13" t="n">
        <v>213517</v>
      </c>
      <c r="F384" s="12" t="n"/>
      <c r="G384" s="13" t="n"/>
      <c r="H384" s="12" t="n"/>
      <c r="I384" s="12" t="n"/>
      <c r="J384" s="12" t="n"/>
      <c r="K384" s="12" t="n"/>
      <c r="L384" s="11" t="n"/>
      <c r="M384" s="11" t="n"/>
      <c r="N384" s="11" t="n"/>
      <c r="O384" s="11" t="n"/>
      <c r="P384" s="12" t="n"/>
      <c r="Q384" s="11" t="n"/>
      <c r="R384" s="12" t="n"/>
      <c r="S384" s="11" t="n"/>
      <c r="T384" s="12" t="n"/>
      <c r="U384" s="12" t="n"/>
      <c r="V384" s="14">
        <f>IF($AN384="",IF($B384="","",$H384),IF(INDEX(職員マスタ!$B$6:$B$405,$AN384)="",$H384,INDEX(職員マスタ!$B$6:$B$405,$AN384)))</f>
        <v/>
      </c>
      <c r="W384" s="14">
        <f>IF($AN384="",IF($B384="","",$R384),IF(INDEX(職員マスタ!$C$6:$C$405,$AN384)="",$R384,INDEX(職員マスタ!$C$6:$C$405,$AN384)))</f>
        <v/>
      </c>
      <c r="X384" s="14">
        <f>IF($AO384="","","R"&amp;$C384&amp;"."&amp;$D384)</f>
        <v/>
      </c>
      <c r="Y384" s="15">
        <f>IF($AN384="","",IF(INDEX(職員マスタ!$K$6:$K$405,$AN384)="","",INDEX(職員マスタ!$K$6:$K$405,$AN384)))</f>
        <v/>
      </c>
      <c r="Z384" s="14">
        <f>IF(OR($E384="",$Y384=""),"",IF($E384&gt;=$Y384,"×",IF($E384&gt;=$Y384*設定!$C$5,"△","○")))</f>
        <v/>
      </c>
      <c r="AA384" s="15">
        <f>IF($Z384="","",IF($Z384="×",0,IF($Z384="○",ROUNDDOWN($E384*設定!$C$4,0),ROUNDDOWN($E384*ROUND((9*$Y384-9*$E384)/(10*$E384),4),0))))</f>
        <v/>
      </c>
      <c r="AB384" s="13" t="n"/>
      <c r="AC384" s="15">
        <f>IF($B384="","",IF($AB384&lt;&gt;"",$AB384,IF($AA384="","",IF($AA384&lt;=設定!$C$3,0,$AA384))))</f>
        <v/>
      </c>
      <c r="AD384" s="14">
        <f>IF($B384="","",IF(AND($AE384&lt;&gt;"",$AG384="",$AJ384=""),"保留中",IF($AJ384&lt;&gt;"",IF(N($AC384)&gt;0,"支給済","不支給"),IF($AC384="","要確認",IF($AC384=0,"不支給","未処理")))))</f>
        <v/>
      </c>
      <c r="AE384" s="12" t="n"/>
      <c r="AF384" s="11" t="n"/>
      <c r="AG384" s="11" t="n"/>
      <c r="AH384" s="11" t="n"/>
      <c r="AI384" s="14">
        <f>IF(AND($AD384="保留中",$AF384&lt;&gt;""),TODAY()-$AF384,"")</f>
        <v/>
      </c>
      <c r="AJ384" s="12" t="inlineStr">
        <is>
          <t>R8.2</t>
        </is>
      </c>
      <c r="AK384" s="14">
        <f>IF($B384="","",IF($AO384="","対象年月が未入力／","")&amp;IF($B384="","",IF($AN384="","職員マスタに未登録の職員番号／",IF($Y384="","標準報酬月額が未登録／","")&amp;IF(AND($AO384&lt;&gt;"",OR(AND(INDEX(職員マスタ!$G$6:$G$405,$AN384)&lt;&gt;"",INDEX(職員マスタ!$G$6:$G$405,$AN384)&gt;EOMONTH($AO384,0)),AND(INDEX(職員マスタ!$H$6:$H$405,$AN384)&lt;&gt;"",INDEX(職員マスタ!$H$6:$H$405,$AN384)&lt;$AO384))),"対象月が時短期間外／","")&amp;IF(AND(INDEX(職員マスタ!$F$6:$F$405,$AN384)&lt;&gt;"",$AO384&lt;&gt;"",INDEX(職員マスタ!$F$6:$F$405,$AN384)&lt;$AO384),"対象月に子が2歳到達済／","")&amp;IF(AND($H384&lt;&gt;"",INDEX(職員マスタ!$B$6:$B$405,$AN384)&lt;&gt;"",SUBSTITUTE(SUBSTITUTE($H384," ","")," ","")&lt;&gt;SUBSTITUTE(SUBSTITUTE(INDEX(職員マスタ!$B$6:$B$405,$AN384)," ","")," ","")),"氏名がマスタと相違／","")&amp;IF(AND($Q384&lt;&gt;"",INDEX(職員マスタ!$E$6:$E$405,$AN384)&lt;&gt;"",$Q384&lt;&gt;INDEX(職員マスタ!$E$6:$E$405,$AN384)),"子の生年月日がマスタと相違／","")&amp;IF(AND($L384&lt;&gt;"",INDEX(職員マスタ!$G$6:$G$405,$AN384)&lt;&gt;"",$L384&lt;&gt;INDEX(職員マスタ!$G$6:$G$405,$AN384)),"時短開始日がマスタと相違／","")&amp;IF(AND($M384&lt;&gt;"",INDEX(職員マスタ!$H$6:$H$405,$AN384)&lt;&gt;"",$M384&lt;&gt;INDEX(職員マスタ!$H$6:$H$405,$AN384)),"時短終了日がマスタと相違／","")))&amp;IF(AND($B384&lt;&gt;"",$E384=""),"報酬額が未入力／","")&amp;IF(N($U384)&gt;0,"申請書に入力エラーが残っています／","")&amp;IF(AND($B384&lt;&gt;"",$AO384&lt;&gt;""),IF(COUNTIFS($B$6:$B$3005,$B384,$C$6:$C$3005,$C384,$D$6:$D$3005,$D384)&gt;1,"同じ月の請求が重複しています／",""),"")&amp;IF(AND(N($E384)&gt;0,$Z384&lt;&gt;"",$Z384&lt;&gt;"×",$AC384=0,$AB384=""),"計算額が下限以下のため不支給／",""))</f>
        <v/>
      </c>
      <c r="AL384" s="12" t="n"/>
      <c r="AM384" s="14">
        <f>IF($AD384="保留中",COUNTIF($AD$6:$AD384,"保留中"),"")</f>
        <v/>
      </c>
      <c r="AN384" s="14">
        <f>IF($AO384="","",IF(SUMPRODUCT(MAX((職員マスタ!$A$6:$A$405=$B384)*(((職員マスタ!$G$6:$G$405="")+(職員マスタ!$G$6:$G$405&lt;=EOMONTH($AO384,0)))&gt;0)*(((職員マスタ!$H$6:$H$405="")+(職員マスタ!$H$6:$H$405&gt;=$AO384))&gt;0)*(ROW(職員マスタ!$A$6:$A$405)-5)))&gt;0,SUMPRODUCT(MAX((職員マスタ!$A$6:$A$405=$B384)*(((職員マスタ!$G$6:$G$405="")+(職員マスタ!$G$6:$G$405&lt;=EOMONTH($AO384,0)))&gt;0)*(((職員マスタ!$H$6:$H$405="")+(職員マスタ!$H$6:$H$405&gt;=$AO384))&gt;0)*(ROW(職員マスタ!$A$6:$A$405)-5))),IFERROR(MATCH($B384,職員マスタ!$A$6:$A$405,0),"")))</f>
        <v/>
      </c>
      <c r="AO384" s="16">
        <f>IF(OR($B384="",$C384="",$D384=""),"",DATE($C384+2018,$D384,1))</f>
        <v/>
      </c>
    </row>
    <row r="385">
      <c r="A385" s="11" t="n"/>
      <c r="B385" s="12" t="n">
        <v>6802235</v>
      </c>
      <c r="C385" s="12" t="n">
        <v>8</v>
      </c>
      <c r="D385" s="12" t="n">
        <v>1</v>
      </c>
      <c r="E385" s="13" t="n">
        <v>211658</v>
      </c>
      <c r="F385" s="12" t="n"/>
      <c r="G385" s="13" t="n"/>
      <c r="H385" s="12" t="n"/>
      <c r="I385" s="12" t="n"/>
      <c r="J385" s="12" t="n"/>
      <c r="K385" s="12" t="n"/>
      <c r="L385" s="11" t="n"/>
      <c r="M385" s="11" t="n"/>
      <c r="N385" s="11" t="n"/>
      <c r="O385" s="11" t="n"/>
      <c r="P385" s="12" t="n"/>
      <c r="Q385" s="11" t="n"/>
      <c r="R385" s="12" t="n"/>
      <c r="S385" s="11" t="n"/>
      <c r="T385" s="12" t="n"/>
      <c r="U385" s="12" t="n"/>
      <c r="V385" s="14">
        <f>IF($AN385="",IF($B385="","",$H385),IF(INDEX(職員マスタ!$B$6:$B$405,$AN385)="",$H385,INDEX(職員マスタ!$B$6:$B$405,$AN385)))</f>
        <v/>
      </c>
      <c r="W385" s="14">
        <f>IF($AN385="",IF($B385="","",$R385),IF(INDEX(職員マスタ!$C$6:$C$405,$AN385)="",$R385,INDEX(職員マスタ!$C$6:$C$405,$AN385)))</f>
        <v/>
      </c>
      <c r="X385" s="14">
        <f>IF($AO385="","","R"&amp;$C385&amp;"."&amp;$D385)</f>
        <v/>
      </c>
      <c r="Y385" s="15">
        <f>IF($AN385="","",IF(INDEX(職員マスタ!$K$6:$K$405,$AN385)="","",INDEX(職員マスタ!$K$6:$K$405,$AN385)))</f>
        <v/>
      </c>
      <c r="Z385" s="14">
        <f>IF(OR($E385="",$Y385=""),"",IF($E385&gt;=$Y385,"×",IF($E385&gt;=$Y385*設定!$C$5,"△","○")))</f>
        <v/>
      </c>
      <c r="AA385" s="15">
        <f>IF($Z385="","",IF($Z385="×",0,IF($Z385="○",ROUNDDOWN($E385*設定!$C$4,0),ROUNDDOWN($E385*ROUND((9*$Y385-9*$E385)/(10*$E385),4),0))))</f>
        <v/>
      </c>
      <c r="AB385" s="13" t="n"/>
      <c r="AC385" s="15">
        <f>IF($B385="","",IF($AB385&lt;&gt;"",$AB385,IF($AA385="","",IF($AA385&lt;=設定!$C$3,0,$AA385))))</f>
        <v/>
      </c>
      <c r="AD385" s="14">
        <f>IF($B385="","",IF(AND($AE385&lt;&gt;"",$AG385="",$AJ385=""),"保留中",IF($AJ385&lt;&gt;"",IF(N($AC385)&gt;0,"支給済","不支給"),IF($AC385="","要確認",IF($AC385=0,"不支給","未処理")))))</f>
        <v/>
      </c>
      <c r="AE385" s="12" t="n"/>
      <c r="AF385" s="11" t="n"/>
      <c r="AG385" s="11" t="n"/>
      <c r="AH385" s="11" t="n"/>
      <c r="AI385" s="14">
        <f>IF(AND($AD385="保留中",$AF385&lt;&gt;""),TODAY()-$AF385,"")</f>
        <v/>
      </c>
      <c r="AJ385" s="12" t="inlineStr">
        <is>
          <t>R8.4</t>
        </is>
      </c>
      <c r="AK385" s="14">
        <f>IF($B385="","",IF($AO385="","対象年月が未入力／","")&amp;IF($B385="","",IF($AN385="","職員マスタに未登録の職員番号／",IF($Y385="","標準報酬月額が未登録／","")&amp;IF(AND($AO385&lt;&gt;"",OR(AND(INDEX(職員マスタ!$G$6:$G$405,$AN385)&lt;&gt;"",INDEX(職員マスタ!$G$6:$G$405,$AN385)&gt;EOMONTH($AO385,0)),AND(INDEX(職員マスタ!$H$6:$H$405,$AN385)&lt;&gt;"",INDEX(職員マスタ!$H$6:$H$405,$AN385)&lt;$AO385))),"対象月が時短期間外／","")&amp;IF(AND(INDEX(職員マスタ!$F$6:$F$405,$AN385)&lt;&gt;"",$AO385&lt;&gt;"",INDEX(職員マスタ!$F$6:$F$405,$AN385)&lt;$AO385),"対象月に子が2歳到達済／","")&amp;IF(AND($H385&lt;&gt;"",INDEX(職員マスタ!$B$6:$B$405,$AN385)&lt;&gt;"",SUBSTITUTE(SUBSTITUTE($H385," ","")," ","")&lt;&gt;SUBSTITUTE(SUBSTITUTE(INDEX(職員マスタ!$B$6:$B$405,$AN385)," ","")," ","")),"氏名がマスタと相違／","")&amp;IF(AND($Q385&lt;&gt;"",INDEX(職員マスタ!$E$6:$E$405,$AN385)&lt;&gt;"",$Q385&lt;&gt;INDEX(職員マスタ!$E$6:$E$405,$AN385)),"子の生年月日がマスタと相違／","")&amp;IF(AND($L385&lt;&gt;"",INDEX(職員マスタ!$G$6:$G$405,$AN385)&lt;&gt;"",$L385&lt;&gt;INDEX(職員マスタ!$G$6:$G$405,$AN385)),"時短開始日がマスタと相違／","")&amp;IF(AND($M385&lt;&gt;"",INDEX(職員マスタ!$H$6:$H$405,$AN385)&lt;&gt;"",$M385&lt;&gt;INDEX(職員マスタ!$H$6:$H$405,$AN385)),"時短終了日がマスタと相違／","")))&amp;IF(AND($B385&lt;&gt;"",$E385=""),"報酬額が未入力／","")&amp;IF(N($U385)&gt;0,"申請書に入力エラーが残っています／","")&amp;IF(AND($B385&lt;&gt;"",$AO385&lt;&gt;""),IF(COUNTIFS($B$6:$B$3005,$B385,$C$6:$C$3005,$C385,$D$6:$D$3005,$D385)&gt;1,"同じ月の請求が重複しています／",""),"")&amp;IF(AND(N($E385)&gt;0,$Z385&lt;&gt;"",$Z385&lt;&gt;"×",$AC385=0,$AB385=""),"計算額が下限以下のため不支給／",""))</f>
        <v/>
      </c>
      <c r="AL385" s="12" t="n"/>
      <c r="AM385" s="14">
        <f>IF($AD385="保留中",COUNTIF($AD$6:$AD385,"保留中"),"")</f>
        <v/>
      </c>
      <c r="AN385" s="14">
        <f>IF($AO385="","",IF(SUMPRODUCT(MAX((職員マスタ!$A$6:$A$405=$B385)*(((職員マスタ!$G$6:$G$405="")+(職員マスタ!$G$6:$G$405&lt;=EOMONTH($AO385,0)))&gt;0)*(((職員マスタ!$H$6:$H$405="")+(職員マスタ!$H$6:$H$405&gt;=$AO385))&gt;0)*(ROW(職員マスタ!$A$6:$A$405)-5)))&gt;0,SUMPRODUCT(MAX((職員マスタ!$A$6:$A$405=$B385)*(((職員マスタ!$G$6:$G$405="")+(職員マスタ!$G$6:$G$405&lt;=EOMONTH($AO385,0)))&gt;0)*(((職員マスタ!$H$6:$H$405="")+(職員マスタ!$H$6:$H$405&gt;=$AO385))&gt;0)*(ROW(職員マスタ!$A$6:$A$405)-5))),IFERROR(MATCH($B385,職員マスタ!$A$6:$A$405,0),"")))</f>
        <v/>
      </c>
      <c r="AO385" s="16">
        <f>IF(OR($B385="",$C385="",$D385=""),"",DATE($C385+2018,$D385,1))</f>
        <v/>
      </c>
    </row>
    <row r="386">
      <c r="A386" s="11" t="n"/>
      <c r="B386" s="12" t="n">
        <v>6802235</v>
      </c>
      <c r="C386" s="12" t="n">
        <v>8</v>
      </c>
      <c r="D386" s="12" t="n">
        <v>3</v>
      </c>
      <c r="E386" s="13" t="n">
        <v>244671</v>
      </c>
      <c r="F386" s="12" t="n"/>
      <c r="G386" s="13" t="n"/>
      <c r="H386" s="12" t="n"/>
      <c r="I386" s="12" t="n"/>
      <c r="J386" s="12" t="n"/>
      <c r="K386" s="12" t="n"/>
      <c r="L386" s="11" t="n"/>
      <c r="M386" s="11" t="n"/>
      <c r="N386" s="11" t="n"/>
      <c r="O386" s="11" t="n"/>
      <c r="P386" s="12" t="n"/>
      <c r="Q386" s="11" t="n"/>
      <c r="R386" s="12" t="n"/>
      <c r="S386" s="11" t="n"/>
      <c r="T386" s="12" t="n"/>
      <c r="U386" s="12" t="n"/>
      <c r="V386" s="14">
        <f>IF($AN386="",IF($B386="","",$H386),IF(INDEX(職員マスタ!$B$6:$B$405,$AN386)="",$H386,INDEX(職員マスタ!$B$6:$B$405,$AN386)))</f>
        <v/>
      </c>
      <c r="W386" s="14">
        <f>IF($AN386="",IF($B386="","",$R386),IF(INDEX(職員マスタ!$C$6:$C$405,$AN386)="",$R386,INDEX(職員マスタ!$C$6:$C$405,$AN386)))</f>
        <v/>
      </c>
      <c r="X386" s="14">
        <f>IF($AO386="","","R"&amp;$C386&amp;"."&amp;$D386)</f>
        <v/>
      </c>
      <c r="Y386" s="15">
        <f>IF($AN386="","",IF(INDEX(職員マスタ!$K$6:$K$405,$AN386)="","",INDEX(職員マスタ!$K$6:$K$405,$AN386)))</f>
        <v/>
      </c>
      <c r="Z386" s="14">
        <f>IF(OR($E386="",$Y386=""),"",IF($E386&gt;=$Y386,"×",IF($E386&gt;=$Y386*設定!$C$5,"△","○")))</f>
        <v/>
      </c>
      <c r="AA386" s="15">
        <f>IF($Z386="","",IF($Z386="×",0,IF($Z386="○",ROUNDDOWN($E386*設定!$C$4,0),ROUNDDOWN($E386*ROUND((9*$Y386-9*$E386)/(10*$E386),4),0))))</f>
        <v/>
      </c>
      <c r="AB386" s="13" t="n"/>
      <c r="AC386" s="15">
        <f>IF($B386="","",IF($AB386&lt;&gt;"",$AB386,IF($AA386="","",IF($AA386&lt;=設定!$C$3,0,$AA386))))</f>
        <v/>
      </c>
      <c r="AD386" s="14">
        <f>IF($B386="","",IF(AND($AE386&lt;&gt;"",$AG386="",$AJ386=""),"保留中",IF($AJ386&lt;&gt;"",IF(N($AC386)&gt;0,"支給済","不支給"),IF($AC386="","要確認",IF($AC386=0,"不支給","未処理")))))</f>
        <v/>
      </c>
      <c r="AE386" s="12" t="n"/>
      <c r="AF386" s="11" t="n"/>
      <c r="AG386" s="11" t="n"/>
      <c r="AH386" s="11" t="n"/>
      <c r="AI386" s="14">
        <f>IF(AND($AD386="保留中",$AF386&lt;&gt;""),TODAY()-$AF386,"")</f>
        <v/>
      </c>
      <c r="AJ386" s="12" t="inlineStr">
        <is>
          <t>R8.10</t>
        </is>
      </c>
      <c r="AK386" s="14">
        <f>IF($B386="","",IF($AO386="","対象年月が未入力／","")&amp;IF($B386="","",IF($AN386="","職員マスタに未登録の職員番号／",IF($Y386="","標準報酬月額が未登録／","")&amp;IF(AND($AO386&lt;&gt;"",OR(AND(INDEX(職員マスタ!$G$6:$G$405,$AN386)&lt;&gt;"",INDEX(職員マスタ!$G$6:$G$405,$AN386)&gt;EOMONTH($AO386,0)),AND(INDEX(職員マスタ!$H$6:$H$405,$AN386)&lt;&gt;"",INDEX(職員マスタ!$H$6:$H$405,$AN386)&lt;$AO386))),"対象月が時短期間外／","")&amp;IF(AND(INDEX(職員マスタ!$F$6:$F$405,$AN386)&lt;&gt;"",$AO386&lt;&gt;"",INDEX(職員マスタ!$F$6:$F$405,$AN386)&lt;$AO386),"対象月に子が2歳到達済／","")&amp;IF(AND($H386&lt;&gt;"",INDEX(職員マスタ!$B$6:$B$405,$AN386)&lt;&gt;"",SUBSTITUTE(SUBSTITUTE($H386," ","")," ","")&lt;&gt;SUBSTITUTE(SUBSTITUTE(INDEX(職員マスタ!$B$6:$B$405,$AN386)," ","")," ","")),"氏名がマスタと相違／","")&amp;IF(AND($Q386&lt;&gt;"",INDEX(職員マスタ!$E$6:$E$405,$AN386)&lt;&gt;"",$Q386&lt;&gt;INDEX(職員マスタ!$E$6:$E$405,$AN386)),"子の生年月日がマスタと相違／","")&amp;IF(AND($L386&lt;&gt;"",INDEX(職員マスタ!$G$6:$G$405,$AN386)&lt;&gt;"",$L386&lt;&gt;INDEX(職員マスタ!$G$6:$G$405,$AN386)),"時短開始日がマスタと相違／","")&amp;IF(AND($M386&lt;&gt;"",INDEX(職員マスタ!$H$6:$H$405,$AN386)&lt;&gt;"",$M386&lt;&gt;INDEX(職員マスタ!$H$6:$H$405,$AN386)),"時短終了日がマスタと相違／","")))&amp;IF(AND($B386&lt;&gt;"",$E386=""),"報酬額が未入力／","")&amp;IF(N($U386)&gt;0,"申請書に入力エラーが残っています／","")&amp;IF(AND($B386&lt;&gt;"",$AO386&lt;&gt;""),IF(COUNTIFS($B$6:$B$3005,$B386,$C$6:$C$3005,$C386,$D$6:$D$3005,$D386)&gt;1,"同じ月の請求が重複しています／",""),"")&amp;IF(AND(N($E386)&gt;0,$Z386&lt;&gt;"",$Z386&lt;&gt;"×",$AC386=0,$AB386=""),"計算額が下限以下のため不支給／",""))</f>
        <v/>
      </c>
      <c r="AL386" s="12" t="n"/>
      <c r="AM386" s="14">
        <f>IF($AD386="保留中",COUNTIF($AD$6:$AD386,"保留中"),"")</f>
        <v/>
      </c>
      <c r="AN386" s="14">
        <f>IF($AO386="","",IF(SUMPRODUCT(MAX((職員マスタ!$A$6:$A$405=$B386)*(((職員マスタ!$G$6:$G$405="")+(職員マスタ!$G$6:$G$405&lt;=EOMONTH($AO386,0)))&gt;0)*(((職員マスタ!$H$6:$H$405="")+(職員マスタ!$H$6:$H$405&gt;=$AO386))&gt;0)*(ROW(職員マスタ!$A$6:$A$405)-5)))&gt;0,SUMPRODUCT(MAX((職員マスタ!$A$6:$A$405=$B386)*(((職員マスタ!$G$6:$G$405="")+(職員マスタ!$G$6:$G$405&lt;=EOMONTH($AO386,0)))&gt;0)*(((職員マスタ!$H$6:$H$405="")+(職員マスタ!$H$6:$H$405&gt;=$AO386))&gt;0)*(ROW(職員マスタ!$A$6:$A$405)-5))),IFERROR(MATCH($B386,職員マスタ!$A$6:$A$405,0),"")))</f>
        <v/>
      </c>
      <c r="AO386" s="16">
        <f>IF(OR($B386="",$C386="",$D386=""),"",DATE($C386+2018,$D386,1))</f>
        <v/>
      </c>
    </row>
    <row r="387">
      <c r="A387" s="11" t="n"/>
      <c r="B387" s="12" t="n">
        <v>6802268</v>
      </c>
      <c r="C387" s="12" t="n">
        <v>8</v>
      </c>
      <c r="D387" s="12" t="n">
        <v>5</v>
      </c>
      <c r="E387" s="13" t="n">
        <v>189366</v>
      </c>
      <c r="F387" s="12" t="n"/>
      <c r="G387" s="13" t="n"/>
      <c r="H387" s="12" t="n"/>
      <c r="I387" s="12" t="n"/>
      <c r="J387" s="12" t="n"/>
      <c r="K387" s="12" t="n"/>
      <c r="L387" s="11" t="n"/>
      <c r="M387" s="11" t="n"/>
      <c r="N387" s="11" t="n"/>
      <c r="O387" s="11" t="n"/>
      <c r="P387" s="12" t="n"/>
      <c r="Q387" s="11" t="n"/>
      <c r="R387" s="12" t="n"/>
      <c r="S387" s="11" t="n"/>
      <c r="T387" s="12" t="n"/>
      <c r="U387" s="12" t="n"/>
      <c r="V387" s="14">
        <f>IF($AN387="",IF($B387="","",$H387),IF(INDEX(職員マスタ!$B$6:$B$405,$AN387)="",$H387,INDEX(職員マスタ!$B$6:$B$405,$AN387)))</f>
        <v/>
      </c>
      <c r="W387" s="14">
        <f>IF($AN387="",IF($B387="","",$R387),IF(INDEX(職員マスタ!$C$6:$C$405,$AN387)="",$R387,INDEX(職員マスタ!$C$6:$C$405,$AN387)))</f>
        <v/>
      </c>
      <c r="X387" s="14">
        <f>IF($AO387="","","R"&amp;$C387&amp;"."&amp;$D387)</f>
        <v/>
      </c>
      <c r="Y387" s="15">
        <f>IF($AN387="","",IF(INDEX(職員マスタ!$K$6:$K$405,$AN387)="","",INDEX(職員マスタ!$K$6:$K$405,$AN387)))</f>
        <v/>
      </c>
      <c r="Z387" s="14">
        <f>IF(OR($E387="",$Y387=""),"",IF($E387&gt;=$Y387,"×",IF($E387&gt;=$Y387*設定!$C$5,"△","○")))</f>
        <v/>
      </c>
      <c r="AA387" s="15">
        <f>IF($Z387="","",IF($Z387="×",0,IF($Z387="○",ROUNDDOWN($E387*設定!$C$4,0),ROUNDDOWN($E387*ROUND((9*$Y387-9*$E387)/(10*$E387),4),0))))</f>
        <v/>
      </c>
      <c r="AB387" s="13" t="n"/>
      <c r="AC387" s="15">
        <f>IF($B387="","",IF($AB387&lt;&gt;"",$AB387,IF($AA387="","",IF($AA387&lt;=設定!$C$3,0,$AA387))))</f>
        <v/>
      </c>
      <c r="AD387" s="14">
        <f>IF($B387="","",IF(AND($AE387&lt;&gt;"",$AG387="",$AJ387=""),"保留中",IF($AJ387&lt;&gt;"",IF(N($AC387)&gt;0,"支給済","不支給"),IF($AC387="","要確認",IF($AC387=0,"不支給","未処理")))))</f>
        <v/>
      </c>
      <c r="AE387" s="12" t="n"/>
      <c r="AF387" s="11" t="n"/>
      <c r="AG387" s="11" t="n"/>
      <c r="AH387" s="11" t="n"/>
      <c r="AI387" s="14">
        <f>IF(AND($AD387="保留中",$AF387&lt;&gt;""),TODAY()-$AF387,"")</f>
        <v/>
      </c>
      <c r="AJ387" s="12" t="inlineStr">
        <is>
          <t>R8.10</t>
        </is>
      </c>
      <c r="AK387" s="14">
        <f>IF($B387="","",IF($AO387="","対象年月が未入力／","")&amp;IF($B387="","",IF($AN387="","職員マスタに未登録の職員番号／",IF($Y387="","標準報酬月額が未登録／","")&amp;IF(AND($AO387&lt;&gt;"",OR(AND(INDEX(職員マスタ!$G$6:$G$405,$AN387)&lt;&gt;"",INDEX(職員マスタ!$G$6:$G$405,$AN387)&gt;EOMONTH($AO387,0)),AND(INDEX(職員マスタ!$H$6:$H$405,$AN387)&lt;&gt;"",INDEX(職員マスタ!$H$6:$H$405,$AN387)&lt;$AO387))),"対象月が時短期間外／","")&amp;IF(AND(INDEX(職員マスタ!$F$6:$F$405,$AN387)&lt;&gt;"",$AO387&lt;&gt;"",INDEX(職員マスタ!$F$6:$F$405,$AN387)&lt;$AO387),"対象月に子が2歳到達済／","")&amp;IF(AND($H387&lt;&gt;"",INDEX(職員マスタ!$B$6:$B$405,$AN387)&lt;&gt;"",SUBSTITUTE(SUBSTITUTE($H387," ","")," ","")&lt;&gt;SUBSTITUTE(SUBSTITUTE(INDEX(職員マスタ!$B$6:$B$405,$AN387)," ","")," ","")),"氏名がマスタと相違／","")&amp;IF(AND($Q387&lt;&gt;"",INDEX(職員マスタ!$E$6:$E$405,$AN387)&lt;&gt;"",$Q387&lt;&gt;INDEX(職員マスタ!$E$6:$E$405,$AN387)),"子の生年月日がマスタと相違／","")&amp;IF(AND($L387&lt;&gt;"",INDEX(職員マスタ!$G$6:$G$405,$AN387)&lt;&gt;"",$L387&lt;&gt;INDEX(職員マスタ!$G$6:$G$405,$AN387)),"時短開始日がマスタと相違／","")&amp;IF(AND($M387&lt;&gt;"",INDEX(職員マスタ!$H$6:$H$405,$AN387)&lt;&gt;"",$M387&lt;&gt;INDEX(職員マスタ!$H$6:$H$405,$AN387)),"時短終了日がマスタと相違／","")))&amp;IF(AND($B387&lt;&gt;"",$E387=""),"報酬額が未入力／","")&amp;IF(N($U387)&gt;0,"申請書に入力エラーが残っています／","")&amp;IF(AND($B387&lt;&gt;"",$AO387&lt;&gt;""),IF(COUNTIFS($B$6:$B$3005,$B387,$C$6:$C$3005,$C387,$D$6:$D$3005,$D387)&gt;1,"同じ月の請求が重複しています／",""),"")&amp;IF(AND(N($E387)&gt;0,$Z387&lt;&gt;"",$Z387&lt;&gt;"×",$AC387=0,$AB387=""),"計算額が下限以下のため不支給／",""))</f>
        <v/>
      </c>
      <c r="AL387" s="12" t="n"/>
      <c r="AM387" s="14">
        <f>IF($AD387="保留中",COUNTIF($AD$6:$AD387,"保留中"),"")</f>
        <v/>
      </c>
      <c r="AN387" s="14">
        <f>IF($AO387="","",IF(SUMPRODUCT(MAX((職員マスタ!$A$6:$A$405=$B387)*(((職員マスタ!$G$6:$G$405="")+(職員マスタ!$G$6:$G$405&lt;=EOMONTH($AO387,0)))&gt;0)*(((職員マスタ!$H$6:$H$405="")+(職員マスタ!$H$6:$H$405&gt;=$AO387))&gt;0)*(ROW(職員マスタ!$A$6:$A$405)-5)))&gt;0,SUMPRODUCT(MAX((職員マスタ!$A$6:$A$405=$B387)*(((職員マスタ!$G$6:$G$405="")+(職員マスタ!$G$6:$G$405&lt;=EOMONTH($AO387,0)))&gt;0)*(((職員マスタ!$H$6:$H$405="")+(職員マスタ!$H$6:$H$405&gt;=$AO387))&gt;0)*(ROW(職員マスタ!$A$6:$A$405)-5))),IFERROR(MATCH($B387,職員マスタ!$A$6:$A$405,0),"")))</f>
        <v/>
      </c>
      <c r="AO387" s="16">
        <f>IF(OR($B387="",$C387="",$D387=""),"",DATE($C387+2018,$D387,1))</f>
        <v/>
      </c>
    </row>
    <row r="388">
      <c r="A388" s="11" t="n"/>
      <c r="B388" s="12" t="n">
        <v>6802268</v>
      </c>
      <c r="C388" s="12" t="n">
        <v>8</v>
      </c>
      <c r="D388" s="12" t="n">
        <v>6</v>
      </c>
      <c r="E388" s="13" t="n">
        <v>193204</v>
      </c>
      <c r="F388" s="12" t="n"/>
      <c r="G388" s="13" t="n"/>
      <c r="H388" s="12" t="n"/>
      <c r="I388" s="12" t="n"/>
      <c r="J388" s="12" t="n"/>
      <c r="K388" s="12" t="n"/>
      <c r="L388" s="11" t="n"/>
      <c r="M388" s="11" t="n"/>
      <c r="N388" s="11" t="n"/>
      <c r="O388" s="11" t="n"/>
      <c r="P388" s="12" t="n"/>
      <c r="Q388" s="11" t="n"/>
      <c r="R388" s="12" t="n"/>
      <c r="S388" s="11" t="n"/>
      <c r="T388" s="12" t="n"/>
      <c r="U388" s="12" t="n"/>
      <c r="V388" s="14">
        <f>IF($AN388="",IF($B388="","",$H388),IF(INDEX(職員マスタ!$B$6:$B$405,$AN388)="",$H388,INDEX(職員マスタ!$B$6:$B$405,$AN388)))</f>
        <v/>
      </c>
      <c r="W388" s="14">
        <f>IF($AN388="",IF($B388="","",$R388),IF(INDEX(職員マスタ!$C$6:$C$405,$AN388)="",$R388,INDEX(職員マスタ!$C$6:$C$405,$AN388)))</f>
        <v/>
      </c>
      <c r="X388" s="14">
        <f>IF($AO388="","","R"&amp;$C388&amp;"."&amp;$D388)</f>
        <v/>
      </c>
      <c r="Y388" s="15">
        <f>IF($AN388="","",IF(INDEX(職員マスタ!$K$6:$K$405,$AN388)="","",INDEX(職員マスタ!$K$6:$K$405,$AN388)))</f>
        <v/>
      </c>
      <c r="Z388" s="14">
        <f>IF(OR($E388="",$Y388=""),"",IF($E388&gt;=$Y388,"×",IF($E388&gt;=$Y388*設定!$C$5,"△","○")))</f>
        <v/>
      </c>
      <c r="AA388" s="15">
        <f>IF($Z388="","",IF($Z388="×",0,IF($Z388="○",ROUNDDOWN($E388*設定!$C$4,0),ROUNDDOWN($E388*ROUND((9*$Y388-9*$E388)/(10*$E388),4),0))))</f>
        <v/>
      </c>
      <c r="AB388" s="13" t="n"/>
      <c r="AC388" s="15">
        <f>IF($B388="","",IF($AB388&lt;&gt;"",$AB388,IF($AA388="","",IF($AA388&lt;=設定!$C$3,0,$AA388))))</f>
        <v/>
      </c>
      <c r="AD388" s="14">
        <f>IF($B388="","",IF(AND($AE388&lt;&gt;"",$AG388="",$AJ388=""),"保留中",IF($AJ388&lt;&gt;"",IF(N($AC388)&gt;0,"支給済","不支給"),IF($AC388="","要確認",IF($AC388=0,"不支給","未処理")))))</f>
        <v/>
      </c>
      <c r="AE388" s="12" t="n"/>
      <c r="AF388" s="11" t="n"/>
      <c r="AG388" s="11" t="n"/>
      <c r="AH388" s="11" t="n"/>
      <c r="AI388" s="14">
        <f>IF(AND($AD388="保留中",$AF388&lt;&gt;""),TODAY()-$AF388,"")</f>
        <v/>
      </c>
      <c r="AJ388" s="12" t="inlineStr">
        <is>
          <t>R8.10</t>
        </is>
      </c>
      <c r="AK388" s="14">
        <f>IF($B388="","",IF($AO388="","対象年月が未入力／","")&amp;IF($B388="","",IF($AN388="","職員マスタに未登録の職員番号／",IF($Y388="","標準報酬月額が未登録／","")&amp;IF(AND($AO388&lt;&gt;"",OR(AND(INDEX(職員マスタ!$G$6:$G$405,$AN388)&lt;&gt;"",INDEX(職員マスタ!$G$6:$G$405,$AN388)&gt;EOMONTH($AO388,0)),AND(INDEX(職員マスタ!$H$6:$H$405,$AN388)&lt;&gt;"",INDEX(職員マスタ!$H$6:$H$405,$AN388)&lt;$AO388))),"対象月が時短期間外／","")&amp;IF(AND(INDEX(職員マスタ!$F$6:$F$405,$AN388)&lt;&gt;"",$AO388&lt;&gt;"",INDEX(職員マスタ!$F$6:$F$405,$AN388)&lt;$AO388),"対象月に子が2歳到達済／","")&amp;IF(AND($H388&lt;&gt;"",INDEX(職員マスタ!$B$6:$B$405,$AN388)&lt;&gt;"",SUBSTITUTE(SUBSTITUTE($H388," ","")," ","")&lt;&gt;SUBSTITUTE(SUBSTITUTE(INDEX(職員マスタ!$B$6:$B$405,$AN388)," ","")," ","")),"氏名がマスタと相違／","")&amp;IF(AND($Q388&lt;&gt;"",INDEX(職員マスタ!$E$6:$E$405,$AN388)&lt;&gt;"",$Q388&lt;&gt;INDEX(職員マスタ!$E$6:$E$405,$AN388)),"子の生年月日がマスタと相違／","")&amp;IF(AND($L388&lt;&gt;"",INDEX(職員マスタ!$G$6:$G$405,$AN388)&lt;&gt;"",$L388&lt;&gt;INDEX(職員マスタ!$G$6:$G$405,$AN388)),"時短開始日がマスタと相違／","")&amp;IF(AND($M388&lt;&gt;"",INDEX(職員マスタ!$H$6:$H$405,$AN388)&lt;&gt;"",$M388&lt;&gt;INDEX(職員マスタ!$H$6:$H$405,$AN388)),"時短終了日がマスタと相違／","")))&amp;IF(AND($B388&lt;&gt;"",$E388=""),"報酬額が未入力／","")&amp;IF(N($U388)&gt;0,"申請書に入力エラーが残っています／","")&amp;IF(AND($B388&lt;&gt;"",$AO388&lt;&gt;""),IF(COUNTIFS($B$6:$B$3005,$B388,$C$6:$C$3005,$C388,$D$6:$D$3005,$D388)&gt;1,"同じ月の請求が重複しています／",""),"")&amp;IF(AND(N($E388)&gt;0,$Z388&lt;&gt;"",$Z388&lt;&gt;"×",$AC388=0,$AB388=""),"計算額が下限以下のため不支給／",""))</f>
        <v/>
      </c>
      <c r="AL388" s="12" t="n"/>
      <c r="AM388" s="14">
        <f>IF($AD388="保留中",COUNTIF($AD$6:$AD388,"保留中"),"")</f>
        <v/>
      </c>
      <c r="AN388" s="14">
        <f>IF($AO388="","",IF(SUMPRODUCT(MAX((職員マスタ!$A$6:$A$405=$B388)*(((職員マスタ!$G$6:$G$405="")+(職員マスタ!$G$6:$G$405&lt;=EOMONTH($AO388,0)))&gt;0)*(((職員マスタ!$H$6:$H$405="")+(職員マスタ!$H$6:$H$405&gt;=$AO388))&gt;0)*(ROW(職員マスタ!$A$6:$A$405)-5)))&gt;0,SUMPRODUCT(MAX((職員マスタ!$A$6:$A$405=$B388)*(((職員マスタ!$G$6:$G$405="")+(職員マスタ!$G$6:$G$405&lt;=EOMONTH($AO388,0)))&gt;0)*(((職員マスタ!$H$6:$H$405="")+(職員マスタ!$H$6:$H$405&gt;=$AO388))&gt;0)*(ROW(職員マスタ!$A$6:$A$405)-5))),IFERROR(MATCH($B388,職員マスタ!$A$6:$A$405,0),"")))</f>
        <v/>
      </c>
      <c r="AO388" s="16">
        <f>IF(OR($B388="",$C388="",$D388=""),"",DATE($C388+2018,$D388,1))</f>
        <v/>
      </c>
    </row>
    <row r="389">
      <c r="A389" s="11" t="n"/>
      <c r="B389" s="12" t="n">
        <v>6802268</v>
      </c>
      <c r="C389" s="12" t="n">
        <v>8</v>
      </c>
      <c r="D389" s="12" t="n">
        <v>7</v>
      </c>
      <c r="E389" s="13" t="n">
        <v>195123</v>
      </c>
      <c r="F389" s="12" t="n"/>
      <c r="G389" s="13" t="n"/>
      <c r="H389" s="12" t="n"/>
      <c r="I389" s="12" t="n"/>
      <c r="J389" s="12" t="n"/>
      <c r="K389" s="12" t="n"/>
      <c r="L389" s="11" t="n"/>
      <c r="M389" s="11" t="n"/>
      <c r="N389" s="11" t="n"/>
      <c r="O389" s="11" t="n"/>
      <c r="P389" s="12" t="n"/>
      <c r="Q389" s="11" t="n"/>
      <c r="R389" s="12" t="n"/>
      <c r="S389" s="11" t="n"/>
      <c r="T389" s="12" t="n"/>
      <c r="U389" s="12" t="n"/>
      <c r="V389" s="14">
        <f>IF($AN389="",IF($B389="","",$H389),IF(INDEX(職員マスタ!$B$6:$B$405,$AN389)="",$H389,INDEX(職員マスタ!$B$6:$B$405,$AN389)))</f>
        <v/>
      </c>
      <c r="W389" s="14">
        <f>IF($AN389="",IF($B389="","",$R389),IF(INDEX(職員マスタ!$C$6:$C$405,$AN389)="",$R389,INDEX(職員マスタ!$C$6:$C$405,$AN389)))</f>
        <v/>
      </c>
      <c r="X389" s="14">
        <f>IF($AO389="","","R"&amp;$C389&amp;"."&amp;$D389)</f>
        <v/>
      </c>
      <c r="Y389" s="15">
        <f>IF($AN389="","",IF(INDEX(職員マスタ!$K$6:$K$405,$AN389)="","",INDEX(職員マスタ!$K$6:$K$405,$AN389)))</f>
        <v/>
      </c>
      <c r="Z389" s="14">
        <f>IF(OR($E389="",$Y389=""),"",IF($E389&gt;=$Y389,"×",IF($E389&gt;=$Y389*設定!$C$5,"△","○")))</f>
        <v/>
      </c>
      <c r="AA389" s="15">
        <f>IF($Z389="","",IF($Z389="×",0,IF($Z389="○",ROUNDDOWN($E389*設定!$C$4,0),ROUNDDOWN($E389*ROUND((9*$Y389-9*$E389)/(10*$E389),4),0))))</f>
        <v/>
      </c>
      <c r="AB389" s="13" t="n"/>
      <c r="AC389" s="15">
        <f>IF($B389="","",IF($AB389&lt;&gt;"",$AB389,IF($AA389="","",IF($AA389&lt;=設定!$C$3,0,$AA389))))</f>
        <v/>
      </c>
      <c r="AD389" s="14">
        <f>IF($B389="","",IF(AND($AE389&lt;&gt;"",$AG389="",$AJ389=""),"保留中",IF($AJ389&lt;&gt;"",IF(N($AC389)&gt;0,"支給済","不支給"),IF($AC389="","要確認",IF($AC389=0,"不支給","未処理")))))</f>
        <v/>
      </c>
      <c r="AE389" s="12" t="n"/>
      <c r="AF389" s="11" t="n"/>
      <c r="AG389" s="11" t="n"/>
      <c r="AH389" s="11" t="n"/>
      <c r="AI389" s="14">
        <f>IF(AND($AD389="保留中",$AF389&lt;&gt;""),TODAY()-$AF389,"")</f>
        <v/>
      </c>
      <c r="AJ389" s="12" t="inlineStr">
        <is>
          <t>R8.10</t>
        </is>
      </c>
      <c r="AK389" s="14">
        <f>IF($B389="","",IF($AO389="","対象年月が未入力／","")&amp;IF($B389="","",IF($AN389="","職員マスタに未登録の職員番号／",IF($Y389="","標準報酬月額が未登録／","")&amp;IF(AND($AO389&lt;&gt;"",OR(AND(INDEX(職員マスタ!$G$6:$G$405,$AN389)&lt;&gt;"",INDEX(職員マスタ!$G$6:$G$405,$AN389)&gt;EOMONTH($AO389,0)),AND(INDEX(職員マスタ!$H$6:$H$405,$AN389)&lt;&gt;"",INDEX(職員マスタ!$H$6:$H$405,$AN389)&lt;$AO389))),"対象月が時短期間外／","")&amp;IF(AND(INDEX(職員マスタ!$F$6:$F$405,$AN389)&lt;&gt;"",$AO389&lt;&gt;"",INDEX(職員マスタ!$F$6:$F$405,$AN389)&lt;$AO389),"対象月に子が2歳到達済／","")&amp;IF(AND($H389&lt;&gt;"",INDEX(職員マスタ!$B$6:$B$405,$AN389)&lt;&gt;"",SUBSTITUTE(SUBSTITUTE($H389," ","")," ","")&lt;&gt;SUBSTITUTE(SUBSTITUTE(INDEX(職員マスタ!$B$6:$B$405,$AN389)," ","")," ","")),"氏名がマスタと相違／","")&amp;IF(AND($Q389&lt;&gt;"",INDEX(職員マスタ!$E$6:$E$405,$AN389)&lt;&gt;"",$Q389&lt;&gt;INDEX(職員マスタ!$E$6:$E$405,$AN389)),"子の生年月日がマスタと相違／","")&amp;IF(AND($L389&lt;&gt;"",INDEX(職員マスタ!$G$6:$G$405,$AN389)&lt;&gt;"",$L389&lt;&gt;INDEX(職員マスタ!$G$6:$G$405,$AN389)),"時短開始日がマスタと相違／","")&amp;IF(AND($M389&lt;&gt;"",INDEX(職員マスタ!$H$6:$H$405,$AN389)&lt;&gt;"",$M389&lt;&gt;INDEX(職員マスタ!$H$6:$H$405,$AN389)),"時短終了日がマスタと相違／","")))&amp;IF(AND($B389&lt;&gt;"",$E389=""),"報酬額が未入力／","")&amp;IF(N($U389)&gt;0,"申請書に入力エラーが残っています／","")&amp;IF(AND($B389&lt;&gt;"",$AO389&lt;&gt;""),IF(COUNTIFS($B$6:$B$3005,$B389,$C$6:$C$3005,$C389,$D$6:$D$3005,$D389)&gt;1,"同じ月の請求が重複しています／",""),"")&amp;IF(AND(N($E389)&gt;0,$Z389&lt;&gt;"",$Z389&lt;&gt;"×",$AC389=0,$AB389=""),"計算額が下限以下のため不支給／",""))</f>
        <v/>
      </c>
      <c r="AL389" s="12" t="n"/>
      <c r="AM389" s="14">
        <f>IF($AD389="保留中",COUNTIF($AD$6:$AD389,"保留中"),"")</f>
        <v/>
      </c>
      <c r="AN389" s="14">
        <f>IF($AO389="","",IF(SUMPRODUCT(MAX((職員マスタ!$A$6:$A$405=$B389)*(((職員マスタ!$G$6:$G$405="")+(職員マスタ!$G$6:$G$405&lt;=EOMONTH($AO389,0)))&gt;0)*(((職員マスタ!$H$6:$H$405="")+(職員マスタ!$H$6:$H$405&gt;=$AO389))&gt;0)*(ROW(職員マスタ!$A$6:$A$405)-5)))&gt;0,SUMPRODUCT(MAX((職員マスタ!$A$6:$A$405=$B389)*(((職員マスタ!$G$6:$G$405="")+(職員マスタ!$G$6:$G$405&lt;=EOMONTH($AO389,0)))&gt;0)*(((職員マスタ!$H$6:$H$405="")+(職員マスタ!$H$6:$H$405&gt;=$AO389))&gt;0)*(ROW(職員マスタ!$A$6:$A$405)-5))),IFERROR(MATCH($B389,職員マスタ!$A$6:$A$405,0),"")))</f>
        <v/>
      </c>
      <c r="AO389" s="16">
        <f>IF(OR($B389="",$C389="",$D389=""),"",DATE($C389+2018,$D389,1))</f>
        <v/>
      </c>
    </row>
    <row r="390">
      <c r="A390" s="11" t="n"/>
      <c r="B390" s="12" t="n">
        <v>6802334</v>
      </c>
      <c r="C390" s="12" t="n">
        <v>7</v>
      </c>
      <c r="D390" s="12" t="n">
        <v>5</v>
      </c>
      <c r="E390" s="13" t="n">
        <v>204906</v>
      </c>
      <c r="F390" s="12" t="n"/>
      <c r="G390" s="13" t="n"/>
      <c r="H390" s="12" t="n"/>
      <c r="I390" s="12" t="n"/>
      <c r="J390" s="12" t="n"/>
      <c r="K390" s="12" t="n"/>
      <c r="L390" s="11" t="n"/>
      <c r="M390" s="11" t="n"/>
      <c r="N390" s="11" t="n"/>
      <c r="O390" s="11" t="n"/>
      <c r="P390" s="12" t="n"/>
      <c r="Q390" s="11" t="n"/>
      <c r="R390" s="12" t="n"/>
      <c r="S390" s="11" t="n"/>
      <c r="T390" s="12" t="n"/>
      <c r="U390" s="12" t="n"/>
      <c r="V390" s="14">
        <f>IF($AN390="",IF($B390="","",$H390),IF(INDEX(職員マスタ!$B$6:$B$405,$AN390)="",$H390,INDEX(職員マスタ!$B$6:$B$405,$AN390)))</f>
        <v/>
      </c>
      <c r="W390" s="14">
        <f>IF($AN390="",IF($B390="","",$R390),IF(INDEX(職員マスタ!$C$6:$C$405,$AN390)="",$R390,INDEX(職員マスタ!$C$6:$C$405,$AN390)))</f>
        <v/>
      </c>
      <c r="X390" s="14">
        <f>IF($AO390="","","R"&amp;$C390&amp;"."&amp;$D390)</f>
        <v/>
      </c>
      <c r="Y390" s="15">
        <f>IF($AN390="","",IF(INDEX(職員マスタ!$K$6:$K$405,$AN390)="","",INDEX(職員マスタ!$K$6:$K$405,$AN390)))</f>
        <v/>
      </c>
      <c r="Z390" s="14">
        <f>IF(OR($E390="",$Y390=""),"",IF($E390&gt;=$Y390,"×",IF($E390&gt;=$Y390*設定!$C$5,"△","○")))</f>
        <v/>
      </c>
      <c r="AA390" s="15">
        <f>IF($Z390="","",IF($Z390="×",0,IF($Z390="○",ROUNDDOWN($E390*設定!$C$4,0),ROUNDDOWN($E390*ROUND((9*$Y390-9*$E390)/(10*$E390),4),0))))</f>
        <v/>
      </c>
      <c r="AB390" s="13" t="n"/>
      <c r="AC390" s="15">
        <f>IF($B390="","",IF($AB390&lt;&gt;"",$AB390,IF($AA390="","",IF($AA390&lt;=設定!$C$3,0,$AA390))))</f>
        <v/>
      </c>
      <c r="AD390" s="14">
        <f>IF($B390="","",IF(AND($AE390&lt;&gt;"",$AG390="",$AJ390=""),"保留中",IF($AJ390&lt;&gt;"",IF(N($AC390)&gt;0,"支給済","不支給"),IF($AC390="","要確認",IF($AC390=0,"不支給","未処理")))))</f>
        <v/>
      </c>
      <c r="AE390" s="12" t="n"/>
      <c r="AF390" s="11" t="n"/>
      <c r="AG390" s="11" t="n"/>
      <c r="AH390" s="11" t="n"/>
      <c r="AI390" s="14">
        <f>IF(AND($AD390="保留中",$AF390&lt;&gt;""),TODAY()-$AF390,"")</f>
        <v/>
      </c>
      <c r="AJ390" s="12" t="inlineStr">
        <is>
          <t>R7.9</t>
        </is>
      </c>
      <c r="AK390" s="14">
        <f>IF($B390="","",IF($AO390="","対象年月が未入力／","")&amp;IF($B390="","",IF($AN390="","職員マスタに未登録の職員番号／",IF($Y390="","標準報酬月額が未登録／","")&amp;IF(AND($AO390&lt;&gt;"",OR(AND(INDEX(職員マスタ!$G$6:$G$405,$AN390)&lt;&gt;"",INDEX(職員マスタ!$G$6:$G$405,$AN390)&gt;EOMONTH($AO390,0)),AND(INDEX(職員マスタ!$H$6:$H$405,$AN390)&lt;&gt;"",INDEX(職員マスタ!$H$6:$H$405,$AN390)&lt;$AO390))),"対象月が時短期間外／","")&amp;IF(AND(INDEX(職員マスタ!$F$6:$F$405,$AN390)&lt;&gt;"",$AO390&lt;&gt;"",INDEX(職員マスタ!$F$6:$F$405,$AN390)&lt;$AO390),"対象月に子が2歳到達済／","")&amp;IF(AND($H390&lt;&gt;"",INDEX(職員マスタ!$B$6:$B$405,$AN390)&lt;&gt;"",SUBSTITUTE(SUBSTITUTE($H390," ","")," ","")&lt;&gt;SUBSTITUTE(SUBSTITUTE(INDEX(職員マスタ!$B$6:$B$405,$AN390)," ","")," ","")),"氏名がマスタと相違／","")&amp;IF(AND($Q390&lt;&gt;"",INDEX(職員マスタ!$E$6:$E$405,$AN390)&lt;&gt;"",$Q390&lt;&gt;INDEX(職員マスタ!$E$6:$E$405,$AN390)),"子の生年月日がマスタと相違／","")&amp;IF(AND($L390&lt;&gt;"",INDEX(職員マスタ!$G$6:$G$405,$AN390)&lt;&gt;"",$L390&lt;&gt;INDEX(職員マスタ!$G$6:$G$405,$AN390)),"時短開始日がマスタと相違／","")&amp;IF(AND($M390&lt;&gt;"",INDEX(職員マスタ!$H$6:$H$405,$AN390)&lt;&gt;"",$M390&lt;&gt;INDEX(職員マスタ!$H$6:$H$405,$AN390)),"時短終了日がマスタと相違／","")))&amp;IF(AND($B390&lt;&gt;"",$E390=""),"報酬額が未入力／","")&amp;IF(N($U390)&gt;0,"申請書に入力エラーが残っています／","")&amp;IF(AND($B390&lt;&gt;"",$AO390&lt;&gt;""),IF(COUNTIFS($B$6:$B$3005,$B390,$C$6:$C$3005,$C390,$D$6:$D$3005,$D390)&gt;1,"同じ月の請求が重複しています／",""),"")&amp;IF(AND(N($E390)&gt;0,$Z390&lt;&gt;"",$Z390&lt;&gt;"×",$AC390=0,$AB390=""),"計算額が下限以下のため不支給／",""))</f>
        <v/>
      </c>
      <c r="AL390" s="12" t="n"/>
      <c r="AM390" s="14">
        <f>IF($AD390="保留中",COUNTIF($AD$6:$AD390,"保留中"),"")</f>
        <v/>
      </c>
      <c r="AN390" s="14">
        <f>IF($AO390="","",IF(SUMPRODUCT(MAX((職員マスタ!$A$6:$A$405=$B390)*(((職員マスタ!$G$6:$G$405="")+(職員マスタ!$G$6:$G$405&lt;=EOMONTH($AO390,0)))&gt;0)*(((職員マスタ!$H$6:$H$405="")+(職員マスタ!$H$6:$H$405&gt;=$AO390))&gt;0)*(ROW(職員マスタ!$A$6:$A$405)-5)))&gt;0,SUMPRODUCT(MAX((職員マスタ!$A$6:$A$405=$B390)*(((職員マスタ!$G$6:$G$405="")+(職員マスタ!$G$6:$G$405&lt;=EOMONTH($AO390,0)))&gt;0)*(((職員マスタ!$H$6:$H$405="")+(職員マスタ!$H$6:$H$405&gt;=$AO390))&gt;0)*(ROW(職員マスタ!$A$6:$A$405)-5))),IFERROR(MATCH($B390,職員マスタ!$A$6:$A$405,0),"")))</f>
        <v/>
      </c>
      <c r="AO390" s="16">
        <f>IF(OR($B390="",$C390="",$D390=""),"",DATE($C390+2018,$D390,1))</f>
        <v/>
      </c>
    </row>
    <row r="391">
      <c r="A391" s="11" t="n"/>
      <c r="B391" s="12" t="n">
        <v>6802334</v>
      </c>
      <c r="C391" s="12" t="n">
        <v>7</v>
      </c>
      <c r="D391" s="12" t="n">
        <v>6</v>
      </c>
      <c r="E391" s="13" t="n">
        <v>204906</v>
      </c>
      <c r="F391" s="12" t="n"/>
      <c r="G391" s="13" t="n"/>
      <c r="H391" s="12" t="n"/>
      <c r="I391" s="12" t="n"/>
      <c r="J391" s="12" t="n"/>
      <c r="K391" s="12" t="n"/>
      <c r="L391" s="11" t="n"/>
      <c r="M391" s="11" t="n"/>
      <c r="N391" s="11" t="n"/>
      <c r="O391" s="11" t="n"/>
      <c r="P391" s="12" t="n"/>
      <c r="Q391" s="11" t="n"/>
      <c r="R391" s="12" t="n"/>
      <c r="S391" s="11" t="n"/>
      <c r="T391" s="12" t="n"/>
      <c r="U391" s="12" t="n"/>
      <c r="V391" s="14">
        <f>IF($AN391="",IF($B391="","",$H391),IF(INDEX(職員マスタ!$B$6:$B$405,$AN391)="",$H391,INDEX(職員マスタ!$B$6:$B$405,$AN391)))</f>
        <v/>
      </c>
      <c r="W391" s="14">
        <f>IF($AN391="",IF($B391="","",$R391),IF(INDEX(職員マスタ!$C$6:$C$405,$AN391)="",$R391,INDEX(職員マスタ!$C$6:$C$405,$AN391)))</f>
        <v/>
      </c>
      <c r="X391" s="14">
        <f>IF($AO391="","","R"&amp;$C391&amp;"."&amp;$D391)</f>
        <v/>
      </c>
      <c r="Y391" s="15">
        <f>IF($AN391="","",IF(INDEX(職員マスタ!$K$6:$K$405,$AN391)="","",INDEX(職員マスタ!$K$6:$K$405,$AN391)))</f>
        <v/>
      </c>
      <c r="Z391" s="14">
        <f>IF(OR($E391="",$Y391=""),"",IF($E391&gt;=$Y391,"×",IF($E391&gt;=$Y391*設定!$C$5,"△","○")))</f>
        <v/>
      </c>
      <c r="AA391" s="15">
        <f>IF($Z391="","",IF($Z391="×",0,IF($Z391="○",ROUNDDOWN($E391*設定!$C$4,0),ROUNDDOWN($E391*ROUND((9*$Y391-9*$E391)/(10*$E391),4),0))))</f>
        <v/>
      </c>
      <c r="AB391" s="13" t="n"/>
      <c r="AC391" s="15">
        <f>IF($B391="","",IF($AB391&lt;&gt;"",$AB391,IF($AA391="","",IF($AA391&lt;=設定!$C$3,0,$AA391))))</f>
        <v/>
      </c>
      <c r="AD391" s="14">
        <f>IF($B391="","",IF(AND($AE391&lt;&gt;"",$AG391="",$AJ391=""),"保留中",IF($AJ391&lt;&gt;"",IF(N($AC391)&gt;0,"支給済","不支給"),IF($AC391="","要確認",IF($AC391=0,"不支給","未処理")))))</f>
        <v/>
      </c>
      <c r="AE391" s="12" t="n"/>
      <c r="AF391" s="11" t="n"/>
      <c r="AG391" s="11" t="n"/>
      <c r="AH391" s="11" t="n"/>
      <c r="AI391" s="14">
        <f>IF(AND($AD391="保留中",$AF391&lt;&gt;""),TODAY()-$AF391,"")</f>
        <v/>
      </c>
      <c r="AJ391" s="12" t="inlineStr">
        <is>
          <t>R7.9</t>
        </is>
      </c>
      <c r="AK391" s="14">
        <f>IF($B391="","",IF($AO391="","対象年月が未入力／","")&amp;IF($B391="","",IF($AN391="","職員マスタに未登録の職員番号／",IF($Y391="","標準報酬月額が未登録／","")&amp;IF(AND($AO391&lt;&gt;"",OR(AND(INDEX(職員マスタ!$G$6:$G$405,$AN391)&lt;&gt;"",INDEX(職員マスタ!$G$6:$G$405,$AN391)&gt;EOMONTH($AO391,0)),AND(INDEX(職員マスタ!$H$6:$H$405,$AN391)&lt;&gt;"",INDEX(職員マスタ!$H$6:$H$405,$AN391)&lt;$AO391))),"対象月が時短期間外／","")&amp;IF(AND(INDEX(職員マスタ!$F$6:$F$405,$AN391)&lt;&gt;"",$AO391&lt;&gt;"",INDEX(職員マスタ!$F$6:$F$405,$AN391)&lt;$AO391),"対象月に子が2歳到達済／","")&amp;IF(AND($H391&lt;&gt;"",INDEX(職員マスタ!$B$6:$B$405,$AN391)&lt;&gt;"",SUBSTITUTE(SUBSTITUTE($H391," ","")," ","")&lt;&gt;SUBSTITUTE(SUBSTITUTE(INDEX(職員マスタ!$B$6:$B$405,$AN391)," ","")," ","")),"氏名がマスタと相違／","")&amp;IF(AND($Q391&lt;&gt;"",INDEX(職員マスタ!$E$6:$E$405,$AN391)&lt;&gt;"",$Q391&lt;&gt;INDEX(職員マスタ!$E$6:$E$405,$AN391)),"子の生年月日がマスタと相違／","")&amp;IF(AND($L391&lt;&gt;"",INDEX(職員マスタ!$G$6:$G$405,$AN391)&lt;&gt;"",$L391&lt;&gt;INDEX(職員マスタ!$G$6:$G$405,$AN391)),"時短開始日がマスタと相違／","")&amp;IF(AND($M391&lt;&gt;"",INDEX(職員マスタ!$H$6:$H$405,$AN391)&lt;&gt;"",$M391&lt;&gt;INDEX(職員マスタ!$H$6:$H$405,$AN391)),"時短終了日がマスタと相違／","")))&amp;IF(AND($B391&lt;&gt;"",$E391=""),"報酬額が未入力／","")&amp;IF(N($U391)&gt;0,"申請書に入力エラーが残っています／","")&amp;IF(AND($B391&lt;&gt;"",$AO391&lt;&gt;""),IF(COUNTIFS($B$6:$B$3005,$B391,$C$6:$C$3005,$C391,$D$6:$D$3005,$D391)&gt;1,"同じ月の請求が重複しています／",""),"")&amp;IF(AND(N($E391)&gt;0,$Z391&lt;&gt;"",$Z391&lt;&gt;"×",$AC391=0,$AB391=""),"計算額が下限以下のため不支給／",""))</f>
        <v/>
      </c>
      <c r="AL391" s="12" t="n"/>
      <c r="AM391" s="14">
        <f>IF($AD391="保留中",COUNTIF($AD$6:$AD391,"保留中"),"")</f>
        <v/>
      </c>
      <c r="AN391" s="14">
        <f>IF($AO391="","",IF(SUMPRODUCT(MAX((職員マスタ!$A$6:$A$405=$B391)*(((職員マスタ!$G$6:$G$405="")+(職員マスタ!$G$6:$G$405&lt;=EOMONTH($AO391,0)))&gt;0)*(((職員マスタ!$H$6:$H$405="")+(職員マスタ!$H$6:$H$405&gt;=$AO391))&gt;0)*(ROW(職員マスタ!$A$6:$A$405)-5)))&gt;0,SUMPRODUCT(MAX((職員マスタ!$A$6:$A$405=$B391)*(((職員マスタ!$G$6:$G$405="")+(職員マスタ!$G$6:$G$405&lt;=EOMONTH($AO391,0)))&gt;0)*(((職員マスタ!$H$6:$H$405="")+(職員マスタ!$H$6:$H$405&gt;=$AO391))&gt;0)*(ROW(職員マスタ!$A$6:$A$405)-5))),IFERROR(MATCH($B391,職員マスタ!$A$6:$A$405,0),"")))</f>
        <v/>
      </c>
      <c r="AO391" s="16">
        <f>IF(OR($B391="",$C391="",$D391=""),"",DATE($C391+2018,$D391,1))</f>
        <v/>
      </c>
    </row>
    <row r="392">
      <c r="A392" s="11" t="n"/>
      <c r="B392" s="12" t="n">
        <v>6802334</v>
      </c>
      <c r="C392" s="12" t="n">
        <v>7</v>
      </c>
      <c r="D392" s="12" t="n">
        <v>7</v>
      </c>
      <c r="E392" s="13" t="n">
        <v>204906</v>
      </c>
      <c r="F392" s="12" t="n"/>
      <c r="G392" s="13" t="n"/>
      <c r="H392" s="12" t="n"/>
      <c r="I392" s="12" t="n"/>
      <c r="J392" s="12" t="n"/>
      <c r="K392" s="12" t="n"/>
      <c r="L392" s="11" t="n"/>
      <c r="M392" s="11" t="n"/>
      <c r="N392" s="11" t="n"/>
      <c r="O392" s="11" t="n"/>
      <c r="P392" s="12" t="n"/>
      <c r="Q392" s="11" t="n"/>
      <c r="R392" s="12" t="n"/>
      <c r="S392" s="11" t="n"/>
      <c r="T392" s="12" t="n"/>
      <c r="U392" s="12" t="n"/>
      <c r="V392" s="14">
        <f>IF($AN392="",IF($B392="","",$H392),IF(INDEX(職員マスタ!$B$6:$B$405,$AN392)="",$H392,INDEX(職員マスタ!$B$6:$B$405,$AN392)))</f>
        <v/>
      </c>
      <c r="W392" s="14">
        <f>IF($AN392="",IF($B392="","",$R392),IF(INDEX(職員マスタ!$C$6:$C$405,$AN392)="",$R392,INDEX(職員マスタ!$C$6:$C$405,$AN392)))</f>
        <v/>
      </c>
      <c r="X392" s="14">
        <f>IF($AO392="","","R"&amp;$C392&amp;"."&amp;$D392)</f>
        <v/>
      </c>
      <c r="Y392" s="15">
        <f>IF($AN392="","",IF(INDEX(職員マスタ!$K$6:$K$405,$AN392)="","",INDEX(職員マスタ!$K$6:$K$405,$AN392)))</f>
        <v/>
      </c>
      <c r="Z392" s="14">
        <f>IF(OR($E392="",$Y392=""),"",IF($E392&gt;=$Y392,"×",IF($E392&gt;=$Y392*設定!$C$5,"△","○")))</f>
        <v/>
      </c>
      <c r="AA392" s="15">
        <f>IF($Z392="","",IF($Z392="×",0,IF($Z392="○",ROUNDDOWN($E392*設定!$C$4,0),ROUNDDOWN($E392*ROUND((9*$Y392-9*$E392)/(10*$E392),4),0))))</f>
        <v/>
      </c>
      <c r="AB392" s="13" t="n"/>
      <c r="AC392" s="15">
        <f>IF($B392="","",IF($AB392&lt;&gt;"",$AB392,IF($AA392="","",IF($AA392&lt;=設定!$C$3,0,$AA392))))</f>
        <v/>
      </c>
      <c r="AD392" s="14">
        <f>IF($B392="","",IF(AND($AE392&lt;&gt;"",$AG392="",$AJ392=""),"保留中",IF($AJ392&lt;&gt;"",IF(N($AC392)&gt;0,"支給済","不支給"),IF($AC392="","要確認",IF($AC392=0,"不支給","未処理")))))</f>
        <v/>
      </c>
      <c r="AE392" s="12" t="n"/>
      <c r="AF392" s="11" t="n"/>
      <c r="AG392" s="11" t="n"/>
      <c r="AH392" s="11" t="n"/>
      <c r="AI392" s="14">
        <f>IF(AND($AD392="保留中",$AF392&lt;&gt;""),TODAY()-$AF392,"")</f>
        <v/>
      </c>
      <c r="AJ392" s="12" t="inlineStr">
        <is>
          <t>R7.9</t>
        </is>
      </c>
      <c r="AK392" s="14">
        <f>IF($B392="","",IF($AO392="","対象年月が未入力／","")&amp;IF($B392="","",IF($AN392="","職員マスタに未登録の職員番号／",IF($Y392="","標準報酬月額が未登録／","")&amp;IF(AND($AO392&lt;&gt;"",OR(AND(INDEX(職員マスタ!$G$6:$G$405,$AN392)&lt;&gt;"",INDEX(職員マスタ!$G$6:$G$405,$AN392)&gt;EOMONTH($AO392,0)),AND(INDEX(職員マスタ!$H$6:$H$405,$AN392)&lt;&gt;"",INDEX(職員マスタ!$H$6:$H$405,$AN392)&lt;$AO392))),"対象月が時短期間外／","")&amp;IF(AND(INDEX(職員マスタ!$F$6:$F$405,$AN392)&lt;&gt;"",$AO392&lt;&gt;"",INDEX(職員マスタ!$F$6:$F$405,$AN392)&lt;$AO392),"対象月に子が2歳到達済／","")&amp;IF(AND($H392&lt;&gt;"",INDEX(職員マスタ!$B$6:$B$405,$AN392)&lt;&gt;"",SUBSTITUTE(SUBSTITUTE($H392," ","")," ","")&lt;&gt;SUBSTITUTE(SUBSTITUTE(INDEX(職員マスタ!$B$6:$B$405,$AN392)," ","")," ","")),"氏名がマスタと相違／","")&amp;IF(AND($Q392&lt;&gt;"",INDEX(職員マスタ!$E$6:$E$405,$AN392)&lt;&gt;"",$Q392&lt;&gt;INDEX(職員マスタ!$E$6:$E$405,$AN392)),"子の生年月日がマスタと相違／","")&amp;IF(AND($L392&lt;&gt;"",INDEX(職員マスタ!$G$6:$G$405,$AN392)&lt;&gt;"",$L392&lt;&gt;INDEX(職員マスタ!$G$6:$G$405,$AN392)),"時短開始日がマスタと相違／","")&amp;IF(AND($M392&lt;&gt;"",INDEX(職員マスタ!$H$6:$H$405,$AN392)&lt;&gt;"",$M392&lt;&gt;INDEX(職員マスタ!$H$6:$H$405,$AN392)),"時短終了日がマスタと相違／","")))&amp;IF(AND($B392&lt;&gt;"",$E392=""),"報酬額が未入力／","")&amp;IF(N($U392)&gt;0,"申請書に入力エラーが残っています／","")&amp;IF(AND($B392&lt;&gt;"",$AO392&lt;&gt;""),IF(COUNTIFS($B$6:$B$3005,$B392,$C$6:$C$3005,$C392,$D$6:$D$3005,$D392)&gt;1,"同じ月の請求が重複しています／",""),"")&amp;IF(AND(N($E392)&gt;0,$Z392&lt;&gt;"",$Z392&lt;&gt;"×",$AC392=0,$AB392=""),"計算額が下限以下のため不支給／",""))</f>
        <v/>
      </c>
      <c r="AL392" s="12" t="n"/>
      <c r="AM392" s="14">
        <f>IF($AD392="保留中",COUNTIF($AD$6:$AD392,"保留中"),"")</f>
        <v/>
      </c>
      <c r="AN392" s="14">
        <f>IF($AO392="","",IF(SUMPRODUCT(MAX((職員マスタ!$A$6:$A$405=$B392)*(((職員マスタ!$G$6:$G$405="")+(職員マスタ!$G$6:$G$405&lt;=EOMONTH($AO392,0)))&gt;0)*(((職員マスタ!$H$6:$H$405="")+(職員マスタ!$H$6:$H$405&gt;=$AO392))&gt;0)*(ROW(職員マスタ!$A$6:$A$405)-5)))&gt;0,SUMPRODUCT(MAX((職員マスタ!$A$6:$A$405=$B392)*(((職員マスタ!$G$6:$G$405="")+(職員マスタ!$G$6:$G$405&lt;=EOMONTH($AO392,0)))&gt;0)*(((職員マスタ!$H$6:$H$405="")+(職員マスタ!$H$6:$H$405&gt;=$AO392))&gt;0)*(ROW(職員マスタ!$A$6:$A$405)-5))),IFERROR(MATCH($B392,職員マスタ!$A$6:$A$405,0),"")))</f>
        <v/>
      </c>
      <c r="AO392" s="16">
        <f>IF(OR($B392="",$C392="",$D392=""),"",DATE($C392+2018,$D392,1))</f>
        <v/>
      </c>
    </row>
    <row r="393">
      <c r="A393" s="11" t="n"/>
      <c r="B393" s="12" t="n">
        <v>6802334</v>
      </c>
      <c r="C393" s="12" t="n">
        <v>7</v>
      </c>
      <c r="D393" s="12" t="n">
        <v>8</v>
      </c>
      <c r="E393" s="13" t="n">
        <v>209652</v>
      </c>
      <c r="F393" s="12" t="n"/>
      <c r="G393" s="13" t="n"/>
      <c r="H393" s="12" t="n"/>
      <c r="I393" s="12" t="n"/>
      <c r="J393" s="12" t="n"/>
      <c r="K393" s="12" t="n"/>
      <c r="L393" s="11" t="n"/>
      <c r="M393" s="11" t="n"/>
      <c r="N393" s="11" t="n"/>
      <c r="O393" s="11" t="n"/>
      <c r="P393" s="12" t="n"/>
      <c r="Q393" s="11" t="n"/>
      <c r="R393" s="12" t="n"/>
      <c r="S393" s="11" t="n"/>
      <c r="T393" s="12" t="n"/>
      <c r="U393" s="12" t="n"/>
      <c r="V393" s="14">
        <f>IF($AN393="",IF($B393="","",$H393),IF(INDEX(職員マスタ!$B$6:$B$405,$AN393)="",$H393,INDEX(職員マスタ!$B$6:$B$405,$AN393)))</f>
        <v/>
      </c>
      <c r="W393" s="14">
        <f>IF($AN393="",IF($B393="","",$R393),IF(INDEX(職員マスタ!$C$6:$C$405,$AN393)="",$R393,INDEX(職員マスタ!$C$6:$C$405,$AN393)))</f>
        <v/>
      </c>
      <c r="X393" s="14">
        <f>IF($AO393="","","R"&amp;$C393&amp;"."&amp;$D393)</f>
        <v/>
      </c>
      <c r="Y393" s="15">
        <f>IF($AN393="","",IF(INDEX(職員マスタ!$K$6:$K$405,$AN393)="","",INDEX(職員マスタ!$K$6:$K$405,$AN393)))</f>
        <v/>
      </c>
      <c r="Z393" s="14">
        <f>IF(OR($E393="",$Y393=""),"",IF($E393&gt;=$Y393,"×",IF($E393&gt;=$Y393*設定!$C$5,"△","○")))</f>
        <v/>
      </c>
      <c r="AA393" s="15">
        <f>IF($Z393="","",IF($Z393="×",0,IF($Z393="○",ROUNDDOWN($E393*設定!$C$4,0),ROUNDDOWN($E393*ROUND((9*$Y393-9*$E393)/(10*$E393),4),0))))</f>
        <v/>
      </c>
      <c r="AB393" s="13" t="n"/>
      <c r="AC393" s="15">
        <f>IF($B393="","",IF($AB393&lt;&gt;"",$AB393,IF($AA393="","",IF($AA393&lt;=設定!$C$3,0,$AA393))))</f>
        <v/>
      </c>
      <c r="AD393" s="14">
        <f>IF($B393="","",IF(AND($AE393&lt;&gt;"",$AG393="",$AJ393=""),"保留中",IF($AJ393&lt;&gt;"",IF(N($AC393)&gt;0,"支給済","不支給"),IF($AC393="","要確認",IF($AC393=0,"不支給","未処理")))))</f>
        <v/>
      </c>
      <c r="AE393" s="12" t="n"/>
      <c r="AF393" s="11" t="n"/>
      <c r="AG393" s="11" t="n"/>
      <c r="AH393" s="11" t="n"/>
      <c r="AI393" s="14">
        <f>IF(AND($AD393="保留中",$AF393&lt;&gt;""),TODAY()-$AF393,"")</f>
        <v/>
      </c>
      <c r="AJ393" s="12" t="inlineStr">
        <is>
          <t>R7.10</t>
        </is>
      </c>
      <c r="AK393" s="14">
        <f>IF($B393="","",IF($AO393="","対象年月が未入力／","")&amp;IF($B393="","",IF($AN393="","職員マスタに未登録の職員番号／",IF($Y393="","標準報酬月額が未登録／","")&amp;IF(AND($AO393&lt;&gt;"",OR(AND(INDEX(職員マスタ!$G$6:$G$405,$AN393)&lt;&gt;"",INDEX(職員マスタ!$G$6:$G$405,$AN393)&gt;EOMONTH($AO393,0)),AND(INDEX(職員マスタ!$H$6:$H$405,$AN393)&lt;&gt;"",INDEX(職員マスタ!$H$6:$H$405,$AN393)&lt;$AO393))),"対象月が時短期間外／","")&amp;IF(AND(INDEX(職員マスタ!$F$6:$F$405,$AN393)&lt;&gt;"",$AO393&lt;&gt;"",INDEX(職員マスタ!$F$6:$F$405,$AN393)&lt;$AO393),"対象月に子が2歳到達済／","")&amp;IF(AND($H393&lt;&gt;"",INDEX(職員マスタ!$B$6:$B$405,$AN393)&lt;&gt;"",SUBSTITUTE(SUBSTITUTE($H393," ","")," ","")&lt;&gt;SUBSTITUTE(SUBSTITUTE(INDEX(職員マスタ!$B$6:$B$405,$AN393)," ","")," ","")),"氏名がマスタと相違／","")&amp;IF(AND($Q393&lt;&gt;"",INDEX(職員マスタ!$E$6:$E$405,$AN393)&lt;&gt;"",$Q393&lt;&gt;INDEX(職員マスタ!$E$6:$E$405,$AN393)),"子の生年月日がマスタと相違／","")&amp;IF(AND($L393&lt;&gt;"",INDEX(職員マスタ!$G$6:$G$405,$AN393)&lt;&gt;"",$L393&lt;&gt;INDEX(職員マスタ!$G$6:$G$405,$AN393)),"時短開始日がマスタと相違／","")&amp;IF(AND($M393&lt;&gt;"",INDEX(職員マスタ!$H$6:$H$405,$AN393)&lt;&gt;"",$M393&lt;&gt;INDEX(職員マスタ!$H$6:$H$405,$AN393)),"時短終了日がマスタと相違／","")))&amp;IF(AND($B393&lt;&gt;"",$E393=""),"報酬額が未入力／","")&amp;IF(N($U393)&gt;0,"申請書に入力エラーが残っています／","")&amp;IF(AND($B393&lt;&gt;"",$AO393&lt;&gt;""),IF(COUNTIFS($B$6:$B$3005,$B393,$C$6:$C$3005,$C393,$D$6:$D$3005,$D393)&gt;1,"同じ月の請求が重複しています／",""),"")&amp;IF(AND(N($E393)&gt;0,$Z393&lt;&gt;"",$Z393&lt;&gt;"×",$AC393=0,$AB393=""),"計算額が下限以下のため不支給／",""))</f>
        <v/>
      </c>
      <c r="AL393" s="12" t="n"/>
      <c r="AM393" s="14">
        <f>IF($AD393="保留中",COUNTIF($AD$6:$AD393,"保留中"),"")</f>
        <v/>
      </c>
      <c r="AN393" s="14">
        <f>IF($AO393="","",IF(SUMPRODUCT(MAX((職員マスタ!$A$6:$A$405=$B393)*(((職員マスタ!$G$6:$G$405="")+(職員マスタ!$G$6:$G$405&lt;=EOMONTH($AO393,0)))&gt;0)*(((職員マスタ!$H$6:$H$405="")+(職員マスタ!$H$6:$H$405&gt;=$AO393))&gt;0)*(ROW(職員マスタ!$A$6:$A$405)-5)))&gt;0,SUMPRODUCT(MAX((職員マスタ!$A$6:$A$405=$B393)*(((職員マスタ!$G$6:$G$405="")+(職員マスタ!$G$6:$G$405&lt;=EOMONTH($AO393,0)))&gt;0)*(((職員マスタ!$H$6:$H$405="")+(職員マスタ!$H$6:$H$405&gt;=$AO393))&gt;0)*(ROW(職員マスタ!$A$6:$A$405)-5))),IFERROR(MATCH($B393,職員マスタ!$A$6:$A$405,0),"")))</f>
        <v/>
      </c>
      <c r="AO393" s="16">
        <f>IF(OR($B393="",$C393="",$D393=""),"",DATE($C393+2018,$D393,1))</f>
        <v/>
      </c>
    </row>
    <row r="394">
      <c r="A394" s="11" t="n"/>
      <c r="B394" s="12" t="n">
        <v>6802334</v>
      </c>
      <c r="C394" s="12" t="n">
        <v>7</v>
      </c>
      <c r="D394" s="12" t="n">
        <v>9</v>
      </c>
      <c r="E394" s="13" t="n">
        <v>204906</v>
      </c>
      <c r="F394" s="12" t="n"/>
      <c r="G394" s="13" t="n"/>
      <c r="H394" s="12" t="n"/>
      <c r="I394" s="12" t="n"/>
      <c r="J394" s="12" t="n"/>
      <c r="K394" s="12" t="n"/>
      <c r="L394" s="11" t="n"/>
      <c r="M394" s="11" t="n"/>
      <c r="N394" s="11" t="n"/>
      <c r="O394" s="11" t="n"/>
      <c r="P394" s="12" t="n"/>
      <c r="Q394" s="11" t="n"/>
      <c r="R394" s="12" t="n"/>
      <c r="S394" s="11" t="n"/>
      <c r="T394" s="12" t="n"/>
      <c r="U394" s="12" t="n"/>
      <c r="V394" s="14">
        <f>IF($AN394="",IF($B394="","",$H394),IF(INDEX(職員マスタ!$B$6:$B$405,$AN394)="",$H394,INDEX(職員マスタ!$B$6:$B$405,$AN394)))</f>
        <v/>
      </c>
      <c r="W394" s="14">
        <f>IF($AN394="",IF($B394="","",$R394),IF(INDEX(職員マスタ!$C$6:$C$405,$AN394)="",$R394,INDEX(職員マスタ!$C$6:$C$405,$AN394)))</f>
        <v/>
      </c>
      <c r="X394" s="14">
        <f>IF($AO394="","","R"&amp;$C394&amp;"."&amp;$D394)</f>
        <v/>
      </c>
      <c r="Y394" s="15">
        <f>IF($AN394="","",IF(INDEX(職員マスタ!$K$6:$K$405,$AN394)="","",INDEX(職員マスタ!$K$6:$K$405,$AN394)))</f>
        <v/>
      </c>
      <c r="Z394" s="14">
        <f>IF(OR($E394="",$Y394=""),"",IF($E394&gt;=$Y394,"×",IF($E394&gt;=$Y394*設定!$C$5,"△","○")))</f>
        <v/>
      </c>
      <c r="AA394" s="15">
        <f>IF($Z394="","",IF($Z394="×",0,IF($Z394="○",ROUNDDOWN($E394*設定!$C$4,0),ROUNDDOWN($E394*ROUND((9*$Y394-9*$E394)/(10*$E394),4),0))))</f>
        <v/>
      </c>
      <c r="AB394" s="13" t="n"/>
      <c r="AC394" s="15">
        <f>IF($B394="","",IF($AB394&lt;&gt;"",$AB394,IF($AA394="","",IF($AA394&lt;=設定!$C$3,0,$AA394))))</f>
        <v/>
      </c>
      <c r="AD394" s="14">
        <f>IF($B394="","",IF(AND($AE394&lt;&gt;"",$AG394="",$AJ394=""),"保留中",IF($AJ394&lt;&gt;"",IF(N($AC394)&gt;0,"支給済","不支給"),IF($AC394="","要確認",IF($AC394=0,"不支給","未処理")))))</f>
        <v/>
      </c>
      <c r="AE394" s="12" t="n"/>
      <c r="AF394" s="11" t="n"/>
      <c r="AG394" s="11" t="n"/>
      <c r="AH394" s="11" t="n"/>
      <c r="AI394" s="14">
        <f>IF(AND($AD394="保留中",$AF394&lt;&gt;""),TODAY()-$AF394,"")</f>
        <v/>
      </c>
      <c r="AJ394" s="12" t="inlineStr">
        <is>
          <t>R7.12</t>
        </is>
      </c>
      <c r="AK394" s="14">
        <f>IF($B394="","",IF($AO394="","対象年月が未入力／","")&amp;IF($B394="","",IF($AN394="","職員マスタに未登録の職員番号／",IF($Y394="","標準報酬月額が未登録／","")&amp;IF(AND($AO394&lt;&gt;"",OR(AND(INDEX(職員マスタ!$G$6:$G$405,$AN394)&lt;&gt;"",INDEX(職員マスタ!$G$6:$G$405,$AN394)&gt;EOMONTH($AO394,0)),AND(INDEX(職員マスタ!$H$6:$H$405,$AN394)&lt;&gt;"",INDEX(職員マスタ!$H$6:$H$405,$AN394)&lt;$AO394))),"対象月が時短期間外／","")&amp;IF(AND(INDEX(職員マスタ!$F$6:$F$405,$AN394)&lt;&gt;"",$AO394&lt;&gt;"",INDEX(職員マスタ!$F$6:$F$405,$AN394)&lt;$AO394),"対象月に子が2歳到達済／","")&amp;IF(AND($H394&lt;&gt;"",INDEX(職員マスタ!$B$6:$B$405,$AN394)&lt;&gt;"",SUBSTITUTE(SUBSTITUTE($H394," ","")," ","")&lt;&gt;SUBSTITUTE(SUBSTITUTE(INDEX(職員マスタ!$B$6:$B$405,$AN394)," ","")," ","")),"氏名がマスタと相違／","")&amp;IF(AND($Q394&lt;&gt;"",INDEX(職員マスタ!$E$6:$E$405,$AN394)&lt;&gt;"",$Q394&lt;&gt;INDEX(職員マスタ!$E$6:$E$405,$AN394)),"子の生年月日がマスタと相違／","")&amp;IF(AND($L394&lt;&gt;"",INDEX(職員マスタ!$G$6:$G$405,$AN394)&lt;&gt;"",$L394&lt;&gt;INDEX(職員マスタ!$G$6:$G$405,$AN394)),"時短開始日がマスタと相違／","")&amp;IF(AND($M394&lt;&gt;"",INDEX(職員マスタ!$H$6:$H$405,$AN394)&lt;&gt;"",$M394&lt;&gt;INDEX(職員マスタ!$H$6:$H$405,$AN394)),"時短終了日がマスタと相違／","")))&amp;IF(AND($B394&lt;&gt;"",$E394=""),"報酬額が未入力／","")&amp;IF(N($U394)&gt;0,"申請書に入力エラーが残っています／","")&amp;IF(AND($B394&lt;&gt;"",$AO394&lt;&gt;""),IF(COUNTIFS($B$6:$B$3005,$B394,$C$6:$C$3005,$C394,$D$6:$D$3005,$D394)&gt;1,"同じ月の請求が重複しています／",""),"")&amp;IF(AND(N($E394)&gt;0,$Z394&lt;&gt;"",$Z394&lt;&gt;"×",$AC394=0,$AB394=""),"計算額が下限以下のため不支給／",""))</f>
        <v/>
      </c>
      <c r="AL394" s="12" t="n"/>
      <c r="AM394" s="14">
        <f>IF($AD394="保留中",COUNTIF($AD$6:$AD394,"保留中"),"")</f>
        <v/>
      </c>
      <c r="AN394" s="14">
        <f>IF($AO394="","",IF(SUMPRODUCT(MAX((職員マスタ!$A$6:$A$405=$B394)*(((職員マスタ!$G$6:$G$405="")+(職員マスタ!$G$6:$G$405&lt;=EOMONTH($AO394,0)))&gt;0)*(((職員マスタ!$H$6:$H$405="")+(職員マスタ!$H$6:$H$405&gt;=$AO394))&gt;0)*(ROW(職員マスタ!$A$6:$A$405)-5)))&gt;0,SUMPRODUCT(MAX((職員マスタ!$A$6:$A$405=$B394)*(((職員マスタ!$G$6:$G$405="")+(職員マスタ!$G$6:$G$405&lt;=EOMONTH($AO394,0)))&gt;0)*(((職員マスタ!$H$6:$H$405="")+(職員マスタ!$H$6:$H$405&gt;=$AO394))&gt;0)*(ROW(職員マスタ!$A$6:$A$405)-5))),IFERROR(MATCH($B394,職員マスタ!$A$6:$A$405,0),"")))</f>
        <v/>
      </c>
      <c r="AO394" s="16">
        <f>IF(OR($B394="",$C394="",$D394=""),"",DATE($C394+2018,$D394,1))</f>
        <v/>
      </c>
    </row>
    <row r="395">
      <c r="A395" s="11" t="n"/>
      <c r="B395" s="12" t="n">
        <v>6802334</v>
      </c>
      <c r="C395" s="12" t="n">
        <v>7</v>
      </c>
      <c r="D395" s="12" t="n">
        <v>10</v>
      </c>
      <c r="E395" s="13" t="n">
        <v>211207</v>
      </c>
      <c r="F395" s="12" t="n"/>
      <c r="G395" s="13" t="n"/>
      <c r="H395" s="12" t="n"/>
      <c r="I395" s="12" t="n"/>
      <c r="J395" s="12" t="n"/>
      <c r="K395" s="12" t="n"/>
      <c r="L395" s="11" t="n"/>
      <c r="M395" s="11" t="n"/>
      <c r="N395" s="11" t="n"/>
      <c r="O395" s="11" t="n"/>
      <c r="P395" s="12" t="n"/>
      <c r="Q395" s="11" t="n"/>
      <c r="R395" s="12" t="n"/>
      <c r="S395" s="11" t="n"/>
      <c r="T395" s="12" t="n"/>
      <c r="U395" s="12" t="n"/>
      <c r="V395" s="14">
        <f>IF($AN395="",IF($B395="","",$H395),IF(INDEX(職員マスタ!$B$6:$B$405,$AN395)="",$H395,INDEX(職員マスタ!$B$6:$B$405,$AN395)))</f>
        <v/>
      </c>
      <c r="W395" s="14">
        <f>IF($AN395="",IF($B395="","",$R395),IF(INDEX(職員マスタ!$C$6:$C$405,$AN395)="",$R395,INDEX(職員マスタ!$C$6:$C$405,$AN395)))</f>
        <v/>
      </c>
      <c r="X395" s="14">
        <f>IF($AO395="","","R"&amp;$C395&amp;"."&amp;$D395)</f>
        <v/>
      </c>
      <c r="Y395" s="15">
        <f>IF($AN395="","",IF(INDEX(職員マスタ!$K$6:$K$405,$AN395)="","",INDEX(職員マスタ!$K$6:$K$405,$AN395)))</f>
        <v/>
      </c>
      <c r="Z395" s="14">
        <f>IF(OR($E395="",$Y395=""),"",IF($E395&gt;=$Y395,"×",IF($E395&gt;=$Y395*設定!$C$5,"△","○")))</f>
        <v/>
      </c>
      <c r="AA395" s="15">
        <f>IF($Z395="","",IF($Z395="×",0,IF($Z395="○",ROUNDDOWN($E395*設定!$C$4,0),ROUNDDOWN($E395*ROUND((9*$Y395-9*$E395)/(10*$E395),4),0))))</f>
        <v/>
      </c>
      <c r="AB395" s="13" t="n"/>
      <c r="AC395" s="15">
        <f>IF($B395="","",IF($AB395&lt;&gt;"",$AB395,IF($AA395="","",IF($AA395&lt;=設定!$C$3,0,$AA395))))</f>
        <v/>
      </c>
      <c r="AD395" s="14">
        <f>IF($B395="","",IF(AND($AE395&lt;&gt;"",$AG395="",$AJ395=""),"保留中",IF($AJ395&lt;&gt;"",IF(N($AC395)&gt;0,"支給済","不支給"),IF($AC395="","要確認",IF($AC395=0,"不支給","未処理")))))</f>
        <v/>
      </c>
      <c r="AE395" s="12" t="n"/>
      <c r="AF395" s="11" t="n"/>
      <c r="AG395" s="11" t="n"/>
      <c r="AH395" s="11" t="n"/>
      <c r="AI395" s="14">
        <f>IF(AND($AD395="保留中",$AF395&lt;&gt;""),TODAY()-$AF395,"")</f>
        <v/>
      </c>
      <c r="AJ395" s="12" t="inlineStr">
        <is>
          <t>R8.1</t>
        </is>
      </c>
      <c r="AK395" s="14">
        <f>IF($B395="","",IF($AO395="","対象年月が未入力／","")&amp;IF($B395="","",IF($AN395="","職員マスタに未登録の職員番号／",IF($Y395="","標準報酬月額が未登録／","")&amp;IF(AND($AO395&lt;&gt;"",OR(AND(INDEX(職員マスタ!$G$6:$G$405,$AN395)&lt;&gt;"",INDEX(職員マスタ!$G$6:$G$405,$AN395)&gt;EOMONTH($AO395,0)),AND(INDEX(職員マスタ!$H$6:$H$405,$AN395)&lt;&gt;"",INDEX(職員マスタ!$H$6:$H$405,$AN395)&lt;$AO395))),"対象月が時短期間外／","")&amp;IF(AND(INDEX(職員マスタ!$F$6:$F$405,$AN395)&lt;&gt;"",$AO395&lt;&gt;"",INDEX(職員マスタ!$F$6:$F$405,$AN395)&lt;$AO395),"対象月に子が2歳到達済／","")&amp;IF(AND($H395&lt;&gt;"",INDEX(職員マスタ!$B$6:$B$405,$AN395)&lt;&gt;"",SUBSTITUTE(SUBSTITUTE($H395," ","")," ","")&lt;&gt;SUBSTITUTE(SUBSTITUTE(INDEX(職員マスタ!$B$6:$B$405,$AN395)," ","")," ","")),"氏名がマスタと相違／","")&amp;IF(AND($Q395&lt;&gt;"",INDEX(職員マスタ!$E$6:$E$405,$AN395)&lt;&gt;"",$Q395&lt;&gt;INDEX(職員マスタ!$E$6:$E$405,$AN395)),"子の生年月日がマスタと相違／","")&amp;IF(AND($L395&lt;&gt;"",INDEX(職員マスタ!$G$6:$G$405,$AN395)&lt;&gt;"",$L395&lt;&gt;INDEX(職員マスタ!$G$6:$G$405,$AN395)),"時短開始日がマスタと相違／","")&amp;IF(AND($M395&lt;&gt;"",INDEX(職員マスタ!$H$6:$H$405,$AN395)&lt;&gt;"",$M395&lt;&gt;INDEX(職員マスタ!$H$6:$H$405,$AN395)),"時短終了日がマスタと相違／","")))&amp;IF(AND($B395&lt;&gt;"",$E395=""),"報酬額が未入力／","")&amp;IF(N($U395)&gt;0,"申請書に入力エラーが残っています／","")&amp;IF(AND($B395&lt;&gt;"",$AO395&lt;&gt;""),IF(COUNTIFS($B$6:$B$3005,$B395,$C$6:$C$3005,$C395,$D$6:$D$3005,$D395)&gt;1,"同じ月の請求が重複しています／",""),"")&amp;IF(AND(N($E395)&gt;0,$Z395&lt;&gt;"",$Z395&lt;&gt;"×",$AC395=0,$AB395=""),"計算額が下限以下のため不支給／",""))</f>
        <v/>
      </c>
      <c r="AL395" s="12" t="n"/>
      <c r="AM395" s="14">
        <f>IF($AD395="保留中",COUNTIF($AD$6:$AD395,"保留中"),"")</f>
        <v/>
      </c>
      <c r="AN395" s="14">
        <f>IF($AO395="","",IF(SUMPRODUCT(MAX((職員マスタ!$A$6:$A$405=$B395)*(((職員マスタ!$G$6:$G$405="")+(職員マスタ!$G$6:$G$405&lt;=EOMONTH($AO395,0)))&gt;0)*(((職員マスタ!$H$6:$H$405="")+(職員マスタ!$H$6:$H$405&gt;=$AO395))&gt;0)*(ROW(職員マスタ!$A$6:$A$405)-5)))&gt;0,SUMPRODUCT(MAX((職員マスタ!$A$6:$A$405=$B395)*(((職員マスタ!$G$6:$G$405="")+(職員マスタ!$G$6:$G$405&lt;=EOMONTH($AO395,0)))&gt;0)*(((職員マスタ!$H$6:$H$405="")+(職員マスタ!$H$6:$H$405&gt;=$AO395))&gt;0)*(ROW(職員マスタ!$A$6:$A$405)-5))),IFERROR(MATCH($B395,職員マスタ!$A$6:$A$405,0),"")))</f>
        <v/>
      </c>
      <c r="AO395" s="16">
        <f>IF(OR($B395="",$C395="",$D395=""),"",DATE($C395+2018,$D395,1))</f>
        <v/>
      </c>
    </row>
    <row r="396">
      <c r="A396" s="11" t="n"/>
      <c r="B396" s="12" t="n">
        <v>6802334</v>
      </c>
      <c r="C396" s="12" t="n">
        <v>7</v>
      </c>
      <c r="D396" s="12" t="n">
        <v>11</v>
      </c>
      <c r="E396" s="13" t="n">
        <v>209449</v>
      </c>
      <c r="F396" s="12" t="n"/>
      <c r="G396" s="13" t="n"/>
      <c r="H396" s="12" t="n"/>
      <c r="I396" s="12" t="n"/>
      <c r="J396" s="12" t="n"/>
      <c r="K396" s="12" t="n"/>
      <c r="L396" s="11" t="n"/>
      <c r="M396" s="11" t="n"/>
      <c r="N396" s="11" t="n"/>
      <c r="O396" s="11" t="n"/>
      <c r="P396" s="12" t="n"/>
      <c r="Q396" s="11" t="n"/>
      <c r="R396" s="12" t="n"/>
      <c r="S396" s="11" t="n"/>
      <c r="T396" s="12" t="n"/>
      <c r="U396" s="12" t="n"/>
      <c r="V396" s="14">
        <f>IF($AN396="",IF($B396="","",$H396),IF(INDEX(職員マスタ!$B$6:$B$405,$AN396)="",$H396,INDEX(職員マスタ!$B$6:$B$405,$AN396)))</f>
        <v/>
      </c>
      <c r="W396" s="14">
        <f>IF($AN396="",IF($B396="","",$R396),IF(INDEX(職員マスタ!$C$6:$C$405,$AN396)="",$R396,INDEX(職員マスタ!$C$6:$C$405,$AN396)))</f>
        <v/>
      </c>
      <c r="X396" s="14">
        <f>IF($AO396="","","R"&amp;$C396&amp;"."&amp;$D396)</f>
        <v/>
      </c>
      <c r="Y396" s="15">
        <f>IF($AN396="","",IF(INDEX(職員マスタ!$K$6:$K$405,$AN396)="","",INDEX(職員マスタ!$K$6:$K$405,$AN396)))</f>
        <v/>
      </c>
      <c r="Z396" s="14">
        <f>IF(OR($E396="",$Y396=""),"",IF($E396&gt;=$Y396,"×",IF($E396&gt;=$Y396*設定!$C$5,"△","○")))</f>
        <v/>
      </c>
      <c r="AA396" s="15">
        <f>IF($Z396="","",IF($Z396="×",0,IF($Z396="○",ROUNDDOWN($E396*設定!$C$4,0),ROUNDDOWN($E396*ROUND((9*$Y396-9*$E396)/(10*$E396),4),0))))</f>
        <v/>
      </c>
      <c r="AB396" s="13" t="n"/>
      <c r="AC396" s="15">
        <f>IF($B396="","",IF($AB396&lt;&gt;"",$AB396,IF($AA396="","",IF($AA396&lt;=設定!$C$3,0,$AA396))))</f>
        <v/>
      </c>
      <c r="AD396" s="14">
        <f>IF($B396="","",IF(AND($AE396&lt;&gt;"",$AG396="",$AJ396=""),"保留中",IF($AJ396&lt;&gt;"",IF(N($AC396)&gt;0,"支給済","不支給"),IF($AC396="","要確認",IF($AC396=0,"不支給","未処理")))))</f>
        <v/>
      </c>
      <c r="AE396" s="12" t="n"/>
      <c r="AF396" s="11" t="n"/>
      <c r="AG396" s="11" t="n"/>
      <c r="AH396" s="11" t="n"/>
      <c r="AI396" s="14">
        <f>IF(AND($AD396="保留中",$AF396&lt;&gt;""),TODAY()-$AF396,"")</f>
        <v/>
      </c>
      <c r="AJ396" s="12" t="inlineStr">
        <is>
          <t>R8.1</t>
        </is>
      </c>
      <c r="AK396" s="14">
        <f>IF($B396="","",IF($AO396="","対象年月が未入力／","")&amp;IF($B396="","",IF($AN396="","職員マスタに未登録の職員番号／",IF($Y396="","標準報酬月額が未登録／","")&amp;IF(AND($AO396&lt;&gt;"",OR(AND(INDEX(職員マスタ!$G$6:$G$405,$AN396)&lt;&gt;"",INDEX(職員マスタ!$G$6:$G$405,$AN396)&gt;EOMONTH($AO396,0)),AND(INDEX(職員マスタ!$H$6:$H$405,$AN396)&lt;&gt;"",INDEX(職員マスタ!$H$6:$H$405,$AN396)&lt;$AO396))),"対象月が時短期間外／","")&amp;IF(AND(INDEX(職員マスタ!$F$6:$F$405,$AN396)&lt;&gt;"",$AO396&lt;&gt;"",INDEX(職員マスタ!$F$6:$F$405,$AN396)&lt;$AO396),"対象月に子が2歳到達済／","")&amp;IF(AND($H396&lt;&gt;"",INDEX(職員マスタ!$B$6:$B$405,$AN396)&lt;&gt;"",SUBSTITUTE(SUBSTITUTE($H396," ","")," ","")&lt;&gt;SUBSTITUTE(SUBSTITUTE(INDEX(職員マスタ!$B$6:$B$405,$AN396)," ","")," ","")),"氏名がマスタと相違／","")&amp;IF(AND($Q396&lt;&gt;"",INDEX(職員マスタ!$E$6:$E$405,$AN396)&lt;&gt;"",$Q396&lt;&gt;INDEX(職員マスタ!$E$6:$E$405,$AN396)),"子の生年月日がマスタと相違／","")&amp;IF(AND($L396&lt;&gt;"",INDEX(職員マスタ!$G$6:$G$405,$AN396)&lt;&gt;"",$L396&lt;&gt;INDEX(職員マスタ!$G$6:$G$405,$AN396)),"時短開始日がマスタと相違／","")&amp;IF(AND($M396&lt;&gt;"",INDEX(職員マスタ!$H$6:$H$405,$AN396)&lt;&gt;"",$M396&lt;&gt;INDEX(職員マスタ!$H$6:$H$405,$AN396)),"時短終了日がマスタと相違／","")))&amp;IF(AND($B396&lt;&gt;"",$E396=""),"報酬額が未入力／","")&amp;IF(N($U396)&gt;0,"申請書に入力エラーが残っています／","")&amp;IF(AND($B396&lt;&gt;"",$AO396&lt;&gt;""),IF(COUNTIFS($B$6:$B$3005,$B396,$C$6:$C$3005,$C396,$D$6:$D$3005,$D396)&gt;1,"同じ月の請求が重複しています／",""),"")&amp;IF(AND(N($E396)&gt;0,$Z396&lt;&gt;"",$Z396&lt;&gt;"×",$AC396=0,$AB396=""),"計算額が下限以下のため不支給／",""))</f>
        <v/>
      </c>
      <c r="AL396" s="12" t="n"/>
      <c r="AM396" s="14">
        <f>IF($AD396="保留中",COUNTIF($AD$6:$AD396,"保留中"),"")</f>
        <v/>
      </c>
      <c r="AN396" s="14">
        <f>IF($AO396="","",IF(SUMPRODUCT(MAX((職員マスタ!$A$6:$A$405=$B396)*(((職員マスタ!$G$6:$G$405="")+(職員マスタ!$G$6:$G$405&lt;=EOMONTH($AO396,0)))&gt;0)*(((職員マスタ!$H$6:$H$405="")+(職員マスタ!$H$6:$H$405&gt;=$AO396))&gt;0)*(ROW(職員マスタ!$A$6:$A$405)-5)))&gt;0,SUMPRODUCT(MAX((職員マスタ!$A$6:$A$405=$B396)*(((職員マスタ!$G$6:$G$405="")+(職員マスタ!$G$6:$G$405&lt;=EOMONTH($AO396,0)))&gt;0)*(((職員マスタ!$H$6:$H$405="")+(職員マスタ!$H$6:$H$405&gt;=$AO396))&gt;0)*(ROW(職員マスタ!$A$6:$A$405)-5))),IFERROR(MATCH($B396,職員マスタ!$A$6:$A$405,0),"")))</f>
        <v/>
      </c>
      <c r="AO396" s="16">
        <f>IF(OR($B396="",$C396="",$D396=""),"",DATE($C396+2018,$D396,1))</f>
        <v/>
      </c>
    </row>
    <row r="397">
      <c r="A397" s="11" t="n"/>
      <c r="B397" s="12" t="n">
        <v>6802334</v>
      </c>
      <c r="C397" s="12" t="n">
        <v>7</v>
      </c>
      <c r="D397" s="12" t="n">
        <v>12</v>
      </c>
      <c r="E397" s="13" t="n">
        <v>216664</v>
      </c>
      <c r="F397" s="12" t="n"/>
      <c r="G397" s="13" t="n"/>
      <c r="H397" s="12" t="n"/>
      <c r="I397" s="12" t="n"/>
      <c r="J397" s="12" t="n"/>
      <c r="K397" s="12" t="n"/>
      <c r="L397" s="11" t="n"/>
      <c r="M397" s="11" t="n"/>
      <c r="N397" s="11" t="n"/>
      <c r="O397" s="11" t="n"/>
      <c r="P397" s="12" t="n"/>
      <c r="Q397" s="11" t="n"/>
      <c r="R397" s="12" t="n"/>
      <c r="S397" s="11" t="n"/>
      <c r="T397" s="12" t="n"/>
      <c r="U397" s="12" t="n"/>
      <c r="V397" s="14">
        <f>IF($AN397="",IF($B397="","",$H397),IF(INDEX(職員マスタ!$B$6:$B$405,$AN397)="",$H397,INDEX(職員マスタ!$B$6:$B$405,$AN397)))</f>
        <v/>
      </c>
      <c r="W397" s="14">
        <f>IF($AN397="",IF($B397="","",$R397),IF(INDEX(職員マスタ!$C$6:$C$405,$AN397)="",$R397,INDEX(職員マスタ!$C$6:$C$405,$AN397)))</f>
        <v/>
      </c>
      <c r="X397" s="14">
        <f>IF($AO397="","","R"&amp;$C397&amp;"."&amp;$D397)</f>
        <v/>
      </c>
      <c r="Y397" s="15">
        <f>IF($AN397="","",IF(INDEX(職員マスタ!$K$6:$K$405,$AN397)="","",INDEX(職員マスタ!$K$6:$K$405,$AN397)))</f>
        <v/>
      </c>
      <c r="Z397" s="14">
        <f>IF(OR($E397="",$Y397=""),"",IF($E397&gt;=$Y397,"×",IF($E397&gt;=$Y397*設定!$C$5,"△","○")))</f>
        <v/>
      </c>
      <c r="AA397" s="15">
        <f>IF($Z397="","",IF($Z397="×",0,IF($Z397="○",ROUNDDOWN($E397*設定!$C$4,0),ROUNDDOWN($E397*ROUND((9*$Y397-9*$E397)/(10*$E397),4),0))))</f>
        <v/>
      </c>
      <c r="AB397" s="13" t="n"/>
      <c r="AC397" s="15">
        <f>IF($B397="","",IF($AB397&lt;&gt;"",$AB397,IF($AA397="","",IF($AA397&lt;=設定!$C$3,0,$AA397))))</f>
        <v/>
      </c>
      <c r="AD397" s="14">
        <f>IF($B397="","",IF(AND($AE397&lt;&gt;"",$AG397="",$AJ397=""),"保留中",IF($AJ397&lt;&gt;"",IF(N($AC397)&gt;0,"支給済","不支給"),IF($AC397="","要確認",IF($AC397=0,"不支給","未処理")))))</f>
        <v/>
      </c>
      <c r="AE397" s="12" t="n"/>
      <c r="AF397" s="11" t="n"/>
      <c r="AG397" s="11" t="n"/>
      <c r="AH397" s="11" t="n"/>
      <c r="AI397" s="14">
        <f>IF(AND($AD397="保留中",$AF397&lt;&gt;""),TODAY()-$AF397,"")</f>
        <v/>
      </c>
      <c r="AJ397" s="12" t="inlineStr">
        <is>
          <t>R8.2</t>
        </is>
      </c>
      <c r="AK397" s="14">
        <f>IF($B397="","",IF($AO397="","対象年月が未入力／","")&amp;IF($B397="","",IF($AN397="","職員マスタに未登録の職員番号／",IF($Y397="","標準報酬月額が未登録／","")&amp;IF(AND($AO397&lt;&gt;"",OR(AND(INDEX(職員マスタ!$G$6:$G$405,$AN397)&lt;&gt;"",INDEX(職員マスタ!$G$6:$G$405,$AN397)&gt;EOMONTH($AO397,0)),AND(INDEX(職員マスタ!$H$6:$H$405,$AN397)&lt;&gt;"",INDEX(職員マスタ!$H$6:$H$405,$AN397)&lt;$AO397))),"対象月が時短期間外／","")&amp;IF(AND(INDEX(職員マスタ!$F$6:$F$405,$AN397)&lt;&gt;"",$AO397&lt;&gt;"",INDEX(職員マスタ!$F$6:$F$405,$AN397)&lt;$AO397),"対象月に子が2歳到達済／","")&amp;IF(AND($H397&lt;&gt;"",INDEX(職員マスタ!$B$6:$B$405,$AN397)&lt;&gt;"",SUBSTITUTE(SUBSTITUTE($H397," ","")," ","")&lt;&gt;SUBSTITUTE(SUBSTITUTE(INDEX(職員マスタ!$B$6:$B$405,$AN397)," ","")," ","")),"氏名がマスタと相違／","")&amp;IF(AND($Q397&lt;&gt;"",INDEX(職員マスタ!$E$6:$E$405,$AN397)&lt;&gt;"",$Q397&lt;&gt;INDEX(職員マスタ!$E$6:$E$405,$AN397)),"子の生年月日がマスタと相違／","")&amp;IF(AND($L397&lt;&gt;"",INDEX(職員マスタ!$G$6:$G$405,$AN397)&lt;&gt;"",$L397&lt;&gt;INDEX(職員マスタ!$G$6:$G$405,$AN397)),"時短開始日がマスタと相違／","")&amp;IF(AND($M397&lt;&gt;"",INDEX(職員マスタ!$H$6:$H$405,$AN397)&lt;&gt;"",$M397&lt;&gt;INDEX(職員マスタ!$H$6:$H$405,$AN397)),"時短終了日がマスタと相違／","")))&amp;IF(AND($B397&lt;&gt;"",$E397=""),"報酬額が未入力／","")&amp;IF(N($U397)&gt;0,"申請書に入力エラーが残っています／","")&amp;IF(AND($B397&lt;&gt;"",$AO397&lt;&gt;""),IF(COUNTIFS($B$6:$B$3005,$B397,$C$6:$C$3005,$C397,$D$6:$D$3005,$D397)&gt;1,"同じ月の請求が重複しています／",""),"")&amp;IF(AND(N($E397)&gt;0,$Z397&lt;&gt;"",$Z397&lt;&gt;"×",$AC397=0,$AB397=""),"計算額が下限以下のため不支給／",""))</f>
        <v/>
      </c>
      <c r="AL397" s="12" t="n"/>
      <c r="AM397" s="14">
        <f>IF($AD397="保留中",COUNTIF($AD$6:$AD397,"保留中"),"")</f>
        <v/>
      </c>
      <c r="AN397" s="14">
        <f>IF($AO397="","",IF(SUMPRODUCT(MAX((職員マスタ!$A$6:$A$405=$B397)*(((職員マスタ!$G$6:$G$405="")+(職員マスタ!$G$6:$G$405&lt;=EOMONTH($AO397,0)))&gt;0)*(((職員マスタ!$H$6:$H$405="")+(職員マスタ!$H$6:$H$405&gt;=$AO397))&gt;0)*(ROW(職員マスタ!$A$6:$A$405)-5)))&gt;0,SUMPRODUCT(MAX((職員マスタ!$A$6:$A$405=$B397)*(((職員マスタ!$G$6:$G$405="")+(職員マスタ!$G$6:$G$405&lt;=EOMONTH($AO397,0)))&gt;0)*(((職員マスタ!$H$6:$H$405="")+(職員マスタ!$H$6:$H$405&gt;=$AO397))&gt;0)*(ROW(職員マスタ!$A$6:$A$405)-5))),IFERROR(MATCH($B397,職員マスタ!$A$6:$A$405,0),"")))</f>
        <v/>
      </c>
      <c r="AO397" s="16">
        <f>IF(OR($B397="",$C397="",$D397=""),"",DATE($C397+2018,$D397,1))</f>
        <v/>
      </c>
    </row>
    <row r="398">
      <c r="A398" s="11" t="n"/>
      <c r="B398" s="12" t="n">
        <v>6802342</v>
      </c>
      <c r="C398" s="12" t="n">
        <v>7</v>
      </c>
      <c r="D398" s="12" t="n">
        <v>4</v>
      </c>
      <c r="E398" s="13" t="n">
        <v>221937</v>
      </c>
      <c r="F398" s="12" t="n"/>
      <c r="G398" s="13" t="n"/>
      <c r="H398" s="12" t="n"/>
      <c r="I398" s="12" t="n"/>
      <c r="J398" s="12" t="n"/>
      <c r="K398" s="12" t="n"/>
      <c r="L398" s="11" t="n"/>
      <c r="M398" s="11" t="n"/>
      <c r="N398" s="11" t="n"/>
      <c r="O398" s="11" t="n"/>
      <c r="P398" s="12" t="n"/>
      <c r="Q398" s="11" t="n"/>
      <c r="R398" s="12" t="n"/>
      <c r="S398" s="11" t="n"/>
      <c r="T398" s="12" t="n"/>
      <c r="U398" s="12" t="n"/>
      <c r="V398" s="14">
        <f>IF($AN398="",IF($B398="","",$H398),IF(INDEX(職員マスタ!$B$6:$B$405,$AN398)="",$H398,INDEX(職員マスタ!$B$6:$B$405,$AN398)))</f>
        <v/>
      </c>
      <c r="W398" s="14">
        <f>IF($AN398="",IF($B398="","",$R398),IF(INDEX(職員マスタ!$C$6:$C$405,$AN398)="",$R398,INDEX(職員マスタ!$C$6:$C$405,$AN398)))</f>
        <v/>
      </c>
      <c r="X398" s="14">
        <f>IF($AO398="","","R"&amp;$C398&amp;"."&amp;$D398)</f>
        <v/>
      </c>
      <c r="Y398" s="15">
        <f>IF($AN398="","",IF(INDEX(職員マスタ!$K$6:$K$405,$AN398)="","",INDEX(職員マスタ!$K$6:$K$405,$AN398)))</f>
        <v/>
      </c>
      <c r="Z398" s="14">
        <f>IF(OR($E398="",$Y398=""),"",IF($E398&gt;=$Y398,"×",IF($E398&gt;=$Y398*設定!$C$5,"△","○")))</f>
        <v/>
      </c>
      <c r="AA398" s="15">
        <f>IF($Z398="","",IF($Z398="×",0,IF($Z398="○",ROUNDDOWN($E398*設定!$C$4,0),ROUNDDOWN($E398*ROUND((9*$Y398-9*$E398)/(10*$E398),4),0))))</f>
        <v/>
      </c>
      <c r="AB398" s="13" t="n"/>
      <c r="AC398" s="15">
        <f>IF($B398="","",IF($AB398&lt;&gt;"",$AB398,IF($AA398="","",IF($AA398&lt;=設定!$C$3,0,$AA398))))</f>
        <v/>
      </c>
      <c r="AD398" s="14">
        <f>IF($B398="","",IF(AND($AE398&lt;&gt;"",$AG398="",$AJ398=""),"保留中",IF($AJ398&lt;&gt;"",IF(N($AC398)&gt;0,"支給済","不支給"),IF($AC398="","要確認",IF($AC398=0,"不支給","未処理")))))</f>
        <v/>
      </c>
      <c r="AE398" s="12" t="n"/>
      <c r="AF398" s="11" t="n"/>
      <c r="AG398" s="11" t="n"/>
      <c r="AH398" s="11" t="n"/>
      <c r="AI398" s="14">
        <f>IF(AND($AD398="保留中",$AF398&lt;&gt;""),TODAY()-$AF398,"")</f>
        <v/>
      </c>
      <c r="AJ398" s="12" t="inlineStr">
        <is>
          <t>R7.8</t>
        </is>
      </c>
      <c r="AK398" s="14">
        <f>IF($B398="","",IF($AO398="","対象年月が未入力／","")&amp;IF($B398="","",IF($AN398="","職員マスタに未登録の職員番号／",IF($Y398="","標準報酬月額が未登録／","")&amp;IF(AND($AO398&lt;&gt;"",OR(AND(INDEX(職員マスタ!$G$6:$G$405,$AN398)&lt;&gt;"",INDEX(職員マスタ!$G$6:$G$405,$AN398)&gt;EOMONTH($AO398,0)),AND(INDEX(職員マスタ!$H$6:$H$405,$AN398)&lt;&gt;"",INDEX(職員マスタ!$H$6:$H$405,$AN398)&lt;$AO398))),"対象月が時短期間外／","")&amp;IF(AND(INDEX(職員マスタ!$F$6:$F$405,$AN398)&lt;&gt;"",$AO398&lt;&gt;"",INDEX(職員マスタ!$F$6:$F$405,$AN398)&lt;$AO398),"対象月に子が2歳到達済／","")&amp;IF(AND($H398&lt;&gt;"",INDEX(職員マスタ!$B$6:$B$405,$AN398)&lt;&gt;"",SUBSTITUTE(SUBSTITUTE($H398," ","")," ","")&lt;&gt;SUBSTITUTE(SUBSTITUTE(INDEX(職員マスタ!$B$6:$B$405,$AN398)," ","")," ","")),"氏名がマスタと相違／","")&amp;IF(AND($Q398&lt;&gt;"",INDEX(職員マスタ!$E$6:$E$405,$AN398)&lt;&gt;"",$Q398&lt;&gt;INDEX(職員マスタ!$E$6:$E$405,$AN398)),"子の生年月日がマスタと相違／","")&amp;IF(AND($L398&lt;&gt;"",INDEX(職員マスタ!$G$6:$G$405,$AN398)&lt;&gt;"",$L398&lt;&gt;INDEX(職員マスタ!$G$6:$G$405,$AN398)),"時短開始日がマスタと相違／","")&amp;IF(AND($M398&lt;&gt;"",INDEX(職員マスタ!$H$6:$H$405,$AN398)&lt;&gt;"",$M398&lt;&gt;INDEX(職員マスタ!$H$6:$H$405,$AN398)),"時短終了日がマスタと相違／","")))&amp;IF(AND($B398&lt;&gt;"",$E398=""),"報酬額が未入力／","")&amp;IF(N($U398)&gt;0,"申請書に入力エラーが残っています／","")&amp;IF(AND($B398&lt;&gt;"",$AO398&lt;&gt;""),IF(COUNTIFS($B$6:$B$3005,$B398,$C$6:$C$3005,$C398,$D$6:$D$3005,$D398)&gt;1,"同じ月の請求が重複しています／",""),"")&amp;IF(AND(N($E398)&gt;0,$Z398&lt;&gt;"",$Z398&lt;&gt;"×",$AC398=0,$AB398=""),"計算額が下限以下のため不支給／",""))</f>
        <v/>
      </c>
      <c r="AL398" s="12" t="n"/>
      <c r="AM398" s="14">
        <f>IF($AD398="保留中",COUNTIF($AD$6:$AD398,"保留中"),"")</f>
        <v/>
      </c>
      <c r="AN398" s="14">
        <f>IF($AO398="","",IF(SUMPRODUCT(MAX((職員マスタ!$A$6:$A$405=$B398)*(((職員マスタ!$G$6:$G$405="")+(職員マスタ!$G$6:$G$405&lt;=EOMONTH($AO398,0)))&gt;0)*(((職員マスタ!$H$6:$H$405="")+(職員マスタ!$H$6:$H$405&gt;=$AO398))&gt;0)*(ROW(職員マスタ!$A$6:$A$405)-5)))&gt;0,SUMPRODUCT(MAX((職員マスタ!$A$6:$A$405=$B398)*(((職員マスタ!$G$6:$G$405="")+(職員マスタ!$G$6:$G$405&lt;=EOMONTH($AO398,0)))&gt;0)*(((職員マスタ!$H$6:$H$405="")+(職員マスタ!$H$6:$H$405&gt;=$AO398))&gt;0)*(ROW(職員マスタ!$A$6:$A$405)-5))),IFERROR(MATCH($B398,職員マスタ!$A$6:$A$405,0),"")))</f>
        <v/>
      </c>
      <c r="AO398" s="16">
        <f>IF(OR($B398="",$C398="",$D398=""),"",DATE($C398+2018,$D398,1))</f>
        <v/>
      </c>
    </row>
    <row r="399">
      <c r="A399" s="11" t="n"/>
      <c r="B399" s="12" t="n">
        <v>6802342</v>
      </c>
      <c r="C399" s="12" t="n">
        <v>7</v>
      </c>
      <c r="D399" s="12" t="n">
        <v>5</v>
      </c>
      <c r="E399" s="13" t="n">
        <v>223820</v>
      </c>
      <c r="F399" s="12" t="n"/>
      <c r="G399" s="13" t="n"/>
      <c r="H399" s="12" t="n"/>
      <c r="I399" s="12" t="n"/>
      <c r="J399" s="12" t="n"/>
      <c r="K399" s="12" t="n"/>
      <c r="L399" s="11" t="n"/>
      <c r="M399" s="11" t="n"/>
      <c r="N399" s="11" t="n"/>
      <c r="O399" s="11" t="n"/>
      <c r="P399" s="12" t="n"/>
      <c r="Q399" s="11" t="n"/>
      <c r="R399" s="12" t="n"/>
      <c r="S399" s="11" t="n"/>
      <c r="T399" s="12" t="n"/>
      <c r="U399" s="12" t="n"/>
      <c r="V399" s="14">
        <f>IF($AN399="",IF($B399="","",$H399),IF(INDEX(職員マスタ!$B$6:$B$405,$AN399)="",$H399,INDEX(職員マスタ!$B$6:$B$405,$AN399)))</f>
        <v/>
      </c>
      <c r="W399" s="14">
        <f>IF($AN399="",IF($B399="","",$R399),IF(INDEX(職員マスタ!$C$6:$C$405,$AN399)="",$R399,INDEX(職員マスタ!$C$6:$C$405,$AN399)))</f>
        <v/>
      </c>
      <c r="X399" s="14">
        <f>IF($AO399="","","R"&amp;$C399&amp;"."&amp;$D399)</f>
        <v/>
      </c>
      <c r="Y399" s="15">
        <f>IF($AN399="","",IF(INDEX(職員マスタ!$K$6:$K$405,$AN399)="","",INDEX(職員マスタ!$K$6:$K$405,$AN399)))</f>
        <v/>
      </c>
      <c r="Z399" s="14">
        <f>IF(OR($E399="",$Y399=""),"",IF($E399&gt;=$Y399,"×",IF($E399&gt;=$Y399*設定!$C$5,"△","○")))</f>
        <v/>
      </c>
      <c r="AA399" s="15">
        <f>IF($Z399="","",IF($Z399="×",0,IF($Z399="○",ROUNDDOWN($E399*設定!$C$4,0),ROUNDDOWN($E399*ROUND((9*$Y399-9*$E399)/(10*$E399),4),0))))</f>
        <v/>
      </c>
      <c r="AB399" s="13" t="n"/>
      <c r="AC399" s="15">
        <f>IF($B399="","",IF($AB399&lt;&gt;"",$AB399,IF($AA399="","",IF($AA399&lt;=設定!$C$3,0,$AA399))))</f>
        <v/>
      </c>
      <c r="AD399" s="14">
        <f>IF($B399="","",IF(AND($AE399&lt;&gt;"",$AG399="",$AJ399=""),"保留中",IF($AJ399&lt;&gt;"",IF(N($AC399)&gt;0,"支給済","不支給"),IF($AC399="","要確認",IF($AC399=0,"不支給","未処理")))))</f>
        <v/>
      </c>
      <c r="AE399" s="12" t="n"/>
      <c r="AF399" s="11" t="n"/>
      <c r="AG399" s="11" t="n"/>
      <c r="AH399" s="11" t="n"/>
      <c r="AI399" s="14">
        <f>IF(AND($AD399="保留中",$AF399&lt;&gt;""),TODAY()-$AF399,"")</f>
        <v/>
      </c>
      <c r="AJ399" s="12" t="inlineStr">
        <is>
          <t>R7.8</t>
        </is>
      </c>
      <c r="AK399" s="14">
        <f>IF($B399="","",IF($AO399="","対象年月が未入力／","")&amp;IF($B399="","",IF($AN399="","職員マスタに未登録の職員番号／",IF($Y399="","標準報酬月額が未登録／","")&amp;IF(AND($AO399&lt;&gt;"",OR(AND(INDEX(職員マスタ!$G$6:$G$405,$AN399)&lt;&gt;"",INDEX(職員マスタ!$G$6:$G$405,$AN399)&gt;EOMONTH($AO399,0)),AND(INDEX(職員マスタ!$H$6:$H$405,$AN399)&lt;&gt;"",INDEX(職員マスタ!$H$6:$H$405,$AN399)&lt;$AO399))),"対象月が時短期間外／","")&amp;IF(AND(INDEX(職員マスタ!$F$6:$F$405,$AN399)&lt;&gt;"",$AO399&lt;&gt;"",INDEX(職員マスタ!$F$6:$F$405,$AN399)&lt;$AO399),"対象月に子が2歳到達済／","")&amp;IF(AND($H399&lt;&gt;"",INDEX(職員マスタ!$B$6:$B$405,$AN399)&lt;&gt;"",SUBSTITUTE(SUBSTITUTE($H399," ","")," ","")&lt;&gt;SUBSTITUTE(SUBSTITUTE(INDEX(職員マスタ!$B$6:$B$405,$AN399)," ","")," ","")),"氏名がマスタと相違／","")&amp;IF(AND($Q399&lt;&gt;"",INDEX(職員マスタ!$E$6:$E$405,$AN399)&lt;&gt;"",$Q399&lt;&gt;INDEX(職員マスタ!$E$6:$E$405,$AN399)),"子の生年月日がマスタと相違／","")&amp;IF(AND($L399&lt;&gt;"",INDEX(職員マスタ!$G$6:$G$405,$AN399)&lt;&gt;"",$L399&lt;&gt;INDEX(職員マスタ!$G$6:$G$405,$AN399)),"時短開始日がマスタと相違／","")&amp;IF(AND($M399&lt;&gt;"",INDEX(職員マスタ!$H$6:$H$405,$AN399)&lt;&gt;"",$M399&lt;&gt;INDEX(職員マスタ!$H$6:$H$405,$AN399)),"時短終了日がマスタと相違／","")))&amp;IF(AND($B399&lt;&gt;"",$E399=""),"報酬額が未入力／","")&amp;IF(N($U399)&gt;0,"申請書に入力エラーが残っています／","")&amp;IF(AND($B399&lt;&gt;"",$AO399&lt;&gt;""),IF(COUNTIFS($B$6:$B$3005,$B399,$C$6:$C$3005,$C399,$D$6:$D$3005,$D399)&gt;1,"同じ月の請求が重複しています／",""),"")&amp;IF(AND(N($E399)&gt;0,$Z399&lt;&gt;"",$Z399&lt;&gt;"×",$AC399=0,$AB399=""),"計算額が下限以下のため不支給／",""))</f>
        <v/>
      </c>
      <c r="AL399" s="12" t="n"/>
      <c r="AM399" s="14">
        <f>IF($AD399="保留中",COUNTIF($AD$6:$AD399,"保留中"),"")</f>
        <v/>
      </c>
      <c r="AN399" s="14">
        <f>IF($AO399="","",IF(SUMPRODUCT(MAX((職員マスタ!$A$6:$A$405=$B399)*(((職員マスタ!$G$6:$G$405="")+(職員マスタ!$G$6:$G$405&lt;=EOMONTH($AO399,0)))&gt;0)*(((職員マスタ!$H$6:$H$405="")+(職員マスタ!$H$6:$H$405&gt;=$AO399))&gt;0)*(ROW(職員マスタ!$A$6:$A$405)-5)))&gt;0,SUMPRODUCT(MAX((職員マスタ!$A$6:$A$405=$B399)*(((職員マスタ!$G$6:$G$405="")+(職員マスタ!$G$6:$G$405&lt;=EOMONTH($AO399,0)))&gt;0)*(((職員マスタ!$H$6:$H$405="")+(職員マスタ!$H$6:$H$405&gt;=$AO399))&gt;0)*(ROW(職員マスタ!$A$6:$A$405)-5))),IFERROR(MATCH($B399,職員マスタ!$A$6:$A$405,0),"")))</f>
        <v/>
      </c>
      <c r="AO399" s="16">
        <f>IF(OR($B399="",$C399="",$D399=""),"",DATE($C399+2018,$D399,1))</f>
        <v/>
      </c>
    </row>
    <row r="400">
      <c r="A400" s="11" t="n"/>
      <c r="B400" s="12" t="n">
        <v>6900146</v>
      </c>
      <c r="C400" s="12" t="n">
        <v>7</v>
      </c>
      <c r="D400" s="12" t="n">
        <v>5</v>
      </c>
      <c r="E400" s="13" t="n">
        <v>129759</v>
      </c>
      <c r="F400" s="12" t="n"/>
      <c r="G400" s="13" t="n"/>
      <c r="H400" s="12" t="n"/>
      <c r="I400" s="12" t="n"/>
      <c r="J400" s="12" t="n"/>
      <c r="K400" s="12" t="n"/>
      <c r="L400" s="11" t="n"/>
      <c r="M400" s="11" t="n"/>
      <c r="N400" s="11" t="n"/>
      <c r="O400" s="11" t="n"/>
      <c r="P400" s="12" t="n"/>
      <c r="Q400" s="11" t="n"/>
      <c r="R400" s="12" t="n"/>
      <c r="S400" s="11" t="n"/>
      <c r="T400" s="12" t="n"/>
      <c r="U400" s="12" t="n"/>
      <c r="V400" s="14">
        <f>IF($AN400="",IF($B400="","",$H400),IF(INDEX(職員マスタ!$B$6:$B$405,$AN400)="",$H400,INDEX(職員マスタ!$B$6:$B$405,$AN400)))</f>
        <v/>
      </c>
      <c r="W400" s="14">
        <f>IF($AN400="",IF($B400="","",$R400),IF(INDEX(職員マスタ!$C$6:$C$405,$AN400)="",$R400,INDEX(職員マスタ!$C$6:$C$405,$AN400)))</f>
        <v/>
      </c>
      <c r="X400" s="14">
        <f>IF($AO400="","","R"&amp;$C400&amp;"."&amp;$D400)</f>
        <v/>
      </c>
      <c r="Y400" s="15">
        <f>IF($AN400="","",IF(INDEX(職員マスタ!$K$6:$K$405,$AN400)="","",INDEX(職員マスタ!$K$6:$K$405,$AN400)))</f>
        <v/>
      </c>
      <c r="Z400" s="14">
        <f>IF(OR($E400="",$Y400=""),"",IF($E400&gt;=$Y400,"×",IF($E400&gt;=$Y400*設定!$C$5,"△","○")))</f>
        <v/>
      </c>
      <c r="AA400" s="15">
        <f>IF($Z400="","",IF($Z400="×",0,IF($Z400="○",ROUNDDOWN($E400*設定!$C$4,0),ROUNDDOWN($E400*ROUND((9*$Y400-9*$E400)/(10*$E400),4),0))))</f>
        <v/>
      </c>
      <c r="AB400" s="13" t="n"/>
      <c r="AC400" s="15">
        <f>IF($B400="","",IF($AB400&lt;&gt;"",$AB400,IF($AA400="","",IF($AA400&lt;=設定!$C$3,0,$AA400))))</f>
        <v/>
      </c>
      <c r="AD400" s="14">
        <f>IF($B400="","",IF(AND($AE400&lt;&gt;"",$AG400="",$AJ400=""),"保留中",IF($AJ400&lt;&gt;"",IF(N($AC400)&gt;0,"支給済","不支給"),IF($AC400="","要確認",IF($AC400=0,"不支給","未処理")))))</f>
        <v/>
      </c>
      <c r="AE400" s="12" t="n"/>
      <c r="AF400" s="11" t="n"/>
      <c r="AG400" s="11" t="n"/>
      <c r="AH400" s="11" t="n"/>
      <c r="AI400" s="14">
        <f>IF(AND($AD400="保留中",$AF400&lt;&gt;""),TODAY()-$AF400,"")</f>
        <v/>
      </c>
      <c r="AJ400" s="12" t="inlineStr">
        <is>
          <t>R7.8</t>
        </is>
      </c>
      <c r="AK400" s="14">
        <f>IF($B400="","",IF($AO400="","対象年月が未入力／","")&amp;IF($B400="","",IF($AN400="","職員マスタに未登録の職員番号／",IF($Y400="","標準報酬月額が未登録／","")&amp;IF(AND($AO400&lt;&gt;"",OR(AND(INDEX(職員マスタ!$G$6:$G$405,$AN400)&lt;&gt;"",INDEX(職員マスタ!$G$6:$G$405,$AN400)&gt;EOMONTH($AO400,0)),AND(INDEX(職員マスタ!$H$6:$H$405,$AN400)&lt;&gt;"",INDEX(職員マスタ!$H$6:$H$405,$AN400)&lt;$AO400))),"対象月が時短期間外／","")&amp;IF(AND(INDEX(職員マスタ!$F$6:$F$405,$AN400)&lt;&gt;"",$AO400&lt;&gt;"",INDEX(職員マスタ!$F$6:$F$405,$AN400)&lt;$AO400),"対象月に子が2歳到達済／","")&amp;IF(AND($H400&lt;&gt;"",INDEX(職員マスタ!$B$6:$B$405,$AN400)&lt;&gt;"",SUBSTITUTE(SUBSTITUTE($H400," ","")," ","")&lt;&gt;SUBSTITUTE(SUBSTITUTE(INDEX(職員マスタ!$B$6:$B$405,$AN400)," ","")," ","")),"氏名がマスタと相違／","")&amp;IF(AND($Q400&lt;&gt;"",INDEX(職員マスタ!$E$6:$E$405,$AN400)&lt;&gt;"",$Q400&lt;&gt;INDEX(職員マスタ!$E$6:$E$405,$AN400)),"子の生年月日がマスタと相違／","")&amp;IF(AND($L400&lt;&gt;"",INDEX(職員マスタ!$G$6:$G$405,$AN400)&lt;&gt;"",$L400&lt;&gt;INDEX(職員マスタ!$G$6:$G$405,$AN400)),"時短開始日がマスタと相違／","")&amp;IF(AND($M400&lt;&gt;"",INDEX(職員マスタ!$H$6:$H$405,$AN400)&lt;&gt;"",$M400&lt;&gt;INDEX(職員マスタ!$H$6:$H$405,$AN400)),"時短終了日がマスタと相違／","")))&amp;IF(AND($B400&lt;&gt;"",$E400=""),"報酬額が未入力／","")&amp;IF(N($U400)&gt;0,"申請書に入力エラーが残っています／","")&amp;IF(AND($B400&lt;&gt;"",$AO400&lt;&gt;""),IF(COUNTIFS($B$6:$B$3005,$B400,$C$6:$C$3005,$C400,$D$6:$D$3005,$D400)&gt;1,"同じ月の請求が重複しています／",""),"")&amp;IF(AND(N($E400)&gt;0,$Z400&lt;&gt;"",$Z400&lt;&gt;"×",$AC400=0,$AB400=""),"計算額が下限以下のため不支給／",""))</f>
        <v/>
      </c>
      <c r="AL400" s="12" t="n"/>
      <c r="AM400" s="14">
        <f>IF($AD400="保留中",COUNTIF($AD$6:$AD400,"保留中"),"")</f>
        <v/>
      </c>
      <c r="AN400" s="14">
        <f>IF($AO400="","",IF(SUMPRODUCT(MAX((職員マスタ!$A$6:$A$405=$B400)*(((職員マスタ!$G$6:$G$405="")+(職員マスタ!$G$6:$G$405&lt;=EOMONTH($AO400,0)))&gt;0)*(((職員マスタ!$H$6:$H$405="")+(職員マスタ!$H$6:$H$405&gt;=$AO400))&gt;0)*(ROW(職員マスタ!$A$6:$A$405)-5)))&gt;0,SUMPRODUCT(MAX((職員マスタ!$A$6:$A$405=$B400)*(((職員マスタ!$G$6:$G$405="")+(職員マスタ!$G$6:$G$405&lt;=EOMONTH($AO400,0)))&gt;0)*(((職員マスタ!$H$6:$H$405="")+(職員マスタ!$H$6:$H$405&gt;=$AO400))&gt;0)*(ROW(職員マスタ!$A$6:$A$405)-5))),IFERROR(MATCH($B400,職員マスタ!$A$6:$A$405,0),"")))</f>
        <v/>
      </c>
      <c r="AO400" s="16">
        <f>IF(OR($B400="",$C400="",$D400=""),"",DATE($C400+2018,$D400,1))</f>
        <v/>
      </c>
    </row>
    <row r="401">
      <c r="A401" s="11" t="n"/>
      <c r="B401" s="12" t="n">
        <v>6900146</v>
      </c>
      <c r="C401" s="12" t="n">
        <v>7</v>
      </c>
      <c r="D401" s="12" t="n">
        <v>6</v>
      </c>
      <c r="E401" s="13" t="n">
        <v>273412</v>
      </c>
      <c r="F401" s="12" t="n"/>
      <c r="G401" s="13" t="n"/>
      <c r="H401" s="12" t="n"/>
      <c r="I401" s="12" t="n"/>
      <c r="J401" s="12" t="n"/>
      <c r="K401" s="12" t="n"/>
      <c r="L401" s="11" t="n"/>
      <c r="M401" s="11" t="n"/>
      <c r="N401" s="11" t="n"/>
      <c r="O401" s="11" t="n"/>
      <c r="P401" s="12" t="n"/>
      <c r="Q401" s="11" t="n"/>
      <c r="R401" s="12" t="n"/>
      <c r="S401" s="11" t="n"/>
      <c r="T401" s="12" t="n"/>
      <c r="U401" s="12" t="n"/>
      <c r="V401" s="14">
        <f>IF($AN401="",IF($B401="","",$H401),IF(INDEX(職員マスタ!$B$6:$B$405,$AN401)="",$H401,INDEX(職員マスタ!$B$6:$B$405,$AN401)))</f>
        <v/>
      </c>
      <c r="W401" s="14">
        <f>IF($AN401="",IF($B401="","",$R401),IF(INDEX(職員マスタ!$C$6:$C$405,$AN401)="",$R401,INDEX(職員マスタ!$C$6:$C$405,$AN401)))</f>
        <v/>
      </c>
      <c r="X401" s="14">
        <f>IF($AO401="","","R"&amp;$C401&amp;"."&amp;$D401)</f>
        <v/>
      </c>
      <c r="Y401" s="15">
        <f>IF($AN401="","",IF(INDEX(職員マスタ!$K$6:$K$405,$AN401)="","",INDEX(職員マスタ!$K$6:$K$405,$AN401)))</f>
        <v/>
      </c>
      <c r="Z401" s="14">
        <f>IF(OR($E401="",$Y401=""),"",IF($E401&gt;=$Y401,"×",IF($E401&gt;=$Y401*設定!$C$5,"△","○")))</f>
        <v/>
      </c>
      <c r="AA401" s="15">
        <f>IF($Z401="","",IF($Z401="×",0,IF($Z401="○",ROUNDDOWN($E401*設定!$C$4,0),ROUNDDOWN($E401*ROUND((9*$Y401-9*$E401)/(10*$E401),4),0))))</f>
        <v/>
      </c>
      <c r="AB401" s="13" t="n"/>
      <c r="AC401" s="15">
        <f>IF($B401="","",IF($AB401&lt;&gt;"",$AB401,IF($AA401="","",IF($AA401&lt;=設定!$C$3,0,$AA401))))</f>
        <v/>
      </c>
      <c r="AD401" s="14">
        <f>IF($B401="","",IF(AND($AE401&lt;&gt;"",$AG401="",$AJ401=""),"保留中",IF($AJ401&lt;&gt;"",IF(N($AC401)&gt;0,"支給済","不支給"),IF($AC401="","要確認",IF($AC401=0,"不支給","未処理")))))</f>
        <v/>
      </c>
      <c r="AE401" s="12" t="n"/>
      <c r="AF401" s="11" t="n"/>
      <c r="AG401" s="11" t="n"/>
      <c r="AH401" s="11" t="n"/>
      <c r="AI401" s="14">
        <f>IF(AND($AD401="保留中",$AF401&lt;&gt;""),TODAY()-$AF401,"")</f>
        <v/>
      </c>
      <c r="AJ401" s="12" t="inlineStr">
        <is>
          <t>R7.8</t>
        </is>
      </c>
      <c r="AK401" s="14">
        <f>IF($B401="","",IF($AO401="","対象年月が未入力／","")&amp;IF($B401="","",IF($AN401="","職員マスタに未登録の職員番号／",IF($Y401="","標準報酬月額が未登録／","")&amp;IF(AND($AO401&lt;&gt;"",OR(AND(INDEX(職員マスタ!$G$6:$G$405,$AN401)&lt;&gt;"",INDEX(職員マスタ!$G$6:$G$405,$AN401)&gt;EOMONTH($AO401,0)),AND(INDEX(職員マスタ!$H$6:$H$405,$AN401)&lt;&gt;"",INDEX(職員マスタ!$H$6:$H$405,$AN401)&lt;$AO401))),"対象月が時短期間外／","")&amp;IF(AND(INDEX(職員マスタ!$F$6:$F$405,$AN401)&lt;&gt;"",$AO401&lt;&gt;"",INDEX(職員マスタ!$F$6:$F$405,$AN401)&lt;$AO401),"対象月に子が2歳到達済／","")&amp;IF(AND($H401&lt;&gt;"",INDEX(職員マスタ!$B$6:$B$405,$AN401)&lt;&gt;"",SUBSTITUTE(SUBSTITUTE($H401," ","")," ","")&lt;&gt;SUBSTITUTE(SUBSTITUTE(INDEX(職員マスタ!$B$6:$B$405,$AN401)," ","")," ","")),"氏名がマスタと相違／","")&amp;IF(AND($Q401&lt;&gt;"",INDEX(職員マスタ!$E$6:$E$405,$AN401)&lt;&gt;"",$Q401&lt;&gt;INDEX(職員マスタ!$E$6:$E$405,$AN401)),"子の生年月日がマスタと相違／","")&amp;IF(AND($L401&lt;&gt;"",INDEX(職員マスタ!$G$6:$G$405,$AN401)&lt;&gt;"",$L401&lt;&gt;INDEX(職員マスタ!$G$6:$G$405,$AN401)),"時短開始日がマスタと相違／","")&amp;IF(AND($M401&lt;&gt;"",INDEX(職員マスタ!$H$6:$H$405,$AN401)&lt;&gt;"",$M401&lt;&gt;INDEX(職員マスタ!$H$6:$H$405,$AN401)),"時短終了日がマスタと相違／","")))&amp;IF(AND($B401&lt;&gt;"",$E401=""),"報酬額が未入力／","")&amp;IF(N($U401)&gt;0,"申請書に入力エラーが残っています／","")&amp;IF(AND($B401&lt;&gt;"",$AO401&lt;&gt;""),IF(COUNTIFS($B$6:$B$3005,$B401,$C$6:$C$3005,$C401,$D$6:$D$3005,$D401)&gt;1,"同じ月の請求が重複しています／",""),"")&amp;IF(AND(N($E401)&gt;0,$Z401&lt;&gt;"",$Z401&lt;&gt;"×",$AC401=0,$AB401=""),"計算額が下限以下のため不支給／",""))</f>
        <v/>
      </c>
      <c r="AL401" s="12" t="n"/>
      <c r="AM401" s="14">
        <f>IF($AD401="保留中",COUNTIF($AD$6:$AD401,"保留中"),"")</f>
        <v/>
      </c>
      <c r="AN401" s="14">
        <f>IF($AO401="","",IF(SUMPRODUCT(MAX((職員マスタ!$A$6:$A$405=$B401)*(((職員マスタ!$G$6:$G$405="")+(職員マスタ!$G$6:$G$405&lt;=EOMONTH($AO401,0)))&gt;0)*(((職員マスタ!$H$6:$H$405="")+(職員マスタ!$H$6:$H$405&gt;=$AO401))&gt;0)*(ROW(職員マスタ!$A$6:$A$405)-5)))&gt;0,SUMPRODUCT(MAX((職員マスタ!$A$6:$A$405=$B401)*(((職員マスタ!$G$6:$G$405="")+(職員マスタ!$G$6:$G$405&lt;=EOMONTH($AO401,0)))&gt;0)*(((職員マスタ!$H$6:$H$405="")+(職員マスタ!$H$6:$H$405&gt;=$AO401))&gt;0)*(ROW(職員マスタ!$A$6:$A$405)-5))),IFERROR(MATCH($B401,職員マスタ!$A$6:$A$405,0),"")))</f>
        <v/>
      </c>
      <c r="AO401" s="16">
        <f>IF(OR($B401="",$C401="",$D401=""),"",DATE($C401+2018,$D401,1))</f>
        <v/>
      </c>
    </row>
    <row r="402">
      <c r="A402" s="11" t="n"/>
      <c r="B402" s="12" t="n">
        <v>6900146</v>
      </c>
      <c r="C402" s="12" t="n">
        <v>7</v>
      </c>
      <c r="D402" s="12" t="n">
        <v>7</v>
      </c>
      <c r="E402" s="13" t="n">
        <v>251810</v>
      </c>
      <c r="F402" s="12" t="n"/>
      <c r="G402" s="13" t="n"/>
      <c r="H402" s="12" t="n"/>
      <c r="I402" s="12" t="n"/>
      <c r="J402" s="12" t="n"/>
      <c r="K402" s="12" t="n"/>
      <c r="L402" s="11" t="n"/>
      <c r="M402" s="11" t="n"/>
      <c r="N402" s="11" t="n"/>
      <c r="O402" s="11" t="n"/>
      <c r="P402" s="12" t="n"/>
      <c r="Q402" s="11" t="n"/>
      <c r="R402" s="12" t="n"/>
      <c r="S402" s="11" t="n"/>
      <c r="T402" s="12" t="n"/>
      <c r="U402" s="12" t="n"/>
      <c r="V402" s="14">
        <f>IF($AN402="",IF($B402="","",$H402),IF(INDEX(職員マスタ!$B$6:$B$405,$AN402)="",$H402,INDEX(職員マスタ!$B$6:$B$405,$AN402)))</f>
        <v/>
      </c>
      <c r="W402" s="14">
        <f>IF($AN402="",IF($B402="","",$R402),IF(INDEX(職員マスタ!$C$6:$C$405,$AN402)="",$R402,INDEX(職員マスタ!$C$6:$C$405,$AN402)))</f>
        <v/>
      </c>
      <c r="X402" s="14">
        <f>IF($AO402="","","R"&amp;$C402&amp;"."&amp;$D402)</f>
        <v/>
      </c>
      <c r="Y402" s="15">
        <f>IF($AN402="","",IF(INDEX(職員マスタ!$K$6:$K$405,$AN402)="","",INDEX(職員マスタ!$K$6:$K$405,$AN402)))</f>
        <v/>
      </c>
      <c r="Z402" s="14">
        <f>IF(OR($E402="",$Y402=""),"",IF($E402&gt;=$Y402,"×",IF($E402&gt;=$Y402*設定!$C$5,"△","○")))</f>
        <v/>
      </c>
      <c r="AA402" s="15">
        <f>IF($Z402="","",IF($Z402="×",0,IF($Z402="○",ROUNDDOWN($E402*設定!$C$4,0),ROUNDDOWN($E402*ROUND((9*$Y402-9*$E402)/(10*$E402),4),0))))</f>
        <v/>
      </c>
      <c r="AB402" s="13" t="n"/>
      <c r="AC402" s="15">
        <f>IF($B402="","",IF($AB402&lt;&gt;"",$AB402,IF($AA402="","",IF($AA402&lt;=設定!$C$3,0,$AA402))))</f>
        <v/>
      </c>
      <c r="AD402" s="14">
        <f>IF($B402="","",IF(AND($AE402&lt;&gt;"",$AG402="",$AJ402=""),"保留中",IF($AJ402&lt;&gt;"",IF(N($AC402)&gt;0,"支給済","不支給"),IF($AC402="","要確認",IF($AC402=0,"不支給","未処理")))))</f>
        <v/>
      </c>
      <c r="AE402" s="12" t="n"/>
      <c r="AF402" s="11" t="n"/>
      <c r="AG402" s="11" t="n"/>
      <c r="AH402" s="11" t="n"/>
      <c r="AI402" s="14">
        <f>IF(AND($AD402="保留中",$AF402&lt;&gt;""),TODAY()-$AF402,"")</f>
        <v/>
      </c>
      <c r="AJ402" s="12" t="inlineStr">
        <is>
          <t>R7.9</t>
        </is>
      </c>
      <c r="AK402" s="14">
        <f>IF($B402="","",IF($AO402="","対象年月が未入力／","")&amp;IF($B402="","",IF($AN402="","職員マスタに未登録の職員番号／",IF($Y402="","標準報酬月額が未登録／","")&amp;IF(AND($AO402&lt;&gt;"",OR(AND(INDEX(職員マスタ!$G$6:$G$405,$AN402)&lt;&gt;"",INDEX(職員マスタ!$G$6:$G$405,$AN402)&gt;EOMONTH($AO402,0)),AND(INDEX(職員マスタ!$H$6:$H$405,$AN402)&lt;&gt;"",INDEX(職員マスタ!$H$6:$H$405,$AN402)&lt;$AO402))),"対象月が時短期間外／","")&amp;IF(AND(INDEX(職員マスタ!$F$6:$F$405,$AN402)&lt;&gt;"",$AO402&lt;&gt;"",INDEX(職員マスタ!$F$6:$F$405,$AN402)&lt;$AO402),"対象月に子が2歳到達済／","")&amp;IF(AND($H402&lt;&gt;"",INDEX(職員マスタ!$B$6:$B$405,$AN402)&lt;&gt;"",SUBSTITUTE(SUBSTITUTE($H402," ","")," ","")&lt;&gt;SUBSTITUTE(SUBSTITUTE(INDEX(職員マスタ!$B$6:$B$405,$AN402)," ","")," ","")),"氏名がマスタと相違／","")&amp;IF(AND($Q402&lt;&gt;"",INDEX(職員マスタ!$E$6:$E$405,$AN402)&lt;&gt;"",$Q402&lt;&gt;INDEX(職員マスタ!$E$6:$E$405,$AN402)),"子の生年月日がマスタと相違／","")&amp;IF(AND($L402&lt;&gt;"",INDEX(職員マスタ!$G$6:$G$405,$AN402)&lt;&gt;"",$L402&lt;&gt;INDEX(職員マスタ!$G$6:$G$405,$AN402)),"時短開始日がマスタと相違／","")&amp;IF(AND($M402&lt;&gt;"",INDEX(職員マスタ!$H$6:$H$405,$AN402)&lt;&gt;"",$M402&lt;&gt;INDEX(職員マスタ!$H$6:$H$405,$AN402)),"時短終了日がマスタと相違／","")))&amp;IF(AND($B402&lt;&gt;"",$E402=""),"報酬額が未入力／","")&amp;IF(N($U402)&gt;0,"申請書に入力エラーが残っています／","")&amp;IF(AND($B402&lt;&gt;"",$AO402&lt;&gt;""),IF(COUNTIFS($B$6:$B$3005,$B402,$C$6:$C$3005,$C402,$D$6:$D$3005,$D402)&gt;1,"同じ月の請求が重複しています／",""),"")&amp;IF(AND(N($E402)&gt;0,$Z402&lt;&gt;"",$Z402&lt;&gt;"×",$AC402=0,$AB402=""),"計算額が下限以下のため不支給／",""))</f>
        <v/>
      </c>
      <c r="AL402" s="12" t="n"/>
      <c r="AM402" s="14">
        <f>IF($AD402="保留中",COUNTIF($AD$6:$AD402,"保留中"),"")</f>
        <v/>
      </c>
      <c r="AN402" s="14">
        <f>IF($AO402="","",IF(SUMPRODUCT(MAX((職員マスタ!$A$6:$A$405=$B402)*(((職員マスタ!$G$6:$G$405="")+(職員マスタ!$G$6:$G$405&lt;=EOMONTH($AO402,0)))&gt;0)*(((職員マスタ!$H$6:$H$405="")+(職員マスタ!$H$6:$H$405&gt;=$AO402))&gt;0)*(ROW(職員マスタ!$A$6:$A$405)-5)))&gt;0,SUMPRODUCT(MAX((職員マスタ!$A$6:$A$405=$B402)*(((職員マスタ!$G$6:$G$405="")+(職員マスタ!$G$6:$G$405&lt;=EOMONTH($AO402,0)))&gt;0)*(((職員マスタ!$H$6:$H$405="")+(職員マスタ!$H$6:$H$405&gt;=$AO402))&gt;0)*(ROW(職員マスタ!$A$6:$A$405)-5))),IFERROR(MATCH($B402,職員マスタ!$A$6:$A$405,0),"")))</f>
        <v/>
      </c>
      <c r="AO402" s="16">
        <f>IF(OR($B402="",$C402="",$D402=""),"",DATE($C402+2018,$D402,1))</f>
        <v/>
      </c>
    </row>
    <row r="403">
      <c r="A403" s="11" t="n"/>
      <c r="B403" s="12" t="n">
        <v>6900146</v>
      </c>
      <c r="C403" s="12" t="n">
        <v>7</v>
      </c>
      <c r="D403" s="12" t="n">
        <v>8</v>
      </c>
      <c r="E403" s="13" t="n">
        <v>257267</v>
      </c>
      <c r="F403" s="12" t="n"/>
      <c r="G403" s="13" t="n"/>
      <c r="H403" s="12" t="n"/>
      <c r="I403" s="12" t="n"/>
      <c r="J403" s="12" t="n"/>
      <c r="K403" s="12" t="n"/>
      <c r="L403" s="11" t="n"/>
      <c r="M403" s="11" t="n"/>
      <c r="N403" s="11" t="n"/>
      <c r="O403" s="11" t="n"/>
      <c r="P403" s="12" t="n"/>
      <c r="Q403" s="11" t="n"/>
      <c r="R403" s="12" t="n"/>
      <c r="S403" s="11" t="n"/>
      <c r="T403" s="12" t="n"/>
      <c r="U403" s="12" t="n"/>
      <c r="V403" s="14">
        <f>IF($AN403="",IF($B403="","",$H403),IF(INDEX(職員マスタ!$B$6:$B$405,$AN403)="",$H403,INDEX(職員マスタ!$B$6:$B$405,$AN403)))</f>
        <v/>
      </c>
      <c r="W403" s="14">
        <f>IF($AN403="",IF($B403="","",$R403),IF(INDEX(職員マスタ!$C$6:$C$405,$AN403)="",$R403,INDEX(職員マスタ!$C$6:$C$405,$AN403)))</f>
        <v/>
      </c>
      <c r="X403" s="14">
        <f>IF($AO403="","","R"&amp;$C403&amp;"."&amp;$D403)</f>
        <v/>
      </c>
      <c r="Y403" s="15">
        <f>IF($AN403="","",IF(INDEX(職員マスタ!$K$6:$K$405,$AN403)="","",INDEX(職員マスタ!$K$6:$K$405,$AN403)))</f>
        <v/>
      </c>
      <c r="Z403" s="14">
        <f>IF(OR($E403="",$Y403=""),"",IF($E403&gt;=$Y403,"×",IF($E403&gt;=$Y403*設定!$C$5,"△","○")))</f>
        <v/>
      </c>
      <c r="AA403" s="15">
        <f>IF($Z403="","",IF($Z403="×",0,IF($Z403="○",ROUNDDOWN($E403*設定!$C$4,0),ROUNDDOWN($E403*ROUND((9*$Y403-9*$E403)/(10*$E403),4),0))))</f>
        <v/>
      </c>
      <c r="AB403" s="13" t="n"/>
      <c r="AC403" s="15">
        <f>IF($B403="","",IF($AB403&lt;&gt;"",$AB403,IF($AA403="","",IF($AA403&lt;=設定!$C$3,0,$AA403))))</f>
        <v/>
      </c>
      <c r="AD403" s="14">
        <f>IF($B403="","",IF(AND($AE403&lt;&gt;"",$AG403="",$AJ403=""),"保留中",IF($AJ403&lt;&gt;"",IF(N($AC403)&gt;0,"支給済","不支給"),IF($AC403="","要確認",IF($AC403=0,"不支給","未処理")))))</f>
        <v/>
      </c>
      <c r="AE403" s="12" t="n"/>
      <c r="AF403" s="11" t="n"/>
      <c r="AG403" s="11" t="n"/>
      <c r="AH403" s="11" t="n"/>
      <c r="AI403" s="14">
        <f>IF(AND($AD403="保留中",$AF403&lt;&gt;""),TODAY()-$AF403,"")</f>
        <v/>
      </c>
      <c r="AJ403" s="12" t="inlineStr">
        <is>
          <t>R7.11</t>
        </is>
      </c>
      <c r="AK403" s="14">
        <f>IF($B403="","",IF($AO403="","対象年月が未入力／","")&amp;IF($B403="","",IF($AN403="","職員マスタに未登録の職員番号／",IF($Y403="","標準報酬月額が未登録／","")&amp;IF(AND($AO403&lt;&gt;"",OR(AND(INDEX(職員マスタ!$G$6:$G$405,$AN403)&lt;&gt;"",INDEX(職員マスタ!$G$6:$G$405,$AN403)&gt;EOMONTH($AO403,0)),AND(INDEX(職員マスタ!$H$6:$H$405,$AN403)&lt;&gt;"",INDEX(職員マスタ!$H$6:$H$405,$AN403)&lt;$AO403))),"対象月が時短期間外／","")&amp;IF(AND(INDEX(職員マスタ!$F$6:$F$405,$AN403)&lt;&gt;"",$AO403&lt;&gt;"",INDEX(職員マスタ!$F$6:$F$405,$AN403)&lt;$AO403),"対象月に子が2歳到達済／","")&amp;IF(AND($H403&lt;&gt;"",INDEX(職員マスタ!$B$6:$B$405,$AN403)&lt;&gt;"",SUBSTITUTE(SUBSTITUTE($H403," ","")," ","")&lt;&gt;SUBSTITUTE(SUBSTITUTE(INDEX(職員マスタ!$B$6:$B$405,$AN403)," ","")," ","")),"氏名がマスタと相違／","")&amp;IF(AND($Q403&lt;&gt;"",INDEX(職員マスタ!$E$6:$E$405,$AN403)&lt;&gt;"",$Q403&lt;&gt;INDEX(職員マスタ!$E$6:$E$405,$AN403)),"子の生年月日がマスタと相違／","")&amp;IF(AND($L403&lt;&gt;"",INDEX(職員マスタ!$G$6:$G$405,$AN403)&lt;&gt;"",$L403&lt;&gt;INDEX(職員マスタ!$G$6:$G$405,$AN403)),"時短開始日がマスタと相違／","")&amp;IF(AND($M403&lt;&gt;"",INDEX(職員マスタ!$H$6:$H$405,$AN403)&lt;&gt;"",$M403&lt;&gt;INDEX(職員マスタ!$H$6:$H$405,$AN403)),"時短終了日がマスタと相違／","")))&amp;IF(AND($B403&lt;&gt;"",$E403=""),"報酬額が未入力／","")&amp;IF(N($U403)&gt;0,"申請書に入力エラーが残っています／","")&amp;IF(AND($B403&lt;&gt;"",$AO403&lt;&gt;""),IF(COUNTIFS($B$6:$B$3005,$B403,$C$6:$C$3005,$C403,$D$6:$D$3005,$D403)&gt;1,"同じ月の請求が重複しています／",""),"")&amp;IF(AND(N($E403)&gt;0,$Z403&lt;&gt;"",$Z403&lt;&gt;"×",$AC403=0,$AB403=""),"計算額が下限以下のため不支給／",""))</f>
        <v/>
      </c>
      <c r="AL403" s="12" t="n"/>
      <c r="AM403" s="14">
        <f>IF($AD403="保留中",COUNTIF($AD$6:$AD403,"保留中"),"")</f>
        <v/>
      </c>
      <c r="AN403" s="14">
        <f>IF($AO403="","",IF(SUMPRODUCT(MAX((職員マスタ!$A$6:$A$405=$B403)*(((職員マスタ!$G$6:$G$405="")+(職員マスタ!$G$6:$G$405&lt;=EOMONTH($AO403,0)))&gt;0)*(((職員マスタ!$H$6:$H$405="")+(職員マスタ!$H$6:$H$405&gt;=$AO403))&gt;0)*(ROW(職員マスタ!$A$6:$A$405)-5)))&gt;0,SUMPRODUCT(MAX((職員マスタ!$A$6:$A$405=$B403)*(((職員マスタ!$G$6:$G$405="")+(職員マスタ!$G$6:$G$405&lt;=EOMONTH($AO403,0)))&gt;0)*(((職員マスタ!$H$6:$H$405="")+(職員マスタ!$H$6:$H$405&gt;=$AO403))&gt;0)*(ROW(職員マスタ!$A$6:$A$405)-5))),IFERROR(MATCH($B403,職員マスタ!$A$6:$A$405,0),"")))</f>
        <v/>
      </c>
      <c r="AO403" s="16">
        <f>IF(OR($B403="",$C403="",$D403=""),"",DATE($C403+2018,$D403,1))</f>
        <v/>
      </c>
    </row>
    <row r="404">
      <c r="A404" s="11" t="n"/>
      <c r="B404" s="12" t="n">
        <v>6900146</v>
      </c>
      <c r="C404" s="12" t="n">
        <v>7</v>
      </c>
      <c r="D404" s="12" t="n">
        <v>9</v>
      </c>
      <c r="E404" s="13" t="n">
        <v>260848</v>
      </c>
      <c r="F404" s="12" t="n"/>
      <c r="G404" s="13" t="n"/>
      <c r="H404" s="12" t="n"/>
      <c r="I404" s="12" t="n"/>
      <c r="J404" s="12" t="n"/>
      <c r="K404" s="12" t="n"/>
      <c r="L404" s="11" t="n"/>
      <c r="M404" s="11" t="n"/>
      <c r="N404" s="11" t="n"/>
      <c r="O404" s="11" t="n"/>
      <c r="P404" s="12" t="n"/>
      <c r="Q404" s="11" t="n"/>
      <c r="R404" s="12" t="n"/>
      <c r="S404" s="11" t="n"/>
      <c r="T404" s="12" t="n"/>
      <c r="U404" s="12" t="n"/>
      <c r="V404" s="14">
        <f>IF($AN404="",IF($B404="","",$H404),IF(INDEX(職員マスタ!$B$6:$B$405,$AN404)="",$H404,INDEX(職員マスタ!$B$6:$B$405,$AN404)))</f>
        <v/>
      </c>
      <c r="W404" s="14">
        <f>IF($AN404="",IF($B404="","",$R404),IF(INDEX(職員マスタ!$C$6:$C$405,$AN404)="",$R404,INDEX(職員マスタ!$C$6:$C$405,$AN404)))</f>
        <v/>
      </c>
      <c r="X404" s="14">
        <f>IF($AO404="","","R"&amp;$C404&amp;"."&amp;$D404)</f>
        <v/>
      </c>
      <c r="Y404" s="15">
        <f>IF($AN404="","",IF(INDEX(職員マスタ!$K$6:$K$405,$AN404)="","",INDEX(職員マスタ!$K$6:$K$405,$AN404)))</f>
        <v/>
      </c>
      <c r="Z404" s="14">
        <f>IF(OR($E404="",$Y404=""),"",IF($E404&gt;=$Y404,"×",IF($E404&gt;=$Y404*設定!$C$5,"△","○")))</f>
        <v/>
      </c>
      <c r="AA404" s="15">
        <f>IF($Z404="","",IF($Z404="×",0,IF($Z404="○",ROUNDDOWN($E404*設定!$C$4,0),ROUNDDOWN($E404*ROUND((9*$Y404-9*$E404)/(10*$E404),4),0))))</f>
        <v/>
      </c>
      <c r="AB404" s="13" t="n"/>
      <c r="AC404" s="15">
        <f>IF($B404="","",IF($AB404&lt;&gt;"",$AB404,IF($AA404="","",IF($AA404&lt;=設定!$C$3,0,$AA404))))</f>
        <v/>
      </c>
      <c r="AD404" s="14">
        <f>IF($B404="","",IF(AND($AE404&lt;&gt;"",$AG404="",$AJ404=""),"保留中",IF($AJ404&lt;&gt;"",IF(N($AC404)&gt;0,"支給済","不支給"),IF($AC404="","要確認",IF($AC404=0,"不支給","未処理")))))</f>
        <v/>
      </c>
      <c r="AE404" s="12" t="n"/>
      <c r="AF404" s="11" t="n"/>
      <c r="AG404" s="11" t="n"/>
      <c r="AH404" s="11" t="n"/>
      <c r="AI404" s="14">
        <f>IF(AND($AD404="保留中",$AF404&lt;&gt;""),TODAY()-$AF404,"")</f>
        <v/>
      </c>
      <c r="AJ404" s="12" t="inlineStr">
        <is>
          <t>R7.11</t>
        </is>
      </c>
      <c r="AK404" s="14">
        <f>IF($B404="","",IF($AO404="","対象年月が未入力／","")&amp;IF($B404="","",IF($AN404="","職員マスタに未登録の職員番号／",IF($Y404="","標準報酬月額が未登録／","")&amp;IF(AND($AO404&lt;&gt;"",OR(AND(INDEX(職員マスタ!$G$6:$G$405,$AN404)&lt;&gt;"",INDEX(職員マスタ!$G$6:$G$405,$AN404)&gt;EOMONTH($AO404,0)),AND(INDEX(職員マスタ!$H$6:$H$405,$AN404)&lt;&gt;"",INDEX(職員マスタ!$H$6:$H$405,$AN404)&lt;$AO404))),"対象月が時短期間外／","")&amp;IF(AND(INDEX(職員マスタ!$F$6:$F$405,$AN404)&lt;&gt;"",$AO404&lt;&gt;"",INDEX(職員マスタ!$F$6:$F$405,$AN404)&lt;$AO404),"対象月に子が2歳到達済／","")&amp;IF(AND($H404&lt;&gt;"",INDEX(職員マスタ!$B$6:$B$405,$AN404)&lt;&gt;"",SUBSTITUTE(SUBSTITUTE($H404," ","")," ","")&lt;&gt;SUBSTITUTE(SUBSTITUTE(INDEX(職員マスタ!$B$6:$B$405,$AN404)," ","")," ","")),"氏名がマスタと相違／","")&amp;IF(AND($Q404&lt;&gt;"",INDEX(職員マスタ!$E$6:$E$405,$AN404)&lt;&gt;"",$Q404&lt;&gt;INDEX(職員マスタ!$E$6:$E$405,$AN404)),"子の生年月日がマスタと相違／","")&amp;IF(AND($L404&lt;&gt;"",INDEX(職員マスタ!$G$6:$G$405,$AN404)&lt;&gt;"",$L404&lt;&gt;INDEX(職員マスタ!$G$6:$G$405,$AN404)),"時短開始日がマスタと相違／","")&amp;IF(AND($M404&lt;&gt;"",INDEX(職員マスタ!$H$6:$H$405,$AN404)&lt;&gt;"",$M404&lt;&gt;INDEX(職員マスタ!$H$6:$H$405,$AN404)),"時短終了日がマスタと相違／","")))&amp;IF(AND($B404&lt;&gt;"",$E404=""),"報酬額が未入力／","")&amp;IF(N($U404)&gt;0,"申請書に入力エラーが残っています／","")&amp;IF(AND($B404&lt;&gt;"",$AO404&lt;&gt;""),IF(COUNTIFS($B$6:$B$3005,$B404,$C$6:$C$3005,$C404,$D$6:$D$3005,$D404)&gt;1,"同じ月の請求が重複しています／",""),"")&amp;IF(AND(N($E404)&gt;0,$Z404&lt;&gt;"",$Z404&lt;&gt;"×",$AC404=0,$AB404=""),"計算額が下限以下のため不支給／",""))</f>
        <v/>
      </c>
      <c r="AL404" s="12" t="n"/>
      <c r="AM404" s="14">
        <f>IF($AD404="保留中",COUNTIF($AD$6:$AD404,"保留中"),"")</f>
        <v/>
      </c>
      <c r="AN404" s="14">
        <f>IF($AO404="","",IF(SUMPRODUCT(MAX((職員マスタ!$A$6:$A$405=$B404)*(((職員マスタ!$G$6:$G$405="")+(職員マスタ!$G$6:$G$405&lt;=EOMONTH($AO404,0)))&gt;0)*(((職員マスタ!$H$6:$H$405="")+(職員マスタ!$H$6:$H$405&gt;=$AO404))&gt;0)*(ROW(職員マスタ!$A$6:$A$405)-5)))&gt;0,SUMPRODUCT(MAX((職員マスタ!$A$6:$A$405=$B404)*(((職員マスタ!$G$6:$G$405="")+(職員マスタ!$G$6:$G$405&lt;=EOMONTH($AO404,0)))&gt;0)*(((職員マスタ!$H$6:$H$405="")+(職員マスタ!$H$6:$H$405&gt;=$AO404))&gt;0)*(ROW(職員マスタ!$A$6:$A$405)-5))),IFERROR(MATCH($B404,職員マスタ!$A$6:$A$405,0),"")))</f>
        <v/>
      </c>
      <c r="AO404" s="16">
        <f>IF(OR($B404="",$C404="",$D404=""),"",DATE($C404+2018,$D404,1))</f>
        <v/>
      </c>
    </row>
    <row r="405">
      <c r="A405" s="11" t="n"/>
      <c r="B405" s="12" t="n">
        <v>6902159</v>
      </c>
      <c r="C405" s="12" t="n">
        <v>7</v>
      </c>
      <c r="D405" s="12" t="n">
        <v>5</v>
      </c>
      <c r="E405" s="13" t="n">
        <v>166911</v>
      </c>
      <c r="F405" s="12" t="n"/>
      <c r="G405" s="13" t="n"/>
      <c r="H405" s="12" t="n"/>
      <c r="I405" s="12" t="n"/>
      <c r="J405" s="12" t="n"/>
      <c r="K405" s="12" t="n"/>
      <c r="L405" s="11" t="n"/>
      <c r="M405" s="11" t="n"/>
      <c r="N405" s="11" t="n"/>
      <c r="O405" s="11" t="n"/>
      <c r="P405" s="12" t="n"/>
      <c r="Q405" s="11" t="n"/>
      <c r="R405" s="12" t="n"/>
      <c r="S405" s="11" t="n"/>
      <c r="T405" s="12" t="n"/>
      <c r="U405" s="12" t="n"/>
      <c r="V405" s="14">
        <f>IF($AN405="",IF($B405="","",$H405),IF(INDEX(職員マスタ!$B$6:$B$405,$AN405)="",$H405,INDEX(職員マスタ!$B$6:$B$405,$AN405)))</f>
        <v/>
      </c>
      <c r="W405" s="14">
        <f>IF($AN405="",IF($B405="","",$R405),IF(INDEX(職員マスタ!$C$6:$C$405,$AN405)="",$R405,INDEX(職員マスタ!$C$6:$C$405,$AN405)))</f>
        <v/>
      </c>
      <c r="X405" s="14">
        <f>IF($AO405="","","R"&amp;$C405&amp;"."&amp;$D405)</f>
        <v/>
      </c>
      <c r="Y405" s="15">
        <f>IF($AN405="","",IF(INDEX(職員マスタ!$K$6:$K$405,$AN405)="","",INDEX(職員マスタ!$K$6:$K$405,$AN405)))</f>
        <v/>
      </c>
      <c r="Z405" s="14">
        <f>IF(OR($E405="",$Y405=""),"",IF($E405&gt;=$Y405,"×",IF($E405&gt;=$Y405*設定!$C$5,"△","○")))</f>
        <v/>
      </c>
      <c r="AA405" s="15">
        <f>IF($Z405="","",IF($Z405="×",0,IF($Z405="○",ROUNDDOWN($E405*設定!$C$4,0),ROUNDDOWN($E405*ROUND((9*$Y405-9*$E405)/(10*$E405),4),0))))</f>
        <v/>
      </c>
      <c r="AB405" s="13" t="n"/>
      <c r="AC405" s="15">
        <f>IF($B405="","",IF($AB405&lt;&gt;"",$AB405,IF($AA405="","",IF($AA405&lt;=設定!$C$3,0,$AA405))))</f>
        <v/>
      </c>
      <c r="AD405" s="14">
        <f>IF($B405="","",IF(AND($AE405&lt;&gt;"",$AG405="",$AJ405=""),"保留中",IF($AJ405&lt;&gt;"",IF(N($AC405)&gt;0,"支給済","不支給"),IF($AC405="","要確認",IF($AC405=0,"不支給","未処理")))))</f>
        <v/>
      </c>
      <c r="AE405" s="12" t="n"/>
      <c r="AF405" s="11" t="n"/>
      <c r="AG405" s="11" t="n"/>
      <c r="AH405" s="11" t="n"/>
      <c r="AI405" s="14">
        <f>IF(AND($AD405="保留中",$AF405&lt;&gt;""),TODAY()-$AF405,"")</f>
        <v/>
      </c>
      <c r="AJ405" s="12" t="inlineStr">
        <is>
          <t>R7.9</t>
        </is>
      </c>
      <c r="AK405" s="14">
        <f>IF($B405="","",IF($AO405="","対象年月が未入力／","")&amp;IF($B405="","",IF($AN405="","職員マスタに未登録の職員番号／",IF($Y405="","標準報酬月額が未登録／","")&amp;IF(AND($AO405&lt;&gt;"",OR(AND(INDEX(職員マスタ!$G$6:$G$405,$AN405)&lt;&gt;"",INDEX(職員マスタ!$G$6:$G$405,$AN405)&gt;EOMONTH($AO405,0)),AND(INDEX(職員マスタ!$H$6:$H$405,$AN405)&lt;&gt;"",INDEX(職員マスタ!$H$6:$H$405,$AN405)&lt;$AO405))),"対象月が時短期間外／","")&amp;IF(AND(INDEX(職員マスタ!$F$6:$F$405,$AN405)&lt;&gt;"",$AO405&lt;&gt;"",INDEX(職員マスタ!$F$6:$F$405,$AN405)&lt;$AO405),"対象月に子が2歳到達済／","")&amp;IF(AND($H405&lt;&gt;"",INDEX(職員マスタ!$B$6:$B$405,$AN405)&lt;&gt;"",SUBSTITUTE(SUBSTITUTE($H405," ","")," ","")&lt;&gt;SUBSTITUTE(SUBSTITUTE(INDEX(職員マスタ!$B$6:$B$405,$AN405)," ","")," ","")),"氏名がマスタと相違／","")&amp;IF(AND($Q405&lt;&gt;"",INDEX(職員マスタ!$E$6:$E$405,$AN405)&lt;&gt;"",$Q405&lt;&gt;INDEX(職員マスタ!$E$6:$E$405,$AN405)),"子の生年月日がマスタと相違／","")&amp;IF(AND($L405&lt;&gt;"",INDEX(職員マスタ!$G$6:$G$405,$AN405)&lt;&gt;"",$L405&lt;&gt;INDEX(職員マスタ!$G$6:$G$405,$AN405)),"時短開始日がマスタと相違／","")&amp;IF(AND($M405&lt;&gt;"",INDEX(職員マスタ!$H$6:$H$405,$AN405)&lt;&gt;"",$M405&lt;&gt;INDEX(職員マスタ!$H$6:$H$405,$AN405)),"時短終了日がマスタと相違／","")))&amp;IF(AND($B405&lt;&gt;"",$E405=""),"報酬額が未入力／","")&amp;IF(N($U405)&gt;0,"申請書に入力エラーが残っています／","")&amp;IF(AND($B405&lt;&gt;"",$AO405&lt;&gt;""),IF(COUNTIFS($B$6:$B$3005,$B405,$C$6:$C$3005,$C405,$D$6:$D$3005,$D405)&gt;1,"同じ月の請求が重複しています／",""),"")&amp;IF(AND(N($E405)&gt;0,$Z405&lt;&gt;"",$Z405&lt;&gt;"×",$AC405=0,$AB405=""),"計算額が下限以下のため不支給／",""))</f>
        <v/>
      </c>
      <c r="AL405" s="12" t="n"/>
      <c r="AM405" s="14">
        <f>IF($AD405="保留中",COUNTIF($AD$6:$AD405,"保留中"),"")</f>
        <v/>
      </c>
      <c r="AN405" s="14">
        <f>IF($AO405="","",IF(SUMPRODUCT(MAX((職員マスタ!$A$6:$A$405=$B405)*(((職員マスタ!$G$6:$G$405="")+(職員マスタ!$G$6:$G$405&lt;=EOMONTH($AO405,0)))&gt;0)*(((職員マスタ!$H$6:$H$405="")+(職員マスタ!$H$6:$H$405&gt;=$AO405))&gt;0)*(ROW(職員マスタ!$A$6:$A$405)-5)))&gt;0,SUMPRODUCT(MAX((職員マスタ!$A$6:$A$405=$B405)*(((職員マスタ!$G$6:$G$405="")+(職員マスタ!$G$6:$G$405&lt;=EOMONTH($AO405,0)))&gt;0)*(((職員マスタ!$H$6:$H$405="")+(職員マスタ!$H$6:$H$405&gt;=$AO405))&gt;0)*(ROW(職員マスタ!$A$6:$A$405)-5))),IFERROR(MATCH($B405,職員マスタ!$A$6:$A$405,0),"")))</f>
        <v/>
      </c>
      <c r="AO405" s="16">
        <f>IF(OR($B405="",$C405="",$D405=""),"",DATE($C405+2018,$D405,1))</f>
        <v/>
      </c>
    </row>
    <row r="406">
      <c r="A406" s="11" t="n"/>
      <c r="B406" s="12" t="n">
        <v>6902159</v>
      </c>
      <c r="C406" s="12" t="n">
        <v>7</v>
      </c>
      <c r="D406" s="12" t="n">
        <v>6</v>
      </c>
      <c r="E406" s="13" t="n">
        <v>170337</v>
      </c>
      <c r="F406" s="12" t="n"/>
      <c r="G406" s="13" t="n"/>
      <c r="H406" s="12" t="n"/>
      <c r="I406" s="12" t="n"/>
      <c r="J406" s="12" t="n"/>
      <c r="K406" s="12" t="n"/>
      <c r="L406" s="11" t="n"/>
      <c r="M406" s="11" t="n"/>
      <c r="N406" s="11" t="n"/>
      <c r="O406" s="11" t="n"/>
      <c r="P406" s="12" t="n"/>
      <c r="Q406" s="11" t="n"/>
      <c r="R406" s="12" t="n"/>
      <c r="S406" s="11" t="n"/>
      <c r="T406" s="12" t="n"/>
      <c r="U406" s="12" t="n"/>
      <c r="V406" s="14">
        <f>IF($AN406="",IF($B406="","",$H406),IF(INDEX(職員マスタ!$B$6:$B$405,$AN406)="",$H406,INDEX(職員マスタ!$B$6:$B$405,$AN406)))</f>
        <v/>
      </c>
      <c r="W406" s="14">
        <f>IF($AN406="",IF($B406="","",$R406),IF(INDEX(職員マスタ!$C$6:$C$405,$AN406)="",$R406,INDEX(職員マスタ!$C$6:$C$405,$AN406)))</f>
        <v/>
      </c>
      <c r="X406" s="14">
        <f>IF($AO406="","","R"&amp;$C406&amp;"."&amp;$D406)</f>
        <v/>
      </c>
      <c r="Y406" s="15">
        <f>IF($AN406="","",IF(INDEX(職員マスタ!$K$6:$K$405,$AN406)="","",INDEX(職員マスタ!$K$6:$K$405,$AN406)))</f>
        <v/>
      </c>
      <c r="Z406" s="14">
        <f>IF(OR($E406="",$Y406=""),"",IF($E406&gt;=$Y406,"×",IF($E406&gt;=$Y406*設定!$C$5,"△","○")))</f>
        <v/>
      </c>
      <c r="AA406" s="15">
        <f>IF($Z406="","",IF($Z406="×",0,IF($Z406="○",ROUNDDOWN($E406*設定!$C$4,0),ROUNDDOWN($E406*ROUND((9*$Y406-9*$E406)/(10*$E406),4),0))))</f>
        <v/>
      </c>
      <c r="AB406" s="13" t="n"/>
      <c r="AC406" s="15">
        <f>IF($B406="","",IF($AB406&lt;&gt;"",$AB406,IF($AA406="","",IF($AA406&lt;=設定!$C$3,0,$AA406))))</f>
        <v/>
      </c>
      <c r="AD406" s="14">
        <f>IF($B406="","",IF(AND($AE406&lt;&gt;"",$AG406="",$AJ406=""),"保留中",IF($AJ406&lt;&gt;"",IF(N($AC406)&gt;0,"支給済","不支給"),IF($AC406="","要確認",IF($AC406=0,"不支給","未処理")))))</f>
        <v/>
      </c>
      <c r="AE406" s="12" t="n"/>
      <c r="AF406" s="11" t="n"/>
      <c r="AG406" s="11" t="n"/>
      <c r="AH406" s="11" t="n"/>
      <c r="AI406" s="14">
        <f>IF(AND($AD406="保留中",$AF406&lt;&gt;""),TODAY()-$AF406,"")</f>
        <v/>
      </c>
      <c r="AJ406" s="12" t="inlineStr">
        <is>
          <t>R7.9</t>
        </is>
      </c>
      <c r="AK406" s="14">
        <f>IF($B406="","",IF($AO406="","対象年月が未入力／","")&amp;IF($B406="","",IF($AN406="","職員マスタに未登録の職員番号／",IF($Y406="","標準報酬月額が未登録／","")&amp;IF(AND($AO406&lt;&gt;"",OR(AND(INDEX(職員マスタ!$G$6:$G$405,$AN406)&lt;&gt;"",INDEX(職員マスタ!$G$6:$G$405,$AN406)&gt;EOMONTH($AO406,0)),AND(INDEX(職員マスタ!$H$6:$H$405,$AN406)&lt;&gt;"",INDEX(職員マスタ!$H$6:$H$405,$AN406)&lt;$AO406))),"対象月が時短期間外／","")&amp;IF(AND(INDEX(職員マスタ!$F$6:$F$405,$AN406)&lt;&gt;"",$AO406&lt;&gt;"",INDEX(職員マスタ!$F$6:$F$405,$AN406)&lt;$AO406),"対象月に子が2歳到達済／","")&amp;IF(AND($H406&lt;&gt;"",INDEX(職員マスタ!$B$6:$B$405,$AN406)&lt;&gt;"",SUBSTITUTE(SUBSTITUTE($H406," ","")," ","")&lt;&gt;SUBSTITUTE(SUBSTITUTE(INDEX(職員マスタ!$B$6:$B$405,$AN406)," ","")," ","")),"氏名がマスタと相違／","")&amp;IF(AND($Q406&lt;&gt;"",INDEX(職員マスタ!$E$6:$E$405,$AN406)&lt;&gt;"",$Q406&lt;&gt;INDEX(職員マスタ!$E$6:$E$405,$AN406)),"子の生年月日がマスタと相違／","")&amp;IF(AND($L406&lt;&gt;"",INDEX(職員マスタ!$G$6:$G$405,$AN406)&lt;&gt;"",$L406&lt;&gt;INDEX(職員マスタ!$G$6:$G$405,$AN406)),"時短開始日がマスタと相違／","")&amp;IF(AND($M406&lt;&gt;"",INDEX(職員マスタ!$H$6:$H$405,$AN406)&lt;&gt;"",$M406&lt;&gt;INDEX(職員マスタ!$H$6:$H$405,$AN406)),"時短終了日がマスタと相違／","")))&amp;IF(AND($B406&lt;&gt;"",$E406=""),"報酬額が未入力／","")&amp;IF(N($U406)&gt;0,"申請書に入力エラーが残っています／","")&amp;IF(AND($B406&lt;&gt;"",$AO406&lt;&gt;""),IF(COUNTIFS($B$6:$B$3005,$B406,$C$6:$C$3005,$C406,$D$6:$D$3005,$D406)&gt;1,"同じ月の請求が重複しています／",""),"")&amp;IF(AND(N($E406)&gt;0,$Z406&lt;&gt;"",$Z406&lt;&gt;"×",$AC406=0,$AB406=""),"計算額が下限以下のため不支給／",""))</f>
        <v/>
      </c>
      <c r="AL406" s="12" t="n"/>
      <c r="AM406" s="14">
        <f>IF($AD406="保留中",COUNTIF($AD$6:$AD406,"保留中"),"")</f>
        <v/>
      </c>
      <c r="AN406" s="14">
        <f>IF($AO406="","",IF(SUMPRODUCT(MAX((職員マスタ!$A$6:$A$405=$B406)*(((職員マスタ!$G$6:$G$405="")+(職員マスタ!$G$6:$G$405&lt;=EOMONTH($AO406,0)))&gt;0)*(((職員マスタ!$H$6:$H$405="")+(職員マスタ!$H$6:$H$405&gt;=$AO406))&gt;0)*(ROW(職員マスタ!$A$6:$A$405)-5)))&gt;0,SUMPRODUCT(MAX((職員マスタ!$A$6:$A$405=$B406)*(((職員マスタ!$G$6:$G$405="")+(職員マスタ!$G$6:$G$405&lt;=EOMONTH($AO406,0)))&gt;0)*(((職員マスタ!$H$6:$H$405="")+(職員マスタ!$H$6:$H$405&gt;=$AO406))&gt;0)*(ROW(職員マスタ!$A$6:$A$405)-5))),IFERROR(MATCH($B406,職員マスタ!$A$6:$A$405,0),"")))</f>
        <v/>
      </c>
      <c r="AO406" s="16">
        <f>IF(OR($B406="",$C406="",$D406=""),"",DATE($C406+2018,$D406,1))</f>
        <v/>
      </c>
    </row>
    <row r="407">
      <c r="A407" s="11" t="n"/>
      <c r="B407" s="12" t="n">
        <v>6902159</v>
      </c>
      <c r="C407" s="12" t="n">
        <v>7</v>
      </c>
      <c r="D407" s="12" t="n">
        <v>7</v>
      </c>
      <c r="E407" s="13" t="n">
        <v>170337</v>
      </c>
      <c r="F407" s="12" t="n"/>
      <c r="G407" s="13" t="n"/>
      <c r="H407" s="12" t="n"/>
      <c r="I407" s="12" t="n"/>
      <c r="J407" s="12" t="n"/>
      <c r="K407" s="12" t="n"/>
      <c r="L407" s="11" t="n"/>
      <c r="M407" s="11" t="n"/>
      <c r="N407" s="11" t="n"/>
      <c r="O407" s="11" t="n"/>
      <c r="P407" s="12" t="n"/>
      <c r="Q407" s="11" t="n"/>
      <c r="R407" s="12" t="n"/>
      <c r="S407" s="11" t="n"/>
      <c r="T407" s="12" t="n"/>
      <c r="U407" s="12" t="n"/>
      <c r="V407" s="14">
        <f>IF($AN407="",IF($B407="","",$H407),IF(INDEX(職員マスタ!$B$6:$B$405,$AN407)="",$H407,INDEX(職員マスタ!$B$6:$B$405,$AN407)))</f>
        <v/>
      </c>
      <c r="W407" s="14">
        <f>IF($AN407="",IF($B407="","",$R407),IF(INDEX(職員マスタ!$C$6:$C$405,$AN407)="",$R407,INDEX(職員マスタ!$C$6:$C$405,$AN407)))</f>
        <v/>
      </c>
      <c r="X407" s="14">
        <f>IF($AO407="","","R"&amp;$C407&amp;"."&amp;$D407)</f>
        <v/>
      </c>
      <c r="Y407" s="15">
        <f>IF($AN407="","",IF(INDEX(職員マスタ!$K$6:$K$405,$AN407)="","",INDEX(職員マスタ!$K$6:$K$405,$AN407)))</f>
        <v/>
      </c>
      <c r="Z407" s="14">
        <f>IF(OR($E407="",$Y407=""),"",IF($E407&gt;=$Y407,"×",IF($E407&gt;=$Y407*設定!$C$5,"△","○")))</f>
        <v/>
      </c>
      <c r="AA407" s="15">
        <f>IF($Z407="","",IF($Z407="×",0,IF($Z407="○",ROUNDDOWN($E407*設定!$C$4,0),ROUNDDOWN($E407*ROUND((9*$Y407-9*$E407)/(10*$E407),4),0))))</f>
        <v/>
      </c>
      <c r="AB407" s="13" t="n"/>
      <c r="AC407" s="15">
        <f>IF($B407="","",IF($AB407&lt;&gt;"",$AB407,IF($AA407="","",IF($AA407&lt;=設定!$C$3,0,$AA407))))</f>
        <v/>
      </c>
      <c r="AD407" s="14">
        <f>IF($B407="","",IF(AND($AE407&lt;&gt;"",$AG407="",$AJ407=""),"保留中",IF($AJ407&lt;&gt;"",IF(N($AC407)&gt;0,"支給済","不支給"),IF($AC407="","要確認",IF($AC407=0,"不支給","未処理")))))</f>
        <v/>
      </c>
      <c r="AE407" s="12" t="n"/>
      <c r="AF407" s="11" t="n"/>
      <c r="AG407" s="11" t="n"/>
      <c r="AH407" s="11" t="n"/>
      <c r="AI407" s="14">
        <f>IF(AND($AD407="保留中",$AF407&lt;&gt;""),TODAY()-$AF407,"")</f>
        <v/>
      </c>
      <c r="AJ407" s="12" t="inlineStr">
        <is>
          <t>R7.9</t>
        </is>
      </c>
      <c r="AK407" s="14">
        <f>IF($B407="","",IF($AO407="","対象年月が未入力／","")&amp;IF($B407="","",IF($AN407="","職員マスタに未登録の職員番号／",IF($Y407="","標準報酬月額が未登録／","")&amp;IF(AND($AO407&lt;&gt;"",OR(AND(INDEX(職員マスタ!$G$6:$G$405,$AN407)&lt;&gt;"",INDEX(職員マスタ!$G$6:$G$405,$AN407)&gt;EOMONTH($AO407,0)),AND(INDEX(職員マスタ!$H$6:$H$405,$AN407)&lt;&gt;"",INDEX(職員マスタ!$H$6:$H$405,$AN407)&lt;$AO407))),"対象月が時短期間外／","")&amp;IF(AND(INDEX(職員マスタ!$F$6:$F$405,$AN407)&lt;&gt;"",$AO407&lt;&gt;"",INDEX(職員マスタ!$F$6:$F$405,$AN407)&lt;$AO407),"対象月に子が2歳到達済／","")&amp;IF(AND($H407&lt;&gt;"",INDEX(職員マスタ!$B$6:$B$405,$AN407)&lt;&gt;"",SUBSTITUTE(SUBSTITUTE($H407," ","")," ","")&lt;&gt;SUBSTITUTE(SUBSTITUTE(INDEX(職員マスタ!$B$6:$B$405,$AN407)," ","")," ","")),"氏名がマスタと相違／","")&amp;IF(AND($Q407&lt;&gt;"",INDEX(職員マスタ!$E$6:$E$405,$AN407)&lt;&gt;"",$Q407&lt;&gt;INDEX(職員マスタ!$E$6:$E$405,$AN407)),"子の生年月日がマスタと相違／","")&amp;IF(AND($L407&lt;&gt;"",INDEX(職員マスタ!$G$6:$G$405,$AN407)&lt;&gt;"",$L407&lt;&gt;INDEX(職員マスタ!$G$6:$G$405,$AN407)),"時短開始日がマスタと相違／","")&amp;IF(AND($M407&lt;&gt;"",INDEX(職員マスタ!$H$6:$H$405,$AN407)&lt;&gt;"",$M407&lt;&gt;INDEX(職員マスタ!$H$6:$H$405,$AN407)),"時短終了日がマスタと相違／","")))&amp;IF(AND($B407&lt;&gt;"",$E407=""),"報酬額が未入力／","")&amp;IF(N($U407)&gt;0,"申請書に入力エラーが残っています／","")&amp;IF(AND($B407&lt;&gt;"",$AO407&lt;&gt;""),IF(COUNTIFS($B$6:$B$3005,$B407,$C$6:$C$3005,$C407,$D$6:$D$3005,$D407)&gt;1,"同じ月の請求が重複しています／",""),"")&amp;IF(AND(N($E407)&gt;0,$Z407&lt;&gt;"",$Z407&lt;&gt;"×",$AC407=0,$AB407=""),"計算額が下限以下のため不支給／",""))</f>
        <v/>
      </c>
      <c r="AL407" s="12" t="n"/>
      <c r="AM407" s="14">
        <f>IF($AD407="保留中",COUNTIF($AD$6:$AD407,"保留中"),"")</f>
        <v/>
      </c>
      <c r="AN407" s="14">
        <f>IF($AO407="","",IF(SUMPRODUCT(MAX((職員マスタ!$A$6:$A$405=$B407)*(((職員マスタ!$G$6:$G$405="")+(職員マスタ!$G$6:$G$405&lt;=EOMONTH($AO407,0)))&gt;0)*(((職員マスタ!$H$6:$H$405="")+(職員マスタ!$H$6:$H$405&gt;=$AO407))&gt;0)*(ROW(職員マスタ!$A$6:$A$405)-5)))&gt;0,SUMPRODUCT(MAX((職員マスタ!$A$6:$A$405=$B407)*(((職員マスタ!$G$6:$G$405="")+(職員マスタ!$G$6:$G$405&lt;=EOMONTH($AO407,0)))&gt;0)*(((職員マスタ!$H$6:$H$405="")+(職員マスタ!$H$6:$H$405&gt;=$AO407))&gt;0)*(ROW(職員マスタ!$A$6:$A$405)-5))),IFERROR(MATCH($B407,職員マスタ!$A$6:$A$405,0),"")))</f>
        <v/>
      </c>
      <c r="AO407" s="16">
        <f>IF(OR($B407="",$C407="",$D407=""),"",DATE($C407+2018,$D407,1))</f>
        <v/>
      </c>
    </row>
    <row r="408">
      <c r="A408" s="11" t="n"/>
      <c r="B408" s="12" t="n">
        <v>6902159</v>
      </c>
      <c r="C408" s="12" t="n">
        <v>7</v>
      </c>
      <c r="D408" s="12" t="n">
        <v>8</v>
      </c>
      <c r="E408" s="13" t="n">
        <v>172050</v>
      </c>
      <c r="F408" s="12" t="n"/>
      <c r="G408" s="13" t="n"/>
      <c r="H408" s="12" t="n"/>
      <c r="I408" s="12" t="n"/>
      <c r="J408" s="12" t="n"/>
      <c r="K408" s="12" t="n"/>
      <c r="L408" s="11" t="n"/>
      <c r="M408" s="11" t="n"/>
      <c r="N408" s="11" t="n"/>
      <c r="O408" s="11" t="n"/>
      <c r="P408" s="12" t="n"/>
      <c r="Q408" s="11" t="n"/>
      <c r="R408" s="12" t="n"/>
      <c r="S408" s="11" t="n"/>
      <c r="T408" s="12" t="n"/>
      <c r="U408" s="12" t="n"/>
      <c r="V408" s="14">
        <f>IF($AN408="",IF($B408="","",$H408),IF(INDEX(職員マスタ!$B$6:$B$405,$AN408)="",$H408,INDEX(職員マスタ!$B$6:$B$405,$AN408)))</f>
        <v/>
      </c>
      <c r="W408" s="14">
        <f>IF($AN408="",IF($B408="","",$R408),IF(INDEX(職員マスタ!$C$6:$C$405,$AN408)="",$R408,INDEX(職員マスタ!$C$6:$C$405,$AN408)))</f>
        <v/>
      </c>
      <c r="X408" s="14">
        <f>IF($AO408="","","R"&amp;$C408&amp;"."&amp;$D408)</f>
        <v/>
      </c>
      <c r="Y408" s="15">
        <f>IF($AN408="","",IF(INDEX(職員マスタ!$K$6:$K$405,$AN408)="","",INDEX(職員マスタ!$K$6:$K$405,$AN408)))</f>
        <v/>
      </c>
      <c r="Z408" s="14">
        <f>IF(OR($E408="",$Y408=""),"",IF($E408&gt;=$Y408,"×",IF($E408&gt;=$Y408*設定!$C$5,"△","○")))</f>
        <v/>
      </c>
      <c r="AA408" s="15">
        <f>IF($Z408="","",IF($Z408="×",0,IF($Z408="○",ROUNDDOWN($E408*設定!$C$4,0),ROUNDDOWN($E408*ROUND((9*$Y408-9*$E408)/(10*$E408),4),0))))</f>
        <v/>
      </c>
      <c r="AB408" s="13" t="n"/>
      <c r="AC408" s="15">
        <f>IF($B408="","",IF($AB408&lt;&gt;"",$AB408,IF($AA408="","",IF($AA408&lt;=設定!$C$3,0,$AA408))))</f>
        <v/>
      </c>
      <c r="AD408" s="14">
        <f>IF($B408="","",IF(AND($AE408&lt;&gt;"",$AG408="",$AJ408=""),"保留中",IF($AJ408&lt;&gt;"",IF(N($AC408)&gt;0,"支給済","不支給"),IF($AC408="","要確認",IF($AC408=0,"不支給","未処理")))))</f>
        <v/>
      </c>
      <c r="AE408" s="12" t="n"/>
      <c r="AF408" s="11" t="n"/>
      <c r="AG408" s="11" t="n"/>
      <c r="AH408" s="11" t="n"/>
      <c r="AI408" s="14">
        <f>IF(AND($AD408="保留中",$AF408&lt;&gt;""),TODAY()-$AF408,"")</f>
        <v/>
      </c>
      <c r="AJ408" s="12" t="inlineStr">
        <is>
          <t>R7.10</t>
        </is>
      </c>
      <c r="AK408" s="14">
        <f>IF($B408="","",IF($AO408="","対象年月が未入力／","")&amp;IF($B408="","",IF($AN408="","職員マスタに未登録の職員番号／",IF($Y408="","標準報酬月額が未登録／","")&amp;IF(AND($AO408&lt;&gt;"",OR(AND(INDEX(職員マスタ!$G$6:$G$405,$AN408)&lt;&gt;"",INDEX(職員マスタ!$G$6:$G$405,$AN408)&gt;EOMONTH($AO408,0)),AND(INDEX(職員マスタ!$H$6:$H$405,$AN408)&lt;&gt;"",INDEX(職員マスタ!$H$6:$H$405,$AN408)&lt;$AO408))),"対象月が時短期間外／","")&amp;IF(AND(INDEX(職員マスタ!$F$6:$F$405,$AN408)&lt;&gt;"",$AO408&lt;&gt;"",INDEX(職員マスタ!$F$6:$F$405,$AN408)&lt;$AO408),"対象月に子が2歳到達済／","")&amp;IF(AND($H408&lt;&gt;"",INDEX(職員マスタ!$B$6:$B$405,$AN408)&lt;&gt;"",SUBSTITUTE(SUBSTITUTE($H408," ","")," ","")&lt;&gt;SUBSTITUTE(SUBSTITUTE(INDEX(職員マスタ!$B$6:$B$405,$AN408)," ","")," ","")),"氏名がマスタと相違／","")&amp;IF(AND($Q408&lt;&gt;"",INDEX(職員マスタ!$E$6:$E$405,$AN408)&lt;&gt;"",$Q408&lt;&gt;INDEX(職員マスタ!$E$6:$E$405,$AN408)),"子の生年月日がマスタと相違／","")&amp;IF(AND($L408&lt;&gt;"",INDEX(職員マスタ!$G$6:$G$405,$AN408)&lt;&gt;"",$L408&lt;&gt;INDEX(職員マスタ!$G$6:$G$405,$AN408)),"時短開始日がマスタと相違／","")&amp;IF(AND($M408&lt;&gt;"",INDEX(職員マスタ!$H$6:$H$405,$AN408)&lt;&gt;"",$M408&lt;&gt;INDEX(職員マスタ!$H$6:$H$405,$AN408)),"時短終了日がマスタと相違／","")))&amp;IF(AND($B408&lt;&gt;"",$E408=""),"報酬額が未入力／","")&amp;IF(N($U408)&gt;0,"申請書に入力エラーが残っています／","")&amp;IF(AND($B408&lt;&gt;"",$AO408&lt;&gt;""),IF(COUNTIFS($B$6:$B$3005,$B408,$C$6:$C$3005,$C408,$D$6:$D$3005,$D408)&gt;1,"同じ月の請求が重複しています／",""),"")&amp;IF(AND(N($E408)&gt;0,$Z408&lt;&gt;"",$Z408&lt;&gt;"×",$AC408=0,$AB408=""),"計算額が下限以下のため不支給／",""))</f>
        <v/>
      </c>
      <c r="AL408" s="12" t="n"/>
      <c r="AM408" s="14">
        <f>IF($AD408="保留中",COUNTIF($AD$6:$AD408,"保留中"),"")</f>
        <v/>
      </c>
      <c r="AN408" s="14">
        <f>IF($AO408="","",IF(SUMPRODUCT(MAX((職員マスタ!$A$6:$A$405=$B408)*(((職員マスタ!$G$6:$G$405="")+(職員マスタ!$G$6:$G$405&lt;=EOMONTH($AO408,0)))&gt;0)*(((職員マスタ!$H$6:$H$405="")+(職員マスタ!$H$6:$H$405&gt;=$AO408))&gt;0)*(ROW(職員マスタ!$A$6:$A$405)-5)))&gt;0,SUMPRODUCT(MAX((職員マスタ!$A$6:$A$405=$B408)*(((職員マスタ!$G$6:$G$405="")+(職員マスタ!$G$6:$G$405&lt;=EOMONTH($AO408,0)))&gt;0)*(((職員マスタ!$H$6:$H$405="")+(職員マスタ!$H$6:$H$405&gt;=$AO408))&gt;0)*(ROW(職員マスタ!$A$6:$A$405)-5))),IFERROR(MATCH($B408,職員マスタ!$A$6:$A$405,0),"")))</f>
        <v/>
      </c>
      <c r="AO408" s="16">
        <f>IF(OR($B408="",$C408="",$D408=""),"",DATE($C408+2018,$D408,1))</f>
        <v/>
      </c>
    </row>
    <row r="409">
      <c r="A409" s="11" t="n"/>
      <c r="B409" s="12" t="n">
        <v>6902159</v>
      </c>
      <c r="C409" s="12" t="n">
        <v>7</v>
      </c>
      <c r="D409" s="12" t="n">
        <v>9</v>
      </c>
      <c r="E409" s="13" t="n">
        <v>170337</v>
      </c>
      <c r="F409" s="12" t="n"/>
      <c r="G409" s="13" t="n"/>
      <c r="H409" s="12" t="n"/>
      <c r="I409" s="12" t="n"/>
      <c r="J409" s="12" t="n"/>
      <c r="K409" s="12" t="n"/>
      <c r="L409" s="11" t="n"/>
      <c r="M409" s="11" t="n"/>
      <c r="N409" s="11" t="n"/>
      <c r="O409" s="11" t="n"/>
      <c r="P409" s="12" t="n"/>
      <c r="Q409" s="11" t="n"/>
      <c r="R409" s="12" t="n"/>
      <c r="S409" s="11" t="n"/>
      <c r="T409" s="12" t="n"/>
      <c r="U409" s="12" t="n"/>
      <c r="V409" s="14">
        <f>IF($AN409="",IF($B409="","",$H409),IF(INDEX(職員マスタ!$B$6:$B$405,$AN409)="",$H409,INDEX(職員マスタ!$B$6:$B$405,$AN409)))</f>
        <v/>
      </c>
      <c r="W409" s="14">
        <f>IF($AN409="",IF($B409="","",$R409),IF(INDEX(職員マスタ!$C$6:$C$405,$AN409)="",$R409,INDEX(職員マスタ!$C$6:$C$405,$AN409)))</f>
        <v/>
      </c>
      <c r="X409" s="14">
        <f>IF($AO409="","","R"&amp;$C409&amp;"."&amp;$D409)</f>
        <v/>
      </c>
      <c r="Y409" s="15">
        <f>IF($AN409="","",IF(INDEX(職員マスタ!$K$6:$K$405,$AN409)="","",INDEX(職員マスタ!$K$6:$K$405,$AN409)))</f>
        <v/>
      </c>
      <c r="Z409" s="14">
        <f>IF(OR($E409="",$Y409=""),"",IF($E409&gt;=$Y409,"×",IF($E409&gt;=$Y409*設定!$C$5,"△","○")))</f>
        <v/>
      </c>
      <c r="AA409" s="15">
        <f>IF($Z409="","",IF($Z409="×",0,IF($Z409="○",ROUNDDOWN($E409*設定!$C$4,0),ROUNDDOWN($E409*ROUND((9*$Y409-9*$E409)/(10*$E409),4),0))))</f>
        <v/>
      </c>
      <c r="AB409" s="13" t="n"/>
      <c r="AC409" s="15">
        <f>IF($B409="","",IF($AB409&lt;&gt;"",$AB409,IF($AA409="","",IF($AA409&lt;=設定!$C$3,0,$AA409))))</f>
        <v/>
      </c>
      <c r="AD409" s="14">
        <f>IF($B409="","",IF(AND($AE409&lt;&gt;"",$AG409="",$AJ409=""),"保留中",IF($AJ409&lt;&gt;"",IF(N($AC409)&gt;0,"支給済","不支給"),IF($AC409="","要確認",IF($AC409=0,"不支給","未処理")))))</f>
        <v/>
      </c>
      <c r="AE409" s="12" t="n"/>
      <c r="AF409" s="11" t="n"/>
      <c r="AG409" s="11" t="n"/>
      <c r="AH409" s="11" t="n"/>
      <c r="AI409" s="14">
        <f>IF(AND($AD409="保留中",$AF409&lt;&gt;""),TODAY()-$AF409,"")</f>
        <v/>
      </c>
      <c r="AJ409" s="12" t="inlineStr">
        <is>
          <t>R7.11</t>
        </is>
      </c>
      <c r="AK409" s="14">
        <f>IF($B409="","",IF($AO409="","対象年月が未入力／","")&amp;IF($B409="","",IF($AN409="","職員マスタに未登録の職員番号／",IF($Y409="","標準報酬月額が未登録／","")&amp;IF(AND($AO409&lt;&gt;"",OR(AND(INDEX(職員マスタ!$G$6:$G$405,$AN409)&lt;&gt;"",INDEX(職員マスタ!$G$6:$G$405,$AN409)&gt;EOMONTH($AO409,0)),AND(INDEX(職員マスタ!$H$6:$H$405,$AN409)&lt;&gt;"",INDEX(職員マスタ!$H$6:$H$405,$AN409)&lt;$AO409))),"対象月が時短期間外／","")&amp;IF(AND(INDEX(職員マスタ!$F$6:$F$405,$AN409)&lt;&gt;"",$AO409&lt;&gt;"",INDEX(職員マスタ!$F$6:$F$405,$AN409)&lt;$AO409),"対象月に子が2歳到達済／","")&amp;IF(AND($H409&lt;&gt;"",INDEX(職員マスタ!$B$6:$B$405,$AN409)&lt;&gt;"",SUBSTITUTE(SUBSTITUTE($H409," ","")," ","")&lt;&gt;SUBSTITUTE(SUBSTITUTE(INDEX(職員マスタ!$B$6:$B$405,$AN409)," ","")," ","")),"氏名がマスタと相違／","")&amp;IF(AND($Q409&lt;&gt;"",INDEX(職員マスタ!$E$6:$E$405,$AN409)&lt;&gt;"",$Q409&lt;&gt;INDEX(職員マスタ!$E$6:$E$405,$AN409)),"子の生年月日がマスタと相違／","")&amp;IF(AND($L409&lt;&gt;"",INDEX(職員マスタ!$G$6:$G$405,$AN409)&lt;&gt;"",$L409&lt;&gt;INDEX(職員マスタ!$G$6:$G$405,$AN409)),"時短開始日がマスタと相違／","")&amp;IF(AND($M409&lt;&gt;"",INDEX(職員マスタ!$H$6:$H$405,$AN409)&lt;&gt;"",$M409&lt;&gt;INDEX(職員マスタ!$H$6:$H$405,$AN409)),"時短終了日がマスタと相違／","")))&amp;IF(AND($B409&lt;&gt;"",$E409=""),"報酬額が未入力／","")&amp;IF(N($U409)&gt;0,"申請書に入力エラーが残っています／","")&amp;IF(AND($B409&lt;&gt;"",$AO409&lt;&gt;""),IF(COUNTIFS($B$6:$B$3005,$B409,$C$6:$C$3005,$C409,$D$6:$D$3005,$D409)&gt;1,"同じ月の請求が重複しています／",""),"")&amp;IF(AND(N($E409)&gt;0,$Z409&lt;&gt;"",$Z409&lt;&gt;"×",$AC409=0,$AB409=""),"計算額が下限以下のため不支給／",""))</f>
        <v/>
      </c>
      <c r="AL409" s="12" t="n"/>
      <c r="AM409" s="14">
        <f>IF($AD409="保留中",COUNTIF($AD$6:$AD409,"保留中"),"")</f>
        <v/>
      </c>
      <c r="AN409" s="14">
        <f>IF($AO409="","",IF(SUMPRODUCT(MAX((職員マスタ!$A$6:$A$405=$B409)*(((職員マスタ!$G$6:$G$405="")+(職員マスタ!$G$6:$G$405&lt;=EOMONTH($AO409,0)))&gt;0)*(((職員マスタ!$H$6:$H$405="")+(職員マスタ!$H$6:$H$405&gt;=$AO409))&gt;0)*(ROW(職員マスタ!$A$6:$A$405)-5)))&gt;0,SUMPRODUCT(MAX((職員マスタ!$A$6:$A$405=$B409)*(((職員マスタ!$G$6:$G$405="")+(職員マスタ!$G$6:$G$405&lt;=EOMONTH($AO409,0)))&gt;0)*(((職員マスタ!$H$6:$H$405="")+(職員マスタ!$H$6:$H$405&gt;=$AO409))&gt;0)*(ROW(職員マスタ!$A$6:$A$405)-5))),IFERROR(MATCH($B409,職員マスタ!$A$6:$A$405,0),"")))</f>
        <v/>
      </c>
      <c r="AO409" s="16">
        <f>IF(OR($B409="",$C409="",$D409=""),"",DATE($C409+2018,$D409,1))</f>
        <v/>
      </c>
    </row>
    <row r="410">
      <c r="A410" s="11" t="n"/>
      <c r="B410" s="12" t="n">
        <v>6902241</v>
      </c>
      <c r="C410" s="12" t="n">
        <v>8</v>
      </c>
      <c r="D410" s="12" t="n">
        <v>4</v>
      </c>
      <c r="E410" s="13" t="n">
        <v>184684</v>
      </c>
      <c r="F410" s="12" t="n"/>
      <c r="G410" s="13" t="n"/>
      <c r="H410" s="12" t="n"/>
      <c r="I410" s="12" t="n"/>
      <c r="J410" s="12" t="n"/>
      <c r="K410" s="12" t="n"/>
      <c r="L410" s="11" t="n"/>
      <c r="M410" s="11" t="n"/>
      <c r="N410" s="11" t="n"/>
      <c r="O410" s="11" t="n"/>
      <c r="P410" s="12" t="n"/>
      <c r="Q410" s="11" t="n"/>
      <c r="R410" s="12" t="n"/>
      <c r="S410" s="11" t="n"/>
      <c r="T410" s="12" t="n"/>
      <c r="U410" s="12" t="n"/>
      <c r="V410" s="14">
        <f>IF($AN410="",IF($B410="","",$H410),IF(INDEX(職員マスタ!$B$6:$B$405,$AN410)="",$H410,INDEX(職員マスタ!$B$6:$B$405,$AN410)))</f>
        <v/>
      </c>
      <c r="W410" s="14">
        <f>IF($AN410="",IF($B410="","",$R410),IF(INDEX(職員マスタ!$C$6:$C$405,$AN410)="",$R410,INDEX(職員マスタ!$C$6:$C$405,$AN410)))</f>
        <v/>
      </c>
      <c r="X410" s="14">
        <f>IF($AO410="","","R"&amp;$C410&amp;"."&amp;$D410)</f>
        <v/>
      </c>
      <c r="Y410" s="15">
        <f>IF($AN410="","",IF(INDEX(職員マスタ!$K$6:$K$405,$AN410)="","",INDEX(職員マスタ!$K$6:$K$405,$AN410)))</f>
        <v/>
      </c>
      <c r="Z410" s="14">
        <f>IF(OR($E410="",$Y410=""),"",IF($E410&gt;=$Y410,"×",IF($E410&gt;=$Y410*設定!$C$5,"△","○")))</f>
        <v/>
      </c>
      <c r="AA410" s="15">
        <f>IF($Z410="","",IF($Z410="×",0,IF($Z410="○",ROUNDDOWN($E410*設定!$C$4,0),ROUNDDOWN($E410*ROUND((9*$Y410-9*$E410)/(10*$E410),4),0))))</f>
        <v/>
      </c>
      <c r="AB410" s="13" t="n"/>
      <c r="AC410" s="15">
        <f>IF($B410="","",IF($AB410&lt;&gt;"",$AB410,IF($AA410="","",IF($AA410&lt;=設定!$C$3,0,$AA410))))</f>
        <v/>
      </c>
      <c r="AD410" s="14">
        <f>IF($B410="","",IF(AND($AE410&lt;&gt;"",$AG410="",$AJ410=""),"保留中",IF($AJ410&lt;&gt;"",IF(N($AC410)&gt;0,"支給済","不支給"),IF($AC410="","要確認",IF($AC410=0,"不支給","未処理")))))</f>
        <v/>
      </c>
      <c r="AE410" s="12" t="n"/>
      <c r="AF410" s="11" t="n"/>
      <c r="AG410" s="11" t="n"/>
      <c r="AH410" s="11" t="n"/>
      <c r="AI410" s="14">
        <f>IF(AND($AD410="保留中",$AF410&lt;&gt;""),TODAY()-$AF410,"")</f>
        <v/>
      </c>
      <c r="AJ410" s="12" t="inlineStr">
        <is>
          <t>R8.10</t>
        </is>
      </c>
      <c r="AK410" s="14">
        <f>IF($B410="","",IF($AO410="","対象年月が未入力／","")&amp;IF($B410="","",IF($AN410="","職員マスタに未登録の職員番号／",IF($Y410="","標準報酬月額が未登録／","")&amp;IF(AND($AO410&lt;&gt;"",OR(AND(INDEX(職員マスタ!$G$6:$G$405,$AN410)&lt;&gt;"",INDEX(職員マスタ!$G$6:$G$405,$AN410)&gt;EOMONTH($AO410,0)),AND(INDEX(職員マスタ!$H$6:$H$405,$AN410)&lt;&gt;"",INDEX(職員マスタ!$H$6:$H$405,$AN410)&lt;$AO410))),"対象月が時短期間外／","")&amp;IF(AND(INDEX(職員マスタ!$F$6:$F$405,$AN410)&lt;&gt;"",$AO410&lt;&gt;"",INDEX(職員マスタ!$F$6:$F$405,$AN410)&lt;$AO410),"対象月に子が2歳到達済／","")&amp;IF(AND($H410&lt;&gt;"",INDEX(職員マスタ!$B$6:$B$405,$AN410)&lt;&gt;"",SUBSTITUTE(SUBSTITUTE($H410," ","")," ","")&lt;&gt;SUBSTITUTE(SUBSTITUTE(INDEX(職員マスタ!$B$6:$B$405,$AN410)," ","")," ","")),"氏名がマスタと相違／","")&amp;IF(AND($Q410&lt;&gt;"",INDEX(職員マスタ!$E$6:$E$405,$AN410)&lt;&gt;"",$Q410&lt;&gt;INDEX(職員マスタ!$E$6:$E$405,$AN410)),"子の生年月日がマスタと相違／","")&amp;IF(AND($L410&lt;&gt;"",INDEX(職員マスタ!$G$6:$G$405,$AN410)&lt;&gt;"",$L410&lt;&gt;INDEX(職員マスタ!$G$6:$G$405,$AN410)),"時短開始日がマスタと相違／","")&amp;IF(AND($M410&lt;&gt;"",INDEX(職員マスタ!$H$6:$H$405,$AN410)&lt;&gt;"",$M410&lt;&gt;INDEX(職員マスタ!$H$6:$H$405,$AN410)),"時短終了日がマスタと相違／","")))&amp;IF(AND($B410&lt;&gt;"",$E410=""),"報酬額が未入力／","")&amp;IF(N($U410)&gt;0,"申請書に入力エラーが残っています／","")&amp;IF(AND($B410&lt;&gt;"",$AO410&lt;&gt;""),IF(COUNTIFS($B$6:$B$3005,$B410,$C$6:$C$3005,$C410,$D$6:$D$3005,$D410)&gt;1,"同じ月の請求が重複しています／",""),"")&amp;IF(AND(N($E410)&gt;0,$Z410&lt;&gt;"",$Z410&lt;&gt;"×",$AC410=0,$AB410=""),"計算額が下限以下のため不支給／",""))</f>
        <v/>
      </c>
      <c r="AL410" s="12" t="n"/>
      <c r="AM410" s="14">
        <f>IF($AD410="保留中",COUNTIF($AD$6:$AD410,"保留中"),"")</f>
        <v/>
      </c>
      <c r="AN410" s="14">
        <f>IF($AO410="","",IF(SUMPRODUCT(MAX((職員マスタ!$A$6:$A$405=$B410)*(((職員マスタ!$G$6:$G$405="")+(職員マスタ!$G$6:$G$405&lt;=EOMONTH($AO410,0)))&gt;0)*(((職員マスタ!$H$6:$H$405="")+(職員マスタ!$H$6:$H$405&gt;=$AO410))&gt;0)*(ROW(職員マスタ!$A$6:$A$405)-5)))&gt;0,SUMPRODUCT(MAX((職員マスタ!$A$6:$A$405=$B410)*(((職員マスタ!$G$6:$G$405="")+(職員マスタ!$G$6:$G$405&lt;=EOMONTH($AO410,0)))&gt;0)*(((職員マスタ!$H$6:$H$405="")+(職員マスタ!$H$6:$H$405&gt;=$AO410))&gt;0)*(ROW(職員マスタ!$A$6:$A$405)-5))),IFERROR(MATCH($B410,職員マスタ!$A$6:$A$405,0),"")))</f>
        <v/>
      </c>
      <c r="AO410" s="16">
        <f>IF(OR($B410="",$C410="",$D410=""),"",DATE($C410+2018,$D410,1))</f>
        <v/>
      </c>
    </row>
    <row r="411">
      <c r="A411" s="11" t="n"/>
      <c r="B411" s="12" t="n">
        <v>6902241</v>
      </c>
      <c r="C411" s="12" t="n">
        <v>8</v>
      </c>
      <c r="D411" s="12" t="n">
        <v>5</v>
      </c>
      <c r="E411" s="13" t="n">
        <v>190273</v>
      </c>
      <c r="F411" s="12" t="n"/>
      <c r="G411" s="13" t="n"/>
      <c r="H411" s="12" t="n"/>
      <c r="I411" s="12" t="n"/>
      <c r="J411" s="12" t="n"/>
      <c r="K411" s="12" t="n"/>
      <c r="L411" s="11" t="n"/>
      <c r="M411" s="11" t="n"/>
      <c r="N411" s="11" t="n"/>
      <c r="O411" s="11" t="n"/>
      <c r="P411" s="12" t="n"/>
      <c r="Q411" s="11" t="n"/>
      <c r="R411" s="12" t="n"/>
      <c r="S411" s="11" t="n"/>
      <c r="T411" s="12" t="n"/>
      <c r="U411" s="12" t="n"/>
      <c r="V411" s="14">
        <f>IF($AN411="",IF($B411="","",$H411),IF(INDEX(職員マスタ!$B$6:$B$405,$AN411)="",$H411,INDEX(職員マスタ!$B$6:$B$405,$AN411)))</f>
        <v/>
      </c>
      <c r="W411" s="14">
        <f>IF($AN411="",IF($B411="","",$R411),IF(INDEX(職員マスタ!$C$6:$C$405,$AN411)="",$R411,INDEX(職員マスタ!$C$6:$C$405,$AN411)))</f>
        <v/>
      </c>
      <c r="X411" s="14">
        <f>IF($AO411="","","R"&amp;$C411&amp;"."&amp;$D411)</f>
        <v/>
      </c>
      <c r="Y411" s="15">
        <f>IF($AN411="","",IF(INDEX(職員マスタ!$K$6:$K$405,$AN411)="","",INDEX(職員マスタ!$K$6:$K$405,$AN411)))</f>
        <v/>
      </c>
      <c r="Z411" s="14">
        <f>IF(OR($E411="",$Y411=""),"",IF($E411&gt;=$Y411,"×",IF($E411&gt;=$Y411*設定!$C$5,"△","○")))</f>
        <v/>
      </c>
      <c r="AA411" s="15">
        <f>IF($Z411="","",IF($Z411="×",0,IF($Z411="○",ROUNDDOWN($E411*設定!$C$4,0),ROUNDDOWN($E411*ROUND((9*$Y411-9*$E411)/(10*$E411),4),0))))</f>
        <v/>
      </c>
      <c r="AB411" s="13" t="n"/>
      <c r="AC411" s="15">
        <f>IF($B411="","",IF($AB411&lt;&gt;"",$AB411,IF($AA411="","",IF($AA411&lt;=設定!$C$3,0,$AA411))))</f>
        <v/>
      </c>
      <c r="AD411" s="14">
        <f>IF($B411="","",IF(AND($AE411&lt;&gt;"",$AG411="",$AJ411=""),"保留中",IF($AJ411&lt;&gt;"",IF(N($AC411)&gt;0,"支給済","不支給"),IF($AC411="","要確認",IF($AC411=0,"不支給","未処理")))))</f>
        <v/>
      </c>
      <c r="AE411" s="12" t="n"/>
      <c r="AF411" s="11" t="n"/>
      <c r="AG411" s="11" t="n"/>
      <c r="AH411" s="11" t="n"/>
      <c r="AI411" s="14">
        <f>IF(AND($AD411="保留中",$AF411&lt;&gt;""),TODAY()-$AF411,"")</f>
        <v/>
      </c>
      <c r="AJ411" s="12" t="inlineStr">
        <is>
          <t>R8.10</t>
        </is>
      </c>
      <c r="AK411" s="14">
        <f>IF($B411="","",IF($AO411="","対象年月が未入力／","")&amp;IF($B411="","",IF($AN411="","職員マスタに未登録の職員番号／",IF($Y411="","標準報酬月額が未登録／","")&amp;IF(AND($AO411&lt;&gt;"",OR(AND(INDEX(職員マスタ!$G$6:$G$405,$AN411)&lt;&gt;"",INDEX(職員マスタ!$G$6:$G$405,$AN411)&gt;EOMONTH($AO411,0)),AND(INDEX(職員マスタ!$H$6:$H$405,$AN411)&lt;&gt;"",INDEX(職員マスタ!$H$6:$H$405,$AN411)&lt;$AO411))),"対象月が時短期間外／","")&amp;IF(AND(INDEX(職員マスタ!$F$6:$F$405,$AN411)&lt;&gt;"",$AO411&lt;&gt;"",INDEX(職員マスタ!$F$6:$F$405,$AN411)&lt;$AO411),"対象月に子が2歳到達済／","")&amp;IF(AND($H411&lt;&gt;"",INDEX(職員マスタ!$B$6:$B$405,$AN411)&lt;&gt;"",SUBSTITUTE(SUBSTITUTE($H411," ","")," ","")&lt;&gt;SUBSTITUTE(SUBSTITUTE(INDEX(職員マスタ!$B$6:$B$405,$AN411)," ","")," ","")),"氏名がマスタと相違／","")&amp;IF(AND($Q411&lt;&gt;"",INDEX(職員マスタ!$E$6:$E$405,$AN411)&lt;&gt;"",$Q411&lt;&gt;INDEX(職員マスタ!$E$6:$E$405,$AN411)),"子の生年月日がマスタと相違／","")&amp;IF(AND($L411&lt;&gt;"",INDEX(職員マスタ!$G$6:$G$405,$AN411)&lt;&gt;"",$L411&lt;&gt;INDEX(職員マスタ!$G$6:$G$405,$AN411)),"時短開始日がマスタと相違／","")&amp;IF(AND($M411&lt;&gt;"",INDEX(職員マスタ!$H$6:$H$405,$AN411)&lt;&gt;"",$M411&lt;&gt;INDEX(職員マスタ!$H$6:$H$405,$AN411)),"時短終了日がマスタと相違／","")))&amp;IF(AND($B411&lt;&gt;"",$E411=""),"報酬額が未入力／","")&amp;IF(N($U411)&gt;0,"申請書に入力エラーが残っています／","")&amp;IF(AND($B411&lt;&gt;"",$AO411&lt;&gt;""),IF(COUNTIFS($B$6:$B$3005,$B411,$C$6:$C$3005,$C411,$D$6:$D$3005,$D411)&gt;1,"同じ月の請求が重複しています／",""),"")&amp;IF(AND(N($E411)&gt;0,$Z411&lt;&gt;"",$Z411&lt;&gt;"×",$AC411=0,$AB411=""),"計算額が下限以下のため不支給／",""))</f>
        <v/>
      </c>
      <c r="AL411" s="12" t="n"/>
      <c r="AM411" s="14">
        <f>IF($AD411="保留中",COUNTIF($AD$6:$AD411,"保留中"),"")</f>
        <v/>
      </c>
      <c r="AN411" s="14">
        <f>IF($AO411="","",IF(SUMPRODUCT(MAX((職員マスタ!$A$6:$A$405=$B411)*(((職員マスタ!$G$6:$G$405="")+(職員マスタ!$G$6:$G$405&lt;=EOMONTH($AO411,0)))&gt;0)*(((職員マスタ!$H$6:$H$405="")+(職員マスタ!$H$6:$H$405&gt;=$AO411))&gt;0)*(ROW(職員マスタ!$A$6:$A$405)-5)))&gt;0,SUMPRODUCT(MAX((職員マスタ!$A$6:$A$405=$B411)*(((職員マスタ!$G$6:$G$405="")+(職員マスタ!$G$6:$G$405&lt;=EOMONTH($AO411,0)))&gt;0)*(((職員マスタ!$H$6:$H$405="")+(職員マスタ!$H$6:$H$405&gt;=$AO411))&gt;0)*(ROW(職員マスタ!$A$6:$A$405)-5))),IFERROR(MATCH($B411,職員マスタ!$A$6:$A$405,0),"")))</f>
        <v/>
      </c>
      <c r="AO411" s="16">
        <f>IF(OR($B411="",$C411="",$D411=""),"",DATE($C411+2018,$D411,1))</f>
        <v/>
      </c>
    </row>
    <row r="412">
      <c r="A412" s="11" t="n"/>
      <c r="B412" s="12" t="n">
        <v>6902241</v>
      </c>
      <c r="C412" s="12" t="n">
        <v>8</v>
      </c>
      <c r="D412" s="12" t="n">
        <v>6</v>
      </c>
      <c r="E412" s="13" t="n">
        <v>198410</v>
      </c>
      <c r="F412" s="12" t="n"/>
      <c r="G412" s="13" t="n"/>
      <c r="H412" s="12" t="n"/>
      <c r="I412" s="12" t="n"/>
      <c r="J412" s="12" t="n"/>
      <c r="K412" s="12" t="n"/>
      <c r="L412" s="11" t="n"/>
      <c r="M412" s="11" t="n"/>
      <c r="N412" s="11" t="n"/>
      <c r="O412" s="11" t="n"/>
      <c r="P412" s="12" t="n"/>
      <c r="Q412" s="11" t="n"/>
      <c r="R412" s="12" t="n"/>
      <c r="S412" s="11" t="n"/>
      <c r="T412" s="12" t="n"/>
      <c r="U412" s="12" t="n"/>
      <c r="V412" s="14">
        <f>IF($AN412="",IF($B412="","",$H412),IF(INDEX(職員マスタ!$B$6:$B$405,$AN412)="",$H412,INDEX(職員マスタ!$B$6:$B$405,$AN412)))</f>
        <v/>
      </c>
      <c r="W412" s="14">
        <f>IF($AN412="",IF($B412="","",$R412),IF(INDEX(職員マスタ!$C$6:$C$405,$AN412)="",$R412,INDEX(職員マスタ!$C$6:$C$405,$AN412)))</f>
        <v/>
      </c>
      <c r="X412" s="14">
        <f>IF($AO412="","","R"&amp;$C412&amp;"."&amp;$D412)</f>
        <v/>
      </c>
      <c r="Y412" s="15">
        <f>IF($AN412="","",IF(INDEX(職員マスタ!$K$6:$K$405,$AN412)="","",INDEX(職員マスタ!$K$6:$K$405,$AN412)))</f>
        <v/>
      </c>
      <c r="Z412" s="14">
        <f>IF(OR($E412="",$Y412=""),"",IF($E412&gt;=$Y412,"×",IF($E412&gt;=$Y412*設定!$C$5,"△","○")))</f>
        <v/>
      </c>
      <c r="AA412" s="15">
        <f>IF($Z412="","",IF($Z412="×",0,IF($Z412="○",ROUNDDOWN($E412*設定!$C$4,0),ROUNDDOWN($E412*ROUND((9*$Y412-9*$E412)/(10*$E412),4),0))))</f>
        <v/>
      </c>
      <c r="AB412" s="13" t="n"/>
      <c r="AC412" s="15">
        <f>IF($B412="","",IF($AB412&lt;&gt;"",$AB412,IF($AA412="","",IF($AA412&lt;=設定!$C$3,0,$AA412))))</f>
        <v/>
      </c>
      <c r="AD412" s="14">
        <f>IF($B412="","",IF(AND($AE412&lt;&gt;"",$AG412="",$AJ412=""),"保留中",IF($AJ412&lt;&gt;"",IF(N($AC412)&gt;0,"支給済","不支給"),IF($AC412="","要確認",IF($AC412=0,"不支給","未処理")))))</f>
        <v/>
      </c>
      <c r="AE412" s="12" t="n"/>
      <c r="AF412" s="11" t="n"/>
      <c r="AG412" s="11" t="n"/>
      <c r="AH412" s="11" t="n"/>
      <c r="AI412" s="14">
        <f>IF(AND($AD412="保留中",$AF412&lt;&gt;""),TODAY()-$AF412,"")</f>
        <v/>
      </c>
      <c r="AJ412" s="12" t="inlineStr">
        <is>
          <t>R8.10</t>
        </is>
      </c>
      <c r="AK412" s="14">
        <f>IF($B412="","",IF($AO412="","対象年月が未入力／","")&amp;IF($B412="","",IF($AN412="","職員マスタに未登録の職員番号／",IF($Y412="","標準報酬月額が未登録／","")&amp;IF(AND($AO412&lt;&gt;"",OR(AND(INDEX(職員マスタ!$G$6:$G$405,$AN412)&lt;&gt;"",INDEX(職員マスタ!$G$6:$G$405,$AN412)&gt;EOMONTH($AO412,0)),AND(INDEX(職員マスタ!$H$6:$H$405,$AN412)&lt;&gt;"",INDEX(職員マスタ!$H$6:$H$405,$AN412)&lt;$AO412))),"対象月が時短期間外／","")&amp;IF(AND(INDEX(職員マスタ!$F$6:$F$405,$AN412)&lt;&gt;"",$AO412&lt;&gt;"",INDEX(職員マスタ!$F$6:$F$405,$AN412)&lt;$AO412),"対象月に子が2歳到達済／","")&amp;IF(AND($H412&lt;&gt;"",INDEX(職員マスタ!$B$6:$B$405,$AN412)&lt;&gt;"",SUBSTITUTE(SUBSTITUTE($H412," ","")," ","")&lt;&gt;SUBSTITUTE(SUBSTITUTE(INDEX(職員マスタ!$B$6:$B$405,$AN412)," ","")," ","")),"氏名がマスタと相違／","")&amp;IF(AND($Q412&lt;&gt;"",INDEX(職員マスタ!$E$6:$E$405,$AN412)&lt;&gt;"",$Q412&lt;&gt;INDEX(職員マスタ!$E$6:$E$405,$AN412)),"子の生年月日がマスタと相違／","")&amp;IF(AND($L412&lt;&gt;"",INDEX(職員マスタ!$G$6:$G$405,$AN412)&lt;&gt;"",$L412&lt;&gt;INDEX(職員マスタ!$G$6:$G$405,$AN412)),"時短開始日がマスタと相違／","")&amp;IF(AND($M412&lt;&gt;"",INDEX(職員マスタ!$H$6:$H$405,$AN412)&lt;&gt;"",$M412&lt;&gt;INDEX(職員マスタ!$H$6:$H$405,$AN412)),"時短終了日がマスタと相違／","")))&amp;IF(AND($B412&lt;&gt;"",$E412=""),"報酬額が未入力／","")&amp;IF(N($U412)&gt;0,"申請書に入力エラーが残っています／","")&amp;IF(AND($B412&lt;&gt;"",$AO412&lt;&gt;""),IF(COUNTIFS($B$6:$B$3005,$B412,$C$6:$C$3005,$C412,$D$6:$D$3005,$D412)&gt;1,"同じ月の請求が重複しています／",""),"")&amp;IF(AND(N($E412)&gt;0,$Z412&lt;&gt;"",$Z412&lt;&gt;"×",$AC412=0,$AB412=""),"計算額が下限以下のため不支給／",""))</f>
        <v/>
      </c>
      <c r="AL412" s="12" t="n"/>
      <c r="AM412" s="14">
        <f>IF($AD412="保留中",COUNTIF($AD$6:$AD412,"保留中"),"")</f>
        <v/>
      </c>
      <c r="AN412" s="14">
        <f>IF($AO412="","",IF(SUMPRODUCT(MAX((職員マスタ!$A$6:$A$405=$B412)*(((職員マスタ!$G$6:$G$405="")+(職員マスタ!$G$6:$G$405&lt;=EOMONTH($AO412,0)))&gt;0)*(((職員マスタ!$H$6:$H$405="")+(職員マスタ!$H$6:$H$405&gt;=$AO412))&gt;0)*(ROW(職員マスタ!$A$6:$A$405)-5)))&gt;0,SUMPRODUCT(MAX((職員マスタ!$A$6:$A$405=$B412)*(((職員マスタ!$G$6:$G$405="")+(職員マスタ!$G$6:$G$405&lt;=EOMONTH($AO412,0)))&gt;0)*(((職員マスタ!$H$6:$H$405="")+(職員マスタ!$H$6:$H$405&gt;=$AO412))&gt;0)*(ROW(職員マスタ!$A$6:$A$405)-5))),IFERROR(MATCH($B412,職員マスタ!$A$6:$A$405,0),"")))</f>
        <v/>
      </c>
      <c r="AO412" s="16">
        <f>IF(OR($B412="",$C412="",$D412=""),"",DATE($C412+2018,$D412,1))</f>
        <v/>
      </c>
    </row>
    <row r="413">
      <c r="A413" s="11" t="n"/>
      <c r="B413" s="12" t="n">
        <v>6902241</v>
      </c>
      <c r="C413" s="12" t="n">
        <v>8</v>
      </c>
      <c r="D413" s="12" t="n">
        <v>7</v>
      </c>
      <c r="E413" s="13" t="n">
        <v>193410</v>
      </c>
      <c r="F413" s="12" t="n"/>
      <c r="G413" s="13" t="n"/>
      <c r="H413" s="12" t="n"/>
      <c r="I413" s="12" t="n"/>
      <c r="J413" s="12" t="n"/>
      <c r="K413" s="12" t="n"/>
      <c r="L413" s="11" t="n"/>
      <c r="M413" s="11" t="n"/>
      <c r="N413" s="11" t="n"/>
      <c r="O413" s="11" t="n"/>
      <c r="P413" s="12" t="n"/>
      <c r="Q413" s="11" t="n"/>
      <c r="R413" s="12" t="n"/>
      <c r="S413" s="11" t="n"/>
      <c r="T413" s="12" t="n"/>
      <c r="U413" s="12" t="n"/>
      <c r="V413" s="14">
        <f>IF($AN413="",IF($B413="","",$H413),IF(INDEX(職員マスタ!$B$6:$B$405,$AN413)="",$H413,INDEX(職員マスタ!$B$6:$B$405,$AN413)))</f>
        <v/>
      </c>
      <c r="W413" s="14">
        <f>IF($AN413="",IF($B413="","",$R413),IF(INDEX(職員マスタ!$C$6:$C$405,$AN413)="",$R413,INDEX(職員マスタ!$C$6:$C$405,$AN413)))</f>
        <v/>
      </c>
      <c r="X413" s="14">
        <f>IF($AO413="","","R"&amp;$C413&amp;"."&amp;$D413)</f>
        <v/>
      </c>
      <c r="Y413" s="15">
        <f>IF($AN413="","",IF(INDEX(職員マスタ!$K$6:$K$405,$AN413)="","",INDEX(職員マスタ!$K$6:$K$405,$AN413)))</f>
        <v/>
      </c>
      <c r="Z413" s="14">
        <f>IF(OR($E413="",$Y413=""),"",IF($E413&gt;=$Y413,"×",IF($E413&gt;=$Y413*設定!$C$5,"△","○")))</f>
        <v/>
      </c>
      <c r="AA413" s="15">
        <f>IF($Z413="","",IF($Z413="×",0,IF($Z413="○",ROUNDDOWN($E413*設定!$C$4,0),ROUNDDOWN($E413*ROUND((9*$Y413-9*$E413)/(10*$E413),4),0))))</f>
        <v/>
      </c>
      <c r="AB413" s="13" t="n"/>
      <c r="AC413" s="15">
        <f>IF($B413="","",IF($AB413&lt;&gt;"",$AB413,IF($AA413="","",IF($AA413&lt;=設定!$C$3,0,$AA413))))</f>
        <v/>
      </c>
      <c r="AD413" s="14">
        <f>IF($B413="","",IF(AND($AE413&lt;&gt;"",$AG413="",$AJ413=""),"保留中",IF($AJ413&lt;&gt;"",IF(N($AC413)&gt;0,"支給済","不支給"),IF($AC413="","要確認",IF($AC413=0,"不支給","未処理")))))</f>
        <v/>
      </c>
      <c r="AE413" s="12" t="n"/>
      <c r="AF413" s="11" t="n"/>
      <c r="AG413" s="11" t="n"/>
      <c r="AH413" s="11" t="n"/>
      <c r="AI413" s="14">
        <f>IF(AND($AD413="保留中",$AF413&lt;&gt;""),TODAY()-$AF413,"")</f>
        <v/>
      </c>
      <c r="AJ413" s="12" t="inlineStr">
        <is>
          <t>R8.10</t>
        </is>
      </c>
      <c r="AK413" s="14">
        <f>IF($B413="","",IF($AO413="","対象年月が未入力／","")&amp;IF($B413="","",IF($AN413="","職員マスタに未登録の職員番号／",IF($Y413="","標準報酬月額が未登録／","")&amp;IF(AND($AO413&lt;&gt;"",OR(AND(INDEX(職員マスタ!$G$6:$G$405,$AN413)&lt;&gt;"",INDEX(職員マスタ!$G$6:$G$405,$AN413)&gt;EOMONTH($AO413,0)),AND(INDEX(職員マスタ!$H$6:$H$405,$AN413)&lt;&gt;"",INDEX(職員マスタ!$H$6:$H$405,$AN413)&lt;$AO413))),"対象月が時短期間外／","")&amp;IF(AND(INDEX(職員マスタ!$F$6:$F$405,$AN413)&lt;&gt;"",$AO413&lt;&gt;"",INDEX(職員マスタ!$F$6:$F$405,$AN413)&lt;$AO413),"対象月に子が2歳到達済／","")&amp;IF(AND($H413&lt;&gt;"",INDEX(職員マスタ!$B$6:$B$405,$AN413)&lt;&gt;"",SUBSTITUTE(SUBSTITUTE($H413," ","")," ","")&lt;&gt;SUBSTITUTE(SUBSTITUTE(INDEX(職員マスタ!$B$6:$B$405,$AN413)," ","")," ","")),"氏名がマスタと相違／","")&amp;IF(AND($Q413&lt;&gt;"",INDEX(職員マスタ!$E$6:$E$405,$AN413)&lt;&gt;"",$Q413&lt;&gt;INDEX(職員マスタ!$E$6:$E$405,$AN413)),"子の生年月日がマスタと相違／","")&amp;IF(AND($L413&lt;&gt;"",INDEX(職員マスタ!$G$6:$G$405,$AN413)&lt;&gt;"",$L413&lt;&gt;INDEX(職員マスタ!$G$6:$G$405,$AN413)),"時短開始日がマスタと相違／","")&amp;IF(AND($M413&lt;&gt;"",INDEX(職員マスタ!$H$6:$H$405,$AN413)&lt;&gt;"",$M413&lt;&gt;INDEX(職員マスタ!$H$6:$H$405,$AN413)),"時短終了日がマスタと相違／","")))&amp;IF(AND($B413&lt;&gt;"",$E413=""),"報酬額が未入力／","")&amp;IF(N($U413)&gt;0,"申請書に入力エラーが残っています／","")&amp;IF(AND($B413&lt;&gt;"",$AO413&lt;&gt;""),IF(COUNTIFS($B$6:$B$3005,$B413,$C$6:$C$3005,$C413,$D$6:$D$3005,$D413)&gt;1,"同じ月の請求が重複しています／",""),"")&amp;IF(AND(N($E413)&gt;0,$Z413&lt;&gt;"",$Z413&lt;&gt;"×",$AC413=0,$AB413=""),"計算額が下限以下のため不支給／",""))</f>
        <v/>
      </c>
      <c r="AL413" s="12" t="n"/>
      <c r="AM413" s="14">
        <f>IF($AD413="保留中",COUNTIF($AD$6:$AD413,"保留中"),"")</f>
        <v/>
      </c>
      <c r="AN413" s="14">
        <f>IF($AO413="","",IF(SUMPRODUCT(MAX((職員マスタ!$A$6:$A$405=$B413)*(((職員マスタ!$G$6:$G$405="")+(職員マスタ!$G$6:$G$405&lt;=EOMONTH($AO413,0)))&gt;0)*(((職員マスタ!$H$6:$H$405="")+(職員マスタ!$H$6:$H$405&gt;=$AO413))&gt;0)*(ROW(職員マスタ!$A$6:$A$405)-5)))&gt;0,SUMPRODUCT(MAX((職員マスタ!$A$6:$A$405=$B413)*(((職員マスタ!$G$6:$G$405="")+(職員マスタ!$G$6:$G$405&lt;=EOMONTH($AO413,0)))&gt;0)*(((職員マスタ!$H$6:$H$405="")+(職員マスタ!$H$6:$H$405&gt;=$AO413))&gt;0)*(ROW(職員マスタ!$A$6:$A$405)-5))),IFERROR(MATCH($B413,職員マスタ!$A$6:$A$405,0),"")))</f>
        <v/>
      </c>
      <c r="AO413" s="16">
        <f>IF(OR($B413="",$C413="",$D413=""),"",DATE($C413+2018,$D413,1))</f>
        <v/>
      </c>
    </row>
    <row r="414">
      <c r="A414" s="11" t="n"/>
      <c r="B414" s="12" t="n">
        <v>6902241</v>
      </c>
      <c r="C414" s="12" t="n">
        <v>8</v>
      </c>
      <c r="D414" s="12" t="n">
        <v>8</v>
      </c>
      <c r="E414" s="13" t="n">
        <v>193410</v>
      </c>
      <c r="F414" s="12" t="n"/>
      <c r="G414" s="13" t="n"/>
      <c r="H414" s="12" t="n"/>
      <c r="I414" s="12" t="n"/>
      <c r="J414" s="12" t="n"/>
      <c r="K414" s="12" t="n"/>
      <c r="L414" s="11" t="n"/>
      <c r="M414" s="11" t="n"/>
      <c r="N414" s="11" t="n"/>
      <c r="O414" s="11" t="n"/>
      <c r="P414" s="12" t="n"/>
      <c r="Q414" s="11" t="n"/>
      <c r="R414" s="12" t="n"/>
      <c r="S414" s="11" t="n"/>
      <c r="T414" s="12" t="n"/>
      <c r="U414" s="12" t="n"/>
      <c r="V414" s="14">
        <f>IF($AN414="",IF($B414="","",$H414),IF(INDEX(職員マスタ!$B$6:$B$405,$AN414)="",$H414,INDEX(職員マスタ!$B$6:$B$405,$AN414)))</f>
        <v/>
      </c>
      <c r="W414" s="14">
        <f>IF($AN414="",IF($B414="","",$R414),IF(INDEX(職員マスタ!$C$6:$C$405,$AN414)="",$R414,INDEX(職員マスタ!$C$6:$C$405,$AN414)))</f>
        <v/>
      </c>
      <c r="X414" s="14">
        <f>IF($AO414="","","R"&amp;$C414&amp;"."&amp;$D414)</f>
        <v/>
      </c>
      <c r="Y414" s="15">
        <f>IF($AN414="","",IF(INDEX(職員マスタ!$K$6:$K$405,$AN414)="","",INDEX(職員マスタ!$K$6:$K$405,$AN414)))</f>
        <v/>
      </c>
      <c r="Z414" s="14">
        <f>IF(OR($E414="",$Y414=""),"",IF($E414&gt;=$Y414,"×",IF($E414&gt;=$Y414*設定!$C$5,"△","○")))</f>
        <v/>
      </c>
      <c r="AA414" s="15">
        <f>IF($Z414="","",IF($Z414="×",0,IF($Z414="○",ROUNDDOWN($E414*設定!$C$4,0),ROUNDDOWN($E414*ROUND((9*$Y414-9*$E414)/(10*$E414),4),0))))</f>
        <v/>
      </c>
      <c r="AB414" s="13" t="n"/>
      <c r="AC414" s="15">
        <f>IF($B414="","",IF($AB414&lt;&gt;"",$AB414,IF($AA414="","",IF($AA414&lt;=設定!$C$3,0,$AA414))))</f>
        <v/>
      </c>
      <c r="AD414" s="14">
        <f>IF($B414="","",IF(AND($AE414&lt;&gt;"",$AG414="",$AJ414=""),"保留中",IF($AJ414&lt;&gt;"",IF(N($AC414)&gt;0,"支給済","不支給"),IF($AC414="","要確認",IF($AC414=0,"不支給","未処理")))))</f>
        <v/>
      </c>
      <c r="AE414" s="12" t="n"/>
      <c r="AF414" s="11" t="n"/>
      <c r="AG414" s="11" t="n"/>
      <c r="AH414" s="11" t="n"/>
      <c r="AI414" s="14">
        <f>IF(AND($AD414="保留中",$AF414&lt;&gt;""),TODAY()-$AF414,"")</f>
        <v/>
      </c>
      <c r="AJ414" s="12" t="inlineStr">
        <is>
          <t>R8.10</t>
        </is>
      </c>
      <c r="AK414" s="14">
        <f>IF($B414="","",IF($AO414="","対象年月が未入力／","")&amp;IF($B414="","",IF($AN414="","職員マスタに未登録の職員番号／",IF($Y414="","標準報酬月額が未登録／","")&amp;IF(AND($AO414&lt;&gt;"",OR(AND(INDEX(職員マスタ!$G$6:$G$405,$AN414)&lt;&gt;"",INDEX(職員マスタ!$G$6:$G$405,$AN414)&gt;EOMONTH($AO414,0)),AND(INDEX(職員マスタ!$H$6:$H$405,$AN414)&lt;&gt;"",INDEX(職員マスタ!$H$6:$H$405,$AN414)&lt;$AO414))),"対象月が時短期間外／","")&amp;IF(AND(INDEX(職員マスタ!$F$6:$F$405,$AN414)&lt;&gt;"",$AO414&lt;&gt;"",INDEX(職員マスタ!$F$6:$F$405,$AN414)&lt;$AO414),"対象月に子が2歳到達済／","")&amp;IF(AND($H414&lt;&gt;"",INDEX(職員マスタ!$B$6:$B$405,$AN414)&lt;&gt;"",SUBSTITUTE(SUBSTITUTE($H414," ","")," ","")&lt;&gt;SUBSTITUTE(SUBSTITUTE(INDEX(職員マスタ!$B$6:$B$405,$AN414)," ","")," ","")),"氏名がマスタと相違／","")&amp;IF(AND($Q414&lt;&gt;"",INDEX(職員マスタ!$E$6:$E$405,$AN414)&lt;&gt;"",$Q414&lt;&gt;INDEX(職員マスタ!$E$6:$E$405,$AN414)),"子の生年月日がマスタと相違／","")&amp;IF(AND($L414&lt;&gt;"",INDEX(職員マスタ!$G$6:$G$405,$AN414)&lt;&gt;"",$L414&lt;&gt;INDEX(職員マスタ!$G$6:$G$405,$AN414)),"時短開始日がマスタと相違／","")&amp;IF(AND($M414&lt;&gt;"",INDEX(職員マスタ!$H$6:$H$405,$AN414)&lt;&gt;"",$M414&lt;&gt;INDEX(職員マスタ!$H$6:$H$405,$AN414)),"時短終了日がマスタと相違／","")))&amp;IF(AND($B414&lt;&gt;"",$E414=""),"報酬額が未入力／","")&amp;IF(N($U414)&gt;0,"申請書に入力エラーが残っています／","")&amp;IF(AND($B414&lt;&gt;"",$AO414&lt;&gt;""),IF(COUNTIFS($B$6:$B$3005,$B414,$C$6:$C$3005,$C414,$D$6:$D$3005,$D414)&gt;1,"同じ月の請求が重複しています／",""),"")&amp;IF(AND(N($E414)&gt;0,$Z414&lt;&gt;"",$Z414&lt;&gt;"×",$AC414=0,$AB414=""),"計算額が下限以下のため不支給／",""))</f>
        <v/>
      </c>
      <c r="AL414" s="12" t="n"/>
      <c r="AM414" s="14">
        <f>IF($AD414="保留中",COUNTIF($AD$6:$AD414,"保留中"),"")</f>
        <v/>
      </c>
      <c r="AN414" s="14">
        <f>IF($AO414="","",IF(SUMPRODUCT(MAX((職員マスタ!$A$6:$A$405=$B414)*(((職員マスタ!$G$6:$G$405="")+(職員マスタ!$G$6:$G$405&lt;=EOMONTH($AO414,0)))&gt;0)*(((職員マスタ!$H$6:$H$405="")+(職員マスタ!$H$6:$H$405&gt;=$AO414))&gt;0)*(ROW(職員マスタ!$A$6:$A$405)-5)))&gt;0,SUMPRODUCT(MAX((職員マスタ!$A$6:$A$405=$B414)*(((職員マスタ!$G$6:$G$405="")+(職員マスタ!$G$6:$G$405&lt;=EOMONTH($AO414,0)))&gt;0)*(((職員マスタ!$H$6:$H$405="")+(職員マスタ!$H$6:$H$405&gt;=$AO414))&gt;0)*(ROW(職員マスタ!$A$6:$A$405)-5))),IFERROR(MATCH($B414,職員マスタ!$A$6:$A$405,0),"")))</f>
        <v/>
      </c>
      <c r="AO414" s="16">
        <f>IF(OR($B414="",$C414="",$D414=""),"",DATE($C414+2018,$D414,1))</f>
        <v/>
      </c>
    </row>
    <row r="415">
      <c r="A415" s="11" t="n"/>
      <c r="B415" s="12" t="n">
        <v>6902308</v>
      </c>
      <c r="C415" s="12" t="n">
        <v>7</v>
      </c>
      <c r="D415" s="12" t="n">
        <v>7</v>
      </c>
      <c r="E415" s="13" t="n">
        <v>95824</v>
      </c>
      <c r="F415" s="12" t="n"/>
      <c r="G415" s="13" t="n"/>
      <c r="H415" s="12" t="n"/>
      <c r="I415" s="12" t="n"/>
      <c r="J415" s="12" t="n"/>
      <c r="K415" s="12" t="n"/>
      <c r="L415" s="11" t="n"/>
      <c r="M415" s="11" t="n"/>
      <c r="N415" s="11" t="n"/>
      <c r="O415" s="11" t="n"/>
      <c r="P415" s="12" t="n"/>
      <c r="Q415" s="11" t="n"/>
      <c r="R415" s="12" t="n"/>
      <c r="S415" s="11" t="n"/>
      <c r="T415" s="12" t="n"/>
      <c r="U415" s="12" t="n"/>
      <c r="V415" s="14">
        <f>IF($AN415="",IF($B415="","",$H415),IF(INDEX(職員マスタ!$B$6:$B$405,$AN415)="",$H415,INDEX(職員マスタ!$B$6:$B$405,$AN415)))</f>
        <v/>
      </c>
      <c r="W415" s="14">
        <f>IF($AN415="",IF($B415="","",$R415),IF(INDEX(職員マスタ!$C$6:$C$405,$AN415)="",$R415,INDEX(職員マスタ!$C$6:$C$405,$AN415)))</f>
        <v/>
      </c>
      <c r="X415" s="14">
        <f>IF($AO415="","","R"&amp;$C415&amp;"."&amp;$D415)</f>
        <v/>
      </c>
      <c r="Y415" s="15">
        <f>IF($AN415="","",IF(INDEX(職員マスタ!$K$6:$K$405,$AN415)="","",INDEX(職員マスタ!$K$6:$K$405,$AN415)))</f>
        <v/>
      </c>
      <c r="Z415" s="14">
        <f>IF(OR($E415="",$Y415=""),"",IF($E415&gt;=$Y415,"×",IF($E415&gt;=$Y415*設定!$C$5,"△","○")))</f>
        <v/>
      </c>
      <c r="AA415" s="15">
        <f>IF($Z415="","",IF($Z415="×",0,IF($Z415="○",ROUNDDOWN($E415*設定!$C$4,0),ROUNDDOWN($E415*ROUND((9*$Y415-9*$E415)/(10*$E415),4),0))))</f>
        <v/>
      </c>
      <c r="AB415" s="13" t="n"/>
      <c r="AC415" s="15">
        <f>IF($B415="","",IF($AB415&lt;&gt;"",$AB415,IF($AA415="","",IF($AA415&lt;=設定!$C$3,0,$AA415))))</f>
        <v/>
      </c>
      <c r="AD415" s="14">
        <f>IF($B415="","",IF(AND($AE415&lt;&gt;"",$AG415="",$AJ415=""),"保留中",IF($AJ415&lt;&gt;"",IF(N($AC415)&gt;0,"支給済","不支給"),IF($AC415="","要確認",IF($AC415=0,"不支給","未処理")))))</f>
        <v/>
      </c>
      <c r="AE415" s="12" t="n"/>
      <c r="AF415" s="11" t="n"/>
      <c r="AG415" s="11" t="n"/>
      <c r="AH415" s="11" t="n"/>
      <c r="AI415" s="14">
        <f>IF(AND($AD415="保留中",$AF415&lt;&gt;""),TODAY()-$AF415,"")</f>
        <v/>
      </c>
      <c r="AJ415" s="12" t="inlineStr">
        <is>
          <t>R7.9</t>
        </is>
      </c>
      <c r="AK415" s="14">
        <f>IF($B415="","",IF($AO415="","対象年月が未入力／","")&amp;IF($B415="","",IF($AN415="","職員マスタに未登録の職員番号／",IF($Y415="","標準報酬月額が未登録／","")&amp;IF(AND($AO415&lt;&gt;"",OR(AND(INDEX(職員マスタ!$G$6:$G$405,$AN415)&lt;&gt;"",INDEX(職員マスタ!$G$6:$G$405,$AN415)&gt;EOMONTH($AO415,0)),AND(INDEX(職員マスタ!$H$6:$H$405,$AN415)&lt;&gt;"",INDEX(職員マスタ!$H$6:$H$405,$AN415)&lt;$AO415))),"対象月が時短期間外／","")&amp;IF(AND(INDEX(職員マスタ!$F$6:$F$405,$AN415)&lt;&gt;"",$AO415&lt;&gt;"",INDEX(職員マスタ!$F$6:$F$405,$AN415)&lt;$AO415),"対象月に子が2歳到達済／","")&amp;IF(AND($H415&lt;&gt;"",INDEX(職員マスタ!$B$6:$B$405,$AN415)&lt;&gt;"",SUBSTITUTE(SUBSTITUTE($H415," ","")," ","")&lt;&gt;SUBSTITUTE(SUBSTITUTE(INDEX(職員マスタ!$B$6:$B$405,$AN415)," ","")," ","")),"氏名がマスタと相違／","")&amp;IF(AND($Q415&lt;&gt;"",INDEX(職員マスタ!$E$6:$E$405,$AN415)&lt;&gt;"",$Q415&lt;&gt;INDEX(職員マスタ!$E$6:$E$405,$AN415)),"子の生年月日がマスタと相違／","")&amp;IF(AND($L415&lt;&gt;"",INDEX(職員マスタ!$G$6:$G$405,$AN415)&lt;&gt;"",$L415&lt;&gt;INDEX(職員マスタ!$G$6:$G$405,$AN415)),"時短開始日がマスタと相違／","")&amp;IF(AND($M415&lt;&gt;"",INDEX(職員マスタ!$H$6:$H$405,$AN415)&lt;&gt;"",$M415&lt;&gt;INDEX(職員マスタ!$H$6:$H$405,$AN415)),"時短終了日がマスタと相違／","")))&amp;IF(AND($B415&lt;&gt;"",$E415=""),"報酬額が未入力／","")&amp;IF(N($U415)&gt;0,"申請書に入力エラーが残っています／","")&amp;IF(AND($B415&lt;&gt;"",$AO415&lt;&gt;""),IF(COUNTIFS($B$6:$B$3005,$B415,$C$6:$C$3005,$C415,$D$6:$D$3005,$D415)&gt;1,"同じ月の請求が重複しています／",""),"")&amp;IF(AND(N($E415)&gt;0,$Z415&lt;&gt;"",$Z415&lt;&gt;"×",$AC415=0,$AB415=""),"計算額が下限以下のため不支給／",""))</f>
        <v/>
      </c>
      <c r="AL415" s="12" t="n"/>
      <c r="AM415" s="14">
        <f>IF($AD415="保留中",COUNTIF($AD$6:$AD415,"保留中"),"")</f>
        <v/>
      </c>
      <c r="AN415" s="14">
        <f>IF($AO415="","",IF(SUMPRODUCT(MAX((職員マスタ!$A$6:$A$405=$B415)*(((職員マスタ!$G$6:$G$405="")+(職員マスタ!$G$6:$G$405&lt;=EOMONTH($AO415,0)))&gt;0)*(((職員マスタ!$H$6:$H$405="")+(職員マスタ!$H$6:$H$405&gt;=$AO415))&gt;0)*(ROW(職員マスタ!$A$6:$A$405)-5)))&gt;0,SUMPRODUCT(MAX((職員マスタ!$A$6:$A$405=$B415)*(((職員マスタ!$G$6:$G$405="")+(職員マスタ!$G$6:$G$405&lt;=EOMONTH($AO415,0)))&gt;0)*(((職員マスタ!$H$6:$H$405="")+(職員マスタ!$H$6:$H$405&gt;=$AO415))&gt;0)*(ROW(職員マスタ!$A$6:$A$405)-5))),IFERROR(MATCH($B415,職員マスタ!$A$6:$A$405,0),"")))</f>
        <v/>
      </c>
      <c r="AO415" s="16">
        <f>IF(OR($B415="",$C415="",$D415=""),"",DATE($C415+2018,$D415,1))</f>
        <v/>
      </c>
    </row>
    <row r="416">
      <c r="A416" s="11" t="n"/>
      <c r="B416" s="12" t="n">
        <v>6902308</v>
      </c>
      <c r="C416" s="12" t="n">
        <v>7</v>
      </c>
      <c r="D416" s="12" t="n">
        <v>8</v>
      </c>
      <c r="E416" s="13" t="n">
        <v>205115</v>
      </c>
      <c r="F416" s="12" t="n"/>
      <c r="G416" s="13" t="n"/>
      <c r="H416" s="12" t="n"/>
      <c r="I416" s="12" t="n"/>
      <c r="J416" s="12" t="n"/>
      <c r="K416" s="12" t="n"/>
      <c r="L416" s="11" t="n"/>
      <c r="M416" s="11" t="n"/>
      <c r="N416" s="11" t="n"/>
      <c r="O416" s="11" t="n"/>
      <c r="P416" s="12" t="n"/>
      <c r="Q416" s="11" t="n"/>
      <c r="R416" s="12" t="n"/>
      <c r="S416" s="11" t="n"/>
      <c r="T416" s="12" t="n"/>
      <c r="U416" s="12" t="n"/>
      <c r="V416" s="14">
        <f>IF($AN416="",IF($B416="","",$H416),IF(INDEX(職員マスタ!$B$6:$B$405,$AN416)="",$H416,INDEX(職員マスタ!$B$6:$B$405,$AN416)))</f>
        <v/>
      </c>
      <c r="W416" s="14">
        <f>IF($AN416="",IF($B416="","",$R416),IF(INDEX(職員マスタ!$C$6:$C$405,$AN416)="",$R416,INDEX(職員マスタ!$C$6:$C$405,$AN416)))</f>
        <v/>
      </c>
      <c r="X416" s="14">
        <f>IF($AO416="","","R"&amp;$C416&amp;"."&amp;$D416)</f>
        <v/>
      </c>
      <c r="Y416" s="15">
        <f>IF($AN416="","",IF(INDEX(職員マスタ!$K$6:$K$405,$AN416)="","",INDEX(職員マスタ!$K$6:$K$405,$AN416)))</f>
        <v/>
      </c>
      <c r="Z416" s="14">
        <f>IF(OR($E416="",$Y416=""),"",IF($E416&gt;=$Y416,"×",IF($E416&gt;=$Y416*設定!$C$5,"△","○")))</f>
        <v/>
      </c>
      <c r="AA416" s="15">
        <f>IF($Z416="","",IF($Z416="×",0,IF($Z416="○",ROUNDDOWN($E416*設定!$C$4,0),ROUNDDOWN($E416*ROUND((9*$Y416-9*$E416)/(10*$E416),4),0))))</f>
        <v/>
      </c>
      <c r="AB416" s="13" t="n"/>
      <c r="AC416" s="15">
        <f>IF($B416="","",IF($AB416&lt;&gt;"",$AB416,IF($AA416="","",IF($AA416&lt;=設定!$C$3,0,$AA416))))</f>
        <v/>
      </c>
      <c r="AD416" s="14">
        <f>IF($B416="","",IF(AND($AE416&lt;&gt;"",$AG416="",$AJ416=""),"保留中",IF($AJ416&lt;&gt;"",IF(N($AC416)&gt;0,"支給済","不支給"),IF($AC416="","要確認",IF($AC416=0,"不支給","未処理")))))</f>
        <v/>
      </c>
      <c r="AE416" s="12" t="n"/>
      <c r="AF416" s="11" t="n"/>
      <c r="AG416" s="11" t="n"/>
      <c r="AH416" s="11" t="n"/>
      <c r="AI416" s="14">
        <f>IF(AND($AD416="保留中",$AF416&lt;&gt;""),TODAY()-$AF416,"")</f>
        <v/>
      </c>
      <c r="AJ416" s="12" t="inlineStr">
        <is>
          <t>R7.10</t>
        </is>
      </c>
      <c r="AK416" s="14">
        <f>IF($B416="","",IF($AO416="","対象年月が未入力／","")&amp;IF($B416="","",IF($AN416="","職員マスタに未登録の職員番号／",IF($Y416="","標準報酬月額が未登録／","")&amp;IF(AND($AO416&lt;&gt;"",OR(AND(INDEX(職員マスタ!$G$6:$G$405,$AN416)&lt;&gt;"",INDEX(職員マスタ!$G$6:$G$405,$AN416)&gt;EOMONTH($AO416,0)),AND(INDEX(職員マスタ!$H$6:$H$405,$AN416)&lt;&gt;"",INDEX(職員マスタ!$H$6:$H$405,$AN416)&lt;$AO416))),"対象月が時短期間外／","")&amp;IF(AND(INDEX(職員マスタ!$F$6:$F$405,$AN416)&lt;&gt;"",$AO416&lt;&gt;"",INDEX(職員マスタ!$F$6:$F$405,$AN416)&lt;$AO416),"対象月に子が2歳到達済／","")&amp;IF(AND($H416&lt;&gt;"",INDEX(職員マスタ!$B$6:$B$405,$AN416)&lt;&gt;"",SUBSTITUTE(SUBSTITUTE($H416," ","")," ","")&lt;&gt;SUBSTITUTE(SUBSTITUTE(INDEX(職員マスタ!$B$6:$B$405,$AN416)," ","")," ","")),"氏名がマスタと相違／","")&amp;IF(AND($Q416&lt;&gt;"",INDEX(職員マスタ!$E$6:$E$405,$AN416)&lt;&gt;"",$Q416&lt;&gt;INDEX(職員マスタ!$E$6:$E$405,$AN416)),"子の生年月日がマスタと相違／","")&amp;IF(AND($L416&lt;&gt;"",INDEX(職員マスタ!$G$6:$G$405,$AN416)&lt;&gt;"",$L416&lt;&gt;INDEX(職員マスタ!$G$6:$G$405,$AN416)),"時短開始日がマスタと相違／","")&amp;IF(AND($M416&lt;&gt;"",INDEX(職員マスタ!$H$6:$H$405,$AN416)&lt;&gt;"",$M416&lt;&gt;INDEX(職員マスタ!$H$6:$H$405,$AN416)),"時短終了日がマスタと相違／","")))&amp;IF(AND($B416&lt;&gt;"",$E416=""),"報酬額が未入力／","")&amp;IF(N($U416)&gt;0,"申請書に入力エラーが残っています／","")&amp;IF(AND($B416&lt;&gt;"",$AO416&lt;&gt;""),IF(COUNTIFS($B$6:$B$3005,$B416,$C$6:$C$3005,$C416,$D$6:$D$3005,$D416)&gt;1,"同じ月の請求が重複しています／",""),"")&amp;IF(AND(N($E416)&gt;0,$Z416&lt;&gt;"",$Z416&lt;&gt;"×",$AC416=0,$AB416=""),"計算額が下限以下のため不支給／",""))</f>
        <v/>
      </c>
      <c r="AL416" s="12" t="n"/>
      <c r="AM416" s="14">
        <f>IF($AD416="保留中",COUNTIF($AD$6:$AD416,"保留中"),"")</f>
        <v/>
      </c>
      <c r="AN416" s="14">
        <f>IF($AO416="","",IF(SUMPRODUCT(MAX((職員マスタ!$A$6:$A$405=$B416)*(((職員マスタ!$G$6:$G$405="")+(職員マスタ!$G$6:$G$405&lt;=EOMONTH($AO416,0)))&gt;0)*(((職員マスタ!$H$6:$H$405="")+(職員マスタ!$H$6:$H$405&gt;=$AO416))&gt;0)*(ROW(職員マスタ!$A$6:$A$405)-5)))&gt;0,SUMPRODUCT(MAX((職員マスタ!$A$6:$A$405=$B416)*(((職員マスタ!$G$6:$G$405="")+(職員マスタ!$G$6:$G$405&lt;=EOMONTH($AO416,0)))&gt;0)*(((職員マスタ!$H$6:$H$405="")+(職員マスタ!$H$6:$H$405&gt;=$AO416))&gt;0)*(ROW(職員マスタ!$A$6:$A$405)-5))),IFERROR(MATCH($B416,職員マスタ!$A$6:$A$405,0),"")))</f>
        <v/>
      </c>
      <c r="AO416" s="16">
        <f>IF(OR($B416="",$C416="",$D416=""),"",DATE($C416+2018,$D416,1))</f>
        <v/>
      </c>
    </row>
    <row r="417">
      <c r="A417" s="11" t="n"/>
      <c r="B417" s="12" t="n">
        <v>6902308</v>
      </c>
      <c r="C417" s="12" t="n">
        <v>7</v>
      </c>
      <c r="D417" s="12" t="n">
        <v>9</v>
      </c>
      <c r="E417" s="13" t="n">
        <v>182981</v>
      </c>
      <c r="F417" s="12" t="n"/>
      <c r="G417" s="13" t="n"/>
      <c r="H417" s="12" t="n"/>
      <c r="I417" s="12" t="n"/>
      <c r="J417" s="12" t="n"/>
      <c r="K417" s="12" t="n"/>
      <c r="L417" s="11" t="n"/>
      <c r="M417" s="11" t="n"/>
      <c r="N417" s="11" t="n"/>
      <c r="O417" s="11" t="n"/>
      <c r="P417" s="12" t="n"/>
      <c r="Q417" s="11" t="n"/>
      <c r="R417" s="12" t="n"/>
      <c r="S417" s="11" t="n"/>
      <c r="T417" s="12" t="n"/>
      <c r="U417" s="12" t="n"/>
      <c r="V417" s="14">
        <f>IF($AN417="",IF($B417="","",$H417),IF(INDEX(職員マスタ!$B$6:$B$405,$AN417)="",$H417,INDEX(職員マスタ!$B$6:$B$405,$AN417)))</f>
        <v/>
      </c>
      <c r="W417" s="14">
        <f>IF($AN417="",IF($B417="","",$R417),IF(INDEX(職員マスタ!$C$6:$C$405,$AN417)="",$R417,INDEX(職員マスタ!$C$6:$C$405,$AN417)))</f>
        <v/>
      </c>
      <c r="X417" s="14">
        <f>IF($AO417="","","R"&amp;$C417&amp;"."&amp;$D417)</f>
        <v/>
      </c>
      <c r="Y417" s="15">
        <f>IF($AN417="","",IF(INDEX(職員マスタ!$K$6:$K$405,$AN417)="","",INDEX(職員マスタ!$K$6:$K$405,$AN417)))</f>
        <v/>
      </c>
      <c r="Z417" s="14">
        <f>IF(OR($E417="",$Y417=""),"",IF($E417&gt;=$Y417,"×",IF($E417&gt;=$Y417*設定!$C$5,"△","○")))</f>
        <v/>
      </c>
      <c r="AA417" s="15">
        <f>IF($Z417="","",IF($Z417="×",0,IF($Z417="○",ROUNDDOWN($E417*設定!$C$4,0),ROUNDDOWN($E417*ROUND((9*$Y417-9*$E417)/(10*$E417),4),0))))</f>
        <v/>
      </c>
      <c r="AB417" s="13" t="n"/>
      <c r="AC417" s="15">
        <f>IF($B417="","",IF($AB417&lt;&gt;"",$AB417,IF($AA417="","",IF($AA417&lt;=設定!$C$3,0,$AA417))))</f>
        <v/>
      </c>
      <c r="AD417" s="14">
        <f>IF($B417="","",IF(AND($AE417&lt;&gt;"",$AG417="",$AJ417=""),"保留中",IF($AJ417&lt;&gt;"",IF(N($AC417)&gt;0,"支給済","不支給"),IF($AC417="","要確認",IF($AC417=0,"不支給","未処理")))))</f>
        <v/>
      </c>
      <c r="AE417" s="12" t="n"/>
      <c r="AF417" s="11" t="n"/>
      <c r="AG417" s="11" t="n"/>
      <c r="AH417" s="11" t="n"/>
      <c r="AI417" s="14">
        <f>IF(AND($AD417="保留中",$AF417&lt;&gt;""),TODAY()-$AF417,"")</f>
        <v/>
      </c>
      <c r="AJ417" s="12" t="inlineStr">
        <is>
          <t>R7.11</t>
        </is>
      </c>
      <c r="AK417" s="14">
        <f>IF($B417="","",IF($AO417="","対象年月が未入力／","")&amp;IF($B417="","",IF($AN417="","職員マスタに未登録の職員番号／",IF($Y417="","標準報酬月額が未登録／","")&amp;IF(AND($AO417&lt;&gt;"",OR(AND(INDEX(職員マスタ!$G$6:$G$405,$AN417)&lt;&gt;"",INDEX(職員マスタ!$G$6:$G$405,$AN417)&gt;EOMONTH($AO417,0)),AND(INDEX(職員マスタ!$H$6:$H$405,$AN417)&lt;&gt;"",INDEX(職員マスタ!$H$6:$H$405,$AN417)&lt;$AO417))),"対象月が時短期間外／","")&amp;IF(AND(INDEX(職員マスタ!$F$6:$F$405,$AN417)&lt;&gt;"",$AO417&lt;&gt;"",INDEX(職員マスタ!$F$6:$F$405,$AN417)&lt;$AO417),"対象月に子が2歳到達済／","")&amp;IF(AND($H417&lt;&gt;"",INDEX(職員マスタ!$B$6:$B$405,$AN417)&lt;&gt;"",SUBSTITUTE(SUBSTITUTE($H417," ","")," ","")&lt;&gt;SUBSTITUTE(SUBSTITUTE(INDEX(職員マスタ!$B$6:$B$405,$AN417)," ","")," ","")),"氏名がマスタと相違／","")&amp;IF(AND($Q417&lt;&gt;"",INDEX(職員マスタ!$E$6:$E$405,$AN417)&lt;&gt;"",$Q417&lt;&gt;INDEX(職員マスタ!$E$6:$E$405,$AN417)),"子の生年月日がマスタと相違／","")&amp;IF(AND($L417&lt;&gt;"",INDEX(職員マスタ!$G$6:$G$405,$AN417)&lt;&gt;"",$L417&lt;&gt;INDEX(職員マスタ!$G$6:$G$405,$AN417)),"時短開始日がマスタと相違／","")&amp;IF(AND($M417&lt;&gt;"",INDEX(職員マスタ!$H$6:$H$405,$AN417)&lt;&gt;"",$M417&lt;&gt;INDEX(職員マスタ!$H$6:$H$405,$AN417)),"時短終了日がマスタと相違／","")))&amp;IF(AND($B417&lt;&gt;"",$E417=""),"報酬額が未入力／","")&amp;IF(N($U417)&gt;0,"申請書に入力エラーが残っています／","")&amp;IF(AND($B417&lt;&gt;"",$AO417&lt;&gt;""),IF(COUNTIFS($B$6:$B$3005,$B417,$C$6:$C$3005,$C417,$D$6:$D$3005,$D417)&gt;1,"同じ月の請求が重複しています／",""),"")&amp;IF(AND(N($E417)&gt;0,$Z417&lt;&gt;"",$Z417&lt;&gt;"×",$AC417=0,$AB417=""),"計算額が下限以下のため不支給／",""))</f>
        <v/>
      </c>
      <c r="AL417" s="12" t="n"/>
      <c r="AM417" s="14">
        <f>IF($AD417="保留中",COUNTIF($AD$6:$AD417,"保留中"),"")</f>
        <v/>
      </c>
      <c r="AN417" s="14">
        <f>IF($AO417="","",IF(SUMPRODUCT(MAX((職員マスタ!$A$6:$A$405=$B417)*(((職員マスタ!$G$6:$G$405="")+(職員マスタ!$G$6:$G$405&lt;=EOMONTH($AO417,0)))&gt;0)*(((職員マスタ!$H$6:$H$405="")+(職員マスタ!$H$6:$H$405&gt;=$AO417))&gt;0)*(ROW(職員マスタ!$A$6:$A$405)-5)))&gt;0,SUMPRODUCT(MAX((職員マスタ!$A$6:$A$405=$B417)*(((職員マスタ!$G$6:$G$405="")+(職員マスタ!$G$6:$G$405&lt;=EOMONTH($AO417,0)))&gt;0)*(((職員マスタ!$H$6:$H$405="")+(職員マスタ!$H$6:$H$405&gt;=$AO417))&gt;0)*(ROW(職員マスタ!$A$6:$A$405)-5))),IFERROR(MATCH($B417,職員マスタ!$A$6:$A$405,0),"")))</f>
        <v/>
      </c>
      <c r="AO417" s="16">
        <f>IF(OR($B417="",$C417="",$D417=""),"",DATE($C417+2018,$D417,1))</f>
        <v/>
      </c>
    </row>
    <row r="418">
      <c r="A418" s="11" t="n"/>
      <c r="B418" s="12" t="n">
        <v>6902308</v>
      </c>
      <c r="C418" s="12" t="n">
        <v>7</v>
      </c>
      <c r="D418" s="12" t="n">
        <v>10</v>
      </c>
      <c r="E418" s="13" t="n">
        <v>183726</v>
      </c>
      <c r="F418" s="12" t="n"/>
      <c r="G418" s="13" t="n"/>
      <c r="H418" s="12" t="n"/>
      <c r="I418" s="12" t="n"/>
      <c r="J418" s="12" t="n"/>
      <c r="K418" s="12" t="n"/>
      <c r="L418" s="11" t="n"/>
      <c r="M418" s="11" t="n"/>
      <c r="N418" s="11" t="n"/>
      <c r="O418" s="11" t="n"/>
      <c r="P418" s="12" t="n"/>
      <c r="Q418" s="11" t="n"/>
      <c r="R418" s="12" t="n"/>
      <c r="S418" s="11" t="n"/>
      <c r="T418" s="12" t="n"/>
      <c r="U418" s="12" t="n"/>
      <c r="V418" s="14">
        <f>IF($AN418="",IF($B418="","",$H418),IF(INDEX(職員マスタ!$B$6:$B$405,$AN418)="",$H418,INDEX(職員マスタ!$B$6:$B$405,$AN418)))</f>
        <v/>
      </c>
      <c r="W418" s="14">
        <f>IF($AN418="",IF($B418="","",$R418),IF(INDEX(職員マスタ!$C$6:$C$405,$AN418)="",$R418,INDEX(職員マスタ!$C$6:$C$405,$AN418)))</f>
        <v/>
      </c>
      <c r="X418" s="14">
        <f>IF($AO418="","","R"&amp;$C418&amp;"."&amp;$D418)</f>
        <v/>
      </c>
      <c r="Y418" s="15">
        <f>IF($AN418="","",IF(INDEX(職員マスタ!$K$6:$K$405,$AN418)="","",INDEX(職員マスタ!$K$6:$K$405,$AN418)))</f>
        <v/>
      </c>
      <c r="Z418" s="14">
        <f>IF(OR($E418="",$Y418=""),"",IF($E418&gt;=$Y418,"×",IF($E418&gt;=$Y418*設定!$C$5,"△","○")))</f>
        <v/>
      </c>
      <c r="AA418" s="15">
        <f>IF($Z418="","",IF($Z418="×",0,IF($Z418="○",ROUNDDOWN($E418*設定!$C$4,0),ROUNDDOWN($E418*ROUND((9*$Y418-9*$E418)/(10*$E418),4),0))))</f>
        <v/>
      </c>
      <c r="AB418" s="13" t="n"/>
      <c r="AC418" s="15">
        <f>IF($B418="","",IF($AB418&lt;&gt;"",$AB418,IF($AA418="","",IF($AA418&lt;=設定!$C$3,0,$AA418))))</f>
        <v/>
      </c>
      <c r="AD418" s="14">
        <f>IF($B418="","",IF(AND($AE418&lt;&gt;"",$AG418="",$AJ418=""),"保留中",IF($AJ418&lt;&gt;"",IF(N($AC418)&gt;0,"支給済","不支給"),IF($AC418="","要確認",IF($AC418=0,"不支給","未処理")))))</f>
        <v/>
      </c>
      <c r="AE418" s="12" t="n"/>
      <c r="AF418" s="11" t="n"/>
      <c r="AG418" s="11" t="n"/>
      <c r="AH418" s="11" t="n"/>
      <c r="AI418" s="14">
        <f>IF(AND($AD418="保留中",$AF418&lt;&gt;""),TODAY()-$AF418,"")</f>
        <v/>
      </c>
      <c r="AJ418" s="12" t="inlineStr">
        <is>
          <t>R7.12</t>
        </is>
      </c>
      <c r="AK418" s="14">
        <f>IF($B418="","",IF($AO418="","対象年月が未入力／","")&amp;IF($B418="","",IF($AN418="","職員マスタに未登録の職員番号／",IF($Y418="","標準報酬月額が未登録／","")&amp;IF(AND($AO418&lt;&gt;"",OR(AND(INDEX(職員マスタ!$G$6:$G$405,$AN418)&lt;&gt;"",INDEX(職員マスタ!$G$6:$G$405,$AN418)&gt;EOMONTH($AO418,0)),AND(INDEX(職員マスタ!$H$6:$H$405,$AN418)&lt;&gt;"",INDEX(職員マスタ!$H$6:$H$405,$AN418)&lt;$AO418))),"対象月が時短期間外／","")&amp;IF(AND(INDEX(職員マスタ!$F$6:$F$405,$AN418)&lt;&gt;"",$AO418&lt;&gt;"",INDEX(職員マスタ!$F$6:$F$405,$AN418)&lt;$AO418),"対象月に子が2歳到達済／","")&amp;IF(AND($H418&lt;&gt;"",INDEX(職員マスタ!$B$6:$B$405,$AN418)&lt;&gt;"",SUBSTITUTE(SUBSTITUTE($H418," ","")," ","")&lt;&gt;SUBSTITUTE(SUBSTITUTE(INDEX(職員マスタ!$B$6:$B$405,$AN418)," ","")," ","")),"氏名がマスタと相違／","")&amp;IF(AND($Q418&lt;&gt;"",INDEX(職員マスタ!$E$6:$E$405,$AN418)&lt;&gt;"",$Q418&lt;&gt;INDEX(職員マスタ!$E$6:$E$405,$AN418)),"子の生年月日がマスタと相違／","")&amp;IF(AND($L418&lt;&gt;"",INDEX(職員マスタ!$G$6:$G$405,$AN418)&lt;&gt;"",$L418&lt;&gt;INDEX(職員マスタ!$G$6:$G$405,$AN418)),"時短開始日がマスタと相違／","")&amp;IF(AND($M418&lt;&gt;"",INDEX(職員マスタ!$H$6:$H$405,$AN418)&lt;&gt;"",$M418&lt;&gt;INDEX(職員マスタ!$H$6:$H$405,$AN418)),"時短終了日がマスタと相違／","")))&amp;IF(AND($B418&lt;&gt;"",$E418=""),"報酬額が未入力／","")&amp;IF(N($U418)&gt;0,"申請書に入力エラーが残っています／","")&amp;IF(AND($B418&lt;&gt;"",$AO418&lt;&gt;""),IF(COUNTIFS($B$6:$B$3005,$B418,$C$6:$C$3005,$C418,$D$6:$D$3005,$D418)&gt;1,"同じ月の請求が重複しています／",""),"")&amp;IF(AND(N($E418)&gt;0,$Z418&lt;&gt;"",$Z418&lt;&gt;"×",$AC418=0,$AB418=""),"計算額が下限以下のため不支給／",""))</f>
        <v/>
      </c>
      <c r="AL418" s="12" t="n"/>
      <c r="AM418" s="14">
        <f>IF($AD418="保留中",COUNTIF($AD$6:$AD418,"保留中"),"")</f>
        <v/>
      </c>
      <c r="AN418" s="14">
        <f>IF($AO418="","",IF(SUMPRODUCT(MAX((職員マスタ!$A$6:$A$405=$B418)*(((職員マスタ!$G$6:$G$405="")+(職員マスタ!$G$6:$G$405&lt;=EOMONTH($AO418,0)))&gt;0)*(((職員マスタ!$H$6:$H$405="")+(職員マスタ!$H$6:$H$405&gt;=$AO418))&gt;0)*(ROW(職員マスタ!$A$6:$A$405)-5)))&gt;0,SUMPRODUCT(MAX((職員マスタ!$A$6:$A$405=$B418)*(((職員マスタ!$G$6:$G$405="")+(職員マスタ!$G$6:$G$405&lt;=EOMONTH($AO418,0)))&gt;0)*(((職員マスタ!$H$6:$H$405="")+(職員マスタ!$H$6:$H$405&gt;=$AO418))&gt;0)*(ROW(職員マスタ!$A$6:$A$405)-5))),IFERROR(MATCH($B418,職員マスタ!$A$6:$A$405,0),"")))</f>
        <v/>
      </c>
      <c r="AO418" s="16">
        <f>IF(OR($B418="",$C418="",$D418=""),"",DATE($C418+2018,$D418,1))</f>
        <v/>
      </c>
    </row>
    <row r="419">
      <c r="A419" s="11" t="n"/>
      <c r="B419" s="12" t="n">
        <v>6902308</v>
      </c>
      <c r="C419" s="12" t="n">
        <v>7</v>
      </c>
      <c r="D419" s="12" t="n">
        <v>11</v>
      </c>
      <c r="E419" s="13" t="n">
        <v>183726</v>
      </c>
      <c r="F419" s="12" t="n"/>
      <c r="G419" s="13" t="n"/>
      <c r="H419" s="12" t="n"/>
      <c r="I419" s="12" t="n"/>
      <c r="J419" s="12" t="n"/>
      <c r="K419" s="12" t="n"/>
      <c r="L419" s="11" t="n"/>
      <c r="M419" s="11" t="n"/>
      <c r="N419" s="11" t="n"/>
      <c r="O419" s="11" t="n"/>
      <c r="P419" s="12" t="n"/>
      <c r="Q419" s="11" t="n"/>
      <c r="R419" s="12" t="n"/>
      <c r="S419" s="11" t="n"/>
      <c r="T419" s="12" t="n"/>
      <c r="U419" s="12" t="n"/>
      <c r="V419" s="14">
        <f>IF($AN419="",IF($B419="","",$H419),IF(INDEX(職員マスタ!$B$6:$B$405,$AN419)="",$H419,INDEX(職員マスタ!$B$6:$B$405,$AN419)))</f>
        <v/>
      </c>
      <c r="W419" s="14">
        <f>IF($AN419="",IF($B419="","",$R419),IF(INDEX(職員マスタ!$C$6:$C$405,$AN419)="",$R419,INDEX(職員マスタ!$C$6:$C$405,$AN419)))</f>
        <v/>
      </c>
      <c r="X419" s="14">
        <f>IF($AO419="","","R"&amp;$C419&amp;"."&amp;$D419)</f>
        <v/>
      </c>
      <c r="Y419" s="15">
        <f>IF($AN419="","",IF(INDEX(職員マスタ!$K$6:$K$405,$AN419)="","",INDEX(職員マスタ!$K$6:$K$405,$AN419)))</f>
        <v/>
      </c>
      <c r="Z419" s="14">
        <f>IF(OR($E419="",$Y419=""),"",IF($E419&gt;=$Y419,"×",IF($E419&gt;=$Y419*設定!$C$5,"△","○")))</f>
        <v/>
      </c>
      <c r="AA419" s="15">
        <f>IF($Z419="","",IF($Z419="×",0,IF($Z419="○",ROUNDDOWN($E419*設定!$C$4,0),ROUNDDOWN($E419*ROUND((9*$Y419-9*$E419)/(10*$E419),4),0))))</f>
        <v/>
      </c>
      <c r="AB419" s="13" t="n"/>
      <c r="AC419" s="15">
        <f>IF($B419="","",IF($AB419&lt;&gt;"",$AB419,IF($AA419="","",IF($AA419&lt;=設定!$C$3,0,$AA419))))</f>
        <v/>
      </c>
      <c r="AD419" s="14">
        <f>IF($B419="","",IF(AND($AE419&lt;&gt;"",$AG419="",$AJ419=""),"保留中",IF($AJ419&lt;&gt;"",IF(N($AC419)&gt;0,"支給済","不支給"),IF($AC419="","要確認",IF($AC419=0,"不支給","未処理")))))</f>
        <v/>
      </c>
      <c r="AE419" s="12" t="n"/>
      <c r="AF419" s="11" t="n"/>
      <c r="AG419" s="11" t="n"/>
      <c r="AH419" s="11" t="n"/>
      <c r="AI419" s="14">
        <f>IF(AND($AD419="保留中",$AF419&lt;&gt;""),TODAY()-$AF419,"")</f>
        <v/>
      </c>
      <c r="AJ419" s="12" t="inlineStr">
        <is>
          <t>R8.1</t>
        </is>
      </c>
      <c r="AK419" s="14">
        <f>IF($B419="","",IF($AO419="","対象年月が未入力／","")&amp;IF($B419="","",IF($AN419="","職員マスタに未登録の職員番号／",IF($Y419="","標準報酬月額が未登録／","")&amp;IF(AND($AO419&lt;&gt;"",OR(AND(INDEX(職員マスタ!$G$6:$G$405,$AN419)&lt;&gt;"",INDEX(職員マスタ!$G$6:$G$405,$AN419)&gt;EOMONTH($AO419,0)),AND(INDEX(職員マスタ!$H$6:$H$405,$AN419)&lt;&gt;"",INDEX(職員マスタ!$H$6:$H$405,$AN419)&lt;$AO419))),"対象月が時短期間外／","")&amp;IF(AND(INDEX(職員マスタ!$F$6:$F$405,$AN419)&lt;&gt;"",$AO419&lt;&gt;"",INDEX(職員マスタ!$F$6:$F$405,$AN419)&lt;$AO419),"対象月に子が2歳到達済／","")&amp;IF(AND($H419&lt;&gt;"",INDEX(職員マスタ!$B$6:$B$405,$AN419)&lt;&gt;"",SUBSTITUTE(SUBSTITUTE($H419," ","")," ","")&lt;&gt;SUBSTITUTE(SUBSTITUTE(INDEX(職員マスタ!$B$6:$B$405,$AN419)," ","")," ","")),"氏名がマスタと相違／","")&amp;IF(AND($Q419&lt;&gt;"",INDEX(職員マスタ!$E$6:$E$405,$AN419)&lt;&gt;"",$Q419&lt;&gt;INDEX(職員マスタ!$E$6:$E$405,$AN419)),"子の生年月日がマスタと相違／","")&amp;IF(AND($L419&lt;&gt;"",INDEX(職員マスタ!$G$6:$G$405,$AN419)&lt;&gt;"",$L419&lt;&gt;INDEX(職員マスタ!$G$6:$G$405,$AN419)),"時短開始日がマスタと相違／","")&amp;IF(AND($M419&lt;&gt;"",INDEX(職員マスタ!$H$6:$H$405,$AN419)&lt;&gt;"",$M419&lt;&gt;INDEX(職員マスタ!$H$6:$H$405,$AN419)),"時短終了日がマスタと相違／","")))&amp;IF(AND($B419&lt;&gt;"",$E419=""),"報酬額が未入力／","")&amp;IF(N($U419)&gt;0,"申請書に入力エラーが残っています／","")&amp;IF(AND($B419&lt;&gt;"",$AO419&lt;&gt;""),IF(COUNTIFS($B$6:$B$3005,$B419,$C$6:$C$3005,$C419,$D$6:$D$3005,$D419)&gt;1,"同じ月の請求が重複しています／",""),"")&amp;IF(AND(N($E419)&gt;0,$Z419&lt;&gt;"",$Z419&lt;&gt;"×",$AC419=0,$AB419=""),"計算額が下限以下のため不支給／",""))</f>
        <v/>
      </c>
      <c r="AL419" s="12" t="n"/>
      <c r="AM419" s="14">
        <f>IF($AD419="保留中",COUNTIF($AD$6:$AD419,"保留中"),"")</f>
        <v/>
      </c>
      <c r="AN419" s="14">
        <f>IF($AO419="","",IF(SUMPRODUCT(MAX((職員マスタ!$A$6:$A$405=$B419)*(((職員マスタ!$G$6:$G$405="")+(職員マスタ!$G$6:$G$405&lt;=EOMONTH($AO419,0)))&gt;0)*(((職員マスタ!$H$6:$H$405="")+(職員マスタ!$H$6:$H$405&gt;=$AO419))&gt;0)*(ROW(職員マスタ!$A$6:$A$405)-5)))&gt;0,SUMPRODUCT(MAX((職員マスタ!$A$6:$A$405=$B419)*(((職員マスタ!$G$6:$G$405="")+(職員マスタ!$G$6:$G$405&lt;=EOMONTH($AO419,0)))&gt;0)*(((職員マスタ!$H$6:$H$405="")+(職員マスタ!$H$6:$H$405&gt;=$AO419))&gt;0)*(ROW(職員マスタ!$A$6:$A$405)-5))),IFERROR(MATCH($B419,職員マスタ!$A$6:$A$405,0),"")))</f>
        <v/>
      </c>
      <c r="AO419" s="16">
        <f>IF(OR($B419="",$C419="",$D419=""),"",DATE($C419+2018,$D419,1))</f>
        <v/>
      </c>
    </row>
    <row r="420">
      <c r="A420" s="11" t="n"/>
      <c r="B420" s="12" t="n">
        <v>6902308</v>
      </c>
      <c r="C420" s="12" t="n">
        <v>7</v>
      </c>
      <c r="D420" s="12" t="n">
        <v>12</v>
      </c>
      <c r="E420" s="13" t="n">
        <v>190944</v>
      </c>
      <c r="F420" s="12" t="n"/>
      <c r="G420" s="13" t="n"/>
      <c r="H420" s="12" t="n"/>
      <c r="I420" s="12" t="n"/>
      <c r="J420" s="12" t="n"/>
      <c r="K420" s="12" t="n"/>
      <c r="L420" s="11" t="n"/>
      <c r="M420" s="11" t="n"/>
      <c r="N420" s="11" t="n"/>
      <c r="O420" s="11" t="n"/>
      <c r="P420" s="12" t="n"/>
      <c r="Q420" s="11" t="n"/>
      <c r="R420" s="12" t="n"/>
      <c r="S420" s="11" t="n"/>
      <c r="T420" s="12" t="n"/>
      <c r="U420" s="12" t="n"/>
      <c r="V420" s="14">
        <f>IF($AN420="",IF($B420="","",$H420),IF(INDEX(職員マスタ!$B$6:$B$405,$AN420)="",$H420,INDEX(職員マスタ!$B$6:$B$405,$AN420)))</f>
        <v/>
      </c>
      <c r="W420" s="14">
        <f>IF($AN420="",IF($B420="","",$R420),IF(INDEX(職員マスタ!$C$6:$C$405,$AN420)="",$R420,INDEX(職員マスタ!$C$6:$C$405,$AN420)))</f>
        <v/>
      </c>
      <c r="X420" s="14">
        <f>IF($AO420="","","R"&amp;$C420&amp;"."&amp;$D420)</f>
        <v/>
      </c>
      <c r="Y420" s="15">
        <f>IF($AN420="","",IF(INDEX(職員マスタ!$K$6:$K$405,$AN420)="","",INDEX(職員マスタ!$K$6:$K$405,$AN420)))</f>
        <v/>
      </c>
      <c r="Z420" s="14">
        <f>IF(OR($E420="",$Y420=""),"",IF($E420&gt;=$Y420,"×",IF($E420&gt;=$Y420*設定!$C$5,"△","○")))</f>
        <v/>
      </c>
      <c r="AA420" s="15">
        <f>IF($Z420="","",IF($Z420="×",0,IF($Z420="○",ROUNDDOWN($E420*設定!$C$4,0),ROUNDDOWN($E420*ROUND((9*$Y420-9*$E420)/(10*$E420),4),0))))</f>
        <v/>
      </c>
      <c r="AB420" s="13" t="n"/>
      <c r="AC420" s="15">
        <f>IF($B420="","",IF($AB420&lt;&gt;"",$AB420,IF($AA420="","",IF($AA420&lt;=設定!$C$3,0,$AA420))))</f>
        <v/>
      </c>
      <c r="AD420" s="14">
        <f>IF($B420="","",IF(AND($AE420&lt;&gt;"",$AG420="",$AJ420=""),"保留中",IF($AJ420&lt;&gt;"",IF(N($AC420)&gt;0,"支給済","不支給"),IF($AC420="","要確認",IF($AC420=0,"不支給","未処理")))))</f>
        <v/>
      </c>
      <c r="AE420" s="12" t="n"/>
      <c r="AF420" s="11" t="n"/>
      <c r="AG420" s="11" t="n"/>
      <c r="AH420" s="11" t="n"/>
      <c r="AI420" s="14">
        <f>IF(AND($AD420="保留中",$AF420&lt;&gt;""),TODAY()-$AF420,"")</f>
        <v/>
      </c>
      <c r="AJ420" s="12" t="inlineStr">
        <is>
          <t>R8.2</t>
        </is>
      </c>
      <c r="AK420" s="14">
        <f>IF($B420="","",IF($AO420="","対象年月が未入力／","")&amp;IF($B420="","",IF($AN420="","職員マスタに未登録の職員番号／",IF($Y420="","標準報酬月額が未登録／","")&amp;IF(AND($AO420&lt;&gt;"",OR(AND(INDEX(職員マスタ!$G$6:$G$405,$AN420)&lt;&gt;"",INDEX(職員マスタ!$G$6:$G$405,$AN420)&gt;EOMONTH($AO420,0)),AND(INDEX(職員マスタ!$H$6:$H$405,$AN420)&lt;&gt;"",INDEX(職員マスタ!$H$6:$H$405,$AN420)&lt;$AO420))),"対象月が時短期間外／","")&amp;IF(AND(INDEX(職員マスタ!$F$6:$F$405,$AN420)&lt;&gt;"",$AO420&lt;&gt;"",INDEX(職員マスタ!$F$6:$F$405,$AN420)&lt;$AO420),"対象月に子が2歳到達済／","")&amp;IF(AND($H420&lt;&gt;"",INDEX(職員マスタ!$B$6:$B$405,$AN420)&lt;&gt;"",SUBSTITUTE(SUBSTITUTE($H420," ","")," ","")&lt;&gt;SUBSTITUTE(SUBSTITUTE(INDEX(職員マスタ!$B$6:$B$405,$AN420)," ","")," ","")),"氏名がマスタと相違／","")&amp;IF(AND($Q420&lt;&gt;"",INDEX(職員マスタ!$E$6:$E$405,$AN420)&lt;&gt;"",$Q420&lt;&gt;INDEX(職員マスタ!$E$6:$E$405,$AN420)),"子の生年月日がマスタと相違／","")&amp;IF(AND($L420&lt;&gt;"",INDEX(職員マスタ!$G$6:$G$405,$AN420)&lt;&gt;"",$L420&lt;&gt;INDEX(職員マスタ!$G$6:$G$405,$AN420)),"時短開始日がマスタと相違／","")&amp;IF(AND($M420&lt;&gt;"",INDEX(職員マスタ!$H$6:$H$405,$AN420)&lt;&gt;"",$M420&lt;&gt;INDEX(職員マスタ!$H$6:$H$405,$AN420)),"時短終了日がマスタと相違／","")))&amp;IF(AND($B420&lt;&gt;"",$E420=""),"報酬額が未入力／","")&amp;IF(N($U420)&gt;0,"申請書に入力エラーが残っています／","")&amp;IF(AND($B420&lt;&gt;"",$AO420&lt;&gt;""),IF(COUNTIFS($B$6:$B$3005,$B420,$C$6:$C$3005,$C420,$D$6:$D$3005,$D420)&gt;1,"同じ月の請求が重複しています／",""),"")&amp;IF(AND(N($E420)&gt;0,$Z420&lt;&gt;"",$Z420&lt;&gt;"×",$AC420=0,$AB420=""),"計算額が下限以下のため不支給／",""))</f>
        <v/>
      </c>
      <c r="AL420" s="12" t="n"/>
      <c r="AM420" s="14">
        <f>IF($AD420="保留中",COUNTIF($AD$6:$AD420,"保留中"),"")</f>
        <v/>
      </c>
      <c r="AN420" s="14">
        <f>IF($AO420="","",IF(SUMPRODUCT(MAX((職員マスタ!$A$6:$A$405=$B420)*(((職員マスタ!$G$6:$G$405="")+(職員マスタ!$G$6:$G$405&lt;=EOMONTH($AO420,0)))&gt;0)*(((職員マスタ!$H$6:$H$405="")+(職員マスタ!$H$6:$H$405&gt;=$AO420))&gt;0)*(ROW(職員マスタ!$A$6:$A$405)-5)))&gt;0,SUMPRODUCT(MAX((職員マスタ!$A$6:$A$405=$B420)*(((職員マスタ!$G$6:$G$405="")+(職員マスタ!$G$6:$G$405&lt;=EOMONTH($AO420,0)))&gt;0)*(((職員マスタ!$H$6:$H$405="")+(職員マスタ!$H$6:$H$405&gt;=$AO420))&gt;0)*(ROW(職員マスタ!$A$6:$A$405)-5))),IFERROR(MATCH($B420,職員マスタ!$A$6:$A$405,0),"")))</f>
        <v/>
      </c>
      <c r="AO420" s="16">
        <f>IF(OR($B420="",$C420="",$D420=""),"",DATE($C420+2018,$D420,1))</f>
        <v/>
      </c>
    </row>
    <row r="421">
      <c r="A421" s="11" t="n"/>
      <c r="B421" s="12" t="n">
        <v>6902308</v>
      </c>
      <c r="C421" s="12" t="n">
        <v>8</v>
      </c>
      <c r="D421" s="12" t="n">
        <v>1</v>
      </c>
      <c r="E421" s="13" t="n">
        <v>192878</v>
      </c>
      <c r="F421" s="12" t="n"/>
      <c r="G421" s="13" t="n"/>
      <c r="H421" s="12" t="n"/>
      <c r="I421" s="12" t="n"/>
      <c r="J421" s="12" t="n"/>
      <c r="K421" s="12" t="n"/>
      <c r="L421" s="11" t="n"/>
      <c r="M421" s="11" t="n"/>
      <c r="N421" s="11" t="n"/>
      <c r="O421" s="11" t="n"/>
      <c r="P421" s="12" t="n"/>
      <c r="Q421" s="11" t="n"/>
      <c r="R421" s="12" t="n"/>
      <c r="S421" s="11" t="n"/>
      <c r="T421" s="12" t="n"/>
      <c r="U421" s="12" t="n"/>
      <c r="V421" s="14">
        <f>IF($AN421="",IF($B421="","",$H421),IF(INDEX(職員マスタ!$B$6:$B$405,$AN421)="",$H421,INDEX(職員マスタ!$B$6:$B$405,$AN421)))</f>
        <v/>
      </c>
      <c r="W421" s="14">
        <f>IF($AN421="",IF($B421="","",$R421),IF(INDEX(職員マスタ!$C$6:$C$405,$AN421)="",$R421,INDEX(職員マスタ!$C$6:$C$405,$AN421)))</f>
        <v/>
      </c>
      <c r="X421" s="14">
        <f>IF($AO421="","","R"&amp;$C421&amp;"."&amp;$D421)</f>
        <v/>
      </c>
      <c r="Y421" s="15">
        <f>IF($AN421="","",IF(INDEX(職員マスタ!$K$6:$K$405,$AN421)="","",INDEX(職員マスタ!$K$6:$K$405,$AN421)))</f>
        <v/>
      </c>
      <c r="Z421" s="14">
        <f>IF(OR($E421="",$Y421=""),"",IF($E421&gt;=$Y421,"×",IF($E421&gt;=$Y421*設定!$C$5,"△","○")))</f>
        <v/>
      </c>
      <c r="AA421" s="15">
        <f>IF($Z421="","",IF($Z421="×",0,IF($Z421="○",ROUNDDOWN($E421*設定!$C$4,0),ROUNDDOWN($E421*ROUND((9*$Y421-9*$E421)/(10*$E421),4),0))))</f>
        <v/>
      </c>
      <c r="AB421" s="13" t="n"/>
      <c r="AC421" s="15">
        <f>IF($B421="","",IF($AB421&lt;&gt;"",$AB421,IF($AA421="","",IF($AA421&lt;=設定!$C$3,0,$AA421))))</f>
        <v/>
      </c>
      <c r="AD421" s="14">
        <f>IF($B421="","",IF(AND($AE421&lt;&gt;"",$AG421="",$AJ421=""),"保留中",IF($AJ421&lt;&gt;"",IF(N($AC421)&gt;0,"支給済","不支給"),IF($AC421="","要確認",IF($AC421=0,"不支給","未処理")))))</f>
        <v/>
      </c>
      <c r="AE421" s="12" t="n"/>
      <c r="AF421" s="11" t="n"/>
      <c r="AG421" s="11" t="n"/>
      <c r="AH421" s="11" t="n"/>
      <c r="AI421" s="14">
        <f>IF(AND($AD421="保留中",$AF421&lt;&gt;""),TODAY()-$AF421,"")</f>
        <v/>
      </c>
      <c r="AJ421" s="12" t="inlineStr">
        <is>
          <t>R8.4</t>
        </is>
      </c>
      <c r="AK421" s="14">
        <f>IF($B421="","",IF($AO421="","対象年月が未入力／","")&amp;IF($B421="","",IF($AN421="","職員マスタに未登録の職員番号／",IF($Y421="","標準報酬月額が未登録／","")&amp;IF(AND($AO421&lt;&gt;"",OR(AND(INDEX(職員マスタ!$G$6:$G$405,$AN421)&lt;&gt;"",INDEX(職員マスタ!$G$6:$G$405,$AN421)&gt;EOMONTH($AO421,0)),AND(INDEX(職員マスタ!$H$6:$H$405,$AN421)&lt;&gt;"",INDEX(職員マスタ!$H$6:$H$405,$AN421)&lt;$AO421))),"対象月が時短期間外／","")&amp;IF(AND(INDEX(職員マスタ!$F$6:$F$405,$AN421)&lt;&gt;"",$AO421&lt;&gt;"",INDEX(職員マスタ!$F$6:$F$405,$AN421)&lt;$AO421),"対象月に子が2歳到達済／","")&amp;IF(AND($H421&lt;&gt;"",INDEX(職員マスタ!$B$6:$B$405,$AN421)&lt;&gt;"",SUBSTITUTE(SUBSTITUTE($H421," ","")," ","")&lt;&gt;SUBSTITUTE(SUBSTITUTE(INDEX(職員マスタ!$B$6:$B$405,$AN421)," ","")," ","")),"氏名がマスタと相違／","")&amp;IF(AND($Q421&lt;&gt;"",INDEX(職員マスタ!$E$6:$E$405,$AN421)&lt;&gt;"",$Q421&lt;&gt;INDEX(職員マスタ!$E$6:$E$405,$AN421)),"子の生年月日がマスタと相違／","")&amp;IF(AND($L421&lt;&gt;"",INDEX(職員マスタ!$G$6:$G$405,$AN421)&lt;&gt;"",$L421&lt;&gt;INDEX(職員マスタ!$G$6:$G$405,$AN421)),"時短開始日がマスタと相違／","")&amp;IF(AND($M421&lt;&gt;"",INDEX(職員マスタ!$H$6:$H$405,$AN421)&lt;&gt;"",$M421&lt;&gt;INDEX(職員マスタ!$H$6:$H$405,$AN421)),"時短終了日がマスタと相違／","")))&amp;IF(AND($B421&lt;&gt;"",$E421=""),"報酬額が未入力／","")&amp;IF(N($U421)&gt;0,"申請書に入力エラーが残っています／","")&amp;IF(AND($B421&lt;&gt;"",$AO421&lt;&gt;""),IF(COUNTIFS($B$6:$B$3005,$B421,$C$6:$C$3005,$C421,$D$6:$D$3005,$D421)&gt;1,"同じ月の請求が重複しています／",""),"")&amp;IF(AND(N($E421)&gt;0,$Z421&lt;&gt;"",$Z421&lt;&gt;"×",$AC421=0,$AB421=""),"計算額が下限以下のため不支給／",""))</f>
        <v/>
      </c>
      <c r="AL421" s="12" t="n"/>
      <c r="AM421" s="14">
        <f>IF($AD421="保留中",COUNTIF($AD$6:$AD421,"保留中"),"")</f>
        <v/>
      </c>
      <c r="AN421" s="14">
        <f>IF($AO421="","",IF(SUMPRODUCT(MAX((職員マスタ!$A$6:$A$405=$B421)*(((職員マスタ!$G$6:$G$405="")+(職員マスタ!$G$6:$G$405&lt;=EOMONTH($AO421,0)))&gt;0)*(((職員マスタ!$H$6:$H$405="")+(職員マスタ!$H$6:$H$405&gt;=$AO421))&gt;0)*(ROW(職員マスタ!$A$6:$A$405)-5)))&gt;0,SUMPRODUCT(MAX((職員マスタ!$A$6:$A$405=$B421)*(((職員マスタ!$G$6:$G$405="")+(職員マスタ!$G$6:$G$405&lt;=EOMONTH($AO421,0)))&gt;0)*(((職員マスタ!$H$6:$H$405="")+(職員マスタ!$H$6:$H$405&gt;=$AO421))&gt;0)*(ROW(職員マスタ!$A$6:$A$405)-5))),IFERROR(MATCH($B421,職員マスタ!$A$6:$A$405,0),"")))</f>
        <v/>
      </c>
      <c r="AO421" s="16">
        <f>IF(OR($B421="",$C421="",$D421=""),"",DATE($C421+2018,$D421,1))</f>
        <v/>
      </c>
    </row>
    <row r="422">
      <c r="A422" s="11" t="n"/>
      <c r="B422" s="12" t="n">
        <v>6902308</v>
      </c>
      <c r="C422" s="12" t="n">
        <v>8</v>
      </c>
      <c r="D422" s="12" t="n">
        <v>2</v>
      </c>
      <c r="E422" s="13" t="n">
        <v>190942</v>
      </c>
      <c r="F422" s="12" t="n"/>
      <c r="G422" s="13" t="n"/>
      <c r="H422" s="12" t="n"/>
      <c r="I422" s="12" t="n"/>
      <c r="J422" s="12" t="n"/>
      <c r="K422" s="12" t="n"/>
      <c r="L422" s="11" t="n"/>
      <c r="M422" s="11" t="n"/>
      <c r="N422" s="11" t="n"/>
      <c r="O422" s="11" t="n"/>
      <c r="P422" s="12" t="n"/>
      <c r="Q422" s="11" t="n"/>
      <c r="R422" s="12" t="n"/>
      <c r="S422" s="11" t="n"/>
      <c r="T422" s="12" t="n"/>
      <c r="U422" s="12" t="n"/>
      <c r="V422" s="14">
        <f>IF($AN422="",IF($B422="","",$H422),IF(INDEX(職員マスタ!$B$6:$B$405,$AN422)="",$H422,INDEX(職員マスタ!$B$6:$B$405,$AN422)))</f>
        <v/>
      </c>
      <c r="W422" s="14">
        <f>IF($AN422="",IF($B422="","",$R422),IF(INDEX(職員マスタ!$C$6:$C$405,$AN422)="",$R422,INDEX(職員マスタ!$C$6:$C$405,$AN422)))</f>
        <v/>
      </c>
      <c r="X422" s="14">
        <f>IF($AO422="","","R"&amp;$C422&amp;"."&amp;$D422)</f>
        <v/>
      </c>
      <c r="Y422" s="15">
        <f>IF($AN422="","",IF(INDEX(職員マスタ!$K$6:$K$405,$AN422)="","",INDEX(職員マスタ!$K$6:$K$405,$AN422)))</f>
        <v/>
      </c>
      <c r="Z422" s="14">
        <f>IF(OR($E422="",$Y422=""),"",IF($E422&gt;=$Y422,"×",IF($E422&gt;=$Y422*設定!$C$5,"△","○")))</f>
        <v/>
      </c>
      <c r="AA422" s="15">
        <f>IF($Z422="","",IF($Z422="×",0,IF($Z422="○",ROUNDDOWN($E422*設定!$C$4,0),ROUNDDOWN($E422*ROUND((9*$Y422-9*$E422)/(10*$E422),4),0))))</f>
        <v/>
      </c>
      <c r="AB422" s="13" t="n"/>
      <c r="AC422" s="15">
        <f>IF($B422="","",IF($AB422&lt;&gt;"",$AB422,IF($AA422="","",IF($AA422&lt;=設定!$C$3,0,$AA422))))</f>
        <v/>
      </c>
      <c r="AD422" s="14">
        <f>IF($B422="","",IF(AND($AE422&lt;&gt;"",$AG422="",$AJ422=""),"保留中",IF($AJ422&lt;&gt;"",IF(N($AC422)&gt;0,"支給済","不支給"),IF($AC422="","要確認",IF($AC422=0,"不支給","未処理")))))</f>
        <v/>
      </c>
      <c r="AE422" s="12" t="n"/>
      <c r="AF422" s="11" t="n"/>
      <c r="AG422" s="11" t="n"/>
      <c r="AH422" s="11" t="n"/>
      <c r="AI422" s="14">
        <f>IF(AND($AD422="保留中",$AF422&lt;&gt;""),TODAY()-$AF422,"")</f>
        <v/>
      </c>
      <c r="AJ422" s="12" t="inlineStr">
        <is>
          <t>R8.4</t>
        </is>
      </c>
      <c r="AK422" s="14">
        <f>IF($B422="","",IF($AO422="","対象年月が未入力／","")&amp;IF($B422="","",IF($AN422="","職員マスタに未登録の職員番号／",IF($Y422="","標準報酬月額が未登録／","")&amp;IF(AND($AO422&lt;&gt;"",OR(AND(INDEX(職員マスタ!$G$6:$G$405,$AN422)&lt;&gt;"",INDEX(職員マスタ!$G$6:$G$405,$AN422)&gt;EOMONTH($AO422,0)),AND(INDEX(職員マスタ!$H$6:$H$405,$AN422)&lt;&gt;"",INDEX(職員マスタ!$H$6:$H$405,$AN422)&lt;$AO422))),"対象月が時短期間外／","")&amp;IF(AND(INDEX(職員マスタ!$F$6:$F$405,$AN422)&lt;&gt;"",$AO422&lt;&gt;"",INDEX(職員マスタ!$F$6:$F$405,$AN422)&lt;$AO422),"対象月に子が2歳到達済／","")&amp;IF(AND($H422&lt;&gt;"",INDEX(職員マスタ!$B$6:$B$405,$AN422)&lt;&gt;"",SUBSTITUTE(SUBSTITUTE($H422," ","")," ","")&lt;&gt;SUBSTITUTE(SUBSTITUTE(INDEX(職員マスタ!$B$6:$B$405,$AN422)," ","")," ","")),"氏名がマスタと相違／","")&amp;IF(AND($Q422&lt;&gt;"",INDEX(職員マスタ!$E$6:$E$405,$AN422)&lt;&gt;"",$Q422&lt;&gt;INDEX(職員マスタ!$E$6:$E$405,$AN422)),"子の生年月日がマスタと相違／","")&amp;IF(AND($L422&lt;&gt;"",INDEX(職員マスタ!$G$6:$G$405,$AN422)&lt;&gt;"",$L422&lt;&gt;INDEX(職員マスタ!$G$6:$G$405,$AN422)),"時短開始日がマスタと相違／","")&amp;IF(AND($M422&lt;&gt;"",INDEX(職員マスタ!$H$6:$H$405,$AN422)&lt;&gt;"",$M422&lt;&gt;INDEX(職員マスタ!$H$6:$H$405,$AN422)),"時短終了日がマスタと相違／","")))&amp;IF(AND($B422&lt;&gt;"",$E422=""),"報酬額が未入力／","")&amp;IF(N($U422)&gt;0,"申請書に入力エラーが残っています／","")&amp;IF(AND($B422&lt;&gt;"",$AO422&lt;&gt;""),IF(COUNTIFS($B$6:$B$3005,$B422,$C$6:$C$3005,$C422,$D$6:$D$3005,$D422)&gt;1,"同じ月の請求が重複しています／",""),"")&amp;IF(AND(N($E422)&gt;0,$Z422&lt;&gt;"",$Z422&lt;&gt;"×",$AC422=0,$AB422=""),"計算額が下限以下のため不支給／",""))</f>
        <v/>
      </c>
      <c r="AL422" s="12" t="n"/>
      <c r="AM422" s="14">
        <f>IF($AD422="保留中",COUNTIF($AD$6:$AD422,"保留中"),"")</f>
        <v/>
      </c>
      <c r="AN422" s="14">
        <f>IF($AO422="","",IF(SUMPRODUCT(MAX((職員マスタ!$A$6:$A$405=$B422)*(((職員マスタ!$G$6:$G$405="")+(職員マスタ!$G$6:$G$405&lt;=EOMONTH($AO422,0)))&gt;0)*(((職員マスタ!$H$6:$H$405="")+(職員マスタ!$H$6:$H$405&gt;=$AO422))&gt;0)*(ROW(職員マスタ!$A$6:$A$405)-5)))&gt;0,SUMPRODUCT(MAX((職員マスタ!$A$6:$A$405=$B422)*(((職員マスタ!$G$6:$G$405="")+(職員マスタ!$G$6:$G$405&lt;=EOMONTH($AO422,0)))&gt;0)*(((職員マスタ!$H$6:$H$405="")+(職員マスタ!$H$6:$H$405&gt;=$AO422))&gt;0)*(ROW(職員マスタ!$A$6:$A$405)-5))),IFERROR(MATCH($B422,職員マスタ!$A$6:$A$405,0),"")))</f>
        <v/>
      </c>
      <c r="AO422" s="16">
        <f>IF(OR($B422="",$C422="",$D422=""),"",DATE($C422+2018,$D422,1))</f>
        <v/>
      </c>
    </row>
    <row r="423">
      <c r="A423" s="11" t="n"/>
      <c r="B423" s="12" t="n">
        <v>6902308</v>
      </c>
      <c r="C423" s="12" t="n">
        <v>8</v>
      </c>
      <c r="D423" s="12" t="n">
        <v>3</v>
      </c>
      <c r="E423" s="13" t="n">
        <v>190942</v>
      </c>
      <c r="F423" s="12" t="n"/>
      <c r="G423" s="13" t="n"/>
      <c r="H423" s="12" t="n"/>
      <c r="I423" s="12" t="n"/>
      <c r="J423" s="12" t="n"/>
      <c r="K423" s="12" t="n"/>
      <c r="L423" s="11" t="n"/>
      <c r="M423" s="11" t="n"/>
      <c r="N423" s="11" t="n"/>
      <c r="O423" s="11" t="n"/>
      <c r="P423" s="12" t="n"/>
      <c r="Q423" s="11" t="n"/>
      <c r="R423" s="12" t="n"/>
      <c r="S423" s="11" t="n"/>
      <c r="T423" s="12" t="n"/>
      <c r="U423" s="12" t="n"/>
      <c r="V423" s="14">
        <f>IF($AN423="",IF($B423="","",$H423),IF(INDEX(職員マスタ!$B$6:$B$405,$AN423)="",$H423,INDEX(職員マスタ!$B$6:$B$405,$AN423)))</f>
        <v/>
      </c>
      <c r="W423" s="14">
        <f>IF($AN423="",IF($B423="","",$R423),IF(INDEX(職員マスタ!$C$6:$C$405,$AN423)="",$R423,INDEX(職員マスタ!$C$6:$C$405,$AN423)))</f>
        <v/>
      </c>
      <c r="X423" s="14">
        <f>IF($AO423="","","R"&amp;$C423&amp;"."&amp;$D423)</f>
        <v/>
      </c>
      <c r="Y423" s="15">
        <f>IF($AN423="","",IF(INDEX(職員マスタ!$K$6:$K$405,$AN423)="","",INDEX(職員マスタ!$K$6:$K$405,$AN423)))</f>
        <v/>
      </c>
      <c r="Z423" s="14">
        <f>IF(OR($E423="",$Y423=""),"",IF($E423&gt;=$Y423,"×",IF($E423&gt;=$Y423*設定!$C$5,"△","○")))</f>
        <v/>
      </c>
      <c r="AA423" s="15">
        <f>IF($Z423="","",IF($Z423="×",0,IF($Z423="○",ROUNDDOWN($E423*設定!$C$4,0),ROUNDDOWN($E423*ROUND((9*$Y423-9*$E423)/(10*$E423),4),0))))</f>
        <v/>
      </c>
      <c r="AB423" s="13" t="n"/>
      <c r="AC423" s="15">
        <f>IF($B423="","",IF($AB423&lt;&gt;"",$AB423,IF($AA423="","",IF($AA423&lt;=設定!$C$3,0,$AA423))))</f>
        <v/>
      </c>
      <c r="AD423" s="14">
        <f>IF($B423="","",IF(AND($AE423&lt;&gt;"",$AG423="",$AJ423=""),"保留中",IF($AJ423&lt;&gt;"",IF(N($AC423)&gt;0,"支給済","不支給"),IF($AC423="","要確認",IF($AC423=0,"不支給","未処理")))))</f>
        <v/>
      </c>
      <c r="AE423" s="12" t="n"/>
      <c r="AF423" s="11" t="n"/>
      <c r="AG423" s="11" t="n"/>
      <c r="AH423" s="11" t="n"/>
      <c r="AI423" s="14">
        <f>IF(AND($AD423="保留中",$AF423&lt;&gt;""),TODAY()-$AF423,"")</f>
        <v/>
      </c>
      <c r="AJ423" s="12" t="inlineStr">
        <is>
          <t>R8.10</t>
        </is>
      </c>
      <c r="AK423" s="14">
        <f>IF($B423="","",IF($AO423="","対象年月が未入力／","")&amp;IF($B423="","",IF($AN423="","職員マスタに未登録の職員番号／",IF($Y423="","標準報酬月額が未登録／","")&amp;IF(AND($AO423&lt;&gt;"",OR(AND(INDEX(職員マスタ!$G$6:$G$405,$AN423)&lt;&gt;"",INDEX(職員マスタ!$G$6:$G$405,$AN423)&gt;EOMONTH($AO423,0)),AND(INDEX(職員マスタ!$H$6:$H$405,$AN423)&lt;&gt;"",INDEX(職員マスタ!$H$6:$H$405,$AN423)&lt;$AO423))),"対象月が時短期間外／","")&amp;IF(AND(INDEX(職員マスタ!$F$6:$F$405,$AN423)&lt;&gt;"",$AO423&lt;&gt;"",INDEX(職員マスタ!$F$6:$F$405,$AN423)&lt;$AO423),"対象月に子が2歳到達済／","")&amp;IF(AND($H423&lt;&gt;"",INDEX(職員マスタ!$B$6:$B$405,$AN423)&lt;&gt;"",SUBSTITUTE(SUBSTITUTE($H423," ","")," ","")&lt;&gt;SUBSTITUTE(SUBSTITUTE(INDEX(職員マスタ!$B$6:$B$405,$AN423)," ","")," ","")),"氏名がマスタと相違／","")&amp;IF(AND($Q423&lt;&gt;"",INDEX(職員マスタ!$E$6:$E$405,$AN423)&lt;&gt;"",$Q423&lt;&gt;INDEX(職員マスタ!$E$6:$E$405,$AN423)),"子の生年月日がマスタと相違／","")&amp;IF(AND($L423&lt;&gt;"",INDEX(職員マスタ!$G$6:$G$405,$AN423)&lt;&gt;"",$L423&lt;&gt;INDEX(職員マスタ!$G$6:$G$405,$AN423)),"時短開始日がマスタと相違／","")&amp;IF(AND($M423&lt;&gt;"",INDEX(職員マスタ!$H$6:$H$405,$AN423)&lt;&gt;"",$M423&lt;&gt;INDEX(職員マスタ!$H$6:$H$405,$AN423)),"時短終了日がマスタと相違／","")))&amp;IF(AND($B423&lt;&gt;"",$E423=""),"報酬額が未入力／","")&amp;IF(N($U423)&gt;0,"申請書に入力エラーが残っています／","")&amp;IF(AND($B423&lt;&gt;"",$AO423&lt;&gt;""),IF(COUNTIFS($B$6:$B$3005,$B423,$C$6:$C$3005,$C423,$D$6:$D$3005,$D423)&gt;1,"同じ月の請求が重複しています／",""),"")&amp;IF(AND(N($E423)&gt;0,$Z423&lt;&gt;"",$Z423&lt;&gt;"×",$AC423=0,$AB423=""),"計算額が下限以下のため不支給／",""))</f>
        <v/>
      </c>
      <c r="AL423" s="12" t="n"/>
      <c r="AM423" s="14">
        <f>IF($AD423="保留中",COUNTIF($AD$6:$AD423,"保留中"),"")</f>
        <v/>
      </c>
      <c r="AN423" s="14">
        <f>IF($AO423="","",IF(SUMPRODUCT(MAX((職員マスタ!$A$6:$A$405=$B423)*(((職員マスタ!$G$6:$G$405="")+(職員マスタ!$G$6:$G$405&lt;=EOMONTH($AO423,0)))&gt;0)*(((職員マスタ!$H$6:$H$405="")+(職員マスタ!$H$6:$H$405&gt;=$AO423))&gt;0)*(ROW(職員マスタ!$A$6:$A$405)-5)))&gt;0,SUMPRODUCT(MAX((職員マスタ!$A$6:$A$405=$B423)*(((職員マスタ!$G$6:$G$405="")+(職員マスタ!$G$6:$G$405&lt;=EOMONTH($AO423,0)))&gt;0)*(((職員マスタ!$H$6:$H$405="")+(職員マスタ!$H$6:$H$405&gt;=$AO423))&gt;0)*(ROW(職員マスタ!$A$6:$A$405)-5))),IFERROR(MATCH($B423,職員マスタ!$A$6:$A$405,0),"")))</f>
        <v/>
      </c>
      <c r="AO423" s="16">
        <f>IF(OR($B423="",$C423="",$D423=""),"",DATE($C423+2018,$D423,1))</f>
        <v/>
      </c>
    </row>
    <row r="424">
      <c r="A424" s="11" t="n"/>
      <c r="B424" s="12" t="n">
        <v>6902464</v>
      </c>
      <c r="C424" s="12" t="n">
        <v>7</v>
      </c>
      <c r="D424" s="12" t="n">
        <v>4</v>
      </c>
      <c r="E424" s="13" t="n">
        <v>181155</v>
      </c>
      <c r="F424" s="12" t="n"/>
      <c r="G424" s="13" t="n"/>
      <c r="H424" s="12" t="n"/>
      <c r="I424" s="12" t="n"/>
      <c r="J424" s="12" t="n"/>
      <c r="K424" s="12" t="n"/>
      <c r="L424" s="11" t="n"/>
      <c r="M424" s="11" t="n"/>
      <c r="N424" s="11" t="n"/>
      <c r="O424" s="11" t="n"/>
      <c r="P424" s="12" t="n"/>
      <c r="Q424" s="11" t="n"/>
      <c r="R424" s="12" t="n"/>
      <c r="S424" s="11" t="n"/>
      <c r="T424" s="12" t="n"/>
      <c r="U424" s="12" t="n"/>
      <c r="V424" s="14">
        <f>IF($AN424="",IF($B424="","",$H424),IF(INDEX(職員マスタ!$B$6:$B$405,$AN424)="",$H424,INDEX(職員マスタ!$B$6:$B$405,$AN424)))</f>
        <v/>
      </c>
      <c r="W424" s="14">
        <f>IF($AN424="",IF($B424="","",$R424),IF(INDEX(職員マスタ!$C$6:$C$405,$AN424)="",$R424,INDEX(職員マスタ!$C$6:$C$405,$AN424)))</f>
        <v/>
      </c>
      <c r="X424" s="14">
        <f>IF($AO424="","","R"&amp;$C424&amp;"."&amp;$D424)</f>
        <v/>
      </c>
      <c r="Y424" s="15">
        <f>IF($AN424="","",IF(INDEX(職員マスタ!$K$6:$K$405,$AN424)="","",INDEX(職員マスタ!$K$6:$K$405,$AN424)))</f>
        <v/>
      </c>
      <c r="Z424" s="14">
        <f>IF(OR($E424="",$Y424=""),"",IF($E424&gt;=$Y424,"×",IF($E424&gt;=$Y424*設定!$C$5,"△","○")))</f>
        <v/>
      </c>
      <c r="AA424" s="15">
        <f>IF($Z424="","",IF($Z424="×",0,IF($Z424="○",ROUNDDOWN($E424*設定!$C$4,0),ROUNDDOWN($E424*ROUND((9*$Y424-9*$E424)/(10*$E424),4),0))))</f>
        <v/>
      </c>
      <c r="AB424" s="13" t="n"/>
      <c r="AC424" s="15">
        <f>IF($B424="","",IF($AB424&lt;&gt;"",$AB424,IF($AA424="","",IF($AA424&lt;=設定!$C$3,0,$AA424))))</f>
        <v/>
      </c>
      <c r="AD424" s="14">
        <f>IF($B424="","",IF(AND($AE424&lt;&gt;"",$AG424="",$AJ424=""),"保留中",IF($AJ424&lt;&gt;"",IF(N($AC424)&gt;0,"支給済","不支給"),IF($AC424="","要確認",IF($AC424=0,"不支給","未処理")))))</f>
        <v/>
      </c>
      <c r="AE424" s="12" t="n"/>
      <c r="AF424" s="11" t="n"/>
      <c r="AG424" s="11" t="n"/>
      <c r="AH424" s="11" t="n"/>
      <c r="AI424" s="14">
        <f>IF(AND($AD424="保留中",$AF424&lt;&gt;""),TODAY()-$AF424,"")</f>
        <v/>
      </c>
      <c r="AJ424" s="12" t="inlineStr">
        <is>
          <t>R7.8</t>
        </is>
      </c>
      <c r="AK424" s="14">
        <f>IF($B424="","",IF($AO424="","対象年月が未入力／","")&amp;IF($B424="","",IF($AN424="","職員マスタに未登録の職員番号／",IF($Y424="","標準報酬月額が未登録／","")&amp;IF(AND($AO424&lt;&gt;"",OR(AND(INDEX(職員マスタ!$G$6:$G$405,$AN424)&lt;&gt;"",INDEX(職員マスタ!$G$6:$G$405,$AN424)&gt;EOMONTH($AO424,0)),AND(INDEX(職員マスタ!$H$6:$H$405,$AN424)&lt;&gt;"",INDEX(職員マスタ!$H$6:$H$405,$AN424)&lt;$AO424))),"対象月が時短期間外／","")&amp;IF(AND(INDEX(職員マスタ!$F$6:$F$405,$AN424)&lt;&gt;"",$AO424&lt;&gt;"",INDEX(職員マスタ!$F$6:$F$405,$AN424)&lt;$AO424),"対象月に子が2歳到達済／","")&amp;IF(AND($H424&lt;&gt;"",INDEX(職員マスタ!$B$6:$B$405,$AN424)&lt;&gt;"",SUBSTITUTE(SUBSTITUTE($H424," ","")," ","")&lt;&gt;SUBSTITUTE(SUBSTITUTE(INDEX(職員マスタ!$B$6:$B$405,$AN424)," ","")," ","")),"氏名がマスタと相違／","")&amp;IF(AND($Q424&lt;&gt;"",INDEX(職員マスタ!$E$6:$E$405,$AN424)&lt;&gt;"",$Q424&lt;&gt;INDEX(職員マスタ!$E$6:$E$405,$AN424)),"子の生年月日がマスタと相違／","")&amp;IF(AND($L424&lt;&gt;"",INDEX(職員マスタ!$G$6:$G$405,$AN424)&lt;&gt;"",$L424&lt;&gt;INDEX(職員マスタ!$G$6:$G$405,$AN424)),"時短開始日がマスタと相違／","")&amp;IF(AND($M424&lt;&gt;"",INDEX(職員マスタ!$H$6:$H$405,$AN424)&lt;&gt;"",$M424&lt;&gt;INDEX(職員マスタ!$H$6:$H$405,$AN424)),"時短終了日がマスタと相違／","")))&amp;IF(AND($B424&lt;&gt;"",$E424=""),"報酬額が未入力／","")&amp;IF(N($U424)&gt;0,"申請書に入力エラーが残っています／","")&amp;IF(AND($B424&lt;&gt;"",$AO424&lt;&gt;""),IF(COUNTIFS($B$6:$B$3005,$B424,$C$6:$C$3005,$C424,$D$6:$D$3005,$D424)&gt;1,"同じ月の請求が重複しています／",""),"")&amp;IF(AND(N($E424)&gt;0,$Z424&lt;&gt;"",$Z424&lt;&gt;"×",$AC424=0,$AB424=""),"計算額が下限以下のため不支給／",""))</f>
        <v/>
      </c>
      <c r="AL424" s="12" t="n"/>
      <c r="AM424" s="14">
        <f>IF($AD424="保留中",COUNTIF($AD$6:$AD424,"保留中"),"")</f>
        <v/>
      </c>
      <c r="AN424" s="14">
        <f>IF($AO424="","",IF(SUMPRODUCT(MAX((職員マスタ!$A$6:$A$405=$B424)*(((職員マスタ!$G$6:$G$405="")+(職員マスタ!$G$6:$G$405&lt;=EOMONTH($AO424,0)))&gt;0)*(((職員マスタ!$H$6:$H$405="")+(職員マスタ!$H$6:$H$405&gt;=$AO424))&gt;0)*(ROW(職員マスタ!$A$6:$A$405)-5)))&gt;0,SUMPRODUCT(MAX((職員マスタ!$A$6:$A$405=$B424)*(((職員マスタ!$G$6:$G$405="")+(職員マスタ!$G$6:$G$405&lt;=EOMONTH($AO424,0)))&gt;0)*(((職員マスタ!$H$6:$H$405="")+(職員マスタ!$H$6:$H$405&gt;=$AO424))&gt;0)*(ROW(職員マスタ!$A$6:$A$405)-5))),IFERROR(MATCH($B424,職員マスタ!$A$6:$A$405,0),"")))</f>
        <v/>
      </c>
      <c r="AO424" s="16">
        <f>IF(OR($B424="",$C424="",$D424=""),"",DATE($C424+2018,$D424,1))</f>
        <v/>
      </c>
    </row>
    <row r="425">
      <c r="A425" s="11" t="n"/>
      <c r="B425" s="12" t="n">
        <v>6902597</v>
      </c>
      <c r="C425" s="12" t="n">
        <v>8</v>
      </c>
      <c r="D425" s="12" t="n">
        <v>3</v>
      </c>
      <c r="E425" s="13" t="n">
        <v>180292</v>
      </c>
      <c r="F425" s="12" t="n"/>
      <c r="G425" s="13" t="n"/>
      <c r="H425" s="12" t="n"/>
      <c r="I425" s="12" t="n"/>
      <c r="J425" s="12" t="n"/>
      <c r="K425" s="12" t="n"/>
      <c r="L425" s="11" t="n"/>
      <c r="M425" s="11" t="n"/>
      <c r="N425" s="11" t="n"/>
      <c r="O425" s="11" t="n"/>
      <c r="P425" s="12" t="n"/>
      <c r="Q425" s="11" t="n"/>
      <c r="R425" s="12" t="n"/>
      <c r="S425" s="11" t="n"/>
      <c r="T425" s="12" t="n"/>
      <c r="U425" s="12" t="n"/>
      <c r="V425" s="14">
        <f>IF($AN425="",IF($B425="","",$H425),IF(INDEX(職員マスタ!$B$6:$B$405,$AN425)="",$H425,INDEX(職員マスタ!$B$6:$B$405,$AN425)))</f>
        <v/>
      </c>
      <c r="W425" s="14">
        <f>IF($AN425="",IF($B425="","",$R425),IF(INDEX(職員マスタ!$C$6:$C$405,$AN425)="",$R425,INDEX(職員マスタ!$C$6:$C$405,$AN425)))</f>
        <v/>
      </c>
      <c r="X425" s="14">
        <f>IF($AO425="","","R"&amp;$C425&amp;"."&amp;$D425)</f>
        <v/>
      </c>
      <c r="Y425" s="15">
        <f>IF($AN425="","",IF(INDEX(職員マスタ!$K$6:$K$405,$AN425)="","",INDEX(職員マスタ!$K$6:$K$405,$AN425)))</f>
        <v/>
      </c>
      <c r="Z425" s="14">
        <f>IF(OR($E425="",$Y425=""),"",IF($E425&gt;=$Y425,"×",IF($E425&gt;=$Y425*設定!$C$5,"△","○")))</f>
        <v/>
      </c>
      <c r="AA425" s="15">
        <f>IF($Z425="","",IF($Z425="×",0,IF($Z425="○",ROUNDDOWN($E425*設定!$C$4,0),ROUNDDOWN($E425*ROUND((9*$Y425-9*$E425)/(10*$E425),4),0))))</f>
        <v/>
      </c>
      <c r="AB425" s="13" t="n"/>
      <c r="AC425" s="15">
        <f>IF($B425="","",IF($AB425&lt;&gt;"",$AB425,IF($AA425="","",IF($AA425&lt;=設定!$C$3,0,$AA425))))</f>
        <v/>
      </c>
      <c r="AD425" s="14">
        <f>IF($B425="","",IF(AND($AE425&lt;&gt;"",$AG425="",$AJ425=""),"保留中",IF($AJ425&lt;&gt;"",IF(N($AC425)&gt;0,"支給済","不支給"),IF($AC425="","要確認",IF($AC425=0,"不支給","未処理")))))</f>
        <v/>
      </c>
      <c r="AE425" s="12" t="n"/>
      <c r="AF425" s="11" t="n"/>
      <c r="AG425" s="11" t="n"/>
      <c r="AH425" s="11" t="n"/>
      <c r="AI425" s="14">
        <f>IF(AND($AD425="保留中",$AF425&lt;&gt;""),TODAY()-$AF425,"")</f>
        <v/>
      </c>
      <c r="AJ425" s="12" t="inlineStr">
        <is>
          <t>R8.10</t>
        </is>
      </c>
      <c r="AK425" s="14">
        <f>IF($B425="","",IF($AO425="","対象年月が未入力／","")&amp;IF($B425="","",IF($AN425="","職員マスタに未登録の職員番号／",IF($Y425="","標準報酬月額が未登録／","")&amp;IF(AND($AO425&lt;&gt;"",OR(AND(INDEX(職員マスタ!$G$6:$G$405,$AN425)&lt;&gt;"",INDEX(職員マスタ!$G$6:$G$405,$AN425)&gt;EOMONTH($AO425,0)),AND(INDEX(職員マスタ!$H$6:$H$405,$AN425)&lt;&gt;"",INDEX(職員マスタ!$H$6:$H$405,$AN425)&lt;$AO425))),"対象月が時短期間外／","")&amp;IF(AND(INDEX(職員マスタ!$F$6:$F$405,$AN425)&lt;&gt;"",$AO425&lt;&gt;"",INDEX(職員マスタ!$F$6:$F$405,$AN425)&lt;$AO425),"対象月に子が2歳到達済／","")&amp;IF(AND($H425&lt;&gt;"",INDEX(職員マスタ!$B$6:$B$405,$AN425)&lt;&gt;"",SUBSTITUTE(SUBSTITUTE($H425," ","")," ","")&lt;&gt;SUBSTITUTE(SUBSTITUTE(INDEX(職員マスタ!$B$6:$B$405,$AN425)," ","")," ","")),"氏名がマスタと相違／","")&amp;IF(AND($Q425&lt;&gt;"",INDEX(職員マスタ!$E$6:$E$405,$AN425)&lt;&gt;"",$Q425&lt;&gt;INDEX(職員マスタ!$E$6:$E$405,$AN425)),"子の生年月日がマスタと相違／","")&amp;IF(AND($L425&lt;&gt;"",INDEX(職員マスタ!$G$6:$G$405,$AN425)&lt;&gt;"",$L425&lt;&gt;INDEX(職員マスタ!$G$6:$G$405,$AN425)),"時短開始日がマスタと相違／","")&amp;IF(AND($M425&lt;&gt;"",INDEX(職員マスタ!$H$6:$H$405,$AN425)&lt;&gt;"",$M425&lt;&gt;INDEX(職員マスタ!$H$6:$H$405,$AN425)),"時短終了日がマスタと相違／","")))&amp;IF(AND($B425&lt;&gt;"",$E425=""),"報酬額が未入力／","")&amp;IF(N($U425)&gt;0,"申請書に入力エラーが残っています／","")&amp;IF(AND($B425&lt;&gt;"",$AO425&lt;&gt;""),IF(COUNTIFS($B$6:$B$3005,$B425,$C$6:$C$3005,$C425,$D$6:$D$3005,$D425)&gt;1,"同じ月の請求が重複しています／",""),"")&amp;IF(AND(N($E425)&gt;0,$Z425&lt;&gt;"",$Z425&lt;&gt;"×",$AC425=0,$AB425=""),"計算額が下限以下のため不支給／",""))</f>
        <v/>
      </c>
      <c r="AL425" s="12" t="n"/>
      <c r="AM425" s="14">
        <f>IF($AD425="保留中",COUNTIF($AD$6:$AD425,"保留中"),"")</f>
        <v/>
      </c>
      <c r="AN425" s="14">
        <f>IF($AO425="","",IF(SUMPRODUCT(MAX((職員マスタ!$A$6:$A$405=$B425)*(((職員マスタ!$G$6:$G$405="")+(職員マスタ!$G$6:$G$405&lt;=EOMONTH($AO425,0)))&gt;0)*(((職員マスタ!$H$6:$H$405="")+(職員マスタ!$H$6:$H$405&gt;=$AO425))&gt;0)*(ROW(職員マスタ!$A$6:$A$405)-5)))&gt;0,SUMPRODUCT(MAX((職員マスタ!$A$6:$A$405=$B425)*(((職員マスタ!$G$6:$G$405="")+(職員マスタ!$G$6:$G$405&lt;=EOMONTH($AO425,0)))&gt;0)*(((職員マスタ!$H$6:$H$405="")+(職員マスタ!$H$6:$H$405&gt;=$AO425))&gt;0)*(ROW(職員マスタ!$A$6:$A$405)-5))),IFERROR(MATCH($B425,職員マスタ!$A$6:$A$405,0),"")))</f>
        <v/>
      </c>
      <c r="AO425" s="16">
        <f>IF(OR($B425="",$C425="",$D425=""),"",DATE($C425+2018,$D425,1))</f>
        <v/>
      </c>
    </row>
    <row r="426">
      <c r="A426" s="11" t="n"/>
      <c r="B426" s="12" t="n">
        <v>6902597</v>
      </c>
      <c r="C426" s="12" t="n">
        <v>8</v>
      </c>
      <c r="D426" s="12" t="n">
        <v>4</v>
      </c>
      <c r="E426" s="13" t="n">
        <v>182793</v>
      </c>
      <c r="F426" s="12" t="n"/>
      <c r="G426" s="13" t="n"/>
      <c r="H426" s="12" t="n"/>
      <c r="I426" s="12" t="n"/>
      <c r="J426" s="12" t="n"/>
      <c r="K426" s="12" t="n"/>
      <c r="L426" s="11" t="n"/>
      <c r="M426" s="11" t="n"/>
      <c r="N426" s="11" t="n"/>
      <c r="O426" s="11" t="n"/>
      <c r="P426" s="12" t="n"/>
      <c r="Q426" s="11" t="n"/>
      <c r="R426" s="12" t="n"/>
      <c r="S426" s="11" t="n"/>
      <c r="T426" s="12" t="n"/>
      <c r="U426" s="12" t="n"/>
      <c r="V426" s="14">
        <f>IF($AN426="",IF($B426="","",$H426),IF(INDEX(職員マスタ!$B$6:$B$405,$AN426)="",$H426,INDEX(職員マスタ!$B$6:$B$405,$AN426)))</f>
        <v/>
      </c>
      <c r="W426" s="14">
        <f>IF($AN426="",IF($B426="","",$R426),IF(INDEX(職員マスタ!$C$6:$C$405,$AN426)="",$R426,INDEX(職員マスタ!$C$6:$C$405,$AN426)))</f>
        <v/>
      </c>
      <c r="X426" s="14">
        <f>IF($AO426="","","R"&amp;$C426&amp;"."&amp;$D426)</f>
        <v/>
      </c>
      <c r="Y426" s="15">
        <f>IF($AN426="","",IF(INDEX(職員マスタ!$K$6:$K$405,$AN426)="","",INDEX(職員マスタ!$K$6:$K$405,$AN426)))</f>
        <v/>
      </c>
      <c r="Z426" s="14">
        <f>IF(OR($E426="",$Y426=""),"",IF($E426&gt;=$Y426,"×",IF($E426&gt;=$Y426*設定!$C$5,"△","○")))</f>
        <v/>
      </c>
      <c r="AA426" s="15">
        <f>IF($Z426="","",IF($Z426="×",0,IF($Z426="○",ROUNDDOWN($E426*設定!$C$4,0),ROUNDDOWN($E426*ROUND((9*$Y426-9*$E426)/(10*$E426),4),0))))</f>
        <v/>
      </c>
      <c r="AB426" s="13" t="n"/>
      <c r="AC426" s="15">
        <f>IF($B426="","",IF($AB426&lt;&gt;"",$AB426,IF($AA426="","",IF($AA426&lt;=設定!$C$3,0,$AA426))))</f>
        <v/>
      </c>
      <c r="AD426" s="14">
        <f>IF($B426="","",IF(AND($AE426&lt;&gt;"",$AG426="",$AJ426=""),"保留中",IF($AJ426&lt;&gt;"",IF(N($AC426)&gt;0,"支給済","不支給"),IF($AC426="","要確認",IF($AC426=0,"不支給","未処理")))))</f>
        <v/>
      </c>
      <c r="AE426" s="12" t="n"/>
      <c r="AF426" s="11" t="n"/>
      <c r="AG426" s="11" t="n"/>
      <c r="AH426" s="11" t="n"/>
      <c r="AI426" s="14">
        <f>IF(AND($AD426="保留中",$AF426&lt;&gt;""),TODAY()-$AF426,"")</f>
        <v/>
      </c>
      <c r="AJ426" s="12" t="inlineStr">
        <is>
          <t>R8.10</t>
        </is>
      </c>
      <c r="AK426" s="14">
        <f>IF($B426="","",IF($AO426="","対象年月が未入力／","")&amp;IF($B426="","",IF($AN426="","職員マスタに未登録の職員番号／",IF($Y426="","標準報酬月額が未登録／","")&amp;IF(AND($AO426&lt;&gt;"",OR(AND(INDEX(職員マスタ!$G$6:$G$405,$AN426)&lt;&gt;"",INDEX(職員マスタ!$G$6:$G$405,$AN426)&gt;EOMONTH($AO426,0)),AND(INDEX(職員マスタ!$H$6:$H$405,$AN426)&lt;&gt;"",INDEX(職員マスタ!$H$6:$H$405,$AN426)&lt;$AO426))),"対象月が時短期間外／","")&amp;IF(AND(INDEX(職員マスタ!$F$6:$F$405,$AN426)&lt;&gt;"",$AO426&lt;&gt;"",INDEX(職員マスタ!$F$6:$F$405,$AN426)&lt;$AO426),"対象月に子が2歳到達済／","")&amp;IF(AND($H426&lt;&gt;"",INDEX(職員マスタ!$B$6:$B$405,$AN426)&lt;&gt;"",SUBSTITUTE(SUBSTITUTE($H426," ","")," ","")&lt;&gt;SUBSTITUTE(SUBSTITUTE(INDEX(職員マスタ!$B$6:$B$405,$AN426)," ","")," ","")),"氏名がマスタと相違／","")&amp;IF(AND($Q426&lt;&gt;"",INDEX(職員マスタ!$E$6:$E$405,$AN426)&lt;&gt;"",$Q426&lt;&gt;INDEX(職員マスタ!$E$6:$E$405,$AN426)),"子の生年月日がマスタと相違／","")&amp;IF(AND($L426&lt;&gt;"",INDEX(職員マスタ!$G$6:$G$405,$AN426)&lt;&gt;"",$L426&lt;&gt;INDEX(職員マスタ!$G$6:$G$405,$AN426)),"時短開始日がマスタと相違／","")&amp;IF(AND($M426&lt;&gt;"",INDEX(職員マスタ!$H$6:$H$405,$AN426)&lt;&gt;"",$M426&lt;&gt;INDEX(職員マスタ!$H$6:$H$405,$AN426)),"時短終了日がマスタと相違／","")))&amp;IF(AND($B426&lt;&gt;"",$E426=""),"報酬額が未入力／","")&amp;IF(N($U426)&gt;0,"申請書に入力エラーが残っています／","")&amp;IF(AND($B426&lt;&gt;"",$AO426&lt;&gt;""),IF(COUNTIFS($B$6:$B$3005,$B426,$C$6:$C$3005,$C426,$D$6:$D$3005,$D426)&gt;1,"同じ月の請求が重複しています／",""),"")&amp;IF(AND(N($E426)&gt;0,$Z426&lt;&gt;"",$Z426&lt;&gt;"×",$AC426=0,$AB426=""),"計算額が下限以下のため不支給／",""))</f>
        <v/>
      </c>
      <c r="AL426" s="12" t="n"/>
      <c r="AM426" s="14">
        <f>IF($AD426="保留中",COUNTIF($AD$6:$AD426,"保留中"),"")</f>
        <v/>
      </c>
      <c r="AN426" s="14">
        <f>IF($AO426="","",IF(SUMPRODUCT(MAX((職員マスタ!$A$6:$A$405=$B426)*(((職員マスタ!$G$6:$G$405="")+(職員マスタ!$G$6:$G$405&lt;=EOMONTH($AO426,0)))&gt;0)*(((職員マスタ!$H$6:$H$405="")+(職員マスタ!$H$6:$H$405&gt;=$AO426))&gt;0)*(ROW(職員マスタ!$A$6:$A$405)-5)))&gt;0,SUMPRODUCT(MAX((職員マスタ!$A$6:$A$405=$B426)*(((職員マスタ!$G$6:$G$405="")+(職員マスタ!$G$6:$G$405&lt;=EOMONTH($AO426,0)))&gt;0)*(((職員マスタ!$H$6:$H$405="")+(職員マスタ!$H$6:$H$405&gt;=$AO426))&gt;0)*(ROW(職員マスタ!$A$6:$A$405)-5))),IFERROR(MATCH($B426,職員マスタ!$A$6:$A$405,0),"")))</f>
        <v/>
      </c>
      <c r="AO426" s="16">
        <f>IF(OR($B426="",$C426="",$D426=""),"",DATE($C426+2018,$D426,1))</f>
        <v/>
      </c>
    </row>
    <row r="427">
      <c r="A427" s="11" t="n"/>
      <c r="B427" s="12" t="n">
        <v>6902597</v>
      </c>
      <c r="C427" s="12" t="n">
        <v>8</v>
      </c>
      <c r="D427" s="12" t="n">
        <v>5</v>
      </c>
      <c r="E427" s="13" t="n">
        <v>183998</v>
      </c>
      <c r="F427" s="12" t="n"/>
      <c r="G427" s="13" t="n"/>
      <c r="H427" s="12" t="n"/>
      <c r="I427" s="12" t="n"/>
      <c r="J427" s="12" t="n"/>
      <c r="K427" s="12" t="n"/>
      <c r="L427" s="11" t="n"/>
      <c r="M427" s="11" t="n"/>
      <c r="N427" s="11" t="n"/>
      <c r="O427" s="11" t="n"/>
      <c r="P427" s="12" t="n"/>
      <c r="Q427" s="11" t="n"/>
      <c r="R427" s="12" t="n"/>
      <c r="S427" s="11" t="n"/>
      <c r="T427" s="12" t="n"/>
      <c r="U427" s="12" t="n"/>
      <c r="V427" s="14">
        <f>IF($AN427="",IF($B427="","",$H427),IF(INDEX(職員マスタ!$B$6:$B$405,$AN427)="",$H427,INDEX(職員マスタ!$B$6:$B$405,$AN427)))</f>
        <v/>
      </c>
      <c r="W427" s="14">
        <f>IF($AN427="",IF($B427="","",$R427),IF(INDEX(職員マスタ!$C$6:$C$405,$AN427)="",$R427,INDEX(職員マスタ!$C$6:$C$405,$AN427)))</f>
        <v/>
      </c>
      <c r="X427" s="14">
        <f>IF($AO427="","","R"&amp;$C427&amp;"."&amp;$D427)</f>
        <v/>
      </c>
      <c r="Y427" s="15">
        <f>IF($AN427="","",IF(INDEX(職員マスタ!$K$6:$K$405,$AN427)="","",INDEX(職員マスタ!$K$6:$K$405,$AN427)))</f>
        <v/>
      </c>
      <c r="Z427" s="14">
        <f>IF(OR($E427="",$Y427=""),"",IF($E427&gt;=$Y427,"×",IF($E427&gt;=$Y427*設定!$C$5,"△","○")))</f>
        <v/>
      </c>
      <c r="AA427" s="15">
        <f>IF($Z427="","",IF($Z427="×",0,IF($Z427="○",ROUNDDOWN($E427*設定!$C$4,0),ROUNDDOWN($E427*ROUND((9*$Y427-9*$E427)/(10*$E427),4),0))))</f>
        <v/>
      </c>
      <c r="AB427" s="13" t="n"/>
      <c r="AC427" s="15">
        <f>IF($B427="","",IF($AB427&lt;&gt;"",$AB427,IF($AA427="","",IF($AA427&lt;=設定!$C$3,0,$AA427))))</f>
        <v/>
      </c>
      <c r="AD427" s="14">
        <f>IF($B427="","",IF(AND($AE427&lt;&gt;"",$AG427="",$AJ427=""),"保留中",IF($AJ427&lt;&gt;"",IF(N($AC427)&gt;0,"支給済","不支給"),IF($AC427="","要確認",IF($AC427=0,"不支給","未処理")))))</f>
        <v/>
      </c>
      <c r="AE427" s="12" t="n"/>
      <c r="AF427" s="11" t="n"/>
      <c r="AG427" s="11" t="n"/>
      <c r="AH427" s="11" t="n"/>
      <c r="AI427" s="14">
        <f>IF(AND($AD427="保留中",$AF427&lt;&gt;""),TODAY()-$AF427,"")</f>
        <v/>
      </c>
      <c r="AJ427" s="12" t="inlineStr">
        <is>
          <t>R8.10</t>
        </is>
      </c>
      <c r="AK427" s="14">
        <f>IF($B427="","",IF($AO427="","対象年月が未入力／","")&amp;IF($B427="","",IF($AN427="","職員マスタに未登録の職員番号／",IF($Y427="","標準報酬月額が未登録／","")&amp;IF(AND($AO427&lt;&gt;"",OR(AND(INDEX(職員マスタ!$G$6:$G$405,$AN427)&lt;&gt;"",INDEX(職員マスタ!$G$6:$G$405,$AN427)&gt;EOMONTH($AO427,0)),AND(INDEX(職員マスタ!$H$6:$H$405,$AN427)&lt;&gt;"",INDEX(職員マスタ!$H$6:$H$405,$AN427)&lt;$AO427))),"対象月が時短期間外／","")&amp;IF(AND(INDEX(職員マスタ!$F$6:$F$405,$AN427)&lt;&gt;"",$AO427&lt;&gt;"",INDEX(職員マスタ!$F$6:$F$405,$AN427)&lt;$AO427),"対象月に子が2歳到達済／","")&amp;IF(AND($H427&lt;&gt;"",INDEX(職員マスタ!$B$6:$B$405,$AN427)&lt;&gt;"",SUBSTITUTE(SUBSTITUTE($H427," ","")," ","")&lt;&gt;SUBSTITUTE(SUBSTITUTE(INDEX(職員マスタ!$B$6:$B$405,$AN427)," ","")," ","")),"氏名がマスタと相違／","")&amp;IF(AND($Q427&lt;&gt;"",INDEX(職員マスタ!$E$6:$E$405,$AN427)&lt;&gt;"",$Q427&lt;&gt;INDEX(職員マスタ!$E$6:$E$405,$AN427)),"子の生年月日がマスタと相違／","")&amp;IF(AND($L427&lt;&gt;"",INDEX(職員マスタ!$G$6:$G$405,$AN427)&lt;&gt;"",$L427&lt;&gt;INDEX(職員マスタ!$G$6:$G$405,$AN427)),"時短開始日がマスタと相違／","")&amp;IF(AND($M427&lt;&gt;"",INDEX(職員マスタ!$H$6:$H$405,$AN427)&lt;&gt;"",$M427&lt;&gt;INDEX(職員マスタ!$H$6:$H$405,$AN427)),"時短終了日がマスタと相違／","")))&amp;IF(AND($B427&lt;&gt;"",$E427=""),"報酬額が未入力／","")&amp;IF(N($U427)&gt;0,"申請書に入力エラーが残っています／","")&amp;IF(AND($B427&lt;&gt;"",$AO427&lt;&gt;""),IF(COUNTIFS($B$6:$B$3005,$B427,$C$6:$C$3005,$C427,$D$6:$D$3005,$D427)&gt;1,"同じ月の請求が重複しています／",""),"")&amp;IF(AND(N($E427)&gt;0,$Z427&lt;&gt;"",$Z427&lt;&gt;"×",$AC427=0,$AB427=""),"計算額が下限以下のため不支給／",""))</f>
        <v/>
      </c>
      <c r="AL427" s="12" t="n"/>
      <c r="AM427" s="14">
        <f>IF($AD427="保留中",COUNTIF($AD$6:$AD427,"保留中"),"")</f>
        <v/>
      </c>
      <c r="AN427" s="14">
        <f>IF($AO427="","",IF(SUMPRODUCT(MAX((職員マスタ!$A$6:$A$405=$B427)*(((職員マスタ!$G$6:$G$405="")+(職員マスタ!$G$6:$G$405&lt;=EOMONTH($AO427,0)))&gt;0)*(((職員マスタ!$H$6:$H$405="")+(職員マスタ!$H$6:$H$405&gt;=$AO427))&gt;0)*(ROW(職員マスタ!$A$6:$A$405)-5)))&gt;0,SUMPRODUCT(MAX((職員マスタ!$A$6:$A$405=$B427)*(((職員マスタ!$G$6:$G$405="")+(職員マスタ!$G$6:$G$405&lt;=EOMONTH($AO427,0)))&gt;0)*(((職員マスタ!$H$6:$H$405="")+(職員マスタ!$H$6:$H$405&gt;=$AO427))&gt;0)*(ROW(職員マスタ!$A$6:$A$405)-5))),IFERROR(MATCH($B427,職員マスタ!$A$6:$A$405,0),"")))</f>
        <v/>
      </c>
      <c r="AO427" s="16">
        <f>IF(OR($B427="",$C427="",$D427=""),"",DATE($C427+2018,$D427,1))</f>
        <v/>
      </c>
    </row>
    <row r="428">
      <c r="A428" s="11" t="n"/>
      <c r="B428" s="12" t="n">
        <v>6902597</v>
      </c>
      <c r="C428" s="12" t="n">
        <v>8</v>
      </c>
      <c r="D428" s="12" t="n">
        <v>6</v>
      </c>
      <c r="E428" s="13" t="n">
        <v>183998</v>
      </c>
      <c r="F428" s="12" t="n"/>
      <c r="G428" s="13" t="n"/>
      <c r="H428" s="12" t="n"/>
      <c r="I428" s="12" t="n"/>
      <c r="J428" s="12" t="n"/>
      <c r="K428" s="12" t="n"/>
      <c r="L428" s="11" t="n"/>
      <c r="M428" s="11" t="n"/>
      <c r="N428" s="11" t="n"/>
      <c r="O428" s="11" t="n"/>
      <c r="P428" s="12" t="n"/>
      <c r="Q428" s="11" t="n"/>
      <c r="R428" s="12" t="n"/>
      <c r="S428" s="11" t="n"/>
      <c r="T428" s="12" t="n"/>
      <c r="U428" s="12" t="n"/>
      <c r="V428" s="14">
        <f>IF($AN428="",IF($B428="","",$H428),IF(INDEX(職員マスタ!$B$6:$B$405,$AN428)="",$H428,INDEX(職員マスタ!$B$6:$B$405,$AN428)))</f>
        <v/>
      </c>
      <c r="W428" s="14">
        <f>IF($AN428="",IF($B428="","",$R428),IF(INDEX(職員マスタ!$C$6:$C$405,$AN428)="",$R428,INDEX(職員マスタ!$C$6:$C$405,$AN428)))</f>
        <v/>
      </c>
      <c r="X428" s="14">
        <f>IF($AO428="","","R"&amp;$C428&amp;"."&amp;$D428)</f>
        <v/>
      </c>
      <c r="Y428" s="15">
        <f>IF($AN428="","",IF(INDEX(職員マスタ!$K$6:$K$405,$AN428)="","",INDEX(職員マスタ!$K$6:$K$405,$AN428)))</f>
        <v/>
      </c>
      <c r="Z428" s="14">
        <f>IF(OR($E428="",$Y428=""),"",IF($E428&gt;=$Y428,"×",IF($E428&gt;=$Y428*設定!$C$5,"△","○")))</f>
        <v/>
      </c>
      <c r="AA428" s="15">
        <f>IF($Z428="","",IF($Z428="×",0,IF($Z428="○",ROUNDDOWN($E428*設定!$C$4,0),ROUNDDOWN($E428*ROUND((9*$Y428-9*$E428)/(10*$E428),4),0))))</f>
        <v/>
      </c>
      <c r="AB428" s="13" t="n"/>
      <c r="AC428" s="15">
        <f>IF($B428="","",IF($AB428&lt;&gt;"",$AB428,IF($AA428="","",IF($AA428&lt;=設定!$C$3,0,$AA428))))</f>
        <v/>
      </c>
      <c r="AD428" s="14">
        <f>IF($B428="","",IF(AND($AE428&lt;&gt;"",$AG428="",$AJ428=""),"保留中",IF($AJ428&lt;&gt;"",IF(N($AC428)&gt;0,"支給済","不支給"),IF($AC428="","要確認",IF($AC428=0,"不支給","未処理")))))</f>
        <v/>
      </c>
      <c r="AE428" s="12" t="n"/>
      <c r="AF428" s="11" t="n"/>
      <c r="AG428" s="11" t="n"/>
      <c r="AH428" s="11" t="n"/>
      <c r="AI428" s="14">
        <f>IF(AND($AD428="保留中",$AF428&lt;&gt;""),TODAY()-$AF428,"")</f>
        <v/>
      </c>
      <c r="AJ428" s="12" t="inlineStr">
        <is>
          <t>R8.10</t>
        </is>
      </c>
      <c r="AK428" s="14">
        <f>IF($B428="","",IF($AO428="","対象年月が未入力／","")&amp;IF($B428="","",IF($AN428="","職員マスタに未登録の職員番号／",IF($Y428="","標準報酬月額が未登録／","")&amp;IF(AND($AO428&lt;&gt;"",OR(AND(INDEX(職員マスタ!$G$6:$G$405,$AN428)&lt;&gt;"",INDEX(職員マスタ!$G$6:$G$405,$AN428)&gt;EOMONTH($AO428,0)),AND(INDEX(職員マスタ!$H$6:$H$405,$AN428)&lt;&gt;"",INDEX(職員マスタ!$H$6:$H$405,$AN428)&lt;$AO428))),"対象月が時短期間外／","")&amp;IF(AND(INDEX(職員マスタ!$F$6:$F$405,$AN428)&lt;&gt;"",$AO428&lt;&gt;"",INDEX(職員マスタ!$F$6:$F$405,$AN428)&lt;$AO428),"対象月に子が2歳到達済／","")&amp;IF(AND($H428&lt;&gt;"",INDEX(職員マスタ!$B$6:$B$405,$AN428)&lt;&gt;"",SUBSTITUTE(SUBSTITUTE($H428," ","")," ","")&lt;&gt;SUBSTITUTE(SUBSTITUTE(INDEX(職員マスタ!$B$6:$B$405,$AN428)," ","")," ","")),"氏名がマスタと相違／","")&amp;IF(AND($Q428&lt;&gt;"",INDEX(職員マスタ!$E$6:$E$405,$AN428)&lt;&gt;"",$Q428&lt;&gt;INDEX(職員マスタ!$E$6:$E$405,$AN428)),"子の生年月日がマスタと相違／","")&amp;IF(AND($L428&lt;&gt;"",INDEX(職員マスタ!$G$6:$G$405,$AN428)&lt;&gt;"",$L428&lt;&gt;INDEX(職員マスタ!$G$6:$G$405,$AN428)),"時短開始日がマスタと相違／","")&amp;IF(AND($M428&lt;&gt;"",INDEX(職員マスタ!$H$6:$H$405,$AN428)&lt;&gt;"",$M428&lt;&gt;INDEX(職員マスタ!$H$6:$H$405,$AN428)),"時短終了日がマスタと相違／","")))&amp;IF(AND($B428&lt;&gt;"",$E428=""),"報酬額が未入力／","")&amp;IF(N($U428)&gt;0,"申請書に入力エラーが残っています／","")&amp;IF(AND($B428&lt;&gt;"",$AO428&lt;&gt;""),IF(COUNTIFS($B$6:$B$3005,$B428,$C$6:$C$3005,$C428,$D$6:$D$3005,$D428)&gt;1,"同じ月の請求が重複しています／",""),"")&amp;IF(AND(N($E428)&gt;0,$Z428&lt;&gt;"",$Z428&lt;&gt;"×",$AC428=0,$AB428=""),"計算額が下限以下のため不支給／",""))</f>
        <v/>
      </c>
      <c r="AL428" s="12" t="n"/>
      <c r="AM428" s="14">
        <f>IF($AD428="保留中",COUNTIF($AD$6:$AD428,"保留中"),"")</f>
        <v/>
      </c>
      <c r="AN428" s="14">
        <f>IF($AO428="","",IF(SUMPRODUCT(MAX((職員マスタ!$A$6:$A$405=$B428)*(((職員マスタ!$G$6:$G$405="")+(職員マスタ!$G$6:$G$405&lt;=EOMONTH($AO428,0)))&gt;0)*(((職員マスタ!$H$6:$H$405="")+(職員マスタ!$H$6:$H$405&gt;=$AO428))&gt;0)*(ROW(職員マスタ!$A$6:$A$405)-5)))&gt;0,SUMPRODUCT(MAX((職員マスタ!$A$6:$A$405=$B428)*(((職員マスタ!$G$6:$G$405="")+(職員マスタ!$G$6:$G$405&lt;=EOMONTH($AO428,0)))&gt;0)*(((職員マスタ!$H$6:$H$405="")+(職員マスタ!$H$6:$H$405&gt;=$AO428))&gt;0)*(ROW(職員マスタ!$A$6:$A$405)-5))),IFERROR(MATCH($B428,職員マスタ!$A$6:$A$405,0),"")))</f>
        <v/>
      </c>
      <c r="AO428" s="16">
        <f>IF(OR($B428="",$C428="",$D428=""),"",DATE($C428+2018,$D428,1))</f>
        <v/>
      </c>
    </row>
    <row r="429">
      <c r="A429" s="11" t="n"/>
      <c r="B429" s="12" t="n">
        <v>6902597</v>
      </c>
      <c r="C429" s="12" t="n">
        <v>8</v>
      </c>
      <c r="D429" s="12" t="n">
        <v>8</v>
      </c>
      <c r="E429" s="13" t="n">
        <v>183998</v>
      </c>
      <c r="F429" s="12" t="n"/>
      <c r="G429" s="13" t="n"/>
      <c r="H429" s="12" t="n"/>
      <c r="I429" s="12" t="n"/>
      <c r="J429" s="12" t="n"/>
      <c r="K429" s="12" t="n"/>
      <c r="L429" s="11" t="n"/>
      <c r="M429" s="11" t="n"/>
      <c r="N429" s="11" t="n"/>
      <c r="O429" s="11" t="n"/>
      <c r="P429" s="12" t="n"/>
      <c r="Q429" s="11" t="n"/>
      <c r="R429" s="12" t="n"/>
      <c r="S429" s="11" t="n"/>
      <c r="T429" s="12" t="n"/>
      <c r="U429" s="12" t="n"/>
      <c r="V429" s="14">
        <f>IF($AN429="",IF($B429="","",$H429),IF(INDEX(職員マスタ!$B$6:$B$405,$AN429)="",$H429,INDEX(職員マスタ!$B$6:$B$405,$AN429)))</f>
        <v/>
      </c>
      <c r="W429" s="14">
        <f>IF($AN429="",IF($B429="","",$R429),IF(INDEX(職員マスタ!$C$6:$C$405,$AN429)="",$R429,INDEX(職員マスタ!$C$6:$C$405,$AN429)))</f>
        <v/>
      </c>
      <c r="X429" s="14">
        <f>IF($AO429="","","R"&amp;$C429&amp;"."&amp;$D429)</f>
        <v/>
      </c>
      <c r="Y429" s="15">
        <f>IF($AN429="","",IF(INDEX(職員マスタ!$K$6:$K$405,$AN429)="","",INDEX(職員マスタ!$K$6:$K$405,$AN429)))</f>
        <v/>
      </c>
      <c r="Z429" s="14">
        <f>IF(OR($E429="",$Y429=""),"",IF($E429&gt;=$Y429,"×",IF($E429&gt;=$Y429*設定!$C$5,"△","○")))</f>
        <v/>
      </c>
      <c r="AA429" s="15">
        <f>IF($Z429="","",IF($Z429="×",0,IF($Z429="○",ROUNDDOWN($E429*設定!$C$4,0),ROUNDDOWN($E429*ROUND((9*$Y429-9*$E429)/(10*$E429),4),0))))</f>
        <v/>
      </c>
      <c r="AB429" s="13" t="n"/>
      <c r="AC429" s="15">
        <f>IF($B429="","",IF($AB429&lt;&gt;"",$AB429,IF($AA429="","",IF($AA429&lt;=設定!$C$3,0,$AA429))))</f>
        <v/>
      </c>
      <c r="AD429" s="14">
        <f>IF($B429="","",IF(AND($AE429&lt;&gt;"",$AG429="",$AJ429=""),"保留中",IF($AJ429&lt;&gt;"",IF(N($AC429)&gt;0,"支給済","不支給"),IF($AC429="","要確認",IF($AC429=0,"不支給","未処理")))))</f>
        <v/>
      </c>
      <c r="AE429" s="12" t="n"/>
      <c r="AF429" s="11" t="n"/>
      <c r="AG429" s="11" t="n"/>
      <c r="AH429" s="11" t="n"/>
      <c r="AI429" s="14">
        <f>IF(AND($AD429="保留中",$AF429&lt;&gt;""),TODAY()-$AF429,"")</f>
        <v/>
      </c>
      <c r="AJ429" s="12" t="inlineStr">
        <is>
          <t>R8.10</t>
        </is>
      </c>
      <c r="AK429" s="14">
        <f>IF($B429="","",IF($AO429="","対象年月が未入力／","")&amp;IF($B429="","",IF($AN429="","職員マスタに未登録の職員番号／",IF($Y429="","標準報酬月額が未登録／","")&amp;IF(AND($AO429&lt;&gt;"",OR(AND(INDEX(職員マスタ!$G$6:$G$405,$AN429)&lt;&gt;"",INDEX(職員マスタ!$G$6:$G$405,$AN429)&gt;EOMONTH($AO429,0)),AND(INDEX(職員マスタ!$H$6:$H$405,$AN429)&lt;&gt;"",INDEX(職員マスタ!$H$6:$H$405,$AN429)&lt;$AO429))),"対象月が時短期間外／","")&amp;IF(AND(INDEX(職員マスタ!$F$6:$F$405,$AN429)&lt;&gt;"",$AO429&lt;&gt;"",INDEX(職員マスタ!$F$6:$F$405,$AN429)&lt;$AO429),"対象月に子が2歳到達済／","")&amp;IF(AND($H429&lt;&gt;"",INDEX(職員マスタ!$B$6:$B$405,$AN429)&lt;&gt;"",SUBSTITUTE(SUBSTITUTE($H429," ","")," ","")&lt;&gt;SUBSTITUTE(SUBSTITUTE(INDEX(職員マスタ!$B$6:$B$405,$AN429)," ","")," ","")),"氏名がマスタと相違／","")&amp;IF(AND($Q429&lt;&gt;"",INDEX(職員マスタ!$E$6:$E$405,$AN429)&lt;&gt;"",$Q429&lt;&gt;INDEX(職員マスタ!$E$6:$E$405,$AN429)),"子の生年月日がマスタと相違／","")&amp;IF(AND($L429&lt;&gt;"",INDEX(職員マスタ!$G$6:$G$405,$AN429)&lt;&gt;"",$L429&lt;&gt;INDEX(職員マスタ!$G$6:$G$405,$AN429)),"時短開始日がマスタと相違／","")&amp;IF(AND($M429&lt;&gt;"",INDEX(職員マスタ!$H$6:$H$405,$AN429)&lt;&gt;"",$M429&lt;&gt;INDEX(職員マスタ!$H$6:$H$405,$AN429)),"時短終了日がマスタと相違／","")))&amp;IF(AND($B429&lt;&gt;"",$E429=""),"報酬額が未入力／","")&amp;IF(N($U429)&gt;0,"申請書に入力エラーが残っています／","")&amp;IF(AND($B429&lt;&gt;"",$AO429&lt;&gt;""),IF(COUNTIFS($B$6:$B$3005,$B429,$C$6:$C$3005,$C429,$D$6:$D$3005,$D429)&gt;1,"同じ月の請求が重複しています／",""),"")&amp;IF(AND(N($E429)&gt;0,$Z429&lt;&gt;"",$Z429&lt;&gt;"×",$AC429=0,$AB429=""),"計算額が下限以下のため不支給／",""))</f>
        <v/>
      </c>
      <c r="AL429" s="12" t="n"/>
      <c r="AM429" s="14">
        <f>IF($AD429="保留中",COUNTIF($AD$6:$AD429,"保留中"),"")</f>
        <v/>
      </c>
      <c r="AN429" s="14">
        <f>IF($AO429="","",IF(SUMPRODUCT(MAX((職員マスタ!$A$6:$A$405=$B429)*(((職員マスタ!$G$6:$G$405="")+(職員マスタ!$G$6:$G$405&lt;=EOMONTH($AO429,0)))&gt;0)*(((職員マスタ!$H$6:$H$405="")+(職員マスタ!$H$6:$H$405&gt;=$AO429))&gt;0)*(ROW(職員マスタ!$A$6:$A$405)-5)))&gt;0,SUMPRODUCT(MAX((職員マスタ!$A$6:$A$405=$B429)*(((職員マスタ!$G$6:$G$405="")+(職員マスタ!$G$6:$G$405&lt;=EOMONTH($AO429,0)))&gt;0)*(((職員マスタ!$H$6:$H$405="")+(職員マスタ!$H$6:$H$405&gt;=$AO429))&gt;0)*(ROW(職員マスタ!$A$6:$A$405)-5))),IFERROR(MATCH($B429,職員マスタ!$A$6:$A$405,0),"")))</f>
        <v/>
      </c>
      <c r="AO429" s="16">
        <f>IF(OR($B429="",$C429="",$D429=""),"",DATE($C429+2018,$D429,1))</f>
        <v/>
      </c>
    </row>
    <row r="430">
      <c r="A430" s="11" t="n"/>
      <c r="B430" s="12" t="n">
        <v>6903033</v>
      </c>
      <c r="C430" s="12" t="n">
        <v>7</v>
      </c>
      <c r="D430" s="12" t="n">
        <v>6</v>
      </c>
      <c r="E430" s="13" t="n">
        <v>292332</v>
      </c>
      <c r="F430" s="12" t="n"/>
      <c r="G430" s="13" t="n"/>
      <c r="H430" s="12" t="n"/>
      <c r="I430" s="12" t="n"/>
      <c r="J430" s="12" t="n"/>
      <c r="K430" s="12" t="n"/>
      <c r="L430" s="11" t="n"/>
      <c r="M430" s="11" t="n"/>
      <c r="N430" s="11" t="n"/>
      <c r="O430" s="11" t="n"/>
      <c r="P430" s="12" t="n"/>
      <c r="Q430" s="11" t="n"/>
      <c r="R430" s="12" t="n"/>
      <c r="S430" s="11" t="n"/>
      <c r="T430" s="12" t="n"/>
      <c r="U430" s="12" t="n"/>
      <c r="V430" s="14">
        <f>IF($AN430="",IF($B430="","",$H430),IF(INDEX(職員マスタ!$B$6:$B$405,$AN430)="",$H430,INDEX(職員マスタ!$B$6:$B$405,$AN430)))</f>
        <v/>
      </c>
      <c r="W430" s="14">
        <f>IF($AN430="",IF($B430="","",$R430),IF(INDEX(職員マスタ!$C$6:$C$405,$AN430)="",$R430,INDEX(職員マスタ!$C$6:$C$405,$AN430)))</f>
        <v/>
      </c>
      <c r="X430" s="14">
        <f>IF($AO430="","","R"&amp;$C430&amp;"."&amp;$D430)</f>
        <v/>
      </c>
      <c r="Y430" s="15">
        <f>IF($AN430="","",IF(INDEX(職員マスタ!$K$6:$K$405,$AN430)="","",INDEX(職員マスタ!$K$6:$K$405,$AN430)))</f>
        <v/>
      </c>
      <c r="Z430" s="14">
        <f>IF(OR($E430="",$Y430=""),"",IF($E430&gt;=$Y430,"×",IF($E430&gt;=$Y430*設定!$C$5,"△","○")))</f>
        <v/>
      </c>
      <c r="AA430" s="15">
        <f>IF($Z430="","",IF($Z430="×",0,IF($Z430="○",ROUNDDOWN($E430*設定!$C$4,0),ROUNDDOWN($E430*ROUND((9*$Y430-9*$E430)/(10*$E430),4),0))))</f>
        <v/>
      </c>
      <c r="AB430" s="13" t="n"/>
      <c r="AC430" s="15">
        <f>IF($B430="","",IF($AB430&lt;&gt;"",$AB430,IF($AA430="","",IF($AA430&lt;=設定!$C$3,0,$AA430))))</f>
        <v/>
      </c>
      <c r="AD430" s="14">
        <f>IF($B430="","",IF(AND($AE430&lt;&gt;"",$AG430="",$AJ430=""),"保留中",IF($AJ430&lt;&gt;"",IF(N($AC430)&gt;0,"支給済","不支給"),IF($AC430="","要確認",IF($AC430=0,"不支給","未処理")))))</f>
        <v/>
      </c>
      <c r="AE430" s="12" t="n"/>
      <c r="AF430" s="11" t="n"/>
      <c r="AG430" s="11" t="n"/>
      <c r="AH430" s="11" t="n"/>
      <c r="AI430" s="14">
        <f>IF(AND($AD430="保留中",$AF430&lt;&gt;""),TODAY()-$AF430,"")</f>
        <v/>
      </c>
      <c r="AJ430" s="12" t="inlineStr">
        <is>
          <t>R8.6</t>
        </is>
      </c>
      <c r="AK430" s="14">
        <f>IF($B430="","",IF($AO430="","対象年月が未入力／","")&amp;IF($B430="","",IF($AN430="","職員マスタに未登録の職員番号／",IF($Y430="","標準報酬月額が未登録／","")&amp;IF(AND($AO430&lt;&gt;"",OR(AND(INDEX(職員マスタ!$G$6:$G$405,$AN430)&lt;&gt;"",INDEX(職員マスタ!$G$6:$G$405,$AN430)&gt;EOMONTH($AO430,0)),AND(INDEX(職員マスタ!$H$6:$H$405,$AN430)&lt;&gt;"",INDEX(職員マスタ!$H$6:$H$405,$AN430)&lt;$AO430))),"対象月が時短期間外／","")&amp;IF(AND(INDEX(職員マスタ!$F$6:$F$405,$AN430)&lt;&gt;"",$AO430&lt;&gt;"",INDEX(職員マスタ!$F$6:$F$405,$AN430)&lt;$AO430),"対象月に子が2歳到達済／","")&amp;IF(AND($H430&lt;&gt;"",INDEX(職員マスタ!$B$6:$B$405,$AN430)&lt;&gt;"",SUBSTITUTE(SUBSTITUTE($H430," ","")," ","")&lt;&gt;SUBSTITUTE(SUBSTITUTE(INDEX(職員マスタ!$B$6:$B$405,$AN430)," ","")," ","")),"氏名がマスタと相違／","")&amp;IF(AND($Q430&lt;&gt;"",INDEX(職員マスタ!$E$6:$E$405,$AN430)&lt;&gt;"",$Q430&lt;&gt;INDEX(職員マスタ!$E$6:$E$405,$AN430)),"子の生年月日がマスタと相違／","")&amp;IF(AND($L430&lt;&gt;"",INDEX(職員マスタ!$G$6:$G$405,$AN430)&lt;&gt;"",$L430&lt;&gt;INDEX(職員マスタ!$G$6:$G$405,$AN430)),"時短開始日がマスタと相違／","")&amp;IF(AND($M430&lt;&gt;"",INDEX(職員マスタ!$H$6:$H$405,$AN430)&lt;&gt;"",$M430&lt;&gt;INDEX(職員マスタ!$H$6:$H$405,$AN430)),"時短終了日がマスタと相違／","")))&amp;IF(AND($B430&lt;&gt;"",$E430=""),"報酬額が未入力／","")&amp;IF(N($U430)&gt;0,"申請書に入力エラーが残っています／","")&amp;IF(AND($B430&lt;&gt;"",$AO430&lt;&gt;""),IF(COUNTIFS($B$6:$B$3005,$B430,$C$6:$C$3005,$C430,$D$6:$D$3005,$D430)&gt;1,"同じ月の請求が重複しています／",""),"")&amp;IF(AND(N($E430)&gt;0,$Z430&lt;&gt;"",$Z430&lt;&gt;"×",$AC430=0,$AB430=""),"計算額が下限以下のため不支給／",""))</f>
        <v/>
      </c>
      <c r="AL430" s="12" t="n"/>
      <c r="AM430" s="14">
        <f>IF($AD430="保留中",COUNTIF($AD$6:$AD430,"保留中"),"")</f>
        <v/>
      </c>
      <c r="AN430" s="14">
        <f>IF($AO430="","",IF(SUMPRODUCT(MAX((職員マスタ!$A$6:$A$405=$B430)*(((職員マスタ!$G$6:$G$405="")+(職員マスタ!$G$6:$G$405&lt;=EOMONTH($AO430,0)))&gt;0)*(((職員マスタ!$H$6:$H$405="")+(職員マスタ!$H$6:$H$405&gt;=$AO430))&gt;0)*(ROW(職員マスタ!$A$6:$A$405)-5)))&gt;0,SUMPRODUCT(MAX((職員マスタ!$A$6:$A$405=$B430)*(((職員マスタ!$G$6:$G$405="")+(職員マスタ!$G$6:$G$405&lt;=EOMONTH($AO430,0)))&gt;0)*(((職員マスタ!$H$6:$H$405="")+(職員マスタ!$H$6:$H$405&gt;=$AO430))&gt;0)*(ROW(職員マスタ!$A$6:$A$405)-5))),IFERROR(MATCH($B430,職員マスタ!$A$6:$A$405,0),"")))</f>
        <v/>
      </c>
      <c r="AO430" s="16">
        <f>IF(OR($B430="",$C430="",$D430=""),"",DATE($C430+2018,$D430,1))</f>
        <v/>
      </c>
    </row>
    <row r="431">
      <c r="A431" s="11" t="n"/>
      <c r="B431" s="12" t="n">
        <v>6903033</v>
      </c>
      <c r="C431" s="12" t="n">
        <v>7</v>
      </c>
      <c r="D431" s="12" t="n">
        <v>7</v>
      </c>
      <c r="E431" s="13" t="n">
        <v>267979</v>
      </c>
      <c r="F431" s="12" t="n"/>
      <c r="G431" s="13" t="n"/>
      <c r="H431" s="12" t="n"/>
      <c r="I431" s="12" t="n"/>
      <c r="J431" s="12" t="n"/>
      <c r="K431" s="12" t="n"/>
      <c r="L431" s="11" t="n"/>
      <c r="M431" s="11" t="n"/>
      <c r="N431" s="11" t="n"/>
      <c r="O431" s="11" t="n"/>
      <c r="P431" s="12" t="n"/>
      <c r="Q431" s="11" t="n"/>
      <c r="R431" s="12" t="n"/>
      <c r="S431" s="11" t="n"/>
      <c r="T431" s="12" t="n"/>
      <c r="U431" s="12" t="n"/>
      <c r="V431" s="14">
        <f>IF($AN431="",IF($B431="","",$H431),IF(INDEX(職員マスタ!$B$6:$B$405,$AN431)="",$H431,INDEX(職員マスタ!$B$6:$B$405,$AN431)))</f>
        <v/>
      </c>
      <c r="W431" s="14">
        <f>IF($AN431="",IF($B431="","",$R431),IF(INDEX(職員マスタ!$C$6:$C$405,$AN431)="",$R431,INDEX(職員マスタ!$C$6:$C$405,$AN431)))</f>
        <v/>
      </c>
      <c r="X431" s="14">
        <f>IF($AO431="","","R"&amp;$C431&amp;"."&amp;$D431)</f>
        <v/>
      </c>
      <c r="Y431" s="15">
        <f>IF($AN431="","",IF(INDEX(職員マスタ!$K$6:$K$405,$AN431)="","",INDEX(職員マスタ!$K$6:$K$405,$AN431)))</f>
        <v/>
      </c>
      <c r="Z431" s="14">
        <f>IF(OR($E431="",$Y431=""),"",IF($E431&gt;=$Y431,"×",IF($E431&gt;=$Y431*設定!$C$5,"△","○")))</f>
        <v/>
      </c>
      <c r="AA431" s="15">
        <f>IF($Z431="","",IF($Z431="×",0,IF($Z431="○",ROUNDDOWN($E431*設定!$C$4,0),ROUNDDOWN($E431*ROUND((9*$Y431-9*$E431)/(10*$E431),4),0))))</f>
        <v/>
      </c>
      <c r="AB431" s="13" t="n"/>
      <c r="AC431" s="15">
        <f>IF($B431="","",IF($AB431&lt;&gt;"",$AB431,IF($AA431="","",IF($AA431&lt;=設定!$C$3,0,$AA431))))</f>
        <v/>
      </c>
      <c r="AD431" s="14">
        <f>IF($B431="","",IF(AND($AE431&lt;&gt;"",$AG431="",$AJ431=""),"保留中",IF($AJ431&lt;&gt;"",IF(N($AC431)&gt;0,"支給済","不支給"),IF($AC431="","要確認",IF($AC431=0,"不支給","未処理")))))</f>
        <v/>
      </c>
      <c r="AE431" s="12" t="n"/>
      <c r="AF431" s="11" t="n"/>
      <c r="AG431" s="11" t="n"/>
      <c r="AH431" s="11" t="n"/>
      <c r="AI431" s="14">
        <f>IF(AND($AD431="保留中",$AF431&lt;&gt;""),TODAY()-$AF431,"")</f>
        <v/>
      </c>
      <c r="AJ431" s="12" t="inlineStr">
        <is>
          <t>R8.6</t>
        </is>
      </c>
      <c r="AK431" s="14">
        <f>IF($B431="","",IF($AO431="","対象年月が未入力／","")&amp;IF($B431="","",IF($AN431="","職員マスタに未登録の職員番号／",IF($Y431="","標準報酬月額が未登録／","")&amp;IF(AND($AO431&lt;&gt;"",OR(AND(INDEX(職員マスタ!$G$6:$G$405,$AN431)&lt;&gt;"",INDEX(職員マスタ!$G$6:$G$405,$AN431)&gt;EOMONTH($AO431,0)),AND(INDEX(職員マスタ!$H$6:$H$405,$AN431)&lt;&gt;"",INDEX(職員マスタ!$H$6:$H$405,$AN431)&lt;$AO431))),"対象月が時短期間外／","")&amp;IF(AND(INDEX(職員マスタ!$F$6:$F$405,$AN431)&lt;&gt;"",$AO431&lt;&gt;"",INDEX(職員マスタ!$F$6:$F$405,$AN431)&lt;$AO431),"対象月に子が2歳到達済／","")&amp;IF(AND($H431&lt;&gt;"",INDEX(職員マスタ!$B$6:$B$405,$AN431)&lt;&gt;"",SUBSTITUTE(SUBSTITUTE($H431," ","")," ","")&lt;&gt;SUBSTITUTE(SUBSTITUTE(INDEX(職員マスタ!$B$6:$B$405,$AN431)," ","")," ","")),"氏名がマスタと相違／","")&amp;IF(AND($Q431&lt;&gt;"",INDEX(職員マスタ!$E$6:$E$405,$AN431)&lt;&gt;"",$Q431&lt;&gt;INDEX(職員マスタ!$E$6:$E$405,$AN431)),"子の生年月日がマスタと相違／","")&amp;IF(AND($L431&lt;&gt;"",INDEX(職員マスタ!$G$6:$G$405,$AN431)&lt;&gt;"",$L431&lt;&gt;INDEX(職員マスタ!$G$6:$G$405,$AN431)),"時短開始日がマスタと相違／","")&amp;IF(AND($M431&lt;&gt;"",INDEX(職員マスタ!$H$6:$H$405,$AN431)&lt;&gt;"",$M431&lt;&gt;INDEX(職員マスタ!$H$6:$H$405,$AN431)),"時短終了日がマスタと相違／","")))&amp;IF(AND($B431&lt;&gt;"",$E431=""),"報酬額が未入力／","")&amp;IF(N($U431)&gt;0,"申請書に入力エラーが残っています／","")&amp;IF(AND($B431&lt;&gt;"",$AO431&lt;&gt;""),IF(COUNTIFS($B$6:$B$3005,$B431,$C$6:$C$3005,$C431,$D$6:$D$3005,$D431)&gt;1,"同じ月の請求が重複しています／",""),"")&amp;IF(AND(N($E431)&gt;0,$Z431&lt;&gt;"",$Z431&lt;&gt;"×",$AC431=0,$AB431=""),"計算額が下限以下のため不支給／",""))</f>
        <v/>
      </c>
      <c r="AL431" s="12" t="n"/>
      <c r="AM431" s="14">
        <f>IF($AD431="保留中",COUNTIF($AD$6:$AD431,"保留中"),"")</f>
        <v/>
      </c>
      <c r="AN431" s="14">
        <f>IF($AO431="","",IF(SUMPRODUCT(MAX((職員マスタ!$A$6:$A$405=$B431)*(((職員マスタ!$G$6:$G$405="")+(職員マスタ!$G$6:$G$405&lt;=EOMONTH($AO431,0)))&gt;0)*(((職員マスタ!$H$6:$H$405="")+(職員マスタ!$H$6:$H$405&gt;=$AO431))&gt;0)*(ROW(職員マスタ!$A$6:$A$405)-5)))&gt;0,SUMPRODUCT(MAX((職員マスタ!$A$6:$A$405=$B431)*(((職員マスタ!$G$6:$G$405="")+(職員マスタ!$G$6:$G$405&lt;=EOMONTH($AO431,0)))&gt;0)*(((職員マスタ!$H$6:$H$405="")+(職員マスタ!$H$6:$H$405&gt;=$AO431))&gt;0)*(ROW(職員マスタ!$A$6:$A$405)-5))),IFERROR(MATCH($B431,職員マスタ!$A$6:$A$405,0),"")))</f>
        <v/>
      </c>
      <c r="AO431" s="16">
        <f>IF(OR($B431="",$C431="",$D431=""),"",DATE($C431+2018,$D431,1))</f>
        <v/>
      </c>
    </row>
    <row r="432">
      <c r="A432" s="11" t="n"/>
      <c r="B432" s="12" t="n">
        <v>6903033</v>
      </c>
      <c r="C432" s="12" t="n">
        <v>7</v>
      </c>
      <c r="D432" s="12" t="n">
        <v>8</v>
      </c>
      <c r="E432" s="13" t="n">
        <v>255043</v>
      </c>
      <c r="F432" s="12" t="n"/>
      <c r="G432" s="13" t="n"/>
      <c r="H432" s="12" t="n"/>
      <c r="I432" s="12" t="n"/>
      <c r="J432" s="12" t="n"/>
      <c r="K432" s="12" t="n"/>
      <c r="L432" s="11" t="n"/>
      <c r="M432" s="11" t="n"/>
      <c r="N432" s="11" t="n"/>
      <c r="O432" s="11" t="n"/>
      <c r="P432" s="12" t="n"/>
      <c r="Q432" s="11" t="n"/>
      <c r="R432" s="12" t="n"/>
      <c r="S432" s="11" t="n"/>
      <c r="T432" s="12" t="n"/>
      <c r="U432" s="12" t="n"/>
      <c r="V432" s="14">
        <f>IF($AN432="",IF($B432="","",$H432),IF(INDEX(職員マスタ!$B$6:$B$405,$AN432)="",$H432,INDEX(職員マスタ!$B$6:$B$405,$AN432)))</f>
        <v/>
      </c>
      <c r="W432" s="14">
        <f>IF($AN432="",IF($B432="","",$R432),IF(INDEX(職員マスタ!$C$6:$C$405,$AN432)="",$R432,INDEX(職員マスタ!$C$6:$C$405,$AN432)))</f>
        <v/>
      </c>
      <c r="X432" s="14">
        <f>IF($AO432="","","R"&amp;$C432&amp;"."&amp;$D432)</f>
        <v/>
      </c>
      <c r="Y432" s="15">
        <f>IF($AN432="","",IF(INDEX(職員マスタ!$K$6:$K$405,$AN432)="","",INDEX(職員マスタ!$K$6:$K$405,$AN432)))</f>
        <v/>
      </c>
      <c r="Z432" s="14">
        <f>IF(OR($E432="",$Y432=""),"",IF($E432&gt;=$Y432,"×",IF($E432&gt;=$Y432*設定!$C$5,"△","○")))</f>
        <v/>
      </c>
      <c r="AA432" s="15">
        <f>IF($Z432="","",IF($Z432="×",0,IF($Z432="○",ROUNDDOWN($E432*設定!$C$4,0),ROUNDDOWN($E432*ROUND((9*$Y432-9*$E432)/(10*$E432),4),0))))</f>
        <v/>
      </c>
      <c r="AB432" s="13" t="n"/>
      <c r="AC432" s="15">
        <f>IF($B432="","",IF($AB432&lt;&gt;"",$AB432,IF($AA432="","",IF($AA432&lt;=設定!$C$3,0,$AA432))))</f>
        <v/>
      </c>
      <c r="AD432" s="14">
        <f>IF($B432="","",IF(AND($AE432&lt;&gt;"",$AG432="",$AJ432=""),"保留中",IF($AJ432&lt;&gt;"",IF(N($AC432)&gt;0,"支給済","不支給"),IF($AC432="","要確認",IF($AC432=0,"不支給","未処理")))))</f>
        <v/>
      </c>
      <c r="AE432" s="12" t="n"/>
      <c r="AF432" s="11" t="n"/>
      <c r="AG432" s="11" t="n"/>
      <c r="AH432" s="11" t="n"/>
      <c r="AI432" s="14">
        <f>IF(AND($AD432="保留中",$AF432&lt;&gt;""),TODAY()-$AF432,"")</f>
        <v/>
      </c>
      <c r="AJ432" s="12" t="inlineStr">
        <is>
          <t>R8.6</t>
        </is>
      </c>
      <c r="AK432" s="14">
        <f>IF($B432="","",IF($AO432="","対象年月が未入力／","")&amp;IF($B432="","",IF($AN432="","職員マスタに未登録の職員番号／",IF($Y432="","標準報酬月額が未登録／","")&amp;IF(AND($AO432&lt;&gt;"",OR(AND(INDEX(職員マスタ!$G$6:$G$405,$AN432)&lt;&gt;"",INDEX(職員マスタ!$G$6:$G$405,$AN432)&gt;EOMONTH($AO432,0)),AND(INDEX(職員マスタ!$H$6:$H$405,$AN432)&lt;&gt;"",INDEX(職員マスタ!$H$6:$H$405,$AN432)&lt;$AO432))),"対象月が時短期間外／","")&amp;IF(AND(INDEX(職員マスタ!$F$6:$F$405,$AN432)&lt;&gt;"",$AO432&lt;&gt;"",INDEX(職員マスタ!$F$6:$F$405,$AN432)&lt;$AO432),"対象月に子が2歳到達済／","")&amp;IF(AND($H432&lt;&gt;"",INDEX(職員マスタ!$B$6:$B$405,$AN432)&lt;&gt;"",SUBSTITUTE(SUBSTITUTE($H432," ","")," ","")&lt;&gt;SUBSTITUTE(SUBSTITUTE(INDEX(職員マスタ!$B$6:$B$405,$AN432)," ","")," ","")),"氏名がマスタと相違／","")&amp;IF(AND($Q432&lt;&gt;"",INDEX(職員マスタ!$E$6:$E$405,$AN432)&lt;&gt;"",$Q432&lt;&gt;INDEX(職員マスタ!$E$6:$E$405,$AN432)),"子の生年月日がマスタと相違／","")&amp;IF(AND($L432&lt;&gt;"",INDEX(職員マスタ!$G$6:$G$405,$AN432)&lt;&gt;"",$L432&lt;&gt;INDEX(職員マスタ!$G$6:$G$405,$AN432)),"時短開始日がマスタと相違／","")&amp;IF(AND($M432&lt;&gt;"",INDEX(職員マスタ!$H$6:$H$405,$AN432)&lt;&gt;"",$M432&lt;&gt;INDEX(職員マスタ!$H$6:$H$405,$AN432)),"時短終了日がマスタと相違／","")))&amp;IF(AND($B432&lt;&gt;"",$E432=""),"報酬額が未入力／","")&amp;IF(N($U432)&gt;0,"申請書に入力エラーが残っています／","")&amp;IF(AND($B432&lt;&gt;"",$AO432&lt;&gt;""),IF(COUNTIFS($B$6:$B$3005,$B432,$C$6:$C$3005,$C432,$D$6:$D$3005,$D432)&gt;1,"同じ月の請求が重複しています／",""),"")&amp;IF(AND(N($E432)&gt;0,$Z432&lt;&gt;"",$Z432&lt;&gt;"×",$AC432=0,$AB432=""),"計算額が下限以下のため不支給／",""))</f>
        <v/>
      </c>
      <c r="AL432" s="12" t="n"/>
      <c r="AM432" s="14">
        <f>IF($AD432="保留中",COUNTIF($AD$6:$AD432,"保留中"),"")</f>
        <v/>
      </c>
      <c r="AN432" s="14">
        <f>IF($AO432="","",IF(SUMPRODUCT(MAX((職員マスタ!$A$6:$A$405=$B432)*(((職員マスタ!$G$6:$G$405="")+(職員マスタ!$G$6:$G$405&lt;=EOMONTH($AO432,0)))&gt;0)*(((職員マスタ!$H$6:$H$405="")+(職員マスタ!$H$6:$H$405&gt;=$AO432))&gt;0)*(ROW(職員マスタ!$A$6:$A$405)-5)))&gt;0,SUMPRODUCT(MAX((職員マスタ!$A$6:$A$405=$B432)*(((職員マスタ!$G$6:$G$405="")+(職員マスタ!$G$6:$G$405&lt;=EOMONTH($AO432,0)))&gt;0)*(((職員マスタ!$H$6:$H$405="")+(職員マスタ!$H$6:$H$405&gt;=$AO432))&gt;0)*(ROW(職員マスタ!$A$6:$A$405)-5))),IFERROR(MATCH($B432,職員マスタ!$A$6:$A$405,0),"")))</f>
        <v/>
      </c>
      <c r="AO432" s="16">
        <f>IF(OR($B432="",$C432="",$D432=""),"",DATE($C432+2018,$D432,1))</f>
        <v/>
      </c>
    </row>
    <row r="433">
      <c r="A433" s="11" t="n"/>
      <c r="B433" s="12" t="n">
        <v>6903033</v>
      </c>
      <c r="C433" s="12" t="n">
        <v>7</v>
      </c>
      <c r="D433" s="12" t="n">
        <v>9</v>
      </c>
      <c r="E433" s="13" t="n">
        <v>256800</v>
      </c>
      <c r="F433" s="12" t="n"/>
      <c r="G433" s="13" t="n"/>
      <c r="H433" s="12" t="n"/>
      <c r="I433" s="12" t="n"/>
      <c r="J433" s="12" t="n"/>
      <c r="K433" s="12" t="n"/>
      <c r="L433" s="11" t="n"/>
      <c r="M433" s="11" t="n"/>
      <c r="N433" s="11" t="n"/>
      <c r="O433" s="11" t="n"/>
      <c r="P433" s="12" t="n"/>
      <c r="Q433" s="11" t="n"/>
      <c r="R433" s="12" t="n"/>
      <c r="S433" s="11" t="n"/>
      <c r="T433" s="12" t="n"/>
      <c r="U433" s="12" t="n"/>
      <c r="V433" s="14">
        <f>IF($AN433="",IF($B433="","",$H433),IF(INDEX(職員マスタ!$B$6:$B$405,$AN433)="",$H433,INDEX(職員マスタ!$B$6:$B$405,$AN433)))</f>
        <v/>
      </c>
      <c r="W433" s="14">
        <f>IF($AN433="",IF($B433="","",$R433),IF(INDEX(職員マスタ!$C$6:$C$405,$AN433)="",$R433,INDEX(職員マスタ!$C$6:$C$405,$AN433)))</f>
        <v/>
      </c>
      <c r="X433" s="14">
        <f>IF($AO433="","","R"&amp;$C433&amp;"."&amp;$D433)</f>
        <v/>
      </c>
      <c r="Y433" s="15">
        <f>IF($AN433="","",IF(INDEX(職員マスタ!$K$6:$K$405,$AN433)="","",INDEX(職員マスタ!$K$6:$K$405,$AN433)))</f>
        <v/>
      </c>
      <c r="Z433" s="14">
        <f>IF(OR($E433="",$Y433=""),"",IF($E433&gt;=$Y433,"×",IF($E433&gt;=$Y433*設定!$C$5,"△","○")))</f>
        <v/>
      </c>
      <c r="AA433" s="15">
        <f>IF($Z433="","",IF($Z433="×",0,IF($Z433="○",ROUNDDOWN($E433*設定!$C$4,0),ROUNDDOWN($E433*ROUND((9*$Y433-9*$E433)/(10*$E433),4),0))))</f>
        <v/>
      </c>
      <c r="AB433" s="13" t="n"/>
      <c r="AC433" s="15">
        <f>IF($B433="","",IF($AB433&lt;&gt;"",$AB433,IF($AA433="","",IF($AA433&lt;=設定!$C$3,0,$AA433))))</f>
        <v/>
      </c>
      <c r="AD433" s="14">
        <f>IF($B433="","",IF(AND($AE433&lt;&gt;"",$AG433="",$AJ433=""),"保留中",IF($AJ433&lt;&gt;"",IF(N($AC433)&gt;0,"支給済","不支給"),IF($AC433="","要確認",IF($AC433=0,"不支給","未処理")))))</f>
        <v/>
      </c>
      <c r="AE433" s="12" t="n"/>
      <c r="AF433" s="11" t="n"/>
      <c r="AG433" s="11" t="n"/>
      <c r="AH433" s="11" t="n"/>
      <c r="AI433" s="14">
        <f>IF(AND($AD433="保留中",$AF433&lt;&gt;""),TODAY()-$AF433,"")</f>
        <v/>
      </c>
      <c r="AJ433" s="12" t="inlineStr">
        <is>
          <t>R8.6</t>
        </is>
      </c>
      <c r="AK433" s="14">
        <f>IF($B433="","",IF($AO433="","対象年月が未入力／","")&amp;IF($B433="","",IF($AN433="","職員マスタに未登録の職員番号／",IF($Y433="","標準報酬月額が未登録／","")&amp;IF(AND($AO433&lt;&gt;"",OR(AND(INDEX(職員マスタ!$G$6:$G$405,$AN433)&lt;&gt;"",INDEX(職員マスタ!$G$6:$G$405,$AN433)&gt;EOMONTH($AO433,0)),AND(INDEX(職員マスタ!$H$6:$H$405,$AN433)&lt;&gt;"",INDEX(職員マスタ!$H$6:$H$405,$AN433)&lt;$AO433))),"対象月が時短期間外／","")&amp;IF(AND(INDEX(職員マスタ!$F$6:$F$405,$AN433)&lt;&gt;"",$AO433&lt;&gt;"",INDEX(職員マスタ!$F$6:$F$405,$AN433)&lt;$AO433),"対象月に子が2歳到達済／","")&amp;IF(AND($H433&lt;&gt;"",INDEX(職員マスタ!$B$6:$B$405,$AN433)&lt;&gt;"",SUBSTITUTE(SUBSTITUTE($H433," ","")," ","")&lt;&gt;SUBSTITUTE(SUBSTITUTE(INDEX(職員マスタ!$B$6:$B$405,$AN433)," ","")," ","")),"氏名がマスタと相違／","")&amp;IF(AND($Q433&lt;&gt;"",INDEX(職員マスタ!$E$6:$E$405,$AN433)&lt;&gt;"",$Q433&lt;&gt;INDEX(職員マスタ!$E$6:$E$405,$AN433)),"子の生年月日がマスタと相違／","")&amp;IF(AND($L433&lt;&gt;"",INDEX(職員マスタ!$G$6:$G$405,$AN433)&lt;&gt;"",$L433&lt;&gt;INDEX(職員マスタ!$G$6:$G$405,$AN433)),"時短開始日がマスタと相違／","")&amp;IF(AND($M433&lt;&gt;"",INDEX(職員マスタ!$H$6:$H$405,$AN433)&lt;&gt;"",$M433&lt;&gt;INDEX(職員マスタ!$H$6:$H$405,$AN433)),"時短終了日がマスタと相違／","")))&amp;IF(AND($B433&lt;&gt;"",$E433=""),"報酬額が未入力／","")&amp;IF(N($U433)&gt;0,"申請書に入力エラーが残っています／","")&amp;IF(AND($B433&lt;&gt;"",$AO433&lt;&gt;""),IF(COUNTIFS($B$6:$B$3005,$B433,$C$6:$C$3005,$C433,$D$6:$D$3005,$D433)&gt;1,"同じ月の請求が重複しています／",""),"")&amp;IF(AND(N($E433)&gt;0,$Z433&lt;&gt;"",$Z433&lt;&gt;"×",$AC433=0,$AB433=""),"計算額が下限以下のため不支給／",""))</f>
        <v/>
      </c>
      <c r="AL433" s="12" t="n"/>
      <c r="AM433" s="14">
        <f>IF($AD433="保留中",COUNTIF($AD$6:$AD433,"保留中"),"")</f>
        <v/>
      </c>
      <c r="AN433" s="14">
        <f>IF($AO433="","",IF(SUMPRODUCT(MAX((職員マスタ!$A$6:$A$405=$B433)*(((職員マスタ!$G$6:$G$405="")+(職員マスタ!$G$6:$G$405&lt;=EOMONTH($AO433,0)))&gt;0)*(((職員マスタ!$H$6:$H$405="")+(職員マスタ!$H$6:$H$405&gt;=$AO433))&gt;0)*(ROW(職員マスタ!$A$6:$A$405)-5)))&gt;0,SUMPRODUCT(MAX((職員マスタ!$A$6:$A$405=$B433)*(((職員マスタ!$G$6:$G$405="")+(職員マスタ!$G$6:$G$405&lt;=EOMONTH($AO433,0)))&gt;0)*(((職員マスタ!$H$6:$H$405="")+(職員マスタ!$H$6:$H$405&gt;=$AO433))&gt;0)*(ROW(職員マスタ!$A$6:$A$405)-5))),IFERROR(MATCH($B433,職員マスタ!$A$6:$A$405,0),"")))</f>
        <v/>
      </c>
      <c r="AO433" s="16">
        <f>IF(OR($B433="",$C433="",$D433=""),"",DATE($C433+2018,$D433,1))</f>
        <v/>
      </c>
    </row>
    <row r="434">
      <c r="A434" s="11" t="n"/>
      <c r="B434" s="12" t="n">
        <v>6904581</v>
      </c>
      <c r="C434" s="12" t="n">
        <v>7</v>
      </c>
      <c r="D434" s="12" t="n">
        <v>5</v>
      </c>
      <c r="E434" s="13" t="n">
        <v>191450</v>
      </c>
      <c r="F434" s="12" t="n"/>
      <c r="G434" s="13" t="n"/>
      <c r="H434" s="12" t="n"/>
      <c r="I434" s="12" t="n"/>
      <c r="J434" s="12" t="n"/>
      <c r="K434" s="12" t="n"/>
      <c r="L434" s="11" t="n"/>
      <c r="M434" s="11" t="n"/>
      <c r="N434" s="11" t="n"/>
      <c r="O434" s="11" t="n"/>
      <c r="P434" s="12" t="n"/>
      <c r="Q434" s="11" t="n"/>
      <c r="R434" s="12" t="n"/>
      <c r="S434" s="11" t="n"/>
      <c r="T434" s="12" t="n"/>
      <c r="U434" s="12" t="n"/>
      <c r="V434" s="14">
        <f>IF($AN434="",IF($B434="","",$H434),IF(INDEX(職員マスタ!$B$6:$B$405,$AN434)="",$H434,INDEX(職員マスタ!$B$6:$B$405,$AN434)))</f>
        <v/>
      </c>
      <c r="W434" s="14">
        <f>IF($AN434="",IF($B434="","",$R434),IF(INDEX(職員マスタ!$C$6:$C$405,$AN434)="",$R434,INDEX(職員マスタ!$C$6:$C$405,$AN434)))</f>
        <v/>
      </c>
      <c r="X434" s="14">
        <f>IF($AO434="","","R"&amp;$C434&amp;"."&amp;$D434)</f>
        <v/>
      </c>
      <c r="Y434" s="15">
        <f>IF($AN434="","",IF(INDEX(職員マスタ!$K$6:$K$405,$AN434)="","",INDEX(職員マスタ!$K$6:$K$405,$AN434)))</f>
        <v/>
      </c>
      <c r="Z434" s="14">
        <f>IF(OR($E434="",$Y434=""),"",IF($E434&gt;=$Y434,"×",IF($E434&gt;=$Y434*設定!$C$5,"△","○")))</f>
        <v/>
      </c>
      <c r="AA434" s="15">
        <f>IF($Z434="","",IF($Z434="×",0,IF($Z434="○",ROUNDDOWN($E434*設定!$C$4,0),ROUNDDOWN($E434*ROUND((9*$Y434-9*$E434)/(10*$E434),4),0))))</f>
        <v/>
      </c>
      <c r="AB434" s="13" t="n"/>
      <c r="AC434" s="15">
        <f>IF($B434="","",IF($AB434&lt;&gt;"",$AB434,IF($AA434="","",IF($AA434&lt;=設定!$C$3,0,$AA434))))</f>
        <v/>
      </c>
      <c r="AD434" s="14">
        <f>IF($B434="","",IF(AND($AE434&lt;&gt;"",$AG434="",$AJ434=""),"保留中",IF($AJ434&lt;&gt;"",IF(N($AC434)&gt;0,"支給済","不支給"),IF($AC434="","要確認",IF($AC434=0,"不支給","未処理")))))</f>
        <v/>
      </c>
      <c r="AE434" s="12" t="n"/>
      <c r="AF434" s="11" t="n"/>
      <c r="AG434" s="11" t="n"/>
      <c r="AH434" s="11" t="n"/>
      <c r="AI434" s="14">
        <f>IF(AND($AD434="保留中",$AF434&lt;&gt;""),TODAY()-$AF434,"")</f>
        <v/>
      </c>
      <c r="AJ434" s="12" t="inlineStr">
        <is>
          <t>R7.8</t>
        </is>
      </c>
      <c r="AK434" s="14">
        <f>IF($B434="","",IF($AO434="","対象年月が未入力／","")&amp;IF($B434="","",IF($AN434="","職員マスタに未登録の職員番号／",IF($Y434="","標準報酬月額が未登録／","")&amp;IF(AND($AO434&lt;&gt;"",OR(AND(INDEX(職員マスタ!$G$6:$G$405,$AN434)&lt;&gt;"",INDEX(職員マスタ!$G$6:$G$405,$AN434)&gt;EOMONTH($AO434,0)),AND(INDEX(職員マスタ!$H$6:$H$405,$AN434)&lt;&gt;"",INDEX(職員マスタ!$H$6:$H$405,$AN434)&lt;$AO434))),"対象月が時短期間外／","")&amp;IF(AND(INDEX(職員マスタ!$F$6:$F$405,$AN434)&lt;&gt;"",$AO434&lt;&gt;"",INDEX(職員マスタ!$F$6:$F$405,$AN434)&lt;$AO434),"対象月に子が2歳到達済／","")&amp;IF(AND($H434&lt;&gt;"",INDEX(職員マスタ!$B$6:$B$405,$AN434)&lt;&gt;"",SUBSTITUTE(SUBSTITUTE($H434," ","")," ","")&lt;&gt;SUBSTITUTE(SUBSTITUTE(INDEX(職員マスタ!$B$6:$B$405,$AN434)," ","")," ","")),"氏名がマスタと相違／","")&amp;IF(AND($Q434&lt;&gt;"",INDEX(職員マスタ!$E$6:$E$405,$AN434)&lt;&gt;"",$Q434&lt;&gt;INDEX(職員マスタ!$E$6:$E$405,$AN434)),"子の生年月日がマスタと相違／","")&amp;IF(AND($L434&lt;&gt;"",INDEX(職員マスタ!$G$6:$G$405,$AN434)&lt;&gt;"",$L434&lt;&gt;INDEX(職員マスタ!$G$6:$G$405,$AN434)),"時短開始日がマスタと相違／","")&amp;IF(AND($M434&lt;&gt;"",INDEX(職員マスタ!$H$6:$H$405,$AN434)&lt;&gt;"",$M434&lt;&gt;INDEX(職員マスタ!$H$6:$H$405,$AN434)),"時短終了日がマスタと相違／","")))&amp;IF(AND($B434&lt;&gt;"",$E434=""),"報酬額が未入力／","")&amp;IF(N($U434)&gt;0,"申請書に入力エラーが残っています／","")&amp;IF(AND($B434&lt;&gt;"",$AO434&lt;&gt;""),IF(COUNTIFS($B$6:$B$3005,$B434,$C$6:$C$3005,$C434,$D$6:$D$3005,$D434)&gt;1,"同じ月の請求が重複しています／",""),"")&amp;IF(AND(N($E434)&gt;0,$Z434&lt;&gt;"",$Z434&lt;&gt;"×",$AC434=0,$AB434=""),"計算額が下限以下のため不支給／",""))</f>
        <v/>
      </c>
      <c r="AL434" s="12" t="n"/>
      <c r="AM434" s="14">
        <f>IF($AD434="保留中",COUNTIF($AD$6:$AD434,"保留中"),"")</f>
        <v/>
      </c>
      <c r="AN434" s="14">
        <f>IF($AO434="","",IF(SUMPRODUCT(MAX((職員マスタ!$A$6:$A$405=$B434)*(((職員マスタ!$G$6:$G$405="")+(職員マスタ!$G$6:$G$405&lt;=EOMONTH($AO434,0)))&gt;0)*(((職員マスタ!$H$6:$H$405="")+(職員マスタ!$H$6:$H$405&gt;=$AO434))&gt;0)*(ROW(職員マスタ!$A$6:$A$405)-5)))&gt;0,SUMPRODUCT(MAX((職員マスタ!$A$6:$A$405=$B434)*(((職員マスタ!$G$6:$G$405="")+(職員マスタ!$G$6:$G$405&lt;=EOMONTH($AO434,0)))&gt;0)*(((職員マスタ!$H$6:$H$405="")+(職員マスタ!$H$6:$H$405&gt;=$AO434))&gt;0)*(ROW(職員マスタ!$A$6:$A$405)-5))),IFERROR(MATCH($B434,職員マスタ!$A$6:$A$405,0),"")))</f>
        <v/>
      </c>
      <c r="AO434" s="16">
        <f>IF(OR($B434="",$C434="",$D434=""),"",DATE($C434+2018,$D434,1))</f>
        <v/>
      </c>
    </row>
    <row r="435">
      <c r="A435" s="11" t="n"/>
      <c r="B435" s="12" t="n">
        <v>6904581</v>
      </c>
      <c r="C435" s="12" t="n">
        <v>7</v>
      </c>
      <c r="D435" s="12" t="n">
        <v>6</v>
      </c>
      <c r="E435" s="13" t="n">
        <v>191897</v>
      </c>
      <c r="F435" s="12" t="n"/>
      <c r="G435" s="13" t="n"/>
      <c r="H435" s="12" t="n"/>
      <c r="I435" s="12" t="n"/>
      <c r="J435" s="12" t="n"/>
      <c r="K435" s="12" t="n"/>
      <c r="L435" s="11" t="n"/>
      <c r="M435" s="11" t="n"/>
      <c r="N435" s="11" t="n"/>
      <c r="O435" s="11" t="n"/>
      <c r="P435" s="12" t="n"/>
      <c r="Q435" s="11" t="n"/>
      <c r="R435" s="12" t="n"/>
      <c r="S435" s="11" t="n"/>
      <c r="T435" s="12" t="n"/>
      <c r="U435" s="12" t="n"/>
      <c r="V435" s="14">
        <f>IF($AN435="",IF($B435="","",$H435),IF(INDEX(職員マスタ!$B$6:$B$405,$AN435)="",$H435,INDEX(職員マスタ!$B$6:$B$405,$AN435)))</f>
        <v/>
      </c>
      <c r="W435" s="14">
        <f>IF($AN435="",IF($B435="","",$R435),IF(INDEX(職員マスタ!$C$6:$C$405,$AN435)="",$R435,INDEX(職員マスタ!$C$6:$C$405,$AN435)))</f>
        <v/>
      </c>
      <c r="X435" s="14">
        <f>IF($AO435="","","R"&amp;$C435&amp;"."&amp;$D435)</f>
        <v/>
      </c>
      <c r="Y435" s="15">
        <f>IF($AN435="","",IF(INDEX(職員マスタ!$K$6:$K$405,$AN435)="","",INDEX(職員マスタ!$K$6:$K$405,$AN435)))</f>
        <v/>
      </c>
      <c r="Z435" s="14">
        <f>IF(OR($E435="",$Y435=""),"",IF($E435&gt;=$Y435,"×",IF($E435&gt;=$Y435*設定!$C$5,"△","○")))</f>
        <v/>
      </c>
      <c r="AA435" s="15">
        <f>IF($Z435="","",IF($Z435="×",0,IF($Z435="○",ROUNDDOWN($E435*設定!$C$4,0),ROUNDDOWN($E435*ROUND((9*$Y435-9*$E435)/(10*$E435),4),0))))</f>
        <v/>
      </c>
      <c r="AB435" s="13" t="n"/>
      <c r="AC435" s="15">
        <f>IF($B435="","",IF($AB435&lt;&gt;"",$AB435,IF($AA435="","",IF($AA435&lt;=設定!$C$3,0,$AA435))))</f>
        <v/>
      </c>
      <c r="AD435" s="14">
        <f>IF($B435="","",IF(AND($AE435&lt;&gt;"",$AG435="",$AJ435=""),"保留中",IF($AJ435&lt;&gt;"",IF(N($AC435)&gt;0,"支給済","不支給"),IF($AC435="","要確認",IF($AC435=0,"不支給","未処理")))))</f>
        <v/>
      </c>
      <c r="AE435" s="12" t="n"/>
      <c r="AF435" s="11" t="n"/>
      <c r="AG435" s="11" t="n"/>
      <c r="AH435" s="11" t="n"/>
      <c r="AI435" s="14">
        <f>IF(AND($AD435="保留中",$AF435&lt;&gt;""),TODAY()-$AF435,"")</f>
        <v/>
      </c>
      <c r="AJ435" s="12" t="inlineStr">
        <is>
          <t>R7.8</t>
        </is>
      </c>
      <c r="AK435" s="14">
        <f>IF($B435="","",IF($AO435="","対象年月が未入力／","")&amp;IF($B435="","",IF($AN435="","職員マスタに未登録の職員番号／",IF($Y435="","標準報酬月額が未登録／","")&amp;IF(AND($AO435&lt;&gt;"",OR(AND(INDEX(職員マスタ!$G$6:$G$405,$AN435)&lt;&gt;"",INDEX(職員マスタ!$G$6:$G$405,$AN435)&gt;EOMONTH($AO435,0)),AND(INDEX(職員マスタ!$H$6:$H$405,$AN435)&lt;&gt;"",INDEX(職員マスタ!$H$6:$H$405,$AN435)&lt;$AO435))),"対象月が時短期間外／","")&amp;IF(AND(INDEX(職員マスタ!$F$6:$F$405,$AN435)&lt;&gt;"",$AO435&lt;&gt;"",INDEX(職員マスタ!$F$6:$F$405,$AN435)&lt;$AO435),"対象月に子が2歳到達済／","")&amp;IF(AND($H435&lt;&gt;"",INDEX(職員マスタ!$B$6:$B$405,$AN435)&lt;&gt;"",SUBSTITUTE(SUBSTITUTE($H435," ","")," ","")&lt;&gt;SUBSTITUTE(SUBSTITUTE(INDEX(職員マスタ!$B$6:$B$405,$AN435)," ","")," ","")),"氏名がマスタと相違／","")&amp;IF(AND($Q435&lt;&gt;"",INDEX(職員マスタ!$E$6:$E$405,$AN435)&lt;&gt;"",$Q435&lt;&gt;INDEX(職員マスタ!$E$6:$E$405,$AN435)),"子の生年月日がマスタと相違／","")&amp;IF(AND($L435&lt;&gt;"",INDEX(職員マスタ!$G$6:$G$405,$AN435)&lt;&gt;"",$L435&lt;&gt;INDEX(職員マスタ!$G$6:$G$405,$AN435)),"時短開始日がマスタと相違／","")&amp;IF(AND($M435&lt;&gt;"",INDEX(職員マスタ!$H$6:$H$405,$AN435)&lt;&gt;"",$M435&lt;&gt;INDEX(職員マスタ!$H$6:$H$405,$AN435)),"時短終了日がマスタと相違／","")))&amp;IF(AND($B435&lt;&gt;"",$E435=""),"報酬額が未入力／","")&amp;IF(N($U435)&gt;0,"申請書に入力エラーが残っています／","")&amp;IF(AND($B435&lt;&gt;"",$AO435&lt;&gt;""),IF(COUNTIFS($B$6:$B$3005,$B435,$C$6:$C$3005,$C435,$D$6:$D$3005,$D435)&gt;1,"同じ月の請求が重複しています／",""),"")&amp;IF(AND(N($E435)&gt;0,$Z435&lt;&gt;"",$Z435&lt;&gt;"×",$AC435=0,$AB435=""),"計算額が下限以下のため不支給／",""))</f>
        <v/>
      </c>
      <c r="AL435" s="12" t="n"/>
      <c r="AM435" s="14">
        <f>IF($AD435="保留中",COUNTIF($AD$6:$AD435,"保留中"),"")</f>
        <v/>
      </c>
      <c r="AN435" s="14">
        <f>IF($AO435="","",IF(SUMPRODUCT(MAX((職員マスタ!$A$6:$A$405=$B435)*(((職員マスタ!$G$6:$G$405="")+(職員マスタ!$G$6:$G$405&lt;=EOMONTH($AO435,0)))&gt;0)*(((職員マスタ!$H$6:$H$405="")+(職員マスタ!$H$6:$H$405&gt;=$AO435))&gt;0)*(ROW(職員マスタ!$A$6:$A$405)-5)))&gt;0,SUMPRODUCT(MAX((職員マスタ!$A$6:$A$405=$B435)*(((職員マスタ!$G$6:$G$405="")+(職員マスタ!$G$6:$G$405&lt;=EOMONTH($AO435,0)))&gt;0)*(((職員マスタ!$H$6:$H$405="")+(職員マスタ!$H$6:$H$405&gt;=$AO435))&gt;0)*(ROW(職員マスタ!$A$6:$A$405)-5))),IFERROR(MATCH($B435,職員マスタ!$A$6:$A$405,0),"")))</f>
        <v/>
      </c>
      <c r="AO435" s="16">
        <f>IF(OR($B435="",$C435="",$D435=""),"",DATE($C435+2018,$D435,1))</f>
        <v/>
      </c>
    </row>
    <row r="436">
      <c r="A436" s="11" t="n"/>
      <c r="B436" s="12" t="n">
        <v>6904581</v>
      </c>
      <c r="C436" s="12" t="n">
        <v>7</v>
      </c>
      <c r="D436" s="12" t="n">
        <v>7</v>
      </c>
      <c r="E436" s="13" t="n">
        <v>299638</v>
      </c>
      <c r="F436" s="12" t="n"/>
      <c r="G436" s="13" t="n"/>
      <c r="H436" s="12" t="n"/>
      <c r="I436" s="12" t="n"/>
      <c r="J436" s="12" t="n"/>
      <c r="K436" s="12" t="n"/>
      <c r="L436" s="11" t="n"/>
      <c r="M436" s="11" t="n"/>
      <c r="N436" s="11" t="n"/>
      <c r="O436" s="11" t="n"/>
      <c r="P436" s="12" t="n"/>
      <c r="Q436" s="11" t="n"/>
      <c r="R436" s="12" t="n"/>
      <c r="S436" s="11" t="n"/>
      <c r="T436" s="12" t="n"/>
      <c r="U436" s="12" t="n"/>
      <c r="V436" s="14">
        <f>IF($AN436="",IF($B436="","",$H436),IF(INDEX(職員マスタ!$B$6:$B$405,$AN436)="",$H436,INDEX(職員マスタ!$B$6:$B$405,$AN436)))</f>
        <v/>
      </c>
      <c r="W436" s="14">
        <f>IF($AN436="",IF($B436="","",$R436),IF(INDEX(職員マスタ!$C$6:$C$405,$AN436)="",$R436,INDEX(職員マスタ!$C$6:$C$405,$AN436)))</f>
        <v/>
      </c>
      <c r="X436" s="14">
        <f>IF($AO436="","","R"&amp;$C436&amp;"."&amp;$D436)</f>
        <v/>
      </c>
      <c r="Y436" s="15">
        <f>IF($AN436="","",IF(INDEX(職員マスタ!$K$6:$K$405,$AN436)="","",INDEX(職員マスタ!$K$6:$K$405,$AN436)))</f>
        <v/>
      </c>
      <c r="Z436" s="14">
        <f>IF(OR($E436="",$Y436=""),"",IF($E436&gt;=$Y436,"×",IF($E436&gt;=$Y436*設定!$C$5,"△","○")))</f>
        <v/>
      </c>
      <c r="AA436" s="15">
        <f>IF($Z436="","",IF($Z436="×",0,IF($Z436="○",ROUNDDOWN($E436*設定!$C$4,0),ROUNDDOWN($E436*ROUND((9*$Y436-9*$E436)/(10*$E436),4),0))))</f>
        <v/>
      </c>
      <c r="AB436" s="13" t="n"/>
      <c r="AC436" s="15">
        <f>IF($B436="","",IF($AB436&lt;&gt;"",$AB436,IF($AA436="","",IF($AA436&lt;=設定!$C$3,0,$AA436))))</f>
        <v/>
      </c>
      <c r="AD436" s="14">
        <f>IF($B436="","",IF(AND($AE436&lt;&gt;"",$AG436="",$AJ436=""),"保留中",IF($AJ436&lt;&gt;"",IF(N($AC436)&gt;0,"支給済","不支給"),IF($AC436="","要確認",IF($AC436=0,"不支給","未処理")))))</f>
        <v/>
      </c>
      <c r="AE436" s="12" t="n"/>
      <c r="AF436" s="11" t="n"/>
      <c r="AG436" s="11" t="n"/>
      <c r="AH436" s="11" t="n"/>
      <c r="AI436" s="14">
        <f>IF(AND($AD436="保留中",$AF436&lt;&gt;""),TODAY()-$AF436,"")</f>
        <v/>
      </c>
      <c r="AJ436" s="12" t="inlineStr">
        <is>
          <t>R7.11</t>
        </is>
      </c>
      <c r="AK436" s="14">
        <f>IF($B436="","",IF($AO436="","対象年月が未入力／","")&amp;IF($B436="","",IF($AN436="","職員マスタに未登録の職員番号／",IF($Y436="","標準報酬月額が未登録／","")&amp;IF(AND($AO436&lt;&gt;"",OR(AND(INDEX(職員マスタ!$G$6:$G$405,$AN436)&lt;&gt;"",INDEX(職員マスタ!$G$6:$G$405,$AN436)&gt;EOMONTH($AO436,0)),AND(INDEX(職員マスタ!$H$6:$H$405,$AN436)&lt;&gt;"",INDEX(職員マスタ!$H$6:$H$405,$AN436)&lt;$AO436))),"対象月が時短期間外／","")&amp;IF(AND(INDEX(職員マスタ!$F$6:$F$405,$AN436)&lt;&gt;"",$AO436&lt;&gt;"",INDEX(職員マスタ!$F$6:$F$405,$AN436)&lt;$AO436),"対象月に子が2歳到達済／","")&amp;IF(AND($H436&lt;&gt;"",INDEX(職員マスタ!$B$6:$B$405,$AN436)&lt;&gt;"",SUBSTITUTE(SUBSTITUTE($H436," ","")," ","")&lt;&gt;SUBSTITUTE(SUBSTITUTE(INDEX(職員マスタ!$B$6:$B$405,$AN436)," ","")," ","")),"氏名がマスタと相違／","")&amp;IF(AND($Q436&lt;&gt;"",INDEX(職員マスタ!$E$6:$E$405,$AN436)&lt;&gt;"",$Q436&lt;&gt;INDEX(職員マスタ!$E$6:$E$405,$AN436)),"子の生年月日がマスタと相違／","")&amp;IF(AND($L436&lt;&gt;"",INDEX(職員マスタ!$G$6:$G$405,$AN436)&lt;&gt;"",$L436&lt;&gt;INDEX(職員マスタ!$G$6:$G$405,$AN436)),"時短開始日がマスタと相違／","")&amp;IF(AND($M436&lt;&gt;"",INDEX(職員マスタ!$H$6:$H$405,$AN436)&lt;&gt;"",$M436&lt;&gt;INDEX(職員マスタ!$H$6:$H$405,$AN436)),"時短終了日がマスタと相違／","")))&amp;IF(AND($B436&lt;&gt;"",$E436=""),"報酬額が未入力／","")&amp;IF(N($U436)&gt;0,"申請書に入力エラーが残っています／","")&amp;IF(AND($B436&lt;&gt;"",$AO436&lt;&gt;""),IF(COUNTIFS($B$6:$B$3005,$B436,$C$6:$C$3005,$C436,$D$6:$D$3005,$D436)&gt;1,"同じ月の請求が重複しています／",""),"")&amp;IF(AND(N($E436)&gt;0,$Z436&lt;&gt;"",$Z436&lt;&gt;"×",$AC436=0,$AB436=""),"計算額が下限以下のため不支給／",""))</f>
        <v/>
      </c>
      <c r="AL436" s="12" t="n"/>
      <c r="AM436" s="14">
        <f>IF($AD436="保留中",COUNTIF($AD$6:$AD436,"保留中"),"")</f>
        <v/>
      </c>
      <c r="AN436" s="14">
        <f>IF($AO436="","",IF(SUMPRODUCT(MAX((職員マスタ!$A$6:$A$405=$B436)*(((職員マスタ!$G$6:$G$405="")+(職員マスタ!$G$6:$G$405&lt;=EOMONTH($AO436,0)))&gt;0)*(((職員マスタ!$H$6:$H$405="")+(職員マスタ!$H$6:$H$405&gt;=$AO436))&gt;0)*(ROW(職員マスタ!$A$6:$A$405)-5)))&gt;0,SUMPRODUCT(MAX((職員マスタ!$A$6:$A$405=$B436)*(((職員マスタ!$G$6:$G$405="")+(職員マスタ!$G$6:$G$405&lt;=EOMONTH($AO436,0)))&gt;0)*(((職員マスタ!$H$6:$H$405="")+(職員マスタ!$H$6:$H$405&gt;=$AO436))&gt;0)*(ROW(職員マスタ!$A$6:$A$405)-5))),IFERROR(MATCH($B436,職員マスタ!$A$6:$A$405,0),"")))</f>
        <v/>
      </c>
      <c r="AO436" s="16">
        <f>IF(OR($B436="",$C436="",$D436=""),"",DATE($C436+2018,$D436,1))</f>
        <v/>
      </c>
    </row>
    <row r="437">
      <c r="A437" s="11" t="n"/>
      <c r="B437" s="12" t="n">
        <v>6904581</v>
      </c>
      <c r="C437" s="12" t="n">
        <v>7</v>
      </c>
      <c r="D437" s="12" t="n">
        <v>8</v>
      </c>
      <c r="E437" s="13" t="n">
        <v>288736</v>
      </c>
      <c r="F437" s="12" t="n"/>
      <c r="G437" s="13" t="n"/>
      <c r="H437" s="12" t="n"/>
      <c r="I437" s="12" t="n"/>
      <c r="J437" s="12" t="n"/>
      <c r="K437" s="12" t="n"/>
      <c r="L437" s="11" t="n"/>
      <c r="M437" s="11" t="n"/>
      <c r="N437" s="11" t="n"/>
      <c r="O437" s="11" t="n"/>
      <c r="P437" s="12" t="n"/>
      <c r="Q437" s="11" t="n"/>
      <c r="R437" s="12" t="n"/>
      <c r="S437" s="11" t="n"/>
      <c r="T437" s="12" t="n"/>
      <c r="U437" s="12" t="n"/>
      <c r="V437" s="14">
        <f>IF($AN437="",IF($B437="","",$H437),IF(INDEX(職員マスタ!$B$6:$B$405,$AN437)="",$H437,INDEX(職員マスタ!$B$6:$B$405,$AN437)))</f>
        <v/>
      </c>
      <c r="W437" s="14">
        <f>IF($AN437="",IF($B437="","",$R437),IF(INDEX(職員マスタ!$C$6:$C$405,$AN437)="",$R437,INDEX(職員マスタ!$C$6:$C$405,$AN437)))</f>
        <v/>
      </c>
      <c r="X437" s="14">
        <f>IF($AO437="","","R"&amp;$C437&amp;"."&amp;$D437)</f>
        <v/>
      </c>
      <c r="Y437" s="15">
        <f>IF($AN437="","",IF(INDEX(職員マスタ!$K$6:$K$405,$AN437)="","",INDEX(職員マスタ!$K$6:$K$405,$AN437)))</f>
        <v/>
      </c>
      <c r="Z437" s="14">
        <f>IF(OR($E437="",$Y437=""),"",IF($E437&gt;=$Y437,"×",IF($E437&gt;=$Y437*設定!$C$5,"△","○")))</f>
        <v/>
      </c>
      <c r="AA437" s="15">
        <f>IF($Z437="","",IF($Z437="×",0,IF($Z437="○",ROUNDDOWN($E437*設定!$C$4,0),ROUNDDOWN($E437*ROUND((9*$Y437-9*$E437)/(10*$E437),4),0))))</f>
        <v/>
      </c>
      <c r="AB437" s="13" t="n"/>
      <c r="AC437" s="15">
        <f>IF($B437="","",IF($AB437&lt;&gt;"",$AB437,IF($AA437="","",IF($AA437&lt;=設定!$C$3,0,$AA437))))</f>
        <v/>
      </c>
      <c r="AD437" s="14">
        <f>IF($B437="","",IF(AND($AE437&lt;&gt;"",$AG437="",$AJ437=""),"保留中",IF($AJ437&lt;&gt;"",IF(N($AC437)&gt;0,"支給済","不支給"),IF($AC437="","要確認",IF($AC437=0,"不支給","未処理")))))</f>
        <v/>
      </c>
      <c r="AE437" s="12" t="n"/>
      <c r="AF437" s="11" t="n"/>
      <c r="AG437" s="11" t="n"/>
      <c r="AH437" s="11" t="n"/>
      <c r="AI437" s="14">
        <f>IF(AND($AD437="保留中",$AF437&lt;&gt;""),TODAY()-$AF437,"")</f>
        <v/>
      </c>
      <c r="AJ437" s="12" t="inlineStr">
        <is>
          <t>R7.11</t>
        </is>
      </c>
      <c r="AK437" s="14">
        <f>IF($B437="","",IF($AO437="","対象年月が未入力／","")&amp;IF($B437="","",IF($AN437="","職員マスタに未登録の職員番号／",IF($Y437="","標準報酬月額が未登録／","")&amp;IF(AND($AO437&lt;&gt;"",OR(AND(INDEX(職員マスタ!$G$6:$G$405,$AN437)&lt;&gt;"",INDEX(職員マスタ!$G$6:$G$405,$AN437)&gt;EOMONTH($AO437,0)),AND(INDEX(職員マスタ!$H$6:$H$405,$AN437)&lt;&gt;"",INDEX(職員マスタ!$H$6:$H$405,$AN437)&lt;$AO437))),"対象月が時短期間外／","")&amp;IF(AND(INDEX(職員マスタ!$F$6:$F$405,$AN437)&lt;&gt;"",$AO437&lt;&gt;"",INDEX(職員マスタ!$F$6:$F$405,$AN437)&lt;$AO437),"対象月に子が2歳到達済／","")&amp;IF(AND($H437&lt;&gt;"",INDEX(職員マスタ!$B$6:$B$405,$AN437)&lt;&gt;"",SUBSTITUTE(SUBSTITUTE($H437," ","")," ","")&lt;&gt;SUBSTITUTE(SUBSTITUTE(INDEX(職員マスタ!$B$6:$B$405,$AN437)," ","")," ","")),"氏名がマスタと相違／","")&amp;IF(AND($Q437&lt;&gt;"",INDEX(職員マスタ!$E$6:$E$405,$AN437)&lt;&gt;"",$Q437&lt;&gt;INDEX(職員マスタ!$E$6:$E$405,$AN437)),"子の生年月日がマスタと相違／","")&amp;IF(AND($L437&lt;&gt;"",INDEX(職員マスタ!$G$6:$G$405,$AN437)&lt;&gt;"",$L437&lt;&gt;INDEX(職員マスタ!$G$6:$G$405,$AN437)),"時短開始日がマスタと相違／","")&amp;IF(AND($M437&lt;&gt;"",INDEX(職員マスタ!$H$6:$H$405,$AN437)&lt;&gt;"",$M437&lt;&gt;INDEX(職員マスタ!$H$6:$H$405,$AN437)),"時短終了日がマスタと相違／","")))&amp;IF(AND($B437&lt;&gt;"",$E437=""),"報酬額が未入力／","")&amp;IF(N($U437)&gt;0,"申請書に入力エラーが残っています／","")&amp;IF(AND($B437&lt;&gt;"",$AO437&lt;&gt;""),IF(COUNTIFS($B$6:$B$3005,$B437,$C$6:$C$3005,$C437,$D$6:$D$3005,$D437)&gt;1,"同じ月の請求が重複しています／",""),"")&amp;IF(AND(N($E437)&gt;0,$Z437&lt;&gt;"",$Z437&lt;&gt;"×",$AC437=0,$AB437=""),"計算額が下限以下のため不支給／",""))</f>
        <v/>
      </c>
      <c r="AL437" s="12" t="n"/>
      <c r="AM437" s="14">
        <f>IF($AD437="保留中",COUNTIF($AD$6:$AD437,"保留中"),"")</f>
        <v/>
      </c>
      <c r="AN437" s="14">
        <f>IF($AO437="","",IF(SUMPRODUCT(MAX((職員マスタ!$A$6:$A$405=$B437)*(((職員マスタ!$G$6:$G$405="")+(職員マスタ!$G$6:$G$405&lt;=EOMONTH($AO437,0)))&gt;0)*(((職員マスタ!$H$6:$H$405="")+(職員マスタ!$H$6:$H$405&gt;=$AO437))&gt;0)*(ROW(職員マスタ!$A$6:$A$405)-5)))&gt;0,SUMPRODUCT(MAX((職員マスタ!$A$6:$A$405=$B437)*(((職員マスタ!$G$6:$G$405="")+(職員マスタ!$G$6:$G$405&lt;=EOMONTH($AO437,0)))&gt;0)*(((職員マスタ!$H$6:$H$405="")+(職員マスタ!$H$6:$H$405&gt;=$AO437))&gt;0)*(ROW(職員マスタ!$A$6:$A$405)-5))),IFERROR(MATCH($B437,職員マスタ!$A$6:$A$405,0),"")))</f>
        <v/>
      </c>
      <c r="AO437" s="16">
        <f>IF(OR($B437="",$C437="",$D437=""),"",DATE($C437+2018,$D437,1))</f>
        <v/>
      </c>
    </row>
    <row r="438">
      <c r="A438" s="11" t="n"/>
      <c r="B438" s="12" t="n">
        <v>7101835</v>
      </c>
      <c r="C438" s="12" t="n">
        <v>7</v>
      </c>
      <c r="D438" s="12" t="n">
        <v>5</v>
      </c>
      <c r="E438" s="13" t="n">
        <v>177922</v>
      </c>
      <c r="F438" s="12" t="n"/>
      <c r="G438" s="13" t="n"/>
      <c r="H438" s="12" t="n"/>
      <c r="I438" s="12" t="n"/>
      <c r="J438" s="12" t="n"/>
      <c r="K438" s="12" t="n"/>
      <c r="L438" s="11" t="n"/>
      <c r="M438" s="11" t="n"/>
      <c r="N438" s="11" t="n"/>
      <c r="O438" s="11" t="n"/>
      <c r="P438" s="12" t="n"/>
      <c r="Q438" s="11" t="n"/>
      <c r="R438" s="12" t="n"/>
      <c r="S438" s="11" t="n"/>
      <c r="T438" s="12" t="n"/>
      <c r="U438" s="12" t="n"/>
      <c r="V438" s="14">
        <f>IF($AN438="",IF($B438="","",$H438),IF(INDEX(職員マスタ!$B$6:$B$405,$AN438)="",$H438,INDEX(職員マスタ!$B$6:$B$405,$AN438)))</f>
        <v/>
      </c>
      <c r="W438" s="14">
        <f>IF($AN438="",IF($B438="","",$R438),IF(INDEX(職員マスタ!$C$6:$C$405,$AN438)="",$R438,INDEX(職員マスタ!$C$6:$C$405,$AN438)))</f>
        <v/>
      </c>
      <c r="X438" s="14">
        <f>IF($AO438="","","R"&amp;$C438&amp;"."&amp;$D438)</f>
        <v/>
      </c>
      <c r="Y438" s="15">
        <f>IF($AN438="","",IF(INDEX(職員マスタ!$K$6:$K$405,$AN438)="","",INDEX(職員マスタ!$K$6:$K$405,$AN438)))</f>
        <v/>
      </c>
      <c r="Z438" s="14">
        <f>IF(OR($E438="",$Y438=""),"",IF($E438&gt;=$Y438,"×",IF($E438&gt;=$Y438*設定!$C$5,"△","○")))</f>
        <v/>
      </c>
      <c r="AA438" s="15">
        <f>IF($Z438="","",IF($Z438="×",0,IF($Z438="○",ROUNDDOWN($E438*設定!$C$4,0),ROUNDDOWN($E438*ROUND((9*$Y438-9*$E438)/(10*$E438),4),0))))</f>
        <v/>
      </c>
      <c r="AB438" s="13" t="n"/>
      <c r="AC438" s="15">
        <f>IF($B438="","",IF($AB438&lt;&gt;"",$AB438,IF($AA438="","",IF($AA438&lt;=設定!$C$3,0,$AA438))))</f>
        <v/>
      </c>
      <c r="AD438" s="14">
        <f>IF($B438="","",IF(AND($AE438&lt;&gt;"",$AG438="",$AJ438=""),"保留中",IF($AJ438&lt;&gt;"",IF(N($AC438)&gt;0,"支給済","不支給"),IF($AC438="","要確認",IF($AC438=0,"不支給","未処理")))))</f>
        <v/>
      </c>
      <c r="AE438" s="12" t="inlineStr">
        <is>
          <t>通勤手当の確認</t>
        </is>
      </c>
      <c r="AF438" s="11" t="n"/>
      <c r="AG438" s="11" t="n"/>
      <c r="AH438" s="11" t="n"/>
      <c r="AI438" s="14">
        <f>IF(AND($AD438="保留中",$AF438&lt;&gt;""),TODAY()-$AF438,"")</f>
        <v/>
      </c>
      <c r="AJ438" s="12" t="inlineStr">
        <is>
          <t>R7.11</t>
        </is>
      </c>
      <c r="AK438" s="14">
        <f>IF($B438="","",IF($AO438="","対象年月が未入力／","")&amp;IF($B438="","",IF($AN438="","職員マスタに未登録の職員番号／",IF($Y438="","標準報酬月額が未登録／","")&amp;IF(AND($AO438&lt;&gt;"",OR(AND(INDEX(職員マスタ!$G$6:$G$405,$AN438)&lt;&gt;"",INDEX(職員マスタ!$G$6:$G$405,$AN438)&gt;EOMONTH($AO438,0)),AND(INDEX(職員マスタ!$H$6:$H$405,$AN438)&lt;&gt;"",INDEX(職員マスタ!$H$6:$H$405,$AN438)&lt;$AO438))),"対象月が時短期間外／","")&amp;IF(AND(INDEX(職員マスタ!$F$6:$F$405,$AN438)&lt;&gt;"",$AO438&lt;&gt;"",INDEX(職員マスタ!$F$6:$F$405,$AN438)&lt;$AO438),"対象月に子が2歳到達済／","")&amp;IF(AND($H438&lt;&gt;"",INDEX(職員マスタ!$B$6:$B$405,$AN438)&lt;&gt;"",SUBSTITUTE(SUBSTITUTE($H438," ","")," ","")&lt;&gt;SUBSTITUTE(SUBSTITUTE(INDEX(職員マスタ!$B$6:$B$405,$AN438)," ","")," ","")),"氏名がマスタと相違／","")&amp;IF(AND($Q438&lt;&gt;"",INDEX(職員マスタ!$E$6:$E$405,$AN438)&lt;&gt;"",$Q438&lt;&gt;INDEX(職員マスタ!$E$6:$E$405,$AN438)),"子の生年月日がマスタと相違／","")&amp;IF(AND($L438&lt;&gt;"",INDEX(職員マスタ!$G$6:$G$405,$AN438)&lt;&gt;"",$L438&lt;&gt;INDEX(職員マスタ!$G$6:$G$405,$AN438)),"時短開始日がマスタと相違／","")&amp;IF(AND($M438&lt;&gt;"",INDEX(職員マスタ!$H$6:$H$405,$AN438)&lt;&gt;"",$M438&lt;&gt;INDEX(職員マスタ!$H$6:$H$405,$AN438)),"時短終了日がマスタと相違／","")))&amp;IF(AND($B438&lt;&gt;"",$E438=""),"報酬額が未入力／","")&amp;IF(N($U438)&gt;0,"申請書に入力エラーが残っています／","")&amp;IF(AND($B438&lt;&gt;"",$AO438&lt;&gt;""),IF(COUNTIFS($B$6:$B$3005,$B438,$C$6:$C$3005,$C438,$D$6:$D$3005,$D438)&gt;1,"同じ月の請求が重複しています／",""),"")&amp;IF(AND(N($E438)&gt;0,$Z438&lt;&gt;"",$Z438&lt;&gt;"×",$AC438=0,$AB438=""),"計算額が下限以下のため不支給／",""))</f>
        <v/>
      </c>
      <c r="AL438" s="12" t="inlineStr">
        <is>
          <t>保留　通勤⇒支給</t>
        </is>
      </c>
      <c r="AM438" s="14">
        <f>IF($AD438="保留中",COUNTIF($AD$6:$AD438,"保留中"),"")</f>
        <v/>
      </c>
      <c r="AN438" s="14">
        <f>IF($AO438="","",IF(SUMPRODUCT(MAX((職員マスタ!$A$6:$A$405=$B438)*(((職員マスタ!$G$6:$G$405="")+(職員マスタ!$G$6:$G$405&lt;=EOMONTH($AO438,0)))&gt;0)*(((職員マスタ!$H$6:$H$405="")+(職員マスタ!$H$6:$H$405&gt;=$AO438))&gt;0)*(ROW(職員マスタ!$A$6:$A$405)-5)))&gt;0,SUMPRODUCT(MAX((職員マスタ!$A$6:$A$405=$B438)*(((職員マスタ!$G$6:$G$405="")+(職員マスタ!$G$6:$G$405&lt;=EOMONTH($AO438,0)))&gt;0)*(((職員マスタ!$H$6:$H$405="")+(職員マスタ!$H$6:$H$405&gt;=$AO438))&gt;0)*(ROW(職員マスタ!$A$6:$A$405)-5))),IFERROR(MATCH($B438,職員マスタ!$A$6:$A$405,0),"")))</f>
        <v/>
      </c>
      <c r="AO438" s="16">
        <f>IF(OR($B438="",$C438="",$D438=""),"",DATE($C438+2018,$D438,1))</f>
        <v/>
      </c>
    </row>
    <row r="439">
      <c r="A439" s="11" t="n"/>
      <c r="B439" s="12" t="n">
        <v>7101892</v>
      </c>
      <c r="C439" s="12" t="n">
        <v>7</v>
      </c>
      <c r="D439" s="12" t="n">
        <v>4</v>
      </c>
      <c r="E439" s="13" t="n">
        <v>24956</v>
      </c>
      <c r="F439" s="12" t="n"/>
      <c r="G439" s="13" t="n"/>
      <c r="H439" s="12" t="n"/>
      <c r="I439" s="12" t="n"/>
      <c r="J439" s="12" t="n"/>
      <c r="K439" s="12" t="n"/>
      <c r="L439" s="11" t="n"/>
      <c r="M439" s="11" t="n"/>
      <c r="N439" s="11" t="n"/>
      <c r="O439" s="11" t="n"/>
      <c r="P439" s="12" t="n"/>
      <c r="Q439" s="11" t="n"/>
      <c r="R439" s="12" t="n"/>
      <c r="S439" s="11" t="n"/>
      <c r="T439" s="12" t="n"/>
      <c r="U439" s="12" t="n"/>
      <c r="V439" s="14">
        <f>IF($AN439="",IF($B439="","",$H439),IF(INDEX(職員マスタ!$B$6:$B$405,$AN439)="",$H439,INDEX(職員マスタ!$B$6:$B$405,$AN439)))</f>
        <v/>
      </c>
      <c r="W439" s="14">
        <f>IF($AN439="",IF($B439="","",$R439),IF(INDEX(職員マスタ!$C$6:$C$405,$AN439)="",$R439,INDEX(職員マスタ!$C$6:$C$405,$AN439)))</f>
        <v/>
      </c>
      <c r="X439" s="14">
        <f>IF($AO439="","","R"&amp;$C439&amp;"."&amp;$D439)</f>
        <v/>
      </c>
      <c r="Y439" s="15">
        <f>IF($AN439="","",IF(INDEX(職員マスタ!$K$6:$K$405,$AN439)="","",INDEX(職員マスタ!$K$6:$K$405,$AN439)))</f>
        <v/>
      </c>
      <c r="Z439" s="14">
        <f>IF(OR($E439="",$Y439=""),"",IF($E439&gt;=$Y439,"×",IF($E439&gt;=$Y439*設定!$C$5,"△","○")))</f>
        <v/>
      </c>
      <c r="AA439" s="15">
        <f>IF($Z439="","",IF($Z439="×",0,IF($Z439="○",ROUNDDOWN($E439*設定!$C$4,0),ROUNDDOWN($E439*ROUND((9*$Y439-9*$E439)/(10*$E439),4),0))))</f>
        <v/>
      </c>
      <c r="AB439" s="13" t="n"/>
      <c r="AC439" s="15">
        <f>IF($B439="","",IF($AB439&lt;&gt;"",$AB439,IF($AA439="","",IF($AA439&lt;=設定!$C$3,0,$AA439))))</f>
        <v/>
      </c>
      <c r="AD439" s="14">
        <f>IF($B439="","",IF(AND($AE439&lt;&gt;"",$AG439="",$AJ439=""),"保留中",IF($AJ439&lt;&gt;"",IF(N($AC439)&gt;0,"支給済","不支給"),IF($AC439="","要確認",IF($AC439=0,"不支給","未処理")))))</f>
        <v/>
      </c>
      <c r="AE439" s="12" t="inlineStr">
        <is>
          <t>通勤手当の確認</t>
        </is>
      </c>
      <c r="AF439" s="11" t="n"/>
      <c r="AG439" s="11" t="n"/>
      <c r="AH439" s="11" t="n"/>
      <c r="AI439" s="14">
        <f>IF(AND($AD439="保留中",$AF439&lt;&gt;""),TODAY()-$AF439,"")</f>
        <v/>
      </c>
      <c r="AJ439" s="12" t="inlineStr">
        <is>
          <t>R7.11</t>
        </is>
      </c>
      <c r="AK439" s="14">
        <f>IF($B439="","",IF($AO439="","対象年月が未入力／","")&amp;IF($B439="","",IF($AN439="","職員マスタに未登録の職員番号／",IF($Y439="","標準報酬月額が未登録／","")&amp;IF(AND($AO439&lt;&gt;"",OR(AND(INDEX(職員マスタ!$G$6:$G$405,$AN439)&lt;&gt;"",INDEX(職員マスタ!$G$6:$G$405,$AN439)&gt;EOMONTH($AO439,0)),AND(INDEX(職員マスタ!$H$6:$H$405,$AN439)&lt;&gt;"",INDEX(職員マスタ!$H$6:$H$405,$AN439)&lt;$AO439))),"対象月が時短期間外／","")&amp;IF(AND(INDEX(職員マスタ!$F$6:$F$405,$AN439)&lt;&gt;"",$AO439&lt;&gt;"",INDEX(職員マスタ!$F$6:$F$405,$AN439)&lt;$AO439),"対象月に子が2歳到達済／","")&amp;IF(AND($H439&lt;&gt;"",INDEX(職員マスタ!$B$6:$B$405,$AN439)&lt;&gt;"",SUBSTITUTE(SUBSTITUTE($H439," ","")," ","")&lt;&gt;SUBSTITUTE(SUBSTITUTE(INDEX(職員マスタ!$B$6:$B$405,$AN439)," ","")," ","")),"氏名がマスタと相違／","")&amp;IF(AND($Q439&lt;&gt;"",INDEX(職員マスタ!$E$6:$E$405,$AN439)&lt;&gt;"",$Q439&lt;&gt;INDEX(職員マスタ!$E$6:$E$405,$AN439)),"子の生年月日がマスタと相違／","")&amp;IF(AND($L439&lt;&gt;"",INDEX(職員マスタ!$G$6:$G$405,$AN439)&lt;&gt;"",$L439&lt;&gt;INDEX(職員マスタ!$G$6:$G$405,$AN439)),"時短開始日がマスタと相違／","")&amp;IF(AND($M439&lt;&gt;"",INDEX(職員マスタ!$H$6:$H$405,$AN439)&lt;&gt;"",$M439&lt;&gt;INDEX(職員マスタ!$H$6:$H$405,$AN439)),"時短終了日がマスタと相違／","")))&amp;IF(AND($B439&lt;&gt;"",$E439=""),"報酬額が未入力／","")&amp;IF(N($U439)&gt;0,"申請書に入力エラーが残っています／","")&amp;IF(AND($B439&lt;&gt;"",$AO439&lt;&gt;""),IF(COUNTIFS($B$6:$B$3005,$B439,$C$6:$C$3005,$C439,$D$6:$D$3005,$D439)&gt;1,"同じ月の請求が重複しています／",""),"")&amp;IF(AND(N($E439)&gt;0,$Z439&lt;&gt;"",$Z439&lt;&gt;"×",$AC439=0,$AB439=""),"計算額が下限以下のため不支給／",""))</f>
        <v/>
      </c>
      <c r="AL439" s="12" t="inlineStr">
        <is>
          <t>保留　通勤⇒支給</t>
        </is>
      </c>
      <c r="AM439" s="14">
        <f>IF($AD439="保留中",COUNTIF($AD$6:$AD439,"保留中"),"")</f>
        <v/>
      </c>
      <c r="AN439" s="14">
        <f>IF($AO439="","",IF(SUMPRODUCT(MAX((職員マスタ!$A$6:$A$405=$B439)*(((職員マスタ!$G$6:$G$405="")+(職員マスタ!$G$6:$G$405&lt;=EOMONTH($AO439,0)))&gt;0)*(((職員マスタ!$H$6:$H$405="")+(職員マスタ!$H$6:$H$405&gt;=$AO439))&gt;0)*(ROW(職員マスタ!$A$6:$A$405)-5)))&gt;0,SUMPRODUCT(MAX((職員マスタ!$A$6:$A$405=$B439)*(((職員マスタ!$G$6:$G$405="")+(職員マスタ!$G$6:$G$405&lt;=EOMONTH($AO439,0)))&gt;0)*(((職員マスタ!$H$6:$H$405="")+(職員マスタ!$H$6:$H$405&gt;=$AO439))&gt;0)*(ROW(職員マスタ!$A$6:$A$405)-5))),IFERROR(MATCH($B439,職員マスタ!$A$6:$A$405,0),"")))</f>
        <v/>
      </c>
      <c r="AO439" s="16">
        <f>IF(OR($B439="",$C439="",$D439=""),"",DATE($C439+2018,$D439,1))</f>
        <v/>
      </c>
    </row>
    <row r="440">
      <c r="A440" s="11" t="n"/>
      <c r="B440" s="12" t="n">
        <v>7101892</v>
      </c>
      <c r="C440" s="12" t="n">
        <v>7</v>
      </c>
      <c r="D440" s="12" t="n">
        <v>5</v>
      </c>
      <c r="E440" s="13" t="n">
        <v>196716</v>
      </c>
      <c r="F440" s="12" t="n"/>
      <c r="G440" s="13" t="n"/>
      <c r="H440" s="12" t="n"/>
      <c r="I440" s="12" t="n"/>
      <c r="J440" s="12" t="n"/>
      <c r="K440" s="12" t="n"/>
      <c r="L440" s="11" t="n"/>
      <c r="M440" s="11" t="n"/>
      <c r="N440" s="11" t="n"/>
      <c r="O440" s="11" t="n"/>
      <c r="P440" s="12" t="n"/>
      <c r="Q440" s="11" t="n"/>
      <c r="R440" s="12" t="n"/>
      <c r="S440" s="11" t="n"/>
      <c r="T440" s="12" t="n"/>
      <c r="U440" s="12" t="n"/>
      <c r="V440" s="14">
        <f>IF($AN440="",IF($B440="","",$H440),IF(INDEX(職員マスタ!$B$6:$B$405,$AN440)="",$H440,INDEX(職員マスタ!$B$6:$B$405,$AN440)))</f>
        <v/>
      </c>
      <c r="W440" s="14">
        <f>IF($AN440="",IF($B440="","",$R440),IF(INDEX(職員マスタ!$C$6:$C$405,$AN440)="",$R440,INDEX(職員マスタ!$C$6:$C$405,$AN440)))</f>
        <v/>
      </c>
      <c r="X440" s="14">
        <f>IF($AO440="","","R"&amp;$C440&amp;"."&amp;$D440)</f>
        <v/>
      </c>
      <c r="Y440" s="15">
        <f>IF($AN440="","",IF(INDEX(職員マスタ!$K$6:$K$405,$AN440)="","",INDEX(職員マスタ!$K$6:$K$405,$AN440)))</f>
        <v/>
      </c>
      <c r="Z440" s="14">
        <f>IF(OR($E440="",$Y440=""),"",IF($E440&gt;=$Y440,"×",IF($E440&gt;=$Y440*設定!$C$5,"△","○")))</f>
        <v/>
      </c>
      <c r="AA440" s="15">
        <f>IF($Z440="","",IF($Z440="×",0,IF($Z440="○",ROUNDDOWN($E440*設定!$C$4,0),ROUNDDOWN($E440*ROUND((9*$Y440-9*$E440)/(10*$E440),4),0))))</f>
        <v/>
      </c>
      <c r="AB440" s="13" t="n"/>
      <c r="AC440" s="15">
        <f>IF($B440="","",IF($AB440&lt;&gt;"",$AB440,IF($AA440="","",IF($AA440&lt;=設定!$C$3,0,$AA440))))</f>
        <v/>
      </c>
      <c r="AD440" s="14">
        <f>IF($B440="","",IF(AND($AE440&lt;&gt;"",$AG440="",$AJ440=""),"保留中",IF($AJ440&lt;&gt;"",IF(N($AC440)&gt;0,"支給済","不支給"),IF($AC440="","要確認",IF($AC440=0,"不支給","未処理")))))</f>
        <v/>
      </c>
      <c r="AE440" s="12" t="inlineStr">
        <is>
          <t>通勤手当の確認</t>
        </is>
      </c>
      <c r="AF440" s="11" t="n"/>
      <c r="AG440" s="11" t="n"/>
      <c r="AH440" s="11" t="n"/>
      <c r="AI440" s="14">
        <f>IF(AND($AD440="保留中",$AF440&lt;&gt;""),TODAY()-$AF440,"")</f>
        <v/>
      </c>
      <c r="AJ440" s="12" t="inlineStr">
        <is>
          <t>R7.11</t>
        </is>
      </c>
      <c r="AK440" s="14">
        <f>IF($B440="","",IF($AO440="","対象年月が未入力／","")&amp;IF($B440="","",IF($AN440="","職員マスタに未登録の職員番号／",IF($Y440="","標準報酬月額が未登録／","")&amp;IF(AND($AO440&lt;&gt;"",OR(AND(INDEX(職員マスタ!$G$6:$G$405,$AN440)&lt;&gt;"",INDEX(職員マスタ!$G$6:$G$405,$AN440)&gt;EOMONTH($AO440,0)),AND(INDEX(職員マスタ!$H$6:$H$405,$AN440)&lt;&gt;"",INDEX(職員マスタ!$H$6:$H$405,$AN440)&lt;$AO440))),"対象月が時短期間外／","")&amp;IF(AND(INDEX(職員マスタ!$F$6:$F$405,$AN440)&lt;&gt;"",$AO440&lt;&gt;"",INDEX(職員マスタ!$F$6:$F$405,$AN440)&lt;$AO440),"対象月に子が2歳到達済／","")&amp;IF(AND($H440&lt;&gt;"",INDEX(職員マスタ!$B$6:$B$405,$AN440)&lt;&gt;"",SUBSTITUTE(SUBSTITUTE($H440," ","")," ","")&lt;&gt;SUBSTITUTE(SUBSTITUTE(INDEX(職員マスタ!$B$6:$B$405,$AN440)," ","")," ","")),"氏名がマスタと相違／","")&amp;IF(AND($Q440&lt;&gt;"",INDEX(職員マスタ!$E$6:$E$405,$AN440)&lt;&gt;"",$Q440&lt;&gt;INDEX(職員マスタ!$E$6:$E$405,$AN440)),"子の生年月日がマスタと相違／","")&amp;IF(AND($L440&lt;&gt;"",INDEX(職員マスタ!$G$6:$G$405,$AN440)&lt;&gt;"",$L440&lt;&gt;INDEX(職員マスタ!$G$6:$G$405,$AN440)),"時短開始日がマスタと相違／","")&amp;IF(AND($M440&lt;&gt;"",INDEX(職員マスタ!$H$6:$H$405,$AN440)&lt;&gt;"",$M440&lt;&gt;INDEX(職員マスタ!$H$6:$H$405,$AN440)),"時短終了日がマスタと相違／","")))&amp;IF(AND($B440&lt;&gt;"",$E440=""),"報酬額が未入力／","")&amp;IF(N($U440)&gt;0,"申請書に入力エラーが残っています／","")&amp;IF(AND($B440&lt;&gt;"",$AO440&lt;&gt;""),IF(COUNTIFS($B$6:$B$3005,$B440,$C$6:$C$3005,$C440,$D$6:$D$3005,$D440)&gt;1,"同じ月の請求が重複しています／",""),"")&amp;IF(AND(N($E440)&gt;0,$Z440&lt;&gt;"",$Z440&lt;&gt;"×",$AC440=0,$AB440=""),"計算額が下限以下のため不支給／",""))</f>
        <v/>
      </c>
      <c r="AL440" s="12" t="inlineStr">
        <is>
          <t>保留　通勤⇒支給</t>
        </is>
      </c>
      <c r="AM440" s="14">
        <f>IF($AD440="保留中",COUNTIF($AD$6:$AD440,"保留中"),"")</f>
        <v/>
      </c>
      <c r="AN440" s="14">
        <f>IF($AO440="","",IF(SUMPRODUCT(MAX((職員マスタ!$A$6:$A$405=$B440)*(((職員マスタ!$G$6:$G$405="")+(職員マスタ!$G$6:$G$405&lt;=EOMONTH($AO440,0)))&gt;0)*(((職員マスタ!$H$6:$H$405="")+(職員マスタ!$H$6:$H$405&gt;=$AO440))&gt;0)*(ROW(職員マスタ!$A$6:$A$405)-5)))&gt;0,SUMPRODUCT(MAX((職員マスタ!$A$6:$A$405=$B440)*(((職員マスタ!$G$6:$G$405="")+(職員マスタ!$G$6:$G$405&lt;=EOMONTH($AO440,0)))&gt;0)*(((職員マスタ!$H$6:$H$405="")+(職員マスタ!$H$6:$H$405&gt;=$AO440))&gt;0)*(ROW(職員マスタ!$A$6:$A$405)-5))),IFERROR(MATCH($B440,職員マスタ!$A$6:$A$405,0),"")))</f>
        <v/>
      </c>
      <c r="AO440" s="16">
        <f>IF(OR($B440="",$C440="",$D440=""),"",DATE($C440+2018,$D440,1))</f>
        <v/>
      </c>
    </row>
    <row r="441">
      <c r="A441" s="11" t="n"/>
      <c r="B441" s="12" t="n">
        <v>7101892</v>
      </c>
      <c r="C441" s="12" t="n">
        <v>7</v>
      </c>
      <c r="D441" s="12" t="n">
        <v>6</v>
      </c>
      <c r="E441" s="13" t="n">
        <v>201422</v>
      </c>
      <c r="F441" s="12" t="n"/>
      <c r="G441" s="13" t="n"/>
      <c r="H441" s="12" t="n"/>
      <c r="I441" s="12" t="n"/>
      <c r="J441" s="12" t="n"/>
      <c r="K441" s="12" t="n"/>
      <c r="L441" s="11" t="n"/>
      <c r="M441" s="11" t="n"/>
      <c r="N441" s="11" t="n"/>
      <c r="O441" s="11" t="n"/>
      <c r="P441" s="12" t="n"/>
      <c r="Q441" s="11" t="n"/>
      <c r="R441" s="12" t="n"/>
      <c r="S441" s="11" t="n"/>
      <c r="T441" s="12" t="n"/>
      <c r="U441" s="12" t="n"/>
      <c r="V441" s="14">
        <f>IF($AN441="",IF($B441="","",$H441),IF(INDEX(職員マスタ!$B$6:$B$405,$AN441)="",$H441,INDEX(職員マスタ!$B$6:$B$405,$AN441)))</f>
        <v/>
      </c>
      <c r="W441" s="14">
        <f>IF($AN441="",IF($B441="","",$R441),IF(INDEX(職員マスタ!$C$6:$C$405,$AN441)="",$R441,INDEX(職員マスタ!$C$6:$C$405,$AN441)))</f>
        <v/>
      </c>
      <c r="X441" s="14">
        <f>IF($AO441="","","R"&amp;$C441&amp;"."&amp;$D441)</f>
        <v/>
      </c>
      <c r="Y441" s="15">
        <f>IF($AN441="","",IF(INDEX(職員マスタ!$K$6:$K$405,$AN441)="","",INDEX(職員マスタ!$K$6:$K$405,$AN441)))</f>
        <v/>
      </c>
      <c r="Z441" s="14">
        <f>IF(OR($E441="",$Y441=""),"",IF($E441&gt;=$Y441,"×",IF($E441&gt;=$Y441*設定!$C$5,"△","○")))</f>
        <v/>
      </c>
      <c r="AA441" s="15">
        <f>IF($Z441="","",IF($Z441="×",0,IF($Z441="○",ROUNDDOWN($E441*設定!$C$4,0),ROUNDDOWN($E441*ROUND((9*$Y441-9*$E441)/(10*$E441),4),0))))</f>
        <v/>
      </c>
      <c r="AB441" s="13" t="n"/>
      <c r="AC441" s="15">
        <f>IF($B441="","",IF($AB441&lt;&gt;"",$AB441,IF($AA441="","",IF($AA441&lt;=設定!$C$3,0,$AA441))))</f>
        <v/>
      </c>
      <c r="AD441" s="14">
        <f>IF($B441="","",IF(AND($AE441&lt;&gt;"",$AG441="",$AJ441=""),"保留中",IF($AJ441&lt;&gt;"",IF(N($AC441)&gt;0,"支給済","不支給"),IF($AC441="","要確認",IF($AC441=0,"不支給","未処理")))))</f>
        <v/>
      </c>
      <c r="AE441" s="12" t="inlineStr">
        <is>
          <t>通勤手当の確認</t>
        </is>
      </c>
      <c r="AF441" s="11" t="n"/>
      <c r="AG441" s="11" t="n"/>
      <c r="AH441" s="11" t="n"/>
      <c r="AI441" s="14">
        <f>IF(AND($AD441="保留中",$AF441&lt;&gt;""),TODAY()-$AF441,"")</f>
        <v/>
      </c>
      <c r="AJ441" s="12" t="inlineStr">
        <is>
          <t>R7.11</t>
        </is>
      </c>
      <c r="AK441" s="14">
        <f>IF($B441="","",IF($AO441="","対象年月が未入力／","")&amp;IF($B441="","",IF($AN441="","職員マスタに未登録の職員番号／",IF($Y441="","標準報酬月額が未登録／","")&amp;IF(AND($AO441&lt;&gt;"",OR(AND(INDEX(職員マスタ!$G$6:$G$405,$AN441)&lt;&gt;"",INDEX(職員マスタ!$G$6:$G$405,$AN441)&gt;EOMONTH($AO441,0)),AND(INDEX(職員マスタ!$H$6:$H$405,$AN441)&lt;&gt;"",INDEX(職員マスタ!$H$6:$H$405,$AN441)&lt;$AO441))),"対象月が時短期間外／","")&amp;IF(AND(INDEX(職員マスタ!$F$6:$F$405,$AN441)&lt;&gt;"",$AO441&lt;&gt;"",INDEX(職員マスタ!$F$6:$F$405,$AN441)&lt;$AO441),"対象月に子が2歳到達済／","")&amp;IF(AND($H441&lt;&gt;"",INDEX(職員マスタ!$B$6:$B$405,$AN441)&lt;&gt;"",SUBSTITUTE(SUBSTITUTE($H441," ","")," ","")&lt;&gt;SUBSTITUTE(SUBSTITUTE(INDEX(職員マスタ!$B$6:$B$405,$AN441)," ","")," ","")),"氏名がマスタと相違／","")&amp;IF(AND($Q441&lt;&gt;"",INDEX(職員マスタ!$E$6:$E$405,$AN441)&lt;&gt;"",$Q441&lt;&gt;INDEX(職員マスタ!$E$6:$E$405,$AN441)),"子の生年月日がマスタと相違／","")&amp;IF(AND($L441&lt;&gt;"",INDEX(職員マスタ!$G$6:$G$405,$AN441)&lt;&gt;"",$L441&lt;&gt;INDEX(職員マスタ!$G$6:$G$405,$AN441)),"時短開始日がマスタと相違／","")&amp;IF(AND($M441&lt;&gt;"",INDEX(職員マスタ!$H$6:$H$405,$AN441)&lt;&gt;"",$M441&lt;&gt;INDEX(職員マスタ!$H$6:$H$405,$AN441)),"時短終了日がマスタと相違／","")))&amp;IF(AND($B441&lt;&gt;"",$E441=""),"報酬額が未入力／","")&amp;IF(N($U441)&gt;0,"申請書に入力エラーが残っています／","")&amp;IF(AND($B441&lt;&gt;"",$AO441&lt;&gt;""),IF(COUNTIFS($B$6:$B$3005,$B441,$C$6:$C$3005,$C441,$D$6:$D$3005,$D441)&gt;1,"同じ月の請求が重複しています／",""),"")&amp;IF(AND(N($E441)&gt;0,$Z441&lt;&gt;"",$Z441&lt;&gt;"×",$AC441=0,$AB441=""),"計算額が下限以下のため不支給／",""))</f>
        <v/>
      </c>
      <c r="AL441" s="12" t="inlineStr">
        <is>
          <t>保留　通勤⇒支給</t>
        </is>
      </c>
      <c r="AM441" s="14">
        <f>IF($AD441="保留中",COUNTIF($AD$6:$AD441,"保留中"),"")</f>
        <v/>
      </c>
      <c r="AN441" s="14">
        <f>IF($AO441="","",IF(SUMPRODUCT(MAX((職員マスタ!$A$6:$A$405=$B441)*(((職員マスタ!$G$6:$G$405="")+(職員マスタ!$G$6:$G$405&lt;=EOMONTH($AO441,0)))&gt;0)*(((職員マスタ!$H$6:$H$405="")+(職員マスタ!$H$6:$H$405&gt;=$AO441))&gt;0)*(ROW(職員マスタ!$A$6:$A$405)-5)))&gt;0,SUMPRODUCT(MAX((職員マスタ!$A$6:$A$405=$B441)*(((職員マスタ!$G$6:$G$405="")+(職員マスタ!$G$6:$G$405&lt;=EOMONTH($AO441,0)))&gt;0)*(((職員マスタ!$H$6:$H$405="")+(職員マスタ!$H$6:$H$405&gt;=$AO441))&gt;0)*(ROW(職員マスタ!$A$6:$A$405)-5))),IFERROR(MATCH($B441,職員マスタ!$A$6:$A$405,0),"")))</f>
        <v/>
      </c>
      <c r="AO441" s="16">
        <f>IF(OR($B441="",$C441="",$D441=""),"",DATE($C441+2018,$D441,1))</f>
        <v/>
      </c>
    </row>
    <row r="442">
      <c r="A442" s="11" t="n"/>
      <c r="B442" s="12" t="n">
        <v>7101892</v>
      </c>
      <c r="C442" s="12" t="n">
        <v>7</v>
      </c>
      <c r="D442" s="12" t="n">
        <v>7</v>
      </c>
      <c r="E442" s="13" t="n">
        <v>196716</v>
      </c>
      <c r="F442" s="12" t="n"/>
      <c r="G442" s="13" t="n"/>
      <c r="H442" s="12" t="n"/>
      <c r="I442" s="12" t="n"/>
      <c r="J442" s="12" t="n"/>
      <c r="K442" s="12" t="n"/>
      <c r="L442" s="11" t="n"/>
      <c r="M442" s="11" t="n"/>
      <c r="N442" s="11" t="n"/>
      <c r="O442" s="11" t="n"/>
      <c r="P442" s="12" t="n"/>
      <c r="Q442" s="11" t="n"/>
      <c r="R442" s="12" t="n"/>
      <c r="S442" s="11" t="n"/>
      <c r="T442" s="12" t="n"/>
      <c r="U442" s="12" t="n"/>
      <c r="V442" s="14">
        <f>IF($AN442="",IF($B442="","",$H442),IF(INDEX(職員マスタ!$B$6:$B$405,$AN442)="",$H442,INDEX(職員マスタ!$B$6:$B$405,$AN442)))</f>
        <v/>
      </c>
      <c r="W442" s="14">
        <f>IF($AN442="",IF($B442="","",$R442),IF(INDEX(職員マスタ!$C$6:$C$405,$AN442)="",$R442,INDEX(職員マスタ!$C$6:$C$405,$AN442)))</f>
        <v/>
      </c>
      <c r="X442" s="14">
        <f>IF($AO442="","","R"&amp;$C442&amp;"."&amp;$D442)</f>
        <v/>
      </c>
      <c r="Y442" s="15">
        <f>IF($AN442="","",IF(INDEX(職員マスタ!$K$6:$K$405,$AN442)="","",INDEX(職員マスタ!$K$6:$K$405,$AN442)))</f>
        <v/>
      </c>
      <c r="Z442" s="14">
        <f>IF(OR($E442="",$Y442=""),"",IF($E442&gt;=$Y442,"×",IF($E442&gt;=$Y442*設定!$C$5,"△","○")))</f>
        <v/>
      </c>
      <c r="AA442" s="15">
        <f>IF($Z442="","",IF($Z442="×",0,IF($Z442="○",ROUNDDOWN($E442*設定!$C$4,0),ROUNDDOWN($E442*ROUND((9*$Y442-9*$E442)/(10*$E442),4),0))))</f>
        <v/>
      </c>
      <c r="AB442" s="13" t="n"/>
      <c r="AC442" s="15">
        <f>IF($B442="","",IF($AB442&lt;&gt;"",$AB442,IF($AA442="","",IF($AA442&lt;=設定!$C$3,0,$AA442))))</f>
        <v/>
      </c>
      <c r="AD442" s="14">
        <f>IF($B442="","",IF(AND($AE442&lt;&gt;"",$AG442="",$AJ442=""),"保留中",IF($AJ442&lt;&gt;"",IF(N($AC442)&gt;0,"支給済","不支給"),IF($AC442="","要確認",IF($AC442=0,"不支給","未処理")))))</f>
        <v/>
      </c>
      <c r="AE442" s="12" t="n"/>
      <c r="AF442" s="11" t="n"/>
      <c r="AG442" s="11" t="n"/>
      <c r="AH442" s="11" t="n"/>
      <c r="AI442" s="14">
        <f>IF(AND($AD442="保留中",$AF442&lt;&gt;""),TODAY()-$AF442,"")</f>
        <v/>
      </c>
      <c r="AJ442" s="12" t="inlineStr">
        <is>
          <t>R7.9</t>
        </is>
      </c>
      <c r="AK442" s="14">
        <f>IF($B442="","",IF($AO442="","対象年月が未入力／","")&amp;IF($B442="","",IF($AN442="","職員マスタに未登録の職員番号／",IF($Y442="","標準報酬月額が未登録／","")&amp;IF(AND($AO442&lt;&gt;"",OR(AND(INDEX(職員マスタ!$G$6:$G$405,$AN442)&lt;&gt;"",INDEX(職員マスタ!$G$6:$G$405,$AN442)&gt;EOMONTH($AO442,0)),AND(INDEX(職員マスタ!$H$6:$H$405,$AN442)&lt;&gt;"",INDEX(職員マスタ!$H$6:$H$405,$AN442)&lt;$AO442))),"対象月が時短期間外／","")&amp;IF(AND(INDEX(職員マスタ!$F$6:$F$405,$AN442)&lt;&gt;"",$AO442&lt;&gt;"",INDEX(職員マスタ!$F$6:$F$405,$AN442)&lt;$AO442),"対象月に子が2歳到達済／","")&amp;IF(AND($H442&lt;&gt;"",INDEX(職員マスタ!$B$6:$B$405,$AN442)&lt;&gt;"",SUBSTITUTE(SUBSTITUTE($H442," ","")," ","")&lt;&gt;SUBSTITUTE(SUBSTITUTE(INDEX(職員マスタ!$B$6:$B$405,$AN442)," ","")," ","")),"氏名がマスタと相違／","")&amp;IF(AND($Q442&lt;&gt;"",INDEX(職員マスタ!$E$6:$E$405,$AN442)&lt;&gt;"",$Q442&lt;&gt;INDEX(職員マスタ!$E$6:$E$405,$AN442)),"子の生年月日がマスタと相違／","")&amp;IF(AND($L442&lt;&gt;"",INDEX(職員マスタ!$G$6:$G$405,$AN442)&lt;&gt;"",$L442&lt;&gt;INDEX(職員マスタ!$G$6:$G$405,$AN442)),"時短開始日がマスタと相違／","")&amp;IF(AND($M442&lt;&gt;"",INDEX(職員マスタ!$H$6:$H$405,$AN442)&lt;&gt;"",$M442&lt;&gt;INDEX(職員マスタ!$H$6:$H$405,$AN442)),"時短終了日がマスタと相違／","")))&amp;IF(AND($B442&lt;&gt;"",$E442=""),"報酬額が未入力／","")&amp;IF(N($U442)&gt;0,"申請書に入力エラーが残っています／","")&amp;IF(AND($B442&lt;&gt;"",$AO442&lt;&gt;""),IF(COUNTIFS($B$6:$B$3005,$B442,$C$6:$C$3005,$C442,$D$6:$D$3005,$D442)&gt;1,"同じ月の請求が重複しています／",""),"")&amp;IF(AND(N($E442)&gt;0,$Z442&lt;&gt;"",$Z442&lt;&gt;"×",$AC442=0,$AB442=""),"計算額が下限以下のため不支給／",""))</f>
        <v/>
      </c>
      <c r="AL442" s="12" t="n"/>
      <c r="AM442" s="14">
        <f>IF($AD442="保留中",COUNTIF($AD$6:$AD442,"保留中"),"")</f>
        <v/>
      </c>
      <c r="AN442" s="14">
        <f>IF($AO442="","",IF(SUMPRODUCT(MAX((職員マスタ!$A$6:$A$405=$B442)*(((職員マスタ!$G$6:$G$405="")+(職員マスタ!$G$6:$G$405&lt;=EOMONTH($AO442,0)))&gt;0)*(((職員マスタ!$H$6:$H$405="")+(職員マスタ!$H$6:$H$405&gt;=$AO442))&gt;0)*(ROW(職員マスタ!$A$6:$A$405)-5)))&gt;0,SUMPRODUCT(MAX((職員マスタ!$A$6:$A$405=$B442)*(((職員マスタ!$G$6:$G$405="")+(職員マスタ!$G$6:$G$405&lt;=EOMONTH($AO442,0)))&gt;0)*(((職員マスタ!$H$6:$H$405="")+(職員マスタ!$H$6:$H$405&gt;=$AO442))&gt;0)*(ROW(職員マスタ!$A$6:$A$405)-5))),IFERROR(MATCH($B442,職員マスタ!$A$6:$A$405,0),"")))</f>
        <v/>
      </c>
      <c r="AO442" s="16">
        <f>IF(OR($B442="",$C442="",$D442=""),"",DATE($C442+2018,$D442,1))</f>
        <v/>
      </c>
    </row>
    <row r="443">
      <c r="A443" s="11" t="n"/>
      <c r="B443" s="12" t="n">
        <v>7101892</v>
      </c>
      <c r="C443" s="12" t="n">
        <v>7</v>
      </c>
      <c r="D443" s="12" t="n">
        <v>8</v>
      </c>
      <c r="E443" s="13" t="n">
        <v>196716</v>
      </c>
      <c r="F443" s="12" t="n"/>
      <c r="G443" s="13" t="n"/>
      <c r="H443" s="12" t="n"/>
      <c r="I443" s="12" t="n"/>
      <c r="J443" s="12" t="n"/>
      <c r="K443" s="12" t="n"/>
      <c r="L443" s="11" t="n"/>
      <c r="M443" s="11" t="n"/>
      <c r="N443" s="11" t="n"/>
      <c r="O443" s="11" t="n"/>
      <c r="P443" s="12" t="n"/>
      <c r="Q443" s="11" t="n"/>
      <c r="R443" s="12" t="n"/>
      <c r="S443" s="11" t="n"/>
      <c r="T443" s="12" t="n"/>
      <c r="U443" s="12" t="n"/>
      <c r="V443" s="14">
        <f>IF($AN443="",IF($B443="","",$H443),IF(INDEX(職員マスタ!$B$6:$B$405,$AN443)="",$H443,INDEX(職員マスタ!$B$6:$B$405,$AN443)))</f>
        <v/>
      </c>
      <c r="W443" s="14">
        <f>IF($AN443="",IF($B443="","",$R443),IF(INDEX(職員マスタ!$C$6:$C$405,$AN443)="",$R443,INDEX(職員マスタ!$C$6:$C$405,$AN443)))</f>
        <v/>
      </c>
      <c r="X443" s="14">
        <f>IF($AO443="","","R"&amp;$C443&amp;"."&amp;$D443)</f>
        <v/>
      </c>
      <c r="Y443" s="15">
        <f>IF($AN443="","",IF(INDEX(職員マスタ!$K$6:$K$405,$AN443)="","",INDEX(職員マスタ!$K$6:$K$405,$AN443)))</f>
        <v/>
      </c>
      <c r="Z443" s="14">
        <f>IF(OR($E443="",$Y443=""),"",IF($E443&gt;=$Y443,"×",IF($E443&gt;=$Y443*設定!$C$5,"△","○")))</f>
        <v/>
      </c>
      <c r="AA443" s="15">
        <f>IF($Z443="","",IF($Z443="×",0,IF($Z443="○",ROUNDDOWN($E443*設定!$C$4,0),ROUNDDOWN($E443*ROUND((9*$Y443-9*$E443)/(10*$E443),4),0))))</f>
        <v/>
      </c>
      <c r="AB443" s="13" t="n"/>
      <c r="AC443" s="15">
        <f>IF($B443="","",IF($AB443&lt;&gt;"",$AB443,IF($AA443="","",IF($AA443&lt;=設定!$C$3,0,$AA443))))</f>
        <v/>
      </c>
      <c r="AD443" s="14">
        <f>IF($B443="","",IF(AND($AE443&lt;&gt;"",$AG443="",$AJ443=""),"保留中",IF($AJ443&lt;&gt;"",IF(N($AC443)&gt;0,"支給済","不支給"),IF($AC443="","要確認",IF($AC443=0,"不支給","未処理")))))</f>
        <v/>
      </c>
      <c r="AE443" s="12" t="n"/>
      <c r="AF443" s="11" t="n"/>
      <c r="AG443" s="11" t="n"/>
      <c r="AH443" s="11" t="n"/>
      <c r="AI443" s="14">
        <f>IF(AND($AD443="保留中",$AF443&lt;&gt;""),TODAY()-$AF443,"")</f>
        <v/>
      </c>
      <c r="AJ443" s="12" t="inlineStr">
        <is>
          <t>R7.10</t>
        </is>
      </c>
      <c r="AK443" s="14">
        <f>IF($B443="","",IF($AO443="","対象年月が未入力／","")&amp;IF($B443="","",IF($AN443="","職員マスタに未登録の職員番号／",IF($Y443="","標準報酬月額が未登録／","")&amp;IF(AND($AO443&lt;&gt;"",OR(AND(INDEX(職員マスタ!$G$6:$G$405,$AN443)&lt;&gt;"",INDEX(職員マスタ!$G$6:$G$405,$AN443)&gt;EOMONTH($AO443,0)),AND(INDEX(職員マスタ!$H$6:$H$405,$AN443)&lt;&gt;"",INDEX(職員マスタ!$H$6:$H$405,$AN443)&lt;$AO443))),"対象月が時短期間外／","")&amp;IF(AND(INDEX(職員マスタ!$F$6:$F$405,$AN443)&lt;&gt;"",$AO443&lt;&gt;"",INDEX(職員マスタ!$F$6:$F$405,$AN443)&lt;$AO443),"対象月に子が2歳到達済／","")&amp;IF(AND($H443&lt;&gt;"",INDEX(職員マスタ!$B$6:$B$405,$AN443)&lt;&gt;"",SUBSTITUTE(SUBSTITUTE($H443," ","")," ","")&lt;&gt;SUBSTITUTE(SUBSTITUTE(INDEX(職員マスタ!$B$6:$B$405,$AN443)," ","")," ","")),"氏名がマスタと相違／","")&amp;IF(AND($Q443&lt;&gt;"",INDEX(職員マスタ!$E$6:$E$405,$AN443)&lt;&gt;"",$Q443&lt;&gt;INDEX(職員マスタ!$E$6:$E$405,$AN443)),"子の生年月日がマスタと相違／","")&amp;IF(AND($L443&lt;&gt;"",INDEX(職員マスタ!$G$6:$G$405,$AN443)&lt;&gt;"",$L443&lt;&gt;INDEX(職員マスタ!$G$6:$G$405,$AN443)),"時短開始日がマスタと相違／","")&amp;IF(AND($M443&lt;&gt;"",INDEX(職員マスタ!$H$6:$H$405,$AN443)&lt;&gt;"",$M443&lt;&gt;INDEX(職員マスタ!$H$6:$H$405,$AN443)),"時短終了日がマスタと相違／","")))&amp;IF(AND($B443&lt;&gt;"",$E443=""),"報酬額が未入力／","")&amp;IF(N($U443)&gt;0,"申請書に入力エラーが残っています／","")&amp;IF(AND($B443&lt;&gt;"",$AO443&lt;&gt;""),IF(COUNTIFS($B$6:$B$3005,$B443,$C$6:$C$3005,$C443,$D$6:$D$3005,$D443)&gt;1,"同じ月の請求が重複しています／",""),"")&amp;IF(AND(N($E443)&gt;0,$Z443&lt;&gt;"",$Z443&lt;&gt;"×",$AC443=0,$AB443=""),"計算額が下限以下のため不支給／",""))</f>
        <v/>
      </c>
      <c r="AL443" s="12" t="n"/>
      <c r="AM443" s="14">
        <f>IF($AD443="保留中",COUNTIF($AD$6:$AD443,"保留中"),"")</f>
        <v/>
      </c>
      <c r="AN443" s="14">
        <f>IF($AO443="","",IF(SUMPRODUCT(MAX((職員マスタ!$A$6:$A$405=$B443)*(((職員マスタ!$G$6:$G$405="")+(職員マスタ!$G$6:$G$405&lt;=EOMONTH($AO443,0)))&gt;0)*(((職員マスタ!$H$6:$H$405="")+(職員マスタ!$H$6:$H$405&gt;=$AO443))&gt;0)*(ROW(職員マスタ!$A$6:$A$405)-5)))&gt;0,SUMPRODUCT(MAX((職員マスタ!$A$6:$A$405=$B443)*(((職員マスタ!$G$6:$G$405="")+(職員マスタ!$G$6:$G$405&lt;=EOMONTH($AO443,0)))&gt;0)*(((職員マスタ!$H$6:$H$405="")+(職員マスタ!$H$6:$H$405&gt;=$AO443))&gt;0)*(ROW(職員マスタ!$A$6:$A$405)-5))),IFERROR(MATCH($B443,職員マスタ!$A$6:$A$405,0),"")))</f>
        <v/>
      </c>
      <c r="AO443" s="16">
        <f>IF(OR($B443="",$C443="",$D443=""),"",DATE($C443+2018,$D443,1))</f>
        <v/>
      </c>
    </row>
    <row r="444">
      <c r="A444" s="11" t="n"/>
      <c r="B444" s="12" t="n">
        <v>7101892</v>
      </c>
      <c r="C444" s="12" t="n">
        <v>7</v>
      </c>
      <c r="D444" s="12" t="n">
        <v>9</v>
      </c>
      <c r="E444" s="13" t="n">
        <v>196716</v>
      </c>
      <c r="F444" s="12" t="n"/>
      <c r="G444" s="13" t="n"/>
      <c r="H444" s="12" t="n"/>
      <c r="I444" s="12" t="n"/>
      <c r="J444" s="12" t="n"/>
      <c r="K444" s="12" t="n"/>
      <c r="L444" s="11" t="n"/>
      <c r="M444" s="11" t="n"/>
      <c r="N444" s="11" t="n"/>
      <c r="O444" s="11" t="n"/>
      <c r="P444" s="12" t="n"/>
      <c r="Q444" s="11" t="n"/>
      <c r="R444" s="12" t="n"/>
      <c r="S444" s="11" t="n"/>
      <c r="T444" s="12" t="n"/>
      <c r="U444" s="12" t="n"/>
      <c r="V444" s="14">
        <f>IF($AN444="",IF($B444="","",$H444),IF(INDEX(職員マスタ!$B$6:$B$405,$AN444)="",$H444,INDEX(職員マスタ!$B$6:$B$405,$AN444)))</f>
        <v/>
      </c>
      <c r="W444" s="14">
        <f>IF($AN444="",IF($B444="","",$R444),IF(INDEX(職員マスタ!$C$6:$C$405,$AN444)="",$R444,INDEX(職員マスタ!$C$6:$C$405,$AN444)))</f>
        <v/>
      </c>
      <c r="X444" s="14">
        <f>IF($AO444="","","R"&amp;$C444&amp;"."&amp;$D444)</f>
        <v/>
      </c>
      <c r="Y444" s="15">
        <f>IF($AN444="","",IF(INDEX(職員マスタ!$K$6:$K$405,$AN444)="","",INDEX(職員マスタ!$K$6:$K$405,$AN444)))</f>
        <v/>
      </c>
      <c r="Z444" s="14">
        <f>IF(OR($E444="",$Y444=""),"",IF($E444&gt;=$Y444,"×",IF($E444&gt;=$Y444*設定!$C$5,"△","○")))</f>
        <v/>
      </c>
      <c r="AA444" s="15">
        <f>IF($Z444="","",IF($Z444="×",0,IF($Z444="○",ROUNDDOWN($E444*設定!$C$4,0),ROUNDDOWN($E444*ROUND((9*$Y444-9*$E444)/(10*$E444),4),0))))</f>
        <v/>
      </c>
      <c r="AB444" s="13" t="n"/>
      <c r="AC444" s="15">
        <f>IF($B444="","",IF($AB444&lt;&gt;"",$AB444,IF($AA444="","",IF($AA444&lt;=設定!$C$3,0,$AA444))))</f>
        <v/>
      </c>
      <c r="AD444" s="14">
        <f>IF($B444="","",IF(AND($AE444&lt;&gt;"",$AG444="",$AJ444=""),"保留中",IF($AJ444&lt;&gt;"",IF(N($AC444)&gt;0,"支給済","不支給"),IF($AC444="","要確認",IF($AC444=0,"不支給","未処理")))))</f>
        <v/>
      </c>
      <c r="AE444" s="12" t="n"/>
      <c r="AF444" s="11" t="n"/>
      <c r="AG444" s="11" t="n"/>
      <c r="AH444" s="11" t="n"/>
      <c r="AI444" s="14">
        <f>IF(AND($AD444="保留中",$AF444&lt;&gt;""),TODAY()-$AF444,"")</f>
        <v/>
      </c>
      <c r="AJ444" s="12" t="inlineStr">
        <is>
          <t>R7.11</t>
        </is>
      </c>
      <c r="AK444" s="14">
        <f>IF($B444="","",IF($AO444="","対象年月が未入力／","")&amp;IF($B444="","",IF($AN444="","職員マスタに未登録の職員番号／",IF($Y444="","標準報酬月額が未登録／","")&amp;IF(AND($AO444&lt;&gt;"",OR(AND(INDEX(職員マスタ!$G$6:$G$405,$AN444)&lt;&gt;"",INDEX(職員マスタ!$G$6:$G$405,$AN444)&gt;EOMONTH($AO444,0)),AND(INDEX(職員マスタ!$H$6:$H$405,$AN444)&lt;&gt;"",INDEX(職員マスタ!$H$6:$H$405,$AN444)&lt;$AO444))),"対象月が時短期間外／","")&amp;IF(AND(INDEX(職員マスタ!$F$6:$F$405,$AN444)&lt;&gt;"",$AO444&lt;&gt;"",INDEX(職員マスタ!$F$6:$F$405,$AN444)&lt;$AO444),"対象月に子が2歳到達済／","")&amp;IF(AND($H444&lt;&gt;"",INDEX(職員マスタ!$B$6:$B$405,$AN444)&lt;&gt;"",SUBSTITUTE(SUBSTITUTE($H444," ","")," ","")&lt;&gt;SUBSTITUTE(SUBSTITUTE(INDEX(職員マスタ!$B$6:$B$405,$AN444)," ","")," ","")),"氏名がマスタと相違／","")&amp;IF(AND($Q444&lt;&gt;"",INDEX(職員マスタ!$E$6:$E$405,$AN444)&lt;&gt;"",$Q444&lt;&gt;INDEX(職員マスタ!$E$6:$E$405,$AN444)),"子の生年月日がマスタと相違／","")&amp;IF(AND($L444&lt;&gt;"",INDEX(職員マスタ!$G$6:$G$405,$AN444)&lt;&gt;"",$L444&lt;&gt;INDEX(職員マスタ!$G$6:$G$405,$AN444)),"時短開始日がマスタと相違／","")&amp;IF(AND($M444&lt;&gt;"",INDEX(職員マスタ!$H$6:$H$405,$AN444)&lt;&gt;"",$M444&lt;&gt;INDEX(職員マスタ!$H$6:$H$405,$AN444)),"時短終了日がマスタと相違／","")))&amp;IF(AND($B444&lt;&gt;"",$E444=""),"報酬額が未入力／","")&amp;IF(N($U444)&gt;0,"申請書に入力エラーが残っています／","")&amp;IF(AND($B444&lt;&gt;"",$AO444&lt;&gt;""),IF(COUNTIFS($B$6:$B$3005,$B444,$C$6:$C$3005,$C444,$D$6:$D$3005,$D444)&gt;1,"同じ月の請求が重複しています／",""),"")&amp;IF(AND(N($E444)&gt;0,$Z444&lt;&gt;"",$Z444&lt;&gt;"×",$AC444=0,$AB444=""),"計算額が下限以下のため不支給／",""))</f>
        <v/>
      </c>
      <c r="AL444" s="12" t="n"/>
      <c r="AM444" s="14">
        <f>IF($AD444="保留中",COUNTIF($AD$6:$AD444,"保留中"),"")</f>
        <v/>
      </c>
      <c r="AN444" s="14">
        <f>IF($AO444="","",IF(SUMPRODUCT(MAX((職員マスタ!$A$6:$A$405=$B444)*(((職員マスタ!$G$6:$G$405="")+(職員マスタ!$G$6:$G$405&lt;=EOMONTH($AO444,0)))&gt;0)*(((職員マスタ!$H$6:$H$405="")+(職員マスタ!$H$6:$H$405&gt;=$AO444))&gt;0)*(ROW(職員マスタ!$A$6:$A$405)-5)))&gt;0,SUMPRODUCT(MAX((職員マスタ!$A$6:$A$405=$B444)*(((職員マスタ!$G$6:$G$405="")+(職員マスタ!$G$6:$G$405&lt;=EOMONTH($AO444,0)))&gt;0)*(((職員マスタ!$H$6:$H$405="")+(職員マスタ!$H$6:$H$405&gt;=$AO444))&gt;0)*(ROW(職員マスタ!$A$6:$A$405)-5))),IFERROR(MATCH($B444,職員マスタ!$A$6:$A$405,0),"")))</f>
        <v/>
      </c>
      <c r="AO444" s="16">
        <f>IF(OR($B444="",$C444="",$D444=""),"",DATE($C444+2018,$D444,1))</f>
        <v/>
      </c>
    </row>
    <row r="445">
      <c r="A445" s="11" t="n"/>
      <c r="B445" s="12" t="n">
        <v>7101892</v>
      </c>
      <c r="C445" s="12" t="n">
        <v>7</v>
      </c>
      <c r="D445" s="12" t="n">
        <v>10</v>
      </c>
      <c r="E445" s="13" t="n">
        <v>196716</v>
      </c>
      <c r="F445" s="12" t="n"/>
      <c r="G445" s="13" t="n"/>
      <c r="H445" s="12" t="n"/>
      <c r="I445" s="12" t="n"/>
      <c r="J445" s="12" t="n"/>
      <c r="K445" s="12" t="n"/>
      <c r="L445" s="11" t="n"/>
      <c r="M445" s="11" t="n"/>
      <c r="N445" s="11" t="n"/>
      <c r="O445" s="11" t="n"/>
      <c r="P445" s="12" t="n"/>
      <c r="Q445" s="11" t="n"/>
      <c r="R445" s="12" t="n"/>
      <c r="S445" s="11" t="n"/>
      <c r="T445" s="12" t="n"/>
      <c r="U445" s="12" t="n"/>
      <c r="V445" s="14">
        <f>IF($AN445="",IF($B445="","",$H445),IF(INDEX(職員マスタ!$B$6:$B$405,$AN445)="",$H445,INDEX(職員マスタ!$B$6:$B$405,$AN445)))</f>
        <v/>
      </c>
      <c r="W445" s="14">
        <f>IF($AN445="",IF($B445="","",$R445),IF(INDEX(職員マスタ!$C$6:$C$405,$AN445)="",$R445,INDEX(職員マスタ!$C$6:$C$405,$AN445)))</f>
        <v/>
      </c>
      <c r="X445" s="14">
        <f>IF($AO445="","","R"&amp;$C445&amp;"."&amp;$D445)</f>
        <v/>
      </c>
      <c r="Y445" s="15">
        <f>IF($AN445="","",IF(INDEX(職員マスタ!$K$6:$K$405,$AN445)="","",INDEX(職員マスタ!$K$6:$K$405,$AN445)))</f>
        <v/>
      </c>
      <c r="Z445" s="14">
        <f>IF(OR($E445="",$Y445=""),"",IF($E445&gt;=$Y445,"×",IF($E445&gt;=$Y445*設定!$C$5,"△","○")))</f>
        <v/>
      </c>
      <c r="AA445" s="15">
        <f>IF($Z445="","",IF($Z445="×",0,IF($Z445="○",ROUNDDOWN($E445*設定!$C$4,0),ROUNDDOWN($E445*ROUND((9*$Y445-9*$E445)/(10*$E445),4),0))))</f>
        <v/>
      </c>
      <c r="AB445" s="13" t="n"/>
      <c r="AC445" s="15">
        <f>IF($B445="","",IF($AB445&lt;&gt;"",$AB445,IF($AA445="","",IF($AA445&lt;=設定!$C$3,0,$AA445))))</f>
        <v/>
      </c>
      <c r="AD445" s="14">
        <f>IF($B445="","",IF(AND($AE445&lt;&gt;"",$AG445="",$AJ445=""),"保留中",IF($AJ445&lt;&gt;"",IF(N($AC445)&gt;0,"支給済","不支給"),IF($AC445="","要確認",IF($AC445=0,"不支給","未処理")))))</f>
        <v/>
      </c>
      <c r="AE445" s="12" t="n"/>
      <c r="AF445" s="11" t="n"/>
      <c r="AG445" s="11" t="n"/>
      <c r="AH445" s="11" t="n"/>
      <c r="AI445" s="14">
        <f>IF(AND($AD445="保留中",$AF445&lt;&gt;""),TODAY()-$AF445,"")</f>
        <v/>
      </c>
      <c r="AJ445" s="12" t="inlineStr">
        <is>
          <t>R7.12</t>
        </is>
      </c>
      <c r="AK445" s="14">
        <f>IF($B445="","",IF($AO445="","対象年月が未入力／","")&amp;IF($B445="","",IF($AN445="","職員マスタに未登録の職員番号／",IF($Y445="","標準報酬月額が未登録／","")&amp;IF(AND($AO445&lt;&gt;"",OR(AND(INDEX(職員マスタ!$G$6:$G$405,$AN445)&lt;&gt;"",INDEX(職員マスタ!$G$6:$G$405,$AN445)&gt;EOMONTH($AO445,0)),AND(INDEX(職員マスタ!$H$6:$H$405,$AN445)&lt;&gt;"",INDEX(職員マスタ!$H$6:$H$405,$AN445)&lt;$AO445))),"対象月が時短期間外／","")&amp;IF(AND(INDEX(職員マスタ!$F$6:$F$405,$AN445)&lt;&gt;"",$AO445&lt;&gt;"",INDEX(職員マスタ!$F$6:$F$405,$AN445)&lt;$AO445),"対象月に子が2歳到達済／","")&amp;IF(AND($H445&lt;&gt;"",INDEX(職員マスタ!$B$6:$B$405,$AN445)&lt;&gt;"",SUBSTITUTE(SUBSTITUTE($H445," ","")," ","")&lt;&gt;SUBSTITUTE(SUBSTITUTE(INDEX(職員マスタ!$B$6:$B$405,$AN445)," ","")," ","")),"氏名がマスタと相違／","")&amp;IF(AND($Q445&lt;&gt;"",INDEX(職員マスタ!$E$6:$E$405,$AN445)&lt;&gt;"",$Q445&lt;&gt;INDEX(職員マスタ!$E$6:$E$405,$AN445)),"子の生年月日がマスタと相違／","")&amp;IF(AND($L445&lt;&gt;"",INDEX(職員マスタ!$G$6:$G$405,$AN445)&lt;&gt;"",$L445&lt;&gt;INDEX(職員マスタ!$G$6:$G$405,$AN445)),"時短開始日がマスタと相違／","")&amp;IF(AND($M445&lt;&gt;"",INDEX(職員マスタ!$H$6:$H$405,$AN445)&lt;&gt;"",$M445&lt;&gt;INDEX(職員マスタ!$H$6:$H$405,$AN445)),"時短終了日がマスタと相違／","")))&amp;IF(AND($B445&lt;&gt;"",$E445=""),"報酬額が未入力／","")&amp;IF(N($U445)&gt;0,"申請書に入力エラーが残っています／","")&amp;IF(AND($B445&lt;&gt;"",$AO445&lt;&gt;""),IF(COUNTIFS($B$6:$B$3005,$B445,$C$6:$C$3005,$C445,$D$6:$D$3005,$D445)&gt;1,"同じ月の請求が重複しています／",""),"")&amp;IF(AND(N($E445)&gt;0,$Z445&lt;&gt;"",$Z445&lt;&gt;"×",$AC445=0,$AB445=""),"計算額が下限以下のため不支給／",""))</f>
        <v/>
      </c>
      <c r="AL445" s="12" t="n"/>
      <c r="AM445" s="14">
        <f>IF($AD445="保留中",COUNTIF($AD$6:$AD445,"保留中"),"")</f>
        <v/>
      </c>
      <c r="AN445" s="14">
        <f>IF($AO445="","",IF(SUMPRODUCT(MAX((職員マスタ!$A$6:$A$405=$B445)*(((職員マスタ!$G$6:$G$405="")+(職員マスタ!$G$6:$G$405&lt;=EOMONTH($AO445,0)))&gt;0)*(((職員マスタ!$H$6:$H$405="")+(職員マスタ!$H$6:$H$405&gt;=$AO445))&gt;0)*(ROW(職員マスタ!$A$6:$A$405)-5)))&gt;0,SUMPRODUCT(MAX((職員マスタ!$A$6:$A$405=$B445)*(((職員マスタ!$G$6:$G$405="")+(職員マスタ!$G$6:$G$405&lt;=EOMONTH($AO445,0)))&gt;0)*(((職員マスタ!$H$6:$H$405="")+(職員マスタ!$H$6:$H$405&gt;=$AO445))&gt;0)*(ROW(職員マスタ!$A$6:$A$405)-5))),IFERROR(MATCH($B445,職員マスタ!$A$6:$A$405,0),"")))</f>
        <v/>
      </c>
      <c r="AO445" s="16">
        <f>IF(OR($B445="",$C445="",$D445=""),"",DATE($C445+2018,$D445,1))</f>
        <v/>
      </c>
    </row>
    <row r="446">
      <c r="A446" s="11" t="n"/>
      <c r="B446" s="12" t="n">
        <v>7101892</v>
      </c>
      <c r="C446" s="12" t="n">
        <v>7</v>
      </c>
      <c r="D446" s="12" t="n">
        <v>11</v>
      </c>
      <c r="E446" s="13" t="n">
        <v>200202</v>
      </c>
      <c r="F446" s="12" t="n"/>
      <c r="G446" s="13" t="n"/>
      <c r="H446" s="12" t="n"/>
      <c r="I446" s="12" t="n"/>
      <c r="J446" s="12" t="n"/>
      <c r="K446" s="12" t="n"/>
      <c r="L446" s="11" t="n"/>
      <c r="M446" s="11" t="n"/>
      <c r="N446" s="11" t="n"/>
      <c r="O446" s="11" t="n"/>
      <c r="P446" s="12" t="n"/>
      <c r="Q446" s="11" t="n"/>
      <c r="R446" s="12" t="n"/>
      <c r="S446" s="11" t="n"/>
      <c r="T446" s="12" t="n"/>
      <c r="U446" s="12" t="n"/>
      <c r="V446" s="14">
        <f>IF($AN446="",IF($B446="","",$H446),IF(INDEX(職員マスタ!$B$6:$B$405,$AN446)="",$H446,INDEX(職員マスタ!$B$6:$B$405,$AN446)))</f>
        <v/>
      </c>
      <c r="W446" s="14">
        <f>IF($AN446="",IF($B446="","",$R446),IF(INDEX(職員マスタ!$C$6:$C$405,$AN446)="",$R446,INDEX(職員マスタ!$C$6:$C$405,$AN446)))</f>
        <v/>
      </c>
      <c r="X446" s="14">
        <f>IF($AO446="","","R"&amp;$C446&amp;"."&amp;$D446)</f>
        <v/>
      </c>
      <c r="Y446" s="15">
        <f>IF($AN446="","",IF(INDEX(職員マスタ!$K$6:$K$405,$AN446)="","",INDEX(職員マスタ!$K$6:$K$405,$AN446)))</f>
        <v/>
      </c>
      <c r="Z446" s="14">
        <f>IF(OR($E446="",$Y446=""),"",IF($E446&gt;=$Y446,"×",IF($E446&gt;=$Y446*設定!$C$5,"△","○")))</f>
        <v/>
      </c>
      <c r="AA446" s="15">
        <f>IF($Z446="","",IF($Z446="×",0,IF($Z446="○",ROUNDDOWN($E446*設定!$C$4,0),ROUNDDOWN($E446*ROUND((9*$Y446-9*$E446)/(10*$E446),4),0))))</f>
        <v/>
      </c>
      <c r="AB446" s="13" t="n"/>
      <c r="AC446" s="15">
        <f>IF($B446="","",IF($AB446&lt;&gt;"",$AB446,IF($AA446="","",IF($AA446&lt;=設定!$C$3,0,$AA446))))</f>
        <v/>
      </c>
      <c r="AD446" s="14">
        <f>IF($B446="","",IF(AND($AE446&lt;&gt;"",$AG446="",$AJ446=""),"保留中",IF($AJ446&lt;&gt;"",IF(N($AC446)&gt;0,"支給済","不支給"),IF($AC446="","要確認",IF($AC446=0,"不支給","未処理")))))</f>
        <v/>
      </c>
      <c r="AE446" s="12" t="n"/>
      <c r="AF446" s="11" t="n"/>
      <c r="AG446" s="11" t="n"/>
      <c r="AH446" s="11" t="n"/>
      <c r="AI446" s="14">
        <f>IF(AND($AD446="保留中",$AF446&lt;&gt;""),TODAY()-$AF446,"")</f>
        <v/>
      </c>
      <c r="AJ446" s="12" t="inlineStr">
        <is>
          <t>R8.1</t>
        </is>
      </c>
      <c r="AK446" s="14">
        <f>IF($B446="","",IF($AO446="","対象年月が未入力／","")&amp;IF($B446="","",IF($AN446="","職員マスタに未登録の職員番号／",IF($Y446="","標準報酬月額が未登録／","")&amp;IF(AND($AO446&lt;&gt;"",OR(AND(INDEX(職員マスタ!$G$6:$G$405,$AN446)&lt;&gt;"",INDEX(職員マスタ!$G$6:$G$405,$AN446)&gt;EOMONTH($AO446,0)),AND(INDEX(職員マスタ!$H$6:$H$405,$AN446)&lt;&gt;"",INDEX(職員マスタ!$H$6:$H$405,$AN446)&lt;$AO446))),"対象月が時短期間外／","")&amp;IF(AND(INDEX(職員マスタ!$F$6:$F$405,$AN446)&lt;&gt;"",$AO446&lt;&gt;"",INDEX(職員マスタ!$F$6:$F$405,$AN446)&lt;$AO446),"対象月に子が2歳到達済／","")&amp;IF(AND($H446&lt;&gt;"",INDEX(職員マスタ!$B$6:$B$405,$AN446)&lt;&gt;"",SUBSTITUTE(SUBSTITUTE($H446," ","")," ","")&lt;&gt;SUBSTITUTE(SUBSTITUTE(INDEX(職員マスタ!$B$6:$B$405,$AN446)," ","")," ","")),"氏名がマスタと相違／","")&amp;IF(AND($Q446&lt;&gt;"",INDEX(職員マスタ!$E$6:$E$405,$AN446)&lt;&gt;"",$Q446&lt;&gt;INDEX(職員マスタ!$E$6:$E$405,$AN446)),"子の生年月日がマスタと相違／","")&amp;IF(AND($L446&lt;&gt;"",INDEX(職員マスタ!$G$6:$G$405,$AN446)&lt;&gt;"",$L446&lt;&gt;INDEX(職員マスタ!$G$6:$G$405,$AN446)),"時短開始日がマスタと相違／","")&amp;IF(AND($M446&lt;&gt;"",INDEX(職員マスタ!$H$6:$H$405,$AN446)&lt;&gt;"",$M446&lt;&gt;INDEX(職員マスタ!$H$6:$H$405,$AN446)),"時短終了日がマスタと相違／","")))&amp;IF(AND($B446&lt;&gt;"",$E446=""),"報酬額が未入力／","")&amp;IF(N($U446)&gt;0,"申請書に入力エラーが残っています／","")&amp;IF(AND($B446&lt;&gt;"",$AO446&lt;&gt;""),IF(COUNTIFS($B$6:$B$3005,$B446,$C$6:$C$3005,$C446,$D$6:$D$3005,$D446)&gt;1,"同じ月の請求が重複しています／",""),"")&amp;IF(AND(N($E446)&gt;0,$Z446&lt;&gt;"",$Z446&lt;&gt;"×",$AC446=0,$AB446=""),"計算額が下限以下のため不支給／",""))</f>
        <v/>
      </c>
      <c r="AL446" s="12" t="n"/>
      <c r="AM446" s="14">
        <f>IF($AD446="保留中",COUNTIF($AD$6:$AD446,"保留中"),"")</f>
        <v/>
      </c>
      <c r="AN446" s="14">
        <f>IF($AO446="","",IF(SUMPRODUCT(MAX((職員マスタ!$A$6:$A$405=$B446)*(((職員マスタ!$G$6:$G$405="")+(職員マスタ!$G$6:$G$405&lt;=EOMONTH($AO446,0)))&gt;0)*(((職員マスタ!$H$6:$H$405="")+(職員マスタ!$H$6:$H$405&gt;=$AO446))&gt;0)*(ROW(職員マスタ!$A$6:$A$405)-5)))&gt;0,SUMPRODUCT(MAX((職員マスタ!$A$6:$A$405=$B446)*(((職員マスタ!$G$6:$G$405="")+(職員マスタ!$G$6:$G$405&lt;=EOMONTH($AO446,0)))&gt;0)*(((職員マスタ!$H$6:$H$405="")+(職員マスタ!$H$6:$H$405&gt;=$AO446))&gt;0)*(ROW(職員マスタ!$A$6:$A$405)-5))),IFERROR(MATCH($B446,職員マスタ!$A$6:$A$405,0),"")))</f>
        <v/>
      </c>
      <c r="AO446" s="16">
        <f>IF(OR($B446="",$C446="",$D446=""),"",DATE($C446+2018,$D446,1))</f>
        <v/>
      </c>
    </row>
    <row r="447">
      <c r="A447" s="11" t="n"/>
      <c r="B447" s="12" t="n">
        <v>7101892</v>
      </c>
      <c r="C447" s="12" t="n">
        <v>7</v>
      </c>
      <c r="D447" s="12" t="n">
        <v>12</v>
      </c>
      <c r="E447" s="13" t="n">
        <v>205795</v>
      </c>
      <c r="F447" s="12" t="n"/>
      <c r="G447" s="13" t="n"/>
      <c r="H447" s="12" t="n"/>
      <c r="I447" s="12" t="n"/>
      <c r="J447" s="12" t="n"/>
      <c r="K447" s="12" t="n"/>
      <c r="L447" s="11" t="n"/>
      <c r="M447" s="11" t="n"/>
      <c r="N447" s="11" t="n"/>
      <c r="O447" s="11" t="n"/>
      <c r="P447" s="12" t="n"/>
      <c r="Q447" s="11" t="n"/>
      <c r="R447" s="12" t="n"/>
      <c r="S447" s="11" t="n"/>
      <c r="T447" s="12" t="n"/>
      <c r="U447" s="12" t="n"/>
      <c r="V447" s="14">
        <f>IF($AN447="",IF($B447="","",$H447),IF(INDEX(職員マスタ!$B$6:$B$405,$AN447)="",$H447,INDEX(職員マスタ!$B$6:$B$405,$AN447)))</f>
        <v/>
      </c>
      <c r="W447" s="14">
        <f>IF($AN447="",IF($B447="","",$R447),IF(INDEX(職員マスタ!$C$6:$C$405,$AN447)="",$R447,INDEX(職員マスタ!$C$6:$C$405,$AN447)))</f>
        <v/>
      </c>
      <c r="X447" s="14">
        <f>IF($AO447="","","R"&amp;$C447&amp;"."&amp;$D447)</f>
        <v/>
      </c>
      <c r="Y447" s="15">
        <f>IF($AN447="","",IF(INDEX(職員マスタ!$K$6:$K$405,$AN447)="","",INDEX(職員マスタ!$K$6:$K$405,$AN447)))</f>
        <v/>
      </c>
      <c r="Z447" s="14">
        <f>IF(OR($E447="",$Y447=""),"",IF($E447&gt;=$Y447,"×",IF($E447&gt;=$Y447*設定!$C$5,"△","○")))</f>
        <v/>
      </c>
      <c r="AA447" s="15">
        <f>IF($Z447="","",IF($Z447="×",0,IF($Z447="○",ROUNDDOWN($E447*設定!$C$4,0),ROUNDDOWN($E447*ROUND((9*$Y447-9*$E447)/(10*$E447),4),0))))</f>
        <v/>
      </c>
      <c r="AB447" s="13" t="n"/>
      <c r="AC447" s="15">
        <f>IF($B447="","",IF($AB447&lt;&gt;"",$AB447,IF($AA447="","",IF($AA447&lt;=設定!$C$3,0,$AA447))))</f>
        <v/>
      </c>
      <c r="AD447" s="14">
        <f>IF($B447="","",IF(AND($AE447&lt;&gt;"",$AG447="",$AJ447=""),"保留中",IF($AJ447&lt;&gt;"",IF(N($AC447)&gt;0,"支給済","不支給"),IF($AC447="","要確認",IF($AC447=0,"不支給","未処理")))))</f>
        <v/>
      </c>
      <c r="AE447" s="12" t="n"/>
      <c r="AF447" s="11" t="n"/>
      <c r="AG447" s="11" t="n"/>
      <c r="AH447" s="11" t="n"/>
      <c r="AI447" s="14">
        <f>IF(AND($AD447="保留中",$AF447&lt;&gt;""),TODAY()-$AF447,"")</f>
        <v/>
      </c>
      <c r="AJ447" s="12" t="inlineStr">
        <is>
          <t>R8.2</t>
        </is>
      </c>
      <c r="AK447" s="14">
        <f>IF($B447="","",IF($AO447="","対象年月が未入力／","")&amp;IF($B447="","",IF($AN447="","職員マスタに未登録の職員番号／",IF($Y447="","標準報酬月額が未登録／","")&amp;IF(AND($AO447&lt;&gt;"",OR(AND(INDEX(職員マスタ!$G$6:$G$405,$AN447)&lt;&gt;"",INDEX(職員マスタ!$G$6:$G$405,$AN447)&gt;EOMONTH($AO447,0)),AND(INDEX(職員マスタ!$H$6:$H$405,$AN447)&lt;&gt;"",INDEX(職員マスタ!$H$6:$H$405,$AN447)&lt;$AO447))),"対象月が時短期間外／","")&amp;IF(AND(INDEX(職員マスタ!$F$6:$F$405,$AN447)&lt;&gt;"",$AO447&lt;&gt;"",INDEX(職員マスタ!$F$6:$F$405,$AN447)&lt;$AO447),"対象月に子が2歳到達済／","")&amp;IF(AND($H447&lt;&gt;"",INDEX(職員マスタ!$B$6:$B$405,$AN447)&lt;&gt;"",SUBSTITUTE(SUBSTITUTE($H447," ","")," ","")&lt;&gt;SUBSTITUTE(SUBSTITUTE(INDEX(職員マスタ!$B$6:$B$405,$AN447)," ","")," ","")),"氏名がマスタと相違／","")&amp;IF(AND($Q447&lt;&gt;"",INDEX(職員マスタ!$E$6:$E$405,$AN447)&lt;&gt;"",$Q447&lt;&gt;INDEX(職員マスタ!$E$6:$E$405,$AN447)),"子の生年月日がマスタと相違／","")&amp;IF(AND($L447&lt;&gt;"",INDEX(職員マスタ!$G$6:$G$405,$AN447)&lt;&gt;"",$L447&lt;&gt;INDEX(職員マスタ!$G$6:$G$405,$AN447)),"時短開始日がマスタと相違／","")&amp;IF(AND($M447&lt;&gt;"",INDEX(職員マスタ!$H$6:$H$405,$AN447)&lt;&gt;"",$M447&lt;&gt;INDEX(職員マスタ!$H$6:$H$405,$AN447)),"時短終了日がマスタと相違／","")))&amp;IF(AND($B447&lt;&gt;"",$E447=""),"報酬額が未入力／","")&amp;IF(N($U447)&gt;0,"申請書に入力エラーが残っています／","")&amp;IF(AND($B447&lt;&gt;"",$AO447&lt;&gt;""),IF(COUNTIFS($B$6:$B$3005,$B447,$C$6:$C$3005,$C447,$D$6:$D$3005,$D447)&gt;1,"同じ月の請求が重複しています／",""),"")&amp;IF(AND(N($E447)&gt;0,$Z447&lt;&gt;"",$Z447&lt;&gt;"×",$AC447=0,$AB447=""),"計算額が下限以下のため不支給／",""))</f>
        <v/>
      </c>
      <c r="AL447" s="12" t="n"/>
      <c r="AM447" s="14">
        <f>IF($AD447="保留中",COUNTIF($AD$6:$AD447,"保留中"),"")</f>
        <v/>
      </c>
      <c r="AN447" s="14">
        <f>IF($AO447="","",IF(SUMPRODUCT(MAX((職員マスタ!$A$6:$A$405=$B447)*(((職員マスタ!$G$6:$G$405="")+(職員マスタ!$G$6:$G$405&lt;=EOMONTH($AO447,0)))&gt;0)*(((職員マスタ!$H$6:$H$405="")+(職員マスタ!$H$6:$H$405&gt;=$AO447))&gt;0)*(ROW(職員マスタ!$A$6:$A$405)-5)))&gt;0,SUMPRODUCT(MAX((職員マスタ!$A$6:$A$405=$B447)*(((職員マスタ!$G$6:$G$405="")+(職員マスタ!$G$6:$G$405&lt;=EOMONTH($AO447,0)))&gt;0)*(((職員マスタ!$H$6:$H$405="")+(職員マスタ!$H$6:$H$405&gt;=$AO447))&gt;0)*(ROW(職員マスタ!$A$6:$A$405)-5))),IFERROR(MATCH($B447,職員マスタ!$A$6:$A$405,0),"")))</f>
        <v/>
      </c>
      <c r="AO447" s="16">
        <f>IF(OR($B447="",$C447="",$D447=""),"",DATE($C447+2018,$D447,1))</f>
        <v/>
      </c>
    </row>
    <row r="448">
      <c r="A448" s="11" t="n"/>
      <c r="B448" s="12" t="n">
        <v>7101892</v>
      </c>
      <c r="C448" s="12" t="n">
        <v>8</v>
      </c>
      <c r="D448" s="12" t="n">
        <v>1</v>
      </c>
      <c r="E448" s="13" t="n">
        <v>202195</v>
      </c>
      <c r="F448" s="12" t="n"/>
      <c r="G448" s="13" t="n"/>
      <c r="H448" s="12" t="n"/>
      <c r="I448" s="12" t="n"/>
      <c r="J448" s="12" t="n"/>
      <c r="K448" s="12" t="n"/>
      <c r="L448" s="11" t="n"/>
      <c r="M448" s="11" t="n"/>
      <c r="N448" s="11" t="n"/>
      <c r="O448" s="11" t="n"/>
      <c r="P448" s="12" t="n"/>
      <c r="Q448" s="11" t="n"/>
      <c r="R448" s="12" t="n"/>
      <c r="S448" s="11" t="n"/>
      <c r="T448" s="12" t="n"/>
      <c r="U448" s="12" t="n"/>
      <c r="V448" s="14">
        <f>IF($AN448="",IF($B448="","",$H448),IF(INDEX(職員マスタ!$B$6:$B$405,$AN448)="",$H448,INDEX(職員マスタ!$B$6:$B$405,$AN448)))</f>
        <v/>
      </c>
      <c r="W448" s="14">
        <f>IF($AN448="",IF($B448="","",$R448),IF(INDEX(職員マスタ!$C$6:$C$405,$AN448)="",$R448,INDEX(職員マスタ!$C$6:$C$405,$AN448)))</f>
        <v/>
      </c>
      <c r="X448" s="14">
        <f>IF($AO448="","","R"&amp;$C448&amp;"."&amp;$D448)</f>
        <v/>
      </c>
      <c r="Y448" s="15">
        <f>IF($AN448="","",IF(INDEX(職員マスタ!$K$6:$K$405,$AN448)="","",INDEX(職員マスタ!$K$6:$K$405,$AN448)))</f>
        <v/>
      </c>
      <c r="Z448" s="14">
        <f>IF(OR($E448="",$Y448=""),"",IF($E448&gt;=$Y448,"×",IF($E448&gt;=$Y448*設定!$C$5,"△","○")))</f>
        <v/>
      </c>
      <c r="AA448" s="15">
        <f>IF($Z448="","",IF($Z448="×",0,IF($Z448="○",ROUNDDOWN($E448*設定!$C$4,0),ROUNDDOWN($E448*ROUND((9*$Y448-9*$E448)/(10*$E448),4),0))))</f>
        <v/>
      </c>
      <c r="AB448" s="13" t="n"/>
      <c r="AC448" s="15">
        <f>IF($B448="","",IF($AB448&lt;&gt;"",$AB448,IF($AA448="","",IF($AA448&lt;=設定!$C$3,0,$AA448))))</f>
        <v/>
      </c>
      <c r="AD448" s="14">
        <f>IF($B448="","",IF(AND($AE448&lt;&gt;"",$AG448="",$AJ448=""),"保留中",IF($AJ448&lt;&gt;"",IF(N($AC448)&gt;0,"支給済","不支給"),IF($AC448="","要確認",IF($AC448=0,"不支給","未処理")))))</f>
        <v/>
      </c>
      <c r="AE448" s="12" t="n"/>
      <c r="AF448" s="11" t="n"/>
      <c r="AG448" s="11" t="n"/>
      <c r="AH448" s="11" t="n"/>
      <c r="AI448" s="14">
        <f>IF(AND($AD448="保留中",$AF448&lt;&gt;""),TODAY()-$AF448,"")</f>
        <v/>
      </c>
      <c r="AJ448" s="12" t="inlineStr">
        <is>
          <t>R8.3</t>
        </is>
      </c>
      <c r="AK448" s="14">
        <f>IF($B448="","",IF($AO448="","対象年月が未入力／","")&amp;IF($B448="","",IF($AN448="","職員マスタに未登録の職員番号／",IF($Y448="","標準報酬月額が未登録／","")&amp;IF(AND($AO448&lt;&gt;"",OR(AND(INDEX(職員マスタ!$G$6:$G$405,$AN448)&lt;&gt;"",INDEX(職員マスタ!$G$6:$G$405,$AN448)&gt;EOMONTH($AO448,0)),AND(INDEX(職員マスタ!$H$6:$H$405,$AN448)&lt;&gt;"",INDEX(職員マスタ!$H$6:$H$405,$AN448)&lt;$AO448))),"対象月が時短期間外／","")&amp;IF(AND(INDEX(職員マスタ!$F$6:$F$405,$AN448)&lt;&gt;"",$AO448&lt;&gt;"",INDEX(職員マスタ!$F$6:$F$405,$AN448)&lt;$AO448),"対象月に子が2歳到達済／","")&amp;IF(AND($H448&lt;&gt;"",INDEX(職員マスタ!$B$6:$B$405,$AN448)&lt;&gt;"",SUBSTITUTE(SUBSTITUTE($H448," ","")," ","")&lt;&gt;SUBSTITUTE(SUBSTITUTE(INDEX(職員マスタ!$B$6:$B$405,$AN448)," ","")," ","")),"氏名がマスタと相違／","")&amp;IF(AND($Q448&lt;&gt;"",INDEX(職員マスタ!$E$6:$E$405,$AN448)&lt;&gt;"",$Q448&lt;&gt;INDEX(職員マスタ!$E$6:$E$405,$AN448)),"子の生年月日がマスタと相違／","")&amp;IF(AND($L448&lt;&gt;"",INDEX(職員マスタ!$G$6:$G$405,$AN448)&lt;&gt;"",$L448&lt;&gt;INDEX(職員マスタ!$G$6:$G$405,$AN448)),"時短開始日がマスタと相違／","")&amp;IF(AND($M448&lt;&gt;"",INDEX(職員マスタ!$H$6:$H$405,$AN448)&lt;&gt;"",$M448&lt;&gt;INDEX(職員マスタ!$H$6:$H$405,$AN448)),"時短終了日がマスタと相違／","")))&amp;IF(AND($B448&lt;&gt;"",$E448=""),"報酬額が未入力／","")&amp;IF(N($U448)&gt;0,"申請書に入力エラーが残っています／","")&amp;IF(AND($B448&lt;&gt;"",$AO448&lt;&gt;""),IF(COUNTIFS($B$6:$B$3005,$B448,$C$6:$C$3005,$C448,$D$6:$D$3005,$D448)&gt;1,"同じ月の請求が重複しています／",""),"")&amp;IF(AND(N($E448)&gt;0,$Z448&lt;&gt;"",$Z448&lt;&gt;"×",$AC448=0,$AB448=""),"計算額が下限以下のため不支給／",""))</f>
        <v/>
      </c>
      <c r="AL448" s="12" t="n"/>
      <c r="AM448" s="14">
        <f>IF($AD448="保留中",COUNTIF($AD$6:$AD448,"保留中"),"")</f>
        <v/>
      </c>
      <c r="AN448" s="14">
        <f>IF($AO448="","",IF(SUMPRODUCT(MAX((職員マスタ!$A$6:$A$405=$B448)*(((職員マスタ!$G$6:$G$405="")+(職員マスタ!$G$6:$G$405&lt;=EOMONTH($AO448,0)))&gt;0)*(((職員マスタ!$H$6:$H$405="")+(職員マスタ!$H$6:$H$405&gt;=$AO448))&gt;0)*(ROW(職員マスタ!$A$6:$A$405)-5)))&gt;0,SUMPRODUCT(MAX((職員マスタ!$A$6:$A$405=$B448)*(((職員マスタ!$G$6:$G$405="")+(職員マスタ!$G$6:$G$405&lt;=EOMONTH($AO448,0)))&gt;0)*(((職員マスタ!$H$6:$H$405="")+(職員マスタ!$H$6:$H$405&gt;=$AO448))&gt;0)*(ROW(職員マスタ!$A$6:$A$405)-5))),IFERROR(MATCH($B448,職員マスタ!$A$6:$A$405,0),"")))</f>
        <v/>
      </c>
      <c r="AO448" s="16">
        <f>IF(OR($B448="",$C448="",$D448=""),"",DATE($C448+2018,$D448,1))</f>
        <v/>
      </c>
    </row>
    <row r="449">
      <c r="A449" s="11" t="n"/>
      <c r="B449" s="12" t="n">
        <v>7101892</v>
      </c>
      <c r="C449" s="12" t="n">
        <v>8</v>
      </c>
      <c r="D449" s="12" t="n">
        <v>2</v>
      </c>
      <c r="E449" s="13" t="n">
        <v>202195</v>
      </c>
      <c r="F449" s="12" t="n"/>
      <c r="G449" s="13" t="n"/>
      <c r="H449" s="12" t="n"/>
      <c r="I449" s="12" t="n"/>
      <c r="J449" s="12" t="n"/>
      <c r="K449" s="12" t="n"/>
      <c r="L449" s="11" t="n"/>
      <c r="M449" s="11" t="n"/>
      <c r="N449" s="11" t="n"/>
      <c r="O449" s="11" t="n"/>
      <c r="P449" s="12" t="n"/>
      <c r="Q449" s="11" t="n"/>
      <c r="R449" s="12" t="n"/>
      <c r="S449" s="11" t="n"/>
      <c r="T449" s="12" t="n"/>
      <c r="U449" s="12" t="n"/>
      <c r="V449" s="14">
        <f>IF($AN449="",IF($B449="","",$H449),IF(INDEX(職員マスタ!$B$6:$B$405,$AN449)="",$H449,INDEX(職員マスタ!$B$6:$B$405,$AN449)))</f>
        <v/>
      </c>
      <c r="W449" s="14">
        <f>IF($AN449="",IF($B449="","",$R449),IF(INDEX(職員マスタ!$C$6:$C$405,$AN449)="",$R449,INDEX(職員マスタ!$C$6:$C$405,$AN449)))</f>
        <v/>
      </c>
      <c r="X449" s="14">
        <f>IF($AO449="","","R"&amp;$C449&amp;"."&amp;$D449)</f>
        <v/>
      </c>
      <c r="Y449" s="15">
        <f>IF($AN449="","",IF(INDEX(職員マスタ!$K$6:$K$405,$AN449)="","",INDEX(職員マスタ!$K$6:$K$405,$AN449)))</f>
        <v/>
      </c>
      <c r="Z449" s="14">
        <f>IF(OR($E449="",$Y449=""),"",IF($E449&gt;=$Y449,"×",IF($E449&gt;=$Y449*設定!$C$5,"△","○")))</f>
        <v/>
      </c>
      <c r="AA449" s="15">
        <f>IF($Z449="","",IF($Z449="×",0,IF($Z449="○",ROUNDDOWN($E449*設定!$C$4,0),ROUNDDOWN($E449*ROUND((9*$Y449-9*$E449)/(10*$E449),4),0))))</f>
        <v/>
      </c>
      <c r="AB449" s="13" t="n"/>
      <c r="AC449" s="15">
        <f>IF($B449="","",IF($AB449&lt;&gt;"",$AB449,IF($AA449="","",IF($AA449&lt;=設定!$C$3,0,$AA449))))</f>
        <v/>
      </c>
      <c r="AD449" s="14">
        <f>IF($B449="","",IF(AND($AE449&lt;&gt;"",$AG449="",$AJ449=""),"保留中",IF($AJ449&lt;&gt;"",IF(N($AC449)&gt;0,"支給済","不支給"),IF($AC449="","要確認",IF($AC449=0,"不支給","未処理")))))</f>
        <v/>
      </c>
      <c r="AE449" s="12" t="n"/>
      <c r="AF449" s="11" t="n"/>
      <c r="AG449" s="11" t="n"/>
      <c r="AH449" s="11" t="n"/>
      <c r="AI449" s="14">
        <f>IF(AND($AD449="保留中",$AF449&lt;&gt;""),TODAY()-$AF449,"")</f>
        <v/>
      </c>
      <c r="AJ449" s="12" t="inlineStr">
        <is>
          <t>R8.4</t>
        </is>
      </c>
      <c r="AK449" s="14">
        <f>IF($B449="","",IF($AO449="","対象年月が未入力／","")&amp;IF($B449="","",IF($AN449="","職員マスタに未登録の職員番号／",IF($Y449="","標準報酬月額が未登録／","")&amp;IF(AND($AO449&lt;&gt;"",OR(AND(INDEX(職員マスタ!$G$6:$G$405,$AN449)&lt;&gt;"",INDEX(職員マスタ!$G$6:$G$405,$AN449)&gt;EOMONTH($AO449,0)),AND(INDEX(職員マスタ!$H$6:$H$405,$AN449)&lt;&gt;"",INDEX(職員マスタ!$H$6:$H$405,$AN449)&lt;$AO449))),"対象月が時短期間外／","")&amp;IF(AND(INDEX(職員マスタ!$F$6:$F$405,$AN449)&lt;&gt;"",$AO449&lt;&gt;"",INDEX(職員マスタ!$F$6:$F$405,$AN449)&lt;$AO449),"対象月に子が2歳到達済／","")&amp;IF(AND($H449&lt;&gt;"",INDEX(職員マスタ!$B$6:$B$405,$AN449)&lt;&gt;"",SUBSTITUTE(SUBSTITUTE($H449," ","")," ","")&lt;&gt;SUBSTITUTE(SUBSTITUTE(INDEX(職員マスタ!$B$6:$B$405,$AN449)," ","")," ","")),"氏名がマスタと相違／","")&amp;IF(AND($Q449&lt;&gt;"",INDEX(職員マスタ!$E$6:$E$405,$AN449)&lt;&gt;"",$Q449&lt;&gt;INDEX(職員マスタ!$E$6:$E$405,$AN449)),"子の生年月日がマスタと相違／","")&amp;IF(AND($L449&lt;&gt;"",INDEX(職員マスタ!$G$6:$G$405,$AN449)&lt;&gt;"",$L449&lt;&gt;INDEX(職員マスタ!$G$6:$G$405,$AN449)),"時短開始日がマスタと相違／","")&amp;IF(AND($M449&lt;&gt;"",INDEX(職員マスタ!$H$6:$H$405,$AN449)&lt;&gt;"",$M449&lt;&gt;INDEX(職員マスタ!$H$6:$H$405,$AN449)),"時短終了日がマスタと相違／","")))&amp;IF(AND($B449&lt;&gt;"",$E449=""),"報酬額が未入力／","")&amp;IF(N($U449)&gt;0,"申請書に入力エラーが残っています／","")&amp;IF(AND($B449&lt;&gt;"",$AO449&lt;&gt;""),IF(COUNTIFS($B$6:$B$3005,$B449,$C$6:$C$3005,$C449,$D$6:$D$3005,$D449)&gt;1,"同じ月の請求が重複しています／",""),"")&amp;IF(AND(N($E449)&gt;0,$Z449&lt;&gt;"",$Z449&lt;&gt;"×",$AC449=0,$AB449=""),"計算額が下限以下のため不支給／",""))</f>
        <v/>
      </c>
      <c r="AL449" s="12" t="n"/>
      <c r="AM449" s="14">
        <f>IF($AD449="保留中",COUNTIF($AD$6:$AD449,"保留中"),"")</f>
        <v/>
      </c>
      <c r="AN449" s="14">
        <f>IF($AO449="","",IF(SUMPRODUCT(MAX((職員マスタ!$A$6:$A$405=$B449)*(((職員マスタ!$G$6:$G$405="")+(職員マスタ!$G$6:$G$405&lt;=EOMONTH($AO449,0)))&gt;0)*(((職員マスタ!$H$6:$H$405="")+(職員マスタ!$H$6:$H$405&gt;=$AO449))&gt;0)*(ROW(職員マスタ!$A$6:$A$405)-5)))&gt;0,SUMPRODUCT(MAX((職員マスタ!$A$6:$A$405=$B449)*(((職員マスタ!$G$6:$G$405="")+(職員マスタ!$G$6:$G$405&lt;=EOMONTH($AO449,0)))&gt;0)*(((職員マスタ!$H$6:$H$405="")+(職員マスタ!$H$6:$H$405&gt;=$AO449))&gt;0)*(ROW(職員マスタ!$A$6:$A$405)-5))),IFERROR(MATCH($B449,職員マスタ!$A$6:$A$405,0),"")))</f>
        <v/>
      </c>
      <c r="AO449" s="16">
        <f>IF(OR($B449="",$C449="",$D449=""),"",DATE($C449+2018,$D449,1))</f>
        <v/>
      </c>
    </row>
    <row r="450">
      <c r="A450" s="11" t="n"/>
      <c r="B450" s="12" t="n">
        <v>7101892</v>
      </c>
      <c r="C450" s="12" t="n">
        <v>8</v>
      </c>
      <c r="D450" s="12" t="n">
        <v>3</v>
      </c>
      <c r="E450" s="13" t="n">
        <v>202195</v>
      </c>
      <c r="F450" s="12" t="n"/>
      <c r="G450" s="13" t="n"/>
      <c r="H450" s="12" t="n"/>
      <c r="I450" s="12" t="n"/>
      <c r="J450" s="12" t="n"/>
      <c r="K450" s="12" t="n"/>
      <c r="L450" s="11" t="n"/>
      <c r="M450" s="11" t="n"/>
      <c r="N450" s="11" t="n"/>
      <c r="O450" s="11" t="n"/>
      <c r="P450" s="12" t="n"/>
      <c r="Q450" s="11" t="n"/>
      <c r="R450" s="12" t="n"/>
      <c r="S450" s="11" t="n"/>
      <c r="T450" s="12" t="n"/>
      <c r="U450" s="12" t="n"/>
      <c r="V450" s="14">
        <f>IF($AN450="",IF($B450="","",$H450),IF(INDEX(職員マスタ!$B$6:$B$405,$AN450)="",$H450,INDEX(職員マスタ!$B$6:$B$405,$AN450)))</f>
        <v/>
      </c>
      <c r="W450" s="14">
        <f>IF($AN450="",IF($B450="","",$R450),IF(INDEX(職員マスタ!$C$6:$C$405,$AN450)="",$R450,INDEX(職員マスタ!$C$6:$C$405,$AN450)))</f>
        <v/>
      </c>
      <c r="X450" s="14">
        <f>IF($AO450="","","R"&amp;$C450&amp;"."&amp;$D450)</f>
        <v/>
      </c>
      <c r="Y450" s="15">
        <f>IF($AN450="","",IF(INDEX(職員マスタ!$K$6:$K$405,$AN450)="","",INDEX(職員マスタ!$K$6:$K$405,$AN450)))</f>
        <v/>
      </c>
      <c r="Z450" s="14">
        <f>IF(OR($E450="",$Y450=""),"",IF($E450&gt;=$Y450,"×",IF($E450&gt;=$Y450*設定!$C$5,"△","○")))</f>
        <v/>
      </c>
      <c r="AA450" s="15">
        <f>IF($Z450="","",IF($Z450="×",0,IF($Z450="○",ROUNDDOWN($E450*設定!$C$4,0),ROUNDDOWN($E450*ROUND((9*$Y450-9*$E450)/(10*$E450),4),0))))</f>
        <v/>
      </c>
      <c r="AB450" s="13" t="n"/>
      <c r="AC450" s="15">
        <f>IF($B450="","",IF($AB450&lt;&gt;"",$AB450,IF($AA450="","",IF($AA450&lt;=設定!$C$3,0,$AA450))))</f>
        <v/>
      </c>
      <c r="AD450" s="14">
        <f>IF($B450="","",IF(AND($AE450&lt;&gt;"",$AG450="",$AJ450=""),"保留中",IF($AJ450&lt;&gt;"",IF(N($AC450)&gt;0,"支給済","不支給"),IF($AC450="","要確認",IF($AC450=0,"不支給","未処理")))))</f>
        <v/>
      </c>
      <c r="AE450" s="12" t="n"/>
      <c r="AF450" s="11" t="n"/>
      <c r="AG450" s="11" t="n"/>
      <c r="AH450" s="11" t="n"/>
      <c r="AI450" s="14">
        <f>IF(AND($AD450="保留中",$AF450&lt;&gt;""),TODAY()-$AF450,"")</f>
        <v/>
      </c>
      <c r="AJ450" s="12" t="inlineStr">
        <is>
          <t>R8.10</t>
        </is>
      </c>
      <c r="AK450" s="14">
        <f>IF($B450="","",IF($AO450="","対象年月が未入力／","")&amp;IF($B450="","",IF($AN450="","職員マスタに未登録の職員番号／",IF($Y450="","標準報酬月額が未登録／","")&amp;IF(AND($AO450&lt;&gt;"",OR(AND(INDEX(職員マスタ!$G$6:$G$405,$AN450)&lt;&gt;"",INDEX(職員マスタ!$G$6:$G$405,$AN450)&gt;EOMONTH($AO450,0)),AND(INDEX(職員マスタ!$H$6:$H$405,$AN450)&lt;&gt;"",INDEX(職員マスタ!$H$6:$H$405,$AN450)&lt;$AO450))),"対象月が時短期間外／","")&amp;IF(AND(INDEX(職員マスタ!$F$6:$F$405,$AN450)&lt;&gt;"",$AO450&lt;&gt;"",INDEX(職員マスタ!$F$6:$F$405,$AN450)&lt;$AO450),"対象月に子が2歳到達済／","")&amp;IF(AND($H450&lt;&gt;"",INDEX(職員マスタ!$B$6:$B$405,$AN450)&lt;&gt;"",SUBSTITUTE(SUBSTITUTE($H450," ","")," ","")&lt;&gt;SUBSTITUTE(SUBSTITUTE(INDEX(職員マスタ!$B$6:$B$405,$AN450)," ","")," ","")),"氏名がマスタと相違／","")&amp;IF(AND($Q450&lt;&gt;"",INDEX(職員マスタ!$E$6:$E$405,$AN450)&lt;&gt;"",$Q450&lt;&gt;INDEX(職員マスタ!$E$6:$E$405,$AN450)),"子の生年月日がマスタと相違／","")&amp;IF(AND($L450&lt;&gt;"",INDEX(職員マスタ!$G$6:$G$405,$AN450)&lt;&gt;"",$L450&lt;&gt;INDEX(職員マスタ!$G$6:$G$405,$AN450)),"時短開始日がマスタと相違／","")&amp;IF(AND($M450&lt;&gt;"",INDEX(職員マスタ!$H$6:$H$405,$AN450)&lt;&gt;"",$M450&lt;&gt;INDEX(職員マスタ!$H$6:$H$405,$AN450)),"時短終了日がマスタと相違／","")))&amp;IF(AND($B450&lt;&gt;"",$E450=""),"報酬額が未入力／","")&amp;IF(N($U450)&gt;0,"申請書に入力エラーが残っています／","")&amp;IF(AND($B450&lt;&gt;"",$AO450&lt;&gt;""),IF(COUNTIFS($B$6:$B$3005,$B450,$C$6:$C$3005,$C450,$D$6:$D$3005,$D450)&gt;1,"同じ月の請求が重複しています／",""),"")&amp;IF(AND(N($E450)&gt;0,$Z450&lt;&gt;"",$Z450&lt;&gt;"×",$AC450=0,$AB450=""),"計算額が下限以下のため不支給／",""))</f>
        <v/>
      </c>
      <c r="AL450" s="12" t="n"/>
      <c r="AM450" s="14">
        <f>IF($AD450="保留中",COUNTIF($AD$6:$AD450,"保留中"),"")</f>
        <v/>
      </c>
      <c r="AN450" s="14">
        <f>IF($AO450="","",IF(SUMPRODUCT(MAX((職員マスタ!$A$6:$A$405=$B450)*(((職員マスタ!$G$6:$G$405="")+(職員マスタ!$G$6:$G$405&lt;=EOMONTH($AO450,0)))&gt;0)*(((職員マスタ!$H$6:$H$405="")+(職員マスタ!$H$6:$H$405&gt;=$AO450))&gt;0)*(ROW(職員マスタ!$A$6:$A$405)-5)))&gt;0,SUMPRODUCT(MAX((職員マスタ!$A$6:$A$405=$B450)*(((職員マスタ!$G$6:$G$405="")+(職員マスタ!$G$6:$G$405&lt;=EOMONTH($AO450,0)))&gt;0)*(((職員マスタ!$H$6:$H$405="")+(職員マスタ!$H$6:$H$405&gt;=$AO450))&gt;0)*(ROW(職員マスタ!$A$6:$A$405)-5))),IFERROR(MATCH($B450,職員マスタ!$A$6:$A$405,0),"")))</f>
        <v/>
      </c>
      <c r="AO450" s="16">
        <f>IF(OR($B450="",$C450="",$D450=""),"",DATE($C450+2018,$D450,1))</f>
        <v/>
      </c>
    </row>
    <row r="451">
      <c r="A451" s="11" t="n"/>
      <c r="B451" s="12" t="n">
        <v>7101983</v>
      </c>
      <c r="C451" s="12" t="n">
        <v>8</v>
      </c>
      <c r="D451" s="12" t="n">
        <v>4</v>
      </c>
      <c r="E451" s="13" t="n">
        <v>182676</v>
      </c>
      <c r="F451" s="12" t="n"/>
      <c r="G451" s="13" t="n"/>
      <c r="H451" s="12" t="n"/>
      <c r="I451" s="12" t="n"/>
      <c r="J451" s="12" t="n"/>
      <c r="K451" s="12" t="n"/>
      <c r="L451" s="11" t="n"/>
      <c r="M451" s="11" t="n"/>
      <c r="N451" s="11" t="n"/>
      <c r="O451" s="11" t="n"/>
      <c r="P451" s="12" t="n"/>
      <c r="Q451" s="11" t="n"/>
      <c r="R451" s="12" t="n"/>
      <c r="S451" s="11" t="n"/>
      <c r="T451" s="12" t="n"/>
      <c r="U451" s="12" t="n"/>
      <c r="V451" s="14">
        <f>IF($AN451="",IF($B451="","",$H451),IF(INDEX(職員マスタ!$B$6:$B$405,$AN451)="",$H451,INDEX(職員マスタ!$B$6:$B$405,$AN451)))</f>
        <v/>
      </c>
      <c r="W451" s="14">
        <f>IF($AN451="",IF($B451="","",$R451),IF(INDEX(職員マスタ!$C$6:$C$405,$AN451)="",$R451,INDEX(職員マスタ!$C$6:$C$405,$AN451)))</f>
        <v/>
      </c>
      <c r="X451" s="14">
        <f>IF($AO451="","","R"&amp;$C451&amp;"."&amp;$D451)</f>
        <v/>
      </c>
      <c r="Y451" s="15">
        <f>IF($AN451="","",IF(INDEX(職員マスタ!$K$6:$K$405,$AN451)="","",INDEX(職員マスタ!$K$6:$K$405,$AN451)))</f>
        <v/>
      </c>
      <c r="Z451" s="14">
        <f>IF(OR($E451="",$Y451=""),"",IF($E451&gt;=$Y451,"×",IF($E451&gt;=$Y451*設定!$C$5,"△","○")))</f>
        <v/>
      </c>
      <c r="AA451" s="15">
        <f>IF($Z451="","",IF($Z451="×",0,IF($Z451="○",ROUNDDOWN($E451*設定!$C$4,0),ROUNDDOWN($E451*ROUND((9*$Y451-9*$E451)/(10*$E451),4),0))))</f>
        <v/>
      </c>
      <c r="AB451" s="13" t="n"/>
      <c r="AC451" s="15">
        <f>IF($B451="","",IF($AB451&lt;&gt;"",$AB451,IF($AA451="","",IF($AA451&lt;=設定!$C$3,0,$AA451))))</f>
        <v/>
      </c>
      <c r="AD451" s="14">
        <f>IF($B451="","",IF(AND($AE451&lt;&gt;"",$AG451="",$AJ451=""),"保留中",IF($AJ451&lt;&gt;"",IF(N($AC451)&gt;0,"支給済","不支給"),IF($AC451="","要確認",IF($AC451=0,"不支給","未処理")))))</f>
        <v/>
      </c>
      <c r="AE451" s="12" t="n"/>
      <c r="AF451" s="11" t="n"/>
      <c r="AG451" s="11" t="n"/>
      <c r="AH451" s="11" t="n"/>
      <c r="AI451" s="14">
        <f>IF(AND($AD451="保留中",$AF451&lt;&gt;""),TODAY()-$AF451,"")</f>
        <v/>
      </c>
      <c r="AJ451" s="12" t="inlineStr">
        <is>
          <t>R8.10</t>
        </is>
      </c>
      <c r="AK451" s="14">
        <f>IF($B451="","",IF($AO451="","対象年月が未入力／","")&amp;IF($B451="","",IF($AN451="","職員マスタに未登録の職員番号／",IF($Y451="","標準報酬月額が未登録／","")&amp;IF(AND($AO451&lt;&gt;"",OR(AND(INDEX(職員マスタ!$G$6:$G$405,$AN451)&lt;&gt;"",INDEX(職員マスタ!$G$6:$G$405,$AN451)&gt;EOMONTH($AO451,0)),AND(INDEX(職員マスタ!$H$6:$H$405,$AN451)&lt;&gt;"",INDEX(職員マスタ!$H$6:$H$405,$AN451)&lt;$AO451))),"対象月が時短期間外／","")&amp;IF(AND(INDEX(職員マスタ!$F$6:$F$405,$AN451)&lt;&gt;"",$AO451&lt;&gt;"",INDEX(職員マスタ!$F$6:$F$405,$AN451)&lt;$AO451),"対象月に子が2歳到達済／","")&amp;IF(AND($H451&lt;&gt;"",INDEX(職員マスタ!$B$6:$B$405,$AN451)&lt;&gt;"",SUBSTITUTE(SUBSTITUTE($H451," ","")," ","")&lt;&gt;SUBSTITUTE(SUBSTITUTE(INDEX(職員マスタ!$B$6:$B$405,$AN451)," ","")," ","")),"氏名がマスタと相違／","")&amp;IF(AND($Q451&lt;&gt;"",INDEX(職員マスタ!$E$6:$E$405,$AN451)&lt;&gt;"",$Q451&lt;&gt;INDEX(職員マスタ!$E$6:$E$405,$AN451)),"子の生年月日がマスタと相違／","")&amp;IF(AND($L451&lt;&gt;"",INDEX(職員マスタ!$G$6:$G$405,$AN451)&lt;&gt;"",$L451&lt;&gt;INDEX(職員マスタ!$G$6:$G$405,$AN451)),"時短開始日がマスタと相違／","")&amp;IF(AND($M451&lt;&gt;"",INDEX(職員マスタ!$H$6:$H$405,$AN451)&lt;&gt;"",$M451&lt;&gt;INDEX(職員マスタ!$H$6:$H$405,$AN451)),"時短終了日がマスタと相違／","")))&amp;IF(AND($B451&lt;&gt;"",$E451=""),"報酬額が未入力／","")&amp;IF(N($U451)&gt;0,"申請書に入力エラーが残っています／","")&amp;IF(AND($B451&lt;&gt;"",$AO451&lt;&gt;""),IF(COUNTIFS($B$6:$B$3005,$B451,$C$6:$C$3005,$C451,$D$6:$D$3005,$D451)&gt;1,"同じ月の請求が重複しています／",""),"")&amp;IF(AND(N($E451)&gt;0,$Z451&lt;&gt;"",$Z451&lt;&gt;"×",$AC451=0,$AB451=""),"計算額が下限以下のため不支給／",""))</f>
        <v/>
      </c>
      <c r="AL451" s="12" t="n"/>
      <c r="AM451" s="14">
        <f>IF($AD451="保留中",COUNTIF($AD$6:$AD451,"保留中"),"")</f>
        <v/>
      </c>
      <c r="AN451" s="14">
        <f>IF($AO451="","",IF(SUMPRODUCT(MAX((職員マスタ!$A$6:$A$405=$B451)*(((職員マスタ!$G$6:$G$405="")+(職員マスタ!$G$6:$G$405&lt;=EOMONTH($AO451,0)))&gt;0)*(((職員マスタ!$H$6:$H$405="")+(職員マスタ!$H$6:$H$405&gt;=$AO451))&gt;0)*(ROW(職員マスタ!$A$6:$A$405)-5)))&gt;0,SUMPRODUCT(MAX((職員マスタ!$A$6:$A$405=$B451)*(((職員マスタ!$G$6:$G$405="")+(職員マスタ!$G$6:$G$405&lt;=EOMONTH($AO451,0)))&gt;0)*(((職員マスタ!$H$6:$H$405="")+(職員マスタ!$H$6:$H$405&gt;=$AO451))&gt;0)*(ROW(職員マスタ!$A$6:$A$405)-5))),IFERROR(MATCH($B451,職員マスタ!$A$6:$A$405,0),"")))</f>
        <v/>
      </c>
      <c r="AO451" s="16">
        <f>IF(OR($B451="",$C451="",$D451=""),"",DATE($C451+2018,$D451,1))</f>
        <v/>
      </c>
    </row>
    <row r="452">
      <c r="A452" s="11" t="n"/>
      <c r="B452" s="12" t="n">
        <v>7101983</v>
      </c>
      <c r="C452" s="12" t="n">
        <v>8</v>
      </c>
      <c r="D452" s="12" t="n">
        <v>5</v>
      </c>
      <c r="E452" s="13" t="n">
        <v>190184</v>
      </c>
      <c r="F452" s="12" t="n"/>
      <c r="G452" s="13" t="n"/>
      <c r="H452" s="12" t="n"/>
      <c r="I452" s="12" t="n"/>
      <c r="J452" s="12" t="n"/>
      <c r="K452" s="12" t="n"/>
      <c r="L452" s="11" t="n"/>
      <c r="M452" s="11" t="n"/>
      <c r="N452" s="11" t="n"/>
      <c r="O452" s="11" t="n"/>
      <c r="P452" s="12" t="n"/>
      <c r="Q452" s="11" t="n"/>
      <c r="R452" s="12" t="n"/>
      <c r="S452" s="11" t="n"/>
      <c r="T452" s="12" t="n"/>
      <c r="U452" s="12" t="n"/>
      <c r="V452" s="14">
        <f>IF($AN452="",IF($B452="","",$H452),IF(INDEX(職員マスタ!$B$6:$B$405,$AN452)="",$H452,INDEX(職員マスタ!$B$6:$B$405,$AN452)))</f>
        <v/>
      </c>
      <c r="W452" s="14">
        <f>IF($AN452="",IF($B452="","",$R452),IF(INDEX(職員マスタ!$C$6:$C$405,$AN452)="",$R452,INDEX(職員マスタ!$C$6:$C$405,$AN452)))</f>
        <v/>
      </c>
      <c r="X452" s="14">
        <f>IF($AO452="","","R"&amp;$C452&amp;"."&amp;$D452)</f>
        <v/>
      </c>
      <c r="Y452" s="15">
        <f>IF($AN452="","",IF(INDEX(職員マスタ!$K$6:$K$405,$AN452)="","",INDEX(職員マスタ!$K$6:$K$405,$AN452)))</f>
        <v/>
      </c>
      <c r="Z452" s="14">
        <f>IF(OR($E452="",$Y452=""),"",IF($E452&gt;=$Y452,"×",IF($E452&gt;=$Y452*設定!$C$5,"△","○")))</f>
        <v/>
      </c>
      <c r="AA452" s="15">
        <f>IF($Z452="","",IF($Z452="×",0,IF($Z452="○",ROUNDDOWN($E452*設定!$C$4,0),ROUNDDOWN($E452*ROUND((9*$Y452-9*$E452)/(10*$E452),4),0))))</f>
        <v/>
      </c>
      <c r="AB452" s="13" t="n"/>
      <c r="AC452" s="15">
        <f>IF($B452="","",IF($AB452&lt;&gt;"",$AB452,IF($AA452="","",IF($AA452&lt;=設定!$C$3,0,$AA452))))</f>
        <v/>
      </c>
      <c r="AD452" s="14">
        <f>IF($B452="","",IF(AND($AE452&lt;&gt;"",$AG452="",$AJ452=""),"保留中",IF($AJ452&lt;&gt;"",IF(N($AC452)&gt;0,"支給済","不支給"),IF($AC452="","要確認",IF($AC452=0,"不支給","未処理")))))</f>
        <v/>
      </c>
      <c r="AE452" s="12" t="n"/>
      <c r="AF452" s="11" t="n"/>
      <c r="AG452" s="11" t="n"/>
      <c r="AH452" s="11" t="n"/>
      <c r="AI452" s="14">
        <f>IF(AND($AD452="保留中",$AF452&lt;&gt;""),TODAY()-$AF452,"")</f>
        <v/>
      </c>
      <c r="AJ452" s="12" t="inlineStr">
        <is>
          <t>R8.10</t>
        </is>
      </c>
      <c r="AK452" s="14">
        <f>IF($B452="","",IF($AO452="","対象年月が未入力／","")&amp;IF($B452="","",IF($AN452="","職員マスタに未登録の職員番号／",IF($Y452="","標準報酬月額が未登録／","")&amp;IF(AND($AO452&lt;&gt;"",OR(AND(INDEX(職員マスタ!$G$6:$G$405,$AN452)&lt;&gt;"",INDEX(職員マスタ!$G$6:$G$405,$AN452)&gt;EOMONTH($AO452,0)),AND(INDEX(職員マスタ!$H$6:$H$405,$AN452)&lt;&gt;"",INDEX(職員マスタ!$H$6:$H$405,$AN452)&lt;$AO452))),"対象月が時短期間外／","")&amp;IF(AND(INDEX(職員マスタ!$F$6:$F$405,$AN452)&lt;&gt;"",$AO452&lt;&gt;"",INDEX(職員マスタ!$F$6:$F$405,$AN452)&lt;$AO452),"対象月に子が2歳到達済／","")&amp;IF(AND($H452&lt;&gt;"",INDEX(職員マスタ!$B$6:$B$405,$AN452)&lt;&gt;"",SUBSTITUTE(SUBSTITUTE($H452," ","")," ","")&lt;&gt;SUBSTITUTE(SUBSTITUTE(INDEX(職員マスタ!$B$6:$B$405,$AN452)," ","")," ","")),"氏名がマスタと相違／","")&amp;IF(AND($Q452&lt;&gt;"",INDEX(職員マスタ!$E$6:$E$405,$AN452)&lt;&gt;"",$Q452&lt;&gt;INDEX(職員マスタ!$E$6:$E$405,$AN452)),"子の生年月日がマスタと相違／","")&amp;IF(AND($L452&lt;&gt;"",INDEX(職員マスタ!$G$6:$G$405,$AN452)&lt;&gt;"",$L452&lt;&gt;INDEX(職員マスタ!$G$6:$G$405,$AN452)),"時短開始日がマスタと相違／","")&amp;IF(AND($M452&lt;&gt;"",INDEX(職員マスタ!$H$6:$H$405,$AN452)&lt;&gt;"",$M452&lt;&gt;INDEX(職員マスタ!$H$6:$H$405,$AN452)),"時短終了日がマスタと相違／","")))&amp;IF(AND($B452&lt;&gt;"",$E452=""),"報酬額が未入力／","")&amp;IF(N($U452)&gt;0,"申請書に入力エラーが残っています／","")&amp;IF(AND($B452&lt;&gt;"",$AO452&lt;&gt;""),IF(COUNTIFS($B$6:$B$3005,$B452,$C$6:$C$3005,$C452,$D$6:$D$3005,$D452)&gt;1,"同じ月の請求が重複しています／",""),"")&amp;IF(AND(N($E452)&gt;0,$Z452&lt;&gt;"",$Z452&lt;&gt;"×",$AC452=0,$AB452=""),"計算額が下限以下のため不支給／",""))</f>
        <v/>
      </c>
      <c r="AL452" s="12" t="n"/>
      <c r="AM452" s="14">
        <f>IF($AD452="保留中",COUNTIF($AD$6:$AD452,"保留中"),"")</f>
        <v/>
      </c>
      <c r="AN452" s="14">
        <f>IF($AO452="","",IF(SUMPRODUCT(MAX((職員マスタ!$A$6:$A$405=$B452)*(((職員マスタ!$G$6:$G$405="")+(職員マスタ!$G$6:$G$405&lt;=EOMONTH($AO452,0)))&gt;0)*(((職員マスタ!$H$6:$H$405="")+(職員マスタ!$H$6:$H$405&gt;=$AO452))&gt;0)*(ROW(職員マスタ!$A$6:$A$405)-5)))&gt;0,SUMPRODUCT(MAX((職員マスタ!$A$6:$A$405=$B452)*(((職員マスタ!$G$6:$G$405="")+(職員マスタ!$G$6:$G$405&lt;=EOMONTH($AO452,0)))&gt;0)*(((職員マスタ!$H$6:$H$405="")+(職員マスタ!$H$6:$H$405&gt;=$AO452))&gt;0)*(ROW(職員マスタ!$A$6:$A$405)-5))),IFERROR(MATCH($B452,職員マスタ!$A$6:$A$405,0),"")))</f>
        <v/>
      </c>
      <c r="AO452" s="16">
        <f>IF(OR($B452="",$C452="",$D452=""),"",DATE($C452+2018,$D452,1))</f>
        <v/>
      </c>
    </row>
    <row r="453">
      <c r="A453" s="11" t="n"/>
      <c r="B453" s="12" t="n">
        <v>7101983</v>
      </c>
      <c r="C453" s="12" t="n">
        <v>8</v>
      </c>
      <c r="D453" s="12" t="n">
        <v>6</v>
      </c>
      <c r="E453" s="13" t="n">
        <v>186430</v>
      </c>
      <c r="F453" s="12" t="n"/>
      <c r="G453" s="13" t="n"/>
      <c r="H453" s="12" t="n"/>
      <c r="I453" s="12" t="n"/>
      <c r="J453" s="12" t="n"/>
      <c r="K453" s="12" t="n"/>
      <c r="L453" s="11" t="n"/>
      <c r="M453" s="11" t="n"/>
      <c r="N453" s="11" t="n"/>
      <c r="O453" s="11" t="n"/>
      <c r="P453" s="12" t="n"/>
      <c r="Q453" s="11" t="n"/>
      <c r="R453" s="12" t="n"/>
      <c r="S453" s="11" t="n"/>
      <c r="T453" s="12" t="n"/>
      <c r="U453" s="12" t="n"/>
      <c r="V453" s="14">
        <f>IF($AN453="",IF($B453="","",$H453),IF(INDEX(職員マスタ!$B$6:$B$405,$AN453)="",$H453,INDEX(職員マスタ!$B$6:$B$405,$AN453)))</f>
        <v/>
      </c>
      <c r="W453" s="14">
        <f>IF($AN453="",IF($B453="","",$R453),IF(INDEX(職員マスタ!$C$6:$C$405,$AN453)="",$R453,INDEX(職員マスタ!$C$6:$C$405,$AN453)))</f>
        <v/>
      </c>
      <c r="X453" s="14">
        <f>IF($AO453="","","R"&amp;$C453&amp;"."&amp;$D453)</f>
        <v/>
      </c>
      <c r="Y453" s="15">
        <f>IF($AN453="","",IF(INDEX(職員マスタ!$K$6:$K$405,$AN453)="","",INDEX(職員マスタ!$K$6:$K$405,$AN453)))</f>
        <v/>
      </c>
      <c r="Z453" s="14">
        <f>IF(OR($E453="",$Y453=""),"",IF($E453&gt;=$Y453,"×",IF($E453&gt;=$Y453*設定!$C$5,"△","○")))</f>
        <v/>
      </c>
      <c r="AA453" s="15">
        <f>IF($Z453="","",IF($Z453="×",0,IF($Z453="○",ROUNDDOWN($E453*設定!$C$4,0),ROUNDDOWN($E453*ROUND((9*$Y453-9*$E453)/(10*$E453),4),0))))</f>
        <v/>
      </c>
      <c r="AB453" s="13" t="n"/>
      <c r="AC453" s="15">
        <f>IF($B453="","",IF($AB453&lt;&gt;"",$AB453,IF($AA453="","",IF($AA453&lt;=設定!$C$3,0,$AA453))))</f>
        <v/>
      </c>
      <c r="AD453" s="14">
        <f>IF($B453="","",IF(AND($AE453&lt;&gt;"",$AG453="",$AJ453=""),"保留中",IF($AJ453&lt;&gt;"",IF(N($AC453)&gt;0,"支給済","不支給"),IF($AC453="","要確認",IF($AC453=0,"不支給","未処理")))))</f>
        <v/>
      </c>
      <c r="AE453" s="12" t="n"/>
      <c r="AF453" s="11" t="n"/>
      <c r="AG453" s="11" t="n"/>
      <c r="AH453" s="11" t="n"/>
      <c r="AI453" s="14">
        <f>IF(AND($AD453="保留中",$AF453&lt;&gt;""),TODAY()-$AF453,"")</f>
        <v/>
      </c>
      <c r="AJ453" s="12" t="inlineStr">
        <is>
          <t>R8.10</t>
        </is>
      </c>
      <c r="AK453" s="14">
        <f>IF($B453="","",IF($AO453="","対象年月が未入力／","")&amp;IF($B453="","",IF($AN453="","職員マスタに未登録の職員番号／",IF($Y453="","標準報酬月額が未登録／","")&amp;IF(AND($AO453&lt;&gt;"",OR(AND(INDEX(職員マスタ!$G$6:$G$405,$AN453)&lt;&gt;"",INDEX(職員マスタ!$G$6:$G$405,$AN453)&gt;EOMONTH($AO453,0)),AND(INDEX(職員マスタ!$H$6:$H$405,$AN453)&lt;&gt;"",INDEX(職員マスタ!$H$6:$H$405,$AN453)&lt;$AO453))),"対象月が時短期間外／","")&amp;IF(AND(INDEX(職員マスタ!$F$6:$F$405,$AN453)&lt;&gt;"",$AO453&lt;&gt;"",INDEX(職員マスタ!$F$6:$F$405,$AN453)&lt;$AO453),"対象月に子が2歳到達済／","")&amp;IF(AND($H453&lt;&gt;"",INDEX(職員マスタ!$B$6:$B$405,$AN453)&lt;&gt;"",SUBSTITUTE(SUBSTITUTE($H453," ","")," ","")&lt;&gt;SUBSTITUTE(SUBSTITUTE(INDEX(職員マスタ!$B$6:$B$405,$AN453)," ","")," ","")),"氏名がマスタと相違／","")&amp;IF(AND($Q453&lt;&gt;"",INDEX(職員マスタ!$E$6:$E$405,$AN453)&lt;&gt;"",$Q453&lt;&gt;INDEX(職員マスタ!$E$6:$E$405,$AN453)),"子の生年月日がマスタと相違／","")&amp;IF(AND($L453&lt;&gt;"",INDEX(職員マスタ!$G$6:$G$405,$AN453)&lt;&gt;"",$L453&lt;&gt;INDEX(職員マスタ!$G$6:$G$405,$AN453)),"時短開始日がマスタと相違／","")&amp;IF(AND($M453&lt;&gt;"",INDEX(職員マスタ!$H$6:$H$405,$AN453)&lt;&gt;"",$M453&lt;&gt;INDEX(職員マスタ!$H$6:$H$405,$AN453)),"時短終了日がマスタと相違／","")))&amp;IF(AND($B453&lt;&gt;"",$E453=""),"報酬額が未入力／","")&amp;IF(N($U453)&gt;0,"申請書に入力エラーが残っています／","")&amp;IF(AND($B453&lt;&gt;"",$AO453&lt;&gt;""),IF(COUNTIFS($B$6:$B$3005,$B453,$C$6:$C$3005,$C453,$D$6:$D$3005,$D453)&gt;1,"同じ月の請求が重複しています／",""),"")&amp;IF(AND(N($E453)&gt;0,$Z453&lt;&gt;"",$Z453&lt;&gt;"×",$AC453=0,$AB453=""),"計算額が下限以下のため不支給／",""))</f>
        <v/>
      </c>
      <c r="AL453" s="12" t="n"/>
      <c r="AM453" s="14">
        <f>IF($AD453="保留中",COUNTIF($AD$6:$AD453,"保留中"),"")</f>
        <v/>
      </c>
      <c r="AN453" s="14">
        <f>IF($AO453="","",IF(SUMPRODUCT(MAX((職員マスタ!$A$6:$A$405=$B453)*(((職員マスタ!$G$6:$G$405="")+(職員マスタ!$G$6:$G$405&lt;=EOMONTH($AO453,0)))&gt;0)*(((職員マスタ!$H$6:$H$405="")+(職員マスタ!$H$6:$H$405&gt;=$AO453))&gt;0)*(ROW(職員マスタ!$A$6:$A$405)-5)))&gt;0,SUMPRODUCT(MAX((職員マスタ!$A$6:$A$405=$B453)*(((職員マスタ!$G$6:$G$405="")+(職員マスタ!$G$6:$G$405&lt;=EOMONTH($AO453,0)))&gt;0)*(((職員マスタ!$H$6:$H$405="")+(職員マスタ!$H$6:$H$405&gt;=$AO453))&gt;0)*(ROW(職員マスタ!$A$6:$A$405)-5))),IFERROR(MATCH($B453,職員マスタ!$A$6:$A$405,0),"")))</f>
        <v/>
      </c>
      <c r="AO453" s="16">
        <f>IF(OR($B453="",$C453="",$D453=""),"",DATE($C453+2018,$D453,1))</f>
        <v/>
      </c>
    </row>
    <row r="454">
      <c r="A454" s="11" t="n"/>
      <c r="B454" s="12" t="n">
        <v>7101983</v>
      </c>
      <c r="C454" s="12" t="n">
        <v>8</v>
      </c>
      <c r="D454" s="12" t="n">
        <v>7</v>
      </c>
      <c r="E454" s="13" t="n">
        <v>186430</v>
      </c>
      <c r="F454" s="12" t="n"/>
      <c r="G454" s="13" t="n"/>
      <c r="H454" s="12" t="n"/>
      <c r="I454" s="12" t="n"/>
      <c r="J454" s="12" t="n"/>
      <c r="K454" s="12" t="n"/>
      <c r="L454" s="11" t="n"/>
      <c r="M454" s="11" t="n"/>
      <c r="N454" s="11" t="n"/>
      <c r="O454" s="11" t="n"/>
      <c r="P454" s="12" t="n"/>
      <c r="Q454" s="11" t="n"/>
      <c r="R454" s="12" t="n"/>
      <c r="S454" s="11" t="n"/>
      <c r="T454" s="12" t="n"/>
      <c r="U454" s="12" t="n"/>
      <c r="V454" s="14">
        <f>IF($AN454="",IF($B454="","",$H454),IF(INDEX(職員マスタ!$B$6:$B$405,$AN454)="",$H454,INDEX(職員マスタ!$B$6:$B$405,$AN454)))</f>
        <v/>
      </c>
      <c r="W454" s="14">
        <f>IF($AN454="",IF($B454="","",$R454),IF(INDEX(職員マスタ!$C$6:$C$405,$AN454)="",$R454,INDEX(職員マスタ!$C$6:$C$405,$AN454)))</f>
        <v/>
      </c>
      <c r="X454" s="14">
        <f>IF($AO454="","","R"&amp;$C454&amp;"."&amp;$D454)</f>
        <v/>
      </c>
      <c r="Y454" s="15">
        <f>IF($AN454="","",IF(INDEX(職員マスタ!$K$6:$K$405,$AN454)="","",INDEX(職員マスタ!$K$6:$K$405,$AN454)))</f>
        <v/>
      </c>
      <c r="Z454" s="14">
        <f>IF(OR($E454="",$Y454=""),"",IF($E454&gt;=$Y454,"×",IF($E454&gt;=$Y454*設定!$C$5,"△","○")))</f>
        <v/>
      </c>
      <c r="AA454" s="15">
        <f>IF($Z454="","",IF($Z454="×",0,IF($Z454="○",ROUNDDOWN($E454*設定!$C$4,0),ROUNDDOWN($E454*ROUND((9*$Y454-9*$E454)/(10*$E454),4),0))))</f>
        <v/>
      </c>
      <c r="AB454" s="13" t="n"/>
      <c r="AC454" s="15">
        <f>IF($B454="","",IF($AB454&lt;&gt;"",$AB454,IF($AA454="","",IF($AA454&lt;=設定!$C$3,0,$AA454))))</f>
        <v/>
      </c>
      <c r="AD454" s="14">
        <f>IF($B454="","",IF(AND($AE454&lt;&gt;"",$AG454="",$AJ454=""),"保留中",IF($AJ454&lt;&gt;"",IF(N($AC454)&gt;0,"支給済","不支給"),IF($AC454="","要確認",IF($AC454=0,"不支給","未処理")))))</f>
        <v/>
      </c>
      <c r="AE454" s="12" t="n"/>
      <c r="AF454" s="11" t="n"/>
      <c r="AG454" s="11" t="n"/>
      <c r="AH454" s="11" t="n"/>
      <c r="AI454" s="14">
        <f>IF(AND($AD454="保留中",$AF454&lt;&gt;""),TODAY()-$AF454,"")</f>
        <v/>
      </c>
      <c r="AJ454" s="12" t="inlineStr">
        <is>
          <t>R8.10</t>
        </is>
      </c>
      <c r="AK454" s="14">
        <f>IF($B454="","",IF($AO454="","対象年月が未入力／","")&amp;IF($B454="","",IF($AN454="","職員マスタに未登録の職員番号／",IF($Y454="","標準報酬月額が未登録／","")&amp;IF(AND($AO454&lt;&gt;"",OR(AND(INDEX(職員マスタ!$G$6:$G$405,$AN454)&lt;&gt;"",INDEX(職員マスタ!$G$6:$G$405,$AN454)&gt;EOMONTH($AO454,0)),AND(INDEX(職員マスタ!$H$6:$H$405,$AN454)&lt;&gt;"",INDEX(職員マスタ!$H$6:$H$405,$AN454)&lt;$AO454))),"対象月が時短期間外／","")&amp;IF(AND(INDEX(職員マスタ!$F$6:$F$405,$AN454)&lt;&gt;"",$AO454&lt;&gt;"",INDEX(職員マスタ!$F$6:$F$405,$AN454)&lt;$AO454),"対象月に子が2歳到達済／","")&amp;IF(AND($H454&lt;&gt;"",INDEX(職員マスタ!$B$6:$B$405,$AN454)&lt;&gt;"",SUBSTITUTE(SUBSTITUTE($H454," ","")," ","")&lt;&gt;SUBSTITUTE(SUBSTITUTE(INDEX(職員マスタ!$B$6:$B$405,$AN454)," ","")," ","")),"氏名がマスタと相違／","")&amp;IF(AND($Q454&lt;&gt;"",INDEX(職員マスタ!$E$6:$E$405,$AN454)&lt;&gt;"",$Q454&lt;&gt;INDEX(職員マスタ!$E$6:$E$405,$AN454)),"子の生年月日がマスタと相違／","")&amp;IF(AND($L454&lt;&gt;"",INDEX(職員マスタ!$G$6:$G$405,$AN454)&lt;&gt;"",$L454&lt;&gt;INDEX(職員マスタ!$G$6:$G$405,$AN454)),"時短開始日がマスタと相違／","")&amp;IF(AND($M454&lt;&gt;"",INDEX(職員マスタ!$H$6:$H$405,$AN454)&lt;&gt;"",$M454&lt;&gt;INDEX(職員マスタ!$H$6:$H$405,$AN454)),"時短終了日がマスタと相違／","")))&amp;IF(AND($B454&lt;&gt;"",$E454=""),"報酬額が未入力／","")&amp;IF(N($U454)&gt;0,"申請書に入力エラーが残っています／","")&amp;IF(AND($B454&lt;&gt;"",$AO454&lt;&gt;""),IF(COUNTIFS($B$6:$B$3005,$B454,$C$6:$C$3005,$C454,$D$6:$D$3005,$D454)&gt;1,"同じ月の請求が重複しています／",""),"")&amp;IF(AND(N($E454)&gt;0,$Z454&lt;&gt;"",$Z454&lt;&gt;"×",$AC454=0,$AB454=""),"計算額が下限以下のため不支給／",""))</f>
        <v/>
      </c>
      <c r="AL454" s="12" t="n"/>
      <c r="AM454" s="14">
        <f>IF($AD454="保留中",COUNTIF($AD$6:$AD454,"保留中"),"")</f>
        <v/>
      </c>
      <c r="AN454" s="14">
        <f>IF($AO454="","",IF(SUMPRODUCT(MAX((職員マスタ!$A$6:$A$405=$B454)*(((職員マスタ!$G$6:$G$405="")+(職員マスタ!$G$6:$G$405&lt;=EOMONTH($AO454,0)))&gt;0)*(((職員マスタ!$H$6:$H$405="")+(職員マスタ!$H$6:$H$405&gt;=$AO454))&gt;0)*(ROW(職員マスタ!$A$6:$A$405)-5)))&gt;0,SUMPRODUCT(MAX((職員マスタ!$A$6:$A$405=$B454)*(((職員マスタ!$G$6:$G$405="")+(職員マスタ!$G$6:$G$405&lt;=EOMONTH($AO454,0)))&gt;0)*(((職員マスタ!$H$6:$H$405="")+(職員マスタ!$H$6:$H$405&gt;=$AO454))&gt;0)*(ROW(職員マスタ!$A$6:$A$405)-5))),IFERROR(MATCH($B454,職員マスタ!$A$6:$A$405,0),"")))</f>
        <v/>
      </c>
      <c r="AO454" s="16">
        <f>IF(OR($B454="",$C454="",$D454=""),"",DATE($C454+2018,$D454,1))</f>
        <v/>
      </c>
    </row>
    <row r="455">
      <c r="A455" s="11" t="n"/>
      <c r="B455" s="12" t="n">
        <v>7103724</v>
      </c>
      <c r="C455" s="12" t="n">
        <v>7</v>
      </c>
      <c r="D455" s="12" t="n">
        <v>9</v>
      </c>
      <c r="E455" s="13" t="n">
        <v>222213</v>
      </c>
      <c r="F455" s="12" t="n"/>
      <c r="G455" s="13" t="n"/>
      <c r="H455" s="12" t="n"/>
      <c r="I455" s="12" t="n"/>
      <c r="J455" s="12" t="n"/>
      <c r="K455" s="12" t="n"/>
      <c r="L455" s="11" t="n"/>
      <c r="M455" s="11" t="n"/>
      <c r="N455" s="11" t="n"/>
      <c r="O455" s="11" t="n"/>
      <c r="P455" s="12" t="n"/>
      <c r="Q455" s="11" t="n"/>
      <c r="R455" s="12" t="n"/>
      <c r="S455" s="11" t="n"/>
      <c r="T455" s="12" t="n"/>
      <c r="U455" s="12" t="n"/>
      <c r="V455" s="14">
        <f>IF($AN455="",IF($B455="","",$H455),IF(INDEX(職員マスタ!$B$6:$B$405,$AN455)="",$H455,INDEX(職員マスタ!$B$6:$B$405,$AN455)))</f>
        <v/>
      </c>
      <c r="W455" s="14">
        <f>IF($AN455="",IF($B455="","",$R455),IF(INDEX(職員マスタ!$C$6:$C$405,$AN455)="",$R455,INDEX(職員マスタ!$C$6:$C$405,$AN455)))</f>
        <v/>
      </c>
      <c r="X455" s="14">
        <f>IF($AO455="","","R"&amp;$C455&amp;"."&amp;$D455)</f>
        <v/>
      </c>
      <c r="Y455" s="15">
        <f>IF($AN455="","",IF(INDEX(職員マスタ!$K$6:$K$405,$AN455)="","",INDEX(職員マスタ!$K$6:$K$405,$AN455)))</f>
        <v/>
      </c>
      <c r="Z455" s="14">
        <f>IF(OR($E455="",$Y455=""),"",IF($E455&gt;=$Y455,"×",IF($E455&gt;=$Y455*設定!$C$5,"△","○")))</f>
        <v/>
      </c>
      <c r="AA455" s="15">
        <f>IF($Z455="","",IF($Z455="×",0,IF($Z455="○",ROUNDDOWN($E455*設定!$C$4,0),ROUNDDOWN($E455*ROUND((9*$Y455-9*$E455)/(10*$E455),4),0))))</f>
        <v/>
      </c>
      <c r="AB455" s="13" t="n"/>
      <c r="AC455" s="15">
        <f>IF($B455="","",IF($AB455&lt;&gt;"",$AB455,IF($AA455="","",IF($AA455&lt;=設定!$C$3,0,$AA455))))</f>
        <v/>
      </c>
      <c r="AD455" s="14">
        <f>IF($B455="","",IF(AND($AE455&lt;&gt;"",$AG455="",$AJ455=""),"保留中",IF($AJ455&lt;&gt;"",IF(N($AC455)&gt;0,"支給済","不支給"),IF($AC455="","要確認",IF($AC455=0,"不支給","未処理")))))</f>
        <v/>
      </c>
      <c r="AE455" s="12" t="n"/>
      <c r="AF455" s="11" t="n"/>
      <c r="AG455" s="11" t="n"/>
      <c r="AH455" s="11" t="n"/>
      <c r="AI455" s="14">
        <f>IF(AND($AD455="保留中",$AF455&lt;&gt;""),TODAY()-$AF455,"")</f>
        <v/>
      </c>
      <c r="AJ455" s="12" t="inlineStr">
        <is>
          <t>R7.12</t>
        </is>
      </c>
      <c r="AK455" s="14">
        <f>IF($B455="","",IF($AO455="","対象年月が未入力／","")&amp;IF($B455="","",IF($AN455="","職員マスタに未登録の職員番号／",IF($Y455="","標準報酬月額が未登録／","")&amp;IF(AND($AO455&lt;&gt;"",OR(AND(INDEX(職員マスタ!$G$6:$G$405,$AN455)&lt;&gt;"",INDEX(職員マスタ!$G$6:$G$405,$AN455)&gt;EOMONTH($AO455,0)),AND(INDEX(職員マスタ!$H$6:$H$405,$AN455)&lt;&gt;"",INDEX(職員マスタ!$H$6:$H$405,$AN455)&lt;$AO455))),"対象月が時短期間外／","")&amp;IF(AND(INDEX(職員マスタ!$F$6:$F$405,$AN455)&lt;&gt;"",$AO455&lt;&gt;"",INDEX(職員マスタ!$F$6:$F$405,$AN455)&lt;$AO455),"対象月に子が2歳到達済／","")&amp;IF(AND($H455&lt;&gt;"",INDEX(職員マスタ!$B$6:$B$405,$AN455)&lt;&gt;"",SUBSTITUTE(SUBSTITUTE($H455," ","")," ","")&lt;&gt;SUBSTITUTE(SUBSTITUTE(INDEX(職員マスタ!$B$6:$B$405,$AN455)," ","")," ","")),"氏名がマスタと相違／","")&amp;IF(AND($Q455&lt;&gt;"",INDEX(職員マスタ!$E$6:$E$405,$AN455)&lt;&gt;"",$Q455&lt;&gt;INDEX(職員マスタ!$E$6:$E$405,$AN455)),"子の生年月日がマスタと相違／","")&amp;IF(AND($L455&lt;&gt;"",INDEX(職員マスタ!$G$6:$G$405,$AN455)&lt;&gt;"",$L455&lt;&gt;INDEX(職員マスタ!$G$6:$G$405,$AN455)),"時短開始日がマスタと相違／","")&amp;IF(AND($M455&lt;&gt;"",INDEX(職員マスタ!$H$6:$H$405,$AN455)&lt;&gt;"",$M455&lt;&gt;INDEX(職員マスタ!$H$6:$H$405,$AN455)),"時短終了日がマスタと相違／","")))&amp;IF(AND($B455&lt;&gt;"",$E455=""),"報酬額が未入力／","")&amp;IF(N($U455)&gt;0,"申請書に入力エラーが残っています／","")&amp;IF(AND($B455&lt;&gt;"",$AO455&lt;&gt;""),IF(COUNTIFS($B$6:$B$3005,$B455,$C$6:$C$3005,$C455,$D$6:$D$3005,$D455)&gt;1,"同じ月の請求が重複しています／",""),"")&amp;IF(AND(N($E455)&gt;0,$Z455&lt;&gt;"",$Z455&lt;&gt;"×",$AC455=0,$AB455=""),"計算額が下限以下のため不支給／",""))</f>
        <v/>
      </c>
      <c r="AL455" s="12" t="n"/>
      <c r="AM455" s="14">
        <f>IF($AD455="保留中",COUNTIF($AD$6:$AD455,"保留中"),"")</f>
        <v/>
      </c>
      <c r="AN455" s="14">
        <f>IF($AO455="","",IF(SUMPRODUCT(MAX((職員マスタ!$A$6:$A$405=$B455)*(((職員マスタ!$G$6:$G$405="")+(職員マスタ!$G$6:$G$405&lt;=EOMONTH($AO455,0)))&gt;0)*(((職員マスタ!$H$6:$H$405="")+(職員マスタ!$H$6:$H$405&gt;=$AO455))&gt;0)*(ROW(職員マスタ!$A$6:$A$405)-5)))&gt;0,SUMPRODUCT(MAX((職員マスタ!$A$6:$A$405=$B455)*(((職員マスタ!$G$6:$G$405="")+(職員マスタ!$G$6:$G$405&lt;=EOMONTH($AO455,0)))&gt;0)*(((職員マスタ!$H$6:$H$405="")+(職員マスタ!$H$6:$H$405&gt;=$AO455))&gt;0)*(ROW(職員マスタ!$A$6:$A$405)-5))),IFERROR(MATCH($B455,職員マスタ!$A$6:$A$405,0),"")))</f>
        <v/>
      </c>
      <c r="AO455" s="16">
        <f>IF(OR($B455="",$C455="",$D455=""),"",DATE($C455+2018,$D455,1))</f>
        <v/>
      </c>
    </row>
    <row r="456">
      <c r="A456" s="11" t="n"/>
      <c r="B456" s="12" t="n">
        <v>7103724</v>
      </c>
      <c r="C456" s="12" t="n">
        <v>7</v>
      </c>
      <c r="D456" s="12" t="n">
        <v>10</v>
      </c>
      <c r="E456" s="13" t="n">
        <v>227551</v>
      </c>
      <c r="F456" s="12" t="n"/>
      <c r="G456" s="13" t="n"/>
      <c r="H456" s="12" t="n"/>
      <c r="I456" s="12" t="n"/>
      <c r="J456" s="12" t="n"/>
      <c r="K456" s="12" t="n"/>
      <c r="L456" s="11" t="n"/>
      <c r="M456" s="11" t="n"/>
      <c r="N456" s="11" t="n"/>
      <c r="O456" s="11" t="n"/>
      <c r="P456" s="12" t="n"/>
      <c r="Q456" s="11" t="n"/>
      <c r="R456" s="12" t="n"/>
      <c r="S456" s="11" t="n"/>
      <c r="T456" s="12" t="n"/>
      <c r="U456" s="12" t="n"/>
      <c r="V456" s="14">
        <f>IF($AN456="",IF($B456="","",$H456),IF(INDEX(職員マスタ!$B$6:$B$405,$AN456)="",$H456,INDEX(職員マスタ!$B$6:$B$405,$AN456)))</f>
        <v/>
      </c>
      <c r="W456" s="14">
        <f>IF($AN456="",IF($B456="","",$R456),IF(INDEX(職員マスタ!$C$6:$C$405,$AN456)="",$R456,INDEX(職員マスタ!$C$6:$C$405,$AN456)))</f>
        <v/>
      </c>
      <c r="X456" s="14">
        <f>IF($AO456="","","R"&amp;$C456&amp;"."&amp;$D456)</f>
        <v/>
      </c>
      <c r="Y456" s="15">
        <f>IF($AN456="","",IF(INDEX(職員マスタ!$K$6:$K$405,$AN456)="","",INDEX(職員マスタ!$K$6:$K$405,$AN456)))</f>
        <v/>
      </c>
      <c r="Z456" s="14">
        <f>IF(OR($E456="",$Y456=""),"",IF($E456&gt;=$Y456,"×",IF($E456&gt;=$Y456*設定!$C$5,"△","○")))</f>
        <v/>
      </c>
      <c r="AA456" s="15">
        <f>IF($Z456="","",IF($Z456="×",0,IF($Z456="○",ROUNDDOWN($E456*設定!$C$4,0),ROUNDDOWN($E456*ROUND((9*$Y456-9*$E456)/(10*$E456),4),0))))</f>
        <v/>
      </c>
      <c r="AB456" s="13" t="n"/>
      <c r="AC456" s="15">
        <f>IF($B456="","",IF($AB456&lt;&gt;"",$AB456,IF($AA456="","",IF($AA456&lt;=設定!$C$3,0,$AA456))))</f>
        <v/>
      </c>
      <c r="AD456" s="14">
        <f>IF($B456="","",IF(AND($AE456&lt;&gt;"",$AG456="",$AJ456=""),"保留中",IF($AJ456&lt;&gt;"",IF(N($AC456)&gt;0,"支給済","不支給"),IF($AC456="","要確認",IF($AC456=0,"不支給","未処理")))))</f>
        <v/>
      </c>
      <c r="AE456" s="12" t="n"/>
      <c r="AF456" s="11" t="n"/>
      <c r="AG456" s="11" t="n"/>
      <c r="AH456" s="11" t="n"/>
      <c r="AI456" s="14">
        <f>IF(AND($AD456="保留中",$AF456&lt;&gt;""),TODAY()-$AF456,"")</f>
        <v/>
      </c>
      <c r="AJ456" s="12" t="inlineStr">
        <is>
          <t>R8.1</t>
        </is>
      </c>
      <c r="AK456" s="14">
        <f>IF($B456="","",IF($AO456="","対象年月が未入力／","")&amp;IF($B456="","",IF($AN456="","職員マスタに未登録の職員番号／",IF($Y456="","標準報酬月額が未登録／","")&amp;IF(AND($AO456&lt;&gt;"",OR(AND(INDEX(職員マスタ!$G$6:$G$405,$AN456)&lt;&gt;"",INDEX(職員マスタ!$G$6:$G$405,$AN456)&gt;EOMONTH($AO456,0)),AND(INDEX(職員マスタ!$H$6:$H$405,$AN456)&lt;&gt;"",INDEX(職員マスタ!$H$6:$H$405,$AN456)&lt;$AO456))),"対象月が時短期間外／","")&amp;IF(AND(INDEX(職員マスタ!$F$6:$F$405,$AN456)&lt;&gt;"",$AO456&lt;&gt;"",INDEX(職員マスタ!$F$6:$F$405,$AN456)&lt;$AO456),"対象月に子が2歳到達済／","")&amp;IF(AND($H456&lt;&gt;"",INDEX(職員マスタ!$B$6:$B$405,$AN456)&lt;&gt;"",SUBSTITUTE(SUBSTITUTE($H456," ","")," ","")&lt;&gt;SUBSTITUTE(SUBSTITUTE(INDEX(職員マスタ!$B$6:$B$405,$AN456)," ","")," ","")),"氏名がマスタと相違／","")&amp;IF(AND($Q456&lt;&gt;"",INDEX(職員マスタ!$E$6:$E$405,$AN456)&lt;&gt;"",$Q456&lt;&gt;INDEX(職員マスタ!$E$6:$E$405,$AN456)),"子の生年月日がマスタと相違／","")&amp;IF(AND($L456&lt;&gt;"",INDEX(職員マスタ!$G$6:$G$405,$AN456)&lt;&gt;"",$L456&lt;&gt;INDEX(職員マスタ!$G$6:$G$405,$AN456)),"時短開始日がマスタと相違／","")&amp;IF(AND($M456&lt;&gt;"",INDEX(職員マスタ!$H$6:$H$405,$AN456)&lt;&gt;"",$M456&lt;&gt;INDEX(職員マスタ!$H$6:$H$405,$AN456)),"時短終了日がマスタと相違／","")))&amp;IF(AND($B456&lt;&gt;"",$E456=""),"報酬額が未入力／","")&amp;IF(N($U456)&gt;0,"申請書に入力エラーが残っています／","")&amp;IF(AND($B456&lt;&gt;"",$AO456&lt;&gt;""),IF(COUNTIFS($B$6:$B$3005,$B456,$C$6:$C$3005,$C456,$D$6:$D$3005,$D456)&gt;1,"同じ月の請求が重複しています／",""),"")&amp;IF(AND(N($E456)&gt;0,$Z456&lt;&gt;"",$Z456&lt;&gt;"×",$AC456=0,$AB456=""),"計算額が下限以下のため不支給／",""))</f>
        <v/>
      </c>
      <c r="AL456" s="12" t="n"/>
      <c r="AM456" s="14">
        <f>IF($AD456="保留中",COUNTIF($AD$6:$AD456,"保留中"),"")</f>
        <v/>
      </c>
      <c r="AN456" s="14">
        <f>IF($AO456="","",IF(SUMPRODUCT(MAX((職員マスタ!$A$6:$A$405=$B456)*(((職員マスタ!$G$6:$G$405="")+(職員マスタ!$G$6:$G$405&lt;=EOMONTH($AO456,0)))&gt;0)*(((職員マスタ!$H$6:$H$405="")+(職員マスタ!$H$6:$H$405&gt;=$AO456))&gt;0)*(ROW(職員マスタ!$A$6:$A$405)-5)))&gt;0,SUMPRODUCT(MAX((職員マスタ!$A$6:$A$405=$B456)*(((職員マスタ!$G$6:$G$405="")+(職員マスタ!$G$6:$G$405&lt;=EOMONTH($AO456,0)))&gt;0)*(((職員マスタ!$H$6:$H$405="")+(職員マスタ!$H$6:$H$405&gt;=$AO456))&gt;0)*(ROW(職員マスタ!$A$6:$A$405)-5))),IFERROR(MATCH($B456,職員マスタ!$A$6:$A$405,0),"")))</f>
        <v/>
      </c>
      <c r="AO456" s="16">
        <f>IF(OR($B456="",$C456="",$D456=""),"",DATE($C456+2018,$D456,1))</f>
        <v/>
      </c>
    </row>
    <row r="457">
      <c r="A457" s="11" t="n"/>
      <c r="B457" s="12" t="n">
        <v>7103724</v>
      </c>
      <c r="C457" s="12" t="n">
        <v>7</v>
      </c>
      <c r="D457" s="12" t="n">
        <v>11</v>
      </c>
      <c r="E457" s="13" t="n">
        <v>222213</v>
      </c>
      <c r="F457" s="12" t="n"/>
      <c r="G457" s="13" t="n"/>
      <c r="H457" s="12" t="n"/>
      <c r="I457" s="12" t="n"/>
      <c r="J457" s="12" t="n"/>
      <c r="K457" s="12" t="n"/>
      <c r="L457" s="11" t="n"/>
      <c r="M457" s="11" t="n"/>
      <c r="N457" s="11" t="n"/>
      <c r="O457" s="11" t="n"/>
      <c r="P457" s="12" t="n"/>
      <c r="Q457" s="11" t="n"/>
      <c r="R457" s="12" t="n"/>
      <c r="S457" s="11" t="n"/>
      <c r="T457" s="12" t="n"/>
      <c r="U457" s="12" t="n"/>
      <c r="V457" s="14">
        <f>IF($AN457="",IF($B457="","",$H457),IF(INDEX(職員マスタ!$B$6:$B$405,$AN457)="",$H457,INDEX(職員マスタ!$B$6:$B$405,$AN457)))</f>
        <v/>
      </c>
      <c r="W457" s="14">
        <f>IF($AN457="",IF($B457="","",$R457),IF(INDEX(職員マスタ!$C$6:$C$405,$AN457)="",$R457,INDEX(職員マスタ!$C$6:$C$405,$AN457)))</f>
        <v/>
      </c>
      <c r="X457" s="14">
        <f>IF($AO457="","","R"&amp;$C457&amp;"."&amp;$D457)</f>
        <v/>
      </c>
      <c r="Y457" s="15">
        <f>IF($AN457="","",IF(INDEX(職員マスタ!$K$6:$K$405,$AN457)="","",INDEX(職員マスタ!$K$6:$K$405,$AN457)))</f>
        <v/>
      </c>
      <c r="Z457" s="14">
        <f>IF(OR($E457="",$Y457=""),"",IF($E457&gt;=$Y457,"×",IF($E457&gt;=$Y457*設定!$C$5,"△","○")))</f>
        <v/>
      </c>
      <c r="AA457" s="15">
        <f>IF($Z457="","",IF($Z457="×",0,IF($Z457="○",ROUNDDOWN($E457*設定!$C$4,0),ROUNDDOWN($E457*ROUND((9*$Y457-9*$E457)/(10*$E457),4),0))))</f>
        <v/>
      </c>
      <c r="AB457" s="13" t="n"/>
      <c r="AC457" s="15">
        <f>IF($B457="","",IF($AB457&lt;&gt;"",$AB457,IF($AA457="","",IF($AA457&lt;=設定!$C$3,0,$AA457))))</f>
        <v/>
      </c>
      <c r="AD457" s="14">
        <f>IF($B457="","",IF(AND($AE457&lt;&gt;"",$AG457="",$AJ457=""),"保留中",IF($AJ457&lt;&gt;"",IF(N($AC457)&gt;0,"支給済","不支給"),IF($AC457="","要確認",IF($AC457=0,"不支給","未処理")))))</f>
        <v/>
      </c>
      <c r="AE457" s="12" t="n"/>
      <c r="AF457" s="11" t="n"/>
      <c r="AG457" s="11" t="n"/>
      <c r="AH457" s="11" t="n"/>
      <c r="AI457" s="14">
        <f>IF(AND($AD457="保留中",$AF457&lt;&gt;""),TODAY()-$AF457,"")</f>
        <v/>
      </c>
      <c r="AJ457" s="12" t="inlineStr">
        <is>
          <t>R8.2</t>
        </is>
      </c>
      <c r="AK457" s="14">
        <f>IF($B457="","",IF($AO457="","対象年月が未入力／","")&amp;IF($B457="","",IF($AN457="","職員マスタに未登録の職員番号／",IF($Y457="","標準報酬月額が未登録／","")&amp;IF(AND($AO457&lt;&gt;"",OR(AND(INDEX(職員マスタ!$G$6:$G$405,$AN457)&lt;&gt;"",INDEX(職員マスタ!$G$6:$G$405,$AN457)&gt;EOMONTH($AO457,0)),AND(INDEX(職員マスタ!$H$6:$H$405,$AN457)&lt;&gt;"",INDEX(職員マスタ!$H$6:$H$405,$AN457)&lt;$AO457))),"対象月が時短期間外／","")&amp;IF(AND(INDEX(職員マスタ!$F$6:$F$405,$AN457)&lt;&gt;"",$AO457&lt;&gt;"",INDEX(職員マスタ!$F$6:$F$405,$AN457)&lt;$AO457),"対象月に子が2歳到達済／","")&amp;IF(AND($H457&lt;&gt;"",INDEX(職員マスタ!$B$6:$B$405,$AN457)&lt;&gt;"",SUBSTITUTE(SUBSTITUTE($H457," ","")," ","")&lt;&gt;SUBSTITUTE(SUBSTITUTE(INDEX(職員マスタ!$B$6:$B$405,$AN457)," ","")," ","")),"氏名がマスタと相違／","")&amp;IF(AND($Q457&lt;&gt;"",INDEX(職員マスタ!$E$6:$E$405,$AN457)&lt;&gt;"",$Q457&lt;&gt;INDEX(職員マスタ!$E$6:$E$405,$AN457)),"子の生年月日がマスタと相違／","")&amp;IF(AND($L457&lt;&gt;"",INDEX(職員マスタ!$G$6:$G$405,$AN457)&lt;&gt;"",$L457&lt;&gt;INDEX(職員マスタ!$G$6:$G$405,$AN457)),"時短開始日がマスタと相違／","")&amp;IF(AND($M457&lt;&gt;"",INDEX(職員マスタ!$H$6:$H$405,$AN457)&lt;&gt;"",$M457&lt;&gt;INDEX(職員マスタ!$H$6:$H$405,$AN457)),"時短終了日がマスタと相違／","")))&amp;IF(AND($B457&lt;&gt;"",$E457=""),"報酬額が未入力／","")&amp;IF(N($U457)&gt;0,"申請書に入力エラーが残っています／","")&amp;IF(AND($B457&lt;&gt;"",$AO457&lt;&gt;""),IF(COUNTIFS($B$6:$B$3005,$B457,$C$6:$C$3005,$C457,$D$6:$D$3005,$D457)&gt;1,"同じ月の請求が重複しています／",""),"")&amp;IF(AND(N($E457)&gt;0,$Z457&lt;&gt;"",$Z457&lt;&gt;"×",$AC457=0,$AB457=""),"計算額が下限以下のため不支給／",""))</f>
        <v/>
      </c>
      <c r="AL457" s="12" t="n"/>
      <c r="AM457" s="14">
        <f>IF($AD457="保留中",COUNTIF($AD$6:$AD457,"保留中"),"")</f>
        <v/>
      </c>
      <c r="AN457" s="14">
        <f>IF($AO457="","",IF(SUMPRODUCT(MAX((職員マスタ!$A$6:$A$405=$B457)*(((職員マスタ!$G$6:$G$405="")+(職員マスタ!$G$6:$G$405&lt;=EOMONTH($AO457,0)))&gt;0)*(((職員マスタ!$H$6:$H$405="")+(職員マスタ!$H$6:$H$405&gt;=$AO457))&gt;0)*(ROW(職員マスタ!$A$6:$A$405)-5)))&gt;0,SUMPRODUCT(MAX((職員マスタ!$A$6:$A$405=$B457)*(((職員マスタ!$G$6:$G$405="")+(職員マスタ!$G$6:$G$405&lt;=EOMONTH($AO457,0)))&gt;0)*(((職員マスタ!$H$6:$H$405="")+(職員マスタ!$H$6:$H$405&gt;=$AO457))&gt;0)*(ROW(職員マスタ!$A$6:$A$405)-5))),IFERROR(MATCH($B457,職員マスタ!$A$6:$A$405,0),"")))</f>
        <v/>
      </c>
      <c r="AO457" s="16">
        <f>IF(OR($B457="",$C457="",$D457=""),"",DATE($C457+2018,$D457,1))</f>
        <v/>
      </c>
    </row>
    <row r="458">
      <c r="A458" s="11" t="n"/>
      <c r="B458" s="12" t="n">
        <v>7103724</v>
      </c>
      <c r="C458" s="12" t="n">
        <v>7</v>
      </c>
      <c r="D458" s="12" t="n">
        <v>12</v>
      </c>
      <c r="E458" s="13" t="n">
        <v>228492</v>
      </c>
      <c r="F458" s="12" t="n"/>
      <c r="G458" s="13" t="n"/>
      <c r="H458" s="12" t="n"/>
      <c r="I458" s="12" t="n"/>
      <c r="J458" s="12" t="n"/>
      <c r="K458" s="12" t="n"/>
      <c r="L458" s="11" t="n"/>
      <c r="M458" s="11" t="n"/>
      <c r="N458" s="11" t="n"/>
      <c r="O458" s="11" t="n"/>
      <c r="P458" s="12" t="n"/>
      <c r="Q458" s="11" t="n"/>
      <c r="R458" s="12" t="n"/>
      <c r="S458" s="11" t="n"/>
      <c r="T458" s="12" t="n"/>
      <c r="U458" s="12" t="n"/>
      <c r="V458" s="14">
        <f>IF($AN458="",IF($B458="","",$H458),IF(INDEX(職員マスタ!$B$6:$B$405,$AN458)="",$H458,INDEX(職員マスタ!$B$6:$B$405,$AN458)))</f>
        <v/>
      </c>
      <c r="W458" s="14">
        <f>IF($AN458="",IF($B458="","",$R458),IF(INDEX(職員マスタ!$C$6:$C$405,$AN458)="",$R458,INDEX(職員マスタ!$C$6:$C$405,$AN458)))</f>
        <v/>
      </c>
      <c r="X458" s="14">
        <f>IF($AO458="","","R"&amp;$C458&amp;"."&amp;$D458)</f>
        <v/>
      </c>
      <c r="Y458" s="15">
        <f>IF($AN458="","",IF(INDEX(職員マスタ!$K$6:$K$405,$AN458)="","",INDEX(職員マスタ!$K$6:$K$405,$AN458)))</f>
        <v/>
      </c>
      <c r="Z458" s="14">
        <f>IF(OR($E458="",$Y458=""),"",IF($E458&gt;=$Y458,"×",IF($E458&gt;=$Y458*設定!$C$5,"△","○")))</f>
        <v/>
      </c>
      <c r="AA458" s="15">
        <f>IF($Z458="","",IF($Z458="×",0,IF($Z458="○",ROUNDDOWN($E458*設定!$C$4,0),ROUNDDOWN($E458*ROUND((9*$Y458-9*$E458)/(10*$E458),4),0))))</f>
        <v/>
      </c>
      <c r="AB458" s="13" t="n"/>
      <c r="AC458" s="15">
        <f>IF($B458="","",IF($AB458&lt;&gt;"",$AB458,IF($AA458="","",IF($AA458&lt;=設定!$C$3,0,$AA458))))</f>
        <v/>
      </c>
      <c r="AD458" s="14">
        <f>IF($B458="","",IF(AND($AE458&lt;&gt;"",$AG458="",$AJ458=""),"保留中",IF($AJ458&lt;&gt;"",IF(N($AC458)&gt;0,"支給済","不支給"),IF($AC458="","要確認",IF($AC458=0,"不支給","未処理")))))</f>
        <v/>
      </c>
      <c r="AE458" s="12" t="n"/>
      <c r="AF458" s="11" t="n"/>
      <c r="AG458" s="11" t="n"/>
      <c r="AH458" s="11" t="n"/>
      <c r="AI458" s="14">
        <f>IF(AND($AD458="保留中",$AF458&lt;&gt;""),TODAY()-$AF458,"")</f>
        <v/>
      </c>
      <c r="AJ458" s="12" t="inlineStr">
        <is>
          <t>R8.3</t>
        </is>
      </c>
      <c r="AK458" s="14">
        <f>IF($B458="","",IF($AO458="","対象年月が未入力／","")&amp;IF($B458="","",IF($AN458="","職員マスタに未登録の職員番号／",IF($Y458="","標準報酬月額が未登録／","")&amp;IF(AND($AO458&lt;&gt;"",OR(AND(INDEX(職員マスタ!$G$6:$G$405,$AN458)&lt;&gt;"",INDEX(職員マスタ!$G$6:$G$405,$AN458)&gt;EOMONTH($AO458,0)),AND(INDEX(職員マスタ!$H$6:$H$405,$AN458)&lt;&gt;"",INDEX(職員マスタ!$H$6:$H$405,$AN458)&lt;$AO458))),"対象月が時短期間外／","")&amp;IF(AND(INDEX(職員マスタ!$F$6:$F$405,$AN458)&lt;&gt;"",$AO458&lt;&gt;"",INDEX(職員マスタ!$F$6:$F$405,$AN458)&lt;$AO458),"対象月に子が2歳到達済／","")&amp;IF(AND($H458&lt;&gt;"",INDEX(職員マスタ!$B$6:$B$405,$AN458)&lt;&gt;"",SUBSTITUTE(SUBSTITUTE($H458," ","")," ","")&lt;&gt;SUBSTITUTE(SUBSTITUTE(INDEX(職員マスタ!$B$6:$B$405,$AN458)," ","")," ","")),"氏名がマスタと相違／","")&amp;IF(AND($Q458&lt;&gt;"",INDEX(職員マスタ!$E$6:$E$405,$AN458)&lt;&gt;"",$Q458&lt;&gt;INDEX(職員マスタ!$E$6:$E$405,$AN458)),"子の生年月日がマスタと相違／","")&amp;IF(AND($L458&lt;&gt;"",INDEX(職員マスタ!$G$6:$G$405,$AN458)&lt;&gt;"",$L458&lt;&gt;INDEX(職員マスタ!$G$6:$G$405,$AN458)),"時短開始日がマスタと相違／","")&amp;IF(AND($M458&lt;&gt;"",INDEX(職員マスタ!$H$6:$H$405,$AN458)&lt;&gt;"",$M458&lt;&gt;INDEX(職員マスタ!$H$6:$H$405,$AN458)),"時短終了日がマスタと相違／","")))&amp;IF(AND($B458&lt;&gt;"",$E458=""),"報酬額が未入力／","")&amp;IF(N($U458)&gt;0,"申請書に入力エラーが残っています／","")&amp;IF(AND($B458&lt;&gt;"",$AO458&lt;&gt;""),IF(COUNTIFS($B$6:$B$3005,$B458,$C$6:$C$3005,$C458,$D$6:$D$3005,$D458)&gt;1,"同じ月の請求が重複しています／",""),"")&amp;IF(AND(N($E458)&gt;0,$Z458&lt;&gt;"",$Z458&lt;&gt;"×",$AC458=0,$AB458=""),"計算額が下限以下のため不支給／",""))</f>
        <v/>
      </c>
      <c r="AL458" s="12" t="n"/>
      <c r="AM458" s="14">
        <f>IF($AD458="保留中",COUNTIF($AD$6:$AD458,"保留中"),"")</f>
        <v/>
      </c>
      <c r="AN458" s="14">
        <f>IF($AO458="","",IF(SUMPRODUCT(MAX((職員マスタ!$A$6:$A$405=$B458)*(((職員マスタ!$G$6:$G$405="")+(職員マスタ!$G$6:$G$405&lt;=EOMONTH($AO458,0)))&gt;0)*(((職員マスタ!$H$6:$H$405="")+(職員マスタ!$H$6:$H$405&gt;=$AO458))&gt;0)*(ROW(職員マスタ!$A$6:$A$405)-5)))&gt;0,SUMPRODUCT(MAX((職員マスタ!$A$6:$A$405=$B458)*(((職員マスタ!$G$6:$G$405="")+(職員マスタ!$G$6:$G$405&lt;=EOMONTH($AO458,0)))&gt;0)*(((職員マスタ!$H$6:$H$405="")+(職員マスタ!$H$6:$H$405&gt;=$AO458))&gt;0)*(ROW(職員マスタ!$A$6:$A$405)-5))),IFERROR(MATCH($B458,職員マスタ!$A$6:$A$405,0),"")))</f>
        <v/>
      </c>
      <c r="AO458" s="16">
        <f>IF(OR($B458="",$C458="",$D458=""),"",DATE($C458+2018,$D458,1))</f>
        <v/>
      </c>
    </row>
    <row r="459">
      <c r="A459" s="11" t="n"/>
      <c r="B459" s="12" t="n">
        <v>7103724</v>
      </c>
      <c r="C459" s="12" t="n">
        <v>8</v>
      </c>
      <c r="D459" s="12" t="n">
        <v>1</v>
      </c>
      <c r="E459" s="13" t="n">
        <v>228492</v>
      </c>
      <c r="F459" s="12" t="n"/>
      <c r="G459" s="13" t="n"/>
      <c r="H459" s="12" t="n"/>
      <c r="I459" s="12" t="n"/>
      <c r="J459" s="12" t="n"/>
      <c r="K459" s="12" t="n"/>
      <c r="L459" s="11" t="n"/>
      <c r="M459" s="11" t="n"/>
      <c r="N459" s="11" t="n"/>
      <c r="O459" s="11" t="n"/>
      <c r="P459" s="12" t="n"/>
      <c r="Q459" s="11" t="n"/>
      <c r="R459" s="12" t="n"/>
      <c r="S459" s="11" t="n"/>
      <c r="T459" s="12" t="n"/>
      <c r="U459" s="12" t="n"/>
      <c r="V459" s="14">
        <f>IF($AN459="",IF($B459="","",$H459),IF(INDEX(職員マスタ!$B$6:$B$405,$AN459)="",$H459,INDEX(職員マスタ!$B$6:$B$405,$AN459)))</f>
        <v/>
      </c>
      <c r="W459" s="14">
        <f>IF($AN459="",IF($B459="","",$R459),IF(INDEX(職員マスタ!$C$6:$C$405,$AN459)="",$R459,INDEX(職員マスタ!$C$6:$C$405,$AN459)))</f>
        <v/>
      </c>
      <c r="X459" s="14">
        <f>IF($AO459="","","R"&amp;$C459&amp;"."&amp;$D459)</f>
        <v/>
      </c>
      <c r="Y459" s="15">
        <f>IF($AN459="","",IF(INDEX(職員マスタ!$K$6:$K$405,$AN459)="","",INDEX(職員マスタ!$K$6:$K$405,$AN459)))</f>
        <v/>
      </c>
      <c r="Z459" s="14">
        <f>IF(OR($E459="",$Y459=""),"",IF($E459&gt;=$Y459,"×",IF($E459&gt;=$Y459*設定!$C$5,"△","○")))</f>
        <v/>
      </c>
      <c r="AA459" s="15">
        <f>IF($Z459="","",IF($Z459="×",0,IF($Z459="○",ROUNDDOWN($E459*設定!$C$4,0),ROUNDDOWN($E459*ROUND((9*$Y459-9*$E459)/(10*$E459),4),0))))</f>
        <v/>
      </c>
      <c r="AB459" s="13" t="n"/>
      <c r="AC459" s="15">
        <f>IF($B459="","",IF($AB459&lt;&gt;"",$AB459,IF($AA459="","",IF($AA459&lt;=設定!$C$3,0,$AA459))))</f>
        <v/>
      </c>
      <c r="AD459" s="14">
        <f>IF($B459="","",IF(AND($AE459&lt;&gt;"",$AG459="",$AJ459=""),"保留中",IF($AJ459&lt;&gt;"",IF(N($AC459)&gt;0,"支給済","不支給"),IF($AC459="","要確認",IF($AC459=0,"不支給","未処理")))))</f>
        <v/>
      </c>
      <c r="AE459" s="12" t="n"/>
      <c r="AF459" s="11" t="n"/>
      <c r="AG459" s="11" t="n"/>
      <c r="AH459" s="11" t="n"/>
      <c r="AI459" s="14">
        <f>IF(AND($AD459="保留中",$AF459&lt;&gt;""),TODAY()-$AF459,"")</f>
        <v/>
      </c>
      <c r="AJ459" s="12" t="inlineStr">
        <is>
          <t>R8.3</t>
        </is>
      </c>
      <c r="AK459" s="14">
        <f>IF($B459="","",IF($AO459="","対象年月が未入力／","")&amp;IF($B459="","",IF($AN459="","職員マスタに未登録の職員番号／",IF($Y459="","標準報酬月額が未登録／","")&amp;IF(AND($AO459&lt;&gt;"",OR(AND(INDEX(職員マスタ!$G$6:$G$405,$AN459)&lt;&gt;"",INDEX(職員マスタ!$G$6:$G$405,$AN459)&gt;EOMONTH($AO459,0)),AND(INDEX(職員マスタ!$H$6:$H$405,$AN459)&lt;&gt;"",INDEX(職員マスタ!$H$6:$H$405,$AN459)&lt;$AO459))),"対象月が時短期間外／","")&amp;IF(AND(INDEX(職員マスタ!$F$6:$F$405,$AN459)&lt;&gt;"",$AO459&lt;&gt;"",INDEX(職員マスタ!$F$6:$F$405,$AN459)&lt;$AO459),"対象月に子が2歳到達済／","")&amp;IF(AND($H459&lt;&gt;"",INDEX(職員マスタ!$B$6:$B$405,$AN459)&lt;&gt;"",SUBSTITUTE(SUBSTITUTE($H459," ","")," ","")&lt;&gt;SUBSTITUTE(SUBSTITUTE(INDEX(職員マスタ!$B$6:$B$405,$AN459)," ","")," ","")),"氏名がマスタと相違／","")&amp;IF(AND($Q459&lt;&gt;"",INDEX(職員マスタ!$E$6:$E$405,$AN459)&lt;&gt;"",$Q459&lt;&gt;INDEX(職員マスタ!$E$6:$E$405,$AN459)),"子の生年月日がマスタと相違／","")&amp;IF(AND($L459&lt;&gt;"",INDEX(職員マスタ!$G$6:$G$405,$AN459)&lt;&gt;"",$L459&lt;&gt;INDEX(職員マスタ!$G$6:$G$405,$AN459)),"時短開始日がマスタと相違／","")&amp;IF(AND($M459&lt;&gt;"",INDEX(職員マスタ!$H$6:$H$405,$AN459)&lt;&gt;"",$M459&lt;&gt;INDEX(職員マスタ!$H$6:$H$405,$AN459)),"時短終了日がマスタと相違／","")))&amp;IF(AND($B459&lt;&gt;"",$E459=""),"報酬額が未入力／","")&amp;IF(N($U459)&gt;0,"申請書に入力エラーが残っています／","")&amp;IF(AND($B459&lt;&gt;"",$AO459&lt;&gt;""),IF(COUNTIFS($B$6:$B$3005,$B459,$C$6:$C$3005,$C459,$D$6:$D$3005,$D459)&gt;1,"同じ月の請求が重複しています／",""),"")&amp;IF(AND(N($E459)&gt;0,$Z459&lt;&gt;"",$Z459&lt;&gt;"×",$AC459=0,$AB459=""),"計算額が下限以下のため不支給／",""))</f>
        <v/>
      </c>
      <c r="AL459" s="12" t="n"/>
      <c r="AM459" s="14">
        <f>IF($AD459="保留中",COUNTIF($AD$6:$AD459,"保留中"),"")</f>
        <v/>
      </c>
      <c r="AN459" s="14">
        <f>IF($AO459="","",IF(SUMPRODUCT(MAX((職員マスタ!$A$6:$A$405=$B459)*(((職員マスタ!$G$6:$G$405="")+(職員マスタ!$G$6:$G$405&lt;=EOMONTH($AO459,0)))&gt;0)*(((職員マスタ!$H$6:$H$405="")+(職員マスタ!$H$6:$H$405&gt;=$AO459))&gt;0)*(ROW(職員マスタ!$A$6:$A$405)-5)))&gt;0,SUMPRODUCT(MAX((職員マスタ!$A$6:$A$405=$B459)*(((職員マスタ!$G$6:$G$405="")+(職員マスタ!$G$6:$G$405&lt;=EOMONTH($AO459,0)))&gt;0)*(((職員マスタ!$H$6:$H$405="")+(職員マスタ!$H$6:$H$405&gt;=$AO459))&gt;0)*(ROW(職員マスタ!$A$6:$A$405)-5))),IFERROR(MATCH($B459,職員マスタ!$A$6:$A$405,0),"")))</f>
        <v/>
      </c>
      <c r="AO459" s="16">
        <f>IF(OR($B459="",$C459="",$D459=""),"",DATE($C459+2018,$D459,1))</f>
        <v/>
      </c>
    </row>
    <row r="460">
      <c r="A460" s="11" t="n"/>
      <c r="B460" s="12" t="n">
        <v>7103724</v>
      </c>
      <c r="C460" s="12" t="n">
        <v>8</v>
      </c>
      <c r="D460" s="12" t="n">
        <v>2</v>
      </c>
      <c r="E460" s="13" t="n">
        <v>228496</v>
      </c>
      <c r="F460" s="12" t="n"/>
      <c r="G460" s="13" t="n"/>
      <c r="H460" s="12" t="n"/>
      <c r="I460" s="12" t="n"/>
      <c r="J460" s="12" t="n"/>
      <c r="K460" s="12" t="n"/>
      <c r="L460" s="11" t="n"/>
      <c r="M460" s="11" t="n"/>
      <c r="N460" s="11" t="n"/>
      <c r="O460" s="11" t="n"/>
      <c r="P460" s="12" t="n"/>
      <c r="Q460" s="11" t="n"/>
      <c r="R460" s="12" t="n"/>
      <c r="S460" s="11" t="n"/>
      <c r="T460" s="12" t="n"/>
      <c r="U460" s="12" t="n"/>
      <c r="V460" s="14">
        <f>IF($AN460="",IF($B460="","",$H460),IF(INDEX(職員マスタ!$B$6:$B$405,$AN460)="",$H460,INDEX(職員マスタ!$B$6:$B$405,$AN460)))</f>
        <v/>
      </c>
      <c r="W460" s="14">
        <f>IF($AN460="",IF($B460="","",$R460),IF(INDEX(職員マスタ!$C$6:$C$405,$AN460)="",$R460,INDEX(職員マスタ!$C$6:$C$405,$AN460)))</f>
        <v/>
      </c>
      <c r="X460" s="14">
        <f>IF($AO460="","","R"&amp;$C460&amp;"."&amp;$D460)</f>
        <v/>
      </c>
      <c r="Y460" s="15">
        <f>IF($AN460="","",IF(INDEX(職員マスタ!$K$6:$K$405,$AN460)="","",INDEX(職員マスタ!$K$6:$K$405,$AN460)))</f>
        <v/>
      </c>
      <c r="Z460" s="14">
        <f>IF(OR($E460="",$Y460=""),"",IF($E460&gt;=$Y460,"×",IF($E460&gt;=$Y460*設定!$C$5,"△","○")))</f>
        <v/>
      </c>
      <c r="AA460" s="15">
        <f>IF($Z460="","",IF($Z460="×",0,IF($Z460="○",ROUNDDOWN($E460*設定!$C$4,0),ROUNDDOWN($E460*ROUND((9*$Y460-9*$E460)/(10*$E460),4),0))))</f>
        <v/>
      </c>
      <c r="AB460" s="13" t="n"/>
      <c r="AC460" s="15">
        <f>IF($B460="","",IF($AB460&lt;&gt;"",$AB460,IF($AA460="","",IF($AA460&lt;=設定!$C$3,0,$AA460))))</f>
        <v/>
      </c>
      <c r="AD460" s="14">
        <f>IF($B460="","",IF(AND($AE460&lt;&gt;"",$AG460="",$AJ460=""),"保留中",IF($AJ460&lt;&gt;"",IF(N($AC460)&gt;0,"支給済","不支給"),IF($AC460="","要確認",IF($AC460=0,"不支給","未処理")))))</f>
        <v/>
      </c>
      <c r="AE460" s="12" t="n"/>
      <c r="AF460" s="11" t="n"/>
      <c r="AG460" s="11" t="n"/>
      <c r="AH460" s="11" t="n"/>
      <c r="AI460" s="14">
        <f>IF(AND($AD460="保留中",$AF460&lt;&gt;""),TODAY()-$AF460,"")</f>
        <v/>
      </c>
      <c r="AJ460" s="12" t="inlineStr">
        <is>
          <t>R8.4</t>
        </is>
      </c>
      <c r="AK460" s="14">
        <f>IF($B460="","",IF($AO460="","対象年月が未入力／","")&amp;IF($B460="","",IF($AN460="","職員マスタに未登録の職員番号／",IF($Y460="","標準報酬月額が未登録／","")&amp;IF(AND($AO460&lt;&gt;"",OR(AND(INDEX(職員マスタ!$G$6:$G$405,$AN460)&lt;&gt;"",INDEX(職員マスタ!$G$6:$G$405,$AN460)&gt;EOMONTH($AO460,0)),AND(INDEX(職員マスタ!$H$6:$H$405,$AN460)&lt;&gt;"",INDEX(職員マスタ!$H$6:$H$405,$AN460)&lt;$AO460))),"対象月が時短期間外／","")&amp;IF(AND(INDEX(職員マスタ!$F$6:$F$405,$AN460)&lt;&gt;"",$AO460&lt;&gt;"",INDEX(職員マスタ!$F$6:$F$405,$AN460)&lt;$AO460),"対象月に子が2歳到達済／","")&amp;IF(AND($H460&lt;&gt;"",INDEX(職員マスタ!$B$6:$B$405,$AN460)&lt;&gt;"",SUBSTITUTE(SUBSTITUTE($H460," ","")," ","")&lt;&gt;SUBSTITUTE(SUBSTITUTE(INDEX(職員マスタ!$B$6:$B$405,$AN460)," ","")," ","")),"氏名がマスタと相違／","")&amp;IF(AND($Q460&lt;&gt;"",INDEX(職員マスタ!$E$6:$E$405,$AN460)&lt;&gt;"",$Q460&lt;&gt;INDEX(職員マスタ!$E$6:$E$405,$AN460)),"子の生年月日がマスタと相違／","")&amp;IF(AND($L460&lt;&gt;"",INDEX(職員マスタ!$G$6:$G$405,$AN460)&lt;&gt;"",$L460&lt;&gt;INDEX(職員マスタ!$G$6:$G$405,$AN460)),"時短開始日がマスタと相違／","")&amp;IF(AND($M460&lt;&gt;"",INDEX(職員マスタ!$H$6:$H$405,$AN460)&lt;&gt;"",$M460&lt;&gt;INDEX(職員マスタ!$H$6:$H$405,$AN460)),"時短終了日がマスタと相違／","")))&amp;IF(AND($B460&lt;&gt;"",$E460=""),"報酬額が未入力／","")&amp;IF(N($U460)&gt;0,"申請書に入力エラーが残っています／","")&amp;IF(AND($B460&lt;&gt;"",$AO460&lt;&gt;""),IF(COUNTIFS($B$6:$B$3005,$B460,$C$6:$C$3005,$C460,$D$6:$D$3005,$D460)&gt;1,"同じ月の請求が重複しています／",""),"")&amp;IF(AND(N($E460)&gt;0,$Z460&lt;&gt;"",$Z460&lt;&gt;"×",$AC460=0,$AB460=""),"計算額が下限以下のため不支給／",""))</f>
        <v/>
      </c>
      <c r="AL460" s="12" t="n"/>
      <c r="AM460" s="14">
        <f>IF($AD460="保留中",COUNTIF($AD$6:$AD460,"保留中"),"")</f>
        <v/>
      </c>
      <c r="AN460" s="14">
        <f>IF($AO460="","",IF(SUMPRODUCT(MAX((職員マスタ!$A$6:$A$405=$B460)*(((職員マスタ!$G$6:$G$405="")+(職員マスタ!$G$6:$G$405&lt;=EOMONTH($AO460,0)))&gt;0)*(((職員マスタ!$H$6:$H$405="")+(職員マスタ!$H$6:$H$405&gt;=$AO460))&gt;0)*(ROW(職員マスタ!$A$6:$A$405)-5)))&gt;0,SUMPRODUCT(MAX((職員マスタ!$A$6:$A$405=$B460)*(((職員マスタ!$G$6:$G$405="")+(職員マスタ!$G$6:$G$405&lt;=EOMONTH($AO460,0)))&gt;0)*(((職員マスタ!$H$6:$H$405="")+(職員マスタ!$H$6:$H$405&gt;=$AO460))&gt;0)*(ROW(職員マスタ!$A$6:$A$405)-5))),IFERROR(MATCH($B460,職員マスタ!$A$6:$A$405,0),"")))</f>
        <v/>
      </c>
      <c r="AO460" s="16">
        <f>IF(OR($B460="",$C460="",$D460=""),"",DATE($C460+2018,$D460,1))</f>
        <v/>
      </c>
    </row>
    <row r="461">
      <c r="A461" s="11" t="n"/>
      <c r="B461" s="12" t="n">
        <v>7103724</v>
      </c>
      <c r="C461" s="12" t="n">
        <v>8</v>
      </c>
      <c r="D461" s="12" t="n">
        <v>3</v>
      </c>
      <c r="E461" s="13" t="n">
        <v>228492</v>
      </c>
      <c r="F461" s="12" t="n"/>
      <c r="G461" s="13" t="n"/>
      <c r="H461" s="12" t="n"/>
      <c r="I461" s="12" t="n"/>
      <c r="J461" s="12" t="n"/>
      <c r="K461" s="12" t="n"/>
      <c r="L461" s="11" t="n"/>
      <c r="M461" s="11" t="n"/>
      <c r="N461" s="11" t="n"/>
      <c r="O461" s="11" t="n"/>
      <c r="P461" s="12" t="n"/>
      <c r="Q461" s="11" t="n"/>
      <c r="R461" s="12" t="n"/>
      <c r="S461" s="11" t="n"/>
      <c r="T461" s="12" t="n"/>
      <c r="U461" s="12" t="n"/>
      <c r="V461" s="14">
        <f>IF($AN461="",IF($B461="","",$H461),IF(INDEX(職員マスタ!$B$6:$B$405,$AN461)="",$H461,INDEX(職員マスタ!$B$6:$B$405,$AN461)))</f>
        <v/>
      </c>
      <c r="W461" s="14">
        <f>IF($AN461="",IF($B461="","",$R461),IF(INDEX(職員マスタ!$C$6:$C$405,$AN461)="",$R461,INDEX(職員マスタ!$C$6:$C$405,$AN461)))</f>
        <v/>
      </c>
      <c r="X461" s="14">
        <f>IF($AO461="","","R"&amp;$C461&amp;"."&amp;$D461)</f>
        <v/>
      </c>
      <c r="Y461" s="15">
        <f>IF($AN461="","",IF(INDEX(職員マスタ!$K$6:$K$405,$AN461)="","",INDEX(職員マスタ!$K$6:$K$405,$AN461)))</f>
        <v/>
      </c>
      <c r="Z461" s="14">
        <f>IF(OR($E461="",$Y461=""),"",IF($E461&gt;=$Y461,"×",IF($E461&gt;=$Y461*設定!$C$5,"△","○")))</f>
        <v/>
      </c>
      <c r="AA461" s="15">
        <f>IF($Z461="","",IF($Z461="×",0,IF($Z461="○",ROUNDDOWN($E461*設定!$C$4,0),ROUNDDOWN($E461*ROUND((9*$Y461-9*$E461)/(10*$E461),4),0))))</f>
        <v/>
      </c>
      <c r="AB461" s="13" t="n"/>
      <c r="AC461" s="15">
        <f>IF($B461="","",IF($AB461&lt;&gt;"",$AB461,IF($AA461="","",IF($AA461&lt;=設定!$C$3,0,$AA461))))</f>
        <v/>
      </c>
      <c r="AD461" s="14">
        <f>IF($B461="","",IF(AND($AE461&lt;&gt;"",$AG461="",$AJ461=""),"保留中",IF($AJ461&lt;&gt;"",IF(N($AC461)&gt;0,"支給済","不支給"),IF($AC461="","要確認",IF($AC461=0,"不支給","未処理")))))</f>
        <v/>
      </c>
      <c r="AE461" s="12" t="n"/>
      <c r="AF461" s="11" t="n"/>
      <c r="AG461" s="11" t="n"/>
      <c r="AH461" s="11" t="n"/>
      <c r="AI461" s="14">
        <f>IF(AND($AD461="保留中",$AF461&lt;&gt;""),TODAY()-$AF461,"")</f>
        <v/>
      </c>
      <c r="AJ461" s="12" t="inlineStr">
        <is>
          <t>R8.10</t>
        </is>
      </c>
      <c r="AK461" s="14">
        <f>IF($B461="","",IF($AO461="","対象年月が未入力／","")&amp;IF($B461="","",IF($AN461="","職員マスタに未登録の職員番号／",IF($Y461="","標準報酬月額が未登録／","")&amp;IF(AND($AO461&lt;&gt;"",OR(AND(INDEX(職員マスタ!$G$6:$G$405,$AN461)&lt;&gt;"",INDEX(職員マスタ!$G$6:$G$405,$AN461)&gt;EOMONTH($AO461,0)),AND(INDEX(職員マスタ!$H$6:$H$405,$AN461)&lt;&gt;"",INDEX(職員マスタ!$H$6:$H$405,$AN461)&lt;$AO461))),"対象月が時短期間外／","")&amp;IF(AND(INDEX(職員マスタ!$F$6:$F$405,$AN461)&lt;&gt;"",$AO461&lt;&gt;"",INDEX(職員マスタ!$F$6:$F$405,$AN461)&lt;$AO461),"対象月に子が2歳到達済／","")&amp;IF(AND($H461&lt;&gt;"",INDEX(職員マスタ!$B$6:$B$405,$AN461)&lt;&gt;"",SUBSTITUTE(SUBSTITUTE($H461," ","")," ","")&lt;&gt;SUBSTITUTE(SUBSTITUTE(INDEX(職員マスタ!$B$6:$B$405,$AN461)," ","")," ","")),"氏名がマスタと相違／","")&amp;IF(AND($Q461&lt;&gt;"",INDEX(職員マスタ!$E$6:$E$405,$AN461)&lt;&gt;"",$Q461&lt;&gt;INDEX(職員マスタ!$E$6:$E$405,$AN461)),"子の生年月日がマスタと相違／","")&amp;IF(AND($L461&lt;&gt;"",INDEX(職員マスタ!$G$6:$G$405,$AN461)&lt;&gt;"",$L461&lt;&gt;INDEX(職員マスタ!$G$6:$G$405,$AN461)),"時短開始日がマスタと相違／","")&amp;IF(AND($M461&lt;&gt;"",INDEX(職員マスタ!$H$6:$H$405,$AN461)&lt;&gt;"",$M461&lt;&gt;INDEX(職員マスタ!$H$6:$H$405,$AN461)),"時短終了日がマスタと相違／","")))&amp;IF(AND($B461&lt;&gt;"",$E461=""),"報酬額が未入力／","")&amp;IF(N($U461)&gt;0,"申請書に入力エラーが残っています／","")&amp;IF(AND($B461&lt;&gt;"",$AO461&lt;&gt;""),IF(COUNTIFS($B$6:$B$3005,$B461,$C$6:$C$3005,$C461,$D$6:$D$3005,$D461)&gt;1,"同じ月の請求が重複しています／",""),"")&amp;IF(AND(N($E461)&gt;0,$Z461&lt;&gt;"",$Z461&lt;&gt;"×",$AC461=0,$AB461=""),"計算額が下限以下のため不支給／",""))</f>
        <v/>
      </c>
      <c r="AL461" s="12" t="n"/>
      <c r="AM461" s="14">
        <f>IF($AD461="保留中",COUNTIF($AD$6:$AD461,"保留中"),"")</f>
        <v/>
      </c>
      <c r="AN461" s="14">
        <f>IF($AO461="","",IF(SUMPRODUCT(MAX((職員マスタ!$A$6:$A$405=$B461)*(((職員マスタ!$G$6:$G$405="")+(職員マスタ!$G$6:$G$405&lt;=EOMONTH($AO461,0)))&gt;0)*(((職員マスタ!$H$6:$H$405="")+(職員マスタ!$H$6:$H$405&gt;=$AO461))&gt;0)*(ROW(職員マスタ!$A$6:$A$405)-5)))&gt;0,SUMPRODUCT(MAX((職員マスタ!$A$6:$A$405=$B461)*(((職員マスタ!$G$6:$G$405="")+(職員マスタ!$G$6:$G$405&lt;=EOMONTH($AO461,0)))&gt;0)*(((職員マスタ!$H$6:$H$405="")+(職員マスタ!$H$6:$H$405&gt;=$AO461))&gt;0)*(ROW(職員マスタ!$A$6:$A$405)-5))),IFERROR(MATCH($B461,職員マスタ!$A$6:$A$405,0),"")))</f>
        <v/>
      </c>
      <c r="AO461" s="16">
        <f>IF(OR($B461="",$C461="",$D461=""),"",DATE($C461+2018,$D461,1))</f>
        <v/>
      </c>
    </row>
    <row r="462">
      <c r="A462" s="11" t="n"/>
      <c r="B462" s="12" t="n">
        <v>7141567</v>
      </c>
      <c r="C462" s="12" t="n">
        <v>7</v>
      </c>
      <c r="D462" s="12" t="n">
        <v>4</v>
      </c>
      <c r="E462" s="13" t="n">
        <v>262156</v>
      </c>
      <c r="F462" s="12" t="n"/>
      <c r="G462" s="13" t="n"/>
      <c r="H462" s="12" t="n"/>
      <c r="I462" s="12" t="n"/>
      <c r="J462" s="12" t="n"/>
      <c r="K462" s="12" t="n"/>
      <c r="L462" s="11" t="n"/>
      <c r="M462" s="11" t="n"/>
      <c r="N462" s="11" t="n"/>
      <c r="O462" s="11" t="n"/>
      <c r="P462" s="12" t="n"/>
      <c r="Q462" s="11" t="n"/>
      <c r="R462" s="12" t="n"/>
      <c r="S462" s="11" t="n"/>
      <c r="T462" s="12" t="n"/>
      <c r="U462" s="12" t="n"/>
      <c r="V462" s="14">
        <f>IF($AN462="",IF($B462="","",$H462),IF(INDEX(職員マスタ!$B$6:$B$405,$AN462)="",$H462,INDEX(職員マスタ!$B$6:$B$405,$AN462)))</f>
        <v/>
      </c>
      <c r="W462" s="14">
        <f>IF($AN462="",IF($B462="","",$R462),IF(INDEX(職員マスタ!$C$6:$C$405,$AN462)="",$R462,INDEX(職員マスタ!$C$6:$C$405,$AN462)))</f>
        <v/>
      </c>
      <c r="X462" s="14">
        <f>IF($AO462="","","R"&amp;$C462&amp;"."&amp;$D462)</f>
        <v/>
      </c>
      <c r="Y462" s="15">
        <f>IF($AN462="","",IF(INDEX(職員マスタ!$K$6:$K$405,$AN462)="","",INDEX(職員マスタ!$K$6:$K$405,$AN462)))</f>
        <v/>
      </c>
      <c r="Z462" s="14">
        <f>IF(OR($E462="",$Y462=""),"",IF($E462&gt;=$Y462,"×",IF($E462&gt;=$Y462*設定!$C$5,"△","○")))</f>
        <v/>
      </c>
      <c r="AA462" s="15">
        <f>IF($Z462="","",IF($Z462="×",0,IF($Z462="○",ROUNDDOWN($E462*設定!$C$4,0),ROUNDDOWN($E462*ROUND((9*$Y462-9*$E462)/(10*$E462),4),0))))</f>
        <v/>
      </c>
      <c r="AB462" s="13" t="n"/>
      <c r="AC462" s="15">
        <f>IF($B462="","",IF($AB462&lt;&gt;"",$AB462,IF($AA462="","",IF($AA462&lt;=設定!$C$3,0,$AA462))))</f>
        <v/>
      </c>
      <c r="AD462" s="14">
        <f>IF($B462="","",IF(AND($AE462&lt;&gt;"",$AG462="",$AJ462=""),"保留中",IF($AJ462&lt;&gt;"",IF(N($AC462)&gt;0,"支給済","不支給"),IF($AC462="","要確認",IF($AC462=0,"不支給","未処理")))))</f>
        <v/>
      </c>
      <c r="AE462" s="12" t="n"/>
      <c r="AF462" s="11" t="n"/>
      <c r="AG462" s="11" t="n"/>
      <c r="AH462" s="11" t="n"/>
      <c r="AI462" s="14">
        <f>IF(AND($AD462="保留中",$AF462&lt;&gt;""),TODAY()-$AF462,"")</f>
        <v/>
      </c>
      <c r="AJ462" s="12" t="inlineStr">
        <is>
          <t>R7.9</t>
        </is>
      </c>
      <c r="AK462" s="14">
        <f>IF($B462="","",IF($AO462="","対象年月が未入力／","")&amp;IF($B462="","",IF($AN462="","職員マスタに未登録の職員番号／",IF($Y462="","標準報酬月額が未登録／","")&amp;IF(AND($AO462&lt;&gt;"",OR(AND(INDEX(職員マスタ!$G$6:$G$405,$AN462)&lt;&gt;"",INDEX(職員マスタ!$G$6:$G$405,$AN462)&gt;EOMONTH($AO462,0)),AND(INDEX(職員マスタ!$H$6:$H$405,$AN462)&lt;&gt;"",INDEX(職員マスタ!$H$6:$H$405,$AN462)&lt;$AO462))),"対象月が時短期間外／","")&amp;IF(AND(INDEX(職員マスタ!$F$6:$F$405,$AN462)&lt;&gt;"",$AO462&lt;&gt;"",INDEX(職員マスタ!$F$6:$F$405,$AN462)&lt;$AO462),"対象月に子が2歳到達済／","")&amp;IF(AND($H462&lt;&gt;"",INDEX(職員マスタ!$B$6:$B$405,$AN462)&lt;&gt;"",SUBSTITUTE(SUBSTITUTE($H462," ","")," ","")&lt;&gt;SUBSTITUTE(SUBSTITUTE(INDEX(職員マスタ!$B$6:$B$405,$AN462)," ","")," ","")),"氏名がマスタと相違／","")&amp;IF(AND($Q462&lt;&gt;"",INDEX(職員マスタ!$E$6:$E$405,$AN462)&lt;&gt;"",$Q462&lt;&gt;INDEX(職員マスタ!$E$6:$E$405,$AN462)),"子の生年月日がマスタと相違／","")&amp;IF(AND($L462&lt;&gt;"",INDEX(職員マスタ!$G$6:$G$405,$AN462)&lt;&gt;"",$L462&lt;&gt;INDEX(職員マスタ!$G$6:$G$405,$AN462)),"時短開始日がマスタと相違／","")&amp;IF(AND($M462&lt;&gt;"",INDEX(職員マスタ!$H$6:$H$405,$AN462)&lt;&gt;"",$M462&lt;&gt;INDEX(職員マスタ!$H$6:$H$405,$AN462)),"時短終了日がマスタと相違／","")))&amp;IF(AND($B462&lt;&gt;"",$E462=""),"報酬額が未入力／","")&amp;IF(N($U462)&gt;0,"申請書に入力エラーが残っています／","")&amp;IF(AND($B462&lt;&gt;"",$AO462&lt;&gt;""),IF(COUNTIFS($B$6:$B$3005,$B462,$C$6:$C$3005,$C462,$D$6:$D$3005,$D462)&gt;1,"同じ月の請求が重複しています／",""),"")&amp;IF(AND(N($E462)&gt;0,$Z462&lt;&gt;"",$Z462&lt;&gt;"×",$AC462=0,$AB462=""),"計算額が下限以下のため不支給／",""))</f>
        <v/>
      </c>
      <c r="AL462" s="12" t="n"/>
      <c r="AM462" s="14">
        <f>IF($AD462="保留中",COUNTIF($AD$6:$AD462,"保留中"),"")</f>
        <v/>
      </c>
      <c r="AN462" s="14">
        <f>IF($AO462="","",IF(SUMPRODUCT(MAX((職員マスタ!$A$6:$A$405=$B462)*(((職員マスタ!$G$6:$G$405="")+(職員マスタ!$G$6:$G$405&lt;=EOMONTH($AO462,0)))&gt;0)*(((職員マスタ!$H$6:$H$405="")+(職員マスタ!$H$6:$H$405&gt;=$AO462))&gt;0)*(ROW(職員マスタ!$A$6:$A$405)-5)))&gt;0,SUMPRODUCT(MAX((職員マスタ!$A$6:$A$405=$B462)*(((職員マスタ!$G$6:$G$405="")+(職員マスタ!$G$6:$G$405&lt;=EOMONTH($AO462,0)))&gt;0)*(((職員マスタ!$H$6:$H$405="")+(職員マスタ!$H$6:$H$405&gt;=$AO462))&gt;0)*(ROW(職員マスタ!$A$6:$A$405)-5))),IFERROR(MATCH($B462,職員マスタ!$A$6:$A$405,0),"")))</f>
        <v/>
      </c>
      <c r="AO462" s="16">
        <f>IF(OR($B462="",$C462="",$D462=""),"",DATE($C462+2018,$D462,1))</f>
        <v/>
      </c>
    </row>
    <row r="463">
      <c r="A463" s="11" t="n"/>
      <c r="B463" s="12" t="n">
        <v>7141567</v>
      </c>
      <c r="C463" s="12" t="n">
        <v>7</v>
      </c>
      <c r="D463" s="12" t="n">
        <v>5</v>
      </c>
      <c r="E463" s="13" t="n">
        <v>222916</v>
      </c>
      <c r="F463" s="12" t="n"/>
      <c r="G463" s="13" t="n"/>
      <c r="H463" s="12" t="n"/>
      <c r="I463" s="12" t="n"/>
      <c r="J463" s="12" t="n"/>
      <c r="K463" s="12" t="n"/>
      <c r="L463" s="11" t="n"/>
      <c r="M463" s="11" t="n"/>
      <c r="N463" s="11" t="n"/>
      <c r="O463" s="11" t="n"/>
      <c r="P463" s="12" t="n"/>
      <c r="Q463" s="11" t="n"/>
      <c r="R463" s="12" t="n"/>
      <c r="S463" s="11" t="n"/>
      <c r="T463" s="12" t="n"/>
      <c r="U463" s="12" t="n"/>
      <c r="V463" s="14">
        <f>IF($AN463="",IF($B463="","",$H463),IF(INDEX(職員マスタ!$B$6:$B$405,$AN463)="",$H463,INDEX(職員マスタ!$B$6:$B$405,$AN463)))</f>
        <v/>
      </c>
      <c r="W463" s="14">
        <f>IF($AN463="",IF($B463="","",$R463),IF(INDEX(職員マスタ!$C$6:$C$405,$AN463)="",$R463,INDEX(職員マスタ!$C$6:$C$405,$AN463)))</f>
        <v/>
      </c>
      <c r="X463" s="14">
        <f>IF($AO463="","","R"&amp;$C463&amp;"."&amp;$D463)</f>
        <v/>
      </c>
      <c r="Y463" s="15">
        <f>IF($AN463="","",IF(INDEX(職員マスタ!$K$6:$K$405,$AN463)="","",INDEX(職員マスタ!$K$6:$K$405,$AN463)))</f>
        <v/>
      </c>
      <c r="Z463" s="14">
        <f>IF(OR($E463="",$Y463=""),"",IF($E463&gt;=$Y463,"×",IF($E463&gt;=$Y463*設定!$C$5,"△","○")))</f>
        <v/>
      </c>
      <c r="AA463" s="15">
        <f>IF($Z463="","",IF($Z463="×",0,IF($Z463="○",ROUNDDOWN($E463*設定!$C$4,0),ROUNDDOWN($E463*ROUND((9*$Y463-9*$E463)/(10*$E463),4),0))))</f>
        <v/>
      </c>
      <c r="AB463" s="13" t="n"/>
      <c r="AC463" s="15">
        <f>IF($B463="","",IF($AB463&lt;&gt;"",$AB463,IF($AA463="","",IF($AA463&lt;=設定!$C$3,0,$AA463))))</f>
        <v/>
      </c>
      <c r="AD463" s="14">
        <f>IF($B463="","",IF(AND($AE463&lt;&gt;"",$AG463="",$AJ463=""),"保留中",IF($AJ463&lt;&gt;"",IF(N($AC463)&gt;0,"支給済","不支給"),IF($AC463="","要確認",IF($AC463=0,"不支給","未処理")))))</f>
        <v/>
      </c>
      <c r="AE463" s="12" t="n"/>
      <c r="AF463" s="11" t="n"/>
      <c r="AG463" s="11" t="n"/>
      <c r="AH463" s="11" t="n"/>
      <c r="AI463" s="14">
        <f>IF(AND($AD463="保留中",$AF463&lt;&gt;""),TODAY()-$AF463,"")</f>
        <v/>
      </c>
      <c r="AJ463" s="12" t="inlineStr">
        <is>
          <t>R7.9</t>
        </is>
      </c>
      <c r="AK463" s="14">
        <f>IF($B463="","",IF($AO463="","対象年月が未入力／","")&amp;IF($B463="","",IF($AN463="","職員マスタに未登録の職員番号／",IF($Y463="","標準報酬月額が未登録／","")&amp;IF(AND($AO463&lt;&gt;"",OR(AND(INDEX(職員マスタ!$G$6:$G$405,$AN463)&lt;&gt;"",INDEX(職員マスタ!$G$6:$G$405,$AN463)&gt;EOMONTH($AO463,0)),AND(INDEX(職員マスタ!$H$6:$H$405,$AN463)&lt;&gt;"",INDEX(職員マスタ!$H$6:$H$405,$AN463)&lt;$AO463))),"対象月が時短期間外／","")&amp;IF(AND(INDEX(職員マスタ!$F$6:$F$405,$AN463)&lt;&gt;"",$AO463&lt;&gt;"",INDEX(職員マスタ!$F$6:$F$405,$AN463)&lt;$AO463),"対象月に子が2歳到達済／","")&amp;IF(AND($H463&lt;&gt;"",INDEX(職員マスタ!$B$6:$B$405,$AN463)&lt;&gt;"",SUBSTITUTE(SUBSTITUTE($H463," ","")," ","")&lt;&gt;SUBSTITUTE(SUBSTITUTE(INDEX(職員マスタ!$B$6:$B$405,$AN463)," ","")," ","")),"氏名がマスタと相違／","")&amp;IF(AND($Q463&lt;&gt;"",INDEX(職員マスタ!$E$6:$E$405,$AN463)&lt;&gt;"",$Q463&lt;&gt;INDEX(職員マスタ!$E$6:$E$405,$AN463)),"子の生年月日がマスタと相違／","")&amp;IF(AND($L463&lt;&gt;"",INDEX(職員マスタ!$G$6:$G$405,$AN463)&lt;&gt;"",$L463&lt;&gt;INDEX(職員マスタ!$G$6:$G$405,$AN463)),"時短開始日がマスタと相違／","")&amp;IF(AND($M463&lt;&gt;"",INDEX(職員マスタ!$H$6:$H$405,$AN463)&lt;&gt;"",$M463&lt;&gt;INDEX(職員マスタ!$H$6:$H$405,$AN463)),"時短終了日がマスタと相違／","")))&amp;IF(AND($B463&lt;&gt;"",$E463=""),"報酬額が未入力／","")&amp;IF(N($U463)&gt;0,"申請書に入力エラーが残っています／","")&amp;IF(AND($B463&lt;&gt;"",$AO463&lt;&gt;""),IF(COUNTIFS($B$6:$B$3005,$B463,$C$6:$C$3005,$C463,$D$6:$D$3005,$D463)&gt;1,"同じ月の請求が重複しています／",""),"")&amp;IF(AND(N($E463)&gt;0,$Z463&lt;&gt;"",$Z463&lt;&gt;"×",$AC463=0,$AB463=""),"計算額が下限以下のため不支給／",""))</f>
        <v/>
      </c>
      <c r="AL463" s="12" t="n"/>
      <c r="AM463" s="14">
        <f>IF($AD463="保留中",COUNTIF($AD$6:$AD463,"保留中"),"")</f>
        <v/>
      </c>
      <c r="AN463" s="14">
        <f>IF($AO463="","",IF(SUMPRODUCT(MAX((職員マスタ!$A$6:$A$405=$B463)*(((職員マスタ!$G$6:$G$405="")+(職員マスタ!$G$6:$G$405&lt;=EOMONTH($AO463,0)))&gt;0)*(((職員マスタ!$H$6:$H$405="")+(職員マスタ!$H$6:$H$405&gt;=$AO463))&gt;0)*(ROW(職員マスタ!$A$6:$A$405)-5)))&gt;0,SUMPRODUCT(MAX((職員マスタ!$A$6:$A$405=$B463)*(((職員マスタ!$G$6:$G$405="")+(職員マスタ!$G$6:$G$405&lt;=EOMONTH($AO463,0)))&gt;0)*(((職員マスタ!$H$6:$H$405="")+(職員マスタ!$H$6:$H$405&gt;=$AO463))&gt;0)*(ROW(職員マスタ!$A$6:$A$405)-5))),IFERROR(MATCH($B463,職員マスタ!$A$6:$A$405,0),"")))</f>
        <v/>
      </c>
      <c r="AO463" s="16">
        <f>IF(OR($B463="",$C463="",$D463=""),"",DATE($C463+2018,$D463,1))</f>
        <v/>
      </c>
    </row>
    <row r="464">
      <c r="A464" s="11" t="n"/>
      <c r="B464" s="12" t="n">
        <v>7141567</v>
      </c>
      <c r="C464" s="12" t="n">
        <v>7</v>
      </c>
      <c r="D464" s="12" t="n">
        <v>6</v>
      </c>
      <c r="E464" s="13" t="n">
        <v>206566</v>
      </c>
      <c r="F464" s="12" t="n"/>
      <c r="G464" s="13" t="n"/>
      <c r="H464" s="12" t="n"/>
      <c r="I464" s="12" t="n"/>
      <c r="J464" s="12" t="n"/>
      <c r="K464" s="12" t="n"/>
      <c r="L464" s="11" t="n"/>
      <c r="M464" s="11" t="n"/>
      <c r="N464" s="11" t="n"/>
      <c r="O464" s="11" t="n"/>
      <c r="P464" s="12" t="n"/>
      <c r="Q464" s="11" t="n"/>
      <c r="R464" s="12" t="n"/>
      <c r="S464" s="11" t="n"/>
      <c r="T464" s="12" t="n"/>
      <c r="U464" s="12" t="n"/>
      <c r="V464" s="14">
        <f>IF($AN464="",IF($B464="","",$H464),IF(INDEX(職員マスタ!$B$6:$B$405,$AN464)="",$H464,INDEX(職員マスタ!$B$6:$B$405,$AN464)))</f>
        <v/>
      </c>
      <c r="W464" s="14">
        <f>IF($AN464="",IF($B464="","",$R464),IF(INDEX(職員マスタ!$C$6:$C$405,$AN464)="",$R464,INDEX(職員マスタ!$C$6:$C$405,$AN464)))</f>
        <v/>
      </c>
      <c r="X464" s="14">
        <f>IF($AO464="","","R"&amp;$C464&amp;"."&amp;$D464)</f>
        <v/>
      </c>
      <c r="Y464" s="15">
        <f>IF($AN464="","",IF(INDEX(職員マスタ!$K$6:$K$405,$AN464)="","",INDEX(職員マスタ!$K$6:$K$405,$AN464)))</f>
        <v/>
      </c>
      <c r="Z464" s="14">
        <f>IF(OR($E464="",$Y464=""),"",IF($E464&gt;=$Y464,"×",IF($E464&gt;=$Y464*設定!$C$5,"△","○")))</f>
        <v/>
      </c>
      <c r="AA464" s="15">
        <f>IF($Z464="","",IF($Z464="×",0,IF($Z464="○",ROUNDDOWN($E464*設定!$C$4,0),ROUNDDOWN($E464*ROUND((9*$Y464-9*$E464)/(10*$E464),4),0))))</f>
        <v/>
      </c>
      <c r="AB464" s="13" t="n"/>
      <c r="AC464" s="15">
        <f>IF($B464="","",IF($AB464&lt;&gt;"",$AB464,IF($AA464="","",IF($AA464&lt;=設定!$C$3,0,$AA464))))</f>
        <v/>
      </c>
      <c r="AD464" s="14">
        <f>IF($B464="","",IF(AND($AE464&lt;&gt;"",$AG464="",$AJ464=""),"保留中",IF($AJ464&lt;&gt;"",IF(N($AC464)&gt;0,"支給済","不支給"),IF($AC464="","要確認",IF($AC464=0,"不支給","未処理")))))</f>
        <v/>
      </c>
      <c r="AE464" s="12" t="n"/>
      <c r="AF464" s="11" t="n"/>
      <c r="AG464" s="11" t="n"/>
      <c r="AH464" s="11" t="n"/>
      <c r="AI464" s="14">
        <f>IF(AND($AD464="保留中",$AF464&lt;&gt;""),TODAY()-$AF464,"")</f>
        <v/>
      </c>
      <c r="AJ464" s="12" t="inlineStr">
        <is>
          <t>R7.9</t>
        </is>
      </c>
      <c r="AK464" s="14">
        <f>IF($B464="","",IF($AO464="","対象年月が未入力／","")&amp;IF($B464="","",IF($AN464="","職員マスタに未登録の職員番号／",IF($Y464="","標準報酬月額が未登録／","")&amp;IF(AND($AO464&lt;&gt;"",OR(AND(INDEX(職員マスタ!$G$6:$G$405,$AN464)&lt;&gt;"",INDEX(職員マスタ!$G$6:$G$405,$AN464)&gt;EOMONTH($AO464,0)),AND(INDEX(職員マスタ!$H$6:$H$405,$AN464)&lt;&gt;"",INDEX(職員マスタ!$H$6:$H$405,$AN464)&lt;$AO464))),"対象月が時短期間外／","")&amp;IF(AND(INDEX(職員マスタ!$F$6:$F$405,$AN464)&lt;&gt;"",$AO464&lt;&gt;"",INDEX(職員マスタ!$F$6:$F$405,$AN464)&lt;$AO464),"対象月に子が2歳到達済／","")&amp;IF(AND($H464&lt;&gt;"",INDEX(職員マスタ!$B$6:$B$405,$AN464)&lt;&gt;"",SUBSTITUTE(SUBSTITUTE($H464," ","")," ","")&lt;&gt;SUBSTITUTE(SUBSTITUTE(INDEX(職員マスタ!$B$6:$B$405,$AN464)," ","")," ","")),"氏名がマスタと相違／","")&amp;IF(AND($Q464&lt;&gt;"",INDEX(職員マスタ!$E$6:$E$405,$AN464)&lt;&gt;"",$Q464&lt;&gt;INDEX(職員マスタ!$E$6:$E$405,$AN464)),"子の生年月日がマスタと相違／","")&amp;IF(AND($L464&lt;&gt;"",INDEX(職員マスタ!$G$6:$G$405,$AN464)&lt;&gt;"",$L464&lt;&gt;INDEX(職員マスタ!$G$6:$G$405,$AN464)),"時短開始日がマスタと相違／","")&amp;IF(AND($M464&lt;&gt;"",INDEX(職員マスタ!$H$6:$H$405,$AN464)&lt;&gt;"",$M464&lt;&gt;INDEX(職員マスタ!$H$6:$H$405,$AN464)),"時短終了日がマスタと相違／","")))&amp;IF(AND($B464&lt;&gt;"",$E464=""),"報酬額が未入力／","")&amp;IF(N($U464)&gt;0,"申請書に入力エラーが残っています／","")&amp;IF(AND($B464&lt;&gt;"",$AO464&lt;&gt;""),IF(COUNTIFS($B$6:$B$3005,$B464,$C$6:$C$3005,$C464,$D$6:$D$3005,$D464)&gt;1,"同じ月の請求が重複しています／",""),"")&amp;IF(AND(N($E464)&gt;0,$Z464&lt;&gt;"",$Z464&lt;&gt;"×",$AC464=0,$AB464=""),"計算額が下限以下のため不支給／",""))</f>
        <v/>
      </c>
      <c r="AL464" s="12" t="n"/>
      <c r="AM464" s="14">
        <f>IF($AD464="保留中",COUNTIF($AD$6:$AD464,"保留中"),"")</f>
        <v/>
      </c>
      <c r="AN464" s="14">
        <f>IF($AO464="","",IF(SUMPRODUCT(MAX((職員マスタ!$A$6:$A$405=$B464)*(((職員マスタ!$G$6:$G$405="")+(職員マスタ!$G$6:$G$405&lt;=EOMONTH($AO464,0)))&gt;0)*(((職員マスタ!$H$6:$H$405="")+(職員マスタ!$H$6:$H$405&gt;=$AO464))&gt;0)*(ROW(職員マスタ!$A$6:$A$405)-5)))&gt;0,SUMPRODUCT(MAX((職員マスタ!$A$6:$A$405=$B464)*(((職員マスタ!$G$6:$G$405="")+(職員マスタ!$G$6:$G$405&lt;=EOMONTH($AO464,0)))&gt;0)*(((職員マスタ!$H$6:$H$405="")+(職員マスタ!$H$6:$H$405&gt;=$AO464))&gt;0)*(ROW(職員マスタ!$A$6:$A$405)-5))),IFERROR(MATCH($B464,職員マスタ!$A$6:$A$405,0),"")))</f>
        <v/>
      </c>
      <c r="AO464" s="16">
        <f>IF(OR($B464="",$C464="",$D464=""),"",DATE($C464+2018,$D464,1))</f>
        <v/>
      </c>
    </row>
    <row r="465">
      <c r="A465" s="11" t="n"/>
      <c r="B465" s="12" t="n">
        <v>7141567</v>
      </c>
      <c r="C465" s="12" t="n">
        <v>7</v>
      </c>
      <c r="D465" s="12" t="n">
        <v>7</v>
      </c>
      <c r="E465" s="13" t="n">
        <v>201661</v>
      </c>
      <c r="F465" s="12" t="n"/>
      <c r="G465" s="13" t="n"/>
      <c r="H465" s="12" t="n"/>
      <c r="I465" s="12" t="n"/>
      <c r="J465" s="12" t="n"/>
      <c r="K465" s="12" t="n"/>
      <c r="L465" s="11" t="n"/>
      <c r="M465" s="11" t="n"/>
      <c r="N465" s="11" t="n"/>
      <c r="O465" s="11" t="n"/>
      <c r="P465" s="12" t="n"/>
      <c r="Q465" s="11" t="n"/>
      <c r="R465" s="12" t="n"/>
      <c r="S465" s="11" t="n"/>
      <c r="T465" s="12" t="n"/>
      <c r="U465" s="12" t="n"/>
      <c r="V465" s="14">
        <f>IF($AN465="",IF($B465="","",$H465),IF(INDEX(職員マスタ!$B$6:$B$405,$AN465)="",$H465,INDEX(職員マスタ!$B$6:$B$405,$AN465)))</f>
        <v/>
      </c>
      <c r="W465" s="14">
        <f>IF($AN465="",IF($B465="","",$R465),IF(INDEX(職員マスタ!$C$6:$C$405,$AN465)="",$R465,INDEX(職員マスタ!$C$6:$C$405,$AN465)))</f>
        <v/>
      </c>
      <c r="X465" s="14">
        <f>IF($AO465="","","R"&amp;$C465&amp;"."&amp;$D465)</f>
        <v/>
      </c>
      <c r="Y465" s="15">
        <f>IF($AN465="","",IF(INDEX(職員マスタ!$K$6:$K$405,$AN465)="","",INDEX(職員マスタ!$K$6:$K$405,$AN465)))</f>
        <v/>
      </c>
      <c r="Z465" s="14">
        <f>IF(OR($E465="",$Y465=""),"",IF($E465&gt;=$Y465,"×",IF($E465&gt;=$Y465*設定!$C$5,"△","○")))</f>
        <v/>
      </c>
      <c r="AA465" s="15">
        <f>IF($Z465="","",IF($Z465="×",0,IF($Z465="○",ROUNDDOWN($E465*設定!$C$4,0),ROUNDDOWN($E465*ROUND((9*$Y465-9*$E465)/(10*$E465),4),0))))</f>
        <v/>
      </c>
      <c r="AB465" s="13" t="n"/>
      <c r="AC465" s="15">
        <f>IF($B465="","",IF($AB465&lt;&gt;"",$AB465,IF($AA465="","",IF($AA465&lt;=設定!$C$3,0,$AA465))))</f>
        <v/>
      </c>
      <c r="AD465" s="14">
        <f>IF($B465="","",IF(AND($AE465&lt;&gt;"",$AG465="",$AJ465=""),"保留中",IF($AJ465&lt;&gt;"",IF(N($AC465)&gt;0,"支給済","不支給"),IF($AC465="","要確認",IF($AC465=0,"不支給","未処理")))))</f>
        <v/>
      </c>
      <c r="AE465" s="12" t="n"/>
      <c r="AF465" s="11" t="n"/>
      <c r="AG465" s="11" t="n"/>
      <c r="AH465" s="11" t="n"/>
      <c r="AI465" s="14">
        <f>IF(AND($AD465="保留中",$AF465&lt;&gt;""),TODAY()-$AF465,"")</f>
        <v/>
      </c>
      <c r="AJ465" s="12" t="inlineStr">
        <is>
          <t>R7.11</t>
        </is>
      </c>
      <c r="AK465" s="14">
        <f>IF($B465="","",IF($AO465="","対象年月が未入力／","")&amp;IF($B465="","",IF($AN465="","職員マスタに未登録の職員番号／",IF($Y465="","標準報酬月額が未登録／","")&amp;IF(AND($AO465&lt;&gt;"",OR(AND(INDEX(職員マスタ!$G$6:$G$405,$AN465)&lt;&gt;"",INDEX(職員マスタ!$G$6:$G$405,$AN465)&gt;EOMONTH($AO465,0)),AND(INDEX(職員マスタ!$H$6:$H$405,$AN465)&lt;&gt;"",INDEX(職員マスタ!$H$6:$H$405,$AN465)&lt;$AO465))),"対象月が時短期間外／","")&amp;IF(AND(INDEX(職員マスタ!$F$6:$F$405,$AN465)&lt;&gt;"",$AO465&lt;&gt;"",INDEX(職員マスタ!$F$6:$F$405,$AN465)&lt;$AO465),"対象月に子が2歳到達済／","")&amp;IF(AND($H465&lt;&gt;"",INDEX(職員マスタ!$B$6:$B$405,$AN465)&lt;&gt;"",SUBSTITUTE(SUBSTITUTE($H465," ","")," ","")&lt;&gt;SUBSTITUTE(SUBSTITUTE(INDEX(職員マスタ!$B$6:$B$405,$AN465)," ","")," ","")),"氏名がマスタと相違／","")&amp;IF(AND($Q465&lt;&gt;"",INDEX(職員マスタ!$E$6:$E$405,$AN465)&lt;&gt;"",$Q465&lt;&gt;INDEX(職員マスタ!$E$6:$E$405,$AN465)),"子の生年月日がマスタと相違／","")&amp;IF(AND($L465&lt;&gt;"",INDEX(職員マスタ!$G$6:$G$405,$AN465)&lt;&gt;"",$L465&lt;&gt;INDEX(職員マスタ!$G$6:$G$405,$AN465)),"時短開始日がマスタと相違／","")&amp;IF(AND($M465&lt;&gt;"",INDEX(職員マスタ!$H$6:$H$405,$AN465)&lt;&gt;"",$M465&lt;&gt;INDEX(職員マスタ!$H$6:$H$405,$AN465)),"時短終了日がマスタと相違／","")))&amp;IF(AND($B465&lt;&gt;"",$E465=""),"報酬額が未入力／","")&amp;IF(N($U465)&gt;0,"申請書に入力エラーが残っています／","")&amp;IF(AND($B465&lt;&gt;"",$AO465&lt;&gt;""),IF(COUNTIFS($B$6:$B$3005,$B465,$C$6:$C$3005,$C465,$D$6:$D$3005,$D465)&gt;1,"同じ月の請求が重複しています／",""),"")&amp;IF(AND(N($E465)&gt;0,$Z465&lt;&gt;"",$Z465&lt;&gt;"×",$AC465=0,$AB465=""),"計算額が下限以下のため不支給／",""))</f>
        <v/>
      </c>
      <c r="AL465" s="12" t="n"/>
      <c r="AM465" s="14">
        <f>IF($AD465="保留中",COUNTIF($AD$6:$AD465,"保留中"),"")</f>
        <v/>
      </c>
      <c r="AN465" s="14">
        <f>IF($AO465="","",IF(SUMPRODUCT(MAX((職員マスタ!$A$6:$A$405=$B465)*(((職員マスタ!$G$6:$G$405="")+(職員マスタ!$G$6:$G$405&lt;=EOMONTH($AO465,0)))&gt;0)*(((職員マスタ!$H$6:$H$405="")+(職員マスタ!$H$6:$H$405&gt;=$AO465))&gt;0)*(ROW(職員マスタ!$A$6:$A$405)-5)))&gt;0,SUMPRODUCT(MAX((職員マスタ!$A$6:$A$405=$B465)*(((職員マスタ!$G$6:$G$405="")+(職員マスタ!$G$6:$G$405&lt;=EOMONTH($AO465,0)))&gt;0)*(((職員マスタ!$H$6:$H$405="")+(職員マスタ!$H$6:$H$405&gt;=$AO465))&gt;0)*(ROW(職員マスタ!$A$6:$A$405)-5))),IFERROR(MATCH($B465,職員マスタ!$A$6:$A$405,0),"")))</f>
        <v/>
      </c>
      <c r="AO465" s="16">
        <f>IF(OR($B465="",$C465="",$D465=""),"",DATE($C465+2018,$D465,1))</f>
        <v/>
      </c>
    </row>
    <row r="466">
      <c r="A466" s="11" t="n"/>
      <c r="B466" s="12" t="n">
        <v>7141567</v>
      </c>
      <c r="C466" s="12" t="n">
        <v>7</v>
      </c>
      <c r="D466" s="12" t="n">
        <v>8</v>
      </c>
      <c r="E466" s="13" t="n">
        <v>203296</v>
      </c>
      <c r="F466" s="12" t="n"/>
      <c r="G466" s="13" t="n"/>
      <c r="H466" s="12" t="n"/>
      <c r="I466" s="12" t="n"/>
      <c r="J466" s="12" t="n"/>
      <c r="K466" s="12" t="n"/>
      <c r="L466" s="11" t="n"/>
      <c r="M466" s="11" t="n"/>
      <c r="N466" s="11" t="n"/>
      <c r="O466" s="11" t="n"/>
      <c r="P466" s="12" t="n"/>
      <c r="Q466" s="11" t="n"/>
      <c r="R466" s="12" t="n"/>
      <c r="S466" s="11" t="n"/>
      <c r="T466" s="12" t="n"/>
      <c r="U466" s="12" t="n"/>
      <c r="V466" s="14">
        <f>IF($AN466="",IF($B466="","",$H466),IF(INDEX(職員マスタ!$B$6:$B$405,$AN466)="",$H466,INDEX(職員マスタ!$B$6:$B$405,$AN466)))</f>
        <v/>
      </c>
      <c r="W466" s="14">
        <f>IF($AN466="",IF($B466="","",$R466),IF(INDEX(職員マスタ!$C$6:$C$405,$AN466)="",$R466,INDEX(職員マスタ!$C$6:$C$405,$AN466)))</f>
        <v/>
      </c>
      <c r="X466" s="14">
        <f>IF($AO466="","","R"&amp;$C466&amp;"."&amp;$D466)</f>
        <v/>
      </c>
      <c r="Y466" s="15">
        <f>IF($AN466="","",IF(INDEX(職員マスタ!$K$6:$K$405,$AN466)="","",INDEX(職員マスタ!$K$6:$K$405,$AN466)))</f>
        <v/>
      </c>
      <c r="Z466" s="14">
        <f>IF(OR($E466="",$Y466=""),"",IF($E466&gt;=$Y466,"×",IF($E466&gt;=$Y466*設定!$C$5,"△","○")))</f>
        <v/>
      </c>
      <c r="AA466" s="15">
        <f>IF($Z466="","",IF($Z466="×",0,IF($Z466="○",ROUNDDOWN($E466*設定!$C$4,0),ROUNDDOWN($E466*ROUND((9*$Y466-9*$E466)/(10*$E466),4),0))))</f>
        <v/>
      </c>
      <c r="AB466" s="13" t="n"/>
      <c r="AC466" s="15">
        <f>IF($B466="","",IF($AB466&lt;&gt;"",$AB466,IF($AA466="","",IF($AA466&lt;=設定!$C$3,0,$AA466))))</f>
        <v/>
      </c>
      <c r="AD466" s="14">
        <f>IF($B466="","",IF(AND($AE466&lt;&gt;"",$AG466="",$AJ466=""),"保留中",IF($AJ466&lt;&gt;"",IF(N($AC466)&gt;0,"支給済","不支給"),IF($AC466="","要確認",IF($AC466=0,"不支給","未処理")))))</f>
        <v/>
      </c>
      <c r="AE466" s="12" t="n"/>
      <c r="AF466" s="11" t="n"/>
      <c r="AG466" s="11" t="n"/>
      <c r="AH466" s="11" t="n"/>
      <c r="AI466" s="14">
        <f>IF(AND($AD466="保留中",$AF466&lt;&gt;""),TODAY()-$AF466,"")</f>
        <v/>
      </c>
      <c r="AJ466" s="12" t="inlineStr">
        <is>
          <t>R7.11</t>
        </is>
      </c>
      <c r="AK466" s="14">
        <f>IF($B466="","",IF($AO466="","対象年月が未入力／","")&amp;IF($B466="","",IF($AN466="","職員マスタに未登録の職員番号／",IF($Y466="","標準報酬月額が未登録／","")&amp;IF(AND($AO466&lt;&gt;"",OR(AND(INDEX(職員マスタ!$G$6:$G$405,$AN466)&lt;&gt;"",INDEX(職員マスタ!$G$6:$G$405,$AN466)&gt;EOMONTH($AO466,0)),AND(INDEX(職員マスタ!$H$6:$H$405,$AN466)&lt;&gt;"",INDEX(職員マスタ!$H$6:$H$405,$AN466)&lt;$AO466))),"対象月が時短期間外／","")&amp;IF(AND(INDEX(職員マスタ!$F$6:$F$405,$AN466)&lt;&gt;"",$AO466&lt;&gt;"",INDEX(職員マスタ!$F$6:$F$405,$AN466)&lt;$AO466),"対象月に子が2歳到達済／","")&amp;IF(AND($H466&lt;&gt;"",INDEX(職員マスタ!$B$6:$B$405,$AN466)&lt;&gt;"",SUBSTITUTE(SUBSTITUTE($H466," ","")," ","")&lt;&gt;SUBSTITUTE(SUBSTITUTE(INDEX(職員マスタ!$B$6:$B$405,$AN466)," ","")," ","")),"氏名がマスタと相違／","")&amp;IF(AND($Q466&lt;&gt;"",INDEX(職員マスタ!$E$6:$E$405,$AN466)&lt;&gt;"",$Q466&lt;&gt;INDEX(職員マスタ!$E$6:$E$405,$AN466)),"子の生年月日がマスタと相違／","")&amp;IF(AND($L466&lt;&gt;"",INDEX(職員マスタ!$G$6:$G$405,$AN466)&lt;&gt;"",$L466&lt;&gt;INDEX(職員マスタ!$G$6:$G$405,$AN466)),"時短開始日がマスタと相違／","")&amp;IF(AND($M466&lt;&gt;"",INDEX(職員マスタ!$H$6:$H$405,$AN466)&lt;&gt;"",$M466&lt;&gt;INDEX(職員マスタ!$H$6:$H$405,$AN466)),"時短終了日がマスタと相違／","")))&amp;IF(AND($B466&lt;&gt;"",$E466=""),"報酬額が未入力／","")&amp;IF(N($U466)&gt;0,"申請書に入力エラーが残っています／","")&amp;IF(AND($B466&lt;&gt;"",$AO466&lt;&gt;""),IF(COUNTIFS($B$6:$B$3005,$B466,$C$6:$C$3005,$C466,$D$6:$D$3005,$D466)&gt;1,"同じ月の請求が重複しています／",""),"")&amp;IF(AND(N($E466)&gt;0,$Z466&lt;&gt;"",$Z466&lt;&gt;"×",$AC466=0,$AB466=""),"計算額が下限以下のため不支給／",""))</f>
        <v/>
      </c>
      <c r="AL466" s="12" t="n"/>
      <c r="AM466" s="14">
        <f>IF($AD466="保留中",COUNTIF($AD$6:$AD466,"保留中"),"")</f>
        <v/>
      </c>
      <c r="AN466" s="14">
        <f>IF($AO466="","",IF(SUMPRODUCT(MAX((職員マスタ!$A$6:$A$405=$B466)*(((職員マスタ!$G$6:$G$405="")+(職員マスタ!$G$6:$G$405&lt;=EOMONTH($AO466,0)))&gt;0)*(((職員マスタ!$H$6:$H$405="")+(職員マスタ!$H$6:$H$405&gt;=$AO466))&gt;0)*(ROW(職員マスタ!$A$6:$A$405)-5)))&gt;0,SUMPRODUCT(MAX((職員マスタ!$A$6:$A$405=$B466)*(((職員マスタ!$G$6:$G$405="")+(職員マスタ!$G$6:$G$405&lt;=EOMONTH($AO466,0)))&gt;0)*(((職員マスタ!$H$6:$H$405="")+(職員マスタ!$H$6:$H$405&gt;=$AO466))&gt;0)*(ROW(職員マスタ!$A$6:$A$405)-5))),IFERROR(MATCH($B466,職員マスタ!$A$6:$A$405,0),"")))</f>
        <v/>
      </c>
      <c r="AO466" s="16">
        <f>IF(OR($B466="",$C466="",$D466=""),"",DATE($C466+2018,$D466,1))</f>
        <v/>
      </c>
    </row>
    <row r="467">
      <c r="A467" s="11" t="n"/>
      <c r="B467" s="12" t="n">
        <v>7141567</v>
      </c>
      <c r="C467" s="12" t="n">
        <v>7</v>
      </c>
      <c r="D467" s="12" t="n">
        <v>9</v>
      </c>
      <c r="E467" s="13" t="n">
        <v>234529</v>
      </c>
      <c r="F467" s="12" t="n"/>
      <c r="G467" s="13" t="n"/>
      <c r="H467" s="12" t="n"/>
      <c r="I467" s="12" t="n"/>
      <c r="J467" s="12" t="n"/>
      <c r="K467" s="12" t="n"/>
      <c r="L467" s="11" t="n"/>
      <c r="M467" s="11" t="n"/>
      <c r="N467" s="11" t="n"/>
      <c r="O467" s="11" t="n"/>
      <c r="P467" s="12" t="n"/>
      <c r="Q467" s="11" t="n"/>
      <c r="R467" s="12" t="n"/>
      <c r="S467" s="11" t="n"/>
      <c r="T467" s="12" t="n"/>
      <c r="U467" s="12" t="n"/>
      <c r="V467" s="14">
        <f>IF($AN467="",IF($B467="","",$H467),IF(INDEX(職員マスタ!$B$6:$B$405,$AN467)="",$H467,INDEX(職員マスタ!$B$6:$B$405,$AN467)))</f>
        <v/>
      </c>
      <c r="W467" s="14">
        <f>IF($AN467="",IF($B467="","",$R467),IF(INDEX(職員マスタ!$C$6:$C$405,$AN467)="",$R467,INDEX(職員マスタ!$C$6:$C$405,$AN467)))</f>
        <v/>
      </c>
      <c r="X467" s="14">
        <f>IF($AO467="","","R"&amp;$C467&amp;"."&amp;$D467)</f>
        <v/>
      </c>
      <c r="Y467" s="15">
        <f>IF($AN467="","",IF(INDEX(職員マスタ!$K$6:$K$405,$AN467)="","",INDEX(職員マスタ!$K$6:$K$405,$AN467)))</f>
        <v/>
      </c>
      <c r="Z467" s="14">
        <f>IF(OR($E467="",$Y467=""),"",IF($E467&gt;=$Y467,"×",IF($E467&gt;=$Y467*設定!$C$5,"△","○")))</f>
        <v/>
      </c>
      <c r="AA467" s="15">
        <f>IF($Z467="","",IF($Z467="×",0,IF($Z467="○",ROUNDDOWN($E467*設定!$C$4,0),ROUNDDOWN($E467*ROUND((9*$Y467-9*$E467)/(10*$E467),4),0))))</f>
        <v/>
      </c>
      <c r="AB467" s="13" t="n"/>
      <c r="AC467" s="15">
        <f>IF($B467="","",IF($AB467&lt;&gt;"",$AB467,IF($AA467="","",IF($AA467&lt;=設定!$C$3,0,$AA467))))</f>
        <v/>
      </c>
      <c r="AD467" s="14">
        <f>IF($B467="","",IF(AND($AE467&lt;&gt;"",$AG467="",$AJ467=""),"保留中",IF($AJ467&lt;&gt;"",IF(N($AC467)&gt;0,"支給済","不支給"),IF($AC467="","要確認",IF($AC467=0,"不支給","未処理")))))</f>
        <v/>
      </c>
      <c r="AE467" s="12" t="n"/>
      <c r="AF467" s="11" t="n"/>
      <c r="AG467" s="11" t="n"/>
      <c r="AH467" s="11" t="n"/>
      <c r="AI467" s="14">
        <f>IF(AND($AD467="保留中",$AF467&lt;&gt;""),TODAY()-$AF467,"")</f>
        <v/>
      </c>
      <c r="AJ467" s="12" t="inlineStr">
        <is>
          <t>R8.2</t>
        </is>
      </c>
      <c r="AK467" s="14">
        <f>IF($B467="","",IF($AO467="","対象年月が未入力／","")&amp;IF($B467="","",IF($AN467="","職員マスタに未登録の職員番号／",IF($Y467="","標準報酬月額が未登録／","")&amp;IF(AND($AO467&lt;&gt;"",OR(AND(INDEX(職員マスタ!$G$6:$G$405,$AN467)&lt;&gt;"",INDEX(職員マスタ!$G$6:$G$405,$AN467)&gt;EOMONTH($AO467,0)),AND(INDEX(職員マスタ!$H$6:$H$405,$AN467)&lt;&gt;"",INDEX(職員マスタ!$H$6:$H$405,$AN467)&lt;$AO467))),"対象月が時短期間外／","")&amp;IF(AND(INDEX(職員マスタ!$F$6:$F$405,$AN467)&lt;&gt;"",$AO467&lt;&gt;"",INDEX(職員マスタ!$F$6:$F$405,$AN467)&lt;$AO467),"対象月に子が2歳到達済／","")&amp;IF(AND($H467&lt;&gt;"",INDEX(職員マスタ!$B$6:$B$405,$AN467)&lt;&gt;"",SUBSTITUTE(SUBSTITUTE($H467," ","")," ","")&lt;&gt;SUBSTITUTE(SUBSTITUTE(INDEX(職員マスタ!$B$6:$B$405,$AN467)," ","")," ","")),"氏名がマスタと相違／","")&amp;IF(AND($Q467&lt;&gt;"",INDEX(職員マスタ!$E$6:$E$405,$AN467)&lt;&gt;"",$Q467&lt;&gt;INDEX(職員マスタ!$E$6:$E$405,$AN467)),"子の生年月日がマスタと相違／","")&amp;IF(AND($L467&lt;&gt;"",INDEX(職員マスタ!$G$6:$G$405,$AN467)&lt;&gt;"",$L467&lt;&gt;INDEX(職員マスタ!$G$6:$G$405,$AN467)),"時短開始日がマスタと相違／","")&amp;IF(AND($M467&lt;&gt;"",INDEX(職員マスタ!$H$6:$H$405,$AN467)&lt;&gt;"",$M467&lt;&gt;INDEX(職員マスタ!$H$6:$H$405,$AN467)),"時短終了日がマスタと相違／","")))&amp;IF(AND($B467&lt;&gt;"",$E467=""),"報酬額が未入力／","")&amp;IF(N($U467)&gt;0,"申請書に入力エラーが残っています／","")&amp;IF(AND($B467&lt;&gt;"",$AO467&lt;&gt;""),IF(COUNTIFS($B$6:$B$3005,$B467,$C$6:$C$3005,$C467,$D$6:$D$3005,$D467)&gt;1,"同じ月の請求が重複しています／",""),"")&amp;IF(AND(N($E467)&gt;0,$Z467&lt;&gt;"",$Z467&lt;&gt;"×",$AC467=0,$AB467=""),"計算額が下限以下のため不支給／",""))</f>
        <v/>
      </c>
      <c r="AL467" s="12" t="n"/>
      <c r="AM467" s="14">
        <f>IF($AD467="保留中",COUNTIF($AD$6:$AD467,"保留中"),"")</f>
        <v/>
      </c>
      <c r="AN467" s="14">
        <f>IF($AO467="","",IF(SUMPRODUCT(MAX((職員マスタ!$A$6:$A$405=$B467)*(((職員マスタ!$G$6:$G$405="")+(職員マスタ!$G$6:$G$405&lt;=EOMONTH($AO467,0)))&gt;0)*(((職員マスタ!$H$6:$H$405="")+(職員マスタ!$H$6:$H$405&gt;=$AO467))&gt;0)*(ROW(職員マスタ!$A$6:$A$405)-5)))&gt;0,SUMPRODUCT(MAX((職員マスタ!$A$6:$A$405=$B467)*(((職員マスタ!$G$6:$G$405="")+(職員マスタ!$G$6:$G$405&lt;=EOMONTH($AO467,0)))&gt;0)*(((職員マスタ!$H$6:$H$405="")+(職員マスタ!$H$6:$H$405&gt;=$AO467))&gt;0)*(ROW(職員マスタ!$A$6:$A$405)-5))),IFERROR(MATCH($B467,職員マスタ!$A$6:$A$405,0),"")))</f>
        <v/>
      </c>
      <c r="AO467" s="16">
        <f>IF(OR($B467="",$C467="",$D467=""),"",DATE($C467+2018,$D467,1))</f>
        <v/>
      </c>
    </row>
    <row r="468">
      <c r="A468" s="11" t="n"/>
      <c r="B468" s="12" t="n">
        <v>7141567</v>
      </c>
      <c r="C468" s="12" t="n">
        <v>7</v>
      </c>
      <c r="D468" s="12" t="n">
        <v>10</v>
      </c>
      <c r="E468" s="13" t="n">
        <v>208201</v>
      </c>
      <c r="F468" s="12" t="n"/>
      <c r="G468" s="13" t="n"/>
      <c r="H468" s="12" t="n"/>
      <c r="I468" s="12" t="n"/>
      <c r="J468" s="12" t="n"/>
      <c r="K468" s="12" t="n"/>
      <c r="L468" s="11" t="n"/>
      <c r="M468" s="11" t="n"/>
      <c r="N468" s="11" t="n"/>
      <c r="O468" s="11" t="n"/>
      <c r="P468" s="12" t="n"/>
      <c r="Q468" s="11" t="n"/>
      <c r="R468" s="12" t="n"/>
      <c r="S468" s="11" t="n"/>
      <c r="T468" s="12" t="n"/>
      <c r="U468" s="12" t="n"/>
      <c r="V468" s="14">
        <f>IF($AN468="",IF($B468="","",$H468),IF(INDEX(職員マスタ!$B$6:$B$405,$AN468)="",$H468,INDEX(職員マスタ!$B$6:$B$405,$AN468)))</f>
        <v/>
      </c>
      <c r="W468" s="14">
        <f>IF($AN468="",IF($B468="","",$R468),IF(INDEX(職員マスタ!$C$6:$C$405,$AN468)="",$R468,INDEX(職員マスタ!$C$6:$C$405,$AN468)))</f>
        <v/>
      </c>
      <c r="X468" s="14">
        <f>IF($AO468="","","R"&amp;$C468&amp;"."&amp;$D468)</f>
        <v/>
      </c>
      <c r="Y468" s="15">
        <f>IF($AN468="","",IF(INDEX(職員マスタ!$K$6:$K$405,$AN468)="","",INDEX(職員マスタ!$K$6:$K$405,$AN468)))</f>
        <v/>
      </c>
      <c r="Z468" s="14">
        <f>IF(OR($E468="",$Y468=""),"",IF($E468&gt;=$Y468,"×",IF($E468&gt;=$Y468*設定!$C$5,"△","○")))</f>
        <v/>
      </c>
      <c r="AA468" s="15">
        <f>IF($Z468="","",IF($Z468="×",0,IF($Z468="○",ROUNDDOWN($E468*設定!$C$4,0),ROUNDDOWN($E468*ROUND((9*$Y468-9*$E468)/(10*$E468),4),0))))</f>
        <v/>
      </c>
      <c r="AB468" s="13" t="n"/>
      <c r="AC468" s="15">
        <f>IF($B468="","",IF($AB468&lt;&gt;"",$AB468,IF($AA468="","",IF($AA468&lt;=設定!$C$3,0,$AA468))))</f>
        <v/>
      </c>
      <c r="AD468" s="14">
        <f>IF($B468="","",IF(AND($AE468&lt;&gt;"",$AG468="",$AJ468=""),"保留中",IF($AJ468&lt;&gt;"",IF(N($AC468)&gt;0,"支給済","不支給"),IF($AC468="","要確認",IF($AC468=0,"不支給","未処理")))))</f>
        <v/>
      </c>
      <c r="AE468" s="12" t="n"/>
      <c r="AF468" s="11" t="n"/>
      <c r="AG468" s="11" t="n"/>
      <c r="AH468" s="11" t="n"/>
      <c r="AI468" s="14">
        <f>IF(AND($AD468="保留中",$AF468&lt;&gt;""),TODAY()-$AF468,"")</f>
        <v/>
      </c>
      <c r="AJ468" s="12" t="inlineStr">
        <is>
          <t>R8.2</t>
        </is>
      </c>
      <c r="AK468" s="14">
        <f>IF($B468="","",IF($AO468="","対象年月が未入力／","")&amp;IF($B468="","",IF($AN468="","職員マスタに未登録の職員番号／",IF($Y468="","標準報酬月額が未登録／","")&amp;IF(AND($AO468&lt;&gt;"",OR(AND(INDEX(職員マスタ!$G$6:$G$405,$AN468)&lt;&gt;"",INDEX(職員マスタ!$G$6:$G$405,$AN468)&gt;EOMONTH($AO468,0)),AND(INDEX(職員マスタ!$H$6:$H$405,$AN468)&lt;&gt;"",INDEX(職員マスタ!$H$6:$H$405,$AN468)&lt;$AO468))),"対象月が時短期間外／","")&amp;IF(AND(INDEX(職員マスタ!$F$6:$F$405,$AN468)&lt;&gt;"",$AO468&lt;&gt;"",INDEX(職員マスタ!$F$6:$F$405,$AN468)&lt;$AO468),"対象月に子が2歳到達済／","")&amp;IF(AND($H468&lt;&gt;"",INDEX(職員マスタ!$B$6:$B$405,$AN468)&lt;&gt;"",SUBSTITUTE(SUBSTITUTE($H468," ","")," ","")&lt;&gt;SUBSTITUTE(SUBSTITUTE(INDEX(職員マスタ!$B$6:$B$405,$AN468)," ","")," ","")),"氏名がマスタと相違／","")&amp;IF(AND($Q468&lt;&gt;"",INDEX(職員マスタ!$E$6:$E$405,$AN468)&lt;&gt;"",$Q468&lt;&gt;INDEX(職員マスタ!$E$6:$E$405,$AN468)),"子の生年月日がマスタと相違／","")&amp;IF(AND($L468&lt;&gt;"",INDEX(職員マスタ!$G$6:$G$405,$AN468)&lt;&gt;"",$L468&lt;&gt;INDEX(職員マスタ!$G$6:$G$405,$AN468)),"時短開始日がマスタと相違／","")&amp;IF(AND($M468&lt;&gt;"",INDEX(職員マスタ!$H$6:$H$405,$AN468)&lt;&gt;"",$M468&lt;&gt;INDEX(職員マスタ!$H$6:$H$405,$AN468)),"時短終了日がマスタと相違／","")))&amp;IF(AND($B468&lt;&gt;"",$E468=""),"報酬額が未入力／","")&amp;IF(N($U468)&gt;0,"申請書に入力エラーが残っています／","")&amp;IF(AND($B468&lt;&gt;"",$AO468&lt;&gt;""),IF(COUNTIFS($B$6:$B$3005,$B468,$C$6:$C$3005,$C468,$D$6:$D$3005,$D468)&gt;1,"同じ月の請求が重複しています／",""),"")&amp;IF(AND(N($E468)&gt;0,$Z468&lt;&gt;"",$Z468&lt;&gt;"×",$AC468=0,$AB468=""),"計算額が下限以下のため不支給／",""))</f>
        <v/>
      </c>
      <c r="AL468" s="12" t="n"/>
      <c r="AM468" s="14">
        <f>IF($AD468="保留中",COUNTIF($AD$6:$AD468,"保留中"),"")</f>
        <v/>
      </c>
      <c r="AN468" s="14">
        <f>IF($AO468="","",IF(SUMPRODUCT(MAX((職員マスタ!$A$6:$A$405=$B468)*(((職員マスタ!$G$6:$G$405="")+(職員マスタ!$G$6:$G$405&lt;=EOMONTH($AO468,0)))&gt;0)*(((職員マスタ!$H$6:$H$405="")+(職員マスタ!$H$6:$H$405&gt;=$AO468))&gt;0)*(ROW(職員マスタ!$A$6:$A$405)-5)))&gt;0,SUMPRODUCT(MAX((職員マスタ!$A$6:$A$405=$B468)*(((職員マスタ!$G$6:$G$405="")+(職員マスタ!$G$6:$G$405&lt;=EOMONTH($AO468,0)))&gt;0)*(((職員マスタ!$H$6:$H$405="")+(職員マスタ!$H$6:$H$405&gt;=$AO468))&gt;0)*(ROW(職員マスタ!$A$6:$A$405)-5))),IFERROR(MATCH($B468,職員マスタ!$A$6:$A$405,0),"")))</f>
        <v/>
      </c>
      <c r="AO468" s="16">
        <f>IF(OR($B468="",$C468="",$D468=""),"",DATE($C468+2018,$D468,1))</f>
        <v/>
      </c>
    </row>
    <row r="469">
      <c r="A469" s="11" t="n"/>
      <c r="B469" s="12" t="n">
        <v>7141567</v>
      </c>
      <c r="C469" s="12" t="n">
        <v>7</v>
      </c>
      <c r="D469" s="12" t="n">
        <v>11</v>
      </c>
      <c r="E469" s="13" t="n">
        <v>200026</v>
      </c>
      <c r="F469" s="12" t="n"/>
      <c r="G469" s="13" t="n"/>
      <c r="H469" s="12" t="n"/>
      <c r="I469" s="12" t="n"/>
      <c r="J469" s="12" t="n"/>
      <c r="K469" s="12" t="n"/>
      <c r="L469" s="11" t="n"/>
      <c r="M469" s="11" t="n"/>
      <c r="N469" s="11" t="n"/>
      <c r="O469" s="11" t="n"/>
      <c r="P469" s="12" t="n"/>
      <c r="Q469" s="11" t="n"/>
      <c r="R469" s="12" t="n"/>
      <c r="S469" s="11" t="n"/>
      <c r="T469" s="12" t="n"/>
      <c r="U469" s="12" t="n"/>
      <c r="V469" s="14">
        <f>IF($AN469="",IF($B469="","",$H469),IF(INDEX(職員マスタ!$B$6:$B$405,$AN469)="",$H469,INDEX(職員マスタ!$B$6:$B$405,$AN469)))</f>
        <v/>
      </c>
      <c r="W469" s="14">
        <f>IF($AN469="",IF($B469="","",$R469),IF(INDEX(職員マスタ!$C$6:$C$405,$AN469)="",$R469,INDEX(職員マスタ!$C$6:$C$405,$AN469)))</f>
        <v/>
      </c>
      <c r="X469" s="14">
        <f>IF($AO469="","","R"&amp;$C469&amp;"."&amp;$D469)</f>
        <v/>
      </c>
      <c r="Y469" s="15">
        <f>IF($AN469="","",IF(INDEX(職員マスタ!$K$6:$K$405,$AN469)="","",INDEX(職員マスタ!$K$6:$K$405,$AN469)))</f>
        <v/>
      </c>
      <c r="Z469" s="14">
        <f>IF(OR($E469="",$Y469=""),"",IF($E469&gt;=$Y469,"×",IF($E469&gt;=$Y469*設定!$C$5,"△","○")))</f>
        <v/>
      </c>
      <c r="AA469" s="15">
        <f>IF($Z469="","",IF($Z469="×",0,IF($Z469="○",ROUNDDOWN($E469*設定!$C$4,0),ROUNDDOWN($E469*ROUND((9*$Y469-9*$E469)/(10*$E469),4),0))))</f>
        <v/>
      </c>
      <c r="AB469" s="13" t="n"/>
      <c r="AC469" s="15">
        <f>IF($B469="","",IF($AB469&lt;&gt;"",$AB469,IF($AA469="","",IF($AA469&lt;=設定!$C$3,0,$AA469))))</f>
        <v/>
      </c>
      <c r="AD469" s="14">
        <f>IF($B469="","",IF(AND($AE469&lt;&gt;"",$AG469="",$AJ469=""),"保留中",IF($AJ469&lt;&gt;"",IF(N($AC469)&gt;0,"支給済","不支給"),IF($AC469="","要確認",IF($AC469=0,"不支給","未処理")))))</f>
        <v/>
      </c>
      <c r="AE469" s="12" t="n"/>
      <c r="AF469" s="11" t="n"/>
      <c r="AG469" s="11" t="n"/>
      <c r="AH469" s="11" t="n"/>
      <c r="AI469" s="14">
        <f>IF(AND($AD469="保留中",$AF469&lt;&gt;""),TODAY()-$AF469,"")</f>
        <v/>
      </c>
      <c r="AJ469" s="12" t="inlineStr">
        <is>
          <t>R8.2</t>
        </is>
      </c>
      <c r="AK469" s="14">
        <f>IF($B469="","",IF($AO469="","対象年月が未入力／","")&amp;IF($B469="","",IF($AN469="","職員マスタに未登録の職員番号／",IF($Y469="","標準報酬月額が未登録／","")&amp;IF(AND($AO469&lt;&gt;"",OR(AND(INDEX(職員マスタ!$G$6:$G$405,$AN469)&lt;&gt;"",INDEX(職員マスタ!$G$6:$G$405,$AN469)&gt;EOMONTH($AO469,0)),AND(INDEX(職員マスタ!$H$6:$H$405,$AN469)&lt;&gt;"",INDEX(職員マスタ!$H$6:$H$405,$AN469)&lt;$AO469))),"対象月が時短期間外／","")&amp;IF(AND(INDEX(職員マスタ!$F$6:$F$405,$AN469)&lt;&gt;"",$AO469&lt;&gt;"",INDEX(職員マスタ!$F$6:$F$405,$AN469)&lt;$AO469),"対象月に子が2歳到達済／","")&amp;IF(AND($H469&lt;&gt;"",INDEX(職員マスタ!$B$6:$B$405,$AN469)&lt;&gt;"",SUBSTITUTE(SUBSTITUTE($H469," ","")," ","")&lt;&gt;SUBSTITUTE(SUBSTITUTE(INDEX(職員マスタ!$B$6:$B$405,$AN469)," ","")," ","")),"氏名がマスタと相違／","")&amp;IF(AND($Q469&lt;&gt;"",INDEX(職員マスタ!$E$6:$E$405,$AN469)&lt;&gt;"",$Q469&lt;&gt;INDEX(職員マスタ!$E$6:$E$405,$AN469)),"子の生年月日がマスタと相違／","")&amp;IF(AND($L469&lt;&gt;"",INDEX(職員マスタ!$G$6:$G$405,$AN469)&lt;&gt;"",$L469&lt;&gt;INDEX(職員マスタ!$G$6:$G$405,$AN469)),"時短開始日がマスタと相違／","")&amp;IF(AND($M469&lt;&gt;"",INDEX(職員マスタ!$H$6:$H$405,$AN469)&lt;&gt;"",$M469&lt;&gt;INDEX(職員マスタ!$H$6:$H$405,$AN469)),"時短終了日がマスタと相違／","")))&amp;IF(AND($B469&lt;&gt;"",$E469=""),"報酬額が未入力／","")&amp;IF(N($U469)&gt;0,"申請書に入力エラーが残っています／","")&amp;IF(AND($B469&lt;&gt;"",$AO469&lt;&gt;""),IF(COUNTIFS($B$6:$B$3005,$B469,$C$6:$C$3005,$C469,$D$6:$D$3005,$D469)&gt;1,"同じ月の請求が重複しています／",""),"")&amp;IF(AND(N($E469)&gt;0,$Z469&lt;&gt;"",$Z469&lt;&gt;"×",$AC469=0,$AB469=""),"計算額が下限以下のため不支給／",""))</f>
        <v/>
      </c>
      <c r="AL469" s="12" t="n"/>
      <c r="AM469" s="14">
        <f>IF($AD469="保留中",COUNTIF($AD$6:$AD469,"保留中"),"")</f>
        <v/>
      </c>
      <c r="AN469" s="14">
        <f>IF($AO469="","",IF(SUMPRODUCT(MAX((職員マスタ!$A$6:$A$405=$B469)*(((職員マスタ!$G$6:$G$405="")+(職員マスタ!$G$6:$G$405&lt;=EOMONTH($AO469,0)))&gt;0)*(((職員マスタ!$H$6:$H$405="")+(職員マスタ!$H$6:$H$405&gt;=$AO469))&gt;0)*(ROW(職員マスタ!$A$6:$A$405)-5)))&gt;0,SUMPRODUCT(MAX((職員マスタ!$A$6:$A$405=$B469)*(((職員マスタ!$G$6:$G$405="")+(職員マスタ!$G$6:$G$405&lt;=EOMONTH($AO469,0)))&gt;0)*(((職員マスタ!$H$6:$H$405="")+(職員マスタ!$H$6:$H$405&gt;=$AO469))&gt;0)*(ROW(職員マスタ!$A$6:$A$405)-5))),IFERROR(MATCH($B469,職員マスタ!$A$6:$A$405,0),"")))</f>
        <v/>
      </c>
      <c r="AO469" s="16">
        <f>IF(OR($B469="",$C469="",$D469=""),"",DATE($C469+2018,$D469,1))</f>
        <v/>
      </c>
    </row>
    <row r="470">
      <c r="A470" s="11" t="n"/>
      <c r="B470" s="12" t="n">
        <v>7141567</v>
      </c>
      <c r="C470" s="12" t="n">
        <v>7</v>
      </c>
      <c r="D470" s="12" t="n">
        <v>12</v>
      </c>
      <c r="E470" s="13" t="n">
        <v>212087</v>
      </c>
      <c r="F470" s="12" t="n"/>
      <c r="G470" s="13" t="n"/>
      <c r="H470" s="12" t="n"/>
      <c r="I470" s="12" t="n"/>
      <c r="J470" s="12" t="n"/>
      <c r="K470" s="12" t="n"/>
      <c r="L470" s="11" t="n"/>
      <c r="M470" s="11" t="n"/>
      <c r="N470" s="11" t="n"/>
      <c r="O470" s="11" t="n"/>
      <c r="P470" s="12" t="n"/>
      <c r="Q470" s="11" t="n"/>
      <c r="R470" s="12" t="n"/>
      <c r="S470" s="11" t="n"/>
      <c r="T470" s="12" t="n"/>
      <c r="U470" s="12" t="n"/>
      <c r="V470" s="14">
        <f>IF($AN470="",IF($B470="","",$H470),IF(INDEX(職員マスタ!$B$6:$B$405,$AN470)="",$H470,INDEX(職員マスタ!$B$6:$B$405,$AN470)))</f>
        <v/>
      </c>
      <c r="W470" s="14">
        <f>IF($AN470="",IF($B470="","",$R470),IF(INDEX(職員マスタ!$C$6:$C$405,$AN470)="",$R470,INDEX(職員マスタ!$C$6:$C$405,$AN470)))</f>
        <v/>
      </c>
      <c r="X470" s="14">
        <f>IF($AO470="","","R"&amp;$C470&amp;"."&amp;$D470)</f>
        <v/>
      </c>
      <c r="Y470" s="15">
        <f>IF($AN470="","",IF(INDEX(職員マスタ!$K$6:$K$405,$AN470)="","",INDEX(職員マスタ!$K$6:$K$405,$AN470)))</f>
        <v/>
      </c>
      <c r="Z470" s="14">
        <f>IF(OR($E470="",$Y470=""),"",IF($E470&gt;=$Y470,"×",IF($E470&gt;=$Y470*設定!$C$5,"△","○")))</f>
        <v/>
      </c>
      <c r="AA470" s="15">
        <f>IF($Z470="","",IF($Z470="×",0,IF($Z470="○",ROUNDDOWN($E470*設定!$C$4,0),ROUNDDOWN($E470*ROUND((9*$Y470-9*$E470)/(10*$E470),4),0))))</f>
        <v/>
      </c>
      <c r="AB470" s="13" t="n"/>
      <c r="AC470" s="15">
        <f>IF($B470="","",IF($AB470&lt;&gt;"",$AB470,IF($AA470="","",IF($AA470&lt;=設定!$C$3,0,$AA470))))</f>
        <v/>
      </c>
      <c r="AD470" s="14">
        <f>IF($B470="","",IF(AND($AE470&lt;&gt;"",$AG470="",$AJ470=""),"保留中",IF($AJ470&lt;&gt;"",IF(N($AC470)&gt;0,"支給済","不支給"),IF($AC470="","要確認",IF($AC470=0,"不支給","未処理")))))</f>
        <v/>
      </c>
      <c r="AE470" s="12" t="n"/>
      <c r="AF470" s="11" t="n"/>
      <c r="AG470" s="11" t="n"/>
      <c r="AH470" s="11" t="n"/>
      <c r="AI470" s="14">
        <f>IF(AND($AD470="保留中",$AF470&lt;&gt;""),TODAY()-$AF470,"")</f>
        <v/>
      </c>
      <c r="AJ470" s="12" t="inlineStr">
        <is>
          <t>R8.2</t>
        </is>
      </c>
      <c r="AK470" s="14">
        <f>IF($B470="","",IF($AO470="","対象年月が未入力／","")&amp;IF($B470="","",IF($AN470="","職員マスタに未登録の職員番号／",IF($Y470="","標準報酬月額が未登録／","")&amp;IF(AND($AO470&lt;&gt;"",OR(AND(INDEX(職員マスタ!$G$6:$G$405,$AN470)&lt;&gt;"",INDEX(職員マスタ!$G$6:$G$405,$AN470)&gt;EOMONTH($AO470,0)),AND(INDEX(職員マスタ!$H$6:$H$405,$AN470)&lt;&gt;"",INDEX(職員マスタ!$H$6:$H$405,$AN470)&lt;$AO470))),"対象月が時短期間外／","")&amp;IF(AND(INDEX(職員マスタ!$F$6:$F$405,$AN470)&lt;&gt;"",$AO470&lt;&gt;"",INDEX(職員マスタ!$F$6:$F$405,$AN470)&lt;$AO470),"対象月に子が2歳到達済／","")&amp;IF(AND($H470&lt;&gt;"",INDEX(職員マスタ!$B$6:$B$405,$AN470)&lt;&gt;"",SUBSTITUTE(SUBSTITUTE($H470," ","")," ","")&lt;&gt;SUBSTITUTE(SUBSTITUTE(INDEX(職員マスタ!$B$6:$B$405,$AN470)," ","")," ","")),"氏名がマスタと相違／","")&amp;IF(AND($Q470&lt;&gt;"",INDEX(職員マスタ!$E$6:$E$405,$AN470)&lt;&gt;"",$Q470&lt;&gt;INDEX(職員マスタ!$E$6:$E$405,$AN470)),"子の生年月日がマスタと相違／","")&amp;IF(AND($L470&lt;&gt;"",INDEX(職員マスタ!$G$6:$G$405,$AN470)&lt;&gt;"",$L470&lt;&gt;INDEX(職員マスタ!$G$6:$G$405,$AN470)),"時短開始日がマスタと相違／","")&amp;IF(AND($M470&lt;&gt;"",INDEX(職員マスタ!$H$6:$H$405,$AN470)&lt;&gt;"",$M470&lt;&gt;INDEX(職員マスタ!$H$6:$H$405,$AN470)),"時短終了日がマスタと相違／","")))&amp;IF(AND($B470&lt;&gt;"",$E470=""),"報酬額が未入力／","")&amp;IF(N($U470)&gt;0,"申請書に入力エラーが残っています／","")&amp;IF(AND($B470&lt;&gt;"",$AO470&lt;&gt;""),IF(COUNTIFS($B$6:$B$3005,$B470,$C$6:$C$3005,$C470,$D$6:$D$3005,$D470)&gt;1,"同じ月の請求が重複しています／",""),"")&amp;IF(AND(N($E470)&gt;0,$Z470&lt;&gt;"",$Z470&lt;&gt;"×",$AC470=0,$AB470=""),"計算額が下限以下のため不支給／",""))</f>
        <v/>
      </c>
      <c r="AL470" s="12" t="n"/>
      <c r="AM470" s="14">
        <f>IF($AD470="保留中",COUNTIF($AD$6:$AD470,"保留中"),"")</f>
        <v/>
      </c>
      <c r="AN470" s="14">
        <f>IF($AO470="","",IF(SUMPRODUCT(MAX((職員マスタ!$A$6:$A$405=$B470)*(((職員マスタ!$G$6:$G$405="")+(職員マスタ!$G$6:$G$405&lt;=EOMONTH($AO470,0)))&gt;0)*(((職員マスタ!$H$6:$H$405="")+(職員マスタ!$H$6:$H$405&gt;=$AO470))&gt;0)*(ROW(職員マスタ!$A$6:$A$405)-5)))&gt;0,SUMPRODUCT(MAX((職員マスタ!$A$6:$A$405=$B470)*(((職員マスタ!$G$6:$G$405="")+(職員マスタ!$G$6:$G$405&lt;=EOMONTH($AO470,0)))&gt;0)*(((職員マスタ!$H$6:$H$405="")+(職員マスタ!$H$6:$H$405&gt;=$AO470))&gt;0)*(ROW(職員マスタ!$A$6:$A$405)-5))),IFERROR(MATCH($B470,職員マスタ!$A$6:$A$405,0),"")))</f>
        <v/>
      </c>
      <c r="AO470" s="16">
        <f>IF(OR($B470="",$C470="",$D470=""),"",DATE($C470+2018,$D470,1))</f>
        <v/>
      </c>
    </row>
    <row r="471">
      <c r="A471" s="11" t="n"/>
      <c r="B471" s="12" t="n">
        <v>7141567</v>
      </c>
      <c r="C471" s="12" t="n">
        <v>8</v>
      </c>
      <c r="D471" s="12" t="n">
        <v>1</v>
      </c>
      <c r="E471" s="13" t="n">
        <v>208725</v>
      </c>
      <c r="F471" s="12" t="n"/>
      <c r="G471" s="13" t="n"/>
      <c r="H471" s="12" t="n"/>
      <c r="I471" s="12" t="n"/>
      <c r="J471" s="12" t="n"/>
      <c r="K471" s="12" t="n"/>
      <c r="L471" s="11" t="n"/>
      <c r="M471" s="11" t="n"/>
      <c r="N471" s="11" t="n"/>
      <c r="O471" s="11" t="n"/>
      <c r="P471" s="12" t="n"/>
      <c r="Q471" s="11" t="n"/>
      <c r="R471" s="12" t="n"/>
      <c r="S471" s="11" t="n"/>
      <c r="T471" s="12" t="n"/>
      <c r="U471" s="12" t="n"/>
      <c r="V471" s="14">
        <f>IF($AN471="",IF($B471="","",$H471),IF(INDEX(職員マスタ!$B$6:$B$405,$AN471)="",$H471,INDEX(職員マスタ!$B$6:$B$405,$AN471)))</f>
        <v/>
      </c>
      <c r="W471" s="14">
        <f>IF($AN471="",IF($B471="","",$R471),IF(INDEX(職員マスタ!$C$6:$C$405,$AN471)="",$R471,INDEX(職員マスタ!$C$6:$C$405,$AN471)))</f>
        <v/>
      </c>
      <c r="X471" s="14">
        <f>IF($AO471="","","R"&amp;$C471&amp;"."&amp;$D471)</f>
        <v/>
      </c>
      <c r="Y471" s="15">
        <f>IF($AN471="","",IF(INDEX(職員マスタ!$K$6:$K$405,$AN471)="","",INDEX(職員マスタ!$K$6:$K$405,$AN471)))</f>
        <v/>
      </c>
      <c r="Z471" s="14">
        <f>IF(OR($E471="",$Y471=""),"",IF($E471&gt;=$Y471,"×",IF($E471&gt;=$Y471*設定!$C$5,"△","○")))</f>
        <v/>
      </c>
      <c r="AA471" s="15">
        <f>IF($Z471="","",IF($Z471="×",0,IF($Z471="○",ROUNDDOWN($E471*設定!$C$4,0),ROUNDDOWN($E471*ROUND((9*$Y471-9*$E471)/(10*$E471),4),0))))</f>
        <v/>
      </c>
      <c r="AB471" s="13" t="n"/>
      <c r="AC471" s="15">
        <f>IF($B471="","",IF($AB471&lt;&gt;"",$AB471,IF($AA471="","",IF($AA471&lt;=設定!$C$3,0,$AA471))))</f>
        <v/>
      </c>
      <c r="AD471" s="14">
        <f>IF($B471="","",IF(AND($AE471&lt;&gt;"",$AG471="",$AJ471=""),"保留中",IF($AJ471&lt;&gt;"",IF(N($AC471)&gt;0,"支給済","不支給"),IF($AC471="","要確認",IF($AC471=0,"不支給","未処理")))))</f>
        <v/>
      </c>
      <c r="AE471" s="12" t="n"/>
      <c r="AF471" s="11" t="n"/>
      <c r="AG471" s="11" t="n"/>
      <c r="AH471" s="11" t="n"/>
      <c r="AI471" s="14">
        <f>IF(AND($AD471="保留中",$AF471&lt;&gt;""),TODAY()-$AF471,"")</f>
        <v/>
      </c>
      <c r="AJ471" s="12" t="inlineStr">
        <is>
          <t>R8.5</t>
        </is>
      </c>
      <c r="AK471" s="14">
        <f>IF($B471="","",IF($AO471="","対象年月が未入力／","")&amp;IF($B471="","",IF($AN471="","職員マスタに未登録の職員番号／",IF($Y471="","標準報酬月額が未登録／","")&amp;IF(AND($AO471&lt;&gt;"",OR(AND(INDEX(職員マスタ!$G$6:$G$405,$AN471)&lt;&gt;"",INDEX(職員マスタ!$G$6:$G$405,$AN471)&gt;EOMONTH($AO471,0)),AND(INDEX(職員マスタ!$H$6:$H$405,$AN471)&lt;&gt;"",INDEX(職員マスタ!$H$6:$H$405,$AN471)&lt;$AO471))),"対象月が時短期間外／","")&amp;IF(AND(INDEX(職員マスタ!$F$6:$F$405,$AN471)&lt;&gt;"",$AO471&lt;&gt;"",INDEX(職員マスタ!$F$6:$F$405,$AN471)&lt;$AO471),"対象月に子が2歳到達済／","")&amp;IF(AND($H471&lt;&gt;"",INDEX(職員マスタ!$B$6:$B$405,$AN471)&lt;&gt;"",SUBSTITUTE(SUBSTITUTE($H471," ","")," ","")&lt;&gt;SUBSTITUTE(SUBSTITUTE(INDEX(職員マスタ!$B$6:$B$405,$AN471)," ","")," ","")),"氏名がマスタと相違／","")&amp;IF(AND($Q471&lt;&gt;"",INDEX(職員マスタ!$E$6:$E$405,$AN471)&lt;&gt;"",$Q471&lt;&gt;INDEX(職員マスタ!$E$6:$E$405,$AN471)),"子の生年月日がマスタと相違／","")&amp;IF(AND($L471&lt;&gt;"",INDEX(職員マスタ!$G$6:$G$405,$AN471)&lt;&gt;"",$L471&lt;&gt;INDEX(職員マスタ!$G$6:$G$405,$AN471)),"時短開始日がマスタと相違／","")&amp;IF(AND($M471&lt;&gt;"",INDEX(職員マスタ!$H$6:$H$405,$AN471)&lt;&gt;"",$M471&lt;&gt;INDEX(職員マスタ!$H$6:$H$405,$AN471)),"時短終了日がマスタと相違／","")))&amp;IF(AND($B471&lt;&gt;"",$E471=""),"報酬額が未入力／","")&amp;IF(N($U471)&gt;0,"申請書に入力エラーが残っています／","")&amp;IF(AND($B471&lt;&gt;"",$AO471&lt;&gt;""),IF(COUNTIFS($B$6:$B$3005,$B471,$C$6:$C$3005,$C471,$D$6:$D$3005,$D471)&gt;1,"同じ月の請求が重複しています／",""),"")&amp;IF(AND(N($E471)&gt;0,$Z471&lt;&gt;"",$Z471&lt;&gt;"×",$AC471=0,$AB471=""),"計算額が下限以下のため不支給／",""))</f>
        <v/>
      </c>
      <c r="AL471" s="12" t="n"/>
      <c r="AM471" s="14">
        <f>IF($AD471="保留中",COUNTIF($AD$6:$AD471,"保留中"),"")</f>
        <v/>
      </c>
      <c r="AN471" s="14">
        <f>IF($AO471="","",IF(SUMPRODUCT(MAX((職員マスタ!$A$6:$A$405=$B471)*(((職員マスタ!$G$6:$G$405="")+(職員マスタ!$G$6:$G$405&lt;=EOMONTH($AO471,0)))&gt;0)*(((職員マスタ!$H$6:$H$405="")+(職員マスタ!$H$6:$H$405&gt;=$AO471))&gt;0)*(ROW(職員マスタ!$A$6:$A$405)-5)))&gt;0,SUMPRODUCT(MAX((職員マスタ!$A$6:$A$405=$B471)*(((職員マスタ!$G$6:$G$405="")+(職員マスタ!$G$6:$G$405&lt;=EOMONTH($AO471,0)))&gt;0)*(((職員マスタ!$H$6:$H$405="")+(職員マスタ!$H$6:$H$405&gt;=$AO471))&gt;0)*(ROW(職員マスタ!$A$6:$A$405)-5))),IFERROR(MATCH($B471,職員マスタ!$A$6:$A$405,0),"")))</f>
        <v/>
      </c>
      <c r="AO471" s="16">
        <f>IF(OR($B471="",$C471="",$D471=""),"",DATE($C471+2018,$D471,1))</f>
        <v/>
      </c>
    </row>
    <row r="472">
      <c r="A472" s="11" t="n"/>
      <c r="B472" s="12" t="n">
        <v>7202321</v>
      </c>
      <c r="C472" s="12" t="n">
        <v>7</v>
      </c>
      <c r="D472" s="12" t="n">
        <v>5</v>
      </c>
      <c r="E472" s="13" t="n">
        <v>174965</v>
      </c>
      <c r="F472" s="12" t="n"/>
      <c r="G472" s="13" t="n"/>
      <c r="H472" s="12" t="n"/>
      <c r="I472" s="12" t="n"/>
      <c r="J472" s="12" t="n"/>
      <c r="K472" s="12" t="n"/>
      <c r="L472" s="11" t="n"/>
      <c r="M472" s="11" t="n"/>
      <c r="N472" s="11" t="n"/>
      <c r="O472" s="11" t="n"/>
      <c r="P472" s="12" t="n"/>
      <c r="Q472" s="11" t="n"/>
      <c r="R472" s="12" t="n"/>
      <c r="S472" s="11" t="n"/>
      <c r="T472" s="12" t="n"/>
      <c r="U472" s="12" t="n"/>
      <c r="V472" s="14">
        <f>IF($AN472="",IF($B472="","",$H472),IF(INDEX(職員マスタ!$B$6:$B$405,$AN472)="",$H472,INDEX(職員マスタ!$B$6:$B$405,$AN472)))</f>
        <v/>
      </c>
      <c r="W472" s="14">
        <f>IF($AN472="",IF($B472="","",$R472),IF(INDEX(職員マスタ!$C$6:$C$405,$AN472)="",$R472,INDEX(職員マスタ!$C$6:$C$405,$AN472)))</f>
        <v/>
      </c>
      <c r="X472" s="14">
        <f>IF($AO472="","","R"&amp;$C472&amp;"."&amp;$D472)</f>
        <v/>
      </c>
      <c r="Y472" s="15">
        <f>IF($AN472="","",IF(INDEX(職員マスタ!$K$6:$K$405,$AN472)="","",INDEX(職員マスタ!$K$6:$K$405,$AN472)))</f>
        <v/>
      </c>
      <c r="Z472" s="14">
        <f>IF(OR($E472="",$Y472=""),"",IF($E472&gt;=$Y472,"×",IF($E472&gt;=$Y472*設定!$C$5,"△","○")))</f>
        <v/>
      </c>
      <c r="AA472" s="15">
        <f>IF($Z472="","",IF($Z472="×",0,IF($Z472="○",ROUNDDOWN($E472*設定!$C$4,0),ROUNDDOWN($E472*ROUND((9*$Y472-9*$E472)/(10*$E472),4),0))))</f>
        <v/>
      </c>
      <c r="AB472" s="13" t="n"/>
      <c r="AC472" s="15">
        <f>IF($B472="","",IF($AB472&lt;&gt;"",$AB472,IF($AA472="","",IF($AA472&lt;=設定!$C$3,0,$AA472))))</f>
        <v/>
      </c>
      <c r="AD472" s="14">
        <f>IF($B472="","",IF(AND($AE472&lt;&gt;"",$AG472="",$AJ472=""),"保留中",IF($AJ472&lt;&gt;"",IF(N($AC472)&gt;0,"支給済","不支給"),IF($AC472="","要確認",IF($AC472=0,"不支給","未処理")))))</f>
        <v/>
      </c>
      <c r="AE472" s="12" t="n"/>
      <c r="AF472" s="11" t="n"/>
      <c r="AG472" s="11" t="n"/>
      <c r="AH472" s="11" t="n"/>
      <c r="AI472" s="14">
        <f>IF(AND($AD472="保留中",$AF472&lt;&gt;""),TODAY()-$AF472,"")</f>
        <v/>
      </c>
      <c r="AJ472" s="12" t="inlineStr">
        <is>
          <t>R7.8</t>
        </is>
      </c>
      <c r="AK472" s="14">
        <f>IF($B472="","",IF($AO472="","対象年月が未入力／","")&amp;IF($B472="","",IF($AN472="","職員マスタに未登録の職員番号／",IF($Y472="","標準報酬月額が未登録／","")&amp;IF(AND($AO472&lt;&gt;"",OR(AND(INDEX(職員マスタ!$G$6:$G$405,$AN472)&lt;&gt;"",INDEX(職員マスタ!$G$6:$G$405,$AN472)&gt;EOMONTH($AO472,0)),AND(INDEX(職員マスタ!$H$6:$H$405,$AN472)&lt;&gt;"",INDEX(職員マスタ!$H$6:$H$405,$AN472)&lt;$AO472))),"対象月が時短期間外／","")&amp;IF(AND(INDEX(職員マスタ!$F$6:$F$405,$AN472)&lt;&gt;"",$AO472&lt;&gt;"",INDEX(職員マスタ!$F$6:$F$405,$AN472)&lt;$AO472),"対象月に子が2歳到達済／","")&amp;IF(AND($H472&lt;&gt;"",INDEX(職員マスタ!$B$6:$B$405,$AN472)&lt;&gt;"",SUBSTITUTE(SUBSTITUTE($H472," ","")," ","")&lt;&gt;SUBSTITUTE(SUBSTITUTE(INDEX(職員マスタ!$B$6:$B$405,$AN472)," ","")," ","")),"氏名がマスタと相違／","")&amp;IF(AND($Q472&lt;&gt;"",INDEX(職員マスタ!$E$6:$E$405,$AN472)&lt;&gt;"",$Q472&lt;&gt;INDEX(職員マスタ!$E$6:$E$405,$AN472)),"子の生年月日がマスタと相違／","")&amp;IF(AND($L472&lt;&gt;"",INDEX(職員マスタ!$G$6:$G$405,$AN472)&lt;&gt;"",$L472&lt;&gt;INDEX(職員マスタ!$G$6:$G$405,$AN472)),"時短開始日がマスタと相違／","")&amp;IF(AND($M472&lt;&gt;"",INDEX(職員マスタ!$H$6:$H$405,$AN472)&lt;&gt;"",$M472&lt;&gt;INDEX(職員マスタ!$H$6:$H$405,$AN472)),"時短終了日がマスタと相違／","")))&amp;IF(AND($B472&lt;&gt;"",$E472=""),"報酬額が未入力／","")&amp;IF(N($U472)&gt;0,"申請書に入力エラーが残っています／","")&amp;IF(AND($B472&lt;&gt;"",$AO472&lt;&gt;""),IF(COUNTIFS($B$6:$B$3005,$B472,$C$6:$C$3005,$C472,$D$6:$D$3005,$D472)&gt;1,"同じ月の請求が重複しています／",""),"")&amp;IF(AND(N($E472)&gt;0,$Z472&lt;&gt;"",$Z472&lt;&gt;"×",$AC472=0,$AB472=""),"計算額が下限以下のため不支給／",""))</f>
        <v/>
      </c>
      <c r="AL472" s="12" t="n"/>
      <c r="AM472" s="14">
        <f>IF($AD472="保留中",COUNTIF($AD$6:$AD472,"保留中"),"")</f>
        <v/>
      </c>
      <c r="AN472" s="14">
        <f>IF($AO472="","",IF(SUMPRODUCT(MAX((職員マスタ!$A$6:$A$405=$B472)*(((職員マスタ!$G$6:$G$405="")+(職員マスタ!$G$6:$G$405&lt;=EOMONTH($AO472,0)))&gt;0)*(((職員マスタ!$H$6:$H$405="")+(職員マスタ!$H$6:$H$405&gt;=$AO472))&gt;0)*(ROW(職員マスタ!$A$6:$A$405)-5)))&gt;0,SUMPRODUCT(MAX((職員マスタ!$A$6:$A$405=$B472)*(((職員マスタ!$G$6:$G$405="")+(職員マスタ!$G$6:$G$405&lt;=EOMONTH($AO472,0)))&gt;0)*(((職員マスタ!$H$6:$H$405="")+(職員マスタ!$H$6:$H$405&gt;=$AO472))&gt;0)*(ROW(職員マスタ!$A$6:$A$405)-5))),IFERROR(MATCH($B472,職員マスタ!$A$6:$A$405,0),"")))</f>
        <v/>
      </c>
      <c r="AO472" s="16">
        <f>IF(OR($B472="",$C472="",$D472=""),"",DATE($C472+2018,$D472,1))</f>
        <v/>
      </c>
    </row>
    <row r="473">
      <c r="A473" s="11" t="n"/>
      <c r="B473" s="12" t="n">
        <v>7202321</v>
      </c>
      <c r="C473" s="12" t="n">
        <v>7</v>
      </c>
      <c r="D473" s="12" t="n">
        <v>6</v>
      </c>
      <c r="E473" s="13" t="n">
        <v>178603</v>
      </c>
      <c r="F473" s="12" t="n"/>
      <c r="G473" s="13" t="n"/>
      <c r="H473" s="12" t="n"/>
      <c r="I473" s="12" t="n"/>
      <c r="J473" s="12" t="n"/>
      <c r="K473" s="12" t="n"/>
      <c r="L473" s="11" t="n"/>
      <c r="M473" s="11" t="n"/>
      <c r="N473" s="11" t="n"/>
      <c r="O473" s="11" t="n"/>
      <c r="P473" s="12" t="n"/>
      <c r="Q473" s="11" t="n"/>
      <c r="R473" s="12" t="n"/>
      <c r="S473" s="11" t="n"/>
      <c r="T473" s="12" t="n"/>
      <c r="U473" s="12" t="n"/>
      <c r="V473" s="14">
        <f>IF($AN473="",IF($B473="","",$H473),IF(INDEX(職員マスタ!$B$6:$B$405,$AN473)="",$H473,INDEX(職員マスタ!$B$6:$B$405,$AN473)))</f>
        <v/>
      </c>
      <c r="W473" s="14">
        <f>IF($AN473="",IF($B473="","",$R473),IF(INDEX(職員マスタ!$C$6:$C$405,$AN473)="",$R473,INDEX(職員マスタ!$C$6:$C$405,$AN473)))</f>
        <v/>
      </c>
      <c r="X473" s="14">
        <f>IF($AO473="","","R"&amp;$C473&amp;"."&amp;$D473)</f>
        <v/>
      </c>
      <c r="Y473" s="15">
        <f>IF($AN473="","",IF(INDEX(職員マスタ!$K$6:$K$405,$AN473)="","",INDEX(職員マスタ!$K$6:$K$405,$AN473)))</f>
        <v/>
      </c>
      <c r="Z473" s="14">
        <f>IF(OR($E473="",$Y473=""),"",IF($E473&gt;=$Y473,"×",IF($E473&gt;=$Y473*設定!$C$5,"△","○")))</f>
        <v/>
      </c>
      <c r="AA473" s="15">
        <f>IF($Z473="","",IF($Z473="×",0,IF($Z473="○",ROUNDDOWN($E473*設定!$C$4,0),ROUNDDOWN($E473*ROUND((9*$Y473-9*$E473)/(10*$E473),4),0))))</f>
        <v/>
      </c>
      <c r="AB473" s="13" t="n"/>
      <c r="AC473" s="15">
        <f>IF($B473="","",IF($AB473&lt;&gt;"",$AB473,IF($AA473="","",IF($AA473&lt;=設定!$C$3,0,$AA473))))</f>
        <v/>
      </c>
      <c r="AD473" s="14">
        <f>IF($B473="","",IF(AND($AE473&lt;&gt;"",$AG473="",$AJ473=""),"保留中",IF($AJ473&lt;&gt;"",IF(N($AC473)&gt;0,"支給済","不支給"),IF($AC473="","要確認",IF($AC473=0,"不支給","未処理")))))</f>
        <v/>
      </c>
      <c r="AE473" s="12" t="n"/>
      <c r="AF473" s="11" t="n"/>
      <c r="AG473" s="11" t="n"/>
      <c r="AH473" s="11" t="n"/>
      <c r="AI473" s="14">
        <f>IF(AND($AD473="保留中",$AF473&lt;&gt;""),TODAY()-$AF473,"")</f>
        <v/>
      </c>
      <c r="AJ473" s="12" t="inlineStr">
        <is>
          <t>R7.8</t>
        </is>
      </c>
      <c r="AK473" s="14">
        <f>IF($B473="","",IF($AO473="","対象年月が未入力／","")&amp;IF($B473="","",IF($AN473="","職員マスタに未登録の職員番号／",IF($Y473="","標準報酬月額が未登録／","")&amp;IF(AND($AO473&lt;&gt;"",OR(AND(INDEX(職員マスタ!$G$6:$G$405,$AN473)&lt;&gt;"",INDEX(職員マスタ!$G$6:$G$405,$AN473)&gt;EOMONTH($AO473,0)),AND(INDEX(職員マスタ!$H$6:$H$405,$AN473)&lt;&gt;"",INDEX(職員マスタ!$H$6:$H$405,$AN473)&lt;$AO473))),"対象月が時短期間外／","")&amp;IF(AND(INDEX(職員マスタ!$F$6:$F$405,$AN473)&lt;&gt;"",$AO473&lt;&gt;"",INDEX(職員マスタ!$F$6:$F$405,$AN473)&lt;$AO473),"対象月に子が2歳到達済／","")&amp;IF(AND($H473&lt;&gt;"",INDEX(職員マスタ!$B$6:$B$405,$AN473)&lt;&gt;"",SUBSTITUTE(SUBSTITUTE($H473," ","")," ","")&lt;&gt;SUBSTITUTE(SUBSTITUTE(INDEX(職員マスタ!$B$6:$B$405,$AN473)," ","")," ","")),"氏名がマスタと相違／","")&amp;IF(AND($Q473&lt;&gt;"",INDEX(職員マスタ!$E$6:$E$405,$AN473)&lt;&gt;"",$Q473&lt;&gt;INDEX(職員マスタ!$E$6:$E$405,$AN473)),"子の生年月日がマスタと相違／","")&amp;IF(AND($L473&lt;&gt;"",INDEX(職員マスタ!$G$6:$G$405,$AN473)&lt;&gt;"",$L473&lt;&gt;INDEX(職員マスタ!$G$6:$G$405,$AN473)),"時短開始日がマスタと相違／","")&amp;IF(AND($M473&lt;&gt;"",INDEX(職員マスタ!$H$6:$H$405,$AN473)&lt;&gt;"",$M473&lt;&gt;INDEX(職員マスタ!$H$6:$H$405,$AN473)),"時短終了日がマスタと相違／","")))&amp;IF(AND($B473&lt;&gt;"",$E473=""),"報酬額が未入力／","")&amp;IF(N($U473)&gt;0,"申請書に入力エラーが残っています／","")&amp;IF(AND($B473&lt;&gt;"",$AO473&lt;&gt;""),IF(COUNTIFS($B$6:$B$3005,$B473,$C$6:$C$3005,$C473,$D$6:$D$3005,$D473)&gt;1,"同じ月の請求が重複しています／",""),"")&amp;IF(AND(N($E473)&gt;0,$Z473&lt;&gt;"",$Z473&lt;&gt;"×",$AC473=0,$AB473=""),"計算額が下限以下のため不支給／",""))</f>
        <v/>
      </c>
      <c r="AL473" s="12" t="n"/>
      <c r="AM473" s="14">
        <f>IF($AD473="保留中",COUNTIF($AD$6:$AD473,"保留中"),"")</f>
        <v/>
      </c>
      <c r="AN473" s="14">
        <f>IF($AO473="","",IF(SUMPRODUCT(MAX((職員マスタ!$A$6:$A$405=$B473)*(((職員マスタ!$G$6:$G$405="")+(職員マスタ!$G$6:$G$405&lt;=EOMONTH($AO473,0)))&gt;0)*(((職員マスタ!$H$6:$H$405="")+(職員マスタ!$H$6:$H$405&gt;=$AO473))&gt;0)*(ROW(職員マスタ!$A$6:$A$405)-5)))&gt;0,SUMPRODUCT(MAX((職員マスタ!$A$6:$A$405=$B473)*(((職員マスタ!$G$6:$G$405="")+(職員マスタ!$G$6:$G$405&lt;=EOMONTH($AO473,0)))&gt;0)*(((職員マスタ!$H$6:$H$405="")+(職員マスタ!$H$6:$H$405&gt;=$AO473))&gt;0)*(ROW(職員マスタ!$A$6:$A$405)-5))),IFERROR(MATCH($B473,職員マスタ!$A$6:$A$405,0),"")))</f>
        <v/>
      </c>
      <c r="AO473" s="16">
        <f>IF(OR($B473="",$C473="",$D473=""),"",DATE($C473+2018,$D473,1))</f>
        <v/>
      </c>
    </row>
    <row r="474">
      <c r="A474" s="11" t="n"/>
      <c r="B474" s="12" t="n">
        <v>7202321</v>
      </c>
      <c r="C474" s="12" t="n">
        <v>7</v>
      </c>
      <c r="D474" s="12" t="n">
        <v>7</v>
      </c>
      <c r="E474" s="13" t="n">
        <v>178603</v>
      </c>
      <c r="F474" s="12" t="n"/>
      <c r="G474" s="13" t="n"/>
      <c r="H474" s="12" t="n"/>
      <c r="I474" s="12" t="n"/>
      <c r="J474" s="12" t="n"/>
      <c r="K474" s="12" t="n"/>
      <c r="L474" s="11" t="n"/>
      <c r="M474" s="11" t="n"/>
      <c r="N474" s="11" t="n"/>
      <c r="O474" s="11" t="n"/>
      <c r="P474" s="12" t="n"/>
      <c r="Q474" s="11" t="n"/>
      <c r="R474" s="12" t="n"/>
      <c r="S474" s="11" t="n"/>
      <c r="T474" s="12" t="n"/>
      <c r="U474" s="12" t="n"/>
      <c r="V474" s="14">
        <f>IF($AN474="",IF($B474="","",$H474),IF(INDEX(職員マスタ!$B$6:$B$405,$AN474)="",$H474,INDEX(職員マスタ!$B$6:$B$405,$AN474)))</f>
        <v/>
      </c>
      <c r="W474" s="14">
        <f>IF($AN474="",IF($B474="","",$R474),IF(INDEX(職員マスタ!$C$6:$C$405,$AN474)="",$R474,INDEX(職員マスタ!$C$6:$C$405,$AN474)))</f>
        <v/>
      </c>
      <c r="X474" s="14">
        <f>IF($AO474="","","R"&amp;$C474&amp;"."&amp;$D474)</f>
        <v/>
      </c>
      <c r="Y474" s="15">
        <f>IF($AN474="","",IF(INDEX(職員マスタ!$K$6:$K$405,$AN474)="","",INDEX(職員マスタ!$K$6:$K$405,$AN474)))</f>
        <v/>
      </c>
      <c r="Z474" s="14">
        <f>IF(OR($E474="",$Y474=""),"",IF($E474&gt;=$Y474,"×",IF($E474&gt;=$Y474*設定!$C$5,"△","○")))</f>
        <v/>
      </c>
      <c r="AA474" s="15">
        <f>IF($Z474="","",IF($Z474="×",0,IF($Z474="○",ROUNDDOWN($E474*設定!$C$4,0),ROUNDDOWN($E474*ROUND((9*$Y474-9*$E474)/(10*$E474),4),0))))</f>
        <v/>
      </c>
      <c r="AB474" s="13" t="n"/>
      <c r="AC474" s="15">
        <f>IF($B474="","",IF($AB474&lt;&gt;"",$AB474,IF($AA474="","",IF($AA474&lt;=設定!$C$3,0,$AA474))))</f>
        <v/>
      </c>
      <c r="AD474" s="14">
        <f>IF($B474="","",IF(AND($AE474&lt;&gt;"",$AG474="",$AJ474=""),"保留中",IF($AJ474&lt;&gt;"",IF(N($AC474)&gt;0,"支給済","不支給"),IF($AC474="","要確認",IF($AC474=0,"不支給","未処理")))))</f>
        <v/>
      </c>
      <c r="AE474" s="12" t="n"/>
      <c r="AF474" s="11" t="n"/>
      <c r="AG474" s="11" t="n"/>
      <c r="AH474" s="11" t="n"/>
      <c r="AI474" s="14">
        <f>IF(AND($AD474="保留中",$AF474&lt;&gt;""),TODAY()-$AF474,"")</f>
        <v/>
      </c>
      <c r="AJ474" s="12" t="inlineStr">
        <is>
          <t>R7.9</t>
        </is>
      </c>
      <c r="AK474" s="14">
        <f>IF($B474="","",IF($AO474="","対象年月が未入力／","")&amp;IF($B474="","",IF($AN474="","職員マスタに未登録の職員番号／",IF($Y474="","標準報酬月額が未登録／","")&amp;IF(AND($AO474&lt;&gt;"",OR(AND(INDEX(職員マスタ!$G$6:$G$405,$AN474)&lt;&gt;"",INDEX(職員マスタ!$G$6:$G$405,$AN474)&gt;EOMONTH($AO474,0)),AND(INDEX(職員マスタ!$H$6:$H$405,$AN474)&lt;&gt;"",INDEX(職員マスタ!$H$6:$H$405,$AN474)&lt;$AO474))),"対象月が時短期間外／","")&amp;IF(AND(INDEX(職員マスタ!$F$6:$F$405,$AN474)&lt;&gt;"",$AO474&lt;&gt;"",INDEX(職員マスタ!$F$6:$F$405,$AN474)&lt;$AO474),"対象月に子が2歳到達済／","")&amp;IF(AND($H474&lt;&gt;"",INDEX(職員マスタ!$B$6:$B$405,$AN474)&lt;&gt;"",SUBSTITUTE(SUBSTITUTE($H474," ","")," ","")&lt;&gt;SUBSTITUTE(SUBSTITUTE(INDEX(職員マスタ!$B$6:$B$405,$AN474)," ","")," ","")),"氏名がマスタと相違／","")&amp;IF(AND($Q474&lt;&gt;"",INDEX(職員マスタ!$E$6:$E$405,$AN474)&lt;&gt;"",$Q474&lt;&gt;INDEX(職員マスタ!$E$6:$E$405,$AN474)),"子の生年月日がマスタと相違／","")&amp;IF(AND($L474&lt;&gt;"",INDEX(職員マスタ!$G$6:$G$405,$AN474)&lt;&gt;"",$L474&lt;&gt;INDEX(職員マスタ!$G$6:$G$405,$AN474)),"時短開始日がマスタと相違／","")&amp;IF(AND($M474&lt;&gt;"",INDEX(職員マスタ!$H$6:$H$405,$AN474)&lt;&gt;"",$M474&lt;&gt;INDEX(職員マスタ!$H$6:$H$405,$AN474)),"時短終了日がマスタと相違／","")))&amp;IF(AND($B474&lt;&gt;"",$E474=""),"報酬額が未入力／","")&amp;IF(N($U474)&gt;0,"申請書に入力エラーが残っています／","")&amp;IF(AND($B474&lt;&gt;"",$AO474&lt;&gt;""),IF(COUNTIFS($B$6:$B$3005,$B474,$C$6:$C$3005,$C474,$D$6:$D$3005,$D474)&gt;1,"同じ月の請求が重複しています／",""),"")&amp;IF(AND(N($E474)&gt;0,$Z474&lt;&gt;"",$Z474&lt;&gt;"×",$AC474=0,$AB474=""),"計算額が下限以下のため不支給／",""))</f>
        <v/>
      </c>
      <c r="AL474" s="12" t="n"/>
      <c r="AM474" s="14">
        <f>IF($AD474="保留中",COUNTIF($AD$6:$AD474,"保留中"),"")</f>
        <v/>
      </c>
      <c r="AN474" s="14">
        <f>IF($AO474="","",IF(SUMPRODUCT(MAX((職員マスタ!$A$6:$A$405=$B474)*(((職員マスタ!$G$6:$G$405="")+(職員マスタ!$G$6:$G$405&lt;=EOMONTH($AO474,0)))&gt;0)*(((職員マスタ!$H$6:$H$405="")+(職員マスタ!$H$6:$H$405&gt;=$AO474))&gt;0)*(ROW(職員マスタ!$A$6:$A$405)-5)))&gt;0,SUMPRODUCT(MAX((職員マスタ!$A$6:$A$405=$B474)*(((職員マスタ!$G$6:$G$405="")+(職員マスタ!$G$6:$G$405&lt;=EOMONTH($AO474,0)))&gt;0)*(((職員マスタ!$H$6:$H$405="")+(職員マスタ!$H$6:$H$405&gt;=$AO474))&gt;0)*(ROW(職員マスタ!$A$6:$A$405)-5))),IFERROR(MATCH($B474,職員マスタ!$A$6:$A$405,0),"")))</f>
        <v/>
      </c>
      <c r="AO474" s="16">
        <f>IF(OR($B474="",$C474="",$D474=""),"",DATE($C474+2018,$D474,1))</f>
        <v/>
      </c>
    </row>
    <row r="475">
      <c r="A475" s="11" t="n"/>
      <c r="B475" s="12" t="n">
        <v>7202321</v>
      </c>
      <c r="C475" s="12" t="n">
        <v>7</v>
      </c>
      <c r="D475" s="12" t="n">
        <v>8</v>
      </c>
      <c r="E475" s="13" t="n">
        <v>178603</v>
      </c>
      <c r="F475" s="12" t="n"/>
      <c r="G475" s="13" t="n"/>
      <c r="H475" s="12" t="n"/>
      <c r="I475" s="12" t="n"/>
      <c r="J475" s="12" t="n"/>
      <c r="K475" s="12" t="n"/>
      <c r="L475" s="11" t="n"/>
      <c r="M475" s="11" t="n"/>
      <c r="N475" s="11" t="n"/>
      <c r="O475" s="11" t="n"/>
      <c r="P475" s="12" t="n"/>
      <c r="Q475" s="11" t="n"/>
      <c r="R475" s="12" t="n"/>
      <c r="S475" s="11" t="n"/>
      <c r="T475" s="12" t="n"/>
      <c r="U475" s="12" t="n"/>
      <c r="V475" s="14">
        <f>IF($AN475="",IF($B475="","",$H475),IF(INDEX(職員マスタ!$B$6:$B$405,$AN475)="",$H475,INDEX(職員マスタ!$B$6:$B$405,$AN475)))</f>
        <v/>
      </c>
      <c r="W475" s="14">
        <f>IF($AN475="",IF($B475="","",$R475),IF(INDEX(職員マスタ!$C$6:$C$405,$AN475)="",$R475,INDEX(職員マスタ!$C$6:$C$405,$AN475)))</f>
        <v/>
      </c>
      <c r="X475" s="14">
        <f>IF($AO475="","","R"&amp;$C475&amp;"."&amp;$D475)</f>
        <v/>
      </c>
      <c r="Y475" s="15">
        <f>IF($AN475="","",IF(INDEX(職員マスタ!$K$6:$K$405,$AN475)="","",INDEX(職員マスタ!$K$6:$K$405,$AN475)))</f>
        <v/>
      </c>
      <c r="Z475" s="14">
        <f>IF(OR($E475="",$Y475=""),"",IF($E475&gt;=$Y475,"×",IF($E475&gt;=$Y475*設定!$C$5,"△","○")))</f>
        <v/>
      </c>
      <c r="AA475" s="15">
        <f>IF($Z475="","",IF($Z475="×",0,IF($Z475="○",ROUNDDOWN($E475*設定!$C$4,0),ROUNDDOWN($E475*ROUND((9*$Y475-9*$E475)/(10*$E475),4),0))))</f>
        <v/>
      </c>
      <c r="AB475" s="13" t="n"/>
      <c r="AC475" s="15">
        <f>IF($B475="","",IF($AB475&lt;&gt;"",$AB475,IF($AA475="","",IF($AA475&lt;=設定!$C$3,0,$AA475))))</f>
        <v/>
      </c>
      <c r="AD475" s="14">
        <f>IF($B475="","",IF(AND($AE475&lt;&gt;"",$AG475="",$AJ475=""),"保留中",IF($AJ475&lt;&gt;"",IF(N($AC475)&gt;0,"支給済","不支給"),IF($AC475="","要確認",IF($AC475=0,"不支給","未処理")))))</f>
        <v/>
      </c>
      <c r="AE475" s="12" t="n"/>
      <c r="AF475" s="11" t="n"/>
      <c r="AG475" s="11" t="n"/>
      <c r="AH475" s="11" t="n"/>
      <c r="AI475" s="14">
        <f>IF(AND($AD475="保留中",$AF475&lt;&gt;""),TODAY()-$AF475,"")</f>
        <v/>
      </c>
      <c r="AJ475" s="12" t="inlineStr">
        <is>
          <t>R7.10</t>
        </is>
      </c>
      <c r="AK475" s="14">
        <f>IF($B475="","",IF($AO475="","対象年月が未入力／","")&amp;IF($B475="","",IF($AN475="","職員マスタに未登録の職員番号／",IF($Y475="","標準報酬月額が未登録／","")&amp;IF(AND($AO475&lt;&gt;"",OR(AND(INDEX(職員マスタ!$G$6:$G$405,$AN475)&lt;&gt;"",INDEX(職員マスタ!$G$6:$G$405,$AN475)&gt;EOMONTH($AO475,0)),AND(INDEX(職員マスタ!$H$6:$H$405,$AN475)&lt;&gt;"",INDEX(職員マスタ!$H$6:$H$405,$AN475)&lt;$AO475))),"対象月が時短期間外／","")&amp;IF(AND(INDEX(職員マスタ!$F$6:$F$405,$AN475)&lt;&gt;"",$AO475&lt;&gt;"",INDEX(職員マスタ!$F$6:$F$405,$AN475)&lt;$AO475),"対象月に子が2歳到達済／","")&amp;IF(AND($H475&lt;&gt;"",INDEX(職員マスタ!$B$6:$B$405,$AN475)&lt;&gt;"",SUBSTITUTE(SUBSTITUTE($H475," ","")," ","")&lt;&gt;SUBSTITUTE(SUBSTITUTE(INDEX(職員マスタ!$B$6:$B$405,$AN475)," ","")," ","")),"氏名がマスタと相違／","")&amp;IF(AND($Q475&lt;&gt;"",INDEX(職員マスタ!$E$6:$E$405,$AN475)&lt;&gt;"",$Q475&lt;&gt;INDEX(職員マスタ!$E$6:$E$405,$AN475)),"子の生年月日がマスタと相違／","")&amp;IF(AND($L475&lt;&gt;"",INDEX(職員マスタ!$G$6:$G$405,$AN475)&lt;&gt;"",$L475&lt;&gt;INDEX(職員マスタ!$G$6:$G$405,$AN475)),"時短開始日がマスタと相違／","")&amp;IF(AND($M475&lt;&gt;"",INDEX(職員マスタ!$H$6:$H$405,$AN475)&lt;&gt;"",$M475&lt;&gt;INDEX(職員マスタ!$H$6:$H$405,$AN475)),"時短終了日がマスタと相違／","")))&amp;IF(AND($B475&lt;&gt;"",$E475=""),"報酬額が未入力／","")&amp;IF(N($U475)&gt;0,"申請書に入力エラーが残っています／","")&amp;IF(AND($B475&lt;&gt;"",$AO475&lt;&gt;""),IF(COUNTIFS($B$6:$B$3005,$B475,$C$6:$C$3005,$C475,$D$6:$D$3005,$D475)&gt;1,"同じ月の請求が重複しています／",""),"")&amp;IF(AND(N($E475)&gt;0,$Z475&lt;&gt;"",$Z475&lt;&gt;"×",$AC475=0,$AB475=""),"計算額が下限以下のため不支給／",""))</f>
        <v/>
      </c>
      <c r="AL475" s="12" t="n"/>
      <c r="AM475" s="14">
        <f>IF($AD475="保留中",COUNTIF($AD$6:$AD475,"保留中"),"")</f>
        <v/>
      </c>
      <c r="AN475" s="14">
        <f>IF($AO475="","",IF(SUMPRODUCT(MAX((職員マスタ!$A$6:$A$405=$B475)*(((職員マスタ!$G$6:$G$405="")+(職員マスタ!$G$6:$G$405&lt;=EOMONTH($AO475,0)))&gt;0)*(((職員マスタ!$H$6:$H$405="")+(職員マスタ!$H$6:$H$405&gt;=$AO475))&gt;0)*(ROW(職員マスタ!$A$6:$A$405)-5)))&gt;0,SUMPRODUCT(MAX((職員マスタ!$A$6:$A$405=$B475)*(((職員マスタ!$G$6:$G$405="")+(職員マスタ!$G$6:$G$405&lt;=EOMONTH($AO475,0)))&gt;0)*(((職員マスタ!$H$6:$H$405="")+(職員マスタ!$H$6:$H$405&gt;=$AO475))&gt;0)*(ROW(職員マスタ!$A$6:$A$405)-5))),IFERROR(MATCH($B475,職員マスタ!$A$6:$A$405,0),"")))</f>
        <v/>
      </c>
      <c r="AO475" s="16">
        <f>IF(OR($B475="",$C475="",$D475=""),"",DATE($C475+2018,$D475,1))</f>
        <v/>
      </c>
    </row>
    <row r="476">
      <c r="A476" s="11" t="n"/>
      <c r="B476" s="12" t="n">
        <v>7202321</v>
      </c>
      <c r="C476" s="12" t="n">
        <v>7</v>
      </c>
      <c r="D476" s="12" t="n">
        <v>9</v>
      </c>
      <c r="E476" s="13" t="n">
        <v>180422</v>
      </c>
      <c r="F476" s="12" t="n"/>
      <c r="G476" s="13" t="n"/>
      <c r="H476" s="12" t="n"/>
      <c r="I476" s="12" t="n"/>
      <c r="J476" s="12" t="n"/>
      <c r="K476" s="12" t="n"/>
      <c r="L476" s="11" t="n"/>
      <c r="M476" s="11" t="n"/>
      <c r="N476" s="11" t="n"/>
      <c r="O476" s="11" t="n"/>
      <c r="P476" s="12" t="n"/>
      <c r="Q476" s="11" t="n"/>
      <c r="R476" s="12" t="n"/>
      <c r="S476" s="11" t="n"/>
      <c r="T476" s="12" t="n"/>
      <c r="U476" s="12" t="n"/>
      <c r="V476" s="14">
        <f>IF($AN476="",IF($B476="","",$H476),IF(INDEX(職員マスタ!$B$6:$B$405,$AN476)="",$H476,INDEX(職員マスタ!$B$6:$B$405,$AN476)))</f>
        <v/>
      </c>
      <c r="W476" s="14">
        <f>IF($AN476="",IF($B476="","",$R476),IF(INDEX(職員マスタ!$C$6:$C$405,$AN476)="",$R476,INDEX(職員マスタ!$C$6:$C$405,$AN476)))</f>
        <v/>
      </c>
      <c r="X476" s="14">
        <f>IF($AO476="","","R"&amp;$C476&amp;"."&amp;$D476)</f>
        <v/>
      </c>
      <c r="Y476" s="15">
        <f>IF($AN476="","",IF(INDEX(職員マスタ!$K$6:$K$405,$AN476)="","",INDEX(職員マスタ!$K$6:$K$405,$AN476)))</f>
        <v/>
      </c>
      <c r="Z476" s="14">
        <f>IF(OR($E476="",$Y476=""),"",IF($E476&gt;=$Y476,"×",IF($E476&gt;=$Y476*設定!$C$5,"△","○")))</f>
        <v/>
      </c>
      <c r="AA476" s="15">
        <f>IF($Z476="","",IF($Z476="×",0,IF($Z476="○",ROUNDDOWN($E476*設定!$C$4,0),ROUNDDOWN($E476*ROUND((9*$Y476-9*$E476)/(10*$E476),4),0))))</f>
        <v/>
      </c>
      <c r="AB476" s="13" t="n"/>
      <c r="AC476" s="15">
        <f>IF($B476="","",IF($AB476&lt;&gt;"",$AB476,IF($AA476="","",IF($AA476&lt;=設定!$C$3,0,$AA476))))</f>
        <v/>
      </c>
      <c r="AD476" s="14">
        <f>IF($B476="","",IF(AND($AE476&lt;&gt;"",$AG476="",$AJ476=""),"保留中",IF($AJ476&lt;&gt;"",IF(N($AC476)&gt;0,"支給済","不支給"),IF($AC476="","要確認",IF($AC476=0,"不支給","未処理")))))</f>
        <v/>
      </c>
      <c r="AE476" s="12" t="n"/>
      <c r="AF476" s="11" t="n"/>
      <c r="AG476" s="11" t="n"/>
      <c r="AH476" s="11" t="n"/>
      <c r="AI476" s="14">
        <f>IF(AND($AD476="保留中",$AF476&lt;&gt;""),TODAY()-$AF476,"")</f>
        <v/>
      </c>
      <c r="AJ476" s="12" t="inlineStr">
        <is>
          <t>R7.11</t>
        </is>
      </c>
      <c r="AK476" s="14">
        <f>IF($B476="","",IF($AO476="","対象年月が未入力／","")&amp;IF($B476="","",IF($AN476="","職員マスタに未登録の職員番号／",IF($Y476="","標準報酬月額が未登録／","")&amp;IF(AND($AO476&lt;&gt;"",OR(AND(INDEX(職員マスタ!$G$6:$G$405,$AN476)&lt;&gt;"",INDEX(職員マスタ!$G$6:$G$405,$AN476)&gt;EOMONTH($AO476,0)),AND(INDEX(職員マスタ!$H$6:$H$405,$AN476)&lt;&gt;"",INDEX(職員マスタ!$H$6:$H$405,$AN476)&lt;$AO476))),"対象月が時短期間外／","")&amp;IF(AND(INDEX(職員マスタ!$F$6:$F$405,$AN476)&lt;&gt;"",$AO476&lt;&gt;"",INDEX(職員マスタ!$F$6:$F$405,$AN476)&lt;$AO476),"対象月に子が2歳到達済／","")&amp;IF(AND($H476&lt;&gt;"",INDEX(職員マスタ!$B$6:$B$405,$AN476)&lt;&gt;"",SUBSTITUTE(SUBSTITUTE($H476," ","")," ","")&lt;&gt;SUBSTITUTE(SUBSTITUTE(INDEX(職員マスタ!$B$6:$B$405,$AN476)," ","")," ","")),"氏名がマスタと相違／","")&amp;IF(AND($Q476&lt;&gt;"",INDEX(職員マスタ!$E$6:$E$405,$AN476)&lt;&gt;"",$Q476&lt;&gt;INDEX(職員マスタ!$E$6:$E$405,$AN476)),"子の生年月日がマスタと相違／","")&amp;IF(AND($L476&lt;&gt;"",INDEX(職員マスタ!$G$6:$G$405,$AN476)&lt;&gt;"",$L476&lt;&gt;INDEX(職員マスタ!$G$6:$G$405,$AN476)),"時短開始日がマスタと相違／","")&amp;IF(AND($M476&lt;&gt;"",INDEX(職員マスタ!$H$6:$H$405,$AN476)&lt;&gt;"",$M476&lt;&gt;INDEX(職員マスタ!$H$6:$H$405,$AN476)),"時短終了日がマスタと相違／","")))&amp;IF(AND($B476&lt;&gt;"",$E476=""),"報酬額が未入力／","")&amp;IF(N($U476)&gt;0,"申請書に入力エラーが残っています／","")&amp;IF(AND($B476&lt;&gt;"",$AO476&lt;&gt;""),IF(COUNTIFS($B$6:$B$3005,$B476,$C$6:$C$3005,$C476,$D$6:$D$3005,$D476)&gt;1,"同じ月の請求が重複しています／",""),"")&amp;IF(AND(N($E476)&gt;0,$Z476&lt;&gt;"",$Z476&lt;&gt;"×",$AC476=0,$AB476=""),"計算額が下限以下のため不支給／",""))</f>
        <v/>
      </c>
      <c r="AL476" s="12" t="n"/>
      <c r="AM476" s="14">
        <f>IF($AD476="保留中",COUNTIF($AD$6:$AD476,"保留中"),"")</f>
        <v/>
      </c>
      <c r="AN476" s="14">
        <f>IF($AO476="","",IF(SUMPRODUCT(MAX((職員マスタ!$A$6:$A$405=$B476)*(((職員マスタ!$G$6:$G$405="")+(職員マスタ!$G$6:$G$405&lt;=EOMONTH($AO476,0)))&gt;0)*(((職員マスタ!$H$6:$H$405="")+(職員マスタ!$H$6:$H$405&gt;=$AO476))&gt;0)*(ROW(職員マスタ!$A$6:$A$405)-5)))&gt;0,SUMPRODUCT(MAX((職員マスタ!$A$6:$A$405=$B476)*(((職員マスタ!$G$6:$G$405="")+(職員マスタ!$G$6:$G$405&lt;=EOMONTH($AO476,0)))&gt;0)*(((職員マスタ!$H$6:$H$405="")+(職員マスタ!$H$6:$H$405&gt;=$AO476))&gt;0)*(ROW(職員マスタ!$A$6:$A$405)-5))),IFERROR(MATCH($B476,職員マスタ!$A$6:$A$405,0),"")))</f>
        <v/>
      </c>
      <c r="AO476" s="16">
        <f>IF(OR($B476="",$C476="",$D476=""),"",DATE($C476+2018,$D476,1))</f>
        <v/>
      </c>
    </row>
    <row r="477">
      <c r="A477" s="11" t="n"/>
      <c r="B477" s="12" t="n">
        <v>7202321</v>
      </c>
      <c r="C477" s="12" t="n">
        <v>7</v>
      </c>
      <c r="D477" s="12" t="n">
        <v>10</v>
      </c>
      <c r="E477" s="13" t="n">
        <v>174965</v>
      </c>
      <c r="F477" s="12" t="n"/>
      <c r="G477" s="13" t="n"/>
      <c r="H477" s="12" t="n"/>
      <c r="I477" s="12" t="n"/>
      <c r="J477" s="12" t="n"/>
      <c r="K477" s="12" t="n"/>
      <c r="L477" s="11" t="n"/>
      <c r="M477" s="11" t="n"/>
      <c r="N477" s="11" t="n"/>
      <c r="O477" s="11" t="n"/>
      <c r="P477" s="12" t="n"/>
      <c r="Q477" s="11" t="n"/>
      <c r="R477" s="12" t="n"/>
      <c r="S477" s="11" t="n"/>
      <c r="T477" s="12" t="n"/>
      <c r="U477" s="12" t="n"/>
      <c r="V477" s="14">
        <f>IF($AN477="",IF($B477="","",$H477),IF(INDEX(職員マスタ!$B$6:$B$405,$AN477)="",$H477,INDEX(職員マスタ!$B$6:$B$405,$AN477)))</f>
        <v/>
      </c>
      <c r="W477" s="14">
        <f>IF($AN477="",IF($B477="","",$R477),IF(INDEX(職員マスタ!$C$6:$C$405,$AN477)="",$R477,INDEX(職員マスタ!$C$6:$C$405,$AN477)))</f>
        <v/>
      </c>
      <c r="X477" s="14">
        <f>IF($AO477="","","R"&amp;$C477&amp;"."&amp;$D477)</f>
        <v/>
      </c>
      <c r="Y477" s="15">
        <f>IF($AN477="","",IF(INDEX(職員マスタ!$K$6:$K$405,$AN477)="","",INDEX(職員マスタ!$K$6:$K$405,$AN477)))</f>
        <v/>
      </c>
      <c r="Z477" s="14">
        <f>IF(OR($E477="",$Y477=""),"",IF($E477&gt;=$Y477,"×",IF($E477&gt;=$Y477*設定!$C$5,"△","○")))</f>
        <v/>
      </c>
      <c r="AA477" s="15">
        <f>IF($Z477="","",IF($Z477="×",0,IF($Z477="○",ROUNDDOWN($E477*設定!$C$4,0),ROUNDDOWN($E477*ROUND((9*$Y477-9*$E477)/(10*$E477),4),0))))</f>
        <v/>
      </c>
      <c r="AB477" s="13" t="n"/>
      <c r="AC477" s="15">
        <f>IF($B477="","",IF($AB477&lt;&gt;"",$AB477,IF($AA477="","",IF($AA477&lt;=設定!$C$3,0,$AA477))))</f>
        <v/>
      </c>
      <c r="AD477" s="14">
        <f>IF($B477="","",IF(AND($AE477&lt;&gt;"",$AG477="",$AJ477=""),"保留中",IF($AJ477&lt;&gt;"",IF(N($AC477)&gt;0,"支給済","不支給"),IF($AC477="","要確認",IF($AC477=0,"不支給","未処理")))))</f>
        <v/>
      </c>
      <c r="AE477" s="12" t="n"/>
      <c r="AF477" s="11" t="n"/>
      <c r="AG477" s="11" t="n"/>
      <c r="AH477" s="11" t="n"/>
      <c r="AI477" s="14">
        <f>IF(AND($AD477="保留中",$AF477&lt;&gt;""),TODAY()-$AF477,"")</f>
        <v/>
      </c>
      <c r="AJ477" s="12" t="inlineStr">
        <is>
          <t>R7.12</t>
        </is>
      </c>
      <c r="AK477" s="14">
        <f>IF($B477="","",IF($AO477="","対象年月が未入力／","")&amp;IF($B477="","",IF($AN477="","職員マスタに未登録の職員番号／",IF($Y477="","標準報酬月額が未登録／","")&amp;IF(AND($AO477&lt;&gt;"",OR(AND(INDEX(職員マスタ!$G$6:$G$405,$AN477)&lt;&gt;"",INDEX(職員マスタ!$G$6:$G$405,$AN477)&gt;EOMONTH($AO477,0)),AND(INDEX(職員マスタ!$H$6:$H$405,$AN477)&lt;&gt;"",INDEX(職員マスタ!$H$6:$H$405,$AN477)&lt;$AO477))),"対象月が時短期間外／","")&amp;IF(AND(INDEX(職員マスタ!$F$6:$F$405,$AN477)&lt;&gt;"",$AO477&lt;&gt;"",INDEX(職員マスタ!$F$6:$F$405,$AN477)&lt;$AO477),"対象月に子が2歳到達済／","")&amp;IF(AND($H477&lt;&gt;"",INDEX(職員マスタ!$B$6:$B$405,$AN477)&lt;&gt;"",SUBSTITUTE(SUBSTITUTE($H477," ","")," ","")&lt;&gt;SUBSTITUTE(SUBSTITUTE(INDEX(職員マスタ!$B$6:$B$405,$AN477)," ","")," ","")),"氏名がマスタと相違／","")&amp;IF(AND($Q477&lt;&gt;"",INDEX(職員マスタ!$E$6:$E$405,$AN477)&lt;&gt;"",$Q477&lt;&gt;INDEX(職員マスタ!$E$6:$E$405,$AN477)),"子の生年月日がマスタと相違／","")&amp;IF(AND($L477&lt;&gt;"",INDEX(職員マスタ!$G$6:$G$405,$AN477)&lt;&gt;"",$L477&lt;&gt;INDEX(職員マスタ!$G$6:$G$405,$AN477)),"時短開始日がマスタと相違／","")&amp;IF(AND($M477&lt;&gt;"",INDEX(職員マスタ!$H$6:$H$405,$AN477)&lt;&gt;"",$M477&lt;&gt;INDEX(職員マスタ!$H$6:$H$405,$AN477)),"時短終了日がマスタと相違／","")))&amp;IF(AND($B477&lt;&gt;"",$E477=""),"報酬額が未入力／","")&amp;IF(N($U477)&gt;0,"申請書に入力エラーが残っています／","")&amp;IF(AND($B477&lt;&gt;"",$AO477&lt;&gt;""),IF(COUNTIFS($B$6:$B$3005,$B477,$C$6:$C$3005,$C477,$D$6:$D$3005,$D477)&gt;1,"同じ月の請求が重複しています／",""),"")&amp;IF(AND(N($E477)&gt;0,$Z477&lt;&gt;"",$Z477&lt;&gt;"×",$AC477=0,$AB477=""),"計算額が下限以下のため不支給／",""))</f>
        <v/>
      </c>
      <c r="AL477" s="12" t="n"/>
      <c r="AM477" s="14">
        <f>IF($AD477="保留中",COUNTIF($AD$6:$AD477,"保留中"),"")</f>
        <v/>
      </c>
      <c r="AN477" s="14">
        <f>IF($AO477="","",IF(SUMPRODUCT(MAX((職員マスタ!$A$6:$A$405=$B477)*(((職員マスタ!$G$6:$G$405="")+(職員マスタ!$G$6:$G$405&lt;=EOMONTH($AO477,0)))&gt;0)*(((職員マスタ!$H$6:$H$405="")+(職員マスタ!$H$6:$H$405&gt;=$AO477))&gt;0)*(ROW(職員マスタ!$A$6:$A$405)-5)))&gt;0,SUMPRODUCT(MAX((職員マスタ!$A$6:$A$405=$B477)*(((職員マスタ!$G$6:$G$405="")+(職員マスタ!$G$6:$G$405&lt;=EOMONTH($AO477,0)))&gt;0)*(((職員マスタ!$H$6:$H$405="")+(職員マスタ!$H$6:$H$405&gt;=$AO477))&gt;0)*(ROW(職員マスタ!$A$6:$A$405)-5))),IFERROR(MATCH($B477,職員マスタ!$A$6:$A$405,0),"")))</f>
        <v/>
      </c>
      <c r="AO477" s="16">
        <f>IF(OR($B477="",$C477="",$D477=""),"",DATE($C477+2018,$D477,1))</f>
        <v/>
      </c>
    </row>
    <row r="478">
      <c r="A478" s="11" t="n"/>
      <c r="B478" s="12" t="n">
        <v>7202321</v>
      </c>
      <c r="C478" s="12" t="n">
        <v>7</v>
      </c>
      <c r="D478" s="12" t="n">
        <v>11</v>
      </c>
      <c r="E478" s="13" t="n">
        <v>182241</v>
      </c>
      <c r="F478" s="12" t="n"/>
      <c r="G478" s="13" t="n"/>
      <c r="H478" s="12" t="n"/>
      <c r="I478" s="12" t="n"/>
      <c r="J478" s="12" t="n"/>
      <c r="K478" s="12" t="n"/>
      <c r="L478" s="11" t="n"/>
      <c r="M478" s="11" t="n"/>
      <c r="N478" s="11" t="n"/>
      <c r="O478" s="11" t="n"/>
      <c r="P478" s="12" t="n"/>
      <c r="Q478" s="11" t="n"/>
      <c r="R478" s="12" t="n"/>
      <c r="S478" s="11" t="n"/>
      <c r="T478" s="12" t="n"/>
      <c r="U478" s="12" t="n"/>
      <c r="V478" s="14">
        <f>IF($AN478="",IF($B478="","",$H478),IF(INDEX(職員マスタ!$B$6:$B$405,$AN478)="",$H478,INDEX(職員マスタ!$B$6:$B$405,$AN478)))</f>
        <v/>
      </c>
      <c r="W478" s="14">
        <f>IF($AN478="",IF($B478="","",$R478),IF(INDEX(職員マスタ!$C$6:$C$405,$AN478)="",$R478,INDEX(職員マスタ!$C$6:$C$405,$AN478)))</f>
        <v/>
      </c>
      <c r="X478" s="14">
        <f>IF($AO478="","","R"&amp;$C478&amp;"."&amp;$D478)</f>
        <v/>
      </c>
      <c r="Y478" s="15">
        <f>IF($AN478="","",IF(INDEX(職員マスタ!$K$6:$K$405,$AN478)="","",INDEX(職員マスタ!$K$6:$K$405,$AN478)))</f>
        <v/>
      </c>
      <c r="Z478" s="14">
        <f>IF(OR($E478="",$Y478=""),"",IF($E478&gt;=$Y478,"×",IF($E478&gt;=$Y478*設定!$C$5,"△","○")))</f>
        <v/>
      </c>
      <c r="AA478" s="15">
        <f>IF($Z478="","",IF($Z478="×",0,IF($Z478="○",ROUNDDOWN($E478*設定!$C$4,0),ROUNDDOWN($E478*ROUND((9*$Y478-9*$E478)/(10*$E478),4),0))))</f>
        <v/>
      </c>
      <c r="AB478" s="13" t="n"/>
      <c r="AC478" s="15">
        <f>IF($B478="","",IF($AB478&lt;&gt;"",$AB478,IF($AA478="","",IF($AA478&lt;=設定!$C$3,0,$AA478))))</f>
        <v/>
      </c>
      <c r="AD478" s="14">
        <f>IF($B478="","",IF(AND($AE478&lt;&gt;"",$AG478="",$AJ478=""),"保留中",IF($AJ478&lt;&gt;"",IF(N($AC478)&gt;0,"支給済","不支給"),IF($AC478="","要確認",IF($AC478=0,"不支給","未処理")))))</f>
        <v/>
      </c>
      <c r="AE478" s="12" t="n"/>
      <c r="AF478" s="11" t="n"/>
      <c r="AG478" s="11" t="n"/>
      <c r="AH478" s="11" t="n"/>
      <c r="AI478" s="14">
        <f>IF(AND($AD478="保留中",$AF478&lt;&gt;""),TODAY()-$AF478,"")</f>
        <v/>
      </c>
      <c r="AJ478" s="12" t="inlineStr">
        <is>
          <t>R8.1</t>
        </is>
      </c>
      <c r="AK478" s="14">
        <f>IF($B478="","",IF($AO478="","対象年月が未入力／","")&amp;IF($B478="","",IF($AN478="","職員マスタに未登録の職員番号／",IF($Y478="","標準報酬月額が未登録／","")&amp;IF(AND($AO478&lt;&gt;"",OR(AND(INDEX(職員マスタ!$G$6:$G$405,$AN478)&lt;&gt;"",INDEX(職員マスタ!$G$6:$G$405,$AN478)&gt;EOMONTH($AO478,0)),AND(INDEX(職員マスタ!$H$6:$H$405,$AN478)&lt;&gt;"",INDEX(職員マスタ!$H$6:$H$405,$AN478)&lt;$AO478))),"対象月が時短期間外／","")&amp;IF(AND(INDEX(職員マスタ!$F$6:$F$405,$AN478)&lt;&gt;"",$AO478&lt;&gt;"",INDEX(職員マスタ!$F$6:$F$405,$AN478)&lt;$AO478),"対象月に子が2歳到達済／","")&amp;IF(AND($H478&lt;&gt;"",INDEX(職員マスタ!$B$6:$B$405,$AN478)&lt;&gt;"",SUBSTITUTE(SUBSTITUTE($H478," ","")," ","")&lt;&gt;SUBSTITUTE(SUBSTITUTE(INDEX(職員マスタ!$B$6:$B$405,$AN478)," ","")," ","")),"氏名がマスタと相違／","")&amp;IF(AND($Q478&lt;&gt;"",INDEX(職員マスタ!$E$6:$E$405,$AN478)&lt;&gt;"",$Q478&lt;&gt;INDEX(職員マスタ!$E$6:$E$405,$AN478)),"子の生年月日がマスタと相違／","")&amp;IF(AND($L478&lt;&gt;"",INDEX(職員マスタ!$G$6:$G$405,$AN478)&lt;&gt;"",$L478&lt;&gt;INDEX(職員マスタ!$G$6:$G$405,$AN478)),"時短開始日がマスタと相違／","")&amp;IF(AND($M478&lt;&gt;"",INDEX(職員マスタ!$H$6:$H$405,$AN478)&lt;&gt;"",$M478&lt;&gt;INDEX(職員マスタ!$H$6:$H$405,$AN478)),"時短終了日がマスタと相違／","")))&amp;IF(AND($B478&lt;&gt;"",$E478=""),"報酬額が未入力／","")&amp;IF(N($U478)&gt;0,"申請書に入力エラーが残っています／","")&amp;IF(AND($B478&lt;&gt;"",$AO478&lt;&gt;""),IF(COUNTIFS($B$6:$B$3005,$B478,$C$6:$C$3005,$C478,$D$6:$D$3005,$D478)&gt;1,"同じ月の請求が重複しています／",""),"")&amp;IF(AND(N($E478)&gt;0,$Z478&lt;&gt;"",$Z478&lt;&gt;"×",$AC478=0,$AB478=""),"計算額が下限以下のため不支給／",""))</f>
        <v/>
      </c>
      <c r="AL478" s="12" t="n"/>
      <c r="AM478" s="14">
        <f>IF($AD478="保留中",COUNTIF($AD$6:$AD478,"保留中"),"")</f>
        <v/>
      </c>
      <c r="AN478" s="14">
        <f>IF($AO478="","",IF(SUMPRODUCT(MAX((職員マスタ!$A$6:$A$405=$B478)*(((職員マスタ!$G$6:$G$405="")+(職員マスタ!$G$6:$G$405&lt;=EOMONTH($AO478,0)))&gt;0)*(((職員マスタ!$H$6:$H$405="")+(職員マスタ!$H$6:$H$405&gt;=$AO478))&gt;0)*(ROW(職員マスタ!$A$6:$A$405)-5)))&gt;0,SUMPRODUCT(MAX((職員マスタ!$A$6:$A$405=$B478)*(((職員マスタ!$G$6:$G$405="")+(職員マスタ!$G$6:$G$405&lt;=EOMONTH($AO478,0)))&gt;0)*(((職員マスタ!$H$6:$H$405="")+(職員マスタ!$H$6:$H$405&gt;=$AO478))&gt;0)*(ROW(職員マスタ!$A$6:$A$405)-5))),IFERROR(MATCH($B478,職員マスタ!$A$6:$A$405,0),"")))</f>
        <v/>
      </c>
      <c r="AO478" s="16">
        <f>IF(OR($B478="",$C478="",$D478=""),"",DATE($C478+2018,$D478,1))</f>
        <v/>
      </c>
    </row>
    <row r="479">
      <c r="A479" s="11" t="n"/>
      <c r="B479" s="12" t="n">
        <v>7202321</v>
      </c>
      <c r="C479" s="12" t="n">
        <v>7</v>
      </c>
      <c r="D479" s="12" t="n">
        <v>12</v>
      </c>
      <c r="E479" s="13" t="n">
        <v>195104</v>
      </c>
      <c r="F479" s="12" t="n"/>
      <c r="G479" s="13" t="n"/>
      <c r="H479" s="12" t="n"/>
      <c r="I479" s="12" t="n"/>
      <c r="J479" s="12" t="n"/>
      <c r="K479" s="12" t="n"/>
      <c r="L479" s="11" t="n"/>
      <c r="M479" s="11" t="n"/>
      <c r="N479" s="11" t="n"/>
      <c r="O479" s="11" t="n"/>
      <c r="P479" s="12" t="n"/>
      <c r="Q479" s="11" t="n"/>
      <c r="R479" s="12" t="n"/>
      <c r="S479" s="11" t="n"/>
      <c r="T479" s="12" t="n"/>
      <c r="U479" s="12" t="n"/>
      <c r="V479" s="14">
        <f>IF($AN479="",IF($B479="","",$H479),IF(INDEX(職員マスタ!$B$6:$B$405,$AN479)="",$H479,INDEX(職員マスタ!$B$6:$B$405,$AN479)))</f>
        <v/>
      </c>
      <c r="W479" s="14">
        <f>IF($AN479="",IF($B479="","",$R479),IF(INDEX(職員マスタ!$C$6:$C$405,$AN479)="",$R479,INDEX(職員マスタ!$C$6:$C$405,$AN479)))</f>
        <v/>
      </c>
      <c r="X479" s="14">
        <f>IF($AO479="","","R"&amp;$C479&amp;"."&amp;$D479)</f>
        <v/>
      </c>
      <c r="Y479" s="15">
        <f>IF($AN479="","",IF(INDEX(職員マスタ!$K$6:$K$405,$AN479)="","",INDEX(職員マスタ!$K$6:$K$405,$AN479)))</f>
        <v/>
      </c>
      <c r="Z479" s="14">
        <f>IF(OR($E479="",$Y479=""),"",IF($E479&gt;=$Y479,"×",IF($E479&gt;=$Y479*設定!$C$5,"△","○")))</f>
        <v/>
      </c>
      <c r="AA479" s="15">
        <f>IF($Z479="","",IF($Z479="×",0,IF($Z479="○",ROUNDDOWN($E479*設定!$C$4,0),ROUNDDOWN($E479*ROUND((9*$Y479-9*$E479)/(10*$E479),4),0))))</f>
        <v/>
      </c>
      <c r="AB479" s="13" t="n"/>
      <c r="AC479" s="15">
        <f>IF($B479="","",IF($AB479&lt;&gt;"",$AB479,IF($AA479="","",IF($AA479&lt;=設定!$C$3,0,$AA479))))</f>
        <v/>
      </c>
      <c r="AD479" s="14">
        <f>IF($B479="","",IF(AND($AE479&lt;&gt;"",$AG479="",$AJ479=""),"保留中",IF($AJ479&lt;&gt;"",IF(N($AC479)&gt;0,"支給済","不支給"),IF($AC479="","要確認",IF($AC479=0,"不支給","未処理")))))</f>
        <v/>
      </c>
      <c r="AE479" s="12" t="n"/>
      <c r="AF479" s="11" t="n"/>
      <c r="AG479" s="11" t="n"/>
      <c r="AH479" s="11" t="n"/>
      <c r="AI479" s="14">
        <f>IF(AND($AD479="保留中",$AF479&lt;&gt;""),TODAY()-$AF479,"")</f>
        <v/>
      </c>
      <c r="AJ479" s="12" t="inlineStr">
        <is>
          <t>R8.2</t>
        </is>
      </c>
      <c r="AK479" s="14">
        <f>IF($B479="","",IF($AO479="","対象年月が未入力／","")&amp;IF($B479="","",IF($AN479="","職員マスタに未登録の職員番号／",IF($Y479="","標準報酬月額が未登録／","")&amp;IF(AND($AO479&lt;&gt;"",OR(AND(INDEX(職員マスタ!$G$6:$G$405,$AN479)&lt;&gt;"",INDEX(職員マスタ!$G$6:$G$405,$AN479)&gt;EOMONTH($AO479,0)),AND(INDEX(職員マスタ!$H$6:$H$405,$AN479)&lt;&gt;"",INDEX(職員マスタ!$H$6:$H$405,$AN479)&lt;$AO479))),"対象月が時短期間外／","")&amp;IF(AND(INDEX(職員マスタ!$F$6:$F$405,$AN479)&lt;&gt;"",$AO479&lt;&gt;"",INDEX(職員マスタ!$F$6:$F$405,$AN479)&lt;$AO479),"対象月に子が2歳到達済／","")&amp;IF(AND($H479&lt;&gt;"",INDEX(職員マスタ!$B$6:$B$405,$AN479)&lt;&gt;"",SUBSTITUTE(SUBSTITUTE($H479," ","")," ","")&lt;&gt;SUBSTITUTE(SUBSTITUTE(INDEX(職員マスタ!$B$6:$B$405,$AN479)," ","")," ","")),"氏名がマスタと相違／","")&amp;IF(AND($Q479&lt;&gt;"",INDEX(職員マスタ!$E$6:$E$405,$AN479)&lt;&gt;"",$Q479&lt;&gt;INDEX(職員マスタ!$E$6:$E$405,$AN479)),"子の生年月日がマスタと相違／","")&amp;IF(AND($L479&lt;&gt;"",INDEX(職員マスタ!$G$6:$G$405,$AN479)&lt;&gt;"",$L479&lt;&gt;INDEX(職員マスタ!$G$6:$G$405,$AN479)),"時短開始日がマスタと相違／","")&amp;IF(AND($M479&lt;&gt;"",INDEX(職員マスタ!$H$6:$H$405,$AN479)&lt;&gt;"",$M479&lt;&gt;INDEX(職員マスタ!$H$6:$H$405,$AN479)),"時短終了日がマスタと相違／","")))&amp;IF(AND($B479&lt;&gt;"",$E479=""),"報酬額が未入力／","")&amp;IF(N($U479)&gt;0,"申請書に入力エラーが残っています／","")&amp;IF(AND($B479&lt;&gt;"",$AO479&lt;&gt;""),IF(COUNTIFS($B$6:$B$3005,$B479,$C$6:$C$3005,$C479,$D$6:$D$3005,$D479)&gt;1,"同じ月の請求が重複しています／",""),"")&amp;IF(AND(N($E479)&gt;0,$Z479&lt;&gt;"",$Z479&lt;&gt;"×",$AC479=0,$AB479=""),"計算額が下限以下のため不支給／",""))</f>
        <v/>
      </c>
      <c r="AL479" s="12" t="n"/>
      <c r="AM479" s="14">
        <f>IF($AD479="保留中",COUNTIF($AD$6:$AD479,"保留中"),"")</f>
        <v/>
      </c>
      <c r="AN479" s="14">
        <f>IF($AO479="","",IF(SUMPRODUCT(MAX((職員マスタ!$A$6:$A$405=$B479)*(((職員マスタ!$G$6:$G$405="")+(職員マスタ!$G$6:$G$405&lt;=EOMONTH($AO479,0)))&gt;0)*(((職員マスタ!$H$6:$H$405="")+(職員マスタ!$H$6:$H$405&gt;=$AO479))&gt;0)*(ROW(職員マスタ!$A$6:$A$405)-5)))&gt;0,SUMPRODUCT(MAX((職員マスタ!$A$6:$A$405=$B479)*(((職員マスタ!$G$6:$G$405="")+(職員マスタ!$G$6:$G$405&lt;=EOMONTH($AO479,0)))&gt;0)*(((職員マスタ!$H$6:$H$405="")+(職員マスタ!$H$6:$H$405&gt;=$AO479))&gt;0)*(ROW(職員マスタ!$A$6:$A$405)-5))),IFERROR(MATCH($B479,職員マスタ!$A$6:$A$405,0),"")))</f>
        <v/>
      </c>
      <c r="AO479" s="16">
        <f>IF(OR($B479="",$C479="",$D479=""),"",DATE($C479+2018,$D479,1))</f>
        <v/>
      </c>
    </row>
    <row r="480">
      <c r="A480" s="11" t="n"/>
      <c r="B480" s="12" t="n">
        <v>7202321</v>
      </c>
      <c r="C480" s="12" t="n">
        <v>8</v>
      </c>
      <c r="D480" s="12" t="n">
        <v>1</v>
      </c>
      <c r="E480" s="13" t="n">
        <v>184400</v>
      </c>
      <c r="F480" s="12" t="n"/>
      <c r="G480" s="13" t="n"/>
      <c r="H480" s="12" t="n"/>
      <c r="I480" s="12" t="n"/>
      <c r="J480" s="12" t="n"/>
      <c r="K480" s="12" t="n"/>
      <c r="L480" s="11" t="n"/>
      <c r="M480" s="11" t="n"/>
      <c r="N480" s="11" t="n"/>
      <c r="O480" s="11" t="n"/>
      <c r="P480" s="12" t="n"/>
      <c r="Q480" s="11" t="n"/>
      <c r="R480" s="12" t="n"/>
      <c r="S480" s="11" t="n"/>
      <c r="T480" s="12" t="n"/>
      <c r="U480" s="12" t="n"/>
      <c r="V480" s="14">
        <f>IF($AN480="",IF($B480="","",$H480),IF(INDEX(職員マスタ!$B$6:$B$405,$AN480)="",$H480,INDEX(職員マスタ!$B$6:$B$405,$AN480)))</f>
        <v/>
      </c>
      <c r="W480" s="14">
        <f>IF($AN480="",IF($B480="","",$R480),IF(INDEX(職員マスタ!$C$6:$C$405,$AN480)="",$R480,INDEX(職員マスタ!$C$6:$C$405,$AN480)))</f>
        <v/>
      </c>
      <c r="X480" s="14">
        <f>IF($AO480="","","R"&amp;$C480&amp;"."&amp;$D480)</f>
        <v/>
      </c>
      <c r="Y480" s="15">
        <f>IF($AN480="","",IF(INDEX(職員マスタ!$K$6:$K$405,$AN480)="","",INDEX(職員マスタ!$K$6:$K$405,$AN480)))</f>
        <v/>
      </c>
      <c r="Z480" s="14">
        <f>IF(OR($E480="",$Y480=""),"",IF($E480&gt;=$Y480,"×",IF($E480&gt;=$Y480*設定!$C$5,"△","○")))</f>
        <v/>
      </c>
      <c r="AA480" s="15">
        <f>IF($Z480="","",IF($Z480="×",0,IF($Z480="○",ROUNDDOWN($E480*設定!$C$4,0),ROUNDDOWN($E480*ROUND((9*$Y480-9*$E480)/(10*$E480),4),0))))</f>
        <v/>
      </c>
      <c r="AB480" s="13" t="n"/>
      <c r="AC480" s="15">
        <f>IF($B480="","",IF($AB480&lt;&gt;"",$AB480,IF($AA480="","",IF($AA480&lt;=設定!$C$3,0,$AA480))))</f>
        <v/>
      </c>
      <c r="AD480" s="14">
        <f>IF($B480="","",IF(AND($AE480&lt;&gt;"",$AG480="",$AJ480=""),"保留中",IF($AJ480&lt;&gt;"",IF(N($AC480)&gt;0,"支給済","不支給"),IF($AC480="","要確認",IF($AC480=0,"不支給","未処理")))))</f>
        <v/>
      </c>
      <c r="AE480" s="12" t="n"/>
      <c r="AF480" s="11" t="n"/>
      <c r="AG480" s="11" t="n"/>
      <c r="AH480" s="11" t="n"/>
      <c r="AI480" s="14">
        <f>IF(AND($AD480="保留中",$AF480&lt;&gt;""),TODAY()-$AF480,"")</f>
        <v/>
      </c>
      <c r="AJ480" s="12" t="inlineStr">
        <is>
          <t>R8.3</t>
        </is>
      </c>
      <c r="AK480" s="14">
        <f>IF($B480="","",IF($AO480="","対象年月が未入力／","")&amp;IF($B480="","",IF($AN480="","職員マスタに未登録の職員番号／",IF($Y480="","標準報酬月額が未登録／","")&amp;IF(AND($AO480&lt;&gt;"",OR(AND(INDEX(職員マスタ!$G$6:$G$405,$AN480)&lt;&gt;"",INDEX(職員マスタ!$G$6:$G$405,$AN480)&gt;EOMONTH($AO480,0)),AND(INDEX(職員マスタ!$H$6:$H$405,$AN480)&lt;&gt;"",INDEX(職員マスタ!$H$6:$H$405,$AN480)&lt;$AO480))),"対象月が時短期間外／","")&amp;IF(AND(INDEX(職員マスタ!$F$6:$F$405,$AN480)&lt;&gt;"",$AO480&lt;&gt;"",INDEX(職員マスタ!$F$6:$F$405,$AN480)&lt;$AO480),"対象月に子が2歳到達済／","")&amp;IF(AND($H480&lt;&gt;"",INDEX(職員マスタ!$B$6:$B$405,$AN480)&lt;&gt;"",SUBSTITUTE(SUBSTITUTE($H480," ","")," ","")&lt;&gt;SUBSTITUTE(SUBSTITUTE(INDEX(職員マスタ!$B$6:$B$405,$AN480)," ","")," ","")),"氏名がマスタと相違／","")&amp;IF(AND($Q480&lt;&gt;"",INDEX(職員マスタ!$E$6:$E$405,$AN480)&lt;&gt;"",$Q480&lt;&gt;INDEX(職員マスタ!$E$6:$E$405,$AN480)),"子の生年月日がマスタと相違／","")&amp;IF(AND($L480&lt;&gt;"",INDEX(職員マスタ!$G$6:$G$405,$AN480)&lt;&gt;"",$L480&lt;&gt;INDEX(職員マスタ!$G$6:$G$405,$AN480)),"時短開始日がマスタと相違／","")&amp;IF(AND($M480&lt;&gt;"",INDEX(職員マスタ!$H$6:$H$405,$AN480)&lt;&gt;"",$M480&lt;&gt;INDEX(職員マスタ!$H$6:$H$405,$AN480)),"時短終了日がマスタと相違／","")))&amp;IF(AND($B480&lt;&gt;"",$E480=""),"報酬額が未入力／","")&amp;IF(N($U480)&gt;0,"申請書に入力エラーが残っています／","")&amp;IF(AND($B480&lt;&gt;"",$AO480&lt;&gt;""),IF(COUNTIFS($B$6:$B$3005,$B480,$C$6:$C$3005,$C480,$D$6:$D$3005,$D480)&gt;1,"同じ月の請求が重複しています／",""),"")&amp;IF(AND(N($E480)&gt;0,$Z480&lt;&gt;"",$Z480&lt;&gt;"×",$AC480=0,$AB480=""),"計算額が下限以下のため不支給／",""))</f>
        <v/>
      </c>
      <c r="AL480" s="12" t="n"/>
      <c r="AM480" s="14">
        <f>IF($AD480="保留中",COUNTIF($AD$6:$AD480,"保留中"),"")</f>
        <v/>
      </c>
      <c r="AN480" s="14">
        <f>IF($AO480="","",IF(SUMPRODUCT(MAX((職員マスタ!$A$6:$A$405=$B480)*(((職員マスタ!$G$6:$G$405="")+(職員マスタ!$G$6:$G$405&lt;=EOMONTH($AO480,0)))&gt;0)*(((職員マスタ!$H$6:$H$405="")+(職員マスタ!$H$6:$H$405&gt;=$AO480))&gt;0)*(ROW(職員マスタ!$A$6:$A$405)-5)))&gt;0,SUMPRODUCT(MAX((職員マスタ!$A$6:$A$405=$B480)*(((職員マスタ!$G$6:$G$405="")+(職員マスタ!$G$6:$G$405&lt;=EOMONTH($AO480,0)))&gt;0)*(((職員マスタ!$H$6:$H$405="")+(職員マスタ!$H$6:$H$405&gt;=$AO480))&gt;0)*(ROW(職員マスタ!$A$6:$A$405)-5))),IFERROR(MATCH($B480,職員マスタ!$A$6:$A$405,0),"")))</f>
        <v/>
      </c>
      <c r="AO480" s="16">
        <f>IF(OR($B480="",$C480="",$D480=""),"",DATE($C480+2018,$D480,1))</f>
        <v/>
      </c>
    </row>
    <row r="481">
      <c r="A481" s="11" t="n"/>
      <c r="B481" s="12" t="n">
        <v>7202321</v>
      </c>
      <c r="C481" s="12" t="n">
        <v>8</v>
      </c>
      <c r="D481" s="12" t="n">
        <v>2</v>
      </c>
      <c r="E481" s="13" t="n">
        <v>184400</v>
      </c>
      <c r="F481" s="12" t="n"/>
      <c r="G481" s="13" t="n"/>
      <c r="H481" s="12" t="n"/>
      <c r="I481" s="12" t="n"/>
      <c r="J481" s="12" t="n"/>
      <c r="K481" s="12" t="n"/>
      <c r="L481" s="11" t="n"/>
      <c r="M481" s="11" t="n"/>
      <c r="N481" s="11" t="n"/>
      <c r="O481" s="11" t="n"/>
      <c r="P481" s="12" t="n"/>
      <c r="Q481" s="11" t="n"/>
      <c r="R481" s="12" t="n"/>
      <c r="S481" s="11" t="n"/>
      <c r="T481" s="12" t="n"/>
      <c r="U481" s="12" t="n"/>
      <c r="V481" s="14">
        <f>IF($AN481="",IF($B481="","",$H481),IF(INDEX(職員マスタ!$B$6:$B$405,$AN481)="",$H481,INDEX(職員マスタ!$B$6:$B$405,$AN481)))</f>
        <v/>
      </c>
      <c r="W481" s="14">
        <f>IF($AN481="",IF($B481="","",$R481),IF(INDEX(職員マスタ!$C$6:$C$405,$AN481)="",$R481,INDEX(職員マスタ!$C$6:$C$405,$AN481)))</f>
        <v/>
      </c>
      <c r="X481" s="14">
        <f>IF($AO481="","","R"&amp;$C481&amp;"."&amp;$D481)</f>
        <v/>
      </c>
      <c r="Y481" s="15">
        <f>IF($AN481="","",IF(INDEX(職員マスタ!$K$6:$K$405,$AN481)="","",INDEX(職員マスタ!$K$6:$K$405,$AN481)))</f>
        <v/>
      </c>
      <c r="Z481" s="14">
        <f>IF(OR($E481="",$Y481=""),"",IF($E481&gt;=$Y481,"×",IF($E481&gt;=$Y481*設定!$C$5,"△","○")))</f>
        <v/>
      </c>
      <c r="AA481" s="15">
        <f>IF($Z481="","",IF($Z481="×",0,IF($Z481="○",ROUNDDOWN($E481*設定!$C$4,0),ROUNDDOWN($E481*ROUND((9*$Y481-9*$E481)/(10*$E481),4),0))))</f>
        <v/>
      </c>
      <c r="AB481" s="13" t="n"/>
      <c r="AC481" s="15">
        <f>IF($B481="","",IF($AB481&lt;&gt;"",$AB481,IF($AA481="","",IF($AA481&lt;=設定!$C$3,0,$AA481))))</f>
        <v/>
      </c>
      <c r="AD481" s="14">
        <f>IF($B481="","",IF(AND($AE481&lt;&gt;"",$AG481="",$AJ481=""),"保留中",IF($AJ481&lt;&gt;"",IF(N($AC481)&gt;0,"支給済","不支給"),IF($AC481="","要確認",IF($AC481=0,"不支給","未処理")))))</f>
        <v/>
      </c>
      <c r="AE481" s="12" t="n"/>
      <c r="AF481" s="11" t="n"/>
      <c r="AG481" s="11" t="n"/>
      <c r="AH481" s="11" t="n"/>
      <c r="AI481" s="14">
        <f>IF(AND($AD481="保留中",$AF481&lt;&gt;""),TODAY()-$AF481,"")</f>
        <v/>
      </c>
      <c r="AJ481" s="12" t="inlineStr">
        <is>
          <t>R8.4</t>
        </is>
      </c>
      <c r="AK481" s="14">
        <f>IF($B481="","",IF($AO481="","対象年月が未入力／","")&amp;IF($B481="","",IF($AN481="","職員マスタに未登録の職員番号／",IF($Y481="","標準報酬月額が未登録／","")&amp;IF(AND($AO481&lt;&gt;"",OR(AND(INDEX(職員マスタ!$G$6:$G$405,$AN481)&lt;&gt;"",INDEX(職員マスタ!$G$6:$G$405,$AN481)&gt;EOMONTH($AO481,0)),AND(INDEX(職員マスタ!$H$6:$H$405,$AN481)&lt;&gt;"",INDEX(職員マスタ!$H$6:$H$405,$AN481)&lt;$AO481))),"対象月が時短期間外／","")&amp;IF(AND(INDEX(職員マスタ!$F$6:$F$405,$AN481)&lt;&gt;"",$AO481&lt;&gt;"",INDEX(職員マスタ!$F$6:$F$405,$AN481)&lt;$AO481),"対象月に子が2歳到達済／","")&amp;IF(AND($H481&lt;&gt;"",INDEX(職員マスタ!$B$6:$B$405,$AN481)&lt;&gt;"",SUBSTITUTE(SUBSTITUTE($H481," ","")," ","")&lt;&gt;SUBSTITUTE(SUBSTITUTE(INDEX(職員マスタ!$B$6:$B$405,$AN481)," ","")," ","")),"氏名がマスタと相違／","")&amp;IF(AND($Q481&lt;&gt;"",INDEX(職員マスタ!$E$6:$E$405,$AN481)&lt;&gt;"",$Q481&lt;&gt;INDEX(職員マスタ!$E$6:$E$405,$AN481)),"子の生年月日がマスタと相違／","")&amp;IF(AND($L481&lt;&gt;"",INDEX(職員マスタ!$G$6:$G$405,$AN481)&lt;&gt;"",$L481&lt;&gt;INDEX(職員マスタ!$G$6:$G$405,$AN481)),"時短開始日がマスタと相違／","")&amp;IF(AND($M481&lt;&gt;"",INDEX(職員マスタ!$H$6:$H$405,$AN481)&lt;&gt;"",$M481&lt;&gt;INDEX(職員マスタ!$H$6:$H$405,$AN481)),"時短終了日がマスタと相違／","")))&amp;IF(AND($B481&lt;&gt;"",$E481=""),"報酬額が未入力／","")&amp;IF(N($U481)&gt;0,"申請書に入力エラーが残っています／","")&amp;IF(AND($B481&lt;&gt;"",$AO481&lt;&gt;""),IF(COUNTIFS($B$6:$B$3005,$B481,$C$6:$C$3005,$C481,$D$6:$D$3005,$D481)&gt;1,"同じ月の請求が重複しています／",""),"")&amp;IF(AND(N($E481)&gt;0,$Z481&lt;&gt;"",$Z481&lt;&gt;"×",$AC481=0,$AB481=""),"計算額が下限以下のため不支給／",""))</f>
        <v/>
      </c>
      <c r="AL481" s="12" t="n"/>
      <c r="AM481" s="14">
        <f>IF($AD481="保留中",COUNTIF($AD$6:$AD481,"保留中"),"")</f>
        <v/>
      </c>
      <c r="AN481" s="14">
        <f>IF($AO481="","",IF(SUMPRODUCT(MAX((職員マスタ!$A$6:$A$405=$B481)*(((職員マスタ!$G$6:$G$405="")+(職員マスタ!$G$6:$G$405&lt;=EOMONTH($AO481,0)))&gt;0)*(((職員マスタ!$H$6:$H$405="")+(職員マスタ!$H$6:$H$405&gt;=$AO481))&gt;0)*(ROW(職員マスタ!$A$6:$A$405)-5)))&gt;0,SUMPRODUCT(MAX((職員マスタ!$A$6:$A$405=$B481)*(((職員マスタ!$G$6:$G$405="")+(職員マスタ!$G$6:$G$405&lt;=EOMONTH($AO481,0)))&gt;0)*(((職員マスタ!$H$6:$H$405="")+(職員マスタ!$H$6:$H$405&gt;=$AO481))&gt;0)*(ROW(職員マスタ!$A$6:$A$405)-5))),IFERROR(MATCH($B481,職員マスタ!$A$6:$A$405,0),"")))</f>
        <v/>
      </c>
      <c r="AO481" s="16">
        <f>IF(OR($B481="",$C481="",$D481=""),"",DATE($C481+2018,$D481,1))</f>
        <v/>
      </c>
    </row>
    <row r="482">
      <c r="A482" s="11" t="n"/>
      <c r="B482" s="12" t="n">
        <v>7202425</v>
      </c>
      <c r="C482" s="12" t="n">
        <v>8</v>
      </c>
      <c r="D482" s="12" t="n">
        <v>5</v>
      </c>
      <c r="E482" s="13" t="n">
        <v>203261</v>
      </c>
      <c r="F482" s="12" t="n"/>
      <c r="G482" s="13" t="n"/>
      <c r="H482" s="12" t="n"/>
      <c r="I482" s="12" t="n"/>
      <c r="J482" s="12" t="n"/>
      <c r="K482" s="12" t="n"/>
      <c r="L482" s="11" t="n"/>
      <c r="M482" s="11" t="n"/>
      <c r="N482" s="11" t="n"/>
      <c r="O482" s="11" t="n"/>
      <c r="P482" s="12" t="n"/>
      <c r="Q482" s="11" t="n"/>
      <c r="R482" s="12" t="n"/>
      <c r="S482" s="11" t="n"/>
      <c r="T482" s="12" t="n"/>
      <c r="U482" s="12" t="n"/>
      <c r="V482" s="14">
        <f>IF($AN482="",IF($B482="","",$H482),IF(INDEX(職員マスタ!$B$6:$B$405,$AN482)="",$H482,INDEX(職員マスタ!$B$6:$B$405,$AN482)))</f>
        <v/>
      </c>
      <c r="W482" s="14">
        <f>IF($AN482="",IF($B482="","",$R482),IF(INDEX(職員マスタ!$C$6:$C$405,$AN482)="",$R482,INDEX(職員マスタ!$C$6:$C$405,$AN482)))</f>
        <v/>
      </c>
      <c r="X482" s="14">
        <f>IF($AO482="","","R"&amp;$C482&amp;"."&amp;$D482)</f>
        <v/>
      </c>
      <c r="Y482" s="15">
        <f>IF($AN482="","",IF(INDEX(職員マスタ!$K$6:$K$405,$AN482)="","",INDEX(職員マスタ!$K$6:$K$405,$AN482)))</f>
        <v/>
      </c>
      <c r="Z482" s="14">
        <f>IF(OR($E482="",$Y482=""),"",IF($E482&gt;=$Y482,"×",IF($E482&gt;=$Y482*設定!$C$5,"△","○")))</f>
        <v/>
      </c>
      <c r="AA482" s="15">
        <f>IF($Z482="","",IF($Z482="×",0,IF($Z482="○",ROUNDDOWN($E482*設定!$C$4,0),ROUNDDOWN($E482*ROUND((9*$Y482-9*$E482)/(10*$E482),4),0))))</f>
        <v/>
      </c>
      <c r="AB482" s="13" t="n"/>
      <c r="AC482" s="15">
        <f>IF($B482="","",IF($AB482&lt;&gt;"",$AB482,IF($AA482="","",IF($AA482&lt;=設定!$C$3,0,$AA482))))</f>
        <v/>
      </c>
      <c r="AD482" s="14">
        <f>IF($B482="","",IF(AND($AE482&lt;&gt;"",$AG482="",$AJ482=""),"保留中",IF($AJ482&lt;&gt;"",IF(N($AC482)&gt;0,"支給済","不支給"),IF($AC482="","要確認",IF($AC482=0,"不支給","未処理")))))</f>
        <v/>
      </c>
      <c r="AE482" s="12" t="n"/>
      <c r="AF482" s="11" t="n"/>
      <c r="AG482" s="11" t="n"/>
      <c r="AH482" s="11" t="n"/>
      <c r="AI482" s="14">
        <f>IF(AND($AD482="保留中",$AF482&lt;&gt;""),TODAY()-$AF482,"")</f>
        <v/>
      </c>
      <c r="AJ482" s="12" t="inlineStr">
        <is>
          <t>R8.7</t>
        </is>
      </c>
      <c r="AK482" s="14">
        <f>IF($B482="","",IF($AO482="","対象年月が未入力／","")&amp;IF($B482="","",IF($AN482="","職員マスタに未登録の職員番号／",IF($Y482="","標準報酬月額が未登録／","")&amp;IF(AND($AO482&lt;&gt;"",OR(AND(INDEX(職員マスタ!$G$6:$G$405,$AN482)&lt;&gt;"",INDEX(職員マスタ!$G$6:$G$405,$AN482)&gt;EOMONTH($AO482,0)),AND(INDEX(職員マスタ!$H$6:$H$405,$AN482)&lt;&gt;"",INDEX(職員マスタ!$H$6:$H$405,$AN482)&lt;$AO482))),"対象月が時短期間外／","")&amp;IF(AND(INDEX(職員マスタ!$F$6:$F$405,$AN482)&lt;&gt;"",$AO482&lt;&gt;"",INDEX(職員マスタ!$F$6:$F$405,$AN482)&lt;$AO482),"対象月に子が2歳到達済／","")&amp;IF(AND($H482&lt;&gt;"",INDEX(職員マスタ!$B$6:$B$405,$AN482)&lt;&gt;"",SUBSTITUTE(SUBSTITUTE($H482," ","")," ","")&lt;&gt;SUBSTITUTE(SUBSTITUTE(INDEX(職員マスタ!$B$6:$B$405,$AN482)," ","")," ","")),"氏名がマスタと相違／","")&amp;IF(AND($Q482&lt;&gt;"",INDEX(職員マスタ!$E$6:$E$405,$AN482)&lt;&gt;"",$Q482&lt;&gt;INDEX(職員マスタ!$E$6:$E$405,$AN482)),"子の生年月日がマスタと相違／","")&amp;IF(AND($L482&lt;&gt;"",INDEX(職員マスタ!$G$6:$G$405,$AN482)&lt;&gt;"",$L482&lt;&gt;INDEX(職員マスタ!$G$6:$G$405,$AN482)),"時短開始日がマスタと相違／","")&amp;IF(AND($M482&lt;&gt;"",INDEX(職員マスタ!$H$6:$H$405,$AN482)&lt;&gt;"",$M482&lt;&gt;INDEX(職員マスタ!$H$6:$H$405,$AN482)),"時短終了日がマスタと相違／","")))&amp;IF(AND($B482&lt;&gt;"",$E482=""),"報酬額が未入力／","")&amp;IF(N($U482)&gt;0,"申請書に入力エラーが残っています／","")&amp;IF(AND($B482&lt;&gt;"",$AO482&lt;&gt;""),IF(COUNTIFS($B$6:$B$3005,$B482,$C$6:$C$3005,$C482,$D$6:$D$3005,$D482)&gt;1,"同じ月の請求が重複しています／",""),"")&amp;IF(AND(N($E482)&gt;0,$Z482&lt;&gt;"",$Z482&lt;&gt;"×",$AC482=0,$AB482=""),"計算額が下限以下のため不支給／",""))</f>
        <v/>
      </c>
      <c r="AL482" s="12" t="n"/>
      <c r="AM482" s="14">
        <f>IF($AD482="保留中",COUNTIF($AD$6:$AD482,"保留中"),"")</f>
        <v/>
      </c>
      <c r="AN482" s="14">
        <f>IF($AO482="","",IF(SUMPRODUCT(MAX((職員マスタ!$A$6:$A$405=$B482)*(((職員マスタ!$G$6:$G$405="")+(職員マスタ!$G$6:$G$405&lt;=EOMONTH($AO482,0)))&gt;0)*(((職員マスタ!$H$6:$H$405="")+(職員マスタ!$H$6:$H$405&gt;=$AO482))&gt;0)*(ROW(職員マスタ!$A$6:$A$405)-5)))&gt;0,SUMPRODUCT(MAX((職員マスタ!$A$6:$A$405=$B482)*(((職員マスタ!$G$6:$G$405="")+(職員マスタ!$G$6:$G$405&lt;=EOMONTH($AO482,0)))&gt;0)*(((職員マスタ!$H$6:$H$405="")+(職員マスタ!$H$6:$H$405&gt;=$AO482))&gt;0)*(ROW(職員マスタ!$A$6:$A$405)-5))),IFERROR(MATCH($B482,職員マスタ!$A$6:$A$405,0),"")))</f>
        <v/>
      </c>
      <c r="AO482" s="16">
        <f>IF(OR($B482="",$C482="",$D482=""),"",DATE($C482+2018,$D482,1))</f>
        <v/>
      </c>
    </row>
    <row r="483">
      <c r="A483" s="11" t="n"/>
      <c r="B483" s="12" t="n">
        <v>7202633</v>
      </c>
      <c r="C483" s="12" t="n">
        <v>7</v>
      </c>
      <c r="D483" s="12" t="n">
        <v>11</v>
      </c>
      <c r="E483" s="13" t="n">
        <v>190298</v>
      </c>
      <c r="F483" s="12" t="n"/>
      <c r="G483" s="13" t="n"/>
      <c r="H483" s="12" t="n"/>
      <c r="I483" s="12" t="n"/>
      <c r="J483" s="12" t="n"/>
      <c r="K483" s="12" t="n"/>
      <c r="L483" s="11" t="n"/>
      <c r="M483" s="11" t="n"/>
      <c r="N483" s="11" t="n"/>
      <c r="O483" s="11" t="n"/>
      <c r="P483" s="12" t="n"/>
      <c r="Q483" s="11" t="n"/>
      <c r="R483" s="12" t="n"/>
      <c r="S483" s="11" t="n"/>
      <c r="T483" s="12" t="n"/>
      <c r="U483" s="12" t="n"/>
      <c r="V483" s="14">
        <f>IF($AN483="",IF($B483="","",$H483),IF(INDEX(職員マスタ!$B$6:$B$405,$AN483)="",$H483,INDEX(職員マスタ!$B$6:$B$405,$AN483)))</f>
        <v/>
      </c>
      <c r="W483" s="14">
        <f>IF($AN483="",IF($B483="","",$R483),IF(INDEX(職員マスタ!$C$6:$C$405,$AN483)="",$R483,INDEX(職員マスタ!$C$6:$C$405,$AN483)))</f>
        <v/>
      </c>
      <c r="X483" s="14">
        <f>IF($AO483="","","R"&amp;$C483&amp;"."&amp;$D483)</f>
        <v/>
      </c>
      <c r="Y483" s="15">
        <f>IF($AN483="","",IF(INDEX(職員マスタ!$K$6:$K$405,$AN483)="","",INDEX(職員マスタ!$K$6:$K$405,$AN483)))</f>
        <v/>
      </c>
      <c r="Z483" s="14">
        <f>IF(OR($E483="",$Y483=""),"",IF($E483&gt;=$Y483,"×",IF($E483&gt;=$Y483*設定!$C$5,"△","○")))</f>
        <v/>
      </c>
      <c r="AA483" s="15">
        <f>IF($Z483="","",IF($Z483="×",0,IF($Z483="○",ROUNDDOWN($E483*設定!$C$4,0),ROUNDDOWN($E483*ROUND((9*$Y483-9*$E483)/(10*$E483),4),0))))</f>
        <v/>
      </c>
      <c r="AB483" s="13" t="n"/>
      <c r="AC483" s="15">
        <f>IF($B483="","",IF($AB483&lt;&gt;"",$AB483,IF($AA483="","",IF($AA483&lt;=設定!$C$3,0,$AA483))))</f>
        <v/>
      </c>
      <c r="AD483" s="14">
        <f>IF($B483="","",IF(AND($AE483&lt;&gt;"",$AG483="",$AJ483=""),"保留中",IF($AJ483&lt;&gt;"",IF(N($AC483)&gt;0,"支給済","不支給"),IF($AC483="","要確認",IF($AC483=0,"不支給","未処理")))))</f>
        <v/>
      </c>
      <c r="AE483" s="12" t="n"/>
      <c r="AF483" s="11" t="n"/>
      <c r="AG483" s="11" t="n"/>
      <c r="AH483" s="11" t="n"/>
      <c r="AI483" s="14">
        <f>IF(AND($AD483="保留中",$AF483&lt;&gt;""),TODAY()-$AF483,"")</f>
        <v/>
      </c>
      <c r="AJ483" s="12" t="inlineStr">
        <is>
          <t>R8.1</t>
        </is>
      </c>
      <c r="AK483" s="14">
        <f>IF($B483="","",IF($AO483="","対象年月が未入力／","")&amp;IF($B483="","",IF($AN483="","職員マスタに未登録の職員番号／",IF($Y483="","標準報酬月額が未登録／","")&amp;IF(AND($AO483&lt;&gt;"",OR(AND(INDEX(職員マスタ!$G$6:$G$405,$AN483)&lt;&gt;"",INDEX(職員マスタ!$G$6:$G$405,$AN483)&gt;EOMONTH($AO483,0)),AND(INDEX(職員マスタ!$H$6:$H$405,$AN483)&lt;&gt;"",INDEX(職員マスタ!$H$6:$H$405,$AN483)&lt;$AO483))),"対象月が時短期間外／","")&amp;IF(AND(INDEX(職員マスタ!$F$6:$F$405,$AN483)&lt;&gt;"",$AO483&lt;&gt;"",INDEX(職員マスタ!$F$6:$F$405,$AN483)&lt;$AO483),"対象月に子が2歳到達済／","")&amp;IF(AND($H483&lt;&gt;"",INDEX(職員マスタ!$B$6:$B$405,$AN483)&lt;&gt;"",SUBSTITUTE(SUBSTITUTE($H483," ","")," ","")&lt;&gt;SUBSTITUTE(SUBSTITUTE(INDEX(職員マスタ!$B$6:$B$405,$AN483)," ","")," ","")),"氏名がマスタと相違／","")&amp;IF(AND($Q483&lt;&gt;"",INDEX(職員マスタ!$E$6:$E$405,$AN483)&lt;&gt;"",$Q483&lt;&gt;INDEX(職員マスタ!$E$6:$E$405,$AN483)),"子の生年月日がマスタと相違／","")&amp;IF(AND($L483&lt;&gt;"",INDEX(職員マスタ!$G$6:$G$405,$AN483)&lt;&gt;"",$L483&lt;&gt;INDEX(職員マスタ!$G$6:$G$405,$AN483)),"時短開始日がマスタと相違／","")&amp;IF(AND($M483&lt;&gt;"",INDEX(職員マスタ!$H$6:$H$405,$AN483)&lt;&gt;"",$M483&lt;&gt;INDEX(職員マスタ!$H$6:$H$405,$AN483)),"時短終了日がマスタと相違／","")))&amp;IF(AND($B483&lt;&gt;"",$E483=""),"報酬額が未入力／","")&amp;IF(N($U483)&gt;0,"申請書に入力エラーが残っています／","")&amp;IF(AND($B483&lt;&gt;"",$AO483&lt;&gt;""),IF(COUNTIFS($B$6:$B$3005,$B483,$C$6:$C$3005,$C483,$D$6:$D$3005,$D483)&gt;1,"同じ月の請求が重複しています／",""),"")&amp;IF(AND(N($E483)&gt;0,$Z483&lt;&gt;"",$Z483&lt;&gt;"×",$AC483=0,$AB483=""),"計算額が下限以下のため不支給／",""))</f>
        <v/>
      </c>
      <c r="AL483" s="12" t="n"/>
      <c r="AM483" s="14">
        <f>IF($AD483="保留中",COUNTIF($AD$6:$AD483,"保留中"),"")</f>
        <v/>
      </c>
      <c r="AN483" s="14">
        <f>IF($AO483="","",IF(SUMPRODUCT(MAX((職員マスタ!$A$6:$A$405=$B483)*(((職員マスタ!$G$6:$G$405="")+(職員マスタ!$G$6:$G$405&lt;=EOMONTH($AO483,0)))&gt;0)*(((職員マスタ!$H$6:$H$405="")+(職員マスタ!$H$6:$H$405&gt;=$AO483))&gt;0)*(ROW(職員マスタ!$A$6:$A$405)-5)))&gt;0,SUMPRODUCT(MAX((職員マスタ!$A$6:$A$405=$B483)*(((職員マスタ!$G$6:$G$405="")+(職員マスタ!$G$6:$G$405&lt;=EOMONTH($AO483,0)))&gt;0)*(((職員マスタ!$H$6:$H$405="")+(職員マスタ!$H$6:$H$405&gt;=$AO483))&gt;0)*(ROW(職員マスタ!$A$6:$A$405)-5))),IFERROR(MATCH($B483,職員マスタ!$A$6:$A$405,0),"")))</f>
        <v/>
      </c>
      <c r="AO483" s="16">
        <f>IF(OR($B483="",$C483="",$D483=""),"",DATE($C483+2018,$D483,1))</f>
        <v/>
      </c>
    </row>
    <row r="484">
      <c r="A484" s="11" t="n"/>
      <c r="B484" s="12" t="n">
        <v>7202633</v>
      </c>
      <c r="C484" s="12" t="n">
        <v>7</v>
      </c>
      <c r="D484" s="12" t="n">
        <v>12</v>
      </c>
      <c r="E484" s="13" t="n">
        <v>198996</v>
      </c>
      <c r="F484" s="12" t="n"/>
      <c r="G484" s="13" t="n"/>
      <c r="H484" s="12" t="n"/>
      <c r="I484" s="12" t="n"/>
      <c r="J484" s="12" t="n"/>
      <c r="K484" s="12" t="n"/>
      <c r="L484" s="11" t="n"/>
      <c r="M484" s="11" t="n"/>
      <c r="N484" s="11" t="n"/>
      <c r="O484" s="11" t="n"/>
      <c r="P484" s="12" t="n"/>
      <c r="Q484" s="11" t="n"/>
      <c r="R484" s="12" t="n"/>
      <c r="S484" s="11" t="n"/>
      <c r="T484" s="12" t="n"/>
      <c r="U484" s="12" t="n"/>
      <c r="V484" s="14">
        <f>IF($AN484="",IF($B484="","",$H484),IF(INDEX(職員マスタ!$B$6:$B$405,$AN484)="",$H484,INDEX(職員マスタ!$B$6:$B$405,$AN484)))</f>
        <v/>
      </c>
      <c r="W484" s="14">
        <f>IF($AN484="",IF($B484="","",$R484),IF(INDEX(職員マスタ!$C$6:$C$405,$AN484)="",$R484,INDEX(職員マスタ!$C$6:$C$405,$AN484)))</f>
        <v/>
      </c>
      <c r="X484" s="14">
        <f>IF($AO484="","","R"&amp;$C484&amp;"."&amp;$D484)</f>
        <v/>
      </c>
      <c r="Y484" s="15">
        <f>IF($AN484="","",IF(INDEX(職員マスタ!$K$6:$K$405,$AN484)="","",INDEX(職員マスタ!$K$6:$K$405,$AN484)))</f>
        <v/>
      </c>
      <c r="Z484" s="14">
        <f>IF(OR($E484="",$Y484=""),"",IF($E484&gt;=$Y484,"×",IF($E484&gt;=$Y484*設定!$C$5,"△","○")))</f>
        <v/>
      </c>
      <c r="AA484" s="15">
        <f>IF($Z484="","",IF($Z484="×",0,IF($Z484="○",ROUNDDOWN($E484*設定!$C$4,0),ROUNDDOWN($E484*ROUND((9*$Y484-9*$E484)/(10*$E484),4),0))))</f>
        <v/>
      </c>
      <c r="AB484" s="13" t="n"/>
      <c r="AC484" s="15">
        <f>IF($B484="","",IF($AB484&lt;&gt;"",$AB484,IF($AA484="","",IF($AA484&lt;=設定!$C$3,0,$AA484))))</f>
        <v/>
      </c>
      <c r="AD484" s="14">
        <f>IF($B484="","",IF(AND($AE484&lt;&gt;"",$AG484="",$AJ484=""),"保留中",IF($AJ484&lt;&gt;"",IF(N($AC484)&gt;0,"支給済","不支給"),IF($AC484="","要確認",IF($AC484=0,"不支給","未処理")))))</f>
        <v/>
      </c>
      <c r="AE484" s="12" t="n"/>
      <c r="AF484" s="11" t="n"/>
      <c r="AG484" s="11" t="n"/>
      <c r="AH484" s="11" t="n"/>
      <c r="AI484" s="14">
        <f>IF(AND($AD484="保留中",$AF484&lt;&gt;""),TODAY()-$AF484,"")</f>
        <v/>
      </c>
      <c r="AJ484" s="12" t="inlineStr">
        <is>
          <t>R8.2</t>
        </is>
      </c>
      <c r="AK484" s="14">
        <f>IF($B484="","",IF($AO484="","対象年月が未入力／","")&amp;IF($B484="","",IF($AN484="","職員マスタに未登録の職員番号／",IF($Y484="","標準報酬月額が未登録／","")&amp;IF(AND($AO484&lt;&gt;"",OR(AND(INDEX(職員マスタ!$G$6:$G$405,$AN484)&lt;&gt;"",INDEX(職員マスタ!$G$6:$G$405,$AN484)&gt;EOMONTH($AO484,0)),AND(INDEX(職員マスタ!$H$6:$H$405,$AN484)&lt;&gt;"",INDEX(職員マスタ!$H$6:$H$405,$AN484)&lt;$AO484))),"対象月が時短期間外／","")&amp;IF(AND(INDEX(職員マスタ!$F$6:$F$405,$AN484)&lt;&gt;"",$AO484&lt;&gt;"",INDEX(職員マスタ!$F$6:$F$405,$AN484)&lt;$AO484),"対象月に子が2歳到達済／","")&amp;IF(AND($H484&lt;&gt;"",INDEX(職員マスタ!$B$6:$B$405,$AN484)&lt;&gt;"",SUBSTITUTE(SUBSTITUTE($H484," ","")," ","")&lt;&gt;SUBSTITUTE(SUBSTITUTE(INDEX(職員マスタ!$B$6:$B$405,$AN484)," ","")," ","")),"氏名がマスタと相違／","")&amp;IF(AND($Q484&lt;&gt;"",INDEX(職員マスタ!$E$6:$E$405,$AN484)&lt;&gt;"",$Q484&lt;&gt;INDEX(職員マスタ!$E$6:$E$405,$AN484)),"子の生年月日がマスタと相違／","")&amp;IF(AND($L484&lt;&gt;"",INDEX(職員マスタ!$G$6:$G$405,$AN484)&lt;&gt;"",$L484&lt;&gt;INDEX(職員マスタ!$G$6:$G$405,$AN484)),"時短開始日がマスタと相違／","")&amp;IF(AND($M484&lt;&gt;"",INDEX(職員マスタ!$H$6:$H$405,$AN484)&lt;&gt;"",$M484&lt;&gt;INDEX(職員マスタ!$H$6:$H$405,$AN484)),"時短終了日がマスタと相違／","")))&amp;IF(AND($B484&lt;&gt;"",$E484=""),"報酬額が未入力／","")&amp;IF(N($U484)&gt;0,"申請書に入力エラーが残っています／","")&amp;IF(AND($B484&lt;&gt;"",$AO484&lt;&gt;""),IF(COUNTIFS($B$6:$B$3005,$B484,$C$6:$C$3005,$C484,$D$6:$D$3005,$D484)&gt;1,"同じ月の請求が重複しています／",""),"")&amp;IF(AND(N($E484)&gt;0,$Z484&lt;&gt;"",$Z484&lt;&gt;"×",$AC484=0,$AB484=""),"計算額が下限以下のため不支給／",""))</f>
        <v/>
      </c>
      <c r="AL484" s="12" t="n"/>
      <c r="AM484" s="14">
        <f>IF($AD484="保留中",COUNTIF($AD$6:$AD484,"保留中"),"")</f>
        <v/>
      </c>
      <c r="AN484" s="14">
        <f>IF($AO484="","",IF(SUMPRODUCT(MAX((職員マスタ!$A$6:$A$405=$B484)*(((職員マスタ!$G$6:$G$405="")+(職員マスタ!$G$6:$G$405&lt;=EOMONTH($AO484,0)))&gt;0)*(((職員マスタ!$H$6:$H$405="")+(職員マスタ!$H$6:$H$405&gt;=$AO484))&gt;0)*(ROW(職員マスタ!$A$6:$A$405)-5)))&gt;0,SUMPRODUCT(MAX((職員マスタ!$A$6:$A$405=$B484)*(((職員マスタ!$G$6:$G$405="")+(職員マスタ!$G$6:$G$405&lt;=EOMONTH($AO484,0)))&gt;0)*(((職員マスタ!$H$6:$H$405="")+(職員マスタ!$H$6:$H$405&gt;=$AO484))&gt;0)*(ROW(職員マスタ!$A$6:$A$405)-5))),IFERROR(MATCH($B484,職員マスタ!$A$6:$A$405,0),"")))</f>
        <v/>
      </c>
      <c r="AO484" s="16">
        <f>IF(OR($B484="",$C484="",$D484=""),"",DATE($C484+2018,$D484,1))</f>
        <v/>
      </c>
    </row>
    <row r="485">
      <c r="A485" s="11" t="n"/>
      <c r="B485" s="12" t="n">
        <v>7202633</v>
      </c>
      <c r="C485" s="12" t="n">
        <v>8</v>
      </c>
      <c r="D485" s="12" t="n">
        <v>1</v>
      </c>
      <c r="E485" s="13" t="n">
        <v>198996</v>
      </c>
      <c r="F485" s="12" t="n"/>
      <c r="G485" s="13" t="n"/>
      <c r="H485" s="12" t="n"/>
      <c r="I485" s="12" t="n"/>
      <c r="J485" s="12" t="n"/>
      <c r="K485" s="12" t="n"/>
      <c r="L485" s="11" t="n"/>
      <c r="M485" s="11" t="n"/>
      <c r="N485" s="11" t="n"/>
      <c r="O485" s="11" t="n"/>
      <c r="P485" s="12" t="n"/>
      <c r="Q485" s="11" t="n"/>
      <c r="R485" s="12" t="n"/>
      <c r="S485" s="11" t="n"/>
      <c r="T485" s="12" t="n"/>
      <c r="U485" s="12" t="n"/>
      <c r="V485" s="14">
        <f>IF($AN485="",IF($B485="","",$H485),IF(INDEX(職員マスタ!$B$6:$B$405,$AN485)="",$H485,INDEX(職員マスタ!$B$6:$B$405,$AN485)))</f>
        <v/>
      </c>
      <c r="W485" s="14">
        <f>IF($AN485="",IF($B485="","",$R485),IF(INDEX(職員マスタ!$C$6:$C$405,$AN485)="",$R485,INDEX(職員マスタ!$C$6:$C$405,$AN485)))</f>
        <v/>
      </c>
      <c r="X485" s="14">
        <f>IF($AO485="","","R"&amp;$C485&amp;"."&amp;$D485)</f>
        <v/>
      </c>
      <c r="Y485" s="15">
        <f>IF($AN485="","",IF(INDEX(職員マスタ!$K$6:$K$405,$AN485)="","",INDEX(職員マスタ!$K$6:$K$405,$AN485)))</f>
        <v/>
      </c>
      <c r="Z485" s="14">
        <f>IF(OR($E485="",$Y485=""),"",IF($E485&gt;=$Y485,"×",IF($E485&gt;=$Y485*設定!$C$5,"△","○")))</f>
        <v/>
      </c>
      <c r="AA485" s="15">
        <f>IF($Z485="","",IF($Z485="×",0,IF($Z485="○",ROUNDDOWN($E485*設定!$C$4,0),ROUNDDOWN($E485*ROUND((9*$Y485-9*$E485)/(10*$E485),4),0))))</f>
        <v/>
      </c>
      <c r="AB485" s="13" t="n"/>
      <c r="AC485" s="15">
        <f>IF($B485="","",IF($AB485&lt;&gt;"",$AB485,IF($AA485="","",IF($AA485&lt;=設定!$C$3,0,$AA485))))</f>
        <v/>
      </c>
      <c r="AD485" s="14">
        <f>IF($B485="","",IF(AND($AE485&lt;&gt;"",$AG485="",$AJ485=""),"保留中",IF($AJ485&lt;&gt;"",IF(N($AC485)&gt;0,"支給済","不支給"),IF($AC485="","要確認",IF($AC485=0,"不支給","未処理")))))</f>
        <v/>
      </c>
      <c r="AE485" s="12" t="n"/>
      <c r="AF485" s="11" t="n"/>
      <c r="AG485" s="11" t="n"/>
      <c r="AH485" s="11" t="n"/>
      <c r="AI485" s="14">
        <f>IF(AND($AD485="保留中",$AF485&lt;&gt;""),TODAY()-$AF485,"")</f>
        <v/>
      </c>
      <c r="AJ485" s="12" t="inlineStr">
        <is>
          <t>R8.3</t>
        </is>
      </c>
      <c r="AK485" s="14">
        <f>IF($B485="","",IF($AO485="","対象年月が未入力／","")&amp;IF($B485="","",IF($AN485="","職員マスタに未登録の職員番号／",IF($Y485="","標準報酬月額が未登録／","")&amp;IF(AND($AO485&lt;&gt;"",OR(AND(INDEX(職員マスタ!$G$6:$G$405,$AN485)&lt;&gt;"",INDEX(職員マスタ!$G$6:$G$405,$AN485)&gt;EOMONTH($AO485,0)),AND(INDEX(職員マスタ!$H$6:$H$405,$AN485)&lt;&gt;"",INDEX(職員マスタ!$H$6:$H$405,$AN485)&lt;$AO485))),"対象月が時短期間外／","")&amp;IF(AND(INDEX(職員マスタ!$F$6:$F$405,$AN485)&lt;&gt;"",$AO485&lt;&gt;"",INDEX(職員マスタ!$F$6:$F$405,$AN485)&lt;$AO485),"対象月に子が2歳到達済／","")&amp;IF(AND($H485&lt;&gt;"",INDEX(職員マスタ!$B$6:$B$405,$AN485)&lt;&gt;"",SUBSTITUTE(SUBSTITUTE($H485," ","")," ","")&lt;&gt;SUBSTITUTE(SUBSTITUTE(INDEX(職員マスタ!$B$6:$B$405,$AN485)," ","")," ","")),"氏名がマスタと相違／","")&amp;IF(AND($Q485&lt;&gt;"",INDEX(職員マスタ!$E$6:$E$405,$AN485)&lt;&gt;"",$Q485&lt;&gt;INDEX(職員マスタ!$E$6:$E$405,$AN485)),"子の生年月日がマスタと相違／","")&amp;IF(AND($L485&lt;&gt;"",INDEX(職員マスタ!$G$6:$G$405,$AN485)&lt;&gt;"",$L485&lt;&gt;INDEX(職員マスタ!$G$6:$G$405,$AN485)),"時短開始日がマスタと相違／","")&amp;IF(AND($M485&lt;&gt;"",INDEX(職員マスタ!$H$6:$H$405,$AN485)&lt;&gt;"",$M485&lt;&gt;INDEX(職員マスタ!$H$6:$H$405,$AN485)),"時短終了日がマスタと相違／","")))&amp;IF(AND($B485&lt;&gt;"",$E485=""),"報酬額が未入力／","")&amp;IF(N($U485)&gt;0,"申請書に入力エラーが残っています／","")&amp;IF(AND($B485&lt;&gt;"",$AO485&lt;&gt;""),IF(COUNTIFS($B$6:$B$3005,$B485,$C$6:$C$3005,$C485,$D$6:$D$3005,$D485)&gt;1,"同じ月の請求が重複しています／",""),"")&amp;IF(AND(N($E485)&gt;0,$Z485&lt;&gt;"",$Z485&lt;&gt;"×",$AC485=0,$AB485=""),"計算額が下限以下のため不支給／",""))</f>
        <v/>
      </c>
      <c r="AL485" s="12" t="n"/>
      <c r="AM485" s="14">
        <f>IF($AD485="保留中",COUNTIF($AD$6:$AD485,"保留中"),"")</f>
        <v/>
      </c>
      <c r="AN485" s="14">
        <f>IF($AO485="","",IF(SUMPRODUCT(MAX((職員マスタ!$A$6:$A$405=$B485)*(((職員マスタ!$G$6:$G$405="")+(職員マスタ!$G$6:$G$405&lt;=EOMONTH($AO485,0)))&gt;0)*(((職員マスタ!$H$6:$H$405="")+(職員マスタ!$H$6:$H$405&gt;=$AO485))&gt;0)*(ROW(職員マスタ!$A$6:$A$405)-5)))&gt;0,SUMPRODUCT(MAX((職員マスタ!$A$6:$A$405=$B485)*(((職員マスタ!$G$6:$G$405="")+(職員マスタ!$G$6:$G$405&lt;=EOMONTH($AO485,0)))&gt;0)*(((職員マスタ!$H$6:$H$405="")+(職員マスタ!$H$6:$H$405&gt;=$AO485))&gt;0)*(ROW(職員マスタ!$A$6:$A$405)-5))),IFERROR(MATCH($B485,職員マスタ!$A$6:$A$405,0),"")))</f>
        <v/>
      </c>
      <c r="AO485" s="16">
        <f>IF(OR($B485="",$C485="",$D485=""),"",DATE($C485+2018,$D485,1))</f>
        <v/>
      </c>
    </row>
    <row r="486">
      <c r="A486" s="11" t="n"/>
      <c r="B486" s="12" t="n">
        <v>7202633</v>
      </c>
      <c r="C486" s="12" t="n">
        <v>8</v>
      </c>
      <c r="D486" s="12" t="n">
        <v>2</v>
      </c>
      <c r="E486" s="13" t="n">
        <v>195576</v>
      </c>
      <c r="F486" s="12" t="n"/>
      <c r="G486" s="13" t="n"/>
      <c r="H486" s="12" t="n"/>
      <c r="I486" s="12" t="n"/>
      <c r="J486" s="12" t="n"/>
      <c r="K486" s="12" t="n"/>
      <c r="L486" s="11" t="n"/>
      <c r="M486" s="11" t="n"/>
      <c r="N486" s="11" t="n"/>
      <c r="O486" s="11" t="n"/>
      <c r="P486" s="12" t="n"/>
      <c r="Q486" s="11" t="n"/>
      <c r="R486" s="12" t="n"/>
      <c r="S486" s="11" t="n"/>
      <c r="T486" s="12" t="n"/>
      <c r="U486" s="12" t="n"/>
      <c r="V486" s="14">
        <f>IF($AN486="",IF($B486="","",$H486),IF(INDEX(職員マスタ!$B$6:$B$405,$AN486)="",$H486,INDEX(職員マスタ!$B$6:$B$405,$AN486)))</f>
        <v/>
      </c>
      <c r="W486" s="14">
        <f>IF($AN486="",IF($B486="","",$R486),IF(INDEX(職員マスタ!$C$6:$C$405,$AN486)="",$R486,INDEX(職員マスタ!$C$6:$C$405,$AN486)))</f>
        <v/>
      </c>
      <c r="X486" s="14">
        <f>IF($AO486="","","R"&amp;$C486&amp;"."&amp;$D486)</f>
        <v/>
      </c>
      <c r="Y486" s="15">
        <f>IF($AN486="","",IF(INDEX(職員マスタ!$K$6:$K$405,$AN486)="","",INDEX(職員マスタ!$K$6:$K$405,$AN486)))</f>
        <v/>
      </c>
      <c r="Z486" s="14">
        <f>IF(OR($E486="",$Y486=""),"",IF($E486&gt;=$Y486,"×",IF($E486&gt;=$Y486*設定!$C$5,"△","○")))</f>
        <v/>
      </c>
      <c r="AA486" s="15">
        <f>IF($Z486="","",IF($Z486="×",0,IF($Z486="○",ROUNDDOWN($E486*設定!$C$4,0),ROUNDDOWN($E486*ROUND((9*$Y486-9*$E486)/(10*$E486),4),0))))</f>
        <v/>
      </c>
      <c r="AB486" s="13" t="n"/>
      <c r="AC486" s="15">
        <f>IF($B486="","",IF($AB486&lt;&gt;"",$AB486,IF($AA486="","",IF($AA486&lt;=設定!$C$3,0,$AA486))))</f>
        <v/>
      </c>
      <c r="AD486" s="14">
        <f>IF($B486="","",IF(AND($AE486&lt;&gt;"",$AG486="",$AJ486=""),"保留中",IF($AJ486&lt;&gt;"",IF(N($AC486)&gt;0,"支給済","不支給"),IF($AC486="","要確認",IF($AC486=0,"不支給","未処理")))))</f>
        <v/>
      </c>
      <c r="AE486" s="12" t="n"/>
      <c r="AF486" s="11" t="n"/>
      <c r="AG486" s="11" t="n"/>
      <c r="AH486" s="11" t="n"/>
      <c r="AI486" s="14">
        <f>IF(AND($AD486="保留中",$AF486&lt;&gt;""),TODAY()-$AF486,"")</f>
        <v/>
      </c>
      <c r="AJ486" s="12" t="inlineStr">
        <is>
          <t>R8.4</t>
        </is>
      </c>
      <c r="AK486" s="14">
        <f>IF($B486="","",IF($AO486="","対象年月が未入力／","")&amp;IF($B486="","",IF($AN486="","職員マスタに未登録の職員番号／",IF($Y486="","標準報酬月額が未登録／","")&amp;IF(AND($AO486&lt;&gt;"",OR(AND(INDEX(職員マスタ!$G$6:$G$405,$AN486)&lt;&gt;"",INDEX(職員マスタ!$G$6:$G$405,$AN486)&gt;EOMONTH($AO486,0)),AND(INDEX(職員マスタ!$H$6:$H$405,$AN486)&lt;&gt;"",INDEX(職員マスタ!$H$6:$H$405,$AN486)&lt;$AO486))),"対象月が時短期間外／","")&amp;IF(AND(INDEX(職員マスタ!$F$6:$F$405,$AN486)&lt;&gt;"",$AO486&lt;&gt;"",INDEX(職員マスタ!$F$6:$F$405,$AN486)&lt;$AO486),"対象月に子が2歳到達済／","")&amp;IF(AND($H486&lt;&gt;"",INDEX(職員マスタ!$B$6:$B$405,$AN486)&lt;&gt;"",SUBSTITUTE(SUBSTITUTE($H486," ","")," ","")&lt;&gt;SUBSTITUTE(SUBSTITUTE(INDEX(職員マスタ!$B$6:$B$405,$AN486)," ","")," ","")),"氏名がマスタと相違／","")&amp;IF(AND($Q486&lt;&gt;"",INDEX(職員マスタ!$E$6:$E$405,$AN486)&lt;&gt;"",$Q486&lt;&gt;INDEX(職員マスタ!$E$6:$E$405,$AN486)),"子の生年月日がマスタと相違／","")&amp;IF(AND($L486&lt;&gt;"",INDEX(職員マスタ!$G$6:$G$405,$AN486)&lt;&gt;"",$L486&lt;&gt;INDEX(職員マスタ!$G$6:$G$405,$AN486)),"時短開始日がマスタと相違／","")&amp;IF(AND($M486&lt;&gt;"",INDEX(職員マスタ!$H$6:$H$405,$AN486)&lt;&gt;"",$M486&lt;&gt;INDEX(職員マスタ!$H$6:$H$405,$AN486)),"時短終了日がマスタと相違／","")))&amp;IF(AND($B486&lt;&gt;"",$E486=""),"報酬額が未入力／","")&amp;IF(N($U486)&gt;0,"申請書に入力エラーが残っています／","")&amp;IF(AND($B486&lt;&gt;"",$AO486&lt;&gt;""),IF(COUNTIFS($B$6:$B$3005,$B486,$C$6:$C$3005,$C486,$D$6:$D$3005,$D486)&gt;1,"同じ月の請求が重複しています／",""),"")&amp;IF(AND(N($E486)&gt;0,$Z486&lt;&gt;"",$Z486&lt;&gt;"×",$AC486=0,$AB486=""),"計算額が下限以下のため不支給／",""))</f>
        <v/>
      </c>
      <c r="AL486" s="12" t="n"/>
      <c r="AM486" s="14">
        <f>IF($AD486="保留中",COUNTIF($AD$6:$AD486,"保留中"),"")</f>
        <v/>
      </c>
      <c r="AN486" s="14">
        <f>IF($AO486="","",IF(SUMPRODUCT(MAX((職員マスタ!$A$6:$A$405=$B486)*(((職員マスタ!$G$6:$G$405="")+(職員マスタ!$G$6:$G$405&lt;=EOMONTH($AO486,0)))&gt;0)*(((職員マスタ!$H$6:$H$405="")+(職員マスタ!$H$6:$H$405&gt;=$AO486))&gt;0)*(ROW(職員マスタ!$A$6:$A$405)-5)))&gt;0,SUMPRODUCT(MAX((職員マスタ!$A$6:$A$405=$B486)*(((職員マスタ!$G$6:$G$405="")+(職員マスタ!$G$6:$G$405&lt;=EOMONTH($AO486,0)))&gt;0)*(((職員マスタ!$H$6:$H$405="")+(職員マスタ!$H$6:$H$405&gt;=$AO486))&gt;0)*(ROW(職員マスタ!$A$6:$A$405)-5))),IFERROR(MATCH($B486,職員マスタ!$A$6:$A$405,0),"")))</f>
        <v/>
      </c>
      <c r="AO486" s="16">
        <f>IF(OR($B486="",$C486="",$D486=""),"",DATE($C486+2018,$D486,1))</f>
        <v/>
      </c>
    </row>
    <row r="487">
      <c r="A487" s="11" t="n"/>
      <c r="B487" s="12" t="n">
        <v>7202633</v>
      </c>
      <c r="C487" s="12" t="n">
        <v>8</v>
      </c>
      <c r="D487" s="12" t="n">
        <v>3</v>
      </c>
      <c r="E487" s="13" t="n">
        <v>195576</v>
      </c>
      <c r="F487" s="12" t="n"/>
      <c r="G487" s="13" t="n"/>
      <c r="H487" s="12" t="n"/>
      <c r="I487" s="12" t="n"/>
      <c r="J487" s="12" t="n"/>
      <c r="K487" s="12" t="n"/>
      <c r="L487" s="11" t="n"/>
      <c r="M487" s="11" t="n"/>
      <c r="N487" s="11" t="n"/>
      <c r="O487" s="11" t="n"/>
      <c r="P487" s="12" t="n"/>
      <c r="Q487" s="11" t="n"/>
      <c r="R487" s="12" t="n"/>
      <c r="S487" s="11" t="n"/>
      <c r="T487" s="12" t="n"/>
      <c r="U487" s="12" t="n"/>
      <c r="V487" s="14">
        <f>IF($AN487="",IF($B487="","",$H487),IF(INDEX(職員マスタ!$B$6:$B$405,$AN487)="",$H487,INDEX(職員マスタ!$B$6:$B$405,$AN487)))</f>
        <v/>
      </c>
      <c r="W487" s="14">
        <f>IF($AN487="",IF($B487="","",$R487),IF(INDEX(職員マスタ!$C$6:$C$405,$AN487)="",$R487,INDEX(職員マスタ!$C$6:$C$405,$AN487)))</f>
        <v/>
      </c>
      <c r="X487" s="14">
        <f>IF($AO487="","","R"&amp;$C487&amp;"."&amp;$D487)</f>
        <v/>
      </c>
      <c r="Y487" s="15">
        <f>IF($AN487="","",IF(INDEX(職員マスタ!$K$6:$K$405,$AN487)="","",INDEX(職員マスタ!$K$6:$K$405,$AN487)))</f>
        <v/>
      </c>
      <c r="Z487" s="14">
        <f>IF(OR($E487="",$Y487=""),"",IF($E487&gt;=$Y487,"×",IF($E487&gt;=$Y487*設定!$C$5,"△","○")))</f>
        <v/>
      </c>
      <c r="AA487" s="15">
        <f>IF($Z487="","",IF($Z487="×",0,IF($Z487="○",ROUNDDOWN($E487*設定!$C$4,0),ROUNDDOWN($E487*ROUND((9*$Y487-9*$E487)/(10*$E487),4),0))))</f>
        <v/>
      </c>
      <c r="AB487" s="13" t="n"/>
      <c r="AC487" s="15">
        <f>IF($B487="","",IF($AB487&lt;&gt;"",$AB487,IF($AA487="","",IF($AA487&lt;=設定!$C$3,0,$AA487))))</f>
        <v/>
      </c>
      <c r="AD487" s="14">
        <f>IF($B487="","",IF(AND($AE487&lt;&gt;"",$AG487="",$AJ487=""),"保留中",IF($AJ487&lt;&gt;"",IF(N($AC487)&gt;0,"支給済","不支給"),IF($AC487="","要確認",IF($AC487=0,"不支給","未処理")))))</f>
        <v/>
      </c>
      <c r="AE487" s="12" t="n"/>
      <c r="AF487" s="11" t="n"/>
      <c r="AG487" s="11" t="n"/>
      <c r="AH487" s="11" t="n"/>
      <c r="AI487" s="14">
        <f>IF(AND($AD487="保留中",$AF487&lt;&gt;""),TODAY()-$AF487,"")</f>
        <v/>
      </c>
      <c r="AJ487" s="12" t="inlineStr">
        <is>
          <t>R8.5</t>
        </is>
      </c>
      <c r="AK487" s="14">
        <f>IF($B487="","",IF($AO487="","対象年月が未入力／","")&amp;IF($B487="","",IF($AN487="","職員マスタに未登録の職員番号／",IF($Y487="","標準報酬月額が未登録／","")&amp;IF(AND($AO487&lt;&gt;"",OR(AND(INDEX(職員マスタ!$G$6:$G$405,$AN487)&lt;&gt;"",INDEX(職員マスタ!$G$6:$G$405,$AN487)&gt;EOMONTH($AO487,0)),AND(INDEX(職員マスタ!$H$6:$H$405,$AN487)&lt;&gt;"",INDEX(職員マスタ!$H$6:$H$405,$AN487)&lt;$AO487))),"対象月が時短期間外／","")&amp;IF(AND(INDEX(職員マスタ!$F$6:$F$405,$AN487)&lt;&gt;"",$AO487&lt;&gt;"",INDEX(職員マスタ!$F$6:$F$405,$AN487)&lt;$AO487),"対象月に子が2歳到達済／","")&amp;IF(AND($H487&lt;&gt;"",INDEX(職員マスタ!$B$6:$B$405,$AN487)&lt;&gt;"",SUBSTITUTE(SUBSTITUTE($H487," ","")," ","")&lt;&gt;SUBSTITUTE(SUBSTITUTE(INDEX(職員マスタ!$B$6:$B$405,$AN487)," ","")," ","")),"氏名がマスタと相違／","")&amp;IF(AND($Q487&lt;&gt;"",INDEX(職員マスタ!$E$6:$E$405,$AN487)&lt;&gt;"",$Q487&lt;&gt;INDEX(職員マスタ!$E$6:$E$405,$AN487)),"子の生年月日がマスタと相違／","")&amp;IF(AND($L487&lt;&gt;"",INDEX(職員マスタ!$G$6:$G$405,$AN487)&lt;&gt;"",$L487&lt;&gt;INDEX(職員マスタ!$G$6:$G$405,$AN487)),"時短開始日がマスタと相違／","")&amp;IF(AND($M487&lt;&gt;"",INDEX(職員マスタ!$H$6:$H$405,$AN487)&lt;&gt;"",$M487&lt;&gt;INDEX(職員マスタ!$H$6:$H$405,$AN487)),"時短終了日がマスタと相違／","")))&amp;IF(AND($B487&lt;&gt;"",$E487=""),"報酬額が未入力／","")&amp;IF(N($U487)&gt;0,"申請書に入力エラーが残っています／","")&amp;IF(AND($B487&lt;&gt;"",$AO487&lt;&gt;""),IF(COUNTIFS($B$6:$B$3005,$B487,$C$6:$C$3005,$C487,$D$6:$D$3005,$D487)&gt;1,"同じ月の請求が重複しています／",""),"")&amp;IF(AND(N($E487)&gt;0,$Z487&lt;&gt;"",$Z487&lt;&gt;"×",$AC487=0,$AB487=""),"計算額が下限以下のため不支給／",""))</f>
        <v/>
      </c>
      <c r="AL487" s="12" t="n"/>
      <c r="AM487" s="14">
        <f>IF($AD487="保留中",COUNTIF($AD$6:$AD487,"保留中"),"")</f>
        <v/>
      </c>
      <c r="AN487" s="14">
        <f>IF($AO487="","",IF(SUMPRODUCT(MAX((職員マスタ!$A$6:$A$405=$B487)*(((職員マスタ!$G$6:$G$405="")+(職員マスタ!$G$6:$G$405&lt;=EOMONTH($AO487,0)))&gt;0)*(((職員マスタ!$H$6:$H$405="")+(職員マスタ!$H$6:$H$405&gt;=$AO487))&gt;0)*(ROW(職員マスタ!$A$6:$A$405)-5)))&gt;0,SUMPRODUCT(MAX((職員マスタ!$A$6:$A$405=$B487)*(((職員マスタ!$G$6:$G$405="")+(職員マスタ!$G$6:$G$405&lt;=EOMONTH($AO487,0)))&gt;0)*(((職員マスタ!$H$6:$H$405="")+(職員マスタ!$H$6:$H$405&gt;=$AO487))&gt;0)*(ROW(職員マスタ!$A$6:$A$405)-5))),IFERROR(MATCH($B487,職員マスタ!$A$6:$A$405,0),"")))</f>
        <v/>
      </c>
      <c r="AO487" s="16">
        <f>IF(OR($B487="",$C487="",$D487=""),"",DATE($C487+2018,$D487,1))</f>
        <v/>
      </c>
    </row>
    <row r="488">
      <c r="A488" s="11" t="n"/>
      <c r="B488" s="12" t="n">
        <v>7203161</v>
      </c>
      <c r="C488" s="12" t="n">
        <v>7</v>
      </c>
      <c r="D488" s="12" t="n">
        <v>7</v>
      </c>
      <c r="E488" s="13" t="n">
        <v>334073</v>
      </c>
      <c r="F488" s="12" t="n"/>
      <c r="G488" s="13" t="n"/>
      <c r="H488" s="12" t="n"/>
      <c r="I488" s="12" t="n"/>
      <c r="J488" s="12" t="n"/>
      <c r="K488" s="12" t="n"/>
      <c r="L488" s="11" t="n"/>
      <c r="M488" s="11" t="n"/>
      <c r="N488" s="11" t="n"/>
      <c r="O488" s="11" t="n"/>
      <c r="P488" s="12" t="n"/>
      <c r="Q488" s="11" t="n"/>
      <c r="R488" s="12" t="n"/>
      <c r="S488" s="11" t="n"/>
      <c r="T488" s="12" t="n"/>
      <c r="U488" s="12" t="n"/>
      <c r="V488" s="14">
        <f>IF($AN488="",IF($B488="","",$H488),IF(INDEX(職員マスタ!$B$6:$B$405,$AN488)="",$H488,INDEX(職員マスタ!$B$6:$B$405,$AN488)))</f>
        <v/>
      </c>
      <c r="W488" s="14">
        <f>IF($AN488="",IF($B488="","",$R488),IF(INDEX(職員マスタ!$C$6:$C$405,$AN488)="",$R488,INDEX(職員マスタ!$C$6:$C$405,$AN488)))</f>
        <v/>
      </c>
      <c r="X488" s="14">
        <f>IF($AO488="","","R"&amp;$C488&amp;"."&amp;$D488)</f>
        <v/>
      </c>
      <c r="Y488" s="15">
        <f>IF($AN488="","",IF(INDEX(職員マスタ!$K$6:$K$405,$AN488)="","",INDEX(職員マスタ!$K$6:$K$405,$AN488)))</f>
        <v/>
      </c>
      <c r="Z488" s="14">
        <f>IF(OR($E488="",$Y488=""),"",IF($E488&gt;=$Y488,"×",IF($E488&gt;=$Y488*設定!$C$5,"△","○")))</f>
        <v/>
      </c>
      <c r="AA488" s="15">
        <f>IF($Z488="","",IF($Z488="×",0,IF($Z488="○",ROUNDDOWN($E488*設定!$C$4,0),ROUNDDOWN($E488*ROUND((9*$Y488-9*$E488)/(10*$E488),4),0))))</f>
        <v/>
      </c>
      <c r="AB488" s="13" t="n"/>
      <c r="AC488" s="15">
        <f>IF($B488="","",IF($AB488&lt;&gt;"",$AB488,IF($AA488="","",IF($AA488&lt;=設定!$C$3,0,$AA488))))</f>
        <v/>
      </c>
      <c r="AD488" s="14">
        <f>IF($B488="","",IF(AND($AE488&lt;&gt;"",$AG488="",$AJ488=""),"保留中",IF($AJ488&lt;&gt;"",IF(N($AC488)&gt;0,"支給済","不支給"),IF($AC488="","要確認",IF($AC488=0,"不支給","未処理")))))</f>
        <v/>
      </c>
      <c r="AE488" s="12" t="n"/>
      <c r="AF488" s="11" t="n"/>
      <c r="AG488" s="11" t="n"/>
      <c r="AH488" s="11" t="n"/>
      <c r="AI488" s="14">
        <f>IF(AND($AD488="保留中",$AF488&lt;&gt;""),TODAY()-$AF488,"")</f>
        <v/>
      </c>
      <c r="AJ488" s="12" t="inlineStr">
        <is>
          <t>R7.9</t>
        </is>
      </c>
      <c r="AK488" s="14">
        <f>IF($B488="","",IF($AO488="","対象年月が未入力／","")&amp;IF($B488="","",IF($AN488="","職員マスタに未登録の職員番号／",IF($Y488="","標準報酬月額が未登録／","")&amp;IF(AND($AO488&lt;&gt;"",OR(AND(INDEX(職員マスタ!$G$6:$G$405,$AN488)&lt;&gt;"",INDEX(職員マスタ!$G$6:$G$405,$AN488)&gt;EOMONTH($AO488,0)),AND(INDEX(職員マスタ!$H$6:$H$405,$AN488)&lt;&gt;"",INDEX(職員マスタ!$H$6:$H$405,$AN488)&lt;$AO488))),"対象月が時短期間外／","")&amp;IF(AND(INDEX(職員マスタ!$F$6:$F$405,$AN488)&lt;&gt;"",$AO488&lt;&gt;"",INDEX(職員マスタ!$F$6:$F$405,$AN488)&lt;$AO488),"対象月に子が2歳到達済／","")&amp;IF(AND($H488&lt;&gt;"",INDEX(職員マスタ!$B$6:$B$405,$AN488)&lt;&gt;"",SUBSTITUTE(SUBSTITUTE($H488," ","")," ","")&lt;&gt;SUBSTITUTE(SUBSTITUTE(INDEX(職員マスタ!$B$6:$B$405,$AN488)," ","")," ","")),"氏名がマスタと相違／","")&amp;IF(AND($Q488&lt;&gt;"",INDEX(職員マスタ!$E$6:$E$405,$AN488)&lt;&gt;"",$Q488&lt;&gt;INDEX(職員マスタ!$E$6:$E$405,$AN488)),"子の生年月日がマスタと相違／","")&amp;IF(AND($L488&lt;&gt;"",INDEX(職員マスタ!$G$6:$G$405,$AN488)&lt;&gt;"",$L488&lt;&gt;INDEX(職員マスタ!$G$6:$G$405,$AN488)),"時短開始日がマスタと相違／","")&amp;IF(AND($M488&lt;&gt;"",INDEX(職員マスタ!$H$6:$H$405,$AN488)&lt;&gt;"",$M488&lt;&gt;INDEX(職員マスタ!$H$6:$H$405,$AN488)),"時短終了日がマスタと相違／","")))&amp;IF(AND($B488&lt;&gt;"",$E488=""),"報酬額が未入力／","")&amp;IF(N($U488)&gt;0,"申請書に入力エラーが残っています／","")&amp;IF(AND($B488&lt;&gt;"",$AO488&lt;&gt;""),IF(COUNTIFS($B$6:$B$3005,$B488,$C$6:$C$3005,$C488,$D$6:$D$3005,$D488)&gt;1,"同じ月の請求が重複しています／",""),"")&amp;IF(AND(N($E488)&gt;0,$Z488&lt;&gt;"",$Z488&lt;&gt;"×",$AC488=0,$AB488=""),"計算額が下限以下のため不支給／",""))</f>
        <v/>
      </c>
      <c r="AL488" s="12" t="n"/>
      <c r="AM488" s="14">
        <f>IF($AD488="保留中",COUNTIF($AD$6:$AD488,"保留中"),"")</f>
        <v/>
      </c>
      <c r="AN488" s="14">
        <f>IF($AO488="","",IF(SUMPRODUCT(MAX((職員マスタ!$A$6:$A$405=$B488)*(((職員マスタ!$G$6:$G$405="")+(職員マスタ!$G$6:$G$405&lt;=EOMONTH($AO488,0)))&gt;0)*(((職員マスタ!$H$6:$H$405="")+(職員マスタ!$H$6:$H$405&gt;=$AO488))&gt;0)*(ROW(職員マスタ!$A$6:$A$405)-5)))&gt;0,SUMPRODUCT(MAX((職員マスタ!$A$6:$A$405=$B488)*(((職員マスタ!$G$6:$G$405="")+(職員マスタ!$G$6:$G$405&lt;=EOMONTH($AO488,0)))&gt;0)*(((職員マスタ!$H$6:$H$405="")+(職員マスタ!$H$6:$H$405&gt;=$AO488))&gt;0)*(ROW(職員マスタ!$A$6:$A$405)-5))),IFERROR(MATCH($B488,職員マスタ!$A$6:$A$405,0),"")))</f>
        <v/>
      </c>
      <c r="AO488" s="16">
        <f>IF(OR($B488="",$C488="",$D488=""),"",DATE($C488+2018,$D488,1))</f>
        <v/>
      </c>
    </row>
    <row r="489">
      <c r="A489" s="11" t="n"/>
      <c r="B489" s="12" t="n">
        <v>7203161</v>
      </c>
      <c r="C489" s="12" t="n">
        <v>7</v>
      </c>
      <c r="D489" s="12" t="n">
        <v>8</v>
      </c>
      <c r="E489" s="13" t="n">
        <v>297281</v>
      </c>
      <c r="F489" s="12" t="n"/>
      <c r="G489" s="13" t="n"/>
      <c r="H489" s="12" t="n"/>
      <c r="I489" s="12" t="n"/>
      <c r="J489" s="12" t="n"/>
      <c r="K489" s="12" t="n"/>
      <c r="L489" s="11" t="n"/>
      <c r="M489" s="11" t="n"/>
      <c r="N489" s="11" t="n"/>
      <c r="O489" s="11" t="n"/>
      <c r="P489" s="12" t="n"/>
      <c r="Q489" s="11" t="n"/>
      <c r="R489" s="12" t="n"/>
      <c r="S489" s="11" t="n"/>
      <c r="T489" s="12" t="n"/>
      <c r="U489" s="12" t="n"/>
      <c r="V489" s="14">
        <f>IF($AN489="",IF($B489="","",$H489),IF(INDEX(職員マスタ!$B$6:$B$405,$AN489)="",$H489,INDEX(職員マスタ!$B$6:$B$405,$AN489)))</f>
        <v/>
      </c>
      <c r="W489" s="14">
        <f>IF($AN489="",IF($B489="","",$R489),IF(INDEX(職員マスタ!$C$6:$C$405,$AN489)="",$R489,INDEX(職員マスタ!$C$6:$C$405,$AN489)))</f>
        <v/>
      </c>
      <c r="X489" s="14">
        <f>IF($AO489="","","R"&amp;$C489&amp;"."&amp;$D489)</f>
        <v/>
      </c>
      <c r="Y489" s="15">
        <f>IF($AN489="","",IF(INDEX(職員マスタ!$K$6:$K$405,$AN489)="","",INDEX(職員マスタ!$K$6:$K$405,$AN489)))</f>
        <v/>
      </c>
      <c r="Z489" s="14">
        <f>IF(OR($E489="",$Y489=""),"",IF($E489&gt;=$Y489,"×",IF($E489&gt;=$Y489*設定!$C$5,"△","○")))</f>
        <v/>
      </c>
      <c r="AA489" s="15">
        <f>IF($Z489="","",IF($Z489="×",0,IF($Z489="○",ROUNDDOWN($E489*設定!$C$4,0),ROUNDDOWN($E489*ROUND((9*$Y489-9*$E489)/(10*$E489),4),0))))</f>
        <v/>
      </c>
      <c r="AB489" s="13" t="n"/>
      <c r="AC489" s="15">
        <f>IF($B489="","",IF($AB489&lt;&gt;"",$AB489,IF($AA489="","",IF($AA489&lt;=設定!$C$3,0,$AA489))))</f>
        <v/>
      </c>
      <c r="AD489" s="14">
        <f>IF($B489="","",IF(AND($AE489&lt;&gt;"",$AG489="",$AJ489=""),"保留中",IF($AJ489&lt;&gt;"",IF(N($AC489)&gt;0,"支給済","不支給"),IF($AC489="","要確認",IF($AC489=0,"不支給","未処理")))))</f>
        <v/>
      </c>
      <c r="AE489" s="12" t="n"/>
      <c r="AF489" s="11" t="n"/>
      <c r="AG489" s="11" t="n"/>
      <c r="AH489" s="11" t="n"/>
      <c r="AI489" s="14">
        <f>IF(AND($AD489="保留中",$AF489&lt;&gt;""),TODAY()-$AF489,"")</f>
        <v/>
      </c>
      <c r="AJ489" s="12" t="inlineStr">
        <is>
          <t>R7.10</t>
        </is>
      </c>
      <c r="AK489" s="14">
        <f>IF($B489="","",IF($AO489="","対象年月が未入力／","")&amp;IF($B489="","",IF($AN489="","職員マスタに未登録の職員番号／",IF($Y489="","標準報酬月額が未登録／","")&amp;IF(AND($AO489&lt;&gt;"",OR(AND(INDEX(職員マスタ!$G$6:$G$405,$AN489)&lt;&gt;"",INDEX(職員マスタ!$G$6:$G$405,$AN489)&gt;EOMONTH($AO489,0)),AND(INDEX(職員マスタ!$H$6:$H$405,$AN489)&lt;&gt;"",INDEX(職員マスタ!$H$6:$H$405,$AN489)&lt;$AO489))),"対象月が時短期間外／","")&amp;IF(AND(INDEX(職員マスタ!$F$6:$F$405,$AN489)&lt;&gt;"",$AO489&lt;&gt;"",INDEX(職員マスタ!$F$6:$F$405,$AN489)&lt;$AO489),"対象月に子が2歳到達済／","")&amp;IF(AND($H489&lt;&gt;"",INDEX(職員マスタ!$B$6:$B$405,$AN489)&lt;&gt;"",SUBSTITUTE(SUBSTITUTE($H489," ","")," ","")&lt;&gt;SUBSTITUTE(SUBSTITUTE(INDEX(職員マスタ!$B$6:$B$405,$AN489)," ","")," ","")),"氏名がマスタと相違／","")&amp;IF(AND($Q489&lt;&gt;"",INDEX(職員マスタ!$E$6:$E$405,$AN489)&lt;&gt;"",$Q489&lt;&gt;INDEX(職員マスタ!$E$6:$E$405,$AN489)),"子の生年月日がマスタと相違／","")&amp;IF(AND($L489&lt;&gt;"",INDEX(職員マスタ!$G$6:$G$405,$AN489)&lt;&gt;"",$L489&lt;&gt;INDEX(職員マスタ!$G$6:$G$405,$AN489)),"時短開始日がマスタと相違／","")&amp;IF(AND($M489&lt;&gt;"",INDEX(職員マスタ!$H$6:$H$405,$AN489)&lt;&gt;"",$M489&lt;&gt;INDEX(職員マスタ!$H$6:$H$405,$AN489)),"時短終了日がマスタと相違／","")))&amp;IF(AND($B489&lt;&gt;"",$E489=""),"報酬額が未入力／","")&amp;IF(N($U489)&gt;0,"申請書に入力エラーが残っています／","")&amp;IF(AND($B489&lt;&gt;"",$AO489&lt;&gt;""),IF(COUNTIFS($B$6:$B$3005,$B489,$C$6:$C$3005,$C489,$D$6:$D$3005,$D489)&gt;1,"同じ月の請求が重複しています／",""),"")&amp;IF(AND(N($E489)&gt;0,$Z489&lt;&gt;"",$Z489&lt;&gt;"×",$AC489=0,$AB489=""),"計算額が下限以下のため不支給／",""))</f>
        <v/>
      </c>
      <c r="AL489" s="12" t="n"/>
      <c r="AM489" s="14">
        <f>IF($AD489="保留中",COUNTIF($AD$6:$AD489,"保留中"),"")</f>
        <v/>
      </c>
      <c r="AN489" s="14">
        <f>IF($AO489="","",IF(SUMPRODUCT(MAX((職員マスタ!$A$6:$A$405=$B489)*(((職員マスタ!$G$6:$G$405="")+(職員マスタ!$G$6:$G$405&lt;=EOMONTH($AO489,0)))&gt;0)*(((職員マスタ!$H$6:$H$405="")+(職員マスタ!$H$6:$H$405&gt;=$AO489))&gt;0)*(ROW(職員マスタ!$A$6:$A$405)-5)))&gt;0,SUMPRODUCT(MAX((職員マスタ!$A$6:$A$405=$B489)*(((職員マスタ!$G$6:$G$405="")+(職員マスタ!$G$6:$G$405&lt;=EOMONTH($AO489,0)))&gt;0)*(((職員マスタ!$H$6:$H$405="")+(職員マスタ!$H$6:$H$405&gt;=$AO489))&gt;0)*(ROW(職員マスタ!$A$6:$A$405)-5))),IFERROR(MATCH($B489,職員マスタ!$A$6:$A$405,0),"")))</f>
        <v/>
      </c>
      <c r="AO489" s="16">
        <f>IF(OR($B489="",$C489="",$D489=""),"",DATE($C489+2018,$D489,1))</f>
        <v/>
      </c>
    </row>
    <row r="490">
      <c r="A490" s="11" t="n"/>
      <c r="B490" s="12" t="n">
        <v>7401929</v>
      </c>
      <c r="C490" s="12" t="n">
        <v>7</v>
      </c>
      <c r="D490" s="12" t="n">
        <v>4</v>
      </c>
      <c r="E490" s="13" t="n">
        <v>189784</v>
      </c>
      <c r="F490" s="12" t="n"/>
      <c r="G490" s="13" t="n"/>
      <c r="H490" s="12" t="n"/>
      <c r="I490" s="12" t="n"/>
      <c r="J490" s="12" t="n"/>
      <c r="K490" s="12" t="n"/>
      <c r="L490" s="11" t="n"/>
      <c r="M490" s="11" t="n"/>
      <c r="N490" s="11" t="n"/>
      <c r="O490" s="11" t="n"/>
      <c r="P490" s="12" t="n"/>
      <c r="Q490" s="11" t="n"/>
      <c r="R490" s="12" t="n"/>
      <c r="S490" s="11" t="n"/>
      <c r="T490" s="12" t="n"/>
      <c r="U490" s="12" t="n"/>
      <c r="V490" s="14">
        <f>IF($AN490="",IF($B490="","",$H490),IF(INDEX(職員マスタ!$B$6:$B$405,$AN490)="",$H490,INDEX(職員マスタ!$B$6:$B$405,$AN490)))</f>
        <v/>
      </c>
      <c r="W490" s="14">
        <f>IF($AN490="",IF($B490="","",$R490),IF(INDEX(職員マスタ!$C$6:$C$405,$AN490)="",$R490,INDEX(職員マスタ!$C$6:$C$405,$AN490)))</f>
        <v/>
      </c>
      <c r="X490" s="14">
        <f>IF($AO490="","","R"&amp;$C490&amp;"."&amp;$D490)</f>
        <v/>
      </c>
      <c r="Y490" s="15">
        <f>IF($AN490="","",IF(INDEX(職員マスタ!$K$6:$K$405,$AN490)="","",INDEX(職員マスタ!$K$6:$K$405,$AN490)))</f>
        <v/>
      </c>
      <c r="Z490" s="14">
        <f>IF(OR($E490="",$Y490=""),"",IF($E490&gt;=$Y490,"×",IF($E490&gt;=$Y490*設定!$C$5,"△","○")))</f>
        <v/>
      </c>
      <c r="AA490" s="15">
        <f>IF($Z490="","",IF($Z490="×",0,IF($Z490="○",ROUNDDOWN($E490*設定!$C$4,0),ROUNDDOWN($E490*ROUND((9*$Y490-9*$E490)/(10*$E490),4),0))))</f>
        <v/>
      </c>
      <c r="AB490" s="13" t="n"/>
      <c r="AC490" s="15">
        <f>IF($B490="","",IF($AB490&lt;&gt;"",$AB490,IF($AA490="","",IF($AA490&lt;=設定!$C$3,0,$AA490))))</f>
        <v/>
      </c>
      <c r="AD490" s="14">
        <f>IF($B490="","",IF(AND($AE490&lt;&gt;"",$AG490="",$AJ490=""),"保留中",IF($AJ490&lt;&gt;"",IF(N($AC490)&gt;0,"支給済","不支給"),IF($AC490="","要確認",IF($AC490=0,"不支給","未処理")))))</f>
        <v/>
      </c>
      <c r="AE490" s="12" t="n"/>
      <c r="AF490" s="11" t="n"/>
      <c r="AG490" s="11" t="n"/>
      <c r="AH490" s="11" t="n"/>
      <c r="AI490" s="14">
        <f>IF(AND($AD490="保留中",$AF490&lt;&gt;""),TODAY()-$AF490,"")</f>
        <v/>
      </c>
      <c r="AJ490" s="12" t="inlineStr">
        <is>
          <t>R7.9</t>
        </is>
      </c>
      <c r="AK490" s="14">
        <f>IF($B490="","",IF($AO490="","対象年月が未入力／","")&amp;IF($B490="","",IF($AN490="","職員マスタに未登録の職員番号／",IF($Y490="","標準報酬月額が未登録／","")&amp;IF(AND($AO490&lt;&gt;"",OR(AND(INDEX(職員マスタ!$G$6:$G$405,$AN490)&lt;&gt;"",INDEX(職員マスタ!$G$6:$G$405,$AN490)&gt;EOMONTH($AO490,0)),AND(INDEX(職員マスタ!$H$6:$H$405,$AN490)&lt;&gt;"",INDEX(職員マスタ!$H$6:$H$405,$AN490)&lt;$AO490))),"対象月が時短期間外／","")&amp;IF(AND(INDEX(職員マスタ!$F$6:$F$405,$AN490)&lt;&gt;"",$AO490&lt;&gt;"",INDEX(職員マスタ!$F$6:$F$405,$AN490)&lt;$AO490),"対象月に子が2歳到達済／","")&amp;IF(AND($H490&lt;&gt;"",INDEX(職員マスタ!$B$6:$B$405,$AN490)&lt;&gt;"",SUBSTITUTE(SUBSTITUTE($H490," ","")," ","")&lt;&gt;SUBSTITUTE(SUBSTITUTE(INDEX(職員マスタ!$B$6:$B$405,$AN490)," ","")," ","")),"氏名がマスタと相違／","")&amp;IF(AND($Q490&lt;&gt;"",INDEX(職員マスタ!$E$6:$E$405,$AN490)&lt;&gt;"",$Q490&lt;&gt;INDEX(職員マスタ!$E$6:$E$405,$AN490)),"子の生年月日がマスタと相違／","")&amp;IF(AND($L490&lt;&gt;"",INDEX(職員マスタ!$G$6:$G$405,$AN490)&lt;&gt;"",$L490&lt;&gt;INDEX(職員マスタ!$G$6:$G$405,$AN490)),"時短開始日がマスタと相違／","")&amp;IF(AND($M490&lt;&gt;"",INDEX(職員マスタ!$H$6:$H$405,$AN490)&lt;&gt;"",$M490&lt;&gt;INDEX(職員マスタ!$H$6:$H$405,$AN490)),"時短終了日がマスタと相違／","")))&amp;IF(AND($B490&lt;&gt;"",$E490=""),"報酬額が未入力／","")&amp;IF(N($U490)&gt;0,"申請書に入力エラーが残っています／","")&amp;IF(AND($B490&lt;&gt;"",$AO490&lt;&gt;""),IF(COUNTIFS($B$6:$B$3005,$B490,$C$6:$C$3005,$C490,$D$6:$D$3005,$D490)&gt;1,"同じ月の請求が重複しています／",""),"")&amp;IF(AND(N($E490)&gt;0,$Z490&lt;&gt;"",$Z490&lt;&gt;"×",$AC490=0,$AB490=""),"計算額が下限以下のため不支給／",""))</f>
        <v/>
      </c>
      <c r="AL490" s="12" t="n"/>
      <c r="AM490" s="14">
        <f>IF($AD490="保留中",COUNTIF($AD$6:$AD490,"保留中"),"")</f>
        <v/>
      </c>
      <c r="AN490" s="14">
        <f>IF($AO490="","",IF(SUMPRODUCT(MAX((職員マスタ!$A$6:$A$405=$B490)*(((職員マスタ!$G$6:$G$405="")+(職員マスタ!$G$6:$G$405&lt;=EOMONTH($AO490,0)))&gt;0)*(((職員マスタ!$H$6:$H$405="")+(職員マスタ!$H$6:$H$405&gt;=$AO490))&gt;0)*(ROW(職員マスタ!$A$6:$A$405)-5)))&gt;0,SUMPRODUCT(MAX((職員マスタ!$A$6:$A$405=$B490)*(((職員マスタ!$G$6:$G$405="")+(職員マスタ!$G$6:$G$405&lt;=EOMONTH($AO490,0)))&gt;0)*(((職員マスタ!$H$6:$H$405="")+(職員マスタ!$H$6:$H$405&gt;=$AO490))&gt;0)*(ROW(職員マスタ!$A$6:$A$405)-5))),IFERROR(MATCH($B490,職員マスタ!$A$6:$A$405,0),"")))</f>
        <v/>
      </c>
      <c r="AO490" s="16">
        <f>IF(OR($B490="",$C490="",$D490=""),"",DATE($C490+2018,$D490,1))</f>
        <v/>
      </c>
    </row>
    <row r="491">
      <c r="A491" s="11" t="n"/>
      <c r="B491" s="12" t="n">
        <v>7401929</v>
      </c>
      <c r="C491" s="12" t="n">
        <v>7</v>
      </c>
      <c r="D491" s="12" t="n">
        <v>5</v>
      </c>
      <c r="E491" s="13" t="n">
        <v>181186</v>
      </c>
      <c r="F491" s="12" t="n"/>
      <c r="G491" s="13" t="n"/>
      <c r="H491" s="12" t="n"/>
      <c r="I491" s="12" t="n"/>
      <c r="J491" s="12" t="n"/>
      <c r="K491" s="12" t="n"/>
      <c r="L491" s="11" t="n"/>
      <c r="M491" s="11" t="n"/>
      <c r="N491" s="11" t="n"/>
      <c r="O491" s="11" t="n"/>
      <c r="P491" s="12" t="n"/>
      <c r="Q491" s="11" t="n"/>
      <c r="R491" s="12" t="n"/>
      <c r="S491" s="11" t="n"/>
      <c r="T491" s="12" t="n"/>
      <c r="U491" s="12" t="n"/>
      <c r="V491" s="14">
        <f>IF($AN491="",IF($B491="","",$H491),IF(INDEX(職員マスタ!$B$6:$B$405,$AN491)="",$H491,INDEX(職員マスタ!$B$6:$B$405,$AN491)))</f>
        <v/>
      </c>
      <c r="W491" s="14">
        <f>IF($AN491="",IF($B491="","",$R491),IF(INDEX(職員マスタ!$C$6:$C$405,$AN491)="",$R491,INDEX(職員マスタ!$C$6:$C$405,$AN491)))</f>
        <v/>
      </c>
      <c r="X491" s="14">
        <f>IF($AO491="","","R"&amp;$C491&amp;"."&amp;$D491)</f>
        <v/>
      </c>
      <c r="Y491" s="15">
        <f>IF($AN491="","",IF(INDEX(職員マスタ!$K$6:$K$405,$AN491)="","",INDEX(職員マスタ!$K$6:$K$405,$AN491)))</f>
        <v/>
      </c>
      <c r="Z491" s="14">
        <f>IF(OR($E491="",$Y491=""),"",IF($E491&gt;=$Y491,"×",IF($E491&gt;=$Y491*設定!$C$5,"△","○")))</f>
        <v/>
      </c>
      <c r="AA491" s="15">
        <f>IF($Z491="","",IF($Z491="×",0,IF($Z491="○",ROUNDDOWN($E491*設定!$C$4,0),ROUNDDOWN($E491*ROUND((9*$Y491-9*$E491)/(10*$E491),4),0))))</f>
        <v/>
      </c>
      <c r="AB491" s="13" t="n"/>
      <c r="AC491" s="15">
        <f>IF($B491="","",IF($AB491&lt;&gt;"",$AB491,IF($AA491="","",IF($AA491&lt;=設定!$C$3,0,$AA491))))</f>
        <v/>
      </c>
      <c r="AD491" s="14">
        <f>IF($B491="","",IF(AND($AE491&lt;&gt;"",$AG491="",$AJ491=""),"保留中",IF($AJ491&lt;&gt;"",IF(N($AC491)&gt;0,"支給済","不支給"),IF($AC491="","要確認",IF($AC491=0,"不支給","未処理")))))</f>
        <v/>
      </c>
      <c r="AE491" s="12" t="n"/>
      <c r="AF491" s="11" t="n"/>
      <c r="AG491" s="11" t="n"/>
      <c r="AH491" s="11" t="n"/>
      <c r="AI491" s="14">
        <f>IF(AND($AD491="保留中",$AF491&lt;&gt;""),TODAY()-$AF491,"")</f>
        <v/>
      </c>
      <c r="AJ491" s="12" t="inlineStr">
        <is>
          <t>R7.9</t>
        </is>
      </c>
      <c r="AK491" s="14">
        <f>IF($B491="","",IF($AO491="","対象年月が未入力／","")&amp;IF($B491="","",IF($AN491="","職員マスタに未登録の職員番号／",IF($Y491="","標準報酬月額が未登録／","")&amp;IF(AND($AO491&lt;&gt;"",OR(AND(INDEX(職員マスタ!$G$6:$G$405,$AN491)&lt;&gt;"",INDEX(職員マスタ!$G$6:$G$405,$AN491)&gt;EOMONTH($AO491,0)),AND(INDEX(職員マスタ!$H$6:$H$405,$AN491)&lt;&gt;"",INDEX(職員マスタ!$H$6:$H$405,$AN491)&lt;$AO491))),"対象月が時短期間外／","")&amp;IF(AND(INDEX(職員マスタ!$F$6:$F$405,$AN491)&lt;&gt;"",$AO491&lt;&gt;"",INDEX(職員マスタ!$F$6:$F$405,$AN491)&lt;$AO491),"対象月に子が2歳到達済／","")&amp;IF(AND($H491&lt;&gt;"",INDEX(職員マスタ!$B$6:$B$405,$AN491)&lt;&gt;"",SUBSTITUTE(SUBSTITUTE($H491," ","")," ","")&lt;&gt;SUBSTITUTE(SUBSTITUTE(INDEX(職員マスタ!$B$6:$B$405,$AN491)," ","")," ","")),"氏名がマスタと相違／","")&amp;IF(AND($Q491&lt;&gt;"",INDEX(職員マスタ!$E$6:$E$405,$AN491)&lt;&gt;"",$Q491&lt;&gt;INDEX(職員マスタ!$E$6:$E$405,$AN491)),"子の生年月日がマスタと相違／","")&amp;IF(AND($L491&lt;&gt;"",INDEX(職員マスタ!$G$6:$G$405,$AN491)&lt;&gt;"",$L491&lt;&gt;INDEX(職員マスタ!$G$6:$G$405,$AN491)),"時短開始日がマスタと相違／","")&amp;IF(AND($M491&lt;&gt;"",INDEX(職員マスタ!$H$6:$H$405,$AN491)&lt;&gt;"",$M491&lt;&gt;INDEX(職員マスタ!$H$6:$H$405,$AN491)),"時短終了日がマスタと相違／","")))&amp;IF(AND($B491&lt;&gt;"",$E491=""),"報酬額が未入力／","")&amp;IF(N($U491)&gt;0,"申請書に入力エラーが残っています／","")&amp;IF(AND($B491&lt;&gt;"",$AO491&lt;&gt;""),IF(COUNTIFS($B$6:$B$3005,$B491,$C$6:$C$3005,$C491,$D$6:$D$3005,$D491)&gt;1,"同じ月の請求が重複しています／",""),"")&amp;IF(AND(N($E491)&gt;0,$Z491&lt;&gt;"",$Z491&lt;&gt;"×",$AC491=0,$AB491=""),"計算額が下限以下のため不支給／",""))</f>
        <v/>
      </c>
      <c r="AL491" s="12" t="n"/>
      <c r="AM491" s="14">
        <f>IF($AD491="保留中",COUNTIF($AD$6:$AD491,"保留中"),"")</f>
        <v/>
      </c>
      <c r="AN491" s="14">
        <f>IF($AO491="","",IF(SUMPRODUCT(MAX((職員マスタ!$A$6:$A$405=$B491)*(((職員マスタ!$G$6:$G$405="")+(職員マスタ!$G$6:$G$405&lt;=EOMONTH($AO491,0)))&gt;0)*(((職員マスタ!$H$6:$H$405="")+(職員マスタ!$H$6:$H$405&gt;=$AO491))&gt;0)*(ROW(職員マスタ!$A$6:$A$405)-5)))&gt;0,SUMPRODUCT(MAX((職員マスタ!$A$6:$A$405=$B491)*(((職員マスタ!$G$6:$G$405="")+(職員マスタ!$G$6:$G$405&lt;=EOMONTH($AO491,0)))&gt;0)*(((職員マスタ!$H$6:$H$405="")+(職員マスタ!$H$6:$H$405&gt;=$AO491))&gt;0)*(ROW(職員マスタ!$A$6:$A$405)-5))),IFERROR(MATCH($B491,職員マスタ!$A$6:$A$405,0),"")))</f>
        <v/>
      </c>
      <c r="AO491" s="16">
        <f>IF(OR($B491="",$C491="",$D491=""),"",DATE($C491+2018,$D491,1))</f>
        <v/>
      </c>
    </row>
    <row r="492">
      <c r="A492" s="11" t="n"/>
      <c r="B492" s="12" t="n"/>
      <c r="C492" s="12" t="n"/>
      <c r="D492" s="12" t="n"/>
      <c r="E492" s="13" t="n"/>
      <c r="F492" s="12" t="n"/>
      <c r="G492" s="13" t="n"/>
      <c r="H492" s="12" t="n"/>
      <c r="I492" s="12" t="n"/>
      <c r="J492" s="12" t="n"/>
      <c r="K492" s="12" t="n"/>
      <c r="L492" s="11" t="n"/>
      <c r="M492" s="11" t="n"/>
      <c r="N492" s="11" t="n"/>
      <c r="O492" s="11" t="n"/>
      <c r="P492" s="12" t="n"/>
      <c r="Q492" s="11" t="n"/>
      <c r="R492" s="12" t="n"/>
      <c r="S492" s="11" t="n"/>
      <c r="T492" s="12" t="n"/>
      <c r="U492" s="12" t="n"/>
      <c r="V492" s="14">
        <f>IF($AN492="",IF($B492="","",$H492),IF(INDEX(職員マスタ!$B$6:$B$405,$AN492)="",$H492,INDEX(職員マスタ!$B$6:$B$405,$AN492)))</f>
        <v/>
      </c>
      <c r="W492" s="14">
        <f>IF($AN492="",IF($B492="","",$R492),IF(INDEX(職員マスタ!$C$6:$C$405,$AN492)="",$R492,INDEX(職員マスタ!$C$6:$C$405,$AN492)))</f>
        <v/>
      </c>
      <c r="X492" s="14">
        <f>IF($AO492="","","R"&amp;$C492&amp;"."&amp;$D492)</f>
        <v/>
      </c>
      <c r="Y492" s="15">
        <f>IF($AN492="","",IF(INDEX(職員マスタ!$K$6:$K$405,$AN492)="","",INDEX(職員マスタ!$K$6:$K$405,$AN492)))</f>
        <v/>
      </c>
      <c r="Z492" s="14">
        <f>IF(OR($E492="",$Y492=""),"",IF($E492&gt;=$Y492,"×",IF($E492&gt;=$Y492*設定!$C$5,"△","○")))</f>
        <v/>
      </c>
      <c r="AA492" s="15">
        <f>IF($Z492="","",IF($Z492="×",0,IF($Z492="○",ROUNDDOWN($E492*設定!$C$4,0),ROUNDDOWN($E492*ROUND((9*$Y492-9*$E492)/(10*$E492),4),0))))</f>
        <v/>
      </c>
      <c r="AB492" s="13" t="n"/>
      <c r="AC492" s="15">
        <f>IF($B492="","",IF($AB492&lt;&gt;"",$AB492,IF($AA492="","",IF($AA492&lt;=設定!$C$3,0,$AA492))))</f>
        <v/>
      </c>
      <c r="AD492" s="14">
        <f>IF($B492="","",IF(AND($AE492&lt;&gt;"",$AG492="",$AJ492=""),"保留中",IF($AJ492&lt;&gt;"",IF(N($AC492)&gt;0,"支給済","不支給"),IF($AC492="","要確認",IF($AC492=0,"不支給","未処理")))))</f>
        <v/>
      </c>
      <c r="AE492" s="12" t="n"/>
      <c r="AF492" s="11" t="n"/>
      <c r="AG492" s="11" t="n"/>
      <c r="AH492" s="11" t="n"/>
      <c r="AI492" s="14">
        <f>IF(AND($AD492="保留中",$AF492&lt;&gt;""),TODAY()-$AF492,"")</f>
        <v/>
      </c>
      <c r="AJ492" s="12" t="n"/>
      <c r="AK492" s="14">
        <f>IF($B492="","",IF($AO492="","対象年月が未入力／","")&amp;IF($B492="","",IF($AN492="","職員マスタに未登録の職員番号／",IF($Y492="","標準報酬月額が未登録／","")&amp;IF(AND($AO492&lt;&gt;"",OR(AND(INDEX(職員マスタ!$G$6:$G$405,$AN492)&lt;&gt;"",INDEX(職員マスタ!$G$6:$G$405,$AN492)&gt;EOMONTH($AO492,0)),AND(INDEX(職員マスタ!$H$6:$H$405,$AN492)&lt;&gt;"",INDEX(職員マスタ!$H$6:$H$405,$AN492)&lt;$AO492))),"対象月が時短期間外／","")&amp;IF(AND(INDEX(職員マスタ!$F$6:$F$405,$AN492)&lt;&gt;"",$AO492&lt;&gt;"",INDEX(職員マスタ!$F$6:$F$405,$AN492)&lt;$AO492),"対象月に子が2歳到達済／","")&amp;IF(AND($H492&lt;&gt;"",INDEX(職員マスタ!$B$6:$B$405,$AN492)&lt;&gt;"",SUBSTITUTE(SUBSTITUTE($H492," ","")," ","")&lt;&gt;SUBSTITUTE(SUBSTITUTE(INDEX(職員マスタ!$B$6:$B$405,$AN492)," ","")," ","")),"氏名がマスタと相違／","")&amp;IF(AND($Q492&lt;&gt;"",INDEX(職員マスタ!$E$6:$E$405,$AN492)&lt;&gt;"",$Q492&lt;&gt;INDEX(職員マスタ!$E$6:$E$405,$AN492)),"子の生年月日がマスタと相違／","")&amp;IF(AND($L492&lt;&gt;"",INDEX(職員マスタ!$G$6:$G$405,$AN492)&lt;&gt;"",$L492&lt;&gt;INDEX(職員マスタ!$G$6:$G$405,$AN492)),"時短開始日がマスタと相違／","")&amp;IF(AND($M492&lt;&gt;"",INDEX(職員マスタ!$H$6:$H$405,$AN492)&lt;&gt;"",$M492&lt;&gt;INDEX(職員マスタ!$H$6:$H$405,$AN492)),"時短終了日がマスタと相違／","")))&amp;IF(AND($B492&lt;&gt;"",$E492=""),"報酬額が未入力／","")&amp;IF(N($U492)&gt;0,"申請書に入力エラーが残っています／","")&amp;IF(AND($B492&lt;&gt;"",$AO492&lt;&gt;""),IF(COUNTIFS($B$6:$B$3005,$B492,$C$6:$C$3005,$C492,$D$6:$D$3005,$D492)&gt;1,"同じ月の請求が重複しています／",""),"")&amp;IF(AND(N($E492)&gt;0,$Z492&lt;&gt;"",$Z492&lt;&gt;"×",$AC492=0,$AB492=""),"計算額が下限以下のため不支給／",""))</f>
        <v/>
      </c>
      <c r="AL492" s="12" t="n"/>
      <c r="AM492" s="14">
        <f>IF($AD492="保留中",COUNTIF($AD$6:$AD492,"保留中"),"")</f>
        <v/>
      </c>
      <c r="AN492" s="14">
        <f>IF($AO492="","",IF(SUMPRODUCT(MAX((職員マスタ!$A$6:$A$405=$B492)*(((職員マスタ!$G$6:$G$405="")+(職員マスタ!$G$6:$G$405&lt;=EOMONTH($AO492,0)))&gt;0)*(((職員マスタ!$H$6:$H$405="")+(職員マスタ!$H$6:$H$405&gt;=$AO492))&gt;0)*(ROW(職員マスタ!$A$6:$A$405)-5)))&gt;0,SUMPRODUCT(MAX((職員マスタ!$A$6:$A$405=$B492)*(((職員マスタ!$G$6:$G$405="")+(職員マスタ!$G$6:$G$405&lt;=EOMONTH($AO492,0)))&gt;0)*(((職員マスタ!$H$6:$H$405="")+(職員マスタ!$H$6:$H$405&gt;=$AO492))&gt;0)*(ROW(職員マスタ!$A$6:$A$405)-5))),IFERROR(MATCH($B492,職員マスタ!$A$6:$A$405,0),"")))</f>
        <v/>
      </c>
      <c r="AO492" s="16">
        <f>IF(OR($B492="",$C492="",$D492=""),"",DATE($C492+2018,$D492,1))</f>
        <v/>
      </c>
    </row>
    <row r="493">
      <c r="A493" s="11" t="n"/>
      <c r="B493" s="12" t="n"/>
      <c r="C493" s="12" t="n"/>
      <c r="D493" s="12" t="n"/>
      <c r="E493" s="13" t="n"/>
      <c r="F493" s="12" t="n"/>
      <c r="G493" s="13" t="n"/>
      <c r="H493" s="12" t="n"/>
      <c r="I493" s="12" t="n"/>
      <c r="J493" s="12" t="n"/>
      <c r="K493" s="12" t="n"/>
      <c r="L493" s="11" t="n"/>
      <c r="M493" s="11" t="n"/>
      <c r="N493" s="11" t="n"/>
      <c r="O493" s="11" t="n"/>
      <c r="P493" s="12" t="n"/>
      <c r="Q493" s="11" t="n"/>
      <c r="R493" s="12" t="n"/>
      <c r="S493" s="11" t="n"/>
      <c r="T493" s="12" t="n"/>
      <c r="U493" s="12" t="n"/>
      <c r="V493" s="14">
        <f>IF($AN493="",IF($B493="","",$H493),IF(INDEX(職員マスタ!$B$6:$B$405,$AN493)="",$H493,INDEX(職員マスタ!$B$6:$B$405,$AN493)))</f>
        <v/>
      </c>
      <c r="W493" s="14">
        <f>IF($AN493="",IF($B493="","",$R493),IF(INDEX(職員マスタ!$C$6:$C$405,$AN493)="",$R493,INDEX(職員マスタ!$C$6:$C$405,$AN493)))</f>
        <v/>
      </c>
      <c r="X493" s="14">
        <f>IF($AO493="","","R"&amp;$C493&amp;"."&amp;$D493)</f>
        <v/>
      </c>
      <c r="Y493" s="15">
        <f>IF($AN493="","",IF(INDEX(職員マスタ!$K$6:$K$405,$AN493)="","",INDEX(職員マスタ!$K$6:$K$405,$AN493)))</f>
        <v/>
      </c>
      <c r="Z493" s="14">
        <f>IF(OR($E493="",$Y493=""),"",IF($E493&gt;=$Y493,"×",IF($E493&gt;=$Y493*設定!$C$5,"△","○")))</f>
        <v/>
      </c>
      <c r="AA493" s="15">
        <f>IF($Z493="","",IF($Z493="×",0,IF($Z493="○",ROUNDDOWN($E493*設定!$C$4,0),ROUNDDOWN($E493*ROUND((9*$Y493-9*$E493)/(10*$E493),4),0))))</f>
        <v/>
      </c>
      <c r="AB493" s="13" t="n"/>
      <c r="AC493" s="15">
        <f>IF($B493="","",IF($AB493&lt;&gt;"",$AB493,IF($AA493="","",IF($AA493&lt;=設定!$C$3,0,$AA493))))</f>
        <v/>
      </c>
      <c r="AD493" s="14">
        <f>IF($B493="","",IF(AND($AE493&lt;&gt;"",$AG493="",$AJ493=""),"保留中",IF($AJ493&lt;&gt;"",IF(N($AC493)&gt;0,"支給済","不支給"),IF($AC493="","要確認",IF($AC493=0,"不支給","未処理")))))</f>
        <v/>
      </c>
      <c r="AE493" s="12" t="n"/>
      <c r="AF493" s="11" t="n"/>
      <c r="AG493" s="11" t="n"/>
      <c r="AH493" s="11" t="n"/>
      <c r="AI493" s="14">
        <f>IF(AND($AD493="保留中",$AF493&lt;&gt;""),TODAY()-$AF493,"")</f>
        <v/>
      </c>
      <c r="AJ493" s="12" t="n"/>
      <c r="AK493" s="14">
        <f>IF($B493="","",IF($AO493="","対象年月が未入力／","")&amp;IF($B493="","",IF($AN493="","職員マスタに未登録の職員番号／",IF($Y493="","標準報酬月額が未登録／","")&amp;IF(AND($AO493&lt;&gt;"",OR(AND(INDEX(職員マスタ!$G$6:$G$405,$AN493)&lt;&gt;"",INDEX(職員マスタ!$G$6:$G$405,$AN493)&gt;EOMONTH($AO493,0)),AND(INDEX(職員マスタ!$H$6:$H$405,$AN493)&lt;&gt;"",INDEX(職員マスタ!$H$6:$H$405,$AN493)&lt;$AO493))),"対象月が時短期間外／","")&amp;IF(AND(INDEX(職員マスタ!$F$6:$F$405,$AN493)&lt;&gt;"",$AO493&lt;&gt;"",INDEX(職員マスタ!$F$6:$F$405,$AN493)&lt;$AO493),"対象月に子が2歳到達済／","")&amp;IF(AND($H493&lt;&gt;"",INDEX(職員マスタ!$B$6:$B$405,$AN493)&lt;&gt;"",SUBSTITUTE(SUBSTITUTE($H493," ","")," ","")&lt;&gt;SUBSTITUTE(SUBSTITUTE(INDEX(職員マスタ!$B$6:$B$405,$AN493)," ","")," ","")),"氏名がマスタと相違／","")&amp;IF(AND($Q493&lt;&gt;"",INDEX(職員マスタ!$E$6:$E$405,$AN493)&lt;&gt;"",$Q493&lt;&gt;INDEX(職員マスタ!$E$6:$E$405,$AN493)),"子の生年月日がマスタと相違／","")&amp;IF(AND($L493&lt;&gt;"",INDEX(職員マスタ!$G$6:$G$405,$AN493)&lt;&gt;"",$L493&lt;&gt;INDEX(職員マスタ!$G$6:$G$405,$AN493)),"時短開始日がマスタと相違／","")&amp;IF(AND($M493&lt;&gt;"",INDEX(職員マスタ!$H$6:$H$405,$AN493)&lt;&gt;"",$M493&lt;&gt;INDEX(職員マスタ!$H$6:$H$405,$AN493)),"時短終了日がマスタと相違／","")))&amp;IF(AND($B493&lt;&gt;"",$E493=""),"報酬額が未入力／","")&amp;IF(N($U493)&gt;0,"申請書に入力エラーが残っています／","")&amp;IF(AND($B493&lt;&gt;"",$AO493&lt;&gt;""),IF(COUNTIFS($B$6:$B$3005,$B493,$C$6:$C$3005,$C493,$D$6:$D$3005,$D493)&gt;1,"同じ月の請求が重複しています／",""),"")&amp;IF(AND(N($E493)&gt;0,$Z493&lt;&gt;"",$Z493&lt;&gt;"×",$AC493=0,$AB493=""),"計算額が下限以下のため不支給／",""))</f>
        <v/>
      </c>
      <c r="AL493" s="12" t="n"/>
      <c r="AM493" s="14">
        <f>IF($AD493="保留中",COUNTIF($AD$6:$AD493,"保留中"),"")</f>
        <v/>
      </c>
      <c r="AN493" s="14">
        <f>IF($AO493="","",IF(SUMPRODUCT(MAX((職員マスタ!$A$6:$A$405=$B493)*(((職員マスタ!$G$6:$G$405="")+(職員マスタ!$G$6:$G$405&lt;=EOMONTH($AO493,0)))&gt;0)*(((職員マスタ!$H$6:$H$405="")+(職員マスタ!$H$6:$H$405&gt;=$AO493))&gt;0)*(ROW(職員マスタ!$A$6:$A$405)-5)))&gt;0,SUMPRODUCT(MAX((職員マスタ!$A$6:$A$405=$B493)*(((職員マスタ!$G$6:$G$405="")+(職員マスタ!$G$6:$G$405&lt;=EOMONTH($AO493,0)))&gt;0)*(((職員マスタ!$H$6:$H$405="")+(職員マスタ!$H$6:$H$405&gt;=$AO493))&gt;0)*(ROW(職員マスタ!$A$6:$A$405)-5))),IFERROR(MATCH($B493,職員マスタ!$A$6:$A$405,0),"")))</f>
        <v/>
      </c>
      <c r="AO493" s="16">
        <f>IF(OR($B493="",$C493="",$D493=""),"",DATE($C493+2018,$D493,1))</f>
        <v/>
      </c>
    </row>
    <row r="494">
      <c r="A494" s="11" t="n"/>
      <c r="B494" s="12" t="n"/>
      <c r="C494" s="12" t="n"/>
      <c r="D494" s="12" t="n"/>
      <c r="E494" s="13" t="n"/>
      <c r="F494" s="12" t="n"/>
      <c r="G494" s="13" t="n"/>
      <c r="H494" s="12" t="n"/>
      <c r="I494" s="12" t="n"/>
      <c r="J494" s="12" t="n"/>
      <c r="K494" s="12" t="n"/>
      <c r="L494" s="11" t="n"/>
      <c r="M494" s="11" t="n"/>
      <c r="N494" s="11" t="n"/>
      <c r="O494" s="11" t="n"/>
      <c r="P494" s="12" t="n"/>
      <c r="Q494" s="11" t="n"/>
      <c r="R494" s="12" t="n"/>
      <c r="S494" s="11" t="n"/>
      <c r="T494" s="12" t="n"/>
      <c r="U494" s="12" t="n"/>
      <c r="V494" s="14">
        <f>IF($AN494="",IF($B494="","",$H494),IF(INDEX(職員マスタ!$B$6:$B$405,$AN494)="",$H494,INDEX(職員マスタ!$B$6:$B$405,$AN494)))</f>
        <v/>
      </c>
      <c r="W494" s="14">
        <f>IF($AN494="",IF($B494="","",$R494),IF(INDEX(職員マスタ!$C$6:$C$405,$AN494)="",$R494,INDEX(職員マスタ!$C$6:$C$405,$AN494)))</f>
        <v/>
      </c>
      <c r="X494" s="14">
        <f>IF($AO494="","","R"&amp;$C494&amp;"."&amp;$D494)</f>
        <v/>
      </c>
      <c r="Y494" s="15">
        <f>IF($AN494="","",IF(INDEX(職員マスタ!$K$6:$K$405,$AN494)="","",INDEX(職員マスタ!$K$6:$K$405,$AN494)))</f>
        <v/>
      </c>
      <c r="Z494" s="14">
        <f>IF(OR($E494="",$Y494=""),"",IF($E494&gt;=$Y494,"×",IF($E494&gt;=$Y494*設定!$C$5,"△","○")))</f>
        <v/>
      </c>
      <c r="AA494" s="15">
        <f>IF($Z494="","",IF($Z494="×",0,IF($Z494="○",ROUNDDOWN($E494*設定!$C$4,0),ROUNDDOWN($E494*ROUND((9*$Y494-9*$E494)/(10*$E494),4),0))))</f>
        <v/>
      </c>
      <c r="AB494" s="13" t="n"/>
      <c r="AC494" s="15">
        <f>IF($B494="","",IF($AB494&lt;&gt;"",$AB494,IF($AA494="","",IF($AA494&lt;=設定!$C$3,0,$AA494))))</f>
        <v/>
      </c>
      <c r="AD494" s="14">
        <f>IF($B494="","",IF(AND($AE494&lt;&gt;"",$AG494="",$AJ494=""),"保留中",IF($AJ494&lt;&gt;"",IF(N($AC494)&gt;0,"支給済","不支給"),IF($AC494="","要確認",IF($AC494=0,"不支給","未処理")))))</f>
        <v/>
      </c>
      <c r="AE494" s="12" t="n"/>
      <c r="AF494" s="11" t="n"/>
      <c r="AG494" s="11" t="n"/>
      <c r="AH494" s="11" t="n"/>
      <c r="AI494" s="14">
        <f>IF(AND($AD494="保留中",$AF494&lt;&gt;""),TODAY()-$AF494,"")</f>
        <v/>
      </c>
      <c r="AJ494" s="12" t="n"/>
      <c r="AK494" s="14">
        <f>IF($B494="","",IF($AO494="","対象年月が未入力／","")&amp;IF($B494="","",IF($AN494="","職員マスタに未登録の職員番号／",IF($Y494="","標準報酬月額が未登録／","")&amp;IF(AND($AO494&lt;&gt;"",OR(AND(INDEX(職員マスタ!$G$6:$G$405,$AN494)&lt;&gt;"",INDEX(職員マスタ!$G$6:$G$405,$AN494)&gt;EOMONTH($AO494,0)),AND(INDEX(職員マスタ!$H$6:$H$405,$AN494)&lt;&gt;"",INDEX(職員マスタ!$H$6:$H$405,$AN494)&lt;$AO494))),"対象月が時短期間外／","")&amp;IF(AND(INDEX(職員マスタ!$F$6:$F$405,$AN494)&lt;&gt;"",$AO494&lt;&gt;"",INDEX(職員マスタ!$F$6:$F$405,$AN494)&lt;$AO494),"対象月に子が2歳到達済／","")&amp;IF(AND($H494&lt;&gt;"",INDEX(職員マスタ!$B$6:$B$405,$AN494)&lt;&gt;"",SUBSTITUTE(SUBSTITUTE($H494," ","")," ","")&lt;&gt;SUBSTITUTE(SUBSTITUTE(INDEX(職員マスタ!$B$6:$B$405,$AN494)," ","")," ","")),"氏名がマスタと相違／","")&amp;IF(AND($Q494&lt;&gt;"",INDEX(職員マスタ!$E$6:$E$405,$AN494)&lt;&gt;"",$Q494&lt;&gt;INDEX(職員マスタ!$E$6:$E$405,$AN494)),"子の生年月日がマスタと相違／","")&amp;IF(AND($L494&lt;&gt;"",INDEX(職員マスタ!$G$6:$G$405,$AN494)&lt;&gt;"",$L494&lt;&gt;INDEX(職員マスタ!$G$6:$G$405,$AN494)),"時短開始日がマスタと相違／","")&amp;IF(AND($M494&lt;&gt;"",INDEX(職員マスタ!$H$6:$H$405,$AN494)&lt;&gt;"",$M494&lt;&gt;INDEX(職員マスタ!$H$6:$H$405,$AN494)),"時短終了日がマスタと相違／","")))&amp;IF(AND($B494&lt;&gt;"",$E494=""),"報酬額が未入力／","")&amp;IF(N($U494)&gt;0,"申請書に入力エラーが残っています／","")&amp;IF(AND($B494&lt;&gt;"",$AO494&lt;&gt;""),IF(COUNTIFS($B$6:$B$3005,$B494,$C$6:$C$3005,$C494,$D$6:$D$3005,$D494)&gt;1,"同じ月の請求が重複しています／",""),"")&amp;IF(AND(N($E494)&gt;0,$Z494&lt;&gt;"",$Z494&lt;&gt;"×",$AC494=0,$AB494=""),"計算額が下限以下のため不支給／",""))</f>
        <v/>
      </c>
      <c r="AL494" s="12" t="n"/>
      <c r="AM494" s="14">
        <f>IF($AD494="保留中",COUNTIF($AD$6:$AD494,"保留中"),"")</f>
        <v/>
      </c>
      <c r="AN494" s="14">
        <f>IF($AO494="","",IF(SUMPRODUCT(MAX((職員マスタ!$A$6:$A$405=$B494)*(((職員マスタ!$G$6:$G$405="")+(職員マスタ!$G$6:$G$405&lt;=EOMONTH($AO494,0)))&gt;0)*(((職員マスタ!$H$6:$H$405="")+(職員マスタ!$H$6:$H$405&gt;=$AO494))&gt;0)*(ROW(職員マスタ!$A$6:$A$405)-5)))&gt;0,SUMPRODUCT(MAX((職員マスタ!$A$6:$A$405=$B494)*(((職員マスタ!$G$6:$G$405="")+(職員マスタ!$G$6:$G$405&lt;=EOMONTH($AO494,0)))&gt;0)*(((職員マスタ!$H$6:$H$405="")+(職員マスタ!$H$6:$H$405&gt;=$AO494))&gt;0)*(ROW(職員マスタ!$A$6:$A$405)-5))),IFERROR(MATCH($B494,職員マスタ!$A$6:$A$405,0),"")))</f>
        <v/>
      </c>
      <c r="AO494" s="16">
        <f>IF(OR($B494="",$C494="",$D494=""),"",DATE($C494+2018,$D494,1))</f>
        <v/>
      </c>
    </row>
    <row r="495">
      <c r="A495" s="11" t="n"/>
      <c r="B495" s="12" t="n"/>
      <c r="C495" s="12" t="n"/>
      <c r="D495" s="12" t="n"/>
      <c r="E495" s="13" t="n"/>
      <c r="F495" s="12" t="n"/>
      <c r="G495" s="13" t="n"/>
      <c r="H495" s="12" t="n"/>
      <c r="I495" s="12" t="n"/>
      <c r="J495" s="12" t="n"/>
      <c r="K495" s="12" t="n"/>
      <c r="L495" s="11" t="n"/>
      <c r="M495" s="11" t="n"/>
      <c r="N495" s="11" t="n"/>
      <c r="O495" s="11" t="n"/>
      <c r="P495" s="12" t="n"/>
      <c r="Q495" s="11" t="n"/>
      <c r="R495" s="12" t="n"/>
      <c r="S495" s="11" t="n"/>
      <c r="T495" s="12" t="n"/>
      <c r="U495" s="12" t="n"/>
      <c r="V495" s="14">
        <f>IF($AN495="",IF($B495="","",$H495),IF(INDEX(職員マスタ!$B$6:$B$405,$AN495)="",$H495,INDEX(職員マスタ!$B$6:$B$405,$AN495)))</f>
        <v/>
      </c>
      <c r="W495" s="14">
        <f>IF($AN495="",IF($B495="","",$R495),IF(INDEX(職員マスタ!$C$6:$C$405,$AN495)="",$R495,INDEX(職員マスタ!$C$6:$C$405,$AN495)))</f>
        <v/>
      </c>
      <c r="X495" s="14">
        <f>IF($AO495="","","R"&amp;$C495&amp;"."&amp;$D495)</f>
        <v/>
      </c>
      <c r="Y495" s="15">
        <f>IF($AN495="","",IF(INDEX(職員マスタ!$K$6:$K$405,$AN495)="","",INDEX(職員マスタ!$K$6:$K$405,$AN495)))</f>
        <v/>
      </c>
      <c r="Z495" s="14">
        <f>IF(OR($E495="",$Y495=""),"",IF($E495&gt;=$Y495,"×",IF($E495&gt;=$Y495*設定!$C$5,"△","○")))</f>
        <v/>
      </c>
      <c r="AA495" s="15">
        <f>IF($Z495="","",IF($Z495="×",0,IF($Z495="○",ROUNDDOWN($E495*設定!$C$4,0),ROUNDDOWN($E495*ROUND((9*$Y495-9*$E495)/(10*$E495),4),0))))</f>
        <v/>
      </c>
      <c r="AB495" s="13" t="n"/>
      <c r="AC495" s="15">
        <f>IF($B495="","",IF($AB495&lt;&gt;"",$AB495,IF($AA495="","",IF($AA495&lt;=設定!$C$3,0,$AA495))))</f>
        <v/>
      </c>
      <c r="AD495" s="14">
        <f>IF($B495="","",IF(AND($AE495&lt;&gt;"",$AG495="",$AJ495=""),"保留中",IF($AJ495&lt;&gt;"",IF(N($AC495)&gt;0,"支給済","不支給"),IF($AC495="","要確認",IF($AC495=0,"不支給","未処理")))))</f>
        <v/>
      </c>
      <c r="AE495" s="12" t="n"/>
      <c r="AF495" s="11" t="n"/>
      <c r="AG495" s="11" t="n"/>
      <c r="AH495" s="11" t="n"/>
      <c r="AI495" s="14">
        <f>IF(AND($AD495="保留中",$AF495&lt;&gt;""),TODAY()-$AF495,"")</f>
        <v/>
      </c>
      <c r="AJ495" s="12" t="n"/>
      <c r="AK495" s="14">
        <f>IF($B495="","",IF($AO495="","対象年月が未入力／","")&amp;IF($B495="","",IF($AN495="","職員マスタに未登録の職員番号／",IF($Y495="","標準報酬月額が未登録／","")&amp;IF(AND($AO495&lt;&gt;"",OR(AND(INDEX(職員マスタ!$G$6:$G$405,$AN495)&lt;&gt;"",INDEX(職員マスタ!$G$6:$G$405,$AN495)&gt;EOMONTH($AO495,0)),AND(INDEX(職員マスタ!$H$6:$H$405,$AN495)&lt;&gt;"",INDEX(職員マスタ!$H$6:$H$405,$AN495)&lt;$AO495))),"対象月が時短期間外／","")&amp;IF(AND(INDEX(職員マスタ!$F$6:$F$405,$AN495)&lt;&gt;"",$AO495&lt;&gt;"",INDEX(職員マスタ!$F$6:$F$405,$AN495)&lt;$AO495),"対象月に子が2歳到達済／","")&amp;IF(AND($H495&lt;&gt;"",INDEX(職員マスタ!$B$6:$B$405,$AN495)&lt;&gt;"",SUBSTITUTE(SUBSTITUTE($H495," ","")," ","")&lt;&gt;SUBSTITUTE(SUBSTITUTE(INDEX(職員マスタ!$B$6:$B$405,$AN495)," ","")," ","")),"氏名がマスタと相違／","")&amp;IF(AND($Q495&lt;&gt;"",INDEX(職員マスタ!$E$6:$E$405,$AN495)&lt;&gt;"",$Q495&lt;&gt;INDEX(職員マスタ!$E$6:$E$405,$AN495)),"子の生年月日がマスタと相違／","")&amp;IF(AND($L495&lt;&gt;"",INDEX(職員マスタ!$G$6:$G$405,$AN495)&lt;&gt;"",$L495&lt;&gt;INDEX(職員マスタ!$G$6:$G$405,$AN495)),"時短開始日がマスタと相違／","")&amp;IF(AND($M495&lt;&gt;"",INDEX(職員マスタ!$H$6:$H$405,$AN495)&lt;&gt;"",$M495&lt;&gt;INDEX(職員マスタ!$H$6:$H$405,$AN495)),"時短終了日がマスタと相違／","")))&amp;IF(AND($B495&lt;&gt;"",$E495=""),"報酬額が未入力／","")&amp;IF(N($U495)&gt;0,"申請書に入力エラーが残っています／","")&amp;IF(AND($B495&lt;&gt;"",$AO495&lt;&gt;""),IF(COUNTIFS($B$6:$B$3005,$B495,$C$6:$C$3005,$C495,$D$6:$D$3005,$D495)&gt;1,"同じ月の請求が重複しています／",""),"")&amp;IF(AND(N($E495)&gt;0,$Z495&lt;&gt;"",$Z495&lt;&gt;"×",$AC495=0,$AB495=""),"計算額が下限以下のため不支給／",""))</f>
        <v/>
      </c>
      <c r="AL495" s="12" t="n"/>
      <c r="AM495" s="14">
        <f>IF($AD495="保留中",COUNTIF($AD$6:$AD495,"保留中"),"")</f>
        <v/>
      </c>
      <c r="AN495" s="14">
        <f>IF($AO495="","",IF(SUMPRODUCT(MAX((職員マスタ!$A$6:$A$405=$B495)*(((職員マスタ!$G$6:$G$405="")+(職員マスタ!$G$6:$G$405&lt;=EOMONTH($AO495,0)))&gt;0)*(((職員マスタ!$H$6:$H$405="")+(職員マスタ!$H$6:$H$405&gt;=$AO495))&gt;0)*(ROW(職員マスタ!$A$6:$A$405)-5)))&gt;0,SUMPRODUCT(MAX((職員マスタ!$A$6:$A$405=$B495)*(((職員マスタ!$G$6:$G$405="")+(職員マスタ!$G$6:$G$405&lt;=EOMONTH($AO495,0)))&gt;0)*(((職員マスタ!$H$6:$H$405="")+(職員マスタ!$H$6:$H$405&gt;=$AO495))&gt;0)*(ROW(職員マスタ!$A$6:$A$405)-5))),IFERROR(MATCH($B495,職員マスタ!$A$6:$A$405,0),"")))</f>
        <v/>
      </c>
      <c r="AO495" s="16">
        <f>IF(OR($B495="",$C495="",$D495=""),"",DATE($C495+2018,$D495,1))</f>
        <v/>
      </c>
    </row>
    <row r="496">
      <c r="A496" s="11" t="n"/>
      <c r="B496" s="12" t="n"/>
      <c r="C496" s="12" t="n"/>
      <c r="D496" s="12" t="n"/>
      <c r="E496" s="13" t="n"/>
      <c r="F496" s="12" t="n"/>
      <c r="G496" s="13" t="n"/>
      <c r="H496" s="12" t="n"/>
      <c r="I496" s="12" t="n"/>
      <c r="J496" s="12" t="n"/>
      <c r="K496" s="12" t="n"/>
      <c r="L496" s="11" t="n"/>
      <c r="M496" s="11" t="n"/>
      <c r="N496" s="11" t="n"/>
      <c r="O496" s="11" t="n"/>
      <c r="P496" s="12" t="n"/>
      <c r="Q496" s="11" t="n"/>
      <c r="R496" s="12" t="n"/>
      <c r="S496" s="11" t="n"/>
      <c r="T496" s="12" t="n"/>
      <c r="U496" s="12" t="n"/>
      <c r="V496" s="14">
        <f>IF($AN496="",IF($B496="","",$H496),IF(INDEX(職員マスタ!$B$6:$B$405,$AN496)="",$H496,INDEX(職員マスタ!$B$6:$B$405,$AN496)))</f>
        <v/>
      </c>
      <c r="W496" s="14">
        <f>IF($AN496="",IF($B496="","",$R496),IF(INDEX(職員マスタ!$C$6:$C$405,$AN496)="",$R496,INDEX(職員マスタ!$C$6:$C$405,$AN496)))</f>
        <v/>
      </c>
      <c r="X496" s="14">
        <f>IF($AO496="","","R"&amp;$C496&amp;"."&amp;$D496)</f>
        <v/>
      </c>
      <c r="Y496" s="15">
        <f>IF($AN496="","",IF(INDEX(職員マスタ!$K$6:$K$405,$AN496)="","",INDEX(職員マスタ!$K$6:$K$405,$AN496)))</f>
        <v/>
      </c>
      <c r="Z496" s="14">
        <f>IF(OR($E496="",$Y496=""),"",IF($E496&gt;=$Y496,"×",IF($E496&gt;=$Y496*設定!$C$5,"△","○")))</f>
        <v/>
      </c>
      <c r="AA496" s="15">
        <f>IF($Z496="","",IF($Z496="×",0,IF($Z496="○",ROUNDDOWN($E496*設定!$C$4,0),ROUNDDOWN($E496*ROUND((9*$Y496-9*$E496)/(10*$E496),4),0))))</f>
        <v/>
      </c>
      <c r="AB496" s="13" t="n"/>
      <c r="AC496" s="15">
        <f>IF($B496="","",IF($AB496&lt;&gt;"",$AB496,IF($AA496="","",IF($AA496&lt;=設定!$C$3,0,$AA496))))</f>
        <v/>
      </c>
      <c r="AD496" s="14">
        <f>IF($B496="","",IF(AND($AE496&lt;&gt;"",$AG496="",$AJ496=""),"保留中",IF($AJ496&lt;&gt;"",IF(N($AC496)&gt;0,"支給済","不支給"),IF($AC496="","要確認",IF($AC496=0,"不支給","未処理")))))</f>
        <v/>
      </c>
      <c r="AE496" s="12" t="n"/>
      <c r="AF496" s="11" t="n"/>
      <c r="AG496" s="11" t="n"/>
      <c r="AH496" s="11" t="n"/>
      <c r="AI496" s="14">
        <f>IF(AND($AD496="保留中",$AF496&lt;&gt;""),TODAY()-$AF496,"")</f>
        <v/>
      </c>
      <c r="AJ496" s="12" t="n"/>
      <c r="AK496" s="14">
        <f>IF($B496="","",IF($AO496="","対象年月が未入力／","")&amp;IF($B496="","",IF($AN496="","職員マスタに未登録の職員番号／",IF($Y496="","標準報酬月額が未登録／","")&amp;IF(AND($AO496&lt;&gt;"",OR(AND(INDEX(職員マスタ!$G$6:$G$405,$AN496)&lt;&gt;"",INDEX(職員マスタ!$G$6:$G$405,$AN496)&gt;EOMONTH($AO496,0)),AND(INDEX(職員マスタ!$H$6:$H$405,$AN496)&lt;&gt;"",INDEX(職員マスタ!$H$6:$H$405,$AN496)&lt;$AO496))),"対象月が時短期間外／","")&amp;IF(AND(INDEX(職員マスタ!$F$6:$F$405,$AN496)&lt;&gt;"",$AO496&lt;&gt;"",INDEX(職員マスタ!$F$6:$F$405,$AN496)&lt;$AO496),"対象月に子が2歳到達済／","")&amp;IF(AND($H496&lt;&gt;"",INDEX(職員マスタ!$B$6:$B$405,$AN496)&lt;&gt;"",SUBSTITUTE(SUBSTITUTE($H496," ","")," ","")&lt;&gt;SUBSTITUTE(SUBSTITUTE(INDEX(職員マスタ!$B$6:$B$405,$AN496)," ","")," ","")),"氏名がマスタと相違／","")&amp;IF(AND($Q496&lt;&gt;"",INDEX(職員マスタ!$E$6:$E$405,$AN496)&lt;&gt;"",$Q496&lt;&gt;INDEX(職員マスタ!$E$6:$E$405,$AN496)),"子の生年月日がマスタと相違／","")&amp;IF(AND($L496&lt;&gt;"",INDEX(職員マスタ!$G$6:$G$405,$AN496)&lt;&gt;"",$L496&lt;&gt;INDEX(職員マスタ!$G$6:$G$405,$AN496)),"時短開始日がマスタと相違／","")&amp;IF(AND($M496&lt;&gt;"",INDEX(職員マスタ!$H$6:$H$405,$AN496)&lt;&gt;"",$M496&lt;&gt;INDEX(職員マスタ!$H$6:$H$405,$AN496)),"時短終了日がマスタと相違／","")))&amp;IF(AND($B496&lt;&gt;"",$E496=""),"報酬額が未入力／","")&amp;IF(N($U496)&gt;0,"申請書に入力エラーが残っています／","")&amp;IF(AND($B496&lt;&gt;"",$AO496&lt;&gt;""),IF(COUNTIFS($B$6:$B$3005,$B496,$C$6:$C$3005,$C496,$D$6:$D$3005,$D496)&gt;1,"同じ月の請求が重複しています／",""),"")&amp;IF(AND(N($E496)&gt;0,$Z496&lt;&gt;"",$Z496&lt;&gt;"×",$AC496=0,$AB496=""),"計算額が下限以下のため不支給／",""))</f>
        <v/>
      </c>
      <c r="AL496" s="12" t="n"/>
      <c r="AM496" s="14">
        <f>IF($AD496="保留中",COUNTIF($AD$6:$AD496,"保留中"),"")</f>
        <v/>
      </c>
      <c r="AN496" s="14">
        <f>IF($AO496="","",IF(SUMPRODUCT(MAX((職員マスタ!$A$6:$A$405=$B496)*(((職員マスタ!$G$6:$G$405="")+(職員マスタ!$G$6:$G$405&lt;=EOMONTH($AO496,0)))&gt;0)*(((職員マスタ!$H$6:$H$405="")+(職員マスタ!$H$6:$H$405&gt;=$AO496))&gt;0)*(ROW(職員マスタ!$A$6:$A$405)-5)))&gt;0,SUMPRODUCT(MAX((職員マスタ!$A$6:$A$405=$B496)*(((職員マスタ!$G$6:$G$405="")+(職員マスタ!$G$6:$G$405&lt;=EOMONTH($AO496,0)))&gt;0)*(((職員マスタ!$H$6:$H$405="")+(職員マスタ!$H$6:$H$405&gt;=$AO496))&gt;0)*(ROW(職員マスタ!$A$6:$A$405)-5))),IFERROR(MATCH($B496,職員マスタ!$A$6:$A$405,0),"")))</f>
        <v/>
      </c>
      <c r="AO496" s="16">
        <f>IF(OR($B496="",$C496="",$D496=""),"",DATE($C496+2018,$D496,1))</f>
        <v/>
      </c>
    </row>
    <row r="497">
      <c r="A497" s="11" t="n"/>
      <c r="B497" s="12" t="n"/>
      <c r="C497" s="12" t="n"/>
      <c r="D497" s="12" t="n"/>
      <c r="E497" s="13" t="n"/>
      <c r="F497" s="12" t="n"/>
      <c r="G497" s="13" t="n"/>
      <c r="H497" s="12" t="n"/>
      <c r="I497" s="12" t="n"/>
      <c r="J497" s="12" t="n"/>
      <c r="K497" s="12" t="n"/>
      <c r="L497" s="11" t="n"/>
      <c r="M497" s="11" t="n"/>
      <c r="N497" s="11" t="n"/>
      <c r="O497" s="11" t="n"/>
      <c r="P497" s="12" t="n"/>
      <c r="Q497" s="11" t="n"/>
      <c r="R497" s="12" t="n"/>
      <c r="S497" s="11" t="n"/>
      <c r="T497" s="12" t="n"/>
      <c r="U497" s="12" t="n"/>
      <c r="V497" s="14">
        <f>IF($AN497="",IF($B497="","",$H497),IF(INDEX(職員マスタ!$B$6:$B$405,$AN497)="",$H497,INDEX(職員マスタ!$B$6:$B$405,$AN497)))</f>
        <v/>
      </c>
      <c r="W497" s="14">
        <f>IF($AN497="",IF($B497="","",$R497),IF(INDEX(職員マスタ!$C$6:$C$405,$AN497)="",$R497,INDEX(職員マスタ!$C$6:$C$405,$AN497)))</f>
        <v/>
      </c>
      <c r="X497" s="14">
        <f>IF($AO497="","","R"&amp;$C497&amp;"."&amp;$D497)</f>
        <v/>
      </c>
      <c r="Y497" s="15">
        <f>IF($AN497="","",IF(INDEX(職員マスタ!$K$6:$K$405,$AN497)="","",INDEX(職員マスタ!$K$6:$K$405,$AN497)))</f>
        <v/>
      </c>
      <c r="Z497" s="14">
        <f>IF(OR($E497="",$Y497=""),"",IF($E497&gt;=$Y497,"×",IF($E497&gt;=$Y497*設定!$C$5,"△","○")))</f>
        <v/>
      </c>
      <c r="AA497" s="15">
        <f>IF($Z497="","",IF($Z497="×",0,IF($Z497="○",ROUNDDOWN($E497*設定!$C$4,0),ROUNDDOWN($E497*ROUND((9*$Y497-9*$E497)/(10*$E497),4),0))))</f>
        <v/>
      </c>
      <c r="AB497" s="13" t="n"/>
      <c r="AC497" s="15">
        <f>IF($B497="","",IF($AB497&lt;&gt;"",$AB497,IF($AA497="","",IF($AA497&lt;=設定!$C$3,0,$AA497))))</f>
        <v/>
      </c>
      <c r="AD497" s="14">
        <f>IF($B497="","",IF(AND($AE497&lt;&gt;"",$AG497="",$AJ497=""),"保留中",IF($AJ497&lt;&gt;"",IF(N($AC497)&gt;0,"支給済","不支給"),IF($AC497="","要確認",IF($AC497=0,"不支給","未処理")))))</f>
        <v/>
      </c>
      <c r="AE497" s="12" t="n"/>
      <c r="AF497" s="11" t="n"/>
      <c r="AG497" s="11" t="n"/>
      <c r="AH497" s="11" t="n"/>
      <c r="AI497" s="14">
        <f>IF(AND($AD497="保留中",$AF497&lt;&gt;""),TODAY()-$AF497,"")</f>
        <v/>
      </c>
      <c r="AJ497" s="12" t="n"/>
      <c r="AK497" s="14">
        <f>IF($B497="","",IF($AO497="","対象年月が未入力／","")&amp;IF($B497="","",IF($AN497="","職員マスタに未登録の職員番号／",IF($Y497="","標準報酬月額が未登録／","")&amp;IF(AND($AO497&lt;&gt;"",OR(AND(INDEX(職員マスタ!$G$6:$G$405,$AN497)&lt;&gt;"",INDEX(職員マスタ!$G$6:$G$405,$AN497)&gt;EOMONTH($AO497,0)),AND(INDEX(職員マスタ!$H$6:$H$405,$AN497)&lt;&gt;"",INDEX(職員マスタ!$H$6:$H$405,$AN497)&lt;$AO497))),"対象月が時短期間外／","")&amp;IF(AND(INDEX(職員マスタ!$F$6:$F$405,$AN497)&lt;&gt;"",$AO497&lt;&gt;"",INDEX(職員マスタ!$F$6:$F$405,$AN497)&lt;$AO497),"対象月に子が2歳到達済／","")&amp;IF(AND($H497&lt;&gt;"",INDEX(職員マスタ!$B$6:$B$405,$AN497)&lt;&gt;"",SUBSTITUTE(SUBSTITUTE($H497," ","")," ","")&lt;&gt;SUBSTITUTE(SUBSTITUTE(INDEX(職員マスタ!$B$6:$B$405,$AN497)," ","")," ","")),"氏名がマスタと相違／","")&amp;IF(AND($Q497&lt;&gt;"",INDEX(職員マスタ!$E$6:$E$405,$AN497)&lt;&gt;"",$Q497&lt;&gt;INDEX(職員マスタ!$E$6:$E$405,$AN497)),"子の生年月日がマスタと相違／","")&amp;IF(AND($L497&lt;&gt;"",INDEX(職員マスタ!$G$6:$G$405,$AN497)&lt;&gt;"",$L497&lt;&gt;INDEX(職員マスタ!$G$6:$G$405,$AN497)),"時短開始日がマスタと相違／","")&amp;IF(AND($M497&lt;&gt;"",INDEX(職員マスタ!$H$6:$H$405,$AN497)&lt;&gt;"",$M497&lt;&gt;INDEX(職員マスタ!$H$6:$H$405,$AN497)),"時短終了日がマスタと相違／","")))&amp;IF(AND($B497&lt;&gt;"",$E497=""),"報酬額が未入力／","")&amp;IF(N($U497)&gt;0,"申請書に入力エラーが残っています／","")&amp;IF(AND($B497&lt;&gt;"",$AO497&lt;&gt;""),IF(COUNTIFS($B$6:$B$3005,$B497,$C$6:$C$3005,$C497,$D$6:$D$3005,$D497)&gt;1,"同じ月の請求が重複しています／",""),"")&amp;IF(AND(N($E497)&gt;0,$Z497&lt;&gt;"",$Z497&lt;&gt;"×",$AC497=0,$AB497=""),"計算額が下限以下のため不支給／",""))</f>
        <v/>
      </c>
      <c r="AL497" s="12" t="n"/>
      <c r="AM497" s="14">
        <f>IF($AD497="保留中",COUNTIF($AD$6:$AD497,"保留中"),"")</f>
        <v/>
      </c>
      <c r="AN497" s="14">
        <f>IF($AO497="","",IF(SUMPRODUCT(MAX((職員マスタ!$A$6:$A$405=$B497)*(((職員マスタ!$G$6:$G$405="")+(職員マスタ!$G$6:$G$405&lt;=EOMONTH($AO497,0)))&gt;0)*(((職員マスタ!$H$6:$H$405="")+(職員マスタ!$H$6:$H$405&gt;=$AO497))&gt;0)*(ROW(職員マスタ!$A$6:$A$405)-5)))&gt;0,SUMPRODUCT(MAX((職員マスタ!$A$6:$A$405=$B497)*(((職員マスタ!$G$6:$G$405="")+(職員マスタ!$G$6:$G$405&lt;=EOMONTH($AO497,0)))&gt;0)*(((職員マスタ!$H$6:$H$405="")+(職員マスタ!$H$6:$H$405&gt;=$AO497))&gt;0)*(ROW(職員マスタ!$A$6:$A$405)-5))),IFERROR(MATCH($B497,職員マスタ!$A$6:$A$405,0),"")))</f>
        <v/>
      </c>
      <c r="AO497" s="16">
        <f>IF(OR($B497="",$C497="",$D497=""),"",DATE($C497+2018,$D497,1))</f>
        <v/>
      </c>
    </row>
    <row r="498">
      <c r="A498" s="11" t="n"/>
      <c r="B498" s="12" t="n"/>
      <c r="C498" s="12" t="n"/>
      <c r="D498" s="12" t="n"/>
      <c r="E498" s="13" t="n"/>
      <c r="F498" s="12" t="n"/>
      <c r="G498" s="13" t="n"/>
      <c r="H498" s="12" t="n"/>
      <c r="I498" s="12" t="n"/>
      <c r="J498" s="12" t="n"/>
      <c r="K498" s="12" t="n"/>
      <c r="L498" s="11" t="n"/>
      <c r="M498" s="11" t="n"/>
      <c r="N498" s="11" t="n"/>
      <c r="O498" s="11" t="n"/>
      <c r="P498" s="12" t="n"/>
      <c r="Q498" s="11" t="n"/>
      <c r="R498" s="12" t="n"/>
      <c r="S498" s="11" t="n"/>
      <c r="T498" s="12" t="n"/>
      <c r="U498" s="12" t="n"/>
      <c r="V498" s="14">
        <f>IF($AN498="",IF($B498="","",$H498),IF(INDEX(職員マスタ!$B$6:$B$405,$AN498)="",$H498,INDEX(職員マスタ!$B$6:$B$405,$AN498)))</f>
        <v/>
      </c>
      <c r="W498" s="14">
        <f>IF($AN498="",IF($B498="","",$R498),IF(INDEX(職員マスタ!$C$6:$C$405,$AN498)="",$R498,INDEX(職員マスタ!$C$6:$C$405,$AN498)))</f>
        <v/>
      </c>
      <c r="X498" s="14">
        <f>IF($AO498="","","R"&amp;$C498&amp;"."&amp;$D498)</f>
        <v/>
      </c>
      <c r="Y498" s="15">
        <f>IF($AN498="","",IF(INDEX(職員マスタ!$K$6:$K$405,$AN498)="","",INDEX(職員マスタ!$K$6:$K$405,$AN498)))</f>
        <v/>
      </c>
      <c r="Z498" s="14">
        <f>IF(OR($E498="",$Y498=""),"",IF($E498&gt;=$Y498,"×",IF($E498&gt;=$Y498*設定!$C$5,"△","○")))</f>
        <v/>
      </c>
      <c r="AA498" s="15">
        <f>IF($Z498="","",IF($Z498="×",0,IF($Z498="○",ROUNDDOWN($E498*設定!$C$4,0),ROUNDDOWN($E498*ROUND((9*$Y498-9*$E498)/(10*$E498),4),0))))</f>
        <v/>
      </c>
      <c r="AB498" s="13" t="n"/>
      <c r="AC498" s="15">
        <f>IF($B498="","",IF($AB498&lt;&gt;"",$AB498,IF($AA498="","",IF($AA498&lt;=設定!$C$3,0,$AA498))))</f>
        <v/>
      </c>
      <c r="AD498" s="14">
        <f>IF($B498="","",IF(AND($AE498&lt;&gt;"",$AG498="",$AJ498=""),"保留中",IF($AJ498&lt;&gt;"",IF(N($AC498)&gt;0,"支給済","不支給"),IF($AC498="","要確認",IF($AC498=0,"不支給","未処理")))))</f>
        <v/>
      </c>
      <c r="AE498" s="12" t="n"/>
      <c r="AF498" s="11" t="n"/>
      <c r="AG498" s="11" t="n"/>
      <c r="AH498" s="11" t="n"/>
      <c r="AI498" s="14">
        <f>IF(AND($AD498="保留中",$AF498&lt;&gt;""),TODAY()-$AF498,"")</f>
        <v/>
      </c>
      <c r="AJ498" s="12" t="n"/>
      <c r="AK498" s="14">
        <f>IF($B498="","",IF($AO498="","対象年月が未入力／","")&amp;IF($B498="","",IF($AN498="","職員マスタに未登録の職員番号／",IF($Y498="","標準報酬月額が未登録／","")&amp;IF(AND($AO498&lt;&gt;"",OR(AND(INDEX(職員マスタ!$G$6:$G$405,$AN498)&lt;&gt;"",INDEX(職員マスタ!$G$6:$G$405,$AN498)&gt;EOMONTH($AO498,0)),AND(INDEX(職員マスタ!$H$6:$H$405,$AN498)&lt;&gt;"",INDEX(職員マスタ!$H$6:$H$405,$AN498)&lt;$AO498))),"対象月が時短期間外／","")&amp;IF(AND(INDEX(職員マスタ!$F$6:$F$405,$AN498)&lt;&gt;"",$AO498&lt;&gt;"",INDEX(職員マスタ!$F$6:$F$405,$AN498)&lt;$AO498),"対象月に子が2歳到達済／","")&amp;IF(AND($H498&lt;&gt;"",INDEX(職員マスタ!$B$6:$B$405,$AN498)&lt;&gt;"",SUBSTITUTE(SUBSTITUTE($H498," ","")," ","")&lt;&gt;SUBSTITUTE(SUBSTITUTE(INDEX(職員マスタ!$B$6:$B$405,$AN498)," ","")," ","")),"氏名がマスタと相違／","")&amp;IF(AND($Q498&lt;&gt;"",INDEX(職員マスタ!$E$6:$E$405,$AN498)&lt;&gt;"",$Q498&lt;&gt;INDEX(職員マスタ!$E$6:$E$405,$AN498)),"子の生年月日がマスタと相違／","")&amp;IF(AND($L498&lt;&gt;"",INDEX(職員マスタ!$G$6:$G$405,$AN498)&lt;&gt;"",$L498&lt;&gt;INDEX(職員マスタ!$G$6:$G$405,$AN498)),"時短開始日がマスタと相違／","")&amp;IF(AND($M498&lt;&gt;"",INDEX(職員マスタ!$H$6:$H$405,$AN498)&lt;&gt;"",$M498&lt;&gt;INDEX(職員マスタ!$H$6:$H$405,$AN498)),"時短終了日がマスタと相違／","")))&amp;IF(AND($B498&lt;&gt;"",$E498=""),"報酬額が未入力／","")&amp;IF(N($U498)&gt;0,"申請書に入力エラーが残っています／","")&amp;IF(AND($B498&lt;&gt;"",$AO498&lt;&gt;""),IF(COUNTIFS($B$6:$B$3005,$B498,$C$6:$C$3005,$C498,$D$6:$D$3005,$D498)&gt;1,"同じ月の請求が重複しています／",""),"")&amp;IF(AND(N($E498)&gt;0,$Z498&lt;&gt;"",$Z498&lt;&gt;"×",$AC498=0,$AB498=""),"計算額が下限以下のため不支給／",""))</f>
        <v/>
      </c>
      <c r="AL498" s="12" t="n"/>
      <c r="AM498" s="14">
        <f>IF($AD498="保留中",COUNTIF($AD$6:$AD498,"保留中"),"")</f>
        <v/>
      </c>
      <c r="AN498" s="14">
        <f>IF($AO498="","",IF(SUMPRODUCT(MAX((職員マスタ!$A$6:$A$405=$B498)*(((職員マスタ!$G$6:$G$405="")+(職員マスタ!$G$6:$G$405&lt;=EOMONTH($AO498,0)))&gt;0)*(((職員マスタ!$H$6:$H$405="")+(職員マスタ!$H$6:$H$405&gt;=$AO498))&gt;0)*(ROW(職員マスタ!$A$6:$A$405)-5)))&gt;0,SUMPRODUCT(MAX((職員マスタ!$A$6:$A$405=$B498)*(((職員マスタ!$G$6:$G$405="")+(職員マスタ!$G$6:$G$405&lt;=EOMONTH($AO498,0)))&gt;0)*(((職員マスタ!$H$6:$H$405="")+(職員マスタ!$H$6:$H$405&gt;=$AO498))&gt;0)*(ROW(職員マスタ!$A$6:$A$405)-5))),IFERROR(MATCH($B498,職員マスタ!$A$6:$A$405,0),"")))</f>
        <v/>
      </c>
      <c r="AO498" s="16">
        <f>IF(OR($B498="",$C498="",$D498=""),"",DATE($C498+2018,$D498,1))</f>
        <v/>
      </c>
    </row>
    <row r="499">
      <c r="A499" s="11" t="n"/>
      <c r="B499" s="12" t="n"/>
      <c r="C499" s="12" t="n"/>
      <c r="D499" s="12" t="n"/>
      <c r="E499" s="13" t="n"/>
      <c r="F499" s="12" t="n"/>
      <c r="G499" s="13" t="n"/>
      <c r="H499" s="12" t="n"/>
      <c r="I499" s="12" t="n"/>
      <c r="J499" s="12" t="n"/>
      <c r="K499" s="12" t="n"/>
      <c r="L499" s="11" t="n"/>
      <c r="M499" s="11" t="n"/>
      <c r="N499" s="11" t="n"/>
      <c r="O499" s="11" t="n"/>
      <c r="P499" s="12" t="n"/>
      <c r="Q499" s="11" t="n"/>
      <c r="R499" s="12" t="n"/>
      <c r="S499" s="11" t="n"/>
      <c r="T499" s="12" t="n"/>
      <c r="U499" s="12" t="n"/>
      <c r="V499" s="14">
        <f>IF($AN499="",IF($B499="","",$H499),IF(INDEX(職員マスタ!$B$6:$B$405,$AN499)="",$H499,INDEX(職員マスタ!$B$6:$B$405,$AN499)))</f>
        <v/>
      </c>
      <c r="W499" s="14">
        <f>IF($AN499="",IF($B499="","",$R499),IF(INDEX(職員マスタ!$C$6:$C$405,$AN499)="",$R499,INDEX(職員マスタ!$C$6:$C$405,$AN499)))</f>
        <v/>
      </c>
      <c r="X499" s="14">
        <f>IF($AO499="","","R"&amp;$C499&amp;"."&amp;$D499)</f>
        <v/>
      </c>
      <c r="Y499" s="15">
        <f>IF($AN499="","",IF(INDEX(職員マスタ!$K$6:$K$405,$AN499)="","",INDEX(職員マスタ!$K$6:$K$405,$AN499)))</f>
        <v/>
      </c>
      <c r="Z499" s="14">
        <f>IF(OR($E499="",$Y499=""),"",IF($E499&gt;=$Y499,"×",IF($E499&gt;=$Y499*設定!$C$5,"△","○")))</f>
        <v/>
      </c>
      <c r="AA499" s="15">
        <f>IF($Z499="","",IF($Z499="×",0,IF($Z499="○",ROUNDDOWN($E499*設定!$C$4,0),ROUNDDOWN($E499*ROUND((9*$Y499-9*$E499)/(10*$E499),4),0))))</f>
        <v/>
      </c>
      <c r="AB499" s="13" t="n"/>
      <c r="AC499" s="15">
        <f>IF($B499="","",IF($AB499&lt;&gt;"",$AB499,IF($AA499="","",IF($AA499&lt;=設定!$C$3,0,$AA499))))</f>
        <v/>
      </c>
      <c r="AD499" s="14">
        <f>IF($B499="","",IF(AND($AE499&lt;&gt;"",$AG499="",$AJ499=""),"保留中",IF($AJ499&lt;&gt;"",IF(N($AC499)&gt;0,"支給済","不支給"),IF($AC499="","要確認",IF($AC499=0,"不支給","未処理")))))</f>
        <v/>
      </c>
      <c r="AE499" s="12" t="n"/>
      <c r="AF499" s="11" t="n"/>
      <c r="AG499" s="11" t="n"/>
      <c r="AH499" s="11" t="n"/>
      <c r="AI499" s="14">
        <f>IF(AND($AD499="保留中",$AF499&lt;&gt;""),TODAY()-$AF499,"")</f>
        <v/>
      </c>
      <c r="AJ499" s="12" t="n"/>
      <c r="AK499" s="14">
        <f>IF($B499="","",IF($AO499="","対象年月が未入力／","")&amp;IF($B499="","",IF($AN499="","職員マスタに未登録の職員番号／",IF($Y499="","標準報酬月額が未登録／","")&amp;IF(AND($AO499&lt;&gt;"",OR(AND(INDEX(職員マスタ!$G$6:$G$405,$AN499)&lt;&gt;"",INDEX(職員マスタ!$G$6:$G$405,$AN499)&gt;EOMONTH($AO499,0)),AND(INDEX(職員マスタ!$H$6:$H$405,$AN499)&lt;&gt;"",INDEX(職員マスタ!$H$6:$H$405,$AN499)&lt;$AO499))),"対象月が時短期間外／","")&amp;IF(AND(INDEX(職員マスタ!$F$6:$F$405,$AN499)&lt;&gt;"",$AO499&lt;&gt;"",INDEX(職員マスタ!$F$6:$F$405,$AN499)&lt;$AO499),"対象月に子が2歳到達済／","")&amp;IF(AND($H499&lt;&gt;"",INDEX(職員マスタ!$B$6:$B$405,$AN499)&lt;&gt;"",SUBSTITUTE(SUBSTITUTE($H499," ","")," ","")&lt;&gt;SUBSTITUTE(SUBSTITUTE(INDEX(職員マスタ!$B$6:$B$405,$AN499)," ","")," ","")),"氏名がマスタと相違／","")&amp;IF(AND($Q499&lt;&gt;"",INDEX(職員マスタ!$E$6:$E$405,$AN499)&lt;&gt;"",$Q499&lt;&gt;INDEX(職員マスタ!$E$6:$E$405,$AN499)),"子の生年月日がマスタと相違／","")&amp;IF(AND($L499&lt;&gt;"",INDEX(職員マスタ!$G$6:$G$405,$AN499)&lt;&gt;"",$L499&lt;&gt;INDEX(職員マスタ!$G$6:$G$405,$AN499)),"時短開始日がマスタと相違／","")&amp;IF(AND($M499&lt;&gt;"",INDEX(職員マスタ!$H$6:$H$405,$AN499)&lt;&gt;"",$M499&lt;&gt;INDEX(職員マスタ!$H$6:$H$405,$AN499)),"時短終了日がマスタと相違／","")))&amp;IF(AND($B499&lt;&gt;"",$E499=""),"報酬額が未入力／","")&amp;IF(N($U499)&gt;0,"申請書に入力エラーが残っています／","")&amp;IF(AND($B499&lt;&gt;"",$AO499&lt;&gt;""),IF(COUNTIFS($B$6:$B$3005,$B499,$C$6:$C$3005,$C499,$D$6:$D$3005,$D499)&gt;1,"同じ月の請求が重複しています／",""),"")&amp;IF(AND(N($E499)&gt;0,$Z499&lt;&gt;"",$Z499&lt;&gt;"×",$AC499=0,$AB499=""),"計算額が下限以下のため不支給／",""))</f>
        <v/>
      </c>
      <c r="AL499" s="12" t="n"/>
      <c r="AM499" s="14">
        <f>IF($AD499="保留中",COUNTIF($AD$6:$AD499,"保留中"),"")</f>
        <v/>
      </c>
      <c r="AN499" s="14">
        <f>IF($AO499="","",IF(SUMPRODUCT(MAX((職員マスタ!$A$6:$A$405=$B499)*(((職員マスタ!$G$6:$G$405="")+(職員マスタ!$G$6:$G$405&lt;=EOMONTH($AO499,0)))&gt;0)*(((職員マスタ!$H$6:$H$405="")+(職員マスタ!$H$6:$H$405&gt;=$AO499))&gt;0)*(ROW(職員マスタ!$A$6:$A$405)-5)))&gt;0,SUMPRODUCT(MAX((職員マスタ!$A$6:$A$405=$B499)*(((職員マスタ!$G$6:$G$405="")+(職員マスタ!$G$6:$G$405&lt;=EOMONTH($AO499,0)))&gt;0)*(((職員マスタ!$H$6:$H$405="")+(職員マスタ!$H$6:$H$405&gt;=$AO499))&gt;0)*(ROW(職員マスタ!$A$6:$A$405)-5))),IFERROR(MATCH($B499,職員マスタ!$A$6:$A$405,0),"")))</f>
        <v/>
      </c>
      <c r="AO499" s="16">
        <f>IF(OR($B499="",$C499="",$D499=""),"",DATE($C499+2018,$D499,1))</f>
        <v/>
      </c>
    </row>
    <row r="500">
      <c r="A500" s="11" t="n"/>
      <c r="B500" s="12" t="n"/>
      <c r="C500" s="12" t="n"/>
      <c r="D500" s="12" t="n"/>
      <c r="E500" s="13" t="n"/>
      <c r="F500" s="12" t="n"/>
      <c r="G500" s="13" t="n"/>
      <c r="H500" s="12" t="n"/>
      <c r="I500" s="12" t="n"/>
      <c r="J500" s="12" t="n"/>
      <c r="K500" s="12" t="n"/>
      <c r="L500" s="11" t="n"/>
      <c r="M500" s="11" t="n"/>
      <c r="N500" s="11" t="n"/>
      <c r="O500" s="11" t="n"/>
      <c r="P500" s="12" t="n"/>
      <c r="Q500" s="11" t="n"/>
      <c r="R500" s="12" t="n"/>
      <c r="S500" s="11" t="n"/>
      <c r="T500" s="12" t="n"/>
      <c r="U500" s="12" t="n"/>
      <c r="V500" s="14">
        <f>IF($AN500="",IF($B500="","",$H500),IF(INDEX(職員マスタ!$B$6:$B$405,$AN500)="",$H500,INDEX(職員マスタ!$B$6:$B$405,$AN500)))</f>
        <v/>
      </c>
      <c r="W500" s="14">
        <f>IF($AN500="",IF($B500="","",$R500),IF(INDEX(職員マスタ!$C$6:$C$405,$AN500)="",$R500,INDEX(職員マスタ!$C$6:$C$405,$AN500)))</f>
        <v/>
      </c>
      <c r="X500" s="14">
        <f>IF($AO500="","","R"&amp;$C500&amp;"."&amp;$D500)</f>
        <v/>
      </c>
      <c r="Y500" s="15">
        <f>IF($AN500="","",IF(INDEX(職員マスタ!$K$6:$K$405,$AN500)="","",INDEX(職員マスタ!$K$6:$K$405,$AN500)))</f>
        <v/>
      </c>
      <c r="Z500" s="14">
        <f>IF(OR($E500="",$Y500=""),"",IF($E500&gt;=$Y500,"×",IF($E500&gt;=$Y500*設定!$C$5,"△","○")))</f>
        <v/>
      </c>
      <c r="AA500" s="15">
        <f>IF($Z500="","",IF($Z500="×",0,IF($Z500="○",ROUNDDOWN($E500*設定!$C$4,0),ROUNDDOWN($E500*ROUND((9*$Y500-9*$E500)/(10*$E500),4),0))))</f>
        <v/>
      </c>
      <c r="AB500" s="13" t="n"/>
      <c r="AC500" s="15">
        <f>IF($B500="","",IF($AB500&lt;&gt;"",$AB500,IF($AA500="","",IF($AA500&lt;=設定!$C$3,0,$AA500))))</f>
        <v/>
      </c>
      <c r="AD500" s="14">
        <f>IF($B500="","",IF(AND($AE500&lt;&gt;"",$AG500="",$AJ500=""),"保留中",IF($AJ500&lt;&gt;"",IF(N($AC500)&gt;0,"支給済","不支給"),IF($AC500="","要確認",IF($AC500=0,"不支給","未処理")))))</f>
        <v/>
      </c>
      <c r="AE500" s="12" t="n"/>
      <c r="AF500" s="11" t="n"/>
      <c r="AG500" s="11" t="n"/>
      <c r="AH500" s="11" t="n"/>
      <c r="AI500" s="14">
        <f>IF(AND($AD500="保留中",$AF500&lt;&gt;""),TODAY()-$AF500,"")</f>
        <v/>
      </c>
      <c r="AJ500" s="12" t="n"/>
      <c r="AK500" s="14">
        <f>IF($B500="","",IF($AO500="","対象年月が未入力／","")&amp;IF($B500="","",IF($AN500="","職員マスタに未登録の職員番号／",IF($Y500="","標準報酬月額が未登録／","")&amp;IF(AND($AO500&lt;&gt;"",OR(AND(INDEX(職員マスタ!$G$6:$G$405,$AN500)&lt;&gt;"",INDEX(職員マスタ!$G$6:$G$405,$AN500)&gt;EOMONTH($AO500,0)),AND(INDEX(職員マスタ!$H$6:$H$405,$AN500)&lt;&gt;"",INDEX(職員マスタ!$H$6:$H$405,$AN500)&lt;$AO500))),"対象月が時短期間外／","")&amp;IF(AND(INDEX(職員マスタ!$F$6:$F$405,$AN500)&lt;&gt;"",$AO500&lt;&gt;"",INDEX(職員マスタ!$F$6:$F$405,$AN500)&lt;$AO500),"対象月に子が2歳到達済／","")&amp;IF(AND($H500&lt;&gt;"",INDEX(職員マスタ!$B$6:$B$405,$AN500)&lt;&gt;"",SUBSTITUTE(SUBSTITUTE($H500," ","")," ","")&lt;&gt;SUBSTITUTE(SUBSTITUTE(INDEX(職員マスタ!$B$6:$B$405,$AN500)," ","")," ","")),"氏名がマスタと相違／","")&amp;IF(AND($Q500&lt;&gt;"",INDEX(職員マスタ!$E$6:$E$405,$AN500)&lt;&gt;"",$Q500&lt;&gt;INDEX(職員マスタ!$E$6:$E$405,$AN500)),"子の生年月日がマスタと相違／","")&amp;IF(AND($L500&lt;&gt;"",INDEX(職員マスタ!$G$6:$G$405,$AN500)&lt;&gt;"",$L500&lt;&gt;INDEX(職員マスタ!$G$6:$G$405,$AN500)),"時短開始日がマスタと相違／","")&amp;IF(AND($M500&lt;&gt;"",INDEX(職員マスタ!$H$6:$H$405,$AN500)&lt;&gt;"",$M500&lt;&gt;INDEX(職員マスタ!$H$6:$H$405,$AN500)),"時短終了日がマスタと相違／","")))&amp;IF(AND($B500&lt;&gt;"",$E500=""),"報酬額が未入力／","")&amp;IF(N($U500)&gt;0,"申請書に入力エラーが残っています／","")&amp;IF(AND($B500&lt;&gt;"",$AO500&lt;&gt;""),IF(COUNTIFS($B$6:$B$3005,$B500,$C$6:$C$3005,$C500,$D$6:$D$3005,$D500)&gt;1,"同じ月の請求が重複しています／",""),"")&amp;IF(AND(N($E500)&gt;0,$Z500&lt;&gt;"",$Z500&lt;&gt;"×",$AC500=0,$AB500=""),"計算額が下限以下のため不支給／",""))</f>
        <v/>
      </c>
      <c r="AL500" s="12" t="n"/>
      <c r="AM500" s="14">
        <f>IF($AD500="保留中",COUNTIF($AD$6:$AD500,"保留中"),"")</f>
        <v/>
      </c>
      <c r="AN500" s="14">
        <f>IF($AO500="","",IF(SUMPRODUCT(MAX((職員マスタ!$A$6:$A$405=$B500)*(((職員マスタ!$G$6:$G$405="")+(職員マスタ!$G$6:$G$405&lt;=EOMONTH($AO500,0)))&gt;0)*(((職員マスタ!$H$6:$H$405="")+(職員マスタ!$H$6:$H$405&gt;=$AO500))&gt;0)*(ROW(職員マスタ!$A$6:$A$405)-5)))&gt;0,SUMPRODUCT(MAX((職員マスタ!$A$6:$A$405=$B500)*(((職員マスタ!$G$6:$G$405="")+(職員マスタ!$G$6:$G$405&lt;=EOMONTH($AO500,0)))&gt;0)*(((職員マスタ!$H$6:$H$405="")+(職員マスタ!$H$6:$H$405&gt;=$AO500))&gt;0)*(ROW(職員マスタ!$A$6:$A$405)-5))),IFERROR(MATCH($B500,職員マスタ!$A$6:$A$405,0),"")))</f>
        <v/>
      </c>
      <c r="AO500" s="16">
        <f>IF(OR($B500="",$C500="",$D500=""),"",DATE($C500+2018,$D500,1))</f>
        <v/>
      </c>
    </row>
    <row r="501">
      <c r="A501" s="11" t="n"/>
      <c r="B501" s="12" t="n"/>
      <c r="C501" s="12" t="n"/>
      <c r="D501" s="12" t="n"/>
      <c r="E501" s="13" t="n"/>
      <c r="F501" s="12" t="n"/>
      <c r="G501" s="13" t="n"/>
      <c r="H501" s="12" t="n"/>
      <c r="I501" s="12" t="n"/>
      <c r="J501" s="12" t="n"/>
      <c r="K501" s="12" t="n"/>
      <c r="L501" s="11" t="n"/>
      <c r="M501" s="11" t="n"/>
      <c r="N501" s="11" t="n"/>
      <c r="O501" s="11" t="n"/>
      <c r="P501" s="12" t="n"/>
      <c r="Q501" s="11" t="n"/>
      <c r="R501" s="12" t="n"/>
      <c r="S501" s="11" t="n"/>
      <c r="T501" s="12" t="n"/>
      <c r="U501" s="12" t="n"/>
      <c r="V501" s="14">
        <f>IF($AN501="",IF($B501="","",$H501),IF(INDEX(職員マスタ!$B$6:$B$405,$AN501)="",$H501,INDEX(職員マスタ!$B$6:$B$405,$AN501)))</f>
        <v/>
      </c>
      <c r="W501" s="14">
        <f>IF($AN501="",IF($B501="","",$R501),IF(INDEX(職員マスタ!$C$6:$C$405,$AN501)="",$R501,INDEX(職員マスタ!$C$6:$C$405,$AN501)))</f>
        <v/>
      </c>
      <c r="X501" s="14">
        <f>IF($AO501="","","R"&amp;$C501&amp;"."&amp;$D501)</f>
        <v/>
      </c>
      <c r="Y501" s="15">
        <f>IF($AN501="","",IF(INDEX(職員マスタ!$K$6:$K$405,$AN501)="","",INDEX(職員マスタ!$K$6:$K$405,$AN501)))</f>
        <v/>
      </c>
      <c r="Z501" s="14">
        <f>IF(OR($E501="",$Y501=""),"",IF($E501&gt;=$Y501,"×",IF($E501&gt;=$Y501*設定!$C$5,"△","○")))</f>
        <v/>
      </c>
      <c r="AA501" s="15">
        <f>IF($Z501="","",IF($Z501="×",0,IF($Z501="○",ROUNDDOWN($E501*設定!$C$4,0),ROUNDDOWN($E501*ROUND((9*$Y501-9*$E501)/(10*$E501),4),0))))</f>
        <v/>
      </c>
      <c r="AB501" s="13" t="n"/>
      <c r="AC501" s="15">
        <f>IF($B501="","",IF($AB501&lt;&gt;"",$AB501,IF($AA501="","",IF($AA501&lt;=設定!$C$3,0,$AA501))))</f>
        <v/>
      </c>
      <c r="AD501" s="14">
        <f>IF($B501="","",IF(AND($AE501&lt;&gt;"",$AG501="",$AJ501=""),"保留中",IF($AJ501&lt;&gt;"",IF(N($AC501)&gt;0,"支給済","不支給"),IF($AC501="","要確認",IF($AC501=0,"不支給","未処理")))))</f>
        <v/>
      </c>
      <c r="AE501" s="12" t="n"/>
      <c r="AF501" s="11" t="n"/>
      <c r="AG501" s="11" t="n"/>
      <c r="AH501" s="11" t="n"/>
      <c r="AI501" s="14">
        <f>IF(AND($AD501="保留中",$AF501&lt;&gt;""),TODAY()-$AF501,"")</f>
        <v/>
      </c>
      <c r="AJ501" s="12" t="n"/>
      <c r="AK501" s="14">
        <f>IF($B501="","",IF($AO501="","対象年月が未入力／","")&amp;IF($B501="","",IF($AN501="","職員マスタに未登録の職員番号／",IF($Y501="","標準報酬月額が未登録／","")&amp;IF(AND($AO501&lt;&gt;"",OR(AND(INDEX(職員マスタ!$G$6:$G$405,$AN501)&lt;&gt;"",INDEX(職員マスタ!$G$6:$G$405,$AN501)&gt;EOMONTH($AO501,0)),AND(INDEX(職員マスタ!$H$6:$H$405,$AN501)&lt;&gt;"",INDEX(職員マスタ!$H$6:$H$405,$AN501)&lt;$AO501))),"対象月が時短期間外／","")&amp;IF(AND(INDEX(職員マスタ!$F$6:$F$405,$AN501)&lt;&gt;"",$AO501&lt;&gt;"",INDEX(職員マスタ!$F$6:$F$405,$AN501)&lt;$AO501),"対象月に子が2歳到達済／","")&amp;IF(AND($H501&lt;&gt;"",INDEX(職員マスタ!$B$6:$B$405,$AN501)&lt;&gt;"",SUBSTITUTE(SUBSTITUTE($H501," ","")," ","")&lt;&gt;SUBSTITUTE(SUBSTITUTE(INDEX(職員マスタ!$B$6:$B$405,$AN501)," ","")," ","")),"氏名がマスタと相違／","")&amp;IF(AND($Q501&lt;&gt;"",INDEX(職員マスタ!$E$6:$E$405,$AN501)&lt;&gt;"",$Q501&lt;&gt;INDEX(職員マスタ!$E$6:$E$405,$AN501)),"子の生年月日がマスタと相違／","")&amp;IF(AND($L501&lt;&gt;"",INDEX(職員マスタ!$G$6:$G$405,$AN501)&lt;&gt;"",$L501&lt;&gt;INDEX(職員マスタ!$G$6:$G$405,$AN501)),"時短開始日がマスタと相違／","")&amp;IF(AND($M501&lt;&gt;"",INDEX(職員マスタ!$H$6:$H$405,$AN501)&lt;&gt;"",$M501&lt;&gt;INDEX(職員マスタ!$H$6:$H$405,$AN501)),"時短終了日がマスタと相違／","")))&amp;IF(AND($B501&lt;&gt;"",$E501=""),"報酬額が未入力／","")&amp;IF(N($U501)&gt;0,"申請書に入力エラーが残っています／","")&amp;IF(AND($B501&lt;&gt;"",$AO501&lt;&gt;""),IF(COUNTIFS($B$6:$B$3005,$B501,$C$6:$C$3005,$C501,$D$6:$D$3005,$D501)&gt;1,"同じ月の請求が重複しています／",""),"")&amp;IF(AND(N($E501)&gt;0,$Z501&lt;&gt;"",$Z501&lt;&gt;"×",$AC501=0,$AB501=""),"計算額が下限以下のため不支給／",""))</f>
        <v/>
      </c>
      <c r="AL501" s="12" t="n"/>
      <c r="AM501" s="14">
        <f>IF($AD501="保留中",COUNTIF($AD$6:$AD501,"保留中"),"")</f>
        <v/>
      </c>
      <c r="AN501" s="14">
        <f>IF($AO501="","",IF(SUMPRODUCT(MAX((職員マスタ!$A$6:$A$405=$B501)*(((職員マスタ!$G$6:$G$405="")+(職員マスタ!$G$6:$G$405&lt;=EOMONTH($AO501,0)))&gt;0)*(((職員マスタ!$H$6:$H$405="")+(職員マスタ!$H$6:$H$405&gt;=$AO501))&gt;0)*(ROW(職員マスタ!$A$6:$A$405)-5)))&gt;0,SUMPRODUCT(MAX((職員マスタ!$A$6:$A$405=$B501)*(((職員マスタ!$G$6:$G$405="")+(職員マスタ!$G$6:$G$405&lt;=EOMONTH($AO501,0)))&gt;0)*(((職員マスタ!$H$6:$H$405="")+(職員マスタ!$H$6:$H$405&gt;=$AO501))&gt;0)*(ROW(職員マスタ!$A$6:$A$405)-5))),IFERROR(MATCH($B501,職員マスタ!$A$6:$A$405,0),"")))</f>
        <v/>
      </c>
      <c r="AO501" s="16">
        <f>IF(OR($B501="",$C501="",$D501=""),"",DATE($C501+2018,$D501,1))</f>
        <v/>
      </c>
    </row>
    <row r="502">
      <c r="A502" s="11" t="n"/>
      <c r="B502" s="12" t="n"/>
      <c r="C502" s="12" t="n"/>
      <c r="D502" s="12" t="n"/>
      <c r="E502" s="13" t="n"/>
      <c r="F502" s="12" t="n"/>
      <c r="G502" s="13" t="n"/>
      <c r="H502" s="12" t="n"/>
      <c r="I502" s="12" t="n"/>
      <c r="J502" s="12" t="n"/>
      <c r="K502" s="12" t="n"/>
      <c r="L502" s="11" t="n"/>
      <c r="M502" s="11" t="n"/>
      <c r="N502" s="11" t="n"/>
      <c r="O502" s="11" t="n"/>
      <c r="P502" s="12" t="n"/>
      <c r="Q502" s="11" t="n"/>
      <c r="R502" s="12" t="n"/>
      <c r="S502" s="11" t="n"/>
      <c r="T502" s="12" t="n"/>
      <c r="U502" s="12" t="n"/>
      <c r="V502" s="14">
        <f>IF($AN502="",IF($B502="","",$H502),IF(INDEX(職員マスタ!$B$6:$B$405,$AN502)="",$H502,INDEX(職員マスタ!$B$6:$B$405,$AN502)))</f>
        <v/>
      </c>
      <c r="W502" s="14">
        <f>IF($AN502="",IF($B502="","",$R502),IF(INDEX(職員マスタ!$C$6:$C$405,$AN502)="",$R502,INDEX(職員マスタ!$C$6:$C$405,$AN502)))</f>
        <v/>
      </c>
      <c r="X502" s="14">
        <f>IF($AO502="","","R"&amp;$C502&amp;"."&amp;$D502)</f>
        <v/>
      </c>
      <c r="Y502" s="15">
        <f>IF($AN502="","",IF(INDEX(職員マスタ!$K$6:$K$405,$AN502)="","",INDEX(職員マスタ!$K$6:$K$405,$AN502)))</f>
        <v/>
      </c>
      <c r="Z502" s="14">
        <f>IF(OR($E502="",$Y502=""),"",IF($E502&gt;=$Y502,"×",IF($E502&gt;=$Y502*設定!$C$5,"△","○")))</f>
        <v/>
      </c>
      <c r="AA502" s="15">
        <f>IF($Z502="","",IF($Z502="×",0,IF($Z502="○",ROUNDDOWN($E502*設定!$C$4,0),ROUNDDOWN($E502*ROUND((9*$Y502-9*$E502)/(10*$E502),4),0))))</f>
        <v/>
      </c>
      <c r="AB502" s="13" t="n"/>
      <c r="AC502" s="15">
        <f>IF($B502="","",IF($AB502&lt;&gt;"",$AB502,IF($AA502="","",IF($AA502&lt;=設定!$C$3,0,$AA502))))</f>
        <v/>
      </c>
      <c r="AD502" s="14">
        <f>IF($B502="","",IF(AND($AE502&lt;&gt;"",$AG502="",$AJ502=""),"保留中",IF($AJ502&lt;&gt;"",IF(N($AC502)&gt;0,"支給済","不支給"),IF($AC502="","要確認",IF($AC502=0,"不支給","未処理")))))</f>
        <v/>
      </c>
      <c r="AE502" s="12" t="n"/>
      <c r="AF502" s="11" t="n"/>
      <c r="AG502" s="11" t="n"/>
      <c r="AH502" s="11" t="n"/>
      <c r="AI502" s="14">
        <f>IF(AND($AD502="保留中",$AF502&lt;&gt;""),TODAY()-$AF502,"")</f>
        <v/>
      </c>
      <c r="AJ502" s="12" t="n"/>
      <c r="AK502" s="14">
        <f>IF($B502="","",IF($AO502="","対象年月が未入力／","")&amp;IF($B502="","",IF($AN502="","職員マスタに未登録の職員番号／",IF($Y502="","標準報酬月額が未登録／","")&amp;IF(AND($AO502&lt;&gt;"",OR(AND(INDEX(職員マスタ!$G$6:$G$405,$AN502)&lt;&gt;"",INDEX(職員マスタ!$G$6:$G$405,$AN502)&gt;EOMONTH($AO502,0)),AND(INDEX(職員マスタ!$H$6:$H$405,$AN502)&lt;&gt;"",INDEX(職員マスタ!$H$6:$H$405,$AN502)&lt;$AO502))),"対象月が時短期間外／","")&amp;IF(AND(INDEX(職員マスタ!$F$6:$F$405,$AN502)&lt;&gt;"",$AO502&lt;&gt;"",INDEX(職員マスタ!$F$6:$F$405,$AN502)&lt;$AO502),"対象月に子が2歳到達済／","")&amp;IF(AND($H502&lt;&gt;"",INDEX(職員マスタ!$B$6:$B$405,$AN502)&lt;&gt;"",SUBSTITUTE(SUBSTITUTE($H502," ","")," ","")&lt;&gt;SUBSTITUTE(SUBSTITUTE(INDEX(職員マスタ!$B$6:$B$405,$AN502)," ","")," ","")),"氏名がマスタと相違／","")&amp;IF(AND($Q502&lt;&gt;"",INDEX(職員マスタ!$E$6:$E$405,$AN502)&lt;&gt;"",$Q502&lt;&gt;INDEX(職員マスタ!$E$6:$E$405,$AN502)),"子の生年月日がマスタと相違／","")&amp;IF(AND($L502&lt;&gt;"",INDEX(職員マスタ!$G$6:$G$405,$AN502)&lt;&gt;"",$L502&lt;&gt;INDEX(職員マスタ!$G$6:$G$405,$AN502)),"時短開始日がマスタと相違／","")&amp;IF(AND($M502&lt;&gt;"",INDEX(職員マスタ!$H$6:$H$405,$AN502)&lt;&gt;"",$M502&lt;&gt;INDEX(職員マスタ!$H$6:$H$405,$AN502)),"時短終了日がマスタと相違／","")))&amp;IF(AND($B502&lt;&gt;"",$E502=""),"報酬額が未入力／","")&amp;IF(N($U502)&gt;0,"申請書に入力エラーが残っています／","")&amp;IF(AND($B502&lt;&gt;"",$AO502&lt;&gt;""),IF(COUNTIFS($B$6:$B$3005,$B502,$C$6:$C$3005,$C502,$D$6:$D$3005,$D502)&gt;1,"同じ月の請求が重複しています／",""),"")&amp;IF(AND(N($E502)&gt;0,$Z502&lt;&gt;"",$Z502&lt;&gt;"×",$AC502=0,$AB502=""),"計算額が下限以下のため不支給／",""))</f>
        <v/>
      </c>
      <c r="AL502" s="12" t="n"/>
      <c r="AM502" s="14">
        <f>IF($AD502="保留中",COUNTIF($AD$6:$AD502,"保留中"),"")</f>
        <v/>
      </c>
      <c r="AN502" s="14">
        <f>IF($AO502="","",IF(SUMPRODUCT(MAX((職員マスタ!$A$6:$A$405=$B502)*(((職員マスタ!$G$6:$G$405="")+(職員マスタ!$G$6:$G$405&lt;=EOMONTH($AO502,0)))&gt;0)*(((職員マスタ!$H$6:$H$405="")+(職員マスタ!$H$6:$H$405&gt;=$AO502))&gt;0)*(ROW(職員マスタ!$A$6:$A$405)-5)))&gt;0,SUMPRODUCT(MAX((職員マスタ!$A$6:$A$405=$B502)*(((職員マスタ!$G$6:$G$405="")+(職員マスタ!$G$6:$G$405&lt;=EOMONTH($AO502,0)))&gt;0)*(((職員マスタ!$H$6:$H$405="")+(職員マスタ!$H$6:$H$405&gt;=$AO502))&gt;0)*(ROW(職員マスタ!$A$6:$A$405)-5))),IFERROR(MATCH($B502,職員マスタ!$A$6:$A$405,0),"")))</f>
        <v/>
      </c>
      <c r="AO502" s="16">
        <f>IF(OR($B502="",$C502="",$D502=""),"",DATE($C502+2018,$D502,1))</f>
        <v/>
      </c>
    </row>
    <row r="503">
      <c r="A503" s="11" t="n"/>
      <c r="B503" s="12" t="n"/>
      <c r="C503" s="12" t="n"/>
      <c r="D503" s="12" t="n"/>
      <c r="E503" s="13" t="n"/>
      <c r="F503" s="12" t="n"/>
      <c r="G503" s="13" t="n"/>
      <c r="H503" s="12" t="n"/>
      <c r="I503" s="12" t="n"/>
      <c r="J503" s="12" t="n"/>
      <c r="K503" s="12" t="n"/>
      <c r="L503" s="11" t="n"/>
      <c r="M503" s="11" t="n"/>
      <c r="N503" s="11" t="n"/>
      <c r="O503" s="11" t="n"/>
      <c r="P503" s="12" t="n"/>
      <c r="Q503" s="11" t="n"/>
      <c r="R503" s="12" t="n"/>
      <c r="S503" s="11" t="n"/>
      <c r="T503" s="12" t="n"/>
      <c r="U503" s="12" t="n"/>
      <c r="V503" s="14">
        <f>IF($AN503="",IF($B503="","",$H503),IF(INDEX(職員マスタ!$B$6:$B$405,$AN503)="",$H503,INDEX(職員マスタ!$B$6:$B$405,$AN503)))</f>
        <v/>
      </c>
      <c r="W503" s="14">
        <f>IF($AN503="",IF($B503="","",$R503),IF(INDEX(職員マスタ!$C$6:$C$405,$AN503)="",$R503,INDEX(職員マスタ!$C$6:$C$405,$AN503)))</f>
        <v/>
      </c>
      <c r="X503" s="14">
        <f>IF($AO503="","","R"&amp;$C503&amp;"."&amp;$D503)</f>
        <v/>
      </c>
      <c r="Y503" s="15">
        <f>IF($AN503="","",IF(INDEX(職員マスタ!$K$6:$K$405,$AN503)="","",INDEX(職員マスタ!$K$6:$K$405,$AN503)))</f>
        <v/>
      </c>
      <c r="Z503" s="14">
        <f>IF(OR($E503="",$Y503=""),"",IF($E503&gt;=$Y503,"×",IF($E503&gt;=$Y503*設定!$C$5,"△","○")))</f>
        <v/>
      </c>
      <c r="AA503" s="15">
        <f>IF($Z503="","",IF($Z503="×",0,IF($Z503="○",ROUNDDOWN($E503*設定!$C$4,0),ROUNDDOWN($E503*ROUND((9*$Y503-9*$E503)/(10*$E503),4),0))))</f>
        <v/>
      </c>
      <c r="AB503" s="13" t="n"/>
      <c r="AC503" s="15">
        <f>IF($B503="","",IF($AB503&lt;&gt;"",$AB503,IF($AA503="","",IF($AA503&lt;=設定!$C$3,0,$AA503))))</f>
        <v/>
      </c>
      <c r="AD503" s="14">
        <f>IF($B503="","",IF(AND($AE503&lt;&gt;"",$AG503="",$AJ503=""),"保留中",IF($AJ503&lt;&gt;"",IF(N($AC503)&gt;0,"支給済","不支給"),IF($AC503="","要確認",IF($AC503=0,"不支給","未処理")))))</f>
        <v/>
      </c>
      <c r="AE503" s="12" t="n"/>
      <c r="AF503" s="11" t="n"/>
      <c r="AG503" s="11" t="n"/>
      <c r="AH503" s="11" t="n"/>
      <c r="AI503" s="14">
        <f>IF(AND($AD503="保留中",$AF503&lt;&gt;""),TODAY()-$AF503,"")</f>
        <v/>
      </c>
      <c r="AJ503" s="12" t="n"/>
      <c r="AK503" s="14">
        <f>IF($B503="","",IF($AO503="","対象年月が未入力／","")&amp;IF($B503="","",IF($AN503="","職員マスタに未登録の職員番号／",IF($Y503="","標準報酬月額が未登録／","")&amp;IF(AND($AO503&lt;&gt;"",OR(AND(INDEX(職員マスタ!$G$6:$G$405,$AN503)&lt;&gt;"",INDEX(職員マスタ!$G$6:$G$405,$AN503)&gt;EOMONTH($AO503,0)),AND(INDEX(職員マスタ!$H$6:$H$405,$AN503)&lt;&gt;"",INDEX(職員マスタ!$H$6:$H$405,$AN503)&lt;$AO503))),"対象月が時短期間外／","")&amp;IF(AND(INDEX(職員マスタ!$F$6:$F$405,$AN503)&lt;&gt;"",$AO503&lt;&gt;"",INDEX(職員マスタ!$F$6:$F$405,$AN503)&lt;$AO503),"対象月に子が2歳到達済／","")&amp;IF(AND($H503&lt;&gt;"",INDEX(職員マスタ!$B$6:$B$405,$AN503)&lt;&gt;"",SUBSTITUTE(SUBSTITUTE($H503," ","")," ","")&lt;&gt;SUBSTITUTE(SUBSTITUTE(INDEX(職員マスタ!$B$6:$B$405,$AN503)," ","")," ","")),"氏名がマスタと相違／","")&amp;IF(AND($Q503&lt;&gt;"",INDEX(職員マスタ!$E$6:$E$405,$AN503)&lt;&gt;"",$Q503&lt;&gt;INDEX(職員マスタ!$E$6:$E$405,$AN503)),"子の生年月日がマスタと相違／","")&amp;IF(AND($L503&lt;&gt;"",INDEX(職員マスタ!$G$6:$G$405,$AN503)&lt;&gt;"",$L503&lt;&gt;INDEX(職員マスタ!$G$6:$G$405,$AN503)),"時短開始日がマスタと相違／","")&amp;IF(AND($M503&lt;&gt;"",INDEX(職員マスタ!$H$6:$H$405,$AN503)&lt;&gt;"",$M503&lt;&gt;INDEX(職員マスタ!$H$6:$H$405,$AN503)),"時短終了日がマスタと相違／","")))&amp;IF(AND($B503&lt;&gt;"",$E503=""),"報酬額が未入力／","")&amp;IF(N($U503)&gt;0,"申請書に入力エラーが残っています／","")&amp;IF(AND($B503&lt;&gt;"",$AO503&lt;&gt;""),IF(COUNTIFS($B$6:$B$3005,$B503,$C$6:$C$3005,$C503,$D$6:$D$3005,$D503)&gt;1,"同じ月の請求が重複しています／",""),"")&amp;IF(AND(N($E503)&gt;0,$Z503&lt;&gt;"",$Z503&lt;&gt;"×",$AC503=0,$AB503=""),"計算額が下限以下のため不支給／",""))</f>
        <v/>
      </c>
      <c r="AL503" s="12" t="n"/>
      <c r="AM503" s="14">
        <f>IF($AD503="保留中",COUNTIF($AD$6:$AD503,"保留中"),"")</f>
        <v/>
      </c>
      <c r="AN503" s="14">
        <f>IF($AO503="","",IF(SUMPRODUCT(MAX((職員マスタ!$A$6:$A$405=$B503)*(((職員マスタ!$G$6:$G$405="")+(職員マスタ!$G$6:$G$405&lt;=EOMONTH($AO503,0)))&gt;0)*(((職員マスタ!$H$6:$H$405="")+(職員マスタ!$H$6:$H$405&gt;=$AO503))&gt;0)*(ROW(職員マスタ!$A$6:$A$405)-5)))&gt;0,SUMPRODUCT(MAX((職員マスタ!$A$6:$A$405=$B503)*(((職員マスタ!$G$6:$G$405="")+(職員マスタ!$G$6:$G$405&lt;=EOMONTH($AO503,0)))&gt;0)*(((職員マスタ!$H$6:$H$405="")+(職員マスタ!$H$6:$H$405&gt;=$AO503))&gt;0)*(ROW(職員マスタ!$A$6:$A$405)-5))),IFERROR(MATCH($B503,職員マスタ!$A$6:$A$405,0),"")))</f>
        <v/>
      </c>
      <c r="AO503" s="16">
        <f>IF(OR($B503="",$C503="",$D503=""),"",DATE($C503+2018,$D503,1))</f>
        <v/>
      </c>
    </row>
    <row r="504">
      <c r="A504" s="11" t="n"/>
      <c r="B504" s="12" t="n"/>
      <c r="C504" s="12" t="n"/>
      <c r="D504" s="12" t="n"/>
      <c r="E504" s="13" t="n"/>
      <c r="F504" s="12" t="n"/>
      <c r="G504" s="13" t="n"/>
      <c r="H504" s="12" t="n"/>
      <c r="I504" s="12" t="n"/>
      <c r="J504" s="12" t="n"/>
      <c r="K504" s="12" t="n"/>
      <c r="L504" s="11" t="n"/>
      <c r="M504" s="11" t="n"/>
      <c r="N504" s="11" t="n"/>
      <c r="O504" s="11" t="n"/>
      <c r="P504" s="12" t="n"/>
      <c r="Q504" s="11" t="n"/>
      <c r="R504" s="12" t="n"/>
      <c r="S504" s="11" t="n"/>
      <c r="T504" s="12" t="n"/>
      <c r="U504" s="12" t="n"/>
      <c r="V504" s="14">
        <f>IF($AN504="",IF($B504="","",$H504),IF(INDEX(職員マスタ!$B$6:$B$405,$AN504)="",$H504,INDEX(職員マスタ!$B$6:$B$405,$AN504)))</f>
        <v/>
      </c>
      <c r="W504" s="14">
        <f>IF($AN504="",IF($B504="","",$R504),IF(INDEX(職員マスタ!$C$6:$C$405,$AN504)="",$R504,INDEX(職員マスタ!$C$6:$C$405,$AN504)))</f>
        <v/>
      </c>
      <c r="X504" s="14">
        <f>IF($AO504="","","R"&amp;$C504&amp;"."&amp;$D504)</f>
        <v/>
      </c>
      <c r="Y504" s="15">
        <f>IF($AN504="","",IF(INDEX(職員マスタ!$K$6:$K$405,$AN504)="","",INDEX(職員マスタ!$K$6:$K$405,$AN504)))</f>
        <v/>
      </c>
      <c r="Z504" s="14">
        <f>IF(OR($E504="",$Y504=""),"",IF($E504&gt;=$Y504,"×",IF($E504&gt;=$Y504*設定!$C$5,"△","○")))</f>
        <v/>
      </c>
      <c r="AA504" s="15">
        <f>IF($Z504="","",IF($Z504="×",0,IF($Z504="○",ROUNDDOWN($E504*設定!$C$4,0),ROUNDDOWN($E504*ROUND((9*$Y504-9*$E504)/(10*$E504),4),0))))</f>
        <v/>
      </c>
      <c r="AB504" s="13" t="n"/>
      <c r="AC504" s="15">
        <f>IF($B504="","",IF($AB504&lt;&gt;"",$AB504,IF($AA504="","",IF($AA504&lt;=設定!$C$3,0,$AA504))))</f>
        <v/>
      </c>
      <c r="AD504" s="14">
        <f>IF($B504="","",IF(AND($AE504&lt;&gt;"",$AG504="",$AJ504=""),"保留中",IF($AJ504&lt;&gt;"",IF(N($AC504)&gt;0,"支給済","不支給"),IF($AC504="","要確認",IF($AC504=0,"不支給","未処理")))))</f>
        <v/>
      </c>
      <c r="AE504" s="12" t="n"/>
      <c r="AF504" s="11" t="n"/>
      <c r="AG504" s="11" t="n"/>
      <c r="AH504" s="11" t="n"/>
      <c r="AI504" s="14">
        <f>IF(AND($AD504="保留中",$AF504&lt;&gt;""),TODAY()-$AF504,"")</f>
        <v/>
      </c>
      <c r="AJ504" s="12" t="n"/>
      <c r="AK504" s="14">
        <f>IF($B504="","",IF($AO504="","対象年月が未入力／","")&amp;IF($B504="","",IF($AN504="","職員マスタに未登録の職員番号／",IF($Y504="","標準報酬月額が未登録／","")&amp;IF(AND($AO504&lt;&gt;"",OR(AND(INDEX(職員マスタ!$G$6:$G$405,$AN504)&lt;&gt;"",INDEX(職員マスタ!$G$6:$G$405,$AN504)&gt;EOMONTH($AO504,0)),AND(INDEX(職員マスタ!$H$6:$H$405,$AN504)&lt;&gt;"",INDEX(職員マスタ!$H$6:$H$405,$AN504)&lt;$AO504))),"対象月が時短期間外／","")&amp;IF(AND(INDEX(職員マスタ!$F$6:$F$405,$AN504)&lt;&gt;"",$AO504&lt;&gt;"",INDEX(職員マスタ!$F$6:$F$405,$AN504)&lt;$AO504),"対象月に子が2歳到達済／","")&amp;IF(AND($H504&lt;&gt;"",INDEX(職員マスタ!$B$6:$B$405,$AN504)&lt;&gt;"",SUBSTITUTE(SUBSTITUTE($H504," ","")," ","")&lt;&gt;SUBSTITUTE(SUBSTITUTE(INDEX(職員マスタ!$B$6:$B$405,$AN504)," ","")," ","")),"氏名がマスタと相違／","")&amp;IF(AND($Q504&lt;&gt;"",INDEX(職員マスタ!$E$6:$E$405,$AN504)&lt;&gt;"",$Q504&lt;&gt;INDEX(職員マスタ!$E$6:$E$405,$AN504)),"子の生年月日がマスタと相違／","")&amp;IF(AND($L504&lt;&gt;"",INDEX(職員マスタ!$G$6:$G$405,$AN504)&lt;&gt;"",$L504&lt;&gt;INDEX(職員マスタ!$G$6:$G$405,$AN504)),"時短開始日がマスタと相違／","")&amp;IF(AND($M504&lt;&gt;"",INDEX(職員マスタ!$H$6:$H$405,$AN504)&lt;&gt;"",$M504&lt;&gt;INDEX(職員マスタ!$H$6:$H$405,$AN504)),"時短終了日がマスタと相違／","")))&amp;IF(AND($B504&lt;&gt;"",$E504=""),"報酬額が未入力／","")&amp;IF(N($U504)&gt;0,"申請書に入力エラーが残っています／","")&amp;IF(AND($B504&lt;&gt;"",$AO504&lt;&gt;""),IF(COUNTIFS($B$6:$B$3005,$B504,$C$6:$C$3005,$C504,$D$6:$D$3005,$D504)&gt;1,"同じ月の請求が重複しています／",""),"")&amp;IF(AND(N($E504)&gt;0,$Z504&lt;&gt;"",$Z504&lt;&gt;"×",$AC504=0,$AB504=""),"計算額が下限以下のため不支給／",""))</f>
        <v/>
      </c>
      <c r="AL504" s="12" t="n"/>
      <c r="AM504" s="14">
        <f>IF($AD504="保留中",COUNTIF($AD$6:$AD504,"保留中"),"")</f>
        <v/>
      </c>
      <c r="AN504" s="14">
        <f>IF($AO504="","",IF(SUMPRODUCT(MAX((職員マスタ!$A$6:$A$405=$B504)*(((職員マスタ!$G$6:$G$405="")+(職員マスタ!$G$6:$G$405&lt;=EOMONTH($AO504,0)))&gt;0)*(((職員マスタ!$H$6:$H$405="")+(職員マスタ!$H$6:$H$405&gt;=$AO504))&gt;0)*(ROW(職員マスタ!$A$6:$A$405)-5)))&gt;0,SUMPRODUCT(MAX((職員マスタ!$A$6:$A$405=$B504)*(((職員マスタ!$G$6:$G$405="")+(職員マスタ!$G$6:$G$405&lt;=EOMONTH($AO504,0)))&gt;0)*(((職員マスタ!$H$6:$H$405="")+(職員マスタ!$H$6:$H$405&gt;=$AO504))&gt;0)*(ROW(職員マスタ!$A$6:$A$405)-5))),IFERROR(MATCH($B504,職員マスタ!$A$6:$A$405,0),"")))</f>
        <v/>
      </c>
      <c r="AO504" s="16">
        <f>IF(OR($B504="",$C504="",$D504=""),"",DATE($C504+2018,$D504,1))</f>
        <v/>
      </c>
    </row>
    <row r="505">
      <c r="A505" s="11" t="n"/>
      <c r="B505" s="12" t="n"/>
      <c r="C505" s="12" t="n"/>
      <c r="D505" s="12" t="n"/>
      <c r="E505" s="13" t="n"/>
      <c r="F505" s="12" t="n"/>
      <c r="G505" s="13" t="n"/>
      <c r="H505" s="12" t="n"/>
      <c r="I505" s="12" t="n"/>
      <c r="J505" s="12" t="n"/>
      <c r="K505" s="12" t="n"/>
      <c r="L505" s="11" t="n"/>
      <c r="M505" s="11" t="n"/>
      <c r="N505" s="11" t="n"/>
      <c r="O505" s="11" t="n"/>
      <c r="P505" s="12" t="n"/>
      <c r="Q505" s="11" t="n"/>
      <c r="R505" s="12" t="n"/>
      <c r="S505" s="11" t="n"/>
      <c r="T505" s="12" t="n"/>
      <c r="U505" s="12" t="n"/>
      <c r="V505" s="14">
        <f>IF($AN505="",IF($B505="","",$H505),IF(INDEX(職員マスタ!$B$6:$B$405,$AN505)="",$H505,INDEX(職員マスタ!$B$6:$B$405,$AN505)))</f>
        <v/>
      </c>
      <c r="W505" s="14">
        <f>IF($AN505="",IF($B505="","",$R505),IF(INDEX(職員マスタ!$C$6:$C$405,$AN505)="",$R505,INDEX(職員マスタ!$C$6:$C$405,$AN505)))</f>
        <v/>
      </c>
      <c r="X505" s="14">
        <f>IF($AO505="","","R"&amp;$C505&amp;"."&amp;$D505)</f>
        <v/>
      </c>
      <c r="Y505" s="15">
        <f>IF($AN505="","",IF(INDEX(職員マスタ!$K$6:$K$405,$AN505)="","",INDEX(職員マスタ!$K$6:$K$405,$AN505)))</f>
        <v/>
      </c>
      <c r="Z505" s="14">
        <f>IF(OR($E505="",$Y505=""),"",IF($E505&gt;=$Y505,"×",IF($E505&gt;=$Y505*設定!$C$5,"△","○")))</f>
        <v/>
      </c>
      <c r="AA505" s="15">
        <f>IF($Z505="","",IF($Z505="×",0,IF($Z505="○",ROUNDDOWN($E505*設定!$C$4,0),ROUNDDOWN($E505*ROUND((9*$Y505-9*$E505)/(10*$E505),4),0))))</f>
        <v/>
      </c>
      <c r="AB505" s="13" t="n"/>
      <c r="AC505" s="15">
        <f>IF($B505="","",IF($AB505&lt;&gt;"",$AB505,IF($AA505="","",IF($AA505&lt;=設定!$C$3,0,$AA505))))</f>
        <v/>
      </c>
      <c r="AD505" s="14">
        <f>IF($B505="","",IF(AND($AE505&lt;&gt;"",$AG505="",$AJ505=""),"保留中",IF($AJ505&lt;&gt;"",IF(N($AC505)&gt;0,"支給済","不支給"),IF($AC505="","要確認",IF($AC505=0,"不支給","未処理")))))</f>
        <v/>
      </c>
      <c r="AE505" s="12" t="n"/>
      <c r="AF505" s="11" t="n"/>
      <c r="AG505" s="11" t="n"/>
      <c r="AH505" s="11" t="n"/>
      <c r="AI505" s="14">
        <f>IF(AND($AD505="保留中",$AF505&lt;&gt;""),TODAY()-$AF505,"")</f>
        <v/>
      </c>
      <c r="AJ505" s="12" t="n"/>
      <c r="AK505" s="14">
        <f>IF($B505="","",IF($AO505="","対象年月が未入力／","")&amp;IF($B505="","",IF($AN505="","職員マスタに未登録の職員番号／",IF($Y505="","標準報酬月額が未登録／","")&amp;IF(AND($AO505&lt;&gt;"",OR(AND(INDEX(職員マスタ!$G$6:$G$405,$AN505)&lt;&gt;"",INDEX(職員マスタ!$G$6:$G$405,$AN505)&gt;EOMONTH($AO505,0)),AND(INDEX(職員マスタ!$H$6:$H$405,$AN505)&lt;&gt;"",INDEX(職員マスタ!$H$6:$H$405,$AN505)&lt;$AO505))),"対象月が時短期間外／","")&amp;IF(AND(INDEX(職員マスタ!$F$6:$F$405,$AN505)&lt;&gt;"",$AO505&lt;&gt;"",INDEX(職員マスタ!$F$6:$F$405,$AN505)&lt;$AO505),"対象月に子が2歳到達済／","")&amp;IF(AND($H505&lt;&gt;"",INDEX(職員マスタ!$B$6:$B$405,$AN505)&lt;&gt;"",SUBSTITUTE(SUBSTITUTE($H505," ","")," ","")&lt;&gt;SUBSTITUTE(SUBSTITUTE(INDEX(職員マスタ!$B$6:$B$405,$AN505)," ","")," ","")),"氏名がマスタと相違／","")&amp;IF(AND($Q505&lt;&gt;"",INDEX(職員マスタ!$E$6:$E$405,$AN505)&lt;&gt;"",$Q505&lt;&gt;INDEX(職員マスタ!$E$6:$E$405,$AN505)),"子の生年月日がマスタと相違／","")&amp;IF(AND($L505&lt;&gt;"",INDEX(職員マスタ!$G$6:$G$405,$AN505)&lt;&gt;"",$L505&lt;&gt;INDEX(職員マスタ!$G$6:$G$405,$AN505)),"時短開始日がマスタと相違／","")&amp;IF(AND($M505&lt;&gt;"",INDEX(職員マスタ!$H$6:$H$405,$AN505)&lt;&gt;"",$M505&lt;&gt;INDEX(職員マスタ!$H$6:$H$405,$AN505)),"時短終了日がマスタと相違／","")))&amp;IF(AND($B505&lt;&gt;"",$E505=""),"報酬額が未入力／","")&amp;IF(N($U505)&gt;0,"申請書に入力エラーが残っています／","")&amp;IF(AND($B505&lt;&gt;"",$AO505&lt;&gt;""),IF(COUNTIFS($B$6:$B$3005,$B505,$C$6:$C$3005,$C505,$D$6:$D$3005,$D505)&gt;1,"同じ月の請求が重複しています／",""),"")&amp;IF(AND(N($E505)&gt;0,$Z505&lt;&gt;"",$Z505&lt;&gt;"×",$AC505=0,$AB505=""),"計算額が下限以下のため不支給／",""))</f>
        <v/>
      </c>
      <c r="AL505" s="12" t="n"/>
      <c r="AM505" s="14">
        <f>IF($AD505="保留中",COUNTIF($AD$6:$AD505,"保留中"),"")</f>
        <v/>
      </c>
      <c r="AN505" s="14">
        <f>IF($AO505="","",IF(SUMPRODUCT(MAX((職員マスタ!$A$6:$A$405=$B505)*(((職員マスタ!$G$6:$G$405="")+(職員マスタ!$G$6:$G$405&lt;=EOMONTH($AO505,0)))&gt;0)*(((職員マスタ!$H$6:$H$405="")+(職員マスタ!$H$6:$H$405&gt;=$AO505))&gt;0)*(ROW(職員マスタ!$A$6:$A$405)-5)))&gt;0,SUMPRODUCT(MAX((職員マスタ!$A$6:$A$405=$B505)*(((職員マスタ!$G$6:$G$405="")+(職員マスタ!$G$6:$G$405&lt;=EOMONTH($AO505,0)))&gt;0)*(((職員マスタ!$H$6:$H$405="")+(職員マスタ!$H$6:$H$405&gt;=$AO505))&gt;0)*(ROW(職員マスタ!$A$6:$A$405)-5))),IFERROR(MATCH($B505,職員マスタ!$A$6:$A$405,0),"")))</f>
        <v/>
      </c>
      <c r="AO505" s="16">
        <f>IF(OR($B505="",$C505="",$D505=""),"",DATE($C505+2018,$D505,1))</f>
        <v/>
      </c>
    </row>
    <row r="506">
      <c r="A506" s="11" t="n"/>
      <c r="B506" s="12" t="n"/>
      <c r="C506" s="12" t="n"/>
      <c r="D506" s="12" t="n"/>
      <c r="E506" s="13" t="n"/>
      <c r="F506" s="12" t="n"/>
      <c r="G506" s="13" t="n"/>
      <c r="H506" s="12" t="n"/>
      <c r="I506" s="12" t="n"/>
      <c r="J506" s="12" t="n"/>
      <c r="K506" s="12" t="n"/>
      <c r="L506" s="11" t="n"/>
      <c r="M506" s="11" t="n"/>
      <c r="N506" s="11" t="n"/>
      <c r="O506" s="11" t="n"/>
      <c r="P506" s="12" t="n"/>
      <c r="Q506" s="11" t="n"/>
      <c r="R506" s="12" t="n"/>
      <c r="S506" s="11" t="n"/>
      <c r="T506" s="12" t="n"/>
      <c r="U506" s="12" t="n"/>
      <c r="V506" s="14">
        <f>IF($AN506="",IF($B506="","",$H506),IF(INDEX(職員マスタ!$B$6:$B$405,$AN506)="",$H506,INDEX(職員マスタ!$B$6:$B$405,$AN506)))</f>
        <v/>
      </c>
      <c r="W506" s="14">
        <f>IF($AN506="",IF($B506="","",$R506),IF(INDEX(職員マスタ!$C$6:$C$405,$AN506)="",$R506,INDEX(職員マスタ!$C$6:$C$405,$AN506)))</f>
        <v/>
      </c>
      <c r="X506" s="14">
        <f>IF($AO506="","","R"&amp;$C506&amp;"."&amp;$D506)</f>
        <v/>
      </c>
      <c r="Y506" s="15">
        <f>IF($AN506="","",IF(INDEX(職員マスタ!$K$6:$K$405,$AN506)="","",INDEX(職員マスタ!$K$6:$K$405,$AN506)))</f>
        <v/>
      </c>
      <c r="Z506" s="14">
        <f>IF(OR($E506="",$Y506=""),"",IF($E506&gt;=$Y506,"×",IF($E506&gt;=$Y506*設定!$C$5,"△","○")))</f>
        <v/>
      </c>
      <c r="AA506" s="15">
        <f>IF($Z506="","",IF($Z506="×",0,IF($Z506="○",ROUNDDOWN($E506*設定!$C$4,0),ROUNDDOWN($E506*ROUND((9*$Y506-9*$E506)/(10*$E506),4),0))))</f>
        <v/>
      </c>
      <c r="AB506" s="13" t="n"/>
      <c r="AC506" s="15">
        <f>IF($B506="","",IF($AB506&lt;&gt;"",$AB506,IF($AA506="","",IF($AA506&lt;=設定!$C$3,0,$AA506))))</f>
        <v/>
      </c>
      <c r="AD506" s="14">
        <f>IF($B506="","",IF(AND($AE506&lt;&gt;"",$AG506="",$AJ506=""),"保留中",IF($AJ506&lt;&gt;"",IF(N($AC506)&gt;0,"支給済","不支給"),IF($AC506="","要確認",IF($AC506=0,"不支給","未処理")))))</f>
        <v/>
      </c>
      <c r="AE506" s="12" t="n"/>
      <c r="AF506" s="11" t="n"/>
      <c r="AG506" s="11" t="n"/>
      <c r="AH506" s="11" t="n"/>
      <c r="AI506" s="14">
        <f>IF(AND($AD506="保留中",$AF506&lt;&gt;""),TODAY()-$AF506,"")</f>
        <v/>
      </c>
      <c r="AJ506" s="12" t="n"/>
      <c r="AK506" s="14">
        <f>IF($B506="","",IF($AO506="","対象年月が未入力／","")&amp;IF($B506="","",IF($AN506="","職員マスタに未登録の職員番号／",IF($Y506="","標準報酬月額が未登録／","")&amp;IF(AND($AO506&lt;&gt;"",OR(AND(INDEX(職員マスタ!$G$6:$G$405,$AN506)&lt;&gt;"",INDEX(職員マスタ!$G$6:$G$405,$AN506)&gt;EOMONTH($AO506,0)),AND(INDEX(職員マスタ!$H$6:$H$405,$AN506)&lt;&gt;"",INDEX(職員マスタ!$H$6:$H$405,$AN506)&lt;$AO506))),"対象月が時短期間外／","")&amp;IF(AND(INDEX(職員マスタ!$F$6:$F$405,$AN506)&lt;&gt;"",$AO506&lt;&gt;"",INDEX(職員マスタ!$F$6:$F$405,$AN506)&lt;$AO506),"対象月に子が2歳到達済／","")&amp;IF(AND($H506&lt;&gt;"",INDEX(職員マスタ!$B$6:$B$405,$AN506)&lt;&gt;"",SUBSTITUTE(SUBSTITUTE($H506," ","")," ","")&lt;&gt;SUBSTITUTE(SUBSTITUTE(INDEX(職員マスタ!$B$6:$B$405,$AN506)," ","")," ","")),"氏名がマスタと相違／","")&amp;IF(AND($Q506&lt;&gt;"",INDEX(職員マスタ!$E$6:$E$405,$AN506)&lt;&gt;"",$Q506&lt;&gt;INDEX(職員マスタ!$E$6:$E$405,$AN506)),"子の生年月日がマスタと相違／","")&amp;IF(AND($L506&lt;&gt;"",INDEX(職員マスタ!$G$6:$G$405,$AN506)&lt;&gt;"",$L506&lt;&gt;INDEX(職員マスタ!$G$6:$G$405,$AN506)),"時短開始日がマスタと相違／","")&amp;IF(AND($M506&lt;&gt;"",INDEX(職員マスタ!$H$6:$H$405,$AN506)&lt;&gt;"",$M506&lt;&gt;INDEX(職員マスタ!$H$6:$H$405,$AN506)),"時短終了日がマスタと相違／","")))&amp;IF(AND($B506&lt;&gt;"",$E506=""),"報酬額が未入力／","")&amp;IF(N($U506)&gt;0,"申請書に入力エラーが残っています／","")&amp;IF(AND($B506&lt;&gt;"",$AO506&lt;&gt;""),IF(COUNTIFS($B$6:$B$3005,$B506,$C$6:$C$3005,$C506,$D$6:$D$3005,$D506)&gt;1,"同じ月の請求が重複しています／",""),"")&amp;IF(AND(N($E506)&gt;0,$Z506&lt;&gt;"",$Z506&lt;&gt;"×",$AC506=0,$AB506=""),"計算額が下限以下のため不支給／",""))</f>
        <v/>
      </c>
      <c r="AL506" s="12" t="n"/>
      <c r="AM506" s="14">
        <f>IF($AD506="保留中",COUNTIF($AD$6:$AD506,"保留中"),"")</f>
        <v/>
      </c>
      <c r="AN506" s="14">
        <f>IF($AO506="","",IF(SUMPRODUCT(MAX((職員マスタ!$A$6:$A$405=$B506)*(((職員マスタ!$G$6:$G$405="")+(職員マスタ!$G$6:$G$405&lt;=EOMONTH($AO506,0)))&gt;0)*(((職員マスタ!$H$6:$H$405="")+(職員マスタ!$H$6:$H$405&gt;=$AO506))&gt;0)*(ROW(職員マスタ!$A$6:$A$405)-5)))&gt;0,SUMPRODUCT(MAX((職員マスタ!$A$6:$A$405=$B506)*(((職員マスタ!$G$6:$G$405="")+(職員マスタ!$G$6:$G$405&lt;=EOMONTH($AO506,0)))&gt;0)*(((職員マスタ!$H$6:$H$405="")+(職員マスタ!$H$6:$H$405&gt;=$AO506))&gt;0)*(ROW(職員マスタ!$A$6:$A$405)-5))),IFERROR(MATCH($B506,職員マスタ!$A$6:$A$405,0),"")))</f>
        <v/>
      </c>
      <c r="AO506" s="16">
        <f>IF(OR($B506="",$C506="",$D506=""),"",DATE($C506+2018,$D506,1))</f>
        <v/>
      </c>
    </row>
    <row r="507">
      <c r="A507" s="11" t="n"/>
      <c r="B507" s="12" t="n"/>
      <c r="C507" s="12" t="n"/>
      <c r="D507" s="12" t="n"/>
      <c r="E507" s="13" t="n"/>
      <c r="F507" s="12" t="n"/>
      <c r="G507" s="13" t="n"/>
      <c r="H507" s="12" t="n"/>
      <c r="I507" s="12" t="n"/>
      <c r="J507" s="12" t="n"/>
      <c r="K507" s="12" t="n"/>
      <c r="L507" s="11" t="n"/>
      <c r="M507" s="11" t="n"/>
      <c r="N507" s="11" t="n"/>
      <c r="O507" s="11" t="n"/>
      <c r="P507" s="12" t="n"/>
      <c r="Q507" s="11" t="n"/>
      <c r="R507" s="12" t="n"/>
      <c r="S507" s="11" t="n"/>
      <c r="T507" s="12" t="n"/>
      <c r="U507" s="12" t="n"/>
      <c r="V507" s="14">
        <f>IF($AN507="",IF($B507="","",$H507),IF(INDEX(職員マスタ!$B$6:$B$405,$AN507)="",$H507,INDEX(職員マスタ!$B$6:$B$405,$AN507)))</f>
        <v/>
      </c>
      <c r="W507" s="14">
        <f>IF($AN507="",IF($B507="","",$R507),IF(INDEX(職員マスタ!$C$6:$C$405,$AN507)="",$R507,INDEX(職員マスタ!$C$6:$C$405,$AN507)))</f>
        <v/>
      </c>
      <c r="X507" s="14">
        <f>IF($AO507="","","R"&amp;$C507&amp;"."&amp;$D507)</f>
        <v/>
      </c>
      <c r="Y507" s="15">
        <f>IF($AN507="","",IF(INDEX(職員マスタ!$K$6:$K$405,$AN507)="","",INDEX(職員マスタ!$K$6:$K$405,$AN507)))</f>
        <v/>
      </c>
      <c r="Z507" s="14">
        <f>IF(OR($E507="",$Y507=""),"",IF($E507&gt;=$Y507,"×",IF($E507&gt;=$Y507*設定!$C$5,"△","○")))</f>
        <v/>
      </c>
      <c r="AA507" s="15">
        <f>IF($Z507="","",IF($Z507="×",0,IF($Z507="○",ROUNDDOWN($E507*設定!$C$4,0),ROUNDDOWN($E507*ROUND((9*$Y507-9*$E507)/(10*$E507),4),0))))</f>
        <v/>
      </c>
      <c r="AB507" s="13" t="n"/>
      <c r="AC507" s="15">
        <f>IF($B507="","",IF($AB507&lt;&gt;"",$AB507,IF($AA507="","",IF($AA507&lt;=設定!$C$3,0,$AA507))))</f>
        <v/>
      </c>
      <c r="AD507" s="14">
        <f>IF($B507="","",IF(AND($AE507&lt;&gt;"",$AG507="",$AJ507=""),"保留中",IF($AJ507&lt;&gt;"",IF(N($AC507)&gt;0,"支給済","不支給"),IF($AC507="","要確認",IF($AC507=0,"不支給","未処理")))))</f>
        <v/>
      </c>
      <c r="AE507" s="12" t="n"/>
      <c r="AF507" s="11" t="n"/>
      <c r="AG507" s="11" t="n"/>
      <c r="AH507" s="11" t="n"/>
      <c r="AI507" s="14">
        <f>IF(AND($AD507="保留中",$AF507&lt;&gt;""),TODAY()-$AF507,"")</f>
        <v/>
      </c>
      <c r="AJ507" s="12" t="n"/>
      <c r="AK507" s="14">
        <f>IF($B507="","",IF($AO507="","対象年月が未入力／","")&amp;IF($B507="","",IF($AN507="","職員マスタに未登録の職員番号／",IF($Y507="","標準報酬月額が未登録／","")&amp;IF(AND($AO507&lt;&gt;"",OR(AND(INDEX(職員マスタ!$G$6:$G$405,$AN507)&lt;&gt;"",INDEX(職員マスタ!$G$6:$G$405,$AN507)&gt;EOMONTH($AO507,0)),AND(INDEX(職員マスタ!$H$6:$H$405,$AN507)&lt;&gt;"",INDEX(職員マスタ!$H$6:$H$405,$AN507)&lt;$AO507))),"対象月が時短期間外／","")&amp;IF(AND(INDEX(職員マスタ!$F$6:$F$405,$AN507)&lt;&gt;"",$AO507&lt;&gt;"",INDEX(職員マスタ!$F$6:$F$405,$AN507)&lt;$AO507),"対象月に子が2歳到達済／","")&amp;IF(AND($H507&lt;&gt;"",INDEX(職員マスタ!$B$6:$B$405,$AN507)&lt;&gt;"",SUBSTITUTE(SUBSTITUTE($H507," ","")," ","")&lt;&gt;SUBSTITUTE(SUBSTITUTE(INDEX(職員マスタ!$B$6:$B$405,$AN507)," ","")," ","")),"氏名がマスタと相違／","")&amp;IF(AND($Q507&lt;&gt;"",INDEX(職員マスタ!$E$6:$E$405,$AN507)&lt;&gt;"",$Q507&lt;&gt;INDEX(職員マスタ!$E$6:$E$405,$AN507)),"子の生年月日がマスタと相違／","")&amp;IF(AND($L507&lt;&gt;"",INDEX(職員マスタ!$G$6:$G$405,$AN507)&lt;&gt;"",$L507&lt;&gt;INDEX(職員マスタ!$G$6:$G$405,$AN507)),"時短開始日がマスタと相違／","")&amp;IF(AND($M507&lt;&gt;"",INDEX(職員マスタ!$H$6:$H$405,$AN507)&lt;&gt;"",$M507&lt;&gt;INDEX(職員マスタ!$H$6:$H$405,$AN507)),"時短終了日がマスタと相違／","")))&amp;IF(AND($B507&lt;&gt;"",$E507=""),"報酬額が未入力／","")&amp;IF(N($U507)&gt;0,"申請書に入力エラーが残っています／","")&amp;IF(AND($B507&lt;&gt;"",$AO507&lt;&gt;""),IF(COUNTIFS($B$6:$B$3005,$B507,$C$6:$C$3005,$C507,$D$6:$D$3005,$D507)&gt;1,"同じ月の請求が重複しています／",""),"")&amp;IF(AND(N($E507)&gt;0,$Z507&lt;&gt;"",$Z507&lt;&gt;"×",$AC507=0,$AB507=""),"計算額が下限以下のため不支給／",""))</f>
        <v/>
      </c>
      <c r="AL507" s="12" t="n"/>
      <c r="AM507" s="14">
        <f>IF($AD507="保留中",COUNTIF($AD$6:$AD507,"保留中"),"")</f>
        <v/>
      </c>
      <c r="AN507" s="14">
        <f>IF($AO507="","",IF(SUMPRODUCT(MAX((職員マスタ!$A$6:$A$405=$B507)*(((職員マスタ!$G$6:$G$405="")+(職員マスタ!$G$6:$G$405&lt;=EOMONTH($AO507,0)))&gt;0)*(((職員マスタ!$H$6:$H$405="")+(職員マスタ!$H$6:$H$405&gt;=$AO507))&gt;0)*(ROW(職員マスタ!$A$6:$A$405)-5)))&gt;0,SUMPRODUCT(MAX((職員マスタ!$A$6:$A$405=$B507)*(((職員マスタ!$G$6:$G$405="")+(職員マスタ!$G$6:$G$405&lt;=EOMONTH($AO507,0)))&gt;0)*(((職員マスタ!$H$6:$H$405="")+(職員マスタ!$H$6:$H$405&gt;=$AO507))&gt;0)*(ROW(職員マスタ!$A$6:$A$405)-5))),IFERROR(MATCH($B507,職員マスタ!$A$6:$A$405,0),"")))</f>
        <v/>
      </c>
      <c r="AO507" s="16">
        <f>IF(OR($B507="",$C507="",$D507=""),"",DATE($C507+2018,$D507,1))</f>
        <v/>
      </c>
    </row>
    <row r="508">
      <c r="A508" s="11" t="n"/>
      <c r="B508" s="12" t="n"/>
      <c r="C508" s="12" t="n"/>
      <c r="D508" s="12" t="n"/>
      <c r="E508" s="13" t="n"/>
      <c r="F508" s="12" t="n"/>
      <c r="G508" s="13" t="n"/>
      <c r="H508" s="12" t="n"/>
      <c r="I508" s="12" t="n"/>
      <c r="J508" s="12" t="n"/>
      <c r="K508" s="12" t="n"/>
      <c r="L508" s="11" t="n"/>
      <c r="M508" s="11" t="n"/>
      <c r="N508" s="11" t="n"/>
      <c r="O508" s="11" t="n"/>
      <c r="P508" s="12" t="n"/>
      <c r="Q508" s="11" t="n"/>
      <c r="R508" s="12" t="n"/>
      <c r="S508" s="11" t="n"/>
      <c r="T508" s="12" t="n"/>
      <c r="U508" s="12" t="n"/>
      <c r="V508" s="14">
        <f>IF($AN508="",IF($B508="","",$H508),IF(INDEX(職員マスタ!$B$6:$B$405,$AN508)="",$H508,INDEX(職員マスタ!$B$6:$B$405,$AN508)))</f>
        <v/>
      </c>
      <c r="W508" s="14">
        <f>IF($AN508="",IF($B508="","",$R508),IF(INDEX(職員マスタ!$C$6:$C$405,$AN508)="",$R508,INDEX(職員マスタ!$C$6:$C$405,$AN508)))</f>
        <v/>
      </c>
      <c r="X508" s="14">
        <f>IF($AO508="","","R"&amp;$C508&amp;"."&amp;$D508)</f>
        <v/>
      </c>
      <c r="Y508" s="15">
        <f>IF($AN508="","",IF(INDEX(職員マスタ!$K$6:$K$405,$AN508)="","",INDEX(職員マスタ!$K$6:$K$405,$AN508)))</f>
        <v/>
      </c>
      <c r="Z508" s="14">
        <f>IF(OR($E508="",$Y508=""),"",IF($E508&gt;=$Y508,"×",IF($E508&gt;=$Y508*設定!$C$5,"△","○")))</f>
        <v/>
      </c>
      <c r="AA508" s="15">
        <f>IF($Z508="","",IF($Z508="×",0,IF($Z508="○",ROUNDDOWN($E508*設定!$C$4,0),ROUNDDOWN($E508*ROUND((9*$Y508-9*$E508)/(10*$E508),4),0))))</f>
        <v/>
      </c>
      <c r="AB508" s="13" t="n"/>
      <c r="AC508" s="15">
        <f>IF($B508="","",IF($AB508&lt;&gt;"",$AB508,IF($AA508="","",IF($AA508&lt;=設定!$C$3,0,$AA508))))</f>
        <v/>
      </c>
      <c r="AD508" s="14">
        <f>IF($B508="","",IF(AND($AE508&lt;&gt;"",$AG508="",$AJ508=""),"保留中",IF($AJ508&lt;&gt;"",IF(N($AC508)&gt;0,"支給済","不支給"),IF($AC508="","要確認",IF($AC508=0,"不支給","未処理")))))</f>
        <v/>
      </c>
      <c r="AE508" s="12" t="n"/>
      <c r="AF508" s="11" t="n"/>
      <c r="AG508" s="11" t="n"/>
      <c r="AH508" s="11" t="n"/>
      <c r="AI508" s="14">
        <f>IF(AND($AD508="保留中",$AF508&lt;&gt;""),TODAY()-$AF508,"")</f>
        <v/>
      </c>
      <c r="AJ508" s="12" t="n"/>
      <c r="AK508" s="14">
        <f>IF($B508="","",IF($AO508="","対象年月が未入力／","")&amp;IF($B508="","",IF($AN508="","職員マスタに未登録の職員番号／",IF($Y508="","標準報酬月額が未登録／","")&amp;IF(AND($AO508&lt;&gt;"",OR(AND(INDEX(職員マスタ!$G$6:$G$405,$AN508)&lt;&gt;"",INDEX(職員マスタ!$G$6:$G$405,$AN508)&gt;EOMONTH($AO508,0)),AND(INDEX(職員マスタ!$H$6:$H$405,$AN508)&lt;&gt;"",INDEX(職員マスタ!$H$6:$H$405,$AN508)&lt;$AO508))),"対象月が時短期間外／","")&amp;IF(AND(INDEX(職員マスタ!$F$6:$F$405,$AN508)&lt;&gt;"",$AO508&lt;&gt;"",INDEX(職員マスタ!$F$6:$F$405,$AN508)&lt;$AO508),"対象月に子が2歳到達済／","")&amp;IF(AND($H508&lt;&gt;"",INDEX(職員マスタ!$B$6:$B$405,$AN508)&lt;&gt;"",SUBSTITUTE(SUBSTITUTE($H508," ","")," ","")&lt;&gt;SUBSTITUTE(SUBSTITUTE(INDEX(職員マスタ!$B$6:$B$405,$AN508)," ","")," ","")),"氏名がマスタと相違／","")&amp;IF(AND($Q508&lt;&gt;"",INDEX(職員マスタ!$E$6:$E$405,$AN508)&lt;&gt;"",$Q508&lt;&gt;INDEX(職員マスタ!$E$6:$E$405,$AN508)),"子の生年月日がマスタと相違／","")&amp;IF(AND($L508&lt;&gt;"",INDEX(職員マスタ!$G$6:$G$405,$AN508)&lt;&gt;"",$L508&lt;&gt;INDEX(職員マスタ!$G$6:$G$405,$AN508)),"時短開始日がマスタと相違／","")&amp;IF(AND($M508&lt;&gt;"",INDEX(職員マスタ!$H$6:$H$405,$AN508)&lt;&gt;"",$M508&lt;&gt;INDEX(職員マスタ!$H$6:$H$405,$AN508)),"時短終了日がマスタと相違／","")))&amp;IF(AND($B508&lt;&gt;"",$E508=""),"報酬額が未入力／","")&amp;IF(N($U508)&gt;0,"申請書に入力エラーが残っています／","")&amp;IF(AND($B508&lt;&gt;"",$AO508&lt;&gt;""),IF(COUNTIFS($B$6:$B$3005,$B508,$C$6:$C$3005,$C508,$D$6:$D$3005,$D508)&gt;1,"同じ月の請求が重複しています／",""),"")&amp;IF(AND(N($E508)&gt;0,$Z508&lt;&gt;"",$Z508&lt;&gt;"×",$AC508=0,$AB508=""),"計算額が下限以下のため不支給／",""))</f>
        <v/>
      </c>
      <c r="AL508" s="12" t="n"/>
      <c r="AM508" s="14">
        <f>IF($AD508="保留中",COUNTIF($AD$6:$AD508,"保留中"),"")</f>
        <v/>
      </c>
      <c r="AN508" s="14">
        <f>IF($AO508="","",IF(SUMPRODUCT(MAX((職員マスタ!$A$6:$A$405=$B508)*(((職員マスタ!$G$6:$G$405="")+(職員マスタ!$G$6:$G$405&lt;=EOMONTH($AO508,0)))&gt;0)*(((職員マスタ!$H$6:$H$405="")+(職員マスタ!$H$6:$H$405&gt;=$AO508))&gt;0)*(ROW(職員マスタ!$A$6:$A$405)-5)))&gt;0,SUMPRODUCT(MAX((職員マスタ!$A$6:$A$405=$B508)*(((職員マスタ!$G$6:$G$405="")+(職員マスタ!$G$6:$G$405&lt;=EOMONTH($AO508,0)))&gt;0)*(((職員マスタ!$H$6:$H$405="")+(職員マスタ!$H$6:$H$405&gt;=$AO508))&gt;0)*(ROW(職員マスタ!$A$6:$A$405)-5))),IFERROR(MATCH($B508,職員マスタ!$A$6:$A$405,0),"")))</f>
        <v/>
      </c>
      <c r="AO508" s="16">
        <f>IF(OR($B508="",$C508="",$D508=""),"",DATE($C508+2018,$D508,1))</f>
        <v/>
      </c>
    </row>
    <row r="509">
      <c r="A509" s="11" t="n"/>
      <c r="B509" s="12" t="n"/>
      <c r="C509" s="12" t="n"/>
      <c r="D509" s="12" t="n"/>
      <c r="E509" s="13" t="n"/>
      <c r="F509" s="12" t="n"/>
      <c r="G509" s="13" t="n"/>
      <c r="H509" s="12" t="n"/>
      <c r="I509" s="12" t="n"/>
      <c r="J509" s="12" t="n"/>
      <c r="K509" s="12" t="n"/>
      <c r="L509" s="11" t="n"/>
      <c r="M509" s="11" t="n"/>
      <c r="N509" s="11" t="n"/>
      <c r="O509" s="11" t="n"/>
      <c r="P509" s="12" t="n"/>
      <c r="Q509" s="11" t="n"/>
      <c r="R509" s="12" t="n"/>
      <c r="S509" s="11" t="n"/>
      <c r="T509" s="12" t="n"/>
      <c r="U509" s="12" t="n"/>
      <c r="V509" s="14">
        <f>IF($AN509="",IF($B509="","",$H509),IF(INDEX(職員マスタ!$B$6:$B$405,$AN509)="",$H509,INDEX(職員マスタ!$B$6:$B$405,$AN509)))</f>
        <v/>
      </c>
      <c r="W509" s="14">
        <f>IF($AN509="",IF($B509="","",$R509),IF(INDEX(職員マスタ!$C$6:$C$405,$AN509)="",$R509,INDEX(職員マスタ!$C$6:$C$405,$AN509)))</f>
        <v/>
      </c>
      <c r="X509" s="14">
        <f>IF($AO509="","","R"&amp;$C509&amp;"."&amp;$D509)</f>
        <v/>
      </c>
      <c r="Y509" s="15">
        <f>IF($AN509="","",IF(INDEX(職員マスタ!$K$6:$K$405,$AN509)="","",INDEX(職員マスタ!$K$6:$K$405,$AN509)))</f>
        <v/>
      </c>
      <c r="Z509" s="14">
        <f>IF(OR($E509="",$Y509=""),"",IF($E509&gt;=$Y509,"×",IF($E509&gt;=$Y509*設定!$C$5,"△","○")))</f>
        <v/>
      </c>
      <c r="AA509" s="15">
        <f>IF($Z509="","",IF($Z509="×",0,IF($Z509="○",ROUNDDOWN($E509*設定!$C$4,0),ROUNDDOWN($E509*ROUND((9*$Y509-9*$E509)/(10*$E509),4),0))))</f>
        <v/>
      </c>
      <c r="AB509" s="13" t="n"/>
      <c r="AC509" s="15">
        <f>IF($B509="","",IF($AB509&lt;&gt;"",$AB509,IF($AA509="","",IF($AA509&lt;=設定!$C$3,0,$AA509))))</f>
        <v/>
      </c>
      <c r="AD509" s="14">
        <f>IF($B509="","",IF(AND($AE509&lt;&gt;"",$AG509="",$AJ509=""),"保留中",IF($AJ509&lt;&gt;"",IF(N($AC509)&gt;0,"支給済","不支給"),IF($AC509="","要確認",IF($AC509=0,"不支給","未処理")))))</f>
        <v/>
      </c>
      <c r="AE509" s="12" t="n"/>
      <c r="AF509" s="11" t="n"/>
      <c r="AG509" s="11" t="n"/>
      <c r="AH509" s="11" t="n"/>
      <c r="AI509" s="14">
        <f>IF(AND($AD509="保留中",$AF509&lt;&gt;""),TODAY()-$AF509,"")</f>
        <v/>
      </c>
      <c r="AJ509" s="12" t="n"/>
      <c r="AK509" s="14">
        <f>IF($B509="","",IF($AO509="","対象年月が未入力／","")&amp;IF($B509="","",IF($AN509="","職員マスタに未登録の職員番号／",IF($Y509="","標準報酬月額が未登録／","")&amp;IF(AND($AO509&lt;&gt;"",OR(AND(INDEX(職員マスタ!$G$6:$G$405,$AN509)&lt;&gt;"",INDEX(職員マスタ!$G$6:$G$405,$AN509)&gt;EOMONTH($AO509,0)),AND(INDEX(職員マスタ!$H$6:$H$405,$AN509)&lt;&gt;"",INDEX(職員マスタ!$H$6:$H$405,$AN509)&lt;$AO509))),"対象月が時短期間外／","")&amp;IF(AND(INDEX(職員マスタ!$F$6:$F$405,$AN509)&lt;&gt;"",$AO509&lt;&gt;"",INDEX(職員マスタ!$F$6:$F$405,$AN509)&lt;$AO509),"対象月に子が2歳到達済／","")&amp;IF(AND($H509&lt;&gt;"",INDEX(職員マスタ!$B$6:$B$405,$AN509)&lt;&gt;"",SUBSTITUTE(SUBSTITUTE($H509," ","")," ","")&lt;&gt;SUBSTITUTE(SUBSTITUTE(INDEX(職員マスタ!$B$6:$B$405,$AN509)," ","")," ","")),"氏名がマスタと相違／","")&amp;IF(AND($Q509&lt;&gt;"",INDEX(職員マスタ!$E$6:$E$405,$AN509)&lt;&gt;"",$Q509&lt;&gt;INDEX(職員マスタ!$E$6:$E$405,$AN509)),"子の生年月日がマスタと相違／","")&amp;IF(AND($L509&lt;&gt;"",INDEX(職員マスタ!$G$6:$G$405,$AN509)&lt;&gt;"",$L509&lt;&gt;INDEX(職員マスタ!$G$6:$G$405,$AN509)),"時短開始日がマスタと相違／","")&amp;IF(AND($M509&lt;&gt;"",INDEX(職員マスタ!$H$6:$H$405,$AN509)&lt;&gt;"",$M509&lt;&gt;INDEX(職員マスタ!$H$6:$H$405,$AN509)),"時短終了日がマスタと相違／","")))&amp;IF(AND($B509&lt;&gt;"",$E509=""),"報酬額が未入力／","")&amp;IF(N($U509)&gt;0,"申請書に入力エラーが残っています／","")&amp;IF(AND($B509&lt;&gt;"",$AO509&lt;&gt;""),IF(COUNTIFS($B$6:$B$3005,$B509,$C$6:$C$3005,$C509,$D$6:$D$3005,$D509)&gt;1,"同じ月の請求が重複しています／",""),"")&amp;IF(AND(N($E509)&gt;0,$Z509&lt;&gt;"",$Z509&lt;&gt;"×",$AC509=0,$AB509=""),"計算額が下限以下のため不支給／",""))</f>
        <v/>
      </c>
      <c r="AL509" s="12" t="n"/>
      <c r="AM509" s="14">
        <f>IF($AD509="保留中",COUNTIF($AD$6:$AD509,"保留中"),"")</f>
        <v/>
      </c>
      <c r="AN509" s="14">
        <f>IF($AO509="","",IF(SUMPRODUCT(MAX((職員マスタ!$A$6:$A$405=$B509)*(((職員マスタ!$G$6:$G$405="")+(職員マスタ!$G$6:$G$405&lt;=EOMONTH($AO509,0)))&gt;0)*(((職員マスタ!$H$6:$H$405="")+(職員マスタ!$H$6:$H$405&gt;=$AO509))&gt;0)*(ROW(職員マスタ!$A$6:$A$405)-5)))&gt;0,SUMPRODUCT(MAX((職員マスタ!$A$6:$A$405=$B509)*(((職員マスタ!$G$6:$G$405="")+(職員マスタ!$G$6:$G$405&lt;=EOMONTH($AO509,0)))&gt;0)*(((職員マスタ!$H$6:$H$405="")+(職員マスタ!$H$6:$H$405&gt;=$AO509))&gt;0)*(ROW(職員マスタ!$A$6:$A$405)-5))),IFERROR(MATCH($B509,職員マスタ!$A$6:$A$405,0),"")))</f>
        <v/>
      </c>
      <c r="AO509" s="16">
        <f>IF(OR($B509="",$C509="",$D509=""),"",DATE($C509+2018,$D509,1))</f>
        <v/>
      </c>
    </row>
    <row r="510">
      <c r="A510" s="11" t="n"/>
      <c r="B510" s="12" t="n"/>
      <c r="C510" s="12" t="n"/>
      <c r="D510" s="12" t="n"/>
      <c r="E510" s="13" t="n"/>
      <c r="F510" s="12" t="n"/>
      <c r="G510" s="13" t="n"/>
      <c r="H510" s="12" t="n"/>
      <c r="I510" s="12" t="n"/>
      <c r="J510" s="12" t="n"/>
      <c r="K510" s="12" t="n"/>
      <c r="L510" s="11" t="n"/>
      <c r="M510" s="11" t="n"/>
      <c r="N510" s="11" t="n"/>
      <c r="O510" s="11" t="n"/>
      <c r="P510" s="12" t="n"/>
      <c r="Q510" s="11" t="n"/>
      <c r="R510" s="12" t="n"/>
      <c r="S510" s="11" t="n"/>
      <c r="T510" s="12" t="n"/>
      <c r="U510" s="12" t="n"/>
      <c r="V510" s="14">
        <f>IF($AN510="",IF($B510="","",$H510),IF(INDEX(職員マスタ!$B$6:$B$405,$AN510)="",$H510,INDEX(職員マスタ!$B$6:$B$405,$AN510)))</f>
        <v/>
      </c>
      <c r="W510" s="14">
        <f>IF($AN510="",IF($B510="","",$R510),IF(INDEX(職員マスタ!$C$6:$C$405,$AN510)="",$R510,INDEX(職員マスタ!$C$6:$C$405,$AN510)))</f>
        <v/>
      </c>
      <c r="X510" s="14">
        <f>IF($AO510="","","R"&amp;$C510&amp;"."&amp;$D510)</f>
        <v/>
      </c>
      <c r="Y510" s="15">
        <f>IF($AN510="","",IF(INDEX(職員マスタ!$K$6:$K$405,$AN510)="","",INDEX(職員マスタ!$K$6:$K$405,$AN510)))</f>
        <v/>
      </c>
      <c r="Z510" s="14">
        <f>IF(OR($E510="",$Y510=""),"",IF($E510&gt;=$Y510,"×",IF($E510&gt;=$Y510*設定!$C$5,"△","○")))</f>
        <v/>
      </c>
      <c r="AA510" s="15">
        <f>IF($Z510="","",IF($Z510="×",0,IF($Z510="○",ROUNDDOWN($E510*設定!$C$4,0),ROUNDDOWN($E510*ROUND((9*$Y510-9*$E510)/(10*$E510),4),0))))</f>
        <v/>
      </c>
      <c r="AB510" s="13" t="n"/>
      <c r="AC510" s="15">
        <f>IF($B510="","",IF($AB510&lt;&gt;"",$AB510,IF($AA510="","",IF($AA510&lt;=設定!$C$3,0,$AA510))))</f>
        <v/>
      </c>
      <c r="AD510" s="14">
        <f>IF($B510="","",IF(AND($AE510&lt;&gt;"",$AG510="",$AJ510=""),"保留中",IF($AJ510&lt;&gt;"",IF(N($AC510)&gt;0,"支給済","不支給"),IF($AC510="","要確認",IF($AC510=0,"不支給","未処理")))))</f>
        <v/>
      </c>
      <c r="AE510" s="12" t="n"/>
      <c r="AF510" s="11" t="n"/>
      <c r="AG510" s="11" t="n"/>
      <c r="AH510" s="11" t="n"/>
      <c r="AI510" s="14">
        <f>IF(AND($AD510="保留中",$AF510&lt;&gt;""),TODAY()-$AF510,"")</f>
        <v/>
      </c>
      <c r="AJ510" s="12" t="n"/>
      <c r="AK510" s="14">
        <f>IF($B510="","",IF($AO510="","対象年月が未入力／","")&amp;IF($B510="","",IF($AN510="","職員マスタに未登録の職員番号／",IF($Y510="","標準報酬月額が未登録／","")&amp;IF(AND($AO510&lt;&gt;"",OR(AND(INDEX(職員マスタ!$G$6:$G$405,$AN510)&lt;&gt;"",INDEX(職員マスタ!$G$6:$G$405,$AN510)&gt;EOMONTH($AO510,0)),AND(INDEX(職員マスタ!$H$6:$H$405,$AN510)&lt;&gt;"",INDEX(職員マスタ!$H$6:$H$405,$AN510)&lt;$AO510))),"対象月が時短期間外／","")&amp;IF(AND(INDEX(職員マスタ!$F$6:$F$405,$AN510)&lt;&gt;"",$AO510&lt;&gt;"",INDEX(職員マスタ!$F$6:$F$405,$AN510)&lt;$AO510),"対象月に子が2歳到達済／","")&amp;IF(AND($H510&lt;&gt;"",INDEX(職員マスタ!$B$6:$B$405,$AN510)&lt;&gt;"",SUBSTITUTE(SUBSTITUTE($H510," ","")," ","")&lt;&gt;SUBSTITUTE(SUBSTITUTE(INDEX(職員マスタ!$B$6:$B$405,$AN510)," ","")," ","")),"氏名がマスタと相違／","")&amp;IF(AND($Q510&lt;&gt;"",INDEX(職員マスタ!$E$6:$E$405,$AN510)&lt;&gt;"",$Q510&lt;&gt;INDEX(職員マスタ!$E$6:$E$405,$AN510)),"子の生年月日がマスタと相違／","")&amp;IF(AND($L510&lt;&gt;"",INDEX(職員マスタ!$G$6:$G$405,$AN510)&lt;&gt;"",$L510&lt;&gt;INDEX(職員マスタ!$G$6:$G$405,$AN510)),"時短開始日がマスタと相違／","")&amp;IF(AND($M510&lt;&gt;"",INDEX(職員マスタ!$H$6:$H$405,$AN510)&lt;&gt;"",$M510&lt;&gt;INDEX(職員マスタ!$H$6:$H$405,$AN510)),"時短終了日がマスタと相違／","")))&amp;IF(AND($B510&lt;&gt;"",$E510=""),"報酬額が未入力／","")&amp;IF(N($U510)&gt;0,"申請書に入力エラーが残っています／","")&amp;IF(AND($B510&lt;&gt;"",$AO510&lt;&gt;""),IF(COUNTIFS($B$6:$B$3005,$B510,$C$6:$C$3005,$C510,$D$6:$D$3005,$D510)&gt;1,"同じ月の請求が重複しています／",""),"")&amp;IF(AND(N($E510)&gt;0,$Z510&lt;&gt;"",$Z510&lt;&gt;"×",$AC510=0,$AB510=""),"計算額が下限以下のため不支給／",""))</f>
        <v/>
      </c>
      <c r="AL510" s="12" t="n"/>
      <c r="AM510" s="14">
        <f>IF($AD510="保留中",COUNTIF($AD$6:$AD510,"保留中"),"")</f>
        <v/>
      </c>
      <c r="AN510" s="14">
        <f>IF($AO510="","",IF(SUMPRODUCT(MAX((職員マスタ!$A$6:$A$405=$B510)*(((職員マスタ!$G$6:$G$405="")+(職員マスタ!$G$6:$G$405&lt;=EOMONTH($AO510,0)))&gt;0)*(((職員マスタ!$H$6:$H$405="")+(職員マスタ!$H$6:$H$405&gt;=$AO510))&gt;0)*(ROW(職員マスタ!$A$6:$A$405)-5)))&gt;0,SUMPRODUCT(MAX((職員マスタ!$A$6:$A$405=$B510)*(((職員マスタ!$G$6:$G$405="")+(職員マスタ!$G$6:$G$405&lt;=EOMONTH($AO510,0)))&gt;0)*(((職員マスタ!$H$6:$H$405="")+(職員マスタ!$H$6:$H$405&gt;=$AO510))&gt;0)*(ROW(職員マスタ!$A$6:$A$405)-5))),IFERROR(MATCH($B510,職員マスタ!$A$6:$A$405,0),"")))</f>
        <v/>
      </c>
      <c r="AO510" s="16">
        <f>IF(OR($B510="",$C510="",$D510=""),"",DATE($C510+2018,$D510,1))</f>
        <v/>
      </c>
    </row>
    <row r="511">
      <c r="A511" s="11" t="n"/>
      <c r="B511" s="12" t="n"/>
      <c r="C511" s="12" t="n"/>
      <c r="D511" s="12" t="n"/>
      <c r="E511" s="13" t="n"/>
      <c r="F511" s="12" t="n"/>
      <c r="G511" s="13" t="n"/>
      <c r="H511" s="12" t="n"/>
      <c r="I511" s="12" t="n"/>
      <c r="J511" s="12" t="n"/>
      <c r="K511" s="12" t="n"/>
      <c r="L511" s="11" t="n"/>
      <c r="M511" s="11" t="n"/>
      <c r="N511" s="11" t="n"/>
      <c r="O511" s="11" t="n"/>
      <c r="P511" s="12" t="n"/>
      <c r="Q511" s="11" t="n"/>
      <c r="R511" s="12" t="n"/>
      <c r="S511" s="11" t="n"/>
      <c r="T511" s="12" t="n"/>
      <c r="U511" s="12" t="n"/>
      <c r="V511" s="14">
        <f>IF($AN511="",IF($B511="","",$H511),IF(INDEX(職員マスタ!$B$6:$B$405,$AN511)="",$H511,INDEX(職員マスタ!$B$6:$B$405,$AN511)))</f>
        <v/>
      </c>
      <c r="W511" s="14">
        <f>IF($AN511="",IF($B511="","",$R511),IF(INDEX(職員マスタ!$C$6:$C$405,$AN511)="",$R511,INDEX(職員マスタ!$C$6:$C$405,$AN511)))</f>
        <v/>
      </c>
      <c r="X511" s="14">
        <f>IF($AO511="","","R"&amp;$C511&amp;"."&amp;$D511)</f>
        <v/>
      </c>
      <c r="Y511" s="15">
        <f>IF($AN511="","",IF(INDEX(職員マスタ!$K$6:$K$405,$AN511)="","",INDEX(職員マスタ!$K$6:$K$405,$AN511)))</f>
        <v/>
      </c>
      <c r="Z511" s="14">
        <f>IF(OR($E511="",$Y511=""),"",IF($E511&gt;=$Y511,"×",IF($E511&gt;=$Y511*設定!$C$5,"△","○")))</f>
        <v/>
      </c>
      <c r="AA511" s="15">
        <f>IF($Z511="","",IF($Z511="×",0,IF($Z511="○",ROUNDDOWN($E511*設定!$C$4,0),ROUNDDOWN($E511*ROUND((9*$Y511-9*$E511)/(10*$E511),4),0))))</f>
        <v/>
      </c>
      <c r="AB511" s="13" t="n"/>
      <c r="AC511" s="15">
        <f>IF($B511="","",IF($AB511&lt;&gt;"",$AB511,IF($AA511="","",IF($AA511&lt;=設定!$C$3,0,$AA511))))</f>
        <v/>
      </c>
      <c r="AD511" s="14">
        <f>IF($B511="","",IF(AND($AE511&lt;&gt;"",$AG511="",$AJ511=""),"保留中",IF($AJ511&lt;&gt;"",IF(N($AC511)&gt;0,"支給済","不支給"),IF($AC511="","要確認",IF($AC511=0,"不支給","未処理")))))</f>
        <v/>
      </c>
      <c r="AE511" s="12" t="n"/>
      <c r="AF511" s="11" t="n"/>
      <c r="AG511" s="11" t="n"/>
      <c r="AH511" s="11" t="n"/>
      <c r="AI511" s="14">
        <f>IF(AND($AD511="保留中",$AF511&lt;&gt;""),TODAY()-$AF511,"")</f>
        <v/>
      </c>
      <c r="AJ511" s="12" t="n"/>
      <c r="AK511" s="14">
        <f>IF($B511="","",IF($AO511="","対象年月が未入力／","")&amp;IF($B511="","",IF($AN511="","職員マスタに未登録の職員番号／",IF($Y511="","標準報酬月額が未登録／","")&amp;IF(AND($AO511&lt;&gt;"",OR(AND(INDEX(職員マスタ!$G$6:$G$405,$AN511)&lt;&gt;"",INDEX(職員マスタ!$G$6:$G$405,$AN511)&gt;EOMONTH($AO511,0)),AND(INDEX(職員マスタ!$H$6:$H$405,$AN511)&lt;&gt;"",INDEX(職員マスタ!$H$6:$H$405,$AN511)&lt;$AO511))),"対象月が時短期間外／","")&amp;IF(AND(INDEX(職員マスタ!$F$6:$F$405,$AN511)&lt;&gt;"",$AO511&lt;&gt;"",INDEX(職員マスタ!$F$6:$F$405,$AN511)&lt;$AO511),"対象月に子が2歳到達済／","")&amp;IF(AND($H511&lt;&gt;"",INDEX(職員マスタ!$B$6:$B$405,$AN511)&lt;&gt;"",SUBSTITUTE(SUBSTITUTE($H511," ","")," ","")&lt;&gt;SUBSTITUTE(SUBSTITUTE(INDEX(職員マスタ!$B$6:$B$405,$AN511)," ","")," ","")),"氏名がマスタと相違／","")&amp;IF(AND($Q511&lt;&gt;"",INDEX(職員マスタ!$E$6:$E$405,$AN511)&lt;&gt;"",$Q511&lt;&gt;INDEX(職員マスタ!$E$6:$E$405,$AN511)),"子の生年月日がマスタと相違／","")&amp;IF(AND($L511&lt;&gt;"",INDEX(職員マスタ!$G$6:$G$405,$AN511)&lt;&gt;"",$L511&lt;&gt;INDEX(職員マスタ!$G$6:$G$405,$AN511)),"時短開始日がマスタと相違／","")&amp;IF(AND($M511&lt;&gt;"",INDEX(職員マスタ!$H$6:$H$405,$AN511)&lt;&gt;"",$M511&lt;&gt;INDEX(職員マスタ!$H$6:$H$405,$AN511)),"時短終了日がマスタと相違／","")))&amp;IF(AND($B511&lt;&gt;"",$E511=""),"報酬額が未入力／","")&amp;IF(N($U511)&gt;0,"申請書に入力エラーが残っています／","")&amp;IF(AND($B511&lt;&gt;"",$AO511&lt;&gt;""),IF(COUNTIFS($B$6:$B$3005,$B511,$C$6:$C$3005,$C511,$D$6:$D$3005,$D511)&gt;1,"同じ月の請求が重複しています／",""),"")&amp;IF(AND(N($E511)&gt;0,$Z511&lt;&gt;"",$Z511&lt;&gt;"×",$AC511=0,$AB511=""),"計算額が下限以下のため不支給／",""))</f>
        <v/>
      </c>
      <c r="AL511" s="12" t="n"/>
      <c r="AM511" s="14">
        <f>IF($AD511="保留中",COUNTIF($AD$6:$AD511,"保留中"),"")</f>
        <v/>
      </c>
      <c r="AN511" s="14">
        <f>IF($AO511="","",IF(SUMPRODUCT(MAX((職員マスタ!$A$6:$A$405=$B511)*(((職員マスタ!$G$6:$G$405="")+(職員マスタ!$G$6:$G$405&lt;=EOMONTH($AO511,0)))&gt;0)*(((職員マスタ!$H$6:$H$405="")+(職員マスタ!$H$6:$H$405&gt;=$AO511))&gt;0)*(ROW(職員マスタ!$A$6:$A$405)-5)))&gt;0,SUMPRODUCT(MAX((職員マスタ!$A$6:$A$405=$B511)*(((職員マスタ!$G$6:$G$405="")+(職員マスタ!$G$6:$G$405&lt;=EOMONTH($AO511,0)))&gt;0)*(((職員マスタ!$H$6:$H$405="")+(職員マスタ!$H$6:$H$405&gt;=$AO511))&gt;0)*(ROW(職員マスタ!$A$6:$A$405)-5))),IFERROR(MATCH($B511,職員マスタ!$A$6:$A$405,0),"")))</f>
        <v/>
      </c>
      <c r="AO511" s="16">
        <f>IF(OR($B511="",$C511="",$D511=""),"",DATE($C511+2018,$D511,1))</f>
        <v/>
      </c>
    </row>
    <row r="512">
      <c r="A512" s="11" t="n"/>
      <c r="B512" s="12" t="n"/>
      <c r="C512" s="12" t="n"/>
      <c r="D512" s="12" t="n"/>
      <c r="E512" s="13" t="n"/>
      <c r="F512" s="12" t="n"/>
      <c r="G512" s="13" t="n"/>
      <c r="H512" s="12" t="n"/>
      <c r="I512" s="12" t="n"/>
      <c r="J512" s="12" t="n"/>
      <c r="K512" s="12" t="n"/>
      <c r="L512" s="11" t="n"/>
      <c r="M512" s="11" t="n"/>
      <c r="N512" s="11" t="n"/>
      <c r="O512" s="11" t="n"/>
      <c r="P512" s="12" t="n"/>
      <c r="Q512" s="11" t="n"/>
      <c r="R512" s="12" t="n"/>
      <c r="S512" s="11" t="n"/>
      <c r="T512" s="12" t="n"/>
      <c r="U512" s="12" t="n"/>
      <c r="V512" s="14">
        <f>IF($AN512="",IF($B512="","",$H512),IF(INDEX(職員マスタ!$B$6:$B$405,$AN512)="",$H512,INDEX(職員マスタ!$B$6:$B$405,$AN512)))</f>
        <v/>
      </c>
      <c r="W512" s="14">
        <f>IF($AN512="",IF($B512="","",$R512),IF(INDEX(職員マスタ!$C$6:$C$405,$AN512)="",$R512,INDEX(職員マスタ!$C$6:$C$405,$AN512)))</f>
        <v/>
      </c>
      <c r="X512" s="14">
        <f>IF($AO512="","","R"&amp;$C512&amp;"."&amp;$D512)</f>
        <v/>
      </c>
      <c r="Y512" s="15">
        <f>IF($AN512="","",IF(INDEX(職員マスタ!$K$6:$K$405,$AN512)="","",INDEX(職員マスタ!$K$6:$K$405,$AN512)))</f>
        <v/>
      </c>
      <c r="Z512" s="14">
        <f>IF(OR($E512="",$Y512=""),"",IF($E512&gt;=$Y512,"×",IF($E512&gt;=$Y512*設定!$C$5,"△","○")))</f>
        <v/>
      </c>
      <c r="AA512" s="15">
        <f>IF($Z512="","",IF($Z512="×",0,IF($Z512="○",ROUNDDOWN($E512*設定!$C$4,0),ROUNDDOWN($E512*ROUND((9*$Y512-9*$E512)/(10*$E512),4),0))))</f>
        <v/>
      </c>
      <c r="AB512" s="13" t="n"/>
      <c r="AC512" s="15">
        <f>IF($B512="","",IF($AB512&lt;&gt;"",$AB512,IF($AA512="","",IF($AA512&lt;=設定!$C$3,0,$AA512))))</f>
        <v/>
      </c>
      <c r="AD512" s="14">
        <f>IF($B512="","",IF(AND($AE512&lt;&gt;"",$AG512="",$AJ512=""),"保留中",IF($AJ512&lt;&gt;"",IF(N($AC512)&gt;0,"支給済","不支給"),IF($AC512="","要確認",IF($AC512=0,"不支給","未処理")))))</f>
        <v/>
      </c>
      <c r="AE512" s="12" t="n"/>
      <c r="AF512" s="11" t="n"/>
      <c r="AG512" s="11" t="n"/>
      <c r="AH512" s="11" t="n"/>
      <c r="AI512" s="14">
        <f>IF(AND($AD512="保留中",$AF512&lt;&gt;""),TODAY()-$AF512,"")</f>
        <v/>
      </c>
      <c r="AJ512" s="12" t="n"/>
      <c r="AK512" s="14">
        <f>IF($B512="","",IF($AO512="","対象年月が未入力／","")&amp;IF($B512="","",IF($AN512="","職員マスタに未登録の職員番号／",IF($Y512="","標準報酬月額が未登録／","")&amp;IF(AND($AO512&lt;&gt;"",OR(AND(INDEX(職員マスタ!$G$6:$G$405,$AN512)&lt;&gt;"",INDEX(職員マスタ!$G$6:$G$405,$AN512)&gt;EOMONTH($AO512,0)),AND(INDEX(職員マスタ!$H$6:$H$405,$AN512)&lt;&gt;"",INDEX(職員マスタ!$H$6:$H$405,$AN512)&lt;$AO512))),"対象月が時短期間外／","")&amp;IF(AND(INDEX(職員マスタ!$F$6:$F$405,$AN512)&lt;&gt;"",$AO512&lt;&gt;"",INDEX(職員マスタ!$F$6:$F$405,$AN512)&lt;$AO512),"対象月に子が2歳到達済／","")&amp;IF(AND($H512&lt;&gt;"",INDEX(職員マスタ!$B$6:$B$405,$AN512)&lt;&gt;"",SUBSTITUTE(SUBSTITUTE($H512," ","")," ","")&lt;&gt;SUBSTITUTE(SUBSTITUTE(INDEX(職員マスタ!$B$6:$B$405,$AN512)," ","")," ","")),"氏名がマスタと相違／","")&amp;IF(AND($Q512&lt;&gt;"",INDEX(職員マスタ!$E$6:$E$405,$AN512)&lt;&gt;"",$Q512&lt;&gt;INDEX(職員マスタ!$E$6:$E$405,$AN512)),"子の生年月日がマスタと相違／","")&amp;IF(AND($L512&lt;&gt;"",INDEX(職員マスタ!$G$6:$G$405,$AN512)&lt;&gt;"",$L512&lt;&gt;INDEX(職員マスタ!$G$6:$G$405,$AN512)),"時短開始日がマスタと相違／","")&amp;IF(AND($M512&lt;&gt;"",INDEX(職員マスタ!$H$6:$H$405,$AN512)&lt;&gt;"",$M512&lt;&gt;INDEX(職員マスタ!$H$6:$H$405,$AN512)),"時短終了日がマスタと相違／","")))&amp;IF(AND($B512&lt;&gt;"",$E512=""),"報酬額が未入力／","")&amp;IF(N($U512)&gt;0,"申請書に入力エラーが残っています／","")&amp;IF(AND($B512&lt;&gt;"",$AO512&lt;&gt;""),IF(COUNTIFS($B$6:$B$3005,$B512,$C$6:$C$3005,$C512,$D$6:$D$3005,$D512)&gt;1,"同じ月の請求が重複しています／",""),"")&amp;IF(AND(N($E512)&gt;0,$Z512&lt;&gt;"",$Z512&lt;&gt;"×",$AC512=0,$AB512=""),"計算額が下限以下のため不支給／",""))</f>
        <v/>
      </c>
      <c r="AL512" s="12" t="n"/>
      <c r="AM512" s="14">
        <f>IF($AD512="保留中",COUNTIF($AD$6:$AD512,"保留中"),"")</f>
        <v/>
      </c>
      <c r="AN512" s="14">
        <f>IF($AO512="","",IF(SUMPRODUCT(MAX((職員マスタ!$A$6:$A$405=$B512)*(((職員マスタ!$G$6:$G$405="")+(職員マスタ!$G$6:$G$405&lt;=EOMONTH($AO512,0)))&gt;0)*(((職員マスタ!$H$6:$H$405="")+(職員マスタ!$H$6:$H$405&gt;=$AO512))&gt;0)*(ROW(職員マスタ!$A$6:$A$405)-5)))&gt;0,SUMPRODUCT(MAX((職員マスタ!$A$6:$A$405=$B512)*(((職員マスタ!$G$6:$G$405="")+(職員マスタ!$G$6:$G$405&lt;=EOMONTH($AO512,0)))&gt;0)*(((職員マスタ!$H$6:$H$405="")+(職員マスタ!$H$6:$H$405&gt;=$AO512))&gt;0)*(ROW(職員マスタ!$A$6:$A$405)-5))),IFERROR(MATCH($B512,職員マスタ!$A$6:$A$405,0),"")))</f>
        <v/>
      </c>
      <c r="AO512" s="16">
        <f>IF(OR($B512="",$C512="",$D512=""),"",DATE($C512+2018,$D512,1))</f>
        <v/>
      </c>
    </row>
    <row r="513">
      <c r="A513" s="11" t="n"/>
      <c r="B513" s="12" t="n"/>
      <c r="C513" s="12" t="n"/>
      <c r="D513" s="12" t="n"/>
      <c r="E513" s="13" t="n"/>
      <c r="F513" s="12" t="n"/>
      <c r="G513" s="13" t="n"/>
      <c r="H513" s="12" t="n"/>
      <c r="I513" s="12" t="n"/>
      <c r="J513" s="12" t="n"/>
      <c r="K513" s="12" t="n"/>
      <c r="L513" s="11" t="n"/>
      <c r="M513" s="11" t="n"/>
      <c r="N513" s="11" t="n"/>
      <c r="O513" s="11" t="n"/>
      <c r="P513" s="12" t="n"/>
      <c r="Q513" s="11" t="n"/>
      <c r="R513" s="12" t="n"/>
      <c r="S513" s="11" t="n"/>
      <c r="T513" s="12" t="n"/>
      <c r="U513" s="12" t="n"/>
      <c r="V513" s="14">
        <f>IF($AN513="",IF($B513="","",$H513),IF(INDEX(職員マスタ!$B$6:$B$405,$AN513)="",$H513,INDEX(職員マスタ!$B$6:$B$405,$AN513)))</f>
        <v/>
      </c>
      <c r="W513" s="14">
        <f>IF($AN513="",IF($B513="","",$R513),IF(INDEX(職員マスタ!$C$6:$C$405,$AN513)="",$R513,INDEX(職員マスタ!$C$6:$C$405,$AN513)))</f>
        <v/>
      </c>
      <c r="X513" s="14">
        <f>IF($AO513="","","R"&amp;$C513&amp;"."&amp;$D513)</f>
        <v/>
      </c>
      <c r="Y513" s="15">
        <f>IF($AN513="","",IF(INDEX(職員マスタ!$K$6:$K$405,$AN513)="","",INDEX(職員マスタ!$K$6:$K$405,$AN513)))</f>
        <v/>
      </c>
      <c r="Z513" s="14">
        <f>IF(OR($E513="",$Y513=""),"",IF($E513&gt;=$Y513,"×",IF($E513&gt;=$Y513*設定!$C$5,"△","○")))</f>
        <v/>
      </c>
      <c r="AA513" s="15">
        <f>IF($Z513="","",IF($Z513="×",0,IF($Z513="○",ROUNDDOWN($E513*設定!$C$4,0),ROUNDDOWN($E513*ROUND((9*$Y513-9*$E513)/(10*$E513),4),0))))</f>
        <v/>
      </c>
      <c r="AB513" s="13" t="n"/>
      <c r="AC513" s="15">
        <f>IF($B513="","",IF($AB513&lt;&gt;"",$AB513,IF($AA513="","",IF($AA513&lt;=設定!$C$3,0,$AA513))))</f>
        <v/>
      </c>
      <c r="AD513" s="14">
        <f>IF($B513="","",IF(AND($AE513&lt;&gt;"",$AG513="",$AJ513=""),"保留中",IF($AJ513&lt;&gt;"",IF(N($AC513)&gt;0,"支給済","不支給"),IF($AC513="","要確認",IF($AC513=0,"不支給","未処理")))))</f>
        <v/>
      </c>
      <c r="AE513" s="12" t="n"/>
      <c r="AF513" s="11" t="n"/>
      <c r="AG513" s="11" t="n"/>
      <c r="AH513" s="11" t="n"/>
      <c r="AI513" s="14">
        <f>IF(AND($AD513="保留中",$AF513&lt;&gt;""),TODAY()-$AF513,"")</f>
        <v/>
      </c>
      <c r="AJ513" s="12" t="n"/>
      <c r="AK513" s="14">
        <f>IF($B513="","",IF($AO513="","対象年月が未入力／","")&amp;IF($B513="","",IF($AN513="","職員マスタに未登録の職員番号／",IF($Y513="","標準報酬月額が未登録／","")&amp;IF(AND($AO513&lt;&gt;"",OR(AND(INDEX(職員マスタ!$G$6:$G$405,$AN513)&lt;&gt;"",INDEX(職員マスタ!$G$6:$G$405,$AN513)&gt;EOMONTH($AO513,0)),AND(INDEX(職員マスタ!$H$6:$H$405,$AN513)&lt;&gt;"",INDEX(職員マスタ!$H$6:$H$405,$AN513)&lt;$AO513))),"対象月が時短期間外／","")&amp;IF(AND(INDEX(職員マスタ!$F$6:$F$405,$AN513)&lt;&gt;"",$AO513&lt;&gt;"",INDEX(職員マスタ!$F$6:$F$405,$AN513)&lt;$AO513),"対象月に子が2歳到達済／","")&amp;IF(AND($H513&lt;&gt;"",INDEX(職員マスタ!$B$6:$B$405,$AN513)&lt;&gt;"",SUBSTITUTE(SUBSTITUTE($H513," ","")," ","")&lt;&gt;SUBSTITUTE(SUBSTITUTE(INDEX(職員マスタ!$B$6:$B$405,$AN513)," ","")," ","")),"氏名がマスタと相違／","")&amp;IF(AND($Q513&lt;&gt;"",INDEX(職員マスタ!$E$6:$E$405,$AN513)&lt;&gt;"",$Q513&lt;&gt;INDEX(職員マスタ!$E$6:$E$405,$AN513)),"子の生年月日がマスタと相違／","")&amp;IF(AND($L513&lt;&gt;"",INDEX(職員マスタ!$G$6:$G$405,$AN513)&lt;&gt;"",$L513&lt;&gt;INDEX(職員マスタ!$G$6:$G$405,$AN513)),"時短開始日がマスタと相違／","")&amp;IF(AND($M513&lt;&gt;"",INDEX(職員マスタ!$H$6:$H$405,$AN513)&lt;&gt;"",$M513&lt;&gt;INDEX(職員マスタ!$H$6:$H$405,$AN513)),"時短終了日がマスタと相違／","")))&amp;IF(AND($B513&lt;&gt;"",$E513=""),"報酬額が未入力／","")&amp;IF(N($U513)&gt;0,"申請書に入力エラーが残っています／","")&amp;IF(AND($B513&lt;&gt;"",$AO513&lt;&gt;""),IF(COUNTIFS($B$6:$B$3005,$B513,$C$6:$C$3005,$C513,$D$6:$D$3005,$D513)&gt;1,"同じ月の請求が重複しています／",""),"")&amp;IF(AND(N($E513)&gt;0,$Z513&lt;&gt;"",$Z513&lt;&gt;"×",$AC513=0,$AB513=""),"計算額が下限以下のため不支給／",""))</f>
        <v/>
      </c>
      <c r="AL513" s="12" t="n"/>
      <c r="AM513" s="14">
        <f>IF($AD513="保留中",COUNTIF($AD$6:$AD513,"保留中"),"")</f>
        <v/>
      </c>
      <c r="AN513" s="14">
        <f>IF($AO513="","",IF(SUMPRODUCT(MAX((職員マスタ!$A$6:$A$405=$B513)*(((職員マスタ!$G$6:$G$405="")+(職員マスタ!$G$6:$G$405&lt;=EOMONTH($AO513,0)))&gt;0)*(((職員マスタ!$H$6:$H$405="")+(職員マスタ!$H$6:$H$405&gt;=$AO513))&gt;0)*(ROW(職員マスタ!$A$6:$A$405)-5)))&gt;0,SUMPRODUCT(MAX((職員マスタ!$A$6:$A$405=$B513)*(((職員マスタ!$G$6:$G$405="")+(職員マスタ!$G$6:$G$405&lt;=EOMONTH($AO513,0)))&gt;0)*(((職員マスタ!$H$6:$H$405="")+(職員マスタ!$H$6:$H$405&gt;=$AO513))&gt;0)*(ROW(職員マスタ!$A$6:$A$405)-5))),IFERROR(MATCH($B513,職員マスタ!$A$6:$A$405,0),"")))</f>
        <v/>
      </c>
      <c r="AO513" s="16">
        <f>IF(OR($B513="",$C513="",$D513=""),"",DATE($C513+2018,$D513,1))</f>
        <v/>
      </c>
    </row>
    <row r="514">
      <c r="A514" s="11" t="n"/>
      <c r="B514" s="12" t="n"/>
      <c r="C514" s="12" t="n"/>
      <c r="D514" s="12" t="n"/>
      <c r="E514" s="13" t="n"/>
      <c r="F514" s="12" t="n"/>
      <c r="G514" s="13" t="n"/>
      <c r="H514" s="12" t="n"/>
      <c r="I514" s="12" t="n"/>
      <c r="J514" s="12" t="n"/>
      <c r="K514" s="12" t="n"/>
      <c r="L514" s="11" t="n"/>
      <c r="M514" s="11" t="n"/>
      <c r="N514" s="11" t="n"/>
      <c r="O514" s="11" t="n"/>
      <c r="P514" s="12" t="n"/>
      <c r="Q514" s="11" t="n"/>
      <c r="R514" s="12" t="n"/>
      <c r="S514" s="11" t="n"/>
      <c r="T514" s="12" t="n"/>
      <c r="U514" s="12" t="n"/>
      <c r="V514" s="14">
        <f>IF($AN514="",IF($B514="","",$H514),IF(INDEX(職員マスタ!$B$6:$B$405,$AN514)="",$H514,INDEX(職員マスタ!$B$6:$B$405,$AN514)))</f>
        <v/>
      </c>
      <c r="W514" s="14">
        <f>IF($AN514="",IF($B514="","",$R514),IF(INDEX(職員マスタ!$C$6:$C$405,$AN514)="",$R514,INDEX(職員マスタ!$C$6:$C$405,$AN514)))</f>
        <v/>
      </c>
      <c r="X514" s="14">
        <f>IF($AO514="","","R"&amp;$C514&amp;"."&amp;$D514)</f>
        <v/>
      </c>
      <c r="Y514" s="15">
        <f>IF($AN514="","",IF(INDEX(職員マスタ!$K$6:$K$405,$AN514)="","",INDEX(職員マスタ!$K$6:$K$405,$AN514)))</f>
        <v/>
      </c>
      <c r="Z514" s="14">
        <f>IF(OR($E514="",$Y514=""),"",IF($E514&gt;=$Y514,"×",IF($E514&gt;=$Y514*設定!$C$5,"△","○")))</f>
        <v/>
      </c>
      <c r="AA514" s="15">
        <f>IF($Z514="","",IF($Z514="×",0,IF($Z514="○",ROUNDDOWN($E514*設定!$C$4,0),ROUNDDOWN($E514*ROUND((9*$Y514-9*$E514)/(10*$E514),4),0))))</f>
        <v/>
      </c>
      <c r="AB514" s="13" t="n"/>
      <c r="AC514" s="15">
        <f>IF($B514="","",IF($AB514&lt;&gt;"",$AB514,IF($AA514="","",IF($AA514&lt;=設定!$C$3,0,$AA514))))</f>
        <v/>
      </c>
      <c r="AD514" s="14">
        <f>IF($B514="","",IF(AND($AE514&lt;&gt;"",$AG514="",$AJ514=""),"保留中",IF($AJ514&lt;&gt;"",IF(N($AC514)&gt;0,"支給済","不支給"),IF($AC514="","要確認",IF($AC514=0,"不支給","未処理")))))</f>
        <v/>
      </c>
      <c r="AE514" s="12" t="n"/>
      <c r="AF514" s="11" t="n"/>
      <c r="AG514" s="11" t="n"/>
      <c r="AH514" s="11" t="n"/>
      <c r="AI514" s="14">
        <f>IF(AND($AD514="保留中",$AF514&lt;&gt;""),TODAY()-$AF514,"")</f>
        <v/>
      </c>
      <c r="AJ514" s="12" t="n"/>
      <c r="AK514" s="14">
        <f>IF($B514="","",IF($AO514="","対象年月が未入力／","")&amp;IF($B514="","",IF($AN514="","職員マスタに未登録の職員番号／",IF($Y514="","標準報酬月額が未登録／","")&amp;IF(AND($AO514&lt;&gt;"",OR(AND(INDEX(職員マスタ!$G$6:$G$405,$AN514)&lt;&gt;"",INDEX(職員マスタ!$G$6:$G$405,$AN514)&gt;EOMONTH($AO514,0)),AND(INDEX(職員マスタ!$H$6:$H$405,$AN514)&lt;&gt;"",INDEX(職員マスタ!$H$6:$H$405,$AN514)&lt;$AO514))),"対象月が時短期間外／","")&amp;IF(AND(INDEX(職員マスタ!$F$6:$F$405,$AN514)&lt;&gt;"",$AO514&lt;&gt;"",INDEX(職員マスタ!$F$6:$F$405,$AN514)&lt;$AO514),"対象月に子が2歳到達済／","")&amp;IF(AND($H514&lt;&gt;"",INDEX(職員マスタ!$B$6:$B$405,$AN514)&lt;&gt;"",SUBSTITUTE(SUBSTITUTE($H514," ","")," ","")&lt;&gt;SUBSTITUTE(SUBSTITUTE(INDEX(職員マスタ!$B$6:$B$405,$AN514)," ","")," ","")),"氏名がマスタと相違／","")&amp;IF(AND($Q514&lt;&gt;"",INDEX(職員マスタ!$E$6:$E$405,$AN514)&lt;&gt;"",$Q514&lt;&gt;INDEX(職員マスタ!$E$6:$E$405,$AN514)),"子の生年月日がマスタと相違／","")&amp;IF(AND($L514&lt;&gt;"",INDEX(職員マスタ!$G$6:$G$405,$AN514)&lt;&gt;"",$L514&lt;&gt;INDEX(職員マスタ!$G$6:$G$405,$AN514)),"時短開始日がマスタと相違／","")&amp;IF(AND($M514&lt;&gt;"",INDEX(職員マスタ!$H$6:$H$405,$AN514)&lt;&gt;"",$M514&lt;&gt;INDEX(職員マスタ!$H$6:$H$405,$AN514)),"時短終了日がマスタと相違／","")))&amp;IF(AND($B514&lt;&gt;"",$E514=""),"報酬額が未入力／","")&amp;IF(N($U514)&gt;0,"申請書に入力エラーが残っています／","")&amp;IF(AND($B514&lt;&gt;"",$AO514&lt;&gt;""),IF(COUNTIFS($B$6:$B$3005,$B514,$C$6:$C$3005,$C514,$D$6:$D$3005,$D514)&gt;1,"同じ月の請求が重複しています／",""),"")&amp;IF(AND(N($E514)&gt;0,$Z514&lt;&gt;"",$Z514&lt;&gt;"×",$AC514=0,$AB514=""),"計算額が下限以下のため不支給／",""))</f>
        <v/>
      </c>
      <c r="AL514" s="12" t="n"/>
      <c r="AM514" s="14">
        <f>IF($AD514="保留中",COUNTIF($AD$6:$AD514,"保留中"),"")</f>
        <v/>
      </c>
      <c r="AN514" s="14">
        <f>IF($AO514="","",IF(SUMPRODUCT(MAX((職員マスタ!$A$6:$A$405=$B514)*(((職員マスタ!$G$6:$G$405="")+(職員マスタ!$G$6:$G$405&lt;=EOMONTH($AO514,0)))&gt;0)*(((職員マスタ!$H$6:$H$405="")+(職員マスタ!$H$6:$H$405&gt;=$AO514))&gt;0)*(ROW(職員マスタ!$A$6:$A$405)-5)))&gt;0,SUMPRODUCT(MAX((職員マスタ!$A$6:$A$405=$B514)*(((職員マスタ!$G$6:$G$405="")+(職員マスタ!$G$6:$G$405&lt;=EOMONTH($AO514,0)))&gt;0)*(((職員マスタ!$H$6:$H$405="")+(職員マスタ!$H$6:$H$405&gt;=$AO514))&gt;0)*(ROW(職員マスタ!$A$6:$A$405)-5))),IFERROR(MATCH($B514,職員マスタ!$A$6:$A$405,0),"")))</f>
        <v/>
      </c>
      <c r="AO514" s="16">
        <f>IF(OR($B514="",$C514="",$D514=""),"",DATE($C514+2018,$D514,1))</f>
        <v/>
      </c>
    </row>
    <row r="515">
      <c r="A515" s="11" t="n"/>
      <c r="B515" s="12" t="n"/>
      <c r="C515" s="12" t="n"/>
      <c r="D515" s="12" t="n"/>
      <c r="E515" s="13" t="n"/>
      <c r="F515" s="12" t="n"/>
      <c r="G515" s="13" t="n"/>
      <c r="H515" s="12" t="n"/>
      <c r="I515" s="12" t="n"/>
      <c r="J515" s="12" t="n"/>
      <c r="K515" s="12" t="n"/>
      <c r="L515" s="11" t="n"/>
      <c r="M515" s="11" t="n"/>
      <c r="N515" s="11" t="n"/>
      <c r="O515" s="11" t="n"/>
      <c r="P515" s="12" t="n"/>
      <c r="Q515" s="11" t="n"/>
      <c r="R515" s="12" t="n"/>
      <c r="S515" s="11" t="n"/>
      <c r="T515" s="12" t="n"/>
      <c r="U515" s="12" t="n"/>
      <c r="V515" s="14">
        <f>IF($AN515="",IF($B515="","",$H515),IF(INDEX(職員マスタ!$B$6:$B$405,$AN515)="",$H515,INDEX(職員マスタ!$B$6:$B$405,$AN515)))</f>
        <v/>
      </c>
      <c r="W515" s="14">
        <f>IF($AN515="",IF($B515="","",$R515),IF(INDEX(職員マスタ!$C$6:$C$405,$AN515)="",$R515,INDEX(職員マスタ!$C$6:$C$405,$AN515)))</f>
        <v/>
      </c>
      <c r="X515" s="14">
        <f>IF($AO515="","","R"&amp;$C515&amp;"."&amp;$D515)</f>
        <v/>
      </c>
      <c r="Y515" s="15">
        <f>IF($AN515="","",IF(INDEX(職員マスタ!$K$6:$K$405,$AN515)="","",INDEX(職員マスタ!$K$6:$K$405,$AN515)))</f>
        <v/>
      </c>
      <c r="Z515" s="14">
        <f>IF(OR($E515="",$Y515=""),"",IF($E515&gt;=$Y515,"×",IF($E515&gt;=$Y515*設定!$C$5,"△","○")))</f>
        <v/>
      </c>
      <c r="AA515" s="15">
        <f>IF($Z515="","",IF($Z515="×",0,IF($Z515="○",ROUNDDOWN($E515*設定!$C$4,0),ROUNDDOWN($E515*ROUND((9*$Y515-9*$E515)/(10*$E515),4),0))))</f>
        <v/>
      </c>
      <c r="AB515" s="13" t="n"/>
      <c r="AC515" s="15">
        <f>IF($B515="","",IF($AB515&lt;&gt;"",$AB515,IF($AA515="","",IF($AA515&lt;=設定!$C$3,0,$AA515))))</f>
        <v/>
      </c>
      <c r="AD515" s="14">
        <f>IF($B515="","",IF(AND($AE515&lt;&gt;"",$AG515="",$AJ515=""),"保留中",IF($AJ515&lt;&gt;"",IF(N($AC515)&gt;0,"支給済","不支給"),IF($AC515="","要確認",IF($AC515=0,"不支給","未処理")))))</f>
        <v/>
      </c>
      <c r="AE515" s="12" t="n"/>
      <c r="AF515" s="11" t="n"/>
      <c r="AG515" s="11" t="n"/>
      <c r="AH515" s="11" t="n"/>
      <c r="AI515" s="14">
        <f>IF(AND($AD515="保留中",$AF515&lt;&gt;""),TODAY()-$AF515,"")</f>
        <v/>
      </c>
      <c r="AJ515" s="12" t="n"/>
      <c r="AK515" s="14">
        <f>IF($B515="","",IF($AO515="","対象年月が未入力／","")&amp;IF($B515="","",IF($AN515="","職員マスタに未登録の職員番号／",IF($Y515="","標準報酬月額が未登録／","")&amp;IF(AND($AO515&lt;&gt;"",OR(AND(INDEX(職員マスタ!$G$6:$G$405,$AN515)&lt;&gt;"",INDEX(職員マスタ!$G$6:$G$405,$AN515)&gt;EOMONTH($AO515,0)),AND(INDEX(職員マスタ!$H$6:$H$405,$AN515)&lt;&gt;"",INDEX(職員マスタ!$H$6:$H$405,$AN515)&lt;$AO515))),"対象月が時短期間外／","")&amp;IF(AND(INDEX(職員マスタ!$F$6:$F$405,$AN515)&lt;&gt;"",$AO515&lt;&gt;"",INDEX(職員マスタ!$F$6:$F$405,$AN515)&lt;$AO515),"対象月に子が2歳到達済／","")&amp;IF(AND($H515&lt;&gt;"",INDEX(職員マスタ!$B$6:$B$405,$AN515)&lt;&gt;"",SUBSTITUTE(SUBSTITUTE($H515," ","")," ","")&lt;&gt;SUBSTITUTE(SUBSTITUTE(INDEX(職員マスタ!$B$6:$B$405,$AN515)," ","")," ","")),"氏名がマスタと相違／","")&amp;IF(AND($Q515&lt;&gt;"",INDEX(職員マスタ!$E$6:$E$405,$AN515)&lt;&gt;"",$Q515&lt;&gt;INDEX(職員マスタ!$E$6:$E$405,$AN515)),"子の生年月日がマスタと相違／","")&amp;IF(AND($L515&lt;&gt;"",INDEX(職員マスタ!$G$6:$G$405,$AN515)&lt;&gt;"",$L515&lt;&gt;INDEX(職員マスタ!$G$6:$G$405,$AN515)),"時短開始日がマスタと相違／","")&amp;IF(AND($M515&lt;&gt;"",INDEX(職員マスタ!$H$6:$H$405,$AN515)&lt;&gt;"",$M515&lt;&gt;INDEX(職員マスタ!$H$6:$H$405,$AN515)),"時短終了日がマスタと相違／","")))&amp;IF(AND($B515&lt;&gt;"",$E515=""),"報酬額が未入力／","")&amp;IF(N($U515)&gt;0,"申請書に入力エラーが残っています／","")&amp;IF(AND($B515&lt;&gt;"",$AO515&lt;&gt;""),IF(COUNTIFS($B$6:$B$3005,$B515,$C$6:$C$3005,$C515,$D$6:$D$3005,$D515)&gt;1,"同じ月の請求が重複しています／",""),"")&amp;IF(AND(N($E515)&gt;0,$Z515&lt;&gt;"",$Z515&lt;&gt;"×",$AC515=0,$AB515=""),"計算額が下限以下のため不支給／",""))</f>
        <v/>
      </c>
      <c r="AL515" s="12" t="n"/>
      <c r="AM515" s="14">
        <f>IF($AD515="保留中",COUNTIF($AD$6:$AD515,"保留中"),"")</f>
        <v/>
      </c>
      <c r="AN515" s="14">
        <f>IF($AO515="","",IF(SUMPRODUCT(MAX((職員マスタ!$A$6:$A$405=$B515)*(((職員マスタ!$G$6:$G$405="")+(職員マスタ!$G$6:$G$405&lt;=EOMONTH($AO515,0)))&gt;0)*(((職員マスタ!$H$6:$H$405="")+(職員マスタ!$H$6:$H$405&gt;=$AO515))&gt;0)*(ROW(職員マスタ!$A$6:$A$405)-5)))&gt;0,SUMPRODUCT(MAX((職員マスタ!$A$6:$A$405=$B515)*(((職員マスタ!$G$6:$G$405="")+(職員マスタ!$G$6:$G$405&lt;=EOMONTH($AO515,0)))&gt;0)*(((職員マスタ!$H$6:$H$405="")+(職員マスタ!$H$6:$H$405&gt;=$AO515))&gt;0)*(ROW(職員マスタ!$A$6:$A$405)-5))),IFERROR(MATCH($B515,職員マスタ!$A$6:$A$405,0),"")))</f>
        <v/>
      </c>
      <c r="AO515" s="16">
        <f>IF(OR($B515="",$C515="",$D515=""),"",DATE($C515+2018,$D515,1))</f>
        <v/>
      </c>
    </row>
    <row r="516">
      <c r="A516" s="11" t="n"/>
      <c r="B516" s="12" t="n"/>
      <c r="C516" s="12" t="n"/>
      <c r="D516" s="12" t="n"/>
      <c r="E516" s="13" t="n"/>
      <c r="F516" s="12" t="n"/>
      <c r="G516" s="13" t="n"/>
      <c r="H516" s="12" t="n"/>
      <c r="I516" s="12" t="n"/>
      <c r="J516" s="12" t="n"/>
      <c r="K516" s="12" t="n"/>
      <c r="L516" s="11" t="n"/>
      <c r="M516" s="11" t="n"/>
      <c r="N516" s="11" t="n"/>
      <c r="O516" s="11" t="n"/>
      <c r="P516" s="12" t="n"/>
      <c r="Q516" s="11" t="n"/>
      <c r="R516" s="12" t="n"/>
      <c r="S516" s="11" t="n"/>
      <c r="T516" s="12" t="n"/>
      <c r="U516" s="12" t="n"/>
      <c r="V516" s="14">
        <f>IF($AN516="",IF($B516="","",$H516),IF(INDEX(職員マスタ!$B$6:$B$405,$AN516)="",$H516,INDEX(職員マスタ!$B$6:$B$405,$AN516)))</f>
        <v/>
      </c>
      <c r="W516" s="14">
        <f>IF($AN516="",IF($B516="","",$R516),IF(INDEX(職員マスタ!$C$6:$C$405,$AN516)="",$R516,INDEX(職員マスタ!$C$6:$C$405,$AN516)))</f>
        <v/>
      </c>
      <c r="X516" s="14">
        <f>IF($AO516="","","R"&amp;$C516&amp;"."&amp;$D516)</f>
        <v/>
      </c>
      <c r="Y516" s="15">
        <f>IF($AN516="","",IF(INDEX(職員マスタ!$K$6:$K$405,$AN516)="","",INDEX(職員マスタ!$K$6:$K$405,$AN516)))</f>
        <v/>
      </c>
      <c r="Z516" s="14">
        <f>IF(OR($E516="",$Y516=""),"",IF($E516&gt;=$Y516,"×",IF($E516&gt;=$Y516*設定!$C$5,"△","○")))</f>
        <v/>
      </c>
      <c r="AA516" s="15">
        <f>IF($Z516="","",IF($Z516="×",0,IF($Z516="○",ROUNDDOWN($E516*設定!$C$4,0),ROUNDDOWN($E516*ROUND((9*$Y516-9*$E516)/(10*$E516),4),0))))</f>
        <v/>
      </c>
      <c r="AB516" s="13" t="n"/>
      <c r="AC516" s="15">
        <f>IF($B516="","",IF($AB516&lt;&gt;"",$AB516,IF($AA516="","",IF($AA516&lt;=設定!$C$3,0,$AA516))))</f>
        <v/>
      </c>
      <c r="AD516" s="14">
        <f>IF($B516="","",IF(AND($AE516&lt;&gt;"",$AG516="",$AJ516=""),"保留中",IF($AJ516&lt;&gt;"",IF(N($AC516)&gt;0,"支給済","不支給"),IF($AC516="","要確認",IF($AC516=0,"不支給","未処理")))))</f>
        <v/>
      </c>
      <c r="AE516" s="12" t="n"/>
      <c r="AF516" s="11" t="n"/>
      <c r="AG516" s="11" t="n"/>
      <c r="AH516" s="11" t="n"/>
      <c r="AI516" s="14">
        <f>IF(AND($AD516="保留中",$AF516&lt;&gt;""),TODAY()-$AF516,"")</f>
        <v/>
      </c>
      <c r="AJ516" s="12" t="n"/>
      <c r="AK516" s="14">
        <f>IF($B516="","",IF($AO516="","対象年月が未入力／","")&amp;IF($B516="","",IF($AN516="","職員マスタに未登録の職員番号／",IF($Y516="","標準報酬月額が未登録／","")&amp;IF(AND($AO516&lt;&gt;"",OR(AND(INDEX(職員マスタ!$G$6:$G$405,$AN516)&lt;&gt;"",INDEX(職員マスタ!$G$6:$G$405,$AN516)&gt;EOMONTH($AO516,0)),AND(INDEX(職員マスタ!$H$6:$H$405,$AN516)&lt;&gt;"",INDEX(職員マスタ!$H$6:$H$405,$AN516)&lt;$AO516))),"対象月が時短期間外／","")&amp;IF(AND(INDEX(職員マスタ!$F$6:$F$405,$AN516)&lt;&gt;"",$AO516&lt;&gt;"",INDEX(職員マスタ!$F$6:$F$405,$AN516)&lt;$AO516),"対象月に子が2歳到達済／","")&amp;IF(AND($H516&lt;&gt;"",INDEX(職員マスタ!$B$6:$B$405,$AN516)&lt;&gt;"",SUBSTITUTE(SUBSTITUTE($H516," ","")," ","")&lt;&gt;SUBSTITUTE(SUBSTITUTE(INDEX(職員マスタ!$B$6:$B$405,$AN516)," ","")," ","")),"氏名がマスタと相違／","")&amp;IF(AND($Q516&lt;&gt;"",INDEX(職員マスタ!$E$6:$E$405,$AN516)&lt;&gt;"",$Q516&lt;&gt;INDEX(職員マスタ!$E$6:$E$405,$AN516)),"子の生年月日がマスタと相違／","")&amp;IF(AND($L516&lt;&gt;"",INDEX(職員マスタ!$G$6:$G$405,$AN516)&lt;&gt;"",$L516&lt;&gt;INDEX(職員マスタ!$G$6:$G$405,$AN516)),"時短開始日がマスタと相違／","")&amp;IF(AND($M516&lt;&gt;"",INDEX(職員マスタ!$H$6:$H$405,$AN516)&lt;&gt;"",$M516&lt;&gt;INDEX(職員マスタ!$H$6:$H$405,$AN516)),"時短終了日がマスタと相違／","")))&amp;IF(AND($B516&lt;&gt;"",$E516=""),"報酬額が未入力／","")&amp;IF(N($U516)&gt;0,"申請書に入力エラーが残っています／","")&amp;IF(AND($B516&lt;&gt;"",$AO516&lt;&gt;""),IF(COUNTIFS($B$6:$B$3005,$B516,$C$6:$C$3005,$C516,$D$6:$D$3005,$D516)&gt;1,"同じ月の請求が重複しています／",""),"")&amp;IF(AND(N($E516)&gt;0,$Z516&lt;&gt;"",$Z516&lt;&gt;"×",$AC516=0,$AB516=""),"計算額が下限以下のため不支給／",""))</f>
        <v/>
      </c>
      <c r="AL516" s="12" t="n"/>
      <c r="AM516" s="14">
        <f>IF($AD516="保留中",COUNTIF($AD$6:$AD516,"保留中"),"")</f>
        <v/>
      </c>
      <c r="AN516" s="14">
        <f>IF($AO516="","",IF(SUMPRODUCT(MAX((職員マスタ!$A$6:$A$405=$B516)*(((職員マスタ!$G$6:$G$405="")+(職員マスタ!$G$6:$G$405&lt;=EOMONTH($AO516,0)))&gt;0)*(((職員マスタ!$H$6:$H$405="")+(職員マスタ!$H$6:$H$405&gt;=$AO516))&gt;0)*(ROW(職員マスタ!$A$6:$A$405)-5)))&gt;0,SUMPRODUCT(MAX((職員マスタ!$A$6:$A$405=$B516)*(((職員マスタ!$G$6:$G$405="")+(職員マスタ!$G$6:$G$405&lt;=EOMONTH($AO516,0)))&gt;0)*(((職員マスタ!$H$6:$H$405="")+(職員マスタ!$H$6:$H$405&gt;=$AO516))&gt;0)*(ROW(職員マスタ!$A$6:$A$405)-5))),IFERROR(MATCH($B516,職員マスタ!$A$6:$A$405,0),"")))</f>
        <v/>
      </c>
      <c r="AO516" s="16">
        <f>IF(OR($B516="",$C516="",$D516=""),"",DATE($C516+2018,$D516,1))</f>
        <v/>
      </c>
    </row>
    <row r="517">
      <c r="A517" s="11" t="n"/>
      <c r="B517" s="12" t="n"/>
      <c r="C517" s="12" t="n"/>
      <c r="D517" s="12" t="n"/>
      <c r="E517" s="13" t="n"/>
      <c r="F517" s="12" t="n"/>
      <c r="G517" s="13" t="n"/>
      <c r="H517" s="12" t="n"/>
      <c r="I517" s="12" t="n"/>
      <c r="J517" s="12" t="n"/>
      <c r="K517" s="12" t="n"/>
      <c r="L517" s="11" t="n"/>
      <c r="M517" s="11" t="n"/>
      <c r="N517" s="11" t="n"/>
      <c r="O517" s="11" t="n"/>
      <c r="P517" s="12" t="n"/>
      <c r="Q517" s="11" t="n"/>
      <c r="R517" s="12" t="n"/>
      <c r="S517" s="11" t="n"/>
      <c r="T517" s="12" t="n"/>
      <c r="U517" s="12" t="n"/>
      <c r="V517" s="14">
        <f>IF($AN517="",IF($B517="","",$H517),IF(INDEX(職員マスタ!$B$6:$B$405,$AN517)="",$H517,INDEX(職員マスタ!$B$6:$B$405,$AN517)))</f>
        <v/>
      </c>
      <c r="W517" s="14">
        <f>IF($AN517="",IF($B517="","",$R517),IF(INDEX(職員マスタ!$C$6:$C$405,$AN517)="",$R517,INDEX(職員マスタ!$C$6:$C$405,$AN517)))</f>
        <v/>
      </c>
      <c r="X517" s="14">
        <f>IF($AO517="","","R"&amp;$C517&amp;"."&amp;$D517)</f>
        <v/>
      </c>
      <c r="Y517" s="15">
        <f>IF($AN517="","",IF(INDEX(職員マスタ!$K$6:$K$405,$AN517)="","",INDEX(職員マスタ!$K$6:$K$405,$AN517)))</f>
        <v/>
      </c>
      <c r="Z517" s="14">
        <f>IF(OR($E517="",$Y517=""),"",IF($E517&gt;=$Y517,"×",IF($E517&gt;=$Y517*設定!$C$5,"△","○")))</f>
        <v/>
      </c>
      <c r="AA517" s="15">
        <f>IF($Z517="","",IF($Z517="×",0,IF($Z517="○",ROUNDDOWN($E517*設定!$C$4,0),ROUNDDOWN($E517*ROUND((9*$Y517-9*$E517)/(10*$E517),4),0))))</f>
        <v/>
      </c>
      <c r="AB517" s="13" t="n"/>
      <c r="AC517" s="15">
        <f>IF($B517="","",IF($AB517&lt;&gt;"",$AB517,IF($AA517="","",IF($AA517&lt;=設定!$C$3,0,$AA517))))</f>
        <v/>
      </c>
      <c r="AD517" s="14">
        <f>IF($B517="","",IF(AND($AE517&lt;&gt;"",$AG517="",$AJ517=""),"保留中",IF($AJ517&lt;&gt;"",IF(N($AC517)&gt;0,"支給済","不支給"),IF($AC517="","要確認",IF($AC517=0,"不支給","未処理")))))</f>
        <v/>
      </c>
      <c r="AE517" s="12" t="n"/>
      <c r="AF517" s="11" t="n"/>
      <c r="AG517" s="11" t="n"/>
      <c r="AH517" s="11" t="n"/>
      <c r="AI517" s="14">
        <f>IF(AND($AD517="保留中",$AF517&lt;&gt;""),TODAY()-$AF517,"")</f>
        <v/>
      </c>
      <c r="AJ517" s="12" t="n"/>
      <c r="AK517" s="14">
        <f>IF($B517="","",IF($AO517="","対象年月が未入力／","")&amp;IF($B517="","",IF($AN517="","職員マスタに未登録の職員番号／",IF($Y517="","標準報酬月額が未登録／","")&amp;IF(AND($AO517&lt;&gt;"",OR(AND(INDEX(職員マスタ!$G$6:$G$405,$AN517)&lt;&gt;"",INDEX(職員マスタ!$G$6:$G$405,$AN517)&gt;EOMONTH($AO517,0)),AND(INDEX(職員マスタ!$H$6:$H$405,$AN517)&lt;&gt;"",INDEX(職員マスタ!$H$6:$H$405,$AN517)&lt;$AO517))),"対象月が時短期間外／","")&amp;IF(AND(INDEX(職員マスタ!$F$6:$F$405,$AN517)&lt;&gt;"",$AO517&lt;&gt;"",INDEX(職員マスタ!$F$6:$F$405,$AN517)&lt;$AO517),"対象月に子が2歳到達済／","")&amp;IF(AND($H517&lt;&gt;"",INDEX(職員マスタ!$B$6:$B$405,$AN517)&lt;&gt;"",SUBSTITUTE(SUBSTITUTE($H517," ","")," ","")&lt;&gt;SUBSTITUTE(SUBSTITUTE(INDEX(職員マスタ!$B$6:$B$405,$AN517)," ","")," ","")),"氏名がマスタと相違／","")&amp;IF(AND($Q517&lt;&gt;"",INDEX(職員マスタ!$E$6:$E$405,$AN517)&lt;&gt;"",$Q517&lt;&gt;INDEX(職員マスタ!$E$6:$E$405,$AN517)),"子の生年月日がマスタと相違／","")&amp;IF(AND($L517&lt;&gt;"",INDEX(職員マスタ!$G$6:$G$405,$AN517)&lt;&gt;"",$L517&lt;&gt;INDEX(職員マスタ!$G$6:$G$405,$AN517)),"時短開始日がマスタと相違／","")&amp;IF(AND($M517&lt;&gt;"",INDEX(職員マスタ!$H$6:$H$405,$AN517)&lt;&gt;"",$M517&lt;&gt;INDEX(職員マスタ!$H$6:$H$405,$AN517)),"時短終了日がマスタと相違／","")))&amp;IF(AND($B517&lt;&gt;"",$E517=""),"報酬額が未入力／","")&amp;IF(N($U517)&gt;0,"申請書に入力エラーが残っています／","")&amp;IF(AND($B517&lt;&gt;"",$AO517&lt;&gt;""),IF(COUNTIFS($B$6:$B$3005,$B517,$C$6:$C$3005,$C517,$D$6:$D$3005,$D517)&gt;1,"同じ月の請求が重複しています／",""),"")&amp;IF(AND(N($E517)&gt;0,$Z517&lt;&gt;"",$Z517&lt;&gt;"×",$AC517=0,$AB517=""),"計算額が下限以下のため不支給／",""))</f>
        <v/>
      </c>
      <c r="AL517" s="12" t="n"/>
      <c r="AM517" s="14">
        <f>IF($AD517="保留中",COUNTIF($AD$6:$AD517,"保留中"),"")</f>
        <v/>
      </c>
      <c r="AN517" s="14">
        <f>IF($AO517="","",IF(SUMPRODUCT(MAX((職員マスタ!$A$6:$A$405=$B517)*(((職員マスタ!$G$6:$G$405="")+(職員マスタ!$G$6:$G$405&lt;=EOMONTH($AO517,0)))&gt;0)*(((職員マスタ!$H$6:$H$405="")+(職員マスタ!$H$6:$H$405&gt;=$AO517))&gt;0)*(ROW(職員マスタ!$A$6:$A$405)-5)))&gt;0,SUMPRODUCT(MAX((職員マスタ!$A$6:$A$405=$B517)*(((職員マスタ!$G$6:$G$405="")+(職員マスタ!$G$6:$G$405&lt;=EOMONTH($AO517,0)))&gt;0)*(((職員マスタ!$H$6:$H$405="")+(職員マスタ!$H$6:$H$405&gt;=$AO517))&gt;0)*(ROW(職員マスタ!$A$6:$A$405)-5))),IFERROR(MATCH($B517,職員マスタ!$A$6:$A$405,0),"")))</f>
        <v/>
      </c>
      <c r="AO517" s="16">
        <f>IF(OR($B517="",$C517="",$D517=""),"",DATE($C517+2018,$D517,1))</f>
        <v/>
      </c>
    </row>
    <row r="518">
      <c r="A518" s="11" t="n"/>
      <c r="B518" s="12" t="n"/>
      <c r="C518" s="12" t="n"/>
      <c r="D518" s="12" t="n"/>
      <c r="E518" s="13" t="n"/>
      <c r="F518" s="12" t="n"/>
      <c r="G518" s="13" t="n"/>
      <c r="H518" s="12" t="n"/>
      <c r="I518" s="12" t="n"/>
      <c r="J518" s="12" t="n"/>
      <c r="K518" s="12" t="n"/>
      <c r="L518" s="11" t="n"/>
      <c r="M518" s="11" t="n"/>
      <c r="N518" s="11" t="n"/>
      <c r="O518" s="11" t="n"/>
      <c r="P518" s="12" t="n"/>
      <c r="Q518" s="11" t="n"/>
      <c r="R518" s="12" t="n"/>
      <c r="S518" s="11" t="n"/>
      <c r="T518" s="12" t="n"/>
      <c r="U518" s="12" t="n"/>
      <c r="V518" s="14">
        <f>IF($AN518="",IF($B518="","",$H518),IF(INDEX(職員マスタ!$B$6:$B$405,$AN518)="",$H518,INDEX(職員マスタ!$B$6:$B$405,$AN518)))</f>
        <v/>
      </c>
      <c r="W518" s="14">
        <f>IF($AN518="",IF($B518="","",$R518),IF(INDEX(職員マスタ!$C$6:$C$405,$AN518)="",$R518,INDEX(職員マスタ!$C$6:$C$405,$AN518)))</f>
        <v/>
      </c>
      <c r="X518" s="14">
        <f>IF($AO518="","","R"&amp;$C518&amp;"."&amp;$D518)</f>
        <v/>
      </c>
      <c r="Y518" s="15">
        <f>IF($AN518="","",IF(INDEX(職員マスタ!$K$6:$K$405,$AN518)="","",INDEX(職員マスタ!$K$6:$K$405,$AN518)))</f>
        <v/>
      </c>
      <c r="Z518" s="14">
        <f>IF(OR($E518="",$Y518=""),"",IF($E518&gt;=$Y518,"×",IF($E518&gt;=$Y518*設定!$C$5,"△","○")))</f>
        <v/>
      </c>
      <c r="AA518" s="15">
        <f>IF($Z518="","",IF($Z518="×",0,IF($Z518="○",ROUNDDOWN($E518*設定!$C$4,0),ROUNDDOWN($E518*ROUND((9*$Y518-9*$E518)/(10*$E518),4),0))))</f>
        <v/>
      </c>
      <c r="AB518" s="13" t="n"/>
      <c r="AC518" s="15">
        <f>IF($B518="","",IF($AB518&lt;&gt;"",$AB518,IF($AA518="","",IF($AA518&lt;=設定!$C$3,0,$AA518))))</f>
        <v/>
      </c>
      <c r="AD518" s="14">
        <f>IF($B518="","",IF(AND($AE518&lt;&gt;"",$AG518="",$AJ518=""),"保留中",IF($AJ518&lt;&gt;"",IF(N($AC518)&gt;0,"支給済","不支給"),IF($AC518="","要確認",IF($AC518=0,"不支給","未処理")))))</f>
        <v/>
      </c>
      <c r="AE518" s="12" t="n"/>
      <c r="AF518" s="11" t="n"/>
      <c r="AG518" s="11" t="n"/>
      <c r="AH518" s="11" t="n"/>
      <c r="AI518" s="14">
        <f>IF(AND($AD518="保留中",$AF518&lt;&gt;""),TODAY()-$AF518,"")</f>
        <v/>
      </c>
      <c r="AJ518" s="12" t="n"/>
      <c r="AK518" s="14">
        <f>IF($B518="","",IF($AO518="","対象年月が未入力／","")&amp;IF($B518="","",IF($AN518="","職員マスタに未登録の職員番号／",IF($Y518="","標準報酬月額が未登録／","")&amp;IF(AND($AO518&lt;&gt;"",OR(AND(INDEX(職員マスタ!$G$6:$G$405,$AN518)&lt;&gt;"",INDEX(職員マスタ!$G$6:$G$405,$AN518)&gt;EOMONTH($AO518,0)),AND(INDEX(職員マスタ!$H$6:$H$405,$AN518)&lt;&gt;"",INDEX(職員マスタ!$H$6:$H$405,$AN518)&lt;$AO518))),"対象月が時短期間外／","")&amp;IF(AND(INDEX(職員マスタ!$F$6:$F$405,$AN518)&lt;&gt;"",$AO518&lt;&gt;"",INDEX(職員マスタ!$F$6:$F$405,$AN518)&lt;$AO518),"対象月に子が2歳到達済／","")&amp;IF(AND($H518&lt;&gt;"",INDEX(職員マスタ!$B$6:$B$405,$AN518)&lt;&gt;"",SUBSTITUTE(SUBSTITUTE($H518," ","")," ","")&lt;&gt;SUBSTITUTE(SUBSTITUTE(INDEX(職員マスタ!$B$6:$B$405,$AN518)," ","")," ","")),"氏名がマスタと相違／","")&amp;IF(AND($Q518&lt;&gt;"",INDEX(職員マスタ!$E$6:$E$405,$AN518)&lt;&gt;"",$Q518&lt;&gt;INDEX(職員マスタ!$E$6:$E$405,$AN518)),"子の生年月日がマスタと相違／","")&amp;IF(AND($L518&lt;&gt;"",INDEX(職員マスタ!$G$6:$G$405,$AN518)&lt;&gt;"",$L518&lt;&gt;INDEX(職員マスタ!$G$6:$G$405,$AN518)),"時短開始日がマスタと相違／","")&amp;IF(AND($M518&lt;&gt;"",INDEX(職員マスタ!$H$6:$H$405,$AN518)&lt;&gt;"",$M518&lt;&gt;INDEX(職員マスタ!$H$6:$H$405,$AN518)),"時短終了日がマスタと相違／","")))&amp;IF(AND($B518&lt;&gt;"",$E518=""),"報酬額が未入力／","")&amp;IF(N($U518)&gt;0,"申請書に入力エラーが残っています／","")&amp;IF(AND($B518&lt;&gt;"",$AO518&lt;&gt;""),IF(COUNTIFS($B$6:$B$3005,$B518,$C$6:$C$3005,$C518,$D$6:$D$3005,$D518)&gt;1,"同じ月の請求が重複しています／",""),"")&amp;IF(AND(N($E518)&gt;0,$Z518&lt;&gt;"",$Z518&lt;&gt;"×",$AC518=0,$AB518=""),"計算額が下限以下のため不支給／",""))</f>
        <v/>
      </c>
      <c r="AL518" s="12" t="n"/>
      <c r="AM518" s="14">
        <f>IF($AD518="保留中",COUNTIF($AD$6:$AD518,"保留中"),"")</f>
        <v/>
      </c>
      <c r="AN518" s="14">
        <f>IF($AO518="","",IF(SUMPRODUCT(MAX((職員マスタ!$A$6:$A$405=$B518)*(((職員マスタ!$G$6:$G$405="")+(職員マスタ!$G$6:$G$405&lt;=EOMONTH($AO518,0)))&gt;0)*(((職員マスタ!$H$6:$H$405="")+(職員マスタ!$H$6:$H$405&gt;=$AO518))&gt;0)*(ROW(職員マスタ!$A$6:$A$405)-5)))&gt;0,SUMPRODUCT(MAX((職員マスタ!$A$6:$A$405=$B518)*(((職員マスタ!$G$6:$G$405="")+(職員マスタ!$G$6:$G$405&lt;=EOMONTH($AO518,0)))&gt;0)*(((職員マスタ!$H$6:$H$405="")+(職員マスタ!$H$6:$H$405&gt;=$AO518))&gt;0)*(ROW(職員マスタ!$A$6:$A$405)-5))),IFERROR(MATCH($B518,職員マスタ!$A$6:$A$405,0),"")))</f>
        <v/>
      </c>
      <c r="AO518" s="16">
        <f>IF(OR($B518="",$C518="",$D518=""),"",DATE($C518+2018,$D518,1))</f>
        <v/>
      </c>
    </row>
    <row r="519">
      <c r="A519" s="11" t="n"/>
      <c r="B519" s="12" t="n"/>
      <c r="C519" s="12" t="n"/>
      <c r="D519" s="12" t="n"/>
      <c r="E519" s="13" t="n"/>
      <c r="F519" s="12" t="n"/>
      <c r="G519" s="13" t="n"/>
      <c r="H519" s="12" t="n"/>
      <c r="I519" s="12" t="n"/>
      <c r="J519" s="12" t="n"/>
      <c r="K519" s="12" t="n"/>
      <c r="L519" s="11" t="n"/>
      <c r="M519" s="11" t="n"/>
      <c r="N519" s="11" t="n"/>
      <c r="O519" s="11" t="n"/>
      <c r="P519" s="12" t="n"/>
      <c r="Q519" s="11" t="n"/>
      <c r="R519" s="12" t="n"/>
      <c r="S519" s="11" t="n"/>
      <c r="T519" s="12" t="n"/>
      <c r="U519" s="12" t="n"/>
      <c r="V519" s="14">
        <f>IF($AN519="",IF($B519="","",$H519),IF(INDEX(職員マスタ!$B$6:$B$405,$AN519)="",$H519,INDEX(職員マスタ!$B$6:$B$405,$AN519)))</f>
        <v/>
      </c>
      <c r="W519" s="14">
        <f>IF($AN519="",IF($B519="","",$R519),IF(INDEX(職員マスタ!$C$6:$C$405,$AN519)="",$R519,INDEX(職員マスタ!$C$6:$C$405,$AN519)))</f>
        <v/>
      </c>
      <c r="X519" s="14">
        <f>IF($AO519="","","R"&amp;$C519&amp;"."&amp;$D519)</f>
        <v/>
      </c>
      <c r="Y519" s="15">
        <f>IF($AN519="","",IF(INDEX(職員マスタ!$K$6:$K$405,$AN519)="","",INDEX(職員マスタ!$K$6:$K$405,$AN519)))</f>
        <v/>
      </c>
      <c r="Z519" s="14">
        <f>IF(OR($E519="",$Y519=""),"",IF($E519&gt;=$Y519,"×",IF($E519&gt;=$Y519*設定!$C$5,"△","○")))</f>
        <v/>
      </c>
      <c r="AA519" s="15">
        <f>IF($Z519="","",IF($Z519="×",0,IF($Z519="○",ROUNDDOWN($E519*設定!$C$4,0),ROUNDDOWN($E519*ROUND((9*$Y519-9*$E519)/(10*$E519),4),0))))</f>
        <v/>
      </c>
      <c r="AB519" s="13" t="n"/>
      <c r="AC519" s="15">
        <f>IF($B519="","",IF($AB519&lt;&gt;"",$AB519,IF($AA519="","",IF($AA519&lt;=設定!$C$3,0,$AA519))))</f>
        <v/>
      </c>
      <c r="AD519" s="14">
        <f>IF($B519="","",IF(AND($AE519&lt;&gt;"",$AG519="",$AJ519=""),"保留中",IF($AJ519&lt;&gt;"",IF(N($AC519)&gt;0,"支給済","不支給"),IF($AC519="","要確認",IF($AC519=0,"不支給","未処理")))))</f>
        <v/>
      </c>
      <c r="AE519" s="12" t="n"/>
      <c r="AF519" s="11" t="n"/>
      <c r="AG519" s="11" t="n"/>
      <c r="AH519" s="11" t="n"/>
      <c r="AI519" s="14">
        <f>IF(AND($AD519="保留中",$AF519&lt;&gt;""),TODAY()-$AF519,"")</f>
        <v/>
      </c>
      <c r="AJ519" s="12" t="n"/>
      <c r="AK519" s="14">
        <f>IF($B519="","",IF($AO519="","対象年月が未入力／","")&amp;IF($B519="","",IF($AN519="","職員マスタに未登録の職員番号／",IF($Y519="","標準報酬月額が未登録／","")&amp;IF(AND($AO519&lt;&gt;"",OR(AND(INDEX(職員マスタ!$G$6:$G$405,$AN519)&lt;&gt;"",INDEX(職員マスタ!$G$6:$G$405,$AN519)&gt;EOMONTH($AO519,0)),AND(INDEX(職員マスタ!$H$6:$H$405,$AN519)&lt;&gt;"",INDEX(職員マスタ!$H$6:$H$405,$AN519)&lt;$AO519))),"対象月が時短期間外／","")&amp;IF(AND(INDEX(職員マスタ!$F$6:$F$405,$AN519)&lt;&gt;"",$AO519&lt;&gt;"",INDEX(職員マスタ!$F$6:$F$405,$AN519)&lt;$AO519),"対象月に子が2歳到達済／","")&amp;IF(AND($H519&lt;&gt;"",INDEX(職員マスタ!$B$6:$B$405,$AN519)&lt;&gt;"",SUBSTITUTE(SUBSTITUTE($H519," ","")," ","")&lt;&gt;SUBSTITUTE(SUBSTITUTE(INDEX(職員マスタ!$B$6:$B$405,$AN519)," ","")," ","")),"氏名がマスタと相違／","")&amp;IF(AND($Q519&lt;&gt;"",INDEX(職員マスタ!$E$6:$E$405,$AN519)&lt;&gt;"",$Q519&lt;&gt;INDEX(職員マスタ!$E$6:$E$405,$AN519)),"子の生年月日がマスタと相違／","")&amp;IF(AND($L519&lt;&gt;"",INDEX(職員マスタ!$G$6:$G$405,$AN519)&lt;&gt;"",$L519&lt;&gt;INDEX(職員マスタ!$G$6:$G$405,$AN519)),"時短開始日がマスタと相違／","")&amp;IF(AND($M519&lt;&gt;"",INDEX(職員マスタ!$H$6:$H$405,$AN519)&lt;&gt;"",$M519&lt;&gt;INDEX(職員マスタ!$H$6:$H$405,$AN519)),"時短終了日がマスタと相違／","")))&amp;IF(AND($B519&lt;&gt;"",$E519=""),"報酬額が未入力／","")&amp;IF(N($U519)&gt;0,"申請書に入力エラーが残っています／","")&amp;IF(AND($B519&lt;&gt;"",$AO519&lt;&gt;""),IF(COUNTIFS($B$6:$B$3005,$B519,$C$6:$C$3005,$C519,$D$6:$D$3005,$D519)&gt;1,"同じ月の請求が重複しています／",""),"")&amp;IF(AND(N($E519)&gt;0,$Z519&lt;&gt;"",$Z519&lt;&gt;"×",$AC519=0,$AB519=""),"計算額が下限以下のため不支給／",""))</f>
        <v/>
      </c>
      <c r="AL519" s="12" t="n"/>
      <c r="AM519" s="14">
        <f>IF($AD519="保留中",COUNTIF($AD$6:$AD519,"保留中"),"")</f>
        <v/>
      </c>
      <c r="AN519" s="14">
        <f>IF($AO519="","",IF(SUMPRODUCT(MAX((職員マスタ!$A$6:$A$405=$B519)*(((職員マスタ!$G$6:$G$405="")+(職員マスタ!$G$6:$G$405&lt;=EOMONTH($AO519,0)))&gt;0)*(((職員マスタ!$H$6:$H$405="")+(職員マスタ!$H$6:$H$405&gt;=$AO519))&gt;0)*(ROW(職員マスタ!$A$6:$A$405)-5)))&gt;0,SUMPRODUCT(MAX((職員マスタ!$A$6:$A$405=$B519)*(((職員マスタ!$G$6:$G$405="")+(職員マスタ!$G$6:$G$405&lt;=EOMONTH($AO519,0)))&gt;0)*(((職員マスタ!$H$6:$H$405="")+(職員マスタ!$H$6:$H$405&gt;=$AO519))&gt;0)*(ROW(職員マスタ!$A$6:$A$405)-5))),IFERROR(MATCH($B519,職員マスタ!$A$6:$A$405,0),"")))</f>
        <v/>
      </c>
      <c r="AO519" s="16">
        <f>IF(OR($B519="",$C519="",$D519=""),"",DATE($C519+2018,$D519,1))</f>
        <v/>
      </c>
    </row>
    <row r="520">
      <c r="A520" s="11" t="n"/>
      <c r="B520" s="12" t="n"/>
      <c r="C520" s="12" t="n"/>
      <c r="D520" s="12" t="n"/>
      <c r="E520" s="13" t="n"/>
      <c r="F520" s="12" t="n"/>
      <c r="G520" s="13" t="n"/>
      <c r="H520" s="12" t="n"/>
      <c r="I520" s="12" t="n"/>
      <c r="J520" s="12" t="n"/>
      <c r="K520" s="12" t="n"/>
      <c r="L520" s="11" t="n"/>
      <c r="M520" s="11" t="n"/>
      <c r="N520" s="11" t="n"/>
      <c r="O520" s="11" t="n"/>
      <c r="P520" s="12" t="n"/>
      <c r="Q520" s="11" t="n"/>
      <c r="R520" s="12" t="n"/>
      <c r="S520" s="11" t="n"/>
      <c r="T520" s="12" t="n"/>
      <c r="U520" s="12" t="n"/>
      <c r="V520" s="14">
        <f>IF($AN520="",IF($B520="","",$H520),IF(INDEX(職員マスタ!$B$6:$B$405,$AN520)="",$H520,INDEX(職員マスタ!$B$6:$B$405,$AN520)))</f>
        <v/>
      </c>
      <c r="W520" s="14">
        <f>IF($AN520="",IF($B520="","",$R520),IF(INDEX(職員マスタ!$C$6:$C$405,$AN520)="",$R520,INDEX(職員マスタ!$C$6:$C$405,$AN520)))</f>
        <v/>
      </c>
      <c r="X520" s="14">
        <f>IF($AO520="","","R"&amp;$C520&amp;"."&amp;$D520)</f>
        <v/>
      </c>
      <c r="Y520" s="15">
        <f>IF($AN520="","",IF(INDEX(職員マスタ!$K$6:$K$405,$AN520)="","",INDEX(職員マスタ!$K$6:$K$405,$AN520)))</f>
        <v/>
      </c>
      <c r="Z520" s="14">
        <f>IF(OR($E520="",$Y520=""),"",IF($E520&gt;=$Y520,"×",IF($E520&gt;=$Y520*設定!$C$5,"△","○")))</f>
        <v/>
      </c>
      <c r="AA520" s="15">
        <f>IF($Z520="","",IF($Z520="×",0,IF($Z520="○",ROUNDDOWN($E520*設定!$C$4,0),ROUNDDOWN($E520*ROUND((9*$Y520-9*$E520)/(10*$E520),4),0))))</f>
        <v/>
      </c>
      <c r="AB520" s="13" t="n"/>
      <c r="AC520" s="15">
        <f>IF($B520="","",IF($AB520&lt;&gt;"",$AB520,IF($AA520="","",IF($AA520&lt;=設定!$C$3,0,$AA520))))</f>
        <v/>
      </c>
      <c r="AD520" s="14">
        <f>IF($B520="","",IF(AND($AE520&lt;&gt;"",$AG520="",$AJ520=""),"保留中",IF($AJ520&lt;&gt;"",IF(N($AC520)&gt;0,"支給済","不支給"),IF($AC520="","要確認",IF($AC520=0,"不支給","未処理")))))</f>
        <v/>
      </c>
      <c r="AE520" s="12" t="n"/>
      <c r="AF520" s="11" t="n"/>
      <c r="AG520" s="11" t="n"/>
      <c r="AH520" s="11" t="n"/>
      <c r="AI520" s="14">
        <f>IF(AND($AD520="保留中",$AF520&lt;&gt;""),TODAY()-$AF520,"")</f>
        <v/>
      </c>
      <c r="AJ520" s="12" t="n"/>
      <c r="AK520" s="14">
        <f>IF($B520="","",IF($AO520="","対象年月が未入力／","")&amp;IF($B520="","",IF($AN520="","職員マスタに未登録の職員番号／",IF($Y520="","標準報酬月額が未登録／","")&amp;IF(AND($AO520&lt;&gt;"",OR(AND(INDEX(職員マスタ!$G$6:$G$405,$AN520)&lt;&gt;"",INDEX(職員マスタ!$G$6:$G$405,$AN520)&gt;EOMONTH($AO520,0)),AND(INDEX(職員マスタ!$H$6:$H$405,$AN520)&lt;&gt;"",INDEX(職員マスタ!$H$6:$H$405,$AN520)&lt;$AO520))),"対象月が時短期間外／","")&amp;IF(AND(INDEX(職員マスタ!$F$6:$F$405,$AN520)&lt;&gt;"",$AO520&lt;&gt;"",INDEX(職員マスタ!$F$6:$F$405,$AN520)&lt;$AO520),"対象月に子が2歳到達済／","")&amp;IF(AND($H520&lt;&gt;"",INDEX(職員マスタ!$B$6:$B$405,$AN520)&lt;&gt;"",SUBSTITUTE(SUBSTITUTE($H520," ","")," ","")&lt;&gt;SUBSTITUTE(SUBSTITUTE(INDEX(職員マスタ!$B$6:$B$405,$AN520)," ","")," ","")),"氏名がマスタと相違／","")&amp;IF(AND($Q520&lt;&gt;"",INDEX(職員マスタ!$E$6:$E$405,$AN520)&lt;&gt;"",$Q520&lt;&gt;INDEX(職員マスタ!$E$6:$E$405,$AN520)),"子の生年月日がマスタと相違／","")&amp;IF(AND($L520&lt;&gt;"",INDEX(職員マスタ!$G$6:$G$405,$AN520)&lt;&gt;"",$L520&lt;&gt;INDEX(職員マスタ!$G$6:$G$405,$AN520)),"時短開始日がマスタと相違／","")&amp;IF(AND($M520&lt;&gt;"",INDEX(職員マスタ!$H$6:$H$405,$AN520)&lt;&gt;"",$M520&lt;&gt;INDEX(職員マスタ!$H$6:$H$405,$AN520)),"時短終了日がマスタと相違／","")))&amp;IF(AND($B520&lt;&gt;"",$E520=""),"報酬額が未入力／","")&amp;IF(N($U520)&gt;0,"申請書に入力エラーが残っています／","")&amp;IF(AND($B520&lt;&gt;"",$AO520&lt;&gt;""),IF(COUNTIFS($B$6:$B$3005,$B520,$C$6:$C$3005,$C520,$D$6:$D$3005,$D520)&gt;1,"同じ月の請求が重複しています／",""),"")&amp;IF(AND(N($E520)&gt;0,$Z520&lt;&gt;"",$Z520&lt;&gt;"×",$AC520=0,$AB520=""),"計算額が下限以下のため不支給／",""))</f>
        <v/>
      </c>
      <c r="AL520" s="12" t="n"/>
      <c r="AM520" s="14">
        <f>IF($AD520="保留中",COUNTIF($AD$6:$AD520,"保留中"),"")</f>
        <v/>
      </c>
      <c r="AN520" s="14">
        <f>IF($AO520="","",IF(SUMPRODUCT(MAX((職員マスタ!$A$6:$A$405=$B520)*(((職員マスタ!$G$6:$G$405="")+(職員マスタ!$G$6:$G$405&lt;=EOMONTH($AO520,0)))&gt;0)*(((職員マスタ!$H$6:$H$405="")+(職員マスタ!$H$6:$H$405&gt;=$AO520))&gt;0)*(ROW(職員マスタ!$A$6:$A$405)-5)))&gt;0,SUMPRODUCT(MAX((職員マスタ!$A$6:$A$405=$B520)*(((職員マスタ!$G$6:$G$405="")+(職員マスタ!$G$6:$G$405&lt;=EOMONTH($AO520,0)))&gt;0)*(((職員マスタ!$H$6:$H$405="")+(職員マスタ!$H$6:$H$405&gt;=$AO520))&gt;0)*(ROW(職員マスタ!$A$6:$A$405)-5))),IFERROR(MATCH($B520,職員マスタ!$A$6:$A$405,0),"")))</f>
        <v/>
      </c>
      <c r="AO520" s="16">
        <f>IF(OR($B520="",$C520="",$D520=""),"",DATE($C520+2018,$D520,1))</f>
        <v/>
      </c>
    </row>
    <row r="521">
      <c r="A521" s="11" t="n"/>
      <c r="B521" s="12" t="n"/>
      <c r="C521" s="12" t="n"/>
      <c r="D521" s="12" t="n"/>
      <c r="E521" s="13" t="n"/>
      <c r="F521" s="12" t="n"/>
      <c r="G521" s="13" t="n"/>
      <c r="H521" s="12" t="n"/>
      <c r="I521" s="12" t="n"/>
      <c r="J521" s="12" t="n"/>
      <c r="K521" s="12" t="n"/>
      <c r="L521" s="11" t="n"/>
      <c r="M521" s="11" t="n"/>
      <c r="N521" s="11" t="n"/>
      <c r="O521" s="11" t="n"/>
      <c r="P521" s="12" t="n"/>
      <c r="Q521" s="11" t="n"/>
      <c r="R521" s="12" t="n"/>
      <c r="S521" s="11" t="n"/>
      <c r="T521" s="12" t="n"/>
      <c r="U521" s="12" t="n"/>
      <c r="V521" s="14">
        <f>IF($AN521="",IF($B521="","",$H521),IF(INDEX(職員マスタ!$B$6:$B$405,$AN521)="",$H521,INDEX(職員マスタ!$B$6:$B$405,$AN521)))</f>
        <v/>
      </c>
      <c r="W521" s="14">
        <f>IF($AN521="",IF($B521="","",$R521),IF(INDEX(職員マスタ!$C$6:$C$405,$AN521)="",$R521,INDEX(職員マスタ!$C$6:$C$405,$AN521)))</f>
        <v/>
      </c>
      <c r="X521" s="14">
        <f>IF($AO521="","","R"&amp;$C521&amp;"."&amp;$D521)</f>
        <v/>
      </c>
      <c r="Y521" s="15">
        <f>IF($AN521="","",IF(INDEX(職員マスタ!$K$6:$K$405,$AN521)="","",INDEX(職員マスタ!$K$6:$K$405,$AN521)))</f>
        <v/>
      </c>
      <c r="Z521" s="14">
        <f>IF(OR($E521="",$Y521=""),"",IF($E521&gt;=$Y521,"×",IF($E521&gt;=$Y521*設定!$C$5,"△","○")))</f>
        <v/>
      </c>
      <c r="AA521" s="15">
        <f>IF($Z521="","",IF($Z521="×",0,IF($Z521="○",ROUNDDOWN($E521*設定!$C$4,0),ROUNDDOWN($E521*ROUND((9*$Y521-9*$E521)/(10*$E521),4),0))))</f>
        <v/>
      </c>
      <c r="AB521" s="13" t="n"/>
      <c r="AC521" s="15">
        <f>IF($B521="","",IF($AB521&lt;&gt;"",$AB521,IF($AA521="","",IF($AA521&lt;=設定!$C$3,0,$AA521))))</f>
        <v/>
      </c>
      <c r="AD521" s="14">
        <f>IF($B521="","",IF(AND($AE521&lt;&gt;"",$AG521="",$AJ521=""),"保留中",IF($AJ521&lt;&gt;"",IF(N($AC521)&gt;0,"支給済","不支給"),IF($AC521="","要確認",IF($AC521=0,"不支給","未処理")))))</f>
        <v/>
      </c>
      <c r="AE521" s="12" t="n"/>
      <c r="AF521" s="11" t="n"/>
      <c r="AG521" s="11" t="n"/>
      <c r="AH521" s="11" t="n"/>
      <c r="AI521" s="14">
        <f>IF(AND($AD521="保留中",$AF521&lt;&gt;""),TODAY()-$AF521,"")</f>
        <v/>
      </c>
      <c r="AJ521" s="12" t="n"/>
      <c r="AK521" s="14">
        <f>IF($B521="","",IF($AO521="","対象年月が未入力／","")&amp;IF($B521="","",IF($AN521="","職員マスタに未登録の職員番号／",IF($Y521="","標準報酬月額が未登録／","")&amp;IF(AND($AO521&lt;&gt;"",OR(AND(INDEX(職員マスタ!$G$6:$G$405,$AN521)&lt;&gt;"",INDEX(職員マスタ!$G$6:$G$405,$AN521)&gt;EOMONTH($AO521,0)),AND(INDEX(職員マスタ!$H$6:$H$405,$AN521)&lt;&gt;"",INDEX(職員マスタ!$H$6:$H$405,$AN521)&lt;$AO521))),"対象月が時短期間外／","")&amp;IF(AND(INDEX(職員マスタ!$F$6:$F$405,$AN521)&lt;&gt;"",$AO521&lt;&gt;"",INDEX(職員マスタ!$F$6:$F$405,$AN521)&lt;$AO521),"対象月に子が2歳到達済／","")&amp;IF(AND($H521&lt;&gt;"",INDEX(職員マスタ!$B$6:$B$405,$AN521)&lt;&gt;"",SUBSTITUTE(SUBSTITUTE($H521," ","")," ","")&lt;&gt;SUBSTITUTE(SUBSTITUTE(INDEX(職員マスタ!$B$6:$B$405,$AN521)," ","")," ","")),"氏名がマスタと相違／","")&amp;IF(AND($Q521&lt;&gt;"",INDEX(職員マスタ!$E$6:$E$405,$AN521)&lt;&gt;"",$Q521&lt;&gt;INDEX(職員マスタ!$E$6:$E$405,$AN521)),"子の生年月日がマスタと相違／","")&amp;IF(AND($L521&lt;&gt;"",INDEX(職員マスタ!$G$6:$G$405,$AN521)&lt;&gt;"",$L521&lt;&gt;INDEX(職員マスタ!$G$6:$G$405,$AN521)),"時短開始日がマスタと相違／","")&amp;IF(AND($M521&lt;&gt;"",INDEX(職員マスタ!$H$6:$H$405,$AN521)&lt;&gt;"",$M521&lt;&gt;INDEX(職員マスタ!$H$6:$H$405,$AN521)),"時短終了日がマスタと相違／","")))&amp;IF(AND($B521&lt;&gt;"",$E521=""),"報酬額が未入力／","")&amp;IF(N($U521)&gt;0,"申請書に入力エラーが残っています／","")&amp;IF(AND($B521&lt;&gt;"",$AO521&lt;&gt;""),IF(COUNTIFS($B$6:$B$3005,$B521,$C$6:$C$3005,$C521,$D$6:$D$3005,$D521)&gt;1,"同じ月の請求が重複しています／",""),"")&amp;IF(AND(N($E521)&gt;0,$Z521&lt;&gt;"",$Z521&lt;&gt;"×",$AC521=0,$AB521=""),"計算額が下限以下のため不支給／",""))</f>
        <v/>
      </c>
      <c r="AL521" s="12" t="n"/>
      <c r="AM521" s="14">
        <f>IF($AD521="保留中",COUNTIF($AD$6:$AD521,"保留中"),"")</f>
        <v/>
      </c>
      <c r="AN521" s="14">
        <f>IF($AO521="","",IF(SUMPRODUCT(MAX((職員マスタ!$A$6:$A$405=$B521)*(((職員マスタ!$G$6:$G$405="")+(職員マスタ!$G$6:$G$405&lt;=EOMONTH($AO521,0)))&gt;0)*(((職員マスタ!$H$6:$H$405="")+(職員マスタ!$H$6:$H$405&gt;=$AO521))&gt;0)*(ROW(職員マスタ!$A$6:$A$405)-5)))&gt;0,SUMPRODUCT(MAX((職員マスタ!$A$6:$A$405=$B521)*(((職員マスタ!$G$6:$G$405="")+(職員マスタ!$G$6:$G$405&lt;=EOMONTH($AO521,0)))&gt;0)*(((職員マスタ!$H$6:$H$405="")+(職員マスタ!$H$6:$H$405&gt;=$AO521))&gt;0)*(ROW(職員マスタ!$A$6:$A$405)-5))),IFERROR(MATCH($B521,職員マスタ!$A$6:$A$405,0),"")))</f>
        <v/>
      </c>
      <c r="AO521" s="16">
        <f>IF(OR($B521="",$C521="",$D521=""),"",DATE($C521+2018,$D521,1))</f>
        <v/>
      </c>
    </row>
    <row r="522">
      <c r="A522" s="11" t="n"/>
      <c r="B522" s="12" t="n"/>
      <c r="C522" s="12" t="n"/>
      <c r="D522" s="12" t="n"/>
      <c r="E522" s="13" t="n"/>
      <c r="F522" s="12" t="n"/>
      <c r="G522" s="13" t="n"/>
      <c r="H522" s="12" t="n"/>
      <c r="I522" s="12" t="n"/>
      <c r="J522" s="12" t="n"/>
      <c r="K522" s="12" t="n"/>
      <c r="L522" s="11" t="n"/>
      <c r="M522" s="11" t="n"/>
      <c r="N522" s="11" t="n"/>
      <c r="O522" s="11" t="n"/>
      <c r="P522" s="12" t="n"/>
      <c r="Q522" s="11" t="n"/>
      <c r="R522" s="12" t="n"/>
      <c r="S522" s="11" t="n"/>
      <c r="T522" s="12" t="n"/>
      <c r="U522" s="12" t="n"/>
      <c r="V522" s="14">
        <f>IF($AN522="",IF($B522="","",$H522),IF(INDEX(職員マスタ!$B$6:$B$405,$AN522)="",$H522,INDEX(職員マスタ!$B$6:$B$405,$AN522)))</f>
        <v/>
      </c>
      <c r="W522" s="14">
        <f>IF($AN522="",IF($B522="","",$R522),IF(INDEX(職員マスタ!$C$6:$C$405,$AN522)="",$R522,INDEX(職員マスタ!$C$6:$C$405,$AN522)))</f>
        <v/>
      </c>
      <c r="X522" s="14">
        <f>IF($AO522="","","R"&amp;$C522&amp;"."&amp;$D522)</f>
        <v/>
      </c>
      <c r="Y522" s="15">
        <f>IF($AN522="","",IF(INDEX(職員マスタ!$K$6:$K$405,$AN522)="","",INDEX(職員マスタ!$K$6:$K$405,$AN522)))</f>
        <v/>
      </c>
      <c r="Z522" s="14">
        <f>IF(OR($E522="",$Y522=""),"",IF($E522&gt;=$Y522,"×",IF($E522&gt;=$Y522*設定!$C$5,"△","○")))</f>
        <v/>
      </c>
      <c r="AA522" s="15">
        <f>IF($Z522="","",IF($Z522="×",0,IF($Z522="○",ROUNDDOWN($E522*設定!$C$4,0),ROUNDDOWN($E522*ROUND((9*$Y522-9*$E522)/(10*$E522),4),0))))</f>
        <v/>
      </c>
      <c r="AB522" s="13" t="n"/>
      <c r="AC522" s="15">
        <f>IF($B522="","",IF($AB522&lt;&gt;"",$AB522,IF($AA522="","",IF($AA522&lt;=設定!$C$3,0,$AA522))))</f>
        <v/>
      </c>
      <c r="AD522" s="14">
        <f>IF($B522="","",IF(AND($AE522&lt;&gt;"",$AG522="",$AJ522=""),"保留中",IF($AJ522&lt;&gt;"",IF(N($AC522)&gt;0,"支給済","不支給"),IF($AC522="","要確認",IF($AC522=0,"不支給","未処理")))))</f>
        <v/>
      </c>
      <c r="AE522" s="12" t="n"/>
      <c r="AF522" s="11" t="n"/>
      <c r="AG522" s="11" t="n"/>
      <c r="AH522" s="11" t="n"/>
      <c r="AI522" s="14">
        <f>IF(AND($AD522="保留中",$AF522&lt;&gt;""),TODAY()-$AF522,"")</f>
        <v/>
      </c>
      <c r="AJ522" s="12" t="n"/>
      <c r="AK522" s="14">
        <f>IF($B522="","",IF($AO522="","対象年月が未入力／","")&amp;IF($B522="","",IF($AN522="","職員マスタに未登録の職員番号／",IF($Y522="","標準報酬月額が未登録／","")&amp;IF(AND($AO522&lt;&gt;"",OR(AND(INDEX(職員マスタ!$G$6:$G$405,$AN522)&lt;&gt;"",INDEX(職員マスタ!$G$6:$G$405,$AN522)&gt;EOMONTH($AO522,0)),AND(INDEX(職員マスタ!$H$6:$H$405,$AN522)&lt;&gt;"",INDEX(職員マスタ!$H$6:$H$405,$AN522)&lt;$AO522))),"対象月が時短期間外／","")&amp;IF(AND(INDEX(職員マスタ!$F$6:$F$405,$AN522)&lt;&gt;"",$AO522&lt;&gt;"",INDEX(職員マスタ!$F$6:$F$405,$AN522)&lt;$AO522),"対象月に子が2歳到達済／","")&amp;IF(AND($H522&lt;&gt;"",INDEX(職員マスタ!$B$6:$B$405,$AN522)&lt;&gt;"",SUBSTITUTE(SUBSTITUTE($H522," ","")," ","")&lt;&gt;SUBSTITUTE(SUBSTITUTE(INDEX(職員マスタ!$B$6:$B$405,$AN522)," ","")," ","")),"氏名がマスタと相違／","")&amp;IF(AND($Q522&lt;&gt;"",INDEX(職員マスタ!$E$6:$E$405,$AN522)&lt;&gt;"",$Q522&lt;&gt;INDEX(職員マスタ!$E$6:$E$405,$AN522)),"子の生年月日がマスタと相違／","")&amp;IF(AND($L522&lt;&gt;"",INDEX(職員マスタ!$G$6:$G$405,$AN522)&lt;&gt;"",$L522&lt;&gt;INDEX(職員マスタ!$G$6:$G$405,$AN522)),"時短開始日がマスタと相違／","")&amp;IF(AND($M522&lt;&gt;"",INDEX(職員マスタ!$H$6:$H$405,$AN522)&lt;&gt;"",$M522&lt;&gt;INDEX(職員マスタ!$H$6:$H$405,$AN522)),"時短終了日がマスタと相違／","")))&amp;IF(AND($B522&lt;&gt;"",$E522=""),"報酬額が未入力／","")&amp;IF(N($U522)&gt;0,"申請書に入力エラーが残っています／","")&amp;IF(AND($B522&lt;&gt;"",$AO522&lt;&gt;""),IF(COUNTIFS($B$6:$B$3005,$B522,$C$6:$C$3005,$C522,$D$6:$D$3005,$D522)&gt;1,"同じ月の請求が重複しています／",""),"")&amp;IF(AND(N($E522)&gt;0,$Z522&lt;&gt;"",$Z522&lt;&gt;"×",$AC522=0,$AB522=""),"計算額が下限以下のため不支給／",""))</f>
        <v/>
      </c>
      <c r="AL522" s="12" t="n"/>
      <c r="AM522" s="14">
        <f>IF($AD522="保留中",COUNTIF($AD$6:$AD522,"保留中"),"")</f>
        <v/>
      </c>
      <c r="AN522" s="14">
        <f>IF($AO522="","",IF(SUMPRODUCT(MAX((職員マスタ!$A$6:$A$405=$B522)*(((職員マスタ!$G$6:$G$405="")+(職員マスタ!$G$6:$G$405&lt;=EOMONTH($AO522,0)))&gt;0)*(((職員マスタ!$H$6:$H$405="")+(職員マスタ!$H$6:$H$405&gt;=$AO522))&gt;0)*(ROW(職員マスタ!$A$6:$A$405)-5)))&gt;0,SUMPRODUCT(MAX((職員マスタ!$A$6:$A$405=$B522)*(((職員マスタ!$G$6:$G$405="")+(職員マスタ!$G$6:$G$405&lt;=EOMONTH($AO522,0)))&gt;0)*(((職員マスタ!$H$6:$H$405="")+(職員マスタ!$H$6:$H$405&gt;=$AO522))&gt;0)*(ROW(職員マスタ!$A$6:$A$405)-5))),IFERROR(MATCH($B522,職員マスタ!$A$6:$A$405,0),"")))</f>
        <v/>
      </c>
      <c r="AO522" s="16">
        <f>IF(OR($B522="",$C522="",$D522=""),"",DATE($C522+2018,$D522,1))</f>
        <v/>
      </c>
    </row>
    <row r="523">
      <c r="A523" s="11" t="n"/>
      <c r="B523" s="12" t="n"/>
      <c r="C523" s="12" t="n"/>
      <c r="D523" s="12" t="n"/>
      <c r="E523" s="13" t="n"/>
      <c r="F523" s="12" t="n"/>
      <c r="G523" s="13" t="n"/>
      <c r="H523" s="12" t="n"/>
      <c r="I523" s="12" t="n"/>
      <c r="J523" s="12" t="n"/>
      <c r="K523" s="12" t="n"/>
      <c r="L523" s="11" t="n"/>
      <c r="M523" s="11" t="n"/>
      <c r="N523" s="11" t="n"/>
      <c r="O523" s="11" t="n"/>
      <c r="P523" s="12" t="n"/>
      <c r="Q523" s="11" t="n"/>
      <c r="R523" s="12" t="n"/>
      <c r="S523" s="11" t="n"/>
      <c r="T523" s="12" t="n"/>
      <c r="U523" s="12" t="n"/>
      <c r="V523" s="14">
        <f>IF($AN523="",IF($B523="","",$H523),IF(INDEX(職員マスタ!$B$6:$B$405,$AN523)="",$H523,INDEX(職員マスタ!$B$6:$B$405,$AN523)))</f>
        <v/>
      </c>
      <c r="W523" s="14">
        <f>IF($AN523="",IF($B523="","",$R523),IF(INDEX(職員マスタ!$C$6:$C$405,$AN523)="",$R523,INDEX(職員マスタ!$C$6:$C$405,$AN523)))</f>
        <v/>
      </c>
      <c r="X523" s="14">
        <f>IF($AO523="","","R"&amp;$C523&amp;"."&amp;$D523)</f>
        <v/>
      </c>
      <c r="Y523" s="15">
        <f>IF($AN523="","",IF(INDEX(職員マスタ!$K$6:$K$405,$AN523)="","",INDEX(職員マスタ!$K$6:$K$405,$AN523)))</f>
        <v/>
      </c>
      <c r="Z523" s="14">
        <f>IF(OR($E523="",$Y523=""),"",IF($E523&gt;=$Y523,"×",IF($E523&gt;=$Y523*設定!$C$5,"△","○")))</f>
        <v/>
      </c>
      <c r="AA523" s="15">
        <f>IF($Z523="","",IF($Z523="×",0,IF($Z523="○",ROUNDDOWN($E523*設定!$C$4,0),ROUNDDOWN($E523*ROUND((9*$Y523-9*$E523)/(10*$E523),4),0))))</f>
        <v/>
      </c>
      <c r="AB523" s="13" t="n"/>
      <c r="AC523" s="15">
        <f>IF($B523="","",IF($AB523&lt;&gt;"",$AB523,IF($AA523="","",IF($AA523&lt;=設定!$C$3,0,$AA523))))</f>
        <v/>
      </c>
      <c r="AD523" s="14">
        <f>IF($B523="","",IF(AND($AE523&lt;&gt;"",$AG523="",$AJ523=""),"保留中",IF($AJ523&lt;&gt;"",IF(N($AC523)&gt;0,"支給済","不支給"),IF($AC523="","要確認",IF($AC523=0,"不支給","未処理")))))</f>
        <v/>
      </c>
      <c r="AE523" s="12" t="n"/>
      <c r="AF523" s="11" t="n"/>
      <c r="AG523" s="11" t="n"/>
      <c r="AH523" s="11" t="n"/>
      <c r="AI523" s="14">
        <f>IF(AND($AD523="保留中",$AF523&lt;&gt;""),TODAY()-$AF523,"")</f>
        <v/>
      </c>
      <c r="AJ523" s="12" t="n"/>
      <c r="AK523" s="14">
        <f>IF($B523="","",IF($AO523="","対象年月が未入力／","")&amp;IF($B523="","",IF($AN523="","職員マスタに未登録の職員番号／",IF($Y523="","標準報酬月額が未登録／","")&amp;IF(AND($AO523&lt;&gt;"",OR(AND(INDEX(職員マスタ!$G$6:$G$405,$AN523)&lt;&gt;"",INDEX(職員マスタ!$G$6:$G$405,$AN523)&gt;EOMONTH($AO523,0)),AND(INDEX(職員マスタ!$H$6:$H$405,$AN523)&lt;&gt;"",INDEX(職員マスタ!$H$6:$H$405,$AN523)&lt;$AO523))),"対象月が時短期間外／","")&amp;IF(AND(INDEX(職員マスタ!$F$6:$F$405,$AN523)&lt;&gt;"",$AO523&lt;&gt;"",INDEX(職員マスタ!$F$6:$F$405,$AN523)&lt;$AO523),"対象月に子が2歳到達済／","")&amp;IF(AND($H523&lt;&gt;"",INDEX(職員マスタ!$B$6:$B$405,$AN523)&lt;&gt;"",SUBSTITUTE(SUBSTITUTE($H523," ","")," ","")&lt;&gt;SUBSTITUTE(SUBSTITUTE(INDEX(職員マスタ!$B$6:$B$405,$AN523)," ","")," ","")),"氏名がマスタと相違／","")&amp;IF(AND($Q523&lt;&gt;"",INDEX(職員マスタ!$E$6:$E$405,$AN523)&lt;&gt;"",$Q523&lt;&gt;INDEX(職員マスタ!$E$6:$E$405,$AN523)),"子の生年月日がマスタと相違／","")&amp;IF(AND($L523&lt;&gt;"",INDEX(職員マスタ!$G$6:$G$405,$AN523)&lt;&gt;"",$L523&lt;&gt;INDEX(職員マスタ!$G$6:$G$405,$AN523)),"時短開始日がマスタと相違／","")&amp;IF(AND($M523&lt;&gt;"",INDEX(職員マスタ!$H$6:$H$405,$AN523)&lt;&gt;"",$M523&lt;&gt;INDEX(職員マスタ!$H$6:$H$405,$AN523)),"時短終了日がマスタと相違／","")))&amp;IF(AND($B523&lt;&gt;"",$E523=""),"報酬額が未入力／","")&amp;IF(N($U523)&gt;0,"申請書に入力エラーが残っています／","")&amp;IF(AND($B523&lt;&gt;"",$AO523&lt;&gt;""),IF(COUNTIFS($B$6:$B$3005,$B523,$C$6:$C$3005,$C523,$D$6:$D$3005,$D523)&gt;1,"同じ月の請求が重複しています／",""),"")&amp;IF(AND(N($E523)&gt;0,$Z523&lt;&gt;"",$Z523&lt;&gt;"×",$AC523=0,$AB523=""),"計算額が下限以下のため不支給／",""))</f>
        <v/>
      </c>
      <c r="AL523" s="12" t="n"/>
      <c r="AM523" s="14">
        <f>IF($AD523="保留中",COUNTIF($AD$6:$AD523,"保留中"),"")</f>
        <v/>
      </c>
      <c r="AN523" s="14">
        <f>IF($AO523="","",IF(SUMPRODUCT(MAX((職員マスタ!$A$6:$A$405=$B523)*(((職員マスタ!$G$6:$G$405="")+(職員マスタ!$G$6:$G$405&lt;=EOMONTH($AO523,0)))&gt;0)*(((職員マスタ!$H$6:$H$405="")+(職員マスタ!$H$6:$H$405&gt;=$AO523))&gt;0)*(ROW(職員マスタ!$A$6:$A$405)-5)))&gt;0,SUMPRODUCT(MAX((職員マスタ!$A$6:$A$405=$B523)*(((職員マスタ!$G$6:$G$405="")+(職員マスタ!$G$6:$G$405&lt;=EOMONTH($AO523,0)))&gt;0)*(((職員マスタ!$H$6:$H$405="")+(職員マスタ!$H$6:$H$405&gt;=$AO523))&gt;0)*(ROW(職員マスタ!$A$6:$A$405)-5))),IFERROR(MATCH($B523,職員マスタ!$A$6:$A$405,0),"")))</f>
        <v/>
      </c>
      <c r="AO523" s="16">
        <f>IF(OR($B523="",$C523="",$D523=""),"",DATE($C523+2018,$D523,1))</f>
        <v/>
      </c>
    </row>
    <row r="524">
      <c r="A524" s="11" t="n"/>
      <c r="B524" s="12" t="n"/>
      <c r="C524" s="12" t="n"/>
      <c r="D524" s="12" t="n"/>
      <c r="E524" s="13" t="n"/>
      <c r="F524" s="12" t="n"/>
      <c r="G524" s="13" t="n"/>
      <c r="H524" s="12" t="n"/>
      <c r="I524" s="12" t="n"/>
      <c r="J524" s="12" t="n"/>
      <c r="K524" s="12" t="n"/>
      <c r="L524" s="11" t="n"/>
      <c r="M524" s="11" t="n"/>
      <c r="N524" s="11" t="n"/>
      <c r="O524" s="11" t="n"/>
      <c r="P524" s="12" t="n"/>
      <c r="Q524" s="11" t="n"/>
      <c r="R524" s="12" t="n"/>
      <c r="S524" s="11" t="n"/>
      <c r="T524" s="12" t="n"/>
      <c r="U524" s="12" t="n"/>
      <c r="V524" s="14">
        <f>IF($AN524="",IF($B524="","",$H524),IF(INDEX(職員マスタ!$B$6:$B$405,$AN524)="",$H524,INDEX(職員マスタ!$B$6:$B$405,$AN524)))</f>
        <v/>
      </c>
      <c r="W524" s="14">
        <f>IF($AN524="",IF($B524="","",$R524),IF(INDEX(職員マスタ!$C$6:$C$405,$AN524)="",$R524,INDEX(職員マスタ!$C$6:$C$405,$AN524)))</f>
        <v/>
      </c>
      <c r="X524" s="14">
        <f>IF($AO524="","","R"&amp;$C524&amp;"."&amp;$D524)</f>
        <v/>
      </c>
      <c r="Y524" s="15">
        <f>IF($AN524="","",IF(INDEX(職員マスタ!$K$6:$K$405,$AN524)="","",INDEX(職員マスタ!$K$6:$K$405,$AN524)))</f>
        <v/>
      </c>
      <c r="Z524" s="14">
        <f>IF(OR($E524="",$Y524=""),"",IF($E524&gt;=$Y524,"×",IF($E524&gt;=$Y524*設定!$C$5,"△","○")))</f>
        <v/>
      </c>
      <c r="AA524" s="15">
        <f>IF($Z524="","",IF($Z524="×",0,IF($Z524="○",ROUNDDOWN($E524*設定!$C$4,0),ROUNDDOWN($E524*ROUND((9*$Y524-9*$E524)/(10*$E524),4),0))))</f>
        <v/>
      </c>
      <c r="AB524" s="13" t="n"/>
      <c r="AC524" s="15">
        <f>IF($B524="","",IF($AB524&lt;&gt;"",$AB524,IF($AA524="","",IF($AA524&lt;=設定!$C$3,0,$AA524))))</f>
        <v/>
      </c>
      <c r="AD524" s="14">
        <f>IF($B524="","",IF(AND($AE524&lt;&gt;"",$AG524="",$AJ524=""),"保留中",IF($AJ524&lt;&gt;"",IF(N($AC524)&gt;0,"支給済","不支給"),IF($AC524="","要確認",IF($AC524=0,"不支給","未処理")))))</f>
        <v/>
      </c>
      <c r="AE524" s="12" t="n"/>
      <c r="AF524" s="11" t="n"/>
      <c r="AG524" s="11" t="n"/>
      <c r="AH524" s="11" t="n"/>
      <c r="AI524" s="14">
        <f>IF(AND($AD524="保留中",$AF524&lt;&gt;""),TODAY()-$AF524,"")</f>
        <v/>
      </c>
      <c r="AJ524" s="12" t="n"/>
      <c r="AK524" s="14">
        <f>IF($B524="","",IF($AO524="","対象年月が未入力／","")&amp;IF($B524="","",IF($AN524="","職員マスタに未登録の職員番号／",IF($Y524="","標準報酬月額が未登録／","")&amp;IF(AND($AO524&lt;&gt;"",OR(AND(INDEX(職員マスタ!$G$6:$G$405,$AN524)&lt;&gt;"",INDEX(職員マスタ!$G$6:$G$405,$AN524)&gt;EOMONTH($AO524,0)),AND(INDEX(職員マスタ!$H$6:$H$405,$AN524)&lt;&gt;"",INDEX(職員マスタ!$H$6:$H$405,$AN524)&lt;$AO524))),"対象月が時短期間外／","")&amp;IF(AND(INDEX(職員マスタ!$F$6:$F$405,$AN524)&lt;&gt;"",$AO524&lt;&gt;"",INDEX(職員マスタ!$F$6:$F$405,$AN524)&lt;$AO524),"対象月に子が2歳到達済／","")&amp;IF(AND($H524&lt;&gt;"",INDEX(職員マスタ!$B$6:$B$405,$AN524)&lt;&gt;"",SUBSTITUTE(SUBSTITUTE($H524," ","")," ","")&lt;&gt;SUBSTITUTE(SUBSTITUTE(INDEX(職員マスタ!$B$6:$B$405,$AN524)," ","")," ","")),"氏名がマスタと相違／","")&amp;IF(AND($Q524&lt;&gt;"",INDEX(職員マスタ!$E$6:$E$405,$AN524)&lt;&gt;"",$Q524&lt;&gt;INDEX(職員マスタ!$E$6:$E$405,$AN524)),"子の生年月日がマスタと相違／","")&amp;IF(AND($L524&lt;&gt;"",INDEX(職員マスタ!$G$6:$G$405,$AN524)&lt;&gt;"",$L524&lt;&gt;INDEX(職員マスタ!$G$6:$G$405,$AN524)),"時短開始日がマスタと相違／","")&amp;IF(AND($M524&lt;&gt;"",INDEX(職員マスタ!$H$6:$H$405,$AN524)&lt;&gt;"",$M524&lt;&gt;INDEX(職員マスタ!$H$6:$H$405,$AN524)),"時短終了日がマスタと相違／","")))&amp;IF(AND($B524&lt;&gt;"",$E524=""),"報酬額が未入力／","")&amp;IF(N($U524)&gt;0,"申請書に入力エラーが残っています／","")&amp;IF(AND($B524&lt;&gt;"",$AO524&lt;&gt;""),IF(COUNTIFS($B$6:$B$3005,$B524,$C$6:$C$3005,$C524,$D$6:$D$3005,$D524)&gt;1,"同じ月の請求が重複しています／",""),"")&amp;IF(AND(N($E524)&gt;0,$Z524&lt;&gt;"",$Z524&lt;&gt;"×",$AC524=0,$AB524=""),"計算額が下限以下のため不支給／",""))</f>
        <v/>
      </c>
      <c r="AL524" s="12" t="n"/>
      <c r="AM524" s="14">
        <f>IF($AD524="保留中",COUNTIF($AD$6:$AD524,"保留中"),"")</f>
        <v/>
      </c>
      <c r="AN524" s="14">
        <f>IF($AO524="","",IF(SUMPRODUCT(MAX((職員マスタ!$A$6:$A$405=$B524)*(((職員マスタ!$G$6:$G$405="")+(職員マスタ!$G$6:$G$405&lt;=EOMONTH($AO524,0)))&gt;0)*(((職員マスタ!$H$6:$H$405="")+(職員マスタ!$H$6:$H$405&gt;=$AO524))&gt;0)*(ROW(職員マスタ!$A$6:$A$405)-5)))&gt;0,SUMPRODUCT(MAX((職員マスタ!$A$6:$A$405=$B524)*(((職員マスタ!$G$6:$G$405="")+(職員マスタ!$G$6:$G$405&lt;=EOMONTH($AO524,0)))&gt;0)*(((職員マスタ!$H$6:$H$405="")+(職員マスタ!$H$6:$H$405&gt;=$AO524))&gt;0)*(ROW(職員マスタ!$A$6:$A$405)-5))),IFERROR(MATCH($B524,職員マスタ!$A$6:$A$405,0),"")))</f>
        <v/>
      </c>
      <c r="AO524" s="16">
        <f>IF(OR($B524="",$C524="",$D524=""),"",DATE($C524+2018,$D524,1))</f>
        <v/>
      </c>
    </row>
    <row r="525">
      <c r="A525" s="11" t="n"/>
      <c r="B525" s="12" t="n"/>
      <c r="C525" s="12" t="n"/>
      <c r="D525" s="12" t="n"/>
      <c r="E525" s="13" t="n"/>
      <c r="F525" s="12" t="n"/>
      <c r="G525" s="13" t="n"/>
      <c r="H525" s="12" t="n"/>
      <c r="I525" s="12" t="n"/>
      <c r="J525" s="12" t="n"/>
      <c r="K525" s="12" t="n"/>
      <c r="L525" s="11" t="n"/>
      <c r="M525" s="11" t="n"/>
      <c r="N525" s="11" t="n"/>
      <c r="O525" s="11" t="n"/>
      <c r="P525" s="12" t="n"/>
      <c r="Q525" s="11" t="n"/>
      <c r="R525" s="12" t="n"/>
      <c r="S525" s="11" t="n"/>
      <c r="T525" s="12" t="n"/>
      <c r="U525" s="12" t="n"/>
      <c r="V525" s="14">
        <f>IF($AN525="",IF($B525="","",$H525),IF(INDEX(職員マスタ!$B$6:$B$405,$AN525)="",$H525,INDEX(職員マスタ!$B$6:$B$405,$AN525)))</f>
        <v/>
      </c>
      <c r="W525" s="14">
        <f>IF($AN525="",IF($B525="","",$R525),IF(INDEX(職員マスタ!$C$6:$C$405,$AN525)="",$R525,INDEX(職員マスタ!$C$6:$C$405,$AN525)))</f>
        <v/>
      </c>
      <c r="X525" s="14">
        <f>IF($AO525="","","R"&amp;$C525&amp;"."&amp;$D525)</f>
        <v/>
      </c>
      <c r="Y525" s="15">
        <f>IF($AN525="","",IF(INDEX(職員マスタ!$K$6:$K$405,$AN525)="","",INDEX(職員マスタ!$K$6:$K$405,$AN525)))</f>
        <v/>
      </c>
      <c r="Z525" s="14">
        <f>IF(OR($E525="",$Y525=""),"",IF($E525&gt;=$Y525,"×",IF($E525&gt;=$Y525*設定!$C$5,"△","○")))</f>
        <v/>
      </c>
      <c r="AA525" s="15">
        <f>IF($Z525="","",IF($Z525="×",0,IF($Z525="○",ROUNDDOWN($E525*設定!$C$4,0),ROUNDDOWN($E525*ROUND((9*$Y525-9*$E525)/(10*$E525),4),0))))</f>
        <v/>
      </c>
      <c r="AB525" s="13" t="n"/>
      <c r="AC525" s="15">
        <f>IF($B525="","",IF($AB525&lt;&gt;"",$AB525,IF($AA525="","",IF($AA525&lt;=設定!$C$3,0,$AA525))))</f>
        <v/>
      </c>
      <c r="AD525" s="14">
        <f>IF($B525="","",IF(AND($AE525&lt;&gt;"",$AG525="",$AJ525=""),"保留中",IF($AJ525&lt;&gt;"",IF(N($AC525)&gt;0,"支給済","不支給"),IF($AC525="","要確認",IF($AC525=0,"不支給","未処理")))))</f>
        <v/>
      </c>
      <c r="AE525" s="12" t="n"/>
      <c r="AF525" s="11" t="n"/>
      <c r="AG525" s="11" t="n"/>
      <c r="AH525" s="11" t="n"/>
      <c r="AI525" s="14">
        <f>IF(AND($AD525="保留中",$AF525&lt;&gt;""),TODAY()-$AF525,"")</f>
        <v/>
      </c>
      <c r="AJ525" s="12" t="n"/>
      <c r="AK525" s="14">
        <f>IF($B525="","",IF($AO525="","対象年月が未入力／","")&amp;IF($B525="","",IF($AN525="","職員マスタに未登録の職員番号／",IF($Y525="","標準報酬月額が未登録／","")&amp;IF(AND($AO525&lt;&gt;"",OR(AND(INDEX(職員マスタ!$G$6:$G$405,$AN525)&lt;&gt;"",INDEX(職員マスタ!$G$6:$G$405,$AN525)&gt;EOMONTH($AO525,0)),AND(INDEX(職員マスタ!$H$6:$H$405,$AN525)&lt;&gt;"",INDEX(職員マスタ!$H$6:$H$405,$AN525)&lt;$AO525))),"対象月が時短期間外／","")&amp;IF(AND(INDEX(職員マスタ!$F$6:$F$405,$AN525)&lt;&gt;"",$AO525&lt;&gt;"",INDEX(職員マスタ!$F$6:$F$405,$AN525)&lt;$AO525),"対象月に子が2歳到達済／","")&amp;IF(AND($H525&lt;&gt;"",INDEX(職員マスタ!$B$6:$B$405,$AN525)&lt;&gt;"",SUBSTITUTE(SUBSTITUTE($H525," ","")," ","")&lt;&gt;SUBSTITUTE(SUBSTITUTE(INDEX(職員マスタ!$B$6:$B$405,$AN525)," ","")," ","")),"氏名がマスタと相違／","")&amp;IF(AND($Q525&lt;&gt;"",INDEX(職員マスタ!$E$6:$E$405,$AN525)&lt;&gt;"",$Q525&lt;&gt;INDEX(職員マスタ!$E$6:$E$405,$AN525)),"子の生年月日がマスタと相違／","")&amp;IF(AND($L525&lt;&gt;"",INDEX(職員マスタ!$G$6:$G$405,$AN525)&lt;&gt;"",$L525&lt;&gt;INDEX(職員マスタ!$G$6:$G$405,$AN525)),"時短開始日がマスタと相違／","")&amp;IF(AND($M525&lt;&gt;"",INDEX(職員マスタ!$H$6:$H$405,$AN525)&lt;&gt;"",$M525&lt;&gt;INDEX(職員マスタ!$H$6:$H$405,$AN525)),"時短終了日がマスタと相違／","")))&amp;IF(AND($B525&lt;&gt;"",$E525=""),"報酬額が未入力／","")&amp;IF(N($U525)&gt;0,"申請書に入力エラーが残っています／","")&amp;IF(AND($B525&lt;&gt;"",$AO525&lt;&gt;""),IF(COUNTIFS($B$6:$B$3005,$B525,$C$6:$C$3005,$C525,$D$6:$D$3005,$D525)&gt;1,"同じ月の請求が重複しています／",""),"")&amp;IF(AND(N($E525)&gt;0,$Z525&lt;&gt;"",$Z525&lt;&gt;"×",$AC525=0,$AB525=""),"計算額が下限以下のため不支給／",""))</f>
        <v/>
      </c>
      <c r="AL525" s="12" t="n"/>
      <c r="AM525" s="14">
        <f>IF($AD525="保留中",COUNTIF($AD$6:$AD525,"保留中"),"")</f>
        <v/>
      </c>
      <c r="AN525" s="14">
        <f>IF($AO525="","",IF(SUMPRODUCT(MAX((職員マスタ!$A$6:$A$405=$B525)*(((職員マスタ!$G$6:$G$405="")+(職員マスタ!$G$6:$G$405&lt;=EOMONTH($AO525,0)))&gt;0)*(((職員マスタ!$H$6:$H$405="")+(職員マスタ!$H$6:$H$405&gt;=$AO525))&gt;0)*(ROW(職員マスタ!$A$6:$A$405)-5)))&gt;0,SUMPRODUCT(MAX((職員マスタ!$A$6:$A$405=$B525)*(((職員マスタ!$G$6:$G$405="")+(職員マスタ!$G$6:$G$405&lt;=EOMONTH($AO525,0)))&gt;0)*(((職員マスタ!$H$6:$H$405="")+(職員マスタ!$H$6:$H$405&gt;=$AO525))&gt;0)*(ROW(職員マスタ!$A$6:$A$405)-5))),IFERROR(MATCH($B525,職員マスタ!$A$6:$A$405,0),"")))</f>
        <v/>
      </c>
      <c r="AO525" s="16">
        <f>IF(OR($B525="",$C525="",$D525=""),"",DATE($C525+2018,$D525,1))</f>
        <v/>
      </c>
    </row>
    <row r="526">
      <c r="A526" s="11" t="n"/>
      <c r="B526" s="12" t="n"/>
      <c r="C526" s="12" t="n"/>
      <c r="D526" s="12" t="n"/>
      <c r="E526" s="13" t="n"/>
      <c r="F526" s="12" t="n"/>
      <c r="G526" s="13" t="n"/>
      <c r="H526" s="12" t="n"/>
      <c r="I526" s="12" t="n"/>
      <c r="J526" s="12" t="n"/>
      <c r="K526" s="12" t="n"/>
      <c r="L526" s="11" t="n"/>
      <c r="M526" s="11" t="n"/>
      <c r="N526" s="11" t="n"/>
      <c r="O526" s="11" t="n"/>
      <c r="P526" s="12" t="n"/>
      <c r="Q526" s="11" t="n"/>
      <c r="R526" s="12" t="n"/>
      <c r="S526" s="11" t="n"/>
      <c r="T526" s="12" t="n"/>
      <c r="U526" s="12" t="n"/>
      <c r="V526" s="14">
        <f>IF($AN526="",IF($B526="","",$H526),IF(INDEX(職員マスタ!$B$6:$B$405,$AN526)="",$H526,INDEX(職員マスタ!$B$6:$B$405,$AN526)))</f>
        <v/>
      </c>
      <c r="W526" s="14">
        <f>IF($AN526="",IF($B526="","",$R526),IF(INDEX(職員マスタ!$C$6:$C$405,$AN526)="",$R526,INDEX(職員マスタ!$C$6:$C$405,$AN526)))</f>
        <v/>
      </c>
      <c r="X526" s="14">
        <f>IF($AO526="","","R"&amp;$C526&amp;"."&amp;$D526)</f>
        <v/>
      </c>
      <c r="Y526" s="15">
        <f>IF($AN526="","",IF(INDEX(職員マスタ!$K$6:$K$405,$AN526)="","",INDEX(職員マスタ!$K$6:$K$405,$AN526)))</f>
        <v/>
      </c>
      <c r="Z526" s="14">
        <f>IF(OR($E526="",$Y526=""),"",IF($E526&gt;=$Y526,"×",IF($E526&gt;=$Y526*設定!$C$5,"△","○")))</f>
        <v/>
      </c>
      <c r="AA526" s="15">
        <f>IF($Z526="","",IF($Z526="×",0,IF($Z526="○",ROUNDDOWN($E526*設定!$C$4,0),ROUNDDOWN($E526*ROUND((9*$Y526-9*$E526)/(10*$E526),4),0))))</f>
        <v/>
      </c>
      <c r="AB526" s="13" t="n"/>
      <c r="AC526" s="15">
        <f>IF($B526="","",IF($AB526&lt;&gt;"",$AB526,IF($AA526="","",IF($AA526&lt;=設定!$C$3,0,$AA526))))</f>
        <v/>
      </c>
      <c r="AD526" s="14">
        <f>IF($B526="","",IF(AND($AE526&lt;&gt;"",$AG526="",$AJ526=""),"保留中",IF($AJ526&lt;&gt;"",IF(N($AC526)&gt;0,"支給済","不支給"),IF($AC526="","要確認",IF($AC526=0,"不支給","未処理")))))</f>
        <v/>
      </c>
      <c r="AE526" s="12" t="n"/>
      <c r="AF526" s="11" t="n"/>
      <c r="AG526" s="11" t="n"/>
      <c r="AH526" s="11" t="n"/>
      <c r="AI526" s="14">
        <f>IF(AND($AD526="保留中",$AF526&lt;&gt;""),TODAY()-$AF526,"")</f>
        <v/>
      </c>
      <c r="AJ526" s="12" t="n"/>
      <c r="AK526" s="14">
        <f>IF($B526="","",IF($AO526="","対象年月が未入力／","")&amp;IF($B526="","",IF($AN526="","職員マスタに未登録の職員番号／",IF($Y526="","標準報酬月額が未登録／","")&amp;IF(AND($AO526&lt;&gt;"",OR(AND(INDEX(職員マスタ!$G$6:$G$405,$AN526)&lt;&gt;"",INDEX(職員マスタ!$G$6:$G$405,$AN526)&gt;EOMONTH($AO526,0)),AND(INDEX(職員マスタ!$H$6:$H$405,$AN526)&lt;&gt;"",INDEX(職員マスタ!$H$6:$H$405,$AN526)&lt;$AO526))),"対象月が時短期間外／","")&amp;IF(AND(INDEX(職員マスタ!$F$6:$F$405,$AN526)&lt;&gt;"",$AO526&lt;&gt;"",INDEX(職員マスタ!$F$6:$F$405,$AN526)&lt;$AO526),"対象月に子が2歳到達済／","")&amp;IF(AND($H526&lt;&gt;"",INDEX(職員マスタ!$B$6:$B$405,$AN526)&lt;&gt;"",SUBSTITUTE(SUBSTITUTE($H526," ","")," ","")&lt;&gt;SUBSTITUTE(SUBSTITUTE(INDEX(職員マスタ!$B$6:$B$405,$AN526)," ","")," ","")),"氏名がマスタと相違／","")&amp;IF(AND($Q526&lt;&gt;"",INDEX(職員マスタ!$E$6:$E$405,$AN526)&lt;&gt;"",$Q526&lt;&gt;INDEX(職員マスタ!$E$6:$E$405,$AN526)),"子の生年月日がマスタと相違／","")&amp;IF(AND($L526&lt;&gt;"",INDEX(職員マスタ!$G$6:$G$405,$AN526)&lt;&gt;"",$L526&lt;&gt;INDEX(職員マスタ!$G$6:$G$405,$AN526)),"時短開始日がマスタと相違／","")&amp;IF(AND($M526&lt;&gt;"",INDEX(職員マスタ!$H$6:$H$405,$AN526)&lt;&gt;"",$M526&lt;&gt;INDEX(職員マスタ!$H$6:$H$405,$AN526)),"時短終了日がマスタと相違／","")))&amp;IF(AND($B526&lt;&gt;"",$E526=""),"報酬額が未入力／","")&amp;IF(N($U526)&gt;0,"申請書に入力エラーが残っています／","")&amp;IF(AND($B526&lt;&gt;"",$AO526&lt;&gt;""),IF(COUNTIFS($B$6:$B$3005,$B526,$C$6:$C$3005,$C526,$D$6:$D$3005,$D526)&gt;1,"同じ月の請求が重複しています／",""),"")&amp;IF(AND(N($E526)&gt;0,$Z526&lt;&gt;"",$Z526&lt;&gt;"×",$AC526=0,$AB526=""),"計算額が下限以下のため不支給／",""))</f>
        <v/>
      </c>
      <c r="AL526" s="12" t="n"/>
      <c r="AM526" s="14">
        <f>IF($AD526="保留中",COUNTIF($AD$6:$AD526,"保留中"),"")</f>
        <v/>
      </c>
      <c r="AN526" s="14">
        <f>IF($AO526="","",IF(SUMPRODUCT(MAX((職員マスタ!$A$6:$A$405=$B526)*(((職員マスタ!$G$6:$G$405="")+(職員マスタ!$G$6:$G$405&lt;=EOMONTH($AO526,0)))&gt;0)*(((職員マスタ!$H$6:$H$405="")+(職員マスタ!$H$6:$H$405&gt;=$AO526))&gt;0)*(ROW(職員マスタ!$A$6:$A$405)-5)))&gt;0,SUMPRODUCT(MAX((職員マスタ!$A$6:$A$405=$B526)*(((職員マスタ!$G$6:$G$405="")+(職員マスタ!$G$6:$G$405&lt;=EOMONTH($AO526,0)))&gt;0)*(((職員マスタ!$H$6:$H$405="")+(職員マスタ!$H$6:$H$405&gt;=$AO526))&gt;0)*(ROW(職員マスタ!$A$6:$A$405)-5))),IFERROR(MATCH($B526,職員マスタ!$A$6:$A$405,0),"")))</f>
        <v/>
      </c>
      <c r="AO526" s="16">
        <f>IF(OR($B526="",$C526="",$D526=""),"",DATE($C526+2018,$D526,1))</f>
        <v/>
      </c>
    </row>
    <row r="527">
      <c r="A527" s="11" t="n"/>
      <c r="B527" s="12" t="n"/>
      <c r="C527" s="12" t="n"/>
      <c r="D527" s="12" t="n"/>
      <c r="E527" s="13" t="n"/>
      <c r="F527" s="12" t="n"/>
      <c r="G527" s="13" t="n"/>
      <c r="H527" s="12" t="n"/>
      <c r="I527" s="12" t="n"/>
      <c r="J527" s="12" t="n"/>
      <c r="K527" s="12" t="n"/>
      <c r="L527" s="11" t="n"/>
      <c r="M527" s="11" t="n"/>
      <c r="N527" s="11" t="n"/>
      <c r="O527" s="11" t="n"/>
      <c r="P527" s="12" t="n"/>
      <c r="Q527" s="11" t="n"/>
      <c r="R527" s="12" t="n"/>
      <c r="S527" s="11" t="n"/>
      <c r="T527" s="12" t="n"/>
      <c r="U527" s="12" t="n"/>
      <c r="V527" s="14">
        <f>IF($AN527="",IF($B527="","",$H527),IF(INDEX(職員マスタ!$B$6:$B$405,$AN527)="",$H527,INDEX(職員マスタ!$B$6:$B$405,$AN527)))</f>
        <v/>
      </c>
      <c r="W527" s="14">
        <f>IF($AN527="",IF($B527="","",$R527),IF(INDEX(職員マスタ!$C$6:$C$405,$AN527)="",$R527,INDEX(職員マスタ!$C$6:$C$405,$AN527)))</f>
        <v/>
      </c>
      <c r="X527" s="14">
        <f>IF($AO527="","","R"&amp;$C527&amp;"."&amp;$D527)</f>
        <v/>
      </c>
      <c r="Y527" s="15">
        <f>IF($AN527="","",IF(INDEX(職員マスタ!$K$6:$K$405,$AN527)="","",INDEX(職員マスタ!$K$6:$K$405,$AN527)))</f>
        <v/>
      </c>
      <c r="Z527" s="14">
        <f>IF(OR($E527="",$Y527=""),"",IF($E527&gt;=$Y527,"×",IF($E527&gt;=$Y527*設定!$C$5,"△","○")))</f>
        <v/>
      </c>
      <c r="AA527" s="15">
        <f>IF($Z527="","",IF($Z527="×",0,IF($Z527="○",ROUNDDOWN($E527*設定!$C$4,0),ROUNDDOWN($E527*ROUND((9*$Y527-9*$E527)/(10*$E527),4),0))))</f>
        <v/>
      </c>
      <c r="AB527" s="13" t="n"/>
      <c r="AC527" s="15">
        <f>IF($B527="","",IF($AB527&lt;&gt;"",$AB527,IF($AA527="","",IF($AA527&lt;=設定!$C$3,0,$AA527))))</f>
        <v/>
      </c>
      <c r="AD527" s="14">
        <f>IF($B527="","",IF(AND($AE527&lt;&gt;"",$AG527="",$AJ527=""),"保留中",IF($AJ527&lt;&gt;"",IF(N($AC527)&gt;0,"支給済","不支給"),IF($AC527="","要確認",IF($AC527=0,"不支給","未処理")))))</f>
        <v/>
      </c>
      <c r="AE527" s="12" t="n"/>
      <c r="AF527" s="11" t="n"/>
      <c r="AG527" s="11" t="n"/>
      <c r="AH527" s="11" t="n"/>
      <c r="AI527" s="14">
        <f>IF(AND($AD527="保留中",$AF527&lt;&gt;""),TODAY()-$AF527,"")</f>
        <v/>
      </c>
      <c r="AJ527" s="12" t="n"/>
      <c r="AK527" s="14">
        <f>IF($B527="","",IF($AO527="","対象年月が未入力／","")&amp;IF($B527="","",IF($AN527="","職員マスタに未登録の職員番号／",IF($Y527="","標準報酬月額が未登録／","")&amp;IF(AND($AO527&lt;&gt;"",OR(AND(INDEX(職員マスタ!$G$6:$G$405,$AN527)&lt;&gt;"",INDEX(職員マスタ!$G$6:$G$405,$AN527)&gt;EOMONTH($AO527,0)),AND(INDEX(職員マスタ!$H$6:$H$405,$AN527)&lt;&gt;"",INDEX(職員マスタ!$H$6:$H$405,$AN527)&lt;$AO527))),"対象月が時短期間外／","")&amp;IF(AND(INDEX(職員マスタ!$F$6:$F$405,$AN527)&lt;&gt;"",$AO527&lt;&gt;"",INDEX(職員マスタ!$F$6:$F$405,$AN527)&lt;$AO527),"対象月に子が2歳到達済／","")&amp;IF(AND($H527&lt;&gt;"",INDEX(職員マスタ!$B$6:$B$405,$AN527)&lt;&gt;"",SUBSTITUTE(SUBSTITUTE($H527," ","")," ","")&lt;&gt;SUBSTITUTE(SUBSTITUTE(INDEX(職員マスタ!$B$6:$B$405,$AN527)," ","")," ","")),"氏名がマスタと相違／","")&amp;IF(AND($Q527&lt;&gt;"",INDEX(職員マスタ!$E$6:$E$405,$AN527)&lt;&gt;"",$Q527&lt;&gt;INDEX(職員マスタ!$E$6:$E$405,$AN527)),"子の生年月日がマスタと相違／","")&amp;IF(AND($L527&lt;&gt;"",INDEX(職員マスタ!$G$6:$G$405,$AN527)&lt;&gt;"",$L527&lt;&gt;INDEX(職員マスタ!$G$6:$G$405,$AN527)),"時短開始日がマスタと相違／","")&amp;IF(AND($M527&lt;&gt;"",INDEX(職員マスタ!$H$6:$H$405,$AN527)&lt;&gt;"",$M527&lt;&gt;INDEX(職員マスタ!$H$6:$H$405,$AN527)),"時短終了日がマスタと相違／","")))&amp;IF(AND($B527&lt;&gt;"",$E527=""),"報酬額が未入力／","")&amp;IF(N($U527)&gt;0,"申請書に入力エラーが残っています／","")&amp;IF(AND($B527&lt;&gt;"",$AO527&lt;&gt;""),IF(COUNTIFS($B$6:$B$3005,$B527,$C$6:$C$3005,$C527,$D$6:$D$3005,$D527)&gt;1,"同じ月の請求が重複しています／",""),"")&amp;IF(AND(N($E527)&gt;0,$Z527&lt;&gt;"",$Z527&lt;&gt;"×",$AC527=0,$AB527=""),"計算額が下限以下のため不支給／",""))</f>
        <v/>
      </c>
      <c r="AL527" s="12" t="n"/>
      <c r="AM527" s="14">
        <f>IF($AD527="保留中",COUNTIF($AD$6:$AD527,"保留中"),"")</f>
        <v/>
      </c>
      <c r="AN527" s="14">
        <f>IF($AO527="","",IF(SUMPRODUCT(MAX((職員マスタ!$A$6:$A$405=$B527)*(((職員マスタ!$G$6:$G$405="")+(職員マスタ!$G$6:$G$405&lt;=EOMONTH($AO527,0)))&gt;0)*(((職員マスタ!$H$6:$H$405="")+(職員マスタ!$H$6:$H$405&gt;=$AO527))&gt;0)*(ROW(職員マスタ!$A$6:$A$405)-5)))&gt;0,SUMPRODUCT(MAX((職員マスタ!$A$6:$A$405=$B527)*(((職員マスタ!$G$6:$G$405="")+(職員マスタ!$G$6:$G$405&lt;=EOMONTH($AO527,0)))&gt;0)*(((職員マスタ!$H$6:$H$405="")+(職員マスタ!$H$6:$H$405&gt;=$AO527))&gt;0)*(ROW(職員マスタ!$A$6:$A$405)-5))),IFERROR(MATCH($B527,職員マスタ!$A$6:$A$405,0),"")))</f>
        <v/>
      </c>
      <c r="AO527" s="16">
        <f>IF(OR($B527="",$C527="",$D527=""),"",DATE($C527+2018,$D527,1))</f>
        <v/>
      </c>
    </row>
    <row r="528">
      <c r="A528" s="11" t="n"/>
      <c r="B528" s="12" t="n"/>
      <c r="C528" s="12" t="n"/>
      <c r="D528" s="12" t="n"/>
      <c r="E528" s="13" t="n"/>
      <c r="F528" s="12" t="n"/>
      <c r="G528" s="13" t="n"/>
      <c r="H528" s="12" t="n"/>
      <c r="I528" s="12" t="n"/>
      <c r="J528" s="12" t="n"/>
      <c r="K528" s="12" t="n"/>
      <c r="L528" s="11" t="n"/>
      <c r="M528" s="11" t="n"/>
      <c r="N528" s="11" t="n"/>
      <c r="O528" s="11" t="n"/>
      <c r="P528" s="12" t="n"/>
      <c r="Q528" s="11" t="n"/>
      <c r="R528" s="12" t="n"/>
      <c r="S528" s="11" t="n"/>
      <c r="T528" s="12" t="n"/>
      <c r="U528" s="12" t="n"/>
      <c r="V528" s="14">
        <f>IF($AN528="",IF($B528="","",$H528),IF(INDEX(職員マスタ!$B$6:$B$405,$AN528)="",$H528,INDEX(職員マスタ!$B$6:$B$405,$AN528)))</f>
        <v/>
      </c>
      <c r="W528" s="14">
        <f>IF($AN528="",IF($B528="","",$R528),IF(INDEX(職員マスタ!$C$6:$C$405,$AN528)="",$R528,INDEX(職員マスタ!$C$6:$C$405,$AN528)))</f>
        <v/>
      </c>
      <c r="X528" s="14">
        <f>IF($AO528="","","R"&amp;$C528&amp;"."&amp;$D528)</f>
        <v/>
      </c>
      <c r="Y528" s="15">
        <f>IF($AN528="","",IF(INDEX(職員マスタ!$K$6:$K$405,$AN528)="","",INDEX(職員マスタ!$K$6:$K$405,$AN528)))</f>
        <v/>
      </c>
      <c r="Z528" s="14">
        <f>IF(OR($E528="",$Y528=""),"",IF($E528&gt;=$Y528,"×",IF($E528&gt;=$Y528*設定!$C$5,"△","○")))</f>
        <v/>
      </c>
      <c r="AA528" s="15">
        <f>IF($Z528="","",IF($Z528="×",0,IF($Z528="○",ROUNDDOWN($E528*設定!$C$4,0),ROUNDDOWN($E528*ROUND((9*$Y528-9*$E528)/(10*$E528),4),0))))</f>
        <v/>
      </c>
      <c r="AB528" s="13" t="n"/>
      <c r="AC528" s="15">
        <f>IF($B528="","",IF($AB528&lt;&gt;"",$AB528,IF($AA528="","",IF($AA528&lt;=設定!$C$3,0,$AA528))))</f>
        <v/>
      </c>
      <c r="AD528" s="14">
        <f>IF($B528="","",IF(AND($AE528&lt;&gt;"",$AG528="",$AJ528=""),"保留中",IF($AJ528&lt;&gt;"",IF(N($AC528)&gt;0,"支給済","不支給"),IF($AC528="","要確認",IF($AC528=0,"不支給","未処理")))))</f>
        <v/>
      </c>
      <c r="AE528" s="12" t="n"/>
      <c r="AF528" s="11" t="n"/>
      <c r="AG528" s="11" t="n"/>
      <c r="AH528" s="11" t="n"/>
      <c r="AI528" s="14">
        <f>IF(AND($AD528="保留中",$AF528&lt;&gt;""),TODAY()-$AF528,"")</f>
        <v/>
      </c>
      <c r="AJ528" s="12" t="n"/>
      <c r="AK528" s="14">
        <f>IF($B528="","",IF($AO528="","対象年月が未入力／","")&amp;IF($B528="","",IF($AN528="","職員マスタに未登録の職員番号／",IF($Y528="","標準報酬月額が未登録／","")&amp;IF(AND($AO528&lt;&gt;"",OR(AND(INDEX(職員マスタ!$G$6:$G$405,$AN528)&lt;&gt;"",INDEX(職員マスタ!$G$6:$G$405,$AN528)&gt;EOMONTH($AO528,0)),AND(INDEX(職員マスタ!$H$6:$H$405,$AN528)&lt;&gt;"",INDEX(職員マスタ!$H$6:$H$405,$AN528)&lt;$AO528))),"対象月が時短期間外／","")&amp;IF(AND(INDEX(職員マスタ!$F$6:$F$405,$AN528)&lt;&gt;"",$AO528&lt;&gt;"",INDEX(職員マスタ!$F$6:$F$405,$AN528)&lt;$AO528),"対象月に子が2歳到達済／","")&amp;IF(AND($H528&lt;&gt;"",INDEX(職員マスタ!$B$6:$B$405,$AN528)&lt;&gt;"",SUBSTITUTE(SUBSTITUTE($H528," ","")," ","")&lt;&gt;SUBSTITUTE(SUBSTITUTE(INDEX(職員マスタ!$B$6:$B$405,$AN528)," ","")," ","")),"氏名がマスタと相違／","")&amp;IF(AND($Q528&lt;&gt;"",INDEX(職員マスタ!$E$6:$E$405,$AN528)&lt;&gt;"",$Q528&lt;&gt;INDEX(職員マスタ!$E$6:$E$405,$AN528)),"子の生年月日がマスタと相違／","")&amp;IF(AND($L528&lt;&gt;"",INDEX(職員マスタ!$G$6:$G$405,$AN528)&lt;&gt;"",$L528&lt;&gt;INDEX(職員マスタ!$G$6:$G$405,$AN528)),"時短開始日がマスタと相違／","")&amp;IF(AND($M528&lt;&gt;"",INDEX(職員マスタ!$H$6:$H$405,$AN528)&lt;&gt;"",$M528&lt;&gt;INDEX(職員マスタ!$H$6:$H$405,$AN528)),"時短終了日がマスタと相違／","")))&amp;IF(AND($B528&lt;&gt;"",$E528=""),"報酬額が未入力／","")&amp;IF(N($U528)&gt;0,"申請書に入力エラーが残っています／","")&amp;IF(AND($B528&lt;&gt;"",$AO528&lt;&gt;""),IF(COUNTIFS($B$6:$B$3005,$B528,$C$6:$C$3005,$C528,$D$6:$D$3005,$D528)&gt;1,"同じ月の請求が重複しています／",""),"")&amp;IF(AND(N($E528)&gt;0,$Z528&lt;&gt;"",$Z528&lt;&gt;"×",$AC528=0,$AB528=""),"計算額が下限以下のため不支給／",""))</f>
        <v/>
      </c>
      <c r="AL528" s="12" t="n"/>
      <c r="AM528" s="14">
        <f>IF($AD528="保留中",COUNTIF($AD$6:$AD528,"保留中"),"")</f>
        <v/>
      </c>
      <c r="AN528" s="14">
        <f>IF($AO528="","",IF(SUMPRODUCT(MAX((職員マスタ!$A$6:$A$405=$B528)*(((職員マスタ!$G$6:$G$405="")+(職員マスタ!$G$6:$G$405&lt;=EOMONTH($AO528,0)))&gt;0)*(((職員マスタ!$H$6:$H$405="")+(職員マスタ!$H$6:$H$405&gt;=$AO528))&gt;0)*(ROW(職員マスタ!$A$6:$A$405)-5)))&gt;0,SUMPRODUCT(MAX((職員マスタ!$A$6:$A$405=$B528)*(((職員マスタ!$G$6:$G$405="")+(職員マスタ!$G$6:$G$405&lt;=EOMONTH($AO528,0)))&gt;0)*(((職員マスタ!$H$6:$H$405="")+(職員マスタ!$H$6:$H$405&gt;=$AO528))&gt;0)*(ROW(職員マスタ!$A$6:$A$405)-5))),IFERROR(MATCH($B528,職員マスタ!$A$6:$A$405,0),"")))</f>
        <v/>
      </c>
      <c r="AO528" s="16">
        <f>IF(OR($B528="",$C528="",$D528=""),"",DATE($C528+2018,$D528,1))</f>
        <v/>
      </c>
    </row>
    <row r="529">
      <c r="A529" s="11" t="n"/>
      <c r="B529" s="12" t="n"/>
      <c r="C529" s="12" t="n"/>
      <c r="D529" s="12" t="n"/>
      <c r="E529" s="13" t="n"/>
      <c r="F529" s="12" t="n"/>
      <c r="G529" s="13" t="n"/>
      <c r="H529" s="12" t="n"/>
      <c r="I529" s="12" t="n"/>
      <c r="J529" s="12" t="n"/>
      <c r="K529" s="12" t="n"/>
      <c r="L529" s="11" t="n"/>
      <c r="M529" s="11" t="n"/>
      <c r="N529" s="11" t="n"/>
      <c r="O529" s="11" t="n"/>
      <c r="P529" s="12" t="n"/>
      <c r="Q529" s="11" t="n"/>
      <c r="R529" s="12" t="n"/>
      <c r="S529" s="11" t="n"/>
      <c r="T529" s="12" t="n"/>
      <c r="U529" s="12" t="n"/>
      <c r="V529" s="14">
        <f>IF($AN529="",IF($B529="","",$H529),IF(INDEX(職員マスタ!$B$6:$B$405,$AN529)="",$H529,INDEX(職員マスタ!$B$6:$B$405,$AN529)))</f>
        <v/>
      </c>
      <c r="W529" s="14">
        <f>IF($AN529="",IF($B529="","",$R529),IF(INDEX(職員マスタ!$C$6:$C$405,$AN529)="",$R529,INDEX(職員マスタ!$C$6:$C$405,$AN529)))</f>
        <v/>
      </c>
      <c r="X529" s="14">
        <f>IF($AO529="","","R"&amp;$C529&amp;"."&amp;$D529)</f>
        <v/>
      </c>
      <c r="Y529" s="15">
        <f>IF($AN529="","",IF(INDEX(職員マスタ!$K$6:$K$405,$AN529)="","",INDEX(職員マスタ!$K$6:$K$405,$AN529)))</f>
        <v/>
      </c>
      <c r="Z529" s="14">
        <f>IF(OR($E529="",$Y529=""),"",IF($E529&gt;=$Y529,"×",IF($E529&gt;=$Y529*設定!$C$5,"△","○")))</f>
        <v/>
      </c>
      <c r="AA529" s="15">
        <f>IF($Z529="","",IF($Z529="×",0,IF($Z529="○",ROUNDDOWN($E529*設定!$C$4,0),ROUNDDOWN($E529*ROUND((9*$Y529-9*$E529)/(10*$E529),4),0))))</f>
        <v/>
      </c>
      <c r="AB529" s="13" t="n"/>
      <c r="AC529" s="15">
        <f>IF($B529="","",IF($AB529&lt;&gt;"",$AB529,IF($AA529="","",IF($AA529&lt;=設定!$C$3,0,$AA529))))</f>
        <v/>
      </c>
      <c r="AD529" s="14">
        <f>IF($B529="","",IF(AND($AE529&lt;&gt;"",$AG529="",$AJ529=""),"保留中",IF($AJ529&lt;&gt;"",IF(N($AC529)&gt;0,"支給済","不支給"),IF($AC529="","要確認",IF($AC529=0,"不支給","未処理")))))</f>
        <v/>
      </c>
      <c r="AE529" s="12" t="n"/>
      <c r="AF529" s="11" t="n"/>
      <c r="AG529" s="11" t="n"/>
      <c r="AH529" s="11" t="n"/>
      <c r="AI529" s="14">
        <f>IF(AND($AD529="保留中",$AF529&lt;&gt;""),TODAY()-$AF529,"")</f>
        <v/>
      </c>
      <c r="AJ529" s="12" t="n"/>
      <c r="AK529" s="14">
        <f>IF($B529="","",IF($AO529="","対象年月が未入力／","")&amp;IF($B529="","",IF($AN529="","職員マスタに未登録の職員番号／",IF($Y529="","標準報酬月額が未登録／","")&amp;IF(AND($AO529&lt;&gt;"",OR(AND(INDEX(職員マスタ!$G$6:$G$405,$AN529)&lt;&gt;"",INDEX(職員マスタ!$G$6:$G$405,$AN529)&gt;EOMONTH($AO529,0)),AND(INDEX(職員マスタ!$H$6:$H$405,$AN529)&lt;&gt;"",INDEX(職員マスタ!$H$6:$H$405,$AN529)&lt;$AO529))),"対象月が時短期間外／","")&amp;IF(AND(INDEX(職員マスタ!$F$6:$F$405,$AN529)&lt;&gt;"",$AO529&lt;&gt;"",INDEX(職員マスタ!$F$6:$F$405,$AN529)&lt;$AO529),"対象月に子が2歳到達済／","")&amp;IF(AND($H529&lt;&gt;"",INDEX(職員マスタ!$B$6:$B$405,$AN529)&lt;&gt;"",SUBSTITUTE(SUBSTITUTE($H529," ","")," ","")&lt;&gt;SUBSTITUTE(SUBSTITUTE(INDEX(職員マスタ!$B$6:$B$405,$AN529)," ","")," ","")),"氏名がマスタと相違／","")&amp;IF(AND($Q529&lt;&gt;"",INDEX(職員マスタ!$E$6:$E$405,$AN529)&lt;&gt;"",$Q529&lt;&gt;INDEX(職員マスタ!$E$6:$E$405,$AN529)),"子の生年月日がマスタと相違／","")&amp;IF(AND($L529&lt;&gt;"",INDEX(職員マスタ!$G$6:$G$405,$AN529)&lt;&gt;"",$L529&lt;&gt;INDEX(職員マスタ!$G$6:$G$405,$AN529)),"時短開始日がマスタと相違／","")&amp;IF(AND($M529&lt;&gt;"",INDEX(職員マスタ!$H$6:$H$405,$AN529)&lt;&gt;"",$M529&lt;&gt;INDEX(職員マスタ!$H$6:$H$405,$AN529)),"時短終了日がマスタと相違／","")))&amp;IF(AND($B529&lt;&gt;"",$E529=""),"報酬額が未入力／","")&amp;IF(N($U529)&gt;0,"申請書に入力エラーが残っています／","")&amp;IF(AND($B529&lt;&gt;"",$AO529&lt;&gt;""),IF(COUNTIFS($B$6:$B$3005,$B529,$C$6:$C$3005,$C529,$D$6:$D$3005,$D529)&gt;1,"同じ月の請求が重複しています／",""),"")&amp;IF(AND(N($E529)&gt;0,$Z529&lt;&gt;"",$Z529&lt;&gt;"×",$AC529=0,$AB529=""),"計算額が下限以下のため不支給／",""))</f>
        <v/>
      </c>
      <c r="AL529" s="12" t="n"/>
      <c r="AM529" s="14">
        <f>IF($AD529="保留中",COUNTIF($AD$6:$AD529,"保留中"),"")</f>
        <v/>
      </c>
      <c r="AN529" s="14">
        <f>IF($AO529="","",IF(SUMPRODUCT(MAX((職員マスタ!$A$6:$A$405=$B529)*(((職員マスタ!$G$6:$G$405="")+(職員マスタ!$G$6:$G$405&lt;=EOMONTH($AO529,0)))&gt;0)*(((職員マスタ!$H$6:$H$405="")+(職員マスタ!$H$6:$H$405&gt;=$AO529))&gt;0)*(ROW(職員マスタ!$A$6:$A$405)-5)))&gt;0,SUMPRODUCT(MAX((職員マスタ!$A$6:$A$405=$B529)*(((職員マスタ!$G$6:$G$405="")+(職員マスタ!$G$6:$G$405&lt;=EOMONTH($AO529,0)))&gt;0)*(((職員マスタ!$H$6:$H$405="")+(職員マスタ!$H$6:$H$405&gt;=$AO529))&gt;0)*(ROW(職員マスタ!$A$6:$A$405)-5))),IFERROR(MATCH($B529,職員マスタ!$A$6:$A$405,0),"")))</f>
        <v/>
      </c>
      <c r="AO529" s="16">
        <f>IF(OR($B529="",$C529="",$D529=""),"",DATE($C529+2018,$D529,1))</f>
        <v/>
      </c>
    </row>
    <row r="530">
      <c r="A530" s="11" t="n"/>
      <c r="B530" s="12" t="n"/>
      <c r="C530" s="12" t="n"/>
      <c r="D530" s="12" t="n"/>
      <c r="E530" s="13" t="n"/>
      <c r="F530" s="12" t="n"/>
      <c r="G530" s="13" t="n"/>
      <c r="H530" s="12" t="n"/>
      <c r="I530" s="12" t="n"/>
      <c r="J530" s="12" t="n"/>
      <c r="K530" s="12" t="n"/>
      <c r="L530" s="11" t="n"/>
      <c r="M530" s="11" t="n"/>
      <c r="N530" s="11" t="n"/>
      <c r="O530" s="11" t="n"/>
      <c r="P530" s="12" t="n"/>
      <c r="Q530" s="11" t="n"/>
      <c r="R530" s="12" t="n"/>
      <c r="S530" s="11" t="n"/>
      <c r="T530" s="12" t="n"/>
      <c r="U530" s="12" t="n"/>
      <c r="V530" s="14">
        <f>IF($AN530="",IF($B530="","",$H530),IF(INDEX(職員マスタ!$B$6:$B$405,$AN530)="",$H530,INDEX(職員マスタ!$B$6:$B$405,$AN530)))</f>
        <v/>
      </c>
      <c r="W530" s="14">
        <f>IF($AN530="",IF($B530="","",$R530),IF(INDEX(職員マスタ!$C$6:$C$405,$AN530)="",$R530,INDEX(職員マスタ!$C$6:$C$405,$AN530)))</f>
        <v/>
      </c>
      <c r="X530" s="14">
        <f>IF($AO530="","","R"&amp;$C530&amp;"."&amp;$D530)</f>
        <v/>
      </c>
      <c r="Y530" s="15">
        <f>IF($AN530="","",IF(INDEX(職員マスタ!$K$6:$K$405,$AN530)="","",INDEX(職員マスタ!$K$6:$K$405,$AN530)))</f>
        <v/>
      </c>
      <c r="Z530" s="14">
        <f>IF(OR($E530="",$Y530=""),"",IF($E530&gt;=$Y530,"×",IF($E530&gt;=$Y530*設定!$C$5,"△","○")))</f>
        <v/>
      </c>
      <c r="AA530" s="15">
        <f>IF($Z530="","",IF($Z530="×",0,IF($Z530="○",ROUNDDOWN($E530*設定!$C$4,0),ROUNDDOWN($E530*ROUND((9*$Y530-9*$E530)/(10*$E530),4),0))))</f>
        <v/>
      </c>
      <c r="AB530" s="13" t="n"/>
      <c r="AC530" s="15">
        <f>IF($B530="","",IF($AB530&lt;&gt;"",$AB530,IF($AA530="","",IF($AA530&lt;=設定!$C$3,0,$AA530))))</f>
        <v/>
      </c>
      <c r="AD530" s="14">
        <f>IF($B530="","",IF(AND($AE530&lt;&gt;"",$AG530="",$AJ530=""),"保留中",IF($AJ530&lt;&gt;"",IF(N($AC530)&gt;0,"支給済","不支給"),IF($AC530="","要確認",IF($AC530=0,"不支給","未処理")))))</f>
        <v/>
      </c>
      <c r="AE530" s="12" t="n"/>
      <c r="AF530" s="11" t="n"/>
      <c r="AG530" s="11" t="n"/>
      <c r="AH530" s="11" t="n"/>
      <c r="AI530" s="14">
        <f>IF(AND($AD530="保留中",$AF530&lt;&gt;""),TODAY()-$AF530,"")</f>
        <v/>
      </c>
      <c r="AJ530" s="12" t="n"/>
      <c r="AK530" s="14">
        <f>IF($B530="","",IF($AO530="","対象年月が未入力／","")&amp;IF($B530="","",IF($AN530="","職員マスタに未登録の職員番号／",IF($Y530="","標準報酬月額が未登録／","")&amp;IF(AND($AO530&lt;&gt;"",OR(AND(INDEX(職員マスタ!$G$6:$G$405,$AN530)&lt;&gt;"",INDEX(職員マスタ!$G$6:$G$405,$AN530)&gt;EOMONTH($AO530,0)),AND(INDEX(職員マスタ!$H$6:$H$405,$AN530)&lt;&gt;"",INDEX(職員マスタ!$H$6:$H$405,$AN530)&lt;$AO530))),"対象月が時短期間外／","")&amp;IF(AND(INDEX(職員マスタ!$F$6:$F$405,$AN530)&lt;&gt;"",$AO530&lt;&gt;"",INDEX(職員マスタ!$F$6:$F$405,$AN530)&lt;$AO530),"対象月に子が2歳到達済／","")&amp;IF(AND($H530&lt;&gt;"",INDEX(職員マスタ!$B$6:$B$405,$AN530)&lt;&gt;"",SUBSTITUTE(SUBSTITUTE($H530," ","")," ","")&lt;&gt;SUBSTITUTE(SUBSTITUTE(INDEX(職員マスタ!$B$6:$B$405,$AN530)," ","")," ","")),"氏名がマスタと相違／","")&amp;IF(AND($Q530&lt;&gt;"",INDEX(職員マスタ!$E$6:$E$405,$AN530)&lt;&gt;"",$Q530&lt;&gt;INDEX(職員マスタ!$E$6:$E$405,$AN530)),"子の生年月日がマスタと相違／","")&amp;IF(AND($L530&lt;&gt;"",INDEX(職員マスタ!$G$6:$G$405,$AN530)&lt;&gt;"",$L530&lt;&gt;INDEX(職員マスタ!$G$6:$G$405,$AN530)),"時短開始日がマスタと相違／","")&amp;IF(AND($M530&lt;&gt;"",INDEX(職員マスタ!$H$6:$H$405,$AN530)&lt;&gt;"",$M530&lt;&gt;INDEX(職員マスタ!$H$6:$H$405,$AN530)),"時短終了日がマスタと相違／","")))&amp;IF(AND($B530&lt;&gt;"",$E530=""),"報酬額が未入力／","")&amp;IF(N($U530)&gt;0,"申請書に入力エラーが残っています／","")&amp;IF(AND($B530&lt;&gt;"",$AO530&lt;&gt;""),IF(COUNTIFS($B$6:$B$3005,$B530,$C$6:$C$3005,$C530,$D$6:$D$3005,$D530)&gt;1,"同じ月の請求が重複しています／",""),"")&amp;IF(AND(N($E530)&gt;0,$Z530&lt;&gt;"",$Z530&lt;&gt;"×",$AC530=0,$AB530=""),"計算額が下限以下のため不支給／",""))</f>
        <v/>
      </c>
      <c r="AL530" s="12" t="n"/>
      <c r="AM530" s="14">
        <f>IF($AD530="保留中",COUNTIF($AD$6:$AD530,"保留中"),"")</f>
        <v/>
      </c>
      <c r="AN530" s="14">
        <f>IF($AO530="","",IF(SUMPRODUCT(MAX((職員マスタ!$A$6:$A$405=$B530)*(((職員マスタ!$G$6:$G$405="")+(職員マスタ!$G$6:$G$405&lt;=EOMONTH($AO530,0)))&gt;0)*(((職員マスタ!$H$6:$H$405="")+(職員マスタ!$H$6:$H$405&gt;=$AO530))&gt;0)*(ROW(職員マスタ!$A$6:$A$405)-5)))&gt;0,SUMPRODUCT(MAX((職員マスタ!$A$6:$A$405=$B530)*(((職員マスタ!$G$6:$G$405="")+(職員マスタ!$G$6:$G$405&lt;=EOMONTH($AO530,0)))&gt;0)*(((職員マスタ!$H$6:$H$405="")+(職員マスタ!$H$6:$H$405&gt;=$AO530))&gt;0)*(ROW(職員マスタ!$A$6:$A$405)-5))),IFERROR(MATCH($B530,職員マスタ!$A$6:$A$405,0),"")))</f>
        <v/>
      </c>
      <c r="AO530" s="16">
        <f>IF(OR($B530="",$C530="",$D530=""),"",DATE($C530+2018,$D530,1))</f>
        <v/>
      </c>
    </row>
    <row r="531">
      <c r="A531" s="11" t="n"/>
      <c r="B531" s="12" t="n"/>
      <c r="C531" s="12" t="n"/>
      <c r="D531" s="12" t="n"/>
      <c r="E531" s="13" t="n"/>
      <c r="F531" s="12" t="n"/>
      <c r="G531" s="13" t="n"/>
      <c r="H531" s="12" t="n"/>
      <c r="I531" s="12" t="n"/>
      <c r="J531" s="12" t="n"/>
      <c r="K531" s="12" t="n"/>
      <c r="L531" s="11" t="n"/>
      <c r="M531" s="11" t="n"/>
      <c r="N531" s="11" t="n"/>
      <c r="O531" s="11" t="n"/>
      <c r="P531" s="12" t="n"/>
      <c r="Q531" s="11" t="n"/>
      <c r="R531" s="12" t="n"/>
      <c r="S531" s="11" t="n"/>
      <c r="T531" s="12" t="n"/>
      <c r="U531" s="12" t="n"/>
      <c r="V531" s="14">
        <f>IF($AN531="",IF($B531="","",$H531),IF(INDEX(職員マスタ!$B$6:$B$405,$AN531)="",$H531,INDEX(職員マスタ!$B$6:$B$405,$AN531)))</f>
        <v/>
      </c>
      <c r="W531" s="14">
        <f>IF($AN531="",IF($B531="","",$R531),IF(INDEX(職員マスタ!$C$6:$C$405,$AN531)="",$R531,INDEX(職員マスタ!$C$6:$C$405,$AN531)))</f>
        <v/>
      </c>
      <c r="X531" s="14">
        <f>IF($AO531="","","R"&amp;$C531&amp;"."&amp;$D531)</f>
        <v/>
      </c>
      <c r="Y531" s="15">
        <f>IF($AN531="","",IF(INDEX(職員マスタ!$K$6:$K$405,$AN531)="","",INDEX(職員マスタ!$K$6:$K$405,$AN531)))</f>
        <v/>
      </c>
      <c r="Z531" s="14">
        <f>IF(OR($E531="",$Y531=""),"",IF($E531&gt;=$Y531,"×",IF($E531&gt;=$Y531*設定!$C$5,"△","○")))</f>
        <v/>
      </c>
      <c r="AA531" s="15">
        <f>IF($Z531="","",IF($Z531="×",0,IF($Z531="○",ROUNDDOWN($E531*設定!$C$4,0),ROUNDDOWN($E531*ROUND((9*$Y531-9*$E531)/(10*$E531),4),0))))</f>
        <v/>
      </c>
      <c r="AB531" s="13" t="n"/>
      <c r="AC531" s="15">
        <f>IF($B531="","",IF($AB531&lt;&gt;"",$AB531,IF($AA531="","",IF($AA531&lt;=設定!$C$3,0,$AA531))))</f>
        <v/>
      </c>
      <c r="AD531" s="14">
        <f>IF($B531="","",IF(AND($AE531&lt;&gt;"",$AG531="",$AJ531=""),"保留中",IF($AJ531&lt;&gt;"",IF(N($AC531)&gt;0,"支給済","不支給"),IF($AC531="","要確認",IF($AC531=0,"不支給","未処理")))))</f>
        <v/>
      </c>
      <c r="AE531" s="12" t="n"/>
      <c r="AF531" s="11" t="n"/>
      <c r="AG531" s="11" t="n"/>
      <c r="AH531" s="11" t="n"/>
      <c r="AI531" s="14">
        <f>IF(AND($AD531="保留中",$AF531&lt;&gt;""),TODAY()-$AF531,"")</f>
        <v/>
      </c>
      <c r="AJ531" s="12" t="n"/>
      <c r="AK531" s="14">
        <f>IF($B531="","",IF($AO531="","対象年月が未入力／","")&amp;IF($B531="","",IF($AN531="","職員マスタに未登録の職員番号／",IF($Y531="","標準報酬月額が未登録／","")&amp;IF(AND($AO531&lt;&gt;"",OR(AND(INDEX(職員マスタ!$G$6:$G$405,$AN531)&lt;&gt;"",INDEX(職員マスタ!$G$6:$G$405,$AN531)&gt;EOMONTH($AO531,0)),AND(INDEX(職員マスタ!$H$6:$H$405,$AN531)&lt;&gt;"",INDEX(職員マスタ!$H$6:$H$405,$AN531)&lt;$AO531))),"対象月が時短期間外／","")&amp;IF(AND(INDEX(職員マスタ!$F$6:$F$405,$AN531)&lt;&gt;"",$AO531&lt;&gt;"",INDEX(職員マスタ!$F$6:$F$405,$AN531)&lt;$AO531),"対象月に子が2歳到達済／","")&amp;IF(AND($H531&lt;&gt;"",INDEX(職員マスタ!$B$6:$B$405,$AN531)&lt;&gt;"",SUBSTITUTE(SUBSTITUTE($H531," ","")," ","")&lt;&gt;SUBSTITUTE(SUBSTITUTE(INDEX(職員マスタ!$B$6:$B$405,$AN531)," ","")," ","")),"氏名がマスタと相違／","")&amp;IF(AND($Q531&lt;&gt;"",INDEX(職員マスタ!$E$6:$E$405,$AN531)&lt;&gt;"",$Q531&lt;&gt;INDEX(職員マスタ!$E$6:$E$405,$AN531)),"子の生年月日がマスタと相違／","")&amp;IF(AND($L531&lt;&gt;"",INDEX(職員マスタ!$G$6:$G$405,$AN531)&lt;&gt;"",$L531&lt;&gt;INDEX(職員マスタ!$G$6:$G$405,$AN531)),"時短開始日がマスタと相違／","")&amp;IF(AND($M531&lt;&gt;"",INDEX(職員マスタ!$H$6:$H$405,$AN531)&lt;&gt;"",$M531&lt;&gt;INDEX(職員マスタ!$H$6:$H$405,$AN531)),"時短終了日がマスタと相違／","")))&amp;IF(AND($B531&lt;&gt;"",$E531=""),"報酬額が未入力／","")&amp;IF(N($U531)&gt;0,"申請書に入力エラーが残っています／","")&amp;IF(AND($B531&lt;&gt;"",$AO531&lt;&gt;""),IF(COUNTIFS($B$6:$B$3005,$B531,$C$6:$C$3005,$C531,$D$6:$D$3005,$D531)&gt;1,"同じ月の請求が重複しています／",""),"")&amp;IF(AND(N($E531)&gt;0,$Z531&lt;&gt;"",$Z531&lt;&gt;"×",$AC531=0,$AB531=""),"計算額が下限以下のため不支給／",""))</f>
        <v/>
      </c>
      <c r="AL531" s="12" t="n"/>
      <c r="AM531" s="14">
        <f>IF($AD531="保留中",COUNTIF($AD$6:$AD531,"保留中"),"")</f>
        <v/>
      </c>
      <c r="AN531" s="14">
        <f>IF($AO531="","",IF(SUMPRODUCT(MAX((職員マスタ!$A$6:$A$405=$B531)*(((職員マスタ!$G$6:$G$405="")+(職員マスタ!$G$6:$G$405&lt;=EOMONTH($AO531,0)))&gt;0)*(((職員マスタ!$H$6:$H$405="")+(職員マスタ!$H$6:$H$405&gt;=$AO531))&gt;0)*(ROW(職員マスタ!$A$6:$A$405)-5)))&gt;0,SUMPRODUCT(MAX((職員マスタ!$A$6:$A$405=$B531)*(((職員マスタ!$G$6:$G$405="")+(職員マスタ!$G$6:$G$405&lt;=EOMONTH($AO531,0)))&gt;0)*(((職員マスタ!$H$6:$H$405="")+(職員マスタ!$H$6:$H$405&gt;=$AO531))&gt;0)*(ROW(職員マスタ!$A$6:$A$405)-5))),IFERROR(MATCH($B531,職員マスタ!$A$6:$A$405,0),"")))</f>
        <v/>
      </c>
      <c r="AO531" s="16">
        <f>IF(OR($B531="",$C531="",$D531=""),"",DATE($C531+2018,$D531,1))</f>
        <v/>
      </c>
    </row>
    <row r="532">
      <c r="A532" s="11" t="n"/>
      <c r="B532" s="12" t="n"/>
      <c r="C532" s="12" t="n"/>
      <c r="D532" s="12" t="n"/>
      <c r="E532" s="13" t="n"/>
      <c r="F532" s="12" t="n"/>
      <c r="G532" s="13" t="n"/>
      <c r="H532" s="12" t="n"/>
      <c r="I532" s="12" t="n"/>
      <c r="J532" s="12" t="n"/>
      <c r="K532" s="12" t="n"/>
      <c r="L532" s="11" t="n"/>
      <c r="M532" s="11" t="n"/>
      <c r="N532" s="11" t="n"/>
      <c r="O532" s="11" t="n"/>
      <c r="P532" s="12" t="n"/>
      <c r="Q532" s="11" t="n"/>
      <c r="R532" s="12" t="n"/>
      <c r="S532" s="11" t="n"/>
      <c r="T532" s="12" t="n"/>
      <c r="U532" s="12" t="n"/>
      <c r="V532" s="14">
        <f>IF($AN532="",IF($B532="","",$H532),IF(INDEX(職員マスタ!$B$6:$B$405,$AN532)="",$H532,INDEX(職員マスタ!$B$6:$B$405,$AN532)))</f>
        <v/>
      </c>
      <c r="W532" s="14">
        <f>IF($AN532="",IF($B532="","",$R532),IF(INDEX(職員マスタ!$C$6:$C$405,$AN532)="",$R532,INDEX(職員マスタ!$C$6:$C$405,$AN532)))</f>
        <v/>
      </c>
      <c r="X532" s="14">
        <f>IF($AO532="","","R"&amp;$C532&amp;"."&amp;$D532)</f>
        <v/>
      </c>
      <c r="Y532" s="15">
        <f>IF($AN532="","",IF(INDEX(職員マスタ!$K$6:$K$405,$AN532)="","",INDEX(職員マスタ!$K$6:$K$405,$AN532)))</f>
        <v/>
      </c>
      <c r="Z532" s="14">
        <f>IF(OR($E532="",$Y532=""),"",IF($E532&gt;=$Y532,"×",IF($E532&gt;=$Y532*設定!$C$5,"△","○")))</f>
        <v/>
      </c>
      <c r="AA532" s="15">
        <f>IF($Z532="","",IF($Z532="×",0,IF($Z532="○",ROUNDDOWN($E532*設定!$C$4,0),ROUNDDOWN($E532*ROUND((9*$Y532-9*$E532)/(10*$E532),4),0))))</f>
        <v/>
      </c>
      <c r="AB532" s="13" t="n"/>
      <c r="AC532" s="15">
        <f>IF($B532="","",IF($AB532&lt;&gt;"",$AB532,IF($AA532="","",IF($AA532&lt;=設定!$C$3,0,$AA532))))</f>
        <v/>
      </c>
      <c r="AD532" s="14">
        <f>IF($B532="","",IF(AND($AE532&lt;&gt;"",$AG532="",$AJ532=""),"保留中",IF($AJ532&lt;&gt;"",IF(N($AC532)&gt;0,"支給済","不支給"),IF($AC532="","要確認",IF($AC532=0,"不支給","未処理")))))</f>
        <v/>
      </c>
      <c r="AE532" s="12" t="n"/>
      <c r="AF532" s="11" t="n"/>
      <c r="AG532" s="11" t="n"/>
      <c r="AH532" s="11" t="n"/>
      <c r="AI532" s="14">
        <f>IF(AND($AD532="保留中",$AF532&lt;&gt;""),TODAY()-$AF532,"")</f>
        <v/>
      </c>
      <c r="AJ532" s="12" t="n"/>
      <c r="AK532" s="14">
        <f>IF($B532="","",IF($AO532="","対象年月が未入力／","")&amp;IF($B532="","",IF($AN532="","職員マスタに未登録の職員番号／",IF($Y532="","標準報酬月額が未登録／","")&amp;IF(AND($AO532&lt;&gt;"",OR(AND(INDEX(職員マスタ!$G$6:$G$405,$AN532)&lt;&gt;"",INDEX(職員マスタ!$G$6:$G$405,$AN532)&gt;EOMONTH($AO532,0)),AND(INDEX(職員マスタ!$H$6:$H$405,$AN532)&lt;&gt;"",INDEX(職員マスタ!$H$6:$H$405,$AN532)&lt;$AO532))),"対象月が時短期間外／","")&amp;IF(AND(INDEX(職員マスタ!$F$6:$F$405,$AN532)&lt;&gt;"",$AO532&lt;&gt;"",INDEX(職員マスタ!$F$6:$F$405,$AN532)&lt;$AO532),"対象月に子が2歳到達済／","")&amp;IF(AND($H532&lt;&gt;"",INDEX(職員マスタ!$B$6:$B$405,$AN532)&lt;&gt;"",SUBSTITUTE(SUBSTITUTE($H532," ","")," ","")&lt;&gt;SUBSTITUTE(SUBSTITUTE(INDEX(職員マスタ!$B$6:$B$405,$AN532)," ","")," ","")),"氏名がマスタと相違／","")&amp;IF(AND($Q532&lt;&gt;"",INDEX(職員マスタ!$E$6:$E$405,$AN532)&lt;&gt;"",$Q532&lt;&gt;INDEX(職員マスタ!$E$6:$E$405,$AN532)),"子の生年月日がマスタと相違／","")&amp;IF(AND($L532&lt;&gt;"",INDEX(職員マスタ!$G$6:$G$405,$AN532)&lt;&gt;"",$L532&lt;&gt;INDEX(職員マスタ!$G$6:$G$405,$AN532)),"時短開始日がマスタと相違／","")&amp;IF(AND($M532&lt;&gt;"",INDEX(職員マスタ!$H$6:$H$405,$AN532)&lt;&gt;"",$M532&lt;&gt;INDEX(職員マスタ!$H$6:$H$405,$AN532)),"時短終了日がマスタと相違／","")))&amp;IF(AND($B532&lt;&gt;"",$E532=""),"報酬額が未入力／","")&amp;IF(N($U532)&gt;0,"申請書に入力エラーが残っています／","")&amp;IF(AND($B532&lt;&gt;"",$AO532&lt;&gt;""),IF(COUNTIFS($B$6:$B$3005,$B532,$C$6:$C$3005,$C532,$D$6:$D$3005,$D532)&gt;1,"同じ月の請求が重複しています／",""),"")&amp;IF(AND(N($E532)&gt;0,$Z532&lt;&gt;"",$Z532&lt;&gt;"×",$AC532=0,$AB532=""),"計算額が下限以下のため不支給／",""))</f>
        <v/>
      </c>
      <c r="AL532" s="12" t="n"/>
      <c r="AM532" s="14">
        <f>IF($AD532="保留中",COUNTIF($AD$6:$AD532,"保留中"),"")</f>
        <v/>
      </c>
      <c r="AN532" s="14">
        <f>IF($AO532="","",IF(SUMPRODUCT(MAX((職員マスタ!$A$6:$A$405=$B532)*(((職員マスタ!$G$6:$G$405="")+(職員マスタ!$G$6:$G$405&lt;=EOMONTH($AO532,0)))&gt;0)*(((職員マスタ!$H$6:$H$405="")+(職員マスタ!$H$6:$H$405&gt;=$AO532))&gt;0)*(ROW(職員マスタ!$A$6:$A$405)-5)))&gt;0,SUMPRODUCT(MAX((職員マスタ!$A$6:$A$405=$B532)*(((職員マスタ!$G$6:$G$405="")+(職員マスタ!$G$6:$G$405&lt;=EOMONTH($AO532,0)))&gt;0)*(((職員マスタ!$H$6:$H$405="")+(職員マスタ!$H$6:$H$405&gt;=$AO532))&gt;0)*(ROW(職員マスタ!$A$6:$A$405)-5))),IFERROR(MATCH($B532,職員マスタ!$A$6:$A$405,0),"")))</f>
        <v/>
      </c>
      <c r="AO532" s="16">
        <f>IF(OR($B532="",$C532="",$D532=""),"",DATE($C532+2018,$D532,1))</f>
        <v/>
      </c>
    </row>
    <row r="533">
      <c r="A533" s="11" t="n"/>
      <c r="B533" s="12" t="n"/>
      <c r="C533" s="12" t="n"/>
      <c r="D533" s="12" t="n"/>
      <c r="E533" s="13" t="n"/>
      <c r="F533" s="12" t="n"/>
      <c r="G533" s="13" t="n"/>
      <c r="H533" s="12" t="n"/>
      <c r="I533" s="12" t="n"/>
      <c r="J533" s="12" t="n"/>
      <c r="K533" s="12" t="n"/>
      <c r="L533" s="11" t="n"/>
      <c r="M533" s="11" t="n"/>
      <c r="N533" s="11" t="n"/>
      <c r="O533" s="11" t="n"/>
      <c r="P533" s="12" t="n"/>
      <c r="Q533" s="11" t="n"/>
      <c r="R533" s="12" t="n"/>
      <c r="S533" s="11" t="n"/>
      <c r="T533" s="12" t="n"/>
      <c r="U533" s="12" t="n"/>
      <c r="V533" s="14">
        <f>IF($AN533="",IF($B533="","",$H533),IF(INDEX(職員マスタ!$B$6:$B$405,$AN533)="",$H533,INDEX(職員マスタ!$B$6:$B$405,$AN533)))</f>
        <v/>
      </c>
      <c r="W533" s="14">
        <f>IF($AN533="",IF($B533="","",$R533),IF(INDEX(職員マスタ!$C$6:$C$405,$AN533)="",$R533,INDEX(職員マスタ!$C$6:$C$405,$AN533)))</f>
        <v/>
      </c>
      <c r="X533" s="14">
        <f>IF($AO533="","","R"&amp;$C533&amp;"."&amp;$D533)</f>
        <v/>
      </c>
      <c r="Y533" s="15">
        <f>IF($AN533="","",IF(INDEX(職員マスタ!$K$6:$K$405,$AN533)="","",INDEX(職員マスタ!$K$6:$K$405,$AN533)))</f>
        <v/>
      </c>
      <c r="Z533" s="14">
        <f>IF(OR($E533="",$Y533=""),"",IF($E533&gt;=$Y533,"×",IF($E533&gt;=$Y533*設定!$C$5,"△","○")))</f>
        <v/>
      </c>
      <c r="AA533" s="15">
        <f>IF($Z533="","",IF($Z533="×",0,IF($Z533="○",ROUNDDOWN($E533*設定!$C$4,0),ROUNDDOWN($E533*ROUND((9*$Y533-9*$E533)/(10*$E533),4),0))))</f>
        <v/>
      </c>
      <c r="AB533" s="13" t="n"/>
      <c r="AC533" s="15">
        <f>IF($B533="","",IF($AB533&lt;&gt;"",$AB533,IF($AA533="","",IF($AA533&lt;=設定!$C$3,0,$AA533))))</f>
        <v/>
      </c>
      <c r="AD533" s="14">
        <f>IF($B533="","",IF(AND($AE533&lt;&gt;"",$AG533="",$AJ533=""),"保留中",IF($AJ533&lt;&gt;"",IF(N($AC533)&gt;0,"支給済","不支給"),IF($AC533="","要確認",IF($AC533=0,"不支給","未処理")))))</f>
        <v/>
      </c>
      <c r="AE533" s="12" t="n"/>
      <c r="AF533" s="11" t="n"/>
      <c r="AG533" s="11" t="n"/>
      <c r="AH533" s="11" t="n"/>
      <c r="AI533" s="14">
        <f>IF(AND($AD533="保留中",$AF533&lt;&gt;""),TODAY()-$AF533,"")</f>
        <v/>
      </c>
      <c r="AJ533" s="12" t="n"/>
      <c r="AK533" s="14">
        <f>IF($B533="","",IF($AO533="","対象年月が未入力／","")&amp;IF($B533="","",IF($AN533="","職員マスタに未登録の職員番号／",IF($Y533="","標準報酬月額が未登録／","")&amp;IF(AND($AO533&lt;&gt;"",OR(AND(INDEX(職員マスタ!$G$6:$G$405,$AN533)&lt;&gt;"",INDEX(職員マスタ!$G$6:$G$405,$AN533)&gt;EOMONTH($AO533,0)),AND(INDEX(職員マスタ!$H$6:$H$405,$AN533)&lt;&gt;"",INDEX(職員マスタ!$H$6:$H$405,$AN533)&lt;$AO533))),"対象月が時短期間外／","")&amp;IF(AND(INDEX(職員マスタ!$F$6:$F$405,$AN533)&lt;&gt;"",$AO533&lt;&gt;"",INDEX(職員マスタ!$F$6:$F$405,$AN533)&lt;$AO533),"対象月に子が2歳到達済／","")&amp;IF(AND($H533&lt;&gt;"",INDEX(職員マスタ!$B$6:$B$405,$AN533)&lt;&gt;"",SUBSTITUTE(SUBSTITUTE($H533," ","")," ","")&lt;&gt;SUBSTITUTE(SUBSTITUTE(INDEX(職員マスタ!$B$6:$B$405,$AN533)," ","")," ","")),"氏名がマスタと相違／","")&amp;IF(AND($Q533&lt;&gt;"",INDEX(職員マスタ!$E$6:$E$405,$AN533)&lt;&gt;"",$Q533&lt;&gt;INDEX(職員マスタ!$E$6:$E$405,$AN533)),"子の生年月日がマスタと相違／","")&amp;IF(AND($L533&lt;&gt;"",INDEX(職員マスタ!$G$6:$G$405,$AN533)&lt;&gt;"",$L533&lt;&gt;INDEX(職員マスタ!$G$6:$G$405,$AN533)),"時短開始日がマスタと相違／","")&amp;IF(AND($M533&lt;&gt;"",INDEX(職員マスタ!$H$6:$H$405,$AN533)&lt;&gt;"",$M533&lt;&gt;INDEX(職員マスタ!$H$6:$H$405,$AN533)),"時短終了日がマスタと相違／","")))&amp;IF(AND($B533&lt;&gt;"",$E533=""),"報酬額が未入力／","")&amp;IF(N($U533)&gt;0,"申請書に入力エラーが残っています／","")&amp;IF(AND($B533&lt;&gt;"",$AO533&lt;&gt;""),IF(COUNTIFS($B$6:$B$3005,$B533,$C$6:$C$3005,$C533,$D$6:$D$3005,$D533)&gt;1,"同じ月の請求が重複しています／",""),"")&amp;IF(AND(N($E533)&gt;0,$Z533&lt;&gt;"",$Z533&lt;&gt;"×",$AC533=0,$AB533=""),"計算額が下限以下のため不支給／",""))</f>
        <v/>
      </c>
      <c r="AL533" s="12" t="n"/>
      <c r="AM533" s="14">
        <f>IF($AD533="保留中",COUNTIF($AD$6:$AD533,"保留中"),"")</f>
        <v/>
      </c>
      <c r="AN533" s="14">
        <f>IF($AO533="","",IF(SUMPRODUCT(MAX((職員マスタ!$A$6:$A$405=$B533)*(((職員マスタ!$G$6:$G$405="")+(職員マスタ!$G$6:$G$405&lt;=EOMONTH($AO533,0)))&gt;0)*(((職員マスタ!$H$6:$H$405="")+(職員マスタ!$H$6:$H$405&gt;=$AO533))&gt;0)*(ROW(職員マスタ!$A$6:$A$405)-5)))&gt;0,SUMPRODUCT(MAX((職員マスタ!$A$6:$A$405=$B533)*(((職員マスタ!$G$6:$G$405="")+(職員マスタ!$G$6:$G$405&lt;=EOMONTH($AO533,0)))&gt;0)*(((職員マスタ!$H$6:$H$405="")+(職員マスタ!$H$6:$H$405&gt;=$AO533))&gt;0)*(ROW(職員マスタ!$A$6:$A$405)-5))),IFERROR(MATCH($B533,職員マスタ!$A$6:$A$405,0),"")))</f>
        <v/>
      </c>
      <c r="AO533" s="16">
        <f>IF(OR($B533="",$C533="",$D533=""),"",DATE($C533+2018,$D533,1))</f>
        <v/>
      </c>
    </row>
    <row r="534">
      <c r="A534" s="11" t="n"/>
      <c r="B534" s="12" t="n"/>
      <c r="C534" s="12" t="n"/>
      <c r="D534" s="12" t="n"/>
      <c r="E534" s="13" t="n"/>
      <c r="F534" s="12" t="n"/>
      <c r="G534" s="13" t="n"/>
      <c r="H534" s="12" t="n"/>
      <c r="I534" s="12" t="n"/>
      <c r="J534" s="12" t="n"/>
      <c r="K534" s="12" t="n"/>
      <c r="L534" s="11" t="n"/>
      <c r="M534" s="11" t="n"/>
      <c r="N534" s="11" t="n"/>
      <c r="O534" s="11" t="n"/>
      <c r="P534" s="12" t="n"/>
      <c r="Q534" s="11" t="n"/>
      <c r="R534" s="12" t="n"/>
      <c r="S534" s="11" t="n"/>
      <c r="T534" s="12" t="n"/>
      <c r="U534" s="12" t="n"/>
      <c r="V534" s="14">
        <f>IF($AN534="",IF($B534="","",$H534),IF(INDEX(職員マスタ!$B$6:$B$405,$AN534)="",$H534,INDEX(職員マスタ!$B$6:$B$405,$AN534)))</f>
        <v/>
      </c>
      <c r="W534" s="14">
        <f>IF($AN534="",IF($B534="","",$R534),IF(INDEX(職員マスタ!$C$6:$C$405,$AN534)="",$R534,INDEX(職員マスタ!$C$6:$C$405,$AN534)))</f>
        <v/>
      </c>
      <c r="X534" s="14">
        <f>IF($AO534="","","R"&amp;$C534&amp;"."&amp;$D534)</f>
        <v/>
      </c>
      <c r="Y534" s="15">
        <f>IF($AN534="","",IF(INDEX(職員マスタ!$K$6:$K$405,$AN534)="","",INDEX(職員マスタ!$K$6:$K$405,$AN534)))</f>
        <v/>
      </c>
      <c r="Z534" s="14">
        <f>IF(OR($E534="",$Y534=""),"",IF($E534&gt;=$Y534,"×",IF($E534&gt;=$Y534*設定!$C$5,"△","○")))</f>
        <v/>
      </c>
      <c r="AA534" s="15">
        <f>IF($Z534="","",IF($Z534="×",0,IF($Z534="○",ROUNDDOWN($E534*設定!$C$4,0),ROUNDDOWN($E534*ROUND((9*$Y534-9*$E534)/(10*$E534),4),0))))</f>
        <v/>
      </c>
      <c r="AB534" s="13" t="n"/>
      <c r="AC534" s="15">
        <f>IF($B534="","",IF($AB534&lt;&gt;"",$AB534,IF($AA534="","",IF($AA534&lt;=設定!$C$3,0,$AA534))))</f>
        <v/>
      </c>
      <c r="AD534" s="14">
        <f>IF($B534="","",IF(AND($AE534&lt;&gt;"",$AG534="",$AJ534=""),"保留中",IF($AJ534&lt;&gt;"",IF(N($AC534)&gt;0,"支給済","不支給"),IF($AC534="","要確認",IF($AC534=0,"不支給","未処理")))))</f>
        <v/>
      </c>
      <c r="AE534" s="12" t="n"/>
      <c r="AF534" s="11" t="n"/>
      <c r="AG534" s="11" t="n"/>
      <c r="AH534" s="11" t="n"/>
      <c r="AI534" s="14">
        <f>IF(AND($AD534="保留中",$AF534&lt;&gt;""),TODAY()-$AF534,"")</f>
        <v/>
      </c>
      <c r="AJ534" s="12" t="n"/>
      <c r="AK534" s="14">
        <f>IF($B534="","",IF($AO534="","対象年月が未入力／","")&amp;IF($B534="","",IF($AN534="","職員マスタに未登録の職員番号／",IF($Y534="","標準報酬月額が未登録／","")&amp;IF(AND($AO534&lt;&gt;"",OR(AND(INDEX(職員マスタ!$G$6:$G$405,$AN534)&lt;&gt;"",INDEX(職員マスタ!$G$6:$G$405,$AN534)&gt;EOMONTH($AO534,0)),AND(INDEX(職員マスタ!$H$6:$H$405,$AN534)&lt;&gt;"",INDEX(職員マスタ!$H$6:$H$405,$AN534)&lt;$AO534))),"対象月が時短期間外／","")&amp;IF(AND(INDEX(職員マスタ!$F$6:$F$405,$AN534)&lt;&gt;"",$AO534&lt;&gt;"",INDEX(職員マスタ!$F$6:$F$405,$AN534)&lt;$AO534),"対象月に子が2歳到達済／","")&amp;IF(AND($H534&lt;&gt;"",INDEX(職員マスタ!$B$6:$B$405,$AN534)&lt;&gt;"",SUBSTITUTE(SUBSTITUTE($H534," ","")," ","")&lt;&gt;SUBSTITUTE(SUBSTITUTE(INDEX(職員マスタ!$B$6:$B$405,$AN534)," ","")," ","")),"氏名がマスタと相違／","")&amp;IF(AND($Q534&lt;&gt;"",INDEX(職員マスタ!$E$6:$E$405,$AN534)&lt;&gt;"",$Q534&lt;&gt;INDEX(職員マスタ!$E$6:$E$405,$AN534)),"子の生年月日がマスタと相違／","")&amp;IF(AND($L534&lt;&gt;"",INDEX(職員マスタ!$G$6:$G$405,$AN534)&lt;&gt;"",$L534&lt;&gt;INDEX(職員マスタ!$G$6:$G$405,$AN534)),"時短開始日がマスタと相違／","")&amp;IF(AND($M534&lt;&gt;"",INDEX(職員マスタ!$H$6:$H$405,$AN534)&lt;&gt;"",$M534&lt;&gt;INDEX(職員マスタ!$H$6:$H$405,$AN534)),"時短終了日がマスタと相違／","")))&amp;IF(AND($B534&lt;&gt;"",$E534=""),"報酬額が未入力／","")&amp;IF(N($U534)&gt;0,"申請書に入力エラーが残っています／","")&amp;IF(AND($B534&lt;&gt;"",$AO534&lt;&gt;""),IF(COUNTIFS($B$6:$B$3005,$B534,$C$6:$C$3005,$C534,$D$6:$D$3005,$D534)&gt;1,"同じ月の請求が重複しています／",""),"")&amp;IF(AND(N($E534)&gt;0,$Z534&lt;&gt;"",$Z534&lt;&gt;"×",$AC534=0,$AB534=""),"計算額が下限以下のため不支給／",""))</f>
        <v/>
      </c>
      <c r="AL534" s="12" t="n"/>
      <c r="AM534" s="14">
        <f>IF($AD534="保留中",COUNTIF($AD$6:$AD534,"保留中"),"")</f>
        <v/>
      </c>
      <c r="AN534" s="14">
        <f>IF($AO534="","",IF(SUMPRODUCT(MAX((職員マスタ!$A$6:$A$405=$B534)*(((職員マスタ!$G$6:$G$405="")+(職員マスタ!$G$6:$G$405&lt;=EOMONTH($AO534,0)))&gt;0)*(((職員マスタ!$H$6:$H$405="")+(職員マスタ!$H$6:$H$405&gt;=$AO534))&gt;0)*(ROW(職員マスタ!$A$6:$A$405)-5)))&gt;0,SUMPRODUCT(MAX((職員マスタ!$A$6:$A$405=$B534)*(((職員マスタ!$G$6:$G$405="")+(職員マスタ!$G$6:$G$405&lt;=EOMONTH($AO534,0)))&gt;0)*(((職員マスタ!$H$6:$H$405="")+(職員マスタ!$H$6:$H$405&gt;=$AO534))&gt;0)*(ROW(職員マスタ!$A$6:$A$405)-5))),IFERROR(MATCH($B534,職員マスタ!$A$6:$A$405,0),"")))</f>
        <v/>
      </c>
      <c r="AO534" s="16">
        <f>IF(OR($B534="",$C534="",$D534=""),"",DATE($C534+2018,$D534,1))</f>
        <v/>
      </c>
    </row>
    <row r="535">
      <c r="A535" s="11" t="n"/>
      <c r="B535" s="12" t="n"/>
      <c r="C535" s="12" t="n"/>
      <c r="D535" s="12" t="n"/>
      <c r="E535" s="13" t="n"/>
      <c r="F535" s="12" t="n"/>
      <c r="G535" s="13" t="n"/>
      <c r="H535" s="12" t="n"/>
      <c r="I535" s="12" t="n"/>
      <c r="J535" s="12" t="n"/>
      <c r="K535" s="12" t="n"/>
      <c r="L535" s="11" t="n"/>
      <c r="M535" s="11" t="n"/>
      <c r="N535" s="11" t="n"/>
      <c r="O535" s="11" t="n"/>
      <c r="P535" s="12" t="n"/>
      <c r="Q535" s="11" t="n"/>
      <c r="R535" s="12" t="n"/>
      <c r="S535" s="11" t="n"/>
      <c r="T535" s="12" t="n"/>
      <c r="U535" s="12" t="n"/>
      <c r="V535" s="14">
        <f>IF($AN535="",IF($B535="","",$H535),IF(INDEX(職員マスタ!$B$6:$B$405,$AN535)="",$H535,INDEX(職員マスタ!$B$6:$B$405,$AN535)))</f>
        <v/>
      </c>
      <c r="W535" s="14">
        <f>IF($AN535="",IF($B535="","",$R535),IF(INDEX(職員マスタ!$C$6:$C$405,$AN535)="",$R535,INDEX(職員マスタ!$C$6:$C$405,$AN535)))</f>
        <v/>
      </c>
      <c r="X535" s="14">
        <f>IF($AO535="","","R"&amp;$C535&amp;"."&amp;$D535)</f>
        <v/>
      </c>
      <c r="Y535" s="15">
        <f>IF($AN535="","",IF(INDEX(職員マスタ!$K$6:$K$405,$AN535)="","",INDEX(職員マスタ!$K$6:$K$405,$AN535)))</f>
        <v/>
      </c>
      <c r="Z535" s="14">
        <f>IF(OR($E535="",$Y535=""),"",IF($E535&gt;=$Y535,"×",IF($E535&gt;=$Y535*設定!$C$5,"△","○")))</f>
        <v/>
      </c>
      <c r="AA535" s="15">
        <f>IF($Z535="","",IF($Z535="×",0,IF($Z535="○",ROUNDDOWN($E535*設定!$C$4,0),ROUNDDOWN($E535*ROUND((9*$Y535-9*$E535)/(10*$E535),4),0))))</f>
        <v/>
      </c>
      <c r="AB535" s="13" t="n"/>
      <c r="AC535" s="15">
        <f>IF($B535="","",IF($AB535&lt;&gt;"",$AB535,IF($AA535="","",IF($AA535&lt;=設定!$C$3,0,$AA535))))</f>
        <v/>
      </c>
      <c r="AD535" s="14">
        <f>IF($B535="","",IF(AND($AE535&lt;&gt;"",$AG535="",$AJ535=""),"保留中",IF($AJ535&lt;&gt;"",IF(N($AC535)&gt;0,"支給済","不支給"),IF($AC535="","要確認",IF($AC535=0,"不支給","未処理")))))</f>
        <v/>
      </c>
      <c r="AE535" s="12" t="n"/>
      <c r="AF535" s="11" t="n"/>
      <c r="AG535" s="11" t="n"/>
      <c r="AH535" s="11" t="n"/>
      <c r="AI535" s="14">
        <f>IF(AND($AD535="保留中",$AF535&lt;&gt;""),TODAY()-$AF535,"")</f>
        <v/>
      </c>
      <c r="AJ535" s="12" t="n"/>
      <c r="AK535" s="14">
        <f>IF($B535="","",IF($AO535="","対象年月が未入力／","")&amp;IF($B535="","",IF($AN535="","職員マスタに未登録の職員番号／",IF($Y535="","標準報酬月額が未登録／","")&amp;IF(AND($AO535&lt;&gt;"",OR(AND(INDEX(職員マスタ!$G$6:$G$405,$AN535)&lt;&gt;"",INDEX(職員マスタ!$G$6:$G$405,$AN535)&gt;EOMONTH($AO535,0)),AND(INDEX(職員マスタ!$H$6:$H$405,$AN535)&lt;&gt;"",INDEX(職員マスタ!$H$6:$H$405,$AN535)&lt;$AO535))),"対象月が時短期間外／","")&amp;IF(AND(INDEX(職員マスタ!$F$6:$F$405,$AN535)&lt;&gt;"",$AO535&lt;&gt;"",INDEX(職員マスタ!$F$6:$F$405,$AN535)&lt;$AO535),"対象月に子が2歳到達済／","")&amp;IF(AND($H535&lt;&gt;"",INDEX(職員マスタ!$B$6:$B$405,$AN535)&lt;&gt;"",SUBSTITUTE(SUBSTITUTE($H535," ","")," ","")&lt;&gt;SUBSTITUTE(SUBSTITUTE(INDEX(職員マスタ!$B$6:$B$405,$AN535)," ","")," ","")),"氏名がマスタと相違／","")&amp;IF(AND($Q535&lt;&gt;"",INDEX(職員マスタ!$E$6:$E$405,$AN535)&lt;&gt;"",$Q535&lt;&gt;INDEX(職員マスタ!$E$6:$E$405,$AN535)),"子の生年月日がマスタと相違／","")&amp;IF(AND($L535&lt;&gt;"",INDEX(職員マスタ!$G$6:$G$405,$AN535)&lt;&gt;"",$L535&lt;&gt;INDEX(職員マスタ!$G$6:$G$405,$AN535)),"時短開始日がマスタと相違／","")&amp;IF(AND($M535&lt;&gt;"",INDEX(職員マスタ!$H$6:$H$405,$AN535)&lt;&gt;"",$M535&lt;&gt;INDEX(職員マスタ!$H$6:$H$405,$AN535)),"時短終了日がマスタと相違／","")))&amp;IF(AND($B535&lt;&gt;"",$E535=""),"報酬額が未入力／","")&amp;IF(N($U535)&gt;0,"申請書に入力エラーが残っています／","")&amp;IF(AND($B535&lt;&gt;"",$AO535&lt;&gt;""),IF(COUNTIFS($B$6:$B$3005,$B535,$C$6:$C$3005,$C535,$D$6:$D$3005,$D535)&gt;1,"同じ月の請求が重複しています／",""),"")&amp;IF(AND(N($E535)&gt;0,$Z535&lt;&gt;"",$Z535&lt;&gt;"×",$AC535=0,$AB535=""),"計算額が下限以下のため不支給／",""))</f>
        <v/>
      </c>
      <c r="AL535" s="12" t="n"/>
      <c r="AM535" s="14">
        <f>IF($AD535="保留中",COUNTIF($AD$6:$AD535,"保留中"),"")</f>
        <v/>
      </c>
      <c r="AN535" s="14">
        <f>IF($AO535="","",IF(SUMPRODUCT(MAX((職員マスタ!$A$6:$A$405=$B535)*(((職員マスタ!$G$6:$G$405="")+(職員マスタ!$G$6:$G$405&lt;=EOMONTH($AO535,0)))&gt;0)*(((職員マスタ!$H$6:$H$405="")+(職員マスタ!$H$6:$H$405&gt;=$AO535))&gt;0)*(ROW(職員マスタ!$A$6:$A$405)-5)))&gt;0,SUMPRODUCT(MAX((職員マスタ!$A$6:$A$405=$B535)*(((職員マスタ!$G$6:$G$405="")+(職員マスタ!$G$6:$G$405&lt;=EOMONTH($AO535,0)))&gt;0)*(((職員マスタ!$H$6:$H$405="")+(職員マスタ!$H$6:$H$405&gt;=$AO535))&gt;0)*(ROW(職員マスタ!$A$6:$A$405)-5))),IFERROR(MATCH($B535,職員マスタ!$A$6:$A$405,0),"")))</f>
        <v/>
      </c>
      <c r="AO535" s="16">
        <f>IF(OR($B535="",$C535="",$D535=""),"",DATE($C535+2018,$D535,1))</f>
        <v/>
      </c>
    </row>
    <row r="536">
      <c r="A536" s="11" t="n"/>
      <c r="B536" s="12" t="n"/>
      <c r="C536" s="12" t="n"/>
      <c r="D536" s="12" t="n"/>
      <c r="E536" s="13" t="n"/>
      <c r="F536" s="12" t="n"/>
      <c r="G536" s="13" t="n"/>
      <c r="H536" s="12" t="n"/>
      <c r="I536" s="12" t="n"/>
      <c r="J536" s="12" t="n"/>
      <c r="K536" s="12" t="n"/>
      <c r="L536" s="11" t="n"/>
      <c r="M536" s="11" t="n"/>
      <c r="N536" s="11" t="n"/>
      <c r="O536" s="11" t="n"/>
      <c r="P536" s="12" t="n"/>
      <c r="Q536" s="11" t="n"/>
      <c r="R536" s="12" t="n"/>
      <c r="S536" s="11" t="n"/>
      <c r="T536" s="12" t="n"/>
      <c r="U536" s="12" t="n"/>
      <c r="V536" s="14">
        <f>IF($AN536="",IF($B536="","",$H536),IF(INDEX(職員マスタ!$B$6:$B$405,$AN536)="",$H536,INDEX(職員マスタ!$B$6:$B$405,$AN536)))</f>
        <v/>
      </c>
      <c r="W536" s="14">
        <f>IF($AN536="",IF($B536="","",$R536),IF(INDEX(職員マスタ!$C$6:$C$405,$AN536)="",$R536,INDEX(職員マスタ!$C$6:$C$405,$AN536)))</f>
        <v/>
      </c>
      <c r="X536" s="14">
        <f>IF($AO536="","","R"&amp;$C536&amp;"."&amp;$D536)</f>
        <v/>
      </c>
      <c r="Y536" s="15">
        <f>IF($AN536="","",IF(INDEX(職員マスタ!$K$6:$K$405,$AN536)="","",INDEX(職員マスタ!$K$6:$K$405,$AN536)))</f>
        <v/>
      </c>
      <c r="Z536" s="14">
        <f>IF(OR($E536="",$Y536=""),"",IF($E536&gt;=$Y536,"×",IF($E536&gt;=$Y536*設定!$C$5,"△","○")))</f>
        <v/>
      </c>
      <c r="AA536" s="15">
        <f>IF($Z536="","",IF($Z536="×",0,IF($Z536="○",ROUNDDOWN($E536*設定!$C$4,0),ROUNDDOWN($E536*ROUND((9*$Y536-9*$E536)/(10*$E536),4),0))))</f>
        <v/>
      </c>
      <c r="AB536" s="13" t="n"/>
      <c r="AC536" s="15">
        <f>IF($B536="","",IF($AB536&lt;&gt;"",$AB536,IF($AA536="","",IF($AA536&lt;=設定!$C$3,0,$AA536))))</f>
        <v/>
      </c>
      <c r="AD536" s="14">
        <f>IF($B536="","",IF(AND($AE536&lt;&gt;"",$AG536="",$AJ536=""),"保留中",IF($AJ536&lt;&gt;"",IF(N($AC536)&gt;0,"支給済","不支給"),IF($AC536="","要確認",IF($AC536=0,"不支給","未処理")))))</f>
        <v/>
      </c>
      <c r="AE536" s="12" t="n"/>
      <c r="AF536" s="11" t="n"/>
      <c r="AG536" s="11" t="n"/>
      <c r="AH536" s="11" t="n"/>
      <c r="AI536" s="14">
        <f>IF(AND($AD536="保留中",$AF536&lt;&gt;""),TODAY()-$AF536,"")</f>
        <v/>
      </c>
      <c r="AJ536" s="12" t="n"/>
      <c r="AK536" s="14">
        <f>IF($B536="","",IF($AO536="","対象年月が未入力／","")&amp;IF($B536="","",IF($AN536="","職員マスタに未登録の職員番号／",IF($Y536="","標準報酬月額が未登録／","")&amp;IF(AND($AO536&lt;&gt;"",OR(AND(INDEX(職員マスタ!$G$6:$G$405,$AN536)&lt;&gt;"",INDEX(職員マスタ!$G$6:$G$405,$AN536)&gt;EOMONTH($AO536,0)),AND(INDEX(職員マスタ!$H$6:$H$405,$AN536)&lt;&gt;"",INDEX(職員マスタ!$H$6:$H$405,$AN536)&lt;$AO536))),"対象月が時短期間外／","")&amp;IF(AND(INDEX(職員マスタ!$F$6:$F$405,$AN536)&lt;&gt;"",$AO536&lt;&gt;"",INDEX(職員マスタ!$F$6:$F$405,$AN536)&lt;$AO536),"対象月に子が2歳到達済／","")&amp;IF(AND($H536&lt;&gt;"",INDEX(職員マスタ!$B$6:$B$405,$AN536)&lt;&gt;"",SUBSTITUTE(SUBSTITUTE($H536," ","")," ","")&lt;&gt;SUBSTITUTE(SUBSTITUTE(INDEX(職員マスタ!$B$6:$B$405,$AN536)," ","")," ","")),"氏名がマスタと相違／","")&amp;IF(AND($Q536&lt;&gt;"",INDEX(職員マスタ!$E$6:$E$405,$AN536)&lt;&gt;"",$Q536&lt;&gt;INDEX(職員マスタ!$E$6:$E$405,$AN536)),"子の生年月日がマスタと相違／","")&amp;IF(AND($L536&lt;&gt;"",INDEX(職員マスタ!$G$6:$G$405,$AN536)&lt;&gt;"",$L536&lt;&gt;INDEX(職員マスタ!$G$6:$G$405,$AN536)),"時短開始日がマスタと相違／","")&amp;IF(AND($M536&lt;&gt;"",INDEX(職員マスタ!$H$6:$H$405,$AN536)&lt;&gt;"",$M536&lt;&gt;INDEX(職員マスタ!$H$6:$H$405,$AN536)),"時短終了日がマスタと相違／","")))&amp;IF(AND($B536&lt;&gt;"",$E536=""),"報酬額が未入力／","")&amp;IF(N($U536)&gt;0,"申請書に入力エラーが残っています／","")&amp;IF(AND($B536&lt;&gt;"",$AO536&lt;&gt;""),IF(COUNTIFS($B$6:$B$3005,$B536,$C$6:$C$3005,$C536,$D$6:$D$3005,$D536)&gt;1,"同じ月の請求が重複しています／",""),"")&amp;IF(AND(N($E536)&gt;0,$Z536&lt;&gt;"",$Z536&lt;&gt;"×",$AC536=0,$AB536=""),"計算額が下限以下のため不支給／",""))</f>
        <v/>
      </c>
      <c r="AL536" s="12" t="n"/>
      <c r="AM536" s="14">
        <f>IF($AD536="保留中",COUNTIF($AD$6:$AD536,"保留中"),"")</f>
        <v/>
      </c>
      <c r="AN536" s="14">
        <f>IF($AO536="","",IF(SUMPRODUCT(MAX((職員マスタ!$A$6:$A$405=$B536)*(((職員マスタ!$G$6:$G$405="")+(職員マスタ!$G$6:$G$405&lt;=EOMONTH($AO536,0)))&gt;0)*(((職員マスタ!$H$6:$H$405="")+(職員マスタ!$H$6:$H$405&gt;=$AO536))&gt;0)*(ROW(職員マスタ!$A$6:$A$405)-5)))&gt;0,SUMPRODUCT(MAX((職員マスタ!$A$6:$A$405=$B536)*(((職員マスタ!$G$6:$G$405="")+(職員マスタ!$G$6:$G$405&lt;=EOMONTH($AO536,0)))&gt;0)*(((職員マスタ!$H$6:$H$405="")+(職員マスタ!$H$6:$H$405&gt;=$AO536))&gt;0)*(ROW(職員マスタ!$A$6:$A$405)-5))),IFERROR(MATCH($B536,職員マスタ!$A$6:$A$405,0),"")))</f>
        <v/>
      </c>
      <c r="AO536" s="16">
        <f>IF(OR($B536="",$C536="",$D536=""),"",DATE($C536+2018,$D536,1))</f>
        <v/>
      </c>
    </row>
    <row r="537">
      <c r="A537" s="11" t="n"/>
      <c r="B537" s="12" t="n"/>
      <c r="C537" s="12" t="n"/>
      <c r="D537" s="12" t="n"/>
      <c r="E537" s="13" t="n"/>
      <c r="F537" s="12" t="n"/>
      <c r="G537" s="13" t="n"/>
      <c r="H537" s="12" t="n"/>
      <c r="I537" s="12" t="n"/>
      <c r="J537" s="12" t="n"/>
      <c r="K537" s="12" t="n"/>
      <c r="L537" s="11" t="n"/>
      <c r="M537" s="11" t="n"/>
      <c r="N537" s="11" t="n"/>
      <c r="O537" s="11" t="n"/>
      <c r="P537" s="12" t="n"/>
      <c r="Q537" s="11" t="n"/>
      <c r="R537" s="12" t="n"/>
      <c r="S537" s="11" t="n"/>
      <c r="T537" s="12" t="n"/>
      <c r="U537" s="12" t="n"/>
      <c r="V537" s="14">
        <f>IF($AN537="",IF($B537="","",$H537),IF(INDEX(職員マスタ!$B$6:$B$405,$AN537)="",$H537,INDEX(職員マスタ!$B$6:$B$405,$AN537)))</f>
        <v/>
      </c>
      <c r="W537" s="14">
        <f>IF($AN537="",IF($B537="","",$R537),IF(INDEX(職員マスタ!$C$6:$C$405,$AN537)="",$R537,INDEX(職員マスタ!$C$6:$C$405,$AN537)))</f>
        <v/>
      </c>
      <c r="X537" s="14">
        <f>IF($AO537="","","R"&amp;$C537&amp;"."&amp;$D537)</f>
        <v/>
      </c>
      <c r="Y537" s="15">
        <f>IF($AN537="","",IF(INDEX(職員マスタ!$K$6:$K$405,$AN537)="","",INDEX(職員マスタ!$K$6:$K$405,$AN537)))</f>
        <v/>
      </c>
      <c r="Z537" s="14">
        <f>IF(OR($E537="",$Y537=""),"",IF($E537&gt;=$Y537,"×",IF($E537&gt;=$Y537*設定!$C$5,"△","○")))</f>
        <v/>
      </c>
      <c r="AA537" s="15">
        <f>IF($Z537="","",IF($Z537="×",0,IF($Z537="○",ROUNDDOWN($E537*設定!$C$4,0),ROUNDDOWN($E537*ROUND((9*$Y537-9*$E537)/(10*$E537),4),0))))</f>
        <v/>
      </c>
      <c r="AB537" s="13" t="n"/>
      <c r="AC537" s="15">
        <f>IF($B537="","",IF($AB537&lt;&gt;"",$AB537,IF($AA537="","",IF($AA537&lt;=設定!$C$3,0,$AA537))))</f>
        <v/>
      </c>
      <c r="AD537" s="14">
        <f>IF($B537="","",IF(AND($AE537&lt;&gt;"",$AG537="",$AJ537=""),"保留中",IF($AJ537&lt;&gt;"",IF(N($AC537)&gt;0,"支給済","不支給"),IF($AC537="","要確認",IF($AC537=0,"不支給","未処理")))))</f>
        <v/>
      </c>
      <c r="AE537" s="12" t="n"/>
      <c r="AF537" s="11" t="n"/>
      <c r="AG537" s="11" t="n"/>
      <c r="AH537" s="11" t="n"/>
      <c r="AI537" s="14">
        <f>IF(AND($AD537="保留中",$AF537&lt;&gt;""),TODAY()-$AF537,"")</f>
        <v/>
      </c>
      <c r="AJ537" s="12" t="n"/>
      <c r="AK537" s="14">
        <f>IF($B537="","",IF($AO537="","対象年月が未入力／","")&amp;IF($B537="","",IF($AN537="","職員マスタに未登録の職員番号／",IF($Y537="","標準報酬月額が未登録／","")&amp;IF(AND($AO537&lt;&gt;"",OR(AND(INDEX(職員マスタ!$G$6:$G$405,$AN537)&lt;&gt;"",INDEX(職員マスタ!$G$6:$G$405,$AN537)&gt;EOMONTH($AO537,0)),AND(INDEX(職員マスタ!$H$6:$H$405,$AN537)&lt;&gt;"",INDEX(職員マスタ!$H$6:$H$405,$AN537)&lt;$AO537))),"対象月が時短期間外／","")&amp;IF(AND(INDEX(職員マスタ!$F$6:$F$405,$AN537)&lt;&gt;"",$AO537&lt;&gt;"",INDEX(職員マスタ!$F$6:$F$405,$AN537)&lt;$AO537),"対象月に子が2歳到達済／","")&amp;IF(AND($H537&lt;&gt;"",INDEX(職員マスタ!$B$6:$B$405,$AN537)&lt;&gt;"",SUBSTITUTE(SUBSTITUTE($H537," ","")," ","")&lt;&gt;SUBSTITUTE(SUBSTITUTE(INDEX(職員マスタ!$B$6:$B$405,$AN537)," ","")," ","")),"氏名がマスタと相違／","")&amp;IF(AND($Q537&lt;&gt;"",INDEX(職員マスタ!$E$6:$E$405,$AN537)&lt;&gt;"",$Q537&lt;&gt;INDEX(職員マスタ!$E$6:$E$405,$AN537)),"子の生年月日がマスタと相違／","")&amp;IF(AND($L537&lt;&gt;"",INDEX(職員マスタ!$G$6:$G$405,$AN537)&lt;&gt;"",$L537&lt;&gt;INDEX(職員マスタ!$G$6:$G$405,$AN537)),"時短開始日がマスタと相違／","")&amp;IF(AND($M537&lt;&gt;"",INDEX(職員マスタ!$H$6:$H$405,$AN537)&lt;&gt;"",$M537&lt;&gt;INDEX(職員マスタ!$H$6:$H$405,$AN537)),"時短終了日がマスタと相違／","")))&amp;IF(AND($B537&lt;&gt;"",$E537=""),"報酬額が未入力／","")&amp;IF(N($U537)&gt;0,"申請書に入力エラーが残っています／","")&amp;IF(AND($B537&lt;&gt;"",$AO537&lt;&gt;""),IF(COUNTIFS($B$6:$B$3005,$B537,$C$6:$C$3005,$C537,$D$6:$D$3005,$D537)&gt;1,"同じ月の請求が重複しています／",""),"")&amp;IF(AND(N($E537)&gt;0,$Z537&lt;&gt;"",$Z537&lt;&gt;"×",$AC537=0,$AB537=""),"計算額が下限以下のため不支給／",""))</f>
        <v/>
      </c>
      <c r="AL537" s="12" t="n"/>
      <c r="AM537" s="14">
        <f>IF($AD537="保留中",COUNTIF($AD$6:$AD537,"保留中"),"")</f>
        <v/>
      </c>
      <c r="AN537" s="14">
        <f>IF($AO537="","",IF(SUMPRODUCT(MAX((職員マスタ!$A$6:$A$405=$B537)*(((職員マスタ!$G$6:$G$405="")+(職員マスタ!$G$6:$G$405&lt;=EOMONTH($AO537,0)))&gt;0)*(((職員マスタ!$H$6:$H$405="")+(職員マスタ!$H$6:$H$405&gt;=$AO537))&gt;0)*(ROW(職員マスタ!$A$6:$A$405)-5)))&gt;0,SUMPRODUCT(MAX((職員マスタ!$A$6:$A$405=$B537)*(((職員マスタ!$G$6:$G$405="")+(職員マスタ!$G$6:$G$405&lt;=EOMONTH($AO537,0)))&gt;0)*(((職員マスタ!$H$6:$H$405="")+(職員マスタ!$H$6:$H$405&gt;=$AO537))&gt;0)*(ROW(職員マスタ!$A$6:$A$405)-5))),IFERROR(MATCH($B537,職員マスタ!$A$6:$A$405,0),"")))</f>
        <v/>
      </c>
      <c r="AO537" s="16">
        <f>IF(OR($B537="",$C537="",$D537=""),"",DATE($C537+2018,$D537,1))</f>
        <v/>
      </c>
    </row>
    <row r="538">
      <c r="A538" s="11" t="n"/>
      <c r="B538" s="12" t="n"/>
      <c r="C538" s="12" t="n"/>
      <c r="D538" s="12" t="n"/>
      <c r="E538" s="13" t="n"/>
      <c r="F538" s="12" t="n"/>
      <c r="G538" s="13" t="n"/>
      <c r="H538" s="12" t="n"/>
      <c r="I538" s="12" t="n"/>
      <c r="J538" s="12" t="n"/>
      <c r="K538" s="12" t="n"/>
      <c r="L538" s="11" t="n"/>
      <c r="M538" s="11" t="n"/>
      <c r="N538" s="11" t="n"/>
      <c r="O538" s="11" t="n"/>
      <c r="P538" s="12" t="n"/>
      <c r="Q538" s="11" t="n"/>
      <c r="R538" s="12" t="n"/>
      <c r="S538" s="11" t="n"/>
      <c r="T538" s="12" t="n"/>
      <c r="U538" s="12" t="n"/>
      <c r="V538" s="14">
        <f>IF($AN538="",IF($B538="","",$H538),IF(INDEX(職員マスタ!$B$6:$B$405,$AN538)="",$H538,INDEX(職員マスタ!$B$6:$B$405,$AN538)))</f>
        <v/>
      </c>
      <c r="W538" s="14">
        <f>IF($AN538="",IF($B538="","",$R538),IF(INDEX(職員マスタ!$C$6:$C$405,$AN538)="",$R538,INDEX(職員マスタ!$C$6:$C$405,$AN538)))</f>
        <v/>
      </c>
      <c r="X538" s="14">
        <f>IF($AO538="","","R"&amp;$C538&amp;"."&amp;$D538)</f>
        <v/>
      </c>
      <c r="Y538" s="15">
        <f>IF($AN538="","",IF(INDEX(職員マスタ!$K$6:$K$405,$AN538)="","",INDEX(職員マスタ!$K$6:$K$405,$AN538)))</f>
        <v/>
      </c>
      <c r="Z538" s="14">
        <f>IF(OR($E538="",$Y538=""),"",IF($E538&gt;=$Y538,"×",IF($E538&gt;=$Y538*設定!$C$5,"△","○")))</f>
        <v/>
      </c>
      <c r="AA538" s="15">
        <f>IF($Z538="","",IF($Z538="×",0,IF($Z538="○",ROUNDDOWN($E538*設定!$C$4,0),ROUNDDOWN($E538*ROUND((9*$Y538-9*$E538)/(10*$E538),4),0))))</f>
        <v/>
      </c>
      <c r="AB538" s="13" t="n"/>
      <c r="AC538" s="15">
        <f>IF($B538="","",IF($AB538&lt;&gt;"",$AB538,IF($AA538="","",IF($AA538&lt;=設定!$C$3,0,$AA538))))</f>
        <v/>
      </c>
      <c r="AD538" s="14">
        <f>IF($B538="","",IF(AND($AE538&lt;&gt;"",$AG538="",$AJ538=""),"保留中",IF($AJ538&lt;&gt;"",IF(N($AC538)&gt;0,"支給済","不支給"),IF($AC538="","要確認",IF($AC538=0,"不支給","未処理")))))</f>
        <v/>
      </c>
      <c r="AE538" s="12" t="n"/>
      <c r="AF538" s="11" t="n"/>
      <c r="AG538" s="11" t="n"/>
      <c r="AH538" s="11" t="n"/>
      <c r="AI538" s="14">
        <f>IF(AND($AD538="保留中",$AF538&lt;&gt;""),TODAY()-$AF538,"")</f>
        <v/>
      </c>
      <c r="AJ538" s="12" t="n"/>
      <c r="AK538" s="14">
        <f>IF($B538="","",IF($AO538="","対象年月が未入力／","")&amp;IF($B538="","",IF($AN538="","職員マスタに未登録の職員番号／",IF($Y538="","標準報酬月額が未登録／","")&amp;IF(AND($AO538&lt;&gt;"",OR(AND(INDEX(職員マスタ!$G$6:$G$405,$AN538)&lt;&gt;"",INDEX(職員マスタ!$G$6:$G$405,$AN538)&gt;EOMONTH($AO538,0)),AND(INDEX(職員マスタ!$H$6:$H$405,$AN538)&lt;&gt;"",INDEX(職員マスタ!$H$6:$H$405,$AN538)&lt;$AO538))),"対象月が時短期間外／","")&amp;IF(AND(INDEX(職員マスタ!$F$6:$F$405,$AN538)&lt;&gt;"",$AO538&lt;&gt;"",INDEX(職員マスタ!$F$6:$F$405,$AN538)&lt;$AO538),"対象月に子が2歳到達済／","")&amp;IF(AND($H538&lt;&gt;"",INDEX(職員マスタ!$B$6:$B$405,$AN538)&lt;&gt;"",SUBSTITUTE(SUBSTITUTE($H538," ","")," ","")&lt;&gt;SUBSTITUTE(SUBSTITUTE(INDEX(職員マスタ!$B$6:$B$405,$AN538)," ","")," ","")),"氏名がマスタと相違／","")&amp;IF(AND($Q538&lt;&gt;"",INDEX(職員マスタ!$E$6:$E$405,$AN538)&lt;&gt;"",$Q538&lt;&gt;INDEX(職員マスタ!$E$6:$E$405,$AN538)),"子の生年月日がマスタと相違／","")&amp;IF(AND($L538&lt;&gt;"",INDEX(職員マスタ!$G$6:$G$405,$AN538)&lt;&gt;"",$L538&lt;&gt;INDEX(職員マスタ!$G$6:$G$405,$AN538)),"時短開始日がマスタと相違／","")&amp;IF(AND($M538&lt;&gt;"",INDEX(職員マスタ!$H$6:$H$405,$AN538)&lt;&gt;"",$M538&lt;&gt;INDEX(職員マスタ!$H$6:$H$405,$AN538)),"時短終了日がマスタと相違／","")))&amp;IF(AND($B538&lt;&gt;"",$E538=""),"報酬額が未入力／","")&amp;IF(N($U538)&gt;0,"申請書に入力エラーが残っています／","")&amp;IF(AND($B538&lt;&gt;"",$AO538&lt;&gt;""),IF(COUNTIFS($B$6:$B$3005,$B538,$C$6:$C$3005,$C538,$D$6:$D$3005,$D538)&gt;1,"同じ月の請求が重複しています／",""),"")&amp;IF(AND(N($E538)&gt;0,$Z538&lt;&gt;"",$Z538&lt;&gt;"×",$AC538=0,$AB538=""),"計算額が下限以下のため不支給／",""))</f>
        <v/>
      </c>
      <c r="AL538" s="12" t="n"/>
      <c r="AM538" s="14">
        <f>IF($AD538="保留中",COUNTIF($AD$6:$AD538,"保留中"),"")</f>
        <v/>
      </c>
      <c r="AN538" s="14">
        <f>IF($AO538="","",IF(SUMPRODUCT(MAX((職員マスタ!$A$6:$A$405=$B538)*(((職員マスタ!$G$6:$G$405="")+(職員マスタ!$G$6:$G$405&lt;=EOMONTH($AO538,0)))&gt;0)*(((職員マスタ!$H$6:$H$405="")+(職員マスタ!$H$6:$H$405&gt;=$AO538))&gt;0)*(ROW(職員マスタ!$A$6:$A$405)-5)))&gt;0,SUMPRODUCT(MAX((職員マスタ!$A$6:$A$405=$B538)*(((職員マスタ!$G$6:$G$405="")+(職員マスタ!$G$6:$G$405&lt;=EOMONTH($AO538,0)))&gt;0)*(((職員マスタ!$H$6:$H$405="")+(職員マスタ!$H$6:$H$405&gt;=$AO538))&gt;0)*(ROW(職員マスタ!$A$6:$A$405)-5))),IFERROR(MATCH($B538,職員マスタ!$A$6:$A$405,0),"")))</f>
        <v/>
      </c>
      <c r="AO538" s="16">
        <f>IF(OR($B538="",$C538="",$D538=""),"",DATE($C538+2018,$D538,1))</f>
        <v/>
      </c>
    </row>
    <row r="539">
      <c r="A539" s="11" t="n"/>
      <c r="B539" s="12" t="n"/>
      <c r="C539" s="12" t="n"/>
      <c r="D539" s="12" t="n"/>
      <c r="E539" s="13" t="n"/>
      <c r="F539" s="12" t="n"/>
      <c r="G539" s="13" t="n"/>
      <c r="H539" s="12" t="n"/>
      <c r="I539" s="12" t="n"/>
      <c r="J539" s="12" t="n"/>
      <c r="K539" s="12" t="n"/>
      <c r="L539" s="11" t="n"/>
      <c r="M539" s="11" t="n"/>
      <c r="N539" s="11" t="n"/>
      <c r="O539" s="11" t="n"/>
      <c r="P539" s="12" t="n"/>
      <c r="Q539" s="11" t="n"/>
      <c r="R539" s="12" t="n"/>
      <c r="S539" s="11" t="n"/>
      <c r="T539" s="12" t="n"/>
      <c r="U539" s="12" t="n"/>
      <c r="V539" s="14">
        <f>IF($AN539="",IF($B539="","",$H539),IF(INDEX(職員マスタ!$B$6:$B$405,$AN539)="",$H539,INDEX(職員マスタ!$B$6:$B$405,$AN539)))</f>
        <v/>
      </c>
      <c r="W539" s="14">
        <f>IF($AN539="",IF($B539="","",$R539),IF(INDEX(職員マスタ!$C$6:$C$405,$AN539)="",$R539,INDEX(職員マスタ!$C$6:$C$405,$AN539)))</f>
        <v/>
      </c>
      <c r="X539" s="14">
        <f>IF($AO539="","","R"&amp;$C539&amp;"."&amp;$D539)</f>
        <v/>
      </c>
      <c r="Y539" s="15">
        <f>IF($AN539="","",IF(INDEX(職員マスタ!$K$6:$K$405,$AN539)="","",INDEX(職員マスタ!$K$6:$K$405,$AN539)))</f>
        <v/>
      </c>
      <c r="Z539" s="14">
        <f>IF(OR($E539="",$Y539=""),"",IF($E539&gt;=$Y539,"×",IF($E539&gt;=$Y539*設定!$C$5,"△","○")))</f>
        <v/>
      </c>
      <c r="AA539" s="15">
        <f>IF($Z539="","",IF($Z539="×",0,IF($Z539="○",ROUNDDOWN($E539*設定!$C$4,0),ROUNDDOWN($E539*ROUND((9*$Y539-9*$E539)/(10*$E539),4),0))))</f>
        <v/>
      </c>
      <c r="AB539" s="13" t="n"/>
      <c r="AC539" s="15">
        <f>IF($B539="","",IF($AB539&lt;&gt;"",$AB539,IF($AA539="","",IF($AA539&lt;=設定!$C$3,0,$AA539))))</f>
        <v/>
      </c>
      <c r="AD539" s="14">
        <f>IF($B539="","",IF(AND($AE539&lt;&gt;"",$AG539="",$AJ539=""),"保留中",IF($AJ539&lt;&gt;"",IF(N($AC539)&gt;0,"支給済","不支給"),IF($AC539="","要確認",IF($AC539=0,"不支給","未処理")))))</f>
        <v/>
      </c>
      <c r="AE539" s="12" t="n"/>
      <c r="AF539" s="11" t="n"/>
      <c r="AG539" s="11" t="n"/>
      <c r="AH539" s="11" t="n"/>
      <c r="AI539" s="14">
        <f>IF(AND($AD539="保留中",$AF539&lt;&gt;""),TODAY()-$AF539,"")</f>
        <v/>
      </c>
      <c r="AJ539" s="12" t="n"/>
      <c r="AK539" s="14">
        <f>IF($B539="","",IF($AO539="","対象年月が未入力／","")&amp;IF($B539="","",IF($AN539="","職員マスタに未登録の職員番号／",IF($Y539="","標準報酬月額が未登録／","")&amp;IF(AND($AO539&lt;&gt;"",OR(AND(INDEX(職員マスタ!$G$6:$G$405,$AN539)&lt;&gt;"",INDEX(職員マスタ!$G$6:$G$405,$AN539)&gt;EOMONTH($AO539,0)),AND(INDEX(職員マスタ!$H$6:$H$405,$AN539)&lt;&gt;"",INDEX(職員マスタ!$H$6:$H$405,$AN539)&lt;$AO539))),"対象月が時短期間外／","")&amp;IF(AND(INDEX(職員マスタ!$F$6:$F$405,$AN539)&lt;&gt;"",$AO539&lt;&gt;"",INDEX(職員マスタ!$F$6:$F$405,$AN539)&lt;$AO539),"対象月に子が2歳到達済／","")&amp;IF(AND($H539&lt;&gt;"",INDEX(職員マスタ!$B$6:$B$405,$AN539)&lt;&gt;"",SUBSTITUTE(SUBSTITUTE($H539," ","")," ","")&lt;&gt;SUBSTITUTE(SUBSTITUTE(INDEX(職員マスタ!$B$6:$B$405,$AN539)," ","")," ","")),"氏名がマスタと相違／","")&amp;IF(AND($Q539&lt;&gt;"",INDEX(職員マスタ!$E$6:$E$405,$AN539)&lt;&gt;"",$Q539&lt;&gt;INDEX(職員マスタ!$E$6:$E$405,$AN539)),"子の生年月日がマスタと相違／","")&amp;IF(AND($L539&lt;&gt;"",INDEX(職員マスタ!$G$6:$G$405,$AN539)&lt;&gt;"",$L539&lt;&gt;INDEX(職員マスタ!$G$6:$G$405,$AN539)),"時短開始日がマスタと相違／","")&amp;IF(AND($M539&lt;&gt;"",INDEX(職員マスタ!$H$6:$H$405,$AN539)&lt;&gt;"",$M539&lt;&gt;INDEX(職員マスタ!$H$6:$H$405,$AN539)),"時短終了日がマスタと相違／","")))&amp;IF(AND($B539&lt;&gt;"",$E539=""),"報酬額が未入力／","")&amp;IF(N($U539)&gt;0,"申請書に入力エラーが残っています／","")&amp;IF(AND($B539&lt;&gt;"",$AO539&lt;&gt;""),IF(COUNTIFS($B$6:$B$3005,$B539,$C$6:$C$3005,$C539,$D$6:$D$3005,$D539)&gt;1,"同じ月の請求が重複しています／",""),"")&amp;IF(AND(N($E539)&gt;0,$Z539&lt;&gt;"",$Z539&lt;&gt;"×",$AC539=0,$AB539=""),"計算額が下限以下のため不支給／",""))</f>
        <v/>
      </c>
      <c r="AL539" s="12" t="n"/>
      <c r="AM539" s="14">
        <f>IF($AD539="保留中",COUNTIF($AD$6:$AD539,"保留中"),"")</f>
        <v/>
      </c>
      <c r="AN539" s="14">
        <f>IF($AO539="","",IF(SUMPRODUCT(MAX((職員マスタ!$A$6:$A$405=$B539)*(((職員マスタ!$G$6:$G$405="")+(職員マスタ!$G$6:$G$405&lt;=EOMONTH($AO539,0)))&gt;0)*(((職員マスタ!$H$6:$H$405="")+(職員マスタ!$H$6:$H$405&gt;=$AO539))&gt;0)*(ROW(職員マスタ!$A$6:$A$405)-5)))&gt;0,SUMPRODUCT(MAX((職員マスタ!$A$6:$A$405=$B539)*(((職員マスタ!$G$6:$G$405="")+(職員マスタ!$G$6:$G$405&lt;=EOMONTH($AO539,0)))&gt;0)*(((職員マスタ!$H$6:$H$405="")+(職員マスタ!$H$6:$H$405&gt;=$AO539))&gt;0)*(ROW(職員マスタ!$A$6:$A$405)-5))),IFERROR(MATCH($B539,職員マスタ!$A$6:$A$405,0),"")))</f>
        <v/>
      </c>
      <c r="AO539" s="16">
        <f>IF(OR($B539="",$C539="",$D539=""),"",DATE($C539+2018,$D539,1))</f>
        <v/>
      </c>
    </row>
    <row r="540">
      <c r="A540" s="11" t="n"/>
      <c r="B540" s="12" t="n"/>
      <c r="C540" s="12" t="n"/>
      <c r="D540" s="12" t="n"/>
      <c r="E540" s="13" t="n"/>
      <c r="F540" s="12" t="n"/>
      <c r="G540" s="13" t="n"/>
      <c r="H540" s="12" t="n"/>
      <c r="I540" s="12" t="n"/>
      <c r="J540" s="12" t="n"/>
      <c r="K540" s="12" t="n"/>
      <c r="L540" s="11" t="n"/>
      <c r="M540" s="11" t="n"/>
      <c r="N540" s="11" t="n"/>
      <c r="O540" s="11" t="n"/>
      <c r="P540" s="12" t="n"/>
      <c r="Q540" s="11" t="n"/>
      <c r="R540" s="12" t="n"/>
      <c r="S540" s="11" t="n"/>
      <c r="T540" s="12" t="n"/>
      <c r="U540" s="12" t="n"/>
      <c r="V540" s="14">
        <f>IF($AN540="",IF($B540="","",$H540),IF(INDEX(職員マスタ!$B$6:$B$405,$AN540)="",$H540,INDEX(職員マスタ!$B$6:$B$405,$AN540)))</f>
        <v/>
      </c>
      <c r="W540" s="14">
        <f>IF($AN540="",IF($B540="","",$R540),IF(INDEX(職員マスタ!$C$6:$C$405,$AN540)="",$R540,INDEX(職員マスタ!$C$6:$C$405,$AN540)))</f>
        <v/>
      </c>
      <c r="X540" s="14">
        <f>IF($AO540="","","R"&amp;$C540&amp;"."&amp;$D540)</f>
        <v/>
      </c>
      <c r="Y540" s="15">
        <f>IF($AN540="","",IF(INDEX(職員マスタ!$K$6:$K$405,$AN540)="","",INDEX(職員マスタ!$K$6:$K$405,$AN540)))</f>
        <v/>
      </c>
      <c r="Z540" s="14">
        <f>IF(OR($E540="",$Y540=""),"",IF($E540&gt;=$Y540,"×",IF($E540&gt;=$Y540*設定!$C$5,"△","○")))</f>
        <v/>
      </c>
      <c r="AA540" s="15">
        <f>IF($Z540="","",IF($Z540="×",0,IF($Z540="○",ROUNDDOWN($E540*設定!$C$4,0),ROUNDDOWN($E540*ROUND((9*$Y540-9*$E540)/(10*$E540),4),0))))</f>
        <v/>
      </c>
      <c r="AB540" s="13" t="n"/>
      <c r="AC540" s="15">
        <f>IF($B540="","",IF($AB540&lt;&gt;"",$AB540,IF($AA540="","",IF($AA540&lt;=設定!$C$3,0,$AA540))))</f>
        <v/>
      </c>
      <c r="AD540" s="14">
        <f>IF($B540="","",IF(AND($AE540&lt;&gt;"",$AG540="",$AJ540=""),"保留中",IF($AJ540&lt;&gt;"",IF(N($AC540)&gt;0,"支給済","不支給"),IF($AC540="","要確認",IF($AC540=0,"不支給","未処理")))))</f>
        <v/>
      </c>
      <c r="AE540" s="12" t="n"/>
      <c r="AF540" s="11" t="n"/>
      <c r="AG540" s="11" t="n"/>
      <c r="AH540" s="11" t="n"/>
      <c r="AI540" s="14">
        <f>IF(AND($AD540="保留中",$AF540&lt;&gt;""),TODAY()-$AF540,"")</f>
        <v/>
      </c>
      <c r="AJ540" s="12" t="n"/>
      <c r="AK540" s="14">
        <f>IF($B540="","",IF($AO540="","対象年月が未入力／","")&amp;IF($B540="","",IF($AN540="","職員マスタに未登録の職員番号／",IF($Y540="","標準報酬月額が未登録／","")&amp;IF(AND($AO540&lt;&gt;"",OR(AND(INDEX(職員マスタ!$G$6:$G$405,$AN540)&lt;&gt;"",INDEX(職員マスタ!$G$6:$G$405,$AN540)&gt;EOMONTH($AO540,0)),AND(INDEX(職員マスタ!$H$6:$H$405,$AN540)&lt;&gt;"",INDEX(職員マスタ!$H$6:$H$405,$AN540)&lt;$AO540))),"対象月が時短期間外／","")&amp;IF(AND(INDEX(職員マスタ!$F$6:$F$405,$AN540)&lt;&gt;"",$AO540&lt;&gt;"",INDEX(職員マスタ!$F$6:$F$405,$AN540)&lt;$AO540),"対象月に子が2歳到達済／","")&amp;IF(AND($H540&lt;&gt;"",INDEX(職員マスタ!$B$6:$B$405,$AN540)&lt;&gt;"",SUBSTITUTE(SUBSTITUTE($H540," ","")," ","")&lt;&gt;SUBSTITUTE(SUBSTITUTE(INDEX(職員マスタ!$B$6:$B$405,$AN540)," ","")," ","")),"氏名がマスタと相違／","")&amp;IF(AND($Q540&lt;&gt;"",INDEX(職員マスタ!$E$6:$E$405,$AN540)&lt;&gt;"",$Q540&lt;&gt;INDEX(職員マスタ!$E$6:$E$405,$AN540)),"子の生年月日がマスタと相違／","")&amp;IF(AND($L540&lt;&gt;"",INDEX(職員マスタ!$G$6:$G$405,$AN540)&lt;&gt;"",$L540&lt;&gt;INDEX(職員マスタ!$G$6:$G$405,$AN540)),"時短開始日がマスタと相違／","")&amp;IF(AND($M540&lt;&gt;"",INDEX(職員マスタ!$H$6:$H$405,$AN540)&lt;&gt;"",$M540&lt;&gt;INDEX(職員マスタ!$H$6:$H$405,$AN540)),"時短終了日がマスタと相違／","")))&amp;IF(AND($B540&lt;&gt;"",$E540=""),"報酬額が未入力／","")&amp;IF(N($U540)&gt;0,"申請書に入力エラーが残っています／","")&amp;IF(AND($B540&lt;&gt;"",$AO540&lt;&gt;""),IF(COUNTIFS($B$6:$B$3005,$B540,$C$6:$C$3005,$C540,$D$6:$D$3005,$D540)&gt;1,"同じ月の請求が重複しています／",""),"")&amp;IF(AND(N($E540)&gt;0,$Z540&lt;&gt;"",$Z540&lt;&gt;"×",$AC540=0,$AB540=""),"計算額が下限以下のため不支給／",""))</f>
        <v/>
      </c>
      <c r="AL540" s="12" t="n"/>
      <c r="AM540" s="14">
        <f>IF($AD540="保留中",COUNTIF($AD$6:$AD540,"保留中"),"")</f>
        <v/>
      </c>
      <c r="AN540" s="14">
        <f>IF($AO540="","",IF(SUMPRODUCT(MAX((職員マスタ!$A$6:$A$405=$B540)*(((職員マスタ!$G$6:$G$405="")+(職員マスタ!$G$6:$G$405&lt;=EOMONTH($AO540,0)))&gt;0)*(((職員マスタ!$H$6:$H$405="")+(職員マスタ!$H$6:$H$405&gt;=$AO540))&gt;0)*(ROW(職員マスタ!$A$6:$A$405)-5)))&gt;0,SUMPRODUCT(MAX((職員マスタ!$A$6:$A$405=$B540)*(((職員マスタ!$G$6:$G$405="")+(職員マスタ!$G$6:$G$405&lt;=EOMONTH($AO540,0)))&gt;0)*(((職員マスタ!$H$6:$H$405="")+(職員マスタ!$H$6:$H$405&gt;=$AO540))&gt;0)*(ROW(職員マスタ!$A$6:$A$405)-5))),IFERROR(MATCH($B540,職員マスタ!$A$6:$A$405,0),"")))</f>
        <v/>
      </c>
      <c r="AO540" s="16">
        <f>IF(OR($B540="",$C540="",$D540=""),"",DATE($C540+2018,$D540,1))</f>
        <v/>
      </c>
    </row>
    <row r="541">
      <c r="A541" s="11" t="n"/>
      <c r="B541" s="12" t="n"/>
      <c r="C541" s="12" t="n"/>
      <c r="D541" s="12" t="n"/>
      <c r="E541" s="13" t="n"/>
      <c r="F541" s="12" t="n"/>
      <c r="G541" s="13" t="n"/>
      <c r="H541" s="12" t="n"/>
      <c r="I541" s="12" t="n"/>
      <c r="J541" s="12" t="n"/>
      <c r="K541" s="12" t="n"/>
      <c r="L541" s="11" t="n"/>
      <c r="M541" s="11" t="n"/>
      <c r="N541" s="11" t="n"/>
      <c r="O541" s="11" t="n"/>
      <c r="P541" s="12" t="n"/>
      <c r="Q541" s="11" t="n"/>
      <c r="R541" s="12" t="n"/>
      <c r="S541" s="11" t="n"/>
      <c r="T541" s="12" t="n"/>
      <c r="U541" s="12" t="n"/>
      <c r="V541" s="14">
        <f>IF($AN541="",IF($B541="","",$H541),IF(INDEX(職員マスタ!$B$6:$B$405,$AN541)="",$H541,INDEX(職員マスタ!$B$6:$B$405,$AN541)))</f>
        <v/>
      </c>
      <c r="W541" s="14">
        <f>IF($AN541="",IF($B541="","",$R541),IF(INDEX(職員マスタ!$C$6:$C$405,$AN541)="",$R541,INDEX(職員マスタ!$C$6:$C$405,$AN541)))</f>
        <v/>
      </c>
      <c r="X541" s="14">
        <f>IF($AO541="","","R"&amp;$C541&amp;"."&amp;$D541)</f>
        <v/>
      </c>
      <c r="Y541" s="15">
        <f>IF($AN541="","",IF(INDEX(職員マスタ!$K$6:$K$405,$AN541)="","",INDEX(職員マスタ!$K$6:$K$405,$AN541)))</f>
        <v/>
      </c>
      <c r="Z541" s="14">
        <f>IF(OR($E541="",$Y541=""),"",IF($E541&gt;=$Y541,"×",IF($E541&gt;=$Y541*設定!$C$5,"△","○")))</f>
        <v/>
      </c>
      <c r="AA541" s="15">
        <f>IF($Z541="","",IF($Z541="×",0,IF($Z541="○",ROUNDDOWN($E541*設定!$C$4,0),ROUNDDOWN($E541*ROUND((9*$Y541-9*$E541)/(10*$E541),4),0))))</f>
        <v/>
      </c>
      <c r="AB541" s="13" t="n"/>
      <c r="AC541" s="15">
        <f>IF($B541="","",IF($AB541&lt;&gt;"",$AB541,IF($AA541="","",IF($AA541&lt;=設定!$C$3,0,$AA541))))</f>
        <v/>
      </c>
      <c r="AD541" s="14">
        <f>IF($B541="","",IF(AND($AE541&lt;&gt;"",$AG541="",$AJ541=""),"保留中",IF($AJ541&lt;&gt;"",IF(N($AC541)&gt;0,"支給済","不支給"),IF($AC541="","要確認",IF($AC541=0,"不支給","未処理")))))</f>
        <v/>
      </c>
      <c r="AE541" s="12" t="n"/>
      <c r="AF541" s="11" t="n"/>
      <c r="AG541" s="11" t="n"/>
      <c r="AH541" s="11" t="n"/>
      <c r="AI541" s="14">
        <f>IF(AND($AD541="保留中",$AF541&lt;&gt;""),TODAY()-$AF541,"")</f>
        <v/>
      </c>
      <c r="AJ541" s="12" t="n"/>
      <c r="AK541" s="14">
        <f>IF($B541="","",IF($AO541="","対象年月が未入力／","")&amp;IF($B541="","",IF($AN541="","職員マスタに未登録の職員番号／",IF($Y541="","標準報酬月額が未登録／","")&amp;IF(AND($AO541&lt;&gt;"",OR(AND(INDEX(職員マスタ!$G$6:$G$405,$AN541)&lt;&gt;"",INDEX(職員マスタ!$G$6:$G$405,$AN541)&gt;EOMONTH($AO541,0)),AND(INDEX(職員マスタ!$H$6:$H$405,$AN541)&lt;&gt;"",INDEX(職員マスタ!$H$6:$H$405,$AN541)&lt;$AO541))),"対象月が時短期間外／","")&amp;IF(AND(INDEX(職員マスタ!$F$6:$F$405,$AN541)&lt;&gt;"",$AO541&lt;&gt;"",INDEX(職員マスタ!$F$6:$F$405,$AN541)&lt;$AO541),"対象月に子が2歳到達済／","")&amp;IF(AND($H541&lt;&gt;"",INDEX(職員マスタ!$B$6:$B$405,$AN541)&lt;&gt;"",SUBSTITUTE(SUBSTITUTE($H541," ","")," ","")&lt;&gt;SUBSTITUTE(SUBSTITUTE(INDEX(職員マスタ!$B$6:$B$405,$AN541)," ","")," ","")),"氏名がマスタと相違／","")&amp;IF(AND($Q541&lt;&gt;"",INDEX(職員マスタ!$E$6:$E$405,$AN541)&lt;&gt;"",$Q541&lt;&gt;INDEX(職員マスタ!$E$6:$E$405,$AN541)),"子の生年月日がマスタと相違／","")&amp;IF(AND($L541&lt;&gt;"",INDEX(職員マスタ!$G$6:$G$405,$AN541)&lt;&gt;"",$L541&lt;&gt;INDEX(職員マスタ!$G$6:$G$405,$AN541)),"時短開始日がマスタと相違／","")&amp;IF(AND($M541&lt;&gt;"",INDEX(職員マスタ!$H$6:$H$405,$AN541)&lt;&gt;"",$M541&lt;&gt;INDEX(職員マスタ!$H$6:$H$405,$AN541)),"時短終了日がマスタと相違／","")))&amp;IF(AND($B541&lt;&gt;"",$E541=""),"報酬額が未入力／","")&amp;IF(N($U541)&gt;0,"申請書に入力エラーが残っています／","")&amp;IF(AND($B541&lt;&gt;"",$AO541&lt;&gt;""),IF(COUNTIFS($B$6:$B$3005,$B541,$C$6:$C$3005,$C541,$D$6:$D$3005,$D541)&gt;1,"同じ月の請求が重複しています／",""),"")&amp;IF(AND(N($E541)&gt;0,$Z541&lt;&gt;"",$Z541&lt;&gt;"×",$AC541=0,$AB541=""),"計算額が下限以下のため不支給／",""))</f>
        <v/>
      </c>
      <c r="AL541" s="12" t="n"/>
      <c r="AM541" s="14">
        <f>IF($AD541="保留中",COUNTIF($AD$6:$AD541,"保留中"),"")</f>
        <v/>
      </c>
      <c r="AN541" s="14">
        <f>IF($AO541="","",IF(SUMPRODUCT(MAX((職員マスタ!$A$6:$A$405=$B541)*(((職員マスタ!$G$6:$G$405="")+(職員マスタ!$G$6:$G$405&lt;=EOMONTH($AO541,0)))&gt;0)*(((職員マスタ!$H$6:$H$405="")+(職員マスタ!$H$6:$H$405&gt;=$AO541))&gt;0)*(ROW(職員マスタ!$A$6:$A$405)-5)))&gt;0,SUMPRODUCT(MAX((職員マスタ!$A$6:$A$405=$B541)*(((職員マスタ!$G$6:$G$405="")+(職員マスタ!$G$6:$G$405&lt;=EOMONTH($AO541,0)))&gt;0)*(((職員マスタ!$H$6:$H$405="")+(職員マスタ!$H$6:$H$405&gt;=$AO541))&gt;0)*(ROW(職員マスタ!$A$6:$A$405)-5))),IFERROR(MATCH($B541,職員マスタ!$A$6:$A$405,0),"")))</f>
        <v/>
      </c>
      <c r="AO541" s="16">
        <f>IF(OR($B541="",$C541="",$D541=""),"",DATE($C541+2018,$D541,1))</f>
        <v/>
      </c>
    </row>
    <row r="542">
      <c r="A542" s="11" t="n"/>
      <c r="B542" s="12" t="n"/>
      <c r="C542" s="12" t="n"/>
      <c r="D542" s="12" t="n"/>
      <c r="E542" s="13" t="n"/>
      <c r="F542" s="12" t="n"/>
      <c r="G542" s="13" t="n"/>
      <c r="H542" s="12" t="n"/>
      <c r="I542" s="12" t="n"/>
      <c r="J542" s="12" t="n"/>
      <c r="K542" s="12" t="n"/>
      <c r="L542" s="11" t="n"/>
      <c r="M542" s="11" t="n"/>
      <c r="N542" s="11" t="n"/>
      <c r="O542" s="11" t="n"/>
      <c r="P542" s="12" t="n"/>
      <c r="Q542" s="11" t="n"/>
      <c r="R542" s="12" t="n"/>
      <c r="S542" s="11" t="n"/>
      <c r="T542" s="12" t="n"/>
      <c r="U542" s="12" t="n"/>
      <c r="V542" s="14">
        <f>IF($AN542="",IF($B542="","",$H542),IF(INDEX(職員マスタ!$B$6:$B$405,$AN542)="",$H542,INDEX(職員マスタ!$B$6:$B$405,$AN542)))</f>
        <v/>
      </c>
      <c r="W542" s="14">
        <f>IF($AN542="",IF($B542="","",$R542),IF(INDEX(職員マスタ!$C$6:$C$405,$AN542)="",$R542,INDEX(職員マスタ!$C$6:$C$405,$AN542)))</f>
        <v/>
      </c>
      <c r="X542" s="14">
        <f>IF($AO542="","","R"&amp;$C542&amp;"."&amp;$D542)</f>
        <v/>
      </c>
      <c r="Y542" s="15">
        <f>IF($AN542="","",IF(INDEX(職員マスタ!$K$6:$K$405,$AN542)="","",INDEX(職員マスタ!$K$6:$K$405,$AN542)))</f>
        <v/>
      </c>
      <c r="Z542" s="14">
        <f>IF(OR($E542="",$Y542=""),"",IF($E542&gt;=$Y542,"×",IF($E542&gt;=$Y542*設定!$C$5,"△","○")))</f>
        <v/>
      </c>
      <c r="AA542" s="15">
        <f>IF($Z542="","",IF($Z542="×",0,IF($Z542="○",ROUNDDOWN($E542*設定!$C$4,0),ROUNDDOWN($E542*ROUND((9*$Y542-9*$E542)/(10*$E542),4),0))))</f>
        <v/>
      </c>
      <c r="AB542" s="13" t="n"/>
      <c r="AC542" s="15">
        <f>IF($B542="","",IF($AB542&lt;&gt;"",$AB542,IF($AA542="","",IF($AA542&lt;=設定!$C$3,0,$AA542))))</f>
        <v/>
      </c>
      <c r="AD542" s="14">
        <f>IF($B542="","",IF(AND($AE542&lt;&gt;"",$AG542="",$AJ542=""),"保留中",IF($AJ542&lt;&gt;"",IF(N($AC542)&gt;0,"支給済","不支給"),IF($AC542="","要確認",IF($AC542=0,"不支給","未処理")))))</f>
        <v/>
      </c>
      <c r="AE542" s="12" t="n"/>
      <c r="AF542" s="11" t="n"/>
      <c r="AG542" s="11" t="n"/>
      <c r="AH542" s="11" t="n"/>
      <c r="AI542" s="14">
        <f>IF(AND($AD542="保留中",$AF542&lt;&gt;""),TODAY()-$AF542,"")</f>
        <v/>
      </c>
      <c r="AJ542" s="12" t="n"/>
      <c r="AK542" s="14">
        <f>IF($B542="","",IF($AO542="","対象年月が未入力／","")&amp;IF($B542="","",IF($AN542="","職員マスタに未登録の職員番号／",IF($Y542="","標準報酬月額が未登録／","")&amp;IF(AND($AO542&lt;&gt;"",OR(AND(INDEX(職員マスタ!$G$6:$G$405,$AN542)&lt;&gt;"",INDEX(職員マスタ!$G$6:$G$405,$AN542)&gt;EOMONTH($AO542,0)),AND(INDEX(職員マスタ!$H$6:$H$405,$AN542)&lt;&gt;"",INDEX(職員マスタ!$H$6:$H$405,$AN542)&lt;$AO542))),"対象月が時短期間外／","")&amp;IF(AND(INDEX(職員マスタ!$F$6:$F$405,$AN542)&lt;&gt;"",$AO542&lt;&gt;"",INDEX(職員マスタ!$F$6:$F$405,$AN542)&lt;$AO542),"対象月に子が2歳到達済／","")&amp;IF(AND($H542&lt;&gt;"",INDEX(職員マスタ!$B$6:$B$405,$AN542)&lt;&gt;"",SUBSTITUTE(SUBSTITUTE($H542," ","")," ","")&lt;&gt;SUBSTITUTE(SUBSTITUTE(INDEX(職員マスタ!$B$6:$B$405,$AN542)," ","")," ","")),"氏名がマスタと相違／","")&amp;IF(AND($Q542&lt;&gt;"",INDEX(職員マスタ!$E$6:$E$405,$AN542)&lt;&gt;"",$Q542&lt;&gt;INDEX(職員マスタ!$E$6:$E$405,$AN542)),"子の生年月日がマスタと相違／","")&amp;IF(AND($L542&lt;&gt;"",INDEX(職員マスタ!$G$6:$G$405,$AN542)&lt;&gt;"",$L542&lt;&gt;INDEX(職員マスタ!$G$6:$G$405,$AN542)),"時短開始日がマスタと相違／","")&amp;IF(AND($M542&lt;&gt;"",INDEX(職員マスタ!$H$6:$H$405,$AN542)&lt;&gt;"",$M542&lt;&gt;INDEX(職員マスタ!$H$6:$H$405,$AN542)),"時短終了日がマスタと相違／","")))&amp;IF(AND($B542&lt;&gt;"",$E542=""),"報酬額が未入力／","")&amp;IF(N($U542)&gt;0,"申請書に入力エラーが残っています／","")&amp;IF(AND($B542&lt;&gt;"",$AO542&lt;&gt;""),IF(COUNTIFS($B$6:$B$3005,$B542,$C$6:$C$3005,$C542,$D$6:$D$3005,$D542)&gt;1,"同じ月の請求が重複しています／",""),"")&amp;IF(AND(N($E542)&gt;0,$Z542&lt;&gt;"",$Z542&lt;&gt;"×",$AC542=0,$AB542=""),"計算額が下限以下のため不支給／",""))</f>
        <v/>
      </c>
      <c r="AL542" s="12" t="n"/>
      <c r="AM542" s="14">
        <f>IF($AD542="保留中",COUNTIF($AD$6:$AD542,"保留中"),"")</f>
        <v/>
      </c>
      <c r="AN542" s="14">
        <f>IF($AO542="","",IF(SUMPRODUCT(MAX((職員マスタ!$A$6:$A$405=$B542)*(((職員マスタ!$G$6:$G$405="")+(職員マスタ!$G$6:$G$405&lt;=EOMONTH($AO542,0)))&gt;0)*(((職員マスタ!$H$6:$H$405="")+(職員マスタ!$H$6:$H$405&gt;=$AO542))&gt;0)*(ROW(職員マスタ!$A$6:$A$405)-5)))&gt;0,SUMPRODUCT(MAX((職員マスタ!$A$6:$A$405=$B542)*(((職員マスタ!$G$6:$G$405="")+(職員マスタ!$G$6:$G$405&lt;=EOMONTH($AO542,0)))&gt;0)*(((職員マスタ!$H$6:$H$405="")+(職員マスタ!$H$6:$H$405&gt;=$AO542))&gt;0)*(ROW(職員マスタ!$A$6:$A$405)-5))),IFERROR(MATCH($B542,職員マスタ!$A$6:$A$405,0),"")))</f>
        <v/>
      </c>
      <c r="AO542" s="16">
        <f>IF(OR($B542="",$C542="",$D542=""),"",DATE($C542+2018,$D542,1))</f>
        <v/>
      </c>
    </row>
    <row r="543">
      <c r="A543" s="11" t="n"/>
      <c r="B543" s="12" t="n"/>
      <c r="C543" s="12" t="n"/>
      <c r="D543" s="12" t="n"/>
      <c r="E543" s="13" t="n"/>
      <c r="F543" s="12" t="n"/>
      <c r="G543" s="13" t="n"/>
      <c r="H543" s="12" t="n"/>
      <c r="I543" s="12" t="n"/>
      <c r="J543" s="12" t="n"/>
      <c r="K543" s="12" t="n"/>
      <c r="L543" s="11" t="n"/>
      <c r="M543" s="11" t="n"/>
      <c r="N543" s="11" t="n"/>
      <c r="O543" s="11" t="n"/>
      <c r="P543" s="12" t="n"/>
      <c r="Q543" s="11" t="n"/>
      <c r="R543" s="12" t="n"/>
      <c r="S543" s="11" t="n"/>
      <c r="T543" s="12" t="n"/>
      <c r="U543" s="12" t="n"/>
      <c r="V543" s="14">
        <f>IF($AN543="",IF($B543="","",$H543),IF(INDEX(職員マスタ!$B$6:$B$405,$AN543)="",$H543,INDEX(職員マスタ!$B$6:$B$405,$AN543)))</f>
        <v/>
      </c>
      <c r="W543" s="14">
        <f>IF($AN543="",IF($B543="","",$R543),IF(INDEX(職員マスタ!$C$6:$C$405,$AN543)="",$R543,INDEX(職員マスタ!$C$6:$C$405,$AN543)))</f>
        <v/>
      </c>
      <c r="X543" s="14">
        <f>IF($AO543="","","R"&amp;$C543&amp;"."&amp;$D543)</f>
        <v/>
      </c>
      <c r="Y543" s="15">
        <f>IF($AN543="","",IF(INDEX(職員マスタ!$K$6:$K$405,$AN543)="","",INDEX(職員マスタ!$K$6:$K$405,$AN543)))</f>
        <v/>
      </c>
      <c r="Z543" s="14">
        <f>IF(OR($E543="",$Y543=""),"",IF($E543&gt;=$Y543,"×",IF($E543&gt;=$Y543*設定!$C$5,"△","○")))</f>
        <v/>
      </c>
      <c r="AA543" s="15">
        <f>IF($Z543="","",IF($Z543="×",0,IF($Z543="○",ROUNDDOWN($E543*設定!$C$4,0),ROUNDDOWN($E543*ROUND((9*$Y543-9*$E543)/(10*$E543),4),0))))</f>
        <v/>
      </c>
      <c r="AB543" s="13" t="n"/>
      <c r="AC543" s="15">
        <f>IF($B543="","",IF($AB543&lt;&gt;"",$AB543,IF($AA543="","",IF($AA543&lt;=設定!$C$3,0,$AA543))))</f>
        <v/>
      </c>
      <c r="AD543" s="14">
        <f>IF($B543="","",IF(AND($AE543&lt;&gt;"",$AG543="",$AJ543=""),"保留中",IF($AJ543&lt;&gt;"",IF(N($AC543)&gt;0,"支給済","不支給"),IF($AC543="","要確認",IF($AC543=0,"不支給","未処理")))))</f>
        <v/>
      </c>
      <c r="AE543" s="12" t="n"/>
      <c r="AF543" s="11" t="n"/>
      <c r="AG543" s="11" t="n"/>
      <c r="AH543" s="11" t="n"/>
      <c r="AI543" s="14">
        <f>IF(AND($AD543="保留中",$AF543&lt;&gt;""),TODAY()-$AF543,"")</f>
        <v/>
      </c>
      <c r="AJ543" s="12" t="n"/>
      <c r="AK543" s="14">
        <f>IF($B543="","",IF($AO543="","対象年月が未入力／","")&amp;IF($B543="","",IF($AN543="","職員マスタに未登録の職員番号／",IF($Y543="","標準報酬月額が未登録／","")&amp;IF(AND($AO543&lt;&gt;"",OR(AND(INDEX(職員マスタ!$G$6:$G$405,$AN543)&lt;&gt;"",INDEX(職員マスタ!$G$6:$G$405,$AN543)&gt;EOMONTH($AO543,0)),AND(INDEX(職員マスタ!$H$6:$H$405,$AN543)&lt;&gt;"",INDEX(職員マスタ!$H$6:$H$405,$AN543)&lt;$AO543))),"対象月が時短期間外／","")&amp;IF(AND(INDEX(職員マスタ!$F$6:$F$405,$AN543)&lt;&gt;"",$AO543&lt;&gt;"",INDEX(職員マスタ!$F$6:$F$405,$AN543)&lt;$AO543),"対象月に子が2歳到達済／","")&amp;IF(AND($H543&lt;&gt;"",INDEX(職員マスタ!$B$6:$B$405,$AN543)&lt;&gt;"",SUBSTITUTE(SUBSTITUTE($H543," ","")," ","")&lt;&gt;SUBSTITUTE(SUBSTITUTE(INDEX(職員マスタ!$B$6:$B$405,$AN543)," ","")," ","")),"氏名がマスタと相違／","")&amp;IF(AND($Q543&lt;&gt;"",INDEX(職員マスタ!$E$6:$E$405,$AN543)&lt;&gt;"",$Q543&lt;&gt;INDEX(職員マスタ!$E$6:$E$405,$AN543)),"子の生年月日がマスタと相違／","")&amp;IF(AND($L543&lt;&gt;"",INDEX(職員マスタ!$G$6:$G$405,$AN543)&lt;&gt;"",$L543&lt;&gt;INDEX(職員マスタ!$G$6:$G$405,$AN543)),"時短開始日がマスタと相違／","")&amp;IF(AND($M543&lt;&gt;"",INDEX(職員マスタ!$H$6:$H$405,$AN543)&lt;&gt;"",$M543&lt;&gt;INDEX(職員マスタ!$H$6:$H$405,$AN543)),"時短終了日がマスタと相違／","")))&amp;IF(AND($B543&lt;&gt;"",$E543=""),"報酬額が未入力／","")&amp;IF(N($U543)&gt;0,"申請書に入力エラーが残っています／","")&amp;IF(AND($B543&lt;&gt;"",$AO543&lt;&gt;""),IF(COUNTIFS($B$6:$B$3005,$B543,$C$6:$C$3005,$C543,$D$6:$D$3005,$D543)&gt;1,"同じ月の請求が重複しています／",""),"")&amp;IF(AND(N($E543)&gt;0,$Z543&lt;&gt;"",$Z543&lt;&gt;"×",$AC543=0,$AB543=""),"計算額が下限以下のため不支給／",""))</f>
        <v/>
      </c>
      <c r="AL543" s="12" t="n"/>
      <c r="AM543" s="14">
        <f>IF($AD543="保留中",COUNTIF($AD$6:$AD543,"保留中"),"")</f>
        <v/>
      </c>
      <c r="AN543" s="14">
        <f>IF($AO543="","",IF(SUMPRODUCT(MAX((職員マスタ!$A$6:$A$405=$B543)*(((職員マスタ!$G$6:$G$405="")+(職員マスタ!$G$6:$G$405&lt;=EOMONTH($AO543,0)))&gt;0)*(((職員マスタ!$H$6:$H$405="")+(職員マスタ!$H$6:$H$405&gt;=$AO543))&gt;0)*(ROW(職員マスタ!$A$6:$A$405)-5)))&gt;0,SUMPRODUCT(MAX((職員マスタ!$A$6:$A$405=$B543)*(((職員マスタ!$G$6:$G$405="")+(職員マスタ!$G$6:$G$405&lt;=EOMONTH($AO543,0)))&gt;0)*(((職員マスタ!$H$6:$H$405="")+(職員マスタ!$H$6:$H$405&gt;=$AO543))&gt;0)*(ROW(職員マスタ!$A$6:$A$405)-5))),IFERROR(MATCH($B543,職員マスタ!$A$6:$A$405,0),"")))</f>
        <v/>
      </c>
      <c r="AO543" s="16">
        <f>IF(OR($B543="",$C543="",$D543=""),"",DATE($C543+2018,$D543,1))</f>
        <v/>
      </c>
    </row>
    <row r="544">
      <c r="A544" s="11" t="n"/>
      <c r="B544" s="12" t="n"/>
      <c r="C544" s="12" t="n"/>
      <c r="D544" s="12" t="n"/>
      <c r="E544" s="13" t="n"/>
      <c r="F544" s="12" t="n"/>
      <c r="G544" s="13" t="n"/>
      <c r="H544" s="12" t="n"/>
      <c r="I544" s="12" t="n"/>
      <c r="J544" s="12" t="n"/>
      <c r="K544" s="12" t="n"/>
      <c r="L544" s="11" t="n"/>
      <c r="M544" s="11" t="n"/>
      <c r="N544" s="11" t="n"/>
      <c r="O544" s="11" t="n"/>
      <c r="P544" s="12" t="n"/>
      <c r="Q544" s="11" t="n"/>
      <c r="R544" s="12" t="n"/>
      <c r="S544" s="11" t="n"/>
      <c r="T544" s="12" t="n"/>
      <c r="U544" s="12" t="n"/>
      <c r="V544" s="14">
        <f>IF($AN544="",IF($B544="","",$H544),IF(INDEX(職員マスタ!$B$6:$B$405,$AN544)="",$H544,INDEX(職員マスタ!$B$6:$B$405,$AN544)))</f>
        <v/>
      </c>
      <c r="W544" s="14">
        <f>IF($AN544="",IF($B544="","",$R544),IF(INDEX(職員マスタ!$C$6:$C$405,$AN544)="",$R544,INDEX(職員マスタ!$C$6:$C$405,$AN544)))</f>
        <v/>
      </c>
      <c r="X544" s="14">
        <f>IF($AO544="","","R"&amp;$C544&amp;"."&amp;$D544)</f>
        <v/>
      </c>
      <c r="Y544" s="15">
        <f>IF($AN544="","",IF(INDEX(職員マスタ!$K$6:$K$405,$AN544)="","",INDEX(職員マスタ!$K$6:$K$405,$AN544)))</f>
        <v/>
      </c>
      <c r="Z544" s="14">
        <f>IF(OR($E544="",$Y544=""),"",IF($E544&gt;=$Y544,"×",IF($E544&gt;=$Y544*設定!$C$5,"△","○")))</f>
        <v/>
      </c>
      <c r="AA544" s="15">
        <f>IF($Z544="","",IF($Z544="×",0,IF($Z544="○",ROUNDDOWN($E544*設定!$C$4,0),ROUNDDOWN($E544*ROUND((9*$Y544-9*$E544)/(10*$E544),4),0))))</f>
        <v/>
      </c>
      <c r="AB544" s="13" t="n"/>
      <c r="AC544" s="15">
        <f>IF($B544="","",IF($AB544&lt;&gt;"",$AB544,IF($AA544="","",IF($AA544&lt;=設定!$C$3,0,$AA544))))</f>
        <v/>
      </c>
      <c r="AD544" s="14">
        <f>IF($B544="","",IF(AND($AE544&lt;&gt;"",$AG544="",$AJ544=""),"保留中",IF($AJ544&lt;&gt;"",IF(N($AC544)&gt;0,"支給済","不支給"),IF($AC544="","要確認",IF($AC544=0,"不支給","未処理")))))</f>
        <v/>
      </c>
      <c r="AE544" s="12" t="n"/>
      <c r="AF544" s="11" t="n"/>
      <c r="AG544" s="11" t="n"/>
      <c r="AH544" s="11" t="n"/>
      <c r="AI544" s="14">
        <f>IF(AND($AD544="保留中",$AF544&lt;&gt;""),TODAY()-$AF544,"")</f>
        <v/>
      </c>
      <c r="AJ544" s="12" t="n"/>
      <c r="AK544" s="14">
        <f>IF($B544="","",IF($AO544="","対象年月が未入力／","")&amp;IF($B544="","",IF($AN544="","職員マスタに未登録の職員番号／",IF($Y544="","標準報酬月額が未登録／","")&amp;IF(AND($AO544&lt;&gt;"",OR(AND(INDEX(職員マスタ!$G$6:$G$405,$AN544)&lt;&gt;"",INDEX(職員マスタ!$G$6:$G$405,$AN544)&gt;EOMONTH($AO544,0)),AND(INDEX(職員マスタ!$H$6:$H$405,$AN544)&lt;&gt;"",INDEX(職員マスタ!$H$6:$H$405,$AN544)&lt;$AO544))),"対象月が時短期間外／","")&amp;IF(AND(INDEX(職員マスタ!$F$6:$F$405,$AN544)&lt;&gt;"",$AO544&lt;&gt;"",INDEX(職員マスタ!$F$6:$F$405,$AN544)&lt;$AO544),"対象月に子が2歳到達済／","")&amp;IF(AND($H544&lt;&gt;"",INDEX(職員マスタ!$B$6:$B$405,$AN544)&lt;&gt;"",SUBSTITUTE(SUBSTITUTE($H544," ","")," ","")&lt;&gt;SUBSTITUTE(SUBSTITUTE(INDEX(職員マスタ!$B$6:$B$405,$AN544)," ","")," ","")),"氏名がマスタと相違／","")&amp;IF(AND($Q544&lt;&gt;"",INDEX(職員マスタ!$E$6:$E$405,$AN544)&lt;&gt;"",$Q544&lt;&gt;INDEX(職員マスタ!$E$6:$E$405,$AN544)),"子の生年月日がマスタと相違／","")&amp;IF(AND($L544&lt;&gt;"",INDEX(職員マスタ!$G$6:$G$405,$AN544)&lt;&gt;"",$L544&lt;&gt;INDEX(職員マスタ!$G$6:$G$405,$AN544)),"時短開始日がマスタと相違／","")&amp;IF(AND($M544&lt;&gt;"",INDEX(職員マスタ!$H$6:$H$405,$AN544)&lt;&gt;"",$M544&lt;&gt;INDEX(職員マスタ!$H$6:$H$405,$AN544)),"時短終了日がマスタと相違／","")))&amp;IF(AND($B544&lt;&gt;"",$E544=""),"報酬額が未入力／","")&amp;IF(N($U544)&gt;0,"申請書に入力エラーが残っています／","")&amp;IF(AND($B544&lt;&gt;"",$AO544&lt;&gt;""),IF(COUNTIFS($B$6:$B$3005,$B544,$C$6:$C$3005,$C544,$D$6:$D$3005,$D544)&gt;1,"同じ月の請求が重複しています／",""),"")&amp;IF(AND(N($E544)&gt;0,$Z544&lt;&gt;"",$Z544&lt;&gt;"×",$AC544=0,$AB544=""),"計算額が下限以下のため不支給／",""))</f>
        <v/>
      </c>
      <c r="AL544" s="12" t="n"/>
      <c r="AM544" s="14">
        <f>IF($AD544="保留中",COUNTIF($AD$6:$AD544,"保留中"),"")</f>
        <v/>
      </c>
      <c r="AN544" s="14">
        <f>IF($AO544="","",IF(SUMPRODUCT(MAX((職員マスタ!$A$6:$A$405=$B544)*(((職員マスタ!$G$6:$G$405="")+(職員マスタ!$G$6:$G$405&lt;=EOMONTH($AO544,0)))&gt;0)*(((職員マスタ!$H$6:$H$405="")+(職員マスタ!$H$6:$H$405&gt;=$AO544))&gt;0)*(ROW(職員マスタ!$A$6:$A$405)-5)))&gt;0,SUMPRODUCT(MAX((職員マスタ!$A$6:$A$405=$B544)*(((職員マスタ!$G$6:$G$405="")+(職員マスタ!$G$6:$G$405&lt;=EOMONTH($AO544,0)))&gt;0)*(((職員マスタ!$H$6:$H$405="")+(職員マスタ!$H$6:$H$405&gt;=$AO544))&gt;0)*(ROW(職員マスタ!$A$6:$A$405)-5))),IFERROR(MATCH($B544,職員マスタ!$A$6:$A$405,0),"")))</f>
        <v/>
      </c>
      <c r="AO544" s="16">
        <f>IF(OR($B544="",$C544="",$D544=""),"",DATE($C544+2018,$D544,1))</f>
        <v/>
      </c>
    </row>
    <row r="545">
      <c r="A545" s="11" t="n"/>
      <c r="B545" s="12" t="n"/>
      <c r="C545" s="12" t="n"/>
      <c r="D545" s="12" t="n"/>
      <c r="E545" s="13" t="n"/>
      <c r="F545" s="12" t="n"/>
      <c r="G545" s="13" t="n"/>
      <c r="H545" s="12" t="n"/>
      <c r="I545" s="12" t="n"/>
      <c r="J545" s="12" t="n"/>
      <c r="K545" s="12" t="n"/>
      <c r="L545" s="11" t="n"/>
      <c r="M545" s="11" t="n"/>
      <c r="N545" s="11" t="n"/>
      <c r="O545" s="11" t="n"/>
      <c r="P545" s="12" t="n"/>
      <c r="Q545" s="11" t="n"/>
      <c r="R545" s="12" t="n"/>
      <c r="S545" s="11" t="n"/>
      <c r="T545" s="12" t="n"/>
      <c r="U545" s="12" t="n"/>
      <c r="V545" s="14">
        <f>IF($AN545="",IF($B545="","",$H545),IF(INDEX(職員マスタ!$B$6:$B$405,$AN545)="",$H545,INDEX(職員マスタ!$B$6:$B$405,$AN545)))</f>
        <v/>
      </c>
      <c r="W545" s="14">
        <f>IF($AN545="",IF($B545="","",$R545),IF(INDEX(職員マスタ!$C$6:$C$405,$AN545)="",$R545,INDEX(職員マスタ!$C$6:$C$405,$AN545)))</f>
        <v/>
      </c>
      <c r="X545" s="14">
        <f>IF($AO545="","","R"&amp;$C545&amp;"."&amp;$D545)</f>
        <v/>
      </c>
      <c r="Y545" s="15">
        <f>IF($AN545="","",IF(INDEX(職員マスタ!$K$6:$K$405,$AN545)="","",INDEX(職員マスタ!$K$6:$K$405,$AN545)))</f>
        <v/>
      </c>
      <c r="Z545" s="14">
        <f>IF(OR($E545="",$Y545=""),"",IF($E545&gt;=$Y545,"×",IF($E545&gt;=$Y545*設定!$C$5,"△","○")))</f>
        <v/>
      </c>
      <c r="AA545" s="15">
        <f>IF($Z545="","",IF($Z545="×",0,IF($Z545="○",ROUNDDOWN($E545*設定!$C$4,0),ROUNDDOWN($E545*ROUND((9*$Y545-9*$E545)/(10*$E545),4),0))))</f>
        <v/>
      </c>
      <c r="AB545" s="13" t="n"/>
      <c r="AC545" s="15">
        <f>IF($B545="","",IF($AB545&lt;&gt;"",$AB545,IF($AA545="","",IF($AA545&lt;=設定!$C$3,0,$AA545))))</f>
        <v/>
      </c>
      <c r="AD545" s="14">
        <f>IF($B545="","",IF(AND($AE545&lt;&gt;"",$AG545="",$AJ545=""),"保留中",IF($AJ545&lt;&gt;"",IF(N($AC545)&gt;0,"支給済","不支給"),IF($AC545="","要確認",IF($AC545=0,"不支給","未処理")))))</f>
        <v/>
      </c>
      <c r="AE545" s="12" t="n"/>
      <c r="AF545" s="11" t="n"/>
      <c r="AG545" s="11" t="n"/>
      <c r="AH545" s="11" t="n"/>
      <c r="AI545" s="14">
        <f>IF(AND($AD545="保留中",$AF545&lt;&gt;""),TODAY()-$AF545,"")</f>
        <v/>
      </c>
      <c r="AJ545" s="12" t="n"/>
      <c r="AK545" s="14">
        <f>IF($B545="","",IF($AO545="","対象年月が未入力／","")&amp;IF($B545="","",IF($AN545="","職員マスタに未登録の職員番号／",IF($Y545="","標準報酬月額が未登録／","")&amp;IF(AND($AO545&lt;&gt;"",OR(AND(INDEX(職員マスタ!$G$6:$G$405,$AN545)&lt;&gt;"",INDEX(職員マスタ!$G$6:$G$405,$AN545)&gt;EOMONTH($AO545,0)),AND(INDEX(職員マスタ!$H$6:$H$405,$AN545)&lt;&gt;"",INDEX(職員マスタ!$H$6:$H$405,$AN545)&lt;$AO545))),"対象月が時短期間外／","")&amp;IF(AND(INDEX(職員マスタ!$F$6:$F$405,$AN545)&lt;&gt;"",$AO545&lt;&gt;"",INDEX(職員マスタ!$F$6:$F$405,$AN545)&lt;$AO545),"対象月に子が2歳到達済／","")&amp;IF(AND($H545&lt;&gt;"",INDEX(職員マスタ!$B$6:$B$405,$AN545)&lt;&gt;"",SUBSTITUTE(SUBSTITUTE($H545," ","")," ","")&lt;&gt;SUBSTITUTE(SUBSTITUTE(INDEX(職員マスタ!$B$6:$B$405,$AN545)," ","")," ","")),"氏名がマスタと相違／","")&amp;IF(AND($Q545&lt;&gt;"",INDEX(職員マスタ!$E$6:$E$405,$AN545)&lt;&gt;"",$Q545&lt;&gt;INDEX(職員マスタ!$E$6:$E$405,$AN545)),"子の生年月日がマスタと相違／","")&amp;IF(AND($L545&lt;&gt;"",INDEX(職員マスタ!$G$6:$G$405,$AN545)&lt;&gt;"",$L545&lt;&gt;INDEX(職員マスタ!$G$6:$G$405,$AN545)),"時短開始日がマスタと相違／","")&amp;IF(AND($M545&lt;&gt;"",INDEX(職員マスタ!$H$6:$H$405,$AN545)&lt;&gt;"",$M545&lt;&gt;INDEX(職員マスタ!$H$6:$H$405,$AN545)),"時短終了日がマスタと相違／","")))&amp;IF(AND($B545&lt;&gt;"",$E545=""),"報酬額が未入力／","")&amp;IF(N($U545)&gt;0,"申請書に入力エラーが残っています／","")&amp;IF(AND($B545&lt;&gt;"",$AO545&lt;&gt;""),IF(COUNTIFS($B$6:$B$3005,$B545,$C$6:$C$3005,$C545,$D$6:$D$3005,$D545)&gt;1,"同じ月の請求が重複しています／",""),"")&amp;IF(AND(N($E545)&gt;0,$Z545&lt;&gt;"",$Z545&lt;&gt;"×",$AC545=0,$AB545=""),"計算額が下限以下のため不支給／",""))</f>
        <v/>
      </c>
      <c r="AL545" s="12" t="n"/>
      <c r="AM545" s="14">
        <f>IF($AD545="保留中",COUNTIF($AD$6:$AD545,"保留中"),"")</f>
        <v/>
      </c>
      <c r="AN545" s="14">
        <f>IF($AO545="","",IF(SUMPRODUCT(MAX((職員マスタ!$A$6:$A$405=$B545)*(((職員マスタ!$G$6:$G$405="")+(職員マスタ!$G$6:$G$405&lt;=EOMONTH($AO545,0)))&gt;0)*(((職員マスタ!$H$6:$H$405="")+(職員マスタ!$H$6:$H$405&gt;=$AO545))&gt;0)*(ROW(職員マスタ!$A$6:$A$405)-5)))&gt;0,SUMPRODUCT(MAX((職員マスタ!$A$6:$A$405=$B545)*(((職員マスタ!$G$6:$G$405="")+(職員マスタ!$G$6:$G$405&lt;=EOMONTH($AO545,0)))&gt;0)*(((職員マスタ!$H$6:$H$405="")+(職員マスタ!$H$6:$H$405&gt;=$AO545))&gt;0)*(ROW(職員マスタ!$A$6:$A$405)-5))),IFERROR(MATCH($B545,職員マスタ!$A$6:$A$405,0),"")))</f>
        <v/>
      </c>
      <c r="AO545" s="16">
        <f>IF(OR($B545="",$C545="",$D545=""),"",DATE($C545+2018,$D545,1))</f>
        <v/>
      </c>
    </row>
    <row r="546">
      <c r="A546" s="11" t="n"/>
      <c r="B546" s="12" t="n"/>
      <c r="C546" s="12" t="n"/>
      <c r="D546" s="12" t="n"/>
      <c r="E546" s="13" t="n"/>
      <c r="F546" s="12" t="n"/>
      <c r="G546" s="13" t="n"/>
      <c r="H546" s="12" t="n"/>
      <c r="I546" s="12" t="n"/>
      <c r="J546" s="12" t="n"/>
      <c r="K546" s="12" t="n"/>
      <c r="L546" s="11" t="n"/>
      <c r="M546" s="11" t="n"/>
      <c r="N546" s="11" t="n"/>
      <c r="O546" s="11" t="n"/>
      <c r="P546" s="12" t="n"/>
      <c r="Q546" s="11" t="n"/>
      <c r="R546" s="12" t="n"/>
      <c r="S546" s="11" t="n"/>
      <c r="T546" s="12" t="n"/>
      <c r="U546" s="12" t="n"/>
      <c r="V546" s="14">
        <f>IF($AN546="",IF($B546="","",$H546),IF(INDEX(職員マスタ!$B$6:$B$405,$AN546)="",$H546,INDEX(職員マスタ!$B$6:$B$405,$AN546)))</f>
        <v/>
      </c>
      <c r="W546" s="14">
        <f>IF($AN546="",IF($B546="","",$R546),IF(INDEX(職員マスタ!$C$6:$C$405,$AN546)="",$R546,INDEX(職員マスタ!$C$6:$C$405,$AN546)))</f>
        <v/>
      </c>
      <c r="X546" s="14">
        <f>IF($AO546="","","R"&amp;$C546&amp;"."&amp;$D546)</f>
        <v/>
      </c>
      <c r="Y546" s="15">
        <f>IF($AN546="","",IF(INDEX(職員マスタ!$K$6:$K$405,$AN546)="","",INDEX(職員マスタ!$K$6:$K$405,$AN546)))</f>
        <v/>
      </c>
      <c r="Z546" s="14">
        <f>IF(OR($E546="",$Y546=""),"",IF($E546&gt;=$Y546,"×",IF($E546&gt;=$Y546*設定!$C$5,"△","○")))</f>
        <v/>
      </c>
      <c r="AA546" s="15">
        <f>IF($Z546="","",IF($Z546="×",0,IF($Z546="○",ROUNDDOWN($E546*設定!$C$4,0),ROUNDDOWN($E546*ROUND((9*$Y546-9*$E546)/(10*$E546),4),0))))</f>
        <v/>
      </c>
      <c r="AB546" s="13" t="n"/>
      <c r="AC546" s="15">
        <f>IF($B546="","",IF($AB546&lt;&gt;"",$AB546,IF($AA546="","",IF($AA546&lt;=設定!$C$3,0,$AA546))))</f>
        <v/>
      </c>
      <c r="AD546" s="14">
        <f>IF($B546="","",IF(AND($AE546&lt;&gt;"",$AG546="",$AJ546=""),"保留中",IF($AJ546&lt;&gt;"",IF(N($AC546)&gt;0,"支給済","不支給"),IF($AC546="","要確認",IF($AC546=0,"不支給","未処理")))))</f>
        <v/>
      </c>
      <c r="AE546" s="12" t="n"/>
      <c r="AF546" s="11" t="n"/>
      <c r="AG546" s="11" t="n"/>
      <c r="AH546" s="11" t="n"/>
      <c r="AI546" s="14">
        <f>IF(AND($AD546="保留中",$AF546&lt;&gt;""),TODAY()-$AF546,"")</f>
        <v/>
      </c>
      <c r="AJ546" s="12" t="n"/>
      <c r="AK546" s="14">
        <f>IF($B546="","",IF($AO546="","対象年月が未入力／","")&amp;IF($B546="","",IF($AN546="","職員マスタに未登録の職員番号／",IF($Y546="","標準報酬月額が未登録／","")&amp;IF(AND($AO546&lt;&gt;"",OR(AND(INDEX(職員マスタ!$G$6:$G$405,$AN546)&lt;&gt;"",INDEX(職員マスタ!$G$6:$G$405,$AN546)&gt;EOMONTH($AO546,0)),AND(INDEX(職員マスタ!$H$6:$H$405,$AN546)&lt;&gt;"",INDEX(職員マスタ!$H$6:$H$405,$AN546)&lt;$AO546))),"対象月が時短期間外／","")&amp;IF(AND(INDEX(職員マスタ!$F$6:$F$405,$AN546)&lt;&gt;"",$AO546&lt;&gt;"",INDEX(職員マスタ!$F$6:$F$405,$AN546)&lt;$AO546),"対象月に子が2歳到達済／","")&amp;IF(AND($H546&lt;&gt;"",INDEX(職員マスタ!$B$6:$B$405,$AN546)&lt;&gt;"",SUBSTITUTE(SUBSTITUTE($H546," ","")," ","")&lt;&gt;SUBSTITUTE(SUBSTITUTE(INDEX(職員マスタ!$B$6:$B$405,$AN546)," ","")," ","")),"氏名がマスタと相違／","")&amp;IF(AND($Q546&lt;&gt;"",INDEX(職員マスタ!$E$6:$E$405,$AN546)&lt;&gt;"",$Q546&lt;&gt;INDEX(職員マスタ!$E$6:$E$405,$AN546)),"子の生年月日がマスタと相違／","")&amp;IF(AND($L546&lt;&gt;"",INDEX(職員マスタ!$G$6:$G$405,$AN546)&lt;&gt;"",$L546&lt;&gt;INDEX(職員マスタ!$G$6:$G$405,$AN546)),"時短開始日がマスタと相違／","")&amp;IF(AND($M546&lt;&gt;"",INDEX(職員マスタ!$H$6:$H$405,$AN546)&lt;&gt;"",$M546&lt;&gt;INDEX(職員マスタ!$H$6:$H$405,$AN546)),"時短終了日がマスタと相違／","")))&amp;IF(AND($B546&lt;&gt;"",$E546=""),"報酬額が未入力／","")&amp;IF(N($U546)&gt;0,"申請書に入力エラーが残っています／","")&amp;IF(AND($B546&lt;&gt;"",$AO546&lt;&gt;""),IF(COUNTIFS($B$6:$B$3005,$B546,$C$6:$C$3005,$C546,$D$6:$D$3005,$D546)&gt;1,"同じ月の請求が重複しています／",""),"")&amp;IF(AND(N($E546)&gt;0,$Z546&lt;&gt;"",$Z546&lt;&gt;"×",$AC546=0,$AB546=""),"計算額が下限以下のため不支給／",""))</f>
        <v/>
      </c>
      <c r="AL546" s="12" t="n"/>
      <c r="AM546" s="14">
        <f>IF($AD546="保留中",COUNTIF($AD$6:$AD546,"保留中"),"")</f>
        <v/>
      </c>
      <c r="AN546" s="14">
        <f>IF($AO546="","",IF(SUMPRODUCT(MAX((職員マスタ!$A$6:$A$405=$B546)*(((職員マスタ!$G$6:$G$405="")+(職員マスタ!$G$6:$G$405&lt;=EOMONTH($AO546,0)))&gt;0)*(((職員マスタ!$H$6:$H$405="")+(職員マスタ!$H$6:$H$405&gt;=$AO546))&gt;0)*(ROW(職員マスタ!$A$6:$A$405)-5)))&gt;0,SUMPRODUCT(MAX((職員マスタ!$A$6:$A$405=$B546)*(((職員マスタ!$G$6:$G$405="")+(職員マスタ!$G$6:$G$405&lt;=EOMONTH($AO546,0)))&gt;0)*(((職員マスタ!$H$6:$H$405="")+(職員マスタ!$H$6:$H$405&gt;=$AO546))&gt;0)*(ROW(職員マスタ!$A$6:$A$405)-5))),IFERROR(MATCH($B546,職員マスタ!$A$6:$A$405,0),"")))</f>
        <v/>
      </c>
      <c r="AO546" s="16">
        <f>IF(OR($B546="",$C546="",$D546=""),"",DATE($C546+2018,$D546,1))</f>
        <v/>
      </c>
    </row>
    <row r="547">
      <c r="A547" s="11" t="n"/>
      <c r="B547" s="12" t="n"/>
      <c r="C547" s="12" t="n"/>
      <c r="D547" s="12" t="n"/>
      <c r="E547" s="13" t="n"/>
      <c r="F547" s="12" t="n"/>
      <c r="G547" s="13" t="n"/>
      <c r="H547" s="12" t="n"/>
      <c r="I547" s="12" t="n"/>
      <c r="J547" s="12" t="n"/>
      <c r="K547" s="12" t="n"/>
      <c r="L547" s="11" t="n"/>
      <c r="M547" s="11" t="n"/>
      <c r="N547" s="11" t="n"/>
      <c r="O547" s="11" t="n"/>
      <c r="P547" s="12" t="n"/>
      <c r="Q547" s="11" t="n"/>
      <c r="R547" s="12" t="n"/>
      <c r="S547" s="11" t="n"/>
      <c r="T547" s="12" t="n"/>
      <c r="U547" s="12" t="n"/>
      <c r="V547" s="14">
        <f>IF($AN547="",IF($B547="","",$H547),IF(INDEX(職員マスタ!$B$6:$B$405,$AN547)="",$H547,INDEX(職員マスタ!$B$6:$B$405,$AN547)))</f>
        <v/>
      </c>
      <c r="W547" s="14">
        <f>IF($AN547="",IF($B547="","",$R547),IF(INDEX(職員マスタ!$C$6:$C$405,$AN547)="",$R547,INDEX(職員マスタ!$C$6:$C$405,$AN547)))</f>
        <v/>
      </c>
      <c r="X547" s="14">
        <f>IF($AO547="","","R"&amp;$C547&amp;"."&amp;$D547)</f>
        <v/>
      </c>
      <c r="Y547" s="15">
        <f>IF($AN547="","",IF(INDEX(職員マスタ!$K$6:$K$405,$AN547)="","",INDEX(職員マスタ!$K$6:$K$405,$AN547)))</f>
        <v/>
      </c>
      <c r="Z547" s="14">
        <f>IF(OR($E547="",$Y547=""),"",IF($E547&gt;=$Y547,"×",IF($E547&gt;=$Y547*設定!$C$5,"△","○")))</f>
        <v/>
      </c>
      <c r="AA547" s="15">
        <f>IF($Z547="","",IF($Z547="×",0,IF($Z547="○",ROUNDDOWN($E547*設定!$C$4,0),ROUNDDOWN($E547*ROUND((9*$Y547-9*$E547)/(10*$E547),4),0))))</f>
        <v/>
      </c>
      <c r="AB547" s="13" t="n"/>
      <c r="AC547" s="15">
        <f>IF($B547="","",IF($AB547&lt;&gt;"",$AB547,IF($AA547="","",IF($AA547&lt;=設定!$C$3,0,$AA547))))</f>
        <v/>
      </c>
      <c r="AD547" s="14">
        <f>IF($B547="","",IF(AND($AE547&lt;&gt;"",$AG547="",$AJ547=""),"保留中",IF($AJ547&lt;&gt;"",IF(N($AC547)&gt;0,"支給済","不支給"),IF($AC547="","要確認",IF($AC547=0,"不支給","未処理")))))</f>
        <v/>
      </c>
      <c r="AE547" s="12" t="n"/>
      <c r="AF547" s="11" t="n"/>
      <c r="AG547" s="11" t="n"/>
      <c r="AH547" s="11" t="n"/>
      <c r="AI547" s="14">
        <f>IF(AND($AD547="保留中",$AF547&lt;&gt;""),TODAY()-$AF547,"")</f>
        <v/>
      </c>
      <c r="AJ547" s="12" t="n"/>
      <c r="AK547" s="14">
        <f>IF($B547="","",IF($AO547="","対象年月が未入力／","")&amp;IF($B547="","",IF($AN547="","職員マスタに未登録の職員番号／",IF($Y547="","標準報酬月額が未登録／","")&amp;IF(AND($AO547&lt;&gt;"",OR(AND(INDEX(職員マスタ!$G$6:$G$405,$AN547)&lt;&gt;"",INDEX(職員マスタ!$G$6:$G$405,$AN547)&gt;EOMONTH($AO547,0)),AND(INDEX(職員マスタ!$H$6:$H$405,$AN547)&lt;&gt;"",INDEX(職員マスタ!$H$6:$H$405,$AN547)&lt;$AO547))),"対象月が時短期間外／","")&amp;IF(AND(INDEX(職員マスタ!$F$6:$F$405,$AN547)&lt;&gt;"",$AO547&lt;&gt;"",INDEX(職員マスタ!$F$6:$F$405,$AN547)&lt;$AO547),"対象月に子が2歳到達済／","")&amp;IF(AND($H547&lt;&gt;"",INDEX(職員マスタ!$B$6:$B$405,$AN547)&lt;&gt;"",SUBSTITUTE(SUBSTITUTE($H547," ","")," ","")&lt;&gt;SUBSTITUTE(SUBSTITUTE(INDEX(職員マスタ!$B$6:$B$405,$AN547)," ","")," ","")),"氏名がマスタと相違／","")&amp;IF(AND($Q547&lt;&gt;"",INDEX(職員マスタ!$E$6:$E$405,$AN547)&lt;&gt;"",$Q547&lt;&gt;INDEX(職員マスタ!$E$6:$E$405,$AN547)),"子の生年月日がマスタと相違／","")&amp;IF(AND($L547&lt;&gt;"",INDEX(職員マスタ!$G$6:$G$405,$AN547)&lt;&gt;"",$L547&lt;&gt;INDEX(職員マスタ!$G$6:$G$405,$AN547)),"時短開始日がマスタと相違／","")&amp;IF(AND($M547&lt;&gt;"",INDEX(職員マスタ!$H$6:$H$405,$AN547)&lt;&gt;"",$M547&lt;&gt;INDEX(職員マスタ!$H$6:$H$405,$AN547)),"時短終了日がマスタと相違／","")))&amp;IF(AND($B547&lt;&gt;"",$E547=""),"報酬額が未入力／","")&amp;IF(N($U547)&gt;0,"申請書に入力エラーが残っています／","")&amp;IF(AND($B547&lt;&gt;"",$AO547&lt;&gt;""),IF(COUNTIFS($B$6:$B$3005,$B547,$C$6:$C$3005,$C547,$D$6:$D$3005,$D547)&gt;1,"同じ月の請求が重複しています／",""),"")&amp;IF(AND(N($E547)&gt;0,$Z547&lt;&gt;"",$Z547&lt;&gt;"×",$AC547=0,$AB547=""),"計算額が下限以下のため不支給／",""))</f>
        <v/>
      </c>
      <c r="AL547" s="12" t="n"/>
      <c r="AM547" s="14">
        <f>IF($AD547="保留中",COUNTIF($AD$6:$AD547,"保留中"),"")</f>
        <v/>
      </c>
      <c r="AN547" s="14">
        <f>IF($AO547="","",IF(SUMPRODUCT(MAX((職員マスタ!$A$6:$A$405=$B547)*(((職員マスタ!$G$6:$G$405="")+(職員マスタ!$G$6:$G$405&lt;=EOMONTH($AO547,0)))&gt;0)*(((職員マスタ!$H$6:$H$405="")+(職員マスタ!$H$6:$H$405&gt;=$AO547))&gt;0)*(ROW(職員マスタ!$A$6:$A$405)-5)))&gt;0,SUMPRODUCT(MAX((職員マスタ!$A$6:$A$405=$B547)*(((職員マスタ!$G$6:$G$405="")+(職員マスタ!$G$6:$G$405&lt;=EOMONTH($AO547,0)))&gt;0)*(((職員マスタ!$H$6:$H$405="")+(職員マスタ!$H$6:$H$405&gt;=$AO547))&gt;0)*(ROW(職員マスタ!$A$6:$A$405)-5))),IFERROR(MATCH($B547,職員マスタ!$A$6:$A$405,0),"")))</f>
        <v/>
      </c>
      <c r="AO547" s="16">
        <f>IF(OR($B547="",$C547="",$D547=""),"",DATE($C547+2018,$D547,1))</f>
        <v/>
      </c>
    </row>
    <row r="548">
      <c r="A548" s="11" t="n"/>
      <c r="B548" s="12" t="n"/>
      <c r="C548" s="12" t="n"/>
      <c r="D548" s="12" t="n"/>
      <c r="E548" s="13" t="n"/>
      <c r="F548" s="12" t="n"/>
      <c r="G548" s="13" t="n"/>
      <c r="H548" s="12" t="n"/>
      <c r="I548" s="12" t="n"/>
      <c r="J548" s="12" t="n"/>
      <c r="K548" s="12" t="n"/>
      <c r="L548" s="11" t="n"/>
      <c r="M548" s="11" t="n"/>
      <c r="N548" s="11" t="n"/>
      <c r="O548" s="11" t="n"/>
      <c r="P548" s="12" t="n"/>
      <c r="Q548" s="11" t="n"/>
      <c r="R548" s="12" t="n"/>
      <c r="S548" s="11" t="n"/>
      <c r="T548" s="12" t="n"/>
      <c r="U548" s="12" t="n"/>
      <c r="V548" s="14">
        <f>IF($AN548="",IF($B548="","",$H548),IF(INDEX(職員マスタ!$B$6:$B$405,$AN548)="",$H548,INDEX(職員マスタ!$B$6:$B$405,$AN548)))</f>
        <v/>
      </c>
      <c r="W548" s="14">
        <f>IF($AN548="",IF($B548="","",$R548),IF(INDEX(職員マスタ!$C$6:$C$405,$AN548)="",$R548,INDEX(職員マスタ!$C$6:$C$405,$AN548)))</f>
        <v/>
      </c>
      <c r="X548" s="14">
        <f>IF($AO548="","","R"&amp;$C548&amp;"."&amp;$D548)</f>
        <v/>
      </c>
      <c r="Y548" s="15">
        <f>IF($AN548="","",IF(INDEX(職員マスタ!$K$6:$K$405,$AN548)="","",INDEX(職員マスタ!$K$6:$K$405,$AN548)))</f>
        <v/>
      </c>
      <c r="Z548" s="14">
        <f>IF(OR($E548="",$Y548=""),"",IF($E548&gt;=$Y548,"×",IF($E548&gt;=$Y548*設定!$C$5,"△","○")))</f>
        <v/>
      </c>
      <c r="AA548" s="15">
        <f>IF($Z548="","",IF($Z548="×",0,IF($Z548="○",ROUNDDOWN($E548*設定!$C$4,0),ROUNDDOWN($E548*ROUND((9*$Y548-9*$E548)/(10*$E548),4),0))))</f>
        <v/>
      </c>
      <c r="AB548" s="13" t="n"/>
      <c r="AC548" s="15">
        <f>IF($B548="","",IF($AB548&lt;&gt;"",$AB548,IF($AA548="","",IF($AA548&lt;=設定!$C$3,0,$AA548))))</f>
        <v/>
      </c>
      <c r="AD548" s="14">
        <f>IF($B548="","",IF(AND($AE548&lt;&gt;"",$AG548="",$AJ548=""),"保留中",IF($AJ548&lt;&gt;"",IF(N($AC548)&gt;0,"支給済","不支給"),IF($AC548="","要確認",IF($AC548=0,"不支給","未処理")))))</f>
        <v/>
      </c>
      <c r="AE548" s="12" t="n"/>
      <c r="AF548" s="11" t="n"/>
      <c r="AG548" s="11" t="n"/>
      <c r="AH548" s="11" t="n"/>
      <c r="AI548" s="14">
        <f>IF(AND($AD548="保留中",$AF548&lt;&gt;""),TODAY()-$AF548,"")</f>
        <v/>
      </c>
      <c r="AJ548" s="12" t="n"/>
      <c r="AK548" s="14">
        <f>IF($B548="","",IF($AO548="","対象年月が未入力／","")&amp;IF($B548="","",IF($AN548="","職員マスタに未登録の職員番号／",IF($Y548="","標準報酬月額が未登録／","")&amp;IF(AND($AO548&lt;&gt;"",OR(AND(INDEX(職員マスタ!$G$6:$G$405,$AN548)&lt;&gt;"",INDEX(職員マスタ!$G$6:$G$405,$AN548)&gt;EOMONTH($AO548,0)),AND(INDEX(職員マスタ!$H$6:$H$405,$AN548)&lt;&gt;"",INDEX(職員マスタ!$H$6:$H$405,$AN548)&lt;$AO548))),"対象月が時短期間外／","")&amp;IF(AND(INDEX(職員マスタ!$F$6:$F$405,$AN548)&lt;&gt;"",$AO548&lt;&gt;"",INDEX(職員マスタ!$F$6:$F$405,$AN548)&lt;$AO548),"対象月に子が2歳到達済／","")&amp;IF(AND($H548&lt;&gt;"",INDEX(職員マスタ!$B$6:$B$405,$AN548)&lt;&gt;"",SUBSTITUTE(SUBSTITUTE($H548," ","")," ","")&lt;&gt;SUBSTITUTE(SUBSTITUTE(INDEX(職員マスタ!$B$6:$B$405,$AN548)," ","")," ","")),"氏名がマスタと相違／","")&amp;IF(AND($Q548&lt;&gt;"",INDEX(職員マスタ!$E$6:$E$405,$AN548)&lt;&gt;"",$Q548&lt;&gt;INDEX(職員マスタ!$E$6:$E$405,$AN548)),"子の生年月日がマスタと相違／","")&amp;IF(AND($L548&lt;&gt;"",INDEX(職員マスタ!$G$6:$G$405,$AN548)&lt;&gt;"",$L548&lt;&gt;INDEX(職員マスタ!$G$6:$G$405,$AN548)),"時短開始日がマスタと相違／","")&amp;IF(AND($M548&lt;&gt;"",INDEX(職員マスタ!$H$6:$H$405,$AN548)&lt;&gt;"",$M548&lt;&gt;INDEX(職員マスタ!$H$6:$H$405,$AN548)),"時短終了日がマスタと相違／","")))&amp;IF(AND($B548&lt;&gt;"",$E548=""),"報酬額が未入力／","")&amp;IF(N($U548)&gt;0,"申請書に入力エラーが残っています／","")&amp;IF(AND($B548&lt;&gt;"",$AO548&lt;&gt;""),IF(COUNTIFS($B$6:$B$3005,$B548,$C$6:$C$3005,$C548,$D$6:$D$3005,$D548)&gt;1,"同じ月の請求が重複しています／",""),"")&amp;IF(AND(N($E548)&gt;0,$Z548&lt;&gt;"",$Z548&lt;&gt;"×",$AC548=0,$AB548=""),"計算額が下限以下のため不支給／",""))</f>
        <v/>
      </c>
      <c r="AL548" s="12" t="n"/>
      <c r="AM548" s="14">
        <f>IF($AD548="保留中",COUNTIF($AD$6:$AD548,"保留中"),"")</f>
        <v/>
      </c>
      <c r="AN548" s="14">
        <f>IF($AO548="","",IF(SUMPRODUCT(MAX((職員マスタ!$A$6:$A$405=$B548)*(((職員マスタ!$G$6:$G$405="")+(職員マスタ!$G$6:$G$405&lt;=EOMONTH($AO548,0)))&gt;0)*(((職員マスタ!$H$6:$H$405="")+(職員マスタ!$H$6:$H$405&gt;=$AO548))&gt;0)*(ROW(職員マスタ!$A$6:$A$405)-5)))&gt;0,SUMPRODUCT(MAX((職員マスタ!$A$6:$A$405=$B548)*(((職員マスタ!$G$6:$G$405="")+(職員マスタ!$G$6:$G$405&lt;=EOMONTH($AO548,0)))&gt;0)*(((職員マスタ!$H$6:$H$405="")+(職員マスタ!$H$6:$H$405&gt;=$AO548))&gt;0)*(ROW(職員マスタ!$A$6:$A$405)-5))),IFERROR(MATCH($B548,職員マスタ!$A$6:$A$405,0),"")))</f>
        <v/>
      </c>
      <c r="AO548" s="16">
        <f>IF(OR($B548="",$C548="",$D548=""),"",DATE($C548+2018,$D548,1))</f>
        <v/>
      </c>
    </row>
    <row r="549">
      <c r="A549" s="11" t="n"/>
      <c r="B549" s="12" t="n"/>
      <c r="C549" s="12" t="n"/>
      <c r="D549" s="12" t="n"/>
      <c r="E549" s="13" t="n"/>
      <c r="F549" s="12" t="n"/>
      <c r="G549" s="13" t="n"/>
      <c r="H549" s="12" t="n"/>
      <c r="I549" s="12" t="n"/>
      <c r="J549" s="12" t="n"/>
      <c r="K549" s="12" t="n"/>
      <c r="L549" s="11" t="n"/>
      <c r="M549" s="11" t="n"/>
      <c r="N549" s="11" t="n"/>
      <c r="O549" s="11" t="n"/>
      <c r="P549" s="12" t="n"/>
      <c r="Q549" s="11" t="n"/>
      <c r="R549" s="12" t="n"/>
      <c r="S549" s="11" t="n"/>
      <c r="T549" s="12" t="n"/>
      <c r="U549" s="12" t="n"/>
      <c r="V549" s="14">
        <f>IF($AN549="",IF($B549="","",$H549),IF(INDEX(職員マスタ!$B$6:$B$405,$AN549)="",$H549,INDEX(職員マスタ!$B$6:$B$405,$AN549)))</f>
        <v/>
      </c>
      <c r="W549" s="14">
        <f>IF($AN549="",IF($B549="","",$R549),IF(INDEX(職員マスタ!$C$6:$C$405,$AN549)="",$R549,INDEX(職員マスタ!$C$6:$C$405,$AN549)))</f>
        <v/>
      </c>
      <c r="X549" s="14">
        <f>IF($AO549="","","R"&amp;$C549&amp;"."&amp;$D549)</f>
        <v/>
      </c>
      <c r="Y549" s="15">
        <f>IF($AN549="","",IF(INDEX(職員マスタ!$K$6:$K$405,$AN549)="","",INDEX(職員マスタ!$K$6:$K$405,$AN549)))</f>
        <v/>
      </c>
      <c r="Z549" s="14">
        <f>IF(OR($E549="",$Y549=""),"",IF($E549&gt;=$Y549,"×",IF($E549&gt;=$Y549*設定!$C$5,"△","○")))</f>
        <v/>
      </c>
      <c r="AA549" s="15">
        <f>IF($Z549="","",IF($Z549="×",0,IF($Z549="○",ROUNDDOWN($E549*設定!$C$4,0),ROUNDDOWN($E549*ROUND((9*$Y549-9*$E549)/(10*$E549),4),0))))</f>
        <v/>
      </c>
      <c r="AB549" s="13" t="n"/>
      <c r="AC549" s="15">
        <f>IF($B549="","",IF($AB549&lt;&gt;"",$AB549,IF($AA549="","",IF($AA549&lt;=設定!$C$3,0,$AA549))))</f>
        <v/>
      </c>
      <c r="AD549" s="14">
        <f>IF($B549="","",IF(AND($AE549&lt;&gt;"",$AG549="",$AJ549=""),"保留中",IF($AJ549&lt;&gt;"",IF(N($AC549)&gt;0,"支給済","不支給"),IF($AC549="","要確認",IF($AC549=0,"不支給","未処理")))))</f>
        <v/>
      </c>
      <c r="AE549" s="12" t="n"/>
      <c r="AF549" s="11" t="n"/>
      <c r="AG549" s="11" t="n"/>
      <c r="AH549" s="11" t="n"/>
      <c r="AI549" s="14">
        <f>IF(AND($AD549="保留中",$AF549&lt;&gt;""),TODAY()-$AF549,"")</f>
        <v/>
      </c>
      <c r="AJ549" s="12" t="n"/>
      <c r="AK549" s="14">
        <f>IF($B549="","",IF($AO549="","対象年月が未入力／","")&amp;IF($B549="","",IF($AN549="","職員マスタに未登録の職員番号／",IF($Y549="","標準報酬月額が未登録／","")&amp;IF(AND($AO549&lt;&gt;"",OR(AND(INDEX(職員マスタ!$G$6:$G$405,$AN549)&lt;&gt;"",INDEX(職員マスタ!$G$6:$G$405,$AN549)&gt;EOMONTH($AO549,0)),AND(INDEX(職員マスタ!$H$6:$H$405,$AN549)&lt;&gt;"",INDEX(職員マスタ!$H$6:$H$405,$AN549)&lt;$AO549))),"対象月が時短期間外／","")&amp;IF(AND(INDEX(職員マスタ!$F$6:$F$405,$AN549)&lt;&gt;"",$AO549&lt;&gt;"",INDEX(職員マスタ!$F$6:$F$405,$AN549)&lt;$AO549),"対象月に子が2歳到達済／","")&amp;IF(AND($H549&lt;&gt;"",INDEX(職員マスタ!$B$6:$B$405,$AN549)&lt;&gt;"",SUBSTITUTE(SUBSTITUTE($H549," ","")," ","")&lt;&gt;SUBSTITUTE(SUBSTITUTE(INDEX(職員マスタ!$B$6:$B$405,$AN549)," ","")," ","")),"氏名がマスタと相違／","")&amp;IF(AND($Q549&lt;&gt;"",INDEX(職員マスタ!$E$6:$E$405,$AN549)&lt;&gt;"",$Q549&lt;&gt;INDEX(職員マスタ!$E$6:$E$405,$AN549)),"子の生年月日がマスタと相違／","")&amp;IF(AND($L549&lt;&gt;"",INDEX(職員マスタ!$G$6:$G$405,$AN549)&lt;&gt;"",$L549&lt;&gt;INDEX(職員マスタ!$G$6:$G$405,$AN549)),"時短開始日がマスタと相違／","")&amp;IF(AND($M549&lt;&gt;"",INDEX(職員マスタ!$H$6:$H$405,$AN549)&lt;&gt;"",$M549&lt;&gt;INDEX(職員マスタ!$H$6:$H$405,$AN549)),"時短終了日がマスタと相違／","")))&amp;IF(AND($B549&lt;&gt;"",$E549=""),"報酬額が未入力／","")&amp;IF(N($U549)&gt;0,"申請書に入力エラーが残っています／","")&amp;IF(AND($B549&lt;&gt;"",$AO549&lt;&gt;""),IF(COUNTIFS($B$6:$B$3005,$B549,$C$6:$C$3005,$C549,$D$6:$D$3005,$D549)&gt;1,"同じ月の請求が重複しています／",""),"")&amp;IF(AND(N($E549)&gt;0,$Z549&lt;&gt;"",$Z549&lt;&gt;"×",$AC549=0,$AB549=""),"計算額が下限以下のため不支給／",""))</f>
        <v/>
      </c>
      <c r="AL549" s="12" t="n"/>
      <c r="AM549" s="14">
        <f>IF($AD549="保留中",COUNTIF($AD$6:$AD549,"保留中"),"")</f>
        <v/>
      </c>
      <c r="AN549" s="14">
        <f>IF($AO549="","",IF(SUMPRODUCT(MAX((職員マスタ!$A$6:$A$405=$B549)*(((職員マスタ!$G$6:$G$405="")+(職員マスタ!$G$6:$G$405&lt;=EOMONTH($AO549,0)))&gt;0)*(((職員マスタ!$H$6:$H$405="")+(職員マスタ!$H$6:$H$405&gt;=$AO549))&gt;0)*(ROW(職員マスタ!$A$6:$A$405)-5)))&gt;0,SUMPRODUCT(MAX((職員マスタ!$A$6:$A$405=$B549)*(((職員マスタ!$G$6:$G$405="")+(職員マスタ!$G$6:$G$405&lt;=EOMONTH($AO549,0)))&gt;0)*(((職員マスタ!$H$6:$H$405="")+(職員マスタ!$H$6:$H$405&gt;=$AO549))&gt;0)*(ROW(職員マスタ!$A$6:$A$405)-5))),IFERROR(MATCH($B549,職員マスタ!$A$6:$A$405,0),"")))</f>
        <v/>
      </c>
      <c r="AO549" s="16">
        <f>IF(OR($B549="",$C549="",$D549=""),"",DATE($C549+2018,$D549,1))</f>
        <v/>
      </c>
    </row>
    <row r="550">
      <c r="A550" s="11" t="n"/>
      <c r="B550" s="12" t="n"/>
      <c r="C550" s="12" t="n"/>
      <c r="D550" s="12" t="n"/>
      <c r="E550" s="13" t="n"/>
      <c r="F550" s="12" t="n"/>
      <c r="G550" s="13" t="n"/>
      <c r="H550" s="12" t="n"/>
      <c r="I550" s="12" t="n"/>
      <c r="J550" s="12" t="n"/>
      <c r="K550" s="12" t="n"/>
      <c r="L550" s="11" t="n"/>
      <c r="M550" s="11" t="n"/>
      <c r="N550" s="11" t="n"/>
      <c r="O550" s="11" t="n"/>
      <c r="P550" s="12" t="n"/>
      <c r="Q550" s="11" t="n"/>
      <c r="R550" s="12" t="n"/>
      <c r="S550" s="11" t="n"/>
      <c r="T550" s="12" t="n"/>
      <c r="U550" s="12" t="n"/>
      <c r="V550" s="14">
        <f>IF($AN550="",IF($B550="","",$H550),IF(INDEX(職員マスタ!$B$6:$B$405,$AN550)="",$H550,INDEX(職員マスタ!$B$6:$B$405,$AN550)))</f>
        <v/>
      </c>
      <c r="W550" s="14">
        <f>IF($AN550="",IF($B550="","",$R550),IF(INDEX(職員マスタ!$C$6:$C$405,$AN550)="",$R550,INDEX(職員マスタ!$C$6:$C$405,$AN550)))</f>
        <v/>
      </c>
      <c r="X550" s="14">
        <f>IF($AO550="","","R"&amp;$C550&amp;"."&amp;$D550)</f>
        <v/>
      </c>
      <c r="Y550" s="15">
        <f>IF($AN550="","",IF(INDEX(職員マスタ!$K$6:$K$405,$AN550)="","",INDEX(職員マスタ!$K$6:$K$405,$AN550)))</f>
        <v/>
      </c>
      <c r="Z550" s="14">
        <f>IF(OR($E550="",$Y550=""),"",IF($E550&gt;=$Y550,"×",IF($E550&gt;=$Y550*設定!$C$5,"△","○")))</f>
        <v/>
      </c>
      <c r="AA550" s="15">
        <f>IF($Z550="","",IF($Z550="×",0,IF($Z550="○",ROUNDDOWN($E550*設定!$C$4,0),ROUNDDOWN($E550*ROUND((9*$Y550-9*$E550)/(10*$E550),4),0))))</f>
        <v/>
      </c>
      <c r="AB550" s="13" t="n"/>
      <c r="AC550" s="15">
        <f>IF($B550="","",IF($AB550&lt;&gt;"",$AB550,IF($AA550="","",IF($AA550&lt;=設定!$C$3,0,$AA550))))</f>
        <v/>
      </c>
      <c r="AD550" s="14">
        <f>IF($B550="","",IF(AND($AE550&lt;&gt;"",$AG550="",$AJ550=""),"保留中",IF($AJ550&lt;&gt;"",IF(N($AC550)&gt;0,"支給済","不支給"),IF($AC550="","要確認",IF($AC550=0,"不支給","未処理")))))</f>
        <v/>
      </c>
      <c r="AE550" s="12" t="n"/>
      <c r="AF550" s="11" t="n"/>
      <c r="AG550" s="11" t="n"/>
      <c r="AH550" s="11" t="n"/>
      <c r="AI550" s="14">
        <f>IF(AND($AD550="保留中",$AF550&lt;&gt;""),TODAY()-$AF550,"")</f>
        <v/>
      </c>
      <c r="AJ550" s="12" t="n"/>
      <c r="AK550" s="14">
        <f>IF($B550="","",IF($AO550="","対象年月が未入力／","")&amp;IF($B550="","",IF($AN550="","職員マスタに未登録の職員番号／",IF($Y550="","標準報酬月額が未登録／","")&amp;IF(AND($AO550&lt;&gt;"",OR(AND(INDEX(職員マスタ!$G$6:$G$405,$AN550)&lt;&gt;"",INDEX(職員マスタ!$G$6:$G$405,$AN550)&gt;EOMONTH($AO550,0)),AND(INDEX(職員マスタ!$H$6:$H$405,$AN550)&lt;&gt;"",INDEX(職員マスタ!$H$6:$H$405,$AN550)&lt;$AO550))),"対象月が時短期間外／","")&amp;IF(AND(INDEX(職員マスタ!$F$6:$F$405,$AN550)&lt;&gt;"",$AO550&lt;&gt;"",INDEX(職員マスタ!$F$6:$F$405,$AN550)&lt;$AO550),"対象月に子が2歳到達済／","")&amp;IF(AND($H550&lt;&gt;"",INDEX(職員マスタ!$B$6:$B$405,$AN550)&lt;&gt;"",SUBSTITUTE(SUBSTITUTE($H550," ","")," ","")&lt;&gt;SUBSTITUTE(SUBSTITUTE(INDEX(職員マスタ!$B$6:$B$405,$AN550)," ","")," ","")),"氏名がマスタと相違／","")&amp;IF(AND($Q550&lt;&gt;"",INDEX(職員マスタ!$E$6:$E$405,$AN550)&lt;&gt;"",$Q550&lt;&gt;INDEX(職員マスタ!$E$6:$E$405,$AN550)),"子の生年月日がマスタと相違／","")&amp;IF(AND($L550&lt;&gt;"",INDEX(職員マスタ!$G$6:$G$405,$AN550)&lt;&gt;"",$L550&lt;&gt;INDEX(職員マスタ!$G$6:$G$405,$AN550)),"時短開始日がマスタと相違／","")&amp;IF(AND($M550&lt;&gt;"",INDEX(職員マスタ!$H$6:$H$405,$AN550)&lt;&gt;"",$M550&lt;&gt;INDEX(職員マスタ!$H$6:$H$405,$AN550)),"時短終了日がマスタと相違／","")))&amp;IF(AND($B550&lt;&gt;"",$E550=""),"報酬額が未入力／","")&amp;IF(N($U550)&gt;0,"申請書に入力エラーが残っています／","")&amp;IF(AND($B550&lt;&gt;"",$AO550&lt;&gt;""),IF(COUNTIFS($B$6:$B$3005,$B550,$C$6:$C$3005,$C550,$D$6:$D$3005,$D550)&gt;1,"同じ月の請求が重複しています／",""),"")&amp;IF(AND(N($E550)&gt;0,$Z550&lt;&gt;"",$Z550&lt;&gt;"×",$AC550=0,$AB550=""),"計算額が下限以下のため不支給／",""))</f>
        <v/>
      </c>
      <c r="AL550" s="12" t="n"/>
      <c r="AM550" s="14">
        <f>IF($AD550="保留中",COUNTIF($AD$6:$AD550,"保留中"),"")</f>
        <v/>
      </c>
      <c r="AN550" s="14">
        <f>IF($AO550="","",IF(SUMPRODUCT(MAX((職員マスタ!$A$6:$A$405=$B550)*(((職員マスタ!$G$6:$G$405="")+(職員マスタ!$G$6:$G$405&lt;=EOMONTH($AO550,0)))&gt;0)*(((職員マスタ!$H$6:$H$405="")+(職員マスタ!$H$6:$H$405&gt;=$AO550))&gt;0)*(ROW(職員マスタ!$A$6:$A$405)-5)))&gt;0,SUMPRODUCT(MAX((職員マスタ!$A$6:$A$405=$B550)*(((職員マスタ!$G$6:$G$405="")+(職員マスタ!$G$6:$G$405&lt;=EOMONTH($AO550,0)))&gt;0)*(((職員マスタ!$H$6:$H$405="")+(職員マスタ!$H$6:$H$405&gt;=$AO550))&gt;0)*(ROW(職員マスタ!$A$6:$A$405)-5))),IFERROR(MATCH($B550,職員マスタ!$A$6:$A$405,0),"")))</f>
        <v/>
      </c>
      <c r="AO550" s="16">
        <f>IF(OR($B550="",$C550="",$D550=""),"",DATE($C550+2018,$D550,1))</f>
        <v/>
      </c>
    </row>
    <row r="551">
      <c r="A551" s="11" t="n"/>
      <c r="B551" s="12" t="n"/>
      <c r="C551" s="12" t="n"/>
      <c r="D551" s="12" t="n"/>
      <c r="E551" s="13" t="n"/>
      <c r="F551" s="12" t="n"/>
      <c r="G551" s="13" t="n"/>
      <c r="H551" s="12" t="n"/>
      <c r="I551" s="12" t="n"/>
      <c r="J551" s="12" t="n"/>
      <c r="K551" s="12" t="n"/>
      <c r="L551" s="11" t="n"/>
      <c r="M551" s="11" t="n"/>
      <c r="N551" s="11" t="n"/>
      <c r="O551" s="11" t="n"/>
      <c r="P551" s="12" t="n"/>
      <c r="Q551" s="11" t="n"/>
      <c r="R551" s="12" t="n"/>
      <c r="S551" s="11" t="n"/>
      <c r="T551" s="12" t="n"/>
      <c r="U551" s="12" t="n"/>
      <c r="V551" s="14">
        <f>IF($AN551="",IF($B551="","",$H551),IF(INDEX(職員マスタ!$B$6:$B$405,$AN551)="",$H551,INDEX(職員マスタ!$B$6:$B$405,$AN551)))</f>
        <v/>
      </c>
      <c r="W551" s="14">
        <f>IF($AN551="",IF($B551="","",$R551),IF(INDEX(職員マスタ!$C$6:$C$405,$AN551)="",$R551,INDEX(職員マスタ!$C$6:$C$405,$AN551)))</f>
        <v/>
      </c>
      <c r="X551" s="14">
        <f>IF($AO551="","","R"&amp;$C551&amp;"."&amp;$D551)</f>
        <v/>
      </c>
      <c r="Y551" s="15">
        <f>IF($AN551="","",IF(INDEX(職員マスタ!$K$6:$K$405,$AN551)="","",INDEX(職員マスタ!$K$6:$K$405,$AN551)))</f>
        <v/>
      </c>
      <c r="Z551" s="14">
        <f>IF(OR($E551="",$Y551=""),"",IF($E551&gt;=$Y551,"×",IF($E551&gt;=$Y551*設定!$C$5,"△","○")))</f>
        <v/>
      </c>
      <c r="AA551" s="15">
        <f>IF($Z551="","",IF($Z551="×",0,IF($Z551="○",ROUNDDOWN($E551*設定!$C$4,0),ROUNDDOWN($E551*ROUND((9*$Y551-9*$E551)/(10*$E551),4),0))))</f>
        <v/>
      </c>
      <c r="AB551" s="13" t="n"/>
      <c r="AC551" s="15">
        <f>IF($B551="","",IF($AB551&lt;&gt;"",$AB551,IF($AA551="","",IF($AA551&lt;=設定!$C$3,0,$AA551))))</f>
        <v/>
      </c>
      <c r="AD551" s="14">
        <f>IF($B551="","",IF(AND($AE551&lt;&gt;"",$AG551="",$AJ551=""),"保留中",IF($AJ551&lt;&gt;"",IF(N($AC551)&gt;0,"支給済","不支給"),IF($AC551="","要確認",IF($AC551=0,"不支給","未処理")))))</f>
        <v/>
      </c>
      <c r="AE551" s="12" t="n"/>
      <c r="AF551" s="11" t="n"/>
      <c r="AG551" s="11" t="n"/>
      <c r="AH551" s="11" t="n"/>
      <c r="AI551" s="14">
        <f>IF(AND($AD551="保留中",$AF551&lt;&gt;""),TODAY()-$AF551,"")</f>
        <v/>
      </c>
      <c r="AJ551" s="12" t="n"/>
      <c r="AK551" s="14">
        <f>IF($B551="","",IF($AO551="","対象年月が未入力／","")&amp;IF($B551="","",IF($AN551="","職員マスタに未登録の職員番号／",IF($Y551="","標準報酬月額が未登録／","")&amp;IF(AND($AO551&lt;&gt;"",OR(AND(INDEX(職員マスタ!$G$6:$G$405,$AN551)&lt;&gt;"",INDEX(職員マスタ!$G$6:$G$405,$AN551)&gt;EOMONTH($AO551,0)),AND(INDEX(職員マスタ!$H$6:$H$405,$AN551)&lt;&gt;"",INDEX(職員マスタ!$H$6:$H$405,$AN551)&lt;$AO551))),"対象月が時短期間外／","")&amp;IF(AND(INDEX(職員マスタ!$F$6:$F$405,$AN551)&lt;&gt;"",$AO551&lt;&gt;"",INDEX(職員マスタ!$F$6:$F$405,$AN551)&lt;$AO551),"対象月に子が2歳到達済／","")&amp;IF(AND($H551&lt;&gt;"",INDEX(職員マスタ!$B$6:$B$405,$AN551)&lt;&gt;"",SUBSTITUTE(SUBSTITUTE($H551," ","")," ","")&lt;&gt;SUBSTITUTE(SUBSTITUTE(INDEX(職員マスタ!$B$6:$B$405,$AN551)," ","")," ","")),"氏名がマスタと相違／","")&amp;IF(AND($Q551&lt;&gt;"",INDEX(職員マスタ!$E$6:$E$405,$AN551)&lt;&gt;"",$Q551&lt;&gt;INDEX(職員マスタ!$E$6:$E$405,$AN551)),"子の生年月日がマスタと相違／","")&amp;IF(AND($L551&lt;&gt;"",INDEX(職員マスタ!$G$6:$G$405,$AN551)&lt;&gt;"",$L551&lt;&gt;INDEX(職員マスタ!$G$6:$G$405,$AN551)),"時短開始日がマスタと相違／","")&amp;IF(AND($M551&lt;&gt;"",INDEX(職員マスタ!$H$6:$H$405,$AN551)&lt;&gt;"",$M551&lt;&gt;INDEX(職員マスタ!$H$6:$H$405,$AN551)),"時短終了日がマスタと相違／","")))&amp;IF(AND($B551&lt;&gt;"",$E551=""),"報酬額が未入力／","")&amp;IF(N($U551)&gt;0,"申請書に入力エラーが残っています／","")&amp;IF(AND($B551&lt;&gt;"",$AO551&lt;&gt;""),IF(COUNTIFS($B$6:$B$3005,$B551,$C$6:$C$3005,$C551,$D$6:$D$3005,$D551)&gt;1,"同じ月の請求が重複しています／",""),"")&amp;IF(AND(N($E551)&gt;0,$Z551&lt;&gt;"",$Z551&lt;&gt;"×",$AC551=0,$AB551=""),"計算額が下限以下のため不支給／",""))</f>
        <v/>
      </c>
      <c r="AL551" s="12" t="n"/>
      <c r="AM551" s="14">
        <f>IF($AD551="保留中",COUNTIF($AD$6:$AD551,"保留中"),"")</f>
        <v/>
      </c>
      <c r="AN551" s="14">
        <f>IF($AO551="","",IF(SUMPRODUCT(MAX((職員マスタ!$A$6:$A$405=$B551)*(((職員マスタ!$G$6:$G$405="")+(職員マスタ!$G$6:$G$405&lt;=EOMONTH($AO551,0)))&gt;0)*(((職員マスタ!$H$6:$H$405="")+(職員マスタ!$H$6:$H$405&gt;=$AO551))&gt;0)*(ROW(職員マスタ!$A$6:$A$405)-5)))&gt;0,SUMPRODUCT(MAX((職員マスタ!$A$6:$A$405=$B551)*(((職員マスタ!$G$6:$G$405="")+(職員マスタ!$G$6:$G$405&lt;=EOMONTH($AO551,0)))&gt;0)*(((職員マスタ!$H$6:$H$405="")+(職員マスタ!$H$6:$H$405&gt;=$AO551))&gt;0)*(ROW(職員マスタ!$A$6:$A$405)-5))),IFERROR(MATCH($B551,職員マスタ!$A$6:$A$405,0),"")))</f>
        <v/>
      </c>
      <c r="AO551" s="16">
        <f>IF(OR($B551="",$C551="",$D551=""),"",DATE($C551+2018,$D551,1))</f>
        <v/>
      </c>
    </row>
    <row r="552">
      <c r="A552" s="11" t="n"/>
      <c r="B552" s="12" t="n"/>
      <c r="C552" s="12" t="n"/>
      <c r="D552" s="12" t="n"/>
      <c r="E552" s="13" t="n"/>
      <c r="F552" s="12" t="n"/>
      <c r="G552" s="13" t="n"/>
      <c r="H552" s="12" t="n"/>
      <c r="I552" s="12" t="n"/>
      <c r="J552" s="12" t="n"/>
      <c r="K552" s="12" t="n"/>
      <c r="L552" s="11" t="n"/>
      <c r="M552" s="11" t="n"/>
      <c r="N552" s="11" t="n"/>
      <c r="O552" s="11" t="n"/>
      <c r="P552" s="12" t="n"/>
      <c r="Q552" s="11" t="n"/>
      <c r="R552" s="12" t="n"/>
      <c r="S552" s="11" t="n"/>
      <c r="T552" s="12" t="n"/>
      <c r="U552" s="12" t="n"/>
      <c r="V552" s="14">
        <f>IF($AN552="",IF($B552="","",$H552),IF(INDEX(職員マスタ!$B$6:$B$405,$AN552)="",$H552,INDEX(職員マスタ!$B$6:$B$405,$AN552)))</f>
        <v/>
      </c>
      <c r="W552" s="14">
        <f>IF($AN552="",IF($B552="","",$R552),IF(INDEX(職員マスタ!$C$6:$C$405,$AN552)="",$R552,INDEX(職員マスタ!$C$6:$C$405,$AN552)))</f>
        <v/>
      </c>
      <c r="X552" s="14">
        <f>IF($AO552="","","R"&amp;$C552&amp;"."&amp;$D552)</f>
        <v/>
      </c>
      <c r="Y552" s="15">
        <f>IF($AN552="","",IF(INDEX(職員マスタ!$K$6:$K$405,$AN552)="","",INDEX(職員マスタ!$K$6:$K$405,$AN552)))</f>
        <v/>
      </c>
      <c r="Z552" s="14">
        <f>IF(OR($E552="",$Y552=""),"",IF($E552&gt;=$Y552,"×",IF($E552&gt;=$Y552*設定!$C$5,"△","○")))</f>
        <v/>
      </c>
      <c r="AA552" s="15">
        <f>IF($Z552="","",IF($Z552="×",0,IF($Z552="○",ROUNDDOWN($E552*設定!$C$4,0),ROUNDDOWN($E552*ROUND((9*$Y552-9*$E552)/(10*$E552),4),0))))</f>
        <v/>
      </c>
      <c r="AB552" s="13" t="n"/>
      <c r="AC552" s="15">
        <f>IF($B552="","",IF($AB552&lt;&gt;"",$AB552,IF($AA552="","",IF($AA552&lt;=設定!$C$3,0,$AA552))))</f>
        <v/>
      </c>
      <c r="AD552" s="14">
        <f>IF($B552="","",IF(AND($AE552&lt;&gt;"",$AG552="",$AJ552=""),"保留中",IF($AJ552&lt;&gt;"",IF(N($AC552)&gt;0,"支給済","不支給"),IF($AC552="","要確認",IF($AC552=0,"不支給","未処理")))))</f>
        <v/>
      </c>
      <c r="AE552" s="12" t="n"/>
      <c r="AF552" s="11" t="n"/>
      <c r="AG552" s="11" t="n"/>
      <c r="AH552" s="11" t="n"/>
      <c r="AI552" s="14">
        <f>IF(AND($AD552="保留中",$AF552&lt;&gt;""),TODAY()-$AF552,"")</f>
        <v/>
      </c>
      <c r="AJ552" s="12" t="n"/>
      <c r="AK552" s="14">
        <f>IF($B552="","",IF($AO552="","対象年月が未入力／","")&amp;IF($B552="","",IF($AN552="","職員マスタに未登録の職員番号／",IF($Y552="","標準報酬月額が未登録／","")&amp;IF(AND($AO552&lt;&gt;"",OR(AND(INDEX(職員マスタ!$G$6:$G$405,$AN552)&lt;&gt;"",INDEX(職員マスタ!$G$6:$G$405,$AN552)&gt;EOMONTH($AO552,0)),AND(INDEX(職員マスタ!$H$6:$H$405,$AN552)&lt;&gt;"",INDEX(職員マスタ!$H$6:$H$405,$AN552)&lt;$AO552))),"対象月が時短期間外／","")&amp;IF(AND(INDEX(職員マスタ!$F$6:$F$405,$AN552)&lt;&gt;"",$AO552&lt;&gt;"",INDEX(職員マスタ!$F$6:$F$405,$AN552)&lt;$AO552),"対象月に子が2歳到達済／","")&amp;IF(AND($H552&lt;&gt;"",INDEX(職員マスタ!$B$6:$B$405,$AN552)&lt;&gt;"",SUBSTITUTE(SUBSTITUTE($H552," ","")," ","")&lt;&gt;SUBSTITUTE(SUBSTITUTE(INDEX(職員マスタ!$B$6:$B$405,$AN552)," ","")," ","")),"氏名がマスタと相違／","")&amp;IF(AND($Q552&lt;&gt;"",INDEX(職員マスタ!$E$6:$E$405,$AN552)&lt;&gt;"",$Q552&lt;&gt;INDEX(職員マスタ!$E$6:$E$405,$AN552)),"子の生年月日がマスタと相違／","")&amp;IF(AND($L552&lt;&gt;"",INDEX(職員マスタ!$G$6:$G$405,$AN552)&lt;&gt;"",$L552&lt;&gt;INDEX(職員マスタ!$G$6:$G$405,$AN552)),"時短開始日がマスタと相違／","")&amp;IF(AND($M552&lt;&gt;"",INDEX(職員マスタ!$H$6:$H$405,$AN552)&lt;&gt;"",$M552&lt;&gt;INDEX(職員マスタ!$H$6:$H$405,$AN552)),"時短終了日がマスタと相違／","")))&amp;IF(AND($B552&lt;&gt;"",$E552=""),"報酬額が未入力／","")&amp;IF(N($U552)&gt;0,"申請書に入力エラーが残っています／","")&amp;IF(AND($B552&lt;&gt;"",$AO552&lt;&gt;""),IF(COUNTIFS($B$6:$B$3005,$B552,$C$6:$C$3005,$C552,$D$6:$D$3005,$D552)&gt;1,"同じ月の請求が重複しています／",""),"")&amp;IF(AND(N($E552)&gt;0,$Z552&lt;&gt;"",$Z552&lt;&gt;"×",$AC552=0,$AB552=""),"計算額が下限以下のため不支給／",""))</f>
        <v/>
      </c>
      <c r="AL552" s="12" t="n"/>
      <c r="AM552" s="14">
        <f>IF($AD552="保留中",COUNTIF($AD$6:$AD552,"保留中"),"")</f>
        <v/>
      </c>
      <c r="AN552" s="14">
        <f>IF($AO552="","",IF(SUMPRODUCT(MAX((職員マスタ!$A$6:$A$405=$B552)*(((職員マスタ!$G$6:$G$405="")+(職員マスタ!$G$6:$G$405&lt;=EOMONTH($AO552,0)))&gt;0)*(((職員マスタ!$H$6:$H$405="")+(職員マスタ!$H$6:$H$405&gt;=$AO552))&gt;0)*(ROW(職員マスタ!$A$6:$A$405)-5)))&gt;0,SUMPRODUCT(MAX((職員マスタ!$A$6:$A$405=$B552)*(((職員マスタ!$G$6:$G$405="")+(職員マスタ!$G$6:$G$405&lt;=EOMONTH($AO552,0)))&gt;0)*(((職員マスタ!$H$6:$H$405="")+(職員マスタ!$H$6:$H$405&gt;=$AO552))&gt;0)*(ROW(職員マスタ!$A$6:$A$405)-5))),IFERROR(MATCH($B552,職員マスタ!$A$6:$A$405,0),"")))</f>
        <v/>
      </c>
      <c r="AO552" s="16">
        <f>IF(OR($B552="",$C552="",$D552=""),"",DATE($C552+2018,$D552,1))</f>
        <v/>
      </c>
    </row>
    <row r="553">
      <c r="A553" s="11" t="n"/>
      <c r="B553" s="12" t="n"/>
      <c r="C553" s="12" t="n"/>
      <c r="D553" s="12" t="n"/>
      <c r="E553" s="13" t="n"/>
      <c r="F553" s="12" t="n"/>
      <c r="G553" s="13" t="n"/>
      <c r="H553" s="12" t="n"/>
      <c r="I553" s="12" t="n"/>
      <c r="J553" s="12" t="n"/>
      <c r="K553" s="12" t="n"/>
      <c r="L553" s="11" t="n"/>
      <c r="M553" s="11" t="n"/>
      <c r="N553" s="11" t="n"/>
      <c r="O553" s="11" t="n"/>
      <c r="P553" s="12" t="n"/>
      <c r="Q553" s="11" t="n"/>
      <c r="R553" s="12" t="n"/>
      <c r="S553" s="11" t="n"/>
      <c r="T553" s="12" t="n"/>
      <c r="U553" s="12" t="n"/>
      <c r="V553" s="14">
        <f>IF($AN553="",IF($B553="","",$H553),IF(INDEX(職員マスタ!$B$6:$B$405,$AN553)="",$H553,INDEX(職員マスタ!$B$6:$B$405,$AN553)))</f>
        <v/>
      </c>
      <c r="W553" s="14">
        <f>IF($AN553="",IF($B553="","",$R553),IF(INDEX(職員マスタ!$C$6:$C$405,$AN553)="",$R553,INDEX(職員マスタ!$C$6:$C$405,$AN553)))</f>
        <v/>
      </c>
      <c r="X553" s="14">
        <f>IF($AO553="","","R"&amp;$C553&amp;"."&amp;$D553)</f>
        <v/>
      </c>
      <c r="Y553" s="15">
        <f>IF($AN553="","",IF(INDEX(職員マスタ!$K$6:$K$405,$AN553)="","",INDEX(職員マスタ!$K$6:$K$405,$AN553)))</f>
        <v/>
      </c>
      <c r="Z553" s="14">
        <f>IF(OR($E553="",$Y553=""),"",IF($E553&gt;=$Y553,"×",IF($E553&gt;=$Y553*設定!$C$5,"△","○")))</f>
        <v/>
      </c>
      <c r="AA553" s="15">
        <f>IF($Z553="","",IF($Z553="×",0,IF($Z553="○",ROUNDDOWN($E553*設定!$C$4,0),ROUNDDOWN($E553*ROUND((9*$Y553-9*$E553)/(10*$E553),4),0))))</f>
        <v/>
      </c>
      <c r="AB553" s="13" t="n"/>
      <c r="AC553" s="15">
        <f>IF($B553="","",IF($AB553&lt;&gt;"",$AB553,IF($AA553="","",IF($AA553&lt;=設定!$C$3,0,$AA553))))</f>
        <v/>
      </c>
      <c r="AD553" s="14">
        <f>IF($B553="","",IF(AND($AE553&lt;&gt;"",$AG553="",$AJ553=""),"保留中",IF($AJ553&lt;&gt;"",IF(N($AC553)&gt;0,"支給済","不支給"),IF($AC553="","要確認",IF($AC553=0,"不支給","未処理")))))</f>
        <v/>
      </c>
      <c r="AE553" s="12" t="n"/>
      <c r="AF553" s="11" t="n"/>
      <c r="AG553" s="11" t="n"/>
      <c r="AH553" s="11" t="n"/>
      <c r="AI553" s="14">
        <f>IF(AND($AD553="保留中",$AF553&lt;&gt;""),TODAY()-$AF553,"")</f>
        <v/>
      </c>
      <c r="AJ553" s="12" t="n"/>
      <c r="AK553" s="14">
        <f>IF($B553="","",IF($AO553="","対象年月が未入力／","")&amp;IF($B553="","",IF($AN553="","職員マスタに未登録の職員番号／",IF($Y553="","標準報酬月額が未登録／","")&amp;IF(AND($AO553&lt;&gt;"",OR(AND(INDEX(職員マスタ!$G$6:$G$405,$AN553)&lt;&gt;"",INDEX(職員マスタ!$G$6:$G$405,$AN553)&gt;EOMONTH($AO553,0)),AND(INDEX(職員マスタ!$H$6:$H$405,$AN553)&lt;&gt;"",INDEX(職員マスタ!$H$6:$H$405,$AN553)&lt;$AO553))),"対象月が時短期間外／","")&amp;IF(AND(INDEX(職員マスタ!$F$6:$F$405,$AN553)&lt;&gt;"",$AO553&lt;&gt;"",INDEX(職員マスタ!$F$6:$F$405,$AN553)&lt;$AO553),"対象月に子が2歳到達済／","")&amp;IF(AND($H553&lt;&gt;"",INDEX(職員マスタ!$B$6:$B$405,$AN553)&lt;&gt;"",SUBSTITUTE(SUBSTITUTE($H553," ","")," ","")&lt;&gt;SUBSTITUTE(SUBSTITUTE(INDEX(職員マスタ!$B$6:$B$405,$AN553)," ","")," ","")),"氏名がマスタと相違／","")&amp;IF(AND($Q553&lt;&gt;"",INDEX(職員マスタ!$E$6:$E$405,$AN553)&lt;&gt;"",$Q553&lt;&gt;INDEX(職員マスタ!$E$6:$E$405,$AN553)),"子の生年月日がマスタと相違／","")&amp;IF(AND($L553&lt;&gt;"",INDEX(職員マスタ!$G$6:$G$405,$AN553)&lt;&gt;"",$L553&lt;&gt;INDEX(職員マスタ!$G$6:$G$405,$AN553)),"時短開始日がマスタと相違／","")&amp;IF(AND($M553&lt;&gt;"",INDEX(職員マスタ!$H$6:$H$405,$AN553)&lt;&gt;"",$M553&lt;&gt;INDEX(職員マスタ!$H$6:$H$405,$AN553)),"時短終了日がマスタと相違／","")))&amp;IF(AND($B553&lt;&gt;"",$E553=""),"報酬額が未入力／","")&amp;IF(N($U553)&gt;0,"申請書に入力エラーが残っています／","")&amp;IF(AND($B553&lt;&gt;"",$AO553&lt;&gt;""),IF(COUNTIFS($B$6:$B$3005,$B553,$C$6:$C$3005,$C553,$D$6:$D$3005,$D553)&gt;1,"同じ月の請求が重複しています／",""),"")&amp;IF(AND(N($E553)&gt;0,$Z553&lt;&gt;"",$Z553&lt;&gt;"×",$AC553=0,$AB553=""),"計算額が下限以下のため不支給／",""))</f>
        <v/>
      </c>
      <c r="AL553" s="12" t="n"/>
      <c r="AM553" s="14">
        <f>IF($AD553="保留中",COUNTIF($AD$6:$AD553,"保留中"),"")</f>
        <v/>
      </c>
      <c r="AN553" s="14">
        <f>IF($AO553="","",IF(SUMPRODUCT(MAX((職員マスタ!$A$6:$A$405=$B553)*(((職員マスタ!$G$6:$G$405="")+(職員マスタ!$G$6:$G$405&lt;=EOMONTH($AO553,0)))&gt;0)*(((職員マスタ!$H$6:$H$405="")+(職員マスタ!$H$6:$H$405&gt;=$AO553))&gt;0)*(ROW(職員マスタ!$A$6:$A$405)-5)))&gt;0,SUMPRODUCT(MAX((職員マスタ!$A$6:$A$405=$B553)*(((職員マスタ!$G$6:$G$405="")+(職員マスタ!$G$6:$G$405&lt;=EOMONTH($AO553,0)))&gt;0)*(((職員マスタ!$H$6:$H$405="")+(職員マスタ!$H$6:$H$405&gt;=$AO553))&gt;0)*(ROW(職員マスタ!$A$6:$A$405)-5))),IFERROR(MATCH($B553,職員マスタ!$A$6:$A$405,0),"")))</f>
        <v/>
      </c>
      <c r="AO553" s="16">
        <f>IF(OR($B553="",$C553="",$D553=""),"",DATE($C553+2018,$D553,1))</f>
        <v/>
      </c>
    </row>
    <row r="554">
      <c r="A554" s="11" t="n"/>
      <c r="B554" s="12" t="n"/>
      <c r="C554" s="12" t="n"/>
      <c r="D554" s="12" t="n"/>
      <c r="E554" s="13" t="n"/>
      <c r="F554" s="12" t="n"/>
      <c r="G554" s="13" t="n"/>
      <c r="H554" s="12" t="n"/>
      <c r="I554" s="12" t="n"/>
      <c r="J554" s="12" t="n"/>
      <c r="K554" s="12" t="n"/>
      <c r="L554" s="11" t="n"/>
      <c r="M554" s="11" t="n"/>
      <c r="N554" s="11" t="n"/>
      <c r="O554" s="11" t="n"/>
      <c r="P554" s="12" t="n"/>
      <c r="Q554" s="11" t="n"/>
      <c r="R554" s="12" t="n"/>
      <c r="S554" s="11" t="n"/>
      <c r="T554" s="12" t="n"/>
      <c r="U554" s="12" t="n"/>
      <c r="V554" s="14">
        <f>IF($AN554="",IF($B554="","",$H554),IF(INDEX(職員マスタ!$B$6:$B$405,$AN554)="",$H554,INDEX(職員マスタ!$B$6:$B$405,$AN554)))</f>
        <v/>
      </c>
      <c r="W554" s="14">
        <f>IF($AN554="",IF($B554="","",$R554),IF(INDEX(職員マスタ!$C$6:$C$405,$AN554)="",$R554,INDEX(職員マスタ!$C$6:$C$405,$AN554)))</f>
        <v/>
      </c>
      <c r="X554" s="14">
        <f>IF($AO554="","","R"&amp;$C554&amp;"."&amp;$D554)</f>
        <v/>
      </c>
      <c r="Y554" s="15">
        <f>IF($AN554="","",IF(INDEX(職員マスタ!$K$6:$K$405,$AN554)="","",INDEX(職員マスタ!$K$6:$K$405,$AN554)))</f>
        <v/>
      </c>
      <c r="Z554" s="14">
        <f>IF(OR($E554="",$Y554=""),"",IF($E554&gt;=$Y554,"×",IF($E554&gt;=$Y554*設定!$C$5,"△","○")))</f>
        <v/>
      </c>
      <c r="AA554" s="15">
        <f>IF($Z554="","",IF($Z554="×",0,IF($Z554="○",ROUNDDOWN($E554*設定!$C$4,0),ROUNDDOWN($E554*ROUND((9*$Y554-9*$E554)/(10*$E554),4),0))))</f>
        <v/>
      </c>
      <c r="AB554" s="13" t="n"/>
      <c r="AC554" s="15">
        <f>IF($B554="","",IF($AB554&lt;&gt;"",$AB554,IF($AA554="","",IF($AA554&lt;=設定!$C$3,0,$AA554))))</f>
        <v/>
      </c>
      <c r="AD554" s="14">
        <f>IF($B554="","",IF(AND($AE554&lt;&gt;"",$AG554="",$AJ554=""),"保留中",IF($AJ554&lt;&gt;"",IF(N($AC554)&gt;0,"支給済","不支給"),IF($AC554="","要確認",IF($AC554=0,"不支給","未処理")))))</f>
        <v/>
      </c>
      <c r="AE554" s="12" t="n"/>
      <c r="AF554" s="11" t="n"/>
      <c r="AG554" s="11" t="n"/>
      <c r="AH554" s="11" t="n"/>
      <c r="AI554" s="14">
        <f>IF(AND($AD554="保留中",$AF554&lt;&gt;""),TODAY()-$AF554,"")</f>
        <v/>
      </c>
      <c r="AJ554" s="12" t="n"/>
      <c r="AK554" s="14">
        <f>IF($B554="","",IF($AO554="","対象年月が未入力／","")&amp;IF($B554="","",IF($AN554="","職員マスタに未登録の職員番号／",IF($Y554="","標準報酬月額が未登録／","")&amp;IF(AND($AO554&lt;&gt;"",OR(AND(INDEX(職員マスタ!$G$6:$G$405,$AN554)&lt;&gt;"",INDEX(職員マスタ!$G$6:$G$405,$AN554)&gt;EOMONTH($AO554,0)),AND(INDEX(職員マスタ!$H$6:$H$405,$AN554)&lt;&gt;"",INDEX(職員マスタ!$H$6:$H$405,$AN554)&lt;$AO554))),"対象月が時短期間外／","")&amp;IF(AND(INDEX(職員マスタ!$F$6:$F$405,$AN554)&lt;&gt;"",$AO554&lt;&gt;"",INDEX(職員マスタ!$F$6:$F$405,$AN554)&lt;$AO554),"対象月に子が2歳到達済／","")&amp;IF(AND($H554&lt;&gt;"",INDEX(職員マスタ!$B$6:$B$405,$AN554)&lt;&gt;"",SUBSTITUTE(SUBSTITUTE($H554," ","")," ","")&lt;&gt;SUBSTITUTE(SUBSTITUTE(INDEX(職員マスタ!$B$6:$B$405,$AN554)," ","")," ","")),"氏名がマスタと相違／","")&amp;IF(AND($Q554&lt;&gt;"",INDEX(職員マスタ!$E$6:$E$405,$AN554)&lt;&gt;"",$Q554&lt;&gt;INDEX(職員マスタ!$E$6:$E$405,$AN554)),"子の生年月日がマスタと相違／","")&amp;IF(AND($L554&lt;&gt;"",INDEX(職員マスタ!$G$6:$G$405,$AN554)&lt;&gt;"",$L554&lt;&gt;INDEX(職員マスタ!$G$6:$G$405,$AN554)),"時短開始日がマスタと相違／","")&amp;IF(AND($M554&lt;&gt;"",INDEX(職員マスタ!$H$6:$H$405,$AN554)&lt;&gt;"",$M554&lt;&gt;INDEX(職員マスタ!$H$6:$H$405,$AN554)),"時短終了日がマスタと相違／","")))&amp;IF(AND($B554&lt;&gt;"",$E554=""),"報酬額が未入力／","")&amp;IF(N($U554)&gt;0,"申請書に入力エラーが残っています／","")&amp;IF(AND($B554&lt;&gt;"",$AO554&lt;&gt;""),IF(COUNTIFS($B$6:$B$3005,$B554,$C$6:$C$3005,$C554,$D$6:$D$3005,$D554)&gt;1,"同じ月の請求が重複しています／",""),"")&amp;IF(AND(N($E554)&gt;0,$Z554&lt;&gt;"",$Z554&lt;&gt;"×",$AC554=0,$AB554=""),"計算額が下限以下のため不支給／",""))</f>
        <v/>
      </c>
      <c r="AL554" s="12" t="n"/>
      <c r="AM554" s="14">
        <f>IF($AD554="保留中",COUNTIF($AD$6:$AD554,"保留中"),"")</f>
        <v/>
      </c>
      <c r="AN554" s="14">
        <f>IF($AO554="","",IF(SUMPRODUCT(MAX((職員マスタ!$A$6:$A$405=$B554)*(((職員マスタ!$G$6:$G$405="")+(職員マスタ!$G$6:$G$405&lt;=EOMONTH($AO554,0)))&gt;0)*(((職員マスタ!$H$6:$H$405="")+(職員マスタ!$H$6:$H$405&gt;=$AO554))&gt;0)*(ROW(職員マスタ!$A$6:$A$405)-5)))&gt;0,SUMPRODUCT(MAX((職員マスタ!$A$6:$A$405=$B554)*(((職員マスタ!$G$6:$G$405="")+(職員マスタ!$G$6:$G$405&lt;=EOMONTH($AO554,0)))&gt;0)*(((職員マスタ!$H$6:$H$405="")+(職員マスタ!$H$6:$H$405&gt;=$AO554))&gt;0)*(ROW(職員マスタ!$A$6:$A$405)-5))),IFERROR(MATCH($B554,職員マスタ!$A$6:$A$405,0),"")))</f>
        <v/>
      </c>
      <c r="AO554" s="16">
        <f>IF(OR($B554="",$C554="",$D554=""),"",DATE($C554+2018,$D554,1))</f>
        <v/>
      </c>
    </row>
    <row r="555">
      <c r="A555" s="11" t="n"/>
      <c r="B555" s="12" t="n"/>
      <c r="C555" s="12" t="n"/>
      <c r="D555" s="12" t="n"/>
      <c r="E555" s="13" t="n"/>
      <c r="F555" s="12" t="n"/>
      <c r="G555" s="13" t="n"/>
      <c r="H555" s="12" t="n"/>
      <c r="I555" s="12" t="n"/>
      <c r="J555" s="12" t="n"/>
      <c r="K555" s="12" t="n"/>
      <c r="L555" s="11" t="n"/>
      <c r="M555" s="11" t="n"/>
      <c r="N555" s="11" t="n"/>
      <c r="O555" s="11" t="n"/>
      <c r="P555" s="12" t="n"/>
      <c r="Q555" s="11" t="n"/>
      <c r="R555" s="12" t="n"/>
      <c r="S555" s="11" t="n"/>
      <c r="T555" s="12" t="n"/>
      <c r="U555" s="12" t="n"/>
      <c r="V555" s="14">
        <f>IF($AN555="",IF($B555="","",$H555),IF(INDEX(職員マスタ!$B$6:$B$405,$AN555)="",$H555,INDEX(職員マスタ!$B$6:$B$405,$AN555)))</f>
        <v/>
      </c>
      <c r="W555" s="14">
        <f>IF($AN555="",IF($B555="","",$R555),IF(INDEX(職員マスタ!$C$6:$C$405,$AN555)="",$R555,INDEX(職員マスタ!$C$6:$C$405,$AN555)))</f>
        <v/>
      </c>
      <c r="X555" s="14">
        <f>IF($AO555="","","R"&amp;$C555&amp;"."&amp;$D555)</f>
        <v/>
      </c>
      <c r="Y555" s="15">
        <f>IF($AN555="","",IF(INDEX(職員マスタ!$K$6:$K$405,$AN555)="","",INDEX(職員マスタ!$K$6:$K$405,$AN555)))</f>
        <v/>
      </c>
      <c r="Z555" s="14">
        <f>IF(OR($E555="",$Y555=""),"",IF($E555&gt;=$Y555,"×",IF($E555&gt;=$Y555*設定!$C$5,"△","○")))</f>
        <v/>
      </c>
      <c r="AA555" s="15">
        <f>IF($Z555="","",IF($Z555="×",0,IF($Z555="○",ROUNDDOWN($E555*設定!$C$4,0),ROUNDDOWN($E555*ROUND((9*$Y555-9*$E555)/(10*$E555),4),0))))</f>
        <v/>
      </c>
      <c r="AB555" s="13" t="n"/>
      <c r="AC555" s="15">
        <f>IF($B555="","",IF($AB555&lt;&gt;"",$AB555,IF($AA555="","",IF($AA555&lt;=設定!$C$3,0,$AA555))))</f>
        <v/>
      </c>
      <c r="AD555" s="14">
        <f>IF($B555="","",IF(AND($AE555&lt;&gt;"",$AG555="",$AJ555=""),"保留中",IF($AJ555&lt;&gt;"",IF(N($AC555)&gt;0,"支給済","不支給"),IF($AC555="","要確認",IF($AC555=0,"不支給","未処理")))))</f>
        <v/>
      </c>
      <c r="AE555" s="12" t="n"/>
      <c r="AF555" s="11" t="n"/>
      <c r="AG555" s="11" t="n"/>
      <c r="AH555" s="11" t="n"/>
      <c r="AI555" s="14">
        <f>IF(AND($AD555="保留中",$AF555&lt;&gt;""),TODAY()-$AF555,"")</f>
        <v/>
      </c>
      <c r="AJ555" s="12" t="n"/>
      <c r="AK555" s="14">
        <f>IF($B555="","",IF($AO555="","対象年月が未入力／","")&amp;IF($B555="","",IF($AN555="","職員マスタに未登録の職員番号／",IF($Y555="","標準報酬月額が未登録／","")&amp;IF(AND($AO555&lt;&gt;"",OR(AND(INDEX(職員マスタ!$G$6:$G$405,$AN555)&lt;&gt;"",INDEX(職員マスタ!$G$6:$G$405,$AN555)&gt;EOMONTH($AO555,0)),AND(INDEX(職員マスタ!$H$6:$H$405,$AN555)&lt;&gt;"",INDEX(職員マスタ!$H$6:$H$405,$AN555)&lt;$AO555))),"対象月が時短期間外／","")&amp;IF(AND(INDEX(職員マスタ!$F$6:$F$405,$AN555)&lt;&gt;"",$AO555&lt;&gt;"",INDEX(職員マスタ!$F$6:$F$405,$AN555)&lt;$AO555),"対象月に子が2歳到達済／","")&amp;IF(AND($H555&lt;&gt;"",INDEX(職員マスタ!$B$6:$B$405,$AN555)&lt;&gt;"",SUBSTITUTE(SUBSTITUTE($H555," ","")," ","")&lt;&gt;SUBSTITUTE(SUBSTITUTE(INDEX(職員マスタ!$B$6:$B$405,$AN555)," ","")," ","")),"氏名がマスタと相違／","")&amp;IF(AND($Q555&lt;&gt;"",INDEX(職員マスタ!$E$6:$E$405,$AN555)&lt;&gt;"",$Q555&lt;&gt;INDEX(職員マスタ!$E$6:$E$405,$AN555)),"子の生年月日がマスタと相違／","")&amp;IF(AND($L555&lt;&gt;"",INDEX(職員マスタ!$G$6:$G$405,$AN555)&lt;&gt;"",$L555&lt;&gt;INDEX(職員マスタ!$G$6:$G$405,$AN555)),"時短開始日がマスタと相違／","")&amp;IF(AND($M555&lt;&gt;"",INDEX(職員マスタ!$H$6:$H$405,$AN555)&lt;&gt;"",$M555&lt;&gt;INDEX(職員マスタ!$H$6:$H$405,$AN555)),"時短終了日がマスタと相違／","")))&amp;IF(AND($B555&lt;&gt;"",$E555=""),"報酬額が未入力／","")&amp;IF(N($U555)&gt;0,"申請書に入力エラーが残っています／","")&amp;IF(AND($B555&lt;&gt;"",$AO555&lt;&gt;""),IF(COUNTIFS($B$6:$B$3005,$B555,$C$6:$C$3005,$C555,$D$6:$D$3005,$D555)&gt;1,"同じ月の請求が重複しています／",""),"")&amp;IF(AND(N($E555)&gt;0,$Z555&lt;&gt;"",$Z555&lt;&gt;"×",$AC555=0,$AB555=""),"計算額が下限以下のため不支給／",""))</f>
        <v/>
      </c>
      <c r="AL555" s="12" t="n"/>
      <c r="AM555" s="14">
        <f>IF($AD555="保留中",COUNTIF($AD$6:$AD555,"保留中"),"")</f>
        <v/>
      </c>
      <c r="AN555" s="14">
        <f>IF($AO555="","",IF(SUMPRODUCT(MAX((職員マスタ!$A$6:$A$405=$B555)*(((職員マスタ!$G$6:$G$405="")+(職員マスタ!$G$6:$G$405&lt;=EOMONTH($AO555,0)))&gt;0)*(((職員マスタ!$H$6:$H$405="")+(職員マスタ!$H$6:$H$405&gt;=$AO555))&gt;0)*(ROW(職員マスタ!$A$6:$A$405)-5)))&gt;0,SUMPRODUCT(MAX((職員マスタ!$A$6:$A$405=$B555)*(((職員マスタ!$G$6:$G$405="")+(職員マスタ!$G$6:$G$405&lt;=EOMONTH($AO555,0)))&gt;0)*(((職員マスタ!$H$6:$H$405="")+(職員マスタ!$H$6:$H$405&gt;=$AO555))&gt;0)*(ROW(職員マスタ!$A$6:$A$405)-5))),IFERROR(MATCH($B555,職員マスタ!$A$6:$A$405,0),"")))</f>
        <v/>
      </c>
      <c r="AO555" s="16">
        <f>IF(OR($B555="",$C555="",$D555=""),"",DATE($C555+2018,$D555,1))</f>
        <v/>
      </c>
    </row>
    <row r="556">
      <c r="A556" s="11" t="n"/>
      <c r="B556" s="12" t="n"/>
      <c r="C556" s="12" t="n"/>
      <c r="D556" s="12" t="n"/>
      <c r="E556" s="13" t="n"/>
      <c r="F556" s="12" t="n"/>
      <c r="G556" s="13" t="n"/>
      <c r="H556" s="12" t="n"/>
      <c r="I556" s="12" t="n"/>
      <c r="J556" s="12" t="n"/>
      <c r="K556" s="12" t="n"/>
      <c r="L556" s="11" t="n"/>
      <c r="M556" s="11" t="n"/>
      <c r="N556" s="11" t="n"/>
      <c r="O556" s="11" t="n"/>
      <c r="P556" s="12" t="n"/>
      <c r="Q556" s="11" t="n"/>
      <c r="R556" s="12" t="n"/>
      <c r="S556" s="11" t="n"/>
      <c r="T556" s="12" t="n"/>
      <c r="U556" s="12" t="n"/>
      <c r="V556" s="14">
        <f>IF($AN556="",IF($B556="","",$H556),IF(INDEX(職員マスタ!$B$6:$B$405,$AN556)="",$H556,INDEX(職員マスタ!$B$6:$B$405,$AN556)))</f>
        <v/>
      </c>
      <c r="W556" s="14">
        <f>IF($AN556="",IF($B556="","",$R556),IF(INDEX(職員マスタ!$C$6:$C$405,$AN556)="",$R556,INDEX(職員マスタ!$C$6:$C$405,$AN556)))</f>
        <v/>
      </c>
      <c r="X556" s="14">
        <f>IF($AO556="","","R"&amp;$C556&amp;"."&amp;$D556)</f>
        <v/>
      </c>
      <c r="Y556" s="15">
        <f>IF($AN556="","",IF(INDEX(職員マスタ!$K$6:$K$405,$AN556)="","",INDEX(職員マスタ!$K$6:$K$405,$AN556)))</f>
        <v/>
      </c>
      <c r="Z556" s="14">
        <f>IF(OR($E556="",$Y556=""),"",IF($E556&gt;=$Y556,"×",IF($E556&gt;=$Y556*設定!$C$5,"△","○")))</f>
        <v/>
      </c>
      <c r="AA556" s="15">
        <f>IF($Z556="","",IF($Z556="×",0,IF($Z556="○",ROUNDDOWN($E556*設定!$C$4,0),ROUNDDOWN($E556*ROUND((9*$Y556-9*$E556)/(10*$E556),4),0))))</f>
        <v/>
      </c>
      <c r="AB556" s="13" t="n"/>
      <c r="AC556" s="15">
        <f>IF($B556="","",IF($AB556&lt;&gt;"",$AB556,IF($AA556="","",IF($AA556&lt;=設定!$C$3,0,$AA556))))</f>
        <v/>
      </c>
      <c r="AD556" s="14">
        <f>IF($B556="","",IF(AND($AE556&lt;&gt;"",$AG556="",$AJ556=""),"保留中",IF($AJ556&lt;&gt;"",IF(N($AC556)&gt;0,"支給済","不支給"),IF($AC556="","要確認",IF($AC556=0,"不支給","未処理")))))</f>
        <v/>
      </c>
      <c r="AE556" s="12" t="n"/>
      <c r="AF556" s="11" t="n"/>
      <c r="AG556" s="11" t="n"/>
      <c r="AH556" s="11" t="n"/>
      <c r="AI556" s="14">
        <f>IF(AND($AD556="保留中",$AF556&lt;&gt;""),TODAY()-$AF556,"")</f>
        <v/>
      </c>
      <c r="AJ556" s="12" t="n"/>
      <c r="AK556" s="14">
        <f>IF($B556="","",IF($AO556="","対象年月が未入力／","")&amp;IF($B556="","",IF($AN556="","職員マスタに未登録の職員番号／",IF($Y556="","標準報酬月額が未登録／","")&amp;IF(AND($AO556&lt;&gt;"",OR(AND(INDEX(職員マスタ!$G$6:$G$405,$AN556)&lt;&gt;"",INDEX(職員マスタ!$G$6:$G$405,$AN556)&gt;EOMONTH($AO556,0)),AND(INDEX(職員マスタ!$H$6:$H$405,$AN556)&lt;&gt;"",INDEX(職員マスタ!$H$6:$H$405,$AN556)&lt;$AO556))),"対象月が時短期間外／","")&amp;IF(AND(INDEX(職員マスタ!$F$6:$F$405,$AN556)&lt;&gt;"",$AO556&lt;&gt;"",INDEX(職員マスタ!$F$6:$F$405,$AN556)&lt;$AO556),"対象月に子が2歳到達済／","")&amp;IF(AND($H556&lt;&gt;"",INDEX(職員マスタ!$B$6:$B$405,$AN556)&lt;&gt;"",SUBSTITUTE(SUBSTITUTE($H556," ","")," ","")&lt;&gt;SUBSTITUTE(SUBSTITUTE(INDEX(職員マスタ!$B$6:$B$405,$AN556)," ","")," ","")),"氏名がマスタと相違／","")&amp;IF(AND($Q556&lt;&gt;"",INDEX(職員マスタ!$E$6:$E$405,$AN556)&lt;&gt;"",$Q556&lt;&gt;INDEX(職員マスタ!$E$6:$E$405,$AN556)),"子の生年月日がマスタと相違／","")&amp;IF(AND($L556&lt;&gt;"",INDEX(職員マスタ!$G$6:$G$405,$AN556)&lt;&gt;"",$L556&lt;&gt;INDEX(職員マスタ!$G$6:$G$405,$AN556)),"時短開始日がマスタと相違／","")&amp;IF(AND($M556&lt;&gt;"",INDEX(職員マスタ!$H$6:$H$405,$AN556)&lt;&gt;"",$M556&lt;&gt;INDEX(職員マスタ!$H$6:$H$405,$AN556)),"時短終了日がマスタと相違／","")))&amp;IF(AND($B556&lt;&gt;"",$E556=""),"報酬額が未入力／","")&amp;IF(N($U556)&gt;0,"申請書に入力エラーが残っています／","")&amp;IF(AND($B556&lt;&gt;"",$AO556&lt;&gt;""),IF(COUNTIFS($B$6:$B$3005,$B556,$C$6:$C$3005,$C556,$D$6:$D$3005,$D556)&gt;1,"同じ月の請求が重複しています／",""),"")&amp;IF(AND(N($E556)&gt;0,$Z556&lt;&gt;"",$Z556&lt;&gt;"×",$AC556=0,$AB556=""),"計算額が下限以下のため不支給／",""))</f>
        <v/>
      </c>
      <c r="AL556" s="12" t="n"/>
      <c r="AM556" s="14">
        <f>IF($AD556="保留中",COUNTIF($AD$6:$AD556,"保留中"),"")</f>
        <v/>
      </c>
      <c r="AN556" s="14">
        <f>IF($AO556="","",IF(SUMPRODUCT(MAX((職員マスタ!$A$6:$A$405=$B556)*(((職員マスタ!$G$6:$G$405="")+(職員マスタ!$G$6:$G$405&lt;=EOMONTH($AO556,0)))&gt;0)*(((職員マスタ!$H$6:$H$405="")+(職員マスタ!$H$6:$H$405&gt;=$AO556))&gt;0)*(ROW(職員マスタ!$A$6:$A$405)-5)))&gt;0,SUMPRODUCT(MAX((職員マスタ!$A$6:$A$405=$B556)*(((職員マスタ!$G$6:$G$405="")+(職員マスタ!$G$6:$G$405&lt;=EOMONTH($AO556,0)))&gt;0)*(((職員マスタ!$H$6:$H$405="")+(職員マスタ!$H$6:$H$405&gt;=$AO556))&gt;0)*(ROW(職員マスタ!$A$6:$A$405)-5))),IFERROR(MATCH($B556,職員マスタ!$A$6:$A$405,0),"")))</f>
        <v/>
      </c>
      <c r="AO556" s="16">
        <f>IF(OR($B556="",$C556="",$D556=""),"",DATE($C556+2018,$D556,1))</f>
        <v/>
      </c>
    </row>
    <row r="557">
      <c r="A557" s="11" t="n"/>
      <c r="B557" s="12" t="n"/>
      <c r="C557" s="12" t="n"/>
      <c r="D557" s="12" t="n"/>
      <c r="E557" s="13" t="n"/>
      <c r="F557" s="12" t="n"/>
      <c r="G557" s="13" t="n"/>
      <c r="H557" s="12" t="n"/>
      <c r="I557" s="12" t="n"/>
      <c r="J557" s="12" t="n"/>
      <c r="K557" s="12" t="n"/>
      <c r="L557" s="11" t="n"/>
      <c r="M557" s="11" t="n"/>
      <c r="N557" s="11" t="n"/>
      <c r="O557" s="11" t="n"/>
      <c r="P557" s="12" t="n"/>
      <c r="Q557" s="11" t="n"/>
      <c r="R557" s="12" t="n"/>
      <c r="S557" s="11" t="n"/>
      <c r="T557" s="12" t="n"/>
      <c r="U557" s="12" t="n"/>
      <c r="V557" s="14">
        <f>IF($AN557="",IF($B557="","",$H557),IF(INDEX(職員マスタ!$B$6:$B$405,$AN557)="",$H557,INDEX(職員マスタ!$B$6:$B$405,$AN557)))</f>
        <v/>
      </c>
      <c r="W557" s="14">
        <f>IF($AN557="",IF($B557="","",$R557),IF(INDEX(職員マスタ!$C$6:$C$405,$AN557)="",$R557,INDEX(職員マスタ!$C$6:$C$405,$AN557)))</f>
        <v/>
      </c>
      <c r="X557" s="14">
        <f>IF($AO557="","","R"&amp;$C557&amp;"."&amp;$D557)</f>
        <v/>
      </c>
      <c r="Y557" s="15">
        <f>IF($AN557="","",IF(INDEX(職員マスタ!$K$6:$K$405,$AN557)="","",INDEX(職員マスタ!$K$6:$K$405,$AN557)))</f>
        <v/>
      </c>
      <c r="Z557" s="14">
        <f>IF(OR($E557="",$Y557=""),"",IF($E557&gt;=$Y557,"×",IF($E557&gt;=$Y557*設定!$C$5,"△","○")))</f>
        <v/>
      </c>
      <c r="AA557" s="15">
        <f>IF($Z557="","",IF($Z557="×",0,IF($Z557="○",ROUNDDOWN($E557*設定!$C$4,0),ROUNDDOWN($E557*ROUND((9*$Y557-9*$E557)/(10*$E557),4),0))))</f>
        <v/>
      </c>
      <c r="AB557" s="13" t="n"/>
      <c r="AC557" s="15">
        <f>IF($B557="","",IF($AB557&lt;&gt;"",$AB557,IF($AA557="","",IF($AA557&lt;=設定!$C$3,0,$AA557))))</f>
        <v/>
      </c>
      <c r="AD557" s="14">
        <f>IF($B557="","",IF(AND($AE557&lt;&gt;"",$AG557="",$AJ557=""),"保留中",IF($AJ557&lt;&gt;"",IF(N($AC557)&gt;0,"支給済","不支給"),IF($AC557="","要確認",IF($AC557=0,"不支給","未処理")))))</f>
        <v/>
      </c>
      <c r="AE557" s="12" t="n"/>
      <c r="AF557" s="11" t="n"/>
      <c r="AG557" s="11" t="n"/>
      <c r="AH557" s="11" t="n"/>
      <c r="AI557" s="14">
        <f>IF(AND($AD557="保留中",$AF557&lt;&gt;""),TODAY()-$AF557,"")</f>
        <v/>
      </c>
      <c r="AJ557" s="12" t="n"/>
      <c r="AK557" s="14">
        <f>IF($B557="","",IF($AO557="","対象年月が未入力／","")&amp;IF($B557="","",IF($AN557="","職員マスタに未登録の職員番号／",IF($Y557="","標準報酬月額が未登録／","")&amp;IF(AND($AO557&lt;&gt;"",OR(AND(INDEX(職員マスタ!$G$6:$G$405,$AN557)&lt;&gt;"",INDEX(職員マスタ!$G$6:$G$405,$AN557)&gt;EOMONTH($AO557,0)),AND(INDEX(職員マスタ!$H$6:$H$405,$AN557)&lt;&gt;"",INDEX(職員マスタ!$H$6:$H$405,$AN557)&lt;$AO557))),"対象月が時短期間外／","")&amp;IF(AND(INDEX(職員マスタ!$F$6:$F$405,$AN557)&lt;&gt;"",$AO557&lt;&gt;"",INDEX(職員マスタ!$F$6:$F$405,$AN557)&lt;$AO557),"対象月に子が2歳到達済／","")&amp;IF(AND($H557&lt;&gt;"",INDEX(職員マスタ!$B$6:$B$405,$AN557)&lt;&gt;"",SUBSTITUTE(SUBSTITUTE($H557," ","")," ","")&lt;&gt;SUBSTITUTE(SUBSTITUTE(INDEX(職員マスタ!$B$6:$B$405,$AN557)," ","")," ","")),"氏名がマスタと相違／","")&amp;IF(AND($Q557&lt;&gt;"",INDEX(職員マスタ!$E$6:$E$405,$AN557)&lt;&gt;"",$Q557&lt;&gt;INDEX(職員マスタ!$E$6:$E$405,$AN557)),"子の生年月日がマスタと相違／","")&amp;IF(AND($L557&lt;&gt;"",INDEX(職員マスタ!$G$6:$G$405,$AN557)&lt;&gt;"",$L557&lt;&gt;INDEX(職員マスタ!$G$6:$G$405,$AN557)),"時短開始日がマスタと相違／","")&amp;IF(AND($M557&lt;&gt;"",INDEX(職員マスタ!$H$6:$H$405,$AN557)&lt;&gt;"",$M557&lt;&gt;INDEX(職員マスタ!$H$6:$H$405,$AN557)),"時短終了日がマスタと相違／","")))&amp;IF(AND($B557&lt;&gt;"",$E557=""),"報酬額が未入力／","")&amp;IF(N($U557)&gt;0,"申請書に入力エラーが残っています／","")&amp;IF(AND($B557&lt;&gt;"",$AO557&lt;&gt;""),IF(COUNTIFS($B$6:$B$3005,$B557,$C$6:$C$3005,$C557,$D$6:$D$3005,$D557)&gt;1,"同じ月の請求が重複しています／",""),"")&amp;IF(AND(N($E557)&gt;0,$Z557&lt;&gt;"",$Z557&lt;&gt;"×",$AC557=0,$AB557=""),"計算額が下限以下のため不支給／",""))</f>
        <v/>
      </c>
      <c r="AL557" s="12" t="n"/>
      <c r="AM557" s="14">
        <f>IF($AD557="保留中",COUNTIF($AD$6:$AD557,"保留中"),"")</f>
        <v/>
      </c>
      <c r="AN557" s="14">
        <f>IF($AO557="","",IF(SUMPRODUCT(MAX((職員マスタ!$A$6:$A$405=$B557)*(((職員マスタ!$G$6:$G$405="")+(職員マスタ!$G$6:$G$405&lt;=EOMONTH($AO557,0)))&gt;0)*(((職員マスタ!$H$6:$H$405="")+(職員マスタ!$H$6:$H$405&gt;=$AO557))&gt;0)*(ROW(職員マスタ!$A$6:$A$405)-5)))&gt;0,SUMPRODUCT(MAX((職員マスタ!$A$6:$A$405=$B557)*(((職員マスタ!$G$6:$G$405="")+(職員マスタ!$G$6:$G$405&lt;=EOMONTH($AO557,0)))&gt;0)*(((職員マスタ!$H$6:$H$405="")+(職員マスタ!$H$6:$H$405&gt;=$AO557))&gt;0)*(ROW(職員マスタ!$A$6:$A$405)-5))),IFERROR(MATCH($B557,職員マスタ!$A$6:$A$405,0),"")))</f>
        <v/>
      </c>
      <c r="AO557" s="16">
        <f>IF(OR($B557="",$C557="",$D557=""),"",DATE($C557+2018,$D557,1))</f>
        <v/>
      </c>
    </row>
    <row r="558">
      <c r="A558" s="11" t="n"/>
      <c r="B558" s="12" t="n"/>
      <c r="C558" s="12" t="n"/>
      <c r="D558" s="12" t="n"/>
      <c r="E558" s="13" t="n"/>
      <c r="F558" s="12" t="n"/>
      <c r="G558" s="13" t="n"/>
      <c r="H558" s="12" t="n"/>
      <c r="I558" s="12" t="n"/>
      <c r="J558" s="12" t="n"/>
      <c r="K558" s="12" t="n"/>
      <c r="L558" s="11" t="n"/>
      <c r="M558" s="11" t="n"/>
      <c r="N558" s="11" t="n"/>
      <c r="O558" s="11" t="n"/>
      <c r="P558" s="12" t="n"/>
      <c r="Q558" s="11" t="n"/>
      <c r="R558" s="12" t="n"/>
      <c r="S558" s="11" t="n"/>
      <c r="T558" s="12" t="n"/>
      <c r="U558" s="12" t="n"/>
      <c r="V558" s="14">
        <f>IF($AN558="",IF($B558="","",$H558),IF(INDEX(職員マスタ!$B$6:$B$405,$AN558)="",$H558,INDEX(職員マスタ!$B$6:$B$405,$AN558)))</f>
        <v/>
      </c>
      <c r="W558" s="14">
        <f>IF($AN558="",IF($B558="","",$R558),IF(INDEX(職員マスタ!$C$6:$C$405,$AN558)="",$R558,INDEX(職員マスタ!$C$6:$C$405,$AN558)))</f>
        <v/>
      </c>
      <c r="X558" s="14">
        <f>IF($AO558="","","R"&amp;$C558&amp;"."&amp;$D558)</f>
        <v/>
      </c>
      <c r="Y558" s="15">
        <f>IF($AN558="","",IF(INDEX(職員マスタ!$K$6:$K$405,$AN558)="","",INDEX(職員マスタ!$K$6:$K$405,$AN558)))</f>
        <v/>
      </c>
      <c r="Z558" s="14">
        <f>IF(OR($E558="",$Y558=""),"",IF($E558&gt;=$Y558,"×",IF($E558&gt;=$Y558*設定!$C$5,"△","○")))</f>
        <v/>
      </c>
      <c r="AA558" s="15">
        <f>IF($Z558="","",IF($Z558="×",0,IF($Z558="○",ROUNDDOWN($E558*設定!$C$4,0),ROUNDDOWN($E558*ROUND((9*$Y558-9*$E558)/(10*$E558),4),0))))</f>
        <v/>
      </c>
      <c r="AB558" s="13" t="n"/>
      <c r="AC558" s="15">
        <f>IF($B558="","",IF($AB558&lt;&gt;"",$AB558,IF($AA558="","",IF($AA558&lt;=設定!$C$3,0,$AA558))))</f>
        <v/>
      </c>
      <c r="AD558" s="14">
        <f>IF($B558="","",IF(AND($AE558&lt;&gt;"",$AG558="",$AJ558=""),"保留中",IF($AJ558&lt;&gt;"",IF(N($AC558)&gt;0,"支給済","不支給"),IF($AC558="","要確認",IF($AC558=0,"不支給","未処理")))))</f>
        <v/>
      </c>
      <c r="AE558" s="12" t="n"/>
      <c r="AF558" s="11" t="n"/>
      <c r="AG558" s="11" t="n"/>
      <c r="AH558" s="11" t="n"/>
      <c r="AI558" s="14">
        <f>IF(AND($AD558="保留中",$AF558&lt;&gt;""),TODAY()-$AF558,"")</f>
        <v/>
      </c>
      <c r="AJ558" s="12" t="n"/>
      <c r="AK558" s="14">
        <f>IF($B558="","",IF($AO558="","対象年月が未入力／","")&amp;IF($B558="","",IF($AN558="","職員マスタに未登録の職員番号／",IF($Y558="","標準報酬月額が未登録／","")&amp;IF(AND($AO558&lt;&gt;"",OR(AND(INDEX(職員マスタ!$G$6:$G$405,$AN558)&lt;&gt;"",INDEX(職員マスタ!$G$6:$G$405,$AN558)&gt;EOMONTH($AO558,0)),AND(INDEX(職員マスタ!$H$6:$H$405,$AN558)&lt;&gt;"",INDEX(職員マスタ!$H$6:$H$405,$AN558)&lt;$AO558))),"対象月が時短期間外／","")&amp;IF(AND(INDEX(職員マスタ!$F$6:$F$405,$AN558)&lt;&gt;"",$AO558&lt;&gt;"",INDEX(職員マスタ!$F$6:$F$405,$AN558)&lt;$AO558),"対象月に子が2歳到達済／","")&amp;IF(AND($H558&lt;&gt;"",INDEX(職員マスタ!$B$6:$B$405,$AN558)&lt;&gt;"",SUBSTITUTE(SUBSTITUTE($H558," ","")," ","")&lt;&gt;SUBSTITUTE(SUBSTITUTE(INDEX(職員マスタ!$B$6:$B$405,$AN558)," ","")," ","")),"氏名がマスタと相違／","")&amp;IF(AND($Q558&lt;&gt;"",INDEX(職員マスタ!$E$6:$E$405,$AN558)&lt;&gt;"",$Q558&lt;&gt;INDEX(職員マスタ!$E$6:$E$405,$AN558)),"子の生年月日がマスタと相違／","")&amp;IF(AND($L558&lt;&gt;"",INDEX(職員マスタ!$G$6:$G$405,$AN558)&lt;&gt;"",$L558&lt;&gt;INDEX(職員マスタ!$G$6:$G$405,$AN558)),"時短開始日がマスタと相違／","")&amp;IF(AND($M558&lt;&gt;"",INDEX(職員マスタ!$H$6:$H$405,$AN558)&lt;&gt;"",$M558&lt;&gt;INDEX(職員マスタ!$H$6:$H$405,$AN558)),"時短終了日がマスタと相違／","")))&amp;IF(AND($B558&lt;&gt;"",$E558=""),"報酬額が未入力／","")&amp;IF(N($U558)&gt;0,"申請書に入力エラーが残っています／","")&amp;IF(AND($B558&lt;&gt;"",$AO558&lt;&gt;""),IF(COUNTIFS($B$6:$B$3005,$B558,$C$6:$C$3005,$C558,$D$6:$D$3005,$D558)&gt;1,"同じ月の請求が重複しています／",""),"")&amp;IF(AND(N($E558)&gt;0,$Z558&lt;&gt;"",$Z558&lt;&gt;"×",$AC558=0,$AB558=""),"計算額が下限以下のため不支給／",""))</f>
        <v/>
      </c>
      <c r="AL558" s="12" t="n"/>
      <c r="AM558" s="14">
        <f>IF($AD558="保留中",COUNTIF($AD$6:$AD558,"保留中"),"")</f>
        <v/>
      </c>
      <c r="AN558" s="14">
        <f>IF($AO558="","",IF(SUMPRODUCT(MAX((職員マスタ!$A$6:$A$405=$B558)*(((職員マスタ!$G$6:$G$405="")+(職員マスタ!$G$6:$G$405&lt;=EOMONTH($AO558,0)))&gt;0)*(((職員マスタ!$H$6:$H$405="")+(職員マスタ!$H$6:$H$405&gt;=$AO558))&gt;0)*(ROW(職員マスタ!$A$6:$A$405)-5)))&gt;0,SUMPRODUCT(MAX((職員マスタ!$A$6:$A$405=$B558)*(((職員マスタ!$G$6:$G$405="")+(職員マスタ!$G$6:$G$405&lt;=EOMONTH($AO558,0)))&gt;0)*(((職員マスタ!$H$6:$H$405="")+(職員マスタ!$H$6:$H$405&gt;=$AO558))&gt;0)*(ROW(職員マスタ!$A$6:$A$405)-5))),IFERROR(MATCH($B558,職員マスタ!$A$6:$A$405,0),"")))</f>
        <v/>
      </c>
      <c r="AO558" s="16">
        <f>IF(OR($B558="",$C558="",$D558=""),"",DATE($C558+2018,$D558,1))</f>
        <v/>
      </c>
    </row>
    <row r="559">
      <c r="A559" s="11" t="n"/>
      <c r="B559" s="12" t="n"/>
      <c r="C559" s="12" t="n"/>
      <c r="D559" s="12" t="n"/>
      <c r="E559" s="13" t="n"/>
      <c r="F559" s="12" t="n"/>
      <c r="G559" s="13" t="n"/>
      <c r="H559" s="12" t="n"/>
      <c r="I559" s="12" t="n"/>
      <c r="J559" s="12" t="n"/>
      <c r="K559" s="12" t="n"/>
      <c r="L559" s="11" t="n"/>
      <c r="M559" s="11" t="n"/>
      <c r="N559" s="11" t="n"/>
      <c r="O559" s="11" t="n"/>
      <c r="P559" s="12" t="n"/>
      <c r="Q559" s="11" t="n"/>
      <c r="R559" s="12" t="n"/>
      <c r="S559" s="11" t="n"/>
      <c r="T559" s="12" t="n"/>
      <c r="U559" s="12" t="n"/>
      <c r="V559" s="14">
        <f>IF($AN559="",IF($B559="","",$H559),IF(INDEX(職員マスタ!$B$6:$B$405,$AN559)="",$H559,INDEX(職員マスタ!$B$6:$B$405,$AN559)))</f>
        <v/>
      </c>
      <c r="W559" s="14">
        <f>IF($AN559="",IF($B559="","",$R559),IF(INDEX(職員マスタ!$C$6:$C$405,$AN559)="",$R559,INDEX(職員マスタ!$C$6:$C$405,$AN559)))</f>
        <v/>
      </c>
      <c r="X559" s="14">
        <f>IF($AO559="","","R"&amp;$C559&amp;"."&amp;$D559)</f>
        <v/>
      </c>
      <c r="Y559" s="15">
        <f>IF($AN559="","",IF(INDEX(職員マスタ!$K$6:$K$405,$AN559)="","",INDEX(職員マスタ!$K$6:$K$405,$AN559)))</f>
        <v/>
      </c>
      <c r="Z559" s="14">
        <f>IF(OR($E559="",$Y559=""),"",IF($E559&gt;=$Y559,"×",IF($E559&gt;=$Y559*設定!$C$5,"△","○")))</f>
        <v/>
      </c>
      <c r="AA559" s="15">
        <f>IF($Z559="","",IF($Z559="×",0,IF($Z559="○",ROUNDDOWN($E559*設定!$C$4,0),ROUNDDOWN($E559*ROUND((9*$Y559-9*$E559)/(10*$E559),4),0))))</f>
        <v/>
      </c>
      <c r="AB559" s="13" t="n"/>
      <c r="AC559" s="15">
        <f>IF($B559="","",IF($AB559&lt;&gt;"",$AB559,IF($AA559="","",IF($AA559&lt;=設定!$C$3,0,$AA559))))</f>
        <v/>
      </c>
      <c r="AD559" s="14">
        <f>IF($B559="","",IF(AND($AE559&lt;&gt;"",$AG559="",$AJ559=""),"保留中",IF($AJ559&lt;&gt;"",IF(N($AC559)&gt;0,"支給済","不支給"),IF($AC559="","要確認",IF($AC559=0,"不支給","未処理")))))</f>
        <v/>
      </c>
      <c r="AE559" s="12" t="n"/>
      <c r="AF559" s="11" t="n"/>
      <c r="AG559" s="11" t="n"/>
      <c r="AH559" s="11" t="n"/>
      <c r="AI559" s="14">
        <f>IF(AND($AD559="保留中",$AF559&lt;&gt;""),TODAY()-$AF559,"")</f>
        <v/>
      </c>
      <c r="AJ559" s="12" t="n"/>
      <c r="AK559" s="14">
        <f>IF($B559="","",IF($AO559="","対象年月が未入力／","")&amp;IF($B559="","",IF($AN559="","職員マスタに未登録の職員番号／",IF($Y559="","標準報酬月額が未登録／","")&amp;IF(AND($AO559&lt;&gt;"",OR(AND(INDEX(職員マスタ!$G$6:$G$405,$AN559)&lt;&gt;"",INDEX(職員マスタ!$G$6:$G$405,$AN559)&gt;EOMONTH($AO559,0)),AND(INDEX(職員マスタ!$H$6:$H$405,$AN559)&lt;&gt;"",INDEX(職員マスタ!$H$6:$H$405,$AN559)&lt;$AO559))),"対象月が時短期間外／","")&amp;IF(AND(INDEX(職員マスタ!$F$6:$F$405,$AN559)&lt;&gt;"",$AO559&lt;&gt;"",INDEX(職員マスタ!$F$6:$F$405,$AN559)&lt;$AO559),"対象月に子が2歳到達済／","")&amp;IF(AND($H559&lt;&gt;"",INDEX(職員マスタ!$B$6:$B$405,$AN559)&lt;&gt;"",SUBSTITUTE(SUBSTITUTE($H559," ","")," ","")&lt;&gt;SUBSTITUTE(SUBSTITUTE(INDEX(職員マスタ!$B$6:$B$405,$AN559)," ","")," ","")),"氏名がマスタと相違／","")&amp;IF(AND($Q559&lt;&gt;"",INDEX(職員マスタ!$E$6:$E$405,$AN559)&lt;&gt;"",$Q559&lt;&gt;INDEX(職員マスタ!$E$6:$E$405,$AN559)),"子の生年月日がマスタと相違／","")&amp;IF(AND($L559&lt;&gt;"",INDEX(職員マスタ!$G$6:$G$405,$AN559)&lt;&gt;"",$L559&lt;&gt;INDEX(職員マスタ!$G$6:$G$405,$AN559)),"時短開始日がマスタと相違／","")&amp;IF(AND($M559&lt;&gt;"",INDEX(職員マスタ!$H$6:$H$405,$AN559)&lt;&gt;"",$M559&lt;&gt;INDEX(職員マスタ!$H$6:$H$405,$AN559)),"時短終了日がマスタと相違／","")))&amp;IF(AND($B559&lt;&gt;"",$E559=""),"報酬額が未入力／","")&amp;IF(N($U559)&gt;0,"申請書に入力エラーが残っています／","")&amp;IF(AND($B559&lt;&gt;"",$AO559&lt;&gt;""),IF(COUNTIFS($B$6:$B$3005,$B559,$C$6:$C$3005,$C559,$D$6:$D$3005,$D559)&gt;1,"同じ月の請求が重複しています／",""),"")&amp;IF(AND(N($E559)&gt;0,$Z559&lt;&gt;"",$Z559&lt;&gt;"×",$AC559=0,$AB559=""),"計算額が下限以下のため不支給／",""))</f>
        <v/>
      </c>
      <c r="AL559" s="12" t="n"/>
      <c r="AM559" s="14">
        <f>IF($AD559="保留中",COUNTIF($AD$6:$AD559,"保留中"),"")</f>
        <v/>
      </c>
      <c r="AN559" s="14">
        <f>IF($AO559="","",IF(SUMPRODUCT(MAX((職員マスタ!$A$6:$A$405=$B559)*(((職員マスタ!$G$6:$G$405="")+(職員マスタ!$G$6:$G$405&lt;=EOMONTH($AO559,0)))&gt;0)*(((職員マスタ!$H$6:$H$405="")+(職員マスタ!$H$6:$H$405&gt;=$AO559))&gt;0)*(ROW(職員マスタ!$A$6:$A$405)-5)))&gt;0,SUMPRODUCT(MAX((職員マスタ!$A$6:$A$405=$B559)*(((職員マスタ!$G$6:$G$405="")+(職員マスタ!$G$6:$G$405&lt;=EOMONTH($AO559,0)))&gt;0)*(((職員マスタ!$H$6:$H$405="")+(職員マスタ!$H$6:$H$405&gt;=$AO559))&gt;0)*(ROW(職員マスタ!$A$6:$A$405)-5))),IFERROR(MATCH($B559,職員マスタ!$A$6:$A$405,0),"")))</f>
        <v/>
      </c>
      <c r="AO559" s="16">
        <f>IF(OR($B559="",$C559="",$D559=""),"",DATE($C559+2018,$D559,1))</f>
        <v/>
      </c>
    </row>
    <row r="560">
      <c r="A560" s="11" t="n"/>
      <c r="B560" s="12" t="n"/>
      <c r="C560" s="12" t="n"/>
      <c r="D560" s="12" t="n"/>
      <c r="E560" s="13" t="n"/>
      <c r="F560" s="12" t="n"/>
      <c r="G560" s="13" t="n"/>
      <c r="H560" s="12" t="n"/>
      <c r="I560" s="12" t="n"/>
      <c r="J560" s="12" t="n"/>
      <c r="K560" s="12" t="n"/>
      <c r="L560" s="11" t="n"/>
      <c r="M560" s="11" t="n"/>
      <c r="N560" s="11" t="n"/>
      <c r="O560" s="11" t="n"/>
      <c r="P560" s="12" t="n"/>
      <c r="Q560" s="11" t="n"/>
      <c r="R560" s="12" t="n"/>
      <c r="S560" s="11" t="n"/>
      <c r="T560" s="12" t="n"/>
      <c r="U560" s="12" t="n"/>
      <c r="V560" s="14">
        <f>IF($AN560="",IF($B560="","",$H560),IF(INDEX(職員マスタ!$B$6:$B$405,$AN560)="",$H560,INDEX(職員マスタ!$B$6:$B$405,$AN560)))</f>
        <v/>
      </c>
      <c r="W560" s="14">
        <f>IF($AN560="",IF($B560="","",$R560),IF(INDEX(職員マスタ!$C$6:$C$405,$AN560)="",$R560,INDEX(職員マスタ!$C$6:$C$405,$AN560)))</f>
        <v/>
      </c>
      <c r="X560" s="14">
        <f>IF($AO560="","","R"&amp;$C560&amp;"."&amp;$D560)</f>
        <v/>
      </c>
      <c r="Y560" s="15">
        <f>IF($AN560="","",IF(INDEX(職員マスタ!$K$6:$K$405,$AN560)="","",INDEX(職員マスタ!$K$6:$K$405,$AN560)))</f>
        <v/>
      </c>
      <c r="Z560" s="14">
        <f>IF(OR($E560="",$Y560=""),"",IF($E560&gt;=$Y560,"×",IF($E560&gt;=$Y560*設定!$C$5,"△","○")))</f>
        <v/>
      </c>
      <c r="AA560" s="15">
        <f>IF($Z560="","",IF($Z560="×",0,IF($Z560="○",ROUNDDOWN($E560*設定!$C$4,0),ROUNDDOWN($E560*ROUND((9*$Y560-9*$E560)/(10*$E560),4),0))))</f>
        <v/>
      </c>
      <c r="AB560" s="13" t="n"/>
      <c r="AC560" s="15">
        <f>IF($B560="","",IF($AB560&lt;&gt;"",$AB560,IF($AA560="","",IF($AA560&lt;=設定!$C$3,0,$AA560))))</f>
        <v/>
      </c>
      <c r="AD560" s="14">
        <f>IF($B560="","",IF(AND($AE560&lt;&gt;"",$AG560="",$AJ560=""),"保留中",IF($AJ560&lt;&gt;"",IF(N($AC560)&gt;0,"支給済","不支給"),IF($AC560="","要確認",IF($AC560=0,"不支給","未処理")))))</f>
        <v/>
      </c>
      <c r="AE560" s="12" t="n"/>
      <c r="AF560" s="11" t="n"/>
      <c r="AG560" s="11" t="n"/>
      <c r="AH560" s="11" t="n"/>
      <c r="AI560" s="14">
        <f>IF(AND($AD560="保留中",$AF560&lt;&gt;""),TODAY()-$AF560,"")</f>
        <v/>
      </c>
      <c r="AJ560" s="12" t="n"/>
      <c r="AK560" s="14">
        <f>IF($B560="","",IF($AO560="","対象年月が未入力／","")&amp;IF($B560="","",IF($AN560="","職員マスタに未登録の職員番号／",IF($Y560="","標準報酬月額が未登録／","")&amp;IF(AND($AO560&lt;&gt;"",OR(AND(INDEX(職員マスタ!$G$6:$G$405,$AN560)&lt;&gt;"",INDEX(職員マスタ!$G$6:$G$405,$AN560)&gt;EOMONTH($AO560,0)),AND(INDEX(職員マスタ!$H$6:$H$405,$AN560)&lt;&gt;"",INDEX(職員マスタ!$H$6:$H$405,$AN560)&lt;$AO560))),"対象月が時短期間外／","")&amp;IF(AND(INDEX(職員マスタ!$F$6:$F$405,$AN560)&lt;&gt;"",$AO560&lt;&gt;"",INDEX(職員マスタ!$F$6:$F$405,$AN560)&lt;$AO560),"対象月に子が2歳到達済／","")&amp;IF(AND($H560&lt;&gt;"",INDEX(職員マスタ!$B$6:$B$405,$AN560)&lt;&gt;"",SUBSTITUTE(SUBSTITUTE($H560," ","")," ","")&lt;&gt;SUBSTITUTE(SUBSTITUTE(INDEX(職員マスタ!$B$6:$B$405,$AN560)," ","")," ","")),"氏名がマスタと相違／","")&amp;IF(AND($Q560&lt;&gt;"",INDEX(職員マスタ!$E$6:$E$405,$AN560)&lt;&gt;"",$Q560&lt;&gt;INDEX(職員マスタ!$E$6:$E$405,$AN560)),"子の生年月日がマスタと相違／","")&amp;IF(AND($L560&lt;&gt;"",INDEX(職員マスタ!$G$6:$G$405,$AN560)&lt;&gt;"",$L560&lt;&gt;INDEX(職員マスタ!$G$6:$G$405,$AN560)),"時短開始日がマスタと相違／","")&amp;IF(AND($M560&lt;&gt;"",INDEX(職員マスタ!$H$6:$H$405,$AN560)&lt;&gt;"",$M560&lt;&gt;INDEX(職員マスタ!$H$6:$H$405,$AN560)),"時短終了日がマスタと相違／","")))&amp;IF(AND($B560&lt;&gt;"",$E560=""),"報酬額が未入力／","")&amp;IF(N($U560)&gt;0,"申請書に入力エラーが残っています／","")&amp;IF(AND($B560&lt;&gt;"",$AO560&lt;&gt;""),IF(COUNTIFS($B$6:$B$3005,$B560,$C$6:$C$3005,$C560,$D$6:$D$3005,$D560)&gt;1,"同じ月の請求が重複しています／",""),"")&amp;IF(AND(N($E560)&gt;0,$Z560&lt;&gt;"",$Z560&lt;&gt;"×",$AC560=0,$AB560=""),"計算額が下限以下のため不支給／",""))</f>
        <v/>
      </c>
      <c r="AL560" s="12" t="n"/>
      <c r="AM560" s="14">
        <f>IF($AD560="保留中",COUNTIF($AD$6:$AD560,"保留中"),"")</f>
        <v/>
      </c>
      <c r="AN560" s="14">
        <f>IF($AO560="","",IF(SUMPRODUCT(MAX((職員マスタ!$A$6:$A$405=$B560)*(((職員マスタ!$G$6:$G$405="")+(職員マスタ!$G$6:$G$405&lt;=EOMONTH($AO560,0)))&gt;0)*(((職員マスタ!$H$6:$H$405="")+(職員マスタ!$H$6:$H$405&gt;=$AO560))&gt;0)*(ROW(職員マスタ!$A$6:$A$405)-5)))&gt;0,SUMPRODUCT(MAX((職員マスタ!$A$6:$A$405=$B560)*(((職員マスタ!$G$6:$G$405="")+(職員マスタ!$G$6:$G$405&lt;=EOMONTH($AO560,0)))&gt;0)*(((職員マスタ!$H$6:$H$405="")+(職員マスタ!$H$6:$H$405&gt;=$AO560))&gt;0)*(ROW(職員マスタ!$A$6:$A$405)-5))),IFERROR(MATCH($B560,職員マスタ!$A$6:$A$405,0),"")))</f>
        <v/>
      </c>
      <c r="AO560" s="16">
        <f>IF(OR($B560="",$C560="",$D560=""),"",DATE($C560+2018,$D560,1))</f>
        <v/>
      </c>
    </row>
    <row r="561">
      <c r="A561" s="11" t="n"/>
      <c r="B561" s="12" t="n"/>
      <c r="C561" s="12" t="n"/>
      <c r="D561" s="12" t="n"/>
      <c r="E561" s="13" t="n"/>
      <c r="F561" s="12" t="n"/>
      <c r="G561" s="13" t="n"/>
      <c r="H561" s="12" t="n"/>
      <c r="I561" s="12" t="n"/>
      <c r="J561" s="12" t="n"/>
      <c r="K561" s="12" t="n"/>
      <c r="L561" s="11" t="n"/>
      <c r="M561" s="11" t="n"/>
      <c r="N561" s="11" t="n"/>
      <c r="O561" s="11" t="n"/>
      <c r="P561" s="12" t="n"/>
      <c r="Q561" s="11" t="n"/>
      <c r="R561" s="12" t="n"/>
      <c r="S561" s="11" t="n"/>
      <c r="T561" s="12" t="n"/>
      <c r="U561" s="12" t="n"/>
      <c r="V561" s="14">
        <f>IF($AN561="",IF($B561="","",$H561),IF(INDEX(職員マスタ!$B$6:$B$405,$AN561)="",$H561,INDEX(職員マスタ!$B$6:$B$405,$AN561)))</f>
        <v/>
      </c>
      <c r="W561" s="14">
        <f>IF($AN561="",IF($B561="","",$R561),IF(INDEX(職員マスタ!$C$6:$C$405,$AN561)="",$R561,INDEX(職員マスタ!$C$6:$C$405,$AN561)))</f>
        <v/>
      </c>
      <c r="X561" s="14">
        <f>IF($AO561="","","R"&amp;$C561&amp;"."&amp;$D561)</f>
        <v/>
      </c>
      <c r="Y561" s="15">
        <f>IF($AN561="","",IF(INDEX(職員マスタ!$K$6:$K$405,$AN561)="","",INDEX(職員マスタ!$K$6:$K$405,$AN561)))</f>
        <v/>
      </c>
      <c r="Z561" s="14">
        <f>IF(OR($E561="",$Y561=""),"",IF($E561&gt;=$Y561,"×",IF($E561&gt;=$Y561*設定!$C$5,"△","○")))</f>
        <v/>
      </c>
      <c r="AA561" s="15">
        <f>IF($Z561="","",IF($Z561="×",0,IF($Z561="○",ROUNDDOWN($E561*設定!$C$4,0),ROUNDDOWN($E561*ROUND((9*$Y561-9*$E561)/(10*$E561),4),0))))</f>
        <v/>
      </c>
      <c r="AB561" s="13" t="n"/>
      <c r="AC561" s="15">
        <f>IF($B561="","",IF($AB561&lt;&gt;"",$AB561,IF($AA561="","",IF($AA561&lt;=設定!$C$3,0,$AA561))))</f>
        <v/>
      </c>
      <c r="AD561" s="14">
        <f>IF($B561="","",IF(AND($AE561&lt;&gt;"",$AG561="",$AJ561=""),"保留中",IF($AJ561&lt;&gt;"",IF(N($AC561)&gt;0,"支給済","不支給"),IF($AC561="","要確認",IF($AC561=0,"不支給","未処理")))))</f>
        <v/>
      </c>
      <c r="AE561" s="12" t="n"/>
      <c r="AF561" s="11" t="n"/>
      <c r="AG561" s="11" t="n"/>
      <c r="AH561" s="11" t="n"/>
      <c r="AI561" s="14">
        <f>IF(AND($AD561="保留中",$AF561&lt;&gt;""),TODAY()-$AF561,"")</f>
        <v/>
      </c>
      <c r="AJ561" s="12" t="n"/>
      <c r="AK561" s="14">
        <f>IF($B561="","",IF($AO561="","対象年月が未入力／","")&amp;IF($B561="","",IF($AN561="","職員マスタに未登録の職員番号／",IF($Y561="","標準報酬月額が未登録／","")&amp;IF(AND($AO561&lt;&gt;"",OR(AND(INDEX(職員マスタ!$G$6:$G$405,$AN561)&lt;&gt;"",INDEX(職員マスタ!$G$6:$G$405,$AN561)&gt;EOMONTH($AO561,0)),AND(INDEX(職員マスタ!$H$6:$H$405,$AN561)&lt;&gt;"",INDEX(職員マスタ!$H$6:$H$405,$AN561)&lt;$AO561))),"対象月が時短期間外／","")&amp;IF(AND(INDEX(職員マスタ!$F$6:$F$405,$AN561)&lt;&gt;"",$AO561&lt;&gt;"",INDEX(職員マスタ!$F$6:$F$405,$AN561)&lt;$AO561),"対象月に子が2歳到達済／","")&amp;IF(AND($H561&lt;&gt;"",INDEX(職員マスタ!$B$6:$B$405,$AN561)&lt;&gt;"",SUBSTITUTE(SUBSTITUTE($H561," ","")," ","")&lt;&gt;SUBSTITUTE(SUBSTITUTE(INDEX(職員マスタ!$B$6:$B$405,$AN561)," ","")," ","")),"氏名がマスタと相違／","")&amp;IF(AND($Q561&lt;&gt;"",INDEX(職員マスタ!$E$6:$E$405,$AN561)&lt;&gt;"",$Q561&lt;&gt;INDEX(職員マスタ!$E$6:$E$405,$AN561)),"子の生年月日がマスタと相違／","")&amp;IF(AND($L561&lt;&gt;"",INDEX(職員マスタ!$G$6:$G$405,$AN561)&lt;&gt;"",$L561&lt;&gt;INDEX(職員マスタ!$G$6:$G$405,$AN561)),"時短開始日がマスタと相違／","")&amp;IF(AND($M561&lt;&gt;"",INDEX(職員マスタ!$H$6:$H$405,$AN561)&lt;&gt;"",$M561&lt;&gt;INDEX(職員マスタ!$H$6:$H$405,$AN561)),"時短終了日がマスタと相違／","")))&amp;IF(AND($B561&lt;&gt;"",$E561=""),"報酬額が未入力／","")&amp;IF(N($U561)&gt;0,"申請書に入力エラーが残っています／","")&amp;IF(AND($B561&lt;&gt;"",$AO561&lt;&gt;""),IF(COUNTIFS($B$6:$B$3005,$B561,$C$6:$C$3005,$C561,$D$6:$D$3005,$D561)&gt;1,"同じ月の請求が重複しています／",""),"")&amp;IF(AND(N($E561)&gt;0,$Z561&lt;&gt;"",$Z561&lt;&gt;"×",$AC561=0,$AB561=""),"計算額が下限以下のため不支給／",""))</f>
        <v/>
      </c>
      <c r="AL561" s="12" t="n"/>
      <c r="AM561" s="14">
        <f>IF($AD561="保留中",COUNTIF($AD$6:$AD561,"保留中"),"")</f>
        <v/>
      </c>
      <c r="AN561" s="14">
        <f>IF($AO561="","",IF(SUMPRODUCT(MAX((職員マスタ!$A$6:$A$405=$B561)*(((職員マスタ!$G$6:$G$405="")+(職員マスタ!$G$6:$G$405&lt;=EOMONTH($AO561,0)))&gt;0)*(((職員マスタ!$H$6:$H$405="")+(職員マスタ!$H$6:$H$405&gt;=$AO561))&gt;0)*(ROW(職員マスタ!$A$6:$A$405)-5)))&gt;0,SUMPRODUCT(MAX((職員マスタ!$A$6:$A$405=$B561)*(((職員マスタ!$G$6:$G$405="")+(職員マスタ!$G$6:$G$405&lt;=EOMONTH($AO561,0)))&gt;0)*(((職員マスタ!$H$6:$H$405="")+(職員マスタ!$H$6:$H$405&gt;=$AO561))&gt;0)*(ROW(職員マスタ!$A$6:$A$405)-5))),IFERROR(MATCH($B561,職員マスタ!$A$6:$A$405,0),"")))</f>
        <v/>
      </c>
      <c r="AO561" s="16">
        <f>IF(OR($B561="",$C561="",$D561=""),"",DATE($C561+2018,$D561,1))</f>
        <v/>
      </c>
    </row>
    <row r="562">
      <c r="A562" s="11" t="n"/>
      <c r="B562" s="12" t="n"/>
      <c r="C562" s="12" t="n"/>
      <c r="D562" s="12" t="n"/>
      <c r="E562" s="13" t="n"/>
      <c r="F562" s="12" t="n"/>
      <c r="G562" s="13" t="n"/>
      <c r="H562" s="12" t="n"/>
      <c r="I562" s="12" t="n"/>
      <c r="J562" s="12" t="n"/>
      <c r="K562" s="12" t="n"/>
      <c r="L562" s="11" t="n"/>
      <c r="M562" s="11" t="n"/>
      <c r="N562" s="11" t="n"/>
      <c r="O562" s="11" t="n"/>
      <c r="P562" s="12" t="n"/>
      <c r="Q562" s="11" t="n"/>
      <c r="R562" s="12" t="n"/>
      <c r="S562" s="11" t="n"/>
      <c r="T562" s="12" t="n"/>
      <c r="U562" s="12" t="n"/>
      <c r="V562" s="14">
        <f>IF($AN562="",IF($B562="","",$H562),IF(INDEX(職員マスタ!$B$6:$B$405,$AN562)="",$H562,INDEX(職員マスタ!$B$6:$B$405,$AN562)))</f>
        <v/>
      </c>
      <c r="W562" s="14">
        <f>IF($AN562="",IF($B562="","",$R562),IF(INDEX(職員マスタ!$C$6:$C$405,$AN562)="",$R562,INDEX(職員マスタ!$C$6:$C$405,$AN562)))</f>
        <v/>
      </c>
      <c r="X562" s="14">
        <f>IF($AO562="","","R"&amp;$C562&amp;"."&amp;$D562)</f>
        <v/>
      </c>
      <c r="Y562" s="15">
        <f>IF($AN562="","",IF(INDEX(職員マスタ!$K$6:$K$405,$AN562)="","",INDEX(職員マスタ!$K$6:$K$405,$AN562)))</f>
        <v/>
      </c>
      <c r="Z562" s="14">
        <f>IF(OR($E562="",$Y562=""),"",IF($E562&gt;=$Y562,"×",IF($E562&gt;=$Y562*設定!$C$5,"△","○")))</f>
        <v/>
      </c>
      <c r="AA562" s="15">
        <f>IF($Z562="","",IF($Z562="×",0,IF($Z562="○",ROUNDDOWN($E562*設定!$C$4,0),ROUNDDOWN($E562*ROUND((9*$Y562-9*$E562)/(10*$E562),4),0))))</f>
        <v/>
      </c>
      <c r="AB562" s="13" t="n"/>
      <c r="AC562" s="15">
        <f>IF($B562="","",IF($AB562&lt;&gt;"",$AB562,IF($AA562="","",IF($AA562&lt;=設定!$C$3,0,$AA562))))</f>
        <v/>
      </c>
      <c r="AD562" s="14">
        <f>IF($B562="","",IF(AND($AE562&lt;&gt;"",$AG562="",$AJ562=""),"保留中",IF($AJ562&lt;&gt;"",IF(N($AC562)&gt;0,"支給済","不支給"),IF($AC562="","要確認",IF($AC562=0,"不支給","未処理")))))</f>
        <v/>
      </c>
      <c r="AE562" s="12" t="n"/>
      <c r="AF562" s="11" t="n"/>
      <c r="AG562" s="11" t="n"/>
      <c r="AH562" s="11" t="n"/>
      <c r="AI562" s="14">
        <f>IF(AND($AD562="保留中",$AF562&lt;&gt;""),TODAY()-$AF562,"")</f>
        <v/>
      </c>
      <c r="AJ562" s="12" t="n"/>
      <c r="AK562" s="14">
        <f>IF($B562="","",IF($AO562="","対象年月が未入力／","")&amp;IF($B562="","",IF($AN562="","職員マスタに未登録の職員番号／",IF($Y562="","標準報酬月額が未登録／","")&amp;IF(AND($AO562&lt;&gt;"",OR(AND(INDEX(職員マスタ!$G$6:$G$405,$AN562)&lt;&gt;"",INDEX(職員マスタ!$G$6:$G$405,$AN562)&gt;EOMONTH($AO562,0)),AND(INDEX(職員マスタ!$H$6:$H$405,$AN562)&lt;&gt;"",INDEX(職員マスタ!$H$6:$H$405,$AN562)&lt;$AO562))),"対象月が時短期間外／","")&amp;IF(AND(INDEX(職員マスタ!$F$6:$F$405,$AN562)&lt;&gt;"",$AO562&lt;&gt;"",INDEX(職員マスタ!$F$6:$F$405,$AN562)&lt;$AO562),"対象月に子が2歳到達済／","")&amp;IF(AND($H562&lt;&gt;"",INDEX(職員マスタ!$B$6:$B$405,$AN562)&lt;&gt;"",SUBSTITUTE(SUBSTITUTE($H562," ","")," ","")&lt;&gt;SUBSTITUTE(SUBSTITUTE(INDEX(職員マスタ!$B$6:$B$405,$AN562)," ","")," ","")),"氏名がマスタと相違／","")&amp;IF(AND($Q562&lt;&gt;"",INDEX(職員マスタ!$E$6:$E$405,$AN562)&lt;&gt;"",$Q562&lt;&gt;INDEX(職員マスタ!$E$6:$E$405,$AN562)),"子の生年月日がマスタと相違／","")&amp;IF(AND($L562&lt;&gt;"",INDEX(職員マスタ!$G$6:$G$405,$AN562)&lt;&gt;"",$L562&lt;&gt;INDEX(職員マスタ!$G$6:$G$405,$AN562)),"時短開始日がマスタと相違／","")&amp;IF(AND($M562&lt;&gt;"",INDEX(職員マスタ!$H$6:$H$405,$AN562)&lt;&gt;"",$M562&lt;&gt;INDEX(職員マスタ!$H$6:$H$405,$AN562)),"時短終了日がマスタと相違／","")))&amp;IF(AND($B562&lt;&gt;"",$E562=""),"報酬額が未入力／","")&amp;IF(N($U562)&gt;0,"申請書に入力エラーが残っています／","")&amp;IF(AND($B562&lt;&gt;"",$AO562&lt;&gt;""),IF(COUNTIFS($B$6:$B$3005,$B562,$C$6:$C$3005,$C562,$D$6:$D$3005,$D562)&gt;1,"同じ月の請求が重複しています／",""),"")&amp;IF(AND(N($E562)&gt;0,$Z562&lt;&gt;"",$Z562&lt;&gt;"×",$AC562=0,$AB562=""),"計算額が下限以下のため不支給／",""))</f>
        <v/>
      </c>
      <c r="AL562" s="12" t="n"/>
      <c r="AM562" s="14">
        <f>IF($AD562="保留中",COUNTIF($AD$6:$AD562,"保留中"),"")</f>
        <v/>
      </c>
      <c r="AN562" s="14">
        <f>IF($AO562="","",IF(SUMPRODUCT(MAX((職員マスタ!$A$6:$A$405=$B562)*(((職員マスタ!$G$6:$G$405="")+(職員マスタ!$G$6:$G$405&lt;=EOMONTH($AO562,0)))&gt;0)*(((職員マスタ!$H$6:$H$405="")+(職員マスタ!$H$6:$H$405&gt;=$AO562))&gt;0)*(ROW(職員マスタ!$A$6:$A$405)-5)))&gt;0,SUMPRODUCT(MAX((職員マスタ!$A$6:$A$405=$B562)*(((職員マスタ!$G$6:$G$405="")+(職員マスタ!$G$6:$G$405&lt;=EOMONTH($AO562,0)))&gt;0)*(((職員マスタ!$H$6:$H$405="")+(職員マスタ!$H$6:$H$405&gt;=$AO562))&gt;0)*(ROW(職員マスタ!$A$6:$A$405)-5))),IFERROR(MATCH($B562,職員マスタ!$A$6:$A$405,0),"")))</f>
        <v/>
      </c>
      <c r="AO562" s="16">
        <f>IF(OR($B562="",$C562="",$D562=""),"",DATE($C562+2018,$D562,1))</f>
        <v/>
      </c>
    </row>
    <row r="563">
      <c r="A563" s="11" t="n"/>
      <c r="B563" s="12" t="n"/>
      <c r="C563" s="12" t="n"/>
      <c r="D563" s="12" t="n"/>
      <c r="E563" s="13" t="n"/>
      <c r="F563" s="12" t="n"/>
      <c r="G563" s="13" t="n"/>
      <c r="H563" s="12" t="n"/>
      <c r="I563" s="12" t="n"/>
      <c r="J563" s="12" t="n"/>
      <c r="K563" s="12" t="n"/>
      <c r="L563" s="11" t="n"/>
      <c r="M563" s="11" t="n"/>
      <c r="N563" s="11" t="n"/>
      <c r="O563" s="11" t="n"/>
      <c r="P563" s="12" t="n"/>
      <c r="Q563" s="11" t="n"/>
      <c r="R563" s="12" t="n"/>
      <c r="S563" s="11" t="n"/>
      <c r="T563" s="12" t="n"/>
      <c r="U563" s="12" t="n"/>
      <c r="V563" s="14">
        <f>IF($AN563="",IF($B563="","",$H563),IF(INDEX(職員マスタ!$B$6:$B$405,$AN563)="",$H563,INDEX(職員マスタ!$B$6:$B$405,$AN563)))</f>
        <v/>
      </c>
      <c r="W563" s="14">
        <f>IF($AN563="",IF($B563="","",$R563),IF(INDEX(職員マスタ!$C$6:$C$405,$AN563)="",$R563,INDEX(職員マスタ!$C$6:$C$405,$AN563)))</f>
        <v/>
      </c>
      <c r="X563" s="14">
        <f>IF($AO563="","","R"&amp;$C563&amp;"."&amp;$D563)</f>
        <v/>
      </c>
      <c r="Y563" s="15">
        <f>IF($AN563="","",IF(INDEX(職員マスタ!$K$6:$K$405,$AN563)="","",INDEX(職員マスタ!$K$6:$K$405,$AN563)))</f>
        <v/>
      </c>
      <c r="Z563" s="14">
        <f>IF(OR($E563="",$Y563=""),"",IF($E563&gt;=$Y563,"×",IF($E563&gt;=$Y563*設定!$C$5,"△","○")))</f>
        <v/>
      </c>
      <c r="AA563" s="15">
        <f>IF($Z563="","",IF($Z563="×",0,IF($Z563="○",ROUNDDOWN($E563*設定!$C$4,0),ROUNDDOWN($E563*ROUND((9*$Y563-9*$E563)/(10*$E563),4),0))))</f>
        <v/>
      </c>
      <c r="AB563" s="13" t="n"/>
      <c r="AC563" s="15">
        <f>IF($B563="","",IF($AB563&lt;&gt;"",$AB563,IF($AA563="","",IF($AA563&lt;=設定!$C$3,0,$AA563))))</f>
        <v/>
      </c>
      <c r="AD563" s="14">
        <f>IF($B563="","",IF(AND($AE563&lt;&gt;"",$AG563="",$AJ563=""),"保留中",IF($AJ563&lt;&gt;"",IF(N($AC563)&gt;0,"支給済","不支給"),IF($AC563="","要確認",IF($AC563=0,"不支給","未処理")))))</f>
        <v/>
      </c>
      <c r="AE563" s="12" t="n"/>
      <c r="AF563" s="11" t="n"/>
      <c r="AG563" s="11" t="n"/>
      <c r="AH563" s="11" t="n"/>
      <c r="AI563" s="14">
        <f>IF(AND($AD563="保留中",$AF563&lt;&gt;""),TODAY()-$AF563,"")</f>
        <v/>
      </c>
      <c r="AJ563" s="12" t="n"/>
      <c r="AK563" s="14">
        <f>IF($B563="","",IF($AO563="","対象年月が未入力／","")&amp;IF($B563="","",IF($AN563="","職員マスタに未登録の職員番号／",IF($Y563="","標準報酬月額が未登録／","")&amp;IF(AND($AO563&lt;&gt;"",OR(AND(INDEX(職員マスタ!$G$6:$G$405,$AN563)&lt;&gt;"",INDEX(職員マスタ!$G$6:$G$405,$AN563)&gt;EOMONTH($AO563,0)),AND(INDEX(職員マスタ!$H$6:$H$405,$AN563)&lt;&gt;"",INDEX(職員マスタ!$H$6:$H$405,$AN563)&lt;$AO563))),"対象月が時短期間外／","")&amp;IF(AND(INDEX(職員マスタ!$F$6:$F$405,$AN563)&lt;&gt;"",$AO563&lt;&gt;"",INDEX(職員マスタ!$F$6:$F$405,$AN563)&lt;$AO563),"対象月に子が2歳到達済／","")&amp;IF(AND($H563&lt;&gt;"",INDEX(職員マスタ!$B$6:$B$405,$AN563)&lt;&gt;"",SUBSTITUTE(SUBSTITUTE($H563," ","")," ","")&lt;&gt;SUBSTITUTE(SUBSTITUTE(INDEX(職員マスタ!$B$6:$B$405,$AN563)," ","")," ","")),"氏名がマスタと相違／","")&amp;IF(AND($Q563&lt;&gt;"",INDEX(職員マスタ!$E$6:$E$405,$AN563)&lt;&gt;"",$Q563&lt;&gt;INDEX(職員マスタ!$E$6:$E$405,$AN563)),"子の生年月日がマスタと相違／","")&amp;IF(AND($L563&lt;&gt;"",INDEX(職員マスタ!$G$6:$G$405,$AN563)&lt;&gt;"",$L563&lt;&gt;INDEX(職員マスタ!$G$6:$G$405,$AN563)),"時短開始日がマスタと相違／","")&amp;IF(AND($M563&lt;&gt;"",INDEX(職員マスタ!$H$6:$H$405,$AN563)&lt;&gt;"",$M563&lt;&gt;INDEX(職員マスタ!$H$6:$H$405,$AN563)),"時短終了日がマスタと相違／","")))&amp;IF(AND($B563&lt;&gt;"",$E563=""),"報酬額が未入力／","")&amp;IF(N($U563)&gt;0,"申請書に入力エラーが残っています／","")&amp;IF(AND($B563&lt;&gt;"",$AO563&lt;&gt;""),IF(COUNTIFS($B$6:$B$3005,$B563,$C$6:$C$3005,$C563,$D$6:$D$3005,$D563)&gt;1,"同じ月の請求が重複しています／",""),"")&amp;IF(AND(N($E563)&gt;0,$Z563&lt;&gt;"",$Z563&lt;&gt;"×",$AC563=0,$AB563=""),"計算額が下限以下のため不支給／",""))</f>
        <v/>
      </c>
      <c r="AL563" s="12" t="n"/>
      <c r="AM563" s="14">
        <f>IF($AD563="保留中",COUNTIF($AD$6:$AD563,"保留中"),"")</f>
        <v/>
      </c>
      <c r="AN563" s="14">
        <f>IF($AO563="","",IF(SUMPRODUCT(MAX((職員マスタ!$A$6:$A$405=$B563)*(((職員マスタ!$G$6:$G$405="")+(職員マスタ!$G$6:$G$405&lt;=EOMONTH($AO563,0)))&gt;0)*(((職員マスタ!$H$6:$H$405="")+(職員マスタ!$H$6:$H$405&gt;=$AO563))&gt;0)*(ROW(職員マスタ!$A$6:$A$405)-5)))&gt;0,SUMPRODUCT(MAX((職員マスタ!$A$6:$A$405=$B563)*(((職員マスタ!$G$6:$G$405="")+(職員マスタ!$G$6:$G$405&lt;=EOMONTH($AO563,0)))&gt;0)*(((職員マスタ!$H$6:$H$405="")+(職員マスタ!$H$6:$H$405&gt;=$AO563))&gt;0)*(ROW(職員マスタ!$A$6:$A$405)-5))),IFERROR(MATCH($B563,職員マスタ!$A$6:$A$405,0),"")))</f>
        <v/>
      </c>
      <c r="AO563" s="16">
        <f>IF(OR($B563="",$C563="",$D563=""),"",DATE($C563+2018,$D563,1))</f>
        <v/>
      </c>
    </row>
    <row r="564">
      <c r="A564" s="11" t="n"/>
      <c r="B564" s="12" t="n"/>
      <c r="C564" s="12" t="n"/>
      <c r="D564" s="12" t="n"/>
      <c r="E564" s="13" t="n"/>
      <c r="F564" s="12" t="n"/>
      <c r="G564" s="13" t="n"/>
      <c r="H564" s="12" t="n"/>
      <c r="I564" s="12" t="n"/>
      <c r="J564" s="12" t="n"/>
      <c r="K564" s="12" t="n"/>
      <c r="L564" s="11" t="n"/>
      <c r="M564" s="11" t="n"/>
      <c r="N564" s="11" t="n"/>
      <c r="O564" s="11" t="n"/>
      <c r="P564" s="12" t="n"/>
      <c r="Q564" s="11" t="n"/>
      <c r="R564" s="12" t="n"/>
      <c r="S564" s="11" t="n"/>
      <c r="T564" s="12" t="n"/>
      <c r="U564" s="12" t="n"/>
      <c r="V564" s="14">
        <f>IF($AN564="",IF($B564="","",$H564),IF(INDEX(職員マスタ!$B$6:$B$405,$AN564)="",$H564,INDEX(職員マスタ!$B$6:$B$405,$AN564)))</f>
        <v/>
      </c>
      <c r="W564" s="14">
        <f>IF($AN564="",IF($B564="","",$R564),IF(INDEX(職員マスタ!$C$6:$C$405,$AN564)="",$R564,INDEX(職員マスタ!$C$6:$C$405,$AN564)))</f>
        <v/>
      </c>
      <c r="X564" s="14">
        <f>IF($AO564="","","R"&amp;$C564&amp;"."&amp;$D564)</f>
        <v/>
      </c>
      <c r="Y564" s="15">
        <f>IF($AN564="","",IF(INDEX(職員マスタ!$K$6:$K$405,$AN564)="","",INDEX(職員マスタ!$K$6:$K$405,$AN564)))</f>
        <v/>
      </c>
      <c r="Z564" s="14">
        <f>IF(OR($E564="",$Y564=""),"",IF($E564&gt;=$Y564,"×",IF($E564&gt;=$Y564*設定!$C$5,"△","○")))</f>
        <v/>
      </c>
      <c r="AA564" s="15">
        <f>IF($Z564="","",IF($Z564="×",0,IF($Z564="○",ROUNDDOWN($E564*設定!$C$4,0),ROUNDDOWN($E564*ROUND((9*$Y564-9*$E564)/(10*$E564),4),0))))</f>
        <v/>
      </c>
      <c r="AB564" s="13" t="n"/>
      <c r="AC564" s="15">
        <f>IF($B564="","",IF($AB564&lt;&gt;"",$AB564,IF($AA564="","",IF($AA564&lt;=設定!$C$3,0,$AA564))))</f>
        <v/>
      </c>
      <c r="AD564" s="14">
        <f>IF($B564="","",IF(AND($AE564&lt;&gt;"",$AG564="",$AJ564=""),"保留中",IF($AJ564&lt;&gt;"",IF(N($AC564)&gt;0,"支給済","不支給"),IF($AC564="","要確認",IF($AC564=0,"不支給","未処理")))))</f>
        <v/>
      </c>
      <c r="AE564" s="12" t="n"/>
      <c r="AF564" s="11" t="n"/>
      <c r="AG564" s="11" t="n"/>
      <c r="AH564" s="11" t="n"/>
      <c r="AI564" s="14">
        <f>IF(AND($AD564="保留中",$AF564&lt;&gt;""),TODAY()-$AF564,"")</f>
        <v/>
      </c>
      <c r="AJ564" s="12" t="n"/>
      <c r="AK564" s="14">
        <f>IF($B564="","",IF($AO564="","対象年月が未入力／","")&amp;IF($B564="","",IF($AN564="","職員マスタに未登録の職員番号／",IF($Y564="","標準報酬月額が未登録／","")&amp;IF(AND($AO564&lt;&gt;"",OR(AND(INDEX(職員マスタ!$G$6:$G$405,$AN564)&lt;&gt;"",INDEX(職員マスタ!$G$6:$G$405,$AN564)&gt;EOMONTH($AO564,0)),AND(INDEX(職員マスタ!$H$6:$H$405,$AN564)&lt;&gt;"",INDEX(職員マスタ!$H$6:$H$405,$AN564)&lt;$AO564))),"対象月が時短期間外／","")&amp;IF(AND(INDEX(職員マスタ!$F$6:$F$405,$AN564)&lt;&gt;"",$AO564&lt;&gt;"",INDEX(職員マスタ!$F$6:$F$405,$AN564)&lt;$AO564),"対象月に子が2歳到達済／","")&amp;IF(AND($H564&lt;&gt;"",INDEX(職員マスタ!$B$6:$B$405,$AN564)&lt;&gt;"",SUBSTITUTE(SUBSTITUTE($H564," ","")," ","")&lt;&gt;SUBSTITUTE(SUBSTITUTE(INDEX(職員マスタ!$B$6:$B$405,$AN564)," ","")," ","")),"氏名がマスタと相違／","")&amp;IF(AND($Q564&lt;&gt;"",INDEX(職員マスタ!$E$6:$E$405,$AN564)&lt;&gt;"",$Q564&lt;&gt;INDEX(職員マスタ!$E$6:$E$405,$AN564)),"子の生年月日がマスタと相違／","")&amp;IF(AND($L564&lt;&gt;"",INDEX(職員マスタ!$G$6:$G$405,$AN564)&lt;&gt;"",$L564&lt;&gt;INDEX(職員マスタ!$G$6:$G$405,$AN564)),"時短開始日がマスタと相違／","")&amp;IF(AND($M564&lt;&gt;"",INDEX(職員マスタ!$H$6:$H$405,$AN564)&lt;&gt;"",$M564&lt;&gt;INDEX(職員マスタ!$H$6:$H$405,$AN564)),"時短終了日がマスタと相違／","")))&amp;IF(AND($B564&lt;&gt;"",$E564=""),"報酬額が未入力／","")&amp;IF(N($U564)&gt;0,"申請書に入力エラーが残っています／","")&amp;IF(AND($B564&lt;&gt;"",$AO564&lt;&gt;""),IF(COUNTIFS($B$6:$B$3005,$B564,$C$6:$C$3005,$C564,$D$6:$D$3005,$D564)&gt;1,"同じ月の請求が重複しています／",""),"")&amp;IF(AND(N($E564)&gt;0,$Z564&lt;&gt;"",$Z564&lt;&gt;"×",$AC564=0,$AB564=""),"計算額が下限以下のため不支給／",""))</f>
        <v/>
      </c>
      <c r="AL564" s="12" t="n"/>
      <c r="AM564" s="14">
        <f>IF($AD564="保留中",COUNTIF($AD$6:$AD564,"保留中"),"")</f>
        <v/>
      </c>
      <c r="AN564" s="14">
        <f>IF($AO564="","",IF(SUMPRODUCT(MAX((職員マスタ!$A$6:$A$405=$B564)*(((職員マスタ!$G$6:$G$405="")+(職員マスタ!$G$6:$G$405&lt;=EOMONTH($AO564,0)))&gt;0)*(((職員マスタ!$H$6:$H$405="")+(職員マスタ!$H$6:$H$405&gt;=$AO564))&gt;0)*(ROW(職員マスタ!$A$6:$A$405)-5)))&gt;0,SUMPRODUCT(MAX((職員マスタ!$A$6:$A$405=$B564)*(((職員マスタ!$G$6:$G$405="")+(職員マスタ!$G$6:$G$405&lt;=EOMONTH($AO564,0)))&gt;0)*(((職員マスタ!$H$6:$H$405="")+(職員マスタ!$H$6:$H$405&gt;=$AO564))&gt;0)*(ROW(職員マスタ!$A$6:$A$405)-5))),IFERROR(MATCH($B564,職員マスタ!$A$6:$A$405,0),"")))</f>
        <v/>
      </c>
      <c r="AO564" s="16">
        <f>IF(OR($B564="",$C564="",$D564=""),"",DATE($C564+2018,$D564,1))</f>
        <v/>
      </c>
    </row>
    <row r="565">
      <c r="A565" s="11" t="n"/>
      <c r="B565" s="12" t="n"/>
      <c r="C565" s="12" t="n"/>
      <c r="D565" s="12" t="n"/>
      <c r="E565" s="13" t="n"/>
      <c r="F565" s="12" t="n"/>
      <c r="G565" s="13" t="n"/>
      <c r="H565" s="12" t="n"/>
      <c r="I565" s="12" t="n"/>
      <c r="J565" s="12" t="n"/>
      <c r="K565" s="12" t="n"/>
      <c r="L565" s="11" t="n"/>
      <c r="M565" s="11" t="n"/>
      <c r="N565" s="11" t="n"/>
      <c r="O565" s="11" t="n"/>
      <c r="P565" s="12" t="n"/>
      <c r="Q565" s="11" t="n"/>
      <c r="R565" s="12" t="n"/>
      <c r="S565" s="11" t="n"/>
      <c r="T565" s="12" t="n"/>
      <c r="U565" s="12" t="n"/>
      <c r="V565" s="14">
        <f>IF($AN565="",IF($B565="","",$H565),IF(INDEX(職員マスタ!$B$6:$B$405,$AN565)="",$H565,INDEX(職員マスタ!$B$6:$B$405,$AN565)))</f>
        <v/>
      </c>
      <c r="W565" s="14">
        <f>IF($AN565="",IF($B565="","",$R565),IF(INDEX(職員マスタ!$C$6:$C$405,$AN565)="",$R565,INDEX(職員マスタ!$C$6:$C$405,$AN565)))</f>
        <v/>
      </c>
      <c r="X565" s="14">
        <f>IF($AO565="","","R"&amp;$C565&amp;"."&amp;$D565)</f>
        <v/>
      </c>
      <c r="Y565" s="15">
        <f>IF($AN565="","",IF(INDEX(職員マスタ!$K$6:$K$405,$AN565)="","",INDEX(職員マスタ!$K$6:$K$405,$AN565)))</f>
        <v/>
      </c>
      <c r="Z565" s="14">
        <f>IF(OR($E565="",$Y565=""),"",IF($E565&gt;=$Y565,"×",IF($E565&gt;=$Y565*設定!$C$5,"△","○")))</f>
        <v/>
      </c>
      <c r="AA565" s="15">
        <f>IF($Z565="","",IF($Z565="×",0,IF($Z565="○",ROUNDDOWN($E565*設定!$C$4,0),ROUNDDOWN($E565*ROUND((9*$Y565-9*$E565)/(10*$E565),4),0))))</f>
        <v/>
      </c>
      <c r="AB565" s="13" t="n"/>
      <c r="AC565" s="15">
        <f>IF($B565="","",IF($AB565&lt;&gt;"",$AB565,IF($AA565="","",IF($AA565&lt;=設定!$C$3,0,$AA565))))</f>
        <v/>
      </c>
      <c r="AD565" s="14">
        <f>IF($B565="","",IF(AND($AE565&lt;&gt;"",$AG565="",$AJ565=""),"保留中",IF($AJ565&lt;&gt;"",IF(N($AC565)&gt;0,"支給済","不支給"),IF($AC565="","要確認",IF($AC565=0,"不支給","未処理")))))</f>
        <v/>
      </c>
      <c r="AE565" s="12" t="n"/>
      <c r="AF565" s="11" t="n"/>
      <c r="AG565" s="11" t="n"/>
      <c r="AH565" s="11" t="n"/>
      <c r="AI565" s="14">
        <f>IF(AND($AD565="保留中",$AF565&lt;&gt;""),TODAY()-$AF565,"")</f>
        <v/>
      </c>
      <c r="AJ565" s="12" t="n"/>
      <c r="AK565" s="14">
        <f>IF($B565="","",IF($AO565="","対象年月が未入力／","")&amp;IF($B565="","",IF($AN565="","職員マスタに未登録の職員番号／",IF($Y565="","標準報酬月額が未登録／","")&amp;IF(AND($AO565&lt;&gt;"",OR(AND(INDEX(職員マスタ!$G$6:$G$405,$AN565)&lt;&gt;"",INDEX(職員マスタ!$G$6:$G$405,$AN565)&gt;EOMONTH($AO565,0)),AND(INDEX(職員マスタ!$H$6:$H$405,$AN565)&lt;&gt;"",INDEX(職員マスタ!$H$6:$H$405,$AN565)&lt;$AO565))),"対象月が時短期間外／","")&amp;IF(AND(INDEX(職員マスタ!$F$6:$F$405,$AN565)&lt;&gt;"",$AO565&lt;&gt;"",INDEX(職員マスタ!$F$6:$F$405,$AN565)&lt;$AO565),"対象月に子が2歳到達済／","")&amp;IF(AND($H565&lt;&gt;"",INDEX(職員マスタ!$B$6:$B$405,$AN565)&lt;&gt;"",SUBSTITUTE(SUBSTITUTE($H565," ","")," ","")&lt;&gt;SUBSTITUTE(SUBSTITUTE(INDEX(職員マスタ!$B$6:$B$405,$AN565)," ","")," ","")),"氏名がマスタと相違／","")&amp;IF(AND($Q565&lt;&gt;"",INDEX(職員マスタ!$E$6:$E$405,$AN565)&lt;&gt;"",$Q565&lt;&gt;INDEX(職員マスタ!$E$6:$E$405,$AN565)),"子の生年月日がマスタと相違／","")&amp;IF(AND($L565&lt;&gt;"",INDEX(職員マスタ!$G$6:$G$405,$AN565)&lt;&gt;"",$L565&lt;&gt;INDEX(職員マスタ!$G$6:$G$405,$AN565)),"時短開始日がマスタと相違／","")&amp;IF(AND($M565&lt;&gt;"",INDEX(職員マスタ!$H$6:$H$405,$AN565)&lt;&gt;"",$M565&lt;&gt;INDEX(職員マスタ!$H$6:$H$405,$AN565)),"時短終了日がマスタと相違／","")))&amp;IF(AND($B565&lt;&gt;"",$E565=""),"報酬額が未入力／","")&amp;IF(N($U565)&gt;0,"申請書に入力エラーが残っています／","")&amp;IF(AND($B565&lt;&gt;"",$AO565&lt;&gt;""),IF(COUNTIFS($B$6:$B$3005,$B565,$C$6:$C$3005,$C565,$D$6:$D$3005,$D565)&gt;1,"同じ月の請求が重複しています／",""),"")&amp;IF(AND(N($E565)&gt;0,$Z565&lt;&gt;"",$Z565&lt;&gt;"×",$AC565=0,$AB565=""),"計算額が下限以下のため不支給／",""))</f>
        <v/>
      </c>
      <c r="AL565" s="12" t="n"/>
      <c r="AM565" s="14">
        <f>IF($AD565="保留中",COUNTIF($AD$6:$AD565,"保留中"),"")</f>
        <v/>
      </c>
      <c r="AN565" s="14">
        <f>IF($AO565="","",IF(SUMPRODUCT(MAX((職員マスタ!$A$6:$A$405=$B565)*(((職員マスタ!$G$6:$G$405="")+(職員マスタ!$G$6:$G$405&lt;=EOMONTH($AO565,0)))&gt;0)*(((職員マスタ!$H$6:$H$405="")+(職員マスタ!$H$6:$H$405&gt;=$AO565))&gt;0)*(ROW(職員マスタ!$A$6:$A$405)-5)))&gt;0,SUMPRODUCT(MAX((職員マスタ!$A$6:$A$405=$B565)*(((職員マスタ!$G$6:$G$405="")+(職員マスタ!$G$6:$G$405&lt;=EOMONTH($AO565,0)))&gt;0)*(((職員マスタ!$H$6:$H$405="")+(職員マスタ!$H$6:$H$405&gt;=$AO565))&gt;0)*(ROW(職員マスタ!$A$6:$A$405)-5))),IFERROR(MATCH($B565,職員マスタ!$A$6:$A$405,0),"")))</f>
        <v/>
      </c>
      <c r="AO565" s="16">
        <f>IF(OR($B565="",$C565="",$D565=""),"",DATE($C565+2018,$D565,1))</f>
        <v/>
      </c>
    </row>
    <row r="566">
      <c r="A566" s="11" t="n"/>
      <c r="B566" s="12" t="n"/>
      <c r="C566" s="12" t="n"/>
      <c r="D566" s="12" t="n"/>
      <c r="E566" s="13" t="n"/>
      <c r="F566" s="12" t="n"/>
      <c r="G566" s="13" t="n"/>
      <c r="H566" s="12" t="n"/>
      <c r="I566" s="12" t="n"/>
      <c r="J566" s="12" t="n"/>
      <c r="K566" s="12" t="n"/>
      <c r="L566" s="11" t="n"/>
      <c r="M566" s="11" t="n"/>
      <c r="N566" s="11" t="n"/>
      <c r="O566" s="11" t="n"/>
      <c r="P566" s="12" t="n"/>
      <c r="Q566" s="11" t="n"/>
      <c r="R566" s="12" t="n"/>
      <c r="S566" s="11" t="n"/>
      <c r="T566" s="12" t="n"/>
      <c r="U566" s="12" t="n"/>
      <c r="V566" s="14">
        <f>IF($AN566="",IF($B566="","",$H566),IF(INDEX(職員マスタ!$B$6:$B$405,$AN566)="",$H566,INDEX(職員マスタ!$B$6:$B$405,$AN566)))</f>
        <v/>
      </c>
      <c r="W566" s="14">
        <f>IF($AN566="",IF($B566="","",$R566),IF(INDEX(職員マスタ!$C$6:$C$405,$AN566)="",$R566,INDEX(職員マスタ!$C$6:$C$405,$AN566)))</f>
        <v/>
      </c>
      <c r="X566" s="14">
        <f>IF($AO566="","","R"&amp;$C566&amp;"."&amp;$D566)</f>
        <v/>
      </c>
      <c r="Y566" s="15">
        <f>IF($AN566="","",IF(INDEX(職員マスタ!$K$6:$K$405,$AN566)="","",INDEX(職員マスタ!$K$6:$K$405,$AN566)))</f>
        <v/>
      </c>
      <c r="Z566" s="14">
        <f>IF(OR($E566="",$Y566=""),"",IF($E566&gt;=$Y566,"×",IF($E566&gt;=$Y566*設定!$C$5,"△","○")))</f>
        <v/>
      </c>
      <c r="AA566" s="15">
        <f>IF($Z566="","",IF($Z566="×",0,IF($Z566="○",ROUNDDOWN($E566*設定!$C$4,0),ROUNDDOWN($E566*ROUND((9*$Y566-9*$E566)/(10*$E566),4),0))))</f>
        <v/>
      </c>
      <c r="AB566" s="13" t="n"/>
      <c r="AC566" s="15">
        <f>IF($B566="","",IF($AB566&lt;&gt;"",$AB566,IF($AA566="","",IF($AA566&lt;=設定!$C$3,0,$AA566))))</f>
        <v/>
      </c>
      <c r="AD566" s="14">
        <f>IF($B566="","",IF(AND($AE566&lt;&gt;"",$AG566="",$AJ566=""),"保留中",IF($AJ566&lt;&gt;"",IF(N($AC566)&gt;0,"支給済","不支給"),IF($AC566="","要確認",IF($AC566=0,"不支給","未処理")))))</f>
        <v/>
      </c>
      <c r="AE566" s="12" t="n"/>
      <c r="AF566" s="11" t="n"/>
      <c r="AG566" s="11" t="n"/>
      <c r="AH566" s="11" t="n"/>
      <c r="AI566" s="14">
        <f>IF(AND($AD566="保留中",$AF566&lt;&gt;""),TODAY()-$AF566,"")</f>
        <v/>
      </c>
      <c r="AJ566" s="12" t="n"/>
      <c r="AK566" s="14">
        <f>IF($B566="","",IF($AO566="","対象年月が未入力／","")&amp;IF($B566="","",IF($AN566="","職員マスタに未登録の職員番号／",IF($Y566="","標準報酬月額が未登録／","")&amp;IF(AND($AO566&lt;&gt;"",OR(AND(INDEX(職員マスタ!$G$6:$G$405,$AN566)&lt;&gt;"",INDEX(職員マスタ!$G$6:$G$405,$AN566)&gt;EOMONTH($AO566,0)),AND(INDEX(職員マスタ!$H$6:$H$405,$AN566)&lt;&gt;"",INDEX(職員マスタ!$H$6:$H$405,$AN566)&lt;$AO566))),"対象月が時短期間外／","")&amp;IF(AND(INDEX(職員マスタ!$F$6:$F$405,$AN566)&lt;&gt;"",$AO566&lt;&gt;"",INDEX(職員マスタ!$F$6:$F$405,$AN566)&lt;$AO566),"対象月に子が2歳到達済／","")&amp;IF(AND($H566&lt;&gt;"",INDEX(職員マスタ!$B$6:$B$405,$AN566)&lt;&gt;"",SUBSTITUTE(SUBSTITUTE($H566," ","")," ","")&lt;&gt;SUBSTITUTE(SUBSTITUTE(INDEX(職員マスタ!$B$6:$B$405,$AN566)," ","")," ","")),"氏名がマスタと相違／","")&amp;IF(AND($Q566&lt;&gt;"",INDEX(職員マスタ!$E$6:$E$405,$AN566)&lt;&gt;"",$Q566&lt;&gt;INDEX(職員マスタ!$E$6:$E$405,$AN566)),"子の生年月日がマスタと相違／","")&amp;IF(AND($L566&lt;&gt;"",INDEX(職員マスタ!$G$6:$G$405,$AN566)&lt;&gt;"",$L566&lt;&gt;INDEX(職員マスタ!$G$6:$G$405,$AN566)),"時短開始日がマスタと相違／","")&amp;IF(AND($M566&lt;&gt;"",INDEX(職員マスタ!$H$6:$H$405,$AN566)&lt;&gt;"",$M566&lt;&gt;INDEX(職員マスタ!$H$6:$H$405,$AN566)),"時短終了日がマスタと相違／","")))&amp;IF(AND($B566&lt;&gt;"",$E566=""),"報酬額が未入力／","")&amp;IF(N($U566)&gt;0,"申請書に入力エラーが残っています／","")&amp;IF(AND($B566&lt;&gt;"",$AO566&lt;&gt;""),IF(COUNTIFS($B$6:$B$3005,$B566,$C$6:$C$3005,$C566,$D$6:$D$3005,$D566)&gt;1,"同じ月の請求が重複しています／",""),"")&amp;IF(AND(N($E566)&gt;0,$Z566&lt;&gt;"",$Z566&lt;&gt;"×",$AC566=0,$AB566=""),"計算額が下限以下のため不支給／",""))</f>
        <v/>
      </c>
      <c r="AL566" s="12" t="n"/>
      <c r="AM566" s="14">
        <f>IF($AD566="保留中",COUNTIF($AD$6:$AD566,"保留中"),"")</f>
        <v/>
      </c>
      <c r="AN566" s="14">
        <f>IF($AO566="","",IF(SUMPRODUCT(MAX((職員マスタ!$A$6:$A$405=$B566)*(((職員マスタ!$G$6:$G$405="")+(職員マスタ!$G$6:$G$405&lt;=EOMONTH($AO566,0)))&gt;0)*(((職員マスタ!$H$6:$H$405="")+(職員マスタ!$H$6:$H$405&gt;=$AO566))&gt;0)*(ROW(職員マスタ!$A$6:$A$405)-5)))&gt;0,SUMPRODUCT(MAX((職員マスタ!$A$6:$A$405=$B566)*(((職員マスタ!$G$6:$G$405="")+(職員マスタ!$G$6:$G$405&lt;=EOMONTH($AO566,0)))&gt;0)*(((職員マスタ!$H$6:$H$405="")+(職員マスタ!$H$6:$H$405&gt;=$AO566))&gt;0)*(ROW(職員マスタ!$A$6:$A$405)-5))),IFERROR(MATCH($B566,職員マスタ!$A$6:$A$405,0),"")))</f>
        <v/>
      </c>
      <c r="AO566" s="16">
        <f>IF(OR($B566="",$C566="",$D566=""),"",DATE($C566+2018,$D566,1))</f>
        <v/>
      </c>
    </row>
    <row r="567">
      <c r="A567" s="11" t="n"/>
      <c r="B567" s="12" t="n"/>
      <c r="C567" s="12" t="n"/>
      <c r="D567" s="12" t="n"/>
      <c r="E567" s="13" t="n"/>
      <c r="F567" s="12" t="n"/>
      <c r="G567" s="13" t="n"/>
      <c r="H567" s="12" t="n"/>
      <c r="I567" s="12" t="n"/>
      <c r="J567" s="12" t="n"/>
      <c r="K567" s="12" t="n"/>
      <c r="L567" s="11" t="n"/>
      <c r="M567" s="11" t="n"/>
      <c r="N567" s="11" t="n"/>
      <c r="O567" s="11" t="n"/>
      <c r="P567" s="12" t="n"/>
      <c r="Q567" s="11" t="n"/>
      <c r="R567" s="12" t="n"/>
      <c r="S567" s="11" t="n"/>
      <c r="T567" s="12" t="n"/>
      <c r="U567" s="12" t="n"/>
      <c r="V567" s="14">
        <f>IF($AN567="",IF($B567="","",$H567),IF(INDEX(職員マスタ!$B$6:$B$405,$AN567)="",$H567,INDEX(職員マスタ!$B$6:$B$405,$AN567)))</f>
        <v/>
      </c>
      <c r="W567" s="14">
        <f>IF($AN567="",IF($B567="","",$R567),IF(INDEX(職員マスタ!$C$6:$C$405,$AN567)="",$R567,INDEX(職員マスタ!$C$6:$C$405,$AN567)))</f>
        <v/>
      </c>
      <c r="X567" s="14">
        <f>IF($AO567="","","R"&amp;$C567&amp;"."&amp;$D567)</f>
        <v/>
      </c>
      <c r="Y567" s="15">
        <f>IF($AN567="","",IF(INDEX(職員マスタ!$K$6:$K$405,$AN567)="","",INDEX(職員マスタ!$K$6:$K$405,$AN567)))</f>
        <v/>
      </c>
      <c r="Z567" s="14">
        <f>IF(OR($E567="",$Y567=""),"",IF($E567&gt;=$Y567,"×",IF($E567&gt;=$Y567*設定!$C$5,"△","○")))</f>
        <v/>
      </c>
      <c r="AA567" s="15">
        <f>IF($Z567="","",IF($Z567="×",0,IF($Z567="○",ROUNDDOWN($E567*設定!$C$4,0),ROUNDDOWN($E567*ROUND((9*$Y567-9*$E567)/(10*$E567),4),0))))</f>
        <v/>
      </c>
      <c r="AB567" s="13" t="n"/>
      <c r="AC567" s="15">
        <f>IF($B567="","",IF($AB567&lt;&gt;"",$AB567,IF($AA567="","",IF($AA567&lt;=設定!$C$3,0,$AA567))))</f>
        <v/>
      </c>
      <c r="AD567" s="14">
        <f>IF($B567="","",IF(AND($AE567&lt;&gt;"",$AG567="",$AJ567=""),"保留中",IF($AJ567&lt;&gt;"",IF(N($AC567)&gt;0,"支給済","不支給"),IF($AC567="","要確認",IF($AC567=0,"不支給","未処理")))))</f>
        <v/>
      </c>
      <c r="AE567" s="12" t="n"/>
      <c r="AF567" s="11" t="n"/>
      <c r="AG567" s="11" t="n"/>
      <c r="AH567" s="11" t="n"/>
      <c r="AI567" s="14">
        <f>IF(AND($AD567="保留中",$AF567&lt;&gt;""),TODAY()-$AF567,"")</f>
        <v/>
      </c>
      <c r="AJ567" s="12" t="n"/>
      <c r="AK567" s="14">
        <f>IF($B567="","",IF($AO567="","対象年月が未入力／","")&amp;IF($B567="","",IF($AN567="","職員マスタに未登録の職員番号／",IF($Y567="","標準報酬月額が未登録／","")&amp;IF(AND($AO567&lt;&gt;"",OR(AND(INDEX(職員マスタ!$G$6:$G$405,$AN567)&lt;&gt;"",INDEX(職員マスタ!$G$6:$G$405,$AN567)&gt;EOMONTH($AO567,0)),AND(INDEX(職員マスタ!$H$6:$H$405,$AN567)&lt;&gt;"",INDEX(職員マスタ!$H$6:$H$405,$AN567)&lt;$AO567))),"対象月が時短期間外／","")&amp;IF(AND(INDEX(職員マスタ!$F$6:$F$405,$AN567)&lt;&gt;"",$AO567&lt;&gt;"",INDEX(職員マスタ!$F$6:$F$405,$AN567)&lt;$AO567),"対象月に子が2歳到達済／","")&amp;IF(AND($H567&lt;&gt;"",INDEX(職員マスタ!$B$6:$B$405,$AN567)&lt;&gt;"",SUBSTITUTE(SUBSTITUTE($H567," ","")," ","")&lt;&gt;SUBSTITUTE(SUBSTITUTE(INDEX(職員マスタ!$B$6:$B$405,$AN567)," ","")," ","")),"氏名がマスタと相違／","")&amp;IF(AND($Q567&lt;&gt;"",INDEX(職員マスタ!$E$6:$E$405,$AN567)&lt;&gt;"",$Q567&lt;&gt;INDEX(職員マスタ!$E$6:$E$405,$AN567)),"子の生年月日がマスタと相違／","")&amp;IF(AND($L567&lt;&gt;"",INDEX(職員マスタ!$G$6:$G$405,$AN567)&lt;&gt;"",$L567&lt;&gt;INDEX(職員マスタ!$G$6:$G$405,$AN567)),"時短開始日がマスタと相違／","")&amp;IF(AND($M567&lt;&gt;"",INDEX(職員マスタ!$H$6:$H$405,$AN567)&lt;&gt;"",$M567&lt;&gt;INDEX(職員マスタ!$H$6:$H$405,$AN567)),"時短終了日がマスタと相違／","")))&amp;IF(AND($B567&lt;&gt;"",$E567=""),"報酬額が未入力／","")&amp;IF(N($U567)&gt;0,"申請書に入力エラーが残っています／","")&amp;IF(AND($B567&lt;&gt;"",$AO567&lt;&gt;""),IF(COUNTIFS($B$6:$B$3005,$B567,$C$6:$C$3005,$C567,$D$6:$D$3005,$D567)&gt;1,"同じ月の請求が重複しています／",""),"")&amp;IF(AND(N($E567)&gt;0,$Z567&lt;&gt;"",$Z567&lt;&gt;"×",$AC567=0,$AB567=""),"計算額が下限以下のため不支給／",""))</f>
        <v/>
      </c>
      <c r="AL567" s="12" t="n"/>
      <c r="AM567" s="14">
        <f>IF($AD567="保留中",COUNTIF($AD$6:$AD567,"保留中"),"")</f>
        <v/>
      </c>
      <c r="AN567" s="14">
        <f>IF($AO567="","",IF(SUMPRODUCT(MAX((職員マスタ!$A$6:$A$405=$B567)*(((職員マスタ!$G$6:$G$405="")+(職員マスタ!$G$6:$G$405&lt;=EOMONTH($AO567,0)))&gt;0)*(((職員マスタ!$H$6:$H$405="")+(職員マスタ!$H$6:$H$405&gt;=$AO567))&gt;0)*(ROW(職員マスタ!$A$6:$A$405)-5)))&gt;0,SUMPRODUCT(MAX((職員マスタ!$A$6:$A$405=$B567)*(((職員マスタ!$G$6:$G$405="")+(職員マスタ!$G$6:$G$405&lt;=EOMONTH($AO567,0)))&gt;0)*(((職員マスタ!$H$6:$H$405="")+(職員マスタ!$H$6:$H$405&gt;=$AO567))&gt;0)*(ROW(職員マスタ!$A$6:$A$405)-5))),IFERROR(MATCH($B567,職員マスタ!$A$6:$A$405,0),"")))</f>
        <v/>
      </c>
      <c r="AO567" s="16">
        <f>IF(OR($B567="",$C567="",$D567=""),"",DATE($C567+2018,$D567,1))</f>
        <v/>
      </c>
    </row>
    <row r="568">
      <c r="A568" s="11" t="n"/>
      <c r="B568" s="12" t="n"/>
      <c r="C568" s="12" t="n"/>
      <c r="D568" s="12" t="n"/>
      <c r="E568" s="13" t="n"/>
      <c r="F568" s="12" t="n"/>
      <c r="G568" s="13" t="n"/>
      <c r="H568" s="12" t="n"/>
      <c r="I568" s="12" t="n"/>
      <c r="J568" s="12" t="n"/>
      <c r="K568" s="12" t="n"/>
      <c r="L568" s="11" t="n"/>
      <c r="M568" s="11" t="n"/>
      <c r="N568" s="11" t="n"/>
      <c r="O568" s="11" t="n"/>
      <c r="P568" s="12" t="n"/>
      <c r="Q568" s="11" t="n"/>
      <c r="R568" s="12" t="n"/>
      <c r="S568" s="11" t="n"/>
      <c r="T568" s="12" t="n"/>
      <c r="U568" s="12" t="n"/>
      <c r="V568" s="14">
        <f>IF($AN568="",IF($B568="","",$H568),IF(INDEX(職員マスタ!$B$6:$B$405,$AN568)="",$H568,INDEX(職員マスタ!$B$6:$B$405,$AN568)))</f>
        <v/>
      </c>
      <c r="W568" s="14">
        <f>IF($AN568="",IF($B568="","",$R568),IF(INDEX(職員マスタ!$C$6:$C$405,$AN568)="",$R568,INDEX(職員マスタ!$C$6:$C$405,$AN568)))</f>
        <v/>
      </c>
      <c r="X568" s="14">
        <f>IF($AO568="","","R"&amp;$C568&amp;"."&amp;$D568)</f>
        <v/>
      </c>
      <c r="Y568" s="15">
        <f>IF($AN568="","",IF(INDEX(職員マスタ!$K$6:$K$405,$AN568)="","",INDEX(職員マスタ!$K$6:$K$405,$AN568)))</f>
        <v/>
      </c>
      <c r="Z568" s="14">
        <f>IF(OR($E568="",$Y568=""),"",IF($E568&gt;=$Y568,"×",IF($E568&gt;=$Y568*設定!$C$5,"△","○")))</f>
        <v/>
      </c>
      <c r="AA568" s="15">
        <f>IF($Z568="","",IF($Z568="×",0,IF($Z568="○",ROUNDDOWN($E568*設定!$C$4,0),ROUNDDOWN($E568*ROUND((9*$Y568-9*$E568)/(10*$E568),4),0))))</f>
        <v/>
      </c>
      <c r="AB568" s="13" t="n"/>
      <c r="AC568" s="15">
        <f>IF($B568="","",IF($AB568&lt;&gt;"",$AB568,IF($AA568="","",IF($AA568&lt;=設定!$C$3,0,$AA568))))</f>
        <v/>
      </c>
      <c r="AD568" s="14">
        <f>IF($B568="","",IF(AND($AE568&lt;&gt;"",$AG568="",$AJ568=""),"保留中",IF($AJ568&lt;&gt;"",IF(N($AC568)&gt;0,"支給済","不支給"),IF($AC568="","要確認",IF($AC568=0,"不支給","未処理")))))</f>
        <v/>
      </c>
      <c r="AE568" s="12" t="n"/>
      <c r="AF568" s="11" t="n"/>
      <c r="AG568" s="11" t="n"/>
      <c r="AH568" s="11" t="n"/>
      <c r="AI568" s="14">
        <f>IF(AND($AD568="保留中",$AF568&lt;&gt;""),TODAY()-$AF568,"")</f>
        <v/>
      </c>
      <c r="AJ568" s="12" t="n"/>
      <c r="AK568" s="14">
        <f>IF($B568="","",IF($AO568="","対象年月が未入力／","")&amp;IF($B568="","",IF($AN568="","職員マスタに未登録の職員番号／",IF($Y568="","標準報酬月額が未登録／","")&amp;IF(AND($AO568&lt;&gt;"",OR(AND(INDEX(職員マスタ!$G$6:$G$405,$AN568)&lt;&gt;"",INDEX(職員マスタ!$G$6:$G$405,$AN568)&gt;EOMONTH($AO568,0)),AND(INDEX(職員マスタ!$H$6:$H$405,$AN568)&lt;&gt;"",INDEX(職員マスタ!$H$6:$H$405,$AN568)&lt;$AO568))),"対象月が時短期間外／","")&amp;IF(AND(INDEX(職員マスタ!$F$6:$F$405,$AN568)&lt;&gt;"",$AO568&lt;&gt;"",INDEX(職員マスタ!$F$6:$F$405,$AN568)&lt;$AO568),"対象月に子が2歳到達済／","")&amp;IF(AND($H568&lt;&gt;"",INDEX(職員マスタ!$B$6:$B$405,$AN568)&lt;&gt;"",SUBSTITUTE(SUBSTITUTE($H568," ","")," ","")&lt;&gt;SUBSTITUTE(SUBSTITUTE(INDEX(職員マスタ!$B$6:$B$405,$AN568)," ","")," ","")),"氏名がマスタと相違／","")&amp;IF(AND($Q568&lt;&gt;"",INDEX(職員マスタ!$E$6:$E$405,$AN568)&lt;&gt;"",$Q568&lt;&gt;INDEX(職員マスタ!$E$6:$E$405,$AN568)),"子の生年月日がマスタと相違／","")&amp;IF(AND($L568&lt;&gt;"",INDEX(職員マスタ!$G$6:$G$405,$AN568)&lt;&gt;"",$L568&lt;&gt;INDEX(職員マスタ!$G$6:$G$405,$AN568)),"時短開始日がマスタと相違／","")&amp;IF(AND($M568&lt;&gt;"",INDEX(職員マスタ!$H$6:$H$405,$AN568)&lt;&gt;"",$M568&lt;&gt;INDEX(職員マスタ!$H$6:$H$405,$AN568)),"時短終了日がマスタと相違／","")))&amp;IF(AND($B568&lt;&gt;"",$E568=""),"報酬額が未入力／","")&amp;IF(N($U568)&gt;0,"申請書に入力エラーが残っています／","")&amp;IF(AND($B568&lt;&gt;"",$AO568&lt;&gt;""),IF(COUNTIFS($B$6:$B$3005,$B568,$C$6:$C$3005,$C568,$D$6:$D$3005,$D568)&gt;1,"同じ月の請求が重複しています／",""),"")&amp;IF(AND(N($E568)&gt;0,$Z568&lt;&gt;"",$Z568&lt;&gt;"×",$AC568=0,$AB568=""),"計算額が下限以下のため不支給／",""))</f>
        <v/>
      </c>
      <c r="AL568" s="12" t="n"/>
      <c r="AM568" s="14">
        <f>IF($AD568="保留中",COUNTIF($AD$6:$AD568,"保留中"),"")</f>
        <v/>
      </c>
      <c r="AN568" s="14">
        <f>IF($AO568="","",IF(SUMPRODUCT(MAX((職員マスタ!$A$6:$A$405=$B568)*(((職員マスタ!$G$6:$G$405="")+(職員マスタ!$G$6:$G$405&lt;=EOMONTH($AO568,0)))&gt;0)*(((職員マスタ!$H$6:$H$405="")+(職員マスタ!$H$6:$H$405&gt;=$AO568))&gt;0)*(ROW(職員マスタ!$A$6:$A$405)-5)))&gt;0,SUMPRODUCT(MAX((職員マスタ!$A$6:$A$405=$B568)*(((職員マスタ!$G$6:$G$405="")+(職員マスタ!$G$6:$G$405&lt;=EOMONTH($AO568,0)))&gt;0)*(((職員マスタ!$H$6:$H$405="")+(職員マスタ!$H$6:$H$405&gt;=$AO568))&gt;0)*(ROW(職員マスタ!$A$6:$A$405)-5))),IFERROR(MATCH($B568,職員マスタ!$A$6:$A$405,0),"")))</f>
        <v/>
      </c>
      <c r="AO568" s="16">
        <f>IF(OR($B568="",$C568="",$D568=""),"",DATE($C568+2018,$D568,1))</f>
        <v/>
      </c>
    </row>
    <row r="569">
      <c r="A569" s="11" t="n"/>
      <c r="B569" s="12" t="n"/>
      <c r="C569" s="12" t="n"/>
      <c r="D569" s="12" t="n"/>
      <c r="E569" s="13" t="n"/>
      <c r="F569" s="12" t="n"/>
      <c r="G569" s="13" t="n"/>
      <c r="H569" s="12" t="n"/>
      <c r="I569" s="12" t="n"/>
      <c r="J569" s="12" t="n"/>
      <c r="K569" s="12" t="n"/>
      <c r="L569" s="11" t="n"/>
      <c r="M569" s="11" t="n"/>
      <c r="N569" s="11" t="n"/>
      <c r="O569" s="11" t="n"/>
      <c r="P569" s="12" t="n"/>
      <c r="Q569" s="11" t="n"/>
      <c r="R569" s="12" t="n"/>
      <c r="S569" s="11" t="n"/>
      <c r="T569" s="12" t="n"/>
      <c r="U569" s="12" t="n"/>
      <c r="V569" s="14">
        <f>IF($AN569="",IF($B569="","",$H569),IF(INDEX(職員マスタ!$B$6:$B$405,$AN569)="",$H569,INDEX(職員マスタ!$B$6:$B$405,$AN569)))</f>
        <v/>
      </c>
      <c r="W569" s="14">
        <f>IF($AN569="",IF($B569="","",$R569),IF(INDEX(職員マスタ!$C$6:$C$405,$AN569)="",$R569,INDEX(職員マスタ!$C$6:$C$405,$AN569)))</f>
        <v/>
      </c>
      <c r="X569" s="14">
        <f>IF($AO569="","","R"&amp;$C569&amp;"."&amp;$D569)</f>
        <v/>
      </c>
      <c r="Y569" s="15">
        <f>IF($AN569="","",IF(INDEX(職員マスタ!$K$6:$K$405,$AN569)="","",INDEX(職員マスタ!$K$6:$K$405,$AN569)))</f>
        <v/>
      </c>
      <c r="Z569" s="14">
        <f>IF(OR($E569="",$Y569=""),"",IF($E569&gt;=$Y569,"×",IF($E569&gt;=$Y569*設定!$C$5,"△","○")))</f>
        <v/>
      </c>
      <c r="AA569" s="15">
        <f>IF($Z569="","",IF($Z569="×",0,IF($Z569="○",ROUNDDOWN($E569*設定!$C$4,0),ROUNDDOWN($E569*ROUND((9*$Y569-9*$E569)/(10*$E569),4),0))))</f>
        <v/>
      </c>
      <c r="AB569" s="13" t="n"/>
      <c r="AC569" s="15">
        <f>IF($B569="","",IF($AB569&lt;&gt;"",$AB569,IF($AA569="","",IF($AA569&lt;=設定!$C$3,0,$AA569))))</f>
        <v/>
      </c>
      <c r="AD569" s="14">
        <f>IF($B569="","",IF(AND($AE569&lt;&gt;"",$AG569="",$AJ569=""),"保留中",IF($AJ569&lt;&gt;"",IF(N($AC569)&gt;0,"支給済","不支給"),IF($AC569="","要確認",IF($AC569=0,"不支給","未処理")))))</f>
        <v/>
      </c>
      <c r="AE569" s="12" t="n"/>
      <c r="AF569" s="11" t="n"/>
      <c r="AG569" s="11" t="n"/>
      <c r="AH569" s="11" t="n"/>
      <c r="AI569" s="14">
        <f>IF(AND($AD569="保留中",$AF569&lt;&gt;""),TODAY()-$AF569,"")</f>
        <v/>
      </c>
      <c r="AJ569" s="12" t="n"/>
      <c r="AK569" s="14">
        <f>IF($B569="","",IF($AO569="","対象年月が未入力／","")&amp;IF($B569="","",IF($AN569="","職員マスタに未登録の職員番号／",IF($Y569="","標準報酬月額が未登録／","")&amp;IF(AND($AO569&lt;&gt;"",OR(AND(INDEX(職員マスタ!$G$6:$G$405,$AN569)&lt;&gt;"",INDEX(職員マスタ!$G$6:$G$405,$AN569)&gt;EOMONTH($AO569,0)),AND(INDEX(職員マスタ!$H$6:$H$405,$AN569)&lt;&gt;"",INDEX(職員マスタ!$H$6:$H$405,$AN569)&lt;$AO569))),"対象月が時短期間外／","")&amp;IF(AND(INDEX(職員マスタ!$F$6:$F$405,$AN569)&lt;&gt;"",$AO569&lt;&gt;"",INDEX(職員マスタ!$F$6:$F$405,$AN569)&lt;$AO569),"対象月に子が2歳到達済／","")&amp;IF(AND($H569&lt;&gt;"",INDEX(職員マスタ!$B$6:$B$405,$AN569)&lt;&gt;"",SUBSTITUTE(SUBSTITUTE($H569," ","")," ","")&lt;&gt;SUBSTITUTE(SUBSTITUTE(INDEX(職員マスタ!$B$6:$B$405,$AN569)," ","")," ","")),"氏名がマスタと相違／","")&amp;IF(AND($Q569&lt;&gt;"",INDEX(職員マスタ!$E$6:$E$405,$AN569)&lt;&gt;"",$Q569&lt;&gt;INDEX(職員マスタ!$E$6:$E$405,$AN569)),"子の生年月日がマスタと相違／","")&amp;IF(AND($L569&lt;&gt;"",INDEX(職員マスタ!$G$6:$G$405,$AN569)&lt;&gt;"",$L569&lt;&gt;INDEX(職員マスタ!$G$6:$G$405,$AN569)),"時短開始日がマスタと相違／","")&amp;IF(AND($M569&lt;&gt;"",INDEX(職員マスタ!$H$6:$H$405,$AN569)&lt;&gt;"",$M569&lt;&gt;INDEX(職員マスタ!$H$6:$H$405,$AN569)),"時短終了日がマスタと相違／","")))&amp;IF(AND($B569&lt;&gt;"",$E569=""),"報酬額が未入力／","")&amp;IF(N($U569)&gt;0,"申請書に入力エラーが残っています／","")&amp;IF(AND($B569&lt;&gt;"",$AO569&lt;&gt;""),IF(COUNTIFS($B$6:$B$3005,$B569,$C$6:$C$3005,$C569,$D$6:$D$3005,$D569)&gt;1,"同じ月の請求が重複しています／",""),"")&amp;IF(AND(N($E569)&gt;0,$Z569&lt;&gt;"",$Z569&lt;&gt;"×",$AC569=0,$AB569=""),"計算額が下限以下のため不支給／",""))</f>
        <v/>
      </c>
      <c r="AL569" s="12" t="n"/>
      <c r="AM569" s="14">
        <f>IF($AD569="保留中",COUNTIF($AD$6:$AD569,"保留中"),"")</f>
        <v/>
      </c>
      <c r="AN569" s="14">
        <f>IF($AO569="","",IF(SUMPRODUCT(MAX((職員マスタ!$A$6:$A$405=$B569)*(((職員マスタ!$G$6:$G$405="")+(職員マスタ!$G$6:$G$405&lt;=EOMONTH($AO569,0)))&gt;0)*(((職員マスタ!$H$6:$H$405="")+(職員マスタ!$H$6:$H$405&gt;=$AO569))&gt;0)*(ROW(職員マスタ!$A$6:$A$405)-5)))&gt;0,SUMPRODUCT(MAX((職員マスタ!$A$6:$A$405=$B569)*(((職員マスタ!$G$6:$G$405="")+(職員マスタ!$G$6:$G$405&lt;=EOMONTH($AO569,0)))&gt;0)*(((職員マスタ!$H$6:$H$405="")+(職員マスタ!$H$6:$H$405&gt;=$AO569))&gt;0)*(ROW(職員マスタ!$A$6:$A$405)-5))),IFERROR(MATCH($B569,職員マスタ!$A$6:$A$405,0),"")))</f>
        <v/>
      </c>
      <c r="AO569" s="16">
        <f>IF(OR($B569="",$C569="",$D569=""),"",DATE($C569+2018,$D569,1))</f>
        <v/>
      </c>
    </row>
    <row r="570">
      <c r="A570" s="11" t="n"/>
      <c r="B570" s="12" t="n"/>
      <c r="C570" s="12" t="n"/>
      <c r="D570" s="12" t="n"/>
      <c r="E570" s="13" t="n"/>
      <c r="F570" s="12" t="n"/>
      <c r="G570" s="13" t="n"/>
      <c r="H570" s="12" t="n"/>
      <c r="I570" s="12" t="n"/>
      <c r="J570" s="12" t="n"/>
      <c r="K570" s="12" t="n"/>
      <c r="L570" s="11" t="n"/>
      <c r="M570" s="11" t="n"/>
      <c r="N570" s="11" t="n"/>
      <c r="O570" s="11" t="n"/>
      <c r="P570" s="12" t="n"/>
      <c r="Q570" s="11" t="n"/>
      <c r="R570" s="12" t="n"/>
      <c r="S570" s="11" t="n"/>
      <c r="T570" s="12" t="n"/>
      <c r="U570" s="12" t="n"/>
      <c r="V570" s="14">
        <f>IF($AN570="",IF($B570="","",$H570),IF(INDEX(職員マスタ!$B$6:$B$405,$AN570)="",$H570,INDEX(職員マスタ!$B$6:$B$405,$AN570)))</f>
        <v/>
      </c>
      <c r="W570" s="14">
        <f>IF($AN570="",IF($B570="","",$R570),IF(INDEX(職員マスタ!$C$6:$C$405,$AN570)="",$R570,INDEX(職員マスタ!$C$6:$C$405,$AN570)))</f>
        <v/>
      </c>
      <c r="X570" s="14">
        <f>IF($AO570="","","R"&amp;$C570&amp;"."&amp;$D570)</f>
        <v/>
      </c>
      <c r="Y570" s="15">
        <f>IF($AN570="","",IF(INDEX(職員マスタ!$K$6:$K$405,$AN570)="","",INDEX(職員マスタ!$K$6:$K$405,$AN570)))</f>
        <v/>
      </c>
      <c r="Z570" s="14">
        <f>IF(OR($E570="",$Y570=""),"",IF($E570&gt;=$Y570,"×",IF($E570&gt;=$Y570*設定!$C$5,"△","○")))</f>
        <v/>
      </c>
      <c r="AA570" s="15">
        <f>IF($Z570="","",IF($Z570="×",0,IF($Z570="○",ROUNDDOWN($E570*設定!$C$4,0),ROUNDDOWN($E570*ROUND((9*$Y570-9*$E570)/(10*$E570),4),0))))</f>
        <v/>
      </c>
      <c r="AB570" s="13" t="n"/>
      <c r="AC570" s="15">
        <f>IF($B570="","",IF($AB570&lt;&gt;"",$AB570,IF($AA570="","",IF($AA570&lt;=設定!$C$3,0,$AA570))))</f>
        <v/>
      </c>
      <c r="AD570" s="14">
        <f>IF($B570="","",IF(AND($AE570&lt;&gt;"",$AG570="",$AJ570=""),"保留中",IF($AJ570&lt;&gt;"",IF(N($AC570)&gt;0,"支給済","不支給"),IF($AC570="","要確認",IF($AC570=0,"不支給","未処理")))))</f>
        <v/>
      </c>
      <c r="AE570" s="12" t="n"/>
      <c r="AF570" s="11" t="n"/>
      <c r="AG570" s="11" t="n"/>
      <c r="AH570" s="11" t="n"/>
      <c r="AI570" s="14">
        <f>IF(AND($AD570="保留中",$AF570&lt;&gt;""),TODAY()-$AF570,"")</f>
        <v/>
      </c>
      <c r="AJ570" s="12" t="n"/>
      <c r="AK570" s="14">
        <f>IF($B570="","",IF($AO570="","対象年月が未入力／","")&amp;IF($B570="","",IF($AN570="","職員マスタに未登録の職員番号／",IF($Y570="","標準報酬月額が未登録／","")&amp;IF(AND($AO570&lt;&gt;"",OR(AND(INDEX(職員マスタ!$G$6:$G$405,$AN570)&lt;&gt;"",INDEX(職員マスタ!$G$6:$G$405,$AN570)&gt;EOMONTH($AO570,0)),AND(INDEX(職員マスタ!$H$6:$H$405,$AN570)&lt;&gt;"",INDEX(職員マスタ!$H$6:$H$405,$AN570)&lt;$AO570))),"対象月が時短期間外／","")&amp;IF(AND(INDEX(職員マスタ!$F$6:$F$405,$AN570)&lt;&gt;"",$AO570&lt;&gt;"",INDEX(職員マスタ!$F$6:$F$405,$AN570)&lt;$AO570),"対象月に子が2歳到達済／","")&amp;IF(AND($H570&lt;&gt;"",INDEX(職員マスタ!$B$6:$B$405,$AN570)&lt;&gt;"",SUBSTITUTE(SUBSTITUTE($H570," ","")," ","")&lt;&gt;SUBSTITUTE(SUBSTITUTE(INDEX(職員マスタ!$B$6:$B$405,$AN570)," ","")," ","")),"氏名がマスタと相違／","")&amp;IF(AND($Q570&lt;&gt;"",INDEX(職員マスタ!$E$6:$E$405,$AN570)&lt;&gt;"",$Q570&lt;&gt;INDEX(職員マスタ!$E$6:$E$405,$AN570)),"子の生年月日がマスタと相違／","")&amp;IF(AND($L570&lt;&gt;"",INDEX(職員マスタ!$G$6:$G$405,$AN570)&lt;&gt;"",$L570&lt;&gt;INDEX(職員マスタ!$G$6:$G$405,$AN570)),"時短開始日がマスタと相違／","")&amp;IF(AND($M570&lt;&gt;"",INDEX(職員マスタ!$H$6:$H$405,$AN570)&lt;&gt;"",$M570&lt;&gt;INDEX(職員マスタ!$H$6:$H$405,$AN570)),"時短終了日がマスタと相違／","")))&amp;IF(AND($B570&lt;&gt;"",$E570=""),"報酬額が未入力／","")&amp;IF(N($U570)&gt;0,"申請書に入力エラーが残っています／","")&amp;IF(AND($B570&lt;&gt;"",$AO570&lt;&gt;""),IF(COUNTIFS($B$6:$B$3005,$B570,$C$6:$C$3005,$C570,$D$6:$D$3005,$D570)&gt;1,"同じ月の請求が重複しています／",""),"")&amp;IF(AND(N($E570)&gt;0,$Z570&lt;&gt;"",$Z570&lt;&gt;"×",$AC570=0,$AB570=""),"計算額が下限以下のため不支給／",""))</f>
        <v/>
      </c>
      <c r="AL570" s="12" t="n"/>
      <c r="AM570" s="14">
        <f>IF($AD570="保留中",COUNTIF($AD$6:$AD570,"保留中"),"")</f>
        <v/>
      </c>
      <c r="AN570" s="14">
        <f>IF($AO570="","",IF(SUMPRODUCT(MAX((職員マスタ!$A$6:$A$405=$B570)*(((職員マスタ!$G$6:$G$405="")+(職員マスタ!$G$6:$G$405&lt;=EOMONTH($AO570,0)))&gt;0)*(((職員マスタ!$H$6:$H$405="")+(職員マスタ!$H$6:$H$405&gt;=$AO570))&gt;0)*(ROW(職員マスタ!$A$6:$A$405)-5)))&gt;0,SUMPRODUCT(MAX((職員マスタ!$A$6:$A$405=$B570)*(((職員マスタ!$G$6:$G$405="")+(職員マスタ!$G$6:$G$405&lt;=EOMONTH($AO570,0)))&gt;0)*(((職員マスタ!$H$6:$H$405="")+(職員マスタ!$H$6:$H$405&gt;=$AO570))&gt;0)*(ROW(職員マスタ!$A$6:$A$405)-5))),IFERROR(MATCH($B570,職員マスタ!$A$6:$A$405,0),"")))</f>
        <v/>
      </c>
      <c r="AO570" s="16">
        <f>IF(OR($B570="",$C570="",$D570=""),"",DATE($C570+2018,$D570,1))</f>
        <v/>
      </c>
    </row>
    <row r="571">
      <c r="A571" s="11" t="n"/>
      <c r="B571" s="12" t="n"/>
      <c r="C571" s="12" t="n"/>
      <c r="D571" s="12" t="n"/>
      <c r="E571" s="13" t="n"/>
      <c r="F571" s="12" t="n"/>
      <c r="G571" s="13" t="n"/>
      <c r="H571" s="12" t="n"/>
      <c r="I571" s="12" t="n"/>
      <c r="J571" s="12" t="n"/>
      <c r="K571" s="12" t="n"/>
      <c r="L571" s="11" t="n"/>
      <c r="M571" s="11" t="n"/>
      <c r="N571" s="11" t="n"/>
      <c r="O571" s="11" t="n"/>
      <c r="P571" s="12" t="n"/>
      <c r="Q571" s="11" t="n"/>
      <c r="R571" s="12" t="n"/>
      <c r="S571" s="11" t="n"/>
      <c r="T571" s="12" t="n"/>
      <c r="U571" s="12" t="n"/>
      <c r="V571" s="14">
        <f>IF($AN571="",IF($B571="","",$H571),IF(INDEX(職員マスタ!$B$6:$B$405,$AN571)="",$H571,INDEX(職員マスタ!$B$6:$B$405,$AN571)))</f>
        <v/>
      </c>
      <c r="W571" s="14">
        <f>IF($AN571="",IF($B571="","",$R571),IF(INDEX(職員マスタ!$C$6:$C$405,$AN571)="",$R571,INDEX(職員マスタ!$C$6:$C$405,$AN571)))</f>
        <v/>
      </c>
      <c r="X571" s="14">
        <f>IF($AO571="","","R"&amp;$C571&amp;"."&amp;$D571)</f>
        <v/>
      </c>
      <c r="Y571" s="15">
        <f>IF($AN571="","",IF(INDEX(職員マスタ!$K$6:$K$405,$AN571)="","",INDEX(職員マスタ!$K$6:$K$405,$AN571)))</f>
        <v/>
      </c>
      <c r="Z571" s="14">
        <f>IF(OR($E571="",$Y571=""),"",IF($E571&gt;=$Y571,"×",IF($E571&gt;=$Y571*設定!$C$5,"△","○")))</f>
        <v/>
      </c>
      <c r="AA571" s="15">
        <f>IF($Z571="","",IF($Z571="×",0,IF($Z571="○",ROUNDDOWN($E571*設定!$C$4,0),ROUNDDOWN($E571*ROUND((9*$Y571-9*$E571)/(10*$E571),4),0))))</f>
        <v/>
      </c>
      <c r="AB571" s="13" t="n"/>
      <c r="AC571" s="15">
        <f>IF($B571="","",IF($AB571&lt;&gt;"",$AB571,IF($AA571="","",IF($AA571&lt;=設定!$C$3,0,$AA571))))</f>
        <v/>
      </c>
      <c r="AD571" s="14">
        <f>IF($B571="","",IF(AND($AE571&lt;&gt;"",$AG571="",$AJ571=""),"保留中",IF($AJ571&lt;&gt;"",IF(N($AC571)&gt;0,"支給済","不支給"),IF($AC571="","要確認",IF($AC571=0,"不支給","未処理")))))</f>
        <v/>
      </c>
      <c r="AE571" s="12" t="n"/>
      <c r="AF571" s="11" t="n"/>
      <c r="AG571" s="11" t="n"/>
      <c r="AH571" s="11" t="n"/>
      <c r="AI571" s="14">
        <f>IF(AND($AD571="保留中",$AF571&lt;&gt;""),TODAY()-$AF571,"")</f>
        <v/>
      </c>
      <c r="AJ571" s="12" t="n"/>
      <c r="AK571" s="14">
        <f>IF($B571="","",IF($AO571="","対象年月が未入力／","")&amp;IF($B571="","",IF($AN571="","職員マスタに未登録の職員番号／",IF($Y571="","標準報酬月額が未登録／","")&amp;IF(AND($AO571&lt;&gt;"",OR(AND(INDEX(職員マスタ!$G$6:$G$405,$AN571)&lt;&gt;"",INDEX(職員マスタ!$G$6:$G$405,$AN571)&gt;EOMONTH($AO571,0)),AND(INDEX(職員マスタ!$H$6:$H$405,$AN571)&lt;&gt;"",INDEX(職員マスタ!$H$6:$H$405,$AN571)&lt;$AO571))),"対象月が時短期間外／","")&amp;IF(AND(INDEX(職員マスタ!$F$6:$F$405,$AN571)&lt;&gt;"",$AO571&lt;&gt;"",INDEX(職員マスタ!$F$6:$F$405,$AN571)&lt;$AO571),"対象月に子が2歳到達済／","")&amp;IF(AND($H571&lt;&gt;"",INDEX(職員マスタ!$B$6:$B$405,$AN571)&lt;&gt;"",SUBSTITUTE(SUBSTITUTE($H571," ","")," ","")&lt;&gt;SUBSTITUTE(SUBSTITUTE(INDEX(職員マスタ!$B$6:$B$405,$AN571)," ","")," ","")),"氏名がマスタと相違／","")&amp;IF(AND($Q571&lt;&gt;"",INDEX(職員マスタ!$E$6:$E$405,$AN571)&lt;&gt;"",$Q571&lt;&gt;INDEX(職員マスタ!$E$6:$E$405,$AN571)),"子の生年月日がマスタと相違／","")&amp;IF(AND($L571&lt;&gt;"",INDEX(職員マスタ!$G$6:$G$405,$AN571)&lt;&gt;"",$L571&lt;&gt;INDEX(職員マスタ!$G$6:$G$405,$AN571)),"時短開始日がマスタと相違／","")&amp;IF(AND($M571&lt;&gt;"",INDEX(職員マスタ!$H$6:$H$405,$AN571)&lt;&gt;"",$M571&lt;&gt;INDEX(職員マスタ!$H$6:$H$405,$AN571)),"時短終了日がマスタと相違／","")))&amp;IF(AND($B571&lt;&gt;"",$E571=""),"報酬額が未入力／","")&amp;IF(N($U571)&gt;0,"申請書に入力エラーが残っています／","")&amp;IF(AND($B571&lt;&gt;"",$AO571&lt;&gt;""),IF(COUNTIFS($B$6:$B$3005,$B571,$C$6:$C$3005,$C571,$D$6:$D$3005,$D571)&gt;1,"同じ月の請求が重複しています／",""),"")&amp;IF(AND(N($E571)&gt;0,$Z571&lt;&gt;"",$Z571&lt;&gt;"×",$AC571=0,$AB571=""),"計算額が下限以下のため不支給／",""))</f>
        <v/>
      </c>
      <c r="AL571" s="12" t="n"/>
      <c r="AM571" s="14">
        <f>IF($AD571="保留中",COUNTIF($AD$6:$AD571,"保留中"),"")</f>
        <v/>
      </c>
      <c r="AN571" s="14">
        <f>IF($AO571="","",IF(SUMPRODUCT(MAX((職員マスタ!$A$6:$A$405=$B571)*(((職員マスタ!$G$6:$G$405="")+(職員マスタ!$G$6:$G$405&lt;=EOMONTH($AO571,0)))&gt;0)*(((職員マスタ!$H$6:$H$405="")+(職員マスタ!$H$6:$H$405&gt;=$AO571))&gt;0)*(ROW(職員マスタ!$A$6:$A$405)-5)))&gt;0,SUMPRODUCT(MAX((職員マスタ!$A$6:$A$405=$B571)*(((職員マスタ!$G$6:$G$405="")+(職員マスタ!$G$6:$G$405&lt;=EOMONTH($AO571,0)))&gt;0)*(((職員マスタ!$H$6:$H$405="")+(職員マスタ!$H$6:$H$405&gt;=$AO571))&gt;0)*(ROW(職員マスタ!$A$6:$A$405)-5))),IFERROR(MATCH($B571,職員マスタ!$A$6:$A$405,0),"")))</f>
        <v/>
      </c>
      <c r="AO571" s="16">
        <f>IF(OR($B571="",$C571="",$D571=""),"",DATE($C571+2018,$D571,1))</f>
        <v/>
      </c>
    </row>
    <row r="572">
      <c r="A572" s="11" t="n"/>
      <c r="B572" s="12" t="n"/>
      <c r="C572" s="12" t="n"/>
      <c r="D572" s="12" t="n"/>
      <c r="E572" s="13" t="n"/>
      <c r="F572" s="12" t="n"/>
      <c r="G572" s="13" t="n"/>
      <c r="H572" s="12" t="n"/>
      <c r="I572" s="12" t="n"/>
      <c r="J572" s="12" t="n"/>
      <c r="K572" s="12" t="n"/>
      <c r="L572" s="11" t="n"/>
      <c r="M572" s="11" t="n"/>
      <c r="N572" s="11" t="n"/>
      <c r="O572" s="11" t="n"/>
      <c r="P572" s="12" t="n"/>
      <c r="Q572" s="11" t="n"/>
      <c r="R572" s="12" t="n"/>
      <c r="S572" s="11" t="n"/>
      <c r="T572" s="12" t="n"/>
      <c r="U572" s="12" t="n"/>
      <c r="V572" s="14">
        <f>IF($AN572="",IF($B572="","",$H572),IF(INDEX(職員マスタ!$B$6:$B$405,$AN572)="",$H572,INDEX(職員マスタ!$B$6:$B$405,$AN572)))</f>
        <v/>
      </c>
      <c r="W572" s="14">
        <f>IF($AN572="",IF($B572="","",$R572),IF(INDEX(職員マスタ!$C$6:$C$405,$AN572)="",$R572,INDEX(職員マスタ!$C$6:$C$405,$AN572)))</f>
        <v/>
      </c>
      <c r="X572" s="14">
        <f>IF($AO572="","","R"&amp;$C572&amp;"."&amp;$D572)</f>
        <v/>
      </c>
      <c r="Y572" s="15">
        <f>IF($AN572="","",IF(INDEX(職員マスタ!$K$6:$K$405,$AN572)="","",INDEX(職員マスタ!$K$6:$K$405,$AN572)))</f>
        <v/>
      </c>
      <c r="Z572" s="14">
        <f>IF(OR($E572="",$Y572=""),"",IF($E572&gt;=$Y572,"×",IF($E572&gt;=$Y572*設定!$C$5,"△","○")))</f>
        <v/>
      </c>
      <c r="AA572" s="15">
        <f>IF($Z572="","",IF($Z572="×",0,IF($Z572="○",ROUNDDOWN($E572*設定!$C$4,0),ROUNDDOWN($E572*ROUND((9*$Y572-9*$E572)/(10*$E572),4),0))))</f>
        <v/>
      </c>
      <c r="AB572" s="13" t="n"/>
      <c r="AC572" s="15">
        <f>IF($B572="","",IF($AB572&lt;&gt;"",$AB572,IF($AA572="","",IF($AA572&lt;=設定!$C$3,0,$AA572))))</f>
        <v/>
      </c>
      <c r="AD572" s="14">
        <f>IF($B572="","",IF(AND($AE572&lt;&gt;"",$AG572="",$AJ572=""),"保留中",IF($AJ572&lt;&gt;"",IF(N($AC572)&gt;0,"支給済","不支給"),IF($AC572="","要確認",IF($AC572=0,"不支給","未処理")))))</f>
        <v/>
      </c>
      <c r="AE572" s="12" t="n"/>
      <c r="AF572" s="11" t="n"/>
      <c r="AG572" s="11" t="n"/>
      <c r="AH572" s="11" t="n"/>
      <c r="AI572" s="14">
        <f>IF(AND($AD572="保留中",$AF572&lt;&gt;""),TODAY()-$AF572,"")</f>
        <v/>
      </c>
      <c r="AJ572" s="12" t="n"/>
      <c r="AK572" s="14">
        <f>IF($B572="","",IF($AO572="","対象年月が未入力／","")&amp;IF($B572="","",IF($AN572="","職員マスタに未登録の職員番号／",IF($Y572="","標準報酬月額が未登録／","")&amp;IF(AND($AO572&lt;&gt;"",OR(AND(INDEX(職員マスタ!$G$6:$G$405,$AN572)&lt;&gt;"",INDEX(職員マスタ!$G$6:$G$405,$AN572)&gt;EOMONTH($AO572,0)),AND(INDEX(職員マスタ!$H$6:$H$405,$AN572)&lt;&gt;"",INDEX(職員マスタ!$H$6:$H$405,$AN572)&lt;$AO572))),"対象月が時短期間外／","")&amp;IF(AND(INDEX(職員マスタ!$F$6:$F$405,$AN572)&lt;&gt;"",$AO572&lt;&gt;"",INDEX(職員マスタ!$F$6:$F$405,$AN572)&lt;$AO572),"対象月に子が2歳到達済／","")&amp;IF(AND($H572&lt;&gt;"",INDEX(職員マスタ!$B$6:$B$405,$AN572)&lt;&gt;"",SUBSTITUTE(SUBSTITUTE($H572," ","")," ","")&lt;&gt;SUBSTITUTE(SUBSTITUTE(INDEX(職員マスタ!$B$6:$B$405,$AN572)," ","")," ","")),"氏名がマスタと相違／","")&amp;IF(AND($Q572&lt;&gt;"",INDEX(職員マスタ!$E$6:$E$405,$AN572)&lt;&gt;"",$Q572&lt;&gt;INDEX(職員マスタ!$E$6:$E$405,$AN572)),"子の生年月日がマスタと相違／","")&amp;IF(AND($L572&lt;&gt;"",INDEX(職員マスタ!$G$6:$G$405,$AN572)&lt;&gt;"",$L572&lt;&gt;INDEX(職員マスタ!$G$6:$G$405,$AN572)),"時短開始日がマスタと相違／","")&amp;IF(AND($M572&lt;&gt;"",INDEX(職員マスタ!$H$6:$H$405,$AN572)&lt;&gt;"",$M572&lt;&gt;INDEX(職員マスタ!$H$6:$H$405,$AN572)),"時短終了日がマスタと相違／","")))&amp;IF(AND($B572&lt;&gt;"",$E572=""),"報酬額が未入力／","")&amp;IF(N($U572)&gt;0,"申請書に入力エラーが残っています／","")&amp;IF(AND($B572&lt;&gt;"",$AO572&lt;&gt;""),IF(COUNTIFS($B$6:$B$3005,$B572,$C$6:$C$3005,$C572,$D$6:$D$3005,$D572)&gt;1,"同じ月の請求が重複しています／",""),"")&amp;IF(AND(N($E572)&gt;0,$Z572&lt;&gt;"",$Z572&lt;&gt;"×",$AC572=0,$AB572=""),"計算額が下限以下のため不支給／",""))</f>
        <v/>
      </c>
      <c r="AL572" s="12" t="n"/>
      <c r="AM572" s="14">
        <f>IF($AD572="保留中",COUNTIF($AD$6:$AD572,"保留中"),"")</f>
        <v/>
      </c>
      <c r="AN572" s="14">
        <f>IF($AO572="","",IF(SUMPRODUCT(MAX((職員マスタ!$A$6:$A$405=$B572)*(((職員マスタ!$G$6:$G$405="")+(職員マスタ!$G$6:$G$405&lt;=EOMONTH($AO572,0)))&gt;0)*(((職員マスタ!$H$6:$H$405="")+(職員マスタ!$H$6:$H$405&gt;=$AO572))&gt;0)*(ROW(職員マスタ!$A$6:$A$405)-5)))&gt;0,SUMPRODUCT(MAX((職員マスタ!$A$6:$A$405=$B572)*(((職員マスタ!$G$6:$G$405="")+(職員マスタ!$G$6:$G$405&lt;=EOMONTH($AO572,0)))&gt;0)*(((職員マスタ!$H$6:$H$405="")+(職員マスタ!$H$6:$H$405&gt;=$AO572))&gt;0)*(ROW(職員マスタ!$A$6:$A$405)-5))),IFERROR(MATCH($B572,職員マスタ!$A$6:$A$405,0),"")))</f>
        <v/>
      </c>
      <c r="AO572" s="16">
        <f>IF(OR($B572="",$C572="",$D572=""),"",DATE($C572+2018,$D572,1))</f>
        <v/>
      </c>
    </row>
    <row r="573">
      <c r="A573" s="11" t="n"/>
      <c r="B573" s="12" t="n"/>
      <c r="C573" s="12" t="n"/>
      <c r="D573" s="12" t="n"/>
      <c r="E573" s="13" t="n"/>
      <c r="F573" s="12" t="n"/>
      <c r="G573" s="13" t="n"/>
      <c r="H573" s="12" t="n"/>
      <c r="I573" s="12" t="n"/>
      <c r="J573" s="12" t="n"/>
      <c r="K573" s="12" t="n"/>
      <c r="L573" s="11" t="n"/>
      <c r="M573" s="11" t="n"/>
      <c r="N573" s="11" t="n"/>
      <c r="O573" s="11" t="n"/>
      <c r="P573" s="12" t="n"/>
      <c r="Q573" s="11" t="n"/>
      <c r="R573" s="12" t="n"/>
      <c r="S573" s="11" t="n"/>
      <c r="T573" s="12" t="n"/>
      <c r="U573" s="12" t="n"/>
      <c r="V573" s="14">
        <f>IF($AN573="",IF($B573="","",$H573),IF(INDEX(職員マスタ!$B$6:$B$405,$AN573)="",$H573,INDEX(職員マスタ!$B$6:$B$405,$AN573)))</f>
        <v/>
      </c>
      <c r="W573" s="14">
        <f>IF($AN573="",IF($B573="","",$R573),IF(INDEX(職員マスタ!$C$6:$C$405,$AN573)="",$R573,INDEX(職員マスタ!$C$6:$C$405,$AN573)))</f>
        <v/>
      </c>
      <c r="X573" s="14">
        <f>IF($AO573="","","R"&amp;$C573&amp;"."&amp;$D573)</f>
        <v/>
      </c>
      <c r="Y573" s="15">
        <f>IF($AN573="","",IF(INDEX(職員マスタ!$K$6:$K$405,$AN573)="","",INDEX(職員マスタ!$K$6:$K$405,$AN573)))</f>
        <v/>
      </c>
      <c r="Z573" s="14">
        <f>IF(OR($E573="",$Y573=""),"",IF($E573&gt;=$Y573,"×",IF($E573&gt;=$Y573*設定!$C$5,"△","○")))</f>
        <v/>
      </c>
      <c r="AA573" s="15">
        <f>IF($Z573="","",IF($Z573="×",0,IF($Z573="○",ROUNDDOWN($E573*設定!$C$4,0),ROUNDDOWN($E573*ROUND((9*$Y573-9*$E573)/(10*$E573),4),0))))</f>
        <v/>
      </c>
      <c r="AB573" s="13" t="n"/>
      <c r="AC573" s="15">
        <f>IF($B573="","",IF($AB573&lt;&gt;"",$AB573,IF($AA573="","",IF($AA573&lt;=設定!$C$3,0,$AA573))))</f>
        <v/>
      </c>
      <c r="AD573" s="14">
        <f>IF($B573="","",IF(AND($AE573&lt;&gt;"",$AG573="",$AJ573=""),"保留中",IF($AJ573&lt;&gt;"",IF(N($AC573)&gt;0,"支給済","不支給"),IF($AC573="","要確認",IF($AC573=0,"不支給","未処理")))))</f>
        <v/>
      </c>
      <c r="AE573" s="12" t="n"/>
      <c r="AF573" s="11" t="n"/>
      <c r="AG573" s="11" t="n"/>
      <c r="AH573" s="11" t="n"/>
      <c r="AI573" s="14">
        <f>IF(AND($AD573="保留中",$AF573&lt;&gt;""),TODAY()-$AF573,"")</f>
        <v/>
      </c>
      <c r="AJ573" s="12" t="n"/>
      <c r="AK573" s="14">
        <f>IF($B573="","",IF($AO573="","対象年月が未入力／","")&amp;IF($B573="","",IF($AN573="","職員マスタに未登録の職員番号／",IF($Y573="","標準報酬月額が未登録／","")&amp;IF(AND($AO573&lt;&gt;"",OR(AND(INDEX(職員マスタ!$G$6:$G$405,$AN573)&lt;&gt;"",INDEX(職員マスタ!$G$6:$G$405,$AN573)&gt;EOMONTH($AO573,0)),AND(INDEX(職員マスタ!$H$6:$H$405,$AN573)&lt;&gt;"",INDEX(職員マスタ!$H$6:$H$405,$AN573)&lt;$AO573))),"対象月が時短期間外／","")&amp;IF(AND(INDEX(職員マスタ!$F$6:$F$405,$AN573)&lt;&gt;"",$AO573&lt;&gt;"",INDEX(職員マスタ!$F$6:$F$405,$AN573)&lt;$AO573),"対象月に子が2歳到達済／","")&amp;IF(AND($H573&lt;&gt;"",INDEX(職員マスタ!$B$6:$B$405,$AN573)&lt;&gt;"",SUBSTITUTE(SUBSTITUTE($H573," ","")," ","")&lt;&gt;SUBSTITUTE(SUBSTITUTE(INDEX(職員マスタ!$B$6:$B$405,$AN573)," ","")," ","")),"氏名がマスタと相違／","")&amp;IF(AND($Q573&lt;&gt;"",INDEX(職員マスタ!$E$6:$E$405,$AN573)&lt;&gt;"",$Q573&lt;&gt;INDEX(職員マスタ!$E$6:$E$405,$AN573)),"子の生年月日がマスタと相違／","")&amp;IF(AND($L573&lt;&gt;"",INDEX(職員マスタ!$G$6:$G$405,$AN573)&lt;&gt;"",$L573&lt;&gt;INDEX(職員マスタ!$G$6:$G$405,$AN573)),"時短開始日がマスタと相違／","")&amp;IF(AND($M573&lt;&gt;"",INDEX(職員マスタ!$H$6:$H$405,$AN573)&lt;&gt;"",$M573&lt;&gt;INDEX(職員マスタ!$H$6:$H$405,$AN573)),"時短終了日がマスタと相違／","")))&amp;IF(AND($B573&lt;&gt;"",$E573=""),"報酬額が未入力／","")&amp;IF(N($U573)&gt;0,"申請書に入力エラーが残っています／","")&amp;IF(AND($B573&lt;&gt;"",$AO573&lt;&gt;""),IF(COUNTIFS($B$6:$B$3005,$B573,$C$6:$C$3005,$C573,$D$6:$D$3005,$D573)&gt;1,"同じ月の請求が重複しています／",""),"")&amp;IF(AND(N($E573)&gt;0,$Z573&lt;&gt;"",$Z573&lt;&gt;"×",$AC573=0,$AB573=""),"計算額が下限以下のため不支給／",""))</f>
        <v/>
      </c>
      <c r="AL573" s="12" t="n"/>
      <c r="AM573" s="14">
        <f>IF($AD573="保留中",COUNTIF($AD$6:$AD573,"保留中"),"")</f>
        <v/>
      </c>
      <c r="AN573" s="14">
        <f>IF($AO573="","",IF(SUMPRODUCT(MAX((職員マスタ!$A$6:$A$405=$B573)*(((職員マスタ!$G$6:$G$405="")+(職員マスタ!$G$6:$G$405&lt;=EOMONTH($AO573,0)))&gt;0)*(((職員マスタ!$H$6:$H$405="")+(職員マスタ!$H$6:$H$405&gt;=$AO573))&gt;0)*(ROW(職員マスタ!$A$6:$A$405)-5)))&gt;0,SUMPRODUCT(MAX((職員マスタ!$A$6:$A$405=$B573)*(((職員マスタ!$G$6:$G$405="")+(職員マスタ!$G$6:$G$405&lt;=EOMONTH($AO573,0)))&gt;0)*(((職員マスタ!$H$6:$H$405="")+(職員マスタ!$H$6:$H$405&gt;=$AO573))&gt;0)*(ROW(職員マスタ!$A$6:$A$405)-5))),IFERROR(MATCH($B573,職員マスタ!$A$6:$A$405,0),"")))</f>
        <v/>
      </c>
      <c r="AO573" s="16">
        <f>IF(OR($B573="",$C573="",$D573=""),"",DATE($C573+2018,$D573,1))</f>
        <v/>
      </c>
    </row>
    <row r="574">
      <c r="A574" s="11" t="n"/>
      <c r="B574" s="12" t="n"/>
      <c r="C574" s="12" t="n"/>
      <c r="D574" s="12" t="n"/>
      <c r="E574" s="13" t="n"/>
      <c r="F574" s="12" t="n"/>
      <c r="G574" s="13" t="n"/>
      <c r="H574" s="12" t="n"/>
      <c r="I574" s="12" t="n"/>
      <c r="J574" s="12" t="n"/>
      <c r="K574" s="12" t="n"/>
      <c r="L574" s="11" t="n"/>
      <c r="M574" s="11" t="n"/>
      <c r="N574" s="11" t="n"/>
      <c r="O574" s="11" t="n"/>
      <c r="P574" s="12" t="n"/>
      <c r="Q574" s="11" t="n"/>
      <c r="R574" s="12" t="n"/>
      <c r="S574" s="11" t="n"/>
      <c r="T574" s="12" t="n"/>
      <c r="U574" s="12" t="n"/>
      <c r="V574" s="14">
        <f>IF($AN574="",IF($B574="","",$H574),IF(INDEX(職員マスタ!$B$6:$B$405,$AN574)="",$H574,INDEX(職員マスタ!$B$6:$B$405,$AN574)))</f>
        <v/>
      </c>
      <c r="W574" s="14">
        <f>IF($AN574="",IF($B574="","",$R574),IF(INDEX(職員マスタ!$C$6:$C$405,$AN574)="",$R574,INDEX(職員マスタ!$C$6:$C$405,$AN574)))</f>
        <v/>
      </c>
      <c r="X574" s="14">
        <f>IF($AO574="","","R"&amp;$C574&amp;"."&amp;$D574)</f>
        <v/>
      </c>
      <c r="Y574" s="15">
        <f>IF($AN574="","",IF(INDEX(職員マスタ!$K$6:$K$405,$AN574)="","",INDEX(職員マスタ!$K$6:$K$405,$AN574)))</f>
        <v/>
      </c>
      <c r="Z574" s="14">
        <f>IF(OR($E574="",$Y574=""),"",IF($E574&gt;=$Y574,"×",IF($E574&gt;=$Y574*設定!$C$5,"△","○")))</f>
        <v/>
      </c>
      <c r="AA574" s="15">
        <f>IF($Z574="","",IF($Z574="×",0,IF($Z574="○",ROUNDDOWN($E574*設定!$C$4,0),ROUNDDOWN($E574*ROUND((9*$Y574-9*$E574)/(10*$E574),4),0))))</f>
        <v/>
      </c>
      <c r="AB574" s="13" t="n"/>
      <c r="AC574" s="15">
        <f>IF($B574="","",IF($AB574&lt;&gt;"",$AB574,IF($AA574="","",IF($AA574&lt;=設定!$C$3,0,$AA574))))</f>
        <v/>
      </c>
      <c r="AD574" s="14">
        <f>IF($B574="","",IF(AND($AE574&lt;&gt;"",$AG574="",$AJ574=""),"保留中",IF($AJ574&lt;&gt;"",IF(N($AC574)&gt;0,"支給済","不支給"),IF($AC574="","要確認",IF($AC574=0,"不支給","未処理")))))</f>
        <v/>
      </c>
      <c r="AE574" s="12" t="n"/>
      <c r="AF574" s="11" t="n"/>
      <c r="AG574" s="11" t="n"/>
      <c r="AH574" s="11" t="n"/>
      <c r="AI574" s="14">
        <f>IF(AND($AD574="保留中",$AF574&lt;&gt;""),TODAY()-$AF574,"")</f>
        <v/>
      </c>
      <c r="AJ574" s="12" t="n"/>
      <c r="AK574" s="14">
        <f>IF($B574="","",IF($AO574="","対象年月が未入力／","")&amp;IF($B574="","",IF($AN574="","職員マスタに未登録の職員番号／",IF($Y574="","標準報酬月額が未登録／","")&amp;IF(AND($AO574&lt;&gt;"",OR(AND(INDEX(職員マスタ!$G$6:$G$405,$AN574)&lt;&gt;"",INDEX(職員マスタ!$G$6:$G$405,$AN574)&gt;EOMONTH($AO574,0)),AND(INDEX(職員マスタ!$H$6:$H$405,$AN574)&lt;&gt;"",INDEX(職員マスタ!$H$6:$H$405,$AN574)&lt;$AO574))),"対象月が時短期間外／","")&amp;IF(AND(INDEX(職員マスタ!$F$6:$F$405,$AN574)&lt;&gt;"",$AO574&lt;&gt;"",INDEX(職員マスタ!$F$6:$F$405,$AN574)&lt;$AO574),"対象月に子が2歳到達済／","")&amp;IF(AND($H574&lt;&gt;"",INDEX(職員マスタ!$B$6:$B$405,$AN574)&lt;&gt;"",SUBSTITUTE(SUBSTITUTE($H574," ","")," ","")&lt;&gt;SUBSTITUTE(SUBSTITUTE(INDEX(職員マスタ!$B$6:$B$405,$AN574)," ","")," ","")),"氏名がマスタと相違／","")&amp;IF(AND($Q574&lt;&gt;"",INDEX(職員マスタ!$E$6:$E$405,$AN574)&lt;&gt;"",$Q574&lt;&gt;INDEX(職員マスタ!$E$6:$E$405,$AN574)),"子の生年月日がマスタと相違／","")&amp;IF(AND($L574&lt;&gt;"",INDEX(職員マスタ!$G$6:$G$405,$AN574)&lt;&gt;"",$L574&lt;&gt;INDEX(職員マスタ!$G$6:$G$405,$AN574)),"時短開始日がマスタと相違／","")&amp;IF(AND($M574&lt;&gt;"",INDEX(職員マスタ!$H$6:$H$405,$AN574)&lt;&gt;"",$M574&lt;&gt;INDEX(職員マスタ!$H$6:$H$405,$AN574)),"時短終了日がマスタと相違／","")))&amp;IF(AND($B574&lt;&gt;"",$E574=""),"報酬額が未入力／","")&amp;IF(N($U574)&gt;0,"申請書に入力エラーが残っています／","")&amp;IF(AND($B574&lt;&gt;"",$AO574&lt;&gt;""),IF(COUNTIFS($B$6:$B$3005,$B574,$C$6:$C$3005,$C574,$D$6:$D$3005,$D574)&gt;1,"同じ月の請求が重複しています／",""),"")&amp;IF(AND(N($E574)&gt;0,$Z574&lt;&gt;"",$Z574&lt;&gt;"×",$AC574=0,$AB574=""),"計算額が下限以下のため不支給／",""))</f>
        <v/>
      </c>
      <c r="AL574" s="12" t="n"/>
      <c r="AM574" s="14">
        <f>IF($AD574="保留中",COUNTIF($AD$6:$AD574,"保留中"),"")</f>
        <v/>
      </c>
      <c r="AN574" s="14">
        <f>IF($AO574="","",IF(SUMPRODUCT(MAX((職員マスタ!$A$6:$A$405=$B574)*(((職員マスタ!$G$6:$G$405="")+(職員マスタ!$G$6:$G$405&lt;=EOMONTH($AO574,0)))&gt;0)*(((職員マスタ!$H$6:$H$405="")+(職員マスタ!$H$6:$H$405&gt;=$AO574))&gt;0)*(ROW(職員マスタ!$A$6:$A$405)-5)))&gt;0,SUMPRODUCT(MAX((職員マスタ!$A$6:$A$405=$B574)*(((職員マスタ!$G$6:$G$405="")+(職員マスタ!$G$6:$G$405&lt;=EOMONTH($AO574,0)))&gt;0)*(((職員マスタ!$H$6:$H$405="")+(職員マスタ!$H$6:$H$405&gt;=$AO574))&gt;0)*(ROW(職員マスタ!$A$6:$A$405)-5))),IFERROR(MATCH($B574,職員マスタ!$A$6:$A$405,0),"")))</f>
        <v/>
      </c>
      <c r="AO574" s="16">
        <f>IF(OR($B574="",$C574="",$D574=""),"",DATE($C574+2018,$D574,1))</f>
        <v/>
      </c>
    </row>
    <row r="575">
      <c r="A575" s="11" t="n"/>
      <c r="B575" s="12" t="n"/>
      <c r="C575" s="12" t="n"/>
      <c r="D575" s="12" t="n"/>
      <c r="E575" s="13" t="n"/>
      <c r="F575" s="12" t="n"/>
      <c r="G575" s="13" t="n"/>
      <c r="H575" s="12" t="n"/>
      <c r="I575" s="12" t="n"/>
      <c r="J575" s="12" t="n"/>
      <c r="K575" s="12" t="n"/>
      <c r="L575" s="11" t="n"/>
      <c r="M575" s="11" t="n"/>
      <c r="N575" s="11" t="n"/>
      <c r="O575" s="11" t="n"/>
      <c r="P575" s="12" t="n"/>
      <c r="Q575" s="11" t="n"/>
      <c r="R575" s="12" t="n"/>
      <c r="S575" s="11" t="n"/>
      <c r="T575" s="12" t="n"/>
      <c r="U575" s="12" t="n"/>
      <c r="V575" s="14">
        <f>IF($AN575="",IF($B575="","",$H575),IF(INDEX(職員マスタ!$B$6:$B$405,$AN575)="",$H575,INDEX(職員マスタ!$B$6:$B$405,$AN575)))</f>
        <v/>
      </c>
      <c r="W575" s="14">
        <f>IF($AN575="",IF($B575="","",$R575),IF(INDEX(職員マスタ!$C$6:$C$405,$AN575)="",$R575,INDEX(職員マスタ!$C$6:$C$405,$AN575)))</f>
        <v/>
      </c>
      <c r="X575" s="14">
        <f>IF($AO575="","","R"&amp;$C575&amp;"."&amp;$D575)</f>
        <v/>
      </c>
      <c r="Y575" s="15">
        <f>IF($AN575="","",IF(INDEX(職員マスタ!$K$6:$K$405,$AN575)="","",INDEX(職員マスタ!$K$6:$K$405,$AN575)))</f>
        <v/>
      </c>
      <c r="Z575" s="14">
        <f>IF(OR($E575="",$Y575=""),"",IF($E575&gt;=$Y575,"×",IF($E575&gt;=$Y575*設定!$C$5,"△","○")))</f>
        <v/>
      </c>
      <c r="AA575" s="15">
        <f>IF($Z575="","",IF($Z575="×",0,IF($Z575="○",ROUNDDOWN($E575*設定!$C$4,0),ROUNDDOWN($E575*ROUND((9*$Y575-9*$E575)/(10*$E575),4),0))))</f>
        <v/>
      </c>
      <c r="AB575" s="13" t="n"/>
      <c r="AC575" s="15">
        <f>IF($B575="","",IF($AB575&lt;&gt;"",$AB575,IF($AA575="","",IF($AA575&lt;=設定!$C$3,0,$AA575))))</f>
        <v/>
      </c>
      <c r="AD575" s="14">
        <f>IF($B575="","",IF(AND($AE575&lt;&gt;"",$AG575="",$AJ575=""),"保留中",IF($AJ575&lt;&gt;"",IF(N($AC575)&gt;0,"支給済","不支給"),IF($AC575="","要確認",IF($AC575=0,"不支給","未処理")))))</f>
        <v/>
      </c>
      <c r="AE575" s="12" t="n"/>
      <c r="AF575" s="11" t="n"/>
      <c r="AG575" s="11" t="n"/>
      <c r="AH575" s="11" t="n"/>
      <c r="AI575" s="14">
        <f>IF(AND($AD575="保留中",$AF575&lt;&gt;""),TODAY()-$AF575,"")</f>
        <v/>
      </c>
      <c r="AJ575" s="12" t="n"/>
      <c r="AK575" s="14">
        <f>IF($B575="","",IF($AO575="","対象年月が未入力／","")&amp;IF($B575="","",IF($AN575="","職員マスタに未登録の職員番号／",IF($Y575="","標準報酬月額が未登録／","")&amp;IF(AND($AO575&lt;&gt;"",OR(AND(INDEX(職員マスタ!$G$6:$G$405,$AN575)&lt;&gt;"",INDEX(職員マスタ!$G$6:$G$405,$AN575)&gt;EOMONTH($AO575,0)),AND(INDEX(職員マスタ!$H$6:$H$405,$AN575)&lt;&gt;"",INDEX(職員マスタ!$H$6:$H$405,$AN575)&lt;$AO575))),"対象月が時短期間外／","")&amp;IF(AND(INDEX(職員マスタ!$F$6:$F$405,$AN575)&lt;&gt;"",$AO575&lt;&gt;"",INDEX(職員マスタ!$F$6:$F$405,$AN575)&lt;$AO575),"対象月に子が2歳到達済／","")&amp;IF(AND($H575&lt;&gt;"",INDEX(職員マスタ!$B$6:$B$405,$AN575)&lt;&gt;"",SUBSTITUTE(SUBSTITUTE($H575," ","")," ","")&lt;&gt;SUBSTITUTE(SUBSTITUTE(INDEX(職員マスタ!$B$6:$B$405,$AN575)," ","")," ","")),"氏名がマスタと相違／","")&amp;IF(AND($Q575&lt;&gt;"",INDEX(職員マスタ!$E$6:$E$405,$AN575)&lt;&gt;"",$Q575&lt;&gt;INDEX(職員マスタ!$E$6:$E$405,$AN575)),"子の生年月日がマスタと相違／","")&amp;IF(AND($L575&lt;&gt;"",INDEX(職員マスタ!$G$6:$G$405,$AN575)&lt;&gt;"",$L575&lt;&gt;INDEX(職員マスタ!$G$6:$G$405,$AN575)),"時短開始日がマスタと相違／","")&amp;IF(AND($M575&lt;&gt;"",INDEX(職員マスタ!$H$6:$H$405,$AN575)&lt;&gt;"",$M575&lt;&gt;INDEX(職員マスタ!$H$6:$H$405,$AN575)),"時短終了日がマスタと相違／","")))&amp;IF(AND($B575&lt;&gt;"",$E575=""),"報酬額が未入力／","")&amp;IF(N($U575)&gt;0,"申請書に入力エラーが残っています／","")&amp;IF(AND($B575&lt;&gt;"",$AO575&lt;&gt;""),IF(COUNTIFS($B$6:$B$3005,$B575,$C$6:$C$3005,$C575,$D$6:$D$3005,$D575)&gt;1,"同じ月の請求が重複しています／",""),"")&amp;IF(AND(N($E575)&gt;0,$Z575&lt;&gt;"",$Z575&lt;&gt;"×",$AC575=0,$AB575=""),"計算額が下限以下のため不支給／",""))</f>
        <v/>
      </c>
      <c r="AL575" s="12" t="n"/>
      <c r="AM575" s="14">
        <f>IF($AD575="保留中",COUNTIF($AD$6:$AD575,"保留中"),"")</f>
        <v/>
      </c>
      <c r="AN575" s="14">
        <f>IF($AO575="","",IF(SUMPRODUCT(MAX((職員マスタ!$A$6:$A$405=$B575)*(((職員マスタ!$G$6:$G$405="")+(職員マスタ!$G$6:$G$405&lt;=EOMONTH($AO575,0)))&gt;0)*(((職員マスタ!$H$6:$H$405="")+(職員マスタ!$H$6:$H$405&gt;=$AO575))&gt;0)*(ROW(職員マスタ!$A$6:$A$405)-5)))&gt;0,SUMPRODUCT(MAX((職員マスタ!$A$6:$A$405=$B575)*(((職員マスタ!$G$6:$G$405="")+(職員マスタ!$G$6:$G$405&lt;=EOMONTH($AO575,0)))&gt;0)*(((職員マスタ!$H$6:$H$405="")+(職員マスタ!$H$6:$H$405&gt;=$AO575))&gt;0)*(ROW(職員マスタ!$A$6:$A$405)-5))),IFERROR(MATCH($B575,職員マスタ!$A$6:$A$405,0),"")))</f>
        <v/>
      </c>
      <c r="AO575" s="16">
        <f>IF(OR($B575="",$C575="",$D575=""),"",DATE($C575+2018,$D575,1))</f>
        <v/>
      </c>
    </row>
    <row r="576">
      <c r="A576" s="11" t="n"/>
      <c r="B576" s="12" t="n"/>
      <c r="C576" s="12" t="n"/>
      <c r="D576" s="12" t="n"/>
      <c r="E576" s="13" t="n"/>
      <c r="F576" s="12" t="n"/>
      <c r="G576" s="13" t="n"/>
      <c r="H576" s="12" t="n"/>
      <c r="I576" s="12" t="n"/>
      <c r="J576" s="12" t="n"/>
      <c r="K576" s="12" t="n"/>
      <c r="L576" s="11" t="n"/>
      <c r="M576" s="11" t="n"/>
      <c r="N576" s="11" t="n"/>
      <c r="O576" s="11" t="n"/>
      <c r="P576" s="12" t="n"/>
      <c r="Q576" s="11" t="n"/>
      <c r="R576" s="12" t="n"/>
      <c r="S576" s="11" t="n"/>
      <c r="T576" s="12" t="n"/>
      <c r="U576" s="12" t="n"/>
      <c r="V576" s="14">
        <f>IF($AN576="",IF($B576="","",$H576),IF(INDEX(職員マスタ!$B$6:$B$405,$AN576)="",$H576,INDEX(職員マスタ!$B$6:$B$405,$AN576)))</f>
        <v/>
      </c>
      <c r="W576" s="14">
        <f>IF($AN576="",IF($B576="","",$R576),IF(INDEX(職員マスタ!$C$6:$C$405,$AN576)="",$R576,INDEX(職員マスタ!$C$6:$C$405,$AN576)))</f>
        <v/>
      </c>
      <c r="X576" s="14">
        <f>IF($AO576="","","R"&amp;$C576&amp;"."&amp;$D576)</f>
        <v/>
      </c>
      <c r="Y576" s="15">
        <f>IF($AN576="","",IF(INDEX(職員マスタ!$K$6:$K$405,$AN576)="","",INDEX(職員マスタ!$K$6:$K$405,$AN576)))</f>
        <v/>
      </c>
      <c r="Z576" s="14">
        <f>IF(OR($E576="",$Y576=""),"",IF($E576&gt;=$Y576,"×",IF($E576&gt;=$Y576*設定!$C$5,"△","○")))</f>
        <v/>
      </c>
      <c r="AA576" s="15">
        <f>IF($Z576="","",IF($Z576="×",0,IF($Z576="○",ROUNDDOWN($E576*設定!$C$4,0),ROUNDDOWN($E576*ROUND((9*$Y576-9*$E576)/(10*$E576),4),0))))</f>
        <v/>
      </c>
      <c r="AB576" s="13" t="n"/>
      <c r="AC576" s="15">
        <f>IF($B576="","",IF($AB576&lt;&gt;"",$AB576,IF($AA576="","",IF($AA576&lt;=設定!$C$3,0,$AA576))))</f>
        <v/>
      </c>
      <c r="AD576" s="14">
        <f>IF($B576="","",IF(AND($AE576&lt;&gt;"",$AG576="",$AJ576=""),"保留中",IF($AJ576&lt;&gt;"",IF(N($AC576)&gt;0,"支給済","不支給"),IF($AC576="","要確認",IF($AC576=0,"不支給","未処理")))))</f>
        <v/>
      </c>
      <c r="AE576" s="12" t="n"/>
      <c r="AF576" s="11" t="n"/>
      <c r="AG576" s="11" t="n"/>
      <c r="AH576" s="11" t="n"/>
      <c r="AI576" s="14">
        <f>IF(AND($AD576="保留中",$AF576&lt;&gt;""),TODAY()-$AF576,"")</f>
        <v/>
      </c>
      <c r="AJ576" s="12" t="n"/>
      <c r="AK576" s="14">
        <f>IF($B576="","",IF($AO576="","対象年月が未入力／","")&amp;IF($B576="","",IF($AN576="","職員マスタに未登録の職員番号／",IF($Y576="","標準報酬月額が未登録／","")&amp;IF(AND($AO576&lt;&gt;"",OR(AND(INDEX(職員マスタ!$G$6:$G$405,$AN576)&lt;&gt;"",INDEX(職員マスタ!$G$6:$G$405,$AN576)&gt;EOMONTH($AO576,0)),AND(INDEX(職員マスタ!$H$6:$H$405,$AN576)&lt;&gt;"",INDEX(職員マスタ!$H$6:$H$405,$AN576)&lt;$AO576))),"対象月が時短期間外／","")&amp;IF(AND(INDEX(職員マスタ!$F$6:$F$405,$AN576)&lt;&gt;"",$AO576&lt;&gt;"",INDEX(職員マスタ!$F$6:$F$405,$AN576)&lt;$AO576),"対象月に子が2歳到達済／","")&amp;IF(AND($H576&lt;&gt;"",INDEX(職員マスタ!$B$6:$B$405,$AN576)&lt;&gt;"",SUBSTITUTE(SUBSTITUTE($H576," ","")," ","")&lt;&gt;SUBSTITUTE(SUBSTITUTE(INDEX(職員マスタ!$B$6:$B$405,$AN576)," ","")," ","")),"氏名がマスタと相違／","")&amp;IF(AND($Q576&lt;&gt;"",INDEX(職員マスタ!$E$6:$E$405,$AN576)&lt;&gt;"",$Q576&lt;&gt;INDEX(職員マスタ!$E$6:$E$405,$AN576)),"子の生年月日がマスタと相違／","")&amp;IF(AND($L576&lt;&gt;"",INDEX(職員マスタ!$G$6:$G$405,$AN576)&lt;&gt;"",$L576&lt;&gt;INDEX(職員マスタ!$G$6:$G$405,$AN576)),"時短開始日がマスタと相違／","")&amp;IF(AND($M576&lt;&gt;"",INDEX(職員マスタ!$H$6:$H$405,$AN576)&lt;&gt;"",$M576&lt;&gt;INDEX(職員マスタ!$H$6:$H$405,$AN576)),"時短終了日がマスタと相違／","")))&amp;IF(AND($B576&lt;&gt;"",$E576=""),"報酬額が未入力／","")&amp;IF(N($U576)&gt;0,"申請書に入力エラーが残っています／","")&amp;IF(AND($B576&lt;&gt;"",$AO576&lt;&gt;""),IF(COUNTIFS($B$6:$B$3005,$B576,$C$6:$C$3005,$C576,$D$6:$D$3005,$D576)&gt;1,"同じ月の請求が重複しています／",""),"")&amp;IF(AND(N($E576)&gt;0,$Z576&lt;&gt;"",$Z576&lt;&gt;"×",$AC576=0,$AB576=""),"計算額が下限以下のため不支給／",""))</f>
        <v/>
      </c>
      <c r="AL576" s="12" t="n"/>
      <c r="AM576" s="14">
        <f>IF($AD576="保留中",COUNTIF($AD$6:$AD576,"保留中"),"")</f>
        <v/>
      </c>
      <c r="AN576" s="14">
        <f>IF($AO576="","",IF(SUMPRODUCT(MAX((職員マスタ!$A$6:$A$405=$B576)*(((職員マスタ!$G$6:$G$405="")+(職員マスタ!$G$6:$G$405&lt;=EOMONTH($AO576,0)))&gt;0)*(((職員マスタ!$H$6:$H$405="")+(職員マスタ!$H$6:$H$405&gt;=$AO576))&gt;0)*(ROW(職員マスタ!$A$6:$A$405)-5)))&gt;0,SUMPRODUCT(MAX((職員マスタ!$A$6:$A$405=$B576)*(((職員マスタ!$G$6:$G$405="")+(職員マスタ!$G$6:$G$405&lt;=EOMONTH($AO576,0)))&gt;0)*(((職員マスタ!$H$6:$H$405="")+(職員マスタ!$H$6:$H$405&gt;=$AO576))&gt;0)*(ROW(職員マスタ!$A$6:$A$405)-5))),IFERROR(MATCH($B576,職員マスタ!$A$6:$A$405,0),"")))</f>
        <v/>
      </c>
      <c r="AO576" s="16">
        <f>IF(OR($B576="",$C576="",$D576=""),"",DATE($C576+2018,$D576,1))</f>
        <v/>
      </c>
    </row>
    <row r="577">
      <c r="A577" s="11" t="n"/>
      <c r="B577" s="12" t="n"/>
      <c r="C577" s="12" t="n"/>
      <c r="D577" s="12" t="n"/>
      <c r="E577" s="13" t="n"/>
      <c r="F577" s="12" t="n"/>
      <c r="G577" s="13" t="n"/>
      <c r="H577" s="12" t="n"/>
      <c r="I577" s="12" t="n"/>
      <c r="J577" s="12" t="n"/>
      <c r="K577" s="12" t="n"/>
      <c r="L577" s="11" t="n"/>
      <c r="M577" s="11" t="n"/>
      <c r="N577" s="11" t="n"/>
      <c r="O577" s="11" t="n"/>
      <c r="P577" s="12" t="n"/>
      <c r="Q577" s="11" t="n"/>
      <c r="R577" s="12" t="n"/>
      <c r="S577" s="11" t="n"/>
      <c r="T577" s="12" t="n"/>
      <c r="U577" s="12" t="n"/>
      <c r="V577" s="14">
        <f>IF($AN577="",IF($B577="","",$H577),IF(INDEX(職員マスタ!$B$6:$B$405,$AN577)="",$H577,INDEX(職員マスタ!$B$6:$B$405,$AN577)))</f>
        <v/>
      </c>
      <c r="W577" s="14">
        <f>IF($AN577="",IF($B577="","",$R577),IF(INDEX(職員マスタ!$C$6:$C$405,$AN577)="",$R577,INDEX(職員マスタ!$C$6:$C$405,$AN577)))</f>
        <v/>
      </c>
      <c r="X577" s="14">
        <f>IF($AO577="","","R"&amp;$C577&amp;"."&amp;$D577)</f>
        <v/>
      </c>
      <c r="Y577" s="15">
        <f>IF($AN577="","",IF(INDEX(職員マスタ!$K$6:$K$405,$AN577)="","",INDEX(職員マスタ!$K$6:$K$405,$AN577)))</f>
        <v/>
      </c>
      <c r="Z577" s="14">
        <f>IF(OR($E577="",$Y577=""),"",IF($E577&gt;=$Y577,"×",IF($E577&gt;=$Y577*設定!$C$5,"△","○")))</f>
        <v/>
      </c>
      <c r="AA577" s="15">
        <f>IF($Z577="","",IF($Z577="×",0,IF($Z577="○",ROUNDDOWN($E577*設定!$C$4,0),ROUNDDOWN($E577*ROUND((9*$Y577-9*$E577)/(10*$E577),4),0))))</f>
        <v/>
      </c>
      <c r="AB577" s="13" t="n"/>
      <c r="AC577" s="15">
        <f>IF($B577="","",IF($AB577&lt;&gt;"",$AB577,IF($AA577="","",IF($AA577&lt;=設定!$C$3,0,$AA577))))</f>
        <v/>
      </c>
      <c r="AD577" s="14">
        <f>IF($B577="","",IF(AND($AE577&lt;&gt;"",$AG577="",$AJ577=""),"保留中",IF($AJ577&lt;&gt;"",IF(N($AC577)&gt;0,"支給済","不支給"),IF($AC577="","要確認",IF($AC577=0,"不支給","未処理")))))</f>
        <v/>
      </c>
      <c r="AE577" s="12" t="n"/>
      <c r="AF577" s="11" t="n"/>
      <c r="AG577" s="11" t="n"/>
      <c r="AH577" s="11" t="n"/>
      <c r="AI577" s="14">
        <f>IF(AND($AD577="保留中",$AF577&lt;&gt;""),TODAY()-$AF577,"")</f>
        <v/>
      </c>
      <c r="AJ577" s="12" t="n"/>
      <c r="AK577" s="14">
        <f>IF($B577="","",IF($AO577="","対象年月が未入力／","")&amp;IF($B577="","",IF($AN577="","職員マスタに未登録の職員番号／",IF($Y577="","標準報酬月額が未登録／","")&amp;IF(AND($AO577&lt;&gt;"",OR(AND(INDEX(職員マスタ!$G$6:$G$405,$AN577)&lt;&gt;"",INDEX(職員マスタ!$G$6:$G$405,$AN577)&gt;EOMONTH($AO577,0)),AND(INDEX(職員マスタ!$H$6:$H$405,$AN577)&lt;&gt;"",INDEX(職員マスタ!$H$6:$H$405,$AN577)&lt;$AO577))),"対象月が時短期間外／","")&amp;IF(AND(INDEX(職員マスタ!$F$6:$F$405,$AN577)&lt;&gt;"",$AO577&lt;&gt;"",INDEX(職員マスタ!$F$6:$F$405,$AN577)&lt;$AO577),"対象月に子が2歳到達済／","")&amp;IF(AND($H577&lt;&gt;"",INDEX(職員マスタ!$B$6:$B$405,$AN577)&lt;&gt;"",SUBSTITUTE(SUBSTITUTE($H577," ","")," ","")&lt;&gt;SUBSTITUTE(SUBSTITUTE(INDEX(職員マスタ!$B$6:$B$405,$AN577)," ","")," ","")),"氏名がマスタと相違／","")&amp;IF(AND($Q577&lt;&gt;"",INDEX(職員マスタ!$E$6:$E$405,$AN577)&lt;&gt;"",$Q577&lt;&gt;INDEX(職員マスタ!$E$6:$E$405,$AN577)),"子の生年月日がマスタと相違／","")&amp;IF(AND($L577&lt;&gt;"",INDEX(職員マスタ!$G$6:$G$405,$AN577)&lt;&gt;"",$L577&lt;&gt;INDEX(職員マスタ!$G$6:$G$405,$AN577)),"時短開始日がマスタと相違／","")&amp;IF(AND($M577&lt;&gt;"",INDEX(職員マスタ!$H$6:$H$405,$AN577)&lt;&gt;"",$M577&lt;&gt;INDEX(職員マスタ!$H$6:$H$405,$AN577)),"時短終了日がマスタと相違／","")))&amp;IF(AND($B577&lt;&gt;"",$E577=""),"報酬額が未入力／","")&amp;IF(N($U577)&gt;0,"申請書に入力エラーが残っています／","")&amp;IF(AND($B577&lt;&gt;"",$AO577&lt;&gt;""),IF(COUNTIFS($B$6:$B$3005,$B577,$C$6:$C$3005,$C577,$D$6:$D$3005,$D577)&gt;1,"同じ月の請求が重複しています／",""),"")&amp;IF(AND(N($E577)&gt;0,$Z577&lt;&gt;"",$Z577&lt;&gt;"×",$AC577=0,$AB577=""),"計算額が下限以下のため不支給／",""))</f>
        <v/>
      </c>
      <c r="AL577" s="12" t="n"/>
      <c r="AM577" s="14">
        <f>IF($AD577="保留中",COUNTIF($AD$6:$AD577,"保留中"),"")</f>
        <v/>
      </c>
      <c r="AN577" s="14">
        <f>IF($AO577="","",IF(SUMPRODUCT(MAX((職員マスタ!$A$6:$A$405=$B577)*(((職員マスタ!$G$6:$G$405="")+(職員マスタ!$G$6:$G$405&lt;=EOMONTH($AO577,0)))&gt;0)*(((職員マスタ!$H$6:$H$405="")+(職員マスタ!$H$6:$H$405&gt;=$AO577))&gt;0)*(ROW(職員マスタ!$A$6:$A$405)-5)))&gt;0,SUMPRODUCT(MAX((職員マスタ!$A$6:$A$405=$B577)*(((職員マスタ!$G$6:$G$405="")+(職員マスタ!$G$6:$G$405&lt;=EOMONTH($AO577,0)))&gt;0)*(((職員マスタ!$H$6:$H$405="")+(職員マスタ!$H$6:$H$405&gt;=$AO577))&gt;0)*(ROW(職員マスタ!$A$6:$A$405)-5))),IFERROR(MATCH($B577,職員マスタ!$A$6:$A$405,0),"")))</f>
        <v/>
      </c>
      <c r="AO577" s="16">
        <f>IF(OR($B577="",$C577="",$D577=""),"",DATE($C577+2018,$D577,1))</f>
        <v/>
      </c>
    </row>
    <row r="578">
      <c r="A578" s="11" t="n"/>
      <c r="B578" s="12" t="n"/>
      <c r="C578" s="12" t="n"/>
      <c r="D578" s="12" t="n"/>
      <c r="E578" s="13" t="n"/>
      <c r="F578" s="12" t="n"/>
      <c r="G578" s="13" t="n"/>
      <c r="H578" s="12" t="n"/>
      <c r="I578" s="12" t="n"/>
      <c r="J578" s="12" t="n"/>
      <c r="K578" s="12" t="n"/>
      <c r="L578" s="11" t="n"/>
      <c r="M578" s="11" t="n"/>
      <c r="N578" s="11" t="n"/>
      <c r="O578" s="11" t="n"/>
      <c r="P578" s="12" t="n"/>
      <c r="Q578" s="11" t="n"/>
      <c r="R578" s="12" t="n"/>
      <c r="S578" s="11" t="n"/>
      <c r="T578" s="12" t="n"/>
      <c r="U578" s="12" t="n"/>
      <c r="V578" s="14">
        <f>IF($AN578="",IF($B578="","",$H578),IF(INDEX(職員マスタ!$B$6:$B$405,$AN578)="",$H578,INDEX(職員マスタ!$B$6:$B$405,$AN578)))</f>
        <v/>
      </c>
      <c r="W578" s="14">
        <f>IF($AN578="",IF($B578="","",$R578),IF(INDEX(職員マスタ!$C$6:$C$405,$AN578)="",$R578,INDEX(職員マスタ!$C$6:$C$405,$AN578)))</f>
        <v/>
      </c>
      <c r="X578" s="14">
        <f>IF($AO578="","","R"&amp;$C578&amp;"."&amp;$D578)</f>
        <v/>
      </c>
      <c r="Y578" s="15">
        <f>IF($AN578="","",IF(INDEX(職員マスタ!$K$6:$K$405,$AN578)="","",INDEX(職員マスタ!$K$6:$K$405,$AN578)))</f>
        <v/>
      </c>
      <c r="Z578" s="14">
        <f>IF(OR($E578="",$Y578=""),"",IF($E578&gt;=$Y578,"×",IF($E578&gt;=$Y578*設定!$C$5,"△","○")))</f>
        <v/>
      </c>
      <c r="AA578" s="15">
        <f>IF($Z578="","",IF($Z578="×",0,IF($Z578="○",ROUNDDOWN($E578*設定!$C$4,0),ROUNDDOWN($E578*ROUND((9*$Y578-9*$E578)/(10*$E578),4),0))))</f>
        <v/>
      </c>
      <c r="AB578" s="13" t="n"/>
      <c r="AC578" s="15">
        <f>IF($B578="","",IF($AB578&lt;&gt;"",$AB578,IF($AA578="","",IF($AA578&lt;=設定!$C$3,0,$AA578))))</f>
        <v/>
      </c>
      <c r="AD578" s="14">
        <f>IF($B578="","",IF(AND($AE578&lt;&gt;"",$AG578="",$AJ578=""),"保留中",IF($AJ578&lt;&gt;"",IF(N($AC578)&gt;0,"支給済","不支給"),IF($AC578="","要確認",IF($AC578=0,"不支給","未処理")))))</f>
        <v/>
      </c>
      <c r="AE578" s="12" t="n"/>
      <c r="AF578" s="11" t="n"/>
      <c r="AG578" s="11" t="n"/>
      <c r="AH578" s="11" t="n"/>
      <c r="AI578" s="14">
        <f>IF(AND($AD578="保留中",$AF578&lt;&gt;""),TODAY()-$AF578,"")</f>
        <v/>
      </c>
      <c r="AJ578" s="12" t="n"/>
      <c r="AK578" s="14">
        <f>IF($B578="","",IF($AO578="","対象年月が未入力／","")&amp;IF($B578="","",IF($AN578="","職員マスタに未登録の職員番号／",IF($Y578="","標準報酬月額が未登録／","")&amp;IF(AND($AO578&lt;&gt;"",OR(AND(INDEX(職員マスタ!$G$6:$G$405,$AN578)&lt;&gt;"",INDEX(職員マスタ!$G$6:$G$405,$AN578)&gt;EOMONTH($AO578,0)),AND(INDEX(職員マスタ!$H$6:$H$405,$AN578)&lt;&gt;"",INDEX(職員マスタ!$H$6:$H$405,$AN578)&lt;$AO578))),"対象月が時短期間外／","")&amp;IF(AND(INDEX(職員マスタ!$F$6:$F$405,$AN578)&lt;&gt;"",$AO578&lt;&gt;"",INDEX(職員マスタ!$F$6:$F$405,$AN578)&lt;$AO578),"対象月に子が2歳到達済／","")&amp;IF(AND($H578&lt;&gt;"",INDEX(職員マスタ!$B$6:$B$405,$AN578)&lt;&gt;"",SUBSTITUTE(SUBSTITUTE($H578," ","")," ","")&lt;&gt;SUBSTITUTE(SUBSTITUTE(INDEX(職員マスタ!$B$6:$B$405,$AN578)," ","")," ","")),"氏名がマスタと相違／","")&amp;IF(AND($Q578&lt;&gt;"",INDEX(職員マスタ!$E$6:$E$405,$AN578)&lt;&gt;"",$Q578&lt;&gt;INDEX(職員マスタ!$E$6:$E$405,$AN578)),"子の生年月日がマスタと相違／","")&amp;IF(AND($L578&lt;&gt;"",INDEX(職員マスタ!$G$6:$G$405,$AN578)&lt;&gt;"",$L578&lt;&gt;INDEX(職員マスタ!$G$6:$G$405,$AN578)),"時短開始日がマスタと相違／","")&amp;IF(AND($M578&lt;&gt;"",INDEX(職員マスタ!$H$6:$H$405,$AN578)&lt;&gt;"",$M578&lt;&gt;INDEX(職員マスタ!$H$6:$H$405,$AN578)),"時短終了日がマスタと相違／","")))&amp;IF(AND($B578&lt;&gt;"",$E578=""),"報酬額が未入力／","")&amp;IF(N($U578)&gt;0,"申請書に入力エラーが残っています／","")&amp;IF(AND($B578&lt;&gt;"",$AO578&lt;&gt;""),IF(COUNTIFS($B$6:$B$3005,$B578,$C$6:$C$3005,$C578,$D$6:$D$3005,$D578)&gt;1,"同じ月の請求が重複しています／",""),"")&amp;IF(AND(N($E578)&gt;0,$Z578&lt;&gt;"",$Z578&lt;&gt;"×",$AC578=0,$AB578=""),"計算額が下限以下のため不支給／",""))</f>
        <v/>
      </c>
      <c r="AL578" s="12" t="n"/>
      <c r="AM578" s="14">
        <f>IF($AD578="保留中",COUNTIF($AD$6:$AD578,"保留中"),"")</f>
        <v/>
      </c>
      <c r="AN578" s="14">
        <f>IF($AO578="","",IF(SUMPRODUCT(MAX((職員マスタ!$A$6:$A$405=$B578)*(((職員マスタ!$G$6:$G$405="")+(職員マスタ!$G$6:$G$405&lt;=EOMONTH($AO578,0)))&gt;0)*(((職員マスタ!$H$6:$H$405="")+(職員マスタ!$H$6:$H$405&gt;=$AO578))&gt;0)*(ROW(職員マスタ!$A$6:$A$405)-5)))&gt;0,SUMPRODUCT(MAX((職員マスタ!$A$6:$A$405=$B578)*(((職員マスタ!$G$6:$G$405="")+(職員マスタ!$G$6:$G$405&lt;=EOMONTH($AO578,0)))&gt;0)*(((職員マスタ!$H$6:$H$405="")+(職員マスタ!$H$6:$H$405&gt;=$AO578))&gt;0)*(ROW(職員マスタ!$A$6:$A$405)-5))),IFERROR(MATCH($B578,職員マスタ!$A$6:$A$405,0),"")))</f>
        <v/>
      </c>
      <c r="AO578" s="16">
        <f>IF(OR($B578="",$C578="",$D578=""),"",DATE($C578+2018,$D578,1))</f>
        <v/>
      </c>
    </row>
    <row r="579">
      <c r="A579" s="11" t="n"/>
      <c r="B579" s="12" t="n"/>
      <c r="C579" s="12" t="n"/>
      <c r="D579" s="12" t="n"/>
      <c r="E579" s="13" t="n"/>
      <c r="F579" s="12" t="n"/>
      <c r="G579" s="13" t="n"/>
      <c r="H579" s="12" t="n"/>
      <c r="I579" s="12" t="n"/>
      <c r="J579" s="12" t="n"/>
      <c r="K579" s="12" t="n"/>
      <c r="L579" s="11" t="n"/>
      <c r="M579" s="11" t="n"/>
      <c r="N579" s="11" t="n"/>
      <c r="O579" s="11" t="n"/>
      <c r="P579" s="12" t="n"/>
      <c r="Q579" s="11" t="n"/>
      <c r="R579" s="12" t="n"/>
      <c r="S579" s="11" t="n"/>
      <c r="T579" s="12" t="n"/>
      <c r="U579" s="12" t="n"/>
      <c r="V579" s="14">
        <f>IF($AN579="",IF($B579="","",$H579),IF(INDEX(職員マスタ!$B$6:$B$405,$AN579)="",$H579,INDEX(職員マスタ!$B$6:$B$405,$AN579)))</f>
        <v/>
      </c>
      <c r="W579" s="14">
        <f>IF($AN579="",IF($B579="","",$R579),IF(INDEX(職員マスタ!$C$6:$C$405,$AN579)="",$R579,INDEX(職員マスタ!$C$6:$C$405,$AN579)))</f>
        <v/>
      </c>
      <c r="X579" s="14">
        <f>IF($AO579="","","R"&amp;$C579&amp;"."&amp;$D579)</f>
        <v/>
      </c>
      <c r="Y579" s="15">
        <f>IF($AN579="","",IF(INDEX(職員マスタ!$K$6:$K$405,$AN579)="","",INDEX(職員マスタ!$K$6:$K$405,$AN579)))</f>
        <v/>
      </c>
      <c r="Z579" s="14">
        <f>IF(OR($E579="",$Y579=""),"",IF($E579&gt;=$Y579,"×",IF($E579&gt;=$Y579*設定!$C$5,"△","○")))</f>
        <v/>
      </c>
      <c r="AA579" s="15">
        <f>IF($Z579="","",IF($Z579="×",0,IF($Z579="○",ROUNDDOWN($E579*設定!$C$4,0),ROUNDDOWN($E579*ROUND((9*$Y579-9*$E579)/(10*$E579),4),0))))</f>
        <v/>
      </c>
      <c r="AB579" s="13" t="n"/>
      <c r="AC579" s="15">
        <f>IF($B579="","",IF($AB579&lt;&gt;"",$AB579,IF($AA579="","",IF($AA579&lt;=設定!$C$3,0,$AA579))))</f>
        <v/>
      </c>
      <c r="AD579" s="14">
        <f>IF($B579="","",IF(AND($AE579&lt;&gt;"",$AG579="",$AJ579=""),"保留中",IF($AJ579&lt;&gt;"",IF(N($AC579)&gt;0,"支給済","不支給"),IF($AC579="","要確認",IF($AC579=0,"不支給","未処理")))))</f>
        <v/>
      </c>
      <c r="AE579" s="12" t="n"/>
      <c r="AF579" s="11" t="n"/>
      <c r="AG579" s="11" t="n"/>
      <c r="AH579" s="11" t="n"/>
      <c r="AI579" s="14">
        <f>IF(AND($AD579="保留中",$AF579&lt;&gt;""),TODAY()-$AF579,"")</f>
        <v/>
      </c>
      <c r="AJ579" s="12" t="n"/>
      <c r="AK579" s="14">
        <f>IF($B579="","",IF($AO579="","対象年月が未入力／","")&amp;IF($B579="","",IF($AN579="","職員マスタに未登録の職員番号／",IF($Y579="","標準報酬月額が未登録／","")&amp;IF(AND($AO579&lt;&gt;"",OR(AND(INDEX(職員マスタ!$G$6:$G$405,$AN579)&lt;&gt;"",INDEX(職員マスタ!$G$6:$G$405,$AN579)&gt;EOMONTH($AO579,0)),AND(INDEX(職員マスタ!$H$6:$H$405,$AN579)&lt;&gt;"",INDEX(職員マスタ!$H$6:$H$405,$AN579)&lt;$AO579))),"対象月が時短期間外／","")&amp;IF(AND(INDEX(職員マスタ!$F$6:$F$405,$AN579)&lt;&gt;"",$AO579&lt;&gt;"",INDEX(職員マスタ!$F$6:$F$405,$AN579)&lt;$AO579),"対象月に子が2歳到達済／","")&amp;IF(AND($H579&lt;&gt;"",INDEX(職員マスタ!$B$6:$B$405,$AN579)&lt;&gt;"",SUBSTITUTE(SUBSTITUTE($H579," ","")," ","")&lt;&gt;SUBSTITUTE(SUBSTITUTE(INDEX(職員マスタ!$B$6:$B$405,$AN579)," ","")," ","")),"氏名がマスタと相違／","")&amp;IF(AND($Q579&lt;&gt;"",INDEX(職員マスタ!$E$6:$E$405,$AN579)&lt;&gt;"",$Q579&lt;&gt;INDEX(職員マスタ!$E$6:$E$405,$AN579)),"子の生年月日がマスタと相違／","")&amp;IF(AND($L579&lt;&gt;"",INDEX(職員マスタ!$G$6:$G$405,$AN579)&lt;&gt;"",$L579&lt;&gt;INDEX(職員マスタ!$G$6:$G$405,$AN579)),"時短開始日がマスタと相違／","")&amp;IF(AND($M579&lt;&gt;"",INDEX(職員マスタ!$H$6:$H$405,$AN579)&lt;&gt;"",$M579&lt;&gt;INDEX(職員マスタ!$H$6:$H$405,$AN579)),"時短終了日がマスタと相違／","")))&amp;IF(AND($B579&lt;&gt;"",$E579=""),"報酬額が未入力／","")&amp;IF(N($U579)&gt;0,"申請書に入力エラーが残っています／","")&amp;IF(AND($B579&lt;&gt;"",$AO579&lt;&gt;""),IF(COUNTIFS($B$6:$B$3005,$B579,$C$6:$C$3005,$C579,$D$6:$D$3005,$D579)&gt;1,"同じ月の請求が重複しています／",""),"")&amp;IF(AND(N($E579)&gt;0,$Z579&lt;&gt;"",$Z579&lt;&gt;"×",$AC579=0,$AB579=""),"計算額が下限以下のため不支給／",""))</f>
        <v/>
      </c>
      <c r="AL579" s="12" t="n"/>
      <c r="AM579" s="14">
        <f>IF($AD579="保留中",COUNTIF($AD$6:$AD579,"保留中"),"")</f>
        <v/>
      </c>
      <c r="AN579" s="14">
        <f>IF($AO579="","",IF(SUMPRODUCT(MAX((職員マスタ!$A$6:$A$405=$B579)*(((職員マスタ!$G$6:$G$405="")+(職員マスタ!$G$6:$G$405&lt;=EOMONTH($AO579,0)))&gt;0)*(((職員マスタ!$H$6:$H$405="")+(職員マスタ!$H$6:$H$405&gt;=$AO579))&gt;0)*(ROW(職員マスタ!$A$6:$A$405)-5)))&gt;0,SUMPRODUCT(MAX((職員マスタ!$A$6:$A$405=$B579)*(((職員マスタ!$G$6:$G$405="")+(職員マスタ!$G$6:$G$405&lt;=EOMONTH($AO579,0)))&gt;0)*(((職員マスタ!$H$6:$H$405="")+(職員マスタ!$H$6:$H$405&gt;=$AO579))&gt;0)*(ROW(職員マスタ!$A$6:$A$405)-5))),IFERROR(MATCH($B579,職員マスタ!$A$6:$A$405,0),"")))</f>
        <v/>
      </c>
      <c r="AO579" s="16">
        <f>IF(OR($B579="",$C579="",$D579=""),"",DATE($C579+2018,$D579,1))</f>
        <v/>
      </c>
    </row>
    <row r="580">
      <c r="A580" s="11" t="n"/>
      <c r="B580" s="12" t="n"/>
      <c r="C580" s="12" t="n"/>
      <c r="D580" s="12" t="n"/>
      <c r="E580" s="13" t="n"/>
      <c r="F580" s="12" t="n"/>
      <c r="G580" s="13" t="n"/>
      <c r="H580" s="12" t="n"/>
      <c r="I580" s="12" t="n"/>
      <c r="J580" s="12" t="n"/>
      <c r="K580" s="12" t="n"/>
      <c r="L580" s="11" t="n"/>
      <c r="M580" s="11" t="n"/>
      <c r="N580" s="11" t="n"/>
      <c r="O580" s="11" t="n"/>
      <c r="P580" s="12" t="n"/>
      <c r="Q580" s="11" t="n"/>
      <c r="R580" s="12" t="n"/>
      <c r="S580" s="11" t="n"/>
      <c r="T580" s="12" t="n"/>
      <c r="U580" s="12" t="n"/>
      <c r="V580" s="14">
        <f>IF($AN580="",IF($B580="","",$H580),IF(INDEX(職員マスタ!$B$6:$B$405,$AN580)="",$H580,INDEX(職員マスタ!$B$6:$B$405,$AN580)))</f>
        <v/>
      </c>
      <c r="W580" s="14">
        <f>IF($AN580="",IF($B580="","",$R580),IF(INDEX(職員マスタ!$C$6:$C$405,$AN580)="",$R580,INDEX(職員マスタ!$C$6:$C$405,$AN580)))</f>
        <v/>
      </c>
      <c r="X580" s="14">
        <f>IF($AO580="","","R"&amp;$C580&amp;"."&amp;$D580)</f>
        <v/>
      </c>
      <c r="Y580" s="15">
        <f>IF($AN580="","",IF(INDEX(職員マスタ!$K$6:$K$405,$AN580)="","",INDEX(職員マスタ!$K$6:$K$405,$AN580)))</f>
        <v/>
      </c>
      <c r="Z580" s="14">
        <f>IF(OR($E580="",$Y580=""),"",IF($E580&gt;=$Y580,"×",IF($E580&gt;=$Y580*設定!$C$5,"△","○")))</f>
        <v/>
      </c>
      <c r="AA580" s="15">
        <f>IF($Z580="","",IF($Z580="×",0,IF($Z580="○",ROUNDDOWN($E580*設定!$C$4,0),ROUNDDOWN($E580*ROUND((9*$Y580-9*$E580)/(10*$E580),4),0))))</f>
        <v/>
      </c>
      <c r="AB580" s="13" t="n"/>
      <c r="AC580" s="15">
        <f>IF($B580="","",IF($AB580&lt;&gt;"",$AB580,IF($AA580="","",IF($AA580&lt;=設定!$C$3,0,$AA580))))</f>
        <v/>
      </c>
      <c r="AD580" s="14">
        <f>IF($B580="","",IF(AND($AE580&lt;&gt;"",$AG580="",$AJ580=""),"保留中",IF($AJ580&lt;&gt;"",IF(N($AC580)&gt;0,"支給済","不支給"),IF($AC580="","要確認",IF($AC580=0,"不支給","未処理")))))</f>
        <v/>
      </c>
      <c r="AE580" s="12" t="n"/>
      <c r="AF580" s="11" t="n"/>
      <c r="AG580" s="11" t="n"/>
      <c r="AH580" s="11" t="n"/>
      <c r="AI580" s="14">
        <f>IF(AND($AD580="保留中",$AF580&lt;&gt;""),TODAY()-$AF580,"")</f>
        <v/>
      </c>
      <c r="AJ580" s="12" t="n"/>
      <c r="AK580" s="14">
        <f>IF($B580="","",IF($AO580="","対象年月が未入力／","")&amp;IF($B580="","",IF($AN580="","職員マスタに未登録の職員番号／",IF($Y580="","標準報酬月額が未登録／","")&amp;IF(AND($AO580&lt;&gt;"",OR(AND(INDEX(職員マスタ!$G$6:$G$405,$AN580)&lt;&gt;"",INDEX(職員マスタ!$G$6:$G$405,$AN580)&gt;EOMONTH($AO580,0)),AND(INDEX(職員マスタ!$H$6:$H$405,$AN580)&lt;&gt;"",INDEX(職員マスタ!$H$6:$H$405,$AN580)&lt;$AO580))),"対象月が時短期間外／","")&amp;IF(AND(INDEX(職員マスタ!$F$6:$F$405,$AN580)&lt;&gt;"",$AO580&lt;&gt;"",INDEX(職員マスタ!$F$6:$F$405,$AN580)&lt;$AO580),"対象月に子が2歳到達済／","")&amp;IF(AND($H580&lt;&gt;"",INDEX(職員マスタ!$B$6:$B$405,$AN580)&lt;&gt;"",SUBSTITUTE(SUBSTITUTE($H580," ","")," ","")&lt;&gt;SUBSTITUTE(SUBSTITUTE(INDEX(職員マスタ!$B$6:$B$405,$AN580)," ","")," ","")),"氏名がマスタと相違／","")&amp;IF(AND($Q580&lt;&gt;"",INDEX(職員マスタ!$E$6:$E$405,$AN580)&lt;&gt;"",$Q580&lt;&gt;INDEX(職員マスタ!$E$6:$E$405,$AN580)),"子の生年月日がマスタと相違／","")&amp;IF(AND($L580&lt;&gt;"",INDEX(職員マスタ!$G$6:$G$405,$AN580)&lt;&gt;"",$L580&lt;&gt;INDEX(職員マスタ!$G$6:$G$405,$AN580)),"時短開始日がマスタと相違／","")&amp;IF(AND($M580&lt;&gt;"",INDEX(職員マスタ!$H$6:$H$405,$AN580)&lt;&gt;"",$M580&lt;&gt;INDEX(職員マスタ!$H$6:$H$405,$AN580)),"時短終了日がマスタと相違／","")))&amp;IF(AND($B580&lt;&gt;"",$E580=""),"報酬額が未入力／","")&amp;IF(N($U580)&gt;0,"申請書に入力エラーが残っています／","")&amp;IF(AND($B580&lt;&gt;"",$AO580&lt;&gt;""),IF(COUNTIFS($B$6:$B$3005,$B580,$C$6:$C$3005,$C580,$D$6:$D$3005,$D580)&gt;1,"同じ月の請求が重複しています／",""),"")&amp;IF(AND(N($E580)&gt;0,$Z580&lt;&gt;"",$Z580&lt;&gt;"×",$AC580=0,$AB580=""),"計算額が下限以下のため不支給／",""))</f>
        <v/>
      </c>
      <c r="AL580" s="12" t="n"/>
      <c r="AM580" s="14">
        <f>IF($AD580="保留中",COUNTIF($AD$6:$AD580,"保留中"),"")</f>
        <v/>
      </c>
      <c r="AN580" s="14">
        <f>IF($AO580="","",IF(SUMPRODUCT(MAX((職員マスタ!$A$6:$A$405=$B580)*(((職員マスタ!$G$6:$G$405="")+(職員マスタ!$G$6:$G$405&lt;=EOMONTH($AO580,0)))&gt;0)*(((職員マスタ!$H$6:$H$405="")+(職員マスタ!$H$6:$H$405&gt;=$AO580))&gt;0)*(ROW(職員マスタ!$A$6:$A$405)-5)))&gt;0,SUMPRODUCT(MAX((職員マスタ!$A$6:$A$405=$B580)*(((職員マスタ!$G$6:$G$405="")+(職員マスタ!$G$6:$G$405&lt;=EOMONTH($AO580,0)))&gt;0)*(((職員マスタ!$H$6:$H$405="")+(職員マスタ!$H$6:$H$405&gt;=$AO580))&gt;0)*(ROW(職員マスタ!$A$6:$A$405)-5))),IFERROR(MATCH($B580,職員マスタ!$A$6:$A$405,0),"")))</f>
        <v/>
      </c>
      <c r="AO580" s="16">
        <f>IF(OR($B580="",$C580="",$D580=""),"",DATE($C580+2018,$D580,1))</f>
        <v/>
      </c>
    </row>
    <row r="581">
      <c r="A581" s="11" t="n"/>
      <c r="B581" s="12" t="n"/>
      <c r="C581" s="12" t="n"/>
      <c r="D581" s="12" t="n"/>
      <c r="E581" s="13" t="n"/>
      <c r="F581" s="12" t="n"/>
      <c r="G581" s="13" t="n"/>
      <c r="H581" s="12" t="n"/>
      <c r="I581" s="12" t="n"/>
      <c r="J581" s="12" t="n"/>
      <c r="K581" s="12" t="n"/>
      <c r="L581" s="11" t="n"/>
      <c r="M581" s="11" t="n"/>
      <c r="N581" s="11" t="n"/>
      <c r="O581" s="11" t="n"/>
      <c r="P581" s="12" t="n"/>
      <c r="Q581" s="11" t="n"/>
      <c r="R581" s="12" t="n"/>
      <c r="S581" s="11" t="n"/>
      <c r="T581" s="12" t="n"/>
      <c r="U581" s="12" t="n"/>
      <c r="V581" s="14">
        <f>IF($AN581="",IF($B581="","",$H581),IF(INDEX(職員マスタ!$B$6:$B$405,$AN581)="",$H581,INDEX(職員マスタ!$B$6:$B$405,$AN581)))</f>
        <v/>
      </c>
      <c r="W581" s="14">
        <f>IF($AN581="",IF($B581="","",$R581),IF(INDEX(職員マスタ!$C$6:$C$405,$AN581)="",$R581,INDEX(職員マスタ!$C$6:$C$405,$AN581)))</f>
        <v/>
      </c>
      <c r="X581" s="14">
        <f>IF($AO581="","","R"&amp;$C581&amp;"."&amp;$D581)</f>
        <v/>
      </c>
      <c r="Y581" s="15">
        <f>IF($AN581="","",IF(INDEX(職員マスタ!$K$6:$K$405,$AN581)="","",INDEX(職員マスタ!$K$6:$K$405,$AN581)))</f>
        <v/>
      </c>
      <c r="Z581" s="14">
        <f>IF(OR($E581="",$Y581=""),"",IF($E581&gt;=$Y581,"×",IF($E581&gt;=$Y581*設定!$C$5,"△","○")))</f>
        <v/>
      </c>
      <c r="AA581" s="15">
        <f>IF($Z581="","",IF($Z581="×",0,IF($Z581="○",ROUNDDOWN($E581*設定!$C$4,0),ROUNDDOWN($E581*ROUND((9*$Y581-9*$E581)/(10*$E581),4),0))))</f>
        <v/>
      </c>
      <c r="AB581" s="13" t="n"/>
      <c r="AC581" s="15">
        <f>IF($B581="","",IF($AB581&lt;&gt;"",$AB581,IF($AA581="","",IF($AA581&lt;=設定!$C$3,0,$AA581))))</f>
        <v/>
      </c>
      <c r="AD581" s="14">
        <f>IF($B581="","",IF(AND($AE581&lt;&gt;"",$AG581="",$AJ581=""),"保留中",IF($AJ581&lt;&gt;"",IF(N($AC581)&gt;0,"支給済","不支給"),IF($AC581="","要確認",IF($AC581=0,"不支給","未処理")))))</f>
        <v/>
      </c>
      <c r="AE581" s="12" t="n"/>
      <c r="AF581" s="11" t="n"/>
      <c r="AG581" s="11" t="n"/>
      <c r="AH581" s="11" t="n"/>
      <c r="AI581" s="14">
        <f>IF(AND($AD581="保留中",$AF581&lt;&gt;""),TODAY()-$AF581,"")</f>
        <v/>
      </c>
      <c r="AJ581" s="12" t="n"/>
      <c r="AK581" s="14">
        <f>IF($B581="","",IF($AO581="","対象年月が未入力／","")&amp;IF($B581="","",IF($AN581="","職員マスタに未登録の職員番号／",IF($Y581="","標準報酬月額が未登録／","")&amp;IF(AND($AO581&lt;&gt;"",OR(AND(INDEX(職員マスタ!$G$6:$G$405,$AN581)&lt;&gt;"",INDEX(職員マスタ!$G$6:$G$405,$AN581)&gt;EOMONTH($AO581,0)),AND(INDEX(職員マスタ!$H$6:$H$405,$AN581)&lt;&gt;"",INDEX(職員マスタ!$H$6:$H$405,$AN581)&lt;$AO581))),"対象月が時短期間外／","")&amp;IF(AND(INDEX(職員マスタ!$F$6:$F$405,$AN581)&lt;&gt;"",$AO581&lt;&gt;"",INDEX(職員マスタ!$F$6:$F$405,$AN581)&lt;$AO581),"対象月に子が2歳到達済／","")&amp;IF(AND($H581&lt;&gt;"",INDEX(職員マスタ!$B$6:$B$405,$AN581)&lt;&gt;"",SUBSTITUTE(SUBSTITUTE($H581," ","")," ","")&lt;&gt;SUBSTITUTE(SUBSTITUTE(INDEX(職員マスタ!$B$6:$B$405,$AN581)," ","")," ","")),"氏名がマスタと相違／","")&amp;IF(AND($Q581&lt;&gt;"",INDEX(職員マスタ!$E$6:$E$405,$AN581)&lt;&gt;"",$Q581&lt;&gt;INDEX(職員マスタ!$E$6:$E$405,$AN581)),"子の生年月日がマスタと相違／","")&amp;IF(AND($L581&lt;&gt;"",INDEX(職員マスタ!$G$6:$G$405,$AN581)&lt;&gt;"",$L581&lt;&gt;INDEX(職員マスタ!$G$6:$G$405,$AN581)),"時短開始日がマスタと相違／","")&amp;IF(AND($M581&lt;&gt;"",INDEX(職員マスタ!$H$6:$H$405,$AN581)&lt;&gt;"",$M581&lt;&gt;INDEX(職員マスタ!$H$6:$H$405,$AN581)),"時短終了日がマスタと相違／","")))&amp;IF(AND($B581&lt;&gt;"",$E581=""),"報酬額が未入力／","")&amp;IF(N($U581)&gt;0,"申請書に入力エラーが残っています／","")&amp;IF(AND($B581&lt;&gt;"",$AO581&lt;&gt;""),IF(COUNTIFS($B$6:$B$3005,$B581,$C$6:$C$3005,$C581,$D$6:$D$3005,$D581)&gt;1,"同じ月の請求が重複しています／",""),"")&amp;IF(AND(N($E581)&gt;0,$Z581&lt;&gt;"",$Z581&lt;&gt;"×",$AC581=0,$AB581=""),"計算額が下限以下のため不支給／",""))</f>
        <v/>
      </c>
      <c r="AL581" s="12" t="n"/>
      <c r="AM581" s="14">
        <f>IF($AD581="保留中",COUNTIF($AD$6:$AD581,"保留中"),"")</f>
        <v/>
      </c>
      <c r="AN581" s="14">
        <f>IF($AO581="","",IF(SUMPRODUCT(MAX((職員マスタ!$A$6:$A$405=$B581)*(((職員マスタ!$G$6:$G$405="")+(職員マスタ!$G$6:$G$405&lt;=EOMONTH($AO581,0)))&gt;0)*(((職員マスタ!$H$6:$H$405="")+(職員マスタ!$H$6:$H$405&gt;=$AO581))&gt;0)*(ROW(職員マスタ!$A$6:$A$405)-5)))&gt;0,SUMPRODUCT(MAX((職員マスタ!$A$6:$A$405=$B581)*(((職員マスタ!$G$6:$G$405="")+(職員マスタ!$G$6:$G$405&lt;=EOMONTH($AO581,0)))&gt;0)*(((職員マスタ!$H$6:$H$405="")+(職員マスタ!$H$6:$H$405&gt;=$AO581))&gt;0)*(ROW(職員マスタ!$A$6:$A$405)-5))),IFERROR(MATCH($B581,職員マスタ!$A$6:$A$405,0),"")))</f>
        <v/>
      </c>
      <c r="AO581" s="16">
        <f>IF(OR($B581="",$C581="",$D581=""),"",DATE($C581+2018,$D581,1))</f>
        <v/>
      </c>
    </row>
    <row r="582">
      <c r="A582" s="11" t="n"/>
      <c r="B582" s="12" t="n"/>
      <c r="C582" s="12" t="n"/>
      <c r="D582" s="12" t="n"/>
      <c r="E582" s="13" t="n"/>
      <c r="F582" s="12" t="n"/>
      <c r="G582" s="13" t="n"/>
      <c r="H582" s="12" t="n"/>
      <c r="I582" s="12" t="n"/>
      <c r="J582" s="12" t="n"/>
      <c r="K582" s="12" t="n"/>
      <c r="L582" s="11" t="n"/>
      <c r="M582" s="11" t="n"/>
      <c r="N582" s="11" t="n"/>
      <c r="O582" s="11" t="n"/>
      <c r="P582" s="12" t="n"/>
      <c r="Q582" s="11" t="n"/>
      <c r="R582" s="12" t="n"/>
      <c r="S582" s="11" t="n"/>
      <c r="T582" s="12" t="n"/>
      <c r="U582" s="12" t="n"/>
      <c r="V582" s="14">
        <f>IF($AN582="",IF($B582="","",$H582),IF(INDEX(職員マスタ!$B$6:$B$405,$AN582)="",$H582,INDEX(職員マスタ!$B$6:$B$405,$AN582)))</f>
        <v/>
      </c>
      <c r="W582" s="14">
        <f>IF($AN582="",IF($B582="","",$R582),IF(INDEX(職員マスタ!$C$6:$C$405,$AN582)="",$R582,INDEX(職員マスタ!$C$6:$C$405,$AN582)))</f>
        <v/>
      </c>
      <c r="X582" s="14">
        <f>IF($AO582="","","R"&amp;$C582&amp;"."&amp;$D582)</f>
        <v/>
      </c>
      <c r="Y582" s="15">
        <f>IF($AN582="","",IF(INDEX(職員マスタ!$K$6:$K$405,$AN582)="","",INDEX(職員マスタ!$K$6:$K$405,$AN582)))</f>
        <v/>
      </c>
      <c r="Z582" s="14">
        <f>IF(OR($E582="",$Y582=""),"",IF($E582&gt;=$Y582,"×",IF($E582&gt;=$Y582*設定!$C$5,"△","○")))</f>
        <v/>
      </c>
      <c r="AA582" s="15">
        <f>IF($Z582="","",IF($Z582="×",0,IF($Z582="○",ROUNDDOWN($E582*設定!$C$4,0),ROUNDDOWN($E582*ROUND((9*$Y582-9*$E582)/(10*$E582),4),0))))</f>
        <v/>
      </c>
      <c r="AB582" s="13" t="n"/>
      <c r="AC582" s="15">
        <f>IF($B582="","",IF($AB582&lt;&gt;"",$AB582,IF($AA582="","",IF($AA582&lt;=設定!$C$3,0,$AA582))))</f>
        <v/>
      </c>
      <c r="AD582" s="14">
        <f>IF($B582="","",IF(AND($AE582&lt;&gt;"",$AG582="",$AJ582=""),"保留中",IF($AJ582&lt;&gt;"",IF(N($AC582)&gt;0,"支給済","不支給"),IF($AC582="","要確認",IF($AC582=0,"不支給","未処理")))))</f>
        <v/>
      </c>
      <c r="AE582" s="12" t="n"/>
      <c r="AF582" s="11" t="n"/>
      <c r="AG582" s="11" t="n"/>
      <c r="AH582" s="11" t="n"/>
      <c r="AI582" s="14">
        <f>IF(AND($AD582="保留中",$AF582&lt;&gt;""),TODAY()-$AF582,"")</f>
        <v/>
      </c>
      <c r="AJ582" s="12" t="n"/>
      <c r="AK582" s="14">
        <f>IF($B582="","",IF($AO582="","対象年月が未入力／","")&amp;IF($B582="","",IF($AN582="","職員マスタに未登録の職員番号／",IF($Y582="","標準報酬月額が未登録／","")&amp;IF(AND($AO582&lt;&gt;"",OR(AND(INDEX(職員マスタ!$G$6:$G$405,$AN582)&lt;&gt;"",INDEX(職員マスタ!$G$6:$G$405,$AN582)&gt;EOMONTH($AO582,0)),AND(INDEX(職員マスタ!$H$6:$H$405,$AN582)&lt;&gt;"",INDEX(職員マスタ!$H$6:$H$405,$AN582)&lt;$AO582))),"対象月が時短期間外／","")&amp;IF(AND(INDEX(職員マスタ!$F$6:$F$405,$AN582)&lt;&gt;"",$AO582&lt;&gt;"",INDEX(職員マスタ!$F$6:$F$405,$AN582)&lt;$AO582),"対象月に子が2歳到達済／","")&amp;IF(AND($H582&lt;&gt;"",INDEX(職員マスタ!$B$6:$B$405,$AN582)&lt;&gt;"",SUBSTITUTE(SUBSTITUTE($H582," ","")," ","")&lt;&gt;SUBSTITUTE(SUBSTITUTE(INDEX(職員マスタ!$B$6:$B$405,$AN582)," ","")," ","")),"氏名がマスタと相違／","")&amp;IF(AND($Q582&lt;&gt;"",INDEX(職員マスタ!$E$6:$E$405,$AN582)&lt;&gt;"",$Q582&lt;&gt;INDEX(職員マスタ!$E$6:$E$405,$AN582)),"子の生年月日がマスタと相違／","")&amp;IF(AND($L582&lt;&gt;"",INDEX(職員マスタ!$G$6:$G$405,$AN582)&lt;&gt;"",$L582&lt;&gt;INDEX(職員マスタ!$G$6:$G$405,$AN582)),"時短開始日がマスタと相違／","")&amp;IF(AND($M582&lt;&gt;"",INDEX(職員マスタ!$H$6:$H$405,$AN582)&lt;&gt;"",$M582&lt;&gt;INDEX(職員マスタ!$H$6:$H$405,$AN582)),"時短終了日がマスタと相違／","")))&amp;IF(AND($B582&lt;&gt;"",$E582=""),"報酬額が未入力／","")&amp;IF(N($U582)&gt;0,"申請書に入力エラーが残っています／","")&amp;IF(AND($B582&lt;&gt;"",$AO582&lt;&gt;""),IF(COUNTIFS($B$6:$B$3005,$B582,$C$6:$C$3005,$C582,$D$6:$D$3005,$D582)&gt;1,"同じ月の請求が重複しています／",""),"")&amp;IF(AND(N($E582)&gt;0,$Z582&lt;&gt;"",$Z582&lt;&gt;"×",$AC582=0,$AB582=""),"計算額が下限以下のため不支給／",""))</f>
        <v/>
      </c>
      <c r="AL582" s="12" t="n"/>
      <c r="AM582" s="14">
        <f>IF($AD582="保留中",COUNTIF($AD$6:$AD582,"保留中"),"")</f>
        <v/>
      </c>
      <c r="AN582" s="14">
        <f>IF($AO582="","",IF(SUMPRODUCT(MAX((職員マスタ!$A$6:$A$405=$B582)*(((職員マスタ!$G$6:$G$405="")+(職員マスタ!$G$6:$G$405&lt;=EOMONTH($AO582,0)))&gt;0)*(((職員マスタ!$H$6:$H$405="")+(職員マスタ!$H$6:$H$405&gt;=$AO582))&gt;0)*(ROW(職員マスタ!$A$6:$A$405)-5)))&gt;0,SUMPRODUCT(MAX((職員マスタ!$A$6:$A$405=$B582)*(((職員マスタ!$G$6:$G$405="")+(職員マスタ!$G$6:$G$405&lt;=EOMONTH($AO582,0)))&gt;0)*(((職員マスタ!$H$6:$H$405="")+(職員マスタ!$H$6:$H$405&gt;=$AO582))&gt;0)*(ROW(職員マスタ!$A$6:$A$405)-5))),IFERROR(MATCH($B582,職員マスタ!$A$6:$A$405,0),"")))</f>
        <v/>
      </c>
      <c r="AO582" s="16">
        <f>IF(OR($B582="",$C582="",$D582=""),"",DATE($C582+2018,$D582,1))</f>
        <v/>
      </c>
    </row>
    <row r="583">
      <c r="A583" s="11" t="n"/>
      <c r="B583" s="12" t="n"/>
      <c r="C583" s="12" t="n"/>
      <c r="D583" s="12" t="n"/>
      <c r="E583" s="13" t="n"/>
      <c r="F583" s="12" t="n"/>
      <c r="G583" s="13" t="n"/>
      <c r="H583" s="12" t="n"/>
      <c r="I583" s="12" t="n"/>
      <c r="J583" s="12" t="n"/>
      <c r="K583" s="12" t="n"/>
      <c r="L583" s="11" t="n"/>
      <c r="M583" s="11" t="n"/>
      <c r="N583" s="11" t="n"/>
      <c r="O583" s="11" t="n"/>
      <c r="P583" s="12" t="n"/>
      <c r="Q583" s="11" t="n"/>
      <c r="R583" s="12" t="n"/>
      <c r="S583" s="11" t="n"/>
      <c r="T583" s="12" t="n"/>
      <c r="U583" s="12" t="n"/>
      <c r="V583" s="14">
        <f>IF($AN583="",IF($B583="","",$H583),IF(INDEX(職員マスタ!$B$6:$B$405,$AN583)="",$H583,INDEX(職員マスタ!$B$6:$B$405,$AN583)))</f>
        <v/>
      </c>
      <c r="W583" s="14">
        <f>IF($AN583="",IF($B583="","",$R583),IF(INDEX(職員マスタ!$C$6:$C$405,$AN583)="",$R583,INDEX(職員マスタ!$C$6:$C$405,$AN583)))</f>
        <v/>
      </c>
      <c r="X583" s="14">
        <f>IF($AO583="","","R"&amp;$C583&amp;"."&amp;$D583)</f>
        <v/>
      </c>
      <c r="Y583" s="15">
        <f>IF($AN583="","",IF(INDEX(職員マスタ!$K$6:$K$405,$AN583)="","",INDEX(職員マスタ!$K$6:$K$405,$AN583)))</f>
        <v/>
      </c>
      <c r="Z583" s="14">
        <f>IF(OR($E583="",$Y583=""),"",IF($E583&gt;=$Y583,"×",IF($E583&gt;=$Y583*設定!$C$5,"△","○")))</f>
        <v/>
      </c>
      <c r="AA583" s="15">
        <f>IF($Z583="","",IF($Z583="×",0,IF($Z583="○",ROUNDDOWN($E583*設定!$C$4,0),ROUNDDOWN($E583*ROUND((9*$Y583-9*$E583)/(10*$E583),4),0))))</f>
        <v/>
      </c>
      <c r="AB583" s="13" t="n"/>
      <c r="AC583" s="15">
        <f>IF($B583="","",IF($AB583&lt;&gt;"",$AB583,IF($AA583="","",IF($AA583&lt;=設定!$C$3,0,$AA583))))</f>
        <v/>
      </c>
      <c r="AD583" s="14">
        <f>IF($B583="","",IF(AND($AE583&lt;&gt;"",$AG583="",$AJ583=""),"保留中",IF($AJ583&lt;&gt;"",IF(N($AC583)&gt;0,"支給済","不支給"),IF($AC583="","要確認",IF($AC583=0,"不支給","未処理")))))</f>
        <v/>
      </c>
      <c r="AE583" s="12" t="n"/>
      <c r="AF583" s="11" t="n"/>
      <c r="AG583" s="11" t="n"/>
      <c r="AH583" s="11" t="n"/>
      <c r="AI583" s="14">
        <f>IF(AND($AD583="保留中",$AF583&lt;&gt;""),TODAY()-$AF583,"")</f>
        <v/>
      </c>
      <c r="AJ583" s="12" t="n"/>
      <c r="AK583" s="14">
        <f>IF($B583="","",IF($AO583="","対象年月が未入力／","")&amp;IF($B583="","",IF($AN583="","職員マスタに未登録の職員番号／",IF($Y583="","標準報酬月額が未登録／","")&amp;IF(AND($AO583&lt;&gt;"",OR(AND(INDEX(職員マスタ!$G$6:$G$405,$AN583)&lt;&gt;"",INDEX(職員マスタ!$G$6:$G$405,$AN583)&gt;EOMONTH($AO583,0)),AND(INDEX(職員マスタ!$H$6:$H$405,$AN583)&lt;&gt;"",INDEX(職員マスタ!$H$6:$H$405,$AN583)&lt;$AO583))),"対象月が時短期間外／","")&amp;IF(AND(INDEX(職員マスタ!$F$6:$F$405,$AN583)&lt;&gt;"",$AO583&lt;&gt;"",INDEX(職員マスタ!$F$6:$F$405,$AN583)&lt;$AO583),"対象月に子が2歳到達済／","")&amp;IF(AND($H583&lt;&gt;"",INDEX(職員マスタ!$B$6:$B$405,$AN583)&lt;&gt;"",SUBSTITUTE(SUBSTITUTE($H583," ","")," ","")&lt;&gt;SUBSTITUTE(SUBSTITUTE(INDEX(職員マスタ!$B$6:$B$405,$AN583)," ","")," ","")),"氏名がマスタと相違／","")&amp;IF(AND($Q583&lt;&gt;"",INDEX(職員マスタ!$E$6:$E$405,$AN583)&lt;&gt;"",$Q583&lt;&gt;INDEX(職員マスタ!$E$6:$E$405,$AN583)),"子の生年月日がマスタと相違／","")&amp;IF(AND($L583&lt;&gt;"",INDEX(職員マスタ!$G$6:$G$405,$AN583)&lt;&gt;"",$L583&lt;&gt;INDEX(職員マスタ!$G$6:$G$405,$AN583)),"時短開始日がマスタと相違／","")&amp;IF(AND($M583&lt;&gt;"",INDEX(職員マスタ!$H$6:$H$405,$AN583)&lt;&gt;"",$M583&lt;&gt;INDEX(職員マスタ!$H$6:$H$405,$AN583)),"時短終了日がマスタと相違／","")))&amp;IF(AND($B583&lt;&gt;"",$E583=""),"報酬額が未入力／","")&amp;IF(N($U583)&gt;0,"申請書に入力エラーが残っています／","")&amp;IF(AND($B583&lt;&gt;"",$AO583&lt;&gt;""),IF(COUNTIFS($B$6:$B$3005,$B583,$C$6:$C$3005,$C583,$D$6:$D$3005,$D583)&gt;1,"同じ月の請求が重複しています／",""),"")&amp;IF(AND(N($E583)&gt;0,$Z583&lt;&gt;"",$Z583&lt;&gt;"×",$AC583=0,$AB583=""),"計算額が下限以下のため不支給／",""))</f>
        <v/>
      </c>
      <c r="AL583" s="12" t="n"/>
      <c r="AM583" s="14">
        <f>IF($AD583="保留中",COUNTIF($AD$6:$AD583,"保留中"),"")</f>
        <v/>
      </c>
      <c r="AN583" s="14">
        <f>IF($AO583="","",IF(SUMPRODUCT(MAX((職員マスタ!$A$6:$A$405=$B583)*(((職員マスタ!$G$6:$G$405="")+(職員マスタ!$G$6:$G$405&lt;=EOMONTH($AO583,0)))&gt;0)*(((職員マスタ!$H$6:$H$405="")+(職員マスタ!$H$6:$H$405&gt;=$AO583))&gt;0)*(ROW(職員マスタ!$A$6:$A$405)-5)))&gt;0,SUMPRODUCT(MAX((職員マスタ!$A$6:$A$405=$B583)*(((職員マスタ!$G$6:$G$405="")+(職員マスタ!$G$6:$G$405&lt;=EOMONTH($AO583,0)))&gt;0)*(((職員マスタ!$H$6:$H$405="")+(職員マスタ!$H$6:$H$405&gt;=$AO583))&gt;0)*(ROW(職員マスタ!$A$6:$A$405)-5))),IFERROR(MATCH($B583,職員マスタ!$A$6:$A$405,0),"")))</f>
        <v/>
      </c>
      <c r="AO583" s="16">
        <f>IF(OR($B583="",$C583="",$D583=""),"",DATE($C583+2018,$D583,1))</f>
        <v/>
      </c>
    </row>
    <row r="584">
      <c r="A584" s="11" t="n"/>
      <c r="B584" s="12" t="n"/>
      <c r="C584" s="12" t="n"/>
      <c r="D584" s="12" t="n"/>
      <c r="E584" s="13" t="n"/>
      <c r="F584" s="12" t="n"/>
      <c r="G584" s="13" t="n"/>
      <c r="H584" s="12" t="n"/>
      <c r="I584" s="12" t="n"/>
      <c r="J584" s="12" t="n"/>
      <c r="K584" s="12" t="n"/>
      <c r="L584" s="11" t="n"/>
      <c r="M584" s="11" t="n"/>
      <c r="N584" s="11" t="n"/>
      <c r="O584" s="11" t="n"/>
      <c r="P584" s="12" t="n"/>
      <c r="Q584" s="11" t="n"/>
      <c r="R584" s="12" t="n"/>
      <c r="S584" s="11" t="n"/>
      <c r="T584" s="12" t="n"/>
      <c r="U584" s="12" t="n"/>
      <c r="V584" s="14">
        <f>IF($AN584="",IF($B584="","",$H584),IF(INDEX(職員マスタ!$B$6:$B$405,$AN584)="",$H584,INDEX(職員マスタ!$B$6:$B$405,$AN584)))</f>
        <v/>
      </c>
      <c r="W584" s="14">
        <f>IF($AN584="",IF($B584="","",$R584),IF(INDEX(職員マスタ!$C$6:$C$405,$AN584)="",$R584,INDEX(職員マスタ!$C$6:$C$405,$AN584)))</f>
        <v/>
      </c>
      <c r="X584" s="14">
        <f>IF($AO584="","","R"&amp;$C584&amp;"."&amp;$D584)</f>
        <v/>
      </c>
      <c r="Y584" s="15">
        <f>IF($AN584="","",IF(INDEX(職員マスタ!$K$6:$K$405,$AN584)="","",INDEX(職員マスタ!$K$6:$K$405,$AN584)))</f>
        <v/>
      </c>
      <c r="Z584" s="14">
        <f>IF(OR($E584="",$Y584=""),"",IF($E584&gt;=$Y584,"×",IF($E584&gt;=$Y584*設定!$C$5,"△","○")))</f>
        <v/>
      </c>
      <c r="AA584" s="15">
        <f>IF($Z584="","",IF($Z584="×",0,IF($Z584="○",ROUNDDOWN($E584*設定!$C$4,0),ROUNDDOWN($E584*ROUND((9*$Y584-9*$E584)/(10*$E584),4),0))))</f>
        <v/>
      </c>
      <c r="AB584" s="13" t="n"/>
      <c r="AC584" s="15">
        <f>IF($B584="","",IF($AB584&lt;&gt;"",$AB584,IF($AA584="","",IF($AA584&lt;=設定!$C$3,0,$AA584))))</f>
        <v/>
      </c>
      <c r="AD584" s="14">
        <f>IF($B584="","",IF(AND($AE584&lt;&gt;"",$AG584="",$AJ584=""),"保留中",IF($AJ584&lt;&gt;"",IF(N($AC584)&gt;0,"支給済","不支給"),IF($AC584="","要確認",IF($AC584=0,"不支給","未処理")))))</f>
        <v/>
      </c>
      <c r="AE584" s="12" t="n"/>
      <c r="AF584" s="11" t="n"/>
      <c r="AG584" s="11" t="n"/>
      <c r="AH584" s="11" t="n"/>
      <c r="AI584" s="14">
        <f>IF(AND($AD584="保留中",$AF584&lt;&gt;""),TODAY()-$AF584,"")</f>
        <v/>
      </c>
      <c r="AJ584" s="12" t="n"/>
      <c r="AK584" s="14">
        <f>IF($B584="","",IF($AO584="","対象年月が未入力／","")&amp;IF($B584="","",IF($AN584="","職員マスタに未登録の職員番号／",IF($Y584="","標準報酬月額が未登録／","")&amp;IF(AND($AO584&lt;&gt;"",OR(AND(INDEX(職員マスタ!$G$6:$G$405,$AN584)&lt;&gt;"",INDEX(職員マスタ!$G$6:$G$405,$AN584)&gt;EOMONTH($AO584,0)),AND(INDEX(職員マスタ!$H$6:$H$405,$AN584)&lt;&gt;"",INDEX(職員マスタ!$H$6:$H$405,$AN584)&lt;$AO584))),"対象月が時短期間外／","")&amp;IF(AND(INDEX(職員マスタ!$F$6:$F$405,$AN584)&lt;&gt;"",$AO584&lt;&gt;"",INDEX(職員マスタ!$F$6:$F$405,$AN584)&lt;$AO584),"対象月に子が2歳到達済／","")&amp;IF(AND($H584&lt;&gt;"",INDEX(職員マスタ!$B$6:$B$405,$AN584)&lt;&gt;"",SUBSTITUTE(SUBSTITUTE($H584," ","")," ","")&lt;&gt;SUBSTITUTE(SUBSTITUTE(INDEX(職員マスタ!$B$6:$B$405,$AN584)," ","")," ","")),"氏名がマスタと相違／","")&amp;IF(AND($Q584&lt;&gt;"",INDEX(職員マスタ!$E$6:$E$405,$AN584)&lt;&gt;"",$Q584&lt;&gt;INDEX(職員マスタ!$E$6:$E$405,$AN584)),"子の生年月日がマスタと相違／","")&amp;IF(AND($L584&lt;&gt;"",INDEX(職員マスタ!$G$6:$G$405,$AN584)&lt;&gt;"",$L584&lt;&gt;INDEX(職員マスタ!$G$6:$G$405,$AN584)),"時短開始日がマスタと相違／","")&amp;IF(AND($M584&lt;&gt;"",INDEX(職員マスタ!$H$6:$H$405,$AN584)&lt;&gt;"",$M584&lt;&gt;INDEX(職員マスタ!$H$6:$H$405,$AN584)),"時短終了日がマスタと相違／","")))&amp;IF(AND($B584&lt;&gt;"",$E584=""),"報酬額が未入力／","")&amp;IF(N($U584)&gt;0,"申請書に入力エラーが残っています／","")&amp;IF(AND($B584&lt;&gt;"",$AO584&lt;&gt;""),IF(COUNTIFS($B$6:$B$3005,$B584,$C$6:$C$3005,$C584,$D$6:$D$3005,$D584)&gt;1,"同じ月の請求が重複しています／",""),"")&amp;IF(AND(N($E584)&gt;0,$Z584&lt;&gt;"",$Z584&lt;&gt;"×",$AC584=0,$AB584=""),"計算額が下限以下のため不支給／",""))</f>
        <v/>
      </c>
      <c r="AL584" s="12" t="n"/>
      <c r="AM584" s="14">
        <f>IF($AD584="保留中",COUNTIF($AD$6:$AD584,"保留中"),"")</f>
        <v/>
      </c>
      <c r="AN584" s="14">
        <f>IF($AO584="","",IF(SUMPRODUCT(MAX((職員マスタ!$A$6:$A$405=$B584)*(((職員マスタ!$G$6:$G$405="")+(職員マスタ!$G$6:$G$405&lt;=EOMONTH($AO584,0)))&gt;0)*(((職員マスタ!$H$6:$H$405="")+(職員マスタ!$H$6:$H$405&gt;=$AO584))&gt;0)*(ROW(職員マスタ!$A$6:$A$405)-5)))&gt;0,SUMPRODUCT(MAX((職員マスタ!$A$6:$A$405=$B584)*(((職員マスタ!$G$6:$G$405="")+(職員マスタ!$G$6:$G$405&lt;=EOMONTH($AO584,0)))&gt;0)*(((職員マスタ!$H$6:$H$405="")+(職員マスタ!$H$6:$H$405&gt;=$AO584))&gt;0)*(ROW(職員マスタ!$A$6:$A$405)-5))),IFERROR(MATCH($B584,職員マスタ!$A$6:$A$405,0),"")))</f>
        <v/>
      </c>
      <c r="AO584" s="16">
        <f>IF(OR($B584="",$C584="",$D584=""),"",DATE($C584+2018,$D584,1))</f>
        <v/>
      </c>
    </row>
    <row r="585">
      <c r="A585" s="11" t="n"/>
      <c r="B585" s="12" t="n"/>
      <c r="C585" s="12" t="n"/>
      <c r="D585" s="12" t="n"/>
      <c r="E585" s="13" t="n"/>
      <c r="F585" s="12" t="n"/>
      <c r="G585" s="13" t="n"/>
      <c r="H585" s="12" t="n"/>
      <c r="I585" s="12" t="n"/>
      <c r="J585" s="12" t="n"/>
      <c r="K585" s="12" t="n"/>
      <c r="L585" s="11" t="n"/>
      <c r="M585" s="11" t="n"/>
      <c r="N585" s="11" t="n"/>
      <c r="O585" s="11" t="n"/>
      <c r="P585" s="12" t="n"/>
      <c r="Q585" s="11" t="n"/>
      <c r="R585" s="12" t="n"/>
      <c r="S585" s="11" t="n"/>
      <c r="T585" s="12" t="n"/>
      <c r="U585" s="12" t="n"/>
      <c r="V585" s="14">
        <f>IF($AN585="",IF($B585="","",$H585),IF(INDEX(職員マスタ!$B$6:$B$405,$AN585)="",$H585,INDEX(職員マスタ!$B$6:$B$405,$AN585)))</f>
        <v/>
      </c>
      <c r="W585" s="14">
        <f>IF($AN585="",IF($B585="","",$R585),IF(INDEX(職員マスタ!$C$6:$C$405,$AN585)="",$R585,INDEX(職員マスタ!$C$6:$C$405,$AN585)))</f>
        <v/>
      </c>
      <c r="X585" s="14">
        <f>IF($AO585="","","R"&amp;$C585&amp;"."&amp;$D585)</f>
        <v/>
      </c>
      <c r="Y585" s="15">
        <f>IF($AN585="","",IF(INDEX(職員マスタ!$K$6:$K$405,$AN585)="","",INDEX(職員マスタ!$K$6:$K$405,$AN585)))</f>
        <v/>
      </c>
      <c r="Z585" s="14">
        <f>IF(OR($E585="",$Y585=""),"",IF($E585&gt;=$Y585,"×",IF($E585&gt;=$Y585*設定!$C$5,"△","○")))</f>
        <v/>
      </c>
      <c r="AA585" s="15">
        <f>IF($Z585="","",IF($Z585="×",0,IF($Z585="○",ROUNDDOWN($E585*設定!$C$4,0),ROUNDDOWN($E585*ROUND((9*$Y585-9*$E585)/(10*$E585),4),0))))</f>
        <v/>
      </c>
      <c r="AB585" s="13" t="n"/>
      <c r="AC585" s="15">
        <f>IF($B585="","",IF($AB585&lt;&gt;"",$AB585,IF($AA585="","",IF($AA585&lt;=設定!$C$3,0,$AA585))))</f>
        <v/>
      </c>
      <c r="AD585" s="14">
        <f>IF($B585="","",IF(AND($AE585&lt;&gt;"",$AG585="",$AJ585=""),"保留中",IF($AJ585&lt;&gt;"",IF(N($AC585)&gt;0,"支給済","不支給"),IF($AC585="","要確認",IF($AC585=0,"不支給","未処理")))))</f>
        <v/>
      </c>
      <c r="AE585" s="12" t="n"/>
      <c r="AF585" s="11" t="n"/>
      <c r="AG585" s="11" t="n"/>
      <c r="AH585" s="11" t="n"/>
      <c r="AI585" s="14">
        <f>IF(AND($AD585="保留中",$AF585&lt;&gt;""),TODAY()-$AF585,"")</f>
        <v/>
      </c>
      <c r="AJ585" s="12" t="n"/>
      <c r="AK585" s="14">
        <f>IF($B585="","",IF($AO585="","対象年月が未入力／","")&amp;IF($B585="","",IF($AN585="","職員マスタに未登録の職員番号／",IF($Y585="","標準報酬月額が未登録／","")&amp;IF(AND($AO585&lt;&gt;"",OR(AND(INDEX(職員マスタ!$G$6:$G$405,$AN585)&lt;&gt;"",INDEX(職員マスタ!$G$6:$G$405,$AN585)&gt;EOMONTH($AO585,0)),AND(INDEX(職員マスタ!$H$6:$H$405,$AN585)&lt;&gt;"",INDEX(職員マスタ!$H$6:$H$405,$AN585)&lt;$AO585))),"対象月が時短期間外／","")&amp;IF(AND(INDEX(職員マスタ!$F$6:$F$405,$AN585)&lt;&gt;"",$AO585&lt;&gt;"",INDEX(職員マスタ!$F$6:$F$405,$AN585)&lt;$AO585),"対象月に子が2歳到達済／","")&amp;IF(AND($H585&lt;&gt;"",INDEX(職員マスタ!$B$6:$B$405,$AN585)&lt;&gt;"",SUBSTITUTE(SUBSTITUTE($H585," ","")," ","")&lt;&gt;SUBSTITUTE(SUBSTITUTE(INDEX(職員マスタ!$B$6:$B$405,$AN585)," ","")," ","")),"氏名がマスタと相違／","")&amp;IF(AND($Q585&lt;&gt;"",INDEX(職員マスタ!$E$6:$E$405,$AN585)&lt;&gt;"",$Q585&lt;&gt;INDEX(職員マスタ!$E$6:$E$405,$AN585)),"子の生年月日がマスタと相違／","")&amp;IF(AND($L585&lt;&gt;"",INDEX(職員マスタ!$G$6:$G$405,$AN585)&lt;&gt;"",$L585&lt;&gt;INDEX(職員マスタ!$G$6:$G$405,$AN585)),"時短開始日がマスタと相違／","")&amp;IF(AND($M585&lt;&gt;"",INDEX(職員マスタ!$H$6:$H$405,$AN585)&lt;&gt;"",$M585&lt;&gt;INDEX(職員マスタ!$H$6:$H$405,$AN585)),"時短終了日がマスタと相違／","")))&amp;IF(AND($B585&lt;&gt;"",$E585=""),"報酬額が未入力／","")&amp;IF(N($U585)&gt;0,"申請書に入力エラーが残っています／","")&amp;IF(AND($B585&lt;&gt;"",$AO585&lt;&gt;""),IF(COUNTIFS($B$6:$B$3005,$B585,$C$6:$C$3005,$C585,$D$6:$D$3005,$D585)&gt;1,"同じ月の請求が重複しています／",""),"")&amp;IF(AND(N($E585)&gt;0,$Z585&lt;&gt;"",$Z585&lt;&gt;"×",$AC585=0,$AB585=""),"計算額が下限以下のため不支給／",""))</f>
        <v/>
      </c>
      <c r="AL585" s="12" t="n"/>
      <c r="AM585" s="14">
        <f>IF($AD585="保留中",COUNTIF($AD$6:$AD585,"保留中"),"")</f>
        <v/>
      </c>
      <c r="AN585" s="14">
        <f>IF($AO585="","",IF(SUMPRODUCT(MAX((職員マスタ!$A$6:$A$405=$B585)*(((職員マスタ!$G$6:$G$405="")+(職員マスタ!$G$6:$G$405&lt;=EOMONTH($AO585,0)))&gt;0)*(((職員マスタ!$H$6:$H$405="")+(職員マスタ!$H$6:$H$405&gt;=$AO585))&gt;0)*(ROW(職員マスタ!$A$6:$A$405)-5)))&gt;0,SUMPRODUCT(MAX((職員マスタ!$A$6:$A$405=$B585)*(((職員マスタ!$G$6:$G$405="")+(職員マスタ!$G$6:$G$405&lt;=EOMONTH($AO585,0)))&gt;0)*(((職員マスタ!$H$6:$H$405="")+(職員マスタ!$H$6:$H$405&gt;=$AO585))&gt;0)*(ROW(職員マスタ!$A$6:$A$405)-5))),IFERROR(MATCH($B585,職員マスタ!$A$6:$A$405,0),"")))</f>
        <v/>
      </c>
      <c r="AO585" s="16">
        <f>IF(OR($B585="",$C585="",$D585=""),"",DATE($C585+2018,$D585,1))</f>
        <v/>
      </c>
    </row>
    <row r="586">
      <c r="A586" s="11" t="n"/>
      <c r="B586" s="12" t="n"/>
      <c r="C586" s="12" t="n"/>
      <c r="D586" s="12" t="n"/>
      <c r="E586" s="13" t="n"/>
      <c r="F586" s="12" t="n"/>
      <c r="G586" s="13" t="n"/>
      <c r="H586" s="12" t="n"/>
      <c r="I586" s="12" t="n"/>
      <c r="J586" s="12" t="n"/>
      <c r="K586" s="12" t="n"/>
      <c r="L586" s="11" t="n"/>
      <c r="M586" s="11" t="n"/>
      <c r="N586" s="11" t="n"/>
      <c r="O586" s="11" t="n"/>
      <c r="P586" s="12" t="n"/>
      <c r="Q586" s="11" t="n"/>
      <c r="R586" s="12" t="n"/>
      <c r="S586" s="11" t="n"/>
      <c r="T586" s="12" t="n"/>
      <c r="U586" s="12" t="n"/>
      <c r="V586" s="14">
        <f>IF($AN586="",IF($B586="","",$H586),IF(INDEX(職員マスタ!$B$6:$B$405,$AN586)="",$H586,INDEX(職員マスタ!$B$6:$B$405,$AN586)))</f>
        <v/>
      </c>
      <c r="W586" s="14">
        <f>IF($AN586="",IF($B586="","",$R586),IF(INDEX(職員マスタ!$C$6:$C$405,$AN586)="",$R586,INDEX(職員マスタ!$C$6:$C$405,$AN586)))</f>
        <v/>
      </c>
      <c r="X586" s="14">
        <f>IF($AO586="","","R"&amp;$C586&amp;"."&amp;$D586)</f>
        <v/>
      </c>
      <c r="Y586" s="15">
        <f>IF($AN586="","",IF(INDEX(職員マスタ!$K$6:$K$405,$AN586)="","",INDEX(職員マスタ!$K$6:$K$405,$AN586)))</f>
        <v/>
      </c>
      <c r="Z586" s="14">
        <f>IF(OR($E586="",$Y586=""),"",IF($E586&gt;=$Y586,"×",IF($E586&gt;=$Y586*設定!$C$5,"△","○")))</f>
        <v/>
      </c>
      <c r="AA586" s="15">
        <f>IF($Z586="","",IF($Z586="×",0,IF($Z586="○",ROUNDDOWN($E586*設定!$C$4,0),ROUNDDOWN($E586*ROUND((9*$Y586-9*$E586)/(10*$E586),4),0))))</f>
        <v/>
      </c>
      <c r="AB586" s="13" t="n"/>
      <c r="AC586" s="15">
        <f>IF($B586="","",IF($AB586&lt;&gt;"",$AB586,IF($AA586="","",IF($AA586&lt;=設定!$C$3,0,$AA586))))</f>
        <v/>
      </c>
      <c r="AD586" s="14">
        <f>IF($B586="","",IF(AND($AE586&lt;&gt;"",$AG586="",$AJ586=""),"保留中",IF($AJ586&lt;&gt;"",IF(N($AC586)&gt;0,"支給済","不支給"),IF($AC586="","要確認",IF($AC586=0,"不支給","未処理")))))</f>
        <v/>
      </c>
      <c r="AE586" s="12" t="n"/>
      <c r="AF586" s="11" t="n"/>
      <c r="AG586" s="11" t="n"/>
      <c r="AH586" s="11" t="n"/>
      <c r="AI586" s="14">
        <f>IF(AND($AD586="保留中",$AF586&lt;&gt;""),TODAY()-$AF586,"")</f>
        <v/>
      </c>
      <c r="AJ586" s="12" t="n"/>
      <c r="AK586" s="14">
        <f>IF($B586="","",IF($AO586="","対象年月が未入力／","")&amp;IF($B586="","",IF($AN586="","職員マスタに未登録の職員番号／",IF($Y586="","標準報酬月額が未登録／","")&amp;IF(AND($AO586&lt;&gt;"",OR(AND(INDEX(職員マスタ!$G$6:$G$405,$AN586)&lt;&gt;"",INDEX(職員マスタ!$G$6:$G$405,$AN586)&gt;EOMONTH($AO586,0)),AND(INDEX(職員マスタ!$H$6:$H$405,$AN586)&lt;&gt;"",INDEX(職員マスタ!$H$6:$H$405,$AN586)&lt;$AO586))),"対象月が時短期間外／","")&amp;IF(AND(INDEX(職員マスタ!$F$6:$F$405,$AN586)&lt;&gt;"",$AO586&lt;&gt;"",INDEX(職員マスタ!$F$6:$F$405,$AN586)&lt;$AO586),"対象月に子が2歳到達済／","")&amp;IF(AND($H586&lt;&gt;"",INDEX(職員マスタ!$B$6:$B$405,$AN586)&lt;&gt;"",SUBSTITUTE(SUBSTITUTE($H586," ","")," ","")&lt;&gt;SUBSTITUTE(SUBSTITUTE(INDEX(職員マスタ!$B$6:$B$405,$AN586)," ","")," ","")),"氏名がマスタと相違／","")&amp;IF(AND($Q586&lt;&gt;"",INDEX(職員マスタ!$E$6:$E$405,$AN586)&lt;&gt;"",$Q586&lt;&gt;INDEX(職員マスタ!$E$6:$E$405,$AN586)),"子の生年月日がマスタと相違／","")&amp;IF(AND($L586&lt;&gt;"",INDEX(職員マスタ!$G$6:$G$405,$AN586)&lt;&gt;"",$L586&lt;&gt;INDEX(職員マスタ!$G$6:$G$405,$AN586)),"時短開始日がマスタと相違／","")&amp;IF(AND($M586&lt;&gt;"",INDEX(職員マスタ!$H$6:$H$405,$AN586)&lt;&gt;"",$M586&lt;&gt;INDEX(職員マスタ!$H$6:$H$405,$AN586)),"時短終了日がマスタと相違／","")))&amp;IF(AND($B586&lt;&gt;"",$E586=""),"報酬額が未入力／","")&amp;IF(N($U586)&gt;0,"申請書に入力エラーが残っています／","")&amp;IF(AND($B586&lt;&gt;"",$AO586&lt;&gt;""),IF(COUNTIFS($B$6:$B$3005,$B586,$C$6:$C$3005,$C586,$D$6:$D$3005,$D586)&gt;1,"同じ月の請求が重複しています／",""),"")&amp;IF(AND(N($E586)&gt;0,$Z586&lt;&gt;"",$Z586&lt;&gt;"×",$AC586=0,$AB586=""),"計算額が下限以下のため不支給／",""))</f>
        <v/>
      </c>
      <c r="AL586" s="12" t="n"/>
      <c r="AM586" s="14">
        <f>IF($AD586="保留中",COUNTIF($AD$6:$AD586,"保留中"),"")</f>
        <v/>
      </c>
      <c r="AN586" s="14">
        <f>IF($AO586="","",IF(SUMPRODUCT(MAX((職員マスタ!$A$6:$A$405=$B586)*(((職員マスタ!$G$6:$G$405="")+(職員マスタ!$G$6:$G$405&lt;=EOMONTH($AO586,0)))&gt;0)*(((職員マスタ!$H$6:$H$405="")+(職員マスタ!$H$6:$H$405&gt;=$AO586))&gt;0)*(ROW(職員マスタ!$A$6:$A$405)-5)))&gt;0,SUMPRODUCT(MAX((職員マスタ!$A$6:$A$405=$B586)*(((職員マスタ!$G$6:$G$405="")+(職員マスタ!$G$6:$G$405&lt;=EOMONTH($AO586,0)))&gt;0)*(((職員マスタ!$H$6:$H$405="")+(職員マスタ!$H$6:$H$405&gt;=$AO586))&gt;0)*(ROW(職員マスタ!$A$6:$A$405)-5))),IFERROR(MATCH($B586,職員マスタ!$A$6:$A$405,0),"")))</f>
        <v/>
      </c>
      <c r="AO586" s="16">
        <f>IF(OR($B586="",$C586="",$D586=""),"",DATE($C586+2018,$D586,1))</f>
        <v/>
      </c>
    </row>
    <row r="587">
      <c r="A587" s="11" t="n"/>
      <c r="B587" s="12" t="n"/>
      <c r="C587" s="12" t="n"/>
      <c r="D587" s="12" t="n"/>
      <c r="E587" s="13" t="n"/>
      <c r="F587" s="12" t="n"/>
      <c r="G587" s="13" t="n"/>
      <c r="H587" s="12" t="n"/>
      <c r="I587" s="12" t="n"/>
      <c r="J587" s="12" t="n"/>
      <c r="K587" s="12" t="n"/>
      <c r="L587" s="11" t="n"/>
      <c r="M587" s="11" t="n"/>
      <c r="N587" s="11" t="n"/>
      <c r="O587" s="11" t="n"/>
      <c r="P587" s="12" t="n"/>
      <c r="Q587" s="11" t="n"/>
      <c r="R587" s="12" t="n"/>
      <c r="S587" s="11" t="n"/>
      <c r="T587" s="12" t="n"/>
      <c r="U587" s="12" t="n"/>
      <c r="V587" s="14">
        <f>IF($AN587="",IF($B587="","",$H587),IF(INDEX(職員マスタ!$B$6:$B$405,$AN587)="",$H587,INDEX(職員マスタ!$B$6:$B$405,$AN587)))</f>
        <v/>
      </c>
      <c r="W587" s="14">
        <f>IF($AN587="",IF($B587="","",$R587),IF(INDEX(職員マスタ!$C$6:$C$405,$AN587)="",$R587,INDEX(職員マスタ!$C$6:$C$405,$AN587)))</f>
        <v/>
      </c>
      <c r="X587" s="14">
        <f>IF($AO587="","","R"&amp;$C587&amp;"."&amp;$D587)</f>
        <v/>
      </c>
      <c r="Y587" s="15">
        <f>IF($AN587="","",IF(INDEX(職員マスタ!$K$6:$K$405,$AN587)="","",INDEX(職員マスタ!$K$6:$K$405,$AN587)))</f>
        <v/>
      </c>
      <c r="Z587" s="14">
        <f>IF(OR($E587="",$Y587=""),"",IF($E587&gt;=$Y587,"×",IF($E587&gt;=$Y587*設定!$C$5,"△","○")))</f>
        <v/>
      </c>
      <c r="AA587" s="15">
        <f>IF($Z587="","",IF($Z587="×",0,IF($Z587="○",ROUNDDOWN($E587*設定!$C$4,0),ROUNDDOWN($E587*ROUND((9*$Y587-9*$E587)/(10*$E587),4),0))))</f>
        <v/>
      </c>
      <c r="AB587" s="13" t="n"/>
      <c r="AC587" s="15">
        <f>IF($B587="","",IF($AB587&lt;&gt;"",$AB587,IF($AA587="","",IF($AA587&lt;=設定!$C$3,0,$AA587))))</f>
        <v/>
      </c>
      <c r="AD587" s="14">
        <f>IF($B587="","",IF(AND($AE587&lt;&gt;"",$AG587="",$AJ587=""),"保留中",IF($AJ587&lt;&gt;"",IF(N($AC587)&gt;0,"支給済","不支給"),IF($AC587="","要確認",IF($AC587=0,"不支給","未処理")))))</f>
        <v/>
      </c>
      <c r="AE587" s="12" t="n"/>
      <c r="AF587" s="11" t="n"/>
      <c r="AG587" s="11" t="n"/>
      <c r="AH587" s="11" t="n"/>
      <c r="AI587" s="14">
        <f>IF(AND($AD587="保留中",$AF587&lt;&gt;""),TODAY()-$AF587,"")</f>
        <v/>
      </c>
      <c r="AJ587" s="12" t="n"/>
      <c r="AK587" s="14">
        <f>IF($B587="","",IF($AO587="","対象年月が未入力／","")&amp;IF($B587="","",IF($AN587="","職員マスタに未登録の職員番号／",IF($Y587="","標準報酬月額が未登録／","")&amp;IF(AND($AO587&lt;&gt;"",OR(AND(INDEX(職員マスタ!$G$6:$G$405,$AN587)&lt;&gt;"",INDEX(職員マスタ!$G$6:$G$405,$AN587)&gt;EOMONTH($AO587,0)),AND(INDEX(職員マスタ!$H$6:$H$405,$AN587)&lt;&gt;"",INDEX(職員マスタ!$H$6:$H$405,$AN587)&lt;$AO587))),"対象月が時短期間外／","")&amp;IF(AND(INDEX(職員マスタ!$F$6:$F$405,$AN587)&lt;&gt;"",$AO587&lt;&gt;"",INDEX(職員マスタ!$F$6:$F$405,$AN587)&lt;$AO587),"対象月に子が2歳到達済／","")&amp;IF(AND($H587&lt;&gt;"",INDEX(職員マスタ!$B$6:$B$405,$AN587)&lt;&gt;"",SUBSTITUTE(SUBSTITUTE($H587," ","")," ","")&lt;&gt;SUBSTITUTE(SUBSTITUTE(INDEX(職員マスタ!$B$6:$B$405,$AN587)," ","")," ","")),"氏名がマスタと相違／","")&amp;IF(AND($Q587&lt;&gt;"",INDEX(職員マスタ!$E$6:$E$405,$AN587)&lt;&gt;"",$Q587&lt;&gt;INDEX(職員マスタ!$E$6:$E$405,$AN587)),"子の生年月日がマスタと相違／","")&amp;IF(AND($L587&lt;&gt;"",INDEX(職員マスタ!$G$6:$G$405,$AN587)&lt;&gt;"",$L587&lt;&gt;INDEX(職員マスタ!$G$6:$G$405,$AN587)),"時短開始日がマスタと相違／","")&amp;IF(AND($M587&lt;&gt;"",INDEX(職員マスタ!$H$6:$H$405,$AN587)&lt;&gt;"",$M587&lt;&gt;INDEX(職員マスタ!$H$6:$H$405,$AN587)),"時短終了日がマスタと相違／","")))&amp;IF(AND($B587&lt;&gt;"",$E587=""),"報酬額が未入力／","")&amp;IF(N($U587)&gt;0,"申請書に入力エラーが残っています／","")&amp;IF(AND($B587&lt;&gt;"",$AO587&lt;&gt;""),IF(COUNTIFS($B$6:$B$3005,$B587,$C$6:$C$3005,$C587,$D$6:$D$3005,$D587)&gt;1,"同じ月の請求が重複しています／",""),"")&amp;IF(AND(N($E587)&gt;0,$Z587&lt;&gt;"",$Z587&lt;&gt;"×",$AC587=0,$AB587=""),"計算額が下限以下のため不支給／",""))</f>
        <v/>
      </c>
      <c r="AL587" s="12" t="n"/>
      <c r="AM587" s="14">
        <f>IF($AD587="保留中",COUNTIF($AD$6:$AD587,"保留中"),"")</f>
        <v/>
      </c>
      <c r="AN587" s="14">
        <f>IF($AO587="","",IF(SUMPRODUCT(MAX((職員マスタ!$A$6:$A$405=$B587)*(((職員マスタ!$G$6:$G$405="")+(職員マスタ!$G$6:$G$405&lt;=EOMONTH($AO587,0)))&gt;0)*(((職員マスタ!$H$6:$H$405="")+(職員マスタ!$H$6:$H$405&gt;=$AO587))&gt;0)*(ROW(職員マスタ!$A$6:$A$405)-5)))&gt;0,SUMPRODUCT(MAX((職員マスタ!$A$6:$A$405=$B587)*(((職員マスタ!$G$6:$G$405="")+(職員マスタ!$G$6:$G$405&lt;=EOMONTH($AO587,0)))&gt;0)*(((職員マスタ!$H$6:$H$405="")+(職員マスタ!$H$6:$H$405&gt;=$AO587))&gt;0)*(ROW(職員マスタ!$A$6:$A$405)-5))),IFERROR(MATCH($B587,職員マスタ!$A$6:$A$405,0),"")))</f>
        <v/>
      </c>
      <c r="AO587" s="16">
        <f>IF(OR($B587="",$C587="",$D587=""),"",DATE($C587+2018,$D587,1))</f>
        <v/>
      </c>
    </row>
    <row r="588">
      <c r="A588" s="11" t="n"/>
      <c r="B588" s="12" t="n"/>
      <c r="C588" s="12" t="n"/>
      <c r="D588" s="12" t="n"/>
      <c r="E588" s="13" t="n"/>
      <c r="F588" s="12" t="n"/>
      <c r="G588" s="13" t="n"/>
      <c r="H588" s="12" t="n"/>
      <c r="I588" s="12" t="n"/>
      <c r="J588" s="12" t="n"/>
      <c r="K588" s="12" t="n"/>
      <c r="L588" s="11" t="n"/>
      <c r="M588" s="11" t="n"/>
      <c r="N588" s="11" t="n"/>
      <c r="O588" s="11" t="n"/>
      <c r="P588" s="12" t="n"/>
      <c r="Q588" s="11" t="n"/>
      <c r="R588" s="12" t="n"/>
      <c r="S588" s="11" t="n"/>
      <c r="T588" s="12" t="n"/>
      <c r="U588" s="12" t="n"/>
      <c r="V588" s="14">
        <f>IF($AN588="",IF($B588="","",$H588),IF(INDEX(職員マスタ!$B$6:$B$405,$AN588)="",$H588,INDEX(職員マスタ!$B$6:$B$405,$AN588)))</f>
        <v/>
      </c>
      <c r="W588" s="14">
        <f>IF($AN588="",IF($B588="","",$R588),IF(INDEX(職員マスタ!$C$6:$C$405,$AN588)="",$R588,INDEX(職員マスタ!$C$6:$C$405,$AN588)))</f>
        <v/>
      </c>
      <c r="X588" s="14">
        <f>IF($AO588="","","R"&amp;$C588&amp;"."&amp;$D588)</f>
        <v/>
      </c>
      <c r="Y588" s="15">
        <f>IF($AN588="","",IF(INDEX(職員マスタ!$K$6:$K$405,$AN588)="","",INDEX(職員マスタ!$K$6:$K$405,$AN588)))</f>
        <v/>
      </c>
      <c r="Z588" s="14">
        <f>IF(OR($E588="",$Y588=""),"",IF($E588&gt;=$Y588,"×",IF($E588&gt;=$Y588*設定!$C$5,"△","○")))</f>
        <v/>
      </c>
      <c r="AA588" s="15">
        <f>IF($Z588="","",IF($Z588="×",0,IF($Z588="○",ROUNDDOWN($E588*設定!$C$4,0),ROUNDDOWN($E588*ROUND((9*$Y588-9*$E588)/(10*$E588),4),0))))</f>
        <v/>
      </c>
      <c r="AB588" s="13" t="n"/>
      <c r="AC588" s="15">
        <f>IF($B588="","",IF($AB588&lt;&gt;"",$AB588,IF($AA588="","",IF($AA588&lt;=設定!$C$3,0,$AA588))))</f>
        <v/>
      </c>
      <c r="AD588" s="14">
        <f>IF($B588="","",IF(AND($AE588&lt;&gt;"",$AG588="",$AJ588=""),"保留中",IF($AJ588&lt;&gt;"",IF(N($AC588)&gt;0,"支給済","不支給"),IF($AC588="","要確認",IF($AC588=0,"不支給","未処理")))))</f>
        <v/>
      </c>
      <c r="AE588" s="12" t="n"/>
      <c r="AF588" s="11" t="n"/>
      <c r="AG588" s="11" t="n"/>
      <c r="AH588" s="11" t="n"/>
      <c r="AI588" s="14">
        <f>IF(AND($AD588="保留中",$AF588&lt;&gt;""),TODAY()-$AF588,"")</f>
        <v/>
      </c>
      <c r="AJ588" s="12" t="n"/>
      <c r="AK588" s="14">
        <f>IF($B588="","",IF($AO588="","対象年月が未入力／","")&amp;IF($B588="","",IF($AN588="","職員マスタに未登録の職員番号／",IF($Y588="","標準報酬月額が未登録／","")&amp;IF(AND($AO588&lt;&gt;"",OR(AND(INDEX(職員マスタ!$G$6:$G$405,$AN588)&lt;&gt;"",INDEX(職員マスタ!$G$6:$G$405,$AN588)&gt;EOMONTH($AO588,0)),AND(INDEX(職員マスタ!$H$6:$H$405,$AN588)&lt;&gt;"",INDEX(職員マスタ!$H$6:$H$405,$AN588)&lt;$AO588))),"対象月が時短期間外／","")&amp;IF(AND(INDEX(職員マスタ!$F$6:$F$405,$AN588)&lt;&gt;"",$AO588&lt;&gt;"",INDEX(職員マスタ!$F$6:$F$405,$AN588)&lt;$AO588),"対象月に子が2歳到達済／","")&amp;IF(AND($H588&lt;&gt;"",INDEX(職員マスタ!$B$6:$B$405,$AN588)&lt;&gt;"",SUBSTITUTE(SUBSTITUTE($H588," ","")," ","")&lt;&gt;SUBSTITUTE(SUBSTITUTE(INDEX(職員マスタ!$B$6:$B$405,$AN588)," ","")," ","")),"氏名がマスタと相違／","")&amp;IF(AND($Q588&lt;&gt;"",INDEX(職員マスタ!$E$6:$E$405,$AN588)&lt;&gt;"",$Q588&lt;&gt;INDEX(職員マスタ!$E$6:$E$405,$AN588)),"子の生年月日がマスタと相違／","")&amp;IF(AND($L588&lt;&gt;"",INDEX(職員マスタ!$G$6:$G$405,$AN588)&lt;&gt;"",$L588&lt;&gt;INDEX(職員マスタ!$G$6:$G$405,$AN588)),"時短開始日がマスタと相違／","")&amp;IF(AND($M588&lt;&gt;"",INDEX(職員マスタ!$H$6:$H$405,$AN588)&lt;&gt;"",$M588&lt;&gt;INDEX(職員マスタ!$H$6:$H$405,$AN588)),"時短終了日がマスタと相違／","")))&amp;IF(AND($B588&lt;&gt;"",$E588=""),"報酬額が未入力／","")&amp;IF(N($U588)&gt;0,"申請書に入力エラーが残っています／","")&amp;IF(AND($B588&lt;&gt;"",$AO588&lt;&gt;""),IF(COUNTIFS($B$6:$B$3005,$B588,$C$6:$C$3005,$C588,$D$6:$D$3005,$D588)&gt;1,"同じ月の請求が重複しています／",""),"")&amp;IF(AND(N($E588)&gt;0,$Z588&lt;&gt;"",$Z588&lt;&gt;"×",$AC588=0,$AB588=""),"計算額が下限以下のため不支給／",""))</f>
        <v/>
      </c>
      <c r="AL588" s="12" t="n"/>
      <c r="AM588" s="14">
        <f>IF($AD588="保留中",COUNTIF($AD$6:$AD588,"保留中"),"")</f>
        <v/>
      </c>
      <c r="AN588" s="14">
        <f>IF($AO588="","",IF(SUMPRODUCT(MAX((職員マスタ!$A$6:$A$405=$B588)*(((職員マスタ!$G$6:$G$405="")+(職員マスタ!$G$6:$G$405&lt;=EOMONTH($AO588,0)))&gt;0)*(((職員マスタ!$H$6:$H$405="")+(職員マスタ!$H$6:$H$405&gt;=$AO588))&gt;0)*(ROW(職員マスタ!$A$6:$A$405)-5)))&gt;0,SUMPRODUCT(MAX((職員マスタ!$A$6:$A$405=$B588)*(((職員マスタ!$G$6:$G$405="")+(職員マスタ!$G$6:$G$405&lt;=EOMONTH($AO588,0)))&gt;0)*(((職員マスタ!$H$6:$H$405="")+(職員マスタ!$H$6:$H$405&gt;=$AO588))&gt;0)*(ROW(職員マスタ!$A$6:$A$405)-5))),IFERROR(MATCH($B588,職員マスタ!$A$6:$A$405,0),"")))</f>
        <v/>
      </c>
      <c r="AO588" s="16">
        <f>IF(OR($B588="",$C588="",$D588=""),"",DATE($C588+2018,$D588,1))</f>
        <v/>
      </c>
    </row>
    <row r="589">
      <c r="A589" s="11" t="n"/>
      <c r="B589" s="12" t="n"/>
      <c r="C589" s="12" t="n"/>
      <c r="D589" s="12" t="n"/>
      <c r="E589" s="13" t="n"/>
      <c r="F589" s="12" t="n"/>
      <c r="G589" s="13" t="n"/>
      <c r="H589" s="12" t="n"/>
      <c r="I589" s="12" t="n"/>
      <c r="J589" s="12" t="n"/>
      <c r="K589" s="12" t="n"/>
      <c r="L589" s="11" t="n"/>
      <c r="M589" s="11" t="n"/>
      <c r="N589" s="11" t="n"/>
      <c r="O589" s="11" t="n"/>
      <c r="P589" s="12" t="n"/>
      <c r="Q589" s="11" t="n"/>
      <c r="R589" s="12" t="n"/>
      <c r="S589" s="11" t="n"/>
      <c r="T589" s="12" t="n"/>
      <c r="U589" s="12" t="n"/>
      <c r="V589" s="14">
        <f>IF($AN589="",IF($B589="","",$H589),IF(INDEX(職員マスタ!$B$6:$B$405,$AN589)="",$H589,INDEX(職員マスタ!$B$6:$B$405,$AN589)))</f>
        <v/>
      </c>
      <c r="W589" s="14">
        <f>IF($AN589="",IF($B589="","",$R589),IF(INDEX(職員マスタ!$C$6:$C$405,$AN589)="",$R589,INDEX(職員マスタ!$C$6:$C$405,$AN589)))</f>
        <v/>
      </c>
      <c r="X589" s="14">
        <f>IF($AO589="","","R"&amp;$C589&amp;"."&amp;$D589)</f>
        <v/>
      </c>
      <c r="Y589" s="15">
        <f>IF($AN589="","",IF(INDEX(職員マスタ!$K$6:$K$405,$AN589)="","",INDEX(職員マスタ!$K$6:$K$405,$AN589)))</f>
        <v/>
      </c>
      <c r="Z589" s="14">
        <f>IF(OR($E589="",$Y589=""),"",IF($E589&gt;=$Y589,"×",IF($E589&gt;=$Y589*設定!$C$5,"△","○")))</f>
        <v/>
      </c>
      <c r="AA589" s="15">
        <f>IF($Z589="","",IF($Z589="×",0,IF($Z589="○",ROUNDDOWN($E589*設定!$C$4,0),ROUNDDOWN($E589*ROUND((9*$Y589-9*$E589)/(10*$E589),4),0))))</f>
        <v/>
      </c>
      <c r="AB589" s="13" t="n"/>
      <c r="AC589" s="15">
        <f>IF($B589="","",IF($AB589&lt;&gt;"",$AB589,IF($AA589="","",IF($AA589&lt;=設定!$C$3,0,$AA589))))</f>
        <v/>
      </c>
      <c r="AD589" s="14">
        <f>IF($B589="","",IF(AND($AE589&lt;&gt;"",$AG589="",$AJ589=""),"保留中",IF($AJ589&lt;&gt;"",IF(N($AC589)&gt;0,"支給済","不支給"),IF($AC589="","要確認",IF($AC589=0,"不支給","未処理")))))</f>
        <v/>
      </c>
      <c r="AE589" s="12" t="n"/>
      <c r="AF589" s="11" t="n"/>
      <c r="AG589" s="11" t="n"/>
      <c r="AH589" s="11" t="n"/>
      <c r="AI589" s="14">
        <f>IF(AND($AD589="保留中",$AF589&lt;&gt;""),TODAY()-$AF589,"")</f>
        <v/>
      </c>
      <c r="AJ589" s="12" t="n"/>
      <c r="AK589" s="14">
        <f>IF($B589="","",IF($AO589="","対象年月が未入力／","")&amp;IF($B589="","",IF($AN589="","職員マスタに未登録の職員番号／",IF($Y589="","標準報酬月額が未登録／","")&amp;IF(AND($AO589&lt;&gt;"",OR(AND(INDEX(職員マスタ!$G$6:$G$405,$AN589)&lt;&gt;"",INDEX(職員マスタ!$G$6:$G$405,$AN589)&gt;EOMONTH($AO589,0)),AND(INDEX(職員マスタ!$H$6:$H$405,$AN589)&lt;&gt;"",INDEX(職員マスタ!$H$6:$H$405,$AN589)&lt;$AO589))),"対象月が時短期間外／","")&amp;IF(AND(INDEX(職員マスタ!$F$6:$F$405,$AN589)&lt;&gt;"",$AO589&lt;&gt;"",INDEX(職員マスタ!$F$6:$F$405,$AN589)&lt;$AO589),"対象月に子が2歳到達済／","")&amp;IF(AND($H589&lt;&gt;"",INDEX(職員マスタ!$B$6:$B$405,$AN589)&lt;&gt;"",SUBSTITUTE(SUBSTITUTE($H589," ","")," ","")&lt;&gt;SUBSTITUTE(SUBSTITUTE(INDEX(職員マスタ!$B$6:$B$405,$AN589)," ","")," ","")),"氏名がマスタと相違／","")&amp;IF(AND($Q589&lt;&gt;"",INDEX(職員マスタ!$E$6:$E$405,$AN589)&lt;&gt;"",$Q589&lt;&gt;INDEX(職員マスタ!$E$6:$E$405,$AN589)),"子の生年月日がマスタと相違／","")&amp;IF(AND($L589&lt;&gt;"",INDEX(職員マスタ!$G$6:$G$405,$AN589)&lt;&gt;"",$L589&lt;&gt;INDEX(職員マスタ!$G$6:$G$405,$AN589)),"時短開始日がマスタと相違／","")&amp;IF(AND($M589&lt;&gt;"",INDEX(職員マスタ!$H$6:$H$405,$AN589)&lt;&gt;"",$M589&lt;&gt;INDEX(職員マスタ!$H$6:$H$405,$AN589)),"時短終了日がマスタと相違／","")))&amp;IF(AND($B589&lt;&gt;"",$E589=""),"報酬額が未入力／","")&amp;IF(N($U589)&gt;0,"申請書に入力エラーが残っています／","")&amp;IF(AND($B589&lt;&gt;"",$AO589&lt;&gt;""),IF(COUNTIFS($B$6:$B$3005,$B589,$C$6:$C$3005,$C589,$D$6:$D$3005,$D589)&gt;1,"同じ月の請求が重複しています／",""),"")&amp;IF(AND(N($E589)&gt;0,$Z589&lt;&gt;"",$Z589&lt;&gt;"×",$AC589=0,$AB589=""),"計算額が下限以下のため不支給／",""))</f>
        <v/>
      </c>
      <c r="AL589" s="12" t="n"/>
      <c r="AM589" s="14">
        <f>IF($AD589="保留中",COUNTIF($AD$6:$AD589,"保留中"),"")</f>
        <v/>
      </c>
      <c r="AN589" s="14">
        <f>IF($AO589="","",IF(SUMPRODUCT(MAX((職員マスタ!$A$6:$A$405=$B589)*(((職員マスタ!$G$6:$G$405="")+(職員マスタ!$G$6:$G$405&lt;=EOMONTH($AO589,0)))&gt;0)*(((職員マスタ!$H$6:$H$405="")+(職員マスタ!$H$6:$H$405&gt;=$AO589))&gt;0)*(ROW(職員マスタ!$A$6:$A$405)-5)))&gt;0,SUMPRODUCT(MAX((職員マスタ!$A$6:$A$405=$B589)*(((職員マスタ!$G$6:$G$405="")+(職員マスタ!$G$6:$G$405&lt;=EOMONTH($AO589,0)))&gt;0)*(((職員マスタ!$H$6:$H$405="")+(職員マスタ!$H$6:$H$405&gt;=$AO589))&gt;0)*(ROW(職員マスタ!$A$6:$A$405)-5))),IFERROR(MATCH($B589,職員マスタ!$A$6:$A$405,0),"")))</f>
        <v/>
      </c>
      <c r="AO589" s="16">
        <f>IF(OR($B589="",$C589="",$D589=""),"",DATE($C589+2018,$D589,1))</f>
        <v/>
      </c>
    </row>
    <row r="590">
      <c r="A590" s="11" t="n"/>
      <c r="B590" s="12" t="n"/>
      <c r="C590" s="12" t="n"/>
      <c r="D590" s="12" t="n"/>
      <c r="E590" s="13" t="n"/>
      <c r="F590" s="12" t="n"/>
      <c r="G590" s="13" t="n"/>
      <c r="H590" s="12" t="n"/>
      <c r="I590" s="12" t="n"/>
      <c r="J590" s="12" t="n"/>
      <c r="K590" s="12" t="n"/>
      <c r="L590" s="11" t="n"/>
      <c r="M590" s="11" t="n"/>
      <c r="N590" s="11" t="n"/>
      <c r="O590" s="11" t="n"/>
      <c r="P590" s="12" t="n"/>
      <c r="Q590" s="11" t="n"/>
      <c r="R590" s="12" t="n"/>
      <c r="S590" s="11" t="n"/>
      <c r="T590" s="12" t="n"/>
      <c r="U590" s="12" t="n"/>
      <c r="V590" s="14">
        <f>IF($AN590="",IF($B590="","",$H590),IF(INDEX(職員マスタ!$B$6:$B$405,$AN590)="",$H590,INDEX(職員マスタ!$B$6:$B$405,$AN590)))</f>
        <v/>
      </c>
      <c r="W590" s="14">
        <f>IF($AN590="",IF($B590="","",$R590),IF(INDEX(職員マスタ!$C$6:$C$405,$AN590)="",$R590,INDEX(職員マスタ!$C$6:$C$405,$AN590)))</f>
        <v/>
      </c>
      <c r="X590" s="14">
        <f>IF($AO590="","","R"&amp;$C590&amp;"."&amp;$D590)</f>
        <v/>
      </c>
      <c r="Y590" s="15">
        <f>IF($AN590="","",IF(INDEX(職員マスタ!$K$6:$K$405,$AN590)="","",INDEX(職員マスタ!$K$6:$K$405,$AN590)))</f>
        <v/>
      </c>
      <c r="Z590" s="14">
        <f>IF(OR($E590="",$Y590=""),"",IF($E590&gt;=$Y590,"×",IF($E590&gt;=$Y590*設定!$C$5,"△","○")))</f>
        <v/>
      </c>
      <c r="AA590" s="15">
        <f>IF($Z590="","",IF($Z590="×",0,IF($Z590="○",ROUNDDOWN($E590*設定!$C$4,0),ROUNDDOWN($E590*ROUND((9*$Y590-9*$E590)/(10*$E590),4),0))))</f>
        <v/>
      </c>
      <c r="AB590" s="13" t="n"/>
      <c r="AC590" s="15">
        <f>IF($B590="","",IF($AB590&lt;&gt;"",$AB590,IF($AA590="","",IF($AA590&lt;=設定!$C$3,0,$AA590))))</f>
        <v/>
      </c>
      <c r="AD590" s="14">
        <f>IF($B590="","",IF(AND($AE590&lt;&gt;"",$AG590="",$AJ590=""),"保留中",IF($AJ590&lt;&gt;"",IF(N($AC590)&gt;0,"支給済","不支給"),IF($AC590="","要確認",IF($AC590=0,"不支給","未処理")))))</f>
        <v/>
      </c>
      <c r="AE590" s="12" t="n"/>
      <c r="AF590" s="11" t="n"/>
      <c r="AG590" s="11" t="n"/>
      <c r="AH590" s="11" t="n"/>
      <c r="AI590" s="14">
        <f>IF(AND($AD590="保留中",$AF590&lt;&gt;""),TODAY()-$AF590,"")</f>
        <v/>
      </c>
      <c r="AJ590" s="12" t="n"/>
      <c r="AK590" s="14">
        <f>IF($B590="","",IF($AO590="","対象年月が未入力／","")&amp;IF($B590="","",IF($AN590="","職員マスタに未登録の職員番号／",IF($Y590="","標準報酬月額が未登録／","")&amp;IF(AND($AO590&lt;&gt;"",OR(AND(INDEX(職員マスタ!$G$6:$G$405,$AN590)&lt;&gt;"",INDEX(職員マスタ!$G$6:$G$405,$AN590)&gt;EOMONTH($AO590,0)),AND(INDEX(職員マスタ!$H$6:$H$405,$AN590)&lt;&gt;"",INDEX(職員マスタ!$H$6:$H$405,$AN590)&lt;$AO590))),"対象月が時短期間外／","")&amp;IF(AND(INDEX(職員マスタ!$F$6:$F$405,$AN590)&lt;&gt;"",$AO590&lt;&gt;"",INDEX(職員マスタ!$F$6:$F$405,$AN590)&lt;$AO590),"対象月に子が2歳到達済／","")&amp;IF(AND($H590&lt;&gt;"",INDEX(職員マスタ!$B$6:$B$405,$AN590)&lt;&gt;"",SUBSTITUTE(SUBSTITUTE($H590," ","")," ","")&lt;&gt;SUBSTITUTE(SUBSTITUTE(INDEX(職員マスタ!$B$6:$B$405,$AN590)," ","")," ","")),"氏名がマスタと相違／","")&amp;IF(AND($Q590&lt;&gt;"",INDEX(職員マスタ!$E$6:$E$405,$AN590)&lt;&gt;"",$Q590&lt;&gt;INDEX(職員マスタ!$E$6:$E$405,$AN590)),"子の生年月日がマスタと相違／","")&amp;IF(AND($L590&lt;&gt;"",INDEX(職員マスタ!$G$6:$G$405,$AN590)&lt;&gt;"",$L590&lt;&gt;INDEX(職員マスタ!$G$6:$G$405,$AN590)),"時短開始日がマスタと相違／","")&amp;IF(AND($M590&lt;&gt;"",INDEX(職員マスタ!$H$6:$H$405,$AN590)&lt;&gt;"",$M590&lt;&gt;INDEX(職員マスタ!$H$6:$H$405,$AN590)),"時短終了日がマスタと相違／","")))&amp;IF(AND($B590&lt;&gt;"",$E590=""),"報酬額が未入力／","")&amp;IF(N($U590)&gt;0,"申請書に入力エラーが残っています／","")&amp;IF(AND($B590&lt;&gt;"",$AO590&lt;&gt;""),IF(COUNTIFS($B$6:$B$3005,$B590,$C$6:$C$3005,$C590,$D$6:$D$3005,$D590)&gt;1,"同じ月の請求が重複しています／",""),"")&amp;IF(AND(N($E590)&gt;0,$Z590&lt;&gt;"",$Z590&lt;&gt;"×",$AC590=0,$AB590=""),"計算額が下限以下のため不支給／",""))</f>
        <v/>
      </c>
      <c r="AL590" s="12" t="n"/>
      <c r="AM590" s="14">
        <f>IF($AD590="保留中",COUNTIF($AD$6:$AD590,"保留中"),"")</f>
        <v/>
      </c>
      <c r="AN590" s="14">
        <f>IF($AO590="","",IF(SUMPRODUCT(MAX((職員マスタ!$A$6:$A$405=$B590)*(((職員マスタ!$G$6:$G$405="")+(職員マスタ!$G$6:$G$405&lt;=EOMONTH($AO590,0)))&gt;0)*(((職員マスタ!$H$6:$H$405="")+(職員マスタ!$H$6:$H$405&gt;=$AO590))&gt;0)*(ROW(職員マスタ!$A$6:$A$405)-5)))&gt;0,SUMPRODUCT(MAX((職員マスタ!$A$6:$A$405=$B590)*(((職員マスタ!$G$6:$G$405="")+(職員マスタ!$G$6:$G$405&lt;=EOMONTH($AO590,0)))&gt;0)*(((職員マスタ!$H$6:$H$405="")+(職員マスタ!$H$6:$H$405&gt;=$AO590))&gt;0)*(ROW(職員マスタ!$A$6:$A$405)-5))),IFERROR(MATCH($B590,職員マスタ!$A$6:$A$405,0),"")))</f>
        <v/>
      </c>
      <c r="AO590" s="16">
        <f>IF(OR($B590="",$C590="",$D590=""),"",DATE($C590+2018,$D590,1))</f>
        <v/>
      </c>
    </row>
    <row r="591">
      <c r="A591" s="11" t="n"/>
      <c r="B591" s="12" t="n"/>
      <c r="C591" s="12" t="n"/>
      <c r="D591" s="12" t="n"/>
      <c r="E591" s="13" t="n"/>
      <c r="F591" s="12" t="n"/>
      <c r="G591" s="13" t="n"/>
      <c r="H591" s="12" t="n"/>
      <c r="I591" s="12" t="n"/>
      <c r="J591" s="12" t="n"/>
      <c r="K591" s="12" t="n"/>
      <c r="L591" s="11" t="n"/>
      <c r="M591" s="11" t="n"/>
      <c r="N591" s="11" t="n"/>
      <c r="O591" s="11" t="n"/>
      <c r="P591" s="12" t="n"/>
      <c r="Q591" s="11" t="n"/>
      <c r="R591" s="12" t="n"/>
      <c r="S591" s="11" t="n"/>
      <c r="T591" s="12" t="n"/>
      <c r="U591" s="12" t="n"/>
      <c r="V591" s="14">
        <f>IF($AN591="",IF($B591="","",$H591),IF(INDEX(職員マスタ!$B$6:$B$405,$AN591)="",$H591,INDEX(職員マスタ!$B$6:$B$405,$AN591)))</f>
        <v/>
      </c>
      <c r="W591" s="14">
        <f>IF($AN591="",IF($B591="","",$R591),IF(INDEX(職員マスタ!$C$6:$C$405,$AN591)="",$R591,INDEX(職員マスタ!$C$6:$C$405,$AN591)))</f>
        <v/>
      </c>
      <c r="X591" s="14">
        <f>IF($AO591="","","R"&amp;$C591&amp;"."&amp;$D591)</f>
        <v/>
      </c>
      <c r="Y591" s="15">
        <f>IF($AN591="","",IF(INDEX(職員マスタ!$K$6:$K$405,$AN591)="","",INDEX(職員マスタ!$K$6:$K$405,$AN591)))</f>
        <v/>
      </c>
      <c r="Z591" s="14">
        <f>IF(OR($E591="",$Y591=""),"",IF($E591&gt;=$Y591,"×",IF($E591&gt;=$Y591*設定!$C$5,"△","○")))</f>
        <v/>
      </c>
      <c r="AA591" s="15">
        <f>IF($Z591="","",IF($Z591="×",0,IF($Z591="○",ROUNDDOWN($E591*設定!$C$4,0),ROUNDDOWN($E591*ROUND((9*$Y591-9*$E591)/(10*$E591),4),0))))</f>
        <v/>
      </c>
      <c r="AB591" s="13" t="n"/>
      <c r="AC591" s="15">
        <f>IF($B591="","",IF($AB591&lt;&gt;"",$AB591,IF($AA591="","",IF($AA591&lt;=設定!$C$3,0,$AA591))))</f>
        <v/>
      </c>
      <c r="AD591" s="14">
        <f>IF($B591="","",IF(AND($AE591&lt;&gt;"",$AG591="",$AJ591=""),"保留中",IF($AJ591&lt;&gt;"",IF(N($AC591)&gt;0,"支給済","不支給"),IF($AC591="","要確認",IF($AC591=0,"不支給","未処理")))))</f>
        <v/>
      </c>
      <c r="AE591" s="12" t="n"/>
      <c r="AF591" s="11" t="n"/>
      <c r="AG591" s="11" t="n"/>
      <c r="AH591" s="11" t="n"/>
      <c r="AI591" s="14">
        <f>IF(AND($AD591="保留中",$AF591&lt;&gt;""),TODAY()-$AF591,"")</f>
        <v/>
      </c>
      <c r="AJ591" s="12" t="n"/>
      <c r="AK591" s="14">
        <f>IF($B591="","",IF($AO591="","対象年月が未入力／","")&amp;IF($B591="","",IF($AN591="","職員マスタに未登録の職員番号／",IF($Y591="","標準報酬月額が未登録／","")&amp;IF(AND($AO591&lt;&gt;"",OR(AND(INDEX(職員マスタ!$G$6:$G$405,$AN591)&lt;&gt;"",INDEX(職員マスタ!$G$6:$G$405,$AN591)&gt;EOMONTH($AO591,0)),AND(INDEX(職員マスタ!$H$6:$H$405,$AN591)&lt;&gt;"",INDEX(職員マスタ!$H$6:$H$405,$AN591)&lt;$AO591))),"対象月が時短期間外／","")&amp;IF(AND(INDEX(職員マスタ!$F$6:$F$405,$AN591)&lt;&gt;"",$AO591&lt;&gt;"",INDEX(職員マスタ!$F$6:$F$405,$AN591)&lt;$AO591),"対象月に子が2歳到達済／","")&amp;IF(AND($H591&lt;&gt;"",INDEX(職員マスタ!$B$6:$B$405,$AN591)&lt;&gt;"",SUBSTITUTE(SUBSTITUTE($H591," ","")," ","")&lt;&gt;SUBSTITUTE(SUBSTITUTE(INDEX(職員マスタ!$B$6:$B$405,$AN591)," ","")," ","")),"氏名がマスタと相違／","")&amp;IF(AND($Q591&lt;&gt;"",INDEX(職員マスタ!$E$6:$E$405,$AN591)&lt;&gt;"",$Q591&lt;&gt;INDEX(職員マスタ!$E$6:$E$405,$AN591)),"子の生年月日がマスタと相違／","")&amp;IF(AND($L591&lt;&gt;"",INDEX(職員マスタ!$G$6:$G$405,$AN591)&lt;&gt;"",$L591&lt;&gt;INDEX(職員マスタ!$G$6:$G$405,$AN591)),"時短開始日がマスタと相違／","")&amp;IF(AND($M591&lt;&gt;"",INDEX(職員マスタ!$H$6:$H$405,$AN591)&lt;&gt;"",$M591&lt;&gt;INDEX(職員マスタ!$H$6:$H$405,$AN591)),"時短終了日がマスタと相違／","")))&amp;IF(AND($B591&lt;&gt;"",$E591=""),"報酬額が未入力／","")&amp;IF(N($U591)&gt;0,"申請書に入力エラーが残っています／","")&amp;IF(AND($B591&lt;&gt;"",$AO591&lt;&gt;""),IF(COUNTIFS($B$6:$B$3005,$B591,$C$6:$C$3005,$C591,$D$6:$D$3005,$D591)&gt;1,"同じ月の請求が重複しています／",""),"")&amp;IF(AND(N($E591)&gt;0,$Z591&lt;&gt;"",$Z591&lt;&gt;"×",$AC591=0,$AB591=""),"計算額が下限以下のため不支給／",""))</f>
        <v/>
      </c>
      <c r="AL591" s="12" t="n"/>
      <c r="AM591" s="14">
        <f>IF($AD591="保留中",COUNTIF($AD$6:$AD591,"保留中"),"")</f>
        <v/>
      </c>
      <c r="AN591" s="14">
        <f>IF($AO591="","",IF(SUMPRODUCT(MAX((職員マスタ!$A$6:$A$405=$B591)*(((職員マスタ!$G$6:$G$405="")+(職員マスタ!$G$6:$G$405&lt;=EOMONTH($AO591,0)))&gt;0)*(((職員マスタ!$H$6:$H$405="")+(職員マスタ!$H$6:$H$405&gt;=$AO591))&gt;0)*(ROW(職員マスタ!$A$6:$A$405)-5)))&gt;0,SUMPRODUCT(MAX((職員マスタ!$A$6:$A$405=$B591)*(((職員マスタ!$G$6:$G$405="")+(職員マスタ!$G$6:$G$405&lt;=EOMONTH($AO591,0)))&gt;0)*(((職員マスタ!$H$6:$H$405="")+(職員マスタ!$H$6:$H$405&gt;=$AO591))&gt;0)*(ROW(職員マスタ!$A$6:$A$405)-5))),IFERROR(MATCH($B591,職員マスタ!$A$6:$A$405,0),"")))</f>
        <v/>
      </c>
      <c r="AO591" s="16">
        <f>IF(OR($B591="",$C591="",$D591=""),"",DATE($C591+2018,$D591,1))</f>
        <v/>
      </c>
    </row>
    <row r="592">
      <c r="A592" s="11" t="n"/>
      <c r="B592" s="12" t="n"/>
      <c r="C592" s="12" t="n"/>
      <c r="D592" s="12" t="n"/>
      <c r="E592" s="13" t="n"/>
      <c r="F592" s="12" t="n"/>
      <c r="G592" s="13" t="n"/>
      <c r="H592" s="12" t="n"/>
      <c r="I592" s="12" t="n"/>
      <c r="J592" s="12" t="n"/>
      <c r="K592" s="12" t="n"/>
      <c r="L592" s="11" t="n"/>
      <c r="M592" s="11" t="n"/>
      <c r="N592" s="11" t="n"/>
      <c r="O592" s="11" t="n"/>
      <c r="P592" s="12" t="n"/>
      <c r="Q592" s="11" t="n"/>
      <c r="R592" s="12" t="n"/>
      <c r="S592" s="11" t="n"/>
      <c r="T592" s="12" t="n"/>
      <c r="U592" s="12" t="n"/>
      <c r="V592" s="14">
        <f>IF($AN592="",IF($B592="","",$H592),IF(INDEX(職員マスタ!$B$6:$B$405,$AN592)="",$H592,INDEX(職員マスタ!$B$6:$B$405,$AN592)))</f>
        <v/>
      </c>
      <c r="W592" s="14">
        <f>IF($AN592="",IF($B592="","",$R592),IF(INDEX(職員マスタ!$C$6:$C$405,$AN592)="",$R592,INDEX(職員マスタ!$C$6:$C$405,$AN592)))</f>
        <v/>
      </c>
      <c r="X592" s="14">
        <f>IF($AO592="","","R"&amp;$C592&amp;"."&amp;$D592)</f>
        <v/>
      </c>
      <c r="Y592" s="15">
        <f>IF($AN592="","",IF(INDEX(職員マスタ!$K$6:$K$405,$AN592)="","",INDEX(職員マスタ!$K$6:$K$405,$AN592)))</f>
        <v/>
      </c>
      <c r="Z592" s="14">
        <f>IF(OR($E592="",$Y592=""),"",IF($E592&gt;=$Y592,"×",IF($E592&gt;=$Y592*設定!$C$5,"△","○")))</f>
        <v/>
      </c>
      <c r="AA592" s="15">
        <f>IF($Z592="","",IF($Z592="×",0,IF($Z592="○",ROUNDDOWN($E592*設定!$C$4,0),ROUNDDOWN($E592*ROUND((9*$Y592-9*$E592)/(10*$E592),4),0))))</f>
        <v/>
      </c>
      <c r="AB592" s="13" t="n"/>
      <c r="AC592" s="15">
        <f>IF($B592="","",IF($AB592&lt;&gt;"",$AB592,IF($AA592="","",IF($AA592&lt;=設定!$C$3,0,$AA592))))</f>
        <v/>
      </c>
      <c r="AD592" s="14">
        <f>IF($B592="","",IF(AND($AE592&lt;&gt;"",$AG592="",$AJ592=""),"保留中",IF($AJ592&lt;&gt;"",IF(N($AC592)&gt;0,"支給済","不支給"),IF($AC592="","要確認",IF($AC592=0,"不支給","未処理")))))</f>
        <v/>
      </c>
      <c r="AE592" s="12" t="n"/>
      <c r="AF592" s="11" t="n"/>
      <c r="AG592" s="11" t="n"/>
      <c r="AH592" s="11" t="n"/>
      <c r="AI592" s="14">
        <f>IF(AND($AD592="保留中",$AF592&lt;&gt;""),TODAY()-$AF592,"")</f>
        <v/>
      </c>
      <c r="AJ592" s="12" t="n"/>
      <c r="AK592" s="14">
        <f>IF($B592="","",IF($AO592="","対象年月が未入力／","")&amp;IF($B592="","",IF($AN592="","職員マスタに未登録の職員番号／",IF($Y592="","標準報酬月額が未登録／","")&amp;IF(AND($AO592&lt;&gt;"",OR(AND(INDEX(職員マスタ!$G$6:$G$405,$AN592)&lt;&gt;"",INDEX(職員マスタ!$G$6:$G$405,$AN592)&gt;EOMONTH($AO592,0)),AND(INDEX(職員マスタ!$H$6:$H$405,$AN592)&lt;&gt;"",INDEX(職員マスタ!$H$6:$H$405,$AN592)&lt;$AO592))),"対象月が時短期間外／","")&amp;IF(AND(INDEX(職員マスタ!$F$6:$F$405,$AN592)&lt;&gt;"",$AO592&lt;&gt;"",INDEX(職員マスタ!$F$6:$F$405,$AN592)&lt;$AO592),"対象月に子が2歳到達済／","")&amp;IF(AND($H592&lt;&gt;"",INDEX(職員マスタ!$B$6:$B$405,$AN592)&lt;&gt;"",SUBSTITUTE(SUBSTITUTE($H592," ","")," ","")&lt;&gt;SUBSTITUTE(SUBSTITUTE(INDEX(職員マスタ!$B$6:$B$405,$AN592)," ","")," ","")),"氏名がマスタと相違／","")&amp;IF(AND($Q592&lt;&gt;"",INDEX(職員マスタ!$E$6:$E$405,$AN592)&lt;&gt;"",$Q592&lt;&gt;INDEX(職員マスタ!$E$6:$E$405,$AN592)),"子の生年月日がマスタと相違／","")&amp;IF(AND($L592&lt;&gt;"",INDEX(職員マスタ!$G$6:$G$405,$AN592)&lt;&gt;"",$L592&lt;&gt;INDEX(職員マスタ!$G$6:$G$405,$AN592)),"時短開始日がマスタと相違／","")&amp;IF(AND($M592&lt;&gt;"",INDEX(職員マスタ!$H$6:$H$405,$AN592)&lt;&gt;"",$M592&lt;&gt;INDEX(職員マスタ!$H$6:$H$405,$AN592)),"時短終了日がマスタと相違／","")))&amp;IF(AND($B592&lt;&gt;"",$E592=""),"報酬額が未入力／","")&amp;IF(N($U592)&gt;0,"申請書に入力エラーが残っています／","")&amp;IF(AND($B592&lt;&gt;"",$AO592&lt;&gt;""),IF(COUNTIFS($B$6:$B$3005,$B592,$C$6:$C$3005,$C592,$D$6:$D$3005,$D592)&gt;1,"同じ月の請求が重複しています／",""),"")&amp;IF(AND(N($E592)&gt;0,$Z592&lt;&gt;"",$Z592&lt;&gt;"×",$AC592=0,$AB592=""),"計算額が下限以下のため不支給／",""))</f>
        <v/>
      </c>
      <c r="AL592" s="12" t="n"/>
      <c r="AM592" s="14">
        <f>IF($AD592="保留中",COUNTIF($AD$6:$AD592,"保留中"),"")</f>
        <v/>
      </c>
      <c r="AN592" s="14">
        <f>IF($AO592="","",IF(SUMPRODUCT(MAX((職員マスタ!$A$6:$A$405=$B592)*(((職員マスタ!$G$6:$G$405="")+(職員マスタ!$G$6:$G$405&lt;=EOMONTH($AO592,0)))&gt;0)*(((職員マスタ!$H$6:$H$405="")+(職員マスタ!$H$6:$H$405&gt;=$AO592))&gt;0)*(ROW(職員マスタ!$A$6:$A$405)-5)))&gt;0,SUMPRODUCT(MAX((職員マスタ!$A$6:$A$405=$B592)*(((職員マスタ!$G$6:$G$405="")+(職員マスタ!$G$6:$G$405&lt;=EOMONTH($AO592,0)))&gt;0)*(((職員マスタ!$H$6:$H$405="")+(職員マスタ!$H$6:$H$405&gt;=$AO592))&gt;0)*(ROW(職員マスタ!$A$6:$A$405)-5))),IFERROR(MATCH($B592,職員マスタ!$A$6:$A$405,0),"")))</f>
        <v/>
      </c>
      <c r="AO592" s="16">
        <f>IF(OR($B592="",$C592="",$D592=""),"",DATE($C592+2018,$D592,1))</f>
        <v/>
      </c>
    </row>
    <row r="593">
      <c r="A593" s="11" t="n"/>
      <c r="B593" s="12" t="n"/>
      <c r="C593" s="12" t="n"/>
      <c r="D593" s="12" t="n"/>
      <c r="E593" s="13" t="n"/>
      <c r="F593" s="12" t="n"/>
      <c r="G593" s="13" t="n"/>
      <c r="H593" s="12" t="n"/>
      <c r="I593" s="12" t="n"/>
      <c r="J593" s="12" t="n"/>
      <c r="K593" s="12" t="n"/>
      <c r="L593" s="11" t="n"/>
      <c r="M593" s="11" t="n"/>
      <c r="N593" s="11" t="n"/>
      <c r="O593" s="11" t="n"/>
      <c r="P593" s="12" t="n"/>
      <c r="Q593" s="11" t="n"/>
      <c r="R593" s="12" t="n"/>
      <c r="S593" s="11" t="n"/>
      <c r="T593" s="12" t="n"/>
      <c r="U593" s="12" t="n"/>
      <c r="V593" s="14">
        <f>IF($AN593="",IF($B593="","",$H593),IF(INDEX(職員マスタ!$B$6:$B$405,$AN593)="",$H593,INDEX(職員マスタ!$B$6:$B$405,$AN593)))</f>
        <v/>
      </c>
      <c r="W593" s="14">
        <f>IF($AN593="",IF($B593="","",$R593),IF(INDEX(職員マスタ!$C$6:$C$405,$AN593)="",$R593,INDEX(職員マスタ!$C$6:$C$405,$AN593)))</f>
        <v/>
      </c>
      <c r="X593" s="14">
        <f>IF($AO593="","","R"&amp;$C593&amp;"."&amp;$D593)</f>
        <v/>
      </c>
      <c r="Y593" s="15">
        <f>IF($AN593="","",IF(INDEX(職員マスタ!$K$6:$K$405,$AN593)="","",INDEX(職員マスタ!$K$6:$K$405,$AN593)))</f>
        <v/>
      </c>
      <c r="Z593" s="14">
        <f>IF(OR($E593="",$Y593=""),"",IF($E593&gt;=$Y593,"×",IF($E593&gt;=$Y593*設定!$C$5,"△","○")))</f>
        <v/>
      </c>
      <c r="AA593" s="15">
        <f>IF($Z593="","",IF($Z593="×",0,IF($Z593="○",ROUNDDOWN($E593*設定!$C$4,0),ROUNDDOWN($E593*ROUND((9*$Y593-9*$E593)/(10*$E593),4),0))))</f>
        <v/>
      </c>
      <c r="AB593" s="13" t="n"/>
      <c r="AC593" s="15">
        <f>IF($B593="","",IF($AB593&lt;&gt;"",$AB593,IF($AA593="","",IF($AA593&lt;=設定!$C$3,0,$AA593))))</f>
        <v/>
      </c>
      <c r="AD593" s="14">
        <f>IF($B593="","",IF(AND($AE593&lt;&gt;"",$AG593="",$AJ593=""),"保留中",IF($AJ593&lt;&gt;"",IF(N($AC593)&gt;0,"支給済","不支給"),IF($AC593="","要確認",IF($AC593=0,"不支給","未処理")))))</f>
        <v/>
      </c>
      <c r="AE593" s="12" t="n"/>
      <c r="AF593" s="11" t="n"/>
      <c r="AG593" s="11" t="n"/>
      <c r="AH593" s="11" t="n"/>
      <c r="AI593" s="14">
        <f>IF(AND($AD593="保留中",$AF593&lt;&gt;""),TODAY()-$AF593,"")</f>
        <v/>
      </c>
      <c r="AJ593" s="12" t="n"/>
      <c r="AK593" s="14">
        <f>IF($B593="","",IF($AO593="","対象年月が未入力／","")&amp;IF($B593="","",IF($AN593="","職員マスタに未登録の職員番号／",IF($Y593="","標準報酬月額が未登録／","")&amp;IF(AND($AO593&lt;&gt;"",OR(AND(INDEX(職員マスタ!$G$6:$G$405,$AN593)&lt;&gt;"",INDEX(職員マスタ!$G$6:$G$405,$AN593)&gt;EOMONTH($AO593,0)),AND(INDEX(職員マスタ!$H$6:$H$405,$AN593)&lt;&gt;"",INDEX(職員マスタ!$H$6:$H$405,$AN593)&lt;$AO593))),"対象月が時短期間外／","")&amp;IF(AND(INDEX(職員マスタ!$F$6:$F$405,$AN593)&lt;&gt;"",$AO593&lt;&gt;"",INDEX(職員マスタ!$F$6:$F$405,$AN593)&lt;$AO593),"対象月に子が2歳到達済／","")&amp;IF(AND($H593&lt;&gt;"",INDEX(職員マスタ!$B$6:$B$405,$AN593)&lt;&gt;"",SUBSTITUTE(SUBSTITUTE($H593," ","")," ","")&lt;&gt;SUBSTITUTE(SUBSTITUTE(INDEX(職員マスタ!$B$6:$B$405,$AN593)," ","")," ","")),"氏名がマスタと相違／","")&amp;IF(AND($Q593&lt;&gt;"",INDEX(職員マスタ!$E$6:$E$405,$AN593)&lt;&gt;"",$Q593&lt;&gt;INDEX(職員マスタ!$E$6:$E$405,$AN593)),"子の生年月日がマスタと相違／","")&amp;IF(AND($L593&lt;&gt;"",INDEX(職員マスタ!$G$6:$G$405,$AN593)&lt;&gt;"",$L593&lt;&gt;INDEX(職員マスタ!$G$6:$G$405,$AN593)),"時短開始日がマスタと相違／","")&amp;IF(AND($M593&lt;&gt;"",INDEX(職員マスタ!$H$6:$H$405,$AN593)&lt;&gt;"",$M593&lt;&gt;INDEX(職員マスタ!$H$6:$H$405,$AN593)),"時短終了日がマスタと相違／","")))&amp;IF(AND($B593&lt;&gt;"",$E593=""),"報酬額が未入力／","")&amp;IF(N($U593)&gt;0,"申請書に入力エラーが残っています／","")&amp;IF(AND($B593&lt;&gt;"",$AO593&lt;&gt;""),IF(COUNTIFS($B$6:$B$3005,$B593,$C$6:$C$3005,$C593,$D$6:$D$3005,$D593)&gt;1,"同じ月の請求が重複しています／",""),"")&amp;IF(AND(N($E593)&gt;0,$Z593&lt;&gt;"",$Z593&lt;&gt;"×",$AC593=0,$AB593=""),"計算額が下限以下のため不支給／",""))</f>
        <v/>
      </c>
      <c r="AL593" s="12" t="n"/>
      <c r="AM593" s="14">
        <f>IF($AD593="保留中",COUNTIF($AD$6:$AD593,"保留中"),"")</f>
        <v/>
      </c>
      <c r="AN593" s="14">
        <f>IF($AO593="","",IF(SUMPRODUCT(MAX((職員マスタ!$A$6:$A$405=$B593)*(((職員マスタ!$G$6:$G$405="")+(職員マスタ!$G$6:$G$405&lt;=EOMONTH($AO593,0)))&gt;0)*(((職員マスタ!$H$6:$H$405="")+(職員マスタ!$H$6:$H$405&gt;=$AO593))&gt;0)*(ROW(職員マスタ!$A$6:$A$405)-5)))&gt;0,SUMPRODUCT(MAX((職員マスタ!$A$6:$A$405=$B593)*(((職員マスタ!$G$6:$G$405="")+(職員マスタ!$G$6:$G$405&lt;=EOMONTH($AO593,0)))&gt;0)*(((職員マスタ!$H$6:$H$405="")+(職員マスタ!$H$6:$H$405&gt;=$AO593))&gt;0)*(ROW(職員マスタ!$A$6:$A$405)-5))),IFERROR(MATCH($B593,職員マスタ!$A$6:$A$405,0),"")))</f>
        <v/>
      </c>
      <c r="AO593" s="16">
        <f>IF(OR($B593="",$C593="",$D593=""),"",DATE($C593+2018,$D593,1))</f>
        <v/>
      </c>
    </row>
    <row r="594">
      <c r="A594" s="11" t="n"/>
      <c r="B594" s="12" t="n"/>
      <c r="C594" s="12" t="n"/>
      <c r="D594" s="12" t="n"/>
      <c r="E594" s="13" t="n"/>
      <c r="F594" s="12" t="n"/>
      <c r="G594" s="13" t="n"/>
      <c r="H594" s="12" t="n"/>
      <c r="I594" s="12" t="n"/>
      <c r="J594" s="12" t="n"/>
      <c r="K594" s="12" t="n"/>
      <c r="L594" s="11" t="n"/>
      <c r="M594" s="11" t="n"/>
      <c r="N594" s="11" t="n"/>
      <c r="O594" s="11" t="n"/>
      <c r="P594" s="12" t="n"/>
      <c r="Q594" s="11" t="n"/>
      <c r="R594" s="12" t="n"/>
      <c r="S594" s="11" t="n"/>
      <c r="T594" s="12" t="n"/>
      <c r="U594" s="12" t="n"/>
      <c r="V594" s="14">
        <f>IF($AN594="",IF($B594="","",$H594),IF(INDEX(職員マスタ!$B$6:$B$405,$AN594)="",$H594,INDEX(職員マスタ!$B$6:$B$405,$AN594)))</f>
        <v/>
      </c>
      <c r="W594" s="14">
        <f>IF($AN594="",IF($B594="","",$R594),IF(INDEX(職員マスタ!$C$6:$C$405,$AN594)="",$R594,INDEX(職員マスタ!$C$6:$C$405,$AN594)))</f>
        <v/>
      </c>
      <c r="X594" s="14">
        <f>IF($AO594="","","R"&amp;$C594&amp;"."&amp;$D594)</f>
        <v/>
      </c>
      <c r="Y594" s="15">
        <f>IF($AN594="","",IF(INDEX(職員マスタ!$K$6:$K$405,$AN594)="","",INDEX(職員マスタ!$K$6:$K$405,$AN594)))</f>
        <v/>
      </c>
      <c r="Z594" s="14">
        <f>IF(OR($E594="",$Y594=""),"",IF($E594&gt;=$Y594,"×",IF($E594&gt;=$Y594*設定!$C$5,"△","○")))</f>
        <v/>
      </c>
      <c r="AA594" s="15">
        <f>IF($Z594="","",IF($Z594="×",0,IF($Z594="○",ROUNDDOWN($E594*設定!$C$4,0),ROUNDDOWN($E594*ROUND((9*$Y594-9*$E594)/(10*$E594),4),0))))</f>
        <v/>
      </c>
      <c r="AB594" s="13" t="n"/>
      <c r="AC594" s="15">
        <f>IF($B594="","",IF($AB594&lt;&gt;"",$AB594,IF($AA594="","",IF($AA594&lt;=設定!$C$3,0,$AA594))))</f>
        <v/>
      </c>
      <c r="AD594" s="14">
        <f>IF($B594="","",IF(AND($AE594&lt;&gt;"",$AG594="",$AJ594=""),"保留中",IF($AJ594&lt;&gt;"",IF(N($AC594)&gt;0,"支給済","不支給"),IF($AC594="","要確認",IF($AC594=0,"不支給","未処理")))))</f>
        <v/>
      </c>
      <c r="AE594" s="12" t="n"/>
      <c r="AF594" s="11" t="n"/>
      <c r="AG594" s="11" t="n"/>
      <c r="AH594" s="11" t="n"/>
      <c r="AI594" s="14">
        <f>IF(AND($AD594="保留中",$AF594&lt;&gt;""),TODAY()-$AF594,"")</f>
        <v/>
      </c>
      <c r="AJ594" s="12" t="n"/>
      <c r="AK594" s="14">
        <f>IF($B594="","",IF($AO594="","対象年月が未入力／","")&amp;IF($B594="","",IF($AN594="","職員マスタに未登録の職員番号／",IF($Y594="","標準報酬月額が未登録／","")&amp;IF(AND($AO594&lt;&gt;"",OR(AND(INDEX(職員マスタ!$G$6:$G$405,$AN594)&lt;&gt;"",INDEX(職員マスタ!$G$6:$G$405,$AN594)&gt;EOMONTH($AO594,0)),AND(INDEX(職員マスタ!$H$6:$H$405,$AN594)&lt;&gt;"",INDEX(職員マスタ!$H$6:$H$405,$AN594)&lt;$AO594))),"対象月が時短期間外／","")&amp;IF(AND(INDEX(職員マスタ!$F$6:$F$405,$AN594)&lt;&gt;"",$AO594&lt;&gt;"",INDEX(職員マスタ!$F$6:$F$405,$AN594)&lt;$AO594),"対象月に子が2歳到達済／","")&amp;IF(AND($H594&lt;&gt;"",INDEX(職員マスタ!$B$6:$B$405,$AN594)&lt;&gt;"",SUBSTITUTE(SUBSTITUTE($H594," ","")," ","")&lt;&gt;SUBSTITUTE(SUBSTITUTE(INDEX(職員マスタ!$B$6:$B$405,$AN594)," ","")," ","")),"氏名がマスタと相違／","")&amp;IF(AND($Q594&lt;&gt;"",INDEX(職員マスタ!$E$6:$E$405,$AN594)&lt;&gt;"",$Q594&lt;&gt;INDEX(職員マスタ!$E$6:$E$405,$AN594)),"子の生年月日がマスタと相違／","")&amp;IF(AND($L594&lt;&gt;"",INDEX(職員マスタ!$G$6:$G$405,$AN594)&lt;&gt;"",$L594&lt;&gt;INDEX(職員マスタ!$G$6:$G$405,$AN594)),"時短開始日がマスタと相違／","")&amp;IF(AND($M594&lt;&gt;"",INDEX(職員マスタ!$H$6:$H$405,$AN594)&lt;&gt;"",$M594&lt;&gt;INDEX(職員マスタ!$H$6:$H$405,$AN594)),"時短終了日がマスタと相違／","")))&amp;IF(AND($B594&lt;&gt;"",$E594=""),"報酬額が未入力／","")&amp;IF(N($U594)&gt;0,"申請書に入力エラーが残っています／","")&amp;IF(AND($B594&lt;&gt;"",$AO594&lt;&gt;""),IF(COUNTIFS($B$6:$B$3005,$B594,$C$6:$C$3005,$C594,$D$6:$D$3005,$D594)&gt;1,"同じ月の請求が重複しています／",""),"")&amp;IF(AND(N($E594)&gt;0,$Z594&lt;&gt;"",$Z594&lt;&gt;"×",$AC594=0,$AB594=""),"計算額が下限以下のため不支給／",""))</f>
        <v/>
      </c>
      <c r="AL594" s="12" t="n"/>
      <c r="AM594" s="14">
        <f>IF($AD594="保留中",COUNTIF($AD$6:$AD594,"保留中"),"")</f>
        <v/>
      </c>
      <c r="AN594" s="14">
        <f>IF($AO594="","",IF(SUMPRODUCT(MAX((職員マスタ!$A$6:$A$405=$B594)*(((職員マスタ!$G$6:$G$405="")+(職員マスタ!$G$6:$G$405&lt;=EOMONTH($AO594,0)))&gt;0)*(((職員マスタ!$H$6:$H$405="")+(職員マスタ!$H$6:$H$405&gt;=$AO594))&gt;0)*(ROW(職員マスタ!$A$6:$A$405)-5)))&gt;0,SUMPRODUCT(MAX((職員マスタ!$A$6:$A$405=$B594)*(((職員マスタ!$G$6:$G$405="")+(職員マスタ!$G$6:$G$405&lt;=EOMONTH($AO594,0)))&gt;0)*(((職員マスタ!$H$6:$H$405="")+(職員マスタ!$H$6:$H$405&gt;=$AO594))&gt;0)*(ROW(職員マスタ!$A$6:$A$405)-5))),IFERROR(MATCH($B594,職員マスタ!$A$6:$A$405,0),"")))</f>
        <v/>
      </c>
      <c r="AO594" s="16">
        <f>IF(OR($B594="",$C594="",$D594=""),"",DATE($C594+2018,$D594,1))</f>
        <v/>
      </c>
    </row>
    <row r="595">
      <c r="A595" s="11" t="n"/>
      <c r="B595" s="12" t="n"/>
      <c r="C595" s="12" t="n"/>
      <c r="D595" s="12" t="n"/>
      <c r="E595" s="13" t="n"/>
      <c r="F595" s="12" t="n"/>
      <c r="G595" s="13" t="n"/>
      <c r="H595" s="12" t="n"/>
      <c r="I595" s="12" t="n"/>
      <c r="J595" s="12" t="n"/>
      <c r="K595" s="12" t="n"/>
      <c r="L595" s="11" t="n"/>
      <c r="M595" s="11" t="n"/>
      <c r="N595" s="11" t="n"/>
      <c r="O595" s="11" t="n"/>
      <c r="P595" s="12" t="n"/>
      <c r="Q595" s="11" t="n"/>
      <c r="R595" s="12" t="n"/>
      <c r="S595" s="11" t="n"/>
      <c r="T595" s="12" t="n"/>
      <c r="U595" s="12" t="n"/>
      <c r="V595" s="14">
        <f>IF($AN595="",IF($B595="","",$H595),IF(INDEX(職員マスタ!$B$6:$B$405,$AN595)="",$H595,INDEX(職員マスタ!$B$6:$B$405,$AN595)))</f>
        <v/>
      </c>
      <c r="W595" s="14">
        <f>IF($AN595="",IF($B595="","",$R595),IF(INDEX(職員マスタ!$C$6:$C$405,$AN595)="",$R595,INDEX(職員マスタ!$C$6:$C$405,$AN595)))</f>
        <v/>
      </c>
      <c r="X595" s="14">
        <f>IF($AO595="","","R"&amp;$C595&amp;"."&amp;$D595)</f>
        <v/>
      </c>
      <c r="Y595" s="15">
        <f>IF($AN595="","",IF(INDEX(職員マスタ!$K$6:$K$405,$AN595)="","",INDEX(職員マスタ!$K$6:$K$405,$AN595)))</f>
        <v/>
      </c>
      <c r="Z595" s="14">
        <f>IF(OR($E595="",$Y595=""),"",IF($E595&gt;=$Y595,"×",IF($E595&gt;=$Y595*設定!$C$5,"△","○")))</f>
        <v/>
      </c>
      <c r="AA595" s="15">
        <f>IF($Z595="","",IF($Z595="×",0,IF($Z595="○",ROUNDDOWN($E595*設定!$C$4,0),ROUNDDOWN($E595*ROUND((9*$Y595-9*$E595)/(10*$E595),4),0))))</f>
        <v/>
      </c>
      <c r="AB595" s="13" t="n"/>
      <c r="AC595" s="15">
        <f>IF($B595="","",IF($AB595&lt;&gt;"",$AB595,IF($AA595="","",IF($AA595&lt;=設定!$C$3,0,$AA595))))</f>
        <v/>
      </c>
      <c r="AD595" s="14">
        <f>IF($B595="","",IF(AND($AE595&lt;&gt;"",$AG595="",$AJ595=""),"保留中",IF($AJ595&lt;&gt;"",IF(N($AC595)&gt;0,"支給済","不支給"),IF($AC595="","要確認",IF($AC595=0,"不支給","未処理")))))</f>
        <v/>
      </c>
      <c r="AE595" s="12" t="n"/>
      <c r="AF595" s="11" t="n"/>
      <c r="AG595" s="11" t="n"/>
      <c r="AH595" s="11" t="n"/>
      <c r="AI595" s="14">
        <f>IF(AND($AD595="保留中",$AF595&lt;&gt;""),TODAY()-$AF595,"")</f>
        <v/>
      </c>
      <c r="AJ595" s="12" t="n"/>
      <c r="AK595" s="14">
        <f>IF($B595="","",IF($AO595="","対象年月が未入力／","")&amp;IF($B595="","",IF($AN595="","職員マスタに未登録の職員番号／",IF($Y595="","標準報酬月額が未登録／","")&amp;IF(AND($AO595&lt;&gt;"",OR(AND(INDEX(職員マスタ!$G$6:$G$405,$AN595)&lt;&gt;"",INDEX(職員マスタ!$G$6:$G$405,$AN595)&gt;EOMONTH($AO595,0)),AND(INDEX(職員マスタ!$H$6:$H$405,$AN595)&lt;&gt;"",INDEX(職員マスタ!$H$6:$H$405,$AN595)&lt;$AO595))),"対象月が時短期間外／","")&amp;IF(AND(INDEX(職員マスタ!$F$6:$F$405,$AN595)&lt;&gt;"",$AO595&lt;&gt;"",INDEX(職員マスタ!$F$6:$F$405,$AN595)&lt;$AO595),"対象月に子が2歳到達済／","")&amp;IF(AND($H595&lt;&gt;"",INDEX(職員マスタ!$B$6:$B$405,$AN595)&lt;&gt;"",SUBSTITUTE(SUBSTITUTE($H595," ","")," ","")&lt;&gt;SUBSTITUTE(SUBSTITUTE(INDEX(職員マスタ!$B$6:$B$405,$AN595)," ","")," ","")),"氏名がマスタと相違／","")&amp;IF(AND($Q595&lt;&gt;"",INDEX(職員マスタ!$E$6:$E$405,$AN595)&lt;&gt;"",$Q595&lt;&gt;INDEX(職員マスタ!$E$6:$E$405,$AN595)),"子の生年月日がマスタと相違／","")&amp;IF(AND($L595&lt;&gt;"",INDEX(職員マスタ!$G$6:$G$405,$AN595)&lt;&gt;"",$L595&lt;&gt;INDEX(職員マスタ!$G$6:$G$405,$AN595)),"時短開始日がマスタと相違／","")&amp;IF(AND($M595&lt;&gt;"",INDEX(職員マスタ!$H$6:$H$405,$AN595)&lt;&gt;"",$M595&lt;&gt;INDEX(職員マスタ!$H$6:$H$405,$AN595)),"時短終了日がマスタと相違／","")))&amp;IF(AND($B595&lt;&gt;"",$E595=""),"報酬額が未入力／","")&amp;IF(N($U595)&gt;0,"申請書に入力エラーが残っています／","")&amp;IF(AND($B595&lt;&gt;"",$AO595&lt;&gt;""),IF(COUNTIFS($B$6:$B$3005,$B595,$C$6:$C$3005,$C595,$D$6:$D$3005,$D595)&gt;1,"同じ月の請求が重複しています／",""),"")&amp;IF(AND(N($E595)&gt;0,$Z595&lt;&gt;"",$Z595&lt;&gt;"×",$AC595=0,$AB595=""),"計算額が下限以下のため不支給／",""))</f>
        <v/>
      </c>
      <c r="AL595" s="12" t="n"/>
      <c r="AM595" s="14">
        <f>IF($AD595="保留中",COUNTIF($AD$6:$AD595,"保留中"),"")</f>
        <v/>
      </c>
      <c r="AN595" s="14">
        <f>IF($AO595="","",IF(SUMPRODUCT(MAX((職員マスタ!$A$6:$A$405=$B595)*(((職員マスタ!$G$6:$G$405="")+(職員マスタ!$G$6:$G$405&lt;=EOMONTH($AO595,0)))&gt;0)*(((職員マスタ!$H$6:$H$405="")+(職員マスタ!$H$6:$H$405&gt;=$AO595))&gt;0)*(ROW(職員マスタ!$A$6:$A$405)-5)))&gt;0,SUMPRODUCT(MAX((職員マスタ!$A$6:$A$405=$B595)*(((職員マスタ!$G$6:$G$405="")+(職員マスタ!$G$6:$G$405&lt;=EOMONTH($AO595,0)))&gt;0)*(((職員マスタ!$H$6:$H$405="")+(職員マスタ!$H$6:$H$405&gt;=$AO595))&gt;0)*(ROW(職員マスタ!$A$6:$A$405)-5))),IFERROR(MATCH($B595,職員マスタ!$A$6:$A$405,0),"")))</f>
        <v/>
      </c>
      <c r="AO595" s="16">
        <f>IF(OR($B595="",$C595="",$D595=""),"",DATE($C595+2018,$D595,1))</f>
        <v/>
      </c>
    </row>
    <row r="596">
      <c r="A596" s="11" t="n"/>
      <c r="B596" s="12" t="n"/>
      <c r="C596" s="12" t="n"/>
      <c r="D596" s="12" t="n"/>
      <c r="E596" s="13" t="n"/>
      <c r="F596" s="12" t="n"/>
      <c r="G596" s="13" t="n"/>
      <c r="H596" s="12" t="n"/>
      <c r="I596" s="12" t="n"/>
      <c r="J596" s="12" t="n"/>
      <c r="K596" s="12" t="n"/>
      <c r="L596" s="11" t="n"/>
      <c r="M596" s="11" t="n"/>
      <c r="N596" s="11" t="n"/>
      <c r="O596" s="11" t="n"/>
      <c r="P596" s="12" t="n"/>
      <c r="Q596" s="11" t="n"/>
      <c r="R596" s="12" t="n"/>
      <c r="S596" s="11" t="n"/>
      <c r="T596" s="12" t="n"/>
      <c r="U596" s="12" t="n"/>
      <c r="V596" s="14">
        <f>IF($AN596="",IF($B596="","",$H596),IF(INDEX(職員マスタ!$B$6:$B$405,$AN596)="",$H596,INDEX(職員マスタ!$B$6:$B$405,$AN596)))</f>
        <v/>
      </c>
      <c r="W596" s="14">
        <f>IF($AN596="",IF($B596="","",$R596),IF(INDEX(職員マスタ!$C$6:$C$405,$AN596)="",$R596,INDEX(職員マスタ!$C$6:$C$405,$AN596)))</f>
        <v/>
      </c>
      <c r="X596" s="14">
        <f>IF($AO596="","","R"&amp;$C596&amp;"."&amp;$D596)</f>
        <v/>
      </c>
      <c r="Y596" s="15">
        <f>IF($AN596="","",IF(INDEX(職員マスタ!$K$6:$K$405,$AN596)="","",INDEX(職員マスタ!$K$6:$K$405,$AN596)))</f>
        <v/>
      </c>
      <c r="Z596" s="14">
        <f>IF(OR($E596="",$Y596=""),"",IF($E596&gt;=$Y596,"×",IF($E596&gt;=$Y596*設定!$C$5,"△","○")))</f>
        <v/>
      </c>
      <c r="AA596" s="15">
        <f>IF($Z596="","",IF($Z596="×",0,IF($Z596="○",ROUNDDOWN($E596*設定!$C$4,0),ROUNDDOWN($E596*ROUND((9*$Y596-9*$E596)/(10*$E596),4),0))))</f>
        <v/>
      </c>
      <c r="AB596" s="13" t="n"/>
      <c r="AC596" s="15">
        <f>IF($B596="","",IF($AB596&lt;&gt;"",$AB596,IF($AA596="","",IF($AA596&lt;=設定!$C$3,0,$AA596))))</f>
        <v/>
      </c>
      <c r="AD596" s="14">
        <f>IF($B596="","",IF(AND($AE596&lt;&gt;"",$AG596="",$AJ596=""),"保留中",IF($AJ596&lt;&gt;"",IF(N($AC596)&gt;0,"支給済","不支給"),IF($AC596="","要確認",IF($AC596=0,"不支給","未処理")))))</f>
        <v/>
      </c>
      <c r="AE596" s="12" t="n"/>
      <c r="AF596" s="11" t="n"/>
      <c r="AG596" s="11" t="n"/>
      <c r="AH596" s="11" t="n"/>
      <c r="AI596" s="14">
        <f>IF(AND($AD596="保留中",$AF596&lt;&gt;""),TODAY()-$AF596,"")</f>
        <v/>
      </c>
      <c r="AJ596" s="12" t="n"/>
      <c r="AK596" s="14">
        <f>IF($B596="","",IF($AO596="","対象年月が未入力／","")&amp;IF($B596="","",IF($AN596="","職員マスタに未登録の職員番号／",IF($Y596="","標準報酬月額が未登録／","")&amp;IF(AND($AO596&lt;&gt;"",OR(AND(INDEX(職員マスタ!$G$6:$G$405,$AN596)&lt;&gt;"",INDEX(職員マスタ!$G$6:$G$405,$AN596)&gt;EOMONTH($AO596,0)),AND(INDEX(職員マスタ!$H$6:$H$405,$AN596)&lt;&gt;"",INDEX(職員マスタ!$H$6:$H$405,$AN596)&lt;$AO596))),"対象月が時短期間外／","")&amp;IF(AND(INDEX(職員マスタ!$F$6:$F$405,$AN596)&lt;&gt;"",$AO596&lt;&gt;"",INDEX(職員マスタ!$F$6:$F$405,$AN596)&lt;$AO596),"対象月に子が2歳到達済／","")&amp;IF(AND($H596&lt;&gt;"",INDEX(職員マスタ!$B$6:$B$405,$AN596)&lt;&gt;"",SUBSTITUTE(SUBSTITUTE($H596," ","")," ","")&lt;&gt;SUBSTITUTE(SUBSTITUTE(INDEX(職員マスタ!$B$6:$B$405,$AN596)," ","")," ","")),"氏名がマスタと相違／","")&amp;IF(AND($Q596&lt;&gt;"",INDEX(職員マスタ!$E$6:$E$405,$AN596)&lt;&gt;"",$Q596&lt;&gt;INDEX(職員マスタ!$E$6:$E$405,$AN596)),"子の生年月日がマスタと相違／","")&amp;IF(AND($L596&lt;&gt;"",INDEX(職員マスタ!$G$6:$G$405,$AN596)&lt;&gt;"",$L596&lt;&gt;INDEX(職員マスタ!$G$6:$G$405,$AN596)),"時短開始日がマスタと相違／","")&amp;IF(AND($M596&lt;&gt;"",INDEX(職員マスタ!$H$6:$H$405,$AN596)&lt;&gt;"",$M596&lt;&gt;INDEX(職員マスタ!$H$6:$H$405,$AN596)),"時短終了日がマスタと相違／","")))&amp;IF(AND($B596&lt;&gt;"",$E596=""),"報酬額が未入力／","")&amp;IF(N($U596)&gt;0,"申請書に入力エラーが残っています／","")&amp;IF(AND($B596&lt;&gt;"",$AO596&lt;&gt;""),IF(COUNTIFS($B$6:$B$3005,$B596,$C$6:$C$3005,$C596,$D$6:$D$3005,$D596)&gt;1,"同じ月の請求が重複しています／",""),"")&amp;IF(AND(N($E596)&gt;0,$Z596&lt;&gt;"",$Z596&lt;&gt;"×",$AC596=0,$AB596=""),"計算額が下限以下のため不支給／",""))</f>
        <v/>
      </c>
      <c r="AL596" s="12" t="n"/>
      <c r="AM596" s="14">
        <f>IF($AD596="保留中",COUNTIF($AD$6:$AD596,"保留中"),"")</f>
        <v/>
      </c>
      <c r="AN596" s="14">
        <f>IF($AO596="","",IF(SUMPRODUCT(MAX((職員マスタ!$A$6:$A$405=$B596)*(((職員マスタ!$G$6:$G$405="")+(職員マスタ!$G$6:$G$405&lt;=EOMONTH($AO596,0)))&gt;0)*(((職員マスタ!$H$6:$H$405="")+(職員マスタ!$H$6:$H$405&gt;=$AO596))&gt;0)*(ROW(職員マスタ!$A$6:$A$405)-5)))&gt;0,SUMPRODUCT(MAX((職員マスタ!$A$6:$A$405=$B596)*(((職員マスタ!$G$6:$G$405="")+(職員マスタ!$G$6:$G$405&lt;=EOMONTH($AO596,0)))&gt;0)*(((職員マスタ!$H$6:$H$405="")+(職員マスタ!$H$6:$H$405&gt;=$AO596))&gt;0)*(ROW(職員マスタ!$A$6:$A$405)-5))),IFERROR(MATCH($B596,職員マスタ!$A$6:$A$405,0),"")))</f>
        <v/>
      </c>
      <c r="AO596" s="16">
        <f>IF(OR($B596="",$C596="",$D596=""),"",DATE($C596+2018,$D596,1))</f>
        <v/>
      </c>
    </row>
    <row r="597">
      <c r="A597" s="11" t="n"/>
      <c r="B597" s="12" t="n"/>
      <c r="C597" s="12" t="n"/>
      <c r="D597" s="12" t="n"/>
      <c r="E597" s="13" t="n"/>
      <c r="F597" s="12" t="n"/>
      <c r="G597" s="13" t="n"/>
      <c r="H597" s="12" t="n"/>
      <c r="I597" s="12" t="n"/>
      <c r="J597" s="12" t="n"/>
      <c r="K597" s="12" t="n"/>
      <c r="L597" s="11" t="n"/>
      <c r="M597" s="11" t="n"/>
      <c r="N597" s="11" t="n"/>
      <c r="O597" s="11" t="n"/>
      <c r="P597" s="12" t="n"/>
      <c r="Q597" s="11" t="n"/>
      <c r="R597" s="12" t="n"/>
      <c r="S597" s="11" t="n"/>
      <c r="T597" s="12" t="n"/>
      <c r="U597" s="12" t="n"/>
      <c r="V597" s="14">
        <f>IF($AN597="",IF($B597="","",$H597),IF(INDEX(職員マスタ!$B$6:$B$405,$AN597)="",$H597,INDEX(職員マスタ!$B$6:$B$405,$AN597)))</f>
        <v/>
      </c>
      <c r="W597" s="14">
        <f>IF($AN597="",IF($B597="","",$R597),IF(INDEX(職員マスタ!$C$6:$C$405,$AN597)="",$R597,INDEX(職員マスタ!$C$6:$C$405,$AN597)))</f>
        <v/>
      </c>
      <c r="X597" s="14">
        <f>IF($AO597="","","R"&amp;$C597&amp;"."&amp;$D597)</f>
        <v/>
      </c>
      <c r="Y597" s="15">
        <f>IF($AN597="","",IF(INDEX(職員マスタ!$K$6:$K$405,$AN597)="","",INDEX(職員マスタ!$K$6:$K$405,$AN597)))</f>
        <v/>
      </c>
      <c r="Z597" s="14">
        <f>IF(OR($E597="",$Y597=""),"",IF($E597&gt;=$Y597,"×",IF($E597&gt;=$Y597*設定!$C$5,"△","○")))</f>
        <v/>
      </c>
      <c r="AA597" s="15">
        <f>IF($Z597="","",IF($Z597="×",0,IF($Z597="○",ROUNDDOWN($E597*設定!$C$4,0),ROUNDDOWN($E597*ROUND((9*$Y597-9*$E597)/(10*$E597),4),0))))</f>
        <v/>
      </c>
      <c r="AB597" s="13" t="n"/>
      <c r="AC597" s="15">
        <f>IF($B597="","",IF($AB597&lt;&gt;"",$AB597,IF($AA597="","",IF($AA597&lt;=設定!$C$3,0,$AA597))))</f>
        <v/>
      </c>
      <c r="AD597" s="14">
        <f>IF($B597="","",IF(AND($AE597&lt;&gt;"",$AG597="",$AJ597=""),"保留中",IF($AJ597&lt;&gt;"",IF(N($AC597)&gt;0,"支給済","不支給"),IF($AC597="","要確認",IF($AC597=0,"不支給","未処理")))))</f>
        <v/>
      </c>
      <c r="AE597" s="12" t="n"/>
      <c r="AF597" s="11" t="n"/>
      <c r="AG597" s="11" t="n"/>
      <c r="AH597" s="11" t="n"/>
      <c r="AI597" s="14">
        <f>IF(AND($AD597="保留中",$AF597&lt;&gt;""),TODAY()-$AF597,"")</f>
        <v/>
      </c>
      <c r="AJ597" s="12" t="n"/>
      <c r="AK597" s="14">
        <f>IF($B597="","",IF($AO597="","対象年月が未入力／","")&amp;IF($B597="","",IF($AN597="","職員マスタに未登録の職員番号／",IF($Y597="","標準報酬月額が未登録／","")&amp;IF(AND($AO597&lt;&gt;"",OR(AND(INDEX(職員マスタ!$G$6:$G$405,$AN597)&lt;&gt;"",INDEX(職員マスタ!$G$6:$G$405,$AN597)&gt;EOMONTH($AO597,0)),AND(INDEX(職員マスタ!$H$6:$H$405,$AN597)&lt;&gt;"",INDEX(職員マスタ!$H$6:$H$405,$AN597)&lt;$AO597))),"対象月が時短期間外／","")&amp;IF(AND(INDEX(職員マスタ!$F$6:$F$405,$AN597)&lt;&gt;"",$AO597&lt;&gt;"",INDEX(職員マスタ!$F$6:$F$405,$AN597)&lt;$AO597),"対象月に子が2歳到達済／","")&amp;IF(AND($H597&lt;&gt;"",INDEX(職員マスタ!$B$6:$B$405,$AN597)&lt;&gt;"",SUBSTITUTE(SUBSTITUTE($H597," ","")," ","")&lt;&gt;SUBSTITUTE(SUBSTITUTE(INDEX(職員マスタ!$B$6:$B$405,$AN597)," ","")," ","")),"氏名がマスタと相違／","")&amp;IF(AND($Q597&lt;&gt;"",INDEX(職員マスタ!$E$6:$E$405,$AN597)&lt;&gt;"",$Q597&lt;&gt;INDEX(職員マスタ!$E$6:$E$405,$AN597)),"子の生年月日がマスタと相違／","")&amp;IF(AND($L597&lt;&gt;"",INDEX(職員マスタ!$G$6:$G$405,$AN597)&lt;&gt;"",$L597&lt;&gt;INDEX(職員マスタ!$G$6:$G$405,$AN597)),"時短開始日がマスタと相違／","")&amp;IF(AND($M597&lt;&gt;"",INDEX(職員マスタ!$H$6:$H$405,$AN597)&lt;&gt;"",$M597&lt;&gt;INDEX(職員マスタ!$H$6:$H$405,$AN597)),"時短終了日がマスタと相違／","")))&amp;IF(AND($B597&lt;&gt;"",$E597=""),"報酬額が未入力／","")&amp;IF(N($U597)&gt;0,"申請書に入力エラーが残っています／","")&amp;IF(AND($B597&lt;&gt;"",$AO597&lt;&gt;""),IF(COUNTIFS($B$6:$B$3005,$B597,$C$6:$C$3005,$C597,$D$6:$D$3005,$D597)&gt;1,"同じ月の請求が重複しています／",""),"")&amp;IF(AND(N($E597)&gt;0,$Z597&lt;&gt;"",$Z597&lt;&gt;"×",$AC597=0,$AB597=""),"計算額が下限以下のため不支給／",""))</f>
        <v/>
      </c>
      <c r="AL597" s="12" t="n"/>
      <c r="AM597" s="14">
        <f>IF($AD597="保留中",COUNTIF($AD$6:$AD597,"保留中"),"")</f>
        <v/>
      </c>
      <c r="AN597" s="14">
        <f>IF($AO597="","",IF(SUMPRODUCT(MAX((職員マスタ!$A$6:$A$405=$B597)*(((職員マスタ!$G$6:$G$405="")+(職員マスタ!$G$6:$G$405&lt;=EOMONTH($AO597,0)))&gt;0)*(((職員マスタ!$H$6:$H$405="")+(職員マスタ!$H$6:$H$405&gt;=$AO597))&gt;0)*(ROW(職員マスタ!$A$6:$A$405)-5)))&gt;0,SUMPRODUCT(MAX((職員マスタ!$A$6:$A$405=$B597)*(((職員マスタ!$G$6:$G$405="")+(職員マスタ!$G$6:$G$405&lt;=EOMONTH($AO597,0)))&gt;0)*(((職員マスタ!$H$6:$H$405="")+(職員マスタ!$H$6:$H$405&gt;=$AO597))&gt;0)*(ROW(職員マスタ!$A$6:$A$405)-5))),IFERROR(MATCH($B597,職員マスタ!$A$6:$A$405,0),"")))</f>
        <v/>
      </c>
      <c r="AO597" s="16">
        <f>IF(OR($B597="",$C597="",$D597=""),"",DATE($C597+2018,$D597,1))</f>
        <v/>
      </c>
    </row>
    <row r="598">
      <c r="A598" s="11" t="n"/>
      <c r="B598" s="12" t="n"/>
      <c r="C598" s="12" t="n"/>
      <c r="D598" s="12" t="n"/>
      <c r="E598" s="13" t="n"/>
      <c r="F598" s="12" t="n"/>
      <c r="G598" s="13" t="n"/>
      <c r="H598" s="12" t="n"/>
      <c r="I598" s="12" t="n"/>
      <c r="J598" s="12" t="n"/>
      <c r="K598" s="12" t="n"/>
      <c r="L598" s="11" t="n"/>
      <c r="M598" s="11" t="n"/>
      <c r="N598" s="11" t="n"/>
      <c r="O598" s="11" t="n"/>
      <c r="P598" s="12" t="n"/>
      <c r="Q598" s="11" t="n"/>
      <c r="R598" s="12" t="n"/>
      <c r="S598" s="11" t="n"/>
      <c r="T598" s="12" t="n"/>
      <c r="U598" s="12" t="n"/>
      <c r="V598" s="14">
        <f>IF($AN598="",IF($B598="","",$H598),IF(INDEX(職員マスタ!$B$6:$B$405,$AN598)="",$H598,INDEX(職員マスタ!$B$6:$B$405,$AN598)))</f>
        <v/>
      </c>
      <c r="W598" s="14">
        <f>IF($AN598="",IF($B598="","",$R598),IF(INDEX(職員マスタ!$C$6:$C$405,$AN598)="",$R598,INDEX(職員マスタ!$C$6:$C$405,$AN598)))</f>
        <v/>
      </c>
      <c r="X598" s="14">
        <f>IF($AO598="","","R"&amp;$C598&amp;"."&amp;$D598)</f>
        <v/>
      </c>
      <c r="Y598" s="15">
        <f>IF($AN598="","",IF(INDEX(職員マスタ!$K$6:$K$405,$AN598)="","",INDEX(職員マスタ!$K$6:$K$405,$AN598)))</f>
        <v/>
      </c>
      <c r="Z598" s="14">
        <f>IF(OR($E598="",$Y598=""),"",IF($E598&gt;=$Y598,"×",IF($E598&gt;=$Y598*設定!$C$5,"△","○")))</f>
        <v/>
      </c>
      <c r="AA598" s="15">
        <f>IF($Z598="","",IF($Z598="×",0,IF($Z598="○",ROUNDDOWN($E598*設定!$C$4,0),ROUNDDOWN($E598*ROUND((9*$Y598-9*$E598)/(10*$E598),4),0))))</f>
        <v/>
      </c>
      <c r="AB598" s="13" t="n"/>
      <c r="AC598" s="15">
        <f>IF($B598="","",IF($AB598&lt;&gt;"",$AB598,IF($AA598="","",IF($AA598&lt;=設定!$C$3,0,$AA598))))</f>
        <v/>
      </c>
      <c r="AD598" s="14">
        <f>IF($B598="","",IF(AND($AE598&lt;&gt;"",$AG598="",$AJ598=""),"保留中",IF($AJ598&lt;&gt;"",IF(N($AC598)&gt;0,"支給済","不支給"),IF($AC598="","要確認",IF($AC598=0,"不支給","未処理")))))</f>
        <v/>
      </c>
      <c r="AE598" s="12" t="n"/>
      <c r="AF598" s="11" t="n"/>
      <c r="AG598" s="11" t="n"/>
      <c r="AH598" s="11" t="n"/>
      <c r="AI598" s="14">
        <f>IF(AND($AD598="保留中",$AF598&lt;&gt;""),TODAY()-$AF598,"")</f>
        <v/>
      </c>
      <c r="AJ598" s="12" t="n"/>
      <c r="AK598" s="14">
        <f>IF($B598="","",IF($AO598="","対象年月が未入力／","")&amp;IF($B598="","",IF($AN598="","職員マスタに未登録の職員番号／",IF($Y598="","標準報酬月額が未登録／","")&amp;IF(AND($AO598&lt;&gt;"",OR(AND(INDEX(職員マスタ!$G$6:$G$405,$AN598)&lt;&gt;"",INDEX(職員マスタ!$G$6:$G$405,$AN598)&gt;EOMONTH($AO598,0)),AND(INDEX(職員マスタ!$H$6:$H$405,$AN598)&lt;&gt;"",INDEX(職員マスタ!$H$6:$H$405,$AN598)&lt;$AO598))),"対象月が時短期間外／","")&amp;IF(AND(INDEX(職員マスタ!$F$6:$F$405,$AN598)&lt;&gt;"",$AO598&lt;&gt;"",INDEX(職員マスタ!$F$6:$F$405,$AN598)&lt;$AO598),"対象月に子が2歳到達済／","")&amp;IF(AND($H598&lt;&gt;"",INDEX(職員マスタ!$B$6:$B$405,$AN598)&lt;&gt;"",SUBSTITUTE(SUBSTITUTE($H598," ","")," ","")&lt;&gt;SUBSTITUTE(SUBSTITUTE(INDEX(職員マスタ!$B$6:$B$405,$AN598)," ","")," ","")),"氏名がマスタと相違／","")&amp;IF(AND($Q598&lt;&gt;"",INDEX(職員マスタ!$E$6:$E$405,$AN598)&lt;&gt;"",$Q598&lt;&gt;INDEX(職員マスタ!$E$6:$E$405,$AN598)),"子の生年月日がマスタと相違／","")&amp;IF(AND($L598&lt;&gt;"",INDEX(職員マスタ!$G$6:$G$405,$AN598)&lt;&gt;"",$L598&lt;&gt;INDEX(職員マスタ!$G$6:$G$405,$AN598)),"時短開始日がマスタと相違／","")&amp;IF(AND($M598&lt;&gt;"",INDEX(職員マスタ!$H$6:$H$405,$AN598)&lt;&gt;"",$M598&lt;&gt;INDEX(職員マスタ!$H$6:$H$405,$AN598)),"時短終了日がマスタと相違／","")))&amp;IF(AND($B598&lt;&gt;"",$E598=""),"報酬額が未入力／","")&amp;IF(N($U598)&gt;0,"申請書に入力エラーが残っています／","")&amp;IF(AND($B598&lt;&gt;"",$AO598&lt;&gt;""),IF(COUNTIFS($B$6:$B$3005,$B598,$C$6:$C$3005,$C598,$D$6:$D$3005,$D598)&gt;1,"同じ月の請求が重複しています／",""),"")&amp;IF(AND(N($E598)&gt;0,$Z598&lt;&gt;"",$Z598&lt;&gt;"×",$AC598=0,$AB598=""),"計算額が下限以下のため不支給／",""))</f>
        <v/>
      </c>
      <c r="AL598" s="12" t="n"/>
      <c r="AM598" s="14">
        <f>IF($AD598="保留中",COUNTIF($AD$6:$AD598,"保留中"),"")</f>
        <v/>
      </c>
      <c r="AN598" s="14">
        <f>IF($AO598="","",IF(SUMPRODUCT(MAX((職員マスタ!$A$6:$A$405=$B598)*(((職員マスタ!$G$6:$G$405="")+(職員マスタ!$G$6:$G$405&lt;=EOMONTH($AO598,0)))&gt;0)*(((職員マスタ!$H$6:$H$405="")+(職員マスタ!$H$6:$H$405&gt;=$AO598))&gt;0)*(ROW(職員マスタ!$A$6:$A$405)-5)))&gt;0,SUMPRODUCT(MAX((職員マスタ!$A$6:$A$405=$B598)*(((職員マスタ!$G$6:$G$405="")+(職員マスタ!$G$6:$G$405&lt;=EOMONTH($AO598,0)))&gt;0)*(((職員マスタ!$H$6:$H$405="")+(職員マスタ!$H$6:$H$405&gt;=$AO598))&gt;0)*(ROW(職員マスタ!$A$6:$A$405)-5))),IFERROR(MATCH($B598,職員マスタ!$A$6:$A$405,0),"")))</f>
        <v/>
      </c>
      <c r="AO598" s="16">
        <f>IF(OR($B598="",$C598="",$D598=""),"",DATE($C598+2018,$D598,1))</f>
        <v/>
      </c>
    </row>
    <row r="599">
      <c r="A599" s="11" t="n"/>
      <c r="B599" s="12" t="n"/>
      <c r="C599" s="12" t="n"/>
      <c r="D599" s="12" t="n"/>
      <c r="E599" s="13" t="n"/>
      <c r="F599" s="12" t="n"/>
      <c r="G599" s="13" t="n"/>
      <c r="H599" s="12" t="n"/>
      <c r="I599" s="12" t="n"/>
      <c r="J599" s="12" t="n"/>
      <c r="K599" s="12" t="n"/>
      <c r="L599" s="11" t="n"/>
      <c r="M599" s="11" t="n"/>
      <c r="N599" s="11" t="n"/>
      <c r="O599" s="11" t="n"/>
      <c r="P599" s="12" t="n"/>
      <c r="Q599" s="11" t="n"/>
      <c r="R599" s="12" t="n"/>
      <c r="S599" s="11" t="n"/>
      <c r="T599" s="12" t="n"/>
      <c r="U599" s="12" t="n"/>
      <c r="V599" s="14">
        <f>IF($AN599="",IF($B599="","",$H599),IF(INDEX(職員マスタ!$B$6:$B$405,$AN599)="",$H599,INDEX(職員マスタ!$B$6:$B$405,$AN599)))</f>
        <v/>
      </c>
      <c r="W599" s="14">
        <f>IF($AN599="",IF($B599="","",$R599),IF(INDEX(職員マスタ!$C$6:$C$405,$AN599)="",$R599,INDEX(職員マスタ!$C$6:$C$405,$AN599)))</f>
        <v/>
      </c>
      <c r="X599" s="14">
        <f>IF($AO599="","","R"&amp;$C599&amp;"."&amp;$D599)</f>
        <v/>
      </c>
      <c r="Y599" s="15">
        <f>IF($AN599="","",IF(INDEX(職員マスタ!$K$6:$K$405,$AN599)="","",INDEX(職員マスタ!$K$6:$K$405,$AN599)))</f>
        <v/>
      </c>
      <c r="Z599" s="14">
        <f>IF(OR($E599="",$Y599=""),"",IF($E599&gt;=$Y599,"×",IF($E599&gt;=$Y599*設定!$C$5,"△","○")))</f>
        <v/>
      </c>
      <c r="AA599" s="15">
        <f>IF($Z599="","",IF($Z599="×",0,IF($Z599="○",ROUNDDOWN($E599*設定!$C$4,0),ROUNDDOWN($E599*ROUND((9*$Y599-9*$E599)/(10*$E599),4),0))))</f>
        <v/>
      </c>
      <c r="AB599" s="13" t="n"/>
      <c r="AC599" s="15">
        <f>IF($B599="","",IF($AB599&lt;&gt;"",$AB599,IF($AA599="","",IF($AA599&lt;=設定!$C$3,0,$AA599))))</f>
        <v/>
      </c>
      <c r="AD599" s="14">
        <f>IF($B599="","",IF(AND($AE599&lt;&gt;"",$AG599="",$AJ599=""),"保留中",IF($AJ599&lt;&gt;"",IF(N($AC599)&gt;0,"支給済","不支給"),IF($AC599="","要確認",IF($AC599=0,"不支給","未処理")))))</f>
        <v/>
      </c>
      <c r="AE599" s="12" t="n"/>
      <c r="AF599" s="11" t="n"/>
      <c r="AG599" s="11" t="n"/>
      <c r="AH599" s="11" t="n"/>
      <c r="AI599" s="14">
        <f>IF(AND($AD599="保留中",$AF599&lt;&gt;""),TODAY()-$AF599,"")</f>
        <v/>
      </c>
      <c r="AJ599" s="12" t="n"/>
      <c r="AK599" s="14">
        <f>IF($B599="","",IF($AO599="","対象年月が未入力／","")&amp;IF($B599="","",IF($AN599="","職員マスタに未登録の職員番号／",IF($Y599="","標準報酬月額が未登録／","")&amp;IF(AND($AO599&lt;&gt;"",OR(AND(INDEX(職員マスタ!$G$6:$G$405,$AN599)&lt;&gt;"",INDEX(職員マスタ!$G$6:$G$405,$AN599)&gt;EOMONTH($AO599,0)),AND(INDEX(職員マスタ!$H$6:$H$405,$AN599)&lt;&gt;"",INDEX(職員マスタ!$H$6:$H$405,$AN599)&lt;$AO599))),"対象月が時短期間外／","")&amp;IF(AND(INDEX(職員マスタ!$F$6:$F$405,$AN599)&lt;&gt;"",$AO599&lt;&gt;"",INDEX(職員マスタ!$F$6:$F$405,$AN599)&lt;$AO599),"対象月に子が2歳到達済／","")&amp;IF(AND($H599&lt;&gt;"",INDEX(職員マスタ!$B$6:$B$405,$AN599)&lt;&gt;"",SUBSTITUTE(SUBSTITUTE($H599," ","")," ","")&lt;&gt;SUBSTITUTE(SUBSTITUTE(INDEX(職員マスタ!$B$6:$B$405,$AN599)," ","")," ","")),"氏名がマスタと相違／","")&amp;IF(AND($Q599&lt;&gt;"",INDEX(職員マスタ!$E$6:$E$405,$AN599)&lt;&gt;"",$Q599&lt;&gt;INDEX(職員マスタ!$E$6:$E$405,$AN599)),"子の生年月日がマスタと相違／","")&amp;IF(AND($L599&lt;&gt;"",INDEX(職員マスタ!$G$6:$G$405,$AN599)&lt;&gt;"",$L599&lt;&gt;INDEX(職員マスタ!$G$6:$G$405,$AN599)),"時短開始日がマスタと相違／","")&amp;IF(AND($M599&lt;&gt;"",INDEX(職員マスタ!$H$6:$H$405,$AN599)&lt;&gt;"",$M599&lt;&gt;INDEX(職員マスタ!$H$6:$H$405,$AN599)),"時短終了日がマスタと相違／","")))&amp;IF(AND($B599&lt;&gt;"",$E599=""),"報酬額が未入力／","")&amp;IF(N($U599)&gt;0,"申請書に入力エラーが残っています／","")&amp;IF(AND($B599&lt;&gt;"",$AO599&lt;&gt;""),IF(COUNTIFS($B$6:$B$3005,$B599,$C$6:$C$3005,$C599,$D$6:$D$3005,$D599)&gt;1,"同じ月の請求が重複しています／",""),"")&amp;IF(AND(N($E599)&gt;0,$Z599&lt;&gt;"",$Z599&lt;&gt;"×",$AC599=0,$AB599=""),"計算額が下限以下のため不支給／",""))</f>
        <v/>
      </c>
      <c r="AL599" s="12" t="n"/>
      <c r="AM599" s="14">
        <f>IF($AD599="保留中",COUNTIF($AD$6:$AD599,"保留中"),"")</f>
        <v/>
      </c>
      <c r="AN599" s="14">
        <f>IF($AO599="","",IF(SUMPRODUCT(MAX((職員マスタ!$A$6:$A$405=$B599)*(((職員マスタ!$G$6:$G$405="")+(職員マスタ!$G$6:$G$405&lt;=EOMONTH($AO599,0)))&gt;0)*(((職員マスタ!$H$6:$H$405="")+(職員マスタ!$H$6:$H$405&gt;=$AO599))&gt;0)*(ROW(職員マスタ!$A$6:$A$405)-5)))&gt;0,SUMPRODUCT(MAX((職員マスタ!$A$6:$A$405=$B599)*(((職員マスタ!$G$6:$G$405="")+(職員マスタ!$G$6:$G$405&lt;=EOMONTH($AO599,0)))&gt;0)*(((職員マスタ!$H$6:$H$405="")+(職員マスタ!$H$6:$H$405&gt;=$AO599))&gt;0)*(ROW(職員マスタ!$A$6:$A$405)-5))),IFERROR(MATCH($B599,職員マスタ!$A$6:$A$405,0),"")))</f>
        <v/>
      </c>
      <c r="AO599" s="16">
        <f>IF(OR($B599="",$C599="",$D599=""),"",DATE($C599+2018,$D599,1))</f>
        <v/>
      </c>
    </row>
    <row r="600">
      <c r="A600" s="11" t="n"/>
      <c r="B600" s="12" t="n"/>
      <c r="C600" s="12" t="n"/>
      <c r="D600" s="12" t="n"/>
      <c r="E600" s="13" t="n"/>
      <c r="F600" s="12" t="n"/>
      <c r="G600" s="13" t="n"/>
      <c r="H600" s="12" t="n"/>
      <c r="I600" s="12" t="n"/>
      <c r="J600" s="12" t="n"/>
      <c r="K600" s="12" t="n"/>
      <c r="L600" s="11" t="n"/>
      <c r="M600" s="11" t="n"/>
      <c r="N600" s="11" t="n"/>
      <c r="O600" s="11" t="n"/>
      <c r="P600" s="12" t="n"/>
      <c r="Q600" s="11" t="n"/>
      <c r="R600" s="12" t="n"/>
      <c r="S600" s="11" t="n"/>
      <c r="T600" s="12" t="n"/>
      <c r="U600" s="12" t="n"/>
      <c r="V600" s="14">
        <f>IF($AN600="",IF($B600="","",$H600),IF(INDEX(職員マスタ!$B$6:$B$405,$AN600)="",$H600,INDEX(職員マスタ!$B$6:$B$405,$AN600)))</f>
        <v/>
      </c>
      <c r="W600" s="14">
        <f>IF($AN600="",IF($B600="","",$R600),IF(INDEX(職員マスタ!$C$6:$C$405,$AN600)="",$R600,INDEX(職員マスタ!$C$6:$C$405,$AN600)))</f>
        <v/>
      </c>
      <c r="X600" s="14">
        <f>IF($AO600="","","R"&amp;$C600&amp;"."&amp;$D600)</f>
        <v/>
      </c>
      <c r="Y600" s="15">
        <f>IF($AN600="","",IF(INDEX(職員マスタ!$K$6:$K$405,$AN600)="","",INDEX(職員マスタ!$K$6:$K$405,$AN600)))</f>
        <v/>
      </c>
      <c r="Z600" s="14">
        <f>IF(OR($E600="",$Y600=""),"",IF($E600&gt;=$Y600,"×",IF($E600&gt;=$Y600*設定!$C$5,"△","○")))</f>
        <v/>
      </c>
      <c r="AA600" s="15">
        <f>IF($Z600="","",IF($Z600="×",0,IF($Z600="○",ROUNDDOWN($E600*設定!$C$4,0),ROUNDDOWN($E600*ROUND((9*$Y600-9*$E600)/(10*$E600),4),0))))</f>
        <v/>
      </c>
      <c r="AB600" s="13" t="n"/>
      <c r="AC600" s="15">
        <f>IF($B600="","",IF($AB600&lt;&gt;"",$AB600,IF($AA600="","",IF($AA600&lt;=設定!$C$3,0,$AA600))))</f>
        <v/>
      </c>
      <c r="AD600" s="14">
        <f>IF($B600="","",IF(AND($AE600&lt;&gt;"",$AG600="",$AJ600=""),"保留中",IF($AJ600&lt;&gt;"",IF(N($AC600)&gt;0,"支給済","不支給"),IF($AC600="","要確認",IF($AC600=0,"不支給","未処理")))))</f>
        <v/>
      </c>
      <c r="AE600" s="12" t="n"/>
      <c r="AF600" s="11" t="n"/>
      <c r="AG600" s="11" t="n"/>
      <c r="AH600" s="11" t="n"/>
      <c r="AI600" s="14">
        <f>IF(AND($AD600="保留中",$AF600&lt;&gt;""),TODAY()-$AF600,"")</f>
        <v/>
      </c>
      <c r="AJ600" s="12" t="n"/>
      <c r="AK600" s="14">
        <f>IF($B600="","",IF($AO600="","対象年月が未入力／","")&amp;IF($B600="","",IF($AN600="","職員マスタに未登録の職員番号／",IF($Y600="","標準報酬月額が未登録／","")&amp;IF(AND($AO600&lt;&gt;"",OR(AND(INDEX(職員マスタ!$G$6:$G$405,$AN600)&lt;&gt;"",INDEX(職員マスタ!$G$6:$G$405,$AN600)&gt;EOMONTH($AO600,0)),AND(INDEX(職員マスタ!$H$6:$H$405,$AN600)&lt;&gt;"",INDEX(職員マスタ!$H$6:$H$405,$AN600)&lt;$AO600))),"対象月が時短期間外／","")&amp;IF(AND(INDEX(職員マスタ!$F$6:$F$405,$AN600)&lt;&gt;"",$AO600&lt;&gt;"",INDEX(職員マスタ!$F$6:$F$405,$AN600)&lt;$AO600),"対象月に子が2歳到達済／","")&amp;IF(AND($H600&lt;&gt;"",INDEX(職員マスタ!$B$6:$B$405,$AN600)&lt;&gt;"",SUBSTITUTE(SUBSTITUTE($H600," ","")," ","")&lt;&gt;SUBSTITUTE(SUBSTITUTE(INDEX(職員マスタ!$B$6:$B$405,$AN600)," ","")," ","")),"氏名がマスタと相違／","")&amp;IF(AND($Q600&lt;&gt;"",INDEX(職員マスタ!$E$6:$E$405,$AN600)&lt;&gt;"",$Q600&lt;&gt;INDEX(職員マスタ!$E$6:$E$405,$AN600)),"子の生年月日がマスタと相違／","")&amp;IF(AND($L600&lt;&gt;"",INDEX(職員マスタ!$G$6:$G$405,$AN600)&lt;&gt;"",$L600&lt;&gt;INDEX(職員マスタ!$G$6:$G$405,$AN600)),"時短開始日がマスタと相違／","")&amp;IF(AND($M600&lt;&gt;"",INDEX(職員マスタ!$H$6:$H$405,$AN600)&lt;&gt;"",$M600&lt;&gt;INDEX(職員マスタ!$H$6:$H$405,$AN600)),"時短終了日がマスタと相違／","")))&amp;IF(AND($B600&lt;&gt;"",$E600=""),"報酬額が未入力／","")&amp;IF(N($U600)&gt;0,"申請書に入力エラーが残っています／","")&amp;IF(AND($B600&lt;&gt;"",$AO600&lt;&gt;""),IF(COUNTIFS($B$6:$B$3005,$B600,$C$6:$C$3005,$C600,$D$6:$D$3005,$D600)&gt;1,"同じ月の請求が重複しています／",""),"")&amp;IF(AND(N($E600)&gt;0,$Z600&lt;&gt;"",$Z600&lt;&gt;"×",$AC600=0,$AB600=""),"計算額が下限以下のため不支給／",""))</f>
        <v/>
      </c>
      <c r="AL600" s="12" t="n"/>
      <c r="AM600" s="14">
        <f>IF($AD600="保留中",COUNTIF($AD$6:$AD600,"保留中"),"")</f>
        <v/>
      </c>
      <c r="AN600" s="14">
        <f>IF($AO600="","",IF(SUMPRODUCT(MAX((職員マスタ!$A$6:$A$405=$B600)*(((職員マスタ!$G$6:$G$405="")+(職員マスタ!$G$6:$G$405&lt;=EOMONTH($AO600,0)))&gt;0)*(((職員マスタ!$H$6:$H$405="")+(職員マスタ!$H$6:$H$405&gt;=$AO600))&gt;0)*(ROW(職員マスタ!$A$6:$A$405)-5)))&gt;0,SUMPRODUCT(MAX((職員マスタ!$A$6:$A$405=$B600)*(((職員マスタ!$G$6:$G$405="")+(職員マスタ!$G$6:$G$405&lt;=EOMONTH($AO600,0)))&gt;0)*(((職員マスタ!$H$6:$H$405="")+(職員マスタ!$H$6:$H$405&gt;=$AO600))&gt;0)*(ROW(職員マスタ!$A$6:$A$405)-5))),IFERROR(MATCH($B600,職員マスタ!$A$6:$A$405,0),"")))</f>
        <v/>
      </c>
      <c r="AO600" s="16">
        <f>IF(OR($B600="",$C600="",$D600=""),"",DATE($C600+2018,$D600,1))</f>
        <v/>
      </c>
    </row>
    <row r="601">
      <c r="A601" s="11" t="n"/>
      <c r="B601" s="12" t="n"/>
      <c r="C601" s="12" t="n"/>
      <c r="D601" s="12" t="n"/>
      <c r="E601" s="13" t="n"/>
      <c r="F601" s="12" t="n"/>
      <c r="G601" s="13" t="n"/>
      <c r="H601" s="12" t="n"/>
      <c r="I601" s="12" t="n"/>
      <c r="J601" s="12" t="n"/>
      <c r="K601" s="12" t="n"/>
      <c r="L601" s="11" t="n"/>
      <c r="M601" s="11" t="n"/>
      <c r="N601" s="11" t="n"/>
      <c r="O601" s="11" t="n"/>
      <c r="P601" s="12" t="n"/>
      <c r="Q601" s="11" t="n"/>
      <c r="R601" s="12" t="n"/>
      <c r="S601" s="11" t="n"/>
      <c r="T601" s="12" t="n"/>
      <c r="U601" s="12" t="n"/>
      <c r="V601" s="14">
        <f>IF($AN601="",IF($B601="","",$H601),IF(INDEX(職員マスタ!$B$6:$B$405,$AN601)="",$H601,INDEX(職員マスタ!$B$6:$B$405,$AN601)))</f>
        <v/>
      </c>
      <c r="W601" s="14">
        <f>IF($AN601="",IF($B601="","",$R601),IF(INDEX(職員マスタ!$C$6:$C$405,$AN601)="",$R601,INDEX(職員マスタ!$C$6:$C$405,$AN601)))</f>
        <v/>
      </c>
      <c r="X601" s="14">
        <f>IF($AO601="","","R"&amp;$C601&amp;"."&amp;$D601)</f>
        <v/>
      </c>
      <c r="Y601" s="15">
        <f>IF($AN601="","",IF(INDEX(職員マスタ!$K$6:$K$405,$AN601)="","",INDEX(職員マスタ!$K$6:$K$405,$AN601)))</f>
        <v/>
      </c>
      <c r="Z601" s="14">
        <f>IF(OR($E601="",$Y601=""),"",IF($E601&gt;=$Y601,"×",IF($E601&gt;=$Y601*設定!$C$5,"△","○")))</f>
        <v/>
      </c>
      <c r="AA601" s="15">
        <f>IF($Z601="","",IF($Z601="×",0,IF($Z601="○",ROUNDDOWN($E601*設定!$C$4,0),ROUNDDOWN($E601*ROUND((9*$Y601-9*$E601)/(10*$E601),4),0))))</f>
        <v/>
      </c>
      <c r="AB601" s="13" t="n"/>
      <c r="AC601" s="15">
        <f>IF($B601="","",IF($AB601&lt;&gt;"",$AB601,IF($AA601="","",IF($AA601&lt;=設定!$C$3,0,$AA601))))</f>
        <v/>
      </c>
      <c r="AD601" s="14">
        <f>IF($B601="","",IF(AND($AE601&lt;&gt;"",$AG601="",$AJ601=""),"保留中",IF($AJ601&lt;&gt;"",IF(N($AC601)&gt;0,"支給済","不支給"),IF($AC601="","要確認",IF($AC601=0,"不支給","未処理")))))</f>
        <v/>
      </c>
      <c r="AE601" s="12" t="n"/>
      <c r="AF601" s="11" t="n"/>
      <c r="AG601" s="11" t="n"/>
      <c r="AH601" s="11" t="n"/>
      <c r="AI601" s="14">
        <f>IF(AND($AD601="保留中",$AF601&lt;&gt;""),TODAY()-$AF601,"")</f>
        <v/>
      </c>
      <c r="AJ601" s="12" t="n"/>
      <c r="AK601" s="14">
        <f>IF($B601="","",IF($AO601="","対象年月が未入力／","")&amp;IF($B601="","",IF($AN601="","職員マスタに未登録の職員番号／",IF($Y601="","標準報酬月額が未登録／","")&amp;IF(AND($AO601&lt;&gt;"",OR(AND(INDEX(職員マスタ!$G$6:$G$405,$AN601)&lt;&gt;"",INDEX(職員マスタ!$G$6:$G$405,$AN601)&gt;EOMONTH($AO601,0)),AND(INDEX(職員マスタ!$H$6:$H$405,$AN601)&lt;&gt;"",INDEX(職員マスタ!$H$6:$H$405,$AN601)&lt;$AO601))),"対象月が時短期間外／","")&amp;IF(AND(INDEX(職員マスタ!$F$6:$F$405,$AN601)&lt;&gt;"",$AO601&lt;&gt;"",INDEX(職員マスタ!$F$6:$F$405,$AN601)&lt;$AO601),"対象月に子が2歳到達済／","")&amp;IF(AND($H601&lt;&gt;"",INDEX(職員マスタ!$B$6:$B$405,$AN601)&lt;&gt;"",SUBSTITUTE(SUBSTITUTE($H601," ","")," ","")&lt;&gt;SUBSTITUTE(SUBSTITUTE(INDEX(職員マスタ!$B$6:$B$405,$AN601)," ","")," ","")),"氏名がマスタと相違／","")&amp;IF(AND($Q601&lt;&gt;"",INDEX(職員マスタ!$E$6:$E$405,$AN601)&lt;&gt;"",$Q601&lt;&gt;INDEX(職員マスタ!$E$6:$E$405,$AN601)),"子の生年月日がマスタと相違／","")&amp;IF(AND($L601&lt;&gt;"",INDEX(職員マスタ!$G$6:$G$405,$AN601)&lt;&gt;"",$L601&lt;&gt;INDEX(職員マスタ!$G$6:$G$405,$AN601)),"時短開始日がマスタと相違／","")&amp;IF(AND($M601&lt;&gt;"",INDEX(職員マスタ!$H$6:$H$405,$AN601)&lt;&gt;"",$M601&lt;&gt;INDEX(職員マスタ!$H$6:$H$405,$AN601)),"時短終了日がマスタと相違／","")))&amp;IF(AND($B601&lt;&gt;"",$E601=""),"報酬額が未入力／","")&amp;IF(N($U601)&gt;0,"申請書に入力エラーが残っています／","")&amp;IF(AND($B601&lt;&gt;"",$AO601&lt;&gt;""),IF(COUNTIFS($B$6:$B$3005,$B601,$C$6:$C$3005,$C601,$D$6:$D$3005,$D601)&gt;1,"同じ月の請求が重複しています／",""),"")&amp;IF(AND(N($E601)&gt;0,$Z601&lt;&gt;"",$Z601&lt;&gt;"×",$AC601=0,$AB601=""),"計算額が下限以下のため不支給／",""))</f>
        <v/>
      </c>
      <c r="AL601" s="12" t="n"/>
      <c r="AM601" s="14">
        <f>IF($AD601="保留中",COUNTIF($AD$6:$AD601,"保留中"),"")</f>
        <v/>
      </c>
      <c r="AN601" s="14">
        <f>IF($AO601="","",IF(SUMPRODUCT(MAX((職員マスタ!$A$6:$A$405=$B601)*(((職員マスタ!$G$6:$G$405="")+(職員マスタ!$G$6:$G$405&lt;=EOMONTH($AO601,0)))&gt;0)*(((職員マスタ!$H$6:$H$405="")+(職員マスタ!$H$6:$H$405&gt;=$AO601))&gt;0)*(ROW(職員マスタ!$A$6:$A$405)-5)))&gt;0,SUMPRODUCT(MAX((職員マスタ!$A$6:$A$405=$B601)*(((職員マスタ!$G$6:$G$405="")+(職員マスタ!$G$6:$G$405&lt;=EOMONTH($AO601,0)))&gt;0)*(((職員マスタ!$H$6:$H$405="")+(職員マスタ!$H$6:$H$405&gt;=$AO601))&gt;0)*(ROW(職員マスタ!$A$6:$A$405)-5))),IFERROR(MATCH($B601,職員マスタ!$A$6:$A$405,0),"")))</f>
        <v/>
      </c>
      <c r="AO601" s="16">
        <f>IF(OR($B601="",$C601="",$D601=""),"",DATE($C601+2018,$D601,1))</f>
        <v/>
      </c>
    </row>
    <row r="602">
      <c r="A602" s="11" t="n"/>
      <c r="B602" s="12" t="n"/>
      <c r="C602" s="12" t="n"/>
      <c r="D602" s="12" t="n"/>
      <c r="E602" s="13" t="n"/>
      <c r="F602" s="12" t="n"/>
      <c r="G602" s="13" t="n"/>
      <c r="H602" s="12" t="n"/>
      <c r="I602" s="12" t="n"/>
      <c r="J602" s="12" t="n"/>
      <c r="K602" s="12" t="n"/>
      <c r="L602" s="11" t="n"/>
      <c r="M602" s="11" t="n"/>
      <c r="N602" s="11" t="n"/>
      <c r="O602" s="11" t="n"/>
      <c r="P602" s="12" t="n"/>
      <c r="Q602" s="11" t="n"/>
      <c r="R602" s="12" t="n"/>
      <c r="S602" s="11" t="n"/>
      <c r="T602" s="12" t="n"/>
      <c r="U602" s="12" t="n"/>
      <c r="V602" s="14">
        <f>IF($AN602="",IF($B602="","",$H602),IF(INDEX(職員マスタ!$B$6:$B$405,$AN602)="",$H602,INDEX(職員マスタ!$B$6:$B$405,$AN602)))</f>
        <v/>
      </c>
      <c r="W602" s="14">
        <f>IF($AN602="",IF($B602="","",$R602),IF(INDEX(職員マスタ!$C$6:$C$405,$AN602)="",$R602,INDEX(職員マスタ!$C$6:$C$405,$AN602)))</f>
        <v/>
      </c>
      <c r="X602" s="14">
        <f>IF($AO602="","","R"&amp;$C602&amp;"."&amp;$D602)</f>
        <v/>
      </c>
      <c r="Y602" s="15">
        <f>IF($AN602="","",IF(INDEX(職員マスタ!$K$6:$K$405,$AN602)="","",INDEX(職員マスタ!$K$6:$K$405,$AN602)))</f>
        <v/>
      </c>
      <c r="Z602" s="14">
        <f>IF(OR($E602="",$Y602=""),"",IF($E602&gt;=$Y602,"×",IF($E602&gt;=$Y602*設定!$C$5,"△","○")))</f>
        <v/>
      </c>
      <c r="AA602" s="15">
        <f>IF($Z602="","",IF($Z602="×",0,IF($Z602="○",ROUNDDOWN($E602*設定!$C$4,0),ROUNDDOWN($E602*ROUND((9*$Y602-9*$E602)/(10*$E602),4),0))))</f>
        <v/>
      </c>
      <c r="AB602" s="13" t="n"/>
      <c r="AC602" s="15">
        <f>IF($B602="","",IF($AB602&lt;&gt;"",$AB602,IF($AA602="","",IF($AA602&lt;=設定!$C$3,0,$AA602))))</f>
        <v/>
      </c>
      <c r="AD602" s="14">
        <f>IF($B602="","",IF(AND($AE602&lt;&gt;"",$AG602="",$AJ602=""),"保留中",IF($AJ602&lt;&gt;"",IF(N($AC602)&gt;0,"支給済","不支給"),IF($AC602="","要確認",IF($AC602=0,"不支給","未処理")))))</f>
        <v/>
      </c>
      <c r="AE602" s="12" t="n"/>
      <c r="AF602" s="11" t="n"/>
      <c r="AG602" s="11" t="n"/>
      <c r="AH602" s="11" t="n"/>
      <c r="AI602" s="14">
        <f>IF(AND($AD602="保留中",$AF602&lt;&gt;""),TODAY()-$AF602,"")</f>
        <v/>
      </c>
      <c r="AJ602" s="12" t="n"/>
      <c r="AK602" s="14">
        <f>IF($B602="","",IF($AO602="","対象年月が未入力／","")&amp;IF($B602="","",IF($AN602="","職員マスタに未登録の職員番号／",IF($Y602="","標準報酬月額が未登録／","")&amp;IF(AND($AO602&lt;&gt;"",OR(AND(INDEX(職員マスタ!$G$6:$G$405,$AN602)&lt;&gt;"",INDEX(職員マスタ!$G$6:$G$405,$AN602)&gt;EOMONTH($AO602,0)),AND(INDEX(職員マスタ!$H$6:$H$405,$AN602)&lt;&gt;"",INDEX(職員マスタ!$H$6:$H$405,$AN602)&lt;$AO602))),"対象月が時短期間外／","")&amp;IF(AND(INDEX(職員マスタ!$F$6:$F$405,$AN602)&lt;&gt;"",$AO602&lt;&gt;"",INDEX(職員マスタ!$F$6:$F$405,$AN602)&lt;$AO602),"対象月に子が2歳到達済／","")&amp;IF(AND($H602&lt;&gt;"",INDEX(職員マスタ!$B$6:$B$405,$AN602)&lt;&gt;"",SUBSTITUTE(SUBSTITUTE($H602," ","")," ","")&lt;&gt;SUBSTITUTE(SUBSTITUTE(INDEX(職員マスタ!$B$6:$B$405,$AN602)," ","")," ","")),"氏名がマスタと相違／","")&amp;IF(AND($Q602&lt;&gt;"",INDEX(職員マスタ!$E$6:$E$405,$AN602)&lt;&gt;"",$Q602&lt;&gt;INDEX(職員マスタ!$E$6:$E$405,$AN602)),"子の生年月日がマスタと相違／","")&amp;IF(AND($L602&lt;&gt;"",INDEX(職員マスタ!$G$6:$G$405,$AN602)&lt;&gt;"",$L602&lt;&gt;INDEX(職員マスタ!$G$6:$G$405,$AN602)),"時短開始日がマスタと相違／","")&amp;IF(AND($M602&lt;&gt;"",INDEX(職員マスタ!$H$6:$H$405,$AN602)&lt;&gt;"",$M602&lt;&gt;INDEX(職員マスタ!$H$6:$H$405,$AN602)),"時短終了日がマスタと相違／","")))&amp;IF(AND($B602&lt;&gt;"",$E602=""),"報酬額が未入力／","")&amp;IF(N($U602)&gt;0,"申請書に入力エラーが残っています／","")&amp;IF(AND($B602&lt;&gt;"",$AO602&lt;&gt;""),IF(COUNTIFS($B$6:$B$3005,$B602,$C$6:$C$3005,$C602,$D$6:$D$3005,$D602)&gt;1,"同じ月の請求が重複しています／",""),"")&amp;IF(AND(N($E602)&gt;0,$Z602&lt;&gt;"",$Z602&lt;&gt;"×",$AC602=0,$AB602=""),"計算額が下限以下のため不支給／",""))</f>
        <v/>
      </c>
      <c r="AL602" s="12" t="n"/>
      <c r="AM602" s="14">
        <f>IF($AD602="保留中",COUNTIF($AD$6:$AD602,"保留中"),"")</f>
        <v/>
      </c>
      <c r="AN602" s="14">
        <f>IF($AO602="","",IF(SUMPRODUCT(MAX((職員マスタ!$A$6:$A$405=$B602)*(((職員マスタ!$G$6:$G$405="")+(職員マスタ!$G$6:$G$405&lt;=EOMONTH($AO602,0)))&gt;0)*(((職員マスタ!$H$6:$H$405="")+(職員マスタ!$H$6:$H$405&gt;=$AO602))&gt;0)*(ROW(職員マスタ!$A$6:$A$405)-5)))&gt;0,SUMPRODUCT(MAX((職員マスタ!$A$6:$A$405=$B602)*(((職員マスタ!$G$6:$G$405="")+(職員マスタ!$G$6:$G$405&lt;=EOMONTH($AO602,0)))&gt;0)*(((職員マスタ!$H$6:$H$405="")+(職員マスタ!$H$6:$H$405&gt;=$AO602))&gt;0)*(ROW(職員マスタ!$A$6:$A$405)-5))),IFERROR(MATCH($B602,職員マスタ!$A$6:$A$405,0),"")))</f>
        <v/>
      </c>
      <c r="AO602" s="16">
        <f>IF(OR($B602="",$C602="",$D602=""),"",DATE($C602+2018,$D602,1))</f>
        <v/>
      </c>
    </row>
    <row r="603">
      <c r="A603" s="11" t="n"/>
      <c r="B603" s="12" t="n"/>
      <c r="C603" s="12" t="n"/>
      <c r="D603" s="12" t="n"/>
      <c r="E603" s="13" t="n"/>
      <c r="F603" s="12" t="n"/>
      <c r="G603" s="13" t="n"/>
      <c r="H603" s="12" t="n"/>
      <c r="I603" s="12" t="n"/>
      <c r="J603" s="12" t="n"/>
      <c r="K603" s="12" t="n"/>
      <c r="L603" s="11" t="n"/>
      <c r="M603" s="11" t="n"/>
      <c r="N603" s="11" t="n"/>
      <c r="O603" s="11" t="n"/>
      <c r="P603" s="12" t="n"/>
      <c r="Q603" s="11" t="n"/>
      <c r="R603" s="12" t="n"/>
      <c r="S603" s="11" t="n"/>
      <c r="T603" s="12" t="n"/>
      <c r="U603" s="12" t="n"/>
      <c r="V603" s="14">
        <f>IF($AN603="",IF($B603="","",$H603),IF(INDEX(職員マスタ!$B$6:$B$405,$AN603)="",$H603,INDEX(職員マスタ!$B$6:$B$405,$AN603)))</f>
        <v/>
      </c>
      <c r="W603" s="14">
        <f>IF($AN603="",IF($B603="","",$R603),IF(INDEX(職員マスタ!$C$6:$C$405,$AN603)="",$R603,INDEX(職員マスタ!$C$6:$C$405,$AN603)))</f>
        <v/>
      </c>
      <c r="X603" s="14">
        <f>IF($AO603="","","R"&amp;$C603&amp;"."&amp;$D603)</f>
        <v/>
      </c>
      <c r="Y603" s="15">
        <f>IF($AN603="","",IF(INDEX(職員マスタ!$K$6:$K$405,$AN603)="","",INDEX(職員マスタ!$K$6:$K$405,$AN603)))</f>
        <v/>
      </c>
      <c r="Z603" s="14">
        <f>IF(OR($E603="",$Y603=""),"",IF($E603&gt;=$Y603,"×",IF($E603&gt;=$Y603*設定!$C$5,"△","○")))</f>
        <v/>
      </c>
      <c r="AA603" s="15">
        <f>IF($Z603="","",IF($Z603="×",0,IF($Z603="○",ROUNDDOWN($E603*設定!$C$4,0),ROUNDDOWN($E603*ROUND((9*$Y603-9*$E603)/(10*$E603),4),0))))</f>
        <v/>
      </c>
      <c r="AB603" s="13" t="n"/>
      <c r="AC603" s="15">
        <f>IF($B603="","",IF($AB603&lt;&gt;"",$AB603,IF($AA603="","",IF($AA603&lt;=設定!$C$3,0,$AA603))))</f>
        <v/>
      </c>
      <c r="AD603" s="14">
        <f>IF($B603="","",IF(AND($AE603&lt;&gt;"",$AG603="",$AJ603=""),"保留中",IF($AJ603&lt;&gt;"",IF(N($AC603)&gt;0,"支給済","不支給"),IF($AC603="","要確認",IF($AC603=0,"不支給","未処理")))))</f>
        <v/>
      </c>
      <c r="AE603" s="12" t="n"/>
      <c r="AF603" s="11" t="n"/>
      <c r="AG603" s="11" t="n"/>
      <c r="AH603" s="11" t="n"/>
      <c r="AI603" s="14">
        <f>IF(AND($AD603="保留中",$AF603&lt;&gt;""),TODAY()-$AF603,"")</f>
        <v/>
      </c>
      <c r="AJ603" s="12" t="n"/>
      <c r="AK603" s="14">
        <f>IF($B603="","",IF($AO603="","対象年月が未入力／","")&amp;IF($B603="","",IF($AN603="","職員マスタに未登録の職員番号／",IF($Y603="","標準報酬月額が未登録／","")&amp;IF(AND($AO603&lt;&gt;"",OR(AND(INDEX(職員マスタ!$G$6:$G$405,$AN603)&lt;&gt;"",INDEX(職員マスタ!$G$6:$G$405,$AN603)&gt;EOMONTH($AO603,0)),AND(INDEX(職員マスタ!$H$6:$H$405,$AN603)&lt;&gt;"",INDEX(職員マスタ!$H$6:$H$405,$AN603)&lt;$AO603))),"対象月が時短期間外／","")&amp;IF(AND(INDEX(職員マスタ!$F$6:$F$405,$AN603)&lt;&gt;"",$AO603&lt;&gt;"",INDEX(職員マスタ!$F$6:$F$405,$AN603)&lt;$AO603),"対象月に子が2歳到達済／","")&amp;IF(AND($H603&lt;&gt;"",INDEX(職員マスタ!$B$6:$B$405,$AN603)&lt;&gt;"",SUBSTITUTE(SUBSTITUTE($H603," ","")," ","")&lt;&gt;SUBSTITUTE(SUBSTITUTE(INDEX(職員マスタ!$B$6:$B$405,$AN603)," ","")," ","")),"氏名がマスタと相違／","")&amp;IF(AND($Q603&lt;&gt;"",INDEX(職員マスタ!$E$6:$E$405,$AN603)&lt;&gt;"",$Q603&lt;&gt;INDEX(職員マスタ!$E$6:$E$405,$AN603)),"子の生年月日がマスタと相違／","")&amp;IF(AND($L603&lt;&gt;"",INDEX(職員マスタ!$G$6:$G$405,$AN603)&lt;&gt;"",$L603&lt;&gt;INDEX(職員マスタ!$G$6:$G$405,$AN603)),"時短開始日がマスタと相違／","")&amp;IF(AND($M603&lt;&gt;"",INDEX(職員マスタ!$H$6:$H$405,$AN603)&lt;&gt;"",$M603&lt;&gt;INDEX(職員マスタ!$H$6:$H$405,$AN603)),"時短終了日がマスタと相違／","")))&amp;IF(AND($B603&lt;&gt;"",$E603=""),"報酬額が未入力／","")&amp;IF(N($U603)&gt;0,"申請書に入力エラーが残っています／","")&amp;IF(AND($B603&lt;&gt;"",$AO603&lt;&gt;""),IF(COUNTIFS($B$6:$B$3005,$B603,$C$6:$C$3005,$C603,$D$6:$D$3005,$D603)&gt;1,"同じ月の請求が重複しています／",""),"")&amp;IF(AND(N($E603)&gt;0,$Z603&lt;&gt;"",$Z603&lt;&gt;"×",$AC603=0,$AB603=""),"計算額が下限以下のため不支給／",""))</f>
        <v/>
      </c>
      <c r="AL603" s="12" t="n"/>
      <c r="AM603" s="14">
        <f>IF($AD603="保留中",COUNTIF($AD$6:$AD603,"保留中"),"")</f>
        <v/>
      </c>
      <c r="AN603" s="14">
        <f>IF($AO603="","",IF(SUMPRODUCT(MAX((職員マスタ!$A$6:$A$405=$B603)*(((職員マスタ!$G$6:$G$405="")+(職員マスタ!$G$6:$G$405&lt;=EOMONTH($AO603,0)))&gt;0)*(((職員マスタ!$H$6:$H$405="")+(職員マスタ!$H$6:$H$405&gt;=$AO603))&gt;0)*(ROW(職員マスタ!$A$6:$A$405)-5)))&gt;0,SUMPRODUCT(MAX((職員マスタ!$A$6:$A$405=$B603)*(((職員マスタ!$G$6:$G$405="")+(職員マスタ!$G$6:$G$405&lt;=EOMONTH($AO603,0)))&gt;0)*(((職員マスタ!$H$6:$H$405="")+(職員マスタ!$H$6:$H$405&gt;=$AO603))&gt;0)*(ROW(職員マスタ!$A$6:$A$405)-5))),IFERROR(MATCH($B603,職員マスタ!$A$6:$A$405,0),"")))</f>
        <v/>
      </c>
      <c r="AO603" s="16">
        <f>IF(OR($B603="",$C603="",$D603=""),"",DATE($C603+2018,$D603,1))</f>
        <v/>
      </c>
    </row>
    <row r="604">
      <c r="A604" s="11" t="n"/>
      <c r="B604" s="12" t="n"/>
      <c r="C604" s="12" t="n"/>
      <c r="D604" s="12" t="n"/>
      <c r="E604" s="13" t="n"/>
      <c r="F604" s="12" t="n"/>
      <c r="G604" s="13" t="n"/>
      <c r="H604" s="12" t="n"/>
      <c r="I604" s="12" t="n"/>
      <c r="J604" s="12" t="n"/>
      <c r="K604" s="12" t="n"/>
      <c r="L604" s="11" t="n"/>
      <c r="M604" s="11" t="n"/>
      <c r="N604" s="11" t="n"/>
      <c r="O604" s="11" t="n"/>
      <c r="P604" s="12" t="n"/>
      <c r="Q604" s="11" t="n"/>
      <c r="R604" s="12" t="n"/>
      <c r="S604" s="11" t="n"/>
      <c r="T604" s="12" t="n"/>
      <c r="U604" s="12" t="n"/>
      <c r="V604" s="14">
        <f>IF($AN604="",IF($B604="","",$H604),IF(INDEX(職員マスタ!$B$6:$B$405,$AN604)="",$H604,INDEX(職員マスタ!$B$6:$B$405,$AN604)))</f>
        <v/>
      </c>
      <c r="W604" s="14">
        <f>IF($AN604="",IF($B604="","",$R604),IF(INDEX(職員マスタ!$C$6:$C$405,$AN604)="",$R604,INDEX(職員マスタ!$C$6:$C$405,$AN604)))</f>
        <v/>
      </c>
      <c r="X604" s="14">
        <f>IF($AO604="","","R"&amp;$C604&amp;"."&amp;$D604)</f>
        <v/>
      </c>
      <c r="Y604" s="15">
        <f>IF($AN604="","",IF(INDEX(職員マスタ!$K$6:$K$405,$AN604)="","",INDEX(職員マスタ!$K$6:$K$405,$AN604)))</f>
        <v/>
      </c>
      <c r="Z604" s="14">
        <f>IF(OR($E604="",$Y604=""),"",IF($E604&gt;=$Y604,"×",IF($E604&gt;=$Y604*設定!$C$5,"△","○")))</f>
        <v/>
      </c>
      <c r="AA604" s="15">
        <f>IF($Z604="","",IF($Z604="×",0,IF($Z604="○",ROUNDDOWN($E604*設定!$C$4,0),ROUNDDOWN($E604*ROUND((9*$Y604-9*$E604)/(10*$E604),4),0))))</f>
        <v/>
      </c>
      <c r="AB604" s="13" t="n"/>
      <c r="AC604" s="15">
        <f>IF($B604="","",IF($AB604&lt;&gt;"",$AB604,IF($AA604="","",IF($AA604&lt;=設定!$C$3,0,$AA604))))</f>
        <v/>
      </c>
      <c r="AD604" s="14">
        <f>IF($B604="","",IF(AND($AE604&lt;&gt;"",$AG604="",$AJ604=""),"保留中",IF($AJ604&lt;&gt;"",IF(N($AC604)&gt;0,"支給済","不支給"),IF($AC604="","要確認",IF($AC604=0,"不支給","未処理")))))</f>
        <v/>
      </c>
      <c r="AE604" s="12" t="n"/>
      <c r="AF604" s="11" t="n"/>
      <c r="AG604" s="11" t="n"/>
      <c r="AH604" s="11" t="n"/>
      <c r="AI604" s="14">
        <f>IF(AND($AD604="保留中",$AF604&lt;&gt;""),TODAY()-$AF604,"")</f>
        <v/>
      </c>
      <c r="AJ604" s="12" t="n"/>
      <c r="AK604" s="14">
        <f>IF($B604="","",IF($AO604="","対象年月が未入力／","")&amp;IF($B604="","",IF($AN604="","職員マスタに未登録の職員番号／",IF($Y604="","標準報酬月額が未登録／","")&amp;IF(AND($AO604&lt;&gt;"",OR(AND(INDEX(職員マスタ!$G$6:$G$405,$AN604)&lt;&gt;"",INDEX(職員マスタ!$G$6:$G$405,$AN604)&gt;EOMONTH($AO604,0)),AND(INDEX(職員マスタ!$H$6:$H$405,$AN604)&lt;&gt;"",INDEX(職員マスタ!$H$6:$H$405,$AN604)&lt;$AO604))),"対象月が時短期間外／","")&amp;IF(AND(INDEX(職員マスタ!$F$6:$F$405,$AN604)&lt;&gt;"",$AO604&lt;&gt;"",INDEX(職員マスタ!$F$6:$F$405,$AN604)&lt;$AO604),"対象月に子が2歳到達済／","")&amp;IF(AND($H604&lt;&gt;"",INDEX(職員マスタ!$B$6:$B$405,$AN604)&lt;&gt;"",SUBSTITUTE(SUBSTITUTE($H604," ","")," ","")&lt;&gt;SUBSTITUTE(SUBSTITUTE(INDEX(職員マスタ!$B$6:$B$405,$AN604)," ","")," ","")),"氏名がマスタと相違／","")&amp;IF(AND($Q604&lt;&gt;"",INDEX(職員マスタ!$E$6:$E$405,$AN604)&lt;&gt;"",$Q604&lt;&gt;INDEX(職員マスタ!$E$6:$E$405,$AN604)),"子の生年月日がマスタと相違／","")&amp;IF(AND($L604&lt;&gt;"",INDEX(職員マスタ!$G$6:$G$405,$AN604)&lt;&gt;"",$L604&lt;&gt;INDEX(職員マスタ!$G$6:$G$405,$AN604)),"時短開始日がマスタと相違／","")&amp;IF(AND($M604&lt;&gt;"",INDEX(職員マスタ!$H$6:$H$405,$AN604)&lt;&gt;"",$M604&lt;&gt;INDEX(職員マスタ!$H$6:$H$405,$AN604)),"時短終了日がマスタと相違／","")))&amp;IF(AND($B604&lt;&gt;"",$E604=""),"報酬額が未入力／","")&amp;IF(N($U604)&gt;0,"申請書に入力エラーが残っています／","")&amp;IF(AND($B604&lt;&gt;"",$AO604&lt;&gt;""),IF(COUNTIFS($B$6:$B$3005,$B604,$C$6:$C$3005,$C604,$D$6:$D$3005,$D604)&gt;1,"同じ月の請求が重複しています／",""),"")&amp;IF(AND(N($E604)&gt;0,$Z604&lt;&gt;"",$Z604&lt;&gt;"×",$AC604=0,$AB604=""),"計算額が下限以下のため不支給／",""))</f>
        <v/>
      </c>
      <c r="AL604" s="12" t="n"/>
      <c r="AM604" s="14">
        <f>IF($AD604="保留中",COUNTIF($AD$6:$AD604,"保留中"),"")</f>
        <v/>
      </c>
      <c r="AN604" s="14">
        <f>IF($AO604="","",IF(SUMPRODUCT(MAX((職員マスタ!$A$6:$A$405=$B604)*(((職員マスタ!$G$6:$G$405="")+(職員マスタ!$G$6:$G$405&lt;=EOMONTH($AO604,0)))&gt;0)*(((職員マスタ!$H$6:$H$405="")+(職員マスタ!$H$6:$H$405&gt;=$AO604))&gt;0)*(ROW(職員マスタ!$A$6:$A$405)-5)))&gt;0,SUMPRODUCT(MAX((職員マスタ!$A$6:$A$405=$B604)*(((職員マスタ!$G$6:$G$405="")+(職員マスタ!$G$6:$G$405&lt;=EOMONTH($AO604,0)))&gt;0)*(((職員マスタ!$H$6:$H$405="")+(職員マスタ!$H$6:$H$405&gt;=$AO604))&gt;0)*(ROW(職員マスタ!$A$6:$A$405)-5))),IFERROR(MATCH($B604,職員マスタ!$A$6:$A$405,0),"")))</f>
        <v/>
      </c>
      <c r="AO604" s="16">
        <f>IF(OR($B604="",$C604="",$D604=""),"",DATE($C604+2018,$D604,1))</f>
        <v/>
      </c>
    </row>
    <row r="605">
      <c r="A605" s="11" t="n"/>
      <c r="B605" s="12" t="n"/>
      <c r="C605" s="12" t="n"/>
      <c r="D605" s="12" t="n"/>
      <c r="E605" s="13" t="n"/>
      <c r="F605" s="12" t="n"/>
      <c r="G605" s="13" t="n"/>
      <c r="H605" s="12" t="n"/>
      <c r="I605" s="12" t="n"/>
      <c r="J605" s="12" t="n"/>
      <c r="K605" s="12" t="n"/>
      <c r="L605" s="11" t="n"/>
      <c r="M605" s="11" t="n"/>
      <c r="N605" s="11" t="n"/>
      <c r="O605" s="11" t="n"/>
      <c r="P605" s="12" t="n"/>
      <c r="Q605" s="11" t="n"/>
      <c r="R605" s="12" t="n"/>
      <c r="S605" s="11" t="n"/>
      <c r="T605" s="12" t="n"/>
      <c r="U605" s="12" t="n"/>
      <c r="V605" s="14">
        <f>IF($AN605="",IF($B605="","",$H605),IF(INDEX(職員マスタ!$B$6:$B$405,$AN605)="",$H605,INDEX(職員マスタ!$B$6:$B$405,$AN605)))</f>
        <v/>
      </c>
      <c r="W605" s="14">
        <f>IF($AN605="",IF($B605="","",$R605),IF(INDEX(職員マスタ!$C$6:$C$405,$AN605)="",$R605,INDEX(職員マスタ!$C$6:$C$405,$AN605)))</f>
        <v/>
      </c>
      <c r="X605" s="14">
        <f>IF($AO605="","","R"&amp;$C605&amp;"."&amp;$D605)</f>
        <v/>
      </c>
      <c r="Y605" s="15">
        <f>IF($AN605="","",IF(INDEX(職員マスタ!$K$6:$K$405,$AN605)="","",INDEX(職員マスタ!$K$6:$K$405,$AN605)))</f>
        <v/>
      </c>
      <c r="Z605" s="14">
        <f>IF(OR($E605="",$Y605=""),"",IF($E605&gt;=$Y605,"×",IF($E605&gt;=$Y605*設定!$C$5,"△","○")))</f>
        <v/>
      </c>
      <c r="AA605" s="15">
        <f>IF($Z605="","",IF($Z605="×",0,IF($Z605="○",ROUNDDOWN($E605*設定!$C$4,0),ROUNDDOWN($E605*ROUND((9*$Y605-9*$E605)/(10*$E605),4),0))))</f>
        <v/>
      </c>
      <c r="AB605" s="13" t="n"/>
      <c r="AC605" s="15">
        <f>IF($B605="","",IF($AB605&lt;&gt;"",$AB605,IF($AA605="","",IF($AA605&lt;=設定!$C$3,0,$AA605))))</f>
        <v/>
      </c>
      <c r="AD605" s="14">
        <f>IF($B605="","",IF(AND($AE605&lt;&gt;"",$AG605="",$AJ605=""),"保留中",IF($AJ605&lt;&gt;"",IF(N($AC605)&gt;0,"支給済","不支給"),IF($AC605="","要確認",IF($AC605=0,"不支給","未処理")))))</f>
        <v/>
      </c>
      <c r="AE605" s="12" t="n"/>
      <c r="AF605" s="11" t="n"/>
      <c r="AG605" s="11" t="n"/>
      <c r="AH605" s="11" t="n"/>
      <c r="AI605" s="14">
        <f>IF(AND($AD605="保留中",$AF605&lt;&gt;""),TODAY()-$AF605,"")</f>
        <v/>
      </c>
      <c r="AJ605" s="12" t="n"/>
      <c r="AK605" s="14">
        <f>IF($B605="","",IF($AO605="","対象年月が未入力／","")&amp;IF($B605="","",IF($AN605="","職員マスタに未登録の職員番号／",IF($Y605="","標準報酬月額が未登録／","")&amp;IF(AND($AO605&lt;&gt;"",OR(AND(INDEX(職員マスタ!$G$6:$G$405,$AN605)&lt;&gt;"",INDEX(職員マスタ!$G$6:$G$405,$AN605)&gt;EOMONTH($AO605,0)),AND(INDEX(職員マスタ!$H$6:$H$405,$AN605)&lt;&gt;"",INDEX(職員マスタ!$H$6:$H$405,$AN605)&lt;$AO605))),"対象月が時短期間外／","")&amp;IF(AND(INDEX(職員マスタ!$F$6:$F$405,$AN605)&lt;&gt;"",$AO605&lt;&gt;"",INDEX(職員マスタ!$F$6:$F$405,$AN605)&lt;$AO605),"対象月に子が2歳到達済／","")&amp;IF(AND($H605&lt;&gt;"",INDEX(職員マスタ!$B$6:$B$405,$AN605)&lt;&gt;"",SUBSTITUTE(SUBSTITUTE($H605," ","")," ","")&lt;&gt;SUBSTITUTE(SUBSTITUTE(INDEX(職員マスタ!$B$6:$B$405,$AN605)," ","")," ","")),"氏名がマスタと相違／","")&amp;IF(AND($Q605&lt;&gt;"",INDEX(職員マスタ!$E$6:$E$405,$AN605)&lt;&gt;"",$Q605&lt;&gt;INDEX(職員マスタ!$E$6:$E$405,$AN605)),"子の生年月日がマスタと相違／","")&amp;IF(AND($L605&lt;&gt;"",INDEX(職員マスタ!$G$6:$G$405,$AN605)&lt;&gt;"",$L605&lt;&gt;INDEX(職員マスタ!$G$6:$G$405,$AN605)),"時短開始日がマスタと相違／","")&amp;IF(AND($M605&lt;&gt;"",INDEX(職員マスタ!$H$6:$H$405,$AN605)&lt;&gt;"",$M605&lt;&gt;INDEX(職員マスタ!$H$6:$H$405,$AN605)),"時短終了日がマスタと相違／","")))&amp;IF(AND($B605&lt;&gt;"",$E605=""),"報酬額が未入力／","")&amp;IF(N($U605)&gt;0,"申請書に入力エラーが残っています／","")&amp;IF(AND($B605&lt;&gt;"",$AO605&lt;&gt;""),IF(COUNTIFS($B$6:$B$3005,$B605,$C$6:$C$3005,$C605,$D$6:$D$3005,$D605)&gt;1,"同じ月の請求が重複しています／",""),"")&amp;IF(AND(N($E605)&gt;0,$Z605&lt;&gt;"",$Z605&lt;&gt;"×",$AC605=0,$AB605=""),"計算額が下限以下のため不支給／",""))</f>
        <v/>
      </c>
      <c r="AL605" s="12" t="n"/>
      <c r="AM605" s="14">
        <f>IF($AD605="保留中",COUNTIF($AD$6:$AD605,"保留中"),"")</f>
        <v/>
      </c>
      <c r="AN605" s="14">
        <f>IF($AO605="","",IF(SUMPRODUCT(MAX((職員マスタ!$A$6:$A$405=$B605)*(((職員マスタ!$G$6:$G$405="")+(職員マスタ!$G$6:$G$405&lt;=EOMONTH($AO605,0)))&gt;0)*(((職員マスタ!$H$6:$H$405="")+(職員マスタ!$H$6:$H$405&gt;=$AO605))&gt;0)*(ROW(職員マスタ!$A$6:$A$405)-5)))&gt;0,SUMPRODUCT(MAX((職員マスタ!$A$6:$A$405=$B605)*(((職員マスタ!$G$6:$G$405="")+(職員マスタ!$G$6:$G$405&lt;=EOMONTH($AO605,0)))&gt;0)*(((職員マスタ!$H$6:$H$405="")+(職員マスタ!$H$6:$H$405&gt;=$AO605))&gt;0)*(ROW(職員マスタ!$A$6:$A$405)-5))),IFERROR(MATCH($B605,職員マスタ!$A$6:$A$405,0),"")))</f>
        <v/>
      </c>
      <c r="AO605" s="16">
        <f>IF(OR($B605="",$C605="",$D605=""),"",DATE($C605+2018,$D605,1))</f>
        <v/>
      </c>
    </row>
    <row r="606">
      <c r="A606" s="11" t="n"/>
      <c r="B606" s="12" t="n"/>
      <c r="C606" s="12" t="n"/>
      <c r="D606" s="12" t="n"/>
      <c r="E606" s="13" t="n"/>
      <c r="F606" s="12" t="n"/>
      <c r="G606" s="13" t="n"/>
      <c r="H606" s="12" t="n"/>
      <c r="I606" s="12" t="n"/>
      <c r="J606" s="12" t="n"/>
      <c r="K606" s="12" t="n"/>
      <c r="L606" s="11" t="n"/>
      <c r="M606" s="11" t="n"/>
      <c r="N606" s="11" t="n"/>
      <c r="O606" s="11" t="n"/>
      <c r="P606" s="12" t="n"/>
      <c r="Q606" s="11" t="n"/>
      <c r="R606" s="12" t="n"/>
      <c r="S606" s="11" t="n"/>
      <c r="T606" s="12" t="n"/>
      <c r="U606" s="12" t="n"/>
      <c r="V606" s="14">
        <f>IF($AN606="",IF($B606="","",$H606),IF(INDEX(職員マスタ!$B$6:$B$405,$AN606)="",$H606,INDEX(職員マスタ!$B$6:$B$405,$AN606)))</f>
        <v/>
      </c>
      <c r="W606" s="14">
        <f>IF($AN606="",IF($B606="","",$R606),IF(INDEX(職員マスタ!$C$6:$C$405,$AN606)="",$R606,INDEX(職員マスタ!$C$6:$C$405,$AN606)))</f>
        <v/>
      </c>
      <c r="X606" s="14">
        <f>IF($AO606="","","R"&amp;$C606&amp;"."&amp;$D606)</f>
        <v/>
      </c>
      <c r="Y606" s="15">
        <f>IF($AN606="","",IF(INDEX(職員マスタ!$K$6:$K$405,$AN606)="","",INDEX(職員マスタ!$K$6:$K$405,$AN606)))</f>
        <v/>
      </c>
      <c r="Z606" s="14">
        <f>IF(OR($E606="",$Y606=""),"",IF($E606&gt;=$Y606,"×",IF($E606&gt;=$Y606*設定!$C$5,"△","○")))</f>
        <v/>
      </c>
      <c r="AA606" s="15">
        <f>IF($Z606="","",IF($Z606="×",0,IF($Z606="○",ROUNDDOWN($E606*設定!$C$4,0),ROUNDDOWN($E606*ROUND((9*$Y606-9*$E606)/(10*$E606),4),0))))</f>
        <v/>
      </c>
      <c r="AB606" s="13" t="n"/>
      <c r="AC606" s="15">
        <f>IF($B606="","",IF($AB606&lt;&gt;"",$AB606,IF($AA606="","",IF($AA606&lt;=設定!$C$3,0,$AA606))))</f>
        <v/>
      </c>
      <c r="AD606" s="14">
        <f>IF($B606="","",IF(AND($AE606&lt;&gt;"",$AG606="",$AJ606=""),"保留中",IF($AJ606&lt;&gt;"",IF(N($AC606)&gt;0,"支給済","不支給"),IF($AC606="","要確認",IF($AC606=0,"不支給","未処理")))))</f>
        <v/>
      </c>
      <c r="AE606" s="12" t="n"/>
      <c r="AF606" s="11" t="n"/>
      <c r="AG606" s="11" t="n"/>
      <c r="AH606" s="11" t="n"/>
      <c r="AI606" s="14">
        <f>IF(AND($AD606="保留中",$AF606&lt;&gt;""),TODAY()-$AF606,"")</f>
        <v/>
      </c>
      <c r="AJ606" s="12" t="n"/>
      <c r="AK606" s="14">
        <f>IF($B606="","",IF($AO606="","対象年月が未入力／","")&amp;IF($B606="","",IF($AN606="","職員マスタに未登録の職員番号／",IF($Y606="","標準報酬月額が未登録／","")&amp;IF(AND($AO606&lt;&gt;"",OR(AND(INDEX(職員マスタ!$G$6:$G$405,$AN606)&lt;&gt;"",INDEX(職員マスタ!$G$6:$G$405,$AN606)&gt;EOMONTH($AO606,0)),AND(INDEX(職員マスタ!$H$6:$H$405,$AN606)&lt;&gt;"",INDEX(職員マスタ!$H$6:$H$405,$AN606)&lt;$AO606))),"対象月が時短期間外／","")&amp;IF(AND(INDEX(職員マスタ!$F$6:$F$405,$AN606)&lt;&gt;"",$AO606&lt;&gt;"",INDEX(職員マスタ!$F$6:$F$405,$AN606)&lt;$AO606),"対象月に子が2歳到達済／","")&amp;IF(AND($H606&lt;&gt;"",INDEX(職員マスタ!$B$6:$B$405,$AN606)&lt;&gt;"",SUBSTITUTE(SUBSTITUTE($H606," ","")," ","")&lt;&gt;SUBSTITUTE(SUBSTITUTE(INDEX(職員マスタ!$B$6:$B$405,$AN606)," ","")," ","")),"氏名がマスタと相違／","")&amp;IF(AND($Q606&lt;&gt;"",INDEX(職員マスタ!$E$6:$E$405,$AN606)&lt;&gt;"",$Q606&lt;&gt;INDEX(職員マスタ!$E$6:$E$405,$AN606)),"子の生年月日がマスタと相違／","")&amp;IF(AND($L606&lt;&gt;"",INDEX(職員マスタ!$G$6:$G$405,$AN606)&lt;&gt;"",$L606&lt;&gt;INDEX(職員マスタ!$G$6:$G$405,$AN606)),"時短開始日がマスタと相違／","")&amp;IF(AND($M606&lt;&gt;"",INDEX(職員マスタ!$H$6:$H$405,$AN606)&lt;&gt;"",$M606&lt;&gt;INDEX(職員マスタ!$H$6:$H$405,$AN606)),"時短終了日がマスタと相違／","")))&amp;IF(AND($B606&lt;&gt;"",$E606=""),"報酬額が未入力／","")&amp;IF(N($U606)&gt;0,"申請書に入力エラーが残っています／","")&amp;IF(AND($B606&lt;&gt;"",$AO606&lt;&gt;""),IF(COUNTIFS($B$6:$B$3005,$B606,$C$6:$C$3005,$C606,$D$6:$D$3005,$D606)&gt;1,"同じ月の請求が重複しています／",""),"")&amp;IF(AND(N($E606)&gt;0,$Z606&lt;&gt;"",$Z606&lt;&gt;"×",$AC606=0,$AB606=""),"計算額が下限以下のため不支給／",""))</f>
        <v/>
      </c>
      <c r="AL606" s="12" t="n"/>
      <c r="AM606" s="14">
        <f>IF($AD606="保留中",COUNTIF($AD$6:$AD606,"保留中"),"")</f>
        <v/>
      </c>
      <c r="AN606" s="14">
        <f>IF($AO606="","",IF(SUMPRODUCT(MAX((職員マスタ!$A$6:$A$405=$B606)*(((職員マスタ!$G$6:$G$405="")+(職員マスタ!$G$6:$G$405&lt;=EOMONTH($AO606,0)))&gt;0)*(((職員マスタ!$H$6:$H$405="")+(職員マスタ!$H$6:$H$405&gt;=$AO606))&gt;0)*(ROW(職員マスタ!$A$6:$A$405)-5)))&gt;0,SUMPRODUCT(MAX((職員マスタ!$A$6:$A$405=$B606)*(((職員マスタ!$G$6:$G$405="")+(職員マスタ!$G$6:$G$405&lt;=EOMONTH($AO606,0)))&gt;0)*(((職員マスタ!$H$6:$H$405="")+(職員マスタ!$H$6:$H$405&gt;=$AO606))&gt;0)*(ROW(職員マスタ!$A$6:$A$405)-5))),IFERROR(MATCH($B606,職員マスタ!$A$6:$A$405,0),"")))</f>
        <v/>
      </c>
      <c r="AO606" s="16">
        <f>IF(OR($B606="",$C606="",$D606=""),"",DATE($C606+2018,$D606,1))</f>
        <v/>
      </c>
    </row>
    <row r="607">
      <c r="A607" s="11" t="n"/>
      <c r="B607" s="12" t="n"/>
      <c r="C607" s="12" t="n"/>
      <c r="D607" s="12" t="n"/>
      <c r="E607" s="13" t="n"/>
      <c r="F607" s="12" t="n"/>
      <c r="G607" s="13" t="n"/>
      <c r="H607" s="12" t="n"/>
      <c r="I607" s="12" t="n"/>
      <c r="J607" s="12" t="n"/>
      <c r="K607" s="12" t="n"/>
      <c r="L607" s="11" t="n"/>
      <c r="M607" s="11" t="n"/>
      <c r="N607" s="11" t="n"/>
      <c r="O607" s="11" t="n"/>
      <c r="P607" s="12" t="n"/>
      <c r="Q607" s="11" t="n"/>
      <c r="R607" s="12" t="n"/>
      <c r="S607" s="11" t="n"/>
      <c r="T607" s="12" t="n"/>
      <c r="U607" s="12" t="n"/>
      <c r="V607" s="14">
        <f>IF($AN607="",IF($B607="","",$H607),IF(INDEX(職員マスタ!$B$6:$B$405,$AN607)="",$H607,INDEX(職員マスタ!$B$6:$B$405,$AN607)))</f>
        <v/>
      </c>
      <c r="W607" s="14">
        <f>IF($AN607="",IF($B607="","",$R607),IF(INDEX(職員マスタ!$C$6:$C$405,$AN607)="",$R607,INDEX(職員マスタ!$C$6:$C$405,$AN607)))</f>
        <v/>
      </c>
      <c r="X607" s="14">
        <f>IF($AO607="","","R"&amp;$C607&amp;"."&amp;$D607)</f>
        <v/>
      </c>
      <c r="Y607" s="15">
        <f>IF($AN607="","",IF(INDEX(職員マスタ!$K$6:$K$405,$AN607)="","",INDEX(職員マスタ!$K$6:$K$405,$AN607)))</f>
        <v/>
      </c>
      <c r="Z607" s="14">
        <f>IF(OR($E607="",$Y607=""),"",IF($E607&gt;=$Y607,"×",IF($E607&gt;=$Y607*設定!$C$5,"△","○")))</f>
        <v/>
      </c>
      <c r="AA607" s="15">
        <f>IF($Z607="","",IF($Z607="×",0,IF($Z607="○",ROUNDDOWN($E607*設定!$C$4,0),ROUNDDOWN($E607*ROUND((9*$Y607-9*$E607)/(10*$E607),4),0))))</f>
        <v/>
      </c>
      <c r="AB607" s="13" t="n"/>
      <c r="AC607" s="15">
        <f>IF($B607="","",IF($AB607&lt;&gt;"",$AB607,IF($AA607="","",IF($AA607&lt;=設定!$C$3,0,$AA607))))</f>
        <v/>
      </c>
      <c r="AD607" s="14">
        <f>IF($B607="","",IF(AND($AE607&lt;&gt;"",$AG607="",$AJ607=""),"保留中",IF($AJ607&lt;&gt;"",IF(N($AC607)&gt;0,"支給済","不支給"),IF($AC607="","要確認",IF($AC607=0,"不支給","未処理")))))</f>
        <v/>
      </c>
      <c r="AE607" s="12" t="n"/>
      <c r="AF607" s="11" t="n"/>
      <c r="AG607" s="11" t="n"/>
      <c r="AH607" s="11" t="n"/>
      <c r="AI607" s="14">
        <f>IF(AND($AD607="保留中",$AF607&lt;&gt;""),TODAY()-$AF607,"")</f>
        <v/>
      </c>
      <c r="AJ607" s="12" t="n"/>
      <c r="AK607" s="14">
        <f>IF($B607="","",IF($AO607="","対象年月が未入力／","")&amp;IF($B607="","",IF($AN607="","職員マスタに未登録の職員番号／",IF($Y607="","標準報酬月額が未登録／","")&amp;IF(AND($AO607&lt;&gt;"",OR(AND(INDEX(職員マスタ!$G$6:$G$405,$AN607)&lt;&gt;"",INDEX(職員マスタ!$G$6:$G$405,$AN607)&gt;EOMONTH($AO607,0)),AND(INDEX(職員マスタ!$H$6:$H$405,$AN607)&lt;&gt;"",INDEX(職員マスタ!$H$6:$H$405,$AN607)&lt;$AO607))),"対象月が時短期間外／","")&amp;IF(AND(INDEX(職員マスタ!$F$6:$F$405,$AN607)&lt;&gt;"",$AO607&lt;&gt;"",INDEX(職員マスタ!$F$6:$F$405,$AN607)&lt;$AO607),"対象月に子が2歳到達済／","")&amp;IF(AND($H607&lt;&gt;"",INDEX(職員マスタ!$B$6:$B$405,$AN607)&lt;&gt;"",SUBSTITUTE(SUBSTITUTE($H607," ","")," ","")&lt;&gt;SUBSTITUTE(SUBSTITUTE(INDEX(職員マスタ!$B$6:$B$405,$AN607)," ","")," ","")),"氏名がマスタと相違／","")&amp;IF(AND($Q607&lt;&gt;"",INDEX(職員マスタ!$E$6:$E$405,$AN607)&lt;&gt;"",$Q607&lt;&gt;INDEX(職員マスタ!$E$6:$E$405,$AN607)),"子の生年月日がマスタと相違／","")&amp;IF(AND($L607&lt;&gt;"",INDEX(職員マスタ!$G$6:$G$405,$AN607)&lt;&gt;"",$L607&lt;&gt;INDEX(職員マスタ!$G$6:$G$405,$AN607)),"時短開始日がマスタと相違／","")&amp;IF(AND($M607&lt;&gt;"",INDEX(職員マスタ!$H$6:$H$405,$AN607)&lt;&gt;"",$M607&lt;&gt;INDEX(職員マスタ!$H$6:$H$405,$AN607)),"時短終了日がマスタと相違／","")))&amp;IF(AND($B607&lt;&gt;"",$E607=""),"報酬額が未入力／","")&amp;IF(N($U607)&gt;0,"申請書に入力エラーが残っています／","")&amp;IF(AND($B607&lt;&gt;"",$AO607&lt;&gt;""),IF(COUNTIFS($B$6:$B$3005,$B607,$C$6:$C$3005,$C607,$D$6:$D$3005,$D607)&gt;1,"同じ月の請求が重複しています／",""),"")&amp;IF(AND(N($E607)&gt;0,$Z607&lt;&gt;"",$Z607&lt;&gt;"×",$AC607=0,$AB607=""),"計算額が下限以下のため不支給／",""))</f>
        <v/>
      </c>
      <c r="AL607" s="12" t="n"/>
      <c r="AM607" s="14">
        <f>IF($AD607="保留中",COUNTIF($AD$6:$AD607,"保留中"),"")</f>
        <v/>
      </c>
      <c r="AN607" s="14">
        <f>IF($AO607="","",IF(SUMPRODUCT(MAX((職員マスタ!$A$6:$A$405=$B607)*(((職員マスタ!$G$6:$G$405="")+(職員マスタ!$G$6:$G$405&lt;=EOMONTH($AO607,0)))&gt;0)*(((職員マスタ!$H$6:$H$405="")+(職員マスタ!$H$6:$H$405&gt;=$AO607))&gt;0)*(ROW(職員マスタ!$A$6:$A$405)-5)))&gt;0,SUMPRODUCT(MAX((職員マスタ!$A$6:$A$405=$B607)*(((職員マスタ!$G$6:$G$405="")+(職員マスタ!$G$6:$G$405&lt;=EOMONTH($AO607,0)))&gt;0)*(((職員マスタ!$H$6:$H$405="")+(職員マスタ!$H$6:$H$405&gt;=$AO607))&gt;0)*(ROW(職員マスタ!$A$6:$A$405)-5))),IFERROR(MATCH($B607,職員マスタ!$A$6:$A$405,0),"")))</f>
        <v/>
      </c>
      <c r="AO607" s="16">
        <f>IF(OR($B607="",$C607="",$D607=""),"",DATE($C607+2018,$D607,1))</f>
        <v/>
      </c>
    </row>
    <row r="608">
      <c r="A608" s="11" t="n"/>
      <c r="B608" s="12" t="n"/>
      <c r="C608" s="12" t="n"/>
      <c r="D608" s="12" t="n"/>
      <c r="E608" s="13" t="n"/>
      <c r="F608" s="12" t="n"/>
      <c r="G608" s="13" t="n"/>
      <c r="H608" s="12" t="n"/>
      <c r="I608" s="12" t="n"/>
      <c r="J608" s="12" t="n"/>
      <c r="K608" s="12" t="n"/>
      <c r="L608" s="11" t="n"/>
      <c r="M608" s="11" t="n"/>
      <c r="N608" s="11" t="n"/>
      <c r="O608" s="11" t="n"/>
      <c r="P608" s="12" t="n"/>
      <c r="Q608" s="11" t="n"/>
      <c r="R608" s="12" t="n"/>
      <c r="S608" s="11" t="n"/>
      <c r="T608" s="12" t="n"/>
      <c r="U608" s="12" t="n"/>
      <c r="V608" s="14">
        <f>IF($AN608="",IF($B608="","",$H608),IF(INDEX(職員マスタ!$B$6:$B$405,$AN608)="",$H608,INDEX(職員マスタ!$B$6:$B$405,$AN608)))</f>
        <v/>
      </c>
      <c r="W608" s="14">
        <f>IF($AN608="",IF($B608="","",$R608),IF(INDEX(職員マスタ!$C$6:$C$405,$AN608)="",$R608,INDEX(職員マスタ!$C$6:$C$405,$AN608)))</f>
        <v/>
      </c>
      <c r="X608" s="14">
        <f>IF($AO608="","","R"&amp;$C608&amp;"."&amp;$D608)</f>
        <v/>
      </c>
      <c r="Y608" s="15">
        <f>IF($AN608="","",IF(INDEX(職員マスタ!$K$6:$K$405,$AN608)="","",INDEX(職員マスタ!$K$6:$K$405,$AN608)))</f>
        <v/>
      </c>
      <c r="Z608" s="14">
        <f>IF(OR($E608="",$Y608=""),"",IF($E608&gt;=$Y608,"×",IF($E608&gt;=$Y608*設定!$C$5,"△","○")))</f>
        <v/>
      </c>
      <c r="AA608" s="15">
        <f>IF($Z608="","",IF($Z608="×",0,IF($Z608="○",ROUNDDOWN($E608*設定!$C$4,0),ROUNDDOWN($E608*ROUND((9*$Y608-9*$E608)/(10*$E608),4),0))))</f>
        <v/>
      </c>
      <c r="AB608" s="13" t="n"/>
      <c r="AC608" s="15">
        <f>IF($B608="","",IF($AB608&lt;&gt;"",$AB608,IF($AA608="","",IF($AA608&lt;=設定!$C$3,0,$AA608))))</f>
        <v/>
      </c>
      <c r="AD608" s="14">
        <f>IF($B608="","",IF(AND($AE608&lt;&gt;"",$AG608="",$AJ608=""),"保留中",IF($AJ608&lt;&gt;"",IF(N($AC608)&gt;0,"支給済","不支給"),IF($AC608="","要確認",IF($AC608=0,"不支給","未処理")))))</f>
        <v/>
      </c>
      <c r="AE608" s="12" t="n"/>
      <c r="AF608" s="11" t="n"/>
      <c r="AG608" s="11" t="n"/>
      <c r="AH608" s="11" t="n"/>
      <c r="AI608" s="14">
        <f>IF(AND($AD608="保留中",$AF608&lt;&gt;""),TODAY()-$AF608,"")</f>
        <v/>
      </c>
      <c r="AJ608" s="12" t="n"/>
      <c r="AK608" s="14">
        <f>IF($B608="","",IF($AO608="","対象年月が未入力／","")&amp;IF($B608="","",IF($AN608="","職員マスタに未登録の職員番号／",IF($Y608="","標準報酬月額が未登録／","")&amp;IF(AND($AO608&lt;&gt;"",OR(AND(INDEX(職員マスタ!$G$6:$G$405,$AN608)&lt;&gt;"",INDEX(職員マスタ!$G$6:$G$405,$AN608)&gt;EOMONTH($AO608,0)),AND(INDEX(職員マスタ!$H$6:$H$405,$AN608)&lt;&gt;"",INDEX(職員マスタ!$H$6:$H$405,$AN608)&lt;$AO608))),"対象月が時短期間外／","")&amp;IF(AND(INDEX(職員マスタ!$F$6:$F$405,$AN608)&lt;&gt;"",$AO608&lt;&gt;"",INDEX(職員マスタ!$F$6:$F$405,$AN608)&lt;$AO608),"対象月に子が2歳到達済／","")&amp;IF(AND($H608&lt;&gt;"",INDEX(職員マスタ!$B$6:$B$405,$AN608)&lt;&gt;"",SUBSTITUTE(SUBSTITUTE($H608," ","")," ","")&lt;&gt;SUBSTITUTE(SUBSTITUTE(INDEX(職員マスタ!$B$6:$B$405,$AN608)," ","")," ","")),"氏名がマスタと相違／","")&amp;IF(AND($Q608&lt;&gt;"",INDEX(職員マスタ!$E$6:$E$405,$AN608)&lt;&gt;"",$Q608&lt;&gt;INDEX(職員マスタ!$E$6:$E$405,$AN608)),"子の生年月日がマスタと相違／","")&amp;IF(AND($L608&lt;&gt;"",INDEX(職員マスタ!$G$6:$G$405,$AN608)&lt;&gt;"",$L608&lt;&gt;INDEX(職員マスタ!$G$6:$G$405,$AN608)),"時短開始日がマスタと相違／","")&amp;IF(AND($M608&lt;&gt;"",INDEX(職員マスタ!$H$6:$H$405,$AN608)&lt;&gt;"",$M608&lt;&gt;INDEX(職員マスタ!$H$6:$H$405,$AN608)),"時短終了日がマスタと相違／","")))&amp;IF(AND($B608&lt;&gt;"",$E608=""),"報酬額が未入力／","")&amp;IF(N($U608)&gt;0,"申請書に入力エラーが残っています／","")&amp;IF(AND($B608&lt;&gt;"",$AO608&lt;&gt;""),IF(COUNTIFS($B$6:$B$3005,$B608,$C$6:$C$3005,$C608,$D$6:$D$3005,$D608)&gt;1,"同じ月の請求が重複しています／",""),"")&amp;IF(AND(N($E608)&gt;0,$Z608&lt;&gt;"",$Z608&lt;&gt;"×",$AC608=0,$AB608=""),"計算額が下限以下のため不支給／",""))</f>
        <v/>
      </c>
      <c r="AL608" s="12" t="n"/>
      <c r="AM608" s="14">
        <f>IF($AD608="保留中",COUNTIF($AD$6:$AD608,"保留中"),"")</f>
        <v/>
      </c>
      <c r="AN608" s="14">
        <f>IF($AO608="","",IF(SUMPRODUCT(MAX((職員マスタ!$A$6:$A$405=$B608)*(((職員マスタ!$G$6:$G$405="")+(職員マスタ!$G$6:$G$405&lt;=EOMONTH($AO608,0)))&gt;0)*(((職員マスタ!$H$6:$H$405="")+(職員マスタ!$H$6:$H$405&gt;=$AO608))&gt;0)*(ROW(職員マスタ!$A$6:$A$405)-5)))&gt;0,SUMPRODUCT(MAX((職員マスタ!$A$6:$A$405=$B608)*(((職員マスタ!$G$6:$G$405="")+(職員マスタ!$G$6:$G$405&lt;=EOMONTH($AO608,0)))&gt;0)*(((職員マスタ!$H$6:$H$405="")+(職員マスタ!$H$6:$H$405&gt;=$AO608))&gt;0)*(ROW(職員マスタ!$A$6:$A$405)-5))),IFERROR(MATCH($B608,職員マスタ!$A$6:$A$405,0),"")))</f>
        <v/>
      </c>
      <c r="AO608" s="16">
        <f>IF(OR($B608="",$C608="",$D608=""),"",DATE($C608+2018,$D608,1))</f>
        <v/>
      </c>
    </row>
    <row r="609">
      <c r="A609" s="11" t="n"/>
      <c r="B609" s="12" t="n"/>
      <c r="C609" s="12" t="n"/>
      <c r="D609" s="12" t="n"/>
      <c r="E609" s="13" t="n"/>
      <c r="F609" s="12" t="n"/>
      <c r="G609" s="13" t="n"/>
      <c r="H609" s="12" t="n"/>
      <c r="I609" s="12" t="n"/>
      <c r="J609" s="12" t="n"/>
      <c r="K609" s="12" t="n"/>
      <c r="L609" s="11" t="n"/>
      <c r="M609" s="11" t="n"/>
      <c r="N609" s="11" t="n"/>
      <c r="O609" s="11" t="n"/>
      <c r="P609" s="12" t="n"/>
      <c r="Q609" s="11" t="n"/>
      <c r="R609" s="12" t="n"/>
      <c r="S609" s="11" t="n"/>
      <c r="T609" s="12" t="n"/>
      <c r="U609" s="12" t="n"/>
      <c r="V609" s="14">
        <f>IF($AN609="",IF($B609="","",$H609),IF(INDEX(職員マスタ!$B$6:$B$405,$AN609)="",$H609,INDEX(職員マスタ!$B$6:$B$405,$AN609)))</f>
        <v/>
      </c>
      <c r="W609" s="14">
        <f>IF($AN609="",IF($B609="","",$R609),IF(INDEX(職員マスタ!$C$6:$C$405,$AN609)="",$R609,INDEX(職員マスタ!$C$6:$C$405,$AN609)))</f>
        <v/>
      </c>
      <c r="X609" s="14">
        <f>IF($AO609="","","R"&amp;$C609&amp;"."&amp;$D609)</f>
        <v/>
      </c>
      <c r="Y609" s="15">
        <f>IF($AN609="","",IF(INDEX(職員マスタ!$K$6:$K$405,$AN609)="","",INDEX(職員マスタ!$K$6:$K$405,$AN609)))</f>
        <v/>
      </c>
      <c r="Z609" s="14">
        <f>IF(OR($E609="",$Y609=""),"",IF($E609&gt;=$Y609,"×",IF($E609&gt;=$Y609*設定!$C$5,"△","○")))</f>
        <v/>
      </c>
      <c r="AA609" s="15">
        <f>IF($Z609="","",IF($Z609="×",0,IF($Z609="○",ROUNDDOWN($E609*設定!$C$4,0),ROUNDDOWN($E609*ROUND((9*$Y609-9*$E609)/(10*$E609),4),0))))</f>
        <v/>
      </c>
      <c r="AB609" s="13" t="n"/>
      <c r="AC609" s="15">
        <f>IF($B609="","",IF($AB609&lt;&gt;"",$AB609,IF($AA609="","",IF($AA609&lt;=設定!$C$3,0,$AA609))))</f>
        <v/>
      </c>
      <c r="AD609" s="14">
        <f>IF($B609="","",IF(AND($AE609&lt;&gt;"",$AG609="",$AJ609=""),"保留中",IF($AJ609&lt;&gt;"",IF(N($AC609)&gt;0,"支給済","不支給"),IF($AC609="","要確認",IF($AC609=0,"不支給","未処理")))))</f>
        <v/>
      </c>
      <c r="AE609" s="12" t="n"/>
      <c r="AF609" s="11" t="n"/>
      <c r="AG609" s="11" t="n"/>
      <c r="AH609" s="11" t="n"/>
      <c r="AI609" s="14">
        <f>IF(AND($AD609="保留中",$AF609&lt;&gt;""),TODAY()-$AF609,"")</f>
        <v/>
      </c>
      <c r="AJ609" s="12" t="n"/>
      <c r="AK609" s="14">
        <f>IF($B609="","",IF($AO609="","対象年月が未入力／","")&amp;IF($B609="","",IF($AN609="","職員マスタに未登録の職員番号／",IF($Y609="","標準報酬月額が未登録／","")&amp;IF(AND($AO609&lt;&gt;"",OR(AND(INDEX(職員マスタ!$G$6:$G$405,$AN609)&lt;&gt;"",INDEX(職員マスタ!$G$6:$G$405,$AN609)&gt;EOMONTH($AO609,0)),AND(INDEX(職員マスタ!$H$6:$H$405,$AN609)&lt;&gt;"",INDEX(職員マスタ!$H$6:$H$405,$AN609)&lt;$AO609))),"対象月が時短期間外／","")&amp;IF(AND(INDEX(職員マスタ!$F$6:$F$405,$AN609)&lt;&gt;"",$AO609&lt;&gt;"",INDEX(職員マスタ!$F$6:$F$405,$AN609)&lt;$AO609),"対象月に子が2歳到達済／","")&amp;IF(AND($H609&lt;&gt;"",INDEX(職員マスタ!$B$6:$B$405,$AN609)&lt;&gt;"",SUBSTITUTE(SUBSTITUTE($H609," ","")," ","")&lt;&gt;SUBSTITUTE(SUBSTITUTE(INDEX(職員マスタ!$B$6:$B$405,$AN609)," ","")," ","")),"氏名がマスタと相違／","")&amp;IF(AND($Q609&lt;&gt;"",INDEX(職員マスタ!$E$6:$E$405,$AN609)&lt;&gt;"",$Q609&lt;&gt;INDEX(職員マスタ!$E$6:$E$405,$AN609)),"子の生年月日がマスタと相違／","")&amp;IF(AND($L609&lt;&gt;"",INDEX(職員マスタ!$G$6:$G$405,$AN609)&lt;&gt;"",$L609&lt;&gt;INDEX(職員マスタ!$G$6:$G$405,$AN609)),"時短開始日がマスタと相違／","")&amp;IF(AND($M609&lt;&gt;"",INDEX(職員マスタ!$H$6:$H$405,$AN609)&lt;&gt;"",$M609&lt;&gt;INDEX(職員マスタ!$H$6:$H$405,$AN609)),"時短終了日がマスタと相違／","")))&amp;IF(AND($B609&lt;&gt;"",$E609=""),"報酬額が未入力／","")&amp;IF(N($U609)&gt;0,"申請書に入力エラーが残っています／","")&amp;IF(AND($B609&lt;&gt;"",$AO609&lt;&gt;""),IF(COUNTIFS($B$6:$B$3005,$B609,$C$6:$C$3005,$C609,$D$6:$D$3005,$D609)&gt;1,"同じ月の請求が重複しています／",""),"")&amp;IF(AND(N($E609)&gt;0,$Z609&lt;&gt;"",$Z609&lt;&gt;"×",$AC609=0,$AB609=""),"計算額が下限以下のため不支給／",""))</f>
        <v/>
      </c>
      <c r="AL609" s="12" t="n"/>
      <c r="AM609" s="14">
        <f>IF($AD609="保留中",COUNTIF($AD$6:$AD609,"保留中"),"")</f>
        <v/>
      </c>
      <c r="AN609" s="14">
        <f>IF($AO609="","",IF(SUMPRODUCT(MAX((職員マスタ!$A$6:$A$405=$B609)*(((職員マスタ!$G$6:$G$405="")+(職員マスタ!$G$6:$G$405&lt;=EOMONTH($AO609,0)))&gt;0)*(((職員マスタ!$H$6:$H$405="")+(職員マスタ!$H$6:$H$405&gt;=$AO609))&gt;0)*(ROW(職員マスタ!$A$6:$A$405)-5)))&gt;0,SUMPRODUCT(MAX((職員マスタ!$A$6:$A$405=$B609)*(((職員マスタ!$G$6:$G$405="")+(職員マスタ!$G$6:$G$405&lt;=EOMONTH($AO609,0)))&gt;0)*(((職員マスタ!$H$6:$H$405="")+(職員マスタ!$H$6:$H$405&gt;=$AO609))&gt;0)*(ROW(職員マスタ!$A$6:$A$405)-5))),IFERROR(MATCH($B609,職員マスタ!$A$6:$A$405,0),"")))</f>
        <v/>
      </c>
      <c r="AO609" s="16">
        <f>IF(OR($B609="",$C609="",$D609=""),"",DATE($C609+2018,$D609,1))</f>
        <v/>
      </c>
    </row>
    <row r="610">
      <c r="A610" s="11" t="n"/>
      <c r="B610" s="12" t="n"/>
      <c r="C610" s="12" t="n"/>
      <c r="D610" s="12" t="n"/>
      <c r="E610" s="13" t="n"/>
      <c r="F610" s="12" t="n"/>
      <c r="G610" s="13" t="n"/>
      <c r="H610" s="12" t="n"/>
      <c r="I610" s="12" t="n"/>
      <c r="J610" s="12" t="n"/>
      <c r="K610" s="12" t="n"/>
      <c r="L610" s="11" t="n"/>
      <c r="M610" s="11" t="n"/>
      <c r="N610" s="11" t="n"/>
      <c r="O610" s="11" t="n"/>
      <c r="P610" s="12" t="n"/>
      <c r="Q610" s="11" t="n"/>
      <c r="R610" s="12" t="n"/>
      <c r="S610" s="11" t="n"/>
      <c r="T610" s="12" t="n"/>
      <c r="U610" s="12" t="n"/>
      <c r="V610" s="14">
        <f>IF($AN610="",IF($B610="","",$H610),IF(INDEX(職員マスタ!$B$6:$B$405,$AN610)="",$H610,INDEX(職員マスタ!$B$6:$B$405,$AN610)))</f>
        <v/>
      </c>
      <c r="W610" s="14">
        <f>IF($AN610="",IF($B610="","",$R610),IF(INDEX(職員マスタ!$C$6:$C$405,$AN610)="",$R610,INDEX(職員マスタ!$C$6:$C$405,$AN610)))</f>
        <v/>
      </c>
      <c r="X610" s="14">
        <f>IF($AO610="","","R"&amp;$C610&amp;"."&amp;$D610)</f>
        <v/>
      </c>
      <c r="Y610" s="15">
        <f>IF($AN610="","",IF(INDEX(職員マスタ!$K$6:$K$405,$AN610)="","",INDEX(職員マスタ!$K$6:$K$405,$AN610)))</f>
        <v/>
      </c>
      <c r="Z610" s="14">
        <f>IF(OR($E610="",$Y610=""),"",IF($E610&gt;=$Y610,"×",IF($E610&gt;=$Y610*設定!$C$5,"△","○")))</f>
        <v/>
      </c>
      <c r="AA610" s="15">
        <f>IF($Z610="","",IF($Z610="×",0,IF($Z610="○",ROUNDDOWN($E610*設定!$C$4,0),ROUNDDOWN($E610*ROUND((9*$Y610-9*$E610)/(10*$E610),4),0))))</f>
        <v/>
      </c>
      <c r="AB610" s="13" t="n"/>
      <c r="AC610" s="15">
        <f>IF($B610="","",IF($AB610&lt;&gt;"",$AB610,IF($AA610="","",IF($AA610&lt;=設定!$C$3,0,$AA610))))</f>
        <v/>
      </c>
      <c r="AD610" s="14">
        <f>IF($B610="","",IF(AND($AE610&lt;&gt;"",$AG610="",$AJ610=""),"保留中",IF($AJ610&lt;&gt;"",IF(N($AC610)&gt;0,"支給済","不支給"),IF($AC610="","要確認",IF($AC610=0,"不支給","未処理")))))</f>
        <v/>
      </c>
      <c r="AE610" s="12" t="n"/>
      <c r="AF610" s="11" t="n"/>
      <c r="AG610" s="11" t="n"/>
      <c r="AH610" s="11" t="n"/>
      <c r="AI610" s="14">
        <f>IF(AND($AD610="保留中",$AF610&lt;&gt;""),TODAY()-$AF610,"")</f>
        <v/>
      </c>
      <c r="AJ610" s="12" t="n"/>
      <c r="AK610" s="14">
        <f>IF($B610="","",IF($AO610="","対象年月が未入力／","")&amp;IF($B610="","",IF($AN610="","職員マスタに未登録の職員番号／",IF($Y610="","標準報酬月額が未登録／","")&amp;IF(AND($AO610&lt;&gt;"",OR(AND(INDEX(職員マスタ!$G$6:$G$405,$AN610)&lt;&gt;"",INDEX(職員マスタ!$G$6:$G$405,$AN610)&gt;EOMONTH($AO610,0)),AND(INDEX(職員マスタ!$H$6:$H$405,$AN610)&lt;&gt;"",INDEX(職員マスタ!$H$6:$H$405,$AN610)&lt;$AO610))),"対象月が時短期間外／","")&amp;IF(AND(INDEX(職員マスタ!$F$6:$F$405,$AN610)&lt;&gt;"",$AO610&lt;&gt;"",INDEX(職員マスタ!$F$6:$F$405,$AN610)&lt;$AO610),"対象月に子が2歳到達済／","")&amp;IF(AND($H610&lt;&gt;"",INDEX(職員マスタ!$B$6:$B$405,$AN610)&lt;&gt;"",SUBSTITUTE(SUBSTITUTE($H610," ","")," ","")&lt;&gt;SUBSTITUTE(SUBSTITUTE(INDEX(職員マスタ!$B$6:$B$405,$AN610)," ","")," ","")),"氏名がマスタと相違／","")&amp;IF(AND($Q610&lt;&gt;"",INDEX(職員マスタ!$E$6:$E$405,$AN610)&lt;&gt;"",$Q610&lt;&gt;INDEX(職員マスタ!$E$6:$E$405,$AN610)),"子の生年月日がマスタと相違／","")&amp;IF(AND($L610&lt;&gt;"",INDEX(職員マスタ!$G$6:$G$405,$AN610)&lt;&gt;"",$L610&lt;&gt;INDEX(職員マスタ!$G$6:$G$405,$AN610)),"時短開始日がマスタと相違／","")&amp;IF(AND($M610&lt;&gt;"",INDEX(職員マスタ!$H$6:$H$405,$AN610)&lt;&gt;"",$M610&lt;&gt;INDEX(職員マスタ!$H$6:$H$405,$AN610)),"時短終了日がマスタと相違／","")))&amp;IF(AND($B610&lt;&gt;"",$E610=""),"報酬額が未入力／","")&amp;IF(N($U610)&gt;0,"申請書に入力エラーが残っています／","")&amp;IF(AND($B610&lt;&gt;"",$AO610&lt;&gt;""),IF(COUNTIFS($B$6:$B$3005,$B610,$C$6:$C$3005,$C610,$D$6:$D$3005,$D610)&gt;1,"同じ月の請求が重複しています／",""),"")&amp;IF(AND(N($E610)&gt;0,$Z610&lt;&gt;"",$Z610&lt;&gt;"×",$AC610=0,$AB610=""),"計算額が下限以下のため不支給／",""))</f>
        <v/>
      </c>
      <c r="AL610" s="12" t="n"/>
      <c r="AM610" s="14">
        <f>IF($AD610="保留中",COUNTIF($AD$6:$AD610,"保留中"),"")</f>
        <v/>
      </c>
      <c r="AN610" s="14">
        <f>IF($AO610="","",IF(SUMPRODUCT(MAX((職員マスタ!$A$6:$A$405=$B610)*(((職員マスタ!$G$6:$G$405="")+(職員マスタ!$G$6:$G$405&lt;=EOMONTH($AO610,0)))&gt;0)*(((職員マスタ!$H$6:$H$405="")+(職員マスタ!$H$6:$H$405&gt;=$AO610))&gt;0)*(ROW(職員マスタ!$A$6:$A$405)-5)))&gt;0,SUMPRODUCT(MAX((職員マスタ!$A$6:$A$405=$B610)*(((職員マスタ!$G$6:$G$405="")+(職員マスタ!$G$6:$G$405&lt;=EOMONTH($AO610,0)))&gt;0)*(((職員マスタ!$H$6:$H$405="")+(職員マスタ!$H$6:$H$405&gt;=$AO610))&gt;0)*(ROW(職員マスタ!$A$6:$A$405)-5))),IFERROR(MATCH($B610,職員マスタ!$A$6:$A$405,0),"")))</f>
        <v/>
      </c>
      <c r="AO610" s="16">
        <f>IF(OR($B610="",$C610="",$D610=""),"",DATE($C610+2018,$D610,1))</f>
        <v/>
      </c>
    </row>
    <row r="611">
      <c r="A611" s="11" t="n"/>
      <c r="B611" s="12" t="n"/>
      <c r="C611" s="12" t="n"/>
      <c r="D611" s="12" t="n"/>
      <c r="E611" s="13" t="n"/>
      <c r="F611" s="12" t="n"/>
      <c r="G611" s="13" t="n"/>
      <c r="H611" s="12" t="n"/>
      <c r="I611" s="12" t="n"/>
      <c r="J611" s="12" t="n"/>
      <c r="K611" s="12" t="n"/>
      <c r="L611" s="11" t="n"/>
      <c r="M611" s="11" t="n"/>
      <c r="N611" s="11" t="n"/>
      <c r="O611" s="11" t="n"/>
      <c r="P611" s="12" t="n"/>
      <c r="Q611" s="11" t="n"/>
      <c r="R611" s="12" t="n"/>
      <c r="S611" s="11" t="n"/>
      <c r="T611" s="12" t="n"/>
      <c r="U611" s="12" t="n"/>
      <c r="V611" s="14">
        <f>IF($AN611="",IF($B611="","",$H611),IF(INDEX(職員マスタ!$B$6:$B$405,$AN611)="",$H611,INDEX(職員マスタ!$B$6:$B$405,$AN611)))</f>
        <v/>
      </c>
      <c r="W611" s="14">
        <f>IF($AN611="",IF($B611="","",$R611),IF(INDEX(職員マスタ!$C$6:$C$405,$AN611)="",$R611,INDEX(職員マスタ!$C$6:$C$405,$AN611)))</f>
        <v/>
      </c>
      <c r="X611" s="14">
        <f>IF($AO611="","","R"&amp;$C611&amp;"."&amp;$D611)</f>
        <v/>
      </c>
      <c r="Y611" s="15">
        <f>IF($AN611="","",IF(INDEX(職員マスタ!$K$6:$K$405,$AN611)="","",INDEX(職員マスタ!$K$6:$K$405,$AN611)))</f>
        <v/>
      </c>
      <c r="Z611" s="14">
        <f>IF(OR($E611="",$Y611=""),"",IF($E611&gt;=$Y611,"×",IF($E611&gt;=$Y611*設定!$C$5,"△","○")))</f>
        <v/>
      </c>
      <c r="AA611" s="15">
        <f>IF($Z611="","",IF($Z611="×",0,IF($Z611="○",ROUNDDOWN($E611*設定!$C$4,0),ROUNDDOWN($E611*ROUND((9*$Y611-9*$E611)/(10*$E611),4),0))))</f>
        <v/>
      </c>
      <c r="AB611" s="13" t="n"/>
      <c r="AC611" s="15">
        <f>IF($B611="","",IF($AB611&lt;&gt;"",$AB611,IF($AA611="","",IF($AA611&lt;=設定!$C$3,0,$AA611))))</f>
        <v/>
      </c>
      <c r="AD611" s="14">
        <f>IF($B611="","",IF(AND($AE611&lt;&gt;"",$AG611="",$AJ611=""),"保留中",IF($AJ611&lt;&gt;"",IF(N($AC611)&gt;0,"支給済","不支給"),IF($AC611="","要確認",IF($AC611=0,"不支給","未処理")))))</f>
        <v/>
      </c>
      <c r="AE611" s="12" t="n"/>
      <c r="AF611" s="11" t="n"/>
      <c r="AG611" s="11" t="n"/>
      <c r="AH611" s="11" t="n"/>
      <c r="AI611" s="14">
        <f>IF(AND($AD611="保留中",$AF611&lt;&gt;""),TODAY()-$AF611,"")</f>
        <v/>
      </c>
      <c r="AJ611" s="12" t="n"/>
      <c r="AK611" s="14">
        <f>IF($B611="","",IF($AO611="","対象年月が未入力／","")&amp;IF($B611="","",IF($AN611="","職員マスタに未登録の職員番号／",IF($Y611="","標準報酬月額が未登録／","")&amp;IF(AND($AO611&lt;&gt;"",OR(AND(INDEX(職員マスタ!$G$6:$G$405,$AN611)&lt;&gt;"",INDEX(職員マスタ!$G$6:$G$405,$AN611)&gt;EOMONTH($AO611,0)),AND(INDEX(職員マスタ!$H$6:$H$405,$AN611)&lt;&gt;"",INDEX(職員マスタ!$H$6:$H$405,$AN611)&lt;$AO611))),"対象月が時短期間外／","")&amp;IF(AND(INDEX(職員マスタ!$F$6:$F$405,$AN611)&lt;&gt;"",$AO611&lt;&gt;"",INDEX(職員マスタ!$F$6:$F$405,$AN611)&lt;$AO611),"対象月に子が2歳到達済／","")&amp;IF(AND($H611&lt;&gt;"",INDEX(職員マスタ!$B$6:$B$405,$AN611)&lt;&gt;"",SUBSTITUTE(SUBSTITUTE($H611," ","")," ","")&lt;&gt;SUBSTITUTE(SUBSTITUTE(INDEX(職員マスタ!$B$6:$B$405,$AN611)," ","")," ","")),"氏名がマスタと相違／","")&amp;IF(AND($Q611&lt;&gt;"",INDEX(職員マスタ!$E$6:$E$405,$AN611)&lt;&gt;"",$Q611&lt;&gt;INDEX(職員マスタ!$E$6:$E$405,$AN611)),"子の生年月日がマスタと相違／","")&amp;IF(AND($L611&lt;&gt;"",INDEX(職員マスタ!$G$6:$G$405,$AN611)&lt;&gt;"",$L611&lt;&gt;INDEX(職員マスタ!$G$6:$G$405,$AN611)),"時短開始日がマスタと相違／","")&amp;IF(AND($M611&lt;&gt;"",INDEX(職員マスタ!$H$6:$H$405,$AN611)&lt;&gt;"",$M611&lt;&gt;INDEX(職員マスタ!$H$6:$H$405,$AN611)),"時短終了日がマスタと相違／","")))&amp;IF(AND($B611&lt;&gt;"",$E611=""),"報酬額が未入力／","")&amp;IF(N($U611)&gt;0,"申請書に入力エラーが残っています／","")&amp;IF(AND($B611&lt;&gt;"",$AO611&lt;&gt;""),IF(COUNTIFS($B$6:$B$3005,$B611,$C$6:$C$3005,$C611,$D$6:$D$3005,$D611)&gt;1,"同じ月の請求が重複しています／",""),"")&amp;IF(AND(N($E611)&gt;0,$Z611&lt;&gt;"",$Z611&lt;&gt;"×",$AC611=0,$AB611=""),"計算額が下限以下のため不支給／",""))</f>
        <v/>
      </c>
      <c r="AL611" s="12" t="n"/>
      <c r="AM611" s="14">
        <f>IF($AD611="保留中",COUNTIF($AD$6:$AD611,"保留中"),"")</f>
        <v/>
      </c>
      <c r="AN611" s="14">
        <f>IF($AO611="","",IF(SUMPRODUCT(MAX((職員マスタ!$A$6:$A$405=$B611)*(((職員マスタ!$G$6:$G$405="")+(職員マスタ!$G$6:$G$405&lt;=EOMONTH($AO611,0)))&gt;0)*(((職員マスタ!$H$6:$H$405="")+(職員マスタ!$H$6:$H$405&gt;=$AO611))&gt;0)*(ROW(職員マスタ!$A$6:$A$405)-5)))&gt;0,SUMPRODUCT(MAX((職員マスタ!$A$6:$A$405=$B611)*(((職員マスタ!$G$6:$G$405="")+(職員マスタ!$G$6:$G$405&lt;=EOMONTH($AO611,0)))&gt;0)*(((職員マスタ!$H$6:$H$405="")+(職員マスタ!$H$6:$H$405&gt;=$AO611))&gt;0)*(ROW(職員マスタ!$A$6:$A$405)-5))),IFERROR(MATCH($B611,職員マスタ!$A$6:$A$405,0),"")))</f>
        <v/>
      </c>
      <c r="AO611" s="16">
        <f>IF(OR($B611="",$C611="",$D611=""),"",DATE($C611+2018,$D611,1))</f>
        <v/>
      </c>
    </row>
    <row r="612">
      <c r="A612" s="11" t="n"/>
      <c r="B612" s="12" t="n"/>
      <c r="C612" s="12" t="n"/>
      <c r="D612" s="12" t="n"/>
      <c r="E612" s="13" t="n"/>
      <c r="F612" s="12" t="n"/>
      <c r="G612" s="13" t="n"/>
      <c r="H612" s="12" t="n"/>
      <c r="I612" s="12" t="n"/>
      <c r="J612" s="12" t="n"/>
      <c r="K612" s="12" t="n"/>
      <c r="L612" s="11" t="n"/>
      <c r="M612" s="11" t="n"/>
      <c r="N612" s="11" t="n"/>
      <c r="O612" s="11" t="n"/>
      <c r="P612" s="12" t="n"/>
      <c r="Q612" s="11" t="n"/>
      <c r="R612" s="12" t="n"/>
      <c r="S612" s="11" t="n"/>
      <c r="T612" s="12" t="n"/>
      <c r="U612" s="12" t="n"/>
      <c r="V612" s="14">
        <f>IF($AN612="",IF($B612="","",$H612),IF(INDEX(職員マスタ!$B$6:$B$405,$AN612)="",$H612,INDEX(職員マスタ!$B$6:$B$405,$AN612)))</f>
        <v/>
      </c>
      <c r="W612" s="14">
        <f>IF($AN612="",IF($B612="","",$R612),IF(INDEX(職員マスタ!$C$6:$C$405,$AN612)="",$R612,INDEX(職員マスタ!$C$6:$C$405,$AN612)))</f>
        <v/>
      </c>
      <c r="X612" s="14">
        <f>IF($AO612="","","R"&amp;$C612&amp;"."&amp;$D612)</f>
        <v/>
      </c>
      <c r="Y612" s="15">
        <f>IF($AN612="","",IF(INDEX(職員マスタ!$K$6:$K$405,$AN612)="","",INDEX(職員マスタ!$K$6:$K$405,$AN612)))</f>
        <v/>
      </c>
      <c r="Z612" s="14">
        <f>IF(OR($E612="",$Y612=""),"",IF($E612&gt;=$Y612,"×",IF($E612&gt;=$Y612*設定!$C$5,"△","○")))</f>
        <v/>
      </c>
      <c r="AA612" s="15">
        <f>IF($Z612="","",IF($Z612="×",0,IF($Z612="○",ROUNDDOWN($E612*設定!$C$4,0),ROUNDDOWN($E612*ROUND((9*$Y612-9*$E612)/(10*$E612),4),0))))</f>
        <v/>
      </c>
      <c r="AB612" s="13" t="n"/>
      <c r="AC612" s="15">
        <f>IF($B612="","",IF($AB612&lt;&gt;"",$AB612,IF($AA612="","",IF($AA612&lt;=設定!$C$3,0,$AA612))))</f>
        <v/>
      </c>
      <c r="AD612" s="14">
        <f>IF($B612="","",IF(AND($AE612&lt;&gt;"",$AG612="",$AJ612=""),"保留中",IF($AJ612&lt;&gt;"",IF(N($AC612)&gt;0,"支給済","不支給"),IF($AC612="","要確認",IF($AC612=0,"不支給","未処理")))))</f>
        <v/>
      </c>
      <c r="AE612" s="12" t="n"/>
      <c r="AF612" s="11" t="n"/>
      <c r="AG612" s="11" t="n"/>
      <c r="AH612" s="11" t="n"/>
      <c r="AI612" s="14">
        <f>IF(AND($AD612="保留中",$AF612&lt;&gt;""),TODAY()-$AF612,"")</f>
        <v/>
      </c>
      <c r="AJ612" s="12" t="n"/>
      <c r="AK612" s="14">
        <f>IF($B612="","",IF($AO612="","対象年月が未入力／","")&amp;IF($B612="","",IF($AN612="","職員マスタに未登録の職員番号／",IF($Y612="","標準報酬月額が未登録／","")&amp;IF(AND($AO612&lt;&gt;"",OR(AND(INDEX(職員マスタ!$G$6:$G$405,$AN612)&lt;&gt;"",INDEX(職員マスタ!$G$6:$G$405,$AN612)&gt;EOMONTH($AO612,0)),AND(INDEX(職員マスタ!$H$6:$H$405,$AN612)&lt;&gt;"",INDEX(職員マスタ!$H$6:$H$405,$AN612)&lt;$AO612))),"対象月が時短期間外／","")&amp;IF(AND(INDEX(職員マスタ!$F$6:$F$405,$AN612)&lt;&gt;"",$AO612&lt;&gt;"",INDEX(職員マスタ!$F$6:$F$405,$AN612)&lt;$AO612),"対象月に子が2歳到達済／","")&amp;IF(AND($H612&lt;&gt;"",INDEX(職員マスタ!$B$6:$B$405,$AN612)&lt;&gt;"",SUBSTITUTE(SUBSTITUTE($H612," ","")," ","")&lt;&gt;SUBSTITUTE(SUBSTITUTE(INDEX(職員マスタ!$B$6:$B$405,$AN612)," ","")," ","")),"氏名がマスタと相違／","")&amp;IF(AND($Q612&lt;&gt;"",INDEX(職員マスタ!$E$6:$E$405,$AN612)&lt;&gt;"",$Q612&lt;&gt;INDEX(職員マスタ!$E$6:$E$405,$AN612)),"子の生年月日がマスタと相違／","")&amp;IF(AND($L612&lt;&gt;"",INDEX(職員マスタ!$G$6:$G$405,$AN612)&lt;&gt;"",$L612&lt;&gt;INDEX(職員マスタ!$G$6:$G$405,$AN612)),"時短開始日がマスタと相違／","")&amp;IF(AND($M612&lt;&gt;"",INDEX(職員マスタ!$H$6:$H$405,$AN612)&lt;&gt;"",$M612&lt;&gt;INDEX(職員マスタ!$H$6:$H$405,$AN612)),"時短終了日がマスタと相違／","")))&amp;IF(AND($B612&lt;&gt;"",$E612=""),"報酬額が未入力／","")&amp;IF(N($U612)&gt;0,"申請書に入力エラーが残っています／","")&amp;IF(AND($B612&lt;&gt;"",$AO612&lt;&gt;""),IF(COUNTIFS($B$6:$B$3005,$B612,$C$6:$C$3005,$C612,$D$6:$D$3005,$D612)&gt;1,"同じ月の請求が重複しています／",""),"")&amp;IF(AND(N($E612)&gt;0,$Z612&lt;&gt;"",$Z612&lt;&gt;"×",$AC612=0,$AB612=""),"計算額が下限以下のため不支給／",""))</f>
        <v/>
      </c>
      <c r="AL612" s="12" t="n"/>
      <c r="AM612" s="14">
        <f>IF($AD612="保留中",COUNTIF($AD$6:$AD612,"保留中"),"")</f>
        <v/>
      </c>
      <c r="AN612" s="14">
        <f>IF($AO612="","",IF(SUMPRODUCT(MAX((職員マスタ!$A$6:$A$405=$B612)*(((職員マスタ!$G$6:$G$405="")+(職員マスタ!$G$6:$G$405&lt;=EOMONTH($AO612,0)))&gt;0)*(((職員マスタ!$H$6:$H$405="")+(職員マスタ!$H$6:$H$405&gt;=$AO612))&gt;0)*(ROW(職員マスタ!$A$6:$A$405)-5)))&gt;0,SUMPRODUCT(MAX((職員マスタ!$A$6:$A$405=$B612)*(((職員マスタ!$G$6:$G$405="")+(職員マスタ!$G$6:$G$405&lt;=EOMONTH($AO612,0)))&gt;0)*(((職員マスタ!$H$6:$H$405="")+(職員マスタ!$H$6:$H$405&gt;=$AO612))&gt;0)*(ROW(職員マスタ!$A$6:$A$405)-5))),IFERROR(MATCH($B612,職員マスタ!$A$6:$A$405,0),"")))</f>
        <v/>
      </c>
      <c r="AO612" s="16">
        <f>IF(OR($B612="",$C612="",$D612=""),"",DATE($C612+2018,$D612,1))</f>
        <v/>
      </c>
    </row>
    <row r="613">
      <c r="A613" s="11" t="n"/>
      <c r="B613" s="12" t="n"/>
      <c r="C613" s="12" t="n"/>
      <c r="D613" s="12" t="n"/>
      <c r="E613" s="13" t="n"/>
      <c r="F613" s="12" t="n"/>
      <c r="G613" s="13" t="n"/>
      <c r="H613" s="12" t="n"/>
      <c r="I613" s="12" t="n"/>
      <c r="J613" s="12" t="n"/>
      <c r="K613" s="12" t="n"/>
      <c r="L613" s="11" t="n"/>
      <c r="M613" s="11" t="n"/>
      <c r="N613" s="11" t="n"/>
      <c r="O613" s="11" t="n"/>
      <c r="P613" s="12" t="n"/>
      <c r="Q613" s="11" t="n"/>
      <c r="R613" s="12" t="n"/>
      <c r="S613" s="11" t="n"/>
      <c r="T613" s="12" t="n"/>
      <c r="U613" s="12" t="n"/>
      <c r="V613" s="14">
        <f>IF($AN613="",IF($B613="","",$H613),IF(INDEX(職員マスタ!$B$6:$B$405,$AN613)="",$H613,INDEX(職員マスタ!$B$6:$B$405,$AN613)))</f>
        <v/>
      </c>
      <c r="W613" s="14">
        <f>IF($AN613="",IF($B613="","",$R613),IF(INDEX(職員マスタ!$C$6:$C$405,$AN613)="",$R613,INDEX(職員マスタ!$C$6:$C$405,$AN613)))</f>
        <v/>
      </c>
      <c r="X613" s="14">
        <f>IF($AO613="","","R"&amp;$C613&amp;"."&amp;$D613)</f>
        <v/>
      </c>
      <c r="Y613" s="15">
        <f>IF($AN613="","",IF(INDEX(職員マスタ!$K$6:$K$405,$AN613)="","",INDEX(職員マスタ!$K$6:$K$405,$AN613)))</f>
        <v/>
      </c>
      <c r="Z613" s="14">
        <f>IF(OR($E613="",$Y613=""),"",IF($E613&gt;=$Y613,"×",IF($E613&gt;=$Y613*設定!$C$5,"△","○")))</f>
        <v/>
      </c>
      <c r="AA613" s="15">
        <f>IF($Z613="","",IF($Z613="×",0,IF($Z613="○",ROUNDDOWN($E613*設定!$C$4,0),ROUNDDOWN($E613*ROUND((9*$Y613-9*$E613)/(10*$E613),4),0))))</f>
        <v/>
      </c>
      <c r="AB613" s="13" t="n"/>
      <c r="AC613" s="15">
        <f>IF($B613="","",IF($AB613&lt;&gt;"",$AB613,IF($AA613="","",IF($AA613&lt;=設定!$C$3,0,$AA613))))</f>
        <v/>
      </c>
      <c r="AD613" s="14">
        <f>IF($B613="","",IF(AND($AE613&lt;&gt;"",$AG613="",$AJ613=""),"保留中",IF($AJ613&lt;&gt;"",IF(N($AC613)&gt;0,"支給済","不支給"),IF($AC613="","要確認",IF($AC613=0,"不支給","未処理")))))</f>
        <v/>
      </c>
      <c r="AE613" s="12" t="n"/>
      <c r="AF613" s="11" t="n"/>
      <c r="AG613" s="11" t="n"/>
      <c r="AH613" s="11" t="n"/>
      <c r="AI613" s="14">
        <f>IF(AND($AD613="保留中",$AF613&lt;&gt;""),TODAY()-$AF613,"")</f>
        <v/>
      </c>
      <c r="AJ613" s="12" t="n"/>
      <c r="AK613" s="14">
        <f>IF($B613="","",IF($AO613="","対象年月が未入力／","")&amp;IF($B613="","",IF($AN613="","職員マスタに未登録の職員番号／",IF($Y613="","標準報酬月額が未登録／","")&amp;IF(AND($AO613&lt;&gt;"",OR(AND(INDEX(職員マスタ!$G$6:$G$405,$AN613)&lt;&gt;"",INDEX(職員マスタ!$G$6:$G$405,$AN613)&gt;EOMONTH($AO613,0)),AND(INDEX(職員マスタ!$H$6:$H$405,$AN613)&lt;&gt;"",INDEX(職員マスタ!$H$6:$H$405,$AN613)&lt;$AO613))),"対象月が時短期間外／","")&amp;IF(AND(INDEX(職員マスタ!$F$6:$F$405,$AN613)&lt;&gt;"",$AO613&lt;&gt;"",INDEX(職員マスタ!$F$6:$F$405,$AN613)&lt;$AO613),"対象月に子が2歳到達済／","")&amp;IF(AND($H613&lt;&gt;"",INDEX(職員マスタ!$B$6:$B$405,$AN613)&lt;&gt;"",SUBSTITUTE(SUBSTITUTE($H613," ","")," ","")&lt;&gt;SUBSTITUTE(SUBSTITUTE(INDEX(職員マスタ!$B$6:$B$405,$AN613)," ","")," ","")),"氏名がマスタと相違／","")&amp;IF(AND($Q613&lt;&gt;"",INDEX(職員マスタ!$E$6:$E$405,$AN613)&lt;&gt;"",$Q613&lt;&gt;INDEX(職員マスタ!$E$6:$E$405,$AN613)),"子の生年月日がマスタと相違／","")&amp;IF(AND($L613&lt;&gt;"",INDEX(職員マスタ!$G$6:$G$405,$AN613)&lt;&gt;"",$L613&lt;&gt;INDEX(職員マスタ!$G$6:$G$405,$AN613)),"時短開始日がマスタと相違／","")&amp;IF(AND($M613&lt;&gt;"",INDEX(職員マスタ!$H$6:$H$405,$AN613)&lt;&gt;"",$M613&lt;&gt;INDEX(職員マスタ!$H$6:$H$405,$AN613)),"時短終了日がマスタと相違／","")))&amp;IF(AND($B613&lt;&gt;"",$E613=""),"報酬額が未入力／","")&amp;IF(N($U613)&gt;0,"申請書に入力エラーが残っています／","")&amp;IF(AND($B613&lt;&gt;"",$AO613&lt;&gt;""),IF(COUNTIFS($B$6:$B$3005,$B613,$C$6:$C$3005,$C613,$D$6:$D$3005,$D613)&gt;1,"同じ月の請求が重複しています／",""),"")&amp;IF(AND(N($E613)&gt;0,$Z613&lt;&gt;"",$Z613&lt;&gt;"×",$AC613=0,$AB613=""),"計算額が下限以下のため不支給／",""))</f>
        <v/>
      </c>
      <c r="AL613" s="12" t="n"/>
      <c r="AM613" s="14">
        <f>IF($AD613="保留中",COUNTIF($AD$6:$AD613,"保留中"),"")</f>
        <v/>
      </c>
      <c r="AN613" s="14">
        <f>IF($AO613="","",IF(SUMPRODUCT(MAX((職員マスタ!$A$6:$A$405=$B613)*(((職員マスタ!$G$6:$G$405="")+(職員マスタ!$G$6:$G$405&lt;=EOMONTH($AO613,0)))&gt;0)*(((職員マスタ!$H$6:$H$405="")+(職員マスタ!$H$6:$H$405&gt;=$AO613))&gt;0)*(ROW(職員マスタ!$A$6:$A$405)-5)))&gt;0,SUMPRODUCT(MAX((職員マスタ!$A$6:$A$405=$B613)*(((職員マスタ!$G$6:$G$405="")+(職員マスタ!$G$6:$G$405&lt;=EOMONTH($AO613,0)))&gt;0)*(((職員マスタ!$H$6:$H$405="")+(職員マスタ!$H$6:$H$405&gt;=$AO613))&gt;0)*(ROW(職員マスタ!$A$6:$A$405)-5))),IFERROR(MATCH($B613,職員マスタ!$A$6:$A$405,0),"")))</f>
        <v/>
      </c>
      <c r="AO613" s="16">
        <f>IF(OR($B613="",$C613="",$D613=""),"",DATE($C613+2018,$D613,1))</f>
        <v/>
      </c>
    </row>
    <row r="614">
      <c r="A614" s="11" t="n"/>
      <c r="B614" s="12" t="n"/>
      <c r="C614" s="12" t="n"/>
      <c r="D614" s="12" t="n"/>
      <c r="E614" s="13" t="n"/>
      <c r="F614" s="12" t="n"/>
      <c r="G614" s="13" t="n"/>
      <c r="H614" s="12" t="n"/>
      <c r="I614" s="12" t="n"/>
      <c r="J614" s="12" t="n"/>
      <c r="K614" s="12" t="n"/>
      <c r="L614" s="11" t="n"/>
      <c r="M614" s="11" t="n"/>
      <c r="N614" s="11" t="n"/>
      <c r="O614" s="11" t="n"/>
      <c r="P614" s="12" t="n"/>
      <c r="Q614" s="11" t="n"/>
      <c r="R614" s="12" t="n"/>
      <c r="S614" s="11" t="n"/>
      <c r="T614" s="12" t="n"/>
      <c r="U614" s="12" t="n"/>
      <c r="V614" s="14">
        <f>IF($AN614="",IF($B614="","",$H614),IF(INDEX(職員マスタ!$B$6:$B$405,$AN614)="",$H614,INDEX(職員マスタ!$B$6:$B$405,$AN614)))</f>
        <v/>
      </c>
      <c r="W614" s="14">
        <f>IF($AN614="",IF($B614="","",$R614),IF(INDEX(職員マスタ!$C$6:$C$405,$AN614)="",$R614,INDEX(職員マスタ!$C$6:$C$405,$AN614)))</f>
        <v/>
      </c>
      <c r="X614" s="14">
        <f>IF($AO614="","","R"&amp;$C614&amp;"."&amp;$D614)</f>
        <v/>
      </c>
      <c r="Y614" s="15">
        <f>IF($AN614="","",IF(INDEX(職員マスタ!$K$6:$K$405,$AN614)="","",INDEX(職員マスタ!$K$6:$K$405,$AN614)))</f>
        <v/>
      </c>
      <c r="Z614" s="14">
        <f>IF(OR($E614="",$Y614=""),"",IF($E614&gt;=$Y614,"×",IF($E614&gt;=$Y614*設定!$C$5,"△","○")))</f>
        <v/>
      </c>
      <c r="AA614" s="15">
        <f>IF($Z614="","",IF($Z614="×",0,IF($Z614="○",ROUNDDOWN($E614*設定!$C$4,0),ROUNDDOWN($E614*ROUND((9*$Y614-9*$E614)/(10*$E614),4),0))))</f>
        <v/>
      </c>
      <c r="AB614" s="13" t="n"/>
      <c r="AC614" s="15">
        <f>IF($B614="","",IF($AB614&lt;&gt;"",$AB614,IF($AA614="","",IF($AA614&lt;=設定!$C$3,0,$AA614))))</f>
        <v/>
      </c>
      <c r="AD614" s="14">
        <f>IF($B614="","",IF(AND($AE614&lt;&gt;"",$AG614="",$AJ614=""),"保留中",IF($AJ614&lt;&gt;"",IF(N($AC614)&gt;0,"支給済","不支給"),IF($AC614="","要確認",IF($AC614=0,"不支給","未処理")))))</f>
        <v/>
      </c>
      <c r="AE614" s="12" t="n"/>
      <c r="AF614" s="11" t="n"/>
      <c r="AG614" s="11" t="n"/>
      <c r="AH614" s="11" t="n"/>
      <c r="AI614" s="14">
        <f>IF(AND($AD614="保留中",$AF614&lt;&gt;""),TODAY()-$AF614,"")</f>
        <v/>
      </c>
      <c r="AJ614" s="12" t="n"/>
      <c r="AK614" s="14">
        <f>IF($B614="","",IF($AO614="","対象年月が未入力／","")&amp;IF($B614="","",IF($AN614="","職員マスタに未登録の職員番号／",IF($Y614="","標準報酬月額が未登録／","")&amp;IF(AND($AO614&lt;&gt;"",OR(AND(INDEX(職員マスタ!$G$6:$G$405,$AN614)&lt;&gt;"",INDEX(職員マスタ!$G$6:$G$405,$AN614)&gt;EOMONTH($AO614,0)),AND(INDEX(職員マスタ!$H$6:$H$405,$AN614)&lt;&gt;"",INDEX(職員マスタ!$H$6:$H$405,$AN614)&lt;$AO614))),"対象月が時短期間外／","")&amp;IF(AND(INDEX(職員マスタ!$F$6:$F$405,$AN614)&lt;&gt;"",$AO614&lt;&gt;"",INDEX(職員マスタ!$F$6:$F$405,$AN614)&lt;$AO614),"対象月に子が2歳到達済／","")&amp;IF(AND($H614&lt;&gt;"",INDEX(職員マスタ!$B$6:$B$405,$AN614)&lt;&gt;"",SUBSTITUTE(SUBSTITUTE($H614," ","")," ","")&lt;&gt;SUBSTITUTE(SUBSTITUTE(INDEX(職員マスタ!$B$6:$B$405,$AN614)," ","")," ","")),"氏名がマスタと相違／","")&amp;IF(AND($Q614&lt;&gt;"",INDEX(職員マスタ!$E$6:$E$405,$AN614)&lt;&gt;"",$Q614&lt;&gt;INDEX(職員マスタ!$E$6:$E$405,$AN614)),"子の生年月日がマスタと相違／","")&amp;IF(AND($L614&lt;&gt;"",INDEX(職員マスタ!$G$6:$G$405,$AN614)&lt;&gt;"",$L614&lt;&gt;INDEX(職員マスタ!$G$6:$G$405,$AN614)),"時短開始日がマスタと相違／","")&amp;IF(AND($M614&lt;&gt;"",INDEX(職員マスタ!$H$6:$H$405,$AN614)&lt;&gt;"",$M614&lt;&gt;INDEX(職員マスタ!$H$6:$H$405,$AN614)),"時短終了日がマスタと相違／","")))&amp;IF(AND($B614&lt;&gt;"",$E614=""),"報酬額が未入力／","")&amp;IF(N($U614)&gt;0,"申請書に入力エラーが残っています／","")&amp;IF(AND($B614&lt;&gt;"",$AO614&lt;&gt;""),IF(COUNTIFS($B$6:$B$3005,$B614,$C$6:$C$3005,$C614,$D$6:$D$3005,$D614)&gt;1,"同じ月の請求が重複しています／",""),"")&amp;IF(AND(N($E614)&gt;0,$Z614&lt;&gt;"",$Z614&lt;&gt;"×",$AC614=0,$AB614=""),"計算額が下限以下のため不支給／",""))</f>
        <v/>
      </c>
      <c r="AL614" s="12" t="n"/>
      <c r="AM614" s="14">
        <f>IF($AD614="保留中",COUNTIF($AD$6:$AD614,"保留中"),"")</f>
        <v/>
      </c>
      <c r="AN614" s="14">
        <f>IF($AO614="","",IF(SUMPRODUCT(MAX((職員マスタ!$A$6:$A$405=$B614)*(((職員マスタ!$G$6:$G$405="")+(職員マスタ!$G$6:$G$405&lt;=EOMONTH($AO614,0)))&gt;0)*(((職員マスタ!$H$6:$H$405="")+(職員マスタ!$H$6:$H$405&gt;=$AO614))&gt;0)*(ROW(職員マスタ!$A$6:$A$405)-5)))&gt;0,SUMPRODUCT(MAX((職員マスタ!$A$6:$A$405=$B614)*(((職員マスタ!$G$6:$G$405="")+(職員マスタ!$G$6:$G$405&lt;=EOMONTH($AO614,0)))&gt;0)*(((職員マスタ!$H$6:$H$405="")+(職員マスタ!$H$6:$H$405&gt;=$AO614))&gt;0)*(ROW(職員マスタ!$A$6:$A$405)-5))),IFERROR(MATCH($B614,職員マスタ!$A$6:$A$405,0),"")))</f>
        <v/>
      </c>
      <c r="AO614" s="16">
        <f>IF(OR($B614="",$C614="",$D614=""),"",DATE($C614+2018,$D614,1))</f>
        <v/>
      </c>
    </row>
    <row r="615">
      <c r="A615" s="11" t="n"/>
      <c r="B615" s="12" t="n"/>
      <c r="C615" s="12" t="n"/>
      <c r="D615" s="12" t="n"/>
      <c r="E615" s="13" t="n"/>
      <c r="F615" s="12" t="n"/>
      <c r="G615" s="13" t="n"/>
      <c r="H615" s="12" t="n"/>
      <c r="I615" s="12" t="n"/>
      <c r="J615" s="12" t="n"/>
      <c r="K615" s="12" t="n"/>
      <c r="L615" s="11" t="n"/>
      <c r="M615" s="11" t="n"/>
      <c r="N615" s="11" t="n"/>
      <c r="O615" s="11" t="n"/>
      <c r="P615" s="12" t="n"/>
      <c r="Q615" s="11" t="n"/>
      <c r="R615" s="12" t="n"/>
      <c r="S615" s="11" t="n"/>
      <c r="T615" s="12" t="n"/>
      <c r="U615" s="12" t="n"/>
      <c r="V615" s="14">
        <f>IF($AN615="",IF($B615="","",$H615),IF(INDEX(職員マスタ!$B$6:$B$405,$AN615)="",$H615,INDEX(職員マスタ!$B$6:$B$405,$AN615)))</f>
        <v/>
      </c>
      <c r="W615" s="14">
        <f>IF($AN615="",IF($B615="","",$R615),IF(INDEX(職員マスタ!$C$6:$C$405,$AN615)="",$R615,INDEX(職員マスタ!$C$6:$C$405,$AN615)))</f>
        <v/>
      </c>
      <c r="X615" s="14">
        <f>IF($AO615="","","R"&amp;$C615&amp;"."&amp;$D615)</f>
        <v/>
      </c>
      <c r="Y615" s="15">
        <f>IF($AN615="","",IF(INDEX(職員マスタ!$K$6:$K$405,$AN615)="","",INDEX(職員マスタ!$K$6:$K$405,$AN615)))</f>
        <v/>
      </c>
      <c r="Z615" s="14">
        <f>IF(OR($E615="",$Y615=""),"",IF($E615&gt;=$Y615,"×",IF($E615&gt;=$Y615*設定!$C$5,"△","○")))</f>
        <v/>
      </c>
      <c r="AA615" s="15">
        <f>IF($Z615="","",IF($Z615="×",0,IF($Z615="○",ROUNDDOWN($E615*設定!$C$4,0),ROUNDDOWN($E615*ROUND((9*$Y615-9*$E615)/(10*$E615),4),0))))</f>
        <v/>
      </c>
      <c r="AB615" s="13" t="n"/>
      <c r="AC615" s="15">
        <f>IF($B615="","",IF($AB615&lt;&gt;"",$AB615,IF($AA615="","",IF($AA615&lt;=設定!$C$3,0,$AA615))))</f>
        <v/>
      </c>
      <c r="AD615" s="14">
        <f>IF($B615="","",IF(AND($AE615&lt;&gt;"",$AG615="",$AJ615=""),"保留中",IF($AJ615&lt;&gt;"",IF(N($AC615)&gt;0,"支給済","不支給"),IF($AC615="","要確認",IF($AC615=0,"不支給","未処理")))))</f>
        <v/>
      </c>
      <c r="AE615" s="12" t="n"/>
      <c r="AF615" s="11" t="n"/>
      <c r="AG615" s="11" t="n"/>
      <c r="AH615" s="11" t="n"/>
      <c r="AI615" s="14">
        <f>IF(AND($AD615="保留中",$AF615&lt;&gt;""),TODAY()-$AF615,"")</f>
        <v/>
      </c>
      <c r="AJ615" s="12" t="n"/>
      <c r="AK615" s="14">
        <f>IF($B615="","",IF($AO615="","対象年月が未入力／","")&amp;IF($B615="","",IF($AN615="","職員マスタに未登録の職員番号／",IF($Y615="","標準報酬月額が未登録／","")&amp;IF(AND($AO615&lt;&gt;"",OR(AND(INDEX(職員マスタ!$G$6:$G$405,$AN615)&lt;&gt;"",INDEX(職員マスタ!$G$6:$G$405,$AN615)&gt;EOMONTH($AO615,0)),AND(INDEX(職員マスタ!$H$6:$H$405,$AN615)&lt;&gt;"",INDEX(職員マスタ!$H$6:$H$405,$AN615)&lt;$AO615))),"対象月が時短期間外／","")&amp;IF(AND(INDEX(職員マスタ!$F$6:$F$405,$AN615)&lt;&gt;"",$AO615&lt;&gt;"",INDEX(職員マスタ!$F$6:$F$405,$AN615)&lt;$AO615),"対象月に子が2歳到達済／","")&amp;IF(AND($H615&lt;&gt;"",INDEX(職員マスタ!$B$6:$B$405,$AN615)&lt;&gt;"",SUBSTITUTE(SUBSTITUTE($H615," ","")," ","")&lt;&gt;SUBSTITUTE(SUBSTITUTE(INDEX(職員マスタ!$B$6:$B$405,$AN615)," ","")," ","")),"氏名がマスタと相違／","")&amp;IF(AND($Q615&lt;&gt;"",INDEX(職員マスタ!$E$6:$E$405,$AN615)&lt;&gt;"",$Q615&lt;&gt;INDEX(職員マスタ!$E$6:$E$405,$AN615)),"子の生年月日がマスタと相違／","")&amp;IF(AND($L615&lt;&gt;"",INDEX(職員マスタ!$G$6:$G$405,$AN615)&lt;&gt;"",$L615&lt;&gt;INDEX(職員マスタ!$G$6:$G$405,$AN615)),"時短開始日がマスタと相違／","")&amp;IF(AND($M615&lt;&gt;"",INDEX(職員マスタ!$H$6:$H$405,$AN615)&lt;&gt;"",$M615&lt;&gt;INDEX(職員マスタ!$H$6:$H$405,$AN615)),"時短終了日がマスタと相違／","")))&amp;IF(AND($B615&lt;&gt;"",$E615=""),"報酬額が未入力／","")&amp;IF(N($U615)&gt;0,"申請書に入力エラーが残っています／","")&amp;IF(AND($B615&lt;&gt;"",$AO615&lt;&gt;""),IF(COUNTIFS($B$6:$B$3005,$B615,$C$6:$C$3005,$C615,$D$6:$D$3005,$D615)&gt;1,"同じ月の請求が重複しています／",""),"")&amp;IF(AND(N($E615)&gt;0,$Z615&lt;&gt;"",$Z615&lt;&gt;"×",$AC615=0,$AB615=""),"計算額が下限以下のため不支給／",""))</f>
        <v/>
      </c>
      <c r="AL615" s="12" t="n"/>
      <c r="AM615" s="14">
        <f>IF($AD615="保留中",COUNTIF($AD$6:$AD615,"保留中"),"")</f>
        <v/>
      </c>
      <c r="AN615" s="14">
        <f>IF($AO615="","",IF(SUMPRODUCT(MAX((職員マスタ!$A$6:$A$405=$B615)*(((職員マスタ!$G$6:$G$405="")+(職員マスタ!$G$6:$G$405&lt;=EOMONTH($AO615,0)))&gt;0)*(((職員マスタ!$H$6:$H$405="")+(職員マスタ!$H$6:$H$405&gt;=$AO615))&gt;0)*(ROW(職員マスタ!$A$6:$A$405)-5)))&gt;0,SUMPRODUCT(MAX((職員マスタ!$A$6:$A$405=$B615)*(((職員マスタ!$G$6:$G$405="")+(職員マスタ!$G$6:$G$405&lt;=EOMONTH($AO615,0)))&gt;0)*(((職員マスタ!$H$6:$H$405="")+(職員マスタ!$H$6:$H$405&gt;=$AO615))&gt;0)*(ROW(職員マスタ!$A$6:$A$405)-5))),IFERROR(MATCH($B615,職員マスタ!$A$6:$A$405,0),"")))</f>
        <v/>
      </c>
      <c r="AO615" s="16">
        <f>IF(OR($B615="",$C615="",$D615=""),"",DATE($C615+2018,$D615,1))</f>
        <v/>
      </c>
    </row>
    <row r="616">
      <c r="A616" s="11" t="n"/>
      <c r="B616" s="12" t="n"/>
      <c r="C616" s="12" t="n"/>
      <c r="D616" s="12" t="n"/>
      <c r="E616" s="13" t="n"/>
      <c r="F616" s="12" t="n"/>
      <c r="G616" s="13" t="n"/>
      <c r="H616" s="12" t="n"/>
      <c r="I616" s="12" t="n"/>
      <c r="J616" s="12" t="n"/>
      <c r="K616" s="12" t="n"/>
      <c r="L616" s="11" t="n"/>
      <c r="M616" s="11" t="n"/>
      <c r="N616" s="11" t="n"/>
      <c r="O616" s="11" t="n"/>
      <c r="P616" s="12" t="n"/>
      <c r="Q616" s="11" t="n"/>
      <c r="R616" s="12" t="n"/>
      <c r="S616" s="11" t="n"/>
      <c r="T616" s="12" t="n"/>
      <c r="U616" s="12" t="n"/>
      <c r="V616" s="14">
        <f>IF($AN616="",IF($B616="","",$H616),IF(INDEX(職員マスタ!$B$6:$B$405,$AN616)="",$H616,INDEX(職員マスタ!$B$6:$B$405,$AN616)))</f>
        <v/>
      </c>
      <c r="W616" s="14">
        <f>IF($AN616="",IF($B616="","",$R616),IF(INDEX(職員マスタ!$C$6:$C$405,$AN616)="",$R616,INDEX(職員マスタ!$C$6:$C$405,$AN616)))</f>
        <v/>
      </c>
      <c r="X616" s="14">
        <f>IF($AO616="","","R"&amp;$C616&amp;"."&amp;$D616)</f>
        <v/>
      </c>
      <c r="Y616" s="15">
        <f>IF($AN616="","",IF(INDEX(職員マスタ!$K$6:$K$405,$AN616)="","",INDEX(職員マスタ!$K$6:$K$405,$AN616)))</f>
        <v/>
      </c>
      <c r="Z616" s="14">
        <f>IF(OR($E616="",$Y616=""),"",IF($E616&gt;=$Y616,"×",IF($E616&gt;=$Y616*設定!$C$5,"△","○")))</f>
        <v/>
      </c>
      <c r="AA616" s="15">
        <f>IF($Z616="","",IF($Z616="×",0,IF($Z616="○",ROUNDDOWN($E616*設定!$C$4,0),ROUNDDOWN($E616*ROUND((9*$Y616-9*$E616)/(10*$E616),4),0))))</f>
        <v/>
      </c>
      <c r="AB616" s="13" t="n"/>
      <c r="AC616" s="15">
        <f>IF($B616="","",IF($AB616&lt;&gt;"",$AB616,IF($AA616="","",IF($AA616&lt;=設定!$C$3,0,$AA616))))</f>
        <v/>
      </c>
      <c r="AD616" s="14">
        <f>IF($B616="","",IF(AND($AE616&lt;&gt;"",$AG616="",$AJ616=""),"保留中",IF($AJ616&lt;&gt;"",IF(N($AC616)&gt;0,"支給済","不支給"),IF($AC616="","要確認",IF($AC616=0,"不支給","未処理")))))</f>
        <v/>
      </c>
      <c r="AE616" s="12" t="n"/>
      <c r="AF616" s="11" t="n"/>
      <c r="AG616" s="11" t="n"/>
      <c r="AH616" s="11" t="n"/>
      <c r="AI616" s="14">
        <f>IF(AND($AD616="保留中",$AF616&lt;&gt;""),TODAY()-$AF616,"")</f>
        <v/>
      </c>
      <c r="AJ616" s="12" t="n"/>
      <c r="AK616" s="14">
        <f>IF($B616="","",IF($AO616="","対象年月が未入力／","")&amp;IF($B616="","",IF($AN616="","職員マスタに未登録の職員番号／",IF($Y616="","標準報酬月額が未登録／","")&amp;IF(AND($AO616&lt;&gt;"",OR(AND(INDEX(職員マスタ!$G$6:$G$405,$AN616)&lt;&gt;"",INDEX(職員マスタ!$G$6:$G$405,$AN616)&gt;EOMONTH($AO616,0)),AND(INDEX(職員マスタ!$H$6:$H$405,$AN616)&lt;&gt;"",INDEX(職員マスタ!$H$6:$H$405,$AN616)&lt;$AO616))),"対象月が時短期間外／","")&amp;IF(AND(INDEX(職員マスタ!$F$6:$F$405,$AN616)&lt;&gt;"",$AO616&lt;&gt;"",INDEX(職員マスタ!$F$6:$F$405,$AN616)&lt;$AO616),"対象月に子が2歳到達済／","")&amp;IF(AND($H616&lt;&gt;"",INDEX(職員マスタ!$B$6:$B$405,$AN616)&lt;&gt;"",SUBSTITUTE(SUBSTITUTE($H616," ","")," ","")&lt;&gt;SUBSTITUTE(SUBSTITUTE(INDEX(職員マスタ!$B$6:$B$405,$AN616)," ","")," ","")),"氏名がマスタと相違／","")&amp;IF(AND($Q616&lt;&gt;"",INDEX(職員マスタ!$E$6:$E$405,$AN616)&lt;&gt;"",$Q616&lt;&gt;INDEX(職員マスタ!$E$6:$E$405,$AN616)),"子の生年月日がマスタと相違／","")&amp;IF(AND($L616&lt;&gt;"",INDEX(職員マスタ!$G$6:$G$405,$AN616)&lt;&gt;"",$L616&lt;&gt;INDEX(職員マスタ!$G$6:$G$405,$AN616)),"時短開始日がマスタと相違／","")&amp;IF(AND($M616&lt;&gt;"",INDEX(職員マスタ!$H$6:$H$405,$AN616)&lt;&gt;"",$M616&lt;&gt;INDEX(職員マスタ!$H$6:$H$405,$AN616)),"時短終了日がマスタと相違／","")))&amp;IF(AND($B616&lt;&gt;"",$E616=""),"報酬額が未入力／","")&amp;IF(N($U616)&gt;0,"申請書に入力エラーが残っています／","")&amp;IF(AND($B616&lt;&gt;"",$AO616&lt;&gt;""),IF(COUNTIFS($B$6:$B$3005,$B616,$C$6:$C$3005,$C616,$D$6:$D$3005,$D616)&gt;1,"同じ月の請求が重複しています／",""),"")&amp;IF(AND(N($E616)&gt;0,$Z616&lt;&gt;"",$Z616&lt;&gt;"×",$AC616=0,$AB616=""),"計算額が下限以下のため不支給／",""))</f>
        <v/>
      </c>
      <c r="AL616" s="12" t="n"/>
      <c r="AM616" s="14">
        <f>IF($AD616="保留中",COUNTIF($AD$6:$AD616,"保留中"),"")</f>
        <v/>
      </c>
      <c r="AN616" s="14">
        <f>IF($AO616="","",IF(SUMPRODUCT(MAX((職員マスタ!$A$6:$A$405=$B616)*(((職員マスタ!$G$6:$G$405="")+(職員マスタ!$G$6:$G$405&lt;=EOMONTH($AO616,0)))&gt;0)*(((職員マスタ!$H$6:$H$405="")+(職員マスタ!$H$6:$H$405&gt;=$AO616))&gt;0)*(ROW(職員マスタ!$A$6:$A$405)-5)))&gt;0,SUMPRODUCT(MAX((職員マスタ!$A$6:$A$405=$B616)*(((職員マスタ!$G$6:$G$405="")+(職員マスタ!$G$6:$G$405&lt;=EOMONTH($AO616,0)))&gt;0)*(((職員マスタ!$H$6:$H$405="")+(職員マスタ!$H$6:$H$405&gt;=$AO616))&gt;0)*(ROW(職員マスタ!$A$6:$A$405)-5))),IFERROR(MATCH($B616,職員マスタ!$A$6:$A$405,0),"")))</f>
        <v/>
      </c>
      <c r="AO616" s="16">
        <f>IF(OR($B616="",$C616="",$D616=""),"",DATE($C616+2018,$D616,1))</f>
        <v/>
      </c>
    </row>
    <row r="617">
      <c r="A617" s="11" t="n"/>
      <c r="B617" s="12" t="n"/>
      <c r="C617" s="12" t="n"/>
      <c r="D617" s="12" t="n"/>
      <c r="E617" s="13" t="n"/>
      <c r="F617" s="12" t="n"/>
      <c r="G617" s="13" t="n"/>
      <c r="H617" s="12" t="n"/>
      <c r="I617" s="12" t="n"/>
      <c r="J617" s="12" t="n"/>
      <c r="K617" s="12" t="n"/>
      <c r="L617" s="11" t="n"/>
      <c r="M617" s="11" t="n"/>
      <c r="N617" s="11" t="n"/>
      <c r="O617" s="11" t="n"/>
      <c r="P617" s="12" t="n"/>
      <c r="Q617" s="11" t="n"/>
      <c r="R617" s="12" t="n"/>
      <c r="S617" s="11" t="n"/>
      <c r="T617" s="12" t="n"/>
      <c r="U617" s="12" t="n"/>
      <c r="V617" s="14">
        <f>IF($AN617="",IF($B617="","",$H617),IF(INDEX(職員マスタ!$B$6:$B$405,$AN617)="",$H617,INDEX(職員マスタ!$B$6:$B$405,$AN617)))</f>
        <v/>
      </c>
      <c r="W617" s="14">
        <f>IF($AN617="",IF($B617="","",$R617),IF(INDEX(職員マスタ!$C$6:$C$405,$AN617)="",$R617,INDEX(職員マスタ!$C$6:$C$405,$AN617)))</f>
        <v/>
      </c>
      <c r="X617" s="14">
        <f>IF($AO617="","","R"&amp;$C617&amp;"."&amp;$D617)</f>
        <v/>
      </c>
      <c r="Y617" s="15">
        <f>IF($AN617="","",IF(INDEX(職員マスタ!$K$6:$K$405,$AN617)="","",INDEX(職員マスタ!$K$6:$K$405,$AN617)))</f>
        <v/>
      </c>
      <c r="Z617" s="14">
        <f>IF(OR($E617="",$Y617=""),"",IF($E617&gt;=$Y617,"×",IF($E617&gt;=$Y617*設定!$C$5,"△","○")))</f>
        <v/>
      </c>
      <c r="AA617" s="15">
        <f>IF($Z617="","",IF($Z617="×",0,IF($Z617="○",ROUNDDOWN($E617*設定!$C$4,0),ROUNDDOWN($E617*ROUND((9*$Y617-9*$E617)/(10*$E617),4),0))))</f>
        <v/>
      </c>
      <c r="AB617" s="13" t="n"/>
      <c r="AC617" s="15">
        <f>IF($B617="","",IF($AB617&lt;&gt;"",$AB617,IF($AA617="","",IF($AA617&lt;=設定!$C$3,0,$AA617))))</f>
        <v/>
      </c>
      <c r="AD617" s="14">
        <f>IF($B617="","",IF(AND($AE617&lt;&gt;"",$AG617="",$AJ617=""),"保留中",IF($AJ617&lt;&gt;"",IF(N($AC617)&gt;0,"支給済","不支給"),IF($AC617="","要確認",IF($AC617=0,"不支給","未処理")))))</f>
        <v/>
      </c>
      <c r="AE617" s="12" t="n"/>
      <c r="AF617" s="11" t="n"/>
      <c r="AG617" s="11" t="n"/>
      <c r="AH617" s="11" t="n"/>
      <c r="AI617" s="14">
        <f>IF(AND($AD617="保留中",$AF617&lt;&gt;""),TODAY()-$AF617,"")</f>
        <v/>
      </c>
      <c r="AJ617" s="12" t="n"/>
      <c r="AK617" s="14">
        <f>IF($B617="","",IF($AO617="","対象年月が未入力／","")&amp;IF($B617="","",IF($AN617="","職員マスタに未登録の職員番号／",IF($Y617="","標準報酬月額が未登録／","")&amp;IF(AND($AO617&lt;&gt;"",OR(AND(INDEX(職員マスタ!$G$6:$G$405,$AN617)&lt;&gt;"",INDEX(職員マスタ!$G$6:$G$405,$AN617)&gt;EOMONTH($AO617,0)),AND(INDEX(職員マスタ!$H$6:$H$405,$AN617)&lt;&gt;"",INDEX(職員マスタ!$H$6:$H$405,$AN617)&lt;$AO617))),"対象月が時短期間外／","")&amp;IF(AND(INDEX(職員マスタ!$F$6:$F$405,$AN617)&lt;&gt;"",$AO617&lt;&gt;"",INDEX(職員マスタ!$F$6:$F$405,$AN617)&lt;$AO617),"対象月に子が2歳到達済／","")&amp;IF(AND($H617&lt;&gt;"",INDEX(職員マスタ!$B$6:$B$405,$AN617)&lt;&gt;"",SUBSTITUTE(SUBSTITUTE($H617," ","")," ","")&lt;&gt;SUBSTITUTE(SUBSTITUTE(INDEX(職員マスタ!$B$6:$B$405,$AN617)," ","")," ","")),"氏名がマスタと相違／","")&amp;IF(AND($Q617&lt;&gt;"",INDEX(職員マスタ!$E$6:$E$405,$AN617)&lt;&gt;"",$Q617&lt;&gt;INDEX(職員マスタ!$E$6:$E$405,$AN617)),"子の生年月日がマスタと相違／","")&amp;IF(AND($L617&lt;&gt;"",INDEX(職員マスタ!$G$6:$G$405,$AN617)&lt;&gt;"",$L617&lt;&gt;INDEX(職員マスタ!$G$6:$G$405,$AN617)),"時短開始日がマスタと相違／","")&amp;IF(AND($M617&lt;&gt;"",INDEX(職員マスタ!$H$6:$H$405,$AN617)&lt;&gt;"",$M617&lt;&gt;INDEX(職員マスタ!$H$6:$H$405,$AN617)),"時短終了日がマスタと相違／","")))&amp;IF(AND($B617&lt;&gt;"",$E617=""),"報酬額が未入力／","")&amp;IF(N($U617)&gt;0,"申請書に入力エラーが残っています／","")&amp;IF(AND($B617&lt;&gt;"",$AO617&lt;&gt;""),IF(COUNTIFS($B$6:$B$3005,$B617,$C$6:$C$3005,$C617,$D$6:$D$3005,$D617)&gt;1,"同じ月の請求が重複しています／",""),"")&amp;IF(AND(N($E617)&gt;0,$Z617&lt;&gt;"",$Z617&lt;&gt;"×",$AC617=0,$AB617=""),"計算額が下限以下のため不支給／",""))</f>
        <v/>
      </c>
      <c r="AL617" s="12" t="n"/>
      <c r="AM617" s="14">
        <f>IF($AD617="保留中",COUNTIF($AD$6:$AD617,"保留中"),"")</f>
        <v/>
      </c>
      <c r="AN617" s="14">
        <f>IF($AO617="","",IF(SUMPRODUCT(MAX((職員マスタ!$A$6:$A$405=$B617)*(((職員マスタ!$G$6:$G$405="")+(職員マスタ!$G$6:$G$405&lt;=EOMONTH($AO617,0)))&gt;0)*(((職員マスタ!$H$6:$H$405="")+(職員マスタ!$H$6:$H$405&gt;=$AO617))&gt;0)*(ROW(職員マスタ!$A$6:$A$405)-5)))&gt;0,SUMPRODUCT(MAX((職員マスタ!$A$6:$A$405=$B617)*(((職員マスタ!$G$6:$G$405="")+(職員マスタ!$G$6:$G$405&lt;=EOMONTH($AO617,0)))&gt;0)*(((職員マスタ!$H$6:$H$405="")+(職員マスタ!$H$6:$H$405&gt;=$AO617))&gt;0)*(ROW(職員マスタ!$A$6:$A$405)-5))),IFERROR(MATCH($B617,職員マスタ!$A$6:$A$405,0),"")))</f>
        <v/>
      </c>
      <c r="AO617" s="16">
        <f>IF(OR($B617="",$C617="",$D617=""),"",DATE($C617+2018,$D617,1))</f>
        <v/>
      </c>
    </row>
    <row r="618">
      <c r="A618" s="11" t="n"/>
      <c r="B618" s="12" t="n"/>
      <c r="C618" s="12" t="n"/>
      <c r="D618" s="12" t="n"/>
      <c r="E618" s="13" t="n"/>
      <c r="F618" s="12" t="n"/>
      <c r="G618" s="13" t="n"/>
      <c r="H618" s="12" t="n"/>
      <c r="I618" s="12" t="n"/>
      <c r="J618" s="12" t="n"/>
      <c r="K618" s="12" t="n"/>
      <c r="L618" s="11" t="n"/>
      <c r="M618" s="11" t="n"/>
      <c r="N618" s="11" t="n"/>
      <c r="O618" s="11" t="n"/>
      <c r="P618" s="12" t="n"/>
      <c r="Q618" s="11" t="n"/>
      <c r="R618" s="12" t="n"/>
      <c r="S618" s="11" t="n"/>
      <c r="T618" s="12" t="n"/>
      <c r="U618" s="12" t="n"/>
      <c r="V618" s="14">
        <f>IF($AN618="",IF($B618="","",$H618),IF(INDEX(職員マスタ!$B$6:$B$405,$AN618)="",$H618,INDEX(職員マスタ!$B$6:$B$405,$AN618)))</f>
        <v/>
      </c>
      <c r="W618" s="14">
        <f>IF($AN618="",IF($B618="","",$R618),IF(INDEX(職員マスタ!$C$6:$C$405,$AN618)="",$R618,INDEX(職員マスタ!$C$6:$C$405,$AN618)))</f>
        <v/>
      </c>
      <c r="X618" s="14">
        <f>IF($AO618="","","R"&amp;$C618&amp;"."&amp;$D618)</f>
        <v/>
      </c>
      <c r="Y618" s="15">
        <f>IF($AN618="","",IF(INDEX(職員マスタ!$K$6:$K$405,$AN618)="","",INDEX(職員マスタ!$K$6:$K$405,$AN618)))</f>
        <v/>
      </c>
      <c r="Z618" s="14">
        <f>IF(OR($E618="",$Y618=""),"",IF($E618&gt;=$Y618,"×",IF($E618&gt;=$Y618*設定!$C$5,"△","○")))</f>
        <v/>
      </c>
      <c r="AA618" s="15">
        <f>IF($Z618="","",IF($Z618="×",0,IF($Z618="○",ROUNDDOWN($E618*設定!$C$4,0),ROUNDDOWN($E618*ROUND((9*$Y618-9*$E618)/(10*$E618),4),0))))</f>
        <v/>
      </c>
      <c r="AB618" s="13" t="n"/>
      <c r="AC618" s="15">
        <f>IF($B618="","",IF($AB618&lt;&gt;"",$AB618,IF($AA618="","",IF($AA618&lt;=設定!$C$3,0,$AA618))))</f>
        <v/>
      </c>
      <c r="AD618" s="14">
        <f>IF($B618="","",IF(AND($AE618&lt;&gt;"",$AG618="",$AJ618=""),"保留中",IF($AJ618&lt;&gt;"",IF(N($AC618)&gt;0,"支給済","不支給"),IF($AC618="","要確認",IF($AC618=0,"不支給","未処理")))))</f>
        <v/>
      </c>
      <c r="AE618" s="12" t="n"/>
      <c r="AF618" s="11" t="n"/>
      <c r="AG618" s="11" t="n"/>
      <c r="AH618" s="11" t="n"/>
      <c r="AI618" s="14">
        <f>IF(AND($AD618="保留中",$AF618&lt;&gt;""),TODAY()-$AF618,"")</f>
        <v/>
      </c>
      <c r="AJ618" s="12" t="n"/>
      <c r="AK618" s="14">
        <f>IF($B618="","",IF($AO618="","対象年月が未入力／","")&amp;IF($B618="","",IF($AN618="","職員マスタに未登録の職員番号／",IF($Y618="","標準報酬月額が未登録／","")&amp;IF(AND($AO618&lt;&gt;"",OR(AND(INDEX(職員マスタ!$G$6:$G$405,$AN618)&lt;&gt;"",INDEX(職員マスタ!$G$6:$G$405,$AN618)&gt;EOMONTH($AO618,0)),AND(INDEX(職員マスタ!$H$6:$H$405,$AN618)&lt;&gt;"",INDEX(職員マスタ!$H$6:$H$405,$AN618)&lt;$AO618))),"対象月が時短期間外／","")&amp;IF(AND(INDEX(職員マスタ!$F$6:$F$405,$AN618)&lt;&gt;"",$AO618&lt;&gt;"",INDEX(職員マスタ!$F$6:$F$405,$AN618)&lt;$AO618),"対象月に子が2歳到達済／","")&amp;IF(AND($H618&lt;&gt;"",INDEX(職員マスタ!$B$6:$B$405,$AN618)&lt;&gt;"",SUBSTITUTE(SUBSTITUTE($H618," ","")," ","")&lt;&gt;SUBSTITUTE(SUBSTITUTE(INDEX(職員マスタ!$B$6:$B$405,$AN618)," ","")," ","")),"氏名がマスタと相違／","")&amp;IF(AND($Q618&lt;&gt;"",INDEX(職員マスタ!$E$6:$E$405,$AN618)&lt;&gt;"",$Q618&lt;&gt;INDEX(職員マスタ!$E$6:$E$405,$AN618)),"子の生年月日がマスタと相違／","")&amp;IF(AND($L618&lt;&gt;"",INDEX(職員マスタ!$G$6:$G$405,$AN618)&lt;&gt;"",$L618&lt;&gt;INDEX(職員マスタ!$G$6:$G$405,$AN618)),"時短開始日がマスタと相違／","")&amp;IF(AND($M618&lt;&gt;"",INDEX(職員マスタ!$H$6:$H$405,$AN618)&lt;&gt;"",$M618&lt;&gt;INDEX(職員マスタ!$H$6:$H$405,$AN618)),"時短終了日がマスタと相違／","")))&amp;IF(AND($B618&lt;&gt;"",$E618=""),"報酬額が未入力／","")&amp;IF(N($U618)&gt;0,"申請書に入力エラーが残っています／","")&amp;IF(AND($B618&lt;&gt;"",$AO618&lt;&gt;""),IF(COUNTIFS($B$6:$B$3005,$B618,$C$6:$C$3005,$C618,$D$6:$D$3005,$D618)&gt;1,"同じ月の請求が重複しています／",""),"")&amp;IF(AND(N($E618)&gt;0,$Z618&lt;&gt;"",$Z618&lt;&gt;"×",$AC618=0,$AB618=""),"計算額が下限以下のため不支給／",""))</f>
        <v/>
      </c>
      <c r="AL618" s="12" t="n"/>
      <c r="AM618" s="14">
        <f>IF($AD618="保留中",COUNTIF($AD$6:$AD618,"保留中"),"")</f>
        <v/>
      </c>
      <c r="AN618" s="14">
        <f>IF($AO618="","",IF(SUMPRODUCT(MAX((職員マスタ!$A$6:$A$405=$B618)*(((職員マスタ!$G$6:$G$405="")+(職員マスタ!$G$6:$G$405&lt;=EOMONTH($AO618,0)))&gt;0)*(((職員マスタ!$H$6:$H$405="")+(職員マスタ!$H$6:$H$405&gt;=$AO618))&gt;0)*(ROW(職員マスタ!$A$6:$A$405)-5)))&gt;0,SUMPRODUCT(MAX((職員マスタ!$A$6:$A$405=$B618)*(((職員マスタ!$G$6:$G$405="")+(職員マスタ!$G$6:$G$405&lt;=EOMONTH($AO618,0)))&gt;0)*(((職員マスタ!$H$6:$H$405="")+(職員マスタ!$H$6:$H$405&gt;=$AO618))&gt;0)*(ROW(職員マスタ!$A$6:$A$405)-5))),IFERROR(MATCH($B618,職員マスタ!$A$6:$A$405,0),"")))</f>
        <v/>
      </c>
      <c r="AO618" s="16">
        <f>IF(OR($B618="",$C618="",$D618=""),"",DATE($C618+2018,$D618,1))</f>
        <v/>
      </c>
    </row>
    <row r="619">
      <c r="A619" s="11" t="n"/>
      <c r="B619" s="12" t="n"/>
      <c r="C619" s="12" t="n"/>
      <c r="D619" s="12" t="n"/>
      <c r="E619" s="13" t="n"/>
      <c r="F619" s="12" t="n"/>
      <c r="G619" s="13" t="n"/>
      <c r="H619" s="12" t="n"/>
      <c r="I619" s="12" t="n"/>
      <c r="J619" s="12" t="n"/>
      <c r="K619" s="12" t="n"/>
      <c r="L619" s="11" t="n"/>
      <c r="M619" s="11" t="n"/>
      <c r="N619" s="11" t="n"/>
      <c r="O619" s="11" t="n"/>
      <c r="P619" s="12" t="n"/>
      <c r="Q619" s="11" t="n"/>
      <c r="R619" s="12" t="n"/>
      <c r="S619" s="11" t="n"/>
      <c r="T619" s="12" t="n"/>
      <c r="U619" s="12" t="n"/>
      <c r="V619" s="14">
        <f>IF($AN619="",IF($B619="","",$H619),IF(INDEX(職員マスタ!$B$6:$B$405,$AN619)="",$H619,INDEX(職員マスタ!$B$6:$B$405,$AN619)))</f>
        <v/>
      </c>
      <c r="W619" s="14">
        <f>IF($AN619="",IF($B619="","",$R619),IF(INDEX(職員マスタ!$C$6:$C$405,$AN619)="",$R619,INDEX(職員マスタ!$C$6:$C$405,$AN619)))</f>
        <v/>
      </c>
      <c r="X619" s="14">
        <f>IF($AO619="","","R"&amp;$C619&amp;"."&amp;$D619)</f>
        <v/>
      </c>
      <c r="Y619" s="15">
        <f>IF($AN619="","",IF(INDEX(職員マスタ!$K$6:$K$405,$AN619)="","",INDEX(職員マスタ!$K$6:$K$405,$AN619)))</f>
        <v/>
      </c>
      <c r="Z619" s="14">
        <f>IF(OR($E619="",$Y619=""),"",IF($E619&gt;=$Y619,"×",IF($E619&gt;=$Y619*設定!$C$5,"△","○")))</f>
        <v/>
      </c>
      <c r="AA619" s="15">
        <f>IF($Z619="","",IF($Z619="×",0,IF($Z619="○",ROUNDDOWN($E619*設定!$C$4,0),ROUNDDOWN($E619*ROUND((9*$Y619-9*$E619)/(10*$E619),4),0))))</f>
        <v/>
      </c>
      <c r="AB619" s="13" t="n"/>
      <c r="AC619" s="15">
        <f>IF($B619="","",IF($AB619&lt;&gt;"",$AB619,IF($AA619="","",IF($AA619&lt;=設定!$C$3,0,$AA619))))</f>
        <v/>
      </c>
      <c r="AD619" s="14">
        <f>IF($B619="","",IF(AND($AE619&lt;&gt;"",$AG619="",$AJ619=""),"保留中",IF($AJ619&lt;&gt;"",IF(N($AC619)&gt;0,"支給済","不支給"),IF($AC619="","要確認",IF($AC619=0,"不支給","未処理")))))</f>
        <v/>
      </c>
      <c r="AE619" s="12" t="n"/>
      <c r="AF619" s="11" t="n"/>
      <c r="AG619" s="11" t="n"/>
      <c r="AH619" s="11" t="n"/>
      <c r="AI619" s="14">
        <f>IF(AND($AD619="保留中",$AF619&lt;&gt;""),TODAY()-$AF619,"")</f>
        <v/>
      </c>
      <c r="AJ619" s="12" t="n"/>
      <c r="AK619" s="14">
        <f>IF($B619="","",IF($AO619="","対象年月が未入力／","")&amp;IF($B619="","",IF($AN619="","職員マスタに未登録の職員番号／",IF($Y619="","標準報酬月額が未登録／","")&amp;IF(AND($AO619&lt;&gt;"",OR(AND(INDEX(職員マスタ!$G$6:$G$405,$AN619)&lt;&gt;"",INDEX(職員マスタ!$G$6:$G$405,$AN619)&gt;EOMONTH($AO619,0)),AND(INDEX(職員マスタ!$H$6:$H$405,$AN619)&lt;&gt;"",INDEX(職員マスタ!$H$6:$H$405,$AN619)&lt;$AO619))),"対象月が時短期間外／","")&amp;IF(AND(INDEX(職員マスタ!$F$6:$F$405,$AN619)&lt;&gt;"",$AO619&lt;&gt;"",INDEX(職員マスタ!$F$6:$F$405,$AN619)&lt;$AO619),"対象月に子が2歳到達済／","")&amp;IF(AND($H619&lt;&gt;"",INDEX(職員マスタ!$B$6:$B$405,$AN619)&lt;&gt;"",SUBSTITUTE(SUBSTITUTE($H619," ","")," ","")&lt;&gt;SUBSTITUTE(SUBSTITUTE(INDEX(職員マスタ!$B$6:$B$405,$AN619)," ","")," ","")),"氏名がマスタと相違／","")&amp;IF(AND($Q619&lt;&gt;"",INDEX(職員マスタ!$E$6:$E$405,$AN619)&lt;&gt;"",$Q619&lt;&gt;INDEX(職員マスタ!$E$6:$E$405,$AN619)),"子の生年月日がマスタと相違／","")&amp;IF(AND($L619&lt;&gt;"",INDEX(職員マスタ!$G$6:$G$405,$AN619)&lt;&gt;"",$L619&lt;&gt;INDEX(職員マスタ!$G$6:$G$405,$AN619)),"時短開始日がマスタと相違／","")&amp;IF(AND($M619&lt;&gt;"",INDEX(職員マスタ!$H$6:$H$405,$AN619)&lt;&gt;"",$M619&lt;&gt;INDEX(職員マスタ!$H$6:$H$405,$AN619)),"時短終了日がマスタと相違／","")))&amp;IF(AND($B619&lt;&gt;"",$E619=""),"報酬額が未入力／","")&amp;IF(N($U619)&gt;0,"申請書に入力エラーが残っています／","")&amp;IF(AND($B619&lt;&gt;"",$AO619&lt;&gt;""),IF(COUNTIFS($B$6:$B$3005,$B619,$C$6:$C$3005,$C619,$D$6:$D$3005,$D619)&gt;1,"同じ月の請求が重複しています／",""),"")&amp;IF(AND(N($E619)&gt;0,$Z619&lt;&gt;"",$Z619&lt;&gt;"×",$AC619=0,$AB619=""),"計算額が下限以下のため不支給／",""))</f>
        <v/>
      </c>
      <c r="AL619" s="12" t="n"/>
      <c r="AM619" s="14">
        <f>IF($AD619="保留中",COUNTIF($AD$6:$AD619,"保留中"),"")</f>
        <v/>
      </c>
      <c r="AN619" s="14">
        <f>IF($AO619="","",IF(SUMPRODUCT(MAX((職員マスタ!$A$6:$A$405=$B619)*(((職員マスタ!$G$6:$G$405="")+(職員マスタ!$G$6:$G$405&lt;=EOMONTH($AO619,0)))&gt;0)*(((職員マスタ!$H$6:$H$405="")+(職員マスタ!$H$6:$H$405&gt;=$AO619))&gt;0)*(ROW(職員マスタ!$A$6:$A$405)-5)))&gt;0,SUMPRODUCT(MAX((職員マスタ!$A$6:$A$405=$B619)*(((職員マスタ!$G$6:$G$405="")+(職員マスタ!$G$6:$G$405&lt;=EOMONTH($AO619,0)))&gt;0)*(((職員マスタ!$H$6:$H$405="")+(職員マスタ!$H$6:$H$405&gt;=$AO619))&gt;0)*(ROW(職員マスタ!$A$6:$A$405)-5))),IFERROR(MATCH($B619,職員マスタ!$A$6:$A$405,0),"")))</f>
        <v/>
      </c>
      <c r="AO619" s="16">
        <f>IF(OR($B619="",$C619="",$D619=""),"",DATE($C619+2018,$D619,1))</f>
        <v/>
      </c>
    </row>
    <row r="620">
      <c r="A620" s="11" t="n"/>
      <c r="B620" s="12" t="n"/>
      <c r="C620" s="12" t="n"/>
      <c r="D620" s="12" t="n"/>
      <c r="E620" s="13" t="n"/>
      <c r="F620" s="12" t="n"/>
      <c r="G620" s="13" t="n"/>
      <c r="H620" s="12" t="n"/>
      <c r="I620" s="12" t="n"/>
      <c r="J620" s="12" t="n"/>
      <c r="K620" s="12" t="n"/>
      <c r="L620" s="11" t="n"/>
      <c r="M620" s="11" t="n"/>
      <c r="N620" s="11" t="n"/>
      <c r="O620" s="11" t="n"/>
      <c r="P620" s="12" t="n"/>
      <c r="Q620" s="11" t="n"/>
      <c r="R620" s="12" t="n"/>
      <c r="S620" s="11" t="n"/>
      <c r="T620" s="12" t="n"/>
      <c r="U620" s="12" t="n"/>
      <c r="V620" s="14">
        <f>IF($AN620="",IF($B620="","",$H620),IF(INDEX(職員マスタ!$B$6:$B$405,$AN620)="",$H620,INDEX(職員マスタ!$B$6:$B$405,$AN620)))</f>
        <v/>
      </c>
      <c r="W620" s="14">
        <f>IF($AN620="",IF($B620="","",$R620),IF(INDEX(職員マスタ!$C$6:$C$405,$AN620)="",$R620,INDEX(職員マスタ!$C$6:$C$405,$AN620)))</f>
        <v/>
      </c>
      <c r="X620" s="14">
        <f>IF($AO620="","","R"&amp;$C620&amp;"."&amp;$D620)</f>
        <v/>
      </c>
      <c r="Y620" s="15">
        <f>IF($AN620="","",IF(INDEX(職員マスタ!$K$6:$K$405,$AN620)="","",INDEX(職員マスタ!$K$6:$K$405,$AN620)))</f>
        <v/>
      </c>
      <c r="Z620" s="14">
        <f>IF(OR($E620="",$Y620=""),"",IF($E620&gt;=$Y620,"×",IF($E620&gt;=$Y620*設定!$C$5,"△","○")))</f>
        <v/>
      </c>
      <c r="AA620" s="15">
        <f>IF($Z620="","",IF($Z620="×",0,IF($Z620="○",ROUNDDOWN($E620*設定!$C$4,0),ROUNDDOWN($E620*ROUND((9*$Y620-9*$E620)/(10*$E620),4),0))))</f>
        <v/>
      </c>
      <c r="AB620" s="13" t="n"/>
      <c r="AC620" s="15">
        <f>IF($B620="","",IF($AB620&lt;&gt;"",$AB620,IF($AA620="","",IF($AA620&lt;=設定!$C$3,0,$AA620))))</f>
        <v/>
      </c>
      <c r="AD620" s="14">
        <f>IF($B620="","",IF(AND($AE620&lt;&gt;"",$AG620="",$AJ620=""),"保留中",IF($AJ620&lt;&gt;"",IF(N($AC620)&gt;0,"支給済","不支給"),IF($AC620="","要確認",IF($AC620=0,"不支給","未処理")))))</f>
        <v/>
      </c>
      <c r="AE620" s="12" t="n"/>
      <c r="AF620" s="11" t="n"/>
      <c r="AG620" s="11" t="n"/>
      <c r="AH620" s="11" t="n"/>
      <c r="AI620" s="14">
        <f>IF(AND($AD620="保留中",$AF620&lt;&gt;""),TODAY()-$AF620,"")</f>
        <v/>
      </c>
      <c r="AJ620" s="12" t="n"/>
      <c r="AK620" s="14">
        <f>IF($B620="","",IF($AO620="","対象年月が未入力／","")&amp;IF($B620="","",IF($AN620="","職員マスタに未登録の職員番号／",IF($Y620="","標準報酬月額が未登録／","")&amp;IF(AND($AO620&lt;&gt;"",OR(AND(INDEX(職員マスタ!$G$6:$G$405,$AN620)&lt;&gt;"",INDEX(職員マスタ!$G$6:$G$405,$AN620)&gt;EOMONTH($AO620,0)),AND(INDEX(職員マスタ!$H$6:$H$405,$AN620)&lt;&gt;"",INDEX(職員マスタ!$H$6:$H$405,$AN620)&lt;$AO620))),"対象月が時短期間外／","")&amp;IF(AND(INDEX(職員マスタ!$F$6:$F$405,$AN620)&lt;&gt;"",$AO620&lt;&gt;"",INDEX(職員マスタ!$F$6:$F$405,$AN620)&lt;$AO620),"対象月に子が2歳到達済／","")&amp;IF(AND($H620&lt;&gt;"",INDEX(職員マスタ!$B$6:$B$405,$AN620)&lt;&gt;"",SUBSTITUTE(SUBSTITUTE($H620," ","")," ","")&lt;&gt;SUBSTITUTE(SUBSTITUTE(INDEX(職員マスタ!$B$6:$B$405,$AN620)," ","")," ","")),"氏名がマスタと相違／","")&amp;IF(AND($Q620&lt;&gt;"",INDEX(職員マスタ!$E$6:$E$405,$AN620)&lt;&gt;"",$Q620&lt;&gt;INDEX(職員マスタ!$E$6:$E$405,$AN620)),"子の生年月日がマスタと相違／","")&amp;IF(AND($L620&lt;&gt;"",INDEX(職員マスタ!$G$6:$G$405,$AN620)&lt;&gt;"",$L620&lt;&gt;INDEX(職員マスタ!$G$6:$G$405,$AN620)),"時短開始日がマスタと相違／","")&amp;IF(AND($M620&lt;&gt;"",INDEX(職員マスタ!$H$6:$H$405,$AN620)&lt;&gt;"",$M620&lt;&gt;INDEX(職員マスタ!$H$6:$H$405,$AN620)),"時短終了日がマスタと相違／","")))&amp;IF(AND($B620&lt;&gt;"",$E620=""),"報酬額が未入力／","")&amp;IF(N($U620)&gt;0,"申請書に入力エラーが残っています／","")&amp;IF(AND($B620&lt;&gt;"",$AO620&lt;&gt;""),IF(COUNTIFS($B$6:$B$3005,$B620,$C$6:$C$3005,$C620,$D$6:$D$3005,$D620)&gt;1,"同じ月の請求が重複しています／",""),"")&amp;IF(AND(N($E620)&gt;0,$Z620&lt;&gt;"",$Z620&lt;&gt;"×",$AC620=0,$AB620=""),"計算額が下限以下のため不支給／",""))</f>
        <v/>
      </c>
      <c r="AL620" s="12" t="n"/>
      <c r="AM620" s="14">
        <f>IF($AD620="保留中",COUNTIF($AD$6:$AD620,"保留中"),"")</f>
        <v/>
      </c>
      <c r="AN620" s="14">
        <f>IF($AO620="","",IF(SUMPRODUCT(MAX((職員マスタ!$A$6:$A$405=$B620)*(((職員マスタ!$G$6:$G$405="")+(職員マスタ!$G$6:$G$405&lt;=EOMONTH($AO620,0)))&gt;0)*(((職員マスタ!$H$6:$H$405="")+(職員マスタ!$H$6:$H$405&gt;=$AO620))&gt;0)*(ROW(職員マスタ!$A$6:$A$405)-5)))&gt;0,SUMPRODUCT(MAX((職員マスタ!$A$6:$A$405=$B620)*(((職員マスタ!$G$6:$G$405="")+(職員マスタ!$G$6:$G$405&lt;=EOMONTH($AO620,0)))&gt;0)*(((職員マスタ!$H$6:$H$405="")+(職員マスタ!$H$6:$H$405&gt;=$AO620))&gt;0)*(ROW(職員マスタ!$A$6:$A$405)-5))),IFERROR(MATCH($B620,職員マスタ!$A$6:$A$405,0),"")))</f>
        <v/>
      </c>
      <c r="AO620" s="16">
        <f>IF(OR($B620="",$C620="",$D620=""),"",DATE($C620+2018,$D620,1))</f>
        <v/>
      </c>
    </row>
    <row r="621">
      <c r="A621" s="11" t="n"/>
      <c r="B621" s="12" t="n"/>
      <c r="C621" s="12" t="n"/>
      <c r="D621" s="12" t="n"/>
      <c r="E621" s="13" t="n"/>
      <c r="F621" s="12" t="n"/>
      <c r="G621" s="13" t="n"/>
      <c r="H621" s="12" t="n"/>
      <c r="I621" s="12" t="n"/>
      <c r="J621" s="12" t="n"/>
      <c r="K621" s="12" t="n"/>
      <c r="L621" s="11" t="n"/>
      <c r="M621" s="11" t="n"/>
      <c r="N621" s="11" t="n"/>
      <c r="O621" s="11" t="n"/>
      <c r="P621" s="12" t="n"/>
      <c r="Q621" s="11" t="n"/>
      <c r="R621" s="12" t="n"/>
      <c r="S621" s="11" t="n"/>
      <c r="T621" s="12" t="n"/>
      <c r="U621" s="12" t="n"/>
      <c r="V621" s="14">
        <f>IF($AN621="",IF($B621="","",$H621),IF(INDEX(職員マスタ!$B$6:$B$405,$AN621)="",$H621,INDEX(職員マスタ!$B$6:$B$405,$AN621)))</f>
        <v/>
      </c>
      <c r="W621" s="14">
        <f>IF($AN621="",IF($B621="","",$R621),IF(INDEX(職員マスタ!$C$6:$C$405,$AN621)="",$R621,INDEX(職員マスタ!$C$6:$C$405,$AN621)))</f>
        <v/>
      </c>
      <c r="X621" s="14">
        <f>IF($AO621="","","R"&amp;$C621&amp;"."&amp;$D621)</f>
        <v/>
      </c>
      <c r="Y621" s="15">
        <f>IF($AN621="","",IF(INDEX(職員マスタ!$K$6:$K$405,$AN621)="","",INDEX(職員マスタ!$K$6:$K$405,$AN621)))</f>
        <v/>
      </c>
      <c r="Z621" s="14">
        <f>IF(OR($E621="",$Y621=""),"",IF($E621&gt;=$Y621,"×",IF($E621&gt;=$Y621*設定!$C$5,"△","○")))</f>
        <v/>
      </c>
      <c r="AA621" s="15">
        <f>IF($Z621="","",IF($Z621="×",0,IF($Z621="○",ROUNDDOWN($E621*設定!$C$4,0),ROUNDDOWN($E621*ROUND((9*$Y621-9*$E621)/(10*$E621),4),0))))</f>
        <v/>
      </c>
      <c r="AB621" s="13" t="n"/>
      <c r="AC621" s="15">
        <f>IF($B621="","",IF($AB621&lt;&gt;"",$AB621,IF($AA621="","",IF($AA621&lt;=設定!$C$3,0,$AA621))))</f>
        <v/>
      </c>
      <c r="AD621" s="14">
        <f>IF($B621="","",IF(AND($AE621&lt;&gt;"",$AG621="",$AJ621=""),"保留中",IF($AJ621&lt;&gt;"",IF(N($AC621)&gt;0,"支給済","不支給"),IF($AC621="","要確認",IF($AC621=0,"不支給","未処理")))))</f>
        <v/>
      </c>
      <c r="AE621" s="12" t="n"/>
      <c r="AF621" s="11" t="n"/>
      <c r="AG621" s="11" t="n"/>
      <c r="AH621" s="11" t="n"/>
      <c r="AI621" s="14">
        <f>IF(AND($AD621="保留中",$AF621&lt;&gt;""),TODAY()-$AF621,"")</f>
        <v/>
      </c>
      <c r="AJ621" s="12" t="n"/>
      <c r="AK621" s="14">
        <f>IF($B621="","",IF($AO621="","対象年月が未入力／","")&amp;IF($B621="","",IF($AN621="","職員マスタに未登録の職員番号／",IF($Y621="","標準報酬月額が未登録／","")&amp;IF(AND($AO621&lt;&gt;"",OR(AND(INDEX(職員マスタ!$G$6:$G$405,$AN621)&lt;&gt;"",INDEX(職員マスタ!$G$6:$G$405,$AN621)&gt;EOMONTH($AO621,0)),AND(INDEX(職員マスタ!$H$6:$H$405,$AN621)&lt;&gt;"",INDEX(職員マスタ!$H$6:$H$405,$AN621)&lt;$AO621))),"対象月が時短期間外／","")&amp;IF(AND(INDEX(職員マスタ!$F$6:$F$405,$AN621)&lt;&gt;"",$AO621&lt;&gt;"",INDEX(職員マスタ!$F$6:$F$405,$AN621)&lt;$AO621),"対象月に子が2歳到達済／","")&amp;IF(AND($H621&lt;&gt;"",INDEX(職員マスタ!$B$6:$B$405,$AN621)&lt;&gt;"",SUBSTITUTE(SUBSTITUTE($H621," ","")," ","")&lt;&gt;SUBSTITUTE(SUBSTITUTE(INDEX(職員マスタ!$B$6:$B$405,$AN621)," ","")," ","")),"氏名がマスタと相違／","")&amp;IF(AND($Q621&lt;&gt;"",INDEX(職員マスタ!$E$6:$E$405,$AN621)&lt;&gt;"",$Q621&lt;&gt;INDEX(職員マスタ!$E$6:$E$405,$AN621)),"子の生年月日がマスタと相違／","")&amp;IF(AND($L621&lt;&gt;"",INDEX(職員マスタ!$G$6:$G$405,$AN621)&lt;&gt;"",$L621&lt;&gt;INDEX(職員マスタ!$G$6:$G$405,$AN621)),"時短開始日がマスタと相違／","")&amp;IF(AND($M621&lt;&gt;"",INDEX(職員マスタ!$H$6:$H$405,$AN621)&lt;&gt;"",$M621&lt;&gt;INDEX(職員マスタ!$H$6:$H$405,$AN621)),"時短終了日がマスタと相違／","")))&amp;IF(AND($B621&lt;&gt;"",$E621=""),"報酬額が未入力／","")&amp;IF(N($U621)&gt;0,"申請書に入力エラーが残っています／","")&amp;IF(AND($B621&lt;&gt;"",$AO621&lt;&gt;""),IF(COUNTIFS($B$6:$B$3005,$B621,$C$6:$C$3005,$C621,$D$6:$D$3005,$D621)&gt;1,"同じ月の請求が重複しています／",""),"")&amp;IF(AND(N($E621)&gt;0,$Z621&lt;&gt;"",$Z621&lt;&gt;"×",$AC621=0,$AB621=""),"計算額が下限以下のため不支給／",""))</f>
        <v/>
      </c>
      <c r="AL621" s="12" t="n"/>
      <c r="AM621" s="14">
        <f>IF($AD621="保留中",COUNTIF($AD$6:$AD621,"保留中"),"")</f>
        <v/>
      </c>
      <c r="AN621" s="14">
        <f>IF($AO621="","",IF(SUMPRODUCT(MAX((職員マスタ!$A$6:$A$405=$B621)*(((職員マスタ!$G$6:$G$405="")+(職員マスタ!$G$6:$G$405&lt;=EOMONTH($AO621,0)))&gt;0)*(((職員マスタ!$H$6:$H$405="")+(職員マスタ!$H$6:$H$405&gt;=$AO621))&gt;0)*(ROW(職員マスタ!$A$6:$A$405)-5)))&gt;0,SUMPRODUCT(MAX((職員マスタ!$A$6:$A$405=$B621)*(((職員マスタ!$G$6:$G$405="")+(職員マスタ!$G$6:$G$405&lt;=EOMONTH($AO621,0)))&gt;0)*(((職員マスタ!$H$6:$H$405="")+(職員マスタ!$H$6:$H$405&gt;=$AO621))&gt;0)*(ROW(職員マスタ!$A$6:$A$405)-5))),IFERROR(MATCH($B621,職員マスタ!$A$6:$A$405,0),"")))</f>
        <v/>
      </c>
      <c r="AO621" s="16">
        <f>IF(OR($B621="",$C621="",$D621=""),"",DATE($C621+2018,$D621,1))</f>
        <v/>
      </c>
    </row>
    <row r="622">
      <c r="A622" s="11" t="n"/>
      <c r="B622" s="12" t="n"/>
      <c r="C622" s="12" t="n"/>
      <c r="D622" s="12" t="n"/>
      <c r="E622" s="13" t="n"/>
      <c r="F622" s="12" t="n"/>
      <c r="G622" s="13" t="n"/>
      <c r="H622" s="12" t="n"/>
      <c r="I622" s="12" t="n"/>
      <c r="J622" s="12" t="n"/>
      <c r="K622" s="12" t="n"/>
      <c r="L622" s="11" t="n"/>
      <c r="M622" s="11" t="n"/>
      <c r="N622" s="11" t="n"/>
      <c r="O622" s="11" t="n"/>
      <c r="P622" s="12" t="n"/>
      <c r="Q622" s="11" t="n"/>
      <c r="R622" s="12" t="n"/>
      <c r="S622" s="11" t="n"/>
      <c r="T622" s="12" t="n"/>
      <c r="U622" s="12" t="n"/>
      <c r="V622" s="14">
        <f>IF($AN622="",IF($B622="","",$H622),IF(INDEX(職員マスタ!$B$6:$B$405,$AN622)="",$H622,INDEX(職員マスタ!$B$6:$B$405,$AN622)))</f>
        <v/>
      </c>
      <c r="W622" s="14">
        <f>IF($AN622="",IF($B622="","",$R622),IF(INDEX(職員マスタ!$C$6:$C$405,$AN622)="",$R622,INDEX(職員マスタ!$C$6:$C$405,$AN622)))</f>
        <v/>
      </c>
      <c r="X622" s="14">
        <f>IF($AO622="","","R"&amp;$C622&amp;"."&amp;$D622)</f>
        <v/>
      </c>
      <c r="Y622" s="15">
        <f>IF($AN622="","",IF(INDEX(職員マスタ!$K$6:$K$405,$AN622)="","",INDEX(職員マスタ!$K$6:$K$405,$AN622)))</f>
        <v/>
      </c>
      <c r="Z622" s="14">
        <f>IF(OR($E622="",$Y622=""),"",IF($E622&gt;=$Y622,"×",IF($E622&gt;=$Y622*設定!$C$5,"△","○")))</f>
        <v/>
      </c>
      <c r="AA622" s="15">
        <f>IF($Z622="","",IF($Z622="×",0,IF($Z622="○",ROUNDDOWN($E622*設定!$C$4,0),ROUNDDOWN($E622*ROUND((9*$Y622-9*$E622)/(10*$E622),4),0))))</f>
        <v/>
      </c>
      <c r="AB622" s="13" t="n"/>
      <c r="AC622" s="15">
        <f>IF($B622="","",IF($AB622&lt;&gt;"",$AB622,IF($AA622="","",IF($AA622&lt;=設定!$C$3,0,$AA622))))</f>
        <v/>
      </c>
      <c r="AD622" s="14">
        <f>IF($B622="","",IF(AND($AE622&lt;&gt;"",$AG622="",$AJ622=""),"保留中",IF($AJ622&lt;&gt;"",IF(N($AC622)&gt;0,"支給済","不支給"),IF($AC622="","要確認",IF($AC622=0,"不支給","未処理")))))</f>
        <v/>
      </c>
      <c r="AE622" s="12" t="n"/>
      <c r="AF622" s="11" t="n"/>
      <c r="AG622" s="11" t="n"/>
      <c r="AH622" s="11" t="n"/>
      <c r="AI622" s="14">
        <f>IF(AND($AD622="保留中",$AF622&lt;&gt;""),TODAY()-$AF622,"")</f>
        <v/>
      </c>
      <c r="AJ622" s="12" t="n"/>
      <c r="AK622" s="14">
        <f>IF($B622="","",IF($AO622="","対象年月が未入力／","")&amp;IF($B622="","",IF($AN622="","職員マスタに未登録の職員番号／",IF($Y622="","標準報酬月額が未登録／","")&amp;IF(AND($AO622&lt;&gt;"",OR(AND(INDEX(職員マスタ!$G$6:$G$405,$AN622)&lt;&gt;"",INDEX(職員マスタ!$G$6:$G$405,$AN622)&gt;EOMONTH($AO622,0)),AND(INDEX(職員マスタ!$H$6:$H$405,$AN622)&lt;&gt;"",INDEX(職員マスタ!$H$6:$H$405,$AN622)&lt;$AO622))),"対象月が時短期間外／","")&amp;IF(AND(INDEX(職員マスタ!$F$6:$F$405,$AN622)&lt;&gt;"",$AO622&lt;&gt;"",INDEX(職員マスタ!$F$6:$F$405,$AN622)&lt;$AO622),"対象月に子が2歳到達済／","")&amp;IF(AND($H622&lt;&gt;"",INDEX(職員マスタ!$B$6:$B$405,$AN622)&lt;&gt;"",SUBSTITUTE(SUBSTITUTE($H622," ","")," ","")&lt;&gt;SUBSTITUTE(SUBSTITUTE(INDEX(職員マスタ!$B$6:$B$405,$AN622)," ","")," ","")),"氏名がマスタと相違／","")&amp;IF(AND($Q622&lt;&gt;"",INDEX(職員マスタ!$E$6:$E$405,$AN622)&lt;&gt;"",$Q622&lt;&gt;INDEX(職員マスタ!$E$6:$E$405,$AN622)),"子の生年月日がマスタと相違／","")&amp;IF(AND($L622&lt;&gt;"",INDEX(職員マスタ!$G$6:$G$405,$AN622)&lt;&gt;"",$L622&lt;&gt;INDEX(職員マスタ!$G$6:$G$405,$AN622)),"時短開始日がマスタと相違／","")&amp;IF(AND($M622&lt;&gt;"",INDEX(職員マスタ!$H$6:$H$405,$AN622)&lt;&gt;"",$M622&lt;&gt;INDEX(職員マスタ!$H$6:$H$405,$AN622)),"時短終了日がマスタと相違／","")))&amp;IF(AND($B622&lt;&gt;"",$E622=""),"報酬額が未入力／","")&amp;IF(N($U622)&gt;0,"申請書に入力エラーが残っています／","")&amp;IF(AND($B622&lt;&gt;"",$AO622&lt;&gt;""),IF(COUNTIFS($B$6:$B$3005,$B622,$C$6:$C$3005,$C622,$D$6:$D$3005,$D622)&gt;1,"同じ月の請求が重複しています／",""),"")&amp;IF(AND(N($E622)&gt;0,$Z622&lt;&gt;"",$Z622&lt;&gt;"×",$AC622=0,$AB622=""),"計算額が下限以下のため不支給／",""))</f>
        <v/>
      </c>
      <c r="AL622" s="12" t="n"/>
      <c r="AM622" s="14">
        <f>IF($AD622="保留中",COUNTIF($AD$6:$AD622,"保留中"),"")</f>
        <v/>
      </c>
      <c r="AN622" s="14">
        <f>IF($AO622="","",IF(SUMPRODUCT(MAX((職員マスタ!$A$6:$A$405=$B622)*(((職員マスタ!$G$6:$G$405="")+(職員マスタ!$G$6:$G$405&lt;=EOMONTH($AO622,0)))&gt;0)*(((職員マスタ!$H$6:$H$405="")+(職員マスタ!$H$6:$H$405&gt;=$AO622))&gt;0)*(ROW(職員マスタ!$A$6:$A$405)-5)))&gt;0,SUMPRODUCT(MAX((職員マスタ!$A$6:$A$405=$B622)*(((職員マスタ!$G$6:$G$405="")+(職員マスタ!$G$6:$G$405&lt;=EOMONTH($AO622,0)))&gt;0)*(((職員マスタ!$H$6:$H$405="")+(職員マスタ!$H$6:$H$405&gt;=$AO622))&gt;0)*(ROW(職員マスタ!$A$6:$A$405)-5))),IFERROR(MATCH($B622,職員マスタ!$A$6:$A$405,0),"")))</f>
        <v/>
      </c>
      <c r="AO622" s="16">
        <f>IF(OR($B622="",$C622="",$D622=""),"",DATE($C622+2018,$D622,1))</f>
        <v/>
      </c>
    </row>
    <row r="623">
      <c r="A623" s="11" t="n"/>
      <c r="B623" s="12" t="n"/>
      <c r="C623" s="12" t="n"/>
      <c r="D623" s="12" t="n"/>
      <c r="E623" s="13" t="n"/>
      <c r="F623" s="12" t="n"/>
      <c r="G623" s="13" t="n"/>
      <c r="H623" s="12" t="n"/>
      <c r="I623" s="12" t="n"/>
      <c r="J623" s="12" t="n"/>
      <c r="K623" s="12" t="n"/>
      <c r="L623" s="11" t="n"/>
      <c r="M623" s="11" t="n"/>
      <c r="N623" s="11" t="n"/>
      <c r="O623" s="11" t="n"/>
      <c r="P623" s="12" t="n"/>
      <c r="Q623" s="11" t="n"/>
      <c r="R623" s="12" t="n"/>
      <c r="S623" s="11" t="n"/>
      <c r="T623" s="12" t="n"/>
      <c r="U623" s="12" t="n"/>
      <c r="V623" s="14">
        <f>IF($AN623="",IF($B623="","",$H623),IF(INDEX(職員マスタ!$B$6:$B$405,$AN623)="",$H623,INDEX(職員マスタ!$B$6:$B$405,$AN623)))</f>
        <v/>
      </c>
      <c r="W623" s="14">
        <f>IF($AN623="",IF($B623="","",$R623),IF(INDEX(職員マスタ!$C$6:$C$405,$AN623)="",$R623,INDEX(職員マスタ!$C$6:$C$405,$AN623)))</f>
        <v/>
      </c>
      <c r="X623" s="14">
        <f>IF($AO623="","","R"&amp;$C623&amp;"."&amp;$D623)</f>
        <v/>
      </c>
      <c r="Y623" s="15">
        <f>IF($AN623="","",IF(INDEX(職員マスタ!$K$6:$K$405,$AN623)="","",INDEX(職員マスタ!$K$6:$K$405,$AN623)))</f>
        <v/>
      </c>
      <c r="Z623" s="14">
        <f>IF(OR($E623="",$Y623=""),"",IF($E623&gt;=$Y623,"×",IF($E623&gt;=$Y623*設定!$C$5,"△","○")))</f>
        <v/>
      </c>
      <c r="AA623" s="15">
        <f>IF($Z623="","",IF($Z623="×",0,IF($Z623="○",ROUNDDOWN($E623*設定!$C$4,0),ROUNDDOWN($E623*ROUND((9*$Y623-9*$E623)/(10*$E623),4),0))))</f>
        <v/>
      </c>
      <c r="AB623" s="13" t="n"/>
      <c r="AC623" s="15">
        <f>IF($B623="","",IF($AB623&lt;&gt;"",$AB623,IF($AA623="","",IF($AA623&lt;=設定!$C$3,0,$AA623))))</f>
        <v/>
      </c>
      <c r="AD623" s="14">
        <f>IF($B623="","",IF(AND($AE623&lt;&gt;"",$AG623="",$AJ623=""),"保留中",IF($AJ623&lt;&gt;"",IF(N($AC623)&gt;0,"支給済","不支給"),IF($AC623="","要確認",IF($AC623=0,"不支給","未処理")))))</f>
        <v/>
      </c>
      <c r="AE623" s="12" t="n"/>
      <c r="AF623" s="11" t="n"/>
      <c r="AG623" s="11" t="n"/>
      <c r="AH623" s="11" t="n"/>
      <c r="AI623" s="14">
        <f>IF(AND($AD623="保留中",$AF623&lt;&gt;""),TODAY()-$AF623,"")</f>
        <v/>
      </c>
      <c r="AJ623" s="12" t="n"/>
      <c r="AK623" s="14">
        <f>IF($B623="","",IF($AO623="","対象年月が未入力／","")&amp;IF($B623="","",IF($AN623="","職員マスタに未登録の職員番号／",IF($Y623="","標準報酬月額が未登録／","")&amp;IF(AND($AO623&lt;&gt;"",OR(AND(INDEX(職員マスタ!$G$6:$G$405,$AN623)&lt;&gt;"",INDEX(職員マスタ!$G$6:$G$405,$AN623)&gt;EOMONTH($AO623,0)),AND(INDEX(職員マスタ!$H$6:$H$405,$AN623)&lt;&gt;"",INDEX(職員マスタ!$H$6:$H$405,$AN623)&lt;$AO623))),"対象月が時短期間外／","")&amp;IF(AND(INDEX(職員マスタ!$F$6:$F$405,$AN623)&lt;&gt;"",$AO623&lt;&gt;"",INDEX(職員マスタ!$F$6:$F$405,$AN623)&lt;$AO623),"対象月に子が2歳到達済／","")&amp;IF(AND($H623&lt;&gt;"",INDEX(職員マスタ!$B$6:$B$405,$AN623)&lt;&gt;"",SUBSTITUTE(SUBSTITUTE($H623," ","")," ","")&lt;&gt;SUBSTITUTE(SUBSTITUTE(INDEX(職員マスタ!$B$6:$B$405,$AN623)," ","")," ","")),"氏名がマスタと相違／","")&amp;IF(AND($Q623&lt;&gt;"",INDEX(職員マスタ!$E$6:$E$405,$AN623)&lt;&gt;"",$Q623&lt;&gt;INDEX(職員マスタ!$E$6:$E$405,$AN623)),"子の生年月日がマスタと相違／","")&amp;IF(AND($L623&lt;&gt;"",INDEX(職員マスタ!$G$6:$G$405,$AN623)&lt;&gt;"",$L623&lt;&gt;INDEX(職員マスタ!$G$6:$G$405,$AN623)),"時短開始日がマスタと相違／","")&amp;IF(AND($M623&lt;&gt;"",INDEX(職員マスタ!$H$6:$H$405,$AN623)&lt;&gt;"",$M623&lt;&gt;INDEX(職員マスタ!$H$6:$H$405,$AN623)),"時短終了日がマスタと相違／","")))&amp;IF(AND($B623&lt;&gt;"",$E623=""),"報酬額が未入力／","")&amp;IF(N($U623)&gt;0,"申請書に入力エラーが残っています／","")&amp;IF(AND($B623&lt;&gt;"",$AO623&lt;&gt;""),IF(COUNTIFS($B$6:$B$3005,$B623,$C$6:$C$3005,$C623,$D$6:$D$3005,$D623)&gt;1,"同じ月の請求が重複しています／",""),"")&amp;IF(AND(N($E623)&gt;0,$Z623&lt;&gt;"",$Z623&lt;&gt;"×",$AC623=0,$AB623=""),"計算額が下限以下のため不支給／",""))</f>
        <v/>
      </c>
      <c r="AL623" s="12" t="n"/>
      <c r="AM623" s="14">
        <f>IF($AD623="保留中",COUNTIF($AD$6:$AD623,"保留中"),"")</f>
        <v/>
      </c>
      <c r="AN623" s="14">
        <f>IF($AO623="","",IF(SUMPRODUCT(MAX((職員マスタ!$A$6:$A$405=$B623)*(((職員マスタ!$G$6:$G$405="")+(職員マスタ!$G$6:$G$405&lt;=EOMONTH($AO623,0)))&gt;0)*(((職員マスタ!$H$6:$H$405="")+(職員マスタ!$H$6:$H$405&gt;=$AO623))&gt;0)*(ROW(職員マスタ!$A$6:$A$405)-5)))&gt;0,SUMPRODUCT(MAX((職員マスタ!$A$6:$A$405=$B623)*(((職員マスタ!$G$6:$G$405="")+(職員マスタ!$G$6:$G$405&lt;=EOMONTH($AO623,0)))&gt;0)*(((職員マスタ!$H$6:$H$405="")+(職員マスタ!$H$6:$H$405&gt;=$AO623))&gt;0)*(ROW(職員マスタ!$A$6:$A$405)-5))),IFERROR(MATCH($B623,職員マスタ!$A$6:$A$405,0),"")))</f>
        <v/>
      </c>
      <c r="AO623" s="16">
        <f>IF(OR($B623="",$C623="",$D623=""),"",DATE($C623+2018,$D623,1))</f>
        <v/>
      </c>
    </row>
    <row r="624">
      <c r="A624" s="11" t="n"/>
      <c r="B624" s="12" t="n"/>
      <c r="C624" s="12" t="n"/>
      <c r="D624" s="12" t="n"/>
      <c r="E624" s="13" t="n"/>
      <c r="F624" s="12" t="n"/>
      <c r="G624" s="13" t="n"/>
      <c r="H624" s="12" t="n"/>
      <c r="I624" s="12" t="n"/>
      <c r="J624" s="12" t="n"/>
      <c r="K624" s="12" t="n"/>
      <c r="L624" s="11" t="n"/>
      <c r="M624" s="11" t="n"/>
      <c r="N624" s="11" t="n"/>
      <c r="O624" s="11" t="n"/>
      <c r="P624" s="12" t="n"/>
      <c r="Q624" s="11" t="n"/>
      <c r="R624" s="12" t="n"/>
      <c r="S624" s="11" t="n"/>
      <c r="T624" s="12" t="n"/>
      <c r="U624" s="12" t="n"/>
      <c r="V624" s="14">
        <f>IF($AN624="",IF($B624="","",$H624),IF(INDEX(職員マスタ!$B$6:$B$405,$AN624)="",$H624,INDEX(職員マスタ!$B$6:$B$405,$AN624)))</f>
        <v/>
      </c>
      <c r="W624" s="14">
        <f>IF($AN624="",IF($B624="","",$R624),IF(INDEX(職員マスタ!$C$6:$C$405,$AN624)="",$R624,INDEX(職員マスタ!$C$6:$C$405,$AN624)))</f>
        <v/>
      </c>
      <c r="X624" s="14">
        <f>IF($AO624="","","R"&amp;$C624&amp;"."&amp;$D624)</f>
        <v/>
      </c>
      <c r="Y624" s="15">
        <f>IF($AN624="","",IF(INDEX(職員マスタ!$K$6:$K$405,$AN624)="","",INDEX(職員マスタ!$K$6:$K$405,$AN624)))</f>
        <v/>
      </c>
      <c r="Z624" s="14">
        <f>IF(OR($E624="",$Y624=""),"",IF($E624&gt;=$Y624,"×",IF($E624&gt;=$Y624*設定!$C$5,"△","○")))</f>
        <v/>
      </c>
      <c r="AA624" s="15">
        <f>IF($Z624="","",IF($Z624="×",0,IF($Z624="○",ROUNDDOWN($E624*設定!$C$4,0),ROUNDDOWN($E624*ROUND((9*$Y624-9*$E624)/(10*$E624),4),0))))</f>
        <v/>
      </c>
      <c r="AB624" s="13" t="n"/>
      <c r="AC624" s="15">
        <f>IF($B624="","",IF($AB624&lt;&gt;"",$AB624,IF($AA624="","",IF($AA624&lt;=設定!$C$3,0,$AA624))))</f>
        <v/>
      </c>
      <c r="AD624" s="14">
        <f>IF($B624="","",IF(AND($AE624&lt;&gt;"",$AG624="",$AJ624=""),"保留中",IF($AJ624&lt;&gt;"",IF(N($AC624)&gt;0,"支給済","不支給"),IF($AC624="","要確認",IF($AC624=0,"不支給","未処理")))))</f>
        <v/>
      </c>
      <c r="AE624" s="12" t="n"/>
      <c r="AF624" s="11" t="n"/>
      <c r="AG624" s="11" t="n"/>
      <c r="AH624" s="11" t="n"/>
      <c r="AI624" s="14">
        <f>IF(AND($AD624="保留中",$AF624&lt;&gt;""),TODAY()-$AF624,"")</f>
        <v/>
      </c>
      <c r="AJ624" s="12" t="n"/>
      <c r="AK624" s="14">
        <f>IF($B624="","",IF($AO624="","対象年月が未入力／","")&amp;IF($B624="","",IF($AN624="","職員マスタに未登録の職員番号／",IF($Y624="","標準報酬月額が未登録／","")&amp;IF(AND($AO624&lt;&gt;"",OR(AND(INDEX(職員マスタ!$G$6:$G$405,$AN624)&lt;&gt;"",INDEX(職員マスタ!$G$6:$G$405,$AN624)&gt;EOMONTH($AO624,0)),AND(INDEX(職員マスタ!$H$6:$H$405,$AN624)&lt;&gt;"",INDEX(職員マスタ!$H$6:$H$405,$AN624)&lt;$AO624))),"対象月が時短期間外／","")&amp;IF(AND(INDEX(職員マスタ!$F$6:$F$405,$AN624)&lt;&gt;"",$AO624&lt;&gt;"",INDEX(職員マスタ!$F$6:$F$405,$AN624)&lt;$AO624),"対象月に子が2歳到達済／","")&amp;IF(AND($H624&lt;&gt;"",INDEX(職員マスタ!$B$6:$B$405,$AN624)&lt;&gt;"",SUBSTITUTE(SUBSTITUTE($H624," ","")," ","")&lt;&gt;SUBSTITUTE(SUBSTITUTE(INDEX(職員マスタ!$B$6:$B$405,$AN624)," ","")," ","")),"氏名がマスタと相違／","")&amp;IF(AND($Q624&lt;&gt;"",INDEX(職員マスタ!$E$6:$E$405,$AN624)&lt;&gt;"",$Q624&lt;&gt;INDEX(職員マスタ!$E$6:$E$405,$AN624)),"子の生年月日がマスタと相違／","")&amp;IF(AND($L624&lt;&gt;"",INDEX(職員マスタ!$G$6:$G$405,$AN624)&lt;&gt;"",$L624&lt;&gt;INDEX(職員マスタ!$G$6:$G$405,$AN624)),"時短開始日がマスタと相違／","")&amp;IF(AND($M624&lt;&gt;"",INDEX(職員マスタ!$H$6:$H$405,$AN624)&lt;&gt;"",$M624&lt;&gt;INDEX(職員マスタ!$H$6:$H$405,$AN624)),"時短終了日がマスタと相違／","")))&amp;IF(AND($B624&lt;&gt;"",$E624=""),"報酬額が未入力／","")&amp;IF(N($U624)&gt;0,"申請書に入力エラーが残っています／","")&amp;IF(AND($B624&lt;&gt;"",$AO624&lt;&gt;""),IF(COUNTIFS($B$6:$B$3005,$B624,$C$6:$C$3005,$C624,$D$6:$D$3005,$D624)&gt;1,"同じ月の請求が重複しています／",""),"")&amp;IF(AND(N($E624)&gt;0,$Z624&lt;&gt;"",$Z624&lt;&gt;"×",$AC624=0,$AB624=""),"計算額が下限以下のため不支給／",""))</f>
        <v/>
      </c>
      <c r="AL624" s="12" t="n"/>
      <c r="AM624" s="14">
        <f>IF($AD624="保留中",COUNTIF($AD$6:$AD624,"保留中"),"")</f>
        <v/>
      </c>
      <c r="AN624" s="14">
        <f>IF($AO624="","",IF(SUMPRODUCT(MAX((職員マスタ!$A$6:$A$405=$B624)*(((職員マスタ!$G$6:$G$405="")+(職員マスタ!$G$6:$G$405&lt;=EOMONTH($AO624,0)))&gt;0)*(((職員マスタ!$H$6:$H$405="")+(職員マスタ!$H$6:$H$405&gt;=$AO624))&gt;0)*(ROW(職員マスタ!$A$6:$A$405)-5)))&gt;0,SUMPRODUCT(MAX((職員マスタ!$A$6:$A$405=$B624)*(((職員マスタ!$G$6:$G$405="")+(職員マスタ!$G$6:$G$405&lt;=EOMONTH($AO624,0)))&gt;0)*(((職員マスタ!$H$6:$H$405="")+(職員マスタ!$H$6:$H$405&gt;=$AO624))&gt;0)*(ROW(職員マスタ!$A$6:$A$405)-5))),IFERROR(MATCH($B624,職員マスタ!$A$6:$A$405,0),"")))</f>
        <v/>
      </c>
      <c r="AO624" s="16">
        <f>IF(OR($B624="",$C624="",$D624=""),"",DATE($C624+2018,$D624,1))</f>
        <v/>
      </c>
    </row>
    <row r="625">
      <c r="A625" s="11" t="n"/>
      <c r="B625" s="12" t="n"/>
      <c r="C625" s="12" t="n"/>
      <c r="D625" s="12" t="n"/>
      <c r="E625" s="13" t="n"/>
      <c r="F625" s="12" t="n"/>
      <c r="G625" s="13" t="n"/>
      <c r="H625" s="12" t="n"/>
      <c r="I625" s="12" t="n"/>
      <c r="J625" s="12" t="n"/>
      <c r="K625" s="12" t="n"/>
      <c r="L625" s="11" t="n"/>
      <c r="M625" s="11" t="n"/>
      <c r="N625" s="11" t="n"/>
      <c r="O625" s="11" t="n"/>
      <c r="P625" s="12" t="n"/>
      <c r="Q625" s="11" t="n"/>
      <c r="R625" s="12" t="n"/>
      <c r="S625" s="11" t="n"/>
      <c r="T625" s="12" t="n"/>
      <c r="U625" s="12" t="n"/>
      <c r="V625" s="14">
        <f>IF($AN625="",IF($B625="","",$H625),IF(INDEX(職員マスタ!$B$6:$B$405,$AN625)="",$H625,INDEX(職員マスタ!$B$6:$B$405,$AN625)))</f>
        <v/>
      </c>
      <c r="W625" s="14">
        <f>IF($AN625="",IF($B625="","",$R625),IF(INDEX(職員マスタ!$C$6:$C$405,$AN625)="",$R625,INDEX(職員マスタ!$C$6:$C$405,$AN625)))</f>
        <v/>
      </c>
      <c r="X625" s="14">
        <f>IF($AO625="","","R"&amp;$C625&amp;"."&amp;$D625)</f>
        <v/>
      </c>
      <c r="Y625" s="15">
        <f>IF($AN625="","",IF(INDEX(職員マスタ!$K$6:$K$405,$AN625)="","",INDEX(職員マスタ!$K$6:$K$405,$AN625)))</f>
        <v/>
      </c>
      <c r="Z625" s="14">
        <f>IF(OR($E625="",$Y625=""),"",IF($E625&gt;=$Y625,"×",IF($E625&gt;=$Y625*設定!$C$5,"△","○")))</f>
        <v/>
      </c>
      <c r="AA625" s="15">
        <f>IF($Z625="","",IF($Z625="×",0,IF($Z625="○",ROUNDDOWN($E625*設定!$C$4,0),ROUNDDOWN($E625*ROUND((9*$Y625-9*$E625)/(10*$E625),4),0))))</f>
        <v/>
      </c>
      <c r="AB625" s="13" t="n"/>
      <c r="AC625" s="15">
        <f>IF($B625="","",IF($AB625&lt;&gt;"",$AB625,IF($AA625="","",IF($AA625&lt;=設定!$C$3,0,$AA625))))</f>
        <v/>
      </c>
      <c r="AD625" s="14">
        <f>IF($B625="","",IF(AND($AE625&lt;&gt;"",$AG625="",$AJ625=""),"保留中",IF($AJ625&lt;&gt;"",IF(N($AC625)&gt;0,"支給済","不支給"),IF($AC625="","要確認",IF($AC625=0,"不支給","未処理")))))</f>
        <v/>
      </c>
      <c r="AE625" s="12" t="n"/>
      <c r="AF625" s="11" t="n"/>
      <c r="AG625" s="11" t="n"/>
      <c r="AH625" s="11" t="n"/>
      <c r="AI625" s="14">
        <f>IF(AND($AD625="保留中",$AF625&lt;&gt;""),TODAY()-$AF625,"")</f>
        <v/>
      </c>
      <c r="AJ625" s="12" t="n"/>
      <c r="AK625" s="14">
        <f>IF($B625="","",IF($AO625="","対象年月が未入力／","")&amp;IF($B625="","",IF($AN625="","職員マスタに未登録の職員番号／",IF($Y625="","標準報酬月額が未登録／","")&amp;IF(AND($AO625&lt;&gt;"",OR(AND(INDEX(職員マスタ!$G$6:$G$405,$AN625)&lt;&gt;"",INDEX(職員マスタ!$G$6:$G$405,$AN625)&gt;EOMONTH($AO625,0)),AND(INDEX(職員マスタ!$H$6:$H$405,$AN625)&lt;&gt;"",INDEX(職員マスタ!$H$6:$H$405,$AN625)&lt;$AO625))),"対象月が時短期間外／","")&amp;IF(AND(INDEX(職員マスタ!$F$6:$F$405,$AN625)&lt;&gt;"",$AO625&lt;&gt;"",INDEX(職員マスタ!$F$6:$F$405,$AN625)&lt;$AO625),"対象月に子が2歳到達済／","")&amp;IF(AND($H625&lt;&gt;"",INDEX(職員マスタ!$B$6:$B$405,$AN625)&lt;&gt;"",SUBSTITUTE(SUBSTITUTE($H625," ","")," ","")&lt;&gt;SUBSTITUTE(SUBSTITUTE(INDEX(職員マスタ!$B$6:$B$405,$AN625)," ","")," ","")),"氏名がマスタと相違／","")&amp;IF(AND($Q625&lt;&gt;"",INDEX(職員マスタ!$E$6:$E$405,$AN625)&lt;&gt;"",$Q625&lt;&gt;INDEX(職員マスタ!$E$6:$E$405,$AN625)),"子の生年月日がマスタと相違／","")&amp;IF(AND($L625&lt;&gt;"",INDEX(職員マスタ!$G$6:$G$405,$AN625)&lt;&gt;"",$L625&lt;&gt;INDEX(職員マスタ!$G$6:$G$405,$AN625)),"時短開始日がマスタと相違／","")&amp;IF(AND($M625&lt;&gt;"",INDEX(職員マスタ!$H$6:$H$405,$AN625)&lt;&gt;"",$M625&lt;&gt;INDEX(職員マスタ!$H$6:$H$405,$AN625)),"時短終了日がマスタと相違／","")))&amp;IF(AND($B625&lt;&gt;"",$E625=""),"報酬額が未入力／","")&amp;IF(N($U625)&gt;0,"申請書に入力エラーが残っています／","")&amp;IF(AND($B625&lt;&gt;"",$AO625&lt;&gt;""),IF(COUNTIFS($B$6:$B$3005,$B625,$C$6:$C$3005,$C625,$D$6:$D$3005,$D625)&gt;1,"同じ月の請求が重複しています／",""),"")&amp;IF(AND(N($E625)&gt;0,$Z625&lt;&gt;"",$Z625&lt;&gt;"×",$AC625=0,$AB625=""),"計算額が下限以下のため不支給／",""))</f>
        <v/>
      </c>
      <c r="AL625" s="12" t="n"/>
      <c r="AM625" s="14">
        <f>IF($AD625="保留中",COUNTIF($AD$6:$AD625,"保留中"),"")</f>
        <v/>
      </c>
      <c r="AN625" s="14">
        <f>IF($AO625="","",IF(SUMPRODUCT(MAX((職員マスタ!$A$6:$A$405=$B625)*(((職員マスタ!$G$6:$G$405="")+(職員マスタ!$G$6:$G$405&lt;=EOMONTH($AO625,0)))&gt;0)*(((職員マスタ!$H$6:$H$405="")+(職員マスタ!$H$6:$H$405&gt;=$AO625))&gt;0)*(ROW(職員マスタ!$A$6:$A$405)-5)))&gt;0,SUMPRODUCT(MAX((職員マスタ!$A$6:$A$405=$B625)*(((職員マスタ!$G$6:$G$405="")+(職員マスタ!$G$6:$G$405&lt;=EOMONTH($AO625,0)))&gt;0)*(((職員マスタ!$H$6:$H$405="")+(職員マスタ!$H$6:$H$405&gt;=$AO625))&gt;0)*(ROW(職員マスタ!$A$6:$A$405)-5))),IFERROR(MATCH($B625,職員マスタ!$A$6:$A$405,0),"")))</f>
        <v/>
      </c>
      <c r="AO625" s="16">
        <f>IF(OR($B625="",$C625="",$D625=""),"",DATE($C625+2018,$D625,1))</f>
        <v/>
      </c>
    </row>
    <row r="626">
      <c r="A626" s="11" t="n"/>
      <c r="B626" s="12" t="n"/>
      <c r="C626" s="12" t="n"/>
      <c r="D626" s="12" t="n"/>
      <c r="E626" s="13" t="n"/>
      <c r="F626" s="12" t="n"/>
      <c r="G626" s="13" t="n"/>
      <c r="H626" s="12" t="n"/>
      <c r="I626" s="12" t="n"/>
      <c r="J626" s="12" t="n"/>
      <c r="K626" s="12" t="n"/>
      <c r="L626" s="11" t="n"/>
      <c r="M626" s="11" t="n"/>
      <c r="N626" s="11" t="n"/>
      <c r="O626" s="11" t="n"/>
      <c r="P626" s="12" t="n"/>
      <c r="Q626" s="11" t="n"/>
      <c r="R626" s="12" t="n"/>
      <c r="S626" s="11" t="n"/>
      <c r="T626" s="12" t="n"/>
      <c r="U626" s="12" t="n"/>
      <c r="V626" s="14">
        <f>IF($AN626="",IF($B626="","",$H626),IF(INDEX(職員マスタ!$B$6:$B$405,$AN626)="",$H626,INDEX(職員マスタ!$B$6:$B$405,$AN626)))</f>
        <v/>
      </c>
      <c r="W626" s="14">
        <f>IF($AN626="",IF($B626="","",$R626),IF(INDEX(職員マスタ!$C$6:$C$405,$AN626)="",$R626,INDEX(職員マスタ!$C$6:$C$405,$AN626)))</f>
        <v/>
      </c>
      <c r="X626" s="14">
        <f>IF($AO626="","","R"&amp;$C626&amp;"."&amp;$D626)</f>
        <v/>
      </c>
      <c r="Y626" s="15">
        <f>IF($AN626="","",IF(INDEX(職員マスタ!$K$6:$K$405,$AN626)="","",INDEX(職員マスタ!$K$6:$K$405,$AN626)))</f>
        <v/>
      </c>
      <c r="Z626" s="14">
        <f>IF(OR($E626="",$Y626=""),"",IF($E626&gt;=$Y626,"×",IF($E626&gt;=$Y626*設定!$C$5,"△","○")))</f>
        <v/>
      </c>
      <c r="AA626" s="15">
        <f>IF($Z626="","",IF($Z626="×",0,IF($Z626="○",ROUNDDOWN($E626*設定!$C$4,0),ROUNDDOWN($E626*ROUND((9*$Y626-9*$E626)/(10*$E626),4),0))))</f>
        <v/>
      </c>
      <c r="AB626" s="13" t="n"/>
      <c r="AC626" s="15">
        <f>IF($B626="","",IF($AB626&lt;&gt;"",$AB626,IF($AA626="","",IF($AA626&lt;=設定!$C$3,0,$AA626))))</f>
        <v/>
      </c>
      <c r="AD626" s="14">
        <f>IF($B626="","",IF(AND($AE626&lt;&gt;"",$AG626="",$AJ626=""),"保留中",IF($AJ626&lt;&gt;"",IF(N($AC626)&gt;0,"支給済","不支給"),IF($AC626="","要確認",IF($AC626=0,"不支給","未処理")))))</f>
        <v/>
      </c>
      <c r="AE626" s="12" t="n"/>
      <c r="AF626" s="11" t="n"/>
      <c r="AG626" s="11" t="n"/>
      <c r="AH626" s="11" t="n"/>
      <c r="AI626" s="14">
        <f>IF(AND($AD626="保留中",$AF626&lt;&gt;""),TODAY()-$AF626,"")</f>
        <v/>
      </c>
      <c r="AJ626" s="12" t="n"/>
      <c r="AK626" s="14">
        <f>IF($B626="","",IF($AO626="","対象年月が未入力／","")&amp;IF($B626="","",IF($AN626="","職員マスタに未登録の職員番号／",IF($Y626="","標準報酬月額が未登録／","")&amp;IF(AND($AO626&lt;&gt;"",OR(AND(INDEX(職員マスタ!$G$6:$G$405,$AN626)&lt;&gt;"",INDEX(職員マスタ!$G$6:$G$405,$AN626)&gt;EOMONTH($AO626,0)),AND(INDEX(職員マスタ!$H$6:$H$405,$AN626)&lt;&gt;"",INDEX(職員マスタ!$H$6:$H$405,$AN626)&lt;$AO626))),"対象月が時短期間外／","")&amp;IF(AND(INDEX(職員マスタ!$F$6:$F$405,$AN626)&lt;&gt;"",$AO626&lt;&gt;"",INDEX(職員マスタ!$F$6:$F$405,$AN626)&lt;$AO626),"対象月に子が2歳到達済／","")&amp;IF(AND($H626&lt;&gt;"",INDEX(職員マスタ!$B$6:$B$405,$AN626)&lt;&gt;"",SUBSTITUTE(SUBSTITUTE($H626," ","")," ","")&lt;&gt;SUBSTITUTE(SUBSTITUTE(INDEX(職員マスタ!$B$6:$B$405,$AN626)," ","")," ","")),"氏名がマスタと相違／","")&amp;IF(AND($Q626&lt;&gt;"",INDEX(職員マスタ!$E$6:$E$405,$AN626)&lt;&gt;"",$Q626&lt;&gt;INDEX(職員マスタ!$E$6:$E$405,$AN626)),"子の生年月日がマスタと相違／","")&amp;IF(AND($L626&lt;&gt;"",INDEX(職員マスタ!$G$6:$G$405,$AN626)&lt;&gt;"",$L626&lt;&gt;INDEX(職員マスタ!$G$6:$G$405,$AN626)),"時短開始日がマスタと相違／","")&amp;IF(AND($M626&lt;&gt;"",INDEX(職員マスタ!$H$6:$H$405,$AN626)&lt;&gt;"",$M626&lt;&gt;INDEX(職員マスタ!$H$6:$H$405,$AN626)),"時短終了日がマスタと相違／","")))&amp;IF(AND($B626&lt;&gt;"",$E626=""),"報酬額が未入力／","")&amp;IF(N($U626)&gt;0,"申請書に入力エラーが残っています／","")&amp;IF(AND($B626&lt;&gt;"",$AO626&lt;&gt;""),IF(COUNTIFS($B$6:$B$3005,$B626,$C$6:$C$3005,$C626,$D$6:$D$3005,$D626)&gt;1,"同じ月の請求が重複しています／",""),"")&amp;IF(AND(N($E626)&gt;0,$Z626&lt;&gt;"",$Z626&lt;&gt;"×",$AC626=0,$AB626=""),"計算額が下限以下のため不支給／",""))</f>
        <v/>
      </c>
      <c r="AL626" s="12" t="n"/>
      <c r="AM626" s="14">
        <f>IF($AD626="保留中",COUNTIF($AD$6:$AD626,"保留中"),"")</f>
        <v/>
      </c>
      <c r="AN626" s="14">
        <f>IF($AO626="","",IF(SUMPRODUCT(MAX((職員マスタ!$A$6:$A$405=$B626)*(((職員マスタ!$G$6:$G$405="")+(職員マスタ!$G$6:$G$405&lt;=EOMONTH($AO626,0)))&gt;0)*(((職員マスタ!$H$6:$H$405="")+(職員マスタ!$H$6:$H$405&gt;=$AO626))&gt;0)*(ROW(職員マスタ!$A$6:$A$405)-5)))&gt;0,SUMPRODUCT(MAX((職員マスタ!$A$6:$A$405=$B626)*(((職員マスタ!$G$6:$G$405="")+(職員マスタ!$G$6:$G$405&lt;=EOMONTH($AO626,0)))&gt;0)*(((職員マスタ!$H$6:$H$405="")+(職員マスタ!$H$6:$H$405&gt;=$AO626))&gt;0)*(ROW(職員マスタ!$A$6:$A$405)-5))),IFERROR(MATCH($B626,職員マスタ!$A$6:$A$405,0),"")))</f>
        <v/>
      </c>
      <c r="AO626" s="16">
        <f>IF(OR($B626="",$C626="",$D626=""),"",DATE($C626+2018,$D626,1))</f>
        <v/>
      </c>
    </row>
    <row r="627">
      <c r="A627" s="11" t="n"/>
      <c r="B627" s="12" t="n"/>
      <c r="C627" s="12" t="n"/>
      <c r="D627" s="12" t="n"/>
      <c r="E627" s="13" t="n"/>
      <c r="F627" s="12" t="n"/>
      <c r="G627" s="13" t="n"/>
      <c r="H627" s="12" t="n"/>
      <c r="I627" s="12" t="n"/>
      <c r="J627" s="12" t="n"/>
      <c r="K627" s="12" t="n"/>
      <c r="L627" s="11" t="n"/>
      <c r="M627" s="11" t="n"/>
      <c r="N627" s="11" t="n"/>
      <c r="O627" s="11" t="n"/>
      <c r="P627" s="12" t="n"/>
      <c r="Q627" s="11" t="n"/>
      <c r="R627" s="12" t="n"/>
      <c r="S627" s="11" t="n"/>
      <c r="T627" s="12" t="n"/>
      <c r="U627" s="12" t="n"/>
      <c r="V627" s="14">
        <f>IF($AN627="",IF($B627="","",$H627),IF(INDEX(職員マスタ!$B$6:$B$405,$AN627)="",$H627,INDEX(職員マスタ!$B$6:$B$405,$AN627)))</f>
        <v/>
      </c>
      <c r="W627" s="14">
        <f>IF($AN627="",IF($B627="","",$R627),IF(INDEX(職員マスタ!$C$6:$C$405,$AN627)="",$R627,INDEX(職員マスタ!$C$6:$C$405,$AN627)))</f>
        <v/>
      </c>
      <c r="X627" s="14">
        <f>IF($AO627="","","R"&amp;$C627&amp;"."&amp;$D627)</f>
        <v/>
      </c>
      <c r="Y627" s="15">
        <f>IF($AN627="","",IF(INDEX(職員マスタ!$K$6:$K$405,$AN627)="","",INDEX(職員マスタ!$K$6:$K$405,$AN627)))</f>
        <v/>
      </c>
      <c r="Z627" s="14">
        <f>IF(OR($E627="",$Y627=""),"",IF($E627&gt;=$Y627,"×",IF($E627&gt;=$Y627*設定!$C$5,"△","○")))</f>
        <v/>
      </c>
      <c r="AA627" s="15">
        <f>IF($Z627="","",IF($Z627="×",0,IF($Z627="○",ROUNDDOWN($E627*設定!$C$4,0),ROUNDDOWN($E627*ROUND((9*$Y627-9*$E627)/(10*$E627),4),0))))</f>
        <v/>
      </c>
      <c r="AB627" s="13" t="n"/>
      <c r="AC627" s="15">
        <f>IF($B627="","",IF($AB627&lt;&gt;"",$AB627,IF($AA627="","",IF($AA627&lt;=設定!$C$3,0,$AA627))))</f>
        <v/>
      </c>
      <c r="AD627" s="14">
        <f>IF($B627="","",IF(AND($AE627&lt;&gt;"",$AG627="",$AJ627=""),"保留中",IF($AJ627&lt;&gt;"",IF(N($AC627)&gt;0,"支給済","不支給"),IF($AC627="","要確認",IF($AC627=0,"不支給","未処理")))))</f>
        <v/>
      </c>
      <c r="AE627" s="12" t="n"/>
      <c r="AF627" s="11" t="n"/>
      <c r="AG627" s="11" t="n"/>
      <c r="AH627" s="11" t="n"/>
      <c r="AI627" s="14">
        <f>IF(AND($AD627="保留中",$AF627&lt;&gt;""),TODAY()-$AF627,"")</f>
        <v/>
      </c>
      <c r="AJ627" s="12" t="n"/>
      <c r="AK627" s="14">
        <f>IF($B627="","",IF($AO627="","対象年月が未入力／","")&amp;IF($B627="","",IF($AN627="","職員マスタに未登録の職員番号／",IF($Y627="","標準報酬月額が未登録／","")&amp;IF(AND($AO627&lt;&gt;"",OR(AND(INDEX(職員マスタ!$G$6:$G$405,$AN627)&lt;&gt;"",INDEX(職員マスタ!$G$6:$G$405,$AN627)&gt;EOMONTH($AO627,0)),AND(INDEX(職員マスタ!$H$6:$H$405,$AN627)&lt;&gt;"",INDEX(職員マスタ!$H$6:$H$405,$AN627)&lt;$AO627))),"対象月が時短期間外／","")&amp;IF(AND(INDEX(職員マスタ!$F$6:$F$405,$AN627)&lt;&gt;"",$AO627&lt;&gt;"",INDEX(職員マスタ!$F$6:$F$405,$AN627)&lt;$AO627),"対象月に子が2歳到達済／","")&amp;IF(AND($H627&lt;&gt;"",INDEX(職員マスタ!$B$6:$B$405,$AN627)&lt;&gt;"",SUBSTITUTE(SUBSTITUTE($H627," ","")," ","")&lt;&gt;SUBSTITUTE(SUBSTITUTE(INDEX(職員マスタ!$B$6:$B$405,$AN627)," ","")," ","")),"氏名がマスタと相違／","")&amp;IF(AND($Q627&lt;&gt;"",INDEX(職員マスタ!$E$6:$E$405,$AN627)&lt;&gt;"",$Q627&lt;&gt;INDEX(職員マスタ!$E$6:$E$405,$AN627)),"子の生年月日がマスタと相違／","")&amp;IF(AND($L627&lt;&gt;"",INDEX(職員マスタ!$G$6:$G$405,$AN627)&lt;&gt;"",$L627&lt;&gt;INDEX(職員マスタ!$G$6:$G$405,$AN627)),"時短開始日がマスタと相違／","")&amp;IF(AND($M627&lt;&gt;"",INDEX(職員マスタ!$H$6:$H$405,$AN627)&lt;&gt;"",$M627&lt;&gt;INDEX(職員マスタ!$H$6:$H$405,$AN627)),"時短終了日がマスタと相違／","")))&amp;IF(AND($B627&lt;&gt;"",$E627=""),"報酬額が未入力／","")&amp;IF(N($U627)&gt;0,"申請書に入力エラーが残っています／","")&amp;IF(AND($B627&lt;&gt;"",$AO627&lt;&gt;""),IF(COUNTIFS($B$6:$B$3005,$B627,$C$6:$C$3005,$C627,$D$6:$D$3005,$D627)&gt;1,"同じ月の請求が重複しています／",""),"")&amp;IF(AND(N($E627)&gt;0,$Z627&lt;&gt;"",$Z627&lt;&gt;"×",$AC627=0,$AB627=""),"計算額が下限以下のため不支給／",""))</f>
        <v/>
      </c>
      <c r="AL627" s="12" t="n"/>
      <c r="AM627" s="14">
        <f>IF($AD627="保留中",COUNTIF($AD$6:$AD627,"保留中"),"")</f>
        <v/>
      </c>
      <c r="AN627" s="14">
        <f>IF($AO627="","",IF(SUMPRODUCT(MAX((職員マスタ!$A$6:$A$405=$B627)*(((職員マスタ!$G$6:$G$405="")+(職員マスタ!$G$6:$G$405&lt;=EOMONTH($AO627,0)))&gt;0)*(((職員マスタ!$H$6:$H$405="")+(職員マスタ!$H$6:$H$405&gt;=$AO627))&gt;0)*(ROW(職員マスタ!$A$6:$A$405)-5)))&gt;0,SUMPRODUCT(MAX((職員マスタ!$A$6:$A$405=$B627)*(((職員マスタ!$G$6:$G$405="")+(職員マスタ!$G$6:$G$405&lt;=EOMONTH($AO627,0)))&gt;0)*(((職員マスタ!$H$6:$H$405="")+(職員マスタ!$H$6:$H$405&gt;=$AO627))&gt;0)*(ROW(職員マスタ!$A$6:$A$405)-5))),IFERROR(MATCH($B627,職員マスタ!$A$6:$A$405,0),"")))</f>
        <v/>
      </c>
      <c r="AO627" s="16">
        <f>IF(OR($B627="",$C627="",$D627=""),"",DATE($C627+2018,$D627,1))</f>
        <v/>
      </c>
    </row>
    <row r="628">
      <c r="A628" s="11" t="n"/>
      <c r="B628" s="12" t="n"/>
      <c r="C628" s="12" t="n"/>
      <c r="D628" s="12" t="n"/>
      <c r="E628" s="13" t="n"/>
      <c r="F628" s="12" t="n"/>
      <c r="G628" s="13" t="n"/>
      <c r="H628" s="12" t="n"/>
      <c r="I628" s="12" t="n"/>
      <c r="J628" s="12" t="n"/>
      <c r="K628" s="12" t="n"/>
      <c r="L628" s="11" t="n"/>
      <c r="M628" s="11" t="n"/>
      <c r="N628" s="11" t="n"/>
      <c r="O628" s="11" t="n"/>
      <c r="P628" s="12" t="n"/>
      <c r="Q628" s="11" t="n"/>
      <c r="R628" s="12" t="n"/>
      <c r="S628" s="11" t="n"/>
      <c r="T628" s="12" t="n"/>
      <c r="U628" s="12" t="n"/>
      <c r="V628" s="14">
        <f>IF($AN628="",IF($B628="","",$H628),IF(INDEX(職員マスタ!$B$6:$B$405,$AN628)="",$H628,INDEX(職員マスタ!$B$6:$B$405,$AN628)))</f>
        <v/>
      </c>
      <c r="W628" s="14">
        <f>IF($AN628="",IF($B628="","",$R628),IF(INDEX(職員マスタ!$C$6:$C$405,$AN628)="",$R628,INDEX(職員マスタ!$C$6:$C$405,$AN628)))</f>
        <v/>
      </c>
      <c r="X628" s="14">
        <f>IF($AO628="","","R"&amp;$C628&amp;"."&amp;$D628)</f>
        <v/>
      </c>
      <c r="Y628" s="15">
        <f>IF($AN628="","",IF(INDEX(職員マスタ!$K$6:$K$405,$AN628)="","",INDEX(職員マスタ!$K$6:$K$405,$AN628)))</f>
        <v/>
      </c>
      <c r="Z628" s="14">
        <f>IF(OR($E628="",$Y628=""),"",IF($E628&gt;=$Y628,"×",IF($E628&gt;=$Y628*設定!$C$5,"△","○")))</f>
        <v/>
      </c>
      <c r="AA628" s="15">
        <f>IF($Z628="","",IF($Z628="×",0,IF($Z628="○",ROUNDDOWN($E628*設定!$C$4,0),ROUNDDOWN($E628*ROUND((9*$Y628-9*$E628)/(10*$E628),4),0))))</f>
        <v/>
      </c>
      <c r="AB628" s="13" t="n"/>
      <c r="AC628" s="15">
        <f>IF($B628="","",IF($AB628&lt;&gt;"",$AB628,IF($AA628="","",IF($AA628&lt;=設定!$C$3,0,$AA628))))</f>
        <v/>
      </c>
      <c r="AD628" s="14">
        <f>IF($B628="","",IF(AND($AE628&lt;&gt;"",$AG628="",$AJ628=""),"保留中",IF($AJ628&lt;&gt;"",IF(N($AC628)&gt;0,"支給済","不支給"),IF($AC628="","要確認",IF($AC628=0,"不支給","未処理")))))</f>
        <v/>
      </c>
      <c r="AE628" s="12" t="n"/>
      <c r="AF628" s="11" t="n"/>
      <c r="AG628" s="11" t="n"/>
      <c r="AH628" s="11" t="n"/>
      <c r="AI628" s="14">
        <f>IF(AND($AD628="保留中",$AF628&lt;&gt;""),TODAY()-$AF628,"")</f>
        <v/>
      </c>
      <c r="AJ628" s="12" t="n"/>
      <c r="AK628" s="14">
        <f>IF($B628="","",IF($AO628="","対象年月が未入力／","")&amp;IF($B628="","",IF($AN628="","職員マスタに未登録の職員番号／",IF($Y628="","標準報酬月額が未登録／","")&amp;IF(AND($AO628&lt;&gt;"",OR(AND(INDEX(職員マスタ!$G$6:$G$405,$AN628)&lt;&gt;"",INDEX(職員マスタ!$G$6:$G$405,$AN628)&gt;EOMONTH($AO628,0)),AND(INDEX(職員マスタ!$H$6:$H$405,$AN628)&lt;&gt;"",INDEX(職員マスタ!$H$6:$H$405,$AN628)&lt;$AO628))),"対象月が時短期間外／","")&amp;IF(AND(INDEX(職員マスタ!$F$6:$F$405,$AN628)&lt;&gt;"",$AO628&lt;&gt;"",INDEX(職員マスタ!$F$6:$F$405,$AN628)&lt;$AO628),"対象月に子が2歳到達済／","")&amp;IF(AND($H628&lt;&gt;"",INDEX(職員マスタ!$B$6:$B$405,$AN628)&lt;&gt;"",SUBSTITUTE(SUBSTITUTE($H628," ","")," ","")&lt;&gt;SUBSTITUTE(SUBSTITUTE(INDEX(職員マスタ!$B$6:$B$405,$AN628)," ","")," ","")),"氏名がマスタと相違／","")&amp;IF(AND($Q628&lt;&gt;"",INDEX(職員マスタ!$E$6:$E$405,$AN628)&lt;&gt;"",$Q628&lt;&gt;INDEX(職員マスタ!$E$6:$E$405,$AN628)),"子の生年月日がマスタと相違／","")&amp;IF(AND($L628&lt;&gt;"",INDEX(職員マスタ!$G$6:$G$405,$AN628)&lt;&gt;"",$L628&lt;&gt;INDEX(職員マスタ!$G$6:$G$405,$AN628)),"時短開始日がマスタと相違／","")&amp;IF(AND($M628&lt;&gt;"",INDEX(職員マスタ!$H$6:$H$405,$AN628)&lt;&gt;"",$M628&lt;&gt;INDEX(職員マスタ!$H$6:$H$405,$AN628)),"時短終了日がマスタと相違／","")))&amp;IF(AND($B628&lt;&gt;"",$E628=""),"報酬額が未入力／","")&amp;IF(N($U628)&gt;0,"申請書に入力エラーが残っています／","")&amp;IF(AND($B628&lt;&gt;"",$AO628&lt;&gt;""),IF(COUNTIFS($B$6:$B$3005,$B628,$C$6:$C$3005,$C628,$D$6:$D$3005,$D628)&gt;1,"同じ月の請求が重複しています／",""),"")&amp;IF(AND(N($E628)&gt;0,$Z628&lt;&gt;"",$Z628&lt;&gt;"×",$AC628=0,$AB628=""),"計算額が下限以下のため不支給／",""))</f>
        <v/>
      </c>
      <c r="AL628" s="12" t="n"/>
      <c r="AM628" s="14">
        <f>IF($AD628="保留中",COUNTIF($AD$6:$AD628,"保留中"),"")</f>
        <v/>
      </c>
      <c r="AN628" s="14">
        <f>IF($AO628="","",IF(SUMPRODUCT(MAX((職員マスタ!$A$6:$A$405=$B628)*(((職員マスタ!$G$6:$G$405="")+(職員マスタ!$G$6:$G$405&lt;=EOMONTH($AO628,0)))&gt;0)*(((職員マスタ!$H$6:$H$405="")+(職員マスタ!$H$6:$H$405&gt;=$AO628))&gt;0)*(ROW(職員マスタ!$A$6:$A$405)-5)))&gt;0,SUMPRODUCT(MAX((職員マスタ!$A$6:$A$405=$B628)*(((職員マスタ!$G$6:$G$405="")+(職員マスタ!$G$6:$G$405&lt;=EOMONTH($AO628,0)))&gt;0)*(((職員マスタ!$H$6:$H$405="")+(職員マスタ!$H$6:$H$405&gt;=$AO628))&gt;0)*(ROW(職員マスタ!$A$6:$A$405)-5))),IFERROR(MATCH($B628,職員マスタ!$A$6:$A$405,0),"")))</f>
        <v/>
      </c>
      <c r="AO628" s="16">
        <f>IF(OR($B628="",$C628="",$D628=""),"",DATE($C628+2018,$D628,1))</f>
        <v/>
      </c>
    </row>
    <row r="629">
      <c r="A629" s="11" t="n"/>
      <c r="B629" s="12" t="n"/>
      <c r="C629" s="12" t="n"/>
      <c r="D629" s="12" t="n"/>
      <c r="E629" s="13" t="n"/>
      <c r="F629" s="12" t="n"/>
      <c r="G629" s="13" t="n"/>
      <c r="H629" s="12" t="n"/>
      <c r="I629" s="12" t="n"/>
      <c r="J629" s="12" t="n"/>
      <c r="K629" s="12" t="n"/>
      <c r="L629" s="11" t="n"/>
      <c r="M629" s="11" t="n"/>
      <c r="N629" s="11" t="n"/>
      <c r="O629" s="11" t="n"/>
      <c r="P629" s="12" t="n"/>
      <c r="Q629" s="11" t="n"/>
      <c r="R629" s="12" t="n"/>
      <c r="S629" s="11" t="n"/>
      <c r="T629" s="12" t="n"/>
      <c r="U629" s="12" t="n"/>
      <c r="V629" s="14">
        <f>IF($AN629="",IF($B629="","",$H629),IF(INDEX(職員マスタ!$B$6:$B$405,$AN629)="",$H629,INDEX(職員マスタ!$B$6:$B$405,$AN629)))</f>
        <v/>
      </c>
      <c r="W629" s="14">
        <f>IF($AN629="",IF($B629="","",$R629),IF(INDEX(職員マスタ!$C$6:$C$405,$AN629)="",$R629,INDEX(職員マスタ!$C$6:$C$405,$AN629)))</f>
        <v/>
      </c>
      <c r="X629" s="14">
        <f>IF($AO629="","","R"&amp;$C629&amp;"."&amp;$D629)</f>
        <v/>
      </c>
      <c r="Y629" s="15">
        <f>IF($AN629="","",IF(INDEX(職員マスタ!$K$6:$K$405,$AN629)="","",INDEX(職員マスタ!$K$6:$K$405,$AN629)))</f>
        <v/>
      </c>
      <c r="Z629" s="14">
        <f>IF(OR($E629="",$Y629=""),"",IF($E629&gt;=$Y629,"×",IF($E629&gt;=$Y629*設定!$C$5,"△","○")))</f>
        <v/>
      </c>
      <c r="AA629" s="15">
        <f>IF($Z629="","",IF($Z629="×",0,IF($Z629="○",ROUNDDOWN($E629*設定!$C$4,0),ROUNDDOWN($E629*ROUND((9*$Y629-9*$E629)/(10*$E629),4),0))))</f>
        <v/>
      </c>
      <c r="AB629" s="13" t="n"/>
      <c r="AC629" s="15">
        <f>IF($B629="","",IF($AB629&lt;&gt;"",$AB629,IF($AA629="","",IF($AA629&lt;=設定!$C$3,0,$AA629))))</f>
        <v/>
      </c>
      <c r="AD629" s="14">
        <f>IF($B629="","",IF(AND($AE629&lt;&gt;"",$AG629="",$AJ629=""),"保留中",IF($AJ629&lt;&gt;"",IF(N($AC629)&gt;0,"支給済","不支給"),IF($AC629="","要確認",IF($AC629=0,"不支給","未処理")))))</f>
        <v/>
      </c>
      <c r="AE629" s="12" t="n"/>
      <c r="AF629" s="11" t="n"/>
      <c r="AG629" s="11" t="n"/>
      <c r="AH629" s="11" t="n"/>
      <c r="AI629" s="14">
        <f>IF(AND($AD629="保留中",$AF629&lt;&gt;""),TODAY()-$AF629,"")</f>
        <v/>
      </c>
      <c r="AJ629" s="12" t="n"/>
      <c r="AK629" s="14">
        <f>IF($B629="","",IF($AO629="","対象年月が未入力／","")&amp;IF($B629="","",IF($AN629="","職員マスタに未登録の職員番号／",IF($Y629="","標準報酬月額が未登録／","")&amp;IF(AND($AO629&lt;&gt;"",OR(AND(INDEX(職員マスタ!$G$6:$G$405,$AN629)&lt;&gt;"",INDEX(職員マスタ!$G$6:$G$405,$AN629)&gt;EOMONTH($AO629,0)),AND(INDEX(職員マスタ!$H$6:$H$405,$AN629)&lt;&gt;"",INDEX(職員マスタ!$H$6:$H$405,$AN629)&lt;$AO629))),"対象月が時短期間外／","")&amp;IF(AND(INDEX(職員マスタ!$F$6:$F$405,$AN629)&lt;&gt;"",$AO629&lt;&gt;"",INDEX(職員マスタ!$F$6:$F$405,$AN629)&lt;$AO629),"対象月に子が2歳到達済／","")&amp;IF(AND($H629&lt;&gt;"",INDEX(職員マスタ!$B$6:$B$405,$AN629)&lt;&gt;"",SUBSTITUTE(SUBSTITUTE($H629," ","")," ","")&lt;&gt;SUBSTITUTE(SUBSTITUTE(INDEX(職員マスタ!$B$6:$B$405,$AN629)," ","")," ","")),"氏名がマスタと相違／","")&amp;IF(AND($Q629&lt;&gt;"",INDEX(職員マスタ!$E$6:$E$405,$AN629)&lt;&gt;"",$Q629&lt;&gt;INDEX(職員マスタ!$E$6:$E$405,$AN629)),"子の生年月日がマスタと相違／","")&amp;IF(AND($L629&lt;&gt;"",INDEX(職員マスタ!$G$6:$G$405,$AN629)&lt;&gt;"",$L629&lt;&gt;INDEX(職員マスタ!$G$6:$G$405,$AN629)),"時短開始日がマスタと相違／","")&amp;IF(AND($M629&lt;&gt;"",INDEX(職員マスタ!$H$6:$H$405,$AN629)&lt;&gt;"",$M629&lt;&gt;INDEX(職員マスタ!$H$6:$H$405,$AN629)),"時短終了日がマスタと相違／","")))&amp;IF(AND($B629&lt;&gt;"",$E629=""),"報酬額が未入力／","")&amp;IF(N($U629)&gt;0,"申請書に入力エラーが残っています／","")&amp;IF(AND($B629&lt;&gt;"",$AO629&lt;&gt;""),IF(COUNTIFS($B$6:$B$3005,$B629,$C$6:$C$3005,$C629,$D$6:$D$3005,$D629)&gt;1,"同じ月の請求が重複しています／",""),"")&amp;IF(AND(N($E629)&gt;0,$Z629&lt;&gt;"",$Z629&lt;&gt;"×",$AC629=0,$AB629=""),"計算額が下限以下のため不支給／",""))</f>
        <v/>
      </c>
      <c r="AL629" s="12" t="n"/>
      <c r="AM629" s="14">
        <f>IF($AD629="保留中",COUNTIF($AD$6:$AD629,"保留中"),"")</f>
        <v/>
      </c>
      <c r="AN629" s="14">
        <f>IF($AO629="","",IF(SUMPRODUCT(MAX((職員マスタ!$A$6:$A$405=$B629)*(((職員マスタ!$G$6:$G$405="")+(職員マスタ!$G$6:$G$405&lt;=EOMONTH($AO629,0)))&gt;0)*(((職員マスタ!$H$6:$H$405="")+(職員マスタ!$H$6:$H$405&gt;=$AO629))&gt;0)*(ROW(職員マスタ!$A$6:$A$405)-5)))&gt;0,SUMPRODUCT(MAX((職員マスタ!$A$6:$A$405=$B629)*(((職員マスタ!$G$6:$G$405="")+(職員マスタ!$G$6:$G$405&lt;=EOMONTH($AO629,0)))&gt;0)*(((職員マスタ!$H$6:$H$405="")+(職員マスタ!$H$6:$H$405&gt;=$AO629))&gt;0)*(ROW(職員マスタ!$A$6:$A$405)-5))),IFERROR(MATCH($B629,職員マスタ!$A$6:$A$405,0),"")))</f>
        <v/>
      </c>
      <c r="AO629" s="16">
        <f>IF(OR($B629="",$C629="",$D629=""),"",DATE($C629+2018,$D629,1))</f>
        <v/>
      </c>
    </row>
    <row r="630">
      <c r="A630" s="11" t="n"/>
      <c r="B630" s="12" t="n"/>
      <c r="C630" s="12" t="n"/>
      <c r="D630" s="12" t="n"/>
      <c r="E630" s="13" t="n"/>
      <c r="F630" s="12" t="n"/>
      <c r="G630" s="13" t="n"/>
      <c r="H630" s="12" t="n"/>
      <c r="I630" s="12" t="n"/>
      <c r="J630" s="12" t="n"/>
      <c r="K630" s="12" t="n"/>
      <c r="L630" s="11" t="n"/>
      <c r="M630" s="11" t="n"/>
      <c r="N630" s="11" t="n"/>
      <c r="O630" s="11" t="n"/>
      <c r="P630" s="12" t="n"/>
      <c r="Q630" s="11" t="n"/>
      <c r="R630" s="12" t="n"/>
      <c r="S630" s="11" t="n"/>
      <c r="T630" s="12" t="n"/>
      <c r="U630" s="12" t="n"/>
      <c r="V630" s="14">
        <f>IF($AN630="",IF($B630="","",$H630),IF(INDEX(職員マスタ!$B$6:$B$405,$AN630)="",$H630,INDEX(職員マスタ!$B$6:$B$405,$AN630)))</f>
        <v/>
      </c>
      <c r="W630" s="14">
        <f>IF($AN630="",IF($B630="","",$R630),IF(INDEX(職員マスタ!$C$6:$C$405,$AN630)="",$R630,INDEX(職員マスタ!$C$6:$C$405,$AN630)))</f>
        <v/>
      </c>
      <c r="X630" s="14">
        <f>IF($AO630="","","R"&amp;$C630&amp;"."&amp;$D630)</f>
        <v/>
      </c>
      <c r="Y630" s="15">
        <f>IF($AN630="","",IF(INDEX(職員マスタ!$K$6:$K$405,$AN630)="","",INDEX(職員マスタ!$K$6:$K$405,$AN630)))</f>
        <v/>
      </c>
      <c r="Z630" s="14">
        <f>IF(OR($E630="",$Y630=""),"",IF($E630&gt;=$Y630,"×",IF($E630&gt;=$Y630*設定!$C$5,"△","○")))</f>
        <v/>
      </c>
      <c r="AA630" s="15">
        <f>IF($Z630="","",IF($Z630="×",0,IF($Z630="○",ROUNDDOWN($E630*設定!$C$4,0),ROUNDDOWN($E630*ROUND((9*$Y630-9*$E630)/(10*$E630),4),0))))</f>
        <v/>
      </c>
      <c r="AB630" s="13" t="n"/>
      <c r="AC630" s="15">
        <f>IF($B630="","",IF($AB630&lt;&gt;"",$AB630,IF($AA630="","",IF($AA630&lt;=設定!$C$3,0,$AA630))))</f>
        <v/>
      </c>
      <c r="AD630" s="14">
        <f>IF($B630="","",IF(AND($AE630&lt;&gt;"",$AG630="",$AJ630=""),"保留中",IF($AJ630&lt;&gt;"",IF(N($AC630)&gt;0,"支給済","不支給"),IF($AC630="","要確認",IF($AC630=0,"不支給","未処理")))))</f>
        <v/>
      </c>
      <c r="AE630" s="12" t="n"/>
      <c r="AF630" s="11" t="n"/>
      <c r="AG630" s="11" t="n"/>
      <c r="AH630" s="11" t="n"/>
      <c r="AI630" s="14">
        <f>IF(AND($AD630="保留中",$AF630&lt;&gt;""),TODAY()-$AF630,"")</f>
        <v/>
      </c>
      <c r="AJ630" s="12" t="n"/>
      <c r="AK630" s="14">
        <f>IF($B630="","",IF($AO630="","対象年月が未入力／","")&amp;IF($B630="","",IF($AN630="","職員マスタに未登録の職員番号／",IF($Y630="","標準報酬月額が未登録／","")&amp;IF(AND($AO630&lt;&gt;"",OR(AND(INDEX(職員マスタ!$G$6:$G$405,$AN630)&lt;&gt;"",INDEX(職員マスタ!$G$6:$G$405,$AN630)&gt;EOMONTH($AO630,0)),AND(INDEX(職員マスタ!$H$6:$H$405,$AN630)&lt;&gt;"",INDEX(職員マスタ!$H$6:$H$405,$AN630)&lt;$AO630))),"対象月が時短期間外／","")&amp;IF(AND(INDEX(職員マスタ!$F$6:$F$405,$AN630)&lt;&gt;"",$AO630&lt;&gt;"",INDEX(職員マスタ!$F$6:$F$405,$AN630)&lt;$AO630),"対象月に子が2歳到達済／","")&amp;IF(AND($H630&lt;&gt;"",INDEX(職員マスタ!$B$6:$B$405,$AN630)&lt;&gt;"",SUBSTITUTE(SUBSTITUTE($H630," ","")," ","")&lt;&gt;SUBSTITUTE(SUBSTITUTE(INDEX(職員マスタ!$B$6:$B$405,$AN630)," ","")," ","")),"氏名がマスタと相違／","")&amp;IF(AND($Q630&lt;&gt;"",INDEX(職員マスタ!$E$6:$E$405,$AN630)&lt;&gt;"",$Q630&lt;&gt;INDEX(職員マスタ!$E$6:$E$405,$AN630)),"子の生年月日がマスタと相違／","")&amp;IF(AND($L630&lt;&gt;"",INDEX(職員マスタ!$G$6:$G$405,$AN630)&lt;&gt;"",$L630&lt;&gt;INDEX(職員マスタ!$G$6:$G$405,$AN630)),"時短開始日がマスタと相違／","")&amp;IF(AND($M630&lt;&gt;"",INDEX(職員マスタ!$H$6:$H$405,$AN630)&lt;&gt;"",$M630&lt;&gt;INDEX(職員マスタ!$H$6:$H$405,$AN630)),"時短終了日がマスタと相違／","")))&amp;IF(AND($B630&lt;&gt;"",$E630=""),"報酬額が未入力／","")&amp;IF(N($U630)&gt;0,"申請書に入力エラーが残っています／","")&amp;IF(AND($B630&lt;&gt;"",$AO630&lt;&gt;""),IF(COUNTIFS($B$6:$B$3005,$B630,$C$6:$C$3005,$C630,$D$6:$D$3005,$D630)&gt;1,"同じ月の請求が重複しています／",""),"")&amp;IF(AND(N($E630)&gt;0,$Z630&lt;&gt;"",$Z630&lt;&gt;"×",$AC630=0,$AB630=""),"計算額が下限以下のため不支給／",""))</f>
        <v/>
      </c>
      <c r="AL630" s="12" t="n"/>
      <c r="AM630" s="14">
        <f>IF($AD630="保留中",COUNTIF($AD$6:$AD630,"保留中"),"")</f>
        <v/>
      </c>
      <c r="AN630" s="14">
        <f>IF($AO630="","",IF(SUMPRODUCT(MAX((職員マスタ!$A$6:$A$405=$B630)*(((職員マスタ!$G$6:$G$405="")+(職員マスタ!$G$6:$G$405&lt;=EOMONTH($AO630,0)))&gt;0)*(((職員マスタ!$H$6:$H$405="")+(職員マスタ!$H$6:$H$405&gt;=$AO630))&gt;0)*(ROW(職員マスタ!$A$6:$A$405)-5)))&gt;0,SUMPRODUCT(MAX((職員マスタ!$A$6:$A$405=$B630)*(((職員マスタ!$G$6:$G$405="")+(職員マスタ!$G$6:$G$405&lt;=EOMONTH($AO630,0)))&gt;0)*(((職員マスタ!$H$6:$H$405="")+(職員マスタ!$H$6:$H$405&gt;=$AO630))&gt;0)*(ROW(職員マスタ!$A$6:$A$405)-5))),IFERROR(MATCH($B630,職員マスタ!$A$6:$A$405,0),"")))</f>
        <v/>
      </c>
      <c r="AO630" s="16">
        <f>IF(OR($B630="",$C630="",$D630=""),"",DATE($C630+2018,$D630,1))</f>
        <v/>
      </c>
    </row>
    <row r="631">
      <c r="A631" s="11" t="n"/>
      <c r="B631" s="12" t="n"/>
      <c r="C631" s="12" t="n"/>
      <c r="D631" s="12" t="n"/>
      <c r="E631" s="13" t="n"/>
      <c r="F631" s="12" t="n"/>
      <c r="G631" s="13" t="n"/>
      <c r="H631" s="12" t="n"/>
      <c r="I631" s="12" t="n"/>
      <c r="J631" s="12" t="n"/>
      <c r="K631" s="12" t="n"/>
      <c r="L631" s="11" t="n"/>
      <c r="M631" s="11" t="n"/>
      <c r="N631" s="11" t="n"/>
      <c r="O631" s="11" t="n"/>
      <c r="P631" s="12" t="n"/>
      <c r="Q631" s="11" t="n"/>
      <c r="R631" s="12" t="n"/>
      <c r="S631" s="11" t="n"/>
      <c r="T631" s="12" t="n"/>
      <c r="U631" s="12" t="n"/>
      <c r="V631" s="14">
        <f>IF($AN631="",IF($B631="","",$H631),IF(INDEX(職員マスタ!$B$6:$B$405,$AN631)="",$H631,INDEX(職員マスタ!$B$6:$B$405,$AN631)))</f>
        <v/>
      </c>
      <c r="W631" s="14">
        <f>IF($AN631="",IF($B631="","",$R631),IF(INDEX(職員マスタ!$C$6:$C$405,$AN631)="",$R631,INDEX(職員マスタ!$C$6:$C$405,$AN631)))</f>
        <v/>
      </c>
      <c r="X631" s="14">
        <f>IF($AO631="","","R"&amp;$C631&amp;"."&amp;$D631)</f>
        <v/>
      </c>
      <c r="Y631" s="15">
        <f>IF($AN631="","",IF(INDEX(職員マスタ!$K$6:$K$405,$AN631)="","",INDEX(職員マスタ!$K$6:$K$405,$AN631)))</f>
        <v/>
      </c>
      <c r="Z631" s="14">
        <f>IF(OR($E631="",$Y631=""),"",IF($E631&gt;=$Y631,"×",IF($E631&gt;=$Y631*設定!$C$5,"△","○")))</f>
        <v/>
      </c>
      <c r="AA631" s="15">
        <f>IF($Z631="","",IF($Z631="×",0,IF($Z631="○",ROUNDDOWN($E631*設定!$C$4,0),ROUNDDOWN($E631*ROUND((9*$Y631-9*$E631)/(10*$E631),4),0))))</f>
        <v/>
      </c>
      <c r="AB631" s="13" t="n"/>
      <c r="AC631" s="15">
        <f>IF($B631="","",IF($AB631&lt;&gt;"",$AB631,IF($AA631="","",IF($AA631&lt;=設定!$C$3,0,$AA631))))</f>
        <v/>
      </c>
      <c r="AD631" s="14">
        <f>IF($B631="","",IF(AND($AE631&lt;&gt;"",$AG631="",$AJ631=""),"保留中",IF($AJ631&lt;&gt;"",IF(N($AC631)&gt;0,"支給済","不支給"),IF($AC631="","要確認",IF($AC631=0,"不支給","未処理")))))</f>
        <v/>
      </c>
      <c r="AE631" s="12" t="n"/>
      <c r="AF631" s="11" t="n"/>
      <c r="AG631" s="11" t="n"/>
      <c r="AH631" s="11" t="n"/>
      <c r="AI631" s="14">
        <f>IF(AND($AD631="保留中",$AF631&lt;&gt;""),TODAY()-$AF631,"")</f>
        <v/>
      </c>
      <c r="AJ631" s="12" t="n"/>
      <c r="AK631" s="14">
        <f>IF($B631="","",IF($AO631="","対象年月が未入力／","")&amp;IF($B631="","",IF($AN631="","職員マスタに未登録の職員番号／",IF($Y631="","標準報酬月額が未登録／","")&amp;IF(AND($AO631&lt;&gt;"",OR(AND(INDEX(職員マスタ!$G$6:$G$405,$AN631)&lt;&gt;"",INDEX(職員マスタ!$G$6:$G$405,$AN631)&gt;EOMONTH($AO631,0)),AND(INDEX(職員マスタ!$H$6:$H$405,$AN631)&lt;&gt;"",INDEX(職員マスタ!$H$6:$H$405,$AN631)&lt;$AO631))),"対象月が時短期間外／","")&amp;IF(AND(INDEX(職員マスタ!$F$6:$F$405,$AN631)&lt;&gt;"",$AO631&lt;&gt;"",INDEX(職員マスタ!$F$6:$F$405,$AN631)&lt;$AO631),"対象月に子が2歳到達済／","")&amp;IF(AND($H631&lt;&gt;"",INDEX(職員マスタ!$B$6:$B$405,$AN631)&lt;&gt;"",SUBSTITUTE(SUBSTITUTE($H631," ","")," ","")&lt;&gt;SUBSTITUTE(SUBSTITUTE(INDEX(職員マスタ!$B$6:$B$405,$AN631)," ","")," ","")),"氏名がマスタと相違／","")&amp;IF(AND($Q631&lt;&gt;"",INDEX(職員マスタ!$E$6:$E$405,$AN631)&lt;&gt;"",$Q631&lt;&gt;INDEX(職員マスタ!$E$6:$E$405,$AN631)),"子の生年月日がマスタと相違／","")&amp;IF(AND($L631&lt;&gt;"",INDEX(職員マスタ!$G$6:$G$405,$AN631)&lt;&gt;"",$L631&lt;&gt;INDEX(職員マスタ!$G$6:$G$405,$AN631)),"時短開始日がマスタと相違／","")&amp;IF(AND($M631&lt;&gt;"",INDEX(職員マスタ!$H$6:$H$405,$AN631)&lt;&gt;"",$M631&lt;&gt;INDEX(職員マスタ!$H$6:$H$405,$AN631)),"時短終了日がマスタと相違／","")))&amp;IF(AND($B631&lt;&gt;"",$E631=""),"報酬額が未入力／","")&amp;IF(N($U631)&gt;0,"申請書に入力エラーが残っています／","")&amp;IF(AND($B631&lt;&gt;"",$AO631&lt;&gt;""),IF(COUNTIFS($B$6:$B$3005,$B631,$C$6:$C$3005,$C631,$D$6:$D$3005,$D631)&gt;1,"同じ月の請求が重複しています／",""),"")&amp;IF(AND(N($E631)&gt;0,$Z631&lt;&gt;"",$Z631&lt;&gt;"×",$AC631=0,$AB631=""),"計算額が下限以下のため不支給／",""))</f>
        <v/>
      </c>
      <c r="AL631" s="12" t="n"/>
      <c r="AM631" s="14">
        <f>IF($AD631="保留中",COUNTIF($AD$6:$AD631,"保留中"),"")</f>
        <v/>
      </c>
      <c r="AN631" s="14">
        <f>IF($AO631="","",IF(SUMPRODUCT(MAX((職員マスタ!$A$6:$A$405=$B631)*(((職員マスタ!$G$6:$G$405="")+(職員マスタ!$G$6:$G$405&lt;=EOMONTH($AO631,0)))&gt;0)*(((職員マスタ!$H$6:$H$405="")+(職員マスタ!$H$6:$H$405&gt;=$AO631))&gt;0)*(ROW(職員マスタ!$A$6:$A$405)-5)))&gt;0,SUMPRODUCT(MAX((職員マスタ!$A$6:$A$405=$B631)*(((職員マスタ!$G$6:$G$405="")+(職員マスタ!$G$6:$G$405&lt;=EOMONTH($AO631,0)))&gt;0)*(((職員マスタ!$H$6:$H$405="")+(職員マスタ!$H$6:$H$405&gt;=$AO631))&gt;0)*(ROW(職員マスタ!$A$6:$A$405)-5))),IFERROR(MATCH($B631,職員マスタ!$A$6:$A$405,0),"")))</f>
        <v/>
      </c>
      <c r="AO631" s="16">
        <f>IF(OR($B631="",$C631="",$D631=""),"",DATE($C631+2018,$D631,1))</f>
        <v/>
      </c>
    </row>
    <row r="632">
      <c r="A632" s="11" t="n"/>
      <c r="B632" s="12" t="n"/>
      <c r="C632" s="12" t="n"/>
      <c r="D632" s="12" t="n"/>
      <c r="E632" s="13" t="n"/>
      <c r="F632" s="12" t="n"/>
      <c r="G632" s="13" t="n"/>
      <c r="H632" s="12" t="n"/>
      <c r="I632" s="12" t="n"/>
      <c r="J632" s="12" t="n"/>
      <c r="K632" s="12" t="n"/>
      <c r="L632" s="11" t="n"/>
      <c r="M632" s="11" t="n"/>
      <c r="N632" s="11" t="n"/>
      <c r="O632" s="11" t="n"/>
      <c r="P632" s="12" t="n"/>
      <c r="Q632" s="11" t="n"/>
      <c r="R632" s="12" t="n"/>
      <c r="S632" s="11" t="n"/>
      <c r="T632" s="12" t="n"/>
      <c r="U632" s="12" t="n"/>
      <c r="V632" s="14">
        <f>IF($AN632="",IF($B632="","",$H632),IF(INDEX(職員マスタ!$B$6:$B$405,$AN632)="",$H632,INDEX(職員マスタ!$B$6:$B$405,$AN632)))</f>
        <v/>
      </c>
      <c r="W632" s="14">
        <f>IF($AN632="",IF($B632="","",$R632),IF(INDEX(職員マスタ!$C$6:$C$405,$AN632)="",$R632,INDEX(職員マスタ!$C$6:$C$405,$AN632)))</f>
        <v/>
      </c>
      <c r="X632" s="14">
        <f>IF($AO632="","","R"&amp;$C632&amp;"."&amp;$D632)</f>
        <v/>
      </c>
      <c r="Y632" s="15">
        <f>IF($AN632="","",IF(INDEX(職員マスタ!$K$6:$K$405,$AN632)="","",INDEX(職員マスタ!$K$6:$K$405,$AN632)))</f>
        <v/>
      </c>
      <c r="Z632" s="14">
        <f>IF(OR($E632="",$Y632=""),"",IF($E632&gt;=$Y632,"×",IF($E632&gt;=$Y632*設定!$C$5,"△","○")))</f>
        <v/>
      </c>
      <c r="AA632" s="15">
        <f>IF($Z632="","",IF($Z632="×",0,IF($Z632="○",ROUNDDOWN($E632*設定!$C$4,0),ROUNDDOWN($E632*ROUND((9*$Y632-9*$E632)/(10*$E632),4),0))))</f>
        <v/>
      </c>
      <c r="AB632" s="13" t="n"/>
      <c r="AC632" s="15">
        <f>IF($B632="","",IF($AB632&lt;&gt;"",$AB632,IF($AA632="","",IF($AA632&lt;=設定!$C$3,0,$AA632))))</f>
        <v/>
      </c>
      <c r="AD632" s="14">
        <f>IF($B632="","",IF(AND($AE632&lt;&gt;"",$AG632="",$AJ632=""),"保留中",IF($AJ632&lt;&gt;"",IF(N($AC632)&gt;0,"支給済","不支給"),IF($AC632="","要確認",IF($AC632=0,"不支給","未処理")))))</f>
        <v/>
      </c>
      <c r="AE632" s="12" t="n"/>
      <c r="AF632" s="11" t="n"/>
      <c r="AG632" s="11" t="n"/>
      <c r="AH632" s="11" t="n"/>
      <c r="AI632" s="14">
        <f>IF(AND($AD632="保留中",$AF632&lt;&gt;""),TODAY()-$AF632,"")</f>
        <v/>
      </c>
      <c r="AJ632" s="12" t="n"/>
      <c r="AK632" s="14">
        <f>IF($B632="","",IF($AO632="","対象年月が未入力／","")&amp;IF($B632="","",IF($AN632="","職員マスタに未登録の職員番号／",IF($Y632="","標準報酬月額が未登録／","")&amp;IF(AND($AO632&lt;&gt;"",OR(AND(INDEX(職員マスタ!$G$6:$G$405,$AN632)&lt;&gt;"",INDEX(職員マスタ!$G$6:$G$405,$AN632)&gt;EOMONTH($AO632,0)),AND(INDEX(職員マスタ!$H$6:$H$405,$AN632)&lt;&gt;"",INDEX(職員マスタ!$H$6:$H$405,$AN632)&lt;$AO632))),"対象月が時短期間外／","")&amp;IF(AND(INDEX(職員マスタ!$F$6:$F$405,$AN632)&lt;&gt;"",$AO632&lt;&gt;"",INDEX(職員マスタ!$F$6:$F$405,$AN632)&lt;$AO632),"対象月に子が2歳到達済／","")&amp;IF(AND($H632&lt;&gt;"",INDEX(職員マスタ!$B$6:$B$405,$AN632)&lt;&gt;"",SUBSTITUTE(SUBSTITUTE($H632," ","")," ","")&lt;&gt;SUBSTITUTE(SUBSTITUTE(INDEX(職員マスタ!$B$6:$B$405,$AN632)," ","")," ","")),"氏名がマスタと相違／","")&amp;IF(AND($Q632&lt;&gt;"",INDEX(職員マスタ!$E$6:$E$405,$AN632)&lt;&gt;"",$Q632&lt;&gt;INDEX(職員マスタ!$E$6:$E$405,$AN632)),"子の生年月日がマスタと相違／","")&amp;IF(AND($L632&lt;&gt;"",INDEX(職員マスタ!$G$6:$G$405,$AN632)&lt;&gt;"",$L632&lt;&gt;INDEX(職員マスタ!$G$6:$G$405,$AN632)),"時短開始日がマスタと相違／","")&amp;IF(AND($M632&lt;&gt;"",INDEX(職員マスタ!$H$6:$H$405,$AN632)&lt;&gt;"",$M632&lt;&gt;INDEX(職員マスタ!$H$6:$H$405,$AN632)),"時短終了日がマスタと相違／","")))&amp;IF(AND($B632&lt;&gt;"",$E632=""),"報酬額が未入力／","")&amp;IF(N($U632)&gt;0,"申請書に入力エラーが残っています／","")&amp;IF(AND($B632&lt;&gt;"",$AO632&lt;&gt;""),IF(COUNTIFS($B$6:$B$3005,$B632,$C$6:$C$3005,$C632,$D$6:$D$3005,$D632)&gt;1,"同じ月の請求が重複しています／",""),"")&amp;IF(AND(N($E632)&gt;0,$Z632&lt;&gt;"",$Z632&lt;&gt;"×",$AC632=0,$AB632=""),"計算額が下限以下のため不支給／",""))</f>
        <v/>
      </c>
      <c r="AL632" s="12" t="n"/>
      <c r="AM632" s="14">
        <f>IF($AD632="保留中",COUNTIF($AD$6:$AD632,"保留中"),"")</f>
        <v/>
      </c>
      <c r="AN632" s="14">
        <f>IF($AO632="","",IF(SUMPRODUCT(MAX((職員マスタ!$A$6:$A$405=$B632)*(((職員マスタ!$G$6:$G$405="")+(職員マスタ!$G$6:$G$405&lt;=EOMONTH($AO632,0)))&gt;0)*(((職員マスタ!$H$6:$H$405="")+(職員マスタ!$H$6:$H$405&gt;=$AO632))&gt;0)*(ROW(職員マスタ!$A$6:$A$405)-5)))&gt;0,SUMPRODUCT(MAX((職員マスタ!$A$6:$A$405=$B632)*(((職員マスタ!$G$6:$G$405="")+(職員マスタ!$G$6:$G$405&lt;=EOMONTH($AO632,0)))&gt;0)*(((職員マスタ!$H$6:$H$405="")+(職員マスタ!$H$6:$H$405&gt;=$AO632))&gt;0)*(ROW(職員マスタ!$A$6:$A$405)-5))),IFERROR(MATCH($B632,職員マスタ!$A$6:$A$405,0),"")))</f>
        <v/>
      </c>
      <c r="AO632" s="16">
        <f>IF(OR($B632="",$C632="",$D632=""),"",DATE($C632+2018,$D632,1))</f>
        <v/>
      </c>
    </row>
    <row r="633">
      <c r="A633" s="11" t="n"/>
      <c r="B633" s="12" t="n"/>
      <c r="C633" s="12" t="n"/>
      <c r="D633" s="12" t="n"/>
      <c r="E633" s="13" t="n"/>
      <c r="F633" s="12" t="n"/>
      <c r="G633" s="13" t="n"/>
      <c r="H633" s="12" t="n"/>
      <c r="I633" s="12" t="n"/>
      <c r="J633" s="12" t="n"/>
      <c r="K633" s="12" t="n"/>
      <c r="L633" s="11" t="n"/>
      <c r="M633" s="11" t="n"/>
      <c r="N633" s="11" t="n"/>
      <c r="O633" s="11" t="n"/>
      <c r="P633" s="12" t="n"/>
      <c r="Q633" s="11" t="n"/>
      <c r="R633" s="12" t="n"/>
      <c r="S633" s="11" t="n"/>
      <c r="T633" s="12" t="n"/>
      <c r="U633" s="12" t="n"/>
      <c r="V633" s="14">
        <f>IF($AN633="",IF($B633="","",$H633),IF(INDEX(職員マスタ!$B$6:$B$405,$AN633)="",$H633,INDEX(職員マスタ!$B$6:$B$405,$AN633)))</f>
        <v/>
      </c>
      <c r="W633" s="14">
        <f>IF($AN633="",IF($B633="","",$R633),IF(INDEX(職員マスタ!$C$6:$C$405,$AN633)="",$R633,INDEX(職員マスタ!$C$6:$C$405,$AN633)))</f>
        <v/>
      </c>
      <c r="X633" s="14">
        <f>IF($AO633="","","R"&amp;$C633&amp;"."&amp;$D633)</f>
        <v/>
      </c>
      <c r="Y633" s="15">
        <f>IF($AN633="","",IF(INDEX(職員マスタ!$K$6:$K$405,$AN633)="","",INDEX(職員マスタ!$K$6:$K$405,$AN633)))</f>
        <v/>
      </c>
      <c r="Z633" s="14">
        <f>IF(OR($E633="",$Y633=""),"",IF($E633&gt;=$Y633,"×",IF($E633&gt;=$Y633*設定!$C$5,"△","○")))</f>
        <v/>
      </c>
      <c r="AA633" s="15">
        <f>IF($Z633="","",IF($Z633="×",0,IF($Z633="○",ROUNDDOWN($E633*設定!$C$4,0),ROUNDDOWN($E633*ROUND((9*$Y633-9*$E633)/(10*$E633),4),0))))</f>
        <v/>
      </c>
      <c r="AB633" s="13" t="n"/>
      <c r="AC633" s="15">
        <f>IF($B633="","",IF($AB633&lt;&gt;"",$AB633,IF($AA633="","",IF($AA633&lt;=設定!$C$3,0,$AA633))))</f>
        <v/>
      </c>
      <c r="AD633" s="14">
        <f>IF($B633="","",IF(AND($AE633&lt;&gt;"",$AG633="",$AJ633=""),"保留中",IF($AJ633&lt;&gt;"",IF(N($AC633)&gt;0,"支給済","不支給"),IF($AC633="","要確認",IF($AC633=0,"不支給","未処理")))))</f>
        <v/>
      </c>
      <c r="AE633" s="12" t="n"/>
      <c r="AF633" s="11" t="n"/>
      <c r="AG633" s="11" t="n"/>
      <c r="AH633" s="11" t="n"/>
      <c r="AI633" s="14">
        <f>IF(AND($AD633="保留中",$AF633&lt;&gt;""),TODAY()-$AF633,"")</f>
        <v/>
      </c>
      <c r="AJ633" s="12" t="n"/>
      <c r="AK633" s="14">
        <f>IF($B633="","",IF($AO633="","対象年月が未入力／","")&amp;IF($B633="","",IF($AN633="","職員マスタに未登録の職員番号／",IF($Y633="","標準報酬月額が未登録／","")&amp;IF(AND($AO633&lt;&gt;"",OR(AND(INDEX(職員マスタ!$G$6:$G$405,$AN633)&lt;&gt;"",INDEX(職員マスタ!$G$6:$G$405,$AN633)&gt;EOMONTH($AO633,0)),AND(INDEX(職員マスタ!$H$6:$H$405,$AN633)&lt;&gt;"",INDEX(職員マスタ!$H$6:$H$405,$AN633)&lt;$AO633))),"対象月が時短期間外／","")&amp;IF(AND(INDEX(職員マスタ!$F$6:$F$405,$AN633)&lt;&gt;"",$AO633&lt;&gt;"",INDEX(職員マスタ!$F$6:$F$405,$AN633)&lt;$AO633),"対象月に子が2歳到達済／","")&amp;IF(AND($H633&lt;&gt;"",INDEX(職員マスタ!$B$6:$B$405,$AN633)&lt;&gt;"",SUBSTITUTE(SUBSTITUTE($H633," ","")," ","")&lt;&gt;SUBSTITUTE(SUBSTITUTE(INDEX(職員マスタ!$B$6:$B$405,$AN633)," ","")," ","")),"氏名がマスタと相違／","")&amp;IF(AND($Q633&lt;&gt;"",INDEX(職員マスタ!$E$6:$E$405,$AN633)&lt;&gt;"",$Q633&lt;&gt;INDEX(職員マスタ!$E$6:$E$405,$AN633)),"子の生年月日がマスタと相違／","")&amp;IF(AND($L633&lt;&gt;"",INDEX(職員マスタ!$G$6:$G$405,$AN633)&lt;&gt;"",$L633&lt;&gt;INDEX(職員マスタ!$G$6:$G$405,$AN633)),"時短開始日がマスタと相違／","")&amp;IF(AND($M633&lt;&gt;"",INDEX(職員マスタ!$H$6:$H$405,$AN633)&lt;&gt;"",$M633&lt;&gt;INDEX(職員マスタ!$H$6:$H$405,$AN633)),"時短終了日がマスタと相違／","")))&amp;IF(AND($B633&lt;&gt;"",$E633=""),"報酬額が未入力／","")&amp;IF(N($U633)&gt;0,"申請書に入力エラーが残っています／","")&amp;IF(AND($B633&lt;&gt;"",$AO633&lt;&gt;""),IF(COUNTIFS($B$6:$B$3005,$B633,$C$6:$C$3005,$C633,$D$6:$D$3005,$D633)&gt;1,"同じ月の請求が重複しています／",""),"")&amp;IF(AND(N($E633)&gt;0,$Z633&lt;&gt;"",$Z633&lt;&gt;"×",$AC633=0,$AB633=""),"計算額が下限以下のため不支給／",""))</f>
        <v/>
      </c>
      <c r="AL633" s="12" t="n"/>
      <c r="AM633" s="14">
        <f>IF($AD633="保留中",COUNTIF($AD$6:$AD633,"保留中"),"")</f>
        <v/>
      </c>
      <c r="AN633" s="14">
        <f>IF($AO633="","",IF(SUMPRODUCT(MAX((職員マスタ!$A$6:$A$405=$B633)*(((職員マスタ!$G$6:$G$405="")+(職員マスタ!$G$6:$G$405&lt;=EOMONTH($AO633,0)))&gt;0)*(((職員マスタ!$H$6:$H$405="")+(職員マスタ!$H$6:$H$405&gt;=$AO633))&gt;0)*(ROW(職員マスタ!$A$6:$A$405)-5)))&gt;0,SUMPRODUCT(MAX((職員マスタ!$A$6:$A$405=$B633)*(((職員マスタ!$G$6:$G$405="")+(職員マスタ!$G$6:$G$405&lt;=EOMONTH($AO633,0)))&gt;0)*(((職員マスタ!$H$6:$H$405="")+(職員マスタ!$H$6:$H$405&gt;=$AO633))&gt;0)*(ROW(職員マスタ!$A$6:$A$405)-5))),IFERROR(MATCH($B633,職員マスタ!$A$6:$A$405,0),"")))</f>
        <v/>
      </c>
      <c r="AO633" s="16">
        <f>IF(OR($B633="",$C633="",$D633=""),"",DATE($C633+2018,$D633,1))</f>
        <v/>
      </c>
    </row>
    <row r="634">
      <c r="A634" s="11" t="n"/>
      <c r="B634" s="12" t="n"/>
      <c r="C634" s="12" t="n"/>
      <c r="D634" s="12" t="n"/>
      <c r="E634" s="13" t="n"/>
      <c r="F634" s="12" t="n"/>
      <c r="G634" s="13" t="n"/>
      <c r="H634" s="12" t="n"/>
      <c r="I634" s="12" t="n"/>
      <c r="J634" s="12" t="n"/>
      <c r="K634" s="12" t="n"/>
      <c r="L634" s="11" t="n"/>
      <c r="M634" s="11" t="n"/>
      <c r="N634" s="11" t="n"/>
      <c r="O634" s="11" t="n"/>
      <c r="P634" s="12" t="n"/>
      <c r="Q634" s="11" t="n"/>
      <c r="R634" s="12" t="n"/>
      <c r="S634" s="11" t="n"/>
      <c r="T634" s="12" t="n"/>
      <c r="U634" s="12" t="n"/>
      <c r="V634" s="14">
        <f>IF($AN634="",IF($B634="","",$H634),IF(INDEX(職員マスタ!$B$6:$B$405,$AN634)="",$H634,INDEX(職員マスタ!$B$6:$B$405,$AN634)))</f>
        <v/>
      </c>
      <c r="W634" s="14">
        <f>IF($AN634="",IF($B634="","",$R634),IF(INDEX(職員マスタ!$C$6:$C$405,$AN634)="",$R634,INDEX(職員マスタ!$C$6:$C$405,$AN634)))</f>
        <v/>
      </c>
      <c r="X634" s="14">
        <f>IF($AO634="","","R"&amp;$C634&amp;"."&amp;$D634)</f>
        <v/>
      </c>
      <c r="Y634" s="15">
        <f>IF($AN634="","",IF(INDEX(職員マスタ!$K$6:$K$405,$AN634)="","",INDEX(職員マスタ!$K$6:$K$405,$AN634)))</f>
        <v/>
      </c>
      <c r="Z634" s="14">
        <f>IF(OR($E634="",$Y634=""),"",IF($E634&gt;=$Y634,"×",IF($E634&gt;=$Y634*設定!$C$5,"△","○")))</f>
        <v/>
      </c>
      <c r="AA634" s="15">
        <f>IF($Z634="","",IF($Z634="×",0,IF($Z634="○",ROUNDDOWN($E634*設定!$C$4,0),ROUNDDOWN($E634*ROUND((9*$Y634-9*$E634)/(10*$E634),4),0))))</f>
        <v/>
      </c>
      <c r="AB634" s="13" t="n"/>
      <c r="AC634" s="15">
        <f>IF($B634="","",IF($AB634&lt;&gt;"",$AB634,IF($AA634="","",IF($AA634&lt;=設定!$C$3,0,$AA634))))</f>
        <v/>
      </c>
      <c r="AD634" s="14">
        <f>IF($B634="","",IF(AND($AE634&lt;&gt;"",$AG634="",$AJ634=""),"保留中",IF($AJ634&lt;&gt;"",IF(N($AC634)&gt;0,"支給済","不支給"),IF($AC634="","要確認",IF($AC634=0,"不支給","未処理")))))</f>
        <v/>
      </c>
      <c r="AE634" s="12" t="n"/>
      <c r="AF634" s="11" t="n"/>
      <c r="AG634" s="11" t="n"/>
      <c r="AH634" s="11" t="n"/>
      <c r="AI634" s="14">
        <f>IF(AND($AD634="保留中",$AF634&lt;&gt;""),TODAY()-$AF634,"")</f>
        <v/>
      </c>
      <c r="AJ634" s="12" t="n"/>
      <c r="AK634" s="14">
        <f>IF($B634="","",IF($AO634="","対象年月が未入力／","")&amp;IF($B634="","",IF($AN634="","職員マスタに未登録の職員番号／",IF($Y634="","標準報酬月額が未登録／","")&amp;IF(AND($AO634&lt;&gt;"",OR(AND(INDEX(職員マスタ!$G$6:$G$405,$AN634)&lt;&gt;"",INDEX(職員マスタ!$G$6:$G$405,$AN634)&gt;EOMONTH($AO634,0)),AND(INDEX(職員マスタ!$H$6:$H$405,$AN634)&lt;&gt;"",INDEX(職員マスタ!$H$6:$H$405,$AN634)&lt;$AO634))),"対象月が時短期間外／","")&amp;IF(AND(INDEX(職員マスタ!$F$6:$F$405,$AN634)&lt;&gt;"",$AO634&lt;&gt;"",INDEX(職員マスタ!$F$6:$F$405,$AN634)&lt;$AO634),"対象月に子が2歳到達済／","")&amp;IF(AND($H634&lt;&gt;"",INDEX(職員マスタ!$B$6:$B$405,$AN634)&lt;&gt;"",SUBSTITUTE(SUBSTITUTE($H634," ","")," ","")&lt;&gt;SUBSTITUTE(SUBSTITUTE(INDEX(職員マスタ!$B$6:$B$405,$AN634)," ","")," ","")),"氏名がマスタと相違／","")&amp;IF(AND($Q634&lt;&gt;"",INDEX(職員マスタ!$E$6:$E$405,$AN634)&lt;&gt;"",$Q634&lt;&gt;INDEX(職員マスタ!$E$6:$E$405,$AN634)),"子の生年月日がマスタと相違／","")&amp;IF(AND($L634&lt;&gt;"",INDEX(職員マスタ!$G$6:$G$405,$AN634)&lt;&gt;"",$L634&lt;&gt;INDEX(職員マスタ!$G$6:$G$405,$AN634)),"時短開始日がマスタと相違／","")&amp;IF(AND($M634&lt;&gt;"",INDEX(職員マスタ!$H$6:$H$405,$AN634)&lt;&gt;"",$M634&lt;&gt;INDEX(職員マスタ!$H$6:$H$405,$AN634)),"時短終了日がマスタと相違／","")))&amp;IF(AND($B634&lt;&gt;"",$E634=""),"報酬額が未入力／","")&amp;IF(N($U634)&gt;0,"申請書に入力エラーが残っています／","")&amp;IF(AND($B634&lt;&gt;"",$AO634&lt;&gt;""),IF(COUNTIFS($B$6:$B$3005,$B634,$C$6:$C$3005,$C634,$D$6:$D$3005,$D634)&gt;1,"同じ月の請求が重複しています／",""),"")&amp;IF(AND(N($E634)&gt;0,$Z634&lt;&gt;"",$Z634&lt;&gt;"×",$AC634=0,$AB634=""),"計算額が下限以下のため不支給／",""))</f>
        <v/>
      </c>
      <c r="AL634" s="12" t="n"/>
      <c r="AM634" s="14">
        <f>IF($AD634="保留中",COUNTIF($AD$6:$AD634,"保留中"),"")</f>
        <v/>
      </c>
      <c r="AN634" s="14">
        <f>IF($AO634="","",IF(SUMPRODUCT(MAX((職員マスタ!$A$6:$A$405=$B634)*(((職員マスタ!$G$6:$G$405="")+(職員マスタ!$G$6:$G$405&lt;=EOMONTH($AO634,0)))&gt;0)*(((職員マスタ!$H$6:$H$405="")+(職員マスタ!$H$6:$H$405&gt;=$AO634))&gt;0)*(ROW(職員マスタ!$A$6:$A$405)-5)))&gt;0,SUMPRODUCT(MAX((職員マスタ!$A$6:$A$405=$B634)*(((職員マスタ!$G$6:$G$405="")+(職員マスタ!$G$6:$G$405&lt;=EOMONTH($AO634,0)))&gt;0)*(((職員マスタ!$H$6:$H$405="")+(職員マスタ!$H$6:$H$405&gt;=$AO634))&gt;0)*(ROW(職員マスタ!$A$6:$A$405)-5))),IFERROR(MATCH($B634,職員マスタ!$A$6:$A$405,0),"")))</f>
        <v/>
      </c>
      <c r="AO634" s="16">
        <f>IF(OR($B634="",$C634="",$D634=""),"",DATE($C634+2018,$D634,1))</f>
        <v/>
      </c>
    </row>
    <row r="635">
      <c r="A635" s="11" t="n"/>
      <c r="B635" s="12" t="n"/>
      <c r="C635" s="12" t="n"/>
      <c r="D635" s="12" t="n"/>
      <c r="E635" s="13" t="n"/>
      <c r="F635" s="12" t="n"/>
      <c r="G635" s="13" t="n"/>
      <c r="H635" s="12" t="n"/>
      <c r="I635" s="12" t="n"/>
      <c r="J635" s="12" t="n"/>
      <c r="K635" s="12" t="n"/>
      <c r="L635" s="11" t="n"/>
      <c r="M635" s="11" t="n"/>
      <c r="N635" s="11" t="n"/>
      <c r="O635" s="11" t="n"/>
      <c r="P635" s="12" t="n"/>
      <c r="Q635" s="11" t="n"/>
      <c r="R635" s="12" t="n"/>
      <c r="S635" s="11" t="n"/>
      <c r="T635" s="12" t="n"/>
      <c r="U635" s="12" t="n"/>
      <c r="V635" s="14">
        <f>IF($AN635="",IF($B635="","",$H635),IF(INDEX(職員マスタ!$B$6:$B$405,$AN635)="",$H635,INDEX(職員マスタ!$B$6:$B$405,$AN635)))</f>
        <v/>
      </c>
      <c r="W635" s="14">
        <f>IF($AN635="",IF($B635="","",$R635),IF(INDEX(職員マスタ!$C$6:$C$405,$AN635)="",$R635,INDEX(職員マスタ!$C$6:$C$405,$AN635)))</f>
        <v/>
      </c>
      <c r="X635" s="14">
        <f>IF($AO635="","","R"&amp;$C635&amp;"."&amp;$D635)</f>
        <v/>
      </c>
      <c r="Y635" s="15">
        <f>IF($AN635="","",IF(INDEX(職員マスタ!$K$6:$K$405,$AN635)="","",INDEX(職員マスタ!$K$6:$K$405,$AN635)))</f>
        <v/>
      </c>
      <c r="Z635" s="14">
        <f>IF(OR($E635="",$Y635=""),"",IF($E635&gt;=$Y635,"×",IF($E635&gt;=$Y635*設定!$C$5,"△","○")))</f>
        <v/>
      </c>
      <c r="AA635" s="15">
        <f>IF($Z635="","",IF($Z635="×",0,IF($Z635="○",ROUNDDOWN($E635*設定!$C$4,0),ROUNDDOWN($E635*ROUND((9*$Y635-9*$E635)/(10*$E635),4),0))))</f>
        <v/>
      </c>
      <c r="AB635" s="13" t="n"/>
      <c r="AC635" s="15">
        <f>IF($B635="","",IF($AB635&lt;&gt;"",$AB635,IF($AA635="","",IF($AA635&lt;=設定!$C$3,0,$AA635))))</f>
        <v/>
      </c>
      <c r="AD635" s="14">
        <f>IF($B635="","",IF(AND($AE635&lt;&gt;"",$AG635="",$AJ635=""),"保留中",IF($AJ635&lt;&gt;"",IF(N($AC635)&gt;0,"支給済","不支給"),IF($AC635="","要確認",IF($AC635=0,"不支給","未処理")))))</f>
        <v/>
      </c>
      <c r="AE635" s="12" t="n"/>
      <c r="AF635" s="11" t="n"/>
      <c r="AG635" s="11" t="n"/>
      <c r="AH635" s="11" t="n"/>
      <c r="AI635" s="14">
        <f>IF(AND($AD635="保留中",$AF635&lt;&gt;""),TODAY()-$AF635,"")</f>
        <v/>
      </c>
      <c r="AJ635" s="12" t="n"/>
      <c r="AK635" s="14">
        <f>IF($B635="","",IF($AO635="","対象年月が未入力／","")&amp;IF($B635="","",IF($AN635="","職員マスタに未登録の職員番号／",IF($Y635="","標準報酬月額が未登録／","")&amp;IF(AND($AO635&lt;&gt;"",OR(AND(INDEX(職員マスタ!$G$6:$G$405,$AN635)&lt;&gt;"",INDEX(職員マスタ!$G$6:$G$405,$AN635)&gt;EOMONTH($AO635,0)),AND(INDEX(職員マスタ!$H$6:$H$405,$AN635)&lt;&gt;"",INDEX(職員マスタ!$H$6:$H$405,$AN635)&lt;$AO635))),"対象月が時短期間外／","")&amp;IF(AND(INDEX(職員マスタ!$F$6:$F$405,$AN635)&lt;&gt;"",$AO635&lt;&gt;"",INDEX(職員マスタ!$F$6:$F$405,$AN635)&lt;$AO635),"対象月に子が2歳到達済／","")&amp;IF(AND($H635&lt;&gt;"",INDEX(職員マスタ!$B$6:$B$405,$AN635)&lt;&gt;"",SUBSTITUTE(SUBSTITUTE($H635," ","")," ","")&lt;&gt;SUBSTITUTE(SUBSTITUTE(INDEX(職員マスタ!$B$6:$B$405,$AN635)," ","")," ","")),"氏名がマスタと相違／","")&amp;IF(AND($Q635&lt;&gt;"",INDEX(職員マスタ!$E$6:$E$405,$AN635)&lt;&gt;"",$Q635&lt;&gt;INDEX(職員マスタ!$E$6:$E$405,$AN635)),"子の生年月日がマスタと相違／","")&amp;IF(AND($L635&lt;&gt;"",INDEX(職員マスタ!$G$6:$G$405,$AN635)&lt;&gt;"",$L635&lt;&gt;INDEX(職員マスタ!$G$6:$G$405,$AN635)),"時短開始日がマスタと相違／","")&amp;IF(AND($M635&lt;&gt;"",INDEX(職員マスタ!$H$6:$H$405,$AN635)&lt;&gt;"",$M635&lt;&gt;INDEX(職員マスタ!$H$6:$H$405,$AN635)),"時短終了日がマスタと相違／","")))&amp;IF(AND($B635&lt;&gt;"",$E635=""),"報酬額が未入力／","")&amp;IF(N($U635)&gt;0,"申請書に入力エラーが残っています／","")&amp;IF(AND($B635&lt;&gt;"",$AO635&lt;&gt;""),IF(COUNTIFS($B$6:$B$3005,$B635,$C$6:$C$3005,$C635,$D$6:$D$3005,$D635)&gt;1,"同じ月の請求が重複しています／",""),"")&amp;IF(AND(N($E635)&gt;0,$Z635&lt;&gt;"",$Z635&lt;&gt;"×",$AC635=0,$AB635=""),"計算額が下限以下のため不支給／",""))</f>
        <v/>
      </c>
      <c r="AL635" s="12" t="n"/>
      <c r="AM635" s="14">
        <f>IF($AD635="保留中",COUNTIF($AD$6:$AD635,"保留中"),"")</f>
        <v/>
      </c>
      <c r="AN635" s="14">
        <f>IF($AO635="","",IF(SUMPRODUCT(MAX((職員マスタ!$A$6:$A$405=$B635)*(((職員マスタ!$G$6:$G$405="")+(職員マスタ!$G$6:$G$405&lt;=EOMONTH($AO635,0)))&gt;0)*(((職員マスタ!$H$6:$H$405="")+(職員マスタ!$H$6:$H$405&gt;=$AO635))&gt;0)*(ROW(職員マスタ!$A$6:$A$405)-5)))&gt;0,SUMPRODUCT(MAX((職員マスタ!$A$6:$A$405=$B635)*(((職員マスタ!$G$6:$G$405="")+(職員マスタ!$G$6:$G$405&lt;=EOMONTH($AO635,0)))&gt;0)*(((職員マスタ!$H$6:$H$405="")+(職員マスタ!$H$6:$H$405&gt;=$AO635))&gt;0)*(ROW(職員マスタ!$A$6:$A$405)-5))),IFERROR(MATCH($B635,職員マスタ!$A$6:$A$405,0),"")))</f>
        <v/>
      </c>
      <c r="AO635" s="16">
        <f>IF(OR($B635="",$C635="",$D635=""),"",DATE($C635+2018,$D635,1))</f>
        <v/>
      </c>
    </row>
    <row r="636">
      <c r="A636" s="11" t="n"/>
      <c r="B636" s="12" t="n"/>
      <c r="C636" s="12" t="n"/>
      <c r="D636" s="12" t="n"/>
      <c r="E636" s="13" t="n"/>
      <c r="F636" s="12" t="n"/>
      <c r="G636" s="13" t="n"/>
      <c r="H636" s="12" t="n"/>
      <c r="I636" s="12" t="n"/>
      <c r="J636" s="12" t="n"/>
      <c r="K636" s="12" t="n"/>
      <c r="L636" s="11" t="n"/>
      <c r="M636" s="11" t="n"/>
      <c r="N636" s="11" t="n"/>
      <c r="O636" s="11" t="n"/>
      <c r="P636" s="12" t="n"/>
      <c r="Q636" s="11" t="n"/>
      <c r="R636" s="12" t="n"/>
      <c r="S636" s="11" t="n"/>
      <c r="T636" s="12" t="n"/>
      <c r="U636" s="12" t="n"/>
      <c r="V636" s="14">
        <f>IF($AN636="",IF($B636="","",$H636),IF(INDEX(職員マスタ!$B$6:$B$405,$AN636)="",$H636,INDEX(職員マスタ!$B$6:$B$405,$AN636)))</f>
        <v/>
      </c>
      <c r="W636" s="14">
        <f>IF($AN636="",IF($B636="","",$R636),IF(INDEX(職員マスタ!$C$6:$C$405,$AN636)="",$R636,INDEX(職員マスタ!$C$6:$C$405,$AN636)))</f>
        <v/>
      </c>
      <c r="X636" s="14">
        <f>IF($AO636="","","R"&amp;$C636&amp;"."&amp;$D636)</f>
        <v/>
      </c>
      <c r="Y636" s="15">
        <f>IF($AN636="","",IF(INDEX(職員マスタ!$K$6:$K$405,$AN636)="","",INDEX(職員マスタ!$K$6:$K$405,$AN636)))</f>
        <v/>
      </c>
      <c r="Z636" s="14">
        <f>IF(OR($E636="",$Y636=""),"",IF($E636&gt;=$Y636,"×",IF($E636&gt;=$Y636*設定!$C$5,"△","○")))</f>
        <v/>
      </c>
      <c r="AA636" s="15">
        <f>IF($Z636="","",IF($Z636="×",0,IF($Z636="○",ROUNDDOWN($E636*設定!$C$4,0),ROUNDDOWN($E636*ROUND((9*$Y636-9*$E636)/(10*$E636),4),0))))</f>
        <v/>
      </c>
      <c r="AB636" s="13" t="n"/>
      <c r="AC636" s="15">
        <f>IF($B636="","",IF($AB636&lt;&gt;"",$AB636,IF($AA636="","",IF($AA636&lt;=設定!$C$3,0,$AA636))))</f>
        <v/>
      </c>
      <c r="AD636" s="14">
        <f>IF($B636="","",IF(AND($AE636&lt;&gt;"",$AG636="",$AJ636=""),"保留中",IF($AJ636&lt;&gt;"",IF(N($AC636)&gt;0,"支給済","不支給"),IF($AC636="","要確認",IF($AC636=0,"不支給","未処理")))))</f>
        <v/>
      </c>
      <c r="AE636" s="12" t="n"/>
      <c r="AF636" s="11" t="n"/>
      <c r="AG636" s="11" t="n"/>
      <c r="AH636" s="11" t="n"/>
      <c r="AI636" s="14">
        <f>IF(AND($AD636="保留中",$AF636&lt;&gt;""),TODAY()-$AF636,"")</f>
        <v/>
      </c>
      <c r="AJ636" s="12" t="n"/>
      <c r="AK636" s="14">
        <f>IF($B636="","",IF($AO636="","対象年月が未入力／","")&amp;IF($B636="","",IF($AN636="","職員マスタに未登録の職員番号／",IF($Y636="","標準報酬月額が未登録／","")&amp;IF(AND($AO636&lt;&gt;"",OR(AND(INDEX(職員マスタ!$G$6:$G$405,$AN636)&lt;&gt;"",INDEX(職員マスタ!$G$6:$G$405,$AN636)&gt;EOMONTH($AO636,0)),AND(INDEX(職員マスタ!$H$6:$H$405,$AN636)&lt;&gt;"",INDEX(職員マスタ!$H$6:$H$405,$AN636)&lt;$AO636))),"対象月が時短期間外／","")&amp;IF(AND(INDEX(職員マスタ!$F$6:$F$405,$AN636)&lt;&gt;"",$AO636&lt;&gt;"",INDEX(職員マスタ!$F$6:$F$405,$AN636)&lt;$AO636),"対象月に子が2歳到達済／","")&amp;IF(AND($H636&lt;&gt;"",INDEX(職員マスタ!$B$6:$B$405,$AN636)&lt;&gt;"",SUBSTITUTE(SUBSTITUTE($H636," ","")," ","")&lt;&gt;SUBSTITUTE(SUBSTITUTE(INDEX(職員マスタ!$B$6:$B$405,$AN636)," ","")," ","")),"氏名がマスタと相違／","")&amp;IF(AND($Q636&lt;&gt;"",INDEX(職員マスタ!$E$6:$E$405,$AN636)&lt;&gt;"",$Q636&lt;&gt;INDEX(職員マスタ!$E$6:$E$405,$AN636)),"子の生年月日がマスタと相違／","")&amp;IF(AND($L636&lt;&gt;"",INDEX(職員マスタ!$G$6:$G$405,$AN636)&lt;&gt;"",$L636&lt;&gt;INDEX(職員マスタ!$G$6:$G$405,$AN636)),"時短開始日がマスタと相違／","")&amp;IF(AND($M636&lt;&gt;"",INDEX(職員マスタ!$H$6:$H$405,$AN636)&lt;&gt;"",$M636&lt;&gt;INDEX(職員マスタ!$H$6:$H$405,$AN636)),"時短終了日がマスタと相違／","")))&amp;IF(AND($B636&lt;&gt;"",$E636=""),"報酬額が未入力／","")&amp;IF(N($U636)&gt;0,"申請書に入力エラーが残っています／","")&amp;IF(AND($B636&lt;&gt;"",$AO636&lt;&gt;""),IF(COUNTIFS($B$6:$B$3005,$B636,$C$6:$C$3005,$C636,$D$6:$D$3005,$D636)&gt;1,"同じ月の請求が重複しています／",""),"")&amp;IF(AND(N($E636)&gt;0,$Z636&lt;&gt;"",$Z636&lt;&gt;"×",$AC636=0,$AB636=""),"計算額が下限以下のため不支給／",""))</f>
        <v/>
      </c>
      <c r="AL636" s="12" t="n"/>
      <c r="AM636" s="14">
        <f>IF($AD636="保留中",COUNTIF($AD$6:$AD636,"保留中"),"")</f>
        <v/>
      </c>
      <c r="AN636" s="14">
        <f>IF($AO636="","",IF(SUMPRODUCT(MAX((職員マスタ!$A$6:$A$405=$B636)*(((職員マスタ!$G$6:$G$405="")+(職員マスタ!$G$6:$G$405&lt;=EOMONTH($AO636,0)))&gt;0)*(((職員マスタ!$H$6:$H$405="")+(職員マスタ!$H$6:$H$405&gt;=$AO636))&gt;0)*(ROW(職員マスタ!$A$6:$A$405)-5)))&gt;0,SUMPRODUCT(MAX((職員マスタ!$A$6:$A$405=$B636)*(((職員マスタ!$G$6:$G$405="")+(職員マスタ!$G$6:$G$405&lt;=EOMONTH($AO636,0)))&gt;0)*(((職員マスタ!$H$6:$H$405="")+(職員マスタ!$H$6:$H$405&gt;=$AO636))&gt;0)*(ROW(職員マスタ!$A$6:$A$405)-5))),IFERROR(MATCH($B636,職員マスタ!$A$6:$A$405,0),"")))</f>
        <v/>
      </c>
      <c r="AO636" s="16">
        <f>IF(OR($B636="",$C636="",$D636=""),"",DATE($C636+2018,$D636,1))</f>
        <v/>
      </c>
    </row>
    <row r="637">
      <c r="A637" s="11" t="n"/>
      <c r="B637" s="12" t="n"/>
      <c r="C637" s="12" t="n"/>
      <c r="D637" s="12" t="n"/>
      <c r="E637" s="13" t="n"/>
      <c r="F637" s="12" t="n"/>
      <c r="G637" s="13" t="n"/>
      <c r="H637" s="12" t="n"/>
      <c r="I637" s="12" t="n"/>
      <c r="J637" s="12" t="n"/>
      <c r="K637" s="12" t="n"/>
      <c r="L637" s="11" t="n"/>
      <c r="M637" s="11" t="n"/>
      <c r="N637" s="11" t="n"/>
      <c r="O637" s="11" t="n"/>
      <c r="P637" s="12" t="n"/>
      <c r="Q637" s="11" t="n"/>
      <c r="R637" s="12" t="n"/>
      <c r="S637" s="11" t="n"/>
      <c r="T637" s="12" t="n"/>
      <c r="U637" s="12" t="n"/>
      <c r="V637" s="14">
        <f>IF($AN637="",IF($B637="","",$H637),IF(INDEX(職員マスタ!$B$6:$B$405,$AN637)="",$H637,INDEX(職員マスタ!$B$6:$B$405,$AN637)))</f>
        <v/>
      </c>
      <c r="W637" s="14">
        <f>IF($AN637="",IF($B637="","",$R637),IF(INDEX(職員マスタ!$C$6:$C$405,$AN637)="",$R637,INDEX(職員マスタ!$C$6:$C$405,$AN637)))</f>
        <v/>
      </c>
      <c r="X637" s="14">
        <f>IF($AO637="","","R"&amp;$C637&amp;"."&amp;$D637)</f>
        <v/>
      </c>
      <c r="Y637" s="15">
        <f>IF($AN637="","",IF(INDEX(職員マスタ!$K$6:$K$405,$AN637)="","",INDEX(職員マスタ!$K$6:$K$405,$AN637)))</f>
        <v/>
      </c>
      <c r="Z637" s="14">
        <f>IF(OR($E637="",$Y637=""),"",IF($E637&gt;=$Y637,"×",IF($E637&gt;=$Y637*設定!$C$5,"△","○")))</f>
        <v/>
      </c>
      <c r="AA637" s="15">
        <f>IF($Z637="","",IF($Z637="×",0,IF($Z637="○",ROUNDDOWN($E637*設定!$C$4,0),ROUNDDOWN($E637*ROUND((9*$Y637-9*$E637)/(10*$E637),4),0))))</f>
        <v/>
      </c>
      <c r="AB637" s="13" t="n"/>
      <c r="AC637" s="15">
        <f>IF($B637="","",IF($AB637&lt;&gt;"",$AB637,IF($AA637="","",IF($AA637&lt;=設定!$C$3,0,$AA637))))</f>
        <v/>
      </c>
      <c r="AD637" s="14">
        <f>IF($B637="","",IF(AND($AE637&lt;&gt;"",$AG637="",$AJ637=""),"保留中",IF($AJ637&lt;&gt;"",IF(N($AC637)&gt;0,"支給済","不支給"),IF($AC637="","要確認",IF($AC637=0,"不支給","未処理")))))</f>
        <v/>
      </c>
      <c r="AE637" s="12" t="n"/>
      <c r="AF637" s="11" t="n"/>
      <c r="AG637" s="11" t="n"/>
      <c r="AH637" s="11" t="n"/>
      <c r="AI637" s="14">
        <f>IF(AND($AD637="保留中",$AF637&lt;&gt;""),TODAY()-$AF637,"")</f>
        <v/>
      </c>
      <c r="AJ637" s="12" t="n"/>
      <c r="AK637" s="14">
        <f>IF($B637="","",IF($AO637="","対象年月が未入力／","")&amp;IF($B637="","",IF($AN637="","職員マスタに未登録の職員番号／",IF($Y637="","標準報酬月額が未登録／","")&amp;IF(AND($AO637&lt;&gt;"",OR(AND(INDEX(職員マスタ!$G$6:$G$405,$AN637)&lt;&gt;"",INDEX(職員マスタ!$G$6:$G$405,$AN637)&gt;EOMONTH($AO637,0)),AND(INDEX(職員マスタ!$H$6:$H$405,$AN637)&lt;&gt;"",INDEX(職員マスタ!$H$6:$H$405,$AN637)&lt;$AO637))),"対象月が時短期間外／","")&amp;IF(AND(INDEX(職員マスタ!$F$6:$F$405,$AN637)&lt;&gt;"",$AO637&lt;&gt;"",INDEX(職員マスタ!$F$6:$F$405,$AN637)&lt;$AO637),"対象月に子が2歳到達済／","")&amp;IF(AND($H637&lt;&gt;"",INDEX(職員マスタ!$B$6:$B$405,$AN637)&lt;&gt;"",SUBSTITUTE(SUBSTITUTE($H637," ","")," ","")&lt;&gt;SUBSTITUTE(SUBSTITUTE(INDEX(職員マスタ!$B$6:$B$405,$AN637)," ","")," ","")),"氏名がマスタと相違／","")&amp;IF(AND($Q637&lt;&gt;"",INDEX(職員マスタ!$E$6:$E$405,$AN637)&lt;&gt;"",$Q637&lt;&gt;INDEX(職員マスタ!$E$6:$E$405,$AN637)),"子の生年月日がマスタと相違／","")&amp;IF(AND($L637&lt;&gt;"",INDEX(職員マスタ!$G$6:$G$405,$AN637)&lt;&gt;"",$L637&lt;&gt;INDEX(職員マスタ!$G$6:$G$405,$AN637)),"時短開始日がマスタと相違／","")&amp;IF(AND($M637&lt;&gt;"",INDEX(職員マスタ!$H$6:$H$405,$AN637)&lt;&gt;"",$M637&lt;&gt;INDEX(職員マスタ!$H$6:$H$405,$AN637)),"時短終了日がマスタと相違／","")))&amp;IF(AND($B637&lt;&gt;"",$E637=""),"報酬額が未入力／","")&amp;IF(N($U637)&gt;0,"申請書に入力エラーが残っています／","")&amp;IF(AND($B637&lt;&gt;"",$AO637&lt;&gt;""),IF(COUNTIFS($B$6:$B$3005,$B637,$C$6:$C$3005,$C637,$D$6:$D$3005,$D637)&gt;1,"同じ月の請求が重複しています／",""),"")&amp;IF(AND(N($E637)&gt;0,$Z637&lt;&gt;"",$Z637&lt;&gt;"×",$AC637=0,$AB637=""),"計算額が下限以下のため不支給／",""))</f>
        <v/>
      </c>
      <c r="AL637" s="12" t="n"/>
      <c r="AM637" s="14">
        <f>IF($AD637="保留中",COUNTIF($AD$6:$AD637,"保留中"),"")</f>
        <v/>
      </c>
      <c r="AN637" s="14">
        <f>IF($AO637="","",IF(SUMPRODUCT(MAX((職員マスタ!$A$6:$A$405=$B637)*(((職員マスタ!$G$6:$G$405="")+(職員マスタ!$G$6:$G$405&lt;=EOMONTH($AO637,0)))&gt;0)*(((職員マスタ!$H$6:$H$405="")+(職員マスタ!$H$6:$H$405&gt;=$AO637))&gt;0)*(ROW(職員マスタ!$A$6:$A$405)-5)))&gt;0,SUMPRODUCT(MAX((職員マスタ!$A$6:$A$405=$B637)*(((職員マスタ!$G$6:$G$405="")+(職員マスタ!$G$6:$G$405&lt;=EOMONTH($AO637,0)))&gt;0)*(((職員マスタ!$H$6:$H$405="")+(職員マスタ!$H$6:$H$405&gt;=$AO637))&gt;0)*(ROW(職員マスタ!$A$6:$A$405)-5))),IFERROR(MATCH($B637,職員マスタ!$A$6:$A$405,0),"")))</f>
        <v/>
      </c>
      <c r="AO637" s="16">
        <f>IF(OR($B637="",$C637="",$D637=""),"",DATE($C637+2018,$D637,1))</f>
        <v/>
      </c>
    </row>
    <row r="638">
      <c r="A638" s="11" t="n"/>
      <c r="B638" s="12" t="n"/>
      <c r="C638" s="12" t="n"/>
      <c r="D638" s="12" t="n"/>
      <c r="E638" s="13" t="n"/>
      <c r="F638" s="12" t="n"/>
      <c r="G638" s="13" t="n"/>
      <c r="H638" s="12" t="n"/>
      <c r="I638" s="12" t="n"/>
      <c r="J638" s="12" t="n"/>
      <c r="K638" s="12" t="n"/>
      <c r="L638" s="11" t="n"/>
      <c r="M638" s="11" t="n"/>
      <c r="N638" s="11" t="n"/>
      <c r="O638" s="11" t="n"/>
      <c r="P638" s="12" t="n"/>
      <c r="Q638" s="11" t="n"/>
      <c r="R638" s="12" t="n"/>
      <c r="S638" s="11" t="n"/>
      <c r="T638" s="12" t="n"/>
      <c r="U638" s="12" t="n"/>
      <c r="V638" s="14">
        <f>IF($AN638="",IF($B638="","",$H638),IF(INDEX(職員マスタ!$B$6:$B$405,$AN638)="",$H638,INDEX(職員マスタ!$B$6:$B$405,$AN638)))</f>
        <v/>
      </c>
      <c r="W638" s="14">
        <f>IF($AN638="",IF($B638="","",$R638),IF(INDEX(職員マスタ!$C$6:$C$405,$AN638)="",$R638,INDEX(職員マスタ!$C$6:$C$405,$AN638)))</f>
        <v/>
      </c>
      <c r="X638" s="14">
        <f>IF($AO638="","","R"&amp;$C638&amp;"."&amp;$D638)</f>
        <v/>
      </c>
      <c r="Y638" s="15">
        <f>IF($AN638="","",IF(INDEX(職員マスタ!$K$6:$K$405,$AN638)="","",INDEX(職員マスタ!$K$6:$K$405,$AN638)))</f>
        <v/>
      </c>
      <c r="Z638" s="14">
        <f>IF(OR($E638="",$Y638=""),"",IF($E638&gt;=$Y638,"×",IF($E638&gt;=$Y638*設定!$C$5,"△","○")))</f>
        <v/>
      </c>
      <c r="AA638" s="15">
        <f>IF($Z638="","",IF($Z638="×",0,IF($Z638="○",ROUNDDOWN($E638*設定!$C$4,0),ROUNDDOWN($E638*ROUND((9*$Y638-9*$E638)/(10*$E638),4),0))))</f>
        <v/>
      </c>
      <c r="AB638" s="13" t="n"/>
      <c r="AC638" s="15">
        <f>IF($B638="","",IF($AB638&lt;&gt;"",$AB638,IF($AA638="","",IF($AA638&lt;=設定!$C$3,0,$AA638))))</f>
        <v/>
      </c>
      <c r="AD638" s="14">
        <f>IF($B638="","",IF(AND($AE638&lt;&gt;"",$AG638="",$AJ638=""),"保留中",IF($AJ638&lt;&gt;"",IF(N($AC638)&gt;0,"支給済","不支給"),IF($AC638="","要確認",IF($AC638=0,"不支給","未処理")))))</f>
        <v/>
      </c>
      <c r="AE638" s="12" t="n"/>
      <c r="AF638" s="11" t="n"/>
      <c r="AG638" s="11" t="n"/>
      <c r="AH638" s="11" t="n"/>
      <c r="AI638" s="14">
        <f>IF(AND($AD638="保留中",$AF638&lt;&gt;""),TODAY()-$AF638,"")</f>
        <v/>
      </c>
      <c r="AJ638" s="12" t="n"/>
      <c r="AK638" s="14">
        <f>IF($B638="","",IF($AO638="","対象年月が未入力／","")&amp;IF($B638="","",IF($AN638="","職員マスタに未登録の職員番号／",IF($Y638="","標準報酬月額が未登録／","")&amp;IF(AND($AO638&lt;&gt;"",OR(AND(INDEX(職員マスタ!$G$6:$G$405,$AN638)&lt;&gt;"",INDEX(職員マスタ!$G$6:$G$405,$AN638)&gt;EOMONTH($AO638,0)),AND(INDEX(職員マスタ!$H$6:$H$405,$AN638)&lt;&gt;"",INDEX(職員マスタ!$H$6:$H$405,$AN638)&lt;$AO638))),"対象月が時短期間外／","")&amp;IF(AND(INDEX(職員マスタ!$F$6:$F$405,$AN638)&lt;&gt;"",$AO638&lt;&gt;"",INDEX(職員マスタ!$F$6:$F$405,$AN638)&lt;$AO638),"対象月に子が2歳到達済／","")&amp;IF(AND($H638&lt;&gt;"",INDEX(職員マスタ!$B$6:$B$405,$AN638)&lt;&gt;"",SUBSTITUTE(SUBSTITUTE($H638," ","")," ","")&lt;&gt;SUBSTITUTE(SUBSTITUTE(INDEX(職員マスタ!$B$6:$B$405,$AN638)," ","")," ","")),"氏名がマスタと相違／","")&amp;IF(AND($Q638&lt;&gt;"",INDEX(職員マスタ!$E$6:$E$405,$AN638)&lt;&gt;"",$Q638&lt;&gt;INDEX(職員マスタ!$E$6:$E$405,$AN638)),"子の生年月日がマスタと相違／","")&amp;IF(AND($L638&lt;&gt;"",INDEX(職員マスタ!$G$6:$G$405,$AN638)&lt;&gt;"",$L638&lt;&gt;INDEX(職員マスタ!$G$6:$G$405,$AN638)),"時短開始日がマスタと相違／","")&amp;IF(AND($M638&lt;&gt;"",INDEX(職員マスタ!$H$6:$H$405,$AN638)&lt;&gt;"",$M638&lt;&gt;INDEX(職員マスタ!$H$6:$H$405,$AN638)),"時短終了日がマスタと相違／","")))&amp;IF(AND($B638&lt;&gt;"",$E638=""),"報酬額が未入力／","")&amp;IF(N($U638)&gt;0,"申請書に入力エラーが残っています／","")&amp;IF(AND($B638&lt;&gt;"",$AO638&lt;&gt;""),IF(COUNTIFS($B$6:$B$3005,$B638,$C$6:$C$3005,$C638,$D$6:$D$3005,$D638)&gt;1,"同じ月の請求が重複しています／",""),"")&amp;IF(AND(N($E638)&gt;0,$Z638&lt;&gt;"",$Z638&lt;&gt;"×",$AC638=0,$AB638=""),"計算額が下限以下のため不支給／",""))</f>
        <v/>
      </c>
      <c r="AL638" s="12" t="n"/>
      <c r="AM638" s="14">
        <f>IF($AD638="保留中",COUNTIF($AD$6:$AD638,"保留中"),"")</f>
        <v/>
      </c>
      <c r="AN638" s="14">
        <f>IF($AO638="","",IF(SUMPRODUCT(MAX((職員マスタ!$A$6:$A$405=$B638)*(((職員マスタ!$G$6:$G$405="")+(職員マスタ!$G$6:$G$405&lt;=EOMONTH($AO638,0)))&gt;0)*(((職員マスタ!$H$6:$H$405="")+(職員マスタ!$H$6:$H$405&gt;=$AO638))&gt;0)*(ROW(職員マスタ!$A$6:$A$405)-5)))&gt;0,SUMPRODUCT(MAX((職員マスタ!$A$6:$A$405=$B638)*(((職員マスタ!$G$6:$G$405="")+(職員マスタ!$G$6:$G$405&lt;=EOMONTH($AO638,0)))&gt;0)*(((職員マスタ!$H$6:$H$405="")+(職員マスタ!$H$6:$H$405&gt;=$AO638))&gt;0)*(ROW(職員マスタ!$A$6:$A$405)-5))),IFERROR(MATCH($B638,職員マスタ!$A$6:$A$405,0),"")))</f>
        <v/>
      </c>
      <c r="AO638" s="16">
        <f>IF(OR($B638="",$C638="",$D638=""),"",DATE($C638+2018,$D638,1))</f>
        <v/>
      </c>
    </row>
    <row r="639">
      <c r="A639" s="11" t="n"/>
      <c r="B639" s="12" t="n"/>
      <c r="C639" s="12" t="n"/>
      <c r="D639" s="12" t="n"/>
      <c r="E639" s="13" t="n"/>
      <c r="F639" s="12" t="n"/>
      <c r="G639" s="13" t="n"/>
      <c r="H639" s="12" t="n"/>
      <c r="I639" s="12" t="n"/>
      <c r="J639" s="12" t="n"/>
      <c r="K639" s="12" t="n"/>
      <c r="L639" s="11" t="n"/>
      <c r="M639" s="11" t="n"/>
      <c r="N639" s="11" t="n"/>
      <c r="O639" s="11" t="n"/>
      <c r="P639" s="12" t="n"/>
      <c r="Q639" s="11" t="n"/>
      <c r="R639" s="12" t="n"/>
      <c r="S639" s="11" t="n"/>
      <c r="T639" s="12" t="n"/>
      <c r="U639" s="12" t="n"/>
      <c r="V639" s="14">
        <f>IF($AN639="",IF($B639="","",$H639),IF(INDEX(職員マスタ!$B$6:$B$405,$AN639)="",$H639,INDEX(職員マスタ!$B$6:$B$405,$AN639)))</f>
        <v/>
      </c>
      <c r="W639" s="14">
        <f>IF($AN639="",IF($B639="","",$R639),IF(INDEX(職員マスタ!$C$6:$C$405,$AN639)="",$R639,INDEX(職員マスタ!$C$6:$C$405,$AN639)))</f>
        <v/>
      </c>
      <c r="X639" s="14">
        <f>IF($AO639="","","R"&amp;$C639&amp;"."&amp;$D639)</f>
        <v/>
      </c>
      <c r="Y639" s="15">
        <f>IF($AN639="","",IF(INDEX(職員マスタ!$K$6:$K$405,$AN639)="","",INDEX(職員マスタ!$K$6:$K$405,$AN639)))</f>
        <v/>
      </c>
      <c r="Z639" s="14">
        <f>IF(OR($E639="",$Y639=""),"",IF($E639&gt;=$Y639,"×",IF($E639&gt;=$Y639*設定!$C$5,"△","○")))</f>
        <v/>
      </c>
      <c r="AA639" s="15">
        <f>IF($Z639="","",IF($Z639="×",0,IF($Z639="○",ROUNDDOWN($E639*設定!$C$4,0),ROUNDDOWN($E639*ROUND((9*$Y639-9*$E639)/(10*$E639),4),0))))</f>
        <v/>
      </c>
      <c r="AB639" s="13" t="n"/>
      <c r="AC639" s="15">
        <f>IF($B639="","",IF($AB639&lt;&gt;"",$AB639,IF($AA639="","",IF($AA639&lt;=設定!$C$3,0,$AA639))))</f>
        <v/>
      </c>
      <c r="AD639" s="14">
        <f>IF($B639="","",IF(AND($AE639&lt;&gt;"",$AG639="",$AJ639=""),"保留中",IF($AJ639&lt;&gt;"",IF(N($AC639)&gt;0,"支給済","不支給"),IF($AC639="","要確認",IF($AC639=0,"不支給","未処理")))))</f>
        <v/>
      </c>
      <c r="AE639" s="12" t="n"/>
      <c r="AF639" s="11" t="n"/>
      <c r="AG639" s="11" t="n"/>
      <c r="AH639" s="11" t="n"/>
      <c r="AI639" s="14">
        <f>IF(AND($AD639="保留中",$AF639&lt;&gt;""),TODAY()-$AF639,"")</f>
        <v/>
      </c>
      <c r="AJ639" s="12" t="n"/>
      <c r="AK639" s="14">
        <f>IF($B639="","",IF($AO639="","対象年月が未入力／","")&amp;IF($B639="","",IF($AN639="","職員マスタに未登録の職員番号／",IF($Y639="","標準報酬月額が未登録／","")&amp;IF(AND($AO639&lt;&gt;"",OR(AND(INDEX(職員マスタ!$G$6:$G$405,$AN639)&lt;&gt;"",INDEX(職員マスタ!$G$6:$G$405,$AN639)&gt;EOMONTH($AO639,0)),AND(INDEX(職員マスタ!$H$6:$H$405,$AN639)&lt;&gt;"",INDEX(職員マスタ!$H$6:$H$405,$AN639)&lt;$AO639))),"対象月が時短期間外／","")&amp;IF(AND(INDEX(職員マスタ!$F$6:$F$405,$AN639)&lt;&gt;"",$AO639&lt;&gt;"",INDEX(職員マスタ!$F$6:$F$405,$AN639)&lt;$AO639),"対象月に子が2歳到達済／","")&amp;IF(AND($H639&lt;&gt;"",INDEX(職員マスタ!$B$6:$B$405,$AN639)&lt;&gt;"",SUBSTITUTE(SUBSTITUTE($H639," ","")," ","")&lt;&gt;SUBSTITUTE(SUBSTITUTE(INDEX(職員マスタ!$B$6:$B$405,$AN639)," ","")," ","")),"氏名がマスタと相違／","")&amp;IF(AND($Q639&lt;&gt;"",INDEX(職員マスタ!$E$6:$E$405,$AN639)&lt;&gt;"",$Q639&lt;&gt;INDEX(職員マスタ!$E$6:$E$405,$AN639)),"子の生年月日がマスタと相違／","")&amp;IF(AND($L639&lt;&gt;"",INDEX(職員マスタ!$G$6:$G$405,$AN639)&lt;&gt;"",$L639&lt;&gt;INDEX(職員マスタ!$G$6:$G$405,$AN639)),"時短開始日がマスタと相違／","")&amp;IF(AND($M639&lt;&gt;"",INDEX(職員マスタ!$H$6:$H$405,$AN639)&lt;&gt;"",$M639&lt;&gt;INDEX(職員マスタ!$H$6:$H$405,$AN639)),"時短終了日がマスタと相違／","")))&amp;IF(AND($B639&lt;&gt;"",$E639=""),"報酬額が未入力／","")&amp;IF(N($U639)&gt;0,"申請書に入力エラーが残っています／","")&amp;IF(AND($B639&lt;&gt;"",$AO639&lt;&gt;""),IF(COUNTIFS($B$6:$B$3005,$B639,$C$6:$C$3005,$C639,$D$6:$D$3005,$D639)&gt;1,"同じ月の請求が重複しています／",""),"")&amp;IF(AND(N($E639)&gt;0,$Z639&lt;&gt;"",$Z639&lt;&gt;"×",$AC639=0,$AB639=""),"計算額が下限以下のため不支給／",""))</f>
        <v/>
      </c>
      <c r="AL639" s="12" t="n"/>
      <c r="AM639" s="14">
        <f>IF($AD639="保留中",COUNTIF($AD$6:$AD639,"保留中"),"")</f>
        <v/>
      </c>
      <c r="AN639" s="14">
        <f>IF($AO639="","",IF(SUMPRODUCT(MAX((職員マスタ!$A$6:$A$405=$B639)*(((職員マスタ!$G$6:$G$405="")+(職員マスタ!$G$6:$G$405&lt;=EOMONTH($AO639,0)))&gt;0)*(((職員マスタ!$H$6:$H$405="")+(職員マスタ!$H$6:$H$405&gt;=$AO639))&gt;0)*(ROW(職員マスタ!$A$6:$A$405)-5)))&gt;0,SUMPRODUCT(MAX((職員マスタ!$A$6:$A$405=$B639)*(((職員マスタ!$G$6:$G$405="")+(職員マスタ!$G$6:$G$405&lt;=EOMONTH($AO639,0)))&gt;0)*(((職員マスタ!$H$6:$H$405="")+(職員マスタ!$H$6:$H$405&gt;=$AO639))&gt;0)*(ROW(職員マスタ!$A$6:$A$405)-5))),IFERROR(MATCH($B639,職員マスタ!$A$6:$A$405,0),"")))</f>
        <v/>
      </c>
      <c r="AO639" s="16">
        <f>IF(OR($B639="",$C639="",$D639=""),"",DATE($C639+2018,$D639,1))</f>
        <v/>
      </c>
    </row>
    <row r="640">
      <c r="A640" s="11" t="n"/>
      <c r="B640" s="12" t="n"/>
      <c r="C640" s="12" t="n"/>
      <c r="D640" s="12" t="n"/>
      <c r="E640" s="13" t="n"/>
      <c r="F640" s="12" t="n"/>
      <c r="G640" s="13" t="n"/>
      <c r="H640" s="12" t="n"/>
      <c r="I640" s="12" t="n"/>
      <c r="J640" s="12" t="n"/>
      <c r="K640" s="12" t="n"/>
      <c r="L640" s="11" t="n"/>
      <c r="M640" s="11" t="n"/>
      <c r="N640" s="11" t="n"/>
      <c r="O640" s="11" t="n"/>
      <c r="P640" s="12" t="n"/>
      <c r="Q640" s="11" t="n"/>
      <c r="R640" s="12" t="n"/>
      <c r="S640" s="11" t="n"/>
      <c r="T640" s="12" t="n"/>
      <c r="U640" s="12" t="n"/>
      <c r="V640" s="14">
        <f>IF($AN640="",IF($B640="","",$H640),IF(INDEX(職員マスタ!$B$6:$B$405,$AN640)="",$H640,INDEX(職員マスタ!$B$6:$B$405,$AN640)))</f>
        <v/>
      </c>
      <c r="W640" s="14">
        <f>IF($AN640="",IF($B640="","",$R640),IF(INDEX(職員マスタ!$C$6:$C$405,$AN640)="",$R640,INDEX(職員マスタ!$C$6:$C$405,$AN640)))</f>
        <v/>
      </c>
      <c r="X640" s="14">
        <f>IF($AO640="","","R"&amp;$C640&amp;"."&amp;$D640)</f>
        <v/>
      </c>
      <c r="Y640" s="15">
        <f>IF($AN640="","",IF(INDEX(職員マスタ!$K$6:$K$405,$AN640)="","",INDEX(職員マスタ!$K$6:$K$405,$AN640)))</f>
        <v/>
      </c>
      <c r="Z640" s="14">
        <f>IF(OR($E640="",$Y640=""),"",IF($E640&gt;=$Y640,"×",IF($E640&gt;=$Y640*設定!$C$5,"△","○")))</f>
        <v/>
      </c>
      <c r="AA640" s="15">
        <f>IF($Z640="","",IF($Z640="×",0,IF($Z640="○",ROUNDDOWN($E640*設定!$C$4,0),ROUNDDOWN($E640*ROUND((9*$Y640-9*$E640)/(10*$E640),4),0))))</f>
        <v/>
      </c>
      <c r="AB640" s="13" t="n"/>
      <c r="AC640" s="15">
        <f>IF($B640="","",IF($AB640&lt;&gt;"",$AB640,IF($AA640="","",IF($AA640&lt;=設定!$C$3,0,$AA640))))</f>
        <v/>
      </c>
      <c r="AD640" s="14">
        <f>IF($B640="","",IF(AND($AE640&lt;&gt;"",$AG640="",$AJ640=""),"保留中",IF($AJ640&lt;&gt;"",IF(N($AC640)&gt;0,"支給済","不支給"),IF($AC640="","要確認",IF($AC640=0,"不支給","未処理")))))</f>
        <v/>
      </c>
      <c r="AE640" s="12" t="n"/>
      <c r="AF640" s="11" t="n"/>
      <c r="AG640" s="11" t="n"/>
      <c r="AH640" s="11" t="n"/>
      <c r="AI640" s="14">
        <f>IF(AND($AD640="保留中",$AF640&lt;&gt;""),TODAY()-$AF640,"")</f>
        <v/>
      </c>
      <c r="AJ640" s="12" t="n"/>
      <c r="AK640" s="14">
        <f>IF($B640="","",IF($AO640="","対象年月が未入力／","")&amp;IF($B640="","",IF($AN640="","職員マスタに未登録の職員番号／",IF($Y640="","標準報酬月額が未登録／","")&amp;IF(AND($AO640&lt;&gt;"",OR(AND(INDEX(職員マスタ!$G$6:$G$405,$AN640)&lt;&gt;"",INDEX(職員マスタ!$G$6:$G$405,$AN640)&gt;EOMONTH($AO640,0)),AND(INDEX(職員マスタ!$H$6:$H$405,$AN640)&lt;&gt;"",INDEX(職員マスタ!$H$6:$H$405,$AN640)&lt;$AO640))),"対象月が時短期間外／","")&amp;IF(AND(INDEX(職員マスタ!$F$6:$F$405,$AN640)&lt;&gt;"",$AO640&lt;&gt;"",INDEX(職員マスタ!$F$6:$F$405,$AN640)&lt;$AO640),"対象月に子が2歳到達済／","")&amp;IF(AND($H640&lt;&gt;"",INDEX(職員マスタ!$B$6:$B$405,$AN640)&lt;&gt;"",SUBSTITUTE(SUBSTITUTE($H640," ","")," ","")&lt;&gt;SUBSTITUTE(SUBSTITUTE(INDEX(職員マスタ!$B$6:$B$405,$AN640)," ","")," ","")),"氏名がマスタと相違／","")&amp;IF(AND($Q640&lt;&gt;"",INDEX(職員マスタ!$E$6:$E$405,$AN640)&lt;&gt;"",$Q640&lt;&gt;INDEX(職員マスタ!$E$6:$E$405,$AN640)),"子の生年月日がマスタと相違／","")&amp;IF(AND($L640&lt;&gt;"",INDEX(職員マスタ!$G$6:$G$405,$AN640)&lt;&gt;"",$L640&lt;&gt;INDEX(職員マスタ!$G$6:$G$405,$AN640)),"時短開始日がマスタと相違／","")&amp;IF(AND($M640&lt;&gt;"",INDEX(職員マスタ!$H$6:$H$405,$AN640)&lt;&gt;"",$M640&lt;&gt;INDEX(職員マスタ!$H$6:$H$405,$AN640)),"時短終了日がマスタと相違／","")))&amp;IF(AND($B640&lt;&gt;"",$E640=""),"報酬額が未入力／","")&amp;IF(N($U640)&gt;0,"申請書に入力エラーが残っています／","")&amp;IF(AND($B640&lt;&gt;"",$AO640&lt;&gt;""),IF(COUNTIFS($B$6:$B$3005,$B640,$C$6:$C$3005,$C640,$D$6:$D$3005,$D640)&gt;1,"同じ月の請求が重複しています／",""),"")&amp;IF(AND(N($E640)&gt;0,$Z640&lt;&gt;"",$Z640&lt;&gt;"×",$AC640=0,$AB640=""),"計算額が下限以下のため不支給／",""))</f>
        <v/>
      </c>
      <c r="AL640" s="12" t="n"/>
      <c r="AM640" s="14">
        <f>IF($AD640="保留中",COUNTIF($AD$6:$AD640,"保留中"),"")</f>
        <v/>
      </c>
      <c r="AN640" s="14">
        <f>IF($AO640="","",IF(SUMPRODUCT(MAX((職員マスタ!$A$6:$A$405=$B640)*(((職員マスタ!$G$6:$G$405="")+(職員マスタ!$G$6:$G$405&lt;=EOMONTH($AO640,0)))&gt;0)*(((職員マスタ!$H$6:$H$405="")+(職員マスタ!$H$6:$H$405&gt;=$AO640))&gt;0)*(ROW(職員マスタ!$A$6:$A$405)-5)))&gt;0,SUMPRODUCT(MAX((職員マスタ!$A$6:$A$405=$B640)*(((職員マスタ!$G$6:$G$405="")+(職員マスタ!$G$6:$G$405&lt;=EOMONTH($AO640,0)))&gt;0)*(((職員マスタ!$H$6:$H$405="")+(職員マスタ!$H$6:$H$405&gt;=$AO640))&gt;0)*(ROW(職員マスタ!$A$6:$A$405)-5))),IFERROR(MATCH($B640,職員マスタ!$A$6:$A$405,0),"")))</f>
        <v/>
      </c>
      <c r="AO640" s="16">
        <f>IF(OR($B640="",$C640="",$D640=""),"",DATE($C640+2018,$D640,1))</f>
        <v/>
      </c>
    </row>
    <row r="641">
      <c r="A641" s="11" t="n"/>
      <c r="B641" s="12" t="n"/>
      <c r="C641" s="12" t="n"/>
      <c r="D641" s="12" t="n"/>
      <c r="E641" s="13" t="n"/>
      <c r="F641" s="12" t="n"/>
      <c r="G641" s="13" t="n"/>
      <c r="H641" s="12" t="n"/>
      <c r="I641" s="12" t="n"/>
      <c r="J641" s="12" t="n"/>
      <c r="K641" s="12" t="n"/>
      <c r="L641" s="11" t="n"/>
      <c r="M641" s="11" t="n"/>
      <c r="N641" s="11" t="n"/>
      <c r="O641" s="11" t="n"/>
      <c r="P641" s="12" t="n"/>
      <c r="Q641" s="11" t="n"/>
      <c r="R641" s="12" t="n"/>
      <c r="S641" s="11" t="n"/>
      <c r="T641" s="12" t="n"/>
      <c r="U641" s="12" t="n"/>
      <c r="V641" s="14">
        <f>IF($AN641="",IF($B641="","",$H641),IF(INDEX(職員マスタ!$B$6:$B$405,$AN641)="",$H641,INDEX(職員マスタ!$B$6:$B$405,$AN641)))</f>
        <v/>
      </c>
      <c r="W641" s="14">
        <f>IF($AN641="",IF($B641="","",$R641),IF(INDEX(職員マスタ!$C$6:$C$405,$AN641)="",$R641,INDEX(職員マスタ!$C$6:$C$405,$AN641)))</f>
        <v/>
      </c>
      <c r="X641" s="14">
        <f>IF($AO641="","","R"&amp;$C641&amp;"."&amp;$D641)</f>
        <v/>
      </c>
      <c r="Y641" s="15">
        <f>IF($AN641="","",IF(INDEX(職員マスタ!$K$6:$K$405,$AN641)="","",INDEX(職員マスタ!$K$6:$K$405,$AN641)))</f>
        <v/>
      </c>
      <c r="Z641" s="14">
        <f>IF(OR($E641="",$Y641=""),"",IF($E641&gt;=$Y641,"×",IF($E641&gt;=$Y641*設定!$C$5,"△","○")))</f>
        <v/>
      </c>
      <c r="AA641" s="15">
        <f>IF($Z641="","",IF($Z641="×",0,IF($Z641="○",ROUNDDOWN($E641*設定!$C$4,0),ROUNDDOWN($E641*ROUND((9*$Y641-9*$E641)/(10*$E641),4),0))))</f>
        <v/>
      </c>
      <c r="AB641" s="13" t="n"/>
      <c r="AC641" s="15">
        <f>IF($B641="","",IF($AB641&lt;&gt;"",$AB641,IF($AA641="","",IF($AA641&lt;=設定!$C$3,0,$AA641))))</f>
        <v/>
      </c>
      <c r="AD641" s="14">
        <f>IF($B641="","",IF(AND($AE641&lt;&gt;"",$AG641="",$AJ641=""),"保留中",IF($AJ641&lt;&gt;"",IF(N($AC641)&gt;0,"支給済","不支給"),IF($AC641="","要確認",IF($AC641=0,"不支給","未処理")))))</f>
        <v/>
      </c>
      <c r="AE641" s="12" t="n"/>
      <c r="AF641" s="11" t="n"/>
      <c r="AG641" s="11" t="n"/>
      <c r="AH641" s="11" t="n"/>
      <c r="AI641" s="14">
        <f>IF(AND($AD641="保留中",$AF641&lt;&gt;""),TODAY()-$AF641,"")</f>
        <v/>
      </c>
      <c r="AJ641" s="12" t="n"/>
      <c r="AK641" s="14">
        <f>IF($B641="","",IF($AO641="","対象年月が未入力／","")&amp;IF($B641="","",IF($AN641="","職員マスタに未登録の職員番号／",IF($Y641="","標準報酬月額が未登録／","")&amp;IF(AND($AO641&lt;&gt;"",OR(AND(INDEX(職員マスタ!$G$6:$G$405,$AN641)&lt;&gt;"",INDEX(職員マスタ!$G$6:$G$405,$AN641)&gt;EOMONTH($AO641,0)),AND(INDEX(職員マスタ!$H$6:$H$405,$AN641)&lt;&gt;"",INDEX(職員マスタ!$H$6:$H$405,$AN641)&lt;$AO641))),"対象月が時短期間外／","")&amp;IF(AND(INDEX(職員マスタ!$F$6:$F$405,$AN641)&lt;&gt;"",$AO641&lt;&gt;"",INDEX(職員マスタ!$F$6:$F$405,$AN641)&lt;$AO641),"対象月に子が2歳到達済／","")&amp;IF(AND($H641&lt;&gt;"",INDEX(職員マスタ!$B$6:$B$405,$AN641)&lt;&gt;"",SUBSTITUTE(SUBSTITUTE($H641," ","")," ","")&lt;&gt;SUBSTITUTE(SUBSTITUTE(INDEX(職員マスタ!$B$6:$B$405,$AN641)," ","")," ","")),"氏名がマスタと相違／","")&amp;IF(AND($Q641&lt;&gt;"",INDEX(職員マスタ!$E$6:$E$405,$AN641)&lt;&gt;"",$Q641&lt;&gt;INDEX(職員マスタ!$E$6:$E$405,$AN641)),"子の生年月日がマスタと相違／","")&amp;IF(AND($L641&lt;&gt;"",INDEX(職員マスタ!$G$6:$G$405,$AN641)&lt;&gt;"",$L641&lt;&gt;INDEX(職員マスタ!$G$6:$G$405,$AN641)),"時短開始日がマスタと相違／","")&amp;IF(AND($M641&lt;&gt;"",INDEX(職員マスタ!$H$6:$H$405,$AN641)&lt;&gt;"",$M641&lt;&gt;INDEX(職員マスタ!$H$6:$H$405,$AN641)),"時短終了日がマスタと相違／","")))&amp;IF(AND($B641&lt;&gt;"",$E641=""),"報酬額が未入力／","")&amp;IF(N($U641)&gt;0,"申請書に入力エラーが残っています／","")&amp;IF(AND($B641&lt;&gt;"",$AO641&lt;&gt;""),IF(COUNTIFS($B$6:$B$3005,$B641,$C$6:$C$3005,$C641,$D$6:$D$3005,$D641)&gt;1,"同じ月の請求が重複しています／",""),"")&amp;IF(AND(N($E641)&gt;0,$Z641&lt;&gt;"",$Z641&lt;&gt;"×",$AC641=0,$AB641=""),"計算額が下限以下のため不支給／",""))</f>
        <v/>
      </c>
      <c r="AL641" s="12" t="n"/>
      <c r="AM641" s="14">
        <f>IF($AD641="保留中",COUNTIF($AD$6:$AD641,"保留中"),"")</f>
        <v/>
      </c>
      <c r="AN641" s="14">
        <f>IF($AO641="","",IF(SUMPRODUCT(MAX((職員マスタ!$A$6:$A$405=$B641)*(((職員マスタ!$G$6:$G$405="")+(職員マスタ!$G$6:$G$405&lt;=EOMONTH($AO641,0)))&gt;0)*(((職員マスタ!$H$6:$H$405="")+(職員マスタ!$H$6:$H$405&gt;=$AO641))&gt;0)*(ROW(職員マスタ!$A$6:$A$405)-5)))&gt;0,SUMPRODUCT(MAX((職員マスタ!$A$6:$A$405=$B641)*(((職員マスタ!$G$6:$G$405="")+(職員マスタ!$G$6:$G$405&lt;=EOMONTH($AO641,0)))&gt;0)*(((職員マスタ!$H$6:$H$405="")+(職員マスタ!$H$6:$H$405&gt;=$AO641))&gt;0)*(ROW(職員マスタ!$A$6:$A$405)-5))),IFERROR(MATCH($B641,職員マスタ!$A$6:$A$405,0),"")))</f>
        <v/>
      </c>
      <c r="AO641" s="16">
        <f>IF(OR($B641="",$C641="",$D641=""),"",DATE($C641+2018,$D641,1))</f>
        <v/>
      </c>
    </row>
    <row r="642">
      <c r="A642" s="11" t="n"/>
      <c r="B642" s="12" t="n"/>
      <c r="C642" s="12" t="n"/>
      <c r="D642" s="12" t="n"/>
      <c r="E642" s="13" t="n"/>
      <c r="F642" s="12" t="n"/>
      <c r="G642" s="13" t="n"/>
      <c r="H642" s="12" t="n"/>
      <c r="I642" s="12" t="n"/>
      <c r="J642" s="12" t="n"/>
      <c r="K642" s="12" t="n"/>
      <c r="L642" s="11" t="n"/>
      <c r="M642" s="11" t="n"/>
      <c r="N642" s="11" t="n"/>
      <c r="O642" s="11" t="n"/>
      <c r="P642" s="12" t="n"/>
      <c r="Q642" s="11" t="n"/>
      <c r="R642" s="12" t="n"/>
      <c r="S642" s="11" t="n"/>
      <c r="T642" s="12" t="n"/>
      <c r="U642" s="12" t="n"/>
      <c r="V642" s="14">
        <f>IF($AN642="",IF($B642="","",$H642),IF(INDEX(職員マスタ!$B$6:$B$405,$AN642)="",$H642,INDEX(職員マスタ!$B$6:$B$405,$AN642)))</f>
        <v/>
      </c>
      <c r="W642" s="14">
        <f>IF($AN642="",IF($B642="","",$R642),IF(INDEX(職員マスタ!$C$6:$C$405,$AN642)="",$R642,INDEX(職員マスタ!$C$6:$C$405,$AN642)))</f>
        <v/>
      </c>
      <c r="X642" s="14">
        <f>IF($AO642="","","R"&amp;$C642&amp;"."&amp;$D642)</f>
        <v/>
      </c>
      <c r="Y642" s="15">
        <f>IF($AN642="","",IF(INDEX(職員マスタ!$K$6:$K$405,$AN642)="","",INDEX(職員マスタ!$K$6:$K$405,$AN642)))</f>
        <v/>
      </c>
      <c r="Z642" s="14">
        <f>IF(OR($E642="",$Y642=""),"",IF($E642&gt;=$Y642,"×",IF($E642&gt;=$Y642*設定!$C$5,"△","○")))</f>
        <v/>
      </c>
      <c r="AA642" s="15">
        <f>IF($Z642="","",IF($Z642="×",0,IF($Z642="○",ROUNDDOWN($E642*設定!$C$4,0),ROUNDDOWN($E642*ROUND((9*$Y642-9*$E642)/(10*$E642),4),0))))</f>
        <v/>
      </c>
      <c r="AB642" s="13" t="n"/>
      <c r="AC642" s="15">
        <f>IF($B642="","",IF($AB642&lt;&gt;"",$AB642,IF($AA642="","",IF($AA642&lt;=設定!$C$3,0,$AA642))))</f>
        <v/>
      </c>
      <c r="AD642" s="14">
        <f>IF($B642="","",IF(AND($AE642&lt;&gt;"",$AG642="",$AJ642=""),"保留中",IF($AJ642&lt;&gt;"",IF(N($AC642)&gt;0,"支給済","不支給"),IF($AC642="","要確認",IF($AC642=0,"不支給","未処理")))))</f>
        <v/>
      </c>
      <c r="AE642" s="12" t="n"/>
      <c r="AF642" s="11" t="n"/>
      <c r="AG642" s="11" t="n"/>
      <c r="AH642" s="11" t="n"/>
      <c r="AI642" s="14">
        <f>IF(AND($AD642="保留中",$AF642&lt;&gt;""),TODAY()-$AF642,"")</f>
        <v/>
      </c>
      <c r="AJ642" s="12" t="n"/>
      <c r="AK642" s="14">
        <f>IF($B642="","",IF($AO642="","対象年月が未入力／","")&amp;IF($B642="","",IF($AN642="","職員マスタに未登録の職員番号／",IF($Y642="","標準報酬月額が未登録／","")&amp;IF(AND($AO642&lt;&gt;"",OR(AND(INDEX(職員マスタ!$G$6:$G$405,$AN642)&lt;&gt;"",INDEX(職員マスタ!$G$6:$G$405,$AN642)&gt;EOMONTH($AO642,0)),AND(INDEX(職員マスタ!$H$6:$H$405,$AN642)&lt;&gt;"",INDEX(職員マスタ!$H$6:$H$405,$AN642)&lt;$AO642))),"対象月が時短期間外／","")&amp;IF(AND(INDEX(職員マスタ!$F$6:$F$405,$AN642)&lt;&gt;"",$AO642&lt;&gt;"",INDEX(職員マスタ!$F$6:$F$405,$AN642)&lt;$AO642),"対象月に子が2歳到達済／","")&amp;IF(AND($H642&lt;&gt;"",INDEX(職員マスタ!$B$6:$B$405,$AN642)&lt;&gt;"",SUBSTITUTE(SUBSTITUTE($H642," ","")," ","")&lt;&gt;SUBSTITUTE(SUBSTITUTE(INDEX(職員マスタ!$B$6:$B$405,$AN642)," ","")," ","")),"氏名がマスタと相違／","")&amp;IF(AND($Q642&lt;&gt;"",INDEX(職員マスタ!$E$6:$E$405,$AN642)&lt;&gt;"",$Q642&lt;&gt;INDEX(職員マスタ!$E$6:$E$405,$AN642)),"子の生年月日がマスタと相違／","")&amp;IF(AND($L642&lt;&gt;"",INDEX(職員マスタ!$G$6:$G$405,$AN642)&lt;&gt;"",$L642&lt;&gt;INDEX(職員マスタ!$G$6:$G$405,$AN642)),"時短開始日がマスタと相違／","")&amp;IF(AND($M642&lt;&gt;"",INDEX(職員マスタ!$H$6:$H$405,$AN642)&lt;&gt;"",$M642&lt;&gt;INDEX(職員マスタ!$H$6:$H$405,$AN642)),"時短終了日がマスタと相違／","")))&amp;IF(AND($B642&lt;&gt;"",$E642=""),"報酬額が未入力／","")&amp;IF(N($U642)&gt;0,"申請書に入力エラーが残っています／","")&amp;IF(AND($B642&lt;&gt;"",$AO642&lt;&gt;""),IF(COUNTIFS($B$6:$B$3005,$B642,$C$6:$C$3005,$C642,$D$6:$D$3005,$D642)&gt;1,"同じ月の請求が重複しています／",""),"")&amp;IF(AND(N($E642)&gt;0,$Z642&lt;&gt;"",$Z642&lt;&gt;"×",$AC642=0,$AB642=""),"計算額が下限以下のため不支給／",""))</f>
        <v/>
      </c>
      <c r="AL642" s="12" t="n"/>
      <c r="AM642" s="14">
        <f>IF($AD642="保留中",COUNTIF($AD$6:$AD642,"保留中"),"")</f>
        <v/>
      </c>
      <c r="AN642" s="14">
        <f>IF($AO642="","",IF(SUMPRODUCT(MAX((職員マスタ!$A$6:$A$405=$B642)*(((職員マスタ!$G$6:$G$405="")+(職員マスタ!$G$6:$G$405&lt;=EOMONTH($AO642,0)))&gt;0)*(((職員マスタ!$H$6:$H$405="")+(職員マスタ!$H$6:$H$405&gt;=$AO642))&gt;0)*(ROW(職員マスタ!$A$6:$A$405)-5)))&gt;0,SUMPRODUCT(MAX((職員マスタ!$A$6:$A$405=$B642)*(((職員マスタ!$G$6:$G$405="")+(職員マスタ!$G$6:$G$405&lt;=EOMONTH($AO642,0)))&gt;0)*(((職員マスタ!$H$6:$H$405="")+(職員マスタ!$H$6:$H$405&gt;=$AO642))&gt;0)*(ROW(職員マスタ!$A$6:$A$405)-5))),IFERROR(MATCH($B642,職員マスタ!$A$6:$A$405,0),"")))</f>
        <v/>
      </c>
      <c r="AO642" s="16">
        <f>IF(OR($B642="",$C642="",$D642=""),"",DATE($C642+2018,$D642,1))</f>
        <v/>
      </c>
    </row>
    <row r="643">
      <c r="A643" s="11" t="n"/>
      <c r="B643" s="12" t="n"/>
      <c r="C643" s="12" t="n"/>
      <c r="D643" s="12" t="n"/>
      <c r="E643" s="13" t="n"/>
      <c r="F643" s="12" t="n"/>
      <c r="G643" s="13" t="n"/>
      <c r="H643" s="12" t="n"/>
      <c r="I643" s="12" t="n"/>
      <c r="J643" s="12" t="n"/>
      <c r="K643" s="12" t="n"/>
      <c r="L643" s="11" t="n"/>
      <c r="M643" s="11" t="n"/>
      <c r="N643" s="11" t="n"/>
      <c r="O643" s="11" t="n"/>
      <c r="P643" s="12" t="n"/>
      <c r="Q643" s="11" t="n"/>
      <c r="R643" s="12" t="n"/>
      <c r="S643" s="11" t="n"/>
      <c r="T643" s="12" t="n"/>
      <c r="U643" s="12" t="n"/>
      <c r="V643" s="14">
        <f>IF($AN643="",IF($B643="","",$H643),IF(INDEX(職員マスタ!$B$6:$B$405,$AN643)="",$H643,INDEX(職員マスタ!$B$6:$B$405,$AN643)))</f>
        <v/>
      </c>
      <c r="W643" s="14">
        <f>IF($AN643="",IF($B643="","",$R643),IF(INDEX(職員マスタ!$C$6:$C$405,$AN643)="",$R643,INDEX(職員マスタ!$C$6:$C$405,$AN643)))</f>
        <v/>
      </c>
      <c r="X643" s="14">
        <f>IF($AO643="","","R"&amp;$C643&amp;"."&amp;$D643)</f>
        <v/>
      </c>
      <c r="Y643" s="15">
        <f>IF($AN643="","",IF(INDEX(職員マスタ!$K$6:$K$405,$AN643)="","",INDEX(職員マスタ!$K$6:$K$405,$AN643)))</f>
        <v/>
      </c>
      <c r="Z643" s="14">
        <f>IF(OR($E643="",$Y643=""),"",IF($E643&gt;=$Y643,"×",IF($E643&gt;=$Y643*設定!$C$5,"△","○")))</f>
        <v/>
      </c>
      <c r="AA643" s="15">
        <f>IF($Z643="","",IF($Z643="×",0,IF($Z643="○",ROUNDDOWN($E643*設定!$C$4,0),ROUNDDOWN($E643*ROUND((9*$Y643-9*$E643)/(10*$E643),4),0))))</f>
        <v/>
      </c>
      <c r="AB643" s="13" t="n"/>
      <c r="AC643" s="15">
        <f>IF($B643="","",IF($AB643&lt;&gt;"",$AB643,IF($AA643="","",IF($AA643&lt;=設定!$C$3,0,$AA643))))</f>
        <v/>
      </c>
      <c r="AD643" s="14">
        <f>IF($B643="","",IF(AND($AE643&lt;&gt;"",$AG643="",$AJ643=""),"保留中",IF($AJ643&lt;&gt;"",IF(N($AC643)&gt;0,"支給済","不支給"),IF($AC643="","要確認",IF($AC643=0,"不支給","未処理")))))</f>
        <v/>
      </c>
      <c r="AE643" s="12" t="n"/>
      <c r="AF643" s="11" t="n"/>
      <c r="AG643" s="11" t="n"/>
      <c r="AH643" s="11" t="n"/>
      <c r="AI643" s="14">
        <f>IF(AND($AD643="保留中",$AF643&lt;&gt;""),TODAY()-$AF643,"")</f>
        <v/>
      </c>
      <c r="AJ643" s="12" t="n"/>
      <c r="AK643" s="14">
        <f>IF($B643="","",IF($AO643="","対象年月が未入力／","")&amp;IF($B643="","",IF($AN643="","職員マスタに未登録の職員番号／",IF($Y643="","標準報酬月額が未登録／","")&amp;IF(AND($AO643&lt;&gt;"",OR(AND(INDEX(職員マスタ!$G$6:$G$405,$AN643)&lt;&gt;"",INDEX(職員マスタ!$G$6:$G$405,$AN643)&gt;EOMONTH($AO643,0)),AND(INDEX(職員マスタ!$H$6:$H$405,$AN643)&lt;&gt;"",INDEX(職員マスタ!$H$6:$H$405,$AN643)&lt;$AO643))),"対象月が時短期間外／","")&amp;IF(AND(INDEX(職員マスタ!$F$6:$F$405,$AN643)&lt;&gt;"",$AO643&lt;&gt;"",INDEX(職員マスタ!$F$6:$F$405,$AN643)&lt;$AO643),"対象月に子が2歳到達済／","")&amp;IF(AND($H643&lt;&gt;"",INDEX(職員マスタ!$B$6:$B$405,$AN643)&lt;&gt;"",SUBSTITUTE(SUBSTITUTE($H643," ","")," ","")&lt;&gt;SUBSTITUTE(SUBSTITUTE(INDEX(職員マスタ!$B$6:$B$405,$AN643)," ","")," ","")),"氏名がマスタと相違／","")&amp;IF(AND($Q643&lt;&gt;"",INDEX(職員マスタ!$E$6:$E$405,$AN643)&lt;&gt;"",$Q643&lt;&gt;INDEX(職員マスタ!$E$6:$E$405,$AN643)),"子の生年月日がマスタと相違／","")&amp;IF(AND($L643&lt;&gt;"",INDEX(職員マスタ!$G$6:$G$405,$AN643)&lt;&gt;"",$L643&lt;&gt;INDEX(職員マスタ!$G$6:$G$405,$AN643)),"時短開始日がマスタと相違／","")&amp;IF(AND($M643&lt;&gt;"",INDEX(職員マスタ!$H$6:$H$405,$AN643)&lt;&gt;"",$M643&lt;&gt;INDEX(職員マスタ!$H$6:$H$405,$AN643)),"時短終了日がマスタと相違／","")))&amp;IF(AND($B643&lt;&gt;"",$E643=""),"報酬額が未入力／","")&amp;IF(N($U643)&gt;0,"申請書に入力エラーが残っています／","")&amp;IF(AND($B643&lt;&gt;"",$AO643&lt;&gt;""),IF(COUNTIFS($B$6:$B$3005,$B643,$C$6:$C$3005,$C643,$D$6:$D$3005,$D643)&gt;1,"同じ月の請求が重複しています／",""),"")&amp;IF(AND(N($E643)&gt;0,$Z643&lt;&gt;"",$Z643&lt;&gt;"×",$AC643=0,$AB643=""),"計算額が下限以下のため不支給／",""))</f>
        <v/>
      </c>
      <c r="AL643" s="12" t="n"/>
      <c r="AM643" s="14">
        <f>IF($AD643="保留中",COUNTIF($AD$6:$AD643,"保留中"),"")</f>
        <v/>
      </c>
      <c r="AN643" s="14">
        <f>IF($AO643="","",IF(SUMPRODUCT(MAX((職員マスタ!$A$6:$A$405=$B643)*(((職員マスタ!$G$6:$G$405="")+(職員マスタ!$G$6:$G$405&lt;=EOMONTH($AO643,0)))&gt;0)*(((職員マスタ!$H$6:$H$405="")+(職員マスタ!$H$6:$H$405&gt;=$AO643))&gt;0)*(ROW(職員マスタ!$A$6:$A$405)-5)))&gt;0,SUMPRODUCT(MAX((職員マスタ!$A$6:$A$405=$B643)*(((職員マスタ!$G$6:$G$405="")+(職員マスタ!$G$6:$G$405&lt;=EOMONTH($AO643,0)))&gt;0)*(((職員マスタ!$H$6:$H$405="")+(職員マスタ!$H$6:$H$405&gt;=$AO643))&gt;0)*(ROW(職員マスタ!$A$6:$A$405)-5))),IFERROR(MATCH($B643,職員マスタ!$A$6:$A$405,0),"")))</f>
        <v/>
      </c>
      <c r="AO643" s="16">
        <f>IF(OR($B643="",$C643="",$D643=""),"",DATE($C643+2018,$D643,1))</f>
        <v/>
      </c>
    </row>
    <row r="644">
      <c r="A644" s="11" t="n"/>
      <c r="B644" s="12" t="n"/>
      <c r="C644" s="12" t="n"/>
      <c r="D644" s="12" t="n"/>
      <c r="E644" s="13" t="n"/>
      <c r="F644" s="12" t="n"/>
      <c r="G644" s="13" t="n"/>
      <c r="H644" s="12" t="n"/>
      <c r="I644" s="12" t="n"/>
      <c r="J644" s="12" t="n"/>
      <c r="K644" s="12" t="n"/>
      <c r="L644" s="11" t="n"/>
      <c r="M644" s="11" t="n"/>
      <c r="N644" s="11" t="n"/>
      <c r="O644" s="11" t="n"/>
      <c r="P644" s="12" t="n"/>
      <c r="Q644" s="11" t="n"/>
      <c r="R644" s="12" t="n"/>
      <c r="S644" s="11" t="n"/>
      <c r="T644" s="12" t="n"/>
      <c r="U644" s="12" t="n"/>
      <c r="V644" s="14">
        <f>IF($AN644="",IF($B644="","",$H644),IF(INDEX(職員マスタ!$B$6:$B$405,$AN644)="",$H644,INDEX(職員マスタ!$B$6:$B$405,$AN644)))</f>
        <v/>
      </c>
      <c r="W644" s="14">
        <f>IF($AN644="",IF($B644="","",$R644),IF(INDEX(職員マスタ!$C$6:$C$405,$AN644)="",$R644,INDEX(職員マスタ!$C$6:$C$405,$AN644)))</f>
        <v/>
      </c>
      <c r="X644" s="14">
        <f>IF($AO644="","","R"&amp;$C644&amp;"."&amp;$D644)</f>
        <v/>
      </c>
      <c r="Y644" s="15">
        <f>IF($AN644="","",IF(INDEX(職員マスタ!$K$6:$K$405,$AN644)="","",INDEX(職員マスタ!$K$6:$K$405,$AN644)))</f>
        <v/>
      </c>
      <c r="Z644" s="14">
        <f>IF(OR($E644="",$Y644=""),"",IF($E644&gt;=$Y644,"×",IF($E644&gt;=$Y644*設定!$C$5,"△","○")))</f>
        <v/>
      </c>
      <c r="AA644" s="15">
        <f>IF($Z644="","",IF($Z644="×",0,IF($Z644="○",ROUNDDOWN($E644*設定!$C$4,0),ROUNDDOWN($E644*ROUND((9*$Y644-9*$E644)/(10*$E644),4),0))))</f>
        <v/>
      </c>
      <c r="AB644" s="13" t="n"/>
      <c r="AC644" s="15">
        <f>IF($B644="","",IF($AB644&lt;&gt;"",$AB644,IF($AA644="","",IF($AA644&lt;=設定!$C$3,0,$AA644))))</f>
        <v/>
      </c>
      <c r="AD644" s="14">
        <f>IF($B644="","",IF(AND($AE644&lt;&gt;"",$AG644="",$AJ644=""),"保留中",IF($AJ644&lt;&gt;"",IF(N($AC644)&gt;0,"支給済","不支給"),IF($AC644="","要確認",IF($AC644=0,"不支給","未処理")))))</f>
        <v/>
      </c>
      <c r="AE644" s="12" t="n"/>
      <c r="AF644" s="11" t="n"/>
      <c r="AG644" s="11" t="n"/>
      <c r="AH644" s="11" t="n"/>
      <c r="AI644" s="14">
        <f>IF(AND($AD644="保留中",$AF644&lt;&gt;""),TODAY()-$AF644,"")</f>
        <v/>
      </c>
      <c r="AJ644" s="12" t="n"/>
      <c r="AK644" s="14">
        <f>IF($B644="","",IF($AO644="","対象年月が未入力／","")&amp;IF($B644="","",IF($AN644="","職員マスタに未登録の職員番号／",IF($Y644="","標準報酬月額が未登録／","")&amp;IF(AND($AO644&lt;&gt;"",OR(AND(INDEX(職員マスタ!$G$6:$G$405,$AN644)&lt;&gt;"",INDEX(職員マスタ!$G$6:$G$405,$AN644)&gt;EOMONTH($AO644,0)),AND(INDEX(職員マスタ!$H$6:$H$405,$AN644)&lt;&gt;"",INDEX(職員マスタ!$H$6:$H$405,$AN644)&lt;$AO644))),"対象月が時短期間外／","")&amp;IF(AND(INDEX(職員マスタ!$F$6:$F$405,$AN644)&lt;&gt;"",$AO644&lt;&gt;"",INDEX(職員マスタ!$F$6:$F$405,$AN644)&lt;$AO644),"対象月に子が2歳到達済／","")&amp;IF(AND($H644&lt;&gt;"",INDEX(職員マスタ!$B$6:$B$405,$AN644)&lt;&gt;"",SUBSTITUTE(SUBSTITUTE($H644," ","")," ","")&lt;&gt;SUBSTITUTE(SUBSTITUTE(INDEX(職員マスタ!$B$6:$B$405,$AN644)," ","")," ","")),"氏名がマスタと相違／","")&amp;IF(AND($Q644&lt;&gt;"",INDEX(職員マスタ!$E$6:$E$405,$AN644)&lt;&gt;"",$Q644&lt;&gt;INDEX(職員マスタ!$E$6:$E$405,$AN644)),"子の生年月日がマスタと相違／","")&amp;IF(AND($L644&lt;&gt;"",INDEX(職員マスタ!$G$6:$G$405,$AN644)&lt;&gt;"",$L644&lt;&gt;INDEX(職員マスタ!$G$6:$G$405,$AN644)),"時短開始日がマスタと相違／","")&amp;IF(AND($M644&lt;&gt;"",INDEX(職員マスタ!$H$6:$H$405,$AN644)&lt;&gt;"",$M644&lt;&gt;INDEX(職員マスタ!$H$6:$H$405,$AN644)),"時短終了日がマスタと相違／","")))&amp;IF(AND($B644&lt;&gt;"",$E644=""),"報酬額が未入力／","")&amp;IF(N($U644)&gt;0,"申請書に入力エラーが残っています／","")&amp;IF(AND($B644&lt;&gt;"",$AO644&lt;&gt;""),IF(COUNTIFS($B$6:$B$3005,$B644,$C$6:$C$3005,$C644,$D$6:$D$3005,$D644)&gt;1,"同じ月の請求が重複しています／",""),"")&amp;IF(AND(N($E644)&gt;0,$Z644&lt;&gt;"",$Z644&lt;&gt;"×",$AC644=0,$AB644=""),"計算額が下限以下のため不支給／",""))</f>
        <v/>
      </c>
      <c r="AL644" s="12" t="n"/>
      <c r="AM644" s="14">
        <f>IF($AD644="保留中",COUNTIF($AD$6:$AD644,"保留中"),"")</f>
        <v/>
      </c>
      <c r="AN644" s="14">
        <f>IF($AO644="","",IF(SUMPRODUCT(MAX((職員マスタ!$A$6:$A$405=$B644)*(((職員マスタ!$G$6:$G$405="")+(職員マスタ!$G$6:$G$405&lt;=EOMONTH($AO644,0)))&gt;0)*(((職員マスタ!$H$6:$H$405="")+(職員マスタ!$H$6:$H$405&gt;=$AO644))&gt;0)*(ROW(職員マスタ!$A$6:$A$405)-5)))&gt;0,SUMPRODUCT(MAX((職員マスタ!$A$6:$A$405=$B644)*(((職員マスタ!$G$6:$G$405="")+(職員マスタ!$G$6:$G$405&lt;=EOMONTH($AO644,0)))&gt;0)*(((職員マスタ!$H$6:$H$405="")+(職員マスタ!$H$6:$H$405&gt;=$AO644))&gt;0)*(ROW(職員マスタ!$A$6:$A$405)-5))),IFERROR(MATCH($B644,職員マスタ!$A$6:$A$405,0),"")))</f>
        <v/>
      </c>
      <c r="AO644" s="16">
        <f>IF(OR($B644="",$C644="",$D644=""),"",DATE($C644+2018,$D644,1))</f>
        <v/>
      </c>
    </row>
    <row r="645">
      <c r="A645" s="11" t="n"/>
      <c r="B645" s="12" t="n"/>
      <c r="C645" s="12" t="n"/>
      <c r="D645" s="12" t="n"/>
      <c r="E645" s="13" t="n"/>
      <c r="F645" s="12" t="n"/>
      <c r="G645" s="13" t="n"/>
      <c r="H645" s="12" t="n"/>
      <c r="I645" s="12" t="n"/>
      <c r="J645" s="12" t="n"/>
      <c r="K645" s="12" t="n"/>
      <c r="L645" s="11" t="n"/>
      <c r="M645" s="11" t="n"/>
      <c r="N645" s="11" t="n"/>
      <c r="O645" s="11" t="n"/>
      <c r="P645" s="12" t="n"/>
      <c r="Q645" s="11" t="n"/>
      <c r="R645" s="12" t="n"/>
      <c r="S645" s="11" t="n"/>
      <c r="T645" s="12" t="n"/>
      <c r="U645" s="12" t="n"/>
      <c r="V645" s="14">
        <f>IF($AN645="",IF($B645="","",$H645),IF(INDEX(職員マスタ!$B$6:$B$405,$AN645)="",$H645,INDEX(職員マスタ!$B$6:$B$405,$AN645)))</f>
        <v/>
      </c>
      <c r="W645" s="14">
        <f>IF($AN645="",IF($B645="","",$R645),IF(INDEX(職員マスタ!$C$6:$C$405,$AN645)="",$R645,INDEX(職員マスタ!$C$6:$C$405,$AN645)))</f>
        <v/>
      </c>
      <c r="X645" s="14">
        <f>IF($AO645="","","R"&amp;$C645&amp;"."&amp;$D645)</f>
        <v/>
      </c>
      <c r="Y645" s="15">
        <f>IF($AN645="","",IF(INDEX(職員マスタ!$K$6:$K$405,$AN645)="","",INDEX(職員マスタ!$K$6:$K$405,$AN645)))</f>
        <v/>
      </c>
      <c r="Z645" s="14">
        <f>IF(OR($E645="",$Y645=""),"",IF($E645&gt;=$Y645,"×",IF($E645&gt;=$Y645*設定!$C$5,"△","○")))</f>
        <v/>
      </c>
      <c r="AA645" s="15">
        <f>IF($Z645="","",IF($Z645="×",0,IF($Z645="○",ROUNDDOWN($E645*設定!$C$4,0),ROUNDDOWN($E645*ROUND((9*$Y645-9*$E645)/(10*$E645),4),0))))</f>
        <v/>
      </c>
      <c r="AB645" s="13" t="n"/>
      <c r="AC645" s="15">
        <f>IF($B645="","",IF($AB645&lt;&gt;"",$AB645,IF($AA645="","",IF($AA645&lt;=設定!$C$3,0,$AA645))))</f>
        <v/>
      </c>
      <c r="AD645" s="14">
        <f>IF($B645="","",IF(AND($AE645&lt;&gt;"",$AG645="",$AJ645=""),"保留中",IF($AJ645&lt;&gt;"",IF(N($AC645)&gt;0,"支給済","不支給"),IF($AC645="","要確認",IF($AC645=0,"不支給","未処理")))))</f>
        <v/>
      </c>
      <c r="AE645" s="12" t="n"/>
      <c r="AF645" s="11" t="n"/>
      <c r="AG645" s="11" t="n"/>
      <c r="AH645" s="11" t="n"/>
      <c r="AI645" s="14">
        <f>IF(AND($AD645="保留中",$AF645&lt;&gt;""),TODAY()-$AF645,"")</f>
        <v/>
      </c>
      <c r="AJ645" s="12" t="n"/>
      <c r="AK645" s="14">
        <f>IF($B645="","",IF($AO645="","対象年月が未入力／","")&amp;IF($B645="","",IF($AN645="","職員マスタに未登録の職員番号／",IF($Y645="","標準報酬月額が未登録／","")&amp;IF(AND($AO645&lt;&gt;"",OR(AND(INDEX(職員マスタ!$G$6:$G$405,$AN645)&lt;&gt;"",INDEX(職員マスタ!$G$6:$G$405,$AN645)&gt;EOMONTH($AO645,0)),AND(INDEX(職員マスタ!$H$6:$H$405,$AN645)&lt;&gt;"",INDEX(職員マスタ!$H$6:$H$405,$AN645)&lt;$AO645))),"対象月が時短期間外／","")&amp;IF(AND(INDEX(職員マスタ!$F$6:$F$405,$AN645)&lt;&gt;"",$AO645&lt;&gt;"",INDEX(職員マスタ!$F$6:$F$405,$AN645)&lt;$AO645),"対象月に子が2歳到達済／","")&amp;IF(AND($H645&lt;&gt;"",INDEX(職員マスタ!$B$6:$B$405,$AN645)&lt;&gt;"",SUBSTITUTE(SUBSTITUTE($H645," ","")," ","")&lt;&gt;SUBSTITUTE(SUBSTITUTE(INDEX(職員マスタ!$B$6:$B$405,$AN645)," ","")," ","")),"氏名がマスタと相違／","")&amp;IF(AND($Q645&lt;&gt;"",INDEX(職員マスタ!$E$6:$E$405,$AN645)&lt;&gt;"",$Q645&lt;&gt;INDEX(職員マスタ!$E$6:$E$405,$AN645)),"子の生年月日がマスタと相違／","")&amp;IF(AND($L645&lt;&gt;"",INDEX(職員マスタ!$G$6:$G$405,$AN645)&lt;&gt;"",$L645&lt;&gt;INDEX(職員マスタ!$G$6:$G$405,$AN645)),"時短開始日がマスタと相違／","")&amp;IF(AND($M645&lt;&gt;"",INDEX(職員マスタ!$H$6:$H$405,$AN645)&lt;&gt;"",$M645&lt;&gt;INDEX(職員マスタ!$H$6:$H$405,$AN645)),"時短終了日がマスタと相違／","")))&amp;IF(AND($B645&lt;&gt;"",$E645=""),"報酬額が未入力／","")&amp;IF(N($U645)&gt;0,"申請書に入力エラーが残っています／","")&amp;IF(AND($B645&lt;&gt;"",$AO645&lt;&gt;""),IF(COUNTIFS($B$6:$B$3005,$B645,$C$6:$C$3005,$C645,$D$6:$D$3005,$D645)&gt;1,"同じ月の請求が重複しています／",""),"")&amp;IF(AND(N($E645)&gt;0,$Z645&lt;&gt;"",$Z645&lt;&gt;"×",$AC645=0,$AB645=""),"計算額が下限以下のため不支給／",""))</f>
        <v/>
      </c>
      <c r="AL645" s="12" t="n"/>
      <c r="AM645" s="14">
        <f>IF($AD645="保留中",COUNTIF($AD$6:$AD645,"保留中"),"")</f>
        <v/>
      </c>
      <c r="AN645" s="14">
        <f>IF($AO645="","",IF(SUMPRODUCT(MAX((職員マスタ!$A$6:$A$405=$B645)*(((職員マスタ!$G$6:$G$405="")+(職員マスタ!$G$6:$G$405&lt;=EOMONTH($AO645,0)))&gt;0)*(((職員マスタ!$H$6:$H$405="")+(職員マスタ!$H$6:$H$405&gt;=$AO645))&gt;0)*(ROW(職員マスタ!$A$6:$A$405)-5)))&gt;0,SUMPRODUCT(MAX((職員マスタ!$A$6:$A$405=$B645)*(((職員マスタ!$G$6:$G$405="")+(職員マスタ!$G$6:$G$405&lt;=EOMONTH($AO645,0)))&gt;0)*(((職員マスタ!$H$6:$H$405="")+(職員マスタ!$H$6:$H$405&gt;=$AO645))&gt;0)*(ROW(職員マスタ!$A$6:$A$405)-5))),IFERROR(MATCH($B645,職員マスタ!$A$6:$A$405,0),"")))</f>
        <v/>
      </c>
      <c r="AO645" s="16">
        <f>IF(OR($B645="",$C645="",$D645=""),"",DATE($C645+2018,$D645,1))</f>
        <v/>
      </c>
    </row>
    <row r="646">
      <c r="A646" s="11" t="n"/>
      <c r="B646" s="12" t="n"/>
      <c r="C646" s="12" t="n"/>
      <c r="D646" s="12" t="n"/>
      <c r="E646" s="13" t="n"/>
      <c r="F646" s="12" t="n"/>
      <c r="G646" s="13" t="n"/>
      <c r="H646" s="12" t="n"/>
      <c r="I646" s="12" t="n"/>
      <c r="J646" s="12" t="n"/>
      <c r="K646" s="12" t="n"/>
      <c r="L646" s="11" t="n"/>
      <c r="M646" s="11" t="n"/>
      <c r="N646" s="11" t="n"/>
      <c r="O646" s="11" t="n"/>
      <c r="P646" s="12" t="n"/>
      <c r="Q646" s="11" t="n"/>
      <c r="R646" s="12" t="n"/>
      <c r="S646" s="11" t="n"/>
      <c r="T646" s="12" t="n"/>
      <c r="U646" s="12" t="n"/>
      <c r="V646" s="14">
        <f>IF($AN646="",IF($B646="","",$H646),IF(INDEX(職員マスタ!$B$6:$B$405,$AN646)="",$H646,INDEX(職員マスタ!$B$6:$B$405,$AN646)))</f>
        <v/>
      </c>
      <c r="W646" s="14">
        <f>IF($AN646="",IF($B646="","",$R646),IF(INDEX(職員マスタ!$C$6:$C$405,$AN646)="",$R646,INDEX(職員マスタ!$C$6:$C$405,$AN646)))</f>
        <v/>
      </c>
      <c r="X646" s="14">
        <f>IF($AO646="","","R"&amp;$C646&amp;"."&amp;$D646)</f>
        <v/>
      </c>
      <c r="Y646" s="15">
        <f>IF($AN646="","",IF(INDEX(職員マスタ!$K$6:$K$405,$AN646)="","",INDEX(職員マスタ!$K$6:$K$405,$AN646)))</f>
        <v/>
      </c>
      <c r="Z646" s="14">
        <f>IF(OR($E646="",$Y646=""),"",IF($E646&gt;=$Y646,"×",IF($E646&gt;=$Y646*設定!$C$5,"△","○")))</f>
        <v/>
      </c>
      <c r="AA646" s="15">
        <f>IF($Z646="","",IF($Z646="×",0,IF($Z646="○",ROUNDDOWN($E646*設定!$C$4,0),ROUNDDOWN($E646*ROUND((9*$Y646-9*$E646)/(10*$E646),4),0))))</f>
        <v/>
      </c>
      <c r="AB646" s="13" t="n"/>
      <c r="AC646" s="15">
        <f>IF($B646="","",IF($AB646&lt;&gt;"",$AB646,IF($AA646="","",IF($AA646&lt;=設定!$C$3,0,$AA646))))</f>
        <v/>
      </c>
      <c r="AD646" s="14">
        <f>IF($B646="","",IF(AND($AE646&lt;&gt;"",$AG646="",$AJ646=""),"保留中",IF($AJ646&lt;&gt;"",IF(N($AC646)&gt;0,"支給済","不支給"),IF($AC646="","要確認",IF($AC646=0,"不支給","未処理")))))</f>
        <v/>
      </c>
      <c r="AE646" s="12" t="n"/>
      <c r="AF646" s="11" t="n"/>
      <c r="AG646" s="11" t="n"/>
      <c r="AH646" s="11" t="n"/>
      <c r="AI646" s="14">
        <f>IF(AND($AD646="保留中",$AF646&lt;&gt;""),TODAY()-$AF646,"")</f>
        <v/>
      </c>
      <c r="AJ646" s="12" t="n"/>
      <c r="AK646" s="14">
        <f>IF($B646="","",IF($AO646="","対象年月が未入力／","")&amp;IF($B646="","",IF($AN646="","職員マスタに未登録の職員番号／",IF($Y646="","標準報酬月額が未登録／","")&amp;IF(AND($AO646&lt;&gt;"",OR(AND(INDEX(職員マスタ!$G$6:$G$405,$AN646)&lt;&gt;"",INDEX(職員マスタ!$G$6:$G$405,$AN646)&gt;EOMONTH($AO646,0)),AND(INDEX(職員マスタ!$H$6:$H$405,$AN646)&lt;&gt;"",INDEX(職員マスタ!$H$6:$H$405,$AN646)&lt;$AO646))),"対象月が時短期間外／","")&amp;IF(AND(INDEX(職員マスタ!$F$6:$F$405,$AN646)&lt;&gt;"",$AO646&lt;&gt;"",INDEX(職員マスタ!$F$6:$F$405,$AN646)&lt;$AO646),"対象月に子が2歳到達済／","")&amp;IF(AND($H646&lt;&gt;"",INDEX(職員マスタ!$B$6:$B$405,$AN646)&lt;&gt;"",SUBSTITUTE(SUBSTITUTE($H646," ","")," ","")&lt;&gt;SUBSTITUTE(SUBSTITUTE(INDEX(職員マスタ!$B$6:$B$405,$AN646)," ","")," ","")),"氏名がマスタと相違／","")&amp;IF(AND($Q646&lt;&gt;"",INDEX(職員マスタ!$E$6:$E$405,$AN646)&lt;&gt;"",$Q646&lt;&gt;INDEX(職員マスタ!$E$6:$E$405,$AN646)),"子の生年月日がマスタと相違／","")&amp;IF(AND($L646&lt;&gt;"",INDEX(職員マスタ!$G$6:$G$405,$AN646)&lt;&gt;"",$L646&lt;&gt;INDEX(職員マスタ!$G$6:$G$405,$AN646)),"時短開始日がマスタと相違／","")&amp;IF(AND($M646&lt;&gt;"",INDEX(職員マスタ!$H$6:$H$405,$AN646)&lt;&gt;"",$M646&lt;&gt;INDEX(職員マスタ!$H$6:$H$405,$AN646)),"時短終了日がマスタと相違／","")))&amp;IF(AND($B646&lt;&gt;"",$E646=""),"報酬額が未入力／","")&amp;IF(N($U646)&gt;0,"申請書に入力エラーが残っています／","")&amp;IF(AND($B646&lt;&gt;"",$AO646&lt;&gt;""),IF(COUNTIFS($B$6:$B$3005,$B646,$C$6:$C$3005,$C646,$D$6:$D$3005,$D646)&gt;1,"同じ月の請求が重複しています／",""),"")&amp;IF(AND(N($E646)&gt;0,$Z646&lt;&gt;"",$Z646&lt;&gt;"×",$AC646=0,$AB646=""),"計算額が下限以下のため不支給／",""))</f>
        <v/>
      </c>
      <c r="AL646" s="12" t="n"/>
      <c r="AM646" s="14">
        <f>IF($AD646="保留中",COUNTIF($AD$6:$AD646,"保留中"),"")</f>
        <v/>
      </c>
      <c r="AN646" s="14">
        <f>IF($AO646="","",IF(SUMPRODUCT(MAX((職員マスタ!$A$6:$A$405=$B646)*(((職員マスタ!$G$6:$G$405="")+(職員マスタ!$G$6:$G$405&lt;=EOMONTH($AO646,0)))&gt;0)*(((職員マスタ!$H$6:$H$405="")+(職員マスタ!$H$6:$H$405&gt;=$AO646))&gt;0)*(ROW(職員マスタ!$A$6:$A$405)-5)))&gt;0,SUMPRODUCT(MAX((職員マスタ!$A$6:$A$405=$B646)*(((職員マスタ!$G$6:$G$405="")+(職員マスタ!$G$6:$G$405&lt;=EOMONTH($AO646,0)))&gt;0)*(((職員マスタ!$H$6:$H$405="")+(職員マスタ!$H$6:$H$405&gt;=$AO646))&gt;0)*(ROW(職員マスタ!$A$6:$A$405)-5))),IFERROR(MATCH($B646,職員マスタ!$A$6:$A$405,0),"")))</f>
        <v/>
      </c>
      <c r="AO646" s="16">
        <f>IF(OR($B646="",$C646="",$D646=""),"",DATE($C646+2018,$D646,1))</f>
        <v/>
      </c>
    </row>
    <row r="647">
      <c r="A647" s="11" t="n"/>
      <c r="B647" s="12" t="n"/>
      <c r="C647" s="12" t="n"/>
      <c r="D647" s="12" t="n"/>
      <c r="E647" s="13" t="n"/>
      <c r="F647" s="12" t="n"/>
      <c r="G647" s="13" t="n"/>
      <c r="H647" s="12" t="n"/>
      <c r="I647" s="12" t="n"/>
      <c r="J647" s="12" t="n"/>
      <c r="K647" s="12" t="n"/>
      <c r="L647" s="11" t="n"/>
      <c r="M647" s="11" t="n"/>
      <c r="N647" s="11" t="n"/>
      <c r="O647" s="11" t="n"/>
      <c r="P647" s="12" t="n"/>
      <c r="Q647" s="11" t="n"/>
      <c r="R647" s="12" t="n"/>
      <c r="S647" s="11" t="n"/>
      <c r="T647" s="12" t="n"/>
      <c r="U647" s="12" t="n"/>
      <c r="V647" s="14">
        <f>IF($AN647="",IF($B647="","",$H647),IF(INDEX(職員マスタ!$B$6:$B$405,$AN647)="",$H647,INDEX(職員マスタ!$B$6:$B$405,$AN647)))</f>
        <v/>
      </c>
      <c r="W647" s="14">
        <f>IF($AN647="",IF($B647="","",$R647),IF(INDEX(職員マスタ!$C$6:$C$405,$AN647)="",$R647,INDEX(職員マスタ!$C$6:$C$405,$AN647)))</f>
        <v/>
      </c>
      <c r="X647" s="14">
        <f>IF($AO647="","","R"&amp;$C647&amp;"."&amp;$D647)</f>
        <v/>
      </c>
      <c r="Y647" s="15">
        <f>IF($AN647="","",IF(INDEX(職員マスタ!$K$6:$K$405,$AN647)="","",INDEX(職員マスタ!$K$6:$K$405,$AN647)))</f>
        <v/>
      </c>
      <c r="Z647" s="14">
        <f>IF(OR($E647="",$Y647=""),"",IF($E647&gt;=$Y647,"×",IF($E647&gt;=$Y647*設定!$C$5,"△","○")))</f>
        <v/>
      </c>
      <c r="AA647" s="15">
        <f>IF($Z647="","",IF($Z647="×",0,IF($Z647="○",ROUNDDOWN($E647*設定!$C$4,0),ROUNDDOWN($E647*ROUND((9*$Y647-9*$E647)/(10*$E647),4),0))))</f>
        <v/>
      </c>
      <c r="AB647" s="13" t="n"/>
      <c r="AC647" s="15">
        <f>IF($B647="","",IF($AB647&lt;&gt;"",$AB647,IF($AA647="","",IF($AA647&lt;=設定!$C$3,0,$AA647))))</f>
        <v/>
      </c>
      <c r="AD647" s="14">
        <f>IF($B647="","",IF(AND($AE647&lt;&gt;"",$AG647="",$AJ647=""),"保留中",IF($AJ647&lt;&gt;"",IF(N($AC647)&gt;0,"支給済","不支給"),IF($AC647="","要確認",IF($AC647=0,"不支給","未処理")))))</f>
        <v/>
      </c>
      <c r="AE647" s="12" t="n"/>
      <c r="AF647" s="11" t="n"/>
      <c r="AG647" s="11" t="n"/>
      <c r="AH647" s="11" t="n"/>
      <c r="AI647" s="14">
        <f>IF(AND($AD647="保留中",$AF647&lt;&gt;""),TODAY()-$AF647,"")</f>
        <v/>
      </c>
      <c r="AJ647" s="12" t="n"/>
      <c r="AK647" s="14">
        <f>IF($B647="","",IF($AO647="","対象年月が未入力／","")&amp;IF($B647="","",IF($AN647="","職員マスタに未登録の職員番号／",IF($Y647="","標準報酬月額が未登録／","")&amp;IF(AND($AO647&lt;&gt;"",OR(AND(INDEX(職員マスタ!$G$6:$G$405,$AN647)&lt;&gt;"",INDEX(職員マスタ!$G$6:$G$405,$AN647)&gt;EOMONTH($AO647,0)),AND(INDEX(職員マスタ!$H$6:$H$405,$AN647)&lt;&gt;"",INDEX(職員マスタ!$H$6:$H$405,$AN647)&lt;$AO647))),"対象月が時短期間外／","")&amp;IF(AND(INDEX(職員マスタ!$F$6:$F$405,$AN647)&lt;&gt;"",$AO647&lt;&gt;"",INDEX(職員マスタ!$F$6:$F$405,$AN647)&lt;$AO647),"対象月に子が2歳到達済／","")&amp;IF(AND($H647&lt;&gt;"",INDEX(職員マスタ!$B$6:$B$405,$AN647)&lt;&gt;"",SUBSTITUTE(SUBSTITUTE($H647," ","")," ","")&lt;&gt;SUBSTITUTE(SUBSTITUTE(INDEX(職員マスタ!$B$6:$B$405,$AN647)," ","")," ","")),"氏名がマスタと相違／","")&amp;IF(AND($Q647&lt;&gt;"",INDEX(職員マスタ!$E$6:$E$405,$AN647)&lt;&gt;"",$Q647&lt;&gt;INDEX(職員マスタ!$E$6:$E$405,$AN647)),"子の生年月日がマスタと相違／","")&amp;IF(AND($L647&lt;&gt;"",INDEX(職員マスタ!$G$6:$G$405,$AN647)&lt;&gt;"",$L647&lt;&gt;INDEX(職員マスタ!$G$6:$G$405,$AN647)),"時短開始日がマスタと相違／","")&amp;IF(AND($M647&lt;&gt;"",INDEX(職員マスタ!$H$6:$H$405,$AN647)&lt;&gt;"",$M647&lt;&gt;INDEX(職員マスタ!$H$6:$H$405,$AN647)),"時短終了日がマスタと相違／","")))&amp;IF(AND($B647&lt;&gt;"",$E647=""),"報酬額が未入力／","")&amp;IF(N($U647)&gt;0,"申請書に入力エラーが残っています／","")&amp;IF(AND($B647&lt;&gt;"",$AO647&lt;&gt;""),IF(COUNTIFS($B$6:$B$3005,$B647,$C$6:$C$3005,$C647,$D$6:$D$3005,$D647)&gt;1,"同じ月の請求が重複しています／",""),"")&amp;IF(AND(N($E647)&gt;0,$Z647&lt;&gt;"",$Z647&lt;&gt;"×",$AC647=0,$AB647=""),"計算額が下限以下のため不支給／",""))</f>
        <v/>
      </c>
      <c r="AL647" s="12" t="n"/>
      <c r="AM647" s="14">
        <f>IF($AD647="保留中",COUNTIF($AD$6:$AD647,"保留中"),"")</f>
        <v/>
      </c>
      <c r="AN647" s="14">
        <f>IF($AO647="","",IF(SUMPRODUCT(MAX((職員マスタ!$A$6:$A$405=$B647)*(((職員マスタ!$G$6:$G$405="")+(職員マスタ!$G$6:$G$405&lt;=EOMONTH($AO647,0)))&gt;0)*(((職員マスタ!$H$6:$H$405="")+(職員マスタ!$H$6:$H$405&gt;=$AO647))&gt;0)*(ROW(職員マスタ!$A$6:$A$405)-5)))&gt;0,SUMPRODUCT(MAX((職員マスタ!$A$6:$A$405=$B647)*(((職員マスタ!$G$6:$G$405="")+(職員マスタ!$G$6:$G$405&lt;=EOMONTH($AO647,0)))&gt;0)*(((職員マスタ!$H$6:$H$405="")+(職員マスタ!$H$6:$H$405&gt;=$AO647))&gt;0)*(ROW(職員マスタ!$A$6:$A$405)-5))),IFERROR(MATCH($B647,職員マスタ!$A$6:$A$405,0),"")))</f>
        <v/>
      </c>
      <c r="AO647" s="16">
        <f>IF(OR($B647="",$C647="",$D647=""),"",DATE($C647+2018,$D647,1))</f>
        <v/>
      </c>
    </row>
    <row r="648">
      <c r="A648" s="11" t="n"/>
      <c r="B648" s="12" t="n"/>
      <c r="C648" s="12" t="n"/>
      <c r="D648" s="12" t="n"/>
      <c r="E648" s="13" t="n"/>
      <c r="F648" s="12" t="n"/>
      <c r="G648" s="13" t="n"/>
      <c r="H648" s="12" t="n"/>
      <c r="I648" s="12" t="n"/>
      <c r="J648" s="12" t="n"/>
      <c r="K648" s="12" t="n"/>
      <c r="L648" s="11" t="n"/>
      <c r="M648" s="11" t="n"/>
      <c r="N648" s="11" t="n"/>
      <c r="O648" s="11" t="n"/>
      <c r="P648" s="12" t="n"/>
      <c r="Q648" s="11" t="n"/>
      <c r="R648" s="12" t="n"/>
      <c r="S648" s="11" t="n"/>
      <c r="T648" s="12" t="n"/>
      <c r="U648" s="12" t="n"/>
      <c r="V648" s="14">
        <f>IF($AN648="",IF($B648="","",$H648),IF(INDEX(職員マスタ!$B$6:$B$405,$AN648)="",$H648,INDEX(職員マスタ!$B$6:$B$405,$AN648)))</f>
        <v/>
      </c>
      <c r="W648" s="14">
        <f>IF($AN648="",IF($B648="","",$R648),IF(INDEX(職員マスタ!$C$6:$C$405,$AN648)="",$R648,INDEX(職員マスタ!$C$6:$C$405,$AN648)))</f>
        <v/>
      </c>
      <c r="X648" s="14">
        <f>IF($AO648="","","R"&amp;$C648&amp;"."&amp;$D648)</f>
        <v/>
      </c>
      <c r="Y648" s="15">
        <f>IF($AN648="","",IF(INDEX(職員マスタ!$K$6:$K$405,$AN648)="","",INDEX(職員マスタ!$K$6:$K$405,$AN648)))</f>
        <v/>
      </c>
      <c r="Z648" s="14">
        <f>IF(OR($E648="",$Y648=""),"",IF($E648&gt;=$Y648,"×",IF($E648&gt;=$Y648*設定!$C$5,"△","○")))</f>
        <v/>
      </c>
      <c r="AA648" s="15">
        <f>IF($Z648="","",IF($Z648="×",0,IF($Z648="○",ROUNDDOWN($E648*設定!$C$4,0),ROUNDDOWN($E648*ROUND((9*$Y648-9*$E648)/(10*$E648),4),0))))</f>
        <v/>
      </c>
      <c r="AB648" s="13" t="n"/>
      <c r="AC648" s="15">
        <f>IF($B648="","",IF($AB648&lt;&gt;"",$AB648,IF($AA648="","",IF($AA648&lt;=設定!$C$3,0,$AA648))))</f>
        <v/>
      </c>
      <c r="AD648" s="14">
        <f>IF($B648="","",IF(AND($AE648&lt;&gt;"",$AG648="",$AJ648=""),"保留中",IF($AJ648&lt;&gt;"",IF(N($AC648)&gt;0,"支給済","不支給"),IF($AC648="","要確認",IF($AC648=0,"不支給","未処理")))))</f>
        <v/>
      </c>
      <c r="AE648" s="12" t="n"/>
      <c r="AF648" s="11" t="n"/>
      <c r="AG648" s="11" t="n"/>
      <c r="AH648" s="11" t="n"/>
      <c r="AI648" s="14">
        <f>IF(AND($AD648="保留中",$AF648&lt;&gt;""),TODAY()-$AF648,"")</f>
        <v/>
      </c>
      <c r="AJ648" s="12" t="n"/>
      <c r="AK648" s="14">
        <f>IF($B648="","",IF($AO648="","対象年月が未入力／","")&amp;IF($B648="","",IF($AN648="","職員マスタに未登録の職員番号／",IF($Y648="","標準報酬月額が未登録／","")&amp;IF(AND($AO648&lt;&gt;"",OR(AND(INDEX(職員マスタ!$G$6:$G$405,$AN648)&lt;&gt;"",INDEX(職員マスタ!$G$6:$G$405,$AN648)&gt;EOMONTH($AO648,0)),AND(INDEX(職員マスタ!$H$6:$H$405,$AN648)&lt;&gt;"",INDEX(職員マスタ!$H$6:$H$405,$AN648)&lt;$AO648))),"対象月が時短期間外／","")&amp;IF(AND(INDEX(職員マスタ!$F$6:$F$405,$AN648)&lt;&gt;"",$AO648&lt;&gt;"",INDEX(職員マスタ!$F$6:$F$405,$AN648)&lt;$AO648),"対象月に子が2歳到達済／","")&amp;IF(AND($H648&lt;&gt;"",INDEX(職員マスタ!$B$6:$B$405,$AN648)&lt;&gt;"",SUBSTITUTE(SUBSTITUTE($H648," ","")," ","")&lt;&gt;SUBSTITUTE(SUBSTITUTE(INDEX(職員マスタ!$B$6:$B$405,$AN648)," ","")," ","")),"氏名がマスタと相違／","")&amp;IF(AND($Q648&lt;&gt;"",INDEX(職員マスタ!$E$6:$E$405,$AN648)&lt;&gt;"",$Q648&lt;&gt;INDEX(職員マスタ!$E$6:$E$405,$AN648)),"子の生年月日がマスタと相違／","")&amp;IF(AND($L648&lt;&gt;"",INDEX(職員マスタ!$G$6:$G$405,$AN648)&lt;&gt;"",$L648&lt;&gt;INDEX(職員マスタ!$G$6:$G$405,$AN648)),"時短開始日がマスタと相違／","")&amp;IF(AND($M648&lt;&gt;"",INDEX(職員マスタ!$H$6:$H$405,$AN648)&lt;&gt;"",$M648&lt;&gt;INDEX(職員マスタ!$H$6:$H$405,$AN648)),"時短終了日がマスタと相違／","")))&amp;IF(AND($B648&lt;&gt;"",$E648=""),"報酬額が未入力／","")&amp;IF(N($U648)&gt;0,"申請書に入力エラーが残っています／","")&amp;IF(AND($B648&lt;&gt;"",$AO648&lt;&gt;""),IF(COUNTIFS($B$6:$B$3005,$B648,$C$6:$C$3005,$C648,$D$6:$D$3005,$D648)&gt;1,"同じ月の請求が重複しています／",""),"")&amp;IF(AND(N($E648)&gt;0,$Z648&lt;&gt;"",$Z648&lt;&gt;"×",$AC648=0,$AB648=""),"計算額が下限以下のため不支給／",""))</f>
        <v/>
      </c>
      <c r="AL648" s="12" t="n"/>
      <c r="AM648" s="14">
        <f>IF($AD648="保留中",COUNTIF($AD$6:$AD648,"保留中"),"")</f>
        <v/>
      </c>
      <c r="AN648" s="14">
        <f>IF($AO648="","",IF(SUMPRODUCT(MAX((職員マスタ!$A$6:$A$405=$B648)*(((職員マスタ!$G$6:$G$405="")+(職員マスタ!$G$6:$G$405&lt;=EOMONTH($AO648,0)))&gt;0)*(((職員マスタ!$H$6:$H$405="")+(職員マスタ!$H$6:$H$405&gt;=$AO648))&gt;0)*(ROW(職員マスタ!$A$6:$A$405)-5)))&gt;0,SUMPRODUCT(MAX((職員マスタ!$A$6:$A$405=$B648)*(((職員マスタ!$G$6:$G$405="")+(職員マスタ!$G$6:$G$405&lt;=EOMONTH($AO648,0)))&gt;0)*(((職員マスタ!$H$6:$H$405="")+(職員マスタ!$H$6:$H$405&gt;=$AO648))&gt;0)*(ROW(職員マスタ!$A$6:$A$405)-5))),IFERROR(MATCH($B648,職員マスタ!$A$6:$A$405,0),"")))</f>
        <v/>
      </c>
      <c r="AO648" s="16">
        <f>IF(OR($B648="",$C648="",$D648=""),"",DATE($C648+2018,$D648,1))</f>
        <v/>
      </c>
    </row>
    <row r="649">
      <c r="A649" s="11" t="n"/>
      <c r="B649" s="12" t="n"/>
      <c r="C649" s="12" t="n"/>
      <c r="D649" s="12" t="n"/>
      <c r="E649" s="13" t="n"/>
      <c r="F649" s="12" t="n"/>
      <c r="G649" s="13" t="n"/>
      <c r="H649" s="12" t="n"/>
      <c r="I649" s="12" t="n"/>
      <c r="J649" s="12" t="n"/>
      <c r="K649" s="12" t="n"/>
      <c r="L649" s="11" t="n"/>
      <c r="M649" s="11" t="n"/>
      <c r="N649" s="11" t="n"/>
      <c r="O649" s="11" t="n"/>
      <c r="P649" s="12" t="n"/>
      <c r="Q649" s="11" t="n"/>
      <c r="R649" s="12" t="n"/>
      <c r="S649" s="11" t="n"/>
      <c r="T649" s="12" t="n"/>
      <c r="U649" s="12" t="n"/>
      <c r="V649" s="14">
        <f>IF($AN649="",IF($B649="","",$H649),IF(INDEX(職員マスタ!$B$6:$B$405,$AN649)="",$H649,INDEX(職員マスタ!$B$6:$B$405,$AN649)))</f>
        <v/>
      </c>
      <c r="W649" s="14">
        <f>IF($AN649="",IF($B649="","",$R649),IF(INDEX(職員マスタ!$C$6:$C$405,$AN649)="",$R649,INDEX(職員マスタ!$C$6:$C$405,$AN649)))</f>
        <v/>
      </c>
      <c r="X649" s="14">
        <f>IF($AO649="","","R"&amp;$C649&amp;"."&amp;$D649)</f>
        <v/>
      </c>
      <c r="Y649" s="15">
        <f>IF($AN649="","",IF(INDEX(職員マスタ!$K$6:$K$405,$AN649)="","",INDEX(職員マスタ!$K$6:$K$405,$AN649)))</f>
        <v/>
      </c>
      <c r="Z649" s="14">
        <f>IF(OR($E649="",$Y649=""),"",IF($E649&gt;=$Y649,"×",IF($E649&gt;=$Y649*設定!$C$5,"△","○")))</f>
        <v/>
      </c>
      <c r="AA649" s="15">
        <f>IF($Z649="","",IF($Z649="×",0,IF($Z649="○",ROUNDDOWN($E649*設定!$C$4,0),ROUNDDOWN($E649*ROUND((9*$Y649-9*$E649)/(10*$E649),4),0))))</f>
        <v/>
      </c>
      <c r="AB649" s="13" t="n"/>
      <c r="AC649" s="15">
        <f>IF($B649="","",IF($AB649&lt;&gt;"",$AB649,IF($AA649="","",IF($AA649&lt;=設定!$C$3,0,$AA649))))</f>
        <v/>
      </c>
      <c r="AD649" s="14">
        <f>IF($B649="","",IF(AND($AE649&lt;&gt;"",$AG649="",$AJ649=""),"保留中",IF($AJ649&lt;&gt;"",IF(N($AC649)&gt;0,"支給済","不支給"),IF($AC649="","要確認",IF($AC649=0,"不支給","未処理")))))</f>
        <v/>
      </c>
      <c r="AE649" s="12" t="n"/>
      <c r="AF649" s="11" t="n"/>
      <c r="AG649" s="11" t="n"/>
      <c r="AH649" s="11" t="n"/>
      <c r="AI649" s="14">
        <f>IF(AND($AD649="保留中",$AF649&lt;&gt;""),TODAY()-$AF649,"")</f>
        <v/>
      </c>
      <c r="AJ649" s="12" t="n"/>
      <c r="AK649" s="14">
        <f>IF($B649="","",IF($AO649="","対象年月が未入力／","")&amp;IF($B649="","",IF($AN649="","職員マスタに未登録の職員番号／",IF($Y649="","標準報酬月額が未登録／","")&amp;IF(AND($AO649&lt;&gt;"",OR(AND(INDEX(職員マスタ!$G$6:$G$405,$AN649)&lt;&gt;"",INDEX(職員マスタ!$G$6:$G$405,$AN649)&gt;EOMONTH($AO649,0)),AND(INDEX(職員マスタ!$H$6:$H$405,$AN649)&lt;&gt;"",INDEX(職員マスタ!$H$6:$H$405,$AN649)&lt;$AO649))),"対象月が時短期間外／","")&amp;IF(AND(INDEX(職員マスタ!$F$6:$F$405,$AN649)&lt;&gt;"",$AO649&lt;&gt;"",INDEX(職員マスタ!$F$6:$F$405,$AN649)&lt;$AO649),"対象月に子が2歳到達済／","")&amp;IF(AND($H649&lt;&gt;"",INDEX(職員マスタ!$B$6:$B$405,$AN649)&lt;&gt;"",SUBSTITUTE(SUBSTITUTE($H649," ","")," ","")&lt;&gt;SUBSTITUTE(SUBSTITUTE(INDEX(職員マスタ!$B$6:$B$405,$AN649)," ","")," ","")),"氏名がマスタと相違／","")&amp;IF(AND($Q649&lt;&gt;"",INDEX(職員マスタ!$E$6:$E$405,$AN649)&lt;&gt;"",$Q649&lt;&gt;INDEX(職員マスタ!$E$6:$E$405,$AN649)),"子の生年月日がマスタと相違／","")&amp;IF(AND($L649&lt;&gt;"",INDEX(職員マスタ!$G$6:$G$405,$AN649)&lt;&gt;"",$L649&lt;&gt;INDEX(職員マスタ!$G$6:$G$405,$AN649)),"時短開始日がマスタと相違／","")&amp;IF(AND($M649&lt;&gt;"",INDEX(職員マスタ!$H$6:$H$405,$AN649)&lt;&gt;"",$M649&lt;&gt;INDEX(職員マスタ!$H$6:$H$405,$AN649)),"時短終了日がマスタと相違／","")))&amp;IF(AND($B649&lt;&gt;"",$E649=""),"報酬額が未入力／","")&amp;IF(N($U649)&gt;0,"申請書に入力エラーが残っています／","")&amp;IF(AND($B649&lt;&gt;"",$AO649&lt;&gt;""),IF(COUNTIFS($B$6:$B$3005,$B649,$C$6:$C$3005,$C649,$D$6:$D$3005,$D649)&gt;1,"同じ月の請求が重複しています／",""),"")&amp;IF(AND(N($E649)&gt;0,$Z649&lt;&gt;"",$Z649&lt;&gt;"×",$AC649=0,$AB649=""),"計算額が下限以下のため不支給／",""))</f>
        <v/>
      </c>
      <c r="AL649" s="12" t="n"/>
      <c r="AM649" s="14">
        <f>IF($AD649="保留中",COUNTIF($AD$6:$AD649,"保留中"),"")</f>
        <v/>
      </c>
      <c r="AN649" s="14">
        <f>IF($AO649="","",IF(SUMPRODUCT(MAX((職員マスタ!$A$6:$A$405=$B649)*(((職員マスタ!$G$6:$G$405="")+(職員マスタ!$G$6:$G$405&lt;=EOMONTH($AO649,0)))&gt;0)*(((職員マスタ!$H$6:$H$405="")+(職員マスタ!$H$6:$H$405&gt;=$AO649))&gt;0)*(ROW(職員マスタ!$A$6:$A$405)-5)))&gt;0,SUMPRODUCT(MAX((職員マスタ!$A$6:$A$405=$B649)*(((職員マスタ!$G$6:$G$405="")+(職員マスタ!$G$6:$G$405&lt;=EOMONTH($AO649,0)))&gt;0)*(((職員マスタ!$H$6:$H$405="")+(職員マスタ!$H$6:$H$405&gt;=$AO649))&gt;0)*(ROW(職員マスタ!$A$6:$A$405)-5))),IFERROR(MATCH($B649,職員マスタ!$A$6:$A$405,0),"")))</f>
        <v/>
      </c>
      <c r="AO649" s="16">
        <f>IF(OR($B649="",$C649="",$D649=""),"",DATE($C649+2018,$D649,1))</f>
        <v/>
      </c>
    </row>
    <row r="650">
      <c r="A650" s="11" t="n"/>
      <c r="B650" s="12" t="n"/>
      <c r="C650" s="12" t="n"/>
      <c r="D650" s="12" t="n"/>
      <c r="E650" s="13" t="n"/>
      <c r="F650" s="12" t="n"/>
      <c r="G650" s="13" t="n"/>
      <c r="H650" s="12" t="n"/>
      <c r="I650" s="12" t="n"/>
      <c r="J650" s="12" t="n"/>
      <c r="K650" s="12" t="n"/>
      <c r="L650" s="11" t="n"/>
      <c r="M650" s="11" t="n"/>
      <c r="N650" s="11" t="n"/>
      <c r="O650" s="11" t="n"/>
      <c r="P650" s="12" t="n"/>
      <c r="Q650" s="11" t="n"/>
      <c r="R650" s="12" t="n"/>
      <c r="S650" s="11" t="n"/>
      <c r="T650" s="12" t="n"/>
      <c r="U650" s="12" t="n"/>
      <c r="V650" s="14">
        <f>IF($AN650="",IF($B650="","",$H650),IF(INDEX(職員マスタ!$B$6:$B$405,$AN650)="",$H650,INDEX(職員マスタ!$B$6:$B$405,$AN650)))</f>
        <v/>
      </c>
      <c r="W650" s="14">
        <f>IF($AN650="",IF($B650="","",$R650),IF(INDEX(職員マスタ!$C$6:$C$405,$AN650)="",$R650,INDEX(職員マスタ!$C$6:$C$405,$AN650)))</f>
        <v/>
      </c>
      <c r="X650" s="14">
        <f>IF($AO650="","","R"&amp;$C650&amp;"."&amp;$D650)</f>
        <v/>
      </c>
      <c r="Y650" s="15">
        <f>IF($AN650="","",IF(INDEX(職員マスタ!$K$6:$K$405,$AN650)="","",INDEX(職員マスタ!$K$6:$K$405,$AN650)))</f>
        <v/>
      </c>
      <c r="Z650" s="14">
        <f>IF(OR($E650="",$Y650=""),"",IF($E650&gt;=$Y650,"×",IF($E650&gt;=$Y650*設定!$C$5,"△","○")))</f>
        <v/>
      </c>
      <c r="AA650" s="15">
        <f>IF($Z650="","",IF($Z650="×",0,IF($Z650="○",ROUNDDOWN($E650*設定!$C$4,0),ROUNDDOWN($E650*ROUND((9*$Y650-9*$E650)/(10*$E650),4),0))))</f>
        <v/>
      </c>
      <c r="AB650" s="13" t="n"/>
      <c r="AC650" s="15">
        <f>IF($B650="","",IF($AB650&lt;&gt;"",$AB650,IF($AA650="","",IF($AA650&lt;=設定!$C$3,0,$AA650))))</f>
        <v/>
      </c>
      <c r="AD650" s="14">
        <f>IF($B650="","",IF(AND($AE650&lt;&gt;"",$AG650="",$AJ650=""),"保留中",IF($AJ650&lt;&gt;"",IF(N($AC650)&gt;0,"支給済","不支給"),IF($AC650="","要確認",IF($AC650=0,"不支給","未処理")))))</f>
        <v/>
      </c>
      <c r="AE650" s="12" t="n"/>
      <c r="AF650" s="11" t="n"/>
      <c r="AG650" s="11" t="n"/>
      <c r="AH650" s="11" t="n"/>
      <c r="AI650" s="14">
        <f>IF(AND($AD650="保留中",$AF650&lt;&gt;""),TODAY()-$AF650,"")</f>
        <v/>
      </c>
      <c r="AJ650" s="12" t="n"/>
      <c r="AK650" s="14">
        <f>IF($B650="","",IF($AO650="","対象年月が未入力／","")&amp;IF($B650="","",IF($AN650="","職員マスタに未登録の職員番号／",IF($Y650="","標準報酬月額が未登録／","")&amp;IF(AND($AO650&lt;&gt;"",OR(AND(INDEX(職員マスタ!$G$6:$G$405,$AN650)&lt;&gt;"",INDEX(職員マスタ!$G$6:$G$405,$AN650)&gt;EOMONTH($AO650,0)),AND(INDEX(職員マスタ!$H$6:$H$405,$AN650)&lt;&gt;"",INDEX(職員マスタ!$H$6:$H$405,$AN650)&lt;$AO650))),"対象月が時短期間外／","")&amp;IF(AND(INDEX(職員マスタ!$F$6:$F$405,$AN650)&lt;&gt;"",$AO650&lt;&gt;"",INDEX(職員マスタ!$F$6:$F$405,$AN650)&lt;$AO650),"対象月に子が2歳到達済／","")&amp;IF(AND($H650&lt;&gt;"",INDEX(職員マスタ!$B$6:$B$405,$AN650)&lt;&gt;"",SUBSTITUTE(SUBSTITUTE($H650," ","")," ","")&lt;&gt;SUBSTITUTE(SUBSTITUTE(INDEX(職員マスタ!$B$6:$B$405,$AN650)," ","")," ","")),"氏名がマスタと相違／","")&amp;IF(AND($Q650&lt;&gt;"",INDEX(職員マスタ!$E$6:$E$405,$AN650)&lt;&gt;"",$Q650&lt;&gt;INDEX(職員マスタ!$E$6:$E$405,$AN650)),"子の生年月日がマスタと相違／","")&amp;IF(AND($L650&lt;&gt;"",INDEX(職員マスタ!$G$6:$G$405,$AN650)&lt;&gt;"",$L650&lt;&gt;INDEX(職員マスタ!$G$6:$G$405,$AN650)),"時短開始日がマスタと相違／","")&amp;IF(AND($M650&lt;&gt;"",INDEX(職員マスタ!$H$6:$H$405,$AN650)&lt;&gt;"",$M650&lt;&gt;INDEX(職員マスタ!$H$6:$H$405,$AN650)),"時短終了日がマスタと相違／","")))&amp;IF(AND($B650&lt;&gt;"",$E650=""),"報酬額が未入力／","")&amp;IF(N($U650)&gt;0,"申請書に入力エラーが残っています／","")&amp;IF(AND($B650&lt;&gt;"",$AO650&lt;&gt;""),IF(COUNTIFS($B$6:$B$3005,$B650,$C$6:$C$3005,$C650,$D$6:$D$3005,$D650)&gt;1,"同じ月の請求が重複しています／",""),"")&amp;IF(AND(N($E650)&gt;0,$Z650&lt;&gt;"",$Z650&lt;&gt;"×",$AC650=0,$AB650=""),"計算額が下限以下のため不支給／",""))</f>
        <v/>
      </c>
      <c r="AL650" s="12" t="n"/>
      <c r="AM650" s="14">
        <f>IF($AD650="保留中",COUNTIF($AD$6:$AD650,"保留中"),"")</f>
        <v/>
      </c>
      <c r="AN650" s="14">
        <f>IF($AO650="","",IF(SUMPRODUCT(MAX((職員マスタ!$A$6:$A$405=$B650)*(((職員マスタ!$G$6:$G$405="")+(職員マスタ!$G$6:$G$405&lt;=EOMONTH($AO650,0)))&gt;0)*(((職員マスタ!$H$6:$H$405="")+(職員マスタ!$H$6:$H$405&gt;=$AO650))&gt;0)*(ROW(職員マスタ!$A$6:$A$405)-5)))&gt;0,SUMPRODUCT(MAX((職員マスタ!$A$6:$A$405=$B650)*(((職員マスタ!$G$6:$G$405="")+(職員マスタ!$G$6:$G$405&lt;=EOMONTH($AO650,0)))&gt;0)*(((職員マスタ!$H$6:$H$405="")+(職員マスタ!$H$6:$H$405&gt;=$AO650))&gt;0)*(ROW(職員マスタ!$A$6:$A$405)-5))),IFERROR(MATCH($B650,職員マスタ!$A$6:$A$405,0),"")))</f>
        <v/>
      </c>
      <c r="AO650" s="16">
        <f>IF(OR($B650="",$C650="",$D650=""),"",DATE($C650+2018,$D650,1))</f>
        <v/>
      </c>
    </row>
    <row r="651">
      <c r="A651" s="11" t="n"/>
      <c r="B651" s="12" t="n"/>
      <c r="C651" s="12" t="n"/>
      <c r="D651" s="12" t="n"/>
      <c r="E651" s="13" t="n"/>
      <c r="F651" s="12" t="n"/>
      <c r="G651" s="13" t="n"/>
      <c r="H651" s="12" t="n"/>
      <c r="I651" s="12" t="n"/>
      <c r="J651" s="12" t="n"/>
      <c r="K651" s="12" t="n"/>
      <c r="L651" s="11" t="n"/>
      <c r="M651" s="11" t="n"/>
      <c r="N651" s="11" t="n"/>
      <c r="O651" s="11" t="n"/>
      <c r="P651" s="12" t="n"/>
      <c r="Q651" s="11" t="n"/>
      <c r="R651" s="12" t="n"/>
      <c r="S651" s="11" t="n"/>
      <c r="T651" s="12" t="n"/>
      <c r="U651" s="12" t="n"/>
      <c r="V651" s="14">
        <f>IF($AN651="",IF($B651="","",$H651),IF(INDEX(職員マスタ!$B$6:$B$405,$AN651)="",$H651,INDEX(職員マスタ!$B$6:$B$405,$AN651)))</f>
        <v/>
      </c>
      <c r="W651" s="14">
        <f>IF($AN651="",IF($B651="","",$R651),IF(INDEX(職員マスタ!$C$6:$C$405,$AN651)="",$R651,INDEX(職員マスタ!$C$6:$C$405,$AN651)))</f>
        <v/>
      </c>
      <c r="X651" s="14">
        <f>IF($AO651="","","R"&amp;$C651&amp;"."&amp;$D651)</f>
        <v/>
      </c>
      <c r="Y651" s="15">
        <f>IF($AN651="","",IF(INDEX(職員マスタ!$K$6:$K$405,$AN651)="","",INDEX(職員マスタ!$K$6:$K$405,$AN651)))</f>
        <v/>
      </c>
      <c r="Z651" s="14">
        <f>IF(OR($E651="",$Y651=""),"",IF($E651&gt;=$Y651,"×",IF($E651&gt;=$Y651*設定!$C$5,"△","○")))</f>
        <v/>
      </c>
      <c r="AA651" s="15">
        <f>IF($Z651="","",IF($Z651="×",0,IF($Z651="○",ROUNDDOWN($E651*設定!$C$4,0),ROUNDDOWN($E651*ROUND((9*$Y651-9*$E651)/(10*$E651),4),0))))</f>
        <v/>
      </c>
      <c r="AB651" s="13" t="n"/>
      <c r="AC651" s="15">
        <f>IF($B651="","",IF($AB651&lt;&gt;"",$AB651,IF($AA651="","",IF($AA651&lt;=設定!$C$3,0,$AA651))))</f>
        <v/>
      </c>
      <c r="AD651" s="14">
        <f>IF($B651="","",IF(AND($AE651&lt;&gt;"",$AG651="",$AJ651=""),"保留中",IF($AJ651&lt;&gt;"",IF(N($AC651)&gt;0,"支給済","不支給"),IF($AC651="","要確認",IF($AC651=0,"不支給","未処理")))))</f>
        <v/>
      </c>
      <c r="AE651" s="12" t="n"/>
      <c r="AF651" s="11" t="n"/>
      <c r="AG651" s="11" t="n"/>
      <c r="AH651" s="11" t="n"/>
      <c r="AI651" s="14">
        <f>IF(AND($AD651="保留中",$AF651&lt;&gt;""),TODAY()-$AF651,"")</f>
        <v/>
      </c>
      <c r="AJ651" s="12" t="n"/>
      <c r="AK651" s="14">
        <f>IF($B651="","",IF($AO651="","対象年月が未入力／","")&amp;IF($B651="","",IF($AN651="","職員マスタに未登録の職員番号／",IF($Y651="","標準報酬月額が未登録／","")&amp;IF(AND($AO651&lt;&gt;"",OR(AND(INDEX(職員マスタ!$G$6:$G$405,$AN651)&lt;&gt;"",INDEX(職員マスタ!$G$6:$G$405,$AN651)&gt;EOMONTH($AO651,0)),AND(INDEX(職員マスタ!$H$6:$H$405,$AN651)&lt;&gt;"",INDEX(職員マスタ!$H$6:$H$405,$AN651)&lt;$AO651))),"対象月が時短期間外／","")&amp;IF(AND(INDEX(職員マスタ!$F$6:$F$405,$AN651)&lt;&gt;"",$AO651&lt;&gt;"",INDEX(職員マスタ!$F$6:$F$405,$AN651)&lt;$AO651),"対象月に子が2歳到達済／","")&amp;IF(AND($H651&lt;&gt;"",INDEX(職員マスタ!$B$6:$B$405,$AN651)&lt;&gt;"",SUBSTITUTE(SUBSTITUTE($H651," ","")," ","")&lt;&gt;SUBSTITUTE(SUBSTITUTE(INDEX(職員マスタ!$B$6:$B$405,$AN651)," ","")," ","")),"氏名がマスタと相違／","")&amp;IF(AND($Q651&lt;&gt;"",INDEX(職員マスタ!$E$6:$E$405,$AN651)&lt;&gt;"",$Q651&lt;&gt;INDEX(職員マスタ!$E$6:$E$405,$AN651)),"子の生年月日がマスタと相違／","")&amp;IF(AND($L651&lt;&gt;"",INDEX(職員マスタ!$G$6:$G$405,$AN651)&lt;&gt;"",$L651&lt;&gt;INDEX(職員マスタ!$G$6:$G$405,$AN651)),"時短開始日がマスタと相違／","")&amp;IF(AND($M651&lt;&gt;"",INDEX(職員マスタ!$H$6:$H$405,$AN651)&lt;&gt;"",$M651&lt;&gt;INDEX(職員マスタ!$H$6:$H$405,$AN651)),"時短終了日がマスタと相違／","")))&amp;IF(AND($B651&lt;&gt;"",$E651=""),"報酬額が未入力／","")&amp;IF(N($U651)&gt;0,"申請書に入力エラーが残っています／","")&amp;IF(AND($B651&lt;&gt;"",$AO651&lt;&gt;""),IF(COUNTIFS($B$6:$B$3005,$B651,$C$6:$C$3005,$C651,$D$6:$D$3005,$D651)&gt;1,"同じ月の請求が重複しています／",""),"")&amp;IF(AND(N($E651)&gt;0,$Z651&lt;&gt;"",$Z651&lt;&gt;"×",$AC651=0,$AB651=""),"計算額が下限以下のため不支給／",""))</f>
        <v/>
      </c>
      <c r="AL651" s="12" t="n"/>
      <c r="AM651" s="14">
        <f>IF($AD651="保留中",COUNTIF($AD$6:$AD651,"保留中"),"")</f>
        <v/>
      </c>
      <c r="AN651" s="14">
        <f>IF($AO651="","",IF(SUMPRODUCT(MAX((職員マスタ!$A$6:$A$405=$B651)*(((職員マスタ!$G$6:$G$405="")+(職員マスタ!$G$6:$G$405&lt;=EOMONTH($AO651,0)))&gt;0)*(((職員マスタ!$H$6:$H$405="")+(職員マスタ!$H$6:$H$405&gt;=$AO651))&gt;0)*(ROW(職員マスタ!$A$6:$A$405)-5)))&gt;0,SUMPRODUCT(MAX((職員マスタ!$A$6:$A$405=$B651)*(((職員マスタ!$G$6:$G$405="")+(職員マスタ!$G$6:$G$405&lt;=EOMONTH($AO651,0)))&gt;0)*(((職員マスタ!$H$6:$H$405="")+(職員マスタ!$H$6:$H$405&gt;=$AO651))&gt;0)*(ROW(職員マスタ!$A$6:$A$405)-5))),IFERROR(MATCH($B651,職員マスタ!$A$6:$A$405,0),"")))</f>
        <v/>
      </c>
      <c r="AO651" s="16">
        <f>IF(OR($B651="",$C651="",$D651=""),"",DATE($C651+2018,$D651,1))</f>
        <v/>
      </c>
    </row>
    <row r="652">
      <c r="A652" s="11" t="n"/>
      <c r="B652" s="12" t="n"/>
      <c r="C652" s="12" t="n"/>
      <c r="D652" s="12" t="n"/>
      <c r="E652" s="13" t="n"/>
      <c r="F652" s="12" t="n"/>
      <c r="G652" s="13" t="n"/>
      <c r="H652" s="12" t="n"/>
      <c r="I652" s="12" t="n"/>
      <c r="J652" s="12" t="n"/>
      <c r="K652" s="12" t="n"/>
      <c r="L652" s="11" t="n"/>
      <c r="M652" s="11" t="n"/>
      <c r="N652" s="11" t="n"/>
      <c r="O652" s="11" t="n"/>
      <c r="P652" s="12" t="n"/>
      <c r="Q652" s="11" t="n"/>
      <c r="R652" s="12" t="n"/>
      <c r="S652" s="11" t="n"/>
      <c r="T652" s="12" t="n"/>
      <c r="U652" s="12" t="n"/>
      <c r="V652" s="14">
        <f>IF($AN652="",IF($B652="","",$H652),IF(INDEX(職員マスタ!$B$6:$B$405,$AN652)="",$H652,INDEX(職員マスタ!$B$6:$B$405,$AN652)))</f>
        <v/>
      </c>
      <c r="W652" s="14">
        <f>IF($AN652="",IF($B652="","",$R652),IF(INDEX(職員マスタ!$C$6:$C$405,$AN652)="",$R652,INDEX(職員マスタ!$C$6:$C$405,$AN652)))</f>
        <v/>
      </c>
      <c r="X652" s="14">
        <f>IF($AO652="","","R"&amp;$C652&amp;"."&amp;$D652)</f>
        <v/>
      </c>
      <c r="Y652" s="15">
        <f>IF($AN652="","",IF(INDEX(職員マスタ!$K$6:$K$405,$AN652)="","",INDEX(職員マスタ!$K$6:$K$405,$AN652)))</f>
        <v/>
      </c>
      <c r="Z652" s="14">
        <f>IF(OR($E652="",$Y652=""),"",IF($E652&gt;=$Y652,"×",IF($E652&gt;=$Y652*設定!$C$5,"△","○")))</f>
        <v/>
      </c>
      <c r="AA652" s="15">
        <f>IF($Z652="","",IF($Z652="×",0,IF($Z652="○",ROUNDDOWN($E652*設定!$C$4,0),ROUNDDOWN($E652*ROUND((9*$Y652-9*$E652)/(10*$E652),4),0))))</f>
        <v/>
      </c>
      <c r="AB652" s="13" t="n"/>
      <c r="AC652" s="15">
        <f>IF($B652="","",IF($AB652&lt;&gt;"",$AB652,IF($AA652="","",IF($AA652&lt;=設定!$C$3,0,$AA652))))</f>
        <v/>
      </c>
      <c r="AD652" s="14">
        <f>IF($B652="","",IF(AND($AE652&lt;&gt;"",$AG652="",$AJ652=""),"保留中",IF($AJ652&lt;&gt;"",IF(N($AC652)&gt;0,"支給済","不支給"),IF($AC652="","要確認",IF($AC652=0,"不支給","未処理")))))</f>
        <v/>
      </c>
      <c r="AE652" s="12" t="n"/>
      <c r="AF652" s="11" t="n"/>
      <c r="AG652" s="11" t="n"/>
      <c r="AH652" s="11" t="n"/>
      <c r="AI652" s="14">
        <f>IF(AND($AD652="保留中",$AF652&lt;&gt;""),TODAY()-$AF652,"")</f>
        <v/>
      </c>
      <c r="AJ652" s="12" t="n"/>
      <c r="AK652" s="14">
        <f>IF($B652="","",IF($AO652="","対象年月が未入力／","")&amp;IF($B652="","",IF($AN652="","職員マスタに未登録の職員番号／",IF($Y652="","標準報酬月額が未登録／","")&amp;IF(AND($AO652&lt;&gt;"",OR(AND(INDEX(職員マスタ!$G$6:$G$405,$AN652)&lt;&gt;"",INDEX(職員マスタ!$G$6:$G$405,$AN652)&gt;EOMONTH($AO652,0)),AND(INDEX(職員マスタ!$H$6:$H$405,$AN652)&lt;&gt;"",INDEX(職員マスタ!$H$6:$H$405,$AN652)&lt;$AO652))),"対象月が時短期間外／","")&amp;IF(AND(INDEX(職員マスタ!$F$6:$F$405,$AN652)&lt;&gt;"",$AO652&lt;&gt;"",INDEX(職員マスタ!$F$6:$F$405,$AN652)&lt;$AO652),"対象月に子が2歳到達済／","")&amp;IF(AND($H652&lt;&gt;"",INDEX(職員マスタ!$B$6:$B$405,$AN652)&lt;&gt;"",SUBSTITUTE(SUBSTITUTE($H652," ","")," ","")&lt;&gt;SUBSTITUTE(SUBSTITUTE(INDEX(職員マスタ!$B$6:$B$405,$AN652)," ","")," ","")),"氏名がマスタと相違／","")&amp;IF(AND($Q652&lt;&gt;"",INDEX(職員マスタ!$E$6:$E$405,$AN652)&lt;&gt;"",$Q652&lt;&gt;INDEX(職員マスタ!$E$6:$E$405,$AN652)),"子の生年月日がマスタと相違／","")&amp;IF(AND($L652&lt;&gt;"",INDEX(職員マスタ!$G$6:$G$405,$AN652)&lt;&gt;"",$L652&lt;&gt;INDEX(職員マスタ!$G$6:$G$405,$AN652)),"時短開始日がマスタと相違／","")&amp;IF(AND($M652&lt;&gt;"",INDEX(職員マスタ!$H$6:$H$405,$AN652)&lt;&gt;"",$M652&lt;&gt;INDEX(職員マスタ!$H$6:$H$405,$AN652)),"時短終了日がマスタと相違／","")))&amp;IF(AND($B652&lt;&gt;"",$E652=""),"報酬額が未入力／","")&amp;IF(N($U652)&gt;0,"申請書に入力エラーが残っています／","")&amp;IF(AND($B652&lt;&gt;"",$AO652&lt;&gt;""),IF(COUNTIFS($B$6:$B$3005,$B652,$C$6:$C$3005,$C652,$D$6:$D$3005,$D652)&gt;1,"同じ月の請求が重複しています／",""),"")&amp;IF(AND(N($E652)&gt;0,$Z652&lt;&gt;"",$Z652&lt;&gt;"×",$AC652=0,$AB652=""),"計算額が下限以下のため不支給／",""))</f>
        <v/>
      </c>
      <c r="AL652" s="12" t="n"/>
      <c r="AM652" s="14">
        <f>IF($AD652="保留中",COUNTIF($AD$6:$AD652,"保留中"),"")</f>
        <v/>
      </c>
      <c r="AN652" s="14">
        <f>IF($AO652="","",IF(SUMPRODUCT(MAX((職員マスタ!$A$6:$A$405=$B652)*(((職員マスタ!$G$6:$G$405="")+(職員マスタ!$G$6:$G$405&lt;=EOMONTH($AO652,0)))&gt;0)*(((職員マスタ!$H$6:$H$405="")+(職員マスタ!$H$6:$H$405&gt;=$AO652))&gt;0)*(ROW(職員マスタ!$A$6:$A$405)-5)))&gt;0,SUMPRODUCT(MAX((職員マスタ!$A$6:$A$405=$B652)*(((職員マスタ!$G$6:$G$405="")+(職員マスタ!$G$6:$G$405&lt;=EOMONTH($AO652,0)))&gt;0)*(((職員マスタ!$H$6:$H$405="")+(職員マスタ!$H$6:$H$405&gt;=$AO652))&gt;0)*(ROW(職員マスタ!$A$6:$A$405)-5))),IFERROR(MATCH($B652,職員マスタ!$A$6:$A$405,0),"")))</f>
        <v/>
      </c>
      <c r="AO652" s="16">
        <f>IF(OR($B652="",$C652="",$D652=""),"",DATE($C652+2018,$D652,1))</f>
        <v/>
      </c>
    </row>
    <row r="653">
      <c r="A653" s="11" t="n"/>
      <c r="B653" s="12" t="n"/>
      <c r="C653" s="12" t="n"/>
      <c r="D653" s="12" t="n"/>
      <c r="E653" s="13" t="n"/>
      <c r="F653" s="12" t="n"/>
      <c r="G653" s="13" t="n"/>
      <c r="H653" s="12" t="n"/>
      <c r="I653" s="12" t="n"/>
      <c r="J653" s="12" t="n"/>
      <c r="K653" s="12" t="n"/>
      <c r="L653" s="11" t="n"/>
      <c r="M653" s="11" t="n"/>
      <c r="N653" s="11" t="n"/>
      <c r="O653" s="11" t="n"/>
      <c r="P653" s="12" t="n"/>
      <c r="Q653" s="11" t="n"/>
      <c r="R653" s="12" t="n"/>
      <c r="S653" s="11" t="n"/>
      <c r="T653" s="12" t="n"/>
      <c r="U653" s="12" t="n"/>
      <c r="V653" s="14">
        <f>IF($AN653="",IF($B653="","",$H653),IF(INDEX(職員マスタ!$B$6:$B$405,$AN653)="",$H653,INDEX(職員マスタ!$B$6:$B$405,$AN653)))</f>
        <v/>
      </c>
      <c r="W653" s="14">
        <f>IF($AN653="",IF($B653="","",$R653),IF(INDEX(職員マスタ!$C$6:$C$405,$AN653)="",$R653,INDEX(職員マスタ!$C$6:$C$405,$AN653)))</f>
        <v/>
      </c>
      <c r="X653" s="14">
        <f>IF($AO653="","","R"&amp;$C653&amp;"."&amp;$D653)</f>
        <v/>
      </c>
      <c r="Y653" s="15">
        <f>IF($AN653="","",IF(INDEX(職員マスタ!$K$6:$K$405,$AN653)="","",INDEX(職員マスタ!$K$6:$K$405,$AN653)))</f>
        <v/>
      </c>
      <c r="Z653" s="14">
        <f>IF(OR($E653="",$Y653=""),"",IF($E653&gt;=$Y653,"×",IF($E653&gt;=$Y653*設定!$C$5,"△","○")))</f>
        <v/>
      </c>
      <c r="AA653" s="15">
        <f>IF($Z653="","",IF($Z653="×",0,IF($Z653="○",ROUNDDOWN($E653*設定!$C$4,0),ROUNDDOWN($E653*ROUND((9*$Y653-9*$E653)/(10*$E653),4),0))))</f>
        <v/>
      </c>
      <c r="AB653" s="13" t="n"/>
      <c r="AC653" s="15">
        <f>IF($B653="","",IF($AB653&lt;&gt;"",$AB653,IF($AA653="","",IF($AA653&lt;=設定!$C$3,0,$AA653))))</f>
        <v/>
      </c>
      <c r="AD653" s="14">
        <f>IF($B653="","",IF(AND($AE653&lt;&gt;"",$AG653="",$AJ653=""),"保留中",IF($AJ653&lt;&gt;"",IF(N($AC653)&gt;0,"支給済","不支給"),IF($AC653="","要確認",IF($AC653=0,"不支給","未処理")))))</f>
        <v/>
      </c>
      <c r="AE653" s="12" t="n"/>
      <c r="AF653" s="11" t="n"/>
      <c r="AG653" s="11" t="n"/>
      <c r="AH653" s="11" t="n"/>
      <c r="AI653" s="14">
        <f>IF(AND($AD653="保留中",$AF653&lt;&gt;""),TODAY()-$AF653,"")</f>
        <v/>
      </c>
      <c r="AJ653" s="12" t="n"/>
      <c r="AK653" s="14">
        <f>IF($B653="","",IF($AO653="","対象年月が未入力／","")&amp;IF($B653="","",IF($AN653="","職員マスタに未登録の職員番号／",IF($Y653="","標準報酬月額が未登録／","")&amp;IF(AND($AO653&lt;&gt;"",OR(AND(INDEX(職員マスタ!$G$6:$G$405,$AN653)&lt;&gt;"",INDEX(職員マスタ!$G$6:$G$405,$AN653)&gt;EOMONTH($AO653,0)),AND(INDEX(職員マスタ!$H$6:$H$405,$AN653)&lt;&gt;"",INDEX(職員マスタ!$H$6:$H$405,$AN653)&lt;$AO653))),"対象月が時短期間外／","")&amp;IF(AND(INDEX(職員マスタ!$F$6:$F$405,$AN653)&lt;&gt;"",$AO653&lt;&gt;"",INDEX(職員マスタ!$F$6:$F$405,$AN653)&lt;$AO653),"対象月に子が2歳到達済／","")&amp;IF(AND($H653&lt;&gt;"",INDEX(職員マスタ!$B$6:$B$405,$AN653)&lt;&gt;"",SUBSTITUTE(SUBSTITUTE($H653," ","")," ","")&lt;&gt;SUBSTITUTE(SUBSTITUTE(INDEX(職員マスタ!$B$6:$B$405,$AN653)," ","")," ","")),"氏名がマスタと相違／","")&amp;IF(AND($Q653&lt;&gt;"",INDEX(職員マスタ!$E$6:$E$405,$AN653)&lt;&gt;"",$Q653&lt;&gt;INDEX(職員マスタ!$E$6:$E$405,$AN653)),"子の生年月日がマスタと相違／","")&amp;IF(AND($L653&lt;&gt;"",INDEX(職員マスタ!$G$6:$G$405,$AN653)&lt;&gt;"",$L653&lt;&gt;INDEX(職員マスタ!$G$6:$G$405,$AN653)),"時短開始日がマスタと相違／","")&amp;IF(AND($M653&lt;&gt;"",INDEX(職員マスタ!$H$6:$H$405,$AN653)&lt;&gt;"",$M653&lt;&gt;INDEX(職員マスタ!$H$6:$H$405,$AN653)),"時短終了日がマスタと相違／","")))&amp;IF(AND($B653&lt;&gt;"",$E653=""),"報酬額が未入力／","")&amp;IF(N($U653)&gt;0,"申請書に入力エラーが残っています／","")&amp;IF(AND($B653&lt;&gt;"",$AO653&lt;&gt;""),IF(COUNTIFS($B$6:$B$3005,$B653,$C$6:$C$3005,$C653,$D$6:$D$3005,$D653)&gt;1,"同じ月の請求が重複しています／",""),"")&amp;IF(AND(N($E653)&gt;0,$Z653&lt;&gt;"",$Z653&lt;&gt;"×",$AC653=0,$AB653=""),"計算額が下限以下のため不支給／",""))</f>
        <v/>
      </c>
      <c r="AL653" s="12" t="n"/>
      <c r="AM653" s="14">
        <f>IF($AD653="保留中",COUNTIF($AD$6:$AD653,"保留中"),"")</f>
        <v/>
      </c>
      <c r="AN653" s="14">
        <f>IF($AO653="","",IF(SUMPRODUCT(MAX((職員マスタ!$A$6:$A$405=$B653)*(((職員マスタ!$G$6:$G$405="")+(職員マスタ!$G$6:$G$405&lt;=EOMONTH($AO653,0)))&gt;0)*(((職員マスタ!$H$6:$H$405="")+(職員マスタ!$H$6:$H$405&gt;=$AO653))&gt;0)*(ROW(職員マスタ!$A$6:$A$405)-5)))&gt;0,SUMPRODUCT(MAX((職員マスタ!$A$6:$A$405=$B653)*(((職員マスタ!$G$6:$G$405="")+(職員マスタ!$G$6:$G$405&lt;=EOMONTH($AO653,0)))&gt;0)*(((職員マスタ!$H$6:$H$405="")+(職員マスタ!$H$6:$H$405&gt;=$AO653))&gt;0)*(ROW(職員マスタ!$A$6:$A$405)-5))),IFERROR(MATCH($B653,職員マスタ!$A$6:$A$405,0),"")))</f>
        <v/>
      </c>
      <c r="AO653" s="16">
        <f>IF(OR($B653="",$C653="",$D653=""),"",DATE($C653+2018,$D653,1))</f>
        <v/>
      </c>
    </row>
    <row r="654">
      <c r="A654" s="11" t="n"/>
      <c r="B654" s="12" t="n"/>
      <c r="C654" s="12" t="n"/>
      <c r="D654" s="12" t="n"/>
      <c r="E654" s="13" t="n"/>
      <c r="F654" s="12" t="n"/>
      <c r="G654" s="13" t="n"/>
      <c r="H654" s="12" t="n"/>
      <c r="I654" s="12" t="n"/>
      <c r="J654" s="12" t="n"/>
      <c r="K654" s="12" t="n"/>
      <c r="L654" s="11" t="n"/>
      <c r="M654" s="11" t="n"/>
      <c r="N654" s="11" t="n"/>
      <c r="O654" s="11" t="n"/>
      <c r="P654" s="12" t="n"/>
      <c r="Q654" s="11" t="n"/>
      <c r="R654" s="12" t="n"/>
      <c r="S654" s="11" t="n"/>
      <c r="T654" s="12" t="n"/>
      <c r="U654" s="12" t="n"/>
      <c r="V654" s="14">
        <f>IF($AN654="",IF($B654="","",$H654),IF(INDEX(職員マスタ!$B$6:$B$405,$AN654)="",$H654,INDEX(職員マスタ!$B$6:$B$405,$AN654)))</f>
        <v/>
      </c>
      <c r="W654" s="14">
        <f>IF($AN654="",IF($B654="","",$R654),IF(INDEX(職員マスタ!$C$6:$C$405,$AN654)="",$R654,INDEX(職員マスタ!$C$6:$C$405,$AN654)))</f>
        <v/>
      </c>
      <c r="X654" s="14">
        <f>IF($AO654="","","R"&amp;$C654&amp;"."&amp;$D654)</f>
        <v/>
      </c>
      <c r="Y654" s="15">
        <f>IF($AN654="","",IF(INDEX(職員マスタ!$K$6:$K$405,$AN654)="","",INDEX(職員マスタ!$K$6:$K$405,$AN654)))</f>
        <v/>
      </c>
      <c r="Z654" s="14">
        <f>IF(OR($E654="",$Y654=""),"",IF($E654&gt;=$Y654,"×",IF($E654&gt;=$Y654*設定!$C$5,"△","○")))</f>
        <v/>
      </c>
      <c r="AA654" s="15">
        <f>IF($Z654="","",IF($Z654="×",0,IF($Z654="○",ROUNDDOWN($E654*設定!$C$4,0),ROUNDDOWN($E654*ROUND((9*$Y654-9*$E654)/(10*$E654),4),0))))</f>
        <v/>
      </c>
      <c r="AB654" s="13" t="n"/>
      <c r="AC654" s="15">
        <f>IF($B654="","",IF($AB654&lt;&gt;"",$AB654,IF($AA654="","",IF($AA654&lt;=設定!$C$3,0,$AA654))))</f>
        <v/>
      </c>
      <c r="AD654" s="14">
        <f>IF($B654="","",IF(AND($AE654&lt;&gt;"",$AG654="",$AJ654=""),"保留中",IF($AJ654&lt;&gt;"",IF(N($AC654)&gt;0,"支給済","不支給"),IF($AC654="","要確認",IF($AC654=0,"不支給","未処理")))))</f>
        <v/>
      </c>
      <c r="AE654" s="12" t="n"/>
      <c r="AF654" s="11" t="n"/>
      <c r="AG654" s="11" t="n"/>
      <c r="AH654" s="11" t="n"/>
      <c r="AI654" s="14">
        <f>IF(AND($AD654="保留中",$AF654&lt;&gt;""),TODAY()-$AF654,"")</f>
        <v/>
      </c>
      <c r="AJ654" s="12" t="n"/>
      <c r="AK654" s="14">
        <f>IF($B654="","",IF($AO654="","対象年月が未入力／","")&amp;IF($B654="","",IF($AN654="","職員マスタに未登録の職員番号／",IF($Y654="","標準報酬月額が未登録／","")&amp;IF(AND($AO654&lt;&gt;"",OR(AND(INDEX(職員マスタ!$G$6:$G$405,$AN654)&lt;&gt;"",INDEX(職員マスタ!$G$6:$G$405,$AN654)&gt;EOMONTH($AO654,0)),AND(INDEX(職員マスタ!$H$6:$H$405,$AN654)&lt;&gt;"",INDEX(職員マスタ!$H$6:$H$405,$AN654)&lt;$AO654))),"対象月が時短期間外／","")&amp;IF(AND(INDEX(職員マスタ!$F$6:$F$405,$AN654)&lt;&gt;"",$AO654&lt;&gt;"",INDEX(職員マスタ!$F$6:$F$405,$AN654)&lt;$AO654),"対象月に子が2歳到達済／","")&amp;IF(AND($H654&lt;&gt;"",INDEX(職員マスタ!$B$6:$B$405,$AN654)&lt;&gt;"",SUBSTITUTE(SUBSTITUTE($H654," ","")," ","")&lt;&gt;SUBSTITUTE(SUBSTITUTE(INDEX(職員マスタ!$B$6:$B$405,$AN654)," ","")," ","")),"氏名がマスタと相違／","")&amp;IF(AND($Q654&lt;&gt;"",INDEX(職員マスタ!$E$6:$E$405,$AN654)&lt;&gt;"",$Q654&lt;&gt;INDEX(職員マスタ!$E$6:$E$405,$AN654)),"子の生年月日がマスタと相違／","")&amp;IF(AND($L654&lt;&gt;"",INDEX(職員マスタ!$G$6:$G$405,$AN654)&lt;&gt;"",$L654&lt;&gt;INDEX(職員マスタ!$G$6:$G$405,$AN654)),"時短開始日がマスタと相違／","")&amp;IF(AND($M654&lt;&gt;"",INDEX(職員マスタ!$H$6:$H$405,$AN654)&lt;&gt;"",$M654&lt;&gt;INDEX(職員マスタ!$H$6:$H$405,$AN654)),"時短終了日がマスタと相違／","")))&amp;IF(AND($B654&lt;&gt;"",$E654=""),"報酬額が未入力／","")&amp;IF(N($U654)&gt;0,"申請書に入力エラーが残っています／","")&amp;IF(AND($B654&lt;&gt;"",$AO654&lt;&gt;""),IF(COUNTIFS($B$6:$B$3005,$B654,$C$6:$C$3005,$C654,$D$6:$D$3005,$D654)&gt;1,"同じ月の請求が重複しています／",""),"")&amp;IF(AND(N($E654)&gt;0,$Z654&lt;&gt;"",$Z654&lt;&gt;"×",$AC654=0,$AB654=""),"計算額が下限以下のため不支給／",""))</f>
        <v/>
      </c>
      <c r="AL654" s="12" t="n"/>
      <c r="AM654" s="14">
        <f>IF($AD654="保留中",COUNTIF($AD$6:$AD654,"保留中"),"")</f>
        <v/>
      </c>
      <c r="AN654" s="14">
        <f>IF($AO654="","",IF(SUMPRODUCT(MAX((職員マスタ!$A$6:$A$405=$B654)*(((職員マスタ!$G$6:$G$405="")+(職員マスタ!$G$6:$G$405&lt;=EOMONTH($AO654,0)))&gt;0)*(((職員マスタ!$H$6:$H$405="")+(職員マスタ!$H$6:$H$405&gt;=$AO654))&gt;0)*(ROW(職員マスタ!$A$6:$A$405)-5)))&gt;0,SUMPRODUCT(MAX((職員マスタ!$A$6:$A$405=$B654)*(((職員マスタ!$G$6:$G$405="")+(職員マスタ!$G$6:$G$405&lt;=EOMONTH($AO654,0)))&gt;0)*(((職員マスタ!$H$6:$H$405="")+(職員マスタ!$H$6:$H$405&gt;=$AO654))&gt;0)*(ROW(職員マスタ!$A$6:$A$405)-5))),IFERROR(MATCH($B654,職員マスタ!$A$6:$A$405,0),"")))</f>
        <v/>
      </c>
      <c r="AO654" s="16">
        <f>IF(OR($B654="",$C654="",$D654=""),"",DATE($C654+2018,$D654,1))</f>
        <v/>
      </c>
    </row>
    <row r="655">
      <c r="A655" s="11" t="n"/>
      <c r="B655" s="12" t="n"/>
      <c r="C655" s="12" t="n"/>
      <c r="D655" s="12" t="n"/>
      <c r="E655" s="13" t="n"/>
      <c r="F655" s="12" t="n"/>
      <c r="G655" s="13" t="n"/>
      <c r="H655" s="12" t="n"/>
      <c r="I655" s="12" t="n"/>
      <c r="J655" s="12" t="n"/>
      <c r="K655" s="12" t="n"/>
      <c r="L655" s="11" t="n"/>
      <c r="M655" s="11" t="n"/>
      <c r="N655" s="11" t="n"/>
      <c r="O655" s="11" t="n"/>
      <c r="P655" s="12" t="n"/>
      <c r="Q655" s="11" t="n"/>
      <c r="R655" s="12" t="n"/>
      <c r="S655" s="11" t="n"/>
      <c r="T655" s="12" t="n"/>
      <c r="U655" s="12" t="n"/>
      <c r="V655" s="14">
        <f>IF($AN655="",IF($B655="","",$H655),IF(INDEX(職員マスタ!$B$6:$B$405,$AN655)="",$H655,INDEX(職員マスタ!$B$6:$B$405,$AN655)))</f>
        <v/>
      </c>
      <c r="W655" s="14">
        <f>IF($AN655="",IF($B655="","",$R655),IF(INDEX(職員マスタ!$C$6:$C$405,$AN655)="",$R655,INDEX(職員マスタ!$C$6:$C$405,$AN655)))</f>
        <v/>
      </c>
      <c r="X655" s="14">
        <f>IF($AO655="","","R"&amp;$C655&amp;"."&amp;$D655)</f>
        <v/>
      </c>
      <c r="Y655" s="15">
        <f>IF($AN655="","",IF(INDEX(職員マスタ!$K$6:$K$405,$AN655)="","",INDEX(職員マスタ!$K$6:$K$405,$AN655)))</f>
        <v/>
      </c>
      <c r="Z655" s="14">
        <f>IF(OR($E655="",$Y655=""),"",IF($E655&gt;=$Y655,"×",IF($E655&gt;=$Y655*設定!$C$5,"△","○")))</f>
        <v/>
      </c>
      <c r="AA655" s="15">
        <f>IF($Z655="","",IF($Z655="×",0,IF($Z655="○",ROUNDDOWN($E655*設定!$C$4,0),ROUNDDOWN($E655*ROUND((9*$Y655-9*$E655)/(10*$E655),4),0))))</f>
        <v/>
      </c>
      <c r="AB655" s="13" t="n"/>
      <c r="AC655" s="15">
        <f>IF($B655="","",IF($AB655&lt;&gt;"",$AB655,IF($AA655="","",IF($AA655&lt;=設定!$C$3,0,$AA655))))</f>
        <v/>
      </c>
      <c r="AD655" s="14">
        <f>IF($B655="","",IF(AND($AE655&lt;&gt;"",$AG655="",$AJ655=""),"保留中",IF($AJ655&lt;&gt;"",IF(N($AC655)&gt;0,"支給済","不支給"),IF($AC655="","要確認",IF($AC655=0,"不支給","未処理")))))</f>
        <v/>
      </c>
      <c r="AE655" s="12" t="n"/>
      <c r="AF655" s="11" t="n"/>
      <c r="AG655" s="11" t="n"/>
      <c r="AH655" s="11" t="n"/>
      <c r="AI655" s="14">
        <f>IF(AND($AD655="保留中",$AF655&lt;&gt;""),TODAY()-$AF655,"")</f>
        <v/>
      </c>
      <c r="AJ655" s="12" t="n"/>
      <c r="AK655" s="14">
        <f>IF($B655="","",IF($AO655="","対象年月が未入力／","")&amp;IF($B655="","",IF($AN655="","職員マスタに未登録の職員番号／",IF($Y655="","標準報酬月額が未登録／","")&amp;IF(AND($AO655&lt;&gt;"",OR(AND(INDEX(職員マスタ!$G$6:$G$405,$AN655)&lt;&gt;"",INDEX(職員マスタ!$G$6:$G$405,$AN655)&gt;EOMONTH($AO655,0)),AND(INDEX(職員マスタ!$H$6:$H$405,$AN655)&lt;&gt;"",INDEX(職員マスタ!$H$6:$H$405,$AN655)&lt;$AO655))),"対象月が時短期間外／","")&amp;IF(AND(INDEX(職員マスタ!$F$6:$F$405,$AN655)&lt;&gt;"",$AO655&lt;&gt;"",INDEX(職員マスタ!$F$6:$F$405,$AN655)&lt;$AO655),"対象月に子が2歳到達済／","")&amp;IF(AND($H655&lt;&gt;"",INDEX(職員マスタ!$B$6:$B$405,$AN655)&lt;&gt;"",SUBSTITUTE(SUBSTITUTE($H655," ","")," ","")&lt;&gt;SUBSTITUTE(SUBSTITUTE(INDEX(職員マスタ!$B$6:$B$405,$AN655)," ","")," ","")),"氏名がマスタと相違／","")&amp;IF(AND($Q655&lt;&gt;"",INDEX(職員マスタ!$E$6:$E$405,$AN655)&lt;&gt;"",$Q655&lt;&gt;INDEX(職員マスタ!$E$6:$E$405,$AN655)),"子の生年月日がマスタと相違／","")&amp;IF(AND($L655&lt;&gt;"",INDEX(職員マスタ!$G$6:$G$405,$AN655)&lt;&gt;"",$L655&lt;&gt;INDEX(職員マスタ!$G$6:$G$405,$AN655)),"時短開始日がマスタと相違／","")&amp;IF(AND($M655&lt;&gt;"",INDEX(職員マスタ!$H$6:$H$405,$AN655)&lt;&gt;"",$M655&lt;&gt;INDEX(職員マスタ!$H$6:$H$405,$AN655)),"時短終了日がマスタと相違／","")))&amp;IF(AND($B655&lt;&gt;"",$E655=""),"報酬額が未入力／","")&amp;IF(N($U655)&gt;0,"申請書に入力エラーが残っています／","")&amp;IF(AND($B655&lt;&gt;"",$AO655&lt;&gt;""),IF(COUNTIFS($B$6:$B$3005,$B655,$C$6:$C$3005,$C655,$D$6:$D$3005,$D655)&gt;1,"同じ月の請求が重複しています／",""),"")&amp;IF(AND(N($E655)&gt;0,$Z655&lt;&gt;"",$Z655&lt;&gt;"×",$AC655=0,$AB655=""),"計算額が下限以下のため不支給／",""))</f>
        <v/>
      </c>
      <c r="AL655" s="12" t="n"/>
      <c r="AM655" s="14">
        <f>IF($AD655="保留中",COUNTIF($AD$6:$AD655,"保留中"),"")</f>
        <v/>
      </c>
      <c r="AN655" s="14">
        <f>IF($AO655="","",IF(SUMPRODUCT(MAX((職員マスタ!$A$6:$A$405=$B655)*(((職員マスタ!$G$6:$G$405="")+(職員マスタ!$G$6:$G$405&lt;=EOMONTH($AO655,0)))&gt;0)*(((職員マスタ!$H$6:$H$405="")+(職員マスタ!$H$6:$H$405&gt;=$AO655))&gt;0)*(ROW(職員マスタ!$A$6:$A$405)-5)))&gt;0,SUMPRODUCT(MAX((職員マスタ!$A$6:$A$405=$B655)*(((職員マスタ!$G$6:$G$405="")+(職員マスタ!$G$6:$G$405&lt;=EOMONTH($AO655,0)))&gt;0)*(((職員マスタ!$H$6:$H$405="")+(職員マスタ!$H$6:$H$405&gt;=$AO655))&gt;0)*(ROW(職員マスタ!$A$6:$A$405)-5))),IFERROR(MATCH($B655,職員マスタ!$A$6:$A$405,0),"")))</f>
        <v/>
      </c>
      <c r="AO655" s="16">
        <f>IF(OR($B655="",$C655="",$D655=""),"",DATE($C655+2018,$D655,1))</f>
        <v/>
      </c>
    </row>
    <row r="656">
      <c r="A656" s="11" t="n"/>
      <c r="B656" s="12" t="n"/>
      <c r="C656" s="12" t="n"/>
      <c r="D656" s="12" t="n"/>
      <c r="E656" s="13" t="n"/>
      <c r="F656" s="12" t="n"/>
      <c r="G656" s="13" t="n"/>
      <c r="H656" s="12" t="n"/>
      <c r="I656" s="12" t="n"/>
      <c r="J656" s="12" t="n"/>
      <c r="K656" s="12" t="n"/>
      <c r="L656" s="11" t="n"/>
      <c r="M656" s="11" t="n"/>
      <c r="N656" s="11" t="n"/>
      <c r="O656" s="11" t="n"/>
      <c r="P656" s="12" t="n"/>
      <c r="Q656" s="11" t="n"/>
      <c r="R656" s="12" t="n"/>
      <c r="S656" s="11" t="n"/>
      <c r="T656" s="12" t="n"/>
      <c r="U656" s="12" t="n"/>
      <c r="V656" s="14">
        <f>IF($AN656="",IF($B656="","",$H656),IF(INDEX(職員マスタ!$B$6:$B$405,$AN656)="",$H656,INDEX(職員マスタ!$B$6:$B$405,$AN656)))</f>
        <v/>
      </c>
      <c r="W656" s="14">
        <f>IF($AN656="",IF($B656="","",$R656),IF(INDEX(職員マスタ!$C$6:$C$405,$AN656)="",$R656,INDEX(職員マスタ!$C$6:$C$405,$AN656)))</f>
        <v/>
      </c>
      <c r="X656" s="14">
        <f>IF($AO656="","","R"&amp;$C656&amp;"."&amp;$D656)</f>
        <v/>
      </c>
      <c r="Y656" s="15">
        <f>IF($AN656="","",IF(INDEX(職員マスタ!$K$6:$K$405,$AN656)="","",INDEX(職員マスタ!$K$6:$K$405,$AN656)))</f>
        <v/>
      </c>
      <c r="Z656" s="14">
        <f>IF(OR($E656="",$Y656=""),"",IF($E656&gt;=$Y656,"×",IF($E656&gt;=$Y656*設定!$C$5,"△","○")))</f>
        <v/>
      </c>
      <c r="AA656" s="15">
        <f>IF($Z656="","",IF($Z656="×",0,IF($Z656="○",ROUNDDOWN($E656*設定!$C$4,0),ROUNDDOWN($E656*ROUND((9*$Y656-9*$E656)/(10*$E656),4),0))))</f>
        <v/>
      </c>
      <c r="AB656" s="13" t="n"/>
      <c r="AC656" s="15">
        <f>IF($B656="","",IF($AB656&lt;&gt;"",$AB656,IF($AA656="","",IF($AA656&lt;=設定!$C$3,0,$AA656))))</f>
        <v/>
      </c>
      <c r="AD656" s="14">
        <f>IF($B656="","",IF(AND($AE656&lt;&gt;"",$AG656="",$AJ656=""),"保留中",IF($AJ656&lt;&gt;"",IF(N($AC656)&gt;0,"支給済","不支給"),IF($AC656="","要確認",IF($AC656=0,"不支給","未処理")))))</f>
        <v/>
      </c>
      <c r="AE656" s="12" t="n"/>
      <c r="AF656" s="11" t="n"/>
      <c r="AG656" s="11" t="n"/>
      <c r="AH656" s="11" t="n"/>
      <c r="AI656" s="14">
        <f>IF(AND($AD656="保留中",$AF656&lt;&gt;""),TODAY()-$AF656,"")</f>
        <v/>
      </c>
      <c r="AJ656" s="12" t="n"/>
      <c r="AK656" s="14">
        <f>IF($B656="","",IF($AO656="","対象年月が未入力／","")&amp;IF($B656="","",IF($AN656="","職員マスタに未登録の職員番号／",IF($Y656="","標準報酬月額が未登録／","")&amp;IF(AND($AO656&lt;&gt;"",OR(AND(INDEX(職員マスタ!$G$6:$G$405,$AN656)&lt;&gt;"",INDEX(職員マスタ!$G$6:$G$405,$AN656)&gt;EOMONTH($AO656,0)),AND(INDEX(職員マスタ!$H$6:$H$405,$AN656)&lt;&gt;"",INDEX(職員マスタ!$H$6:$H$405,$AN656)&lt;$AO656))),"対象月が時短期間外／","")&amp;IF(AND(INDEX(職員マスタ!$F$6:$F$405,$AN656)&lt;&gt;"",$AO656&lt;&gt;"",INDEX(職員マスタ!$F$6:$F$405,$AN656)&lt;$AO656),"対象月に子が2歳到達済／","")&amp;IF(AND($H656&lt;&gt;"",INDEX(職員マスタ!$B$6:$B$405,$AN656)&lt;&gt;"",SUBSTITUTE(SUBSTITUTE($H656," ","")," ","")&lt;&gt;SUBSTITUTE(SUBSTITUTE(INDEX(職員マスタ!$B$6:$B$405,$AN656)," ","")," ","")),"氏名がマスタと相違／","")&amp;IF(AND($Q656&lt;&gt;"",INDEX(職員マスタ!$E$6:$E$405,$AN656)&lt;&gt;"",$Q656&lt;&gt;INDEX(職員マスタ!$E$6:$E$405,$AN656)),"子の生年月日がマスタと相違／","")&amp;IF(AND($L656&lt;&gt;"",INDEX(職員マスタ!$G$6:$G$405,$AN656)&lt;&gt;"",$L656&lt;&gt;INDEX(職員マスタ!$G$6:$G$405,$AN656)),"時短開始日がマスタと相違／","")&amp;IF(AND($M656&lt;&gt;"",INDEX(職員マスタ!$H$6:$H$405,$AN656)&lt;&gt;"",$M656&lt;&gt;INDEX(職員マスタ!$H$6:$H$405,$AN656)),"時短終了日がマスタと相違／","")))&amp;IF(AND($B656&lt;&gt;"",$E656=""),"報酬額が未入力／","")&amp;IF(N($U656)&gt;0,"申請書に入力エラーが残っています／","")&amp;IF(AND($B656&lt;&gt;"",$AO656&lt;&gt;""),IF(COUNTIFS($B$6:$B$3005,$B656,$C$6:$C$3005,$C656,$D$6:$D$3005,$D656)&gt;1,"同じ月の請求が重複しています／",""),"")&amp;IF(AND(N($E656)&gt;0,$Z656&lt;&gt;"",$Z656&lt;&gt;"×",$AC656=0,$AB656=""),"計算額が下限以下のため不支給／",""))</f>
        <v/>
      </c>
      <c r="AL656" s="12" t="n"/>
      <c r="AM656" s="14">
        <f>IF($AD656="保留中",COUNTIF($AD$6:$AD656,"保留中"),"")</f>
        <v/>
      </c>
      <c r="AN656" s="14">
        <f>IF($AO656="","",IF(SUMPRODUCT(MAX((職員マスタ!$A$6:$A$405=$B656)*(((職員マスタ!$G$6:$G$405="")+(職員マスタ!$G$6:$G$405&lt;=EOMONTH($AO656,0)))&gt;0)*(((職員マスタ!$H$6:$H$405="")+(職員マスタ!$H$6:$H$405&gt;=$AO656))&gt;0)*(ROW(職員マスタ!$A$6:$A$405)-5)))&gt;0,SUMPRODUCT(MAX((職員マスタ!$A$6:$A$405=$B656)*(((職員マスタ!$G$6:$G$405="")+(職員マスタ!$G$6:$G$405&lt;=EOMONTH($AO656,0)))&gt;0)*(((職員マスタ!$H$6:$H$405="")+(職員マスタ!$H$6:$H$405&gt;=$AO656))&gt;0)*(ROW(職員マスタ!$A$6:$A$405)-5))),IFERROR(MATCH($B656,職員マスタ!$A$6:$A$405,0),"")))</f>
        <v/>
      </c>
      <c r="AO656" s="16">
        <f>IF(OR($B656="",$C656="",$D656=""),"",DATE($C656+2018,$D656,1))</f>
        <v/>
      </c>
    </row>
    <row r="657">
      <c r="A657" s="11" t="n"/>
      <c r="B657" s="12" t="n"/>
      <c r="C657" s="12" t="n"/>
      <c r="D657" s="12" t="n"/>
      <c r="E657" s="13" t="n"/>
      <c r="F657" s="12" t="n"/>
      <c r="G657" s="13" t="n"/>
      <c r="H657" s="12" t="n"/>
      <c r="I657" s="12" t="n"/>
      <c r="J657" s="12" t="n"/>
      <c r="K657" s="12" t="n"/>
      <c r="L657" s="11" t="n"/>
      <c r="M657" s="11" t="n"/>
      <c r="N657" s="11" t="n"/>
      <c r="O657" s="11" t="n"/>
      <c r="P657" s="12" t="n"/>
      <c r="Q657" s="11" t="n"/>
      <c r="R657" s="12" t="n"/>
      <c r="S657" s="11" t="n"/>
      <c r="T657" s="12" t="n"/>
      <c r="U657" s="12" t="n"/>
      <c r="V657" s="14">
        <f>IF($AN657="",IF($B657="","",$H657),IF(INDEX(職員マスタ!$B$6:$B$405,$AN657)="",$H657,INDEX(職員マスタ!$B$6:$B$405,$AN657)))</f>
        <v/>
      </c>
      <c r="W657" s="14">
        <f>IF($AN657="",IF($B657="","",$R657),IF(INDEX(職員マスタ!$C$6:$C$405,$AN657)="",$R657,INDEX(職員マスタ!$C$6:$C$405,$AN657)))</f>
        <v/>
      </c>
      <c r="X657" s="14">
        <f>IF($AO657="","","R"&amp;$C657&amp;"."&amp;$D657)</f>
        <v/>
      </c>
      <c r="Y657" s="15">
        <f>IF($AN657="","",IF(INDEX(職員マスタ!$K$6:$K$405,$AN657)="","",INDEX(職員マスタ!$K$6:$K$405,$AN657)))</f>
        <v/>
      </c>
      <c r="Z657" s="14">
        <f>IF(OR($E657="",$Y657=""),"",IF($E657&gt;=$Y657,"×",IF($E657&gt;=$Y657*設定!$C$5,"△","○")))</f>
        <v/>
      </c>
      <c r="AA657" s="15">
        <f>IF($Z657="","",IF($Z657="×",0,IF($Z657="○",ROUNDDOWN($E657*設定!$C$4,0),ROUNDDOWN($E657*ROUND((9*$Y657-9*$E657)/(10*$E657),4),0))))</f>
        <v/>
      </c>
      <c r="AB657" s="13" t="n"/>
      <c r="AC657" s="15">
        <f>IF($B657="","",IF($AB657&lt;&gt;"",$AB657,IF($AA657="","",IF($AA657&lt;=設定!$C$3,0,$AA657))))</f>
        <v/>
      </c>
      <c r="AD657" s="14">
        <f>IF($B657="","",IF(AND($AE657&lt;&gt;"",$AG657="",$AJ657=""),"保留中",IF($AJ657&lt;&gt;"",IF(N($AC657)&gt;0,"支給済","不支給"),IF($AC657="","要確認",IF($AC657=0,"不支給","未処理")))))</f>
        <v/>
      </c>
      <c r="AE657" s="12" t="n"/>
      <c r="AF657" s="11" t="n"/>
      <c r="AG657" s="11" t="n"/>
      <c r="AH657" s="11" t="n"/>
      <c r="AI657" s="14">
        <f>IF(AND($AD657="保留中",$AF657&lt;&gt;""),TODAY()-$AF657,"")</f>
        <v/>
      </c>
      <c r="AJ657" s="12" t="n"/>
      <c r="AK657" s="14">
        <f>IF($B657="","",IF($AO657="","対象年月が未入力／","")&amp;IF($B657="","",IF($AN657="","職員マスタに未登録の職員番号／",IF($Y657="","標準報酬月額が未登録／","")&amp;IF(AND($AO657&lt;&gt;"",OR(AND(INDEX(職員マスタ!$G$6:$G$405,$AN657)&lt;&gt;"",INDEX(職員マスタ!$G$6:$G$405,$AN657)&gt;EOMONTH($AO657,0)),AND(INDEX(職員マスタ!$H$6:$H$405,$AN657)&lt;&gt;"",INDEX(職員マスタ!$H$6:$H$405,$AN657)&lt;$AO657))),"対象月が時短期間外／","")&amp;IF(AND(INDEX(職員マスタ!$F$6:$F$405,$AN657)&lt;&gt;"",$AO657&lt;&gt;"",INDEX(職員マスタ!$F$6:$F$405,$AN657)&lt;$AO657),"対象月に子が2歳到達済／","")&amp;IF(AND($H657&lt;&gt;"",INDEX(職員マスタ!$B$6:$B$405,$AN657)&lt;&gt;"",SUBSTITUTE(SUBSTITUTE($H657," ","")," ","")&lt;&gt;SUBSTITUTE(SUBSTITUTE(INDEX(職員マスタ!$B$6:$B$405,$AN657)," ","")," ","")),"氏名がマスタと相違／","")&amp;IF(AND($Q657&lt;&gt;"",INDEX(職員マスタ!$E$6:$E$405,$AN657)&lt;&gt;"",$Q657&lt;&gt;INDEX(職員マスタ!$E$6:$E$405,$AN657)),"子の生年月日がマスタと相違／","")&amp;IF(AND($L657&lt;&gt;"",INDEX(職員マスタ!$G$6:$G$405,$AN657)&lt;&gt;"",$L657&lt;&gt;INDEX(職員マスタ!$G$6:$G$405,$AN657)),"時短開始日がマスタと相違／","")&amp;IF(AND($M657&lt;&gt;"",INDEX(職員マスタ!$H$6:$H$405,$AN657)&lt;&gt;"",$M657&lt;&gt;INDEX(職員マスタ!$H$6:$H$405,$AN657)),"時短終了日がマスタと相違／","")))&amp;IF(AND($B657&lt;&gt;"",$E657=""),"報酬額が未入力／","")&amp;IF(N($U657)&gt;0,"申請書に入力エラーが残っています／","")&amp;IF(AND($B657&lt;&gt;"",$AO657&lt;&gt;""),IF(COUNTIFS($B$6:$B$3005,$B657,$C$6:$C$3005,$C657,$D$6:$D$3005,$D657)&gt;1,"同じ月の請求が重複しています／",""),"")&amp;IF(AND(N($E657)&gt;0,$Z657&lt;&gt;"",$Z657&lt;&gt;"×",$AC657=0,$AB657=""),"計算額が下限以下のため不支給／",""))</f>
        <v/>
      </c>
      <c r="AL657" s="12" t="n"/>
      <c r="AM657" s="14">
        <f>IF($AD657="保留中",COUNTIF($AD$6:$AD657,"保留中"),"")</f>
        <v/>
      </c>
      <c r="AN657" s="14">
        <f>IF($AO657="","",IF(SUMPRODUCT(MAX((職員マスタ!$A$6:$A$405=$B657)*(((職員マスタ!$G$6:$G$405="")+(職員マスタ!$G$6:$G$405&lt;=EOMONTH($AO657,0)))&gt;0)*(((職員マスタ!$H$6:$H$405="")+(職員マスタ!$H$6:$H$405&gt;=$AO657))&gt;0)*(ROW(職員マスタ!$A$6:$A$405)-5)))&gt;0,SUMPRODUCT(MAX((職員マスタ!$A$6:$A$405=$B657)*(((職員マスタ!$G$6:$G$405="")+(職員マスタ!$G$6:$G$405&lt;=EOMONTH($AO657,0)))&gt;0)*(((職員マスタ!$H$6:$H$405="")+(職員マスタ!$H$6:$H$405&gt;=$AO657))&gt;0)*(ROW(職員マスタ!$A$6:$A$405)-5))),IFERROR(MATCH($B657,職員マスタ!$A$6:$A$405,0),"")))</f>
        <v/>
      </c>
      <c r="AO657" s="16">
        <f>IF(OR($B657="",$C657="",$D657=""),"",DATE($C657+2018,$D657,1))</f>
        <v/>
      </c>
    </row>
    <row r="658">
      <c r="A658" s="11" t="n"/>
      <c r="B658" s="12" t="n"/>
      <c r="C658" s="12" t="n"/>
      <c r="D658" s="12" t="n"/>
      <c r="E658" s="13" t="n"/>
      <c r="F658" s="12" t="n"/>
      <c r="G658" s="13" t="n"/>
      <c r="H658" s="12" t="n"/>
      <c r="I658" s="12" t="n"/>
      <c r="J658" s="12" t="n"/>
      <c r="K658" s="12" t="n"/>
      <c r="L658" s="11" t="n"/>
      <c r="M658" s="11" t="n"/>
      <c r="N658" s="11" t="n"/>
      <c r="O658" s="11" t="n"/>
      <c r="P658" s="12" t="n"/>
      <c r="Q658" s="11" t="n"/>
      <c r="R658" s="12" t="n"/>
      <c r="S658" s="11" t="n"/>
      <c r="T658" s="12" t="n"/>
      <c r="U658" s="12" t="n"/>
      <c r="V658" s="14">
        <f>IF($AN658="",IF($B658="","",$H658),IF(INDEX(職員マスタ!$B$6:$B$405,$AN658)="",$H658,INDEX(職員マスタ!$B$6:$B$405,$AN658)))</f>
        <v/>
      </c>
      <c r="W658" s="14">
        <f>IF($AN658="",IF($B658="","",$R658),IF(INDEX(職員マスタ!$C$6:$C$405,$AN658)="",$R658,INDEX(職員マスタ!$C$6:$C$405,$AN658)))</f>
        <v/>
      </c>
      <c r="X658" s="14">
        <f>IF($AO658="","","R"&amp;$C658&amp;"."&amp;$D658)</f>
        <v/>
      </c>
      <c r="Y658" s="15">
        <f>IF($AN658="","",IF(INDEX(職員マスタ!$K$6:$K$405,$AN658)="","",INDEX(職員マスタ!$K$6:$K$405,$AN658)))</f>
        <v/>
      </c>
      <c r="Z658" s="14">
        <f>IF(OR($E658="",$Y658=""),"",IF($E658&gt;=$Y658,"×",IF($E658&gt;=$Y658*設定!$C$5,"△","○")))</f>
        <v/>
      </c>
      <c r="AA658" s="15">
        <f>IF($Z658="","",IF($Z658="×",0,IF($Z658="○",ROUNDDOWN($E658*設定!$C$4,0),ROUNDDOWN($E658*ROUND((9*$Y658-9*$E658)/(10*$E658),4),0))))</f>
        <v/>
      </c>
      <c r="AB658" s="13" t="n"/>
      <c r="AC658" s="15">
        <f>IF($B658="","",IF($AB658&lt;&gt;"",$AB658,IF($AA658="","",IF($AA658&lt;=設定!$C$3,0,$AA658))))</f>
        <v/>
      </c>
      <c r="AD658" s="14">
        <f>IF($B658="","",IF(AND($AE658&lt;&gt;"",$AG658="",$AJ658=""),"保留中",IF($AJ658&lt;&gt;"",IF(N($AC658)&gt;0,"支給済","不支給"),IF($AC658="","要確認",IF($AC658=0,"不支給","未処理")))))</f>
        <v/>
      </c>
      <c r="AE658" s="12" t="n"/>
      <c r="AF658" s="11" t="n"/>
      <c r="AG658" s="11" t="n"/>
      <c r="AH658" s="11" t="n"/>
      <c r="AI658" s="14">
        <f>IF(AND($AD658="保留中",$AF658&lt;&gt;""),TODAY()-$AF658,"")</f>
        <v/>
      </c>
      <c r="AJ658" s="12" t="n"/>
      <c r="AK658" s="14">
        <f>IF($B658="","",IF($AO658="","対象年月が未入力／","")&amp;IF($B658="","",IF($AN658="","職員マスタに未登録の職員番号／",IF($Y658="","標準報酬月額が未登録／","")&amp;IF(AND($AO658&lt;&gt;"",OR(AND(INDEX(職員マスタ!$G$6:$G$405,$AN658)&lt;&gt;"",INDEX(職員マスタ!$G$6:$G$405,$AN658)&gt;EOMONTH($AO658,0)),AND(INDEX(職員マスタ!$H$6:$H$405,$AN658)&lt;&gt;"",INDEX(職員マスタ!$H$6:$H$405,$AN658)&lt;$AO658))),"対象月が時短期間外／","")&amp;IF(AND(INDEX(職員マスタ!$F$6:$F$405,$AN658)&lt;&gt;"",$AO658&lt;&gt;"",INDEX(職員マスタ!$F$6:$F$405,$AN658)&lt;$AO658),"対象月に子が2歳到達済／","")&amp;IF(AND($H658&lt;&gt;"",INDEX(職員マスタ!$B$6:$B$405,$AN658)&lt;&gt;"",SUBSTITUTE(SUBSTITUTE($H658," ","")," ","")&lt;&gt;SUBSTITUTE(SUBSTITUTE(INDEX(職員マスタ!$B$6:$B$405,$AN658)," ","")," ","")),"氏名がマスタと相違／","")&amp;IF(AND($Q658&lt;&gt;"",INDEX(職員マスタ!$E$6:$E$405,$AN658)&lt;&gt;"",$Q658&lt;&gt;INDEX(職員マスタ!$E$6:$E$405,$AN658)),"子の生年月日がマスタと相違／","")&amp;IF(AND($L658&lt;&gt;"",INDEX(職員マスタ!$G$6:$G$405,$AN658)&lt;&gt;"",$L658&lt;&gt;INDEX(職員マスタ!$G$6:$G$405,$AN658)),"時短開始日がマスタと相違／","")&amp;IF(AND($M658&lt;&gt;"",INDEX(職員マスタ!$H$6:$H$405,$AN658)&lt;&gt;"",$M658&lt;&gt;INDEX(職員マスタ!$H$6:$H$405,$AN658)),"時短終了日がマスタと相違／","")))&amp;IF(AND($B658&lt;&gt;"",$E658=""),"報酬額が未入力／","")&amp;IF(N($U658)&gt;0,"申請書に入力エラーが残っています／","")&amp;IF(AND($B658&lt;&gt;"",$AO658&lt;&gt;""),IF(COUNTIFS($B$6:$B$3005,$B658,$C$6:$C$3005,$C658,$D$6:$D$3005,$D658)&gt;1,"同じ月の請求が重複しています／",""),"")&amp;IF(AND(N($E658)&gt;0,$Z658&lt;&gt;"",$Z658&lt;&gt;"×",$AC658=0,$AB658=""),"計算額が下限以下のため不支給／",""))</f>
        <v/>
      </c>
      <c r="AL658" s="12" t="n"/>
      <c r="AM658" s="14">
        <f>IF($AD658="保留中",COUNTIF($AD$6:$AD658,"保留中"),"")</f>
        <v/>
      </c>
      <c r="AN658" s="14">
        <f>IF($AO658="","",IF(SUMPRODUCT(MAX((職員マスタ!$A$6:$A$405=$B658)*(((職員マスタ!$G$6:$G$405="")+(職員マスタ!$G$6:$G$405&lt;=EOMONTH($AO658,0)))&gt;0)*(((職員マスタ!$H$6:$H$405="")+(職員マスタ!$H$6:$H$405&gt;=$AO658))&gt;0)*(ROW(職員マスタ!$A$6:$A$405)-5)))&gt;0,SUMPRODUCT(MAX((職員マスタ!$A$6:$A$405=$B658)*(((職員マスタ!$G$6:$G$405="")+(職員マスタ!$G$6:$G$405&lt;=EOMONTH($AO658,0)))&gt;0)*(((職員マスタ!$H$6:$H$405="")+(職員マスタ!$H$6:$H$405&gt;=$AO658))&gt;0)*(ROW(職員マスタ!$A$6:$A$405)-5))),IFERROR(MATCH($B658,職員マスタ!$A$6:$A$405,0),"")))</f>
        <v/>
      </c>
      <c r="AO658" s="16">
        <f>IF(OR($B658="",$C658="",$D658=""),"",DATE($C658+2018,$D658,1))</f>
        <v/>
      </c>
    </row>
    <row r="659">
      <c r="A659" s="11" t="n"/>
      <c r="B659" s="12" t="n"/>
      <c r="C659" s="12" t="n"/>
      <c r="D659" s="12" t="n"/>
      <c r="E659" s="13" t="n"/>
      <c r="F659" s="12" t="n"/>
      <c r="G659" s="13" t="n"/>
      <c r="H659" s="12" t="n"/>
      <c r="I659" s="12" t="n"/>
      <c r="J659" s="12" t="n"/>
      <c r="K659" s="12" t="n"/>
      <c r="L659" s="11" t="n"/>
      <c r="M659" s="11" t="n"/>
      <c r="N659" s="11" t="n"/>
      <c r="O659" s="11" t="n"/>
      <c r="P659" s="12" t="n"/>
      <c r="Q659" s="11" t="n"/>
      <c r="R659" s="12" t="n"/>
      <c r="S659" s="11" t="n"/>
      <c r="T659" s="12" t="n"/>
      <c r="U659" s="12" t="n"/>
      <c r="V659" s="14">
        <f>IF($AN659="",IF($B659="","",$H659),IF(INDEX(職員マスタ!$B$6:$B$405,$AN659)="",$H659,INDEX(職員マスタ!$B$6:$B$405,$AN659)))</f>
        <v/>
      </c>
      <c r="W659" s="14">
        <f>IF($AN659="",IF($B659="","",$R659),IF(INDEX(職員マスタ!$C$6:$C$405,$AN659)="",$R659,INDEX(職員マスタ!$C$6:$C$405,$AN659)))</f>
        <v/>
      </c>
      <c r="X659" s="14">
        <f>IF($AO659="","","R"&amp;$C659&amp;"."&amp;$D659)</f>
        <v/>
      </c>
      <c r="Y659" s="15">
        <f>IF($AN659="","",IF(INDEX(職員マスタ!$K$6:$K$405,$AN659)="","",INDEX(職員マスタ!$K$6:$K$405,$AN659)))</f>
        <v/>
      </c>
      <c r="Z659" s="14">
        <f>IF(OR($E659="",$Y659=""),"",IF($E659&gt;=$Y659,"×",IF($E659&gt;=$Y659*設定!$C$5,"△","○")))</f>
        <v/>
      </c>
      <c r="AA659" s="15">
        <f>IF($Z659="","",IF($Z659="×",0,IF($Z659="○",ROUNDDOWN($E659*設定!$C$4,0),ROUNDDOWN($E659*ROUND((9*$Y659-9*$E659)/(10*$E659),4),0))))</f>
        <v/>
      </c>
      <c r="AB659" s="13" t="n"/>
      <c r="AC659" s="15">
        <f>IF($B659="","",IF($AB659&lt;&gt;"",$AB659,IF($AA659="","",IF($AA659&lt;=設定!$C$3,0,$AA659))))</f>
        <v/>
      </c>
      <c r="AD659" s="14">
        <f>IF($B659="","",IF(AND($AE659&lt;&gt;"",$AG659="",$AJ659=""),"保留中",IF($AJ659&lt;&gt;"",IF(N($AC659)&gt;0,"支給済","不支給"),IF($AC659="","要確認",IF($AC659=0,"不支給","未処理")))))</f>
        <v/>
      </c>
      <c r="AE659" s="12" t="n"/>
      <c r="AF659" s="11" t="n"/>
      <c r="AG659" s="11" t="n"/>
      <c r="AH659" s="11" t="n"/>
      <c r="AI659" s="14">
        <f>IF(AND($AD659="保留中",$AF659&lt;&gt;""),TODAY()-$AF659,"")</f>
        <v/>
      </c>
      <c r="AJ659" s="12" t="n"/>
      <c r="AK659" s="14">
        <f>IF($B659="","",IF($AO659="","対象年月が未入力／","")&amp;IF($B659="","",IF($AN659="","職員マスタに未登録の職員番号／",IF($Y659="","標準報酬月額が未登録／","")&amp;IF(AND($AO659&lt;&gt;"",OR(AND(INDEX(職員マスタ!$G$6:$G$405,$AN659)&lt;&gt;"",INDEX(職員マスタ!$G$6:$G$405,$AN659)&gt;EOMONTH($AO659,0)),AND(INDEX(職員マスタ!$H$6:$H$405,$AN659)&lt;&gt;"",INDEX(職員マスタ!$H$6:$H$405,$AN659)&lt;$AO659))),"対象月が時短期間外／","")&amp;IF(AND(INDEX(職員マスタ!$F$6:$F$405,$AN659)&lt;&gt;"",$AO659&lt;&gt;"",INDEX(職員マスタ!$F$6:$F$405,$AN659)&lt;$AO659),"対象月に子が2歳到達済／","")&amp;IF(AND($H659&lt;&gt;"",INDEX(職員マスタ!$B$6:$B$405,$AN659)&lt;&gt;"",SUBSTITUTE(SUBSTITUTE($H659," ","")," ","")&lt;&gt;SUBSTITUTE(SUBSTITUTE(INDEX(職員マスタ!$B$6:$B$405,$AN659)," ","")," ","")),"氏名がマスタと相違／","")&amp;IF(AND($Q659&lt;&gt;"",INDEX(職員マスタ!$E$6:$E$405,$AN659)&lt;&gt;"",$Q659&lt;&gt;INDEX(職員マスタ!$E$6:$E$405,$AN659)),"子の生年月日がマスタと相違／","")&amp;IF(AND($L659&lt;&gt;"",INDEX(職員マスタ!$G$6:$G$405,$AN659)&lt;&gt;"",$L659&lt;&gt;INDEX(職員マスタ!$G$6:$G$405,$AN659)),"時短開始日がマスタと相違／","")&amp;IF(AND($M659&lt;&gt;"",INDEX(職員マスタ!$H$6:$H$405,$AN659)&lt;&gt;"",$M659&lt;&gt;INDEX(職員マスタ!$H$6:$H$405,$AN659)),"時短終了日がマスタと相違／","")))&amp;IF(AND($B659&lt;&gt;"",$E659=""),"報酬額が未入力／","")&amp;IF(N($U659)&gt;0,"申請書に入力エラーが残っています／","")&amp;IF(AND($B659&lt;&gt;"",$AO659&lt;&gt;""),IF(COUNTIFS($B$6:$B$3005,$B659,$C$6:$C$3005,$C659,$D$6:$D$3005,$D659)&gt;1,"同じ月の請求が重複しています／",""),"")&amp;IF(AND(N($E659)&gt;0,$Z659&lt;&gt;"",$Z659&lt;&gt;"×",$AC659=0,$AB659=""),"計算額が下限以下のため不支給／",""))</f>
        <v/>
      </c>
      <c r="AL659" s="12" t="n"/>
      <c r="AM659" s="14">
        <f>IF($AD659="保留中",COUNTIF($AD$6:$AD659,"保留中"),"")</f>
        <v/>
      </c>
      <c r="AN659" s="14">
        <f>IF($AO659="","",IF(SUMPRODUCT(MAX((職員マスタ!$A$6:$A$405=$B659)*(((職員マスタ!$G$6:$G$405="")+(職員マスタ!$G$6:$G$405&lt;=EOMONTH($AO659,0)))&gt;0)*(((職員マスタ!$H$6:$H$405="")+(職員マスタ!$H$6:$H$405&gt;=$AO659))&gt;0)*(ROW(職員マスタ!$A$6:$A$405)-5)))&gt;0,SUMPRODUCT(MAX((職員マスタ!$A$6:$A$405=$B659)*(((職員マスタ!$G$6:$G$405="")+(職員マスタ!$G$6:$G$405&lt;=EOMONTH($AO659,0)))&gt;0)*(((職員マスタ!$H$6:$H$405="")+(職員マスタ!$H$6:$H$405&gt;=$AO659))&gt;0)*(ROW(職員マスタ!$A$6:$A$405)-5))),IFERROR(MATCH($B659,職員マスタ!$A$6:$A$405,0),"")))</f>
        <v/>
      </c>
      <c r="AO659" s="16">
        <f>IF(OR($B659="",$C659="",$D659=""),"",DATE($C659+2018,$D659,1))</f>
        <v/>
      </c>
    </row>
    <row r="660">
      <c r="A660" s="11" t="n"/>
      <c r="B660" s="12" t="n"/>
      <c r="C660" s="12" t="n"/>
      <c r="D660" s="12" t="n"/>
      <c r="E660" s="13" t="n"/>
      <c r="F660" s="12" t="n"/>
      <c r="G660" s="13" t="n"/>
      <c r="H660" s="12" t="n"/>
      <c r="I660" s="12" t="n"/>
      <c r="J660" s="12" t="n"/>
      <c r="K660" s="12" t="n"/>
      <c r="L660" s="11" t="n"/>
      <c r="M660" s="11" t="n"/>
      <c r="N660" s="11" t="n"/>
      <c r="O660" s="11" t="n"/>
      <c r="P660" s="12" t="n"/>
      <c r="Q660" s="11" t="n"/>
      <c r="R660" s="12" t="n"/>
      <c r="S660" s="11" t="n"/>
      <c r="T660" s="12" t="n"/>
      <c r="U660" s="12" t="n"/>
      <c r="V660" s="14">
        <f>IF($AN660="",IF($B660="","",$H660),IF(INDEX(職員マスタ!$B$6:$B$405,$AN660)="",$H660,INDEX(職員マスタ!$B$6:$B$405,$AN660)))</f>
        <v/>
      </c>
      <c r="W660" s="14">
        <f>IF($AN660="",IF($B660="","",$R660),IF(INDEX(職員マスタ!$C$6:$C$405,$AN660)="",$R660,INDEX(職員マスタ!$C$6:$C$405,$AN660)))</f>
        <v/>
      </c>
      <c r="X660" s="14">
        <f>IF($AO660="","","R"&amp;$C660&amp;"."&amp;$D660)</f>
        <v/>
      </c>
      <c r="Y660" s="15">
        <f>IF($AN660="","",IF(INDEX(職員マスタ!$K$6:$K$405,$AN660)="","",INDEX(職員マスタ!$K$6:$K$405,$AN660)))</f>
        <v/>
      </c>
      <c r="Z660" s="14">
        <f>IF(OR($E660="",$Y660=""),"",IF($E660&gt;=$Y660,"×",IF($E660&gt;=$Y660*設定!$C$5,"△","○")))</f>
        <v/>
      </c>
      <c r="AA660" s="15">
        <f>IF($Z660="","",IF($Z660="×",0,IF($Z660="○",ROUNDDOWN($E660*設定!$C$4,0),ROUNDDOWN($E660*ROUND((9*$Y660-9*$E660)/(10*$E660),4),0))))</f>
        <v/>
      </c>
      <c r="AB660" s="13" t="n"/>
      <c r="AC660" s="15">
        <f>IF($B660="","",IF($AB660&lt;&gt;"",$AB660,IF($AA660="","",IF($AA660&lt;=設定!$C$3,0,$AA660))))</f>
        <v/>
      </c>
      <c r="AD660" s="14">
        <f>IF($B660="","",IF(AND($AE660&lt;&gt;"",$AG660="",$AJ660=""),"保留中",IF($AJ660&lt;&gt;"",IF(N($AC660)&gt;0,"支給済","不支給"),IF($AC660="","要確認",IF($AC660=0,"不支給","未処理")))))</f>
        <v/>
      </c>
      <c r="AE660" s="12" t="n"/>
      <c r="AF660" s="11" t="n"/>
      <c r="AG660" s="11" t="n"/>
      <c r="AH660" s="11" t="n"/>
      <c r="AI660" s="14">
        <f>IF(AND($AD660="保留中",$AF660&lt;&gt;""),TODAY()-$AF660,"")</f>
        <v/>
      </c>
      <c r="AJ660" s="12" t="n"/>
      <c r="AK660" s="14">
        <f>IF($B660="","",IF($AO660="","対象年月が未入力／","")&amp;IF($B660="","",IF($AN660="","職員マスタに未登録の職員番号／",IF($Y660="","標準報酬月額が未登録／","")&amp;IF(AND($AO660&lt;&gt;"",OR(AND(INDEX(職員マスタ!$G$6:$G$405,$AN660)&lt;&gt;"",INDEX(職員マスタ!$G$6:$G$405,$AN660)&gt;EOMONTH($AO660,0)),AND(INDEX(職員マスタ!$H$6:$H$405,$AN660)&lt;&gt;"",INDEX(職員マスタ!$H$6:$H$405,$AN660)&lt;$AO660))),"対象月が時短期間外／","")&amp;IF(AND(INDEX(職員マスタ!$F$6:$F$405,$AN660)&lt;&gt;"",$AO660&lt;&gt;"",INDEX(職員マスタ!$F$6:$F$405,$AN660)&lt;$AO660),"対象月に子が2歳到達済／","")&amp;IF(AND($H660&lt;&gt;"",INDEX(職員マスタ!$B$6:$B$405,$AN660)&lt;&gt;"",SUBSTITUTE(SUBSTITUTE($H660," ","")," ","")&lt;&gt;SUBSTITUTE(SUBSTITUTE(INDEX(職員マスタ!$B$6:$B$405,$AN660)," ","")," ","")),"氏名がマスタと相違／","")&amp;IF(AND($Q660&lt;&gt;"",INDEX(職員マスタ!$E$6:$E$405,$AN660)&lt;&gt;"",$Q660&lt;&gt;INDEX(職員マスタ!$E$6:$E$405,$AN660)),"子の生年月日がマスタと相違／","")&amp;IF(AND($L660&lt;&gt;"",INDEX(職員マスタ!$G$6:$G$405,$AN660)&lt;&gt;"",$L660&lt;&gt;INDEX(職員マスタ!$G$6:$G$405,$AN660)),"時短開始日がマスタと相違／","")&amp;IF(AND($M660&lt;&gt;"",INDEX(職員マスタ!$H$6:$H$405,$AN660)&lt;&gt;"",$M660&lt;&gt;INDEX(職員マスタ!$H$6:$H$405,$AN660)),"時短終了日がマスタと相違／","")))&amp;IF(AND($B660&lt;&gt;"",$E660=""),"報酬額が未入力／","")&amp;IF(N($U660)&gt;0,"申請書に入力エラーが残っています／","")&amp;IF(AND($B660&lt;&gt;"",$AO660&lt;&gt;""),IF(COUNTIFS($B$6:$B$3005,$B660,$C$6:$C$3005,$C660,$D$6:$D$3005,$D660)&gt;1,"同じ月の請求が重複しています／",""),"")&amp;IF(AND(N($E660)&gt;0,$Z660&lt;&gt;"",$Z660&lt;&gt;"×",$AC660=0,$AB660=""),"計算額が下限以下のため不支給／",""))</f>
        <v/>
      </c>
      <c r="AL660" s="12" t="n"/>
      <c r="AM660" s="14">
        <f>IF($AD660="保留中",COUNTIF($AD$6:$AD660,"保留中"),"")</f>
        <v/>
      </c>
      <c r="AN660" s="14">
        <f>IF($AO660="","",IF(SUMPRODUCT(MAX((職員マスタ!$A$6:$A$405=$B660)*(((職員マスタ!$G$6:$G$405="")+(職員マスタ!$G$6:$G$405&lt;=EOMONTH($AO660,0)))&gt;0)*(((職員マスタ!$H$6:$H$405="")+(職員マスタ!$H$6:$H$405&gt;=$AO660))&gt;0)*(ROW(職員マスタ!$A$6:$A$405)-5)))&gt;0,SUMPRODUCT(MAX((職員マスタ!$A$6:$A$405=$B660)*(((職員マスタ!$G$6:$G$405="")+(職員マスタ!$G$6:$G$405&lt;=EOMONTH($AO660,0)))&gt;0)*(((職員マスタ!$H$6:$H$405="")+(職員マスタ!$H$6:$H$405&gt;=$AO660))&gt;0)*(ROW(職員マスタ!$A$6:$A$405)-5))),IFERROR(MATCH($B660,職員マスタ!$A$6:$A$405,0),"")))</f>
        <v/>
      </c>
      <c r="AO660" s="16">
        <f>IF(OR($B660="",$C660="",$D660=""),"",DATE($C660+2018,$D660,1))</f>
        <v/>
      </c>
    </row>
    <row r="661">
      <c r="A661" s="11" t="n"/>
      <c r="B661" s="12" t="n"/>
      <c r="C661" s="12" t="n"/>
      <c r="D661" s="12" t="n"/>
      <c r="E661" s="13" t="n"/>
      <c r="F661" s="12" t="n"/>
      <c r="G661" s="13" t="n"/>
      <c r="H661" s="12" t="n"/>
      <c r="I661" s="12" t="n"/>
      <c r="J661" s="12" t="n"/>
      <c r="K661" s="12" t="n"/>
      <c r="L661" s="11" t="n"/>
      <c r="M661" s="11" t="n"/>
      <c r="N661" s="11" t="n"/>
      <c r="O661" s="11" t="n"/>
      <c r="P661" s="12" t="n"/>
      <c r="Q661" s="11" t="n"/>
      <c r="R661" s="12" t="n"/>
      <c r="S661" s="11" t="n"/>
      <c r="T661" s="12" t="n"/>
      <c r="U661" s="12" t="n"/>
      <c r="V661" s="14">
        <f>IF($AN661="",IF($B661="","",$H661),IF(INDEX(職員マスタ!$B$6:$B$405,$AN661)="",$H661,INDEX(職員マスタ!$B$6:$B$405,$AN661)))</f>
        <v/>
      </c>
      <c r="W661" s="14">
        <f>IF($AN661="",IF($B661="","",$R661),IF(INDEX(職員マスタ!$C$6:$C$405,$AN661)="",$R661,INDEX(職員マスタ!$C$6:$C$405,$AN661)))</f>
        <v/>
      </c>
      <c r="X661" s="14">
        <f>IF($AO661="","","R"&amp;$C661&amp;"."&amp;$D661)</f>
        <v/>
      </c>
      <c r="Y661" s="15">
        <f>IF($AN661="","",IF(INDEX(職員マスタ!$K$6:$K$405,$AN661)="","",INDEX(職員マスタ!$K$6:$K$405,$AN661)))</f>
        <v/>
      </c>
      <c r="Z661" s="14">
        <f>IF(OR($E661="",$Y661=""),"",IF($E661&gt;=$Y661,"×",IF($E661&gt;=$Y661*設定!$C$5,"△","○")))</f>
        <v/>
      </c>
      <c r="AA661" s="15">
        <f>IF($Z661="","",IF($Z661="×",0,IF($Z661="○",ROUNDDOWN($E661*設定!$C$4,0),ROUNDDOWN($E661*ROUND((9*$Y661-9*$E661)/(10*$E661),4),0))))</f>
        <v/>
      </c>
      <c r="AB661" s="13" t="n"/>
      <c r="AC661" s="15">
        <f>IF($B661="","",IF($AB661&lt;&gt;"",$AB661,IF($AA661="","",IF($AA661&lt;=設定!$C$3,0,$AA661))))</f>
        <v/>
      </c>
      <c r="AD661" s="14">
        <f>IF($B661="","",IF(AND($AE661&lt;&gt;"",$AG661="",$AJ661=""),"保留中",IF($AJ661&lt;&gt;"",IF(N($AC661)&gt;0,"支給済","不支給"),IF($AC661="","要確認",IF($AC661=0,"不支給","未処理")))))</f>
        <v/>
      </c>
      <c r="AE661" s="12" t="n"/>
      <c r="AF661" s="11" t="n"/>
      <c r="AG661" s="11" t="n"/>
      <c r="AH661" s="11" t="n"/>
      <c r="AI661" s="14">
        <f>IF(AND($AD661="保留中",$AF661&lt;&gt;""),TODAY()-$AF661,"")</f>
        <v/>
      </c>
      <c r="AJ661" s="12" t="n"/>
      <c r="AK661" s="14">
        <f>IF($B661="","",IF($AO661="","対象年月が未入力／","")&amp;IF($B661="","",IF($AN661="","職員マスタに未登録の職員番号／",IF($Y661="","標準報酬月額が未登録／","")&amp;IF(AND($AO661&lt;&gt;"",OR(AND(INDEX(職員マスタ!$G$6:$G$405,$AN661)&lt;&gt;"",INDEX(職員マスタ!$G$6:$G$405,$AN661)&gt;EOMONTH($AO661,0)),AND(INDEX(職員マスタ!$H$6:$H$405,$AN661)&lt;&gt;"",INDEX(職員マスタ!$H$6:$H$405,$AN661)&lt;$AO661))),"対象月が時短期間外／","")&amp;IF(AND(INDEX(職員マスタ!$F$6:$F$405,$AN661)&lt;&gt;"",$AO661&lt;&gt;"",INDEX(職員マスタ!$F$6:$F$405,$AN661)&lt;$AO661),"対象月に子が2歳到達済／","")&amp;IF(AND($H661&lt;&gt;"",INDEX(職員マスタ!$B$6:$B$405,$AN661)&lt;&gt;"",SUBSTITUTE(SUBSTITUTE($H661," ","")," ","")&lt;&gt;SUBSTITUTE(SUBSTITUTE(INDEX(職員マスタ!$B$6:$B$405,$AN661)," ","")," ","")),"氏名がマスタと相違／","")&amp;IF(AND($Q661&lt;&gt;"",INDEX(職員マスタ!$E$6:$E$405,$AN661)&lt;&gt;"",$Q661&lt;&gt;INDEX(職員マスタ!$E$6:$E$405,$AN661)),"子の生年月日がマスタと相違／","")&amp;IF(AND($L661&lt;&gt;"",INDEX(職員マスタ!$G$6:$G$405,$AN661)&lt;&gt;"",$L661&lt;&gt;INDEX(職員マスタ!$G$6:$G$405,$AN661)),"時短開始日がマスタと相違／","")&amp;IF(AND($M661&lt;&gt;"",INDEX(職員マスタ!$H$6:$H$405,$AN661)&lt;&gt;"",$M661&lt;&gt;INDEX(職員マスタ!$H$6:$H$405,$AN661)),"時短終了日がマスタと相違／","")))&amp;IF(AND($B661&lt;&gt;"",$E661=""),"報酬額が未入力／","")&amp;IF(N($U661)&gt;0,"申請書に入力エラーが残っています／","")&amp;IF(AND($B661&lt;&gt;"",$AO661&lt;&gt;""),IF(COUNTIFS($B$6:$B$3005,$B661,$C$6:$C$3005,$C661,$D$6:$D$3005,$D661)&gt;1,"同じ月の請求が重複しています／",""),"")&amp;IF(AND(N($E661)&gt;0,$Z661&lt;&gt;"",$Z661&lt;&gt;"×",$AC661=0,$AB661=""),"計算額が下限以下のため不支給／",""))</f>
        <v/>
      </c>
      <c r="AL661" s="12" t="n"/>
      <c r="AM661" s="14">
        <f>IF($AD661="保留中",COUNTIF($AD$6:$AD661,"保留中"),"")</f>
        <v/>
      </c>
      <c r="AN661" s="14">
        <f>IF($AO661="","",IF(SUMPRODUCT(MAX((職員マスタ!$A$6:$A$405=$B661)*(((職員マスタ!$G$6:$G$405="")+(職員マスタ!$G$6:$G$405&lt;=EOMONTH($AO661,0)))&gt;0)*(((職員マスタ!$H$6:$H$405="")+(職員マスタ!$H$6:$H$405&gt;=$AO661))&gt;0)*(ROW(職員マスタ!$A$6:$A$405)-5)))&gt;0,SUMPRODUCT(MAX((職員マスタ!$A$6:$A$405=$B661)*(((職員マスタ!$G$6:$G$405="")+(職員マスタ!$G$6:$G$405&lt;=EOMONTH($AO661,0)))&gt;0)*(((職員マスタ!$H$6:$H$405="")+(職員マスタ!$H$6:$H$405&gt;=$AO661))&gt;0)*(ROW(職員マスタ!$A$6:$A$405)-5))),IFERROR(MATCH($B661,職員マスタ!$A$6:$A$405,0),"")))</f>
        <v/>
      </c>
      <c r="AO661" s="16">
        <f>IF(OR($B661="",$C661="",$D661=""),"",DATE($C661+2018,$D661,1))</f>
        <v/>
      </c>
    </row>
    <row r="662">
      <c r="A662" s="11" t="n"/>
      <c r="B662" s="12" t="n"/>
      <c r="C662" s="12" t="n"/>
      <c r="D662" s="12" t="n"/>
      <c r="E662" s="13" t="n"/>
      <c r="F662" s="12" t="n"/>
      <c r="G662" s="13" t="n"/>
      <c r="H662" s="12" t="n"/>
      <c r="I662" s="12" t="n"/>
      <c r="J662" s="12" t="n"/>
      <c r="K662" s="12" t="n"/>
      <c r="L662" s="11" t="n"/>
      <c r="M662" s="11" t="n"/>
      <c r="N662" s="11" t="n"/>
      <c r="O662" s="11" t="n"/>
      <c r="P662" s="12" t="n"/>
      <c r="Q662" s="11" t="n"/>
      <c r="R662" s="12" t="n"/>
      <c r="S662" s="11" t="n"/>
      <c r="T662" s="12" t="n"/>
      <c r="U662" s="12" t="n"/>
      <c r="V662" s="14">
        <f>IF($AN662="",IF($B662="","",$H662),IF(INDEX(職員マスタ!$B$6:$B$405,$AN662)="",$H662,INDEX(職員マスタ!$B$6:$B$405,$AN662)))</f>
        <v/>
      </c>
      <c r="W662" s="14">
        <f>IF($AN662="",IF($B662="","",$R662),IF(INDEX(職員マスタ!$C$6:$C$405,$AN662)="",$R662,INDEX(職員マスタ!$C$6:$C$405,$AN662)))</f>
        <v/>
      </c>
      <c r="X662" s="14">
        <f>IF($AO662="","","R"&amp;$C662&amp;"."&amp;$D662)</f>
        <v/>
      </c>
      <c r="Y662" s="15">
        <f>IF($AN662="","",IF(INDEX(職員マスタ!$K$6:$K$405,$AN662)="","",INDEX(職員マスタ!$K$6:$K$405,$AN662)))</f>
        <v/>
      </c>
      <c r="Z662" s="14">
        <f>IF(OR($E662="",$Y662=""),"",IF($E662&gt;=$Y662,"×",IF($E662&gt;=$Y662*設定!$C$5,"△","○")))</f>
        <v/>
      </c>
      <c r="AA662" s="15">
        <f>IF($Z662="","",IF($Z662="×",0,IF($Z662="○",ROUNDDOWN($E662*設定!$C$4,0),ROUNDDOWN($E662*ROUND((9*$Y662-9*$E662)/(10*$E662),4),0))))</f>
        <v/>
      </c>
      <c r="AB662" s="13" t="n"/>
      <c r="AC662" s="15">
        <f>IF($B662="","",IF($AB662&lt;&gt;"",$AB662,IF($AA662="","",IF($AA662&lt;=設定!$C$3,0,$AA662))))</f>
        <v/>
      </c>
      <c r="AD662" s="14">
        <f>IF($B662="","",IF(AND($AE662&lt;&gt;"",$AG662="",$AJ662=""),"保留中",IF($AJ662&lt;&gt;"",IF(N($AC662)&gt;0,"支給済","不支給"),IF($AC662="","要確認",IF($AC662=0,"不支給","未処理")))))</f>
        <v/>
      </c>
      <c r="AE662" s="12" t="n"/>
      <c r="AF662" s="11" t="n"/>
      <c r="AG662" s="11" t="n"/>
      <c r="AH662" s="11" t="n"/>
      <c r="AI662" s="14">
        <f>IF(AND($AD662="保留中",$AF662&lt;&gt;""),TODAY()-$AF662,"")</f>
        <v/>
      </c>
      <c r="AJ662" s="12" t="n"/>
      <c r="AK662" s="14">
        <f>IF($B662="","",IF($AO662="","対象年月が未入力／","")&amp;IF($B662="","",IF($AN662="","職員マスタに未登録の職員番号／",IF($Y662="","標準報酬月額が未登録／","")&amp;IF(AND($AO662&lt;&gt;"",OR(AND(INDEX(職員マスタ!$G$6:$G$405,$AN662)&lt;&gt;"",INDEX(職員マスタ!$G$6:$G$405,$AN662)&gt;EOMONTH($AO662,0)),AND(INDEX(職員マスタ!$H$6:$H$405,$AN662)&lt;&gt;"",INDEX(職員マスタ!$H$6:$H$405,$AN662)&lt;$AO662))),"対象月が時短期間外／","")&amp;IF(AND(INDEX(職員マスタ!$F$6:$F$405,$AN662)&lt;&gt;"",$AO662&lt;&gt;"",INDEX(職員マスタ!$F$6:$F$405,$AN662)&lt;$AO662),"対象月に子が2歳到達済／","")&amp;IF(AND($H662&lt;&gt;"",INDEX(職員マスタ!$B$6:$B$405,$AN662)&lt;&gt;"",SUBSTITUTE(SUBSTITUTE($H662," ","")," ","")&lt;&gt;SUBSTITUTE(SUBSTITUTE(INDEX(職員マスタ!$B$6:$B$405,$AN662)," ","")," ","")),"氏名がマスタと相違／","")&amp;IF(AND($Q662&lt;&gt;"",INDEX(職員マスタ!$E$6:$E$405,$AN662)&lt;&gt;"",$Q662&lt;&gt;INDEX(職員マスタ!$E$6:$E$405,$AN662)),"子の生年月日がマスタと相違／","")&amp;IF(AND($L662&lt;&gt;"",INDEX(職員マスタ!$G$6:$G$405,$AN662)&lt;&gt;"",$L662&lt;&gt;INDEX(職員マスタ!$G$6:$G$405,$AN662)),"時短開始日がマスタと相違／","")&amp;IF(AND($M662&lt;&gt;"",INDEX(職員マスタ!$H$6:$H$405,$AN662)&lt;&gt;"",$M662&lt;&gt;INDEX(職員マスタ!$H$6:$H$405,$AN662)),"時短終了日がマスタと相違／","")))&amp;IF(AND($B662&lt;&gt;"",$E662=""),"報酬額が未入力／","")&amp;IF(N($U662)&gt;0,"申請書に入力エラーが残っています／","")&amp;IF(AND($B662&lt;&gt;"",$AO662&lt;&gt;""),IF(COUNTIFS($B$6:$B$3005,$B662,$C$6:$C$3005,$C662,$D$6:$D$3005,$D662)&gt;1,"同じ月の請求が重複しています／",""),"")&amp;IF(AND(N($E662)&gt;0,$Z662&lt;&gt;"",$Z662&lt;&gt;"×",$AC662=0,$AB662=""),"計算額が下限以下のため不支給／",""))</f>
        <v/>
      </c>
      <c r="AL662" s="12" t="n"/>
      <c r="AM662" s="14">
        <f>IF($AD662="保留中",COUNTIF($AD$6:$AD662,"保留中"),"")</f>
        <v/>
      </c>
      <c r="AN662" s="14">
        <f>IF($AO662="","",IF(SUMPRODUCT(MAX((職員マスタ!$A$6:$A$405=$B662)*(((職員マスタ!$G$6:$G$405="")+(職員マスタ!$G$6:$G$405&lt;=EOMONTH($AO662,0)))&gt;0)*(((職員マスタ!$H$6:$H$405="")+(職員マスタ!$H$6:$H$405&gt;=$AO662))&gt;0)*(ROW(職員マスタ!$A$6:$A$405)-5)))&gt;0,SUMPRODUCT(MAX((職員マスタ!$A$6:$A$405=$B662)*(((職員マスタ!$G$6:$G$405="")+(職員マスタ!$G$6:$G$405&lt;=EOMONTH($AO662,0)))&gt;0)*(((職員マスタ!$H$6:$H$405="")+(職員マスタ!$H$6:$H$405&gt;=$AO662))&gt;0)*(ROW(職員マスタ!$A$6:$A$405)-5))),IFERROR(MATCH($B662,職員マスタ!$A$6:$A$405,0),"")))</f>
        <v/>
      </c>
      <c r="AO662" s="16">
        <f>IF(OR($B662="",$C662="",$D662=""),"",DATE($C662+2018,$D662,1))</f>
        <v/>
      </c>
    </row>
    <row r="663">
      <c r="A663" s="11" t="n"/>
      <c r="B663" s="12" t="n"/>
      <c r="C663" s="12" t="n"/>
      <c r="D663" s="12" t="n"/>
      <c r="E663" s="13" t="n"/>
      <c r="F663" s="12" t="n"/>
      <c r="G663" s="13" t="n"/>
      <c r="H663" s="12" t="n"/>
      <c r="I663" s="12" t="n"/>
      <c r="J663" s="12" t="n"/>
      <c r="K663" s="12" t="n"/>
      <c r="L663" s="11" t="n"/>
      <c r="M663" s="11" t="n"/>
      <c r="N663" s="11" t="n"/>
      <c r="O663" s="11" t="n"/>
      <c r="P663" s="12" t="n"/>
      <c r="Q663" s="11" t="n"/>
      <c r="R663" s="12" t="n"/>
      <c r="S663" s="11" t="n"/>
      <c r="T663" s="12" t="n"/>
      <c r="U663" s="12" t="n"/>
      <c r="V663" s="14">
        <f>IF($AN663="",IF($B663="","",$H663),IF(INDEX(職員マスタ!$B$6:$B$405,$AN663)="",$H663,INDEX(職員マスタ!$B$6:$B$405,$AN663)))</f>
        <v/>
      </c>
      <c r="W663" s="14">
        <f>IF($AN663="",IF($B663="","",$R663),IF(INDEX(職員マスタ!$C$6:$C$405,$AN663)="",$R663,INDEX(職員マスタ!$C$6:$C$405,$AN663)))</f>
        <v/>
      </c>
      <c r="X663" s="14">
        <f>IF($AO663="","","R"&amp;$C663&amp;"."&amp;$D663)</f>
        <v/>
      </c>
      <c r="Y663" s="15">
        <f>IF($AN663="","",IF(INDEX(職員マスタ!$K$6:$K$405,$AN663)="","",INDEX(職員マスタ!$K$6:$K$405,$AN663)))</f>
        <v/>
      </c>
      <c r="Z663" s="14">
        <f>IF(OR($E663="",$Y663=""),"",IF($E663&gt;=$Y663,"×",IF($E663&gt;=$Y663*設定!$C$5,"△","○")))</f>
        <v/>
      </c>
      <c r="AA663" s="15">
        <f>IF($Z663="","",IF($Z663="×",0,IF($Z663="○",ROUNDDOWN($E663*設定!$C$4,0),ROUNDDOWN($E663*ROUND((9*$Y663-9*$E663)/(10*$E663),4),0))))</f>
        <v/>
      </c>
      <c r="AB663" s="13" t="n"/>
      <c r="AC663" s="15">
        <f>IF($B663="","",IF($AB663&lt;&gt;"",$AB663,IF($AA663="","",IF($AA663&lt;=設定!$C$3,0,$AA663))))</f>
        <v/>
      </c>
      <c r="AD663" s="14">
        <f>IF($B663="","",IF(AND($AE663&lt;&gt;"",$AG663="",$AJ663=""),"保留中",IF($AJ663&lt;&gt;"",IF(N($AC663)&gt;0,"支給済","不支給"),IF($AC663="","要確認",IF($AC663=0,"不支給","未処理")))))</f>
        <v/>
      </c>
      <c r="AE663" s="12" t="n"/>
      <c r="AF663" s="11" t="n"/>
      <c r="AG663" s="11" t="n"/>
      <c r="AH663" s="11" t="n"/>
      <c r="AI663" s="14">
        <f>IF(AND($AD663="保留中",$AF663&lt;&gt;""),TODAY()-$AF663,"")</f>
        <v/>
      </c>
      <c r="AJ663" s="12" t="n"/>
      <c r="AK663" s="14">
        <f>IF($B663="","",IF($AO663="","対象年月が未入力／","")&amp;IF($B663="","",IF($AN663="","職員マスタに未登録の職員番号／",IF($Y663="","標準報酬月額が未登録／","")&amp;IF(AND($AO663&lt;&gt;"",OR(AND(INDEX(職員マスタ!$G$6:$G$405,$AN663)&lt;&gt;"",INDEX(職員マスタ!$G$6:$G$405,$AN663)&gt;EOMONTH($AO663,0)),AND(INDEX(職員マスタ!$H$6:$H$405,$AN663)&lt;&gt;"",INDEX(職員マスタ!$H$6:$H$405,$AN663)&lt;$AO663))),"対象月が時短期間外／","")&amp;IF(AND(INDEX(職員マスタ!$F$6:$F$405,$AN663)&lt;&gt;"",$AO663&lt;&gt;"",INDEX(職員マスタ!$F$6:$F$405,$AN663)&lt;$AO663),"対象月に子が2歳到達済／","")&amp;IF(AND($H663&lt;&gt;"",INDEX(職員マスタ!$B$6:$B$405,$AN663)&lt;&gt;"",SUBSTITUTE(SUBSTITUTE($H663," ","")," ","")&lt;&gt;SUBSTITUTE(SUBSTITUTE(INDEX(職員マスタ!$B$6:$B$405,$AN663)," ","")," ","")),"氏名がマスタと相違／","")&amp;IF(AND($Q663&lt;&gt;"",INDEX(職員マスタ!$E$6:$E$405,$AN663)&lt;&gt;"",$Q663&lt;&gt;INDEX(職員マスタ!$E$6:$E$405,$AN663)),"子の生年月日がマスタと相違／","")&amp;IF(AND($L663&lt;&gt;"",INDEX(職員マスタ!$G$6:$G$405,$AN663)&lt;&gt;"",$L663&lt;&gt;INDEX(職員マスタ!$G$6:$G$405,$AN663)),"時短開始日がマスタと相違／","")&amp;IF(AND($M663&lt;&gt;"",INDEX(職員マスタ!$H$6:$H$405,$AN663)&lt;&gt;"",$M663&lt;&gt;INDEX(職員マスタ!$H$6:$H$405,$AN663)),"時短終了日がマスタと相違／","")))&amp;IF(AND($B663&lt;&gt;"",$E663=""),"報酬額が未入力／","")&amp;IF(N($U663)&gt;0,"申請書に入力エラーが残っています／","")&amp;IF(AND($B663&lt;&gt;"",$AO663&lt;&gt;""),IF(COUNTIFS($B$6:$B$3005,$B663,$C$6:$C$3005,$C663,$D$6:$D$3005,$D663)&gt;1,"同じ月の請求が重複しています／",""),"")&amp;IF(AND(N($E663)&gt;0,$Z663&lt;&gt;"",$Z663&lt;&gt;"×",$AC663=0,$AB663=""),"計算額が下限以下のため不支給／",""))</f>
        <v/>
      </c>
      <c r="AL663" s="12" t="n"/>
      <c r="AM663" s="14">
        <f>IF($AD663="保留中",COUNTIF($AD$6:$AD663,"保留中"),"")</f>
        <v/>
      </c>
      <c r="AN663" s="14">
        <f>IF($AO663="","",IF(SUMPRODUCT(MAX((職員マスタ!$A$6:$A$405=$B663)*(((職員マスタ!$G$6:$G$405="")+(職員マスタ!$G$6:$G$405&lt;=EOMONTH($AO663,0)))&gt;0)*(((職員マスタ!$H$6:$H$405="")+(職員マスタ!$H$6:$H$405&gt;=$AO663))&gt;0)*(ROW(職員マスタ!$A$6:$A$405)-5)))&gt;0,SUMPRODUCT(MAX((職員マスタ!$A$6:$A$405=$B663)*(((職員マスタ!$G$6:$G$405="")+(職員マスタ!$G$6:$G$405&lt;=EOMONTH($AO663,0)))&gt;0)*(((職員マスタ!$H$6:$H$405="")+(職員マスタ!$H$6:$H$405&gt;=$AO663))&gt;0)*(ROW(職員マスタ!$A$6:$A$405)-5))),IFERROR(MATCH($B663,職員マスタ!$A$6:$A$405,0),"")))</f>
        <v/>
      </c>
      <c r="AO663" s="16">
        <f>IF(OR($B663="",$C663="",$D663=""),"",DATE($C663+2018,$D663,1))</f>
        <v/>
      </c>
    </row>
    <row r="664">
      <c r="A664" s="11" t="n"/>
      <c r="B664" s="12" t="n"/>
      <c r="C664" s="12" t="n"/>
      <c r="D664" s="12" t="n"/>
      <c r="E664" s="13" t="n"/>
      <c r="F664" s="12" t="n"/>
      <c r="G664" s="13" t="n"/>
      <c r="H664" s="12" t="n"/>
      <c r="I664" s="12" t="n"/>
      <c r="J664" s="12" t="n"/>
      <c r="K664" s="12" t="n"/>
      <c r="L664" s="11" t="n"/>
      <c r="M664" s="11" t="n"/>
      <c r="N664" s="11" t="n"/>
      <c r="O664" s="11" t="n"/>
      <c r="P664" s="12" t="n"/>
      <c r="Q664" s="11" t="n"/>
      <c r="R664" s="12" t="n"/>
      <c r="S664" s="11" t="n"/>
      <c r="T664" s="12" t="n"/>
      <c r="U664" s="12" t="n"/>
      <c r="V664" s="14">
        <f>IF($AN664="",IF($B664="","",$H664),IF(INDEX(職員マスタ!$B$6:$B$405,$AN664)="",$H664,INDEX(職員マスタ!$B$6:$B$405,$AN664)))</f>
        <v/>
      </c>
      <c r="W664" s="14">
        <f>IF($AN664="",IF($B664="","",$R664),IF(INDEX(職員マスタ!$C$6:$C$405,$AN664)="",$R664,INDEX(職員マスタ!$C$6:$C$405,$AN664)))</f>
        <v/>
      </c>
      <c r="X664" s="14">
        <f>IF($AO664="","","R"&amp;$C664&amp;"."&amp;$D664)</f>
        <v/>
      </c>
      <c r="Y664" s="15">
        <f>IF($AN664="","",IF(INDEX(職員マスタ!$K$6:$K$405,$AN664)="","",INDEX(職員マスタ!$K$6:$K$405,$AN664)))</f>
        <v/>
      </c>
      <c r="Z664" s="14">
        <f>IF(OR($E664="",$Y664=""),"",IF($E664&gt;=$Y664,"×",IF($E664&gt;=$Y664*設定!$C$5,"△","○")))</f>
        <v/>
      </c>
      <c r="AA664" s="15">
        <f>IF($Z664="","",IF($Z664="×",0,IF($Z664="○",ROUNDDOWN($E664*設定!$C$4,0),ROUNDDOWN($E664*ROUND((9*$Y664-9*$E664)/(10*$E664),4),0))))</f>
        <v/>
      </c>
      <c r="AB664" s="13" t="n"/>
      <c r="AC664" s="15">
        <f>IF($B664="","",IF($AB664&lt;&gt;"",$AB664,IF($AA664="","",IF($AA664&lt;=設定!$C$3,0,$AA664))))</f>
        <v/>
      </c>
      <c r="AD664" s="14">
        <f>IF($B664="","",IF(AND($AE664&lt;&gt;"",$AG664="",$AJ664=""),"保留中",IF($AJ664&lt;&gt;"",IF(N($AC664)&gt;0,"支給済","不支給"),IF($AC664="","要確認",IF($AC664=0,"不支給","未処理")))))</f>
        <v/>
      </c>
      <c r="AE664" s="12" t="n"/>
      <c r="AF664" s="11" t="n"/>
      <c r="AG664" s="11" t="n"/>
      <c r="AH664" s="11" t="n"/>
      <c r="AI664" s="14">
        <f>IF(AND($AD664="保留中",$AF664&lt;&gt;""),TODAY()-$AF664,"")</f>
        <v/>
      </c>
      <c r="AJ664" s="12" t="n"/>
      <c r="AK664" s="14">
        <f>IF($B664="","",IF($AO664="","対象年月が未入力／","")&amp;IF($B664="","",IF($AN664="","職員マスタに未登録の職員番号／",IF($Y664="","標準報酬月額が未登録／","")&amp;IF(AND($AO664&lt;&gt;"",OR(AND(INDEX(職員マスタ!$G$6:$G$405,$AN664)&lt;&gt;"",INDEX(職員マスタ!$G$6:$G$405,$AN664)&gt;EOMONTH($AO664,0)),AND(INDEX(職員マスタ!$H$6:$H$405,$AN664)&lt;&gt;"",INDEX(職員マスタ!$H$6:$H$405,$AN664)&lt;$AO664))),"対象月が時短期間外／","")&amp;IF(AND(INDEX(職員マスタ!$F$6:$F$405,$AN664)&lt;&gt;"",$AO664&lt;&gt;"",INDEX(職員マスタ!$F$6:$F$405,$AN664)&lt;$AO664),"対象月に子が2歳到達済／","")&amp;IF(AND($H664&lt;&gt;"",INDEX(職員マスタ!$B$6:$B$405,$AN664)&lt;&gt;"",SUBSTITUTE(SUBSTITUTE($H664," ","")," ","")&lt;&gt;SUBSTITUTE(SUBSTITUTE(INDEX(職員マスタ!$B$6:$B$405,$AN664)," ","")," ","")),"氏名がマスタと相違／","")&amp;IF(AND($Q664&lt;&gt;"",INDEX(職員マスタ!$E$6:$E$405,$AN664)&lt;&gt;"",$Q664&lt;&gt;INDEX(職員マスタ!$E$6:$E$405,$AN664)),"子の生年月日がマスタと相違／","")&amp;IF(AND($L664&lt;&gt;"",INDEX(職員マスタ!$G$6:$G$405,$AN664)&lt;&gt;"",$L664&lt;&gt;INDEX(職員マスタ!$G$6:$G$405,$AN664)),"時短開始日がマスタと相違／","")&amp;IF(AND($M664&lt;&gt;"",INDEX(職員マスタ!$H$6:$H$405,$AN664)&lt;&gt;"",$M664&lt;&gt;INDEX(職員マスタ!$H$6:$H$405,$AN664)),"時短終了日がマスタと相違／","")))&amp;IF(AND($B664&lt;&gt;"",$E664=""),"報酬額が未入力／","")&amp;IF(N($U664)&gt;0,"申請書に入力エラーが残っています／","")&amp;IF(AND($B664&lt;&gt;"",$AO664&lt;&gt;""),IF(COUNTIFS($B$6:$B$3005,$B664,$C$6:$C$3005,$C664,$D$6:$D$3005,$D664)&gt;1,"同じ月の請求が重複しています／",""),"")&amp;IF(AND(N($E664)&gt;0,$Z664&lt;&gt;"",$Z664&lt;&gt;"×",$AC664=0,$AB664=""),"計算額が下限以下のため不支給／",""))</f>
        <v/>
      </c>
      <c r="AL664" s="12" t="n"/>
      <c r="AM664" s="14">
        <f>IF($AD664="保留中",COUNTIF($AD$6:$AD664,"保留中"),"")</f>
        <v/>
      </c>
      <c r="AN664" s="14">
        <f>IF($AO664="","",IF(SUMPRODUCT(MAX((職員マスタ!$A$6:$A$405=$B664)*(((職員マスタ!$G$6:$G$405="")+(職員マスタ!$G$6:$G$405&lt;=EOMONTH($AO664,0)))&gt;0)*(((職員マスタ!$H$6:$H$405="")+(職員マスタ!$H$6:$H$405&gt;=$AO664))&gt;0)*(ROW(職員マスタ!$A$6:$A$405)-5)))&gt;0,SUMPRODUCT(MAX((職員マスタ!$A$6:$A$405=$B664)*(((職員マスタ!$G$6:$G$405="")+(職員マスタ!$G$6:$G$405&lt;=EOMONTH($AO664,0)))&gt;0)*(((職員マスタ!$H$6:$H$405="")+(職員マスタ!$H$6:$H$405&gt;=$AO664))&gt;0)*(ROW(職員マスタ!$A$6:$A$405)-5))),IFERROR(MATCH($B664,職員マスタ!$A$6:$A$405,0),"")))</f>
        <v/>
      </c>
      <c r="AO664" s="16">
        <f>IF(OR($B664="",$C664="",$D664=""),"",DATE($C664+2018,$D664,1))</f>
        <v/>
      </c>
    </row>
    <row r="665">
      <c r="A665" s="11" t="n"/>
      <c r="B665" s="12" t="n"/>
      <c r="C665" s="12" t="n"/>
      <c r="D665" s="12" t="n"/>
      <c r="E665" s="13" t="n"/>
      <c r="F665" s="12" t="n"/>
      <c r="G665" s="13" t="n"/>
      <c r="H665" s="12" t="n"/>
      <c r="I665" s="12" t="n"/>
      <c r="J665" s="12" t="n"/>
      <c r="K665" s="12" t="n"/>
      <c r="L665" s="11" t="n"/>
      <c r="M665" s="11" t="n"/>
      <c r="N665" s="11" t="n"/>
      <c r="O665" s="11" t="n"/>
      <c r="P665" s="12" t="n"/>
      <c r="Q665" s="11" t="n"/>
      <c r="R665" s="12" t="n"/>
      <c r="S665" s="11" t="n"/>
      <c r="T665" s="12" t="n"/>
      <c r="U665" s="12" t="n"/>
      <c r="V665" s="14">
        <f>IF($AN665="",IF($B665="","",$H665),IF(INDEX(職員マスタ!$B$6:$B$405,$AN665)="",$H665,INDEX(職員マスタ!$B$6:$B$405,$AN665)))</f>
        <v/>
      </c>
      <c r="W665" s="14">
        <f>IF($AN665="",IF($B665="","",$R665),IF(INDEX(職員マスタ!$C$6:$C$405,$AN665)="",$R665,INDEX(職員マスタ!$C$6:$C$405,$AN665)))</f>
        <v/>
      </c>
      <c r="X665" s="14">
        <f>IF($AO665="","","R"&amp;$C665&amp;"."&amp;$D665)</f>
        <v/>
      </c>
      <c r="Y665" s="15">
        <f>IF($AN665="","",IF(INDEX(職員マスタ!$K$6:$K$405,$AN665)="","",INDEX(職員マスタ!$K$6:$K$405,$AN665)))</f>
        <v/>
      </c>
      <c r="Z665" s="14">
        <f>IF(OR($E665="",$Y665=""),"",IF($E665&gt;=$Y665,"×",IF($E665&gt;=$Y665*設定!$C$5,"△","○")))</f>
        <v/>
      </c>
      <c r="AA665" s="15">
        <f>IF($Z665="","",IF($Z665="×",0,IF($Z665="○",ROUNDDOWN($E665*設定!$C$4,0),ROUNDDOWN($E665*ROUND((9*$Y665-9*$E665)/(10*$E665),4),0))))</f>
        <v/>
      </c>
      <c r="AB665" s="13" t="n"/>
      <c r="AC665" s="15">
        <f>IF($B665="","",IF($AB665&lt;&gt;"",$AB665,IF($AA665="","",IF($AA665&lt;=設定!$C$3,0,$AA665))))</f>
        <v/>
      </c>
      <c r="AD665" s="14">
        <f>IF($B665="","",IF(AND($AE665&lt;&gt;"",$AG665="",$AJ665=""),"保留中",IF($AJ665&lt;&gt;"",IF(N($AC665)&gt;0,"支給済","不支給"),IF($AC665="","要確認",IF($AC665=0,"不支給","未処理")))))</f>
        <v/>
      </c>
      <c r="AE665" s="12" t="n"/>
      <c r="AF665" s="11" t="n"/>
      <c r="AG665" s="11" t="n"/>
      <c r="AH665" s="11" t="n"/>
      <c r="AI665" s="14">
        <f>IF(AND($AD665="保留中",$AF665&lt;&gt;""),TODAY()-$AF665,"")</f>
        <v/>
      </c>
      <c r="AJ665" s="12" t="n"/>
      <c r="AK665" s="14">
        <f>IF($B665="","",IF($AO665="","対象年月が未入力／","")&amp;IF($B665="","",IF($AN665="","職員マスタに未登録の職員番号／",IF($Y665="","標準報酬月額が未登録／","")&amp;IF(AND($AO665&lt;&gt;"",OR(AND(INDEX(職員マスタ!$G$6:$G$405,$AN665)&lt;&gt;"",INDEX(職員マスタ!$G$6:$G$405,$AN665)&gt;EOMONTH($AO665,0)),AND(INDEX(職員マスタ!$H$6:$H$405,$AN665)&lt;&gt;"",INDEX(職員マスタ!$H$6:$H$405,$AN665)&lt;$AO665))),"対象月が時短期間外／","")&amp;IF(AND(INDEX(職員マスタ!$F$6:$F$405,$AN665)&lt;&gt;"",$AO665&lt;&gt;"",INDEX(職員マスタ!$F$6:$F$405,$AN665)&lt;$AO665),"対象月に子が2歳到達済／","")&amp;IF(AND($H665&lt;&gt;"",INDEX(職員マスタ!$B$6:$B$405,$AN665)&lt;&gt;"",SUBSTITUTE(SUBSTITUTE($H665," ","")," ","")&lt;&gt;SUBSTITUTE(SUBSTITUTE(INDEX(職員マスタ!$B$6:$B$405,$AN665)," ","")," ","")),"氏名がマスタと相違／","")&amp;IF(AND($Q665&lt;&gt;"",INDEX(職員マスタ!$E$6:$E$405,$AN665)&lt;&gt;"",$Q665&lt;&gt;INDEX(職員マスタ!$E$6:$E$405,$AN665)),"子の生年月日がマスタと相違／","")&amp;IF(AND($L665&lt;&gt;"",INDEX(職員マスタ!$G$6:$G$405,$AN665)&lt;&gt;"",$L665&lt;&gt;INDEX(職員マスタ!$G$6:$G$405,$AN665)),"時短開始日がマスタと相違／","")&amp;IF(AND($M665&lt;&gt;"",INDEX(職員マスタ!$H$6:$H$405,$AN665)&lt;&gt;"",$M665&lt;&gt;INDEX(職員マスタ!$H$6:$H$405,$AN665)),"時短終了日がマスタと相違／","")))&amp;IF(AND($B665&lt;&gt;"",$E665=""),"報酬額が未入力／","")&amp;IF(N($U665)&gt;0,"申請書に入力エラーが残っています／","")&amp;IF(AND($B665&lt;&gt;"",$AO665&lt;&gt;""),IF(COUNTIFS($B$6:$B$3005,$B665,$C$6:$C$3005,$C665,$D$6:$D$3005,$D665)&gt;1,"同じ月の請求が重複しています／",""),"")&amp;IF(AND(N($E665)&gt;0,$Z665&lt;&gt;"",$Z665&lt;&gt;"×",$AC665=0,$AB665=""),"計算額が下限以下のため不支給／",""))</f>
        <v/>
      </c>
      <c r="AL665" s="12" t="n"/>
      <c r="AM665" s="14">
        <f>IF($AD665="保留中",COUNTIF($AD$6:$AD665,"保留中"),"")</f>
        <v/>
      </c>
      <c r="AN665" s="14">
        <f>IF($AO665="","",IF(SUMPRODUCT(MAX((職員マスタ!$A$6:$A$405=$B665)*(((職員マスタ!$G$6:$G$405="")+(職員マスタ!$G$6:$G$405&lt;=EOMONTH($AO665,0)))&gt;0)*(((職員マスタ!$H$6:$H$405="")+(職員マスタ!$H$6:$H$405&gt;=$AO665))&gt;0)*(ROW(職員マスタ!$A$6:$A$405)-5)))&gt;0,SUMPRODUCT(MAX((職員マスタ!$A$6:$A$405=$B665)*(((職員マスタ!$G$6:$G$405="")+(職員マスタ!$G$6:$G$405&lt;=EOMONTH($AO665,0)))&gt;0)*(((職員マスタ!$H$6:$H$405="")+(職員マスタ!$H$6:$H$405&gt;=$AO665))&gt;0)*(ROW(職員マスタ!$A$6:$A$405)-5))),IFERROR(MATCH($B665,職員マスタ!$A$6:$A$405,0),"")))</f>
        <v/>
      </c>
      <c r="AO665" s="16">
        <f>IF(OR($B665="",$C665="",$D665=""),"",DATE($C665+2018,$D665,1))</f>
        <v/>
      </c>
    </row>
    <row r="666">
      <c r="A666" s="11" t="n"/>
      <c r="B666" s="12" t="n"/>
      <c r="C666" s="12" t="n"/>
      <c r="D666" s="12" t="n"/>
      <c r="E666" s="13" t="n"/>
      <c r="F666" s="12" t="n"/>
      <c r="G666" s="13" t="n"/>
      <c r="H666" s="12" t="n"/>
      <c r="I666" s="12" t="n"/>
      <c r="J666" s="12" t="n"/>
      <c r="K666" s="12" t="n"/>
      <c r="L666" s="11" t="n"/>
      <c r="M666" s="11" t="n"/>
      <c r="N666" s="11" t="n"/>
      <c r="O666" s="11" t="n"/>
      <c r="P666" s="12" t="n"/>
      <c r="Q666" s="11" t="n"/>
      <c r="R666" s="12" t="n"/>
      <c r="S666" s="11" t="n"/>
      <c r="T666" s="12" t="n"/>
      <c r="U666" s="12" t="n"/>
      <c r="V666" s="14">
        <f>IF($AN666="",IF($B666="","",$H666),IF(INDEX(職員マスタ!$B$6:$B$405,$AN666)="",$H666,INDEX(職員マスタ!$B$6:$B$405,$AN666)))</f>
        <v/>
      </c>
      <c r="W666" s="14">
        <f>IF($AN666="",IF($B666="","",$R666),IF(INDEX(職員マスタ!$C$6:$C$405,$AN666)="",$R666,INDEX(職員マスタ!$C$6:$C$405,$AN666)))</f>
        <v/>
      </c>
      <c r="X666" s="14">
        <f>IF($AO666="","","R"&amp;$C666&amp;"."&amp;$D666)</f>
        <v/>
      </c>
      <c r="Y666" s="15">
        <f>IF($AN666="","",IF(INDEX(職員マスタ!$K$6:$K$405,$AN666)="","",INDEX(職員マスタ!$K$6:$K$405,$AN666)))</f>
        <v/>
      </c>
      <c r="Z666" s="14">
        <f>IF(OR($E666="",$Y666=""),"",IF($E666&gt;=$Y666,"×",IF($E666&gt;=$Y666*設定!$C$5,"△","○")))</f>
        <v/>
      </c>
      <c r="AA666" s="15">
        <f>IF($Z666="","",IF($Z666="×",0,IF($Z666="○",ROUNDDOWN($E666*設定!$C$4,0),ROUNDDOWN($E666*ROUND((9*$Y666-9*$E666)/(10*$E666),4),0))))</f>
        <v/>
      </c>
      <c r="AB666" s="13" t="n"/>
      <c r="AC666" s="15">
        <f>IF($B666="","",IF($AB666&lt;&gt;"",$AB666,IF($AA666="","",IF($AA666&lt;=設定!$C$3,0,$AA666))))</f>
        <v/>
      </c>
      <c r="AD666" s="14">
        <f>IF($B666="","",IF(AND($AE666&lt;&gt;"",$AG666="",$AJ666=""),"保留中",IF($AJ666&lt;&gt;"",IF(N($AC666)&gt;0,"支給済","不支給"),IF($AC666="","要確認",IF($AC666=0,"不支給","未処理")))))</f>
        <v/>
      </c>
      <c r="AE666" s="12" t="n"/>
      <c r="AF666" s="11" t="n"/>
      <c r="AG666" s="11" t="n"/>
      <c r="AH666" s="11" t="n"/>
      <c r="AI666" s="14">
        <f>IF(AND($AD666="保留中",$AF666&lt;&gt;""),TODAY()-$AF666,"")</f>
        <v/>
      </c>
      <c r="AJ666" s="12" t="n"/>
      <c r="AK666" s="14">
        <f>IF($B666="","",IF($AO666="","対象年月が未入力／","")&amp;IF($B666="","",IF($AN666="","職員マスタに未登録の職員番号／",IF($Y666="","標準報酬月額が未登録／","")&amp;IF(AND($AO666&lt;&gt;"",OR(AND(INDEX(職員マスタ!$G$6:$G$405,$AN666)&lt;&gt;"",INDEX(職員マスタ!$G$6:$G$405,$AN666)&gt;EOMONTH($AO666,0)),AND(INDEX(職員マスタ!$H$6:$H$405,$AN666)&lt;&gt;"",INDEX(職員マスタ!$H$6:$H$405,$AN666)&lt;$AO666))),"対象月が時短期間外／","")&amp;IF(AND(INDEX(職員マスタ!$F$6:$F$405,$AN666)&lt;&gt;"",$AO666&lt;&gt;"",INDEX(職員マスタ!$F$6:$F$405,$AN666)&lt;$AO666),"対象月に子が2歳到達済／","")&amp;IF(AND($H666&lt;&gt;"",INDEX(職員マスタ!$B$6:$B$405,$AN666)&lt;&gt;"",SUBSTITUTE(SUBSTITUTE($H666," ","")," ","")&lt;&gt;SUBSTITUTE(SUBSTITUTE(INDEX(職員マスタ!$B$6:$B$405,$AN666)," ","")," ","")),"氏名がマスタと相違／","")&amp;IF(AND($Q666&lt;&gt;"",INDEX(職員マスタ!$E$6:$E$405,$AN666)&lt;&gt;"",$Q666&lt;&gt;INDEX(職員マスタ!$E$6:$E$405,$AN666)),"子の生年月日がマスタと相違／","")&amp;IF(AND($L666&lt;&gt;"",INDEX(職員マスタ!$G$6:$G$405,$AN666)&lt;&gt;"",$L666&lt;&gt;INDEX(職員マスタ!$G$6:$G$405,$AN666)),"時短開始日がマスタと相違／","")&amp;IF(AND($M666&lt;&gt;"",INDEX(職員マスタ!$H$6:$H$405,$AN666)&lt;&gt;"",$M666&lt;&gt;INDEX(職員マスタ!$H$6:$H$405,$AN666)),"時短終了日がマスタと相違／","")))&amp;IF(AND($B666&lt;&gt;"",$E666=""),"報酬額が未入力／","")&amp;IF(N($U666)&gt;0,"申請書に入力エラーが残っています／","")&amp;IF(AND($B666&lt;&gt;"",$AO666&lt;&gt;""),IF(COUNTIFS($B$6:$B$3005,$B666,$C$6:$C$3005,$C666,$D$6:$D$3005,$D666)&gt;1,"同じ月の請求が重複しています／",""),"")&amp;IF(AND(N($E666)&gt;0,$Z666&lt;&gt;"",$Z666&lt;&gt;"×",$AC666=0,$AB666=""),"計算額が下限以下のため不支給／",""))</f>
        <v/>
      </c>
      <c r="AL666" s="12" t="n"/>
      <c r="AM666" s="14">
        <f>IF($AD666="保留中",COUNTIF($AD$6:$AD666,"保留中"),"")</f>
        <v/>
      </c>
      <c r="AN666" s="14">
        <f>IF($AO666="","",IF(SUMPRODUCT(MAX((職員マスタ!$A$6:$A$405=$B666)*(((職員マスタ!$G$6:$G$405="")+(職員マスタ!$G$6:$G$405&lt;=EOMONTH($AO666,0)))&gt;0)*(((職員マスタ!$H$6:$H$405="")+(職員マスタ!$H$6:$H$405&gt;=$AO666))&gt;0)*(ROW(職員マスタ!$A$6:$A$405)-5)))&gt;0,SUMPRODUCT(MAX((職員マスタ!$A$6:$A$405=$B666)*(((職員マスタ!$G$6:$G$405="")+(職員マスタ!$G$6:$G$405&lt;=EOMONTH($AO666,0)))&gt;0)*(((職員マスタ!$H$6:$H$405="")+(職員マスタ!$H$6:$H$405&gt;=$AO666))&gt;0)*(ROW(職員マスタ!$A$6:$A$405)-5))),IFERROR(MATCH($B666,職員マスタ!$A$6:$A$405,0),"")))</f>
        <v/>
      </c>
      <c r="AO666" s="16">
        <f>IF(OR($B666="",$C666="",$D666=""),"",DATE($C666+2018,$D666,1))</f>
        <v/>
      </c>
    </row>
    <row r="667">
      <c r="A667" s="11" t="n"/>
      <c r="B667" s="12" t="n"/>
      <c r="C667" s="12" t="n"/>
      <c r="D667" s="12" t="n"/>
      <c r="E667" s="13" t="n"/>
      <c r="F667" s="12" t="n"/>
      <c r="G667" s="13" t="n"/>
      <c r="H667" s="12" t="n"/>
      <c r="I667" s="12" t="n"/>
      <c r="J667" s="12" t="n"/>
      <c r="K667" s="12" t="n"/>
      <c r="L667" s="11" t="n"/>
      <c r="M667" s="11" t="n"/>
      <c r="N667" s="11" t="n"/>
      <c r="O667" s="11" t="n"/>
      <c r="P667" s="12" t="n"/>
      <c r="Q667" s="11" t="n"/>
      <c r="R667" s="12" t="n"/>
      <c r="S667" s="11" t="n"/>
      <c r="T667" s="12" t="n"/>
      <c r="U667" s="12" t="n"/>
      <c r="V667" s="14">
        <f>IF($AN667="",IF($B667="","",$H667),IF(INDEX(職員マスタ!$B$6:$B$405,$AN667)="",$H667,INDEX(職員マスタ!$B$6:$B$405,$AN667)))</f>
        <v/>
      </c>
      <c r="W667" s="14">
        <f>IF($AN667="",IF($B667="","",$R667),IF(INDEX(職員マスタ!$C$6:$C$405,$AN667)="",$R667,INDEX(職員マスタ!$C$6:$C$405,$AN667)))</f>
        <v/>
      </c>
      <c r="X667" s="14">
        <f>IF($AO667="","","R"&amp;$C667&amp;"."&amp;$D667)</f>
        <v/>
      </c>
      <c r="Y667" s="15">
        <f>IF($AN667="","",IF(INDEX(職員マスタ!$K$6:$K$405,$AN667)="","",INDEX(職員マスタ!$K$6:$K$405,$AN667)))</f>
        <v/>
      </c>
      <c r="Z667" s="14">
        <f>IF(OR($E667="",$Y667=""),"",IF($E667&gt;=$Y667,"×",IF($E667&gt;=$Y667*設定!$C$5,"△","○")))</f>
        <v/>
      </c>
      <c r="AA667" s="15">
        <f>IF($Z667="","",IF($Z667="×",0,IF($Z667="○",ROUNDDOWN($E667*設定!$C$4,0),ROUNDDOWN($E667*ROUND((9*$Y667-9*$E667)/(10*$E667),4),0))))</f>
        <v/>
      </c>
      <c r="AB667" s="13" t="n"/>
      <c r="AC667" s="15">
        <f>IF($B667="","",IF($AB667&lt;&gt;"",$AB667,IF($AA667="","",IF($AA667&lt;=設定!$C$3,0,$AA667))))</f>
        <v/>
      </c>
      <c r="AD667" s="14">
        <f>IF($B667="","",IF(AND($AE667&lt;&gt;"",$AG667="",$AJ667=""),"保留中",IF($AJ667&lt;&gt;"",IF(N($AC667)&gt;0,"支給済","不支給"),IF($AC667="","要確認",IF($AC667=0,"不支給","未処理")))))</f>
        <v/>
      </c>
      <c r="AE667" s="12" t="n"/>
      <c r="AF667" s="11" t="n"/>
      <c r="AG667" s="11" t="n"/>
      <c r="AH667" s="11" t="n"/>
      <c r="AI667" s="14">
        <f>IF(AND($AD667="保留中",$AF667&lt;&gt;""),TODAY()-$AF667,"")</f>
        <v/>
      </c>
      <c r="AJ667" s="12" t="n"/>
      <c r="AK667" s="14">
        <f>IF($B667="","",IF($AO667="","対象年月が未入力／","")&amp;IF($B667="","",IF($AN667="","職員マスタに未登録の職員番号／",IF($Y667="","標準報酬月額が未登録／","")&amp;IF(AND($AO667&lt;&gt;"",OR(AND(INDEX(職員マスタ!$G$6:$G$405,$AN667)&lt;&gt;"",INDEX(職員マスタ!$G$6:$G$405,$AN667)&gt;EOMONTH($AO667,0)),AND(INDEX(職員マスタ!$H$6:$H$405,$AN667)&lt;&gt;"",INDEX(職員マスタ!$H$6:$H$405,$AN667)&lt;$AO667))),"対象月が時短期間外／","")&amp;IF(AND(INDEX(職員マスタ!$F$6:$F$405,$AN667)&lt;&gt;"",$AO667&lt;&gt;"",INDEX(職員マスタ!$F$6:$F$405,$AN667)&lt;$AO667),"対象月に子が2歳到達済／","")&amp;IF(AND($H667&lt;&gt;"",INDEX(職員マスタ!$B$6:$B$405,$AN667)&lt;&gt;"",SUBSTITUTE(SUBSTITUTE($H667," ","")," ","")&lt;&gt;SUBSTITUTE(SUBSTITUTE(INDEX(職員マスタ!$B$6:$B$405,$AN667)," ","")," ","")),"氏名がマスタと相違／","")&amp;IF(AND($Q667&lt;&gt;"",INDEX(職員マスタ!$E$6:$E$405,$AN667)&lt;&gt;"",$Q667&lt;&gt;INDEX(職員マスタ!$E$6:$E$405,$AN667)),"子の生年月日がマスタと相違／","")&amp;IF(AND($L667&lt;&gt;"",INDEX(職員マスタ!$G$6:$G$405,$AN667)&lt;&gt;"",$L667&lt;&gt;INDEX(職員マスタ!$G$6:$G$405,$AN667)),"時短開始日がマスタと相違／","")&amp;IF(AND($M667&lt;&gt;"",INDEX(職員マスタ!$H$6:$H$405,$AN667)&lt;&gt;"",$M667&lt;&gt;INDEX(職員マスタ!$H$6:$H$405,$AN667)),"時短終了日がマスタと相違／","")))&amp;IF(AND($B667&lt;&gt;"",$E667=""),"報酬額が未入力／","")&amp;IF(N($U667)&gt;0,"申請書に入力エラーが残っています／","")&amp;IF(AND($B667&lt;&gt;"",$AO667&lt;&gt;""),IF(COUNTIFS($B$6:$B$3005,$B667,$C$6:$C$3005,$C667,$D$6:$D$3005,$D667)&gt;1,"同じ月の請求が重複しています／",""),"")&amp;IF(AND(N($E667)&gt;0,$Z667&lt;&gt;"",$Z667&lt;&gt;"×",$AC667=0,$AB667=""),"計算額が下限以下のため不支給／",""))</f>
        <v/>
      </c>
      <c r="AL667" s="12" t="n"/>
      <c r="AM667" s="14">
        <f>IF($AD667="保留中",COUNTIF($AD$6:$AD667,"保留中"),"")</f>
        <v/>
      </c>
      <c r="AN667" s="14">
        <f>IF($AO667="","",IF(SUMPRODUCT(MAX((職員マスタ!$A$6:$A$405=$B667)*(((職員マスタ!$G$6:$G$405="")+(職員マスタ!$G$6:$G$405&lt;=EOMONTH($AO667,0)))&gt;0)*(((職員マスタ!$H$6:$H$405="")+(職員マスタ!$H$6:$H$405&gt;=$AO667))&gt;0)*(ROW(職員マスタ!$A$6:$A$405)-5)))&gt;0,SUMPRODUCT(MAX((職員マスタ!$A$6:$A$405=$B667)*(((職員マスタ!$G$6:$G$405="")+(職員マスタ!$G$6:$G$405&lt;=EOMONTH($AO667,0)))&gt;0)*(((職員マスタ!$H$6:$H$405="")+(職員マスタ!$H$6:$H$405&gt;=$AO667))&gt;0)*(ROW(職員マスタ!$A$6:$A$405)-5))),IFERROR(MATCH($B667,職員マスタ!$A$6:$A$405,0),"")))</f>
        <v/>
      </c>
      <c r="AO667" s="16">
        <f>IF(OR($B667="",$C667="",$D667=""),"",DATE($C667+2018,$D667,1))</f>
        <v/>
      </c>
    </row>
    <row r="668">
      <c r="A668" s="11" t="n"/>
      <c r="B668" s="12" t="n"/>
      <c r="C668" s="12" t="n"/>
      <c r="D668" s="12" t="n"/>
      <c r="E668" s="13" t="n"/>
      <c r="F668" s="12" t="n"/>
      <c r="G668" s="13" t="n"/>
      <c r="H668" s="12" t="n"/>
      <c r="I668" s="12" t="n"/>
      <c r="J668" s="12" t="n"/>
      <c r="K668" s="12" t="n"/>
      <c r="L668" s="11" t="n"/>
      <c r="M668" s="11" t="n"/>
      <c r="N668" s="11" t="n"/>
      <c r="O668" s="11" t="n"/>
      <c r="P668" s="12" t="n"/>
      <c r="Q668" s="11" t="n"/>
      <c r="R668" s="12" t="n"/>
      <c r="S668" s="11" t="n"/>
      <c r="T668" s="12" t="n"/>
      <c r="U668" s="12" t="n"/>
      <c r="V668" s="14">
        <f>IF($AN668="",IF($B668="","",$H668),IF(INDEX(職員マスタ!$B$6:$B$405,$AN668)="",$H668,INDEX(職員マスタ!$B$6:$B$405,$AN668)))</f>
        <v/>
      </c>
      <c r="W668" s="14">
        <f>IF($AN668="",IF($B668="","",$R668),IF(INDEX(職員マスタ!$C$6:$C$405,$AN668)="",$R668,INDEX(職員マスタ!$C$6:$C$405,$AN668)))</f>
        <v/>
      </c>
      <c r="X668" s="14">
        <f>IF($AO668="","","R"&amp;$C668&amp;"."&amp;$D668)</f>
        <v/>
      </c>
      <c r="Y668" s="15">
        <f>IF($AN668="","",IF(INDEX(職員マスタ!$K$6:$K$405,$AN668)="","",INDEX(職員マスタ!$K$6:$K$405,$AN668)))</f>
        <v/>
      </c>
      <c r="Z668" s="14">
        <f>IF(OR($E668="",$Y668=""),"",IF($E668&gt;=$Y668,"×",IF($E668&gt;=$Y668*設定!$C$5,"△","○")))</f>
        <v/>
      </c>
      <c r="AA668" s="15">
        <f>IF($Z668="","",IF($Z668="×",0,IF($Z668="○",ROUNDDOWN($E668*設定!$C$4,0),ROUNDDOWN($E668*ROUND((9*$Y668-9*$E668)/(10*$E668),4),0))))</f>
        <v/>
      </c>
      <c r="AB668" s="13" t="n"/>
      <c r="AC668" s="15">
        <f>IF($B668="","",IF($AB668&lt;&gt;"",$AB668,IF($AA668="","",IF($AA668&lt;=設定!$C$3,0,$AA668))))</f>
        <v/>
      </c>
      <c r="AD668" s="14">
        <f>IF($B668="","",IF(AND($AE668&lt;&gt;"",$AG668="",$AJ668=""),"保留中",IF($AJ668&lt;&gt;"",IF(N($AC668)&gt;0,"支給済","不支給"),IF($AC668="","要確認",IF($AC668=0,"不支給","未処理")))))</f>
        <v/>
      </c>
      <c r="AE668" s="12" t="n"/>
      <c r="AF668" s="11" t="n"/>
      <c r="AG668" s="11" t="n"/>
      <c r="AH668" s="11" t="n"/>
      <c r="AI668" s="14">
        <f>IF(AND($AD668="保留中",$AF668&lt;&gt;""),TODAY()-$AF668,"")</f>
        <v/>
      </c>
      <c r="AJ668" s="12" t="n"/>
      <c r="AK668" s="14">
        <f>IF($B668="","",IF($AO668="","対象年月が未入力／","")&amp;IF($B668="","",IF($AN668="","職員マスタに未登録の職員番号／",IF($Y668="","標準報酬月額が未登録／","")&amp;IF(AND($AO668&lt;&gt;"",OR(AND(INDEX(職員マスタ!$G$6:$G$405,$AN668)&lt;&gt;"",INDEX(職員マスタ!$G$6:$G$405,$AN668)&gt;EOMONTH($AO668,0)),AND(INDEX(職員マスタ!$H$6:$H$405,$AN668)&lt;&gt;"",INDEX(職員マスタ!$H$6:$H$405,$AN668)&lt;$AO668))),"対象月が時短期間外／","")&amp;IF(AND(INDEX(職員マスタ!$F$6:$F$405,$AN668)&lt;&gt;"",$AO668&lt;&gt;"",INDEX(職員マスタ!$F$6:$F$405,$AN668)&lt;$AO668),"対象月に子が2歳到達済／","")&amp;IF(AND($H668&lt;&gt;"",INDEX(職員マスタ!$B$6:$B$405,$AN668)&lt;&gt;"",SUBSTITUTE(SUBSTITUTE($H668," ","")," ","")&lt;&gt;SUBSTITUTE(SUBSTITUTE(INDEX(職員マスタ!$B$6:$B$405,$AN668)," ","")," ","")),"氏名がマスタと相違／","")&amp;IF(AND($Q668&lt;&gt;"",INDEX(職員マスタ!$E$6:$E$405,$AN668)&lt;&gt;"",$Q668&lt;&gt;INDEX(職員マスタ!$E$6:$E$405,$AN668)),"子の生年月日がマスタと相違／","")&amp;IF(AND($L668&lt;&gt;"",INDEX(職員マスタ!$G$6:$G$405,$AN668)&lt;&gt;"",$L668&lt;&gt;INDEX(職員マスタ!$G$6:$G$405,$AN668)),"時短開始日がマスタと相違／","")&amp;IF(AND($M668&lt;&gt;"",INDEX(職員マスタ!$H$6:$H$405,$AN668)&lt;&gt;"",$M668&lt;&gt;INDEX(職員マスタ!$H$6:$H$405,$AN668)),"時短終了日がマスタと相違／","")))&amp;IF(AND($B668&lt;&gt;"",$E668=""),"報酬額が未入力／","")&amp;IF(N($U668)&gt;0,"申請書に入力エラーが残っています／","")&amp;IF(AND($B668&lt;&gt;"",$AO668&lt;&gt;""),IF(COUNTIFS($B$6:$B$3005,$B668,$C$6:$C$3005,$C668,$D$6:$D$3005,$D668)&gt;1,"同じ月の請求が重複しています／",""),"")&amp;IF(AND(N($E668)&gt;0,$Z668&lt;&gt;"",$Z668&lt;&gt;"×",$AC668=0,$AB668=""),"計算額が下限以下のため不支給／",""))</f>
        <v/>
      </c>
      <c r="AL668" s="12" t="n"/>
      <c r="AM668" s="14">
        <f>IF($AD668="保留中",COUNTIF($AD$6:$AD668,"保留中"),"")</f>
        <v/>
      </c>
      <c r="AN668" s="14">
        <f>IF($AO668="","",IF(SUMPRODUCT(MAX((職員マスタ!$A$6:$A$405=$B668)*(((職員マスタ!$G$6:$G$405="")+(職員マスタ!$G$6:$G$405&lt;=EOMONTH($AO668,0)))&gt;0)*(((職員マスタ!$H$6:$H$405="")+(職員マスタ!$H$6:$H$405&gt;=$AO668))&gt;0)*(ROW(職員マスタ!$A$6:$A$405)-5)))&gt;0,SUMPRODUCT(MAX((職員マスタ!$A$6:$A$405=$B668)*(((職員マスタ!$G$6:$G$405="")+(職員マスタ!$G$6:$G$405&lt;=EOMONTH($AO668,0)))&gt;0)*(((職員マスタ!$H$6:$H$405="")+(職員マスタ!$H$6:$H$405&gt;=$AO668))&gt;0)*(ROW(職員マスタ!$A$6:$A$405)-5))),IFERROR(MATCH($B668,職員マスタ!$A$6:$A$405,0),"")))</f>
        <v/>
      </c>
      <c r="AO668" s="16">
        <f>IF(OR($B668="",$C668="",$D668=""),"",DATE($C668+2018,$D668,1))</f>
        <v/>
      </c>
    </row>
    <row r="669">
      <c r="A669" s="11" t="n"/>
      <c r="B669" s="12" t="n"/>
      <c r="C669" s="12" t="n"/>
      <c r="D669" s="12" t="n"/>
      <c r="E669" s="13" t="n"/>
      <c r="F669" s="12" t="n"/>
      <c r="G669" s="13" t="n"/>
      <c r="H669" s="12" t="n"/>
      <c r="I669" s="12" t="n"/>
      <c r="J669" s="12" t="n"/>
      <c r="K669" s="12" t="n"/>
      <c r="L669" s="11" t="n"/>
      <c r="M669" s="11" t="n"/>
      <c r="N669" s="11" t="n"/>
      <c r="O669" s="11" t="n"/>
      <c r="P669" s="12" t="n"/>
      <c r="Q669" s="11" t="n"/>
      <c r="R669" s="12" t="n"/>
      <c r="S669" s="11" t="n"/>
      <c r="T669" s="12" t="n"/>
      <c r="U669" s="12" t="n"/>
      <c r="V669" s="14">
        <f>IF($AN669="",IF($B669="","",$H669),IF(INDEX(職員マスタ!$B$6:$B$405,$AN669)="",$H669,INDEX(職員マスタ!$B$6:$B$405,$AN669)))</f>
        <v/>
      </c>
      <c r="W669" s="14">
        <f>IF($AN669="",IF($B669="","",$R669),IF(INDEX(職員マスタ!$C$6:$C$405,$AN669)="",$R669,INDEX(職員マスタ!$C$6:$C$405,$AN669)))</f>
        <v/>
      </c>
      <c r="X669" s="14">
        <f>IF($AO669="","","R"&amp;$C669&amp;"."&amp;$D669)</f>
        <v/>
      </c>
      <c r="Y669" s="15">
        <f>IF($AN669="","",IF(INDEX(職員マスタ!$K$6:$K$405,$AN669)="","",INDEX(職員マスタ!$K$6:$K$405,$AN669)))</f>
        <v/>
      </c>
      <c r="Z669" s="14">
        <f>IF(OR($E669="",$Y669=""),"",IF($E669&gt;=$Y669,"×",IF($E669&gt;=$Y669*設定!$C$5,"△","○")))</f>
        <v/>
      </c>
      <c r="AA669" s="15">
        <f>IF($Z669="","",IF($Z669="×",0,IF($Z669="○",ROUNDDOWN($E669*設定!$C$4,0),ROUNDDOWN($E669*ROUND((9*$Y669-9*$E669)/(10*$E669),4),0))))</f>
        <v/>
      </c>
      <c r="AB669" s="13" t="n"/>
      <c r="AC669" s="15">
        <f>IF($B669="","",IF($AB669&lt;&gt;"",$AB669,IF($AA669="","",IF($AA669&lt;=設定!$C$3,0,$AA669))))</f>
        <v/>
      </c>
      <c r="AD669" s="14">
        <f>IF($B669="","",IF(AND($AE669&lt;&gt;"",$AG669="",$AJ669=""),"保留中",IF($AJ669&lt;&gt;"",IF(N($AC669)&gt;0,"支給済","不支給"),IF($AC669="","要確認",IF($AC669=0,"不支給","未処理")))))</f>
        <v/>
      </c>
      <c r="AE669" s="12" t="n"/>
      <c r="AF669" s="11" t="n"/>
      <c r="AG669" s="11" t="n"/>
      <c r="AH669" s="11" t="n"/>
      <c r="AI669" s="14">
        <f>IF(AND($AD669="保留中",$AF669&lt;&gt;""),TODAY()-$AF669,"")</f>
        <v/>
      </c>
      <c r="AJ669" s="12" t="n"/>
      <c r="AK669" s="14">
        <f>IF($B669="","",IF($AO669="","対象年月が未入力／","")&amp;IF($B669="","",IF($AN669="","職員マスタに未登録の職員番号／",IF($Y669="","標準報酬月額が未登録／","")&amp;IF(AND($AO669&lt;&gt;"",OR(AND(INDEX(職員マスタ!$G$6:$G$405,$AN669)&lt;&gt;"",INDEX(職員マスタ!$G$6:$G$405,$AN669)&gt;EOMONTH($AO669,0)),AND(INDEX(職員マスタ!$H$6:$H$405,$AN669)&lt;&gt;"",INDEX(職員マスタ!$H$6:$H$405,$AN669)&lt;$AO669))),"対象月が時短期間外／","")&amp;IF(AND(INDEX(職員マスタ!$F$6:$F$405,$AN669)&lt;&gt;"",$AO669&lt;&gt;"",INDEX(職員マスタ!$F$6:$F$405,$AN669)&lt;$AO669),"対象月に子が2歳到達済／","")&amp;IF(AND($H669&lt;&gt;"",INDEX(職員マスタ!$B$6:$B$405,$AN669)&lt;&gt;"",SUBSTITUTE(SUBSTITUTE($H669," ","")," ","")&lt;&gt;SUBSTITUTE(SUBSTITUTE(INDEX(職員マスタ!$B$6:$B$405,$AN669)," ","")," ","")),"氏名がマスタと相違／","")&amp;IF(AND($Q669&lt;&gt;"",INDEX(職員マスタ!$E$6:$E$405,$AN669)&lt;&gt;"",$Q669&lt;&gt;INDEX(職員マスタ!$E$6:$E$405,$AN669)),"子の生年月日がマスタと相違／","")&amp;IF(AND($L669&lt;&gt;"",INDEX(職員マスタ!$G$6:$G$405,$AN669)&lt;&gt;"",$L669&lt;&gt;INDEX(職員マスタ!$G$6:$G$405,$AN669)),"時短開始日がマスタと相違／","")&amp;IF(AND($M669&lt;&gt;"",INDEX(職員マスタ!$H$6:$H$405,$AN669)&lt;&gt;"",$M669&lt;&gt;INDEX(職員マスタ!$H$6:$H$405,$AN669)),"時短終了日がマスタと相違／","")))&amp;IF(AND($B669&lt;&gt;"",$E669=""),"報酬額が未入力／","")&amp;IF(N($U669)&gt;0,"申請書に入力エラーが残っています／","")&amp;IF(AND($B669&lt;&gt;"",$AO669&lt;&gt;""),IF(COUNTIFS($B$6:$B$3005,$B669,$C$6:$C$3005,$C669,$D$6:$D$3005,$D669)&gt;1,"同じ月の請求が重複しています／",""),"")&amp;IF(AND(N($E669)&gt;0,$Z669&lt;&gt;"",$Z669&lt;&gt;"×",$AC669=0,$AB669=""),"計算額が下限以下のため不支給／",""))</f>
        <v/>
      </c>
      <c r="AL669" s="12" t="n"/>
      <c r="AM669" s="14">
        <f>IF($AD669="保留中",COUNTIF($AD$6:$AD669,"保留中"),"")</f>
        <v/>
      </c>
      <c r="AN669" s="14">
        <f>IF($AO669="","",IF(SUMPRODUCT(MAX((職員マスタ!$A$6:$A$405=$B669)*(((職員マスタ!$G$6:$G$405="")+(職員マスタ!$G$6:$G$405&lt;=EOMONTH($AO669,0)))&gt;0)*(((職員マスタ!$H$6:$H$405="")+(職員マスタ!$H$6:$H$405&gt;=$AO669))&gt;0)*(ROW(職員マスタ!$A$6:$A$405)-5)))&gt;0,SUMPRODUCT(MAX((職員マスタ!$A$6:$A$405=$B669)*(((職員マスタ!$G$6:$G$405="")+(職員マスタ!$G$6:$G$405&lt;=EOMONTH($AO669,0)))&gt;0)*(((職員マスタ!$H$6:$H$405="")+(職員マスタ!$H$6:$H$405&gt;=$AO669))&gt;0)*(ROW(職員マスタ!$A$6:$A$405)-5))),IFERROR(MATCH($B669,職員マスタ!$A$6:$A$405,0),"")))</f>
        <v/>
      </c>
      <c r="AO669" s="16">
        <f>IF(OR($B669="",$C669="",$D669=""),"",DATE($C669+2018,$D669,1))</f>
        <v/>
      </c>
    </row>
    <row r="670">
      <c r="A670" s="11" t="n"/>
      <c r="B670" s="12" t="n"/>
      <c r="C670" s="12" t="n"/>
      <c r="D670" s="12" t="n"/>
      <c r="E670" s="13" t="n"/>
      <c r="F670" s="12" t="n"/>
      <c r="G670" s="13" t="n"/>
      <c r="H670" s="12" t="n"/>
      <c r="I670" s="12" t="n"/>
      <c r="J670" s="12" t="n"/>
      <c r="K670" s="12" t="n"/>
      <c r="L670" s="11" t="n"/>
      <c r="M670" s="11" t="n"/>
      <c r="N670" s="11" t="n"/>
      <c r="O670" s="11" t="n"/>
      <c r="P670" s="12" t="n"/>
      <c r="Q670" s="11" t="n"/>
      <c r="R670" s="12" t="n"/>
      <c r="S670" s="11" t="n"/>
      <c r="T670" s="12" t="n"/>
      <c r="U670" s="12" t="n"/>
      <c r="V670" s="14">
        <f>IF($AN670="",IF($B670="","",$H670),IF(INDEX(職員マスタ!$B$6:$B$405,$AN670)="",$H670,INDEX(職員マスタ!$B$6:$B$405,$AN670)))</f>
        <v/>
      </c>
      <c r="W670" s="14">
        <f>IF($AN670="",IF($B670="","",$R670),IF(INDEX(職員マスタ!$C$6:$C$405,$AN670)="",$R670,INDEX(職員マスタ!$C$6:$C$405,$AN670)))</f>
        <v/>
      </c>
      <c r="X670" s="14">
        <f>IF($AO670="","","R"&amp;$C670&amp;"."&amp;$D670)</f>
        <v/>
      </c>
      <c r="Y670" s="15">
        <f>IF($AN670="","",IF(INDEX(職員マスタ!$K$6:$K$405,$AN670)="","",INDEX(職員マスタ!$K$6:$K$405,$AN670)))</f>
        <v/>
      </c>
      <c r="Z670" s="14">
        <f>IF(OR($E670="",$Y670=""),"",IF($E670&gt;=$Y670,"×",IF($E670&gt;=$Y670*設定!$C$5,"△","○")))</f>
        <v/>
      </c>
      <c r="AA670" s="15">
        <f>IF($Z670="","",IF($Z670="×",0,IF($Z670="○",ROUNDDOWN($E670*設定!$C$4,0),ROUNDDOWN($E670*ROUND((9*$Y670-9*$E670)/(10*$E670),4),0))))</f>
        <v/>
      </c>
      <c r="AB670" s="13" t="n"/>
      <c r="AC670" s="15">
        <f>IF($B670="","",IF($AB670&lt;&gt;"",$AB670,IF($AA670="","",IF($AA670&lt;=設定!$C$3,0,$AA670))))</f>
        <v/>
      </c>
      <c r="AD670" s="14">
        <f>IF($B670="","",IF(AND($AE670&lt;&gt;"",$AG670="",$AJ670=""),"保留中",IF($AJ670&lt;&gt;"",IF(N($AC670)&gt;0,"支給済","不支給"),IF($AC670="","要確認",IF($AC670=0,"不支給","未処理")))))</f>
        <v/>
      </c>
      <c r="AE670" s="12" t="n"/>
      <c r="AF670" s="11" t="n"/>
      <c r="AG670" s="11" t="n"/>
      <c r="AH670" s="11" t="n"/>
      <c r="AI670" s="14">
        <f>IF(AND($AD670="保留中",$AF670&lt;&gt;""),TODAY()-$AF670,"")</f>
        <v/>
      </c>
      <c r="AJ670" s="12" t="n"/>
      <c r="AK670" s="14">
        <f>IF($B670="","",IF($AO670="","対象年月が未入力／","")&amp;IF($B670="","",IF($AN670="","職員マスタに未登録の職員番号／",IF($Y670="","標準報酬月額が未登録／","")&amp;IF(AND($AO670&lt;&gt;"",OR(AND(INDEX(職員マスタ!$G$6:$G$405,$AN670)&lt;&gt;"",INDEX(職員マスタ!$G$6:$G$405,$AN670)&gt;EOMONTH($AO670,0)),AND(INDEX(職員マスタ!$H$6:$H$405,$AN670)&lt;&gt;"",INDEX(職員マスタ!$H$6:$H$405,$AN670)&lt;$AO670))),"対象月が時短期間外／","")&amp;IF(AND(INDEX(職員マスタ!$F$6:$F$405,$AN670)&lt;&gt;"",$AO670&lt;&gt;"",INDEX(職員マスタ!$F$6:$F$405,$AN670)&lt;$AO670),"対象月に子が2歳到達済／","")&amp;IF(AND($H670&lt;&gt;"",INDEX(職員マスタ!$B$6:$B$405,$AN670)&lt;&gt;"",SUBSTITUTE(SUBSTITUTE($H670," ","")," ","")&lt;&gt;SUBSTITUTE(SUBSTITUTE(INDEX(職員マスタ!$B$6:$B$405,$AN670)," ","")," ","")),"氏名がマスタと相違／","")&amp;IF(AND($Q670&lt;&gt;"",INDEX(職員マスタ!$E$6:$E$405,$AN670)&lt;&gt;"",$Q670&lt;&gt;INDEX(職員マスタ!$E$6:$E$405,$AN670)),"子の生年月日がマスタと相違／","")&amp;IF(AND($L670&lt;&gt;"",INDEX(職員マスタ!$G$6:$G$405,$AN670)&lt;&gt;"",$L670&lt;&gt;INDEX(職員マスタ!$G$6:$G$405,$AN670)),"時短開始日がマスタと相違／","")&amp;IF(AND($M670&lt;&gt;"",INDEX(職員マスタ!$H$6:$H$405,$AN670)&lt;&gt;"",$M670&lt;&gt;INDEX(職員マスタ!$H$6:$H$405,$AN670)),"時短終了日がマスタと相違／","")))&amp;IF(AND($B670&lt;&gt;"",$E670=""),"報酬額が未入力／","")&amp;IF(N($U670)&gt;0,"申請書に入力エラーが残っています／","")&amp;IF(AND($B670&lt;&gt;"",$AO670&lt;&gt;""),IF(COUNTIFS($B$6:$B$3005,$B670,$C$6:$C$3005,$C670,$D$6:$D$3005,$D670)&gt;1,"同じ月の請求が重複しています／",""),"")&amp;IF(AND(N($E670)&gt;0,$Z670&lt;&gt;"",$Z670&lt;&gt;"×",$AC670=0,$AB670=""),"計算額が下限以下のため不支給／",""))</f>
        <v/>
      </c>
      <c r="AL670" s="12" t="n"/>
      <c r="AM670" s="14">
        <f>IF($AD670="保留中",COUNTIF($AD$6:$AD670,"保留中"),"")</f>
        <v/>
      </c>
      <c r="AN670" s="14">
        <f>IF($AO670="","",IF(SUMPRODUCT(MAX((職員マスタ!$A$6:$A$405=$B670)*(((職員マスタ!$G$6:$G$405="")+(職員マスタ!$G$6:$G$405&lt;=EOMONTH($AO670,0)))&gt;0)*(((職員マスタ!$H$6:$H$405="")+(職員マスタ!$H$6:$H$405&gt;=$AO670))&gt;0)*(ROW(職員マスタ!$A$6:$A$405)-5)))&gt;0,SUMPRODUCT(MAX((職員マスタ!$A$6:$A$405=$B670)*(((職員マスタ!$G$6:$G$405="")+(職員マスタ!$G$6:$G$405&lt;=EOMONTH($AO670,0)))&gt;0)*(((職員マスタ!$H$6:$H$405="")+(職員マスタ!$H$6:$H$405&gt;=$AO670))&gt;0)*(ROW(職員マスタ!$A$6:$A$405)-5))),IFERROR(MATCH($B670,職員マスタ!$A$6:$A$405,0),"")))</f>
        <v/>
      </c>
      <c r="AO670" s="16">
        <f>IF(OR($B670="",$C670="",$D670=""),"",DATE($C670+2018,$D670,1))</f>
        <v/>
      </c>
    </row>
    <row r="671">
      <c r="A671" s="11" t="n"/>
      <c r="B671" s="12" t="n"/>
      <c r="C671" s="12" t="n"/>
      <c r="D671" s="12" t="n"/>
      <c r="E671" s="13" t="n"/>
      <c r="F671" s="12" t="n"/>
      <c r="G671" s="13" t="n"/>
      <c r="H671" s="12" t="n"/>
      <c r="I671" s="12" t="n"/>
      <c r="J671" s="12" t="n"/>
      <c r="K671" s="12" t="n"/>
      <c r="L671" s="11" t="n"/>
      <c r="M671" s="11" t="n"/>
      <c r="N671" s="11" t="n"/>
      <c r="O671" s="11" t="n"/>
      <c r="P671" s="12" t="n"/>
      <c r="Q671" s="11" t="n"/>
      <c r="R671" s="12" t="n"/>
      <c r="S671" s="11" t="n"/>
      <c r="T671" s="12" t="n"/>
      <c r="U671" s="12" t="n"/>
      <c r="V671" s="14">
        <f>IF($AN671="",IF($B671="","",$H671),IF(INDEX(職員マスタ!$B$6:$B$405,$AN671)="",$H671,INDEX(職員マスタ!$B$6:$B$405,$AN671)))</f>
        <v/>
      </c>
      <c r="W671" s="14">
        <f>IF($AN671="",IF($B671="","",$R671),IF(INDEX(職員マスタ!$C$6:$C$405,$AN671)="",$R671,INDEX(職員マスタ!$C$6:$C$405,$AN671)))</f>
        <v/>
      </c>
      <c r="X671" s="14">
        <f>IF($AO671="","","R"&amp;$C671&amp;"."&amp;$D671)</f>
        <v/>
      </c>
      <c r="Y671" s="15">
        <f>IF($AN671="","",IF(INDEX(職員マスタ!$K$6:$K$405,$AN671)="","",INDEX(職員マスタ!$K$6:$K$405,$AN671)))</f>
        <v/>
      </c>
      <c r="Z671" s="14">
        <f>IF(OR($E671="",$Y671=""),"",IF($E671&gt;=$Y671,"×",IF($E671&gt;=$Y671*設定!$C$5,"△","○")))</f>
        <v/>
      </c>
      <c r="AA671" s="15">
        <f>IF($Z671="","",IF($Z671="×",0,IF($Z671="○",ROUNDDOWN($E671*設定!$C$4,0),ROUNDDOWN($E671*ROUND((9*$Y671-9*$E671)/(10*$E671),4),0))))</f>
        <v/>
      </c>
      <c r="AB671" s="13" t="n"/>
      <c r="AC671" s="15">
        <f>IF($B671="","",IF($AB671&lt;&gt;"",$AB671,IF($AA671="","",IF($AA671&lt;=設定!$C$3,0,$AA671))))</f>
        <v/>
      </c>
      <c r="AD671" s="14">
        <f>IF($B671="","",IF(AND($AE671&lt;&gt;"",$AG671="",$AJ671=""),"保留中",IF($AJ671&lt;&gt;"",IF(N($AC671)&gt;0,"支給済","不支給"),IF($AC671="","要確認",IF($AC671=0,"不支給","未処理")))))</f>
        <v/>
      </c>
      <c r="AE671" s="12" t="n"/>
      <c r="AF671" s="11" t="n"/>
      <c r="AG671" s="11" t="n"/>
      <c r="AH671" s="11" t="n"/>
      <c r="AI671" s="14">
        <f>IF(AND($AD671="保留中",$AF671&lt;&gt;""),TODAY()-$AF671,"")</f>
        <v/>
      </c>
      <c r="AJ671" s="12" t="n"/>
      <c r="AK671" s="14">
        <f>IF($B671="","",IF($AO671="","対象年月が未入力／","")&amp;IF($B671="","",IF($AN671="","職員マスタに未登録の職員番号／",IF($Y671="","標準報酬月額が未登録／","")&amp;IF(AND($AO671&lt;&gt;"",OR(AND(INDEX(職員マスタ!$G$6:$G$405,$AN671)&lt;&gt;"",INDEX(職員マスタ!$G$6:$G$405,$AN671)&gt;EOMONTH($AO671,0)),AND(INDEX(職員マスタ!$H$6:$H$405,$AN671)&lt;&gt;"",INDEX(職員マスタ!$H$6:$H$405,$AN671)&lt;$AO671))),"対象月が時短期間外／","")&amp;IF(AND(INDEX(職員マスタ!$F$6:$F$405,$AN671)&lt;&gt;"",$AO671&lt;&gt;"",INDEX(職員マスタ!$F$6:$F$405,$AN671)&lt;$AO671),"対象月に子が2歳到達済／","")&amp;IF(AND($H671&lt;&gt;"",INDEX(職員マスタ!$B$6:$B$405,$AN671)&lt;&gt;"",SUBSTITUTE(SUBSTITUTE($H671," ","")," ","")&lt;&gt;SUBSTITUTE(SUBSTITUTE(INDEX(職員マスタ!$B$6:$B$405,$AN671)," ","")," ","")),"氏名がマスタと相違／","")&amp;IF(AND($Q671&lt;&gt;"",INDEX(職員マスタ!$E$6:$E$405,$AN671)&lt;&gt;"",$Q671&lt;&gt;INDEX(職員マスタ!$E$6:$E$405,$AN671)),"子の生年月日がマスタと相違／","")&amp;IF(AND($L671&lt;&gt;"",INDEX(職員マスタ!$G$6:$G$405,$AN671)&lt;&gt;"",$L671&lt;&gt;INDEX(職員マスタ!$G$6:$G$405,$AN671)),"時短開始日がマスタと相違／","")&amp;IF(AND($M671&lt;&gt;"",INDEX(職員マスタ!$H$6:$H$405,$AN671)&lt;&gt;"",$M671&lt;&gt;INDEX(職員マスタ!$H$6:$H$405,$AN671)),"時短終了日がマスタと相違／","")))&amp;IF(AND($B671&lt;&gt;"",$E671=""),"報酬額が未入力／","")&amp;IF(N($U671)&gt;0,"申請書に入力エラーが残っています／","")&amp;IF(AND($B671&lt;&gt;"",$AO671&lt;&gt;""),IF(COUNTIFS($B$6:$B$3005,$B671,$C$6:$C$3005,$C671,$D$6:$D$3005,$D671)&gt;1,"同じ月の請求が重複しています／",""),"")&amp;IF(AND(N($E671)&gt;0,$Z671&lt;&gt;"",$Z671&lt;&gt;"×",$AC671=0,$AB671=""),"計算額が下限以下のため不支給／",""))</f>
        <v/>
      </c>
      <c r="AL671" s="12" t="n"/>
      <c r="AM671" s="14">
        <f>IF($AD671="保留中",COUNTIF($AD$6:$AD671,"保留中"),"")</f>
        <v/>
      </c>
      <c r="AN671" s="14">
        <f>IF($AO671="","",IF(SUMPRODUCT(MAX((職員マスタ!$A$6:$A$405=$B671)*(((職員マスタ!$G$6:$G$405="")+(職員マスタ!$G$6:$G$405&lt;=EOMONTH($AO671,0)))&gt;0)*(((職員マスタ!$H$6:$H$405="")+(職員マスタ!$H$6:$H$405&gt;=$AO671))&gt;0)*(ROW(職員マスタ!$A$6:$A$405)-5)))&gt;0,SUMPRODUCT(MAX((職員マスタ!$A$6:$A$405=$B671)*(((職員マスタ!$G$6:$G$405="")+(職員マスタ!$G$6:$G$405&lt;=EOMONTH($AO671,0)))&gt;0)*(((職員マスタ!$H$6:$H$405="")+(職員マスタ!$H$6:$H$405&gt;=$AO671))&gt;0)*(ROW(職員マスタ!$A$6:$A$405)-5))),IFERROR(MATCH($B671,職員マスタ!$A$6:$A$405,0),"")))</f>
        <v/>
      </c>
      <c r="AO671" s="16">
        <f>IF(OR($B671="",$C671="",$D671=""),"",DATE($C671+2018,$D671,1))</f>
        <v/>
      </c>
    </row>
    <row r="672">
      <c r="A672" s="11" t="n"/>
      <c r="B672" s="12" t="n"/>
      <c r="C672" s="12" t="n"/>
      <c r="D672" s="12" t="n"/>
      <c r="E672" s="13" t="n"/>
      <c r="F672" s="12" t="n"/>
      <c r="G672" s="13" t="n"/>
      <c r="H672" s="12" t="n"/>
      <c r="I672" s="12" t="n"/>
      <c r="J672" s="12" t="n"/>
      <c r="K672" s="12" t="n"/>
      <c r="L672" s="11" t="n"/>
      <c r="M672" s="11" t="n"/>
      <c r="N672" s="11" t="n"/>
      <c r="O672" s="11" t="n"/>
      <c r="P672" s="12" t="n"/>
      <c r="Q672" s="11" t="n"/>
      <c r="R672" s="12" t="n"/>
      <c r="S672" s="11" t="n"/>
      <c r="T672" s="12" t="n"/>
      <c r="U672" s="12" t="n"/>
      <c r="V672" s="14">
        <f>IF($AN672="",IF($B672="","",$H672),IF(INDEX(職員マスタ!$B$6:$B$405,$AN672)="",$H672,INDEX(職員マスタ!$B$6:$B$405,$AN672)))</f>
        <v/>
      </c>
      <c r="W672" s="14">
        <f>IF($AN672="",IF($B672="","",$R672),IF(INDEX(職員マスタ!$C$6:$C$405,$AN672)="",$R672,INDEX(職員マスタ!$C$6:$C$405,$AN672)))</f>
        <v/>
      </c>
      <c r="X672" s="14">
        <f>IF($AO672="","","R"&amp;$C672&amp;"."&amp;$D672)</f>
        <v/>
      </c>
      <c r="Y672" s="15">
        <f>IF($AN672="","",IF(INDEX(職員マスタ!$K$6:$K$405,$AN672)="","",INDEX(職員マスタ!$K$6:$K$405,$AN672)))</f>
        <v/>
      </c>
      <c r="Z672" s="14">
        <f>IF(OR($E672="",$Y672=""),"",IF($E672&gt;=$Y672,"×",IF($E672&gt;=$Y672*設定!$C$5,"△","○")))</f>
        <v/>
      </c>
      <c r="AA672" s="15">
        <f>IF($Z672="","",IF($Z672="×",0,IF($Z672="○",ROUNDDOWN($E672*設定!$C$4,0),ROUNDDOWN($E672*ROUND((9*$Y672-9*$E672)/(10*$E672),4),0))))</f>
        <v/>
      </c>
      <c r="AB672" s="13" t="n"/>
      <c r="AC672" s="15">
        <f>IF($B672="","",IF($AB672&lt;&gt;"",$AB672,IF($AA672="","",IF($AA672&lt;=設定!$C$3,0,$AA672))))</f>
        <v/>
      </c>
      <c r="AD672" s="14">
        <f>IF($B672="","",IF(AND($AE672&lt;&gt;"",$AG672="",$AJ672=""),"保留中",IF($AJ672&lt;&gt;"",IF(N($AC672)&gt;0,"支給済","不支給"),IF($AC672="","要確認",IF($AC672=0,"不支給","未処理")))))</f>
        <v/>
      </c>
      <c r="AE672" s="12" t="n"/>
      <c r="AF672" s="11" t="n"/>
      <c r="AG672" s="11" t="n"/>
      <c r="AH672" s="11" t="n"/>
      <c r="AI672" s="14">
        <f>IF(AND($AD672="保留中",$AF672&lt;&gt;""),TODAY()-$AF672,"")</f>
        <v/>
      </c>
      <c r="AJ672" s="12" t="n"/>
      <c r="AK672" s="14">
        <f>IF($B672="","",IF($AO672="","対象年月が未入力／","")&amp;IF($B672="","",IF($AN672="","職員マスタに未登録の職員番号／",IF($Y672="","標準報酬月額が未登録／","")&amp;IF(AND($AO672&lt;&gt;"",OR(AND(INDEX(職員マスタ!$G$6:$G$405,$AN672)&lt;&gt;"",INDEX(職員マスタ!$G$6:$G$405,$AN672)&gt;EOMONTH($AO672,0)),AND(INDEX(職員マスタ!$H$6:$H$405,$AN672)&lt;&gt;"",INDEX(職員マスタ!$H$6:$H$405,$AN672)&lt;$AO672))),"対象月が時短期間外／","")&amp;IF(AND(INDEX(職員マスタ!$F$6:$F$405,$AN672)&lt;&gt;"",$AO672&lt;&gt;"",INDEX(職員マスタ!$F$6:$F$405,$AN672)&lt;$AO672),"対象月に子が2歳到達済／","")&amp;IF(AND($H672&lt;&gt;"",INDEX(職員マスタ!$B$6:$B$405,$AN672)&lt;&gt;"",SUBSTITUTE(SUBSTITUTE($H672," ","")," ","")&lt;&gt;SUBSTITUTE(SUBSTITUTE(INDEX(職員マスタ!$B$6:$B$405,$AN672)," ","")," ","")),"氏名がマスタと相違／","")&amp;IF(AND($Q672&lt;&gt;"",INDEX(職員マスタ!$E$6:$E$405,$AN672)&lt;&gt;"",$Q672&lt;&gt;INDEX(職員マスタ!$E$6:$E$405,$AN672)),"子の生年月日がマスタと相違／","")&amp;IF(AND($L672&lt;&gt;"",INDEX(職員マスタ!$G$6:$G$405,$AN672)&lt;&gt;"",$L672&lt;&gt;INDEX(職員マスタ!$G$6:$G$405,$AN672)),"時短開始日がマスタと相違／","")&amp;IF(AND($M672&lt;&gt;"",INDEX(職員マスタ!$H$6:$H$405,$AN672)&lt;&gt;"",$M672&lt;&gt;INDEX(職員マスタ!$H$6:$H$405,$AN672)),"時短終了日がマスタと相違／","")))&amp;IF(AND($B672&lt;&gt;"",$E672=""),"報酬額が未入力／","")&amp;IF(N($U672)&gt;0,"申請書に入力エラーが残っています／","")&amp;IF(AND($B672&lt;&gt;"",$AO672&lt;&gt;""),IF(COUNTIFS($B$6:$B$3005,$B672,$C$6:$C$3005,$C672,$D$6:$D$3005,$D672)&gt;1,"同じ月の請求が重複しています／",""),"")&amp;IF(AND(N($E672)&gt;0,$Z672&lt;&gt;"",$Z672&lt;&gt;"×",$AC672=0,$AB672=""),"計算額が下限以下のため不支給／",""))</f>
        <v/>
      </c>
      <c r="AL672" s="12" t="n"/>
      <c r="AM672" s="14">
        <f>IF($AD672="保留中",COUNTIF($AD$6:$AD672,"保留中"),"")</f>
        <v/>
      </c>
      <c r="AN672" s="14">
        <f>IF($AO672="","",IF(SUMPRODUCT(MAX((職員マスタ!$A$6:$A$405=$B672)*(((職員マスタ!$G$6:$G$405="")+(職員マスタ!$G$6:$G$405&lt;=EOMONTH($AO672,0)))&gt;0)*(((職員マスタ!$H$6:$H$405="")+(職員マスタ!$H$6:$H$405&gt;=$AO672))&gt;0)*(ROW(職員マスタ!$A$6:$A$405)-5)))&gt;0,SUMPRODUCT(MAX((職員マスタ!$A$6:$A$405=$B672)*(((職員マスタ!$G$6:$G$405="")+(職員マスタ!$G$6:$G$405&lt;=EOMONTH($AO672,0)))&gt;0)*(((職員マスタ!$H$6:$H$405="")+(職員マスタ!$H$6:$H$405&gt;=$AO672))&gt;0)*(ROW(職員マスタ!$A$6:$A$405)-5))),IFERROR(MATCH($B672,職員マスタ!$A$6:$A$405,0),"")))</f>
        <v/>
      </c>
      <c r="AO672" s="16">
        <f>IF(OR($B672="",$C672="",$D672=""),"",DATE($C672+2018,$D672,1))</f>
        <v/>
      </c>
    </row>
    <row r="673">
      <c r="A673" s="11" t="n"/>
      <c r="B673" s="12" t="n"/>
      <c r="C673" s="12" t="n"/>
      <c r="D673" s="12" t="n"/>
      <c r="E673" s="13" t="n"/>
      <c r="F673" s="12" t="n"/>
      <c r="G673" s="13" t="n"/>
      <c r="H673" s="12" t="n"/>
      <c r="I673" s="12" t="n"/>
      <c r="J673" s="12" t="n"/>
      <c r="K673" s="12" t="n"/>
      <c r="L673" s="11" t="n"/>
      <c r="M673" s="11" t="n"/>
      <c r="N673" s="11" t="n"/>
      <c r="O673" s="11" t="n"/>
      <c r="P673" s="12" t="n"/>
      <c r="Q673" s="11" t="n"/>
      <c r="R673" s="12" t="n"/>
      <c r="S673" s="11" t="n"/>
      <c r="T673" s="12" t="n"/>
      <c r="U673" s="12" t="n"/>
      <c r="V673" s="14">
        <f>IF($AN673="",IF($B673="","",$H673),IF(INDEX(職員マスタ!$B$6:$B$405,$AN673)="",$H673,INDEX(職員マスタ!$B$6:$B$405,$AN673)))</f>
        <v/>
      </c>
      <c r="W673" s="14">
        <f>IF($AN673="",IF($B673="","",$R673),IF(INDEX(職員マスタ!$C$6:$C$405,$AN673)="",$R673,INDEX(職員マスタ!$C$6:$C$405,$AN673)))</f>
        <v/>
      </c>
      <c r="X673" s="14">
        <f>IF($AO673="","","R"&amp;$C673&amp;"."&amp;$D673)</f>
        <v/>
      </c>
      <c r="Y673" s="15">
        <f>IF($AN673="","",IF(INDEX(職員マスタ!$K$6:$K$405,$AN673)="","",INDEX(職員マスタ!$K$6:$K$405,$AN673)))</f>
        <v/>
      </c>
      <c r="Z673" s="14">
        <f>IF(OR($E673="",$Y673=""),"",IF($E673&gt;=$Y673,"×",IF($E673&gt;=$Y673*設定!$C$5,"△","○")))</f>
        <v/>
      </c>
      <c r="AA673" s="15">
        <f>IF($Z673="","",IF($Z673="×",0,IF($Z673="○",ROUNDDOWN($E673*設定!$C$4,0),ROUNDDOWN($E673*ROUND((9*$Y673-9*$E673)/(10*$E673),4),0))))</f>
        <v/>
      </c>
      <c r="AB673" s="13" t="n"/>
      <c r="AC673" s="15">
        <f>IF($B673="","",IF($AB673&lt;&gt;"",$AB673,IF($AA673="","",IF($AA673&lt;=設定!$C$3,0,$AA673))))</f>
        <v/>
      </c>
      <c r="AD673" s="14">
        <f>IF($B673="","",IF(AND($AE673&lt;&gt;"",$AG673="",$AJ673=""),"保留中",IF($AJ673&lt;&gt;"",IF(N($AC673)&gt;0,"支給済","不支給"),IF($AC673="","要確認",IF($AC673=0,"不支給","未処理")))))</f>
        <v/>
      </c>
      <c r="AE673" s="12" t="n"/>
      <c r="AF673" s="11" t="n"/>
      <c r="AG673" s="11" t="n"/>
      <c r="AH673" s="11" t="n"/>
      <c r="AI673" s="14">
        <f>IF(AND($AD673="保留中",$AF673&lt;&gt;""),TODAY()-$AF673,"")</f>
        <v/>
      </c>
      <c r="AJ673" s="12" t="n"/>
      <c r="AK673" s="14">
        <f>IF($B673="","",IF($AO673="","対象年月が未入力／","")&amp;IF($B673="","",IF($AN673="","職員マスタに未登録の職員番号／",IF($Y673="","標準報酬月額が未登録／","")&amp;IF(AND($AO673&lt;&gt;"",OR(AND(INDEX(職員マスタ!$G$6:$G$405,$AN673)&lt;&gt;"",INDEX(職員マスタ!$G$6:$G$405,$AN673)&gt;EOMONTH($AO673,0)),AND(INDEX(職員マスタ!$H$6:$H$405,$AN673)&lt;&gt;"",INDEX(職員マスタ!$H$6:$H$405,$AN673)&lt;$AO673))),"対象月が時短期間外／","")&amp;IF(AND(INDEX(職員マスタ!$F$6:$F$405,$AN673)&lt;&gt;"",$AO673&lt;&gt;"",INDEX(職員マスタ!$F$6:$F$405,$AN673)&lt;$AO673),"対象月に子が2歳到達済／","")&amp;IF(AND($H673&lt;&gt;"",INDEX(職員マスタ!$B$6:$B$405,$AN673)&lt;&gt;"",SUBSTITUTE(SUBSTITUTE($H673," ","")," ","")&lt;&gt;SUBSTITUTE(SUBSTITUTE(INDEX(職員マスタ!$B$6:$B$405,$AN673)," ","")," ","")),"氏名がマスタと相違／","")&amp;IF(AND($Q673&lt;&gt;"",INDEX(職員マスタ!$E$6:$E$405,$AN673)&lt;&gt;"",$Q673&lt;&gt;INDEX(職員マスタ!$E$6:$E$405,$AN673)),"子の生年月日がマスタと相違／","")&amp;IF(AND($L673&lt;&gt;"",INDEX(職員マスタ!$G$6:$G$405,$AN673)&lt;&gt;"",$L673&lt;&gt;INDEX(職員マスタ!$G$6:$G$405,$AN673)),"時短開始日がマスタと相違／","")&amp;IF(AND($M673&lt;&gt;"",INDEX(職員マスタ!$H$6:$H$405,$AN673)&lt;&gt;"",$M673&lt;&gt;INDEX(職員マスタ!$H$6:$H$405,$AN673)),"時短終了日がマスタと相違／","")))&amp;IF(AND($B673&lt;&gt;"",$E673=""),"報酬額が未入力／","")&amp;IF(N($U673)&gt;0,"申請書に入力エラーが残っています／","")&amp;IF(AND($B673&lt;&gt;"",$AO673&lt;&gt;""),IF(COUNTIFS($B$6:$B$3005,$B673,$C$6:$C$3005,$C673,$D$6:$D$3005,$D673)&gt;1,"同じ月の請求が重複しています／",""),"")&amp;IF(AND(N($E673)&gt;0,$Z673&lt;&gt;"",$Z673&lt;&gt;"×",$AC673=0,$AB673=""),"計算額が下限以下のため不支給／",""))</f>
        <v/>
      </c>
      <c r="AL673" s="12" t="n"/>
      <c r="AM673" s="14">
        <f>IF($AD673="保留中",COUNTIF($AD$6:$AD673,"保留中"),"")</f>
        <v/>
      </c>
      <c r="AN673" s="14">
        <f>IF($AO673="","",IF(SUMPRODUCT(MAX((職員マスタ!$A$6:$A$405=$B673)*(((職員マスタ!$G$6:$G$405="")+(職員マスタ!$G$6:$G$405&lt;=EOMONTH($AO673,0)))&gt;0)*(((職員マスタ!$H$6:$H$405="")+(職員マスタ!$H$6:$H$405&gt;=$AO673))&gt;0)*(ROW(職員マスタ!$A$6:$A$405)-5)))&gt;0,SUMPRODUCT(MAX((職員マスタ!$A$6:$A$405=$B673)*(((職員マスタ!$G$6:$G$405="")+(職員マスタ!$G$6:$G$405&lt;=EOMONTH($AO673,0)))&gt;0)*(((職員マスタ!$H$6:$H$405="")+(職員マスタ!$H$6:$H$405&gt;=$AO673))&gt;0)*(ROW(職員マスタ!$A$6:$A$405)-5))),IFERROR(MATCH($B673,職員マスタ!$A$6:$A$405,0),"")))</f>
        <v/>
      </c>
      <c r="AO673" s="16">
        <f>IF(OR($B673="",$C673="",$D673=""),"",DATE($C673+2018,$D673,1))</f>
        <v/>
      </c>
    </row>
    <row r="674">
      <c r="A674" s="11" t="n"/>
      <c r="B674" s="12" t="n"/>
      <c r="C674" s="12" t="n"/>
      <c r="D674" s="12" t="n"/>
      <c r="E674" s="13" t="n"/>
      <c r="F674" s="12" t="n"/>
      <c r="G674" s="13" t="n"/>
      <c r="H674" s="12" t="n"/>
      <c r="I674" s="12" t="n"/>
      <c r="J674" s="12" t="n"/>
      <c r="K674" s="12" t="n"/>
      <c r="L674" s="11" t="n"/>
      <c r="M674" s="11" t="n"/>
      <c r="N674" s="11" t="n"/>
      <c r="O674" s="11" t="n"/>
      <c r="P674" s="12" t="n"/>
      <c r="Q674" s="11" t="n"/>
      <c r="R674" s="12" t="n"/>
      <c r="S674" s="11" t="n"/>
      <c r="T674" s="12" t="n"/>
      <c r="U674" s="12" t="n"/>
      <c r="V674" s="14">
        <f>IF($AN674="",IF($B674="","",$H674),IF(INDEX(職員マスタ!$B$6:$B$405,$AN674)="",$H674,INDEX(職員マスタ!$B$6:$B$405,$AN674)))</f>
        <v/>
      </c>
      <c r="W674" s="14">
        <f>IF($AN674="",IF($B674="","",$R674),IF(INDEX(職員マスタ!$C$6:$C$405,$AN674)="",$R674,INDEX(職員マスタ!$C$6:$C$405,$AN674)))</f>
        <v/>
      </c>
      <c r="X674" s="14">
        <f>IF($AO674="","","R"&amp;$C674&amp;"."&amp;$D674)</f>
        <v/>
      </c>
      <c r="Y674" s="15">
        <f>IF($AN674="","",IF(INDEX(職員マスタ!$K$6:$K$405,$AN674)="","",INDEX(職員マスタ!$K$6:$K$405,$AN674)))</f>
        <v/>
      </c>
      <c r="Z674" s="14">
        <f>IF(OR($E674="",$Y674=""),"",IF($E674&gt;=$Y674,"×",IF($E674&gt;=$Y674*設定!$C$5,"△","○")))</f>
        <v/>
      </c>
      <c r="AA674" s="15">
        <f>IF($Z674="","",IF($Z674="×",0,IF($Z674="○",ROUNDDOWN($E674*設定!$C$4,0),ROUNDDOWN($E674*ROUND((9*$Y674-9*$E674)/(10*$E674),4),0))))</f>
        <v/>
      </c>
      <c r="AB674" s="13" t="n"/>
      <c r="AC674" s="15">
        <f>IF($B674="","",IF($AB674&lt;&gt;"",$AB674,IF($AA674="","",IF($AA674&lt;=設定!$C$3,0,$AA674))))</f>
        <v/>
      </c>
      <c r="AD674" s="14">
        <f>IF($B674="","",IF(AND($AE674&lt;&gt;"",$AG674="",$AJ674=""),"保留中",IF($AJ674&lt;&gt;"",IF(N($AC674)&gt;0,"支給済","不支給"),IF($AC674="","要確認",IF($AC674=0,"不支給","未処理")))))</f>
        <v/>
      </c>
      <c r="AE674" s="12" t="n"/>
      <c r="AF674" s="11" t="n"/>
      <c r="AG674" s="11" t="n"/>
      <c r="AH674" s="11" t="n"/>
      <c r="AI674" s="14">
        <f>IF(AND($AD674="保留中",$AF674&lt;&gt;""),TODAY()-$AF674,"")</f>
        <v/>
      </c>
      <c r="AJ674" s="12" t="n"/>
      <c r="AK674" s="14">
        <f>IF($B674="","",IF($AO674="","対象年月が未入力／","")&amp;IF($B674="","",IF($AN674="","職員マスタに未登録の職員番号／",IF($Y674="","標準報酬月額が未登録／","")&amp;IF(AND($AO674&lt;&gt;"",OR(AND(INDEX(職員マスタ!$G$6:$G$405,$AN674)&lt;&gt;"",INDEX(職員マスタ!$G$6:$G$405,$AN674)&gt;EOMONTH($AO674,0)),AND(INDEX(職員マスタ!$H$6:$H$405,$AN674)&lt;&gt;"",INDEX(職員マスタ!$H$6:$H$405,$AN674)&lt;$AO674))),"対象月が時短期間外／","")&amp;IF(AND(INDEX(職員マスタ!$F$6:$F$405,$AN674)&lt;&gt;"",$AO674&lt;&gt;"",INDEX(職員マスタ!$F$6:$F$405,$AN674)&lt;$AO674),"対象月に子が2歳到達済／","")&amp;IF(AND($H674&lt;&gt;"",INDEX(職員マスタ!$B$6:$B$405,$AN674)&lt;&gt;"",SUBSTITUTE(SUBSTITUTE($H674," ","")," ","")&lt;&gt;SUBSTITUTE(SUBSTITUTE(INDEX(職員マスタ!$B$6:$B$405,$AN674)," ","")," ","")),"氏名がマスタと相違／","")&amp;IF(AND($Q674&lt;&gt;"",INDEX(職員マスタ!$E$6:$E$405,$AN674)&lt;&gt;"",$Q674&lt;&gt;INDEX(職員マスタ!$E$6:$E$405,$AN674)),"子の生年月日がマスタと相違／","")&amp;IF(AND($L674&lt;&gt;"",INDEX(職員マスタ!$G$6:$G$405,$AN674)&lt;&gt;"",$L674&lt;&gt;INDEX(職員マスタ!$G$6:$G$405,$AN674)),"時短開始日がマスタと相違／","")&amp;IF(AND($M674&lt;&gt;"",INDEX(職員マスタ!$H$6:$H$405,$AN674)&lt;&gt;"",$M674&lt;&gt;INDEX(職員マスタ!$H$6:$H$405,$AN674)),"時短終了日がマスタと相違／","")))&amp;IF(AND($B674&lt;&gt;"",$E674=""),"報酬額が未入力／","")&amp;IF(N($U674)&gt;0,"申請書に入力エラーが残っています／","")&amp;IF(AND($B674&lt;&gt;"",$AO674&lt;&gt;""),IF(COUNTIFS($B$6:$B$3005,$B674,$C$6:$C$3005,$C674,$D$6:$D$3005,$D674)&gt;1,"同じ月の請求が重複しています／",""),"")&amp;IF(AND(N($E674)&gt;0,$Z674&lt;&gt;"",$Z674&lt;&gt;"×",$AC674=0,$AB674=""),"計算額が下限以下のため不支給／",""))</f>
        <v/>
      </c>
      <c r="AL674" s="12" t="n"/>
      <c r="AM674" s="14">
        <f>IF($AD674="保留中",COUNTIF($AD$6:$AD674,"保留中"),"")</f>
        <v/>
      </c>
      <c r="AN674" s="14">
        <f>IF($AO674="","",IF(SUMPRODUCT(MAX((職員マスタ!$A$6:$A$405=$B674)*(((職員マスタ!$G$6:$G$405="")+(職員マスタ!$G$6:$G$405&lt;=EOMONTH($AO674,0)))&gt;0)*(((職員マスタ!$H$6:$H$405="")+(職員マスタ!$H$6:$H$405&gt;=$AO674))&gt;0)*(ROW(職員マスタ!$A$6:$A$405)-5)))&gt;0,SUMPRODUCT(MAX((職員マスタ!$A$6:$A$405=$B674)*(((職員マスタ!$G$6:$G$405="")+(職員マスタ!$G$6:$G$405&lt;=EOMONTH($AO674,0)))&gt;0)*(((職員マスタ!$H$6:$H$405="")+(職員マスタ!$H$6:$H$405&gt;=$AO674))&gt;0)*(ROW(職員マスタ!$A$6:$A$405)-5))),IFERROR(MATCH($B674,職員マスタ!$A$6:$A$405,0),"")))</f>
        <v/>
      </c>
      <c r="AO674" s="16">
        <f>IF(OR($B674="",$C674="",$D674=""),"",DATE($C674+2018,$D674,1))</f>
        <v/>
      </c>
    </row>
    <row r="675">
      <c r="A675" s="11" t="n"/>
      <c r="B675" s="12" t="n"/>
      <c r="C675" s="12" t="n"/>
      <c r="D675" s="12" t="n"/>
      <c r="E675" s="13" t="n"/>
      <c r="F675" s="12" t="n"/>
      <c r="G675" s="13" t="n"/>
      <c r="H675" s="12" t="n"/>
      <c r="I675" s="12" t="n"/>
      <c r="J675" s="12" t="n"/>
      <c r="K675" s="12" t="n"/>
      <c r="L675" s="11" t="n"/>
      <c r="M675" s="11" t="n"/>
      <c r="N675" s="11" t="n"/>
      <c r="O675" s="11" t="n"/>
      <c r="P675" s="12" t="n"/>
      <c r="Q675" s="11" t="n"/>
      <c r="R675" s="12" t="n"/>
      <c r="S675" s="11" t="n"/>
      <c r="T675" s="12" t="n"/>
      <c r="U675" s="12" t="n"/>
      <c r="V675" s="14">
        <f>IF($AN675="",IF($B675="","",$H675),IF(INDEX(職員マスタ!$B$6:$B$405,$AN675)="",$H675,INDEX(職員マスタ!$B$6:$B$405,$AN675)))</f>
        <v/>
      </c>
      <c r="W675" s="14">
        <f>IF($AN675="",IF($B675="","",$R675),IF(INDEX(職員マスタ!$C$6:$C$405,$AN675)="",$R675,INDEX(職員マスタ!$C$6:$C$405,$AN675)))</f>
        <v/>
      </c>
      <c r="X675" s="14">
        <f>IF($AO675="","","R"&amp;$C675&amp;"."&amp;$D675)</f>
        <v/>
      </c>
      <c r="Y675" s="15">
        <f>IF($AN675="","",IF(INDEX(職員マスタ!$K$6:$K$405,$AN675)="","",INDEX(職員マスタ!$K$6:$K$405,$AN675)))</f>
        <v/>
      </c>
      <c r="Z675" s="14">
        <f>IF(OR($E675="",$Y675=""),"",IF($E675&gt;=$Y675,"×",IF($E675&gt;=$Y675*設定!$C$5,"△","○")))</f>
        <v/>
      </c>
      <c r="AA675" s="15">
        <f>IF($Z675="","",IF($Z675="×",0,IF($Z675="○",ROUNDDOWN($E675*設定!$C$4,0),ROUNDDOWN($E675*ROUND((9*$Y675-9*$E675)/(10*$E675),4),0))))</f>
        <v/>
      </c>
      <c r="AB675" s="13" t="n"/>
      <c r="AC675" s="15">
        <f>IF($B675="","",IF($AB675&lt;&gt;"",$AB675,IF($AA675="","",IF($AA675&lt;=設定!$C$3,0,$AA675))))</f>
        <v/>
      </c>
      <c r="AD675" s="14">
        <f>IF($B675="","",IF(AND($AE675&lt;&gt;"",$AG675="",$AJ675=""),"保留中",IF($AJ675&lt;&gt;"",IF(N($AC675)&gt;0,"支給済","不支給"),IF($AC675="","要確認",IF($AC675=0,"不支給","未処理")))))</f>
        <v/>
      </c>
      <c r="AE675" s="12" t="n"/>
      <c r="AF675" s="11" t="n"/>
      <c r="AG675" s="11" t="n"/>
      <c r="AH675" s="11" t="n"/>
      <c r="AI675" s="14">
        <f>IF(AND($AD675="保留中",$AF675&lt;&gt;""),TODAY()-$AF675,"")</f>
        <v/>
      </c>
      <c r="AJ675" s="12" t="n"/>
      <c r="AK675" s="14">
        <f>IF($B675="","",IF($AO675="","対象年月が未入力／","")&amp;IF($B675="","",IF($AN675="","職員マスタに未登録の職員番号／",IF($Y675="","標準報酬月額が未登録／","")&amp;IF(AND($AO675&lt;&gt;"",OR(AND(INDEX(職員マスタ!$G$6:$G$405,$AN675)&lt;&gt;"",INDEX(職員マスタ!$G$6:$G$405,$AN675)&gt;EOMONTH($AO675,0)),AND(INDEX(職員マスタ!$H$6:$H$405,$AN675)&lt;&gt;"",INDEX(職員マスタ!$H$6:$H$405,$AN675)&lt;$AO675))),"対象月が時短期間外／","")&amp;IF(AND(INDEX(職員マスタ!$F$6:$F$405,$AN675)&lt;&gt;"",$AO675&lt;&gt;"",INDEX(職員マスタ!$F$6:$F$405,$AN675)&lt;$AO675),"対象月に子が2歳到達済／","")&amp;IF(AND($H675&lt;&gt;"",INDEX(職員マスタ!$B$6:$B$405,$AN675)&lt;&gt;"",SUBSTITUTE(SUBSTITUTE($H675," ","")," ","")&lt;&gt;SUBSTITUTE(SUBSTITUTE(INDEX(職員マスタ!$B$6:$B$405,$AN675)," ","")," ","")),"氏名がマスタと相違／","")&amp;IF(AND($Q675&lt;&gt;"",INDEX(職員マスタ!$E$6:$E$405,$AN675)&lt;&gt;"",$Q675&lt;&gt;INDEX(職員マスタ!$E$6:$E$405,$AN675)),"子の生年月日がマスタと相違／","")&amp;IF(AND($L675&lt;&gt;"",INDEX(職員マスタ!$G$6:$G$405,$AN675)&lt;&gt;"",$L675&lt;&gt;INDEX(職員マスタ!$G$6:$G$405,$AN675)),"時短開始日がマスタと相違／","")&amp;IF(AND($M675&lt;&gt;"",INDEX(職員マスタ!$H$6:$H$405,$AN675)&lt;&gt;"",$M675&lt;&gt;INDEX(職員マスタ!$H$6:$H$405,$AN675)),"時短終了日がマスタと相違／","")))&amp;IF(AND($B675&lt;&gt;"",$E675=""),"報酬額が未入力／","")&amp;IF(N($U675)&gt;0,"申請書に入力エラーが残っています／","")&amp;IF(AND($B675&lt;&gt;"",$AO675&lt;&gt;""),IF(COUNTIFS($B$6:$B$3005,$B675,$C$6:$C$3005,$C675,$D$6:$D$3005,$D675)&gt;1,"同じ月の請求が重複しています／",""),"")&amp;IF(AND(N($E675)&gt;0,$Z675&lt;&gt;"",$Z675&lt;&gt;"×",$AC675=0,$AB675=""),"計算額が下限以下のため不支給／",""))</f>
        <v/>
      </c>
      <c r="AL675" s="12" t="n"/>
      <c r="AM675" s="14">
        <f>IF($AD675="保留中",COUNTIF($AD$6:$AD675,"保留中"),"")</f>
        <v/>
      </c>
      <c r="AN675" s="14">
        <f>IF($AO675="","",IF(SUMPRODUCT(MAX((職員マスタ!$A$6:$A$405=$B675)*(((職員マスタ!$G$6:$G$405="")+(職員マスタ!$G$6:$G$405&lt;=EOMONTH($AO675,0)))&gt;0)*(((職員マスタ!$H$6:$H$405="")+(職員マスタ!$H$6:$H$405&gt;=$AO675))&gt;0)*(ROW(職員マスタ!$A$6:$A$405)-5)))&gt;0,SUMPRODUCT(MAX((職員マスタ!$A$6:$A$405=$B675)*(((職員マスタ!$G$6:$G$405="")+(職員マスタ!$G$6:$G$405&lt;=EOMONTH($AO675,0)))&gt;0)*(((職員マスタ!$H$6:$H$405="")+(職員マスタ!$H$6:$H$405&gt;=$AO675))&gt;0)*(ROW(職員マスタ!$A$6:$A$405)-5))),IFERROR(MATCH($B675,職員マスタ!$A$6:$A$405,0),"")))</f>
        <v/>
      </c>
      <c r="AO675" s="16">
        <f>IF(OR($B675="",$C675="",$D675=""),"",DATE($C675+2018,$D675,1))</f>
        <v/>
      </c>
    </row>
    <row r="676">
      <c r="A676" s="11" t="n"/>
      <c r="B676" s="12" t="n"/>
      <c r="C676" s="12" t="n"/>
      <c r="D676" s="12" t="n"/>
      <c r="E676" s="13" t="n"/>
      <c r="F676" s="12" t="n"/>
      <c r="G676" s="13" t="n"/>
      <c r="H676" s="12" t="n"/>
      <c r="I676" s="12" t="n"/>
      <c r="J676" s="12" t="n"/>
      <c r="K676" s="12" t="n"/>
      <c r="L676" s="11" t="n"/>
      <c r="M676" s="11" t="n"/>
      <c r="N676" s="11" t="n"/>
      <c r="O676" s="11" t="n"/>
      <c r="P676" s="12" t="n"/>
      <c r="Q676" s="11" t="n"/>
      <c r="R676" s="12" t="n"/>
      <c r="S676" s="11" t="n"/>
      <c r="T676" s="12" t="n"/>
      <c r="U676" s="12" t="n"/>
      <c r="V676" s="14">
        <f>IF($AN676="",IF($B676="","",$H676),IF(INDEX(職員マスタ!$B$6:$B$405,$AN676)="",$H676,INDEX(職員マスタ!$B$6:$B$405,$AN676)))</f>
        <v/>
      </c>
      <c r="W676" s="14">
        <f>IF($AN676="",IF($B676="","",$R676),IF(INDEX(職員マスタ!$C$6:$C$405,$AN676)="",$R676,INDEX(職員マスタ!$C$6:$C$405,$AN676)))</f>
        <v/>
      </c>
      <c r="X676" s="14">
        <f>IF($AO676="","","R"&amp;$C676&amp;"."&amp;$D676)</f>
        <v/>
      </c>
      <c r="Y676" s="15">
        <f>IF($AN676="","",IF(INDEX(職員マスタ!$K$6:$K$405,$AN676)="","",INDEX(職員マスタ!$K$6:$K$405,$AN676)))</f>
        <v/>
      </c>
      <c r="Z676" s="14">
        <f>IF(OR($E676="",$Y676=""),"",IF($E676&gt;=$Y676,"×",IF($E676&gt;=$Y676*設定!$C$5,"△","○")))</f>
        <v/>
      </c>
      <c r="AA676" s="15">
        <f>IF($Z676="","",IF($Z676="×",0,IF($Z676="○",ROUNDDOWN($E676*設定!$C$4,0),ROUNDDOWN($E676*ROUND((9*$Y676-9*$E676)/(10*$E676),4),0))))</f>
        <v/>
      </c>
      <c r="AB676" s="13" t="n"/>
      <c r="AC676" s="15">
        <f>IF($B676="","",IF($AB676&lt;&gt;"",$AB676,IF($AA676="","",IF($AA676&lt;=設定!$C$3,0,$AA676))))</f>
        <v/>
      </c>
      <c r="AD676" s="14">
        <f>IF($B676="","",IF(AND($AE676&lt;&gt;"",$AG676="",$AJ676=""),"保留中",IF($AJ676&lt;&gt;"",IF(N($AC676)&gt;0,"支給済","不支給"),IF($AC676="","要確認",IF($AC676=0,"不支給","未処理")))))</f>
        <v/>
      </c>
      <c r="AE676" s="12" t="n"/>
      <c r="AF676" s="11" t="n"/>
      <c r="AG676" s="11" t="n"/>
      <c r="AH676" s="11" t="n"/>
      <c r="AI676" s="14">
        <f>IF(AND($AD676="保留中",$AF676&lt;&gt;""),TODAY()-$AF676,"")</f>
        <v/>
      </c>
      <c r="AJ676" s="12" t="n"/>
      <c r="AK676" s="14">
        <f>IF($B676="","",IF($AO676="","対象年月が未入力／","")&amp;IF($B676="","",IF($AN676="","職員マスタに未登録の職員番号／",IF($Y676="","標準報酬月額が未登録／","")&amp;IF(AND($AO676&lt;&gt;"",OR(AND(INDEX(職員マスタ!$G$6:$G$405,$AN676)&lt;&gt;"",INDEX(職員マスタ!$G$6:$G$405,$AN676)&gt;EOMONTH($AO676,0)),AND(INDEX(職員マスタ!$H$6:$H$405,$AN676)&lt;&gt;"",INDEX(職員マスタ!$H$6:$H$405,$AN676)&lt;$AO676))),"対象月が時短期間外／","")&amp;IF(AND(INDEX(職員マスタ!$F$6:$F$405,$AN676)&lt;&gt;"",$AO676&lt;&gt;"",INDEX(職員マスタ!$F$6:$F$405,$AN676)&lt;$AO676),"対象月に子が2歳到達済／","")&amp;IF(AND($H676&lt;&gt;"",INDEX(職員マスタ!$B$6:$B$405,$AN676)&lt;&gt;"",SUBSTITUTE(SUBSTITUTE($H676," ","")," ","")&lt;&gt;SUBSTITUTE(SUBSTITUTE(INDEX(職員マスタ!$B$6:$B$405,$AN676)," ","")," ","")),"氏名がマスタと相違／","")&amp;IF(AND($Q676&lt;&gt;"",INDEX(職員マスタ!$E$6:$E$405,$AN676)&lt;&gt;"",$Q676&lt;&gt;INDEX(職員マスタ!$E$6:$E$405,$AN676)),"子の生年月日がマスタと相違／","")&amp;IF(AND($L676&lt;&gt;"",INDEX(職員マスタ!$G$6:$G$405,$AN676)&lt;&gt;"",$L676&lt;&gt;INDEX(職員マスタ!$G$6:$G$405,$AN676)),"時短開始日がマスタと相違／","")&amp;IF(AND($M676&lt;&gt;"",INDEX(職員マスタ!$H$6:$H$405,$AN676)&lt;&gt;"",$M676&lt;&gt;INDEX(職員マスタ!$H$6:$H$405,$AN676)),"時短終了日がマスタと相違／","")))&amp;IF(AND($B676&lt;&gt;"",$E676=""),"報酬額が未入力／","")&amp;IF(N($U676)&gt;0,"申請書に入力エラーが残っています／","")&amp;IF(AND($B676&lt;&gt;"",$AO676&lt;&gt;""),IF(COUNTIFS($B$6:$B$3005,$B676,$C$6:$C$3005,$C676,$D$6:$D$3005,$D676)&gt;1,"同じ月の請求が重複しています／",""),"")&amp;IF(AND(N($E676)&gt;0,$Z676&lt;&gt;"",$Z676&lt;&gt;"×",$AC676=0,$AB676=""),"計算額が下限以下のため不支給／",""))</f>
        <v/>
      </c>
      <c r="AL676" s="12" t="n"/>
      <c r="AM676" s="14">
        <f>IF($AD676="保留中",COUNTIF($AD$6:$AD676,"保留中"),"")</f>
        <v/>
      </c>
      <c r="AN676" s="14">
        <f>IF($AO676="","",IF(SUMPRODUCT(MAX((職員マスタ!$A$6:$A$405=$B676)*(((職員マスタ!$G$6:$G$405="")+(職員マスタ!$G$6:$G$405&lt;=EOMONTH($AO676,0)))&gt;0)*(((職員マスタ!$H$6:$H$405="")+(職員マスタ!$H$6:$H$405&gt;=$AO676))&gt;0)*(ROW(職員マスタ!$A$6:$A$405)-5)))&gt;0,SUMPRODUCT(MAX((職員マスタ!$A$6:$A$405=$B676)*(((職員マスタ!$G$6:$G$405="")+(職員マスタ!$G$6:$G$405&lt;=EOMONTH($AO676,0)))&gt;0)*(((職員マスタ!$H$6:$H$405="")+(職員マスタ!$H$6:$H$405&gt;=$AO676))&gt;0)*(ROW(職員マスタ!$A$6:$A$405)-5))),IFERROR(MATCH($B676,職員マスタ!$A$6:$A$405,0),"")))</f>
        <v/>
      </c>
      <c r="AO676" s="16">
        <f>IF(OR($B676="",$C676="",$D676=""),"",DATE($C676+2018,$D676,1))</f>
        <v/>
      </c>
    </row>
    <row r="677">
      <c r="A677" s="11" t="n"/>
      <c r="B677" s="12" t="n"/>
      <c r="C677" s="12" t="n"/>
      <c r="D677" s="12" t="n"/>
      <c r="E677" s="13" t="n"/>
      <c r="F677" s="12" t="n"/>
      <c r="G677" s="13" t="n"/>
      <c r="H677" s="12" t="n"/>
      <c r="I677" s="12" t="n"/>
      <c r="J677" s="12" t="n"/>
      <c r="K677" s="12" t="n"/>
      <c r="L677" s="11" t="n"/>
      <c r="M677" s="11" t="n"/>
      <c r="N677" s="11" t="n"/>
      <c r="O677" s="11" t="n"/>
      <c r="P677" s="12" t="n"/>
      <c r="Q677" s="11" t="n"/>
      <c r="R677" s="12" t="n"/>
      <c r="S677" s="11" t="n"/>
      <c r="T677" s="12" t="n"/>
      <c r="U677" s="12" t="n"/>
      <c r="V677" s="14">
        <f>IF($AN677="",IF($B677="","",$H677),IF(INDEX(職員マスタ!$B$6:$B$405,$AN677)="",$H677,INDEX(職員マスタ!$B$6:$B$405,$AN677)))</f>
        <v/>
      </c>
      <c r="W677" s="14">
        <f>IF($AN677="",IF($B677="","",$R677),IF(INDEX(職員マスタ!$C$6:$C$405,$AN677)="",$R677,INDEX(職員マスタ!$C$6:$C$405,$AN677)))</f>
        <v/>
      </c>
      <c r="X677" s="14">
        <f>IF($AO677="","","R"&amp;$C677&amp;"."&amp;$D677)</f>
        <v/>
      </c>
      <c r="Y677" s="15">
        <f>IF($AN677="","",IF(INDEX(職員マスタ!$K$6:$K$405,$AN677)="","",INDEX(職員マスタ!$K$6:$K$405,$AN677)))</f>
        <v/>
      </c>
      <c r="Z677" s="14">
        <f>IF(OR($E677="",$Y677=""),"",IF($E677&gt;=$Y677,"×",IF($E677&gt;=$Y677*設定!$C$5,"△","○")))</f>
        <v/>
      </c>
      <c r="AA677" s="15">
        <f>IF($Z677="","",IF($Z677="×",0,IF($Z677="○",ROUNDDOWN($E677*設定!$C$4,0),ROUNDDOWN($E677*ROUND((9*$Y677-9*$E677)/(10*$E677),4),0))))</f>
        <v/>
      </c>
      <c r="AB677" s="13" t="n"/>
      <c r="AC677" s="15">
        <f>IF($B677="","",IF($AB677&lt;&gt;"",$AB677,IF($AA677="","",IF($AA677&lt;=設定!$C$3,0,$AA677))))</f>
        <v/>
      </c>
      <c r="AD677" s="14">
        <f>IF($B677="","",IF(AND($AE677&lt;&gt;"",$AG677="",$AJ677=""),"保留中",IF($AJ677&lt;&gt;"",IF(N($AC677)&gt;0,"支給済","不支給"),IF($AC677="","要確認",IF($AC677=0,"不支給","未処理")))))</f>
        <v/>
      </c>
      <c r="AE677" s="12" t="n"/>
      <c r="AF677" s="11" t="n"/>
      <c r="AG677" s="11" t="n"/>
      <c r="AH677" s="11" t="n"/>
      <c r="AI677" s="14">
        <f>IF(AND($AD677="保留中",$AF677&lt;&gt;""),TODAY()-$AF677,"")</f>
        <v/>
      </c>
      <c r="AJ677" s="12" t="n"/>
      <c r="AK677" s="14">
        <f>IF($B677="","",IF($AO677="","対象年月が未入力／","")&amp;IF($B677="","",IF($AN677="","職員マスタに未登録の職員番号／",IF($Y677="","標準報酬月額が未登録／","")&amp;IF(AND($AO677&lt;&gt;"",OR(AND(INDEX(職員マスタ!$G$6:$G$405,$AN677)&lt;&gt;"",INDEX(職員マスタ!$G$6:$G$405,$AN677)&gt;EOMONTH($AO677,0)),AND(INDEX(職員マスタ!$H$6:$H$405,$AN677)&lt;&gt;"",INDEX(職員マスタ!$H$6:$H$405,$AN677)&lt;$AO677))),"対象月が時短期間外／","")&amp;IF(AND(INDEX(職員マスタ!$F$6:$F$405,$AN677)&lt;&gt;"",$AO677&lt;&gt;"",INDEX(職員マスタ!$F$6:$F$405,$AN677)&lt;$AO677),"対象月に子が2歳到達済／","")&amp;IF(AND($H677&lt;&gt;"",INDEX(職員マスタ!$B$6:$B$405,$AN677)&lt;&gt;"",SUBSTITUTE(SUBSTITUTE($H677," ","")," ","")&lt;&gt;SUBSTITUTE(SUBSTITUTE(INDEX(職員マスタ!$B$6:$B$405,$AN677)," ","")," ","")),"氏名がマスタと相違／","")&amp;IF(AND($Q677&lt;&gt;"",INDEX(職員マスタ!$E$6:$E$405,$AN677)&lt;&gt;"",$Q677&lt;&gt;INDEX(職員マスタ!$E$6:$E$405,$AN677)),"子の生年月日がマスタと相違／","")&amp;IF(AND($L677&lt;&gt;"",INDEX(職員マスタ!$G$6:$G$405,$AN677)&lt;&gt;"",$L677&lt;&gt;INDEX(職員マスタ!$G$6:$G$405,$AN677)),"時短開始日がマスタと相違／","")&amp;IF(AND($M677&lt;&gt;"",INDEX(職員マスタ!$H$6:$H$405,$AN677)&lt;&gt;"",$M677&lt;&gt;INDEX(職員マスタ!$H$6:$H$405,$AN677)),"時短終了日がマスタと相違／","")))&amp;IF(AND($B677&lt;&gt;"",$E677=""),"報酬額が未入力／","")&amp;IF(N($U677)&gt;0,"申請書に入力エラーが残っています／","")&amp;IF(AND($B677&lt;&gt;"",$AO677&lt;&gt;""),IF(COUNTIFS($B$6:$B$3005,$B677,$C$6:$C$3005,$C677,$D$6:$D$3005,$D677)&gt;1,"同じ月の請求が重複しています／",""),"")&amp;IF(AND(N($E677)&gt;0,$Z677&lt;&gt;"",$Z677&lt;&gt;"×",$AC677=0,$AB677=""),"計算額が下限以下のため不支給／",""))</f>
        <v/>
      </c>
      <c r="AL677" s="12" t="n"/>
      <c r="AM677" s="14">
        <f>IF($AD677="保留中",COUNTIF($AD$6:$AD677,"保留中"),"")</f>
        <v/>
      </c>
      <c r="AN677" s="14">
        <f>IF($AO677="","",IF(SUMPRODUCT(MAX((職員マスタ!$A$6:$A$405=$B677)*(((職員マスタ!$G$6:$G$405="")+(職員マスタ!$G$6:$G$405&lt;=EOMONTH($AO677,0)))&gt;0)*(((職員マスタ!$H$6:$H$405="")+(職員マスタ!$H$6:$H$405&gt;=$AO677))&gt;0)*(ROW(職員マスタ!$A$6:$A$405)-5)))&gt;0,SUMPRODUCT(MAX((職員マスタ!$A$6:$A$405=$B677)*(((職員マスタ!$G$6:$G$405="")+(職員マスタ!$G$6:$G$405&lt;=EOMONTH($AO677,0)))&gt;0)*(((職員マスタ!$H$6:$H$405="")+(職員マスタ!$H$6:$H$405&gt;=$AO677))&gt;0)*(ROW(職員マスタ!$A$6:$A$405)-5))),IFERROR(MATCH($B677,職員マスタ!$A$6:$A$405,0),"")))</f>
        <v/>
      </c>
      <c r="AO677" s="16">
        <f>IF(OR($B677="",$C677="",$D677=""),"",DATE($C677+2018,$D677,1))</f>
        <v/>
      </c>
    </row>
    <row r="678">
      <c r="A678" s="11" t="n"/>
      <c r="B678" s="12" t="n"/>
      <c r="C678" s="12" t="n"/>
      <c r="D678" s="12" t="n"/>
      <c r="E678" s="13" t="n"/>
      <c r="F678" s="12" t="n"/>
      <c r="G678" s="13" t="n"/>
      <c r="H678" s="12" t="n"/>
      <c r="I678" s="12" t="n"/>
      <c r="J678" s="12" t="n"/>
      <c r="K678" s="12" t="n"/>
      <c r="L678" s="11" t="n"/>
      <c r="M678" s="11" t="n"/>
      <c r="N678" s="11" t="n"/>
      <c r="O678" s="11" t="n"/>
      <c r="P678" s="12" t="n"/>
      <c r="Q678" s="11" t="n"/>
      <c r="R678" s="12" t="n"/>
      <c r="S678" s="11" t="n"/>
      <c r="T678" s="12" t="n"/>
      <c r="U678" s="12" t="n"/>
      <c r="V678" s="14">
        <f>IF($AN678="",IF($B678="","",$H678),IF(INDEX(職員マスタ!$B$6:$B$405,$AN678)="",$H678,INDEX(職員マスタ!$B$6:$B$405,$AN678)))</f>
        <v/>
      </c>
      <c r="W678" s="14">
        <f>IF($AN678="",IF($B678="","",$R678),IF(INDEX(職員マスタ!$C$6:$C$405,$AN678)="",$R678,INDEX(職員マスタ!$C$6:$C$405,$AN678)))</f>
        <v/>
      </c>
      <c r="X678" s="14">
        <f>IF($AO678="","","R"&amp;$C678&amp;"."&amp;$D678)</f>
        <v/>
      </c>
      <c r="Y678" s="15">
        <f>IF($AN678="","",IF(INDEX(職員マスタ!$K$6:$K$405,$AN678)="","",INDEX(職員マスタ!$K$6:$K$405,$AN678)))</f>
        <v/>
      </c>
      <c r="Z678" s="14">
        <f>IF(OR($E678="",$Y678=""),"",IF($E678&gt;=$Y678,"×",IF($E678&gt;=$Y678*設定!$C$5,"△","○")))</f>
        <v/>
      </c>
      <c r="AA678" s="15">
        <f>IF($Z678="","",IF($Z678="×",0,IF($Z678="○",ROUNDDOWN($E678*設定!$C$4,0),ROUNDDOWN($E678*ROUND((9*$Y678-9*$E678)/(10*$E678),4),0))))</f>
        <v/>
      </c>
      <c r="AB678" s="13" t="n"/>
      <c r="AC678" s="15">
        <f>IF($B678="","",IF($AB678&lt;&gt;"",$AB678,IF($AA678="","",IF($AA678&lt;=設定!$C$3,0,$AA678))))</f>
        <v/>
      </c>
      <c r="AD678" s="14">
        <f>IF($B678="","",IF(AND($AE678&lt;&gt;"",$AG678="",$AJ678=""),"保留中",IF($AJ678&lt;&gt;"",IF(N($AC678)&gt;0,"支給済","不支給"),IF($AC678="","要確認",IF($AC678=0,"不支給","未処理")))))</f>
        <v/>
      </c>
      <c r="AE678" s="12" t="n"/>
      <c r="AF678" s="11" t="n"/>
      <c r="AG678" s="11" t="n"/>
      <c r="AH678" s="11" t="n"/>
      <c r="AI678" s="14">
        <f>IF(AND($AD678="保留中",$AF678&lt;&gt;""),TODAY()-$AF678,"")</f>
        <v/>
      </c>
      <c r="AJ678" s="12" t="n"/>
      <c r="AK678" s="14">
        <f>IF($B678="","",IF($AO678="","対象年月が未入力／","")&amp;IF($B678="","",IF($AN678="","職員マスタに未登録の職員番号／",IF($Y678="","標準報酬月額が未登録／","")&amp;IF(AND($AO678&lt;&gt;"",OR(AND(INDEX(職員マスタ!$G$6:$G$405,$AN678)&lt;&gt;"",INDEX(職員マスタ!$G$6:$G$405,$AN678)&gt;EOMONTH($AO678,0)),AND(INDEX(職員マスタ!$H$6:$H$405,$AN678)&lt;&gt;"",INDEX(職員マスタ!$H$6:$H$405,$AN678)&lt;$AO678))),"対象月が時短期間外／","")&amp;IF(AND(INDEX(職員マスタ!$F$6:$F$405,$AN678)&lt;&gt;"",$AO678&lt;&gt;"",INDEX(職員マスタ!$F$6:$F$405,$AN678)&lt;$AO678),"対象月に子が2歳到達済／","")&amp;IF(AND($H678&lt;&gt;"",INDEX(職員マスタ!$B$6:$B$405,$AN678)&lt;&gt;"",SUBSTITUTE(SUBSTITUTE($H678," ","")," ","")&lt;&gt;SUBSTITUTE(SUBSTITUTE(INDEX(職員マスタ!$B$6:$B$405,$AN678)," ","")," ","")),"氏名がマスタと相違／","")&amp;IF(AND($Q678&lt;&gt;"",INDEX(職員マスタ!$E$6:$E$405,$AN678)&lt;&gt;"",$Q678&lt;&gt;INDEX(職員マスタ!$E$6:$E$405,$AN678)),"子の生年月日がマスタと相違／","")&amp;IF(AND($L678&lt;&gt;"",INDEX(職員マスタ!$G$6:$G$405,$AN678)&lt;&gt;"",$L678&lt;&gt;INDEX(職員マスタ!$G$6:$G$405,$AN678)),"時短開始日がマスタと相違／","")&amp;IF(AND($M678&lt;&gt;"",INDEX(職員マスタ!$H$6:$H$405,$AN678)&lt;&gt;"",$M678&lt;&gt;INDEX(職員マスタ!$H$6:$H$405,$AN678)),"時短終了日がマスタと相違／","")))&amp;IF(AND($B678&lt;&gt;"",$E678=""),"報酬額が未入力／","")&amp;IF(N($U678)&gt;0,"申請書に入力エラーが残っています／","")&amp;IF(AND($B678&lt;&gt;"",$AO678&lt;&gt;""),IF(COUNTIFS($B$6:$B$3005,$B678,$C$6:$C$3005,$C678,$D$6:$D$3005,$D678)&gt;1,"同じ月の請求が重複しています／",""),"")&amp;IF(AND(N($E678)&gt;0,$Z678&lt;&gt;"",$Z678&lt;&gt;"×",$AC678=0,$AB678=""),"計算額が下限以下のため不支給／",""))</f>
        <v/>
      </c>
      <c r="AL678" s="12" t="n"/>
      <c r="AM678" s="14">
        <f>IF($AD678="保留中",COUNTIF($AD$6:$AD678,"保留中"),"")</f>
        <v/>
      </c>
      <c r="AN678" s="14">
        <f>IF($AO678="","",IF(SUMPRODUCT(MAX((職員マスタ!$A$6:$A$405=$B678)*(((職員マスタ!$G$6:$G$405="")+(職員マスタ!$G$6:$G$405&lt;=EOMONTH($AO678,0)))&gt;0)*(((職員マスタ!$H$6:$H$405="")+(職員マスタ!$H$6:$H$405&gt;=$AO678))&gt;0)*(ROW(職員マスタ!$A$6:$A$405)-5)))&gt;0,SUMPRODUCT(MAX((職員マスタ!$A$6:$A$405=$B678)*(((職員マスタ!$G$6:$G$405="")+(職員マスタ!$G$6:$G$405&lt;=EOMONTH($AO678,0)))&gt;0)*(((職員マスタ!$H$6:$H$405="")+(職員マスタ!$H$6:$H$405&gt;=$AO678))&gt;0)*(ROW(職員マスタ!$A$6:$A$405)-5))),IFERROR(MATCH($B678,職員マスタ!$A$6:$A$405,0),"")))</f>
        <v/>
      </c>
      <c r="AO678" s="16">
        <f>IF(OR($B678="",$C678="",$D678=""),"",DATE($C678+2018,$D678,1))</f>
        <v/>
      </c>
    </row>
    <row r="679">
      <c r="A679" s="11" t="n"/>
      <c r="B679" s="12" t="n"/>
      <c r="C679" s="12" t="n"/>
      <c r="D679" s="12" t="n"/>
      <c r="E679" s="13" t="n"/>
      <c r="F679" s="12" t="n"/>
      <c r="G679" s="13" t="n"/>
      <c r="H679" s="12" t="n"/>
      <c r="I679" s="12" t="n"/>
      <c r="J679" s="12" t="n"/>
      <c r="K679" s="12" t="n"/>
      <c r="L679" s="11" t="n"/>
      <c r="M679" s="11" t="n"/>
      <c r="N679" s="11" t="n"/>
      <c r="O679" s="11" t="n"/>
      <c r="P679" s="12" t="n"/>
      <c r="Q679" s="11" t="n"/>
      <c r="R679" s="12" t="n"/>
      <c r="S679" s="11" t="n"/>
      <c r="T679" s="12" t="n"/>
      <c r="U679" s="12" t="n"/>
      <c r="V679" s="14">
        <f>IF($AN679="",IF($B679="","",$H679),IF(INDEX(職員マスタ!$B$6:$B$405,$AN679)="",$H679,INDEX(職員マスタ!$B$6:$B$405,$AN679)))</f>
        <v/>
      </c>
      <c r="W679" s="14">
        <f>IF($AN679="",IF($B679="","",$R679),IF(INDEX(職員マスタ!$C$6:$C$405,$AN679)="",$R679,INDEX(職員マスタ!$C$6:$C$405,$AN679)))</f>
        <v/>
      </c>
      <c r="X679" s="14">
        <f>IF($AO679="","","R"&amp;$C679&amp;"."&amp;$D679)</f>
        <v/>
      </c>
      <c r="Y679" s="15">
        <f>IF($AN679="","",IF(INDEX(職員マスタ!$K$6:$K$405,$AN679)="","",INDEX(職員マスタ!$K$6:$K$405,$AN679)))</f>
        <v/>
      </c>
      <c r="Z679" s="14">
        <f>IF(OR($E679="",$Y679=""),"",IF($E679&gt;=$Y679,"×",IF($E679&gt;=$Y679*設定!$C$5,"△","○")))</f>
        <v/>
      </c>
      <c r="AA679" s="15">
        <f>IF($Z679="","",IF($Z679="×",0,IF($Z679="○",ROUNDDOWN($E679*設定!$C$4,0),ROUNDDOWN($E679*ROUND((9*$Y679-9*$E679)/(10*$E679),4),0))))</f>
        <v/>
      </c>
      <c r="AB679" s="13" t="n"/>
      <c r="AC679" s="15">
        <f>IF($B679="","",IF($AB679&lt;&gt;"",$AB679,IF($AA679="","",IF($AA679&lt;=設定!$C$3,0,$AA679))))</f>
        <v/>
      </c>
      <c r="AD679" s="14">
        <f>IF($B679="","",IF(AND($AE679&lt;&gt;"",$AG679="",$AJ679=""),"保留中",IF($AJ679&lt;&gt;"",IF(N($AC679)&gt;0,"支給済","不支給"),IF($AC679="","要確認",IF($AC679=0,"不支給","未処理")))))</f>
        <v/>
      </c>
      <c r="AE679" s="12" t="n"/>
      <c r="AF679" s="11" t="n"/>
      <c r="AG679" s="11" t="n"/>
      <c r="AH679" s="11" t="n"/>
      <c r="AI679" s="14">
        <f>IF(AND($AD679="保留中",$AF679&lt;&gt;""),TODAY()-$AF679,"")</f>
        <v/>
      </c>
      <c r="AJ679" s="12" t="n"/>
      <c r="AK679" s="14">
        <f>IF($B679="","",IF($AO679="","対象年月が未入力／","")&amp;IF($B679="","",IF($AN679="","職員マスタに未登録の職員番号／",IF($Y679="","標準報酬月額が未登録／","")&amp;IF(AND($AO679&lt;&gt;"",OR(AND(INDEX(職員マスタ!$G$6:$G$405,$AN679)&lt;&gt;"",INDEX(職員マスタ!$G$6:$G$405,$AN679)&gt;EOMONTH($AO679,0)),AND(INDEX(職員マスタ!$H$6:$H$405,$AN679)&lt;&gt;"",INDEX(職員マスタ!$H$6:$H$405,$AN679)&lt;$AO679))),"対象月が時短期間外／","")&amp;IF(AND(INDEX(職員マスタ!$F$6:$F$405,$AN679)&lt;&gt;"",$AO679&lt;&gt;"",INDEX(職員マスタ!$F$6:$F$405,$AN679)&lt;$AO679),"対象月に子が2歳到達済／","")&amp;IF(AND($H679&lt;&gt;"",INDEX(職員マスタ!$B$6:$B$405,$AN679)&lt;&gt;"",SUBSTITUTE(SUBSTITUTE($H679," ","")," ","")&lt;&gt;SUBSTITUTE(SUBSTITUTE(INDEX(職員マスタ!$B$6:$B$405,$AN679)," ","")," ","")),"氏名がマスタと相違／","")&amp;IF(AND($Q679&lt;&gt;"",INDEX(職員マスタ!$E$6:$E$405,$AN679)&lt;&gt;"",$Q679&lt;&gt;INDEX(職員マスタ!$E$6:$E$405,$AN679)),"子の生年月日がマスタと相違／","")&amp;IF(AND($L679&lt;&gt;"",INDEX(職員マスタ!$G$6:$G$405,$AN679)&lt;&gt;"",$L679&lt;&gt;INDEX(職員マスタ!$G$6:$G$405,$AN679)),"時短開始日がマスタと相違／","")&amp;IF(AND($M679&lt;&gt;"",INDEX(職員マスタ!$H$6:$H$405,$AN679)&lt;&gt;"",$M679&lt;&gt;INDEX(職員マスタ!$H$6:$H$405,$AN679)),"時短終了日がマスタと相違／","")))&amp;IF(AND($B679&lt;&gt;"",$E679=""),"報酬額が未入力／","")&amp;IF(N($U679)&gt;0,"申請書に入力エラーが残っています／","")&amp;IF(AND($B679&lt;&gt;"",$AO679&lt;&gt;""),IF(COUNTIFS($B$6:$B$3005,$B679,$C$6:$C$3005,$C679,$D$6:$D$3005,$D679)&gt;1,"同じ月の請求が重複しています／",""),"")&amp;IF(AND(N($E679)&gt;0,$Z679&lt;&gt;"",$Z679&lt;&gt;"×",$AC679=0,$AB679=""),"計算額が下限以下のため不支給／",""))</f>
        <v/>
      </c>
      <c r="AL679" s="12" t="n"/>
      <c r="AM679" s="14">
        <f>IF($AD679="保留中",COUNTIF($AD$6:$AD679,"保留中"),"")</f>
        <v/>
      </c>
      <c r="AN679" s="14">
        <f>IF($AO679="","",IF(SUMPRODUCT(MAX((職員マスタ!$A$6:$A$405=$B679)*(((職員マスタ!$G$6:$G$405="")+(職員マスタ!$G$6:$G$405&lt;=EOMONTH($AO679,0)))&gt;0)*(((職員マスタ!$H$6:$H$405="")+(職員マスタ!$H$6:$H$405&gt;=$AO679))&gt;0)*(ROW(職員マスタ!$A$6:$A$405)-5)))&gt;0,SUMPRODUCT(MAX((職員マスタ!$A$6:$A$405=$B679)*(((職員マスタ!$G$6:$G$405="")+(職員マスタ!$G$6:$G$405&lt;=EOMONTH($AO679,0)))&gt;0)*(((職員マスタ!$H$6:$H$405="")+(職員マスタ!$H$6:$H$405&gt;=$AO679))&gt;0)*(ROW(職員マスタ!$A$6:$A$405)-5))),IFERROR(MATCH($B679,職員マスタ!$A$6:$A$405,0),"")))</f>
        <v/>
      </c>
      <c r="AO679" s="16">
        <f>IF(OR($B679="",$C679="",$D679=""),"",DATE($C679+2018,$D679,1))</f>
        <v/>
      </c>
    </row>
    <row r="680">
      <c r="A680" s="11" t="n"/>
      <c r="B680" s="12" t="n"/>
      <c r="C680" s="12" t="n"/>
      <c r="D680" s="12" t="n"/>
      <c r="E680" s="13" t="n"/>
      <c r="F680" s="12" t="n"/>
      <c r="G680" s="13" t="n"/>
      <c r="H680" s="12" t="n"/>
      <c r="I680" s="12" t="n"/>
      <c r="J680" s="12" t="n"/>
      <c r="K680" s="12" t="n"/>
      <c r="L680" s="11" t="n"/>
      <c r="M680" s="11" t="n"/>
      <c r="N680" s="11" t="n"/>
      <c r="O680" s="11" t="n"/>
      <c r="P680" s="12" t="n"/>
      <c r="Q680" s="11" t="n"/>
      <c r="R680" s="12" t="n"/>
      <c r="S680" s="11" t="n"/>
      <c r="T680" s="12" t="n"/>
      <c r="U680" s="12" t="n"/>
      <c r="V680" s="14">
        <f>IF($AN680="",IF($B680="","",$H680),IF(INDEX(職員マスタ!$B$6:$B$405,$AN680)="",$H680,INDEX(職員マスタ!$B$6:$B$405,$AN680)))</f>
        <v/>
      </c>
      <c r="W680" s="14">
        <f>IF($AN680="",IF($B680="","",$R680),IF(INDEX(職員マスタ!$C$6:$C$405,$AN680)="",$R680,INDEX(職員マスタ!$C$6:$C$405,$AN680)))</f>
        <v/>
      </c>
      <c r="X680" s="14">
        <f>IF($AO680="","","R"&amp;$C680&amp;"."&amp;$D680)</f>
        <v/>
      </c>
      <c r="Y680" s="15">
        <f>IF($AN680="","",IF(INDEX(職員マスタ!$K$6:$K$405,$AN680)="","",INDEX(職員マスタ!$K$6:$K$405,$AN680)))</f>
        <v/>
      </c>
      <c r="Z680" s="14">
        <f>IF(OR($E680="",$Y680=""),"",IF($E680&gt;=$Y680,"×",IF($E680&gt;=$Y680*設定!$C$5,"△","○")))</f>
        <v/>
      </c>
      <c r="AA680" s="15">
        <f>IF($Z680="","",IF($Z680="×",0,IF($Z680="○",ROUNDDOWN($E680*設定!$C$4,0),ROUNDDOWN($E680*ROUND((9*$Y680-9*$E680)/(10*$E680),4),0))))</f>
        <v/>
      </c>
      <c r="AB680" s="13" t="n"/>
      <c r="AC680" s="15">
        <f>IF($B680="","",IF($AB680&lt;&gt;"",$AB680,IF($AA680="","",IF($AA680&lt;=設定!$C$3,0,$AA680))))</f>
        <v/>
      </c>
      <c r="AD680" s="14">
        <f>IF($B680="","",IF(AND($AE680&lt;&gt;"",$AG680="",$AJ680=""),"保留中",IF($AJ680&lt;&gt;"",IF(N($AC680)&gt;0,"支給済","不支給"),IF($AC680="","要確認",IF($AC680=0,"不支給","未処理")))))</f>
        <v/>
      </c>
      <c r="AE680" s="12" t="n"/>
      <c r="AF680" s="11" t="n"/>
      <c r="AG680" s="11" t="n"/>
      <c r="AH680" s="11" t="n"/>
      <c r="AI680" s="14">
        <f>IF(AND($AD680="保留中",$AF680&lt;&gt;""),TODAY()-$AF680,"")</f>
        <v/>
      </c>
      <c r="AJ680" s="12" t="n"/>
      <c r="AK680" s="14">
        <f>IF($B680="","",IF($AO680="","対象年月が未入力／","")&amp;IF($B680="","",IF($AN680="","職員マスタに未登録の職員番号／",IF($Y680="","標準報酬月額が未登録／","")&amp;IF(AND($AO680&lt;&gt;"",OR(AND(INDEX(職員マスタ!$G$6:$G$405,$AN680)&lt;&gt;"",INDEX(職員マスタ!$G$6:$G$405,$AN680)&gt;EOMONTH($AO680,0)),AND(INDEX(職員マスタ!$H$6:$H$405,$AN680)&lt;&gt;"",INDEX(職員マスタ!$H$6:$H$405,$AN680)&lt;$AO680))),"対象月が時短期間外／","")&amp;IF(AND(INDEX(職員マスタ!$F$6:$F$405,$AN680)&lt;&gt;"",$AO680&lt;&gt;"",INDEX(職員マスタ!$F$6:$F$405,$AN680)&lt;$AO680),"対象月に子が2歳到達済／","")&amp;IF(AND($H680&lt;&gt;"",INDEX(職員マスタ!$B$6:$B$405,$AN680)&lt;&gt;"",SUBSTITUTE(SUBSTITUTE($H680," ","")," ","")&lt;&gt;SUBSTITUTE(SUBSTITUTE(INDEX(職員マスタ!$B$6:$B$405,$AN680)," ","")," ","")),"氏名がマスタと相違／","")&amp;IF(AND($Q680&lt;&gt;"",INDEX(職員マスタ!$E$6:$E$405,$AN680)&lt;&gt;"",$Q680&lt;&gt;INDEX(職員マスタ!$E$6:$E$405,$AN680)),"子の生年月日がマスタと相違／","")&amp;IF(AND($L680&lt;&gt;"",INDEX(職員マスタ!$G$6:$G$405,$AN680)&lt;&gt;"",$L680&lt;&gt;INDEX(職員マスタ!$G$6:$G$405,$AN680)),"時短開始日がマスタと相違／","")&amp;IF(AND($M680&lt;&gt;"",INDEX(職員マスタ!$H$6:$H$405,$AN680)&lt;&gt;"",$M680&lt;&gt;INDEX(職員マスタ!$H$6:$H$405,$AN680)),"時短終了日がマスタと相違／","")))&amp;IF(AND($B680&lt;&gt;"",$E680=""),"報酬額が未入力／","")&amp;IF(N($U680)&gt;0,"申請書に入力エラーが残っています／","")&amp;IF(AND($B680&lt;&gt;"",$AO680&lt;&gt;""),IF(COUNTIFS($B$6:$B$3005,$B680,$C$6:$C$3005,$C680,$D$6:$D$3005,$D680)&gt;1,"同じ月の請求が重複しています／",""),"")&amp;IF(AND(N($E680)&gt;0,$Z680&lt;&gt;"",$Z680&lt;&gt;"×",$AC680=0,$AB680=""),"計算額が下限以下のため不支給／",""))</f>
        <v/>
      </c>
      <c r="AL680" s="12" t="n"/>
      <c r="AM680" s="14">
        <f>IF($AD680="保留中",COUNTIF($AD$6:$AD680,"保留中"),"")</f>
        <v/>
      </c>
      <c r="AN680" s="14">
        <f>IF($AO680="","",IF(SUMPRODUCT(MAX((職員マスタ!$A$6:$A$405=$B680)*(((職員マスタ!$G$6:$G$405="")+(職員マスタ!$G$6:$G$405&lt;=EOMONTH($AO680,0)))&gt;0)*(((職員マスタ!$H$6:$H$405="")+(職員マスタ!$H$6:$H$405&gt;=$AO680))&gt;0)*(ROW(職員マスタ!$A$6:$A$405)-5)))&gt;0,SUMPRODUCT(MAX((職員マスタ!$A$6:$A$405=$B680)*(((職員マスタ!$G$6:$G$405="")+(職員マスタ!$G$6:$G$405&lt;=EOMONTH($AO680,0)))&gt;0)*(((職員マスタ!$H$6:$H$405="")+(職員マスタ!$H$6:$H$405&gt;=$AO680))&gt;0)*(ROW(職員マスタ!$A$6:$A$405)-5))),IFERROR(MATCH($B680,職員マスタ!$A$6:$A$405,0),"")))</f>
        <v/>
      </c>
      <c r="AO680" s="16">
        <f>IF(OR($B680="",$C680="",$D680=""),"",DATE($C680+2018,$D680,1))</f>
        <v/>
      </c>
    </row>
    <row r="681">
      <c r="A681" s="11" t="n"/>
      <c r="B681" s="12" t="n"/>
      <c r="C681" s="12" t="n"/>
      <c r="D681" s="12" t="n"/>
      <c r="E681" s="13" t="n"/>
      <c r="F681" s="12" t="n"/>
      <c r="G681" s="13" t="n"/>
      <c r="H681" s="12" t="n"/>
      <c r="I681" s="12" t="n"/>
      <c r="J681" s="12" t="n"/>
      <c r="K681" s="12" t="n"/>
      <c r="L681" s="11" t="n"/>
      <c r="M681" s="11" t="n"/>
      <c r="N681" s="11" t="n"/>
      <c r="O681" s="11" t="n"/>
      <c r="P681" s="12" t="n"/>
      <c r="Q681" s="11" t="n"/>
      <c r="R681" s="12" t="n"/>
      <c r="S681" s="11" t="n"/>
      <c r="T681" s="12" t="n"/>
      <c r="U681" s="12" t="n"/>
      <c r="V681" s="14">
        <f>IF($AN681="",IF($B681="","",$H681),IF(INDEX(職員マスタ!$B$6:$B$405,$AN681)="",$H681,INDEX(職員マスタ!$B$6:$B$405,$AN681)))</f>
        <v/>
      </c>
      <c r="W681" s="14">
        <f>IF($AN681="",IF($B681="","",$R681),IF(INDEX(職員マスタ!$C$6:$C$405,$AN681)="",$R681,INDEX(職員マスタ!$C$6:$C$405,$AN681)))</f>
        <v/>
      </c>
      <c r="X681" s="14">
        <f>IF($AO681="","","R"&amp;$C681&amp;"."&amp;$D681)</f>
        <v/>
      </c>
      <c r="Y681" s="15">
        <f>IF($AN681="","",IF(INDEX(職員マスタ!$K$6:$K$405,$AN681)="","",INDEX(職員マスタ!$K$6:$K$405,$AN681)))</f>
        <v/>
      </c>
      <c r="Z681" s="14">
        <f>IF(OR($E681="",$Y681=""),"",IF($E681&gt;=$Y681,"×",IF($E681&gt;=$Y681*設定!$C$5,"△","○")))</f>
        <v/>
      </c>
      <c r="AA681" s="15">
        <f>IF($Z681="","",IF($Z681="×",0,IF($Z681="○",ROUNDDOWN($E681*設定!$C$4,0),ROUNDDOWN($E681*ROUND((9*$Y681-9*$E681)/(10*$E681),4),0))))</f>
        <v/>
      </c>
      <c r="AB681" s="13" t="n"/>
      <c r="AC681" s="15">
        <f>IF($B681="","",IF($AB681&lt;&gt;"",$AB681,IF($AA681="","",IF($AA681&lt;=設定!$C$3,0,$AA681))))</f>
        <v/>
      </c>
      <c r="AD681" s="14">
        <f>IF($B681="","",IF(AND($AE681&lt;&gt;"",$AG681="",$AJ681=""),"保留中",IF($AJ681&lt;&gt;"",IF(N($AC681)&gt;0,"支給済","不支給"),IF($AC681="","要確認",IF($AC681=0,"不支給","未処理")))))</f>
        <v/>
      </c>
      <c r="AE681" s="12" t="n"/>
      <c r="AF681" s="11" t="n"/>
      <c r="AG681" s="11" t="n"/>
      <c r="AH681" s="11" t="n"/>
      <c r="AI681" s="14">
        <f>IF(AND($AD681="保留中",$AF681&lt;&gt;""),TODAY()-$AF681,"")</f>
        <v/>
      </c>
      <c r="AJ681" s="12" t="n"/>
      <c r="AK681" s="14">
        <f>IF($B681="","",IF($AO681="","対象年月が未入力／","")&amp;IF($B681="","",IF($AN681="","職員マスタに未登録の職員番号／",IF($Y681="","標準報酬月額が未登録／","")&amp;IF(AND($AO681&lt;&gt;"",OR(AND(INDEX(職員マスタ!$G$6:$G$405,$AN681)&lt;&gt;"",INDEX(職員マスタ!$G$6:$G$405,$AN681)&gt;EOMONTH($AO681,0)),AND(INDEX(職員マスタ!$H$6:$H$405,$AN681)&lt;&gt;"",INDEX(職員マスタ!$H$6:$H$405,$AN681)&lt;$AO681))),"対象月が時短期間外／","")&amp;IF(AND(INDEX(職員マスタ!$F$6:$F$405,$AN681)&lt;&gt;"",$AO681&lt;&gt;"",INDEX(職員マスタ!$F$6:$F$405,$AN681)&lt;$AO681),"対象月に子が2歳到達済／","")&amp;IF(AND($H681&lt;&gt;"",INDEX(職員マスタ!$B$6:$B$405,$AN681)&lt;&gt;"",SUBSTITUTE(SUBSTITUTE($H681," ","")," ","")&lt;&gt;SUBSTITUTE(SUBSTITUTE(INDEX(職員マスタ!$B$6:$B$405,$AN681)," ","")," ","")),"氏名がマスタと相違／","")&amp;IF(AND($Q681&lt;&gt;"",INDEX(職員マスタ!$E$6:$E$405,$AN681)&lt;&gt;"",$Q681&lt;&gt;INDEX(職員マスタ!$E$6:$E$405,$AN681)),"子の生年月日がマスタと相違／","")&amp;IF(AND($L681&lt;&gt;"",INDEX(職員マスタ!$G$6:$G$405,$AN681)&lt;&gt;"",$L681&lt;&gt;INDEX(職員マスタ!$G$6:$G$405,$AN681)),"時短開始日がマスタと相違／","")&amp;IF(AND($M681&lt;&gt;"",INDEX(職員マスタ!$H$6:$H$405,$AN681)&lt;&gt;"",$M681&lt;&gt;INDEX(職員マスタ!$H$6:$H$405,$AN681)),"時短終了日がマスタと相違／","")))&amp;IF(AND($B681&lt;&gt;"",$E681=""),"報酬額が未入力／","")&amp;IF(N($U681)&gt;0,"申請書に入力エラーが残っています／","")&amp;IF(AND($B681&lt;&gt;"",$AO681&lt;&gt;""),IF(COUNTIFS($B$6:$B$3005,$B681,$C$6:$C$3005,$C681,$D$6:$D$3005,$D681)&gt;1,"同じ月の請求が重複しています／",""),"")&amp;IF(AND(N($E681)&gt;0,$Z681&lt;&gt;"",$Z681&lt;&gt;"×",$AC681=0,$AB681=""),"計算額が下限以下のため不支給／",""))</f>
        <v/>
      </c>
      <c r="AL681" s="12" t="n"/>
      <c r="AM681" s="14">
        <f>IF($AD681="保留中",COUNTIF($AD$6:$AD681,"保留中"),"")</f>
        <v/>
      </c>
      <c r="AN681" s="14">
        <f>IF($AO681="","",IF(SUMPRODUCT(MAX((職員マスタ!$A$6:$A$405=$B681)*(((職員マスタ!$G$6:$G$405="")+(職員マスタ!$G$6:$G$405&lt;=EOMONTH($AO681,0)))&gt;0)*(((職員マスタ!$H$6:$H$405="")+(職員マスタ!$H$6:$H$405&gt;=$AO681))&gt;0)*(ROW(職員マスタ!$A$6:$A$405)-5)))&gt;0,SUMPRODUCT(MAX((職員マスタ!$A$6:$A$405=$B681)*(((職員マスタ!$G$6:$G$405="")+(職員マスタ!$G$6:$G$405&lt;=EOMONTH($AO681,0)))&gt;0)*(((職員マスタ!$H$6:$H$405="")+(職員マスタ!$H$6:$H$405&gt;=$AO681))&gt;0)*(ROW(職員マスタ!$A$6:$A$405)-5))),IFERROR(MATCH($B681,職員マスタ!$A$6:$A$405,0),"")))</f>
        <v/>
      </c>
      <c r="AO681" s="16">
        <f>IF(OR($B681="",$C681="",$D681=""),"",DATE($C681+2018,$D681,1))</f>
        <v/>
      </c>
    </row>
    <row r="682">
      <c r="A682" s="11" t="n"/>
      <c r="B682" s="12" t="n"/>
      <c r="C682" s="12" t="n"/>
      <c r="D682" s="12" t="n"/>
      <c r="E682" s="13" t="n"/>
      <c r="F682" s="12" t="n"/>
      <c r="G682" s="13" t="n"/>
      <c r="H682" s="12" t="n"/>
      <c r="I682" s="12" t="n"/>
      <c r="J682" s="12" t="n"/>
      <c r="K682" s="12" t="n"/>
      <c r="L682" s="11" t="n"/>
      <c r="M682" s="11" t="n"/>
      <c r="N682" s="11" t="n"/>
      <c r="O682" s="11" t="n"/>
      <c r="P682" s="12" t="n"/>
      <c r="Q682" s="11" t="n"/>
      <c r="R682" s="12" t="n"/>
      <c r="S682" s="11" t="n"/>
      <c r="T682" s="12" t="n"/>
      <c r="U682" s="12" t="n"/>
      <c r="V682" s="14">
        <f>IF($AN682="",IF($B682="","",$H682),IF(INDEX(職員マスタ!$B$6:$B$405,$AN682)="",$H682,INDEX(職員マスタ!$B$6:$B$405,$AN682)))</f>
        <v/>
      </c>
      <c r="W682" s="14">
        <f>IF($AN682="",IF($B682="","",$R682),IF(INDEX(職員マスタ!$C$6:$C$405,$AN682)="",$R682,INDEX(職員マスタ!$C$6:$C$405,$AN682)))</f>
        <v/>
      </c>
      <c r="X682" s="14">
        <f>IF($AO682="","","R"&amp;$C682&amp;"."&amp;$D682)</f>
        <v/>
      </c>
      <c r="Y682" s="15">
        <f>IF($AN682="","",IF(INDEX(職員マスタ!$K$6:$K$405,$AN682)="","",INDEX(職員マスタ!$K$6:$K$405,$AN682)))</f>
        <v/>
      </c>
      <c r="Z682" s="14">
        <f>IF(OR($E682="",$Y682=""),"",IF($E682&gt;=$Y682,"×",IF($E682&gt;=$Y682*設定!$C$5,"△","○")))</f>
        <v/>
      </c>
      <c r="AA682" s="15">
        <f>IF($Z682="","",IF($Z682="×",0,IF($Z682="○",ROUNDDOWN($E682*設定!$C$4,0),ROUNDDOWN($E682*ROUND((9*$Y682-9*$E682)/(10*$E682),4),0))))</f>
        <v/>
      </c>
      <c r="AB682" s="13" t="n"/>
      <c r="AC682" s="15">
        <f>IF($B682="","",IF($AB682&lt;&gt;"",$AB682,IF($AA682="","",IF($AA682&lt;=設定!$C$3,0,$AA682))))</f>
        <v/>
      </c>
      <c r="AD682" s="14">
        <f>IF($B682="","",IF(AND($AE682&lt;&gt;"",$AG682="",$AJ682=""),"保留中",IF($AJ682&lt;&gt;"",IF(N($AC682)&gt;0,"支給済","不支給"),IF($AC682="","要確認",IF($AC682=0,"不支給","未処理")))))</f>
        <v/>
      </c>
      <c r="AE682" s="12" t="n"/>
      <c r="AF682" s="11" t="n"/>
      <c r="AG682" s="11" t="n"/>
      <c r="AH682" s="11" t="n"/>
      <c r="AI682" s="14">
        <f>IF(AND($AD682="保留中",$AF682&lt;&gt;""),TODAY()-$AF682,"")</f>
        <v/>
      </c>
      <c r="AJ682" s="12" t="n"/>
      <c r="AK682" s="14">
        <f>IF($B682="","",IF($AO682="","対象年月が未入力／","")&amp;IF($B682="","",IF($AN682="","職員マスタに未登録の職員番号／",IF($Y682="","標準報酬月額が未登録／","")&amp;IF(AND($AO682&lt;&gt;"",OR(AND(INDEX(職員マスタ!$G$6:$G$405,$AN682)&lt;&gt;"",INDEX(職員マスタ!$G$6:$G$405,$AN682)&gt;EOMONTH($AO682,0)),AND(INDEX(職員マスタ!$H$6:$H$405,$AN682)&lt;&gt;"",INDEX(職員マスタ!$H$6:$H$405,$AN682)&lt;$AO682))),"対象月が時短期間外／","")&amp;IF(AND(INDEX(職員マスタ!$F$6:$F$405,$AN682)&lt;&gt;"",$AO682&lt;&gt;"",INDEX(職員マスタ!$F$6:$F$405,$AN682)&lt;$AO682),"対象月に子が2歳到達済／","")&amp;IF(AND($H682&lt;&gt;"",INDEX(職員マスタ!$B$6:$B$405,$AN682)&lt;&gt;"",SUBSTITUTE(SUBSTITUTE($H682," ","")," ","")&lt;&gt;SUBSTITUTE(SUBSTITUTE(INDEX(職員マスタ!$B$6:$B$405,$AN682)," ","")," ","")),"氏名がマスタと相違／","")&amp;IF(AND($Q682&lt;&gt;"",INDEX(職員マスタ!$E$6:$E$405,$AN682)&lt;&gt;"",$Q682&lt;&gt;INDEX(職員マスタ!$E$6:$E$405,$AN682)),"子の生年月日がマスタと相違／","")&amp;IF(AND($L682&lt;&gt;"",INDEX(職員マスタ!$G$6:$G$405,$AN682)&lt;&gt;"",$L682&lt;&gt;INDEX(職員マスタ!$G$6:$G$405,$AN682)),"時短開始日がマスタと相違／","")&amp;IF(AND($M682&lt;&gt;"",INDEX(職員マスタ!$H$6:$H$405,$AN682)&lt;&gt;"",$M682&lt;&gt;INDEX(職員マスタ!$H$6:$H$405,$AN682)),"時短終了日がマスタと相違／","")))&amp;IF(AND($B682&lt;&gt;"",$E682=""),"報酬額が未入力／","")&amp;IF(N($U682)&gt;0,"申請書に入力エラーが残っています／","")&amp;IF(AND($B682&lt;&gt;"",$AO682&lt;&gt;""),IF(COUNTIFS($B$6:$B$3005,$B682,$C$6:$C$3005,$C682,$D$6:$D$3005,$D682)&gt;1,"同じ月の請求が重複しています／",""),"")&amp;IF(AND(N($E682)&gt;0,$Z682&lt;&gt;"",$Z682&lt;&gt;"×",$AC682=0,$AB682=""),"計算額が下限以下のため不支給／",""))</f>
        <v/>
      </c>
      <c r="AL682" s="12" t="n"/>
      <c r="AM682" s="14">
        <f>IF($AD682="保留中",COUNTIF($AD$6:$AD682,"保留中"),"")</f>
        <v/>
      </c>
      <c r="AN682" s="14">
        <f>IF($AO682="","",IF(SUMPRODUCT(MAX((職員マスタ!$A$6:$A$405=$B682)*(((職員マスタ!$G$6:$G$405="")+(職員マスタ!$G$6:$G$405&lt;=EOMONTH($AO682,0)))&gt;0)*(((職員マスタ!$H$6:$H$405="")+(職員マスタ!$H$6:$H$405&gt;=$AO682))&gt;0)*(ROW(職員マスタ!$A$6:$A$405)-5)))&gt;0,SUMPRODUCT(MAX((職員マスタ!$A$6:$A$405=$B682)*(((職員マスタ!$G$6:$G$405="")+(職員マスタ!$G$6:$G$405&lt;=EOMONTH($AO682,0)))&gt;0)*(((職員マスタ!$H$6:$H$405="")+(職員マスタ!$H$6:$H$405&gt;=$AO682))&gt;0)*(ROW(職員マスタ!$A$6:$A$405)-5))),IFERROR(MATCH($B682,職員マスタ!$A$6:$A$405,0),"")))</f>
        <v/>
      </c>
      <c r="AO682" s="16">
        <f>IF(OR($B682="",$C682="",$D682=""),"",DATE($C682+2018,$D682,1))</f>
        <v/>
      </c>
    </row>
    <row r="683">
      <c r="A683" s="11" t="n"/>
      <c r="B683" s="12" t="n"/>
      <c r="C683" s="12" t="n"/>
      <c r="D683" s="12" t="n"/>
      <c r="E683" s="13" t="n"/>
      <c r="F683" s="12" t="n"/>
      <c r="G683" s="13" t="n"/>
      <c r="H683" s="12" t="n"/>
      <c r="I683" s="12" t="n"/>
      <c r="J683" s="12" t="n"/>
      <c r="K683" s="12" t="n"/>
      <c r="L683" s="11" t="n"/>
      <c r="M683" s="11" t="n"/>
      <c r="N683" s="11" t="n"/>
      <c r="O683" s="11" t="n"/>
      <c r="P683" s="12" t="n"/>
      <c r="Q683" s="11" t="n"/>
      <c r="R683" s="12" t="n"/>
      <c r="S683" s="11" t="n"/>
      <c r="T683" s="12" t="n"/>
      <c r="U683" s="12" t="n"/>
      <c r="V683" s="14">
        <f>IF($AN683="",IF($B683="","",$H683),IF(INDEX(職員マスタ!$B$6:$B$405,$AN683)="",$H683,INDEX(職員マスタ!$B$6:$B$405,$AN683)))</f>
        <v/>
      </c>
      <c r="W683" s="14">
        <f>IF($AN683="",IF($B683="","",$R683),IF(INDEX(職員マスタ!$C$6:$C$405,$AN683)="",$R683,INDEX(職員マスタ!$C$6:$C$405,$AN683)))</f>
        <v/>
      </c>
      <c r="X683" s="14">
        <f>IF($AO683="","","R"&amp;$C683&amp;"."&amp;$D683)</f>
        <v/>
      </c>
      <c r="Y683" s="15">
        <f>IF($AN683="","",IF(INDEX(職員マスタ!$K$6:$K$405,$AN683)="","",INDEX(職員マスタ!$K$6:$K$405,$AN683)))</f>
        <v/>
      </c>
      <c r="Z683" s="14">
        <f>IF(OR($E683="",$Y683=""),"",IF($E683&gt;=$Y683,"×",IF($E683&gt;=$Y683*設定!$C$5,"△","○")))</f>
        <v/>
      </c>
      <c r="AA683" s="15">
        <f>IF($Z683="","",IF($Z683="×",0,IF($Z683="○",ROUNDDOWN($E683*設定!$C$4,0),ROUNDDOWN($E683*ROUND((9*$Y683-9*$E683)/(10*$E683),4),0))))</f>
        <v/>
      </c>
      <c r="AB683" s="13" t="n"/>
      <c r="AC683" s="15">
        <f>IF($B683="","",IF($AB683&lt;&gt;"",$AB683,IF($AA683="","",IF($AA683&lt;=設定!$C$3,0,$AA683))))</f>
        <v/>
      </c>
      <c r="AD683" s="14">
        <f>IF($B683="","",IF(AND($AE683&lt;&gt;"",$AG683="",$AJ683=""),"保留中",IF($AJ683&lt;&gt;"",IF(N($AC683)&gt;0,"支給済","不支給"),IF($AC683="","要確認",IF($AC683=0,"不支給","未処理")))))</f>
        <v/>
      </c>
      <c r="AE683" s="12" t="n"/>
      <c r="AF683" s="11" t="n"/>
      <c r="AG683" s="11" t="n"/>
      <c r="AH683" s="11" t="n"/>
      <c r="AI683" s="14">
        <f>IF(AND($AD683="保留中",$AF683&lt;&gt;""),TODAY()-$AF683,"")</f>
        <v/>
      </c>
      <c r="AJ683" s="12" t="n"/>
      <c r="AK683" s="14">
        <f>IF($B683="","",IF($AO683="","対象年月が未入力／","")&amp;IF($B683="","",IF($AN683="","職員マスタに未登録の職員番号／",IF($Y683="","標準報酬月額が未登録／","")&amp;IF(AND($AO683&lt;&gt;"",OR(AND(INDEX(職員マスタ!$G$6:$G$405,$AN683)&lt;&gt;"",INDEX(職員マスタ!$G$6:$G$405,$AN683)&gt;EOMONTH($AO683,0)),AND(INDEX(職員マスタ!$H$6:$H$405,$AN683)&lt;&gt;"",INDEX(職員マスタ!$H$6:$H$405,$AN683)&lt;$AO683))),"対象月が時短期間外／","")&amp;IF(AND(INDEX(職員マスタ!$F$6:$F$405,$AN683)&lt;&gt;"",$AO683&lt;&gt;"",INDEX(職員マスタ!$F$6:$F$405,$AN683)&lt;$AO683),"対象月に子が2歳到達済／","")&amp;IF(AND($H683&lt;&gt;"",INDEX(職員マスタ!$B$6:$B$405,$AN683)&lt;&gt;"",SUBSTITUTE(SUBSTITUTE($H683," ","")," ","")&lt;&gt;SUBSTITUTE(SUBSTITUTE(INDEX(職員マスタ!$B$6:$B$405,$AN683)," ","")," ","")),"氏名がマスタと相違／","")&amp;IF(AND($Q683&lt;&gt;"",INDEX(職員マスタ!$E$6:$E$405,$AN683)&lt;&gt;"",$Q683&lt;&gt;INDEX(職員マスタ!$E$6:$E$405,$AN683)),"子の生年月日がマスタと相違／","")&amp;IF(AND($L683&lt;&gt;"",INDEX(職員マスタ!$G$6:$G$405,$AN683)&lt;&gt;"",$L683&lt;&gt;INDEX(職員マスタ!$G$6:$G$405,$AN683)),"時短開始日がマスタと相違／","")&amp;IF(AND($M683&lt;&gt;"",INDEX(職員マスタ!$H$6:$H$405,$AN683)&lt;&gt;"",$M683&lt;&gt;INDEX(職員マスタ!$H$6:$H$405,$AN683)),"時短終了日がマスタと相違／","")))&amp;IF(AND($B683&lt;&gt;"",$E683=""),"報酬額が未入力／","")&amp;IF(N($U683)&gt;0,"申請書に入力エラーが残っています／","")&amp;IF(AND($B683&lt;&gt;"",$AO683&lt;&gt;""),IF(COUNTIFS($B$6:$B$3005,$B683,$C$6:$C$3005,$C683,$D$6:$D$3005,$D683)&gt;1,"同じ月の請求が重複しています／",""),"")&amp;IF(AND(N($E683)&gt;0,$Z683&lt;&gt;"",$Z683&lt;&gt;"×",$AC683=0,$AB683=""),"計算額が下限以下のため不支給／",""))</f>
        <v/>
      </c>
      <c r="AL683" s="12" t="n"/>
      <c r="AM683" s="14">
        <f>IF($AD683="保留中",COUNTIF($AD$6:$AD683,"保留中"),"")</f>
        <v/>
      </c>
      <c r="AN683" s="14">
        <f>IF($AO683="","",IF(SUMPRODUCT(MAX((職員マスタ!$A$6:$A$405=$B683)*(((職員マスタ!$G$6:$G$405="")+(職員マスタ!$G$6:$G$405&lt;=EOMONTH($AO683,0)))&gt;0)*(((職員マスタ!$H$6:$H$405="")+(職員マスタ!$H$6:$H$405&gt;=$AO683))&gt;0)*(ROW(職員マスタ!$A$6:$A$405)-5)))&gt;0,SUMPRODUCT(MAX((職員マスタ!$A$6:$A$405=$B683)*(((職員マスタ!$G$6:$G$405="")+(職員マスタ!$G$6:$G$405&lt;=EOMONTH($AO683,0)))&gt;0)*(((職員マスタ!$H$6:$H$405="")+(職員マスタ!$H$6:$H$405&gt;=$AO683))&gt;0)*(ROW(職員マスタ!$A$6:$A$405)-5))),IFERROR(MATCH($B683,職員マスタ!$A$6:$A$405,0),"")))</f>
        <v/>
      </c>
      <c r="AO683" s="16">
        <f>IF(OR($B683="",$C683="",$D683=""),"",DATE($C683+2018,$D683,1))</f>
        <v/>
      </c>
    </row>
    <row r="684">
      <c r="A684" s="11" t="n"/>
      <c r="B684" s="12" t="n"/>
      <c r="C684" s="12" t="n"/>
      <c r="D684" s="12" t="n"/>
      <c r="E684" s="13" t="n"/>
      <c r="F684" s="12" t="n"/>
      <c r="G684" s="13" t="n"/>
      <c r="H684" s="12" t="n"/>
      <c r="I684" s="12" t="n"/>
      <c r="J684" s="12" t="n"/>
      <c r="K684" s="12" t="n"/>
      <c r="L684" s="11" t="n"/>
      <c r="M684" s="11" t="n"/>
      <c r="N684" s="11" t="n"/>
      <c r="O684" s="11" t="n"/>
      <c r="P684" s="12" t="n"/>
      <c r="Q684" s="11" t="n"/>
      <c r="R684" s="12" t="n"/>
      <c r="S684" s="11" t="n"/>
      <c r="T684" s="12" t="n"/>
      <c r="U684" s="12" t="n"/>
      <c r="V684" s="14">
        <f>IF($AN684="",IF($B684="","",$H684),IF(INDEX(職員マスタ!$B$6:$B$405,$AN684)="",$H684,INDEX(職員マスタ!$B$6:$B$405,$AN684)))</f>
        <v/>
      </c>
      <c r="W684" s="14">
        <f>IF($AN684="",IF($B684="","",$R684),IF(INDEX(職員マスタ!$C$6:$C$405,$AN684)="",$R684,INDEX(職員マスタ!$C$6:$C$405,$AN684)))</f>
        <v/>
      </c>
      <c r="X684" s="14">
        <f>IF($AO684="","","R"&amp;$C684&amp;"."&amp;$D684)</f>
        <v/>
      </c>
      <c r="Y684" s="15">
        <f>IF($AN684="","",IF(INDEX(職員マスタ!$K$6:$K$405,$AN684)="","",INDEX(職員マスタ!$K$6:$K$405,$AN684)))</f>
        <v/>
      </c>
      <c r="Z684" s="14">
        <f>IF(OR($E684="",$Y684=""),"",IF($E684&gt;=$Y684,"×",IF($E684&gt;=$Y684*設定!$C$5,"△","○")))</f>
        <v/>
      </c>
      <c r="AA684" s="15">
        <f>IF($Z684="","",IF($Z684="×",0,IF($Z684="○",ROUNDDOWN($E684*設定!$C$4,0),ROUNDDOWN($E684*ROUND((9*$Y684-9*$E684)/(10*$E684),4),0))))</f>
        <v/>
      </c>
      <c r="AB684" s="13" t="n"/>
      <c r="AC684" s="15">
        <f>IF($B684="","",IF($AB684&lt;&gt;"",$AB684,IF($AA684="","",IF($AA684&lt;=設定!$C$3,0,$AA684))))</f>
        <v/>
      </c>
      <c r="AD684" s="14">
        <f>IF($B684="","",IF(AND($AE684&lt;&gt;"",$AG684="",$AJ684=""),"保留中",IF($AJ684&lt;&gt;"",IF(N($AC684)&gt;0,"支給済","不支給"),IF($AC684="","要確認",IF($AC684=0,"不支給","未処理")))))</f>
        <v/>
      </c>
      <c r="AE684" s="12" t="n"/>
      <c r="AF684" s="11" t="n"/>
      <c r="AG684" s="11" t="n"/>
      <c r="AH684" s="11" t="n"/>
      <c r="AI684" s="14">
        <f>IF(AND($AD684="保留中",$AF684&lt;&gt;""),TODAY()-$AF684,"")</f>
        <v/>
      </c>
      <c r="AJ684" s="12" t="n"/>
      <c r="AK684" s="14">
        <f>IF($B684="","",IF($AO684="","対象年月が未入力／","")&amp;IF($B684="","",IF($AN684="","職員マスタに未登録の職員番号／",IF($Y684="","標準報酬月額が未登録／","")&amp;IF(AND($AO684&lt;&gt;"",OR(AND(INDEX(職員マスタ!$G$6:$G$405,$AN684)&lt;&gt;"",INDEX(職員マスタ!$G$6:$G$405,$AN684)&gt;EOMONTH($AO684,0)),AND(INDEX(職員マスタ!$H$6:$H$405,$AN684)&lt;&gt;"",INDEX(職員マスタ!$H$6:$H$405,$AN684)&lt;$AO684))),"対象月が時短期間外／","")&amp;IF(AND(INDEX(職員マスタ!$F$6:$F$405,$AN684)&lt;&gt;"",$AO684&lt;&gt;"",INDEX(職員マスタ!$F$6:$F$405,$AN684)&lt;$AO684),"対象月に子が2歳到達済／","")&amp;IF(AND($H684&lt;&gt;"",INDEX(職員マスタ!$B$6:$B$405,$AN684)&lt;&gt;"",SUBSTITUTE(SUBSTITUTE($H684," ","")," ","")&lt;&gt;SUBSTITUTE(SUBSTITUTE(INDEX(職員マスタ!$B$6:$B$405,$AN684)," ","")," ","")),"氏名がマスタと相違／","")&amp;IF(AND($Q684&lt;&gt;"",INDEX(職員マスタ!$E$6:$E$405,$AN684)&lt;&gt;"",$Q684&lt;&gt;INDEX(職員マスタ!$E$6:$E$405,$AN684)),"子の生年月日がマスタと相違／","")&amp;IF(AND($L684&lt;&gt;"",INDEX(職員マスタ!$G$6:$G$405,$AN684)&lt;&gt;"",$L684&lt;&gt;INDEX(職員マスタ!$G$6:$G$405,$AN684)),"時短開始日がマスタと相違／","")&amp;IF(AND($M684&lt;&gt;"",INDEX(職員マスタ!$H$6:$H$405,$AN684)&lt;&gt;"",$M684&lt;&gt;INDEX(職員マスタ!$H$6:$H$405,$AN684)),"時短終了日がマスタと相違／","")))&amp;IF(AND($B684&lt;&gt;"",$E684=""),"報酬額が未入力／","")&amp;IF(N($U684)&gt;0,"申請書に入力エラーが残っています／","")&amp;IF(AND($B684&lt;&gt;"",$AO684&lt;&gt;""),IF(COUNTIFS($B$6:$B$3005,$B684,$C$6:$C$3005,$C684,$D$6:$D$3005,$D684)&gt;1,"同じ月の請求が重複しています／",""),"")&amp;IF(AND(N($E684)&gt;0,$Z684&lt;&gt;"",$Z684&lt;&gt;"×",$AC684=0,$AB684=""),"計算額が下限以下のため不支給／",""))</f>
        <v/>
      </c>
      <c r="AL684" s="12" t="n"/>
      <c r="AM684" s="14">
        <f>IF($AD684="保留中",COUNTIF($AD$6:$AD684,"保留中"),"")</f>
        <v/>
      </c>
      <c r="AN684" s="14">
        <f>IF($AO684="","",IF(SUMPRODUCT(MAX((職員マスタ!$A$6:$A$405=$B684)*(((職員マスタ!$G$6:$G$405="")+(職員マスタ!$G$6:$G$405&lt;=EOMONTH($AO684,0)))&gt;0)*(((職員マスタ!$H$6:$H$405="")+(職員マスタ!$H$6:$H$405&gt;=$AO684))&gt;0)*(ROW(職員マスタ!$A$6:$A$405)-5)))&gt;0,SUMPRODUCT(MAX((職員マスタ!$A$6:$A$405=$B684)*(((職員マスタ!$G$6:$G$405="")+(職員マスタ!$G$6:$G$405&lt;=EOMONTH($AO684,0)))&gt;0)*(((職員マスタ!$H$6:$H$405="")+(職員マスタ!$H$6:$H$405&gt;=$AO684))&gt;0)*(ROW(職員マスタ!$A$6:$A$405)-5))),IFERROR(MATCH($B684,職員マスタ!$A$6:$A$405,0),"")))</f>
        <v/>
      </c>
      <c r="AO684" s="16">
        <f>IF(OR($B684="",$C684="",$D684=""),"",DATE($C684+2018,$D684,1))</f>
        <v/>
      </c>
    </row>
    <row r="685">
      <c r="A685" s="11" t="n"/>
      <c r="B685" s="12" t="n"/>
      <c r="C685" s="12" t="n"/>
      <c r="D685" s="12" t="n"/>
      <c r="E685" s="13" t="n"/>
      <c r="F685" s="12" t="n"/>
      <c r="G685" s="13" t="n"/>
      <c r="H685" s="12" t="n"/>
      <c r="I685" s="12" t="n"/>
      <c r="J685" s="12" t="n"/>
      <c r="K685" s="12" t="n"/>
      <c r="L685" s="11" t="n"/>
      <c r="M685" s="11" t="n"/>
      <c r="N685" s="11" t="n"/>
      <c r="O685" s="11" t="n"/>
      <c r="P685" s="12" t="n"/>
      <c r="Q685" s="11" t="n"/>
      <c r="R685" s="12" t="n"/>
      <c r="S685" s="11" t="n"/>
      <c r="T685" s="12" t="n"/>
      <c r="U685" s="12" t="n"/>
      <c r="V685" s="14">
        <f>IF($AN685="",IF($B685="","",$H685),IF(INDEX(職員マスタ!$B$6:$B$405,$AN685)="",$H685,INDEX(職員マスタ!$B$6:$B$405,$AN685)))</f>
        <v/>
      </c>
      <c r="W685" s="14">
        <f>IF($AN685="",IF($B685="","",$R685),IF(INDEX(職員マスタ!$C$6:$C$405,$AN685)="",$R685,INDEX(職員マスタ!$C$6:$C$405,$AN685)))</f>
        <v/>
      </c>
      <c r="X685" s="14">
        <f>IF($AO685="","","R"&amp;$C685&amp;"."&amp;$D685)</f>
        <v/>
      </c>
      <c r="Y685" s="15">
        <f>IF($AN685="","",IF(INDEX(職員マスタ!$K$6:$K$405,$AN685)="","",INDEX(職員マスタ!$K$6:$K$405,$AN685)))</f>
        <v/>
      </c>
      <c r="Z685" s="14">
        <f>IF(OR($E685="",$Y685=""),"",IF($E685&gt;=$Y685,"×",IF($E685&gt;=$Y685*設定!$C$5,"△","○")))</f>
        <v/>
      </c>
      <c r="AA685" s="15">
        <f>IF($Z685="","",IF($Z685="×",0,IF($Z685="○",ROUNDDOWN($E685*設定!$C$4,0),ROUNDDOWN($E685*ROUND((9*$Y685-9*$E685)/(10*$E685),4),0))))</f>
        <v/>
      </c>
      <c r="AB685" s="13" t="n"/>
      <c r="AC685" s="15">
        <f>IF($B685="","",IF($AB685&lt;&gt;"",$AB685,IF($AA685="","",IF($AA685&lt;=設定!$C$3,0,$AA685))))</f>
        <v/>
      </c>
      <c r="AD685" s="14">
        <f>IF($B685="","",IF(AND($AE685&lt;&gt;"",$AG685="",$AJ685=""),"保留中",IF($AJ685&lt;&gt;"",IF(N($AC685)&gt;0,"支給済","不支給"),IF($AC685="","要確認",IF($AC685=0,"不支給","未処理")))))</f>
        <v/>
      </c>
      <c r="AE685" s="12" t="n"/>
      <c r="AF685" s="11" t="n"/>
      <c r="AG685" s="11" t="n"/>
      <c r="AH685" s="11" t="n"/>
      <c r="AI685" s="14">
        <f>IF(AND($AD685="保留中",$AF685&lt;&gt;""),TODAY()-$AF685,"")</f>
        <v/>
      </c>
      <c r="AJ685" s="12" t="n"/>
      <c r="AK685" s="14">
        <f>IF($B685="","",IF($AO685="","対象年月が未入力／","")&amp;IF($B685="","",IF($AN685="","職員マスタに未登録の職員番号／",IF($Y685="","標準報酬月額が未登録／","")&amp;IF(AND($AO685&lt;&gt;"",OR(AND(INDEX(職員マスタ!$G$6:$G$405,$AN685)&lt;&gt;"",INDEX(職員マスタ!$G$6:$G$405,$AN685)&gt;EOMONTH($AO685,0)),AND(INDEX(職員マスタ!$H$6:$H$405,$AN685)&lt;&gt;"",INDEX(職員マスタ!$H$6:$H$405,$AN685)&lt;$AO685))),"対象月が時短期間外／","")&amp;IF(AND(INDEX(職員マスタ!$F$6:$F$405,$AN685)&lt;&gt;"",$AO685&lt;&gt;"",INDEX(職員マスタ!$F$6:$F$405,$AN685)&lt;$AO685),"対象月に子が2歳到達済／","")&amp;IF(AND($H685&lt;&gt;"",INDEX(職員マスタ!$B$6:$B$405,$AN685)&lt;&gt;"",SUBSTITUTE(SUBSTITUTE($H685," ","")," ","")&lt;&gt;SUBSTITUTE(SUBSTITUTE(INDEX(職員マスタ!$B$6:$B$405,$AN685)," ","")," ","")),"氏名がマスタと相違／","")&amp;IF(AND($Q685&lt;&gt;"",INDEX(職員マスタ!$E$6:$E$405,$AN685)&lt;&gt;"",$Q685&lt;&gt;INDEX(職員マスタ!$E$6:$E$405,$AN685)),"子の生年月日がマスタと相違／","")&amp;IF(AND($L685&lt;&gt;"",INDEX(職員マスタ!$G$6:$G$405,$AN685)&lt;&gt;"",$L685&lt;&gt;INDEX(職員マスタ!$G$6:$G$405,$AN685)),"時短開始日がマスタと相違／","")&amp;IF(AND($M685&lt;&gt;"",INDEX(職員マスタ!$H$6:$H$405,$AN685)&lt;&gt;"",$M685&lt;&gt;INDEX(職員マスタ!$H$6:$H$405,$AN685)),"時短終了日がマスタと相違／","")))&amp;IF(AND($B685&lt;&gt;"",$E685=""),"報酬額が未入力／","")&amp;IF(N($U685)&gt;0,"申請書に入力エラーが残っています／","")&amp;IF(AND($B685&lt;&gt;"",$AO685&lt;&gt;""),IF(COUNTIFS($B$6:$B$3005,$B685,$C$6:$C$3005,$C685,$D$6:$D$3005,$D685)&gt;1,"同じ月の請求が重複しています／",""),"")&amp;IF(AND(N($E685)&gt;0,$Z685&lt;&gt;"",$Z685&lt;&gt;"×",$AC685=0,$AB685=""),"計算額が下限以下のため不支給／",""))</f>
        <v/>
      </c>
      <c r="AL685" s="12" t="n"/>
      <c r="AM685" s="14">
        <f>IF($AD685="保留中",COUNTIF($AD$6:$AD685,"保留中"),"")</f>
        <v/>
      </c>
      <c r="AN685" s="14">
        <f>IF($AO685="","",IF(SUMPRODUCT(MAX((職員マスタ!$A$6:$A$405=$B685)*(((職員マスタ!$G$6:$G$405="")+(職員マスタ!$G$6:$G$405&lt;=EOMONTH($AO685,0)))&gt;0)*(((職員マスタ!$H$6:$H$405="")+(職員マスタ!$H$6:$H$405&gt;=$AO685))&gt;0)*(ROW(職員マスタ!$A$6:$A$405)-5)))&gt;0,SUMPRODUCT(MAX((職員マスタ!$A$6:$A$405=$B685)*(((職員マスタ!$G$6:$G$405="")+(職員マスタ!$G$6:$G$405&lt;=EOMONTH($AO685,0)))&gt;0)*(((職員マスタ!$H$6:$H$405="")+(職員マスタ!$H$6:$H$405&gt;=$AO685))&gt;0)*(ROW(職員マスタ!$A$6:$A$405)-5))),IFERROR(MATCH($B685,職員マスタ!$A$6:$A$405,0),"")))</f>
        <v/>
      </c>
      <c r="AO685" s="16">
        <f>IF(OR($B685="",$C685="",$D685=""),"",DATE($C685+2018,$D685,1))</f>
        <v/>
      </c>
    </row>
    <row r="686">
      <c r="A686" s="11" t="n"/>
      <c r="B686" s="12" t="n"/>
      <c r="C686" s="12" t="n"/>
      <c r="D686" s="12" t="n"/>
      <c r="E686" s="13" t="n"/>
      <c r="F686" s="12" t="n"/>
      <c r="G686" s="13" t="n"/>
      <c r="H686" s="12" t="n"/>
      <c r="I686" s="12" t="n"/>
      <c r="J686" s="12" t="n"/>
      <c r="K686" s="12" t="n"/>
      <c r="L686" s="11" t="n"/>
      <c r="M686" s="11" t="n"/>
      <c r="N686" s="11" t="n"/>
      <c r="O686" s="11" t="n"/>
      <c r="P686" s="12" t="n"/>
      <c r="Q686" s="11" t="n"/>
      <c r="R686" s="12" t="n"/>
      <c r="S686" s="11" t="n"/>
      <c r="T686" s="12" t="n"/>
      <c r="U686" s="12" t="n"/>
      <c r="V686" s="14">
        <f>IF($AN686="",IF($B686="","",$H686),IF(INDEX(職員マスタ!$B$6:$B$405,$AN686)="",$H686,INDEX(職員マスタ!$B$6:$B$405,$AN686)))</f>
        <v/>
      </c>
      <c r="W686" s="14">
        <f>IF($AN686="",IF($B686="","",$R686),IF(INDEX(職員マスタ!$C$6:$C$405,$AN686)="",$R686,INDEX(職員マスタ!$C$6:$C$405,$AN686)))</f>
        <v/>
      </c>
      <c r="X686" s="14">
        <f>IF($AO686="","","R"&amp;$C686&amp;"."&amp;$D686)</f>
        <v/>
      </c>
      <c r="Y686" s="15">
        <f>IF($AN686="","",IF(INDEX(職員マスタ!$K$6:$K$405,$AN686)="","",INDEX(職員マスタ!$K$6:$K$405,$AN686)))</f>
        <v/>
      </c>
      <c r="Z686" s="14">
        <f>IF(OR($E686="",$Y686=""),"",IF($E686&gt;=$Y686,"×",IF($E686&gt;=$Y686*設定!$C$5,"△","○")))</f>
        <v/>
      </c>
      <c r="AA686" s="15">
        <f>IF($Z686="","",IF($Z686="×",0,IF($Z686="○",ROUNDDOWN($E686*設定!$C$4,0),ROUNDDOWN($E686*ROUND((9*$Y686-9*$E686)/(10*$E686),4),0))))</f>
        <v/>
      </c>
      <c r="AB686" s="13" t="n"/>
      <c r="AC686" s="15">
        <f>IF($B686="","",IF($AB686&lt;&gt;"",$AB686,IF($AA686="","",IF($AA686&lt;=設定!$C$3,0,$AA686))))</f>
        <v/>
      </c>
      <c r="AD686" s="14">
        <f>IF($B686="","",IF(AND($AE686&lt;&gt;"",$AG686="",$AJ686=""),"保留中",IF($AJ686&lt;&gt;"",IF(N($AC686)&gt;0,"支給済","不支給"),IF($AC686="","要確認",IF($AC686=0,"不支給","未処理")))))</f>
        <v/>
      </c>
      <c r="AE686" s="12" t="n"/>
      <c r="AF686" s="11" t="n"/>
      <c r="AG686" s="11" t="n"/>
      <c r="AH686" s="11" t="n"/>
      <c r="AI686" s="14">
        <f>IF(AND($AD686="保留中",$AF686&lt;&gt;""),TODAY()-$AF686,"")</f>
        <v/>
      </c>
      <c r="AJ686" s="12" t="n"/>
      <c r="AK686" s="14">
        <f>IF($B686="","",IF($AO686="","対象年月が未入力／","")&amp;IF($B686="","",IF($AN686="","職員マスタに未登録の職員番号／",IF($Y686="","標準報酬月額が未登録／","")&amp;IF(AND($AO686&lt;&gt;"",OR(AND(INDEX(職員マスタ!$G$6:$G$405,$AN686)&lt;&gt;"",INDEX(職員マスタ!$G$6:$G$405,$AN686)&gt;EOMONTH($AO686,0)),AND(INDEX(職員マスタ!$H$6:$H$405,$AN686)&lt;&gt;"",INDEX(職員マスタ!$H$6:$H$405,$AN686)&lt;$AO686))),"対象月が時短期間外／","")&amp;IF(AND(INDEX(職員マスタ!$F$6:$F$405,$AN686)&lt;&gt;"",$AO686&lt;&gt;"",INDEX(職員マスタ!$F$6:$F$405,$AN686)&lt;$AO686),"対象月に子が2歳到達済／","")&amp;IF(AND($H686&lt;&gt;"",INDEX(職員マスタ!$B$6:$B$405,$AN686)&lt;&gt;"",SUBSTITUTE(SUBSTITUTE($H686," ","")," ","")&lt;&gt;SUBSTITUTE(SUBSTITUTE(INDEX(職員マスタ!$B$6:$B$405,$AN686)," ","")," ","")),"氏名がマスタと相違／","")&amp;IF(AND($Q686&lt;&gt;"",INDEX(職員マスタ!$E$6:$E$405,$AN686)&lt;&gt;"",$Q686&lt;&gt;INDEX(職員マスタ!$E$6:$E$405,$AN686)),"子の生年月日がマスタと相違／","")&amp;IF(AND($L686&lt;&gt;"",INDEX(職員マスタ!$G$6:$G$405,$AN686)&lt;&gt;"",$L686&lt;&gt;INDEX(職員マスタ!$G$6:$G$405,$AN686)),"時短開始日がマスタと相違／","")&amp;IF(AND($M686&lt;&gt;"",INDEX(職員マスタ!$H$6:$H$405,$AN686)&lt;&gt;"",$M686&lt;&gt;INDEX(職員マスタ!$H$6:$H$405,$AN686)),"時短終了日がマスタと相違／","")))&amp;IF(AND($B686&lt;&gt;"",$E686=""),"報酬額が未入力／","")&amp;IF(N($U686)&gt;0,"申請書に入力エラーが残っています／","")&amp;IF(AND($B686&lt;&gt;"",$AO686&lt;&gt;""),IF(COUNTIFS($B$6:$B$3005,$B686,$C$6:$C$3005,$C686,$D$6:$D$3005,$D686)&gt;1,"同じ月の請求が重複しています／",""),"")&amp;IF(AND(N($E686)&gt;0,$Z686&lt;&gt;"",$Z686&lt;&gt;"×",$AC686=0,$AB686=""),"計算額が下限以下のため不支給／",""))</f>
        <v/>
      </c>
      <c r="AL686" s="12" t="n"/>
      <c r="AM686" s="14">
        <f>IF($AD686="保留中",COUNTIF($AD$6:$AD686,"保留中"),"")</f>
        <v/>
      </c>
      <c r="AN686" s="14">
        <f>IF($AO686="","",IF(SUMPRODUCT(MAX((職員マスタ!$A$6:$A$405=$B686)*(((職員マスタ!$G$6:$G$405="")+(職員マスタ!$G$6:$G$405&lt;=EOMONTH($AO686,0)))&gt;0)*(((職員マスタ!$H$6:$H$405="")+(職員マスタ!$H$6:$H$405&gt;=$AO686))&gt;0)*(ROW(職員マスタ!$A$6:$A$405)-5)))&gt;0,SUMPRODUCT(MAX((職員マスタ!$A$6:$A$405=$B686)*(((職員マスタ!$G$6:$G$405="")+(職員マスタ!$G$6:$G$405&lt;=EOMONTH($AO686,0)))&gt;0)*(((職員マスタ!$H$6:$H$405="")+(職員マスタ!$H$6:$H$405&gt;=$AO686))&gt;0)*(ROW(職員マスタ!$A$6:$A$405)-5))),IFERROR(MATCH($B686,職員マスタ!$A$6:$A$405,0),"")))</f>
        <v/>
      </c>
      <c r="AO686" s="16">
        <f>IF(OR($B686="",$C686="",$D686=""),"",DATE($C686+2018,$D686,1))</f>
        <v/>
      </c>
    </row>
    <row r="687">
      <c r="A687" s="11" t="n"/>
      <c r="B687" s="12" t="n"/>
      <c r="C687" s="12" t="n"/>
      <c r="D687" s="12" t="n"/>
      <c r="E687" s="13" t="n"/>
      <c r="F687" s="12" t="n"/>
      <c r="G687" s="13" t="n"/>
      <c r="H687" s="12" t="n"/>
      <c r="I687" s="12" t="n"/>
      <c r="J687" s="12" t="n"/>
      <c r="K687" s="12" t="n"/>
      <c r="L687" s="11" t="n"/>
      <c r="M687" s="11" t="n"/>
      <c r="N687" s="11" t="n"/>
      <c r="O687" s="11" t="n"/>
      <c r="P687" s="12" t="n"/>
      <c r="Q687" s="11" t="n"/>
      <c r="R687" s="12" t="n"/>
      <c r="S687" s="11" t="n"/>
      <c r="T687" s="12" t="n"/>
      <c r="U687" s="12" t="n"/>
      <c r="V687" s="14">
        <f>IF($AN687="",IF($B687="","",$H687),IF(INDEX(職員マスタ!$B$6:$B$405,$AN687)="",$H687,INDEX(職員マスタ!$B$6:$B$405,$AN687)))</f>
        <v/>
      </c>
      <c r="W687" s="14">
        <f>IF($AN687="",IF($B687="","",$R687),IF(INDEX(職員マスタ!$C$6:$C$405,$AN687)="",$R687,INDEX(職員マスタ!$C$6:$C$405,$AN687)))</f>
        <v/>
      </c>
      <c r="X687" s="14">
        <f>IF($AO687="","","R"&amp;$C687&amp;"."&amp;$D687)</f>
        <v/>
      </c>
      <c r="Y687" s="15">
        <f>IF($AN687="","",IF(INDEX(職員マスタ!$K$6:$K$405,$AN687)="","",INDEX(職員マスタ!$K$6:$K$405,$AN687)))</f>
        <v/>
      </c>
      <c r="Z687" s="14">
        <f>IF(OR($E687="",$Y687=""),"",IF($E687&gt;=$Y687,"×",IF($E687&gt;=$Y687*設定!$C$5,"△","○")))</f>
        <v/>
      </c>
      <c r="AA687" s="15">
        <f>IF($Z687="","",IF($Z687="×",0,IF($Z687="○",ROUNDDOWN($E687*設定!$C$4,0),ROUNDDOWN($E687*ROUND((9*$Y687-9*$E687)/(10*$E687),4),0))))</f>
        <v/>
      </c>
      <c r="AB687" s="13" t="n"/>
      <c r="AC687" s="15">
        <f>IF($B687="","",IF($AB687&lt;&gt;"",$AB687,IF($AA687="","",IF($AA687&lt;=設定!$C$3,0,$AA687))))</f>
        <v/>
      </c>
      <c r="AD687" s="14">
        <f>IF($B687="","",IF(AND($AE687&lt;&gt;"",$AG687="",$AJ687=""),"保留中",IF($AJ687&lt;&gt;"",IF(N($AC687)&gt;0,"支給済","不支給"),IF($AC687="","要確認",IF($AC687=0,"不支給","未処理")))))</f>
        <v/>
      </c>
      <c r="AE687" s="12" t="n"/>
      <c r="AF687" s="11" t="n"/>
      <c r="AG687" s="11" t="n"/>
      <c r="AH687" s="11" t="n"/>
      <c r="AI687" s="14">
        <f>IF(AND($AD687="保留中",$AF687&lt;&gt;""),TODAY()-$AF687,"")</f>
        <v/>
      </c>
      <c r="AJ687" s="12" t="n"/>
      <c r="AK687" s="14">
        <f>IF($B687="","",IF($AO687="","対象年月が未入力／","")&amp;IF($B687="","",IF($AN687="","職員マスタに未登録の職員番号／",IF($Y687="","標準報酬月額が未登録／","")&amp;IF(AND($AO687&lt;&gt;"",OR(AND(INDEX(職員マスタ!$G$6:$G$405,$AN687)&lt;&gt;"",INDEX(職員マスタ!$G$6:$G$405,$AN687)&gt;EOMONTH($AO687,0)),AND(INDEX(職員マスタ!$H$6:$H$405,$AN687)&lt;&gt;"",INDEX(職員マスタ!$H$6:$H$405,$AN687)&lt;$AO687))),"対象月が時短期間外／","")&amp;IF(AND(INDEX(職員マスタ!$F$6:$F$405,$AN687)&lt;&gt;"",$AO687&lt;&gt;"",INDEX(職員マスタ!$F$6:$F$405,$AN687)&lt;$AO687),"対象月に子が2歳到達済／","")&amp;IF(AND($H687&lt;&gt;"",INDEX(職員マスタ!$B$6:$B$405,$AN687)&lt;&gt;"",SUBSTITUTE(SUBSTITUTE($H687," ","")," ","")&lt;&gt;SUBSTITUTE(SUBSTITUTE(INDEX(職員マスタ!$B$6:$B$405,$AN687)," ","")," ","")),"氏名がマスタと相違／","")&amp;IF(AND($Q687&lt;&gt;"",INDEX(職員マスタ!$E$6:$E$405,$AN687)&lt;&gt;"",$Q687&lt;&gt;INDEX(職員マスタ!$E$6:$E$405,$AN687)),"子の生年月日がマスタと相違／","")&amp;IF(AND($L687&lt;&gt;"",INDEX(職員マスタ!$G$6:$G$405,$AN687)&lt;&gt;"",$L687&lt;&gt;INDEX(職員マスタ!$G$6:$G$405,$AN687)),"時短開始日がマスタと相違／","")&amp;IF(AND($M687&lt;&gt;"",INDEX(職員マスタ!$H$6:$H$405,$AN687)&lt;&gt;"",$M687&lt;&gt;INDEX(職員マスタ!$H$6:$H$405,$AN687)),"時短終了日がマスタと相違／","")))&amp;IF(AND($B687&lt;&gt;"",$E687=""),"報酬額が未入力／","")&amp;IF(N($U687)&gt;0,"申請書に入力エラーが残っています／","")&amp;IF(AND($B687&lt;&gt;"",$AO687&lt;&gt;""),IF(COUNTIFS($B$6:$B$3005,$B687,$C$6:$C$3005,$C687,$D$6:$D$3005,$D687)&gt;1,"同じ月の請求が重複しています／",""),"")&amp;IF(AND(N($E687)&gt;0,$Z687&lt;&gt;"",$Z687&lt;&gt;"×",$AC687=0,$AB687=""),"計算額が下限以下のため不支給／",""))</f>
        <v/>
      </c>
      <c r="AL687" s="12" t="n"/>
      <c r="AM687" s="14">
        <f>IF($AD687="保留中",COUNTIF($AD$6:$AD687,"保留中"),"")</f>
        <v/>
      </c>
      <c r="AN687" s="14">
        <f>IF($AO687="","",IF(SUMPRODUCT(MAX((職員マスタ!$A$6:$A$405=$B687)*(((職員マスタ!$G$6:$G$405="")+(職員マスタ!$G$6:$G$405&lt;=EOMONTH($AO687,0)))&gt;0)*(((職員マスタ!$H$6:$H$405="")+(職員マスタ!$H$6:$H$405&gt;=$AO687))&gt;0)*(ROW(職員マスタ!$A$6:$A$405)-5)))&gt;0,SUMPRODUCT(MAX((職員マスタ!$A$6:$A$405=$B687)*(((職員マスタ!$G$6:$G$405="")+(職員マスタ!$G$6:$G$405&lt;=EOMONTH($AO687,0)))&gt;0)*(((職員マスタ!$H$6:$H$405="")+(職員マスタ!$H$6:$H$405&gt;=$AO687))&gt;0)*(ROW(職員マスタ!$A$6:$A$405)-5))),IFERROR(MATCH($B687,職員マスタ!$A$6:$A$405,0),"")))</f>
        <v/>
      </c>
      <c r="AO687" s="16">
        <f>IF(OR($B687="",$C687="",$D687=""),"",DATE($C687+2018,$D687,1))</f>
        <v/>
      </c>
    </row>
    <row r="688">
      <c r="A688" s="11" t="n"/>
      <c r="B688" s="12" t="n"/>
      <c r="C688" s="12" t="n"/>
      <c r="D688" s="12" t="n"/>
      <c r="E688" s="13" t="n"/>
      <c r="F688" s="12" t="n"/>
      <c r="G688" s="13" t="n"/>
      <c r="H688" s="12" t="n"/>
      <c r="I688" s="12" t="n"/>
      <c r="J688" s="12" t="n"/>
      <c r="K688" s="12" t="n"/>
      <c r="L688" s="11" t="n"/>
      <c r="M688" s="11" t="n"/>
      <c r="N688" s="11" t="n"/>
      <c r="O688" s="11" t="n"/>
      <c r="P688" s="12" t="n"/>
      <c r="Q688" s="11" t="n"/>
      <c r="R688" s="12" t="n"/>
      <c r="S688" s="11" t="n"/>
      <c r="T688" s="12" t="n"/>
      <c r="U688" s="12" t="n"/>
      <c r="V688" s="14">
        <f>IF($AN688="",IF($B688="","",$H688),IF(INDEX(職員マスタ!$B$6:$B$405,$AN688)="",$H688,INDEX(職員マスタ!$B$6:$B$405,$AN688)))</f>
        <v/>
      </c>
      <c r="W688" s="14">
        <f>IF($AN688="",IF($B688="","",$R688),IF(INDEX(職員マスタ!$C$6:$C$405,$AN688)="",$R688,INDEX(職員マスタ!$C$6:$C$405,$AN688)))</f>
        <v/>
      </c>
      <c r="X688" s="14">
        <f>IF($AO688="","","R"&amp;$C688&amp;"."&amp;$D688)</f>
        <v/>
      </c>
      <c r="Y688" s="15">
        <f>IF($AN688="","",IF(INDEX(職員マスタ!$K$6:$K$405,$AN688)="","",INDEX(職員マスタ!$K$6:$K$405,$AN688)))</f>
        <v/>
      </c>
      <c r="Z688" s="14">
        <f>IF(OR($E688="",$Y688=""),"",IF($E688&gt;=$Y688,"×",IF($E688&gt;=$Y688*設定!$C$5,"△","○")))</f>
        <v/>
      </c>
      <c r="AA688" s="15">
        <f>IF($Z688="","",IF($Z688="×",0,IF($Z688="○",ROUNDDOWN($E688*設定!$C$4,0),ROUNDDOWN($E688*ROUND((9*$Y688-9*$E688)/(10*$E688),4),0))))</f>
        <v/>
      </c>
      <c r="AB688" s="13" t="n"/>
      <c r="AC688" s="15">
        <f>IF($B688="","",IF($AB688&lt;&gt;"",$AB688,IF($AA688="","",IF($AA688&lt;=設定!$C$3,0,$AA688))))</f>
        <v/>
      </c>
      <c r="AD688" s="14">
        <f>IF($B688="","",IF(AND($AE688&lt;&gt;"",$AG688="",$AJ688=""),"保留中",IF($AJ688&lt;&gt;"",IF(N($AC688)&gt;0,"支給済","不支給"),IF($AC688="","要確認",IF($AC688=0,"不支給","未処理")))))</f>
        <v/>
      </c>
      <c r="AE688" s="12" t="n"/>
      <c r="AF688" s="11" t="n"/>
      <c r="AG688" s="11" t="n"/>
      <c r="AH688" s="11" t="n"/>
      <c r="AI688" s="14">
        <f>IF(AND($AD688="保留中",$AF688&lt;&gt;""),TODAY()-$AF688,"")</f>
        <v/>
      </c>
      <c r="AJ688" s="12" t="n"/>
      <c r="AK688" s="14">
        <f>IF($B688="","",IF($AO688="","対象年月が未入力／","")&amp;IF($B688="","",IF($AN688="","職員マスタに未登録の職員番号／",IF($Y688="","標準報酬月額が未登録／","")&amp;IF(AND($AO688&lt;&gt;"",OR(AND(INDEX(職員マスタ!$G$6:$G$405,$AN688)&lt;&gt;"",INDEX(職員マスタ!$G$6:$G$405,$AN688)&gt;EOMONTH($AO688,0)),AND(INDEX(職員マスタ!$H$6:$H$405,$AN688)&lt;&gt;"",INDEX(職員マスタ!$H$6:$H$405,$AN688)&lt;$AO688))),"対象月が時短期間外／","")&amp;IF(AND(INDEX(職員マスタ!$F$6:$F$405,$AN688)&lt;&gt;"",$AO688&lt;&gt;"",INDEX(職員マスタ!$F$6:$F$405,$AN688)&lt;$AO688),"対象月に子が2歳到達済／","")&amp;IF(AND($H688&lt;&gt;"",INDEX(職員マスタ!$B$6:$B$405,$AN688)&lt;&gt;"",SUBSTITUTE(SUBSTITUTE($H688," ","")," ","")&lt;&gt;SUBSTITUTE(SUBSTITUTE(INDEX(職員マスタ!$B$6:$B$405,$AN688)," ","")," ","")),"氏名がマスタと相違／","")&amp;IF(AND($Q688&lt;&gt;"",INDEX(職員マスタ!$E$6:$E$405,$AN688)&lt;&gt;"",$Q688&lt;&gt;INDEX(職員マスタ!$E$6:$E$405,$AN688)),"子の生年月日がマスタと相違／","")&amp;IF(AND($L688&lt;&gt;"",INDEX(職員マスタ!$G$6:$G$405,$AN688)&lt;&gt;"",$L688&lt;&gt;INDEX(職員マスタ!$G$6:$G$405,$AN688)),"時短開始日がマスタと相違／","")&amp;IF(AND($M688&lt;&gt;"",INDEX(職員マスタ!$H$6:$H$405,$AN688)&lt;&gt;"",$M688&lt;&gt;INDEX(職員マスタ!$H$6:$H$405,$AN688)),"時短終了日がマスタと相違／","")))&amp;IF(AND($B688&lt;&gt;"",$E688=""),"報酬額が未入力／","")&amp;IF(N($U688)&gt;0,"申請書に入力エラーが残っています／","")&amp;IF(AND($B688&lt;&gt;"",$AO688&lt;&gt;""),IF(COUNTIFS($B$6:$B$3005,$B688,$C$6:$C$3005,$C688,$D$6:$D$3005,$D688)&gt;1,"同じ月の請求が重複しています／",""),"")&amp;IF(AND(N($E688)&gt;0,$Z688&lt;&gt;"",$Z688&lt;&gt;"×",$AC688=0,$AB688=""),"計算額が下限以下のため不支給／",""))</f>
        <v/>
      </c>
      <c r="AL688" s="12" t="n"/>
      <c r="AM688" s="14">
        <f>IF($AD688="保留中",COUNTIF($AD$6:$AD688,"保留中"),"")</f>
        <v/>
      </c>
      <c r="AN688" s="14">
        <f>IF($AO688="","",IF(SUMPRODUCT(MAX((職員マスタ!$A$6:$A$405=$B688)*(((職員マスタ!$G$6:$G$405="")+(職員マスタ!$G$6:$G$405&lt;=EOMONTH($AO688,0)))&gt;0)*(((職員マスタ!$H$6:$H$405="")+(職員マスタ!$H$6:$H$405&gt;=$AO688))&gt;0)*(ROW(職員マスタ!$A$6:$A$405)-5)))&gt;0,SUMPRODUCT(MAX((職員マスタ!$A$6:$A$405=$B688)*(((職員マスタ!$G$6:$G$405="")+(職員マスタ!$G$6:$G$405&lt;=EOMONTH($AO688,0)))&gt;0)*(((職員マスタ!$H$6:$H$405="")+(職員マスタ!$H$6:$H$405&gt;=$AO688))&gt;0)*(ROW(職員マスタ!$A$6:$A$405)-5))),IFERROR(MATCH($B688,職員マスタ!$A$6:$A$405,0),"")))</f>
        <v/>
      </c>
      <c r="AO688" s="16">
        <f>IF(OR($B688="",$C688="",$D688=""),"",DATE($C688+2018,$D688,1))</f>
        <v/>
      </c>
    </row>
    <row r="689">
      <c r="A689" s="11" t="n"/>
      <c r="B689" s="12" t="n"/>
      <c r="C689" s="12" t="n"/>
      <c r="D689" s="12" t="n"/>
      <c r="E689" s="13" t="n"/>
      <c r="F689" s="12" t="n"/>
      <c r="G689" s="13" t="n"/>
      <c r="H689" s="12" t="n"/>
      <c r="I689" s="12" t="n"/>
      <c r="J689" s="12" t="n"/>
      <c r="K689" s="12" t="n"/>
      <c r="L689" s="11" t="n"/>
      <c r="M689" s="11" t="n"/>
      <c r="N689" s="11" t="n"/>
      <c r="O689" s="11" t="n"/>
      <c r="P689" s="12" t="n"/>
      <c r="Q689" s="11" t="n"/>
      <c r="R689" s="12" t="n"/>
      <c r="S689" s="11" t="n"/>
      <c r="T689" s="12" t="n"/>
      <c r="U689" s="12" t="n"/>
      <c r="V689" s="14">
        <f>IF($AN689="",IF($B689="","",$H689),IF(INDEX(職員マスタ!$B$6:$B$405,$AN689)="",$H689,INDEX(職員マスタ!$B$6:$B$405,$AN689)))</f>
        <v/>
      </c>
      <c r="W689" s="14">
        <f>IF($AN689="",IF($B689="","",$R689),IF(INDEX(職員マスタ!$C$6:$C$405,$AN689)="",$R689,INDEX(職員マスタ!$C$6:$C$405,$AN689)))</f>
        <v/>
      </c>
      <c r="X689" s="14">
        <f>IF($AO689="","","R"&amp;$C689&amp;"."&amp;$D689)</f>
        <v/>
      </c>
      <c r="Y689" s="15">
        <f>IF($AN689="","",IF(INDEX(職員マスタ!$K$6:$K$405,$AN689)="","",INDEX(職員マスタ!$K$6:$K$405,$AN689)))</f>
        <v/>
      </c>
      <c r="Z689" s="14">
        <f>IF(OR($E689="",$Y689=""),"",IF($E689&gt;=$Y689,"×",IF($E689&gt;=$Y689*設定!$C$5,"△","○")))</f>
        <v/>
      </c>
      <c r="AA689" s="15">
        <f>IF($Z689="","",IF($Z689="×",0,IF($Z689="○",ROUNDDOWN($E689*設定!$C$4,0),ROUNDDOWN($E689*ROUND((9*$Y689-9*$E689)/(10*$E689),4),0))))</f>
        <v/>
      </c>
      <c r="AB689" s="13" t="n"/>
      <c r="AC689" s="15">
        <f>IF($B689="","",IF($AB689&lt;&gt;"",$AB689,IF($AA689="","",IF($AA689&lt;=設定!$C$3,0,$AA689))))</f>
        <v/>
      </c>
      <c r="AD689" s="14">
        <f>IF($B689="","",IF(AND($AE689&lt;&gt;"",$AG689="",$AJ689=""),"保留中",IF($AJ689&lt;&gt;"",IF(N($AC689)&gt;0,"支給済","不支給"),IF($AC689="","要確認",IF($AC689=0,"不支給","未処理")))))</f>
        <v/>
      </c>
      <c r="AE689" s="12" t="n"/>
      <c r="AF689" s="11" t="n"/>
      <c r="AG689" s="11" t="n"/>
      <c r="AH689" s="11" t="n"/>
      <c r="AI689" s="14">
        <f>IF(AND($AD689="保留中",$AF689&lt;&gt;""),TODAY()-$AF689,"")</f>
        <v/>
      </c>
      <c r="AJ689" s="12" t="n"/>
      <c r="AK689" s="14">
        <f>IF($B689="","",IF($AO689="","対象年月が未入力／","")&amp;IF($B689="","",IF($AN689="","職員マスタに未登録の職員番号／",IF($Y689="","標準報酬月額が未登録／","")&amp;IF(AND($AO689&lt;&gt;"",OR(AND(INDEX(職員マスタ!$G$6:$G$405,$AN689)&lt;&gt;"",INDEX(職員マスタ!$G$6:$G$405,$AN689)&gt;EOMONTH($AO689,0)),AND(INDEX(職員マスタ!$H$6:$H$405,$AN689)&lt;&gt;"",INDEX(職員マスタ!$H$6:$H$405,$AN689)&lt;$AO689))),"対象月が時短期間外／","")&amp;IF(AND(INDEX(職員マスタ!$F$6:$F$405,$AN689)&lt;&gt;"",$AO689&lt;&gt;"",INDEX(職員マスタ!$F$6:$F$405,$AN689)&lt;$AO689),"対象月に子が2歳到達済／","")&amp;IF(AND($H689&lt;&gt;"",INDEX(職員マスタ!$B$6:$B$405,$AN689)&lt;&gt;"",SUBSTITUTE(SUBSTITUTE($H689," ","")," ","")&lt;&gt;SUBSTITUTE(SUBSTITUTE(INDEX(職員マスタ!$B$6:$B$405,$AN689)," ","")," ","")),"氏名がマスタと相違／","")&amp;IF(AND($Q689&lt;&gt;"",INDEX(職員マスタ!$E$6:$E$405,$AN689)&lt;&gt;"",$Q689&lt;&gt;INDEX(職員マスタ!$E$6:$E$405,$AN689)),"子の生年月日がマスタと相違／","")&amp;IF(AND($L689&lt;&gt;"",INDEX(職員マスタ!$G$6:$G$405,$AN689)&lt;&gt;"",$L689&lt;&gt;INDEX(職員マスタ!$G$6:$G$405,$AN689)),"時短開始日がマスタと相違／","")&amp;IF(AND($M689&lt;&gt;"",INDEX(職員マスタ!$H$6:$H$405,$AN689)&lt;&gt;"",$M689&lt;&gt;INDEX(職員マスタ!$H$6:$H$405,$AN689)),"時短終了日がマスタと相違／","")))&amp;IF(AND($B689&lt;&gt;"",$E689=""),"報酬額が未入力／","")&amp;IF(N($U689)&gt;0,"申請書に入力エラーが残っています／","")&amp;IF(AND($B689&lt;&gt;"",$AO689&lt;&gt;""),IF(COUNTIFS($B$6:$B$3005,$B689,$C$6:$C$3005,$C689,$D$6:$D$3005,$D689)&gt;1,"同じ月の請求が重複しています／",""),"")&amp;IF(AND(N($E689)&gt;0,$Z689&lt;&gt;"",$Z689&lt;&gt;"×",$AC689=0,$AB689=""),"計算額が下限以下のため不支給／",""))</f>
        <v/>
      </c>
      <c r="AL689" s="12" t="n"/>
      <c r="AM689" s="14">
        <f>IF($AD689="保留中",COUNTIF($AD$6:$AD689,"保留中"),"")</f>
        <v/>
      </c>
      <c r="AN689" s="14">
        <f>IF($AO689="","",IF(SUMPRODUCT(MAX((職員マスタ!$A$6:$A$405=$B689)*(((職員マスタ!$G$6:$G$405="")+(職員マスタ!$G$6:$G$405&lt;=EOMONTH($AO689,0)))&gt;0)*(((職員マスタ!$H$6:$H$405="")+(職員マスタ!$H$6:$H$405&gt;=$AO689))&gt;0)*(ROW(職員マスタ!$A$6:$A$405)-5)))&gt;0,SUMPRODUCT(MAX((職員マスタ!$A$6:$A$405=$B689)*(((職員マスタ!$G$6:$G$405="")+(職員マスタ!$G$6:$G$405&lt;=EOMONTH($AO689,0)))&gt;0)*(((職員マスタ!$H$6:$H$405="")+(職員マスタ!$H$6:$H$405&gt;=$AO689))&gt;0)*(ROW(職員マスタ!$A$6:$A$405)-5))),IFERROR(MATCH($B689,職員マスタ!$A$6:$A$405,0),"")))</f>
        <v/>
      </c>
      <c r="AO689" s="16">
        <f>IF(OR($B689="",$C689="",$D689=""),"",DATE($C689+2018,$D689,1))</f>
        <v/>
      </c>
    </row>
    <row r="690">
      <c r="A690" s="11" t="n"/>
      <c r="B690" s="12" t="n"/>
      <c r="C690" s="12" t="n"/>
      <c r="D690" s="12" t="n"/>
      <c r="E690" s="13" t="n"/>
      <c r="F690" s="12" t="n"/>
      <c r="G690" s="13" t="n"/>
      <c r="H690" s="12" t="n"/>
      <c r="I690" s="12" t="n"/>
      <c r="J690" s="12" t="n"/>
      <c r="K690" s="12" t="n"/>
      <c r="L690" s="11" t="n"/>
      <c r="M690" s="11" t="n"/>
      <c r="N690" s="11" t="n"/>
      <c r="O690" s="11" t="n"/>
      <c r="P690" s="12" t="n"/>
      <c r="Q690" s="11" t="n"/>
      <c r="R690" s="12" t="n"/>
      <c r="S690" s="11" t="n"/>
      <c r="T690" s="12" t="n"/>
      <c r="U690" s="12" t="n"/>
      <c r="V690" s="14">
        <f>IF($AN690="",IF($B690="","",$H690),IF(INDEX(職員マスタ!$B$6:$B$405,$AN690)="",$H690,INDEX(職員マスタ!$B$6:$B$405,$AN690)))</f>
        <v/>
      </c>
      <c r="W690" s="14">
        <f>IF($AN690="",IF($B690="","",$R690),IF(INDEX(職員マスタ!$C$6:$C$405,$AN690)="",$R690,INDEX(職員マスタ!$C$6:$C$405,$AN690)))</f>
        <v/>
      </c>
      <c r="X690" s="14">
        <f>IF($AO690="","","R"&amp;$C690&amp;"."&amp;$D690)</f>
        <v/>
      </c>
      <c r="Y690" s="15">
        <f>IF($AN690="","",IF(INDEX(職員マスタ!$K$6:$K$405,$AN690)="","",INDEX(職員マスタ!$K$6:$K$405,$AN690)))</f>
        <v/>
      </c>
      <c r="Z690" s="14">
        <f>IF(OR($E690="",$Y690=""),"",IF($E690&gt;=$Y690,"×",IF($E690&gt;=$Y690*設定!$C$5,"△","○")))</f>
        <v/>
      </c>
      <c r="AA690" s="15">
        <f>IF($Z690="","",IF($Z690="×",0,IF($Z690="○",ROUNDDOWN($E690*設定!$C$4,0),ROUNDDOWN($E690*ROUND((9*$Y690-9*$E690)/(10*$E690),4),0))))</f>
        <v/>
      </c>
      <c r="AB690" s="13" t="n"/>
      <c r="AC690" s="15">
        <f>IF($B690="","",IF($AB690&lt;&gt;"",$AB690,IF($AA690="","",IF($AA690&lt;=設定!$C$3,0,$AA690))))</f>
        <v/>
      </c>
      <c r="AD690" s="14">
        <f>IF($B690="","",IF(AND($AE690&lt;&gt;"",$AG690="",$AJ690=""),"保留中",IF($AJ690&lt;&gt;"",IF(N($AC690)&gt;0,"支給済","不支給"),IF($AC690="","要確認",IF($AC690=0,"不支給","未処理")))))</f>
        <v/>
      </c>
      <c r="AE690" s="12" t="n"/>
      <c r="AF690" s="11" t="n"/>
      <c r="AG690" s="11" t="n"/>
      <c r="AH690" s="11" t="n"/>
      <c r="AI690" s="14">
        <f>IF(AND($AD690="保留中",$AF690&lt;&gt;""),TODAY()-$AF690,"")</f>
        <v/>
      </c>
      <c r="AJ690" s="12" t="n"/>
      <c r="AK690" s="14">
        <f>IF($B690="","",IF($AO690="","対象年月が未入力／","")&amp;IF($B690="","",IF($AN690="","職員マスタに未登録の職員番号／",IF($Y690="","標準報酬月額が未登録／","")&amp;IF(AND($AO690&lt;&gt;"",OR(AND(INDEX(職員マスタ!$G$6:$G$405,$AN690)&lt;&gt;"",INDEX(職員マスタ!$G$6:$G$405,$AN690)&gt;EOMONTH($AO690,0)),AND(INDEX(職員マスタ!$H$6:$H$405,$AN690)&lt;&gt;"",INDEX(職員マスタ!$H$6:$H$405,$AN690)&lt;$AO690))),"対象月が時短期間外／","")&amp;IF(AND(INDEX(職員マスタ!$F$6:$F$405,$AN690)&lt;&gt;"",$AO690&lt;&gt;"",INDEX(職員マスタ!$F$6:$F$405,$AN690)&lt;$AO690),"対象月に子が2歳到達済／","")&amp;IF(AND($H690&lt;&gt;"",INDEX(職員マスタ!$B$6:$B$405,$AN690)&lt;&gt;"",SUBSTITUTE(SUBSTITUTE($H690," ","")," ","")&lt;&gt;SUBSTITUTE(SUBSTITUTE(INDEX(職員マスタ!$B$6:$B$405,$AN690)," ","")," ","")),"氏名がマスタと相違／","")&amp;IF(AND($Q690&lt;&gt;"",INDEX(職員マスタ!$E$6:$E$405,$AN690)&lt;&gt;"",$Q690&lt;&gt;INDEX(職員マスタ!$E$6:$E$405,$AN690)),"子の生年月日がマスタと相違／","")&amp;IF(AND($L690&lt;&gt;"",INDEX(職員マスタ!$G$6:$G$405,$AN690)&lt;&gt;"",$L690&lt;&gt;INDEX(職員マスタ!$G$6:$G$405,$AN690)),"時短開始日がマスタと相違／","")&amp;IF(AND($M690&lt;&gt;"",INDEX(職員マスタ!$H$6:$H$405,$AN690)&lt;&gt;"",$M690&lt;&gt;INDEX(職員マスタ!$H$6:$H$405,$AN690)),"時短終了日がマスタと相違／","")))&amp;IF(AND($B690&lt;&gt;"",$E690=""),"報酬額が未入力／","")&amp;IF(N($U690)&gt;0,"申請書に入力エラーが残っています／","")&amp;IF(AND($B690&lt;&gt;"",$AO690&lt;&gt;""),IF(COUNTIFS($B$6:$B$3005,$B690,$C$6:$C$3005,$C690,$D$6:$D$3005,$D690)&gt;1,"同じ月の請求が重複しています／",""),"")&amp;IF(AND(N($E690)&gt;0,$Z690&lt;&gt;"",$Z690&lt;&gt;"×",$AC690=0,$AB690=""),"計算額が下限以下のため不支給／",""))</f>
        <v/>
      </c>
      <c r="AL690" s="12" t="n"/>
      <c r="AM690" s="14">
        <f>IF($AD690="保留中",COUNTIF($AD$6:$AD690,"保留中"),"")</f>
        <v/>
      </c>
      <c r="AN690" s="14">
        <f>IF($AO690="","",IF(SUMPRODUCT(MAX((職員マスタ!$A$6:$A$405=$B690)*(((職員マスタ!$G$6:$G$405="")+(職員マスタ!$G$6:$G$405&lt;=EOMONTH($AO690,0)))&gt;0)*(((職員マスタ!$H$6:$H$405="")+(職員マスタ!$H$6:$H$405&gt;=$AO690))&gt;0)*(ROW(職員マスタ!$A$6:$A$405)-5)))&gt;0,SUMPRODUCT(MAX((職員マスタ!$A$6:$A$405=$B690)*(((職員マスタ!$G$6:$G$405="")+(職員マスタ!$G$6:$G$405&lt;=EOMONTH($AO690,0)))&gt;0)*(((職員マスタ!$H$6:$H$405="")+(職員マスタ!$H$6:$H$405&gt;=$AO690))&gt;0)*(ROW(職員マスタ!$A$6:$A$405)-5))),IFERROR(MATCH($B690,職員マスタ!$A$6:$A$405,0),"")))</f>
        <v/>
      </c>
      <c r="AO690" s="16">
        <f>IF(OR($B690="",$C690="",$D690=""),"",DATE($C690+2018,$D690,1))</f>
        <v/>
      </c>
    </row>
    <row r="691">
      <c r="A691" s="11" t="n"/>
      <c r="B691" s="12" t="n"/>
      <c r="C691" s="12" t="n"/>
      <c r="D691" s="12" t="n"/>
      <c r="E691" s="13" t="n"/>
      <c r="F691" s="12" t="n"/>
      <c r="G691" s="13" t="n"/>
      <c r="H691" s="12" t="n"/>
      <c r="I691" s="12" t="n"/>
      <c r="J691" s="12" t="n"/>
      <c r="K691" s="12" t="n"/>
      <c r="L691" s="11" t="n"/>
      <c r="M691" s="11" t="n"/>
      <c r="N691" s="11" t="n"/>
      <c r="O691" s="11" t="n"/>
      <c r="P691" s="12" t="n"/>
      <c r="Q691" s="11" t="n"/>
      <c r="R691" s="12" t="n"/>
      <c r="S691" s="11" t="n"/>
      <c r="T691" s="12" t="n"/>
      <c r="U691" s="12" t="n"/>
      <c r="V691" s="14">
        <f>IF($AN691="",IF($B691="","",$H691),IF(INDEX(職員マスタ!$B$6:$B$405,$AN691)="",$H691,INDEX(職員マスタ!$B$6:$B$405,$AN691)))</f>
        <v/>
      </c>
      <c r="W691" s="14">
        <f>IF($AN691="",IF($B691="","",$R691),IF(INDEX(職員マスタ!$C$6:$C$405,$AN691)="",$R691,INDEX(職員マスタ!$C$6:$C$405,$AN691)))</f>
        <v/>
      </c>
      <c r="X691" s="14">
        <f>IF($AO691="","","R"&amp;$C691&amp;"."&amp;$D691)</f>
        <v/>
      </c>
      <c r="Y691" s="15">
        <f>IF($AN691="","",IF(INDEX(職員マスタ!$K$6:$K$405,$AN691)="","",INDEX(職員マスタ!$K$6:$K$405,$AN691)))</f>
        <v/>
      </c>
      <c r="Z691" s="14">
        <f>IF(OR($E691="",$Y691=""),"",IF($E691&gt;=$Y691,"×",IF($E691&gt;=$Y691*設定!$C$5,"△","○")))</f>
        <v/>
      </c>
      <c r="AA691" s="15">
        <f>IF($Z691="","",IF($Z691="×",0,IF($Z691="○",ROUNDDOWN($E691*設定!$C$4,0),ROUNDDOWN($E691*ROUND((9*$Y691-9*$E691)/(10*$E691),4),0))))</f>
        <v/>
      </c>
      <c r="AB691" s="13" t="n"/>
      <c r="AC691" s="15">
        <f>IF($B691="","",IF($AB691&lt;&gt;"",$AB691,IF($AA691="","",IF($AA691&lt;=設定!$C$3,0,$AA691))))</f>
        <v/>
      </c>
      <c r="AD691" s="14">
        <f>IF($B691="","",IF(AND($AE691&lt;&gt;"",$AG691="",$AJ691=""),"保留中",IF($AJ691&lt;&gt;"",IF(N($AC691)&gt;0,"支給済","不支給"),IF($AC691="","要確認",IF($AC691=0,"不支給","未処理")))))</f>
        <v/>
      </c>
      <c r="AE691" s="12" t="n"/>
      <c r="AF691" s="11" t="n"/>
      <c r="AG691" s="11" t="n"/>
      <c r="AH691" s="11" t="n"/>
      <c r="AI691" s="14">
        <f>IF(AND($AD691="保留中",$AF691&lt;&gt;""),TODAY()-$AF691,"")</f>
        <v/>
      </c>
      <c r="AJ691" s="12" t="n"/>
      <c r="AK691" s="14">
        <f>IF($B691="","",IF($AO691="","対象年月が未入力／","")&amp;IF($B691="","",IF($AN691="","職員マスタに未登録の職員番号／",IF($Y691="","標準報酬月額が未登録／","")&amp;IF(AND($AO691&lt;&gt;"",OR(AND(INDEX(職員マスタ!$G$6:$G$405,$AN691)&lt;&gt;"",INDEX(職員マスタ!$G$6:$G$405,$AN691)&gt;EOMONTH($AO691,0)),AND(INDEX(職員マスタ!$H$6:$H$405,$AN691)&lt;&gt;"",INDEX(職員マスタ!$H$6:$H$405,$AN691)&lt;$AO691))),"対象月が時短期間外／","")&amp;IF(AND(INDEX(職員マスタ!$F$6:$F$405,$AN691)&lt;&gt;"",$AO691&lt;&gt;"",INDEX(職員マスタ!$F$6:$F$405,$AN691)&lt;$AO691),"対象月に子が2歳到達済／","")&amp;IF(AND($H691&lt;&gt;"",INDEX(職員マスタ!$B$6:$B$405,$AN691)&lt;&gt;"",SUBSTITUTE(SUBSTITUTE($H691," ","")," ","")&lt;&gt;SUBSTITUTE(SUBSTITUTE(INDEX(職員マスタ!$B$6:$B$405,$AN691)," ","")," ","")),"氏名がマスタと相違／","")&amp;IF(AND($Q691&lt;&gt;"",INDEX(職員マスタ!$E$6:$E$405,$AN691)&lt;&gt;"",$Q691&lt;&gt;INDEX(職員マスタ!$E$6:$E$405,$AN691)),"子の生年月日がマスタと相違／","")&amp;IF(AND($L691&lt;&gt;"",INDEX(職員マスタ!$G$6:$G$405,$AN691)&lt;&gt;"",$L691&lt;&gt;INDEX(職員マスタ!$G$6:$G$405,$AN691)),"時短開始日がマスタと相違／","")&amp;IF(AND($M691&lt;&gt;"",INDEX(職員マスタ!$H$6:$H$405,$AN691)&lt;&gt;"",$M691&lt;&gt;INDEX(職員マスタ!$H$6:$H$405,$AN691)),"時短終了日がマスタと相違／","")))&amp;IF(AND($B691&lt;&gt;"",$E691=""),"報酬額が未入力／","")&amp;IF(N($U691)&gt;0,"申請書に入力エラーが残っています／","")&amp;IF(AND($B691&lt;&gt;"",$AO691&lt;&gt;""),IF(COUNTIFS($B$6:$B$3005,$B691,$C$6:$C$3005,$C691,$D$6:$D$3005,$D691)&gt;1,"同じ月の請求が重複しています／",""),"")&amp;IF(AND(N($E691)&gt;0,$Z691&lt;&gt;"",$Z691&lt;&gt;"×",$AC691=0,$AB691=""),"計算額が下限以下のため不支給／",""))</f>
        <v/>
      </c>
      <c r="AL691" s="12" t="n"/>
      <c r="AM691" s="14">
        <f>IF($AD691="保留中",COUNTIF($AD$6:$AD691,"保留中"),"")</f>
        <v/>
      </c>
      <c r="AN691" s="14">
        <f>IF($AO691="","",IF(SUMPRODUCT(MAX((職員マスタ!$A$6:$A$405=$B691)*(((職員マスタ!$G$6:$G$405="")+(職員マスタ!$G$6:$G$405&lt;=EOMONTH($AO691,0)))&gt;0)*(((職員マスタ!$H$6:$H$405="")+(職員マスタ!$H$6:$H$405&gt;=$AO691))&gt;0)*(ROW(職員マスタ!$A$6:$A$405)-5)))&gt;0,SUMPRODUCT(MAX((職員マスタ!$A$6:$A$405=$B691)*(((職員マスタ!$G$6:$G$405="")+(職員マスタ!$G$6:$G$405&lt;=EOMONTH($AO691,0)))&gt;0)*(((職員マスタ!$H$6:$H$405="")+(職員マスタ!$H$6:$H$405&gt;=$AO691))&gt;0)*(ROW(職員マスタ!$A$6:$A$405)-5))),IFERROR(MATCH($B691,職員マスタ!$A$6:$A$405,0),"")))</f>
        <v/>
      </c>
      <c r="AO691" s="16">
        <f>IF(OR($B691="",$C691="",$D691=""),"",DATE($C691+2018,$D691,1))</f>
        <v/>
      </c>
    </row>
    <row r="692">
      <c r="A692" s="11" t="n"/>
      <c r="B692" s="12" t="n"/>
      <c r="C692" s="12" t="n"/>
      <c r="D692" s="12" t="n"/>
      <c r="E692" s="13" t="n"/>
      <c r="F692" s="12" t="n"/>
      <c r="G692" s="13" t="n"/>
      <c r="H692" s="12" t="n"/>
      <c r="I692" s="12" t="n"/>
      <c r="J692" s="12" t="n"/>
      <c r="K692" s="12" t="n"/>
      <c r="L692" s="11" t="n"/>
      <c r="M692" s="11" t="n"/>
      <c r="N692" s="11" t="n"/>
      <c r="O692" s="11" t="n"/>
      <c r="P692" s="12" t="n"/>
      <c r="Q692" s="11" t="n"/>
      <c r="R692" s="12" t="n"/>
      <c r="S692" s="11" t="n"/>
      <c r="T692" s="12" t="n"/>
      <c r="U692" s="12" t="n"/>
      <c r="V692" s="14">
        <f>IF($AN692="",IF($B692="","",$H692),IF(INDEX(職員マスタ!$B$6:$B$405,$AN692)="",$H692,INDEX(職員マスタ!$B$6:$B$405,$AN692)))</f>
        <v/>
      </c>
      <c r="W692" s="14">
        <f>IF($AN692="",IF($B692="","",$R692),IF(INDEX(職員マスタ!$C$6:$C$405,$AN692)="",$R692,INDEX(職員マスタ!$C$6:$C$405,$AN692)))</f>
        <v/>
      </c>
      <c r="X692" s="14">
        <f>IF($AO692="","","R"&amp;$C692&amp;"."&amp;$D692)</f>
        <v/>
      </c>
      <c r="Y692" s="15">
        <f>IF($AN692="","",IF(INDEX(職員マスタ!$K$6:$K$405,$AN692)="","",INDEX(職員マスタ!$K$6:$K$405,$AN692)))</f>
        <v/>
      </c>
      <c r="Z692" s="14">
        <f>IF(OR($E692="",$Y692=""),"",IF($E692&gt;=$Y692,"×",IF($E692&gt;=$Y692*設定!$C$5,"△","○")))</f>
        <v/>
      </c>
      <c r="AA692" s="15">
        <f>IF($Z692="","",IF($Z692="×",0,IF($Z692="○",ROUNDDOWN($E692*設定!$C$4,0),ROUNDDOWN($E692*ROUND((9*$Y692-9*$E692)/(10*$E692),4),0))))</f>
        <v/>
      </c>
      <c r="AB692" s="13" t="n"/>
      <c r="AC692" s="15">
        <f>IF($B692="","",IF($AB692&lt;&gt;"",$AB692,IF($AA692="","",IF($AA692&lt;=設定!$C$3,0,$AA692))))</f>
        <v/>
      </c>
      <c r="AD692" s="14">
        <f>IF($B692="","",IF(AND($AE692&lt;&gt;"",$AG692="",$AJ692=""),"保留中",IF($AJ692&lt;&gt;"",IF(N($AC692)&gt;0,"支給済","不支給"),IF($AC692="","要確認",IF($AC692=0,"不支給","未処理")))))</f>
        <v/>
      </c>
      <c r="AE692" s="12" t="n"/>
      <c r="AF692" s="11" t="n"/>
      <c r="AG692" s="11" t="n"/>
      <c r="AH692" s="11" t="n"/>
      <c r="AI692" s="14">
        <f>IF(AND($AD692="保留中",$AF692&lt;&gt;""),TODAY()-$AF692,"")</f>
        <v/>
      </c>
      <c r="AJ692" s="12" t="n"/>
      <c r="AK692" s="14">
        <f>IF($B692="","",IF($AO692="","対象年月が未入力／","")&amp;IF($B692="","",IF($AN692="","職員マスタに未登録の職員番号／",IF($Y692="","標準報酬月額が未登録／","")&amp;IF(AND($AO692&lt;&gt;"",OR(AND(INDEX(職員マスタ!$G$6:$G$405,$AN692)&lt;&gt;"",INDEX(職員マスタ!$G$6:$G$405,$AN692)&gt;EOMONTH($AO692,0)),AND(INDEX(職員マスタ!$H$6:$H$405,$AN692)&lt;&gt;"",INDEX(職員マスタ!$H$6:$H$405,$AN692)&lt;$AO692))),"対象月が時短期間外／","")&amp;IF(AND(INDEX(職員マスタ!$F$6:$F$405,$AN692)&lt;&gt;"",$AO692&lt;&gt;"",INDEX(職員マスタ!$F$6:$F$405,$AN692)&lt;$AO692),"対象月に子が2歳到達済／","")&amp;IF(AND($H692&lt;&gt;"",INDEX(職員マスタ!$B$6:$B$405,$AN692)&lt;&gt;"",SUBSTITUTE(SUBSTITUTE($H692," ","")," ","")&lt;&gt;SUBSTITUTE(SUBSTITUTE(INDEX(職員マスタ!$B$6:$B$405,$AN692)," ","")," ","")),"氏名がマスタと相違／","")&amp;IF(AND($Q692&lt;&gt;"",INDEX(職員マスタ!$E$6:$E$405,$AN692)&lt;&gt;"",$Q692&lt;&gt;INDEX(職員マスタ!$E$6:$E$405,$AN692)),"子の生年月日がマスタと相違／","")&amp;IF(AND($L692&lt;&gt;"",INDEX(職員マスタ!$G$6:$G$405,$AN692)&lt;&gt;"",$L692&lt;&gt;INDEX(職員マスタ!$G$6:$G$405,$AN692)),"時短開始日がマスタと相違／","")&amp;IF(AND($M692&lt;&gt;"",INDEX(職員マスタ!$H$6:$H$405,$AN692)&lt;&gt;"",$M692&lt;&gt;INDEX(職員マスタ!$H$6:$H$405,$AN692)),"時短終了日がマスタと相違／","")))&amp;IF(AND($B692&lt;&gt;"",$E692=""),"報酬額が未入力／","")&amp;IF(N($U692)&gt;0,"申請書に入力エラーが残っています／","")&amp;IF(AND($B692&lt;&gt;"",$AO692&lt;&gt;""),IF(COUNTIFS($B$6:$B$3005,$B692,$C$6:$C$3005,$C692,$D$6:$D$3005,$D692)&gt;1,"同じ月の請求が重複しています／",""),"")&amp;IF(AND(N($E692)&gt;0,$Z692&lt;&gt;"",$Z692&lt;&gt;"×",$AC692=0,$AB692=""),"計算額が下限以下のため不支給／",""))</f>
        <v/>
      </c>
      <c r="AL692" s="12" t="n"/>
      <c r="AM692" s="14">
        <f>IF($AD692="保留中",COUNTIF($AD$6:$AD692,"保留中"),"")</f>
        <v/>
      </c>
      <c r="AN692" s="14">
        <f>IF($AO692="","",IF(SUMPRODUCT(MAX((職員マスタ!$A$6:$A$405=$B692)*(((職員マスタ!$G$6:$G$405="")+(職員マスタ!$G$6:$G$405&lt;=EOMONTH($AO692,0)))&gt;0)*(((職員マスタ!$H$6:$H$405="")+(職員マスタ!$H$6:$H$405&gt;=$AO692))&gt;0)*(ROW(職員マスタ!$A$6:$A$405)-5)))&gt;0,SUMPRODUCT(MAX((職員マスタ!$A$6:$A$405=$B692)*(((職員マスタ!$G$6:$G$405="")+(職員マスタ!$G$6:$G$405&lt;=EOMONTH($AO692,0)))&gt;0)*(((職員マスタ!$H$6:$H$405="")+(職員マスタ!$H$6:$H$405&gt;=$AO692))&gt;0)*(ROW(職員マスタ!$A$6:$A$405)-5))),IFERROR(MATCH($B692,職員マスタ!$A$6:$A$405,0),"")))</f>
        <v/>
      </c>
      <c r="AO692" s="16">
        <f>IF(OR($B692="",$C692="",$D692=""),"",DATE($C692+2018,$D692,1))</f>
        <v/>
      </c>
    </row>
    <row r="693">
      <c r="A693" s="11" t="n"/>
      <c r="B693" s="12" t="n"/>
      <c r="C693" s="12" t="n"/>
      <c r="D693" s="12" t="n"/>
      <c r="E693" s="13" t="n"/>
      <c r="F693" s="12" t="n"/>
      <c r="G693" s="13" t="n"/>
      <c r="H693" s="12" t="n"/>
      <c r="I693" s="12" t="n"/>
      <c r="J693" s="12" t="n"/>
      <c r="K693" s="12" t="n"/>
      <c r="L693" s="11" t="n"/>
      <c r="M693" s="11" t="n"/>
      <c r="N693" s="11" t="n"/>
      <c r="O693" s="11" t="n"/>
      <c r="P693" s="12" t="n"/>
      <c r="Q693" s="11" t="n"/>
      <c r="R693" s="12" t="n"/>
      <c r="S693" s="11" t="n"/>
      <c r="T693" s="12" t="n"/>
      <c r="U693" s="12" t="n"/>
      <c r="V693" s="14">
        <f>IF($AN693="",IF($B693="","",$H693),IF(INDEX(職員マスタ!$B$6:$B$405,$AN693)="",$H693,INDEX(職員マスタ!$B$6:$B$405,$AN693)))</f>
        <v/>
      </c>
      <c r="W693" s="14">
        <f>IF($AN693="",IF($B693="","",$R693),IF(INDEX(職員マスタ!$C$6:$C$405,$AN693)="",$R693,INDEX(職員マスタ!$C$6:$C$405,$AN693)))</f>
        <v/>
      </c>
      <c r="X693" s="14">
        <f>IF($AO693="","","R"&amp;$C693&amp;"."&amp;$D693)</f>
        <v/>
      </c>
      <c r="Y693" s="15">
        <f>IF($AN693="","",IF(INDEX(職員マスタ!$K$6:$K$405,$AN693)="","",INDEX(職員マスタ!$K$6:$K$405,$AN693)))</f>
        <v/>
      </c>
      <c r="Z693" s="14">
        <f>IF(OR($E693="",$Y693=""),"",IF($E693&gt;=$Y693,"×",IF($E693&gt;=$Y693*設定!$C$5,"△","○")))</f>
        <v/>
      </c>
      <c r="AA693" s="15">
        <f>IF($Z693="","",IF($Z693="×",0,IF($Z693="○",ROUNDDOWN($E693*設定!$C$4,0),ROUNDDOWN($E693*ROUND((9*$Y693-9*$E693)/(10*$E693),4),0))))</f>
        <v/>
      </c>
      <c r="AB693" s="13" t="n"/>
      <c r="AC693" s="15">
        <f>IF($B693="","",IF($AB693&lt;&gt;"",$AB693,IF($AA693="","",IF($AA693&lt;=設定!$C$3,0,$AA693))))</f>
        <v/>
      </c>
      <c r="AD693" s="14">
        <f>IF($B693="","",IF(AND($AE693&lt;&gt;"",$AG693="",$AJ693=""),"保留中",IF($AJ693&lt;&gt;"",IF(N($AC693)&gt;0,"支給済","不支給"),IF($AC693="","要確認",IF($AC693=0,"不支給","未処理")))))</f>
        <v/>
      </c>
      <c r="AE693" s="12" t="n"/>
      <c r="AF693" s="11" t="n"/>
      <c r="AG693" s="11" t="n"/>
      <c r="AH693" s="11" t="n"/>
      <c r="AI693" s="14">
        <f>IF(AND($AD693="保留中",$AF693&lt;&gt;""),TODAY()-$AF693,"")</f>
        <v/>
      </c>
      <c r="AJ693" s="12" t="n"/>
      <c r="AK693" s="14">
        <f>IF($B693="","",IF($AO693="","対象年月が未入力／","")&amp;IF($B693="","",IF($AN693="","職員マスタに未登録の職員番号／",IF($Y693="","標準報酬月額が未登録／","")&amp;IF(AND($AO693&lt;&gt;"",OR(AND(INDEX(職員マスタ!$G$6:$G$405,$AN693)&lt;&gt;"",INDEX(職員マスタ!$G$6:$G$405,$AN693)&gt;EOMONTH($AO693,0)),AND(INDEX(職員マスタ!$H$6:$H$405,$AN693)&lt;&gt;"",INDEX(職員マスタ!$H$6:$H$405,$AN693)&lt;$AO693))),"対象月が時短期間外／","")&amp;IF(AND(INDEX(職員マスタ!$F$6:$F$405,$AN693)&lt;&gt;"",$AO693&lt;&gt;"",INDEX(職員マスタ!$F$6:$F$405,$AN693)&lt;$AO693),"対象月に子が2歳到達済／","")&amp;IF(AND($H693&lt;&gt;"",INDEX(職員マスタ!$B$6:$B$405,$AN693)&lt;&gt;"",SUBSTITUTE(SUBSTITUTE($H693," ","")," ","")&lt;&gt;SUBSTITUTE(SUBSTITUTE(INDEX(職員マスタ!$B$6:$B$405,$AN693)," ","")," ","")),"氏名がマスタと相違／","")&amp;IF(AND($Q693&lt;&gt;"",INDEX(職員マスタ!$E$6:$E$405,$AN693)&lt;&gt;"",$Q693&lt;&gt;INDEX(職員マスタ!$E$6:$E$405,$AN693)),"子の生年月日がマスタと相違／","")&amp;IF(AND($L693&lt;&gt;"",INDEX(職員マスタ!$G$6:$G$405,$AN693)&lt;&gt;"",$L693&lt;&gt;INDEX(職員マスタ!$G$6:$G$405,$AN693)),"時短開始日がマスタと相違／","")&amp;IF(AND($M693&lt;&gt;"",INDEX(職員マスタ!$H$6:$H$405,$AN693)&lt;&gt;"",$M693&lt;&gt;INDEX(職員マスタ!$H$6:$H$405,$AN693)),"時短終了日がマスタと相違／","")))&amp;IF(AND($B693&lt;&gt;"",$E693=""),"報酬額が未入力／","")&amp;IF(N($U693)&gt;0,"申請書に入力エラーが残っています／","")&amp;IF(AND($B693&lt;&gt;"",$AO693&lt;&gt;""),IF(COUNTIFS($B$6:$B$3005,$B693,$C$6:$C$3005,$C693,$D$6:$D$3005,$D693)&gt;1,"同じ月の請求が重複しています／",""),"")&amp;IF(AND(N($E693)&gt;0,$Z693&lt;&gt;"",$Z693&lt;&gt;"×",$AC693=0,$AB693=""),"計算額が下限以下のため不支給／",""))</f>
        <v/>
      </c>
      <c r="AL693" s="12" t="n"/>
      <c r="AM693" s="14">
        <f>IF($AD693="保留中",COUNTIF($AD$6:$AD693,"保留中"),"")</f>
        <v/>
      </c>
      <c r="AN693" s="14">
        <f>IF($AO693="","",IF(SUMPRODUCT(MAX((職員マスタ!$A$6:$A$405=$B693)*(((職員マスタ!$G$6:$G$405="")+(職員マスタ!$G$6:$G$405&lt;=EOMONTH($AO693,0)))&gt;0)*(((職員マスタ!$H$6:$H$405="")+(職員マスタ!$H$6:$H$405&gt;=$AO693))&gt;0)*(ROW(職員マスタ!$A$6:$A$405)-5)))&gt;0,SUMPRODUCT(MAX((職員マスタ!$A$6:$A$405=$B693)*(((職員マスタ!$G$6:$G$405="")+(職員マスタ!$G$6:$G$405&lt;=EOMONTH($AO693,0)))&gt;0)*(((職員マスタ!$H$6:$H$405="")+(職員マスタ!$H$6:$H$405&gt;=$AO693))&gt;0)*(ROW(職員マスタ!$A$6:$A$405)-5))),IFERROR(MATCH($B693,職員マスタ!$A$6:$A$405,0),"")))</f>
        <v/>
      </c>
      <c r="AO693" s="16">
        <f>IF(OR($B693="",$C693="",$D693=""),"",DATE($C693+2018,$D693,1))</f>
        <v/>
      </c>
    </row>
    <row r="694">
      <c r="A694" s="11" t="n"/>
      <c r="B694" s="12" t="n"/>
      <c r="C694" s="12" t="n"/>
      <c r="D694" s="12" t="n"/>
      <c r="E694" s="13" t="n"/>
      <c r="F694" s="12" t="n"/>
      <c r="G694" s="13" t="n"/>
      <c r="H694" s="12" t="n"/>
      <c r="I694" s="12" t="n"/>
      <c r="J694" s="12" t="n"/>
      <c r="K694" s="12" t="n"/>
      <c r="L694" s="11" t="n"/>
      <c r="M694" s="11" t="n"/>
      <c r="N694" s="11" t="n"/>
      <c r="O694" s="11" t="n"/>
      <c r="P694" s="12" t="n"/>
      <c r="Q694" s="11" t="n"/>
      <c r="R694" s="12" t="n"/>
      <c r="S694" s="11" t="n"/>
      <c r="T694" s="12" t="n"/>
      <c r="U694" s="12" t="n"/>
      <c r="V694" s="14">
        <f>IF($AN694="",IF($B694="","",$H694),IF(INDEX(職員マスタ!$B$6:$B$405,$AN694)="",$H694,INDEX(職員マスタ!$B$6:$B$405,$AN694)))</f>
        <v/>
      </c>
      <c r="W694" s="14">
        <f>IF($AN694="",IF($B694="","",$R694),IF(INDEX(職員マスタ!$C$6:$C$405,$AN694)="",$R694,INDEX(職員マスタ!$C$6:$C$405,$AN694)))</f>
        <v/>
      </c>
      <c r="X694" s="14">
        <f>IF($AO694="","","R"&amp;$C694&amp;"."&amp;$D694)</f>
        <v/>
      </c>
      <c r="Y694" s="15">
        <f>IF($AN694="","",IF(INDEX(職員マスタ!$K$6:$K$405,$AN694)="","",INDEX(職員マスタ!$K$6:$K$405,$AN694)))</f>
        <v/>
      </c>
      <c r="Z694" s="14">
        <f>IF(OR($E694="",$Y694=""),"",IF($E694&gt;=$Y694,"×",IF($E694&gt;=$Y694*設定!$C$5,"△","○")))</f>
        <v/>
      </c>
      <c r="AA694" s="15">
        <f>IF($Z694="","",IF($Z694="×",0,IF($Z694="○",ROUNDDOWN($E694*設定!$C$4,0),ROUNDDOWN($E694*ROUND((9*$Y694-9*$E694)/(10*$E694),4),0))))</f>
        <v/>
      </c>
      <c r="AB694" s="13" t="n"/>
      <c r="AC694" s="15">
        <f>IF($B694="","",IF($AB694&lt;&gt;"",$AB694,IF($AA694="","",IF($AA694&lt;=設定!$C$3,0,$AA694))))</f>
        <v/>
      </c>
      <c r="AD694" s="14">
        <f>IF($B694="","",IF(AND($AE694&lt;&gt;"",$AG694="",$AJ694=""),"保留中",IF($AJ694&lt;&gt;"",IF(N($AC694)&gt;0,"支給済","不支給"),IF($AC694="","要確認",IF($AC694=0,"不支給","未処理")))))</f>
        <v/>
      </c>
      <c r="AE694" s="12" t="n"/>
      <c r="AF694" s="11" t="n"/>
      <c r="AG694" s="11" t="n"/>
      <c r="AH694" s="11" t="n"/>
      <c r="AI694" s="14">
        <f>IF(AND($AD694="保留中",$AF694&lt;&gt;""),TODAY()-$AF694,"")</f>
        <v/>
      </c>
      <c r="AJ694" s="12" t="n"/>
      <c r="AK694" s="14">
        <f>IF($B694="","",IF($AO694="","対象年月が未入力／","")&amp;IF($B694="","",IF($AN694="","職員マスタに未登録の職員番号／",IF($Y694="","標準報酬月額が未登録／","")&amp;IF(AND($AO694&lt;&gt;"",OR(AND(INDEX(職員マスタ!$G$6:$G$405,$AN694)&lt;&gt;"",INDEX(職員マスタ!$G$6:$G$405,$AN694)&gt;EOMONTH($AO694,0)),AND(INDEX(職員マスタ!$H$6:$H$405,$AN694)&lt;&gt;"",INDEX(職員マスタ!$H$6:$H$405,$AN694)&lt;$AO694))),"対象月が時短期間外／","")&amp;IF(AND(INDEX(職員マスタ!$F$6:$F$405,$AN694)&lt;&gt;"",$AO694&lt;&gt;"",INDEX(職員マスタ!$F$6:$F$405,$AN694)&lt;$AO694),"対象月に子が2歳到達済／","")&amp;IF(AND($H694&lt;&gt;"",INDEX(職員マスタ!$B$6:$B$405,$AN694)&lt;&gt;"",SUBSTITUTE(SUBSTITUTE($H694," ","")," ","")&lt;&gt;SUBSTITUTE(SUBSTITUTE(INDEX(職員マスタ!$B$6:$B$405,$AN694)," ","")," ","")),"氏名がマスタと相違／","")&amp;IF(AND($Q694&lt;&gt;"",INDEX(職員マスタ!$E$6:$E$405,$AN694)&lt;&gt;"",$Q694&lt;&gt;INDEX(職員マスタ!$E$6:$E$405,$AN694)),"子の生年月日がマスタと相違／","")&amp;IF(AND($L694&lt;&gt;"",INDEX(職員マスタ!$G$6:$G$405,$AN694)&lt;&gt;"",$L694&lt;&gt;INDEX(職員マスタ!$G$6:$G$405,$AN694)),"時短開始日がマスタと相違／","")&amp;IF(AND($M694&lt;&gt;"",INDEX(職員マスタ!$H$6:$H$405,$AN694)&lt;&gt;"",$M694&lt;&gt;INDEX(職員マスタ!$H$6:$H$405,$AN694)),"時短終了日がマスタと相違／","")))&amp;IF(AND($B694&lt;&gt;"",$E694=""),"報酬額が未入力／","")&amp;IF(N($U694)&gt;0,"申請書に入力エラーが残っています／","")&amp;IF(AND($B694&lt;&gt;"",$AO694&lt;&gt;""),IF(COUNTIFS($B$6:$B$3005,$B694,$C$6:$C$3005,$C694,$D$6:$D$3005,$D694)&gt;1,"同じ月の請求が重複しています／",""),"")&amp;IF(AND(N($E694)&gt;0,$Z694&lt;&gt;"",$Z694&lt;&gt;"×",$AC694=0,$AB694=""),"計算額が下限以下のため不支給／",""))</f>
        <v/>
      </c>
      <c r="AL694" s="12" t="n"/>
      <c r="AM694" s="14">
        <f>IF($AD694="保留中",COUNTIF($AD$6:$AD694,"保留中"),"")</f>
        <v/>
      </c>
      <c r="AN694" s="14">
        <f>IF($AO694="","",IF(SUMPRODUCT(MAX((職員マスタ!$A$6:$A$405=$B694)*(((職員マスタ!$G$6:$G$405="")+(職員マスタ!$G$6:$G$405&lt;=EOMONTH($AO694,0)))&gt;0)*(((職員マスタ!$H$6:$H$405="")+(職員マスタ!$H$6:$H$405&gt;=$AO694))&gt;0)*(ROW(職員マスタ!$A$6:$A$405)-5)))&gt;0,SUMPRODUCT(MAX((職員マスタ!$A$6:$A$405=$B694)*(((職員マスタ!$G$6:$G$405="")+(職員マスタ!$G$6:$G$405&lt;=EOMONTH($AO694,0)))&gt;0)*(((職員マスタ!$H$6:$H$405="")+(職員マスタ!$H$6:$H$405&gt;=$AO694))&gt;0)*(ROW(職員マスタ!$A$6:$A$405)-5))),IFERROR(MATCH($B694,職員マスタ!$A$6:$A$405,0),"")))</f>
        <v/>
      </c>
      <c r="AO694" s="16">
        <f>IF(OR($B694="",$C694="",$D694=""),"",DATE($C694+2018,$D694,1))</f>
        <v/>
      </c>
    </row>
    <row r="695">
      <c r="A695" s="11" t="n"/>
      <c r="B695" s="12" t="n"/>
      <c r="C695" s="12" t="n"/>
      <c r="D695" s="12" t="n"/>
      <c r="E695" s="13" t="n"/>
      <c r="F695" s="12" t="n"/>
      <c r="G695" s="13" t="n"/>
      <c r="H695" s="12" t="n"/>
      <c r="I695" s="12" t="n"/>
      <c r="J695" s="12" t="n"/>
      <c r="K695" s="12" t="n"/>
      <c r="L695" s="11" t="n"/>
      <c r="M695" s="11" t="n"/>
      <c r="N695" s="11" t="n"/>
      <c r="O695" s="11" t="n"/>
      <c r="P695" s="12" t="n"/>
      <c r="Q695" s="11" t="n"/>
      <c r="R695" s="12" t="n"/>
      <c r="S695" s="11" t="n"/>
      <c r="T695" s="12" t="n"/>
      <c r="U695" s="12" t="n"/>
      <c r="V695" s="14">
        <f>IF($AN695="",IF($B695="","",$H695),IF(INDEX(職員マスタ!$B$6:$B$405,$AN695)="",$H695,INDEX(職員マスタ!$B$6:$B$405,$AN695)))</f>
        <v/>
      </c>
      <c r="W695" s="14">
        <f>IF($AN695="",IF($B695="","",$R695),IF(INDEX(職員マスタ!$C$6:$C$405,$AN695)="",$R695,INDEX(職員マスタ!$C$6:$C$405,$AN695)))</f>
        <v/>
      </c>
      <c r="X695" s="14">
        <f>IF($AO695="","","R"&amp;$C695&amp;"."&amp;$D695)</f>
        <v/>
      </c>
      <c r="Y695" s="15">
        <f>IF($AN695="","",IF(INDEX(職員マスタ!$K$6:$K$405,$AN695)="","",INDEX(職員マスタ!$K$6:$K$405,$AN695)))</f>
        <v/>
      </c>
      <c r="Z695" s="14">
        <f>IF(OR($E695="",$Y695=""),"",IF($E695&gt;=$Y695,"×",IF($E695&gt;=$Y695*設定!$C$5,"△","○")))</f>
        <v/>
      </c>
      <c r="AA695" s="15">
        <f>IF($Z695="","",IF($Z695="×",0,IF($Z695="○",ROUNDDOWN($E695*設定!$C$4,0),ROUNDDOWN($E695*ROUND((9*$Y695-9*$E695)/(10*$E695),4),0))))</f>
        <v/>
      </c>
      <c r="AB695" s="13" t="n"/>
      <c r="AC695" s="15">
        <f>IF($B695="","",IF($AB695&lt;&gt;"",$AB695,IF($AA695="","",IF($AA695&lt;=設定!$C$3,0,$AA695))))</f>
        <v/>
      </c>
      <c r="AD695" s="14">
        <f>IF($B695="","",IF(AND($AE695&lt;&gt;"",$AG695="",$AJ695=""),"保留中",IF($AJ695&lt;&gt;"",IF(N($AC695)&gt;0,"支給済","不支給"),IF($AC695="","要確認",IF($AC695=0,"不支給","未処理")))))</f>
        <v/>
      </c>
      <c r="AE695" s="12" t="n"/>
      <c r="AF695" s="11" t="n"/>
      <c r="AG695" s="11" t="n"/>
      <c r="AH695" s="11" t="n"/>
      <c r="AI695" s="14">
        <f>IF(AND($AD695="保留中",$AF695&lt;&gt;""),TODAY()-$AF695,"")</f>
        <v/>
      </c>
      <c r="AJ695" s="12" t="n"/>
      <c r="AK695" s="14">
        <f>IF($B695="","",IF($AO695="","対象年月が未入力／","")&amp;IF($B695="","",IF($AN695="","職員マスタに未登録の職員番号／",IF($Y695="","標準報酬月額が未登録／","")&amp;IF(AND($AO695&lt;&gt;"",OR(AND(INDEX(職員マスタ!$G$6:$G$405,$AN695)&lt;&gt;"",INDEX(職員マスタ!$G$6:$G$405,$AN695)&gt;EOMONTH($AO695,0)),AND(INDEX(職員マスタ!$H$6:$H$405,$AN695)&lt;&gt;"",INDEX(職員マスタ!$H$6:$H$405,$AN695)&lt;$AO695))),"対象月が時短期間外／","")&amp;IF(AND(INDEX(職員マスタ!$F$6:$F$405,$AN695)&lt;&gt;"",$AO695&lt;&gt;"",INDEX(職員マスタ!$F$6:$F$405,$AN695)&lt;$AO695),"対象月に子が2歳到達済／","")&amp;IF(AND($H695&lt;&gt;"",INDEX(職員マスタ!$B$6:$B$405,$AN695)&lt;&gt;"",SUBSTITUTE(SUBSTITUTE($H695," ","")," ","")&lt;&gt;SUBSTITUTE(SUBSTITUTE(INDEX(職員マスタ!$B$6:$B$405,$AN695)," ","")," ","")),"氏名がマスタと相違／","")&amp;IF(AND($Q695&lt;&gt;"",INDEX(職員マスタ!$E$6:$E$405,$AN695)&lt;&gt;"",$Q695&lt;&gt;INDEX(職員マスタ!$E$6:$E$405,$AN695)),"子の生年月日がマスタと相違／","")&amp;IF(AND($L695&lt;&gt;"",INDEX(職員マスタ!$G$6:$G$405,$AN695)&lt;&gt;"",$L695&lt;&gt;INDEX(職員マスタ!$G$6:$G$405,$AN695)),"時短開始日がマスタと相違／","")&amp;IF(AND($M695&lt;&gt;"",INDEX(職員マスタ!$H$6:$H$405,$AN695)&lt;&gt;"",$M695&lt;&gt;INDEX(職員マスタ!$H$6:$H$405,$AN695)),"時短終了日がマスタと相違／","")))&amp;IF(AND($B695&lt;&gt;"",$E695=""),"報酬額が未入力／","")&amp;IF(N($U695)&gt;0,"申請書に入力エラーが残っています／","")&amp;IF(AND($B695&lt;&gt;"",$AO695&lt;&gt;""),IF(COUNTIFS($B$6:$B$3005,$B695,$C$6:$C$3005,$C695,$D$6:$D$3005,$D695)&gt;1,"同じ月の請求が重複しています／",""),"")&amp;IF(AND(N($E695)&gt;0,$Z695&lt;&gt;"",$Z695&lt;&gt;"×",$AC695=0,$AB695=""),"計算額が下限以下のため不支給／",""))</f>
        <v/>
      </c>
      <c r="AL695" s="12" t="n"/>
      <c r="AM695" s="14">
        <f>IF($AD695="保留中",COUNTIF($AD$6:$AD695,"保留中"),"")</f>
        <v/>
      </c>
      <c r="AN695" s="14">
        <f>IF($AO695="","",IF(SUMPRODUCT(MAX((職員マスタ!$A$6:$A$405=$B695)*(((職員マスタ!$G$6:$G$405="")+(職員マスタ!$G$6:$G$405&lt;=EOMONTH($AO695,0)))&gt;0)*(((職員マスタ!$H$6:$H$405="")+(職員マスタ!$H$6:$H$405&gt;=$AO695))&gt;0)*(ROW(職員マスタ!$A$6:$A$405)-5)))&gt;0,SUMPRODUCT(MAX((職員マスタ!$A$6:$A$405=$B695)*(((職員マスタ!$G$6:$G$405="")+(職員マスタ!$G$6:$G$405&lt;=EOMONTH($AO695,0)))&gt;0)*(((職員マスタ!$H$6:$H$405="")+(職員マスタ!$H$6:$H$405&gt;=$AO695))&gt;0)*(ROW(職員マスタ!$A$6:$A$405)-5))),IFERROR(MATCH($B695,職員マスタ!$A$6:$A$405,0),"")))</f>
        <v/>
      </c>
      <c r="AO695" s="16">
        <f>IF(OR($B695="",$C695="",$D695=""),"",DATE($C695+2018,$D695,1))</f>
        <v/>
      </c>
    </row>
    <row r="696">
      <c r="A696" s="11" t="n"/>
      <c r="B696" s="12" t="n"/>
      <c r="C696" s="12" t="n"/>
      <c r="D696" s="12" t="n"/>
      <c r="E696" s="13" t="n"/>
      <c r="F696" s="12" t="n"/>
      <c r="G696" s="13" t="n"/>
      <c r="H696" s="12" t="n"/>
      <c r="I696" s="12" t="n"/>
      <c r="J696" s="12" t="n"/>
      <c r="K696" s="12" t="n"/>
      <c r="L696" s="11" t="n"/>
      <c r="M696" s="11" t="n"/>
      <c r="N696" s="11" t="n"/>
      <c r="O696" s="11" t="n"/>
      <c r="P696" s="12" t="n"/>
      <c r="Q696" s="11" t="n"/>
      <c r="R696" s="12" t="n"/>
      <c r="S696" s="11" t="n"/>
      <c r="T696" s="12" t="n"/>
      <c r="U696" s="12" t="n"/>
      <c r="V696" s="14">
        <f>IF($AN696="",IF($B696="","",$H696),IF(INDEX(職員マスタ!$B$6:$B$405,$AN696)="",$H696,INDEX(職員マスタ!$B$6:$B$405,$AN696)))</f>
        <v/>
      </c>
      <c r="W696" s="14">
        <f>IF($AN696="",IF($B696="","",$R696),IF(INDEX(職員マスタ!$C$6:$C$405,$AN696)="",$R696,INDEX(職員マスタ!$C$6:$C$405,$AN696)))</f>
        <v/>
      </c>
      <c r="X696" s="14">
        <f>IF($AO696="","","R"&amp;$C696&amp;"."&amp;$D696)</f>
        <v/>
      </c>
      <c r="Y696" s="15">
        <f>IF($AN696="","",IF(INDEX(職員マスタ!$K$6:$K$405,$AN696)="","",INDEX(職員マスタ!$K$6:$K$405,$AN696)))</f>
        <v/>
      </c>
      <c r="Z696" s="14">
        <f>IF(OR($E696="",$Y696=""),"",IF($E696&gt;=$Y696,"×",IF($E696&gt;=$Y696*設定!$C$5,"△","○")))</f>
        <v/>
      </c>
      <c r="AA696" s="15">
        <f>IF($Z696="","",IF($Z696="×",0,IF($Z696="○",ROUNDDOWN($E696*設定!$C$4,0),ROUNDDOWN($E696*ROUND((9*$Y696-9*$E696)/(10*$E696),4),0))))</f>
        <v/>
      </c>
      <c r="AB696" s="13" t="n"/>
      <c r="AC696" s="15">
        <f>IF($B696="","",IF($AB696&lt;&gt;"",$AB696,IF($AA696="","",IF($AA696&lt;=設定!$C$3,0,$AA696))))</f>
        <v/>
      </c>
      <c r="AD696" s="14">
        <f>IF($B696="","",IF(AND($AE696&lt;&gt;"",$AG696="",$AJ696=""),"保留中",IF($AJ696&lt;&gt;"",IF(N($AC696)&gt;0,"支給済","不支給"),IF($AC696="","要確認",IF($AC696=0,"不支給","未処理")))))</f>
        <v/>
      </c>
      <c r="AE696" s="12" t="n"/>
      <c r="AF696" s="11" t="n"/>
      <c r="AG696" s="11" t="n"/>
      <c r="AH696" s="11" t="n"/>
      <c r="AI696" s="14">
        <f>IF(AND($AD696="保留中",$AF696&lt;&gt;""),TODAY()-$AF696,"")</f>
        <v/>
      </c>
      <c r="AJ696" s="12" t="n"/>
      <c r="AK696" s="14">
        <f>IF($B696="","",IF($AO696="","対象年月が未入力／","")&amp;IF($B696="","",IF($AN696="","職員マスタに未登録の職員番号／",IF($Y696="","標準報酬月額が未登録／","")&amp;IF(AND($AO696&lt;&gt;"",OR(AND(INDEX(職員マスタ!$G$6:$G$405,$AN696)&lt;&gt;"",INDEX(職員マスタ!$G$6:$G$405,$AN696)&gt;EOMONTH($AO696,0)),AND(INDEX(職員マスタ!$H$6:$H$405,$AN696)&lt;&gt;"",INDEX(職員マスタ!$H$6:$H$405,$AN696)&lt;$AO696))),"対象月が時短期間外／","")&amp;IF(AND(INDEX(職員マスタ!$F$6:$F$405,$AN696)&lt;&gt;"",$AO696&lt;&gt;"",INDEX(職員マスタ!$F$6:$F$405,$AN696)&lt;$AO696),"対象月に子が2歳到達済／","")&amp;IF(AND($H696&lt;&gt;"",INDEX(職員マスタ!$B$6:$B$405,$AN696)&lt;&gt;"",SUBSTITUTE(SUBSTITUTE($H696," ","")," ","")&lt;&gt;SUBSTITUTE(SUBSTITUTE(INDEX(職員マスタ!$B$6:$B$405,$AN696)," ","")," ","")),"氏名がマスタと相違／","")&amp;IF(AND($Q696&lt;&gt;"",INDEX(職員マスタ!$E$6:$E$405,$AN696)&lt;&gt;"",$Q696&lt;&gt;INDEX(職員マスタ!$E$6:$E$405,$AN696)),"子の生年月日がマスタと相違／","")&amp;IF(AND($L696&lt;&gt;"",INDEX(職員マスタ!$G$6:$G$405,$AN696)&lt;&gt;"",$L696&lt;&gt;INDEX(職員マスタ!$G$6:$G$405,$AN696)),"時短開始日がマスタと相違／","")&amp;IF(AND($M696&lt;&gt;"",INDEX(職員マスタ!$H$6:$H$405,$AN696)&lt;&gt;"",$M696&lt;&gt;INDEX(職員マスタ!$H$6:$H$405,$AN696)),"時短終了日がマスタと相違／","")))&amp;IF(AND($B696&lt;&gt;"",$E696=""),"報酬額が未入力／","")&amp;IF(N($U696)&gt;0,"申請書に入力エラーが残っています／","")&amp;IF(AND($B696&lt;&gt;"",$AO696&lt;&gt;""),IF(COUNTIFS($B$6:$B$3005,$B696,$C$6:$C$3005,$C696,$D$6:$D$3005,$D696)&gt;1,"同じ月の請求が重複しています／",""),"")&amp;IF(AND(N($E696)&gt;0,$Z696&lt;&gt;"",$Z696&lt;&gt;"×",$AC696=0,$AB696=""),"計算額が下限以下のため不支給／",""))</f>
        <v/>
      </c>
      <c r="AL696" s="12" t="n"/>
      <c r="AM696" s="14">
        <f>IF($AD696="保留中",COUNTIF($AD$6:$AD696,"保留中"),"")</f>
        <v/>
      </c>
      <c r="AN696" s="14">
        <f>IF($AO696="","",IF(SUMPRODUCT(MAX((職員マスタ!$A$6:$A$405=$B696)*(((職員マスタ!$G$6:$G$405="")+(職員マスタ!$G$6:$G$405&lt;=EOMONTH($AO696,0)))&gt;0)*(((職員マスタ!$H$6:$H$405="")+(職員マスタ!$H$6:$H$405&gt;=$AO696))&gt;0)*(ROW(職員マスタ!$A$6:$A$405)-5)))&gt;0,SUMPRODUCT(MAX((職員マスタ!$A$6:$A$405=$B696)*(((職員マスタ!$G$6:$G$405="")+(職員マスタ!$G$6:$G$405&lt;=EOMONTH($AO696,0)))&gt;0)*(((職員マスタ!$H$6:$H$405="")+(職員マスタ!$H$6:$H$405&gt;=$AO696))&gt;0)*(ROW(職員マスタ!$A$6:$A$405)-5))),IFERROR(MATCH($B696,職員マスタ!$A$6:$A$405,0),"")))</f>
        <v/>
      </c>
      <c r="AO696" s="16">
        <f>IF(OR($B696="",$C696="",$D696=""),"",DATE($C696+2018,$D696,1))</f>
        <v/>
      </c>
    </row>
    <row r="697">
      <c r="A697" s="11" t="n"/>
      <c r="B697" s="12" t="n"/>
      <c r="C697" s="12" t="n"/>
      <c r="D697" s="12" t="n"/>
      <c r="E697" s="13" t="n"/>
      <c r="F697" s="12" t="n"/>
      <c r="G697" s="13" t="n"/>
      <c r="H697" s="12" t="n"/>
      <c r="I697" s="12" t="n"/>
      <c r="J697" s="12" t="n"/>
      <c r="K697" s="12" t="n"/>
      <c r="L697" s="11" t="n"/>
      <c r="M697" s="11" t="n"/>
      <c r="N697" s="11" t="n"/>
      <c r="O697" s="11" t="n"/>
      <c r="P697" s="12" t="n"/>
      <c r="Q697" s="11" t="n"/>
      <c r="R697" s="12" t="n"/>
      <c r="S697" s="11" t="n"/>
      <c r="T697" s="12" t="n"/>
      <c r="U697" s="12" t="n"/>
      <c r="V697" s="14">
        <f>IF($AN697="",IF($B697="","",$H697),IF(INDEX(職員マスタ!$B$6:$B$405,$AN697)="",$H697,INDEX(職員マスタ!$B$6:$B$405,$AN697)))</f>
        <v/>
      </c>
      <c r="W697" s="14">
        <f>IF($AN697="",IF($B697="","",$R697),IF(INDEX(職員マスタ!$C$6:$C$405,$AN697)="",$R697,INDEX(職員マスタ!$C$6:$C$405,$AN697)))</f>
        <v/>
      </c>
      <c r="X697" s="14">
        <f>IF($AO697="","","R"&amp;$C697&amp;"."&amp;$D697)</f>
        <v/>
      </c>
      <c r="Y697" s="15">
        <f>IF($AN697="","",IF(INDEX(職員マスタ!$K$6:$K$405,$AN697)="","",INDEX(職員マスタ!$K$6:$K$405,$AN697)))</f>
        <v/>
      </c>
      <c r="Z697" s="14">
        <f>IF(OR($E697="",$Y697=""),"",IF($E697&gt;=$Y697,"×",IF($E697&gt;=$Y697*設定!$C$5,"△","○")))</f>
        <v/>
      </c>
      <c r="AA697" s="15">
        <f>IF($Z697="","",IF($Z697="×",0,IF($Z697="○",ROUNDDOWN($E697*設定!$C$4,0),ROUNDDOWN($E697*ROUND((9*$Y697-9*$E697)/(10*$E697),4),0))))</f>
        <v/>
      </c>
      <c r="AB697" s="13" t="n"/>
      <c r="AC697" s="15">
        <f>IF($B697="","",IF($AB697&lt;&gt;"",$AB697,IF($AA697="","",IF($AA697&lt;=設定!$C$3,0,$AA697))))</f>
        <v/>
      </c>
      <c r="AD697" s="14">
        <f>IF($B697="","",IF(AND($AE697&lt;&gt;"",$AG697="",$AJ697=""),"保留中",IF($AJ697&lt;&gt;"",IF(N($AC697)&gt;0,"支給済","不支給"),IF($AC697="","要確認",IF($AC697=0,"不支給","未処理")))))</f>
        <v/>
      </c>
      <c r="AE697" s="12" t="n"/>
      <c r="AF697" s="11" t="n"/>
      <c r="AG697" s="11" t="n"/>
      <c r="AH697" s="11" t="n"/>
      <c r="AI697" s="14">
        <f>IF(AND($AD697="保留中",$AF697&lt;&gt;""),TODAY()-$AF697,"")</f>
        <v/>
      </c>
      <c r="AJ697" s="12" t="n"/>
      <c r="AK697" s="14">
        <f>IF($B697="","",IF($AO697="","対象年月が未入力／","")&amp;IF($B697="","",IF($AN697="","職員マスタに未登録の職員番号／",IF($Y697="","標準報酬月額が未登録／","")&amp;IF(AND($AO697&lt;&gt;"",OR(AND(INDEX(職員マスタ!$G$6:$G$405,$AN697)&lt;&gt;"",INDEX(職員マスタ!$G$6:$G$405,$AN697)&gt;EOMONTH($AO697,0)),AND(INDEX(職員マスタ!$H$6:$H$405,$AN697)&lt;&gt;"",INDEX(職員マスタ!$H$6:$H$405,$AN697)&lt;$AO697))),"対象月が時短期間外／","")&amp;IF(AND(INDEX(職員マスタ!$F$6:$F$405,$AN697)&lt;&gt;"",$AO697&lt;&gt;"",INDEX(職員マスタ!$F$6:$F$405,$AN697)&lt;$AO697),"対象月に子が2歳到達済／","")&amp;IF(AND($H697&lt;&gt;"",INDEX(職員マスタ!$B$6:$B$405,$AN697)&lt;&gt;"",SUBSTITUTE(SUBSTITUTE($H697," ","")," ","")&lt;&gt;SUBSTITUTE(SUBSTITUTE(INDEX(職員マスタ!$B$6:$B$405,$AN697)," ","")," ","")),"氏名がマスタと相違／","")&amp;IF(AND($Q697&lt;&gt;"",INDEX(職員マスタ!$E$6:$E$405,$AN697)&lt;&gt;"",$Q697&lt;&gt;INDEX(職員マスタ!$E$6:$E$405,$AN697)),"子の生年月日がマスタと相違／","")&amp;IF(AND($L697&lt;&gt;"",INDEX(職員マスタ!$G$6:$G$405,$AN697)&lt;&gt;"",$L697&lt;&gt;INDEX(職員マスタ!$G$6:$G$405,$AN697)),"時短開始日がマスタと相違／","")&amp;IF(AND($M697&lt;&gt;"",INDEX(職員マスタ!$H$6:$H$405,$AN697)&lt;&gt;"",$M697&lt;&gt;INDEX(職員マスタ!$H$6:$H$405,$AN697)),"時短終了日がマスタと相違／","")))&amp;IF(AND($B697&lt;&gt;"",$E697=""),"報酬額が未入力／","")&amp;IF(N($U697)&gt;0,"申請書に入力エラーが残っています／","")&amp;IF(AND($B697&lt;&gt;"",$AO697&lt;&gt;""),IF(COUNTIFS($B$6:$B$3005,$B697,$C$6:$C$3005,$C697,$D$6:$D$3005,$D697)&gt;1,"同じ月の請求が重複しています／",""),"")&amp;IF(AND(N($E697)&gt;0,$Z697&lt;&gt;"",$Z697&lt;&gt;"×",$AC697=0,$AB697=""),"計算額が下限以下のため不支給／",""))</f>
        <v/>
      </c>
      <c r="AL697" s="12" t="n"/>
      <c r="AM697" s="14">
        <f>IF($AD697="保留中",COUNTIF($AD$6:$AD697,"保留中"),"")</f>
        <v/>
      </c>
      <c r="AN697" s="14">
        <f>IF($AO697="","",IF(SUMPRODUCT(MAX((職員マスタ!$A$6:$A$405=$B697)*(((職員マスタ!$G$6:$G$405="")+(職員マスタ!$G$6:$G$405&lt;=EOMONTH($AO697,0)))&gt;0)*(((職員マスタ!$H$6:$H$405="")+(職員マスタ!$H$6:$H$405&gt;=$AO697))&gt;0)*(ROW(職員マスタ!$A$6:$A$405)-5)))&gt;0,SUMPRODUCT(MAX((職員マスタ!$A$6:$A$405=$B697)*(((職員マスタ!$G$6:$G$405="")+(職員マスタ!$G$6:$G$405&lt;=EOMONTH($AO697,0)))&gt;0)*(((職員マスタ!$H$6:$H$405="")+(職員マスタ!$H$6:$H$405&gt;=$AO697))&gt;0)*(ROW(職員マスタ!$A$6:$A$405)-5))),IFERROR(MATCH($B697,職員マスタ!$A$6:$A$405,0),"")))</f>
        <v/>
      </c>
      <c r="AO697" s="16">
        <f>IF(OR($B697="",$C697="",$D697=""),"",DATE($C697+2018,$D697,1))</f>
        <v/>
      </c>
    </row>
    <row r="698">
      <c r="A698" s="11" t="n"/>
      <c r="B698" s="12" t="n"/>
      <c r="C698" s="12" t="n"/>
      <c r="D698" s="12" t="n"/>
      <c r="E698" s="13" t="n"/>
      <c r="F698" s="12" t="n"/>
      <c r="G698" s="13" t="n"/>
      <c r="H698" s="12" t="n"/>
      <c r="I698" s="12" t="n"/>
      <c r="J698" s="12" t="n"/>
      <c r="K698" s="12" t="n"/>
      <c r="L698" s="11" t="n"/>
      <c r="M698" s="11" t="n"/>
      <c r="N698" s="11" t="n"/>
      <c r="O698" s="11" t="n"/>
      <c r="P698" s="12" t="n"/>
      <c r="Q698" s="11" t="n"/>
      <c r="R698" s="12" t="n"/>
      <c r="S698" s="11" t="n"/>
      <c r="T698" s="12" t="n"/>
      <c r="U698" s="12" t="n"/>
      <c r="V698" s="14">
        <f>IF($AN698="",IF($B698="","",$H698),IF(INDEX(職員マスタ!$B$6:$B$405,$AN698)="",$H698,INDEX(職員マスタ!$B$6:$B$405,$AN698)))</f>
        <v/>
      </c>
      <c r="W698" s="14">
        <f>IF($AN698="",IF($B698="","",$R698),IF(INDEX(職員マスタ!$C$6:$C$405,$AN698)="",$R698,INDEX(職員マスタ!$C$6:$C$405,$AN698)))</f>
        <v/>
      </c>
      <c r="X698" s="14">
        <f>IF($AO698="","","R"&amp;$C698&amp;"."&amp;$D698)</f>
        <v/>
      </c>
      <c r="Y698" s="15">
        <f>IF($AN698="","",IF(INDEX(職員マスタ!$K$6:$K$405,$AN698)="","",INDEX(職員マスタ!$K$6:$K$405,$AN698)))</f>
        <v/>
      </c>
      <c r="Z698" s="14">
        <f>IF(OR($E698="",$Y698=""),"",IF($E698&gt;=$Y698,"×",IF($E698&gt;=$Y698*設定!$C$5,"△","○")))</f>
        <v/>
      </c>
      <c r="AA698" s="15">
        <f>IF($Z698="","",IF($Z698="×",0,IF($Z698="○",ROUNDDOWN($E698*設定!$C$4,0),ROUNDDOWN($E698*ROUND((9*$Y698-9*$E698)/(10*$E698),4),0))))</f>
        <v/>
      </c>
      <c r="AB698" s="13" t="n"/>
      <c r="AC698" s="15">
        <f>IF($B698="","",IF($AB698&lt;&gt;"",$AB698,IF($AA698="","",IF($AA698&lt;=設定!$C$3,0,$AA698))))</f>
        <v/>
      </c>
      <c r="AD698" s="14">
        <f>IF($B698="","",IF(AND($AE698&lt;&gt;"",$AG698="",$AJ698=""),"保留中",IF($AJ698&lt;&gt;"",IF(N($AC698)&gt;0,"支給済","不支給"),IF($AC698="","要確認",IF($AC698=0,"不支給","未処理")))))</f>
        <v/>
      </c>
      <c r="AE698" s="12" t="n"/>
      <c r="AF698" s="11" t="n"/>
      <c r="AG698" s="11" t="n"/>
      <c r="AH698" s="11" t="n"/>
      <c r="AI698" s="14">
        <f>IF(AND($AD698="保留中",$AF698&lt;&gt;""),TODAY()-$AF698,"")</f>
        <v/>
      </c>
      <c r="AJ698" s="12" t="n"/>
      <c r="AK698" s="14">
        <f>IF($B698="","",IF($AO698="","対象年月が未入力／","")&amp;IF($B698="","",IF($AN698="","職員マスタに未登録の職員番号／",IF($Y698="","標準報酬月額が未登録／","")&amp;IF(AND($AO698&lt;&gt;"",OR(AND(INDEX(職員マスタ!$G$6:$G$405,$AN698)&lt;&gt;"",INDEX(職員マスタ!$G$6:$G$405,$AN698)&gt;EOMONTH($AO698,0)),AND(INDEX(職員マスタ!$H$6:$H$405,$AN698)&lt;&gt;"",INDEX(職員マスタ!$H$6:$H$405,$AN698)&lt;$AO698))),"対象月が時短期間外／","")&amp;IF(AND(INDEX(職員マスタ!$F$6:$F$405,$AN698)&lt;&gt;"",$AO698&lt;&gt;"",INDEX(職員マスタ!$F$6:$F$405,$AN698)&lt;$AO698),"対象月に子が2歳到達済／","")&amp;IF(AND($H698&lt;&gt;"",INDEX(職員マスタ!$B$6:$B$405,$AN698)&lt;&gt;"",SUBSTITUTE(SUBSTITUTE($H698," ","")," ","")&lt;&gt;SUBSTITUTE(SUBSTITUTE(INDEX(職員マスタ!$B$6:$B$405,$AN698)," ","")," ","")),"氏名がマスタと相違／","")&amp;IF(AND($Q698&lt;&gt;"",INDEX(職員マスタ!$E$6:$E$405,$AN698)&lt;&gt;"",$Q698&lt;&gt;INDEX(職員マスタ!$E$6:$E$405,$AN698)),"子の生年月日がマスタと相違／","")&amp;IF(AND($L698&lt;&gt;"",INDEX(職員マスタ!$G$6:$G$405,$AN698)&lt;&gt;"",$L698&lt;&gt;INDEX(職員マスタ!$G$6:$G$405,$AN698)),"時短開始日がマスタと相違／","")&amp;IF(AND($M698&lt;&gt;"",INDEX(職員マスタ!$H$6:$H$405,$AN698)&lt;&gt;"",$M698&lt;&gt;INDEX(職員マスタ!$H$6:$H$405,$AN698)),"時短終了日がマスタと相違／","")))&amp;IF(AND($B698&lt;&gt;"",$E698=""),"報酬額が未入力／","")&amp;IF(N($U698)&gt;0,"申請書に入力エラーが残っています／","")&amp;IF(AND($B698&lt;&gt;"",$AO698&lt;&gt;""),IF(COUNTIFS($B$6:$B$3005,$B698,$C$6:$C$3005,$C698,$D$6:$D$3005,$D698)&gt;1,"同じ月の請求が重複しています／",""),"")&amp;IF(AND(N($E698)&gt;0,$Z698&lt;&gt;"",$Z698&lt;&gt;"×",$AC698=0,$AB698=""),"計算額が下限以下のため不支給／",""))</f>
        <v/>
      </c>
      <c r="AL698" s="12" t="n"/>
      <c r="AM698" s="14">
        <f>IF($AD698="保留中",COUNTIF($AD$6:$AD698,"保留中"),"")</f>
        <v/>
      </c>
      <c r="AN698" s="14">
        <f>IF($AO698="","",IF(SUMPRODUCT(MAX((職員マスタ!$A$6:$A$405=$B698)*(((職員マスタ!$G$6:$G$405="")+(職員マスタ!$G$6:$G$405&lt;=EOMONTH($AO698,0)))&gt;0)*(((職員マスタ!$H$6:$H$405="")+(職員マスタ!$H$6:$H$405&gt;=$AO698))&gt;0)*(ROW(職員マスタ!$A$6:$A$405)-5)))&gt;0,SUMPRODUCT(MAX((職員マスタ!$A$6:$A$405=$B698)*(((職員マスタ!$G$6:$G$405="")+(職員マスタ!$G$6:$G$405&lt;=EOMONTH($AO698,0)))&gt;0)*(((職員マスタ!$H$6:$H$405="")+(職員マスタ!$H$6:$H$405&gt;=$AO698))&gt;0)*(ROW(職員マスタ!$A$6:$A$405)-5))),IFERROR(MATCH($B698,職員マスタ!$A$6:$A$405,0),"")))</f>
        <v/>
      </c>
      <c r="AO698" s="16">
        <f>IF(OR($B698="",$C698="",$D698=""),"",DATE($C698+2018,$D698,1))</f>
        <v/>
      </c>
    </row>
    <row r="699">
      <c r="A699" s="11" t="n"/>
      <c r="B699" s="12" t="n"/>
      <c r="C699" s="12" t="n"/>
      <c r="D699" s="12" t="n"/>
      <c r="E699" s="13" t="n"/>
      <c r="F699" s="12" t="n"/>
      <c r="G699" s="13" t="n"/>
      <c r="H699" s="12" t="n"/>
      <c r="I699" s="12" t="n"/>
      <c r="J699" s="12" t="n"/>
      <c r="K699" s="12" t="n"/>
      <c r="L699" s="11" t="n"/>
      <c r="M699" s="11" t="n"/>
      <c r="N699" s="11" t="n"/>
      <c r="O699" s="11" t="n"/>
      <c r="P699" s="12" t="n"/>
      <c r="Q699" s="11" t="n"/>
      <c r="R699" s="12" t="n"/>
      <c r="S699" s="11" t="n"/>
      <c r="T699" s="12" t="n"/>
      <c r="U699" s="12" t="n"/>
      <c r="V699" s="14">
        <f>IF($AN699="",IF($B699="","",$H699),IF(INDEX(職員マスタ!$B$6:$B$405,$AN699)="",$H699,INDEX(職員マスタ!$B$6:$B$405,$AN699)))</f>
        <v/>
      </c>
      <c r="W699" s="14">
        <f>IF($AN699="",IF($B699="","",$R699),IF(INDEX(職員マスタ!$C$6:$C$405,$AN699)="",$R699,INDEX(職員マスタ!$C$6:$C$405,$AN699)))</f>
        <v/>
      </c>
      <c r="X699" s="14">
        <f>IF($AO699="","","R"&amp;$C699&amp;"."&amp;$D699)</f>
        <v/>
      </c>
      <c r="Y699" s="15">
        <f>IF($AN699="","",IF(INDEX(職員マスタ!$K$6:$K$405,$AN699)="","",INDEX(職員マスタ!$K$6:$K$405,$AN699)))</f>
        <v/>
      </c>
      <c r="Z699" s="14">
        <f>IF(OR($E699="",$Y699=""),"",IF($E699&gt;=$Y699,"×",IF($E699&gt;=$Y699*設定!$C$5,"△","○")))</f>
        <v/>
      </c>
      <c r="AA699" s="15">
        <f>IF($Z699="","",IF($Z699="×",0,IF($Z699="○",ROUNDDOWN($E699*設定!$C$4,0),ROUNDDOWN($E699*ROUND((9*$Y699-9*$E699)/(10*$E699),4),0))))</f>
        <v/>
      </c>
      <c r="AB699" s="13" t="n"/>
      <c r="AC699" s="15">
        <f>IF($B699="","",IF($AB699&lt;&gt;"",$AB699,IF($AA699="","",IF($AA699&lt;=設定!$C$3,0,$AA699))))</f>
        <v/>
      </c>
      <c r="AD699" s="14">
        <f>IF($B699="","",IF(AND($AE699&lt;&gt;"",$AG699="",$AJ699=""),"保留中",IF($AJ699&lt;&gt;"",IF(N($AC699)&gt;0,"支給済","不支給"),IF($AC699="","要確認",IF($AC699=0,"不支給","未処理")))))</f>
        <v/>
      </c>
      <c r="AE699" s="12" t="n"/>
      <c r="AF699" s="11" t="n"/>
      <c r="AG699" s="11" t="n"/>
      <c r="AH699" s="11" t="n"/>
      <c r="AI699" s="14">
        <f>IF(AND($AD699="保留中",$AF699&lt;&gt;""),TODAY()-$AF699,"")</f>
        <v/>
      </c>
      <c r="AJ699" s="12" t="n"/>
      <c r="AK699" s="14">
        <f>IF($B699="","",IF($AO699="","対象年月が未入力／","")&amp;IF($B699="","",IF($AN699="","職員マスタに未登録の職員番号／",IF($Y699="","標準報酬月額が未登録／","")&amp;IF(AND($AO699&lt;&gt;"",OR(AND(INDEX(職員マスタ!$G$6:$G$405,$AN699)&lt;&gt;"",INDEX(職員マスタ!$G$6:$G$405,$AN699)&gt;EOMONTH($AO699,0)),AND(INDEX(職員マスタ!$H$6:$H$405,$AN699)&lt;&gt;"",INDEX(職員マスタ!$H$6:$H$405,$AN699)&lt;$AO699))),"対象月が時短期間外／","")&amp;IF(AND(INDEX(職員マスタ!$F$6:$F$405,$AN699)&lt;&gt;"",$AO699&lt;&gt;"",INDEX(職員マスタ!$F$6:$F$405,$AN699)&lt;$AO699),"対象月に子が2歳到達済／","")&amp;IF(AND($H699&lt;&gt;"",INDEX(職員マスタ!$B$6:$B$405,$AN699)&lt;&gt;"",SUBSTITUTE(SUBSTITUTE($H699," ","")," ","")&lt;&gt;SUBSTITUTE(SUBSTITUTE(INDEX(職員マスタ!$B$6:$B$405,$AN699)," ","")," ","")),"氏名がマスタと相違／","")&amp;IF(AND($Q699&lt;&gt;"",INDEX(職員マスタ!$E$6:$E$405,$AN699)&lt;&gt;"",$Q699&lt;&gt;INDEX(職員マスタ!$E$6:$E$405,$AN699)),"子の生年月日がマスタと相違／","")&amp;IF(AND($L699&lt;&gt;"",INDEX(職員マスタ!$G$6:$G$405,$AN699)&lt;&gt;"",$L699&lt;&gt;INDEX(職員マスタ!$G$6:$G$405,$AN699)),"時短開始日がマスタと相違／","")&amp;IF(AND($M699&lt;&gt;"",INDEX(職員マスタ!$H$6:$H$405,$AN699)&lt;&gt;"",$M699&lt;&gt;INDEX(職員マスタ!$H$6:$H$405,$AN699)),"時短終了日がマスタと相違／","")))&amp;IF(AND($B699&lt;&gt;"",$E699=""),"報酬額が未入力／","")&amp;IF(N($U699)&gt;0,"申請書に入力エラーが残っています／","")&amp;IF(AND($B699&lt;&gt;"",$AO699&lt;&gt;""),IF(COUNTIFS($B$6:$B$3005,$B699,$C$6:$C$3005,$C699,$D$6:$D$3005,$D699)&gt;1,"同じ月の請求が重複しています／",""),"")&amp;IF(AND(N($E699)&gt;0,$Z699&lt;&gt;"",$Z699&lt;&gt;"×",$AC699=0,$AB699=""),"計算額が下限以下のため不支給／",""))</f>
        <v/>
      </c>
      <c r="AL699" s="12" t="n"/>
      <c r="AM699" s="14">
        <f>IF($AD699="保留中",COUNTIF($AD$6:$AD699,"保留中"),"")</f>
        <v/>
      </c>
      <c r="AN699" s="14">
        <f>IF($AO699="","",IF(SUMPRODUCT(MAX((職員マスタ!$A$6:$A$405=$B699)*(((職員マスタ!$G$6:$G$405="")+(職員マスタ!$G$6:$G$405&lt;=EOMONTH($AO699,0)))&gt;0)*(((職員マスタ!$H$6:$H$405="")+(職員マスタ!$H$6:$H$405&gt;=$AO699))&gt;0)*(ROW(職員マスタ!$A$6:$A$405)-5)))&gt;0,SUMPRODUCT(MAX((職員マスタ!$A$6:$A$405=$B699)*(((職員マスタ!$G$6:$G$405="")+(職員マスタ!$G$6:$G$405&lt;=EOMONTH($AO699,0)))&gt;0)*(((職員マスタ!$H$6:$H$405="")+(職員マスタ!$H$6:$H$405&gt;=$AO699))&gt;0)*(ROW(職員マスタ!$A$6:$A$405)-5))),IFERROR(MATCH($B699,職員マスタ!$A$6:$A$405,0),"")))</f>
        <v/>
      </c>
      <c r="AO699" s="16">
        <f>IF(OR($B699="",$C699="",$D699=""),"",DATE($C699+2018,$D699,1))</f>
        <v/>
      </c>
    </row>
    <row r="700">
      <c r="A700" s="11" t="n"/>
      <c r="B700" s="12" t="n"/>
      <c r="C700" s="12" t="n"/>
      <c r="D700" s="12" t="n"/>
      <c r="E700" s="13" t="n"/>
      <c r="F700" s="12" t="n"/>
      <c r="G700" s="13" t="n"/>
      <c r="H700" s="12" t="n"/>
      <c r="I700" s="12" t="n"/>
      <c r="J700" s="12" t="n"/>
      <c r="K700" s="12" t="n"/>
      <c r="L700" s="11" t="n"/>
      <c r="M700" s="11" t="n"/>
      <c r="N700" s="11" t="n"/>
      <c r="O700" s="11" t="n"/>
      <c r="P700" s="12" t="n"/>
      <c r="Q700" s="11" t="n"/>
      <c r="R700" s="12" t="n"/>
      <c r="S700" s="11" t="n"/>
      <c r="T700" s="12" t="n"/>
      <c r="U700" s="12" t="n"/>
      <c r="V700" s="14">
        <f>IF($AN700="",IF($B700="","",$H700),IF(INDEX(職員マスタ!$B$6:$B$405,$AN700)="",$H700,INDEX(職員マスタ!$B$6:$B$405,$AN700)))</f>
        <v/>
      </c>
      <c r="W700" s="14">
        <f>IF($AN700="",IF($B700="","",$R700),IF(INDEX(職員マスタ!$C$6:$C$405,$AN700)="",$R700,INDEX(職員マスタ!$C$6:$C$405,$AN700)))</f>
        <v/>
      </c>
      <c r="X700" s="14">
        <f>IF($AO700="","","R"&amp;$C700&amp;"."&amp;$D700)</f>
        <v/>
      </c>
      <c r="Y700" s="15">
        <f>IF($AN700="","",IF(INDEX(職員マスタ!$K$6:$K$405,$AN700)="","",INDEX(職員マスタ!$K$6:$K$405,$AN700)))</f>
        <v/>
      </c>
      <c r="Z700" s="14">
        <f>IF(OR($E700="",$Y700=""),"",IF($E700&gt;=$Y700,"×",IF($E700&gt;=$Y700*設定!$C$5,"△","○")))</f>
        <v/>
      </c>
      <c r="AA700" s="15">
        <f>IF($Z700="","",IF($Z700="×",0,IF($Z700="○",ROUNDDOWN($E700*設定!$C$4,0),ROUNDDOWN($E700*ROUND((9*$Y700-9*$E700)/(10*$E700),4),0))))</f>
        <v/>
      </c>
      <c r="AB700" s="13" t="n"/>
      <c r="AC700" s="15">
        <f>IF($B700="","",IF($AB700&lt;&gt;"",$AB700,IF($AA700="","",IF($AA700&lt;=設定!$C$3,0,$AA700))))</f>
        <v/>
      </c>
      <c r="AD700" s="14">
        <f>IF($B700="","",IF(AND($AE700&lt;&gt;"",$AG700="",$AJ700=""),"保留中",IF($AJ700&lt;&gt;"",IF(N($AC700)&gt;0,"支給済","不支給"),IF($AC700="","要確認",IF($AC700=0,"不支給","未処理")))))</f>
        <v/>
      </c>
      <c r="AE700" s="12" t="n"/>
      <c r="AF700" s="11" t="n"/>
      <c r="AG700" s="11" t="n"/>
      <c r="AH700" s="11" t="n"/>
      <c r="AI700" s="14">
        <f>IF(AND($AD700="保留中",$AF700&lt;&gt;""),TODAY()-$AF700,"")</f>
        <v/>
      </c>
      <c r="AJ700" s="12" t="n"/>
      <c r="AK700" s="14">
        <f>IF($B700="","",IF($AO700="","対象年月が未入力／","")&amp;IF($B700="","",IF($AN700="","職員マスタに未登録の職員番号／",IF($Y700="","標準報酬月額が未登録／","")&amp;IF(AND($AO700&lt;&gt;"",OR(AND(INDEX(職員マスタ!$G$6:$G$405,$AN700)&lt;&gt;"",INDEX(職員マスタ!$G$6:$G$405,$AN700)&gt;EOMONTH($AO700,0)),AND(INDEX(職員マスタ!$H$6:$H$405,$AN700)&lt;&gt;"",INDEX(職員マスタ!$H$6:$H$405,$AN700)&lt;$AO700))),"対象月が時短期間外／","")&amp;IF(AND(INDEX(職員マスタ!$F$6:$F$405,$AN700)&lt;&gt;"",$AO700&lt;&gt;"",INDEX(職員マスタ!$F$6:$F$405,$AN700)&lt;$AO700),"対象月に子が2歳到達済／","")&amp;IF(AND($H700&lt;&gt;"",INDEX(職員マスタ!$B$6:$B$405,$AN700)&lt;&gt;"",SUBSTITUTE(SUBSTITUTE($H700," ","")," ","")&lt;&gt;SUBSTITUTE(SUBSTITUTE(INDEX(職員マスタ!$B$6:$B$405,$AN700)," ","")," ","")),"氏名がマスタと相違／","")&amp;IF(AND($Q700&lt;&gt;"",INDEX(職員マスタ!$E$6:$E$405,$AN700)&lt;&gt;"",$Q700&lt;&gt;INDEX(職員マスタ!$E$6:$E$405,$AN700)),"子の生年月日がマスタと相違／","")&amp;IF(AND($L700&lt;&gt;"",INDEX(職員マスタ!$G$6:$G$405,$AN700)&lt;&gt;"",$L700&lt;&gt;INDEX(職員マスタ!$G$6:$G$405,$AN700)),"時短開始日がマスタと相違／","")&amp;IF(AND($M700&lt;&gt;"",INDEX(職員マスタ!$H$6:$H$405,$AN700)&lt;&gt;"",$M700&lt;&gt;INDEX(職員マスタ!$H$6:$H$405,$AN700)),"時短終了日がマスタと相違／","")))&amp;IF(AND($B700&lt;&gt;"",$E700=""),"報酬額が未入力／","")&amp;IF(N($U700)&gt;0,"申請書に入力エラーが残っています／","")&amp;IF(AND($B700&lt;&gt;"",$AO700&lt;&gt;""),IF(COUNTIFS($B$6:$B$3005,$B700,$C$6:$C$3005,$C700,$D$6:$D$3005,$D700)&gt;1,"同じ月の請求が重複しています／",""),"")&amp;IF(AND(N($E700)&gt;0,$Z700&lt;&gt;"",$Z700&lt;&gt;"×",$AC700=0,$AB700=""),"計算額が下限以下のため不支給／",""))</f>
        <v/>
      </c>
      <c r="AL700" s="12" t="n"/>
      <c r="AM700" s="14">
        <f>IF($AD700="保留中",COUNTIF($AD$6:$AD700,"保留中"),"")</f>
        <v/>
      </c>
      <c r="AN700" s="14">
        <f>IF($AO700="","",IF(SUMPRODUCT(MAX((職員マスタ!$A$6:$A$405=$B700)*(((職員マスタ!$G$6:$G$405="")+(職員マスタ!$G$6:$G$405&lt;=EOMONTH($AO700,0)))&gt;0)*(((職員マスタ!$H$6:$H$405="")+(職員マスタ!$H$6:$H$405&gt;=$AO700))&gt;0)*(ROW(職員マスタ!$A$6:$A$405)-5)))&gt;0,SUMPRODUCT(MAX((職員マスタ!$A$6:$A$405=$B700)*(((職員マスタ!$G$6:$G$405="")+(職員マスタ!$G$6:$G$405&lt;=EOMONTH($AO700,0)))&gt;0)*(((職員マスタ!$H$6:$H$405="")+(職員マスタ!$H$6:$H$405&gt;=$AO700))&gt;0)*(ROW(職員マスタ!$A$6:$A$405)-5))),IFERROR(MATCH($B700,職員マスタ!$A$6:$A$405,0),"")))</f>
        <v/>
      </c>
      <c r="AO700" s="16">
        <f>IF(OR($B700="",$C700="",$D700=""),"",DATE($C700+2018,$D700,1))</f>
        <v/>
      </c>
    </row>
    <row r="701">
      <c r="A701" s="11" t="n"/>
      <c r="B701" s="12" t="n"/>
      <c r="C701" s="12" t="n"/>
      <c r="D701" s="12" t="n"/>
      <c r="E701" s="13" t="n"/>
      <c r="F701" s="12" t="n"/>
      <c r="G701" s="13" t="n"/>
      <c r="H701" s="12" t="n"/>
      <c r="I701" s="12" t="n"/>
      <c r="J701" s="12" t="n"/>
      <c r="K701" s="12" t="n"/>
      <c r="L701" s="11" t="n"/>
      <c r="M701" s="11" t="n"/>
      <c r="N701" s="11" t="n"/>
      <c r="O701" s="11" t="n"/>
      <c r="P701" s="12" t="n"/>
      <c r="Q701" s="11" t="n"/>
      <c r="R701" s="12" t="n"/>
      <c r="S701" s="11" t="n"/>
      <c r="T701" s="12" t="n"/>
      <c r="U701" s="12" t="n"/>
      <c r="V701" s="14">
        <f>IF($AN701="",IF($B701="","",$H701),IF(INDEX(職員マスタ!$B$6:$B$405,$AN701)="",$H701,INDEX(職員マスタ!$B$6:$B$405,$AN701)))</f>
        <v/>
      </c>
      <c r="W701" s="14">
        <f>IF($AN701="",IF($B701="","",$R701),IF(INDEX(職員マスタ!$C$6:$C$405,$AN701)="",$R701,INDEX(職員マスタ!$C$6:$C$405,$AN701)))</f>
        <v/>
      </c>
      <c r="X701" s="14">
        <f>IF($AO701="","","R"&amp;$C701&amp;"."&amp;$D701)</f>
        <v/>
      </c>
      <c r="Y701" s="15">
        <f>IF($AN701="","",IF(INDEX(職員マスタ!$K$6:$K$405,$AN701)="","",INDEX(職員マスタ!$K$6:$K$405,$AN701)))</f>
        <v/>
      </c>
      <c r="Z701" s="14">
        <f>IF(OR($E701="",$Y701=""),"",IF($E701&gt;=$Y701,"×",IF($E701&gt;=$Y701*設定!$C$5,"△","○")))</f>
        <v/>
      </c>
      <c r="AA701" s="15">
        <f>IF($Z701="","",IF($Z701="×",0,IF($Z701="○",ROUNDDOWN($E701*設定!$C$4,0),ROUNDDOWN($E701*ROUND((9*$Y701-9*$E701)/(10*$E701),4),0))))</f>
        <v/>
      </c>
      <c r="AB701" s="13" t="n"/>
      <c r="AC701" s="15">
        <f>IF($B701="","",IF($AB701&lt;&gt;"",$AB701,IF($AA701="","",IF($AA701&lt;=設定!$C$3,0,$AA701))))</f>
        <v/>
      </c>
      <c r="AD701" s="14">
        <f>IF($B701="","",IF(AND($AE701&lt;&gt;"",$AG701="",$AJ701=""),"保留中",IF($AJ701&lt;&gt;"",IF(N($AC701)&gt;0,"支給済","不支給"),IF($AC701="","要確認",IF($AC701=0,"不支給","未処理")))))</f>
        <v/>
      </c>
      <c r="AE701" s="12" t="n"/>
      <c r="AF701" s="11" t="n"/>
      <c r="AG701" s="11" t="n"/>
      <c r="AH701" s="11" t="n"/>
      <c r="AI701" s="14">
        <f>IF(AND($AD701="保留中",$AF701&lt;&gt;""),TODAY()-$AF701,"")</f>
        <v/>
      </c>
      <c r="AJ701" s="12" t="n"/>
      <c r="AK701" s="14">
        <f>IF($B701="","",IF($AO701="","対象年月が未入力／","")&amp;IF($B701="","",IF($AN701="","職員マスタに未登録の職員番号／",IF($Y701="","標準報酬月額が未登録／","")&amp;IF(AND($AO701&lt;&gt;"",OR(AND(INDEX(職員マスタ!$G$6:$G$405,$AN701)&lt;&gt;"",INDEX(職員マスタ!$G$6:$G$405,$AN701)&gt;EOMONTH($AO701,0)),AND(INDEX(職員マスタ!$H$6:$H$405,$AN701)&lt;&gt;"",INDEX(職員マスタ!$H$6:$H$405,$AN701)&lt;$AO701))),"対象月が時短期間外／","")&amp;IF(AND(INDEX(職員マスタ!$F$6:$F$405,$AN701)&lt;&gt;"",$AO701&lt;&gt;"",INDEX(職員マスタ!$F$6:$F$405,$AN701)&lt;$AO701),"対象月に子が2歳到達済／","")&amp;IF(AND($H701&lt;&gt;"",INDEX(職員マスタ!$B$6:$B$405,$AN701)&lt;&gt;"",SUBSTITUTE(SUBSTITUTE($H701," ","")," ","")&lt;&gt;SUBSTITUTE(SUBSTITUTE(INDEX(職員マスタ!$B$6:$B$405,$AN701)," ","")," ","")),"氏名がマスタと相違／","")&amp;IF(AND($Q701&lt;&gt;"",INDEX(職員マスタ!$E$6:$E$405,$AN701)&lt;&gt;"",$Q701&lt;&gt;INDEX(職員マスタ!$E$6:$E$405,$AN701)),"子の生年月日がマスタと相違／","")&amp;IF(AND($L701&lt;&gt;"",INDEX(職員マスタ!$G$6:$G$405,$AN701)&lt;&gt;"",$L701&lt;&gt;INDEX(職員マスタ!$G$6:$G$405,$AN701)),"時短開始日がマスタと相違／","")&amp;IF(AND($M701&lt;&gt;"",INDEX(職員マスタ!$H$6:$H$405,$AN701)&lt;&gt;"",$M701&lt;&gt;INDEX(職員マスタ!$H$6:$H$405,$AN701)),"時短終了日がマスタと相違／","")))&amp;IF(AND($B701&lt;&gt;"",$E701=""),"報酬額が未入力／","")&amp;IF(N($U701)&gt;0,"申請書に入力エラーが残っています／","")&amp;IF(AND($B701&lt;&gt;"",$AO701&lt;&gt;""),IF(COUNTIFS($B$6:$B$3005,$B701,$C$6:$C$3005,$C701,$D$6:$D$3005,$D701)&gt;1,"同じ月の請求が重複しています／",""),"")&amp;IF(AND(N($E701)&gt;0,$Z701&lt;&gt;"",$Z701&lt;&gt;"×",$AC701=0,$AB701=""),"計算額が下限以下のため不支給／",""))</f>
        <v/>
      </c>
      <c r="AL701" s="12" t="n"/>
      <c r="AM701" s="14">
        <f>IF($AD701="保留中",COUNTIF($AD$6:$AD701,"保留中"),"")</f>
        <v/>
      </c>
      <c r="AN701" s="14">
        <f>IF($AO701="","",IF(SUMPRODUCT(MAX((職員マスタ!$A$6:$A$405=$B701)*(((職員マスタ!$G$6:$G$405="")+(職員マスタ!$G$6:$G$405&lt;=EOMONTH($AO701,0)))&gt;0)*(((職員マスタ!$H$6:$H$405="")+(職員マスタ!$H$6:$H$405&gt;=$AO701))&gt;0)*(ROW(職員マスタ!$A$6:$A$405)-5)))&gt;0,SUMPRODUCT(MAX((職員マスタ!$A$6:$A$405=$B701)*(((職員マスタ!$G$6:$G$405="")+(職員マスタ!$G$6:$G$405&lt;=EOMONTH($AO701,0)))&gt;0)*(((職員マスタ!$H$6:$H$405="")+(職員マスタ!$H$6:$H$405&gt;=$AO701))&gt;0)*(ROW(職員マスタ!$A$6:$A$405)-5))),IFERROR(MATCH($B701,職員マスタ!$A$6:$A$405,0),"")))</f>
        <v/>
      </c>
      <c r="AO701" s="16">
        <f>IF(OR($B701="",$C701="",$D701=""),"",DATE($C701+2018,$D701,1))</f>
        <v/>
      </c>
    </row>
    <row r="702">
      <c r="A702" s="11" t="n"/>
      <c r="B702" s="12" t="n"/>
      <c r="C702" s="12" t="n"/>
      <c r="D702" s="12" t="n"/>
      <c r="E702" s="13" t="n"/>
      <c r="F702" s="12" t="n"/>
      <c r="G702" s="13" t="n"/>
      <c r="H702" s="12" t="n"/>
      <c r="I702" s="12" t="n"/>
      <c r="J702" s="12" t="n"/>
      <c r="K702" s="12" t="n"/>
      <c r="L702" s="11" t="n"/>
      <c r="M702" s="11" t="n"/>
      <c r="N702" s="11" t="n"/>
      <c r="O702" s="11" t="n"/>
      <c r="P702" s="12" t="n"/>
      <c r="Q702" s="11" t="n"/>
      <c r="R702" s="12" t="n"/>
      <c r="S702" s="11" t="n"/>
      <c r="T702" s="12" t="n"/>
      <c r="U702" s="12" t="n"/>
      <c r="V702" s="14">
        <f>IF($AN702="",IF($B702="","",$H702),IF(INDEX(職員マスタ!$B$6:$B$405,$AN702)="",$H702,INDEX(職員マスタ!$B$6:$B$405,$AN702)))</f>
        <v/>
      </c>
      <c r="W702" s="14">
        <f>IF($AN702="",IF($B702="","",$R702),IF(INDEX(職員マスタ!$C$6:$C$405,$AN702)="",$R702,INDEX(職員マスタ!$C$6:$C$405,$AN702)))</f>
        <v/>
      </c>
      <c r="X702" s="14">
        <f>IF($AO702="","","R"&amp;$C702&amp;"."&amp;$D702)</f>
        <v/>
      </c>
      <c r="Y702" s="15">
        <f>IF($AN702="","",IF(INDEX(職員マスタ!$K$6:$K$405,$AN702)="","",INDEX(職員マスタ!$K$6:$K$405,$AN702)))</f>
        <v/>
      </c>
      <c r="Z702" s="14">
        <f>IF(OR($E702="",$Y702=""),"",IF($E702&gt;=$Y702,"×",IF($E702&gt;=$Y702*設定!$C$5,"△","○")))</f>
        <v/>
      </c>
      <c r="AA702" s="15">
        <f>IF($Z702="","",IF($Z702="×",0,IF($Z702="○",ROUNDDOWN($E702*設定!$C$4,0),ROUNDDOWN($E702*ROUND((9*$Y702-9*$E702)/(10*$E702),4),0))))</f>
        <v/>
      </c>
      <c r="AB702" s="13" t="n"/>
      <c r="AC702" s="15">
        <f>IF($B702="","",IF($AB702&lt;&gt;"",$AB702,IF($AA702="","",IF($AA702&lt;=設定!$C$3,0,$AA702))))</f>
        <v/>
      </c>
      <c r="AD702" s="14">
        <f>IF($B702="","",IF(AND($AE702&lt;&gt;"",$AG702="",$AJ702=""),"保留中",IF($AJ702&lt;&gt;"",IF(N($AC702)&gt;0,"支給済","不支給"),IF($AC702="","要確認",IF($AC702=0,"不支給","未処理")))))</f>
        <v/>
      </c>
      <c r="AE702" s="12" t="n"/>
      <c r="AF702" s="11" t="n"/>
      <c r="AG702" s="11" t="n"/>
      <c r="AH702" s="11" t="n"/>
      <c r="AI702" s="14">
        <f>IF(AND($AD702="保留中",$AF702&lt;&gt;""),TODAY()-$AF702,"")</f>
        <v/>
      </c>
      <c r="AJ702" s="12" t="n"/>
      <c r="AK702" s="14">
        <f>IF($B702="","",IF($AO702="","対象年月が未入力／","")&amp;IF($B702="","",IF($AN702="","職員マスタに未登録の職員番号／",IF($Y702="","標準報酬月額が未登録／","")&amp;IF(AND($AO702&lt;&gt;"",OR(AND(INDEX(職員マスタ!$G$6:$G$405,$AN702)&lt;&gt;"",INDEX(職員マスタ!$G$6:$G$405,$AN702)&gt;EOMONTH($AO702,0)),AND(INDEX(職員マスタ!$H$6:$H$405,$AN702)&lt;&gt;"",INDEX(職員マスタ!$H$6:$H$405,$AN702)&lt;$AO702))),"対象月が時短期間外／","")&amp;IF(AND(INDEX(職員マスタ!$F$6:$F$405,$AN702)&lt;&gt;"",$AO702&lt;&gt;"",INDEX(職員マスタ!$F$6:$F$405,$AN702)&lt;$AO702),"対象月に子が2歳到達済／","")&amp;IF(AND($H702&lt;&gt;"",INDEX(職員マスタ!$B$6:$B$405,$AN702)&lt;&gt;"",SUBSTITUTE(SUBSTITUTE($H702," ","")," ","")&lt;&gt;SUBSTITUTE(SUBSTITUTE(INDEX(職員マスタ!$B$6:$B$405,$AN702)," ","")," ","")),"氏名がマスタと相違／","")&amp;IF(AND($Q702&lt;&gt;"",INDEX(職員マスタ!$E$6:$E$405,$AN702)&lt;&gt;"",$Q702&lt;&gt;INDEX(職員マスタ!$E$6:$E$405,$AN702)),"子の生年月日がマスタと相違／","")&amp;IF(AND($L702&lt;&gt;"",INDEX(職員マスタ!$G$6:$G$405,$AN702)&lt;&gt;"",$L702&lt;&gt;INDEX(職員マスタ!$G$6:$G$405,$AN702)),"時短開始日がマスタと相違／","")&amp;IF(AND($M702&lt;&gt;"",INDEX(職員マスタ!$H$6:$H$405,$AN702)&lt;&gt;"",$M702&lt;&gt;INDEX(職員マスタ!$H$6:$H$405,$AN702)),"時短終了日がマスタと相違／","")))&amp;IF(AND($B702&lt;&gt;"",$E702=""),"報酬額が未入力／","")&amp;IF(N($U702)&gt;0,"申請書に入力エラーが残っています／","")&amp;IF(AND($B702&lt;&gt;"",$AO702&lt;&gt;""),IF(COUNTIFS($B$6:$B$3005,$B702,$C$6:$C$3005,$C702,$D$6:$D$3005,$D702)&gt;1,"同じ月の請求が重複しています／",""),"")&amp;IF(AND(N($E702)&gt;0,$Z702&lt;&gt;"",$Z702&lt;&gt;"×",$AC702=0,$AB702=""),"計算額が下限以下のため不支給／",""))</f>
        <v/>
      </c>
      <c r="AL702" s="12" t="n"/>
      <c r="AM702" s="14">
        <f>IF($AD702="保留中",COUNTIF($AD$6:$AD702,"保留中"),"")</f>
        <v/>
      </c>
      <c r="AN702" s="14">
        <f>IF($AO702="","",IF(SUMPRODUCT(MAX((職員マスタ!$A$6:$A$405=$B702)*(((職員マスタ!$G$6:$G$405="")+(職員マスタ!$G$6:$G$405&lt;=EOMONTH($AO702,0)))&gt;0)*(((職員マスタ!$H$6:$H$405="")+(職員マスタ!$H$6:$H$405&gt;=$AO702))&gt;0)*(ROW(職員マスタ!$A$6:$A$405)-5)))&gt;0,SUMPRODUCT(MAX((職員マスタ!$A$6:$A$405=$B702)*(((職員マスタ!$G$6:$G$405="")+(職員マスタ!$G$6:$G$405&lt;=EOMONTH($AO702,0)))&gt;0)*(((職員マスタ!$H$6:$H$405="")+(職員マスタ!$H$6:$H$405&gt;=$AO702))&gt;0)*(ROW(職員マスタ!$A$6:$A$405)-5))),IFERROR(MATCH($B702,職員マスタ!$A$6:$A$405,0),"")))</f>
        <v/>
      </c>
      <c r="AO702" s="16">
        <f>IF(OR($B702="",$C702="",$D702=""),"",DATE($C702+2018,$D702,1))</f>
        <v/>
      </c>
    </row>
    <row r="703">
      <c r="A703" s="11" t="n"/>
      <c r="B703" s="12" t="n"/>
      <c r="C703" s="12" t="n"/>
      <c r="D703" s="12" t="n"/>
      <c r="E703" s="13" t="n"/>
      <c r="F703" s="12" t="n"/>
      <c r="G703" s="13" t="n"/>
      <c r="H703" s="12" t="n"/>
      <c r="I703" s="12" t="n"/>
      <c r="J703" s="12" t="n"/>
      <c r="K703" s="12" t="n"/>
      <c r="L703" s="11" t="n"/>
      <c r="M703" s="11" t="n"/>
      <c r="N703" s="11" t="n"/>
      <c r="O703" s="11" t="n"/>
      <c r="P703" s="12" t="n"/>
      <c r="Q703" s="11" t="n"/>
      <c r="R703" s="12" t="n"/>
      <c r="S703" s="11" t="n"/>
      <c r="T703" s="12" t="n"/>
      <c r="U703" s="12" t="n"/>
      <c r="V703" s="14">
        <f>IF($AN703="",IF($B703="","",$H703),IF(INDEX(職員マスタ!$B$6:$B$405,$AN703)="",$H703,INDEX(職員マスタ!$B$6:$B$405,$AN703)))</f>
        <v/>
      </c>
      <c r="W703" s="14">
        <f>IF($AN703="",IF($B703="","",$R703),IF(INDEX(職員マスタ!$C$6:$C$405,$AN703)="",$R703,INDEX(職員マスタ!$C$6:$C$405,$AN703)))</f>
        <v/>
      </c>
      <c r="X703" s="14">
        <f>IF($AO703="","","R"&amp;$C703&amp;"."&amp;$D703)</f>
        <v/>
      </c>
      <c r="Y703" s="15">
        <f>IF($AN703="","",IF(INDEX(職員マスタ!$K$6:$K$405,$AN703)="","",INDEX(職員マスタ!$K$6:$K$405,$AN703)))</f>
        <v/>
      </c>
      <c r="Z703" s="14">
        <f>IF(OR($E703="",$Y703=""),"",IF($E703&gt;=$Y703,"×",IF($E703&gt;=$Y703*設定!$C$5,"△","○")))</f>
        <v/>
      </c>
      <c r="AA703" s="15">
        <f>IF($Z703="","",IF($Z703="×",0,IF($Z703="○",ROUNDDOWN($E703*設定!$C$4,0),ROUNDDOWN($E703*ROUND((9*$Y703-9*$E703)/(10*$E703),4),0))))</f>
        <v/>
      </c>
      <c r="AB703" s="13" t="n"/>
      <c r="AC703" s="15">
        <f>IF($B703="","",IF($AB703&lt;&gt;"",$AB703,IF($AA703="","",IF($AA703&lt;=設定!$C$3,0,$AA703))))</f>
        <v/>
      </c>
      <c r="AD703" s="14">
        <f>IF($B703="","",IF(AND($AE703&lt;&gt;"",$AG703="",$AJ703=""),"保留中",IF($AJ703&lt;&gt;"",IF(N($AC703)&gt;0,"支給済","不支給"),IF($AC703="","要確認",IF($AC703=0,"不支給","未処理")))))</f>
        <v/>
      </c>
      <c r="AE703" s="12" t="n"/>
      <c r="AF703" s="11" t="n"/>
      <c r="AG703" s="11" t="n"/>
      <c r="AH703" s="11" t="n"/>
      <c r="AI703" s="14">
        <f>IF(AND($AD703="保留中",$AF703&lt;&gt;""),TODAY()-$AF703,"")</f>
        <v/>
      </c>
      <c r="AJ703" s="12" t="n"/>
      <c r="AK703" s="14">
        <f>IF($B703="","",IF($AO703="","対象年月が未入力／","")&amp;IF($B703="","",IF($AN703="","職員マスタに未登録の職員番号／",IF($Y703="","標準報酬月額が未登録／","")&amp;IF(AND($AO703&lt;&gt;"",OR(AND(INDEX(職員マスタ!$G$6:$G$405,$AN703)&lt;&gt;"",INDEX(職員マスタ!$G$6:$G$405,$AN703)&gt;EOMONTH($AO703,0)),AND(INDEX(職員マスタ!$H$6:$H$405,$AN703)&lt;&gt;"",INDEX(職員マスタ!$H$6:$H$405,$AN703)&lt;$AO703))),"対象月が時短期間外／","")&amp;IF(AND(INDEX(職員マスタ!$F$6:$F$405,$AN703)&lt;&gt;"",$AO703&lt;&gt;"",INDEX(職員マスタ!$F$6:$F$405,$AN703)&lt;$AO703),"対象月に子が2歳到達済／","")&amp;IF(AND($H703&lt;&gt;"",INDEX(職員マスタ!$B$6:$B$405,$AN703)&lt;&gt;"",SUBSTITUTE(SUBSTITUTE($H703," ","")," ","")&lt;&gt;SUBSTITUTE(SUBSTITUTE(INDEX(職員マスタ!$B$6:$B$405,$AN703)," ","")," ","")),"氏名がマスタと相違／","")&amp;IF(AND($Q703&lt;&gt;"",INDEX(職員マスタ!$E$6:$E$405,$AN703)&lt;&gt;"",$Q703&lt;&gt;INDEX(職員マスタ!$E$6:$E$405,$AN703)),"子の生年月日がマスタと相違／","")&amp;IF(AND($L703&lt;&gt;"",INDEX(職員マスタ!$G$6:$G$405,$AN703)&lt;&gt;"",$L703&lt;&gt;INDEX(職員マスタ!$G$6:$G$405,$AN703)),"時短開始日がマスタと相違／","")&amp;IF(AND($M703&lt;&gt;"",INDEX(職員マスタ!$H$6:$H$405,$AN703)&lt;&gt;"",$M703&lt;&gt;INDEX(職員マスタ!$H$6:$H$405,$AN703)),"時短終了日がマスタと相違／","")))&amp;IF(AND($B703&lt;&gt;"",$E703=""),"報酬額が未入力／","")&amp;IF(N($U703)&gt;0,"申請書に入力エラーが残っています／","")&amp;IF(AND($B703&lt;&gt;"",$AO703&lt;&gt;""),IF(COUNTIFS($B$6:$B$3005,$B703,$C$6:$C$3005,$C703,$D$6:$D$3005,$D703)&gt;1,"同じ月の請求が重複しています／",""),"")&amp;IF(AND(N($E703)&gt;0,$Z703&lt;&gt;"",$Z703&lt;&gt;"×",$AC703=0,$AB703=""),"計算額が下限以下のため不支給／",""))</f>
        <v/>
      </c>
      <c r="AL703" s="12" t="n"/>
      <c r="AM703" s="14">
        <f>IF($AD703="保留中",COUNTIF($AD$6:$AD703,"保留中"),"")</f>
        <v/>
      </c>
      <c r="AN703" s="14">
        <f>IF($AO703="","",IF(SUMPRODUCT(MAX((職員マスタ!$A$6:$A$405=$B703)*(((職員マスタ!$G$6:$G$405="")+(職員マスタ!$G$6:$G$405&lt;=EOMONTH($AO703,0)))&gt;0)*(((職員マスタ!$H$6:$H$405="")+(職員マスタ!$H$6:$H$405&gt;=$AO703))&gt;0)*(ROW(職員マスタ!$A$6:$A$405)-5)))&gt;0,SUMPRODUCT(MAX((職員マスタ!$A$6:$A$405=$B703)*(((職員マスタ!$G$6:$G$405="")+(職員マスタ!$G$6:$G$405&lt;=EOMONTH($AO703,0)))&gt;0)*(((職員マスタ!$H$6:$H$405="")+(職員マスタ!$H$6:$H$405&gt;=$AO703))&gt;0)*(ROW(職員マスタ!$A$6:$A$405)-5))),IFERROR(MATCH($B703,職員マスタ!$A$6:$A$405,0),"")))</f>
        <v/>
      </c>
      <c r="AO703" s="16">
        <f>IF(OR($B703="",$C703="",$D703=""),"",DATE($C703+2018,$D703,1))</f>
        <v/>
      </c>
    </row>
    <row r="704">
      <c r="A704" s="11" t="n"/>
      <c r="B704" s="12" t="n"/>
      <c r="C704" s="12" t="n"/>
      <c r="D704" s="12" t="n"/>
      <c r="E704" s="13" t="n"/>
      <c r="F704" s="12" t="n"/>
      <c r="G704" s="13" t="n"/>
      <c r="H704" s="12" t="n"/>
      <c r="I704" s="12" t="n"/>
      <c r="J704" s="12" t="n"/>
      <c r="K704" s="12" t="n"/>
      <c r="L704" s="11" t="n"/>
      <c r="M704" s="11" t="n"/>
      <c r="N704" s="11" t="n"/>
      <c r="O704" s="11" t="n"/>
      <c r="P704" s="12" t="n"/>
      <c r="Q704" s="11" t="n"/>
      <c r="R704" s="12" t="n"/>
      <c r="S704" s="11" t="n"/>
      <c r="T704" s="12" t="n"/>
      <c r="U704" s="12" t="n"/>
      <c r="V704" s="14">
        <f>IF($AN704="",IF($B704="","",$H704),IF(INDEX(職員マスタ!$B$6:$B$405,$AN704)="",$H704,INDEX(職員マスタ!$B$6:$B$405,$AN704)))</f>
        <v/>
      </c>
      <c r="W704" s="14">
        <f>IF($AN704="",IF($B704="","",$R704),IF(INDEX(職員マスタ!$C$6:$C$405,$AN704)="",$R704,INDEX(職員マスタ!$C$6:$C$405,$AN704)))</f>
        <v/>
      </c>
      <c r="X704" s="14">
        <f>IF($AO704="","","R"&amp;$C704&amp;"."&amp;$D704)</f>
        <v/>
      </c>
      <c r="Y704" s="15">
        <f>IF($AN704="","",IF(INDEX(職員マスタ!$K$6:$K$405,$AN704)="","",INDEX(職員マスタ!$K$6:$K$405,$AN704)))</f>
        <v/>
      </c>
      <c r="Z704" s="14">
        <f>IF(OR($E704="",$Y704=""),"",IF($E704&gt;=$Y704,"×",IF($E704&gt;=$Y704*設定!$C$5,"△","○")))</f>
        <v/>
      </c>
      <c r="AA704" s="15">
        <f>IF($Z704="","",IF($Z704="×",0,IF($Z704="○",ROUNDDOWN($E704*設定!$C$4,0),ROUNDDOWN($E704*ROUND((9*$Y704-9*$E704)/(10*$E704),4),0))))</f>
        <v/>
      </c>
      <c r="AB704" s="13" t="n"/>
      <c r="AC704" s="15">
        <f>IF($B704="","",IF($AB704&lt;&gt;"",$AB704,IF($AA704="","",IF($AA704&lt;=設定!$C$3,0,$AA704))))</f>
        <v/>
      </c>
      <c r="AD704" s="14">
        <f>IF($B704="","",IF(AND($AE704&lt;&gt;"",$AG704="",$AJ704=""),"保留中",IF($AJ704&lt;&gt;"",IF(N($AC704)&gt;0,"支給済","不支給"),IF($AC704="","要確認",IF($AC704=0,"不支給","未処理")))))</f>
        <v/>
      </c>
      <c r="AE704" s="12" t="n"/>
      <c r="AF704" s="11" t="n"/>
      <c r="AG704" s="11" t="n"/>
      <c r="AH704" s="11" t="n"/>
      <c r="AI704" s="14">
        <f>IF(AND($AD704="保留中",$AF704&lt;&gt;""),TODAY()-$AF704,"")</f>
        <v/>
      </c>
      <c r="AJ704" s="12" t="n"/>
      <c r="AK704" s="14">
        <f>IF($B704="","",IF($AO704="","対象年月が未入力／","")&amp;IF($B704="","",IF($AN704="","職員マスタに未登録の職員番号／",IF($Y704="","標準報酬月額が未登録／","")&amp;IF(AND($AO704&lt;&gt;"",OR(AND(INDEX(職員マスタ!$G$6:$G$405,$AN704)&lt;&gt;"",INDEX(職員マスタ!$G$6:$G$405,$AN704)&gt;EOMONTH($AO704,0)),AND(INDEX(職員マスタ!$H$6:$H$405,$AN704)&lt;&gt;"",INDEX(職員マスタ!$H$6:$H$405,$AN704)&lt;$AO704))),"対象月が時短期間外／","")&amp;IF(AND(INDEX(職員マスタ!$F$6:$F$405,$AN704)&lt;&gt;"",$AO704&lt;&gt;"",INDEX(職員マスタ!$F$6:$F$405,$AN704)&lt;$AO704),"対象月に子が2歳到達済／","")&amp;IF(AND($H704&lt;&gt;"",INDEX(職員マスタ!$B$6:$B$405,$AN704)&lt;&gt;"",SUBSTITUTE(SUBSTITUTE($H704," ","")," ","")&lt;&gt;SUBSTITUTE(SUBSTITUTE(INDEX(職員マスタ!$B$6:$B$405,$AN704)," ","")," ","")),"氏名がマスタと相違／","")&amp;IF(AND($Q704&lt;&gt;"",INDEX(職員マスタ!$E$6:$E$405,$AN704)&lt;&gt;"",$Q704&lt;&gt;INDEX(職員マスタ!$E$6:$E$405,$AN704)),"子の生年月日がマスタと相違／","")&amp;IF(AND($L704&lt;&gt;"",INDEX(職員マスタ!$G$6:$G$405,$AN704)&lt;&gt;"",$L704&lt;&gt;INDEX(職員マスタ!$G$6:$G$405,$AN704)),"時短開始日がマスタと相違／","")&amp;IF(AND($M704&lt;&gt;"",INDEX(職員マスタ!$H$6:$H$405,$AN704)&lt;&gt;"",$M704&lt;&gt;INDEX(職員マスタ!$H$6:$H$405,$AN704)),"時短終了日がマスタと相違／","")))&amp;IF(AND($B704&lt;&gt;"",$E704=""),"報酬額が未入力／","")&amp;IF(N($U704)&gt;0,"申請書に入力エラーが残っています／","")&amp;IF(AND($B704&lt;&gt;"",$AO704&lt;&gt;""),IF(COUNTIFS($B$6:$B$3005,$B704,$C$6:$C$3005,$C704,$D$6:$D$3005,$D704)&gt;1,"同じ月の請求が重複しています／",""),"")&amp;IF(AND(N($E704)&gt;0,$Z704&lt;&gt;"",$Z704&lt;&gt;"×",$AC704=0,$AB704=""),"計算額が下限以下のため不支給／",""))</f>
        <v/>
      </c>
      <c r="AL704" s="12" t="n"/>
      <c r="AM704" s="14">
        <f>IF($AD704="保留中",COUNTIF($AD$6:$AD704,"保留中"),"")</f>
        <v/>
      </c>
      <c r="AN704" s="14">
        <f>IF($AO704="","",IF(SUMPRODUCT(MAX((職員マスタ!$A$6:$A$405=$B704)*(((職員マスタ!$G$6:$G$405="")+(職員マスタ!$G$6:$G$405&lt;=EOMONTH($AO704,0)))&gt;0)*(((職員マスタ!$H$6:$H$405="")+(職員マスタ!$H$6:$H$405&gt;=$AO704))&gt;0)*(ROW(職員マスタ!$A$6:$A$405)-5)))&gt;0,SUMPRODUCT(MAX((職員マスタ!$A$6:$A$405=$B704)*(((職員マスタ!$G$6:$G$405="")+(職員マスタ!$G$6:$G$405&lt;=EOMONTH($AO704,0)))&gt;0)*(((職員マスタ!$H$6:$H$405="")+(職員マスタ!$H$6:$H$405&gt;=$AO704))&gt;0)*(ROW(職員マスタ!$A$6:$A$405)-5))),IFERROR(MATCH($B704,職員マスタ!$A$6:$A$405,0),"")))</f>
        <v/>
      </c>
      <c r="AO704" s="16">
        <f>IF(OR($B704="",$C704="",$D704=""),"",DATE($C704+2018,$D704,1))</f>
        <v/>
      </c>
    </row>
    <row r="705">
      <c r="A705" s="11" t="n"/>
      <c r="B705" s="12" t="n"/>
      <c r="C705" s="12" t="n"/>
      <c r="D705" s="12" t="n"/>
      <c r="E705" s="13" t="n"/>
      <c r="F705" s="12" t="n"/>
      <c r="G705" s="13" t="n"/>
      <c r="H705" s="12" t="n"/>
      <c r="I705" s="12" t="n"/>
      <c r="J705" s="12" t="n"/>
      <c r="K705" s="12" t="n"/>
      <c r="L705" s="11" t="n"/>
      <c r="M705" s="11" t="n"/>
      <c r="N705" s="11" t="n"/>
      <c r="O705" s="11" t="n"/>
      <c r="P705" s="12" t="n"/>
      <c r="Q705" s="11" t="n"/>
      <c r="R705" s="12" t="n"/>
      <c r="S705" s="11" t="n"/>
      <c r="T705" s="12" t="n"/>
      <c r="U705" s="12" t="n"/>
      <c r="V705" s="14">
        <f>IF($AN705="",IF($B705="","",$H705),IF(INDEX(職員マスタ!$B$6:$B$405,$AN705)="",$H705,INDEX(職員マスタ!$B$6:$B$405,$AN705)))</f>
        <v/>
      </c>
      <c r="W705" s="14">
        <f>IF($AN705="",IF($B705="","",$R705),IF(INDEX(職員マスタ!$C$6:$C$405,$AN705)="",$R705,INDEX(職員マスタ!$C$6:$C$405,$AN705)))</f>
        <v/>
      </c>
      <c r="X705" s="14">
        <f>IF($AO705="","","R"&amp;$C705&amp;"."&amp;$D705)</f>
        <v/>
      </c>
      <c r="Y705" s="15">
        <f>IF($AN705="","",IF(INDEX(職員マスタ!$K$6:$K$405,$AN705)="","",INDEX(職員マスタ!$K$6:$K$405,$AN705)))</f>
        <v/>
      </c>
      <c r="Z705" s="14">
        <f>IF(OR($E705="",$Y705=""),"",IF($E705&gt;=$Y705,"×",IF($E705&gt;=$Y705*設定!$C$5,"△","○")))</f>
        <v/>
      </c>
      <c r="AA705" s="15">
        <f>IF($Z705="","",IF($Z705="×",0,IF($Z705="○",ROUNDDOWN($E705*設定!$C$4,0),ROUNDDOWN($E705*ROUND((9*$Y705-9*$E705)/(10*$E705),4),0))))</f>
        <v/>
      </c>
      <c r="AB705" s="13" t="n"/>
      <c r="AC705" s="15">
        <f>IF($B705="","",IF($AB705&lt;&gt;"",$AB705,IF($AA705="","",IF($AA705&lt;=設定!$C$3,0,$AA705))))</f>
        <v/>
      </c>
      <c r="AD705" s="14">
        <f>IF($B705="","",IF(AND($AE705&lt;&gt;"",$AG705="",$AJ705=""),"保留中",IF($AJ705&lt;&gt;"",IF(N($AC705)&gt;0,"支給済","不支給"),IF($AC705="","要確認",IF($AC705=0,"不支給","未処理")))))</f>
        <v/>
      </c>
      <c r="AE705" s="12" t="n"/>
      <c r="AF705" s="11" t="n"/>
      <c r="AG705" s="11" t="n"/>
      <c r="AH705" s="11" t="n"/>
      <c r="AI705" s="14">
        <f>IF(AND($AD705="保留中",$AF705&lt;&gt;""),TODAY()-$AF705,"")</f>
        <v/>
      </c>
      <c r="AJ705" s="12" t="n"/>
      <c r="AK705" s="14">
        <f>IF($B705="","",IF($AO705="","対象年月が未入力／","")&amp;IF($B705="","",IF($AN705="","職員マスタに未登録の職員番号／",IF($Y705="","標準報酬月額が未登録／","")&amp;IF(AND($AO705&lt;&gt;"",OR(AND(INDEX(職員マスタ!$G$6:$G$405,$AN705)&lt;&gt;"",INDEX(職員マスタ!$G$6:$G$405,$AN705)&gt;EOMONTH($AO705,0)),AND(INDEX(職員マスタ!$H$6:$H$405,$AN705)&lt;&gt;"",INDEX(職員マスタ!$H$6:$H$405,$AN705)&lt;$AO705))),"対象月が時短期間外／","")&amp;IF(AND(INDEX(職員マスタ!$F$6:$F$405,$AN705)&lt;&gt;"",$AO705&lt;&gt;"",INDEX(職員マスタ!$F$6:$F$405,$AN705)&lt;$AO705),"対象月に子が2歳到達済／","")&amp;IF(AND($H705&lt;&gt;"",INDEX(職員マスタ!$B$6:$B$405,$AN705)&lt;&gt;"",SUBSTITUTE(SUBSTITUTE($H705," ","")," ","")&lt;&gt;SUBSTITUTE(SUBSTITUTE(INDEX(職員マスタ!$B$6:$B$405,$AN705)," ","")," ","")),"氏名がマスタと相違／","")&amp;IF(AND($Q705&lt;&gt;"",INDEX(職員マスタ!$E$6:$E$405,$AN705)&lt;&gt;"",$Q705&lt;&gt;INDEX(職員マスタ!$E$6:$E$405,$AN705)),"子の生年月日がマスタと相違／","")&amp;IF(AND($L705&lt;&gt;"",INDEX(職員マスタ!$G$6:$G$405,$AN705)&lt;&gt;"",$L705&lt;&gt;INDEX(職員マスタ!$G$6:$G$405,$AN705)),"時短開始日がマスタと相違／","")&amp;IF(AND($M705&lt;&gt;"",INDEX(職員マスタ!$H$6:$H$405,$AN705)&lt;&gt;"",$M705&lt;&gt;INDEX(職員マスタ!$H$6:$H$405,$AN705)),"時短終了日がマスタと相違／","")))&amp;IF(AND($B705&lt;&gt;"",$E705=""),"報酬額が未入力／","")&amp;IF(N($U705)&gt;0,"申請書に入力エラーが残っています／","")&amp;IF(AND($B705&lt;&gt;"",$AO705&lt;&gt;""),IF(COUNTIFS($B$6:$B$3005,$B705,$C$6:$C$3005,$C705,$D$6:$D$3005,$D705)&gt;1,"同じ月の請求が重複しています／",""),"")&amp;IF(AND(N($E705)&gt;0,$Z705&lt;&gt;"",$Z705&lt;&gt;"×",$AC705=0,$AB705=""),"計算額が下限以下のため不支給／",""))</f>
        <v/>
      </c>
      <c r="AL705" s="12" t="n"/>
      <c r="AM705" s="14">
        <f>IF($AD705="保留中",COUNTIF($AD$6:$AD705,"保留中"),"")</f>
        <v/>
      </c>
      <c r="AN705" s="14">
        <f>IF($AO705="","",IF(SUMPRODUCT(MAX((職員マスタ!$A$6:$A$405=$B705)*(((職員マスタ!$G$6:$G$405="")+(職員マスタ!$G$6:$G$405&lt;=EOMONTH($AO705,0)))&gt;0)*(((職員マスタ!$H$6:$H$405="")+(職員マスタ!$H$6:$H$405&gt;=$AO705))&gt;0)*(ROW(職員マスタ!$A$6:$A$405)-5)))&gt;0,SUMPRODUCT(MAX((職員マスタ!$A$6:$A$405=$B705)*(((職員マスタ!$G$6:$G$405="")+(職員マスタ!$G$6:$G$405&lt;=EOMONTH($AO705,0)))&gt;0)*(((職員マスタ!$H$6:$H$405="")+(職員マスタ!$H$6:$H$405&gt;=$AO705))&gt;0)*(ROW(職員マスタ!$A$6:$A$405)-5))),IFERROR(MATCH($B705,職員マスタ!$A$6:$A$405,0),"")))</f>
        <v/>
      </c>
      <c r="AO705" s="16">
        <f>IF(OR($B705="",$C705="",$D705=""),"",DATE($C705+2018,$D705,1))</f>
        <v/>
      </c>
    </row>
    <row r="706">
      <c r="A706" s="11" t="n"/>
      <c r="B706" s="12" t="n"/>
      <c r="C706" s="12" t="n"/>
      <c r="D706" s="12" t="n"/>
      <c r="E706" s="13" t="n"/>
      <c r="F706" s="12" t="n"/>
      <c r="G706" s="13" t="n"/>
      <c r="H706" s="12" t="n"/>
      <c r="I706" s="12" t="n"/>
      <c r="J706" s="12" t="n"/>
      <c r="K706" s="12" t="n"/>
      <c r="L706" s="11" t="n"/>
      <c r="M706" s="11" t="n"/>
      <c r="N706" s="11" t="n"/>
      <c r="O706" s="11" t="n"/>
      <c r="P706" s="12" t="n"/>
      <c r="Q706" s="11" t="n"/>
      <c r="R706" s="12" t="n"/>
      <c r="S706" s="11" t="n"/>
      <c r="T706" s="12" t="n"/>
      <c r="U706" s="12" t="n"/>
      <c r="V706" s="14">
        <f>IF($AN706="",IF($B706="","",$H706),IF(INDEX(職員マスタ!$B$6:$B$405,$AN706)="",$H706,INDEX(職員マスタ!$B$6:$B$405,$AN706)))</f>
        <v/>
      </c>
      <c r="W706" s="14">
        <f>IF($AN706="",IF($B706="","",$R706),IF(INDEX(職員マスタ!$C$6:$C$405,$AN706)="",$R706,INDEX(職員マスタ!$C$6:$C$405,$AN706)))</f>
        <v/>
      </c>
      <c r="X706" s="14">
        <f>IF($AO706="","","R"&amp;$C706&amp;"."&amp;$D706)</f>
        <v/>
      </c>
      <c r="Y706" s="15">
        <f>IF($AN706="","",IF(INDEX(職員マスタ!$K$6:$K$405,$AN706)="","",INDEX(職員マスタ!$K$6:$K$405,$AN706)))</f>
        <v/>
      </c>
      <c r="Z706" s="14">
        <f>IF(OR($E706="",$Y706=""),"",IF($E706&gt;=$Y706,"×",IF($E706&gt;=$Y706*設定!$C$5,"△","○")))</f>
        <v/>
      </c>
      <c r="AA706" s="15">
        <f>IF($Z706="","",IF($Z706="×",0,IF($Z706="○",ROUNDDOWN($E706*設定!$C$4,0),ROUNDDOWN($E706*ROUND((9*$Y706-9*$E706)/(10*$E706),4),0))))</f>
        <v/>
      </c>
      <c r="AB706" s="13" t="n"/>
      <c r="AC706" s="15">
        <f>IF($B706="","",IF($AB706&lt;&gt;"",$AB706,IF($AA706="","",IF($AA706&lt;=設定!$C$3,0,$AA706))))</f>
        <v/>
      </c>
      <c r="AD706" s="14">
        <f>IF($B706="","",IF(AND($AE706&lt;&gt;"",$AG706="",$AJ706=""),"保留中",IF($AJ706&lt;&gt;"",IF(N($AC706)&gt;0,"支給済","不支給"),IF($AC706="","要確認",IF($AC706=0,"不支給","未処理")))))</f>
        <v/>
      </c>
      <c r="AE706" s="12" t="n"/>
      <c r="AF706" s="11" t="n"/>
      <c r="AG706" s="11" t="n"/>
      <c r="AH706" s="11" t="n"/>
      <c r="AI706" s="14">
        <f>IF(AND($AD706="保留中",$AF706&lt;&gt;""),TODAY()-$AF706,"")</f>
        <v/>
      </c>
      <c r="AJ706" s="12" t="n"/>
      <c r="AK706" s="14">
        <f>IF($B706="","",IF($AO706="","対象年月が未入力／","")&amp;IF($B706="","",IF($AN706="","職員マスタに未登録の職員番号／",IF($Y706="","標準報酬月額が未登録／","")&amp;IF(AND($AO706&lt;&gt;"",OR(AND(INDEX(職員マスタ!$G$6:$G$405,$AN706)&lt;&gt;"",INDEX(職員マスタ!$G$6:$G$405,$AN706)&gt;EOMONTH($AO706,0)),AND(INDEX(職員マスタ!$H$6:$H$405,$AN706)&lt;&gt;"",INDEX(職員マスタ!$H$6:$H$405,$AN706)&lt;$AO706))),"対象月が時短期間外／","")&amp;IF(AND(INDEX(職員マスタ!$F$6:$F$405,$AN706)&lt;&gt;"",$AO706&lt;&gt;"",INDEX(職員マスタ!$F$6:$F$405,$AN706)&lt;$AO706),"対象月に子が2歳到達済／","")&amp;IF(AND($H706&lt;&gt;"",INDEX(職員マスタ!$B$6:$B$405,$AN706)&lt;&gt;"",SUBSTITUTE(SUBSTITUTE($H706," ","")," ","")&lt;&gt;SUBSTITUTE(SUBSTITUTE(INDEX(職員マスタ!$B$6:$B$405,$AN706)," ","")," ","")),"氏名がマスタと相違／","")&amp;IF(AND($Q706&lt;&gt;"",INDEX(職員マスタ!$E$6:$E$405,$AN706)&lt;&gt;"",$Q706&lt;&gt;INDEX(職員マスタ!$E$6:$E$405,$AN706)),"子の生年月日がマスタと相違／","")&amp;IF(AND($L706&lt;&gt;"",INDEX(職員マスタ!$G$6:$G$405,$AN706)&lt;&gt;"",$L706&lt;&gt;INDEX(職員マスタ!$G$6:$G$405,$AN706)),"時短開始日がマスタと相違／","")&amp;IF(AND($M706&lt;&gt;"",INDEX(職員マスタ!$H$6:$H$405,$AN706)&lt;&gt;"",$M706&lt;&gt;INDEX(職員マスタ!$H$6:$H$405,$AN706)),"時短終了日がマスタと相違／","")))&amp;IF(AND($B706&lt;&gt;"",$E706=""),"報酬額が未入力／","")&amp;IF(N($U706)&gt;0,"申請書に入力エラーが残っています／","")&amp;IF(AND($B706&lt;&gt;"",$AO706&lt;&gt;""),IF(COUNTIFS($B$6:$B$3005,$B706,$C$6:$C$3005,$C706,$D$6:$D$3005,$D706)&gt;1,"同じ月の請求が重複しています／",""),"")&amp;IF(AND(N($E706)&gt;0,$Z706&lt;&gt;"",$Z706&lt;&gt;"×",$AC706=0,$AB706=""),"計算額が下限以下のため不支給／",""))</f>
        <v/>
      </c>
      <c r="AL706" s="12" t="n"/>
      <c r="AM706" s="14">
        <f>IF($AD706="保留中",COUNTIF($AD$6:$AD706,"保留中"),"")</f>
        <v/>
      </c>
      <c r="AN706" s="14">
        <f>IF($AO706="","",IF(SUMPRODUCT(MAX((職員マスタ!$A$6:$A$405=$B706)*(((職員マスタ!$G$6:$G$405="")+(職員マスタ!$G$6:$G$405&lt;=EOMONTH($AO706,0)))&gt;0)*(((職員マスタ!$H$6:$H$405="")+(職員マスタ!$H$6:$H$405&gt;=$AO706))&gt;0)*(ROW(職員マスタ!$A$6:$A$405)-5)))&gt;0,SUMPRODUCT(MAX((職員マスタ!$A$6:$A$405=$B706)*(((職員マスタ!$G$6:$G$405="")+(職員マスタ!$G$6:$G$405&lt;=EOMONTH($AO706,0)))&gt;0)*(((職員マスタ!$H$6:$H$405="")+(職員マスタ!$H$6:$H$405&gt;=$AO706))&gt;0)*(ROW(職員マスタ!$A$6:$A$405)-5))),IFERROR(MATCH($B706,職員マスタ!$A$6:$A$405,0),"")))</f>
        <v/>
      </c>
      <c r="AO706" s="16">
        <f>IF(OR($B706="",$C706="",$D706=""),"",DATE($C706+2018,$D706,1))</f>
        <v/>
      </c>
    </row>
    <row r="707">
      <c r="A707" s="11" t="n"/>
      <c r="B707" s="12" t="n"/>
      <c r="C707" s="12" t="n"/>
      <c r="D707" s="12" t="n"/>
      <c r="E707" s="13" t="n"/>
      <c r="F707" s="12" t="n"/>
      <c r="G707" s="13" t="n"/>
      <c r="H707" s="12" t="n"/>
      <c r="I707" s="12" t="n"/>
      <c r="J707" s="12" t="n"/>
      <c r="K707" s="12" t="n"/>
      <c r="L707" s="11" t="n"/>
      <c r="M707" s="11" t="n"/>
      <c r="N707" s="11" t="n"/>
      <c r="O707" s="11" t="n"/>
      <c r="P707" s="12" t="n"/>
      <c r="Q707" s="11" t="n"/>
      <c r="R707" s="12" t="n"/>
      <c r="S707" s="11" t="n"/>
      <c r="T707" s="12" t="n"/>
      <c r="U707" s="12" t="n"/>
      <c r="V707" s="14">
        <f>IF($AN707="",IF($B707="","",$H707),IF(INDEX(職員マスタ!$B$6:$B$405,$AN707)="",$H707,INDEX(職員マスタ!$B$6:$B$405,$AN707)))</f>
        <v/>
      </c>
      <c r="W707" s="14">
        <f>IF($AN707="",IF($B707="","",$R707),IF(INDEX(職員マスタ!$C$6:$C$405,$AN707)="",$R707,INDEX(職員マスタ!$C$6:$C$405,$AN707)))</f>
        <v/>
      </c>
      <c r="X707" s="14">
        <f>IF($AO707="","","R"&amp;$C707&amp;"."&amp;$D707)</f>
        <v/>
      </c>
      <c r="Y707" s="15">
        <f>IF($AN707="","",IF(INDEX(職員マスタ!$K$6:$K$405,$AN707)="","",INDEX(職員マスタ!$K$6:$K$405,$AN707)))</f>
        <v/>
      </c>
      <c r="Z707" s="14">
        <f>IF(OR($E707="",$Y707=""),"",IF($E707&gt;=$Y707,"×",IF($E707&gt;=$Y707*設定!$C$5,"△","○")))</f>
        <v/>
      </c>
      <c r="AA707" s="15">
        <f>IF($Z707="","",IF($Z707="×",0,IF($Z707="○",ROUNDDOWN($E707*設定!$C$4,0),ROUNDDOWN($E707*ROUND((9*$Y707-9*$E707)/(10*$E707),4),0))))</f>
        <v/>
      </c>
      <c r="AB707" s="13" t="n"/>
      <c r="AC707" s="15">
        <f>IF($B707="","",IF($AB707&lt;&gt;"",$AB707,IF($AA707="","",IF($AA707&lt;=設定!$C$3,0,$AA707))))</f>
        <v/>
      </c>
      <c r="AD707" s="14">
        <f>IF($B707="","",IF(AND($AE707&lt;&gt;"",$AG707="",$AJ707=""),"保留中",IF($AJ707&lt;&gt;"",IF(N($AC707)&gt;0,"支給済","不支給"),IF($AC707="","要確認",IF($AC707=0,"不支給","未処理")))))</f>
        <v/>
      </c>
      <c r="AE707" s="12" t="n"/>
      <c r="AF707" s="11" t="n"/>
      <c r="AG707" s="11" t="n"/>
      <c r="AH707" s="11" t="n"/>
      <c r="AI707" s="14">
        <f>IF(AND($AD707="保留中",$AF707&lt;&gt;""),TODAY()-$AF707,"")</f>
        <v/>
      </c>
      <c r="AJ707" s="12" t="n"/>
      <c r="AK707" s="14">
        <f>IF($B707="","",IF($AO707="","対象年月が未入力／","")&amp;IF($B707="","",IF($AN707="","職員マスタに未登録の職員番号／",IF($Y707="","標準報酬月額が未登録／","")&amp;IF(AND($AO707&lt;&gt;"",OR(AND(INDEX(職員マスタ!$G$6:$G$405,$AN707)&lt;&gt;"",INDEX(職員マスタ!$G$6:$G$405,$AN707)&gt;EOMONTH($AO707,0)),AND(INDEX(職員マスタ!$H$6:$H$405,$AN707)&lt;&gt;"",INDEX(職員マスタ!$H$6:$H$405,$AN707)&lt;$AO707))),"対象月が時短期間外／","")&amp;IF(AND(INDEX(職員マスタ!$F$6:$F$405,$AN707)&lt;&gt;"",$AO707&lt;&gt;"",INDEX(職員マスタ!$F$6:$F$405,$AN707)&lt;$AO707),"対象月に子が2歳到達済／","")&amp;IF(AND($H707&lt;&gt;"",INDEX(職員マスタ!$B$6:$B$405,$AN707)&lt;&gt;"",SUBSTITUTE(SUBSTITUTE($H707," ","")," ","")&lt;&gt;SUBSTITUTE(SUBSTITUTE(INDEX(職員マスタ!$B$6:$B$405,$AN707)," ","")," ","")),"氏名がマスタと相違／","")&amp;IF(AND($Q707&lt;&gt;"",INDEX(職員マスタ!$E$6:$E$405,$AN707)&lt;&gt;"",$Q707&lt;&gt;INDEX(職員マスタ!$E$6:$E$405,$AN707)),"子の生年月日がマスタと相違／","")&amp;IF(AND($L707&lt;&gt;"",INDEX(職員マスタ!$G$6:$G$405,$AN707)&lt;&gt;"",$L707&lt;&gt;INDEX(職員マスタ!$G$6:$G$405,$AN707)),"時短開始日がマスタと相違／","")&amp;IF(AND($M707&lt;&gt;"",INDEX(職員マスタ!$H$6:$H$405,$AN707)&lt;&gt;"",$M707&lt;&gt;INDEX(職員マスタ!$H$6:$H$405,$AN707)),"時短終了日がマスタと相違／","")))&amp;IF(AND($B707&lt;&gt;"",$E707=""),"報酬額が未入力／","")&amp;IF(N($U707)&gt;0,"申請書に入力エラーが残っています／","")&amp;IF(AND($B707&lt;&gt;"",$AO707&lt;&gt;""),IF(COUNTIFS($B$6:$B$3005,$B707,$C$6:$C$3005,$C707,$D$6:$D$3005,$D707)&gt;1,"同じ月の請求が重複しています／",""),"")&amp;IF(AND(N($E707)&gt;0,$Z707&lt;&gt;"",$Z707&lt;&gt;"×",$AC707=0,$AB707=""),"計算額が下限以下のため不支給／",""))</f>
        <v/>
      </c>
      <c r="AL707" s="12" t="n"/>
      <c r="AM707" s="14">
        <f>IF($AD707="保留中",COUNTIF($AD$6:$AD707,"保留中"),"")</f>
        <v/>
      </c>
      <c r="AN707" s="14">
        <f>IF($AO707="","",IF(SUMPRODUCT(MAX((職員マスタ!$A$6:$A$405=$B707)*(((職員マスタ!$G$6:$G$405="")+(職員マスタ!$G$6:$G$405&lt;=EOMONTH($AO707,0)))&gt;0)*(((職員マスタ!$H$6:$H$405="")+(職員マスタ!$H$6:$H$405&gt;=$AO707))&gt;0)*(ROW(職員マスタ!$A$6:$A$405)-5)))&gt;0,SUMPRODUCT(MAX((職員マスタ!$A$6:$A$405=$B707)*(((職員マスタ!$G$6:$G$405="")+(職員マスタ!$G$6:$G$405&lt;=EOMONTH($AO707,0)))&gt;0)*(((職員マスタ!$H$6:$H$405="")+(職員マスタ!$H$6:$H$405&gt;=$AO707))&gt;0)*(ROW(職員マスタ!$A$6:$A$405)-5))),IFERROR(MATCH($B707,職員マスタ!$A$6:$A$405,0),"")))</f>
        <v/>
      </c>
      <c r="AO707" s="16">
        <f>IF(OR($B707="",$C707="",$D707=""),"",DATE($C707+2018,$D707,1))</f>
        <v/>
      </c>
    </row>
    <row r="708">
      <c r="A708" s="11" t="n"/>
      <c r="B708" s="12" t="n"/>
      <c r="C708" s="12" t="n"/>
      <c r="D708" s="12" t="n"/>
      <c r="E708" s="13" t="n"/>
      <c r="F708" s="12" t="n"/>
      <c r="G708" s="13" t="n"/>
      <c r="H708" s="12" t="n"/>
      <c r="I708" s="12" t="n"/>
      <c r="J708" s="12" t="n"/>
      <c r="K708" s="12" t="n"/>
      <c r="L708" s="11" t="n"/>
      <c r="M708" s="11" t="n"/>
      <c r="N708" s="11" t="n"/>
      <c r="O708" s="11" t="n"/>
      <c r="P708" s="12" t="n"/>
      <c r="Q708" s="11" t="n"/>
      <c r="R708" s="12" t="n"/>
      <c r="S708" s="11" t="n"/>
      <c r="T708" s="12" t="n"/>
      <c r="U708" s="12" t="n"/>
      <c r="V708" s="14">
        <f>IF($AN708="",IF($B708="","",$H708),IF(INDEX(職員マスタ!$B$6:$B$405,$AN708)="",$H708,INDEX(職員マスタ!$B$6:$B$405,$AN708)))</f>
        <v/>
      </c>
      <c r="W708" s="14">
        <f>IF($AN708="",IF($B708="","",$R708),IF(INDEX(職員マスタ!$C$6:$C$405,$AN708)="",$R708,INDEX(職員マスタ!$C$6:$C$405,$AN708)))</f>
        <v/>
      </c>
      <c r="X708" s="14">
        <f>IF($AO708="","","R"&amp;$C708&amp;"."&amp;$D708)</f>
        <v/>
      </c>
      <c r="Y708" s="15">
        <f>IF($AN708="","",IF(INDEX(職員マスタ!$K$6:$K$405,$AN708)="","",INDEX(職員マスタ!$K$6:$K$405,$AN708)))</f>
        <v/>
      </c>
      <c r="Z708" s="14">
        <f>IF(OR($E708="",$Y708=""),"",IF($E708&gt;=$Y708,"×",IF($E708&gt;=$Y708*設定!$C$5,"△","○")))</f>
        <v/>
      </c>
      <c r="AA708" s="15">
        <f>IF($Z708="","",IF($Z708="×",0,IF($Z708="○",ROUNDDOWN($E708*設定!$C$4,0),ROUNDDOWN($E708*ROUND((9*$Y708-9*$E708)/(10*$E708),4),0))))</f>
        <v/>
      </c>
      <c r="AB708" s="13" t="n"/>
      <c r="AC708" s="15">
        <f>IF($B708="","",IF($AB708&lt;&gt;"",$AB708,IF($AA708="","",IF($AA708&lt;=設定!$C$3,0,$AA708))))</f>
        <v/>
      </c>
      <c r="AD708" s="14">
        <f>IF($B708="","",IF(AND($AE708&lt;&gt;"",$AG708="",$AJ708=""),"保留中",IF($AJ708&lt;&gt;"",IF(N($AC708)&gt;0,"支給済","不支給"),IF($AC708="","要確認",IF($AC708=0,"不支給","未処理")))))</f>
        <v/>
      </c>
      <c r="AE708" s="12" t="n"/>
      <c r="AF708" s="11" t="n"/>
      <c r="AG708" s="11" t="n"/>
      <c r="AH708" s="11" t="n"/>
      <c r="AI708" s="14">
        <f>IF(AND($AD708="保留中",$AF708&lt;&gt;""),TODAY()-$AF708,"")</f>
        <v/>
      </c>
      <c r="AJ708" s="12" t="n"/>
      <c r="AK708" s="14">
        <f>IF($B708="","",IF($AO708="","対象年月が未入力／","")&amp;IF($B708="","",IF($AN708="","職員マスタに未登録の職員番号／",IF($Y708="","標準報酬月額が未登録／","")&amp;IF(AND($AO708&lt;&gt;"",OR(AND(INDEX(職員マスタ!$G$6:$G$405,$AN708)&lt;&gt;"",INDEX(職員マスタ!$G$6:$G$405,$AN708)&gt;EOMONTH($AO708,0)),AND(INDEX(職員マスタ!$H$6:$H$405,$AN708)&lt;&gt;"",INDEX(職員マスタ!$H$6:$H$405,$AN708)&lt;$AO708))),"対象月が時短期間外／","")&amp;IF(AND(INDEX(職員マスタ!$F$6:$F$405,$AN708)&lt;&gt;"",$AO708&lt;&gt;"",INDEX(職員マスタ!$F$6:$F$405,$AN708)&lt;$AO708),"対象月に子が2歳到達済／","")&amp;IF(AND($H708&lt;&gt;"",INDEX(職員マスタ!$B$6:$B$405,$AN708)&lt;&gt;"",SUBSTITUTE(SUBSTITUTE($H708," ","")," ","")&lt;&gt;SUBSTITUTE(SUBSTITUTE(INDEX(職員マスタ!$B$6:$B$405,$AN708)," ","")," ","")),"氏名がマスタと相違／","")&amp;IF(AND($Q708&lt;&gt;"",INDEX(職員マスタ!$E$6:$E$405,$AN708)&lt;&gt;"",$Q708&lt;&gt;INDEX(職員マスタ!$E$6:$E$405,$AN708)),"子の生年月日がマスタと相違／","")&amp;IF(AND($L708&lt;&gt;"",INDEX(職員マスタ!$G$6:$G$405,$AN708)&lt;&gt;"",$L708&lt;&gt;INDEX(職員マスタ!$G$6:$G$405,$AN708)),"時短開始日がマスタと相違／","")&amp;IF(AND($M708&lt;&gt;"",INDEX(職員マスタ!$H$6:$H$405,$AN708)&lt;&gt;"",$M708&lt;&gt;INDEX(職員マスタ!$H$6:$H$405,$AN708)),"時短終了日がマスタと相違／","")))&amp;IF(AND($B708&lt;&gt;"",$E708=""),"報酬額が未入力／","")&amp;IF(N($U708)&gt;0,"申請書に入力エラーが残っています／","")&amp;IF(AND($B708&lt;&gt;"",$AO708&lt;&gt;""),IF(COUNTIFS($B$6:$B$3005,$B708,$C$6:$C$3005,$C708,$D$6:$D$3005,$D708)&gt;1,"同じ月の請求が重複しています／",""),"")&amp;IF(AND(N($E708)&gt;0,$Z708&lt;&gt;"",$Z708&lt;&gt;"×",$AC708=0,$AB708=""),"計算額が下限以下のため不支給／",""))</f>
        <v/>
      </c>
      <c r="AL708" s="12" t="n"/>
      <c r="AM708" s="14">
        <f>IF($AD708="保留中",COUNTIF($AD$6:$AD708,"保留中"),"")</f>
        <v/>
      </c>
      <c r="AN708" s="14">
        <f>IF($AO708="","",IF(SUMPRODUCT(MAX((職員マスタ!$A$6:$A$405=$B708)*(((職員マスタ!$G$6:$G$405="")+(職員マスタ!$G$6:$G$405&lt;=EOMONTH($AO708,0)))&gt;0)*(((職員マスタ!$H$6:$H$405="")+(職員マスタ!$H$6:$H$405&gt;=$AO708))&gt;0)*(ROW(職員マスタ!$A$6:$A$405)-5)))&gt;0,SUMPRODUCT(MAX((職員マスタ!$A$6:$A$405=$B708)*(((職員マスタ!$G$6:$G$405="")+(職員マスタ!$G$6:$G$405&lt;=EOMONTH($AO708,0)))&gt;0)*(((職員マスタ!$H$6:$H$405="")+(職員マスタ!$H$6:$H$405&gt;=$AO708))&gt;0)*(ROW(職員マスタ!$A$6:$A$405)-5))),IFERROR(MATCH($B708,職員マスタ!$A$6:$A$405,0),"")))</f>
        <v/>
      </c>
      <c r="AO708" s="16">
        <f>IF(OR($B708="",$C708="",$D708=""),"",DATE($C708+2018,$D708,1))</f>
        <v/>
      </c>
    </row>
    <row r="709">
      <c r="A709" s="11" t="n"/>
      <c r="B709" s="12" t="n"/>
      <c r="C709" s="12" t="n"/>
      <c r="D709" s="12" t="n"/>
      <c r="E709" s="13" t="n"/>
      <c r="F709" s="12" t="n"/>
      <c r="G709" s="13" t="n"/>
      <c r="H709" s="12" t="n"/>
      <c r="I709" s="12" t="n"/>
      <c r="J709" s="12" t="n"/>
      <c r="K709" s="12" t="n"/>
      <c r="L709" s="11" t="n"/>
      <c r="M709" s="11" t="n"/>
      <c r="N709" s="11" t="n"/>
      <c r="O709" s="11" t="n"/>
      <c r="P709" s="12" t="n"/>
      <c r="Q709" s="11" t="n"/>
      <c r="R709" s="12" t="n"/>
      <c r="S709" s="11" t="n"/>
      <c r="T709" s="12" t="n"/>
      <c r="U709" s="12" t="n"/>
      <c r="V709" s="14">
        <f>IF($AN709="",IF($B709="","",$H709),IF(INDEX(職員マスタ!$B$6:$B$405,$AN709)="",$H709,INDEX(職員マスタ!$B$6:$B$405,$AN709)))</f>
        <v/>
      </c>
      <c r="W709" s="14">
        <f>IF($AN709="",IF($B709="","",$R709),IF(INDEX(職員マスタ!$C$6:$C$405,$AN709)="",$R709,INDEX(職員マスタ!$C$6:$C$405,$AN709)))</f>
        <v/>
      </c>
      <c r="X709" s="14">
        <f>IF($AO709="","","R"&amp;$C709&amp;"."&amp;$D709)</f>
        <v/>
      </c>
      <c r="Y709" s="15">
        <f>IF($AN709="","",IF(INDEX(職員マスタ!$K$6:$K$405,$AN709)="","",INDEX(職員マスタ!$K$6:$K$405,$AN709)))</f>
        <v/>
      </c>
      <c r="Z709" s="14">
        <f>IF(OR($E709="",$Y709=""),"",IF($E709&gt;=$Y709,"×",IF($E709&gt;=$Y709*設定!$C$5,"△","○")))</f>
        <v/>
      </c>
      <c r="AA709" s="15">
        <f>IF($Z709="","",IF($Z709="×",0,IF($Z709="○",ROUNDDOWN($E709*設定!$C$4,0),ROUNDDOWN($E709*ROUND((9*$Y709-9*$E709)/(10*$E709),4),0))))</f>
        <v/>
      </c>
      <c r="AB709" s="13" t="n"/>
      <c r="AC709" s="15">
        <f>IF($B709="","",IF($AB709&lt;&gt;"",$AB709,IF($AA709="","",IF($AA709&lt;=設定!$C$3,0,$AA709))))</f>
        <v/>
      </c>
      <c r="AD709" s="14">
        <f>IF($B709="","",IF(AND($AE709&lt;&gt;"",$AG709="",$AJ709=""),"保留中",IF($AJ709&lt;&gt;"",IF(N($AC709)&gt;0,"支給済","不支給"),IF($AC709="","要確認",IF($AC709=0,"不支給","未処理")))))</f>
        <v/>
      </c>
      <c r="AE709" s="12" t="n"/>
      <c r="AF709" s="11" t="n"/>
      <c r="AG709" s="11" t="n"/>
      <c r="AH709" s="11" t="n"/>
      <c r="AI709" s="14">
        <f>IF(AND($AD709="保留中",$AF709&lt;&gt;""),TODAY()-$AF709,"")</f>
        <v/>
      </c>
      <c r="AJ709" s="12" t="n"/>
      <c r="AK709" s="14">
        <f>IF($B709="","",IF($AO709="","対象年月が未入力／","")&amp;IF($B709="","",IF($AN709="","職員マスタに未登録の職員番号／",IF($Y709="","標準報酬月額が未登録／","")&amp;IF(AND($AO709&lt;&gt;"",OR(AND(INDEX(職員マスタ!$G$6:$G$405,$AN709)&lt;&gt;"",INDEX(職員マスタ!$G$6:$G$405,$AN709)&gt;EOMONTH($AO709,0)),AND(INDEX(職員マスタ!$H$6:$H$405,$AN709)&lt;&gt;"",INDEX(職員マスタ!$H$6:$H$405,$AN709)&lt;$AO709))),"対象月が時短期間外／","")&amp;IF(AND(INDEX(職員マスタ!$F$6:$F$405,$AN709)&lt;&gt;"",$AO709&lt;&gt;"",INDEX(職員マスタ!$F$6:$F$405,$AN709)&lt;$AO709),"対象月に子が2歳到達済／","")&amp;IF(AND($H709&lt;&gt;"",INDEX(職員マスタ!$B$6:$B$405,$AN709)&lt;&gt;"",SUBSTITUTE(SUBSTITUTE($H709," ","")," ","")&lt;&gt;SUBSTITUTE(SUBSTITUTE(INDEX(職員マスタ!$B$6:$B$405,$AN709)," ","")," ","")),"氏名がマスタと相違／","")&amp;IF(AND($Q709&lt;&gt;"",INDEX(職員マスタ!$E$6:$E$405,$AN709)&lt;&gt;"",$Q709&lt;&gt;INDEX(職員マスタ!$E$6:$E$405,$AN709)),"子の生年月日がマスタと相違／","")&amp;IF(AND($L709&lt;&gt;"",INDEX(職員マスタ!$G$6:$G$405,$AN709)&lt;&gt;"",$L709&lt;&gt;INDEX(職員マスタ!$G$6:$G$405,$AN709)),"時短開始日がマスタと相違／","")&amp;IF(AND($M709&lt;&gt;"",INDEX(職員マスタ!$H$6:$H$405,$AN709)&lt;&gt;"",$M709&lt;&gt;INDEX(職員マスタ!$H$6:$H$405,$AN709)),"時短終了日がマスタと相違／","")))&amp;IF(AND($B709&lt;&gt;"",$E709=""),"報酬額が未入力／","")&amp;IF(N($U709)&gt;0,"申請書に入力エラーが残っています／","")&amp;IF(AND($B709&lt;&gt;"",$AO709&lt;&gt;""),IF(COUNTIFS($B$6:$B$3005,$B709,$C$6:$C$3005,$C709,$D$6:$D$3005,$D709)&gt;1,"同じ月の請求が重複しています／",""),"")&amp;IF(AND(N($E709)&gt;0,$Z709&lt;&gt;"",$Z709&lt;&gt;"×",$AC709=0,$AB709=""),"計算額が下限以下のため不支給／",""))</f>
        <v/>
      </c>
      <c r="AL709" s="12" t="n"/>
      <c r="AM709" s="14">
        <f>IF($AD709="保留中",COUNTIF($AD$6:$AD709,"保留中"),"")</f>
        <v/>
      </c>
      <c r="AN709" s="14">
        <f>IF($AO709="","",IF(SUMPRODUCT(MAX((職員マスタ!$A$6:$A$405=$B709)*(((職員マスタ!$G$6:$G$405="")+(職員マスタ!$G$6:$G$405&lt;=EOMONTH($AO709,0)))&gt;0)*(((職員マスタ!$H$6:$H$405="")+(職員マスタ!$H$6:$H$405&gt;=$AO709))&gt;0)*(ROW(職員マスタ!$A$6:$A$405)-5)))&gt;0,SUMPRODUCT(MAX((職員マスタ!$A$6:$A$405=$B709)*(((職員マスタ!$G$6:$G$405="")+(職員マスタ!$G$6:$G$405&lt;=EOMONTH($AO709,0)))&gt;0)*(((職員マスタ!$H$6:$H$405="")+(職員マスタ!$H$6:$H$405&gt;=$AO709))&gt;0)*(ROW(職員マスタ!$A$6:$A$405)-5))),IFERROR(MATCH($B709,職員マスタ!$A$6:$A$405,0),"")))</f>
        <v/>
      </c>
      <c r="AO709" s="16">
        <f>IF(OR($B709="",$C709="",$D709=""),"",DATE($C709+2018,$D709,1))</f>
        <v/>
      </c>
    </row>
    <row r="710">
      <c r="A710" s="11" t="n"/>
      <c r="B710" s="12" t="n"/>
      <c r="C710" s="12" t="n"/>
      <c r="D710" s="12" t="n"/>
      <c r="E710" s="13" t="n"/>
      <c r="F710" s="12" t="n"/>
      <c r="G710" s="13" t="n"/>
      <c r="H710" s="12" t="n"/>
      <c r="I710" s="12" t="n"/>
      <c r="J710" s="12" t="n"/>
      <c r="K710" s="12" t="n"/>
      <c r="L710" s="11" t="n"/>
      <c r="M710" s="11" t="n"/>
      <c r="N710" s="11" t="n"/>
      <c r="O710" s="11" t="n"/>
      <c r="P710" s="12" t="n"/>
      <c r="Q710" s="11" t="n"/>
      <c r="R710" s="12" t="n"/>
      <c r="S710" s="11" t="n"/>
      <c r="T710" s="12" t="n"/>
      <c r="U710" s="12" t="n"/>
      <c r="V710" s="14">
        <f>IF($AN710="",IF($B710="","",$H710),IF(INDEX(職員マスタ!$B$6:$B$405,$AN710)="",$H710,INDEX(職員マスタ!$B$6:$B$405,$AN710)))</f>
        <v/>
      </c>
      <c r="W710" s="14">
        <f>IF($AN710="",IF($B710="","",$R710),IF(INDEX(職員マスタ!$C$6:$C$405,$AN710)="",$R710,INDEX(職員マスタ!$C$6:$C$405,$AN710)))</f>
        <v/>
      </c>
      <c r="X710" s="14">
        <f>IF($AO710="","","R"&amp;$C710&amp;"."&amp;$D710)</f>
        <v/>
      </c>
      <c r="Y710" s="15">
        <f>IF($AN710="","",IF(INDEX(職員マスタ!$K$6:$K$405,$AN710)="","",INDEX(職員マスタ!$K$6:$K$405,$AN710)))</f>
        <v/>
      </c>
      <c r="Z710" s="14">
        <f>IF(OR($E710="",$Y710=""),"",IF($E710&gt;=$Y710,"×",IF($E710&gt;=$Y710*設定!$C$5,"△","○")))</f>
        <v/>
      </c>
      <c r="AA710" s="15">
        <f>IF($Z710="","",IF($Z710="×",0,IF($Z710="○",ROUNDDOWN($E710*設定!$C$4,0),ROUNDDOWN($E710*ROUND((9*$Y710-9*$E710)/(10*$E710),4),0))))</f>
        <v/>
      </c>
      <c r="AB710" s="13" t="n"/>
      <c r="AC710" s="15">
        <f>IF($B710="","",IF($AB710&lt;&gt;"",$AB710,IF($AA710="","",IF($AA710&lt;=設定!$C$3,0,$AA710))))</f>
        <v/>
      </c>
      <c r="AD710" s="14">
        <f>IF($B710="","",IF(AND($AE710&lt;&gt;"",$AG710="",$AJ710=""),"保留中",IF($AJ710&lt;&gt;"",IF(N($AC710)&gt;0,"支給済","不支給"),IF($AC710="","要確認",IF($AC710=0,"不支給","未処理")))))</f>
        <v/>
      </c>
      <c r="AE710" s="12" t="n"/>
      <c r="AF710" s="11" t="n"/>
      <c r="AG710" s="11" t="n"/>
      <c r="AH710" s="11" t="n"/>
      <c r="AI710" s="14">
        <f>IF(AND($AD710="保留中",$AF710&lt;&gt;""),TODAY()-$AF710,"")</f>
        <v/>
      </c>
      <c r="AJ710" s="12" t="n"/>
      <c r="AK710" s="14">
        <f>IF($B710="","",IF($AO710="","対象年月が未入力／","")&amp;IF($B710="","",IF($AN710="","職員マスタに未登録の職員番号／",IF($Y710="","標準報酬月額が未登録／","")&amp;IF(AND($AO710&lt;&gt;"",OR(AND(INDEX(職員マスタ!$G$6:$G$405,$AN710)&lt;&gt;"",INDEX(職員マスタ!$G$6:$G$405,$AN710)&gt;EOMONTH($AO710,0)),AND(INDEX(職員マスタ!$H$6:$H$405,$AN710)&lt;&gt;"",INDEX(職員マスタ!$H$6:$H$405,$AN710)&lt;$AO710))),"対象月が時短期間外／","")&amp;IF(AND(INDEX(職員マスタ!$F$6:$F$405,$AN710)&lt;&gt;"",$AO710&lt;&gt;"",INDEX(職員マスタ!$F$6:$F$405,$AN710)&lt;$AO710),"対象月に子が2歳到達済／","")&amp;IF(AND($H710&lt;&gt;"",INDEX(職員マスタ!$B$6:$B$405,$AN710)&lt;&gt;"",SUBSTITUTE(SUBSTITUTE($H710," ","")," ","")&lt;&gt;SUBSTITUTE(SUBSTITUTE(INDEX(職員マスタ!$B$6:$B$405,$AN710)," ","")," ","")),"氏名がマスタと相違／","")&amp;IF(AND($Q710&lt;&gt;"",INDEX(職員マスタ!$E$6:$E$405,$AN710)&lt;&gt;"",$Q710&lt;&gt;INDEX(職員マスタ!$E$6:$E$405,$AN710)),"子の生年月日がマスタと相違／","")&amp;IF(AND($L710&lt;&gt;"",INDEX(職員マスタ!$G$6:$G$405,$AN710)&lt;&gt;"",$L710&lt;&gt;INDEX(職員マスタ!$G$6:$G$405,$AN710)),"時短開始日がマスタと相違／","")&amp;IF(AND($M710&lt;&gt;"",INDEX(職員マスタ!$H$6:$H$405,$AN710)&lt;&gt;"",$M710&lt;&gt;INDEX(職員マスタ!$H$6:$H$405,$AN710)),"時短終了日がマスタと相違／","")))&amp;IF(AND($B710&lt;&gt;"",$E710=""),"報酬額が未入力／","")&amp;IF(N($U710)&gt;0,"申請書に入力エラーが残っています／","")&amp;IF(AND($B710&lt;&gt;"",$AO710&lt;&gt;""),IF(COUNTIFS($B$6:$B$3005,$B710,$C$6:$C$3005,$C710,$D$6:$D$3005,$D710)&gt;1,"同じ月の請求が重複しています／",""),"")&amp;IF(AND(N($E710)&gt;0,$Z710&lt;&gt;"",$Z710&lt;&gt;"×",$AC710=0,$AB710=""),"計算額が下限以下のため不支給／",""))</f>
        <v/>
      </c>
      <c r="AL710" s="12" t="n"/>
      <c r="AM710" s="14">
        <f>IF($AD710="保留中",COUNTIF($AD$6:$AD710,"保留中"),"")</f>
        <v/>
      </c>
      <c r="AN710" s="14">
        <f>IF($AO710="","",IF(SUMPRODUCT(MAX((職員マスタ!$A$6:$A$405=$B710)*(((職員マスタ!$G$6:$G$405="")+(職員マスタ!$G$6:$G$405&lt;=EOMONTH($AO710,0)))&gt;0)*(((職員マスタ!$H$6:$H$405="")+(職員マスタ!$H$6:$H$405&gt;=$AO710))&gt;0)*(ROW(職員マスタ!$A$6:$A$405)-5)))&gt;0,SUMPRODUCT(MAX((職員マスタ!$A$6:$A$405=$B710)*(((職員マスタ!$G$6:$G$405="")+(職員マスタ!$G$6:$G$405&lt;=EOMONTH($AO710,0)))&gt;0)*(((職員マスタ!$H$6:$H$405="")+(職員マスタ!$H$6:$H$405&gt;=$AO710))&gt;0)*(ROW(職員マスタ!$A$6:$A$405)-5))),IFERROR(MATCH($B710,職員マスタ!$A$6:$A$405,0),"")))</f>
        <v/>
      </c>
      <c r="AO710" s="16">
        <f>IF(OR($B710="",$C710="",$D710=""),"",DATE($C710+2018,$D710,1))</f>
        <v/>
      </c>
    </row>
    <row r="711">
      <c r="A711" s="11" t="n"/>
      <c r="B711" s="12" t="n"/>
      <c r="C711" s="12" t="n"/>
      <c r="D711" s="12" t="n"/>
      <c r="E711" s="13" t="n"/>
      <c r="F711" s="12" t="n"/>
      <c r="G711" s="13" t="n"/>
      <c r="H711" s="12" t="n"/>
      <c r="I711" s="12" t="n"/>
      <c r="J711" s="12" t="n"/>
      <c r="K711" s="12" t="n"/>
      <c r="L711" s="11" t="n"/>
      <c r="M711" s="11" t="n"/>
      <c r="N711" s="11" t="n"/>
      <c r="O711" s="11" t="n"/>
      <c r="P711" s="12" t="n"/>
      <c r="Q711" s="11" t="n"/>
      <c r="R711" s="12" t="n"/>
      <c r="S711" s="11" t="n"/>
      <c r="T711" s="12" t="n"/>
      <c r="U711" s="12" t="n"/>
      <c r="V711" s="14">
        <f>IF($AN711="",IF($B711="","",$H711),IF(INDEX(職員マスタ!$B$6:$B$405,$AN711)="",$H711,INDEX(職員マスタ!$B$6:$B$405,$AN711)))</f>
        <v/>
      </c>
      <c r="W711" s="14">
        <f>IF($AN711="",IF($B711="","",$R711),IF(INDEX(職員マスタ!$C$6:$C$405,$AN711)="",$R711,INDEX(職員マスタ!$C$6:$C$405,$AN711)))</f>
        <v/>
      </c>
      <c r="X711" s="14">
        <f>IF($AO711="","","R"&amp;$C711&amp;"."&amp;$D711)</f>
        <v/>
      </c>
      <c r="Y711" s="15">
        <f>IF($AN711="","",IF(INDEX(職員マスタ!$K$6:$K$405,$AN711)="","",INDEX(職員マスタ!$K$6:$K$405,$AN711)))</f>
        <v/>
      </c>
      <c r="Z711" s="14">
        <f>IF(OR($E711="",$Y711=""),"",IF($E711&gt;=$Y711,"×",IF($E711&gt;=$Y711*設定!$C$5,"△","○")))</f>
        <v/>
      </c>
      <c r="AA711" s="15">
        <f>IF($Z711="","",IF($Z711="×",0,IF($Z711="○",ROUNDDOWN($E711*設定!$C$4,0),ROUNDDOWN($E711*ROUND((9*$Y711-9*$E711)/(10*$E711),4),0))))</f>
        <v/>
      </c>
      <c r="AB711" s="13" t="n"/>
      <c r="AC711" s="15">
        <f>IF($B711="","",IF($AB711&lt;&gt;"",$AB711,IF($AA711="","",IF($AA711&lt;=設定!$C$3,0,$AA711))))</f>
        <v/>
      </c>
      <c r="AD711" s="14">
        <f>IF($B711="","",IF(AND($AE711&lt;&gt;"",$AG711="",$AJ711=""),"保留中",IF($AJ711&lt;&gt;"",IF(N($AC711)&gt;0,"支給済","不支給"),IF($AC711="","要確認",IF($AC711=0,"不支給","未処理")))))</f>
        <v/>
      </c>
      <c r="AE711" s="12" t="n"/>
      <c r="AF711" s="11" t="n"/>
      <c r="AG711" s="11" t="n"/>
      <c r="AH711" s="11" t="n"/>
      <c r="AI711" s="14">
        <f>IF(AND($AD711="保留中",$AF711&lt;&gt;""),TODAY()-$AF711,"")</f>
        <v/>
      </c>
      <c r="AJ711" s="12" t="n"/>
      <c r="AK711" s="14">
        <f>IF($B711="","",IF($AO711="","対象年月が未入力／","")&amp;IF($B711="","",IF($AN711="","職員マスタに未登録の職員番号／",IF($Y711="","標準報酬月額が未登録／","")&amp;IF(AND($AO711&lt;&gt;"",OR(AND(INDEX(職員マスタ!$G$6:$G$405,$AN711)&lt;&gt;"",INDEX(職員マスタ!$G$6:$G$405,$AN711)&gt;EOMONTH($AO711,0)),AND(INDEX(職員マスタ!$H$6:$H$405,$AN711)&lt;&gt;"",INDEX(職員マスタ!$H$6:$H$405,$AN711)&lt;$AO711))),"対象月が時短期間外／","")&amp;IF(AND(INDEX(職員マスタ!$F$6:$F$405,$AN711)&lt;&gt;"",$AO711&lt;&gt;"",INDEX(職員マスタ!$F$6:$F$405,$AN711)&lt;$AO711),"対象月に子が2歳到達済／","")&amp;IF(AND($H711&lt;&gt;"",INDEX(職員マスタ!$B$6:$B$405,$AN711)&lt;&gt;"",SUBSTITUTE(SUBSTITUTE($H711," ","")," ","")&lt;&gt;SUBSTITUTE(SUBSTITUTE(INDEX(職員マスタ!$B$6:$B$405,$AN711)," ","")," ","")),"氏名がマスタと相違／","")&amp;IF(AND($Q711&lt;&gt;"",INDEX(職員マスタ!$E$6:$E$405,$AN711)&lt;&gt;"",$Q711&lt;&gt;INDEX(職員マスタ!$E$6:$E$405,$AN711)),"子の生年月日がマスタと相違／","")&amp;IF(AND($L711&lt;&gt;"",INDEX(職員マスタ!$G$6:$G$405,$AN711)&lt;&gt;"",$L711&lt;&gt;INDEX(職員マスタ!$G$6:$G$405,$AN711)),"時短開始日がマスタと相違／","")&amp;IF(AND($M711&lt;&gt;"",INDEX(職員マスタ!$H$6:$H$405,$AN711)&lt;&gt;"",$M711&lt;&gt;INDEX(職員マスタ!$H$6:$H$405,$AN711)),"時短終了日がマスタと相違／","")))&amp;IF(AND($B711&lt;&gt;"",$E711=""),"報酬額が未入力／","")&amp;IF(N($U711)&gt;0,"申請書に入力エラーが残っています／","")&amp;IF(AND($B711&lt;&gt;"",$AO711&lt;&gt;""),IF(COUNTIFS($B$6:$B$3005,$B711,$C$6:$C$3005,$C711,$D$6:$D$3005,$D711)&gt;1,"同じ月の請求が重複しています／",""),"")&amp;IF(AND(N($E711)&gt;0,$Z711&lt;&gt;"",$Z711&lt;&gt;"×",$AC711=0,$AB711=""),"計算額が下限以下のため不支給／",""))</f>
        <v/>
      </c>
      <c r="AL711" s="12" t="n"/>
      <c r="AM711" s="14">
        <f>IF($AD711="保留中",COUNTIF($AD$6:$AD711,"保留中"),"")</f>
        <v/>
      </c>
      <c r="AN711" s="14">
        <f>IF($AO711="","",IF(SUMPRODUCT(MAX((職員マスタ!$A$6:$A$405=$B711)*(((職員マスタ!$G$6:$G$405="")+(職員マスタ!$G$6:$G$405&lt;=EOMONTH($AO711,0)))&gt;0)*(((職員マスタ!$H$6:$H$405="")+(職員マスタ!$H$6:$H$405&gt;=$AO711))&gt;0)*(ROW(職員マスタ!$A$6:$A$405)-5)))&gt;0,SUMPRODUCT(MAX((職員マスタ!$A$6:$A$405=$B711)*(((職員マスタ!$G$6:$G$405="")+(職員マスタ!$G$6:$G$405&lt;=EOMONTH($AO711,0)))&gt;0)*(((職員マスタ!$H$6:$H$405="")+(職員マスタ!$H$6:$H$405&gt;=$AO711))&gt;0)*(ROW(職員マスタ!$A$6:$A$405)-5))),IFERROR(MATCH($B711,職員マスタ!$A$6:$A$405,0),"")))</f>
        <v/>
      </c>
      <c r="AO711" s="16">
        <f>IF(OR($B711="",$C711="",$D711=""),"",DATE($C711+2018,$D711,1))</f>
        <v/>
      </c>
    </row>
    <row r="712">
      <c r="A712" s="11" t="n"/>
      <c r="B712" s="12" t="n"/>
      <c r="C712" s="12" t="n"/>
      <c r="D712" s="12" t="n"/>
      <c r="E712" s="13" t="n"/>
      <c r="F712" s="12" t="n"/>
      <c r="G712" s="13" t="n"/>
      <c r="H712" s="12" t="n"/>
      <c r="I712" s="12" t="n"/>
      <c r="J712" s="12" t="n"/>
      <c r="K712" s="12" t="n"/>
      <c r="L712" s="11" t="n"/>
      <c r="M712" s="11" t="n"/>
      <c r="N712" s="11" t="n"/>
      <c r="O712" s="11" t="n"/>
      <c r="P712" s="12" t="n"/>
      <c r="Q712" s="11" t="n"/>
      <c r="R712" s="12" t="n"/>
      <c r="S712" s="11" t="n"/>
      <c r="T712" s="12" t="n"/>
      <c r="U712" s="12" t="n"/>
      <c r="V712" s="14">
        <f>IF($AN712="",IF($B712="","",$H712),IF(INDEX(職員マスタ!$B$6:$B$405,$AN712)="",$H712,INDEX(職員マスタ!$B$6:$B$405,$AN712)))</f>
        <v/>
      </c>
      <c r="W712" s="14">
        <f>IF($AN712="",IF($B712="","",$R712),IF(INDEX(職員マスタ!$C$6:$C$405,$AN712)="",$R712,INDEX(職員マスタ!$C$6:$C$405,$AN712)))</f>
        <v/>
      </c>
      <c r="X712" s="14">
        <f>IF($AO712="","","R"&amp;$C712&amp;"."&amp;$D712)</f>
        <v/>
      </c>
      <c r="Y712" s="15">
        <f>IF($AN712="","",IF(INDEX(職員マスタ!$K$6:$K$405,$AN712)="","",INDEX(職員マスタ!$K$6:$K$405,$AN712)))</f>
        <v/>
      </c>
      <c r="Z712" s="14">
        <f>IF(OR($E712="",$Y712=""),"",IF($E712&gt;=$Y712,"×",IF($E712&gt;=$Y712*設定!$C$5,"△","○")))</f>
        <v/>
      </c>
      <c r="AA712" s="15">
        <f>IF($Z712="","",IF($Z712="×",0,IF($Z712="○",ROUNDDOWN($E712*設定!$C$4,0),ROUNDDOWN($E712*ROUND((9*$Y712-9*$E712)/(10*$E712),4),0))))</f>
        <v/>
      </c>
      <c r="AB712" s="13" t="n"/>
      <c r="AC712" s="15">
        <f>IF($B712="","",IF($AB712&lt;&gt;"",$AB712,IF($AA712="","",IF($AA712&lt;=設定!$C$3,0,$AA712))))</f>
        <v/>
      </c>
      <c r="AD712" s="14">
        <f>IF($B712="","",IF(AND($AE712&lt;&gt;"",$AG712="",$AJ712=""),"保留中",IF($AJ712&lt;&gt;"",IF(N($AC712)&gt;0,"支給済","不支給"),IF($AC712="","要確認",IF($AC712=0,"不支給","未処理")))))</f>
        <v/>
      </c>
      <c r="AE712" s="12" t="n"/>
      <c r="AF712" s="11" t="n"/>
      <c r="AG712" s="11" t="n"/>
      <c r="AH712" s="11" t="n"/>
      <c r="AI712" s="14">
        <f>IF(AND($AD712="保留中",$AF712&lt;&gt;""),TODAY()-$AF712,"")</f>
        <v/>
      </c>
      <c r="AJ712" s="12" t="n"/>
      <c r="AK712" s="14">
        <f>IF($B712="","",IF($AO712="","対象年月が未入力／","")&amp;IF($B712="","",IF($AN712="","職員マスタに未登録の職員番号／",IF($Y712="","標準報酬月額が未登録／","")&amp;IF(AND($AO712&lt;&gt;"",OR(AND(INDEX(職員マスタ!$G$6:$G$405,$AN712)&lt;&gt;"",INDEX(職員マスタ!$G$6:$G$405,$AN712)&gt;EOMONTH($AO712,0)),AND(INDEX(職員マスタ!$H$6:$H$405,$AN712)&lt;&gt;"",INDEX(職員マスタ!$H$6:$H$405,$AN712)&lt;$AO712))),"対象月が時短期間外／","")&amp;IF(AND(INDEX(職員マスタ!$F$6:$F$405,$AN712)&lt;&gt;"",$AO712&lt;&gt;"",INDEX(職員マスタ!$F$6:$F$405,$AN712)&lt;$AO712),"対象月に子が2歳到達済／","")&amp;IF(AND($H712&lt;&gt;"",INDEX(職員マスタ!$B$6:$B$405,$AN712)&lt;&gt;"",SUBSTITUTE(SUBSTITUTE($H712," ","")," ","")&lt;&gt;SUBSTITUTE(SUBSTITUTE(INDEX(職員マスタ!$B$6:$B$405,$AN712)," ","")," ","")),"氏名がマスタと相違／","")&amp;IF(AND($Q712&lt;&gt;"",INDEX(職員マスタ!$E$6:$E$405,$AN712)&lt;&gt;"",$Q712&lt;&gt;INDEX(職員マスタ!$E$6:$E$405,$AN712)),"子の生年月日がマスタと相違／","")&amp;IF(AND($L712&lt;&gt;"",INDEX(職員マスタ!$G$6:$G$405,$AN712)&lt;&gt;"",$L712&lt;&gt;INDEX(職員マスタ!$G$6:$G$405,$AN712)),"時短開始日がマスタと相違／","")&amp;IF(AND($M712&lt;&gt;"",INDEX(職員マスタ!$H$6:$H$405,$AN712)&lt;&gt;"",$M712&lt;&gt;INDEX(職員マスタ!$H$6:$H$405,$AN712)),"時短終了日がマスタと相違／","")))&amp;IF(AND($B712&lt;&gt;"",$E712=""),"報酬額が未入力／","")&amp;IF(N($U712)&gt;0,"申請書に入力エラーが残っています／","")&amp;IF(AND($B712&lt;&gt;"",$AO712&lt;&gt;""),IF(COUNTIFS($B$6:$B$3005,$B712,$C$6:$C$3005,$C712,$D$6:$D$3005,$D712)&gt;1,"同じ月の請求が重複しています／",""),"")&amp;IF(AND(N($E712)&gt;0,$Z712&lt;&gt;"",$Z712&lt;&gt;"×",$AC712=0,$AB712=""),"計算額が下限以下のため不支給／",""))</f>
        <v/>
      </c>
      <c r="AL712" s="12" t="n"/>
      <c r="AM712" s="14">
        <f>IF($AD712="保留中",COUNTIF($AD$6:$AD712,"保留中"),"")</f>
        <v/>
      </c>
      <c r="AN712" s="14">
        <f>IF($AO712="","",IF(SUMPRODUCT(MAX((職員マスタ!$A$6:$A$405=$B712)*(((職員マスタ!$G$6:$G$405="")+(職員マスタ!$G$6:$G$405&lt;=EOMONTH($AO712,0)))&gt;0)*(((職員マスタ!$H$6:$H$405="")+(職員マスタ!$H$6:$H$405&gt;=$AO712))&gt;0)*(ROW(職員マスタ!$A$6:$A$405)-5)))&gt;0,SUMPRODUCT(MAX((職員マスタ!$A$6:$A$405=$B712)*(((職員マスタ!$G$6:$G$405="")+(職員マスタ!$G$6:$G$405&lt;=EOMONTH($AO712,0)))&gt;0)*(((職員マスタ!$H$6:$H$405="")+(職員マスタ!$H$6:$H$405&gt;=$AO712))&gt;0)*(ROW(職員マスタ!$A$6:$A$405)-5))),IFERROR(MATCH($B712,職員マスタ!$A$6:$A$405,0),"")))</f>
        <v/>
      </c>
      <c r="AO712" s="16">
        <f>IF(OR($B712="",$C712="",$D712=""),"",DATE($C712+2018,$D712,1))</f>
        <v/>
      </c>
    </row>
    <row r="713">
      <c r="A713" s="11" t="n"/>
      <c r="B713" s="12" t="n"/>
      <c r="C713" s="12" t="n"/>
      <c r="D713" s="12" t="n"/>
      <c r="E713" s="13" t="n"/>
      <c r="F713" s="12" t="n"/>
      <c r="G713" s="13" t="n"/>
      <c r="H713" s="12" t="n"/>
      <c r="I713" s="12" t="n"/>
      <c r="J713" s="12" t="n"/>
      <c r="K713" s="12" t="n"/>
      <c r="L713" s="11" t="n"/>
      <c r="M713" s="11" t="n"/>
      <c r="N713" s="11" t="n"/>
      <c r="O713" s="11" t="n"/>
      <c r="P713" s="12" t="n"/>
      <c r="Q713" s="11" t="n"/>
      <c r="R713" s="12" t="n"/>
      <c r="S713" s="11" t="n"/>
      <c r="T713" s="12" t="n"/>
      <c r="U713" s="12" t="n"/>
      <c r="V713" s="14">
        <f>IF($AN713="",IF($B713="","",$H713),IF(INDEX(職員マスタ!$B$6:$B$405,$AN713)="",$H713,INDEX(職員マスタ!$B$6:$B$405,$AN713)))</f>
        <v/>
      </c>
      <c r="W713" s="14">
        <f>IF($AN713="",IF($B713="","",$R713),IF(INDEX(職員マスタ!$C$6:$C$405,$AN713)="",$R713,INDEX(職員マスタ!$C$6:$C$405,$AN713)))</f>
        <v/>
      </c>
      <c r="X713" s="14">
        <f>IF($AO713="","","R"&amp;$C713&amp;"."&amp;$D713)</f>
        <v/>
      </c>
      <c r="Y713" s="15">
        <f>IF($AN713="","",IF(INDEX(職員マスタ!$K$6:$K$405,$AN713)="","",INDEX(職員マスタ!$K$6:$K$405,$AN713)))</f>
        <v/>
      </c>
      <c r="Z713" s="14">
        <f>IF(OR($E713="",$Y713=""),"",IF($E713&gt;=$Y713,"×",IF($E713&gt;=$Y713*設定!$C$5,"△","○")))</f>
        <v/>
      </c>
      <c r="AA713" s="15">
        <f>IF($Z713="","",IF($Z713="×",0,IF($Z713="○",ROUNDDOWN($E713*設定!$C$4,0),ROUNDDOWN($E713*ROUND((9*$Y713-9*$E713)/(10*$E713),4),0))))</f>
        <v/>
      </c>
      <c r="AB713" s="13" t="n"/>
      <c r="AC713" s="15">
        <f>IF($B713="","",IF($AB713&lt;&gt;"",$AB713,IF($AA713="","",IF($AA713&lt;=設定!$C$3,0,$AA713))))</f>
        <v/>
      </c>
      <c r="AD713" s="14">
        <f>IF($B713="","",IF(AND($AE713&lt;&gt;"",$AG713="",$AJ713=""),"保留中",IF($AJ713&lt;&gt;"",IF(N($AC713)&gt;0,"支給済","不支給"),IF($AC713="","要確認",IF($AC713=0,"不支給","未処理")))))</f>
        <v/>
      </c>
      <c r="AE713" s="12" t="n"/>
      <c r="AF713" s="11" t="n"/>
      <c r="AG713" s="11" t="n"/>
      <c r="AH713" s="11" t="n"/>
      <c r="AI713" s="14">
        <f>IF(AND($AD713="保留中",$AF713&lt;&gt;""),TODAY()-$AF713,"")</f>
        <v/>
      </c>
      <c r="AJ713" s="12" t="n"/>
      <c r="AK713" s="14">
        <f>IF($B713="","",IF($AO713="","対象年月が未入力／","")&amp;IF($B713="","",IF($AN713="","職員マスタに未登録の職員番号／",IF($Y713="","標準報酬月額が未登録／","")&amp;IF(AND($AO713&lt;&gt;"",OR(AND(INDEX(職員マスタ!$G$6:$G$405,$AN713)&lt;&gt;"",INDEX(職員マスタ!$G$6:$G$405,$AN713)&gt;EOMONTH($AO713,0)),AND(INDEX(職員マスタ!$H$6:$H$405,$AN713)&lt;&gt;"",INDEX(職員マスタ!$H$6:$H$405,$AN713)&lt;$AO713))),"対象月が時短期間外／","")&amp;IF(AND(INDEX(職員マスタ!$F$6:$F$405,$AN713)&lt;&gt;"",$AO713&lt;&gt;"",INDEX(職員マスタ!$F$6:$F$405,$AN713)&lt;$AO713),"対象月に子が2歳到達済／","")&amp;IF(AND($H713&lt;&gt;"",INDEX(職員マスタ!$B$6:$B$405,$AN713)&lt;&gt;"",SUBSTITUTE(SUBSTITUTE($H713," ","")," ","")&lt;&gt;SUBSTITUTE(SUBSTITUTE(INDEX(職員マスタ!$B$6:$B$405,$AN713)," ","")," ","")),"氏名がマスタと相違／","")&amp;IF(AND($Q713&lt;&gt;"",INDEX(職員マスタ!$E$6:$E$405,$AN713)&lt;&gt;"",$Q713&lt;&gt;INDEX(職員マスタ!$E$6:$E$405,$AN713)),"子の生年月日がマスタと相違／","")&amp;IF(AND($L713&lt;&gt;"",INDEX(職員マスタ!$G$6:$G$405,$AN713)&lt;&gt;"",$L713&lt;&gt;INDEX(職員マスタ!$G$6:$G$405,$AN713)),"時短開始日がマスタと相違／","")&amp;IF(AND($M713&lt;&gt;"",INDEX(職員マスタ!$H$6:$H$405,$AN713)&lt;&gt;"",$M713&lt;&gt;INDEX(職員マスタ!$H$6:$H$405,$AN713)),"時短終了日がマスタと相違／","")))&amp;IF(AND($B713&lt;&gt;"",$E713=""),"報酬額が未入力／","")&amp;IF(N($U713)&gt;0,"申請書に入力エラーが残っています／","")&amp;IF(AND($B713&lt;&gt;"",$AO713&lt;&gt;""),IF(COUNTIFS($B$6:$B$3005,$B713,$C$6:$C$3005,$C713,$D$6:$D$3005,$D713)&gt;1,"同じ月の請求が重複しています／",""),"")&amp;IF(AND(N($E713)&gt;0,$Z713&lt;&gt;"",$Z713&lt;&gt;"×",$AC713=0,$AB713=""),"計算額が下限以下のため不支給／",""))</f>
        <v/>
      </c>
      <c r="AL713" s="12" t="n"/>
      <c r="AM713" s="14">
        <f>IF($AD713="保留中",COUNTIF($AD$6:$AD713,"保留中"),"")</f>
        <v/>
      </c>
      <c r="AN713" s="14">
        <f>IF($AO713="","",IF(SUMPRODUCT(MAX((職員マスタ!$A$6:$A$405=$B713)*(((職員マスタ!$G$6:$G$405="")+(職員マスタ!$G$6:$G$405&lt;=EOMONTH($AO713,0)))&gt;0)*(((職員マスタ!$H$6:$H$405="")+(職員マスタ!$H$6:$H$405&gt;=$AO713))&gt;0)*(ROW(職員マスタ!$A$6:$A$405)-5)))&gt;0,SUMPRODUCT(MAX((職員マスタ!$A$6:$A$405=$B713)*(((職員マスタ!$G$6:$G$405="")+(職員マスタ!$G$6:$G$405&lt;=EOMONTH($AO713,0)))&gt;0)*(((職員マスタ!$H$6:$H$405="")+(職員マスタ!$H$6:$H$405&gt;=$AO713))&gt;0)*(ROW(職員マスタ!$A$6:$A$405)-5))),IFERROR(MATCH($B713,職員マスタ!$A$6:$A$405,0),"")))</f>
        <v/>
      </c>
      <c r="AO713" s="16">
        <f>IF(OR($B713="",$C713="",$D713=""),"",DATE($C713+2018,$D713,1))</f>
        <v/>
      </c>
    </row>
    <row r="714">
      <c r="A714" s="11" t="n"/>
      <c r="B714" s="12" t="n"/>
      <c r="C714" s="12" t="n"/>
      <c r="D714" s="12" t="n"/>
      <c r="E714" s="13" t="n"/>
      <c r="F714" s="12" t="n"/>
      <c r="G714" s="13" t="n"/>
      <c r="H714" s="12" t="n"/>
      <c r="I714" s="12" t="n"/>
      <c r="J714" s="12" t="n"/>
      <c r="K714" s="12" t="n"/>
      <c r="L714" s="11" t="n"/>
      <c r="M714" s="11" t="n"/>
      <c r="N714" s="11" t="n"/>
      <c r="O714" s="11" t="n"/>
      <c r="P714" s="12" t="n"/>
      <c r="Q714" s="11" t="n"/>
      <c r="R714" s="12" t="n"/>
      <c r="S714" s="11" t="n"/>
      <c r="T714" s="12" t="n"/>
      <c r="U714" s="12" t="n"/>
      <c r="V714" s="14">
        <f>IF($AN714="",IF($B714="","",$H714),IF(INDEX(職員マスタ!$B$6:$B$405,$AN714)="",$H714,INDEX(職員マスタ!$B$6:$B$405,$AN714)))</f>
        <v/>
      </c>
      <c r="W714" s="14">
        <f>IF($AN714="",IF($B714="","",$R714),IF(INDEX(職員マスタ!$C$6:$C$405,$AN714)="",$R714,INDEX(職員マスタ!$C$6:$C$405,$AN714)))</f>
        <v/>
      </c>
      <c r="X714" s="14">
        <f>IF($AO714="","","R"&amp;$C714&amp;"."&amp;$D714)</f>
        <v/>
      </c>
      <c r="Y714" s="15">
        <f>IF($AN714="","",IF(INDEX(職員マスタ!$K$6:$K$405,$AN714)="","",INDEX(職員マスタ!$K$6:$K$405,$AN714)))</f>
        <v/>
      </c>
      <c r="Z714" s="14">
        <f>IF(OR($E714="",$Y714=""),"",IF($E714&gt;=$Y714,"×",IF($E714&gt;=$Y714*設定!$C$5,"△","○")))</f>
        <v/>
      </c>
      <c r="AA714" s="15">
        <f>IF($Z714="","",IF($Z714="×",0,IF($Z714="○",ROUNDDOWN($E714*設定!$C$4,0),ROUNDDOWN($E714*ROUND((9*$Y714-9*$E714)/(10*$E714),4),0))))</f>
        <v/>
      </c>
      <c r="AB714" s="13" t="n"/>
      <c r="AC714" s="15">
        <f>IF($B714="","",IF($AB714&lt;&gt;"",$AB714,IF($AA714="","",IF($AA714&lt;=設定!$C$3,0,$AA714))))</f>
        <v/>
      </c>
      <c r="AD714" s="14">
        <f>IF($B714="","",IF(AND($AE714&lt;&gt;"",$AG714="",$AJ714=""),"保留中",IF($AJ714&lt;&gt;"",IF(N($AC714)&gt;0,"支給済","不支給"),IF($AC714="","要確認",IF($AC714=0,"不支給","未処理")))))</f>
        <v/>
      </c>
      <c r="AE714" s="12" t="n"/>
      <c r="AF714" s="11" t="n"/>
      <c r="AG714" s="11" t="n"/>
      <c r="AH714" s="11" t="n"/>
      <c r="AI714" s="14">
        <f>IF(AND($AD714="保留中",$AF714&lt;&gt;""),TODAY()-$AF714,"")</f>
        <v/>
      </c>
      <c r="AJ714" s="12" t="n"/>
      <c r="AK714" s="14">
        <f>IF($B714="","",IF($AO714="","対象年月が未入力／","")&amp;IF($B714="","",IF($AN714="","職員マスタに未登録の職員番号／",IF($Y714="","標準報酬月額が未登録／","")&amp;IF(AND($AO714&lt;&gt;"",OR(AND(INDEX(職員マスタ!$G$6:$G$405,$AN714)&lt;&gt;"",INDEX(職員マスタ!$G$6:$G$405,$AN714)&gt;EOMONTH($AO714,0)),AND(INDEX(職員マスタ!$H$6:$H$405,$AN714)&lt;&gt;"",INDEX(職員マスタ!$H$6:$H$405,$AN714)&lt;$AO714))),"対象月が時短期間外／","")&amp;IF(AND(INDEX(職員マスタ!$F$6:$F$405,$AN714)&lt;&gt;"",$AO714&lt;&gt;"",INDEX(職員マスタ!$F$6:$F$405,$AN714)&lt;$AO714),"対象月に子が2歳到達済／","")&amp;IF(AND($H714&lt;&gt;"",INDEX(職員マスタ!$B$6:$B$405,$AN714)&lt;&gt;"",SUBSTITUTE(SUBSTITUTE($H714," ","")," ","")&lt;&gt;SUBSTITUTE(SUBSTITUTE(INDEX(職員マスタ!$B$6:$B$405,$AN714)," ","")," ","")),"氏名がマスタと相違／","")&amp;IF(AND($Q714&lt;&gt;"",INDEX(職員マスタ!$E$6:$E$405,$AN714)&lt;&gt;"",$Q714&lt;&gt;INDEX(職員マスタ!$E$6:$E$405,$AN714)),"子の生年月日がマスタと相違／","")&amp;IF(AND($L714&lt;&gt;"",INDEX(職員マスタ!$G$6:$G$405,$AN714)&lt;&gt;"",$L714&lt;&gt;INDEX(職員マスタ!$G$6:$G$405,$AN714)),"時短開始日がマスタと相違／","")&amp;IF(AND($M714&lt;&gt;"",INDEX(職員マスタ!$H$6:$H$405,$AN714)&lt;&gt;"",$M714&lt;&gt;INDEX(職員マスタ!$H$6:$H$405,$AN714)),"時短終了日がマスタと相違／","")))&amp;IF(AND($B714&lt;&gt;"",$E714=""),"報酬額が未入力／","")&amp;IF(N($U714)&gt;0,"申請書に入力エラーが残っています／","")&amp;IF(AND($B714&lt;&gt;"",$AO714&lt;&gt;""),IF(COUNTIFS($B$6:$B$3005,$B714,$C$6:$C$3005,$C714,$D$6:$D$3005,$D714)&gt;1,"同じ月の請求が重複しています／",""),"")&amp;IF(AND(N($E714)&gt;0,$Z714&lt;&gt;"",$Z714&lt;&gt;"×",$AC714=0,$AB714=""),"計算額が下限以下のため不支給／",""))</f>
        <v/>
      </c>
      <c r="AL714" s="12" t="n"/>
      <c r="AM714" s="14">
        <f>IF($AD714="保留中",COUNTIF($AD$6:$AD714,"保留中"),"")</f>
        <v/>
      </c>
      <c r="AN714" s="14">
        <f>IF($AO714="","",IF(SUMPRODUCT(MAX((職員マスタ!$A$6:$A$405=$B714)*(((職員マスタ!$G$6:$G$405="")+(職員マスタ!$G$6:$G$405&lt;=EOMONTH($AO714,0)))&gt;0)*(((職員マスタ!$H$6:$H$405="")+(職員マスタ!$H$6:$H$405&gt;=$AO714))&gt;0)*(ROW(職員マスタ!$A$6:$A$405)-5)))&gt;0,SUMPRODUCT(MAX((職員マスタ!$A$6:$A$405=$B714)*(((職員マスタ!$G$6:$G$405="")+(職員マスタ!$G$6:$G$405&lt;=EOMONTH($AO714,0)))&gt;0)*(((職員マスタ!$H$6:$H$405="")+(職員マスタ!$H$6:$H$405&gt;=$AO714))&gt;0)*(ROW(職員マスタ!$A$6:$A$405)-5))),IFERROR(MATCH($B714,職員マスタ!$A$6:$A$405,0),"")))</f>
        <v/>
      </c>
      <c r="AO714" s="16">
        <f>IF(OR($B714="",$C714="",$D714=""),"",DATE($C714+2018,$D714,1))</f>
        <v/>
      </c>
    </row>
    <row r="715">
      <c r="A715" s="11" t="n"/>
      <c r="B715" s="12" t="n"/>
      <c r="C715" s="12" t="n"/>
      <c r="D715" s="12" t="n"/>
      <c r="E715" s="13" t="n"/>
      <c r="F715" s="12" t="n"/>
      <c r="G715" s="13" t="n"/>
      <c r="H715" s="12" t="n"/>
      <c r="I715" s="12" t="n"/>
      <c r="J715" s="12" t="n"/>
      <c r="K715" s="12" t="n"/>
      <c r="L715" s="11" t="n"/>
      <c r="M715" s="11" t="n"/>
      <c r="N715" s="11" t="n"/>
      <c r="O715" s="11" t="n"/>
      <c r="P715" s="12" t="n"/>
      <c r="Q715" s="11" t="n"/>
      <c r="R715" s="12" t="n"/>
      <c r="S715" s="11" t="n"/>
      <c r="T715" s="12" t="n"/>
      <c r="U715" s="12" t="n"/>
      <c r="V715" s="14">
        <f>IF($AN715="",IF($B715="","",$H715),IF(INDEX(職員マスタ!$B$6:$B$405,$AN715)="",$H715,INDEX(職員マスタ!$B$6:$B$405,$AN715)))</f>
        <v/>
      </c>
      <c r="W715" s="14">
        <f>IF($AN715="",IF($B715="","",$R715),IF(INDEX(職員マスタ!$C$6:$C$405,$AN715)="",$R715,INDEX(職員マスタ!$C$6:$C$405,$AN715)))</f>
        <v/>
      </c>
      <c r="X715" s="14">
        <f>IF($AO715="","","R"&amp;$C715&amp;"."&amp;$D715)</f>
        <v/>
      </c>
      <c r="Y715" s="15">
        <f>IF($AN715="","",IF(INDEX(職員マスタ!$K$6:$K$405,$AN715)="","",INDEX(職員マスタ!$K$6:$K$405,$AN715)))</f>
        <v/>
      </c>
      <c r="Z715" s="14">
        <f>IF(OR($E715="",$Y715=""),"",IF($E715&gt;=$Y715,"×",IF($E715&gt;=$Y715*設定!$C$5,"△","○")))</f>
        <v/>
      </c>
      <c r="AA715" s="15">
        <f>IF($Z715="","",IF($Z715="×",0,IF($Z715="○",ROUNDDOWN($E715*設定!$C$4,0),ROUNDDOWN($E715*ROUND((9*$Y715-9*$E715)/(10*$E715),4),0))))</f>
        <v/>
      </c>
      <c r="AB715" s="13" t="n"/>
      <c r="AC715" s="15">
        <f>IF($B715="","",IF($AB715&lt;&gt;"",$AB715,IF($AA715="","",IF($AA715&lt;=設定!$C$3,0,$AA715))))</f>
        <v/>
      </c>
      <c r="AD715" s="14">
        <f>IF($B715="","",IF(AND($AE715&lt;&gt;"",$AG715="",$AJ715=""),"保留中",IF($AJ715&lt;&gt;"",IF(N($AC715)&gt;0,"支給済","不支給"),IF($AC715="","要確認",IF($AC715=0,"不支給","未処理")))))</f>
        <v/>
      </c>
      <c r="AE715" s="12" t="n"/>
      <c r="AF715" s="11" t="n"/>
      <c r="AG715" s="11" t="n"/>
      <c r="AH715" s="11" t="n"/>
      <c r="AI715" s="14">
        <f>IF(AND($AD715="保留中",$AF715&lt;&gt;""),TODAY()-$AF715,"")</f>
        <v/>
      </c>
      <c r="AJ715" s="12" t="n"/>
      <c r="AK715" s="14">
        <f>IF($B715="","",IF($AO715="","対象年月が未入力／","")&amp;IF($B715="","",IF($AN715="","職員マスタに未登録の職員番号／",IF($Y715="","標準報酬月額が未登録／","")&amp;IF(AND($AO715&lt;&gt;"",OR(AND(INDEX(職員マスタ!$G$6:$G$405,$AN715)&lt;&gt;"",INDEX(職員マスタ!$G$6:$G$405,$AN715)&gt;EOMONTH($AO715,0)),AND(INDEX(職員マスタ!$H$6:$H$405,$AN715)&lt;&gt;"",INDEX(職員マスタ!$H$6:$H$405,$AN715)&lt;$AO715))),"対象月が時短期間外／","")&amp;IF(AND(INDEX(職員マスタ!$F$6:$F$405,$AN715)&lt;&gt;"",$AO715&lt;&gt;"",INDEX(職員マスタ!$F$6:$F$405,$AN715)&lt;$AO715),"対象月に子が2歳到達済／","")&amp;IF(AND($H715&lt;&gt;"",INDEX(職員マスタ!$B$6:$B$405,$AN715)&lt;&gt;"",SUBSTITUTE(SUBSTITUTE($H715," ","")," ","")&lt;&gt;SUBSTITUTE(SUBSTITUTE(INDEX(職員マスタ!$B$6:$B$405,$AN715)," ","")," ","")),"氏名がマスタと相違／","")&amp;IF(AND($Q715&lt;&gt;"",INDEX(職員マスタ!$E$6:$E$405,$AN715)&lt;&gt;"",$Q715&lt;&gt;INDEX(職員マスタ!$E$6:$E$405,$AN715)),"子の生年月日がマスタと相違／","")&amp;IF(AND($L715&lt;&gt;"",INDEX(職員マスタ!$G$6:$G$405,$AN715)&lt;&gt;"",$L715&lt;&gt;INDEX(職員マスタ!$G$6:$G$405,$AN715)),"時短開始日がマスタと相違／","")&amp;IF(AND($M715&lt;&gt;"",INDEX(職員マスタ!$H$6:$H$405,$AN715)&lt;&gt;"",$M715&lt;&gt;INDEX(職員マスタ!$H$6:$H$405,$AN715)),"時短終了日がマスタと相違／","")))&amp;IF(AND($B715&lt;&gt;"",$E715=""),"報酬額が未入力／","")&amp;IF(N($U715)&gt;0,"申請書に入力エラーが残っています／","")&amp;IF(AND($B715&lt;&gt;"",$AO715&lt;&gt;""),IF(COUNTIFS($B$6:$B$3005,$B715,$C$6:$C$3005,$C715,$D$6:$D$3005,$D715)&gt;1,"同じ月の請求が重複しています／",""),"")&amp;IF(AND(N($E715)&gt;0,$Z715&lt;&gt;"",$Z715&lt;&gt;"×",$AC715=0,$AB715=""),"計算額が下限以下のため不支給／",""))</f>
        <v/>
      </c>
      <c r="AL715" s="12" t="n"/>
      <c r="AM715" s="14">
        <f>IF($AD715="保留中",COUNTIF($AD$6:$AD715,"保留中"),"")</f>
        <v/>
      </c>
      <c r="AN715" s="14">
        <f>IF($AO715="","",IF(SUMPRODUCT(MAX((職員マスタ!$A$6:$A$405=$B715)*(((職員マスタ!$G$6:$G$405="")+(職員マスタ!$G$6:$G$405&lt;=EOMONTH($AO715,0)))&gt;0)*(((職員マスタ!$H$6:$H$405="")+(職員マスタ!$H$6:$H$405&gt;=$AO715))&gt;0)*(ROW(職員マスタ!$A$6:$A$405)-5)))&gt;0,SUMPRODUCT(MAX((職員マスタ!$A$6:$A$405=$B715)*(((職員マスタ!$G$6:$G$405="")+(職員マスタ!$G$6:$G$405&lt;=EOMONTH($AO715,0)))&gt;0)*(((職員マスタ!$H$6:$H$405="")+(職員マスタ!$H$6:$H$405&gt;=$AO715))&gt;0)*(ROW(職員マスタ!$A$6:$A$405)-5))),IFERROR(MATCH($B715,職員マスタ!$A$6:$A$405,0),"")))</f>
        <v/>
      </c>
      <c r="AO715" s="16">
        <f>IF(OR($B715="",$C715="",$D715=""),"",DATE($C715+2018,$D715,1))</f>
        <v/>
      </c>
    </row>
    <row r="716">
      <c r="A716" s="11" t="n"/>
      <c r="B716" s="12" t="n"/>
      <c r="C716" s="12" t="n"/>
      <c r="D716" s="12" t="n"/>
      <c r="E716" s="13" t="n"/>
      <c r="F716" s="12" t="n"/>
      <c r="G716" s="13" t="n"/>
      <c r="H716" s="12" t="n"/>
      <c r="I716" s="12" t="n"/>
      <c r="J716" s="12" t="n"/>
      <c r="K716" s="12" t="n"/>
      <c r="L716" s="11" t="n"/>
      <c r="M716" s="11" t="n"/>
      <c r="N716" s="11" t="n"/>
      <c r="O716" s="11" t="n"/>
      <c r="P716" s="12" t="n"/>
      <c r="Q716" s="11" t="n"/>
      <c r="R716" s="12" t="n"/>
      <c r="S716" s="11" t="n"/>
      <c r="T716" s="12" t="n"/>
      <c r="U716" s="12" t="n"/>
      <c r="V716" s="14">
        <f>IF($AN716="",IF($B716="","",$H716),IF(INDEX(職員マスタ!$B$6:$B$405,$AN716)="",$H716,INDEX(職員マスタ!$B$6:$B$405,$AN716)))</f>
        <v/>
      </c>
      <c r="W716" s="14">
        <f>IF($AN716="",IF($B716="","",$R716),IF(INDEX(職員マスタ!$C$6:$C$405,$AN716)="",$R716,INDEX(職員マスタ!$C$6:$C$405,$AN716)))</f>
        <v/>
      </c>
      <c r="X716" s="14">
        <f>IF($AO716="","","R"&amp;$C716&amp;"."&amp;$D716)</f>
        <v/>
      </c>
      <c r="Y716" s="15">
        <f>IF($AN716="","",IF(INDEX(職員マスタ!$K$6:$K$405,$AN716)="","",INDEX(職員マスタ!$K$6:$K$405,$AN716)))</f>
        <v/>
      </c>
      <c r="Z716" s="14">
        <f>IF(OR($E716="",$Y716=""),"",IF($E716&gt;=$Y716,"×",IF($E716&gt;=$Y716*設定!$C$5,"△","○")))</f>
        <v/>
      </c>
      <c r="AA716" s="15">
        <f>IF($Z716="","",IF($Z716="×",0,IF($Z716="○",ROUNDDOWN($E716*設定!$C$4,0),ROUNDDOWN($E716*ROUND((9*$Y716-9*$E716)/(10*$E716),4),0))))</f>
        <v/>
      </c>
      <c r="AB716" s="13" t="n"/>
      <c r="AC716" s="15">
        <f>IF($B716="","",IF($AB716&lt;&gt;"",$AB716,IF($AA716="","",IF($AA716&lt;=設定!$C$3,0,$AA716))))</f>
        <v/>
      </c>
      <c r="AD716" s="14">
        <f>IF($B716="","",IF(AND($AE716&lt;&gt;"",$AG716="",$AJ716=""),"保留中",IF($AJ716&lt;&gt;"",IF(N($AC716)&gt;0,"支給済","不支給"),IF($AC716="","要確認",IF($AC716=0,"不支給","未処理")))))</f>
        <v/>
      </c>
      <c r="AE716" s="12" t="n"/>
      <c r="AF716" s="11" t="n"/>
      <c r="AG716" s="11" t="n"/>
      <c r="AH716" s="11" t="n"/>
      <c r="AI716" s="14">
        <f>IF(AND($AD716="保留中",$AF716&lt;&gt;""),TODAY()-$AF716,"")</f>
        <v/>
      </c>
      <c r="AJ716" s="12" t="n"/>
      <c r="AK716" s="14">
        <f>IF($B716="","",IF($AO716="","対象年月が未入力／","")&amp;IF($B716="","",IF($AN716="","職員マスタに未登録の職員番号／",IF($Y716="","標準報酬月額が未登録／","")&amp;IF(AND($AO716&lt;&gt;"",OR(AND(INDEX(職員マスタ!$G$6:$G$405,$AN716)&lt;&gt;"",INDEX(職員マスタ!$G$6:$G$405,$AN716)&gt;EOMONTH($AO716,0)),AND(INDEX(職員マスタ!$H$6:$H$405,$AN716)&lt;&gt;"",INDEX(職員マスタ!$H$6:$H$405,$AN716)&lt;$AO716))),"対象月が時短期間外／","")&amp;IF(AND(INDEX(職員マスタ!$F$6:$F$405,$AN716)&lt;&gt;"",$AO716&lt;&gt;"",INDEX(職員マスタ!$F$6:$F$405,$AN716)&lt;$AO716),"対象月に子が2歳到達済／","")&amp;IF(AND($H716&lt;&gt;"",INDEX(職員マスタ!$B$6:$B$405,$AN716)&lt;&gt;"",SUBSTITUTE(SUBSTITUTE($H716," ","")," ","")&lt;&gt;SUBSTITUTE(SUBSTITUTE(INDEX(職員マスタ!$B$6:$B$405,$AN716)," ","")," ","")),"氏名がマスタと相違／","")&amp;IF(AND($Q716&lt;&gt;"",INDEX(職員マスタ!$E$6:$E$405,$AN716)&lt;&gt;"",$Q716&lt;&gt;INDEX(職員マスタ!$E$6:$E$405,$AN716)),"子の生年月日がマスタと相違／","")&amp;IF(AND($L716&lt;&gt;"",INDEX(職員マスタ!$G$6:$G$405,$AN716)&lt;&gt;"",$L716&lt;&gt;INDEX(職員マスタ!$G$6:$G$405,$AN716)),"時短開始日がマスタと相違／","")&amp;IF(AND($M716&lt;&gt;"",INDEX(職員マスタ!$H$6:$H$405,$AN716)&lt;&gt;"",$M716&lt;&gt;INDEX(職員マスタ!$H$6:$H$405,$AN716)),"時短終了日がマスタと相違／","")))&amp;IF(AND($B716&lt;&gt;"",$E716=""),"報酬額が未入力／","")&amp;IF(N($U716)&gt;0,"申請書に入力エラーが残っています／","")&amp;IF(AND($B716&lt;&gt;"",$AO716&lt;&gt;""),IF(COUNTIFS($B$6:$B$3005,$B716,$C$6:$C$3005,$C716,$D$6:$D$3005,$D716)&gt;1,"同じ月の請求が重複しています／",""),"")&amp;IF(AND(N($E716)&gt;0,$Z716&lt;&gt;"",$Z716&lt;&gt;"×",$AC716=0,$AB716=""),"計算額が下限以下のため不支給／",""))</f>
        <v/>
      </c>
      <c r="AL716" s="12" t="n"/>
      <c r="AM716" s="14">
        <f>IF($AD716="保留中",COUNTIF($AD$6:$AD716,"保留中"),"")</f>
        <v/>
      </c>
      <c r="AN716" s="14">
        <f>IF($AO716="","",IF(SUMPRODUCT(MAX((職員マスタ!$A$6:$A$405=$B716)*(((職員マスタ!$G$6:$G$405="")+(職員マスタ!$G$6:$G$405&lt;=EOMONTH($AO716,0)))&gt;0)*(((職員マスタ!$H$6:$H$405="")+(職員マスタ!$H$6:$H$405&gt;=$AO716))&gt;0)*(ROW(職員マスタ!$A$6:$A$405)-5)))&gt;0,SUMPRODUCT(MAX((職員マスタ!$A$6:$A$405=$B716)*(((職員マスタ!$G$6:$G$405="")+(職員マスタ!$G$6:$G$405&lt;=EOMONTH($AO716,0)))&gt;0)*(((職員マスタ!$H$6:$H$405="")+(職員マスタ!$H$6:$H$405&gt;=$AO716))&gt;0)*(ROW(職員マスタ!$A$6:$A$405)-5))),IFERROR(MATCH($B716,職員マスタ!$A$6:$A$405,0),"")))</f>
        <v/>
      </c>
      <c r="AO716" s="16">
        <f>IF(OR($B716="",$C716="",$D716=""),"",DATE($C716+2018,$D716,1))</f>
        <v/>
      </c>
    </row>
    <row r="717">
      <c r="A717" s="11" t="n"/>
      <c r="B717" s="12" t="n"/>
      <c r="C717" s="12" t="n"/>
      <c r="D717" s="12" t="n"/>
      <c r="E717" s="13" t="n"/>
      <c r="F717" s="12" t="n"/>
      <c r="G717" s="13" t="n"/>
      <c r="H717" s="12" t="n"/>
      <c r="I717" s="12" t="n"/>
      <c r="J717" s="12" t="n"/>
      <c r="K717" s="12" t="n"/>
      <c r="L717" s="11" t="n"/>
      <c r="M717" s="11" t="n"/>
      <c r="N717" s="11" t="n"/>
      <c r="O717" s="11" t="n"/>
      <c r="P717" s="12" t="n"/>
      <c r="Q717" s="11" t="n"/>
      <c r="R717" s="12" t="n"/>
      <c r="S717" s="11" t="n"/>
      <c r="T717" s="12" t="n"/>
      <c r="U717" s="12" t="n"/>
      <c r="V717" s="14">
        <f>IF($AN717="",IF($B717="","",$H717),IF(INDEX(職員マスタ!$B$6:$B$405,$AN717)="",$H717,INDEX(職員マスタ!$B$6:$B$405,$AN717)))</f>
        <v/>
      </c>
      <c r="W717" s="14">
        <f>IF($AN717="",IF($B717="","",$R717),IF(INDEX(職員マスタ!$C$6:$C$405,$AN717)="",$R717,INDEX(職員マスタ!$C$6:$C$405,$AN717)))</f>
        <v/>
      </c>
      <c r="X717" s="14">
        <f>IF($AO717="","","R"&amp;$C717&amp;"."&amp;$D717)</f>
        <v/>
      </c>
      <c r="Y717" s="15">
        <f>IF($AN717="","",IF(INDEX(職員マスタ!$K$6:$K$405,$AN717)="","",INDEX(職員マスタ!$K$6:$K$405,$AN717)))</f>
        <v/>
      </c>
      <c r="Z717" s="14">
        <f>IF(OR($E717="",$Y717=""),"",IF($E717&gt;=$Y717,"×",IF($E717&gt;=$Y717*設定!$C$5,"△","○")))</f>
        <v/>
      </c>
      <c r="AA717" s="15">
        <f>IF($Z717="","",IF($Z717="×",0,IF($Z717="○",ROUNDDOWN($E717*設定!$C$4,0),ROUNDDOWN($E717*ROUND((9*$Y717-9*$E717)/(10*$E717),4),0))))</f>
        <v/>
      </c>
      <c r="AB717" s="13" t="n"/>
      <c r="AC717" s="15">
        <f>IF($B717="","",IF($AB717&lt;&gt;"",$AB717,IF($AA717="","",IF($AA717&lt;=設定!$C$3,0,$AA717))))</f>
        <v/>
      </c>
      <c r="AD717" s="14">
        <f>IF($B717="","",IF(AND($AE717&lt;&gt;"",$AG717="",$AJ717=""),"保留中",IF($AJ717&lt;&gt;"",IF(N($AC717)&gt;0,"支給済","不支給"),IF($AC717="","要確認",IF($AC717=0,"不支給","未処理")))))</f>
        <v/>
      </c>
      <c r="AE717" s="12" t="n"/>
      <c r="AF717" s="11" t="n"/>
      <c r="AG717" s="11" t="n"/>
      <c r="AH717" s="11" t="n"/>
      <c r="AI717" s="14">
        <f>IF(AND($AD717="保留中",$AF717&lt;&gt;""),TODAY()-$AF717,"")</f>
        <v/>
      </c>
      <c r="AJ717" s="12" t="n"/>
      <c r="AK717" s="14">
        <f>IF($B717="","",IF($AO717="","対象年月が未入力／","")&amp;IF($B717="","",IF($AN717="","職員マスタに未登録の職員番号／",IF($Y717="","標準報酬月額が未登録／","")&amp;IF(AND($AO717&lt;&gt;"",OR(AND(INDEX(職員マスタ!$G$6:$G$405,$AN717)&lt;&gt;"",INDEX(職員マスタ!$G$6:$G$405,$AN717)&gt;EOMONTH($AO717,0)),AND(INDEX(職員マスタ!$H$6:$H$405,$AN717)&lt;&gt;"",INDEX(職員マスタ!$H$6:$H$405,$AN717)&lt;$AO717))),"対象月が時短期間外／","")&amp;IF(AND(INDEX(職員マスタ!$F$6:$F$405,$AN717)&lt;&gt;"",$AO717&lt;&gt;"",INDEX(職員マスタ!$F$6:$F$405,$AN717)&lt;$AO717),"対象月に子が2歳到達済／","")&amp;IF(AND($H717&lt;&gt;"",INDEX(職員マスタ!$B$6:$B$405,$AN717)&lt;&gt;"",SUBSTITUTE(SUBSTITUTE($H717," ","")," ","")&lt;&gt;SUBSTITUTE(SUBSTITUTE(INDEX(職員マスタ!$B$6:$B$405,$AN717)," ","")," ","")),"氏名がマスタと相違／","")&amp;IF(AND($Q717&lt;&gt;"",INDEX(職員マスタ!$E$6:$E$405,$AN717)&lt;&gt;"",$Q717&lt;&gt;INDEX(職員マスタ!$E$6:$E$405,$AN717)),"子の生年月日がマスタと相違／","")&amp;IF(AND($L717&lt;&gt;"",INDEX(職員マスタ!$G$6:$G$405,$AN717)&lt;&gt;"",$L717&lt;&gt;INDEX(職員マスタ!$G$6:$G$405,$AN717)),"時短開始日がマスタと相違／","")&amp;IF(AND($M717&lt;&gt;"",INDEX(職員マスタ!$H$6:$H$405,$AN717)&lt;&gt;"",$M717&lt;&gt;INDEX(職員マスタ!$H$6:$H$405,$AN717)),"時短終了日がマスタと相違／","")))&amp;IF(AND($B717&lt;&gt;"",$E717=""),"報酬額が未入力／","")&amp;IF(N($U717)&gt;0,"申請書に入力エラーが残っています／","")&amp;IF(AND($B717&lt;&gt;"",$AO717&lt;&gt;""),IF(COUNTIFS($B$6:$B$3005,$B717,$C$6:$C$3005,$C717,$D$6:$D$3005,$D717)&gt;1,"同じ月の請求が重複しています／",""),"")&amp;IF(AND(N($E717)&gt;0,$Z717&lt;&gt;"",$Z717&lt;&gt;"×",$AC717=0,$AB717=""),"計算額が下限以下のため不支給／",""))</f>
        <v/>
      </c>
      <c r="AL717" s="12" t="n"/>
      <c r="AM717" s="14">
        <f>IF($AD717="保留中",COUNTIF($AD$6:$AD717,"保留中"),"")</f>
        <v/>
      </c>
      <c r="AN717" s="14">
        <f>IF($AO717="","",IF(SUMPRODUCT(MAX((職員マスタ!$A$6:$A$405=$B717)*(((職員マスタ!$G$6:$G$405="")+(職員マスタ!$G$6:$G$405&lt;=EOMONTH($AO717,0)))&gt;0)*(((職員マスタ!$H$6:$H$405="")+(職員マスタ!$H$6:$H$405&gt;=$AO717))&gt;0)*(ROW(職員マスタ!$A$6:$A$405)-5)))&gt;0,SUMPRODUCT(MAX((職員マスタ!$A$6:$A$405=$B717)*(((職員マスタ!$G$6:$G$405="")+(職員マスタ!$G$6:$G$405&lt;=EOMONTH($AO717,0)))&gt;0)*(((職員マスタ!$H$6:$H$405="")+(職員マスタ!$H$6:$H$405&gt;=$AO717))&gt;0)*(ROW(職員マスタ!$A$6:$A$405)-5))),IFERROR(MATCH($B717,職員マスタ!$A$6:$A$405,0),"")))</f>
        <v/>
      </c>
      <c r="AO717" s="16">
        <f>IF(OR($B717="",$C717="",$D717=""),"",DATE($C717+2018,$D717,1))</f>
        <v/>
      </c>
    </row>
    <row r="718">
      <c r="A718" s="11" t="n"/>
      <c r="B718" s="12" t="n"/>
      <c r="C718" s="12" t="n"/>
      <c r="D718" s="12" t="n"/>
      <c r="E718" s="13" t="n"/>
      <c r="F718" s="12" t="n"/>
      <c r="G718" s="13" t="n"/>
      <c r="H718" s="12" t="n"/>
      <c r="I718" s="12" t="n"/>
      <c r="J718" s="12" t="n"/>
      <c r="K718" s="12" t="n"/>
      <c r="L718" s="11" t="n"/>
      <c r="M718" s="11" t="n"/>
      <c r="N718" s="11" t="n"/>
      <c r="O718" s="11" t="n"/>
      <c r="P718" s="12" t="n"/>
      <c r="Q718" s="11" t="n"/>
      <c r="R718" s="12" t="n"/>
      <c r="S718" s="11" t="n"/>
      <c r="T718" s="12" t="n"/>
      <c r="U718" s="12" t="n"/>
      <c r="V718" s="14">
        <f>IF($AN718="",IF($B718="","",$H718),IF(INDEX(職員マスタ!$B$6:$B$405,$AN718)="",$H718,INDEX(職員マスタ!$B$6:$B$405,$AN718)))</f>
        <v/>
      </c>
      <c r="W718" s="14">
        <f>IF($AN718="",IF($B718="","",$R718),IF(INDEX(職員マスタ!$C$6:$C$405,$AN718)="",$R718,INDEX(職員マスタ!$C$6:$C$405,$AN718)))</f>
        <v/>
      </c>
      <c r="X718" s="14">
        <f>IF($AO718="","","R"&amp;$C718&amp;"."&amp;$D718)</f>
        <v/>
      </c>
      <c r="Y718" s="15">
        <f>IF($AN718="","",IF(INDEX(職員マスタ!$K$6:$K$405,$AN718)="","",INDEX(職員マスタ!$K$6:$K$405,$AN718)))</f>
        <v/>
      </c>
      <c r="Z718" s="14">
        <f>IF(OR($E718="",$Y718=""),"",IF($E718&gt;=$Y718,"×",IF($E718&gt;=$Y718*設定!$C$5,"△","○")))</f>
        <v/>
      </c>
      <c r="AA718" s="15">
        <f>IF($Z718="","",IF($Z718="×",0,IF($Z718="○",ROUNDDOWN($E718*設定!$C$4,0),ROUNDDOWN($E718*ROUND((9*$Y718-9*$E718)/(10*$E718),4),0))))</f>
        <v/>
      </c>
      <c r="AB718" s="13" t="n"/>
      <c r="AC718" s="15">
        <f>IF($B718="","",IF($AB718&lt;&gt;"",$AB718,IF($AA718="","",IF($AA718&lt;=設定!$C$3,0,$AA718))))</f>
        <v/>
      </c>
      <c r="AD718" s="14">
        <f>IF($B718="","",IF(AND($AE718&lt;&gt;"",$AG718="",$AJ718=""),"保留中",IF($AJ718&lt;&gt;"",IF(N($AC718)&gt;0,"支給済","不支給"),IF($AC718="","要確認",IF($AC718=0,"不支給","未処理")))))</f>
        <v/>
      </c>
      <c r="AE718" s="12" t="n"/>
      <c r="AF718" s="11" t="n"/>
      <c r="AG718" s="11" t="n"/>
      <c r="AH718" s="11" t="n"/>
      <c r="AI718" s="14">
        <f>IF(AND($AD718="保留中",$AF718&lt;&gt;""),TODAY()-$AF718,"")</f>
        <v/>
      </c>
      <c r="AJ718" s="12" t="n"/>
      <c r="AK718" s="14">
        <f>IF($B718="","",IF($AO718="","対象年月が未入力／","")&amp;IF($B718="","",IF($AN718="","職員マスタに未登録の職員番号／",IF($Y718="","標準報酬月額が未登録／","")&amp;IF(AND($AO718&lt;&gt;"",OR(AND(INDEX(職員マスタ!$G$6:$G$405,$AN718)&lt;&gt;"",INDEX(職員マスタ!$G$6:$G$405,$AN718)&gt;EOMONTH($AO718,0)),AND(INDEX(職員マスタ!$H$6:$H$405,$AN718)&lt;&gt;"",INDEX(職員マスタ!$H$6:$H$405,$AN718)&lt;$AO718))),"対象月が時短期間外／","")&amp;IF(AND(INDEX(職員マスタ!$F$6:$F$405,$AN718)&lt;&gt;"",$AO718&lt;&gt;"",INDEX(職員マスタ!$F$6:$F$405,$AN718)&lt;$AO718),"対象月に子が2歳到達済／","")&amp;IF(AND($H718&lt;&gt;"",INDEX(職員マスタ!$B$6:$B$405,$AN718)&lt;&gt;"",SUBSTITUTE(SUBSTITUTE($H718," ","")," ","")&lt;&gt;SUBSTITUTE(SUBSTITUTE(INDEX(職員マスタ!$B$6:$B$405,$AN718)," ","")," ","")),"氏名がマスタと相違／","")&amp;IF(AND($Q718&lt;&gt;"",INDEX(職員マスタ!$E$6:$E$405,$AN718)&lt;&gt;"",$Q718&lt;&gt;INDEX(職員マスタ!$E$6:$E$405,$AN718)),"子の生年月日がマスタと相違／","")&amp;IF(AND($L718&lt;&gt;"",INDEX(職員マスタ!$G$6:$G$405,$AN718)&lt;&gt;"",$L718&lt;&gt;INDEX(職員マスタ!$G$6:$G$405,$AN718)),"時短開始日がマスタと相違／","")&amp;IF(AND($M718&lt;&gt;"",INDEX(職員マスタ!$H$6:$H$405,$AN718)&lt;&gt;"",$M718&lt;&gt;INDEX(職員マスタ!$H$6:$H$405,$AN718)),"時短終了日がマスタと相違／","")))&amp;IF(AND($B718&lt;&gt;"",$E718=""),"報酬額が未入力／","")&amp;IF(N($U718)&gt;0,"申請書に入力エラーが残っています／","")&amp;IF(AND($B718&lt;&gt;"",$AO718&lt;&gt;""),IF(COUNTIFS($B$6:$B$3005,$B718,$C$6:$C$3005,$C718,$D$6:$D$3005,$D718)&gt;1,"同じ月の請求が重複しています／",""),"")&amp;IF(AND(N($E718)&gt;0,$Z718&lt;&gt;"",$Z718&lt;&gt;"×",$AC718=0,$AB718=""),"計算額が下限以下のため不支給／",""))</f>
        <v/>
      </c>
      <c r="AL718" s="12" t="n"/>
      <c r="AM718" s="14">
        <f>IF($AD718="保留中",COUNTIF($AD$6:$AD718,"保留中"),"")</f>
        <v/>
      </c>
      <c r="AN718" s="14">
        <f>IF($AO718="","",IF(SUMPRODUCT(MAX((職員マスタ!$A$6:$A$405=$B718)*(((職員マスタ!$G$6:$G$405="")+(職員マスタ!$G$6:$G$405&lt;=EOMONTH($AO718,0)))&gt;0)*(((職員マスタ!$H$6:$H$405="")+(職員マスタ!$H$6:$H$405&gt;=$AO718))&gt;0)*(ROW(職員マスタ!$A$6:$A$405)-5)))&gt;0,SUMPRODUCT(MAX((職員マスタ!$A$6:$A$405=$B718)*(((職員マスタ!$G$6:$G$405="")+(職員マスタ!$G$6:$G$405&lt;=EOMONTH($AO718,0)))&gt;0)*(((職員マスタ!$H$6:$H$405="")+(職員マスタ!$H$6:$H$405&gt;=$AO718))&gt;0)*(ROW(職員マスタ!$A$6:$A$405)-5))),IFERROR(MATCH($B718,職員マスタ!$A$6:$A$405,0),"")))</f>
        <v/>
      </c>
      <c r="AO718" s="16">
        <f>IF(OR($B718="",$C718="",$D718=""),"",DATE($C718+2018,$D718,1))</f>
        <v/>
      </c>
    </row>
    <row r="719">
      <c r="A719" s="11" t="n"/>
      <c r="B719" s="12" t="n"/>
      <c r="C719" s="12" t="n"/>
      <c r="D719" s="12" t="n"/>
      <c r="E719" s="13" t="n"/>
      <c r="F719" s="12" t="n"/>
      <c r="G719" s="13" t="n"/>
      <c r="H719" s="12" t="n"/>
      <c r="I719" s="12" t="n"/>
      <c r="J719" s="12" t="n"/>
      <c r="K719" s="12" t="n"/>
      <c r="L719" s="11" t="n"/>
      <c r="M719" s="11" t="n"/>
      <c r="N719" s="11" t="n"/>
      <c r="O719" s="11" t="n"/>
      <c r="P719" s="12" t="n"/>
      <c r="Q719" s="11" t="n"/>
      <c r="R719" s="12" t="n"/>
      <c r="S719" s="11" t="n"/>
      <c r="T719" s="12" t="n"/>
      <c r="U719" s="12" t="n"/>
      <c r="V719" s="14">
        <f>IF($AN719="",IF($B719="","",$H719),IF(INDEX(職員マスタ!$B$6:$B$405,$AN719)="",$H719,INDEX(職員マスタ!$B$6:$B$405,$AN719)))</f>
        <v/>
      </c>
      <c r="W719" s="14">
        <f>IF($AN719="",IF($B719="","",$R719),IF(INDEX(職員マスタ!$C$6:$C$405,$AN719)="",$R719,INDEX(職員マスタ!$C$6:$C$405,$AN719)))</f>
        <v/>
      </c>
      <c r="X719" s="14">
        <f>IF($AO719="","","R"&amp;$C719&amp;"."&amp;$D719)</f>
        <v/>
      </c>
      <c r="Y719" s="15">
        <f>IF($AN719="","",IF(INDEX(職員マスタ!$K$6:$K$405,$AN719)="","",INDEX(職員マスタ!$K$6:$K$405,$AN719)))</f>
        <v/>
      </c>
      <c r="Z719" s="14">
        <f>IF(OR($E719="",$Y719=""),"",IF($E719&gt;=$Y719,"×",IF($E719&gt;=$Y719*設定!$C$5,"△","○")))</f>
        <v/>
      </c>
      <c r="AA719" s="15">
        <f>IF($Z719="","",IF($Z719="×",0,IF($Z719="○",ROUNDDOWN($E719*設定!$C$4,0),ROUNDDOWN($E719*ROUND((9*$Y719-9*$E719)/(10*$E719),4),0))))</f>
        <v/>
      </c>
      <c r="AB719" s="13" t="n"/>
      <c r="AC719" s="15">
        <f>IF($B719="","",IF($AB719&lt;&gt;"",$AB719,IF($AA719="","",IF($AA719&lt;=設定!$C$3,0,$AA719))))</f>
        <v/>
      </c>
      <c r="AD719" s="14">
        <f>IF($B719="","",IF(AND($AE719&lt;&gt;"",$AG719="",$AJ719=""),"保留中",IF($AJ719&lt;&gt;"",IF(N($AC719)&gt;0,"支給済","不支給"),IF($AC719="","要確認",IF($AC719=0,"不支給","未処理")))))</f>
        <v/>
      </c>
      <c r="AE719" s="12" t="n"/>
      <c r="AF719" s="11" t="n"/>
      <c r="AG719" s="11" t="n"/>
      <c r="AH719" s="11" t="n"/>
      <c r="AI719" s="14">
        <f>IF(AND($AD719="保留中",$AF719&lt;&gt;""),TODAY()-$AF719,"")</f>
        <v/>
      </c>
      <c r="AJ719" s="12" t="n"/>
      <c r="AK719" s="14">
        <f>IF($B719="","",IF($AO719="","対象年月が未入力／","")&amp;IF($B719="","",IF($AN719="","職員マスタに未登録の職員番号／",IF($Y719="","標準報酬月額が未登録／","")&amp;IF(AND($AO719&lt;&gt;"",OR(AND(INDEX(職員マスタ!$G$6:$G$405,$AN719)&lt;&gt;"",INDEX(職員マスタ!$G$6:$G$405,$AN719)&gt;EOMONTH($AO719,0)),AND(INDEX(職員マスタ!$H$6:$H$405,$AN719)&lt;&gt;"",INDEX(職員マスタ!$H$6:$H$405,$AN719)&lt;$AO719))),"対象月が時短期間外／","")&amp;IF(AND(INDEX(職員マスタ!$F$6:$F$405,$AN719)&lt;&gt;"",$AO719&lt;&gt;"",INDEX(職員マスタ!$F$6:$F$405,$AN719)&lt;$AO719),"対象月に子が2歳到達済／","")&amp;IF(AND($H719&lt;&gt;"",INDEX(職員マスタ!$B$6:$B$405,$AN719)&lt;&gt;"",SUBSTITUTE(SUBSTITUTE($H719," ","")," ","")&lt;&gt;SUBSTITUTE(SUBSTITUTE(INDEX(職員マスタ!$B$6:$B$405,$AN719)," ","")," ","")),"氏名がマスタと相違／","")&amp;IF(AND($Q719&lt;&gt;"",INDEX(職員マスタ!$E$6:$E$405,$AN719)&lt;&gt;"",$Q719&lt;&gt;INDEX(職員マスタ!$E$6:$E$405,$AN719)),"子の生年月日がマスタと相違／","")&amp;IF(AND($L719&lt;&gt;"",INDEX(職員マスタ!$G$6:$G$405,$AN719)&lt;&gt;"",$L719&lt;&gt;INDEX(職員マスタ!$G$6:$G$405,$AN719)),"時短開始日がマスタと相違／","")&amp;IF(AND($M719&lt;&gt;"",INDEX(職員マスタ!$H$6:$H$405,$AN719)&lt;&gt;"",$M719&lt;&gt;INDEX(職員マスタ!$H$6:$H$405,$AN719)),"時短終了日がマスタと相違／","")))&amp;IF(AND($B719&lt;&gt;"",$E719=""),"報酬額が未入力／","")&amp;IF(N($U719)&gt;0,"申請書に入力エラーが残っています／","")&amp;IF(AND($B719&lt;&gt;"",$AO719&lt;&gt;""),IF(COUNTIFS($B$6:$B$3005,$B719,$C$6:$C$3005,$C719,$D$6:$D$3005,$D719)&gt;1,"同じ月の請求が重複しています／",""),"")&amp;IF(AND(N($E719)&gt;0,$Z719&lt;&gt;"",$Z719&lt;&gt;"×",$AC719=0,$AB719=""),"計算額が下限以下のため不支給／",""))</f>
        <v/>
      </c>
      <c r="AL719" s="12" t="n"/>
      <c r="AM719" s="14">
        <f>IF($AD719="保留中",COUNTIF($AD$6:$AD719,"保留中"),"")</f>
        <v/>
      </c>
      <c r="AN719" s="14">
        <f>IF($AO719="","",IF(SUMPRODUCT(MAX((職員マスタ!$A$6:$A$405=$B719)*(((職員マスタ!$G$6:$G$405="")+(職員マスタ!$G$6:$G$405&lt;=EOMONTH($AO719,0)))&gt;0)*(((職員マスタ!$H$6:$H$405="")+(職員マスタ!$H$6:$H$405&gt;=$AO719))&gt;0)*(ROW(職員マスタ!$A$6:$A$405)-5)))&gt;0,SUMPRODUCT(MAX((職員マスタ!$A$6:$A$405=$B719)*(((職員マスタ!$G$6:$G$405="")+(職員マスタ!$G$6:$G$405&lt;=EOMONTH($AO719,0)))&gt;0)*(((職員マスタ!$H$6:$H$405="")+(職員マスタ!$H$6:$H$405&gt;=$AO719))&gt;0)*(ROW(職員マスタ!$A$6:$A$405)-5))),IFERROR(MATCH($B719,職員マスタ!$A$6:$A$405,0),"")))</f>
        <v/>
      </c>
      <c r="AO719" s="16">
        <f>IF(OR($B719="",$C719="",$D719=""),"",DATE($C719+2018,$D719,1))</f>
        <v/>
      </c>
    </row>
    <row r="720">
      <c r="A720" s="11" t="n"/>
      <c r="B720" s="12" t="n"/>
      <c r="C720" s="12" t="n"/>
      <c r="D720" s="12" t="n"/>
      <c r="E720" s="13" t="n"/>
      <c r="F720" s="12" t="n"/>
      <c r="G720" s="13" t="n"/>
      <c r="H720" s="12" t="n"/>
      <c r="I720" s="12" t="n"/>
      <c r="J720" s="12" t="n"/>
      <c r="K720" s="12" t="n"/>
      <c r="L720" s="11" t="n"/>
      <c r="M720" s="11" t="n"/>
      <c r="N720" s="11" t="n"/>
      <c r="O720" s="11" t="n"/>
      <c r="P720" s="12" t="n"/>
      <c r="Q720" s="11" t="n"/>
      <c r="R720" s="12" t="n"/>
      <c r="S720" s="11" t="n"/>
      <c r="T720" s="12" t="n"/>
      <c r="U720" s="12" t="n"/>
      <c r="V720" s="14">
        <f>IF($AN720="",IF($B720="","",$H720),IF(INDEX(職員マスタ!$B$6:$B$405,$AN720)="",$H720,INDEX(職員マスタ!$B$6:$B$405,$AN720)))</f>
        <v/>
      </c>
      <c r="W720" s="14">
        <f>IF($AN720="",IF($B720="","",$R720),IF(INDEX(職員マスタ!$C$6:$C$405,$AN720)="",$R720,INDEX(職員マスタ!$C$6:$C$405,$AN720)))</f>
        <v/>
      </c>
      <c r="X720" s="14">
        <f>IF($AO720="","","R"&amp;$C720&amp;"."&amp;$D720)</f>
        <v/>
      </c>
      <c r="Y720" s="15">
        <f>IF($AN720="","",IF(INDEX(職員マスタ!$K$6:$K$405,$AN720)="","",INDEX(職員マスタ!$K$6:$K$405,$AN720)))</f>
        <v/>
      </c>
      <c r="Z720" s="14">
        <f>IF(OR($E720="",$Y720=""),"",IF($E720&gt;=$Y720,"×",IF($E720&gt;=$Y720*設定!$C$5,"△","○")))</f>
        <v/>
      </c>
      <c r="AA720" s="15">
        <f>IF($Z720="","",IF($Z720="×",0,IF($Z720="○",ROUNDDOWN($E720*設定!$C$4,0),ROUNDDOWN($E720*ROUND((9*$Y720-9*$E720)/(10*$E720),4),0))))</f>
        <v/>
      </c>
      <c r="AB720" s="13" t="n"/>
      <c r="AC720" s="15">
        <f>IF($B720="","",IF($AB720&lt;&gt;"",$AB720,IF($AA720="","",IF($AA720&lt;=設定!$C$3,0,$AA720))))</f>
        <v/>
      </c>
      <c r="AD720" s="14">
        <f>IF($B720="","",IF(AND($AE720&lt;&gt;"",$AG720="",$AJ720=""),"保留中",IF($AJ720&lt;&gt;"",IF(N($AC720)&gt;0,"支給済","不支給"),IF($AC720="","要確認",IF($AC720=0,"不支給","未処理")))))</f>
        <v/>
      </c>
      <c r="AE720" s="12" t="n"/>
      <c r="AF720" s="11" t="n"/>
      <c r="AG720" s="11" t="n"/>
      <c r="AH720" s="11" t="n"/>
      <c r="AI720" s="14">
        <f>IF(AND($AD720="保留中",$AF720&lt;&gt;""),TODAY()-$AF720,"")</f>
        <v/>
      </c>
      <c r="AJ720" s="12" t="n"/>
      <c r="AK720" s="14">
        <f>IF($B720="","",IF($AO720="","対象年月が未入力／","")&amp;IF($B720="","",IF($AN720="","職員マスタに未登録の職員番号／",IF($Y720="","標準報酬月額が未登録／","")&amp;IF(AND($AO720&lt;&gt;"",OR(AND(INDEX(職員マスタ!$G$6:$G$405,$AN720)&lt;&gt;"",INDEX(職員マスタ!$G$6:$G$405,$AN720)&gt;EOMONTH($AO720,0)),AND(INDEX(職員マスタ!$H$6:$H$405,$AN720)&lt;&gt;"",INDEX(職員マスタ!$H$6:$H$405,$AN720)&lt;$AO720))),"対象月が時短期間外／","")&amp;IF(AND(INDEX(職員マスタ!$F$6:$F$405,$AN720)&lt;&gt;"",$AO720&lt;&gt;"",INDEX(職員マスタ!$F$6:$F$405,$AN720)&lt;$AO720),"対象月に子が2歳到達済／","")&amp;IF(AND($H720&lt;&gt;"",INDEX(職員マスタ!$B$6:$B$405,$AN720)&lt;&gt;"",SUBSTITUTE(SUBSTITUTE($H720," ","")," ","")&lt;&gt;SUBSTITUTE(SUBSTITUTE(INDEX(職員マスタ!$B$6:$B$405,$AN720)," ","")," ","")),"氏名がマスタと相違／","")&amp;IF(AND($Q720&lt;&gt;"",INDEX(職員マスタ!$E$6:$E$405,$AN720)&lt;&gt;"",$Q720&lt;&gt;INDEX(職員マスタ!$E$6:$E$405,$AN720)),"子の生年月日がマスタと相違／","")&amp;IF(AND($L720&lt;&gt;"",INDEX(職員マスタ!$G$6:$G$405,$AN720)&lt;&gt;"",$L720&lt;&gt;INDEX(職員マスタ!$G$6:$G$405,$AN720)),"時短開始日がマスタと相違／","")&amp;IF(AND($M720&lt;&gt;"",INDEX(職員マスタ!$H$6:$H$405,$AN720)&lt;&gt;"",$M720&lt;&gt;INDEX(職員マスタ!$H$6:$H$405,$AN720)),"時短終了日がマスタと相違／","")))&amp;IF(AND($B720&lt;&gt;"",$E720=""),"報酬額が未入力／","")&amp;IF(N($U720)&gt;0,"申請書に入力エラーが残っています／","")&amp;IF(AND($B720&lt;&gt;"",$AO720&lt;&gt;""),IF(COUNTIFS($B$6:$B$3005,$B720,$C$6:$C$3005,$C720,$D$6:$D$3005,$D720)&gt;1,"同じ月の請求が重複しています／",""),"")&amp;IF(AND(N($E720)&gt;0,$Z720&lt;&gt;"",$Z720&lt;&gt;"×",$AC720=0,$AB720=""),"計算額が下限以下のため不支給／",""))</f>
        <v/>
      </c>
      <c r="AL720" s="12" t="n"/>
      <c r="AM720" s="14">
        <f>IF($AD720="保留中",COUNTIF($AD$6:$AD720,"保留中"),"")</f>
        <v/>
      </c>
      <c r="AN720" s="14">
        <f>IF($AO720="","",IF(SUMPRODUCT(MAX((職員マスタ!$A$6:$A$405=$B720)*(((職員マスタ!$G$6:$G$405="")+(職員マスタ!$G$6:$G$405&lt;=EOMONTH($AO720,0)))&gt;0)*(((職員マスタ!$H$6:$H$405="")+(職員マスタ!$H$6:$H$405&gt;=$AO720))&gt;0)*(ROW(職員マスタ!$A$6:$A$405)-5)))&gt;0,SUMPRODUCT(MAX((職員マスタ!$A$6:$A$405=$B720)*(((職員マスタ!$G$6:$G$405="")+(職員マスタ!$G$6:$G$405&lt;=EOMONTH($AO720,0)))&gt;0)*(((職員マスタ!$H$6:$H$405="")+(職員マスタ!$H$6:$H$405&gt;=$AO720))&gt;0)*(ROW(職員マスタ!$A$6:$A$405)-5))),IFERROR(MATCH($B720,職員マスタ!$A$6:$A$405,0),"")))</f>
        <v/>
      </c>
      <c r="AO720" s="16">
        <f>IF(OR($B720="",$C720="",$D720=""),"",DATE($C720+2018,$D720,1))</f>
        <v/>
      </c>
    </row>
    <row r="721">
      <c r="A721" s="11" t="n"/>
      <c r="B721" s="12" t="n"/>
      <c r="C721" s="12" t="n"/>
      <c r="D721" s="12" t="n"/>
      <c r="E721" s="13" t="n"/>
      <c r="F721" s="12" t="n"/>
      <c r="G721" s="13" t="n"/>
      <c r="H721" s="12" t="n"/>
      <c r="I721" s="12" t="n"/>
      <c r="J721" s="12" t="n"/>
      <c r="K721" s="12" t="n"/>
      <c r="L721" s="11" t="n"/>
      <c r="M721" s="11" t="n"/>
      <c r="N721" s="11" t="n"/>
      <c r="O721" s="11" t="n"/>
      <c r="P721" s="12" t="n"/>
      <c r="Q721" s="11" t="n"/>
      <c r="R721" s="12" t="n"/>
      <c r="S721" s="11" t="n"/>
      <c r="T721" s="12" t="n"/>
      <c r="U721" s="12" t="n"/>
      <c r="V721" s="14">
        <f>IF($AN721="",IF($B721="","",$H721),IF(INDEX(職員マスタ!$B$6:$B$405,$AN721)="",$H721,INDEX(職員マスタ!$B$6:$B$405,$AN721)))</f>
        <v/>
      </c>
      <c r="W721" s="14">
        <f>IF($AN721="",IF($B721="","",$R721),IF(INDEX(職員マスタ!$C$6:$C$405,$AN721)="",$R721,INDEX(職員マスタ!$C$6:$C$405,$AN721)))</f>
        <v/>
      </c>
      <c r="X721" s="14">
        <f>IF($AO721="","","R"&amp;$C721&amp;"."&amp;$D721)</f>
        <v/>
      </c>
      <c r="Y721" s="15">
        <f>IF($AN721="","",IF(INDEX(職員マスタ!$K$6:$K$405,$AN721)="","",INDEX(職員マスタ!$K$6:$K$405,$AN721)))</f>
        <v/>
      </c>
      <c r="Z721" s="14">
        <f>IF(OR($E721="",$Y721=""),"",IF($E721&gt;=$Y721,"×",IF($E721&gt;=$Y721*設定!$C$5,"△","○")))</f>
        <v/>
      </c>
      <c r="AA721" s="15">
        <f>IF($Z721="","",IF($Z721="×",0,IF($Z721="○",ROUNDDOWN($E721*設定!$C$4,0),ROUNDDOWN($E721*ROUND((9*$Y721-9*$E721)/(10*$E721),4),0))))</f>
        <v/>
      </c>
      <c r="AB721" s="13" t="n"/>
      <c r="AC721" s="15">
        <f>IF($B721="","",IF($AB721&lt;&gt;"",$AB721,IF($AA721="","",IF($AA721&lt;=設定!$C$3,0,$AA721))))</f>
        <v/>
      </c>
      <c r="AD721" s="14">
        <f>IF($B721="","",IF(AND($AE721&lt;&gt;"",$AG721="",$AJ721=""),"保留中",IF($AJ721&lt;&gt;"",IF(N($AC721)&gt;0,"支給済","不支給"),IF($AC721="","要確認",IF($AC721=0,"不支給","未処理")))))</f>
        <v/>
      </c>
      <c r="AE721" s="12" t="n"/>
      <c r="AF721" s="11" t="n"/>
      <c r="AG721" s="11" t="n"/>
      <c r="AH721" s="11" t="n"/>
      <c r="AI721" s="14">
        <f>IF(AND($AD721="保留中",$AF721&lt;&gt;""),TODAY()-$AF721,"")</f>
        <v/>
      </c>
      <c r="AJ721" s="12" t="n"/>
      <c r="AK721" s="14">
        <f>IF($B721="","",IF($AO721="","対象年月が未入力／","")&amp;IF($B721="","",IF($AN721="","職員マスタに未登録の職員番号／",IF($Y721="","標準報酬月額が未登録／","")&amp;IF(AND($AO721&lt;&gt;"",OR(AND(INDEX(職員マスタ!$G$6:$G$405,$AN721)&lt;&gt;"",INDEX(職員マスタ!$G$6:$G$405,$AN721)&gt;EOMONTH($AO721,0)),AND(INDEX(職員マスタ!$H$6:$H$405,$AN721)&lt;&gt;"",INDEX(職員マスタ!$H$6:$H$405,$AN721)&lt;$AO721))),"対象月が時短期間外／","")&amp;IF(AND(INDEX(職員マスタ!$F$6:$F$405,$AN721)&lt;&gt;"",$AO721&lt;&gt;"",INDEX(職員マスタ!$F$6:$F$405,$AN721)&lt;$AO721),"対象月に子が2歳到達済／","")&amp;IF(AND($H721&lt;&gt;"",INDEX(職員マスタ!$B$6:$B$405,$AN721)&lt;&gt;"",SUBSTITUTE(SUBSTITUTE($H721," ","")," ","")&lt;&gt;SUBSTITUTE(SUBSTITUTE(INDEX(職員マスタ!$B$6:$B$405,$AN721)," ","")," ","")),"氏名がマスタと相違／","")&amp;IF(AND($Q721&lt;&gt;"",INDEX(職員マスタ!$E$6:$E$405,$AN721)&lt;&gt;"",$Q721&lt;&gt;INDEX(職員マスタ!$E$6:$E$405,$AN721)),"子の生年月日がマスタと相違／","")&amp;IF(AND($L721&lt;&gt;"",INDEX(職員マスタ!$G$6:$G$405,$AN721)&lt;&gt;"",$L721&lt;&gt;INDEX(職員マスタ!$G$6:$G$405,$AN721)),"時短開始日がマスタと相違／","")&amp;IF(AND($M721&lt;&gt;"",INDEX(職員マスタ!$H$6:$H$405,$AN721)&lt;&gt;"",$M721&lt;&gt;INDEX(職員マスタ!$H$6:$H$405,$AN721)),"時短終了日がマスタと相違／","")))&amp;IF(AND($B721&lt;&gt;"",$E721=""),"報酬額が未入力／","")&amp;IF(N($U721)&gt;0,"申請書に入力エラーが残っています／","")&amp;IF(AND($B721&lt;&gt;"",$AO721&lt;&gt;""),IF(COUNTIFS($B$6:$B$3005,$B721,$C$6:$C$3005,$C721,$D$6:$D$3005,$D721)&gt;1,"同じ月の請求が重複しています／",""),"")&amp;IF(AND(N($E721)&gt;0,$Z721&lt;&gt;"",$Z721&lt;&gt;"×",$AC721=0,$AB721=""),"計算額が下限以下のため不支給／",""))</f>
        <v/>
      </c>
      <c r="AL721" s="12" t="n"/>
      <c r="AM721" s="14">
        <f>IF($AD721="保留中",COUNTIF($AD$6:$AD721,"保留中"),"")</f>
        <v/>
      </c>
      <c r="AN721" s="14">
        <f>IF($AO721="","",IF(SUMPRODUCT(MAX((職員マスタ!$A$6:$A$405=$B721)*(((職員マスタ!$G$6:$G$405="")+(職員マスタ!$G$6:$G$405&lt;=EOMONTH($AO721,0)))&gt;0)*(((職員マスタ!$H$6:$H$405="")+(職員マスタ!$H$6:$H$405&gt;=$AO721))&gt;0)*(ROW(職員マスタ!$A$6:$A$405)-5)))&gt;0,SUMPRODUCT(MAX((職員マスタ!$A$6:$A$405=$B721)*(((職員マスタ!$G$6:$G$405="")+(職員マスタ!$G$6:$G$405&lt;=EOMONTH($AO721,0)))&gt;0)*(((職員マスタ!$H$6:$H$405="")+(職員マスタ!$H$6:$H$405&gt;=$AO721))&gt;0)*(ROW(職員マスタ!$A$6:$A$405)-5))),IFERROR(MATCH($B721,職員マスタ!$A$6:$A$405,0),"")))</f>
        <v/>
      </c>
      <c r="AO721" s="16">
        <f>IF(OR($B721="",$C721="",$D721=""),"",DATE($C721+2018,$D721,1))</f>
        <v/>
      </c>
    </row>
    <row r="722">
      <c r="A722" s="11" t="n"/>
      <c r="B722" s="12" t="n"/>
      <c r="C722" s="12" t="n"/>
      <c r="D722" s="12" t="n"/>
      <c r="E722" s="13" t="n"/>
      <c r="F722" s="12" t="n"/>
      <c r="G722" s="13" t="n"/>
      <c r="H722" s="12" t="n"/>
      <c r="I722" s="12" t="n"/>
      <c r="J722" s="12" t="n"/>
      <c r="K722" s="12" t="n"/>
      <c r="L722" s="11" t="n"/>
      <c r="M722" s="11" t="n"/>
      <c r="N722" s="11" t="n"/>
      <c r="O722" s="11" t="n"/>
      <c r="P722" s="12" t="n"/>
      <c r="Q722" s="11" t="n"/>
      <c r="R722" s="12" t="n"/>
      <c r="S722" s="11" t="n"/>
      <c r="T722" s="12" t="n"/>
      <c r="U722" s="12" t="n"/>
      <c r="V722" s="14">
        <f>IF($AN722="",IF($B722="","",$H722),IF(INDEX(職員マスタ!$B$6:$B$405,$AN722)="",$H722,INDEX(職員マスタ!$B$6:$B$405,$AN722)))</f>
        <v/>
      </c>
      <c r="W722" s="14">
        <f>IF($AN722="",IF($B722="","",$R722),IF(INDEX(職員マスタ!$C$6:$C$405,$AN722)="",$R722,INDEX(職員マスタ!$C$6:$C$405,$AN722)))</f>
        <v/>
      </c>
      <c r="X722" s="14">
        <f>IF($AO722="","","R"&amp;$C722&amp;"."&amp;$D722)</f>
        <v/>
      </c>
      <c r="Y722" s="15">
        <f>IF($AN722="","",IF(INDEX(職員マスタ!$K$6:$K$405,$AN722)="","",INDEX(職員マスタ!$K$6:$K$405,$AN722)))</f>
        <v/>
      </c>
      <c r="Z722" s="14">
        <f>IF(OR($E722="",$Y722=""),"",IF($E722&gt;=$Y722,"×",IF($E722&gt;=$Y722*設定!$C$5,"△","○")))</f>
        <v/>
      </c>
      <c r="AA722" s="15">
        <f>IF($Z722="","",IF($Z722="×",0,IF($Z722="○",ROUNDDOWN($E722*設定!$C$4,0),ROUNDDOWN($E722*ROUND((9*$Y722-9*$E722)/(10*$E722),4),0))))</f>
        <v/>
      </c>
      <c r="AB722" s="13" t="n"/>
      <c r="AC722" s="15">
        <f>IF($B722="","",IF($AB722&lt;&gt;"",$AB722,IF($AA722="","",IF($AA722&lt;=設定!$C$3,0,$AA722))))</f>
        <v/>
      </c>
      <c r="AD722" s="14">
        <f>IF($B722="","",IF(AND($AE722&lt;&gt;"",$AG722="",$AJ722=""),"保留中",IF($AJ722&lt;&gt;"",IF(N($AC722)&gt;0,"支給済","不支給"),IF($AC722="","要確認",IF($AC722=0,"不支給","未処理")))))</f>
        <v/>
      </c>
      <c r="AE722" s="12" t="n"/>
      <c r="AF722" s="11" t="n"/>
      <c r="AG722" s="11" t="n"/>
      <c r="AH722" s="11" t="n"/>
      <c r="AI722" s="14">
        <f>IF(AND($AD722="保留中",$AF722&lt;&gt;""),TODAY()-$AF722,"")</f>
        <v/>
      </c>
      <c r="AJ722" s="12" t="n"/>
      <c r="AK722" s="14">
        <f>IF($B722="","",IF($AO722="","対象年月が未入力／","")&amp;IF($B722="","",IF($AN722="","職員マスタに未登録の職員番号／",IF($Y722="","標準報酬月額が未登録／","")&amp;IF(AND($AO722&lt;&gt;"",OR(AND(INDEX(職員マスタ!$G$6:$G$405,$AN722)&lt;&gt;"",INDEX(職員マスタ!$G$6:$G$405,$AN722)&gt;EOMONTH($AO722,0)),AND(INDEX(職員マスタ!$H$6:$H$405,$AN722)&lt;&gt;"",INDEX(職員マスタ!$H$6:$H$405,$AN722)&lt;$AO722))),"対象月が時短期間外／","")&amp;IF(AND(INDEX(職員マスタ!$F$6:$F$405,$AN722)&lt;&gt;"",$AO722&lt;&gt;"",INDEX(職員マスタ!$F$6:$F$405,$AN722)&lt;$AO722),"対象月に子が2歳到達済／","")&amp;IF(AND($H722&lt;&gt;"",INDEX(職員マスタ!$B$6:$B$405,$AN722)&lt;&gt;"",SUBSTITUTE(SUBSTITUTE($H722," ","")," ","")&lt;&gt;SUBSTITUTE(SUBSTITUTE(INDEX(職員マスタ!$B$6:$B$405,$AN722)," ","")," ","")),"氏名がマスタと相違／","")&amp;IF(AND($Q722&lt;&gt;"",INDEX(職員マスタ!$E$6:$E$405,$AN722)&lt;&gt;"",$Q722&lt;&gt;INDEX(職員マスタ!$E$6:$E$405,$AN722)),"子の生年月日がマスタと相違／","")&amp;IF(AND($L722&lt;&gt;"",INDEX(職員マスタ!$G$6:$G$405,$AN722)&lt;&gt;"",$L722&lt;&gt;INDEX(職員マスタ!$G$6:$G$405,$AN722)),"時短開始日がマスタと相違／","")&amp;IF(AND($M722&lt;&gt;"",INDEX(職員マスタ!$H$6:$H$405,$AN722)&lt;&gt;"",$M722&lt;&gt;INDEX(職員マスタ!$H$6:$H$405,$AN722)),"時短終了日がマスタと相違／","")))&amp;IF(AND($B722&lt;&gt;"",$E722=""),"報酬額が未入力／","")&amp;IF(N($U722)&gt;0,"申請書に入力エラーが残っています／","")&amp;IF(AND($B722&lt;&gt;"",$AO722&lt;&gt;""),IF(COUNTIFS($B$6:$B$3005,$B722,$C$6:$C$3005,$C722,$D$6:$D$3005,$D722)&gt;1,"同じ月の請求が重複しています／",""),"")&amp;IF(AND(N($E722)&gt;0,$Z722&lt;&gt;"",$Z722&lt;&gt;"×",$AC722=0,$AB722=""),"計算額が下限以下のため不支給／",""))</f>
        <v/>
      </c>
      <c r="AL722" s="12" t="n"/>
      <c r="AM722" s="14">
        <f>IF($AD722="保留中",COUNTIF($AD$6:$AD722,"保留中"),"")</f>
        <v/>
      </c>
      <c r="AN722" s="14">
        <f>IF($AO722="","",IF(SUMPRODUCT(MAX((職員マスタ!$A$6:$A$405=$B722)*(((職員マスタ!$G$6:$G$405="")+(職員マスタ!$G$6:$G$405&lt;=EOMONTH($AO722,0)))&gt;0)*(((職員マスタ!$H$6:$H$405="")+(職員マスタ!$H$6:$H$405&gt;=$AO722))&gt;0)*(ROW(職員マスタ!$A$6:$A$405)-5)))&gt;0,SUMPRODUCT(MAX((職員マスタ!$A$6:$A$405=$B722)*(((職員マスタ!$G$6:$G$405="")+(職員マスタ!$G$6:$G$405&lt;=EOMONTH($AO722,0)))&gt;0)*(((職員マスタ!$H$6:$H$405="")+(職員マスタ!$H$6:$H$405&gt;=$AO722))&gt;0)*(ROW(職員マスタ!$A$6:$A$405)-5))),IFERROR(MATCH($B722,職員マスタ!$A$6:$A$405,0),"")))</f>
        <v/>
      </c>
      <c r="AO722" s="16">
        <f>IF(OR($B722="",$C722="",$D722=""),"",DATE($C722+2018,$D722,1))</f>
        <v/>
      </c>
    </row>
    <row r="723">
      <c r="A723" s="11" t="n"/>
      <c r="B723" s="12" t="n"/>
      <c r="C723" s="12" t="n"/>
      <c r="D723" s="12" t="n"/>
      <c r="E723" s="13" t="n"/>
      <c r="F723" s="12" t="n"/>
      <c r="G723" s="13" t="n"/>
      <c r="H723" s="12" t="n"/>
      <c r="I723" s="12" t="n"/>
      <c r="J723" s="12" t="n"/>
      <c r="K723" s="12" t="n"/>
      <c r="L723" s="11" t="n"/>
      <c r="M723" s="11" t="n"/>
      <c r="N723" s="11" t="n"/>
      <c r="O723" s="11" t="n"/>
      <c r="P723" s="12" t="n"/>
      <c r="Q723" s="11" t="n"/>
      <c r="R723" s="12" t="n"/>
      <c r="S723" s="11" t="n"/>
      <c r="T723" s="12" t="n"/>
      <c r="U723" s="12" t="n"/>
      <c r="V723" s="14">
        <f>IF($AN723="",IF($B723="","",$H723),IF(INDEX(職員マスタ!$B$6:$B$405,$AN723)="",$H723,INDEX(職員マスタ!$B$6:$B$405,$AN723)))</f>
        <v/>
      </c>
      <c r="W723" s="14">
        <f>IF($AN723="",IF($B723="","",$R723),IF(INDEX(職員マスタ!$C$6:$C$405,$AN723)="",$R723,INDEX(職員マスタ!$C$6:$C$405,$AN723)))</f>
        <v/>
      </c>
      <c r="X723" s="14">
        <f>IF($AO723="","","R"&amp;$C723&amp;"."&amp;$D723)</f>
        <v/>
      </c>
      <c r="Y723" s="15">
        <f>IF($AN723="","",IF(INDEX(職員マスタ!$K$6:$K$405,$AN723)="","",INDEX(職員マスタ!$K$6:$K$405,$AN723)))</f>
        <v/>
      </c>
      <c r="Z723" s="14">
        <f>IF(OR($E723="",$Y723=""),"",IF($E723&gt;=$Y723,"×",IF($E723&gt;=$Y723*設定!$C$5,"△","○")))</f>
        <v/>
      </c>
      <c r="AA723" s="15">
        <f>IF($Z723="","",IF($Z723="×",0,IF($Z723="○",ROUNDDOWN($E723*設定!$C$4,0),ROUNDDOWN($E723*ROUND((9*$Y723-9*$E723)/(10*$E723),4),0))))</f>
        <v/>
      </c>
      <c r="AB723" s="13" t="n"/>
      <c r="AC723" s="15">
        <f>IF($B723="","",IF($AB723&lt;&gt;"",$AB723,IF($AA723="","",IF($AA723&lt;=設定!$C$3,0,$AA723))))</f>
        <v/>
      </c>
      <c r="AD723" s="14">
        <f>IF($B723="","",IF(AND($AE723&lt;&gt;"",$AG723="",$AJ723=""),"保留中",IF($AJ723&lt;&gt;"",IF(N($AC723)&gt;0,"支給済","不支給"),IF($AC723="","要確認",IF($AC723=0,"不支給","未処理")))))</f>
        <v/>
      </c>
      <c r="AE723" s="12" t="n"/>
      <c r="AF723" s="11" t="n"/>
      <c r="AG723" s="11" t="n"/>
      <c r="AH723" s="11" t="n"/>
      <c r="AI723" s="14">
        <f>IF(AND($AD723="保留中",$AF723&lt;&gt;""),TODAY()-$AF723,"")</f>
        <v/>
      </c>
      <c r="AJ723" s="12" t="n"/>
      <c r="AK723" s="14">
        <f>IF($B723="","",IF($AO723="","対象年月が未入力／","")&amp;IF($B723="","",IF($AN723="","職員マスタに未登録の職員番号／",IF($Y723="","標準報酬月額が未登録／","")&amp;IF(AND($AO723&lt;&gt;"",OR(AND(INDEX(職員マスタ!$G$6:$G$405,$AN723)&lt;&gt;"",INDEX(職員マスタ!$G$6:$G$405,$AN723)&gt;EOMONTH($AO723,0)),AND(INDEX(職員マスタ!$H$6:$H$405,$AN723)&lt;&gt;"",INDEX(職員マスタ!$H$6:$H$405,$AN723)&lt;$AO723))),"対象月が時短期間外／","")&amp;IF(AND(INDEX(職員マスタ!$F$6:$F$405,$AN723)&lt;&gt;"",$AO723&lt;&gt;"",INDEX(職員マスタ!$F$6:$F$405,$AN723)&lt;$AO723),"対象月に子が2歳到達済／","")&amp;IF(AND($H723&lt;&gt;"",INDEX(職員マスタ!$B$6:$B$405,$AN723)&lt;&gt;"",SUBSTITUTE(SUBSTITUTE($H723," ","")," ","")&lt;&gt;SUBSTITUTE(SUBSTITUTE(INDEX(職員マスタ!$B$6:$B$405,$AN723)," ","")," ","")),"氏名がマスタと相違／","")&amp;IF(AND($Q723&lt;&gt;"",INDEX(職員マスタ!$E$6:$E$405,$AN723)&lt;&gt;"",$Q723&lt;&gt;INDEX(職員マスタ!$E$6:$E$405,$AN723)),"子の生年月日がマスタと相違／","")&amp;IF(AND($L723&lt;&gt;"",INDEX(職員マスタ!$G$6:$G$405,$AN723)&lt;&gt;"",$L723&lt;&gt;INDEX(職員マスタ!$G$6:$G$405,$AN723)),"時短開始日がマスタと相違／","")&amp;IF(AND($M723&lt;&gt;"",INDEX(職員マスタ!$H$6:$H$405,$AN723)&lt;&gt;"",$M723&lt;&gt;INDEX(職員マスタ!$H$6:$H$405,$AN723)),"時短終了日がマスタと相違／","")))&amp;IF(AND($B723&lt;&gt;"",$E723=""),"報酬額が未入力／","")&amp;IF(N($U723)&gt;0,"申請書に入力エラーが残っています／","")&amp;IF(AND($B723&lt;&gt;"",$AO723&lt;&gt;""),IF(COUNTIFS($B$6:$B$3005,$B723,$C$6:$C$3005,$C723,$D$6:$D$3005,$D723)&gt;1,"同じ月の請求が重複しています／",""),"")&amp;IF(AND(N($E723)&gt;0,$Z723&lt;&gt;"",$Z723&lt;&gt;"×",$AC723=0,$AB723=""),"計算額が下限以下のため不支給／",""))</f>
        <v/>
      </c>
      <c r="AL723" s="12" t="n"/>
      <c r="AM723" s="14">
        <f>IF($AD723="保留中",COUNTIF($AD$6:$AD723,"保留中"),"")</f>
        <v/>
      </c>
      <c r="AN723" s="14">
        <f>IF($AO723="","",IF(SUMPRODUCT(MAX((職員マスタ!$A$6:$A$405=$B723)*(((職員マスタ!$G$6:$G$405="")+(職員マスタ!$G$6:$G$405&lt;=EOMONTH($AO723,0)))&gt;0)*(((職員マスタ!$H$6:$H$405="")+(職員マスタ!$H$6:$H$405&gt;=$AO723))&gt;0)*(ROW(職員マスタ!$A$6:$A$405)-5)))&gt;0,SUMPRODUCT(MAX((職員マスタ!$A$6:$A$405=$B723)*(((職員マスタ!$G$6:$G$405="")+(職員マスタ!$G$6:$G$405&lt;=EOMONTH($AO723,0)))&gt;0)*(((職員マスタ!$H$6:$H$405="")+(職員マスタ!$H$6:$H$405&gt;=$AO723))&gt;0)*(ROW(職員マスタ!$A$6:$A$405)-5))),IFERROR(MATCH($B723,職員マスタ!$A$6:$A$405,0),"")))</f>
        <v/>
      </c>
      <c r="AO723" s="16">
        <f>IF(OR($B723="",$C723="",$D723=""),"",DATE($C723+2018,$D723,1))</f>
        <v/>
      </c>
    </row>
    <row r="724">
      <c r="A724" s="11" t="n"/>
      <c r="B724" s="12" t="n"/>
      <c r="C724" s="12" t="n"/>
      <c r="D724" s="12" t="n"/>
      <c r="E724" s="13" t="n"/>
      <c r="F724" s="12" t="n"/>
      <c r="G724" s="13" t="n"/>
      <c r="H724" s="12" t="n"/>
      <c r="I724" s="12" t="n"/>
      <c r="J724" s="12" t="n"/>
      <c r="K724" s="12" t="n"/>
      <c r="L724" s="11" t="n"/>
      <c r="M724" s="11" t="n"/>
      <c r="N724" s="11" t="n"/>
      <c r="O724" s="11" t="n"/>
      <c r="P724" s="12" t="n"/>
      <c r="Q724" s="11" t="n"/>
      <c r="R724" s="12" t="n"/>
      <c r="S724" s="11" t="n"/>
      <c r="T724" s="12" t="n"/>
      <c r="U724" s="12" t="n"/>
      <c r="V724" s="14">
        <f>IF($AN724="",IF($B724="","",$H724),IF(INDEX(職員マスタ!$B$6:$B$405,$AN724)="",$H724,INDEX(職員マスタ!$B$6:$B$405,$AN724)))</f>
        <v/>
      </c>
      <c r="W724" s="14">
        <f>IF($AN724="",IF($B724="","",$R724),IF(INDEX(職員マスタ!$C$6:$C$405,$AN724)="",$R724,INDEX(職員マスタ!$C$6:$C$405,$AN724)))</f>
        <v/>
      </c>
      <c r="X724" s="14">
        <f>IF($AO724="","","R"&amp;$C724&amp;"."&amp;$D724)</f>
        <v/>
      </c>
      <c r="Y724" s="15">
        <f>IF($AN724="","",IF(INDEX(職員マスタ!$K$6:$K$405,$AN724)="","",INDEX(職員マスタ!$K$6:$K$405,$AN724)))</f>
        <v/>
      </c>
      <c r="Z724" s="14">
        <f>IF(OR($E724="",$Y724=""),"",IF($E724&gt;=$Y724,"×",IF($E724&gt;=$Y724*設定!$C$5,"△","○")))</f>
        <v/>
      </c>
      <c r="AA724" s="15">
        <f>IF($Z724="","",IF($Z724="×",0,IF($Z724="○",ROUNDDOWN($E724*設定!$C$4,0),ROUNDDOWN($E724*ROUND((9*$Y724-9*$E724)/(10*$E724),4),0))))</f>
        <v/>
      </c>
      <c r="AB724" s="13" t="n"/>
      <c r="AC724" s="15">
        <f>IF($B724="","",IF($AB724&lt;&gt;"",$AB724,IF($AA724="","",IF($AA724&lt;=設定!$C$3,0,$AA724))))</f>
        <v/>
      </c>
      <c r="AD724" s="14">
        <f>IF($B724="","",IF(AND($AE724&lt;&gt;"",$AG724="",$AJ724=""),"保留中",IF($AJ724&lt;&gt;"",IF(N($AC724)&gt;0,"支給済","不支給"),IF($AC724="","要確認",IF($AC724=0,"不支給","未処理")))))</f>
        <v/>
      </c>
      <c r="AE724" s="12" t="n"/>
      <c r="AF724" s="11" t="n"/>
      <c r="AG724" s="11" t="n"/>
      <c r="AH724" s="11" t="n"/>
      <c r="AI724" s="14">
        <f>IF(AND($AD724="保留中",$AF724&lt;&gt;""),TODAY()-$AF724,"")</f>
        <v/>
      </c>
      <c r="AJ724" s="12" t="n"/>
      <c r="AK724" s="14">
        <f>IF($B724="","",IF($AO724="","対象年月が未入力／","")&amp;IF($B724="","",IF($AN724="","職員マスタに未登録の職員番号／",IF($Y724="","標準報酬月額が未登録／","")&amp;IF(AND($AO724&lt;&gt;"",OR(AND(INDEX(職員マスタ!$G$6:$G$405,$AN724)&lt;&gt;"",INDEX(職員マスタ!$G$6:$G$405,$AN724)&gt;EOMONTH($AO724,0)),AND(INDEX(職員マスタ!$H$6:$H$405,$AN724)&lt;&gt;"",INDEX(職員マスタ!$H$6:$H$405,$AN724)&lt;$AO724))),"対象月が時短期間外／","")&amp;IF(AND(INDEX(職員マスタ!$F$6:$F$405,$AN724)&lt;&gt;"",$AO724&lt;&gt;"",INDEX(職員マスタ!$F$6:$F$405,$AN724)&lt;$AO724),"対象月に子が2歳到達済／","")&amp;IF(AND($H724&lt;&gt;"",INDEX(職員マスタ!$B$6:$B$405,$AN724)&lt;&gt;"",SUBSTITUTE(SUBSTITUTE($H724," ","")," ","")&lt;&gt;SUBSTITUTE(SUBSTITUTE(INDEX(職員マスタ!$B$6:$B$405,$AN724)," ","")," ","")),"氏名がマスタと相違／","")&amp;IF(AND($Q724&lt;&gt;"",INDEX(職員マスタ!$E$6:$E$405,$AN724)&lt;&gt;"",$Q724&lt;&gt;INDEX(職員マスタ!$E$6:$E$405,$AN724)),"子の生年月日がマスタと相違／","")&amp;IF(AND($L724&lt;&gt;"",INDEX(職員マスタ!$G$6:$G$405,$AN724)&lt;&gt;"",$L724&lt;&gt;INDEX(職員マスタ!$G$6:$G$405,$AN724)),"時短開始日がマスタと相違／","")&amp;IF(AND($M724&lt;&gt;"",INDEX(職員マスタ!$H$6:$H$405,$AN724)&lt;&gt;"",$M724&lt;&gt;INDEX(職員マスタ!$H$6:$H$405,$AN724)),"時短終了日がマスタと相違／","")))&amp;IF(AND($B724&lt;&gt;"",$E724=""),"報酬額が未入力／","")&amp;IF(N($U724)&gt;0,"申請書に入力エラーが残っています／","")&amp;IF(AND($B724&lt;&gt;"",$AO724&lt;&gt;""),IF(COUNTIFS($B$6:$B$3005,$B724,$C$6:$C$3005,$C724,$D$6:$D$3005,$D724)&gt;1,"同じ月の請求が重複しています／",""),"")&amp;IF(AND(N($E724)&gt;0,$Z724&lt;&gt;"",$Z724&lt;&gt;"×",$AC724=0,$AB724=""),"計算額が下限以下のため不支給／",""))</f>
        <v/>
      </c>
      <c r="AL724" s="12" t="n"/>
      <c r="AM724" s="14">
        <f>IF($AD724="保留中",COUNTIF($AD$6:$AD724,"保留中"),"")</f>
        <v/>
      </c>
      <c r="AN724" s="14">
        <f>IF($AO724="","",IF(SUMPRODUCT(MAX((職員マスタ!$A$6:$A$405=$B724)*(((職員マスタ!$G$6:$G$405="")+(職員マスタ!$G$6:$G$405&lt;=EOMONTH($AO724,0)))&gt;0)*(((職員マスタ!$H$6:$H$405="")+(職員マスタ!$H$6:$H$405&gt;=$AO724))&gt;0)*(ROW(職員マスタ!$A$6:$A$405)-5)))&gt;0,SUMPRODUCT(MAX((職員マスタ!$A$6:$A$405=$B724)*(((職員マスタ!$G$6:$G$405="")+(職員マスタ!$G$6:$G$405&lt;=EOMONTH($AO724,0)))&gt;0)*(((職員マスタ!$H$6:$H$405="")+(職員マスタ!$H$6:$H$405&gt;=$AO724))&gt;0)*(ROW(職員マスタ!$A$6:$A$405)-5))),IFERROR(MATCH($B724,職員マスタ!$A$6:$A$405,0),"")))</f>
        <v/>
      </c>
      <c r="AO724" s="16">
        <f>IF(OR($B724="",$C724="",$D724=""),"",DATE($C724+2018,$D724,1))</f>
        <v/>
      </c>
    </row>
    <row r="725">
      <c r="A725" s="11" t="n"/>
      <c r="B725" s="12" t="n"/>
      <c r="C725" s="12" t="n"/>
      <c r="D725" s="12" t="n"/>
      <c r="E725" s="13" t="n"/>
      <c r="F725" s="12" t="n"/>
      <c r="G725" s="13" t="n"/>
      <c r="H725" s="12" t="n"/>
      <c r="I725" s="12" t="n"/>
      <c r="J725" s="12" t="n"/>
      <c r="K725" s="12" t="n"/>
      <c r="L725" s="11" t="n"/>
      <c r="M725" s="11" t="n"/>
      <c r="N725" s="11" t="n"/>
      <c r="O725" s="11" t="n"/>
      <c r="P725" s="12" t="n"/>
      <c r="Q725" s="11" t="n"/>
      <c r="R725" s="12" t="n"/>
      <c r="S725" s="11" t="n"/>
      <c r="T725" s="12" t="n"/>
      <c r="U725" s="12" t="n"/>
      <c r="V725" s="14">
        <f>IF($AN725="",IF($B725="","",$H725),IF(INDEX(職員マスタ!$B$6:$B$405,$AN725)="",$H725,INDEX(職員マスタ!$B$6:$B$405,$AN725)))</f>
        <v/>
      </c>
      <c r="W725" s="14">
        <f>IF($AN725="",IF($B725="","",$R725),IF(INDEX(職員マスタ!$C$6:$C$405,$AN725)="",$R725,INDEX(職員マスタ!$C$6:$C$405,$AN725)))</f>
        <v/>
      </c>
      <c r="X725" s="14">
        <f>IF($AO725="","","R"&amp;$C725&amp;"."&amp;$D725)</f>
        <v/>
      </c>
      <c r="Y725" s="15">
        <f>IF($AN725="","",IF(INDEX(職員マスタ!$K$6:$K$405,$AN725)="","",INDEX(職員マスタ!$K$6:$K$405,$AN725)))</f>
        <v/>
      </c>
      <c r="Z725" s="14">
        <f>IF(OR($E725="",$Y725=""),"",IF($E725&gt;=$Y725,"×",IF($E725&gt;=$Y725*設定!$C$5,"△","○")))</f>
        <v/>
      </c>
      <c r="AA725" s="15">
        <f>IF($Z725="","",IF($Z725="×",0,IF($Z725="○",ROUNDDOWN($E725*設定!$C$4,0),ROUNDDOWN($E725*ROUND((9*$Y725-9*$E725)/(10*$E725),4),0))))</f>
        <v/>
      </c>
      <c r="AB725" s="13" t="n"/>
      <c r="AC725" s="15">
        <f>IF($B725="","",IF($AB725&lt;&gt;"",$AB725,IF($AA725="","",IF($AA725&lt;=設定!$C$3,0,$AA725))))</f>
        <v/>
      </c>
      <c r="AD725" s="14">
        <f>IF($B725="","",IF(AND($AE725&lt;&gt;"",$AG725="",$AJ725=""),"保留中",IF($AJ725&lt;&gt;"",IF(N($AC725)&gt;0,"支給済","不支給"),IF($AC725="","要確認",IF($AC725=0,"不支給","未処理")))))</f>
        <v/>
      </c>
      <c r="AE725" s="12" t="n"/>
      <c r="AF725" s="11" t="n"/>
      <c r="AG725" s="11" t="n"/>
      <c r="AH725" s="11" t="n"/>
      <c r="AI725" s="14">
        <f>IF(AND($AD725="保留中",$AF725&lt;&gt;""),TODAY()-$AF725,"")</f>
        <v/>
      </c>
      <c r="AJ725" s="12" t="n"/>
      <c r="AK725" s="14">
        <f>IF($B725="","",IF($AO725="","対象年月が未入力／","")&amp;IF($B725="","",IF($AN725="","職員マスタに未登録の職員番号／",IF($Y725="","標準報酬月額が未登録／","")&amp;IF(AND($AO725&lt;&gt;"",OR(AND(INDEX(職員マスタ!$G$6:$G$405,$AN725)&lt;&gt;"",INDEX(職員マスタ!$G$6:$G$405,$AN725)&gt;EOMONTH($AO725,0)),AND(INDEX(職員マスタ!$H$6:$H$405,$AN725)&lt;&gt;"",INDEX(職員マスタ!$H$6:$H$405,$AN725)&lt;$AO725))),"対象月が時短期間外／","")&amp;IF(AND(INDEX(職員マスタ!$F$6:$F$405,$AN725)&lt;&gt;"",$AO725&lt;&gt;"",INDEX(職員マスタ!$F$6:$F$405,$AN725)&lt;$AO725),"対象月に子が2歳到達済／","")&amp;IF(AND($H725&lt;&gt;"",INDEX(職員マスタ!$B$6:$B$405,$AN725)&lt;&gt;"",SUBSTITUTE(SUBSTITUTE($H725," ","")," ","")&lt;&gt;SUBSTITUTE(SUBSTITUTE(INDEX(職員マスタ!$B$6:$B$405,$AN725)," ","")," ","")),"氏名がマスタと相違／","")&amp;IF(AND($Q725&lt;&gt;"",INDEX(職員マスタ!$E$6:$E$405,$AN725)&lt;&gt;"",$Q725&lt;&gt;INDEX(職員マスタ!$E$6:$E$405,$AN725)),"子の生年月日がマスタと相違／","")&amp;IF(AND($L725&lt;&gt;"",INDEX(職員マスタ!$G$6:$G$405,$AN725)&lt;&gt;"",$L725&lt;&gt;INDEX(職員マスタ!$G$6:$G$405,$AN725)),"時短開始日がマスタと相違／","")&amp;IF(AND($M725&lt;&gt;"",INDEX(職員マスタ!$H$6:$H$405,$AN725)&lt;&gt;"",$M725&lt;&gt;INDEX(職員マスタ!$H$6:$H$405,$AN725)),"時短終了日がマスタと相違／","")))&amp;IF(AND($B725&lt;&gt;"",$E725=""),"報酬額が未入力／","")&amp;IF(N($U725)&gt;0,"申請書に入力エラーが残っています／","")&amp;IF(AND($B725&lt;&gt;"",$AO725&lt;&gt;""),IF(COUNTIFS($B$6:$B$3005,$B725,$C$6:$C$3005,$C725,$D$6:$D$3005,$D725)&gt;1,"同じ月の請求が重複しています／",""),"")&amp;IF(AND(N($E725)&gt;0,$Z725&lt;&gt;"",$Z725&lt;&gt;"×",$AC725=0,$AB725=""),"計算額が下限以下のため不支給／",""))</f>
        <v/>
      </c>
      <c r="AL725" s="12" t="n"/>
      <c r="AM725" s="14">
        <f>IF($AD725="保留中",COUNTIF($AD$6:$AD725,"保留中"),"")</f>
        <v/>
      </c>
      <c r="AN725" s="14">
        <f>IF($AO725="","",IF(SUMPRODUCT(MAX((職員マスタ!$A$6:$A$405=$B725)*(((職員マスタ!$G$6:$G$405="")+(職員マスタ!$G$6:$G$405&lt;=EOMONTH($AO725,0)))&gt;0)*(((職員マスタ!$H$6:$H$405="")+(職員マスタ!$H$6:$H$405&gt;=$AO725))&gt;0)*(ROW(職員マスタ!$A$6:$A$405)-5)))&gt;0,SUMPRODUCT(MAX((職員マスタ!$A$6:$A$405=$B725)*(((職員マスタ!$G$6:$G$405="")+(職員マスタ!$G$6:$G$405&lt;=EOMONTH($AO725,0)))&gt;0)*(((職員マスタ!$H$6:$H$405="")+(職員マスタ!$H$6:$H$405&gt;=$AO725))&gt;0)*(ROW(職員マスタ!$A$6:$A$405)-5))),IFERROR(MATCH($B725,職員マスタ!$A$6:$A$405,0),"")))</f>
        <v/>
      </c>
      <c r="AO725" s="16">
        <f>IF(OR($B725="",$C725="",$D725=""),"",DATE($C725+2018,$D725,1))</f>
        <v/>
      </c>
    </row>
    <row r="726">
      <c r="A726" s="11" t="n"/>
      <c r="B726" s="12" t="n"/>
      <c r="C726" s="12" t="n"/>
      <c r="D726" s="12" t="n"/>
      <c r="E726" s="13" t="n"/>
      <c r="F726" s="12" t="n"/>
      <c r="G726" s="13" t="n"/>
      <c r="H726" s="12" t="n"/>
      <c r="I726" s="12" t="n"/>
      <c r="J726" s="12" t="n"/>
      <c r="K726" s="12" t="n"/>
      <c r="L726" s="11" t="n"/>
      <c r="M726" s="11" t="n"/>
      <c r="N726" s="11" t="n"/>
      <c r="O726" s="11" t="n"/>
      <c r="P726" s="12" t="n"/>
      <c r="Q726" s="11" t="n"/>
      <c r="R726" s="12" t="n"/>
      <c r="S726" s="11" t="n"/>
      <c r="T726" s="12" t="n"/>
      <c r="U726" s="12" t="n"/>
      <c r="V726" s="14">
        <f>IF($AN726="",IF($B726="","",$H726),IF(INDEX(職員マスタ!$B$6:$B$405,$AN726)="",$H726,INDEX(職員マスタ!$B$6:$B$405,$AN726)))</f>
        <v/>
      </c>
      <c r="W726" s="14">
        <f>IF($AN726="",IF($B726="","",$R726),IF(INDEX(職員マスタ!$C$6:$C$405,$AN726)="",$R726,INDEX(職員マスタ!$C$6:$C$405,$AN726)))</f>
        <v/>
      </c>
      <c r="X726" s="14">
        <f>IF($AO726="","","R"&amp;$C726&amp;"."&amp;$D726)</f>
        <v/>
      </c>
      <c r="Y726" s="15">
        <f>IF($AN726="","",IF(INDEX(職員マスタ!$K$6:$K$405,$AN726)="","",INDEX(職員マスタ!$K$6:$K$405,$AN726)))</f>
        <v/>
      </c>
      <c r="Z726" s="14">
        <f>IF(OR($E726="",$Y726=""),"",IF($E726&gt;=$Y726,"×",IF($E726&gt;=$Y726*設定!$C$5,"△","○")))</f>
        <v/>
      </c>
      <c r="AA726" s="15">
        <f>IF($Z726="","",IF($Z726="×",0,IF($Z726="○",ROUNDDOWN($E726*設定!$C$4,0),ROUNDDOWN($E726*ROUND((9*$Y726-9*$E726)/(10*$E726),4),0))))</f>
        <v/>
      </c>
      <c r="AB726" s="13" t="n"/>
      <c r="AC726" s="15">
        <f>IF($B726="","",IF($AB726&lt;&gt;"",$AB726,IF($AA726="","",IF($AA726&lt;=設定!$C$3,0,$AA726))))</f>
        <v/>
      </c>
      <c r="AD726" s="14">
        <f>IF($B726="","",IF(AND($AE726&lt;&gt;"",$AG726="",$AJ726=""),"保留中",IF($AJ726&lt;&gt;"",IF(N($AC726)&gt;0,"支給済","不支給"),IF($AC726="","要確認",IF($AC726=0,"不支給","未処理")))))</f>
        <v/>
      </c>
      <c r="AE726" s="12" t="n"/>
      <c r="AF726" s="11" t="n"/>
      <c r="AG726" s="11" t="n"/>
      <c r="AH726" s="11" t="n"/>
      <c r="AI726" s="14">
        <f>IF(AND($AD726="保留中",$AF726&lt;&gt;""),TODAY()-$AF726,"")</f>
        <v/>
      </c>
      <c r="AJ726" s="12" t="n"/>
      <c r="AK726" s="14">
        <f>IF($B726="","",IF($AO726="","対象年月が未入力／","")&amp;IF($B726="","",IF($AN726="","職員マスタに未登録の職員番号／",IF($Y726="","標準報酬月額が未登録／","")&amp;IF(AND($AO726&lt;&gt;"",OR(AND(INDEX(職員マスタ!$G$6:$G$405,$AN726)&lt;&gt;"",INDEX(職員マスタ!$G$6:$G$405,$AN726)&gt;EOMONTH($AO726,0)),AND(INDEX(職員マスタ!$H$6:$H$405,$AN726)&lt;&gt;"",INDEX(職員マスタ!$H$6:$H$405,$AN726)&lt;$AO726))),"対象月が時短期間外／","")&amp;IF(AND(INDEX(職員マスタ!$F$6:$F$405,$AN726)&lt;&gt;"",$AO726&lt;&gt;"",INDEX(職員マスタ!$F$6:$F$405,$AN726)&lt;$AO726),"対象月に子が2歳到達済／","")&amp;IF(AND($H726&lt;&gt;"",INDEX(職員マスタ!$B$6:$B$405,$AN726)&lt;&gt;"",SUBSTITUTE(SUBSTITUTE($H726," ","")," ","")&lt;&gt;SUBSTITUTE(SUBSTITUTE(INDEX(職員マスタ!$B$6:$B$405,$AN726)," ","")," ","")),"氏名がマスタと相違／","")&amp;IF(AND($Q726&lt;&gt;"",INDEX(職員マスタ!$E$6:$E$405,$AN726)&lt;&gt;"",$Q726&lt;&gt;INDEX(職員マスタ!$E$6:$E$405,$AN726)),"子の生年月日がマスタと相違／","")&amp;IF(AND($L726&lt;&gt;"",INDEX(職員マスタ!$G$6:$G$405,$AN726)&lt;&gt;"",$L726&lt;&gt;INDEX(職員マスタ!$G$6:$G$405,$AN726)),"時短開始日がマスタと相違／","")&amp;IF(AND($M726&lt;&gt;"",INDEX(職員マスタ!$H$6:$H$405,$AN726)&lt;&gt;"",$M726&lt;&gt;INDEX(職員マスタ!$H$6:$H$405,$AN726)),"時短終了日がマスタと相違／","")))&amp;IF(AND($B726&lt;&gt;"",$E726=""),"報酬額が未入力／","")&amp;IF(N($U726)&gt;0,"申請書に入力エラーが残っています／","")&amp;IF(AND($B726&lt;&gt;"",$AO726&lt;&gt;""),IF(COUNTIFS($B$6:$B$3005,$B726,$C$6:$C$3005,$C726,$D$6:$D$3005,$D726)&gt;1,"同じ月の請求が重複しています／",""),"")&amp;IF(AND(N($E726)&gt;0,$Z726&lt;&gt;"",$Z726&lt;&gt;"×",$AC726=0,$AB726=""),"計算額が下限以下のため不支給／",""))</f>
        <v/>
      </c>
      <c r="AL726" s="12" t="n"/>
      <c r="AM726" s="14">
        <f>IF($AD726="保留中",COUNTIF($AD$6:$AD726,"保留中"),"")</f>
        <v/>
      </c>
      <c r="AN726" s="14">
        <f>IF($AO726="","",IF(SUMPRODUCT(MAX((職員マスタ!$A$6:$A$405=$B726)*(((職員マスタ!$G$6:$G$405="")+(職員マスタ!$G$6:$G$405&lt;=EOMONTH($AO726,0)))&gt;0)*(((職員マスタ!$H$6:$H$405="")+(職員マスタ!$H$6:$H$405&gt;=$AO726))&gt;0)*(ROW(職員マスタ!$A$6:$A$405)-5)))&gt;0,SUMPRODUCT(MAX((職員マスタ!$A$6:$A$405=$B726)*(((職員マスタ!$G$6:$G$405="")+(職員マスタ!$G$6:$G$405&lt;=EOMONTH($AO726,0)))&gt;0)*(((職員マスタ!$H$6:$H$405="")+(職員マスタ!$H$6:$H$405&gt;=$AO726))&gt;0)*(ROW(職員マスタ!$A$6:$A$405)-5))),IFERROR(MATCH($B726,職員マスタ!$A$6:$A$405,0),"")))</f>
        <v/>
      </c>
      <c r="AO726" s="16">
        <f>IF(OR($B726="",$C726="",$D726=""),"",DATE($C726+2018,$D726,1))</f>
        <v/>
      </c>
    </row>
    <row r="727">
      <c r="A727" s="11" t="n"/>
      <c r="B727" s="12" t="n"/>
      <c r="C727" s="12" t="n"/>
      <c r="D727" s="12" t="n"/>
      <c r="E727" s="13" t="n"/>
      <c r="F727" s="12" t="n"/>
      <c r="G727" s="13" t="n"/>
      <c r="H727" s="12" t="n"/>
      <c r="I727" s="12" t="n"/>
      <c r="J727" s="12" t="n"/>
      <c r="K727" s="12" t="n"/>
      <c r="L727" s="11" t="n"/>
      <c r="M727" s="11" t="n"/>
      <c r="N727" s="11" t="n"/>
      <c r="O727" s="11" t="n"/>
      <c r="P727" s="12" t="n"/>
      <c r="Q727" s="11" t="n"/>
      <c r="R727" s="12" t="n"/>
      <c r="S727" s="11" t="n"/>
      <c r="T727" s="12" t="n"/>
      <c r="U727" s="12" t="n"/>
      <c r="V727" s="14">
        <f>IF($AN727="",IF($B727="","",$H727),IF(INDEX(職員マスタ!$B$6:$B$405,$AN727)="",$H727,INDEX(職員マスタ!$B$6:$B$405,$AN727)))</f>
        <v/>
      </c>
      <c r="W727" s="14">
        <f>IF($AN727="",IF($B727="","",$R727),IF(INDEX(職員マスタ!$C$6:$C$405,$AN727)="",$R727,INDEX(職員マスタ!$C$6:$C$405,$AN727)))</f>
        <v/>
      </c>
      <c r="X727" s="14">
        <f>IF($AO727="","","R"&amp;$C727&amp;"."&amp;$D727)</f>
        <v/>
      </c>
      <c r="Y727" s="15">
        <f>IF($AN727="","",IF(INDEX(職員マスタ!$K$6:$K$405,$AN727)="","",INDEX(職員マスタ!$K$6:$K$405,$AN727)))</f>
        <v/>
      </c>
      <c r="Z727" s="14">
        <f>IF(OR($E727="",$Y727=""),"",IF($E727&gt;=$Y727,"×",IF($E727&gt;=$Y727*設定!$C$5,"△","○")))</f>
        <v/>
      </c>
      <c r="AA727" s="15">
        <f>IF($Z727="","",IF($Z727="×",0,IF($Z727="○",ROUNDDOWN($E727*設定!$C$4,0),ROUNDDOWN($E727*ROUND((9*$Y727-9*$E727)/(10*$E727),4),0))))</f>
        <v/>
      </c>
      <c r="AB727" s="13" t="n"/>
      <c r="AC727" s="15">
        <f>IF($B727="","",IF($AB727&lt;&gt;"",$AB727,IF($AA727="","",IF($AA727&lt;=設定!$C$3,0,$AA727))))</f>
        <v/>
      </c>
      <c r="AD727" s="14">
        <f>IF($B727="","",IF(AND($AE727&lt;&gt;"",$AG727="",$AJ727=""),"保留中",IF($AJ727&lt;&gt;"",IF(N($AC727)&gt;0,"支給済","不支給"),IF($AC727="","要確認",IF($AC727=0,"不支給","未処理")))))</f>
        <v/>
      </c>
      <c r="AE727" s="12" t="n"/>
      <c r="AF727" s="11" t="n"/>
      <c r="AG727" s="11" t="n"/>
      <c r="AH727" s="11" t="n"/>
      <c r="AI727" s="14">
        <f>IF(AND($AD727="保留中",$AF727&lt;&gt;""),TODAY()-$AF727,"")</f>
        <v/>
      </c>
      <c r="AJ727" s="12" t="n"/>
      <c r="AK727" s="14">
        <f>IF($B727="","",IF($AO727="","対象年月が未入力／","")&amp;IF($B727="","",IF($AN727="","職員マスタに未登録の職員番号／",IF($Y727="","標準報酬月額が未登録／","")&amp;IF(AND($AO727&lt;&gt;"",OR(AND(INDEX(職員マスタ!$G$6:$G$405,$AN727)&lt;&gt;"",INDEX(職員マスタ!$G$6:$G$405,$AN727)&gt;EOMONTH($AO727,0)),AND(INDEX(職員マスタ!$H$6:$H$405,$AN727)&lt;&gt;"",INDEX(職員マスタ!$H$6:$H$405,$AN727)&lt;$AO727))),"対象月が時短期間外／","")&amp;IF(AND(INDEX(職員マスタ!$F$6:$F$405,$AN727)&lt;&gt;"",$AO727&lt;&gt;"",INDEX(職員マスタ!$F$6:$F$405,$AN727)&lt;$AO727),"対象月に子が2歳到達済／","")&amp;IF(AND($H727&lt;&gt;"",INDEX(職員マスタ!$B$6:$B$405,$AN727)&lt;&gt;"",SUBSTITUTE(SUBSTITUTE($H727," ","")," ","")&lt;&gt;SUBSTITUTE(SUBSTITUTE(INDEX(職員マスタ!$B$6:$B$405,$AN727)," ","")," ","")),"氏名がマスタと相違／","")&amp;IF(AND($Q727&lt;&gt;"",INDEX(職員マスタ!$E$6:$E$405,$AN727)&lt;&gt;"",$Q727&lt;&gt;INDEX(職員マスタ!$E$6:$E$405,$AN727)),"子の生年月日がマスタと相違／","")&amp;IF(AND($L727&lt;&gt;"",INDEX(職員マスタ!$G$6:$G$405,$AN727)&lt;&gt;"",$L727&lt;&gt;INDEX(職員マスタ!$G$6:$G$405,$AN727)),"時短開始日がマスタと相違／","")&amp;IF(AND($M727&lt;&gt;"",INDEX(職員マスタ!$H$6:$H$405,$AN727)&lt;&gt;"",$M727&lt;&gt;INDEX(職員マスタ!$H$6:$H$405,$AN727)),"時短終了日がマスタと相違／","")))&amp;IF(AND($B727&lt;&gt;"",$E727=""),"報酬額が未入力／","")&amp;IF(N($U727)&gt;0,"申請書に入力エラーが残っています／","")&amp;IF(AND($B727&lt;&gt;"",$AO727&lt;&gt;""),IF(COUNTIFS($B$6:$B$3005,$B727,$C$6:$C$3005,$C727,$D$6:$D$3005,$D727)&gt;1,"同じ月の請求が重複しています／",""),"")&amp;IF(AND(N($E727)&gt;0,$Z727&lt;&gt;"",$Z727&lt;&gt;"×",$AC727=0,$AB727=""),"計算額が下限以下のため不支給／",""))</f>
        <v/>
      </c>
      <c r="AL727" s="12" t="n"/>
      <c r="AM727" s="14">
        <f>IF($AD727="保留中",COUNTIF($AD$6:$AD727,"保留中"),"")</f>
        <v/>
      </c>
      <c r="AN727" s="14">
        <f>IF($AO727="","",IF(SUMPRODUCT(MAX((職員マスタ!$A$6:$A$405=$B727)*(((職員マスタ!$G$6:$G$405="")+(職員マスタ!$G$6:$G$405&lt;=EOMONTH($AO727,0)))&gt;0)*(((職員マスタ!$H$6:$H$405="")+(職員マスタ!$H$6:$H$405&gt;=$AO727))&gt;0)*(ROW(職員マスタ!$A$6:$A$405)-5)))&gt;0,SUMPRODUCT(MAX((職員マスタ!$A$6:$A$405=$B727)*(((職員マスタ!$G$6:$G$405="")+(職員マスタ!$G$6:$G$405&lt;=EOMONTH($AO727,0)))&gt;0)*(((職員マスタ!$H$6:$H$405="")+(職員マスタ!$H$6:$H$405&gt;=$AO727))&gt;0)*(ROW(職員マスタ!$A$6:$A$405)-5))),IFERROR(MATCH($B727,職員マスタ!$A$6:$A$405,0),"")))</f>
        <v/>
      </c>
      <c r="AO727" s="16">
        <f>IF(OR($B727="",$C727="",$D727=""),"",DATE($C727+2018,$D727,1))</f>
        <v/>
      </c>
    </row>
    <row r="728">
      <c r="A728" s="11" t="n"/>
      <c r="B728" s="12" t="n"/>
      <c r="C728" s="12" t="n"/>
      <c r="D728" s="12" t="n"/>
      <c r="E728" s="13" t="n"/>
      <c r="F728" s="12" t="n"/>
      <c r="G728" s="13" t="n"/>
      <c r="H728" s="12" t="n"/>
      <c r="I728" s="12" t="n"/>
      <c r="J728" s="12" t="n"/>
      <c r="K728" s="12" t="n"/>
      <c r="L728" s="11" t="n"/>
      <c r="M728" s="11" t="n"/>
      <c r="N728" s="11" t="n"/>
      <c r="O728" s="11" t="n"/>
      <c r="P728" s="12" t="n"/>
      <c r="Q728" s="11" t="n"/>
      <c r="R728" s="12" t="n"/>
      <c r="S728" s="11" t="n"/>
      <c r="T728" s="12" t="n"/>
      <c r="U728" s="12" t="n"/>
      <c r="V728" s="14">
        <f>IF($AN728="",IF($B728="","",$H728),IF(INDEX(職員マスタ!$B$6:$B$405,$AN728)="",$H728,INDEX(職員マスタ!$B$6:$B$405,$AN728)))</f>
        <v/>
      </c>
      <c r="W728" s="14">
        <f>IF($AN728="",IF($B728="","",$R728),IF(INDEX(職員マスタ!$C$6:$C$405,$AN728)="",$R728,INDEX(職員マスタ!$C$6:$C$405,$AN728)))</f>
        <v/>
      </c>
      <c r="X728" s="14">
        <f>IF($AO728="","","R"&amp;$C728&amp;"."&amp;$D728)</f>
        <v/>
      </c>
      <c r="Y728" s="15">
        <f>IF($AN728="","",IF(INDEX(職員マスタ!$K$6:$K$405,$AN728)="","",INDEX(職員マスタ!$K$6:$K$405,$AN728)))</f>
        <v/>
      </c>
      <c r="Z728" s="14">
        <f>IF(OR($E728="",$Y728=""),"",IF($E728&gt;=$Y728,"×",IF($E728&gt;=$Y728*設定!$C$5,"△","○")))</f>
        <v/>
      </c>
      <c r="AA728" s="15">
        <f>IF($Z728="","",IF($Z728="×",0,IF($Z728="○",ROUNDDOWN($E728*設定!$C$4,0),ROUNDDOWN($E728*ROUND((9*$Y728-9*$E728)/(10*$E728),4),0))))</f>
        <v/>
      </c>
      <c r="AB728" s="13" t="n"/>
      <c r="AC728" s="15">
        <f>IF($B728="","",IF($AB728&lt;&gt;"",$AB728,IF($AA728="","",IF($AA728&lt;=設定!$C$3,0,$AA728))))</f>
        <v/>
      </c>
      <c r="AD728" s="14">
        <f>IF($B728="","",IF(AND($AE728&lt;&gt;"",$AG728="",$AJ728=""),"保留中",IF($AJ728&lt;&gt;"",IF(N($AC728)&gt;0,"支給済","不支給"),IF($AC728="","要確認",IF($AC728=0,"不支給","未処理")))))</f>
        <v/>
      </c>
      <c r="AE728" s="12" t="n"/>
      <c r="AF728" s="11" t="n"/>
      <c r="AG728" s="11" t="n"/>
      <c r="AH728" s="11" t="n"/>
      <c r="AI728" s="14">
        <f>IF(AND($AD728="保留中",$AF728&lt;&gt;""),TODAY()-$AF728,"")</f>
        <v/>
      </c>
      <c r="AJ728" s="12" t="n"/>
      <c r="AK728" s="14">
        <f>IF($B728="","",IF($AO728="","対象年月が未入力／","")&amp;IF($B728="","",IF($AN728="","職員マスタに未登録の職員番号／",IF($Y728="","標準報酬月額が未登録／","")&amp;IF(AND($AO728&lt;&gt;"",OR(AND(INDEX(職員マスタ!$G$6:$G$405,$AN728)&lt;&gt;"",INDEX(職員マスタ!$G$6:$G$405,$AN728)&gt;EOMONTH($AO728,0)),AND(INDEX(職員マスタ!$H$6:$H$405,$AN728)&lt;&gt;"",INDEX(職員マスタ!$H$6:$H$405,$AN728)&lt;$AO728))),"対象月が時短期間外／","")&amp;IF(AND(INDEX(職員マスタ!$F$6:$F$405,$AN728)&lt;&gt;"",$AO728&lt;&gt;"",INDEX(職員マスタ!$F$6:$F$405,$AN728)&lt;$AO728),"対象月に子が2歳到達済／","")&amp;IF(AND($H728&lt;&gt;"",INDEX(職員マスタ!$B$6:$B$405,$AN728)&lt;&gt;"",SUBSTITUTE(SUBSTITUTE($H728," ","")," ","")&lt;&gt;SUBSTITUTE(SUBSTITUTE(INDEX(職員マスタ!$B$6:$B$405,$AN728)," ","")," ","")),"氏名がマスタと相違／","")&amp;IF(AND($Q728&lt;&gt;"",INDEX(職員マスタ!$E$6:$E$405,$AN728)&lt;&gt;"",$Q728&lt;&gt;INDEX(職員マスタ!$E$6:$E$405,$AN728)),"子の生年月日がマスタと相違／","")&amp;IF(AND($L728&lt;&gt;"",INDEX(職員マスタ!$G$6:$G$405,$AN728)&lt;&gt;"",$L728&lt;&gt;INDEX(職員マスタ!$G$6:$G$405,$AN728)),"時短開始日がマスタと相違／","")&amp;IF(AND($M728&lt;&gt;"",INDEX(職員マスタ!$H$6:$H$405,$AN728)&lt;&gt;"",$M728&lt;&gt;INDEX(職員マスタ!$H$6:$H$405,$AN728)),"時短終了日がマスタと相違／","")))&amp;IF(AND($B728&lt;&gt;"",$E728=""),"報酬額が未入力／","")&amp;IF(N($U728)&gt;0,"申請書に入力エラーが残っています／","")&amp;IF(AND($B728&lt;&gt;"",$AO728&lt;&gt;""),IF(COUNTIFS($B$6:$B$3005,$B728,$C$6:$C$3005,$C728,$D$6:$D$3005,$D728)&gt;1,"同じ月の請求が重複しています／",""),"")&amp;IF(AND(N($E728)&gt;0,$Z728&lt;&gt;"",$Z728&lt;&gt;"×",$AC728=0,$AB728=""),"計算額が下限以下のため不支給／",""))</f>
        <v/>
      </c>
      <c r="AL728" s="12" t="n"/>
      <c r="AM728" s="14">
        <f>IF($AD728="保留中",COUNTIF($AD$6:$AD728,"保留中"),"")</f>
        <v/>
      </c>
      <c r="AN728" s="14">
        <f>IF($AO728="","",IF(SUMPRODUCT(MAX((職員マスタ!$A$6:$A$405=$B728)*(((職員マスタ!$G$6:$G$405="")+(職員マスタ!$G$6:$G$405&lt;=EOMONTH($AO728,0)))&gt;0)*(((職員マスタ!$H$6:$H$405="")+(職員マスタ!$H$6:$H$405&gt;=$AO728))&gt;0)*(ROW(職員マスタ!$A$6:$A$405)-5)))&gt;0,SUMPRODUCT(MAX((職員マスタ!$A$6:$A$405=$B728)*(((職員マスタ!$G$6:$G$405="")+(職員マスタ!$G$6:$G$405&lt;=EOMONTH($AO728,0)))&gt;0)*(((職員マスタ!$H$6:$H$405="")+(職員マスタ!$H$6:$H$405&gt;=$AO728))&gt;0)*(ROW(職員マスタ!$A$6:$A$405)-5))),IFERROR(MATCH($B728,職員マスタ!$A$6:$A$405,0),"")))</f>
        <v/>
      </c>
      <c r="AO728" s="16">
        <f>IF(OR($B728="",$C728="",$D728=""),"",DATE($C728+2018,$D728,1))</f>
        <v/>
      </c>
    </row>
    <row r="729">
      <c r="A729" s="11" t="n"/>
      <c r="B729" s="12" t="n"/>
      <c r="C729" s="12" t="n"/>
      <c r="D729" s="12" t="n"/>
      <c r="E729" s="13" t="n"/>
      <c r="F729" s="12" t="n"/>
      <c r="G729" s="13" t="n"/>
      <c r="H729" s="12" t="n"/>
      <c r="I729" s="12" t="n"/>
      <c r="J729" s="12" t="n"/>
      <c r="K729" s="12" t="n"/>
      <c r="L729" s="11" t="n"/>
      <c r="M729" s="11" t="n"/>
      <c r="N729" s="11" t="n"/>
      <c r="O729" s="11" t="n"/>
      <c r="P729" s="12" t="n"/>
      <c r="Q729" s="11" t="n"/>
      <c r="R729" s="12" t="n"/>
      <c r="S729" s="11" t="n"/>
      <c r="T729" s="12" t="n"/>
      <c r="U729" s="12" t="n"/>
      <c r="V729" s="14">
        <f>IF($AN729="",IF($B729="","",$H729),IF(INDEX(職員マスタ!$B$6:$B$405,$AN729)="",$H729,INDEX(職員マスタ!$B$6:$B$405,$AN729)))</f>
        <v/>
      </c>
      <c r="W729" s="14">
        <f>IF($AN729="",IF($B729="","",$R729),IF(INDEX(職員マスタ!$C$6:$C$405,$AN729)="",$R729,INDEX(職員マスタ!$C$6:$C$405,$AN729)))</f>
        <v/>
      </c>
      <c r="X729" s="14">
        <f>IF($AO729="","","R"&amp;$C729&amp;"."&amp;$D729)</f>
        <v/>
      </c>
      <c r="Y729" s="15">
        <f>IF($AN729="","",IF(INDEX(職員マスタ!$K$6:$K$405,$AN729)="","",INDEX(職員マスタ!$K$6:$K$405,$AN729)))</f>
        <v/>
      </c>
      <c r="Z729" s="14">
        <f>IF(OR($E729="",$Y729=""),"",IF($E729&gt;=$Y729,"×",IF($E729&gt;=$Y729*設定!$C$5,"△","○")))</f>
        <v/>
      </c>
      <c r="AA729" s="15">
        <f>IF($Z729="","",IF($Z729="×",0,IF($Z729="○",ROUNDDOWN($E729*設定!$C$4,0),ROUNDDOWN($E729*ROUND((9*$Y729-9*$E729)/(10*$E729),4),0))))</f>
        <v/>
      </c>
      <c r="AB729" s="13" t="n"/>
      <c r="AC729" s="15">
        <f>IF($B729="","",IF($AB729&lt;&gt;"",$AB729,IF($AA729="","",IF($AA729&lt;=設定!$C$3,0,$AA729))))</f>
        <v/>
      </c>
      <c r="AD729" s="14">
        <f>IF($B729="","",IF(AND($AE729&lt;&gt;"",$AG729="",$AJ729=""),"保留中",IF($AJ729&lt;&gt;"",IF(N($AC729)&gt;0,"支給済","不支給"),IF($AC729="","要確認",IF($AC729=0,"不支給","未処理")))))</f>
        <v/>
      </c>
      <c r="AE729" s="12" t="n"/>
      <c r="AF729" s="11" t="n"/>
      <c r="AG729" s="11" t="n"/>
      <c r="AH729" s="11" t="n"/>
      <c r="AI729" s="14">
        <f>IF(AND($AD729="保留中",$AF729&lt;&gt;""),TODAY()-$AF729,"")</f>
        <v/>
      </c>
      <c r="AJ729" s="12" t="n"/>
      <c r="AK729" s="14">
        <f>IF($B729="","",IF($AO729="","対象年月が未入力／","")&amp;IF($B729="","",IF($AN729="","職員マスタに未登録の職員番号／",IF($Y729="","標準報酬月額が未登録／","")&amp;IF(AND($AO729&lt;&gt;"",OR(AND(INDEX(職員マスタ!$G$6:$G$405,$AN729)&lt;&gt;"",INDEX(職員マスタ!$G$6:$G$405,$AN729)&gt;EOMONTH($AO729,0)),AND(INDEX(職員マスタ!$H$6:$H$405,$AN729)&lt;&gt;"",INDEX(職員マスタ!$H$6:$H$405,$AN729)&lt;$AO729))),"対象月が時短期間外／","")&amp;IF(AND(INDEX(職員マスタ!$F$6:$F$405,$AN729)&lt;&gt;"",$AO729&lt;&gt;"",INDEX(職員マスタ!$F$6:$F$405,$AN729)&lt;$AO729),"対象月に子が2歳到達済／","")&amp;IF(AND($H729&lt;&gt;"",INDEX(職員マスタ!$B$6:$B$405,$AN729)&lt;&gt;"",SUBSTITUTE(SUBSTITUTE($H729," ","")," ","")&lt;&gt;SUBSTITUTE(SUBSTITUTE(INDEX(職員マスタ!$B$6:$B$405,$AN729)," ","")," ","")),"氏名がマスタと相違／","")&amp;IF(AND($Q729&lt;&gt;"",INDEX(職員マスタ!$E$6:$E$405,$AN729)&lt;&gt;"",$Q729&lt;&gt;INDEX(職員マスタ!$E$6:$E$405,$AN729)),"子の生年月日がマスタと相違／","")&amp;IF(AND($L729&lt;&gt;"",INDEX(職員マスタ!$G$6:$G$405,$AN729)&lt;&gt;"",$L729&lt;&gt;INDEX(職員マスタ!$G$6:$G$405,$AN729)),"時短開始日がマスタと相違／","")&amp;IF(AND($M729&lt;&gt;"",INDEX(職員マスタ!$H$6:$H$405,$AN729)&lt;&gt;"",$M729&lt;&gt;INDEX(職員マスタ!$H$6:$H$405,$AN729)),"時短終了日がマスタと相違／","")))&amp;IF(AND($B729&lt;&gt;"",$E729=""),"報酬額が未入力／","")&amp;IF(N($U729)&gt;0,"申請書に入力エラーが残っています／","")&amp;IF(AND($B729&lt;&gt;"",$AO729&lt;&gt;""),IF(COUNTIFS($B$6:$B$3005,$B729,$C$6:$C$3005,$C729,$D$6:$D$3005,$D729)&gt;1,"同じ月の請求が重複しています／",""),"")&amp;IF(AND(N($E729)&gt;0,$Z729&lt;&gt;"",$Z729&lt;&gt;"×",$AC729=0,$AB729=""),"計算額が下限以下のため不支給／",""))</f>
        <v/>
      </c>
      <c r="AL729" s="12" t="n"/>
      <c r="AM729" s="14">
        <f>IF($AD729="保留中",COUNTIF($AD$6:$AD729,"保留中"),"")</f>
        <v/>
      </c>
      <c r="AN729" s="14">
        <f>IF($AO729="","",IF(SUMPRODUCT(MAX((職員マスタ!$A$6:$A$405=$B729)*(((職員マスタ!$G$6:$G$405="")+(職員マスタ!$G$6:$G$405&lt;=EOMONTH($AO729,0)))&gt;0)*(((職員マスタ!$H$6:$H$405="")+(職員マスタ!$H$6:$H$405&gt;=$AO729))&gt;0)*(ROW(職員マスタ!$A$6:$A$405)-5)))&gt;0,SUMPRODUCT(MAX((職員マスタ!$A$6:$A$405=$B729)*(((職員マスタ!$G$6:$G$405="")+(職員マスタ!$G$6:$G$405&lt;=EOMONTH($AO729,0)))&gt;0)*(((職員マスタ!$H$6:$H$405="")+(職員マスタ!$H$6:$H$405&gt;=$AO729))&gt;0)*(ROW(職員マスタ!$A$6:$A$405)-5))),IFERROR(MATCH($B729,職員マスタ!$A$6:$A$405,0),"")))</f>
        <v/>
      </c>
      <c r="AO729" s="16">
        <f>IF(OR($B729="",$C729="",$D729=""),"",DATE($C729+2018,$D729,1))</f>
        <v/>
      </c>
    </row>
    <row r="730">
      <c r="A730" s="11" t="n"/>
      <c r="B730" s="12" t="n"/>
      <c r="C730" s="12" t="n"/>
      <c r="D730" s="12" t="n"/>
      <c r="E730" s="13" t="n"/>
      <c r="F730" s="12" t="n"/>
      <c r="G730" s="13" t="n"/>
      <c r="H730" s="12" t="n"/>
      <c r="I730" s="12" t="n"/>
      <c r="J730" s="12" t="n"/>
      <c r="K730" s="12" t="n"/>
      <c r="L730" s="11" t="n"/>
      <c r="M730" s="11" t="n"/>
      <c r="N730" s="11" t="n"/>
      <c r="O730" s="11" t="n"/>
      <c r="P730" s="12" t="n"/>
      <c r="Q730" s="11" t="n"/>
      <c r="R730" s="12" t="n"/>
      <c r="S730" s="11" t="n"/>
      <c r="T730" s="12" t="n"/>
      <c r="U730" s="12" t="n"/>
      <c r="V730" s="14">
        <f>IF($AN730="",IF($B730="","",$H730),IF(INDEX(職員マスタ!$B$6:$B$405,$AN730)="",$H730,INDEX(職員マスタ!$B$6:$B$405,$AN730)))</f>
        <v/>
      </c>
      <c r="W730" s="14">
        <f>IF($AN730="",IF($B730="","",$R730),IF(INDEX(職員マスタ!$C$6:$C$405,$AN730)="",$R730,INDEX(職員マスタ!$C$6:$C$405,$AN730)))</f>
        <v/>
      </c>
      <c r="X730" s="14">
        <f>IF($AO730="","","R"&amp;$C730&amp;"."&amp;$D730)</f>
        <v/>
      </c>
      <c r="Y730" s="15">
        <f>IF($AN730="","",IF(INDEX(職員マスタ!$K$6:$K$405,$AN730)="","",INDEX(職員マスタ!$K$6:$K$405,$AN730)))</f>
        <v/>
      </c>
      <c r="Z730" s="14">
        <f>IF(OR($E730="",$Y730=""),"",IF($E730&gt;=$Y730,"×",IF($E730&gt;=$Y730*設定!$C$5,"△","○")))</f>
        <v/>
      </c>
      <c r="AA730" s="15">
        <f>IF($Z730="","",IF($Z730="×",0,IF($Z730="○",ROUNDDOWN($E730*設定!$C$4,0),ROUNDDOWN($E730*ROUND((9*$Y730-9*$E730)/(10*$E730),4),0))))</f>
        <v/>
      </c>
      <c r="AB730" s="13" t="n"/>
      <c r="AC730" s="15">
        <f>IF($B730="","",IF($AB730&lt;&gt;"",$AB730,IF($AA730="","",IF($AA730&lt;=設定!$C$3,0,$AA730))))</f>
        <v/>
      </c>
      <c r="AD730" s="14">
        <f>IF($B730="","",IF(AND($AE730&lt;&gt;"",$AG730="",$AJ730=""),"保留中",IF($AJ730&lt;&gt;"",IF(N($AC730)&gt;0,"支給済","不支給"),IF($AC730="","要確認",IF($AC730=0,"不支給","未処理")))))</f>
        <v/>
      </c>
      <c r="AE730" s="12" t="n"/>
      <c r="AF730" s="11" t="n"/>
      <c r="AG730" s="11" t="n"/>
      <c r="AH730" s="11" t="n"/>
      <c r="AI730" s="14">
        <f>IF(AND($AD730="保留中",$AF730&lt;&gt;""),TODAY()-$AF730,"")</f>
        <v/>
      </c>
      <c r="AJ730" s="12" t="n"/>
      <c r="AK730" s="14">
        <f>IF($B730="","",IF($AO730="","対象年月が未入力／","")&amp;IF($B730="","",IF($AN730="","職員マスタに未登録の職員番号／",IF($Y730="","標準報酬月額が未登録／","")&amp;IF(AND($AO730&lt;&gt;"",OR(AND(INDEX(職員マスタ!$G$6:$G$405,$AN730)&lt;&gt;"",INDEX(職員マスタ!$G$6:$G$405,$AN730)&gt;EOMONTH($AO730,0)),AND(INDEX(職員マスタ!$H$6:$H$405,$AN730)&lt;&gt;"",INDEX(職員マスタ!$H$6:$H$405,$AN730)&lt;$AO730))),"対象月が時短期間外／","")&amp;IF(AND(INDEX(職員マスタ!$F$6:$F$405,$AN730)&lt;&gt;"",$AO730&lt;&gt;"",INDEX(職員マスタ!$F$6:$F$405,$AN730)&lt;$AO730),"対象月に子が2歳到達済／","")&amp;IF(AND($H730&lt;&gt;"",INDEX(職員マスタ!$B$6:$B$405,$AN730)&lt;&gt;"",SUBSTITUTE(SUBSTITUTE($H730," ","")," ","")&lt;&gt;SUBSTITUTE(SUBSTITUTE(INDEX(職員マスタ!$B$6:$B$405,$AN730)," ","")," ","")),"氏名がマスタと相違／","")&amp;IF(AND($Q730&lt;&gt;"",INDEX(職員マスタ!$E$6:$E$405,$AN730)&lt;&gt;"",$Q730&lt;&gt;INDEX(職員マスタ!$E$6:$E$405,$AN730)),"子の生年月日がマスタと相違／","")&amp;IF(AND($L730&lt;&gt;"",INDEX(職員マスタ!$G$6:$G$405,$AN730)&lt;&gt;"",$L730&lt;&gt;INDEX(職員マスタ!$G$6:$G$405,$AN730)),"時短開始日がマスタと相違／","")&amp;IF(AND($M730&lt;&gt;"",INDEX(職員マスタ!$H$6:$H$405,$AN730)&lt;&gt;"",$M730&lt;&gt;INDEX(職員マスタ!$H$6:$H$405,$AN730)),"時短終了日がマスタと相違／","")))&amp;IF(AND($B730&lt;&gt;"",$E730=""),"報酬額が未入力／","")&amp;IF(N($U730)&gt;0,"申請書に入力エラーが残っています／","")&amp;IF(AND($B730&lt;&gt;"",$AO730&lt;&gt;""),IF(COUNTIFS($B$6:$B$3005,$B730,$C$6:$C$3005,$C730,$D$6:$D$3005,$D730)&gt;1,"同じ月の請求が重複しています／",""),"")&amp;IF(AND(N($E730)&gt;0,$Z730&lt;&gt;"",$Z730&lt;&gt;"×",$AC730=0,$AB730=""),"計算額が下限以下のため不支給／",""))</f>
        <v/>
      </c>
      <c r="AL730" s="12" t="n"/>
      <c r="AM730" s="14">
        <f>IF($AD730="保留中",COUNTIF($AD$6:$AD730,"保留中"),"")</f>
        <v/>
      </c>
      <c r="AN730" s="14">
        <f>IF($AO730="","",IF(SUMPRODUCT(MAX((職員マスタ!$A$6:$A$405=$B730)*(((職員マスタ!$G$6:$G$405="")+(職員マスタ!$G$6:$G$405&lt;=EOMONTH($AO730,0)))&gt;0)*(((職員マスタ!$H$6:$H$405="")+(職員マスタ!$H$6:$H$405&gt;=$AO730))&gt;0)*(ROW(職員マスタ!$A$6:$A$405)-5)))&gt;0,SUMPRODUCT(MAX((職員マスタ!$A$6:$A$405=$B730)*(((職員マスタ!$G$6:$G$405="")+(職員マスタ!$G$6:$G$405&lt;=EOMONTH($AO730,0)))&gt;0)*(((職員マスタ!$H$6:$H$405="")+(職員マスタ!$H$6:$H$405&gt;=$AO730))&gt;0)*(ROW(職員マスタ!$A$6:$A$405)-5))),IFERROR(MATCH($B730,職員マスタ!$A$6:$A$405,0),"")))</f>
        <v/>
      </c>
      <c r="AO730" s="16">
        <f>IF(OR($B730="",$C730="",$D730=""),"",DATE($C730+2018,$D730,1))</f>
        <v/>
      </c>
    </row>
    <row r="731">
      <c r="A731" s="11" t="n"/>
      <c r="B731" s="12" t="n"/>
      <c r="C731" s="12" t="n"/>
      <c r="D731" s="12" t="n"/>
      <c r="E731" s="13" t="n"/>
      <c r="F731" s="12" t="n"/>
      <c r="G731" s="13" t="n"/>
      <c r="H731" s="12" t="n"/>
      <c r="I731" s="12" t="n"/>
      <c r="J731" s="12" t="n"/>
      <c r="K731" s="12" t="n"/>
      <c r="L731" s="11" t="n"/>
      <c r="M731" s="11" t="n"/>
      <c r="N731" s="11" t="n"/>
      <c r="O731" s="11" t="n"/>
      <c r="P731" s="12" t="n"/>
      <c r="Q731" s="11" t="n"/>
      <c r="R731" s="12" t="n"/>
      <c r="S731" s="11" t="n"/>
      <c r="T731" s="12" t="n"/>
      <c r="U731" s="12" t="n"/>
      <c r="V731" s="14">
        <f>IF($AN731="",IF($B731="","",$H731),IF(INDEX(職員マスタ!$B$6:$B$405,$AN731)="",$H731,INDEX(職員マスタ!$B$6:$B$405,$AN731)))</f>
        <v/>
      </c>
      <c r="W731" s="14">
        <f>IF($AN731="",IF($B731="","",$R731),IF(INDEX(職員マスタ!$C$6:$C$405,$AN731)="",$R731,INDEX(職員マスタ!$C$6:$C$405,$AN731)))</f>
        <v/>
      </c>
      <c r="X731" s="14">
        <f>IF($AO731="","","R"&amp;$C731&amp;"."&amp;$D731)</f>
        <v/>
      </c>
      <c r="Y731" s="15">
        <f>IF($AN731="","",IF(INDEX(職員マスタ!$K$6:$K$405,$AN731)="","",INDEX(職員マスタ!$K$6:$K$405,$AN731)))</f>
        <v/>
      </c>
      <c r="Z731" s="14">
        <f>IF(OR($E731="",$Y731=""),"",IF($E731&gt;=$Y731,"×",IF($E731&gt;=$Y731*設定!$C$5,"△","○")))</f>
        <v/>
      </c>
      <c r="AA731" s="15">
        <f>IF($Z731="","",IF($Z731="×",0,IF($Z731="○",ROUNDDOWN($E731*設定!$C$4,0),ROUNDDOWN($E731*ROUND((9*$Y731-9*$E731)/(10*$E731),4),0))))</f>
        <v/>
      </c>
      <c r="AB731" s="13" t="n"/>
      <c r="AC731" s="15">
        <f>IF($B731="","",IF($AB731&lt;&gt;"",$AB731,IF($AA731="","",IF($AA731&lt;=設定!$C$3,0,$AA731))))</f>
        <v/>
      </c>
      <c r="AD731" s="14">
        <f>IF($B731="","",IF(AND($AE731&lt;&gt;"",$AG731="",$AJ731=""),"保留中",IF($AJ731&lt;&gt;"",IF(N($AC731)&gt;0,"支給済","不支給"),IF($AC731="","要確認",IF($AC731=0,"不支給","未処理")))))</f>
        <v/>
      </c>
      <c r="AE731" s="12" t="n"/>
      <c r="AF731" s="11" t="n"/>
      <c r="AG731" s="11" t="n"/>
      <c r="AH731" s="11" t="n"/>
      <c r="AI731" s="14">
        <f>IF(AND($AD731="保留中",$AF731&lt;&gt;""),TODAY()-$AF731,"")</f>
        <v/>
      </c>
      <c r="AJ731" s="12" t="n"/>
      <c r="AK731" s="14">
        <f>IF($B731="","",IF($AO731="","対象年月が未入力／","")&amp;IF($B731="","",IF($AN731="","職員マスタに未登録の職員番号／",IF($Y731="","標準報酬月額が未登録／","")&amp;IF(AND($AO731&lt;&gt;"",OR(AND(INDEX(職員マスタ!$G$6:$G$405,$AN731)&lt;&gt;"",INDEX(職員マスタ!$G$6:$G$405,$AN731)&gt;EOMONTH($AO731,0)),AND(INDEX(職員マスタ!$H$6:$H$405,$AN731)&lt;&gt;"",INDEX(職員マスタ!$H$6:$H$405,$AN731)&lt;$AO731))),"対象月が時短期間外／","")&amp;IF(AND(INDEX(職員マスタ!$F$6:$F$405,$AN731)&lt;&gt;"",$AO731&lt;&gt;"",INDEX(職員マスタ!$F$6:$F$405,$AN731)&lt;$AO731),"対象月に子が2歳到達済／","")&amp;IF(AND($H731&lt;&gt;"",INDEX(職員マスタ!$B$6:$B$405,$AN731)&lt;&gt;"",SUBSTITUTE(SUBSTITUTE($H731," ","")," ","")&lt;&gt;SUBSTITUTE(SUBSTITUTE(INDEX(職員マスタ!$B$6:$B$405,$AN731)," ","")," ","")),"氏名がマスタと相違／","")&amp;IF(AND($Q731&lt;&gt;"",INDEX(職員マスタ!$E$6:$E$405,$AN731)&lt;&gt;"",$Q731&lt;&gt;INDEX(職員マスタ!$E$6:$E$405,$AN731)),"子の生年月日がマスタと相違／","")&amp;IF(AND($L731&lt;&gt;"",INDEX(職員マスタ!$G$6:$G$405,$AN731)&lt;&gt;"",$L731&lt;&gt;INDEX(職員マスタ!$G$6:$G$405,$AN731)),"時短開始日がマスタと相違／","")&amp;IF(AND($M731&lt;&gt;"",INDEX(職員マスタ!$H$6:$H$405,$AN731)&lt;&gt;"",$M731&lt;&gt;INDEX(職員マスタ!$H$6:$H$405,$AN731)),"時短終了日がマスタと相違／","")))&amp;IF(AND($B731&lt;&gt;"",$E731=""),"報酬額が未入力／","")&amp;IF(N($U731)&gt;0,"申請書に入力エラーが残っています／","")&amp;IF(AND($B731&lt;&gt;"",$AO731&lt;&gt;""),IF(COUNTIFS($B$6:$B$3005,$B731,$C$6:$C$3005,$C731,$D$6:$D$3005,$D731)&gt;1,"同じ月の請求が重複しています／",""),"")&amp;IF(AND(N($E731)&gt;0,$Z731&lt;&gt;"",$Z731&lt;&gt;"×",$AC731=0,$AB731=""),"計算額が下限以下のため不支給／",""))</f>
        <v/>
      </c>
      <c r="AL731" s="12" t="n"/>
      <c r="AM731" s="14">
        <f>IF($AD731="保留中",COUNTIF($AD$6:$AD731,"保留中"),"")</f>
        <v/>
      </c>
      <c r="AN731" s="14">
        <f>IF($AO731="","",IF(SUMPRODUCT(MAX((職員マスタ!$A$6:$A$405=$B731)*(((職員マスタ!$G$6:$G$405="")+(職員マスタ!$G$6:$G$405&lt;=EOMONTH($AO731,0)))&gt;0)*(((職員マスタ!$H$6:$H$405="")+(職員マスタ!$H$6:$H$405&gt;=$AO731))&gt;0)*(ROW(職員マスタ!$A$6:$A$405)-5)))&gt;0,SUMPRODUCT(MAX((職員マスタ!$A$6:$A$405=$B731)*(((職員マスタ!$G$6:$G$405="")+(職員マスタ!$G$6:$G$405&lt;=EOMONTH($AO731,0)))&gt;0)*(((職員マスタ!$H$6:$H$405="")+(職員マスタ!$H$6:$H$405&gt;=$AO731))&gt;0)*(ROW(職員マスタ!$A$6:$A$405)-5))),IFERROR(MATCH($B731,職員マスタ!$A$6:$A$405,0),"")))</f>
        <v/>
      </c>
      <c r="AO731" s="16">
        <f>IF(OR($B731="",$C731="",$D731=""),"",DATE($C731+2018,$D731,1))</f>
        <v/>
      </c>
    </row>
    <row r="732">
      <c r="A732" s="11" t="n"/>
      <c r="B732" s="12" t="n"/>
      <c r="C732" s="12" t="n"/>
      <c r="D732" s="12" t="n"/>
      <c r="E732" s="13" t="n"/>
      <c r="F732" s="12" t="n"/>
      <c r="G732" s="13" t="n"/>
      <c r="H732" s="12" t="n"/>
      <c r="I732" s="12" t="n"/>
      <c r="J732" s="12" t="n"/>
      <c r="K732" s="12" t="n"/>
      <c r="L732" s="11" t="n"/>
      <c r="M732" s="11" t="n"/>
      <c r="N732" s="11" t="n"/>
      <c r="O732" s="11" t="n"/>
      <c r="P732" s="12" t="n"/>
      <c r="Q732" s="11" t="n"/>
      <c r="R732" s="12" t="n"/>
      <c r="S732" s="11" t="n"/>
      <c r="T732" s="12" t="n"/>
      <c r="U732" s="12" t="n"/>
      <c r="V732" s="14">
        <f>IF($AN732="",IF($B732="","",$H732),IF(INDEX(職員マスタ!$B$6:$B$405,$AN732)="",$H732,INDEX(職員マスタ!$B$6:$B$405,$AN732)))</f>
        <v/>
      </c>
      <c r="W732" s="14">
        <f>IF($AN732="",IF($B732="","",$R732),IF(INDEX(職員マスタ!$C$6:$C$405,$AN732)="",$R732,INDEX(職員マスタ!$C$6:$C$405,$AN732)))</f>
        <v/>
      </c>
      <c r="X732" s="14">
        <f>IF($AO732="","","R"&amp;$C732&amp;"."&amp;$D732)</f>
        <v/>
      </c>
      <c r="Y732" s="15">
        <f>IF($AN732="","",IF(INDEX(職員マスタ!$K$6:$K$405,$AN732)="","",INDEX(職員マスタ!$K$6:$K$405,$AN732)))</f>
        <v/>
      </c>
      <c r="Z732" s="14">
        <f>IF(OR($E732="",$Y732=""),"",IF($E732&gt;=$Y732,"×",IF($E732&gt;=$Y732*設定!$C$5,"△","○")))</f>
        <v/>
      </c>
      <c r="AA732" s="15">
        <f>IF($Z732="","",IF($Z732="×",0,IF($Z732="○",ROUNDDOWN($E732*設定!$C$4,0),ROUNDDOWN($E732*ROUND((9*$Y732-9*$E732)/(10*$E732),4),0))))</f>
        <v/>
      </c>
      <c r="AB732" s="13" t="n"/>
      <c r="AC732" s="15">
        <f>IF($B732="","",IF($AB732&lt;&gt;"",$AB732,IF($AA732="","",IF($AA732&lt;=設定!$C$3,0,$AA732))))</f>
        <v/>
      </c>
      <c r="AD732" s="14">
        <f>IF($B732="","",IF(AND($AE732&lt;&gt;"",$AG732="",$AJ732=""),"保留中",IF($AJ732&lt;&gt;"",IF(N($AC732)&gt;0,"支給済","不支給"),IF($AC732="","要確認",IF($AC732=0,"不支給","未処理")))))</f>
        <v/>
      </c>
      <c r="AE732" s="12" t="n"/>
      <c r="AF732" s="11" t="n"/>
      <c r="AG732" s="11" t="n"/>
      <c r="AH732" s="11" t="n"/>
      <c r="AI732" s="14">
        <f>IF(AND($AD732="保留中",$AF732&lt;&gt;""),TODAY()-$AF732,"")</f>
        <v/>
      </c>
      <c r="AJ732" s="12" t="n"/>
      <c r="AK732" s="14">
        <f>IF($B732="","",IF($AO732="","対象年月が未入力／","")&amp;IF($B732="","",IF($AN732="","職員マスタに未登録の職員番号／",IF($Y732="","標準報酬月額が未登録／","")&amp;IF(AND($AO732&lt;&gt;"",OR(AND(INDEX(職員マスタ!$G$6:$G$405,$AN732)&lt;&gt;"",INDEX(職員マスタ!$G$6:$G$405,$AN732)&gt;EOMONTH($AO732,0)),AND(INDEX(職員マスタ!$H$6:$H$405,$AN732)&lt;&gt;"",INDEX(職員マスタ!$H$6:$H$405,$AN732)&lt;$AO732))),"対象月が時短期間外／","")&amp;IF(AND(INDEX(職員マスタ!$F$6:$F$405,$AN732)&lt;&gt;"",$AO732&lt;&gt;"",INDEX(職員マスタ!$F$6:$F$405,$AN732)&lt;$AO732),"対象月に子が2歳到達済／","")&amp;IF(AND($H732&lt;&gt;"",INDEX(職員マスタ!$B$6:$B$405,$AN732)&lt;&gt;"",SUBSTITUTE(SUBSTITUTE($H732," ","")," ","")&lt;&gt;SUBSTITUTE(SUBSTITUTE(INDEX(職員マスタ!$B$6:$B$405,$AN732)," ","")," ","")),"氏名がマスタと相違／","")&amp;IF(AND($Q732&lt;&gt;"",INDEX(職員マスタ!$E$6:$E$405,$AN732)&lt;&gt;"",$Q732&lt;&gt;INDEX(職員マスタ!$E$6:$E$405,$AN732)),"子の生年月日がマスタと相違／","")&amp;IF(AND($L732&lt;&gt;"",INDEX(職員マスタ!$G$6:$G$405,$AN732)&lt;&gt;"",$L732&lt;&gt;INDEX(職員マスタ!$G$6:$G$405,$AN732)),"時短開始日がマスタと相違／","")&amp;IF(AND($M732&lt;&gt;"",INDEX(職員マスタ!$H$6:$H$405,$AN732)&lt;&gt;"",$M732&lt;&gt;INDEX(職員マスタ!$H$6:$H$405,$AN732)),"時短終了日がマスタと相違／","")))&amp;IF(AND($B732&lt;&gt;"",$E732=""),"報酬額が未入力／","")&amp;IF(N($U732)&gt;0,"申請書に入力エラーが残っています／","")&amp;IF(AND($B732&lt;&gt;"",$AO732&lt;&gt;""),IF(COUNTIFS($B$6:$B$3005,$B732,$C$6:$C$3005,$C732,$D$6:$D$3005,$D732)&gt;1,"同じ月の請求が重複しています／",""),"")&amp;IF(AND(N($E732)&gt;0,$Z732&lt;&gt;"",$Z732&lt;&gt;"×",$AC732=0,$AB732=""),"計算額が下限以下のため不支給／",""))</f>
        <v/>
      </c>
      <c r="AL732" s="12" t="n"/>
      <c r="AM732" s="14">
        <f>IF($AD732="保留中",COUNTIF($AD$6:$AD732,"保留中"),"")</f>
        <v/>
      </c>
      <c r="AN732" s="14">
        <f>IF($AO732="","",IF(SUMPRODUCT(MAX((職員マスタ!$A$6:$A$405=$B732)*(((職員マスタ!$G$6:$G$405="")+(職員マスタ!$G$6:$G$405&lt;=EOMONTH($AO732,0)))&gt;0)*(((職員マスタ!$H$6:$H$405="")+(職員マスタ!$H$6:$H$405&gt;=$AO732))&gt;0)*(ROW(職員マスタ!$A$6:$A$405)-5)))&gt;0,SUMPRODUCT(MAX((職員マスタ!$A$6:$A$405=$B732)*(((職員マスタ!$G$6:$G$405="")+(職員マスタ!$G$6:$G$405&lt;=EOMONTH($AO732,0)))&gt;0)*(((職員マスタ!$H$6:$H$405="")+(職員マスタ!$H$6:$H$405&gt;=$AO732))&gt;0)*(ROW(職員マスタ!$A$6:$A$405)-5))),IFERROR(MATCH($B732,職員マスタ!$A$6:$A$405,0),"")))</f>
        <v/>
      </c>
      <c r="AO732" s="16">
        <f>IF(OR($B732="",$C732="",$D732=""),"",DATE($C732+2018,$D732,1))</f>
        <v/>
      </c>
    </row>
    <row r="733">
      <c r="A733" s="11" t="n"/>
      <c r="B733" s="12" t="n"/>
      <c r="C733" s="12" t="n"/>
      <c r="D733" s="12" t="n"/>
      <c r="E733" s="13" t="n"/>
      <c r="F733" s="12" t="n"/>
      <c r="G733" s="13" t="n"/>
      <c r="H733" s="12" t="n"/>
      <c r="I733" s="12" t="n"/>
      <c r="J733" s="12" t="n"/>
      <c r="K733" s="12" t="n"/>
      <c r="L733" s="11" t="n"/>
      <c r="M733" s="11" t="n"/>
      <c r="N733" s="11" t="n"/>
      <c r="O733" s="11" t="n"/>
      <c r="P733" s="12" t="n"/>
      <c r="Q733" s="11" t="n"/>
      <c r="R733" s="12" t="n"/>
      <c r="S733" s="11" t="n"/>
      <c r="T733" s="12" t="n"/>
      <c r="U733" s="12" t="n"/>
      <c r="V733" s="14">
        <f>IF($AN733="",IF($B733="","",$H733),IF(INDEX(職員マスタ!$B$6:$B$405,$AN733)="",$H733,INDEX(職員マスタ!$B$6:$B$405,$AN733)))</f>
        <v/>
      </c>
      <c r="W733" s="14">
        <f>IF($AN733="",IF($B733="","",$R733),IF(INDEX(職員マスタ!$C$6:$C$405,$AN733)="",$R733,INDEX(職員マスタ!$C$6:$C$405,$AN733)))</f>
        <v/>
      </c>
      <c r="X733" s="14">
        <f>IF($AO733="","","R"&amp;$C733&amp;"."&amp;$D733)</f>
        <v/>
      </c>
      <c r="Y733" s="15">
        <f>IF($AN733="","",IF(INDEX(職員マスタ!$K$6:$K$405,$AN733)="","",INDEX(職員マスタ!$K$6:$K$405,$AN733)))</f>
        <v/>
      </c>
      <c r="Z733" s="14">
        <f>IF(OR($E733="",$Y733=""),"",IF($E733&gt;=$Y733,"×",IF($E733&gt;=$Y733*設定!$C$5,"△","○")))</f>
        <v/>
      </c>
      <c r="AA733" s="15">
        <f>IF($Z733="","",IF($Z733="×",0,IF($Z733="○",ROUNDDOWN($E733*設定!$C$4,0),ROUNDDOWN($E733*ROUND((9*$Y733-9*$E733)/(10*$E733),4),0))))</f>
        <v/>
      </c>
      <c r="AB733" s="13" t="n"/>
      <c r="AC733" s="15">
        <f>IF($B733="","",IF($AB733&lt;&gt;"",$AB733,IF($AA733="","",IF($AA733&lt;=設定!$C$3,0,$AA733))))</f>
        <v/>
      </c>
      <c r="AD733" s="14">
        <f>IF($B733="","",IF(AND($AE733&lt;&gt;"",$AG733="",$AJ733=""),"保留中",IF($AJ733&lt;&gt;"",IF(N($AC733)&gt;0,"支給済","不支給"),IF($AC733="","要確認",IF($AC733=0,"不支給","未処理")))))</f>
        <v/>
      </c>
      <c r="AE733" s="12" t="n"/>
      <c r="AF733" s="11" t="n"/>
      <c r="AG733" s="11" t="n"/>
      <c r="AH733" s="11" t="n"/>
      <c r="AI733" s="14">
        <f>IF(AND($AD733="保留中",$AF733&lt;&gt;""),TODAY()-$AF733,"")</f>
        <v/>
      </c>
      <c r="AJ733" s="12" t="n"/>
      <c r="AK733" s="14">
        <f>IF($B733="","",IF($AO733="","対象年月が未入力／","")&amp;IF($B733="","",IF($AN733="","職員マスタに未登録の職員番号／",IF($Y733="","標準報酬月額が未登録／","")&amp;IF(AND($AO733&lt;&gt;"",OR(AND(INDEX(職員マスタ!$G$6:$G$405,$AN733)&lt;&gt;"",INDEX(職員マスタ!$G$6:$G$405,$AN733)&gt;EOMONTH($AO733,0)),AND(INDEX(職員マスタ!$H$6:$H$405,$AN733)&lt;&gt;"",INDEX(職員マスタ!$H$6:$H$405,$AN733)&lt;$AO733))),"対象月が時短期間外／","")&amp;IF(AND(INDEX(職員マスタ!$F$6:$F$405,$AN733)&lt;&gt;"",$AO733&lt;&gt;"",INDEX(職員マスタ!$F$6:$F$405,$AN733)&lt;$AO733),"対象月に子が2歳到達済／","")&amp;IF(AND($H733&lt;&gt;"",INDEX(職員マスタ!$B$6:$B$405,$AN733)&lt;&gt;"",SUBSTITUTE(SUBSTITUTE($H733," ","")," ","")&lt;&gt;SUBSTITUTE(SUBSTITUTE(INDEX(職員マスタ!$B$6:$B$405,$AN733)," ","")," ","")),"氏名がマスタと相違／","")&amp;IF(AND($Q733&lt;&gt;"",INDEX(職員マスタ!$E$6:$E$405,$AN733)&lt;&gt;"",$Q733&lt;&gt;INDEX(職員マスタ!$E$6:$E$405,$AN733)),"子の生年月日がマスタと相違／","")&amp;IF(AND($L733&lt;&gt;"",INDEX(職員マスタ!$G$6:$G$405,$AN733)&lt;&gt;"",$L733&lt;&gt;INDEX(職員マスタ!$G$6:$G$405,$AN733)),"時短開始日がマスタと相違／","")&amp;IF(AND($M733&lt;&gt;"",INDEX(職員マスタ!$H$6:$H$405,$AN733)&lt;&gt;"",$M733&lt;&gt;INDEX(職員マスタ!$H$6:$H$405,$AN733)),"時短終了日がマスタと相違／","")))&amp;IF(AND($B733&lt;&gt;"",$E733=""),"報酬額が未入力／","")&amp;IF(N($U733)&gt;0,"申請書に入力エラーが残っています／","")&amp;IF(AND($B733&lt;&gt;"",$AO733&lt;&gt;""),IF(COUNTIFS($B$6:$B$3005,$B733,$C$6:$C$3005,$C733,$D$6:$D$3005,$D733)&gt;1,"同じ月の請求が重複しています／",""),"")&amp;IF(AND(N($E733)&gt;0,$Z733&lt;&gt;"",$Z733&lt;&gt;"×",$AC733=0,$AB733=""),"計算額が下限以下のため不支給／",""))</f>
        <v/>
      </c>
      <c r="AL733" s="12" t="n"/>
      <c r="AM733" s="14">
        <f>IF($AD733="保留中",COUNTIF($AD$6:$AD733,"保留中"),"")</f>
        <v/>
      </c>
      <c r="AN733" s="14">
        <f>IF($AO733="","",IF(SUMPRODUCT(MAX((職員マスタ!$A$6:$A$405=$B733)*(((職員マスタ!$G$6:$G$405="")+(職員マスタ!$G$6:$G$405&lt;=EOMONTH($AO733,0)))&gt;0)*(((職員マスタ!$H$6:$H$405="")+(職員マスタ!$H$6:$H$405&gt;=$AO733))&gt;0)*(ROW(職員マスタ!$A$6:$A$405)-5)))&gt;0,SUMPRODUCT(MAX((職員マスタ!$A$6:$A$405=$B733)*(((職員マスタ!$G$6:$G$405="")+(職員マスタ!$G$6:$G$405&lt;=EOMONTH($AO733,0)))&gt;0)*(((職員マスタ!$H$6:$H$405="")+(職員マスタ!$H$6:$H$405&gt;=$AO733))&gt;0)*(ROW(職員マスタ!$A$6:$A$405)-5))),IFERROR(MATCH($B733,職員マスタ!$A$6:$A$405,0),"")))</f>
        <v/>
      </c>
      <c r="AO733" s="16">
        <f>IF(OR($B733="",$C733="",$D733=""),"",DATE($C733+2018,$D733,1))</f>
        <v/>
      </c>
    </row>
    <row r="734">
      <c r="A734" s="11" t="n"/>
      <c r="B734" s="12" t="n"/>
      <c r="C734" s="12" t="n"/>
      <c r="D734" s="12" t="n"/>
      <c r="E734" s="13" t="n"/>
      <c r="F734" s="12" t="n"/>
      <c r="G734" s="13" t="n"/>
      <c r="H734" s="12" t="n"/>
      <c r="I734" s="12" t="n"/>
      <c r="J734" s="12" t="n"/>
      <c r="K734" s="12" t="n"/>
      <c r="L734" s="11" t="n"/>
      <c r="M734" s="11" t="n"/>
      <c r="N734" s="11" t="n"/>
      <c r="O734" s="11" t="n"/>
      <c r="P734" s="12" t="n"/>
      <c r="Q734" s="11" t="n"/>
      <c r="R734" s="12" t="n"/>
      <c r="S734" s="11" t="n"/>
      <c r="T734" s="12" t="n"/>
      <c r="U734" s="12" t="n"/>
      <c r="V734" s="14">
        <f>IF($AN734="",IF($B734="","",$H734),IF(INDEX(職員マスタ!$B$6:$B$405,$AN734)="",$H734,INDEX(職員マスタ!$B$6:$B$405,$AN734)))</f>
        <v/>
      </c>
      <c r="W734" s="14">
        <f>IF($AN734="",IF($B734="","",$R734),IF(INDEX(職員マスタ!$C$6:$C$405,$AN734)="",$R734,INDEX(職員マスタ!$C$6:$C$405,$AN734)))</f>
        <v/>
      </c>
      <c r="X734" s="14">
        <f>IF($AO734="","","R"&amp;$C734&amp;"."&amp;$D734)</f>
        <v/>
      </c>
      <c r="Y734" s="15">
        <f>IF($AN734="","",IF(INDEX(職員マスタ!$K$6:$K$405,$AN734)="","",INDEX(職員マスタ!$K$6:$K$405,$AN734)))</f>
        <v/>
      </c>
      <c r="Z734" s="14">
        <f>IF(OR($E734="",$Y734=""),"",IF($E734&gt;=$Y734,"×",IF($E734&gt;=$Y734*設定!$C$5,"△","○")))</f>
        <v/>
      </c>
      <c r="AA734" s="15">
        <f>IF($Z734="","",IF($Z734="×",0,IF($Z734="○",ROUNDDOWN($E734*設定!$C$4,0),ROUNDDOWN($E734*ROUND((9*$Y734-9*$E734)/(10*$E734),4),0))))</f>
        <v/>
      </c>
      <c r="AB734" s="13" t="n"/>
      <c r="AC734" s="15">
        <f>IF($B734="","",IF($AB734&lt;&gt;"",$AB734,IF($AA734="","",IF($AA734&lt;=設定!$C$3,0,$AA734))))</f>
        <v/>
      </c>
      <c r="AD734" s="14">
        <f>IF($B734="","",IF(AND($AE734&lt;&gt;"",$AG734="",$AJ734=""),"保留中",IF($AJ734&lt;&gt;"",IF(N($AC734)&gt;0,"支給済","不支給"),IF($AC734="","要確認",IF($AC734=0,"不支給","未処理")))))</f>
        <v/>
      </c>
      <c r="AE734" s="12" t="n"/>
      <c r="AF734" s="11" t="n"/>
      <c r="AG734" s="11" t="n"/>
      <c r="AH734" s="11" t="n"/>
      <c r="AI734" s="14">
        <f>IF(AND($AD734="保留中",$AF734&lt;&gt;""),TODAY()-$AF734,"")</f>
        <v/>
      </c>
      <c r="AJ734" s="12" t="n"/>
      <c r="AK734" s="14">
        <f>IF($B734="","",IF($AO734="","対象年月が未入力／","")&amp;IF($B734="","",IF($AN734="","職員マスタに未登録の職員番号／",IF($Y734="","標準報酬月額が未登録／","")&amp;IF(AND($AO734&lt;&gt;"",OR(AND(INDEX(職員マスタ!$G$6:$G$405,$AN734)&lt;&gt;"",INDEX(職員マスタ!$G$6:$G$405,$AN734)&gt;EOMONTH($AO734,0)),AND(INDEX(職員マスタ!$H$6:$H$405,$AN734)&lt;&gt;"",INDEX(職員マスタ!$H$6:$H$405,$AN734)&lt;$AO734))),"対象月が時短期間外／","")&amp;IF(AND(INDEX(職員マスタ!$F$6:$F$405,$AN734)&lt;&gt;"",$AO734&lt;&gt;"",INDEX(職員マスタ!$F$6:$F$405,$AN734)&lt;$AO734),"対象月に子が2歳到達済／","")&amp;IF(AND($H734&lt;&gt;"",INDEX(職員マスタ!$B$6:$B$405,$AN734)&lt;&gt;"",SUBSTITUTE(SUBSTITUTE($H734," ","")," ","")&lt;&gt;SUBSTITUTE(SUBSTITUTE(INDEX(職員マスタ!$B$6:$B$405,$AN734)," ","")," ","")),"氏名がマスタと相違／","")&amp;IF(AND($Q734&lt;&gt;"",INDEX(職員マスタ!$E$6:$E$405,$AN734)&lt;&gt;"",$Q734&lt;&gt;INDEX(職員マスタ!$E$6:$E$405,$AN734)),"子の生年月日がマスタと相違／","")&amp;IF(AND($L734&lt;&gt;"",INDEX(職員マスタ!$G$6:$G$405,$AN734)&lt;&gt;"",$L734&lt;&gt;INDEX(職員マスタ!$G$6:$G$405,$AN734)),"時短開始日がマスタと相違／","")&amp;IF(AND($M734&lt;&gt;"",INDEX(職員マスタ!$H$6:$H$405,$AN734)&lt;&gt;"",$M734&lt;&gt;INDEX(職員マスタ!$H$6:$H$405,$AN734)),"時短終了日がマスタと相違／","")))&amp;IF(AND($B734&lt;&gt;"",$E734=""),"報酬額が未入力／","")&amp;IF(N($U734)&gt;0,"申請書に入力エラーが残っています／","")&amp;IF(AND($B734&lt;&gt;"",$AO734&lt;&gt;""),IF(COUNTIFS($B$6:$B$3005,$B734,$C$6:$C$3005,$C734,$D$6:$D$3005,$D734)&gt;1,"同じ月の請求が重複しています／",""),"")&amp;IF(AND(N($E734)&gt;0,$Z734&lt;&gt;"",$Z734&lt;&gt;"×",$AC734=0,$AB734=""),"計算額が下限以下のため不支給／",""))</f>
        <v/>
      </c>
      <c r="AL734" s="12" t="n"/>
      <c r="AM734" s="14">
        <f>IF($AD734="保留中",COUNTIF($AD$6:$AD734,"保留中"),"")</f>
        <v/>
      </c>
      <c r="AN734" s="14">
        <f>IF($AO734="","",IF(SUMPRODUCT(MAX((職員マスタ!$A$6:$A$405=$B734)*(((職員マスタ!$G$6:$G$405="")+(職員マスタ!$G$6:$G$405&lt;=EOMONTH($AO734,0)))&gt;0)*(((職員マスタ!$H$6:$H$405="")+(職員マスタ!$H$6:$H$405&gt;=$AO734))&gt;0)*(ROW(職員マスタ!$A$6:$A$405)-5)))&gt;0,SUMPRODUCT(MAX((職員マスタ!$A$6:$A$405=$B734)*(((職員マスタ!$G$6:$G$405="")+(職員マスタ!$G$6:$G$405&lt;=EOMONTH($AO734,0)))&gt;0)*(((職員マスタ!$H$6:$H$405="")+(職員マスタ!$H$6:$H$405&gt;=$AO734))&gt;0)*(ROW(職員マスタ!$A$6:$A$405)-5))),IFERROR(MATCH($B734,職員マスタ!$A$6:$A$405,0),"")))</f>
        <v/>
      </c>
      <c r="AO734" s="16">
        <f>IF(OR($B734="",$C734="",$D734=""),"",DATE($C734+2018,$D734,1))</f>
        <v/>
      </c>
    </row>
    <row r="735">
      <c r="A735" s="11" t="n"/>
      <c r="B735" s="12" t="n"/>
      <c r="C735" s="12" t="n"/>
      <c r="D735" s="12" t="n"/>
      <c r="E735" s="13" t="n"/>
      <c r="F735" s="12" t="n"/>
      <c r="G735" s="13" t="n"/>
      <c r="H735" s="12" t="n"/>
      <c r="I735" s="12" t="n"/>
      <c r="J735" s="12" t="n"/>
      <c r="K735" s="12" t="n"/>
      <c r="L735" s="11" t="n"/>
      <c r="M735" s="11" t="n"/>
      <c r="N735" s="11" t="n"/>
      <c r="O735" s="11" t="n"/>
      <c r="P735" s="12" t="n"/>
      <c r="Q735" s="11" t="n"/>
      <c r="R735" s="12" t="n"/>
      <c r="S735" s="11" t="n"/>
      <c r="T735" s="12" t="n"/>
      <c r="U735" s="12" t="n"/>
      <c r="V735" s="14">
        <f>IF($AN735="",IF($B735="","",$H735),IF(INDEX(職員マスタ!$B$6:$B$405,$AN735)="",$H735,INDEX(職員マスタ!$B$6:$B$405,$AN735)))</f>
        <v/>
      </c>
      <c r="W735" s="14">
        <f>IF($AN735="",IF($B735="","",$R735),IF(INDEX(職員マスタ!$C$6:$C$405,$AN735)="",$R735,INDEX(職員マスタ!$C$6:$C$405,$AN735)))</f>
        <v/>
      </c>
      <c r="X735" s="14">
        <f>IF($AO735="","","R"&amp;$C735&amp;"."&amp;$D735)</f>
        <v/>
      </c>
      <c r="Y735" s="15">
        <f>IF($AN735="","",IF(INDEX(職員マスタ!$K$6:$K$405,$AN735)="","",INDEX(職員マスタ!$K$6:$K$405,$AN735)))</f>
        <v/>
      </c>
      <c r="Z735" s="14">
        <f>IF(OR($E735="",$Y735=""),"",IF($E735&gt;=$Y735,"×",IF($E735&gt;=$Y735*設定!$C$5,"△","○")))</f>
        <v/>
      </c>
      <c r="AA735" s="15">
        <f>IF($Z735="","",IF($Z735="×",0,IF($Z735="○",ROUNDDOWN($E735*設定!$C$4,0),ROUNDDOWN($E735*ROUND((9*$Y735-9*$E735)/(10*$E735),4),0))))</f>
        <v/>
      </c>
      <c r="AB735" s="13" t="n"/>
      <c r="AC735" s="15">
        <f>IF($B735="","",IF($AB735&lt;&gt;"",$AB735,IF($AA735="","",IF($AA735&lt;=設定!$C$3,0,$AA735))))</f>
        <v/>
      </c>
      <c r="AD735" s="14">
        <f>IF($B735="","",IF(AND($AE735&lt;&gt;"",$AG735="",$AJ735=""),"保留中",IF($AJ735&lt;&gt;"",IF(N($AC735)&gt;0,"支給済","不支給"),IF($AC735="","要確認",IF($AC735=0,"不支給","未処理")))))</f>
        <v/>
      </c>
      <c r="AE735" s="12" t="n"/>
      <c r="AF735" s="11" t="n"/>
      <c r="AG735" s="11" t="n"/>
      <c r="AH735" s="11" t="n"/>
      <c r="AI735" s="14">
        <f>IF(AND($AD735="保留中",$AF735&lt;&gt;""),TODAY()-$AF735,"")</f>
        <v/>
      </c>
      <c r="AJ735" s="12" t="n"/>
      <c r="AK735" s="14">
        <f>IF($B735="","",IF($AO735="","対象年月が未入力／","")&amp;IF($B735="","",IF($AN735="","職員マスタに未登録の職員番号／",IF($Y735="","標準報酬月額が未登録／","")&amp;IF(AND($AO735&lt;&gt;"",OR(AND(INDEX(職員マスタ!$G$6:$G$405,$AN735)&lt;&gt;"",INDEX(職員マスタ!$G$6:$G$405,$AN735)&gt;EOMONTH($AO735,0)),AND(INDEX(職員マスタ!$H$6:$H$405,$AN735)&lt;&gt;"",INDEX(職員マスタ!$H$6:$H$405,$AN735)&lt;$AO735))),"対象月が時短期間外／","")&amp;IF(AND(INDEX(職員マスタ!$F$6:$F$405,$AN735)&lt;&gt;"",$AO735&lt;&gt;"",INDEX(職員マスタ!$F$6:$F$405,$AN735)&lt;$AO735),"対象月に子が2歳到達済／","")&amp;IF(AND($H735&lt;&gt;"",INDEX(職員マスタ!$B$6:$B$405,$AN735)&lt;&gt;"",SUBSTITUTE(SUBSTITUTE($H735," ","")," ","")&lt;&gt;SUBSTITUTE(SUBSTITUTE(INDEX(職員マスタ!$B$6:$B$405,$AN735)," ","")," ","")),"氏名がマスタと相違／","")&amp;IF(AND($Q735&lt;&gt;"",INDEX(職員マスタ!$E$6:$E$405,$AN735)&lt;&gt;"",$Q735&lt;&gt;INDEX(職員マスタ!$E$6:$E$405,$AN735)),"子の生年月日がマスタと相違／","")&amp;IF(AND($L735&lt;&gt;"",INDEX(職員マスタ!$G$6:$G$405,$AN735)&lt;&gt;"",$L735&lt;&gt;INDEX(職員マスタ!$G$6:$G$405,$AN735)),"時短開始日がマスタと相違／","")&amp;IF(AND($M735&lt;&gt;"",INDEX(職員マスタ!$H$6:$H$405,$AN735)&lt;&gt;"",$M735&lt;&gt;INDEX(職員マスタ!$H$6:$H$405,$AN735)),"時短終了日がマスタと相違／","")))&amp;IF(AND($B735&lt;&gt;"",$E735=""),"報酬額が未入力／","")&amp;IF(N($U735)&gt;0,"申請書に入力エラーが残っています／","")&amp;IF(AND($B735&lt;&gt;"",$AO735&lt;&gt;""),IF(COUNTIFS($B$6:$B$3005,$B735,$C$6:$C$3005,$C735,$D$6:$D$3005,$D735)&gt;1,"同じ月の請求が重複しています／",""),"")&amp;IF(AND(N($E735)&gt;0,$Z735&lt;&gt;"",$Z735&lt;&gt;"×",$AC735=0,$AB735=""),"計算額が下限以下のため不支給／",""))</f>
        <v/>
      </c>
      <c r="AL735" s="12" t="n"/>
      <c r="AM735" s="14">
        <f>IF($AD735="保留中",COUNTIF($AD$6:$AD735,"保留中"),"")</f>
        <v/>
      </c>
      <c r="AN735" s="14">
        <f>IF($AO735="","",IF(SUMPRODUCT(MAX((職員マスタ!$A$6:$A$405=$B735)*(((職員マスタ!$G$6:$G$405="")+(職員マスタ!$G$6:$G$405&lt;=EOMONTH($AO735,0)))&gt;0)*(((職員マスタ!$H$6:$H$405="")+(職員マスタ!$H$6:$H$405&gt;=$AO735))&gt;0)*(ROW(職員マスタ!$A$6:$A$405)-5)))&gt;0,SUMPRODUCT(MAX((職員マスタ!$A$6:$A$405=$B735)*(((職員マスタ!$G$6:$G$405="")+(職員マスタ!$G$6:$G$405&lt;=EOMONTH($AO735,0)))&gt;0)*(((職員マスタ!$H$6:$H$405="")+(職員マスタ!$H$6:$H$405&gt;=$AO735))&gt;0)*(ROW(職員マスタ!$A$6:$A$405)-5))),IFERROR(MATCH($B735,職員マスタ!$A$6:$A$405,0),"")))</f>
        <v/>
      </c>
      <c r="AO735" s="16">
        <f>IF(OR($B735="",$C735="",$D735=""),"",DATE($C735+2018,$D735,1))</f>
        <v/>
      </c>
    </row>
    <row r="736">
      <c r="A736" s="11" t="n"/>
      <c r="B736" s="12" t="n"/>
      <c r="C736" s="12" t="n"/>
      <c r="D736" s="12" t="n"/>
      <c r="E736" s="13" t="n"/>
      <c r="F736" s="12" t="n"/>
      <c r="G736" s="13" t="n"/>
      <c r="H736" s="12" t="n"/>
      <c r="I736" s="12" t="n"/>
      <c r="J736" s="12" t="n"/>
      <c r="K736" s="12" t="n"/>
      <c r="L736" s="11" t="n"/>
      <c r="M736" s="11" t="n"/>
      <c r="N736" s="11" t="n"/>
      <c r="O736" s="11" t="n"/>
      <c r="P736" s="12" t="n"/>
      <c r="Q736" s="11" t="n"/>
      <c r="R736" s="12" t="n"/>
      <c r="S736" s="11" t="n"/>
      <c r="T736" s="12" t="n"/>
      <c r="U736" s="12" t="n"/>
      <c r="V736" s="14">
        <f>IF($AN736="",IF($B736="","",$H736),IF(INDEX(職員マスタ!$B$6:$B$405,$AN736)="",$H736,INDEX(職員マスタ!$B$6:$B$405,$AN736)))</f>
        <v/>
      </c>
      <c r="W736" s="14">
        <f>IF($AN736="",IF($B736="","",$R736),IF(INDEX(職員マスタ!$C$6:$C$405,$AN736)="",$R736,INDEX(職員マスタ!$C$6:$C$405,$AN736)))</f>
        <v/>
      </c>
      <c r="X736" s="14">
        <f>IF($AO736="","","R"&amp;$C736&amp;"."&amp;$D736)</f>
        <v/>
      </c>
      <c r="Y736" s="15">
        <f>IF($AN736="","",IF(INDEX(職員マスタ!$K$6:$K$405,$AN736)="","",INDEX(職員マスタ!$K$6:$K$405,$AN736)))</f>
        <v/>
      </c>
      <c r="Z736" s="14">
        <f>IF(OR($E736="",$Y736=""),"",IF($E736&gt;=$Y736,"×",IF($E736&gt;=$Y736*設定!$C$5,"△","○")))</f>
        <v/>
      </c>
      <c r="AA736" s="15">
        <f>IF($Z736="","",IF($Z736="×",0,IF($Z736="○",ROUNDDOWN($E736*設定!$C$4,0),ROUNDDOWN($E736*ROUND((9*$Y736-9*$E736)/(10*$E736),4),0))))</f>
        <v/>
      </c>
      <c r="AB736" s="13" t="n"/>
      <c r="AC736" s="15">
        <f>IF($B736="","",IF($AB736&lt;&gt;"",$AB736,IF($AA736="","",IF($AA736&lt;=設定!$C$3,0,$AA736))))</f>
        <v/>
      </c>
      <c r="AD736" s="14">
        <f>IF($B736="","",IF(AND($AE736&lt;&gt;"",$AG736="",$AJ736=""),"保留中",IF($AJ736&lt;&gt;"",IF(N($AC736)&gt;0,"支給済","不支給"),IF($AC736="","要確認",IF($AC736=0,"不支給","未処理")))))</f>
        <v/>
      </c>
      <c r="AE736" s="12" t="n"/>
      <c r="AF736" s="11" t="n"/>
      <c r="AG736" s="11" t="n"/>
      <c r="AH736" s="11" t="n"/>
      <c r="AI736" s="14">
        <f>IF(AND($AD736="保留中",$AF736&lt;&gt;""),TODAY()-$AF736,"")</f>
        <v/>
      </c>
      <c r="AJ736" s="12" t="n"/>
      <c r="AK736" s="14">
        <f>IF($B736="","",IF($AO736="","対象年月が未入力／","")&amp;IF($B736="","",IF($AN736="","職員マスタに未登録の職員番号／",IF($Y736="","標準報酬月額が未登録／","")&amp;IF(AND($AO736&lt;&gt;"",OR(AND(INDEX(職員マスタ!$G$6:$G$405,$AN736)&lt;&gt;"",INDEX(職員マスタ!$G$6:$G$405,$AN736)&gt;EOMONTH($AO736,0)),AND(INDEX(職員マスタ!$H$6:$H$405,$AN736)&lt;&gt;"",INDEX(職員マスタ!$H$6:$H$405,$AN736)&lt;$AO736))),"対象月が時短期間外／","")&amp;IF(AND(INDEX(職員マスタ!$F$6:$F$405,$AN736)&lt;&gt;"",$AO736&lt;&gt;"",INDEX(職員マスタ!$F$6:$F$405,$AN736)&lt;$AO736),"対象月に子が2歳到達済／","")&amp;IF(AND($H736&lt;&gt;"",INDEX(職員マスタ!$B$6:$B$405,$AN736)&lt;&gt;"",SUBSTITUTE(SUBSTITUTE($H736," ","")," ","")&lt;&gt;SUBSTITUTE(SUBSTITUTE(INDEX(職員マスタ!$B$6:$B$405,$AN736)," ","")," ","")),"氏名がマスタと相違／","")&amp;IF(AND($Q736&lt;&gt;"",INDEX(職員マスタ!$E$6:$E$405,$AN736)&lt;&gt;"",$Q736&lt;&gt;INDEX(職員マスタ!$E$6:$E$405,$AN736)),"子の生年月日がマスタと相違／","")&amp;IF(AND($L736&lt;&gt;"",INDEX(職員マスタ!$G$6:$G$405,$AN736)&lt;&gt;"",$L736&lt;&gt;INDEX(職員マスタ!$G$6:$G$405,$AN736)),"時短開始日がマスタと相違／","")&amp;IF(AND($M736&lt;&gt;"",INDEX(職員マスタ!$H$6:$H$405,$AN736)&lt;&gt;"",$M736&lt;&gt;INDEX(職員マスタ!$H$6:$H$405,$AN736)),"時短終了日がマスタと相違／","")))&amp;IF(AND($B736&lt;&gt;"",$E736=""),"報酬額が未入力／","")&amp;IF(N($U736)&gt;0,"申請書に入力エラーが残っています／","")&amp;IF(AND($B736&lt;&gt;"",$AO736&lt;&gt;""),IF(COUNTIFS($B$6:$B$3005,$B736,$C$6:$C$3005,$C736,$D$6:$D$3005,$D736)&gt;1,"同じ月の請求が重複しています／",""),"")&amp;IF(AND(N($E736)&gt;0,$Z736&lt;&gt;"",$Z736&lt;&gt;"×",$AC736=0,$AB736=""),"計算額が下限以下のため不支給／",""))</f>
        <v/>
      </c>
      <c r="AL736" s="12" t="n"/>
      <c r="AM736" s="14">
        <f>IF($AD736="保留中",COUNTIF($AD$6:$AD736,"保留中"),"")</f>
        <v/>
      </c>
      <c r="AN736" s="14">
        <f>IF($AO736="","",IF(SUMPRODUCT(MAX((職員マスタ!$A$6:$A$405=$B736)*(((職員マスタ!$G$6:$G$405="")+(職員マスタ!$G$6:$G$405&lt;=EOMONTH($AO736,0)))&gt;0)*(((職員マスタ!$H$6:$H$405="")+(職員マスタ!$H$6:$H$405&gt;=$AO736))&gt;0)*(ROW(職員マスタ!$A$6:$A$405)-5)))&gt;0,SUMPRODUCT(MAX((職員マスタ!$A$6:$A$405=$B736)*(((職員マスタ!$G$6:$G$405="")+(職員マスタ!$G$6:$G$405&lt;=EOMONTH($AO736,0)))&gt;0)*(((職員マスタ!$H$6:$H$405="")+(職員マスタ!$H$6:$H$405&gt;=$AO736))&gt;0)*(ROW(職員マスタ!$A$6:$A$405)-5))),IFERROR(MATCH($B736,職員マスタ!$A$6:$A$405,0),"")))</f>
        <v/>
      </c>
      <c r="AO736" s="16">
        <f>IF(OR($B736="",$C736="",$D736=""),"",DATE($C736+2018,$D736,1))</f>
        <v/>
      </c>
    </row>
    <row r="737">
      <c r="A737" s="11" t="n"/>
      <c r="B737" s="12" t="n"/>
      <c r="C737" s="12" t="n"/>
      <c r="D737" s="12" t="n"/>
      <c r="E737" s="13" t="n"/>
      <c r="F737" s="12" t="n"/>
      <c r="G737" s="13" t="n"/>
      <c r="H737" s="12" t="n"/>
      <c r="I737" s="12" t="n"/>
      <c r="J737" s="12" t="n"/>
      <c r="K737" s="12" t="n"/>
      <c r="L737" s="11" t="n"/>
      <c r="M737" s="11" t="n"/>
      <c r="N737" s="11" t="n"/>
      <c r="O737" s="11" t="n"/>
      <c r="P737" s="12" t="n"/>
      <c r="Q737" s="11" t="n"/>
      <c r="R737" s="12" t="n"/>
      <c r="S737" s="11" t="n"/>
      <c r="T737" s="12" t="n"/>
      <c r="U737" s="12" t="n"/>
      <c r="V737" s="14">
        <f>IF($AN737="",IF($B737="","",$H737),IF(INDEX(職員マスタ!$B$6:$B$405,$AN737)="",$H737,INDEX(職員マスタ!$B$6:$B$405,$AN737)))</f>
        <v/>
      </c>
      <c r="W737" s="14">
        <f>IF($AN737="",IF($B737="","",$R737),IF(INDEX(職員マスタ!$C$6:$C$405,$AN737)="",$R737,INDEX(職員マスタ!$C$6:$C$405,$AN737)))</f>
        <v/>
      </c>
      <c r="X737" s="14">
        <f>IF($AO737="","","R"&amp;$C737&amp;"."&amp;$D737)</f>
        <v/>
      </c>
      <c r="Y737" s="15">
        <f>IF($AN737="","",IF(INDEX(職員マスタ!$K$6:$K$405,$AN737)="","",INDEX(職員マスタ!$K$6:$K$405,$AN737)))</f>
        <v/>
      </c>
      <c r="Z737" s="14">
        <f>IF(OR($E737="",$Y737=""),"",IF($E737&gt;=$Y737,"×",IF($E737&gt;=$Y737*設定!$C$5,"△","○")))</f>
        <v/>
      </c>
      <c r="AA737" s="15">
        <f>IF($Z737="","",IF($Z737="×",0,IF($Z737="○",ROUNDDOWN($E737*設定!$C$4,0),ROUNDDOWN($E737*ROUND((9*$Y737-9*$E737)/(10*$E737),4),0))))</f>
        <v/>
      </c>
      <c r="AB737" s="13" t="n"/>
      <c r="AC737" s="15">
        <f>IF($B737="","",IF($AB737&lt;&gt;"",$AB737,IF($AA737="","",IF($AA737&lt;=設定!$C$3,0,$AA737))))</f>
        <v/>
      </c>
      <c r="AD737" s="14">
        <f>IF($B737="","",IF(AND($AE737&lt;&gt;"",$AG737="",$AJ737=""),"保留中",IF($AJ737&lt;&gt;"",IF(N($AC737)&gt;0,"支給済","不支給"),IF($AC737="","要確認",IF($AC737=0,"不支給","未処理")))))</f>
        <v/>
      </c>
      <c r="AE737" s="12" t="n"/>
      <c r="AF737" s="11" t="n"/>
      <c r="AG737" s="11" t="n"/>
      <c r="AH737" s="11" t="n"/>
      <c r="AI737" s="14">
        <f>IF(AND($AD737="保留中",$AF737&lt;&gt;""),TODAY()-$AF737,"")</f>
        <v/>
      </c>
      <c r="AJ737" s="12" t="n"/>
      <c r="AK737" s="14">
        <f>IF($B737="","",IF($AO737="","対象年月が未入力／","")&amp;IF($B737="","",IF($AN737="","職員マスタに未登録の職員番号／",IF($Y737="","標準報酬月額が未登録／","")&amp;IF(AND($AO737&lt;&gt;"",OR(AND(INDEX(職員マスタ!$G$6:$G$405,$AN737)&lt;&gt;"",INDEX(職員マスタ!$G$6:$G$405,$AN737)&gt;EOMONTH($AO737,0)),AND(INDEX(職員マスタ!$H$6:$H$405,$AN737)&lt;&gt;"",INDEX(職員マスタ!$H$6:$H$405,$AN737)&lt;$AO737))),"対象月が時短期間外／","")&amp;IF(AND(INDEX(職員マスタ!$F$6:$F$405,$AN737)&lt;&gt;"",$AO737&lt;&gt;"",INDEX(職員マスタ!$F$6:$F$405,$AN737)&lt;$AO737),"対象月に子が2歳到達済／","")&amp;IF(AND($H737&lt;&gt;"",INDEX(職員マスタ!$B$6:$B$405,$AN737)&lt;&gt;"",SUBSTITUTE(SUBSTITUTE($H737," ","")," ","")&lt;&gt;SUBSTITUTE(SUBSTITUTE(INDEX(職員マスタ!$B$6:$B$405,$AN737)," ","")," ","")),"氏名がマスタと相違／","")&amp;IF(AND($Q737&lt;&gt;"",INDEX(職員マスタ!$E$6:$E$405,$AN737)&lt;&gt;"",$Q737&lt;&gt;INDEX(職員マスタ!$E$6:$E$405,$AN737)),"子の生年月日がマスタと相違／","")&amp;IF(AND($L737&lt;&gt;"",INDEX(職員マスタ!$G$6:$G$405,$AN737)&lt;&gt;"",$L737&lt;&gt;INDEX(職員マスタ!$G$6:$G$405,$AN737)),"時短開始日がマスタと相違／","")&amp;IF(AND($M737&lt;&gt;"",INDEX(職員マスタ!$H$6:$H$405,$AN737)&lt;&gt;"",$M737&lt;&gt;INDEX(職員マスタ!$H$6:$H$405,$AN737)),"時短終了日がマスタと相違／","")))&amp;IF(AND($B737&lt;&gt;"",$E737=""),"報酬額が未入力／","")&amp;IF(N($U737)&gt;0,"申請書に入力エラーが残っています／","")&amp;IF(AND($B737&lt;&gt;"",$AO737&lt;&gt;""),IF(COUNTIFS($B$6:$B$3005,$B737,$C$6:$C$3005,$C737,$D$6:$D$3005,$D737)&gt;1,"同じ月の請求が重複しています／",""),"")&amp;IF(AND(N($E737)&gt;0,$Z737&lt;&gt;"",$Z737&lt;&gt;"×",$AC737=0,$AB737=""),"計算額が下限以下のため不支給／",""))</f>
        <v/>
      </c>
      <c r="AL737" s="12" t="n"/>
      <c r="AM737" s="14">
        <f>IF($AD737="保留中",COUNTIF($AD$6:$AD737,"保留中"),"")</f>
        <v/>
      </c>
      <c r="AN737" s="14">
        <f>IF($AO737="","",IF(SUMPRODUCT(MAX((職員マスタ!$A$6:$A$405=$B737)*(((職員マスタ!$G$6:$G$405="")+(職員マスタ!$G$6:$G$405&lt;=EOMONTH($AO737,0)))&gt;0)*(((職員マスタ!$H$6:$H$405="")+(職員マスタ!$H$6:$H$405&gt;=$AO737))&gt;0)*(ROW(職員マスタ!$A$6:$A$405)-5)))&gt;0,SUMPRODUCT(MAX((職員マスタ!$A$6:$A$405=$B737)*(((職員マスタ!$G$6:$G$405="")+(職員マスタ!$G$6:$G$405&lt;=EOMONTH($AO737,0)))&gt;0)*(((職員マスタ!$H$6:$H$405="")+(職員マスタ!$H$6:$H$405&gt;=$AO737))&gt;0)*(ROW(職員マスタ!$A$6:$A$405)-5))),IFERROR(MATCH($B737,職員マスタ!$A$6:$A$405,0),"")))</f>
        <v/>
      </c>
      <c r="AO737" s="16">
        <f>IF(OR($B737="",$C737="",$D737=""),"",DATE($C737+2018,$D737,1))</f>
        <v/>
      </c>
    </row>
    <row r="738">
      <c r="A738" s="11" t="n"/>
      <c r="B738" s="12" t="n"/>
      <c r="C738" s="12" t="n"/>
      <c r="D738" s="12" t="n"/>
      <c r="E738" s="13" t="n"/>
      <c r="F738" s="12" t="n"/>
      <c r="G738" s="13" t="n"/>
      <c r="H738" s="12" t="n"/>
      <c r="I738" s="12" t="n"/>
      <c r="J738" s="12" t="n"/>
      <c r="K738" s="12" t="n"/>
      <c r="L738" s="11" t="n"/>
      <c r="M738" s="11" t="n"/>
      <c r="N738" s="11" t="n"/>
      <c r="O738" s="11" t="n"/>
      <c r="P738" s="12" t="n"/>
      <c r="Q738" s="11" t="n"/>
      <c r="R738" s="12" t="n"/>
      <c r="S738" s="11" t="n"/>
      <c r="T738" s="12" t="n"/>
      <c r="U738" s="12" t="n"/>
      <c r="V738" s="14">
        <f>IF($AN738="",IF($B738="","",$H738),IF(INDEX(職員マスタ!$B$6:$B$405,$AN738)="",$H738,INDEX(職員マスタ!$B$6:$B$405,$AN738)))</f>
        <v/>
      </c>
      <c r="W738" s="14">
        <f>IF($AN738="",IF($B738="","",$R738),IF(INDEX(職員マスタ!$C$6:$C$405,$AN738)="",$R738,INDEX(職員マスタ!$C$6:$C$405,$AN738)))</f>
        <v/>
      </c>
      <c r="X738" s="14">
        <f>IF($AO738="","","R"&amp;$C738&amp;"."&amp;$D738)</f>
        <v/>
      </c>
      <c r="Y738" s="15">
        <f>IF($AN738="","",IF(INDEX(職員マスタ!$K$6:$K$405,$AN738)="","",INDEX(職員マスタ!$K$6:$K$405,$AN738)))</f>
        <v/>
      </c>
      <c r="Z738" s="14">
        <f>IF(OR($E738="",$Y738=""),"",IF($E738&gt;=$Y738,"×",IF($E738&gt;=$Y738*設定!$C$5,"△","○")))</f>
        <v/>
      </c>
      <c r="AA738" s="15">
        <f>IF($Z738="","",IF($Z738="×",0,IF($Z738="○",ROUNDDOWN($E738*設定!$C$4,0),ROUNDDOWN($E738*ROUND((9*$Y738-9*$E738)/(10*$E738),4),0))))</f>
        <v/>
      </c>
      <c r="AB738" s="13" t="n"/>
      <c r="AC738" s="15">
        <f>IF($B738="","",IF($AB738&lt;&gt;"",$AB738,IF($AA738="","",IF($AA738&lt;=設定!$C$3,0,$AA738))))</f>
        <v/>
      </c>
      <c r="AD738" s="14">
        <f>IF($B738="","",IF(AND($AE738&lt;&gt;"",$AG738="",$AJ738=""),"保留中",IF($AJ738&lt;&gt;"",IF(N($AC738)&gt;0,"支給済","不支給"),IF($AC738="","要確認",IF($AC738=0,"不支給","未処理")))))</f>
        <v/>
      </c>
      <c r="AE738" s="12" t="n"/>
      <c r="AF738" s="11" t="n"/>
      <c r="AG738" s="11" t="n"/>
      <c r="AH738" s="11" t="n"/>
      <c r="AI738" s="14">
        <f>IF(AND($AD738="保留中",$AF738&lt;&gt;""),TODAY()-$AF738,"")</f>
        <v/>
      </c>
      <c r="AJ738" s="12" t="n"/>
      <c r="AK738" s="14">
        <f>IF($B738="","",IF($AO738="","対象年月が未入力／","")&amp;IF($B738="","",IF($AN738="","職員マスタに未登録の職員番号／",IF($Y738="","標準報酬月額が未登録／","")&amp;IF(AND($AO738&lt;&gt;"",OR(AND(INDEX(職員マスタ!$G$6:$G$405,$AN738)&lt;&gt;"",INDEX(職員マスタ!$G$6:$G$405,$AN738)&gt;EOMONTH($AO738,0)),AND(INDEX(職員マスタ!$H$6:$H$405,$AN738)&lt;&gt;"",INDEX(職員マスタ!$H$6:$H$405,$AN738)&lt;$AO738))),"対象月が時短期間外／","")&amp;IF(AND(INDEX(職員マスタ!$F$6:$F$405,$AN738)&lt;&gt;"",$AO738&lt;&gt;"",INDEX(職員マスタ!$F$6:$F$405,$AN738)&lt;$AO738),"対象月に子が2歳到達済／","")&amp;IF(AND($H738&lt;&gt;"",INDEX(職員マスタ!$B$6:$B$405,$AN738)&lt;&gt;"",SUBSTITUTE(SUBSTITUTE($H738," ","")," ","")&lt;&gt;SUBSTITUTE(SUBSTITUTE(INDEX(職員マスタ!$B$6:$B$405,$AN738)," ","")," ","")),"氏名がマスタと相違／","")&amp;IF(AND($Q738&lt;&gt;"",INDEX(職員マスタ!$E$6:$E$405,$AN738)&lt;&gt;"",$Q738&lt;&gt;INDEX(職員マスタ!$E$6:$E$405,$AN738)),"子の生年月日がマスタと相違／","")&amp;IF(AND($L738&lt;&gt;"",INDEX(職員マスタ!$G$6:$G$405,$AN738)&lt;&gt;"",$L738&lt;&gt;INDEX(職員マスタ!$G$6:$G$405,$AN738)),"時短開始日がマスタと相違／","")&amp;IF(AND($M738&lt;&gt;"",INDEX(職員マスタ!$H$6:$H$405,$AN738)&lt;&gt;"",$M738&lt;&gt;INDEX(職員マスタ!$H$6:$H$405,$AN738)),"時短終了日がマスタと相違／","")))&amp;IF(AND($B738&lt;&gt;"",$E738=""),"報酬額が未入力／","")&amp;IF(N($U738)&gt;0,"申請書に入力エラーが残っています／","")&amp;IF(AND($B738&lt;&gt;"",$AO738&lt;&gt;""),IF(COUNTIFS($B$6:$B$3005,$B738,$C$6:$C$3005,$C738,$D$6:$D$3005,$D738)&gt;1,"同じ月の請求が重複しています／",""),"")&amp;IF(AND(N($E738)&gt;0,$Z738&lt;&gt;"",$Z738&lt;&gt;"×",$AC738=0,$AB738=""),"計算額が下限以下のため不支給／",""))</f>
        <v/>
      </c>
      <c r="AL738" s="12" t="n"/>
      <c r="AM738" s="14">
        <f>IF($AD738="保留中",COUNTIF($AD$6:$AD738,"保留中"),"")</f>
        <v/>
      </c>
      <c r="AN738" s="14">
        <f>IF($AO738="","",IF(SUMPRODUCT(MAX((職員マスタ!$A$6:$A$405=$B738)*(((職員マスタ!$G$6:$G$405="")+(職員マスタ!$G$6:$G$405&lt;=EOMONTH($AO738,0)))&gt;0)*(((職員マスタ!$H$6:$H$405="")+(職員マスタ!$H$6:$H$405&gt;=$AO738))&gt;0)*(ROW(職員マスタ!$A$6:$A$405)-5)))&gt;0,SUMPRODUCT(MAX((職員マスタ!$A$6:$A$405=$B738)*(((職員マスタ!$G$6:$G$405="")+(職員マスタ!$G$6:$G$405&lt;=EOMONTH($AO738,0)))&gt;0)*(((職員マスタ!$H$6:$H$405="")+(職員マスタ!$H$6:$H$405&gt;=$AO738))&gt;0)*(ROW(職員マスタ!$A$6:$A$405)-5))),IFERROR(MATCH($B738,職員マスタ!$A$6:$A$405,0),"")))</f>
        <v/>
      </c>
      <c r="AO738" s="16">
        <f>IF(OR($B738="",$C738="",$D738=""),"",DATE($C738+2018,$D738,1))</f>
        <v/>
      </c>
    </row>
    <row r="739">
      <c r="A739" s="11" t="n"/>
      <c r="B739" s="12" t="n"/>
      <c r="C739" s="12" t="n"/>
      <c r="D739" s="12" t="n"/>
      <c r="E739" s="13" t="n"/>
      <c r="F739" s="12" t="n"/>
      <c r="G739" s="13" t="n"/>
      <c r="H739" s="12" t="n"/>
      <c r="I739" s="12" t="n"/>
      <c r="J739" s="12" t="n"/>
      <c r="K739" s="12" t="n"/>
      <c r="L739" s="11" t="n"/>
      <c r="M739" s="11" t="n"/>
      <c r="N739" s="11" t="n"/>
      <c r="O739" s="11" t="n"/>
      <c r="P739" s="12" t="n"/>
      <c r="Q739" s="11" t="n"/>
      <c r="R739" s="12" t="n"/>
      <c r="S739" s="11" t="n"/>
      <c r="T739" s="12" t="n"/>
      <c r="U739" s="12" t="n"/>
      <c r="V739" s="14">
        <f>IF($AN739="",IF($B739="","",$H739),IF(INDEX(職員マスタ!$B$6:$B$405,$AN739)="",$H739,INDEX(職員マスタ!$B$6:$B$405,$AN739)))</f>
        <v/>
      </c>
      <c r="W739" s="14">
        <f>IF($AN739="",IF($B739="","",$R739),IF(INDEX(職員マスタ!$C$6:$C$405,$AN739)="",$R739,INDEX(職員マスタ!$C$6:$C$405,$AN739)))</f>
        <v/>
      </c>
      <c r="X739" s="14">
        <f>IF($AO739="","","R"&amp;$C739&amp;"."&amp;$D739)</f>
        <v/>
      </c>
      <c r="Y739" s="15">
        <f>IF($AN739="","",IF(INDEX(職員マスタ!$K$6:$K$405,$AN739)="","",INDEX(職員マスタ!$K$6:$K$405,$AN739)))</f>
        <v/>
      </c>
      <c r="Z739" s="14">
        <f>IF(OR($E739="",$Y739=""),"",IF($E739&gt;=$Y739,"×",IF($E739&gt;=$Y739*設定!$C$5,"△","○")))</f>
        <v/>
      </c>
      <c r="AA739" s="15">
        <f>IF($Z739="","",IF($Z739="×",0,IF($Z739="○",ROUNDDOWN($E739*設定!$C$4,0),ROUNDDOWN($E739*ROUND((9*$Y739-9*$E739)/(10*$E739),4),0))))</f>
        <v/>
      </c>
      <c r="AB739" s="13" t="n"/>
      <c r="AC739" s="15">
        <f>IF($B739="","",IF($AB739&lt;&gt;"",$AB739,IF($AA739="","",IF($AA739&lt;=設定!$C$3,0,$AA739))))</f>
        <v/>
      </c>
      <c r="AD739" s="14">
        <f>IF($B739="","",IF(AND($AE739&lt;&gt;"",$AG739="",$AJ739=""),"保留中",IF($AJ739&lt;&gt;"",IF(N($AC739)&gt;0,"支給済","不支給"),IF($AC739="","要確認",IF($AC739=0,"不支給","未処理")))))</f>
        <v/>
      </c>
      <c r="AE739" s="12" t="n"/>
      <c r="AF739" s="11" t="n"/>
      <c r="AG739" s="11" t="n"/>
      <c r="AH739" s="11" t="n"/>
      <c r="AI739" s="14">
        <f>IF(AND($AD739="保留中",$AF739&lt;&gt;""),TODAY()-$AF739,"")</f>
        <v/>
      </c>
      <c r="AJ739" s="12" t="n"/>
      <c r="AK739" s="14">
        <f>IF($B739="","",IF($AO739="","対象年月が未入力／","")&amp;IF($B739="","",IF($AN739="","職員マスタに未登録の職員番号／",IF($Y739="","標準報酬月額が未登録／","")&amp;IF(AND($AO739&lt;&gt;"",OR(AND(INDEX(職員マスタ!$G$6:$G$405,$AN739)&lt;&gt;"",INDEX(職員マスタ!$G$6:$G$405,$AN739)&gt;EOMONTH($AO739,0)),AND(INDEX(職員マスタ!$H$6:$H$405,$AN739)&lt;&gt;"",INDEX(職員マスタ!$H$6:$H$405,$AN739)&lt;$AO739))),"対象月が時短期間外／","")&amp;IF(AND(INDEX(職員マスタ!$F$6:$F$405,$AN739)&lt;&gt;"",$AO739&lt;&gt;"",INDEX(職員マスタ!$F$6:$F$405,$AN739)&lt;$AO739),"対象月に子が2歳到達済／","")&amp;IF(AND($H739&lt;&gt;"",INDEX(職員マスタ!$B$6:$B$405,$AN739)&lt;&gt;"",SUBSTITUTE(SUBSTITUTE($H739," ","")," ","")&lt;&gt;SUBSTITUTE(SUBSTITUTE(INDEX(職員マスタ!$B$6:$B$405,$AN739)," ","")," ","")),"氏名がマスタと相違／","")&amp;IF(AND($Q739&lt;&gt;"",INDEX(職員マスタ!$E$6:$E$405,$AN739)&lt;&gt;"",$Q739&lt;&gt;INDEX(職員マスタ!$E$6:$E$405,$AN739)),"子の生年月日がマスタと相違／","")&amp;IF(AND($L739&lt;&gt;"",INDEX(職員マスタ!$G$6:$G$405,$AN739)&lt;&gt;"",$L739&lt;&gt;INDEX(職員マスタ!$G$6:$G$405,$AN739)),"時短開始日がマスタと相違／","")&amp;IF(AND($M739&lt;&gt;"",INDEX(職員マスタ!$H$6:$H$405,$AN739)&lt;&gt;"",$M739&lt;&gt;INDEX(職員マスタ!$H$6:$H$405,$AN739)),"時短終了日がマスタと相違／","")))&amp;IF(AND($B739&lt;&gt;"",$E739=""),"報酬額が未入力／","")&amp;IF(N($U739)&gt;0,"申請書に入力エラーが残っています／","")&amp;IF(AND($B739&lt;&gt;"",$AO739&lt;&gt;""),IF(COUNTIFS($B$6:$B$3005,$B739,$C$6:$C$3005,$C739,$D$6:$D$3005,$D739)&gt;1,"同じ月の請求が重複しています／",""),"")&amp;IF(AND(N($E739)&gt;0,$Z739&lt;&gt;"",$Z739&lt;&gt;"×",$AC739=0,$AB739=""),"計算額が下限以下のため不支給／",""))</f>
        <v/>
      </c>
      <c r="AL739" s="12" t="n"/>
      <c r="AM739" s="14">
        <f>IF($AD739="保留中",COUNTIF($AD$6:$AD739,"保留中"),"")</f>
        <v/>
      </c>
      <c r="AN739" s="14">
        <f>IF($AO739="","",IF(SUMPRODUCT(MAX((職員マスタ!$A$6:$A$405=$B739)*(((職員マスタ!$G$6:$G$405="")+(職員マスタ!$G$6:$G$405&lt;=EOMONTH($AO739,0)))&gt;0)*(((職員マスタ!$H$6:$H$405="")+(職員マスタ!$H$6:$H$405&gt;=$AO739))&gt;0)*(ROW(職員マスタ!$A$6:$A$405)-5)))&gt;0,SUMPRODUCT(MAX((職員マスタ!$A$6:$A$405=$B739)*(((職員マスタ!$G$6:$G$405="")+(職員マスタ!$G$6:$G$405&lt;=EOMONTH($AO739,0)))&gt;0)*(((職員マスタ!$H$6:$H$405="")+(職員マスタ!$H$6:$H$405&gt;=$AO739))&gt;0)*(ROW(職員マスタ!$A$6:$A$405)-5))),IFERROR(MATCH($B739,職員マスタ!$A$6:$A$405,0),"")))</f>
        <v/>
      </c>
      <c r="AO739" s="16">
        <f>IF(OR($B739="",$C739="",$D739=""),"",DATE($C739+2018,$D739,1))</f>
        <v/>
      </c>
    </row>
    <row r="740">
      <c r="A740" s="11" t="n"/>
      <c r="B740" s="12" t="n"/>
      <c r="C740" s="12" t="n"/>
      <c r="D740" s="12" t="n"/>
      <c r="E740" s="13" t="n"/>
      <c r="F740" s="12" t="n"/>
      <c r="G740" s="13" t="n"/>
      <c r="H740" s="12" t="n"/>
      <c r="I740" s="12" t="n"/>
      <c r="J740" s="12" t="n"/>
      <c r="K740" s="12" t="n"/>
      <c r="L740" s="11" t="n"/>
      <c r="M740" s="11" t="n"/>
      <c r="N740" s="11" t="n"/>
      <c r="O740" s="11" t="n"/>
      <c r="P740" s="12" t="n"/>
      <c r="Q740" s="11" t="n"/>
      <c r="R740" s="12" t="n"/>
      <c r="S740" s="11" t="n"/>
      <c r="T740" s="12" t="n"/>
      <c r="U740" s="12" t="n"/>
      <c r="V740" s="14">
        <f>IF($AN740="",IF($B740="","",$H740),IF(INDEX(職員マスタ!$B$6:$B$405,$AN740)="",$H740,INDEX(職員マスタ!$B$6:$B$405,$AN740)))</f>
        <v/>
      </c>
      <c r="W740" s="14">
        <f>IF($AN740="",IF($B740="","",$R740),IF(INDEX(職員マスタ!$C$6:$C$405,$AN740)="",$R740,INDEX(職員マスタ!$C$6:$C$405,$AN740)))</f>
        <v/>
      </c>
      <c r="X740" s="14">
        <f>IF($AO740="","","R"&amp;$C740&amp;"."&amp;$D740)</f>
        <v/>
      </c>
      <c r="Y740" s="15">
        <f>IF($AN740="","",IF(INDEX(職員マスタ!$K$6:$K$405,$AN740)="","",INDEX(職員マスタ!$K$6:$K$405,$AN740)))</f>
        <v/>
      </c>
      <c r="Z740" s="14">
        <f>IF(OR($E740="",$Y740=""),"",IF($E740&gt;=$Y740,"×",IF($E740&gt;=$Y740*設定!$C$5,"△","○")))</f>
        <v/>
      </c>
      <c r="AA740" s="15">
        <f>IF($Z740="","",IF($Z740="×",0,IF($Z740="○",ROUNDDOWN($E740*設定!$C$4,0),ROUNDDOWN($E740*ROUND((9*$Y740-9*$E740)/(10*$E740),4),0))))</f>
        <v/>
      </c>
      <c r="AB740" s="13" t="n"/>
      <c r="AC740" s="15">
        <f>IF($B740="","",IF($AB740&lt;&gt;"",$AB740,IF($AA740="","",IF($AA740&lt;=設定!$C$3,0,$AA740))))</f>
        <v/>
      </c>
      <c r="AD740" s="14">
        <f>IF($B740="","",IF(AND($AE740&lt;&gt;"",$AG740="",$AJ740=""),"保留中",IF($AJ740&lt;&gt;"",IF(N($AC740)&gt;0,"支給済","不支給"),IF($AC740="","要確認",IF($AC740=0,"不支給","未処理")))))</f>
        <v/>
      </c>
      <c r="AE740" s="12" t="n"/>
      <c r="AF740" s="11" t="n"/>
      <c r="AG740" s="11" t="n"/>
      <c r="AH740" s="11" t="n"/>
      <c r="AI740" s="14">
        <f>IF(AND($AD740="保留中",$AF740&lt;&gt;""),TODAY()-$AF740,"")</f>
        <v/>
      </c>
      <c r="AJ740" s="12" t="n"/>
      <c r="AK740" s="14">
        <f>IF($B740="","",IF($AO740="","対象年月が未入力／","")&amp;IF($B740="","",IF($AN740="","職員マスタに未登録の職員番号／",IF($Y740="","標準報酬月額が未登録／","")&amp;IF(AND($AO740&lt;&gt;"",OR(AND(INDEX(職員マスタ!$G$6:$G$405,$AN740)&lt;&gt;"",INDEX(職員マスタ!$G$6:$G$405,$AN740)&gt;EOMONTH($AO740,0)),AND(INDEX(職員マスタ!$H$6:$H$405,$AN740)&lt;&gt;"",INDEX(職員マスタ!$H$6:$H$405,$AN740)&lt;$AO740))),"対象月が時短期間外／","")&amp;IF(AND(INDEX(職員マスタ!$F$6:$F$405,$AN740)&lt;&gt;"",$AO740&lt;&gt;"",INDEX(職員マスタ!$F$6:$F$405,$AN740)&lt;$AO740),"対象月に子が2歳到達済／","")&amp;IF(AND($H740&lt;&gt;"",INDEX(職員マスタ!$B$6:$B$405,$AN740)&lt;&gt;"",SUBSTITUTE(SUBSTITUTE($H740," ","")," ","")&lt;&gt;SUBSTITUTE(SUBSTITUTE(INDEX(職員マスタ!$B$6:$B$405,$AN740)," ","")," ","")),"氏名がマスタと相違／","")&amp;IF(AND($Q740&lt;&gt;"",INDEX(職員マスタ!$E$6:$E$405,$AN740)&lt;&gt;"",$Q740&lt;&gt;INDEX(職員マスタ!$E$6:$E$405,$AN740)),"子の生年月日がマスタと相違／","")&amp;IF(AND($L740&lt;&gt;"",INDEX(職員マスタ!$G$6:$G$405,$AN740)&lt;&gt;"",$L740&lt;&gt;INDEX(職員マスタ!$G$6:$G$405,$AN740)),"時短開始日がマスタと相違／","")&amp;IF(AND($M740&lt;&gt;"",INDEX(職員マスタ!$H$6:$H$405,$AN740)&lt;&gt;"",$M740&lt;&gt;INDEX(職員マスタ!$H$6:$H$405,$AN740)),"時短終了日がマスタと相違／","")))&amp;IF(AND($B740&lt;&gt;"",$E740=""),"報酬額が未入力／","")&amp;IF(N($U740)&gt;0,"申請書に入力エラーが残っています／","")&amp;IF(AND($B740&lt;&gt;"",$AO740&lt;&gt;""),IF(COUNTIFS($B$6:$B$3005,$B740,$C$6:$C$3005,$C740,$D$6:$D$3005,$D740)&gt;1,"同じ月の請求が重複しています／",""),"")&amp;IF(AND(N($E740)&gt;0,$Z740&lt;&gt;"",$Z740&lt;&gt;"×",$AC740=0,$AB740=""),"計算額が下限以下のため不支給／",""))</f>
        <v/>
      </c>
      <c r="AL740" s="12" t="n"/>
      <c r="AM740" s="14">
        <f>IF($AD740="保留中",COUNTIF($AD$6:$AD740,"保留中"),"")</f>
        <v/>
      </c>
      <c r="AN740" s="14">
        <f>IF($AO740="","",IF(SUMPRODUCT(MAX((職員マスタ!$A$6:$A$405=$B740)*(((職員マスタ!$G$6:$G$405="")+(職員マスタ!$G$6:$G$405&lt;=EOMONTH($AO740,0)))&gt;0)*(((職員マスタ!$H$6:$H$405="")+(職員マスタ!$H$6:$H$405&gt;=$AO740))&gt;0)*(ROW(職員マスタ!$A$6:$A$405)-5)))&gt;0,SUMPRODUCT(MAX((職員マスタ!$A$6:$A$405=$B740)*(((職員マスタ!$G$6:$G$405="")+(職員マスタ!$G$6:$G$405&lt;=EOMONTH($AO740,0)))&gt;0)*(((職員マスタ!$H$6:$H$405="")+(職員マスタ!$H$6:$H$405&gt;=$AO740))&gt;0)*(ROW(職員マスタ!$A$6:$A$405)-5))),IFERROR(MATCH($B740,職員マスタ!$A$6:$A$405,0),"")))</f>
        <v/>
      </c>
      <c r="AO740" s="16">
        <f>IF(OR($B740="",$C740="",$D740=""),"",DATE($C740+2018,$D740,1))</f>
        <v/>
      </c>
    </row>
    <row r="741">
      <c r="A741" s="11" t="n"/>
      <c r="B741" s="12" t="n"/>
      <c r="C741" s="12" t="n"/>
      <c r="D741" s="12" t="n"/>
      <c r="E741" s="13" t="n"/>
      <c r="F741" s="12" t="n"/>
      <c r="G741" s="13" t="n"/>
      <c r="H741" s="12" t="n"/>
      <c r="I741" s="12" t="n"/>
      <c r="J741" s="12" t="n"/>
      <c r="K741" s="12" t="n"/>
      <c r="L741" s="11" t="n"/>
      <c r="M741" s="11" t="n"/>
      <c r="N741" s="11" t="n"/>
      <c r="O741" s="11" t="n"/>
      <c r="P741" s="12" t="n"/>
      <c r="Q741" s="11" t="n"/>
      <c r="R741" s="12" t="n"/>
      <c r="S741" s="11" t="n"/>
      <c r="T741" s="12" t="n"/>
      <c r="U741" s="12" t="n"/>
      <c r="V741" s="14">
        <f>IF($AN741="",IF($B741="","",$H741),IF(INDEX(職員マスタ!$B$6:$B$405,$AN741)="",$H741,INDEX(職員マスタ!$B$6:$B$405,$AN741)))</f>
        <v/>
      </c>
      <c r="W741" s="14">
        <f>IF($AN741="",IF($B741="","",$R741),IF(INDEX(職員マスタ!$C$6:$C$405,$AN741)="",$R741,INDEX(職員マスタ!$C$6:$C$405,$AN741)))</f>
        <v/>
      </c>
      <c r="X741" s="14">
        <f>IF($AO741="","","R"&amp;$C741&amp;"."&amp;$D741)</f>
        <v/>
      </c>
      <c r="Y741" s="15">
        <f>IF($AN741="","",IF(INDEX(職員マスタ!$K$6:$K$405,$AN741)="","",INDEX(職員マスタ!$K$6:$K$405,$AN741)))</f>
        <v/>
      </c>
      <c r="Z741" s="14">
        <f>IF(OR($E741="",$Y741=""),"",IF($E741&gt;=$Y741,"×",IF($E741&gt;=$Y741*設定!$C$5,"△","○")))</f>
        <v/>
      </c>
      <c r="AA741" s="15">
        <f>IF($Z741="","",IF($Z741="×",0,IF($Z741="○",ROUNDDOWN($E741*設定!$C$4,0),ROUNDDOWN($E741*ROUND((9*$Y741-9*$E741)/(10*$E741),4),0))))</f>
        <v/>
      </c>
      <c r="AB741" s="13" t="n"/>
      <c r="AC741" s="15">
        <f>IF($B741="","",IF($AB741&lt;&gt;"",$AB741,IF($AA741="","",IF($AA741&lt;=設定!$C$3,0,$AA741))))</f>
        <v/>
      </c>
      <c r="AD741" s="14">
        <f>IF($B741="","",IF(AND($AE741&lt;&gt;"",$AG741="",$AJ741=""),"保留中",IF($AJ741&lt;&gt;"",IF(N($AC741)&gt;0,"支給済","不支給"),IF($AC741="","要確認",IF($AC741=0,"不支給","未処理")))))</f>
        <v/>
      </c>
      <c r="AE741" s="12" t="n"/>
      <c r="AF741" s="11" t="n"/>
      <c r="AG741" s="11" t="n"/>
      <c r="AH741" s="11" t="n"/>
      <c r="AI741" s="14">
        <f>IF(AND($AD741="保留中",$AF741&lt;&gt;""),TODAY()-$AF741,"")</f>
        <v/>
      </c>
      <c r="AJ741" s="12" t="n"/>
      <c r="AK741" s="14">
        <f>IF($B741="","",IF($AO741="","対象年月が未入力／","")&amp;IF($B741="","",IF($AN741="","職員マスタに未登録の職員番号／",IF($Y741="","標準報酬月額が未登録／","")&amp;IF(AND($AO741&lt;&gt;"",OR(AND(INDEX(職員マスタ!$G$6:$G$405,$AN741)&lt;&gt;"",INDEX(職員マスタ!$G$6:$G$405,$AN741)&gt;EOMONTH($AO741,0)),AND(INDEX(職員マスタ!$H$6:$H$405,$AN741)&lt;&gt;"",INDEX(職員マスタ!$H$6:$H$405,$AN741)&lt;$AO741))),"対象月が時短期間外／","")&amp;IF(AND(INDEX(職員マスタ!$F$6:$F$405,$AN741)&lt;&gt;"",$AO741&lt;&gt;"",INDEX(職員マスタ!$F$6:$F$405,$AN741)&lt;$AO741),"対象月に子が2歳到達済／","")&amp;IF(AND($H741&lt;&gt;"",INDEX(職員マスタ!$B$6:$B$405,$AN741)&lt;&gt;"",SUBSTITUTE(SUBSTITUTE($H741," ","")," ","")&lt;&gt;SUBSTITUTE(SUBSTITUTE(INDEX(職員マスタ!$B$6:$B$405,$AN741)," ","")," ","")),"氏名がマスタと相違／","")&amp;IF(AND($Q741&lt;&gt;"",INDEX(職員マスタ!$E$6:$E$405,$AN741)&lt;&gt;"",$Q741&lt;&gt;INDEX(職員マスタ!$E$6:$E$405,$AN741)),"子の生年月日がマスタと相違／","")&amp;IF(AND($L741&lt;&gt;"",INDEX(職員マスタ!$G$6:$G$405,$AN741)&lt;&gt;"",$L741&lt;&gt;INDEX(職員マスタ!$G$6:$G$405,$AN741)),"時短開始日がマスタと相違／","")&amp;IF(AND($M741&lt;&gt;"",INDEX(職員マスタ!$H$6:$H$405,$AN741)&lt;&gt;"",$M741&lt;&gt;INDEX(職員マスタ!$H$6:$H$405,$AN741)),"時短終了日がマスタと相違／","")))&amp;IF(AND($B741&lt;&gt;"",$E741=""),"報酬額が未入力／","")&amp;IF(N($U741)&gt;0,"申請書に入力エラーが残っています／","")&amp;IF(AND($B741&lt;&gt;"",$AO741&lt;&gt;""),IF(COUNTIFS($B$6:$B$3005,$B741,$C$6:$C$3005,$C741,$D$6:$D$3005,$D741)&gt;1,"同じ月の請求が重複しています／",""),"")&amp;IF(AND(N($E741)&gt;0,$Z741&lt;&gt;"",$Z741&lt;&gt;"×",$AC741=0,$AB741=""),"計算額が下限以下のため不支給／",""))</f>
        <v/>
      </c>
      <c r="AL741" s="12" t="n"/>
      <c r="AM741" s="14">
        <f>IF($AD741="保留中",COUNTIF($AD$6:$AD741,"保留中"),"")</f>
        <v/>
      </c>
      <c r="AN741" s="14">
        <f>IF($AO741="","",IF(SUMPRODUCT(MAX((職員マスタ!$A$6:$A$405=$B741)*(((職員マスタ!$G$6:$G$405="")+(職員マスタ!$G$6:$G$405&lt;=EOMONTH($AO741,0)))&gt;0)*(((職員マスタ!$H$6:$H$405="")+(職員マスタ!$H$6:$H$405&gt;=$AO741))&gt;0)*(ROW(職員マスタ!$A$6:$A$405)-5)))&gt;0,SUMPRODUCT(MAX((職員マスタ!$A$6:$A$405=$B741)*(((職員マスタ!$G$6:$G$405="")+(職員マスタ!$G$6:$G$405&lt;=EOMONTH($AO741,0)))&gt;0)*(((職員マスタ!$H$6:$H$405="")+(職員マスタ!$H$6:$H$405&gt;=$AO741))&gt;0)*(ROW(職員マスタ!$A$6:$A$405)-5))),IFERROR(MATCH($B741,職員マスタ!$A$6:$A$405,0),"")))</f>
        <v/>
      </c>
      <c r="AO741" s="16">
        <f>IF(OR($B741="",$C741="",$D741=""),"",DATE($C741+2018,$D741,1))</f>
        <v/>
      </c>
    </row>
    <row r="742">
      <c r="A742" s="11" t="n"/>
      <c r="B742" s="12" t="n"/>
      <c r="C742" s="12" t="n"/>
      <c r="D742" s="12" t="n"/>
      <c r="E742" s="13" t="n"/>
      <c r="F742" s="12" t="n"/>
      <c r="G742" s="13" t="n"/>
      <c r="H742" s="12" t="n"/>
      <c r="I742" s="12" t="n"/>
      <c r="J742" s="12" t="n"/>
      <c r="K742" s="12" t="n"/>
      <c r="L742" s="11" t="n"/>
      <c r="M742" s="11" t="n"/>
      <c r="N742" s="11" t="n"/>
      <c r="O742" s="11" t="n"/>
      <c r="P742" s="12" t="n"/>
      <c r="Q742" s="11" t="n"/>
      <c r="R742" s="12" t="n"/>
      <c r="S742" s="11" t="n"/>
      <c r="T742" s="12" t="n"/>
      <c r="U742" s="12" t="n"/>
      <c r="V742" s="14">
        <f>IF($AN742="",IF($B742="","",$H742),IF(INDEX(職員マスタ!$B$6:$B$405,$AN742)="",$H742,INDEX(職員マスタ!$B$6:$B$405,$AN742)))</f>
        <v/>
      </c>
      <c r="W742" s="14">
        <f>IF($AN742="",IF($B742="","",$R742),IF(INDEX(職員マスタ!$C$6:$C$405,$AN742)="",$R742,INDEX(職員マスタ!$C$6:$C$405,$AN742)))</f>
        <v/>
      </c>
      <c r="X742" s="14">
        <f>IF($AO742="","","R"&amp;$C742&amp;"."&amp;$D742)</f>
        <v/>
      </c>
      <c r="Y742" s="15">
        <f>IF($AN742="","",IF(INDEX(職員マスタ!$K$6:$K$405,$AN742)="","",INDEX(職員マスタ!$K$6:$K$405,$AN742)))</f>
        <v/>
      </c>
      <c r="Z742" s="14">
        <f>IF(OR($E742="",$Y742=""),"",IF($E742&gt;=$Y742,"×",IF($E742&gt;=$Y742*設定!$C$5,"△","○")))</f>
        <v/>
      </c>
      <c r="AA742" s="15">
        <f>IF($Z742="","",IF($Z742="×",0,IF($Z742="○",ROUNDDOWN($E742*設定!$C$4,0),ROUNDDOWN($E742*ROUND((9*$Y742-9*$E742)/(10*$E742),4),0))))</f>
        <v/>
      </c>
      <c r="AB742" s="13" t="n"/>
      <c r="AC742" s="15">
        <f>IF($B742="","",IF($AB742&lt;&gt;"",$AB742,IF($AA742="","",IF($AA742&lt;=設定!$C$3,0,$AA742))))</f>
        <v/>
      </c>
      <c r="AD742" s="14">
        <f>IF($B742="","",IF(AND($AE742&lt;&gt;"",$AG742="",$AJ742=""),"保留中",IF($AJ742&lt;&gt;"",IF(N($AC742)&gt;0,"支給済","不支給"),IF($AC742="","要確認",IF($AC742=0,"不支給","未処理")))))</f>
        <v/>
      </c>
      <c r="AE742" s="12" t="n"/>
      <c r="AF742" s="11" t="n"/>
      <c r="AG742" s="11" t="n"/>
      <c r="AH742" s="11" t="n"/>
      <c r="AI742" s="14">
        <f>IF(AND($AD742="保留中",$AF742&lt;&gt;""),TODAY()-$AF742,"")</f>
        <v/>
      </c>
      <c r="AJ742" s="12" t="n"/>
      <c r="AK742" s="14">
        <f>IF($B742="","",IF($AO742="","対象年月が未入力／","")&amp;IF($B742="","",IF($AN742="","職員マスタに未登録の職員番号／",IF($Y742="","標準報酬月額が未登録／","")&amp;IF(AND($AO742&lt;&gt;"",OR(AND(INDEX(職員マスタ!$G$6:$G$405,$AN742)&lt;&gt;"",INDEX(職員マスタ!$G$6:$G$405,$AN742)&gt;EOMONTH($AO742,0)),AND(INDEX(職員マスタ!$H$6:$H$405,$AN742)&lt;&gt;"",INDEX(職員マスタ!$H$6:$H$405,$AN742)&lt;$AO742))),"対象月が時短期間外／","")&amp;IF(AND(INDEX(職員マスタ!$F$6:$F$405,$AN742)&lt;&gt;"",$AO742&lt;&gt;"",INDEX(職員マスタ!$F$6:$F$405,$AN742)&lt;$AO742),"対象月に子が2歳到達済／","")&amp;IF(AND($H742&lt;&gt;"",INDEX(職員マスタ!$B$6:$B$405,$AN742)&lt;&gt;"",SUBSTITUTE(SUBSTITUTE($H742," ","")," ","")&lt;&gt;SUBSTITUTE(SUBSTITUTE(INDEX(職員マスタ!$B$6:$B$405,$AN742)," ","")," ","")),"氏名がマスタと相違／","")&amp;IF(AND($Q742&lt;&gt;"",INDEX(職員マスタ!$E$6:$E$405,$AN742)&lt;&gt;"",$Q742&lt;&gt;INDEX(職員マスタ!$E$6:$E$405,$AN742)),"子の生年月日がマスタと相違／","")&amp;IF(AND($L742&lt;&gt;"",INDEX(職員マスタ!$G$6:$G$405,$AN742)&lt;&gt;"",$L742&lt;&gt;INDEX(職員マスタ!$G$6:$G$405,$AN742)),"時短開始日がマスタと相違／","")&amp;IF(AND($M742&lt;&gt;"",INDEX(職員マスタ!$H$6:$H$405,$AN742)&lt;&gt;"",$M742&lt;&gt;INDEX(職員マスタ!$H$6:$H$405,$AN742)),"時短終了日がマスタと相違／","")))&amp;IF(AND($B742&lt;&gt;"",$E742=""),"報酬額が未入力／","")&amp;IF(N($U742)&gt;0,"申請書に入力エラーが残っています／","")&amp;IF(AND($B742&lt;&gt;"",$AO742&lt;&gt;""),IF(COUNTIFS($B$6:$B$3005,$B742,$C$6:$C$3005,$C742,$D$6:$D$3005,$D742)&gt;1,"同じ月の請求が重複しています／",""),"")&amp;IF(AND(N($E742)&gt;0,$Z742&lt;&gt;"",$Z742&lt;&gt;"×",$AC742=0,$AB742=""),"計算額が下限以下のため不支給／",""))</f>
        <v/>
      </c>
      <c r="AL742" s="12" t="n"/>
      <c r="AM742" s="14">
        <f>IF($AD742="保留中",COUNTIF($AD$6:$AD742,"保留中"),"")</f>
        <v/>
      </c>
      <c r="AN742" s="14">
        <f>IF($AO742="","",IF(SUMPRODUCT(MAX((職員マスタ!$A$6:$A$405=$B742)*(((職員マスタ!$G$6:$G$405="")+(職員マスタ!$G$6:$G$405&lt;=EOMONTH($AO742,0)))&gt;0)*(((職員マスタ!$H$6:$H$405="")+(職員マスタ!$H$6:$H$405&gt;=$AO742))&gt;0)*(ROW(職員マスタ!$A$6:$A$405)-5)))&gt;0,SUMPRODUCT(MAX((職員マスタ!$A$6:$A$405=$B742)*(((職員マスタ!$G$6:$G$405="")+(職員マスタ!$G$6:$G$405&lt;=EOMONTH($AO742,0)))&gt;0)*(((職員マスタ!$H$6:$H$405="")+(職員マスタ!$H$6:$H$405&gt;=$AO742))&gt;0)*(ROW(職員マスタ!$A$6:$A$405)-5))),IFERROR(MATCH($B742,職員マスタ!$A$6:$A$405,0),"")))</f>
        <v/>
      </c>
      <c r="AO742" s="16">
        <f>IF(OR($B742="",$C742="",$D742=""),"",DATE($C742+2018,$D742,1))</f>
        <v/>
      </c>
    </row>
    <row r="743">
      <c r="A743" s="11" t="n"/>
      <c r="B743" s="12" t="n"/>
      <c r="C743" s="12" t="n"/>
      <c r="D743" s="12" t="n"/>
      <c r="E743" s="13" t="n"/>
      <c r="F743" s="12" t="n"/>
      <c r="G743" s="13" t="n"/>
      <c r="H743" s="12" t="n"/>
      <c r="I743" s="12" t="n"/>
      <c r="J743" s="12" t="n"/>
      <c r="K743" s="12" t="n"/>
      <c r="L743" s="11" t="n"/>
      <c r="M743" s="11" t="n"/>
      <c r="N743" s="11" t="n"/>
      <c r="O743" s="11" t="n"/>
      <c r="P743" s="12" t="n"/>
      <c r="Q743" s="11" t="n"/>
      <c r="R743" s="12" t="n"/>
      <c r="S743" s="11" t="n"/>
      <c r="T743" s="12" t="n"/>
      <c r="U743" s="12" t="n"/>
      <c r="V743" s="14">
        <f>IF($AN743="",IF($B743="","",$H743),IF(INDEX(職員マスタ!$B$6:$B$405,$AN743)="",$H743,INDEX(職員マスタ!$B$6:$B$405,$AN743)))</f>
        <v/>
      </c>
      <c r="W743" s="14">
        <f>IF($AN743="",IF($B743="","",$R743),IF(INDEX(職員マスタ!$C$6:$C$405,$AN743)="",$R743,INDEX(職員マスタ!$C$6:$C$405,$AN743)))</f>
        <v/>
      </c>
      <c r="X743" s="14">
        <f>IF($AO743="","","R"&amp;$C743&amp;"."&amp;$D743)</f>
        <v/>
      </c>
      <c r="Y743" s="15">
        <f>IF($AN743="","",IF(INDEX(職員マスタ!$K$6:$K$405,$AN743)="","",INDEX(職員マスタ!$K$6:$K$405,$AN743)))</f>
        <v/>
      </c>
      <c r="Z743" s="14">
        <f>IF(OR($E743="",$Y743=""),"",IF($E743&gt;=$Y743,"×",IF($E743&gt;=$Y743*設定!$C$5,"△","○")))</f>
        <v/>
      </c>
      <c r="AA743" s="15">
        <f>IF($Z743="","",IF($Z743="×",0,IF($Z743="○",ROUNDDOWN($E743*設定!$C$4,0),ROUNDDOWN($E743*ROUND((9*$Y743-9*$E743)/(10*$E743),4),0))))</f>
        <v/>
      </c>
      <c r="AB743" s="13" t="n"/>
      <c r="AC743" s="15">
        <f>IF($B743="","",IF($AB743&lt;&gt;"",$AB743,IF($AA743="","",IF($AA743&lt;=設定!$C$3,0,$AA743))))</f>
        <v/>
      </c>
      <c r="AD743" s="14">
        <f>IF($B743="","",IF(AND($AE743&lt;&gt;"",$AG743="",$AJ743=""),"保留中",IF($AJ743&lt;&gt;"",IF(N($AC743)&gt;0,"支給済","不支給"),IF($AC743="","要確認",IF($AC743=0,"不支給","未処理")))))</f>
        <v/>
      </c>
      <c r="AE743" s="12" t="n"/>
      <c r="AF743" s="11" t="n"/>
      <c r="AG743" s="11" t="n"/>
      <c r="AH743" s="11" t="n"/>
      <c r="AI743" s="14">
        <f>IF(AND($AD743="保留中",$AF743&lt;&gt;""),TODAY()-$AF743,"")</f>
        <v/>
      </c>
      <c r="AJ743" s="12" t="n"/>
      <c r="AK743" s="14">
        <f>IF($B743="","",IF($AO743="","対象年月が未入力／","")&amp;IF($B743="","",IF($AN743="","職員マスタに未登録の職員番号／",IF($Y743="","標準報酬月額が未登録／","")&amp;IF(AND($AO743&lt;&gt;"",OR(AND(INDEX(職員マスタ!$G$6:$G$405,$AN743)&lt;&gt;"",INDEX(職員マスタ!$G$6:$G$405,$AN743)&gt;EOMONTH($AO743,0)),AND(INDEX(職員マスタ!$H$6:$H$405,$AN743)&lt;&gt;"",INDEX(職員マスタ!$H$6:$H$405,$AN743)&lt;$AO743))),"対象月が時短期間外／","")&amp;IF(AND(INDEX(職員マスタ!$F$6:$F$405,$AN743)&lt;&gt;"",$AO743&lt;&gt;"",INDEX(職員マスタ!$F$6:$F$405,$AN743)&lt;$AO743),"対象月に子が2歳到達済／","")&amp;IF(AND($H743&lt;&gt;"",INDEX(職員マスタ!$B$6:$B$405,$AN743)&lt;&gt;"",SUBSTITUTE(SUBSTITUTE($H743," ","")," ","")&lt;&gt;SUBSTITUTE(SUBSTITUTE(INDEX(職員マスタ!$B$6:$B$405,$AN743)," ","")," ","")),"氏名がマスタと相違／","")&amp;IF(AND($Q743&lt;&gt;"",INDEX(職員マスタ!$E$6:$E$405,$AN743)&lt;&gt;"",$Q743&lt;&gt;INDEX(職員マスタ!$E$6:$E$405,$AN743)),"子の生年月日がマスタと相違／","")&amp;IF(AND($L743&lt;&gt;"",INDEX(職員マスタ!$G$6:$G$405,$AN743)&lt;&gt;"",$L743&lt;&gt;INDEX(職員マスタ!$G$6:$G$405,$AN743)),"時短開始日がマスタと相違／","")&amp;IF(AND($M743&lt;&gt;"",INDEX(職員マスタ!$H$6:$H$405,$AN743)&lt;&gt;"",$M743&lt;&gt;INDEX(職員マスタ!$H$6:$H$405,$AN743)),"時短終了日がマスタと相違／","")))&amp;IF(AND($B743&lt;&gt;"",$E743=""),"報酬額が未入力／","")&amp;IF(N($U743)&gt;0,"申請書に入力エラーが残っています／","")&amp;IF(AND($B743&lt;&gt;"",$AO743&lt;&gt;""),IF(COUNTIFS($B$6:$B$3005,$B743,$C$6:$C$3005,$C743,$D$6:$D$3005,$D743)&gt;1,"同じ月の請求が重複しています／",""),"")&amp;IF(AND(N($E743)&gt;0,$Z743&lt;&gt;"",$Z743&lt;&gt;"×",$AC743=0,$AB743=""),"計算額が下限以下のため不支給／",""))</f>
        <v/>
      </c>
      <c r="AL743" s="12" t="n"/>
      <c r="AM743" s="14">
        <f>IF($AD743="保留中",COUNTIF($AD$6:$AD743,"保留中"),"")</f>
        <v/>
      </c>
      <c r="AN743" s="14">
        <f>IF($AO743="","",IF(SUMPRODUCT(MAX((職員マスタ!$A$6:$A$405=$B743)*(((職員マスタ!$G$6:$G$405="")+(職員マスタ!$G$6:$G$405&lt;=EOMONTH($AO743,0)))&gt;0)*(((職員マスタ!$H$6:$H$405="")+(職員マスタ!$H$6:$H$405&gt;=$AO743))&gt;0)*(ROW(職員マスタ!$A$6:$A$405)-5)))&gt;0,SUMPRODUCT(MAX((職員マスタ!$A$6:$A$405=$B743)*(((職員マスタ!$G$6:$G$405="")+(職員マスタ!$G$6:$G$405&lt;=EOMONTH($AO743,0)))&gt;0)*(((職員マスタ!$H$6:$H$405="")+(職員マスタ!$H$6:$H$405&gt;=$AO743))&gt;0)*(ROW(職員マスタ!$A$6:$A$405)-5))),IFERROR(MATCH($B743,職員マスタ!$A$6:$A$405,0),"")))</f>
        <v/>
      </c>
      <c r="AO743" s="16">
        <f>IF(OR($B743="",$C743="",$D743=""),"",DATE($C743+2018,$D743,1))</f>
        <v/>
      </c>
    </row>
    <row r="744">
      <c r="A744" s="11" t="n"/>
      <c r="B744" s="12" t="n"/>
      <c r="C744" s="12" t="n"/>
      <c r="D744" s="12" t="n"/>
      <c r="E744" s="13" t="n"/>
      <c r="F744" s="12" t="n"/>
      <c r="G744" s="13" t="n"/>
      <c r="H744" s="12" t="n"/>
      <c r="I744" s="12" t="n"/>
      <c r="J744" s="12" t="n"/>
      <c r="K744" s="12" t="n"/>
      <c r="L744" s="11" t="n"/>
      <c r="M744" s="11" t="n"/>
      <c r="N744" s="11" t="n"/>
      <c r="O744" s="11" t="n"/>
      <c r="P744" s="12" t="n"/>
      <c r="Q744" s="11" t="n"/>
      <c r="R744" s="12" t="n"/>
      <c r="S744" s="11" t="n"/>
      <c r="T744" s="12" t="n"/>
      <c r="U744" s="12" t="n"/>
      <c r="V744" s="14">
        <f>IF($AN744="",IF($B744="","",$H744),IF(INDEX(職員マスタ!$B$6:$B$405,$AN744)="",$H744,INDEX(職員マスタ!$B$6:$B$405,$AN744)))</f>
        <v/>
      </c>
      <c r="W744" s="14">
        <f>IF($AN744="",IF($B744="","",$R744),IF(INDEX(職員マスタ!$C$6:$C$405,$AN744)="",$R744,INDEX(職員マスタ!$C$6:$C$405,$AN744)))</f>
        <v/>
      </c>
      <c r="X744" s="14">
        <f>IF($AO744="","","R"&amp;$C744&amp;"."&amp;$D744)</f>
        <v/>
      </c>
      <c r="Y744" s="15">
        <f>IF($AN744="","",IF(INDEX(職員マスタ!$K$6:$K$405,$AN744)="","",INDEX(職員マスタ!$K$6:$K$405,$AN744)))</f>
        <v/>
      </c>
      <c r="Z744" s="14">
        <f>IF(OR($E744="",$Y744=""),"",IF($E744&gt;=$Y744,"×",IF($E744&gt;=$Y744*設定!$C$5,"△","○")))</f>
        <v/>
      </c>
      <c r="AA744" s="15">
        <f>IF($Z744="","",IF($Z744="×",0,IF($Z744="○",ROUNDDOWN($E744*設定!$C$4,0),ROUNDDOWN($E744*ROUND((9*$Y744-9*$E744)/(10*$E744),4),0))))</f>
        <v/>
      </c>
      <c r="AB744" s="13" t="n"/>
      <c r="AC744" s="15">
        <f>IF($B744="","",IF($AB744&lt;&gt;"",$AB744,IF($AA744="","",IF($AA744&lt;=設定!$C$3,0,$AA744))))</f>
        <v/>
      </c>
      <c r="AD744" s="14">
        <f>IF($B744="","",IF(AND($AE744&lt;&gt;"",$AG744="",$AJ744=""),"保留中",IF($AJ744&lt;&gt;"",IF(N($AC744)&gt;0,"支給済","不支給"),IF($AC744="","要確認",IF($AC744=0,"不支給","未処理")))))</f>
        <v/>
      </c>
      <c r="AE744" s="12" t="n"/>
      <c r="AF744" s="11" t="n"/>
      <c r="AG744" s="11" t="n"/>
      <c r="AH744" s="11" t="n"/>
      <c r="AI744" s="14">
        <f>IF(AND($AD744="保留中",$AF744&lt;&gt;""),TODAY()-$AF744,"")</f>
        <v/>
      </c>
      <c r="AJ744" s="12" t="n"/>
      <c r="AK744" s="14">
        <f>IF($B744="","",IF($AO744="","対象年月が未入力／","")&amp;IF($B744="","",IF($AN744="","職員マスタに未登録の職員番号／",IF($Y744="","標準報酬月額が未登録／","")&amp;IF(AND($AO744&lt;&gt;"",OR(AND(INDEX(職員マスタ!$G$6:$G$405,$AN744)&lt;&gt;"",INDEX(職員マスタ!$G$6:$G$405,$AN744)&gt;EOMONTH($AO744,0)),AND(INDEX(職員マスタ!$H$6:$H$405,$AN744)&lt;&gt;"",INDEX(職員マスタ!$H$6:$H$405,$AN744)&lt;$AO744))),"対象月が時短期間外／","")&amp;IF(AND(INDEX(職員マスタ!$F$6:$F$405,$AN744)&lt;&gt;"",$AO744&lt;&gt;"",INDEX(職員マスタ!$F$6:$F$405,$AN744)&lt;$AO744),"対象月に子が2歳到達済／","")&amp;IF(AND($H744&lt;&gt;"",INDEX(職員マスタ!$B$6:$B$405,$AN744)&lt;&gt;"",SUBSTITUTE(SUBSTITUTE($H744," ","")," ","")&lt;&gt;SUBSTITUTE(SUBSTITUTE(INDEX(職員マスタ!$B$6:$B$405,$AN744)," ","")," ","")),"氏名がマスタと相違／","")&amp;IF(AND($Q744&lt;&gt;"",INDEX(職員マスタ!$E$6:$E$405,$AN744)&lt;&gt;"",$Q744&lt;&gt;INDEX(職員マスタ!$E$6:$E$405,$AN744)),"子の生年月日がマスタと相違／","")&amp;IF(AND($L744&lt;&gt;"",INDEX(職員マスタ!$G$6:$G$405,$AN744)&lt;&gt;"",$L744&lt;&gt;INDEX(職員マスタ!$G$6:$G$405,$AN744)),"時短開始日がマスタと相違／","")&amp;IF(AND($M744&lt;&gt;"",INDEX(職員マスタ!$H$6:$H$405,$AN744)&lt;&gt;"",$M744&lt;&gt;INDEX(職員マスタ!$H$6:$H$405,$AN744)),"時短終了日がマスタと相違／","")))&amp;IF(AND($B744&lt;&gt;"",$E744=""),"報酬額が未入力／","")&amp;IF(N($U744)&gt;0,"申請書に入力エラーが残っています／","")&amp;IF(AND($B744&lt;&gt;"",$AO744&lt;&gt;""),IF(COUNTIFS($B$6:$B$3005,$B744,$C$6:$C$3005,$C744,$D$6:$D$3005,$D744)&gt;1,"同じ月の請求が重複しています／",""),"")&amp;IF(AND(N($E744)&gt;0,$Z744&lt;&gt;"",$Z744&lt;&gt;"×",$AC744=0,$AB744=""),"計算額が下限以下のため不支給／",""))</f>
        <v/>
      </c>
      <c r="AL744" s="12" t="n"/>
      <c r="AM744" s="14">
        <f>IF($AD744="保留中",COUNTIF($AD$6:$AD744,"保留中"),"")</f>
        <v/>
      </c>
      <c r="AN744" s="14">
        <f>IF($AO744="","",IF(SUMPRODUCT(MAX((職員マスタ!$A$6:$A$405=$B744)*(((職員マスタ!$G$6:$G$405="")+(職員マスタ!$G$6:$G$405&lt;=EOMONTH($AO744,0)))&gt;0)*(((職員マスタ!$H$6:$H$405="")+(職員マスタ!$H$6:$H$405&gt;=$AO744))&gt;0)*(ROW(職員マスタ!$A$6:$A$405)-5)))&gt;0,SUMPRODUCT(MAX((職員マスタ!$A$6:$A$405=$B744)*(((職員マスタ!$G$6:$G$405="")+(職員マスタ!$G$6:$G$405&lt;=EOMONTH($AO744,0)))&gt;0)*(((職員マスタ!$H$6:$H$405="")+(職員マスタ!$H$6:$H$405&gt;=$AO744))&gt;0)*(ROW(職員マスタ!$A$6:$A$405)-5))),IFERROR(MATCH($B744,職員マスタ!$A$6:$A$405,0),"")))</f>
        <v/>
      </c>
      <c r="AO744" s="16">
        <f>IF(OR($B744="",$C744="",$D744=""),"",DATE($C744+2018,$D744,1))</f>
        <v/>
      </c>
    </row>
    <row r="745">
      <c r="A745" s="11" t="n"/>
      <c r="B745" s="12" t="n"/>
      <c r="C745" s="12" t="n"/>
      <c r="D745" s="12" t="n"/>
      <c r="E745" s="13" t="n"/>
      <c r="F745" s="12" t="n"/>
      <c r="G745" s="13" t="n"/>
      <c r="H745" s="12" t="n"/>
      <c r="I745" s="12" t="n"/>
      <c r="J745" s="12" t="n"/>
      <c r="K745" s="12" t="n"/>
      <c r="L745" s="11" t="n"/>
      <c r="M745" s="11" t="n"/>
      <c r="N745" s="11" t="n"/>
      <c r="O745" s="11" t="n"/>
      <c r="P745" s="12" t="n"/>
      <c r="Q745" s="11" t="n"/>
      <c r="R745" s="12" t="n"/>
      <c r="S745" s="11" t="n"/>
      <c r="T745" s="12" t="n"/>
      <c r="U745" s="12" t="n"/>
      <c r="V745" s="14">
        <f>IF($AN745="",IF($B745="","",$H745),IF(INDEX(職員マスタ!$B$6:$B$405,$AN745)="",$H745,INDEX(職員マスタ!$B$6:$B$405,$AN745)))</f>
        <v/>
      </c>
      <c r="W745" s="14">
        <f>IF($AN745="",IF($B745="","",$R745),IF(INDEX(職員マスタ!$C$6:$C$405,$AN745)="",$R745,INDEX(職員マスタ!$C$6:$C$405,$AN745)))</f>
        <v/>
      </c>
      <c r="X745" s="14">
        <f>IF($AO745="","","R"&amp;$C745&amp;"."&amp;$D745)</f>
        <v/>
      </c>
      <c r="Y745" s="15">
        <f>IF($AN745="","",IF(INDEX(職員マスタ!$K$6:$K$405,$AN745)="","",INDEX(職員マスタ!$K$6:$K$405,$AN745)))</f>
        <v/>
      </c>
      <c r="Z745" s="14">
        <f>IF(OR($E745="",$Y745=""),"",IF($E745&gt;=$Y745,"×",IF($E745&gt;=$Y745*設定!$C$5,"△","○")))</f>
        <v/>
      </c>
      <c r="AA745" s="15">
        <f>IF($Z745="","",IF($Z745="×",0,IF($Z745="○",ROUNDDOWN($E745*設定!$C$4,0),ROUNDDOWN($E745*ROUND((9*$Y745-9*$E745)/(10*$E745),4),0))))</f>
        <v/>
      </c>
      <c r="AB745" s="13" t="n"/>
      <c r="AC745" s="15">
        <f>IF($B745="","",IF($AB745&lt;&gt;"",$AB745,IF($AA745="","",IF($AA745&lt;=設定!$C$3,0,$AA745))))</f>
        <v/>
      </c>
      <c r="AD745" s="14">
        <f>IF($B745="","",IF(AND($AE745&lt;&gt;"",$AG745="",$AJ745=""),"保留中",IF($AJ745&lt;&gt;"",IF(N($AC745)&gt;0,"支給済","不支給"),IF($AC745="","要確認",IF($AC745=0,"不支給","未処理")))))</f>
        <v/>
      </c>
      <c r="AE745" s="12" t="n"/>
      <c r="AF745" s="11" t="n"/>
      <c r="AG745" s="11" t="n"/>
      <c r="AH745" s="11" t="n"/>
      <c r="AI745" s="14">
        <f>IF(AND($AD745="保留中",$AF745&lt;&gt;""),TODAY()-$AF745,"")</f>
        <v/>
      </c>
      <c r="AJ745" s="12" t="n"/>
      <c r="AK745" s="14">
        <f>IF($B745="","",IF($AO745="","対象年月が未入力／","")&amp;IF($B745="","",IF($AN745="","職員マスタに未登録の職員番号／",IF($Y745="","標準報酬月額が未登録／","")&amp;IF(AND($AO745&lt;&gt;"",OR(AND(INDEX(職員マスタ!$G$6:$G$405,$AN745)&lt;&gt;"",INDEX(職員マスタ!$G$6:$G$405,$AN745)&gt;EOMONTH($AO745,0)),AND(INDEX(職員マスタ!$H$6:$H$405,$AN745)&lt;&gt;"",INDEX(職員マスタ!$H$6:$H$405,$AN745)&lt;$AO745))),"対象月が時短期間外／","")&amp;IF(AND(INDEX(職員マスタ!$F$6:$F$405,$AN745)&lt;&gt;"",$AO745&lt;&gt;"",INDEX(職員マスタ!$F$6:$F$405,$AN745)&lt;$AO745),"対象月に子が2歳到達済／","")&amp;IF(AND($H745&lt;&gt;"",INDEX(職員マスタ!$B$6:$B$405,$AN745)&lt;&gt;"",SUBSTITUTE(SUBSTITUTE($H745," ","")," ","")&lt;&gt;SUBSTITUTE(SUBSTITUTE(INDEX(職員マスタ!$B$6:$B$405,$AN745)," ","")," ","")),"氏名がマスタと相違／","")&amp;IF(AND($Q745&lt;&gt;"",INDEX(職員マスタ!$E$6:$E$405,$AN745)&lt;&gt;"",$Q745&lt;&gt;INDEX(職員マスタ!$E$6:$E$405,$AN745)),"子の生年月日がマスタと相違／","")&amp;IF(AND($L745&lt;&gt;"",INDEX(職員マスタ!$G$6:$G$405,$AN745)&lt;&gt;"",$L745&lt;&gt;INDEX(職員マスタ!$G$6:$G$405,$AN745)),"時短開始日がマスタと相違／","")&amp;IF(AND($M745&lt;&gt;"",INDEX(職員マスタ!$H$6:$H$405,$AN745)&lt;&gt;"",$M745&lt;&gt;INDEX(職員マスタ!$H$6:$H$405,$AN745)),"時短終了日がマスタと相違／","")))&amp;IF(AND($B745&lt;&gt;"",$E745=""),"報酬額が未入力／","")&amp;IF(N($U745)&gt;0,"申請書に入力エラーが残っています／","")&amp;IF(AND($B745&lt;&gt;"",$AO745&lt;&gt;""),IF(COUNTIFS($B$6:$B$3005,$B745,$C$6:$C$3005,$C745,$D$6:$D$3005,$D745)&gt;1,"同じ月の請求が重複しています／",""),"")&amp;IF(AND(N($E745)&gt;0,$Z745&lt;&gt;"",$Z745&lt;&gt;"×",$AC745=0,$AB745=""),"計算額が下限以下のため不支給／",""))</f>
        <v/>
      </c>
      <c r="AL745" s="12" t="n"/>
      <c r="AM745" s="14">
        <f>IF($AD745="保留中",COUNTIF($AD$6:$AD745,"保留中"),"")</f>
        <v/>
      </c>
      <c r="AN745" s="14">
        <f>IF($AO745="","",IF(SUMPRODUCT(MAX((職員マスタ!$A$6:$A$405=$B745)*(((職員マスタ!$G$6:$G$405="")+(職員マスタ!$G$6:$G$405&lt;=EOMONTH($AO745,0)))&gt;0)*(((職員マスタ!$H$6:$H$405="")+(職員マスタ!$H$6:$H$405&gt;=$AO745))&gt;0)*(ROW(職員マスタ!$A$6:$A$405)-5)))&gt;0,SUMPRODUCT(MAX((職員マスタ!$A$6:$A$405=$B745)*(((職員マスタ!$G$6:$G$405="")+(職員マスタ!$G$6:$G$405&lt;=EOMONTH($AO745,0)))&gt;0)*(((職員マスタ!$H$6:$H$405="")+(職員マスタ!$H$6:$H$405&gt;=$AO745))&gt;0)*(ROW(職員マスタ!$A$6:$A$405)-5))),IFERROR(MATCH($B745,職員マスタ!$A$6:$A$405,0),"")))</f>
        <v/>
      </c>
      <c r="AO745" s="16">
        <f>IF(OR($B745="",$C745="",$D745=""),"",DATE($C745+2018,$D745,1))</f>
        <v/>
      </c>
    </row>
    <row r="746">
      <c r="A746" s="11" t="n"/>
      <c r="B746" s="12" t="n"/>
      <c r="C746" s="12" t="n"/>
      <c r="D746" s="12" t="n"/>
      <c r="E746" s="13" t="n"/>
      <c r="F746" s="12" t="n"/>
      <c r="G746" s="13" t="n"/>
      <c r="H746" s="12" t="n"/>
      <c r="I746" s="12" t="n"/>
      <c r="J746" s="12" t="n"/>
      <c r="K746" s="12" t="n"/>
      <c r="L746" s="11" t="n"/>
      <c r="M746" s="11" t="n"/>
      <c r="N746" s="11" t="n"/>
      <c r="O746" s="11" t="n"/>
      <c r="P746" s="12" t="n"/>
      <c r="Q746" s="11" t="n"/>
      <c r="R746" s="12" t="n"/>
      <c r="S746" s="11" t="n"/>
      <c r="T746" s="12" t="n"/>
      <c r="U746" s="12" t="n"/>
      <c r="V746" s="14">
        <f>IF($AN746="",IF($B746="","",$H746),IF(INDEX(職員マスタ!$B$6:$B$405,$AN746)="",$H746,INDEX(職員マスタ!$B$6:$B$405,$AN746)))</f>
        <v/>
      </c>
      <c r="W746" s="14">
        <f>IF($AN746="",IF($B746="","",$R746),IF(INDEX(職員マスタ!$C$6:$C$405,$AN746)="",$R746,INDEX(職員マスタ!$C$6:$C$405,$AN746)))</f>
        <v/>
      </c>
      <c r="X746" s="14">
        <f>IF($AO746="","","R"&amp;$C746&amp;"."&amp;$D746)</f>
        <v/>
      </c>
      <c r="Y746" s="15">
        <f>IF($AN746="","",IF(INDEX(職員マスタ!$K$6:$K$405,$AN746)="","",INDEX(職員マスタ!$K$6:$K$405,$AN746)))</f>
        <v/>
      </c>
      <c r="Z746" s="14">
        <f>IF(OR($E746="",$Y746=""),"",IF($E746&gt;=$Y746,"×",IF($E746&gt;=$Y746*設定!$C$5,"△","○")))</f>
        <v/>
      </c>
      <c r="AA746" s="15">
        <f>IF($Z746="","",IF($Z746="×",0,IF($Z746="○",ROUNDDOWN($E746*設定!$C$4,0),ROUNDDOWN($E746*ROUND((9*$Y746-9*$E746)/(10*$E746),4),0))))</f>
        <v/>
      </c>
      <c r="AB746" s="13" t="n"/>
      <c r="AC746" s="15">
        <f>IF($B746="","",IF($AB746&lt;&gt;"",$AB746,IF($AA746="","",IF($AA746&lt;=設定!$C$3,0,$AA746))))</f>
        <v/>
      </c>
      <c r="AD746" s="14">
        <f>IF($B746="","",IF(AND($AE746&lt;&gt;"",$AG746="",$AJ746=""),"保留中",IF($AJ746&lt;&gt;"",IF(N($AC746)&gt;0,"支給済","不支給"),IF($AC746="","要確認",IF($AC746=0,"不支給","未処理")))))</f>
        <v/>
      </c>
      <c r="AE746" s="12" t="n"/>
      <c r="AF746" s="11" t="n"/>
      <c r="AG746" s="11" t="n"/>
      <c r="AH746" s="11" t="n"/>
      <c r="AI746" s="14">
        <f>IF(AND($AD746="保留中",$AF746&lt;&gt;""),TODAY()-$AF746,"")</f>
        <v/>
      </c>
      <c r="AJ746" s="12" t="n"/>
      <c r="AK746" s="14">
        <f>IF($B746="","",IF($AO746="","対象年月が未入力／","")&amp;IF($B746="","",IF($AN746="","職員マスタに未登録の職員番号／",IF($Y746="","標準報酬月額が未登録／","")&amp;IF(AND($AO746&lt;&gt;"",OR(AND(INDEX(職員マスタ!$G$6:$G$405,$AN746)&lt;&gt;"",INDEX(職員マスタ!$G$6:$G$405,$AN746)&gt;EOMONTH($AO746,0)),AND(INDEX(職員マスタ!$H$6:$H$405,$AN746)&lt;&gt;"",INDEX(職員マスタ!$H$6:$H$405,$AN746)&lt;$AO746))),"対象月が時短期間外／","")&amp;IF(AND(INDEX(職員マスタ!$F$6:$F$405,$AN746)&lt;&gt;"",$AO746&lt;&gt;"",INDEX(職員マスタ!$F$6:$F$405,$AN746)&lt;$AO746),"対象月に子が2歳到達済／","")&amp;IF(AND($H746&lt;&gt;"",INDEX(職員マスタ!$B$6:$B$405,$AN746)&lt;&gt;"",SUBSTITUTE(SUBSTITUTE($H746," ","")," ","")&lt;&gt;SUBSTITUTE(SUBSTITUTE(INDEX(職員マスタ!$B$6:$B$405,$AN746)," ","")," ","")),"氏名がマスタと相違／","")&amp;IF(AND($Q746&lt;&gt;"",INDEX(職員マスタ!$E$6:$E$405,$AN746)&lt;&gt;"",$Q746&lt;&gt;INDEX(職員マスタ!$E$6:$E$405,$AN746)),"子の生年月日がマスタと相違／","")&amp;IF(AND($L746&lt;&gt;"",INDEX(職員マスタ!$G$6:$G$405,$AN746)&lt;&gt;"",$L746&lt;&gt;INDEX(職員マスタ!$G$6:$G$405,$AN746)),"時短開始日がマスタと相違／","")&amp;IF(AND($M746&lt;&gt;"",INDEX(職員マスタ!$H$6:$H$405,$AN746)&lt;&gt;"",$M746&lt;&gt;INDEX(職員マスタ!$H$6:$H$405,$AN746)),"時短終了日がマスタと相違／","")))&amp;IF(AND($B746&lt;&gt;"",$E746=""),"報酬額が未入力／","")&amp;IF(N($U746)&gt;0,"申請書に入力エラーが残っています／","")&amp;IF(AND($B746&lt;&gt;"",$AO746&lt;&gt;""),IF(COUNTIFS($B$6:$B$3005,$B746,$C$6:$C$3005,$C746,$D$6:$D$3005,$D746)&gt;1,"同じ月の請求が重複しています／",""),"")&amp;IF(AND(N($E746)&gt;0,$Z746&lt;&gt;"",$Z746&lt;&gt;"×",$AC746=0,$AB746=""),"計算額が下限以下のため不支給／",""))</f>
        <v/>
      </c>
      <c r="AL746" s="12" t="n"/>
      <c r="AM746" s="14">
        <f>IF($AD746="保留中",COUNTIF($AD$6:$AD746,"保留中"),"")</f>
        <v/>
      </c>
      <c r="AN746" s="14">
        <f>IF($AO746="","",IF(SUMPRODUCT(MAX((職員マスタ!$A$6:$A$405=$B746)*(((職員マスタ!$G$6:$G$405="")+(職員マスタ!$G$6:$G$405&lt;=EOMONTH($AO746,0)))&gt;0)*(((職員マスタ!$H$6:$H$405="")+(職員マスタ!$H$6:$H$405&gt;=$AO746))&gt;0)*(ROW(職員マスタ!$A$6:$A$405)-5)))&gt;0,SUMPRODUCT(MAX((職員マスタ!$A$6:$A$405=$B746)*(((職員マスタ!$G$6:$G$405="")+(職員マスタ!$G$6:$G$405&lt;=EOMONTH($AO746,0)))&gt;0)*(((職員マスタ!$H$6:$H$405="")+(職員マスタ!$H$6:$H$405&gt;=$AO746))&gt;0)*(ROW(職員マスタ!$A$6:$A$405)-5))),IFERROR(MATCH($B746,職員マスタ!$A$6:$A$405,0),"")))</f>
        <v/>
      </c>
      <c r="AO746" s="16">
        <f>IF(OR($B746="",$C746="",$D746=""),"",DATE($C746+2018,$D746,1))</f>
        <v/>
      </c>
    </row>
    <row r="747">
      <c r="A747" s="11" t="n"/>
      <c r="B747" s="12" t="n"/>
      <c r="C747" s="12" t="n"/>
      <c r="D747" s="12" t="n"/>
      <c r="E747" s="13" t="n"/>
      <c r="F747" s="12" t="n"/>
      <c r="G747" s="13" t="n"/>
      <c r="H747" s="12" t="n"/>
      <c r="I747" s="12" t="n"/>
      <c r="J747" s="12" t="n"/>
      <c r="K747" s="12" t="n"/>
      <c r="L747" s="11" t="n"/>
      <c r="M747" s="11" t="n"/>
      <c r="N747" s="11" t="n"/>
      <c r="O747" s="11" t="n"/>
      <c r="P747" s="12" t="n"/>
      <c r="Q747" s="11" t="n"/>
      <c r="R747" s="12" t="n"/>
      <c r="S747" s="11" t="n"/>
      <c r="T747" s="12" t="n"/>
      <c r="U747" s="12" t="n"/>
      <c r="V747" s="14">
        <f>IF($AN747="",IF($B747="","",$H747),IF(INDEX(職員マスタ!$B$6:$B$405,$AN747)="",$H747,INDEX(職員マスタ!$B$6:$B$405,$AN747)))</f>
        <v/>
      </c>
      <c r="W747" s="14">
        <f>IF($AN747="",IF($B747="","",$R747),IF(INDEX(職員マスタ!$C$6:$C$405,$AN747)="",$R747,INDEX(職員マスタ!$C$6:$C$405,$AN747)))</f>
        <v/>
      </c>
      <c r="X747" s="14">
        <f>IF($AO747="","","R"&amp;$C747&amp;"."&amp;$D747)</f>
        <v/>
      </c>
      <c r="Y747" s="15">
        <f>IF($AN747="","",IF(INDEX(職員マスタ!$K$6:$K$405,$AN747)="","",INDEX(職員マスタ!$K$6:$K$405,$AN747)))</f>
        <v/>
      </c>
      <c r="Z747" s="14">
        <f>IF(OR($E747="",$Y747=""),"",IF($E747&gt;=$Y747,"×",IF($E747&gt;=$Y747*設定!$C$5,"△","○")))</f>
        <v/>
      </c>
      <c r="AA747" s="15">
        <f>IF($Z747="","",IF($Z747="×",0,IF($Z747="○",ROUNDDOWN($E747*設定!$C$4,0),ROUNDDOWN($E747*ROUND((9*$Y747-9*$E747)/(10*$E747),4),0))))</f>
        <v/>
      </c>
      <c r="AB747" s="13" t="n"/>
      <c r="AC747" s="15">
        <f>IF($B747="","",IF($AB747&lt;&gt;"",$AB747,IF($AA747="","",IF($AA747&lt;=設定!$C$3,0,$AA747))))</f>
        <v/>
      </c>
      <c r="AD747" s="14">
        <f>IF($B747="","",IF(AND($AE747&lt;&gt;"",$AG747="",$AJ747=""),"保留中",IF($AJ747&lt;&gt;"",IF(N($AC747)&gt;0,"支給済","不支給"),IF($AC747="","要確認",IF($AC747=0,"不支給","未処理")))))</f>
        <v/>
      </c>
      <c r="AE747" s="12" t="n"/>
      <c r="AF747" s="11" t="n"/>
      <c r="AG747" s="11" t="n"/>
      <c r="AH747" s="11" t="n"/>
      <c r="AI747" s="14">
        <f>IF(AND($AD747="保留中",$AF747&lt;&gt;""),TODAY()-$AF747,"")</f>
        <v/>
      </c>
      <c r="AJ747" s="12" t="n"/>
      <c r="AK747" s="14">
        <f>IF($B747="","",IF($AO747="","対象年月が未入力／","")&amp;IF($B747="","",IF($AN747="","職員マスタに未登録の職員番号／",IF($Y747="","標準報酬月額が未登録／","")&amp;IF(AND($AO747&lt;&gt;"",OR(AND(INDEX(職員マスタ!$G$6:$G$405,$AN747)&lt;&gt;"",INDEX(職員マスタ!$G$6:$G$405,$AN747)&gt;EOMONTH($AO747,0)),AND(INDEX(職員マスタ!$H$6:$H$405,$AN747)&lt;&gt;"",INDEX(職員マスタ!$H$6:$H$405,$AN747)&lt;$AO747))),"対象月が時短期間外／","")&amp;IF(AND(INDEX(職員マスタ!$F$6:$F$405,$AN747)&lt;&gt;"",$AO747&lt;&gt;"",INDEX(職員マスタ!$F$6:$F$405,$AN747)&lt;$AO747),"対象月に子が2歳到達済／","")&amp;IF(AND($H747&lt;&gt;"",INDEX(職員マスタ!$B$6:$B$405,$AN747)&lt;&gt;"",SUBSTITUTE(SUBSTITUTE($H747," ","")," ","")&lt;&gt;SUBSTITUTE(SUBSTITUTE(INDEX(職員マスタ!$B$6:$B$405,$AN747)," ","")," ","")),"氏名がマスタと相違／","")&amp;IF(AND($Q747&lt;&gt;"",INDEX(職員マスタ!$E$6:$E$405,$AN747)&lt;&gt;"",$Q747&lt;&gt;INDEX(職員マスタ!$E$6:$E$405,$AN747)),"子の生年月日がマスタと相違／","")&amp;IF(AND($L747&lt;&gt;"",INDEX(職員マスタ!$G$6:$G$405,$AN747)&lt;&gt;"",$L747&lt;&gt;INDEX(職員マスタ!$G$6:$G$405,$AN747)),"時短開始日がマスタと相違／","")&amp;IF(AND($M747&lt;&gt;"",INDEX(職員マスタ!$H$6:$H$405,$AN747)&lt;&gt;"",$M747&lt;&gt;INDEX(職員マスタ!$H$6:$H$405,$AN747)),"時短終了日がマスタと相違／","")))&amp;IF(AND($B747&lt;&gt;"",$E747=""),"報酬額が未入力／","")&amp;IF(N($U747)&gt;0,"申請書に入力エラーが残っています／","")&amp;IF(AND($B747&lt;&gt;"",$AO747&lt;&gt;""),IF(COUNTIFS($B$6:$B$3005,$B747,$C$6:$C$3005,$C747,$D$6:$D$3005,$D747)&gt;1,"同じ月の請求が重複しています／",""),"")&amp;IF(AND(N($E747)&gt;0,$Z747&lt;&gt;"",$Z747&lt;&gt;"×",$AC747=0,$AB747=""),"計算額が下限以下のため不支給／",""))</f>
        <v/>
      </c>
      <c r="AL747" s="12" t="n"/>
      <c r="AM747" s="14">
        <f>IF($AD747="保留中",COUNTIF($AD$6:$AD747,"保留中"),"")</f>
        <v/>
      </c>
      <c r="AN747" s="14">
        <f>IF($AO747="","",IF(SUMPRODUCT(MAX((職員マスタ!$A$6:$A$405=$B747)*(((職員マスタ!$G$6:$G$405="")+(職員マスタ!$G$6:$G$405&lt;=EOMONTH($AO747,0)))&gt;0)*(((職員マスタ!$H$6:$H$405="")+(職員マスタ!$H$6:$H$405&gt;=$AO747))&gt;0)*(ROW(職員マスタ!$A$6:$A$405)-5)))&gt;0,SUMPRODUCT(MAX((職員マスタ!$A$6:$A$405=$B747)*(((職員マスタ!$G$6:$G$405="")+(職員マスタ!$G$6:$G$405&lt;=EOMONTH($AO747,0)))&gt;0)*(((職員マスタ!$H$6:$H$405="")+(職員マスタ!$H$6:$H$405&gt;=$AO747))&gt;0)*(ROW(職員マスタ!$A$6:$A$405)-5))),IFERROR(MATCH($B747,職員マスタ!$A$6:$A$405,0),"")))</f>
        <v/>
      </c>
      <c r="AO747" s="16">
        <f>IF(OR($B747="",$C747="",$D747=""),"",DATE($C747+2018,$D747,1))</f>
        <v/>
      </c>
    </row>
    <row r="748">
      <c r="A748" s="11" t="n"/>
      <c r="B748" s="12" t="n"/>
      <c r="C748" s="12" t="n"/>
      <c r="D748" s="12" t="n"/>
      <c r="E748" s="13" t="n"/>
      <c r="F748" s="12" t="n"/>
      <c r="G748" s="13" t="n"/>
      <c r="H748" s="12" t="n"/>
      <c r="I748" s="12" t="n"/>
      <c r="J748" s="12" t="n"/>
      <c r="K748" s="12" t="n"/>
      <c r="L748" s="11" t="n"/>
      <c r="M748" s="11" t="n"/>
      <c r="N748" s="11" t="n"/>
      <c r="O748" s="11" t="n"/>
      <c r="P748" s="12" t="n"/>
      <c r="Q748" s="11" t="n"/>
      <c r="R748" s="12" t="n"/>
      <c r="S748" s="11" t="n"/>
      <c r="T748" s="12" t="n"/>
      <c r="U748" s="12" t="n"/>
      <c r="V748" s="14">
        <f>IF($AN748="",IF($B748="","",$H748),IF(INDEX(職員マスタ!$B$6:$B$405,$AN748)="",$H748,INDEX(職員マスタ!$B$6:$B$405,$AN748)))</f>
        <v/>
      </c>
      <c r="W748" s="14">
        <f>IF($AN748="",IF($B748="","",$R748),IF(INDEX(職員マスタ!$C$6:$C$405,$AN748)="",$R748,INDEX(職員マスタ!$C$6:$C$405,$AN748)))</f>
        <v/>
      </c>
      <c r="X748" s="14">
        <f>IF($AO748="","","R"&amp;$C748&amp;"."&amp;$D748)</f>
        <v/>
      </c>
      <c r="Y748" s="15">
        <f>IF($AN748="","",IF(INDEX(職員マスタ!$K$6:$K$405,$AN748)="","",INDEX(職員マスタ!$K$6:$K$405,$AN748)))</f>
        <v/>
      </c>
      <c r="Z748" s="14">
        <f>IF(OR($E748="",$Y748=""),"",IF($E748&gt;=$Y748,"×",IF($E748&gt;=$Y748*設定!$C$5,"△","○")))</f>
        <v/>
      </c>
      <c r="AA748" s="15">
        <f>IF($Z748="","",IF($Z748="×",0,IF($Z748="○",ROUNDDOWN($E748*設定!$C$4,0),ROUNDDOWN($E748*ROUND((9*$Y748-9*$E748)/(10*$E748),4),0))))</f>
        <v/>
      </c>
      <c r="AB748" s="13" t="n"/>
      <c r="AC748" s="15">
        <f>IF($B748="","",IF($AB748&lt;&gt;"",$AB748,IF($AA748="","",IF($AA748&lt;=設定!$C$3,0,$AA748))))</f>
        <v/>
      </c>
      <c r="AD748" s="14">
        <f>IF($B748="","",IF(AND($AE748&lt;&gt;"",$AG748="",$AJ748=""),"保留中",IF($AJ748&lt;&gt;"",IF(N($AC748)&gt;0,"支給済","不支給"),IF($AC748="","要確認",IF($AC748=0,"不支給","未処理")))))</f>
        <v/>
      </c>
      <c r="AE748" s="12" t="n"/>
      <c r="AF748" s="11" t="n"/>
      <c r="AG748" s="11" t="n"/>
      <c r="AH748" s="11" t="n"/>
      <c r="AI748" s="14">
        <f>IF(AND($AD748="保留中",$AF748&lt;&gt;""),TODAY()-$AF748,"")</f>
        <v/>
      </c>
      <c r="AJ748" s="12" t="n"/>
      <c r="AK748" s="14">
        <f>IF($B748="","",IF($AO748="","対象年月が未入力／","")&amp;IF($B748="","",IF($AN748="","職員マスタに未登録の職員番号／",IF($Y748="","標準報酬月額が未登録／","")&amp;IF(AND($AO748&lt;&gt;"",OR(AND(INDEX(職員マスタ!$G$6:$G$405,$AN748)&lt;&gt;"",INDEX(職員マスタ!$G$6:$G$405,$AN748)&gt;EOMONTH($AO748,0)),AND(INDEX(職員マスタ!$H$6:$H$405,$AN748)&lt;&gt;"",INDEX(職員マスタ!$H$6:$H$405,$AN748)&lt;$AO748))),"対象月が時短期間外／","")&amp;IF(AND(INDEX(職員マスタ!$F$6:$F$405,$AN748)&lt;&gt;"",$AO748&lt;&gt;"",INDEX(職員マスタ!$F$6:$F$405,$AN748)&lt;$AO748),"対象月に子が2歳到達済／","")&amp;IF(AND($H748&lt;&gt;"",INDEX(職員マスタ!$B$6:$B$405,$AN748)&lt;&gt;"",SUBSTITUTE(SUBSTITUTE($H748," ","")," ","")&lt;&gt;SUBSTITUTE(SUBSTITUTE(INDEX(職員マスタ!$B$6:$B$405,$AN748)," ","")," ","")),"氏名がマスタと相違／","")&amp;IF(AND($Q748&lt;&gt;"",INDEX(職員マスタ!$E$6:$E$405,$AN748)&lt;&gt;"",$Q748&lt;&gt;INDEX(職員マスタ!$E$6:$E$405,$AN748)),"子の生年月日がマスタと相違／","")&amp;IF(AND($L748&lt;&gt;"",INDEX(職員マスタ!$G$6:$G$405,$AN748)&lt;&gt;"",$L748&lt;&gt;INDEX(職員マスタ!$G$6:$G$405,$AN748)),"時短開始日がマスタと相違／","")&amp;IF(AND($M748&lt;&gt;"",INDEX(職員マスタ!$H$6:$H$405,$AN748)&lt;&gt;"",$M748&lt;&gt;INDEX(職員マスタ!$H$6:$H$405,$AN748)),"時短終了日がマスタと相違／","")))&amp;IF(AND($B748&lt;&gt;"",$E748=""),"報酬額が未入力／","")&amp;IF(N($U748)&gt;0,"申請書に入力エラーが残っています／","")&amp;IF(AND($B748&lt;&gt;"",$AO748&lt;&gt;""),IF(COUNTIFS($B$6:$B$3005,$B748,$C$6:$C$3005,$C748,$D$6:$D$3005,$D748)&gt;1,"同じ月の請求が重複しています／",""),"")&amp;IF(AND(N($E748)&gt;0,$Z748&lt;&gt;"",$Z748&lt;&gt;"×",$AC748=0,$AB748=""),"計算額が下限以下のため不支給／",""))</f>
        <v/>
      </c>
      <c r="AL748" s="12" t="n"/>
      <c r="AM748" s="14">
        <f>IF($AD748="保留中",COUNTIF($AD$6:$AD748,"保留中"),"")</f>
        <v/>
      </c>
      <c r="AN748" s="14">
        <f>IF($AO748="","",IF(SUMPRODUCT(MAX((職員マスタ!$A$6:$A$405=$B748)*(((職員マスタ!$G$6:$G$405="")+(職員マスタ!$G$6:$G$405&lt;=EOMONTH($AO748,0)))&gt;0)*(((職員マスタ!$H$6:$H$405="")+(職員マスタ!$H$6:$H$405&gt;=$AO748))&gt;0)*(ROW(職員マスタ!$A$6:$A$405)-5)))&gt;0,SUMPRODUCT(MAX((職員マスタ!$A$6:$A$405=$B748)*(((職員マスタ!$G$6:$G$405="")+(職員マスタ!$G$6:$G$405&lt;=EOMONTH($AO748,0)))&gt;0)*(((職員マスタ!$H$6:$H$405="")+(職員マスタ!$H$6:$H$405&gt;=$AO748))&gt;0)*(ROW(職員マスタ!$A$6:$A$405)-5))),IFERROR(MATCH($B748,職員マスタ!$A$6:$A$405,0),"")))</f>
        <v/>
      </c>
      <c r="AO748" s="16">
        <f>IF(OR($B748="",$C748="",$D748=""),"",DATE($C748+2018,$D748,1))</f>
        <v/>
      </c>
    </row>
    <row r="749">
      <c r="A749" s="11" t="n"/>
      <c r="B749" s="12" t="n"/>
      <c r="C749" s="12" t="n"/>
      <c r="D749" s="12" t="n"/>
      <c r="E749" s="13" t="n"/>
      <c r="F749" s="12" t="n"/>
      <c r="G749" s="13" t="n"/>
      <c r="H749" s="12" t="n"/>
      <c r="I749" s="12" t="n"/>
      <c r="J749" s="12" t="n"/>
      <c r="K749" s="12" t="n"/>
      <c r="L749" s="11" t="n"/>
      <c r="M749" s="11" t="n"/>
      <c r="N749" s="11" t="n"/>
      <c r="O749" s="11" t="n"/>
      <c r="P749" s="12" t="n"/>
      <c r="Q749" s="11" t="n"/>
      <c r="R749" s="12" t="n"/>
      <c r="S749" s="11" t="n"/>
      <c r="T749" s="12" t="n"/>
      <c r="U749" s="12" t="n"/>
      <c r="V749" s="14">
        <f>IF($AN749="",IF($B749="","",$H749),IF(INDEX(職員マスタ!$B$6:$B$405,$AN749)="",$H749,INDEX(職員マスタ!$B$6:$B$405,$AN749)))</f>
        <v/>
      </c>
      <c r="W749" s="14">
        <f>IF($AN749="",IF($B749="","",$R749),IF(INDEX(職員マスタ!$C$6:$C$405,$AN749)="",$R749,INDEX(職員マスタ!$C$6:$C$405,$AN749)))</f>
        <v/>
      </c>
      <c r="X749" s="14">
        <f>IF($AO749="","","R"&amp;$C749&amp;"."&amp;$D749)</f>
        <v/>
      </c>
      <c r="Y749" s="15">
        <f>IF($AN749="","",IF(INDEX(職員マスタ!$K$6:$K$405,$AN749)="","",INDEX(職員マスタ!$K$6:$K$405,$AN749)))</f>
        <v/>
      </c>
      <c r="Z749" s="14">
        <f>IF(OR($E749="",$Y749=""),"",IF($E749&gt;=$Y749,"×",IF($E749&gt;=$Y749*設定!$C$5,"△","○")))</f>
        <v/>
      </c>
      <c r="AA749" s="15">
        <f>IF($Z749="","",IF($Z749="×",0,IF($Z749="○",ROUNDDOWN($E749*設定!$C$4,0),ROUNDDOWN($E749*ROUND((9*$Y749-9*$E749)/(10*$E749),4),0))))</f>
        <v/>
      </c>
      <c r="AB749" s="13" t="n"/>
      <c r="AC749" s="15">
        <f>IF($B749="","",IF($AB749&lt;&gt;"",$AB749,IF($AA749="","",IF($AA749&lt;=設定!$C$3,0,$AA749))))</f>
        <v/>
      </c>
      <c r="AD749" s="14">
        <f>IF($B749="","",IF(AND($AE749&lt;&gt;"",$AG749="",$AJ749=""),"保留中",IF($AJ749&lt;&gt;"",IF(N($AC749)&gt;0,"支給済","不支給"),IF($AC749="","要確認",IF($AC749=0,"不支給","未処理")))))</f>
        <v/>
      </c>
      <c r="AE749" s="12" t="n"/>
      <c r="AF749" s="11" t="n"/>
      <c r="AG749" s="11" t="n"/>
      <c r="AH749" s="11" t="n"/>
      <c r="AI749" s="14">
        <f>IF(AND($AD749="保留中",$AF749&lt;&gt;""),TODAY()-$AF749,"")</f>
        <v/>
      </c>
      <c r="AJ749" s="12" t="n"/>
      <c r="AK749" s="14">
        <f>IF($B749="","",IF($AO749="","対象年月が未入力／","")&amp;IF($B749="","",IF($AN749="","職員マスタに未登録の職員番号／",IF($Y749="","標準報酬月額が未登録／","")&amp;IF(AND($AO749&lt;&gt;"",OR(AND(INDEX(職員マスタ!$G$6:$G$405,$AN749)&lt;&gt;"",INDEX(職員マスタ!$G$6:$G$405,$AN749)&gt;EOMONTH($AO749,0)),AND(INDEX(職員マスタ!$H$6:$H$405,$AN749)&lt;&gt;"",INDEX(職員マスタ!$H$6:$H$405,$AN749)&lt;$AO749))),"対象月が時短期間外／","")&amp;IF(AND(INDEX(職員マスタ!$F$6:$F$405,$AN749)&lt;&gt;"",$AO749&lt;&gt;"",INDEX(職員マスタ!$F$6:$F$405,$AN749)&lt;$AO749),"対象月に子が2歳到達済／","")&amp;IF(AND($H749&lt;&gt;"",INDEX(職員マスタ!$B$6:$B$405,$AN749)&lt;&gt;"",SUBSTITUTE(SUBSTITUTE($H749," ","")," ","")&lt;&gt;SUBSTITUTE(SUBSTITUTE(INDEX(職員マスタ!$B$6:$B$405,$AN749)," ","")," ","")),"氏名がマスタと相違／","")&amp;IF(AND($Q749&lt;&gt;"",INDEX(職員マスタ!$E$6:$E$405,$AN749)&lt;&gt;"",$Q749&lt;&gt;INDEX(職員マスタ!$E$6:$E$405,$AN749)),"子の生年月日がマスタと相違／","")&amp;IF(AND($L749&lt;&gt;"",INDEX(職員マスタ!$G$6:$G$405,$AN749)&lt;&gt;"",$L749&lt;&gt;INDEX(職員マスタ!$G$6:$G$405,$AN749)),"時短開始日がマスタと相違／","")&amp;IF(AND($M749&lt;&gt;"",INDEX(職員マスタ!$H$6:$H$405,$AN749)&lt;&gt;"",$M749&lt;&gt;INDEX(職員マスタ!$H$6:$H$405,$AN749)),"時短終了日がマスタと相違／","")))&amp;IF(AND($B749&lt;&gt;"",$E749=""),"報酬額が未入力／","")&amp;IF(N($U749)&gt;0,"申請書に入力エラーが残っています／","")&amp;IF(AND($B749&lt;&gt;"",$AO749&lt;&gt;""),IF(COUNTIFS($B$6:$B$3005,$B749,$C$6:$C$3005,$C749,$D$6:$D$3005,$D749)&gt;1,"同じ月の請求が重複しています／",""),"")&amp;IF(AND(N($E749)&gt;0,$Z749&lt;&gt;"",$Z749&lt;&gt;"×",$AC749=0,$AB749=""),"計算額が下限以下のため不支給／",""))</f>
        <v/>
      </c>
      <c r="AL749" s="12" t="n"/>
      <c r="AM749" s="14">
        <f>IF($AD749="保留中",COUNTIF($AD$6:$AD749,"保留中"),"")</f>
        <v/>
      </c>
      <c r="AN749" s="14">
        <f>IF($AO749="","",IF(SUMPRODUCT(MAX((職員マスタ!$A$6:$A$405=$B749)*(((職員マスタ!$G$6:$G$405="")+(職員マスタ!$G$6:$G$405&lt;=EOMONTH($AO749,0)))&gt;0)*(((職員マスタ!$H$6:$H$405="")+(職員マスタ!$H$6:$H$405&gt;=$AO749))&gt;0)*(ROW(職員マスタ!$A$6:$A$405)-5)))&gt;0,SUMPRODUCT(MAX((職員マスタ!$A$6:$A$405=$B749)*(((職員マスタ!$G$6:$G$405="")+(職員マスタ!$G$6:$G$405&lt;=EOMONTH($AO749,0)))&gt;0)*(((職員マスタ!$H$6:$H$405="")+(職員マスタ!$H$6:$H$405&gt;=$AO749))&gt;0)*(ROW(職員マスタ!$A$6:$A$405)-5))),IFERROR(MATCH($B749,職員マスタ!$A$6:$A$405,0),"")))</f>
        <v/>
      </c>
      <c r="AO749" s="16">
        <f>IF(OR($B749="",$C749="",$D749=""),"",DATE($C749+2018,$D749,1))</f>
        <v/>
      </c>
    </row>
    <row r="750">
      <c r="A750" s="11" t="n"/>
      <c r="B750" s="12" t="n"/>
      <c r="C750" s="12" t="n"/>
      <c r="D750" s="12" t="n"/>
      <c r="E750" s="13" t="n"/>
      <c r="F750" s="12" t="n"/>
      <c r="G750" s="13" t="n"/>
      <c r="H750" s="12" t="n"/>
      <c r="I750" s="12" t="n"/>
      <c r="J750" s="12" t="n"/>
      <c r="K750" s="12" t="n"/>
      <c r="L750" s="11" t="n"/>
      <c r="M750" s="11" t="n"/>
      <c r="N750" s="11" t="n"/>
      <c r="O750" s="11" t="n"/>
      <c r="P750" s="12" t="n"/>
      <c r="Q750" s="11" t="n"/>
      <c r="R750" s="12" t="n"/>
      <c r="S750" s="11" t="n"/>
      <c r="T750" s="12" t="n"/>
      <c r="U750" s="12" t="n"/>
      <c r="V750" s="14">
        <f>IF($AN750="",IF($B750="","",$H750),IF(INDEX(職員マスタ!$B$6:$B$405,$AN750)="",$H750,INDEX(職員マスタ!$B$6:$B$405,$AN750)))</f>
        <v/>
      </c>
      <c r="W750" s="14">
        <f>IF($AN750="",IF($B750="","",$R750),IF(INDEX(職員マスタ!$C$6:$C$405,$AN750)="",$R750,INDEX(職員マスタ!$C$6:$C$405,$AN750)))</f>
        <v/>
      </c>
      <c r="X750" s="14">
        <f>IF($AO750="","","R"&amp;$C750&amp;"."&amp;$D750)</f>
        <v/>
      </c>
      <c r="Y750" s="15">
        <f>IF($AN750="","",IF(INDEX(職員マスタ!$K$6:$K$405,$AN750)="","",INDEX(職員マスタ!$K$6:$K$405,$AN750)))</f>
        <v/>
      </c>
      <c r="Z750" s="14">
        <f>IF(OR($E750="",$Y750=""),"",IF($E750&gt;=$Y750,"×",IF($E750&gt;=$Y750*設定!$C$5,"△","○")))</f>
        <v/>
      </c>
      <c r="AA750" s="15">
        <f>IF($Z750="","",IF($Z750="×",0,IF($Z750="○",ROUNDDOWN($E750*設定!$C$4,0),ROUNDDOWN($E750*ROUND((9*$Y750-9*$E750)/(10*$E750),4),0))))</f>
        <v/>
      </c>
      <c r="AB750" s="13" t="n"/>
      <c r="AC750" s="15">
        <f>IF($B750="","",IF($AB750&lt;&gt;"",$AB750,IF($AA750="","",IF($AA750&lt;=設定!$C$3,0,$AA750))))</f>
        <v/>
      </c>
      <c r="AD750" s="14">
        <f>IF($B750="","",IF(AND($AE750&lt;&gt;"",$AG750="",$AJ750=""),"保留中",IF($AJ750&lt;&gt;"",IF(N($AC750)&gt;0,"支給済","不支給"),IF($AC750="","要確認",IF($AC750=0,"不支給","未処理")))))</f>
        <v/>
      </c>
      <c r="AE750" s="12" t="n"/>
      <c r="AF750" s="11" t="n"/>
      <c r="AG750" s="11" t="n"/>
      <c r="AH750" s="11" t="n"/>
      <c r="AI750" s="14">
        <f>IF(AND($AD750="保留中",$AF750&lt;&gt;""),TODAY()-$AF750,"")</f>
        <v/>
      </c>
      <c r="AJ750" s="12" t="n"/>
      <c r="AK750" s="14">
        <f>IF($B750="","",IF($AO750="","対象年月が未入力／","")&amp;IF($B750="","",IF($AN750="","職員マスタに未登録の職員番号／",IF($Y750="","標準報酬月額が未登録／","")&amp;IF(AND($AO750&lt;&gt;"",OR(AND(INDEX(職員マスタ!$G$6:$G$405,$AN750)&lt;&gt;"",INDEX(職員マスタ!$G$6:$G$405,$AN750)&gt;EOMONTH($AO750,0)),AND(INDEX(職員マスタ!$H$6:$H$405,$AN750)&lt;&gt;"",INDEX(職員マスタ!$H$6:$H$405,$AN750)&lt;$AO750))),"対象月が時短期間外／","")&amp;IF(AND(INDEX(職員マスタ!$F$6:$F$405,$AN750)&lt;&gt;"",$AO750&lt;&gt;"",INDEX(職員マスタ!$F$6:$F$405,$AN750)&lt;$AO750),"対象月に子が2歳到達済／","")&amp;IF(AND($H750&lt;&gt;"",INDEX(職員マスタ!$B$6:$B$405,$AN750)&lt;&gt;"",SUBSTITUTE(SUBSTITUTE($H750," ","")," ","")&lt;&gt;SUBSTITUTE(SUBSTITUTE(INDEX(職員マスタ!$B$6:$B$405,$AN750)," ","")," ","")),"氏名がマスタと相違／","")&amp;IF(AND($Q750&lt;&gt;"",INDEX(職員マスタ!$E$6:$E$405,$AN750)&lt;&gt;"",$Q750&lt;&gt;INDEX(職員マスタ!$E$6:$E$405,$AN750)),"子の生年月日がマスタと相違／","")&amp;IF(AND($L750&lt;&gt;"",INDEX(職員マスタ!$G$6:$G$405,$AN750)&lt;&gt;"",$L750&lt;&gt;INDEX(職員マスタ!$G$6:$G$405,$AN750)),"時短開始日がマスタと相違／","")&amp;IF(AND($M750&lt;&gt;"",INDEX(職員マスタ!$H$6:$H$405,$AN750)&lt;&gt;"",$M750&lt;&gt;INDEX(職員マスタ!$H$6:$H$405,$AN750)),"時短終了日がマスタと相違／","")))&amp;IF(AND($B750&lt;&gt;"",$E750=""),"報酬額が未入力／","")&amp;IF(N($U750)&gt;0,"申請書に入力エラーが残っています／","")&amp;IF(AND($B750&lt;&gt;"",$AO750&lt;&gt;""),IF(COUNTIFS($B$6:$B$3005,$B750,$C$6:$C$3005,$C750,$D$6:$D$3005,$D750)&gt;1,"同じ月の請求が重複しています／",""),"")&amp;IF(AND(N($E750)&gt;0,$Z750&lt;&gt;"",$Z750&lt;&gt;"×",$AC750=0,$AB750=""),"計算額が下限以下のため不支給／",""))</f>
        <v/>
      </c>
      <c r="AL750" s="12" t="n"/>
      <c r="AM750" s="14">
        <f>IF($AD750="保留中",COUNTIF($AD$6:$AD750,"保留中"),"")</f>
        <v/>
      </c>
      <c r="AN750" s="14">
        <f>IF($AO750="","",IF(SUMPRODUCT(MAX((職員マスタ!$A$6:$A$405=$B750)*(((職員マスタ!$G$6:$G$405="")+(職員マスタ!$G$6:$G$405&lt;=EOMONTH($AO750,0)))&gt;0)*(((職員マスタ!$H$6:$H$405="")+(職員マスタ!$H$6:$H$405&gt;=$AO750))&gt;0)*(ROW(職員マスタ!$A$6:$A$405)-5)))&gt;0,SUMPRODUCT(MAX((職員マスタ!$A$6:$A$405=$B750)*(((職員マスタ!$G$6:$G$405="")+(職員マスタ!$G$6:$G$405&lt;=EOMONTH($AO750,0)))&gt;0)*(((職員マスタ!$H$6:$H$405="")+(職員マスタ!$H$6:$H$405&gt;=$AO750))&gt;0)*(ROW(職員マスタ!$A$6:$A$405)-5))),IFERROR(MATCH($B750,職員マスタ!$A$6:$A$405,0),"")))</f>
        <v/>
      </c>
      <c r="AO750" s="16">
        <f>IF(OR($B750="",$C750="",$D750=""),"",DATE($C750+2018,$D750,1))</f>
        <v/>
      </c>
    </row>
    <row r="751">
      <c r="A751" s="11" t="n"/>
      <c r="B751" s="12" t="n"/>
      <c r="C751" s="12" t="n"/>
      <c r="D751" s="12" t="n"/>
      <c r="E751" s="13" t="n"/>
      <c r="F751" s="12" t="n"/>
      <c r="G751" s="13" t="n"/>
      <c r="H751" s="12" t="n"/>
      <c r="I751" s="12" t="n"/>
      <c r="J751" s="12" t="n"/>
      <c r="K751" s="12" t="n"/>
      <c r="L751" s="11" t="n"/>
      <c r="M751" s="11" t="n"/>
      <c r="N751" s="11" t="n"/>
      <c r="O751" s="11" t="n"/>
      <c r="P751" s="12" t="n"/>
      <c r="Q751" s="11" t="n"/>
      <c r="R751" s="12" t="n"/>
      <c r="S751" s="11" t="n"/>
      <c r="T751" s="12" t="n"/>
      <c r="U751" s="12" t="n"/>
      <c r="V751" s="14">
        <f>IF($AN751="",IF($B751="","",$H751),IF(INDEX(職員マスタ!$B$6:$B$405,$AN751)="",$H751,INDEX(職員マスタ!$B$6:$B$405,$AN751)))</f>
        <v/>
      </c>
      <c r="W751" s="14">
        <f>IF($AN751="",IF($B751="","",$R751),IF(INDEX(職員マスタ!$C$6:$C$405,$AN751)="",$R751,INDEX(職員マスタ!$C$6:$C$405,$AN751)))</f>
        <v/>
      </c>
      <c r="X751" s="14">
        <f>IF($AO751="","","R"&amp;$C751&amp;"."&amp;$D751)</f>
        <v/>
      </c>
      <c r="Y751" s="15">
        <f>IF($AN751="","",IF(INDEX(職員マスタ!$K$6:$K$405,$AN751)="","",INDEX(職員マスタ!$K$6:$K$405,$AN751)))</f>
        <v/>
      </c>
      <c r="Z751" s="14">
        <f>IF(OR($E751="",$Y751=""),"",IF($E751&gt;=$Y751,"×",IF($E751&gt;=$Y751*設定!$C$5,"△","○")))</f>
        <v/>
      </c>
      <c r="AA751" s="15">
        <f>IF($Z751="","",IF($Z751="×",0,IF($Z751="○",ROUNDDOWN($E751*設定!$C$4,0),ROUNDDOWN($E751*ROUND((9*$Y751-9*$E751)/(10*$E751),4),0))))</f>
        <v/>
      </c>
      <c r="AB751" s="13" t="n"/>
      <c r="AC751" s="15">
        <f>IF($B751="","",IF($AB751&lt;&gt;"",$AB751,IF($AA751="","",IF($AA751&lt;=設定!$C$3,0,$AA751))))</f>
        <v/>
      </c>
      <c r="AD751" s="14">
        <f>IF($B751="","",IF(AND($AE751&lt;&gt;"",$AG751="",$AJ751=""),"保留中",IF($AJ751&lt;&gt;"",IF(N($AC751)&gt;0,"支給済","不支給"),IF($AC751="","要確認",IF($AC751=0,"不支給","未処理")))))</f>
        <v/>
      </c>
      <c r="AE751" s="12" t="n"/>
      <c r="AF751" s="11" t="n"/>
      <c r="AG751" s="11" t="n"/>
      <c r="AH751" s="11" t="n"/>
      <c r="AI751" s="14">
        <f>IF(AND($AD751="保留中",$AF751&lt;&gt;""),TODAY()-$AF751,"")</f>
        <v/>
      </c>
      <c r="AJ751" s="12" t="n"/>
      <c r="AK751" s="14">
        <f>IF($B751="","",IF($AO751="","対象年月が未入力／","")&amp;IF($B751="","",IF($AN751="","職員マスタに未登録の職員番号／",IF($Y751="","標準報酬月額が未登録／","")&amp;IF(AND($AO751&lt;&gt;"",OR(AND(INDEX(職員マスタ!$G$6:$G$405,$AN751)&lt;&gt;"",INDEX(職員マスタ!$G$6:$G$405,$AN751)&gt;EOMONTH($AO751,0)),AND(INDEX(職員マスタ!$H$6:$H$405,$AN751)&lt;&gt;"",INDEX(職員マスタ!$H$6:$H$405,$AN751)&lt;$AO751))),"対象月が時短期間外／","")&amp;IF(AND(INDEX(職員マスタ!$F$6:$F$405,$AN751)&lt;&gt;"",$AO751&lt;&gt;"",INDEX(職員マスタ!$F$6:$F$405,$AN751)&lt;$AO751),"対象月に子が2歳到達済／","")&amp;IF(AND($H751&lt;&gt;"",INDEX(職員マスタ!$B$6:$B$405,$AN751)&lt;&gt;"",SUBSTITUTE(SUBSTITUTE($H751," ","")," ","")&lt;&gt;SUBSTITUTE(SUBSTITUTE(INDEX(職員マスタ!$B$6:$B$405,$AN751)," ","")," ","")),"氏名がマスタと相違／","")&amp;IF(AND($Q751&lt;&gt;"",INDEX(職員マスタ!$E$6:$E$405,$AN751)&lt;&gt;"",$Q751&lt;&gt;INDEX(職員マスタ!$E$6:$E$405,$AN751)),"子の生年月日がマスタと相違／","")&amp;IF(AND($L751&lt;&gt;"",INDEX(職員マスタ!$G$6:$G$405,$AN751)&lt;&gt;"",$L751&lt;&gt;INDEX(職員マスタ!$G$6:$G$405,$AN751)),"時短開始日がマスタと相違／","")&amp;IF(AND($M751&lt;&gt;"",INDEX(職員マスタ!$H$6:$H$405,$AN751)&lt;&gt;"",$M751&lt;&gt;INDEX(職員マスタ!$H$6:$H$405,$AN751)),"時短終了日がマスタと相違／","")))&amp;IF(AND($B751&lt;&gt;"",$E751=""),"報酬額が未入力／","")&amp;IF(N($U751)&gt;0,"申請書に入力エラーが残っています／","")&amp;IF(AND($B751&lt;&gt;"",$AO751&lt;&gt;""),IF(COUNTIFS($B$6:$B$3005,$B751,$C$6:$C$3005,$C751,$D$6:$D$3005,$D751)&gt;1,"同じ月の請求が重複しています／",""),"")&amp;IF(AND(N($E751)&gt;0,$Z751&lt;&gt;"",$Z751&lt;&gt;"×",$AC751=0,$AB751=""),"計算額が下限以下のため不支給／",""))</f>
        <v/>
      </c>
      <c r="AL751" s="12" t="n"/>
      <c r="AM751" s="14">
        <f>IF($AD751="保留中",COUNTIF($AD$6:$AD751,"保留中"),"")</f>
        <v/>
      </c>
      <c r="AN751" s="14">
        <f>IF($AO751="","",IF(SUMPRODUCT(MAX((職員マスタ!$A$6:$A$405=$B751)*(((職員マスタ!$G$6:$G$405="")+(職員マスタ!$G$6:$G$405&lt;=EOMONTH($AO751,0)))&gt;0)*(((職員マスタ!$H$6:$H$405="")+(職員マスタ!$H$6:$H$405&gt;=$AO751))&gt;0)*(ROW(職員マスタ!$A$6:$A$405)-5)))&gt;0,SUMPRODUCT(MAX((職員マスタ!$A$6:$A$405=$B751)*(((職員マスタ!$G$6:$G$405="")+(職員マスタ!$G$6:$G$405&lt;=EOMONTH($AO751,0)))&gt;0)*(((職員マスタ!$H$6:$H$405="")+(職員マスタ!$H$6:$H$405&gt;=$AO751))&gt;0)*(ROW(職員マスタ!$A$6:$A$405)-5))),IFERROR(MATCH($B751,職員マスタ!$A$6:$A$405,0),"")))</f>
        <v/>
      </c>
      <c r="AO751" s="16">
        <f>IF(OR($B751="",$C751="",$D751=""),"",DATE($C751+2018,$D751,1))</f>
        <v/>
      </c>
    </row>
    <row r="752">
      <c r="A752" s="11" t="n"/>
      <c r="B752" s="12" t="n"/>
      <c r="C752" s="12" t="n"/>
      <c r="D752" s="12" t="n"/>
      <c r="E752" s="13" t="n"/>
      <c r="F752" s="12" t="n"/>
      <c r="G752" s="13" t="n"/>
      <c r="H752" s="12" t="n"/>
      <c r="I752" s="12" t="n"/>
      <c r="J752" s="12" t="n"/>
      <c r="K752" s="12" t="n"/>
      <c r="L752" s="11" t="n"/>
      <c r="M752" s="11" t="n"/>
      <c r="N752" s="11" t="n"/>
      <c r="O752" s="11" t="n"/>
      <c r="P752" s="12" t="n"/>
      <c r="Q752" s="11" t="n"/>
      <c r="R752" s="12" t="n"/>
      <c r="S752" s="11" t="n"/>
      <c r="T752" s="12" t="n"/>
      <c r="U752" s="12" t="n"/>
      <c r="V752" s="14">
        <f>IF($AN752="",IF($B752="","",$H752),IF(INDEX(職員マスタ!$B$6:$B$405,$AN752)="",$H752,INDEX(職員マスタ!$B$6:$B$405,$AN752)))</f>
        <v/>
      </c>
      <c r="W752" s="14">
        <f>IF($AN752="",IF($B752="","",$R752),IF(INDEX(職員マスタ!$C$6:$C$405,$AN752)="",$R752,INDEX(職員マスタ!$C$6:$C$405,$AN752)))</f>
        <v/>
      </c>
      <c r="X752" s="14">
        <f>IF($AO752="","","R"&amp;$C752&amp;"."&amp;$D752)</f>
        <v/>
      </c>
      <c r="Y752" s="15">
        <f>IF($AN752="","",IF(INDEX(職員マスタ!$K$6:$K$405,$AN752)="","",INDEX(職員マスタ!$K$6:$K$405,$AN752)))</f>
        <v/>
      </c>
      <c r="Z752" s="14">
        <f>IF(OR($E752="",$Y752=""),"",IF($E752&gt;=$Y752,"×",IF($E752&gt;=$Y752*設定!$C$5,"△","○")))</f>
        <v/>
      </c>
      <c r="AA752" s="15">
        <f>IF($Z752="","",IF($Z752="×",0,IF($Z752="○",ROUNDDOWN($E752*設定!$C$4,0),ROUNDDOWN($E752*ROUND((9*$Y752-9*$E752)/(10*$E752),4),0))))</f>
        <v/>
      </c>
      <c r="AB752" s="13" t="n"/>
      <c r="AC752" s="15">
        <f>IF($B752="","",IF($AB752&lt;&gt;"",$AB752,IF($AA752="","",IF($AA752&lt;=設定!$C$3,0,$AA752))))</f>
        <v/>
      </c>
      <c r="AD752" s="14">
        <f>IF($B752="","",IF(AND($AE752&lt;&gt;"",$AG752="",$AJ752=""),"保留中",IF($AJ752&lt;&gt;"",IF(N($AC752)&gt;0,"支給済","不支給"),IF($AC752="","要確認",IF($AC752=0,"不支給","未処理")))))</f>
        <v/>
      </c>
      <c r="AE752" s="12" t="n"/>
      <c r="AF752" s="11" t="n"/>
      <c r="AG752" s="11" t="n"/>
      <c r="AH752" s="11" t="n"/>
      <c r="AI752" s="14">
        <f>IF(AND($AD752="保留中",$AF752&lt;&gt;""),TODAY()-$AF752,"")</f>
        <v/>
      </c>
      <c r="AJ752" s="12" t="n"/>
      <c r="AK752" s="14">
        <f>IF($B752="","",IF($AO752="","対象年月が未入力／","")&amp;IF($B752="","",IF($AN752="","職員マスタに未登録の職員番号／",IF($Y752="","標準報酬月額が未登録／","")&amp;IF(AND($AO752&lt;&gt;"",OR(AND(INDEX(職員マスタ!$G$6:$G$405,$AN752)&lt;&gt;"",INDEX(職員マスタ!$G$6:$G$405,$AN752)&gt;EOMONTH($AO752,0)),AND(INDEX(職員マスタ!$H$6:$H$405,$AN752)&lt;&gt;"",INDEX(職員マスタ!$H$6:$H$405,$AN752)&lt;$AO752))),"対象月が時短期間外／","")&amp;IF(AND(INDEX(職員マスタ!$F$6:$F$405,$AN752)&lt;&gt;"",$AO752&lt;&gt;"",INDEX(職員マスタ!$F$6:$F$405,$AN752)&lt;$AO752),"対象月に子が2歳到達済／","")&amp;IF(AND($H752&lt;&gt;"",INDEX(職員マスタ!$B$6:$B$405,$AN752)&lt;&gt;"",SUBSTITUTE(SUBSTITUTE($H752," ","")," ","")&lt;&gt;SUBSTITUTE(SUBSTITUTE(INDEX(職員マスタ!$B$6:$B$405,$AN752)," ","")," ","")),"氏名がマスタと相違／","")&amp;IF(AND($Q752&lt;&gt;"",INDEX(職員マスタ!$E$6:$E$405,$AN752)&lt;&gt;"",$Q752&lt;&gt;INDEX(職員マスタ!$E$6:$E$405,$AN752)),"子の生年月日がマスタと相違／","")&amp;IF(AND($L752&lt;&gt;"",INDEX(職員マスタ!$G$6:$G$405,$AN752)&lt;&gt;"",$L752&lt;&gt;INDEX(職員マスタ!$G$6:$G$405,$AN752)),"時短開始日がマスタと相違／","")&amp;IF(AND($M752&lt;&gt;"",INDEX(職員マスタ!$H$6:$H$405,$AN752)&lt;&gt;"",$M752&lt;&gt;INDEX(職員マスタ!$H$6:$H$405,$AN752)),"時短終了日がマスタと相違／","")))&amp;IF(AND($B752&lt;&gt;"",$E752=""),"報酬額が未入力／","")&amp;IF(N($U752)&gt;0,"申請書に入力エラーが残っています／","")&amp;IF(AND($B752&lt;&gt;"",$AO752&lt;&gt;""),IF(COUNTIFS($B$6:$B$3005,$B752,$C$6:$C$3005,$C752,$D$6:$D$3005,$D752)&gt;1,"同じ月の請求が重複しています／",""),"")&amp;IF(AND(N($E752)&gt;0,$Z752&lt;&gt;"",$Z752&lt;&gt;"×",$AC752=0,$AB752=""),"計算額が下限以下のため不支給／",""))</f>
        <v/>
      </c>
      <c r="AL752" s="12" t="n"/>
      <c r="AM752" s="14">
        <f>IF($AD752="保留中",COUNTIF($AD$6:$AD752,"保留中"),"")</f>
        <v/>
      </c>
      <c r="AN752" s="14">
        <f>IF($AO752="","",IF(SUMPRODUCT(MAX((職員マスタ!$A$6:$A$405=$B752)*(((職員マスタ!$G$6:$G$405="")+(職員マスタ!$G$6:$G$405&lt;=EOMONTH($AO752,0)))&gt;0)*(((職員マスタ!$H$6:$H$405="")+(職員マスタ!$H$6:$H$405&gt;=$AO752))&gt;0)*(ROW(職員マスタ!$A$6:$A$405)-5)))&gt;0,SUMPRODUCT(MAX((職員マスタ!$A$6:$A$405=$B752)*(((職員マスタ!$G$6:$G$405="")+(職員マスタ!$G$6:$G$405&lt;=EOMONTH($AO752,0)))&gt;0)*(((職員マスタ!$H$6:$H$405="")+(職員マスタ!$H$6:$H$405&gt;=$AO752))&gt;0)*(ROW(職員マスタ!$A$6:$A$405)-5))),IFERROR(MATCH($B752,職員マスタ!$A$6:$A$405,0),"")))</f>
        <v/>
      </c>
      <c r="AO752" s="16">
        <f>IF(OR($B752="",$C752="",$D752=""),"",DATE($C752+2018,$D752,1))</f>
        <v/>
      </c>
    </row>
    <row r="753">
      <c r="A753" s="11" t="n"/>
      <c r="B753" s="12" t="n"/>
      <c r="C753" s="12" t="n"/>
      <c r="D753" s="12" t="n"/>
      <c r="E753" s="13" t="n"/>
      <c r="F753" s="12" t="n"/>
      <c r="G753" s="13" t="n"/>
      <c r="H753" s="12" t="n"/>
      <c r="I753" s="12" t="n"/>
      <c r="J753" s="12" t="n"/>
      <c r="K753" s="12" t="n"/>
      <c r="L753" s="11" t="n"/>
      <c r="M753" s="11" t="n"/>
      <c r="N753" s="11" t="n"/>
      <c r="O753" s="11" t="n"/>
      <c r="P753" s="12" t="n"/>
      <c r="Q753" s="11" t="n"/>
      <c r="R753" s="12" t="n"/>
      <c r="S753" s="11" t="n"/>
      <c r="T753" s="12" t="n"/>
      <c r="U753" s="12" t="n"/>
      <c r="V753" s="14">
        <f>IF($AN753="",IF($B753="","",$H753),IF(INDEX(職員マスタ!$B$6:$B$405,$AN753)="",$H753,INDEX(職員マスタ!$B$6:$B$405,$AN753)))</f>
        <v/>
      </c>
      <c r="W753" s="14">
        <f>IF($AN753="",IF($B753="","",$R753),IF(INDEX(職員マスタ!$C$6:$C$405,$AN753)="",$R753,INDEX(職員マスタ!$C$6:$C$405,$AN753)))</f>
        <v/>
      </c>
      <c r="X753" s="14">
        <f>IF($AO753="","","R"&amp;$C753&amp;"."&amp;$D753)</f>
        <v/>
      </c>
      <c r="Y753" s="15">
        <f>IF($AN753="","",IF(INDEX(職員マスタ!$K$6:$K$405,$AN753)="","",INDEX(職員マスタ!$K$6:$K$405,$AN753)))</f>
        <v/>
      </c>
      <c r="Z753" s="14">
        <f>IF(OR($E753="",$Y753=""),"",IF($E753&gt;=$Y753,"×",IF($E753&gt;=$Y753*設定!$C$5,"△","○")))</f>
        <v/>
      </c>
      <c r="AA753" s="15">
        <f>IF($Z753="","",IF($Z753="×",0,IF($Z753="○",ROUNDDOWN($E753*設定!$C$4,0),ROUNDDOWN($E753*ROUND((9*$Y753-9*$E753)/(10*$E753),4),0))))</f>
        <v/>
      </c>
      <c r="AB753" s="13" t="n"/>
      <c r="AC753" s="15">
        <f>IF($B753="","",IF($AB753&lt;&gt;"",$AB753,IF($AA753="","",IF($AA753&lt;=設定!$C$3,0,$AA753))))</f>
        <v/>
      </c>
      <c r="AD753" s="14">
        <f>IF($B753="","",IF(AND($AE753&lt;&gt;"",$AG753="",$AJ753=""),"保留中",IF($AJ753&lt;&gt;"",IF(N($AC753)&gt;0,"支給済","不支給"),IF($AC753="","要確認",IF($AC753=0,"不支給","未処理")))))</f>
        <v/>
      </c>
      <c r="AE753" s="12" t="n"/>
      <c r="AF753" s="11" t="n"/>
      <c r="AG753" s="11" t="n"/>
      <c r="AH753" s="11" t="n"/>
      <c r="AI753" s="14">
        <f>IF(AND($AD753="保留中",$AF753&lt;&gt;""),TODAY()-$AF753,"")</f>
        <v/>
      </c>
      <c r="AJ753" s="12" t="n"/>
      <c r="AK753" s="14">
        <f>IF($B753="","",IF($AO753="","対象年月が未入力／","")&amp;IF($B753="","",IF($AN753="","職員マスタに未登録の職員番号／",IF($Y753="","標準報酬月額が未登録／","")&amp;IF(AND($AO753&lt;&gt;"",OR(AND(INDEX(職員マスタ!$G$6:$G$405,$AN753)&lt;&gt;"",INDEX(職員マスタ!$G$6:$G$405,$AN753)&gt;EOMONTH($AO753,0)),AND(INDEX(職員マスタ!$H$6:$H$405,$AN753)&lt;&gt;"",INDEX(職員マスタ!$H$6:$H$405,$AN753)&lt;$AO753))),"対象月が時短期間外／","")&amp;IF(AND(INDEX(職員マスタ!$F$6:$F$405,$AN753)&lt;&gt;"",$AO753&lt;&gt;"",INDEX(職員マスタ!$F$6:$F$405,$AN753)&lt;$AO753),"対象月に子が2歳到達済／","")&amp;IF(AND($H753&lt;&gt;"",INDEX(職員マスタ!$B$6:$B$405,$AN753)&lt;&gt;"",SUBSTITUTE(SUBSTITUTE($H753," ","")," ","")&lt;&gt;SUBSTITUTE(SUBSTITUTE(INDEX(職員マスタ!$B$6:$B$405,$AN753)," ","")," ","")),"氏名がマスタと相違／","")&amp;IF(AND($Q753&lt;&gt;"",INDEX(職員マスタ!$E$6:$E$405,$AN753)&lt;&gt;"",$Q753&lt;&gt;INDEX(職員マスタ!$E$6:$E$405,$AN753)),"子の生年月日がマスタと相違／","")&amp;IF(AND($L753&lt;&gt;"",INDEX(職員マスタ!$G$6:$G$405,$AN753)&lt;&gt;"",$L753&lt;&gt;INDEX(職員マスタ!$G$6:$G$405,$AN753)),"時短開始日がマスタと相違／","")&amp;IF(AND($M753&lt;&gt;"",INDEX(職員マスタ!$H$6:$H$405,$AN753)&lt;&gt;"",$M753&lt;&gt;INDEX(職員マスタ!$H$6:$H$405,$AN753)),"時短終了日がマスタと相違／","")))&amp;IF(AND($B753&lt;&gt;"",$E753=""),"報酬額が未入力／","")&amp;IF(N($U753)&gt;0,"申請書に入力エラーが残っています／","")&amp;IF(AND($B753&lt;&gt;"",$AO753&lt;&gt;""),IF(COUNTIFS($B$6:$B$3005,$B753,$C$6:$C$3005,$C753,$D$6:$D$3005,$D753)&gt;1,"同じ月の請求が重複しています／",""),"")&amp;IF(AND(N($E753)&gt;0,$Z753&lt;&gt;"",$Z753&lt;&gt;"×",$AC753=0,$AB753=""),"計算額が下限以下のため不支給／",""))</f>
        <v/>
      </c>
      <c r="AL753" s="12" t="n"/>
      <c r="AM753" s="14">
        <f>IF($AD753="保留中",COUNTIF($AD$6:$AD753,"保留中"),"")</f>
        <v/>
      </c>
      <c r="AN753" s="14">
        <f>IF($AO753="","",IF(SUMPRODUCT(MAX((職員マスタ!$A$6:$A$405=$B753)*(((職員マスタ!$G$6:$G$405="")+(職員マスタ!$G$6:$G$405&lt;=EOMONTH($AO753,0)))&gt;0)*(((職員マスタ!$H$6:$H$405="")+(職員マスタ!$H$6:$H$405&gt;=$AO753))&gt;0)*(ROW(職員マスタ!$A$6:$A$405)-5)))&gt;0,SUMPRODUCT(MAX((職員マスタ!$A$6:$A$405=$B753)*(((職員マスタ!$G$6:$G$405="")+(職員マスタ!$G$6:$G$405&lt;=EOMONTH($AO753,0)))&gt;0)*(((職員マスタ!$H$6:$H$405="")+(職員マスタ!$H$6:$H$405&gt;=$AO753))&gt;0)*(ROW(職員マスタ!$A$6:$A$405)-5))),IFERROR(MATCH($B753,職員マスタ!$A$6:$A$405,0),"")))</f>
        <v/>
      </c>
      <c r="AO753" s="16">
        <f>IF(OR($B753="",$C753="",$D753=""),"",DATE($C753+2018,$D753,1))</f>
        <v/>
      </c>
    </row>
    <row r="754">
      <c r="A754" s="11" t="n"/>
      <c r="B754" s="12" t="n"/>
      <c r="C754" s="12" t="n"/>
      <c r="D754" s="12" t="n"/>
      <c r="E754" s="13" t="n"/>
      <c r="F754" s="12" t="n"/>
      <c r="G754" s="13" t="n"/>
      <c r="H754" s="12" t="n"/>
      <c r="I754" s="12" t="n"/>
      <c r="J754" s="12" t="n"/>
      <c r="K754" s="12" t="n"/>
      <c r="L754" s="11" t="n"/>
      <c r="M754" s="11" t="n"/>
      <c r="N754" s="11" t="n"/>
      <c r="O754" s="11" t="n"/>
      <c r="P754" s="12" t="n"/>
      <c r="Q754" s="11" t="n"/>
      <c r="R754" s="12" t="n"/>
      <c r="S754" s="11" t="n"/>
      <c r="T754" s="12" t="n"/>
      <c r="U754" s="12" t="n"/>
      <c r="V754" s="14">
        <f>IF($AN754="",IF($B754="","",$H754),IF(INDEX(職員マスタ!$B$6:$B$405,$AN754)="",$H754,INDEX(職員マスタ!$B$6:$B$405,$AN754)))</f>
        <v/>
      </c>
      <c r="W754" s="14">
        <f>IF($AN754="",IF($B754="","",$R754),IF(INDEX(職員マスタ!$C$6:$C$405,$AN754)="",$R754,INDEX(職員マスタ!$C$6:$C$405,$AN754)))</f>
        <v/>
      </c>
      <c r="X754" s="14">
        <f>IF($AO754="","","R"&amp;$C754&amp;"."&amp;$D754)</f>
        <v/>
      </c>
      <c r="Y754" s="15">
        <f>IF($AN754="","",IF(INDEX(職員マスタ!$K$6:$K$405,$AN754)="","",INDEX(職員マスタ!$K$6:$K$405,$AN754)))</f>
        <v/>
      </c>
      <c r="Z754" s="14">
        <f>IF(OR($E754="",$Y754=""),"",IF($E754&gt;=$Y754,"×",IF($E754&gt;=$Y754*設定!$C$5,"△","○")))</f>
        <v/>
      </c>
      <c r="AA754" s="15">
        <f>IF($Z754="","",IF($Z754="×",0,IF($Z754="○",ROUNDDOWN($E754*設定!$C$4,0),ROUNDDOWN($E754*ROUND((9*$Y754-9*$E754)/(10*$E754),4),0))))</f>
        <v/>
      </c>
      <c r="AB754" s="13" t="n"/>
      <c r="AC754" s="15">
        <f>IF($B754="","",IF($AB754&lt;&gt;"",$AB754,IF($AA754="","",IF($AA754&lt;=設定!$C$3,0,$AA754))))</f>
        <v/>
      </c>
      <c r="AD754" s="14">
        <f>IF($B754="","",IF(AND($AE754&lt;&gt;"",$AG754="",$AJ754=""),"保留中",IF($AJ754&lt;&gt;"",IF(N($AC754)&gt;0,"支給済","不支給"),IF($AC754="","要確認",IF($AC754=0,"不支給","未処理")))))</f>
        <v/>
      </c>
      <c r="AE754" s="12" t="n"/>
      <c r="AF754" s="11" t="n"/>
      <c r="AG754" s="11" t="n"/>
      <c r="AH754" s="11" t="n"/>
      <c r="AI754" s="14">
        <f>IF(AND($AD754="保留中",$AF754&lt;&gt;""),TODAY()-$AF754,"")</f>
        <v/>
      </c>
      <c r="AJ754" s="12" t="n"/>
      <c r="AK754" s="14">
        <f>IF($B754="","",IF($AO754="","対象年月が未入力／","")&amp;IF($B754="","",IF($AN754="","職員マスタに未登録の職員番号／",IF($Y754="","標準報酬月額が未登録／","")&amp;IF(AND($AO754&lt;&gt;"",OR(AND(INDEX(職員マスタ!$G$6:$G$405,$AN754)&lt;&gt;"",INDEX(職員マスタ!$G$6:$G$405,$AN754)&gt;EOMONTH($AO754,0)),AND(INDEX(職員マスタ!$H$6:$H$405,$AN754)&lt;&gt;"",INDEX(職員マスタ!$H$6:$H$405,$AN754)&lt;$AO754))),"対象月が時短期間外／","")&amp;IF(AND(INDEX(職員マスタ!$F$6:$F$405,$AN754)&lt;&gt;"",$AO754&lt;&gt;"",INDEX(職員マスタ!$F$6:$F$405,$AN754)&lt;$AO754),"対象月に子が2歳到達済／","")&amp;IF(AND($H754&lt;&gt;"",INDEX(職員マスタ!$B$6:$B$405,$AN754)&lt;&gt;"",SUBSTITUTE(SUBSTITUTE($H754," ","")," ","")&lt;&gt;SUBSTITUTE(SUBSTITUTE(INDEX(職員マスタ!$B$6:$B$405,$AN754)," ","")," ","")),"氏名がマスタと相違／","")&amp;IF(AND($Q754&lt;&gt;"",INDEX(職員マスタ!$E$6:$E$405,$AN754)&lt;&gt;"",$Q754&lt;&gt;INDEX(職員マスタ!$E$6:$E$405,$AN754)),"子の生年月日がマスタと相違／","")&amp;IF(AND($L754&lt;&gt;"",INDEX(職員マスタ!$G$6:$G$405,$AN754)&lt;&gt;"",$L754&lt;&gt;INDEX(職員マスタ!$G$6:$G$405,$AN754)),"時短開始日がマスタと相違／","")&amp;IF(AND($M754&lt;&gt;"",INDEX(職員マスタ!$H$6:$H$405,$AN754)&lt;&gt;"",$M754&lt;&gt;INDEX(職員マスタ!$H$6:$H$405,$AN754)),"時短終了日がマスタと相違／","")))&amp;IF(AND($B754&lt;&gt;"",$E754=""),"報酬額が未入力／","")&amp;IF(N($U754)&gt;0,"申請書に入力エラーが残っています／","")&amp;IF(AND($B754&lt;&gt;"",$AO754&lt;&gt;""),IF(COUNTIFS($B$6:$B$3005,$B754,$C$6:$C$3005,$C754,$D$6:$D$3005,$D754)&gt;1,"同じ月の請求が重複しています／",""),"")&amp;IF(AND(N($E754)&gt;0,$Z754&lt;&gt;"",$Z754&lt;&gt;"×",$AC754=0,$AB754=""),"計算額が下限以下のため不支給／",""))</f>
        <v/>
      </c>
      <c r="AL754" s="12" t="n"/>
      <c r="AM754" s="14">
        <f>IF($AD754="保留中",COUNTIF($AD$6:$AD754,"保留中"),"")</f>
        <v/>
      </c>
      <c r="AN754" s="14">
        <f>IF($AO754="","",IF(SUMPRODUCT(MAX((職員マスタ!$A$6:$A$405=$B754)*(((職員マスタ!$G$6:$G$405="")+(職員マスタ!$G$6:$G$405&lt;=EOMONTH($AO754,0)))&gt;0)*(((職員マスタ!$H$6:$H$405="")+(職員マスタ!$H$6:$H$405&gt;=$AO754))&gt;0)*(ROW(職員マスタ!$A$6:$A$405)-5)))&gt;0,SUMPRODUCT(MAX((職員マスタ!$A$6:$A$405=$B754)*(((職員マスタ!$G$6:$G$405="")+(職員マスタ!$G$6:$G$405&lt;=EOMONTH($AO754,0)))&gt;0)*(((職員マスタ!$H$6:$H$405="")+(職員マスタ!$H$6:$H$405&gt;=$AO754))&gt;0)*(ROW(職員マスタ!$A$6:$A$405)-5))),IFERROR(MATCH($B754,職員マスタ!$A$6:$A$405,0),"")))</f>
        <v/>
      </c>
      <c r="AO754" s="16">
        <f>IF(OR($B754="",$C754="",$D754=""),"",DATE($C754+2018,$D754,1))</f>
        <v/>
      </c>
    </row>
    <row r="755">
      <c r="A755" s="11" t="n"/>
      <c r="B755" s="12" t="n"/>
      <c r="C755" s="12" t="n"/>
      <c r="D755" s="12" t="n"/>
      <c r="E755" s="13" t="n"/>
      <c r="F755" s="12" t="n"/>
      <c r="G755" s="13" t="n"/>
      <c r="H755" s="12" t="n"/>
      <c r="I755" s="12" t="n"/>
      <c r="J755" s="12" t="n"/>
      <c r="K755" s="12" t="n"/>
      <c r="L755" s="11" t="n"/>
      <c r="M755" s="11" t="n"/>
      <c r="N755" s="11" t="n"/>
      <c r="O755" s="11" t="n"/>
      <c r="P755" s="12" t="n"/>
      <c r="Q755" s="11" t="n"/>
      <c r="R755" s="12" t="n"/>
      <c r="S755" s="11" t="n"/>
      <c r="T755" s="12" t="n"/>
      <c r="U755" s="12" t="n"/>
      <c r="V755" s="14">
        <f>IF($AN755="",IF($B755="","",$H755),IF(INDEX(職員マスタ!$B$6:$B$405,$AN755)="",$H755,INDEX(職員マスタ!$B$6:$B$405,$AN755)))</f>
        <v/>
      </c>
      <c r="W755" s="14">
        <f>IF($AN755="",IF($B755="","",$R755),IF(INDEX(職員マスタ!$C$6:$C$405,$AN755)="",$R755,INDEX(職員マスタ!$C$6:$C$405,$AN755)))</f>
        <v/>
      </c>
      <c r="X755" s="14">
        <f>IF($AO755="","","R"&amp;$C755&amp;"."&amp;$D755)</f>
        <v/>
      </c>
      <c r="Y755" s="15">
        <f>IF($AN755="","",IF(INDEX(職員マスタ!$K$6:$K$405,$AN755)="","",INDEX(職員マスタ!$K$6:$K$405,$AN755)))</f>
        <v/>
      </c>
      <c r="Z755" s="14">
        <f>IF(OR($E755="",$Y755=""),"",IF($E755&gt;=$Y755,"×",IF($E755&gt;=$Y755*設定!$C$5,"△","○")))</f>
        <v/>
      </c>
      <c r="AA755" s="15">
        <f>IF($Z755="","",IF($Z755="×",0,IF($Z755="○",ROUNDDOWN($E755*設定!$C$4,0),ROUNDDOWN($E755*ROUND((9*$Y755-9*$E755)/(10*$E755),4),0))))</f>
        <v/>
      </c>
      <c r="AB755" s="13" t="n"/>
      <c r="AC755" s="15">
        <f>IF($B755="","",IF($AB755&lt;&gt;"",$AB755,IF($AA755="","",IF($AA755&lt;=設定!$C$3,0,$AA755))))</f>
        <v/>
      </c>
      <c r="AD755" s="14">
        <f>IF($B755="","",IF(AND($AE755&lt;&gt;"",$AG755="",$AJ755=""),"保留中",IF($AJ755&lt;&gt;"",IF(N($AC755)&gt;0,"支給済","不支給"),IF($AC755="","要確認",IF($AC755=0,"不支給","未処理")))))</f>
        <v/>
      </c>
      <c r="AE755" s="12" t="n"/>
      <c r="AF755" s="11" t="n"/>
      <c r="AG755" s="11" t="n"/>
      <c r="AH755" s="11" t="n"/>
      <c r="AI755" s="14">
        <f>IF(AND($AD755="保留中",$AF755&lt;&gt;""),TODAY()-$AF755,"")</f>
        <v/>
      </c>
      <c r="AJ755" s="12" t="n"/>
      <c r="AK755" s="14">
        <f>IF($B755="","",IF($AO755="","対象年月が未入力／","")&amp;IF($B755="","",IF($AN755="","職員マスタに未登録の職員番号／",IF($Y755="","標準報酬月額が未登録／","")&amp;IF(AND($AO755&lt;&gt;"",OR(AND(INDEX(職員マスタ!$G$6:$G$405,$AN755)&lt;&gt;"",INDEX(職員マスタ!$G$6:$G$405,$AN755)&gt;EOMONTH($AO755,0)),AND(INDEX(職員マスタ!$H$6:$H$405,$AN755)&lt;&gt;"",INDEX(職員マスタ!$H$6:$H$405,$AN755)&lt;$AO755))),"対象月が時短期間外／","")&amp;IF(AND(INDEX(職員マスタ!$F$6:$F$405,$AN755)&lt;&gt;"",$AO755&lt;&gt;"",INDEX(職員マスタ!$F$6:$F$405,$AN755)&lt;$AO755),"対象月に子が2歳到達済／","")&amp;IF(AND($H755&lt;&gt;"",INDEX(職員マスタ!$B$6:$B$405,$AN755)&lt;&gt;"",SUBSTITUTE(SUBSTITUTE($H755," ","")," ","")&lt;&gt;SUBSTITUTE(SUBSTITUTE(INDEX(職員マスタ!$B$6:$B$405,$AN755)," ","")," ","")),"氏名がマスタと相違／","")&amp;IF(AND($Q755&lt;&gt;"",INDEX(職員マスタ!$E$6:$E$405,$AN755)&lt;&gt;"",$Q755&lt;&gt;INDEX(職員マスタ!$E$6:$E$405,$AN755)),"子の生年月日がマスタと相違／","")&amp;IF(AND($L755&lt;&gt;"",INDEX(職員マスタ!$G$6:$G$405,$AN755)&lt;&gt;"",$L755&lt;&gt;INDEX(職員マスタ!$G$6:$G$405,$AN755)),"時短開始日がマスタと相違／","")&amp;IF(AND($M755&lt;&gt;"",INDEX(職員マスタ!$H$6:$H$405,$AN755)&lt;&gt;"",$M755&lt;&gt;INDEX(職員マスタ!$H$6:$H$405,$AN755)),"時短終了日がマスタと相違／","")))&amp;IF(AND($B755&lt;&gt;"",$E755=""),"報酬額が未入力／","")&amp;IF(N($U755)&gt;0,"申請書に入力エラーが残っています／","")&amp;IF(AND($B755&lt;&gt;"",$AO755&lt;&gt;""),IF(COUNTIFS($B$6:$B$3005,$B755,$C$6:$C$3005,$C755,$D$6:$D$3005,$D755)&gt;1,"同じ月の請求が重複しています／",""),"")&amp;IF(AND(N($E755)&gt;0,$Z755&lt;&gt;"",$Z755&lt;&gt;"×",$AC755=0,$AB755=""),"計算額が下限以下のため不支給／",""))</f>
        <v/>
      </c>
      <c r="AL755" s="12" t="n"/>
      <c r="AM755" s="14">
        <f>IF($AD755="保留中",COUNTIF($AD$6:$AD755,"保留中"),"")</f>
        <v/>
      </c>
      <c r="AN755" s="14">
        <f>IF($AO755="","",IF(SUMPRODUCT(MAX((職員マスタ!$A$6:$A$405=$B755)*(((職員マスタ!$G$6:$G$405="")+(職員マスタ!$G$6:$G$405&lt;=EOMONTH($AO755,0)))&gt;0)*(((職員マスタ!$H$6:$H$405="")+(職員マスタ!$H$6:$H$405&gt;=$AO755))&gt;0)*(ROW(職員マスタ!$A$6:$A$405)-5)))&gt;0,SUMPRODUCT(MAX((職員マスタ!$A$6:$A$405=$B755)*(((職員マスタ!$G$6:$G$405="")+(職員マスタ!$G$6:$G$405&lt;=EOMONTH($AO755,0)))&gt;0)*(((職員マスタ!$H$6:$H$405="")+(職員マスタ!$H$6:$H$405&gt;=$AO755))&gt;0)*(ROW(職員マスタ!$A$6:$A$405)-5))),IFERROR(MATCH($B755,職員マスタ!$A$6:$A$405,0),"")))</f>
        <v/>
      </c>
      <c r="AO755" s="16">
        <f>IF(OR($B755="",$C755="",$D755=""),"",DATE($C755+2018,$D755,1))</f>
        <v/>
      </c>
    </row>
    <row r="756">
      <c r="A756" s="11" t="n"/>
      <c r="B756" s="12" t="n"/>
      <c r="C756" s="12" t="n"/>
      <c r="D756" s="12" t="n"/>
      <c r="E756" s="13" t="n"/>
      <c r="F756" s="12" t="n"/>
      <c r="G756" s="13" t="n"/>
      <c r="H756" s="12" t="n"/>
      <c r="I756" s="12" t="n"/>
      <c r="J756" s="12" t="n"/>
      <c r="K756" s="12" t="n"/>
      <c r="L756" s="11" t="n"/>
      <c r="M756" s="11" t="n"/>
      <c r="N756" s="11" t="n"/>
      <c r="O756" s="11" t="n"/>
      <c r="P756" s="12" t="n"/>
      <c r="Q756" s="11" t="n"/>
      <c r="R756" s="12" t="n"/>
      <c r="S756" s="11" t="n"/>
      <c r="T756" s="12" t="n"/>
      <c r="U756" s="12" t="n"/>
      <c r="V756" s="14">
        <f>IF($AN756="",IF($B756="","",$H756),IF(INDEX(職員マスタ!$B$6:$B$405,$AN756)="",$H756,INDEX(職員マスタ!$B$6:$B$405,$AN756)))</f>
        <v/>
      </c>
      <c r="W756" s="14">
        <f>IF($AN756="",IF($B756="","",$R756),IF(INDEX(職員マスタ!$C$6:$C$405,$AN756)="",$R756,INDEX(職員マスタ!$C$6:$C$405,$AN756)))</f>
        <v/>
      </c>
      <c r="X756" s="14">
        <f>IF($AO756="","","R"&amp;$C756&amp;"."&amp;$D756)</f>
        <v/>
      </c>
      <c r="Y756" s="15">
        <f>IF($AN756="","",IF(INDEX(職員マスタ!$K$6:$K$405,$AN756)="","",INDEX(職員マスタ!$K$6:$K$405,$AN756)))</f>
        <v/>
      </c>
      <c r="Z756" s="14">
        <f>IF(OR($E756="",$Y756=""),"",IF($E756&gt;=$Y756,"×",IF($E756&gt;=$Y756*設定!$C$5,"△","○")))</f>
        <v/>
      </c>
      <c r="AA756" s="15">
        <f>IF($Z756="","",IF($Z756="×",0,IF($Z756="○",ROUNDDOWN($E756*設定!$C$4,0),ROUNDDOWN($E756*ROUND((9*$Y756-9*$E756)/(10*$E756),4),0))))</f>
        <v/>
      </c>
      <c r="AB756" s="13" t="n"/>
      <c r="AC756" s="15">
        <f>IF($B756="","",IF($AB756&lt;&gt;"",$AB756,IF($AA756="","",IF($AA756&lt;=設定!$C$3,0,$AA756))))</f>
        <v/>
      </c>
      <c r="AD756" s="14">
        <f>IF($B756="","",IF(AND($AE756&lt;&gt;"",$AG756="",$AJ756=""),"保留中",IF($AJ756&lt;&gt;"",IF(N($AC756)&gt;0,"支給済","不支給"),IF($AC756="","要確認",IF($AC756=0,"不支給","未処理")))))</f>
        <v/>
      </c>
      <c r="AE756" s="12" t="n"/>
      <c r="AF756" s="11" t="n"/>
      <c r="AG756" s="11" t="n"/>
      <c r="AH756" s="11" t="n"/>
      <c r="AI756" s="14">
        <f>IF(AND($AD756="保留中",$AF756&lt;&gt;""),TODAY()-$AF756,"")</f>
        <v/>
      </c>
      <c r="AJ756" s="12" t="n"/>
      <c r="AK756" s="14">
        <f>IF($B756="","",IF($AO756="","対象年月が未入力／","")&amp;IF($B756="","",IF($AN756="","職員マスタに未登録の職員番号／",IF($Y756="","標準報酬月額が未登録／","")&amp;IF(AND($AO756&lt;&gt;"",OR(AND(INDEX(職員マスタ!$G$6:$G$405,$AN756)&lt;&gt;"",INDEX(職員マスタ!$G$6:$G$405,$AN756)&gt;EOMONTH($AO756,0)),AND(INDEX(職員マスタ!$H$6:$H$405,$AN756)&lt;&gt;"",INDEX(職員マスタ!$H$6:$H$405,$AN756)&lt;$AO756))),"対象月が時短期間外／","")&amp;IF(AND(INDEX(職員マスタ!$F$6:$F$405,$AN756)&lt;&gt;"",$AO756&lt;&gt;"",INDEX(職員マスタ!$F$6:$F$405,$AN756)&lt;$AO756),"対象月に子が2歳到達済／","")&amp;IF(AND($H756&lt;&gt;"",INDEX(職員マスタ!$B$6:$B$405,$AN756)&lt;&gt;"",SUBSTITUTE(SUBSTITUTE($H756," ","")," ","")&lt;&gt;SUBSTITUTE(SUBSTITUTE(INDEX(職員マスタ!$B$6:$B$405,$AN756)," ","")," ","")),"氏名がマスタと相違／","")&amp;IF(AND($Q756&lt;&gt;"",INDEX(職員マスタ!$E$6:$E$405,$AN756)&lt;&gt;"",$Q756&lt;&gt;INDEX(職員マスタ!$E$6:$E$405,$AN756)),"子の生年月日がマスタと相違／","")&amp;IF(AND($L756&lt;&gt;"",INDEX(職員マスタ!$G$6:$G$405,$AN756)&lt;&gt;"",$L756&lt;&gt;INDEX(職員マスタ!$G$6:$G$405,$AN756)),"時短開始日がマスタと相違／","")&amp;IF(AND($M756&lt;&gt;"",INDEX(職員マスタ!$H$6:$H$405,$AN756)&lt;&gt;"",$M756&lt;&gt;INDEX(職員マスタ!$H$6:$H$405,$AN756)),"時短終了日がマスタと相違／","")))&amp;IF(AND($B756&lt;&gt;"",$E756=""),"報酬額が未入力／","")&amp;IF(N($U756)&gt;0,"申請書に入力エラーが残っています／","")&amp;IF(AND($B756&lt;&gt;"",$AO756&lt;&gt;""),IF(COUNTIFS($B$6:$B$3005,$B756,$C$6:$C$3005,$C756,$D$6:$D$3005,$D756)&gt;1,"同じ月の請求が重複しています／",""),"")&amp;IF(AND(N($E756)&gt;0,$Z756&lt;&gt;"",$Z756&lt;&gt;"×",$AC756=0,$AB756=""),"計算額が下限以下のため不支給／",""))</f>
        <v/>
      </c>
      <c r="AL756" s="12" t="n"/>
      <c r="AM756" s="14">
        <f>IF($AD756="保留中",COUNTIF($AD$6:$AD756,"保留中"),"")</f>
        <v/>
      </c>
      <c r="AN756" s="14">
        <f>IF($AO756="","",IF(SUMPRODUCT(MAX((職員マスタ!$A$6:$A$405=$B756)*(((職員マスタ!$G$6:$G$405="")+(職員マスタ!$G$6:$G$405&lt;=EOMONTH($AO756,0)))&gt;0)*(((職員マスタ!$H$6:$H$405="")+(職員マスタ!$H$6:$H$405&gt;=$AO756))&gt;0)*(ROW(職員マスタ!$A$6:$A$405)-5)))&gt;0,SUMPRODUCT(MAX((職員マスタ!$A$6:$A$405=$B756)*(((職員マスタ!$G$6:$G$405="")+(職員マスタ!$G$6:$G$405&lt;=EOMONTH($AO756,0)))&gt;0)*(((職員マスタ!$H$6:$H$405="")+(職員マスタ!$H$6:$H$405&gt;=$AO756))&gt;0)*(ROW(職員マスタ!$A$6:$A$405)-5))),IFERROR(MATCH($B756,職員マスタ!$A$6:$A$405,0),"")))</f>
        <v/>
      </c>
      <c r="AO756" s="16">
        <f>IF(OR($B756="",$C756="",$D756=""),"",DATE($C756+2018,$D756,1))</f>
        <v/>
      </c>
    </row>
    <row r="757">
      <c r="A757" s="11" t="n"/>
      <c r="B757" s="12" t="n"/>
      <c r="C757" s="12" t="n"/>
      <c r="D757" s="12" t="n"/>
      <c r="E757" s="13" t="n"/>
      <c r="F757" s="12" t="n"/>
      <c r="G757" s="13" t="n"/>
      <c r="H757" s="12" t="n"/>
      <c r="I757" s="12" t="n"/>
      <c r="J757" s="12" t="n"/>
      <c r="K757" s="12" t="n"/>
      <c r="L757" s="11" t="n"/>
      <c r="M757" s="11" t="n"/>
      <c r="N757" s="11" t="n"/>
      <c r="O757" s="11" t="n"/>
      <c r="P757" s="12" t="n"/>
      <c r="Q757" s="11" t="n"/>
      <c r="R757" s="12" t="n"/>
      <c r="S757" s="11" t="n"/>
      <c r="T757" s="12" t="n"/>
      <c r="U757" s="12" t="n"/>
      <c r="V757" s="14">
        <f>IF($AN757="",IF($B757="","",$H757),IF(INDEX(職員マスタ!$B$6:$B$405,$AN757)="",$H757,INDEX(職員マスタ!$B$6:$B$405,$AN757)))</f>
        <v/>
      </c>
      <c r="W757" s="14">
        <f>IF($AN757="",IF($B757="","",$R757),IF(INDEX(職員マスタ!$C$6:$C$405,$AN757)="",$R757,INDEX(職員マスタ!$C$6:$C$405,$AN757)))</f>
        <v/>
      </c>
      <c r="X757" s="14">
        <f>IF($AO757="","","R"&amp;$C757&amp;"."&amp;$D757)</f>
        <v/>
      </c>
      <c r="Y757" s="15">
        <f>IF($AN757="","",IF(INDEX(職員マスタ!$K$6:$K$405,$AN757)="","",INDEX(職員マスタ!$K$6:$K$405,$AN757)))</f>
        <v/>
      </c>
      <c r="Z757" s="14">
        <f>IF(OR($E757="",$Y757=""),"",IF($E757&gt;=$Y757,"×",IF($E757&gt;=$Y757*設定!$C$5,"△","○")))</f>
        <v/>
      </c>
      <c r="AA757" s="15">
        <f>IF($Z757="","",IF($Z757="×",0,IF($Z757="○",ROUNDDOWN($E757*設定!$C$4,0),ROUNDDOWN($E757*ROUND((9*$Y757-9*$E757)/(10*$E757),4),0))))</f>
        <v/>
      </c>
      <c r="AB757" s="13" t="n"/>
      <c r="AC757" s="15">
        <f>IF($B757="","",IF($AB757&lt;&gt;"",$AB757,IF($AA757="","",IF($AA757&lt;=設定!$C$3,0,$AA757))))</f>
        <v/>
      </c>
      <c r="AD757" s="14">
        <f>IF($B757="","",IF(AND($AE757&lt;&gt;"",$AG757="",$AJ757=""),"保留中",IF($AJ757&lt;&gt;"",IF(N($AC757)&gt;0,"支給済","不支給"),IF($AC757="","要確認",IF($AC757=0,"不支給","未処理")))))</f>
        <v/>
      </c>
      <c r="AE757" s="12" t="n"/>
      <c r="AF757" s="11" t="n"/>
      <c r="AG757" s="11" t="n"/>
      <c r="AH757" s="11" t="n"/>
      <c r="AI757" s="14">
        <f>IF(AND($AD757="保留中",$AF757&lt;&gt;""),TODAY()-$AF757,"")</f>
        <v/>
      </c>
      <c r="AJ757" s="12" t="n"/>
      <c r="AK757" s="14">
        <f>IF($B757="","",IF($AO757="","対象年月が未入力／","")&amp;IF($B757="","",IF($AN757="","職員マスタに未登録の職員番号／",IF($Y757="","標準報酬月額が未登録／","")&amp;IF(AND($AO757&lt;&gt;"",OR(AND(INDEX(職員マスタ!$G$6:$G$405,$AN757)&lt;&gt;"",INDEX(職員マスタ!$G$6:$G$405,$AN757)&gt;EOMONTH($AO757,0)),AND(INDEX(職員マスタ!$H$6:$H$405,$AN757)&lt;&gt;"",INDEX(職員マスタ!$H$6:$H$405,$AN757)&lt;$AO757))),"対象月が時短期間外／","")&amp;IF(AND(INDEX(職員マスタ!$F$6:$F$405,$AN757)&lt;&gt;"",$AO757&lt;&gt;"",INDEX(職員マスタ!$F$6:$F$405,$AN757)&lt;$AO757),"対象月に子が2歳到達済／","")&amp;IF(AND($H757&lt;&gt;"",INDEX(職員マスタ!$B$6:$B$405,$AN757)&lt;&gt;"",SUBSTITUTE(SUBSTITUTE($H757," ","")," ","")&lt;&gt;SUBSTITUTE(SUBSTITUTE(INDEX(職員マスタ!$B$6:$B$405,$AN757)," ","")," ","")),"氏名がマスタと相違／","")&amp;IF(AND($Q757&lt;&gt;"",INDEX(職員マスタ!$E$6:$E$405,$AN757)&lt;&gt;"",$Q757&lt;&gt;INDEX(職員マスタ!$E$6:$E$405,$AN757)),"子の生年月日がマスタと相違／","")&amp;IF(AND($L757&lt;&gt;"",INDEX(職員マスタ!$G$6:$G$405,$AN757)&lt;&gt;"",$L757&lt;&gt;INDEX(職員マスタ!$G$6:$G$405,$AN757)),"時短開始日がマスタと相違／","")&amp;IF(AND($M757&lt;&gt;"",INDEX(職員マスタ!$H$6:$H$405,$AN757)&lt;&gt;"",$M757&lt;&gt;INDEX(職員マスタ!$H$6:$H$405,$AN757)),"時短終了日がマスタと相違／","")))&amp;IF(AND($B757&lt;&gt;"",$E757=""),"報酬額が未入力／","")&amp;IF(N($U757)&gt;0,"申請書に入力エラーが残っています／","")&amp;IF(AND($B757&lt;&gt;"",$AO757&lt;&gt;""),IF(COUNTIFS($B$6:$B$3005,$B757,$C$6:$C$3005,$C757,$D$6:$D$3005,$D757)&gt;1,"同じ月の請求が重複しています／",""),"")&amp;IF(AND(N($E757)&gt;0,$Z757&lt;&gt;"",$Z757&lt;&gt;"×",$AC757=0,$AB757=""),"計算額が下限以下のため不支給／",""))</f>
        <v/>
      </c>
      <c r="AL757" s="12" t="n"/>
      <c r="AM757" s="14">
        <f>IF($AD757="保留中",COUNTIF($AD$6:$AD757,"保留中"),"")</f>
        <v/>
      </c>
      <c r="AN757" s="14">
        <f>IF($AO757="","",IF(SUMPRODUCT(MAX((職員マスタ!$A$6:$A$405=$B757)*(((職員マスタ!$G$6:$G$405="")+(職員マスタ!$G$6:$G$405&lt;=EOMONTH($AO757,0)))&gt;0)*(((職員マスタ!$H$6:$H$405="")+(職員マスタ!$H$6:$H$405&gt;=$AO757))&gt;0)*(ROW(職員マスタ!$A$6:$A$405)-5)))&gt;0,SUMPRODUCT(MAX((職員マスタ!$A$6:$A$405=$B757)*(((職員マスタ!$G$6:$G$405="")+(職員マスタ!$G$6:$G$405&lt;=EOMONTH($AO757,0)))&gt;0)*(((職員マスタ!$H$6:$H$405="")+(職員マスタ!$H$6:$H$405&gt;=$AO757))&gt;0)*(ROW(職員マスタ!$A$6:$A$405)-5))),IFERROR(MATCH($B757,職員マスタ!$A$6:$A$405,0),"")))</f>
        <v/>
      </c>
      <c r="AO757" s="16">
        <f>IF(OR($B757="",$C757="",$D757=""),"",DATE($C757+2018,$D757,1))</f>
        <v/>
      </c>
    </row>
    <row r="758">
      <c r="A758" s="11" t="n"/>
      <c r="B758" s="12" t="n"/>
      <c r="C758" s="12" t="n"/>
      <c r="D758" s="12" t="n"/>
      <c r="E758" s="13" t="n"/>
      <c r="F758" s="12" t="n"/>
      <c r="G758" s="13" t="n"/>
      <c r="H758" s="12" t="n"/>
      <c r="I758" s="12" t="n"/>
      <c r="J758" s="12" t="n"/>
      <c r="K758" s="12" t="n"/>
      <c r="L758" s="11" t="n"/>
      <c r="M758" s="11" t="n"/>
      <c r="N758" s="11" t="n"/>
      <c r="O758" s="11" t="n"/>
      <c r="P758" s="12" t="n"/>
      <c r="Q758" s="11" t="n"/>
      <c r="R758" s="12" t="n"/>
      <c r="S758" s="11" t="n"/>
      <c r="T758" s="12" t="n"/>
      <c r="U758" s="12" t="n"/>
      <c r="V758" s="14">
        <f>IF($AN758="",IF($B758="","",$H758),IF(INDEX(職員マスタ!$B$6:$B$405,$AN758)="",$H758,INDEX(職員マスタ!$B$6:$B$405,$AN758)))</f>
        <v/>
      </c>
      <c r="W758" s="14">
        <f>IF($AN758="",IF($B758="","",$R758),IF(INDEX(職員マスタ!$C$6:$C$405,$AN758)="",$R758,INDEX(職員マスタ!$C$6:$C$405,$AN758)))</f>
        <v/>
      </c>
      <c r="X758" s="14">
        <f>IF($AO758="","","R"&amp;$C758&amp;"."&amp;$D758)</f>
        <v/>
      </c>
      <c r="Y758" s="15">
        <f>IF($AN758="","",IF(INDEX(職員マスタ!$K$6:$K$405,$AN758)="","",INDEX(職員マスタ!$K$6:$K$405,$AN758)))</f>
        <v/>
      </c>
      <c r="Z758" s="14">
        <f>IF(OR($E758="",$Y758=""),"",IF($E758&gt;=$Y758,"×",IF($E758&gt;=$Y758*設定!$C$5,"△","○")))</f>
        <v/>
      </c>
      <c r="AA758" s="15">
        <f>IF($Z758="","",IF($Z758="×",0,IF($Z758="○",ROUNDDOWN($E758*設定!$C$4,0),ROUNDDOWN($E758*ROUND((9*$Y758-9*$E758)/(10*$E758),4),0))))</f>
        <v/>
      </c>
      <c r="AB758" s="13" t="n"/>
      <c r="AC758" s="15">
        <f>IF($B758="","",IF($AB758&lt;&gt;"",$AB758,IF($AA758="","",IF($AA758&lt;=設定!$C$3,0,$AA758))))</f>
        <v/>
      </c>
      <c r="AD758" s="14">
        <f>IF($B758="","",IF(AND($AE758&lt;&gt;"",$AG758="",$AJ758=""),"保留中",IF($AJ758&lt;&gt;"",IF(N($AC758)&gt;0,"支給済","不支給"),IF($AC758="","要確認",IF($AC758=0,"不支給","未処理")))))</f>
        <v/>
      </c>
      <c r="AE758" s="12" t="n"/>
      <c r="AF758" s="11" t="n"/>
      <c r="AG758" s="11" t="n"/>
      <c r="AH758" s="11" t="n"/>
      <c r="AI758" s="14">
        <f>IF(AND($AD758="保留中",$AF758&lt;&gt;""),TODAY()-$AF758,"")</f>
        <v/>
      </c>
      <c r="AJ758" s="12" t="n"/>
      <c r="AK758" s="14">
        <f>IF($B758="","",IF($AO758="","対象年月が未入力／","")&amp;IF($B758="","",IF($AN758="","職員マスタに未登録の職員番号／",IF($Y758="","標準報酬月額が未登録／","")&amp;IF(AND($AO758&lt;&gt;"",OR(AND(INDEX(職員マスタ!$G$6:$G$405,$AN758)&lt;&gt;"",INDEX(職員マスタ!$G$6:$G$405,$AN758)&gt;EOMONTH($AO758,0)),AND(INDEX(職員マスタ!$H$6:$H$405,$AN758)&lt;&gt;"",INDEX(職員マスタ!$H$6:$H$405,$AN758)&lt;$AO758))),"対象月が時短期間外／","")&amp;IF(AND(INDEX(職員マスタ!$F$6:$F$405,$AN758)&lt;&gt;"",$AO758&lt;&gt;"",INDEX(職員マスタ!$F$6:$F$405,$AN758)&lt;$AO758),"対象月に子が2歳到達済／","")&amp;IF(AND($H758&lt;&gt;"",INDEX(職員マスタ!$B$6:$B$405,$AN758)&lt;&gt;"",SUBSTITUTE(SUBSTITUTE($H758," ","")," ","")&lt;&gt;SUBSTITUTE(SUBSTITUTE(INDEX(職員マスタ!$B$6:$B$405,$AN758)," ","")," ","")),"氏名がマスタと相違／","")&amp;IF(AND($Q758&lt;&gt;"",INDEX(職員マスタ!$E$6:$E$405,$AN758)&lt;&gt;"",$Q758&lt;&gt;INDEX(職員マスタ!$E$6:$E$405,$AN758)),"子の生年月日がマスタと相違／","")&amp;IF(AND($L758&lt;&gt;"",INDEX(職員マスタ!$G$6:$G$405,$AN758)&lt;&gt;"",$L758&lt;&gt;INDEX(職員マスタ!$G$6:$G$405,$AN758)),"時短開始日がマスタと相違／","")&amp;IF(AND($M758&lt;&gt;"",INDEX(職員マスタ!$H$6:$H$405,$AN758)&lt;&gt;"",$M758&lt;&gt;INDEX(職員マスタ!$H$6:$H$405,$AN758)),"時短終了日がマスタと相違／","")))&amp;IF(AND($B758&lt;&gt;"",$E758=""),"報酬額が未入力／","")&amp;IF(N($U758)&gt;0,"申請書に入力エラーが残っています／","")&amp;IF(AND($B758&lt;&gt;"",$AO758&lt;&gt;""),IF(COUNTIFS($B$6:$B$3005,$B758,$C$6:$C$3005,$C758,$D$6:$D$3005,$D758)&gt;1,"同じ月の請求が重複しています／",""),"")&amp;IF(AND(N($E758)&gt;0,$Z758&lt;&gt;"",$Z758&lt;&gt;"×",$AC758=0,$AB758=""),"計算額が下限以下のため不支給／",""))</f>
        <v/>
      </c>
      <c r="AL758" s="12" t="n"/>
      <c r="AM758" s="14">
        <f>IF($AD758="保留中",COUNTIF($AD$6:$AD758,"保留中"),"")</f>
        <v/>
      </c>
      <c r="AN758" s="14">
        <f>IF($AO758="","",IF(SUMPRODUCT(MAX((職員マスタ!$A$6:$A$405=$B758)*(((職員マスタ!$G$6:$G$405="")+(職員マスタ!$G$6:$G$405&lt;=EOMONTH($AO758,0)))&gt;0)*(((職員マスタ!$H$6:$H$405="")+(職員マスタ!$H$6:$H$405&gt;=$AO758))&gt;0)*(ROW(職員マスタ!$A$6:$A$405)-5)))&gt;0,SUMPRODUCT(MAX((職員マスタ!$A$6:$A$405=$B758)*(((職員マスタ!$G$6:$G$405="")+(職員マスタ!$G$6:$G$405&lt;=EOMONTH($AO758,0)))&gt;0)*(((職員マスタ!$H$6:$H$405="")+(職員マスタ!$H$6:$H$405&gt;=$AO758))&gt;0)*(ROW(職員マスタ!$A$6:$A$405)-5))),IFERROR(MATCH($B758,職員マスタ!$A$6:$A$405,0),"")))</f>
        <v/>
      </c>
      <c r="AO758" s="16">
        <f>IF(OR($B758="",$C758="",$D758=""),"",DATE($C758+2018,$D758,1))</f>
        <v/>
      </c>
    </row>
    <row r="759">
      <c r="A759" s="11" t="n"/>
      <c r="B759" s="12" t="n"/>
      <c r="C759" s="12" t="n"/>
      <c r="D759" s="12" t="n"/>
      <c r="E759" s="13" t="n"/>
      <c r="F759" s="12" t="n"/>
      <c r="G759" s="13" t="n"/>
      <c r="H759" s="12" t="n"/>
      <c r="I759" s="12" t="n"/>
      <c r="J759" s="12" t="n"/>
      <c r="K759" s="12" t="n"/>
      <c r="L759" s="11" t="n"/>
      <c r="M759" s="11" t="n"/>
      <c r="N759" s="11" t="n"/>
      <c r="O759" s="11" t="n"/>
      <c r="P759" s="12" t="n"/>
      <c r="Q759" s="11" t="n"/>
      <c r="R759" s="12" t="n"/>
      <c r="S759" s="11" t="n"/>
      <c r="T759" s="12" t="n"/>
      <c r="U759" s="12" t="n"/>
      <c r="V759" s="14">
        <f>IF($AN759="",IF($B759="","",$H759),IF(INDEX(職員マスタ!$B$6:$B$405,$AN759)="",$H759,INDEX(職員マスタ!$B$6:$B$405,$AN759)))</f>
        <v/>
      </c>
      <c r="W759" s="14">
        <f>IF($AN759="",IF($B759="","",$R759),IF(INDEX(職員マスタ!$C$6:$C$405,$AN759)="",$R759,INDEX(職員マスタ!$C$6:$C$405,$AN759)))</f>
        <v/>
      </c>
      <c r="X759" s="14">
        <f>IF($AO759="","","R"&amp;$C759&amp;"."&amp;$D759)</f>
        <v/>
      </c>
      <c r="Y759" s="15">
        <f>IF($AN759="","",IF(INDEX(職員マスタ!$K$6:$K$405,$AN759)="","",INDEX(職員マスタ!$K$6:$K$405,$AN759)))</f>
        <v/>
      </c>
      <c r="Z759" s="14">
        <f>IF(OR($E759="",$Y759=""),"",IF($E759&gt;=$Y759,"×",IF($E759&gt;=$Y759*設定!$C$5,"△","○")))</f>
        <v/>
      </c>
      <c r="AA759" s="15">
        <f>IF($Z759="","",IF($Z759="×",0,IF($Z759="○",ROUNDDOWN($E759*設定!$C$4,0),ROUNDDOWN($E759*ROUND((9*$Y759-9*$E759)/(10*$E759),4),0))))</f>
        <v/>
      </c>
      <c r="AB759" s="13" t="n"/>
      <c r="AC759" s="15">
        <f>IF($B759="","",IF($AB759&lt;&gt;"",$AB759,IF($AA759="","",IF($AA759&lt;=設定!$C$3,0,$AA759))))</f>
        <v/>
      </c>
      <c r="AD759" s="14">
        <f>IF($B759="","",IF(AND($AE759&lt;&gt;"",$AG759="",$AJ759=""),"保留中",IF($AJ759&lt;&gt;"",IF(N($AC759)&gt;0,"支給済","不支給"),IF($AC759="","要確認",IF($AC759=0,"不支給","未処理")))))</f>
        <v/>
      </c>
      <c r="AE759" s="12" t="n"/>
      <c r="AF759" s="11" t="n"/>
      <c r="AG759" s="11" t="n"/>
      <c r="AH759" s="11" t="n"/>
      <c r="AI759" s="14">
        <f>IF(AND($AD759="保留中",$AF759&lt;&gt;""),TODAY()-$AF759,"")</f>
        <v/>
      </c>
      <c r="AJ759" s="12" t="n"/>
      <c r="AK759" s="14">
        <f>IF($B759="","",IF($AO759="","対象年月が未入力／","")&amp;IF($B759="","",IF($AN759="","職員マスタに未登録の職員番号／",IF($Y759="","標準報酬月額が未登録／","")&amp;IF(AND($AO759&lt;&gt;"",OR(AND(INDEX(職員マスタ!$G$6:$G$405,$AN759)&lt;&gt;"",INDEX(職員マスタ!$G$6:$G$405,$AN759)&gt;EOMONTH($AO759,0)),AND(INDEX(職員マスタ!$H$6:$H$405,$AN759)&lt;&gt;"",INDEX(職員マスタ!$H$6:$H$405,$AN759)&lt;$AO759))),"対象月が時短期間外／","")&amp;IF(AND(INDEX(職員マスタ!$F$6:$F$405,$AN759)&lt;&gt;"",$AO759&lt;&gt;"",INDEX(職員マスタ!$F$6:$F$405,$AN759)&lt;$AO759),"対象月に子が2歳到達済／","")&amp;IF(AND($H759&lt;&gt;"",INDEX(職員マスタ!$B$6:$B$405,$AN759)&lt;&gt;"",SUBSTITUTE(SUBSTITUTE($H759," ","")," ","")&lt;&gt;SUBSTITUTE(SUBSTITUTE(INDEX(職員マスタ!$B$6:$B$405,$AN759)," ","")," ","")),"氏名がマスタと相違／","")&amp;IF(AND($Q759&lt;&gt;"",INDEX(職員マスタ!$E$6:$E$405,$AN759)&lt;&gt;"",$Q759&lt;&gt;INDEX(職員マスタ!$E$6:$E$405,$AN759)),"子の生年月日がマスタと相違／","")&amp;IF(AND($L759&lt;&gt;"",INDEX(職員マスタ!$G$6:$G$405,$AN759)&lt;&gt;"",$L759&lt;&gt;INDEX(職員マスタ!$G$6:$G$405,$AN759)),"時短開始日がマスタと相違／","")&amp;IF(AND($M759&lt;&gt;"",INDEX(職員マスタ!$H$6:$H$405,$AN759)&lt;&gt;"",$M759&lt;&gt;INDEX(職員マスタ!$H$6:$H$405,$AN759)),"時短終了日がマスタと相違／","")))&amp;IF(AND($B759&lt;&gt;"",$E759=""),"報酬額が未入力／","")&amp;IF(N($U759)&gt;0,"申請書に入力エラーが残っています／","")&amp;IF(AND($B759&lt;&gt;"",$AO759&lt;&gt;""),IF(COUNTIFS($B$6:$B$3005,$B759,$C$6:$C$3005,$C759,$D$6:$D$3005,$D759)&gt;1,"同じ月の請求が重複しています／",""),"")&amp;IF(AND(N($E759)&gt;0,$Z759&lt;&gt;"",$Z759&lt;&gt;"×",$AC759=0,$AB759=""),"計算額が下限以下のため不支給／",""))</f>
        <v/>
      </c>
      <c r="AL759" s="12" t="n"/>
      <c r="AM759" s="14">
        <f>IF($AD759="保留中",COUNTIF($AD$6:$AD759,"保留中"),"")</f>
        <v/>
      </c>
      <c r="AN759" s="14">
        <f>IF($AO759="","",IF(SUMPRODUCT(MAX((職員マスタ!$A$6:$A$405=$B759)*(((職員マスタ!$G$6:$G$405="")+(職員マスタ!$G$6:$G$405&lt;=EOMONTH($AO759,0)))&gt;0)*(((職員マスタ!$H$6:$H$405="")+(職員マスタ!$H$6:$H$405&gt;=$AO759))&gt;0)*(ROW(職員マスタ!$A$6:$A$405)-5)))&gt;0,SUMPRODUCT(MAX((職員マスタ!$A$6:$A$405=$B759)*(((職員マスタ!$G$6:$G$405="")+(職員マスタ!$G$6:$G$405&lt;=EOMONTH($AO759,0)))&gt;0)*(((職員マスタ!$H$6:$H$405="")+(職員マスタ!$H$6:$H$405&gt;=$AO759))&gt;0)*(ROW(職員マスタ!$A$6:$A$405)-5))),IFERROR(MATCH($B759,職員マスタ!$A$6:$A$405,0),"")))</f>
        <v/>
      </c>
      <c r="AO759" s="16">
        <f>IF(OR($B759="",$C759="",$D759=""),"",DATE($C759+2018,$D759,1))</f>
        <v/>
      </c>
    </row>
    <row r="760">
      <c r="A760" s="11" t="n"/>
      <c r="B760" s="12" t="n"/>
      <c r="C760" s="12" t="n"/>
      <c r="D760" s="12" t="n"/>
      <c r="E760" s="13" t="n"/>
      <c r="F760" s="12" t="n"/>
      <c r="G760" s="13" t="n"/>
      <c r="H760" s="12" t="n"/>
      <c r="I760" s="12" t="n"/>
      <c r="J760" s="12" t="n"/>
      <c r="K760" s="12" t="n"/>
      <c r="L760" s="11" t="n"/>
      <c r="M760" s="11" t="n"/>
      <c r="N760" s="11" t="n"/>
      <c r="O760" s="11" t="n"/>
      <c r="P760" s="12" t="n"/>
      <c r="Q760" s="11" t="n"/>
      <c r="R760" s="12" t="n"/>
      <c r="S760" s="11" t="n"/>
      <c r="T760" s="12" t="n"/>
      <c r="U760" s="12" t="n"/>
      <c r="V760" s="14">
        <f>IF($AN760="",IF($B760="","",$H760),IF(INDEX(職員マスタ!$B$6:$B$405,$AN760)="",$H760,INDEX(職員マスタ!$B$6:$B$405,$AN760)))</f>
        <v/>
      </c>
      <c r="W760" s="14">
        <f>IF($AN760="",IF($B760="","",$R760),IF(INDEX(職員マスタ!$C$6:$C$405,$AN760)="",$R760,INDEX(職員マスタ!$C$6:$C$405,$AN760)))</f>
        <v/>
      </c>
      <c r="X760" s="14">
        <f>IF($AO760="","","R"&amp;$C760&amp;"."&amp;$D760)</f>
        <v/>
      </c>
      <c r="Y760" s="15">
        <f>IF($AN760="","",IF(INDEX(職員マスタ!$K$6:$K$405,$AN760)="","",INDEX(職員マスタ!$K$6:$K$405,$AN760)))</f>
        <v/>
      </c>
      <c r="Z760" s="14">
        <f>IF(OR($E760="",$Y760=""),"",IF($E760&gt;=$Y760,"×",IF($E760&gt;=$Y760*設定!$C$5,"△","○")))</f>
        <v/>
      </c>
      <c r="AA760" s="15">
        <f>IF($Z760="","",IF($Z760="×",0,IF($Z760="○",ROUNDDOWN($E760*設定!$C$4,0),ROUNDDOWN($E760*ROUND((9*$Y760-9*$E760)/(10*$E760),4),0))))</f>
        <v/>
      </c>
      <c r="AB760" s="13" t="n"/>
      <c r="AC760" s="15">
        <f>IF($B760="","",IF($AB760&lt;&gt;"",$AB760,IF($AA760="","",IF($AA760&lt;=設定!$C$3,0,$AA760))))</f>
        <v/>
      </c>
      <c r="AD760" s="14">
        <f>IF($B760="","",IF(AND($AE760&lt;&gt;"",$AG760="",$AJ760=""),"保留中",IF($AJ760&lt;&gt;"",IF(N($AC760)&gt;0,"支給済","不支給"),IF($AC760="","要確認",IF($AC760=0,"不支給","未処理")))))</f>
        <v/>
      </c>
      <c r="AE760" s="12" t="n"/>
      <c r="AF760" s="11" t="n"/>
      <c r="AG760" s="11" t="n"/>
      <c r="AH760" s="11" t="n"/>
      <c r="AI760" s="14">
        <f>IF(AND($AD760="保留中",$AF760&lt;&gt;""),TODAY()-$AF760,"")</f>
        <v/>
      </c>
      <c r="AJ760" s="12" t="n"/>
      <c r="AK760" s="14">
        <f>IF($B760="","",IF($AO760="","対象年月が未入力／","")&amp;IF($B760="","",IF($AN760="","職員マスタに未登録の職員番号／",IF($Y760="","標準報酬月額が未登録／","")&amp;IF(AND($AO760&lt;&gt;"",OR(AND(INDEX(職員マスタ!$G$6:$G$405,$AN760)&lt;&gt;"",INDEX(職員マスタ!$G$6:$G$405,$AN760)&gt;EOMONTH($AO760,0)),AND(INDEX(職員マスタ!$H$6:$H$405,$AN760)&lt;&gt;"",INDEX(職員マスタ!$H$6:$H$405,$AN760)&lt;$AO760))),"対象月が時短期間外／","")&amp;IF(AND(INDEX(職員マスタ!$F$6:$F$405,$AN760)&lt;&gt;"",$AO760&lt;&gt;"",INDEX(職員マスタ!$F$6:$F$405,$AN760)&lt;$AO760),"対象月に子が2歳到達済／","")&amp;IF(AND($H760&lt;&gt;"",INDEX(職員マスタ!$B$6:$B$405,$AN760)&lt;&gt;"",SUBSTITUTE(SUBSTITUTE($H760," ","")," ","")&lt;&gt;SUBSTITUTE(SUBSTITUTE(INDEX(職員マスタ!$B$6:$B$405,$AN760)," ","")," ","")),"氏名がマスタと相違／","")&amp;IF(AND($Q760&lt;&gt;"",INDEX(職員マスタ!$E$6:$E$405,$AN760)&lt;&gt;"",$Q760&lt;&gt;INDEX(職員マスタ!$E$6:$E$405,$AN760)),"子の生年月日がマスタと相違／","")&amp;IF(AND($L760&lt;&gt;"",INDEX(職員マスタ!$G$6:$G$405,$AN760)&lt;&gt;"",$L760&lt;&gt;INDEX(職員マスタ!$G$6:$G$405,$AN760)),"時短開始日がマスタと相違／","")&amp;IF(AND($M760&lt;&gt;"",INDEX(職員マスタ!$H$6:$H$405,$AN760)&lt;&gt;"",$M760&lt;&gt;INDEX(職員マスタ!$H$6:$H$405,$AN760)),"時短終了日がマスタと相違／","")))&amp;IF(AND($B760&lt;&gt;"",$E760=""),"報酬額が未入力／","")&amp;IF(N($U760)&gt;0,"申請書に入力エラーが残っています／","")&amp;IF(AND($B760&lt;&gt;"",$AO760&lt;&gt;""),IF(COUNTIFS($B$6:$B$3005,$B760,$C$6:$C$3005,$C760,$D$6:$D$3005,$D760)&gt;1,"同じ月の請求が重複しています／",""),"")&amp;IF(AND(N($E760)&gt;0,$Z760&lt;&gt;"",$Z760&lt;&gt;"×",$AC760=0,$AB760=""),"計算額が下限以下のため不支給／",""))</f>
        <v/>
      </c>
      <c r="AL760" s="12" t="n"/>
      <c r="AM760" s="14">
        <f>IF($AD760="保留中",COUNTIF($AD$6:$AD760,"保留中"),"")</f>
        <v/>
      </c>
      <c r="AN760" s="14">
        <f>IF($AO760="","",IF(SUMPRODUCT(MAX((職員マスタ!$A$6:$A$405=$B760)*(((職員マスタ!$G$6:$G$405="")+(職員マスタ!$G$6:$G$405&lt;=EOMONTH($AO760,0)))&gt;0)*(((職員マスタ!$H$6:$H$405="")+(職員マスタ!$H$6:$H$405&gt;=$AO760))&gt;0)*(ROW(職員マスタ!$A$6:$A$405)-5)))&gt;0,SUMPRODUCT(MAX((職員マスタ!$A$6:$A$405=$B760)*(((職員マスタ!$G$6:$G$405="")+(職員マスタ!$G$6:$G$405&lt;=EOMONTH($AO760,0)))&gt;0)*(((職員マスタ!$H$6:$H$405="")+(職員マスタ!$H$6:$H$405&gt;=$AO760))&gt;0)*(ROW(職員マスタ!$A$6:$A$405)-5))),IFERROR(MATCH($B760,職員マスタ!$A$6:$A$405,0),"")))</f>
        <v/>
      </c>
      <c r="AO760" s="16">
        <f>IF(OR($B760="",$C760="",$D760=""),"",DATE($C760+2018,$D760,1))</f>
        <v/>
      </c>
    </row>
    <row r="761">
      <c r="A761" s="11" t="n"/>
      <c r="B761" s="12" t="n"/>
      <c r="C761" s="12" t="n"/>
      <c r="D761" s="12" t="n"/>
      <c r="E761" s="13" t="n"/>
      <c r="F761" s="12" t="n"/>
      <c r="G761" s="13" t="n"/>
      <c r="H761" s="12" t="n"/>
      <c r="I761" s="12" t="n"/>
      <c r="J761" s="12" t="n"/>
      <c r="K761" s="12" t="n"/>
      <c r="L761" s="11" t="n"/>
      <c r="M761" s="11" t="n"/>
      <c r="N761" s="11" t="n"/>
      <c r="O761" s="11" t="n"/>
      <c r="P761" s="12" t="n"/>
      <c r="Q761" s="11" t="n"/>
      <c r="R761" s="12" t="n"/>
      <c r="S761" s="11" t="n"/>
      <c r="T761" s="12" t="n"/>
      <c r="U761" s="12" t="n"/>
      <c r="V761" s="14">
        <f>IF($AN761="",IF($B761="","",$H761),IF(INDEX(職員マスタ!$B$6:$B$405,$AN761)="",$H761,INDEX(職員マスタ!$B$6:$B$405,$AN761)))</f>
        <v/>
      </c>
      <c r="W761" s="14">
        <f>IF($AN761="",IF($B761="","",$R761),IF(INDEX(職員マスタ!$C$6:$C$405,$AN761)="",$R761,INDEX(職員マスタ!$C$6:$C$405,$AN761)))</f>
        <v/>
      </c>
      <c r="X761" s="14">
        <f>IF($AO761="","","R"&amp;$C761&amp;"."&amp;$D761)</f>
        <v/>
      </c>
      <c r="Y761" s="15">
        <f>IF($AN761="","",IF(INDEX(職員マスタ!$K$6:$K$405,$AN761)="","",INDEX(職員マスタ!$K$6:$K$405,$AN761)))</f>
        <v/>
      </c>
      <c r="Z761" s="14">
        <f>IF(OR($E761="",$Y761=""),"",IF($E761&gt;=$Y761,"×",IF($E761&gt;=$Y761*設定!$C$5,"△","○")))</f>
        <v/>
      </c>
      <c r="AA761" s="15">
        <f>IF($Z761="","",IF($Z761="×",0,IF($Z761="○",ROUNDDOWN($E761*設定!$C$4,0),ROUNDDOWN($E761*ROUND((9*$Y761-9*$E761)/(10*$E761),4),0))))</f>
        <v/>
      </c>
      <c r="AB761" s="13" t="n"/>
      <c r="AC761" s="15">
        <f>IF($B761="","",IF($AB761&lt;&gt;"",$AB761,IF($AA761="","",IF($AA761&lt;=設定!$C$3,0,$AA761))))</f>
        <v/>
      </c>
      <c r="AD761" s="14">
        <f>IF($B761="","",IF(AND($AE761&lt;&gt;"",$AG761="",$AJ761=""),"保留中",IF($AJ761&lt;&gt;"",IF(N($AC761)&gt;0,"支給済","不支給"),IF($AC761="","要確認",IF($AC761=0,"不支給","未処理")))))</f>
        <v/>
      </c>
      <c r="AE761" s="12" t="n"/>
      <c r="AF761" s="11" t="n"/>
      <c r="AG761" s="11" t="n"/>
      <c r="AH761" s="11" t="n"/>
      <c r="AI761" s="14">
        <f>IF(AND($AD761="保留中",$AF761&lt;&gt;""),TODAY()-$AF761,"")</f>
        <v/>
      </c>
      <c r="AJ761" s="12" t="n"/>
      <c r="AK761" s="14">
        <f>IF($B761="","",IF($AO761="","対象年月が未入力／","")&amp;IF($B761="","",IF($AN761="","職員マスタに未登録の職員番号／",IF($Y761="","標準報酬月額が未登録／","")&amp;IF(AND($AO761&lt;&gt;"",OR(AND(INDEX(職員マスタ!$G$6:$G$405,$AN761)&lt;&gt;"",INDEX(職員マスタ!$G$6:$G$405,$AN761)&gt;EOMONTH($AO761,0)),AND(INDEX(職員マスタ!$H$6:$H$405,$AN761)&lt;&gt;"",INDEX(職員マスタ!$H$6:$H$405,$AN761)&lt;$AO761))),"対象月が時短期間外／","")&amp;IF(AND(INDEX(職員マスタ!$F$6:$F$405,$AN761)&lt;&gt;"",$AO761&lt;&gt;"",INDEX(職員マスタ!$F$6:$F$405,$AN761)&lt;$AO761),"対象月に子が2歳到達済／","")&amp;IF(AND($H761&lt;&gt;"",INDEX(職員マスタ!$B$6:$B$405,$AN761)&lt;&gt;"",SUBSTITUTE(SUBSTITUTE($H761," ","")," ","")&lt;&gt;SUBSTITUTE(SUBSTITUTE(INDEX(職員マスタ!$B$6:$B$405,$AN761)," ","")," ","")),"氏名がマスタと相違／","")&amp;IF(AND($Q761&lt;&gt;"",INDEX(職員マスタ!$E$6:$E$405,$AN761)&lt;&gt;"",$Q761&lt;&gt;INDEX(職員マスタ!$E$6:$E$405,$AN761)),"子の生年月日がマスタと相違／","")&amp;IF(AND($L761&lt;&gt;"",INDEX(職員マスタ!$G$6:$G$405,$AN761)&lt;&gt;"",$L761&lt;&gt;INDEX(職員マスタ!$G$6:$G$405,$AN761)),"時短開始日がマスタと相違／","")&amp;IF(AND($M761&lt;&gt;"",INDEX(職員マスタ!$H$6:$H$405,$AN761)&lt;&gt;"",$M761&lt;&gt;INDEX(職員マスタ!$H$6:$H$405,$AN761)),"時短終了日がマスタと相違／","")))&amp;IF(AND($B761&lt;&gt;"",$E761=""),"報酬額が未入力／","")&amp;IF(N($U761)&gt;0,"申請書に入力エラーが残っています／","")&amp;IF(AND($B761&lt;&gt;"",$AO761&lt;&gt;""),IF(COUNTIFS($B$6:$B$3005,$B761,$C$6:$C$3005,$C761,$D$6:$D$3005,$D761)&gt;1,"同じ月の請求が重複しています／",""),"")&amp;IF(AND(N($E761)&gt;0,$Z761&lt;&gt;"",$Z761&lt;&gt;"×",$AC761=0,$AB761=""),"計算額が下限以下のため不支給／",""))</f>
        <v/>
      </c>
      <c r="AL761" s="12" t="n"/>
      <c r="AM761" s="14">
        <f>IF($AD761="保留中",COUNTIF($AD$6:$AD761,"保留中"),"")</f>
        <v/>
      </c>
      <c r="AN761" s="14">
        <f>IF($AO761="","",IF(SUMPRODUCT(MAX((職員マスタ!$A$6:$A$405=$B761)*(((職員マスタ!$G$6:$G$405="")+(職員マスタ!$G$6:$G$405&lt;=EOMONTH($AO761,0)))&gt;0)*(((職員マスタ!$H$6:$H$405="")+(職員マスタ!$H$6:$H$405&gt;=$AO761))&gt;0)*(ROW(職員マスタ!$A$6:$A$405)-5)))&gt;0,SUMPRODUCT(MAX((職員マスタ!$A$6:$A$405=$B761)*(((職員マスタ!$G$6:$G$405="")+(職員マスタ!$G$6:$G$405&lt;=EOMONTH($AO761,0)))&gt;0)*(((職員マスタ!$H$6:$H$405="")+(職員マスタ!$H$6:$H$405&gt;=$AO761))&gt;0)*(ROW(職員マスタ!$A$6:$A$405)-5))),IFERROR(MATCH($B761,職員マスタ!$A$6:$A$405,0),"")))</f>
        <v/>
      </c>
      <c r="AO761" s="16">
        <f>IF(OR($B761="",$C761="",$D761=""),"",DATE($C761+2018,$D761,1))</f>
        <v/>
      </c>
    </row>
    <row r="762">
      <c r="A762" s="11" t="n"/>
      <c r="B762" s="12" t="n"/>
      <c r="C762" s="12" t="n"/>
      <c r="D762" s="12" t="n"/>
      <c r="E762" s="13" t="n"/>
      <c r="F762" s="12" t="n"/>
      <c r="G762" s="13" t="n"/>
      <c r="H762" s="12" t="n"/>
      <c r="I762" s="12" t="n"/>
      <c r="J762" s="12" t="n"/>
      <c r="K762" s="12" t="n"/>
      <c r="L762" s="11" t="n"/>
      <c r="M762" s="11" t="n"/>
      <c r="N762" s="11" t="n"/>
      <c r="O762" s="11" t="n"/>
      <c r="P762" s="12" t="n"/>
      <c r="Q762" s="11" t="n"/>
      <c r="R762" s="12" t="n"/>
      <c r="S762" s="11" t="n"/>
      <c r="T762" s="12" t="n"/>
      <c r="U762" s="12" t="n"/>
      <c r="V762" s="14">
        <f>IF($AN762="",IF($B762="","",$H762),IF(INDEX(職員マスタ!$B$6:$B$405,$AN762)="",$H762,INDEX(職員マスタ!$B$6:$B$405,$AN762)))</f>
        <v/>
      </c>
      <c r="W762" s="14">
        <f>IF($AN762="",IF($B762="","",$R762),IF(INDEX(職員マスタ!$C$6:$C$405,$AN762)="",$R762,INDEX(職員マスタ!$C$6:$C$405,$AN762)))</f>
        <v/>
      </c>
      <c r="X762" s="14">
        <f>IF($AO762="","","R"&amp;$C762&amp;"."&amp;$D762)</f>
        <v/>
      </c>
      <c r="Y762" s="15">
        <f>IF($AN762="","",IF(INDEX(職員マスタ!$K$6:$K$405,$AN762)="","",INDEX(職員マスタ!$K$6:$K$405,$AN762)))</f>
        <v/>
      </c>
      <c r="Z762" s="14">
        <f>IF(OR($E762="",$Y762=""),"",IF($E762&gt;=$Y762,"×",IF($E762&gt;=$Y762*設定!$C$5,"△","○")))</f>
        <v/>
      </c>
      <c r="AA762" s="15">
        <f>IF($Z762="","",IF($Z762="×",0,IF($Z762="○",ROUNDDOWN($E762*設定!$C$4,0),ROUNDDOWN($E762*ROUND((9*$Y762-9*$E762)/(10*$E762),4),0))))</f>
        <v/>
      </c>
      <c r="AB762" s="13" t="n"/>
      <c r="AC762" s="15">
        <f>IF($B762="","",IF($AB762&lt;&gt;"",$AB762,IF($AA762="","",IF($AA762&lt;=設定!$C$3,0,$AA762))))</f>
        <v/>
      </c>
      <c r="AD762" s="14">
        <f>IF($B762="","",IF(AND($AE762&lt;&gt;"",$AG762="",$AJ762=""),"保留中",IF($AJ762&lt;&gt;"",IF(N($AC762)&gt;0,"支給済","不支給"),IF($AC762="","要確認",IF($AC762=0,"不支給","未処理")))))</f>
        <v/>
      </c>
      <c r="AE762" s="12" t="n"/>
      <c r="AF762" s="11" t="n"/>
      <c r="AG762" s="11" t="n"/>
      <c r="AH762" s="11" t="n"/>
      <c r="AI762" s="14">
        <f>IF(AND($AD762="保留中",$AF762&lt;&gt;""),TODAY()-$AF762,"")</f>
        <v/>
      </c>
      <c r="AJ762" s="12" t="n"/>
      <c r="AK762" s="14">
        <f>IF($B762="","",IF($AO762="","対象年月が未入力／","")&amp;IF($B762="","",IF($AN762="","職員マスタに未登録の職員番号／",IF($Y762="","標準報酬月額が未登録／","")&amp;IF(AND($AO762&lt;&gt;"",OR(AND(INDEX(職員マスタ!$G$6:$G$405,$AN762)&lt;&gt;"",INDEX(職員マスタ!$G$6:$G$405,$AN762)&gt;EOMONTH($AO762,0)),AND(INDEX(職員マスタ!$H$6:$H$405,$AN762)&lt;&gt;"",INDEX(職員マスタ!$H$6:$H$405,$AN762)&lt;$AO762))),"対象月が時短期間外／","")&amp;IF(AND(INDEX(職員マスタ!$F$6:$F$405,$AN762)&lt;&gt;"",$AO762&lt;&gt;"",INDEX(職員マスタ!$F$6:$F$405,$AN762)&lt;$AO762),"対象月に子が2歳到達済／","")&amp;IF(AND($H762&lt;&gt;"",INDEX(職員マスタ!$B$6:$B$405,$AN762)&lt;&gt;"",SUBSTITUTE(SUBSTITUTE($H762," ","")," ","")&lt;&gt;SUBSTITUTE(SUBSTITUTE(INDEX(職員マスタ!$B$6:$B$405,$AN762)," ","")," ","")),"氏名がマスタと相違／","")&amp;IF(AND($Q762&lt;&gt;"",INDEX(職員マスタ!$E$6:$E$405,$AN762)&lt;&gt;"",$Q762&lt;&gt;INDEX(職員マスタ!$E$6:$E$405,$AN762)),"子の生年月日がマスタと相違／","")&amp;IF(AND($L762&lt;&gt;"",INDEX(職員マスタ!$G$6:$G$405,$AN762)&lt;&gt;"",$L762&lt;&gt;INDEX(職員マスタ!$G$6:$G$405,$AN762)),"時短開始日がマスタと相違／","")&amp;IF(AND($M762&lt;&gt;"",INDEX(職員マスタ!$H$6:$H$405,$AN762)&lt;&gt;"",$M762&lt;&gt;INDEX(職員マスタ!$H$6:$H$405,$AN762)),"時短終了日がマスタと相違／","")))&amp;IF(AND($B762&lt;&gt;"",$E762=""),"報酬額が未入力／","")&amp;IF(N($U762)&gt;0,"申請書に入力エラーが残っています／","")&amp;IF(AND($B762&lt;&gt;"",$AO762&lt;&gt;""),IF(COUNTIFS($B$6:$B$3005,$B762,$C$6:$C$3005,$C762,$D$6:$D$3005,$D762)&gt;1,"同じ月の請求が重複しています／",""),"")&amp;IF(AND(N($E762)&gt;0,$Z762&lt;&gt;"",$Z762&lt;&gt;"×",$AC762=0,$AB762=""),"計算額が下限以下のため不支給／",""))</f>
        <v/>
      </c>
      <c r="AL762" s="12" t="n"/>
      <c r="AM762" s="14">
        <f>IF($AD762="保留中",COUNTIF($AD$6:$AD762,"保留中"),"")</f>
        <v/>
      </c>
      <c r="AN762" s="14">
        <f>IF($AO762="","",IF(SUMPRODUCT(MAX((職員マスタ!$A$6:$A$405=$B762)*(((職員マスタ!$G$6:$G$405="")+(職員マスタ!$G$6:$G$405&lt;=EOMONTH($AO762,0)))&gt;0)*(((職員マスタ!$H$6:$H$405="")+(職員マスタ!$H$6:$H$405&gt;=$AO762))&gt;0)*(ROW(職員マスタ!$A$6:$A$405)-5)))&gt;0,SUMPRODUCT(MAX((職員マスタ!$A$6:$A$405=$B762)*(((職員マスタ!$G$6:$G$405="")+(職員マスタ!$G$6:$G$405&lt;=EOMONTH($AO762,0)))&gt;0)*(((職員マスタ!$H$6:$H$405="")+(職員マスタ!$H$6:$H$405&gt;=$AO762))&gt;0)*(ROW(職員マスタ!$A$6:$A$405)-5))),IFERROR(MATCH($B762,職員マスタ!$A$6:$A$405,0),"")))</f>
        <v/>
      </c>
      <c r="AO762" s="16">
        <f>IF(OR($B762="",$C762="",$D762=""),"",DATE($C762+2018,$D762,1))</f>
        <v/>
      </c>
    </row>
    <row r="763">
      <c r="A763" s="11" t="n"/>
      <c r="B763" s="12" t="n"/>
      <c r="C763" s="12" t="n"/>
      <c r="D763" s="12" t="n"/>
      <c r="E763" s="13" t="n"/>
      <c r="F763" s="12" t="n"/>
      <c r="G763" s="13" t="n"/>
      <c r="H763" s="12" t="n"/>
      <c r="I763" s="12" t="n"/>
      <c r="J763" s="12" t="n"/>
      <c r="K763" s="12" t="n"/>
      <c r="L763" s="11" t="n"/>
      <c r="M763" s="11" t="n"/>
      <c r="N763" s="11" t="n"/>
      <c r="O763" s="11" t="n"/>
      <c r="P763" s="12" t="n"/>
      <c r="Q763" s="11" t="n"/>
      <c r="R763" s="12" t="n"/>
      <c r="S763" s="11" t="n"/>
      <c r="T763" s="12" t="n"/>
      <c r="U763" s="12" t="n"/>
      <c r="V763" s="14">
        <f>IF($AN763="",IF($B763="","",$H763),IF(INDEX(職員マスタ!$B$6:$B$405,$AN763)="",$H763,INDEX(職員マスタ!$B$6:$B$405,$AN763)))</f>
        <v/>
      </c>
      <c r="W763" s="14">
        <f>IF($AN763="",IF($B763="","",$R763),IF(INDEX(職員マスタ!$C$6:$C$405,$AN763)="",$R763,INDEX(職員マスタ!$C$6:$C$405,$AN763)))</f>
        <v/>
      </c>
      <c r="X763" s="14">
        <f>IF($AO763="","","R"&amp;$C763&amp;"."&amp;$D763)</f>
        <v/>
      </c>
      <c r="Y763" s="15">
        <f>IF($AN763="","",IF(INDEX(職員マスタ!$K$6:$K$405,$AN763)="","",INDEX(職員マスタ!$K$6:$K$405,$AN763)))</f>
        <v/>
      </c>
      <c r="Z763" s="14">
        <f>IF(OR($E763="",$Y763=""),"",IF($E763&gt;=$Y763,"×",IF($E763&gt;=$Y763*設定!$C$5,"△","○")))</f>
        <v/>
      </c>
      <c r="AA763" s="15">
        <f>IF($Z763="","",IF($Z763="×",0,IF($Z763="○",ROUNDDOWN($E763*設定!$C$4,0),ROUNDDOWN($E763*ROUND((9*$Y763-9*$E763)/(10*$E763),4),0))))</f>
        <v/>
      </c>
      <c r="AB763" s="13" t="n"/>
      <c r="AC763" s="15">
        <f>IF($B763="","",IF($AB763&lt;&gt;"",$AB763,IF($AA763="","",IF($AA763&lt;=設定!$C$3,0,$AA763))))</f>
        <v/>
      </c>
      <c r="AD763" s="14">
        <f>IF($B763="","",IF(AND($AE763&lt;&gt;"",$AG763="",$AJ763=""),"保留中",IF($AJ763&lt;&gt;"",IF(N($AC763)&gt;0,"支給済","不支給"),IF($AC763="","要確認",IF($AC763=0,"不支給","未処理")))))</f>
        <v/>
      </c>
      <c r="AE763" s="12" t="n"/>
      <c r="AF763" s="11" t="n"/>
      <c r="AG763" s="11" t="n"/>
      <c r="AH763" s="11" t="n"/>
      <c r="AI763" s="14">
        <f>IF(AND($AD763="保留中",$AF763&lt;&gt;""),TODAY()-$AF763,"")</f>
        <v/>
      </c>
      <c r="AJ763" s="12" t="n"/>
      <c r="AK763" s="14">
        <f>IF($B763="","",IF($AO763="","対象年月が未入力／","")&amp;IF($B763="","",IF($AN763="","職員マスタに未登録の職員番号／",IF($Y763="","標準報酬月額が未登録／","")&amp;IF(AND($AO763&lt;&gt;"",OR(AND(INDEX(職員マスタ!$G$6:$G$405,$AN763)&lt;&gt;"",INDEX(職員マスタ!$G$6:$G$405,$AN763)&gt;EOMONTH($AO763,0)),AND(INDEX(職員マスタ!$H$6:$H$405,$AN763)&lt;&gt;"",INDEX(職員マスタ!$H$6:$H$405,$AN763)&lt;$AO763))),"対象月が時短期間外／","")&amp;IF(AND(INDEX(職員マスタ!$F$6:$F$405,$AN763)&lt;&gt;"",$AO763&lt;&gt;"",INDEX(職員マスタ!$F$6:$F$405,$AN763)&lt;$AO763),"対象月に子が2歳到達済／","")&amp;IF(AND($H763&lt;&gt;"",INDEX(職員マスタ!$B$6:$B$405,$AN763)&lt;&gt;"",SUBSTITUTE(SUBSTITUTE($H763," ","")," ","")&lt;&gt;SUBSTITUTE(SUBSTITUTE(INDEX(職員マスタ!$B$6:$B$405,$AN763)," ","")," ","")),"氏名がマスタと相違／","")&amp;IF(AND($Q763&lt;&gt;"",INDEX(職員マスタ!$E$6:$E$405,$AN763)&lt;&gt;"",$Q763&lt;&gt;INDEX(職員マスタ!$E$6:$E$405,$AN763)),"子の生年月日がマスタと相違／","")&amp;IF(AND($L763&lt;&gt;"",INDEX(職員マスタ!$G$6:$G$405,$AN763)&lt;&gt;"",$L763&lt;&gt;INDEX(職員マスタ!$G$6:$G$405,$AN763)),"時短開始日がマスタと相違／","")&amp;IF(AND($M763&lt;&gt;"",INDEX(職員マスタ!$H$6:$H$405,$AN763)&lt;&gt;"",$M763&lt;&gt;INDEX(職員マスタ!$H$6:$H$405,$AN763)),"時短終了日がマスタと相違／","")))&amp;IF(AND($B763&lt;&gt;"",$E763=""),"報酬額が未入力／","")&amp;IF(N($U763)&gt;0,"申請書に入力エラーが残っています／","")&amp;IF(AND($B763&lt;&gt;"",$AO763&lt;&gt;""),IF(COUNTIFS($B$6:$B$3005,$B763,$C$6:$C$3005,$C763,$D$6:$D$3005,$D763)&gt;1,"同じ月の請求が重複しています／",""),"")&amp;IF(AND(N($E763)&gt;0,$Z763&lt;&gt;"",$Z763&lt;&gt;"×",$AC763=0,$AB763=""),"計算額が下限以下のため不支給／",""))</f>
        <v/>
      </c>
      <c r="AL763" s="12" t="n"/>
      <c r="AM763" s="14">
        <f>IF($AD763="保留中",COUNTIF($AD$6:$AD763,"保留中"),"")</f>
        <v/>
      </c>
      <c r="AN763" s="14">
        <f>IF($AO763="","",IF(SUMPRODUCT(MAX((職員マスタ!$A$6:$A$405=$B763)*(((職員マスタ!$G$6:$G$405="")+(職員マスタ!$G$6:$G$405&lt;=EOMONTH($AO763,0)))&gt;0)*(((職員マスタ!$H$6:$H$405="")+(職員マスタ!$H$6:$H$405&gt;=$AO763))&gt;0)*(ROW(職員マスタ!$A$6:$A$405)-5)))&gt;0,SUMPRODUCT(MAX((職員マスタ!$A$6:$A$405=$B763)*(((職員マスタ!$G$6:$G$405="")+(職員マスタ!$G$6:$G$405&lt;=EOMONTH($AO763,0)))&gt;0)*(((職員マスタ!$H$6:$H$405="")+(職員マスタ!$H$6:$H$405&gt;=$AO763))&gt;0)*(ROW(職員マスタ!$A$6:$A$405)-5))),IFERROR(MATCH($B763,職員マスタ!$A$6:$A$405,0),"")))</f>
        <v/>
      </c>
      <c r="AO763" s="16">
        <f>IF(OR($B763="",$C763="",$D763=""),"",DATE($C763+2018,$D763,1))</f>
        <v/>
      </c>
    </row>
    <row r="764">
      <c r="A764" s="11" t="n"/>
      <c r="B764" s="12" t="n"/>
      <c r="C764" s="12" t="n"/>
      <c r="D764" s="12" t="n"/>
      <c r="E764" s="13" t="n"/>
      <c r="F764" s="12" t="n"/>
      <c r="G764" s="13" t="n"/>
      <c r="H764" s="12" t="n"/>
      <c r="I764" s="12" t="n"/>
      <c r="J764" s="12" t="n"/>
      <c r="K764" s="12" t="n"/>
      <c r="L764" s="11" t="n"/>
      <c r="M764" s="11" t="n"/>
      <c r="N764" s="11" t="n"/>
      <c r="O764" s="11" t="n"/>
      <c r="P764" s="12" t="n"/>
      <c r="Q764" s="11" t="n"/>
      <c r="R764" s="12" t="n"/>
      <c r="S764" s="11" t="n"/>
      <c r="T764" s="12" t="n"/>
      <c r="U764" s="12" t="n"/>
      <c r="V764" s="14">
        <f>IF($AN764="",IF($B764="","",$H764),IF(INDEX(職員マスタ!$B$6:$B$405,$AN764)="",$H764,INDEX(職員マスタ!$B$6:$B$405,$AN764)))</f>
        <v/>
      </c>
      <c r="W764" s="14">
        <f>IF($AN764="",IF($B764="","",$R764),IF(INDEX(職員マスタ!$C$6:$C$405,$AN764)="",$R764,INDEX(職員マスタ!$C$6:$C$405,$AN764)))</f>
        <v/>
      </c>
      <c r="X764" s="14">
        <f>IF($AO764="","","R"&amp;$C764&amp;"."&amp;$D764)</f>
        <v/>
      </c>
      <c r="Y764" s="15">
        <f>IF($AN764="","",IF(INDEX(職員マスタ!$K$6:$K$405,$AN764)="","",INDEX(職員マスタ!$K$6:$K$405,$AN764)))</f>
        <v/>
      </c>
      <c r="Z764" s="14">
        <f>IF(OR($E764="",$Y764=""),"",IF($E764&gt;=$Y764,"×",IF($E764&gt;=$Y764*設定!$C$5,"△","○")))</f>
        <v/>
      </c>
      <c r="AA764" s="15">
        <f>IF($Z764="","",IF($Z764="×",0,IF($Z764="○",ROUNDDOWN($E764*設定!$C$4,0),ROUNDDOWN($E764*ROUND((9*$Y764-9*$E764)/(10*$E764),4),0))))</f>
        <v/>
      </c>
      <c r="AB764" s="13" t="n"/>
      <c r="AC764" s="15">
        <f>IF($B764="","",IF($AB764&lt;&gt;"",$AB764,IF($AA764="","",IF($AA764&lt;=設定!$C$3,0,$AA764))))</f>
        <v/>
      </c>
      <c r="AD764" s="14">
        <f>IF($B764="","",IF(AND($AE764&lt;&gt;"",$AG764="",$AJ764=""),"保留中",IF($AJ764&lt;&gt;"",IF(N($AC764)&gt;0,"支給済","不支給"),IF($AC764="","要確認",IF($AC764=0,"不支給","未処理")))))</f>
        <v/>
      </c>
      <c r="AE764" s="12" t="n"/>
      <c r="AF764" s="11" t="n"/>
      <c r="AG764" s="11" t="n"/>
      <c r="AH764" s="11" t="n"/>
      <c r="AI764" s="14">
        <f>IF(AND($AD764="保留中",$AF764&lt;&gt;""),TODAY()-$AF764,"")</f>
        <v/>
      </c>
      <c r="AJ764" s="12" t="n"/>
      <c r="AK764" s="14">
        <f>IF($B764="","",IF($AO764="","対象年月が未入力／","")&amp;IF($B764="","",IF($AN764="","職員マスタに未登録の職員番号／",IF($Y764="","標準報酬月額が未登録／","")&amp;IF(AND($AO764&lt;&gt;"",OR(AND(INDEX(職員マスタ!$G$6:$G$405,$AN764)&lt;&gt;"",INDEX(職員マスタ!$G$6:$G$405,$AN764)&gt;EOMONTH($AO764,0)),AND(INDEX(職員マスタ!$H$6:$H$405,$AN764)&lt;&gt;"",INDEX(職員マスタ!$H$6:$H$405,$AN764)&lt;$AO764))),"対象月が時短期間外／","")&amp;IF(AND(INDEX(職員マスタ!$F$6:$F$405,$AN764)&lt;&gt;"",$AO764&lt;&gt;"",INDEX(職員マスタ!$F$6:$F$405,$AN764)&lt;$AO764),"対象月に子が2歳到達済／","")&amp;IF(AND($H764&lt;&gt;"",INDEX(職員マスタ!$B$6:$B$405,$AN764)&lt;&gt;"",SUBSTITUTE(SUBSTITUTE($H764," ","")," ","")&lt;&gt;SUBSTITUTE(SUBSTITUTE(INDEX(職員マスタ!$B$6:$B$405,$AN764)," ","")," ","")),"氏名がマスタと相違／","")&amp;IF(AND($Q764&lt;&gt;"",INDEX(職員マスタ!$E$6:$E$405,$AN764)&lt;&gt;"",$Q764&lt;&gt;INDEX(職員マスタ!$E$6:$E$405,$AN764)),"子の生年月日がマスタと相違／","")&amp;IF(AND($L764&lt;&gt;"",INDEX(職員マスタ!$G$6:$G$405,$AN764)&lt;&gt;"",$L764&lt;&gt;INDEX(職員マスタ!$G$6:$G$405,$AN764)),"時短開始日がマスタと相違／","")&amp;IF(AND($M764&lt;&gt;"",INDEX(職員マスタ!$H$6:$H$405,$AN764)&lt;&gt;"",$M764&lt;&gt;INDEX(職員マスタ!$H$6:$H$405,$AN764)),"時短終了日がマスタと相違／","")))&amp;IF(AND($B764&lt;&gt;"",$E764=""),"報酬額が未入力／","")&amp;IF(N($U764)&gt;0,"申請書に入力エラーが残っています／","")&amp;IF(AND($B764&lt;&gt;"",$AO764&lt;&gt;""),IF(COUNTIFS($B$6:$B$3005,$B764,$C$6:$C$3005,$C764,$D$6:$D$3005,$D764)&gt;1,"同じ月の請求が重複しています／",""),"")&amp;IF(AND(N($E764)&gt;0,$Z764&lt;&gt;"",$Z764&lt;&gt;"×",$AC764=0,$AB764=""),"計算額が下限以下のため不支給／",""))</f>
        <v/>
      </c>
      <c r="AL764" s="12" t="n"/>
      <c r="AM764" s="14">
        <f>IF($AD764="保留中",COUNTIF($AD$6:$AD764,"保留中"),"")</f>
        <v/>
      </c>
      <c r="AN764" s="14">
        <f>IF($AO764="","",IF(SUMPRODUCT(MAX((職員マスタ!$A$6:$A$405=$B764)*(((職員マスタ!$G$6:$G$405="")+(職員マスタ!$G$6:$G$405&lt;=EOMONTH($AO764,0)))&gt;0)*(((職員マスタ!$H$6:$H$405="")+(職員マスタ!$H$6:$H$405&gt;=$AO764))&gt;0)*(ROW(職員マスタ!$A$6:$A$405)-5)))&gt;0,SUMPRODUCT(MAX((職員マスタ!$A$6:$A$405=$B764)*(((職員マスタ!$G$6:$G$405="")+(職員マスタ!$G$6:$G$405&lt;=EOMONTH($AO764,0)))&gt;0)*(((職員マスタ!$H$6:$H$405="")+(職員マスタ!$H$6:$H$405&gt;=$AO764))&gt;0)*(ROW(職員マスタ!$A$6:$A$405)-5))),IFERROR(MATCH($B764,職員マスタ!$A$6:$A$405,0),"")))</f>
        <v/>
      </c>
      <c r="AO764" s="16">
        <f>IF(OR($B764="",$C764="",$D764=""),"",DATE($C764+2018,$D764,1))</f>
        <v/>
      </c>
    </row>
    <row r="765">
      <c r="A765" s="11" t="n"/>
      <c r="B765" s="12" t="n"/>
      <c r="C765" s="12" t="n"/>
      <c r="D765" s="12" t="n"/>
      <c r="E765" s="13" t="n"/>
      <c r="F765" s="12" t="n"/>
      <c r="G765" s="13" t="n"/>
      <c r="H765" s="12" t="n"/>
      <c r="I765" s="12" t="n"/>
      <c r="J765" s="12" t="n"/>
      <c r="K765" s="12" t="n"/>
      <c r="L765" s="11" t="n"/>
      <c r="M765" s="11" t="n"/>
      <c r="N765" s="11" t="n"/>
      <c r="O765" s="11" t="n"/>
      <c r="P765" s="12" t="n"/>
      <c r="Q765" s="11" t="n"/>
      <c r="R765" s="12" t="n"/>
      <c r="S765" s="11" t="n"/>
      <c r="T765" s="12" t="n"/>
      <c r="U765" s="12" t="n"/>
      <c r="V765" s="14">
        <f>IF($AN765="",IF($B765="","",$H765),IF(INDEX(職員マスタ!$B$6:$B$405,$AN765)="",$H765,INDEX(職員マスタ!$B$6:$B$405,$AN765)))</f>
        <v/>
      </c>
      <c r="W765" s="14">
        <f>IF($AN765="",IF($B765="","",$R765),IF(INDEX(職員マスタ!$C$6:$C$405,$AN765)="",$R765,INDEX(職員マスタ!$C$6:$C$405,$AN765)))</f>
        <v/>
      </c>
      <c r="X765" s="14">
        <f>IF($AO765="","","R"&amp;$C765&amp;"."&amp;$D765)</f>
        <v/>
      </c>
      <c r="Y765" s="15">
        <f>IF($AN765="","",IF(INDEX(職員マスタ!$K$6:$K$405,$AN765)="","",INDEX(職員マスタ!$K$6:$K$405,$AN765)))</f>
        <v/>
      </c>
      <c r="Z765" s="14">
        <f>IF(OR($E765="",$Y765=""),"",IF($E765&gt;=$Y765,"×",IF($E765&gt;=$Y765*設定!$C$5,"△","○")))</f>
        <v/>
      </c>
      <c r="AA765" s="15">
        <f>IF($Z765="","",IF($Z765="×",0,IF($Z765="○",ROUNDDOWN($E765*設定!$C$4,0),ROUNDDOWN($E765*ROUND((9*$Y765-9*$E765)/(10*$E765),4),0))))</f>
        <v/>
      </c>
      <c r="AB765" s="13" t="n"/>
      <c r="AC765" s="15">
        <f>IF($B765="","",IF($AB765&lt;&gt;"",$AB765,IF($AA765="","",IF($AA765&lt;=設定!$C$3,0,$AA765))))</f>
        <v/>
      </c>
      <c r="AD765" s="14">
        <f>IF($B765="","",IF(AND($AE765&lt;&gt;"",$AG765="",$AJ765=""),"保留中",IF($AJ765&lt;&gt;"",IF(N($AC765)&gt;0,"支給済","不支給"),IF($AC765="","要確認",IF($AC765=0,"不支給","未処理")))))</f>
        <v/>
      </c>
      <c r="AE765" s="12" t="n"/>
      <c r="AF765" s="11" t="n"/>
      <c r="AG765" s="11" t="n"/>
      <c r="AH765" s="11" t="n"/>
      <c r="AI765" s="14">
        <f>IF(AND($AD765="保留中",$AF765&lt;&gt;""),TODAY()-$AF765,"")</f>
        <v/>
      </c>
      <c r="AJ765" s="12" t="n"/>
      <c r="AK765" s="14">
        <f>IF($B765="","",IF($AO765="","対象年月が未入力／","")&amp;IF($B765="","",IF($AN765="","職員マスタに未登録の職員番号／",IF($Y765="","標準報酬月額が未登録／","")&amp;IF(AND($AO765&lt;&gt;"",OR(AND(INDEX(職員マスタ!$G$6:$G$405,$AN765)&lt;&gt;"",INDEX(職員マスタ!$G$6:$G$405,$AN765)&gt;EOMONTH($AO765,0)),AND(INDEX(職員マスタ!$H$6:$H$405,$AN765)&lt;&gt;"",INDEX(職員マスタ!$H$6:$H$405,$AN765)&lt;$AO765))),"対象月が時短期間外／","")&amp;IF(AND(INDEX(職員マスタ!$F$6:$F$405,$AN765)&lt;&gt;"",$AO765&lt;&gt;"",INDEX(職員マスタ!$F$6:$F$405,$AN765)&lt;$AO765),"対象月に子が2歳到達済／","")&amp;IF(AND($H765&lt;&gt;"",INDEX(職員マスタ!$B$6:$B$405,$AN765)&lt;&gt;"",SUBSTITUTE(SUBSTITUTE($H765," ","")," ","")&lt;&gt;SUBSTITUTE(SUBSTITUTE(INDEX(職員マスタ!$B$6:$B$405,$AN765)," ","")," ","")),"氏名がマスタと相違／","")&amp;IF(AND($Q765&lt;&gt;"",INDEX(職員マスタ!$E$6:$E$405,$AN765)&lt;&gt;"",$Q765&lt;&gt;INDEX(職員マスタ!$E$6:$E$405,$AN765)),"子の生年月日がマスタと相違／","")&amp;IF(AND($L765&lt;&gt;"",INDEX(職員マスタ!$G$6:$G$405,$AN765)&lt;&gt;"",$L765&lt;&gt;INDEX(職員マスタ!$G$6:$G$405,$AN765)),"時短開始日がマスタと相違／","")&amp;IF(AND($M765&lt;&gt;"",INDEX(職員マスタ!$H$6:$H$405,$AN765)&lt;&gt;"",$M765&lt;&gt;INDEX(職員マスタ!$H$6:$H$405,$AN765)),"時短終了日がマスタと相違／","")))&amp;IF(AND($B765&lt;&gt;"",$E765=""),"報酬額が未入力／","")&amp;IF(N($U765)&gt;0,"申請書に入力エラーが残っています／","")&amp;IF(AND($B765&lt;&gt;"",$AO765&lt;&gt;""),IF(COUNTIFS($B$6:$B$3005,$B765,$C$6:$C$3005,$C765,$D$6:$D$3005,$D765)&gt;1,"同じ月の請求が重複しています／",""),"")&amp;IF(AND(N($E765)&gt;0,$Z765&lt;&gt;"",$Z765&lt;&gt;"×",$AC765=0,$AB765=""),"計算額が下限以下のため不支給／",""))</f>
        <v/>
      </c>
      <c r="AL765" s="12" t="n"/>
      <c r="AM765" s="14">
        <f>IF($AD765="保留中",COUNTIF($AD$6:$AD765,"保留中"),"")</f>
        <v/>
      </c>
      <c r="AN765" s="14">
        <f>IF($AO765="","",IF(SUMPRODUCT(MAX((職員マスタ!$A$6:$A$405=$B765)*(((職員マスタ!$G$6:$G$405="")+(職員マスタ!$G$6:$G$405&lt;=EOMONTH($AO765,0)))&gt;0)*(((職員マスタ!$H$6:$H$405="")+(職員マスタ!$H$6:$H$405&gt;=$AO765))&gt;0)*(ROW(職員マスタ!$A$6:$A$405)-5)))&gt;0,SUMPRODUCT(MAX((職員マスタ!$A$6:$A$405=$B765)*(((職員マスタ!$G$6:$G$405="")+(職員マスタ!$G$6:$G$405&lt;=EOMONTH($AO765,0)))&gt;0)*(((職員マスタ!$H$6:$H$405="")+(職員マスタ!$H$6:$H$405&gt;=$AO765))&gt;0)*(ROW(職員マスタ!$A$6:$A$405)-5))),IFERROR(MATCH($B765,職員マスタ!$A$6:$A$405,0),"")))</f>
        <v/>
      </c>
      <c r="AO765" s="16">
        <f>IF(OR($B765="",$C765="",$D765=""),"",DATE($C765+2018,$D765,1))</f>
        <v/>
      </c>
    </row>
    <row r="766">
      <c r="A766" s="11" t="n"/>
      <c r="B766" s="12" t="n"/>
      <c r="C766" s="12" t="n"/>
      <c r="D766" s="12" t="n"/>
      <c r="E766" s="13" t="n"/>
      <c r="F766" s="12" t="n"/>
      <c r="G766" s="13" t="n"/>
      <c r="H766" s="12" t="n"/>
      <c r="I766" s="12" t="n"/>
      <c r="J766" s="12" t="n"/>
      <c r="K766" s="12" t="n"/>
      <c r="L766" s="11" t="n"/>
      <c r="M766" s="11" t="n"/>
      <c r="N766" s="11" t="n"/>
      <c r="O766" s="11" t="n"/>
      <c r="P766" s="12" t="n"/>
      <c r="Q766" s="11" t="n"/>
      <c r="R766" s="12" t="n"/>
      <c r="S766" s="11" t="n"/>
      <c r="T766" s="12" t="n"/>
      <c r="U766" s="12" t="n"/>
      <c r="V766" s="14">
        <f>IF($AN766="",IF($B766="","",$H766),IF(INDEX(職員マスタ!$B$6:$B$405,$AN766)="",$H766,INDEX(職員マスタ!$B$6:$B$405,$AN766)))</f>
        <v/>
      </c>
      <c r="W766" s="14">
        <f>IF($AN766="",IF($B766="","",$R766),IF(INDEX(職員マスタ!$C$6:$C$405,$AN766)="",$R766,INDEX(職員マスタ!$C$6:$C$405,$AN766)))</f>
        <v/>
      </c>
      <c r="X766" s="14">
        <f>IF($AO766="","","R"&amp;$C766&amp;"."&amp;$D766)</f>
        <v/>
      </c>
      <c r="Y766" s="15">
        <f>IF($AN766="","",IF(INDEX(職員マスタ!$K$6:$K$405,$AN766)="","",INDEX(職員マスタ!$K$6:$K$405,$AN766)))</f>
        <v/>
      </c>
      <c r="Z766" s="14">
        <f>IF(OR($E766="",$Y766=""),"",IF($E766&gt;=$Y766,"×",IF($E766&gt;=$Y766*設定!$C$5,"△","○")))</f>
        <v/>
      </c>
      <c r="AA766" s="15">
        <f>IF($Z766="","",IF($Z766="×",0,IF($Z766="○",ROUNDDOWN($E766*設定!$C$4,0),ROUNDDOWN($E766*ROUND((9*$Y766-9*$E766)/(10*$E766),4),0))))</f>
        <v/>
      </c>
      <c r="AB766" s="13" t="n"/>
      <c r="AC766" s="15">
        <f>IF($B766="","",IF($AB766&lt;&gt;"",$AB766,IF($AA766="","",IF($AA766&lt;=設定!$C$3,0,$AA766))))</f>
        <v/>
      </c>
      <c r="AD766" s="14">
        <f>IF($B766="","",IF(AND($AE766&lt;&gt;"",$AG766="",$AJ766=""),"保留中",IF($AJ766&lt;&gt;"",IF(N($AC766)&gt;0,"支給済","不支給"),IF($AC766="","要確認",IF($AC766=0,"不支給","未処理")))))</f>
        <v/>
      </c>
      <c r="AE766" s="12" t="n"/>
      <c r="AF766" s="11" t="n"/>
      <c r="AG766" s="11" t="n"/>
      <c r="AH766" s="11" t="n"/>
      <c r="AI766" s="14">
        <f>IF(AND($AD766="保留中",$AF766&lt;&gt;""),TODAY()-$AF766,"")</f>
        <v/>
      </c>
      <c r="AJ766" s="12" t="n"/>
      <c r="AK766" s="14">
        <f>IF($B766="","",IF($AO766="","対象年月が未入力／","")&amp;IF($B766="","",IF($AN766="","職員マスタに未登録の職員番号／",IF($Y766="","標準報酬月額が未登録／","")&amp;IF(AND($AO766&lt;&gt;"",OR(AND(INDEX(職員マスタ!$G$6:$G$405,$AN766)&lt;&gt;"",INDEX(職員マスタ!$G$6:$G$405,$AN766)&gt;EOMONTH($AO766,0)),AND(INDEX(職員マスタ!$H$6:$H$405,$AN766)&lt;&gt;"",INDEX(職員マスタ!$H$6:$H$405,$AN766)&lt;$AO766))),"対象月が時短期間外／","")&amp;IF(AND(INDEX(職員マスタ!$F$6:$F$405,$AN766)&lt;&gt;"",$AO766&lt;&gt;"",INDEX(職員マスタ!$F$6:$F$405,$AN766)&lt;$AO766),"対象月に子が2歳到達済／","")&amp;IF(AND($H766&lt;&gt;"",INDEX(職員マスタ!$B$6:$B$405,$AN766)&lt;&gt;"",SUBSTITUTE(SUBSTITUTE($H766," ","")," ","")&lt;&gt;SUBSTITUTE(SUBSTITUTE(INDEX(職員マスタ!$B$6:$B$405,$AN766)," ","")," ","")),"氏名がマスタと相違／","")&amp;IF(AND($Q766&lt;&gt;"",INDEX(職員マスタ!$E$6:$E$405,$AN766)&lt;&gt;"",$Q766&lt;&gt;INDEX(職員マスタ!$E$6:$E$405,$AN766)),"子の生年月日がマスタと相違／","")&amp;IF(AND($L766&lt;&gt;"",INDEX(職員マスタ!$G$6:$G$405,$AN766)&lt;&gt;"",$L766&lt;&gt;INDEX(職員マスタ!$G$6:$G$405,$AN766)),"時短開始日がマスタと相違／","")&amp;IF(AND($M766&lt;&gt;"",INDEX(職員マスタ!$H$6:$H$405,$AN766)&lt;&gt;"",$M766&lt;&gt;INDEX(職員マスタ!$H$6:$H$405,$AN766)),"時短終了日がマスタと相違／","")))&amp;IF(AND($B766&lt;&gt;"",$E766=""),"報酬額が未入力／","")&amp;IF(N($U766)&gt;0,"申請書に入力エラーが残っています／","")&amp;IF(AND($B766&lt;&gt;"",$AO766&lt;&gt;""),IF(COUNTIFS($B$6:$B$3005,$B766,$C$6:$C$3005,$C766,$D$6:$D$3005,$D766)&gt;1,"同じ月の請求が重複しています／",""),"")&amp;IF(AND(N($E766)&gt;0,$Z766&lt;&gt;"",$Z766&lt;&gt;"×",$AC766=0,$AB766=""),"計算額が下限以下のため不支給／",""))</f>
        <v/>
      </c>
      <c r="AL766" s="12" t="n"/>
      <c r="AM766" s="14">
        <f>IF($AD766="保留中",COUNTIF($AD$6:$AD766,"保留中"),"")</f>
        <v/>
      </c>
      <c r="AN766" s="14">
        <f>IF($AO766="","",IF(SUMPRODUCT(MAX((職員マスタ!$A$6:$A$405=$B766)*(((職員マスタ!$G$6:$G$405="")+(職員マスタ!$G$6:$G$405&lt;=EOMONTH($AO766,0)))&gt;0)*(((職員マスタ!$H$6:$H$405="")+(職員マスタ!$H$6:$H$405&gt;=$AO766))&gt;0)*(ROW(職員マスタ!$A$6:$A$405)-5)))&gt;0,SUMPRODUCT(MAX((職員マスタ!$A$6:$A$405=$B766)*(((職員マスタ!$G$6:$G$405="")+(職員マスタ!$G$6:$G$405&lt;=EOMONTH($AO766,0)))&gt;0)*(((職員マスタ!$H$6:$H$405="")+(職員マスタ!$H$6:$H$405&gt;=$AO766))&gt;0)*(ROW(職員マスタ!$A$6:$A$405)-5))),IFERROR(MATCH($B766,職員マスタ!$A$6:$A$405,0),"")))</f>
        <v/>
      </c>
      <c r="AO766" s="16">
        <f>IF(OR($B766="",$C766="",$D766=""),"",DATE($C766+2018,$D766,1))</f>
        <v/>
      </c>
    </row>
    <row r="767">
      <c r="A767" s="11" t="n"/>
      <c r="B767" s="12" t="n"/>
      <c r="C767" s="12" t="n"/>
      <c r="D767" s="12" t="n"/>
      <c r="E767" s="13" t="n"/>
      <c r="F767" s="12" t="n"/>
      <c r="G767" s="13" t="n"/>
      <c r="H767" s="12" t="n"/>
      <c r="I767" s="12" t="n"/>
      <c r="J767" s="12" t="n"/>
      <c r="K767" s="12" t="n"/>
      <c r="L767" s="11" t="n"/>
      <c r="M767" s="11" t="n"/>
      <c r="N767" s="11" t="n"/>
      <c r="O767" s="11" t="n"/>
      <c r="P767" s="12" t="n"/>
      <c r="Q767" s="11" t="n"/>
      <c r="R767" s="12" t="n"/>
      <c r="S767" s="11" t="n"/>
      <c r="T767" s="12" t="n"/>
      <c r="U767" s="12" t="n"/>
      <c r="V767" s="14">
        <f>IF($AN767="",IF($B767="","",$H767),IF(INDEX(職員マスタ!$B$6:$B$405,$AN767)="",$H767,INDEX(職員マスタ!$B$6:$B$405,$AN767)))</f>
        <v/>
      </c>
      <c r="W767" s="14">
        <f>IF($AN767="",IF($B767="","",$R767),IF(INDEX(職員マスタ!$C$6:$C$405,$AN767)="",$R767,INDEX(職員マスタ!$C$6:$C$405,$AN767)))</f>
        <v/>
      </c>
      <c r="X767" s="14">
        <f>IF($AO767="","","R"&amp;$C767&amp;"."&amp;$D767)</f>
        <v/>
      </c>
      <c r="Y767" s="15">
        <f>IF($AN767="","",IF(INDEX(職員マスタ!$K$6:$K$405,$AN767)="","",INDEX(職員マスタ!$K$6:$K$405,$AN767)))</f>
        <v/>
      </c>
      <c r="Z767" s="14">
        <f>IF(OR($E767="",$Y767=""),"",IF($E767&gt;=$Y767,"×",IF($E767&gt;=$Y767*設定!$C$5,"△","○")))</f>
        <v/>
      </c>
      <c r="AA767" s="15">
        <f>IF($Z767="","",IF($Z767="×",0,IF($Z767="○",ROUNDDOWN($E767*設定!$C$4,0),ROUNDDOWN($E767*ROUND((9*$Y767-9*$E767)/(10*$E767),4),0))))</f>
        <v/>
      </c>
      <c r="AB767" s="13" t="n"/>
      <c r="AC767" s="15">
        <f>IF($B767="","",IF($AB767&lt;&gt;"",$AB767,IF($AA767="","",IF($AA767&lt;=設定!$C$3,0,$AA767))))</f>
        <v/>
      </c>
      <c r="AD767" s="14">
        <f>IF($B767="","",IF(AND($AE767&lt;&gt;"",$AG767="",$AJ767=""),"保留中",IF($AJ767&lt;&gt;"",IF(N($AC767)&gt;0,"支給済","不支給"),IF($AC767="","要確認",IF($AC767=0,"不支給","未処理")))))</f>
        <v/>
      </c>
      <c r="AE767" s="12" t="n"/>
      <c r="AF767" s="11" t="n"/>
      <c r="AG767" s="11" t="n"/>
      <c r="AH767" s="11" t="n"/>
      <c r="AI767" s="14">
        <f>IF(AND($AD767="保留中",$AF767&lt;&gt;""),TODAY()-$AF767,"")</f>
        <v/>
      </c>
      <c r="AJ767" s="12" t="n"/>
      <c r="AK767" s="14">
        <f>IF($B767="","",IF($AO767="","対象年月が未入力／","")&amp;IF($B767="","",IF($AN767="","職員マスタに未登録の職員番号／",IF($Y767="","標準報酬月額が未登録／","")&amp;IF(AND($AO767&lt;&gt;"",OR(AND(INDEX(職員マスタ!$G$6:$G$405,$AN767)&lt;&gt;"",INDEX(職員マスタ!$G$6:$G$405,$AN767)&gt;EOMONTH($AO767,0)),AND(INDEX(職員マスタ!$H$6:$H$405,$AN767)&lt;&gt;"",INDEX(職員マスタ!$H$6:$H$405,$AN767)&lt;$AO767))),"対象月が時短期間外／","")&amp;IF(AND(INDEX(職員マスタ!$F$6:$F$405,$AN767)&lt;&gt;"",$AO767&lt;&gt;"",INDEX(職員マスタ!$F$6:$F$405,$AN767)&lt;$AO767),"対象月に子が2歳到達済／","")&amp;IF(AND($H767&lt;&gt;"",INDEX(職員マスタ!$B$6:$B$405,$AN767)&lt;&gt;"",SUBSTITUTE(SUBSTITUTE($H767," ","")," ","")&lt;&gt;SUBSTITUTE(SUBSTITUTE(INDEX(職員マスタ!$B$6:$B$405,$AN767)," ","")," ","")),"氏名がマスタと相違／","")&amp;IF(AND($Q767&lt;&gt;"",INDEX(職員マスタ!$E$6:$E$405,$AN767)&lt;&gt;"",$Q767&lt;&gt;INDEX(職員マスタ!$E$6:$E$405,$AN767)),"子の生年月日がマスタと相違／","")&amp;IF(AND($L767&lt;&gt;"",INDEX(職員マスタ!$G$6:$G$405,$AN767)&lt;&gt;"",$L767&lt;&gt;INDEX(職員マスタ!$G$6:$G$405,$AN767)),"時短開始日がマスタと相違／","")&amp;IF(AND($M767&lt;&gt;"",INDEX(職員マスタ!$H$6:$H$405,$AN767)&lt;&gt;"",$M767&lt;&gt;INDEX(職員マスタ!$H$6:$H$405,$AN767)),"時短終了日がマスタと相違／","")))&amp;IF(AND($B767&lt;&gt;"",$E767=""),"報酬額が未入力／","")&amp;IF(N($U767)&gt;0,"申請書に入力エラーが残っています／","")&amp;IF(AND($B767&lt;&gt;"",$AO767&lt;&gt;""),IF(COUNTIFS($B$6:$B$3005,$B767,$C$6:$C$3005,$C767,$D$6:$D$3005,$D767)&gt;1,"同じ月の請求が重複しています／",""),"")&amp;IF(AND(N($E767)&gt;0,$Z767&lt;&gt;"",$Z767&lt;&gt;"×",$AC767=0,$AB767=""),"計算額が下限以下のため不支給／",""))</f>
        <v/>
      </c>
      <c r="AL767" s="12" t="n"/>
      <c r="AM767" s="14">
        <f>IF($AD767="保留中",COUNTIF($AD$6:$AD767,"保留中"),"")</f>
        <v/>
      </c>
      <c r="AN767" s="14">
        <f>IF($AO767="","",IF(SUMPRODUCT(MAX((職員マスタ!$A$6:$A$405=$B767)*(((職員マスタ!$G$6:$G$405="")+(職員マスタ!$G$6:$G$405&lt;=EOMONTH($AO767,0)))&gt;0)*(((職員マスタ!$H$6:$H$405="")+(職員マスタ!$H$6:$H$405&gt;=$AO767))&gt;0)*(ROW(職員マスタ!$A$6:$A$405)-5)))&gt;0,SUMPRODUCT(MAX((職員マスタ!$A$6:$A$405=$B767)*(((職員マスタ!$G$6:$G$405="")+(職員マスタ!$G$6:$G$405&lt;=EOMONTH($AO767,0)))&gt;0)*(((職員マスタ!$H$6:$H$405="")+(職員マスタ!$H$6:$H$405&gt;=$AO767))&gt;0)*(ROW(職員マスタ!$A$6:$A$405)-5))),IFERROR(MATCH($B767,職員マスタ!$A$6:$A$405,0),"")))</f>
        <v/>
      </c>
      <c r="AO767" s="16">
        <f>IF(OR($B767="",$C767="",$D767=""),"",DATE($C767+2018,$D767,1))</f>
        <v/>
      </c>
    </row>
    <row r="768">
      <c r="A768" s="11" t="n"/>
      <c r="B768" s="12" t="n"/>
      <c r="C768" s="12" t="n"/>
      <c r="D768" s="12" t="n"/>
      <c r="E768" s="13" t="n"/>
      <c r="F768" s="12" t="n"/>
      <c r="G768" s="13" t="n"/>
      <c r="H768" s="12" t="n"/>
      <c r="I768" s="12" t="n"/>
      <c r="J768" s="12" t="n"/>
      <c r="K768" s="12" t="n"/>
      <c r="L768" s="11" t="n"/>
      <c r="M768" s="11" t="n"/>
      <c r="N768" s="11" t="n"/>
      <c r="O768" s="11" t="n"/>
      <c r="P768" s="12" t="n"/>
      <c r="Q768" s="11" t="n"/>
      <c r="R768" s="12" t="n"/>
      <c r="S768" s="11" t="n"/>
      <c r="T768" s="12" t="n"/>
      <c r="U768" s="12" t="n"/>
      <c r="V768" s="14">
        <f>IF($AN768="",IF($B768="","",$H768),IF(INDEX(職員マスタ!$B$6:$B$405,$AN768)="",$H768,INDEX(職員マスタ!$B$6:$B$405,$AN768)))</f>
        <v/>
      </c>
      <c r="W768" s="14">
        <f>IF($AN768="",IF($B768="","",$R768),IF(INDEX(職員マスタ!$C$6:$C$405,$AN768)="",$R768,INDEX(職員マスタ!$C$6:$C$405,$AN768)))</f>
        <v/>
      </c>
      <c r="X768" s="14">
        <f>IF($AO768="","","R"&amp;$C768&amp;"."&amp;$D768)</f>
        <v/>
      </c>
      <c r="Y768" s="15">
        <f>IF($AN768="","",IF(INDEX(職員マスタ!$K$6:$K$405,$AN768)="","",INDEX(職員マスタ!$K$6:$K$405,$AN768)))</f>
        <v/>
      </c>
      <c r="Z768" s="14">
        <f>IF(OR($E768="",$Y768=""),"",IF($E768&gt;=$Y768,"×",IF($E768&gt;=$Y768*設定!$C$5,"△","○")))</f>
        <v/>
      </c>
      <c r="AA768" s="15">
        <f>IF($Z768="","",IF($Z768="×",0,IF($Z768="○",ROUNDDOWN($E768*設定!$C$4,0),ROUNDDOWN($E768*ROUND((9*$Y768-9*$E768)/(10*$E768),4),0))))</f>
        <v/>
      </c>
      <c r="AB768" s="13" t="n"/>
      <c r="AC768" s="15">
        <f>IF($B768="","",IF($AB768&lt;&gt;"",$AB768,IF($AA768="","",IF($AA768&lt;=設定!$C$3,0,$AA768))))</f>
        <v/>
      </c>
      <c r="AD768" s="14">
        <f>IF($B768="","",IF(AND($AE768&lt;&gt;"",$AG768="",$AJ768=""),"保留中",IF($AJ768&lt;&gt;"",IF(N($AC768)&gt;0,"支給済","不支給"),IF($AC768="","要確認",IF($AC768=0,"不支給","未処理")))))</f>
        <v/>
      </c>
      <c r="AE768" s="12" t="n"/>
      <c r="AF768" s="11" t="n"/>
      <c r="AG768" s="11" t="n"/>
      <c r="AH768" s="11" t="n"/>
      <c r="AI768" s="14">
        <f>IF(AND($AD768="保留中",$AF768&lt;&gt;""),TODAY()-$AF768,"")</f>
        <v/>
      </c>
      <c r="AJ768" s="12" t="n"/>
      <c r="AK768" s="14">
        <f>IF($B768="","",IF($AO768="","対象年月が未入力／","")&amp;IF($B768="","",IF($AN768="","職員マスタに未登録の職員番号／",IF($Y768="","標準報酬月額が未登録／","")&amp;IF(AND($AO768&lt;&gt;"",OR(AND(INDEX(職員マスタ!$G$6:$G$405,$AN768)&lt;&gt;"",INDEX(職員マスタ!$G$6:$G$405,$AN768)&gt;EOMONTH($AO768,0)),AND(INDEX(職員マスタ!$H$6:$H$405,$AN768)&lt;&gt;"",INDEX(職員マスタ!$H$6:$H$405,$AN768)&lt;$AO768))),"対象月が時短期間外／","")&amp;IF(AND(INDEX(職員マスタ!$F$6:$F$405,$AN768)&lt;&gt;"",$AO768&lt;&gt;"",INDEX(職員マスタ!$F$6:$F$405,$AN768)&lt;$AO768),"対象月に子が2歳到達済／","")&amp;IF(AND($H768&lt;&gt;"",INDEX(職員マスタ!$B$6:$B$405,$AN768)&lt;&gt;"",SUBSTITUTE(SUBSTITUTE($H768," ","")," ","")&lt;&gt;SUBSTITUTE(SUBSTITUTE(INDEX(職員マスタ!$B$6:$B$405,$AN768)," ","")," ","")),"氏名がマスタと相違／","")&amp;IF(AND($Q768&lt;&gt;"",INDEX(職員マスタ!$E$6:$E$405,$AN768)&lt;&gt;"",$Q768&lt;&gt;INDEX(職員マスタ!$E$6:$E$405,$AN768)),"子の生年月日がマスタと相違／","")&amp;IF(AND($L768&lt;&gt;"",INDEX(職員マスタ!$G$6:$G$405,$AN768)&lt;&gt;"",$L768&lt;&gt;INDEX(職員マスタ!$G$6:$G$405,$AN768)),"時短開始日がマスタと相違／","")&amp;IF(AND($M768&lt;&gt;"",INDEX(職員マスタ!$H$6:$H$405,$AN768)&lt;&gt;"",$M768&lt;&gt;INDEX(職員マスタ!$H$6:$H$405,$AN768)),"時短終了日がマスタと相違／","")))&amp;IF(AND($B768&lt;&gt;"",$E768=""),"報酬額が未入力／","")&amp;IF(N($U768)&gt;0,"申請書に入力エラーが残っています／","")&amp;IF(AND($B768&lt;&gt;"",$AO768&lt;&gt;""),IF(COUNTIFS($B$6:$B$3005,$B768,$C$6:$C$3005,$C768,$D$6:$D$3005,$D768)&gt;1,"同じ月の請求が重複しています／",""),"")&amp;IF(AND(N($E768)&gt;0,$Z768&lt;&gt;"",$Z768&lt;&gt;"×",$AC768=0,$AB768=""),"計算額が下限以下のため不支給／",""))</f>
        <v/>
      </c>
      <c r="AL768" s="12" t="n"/>
      <c r="AM768" s="14">
        <f>IF($AD768="保留中",COUNTIF($AD$6:$AD768,"保留中"),"")</f>
        <v/>
      </c>
      <c r="AN768" s="14">
        <f>IF($AO768="","",IF(SUMPRODUCT(MAX((職員マスタ!$A$6:$A$405=$B768)*(((職員マスタ!$G$6:$G$405="")+(職員マスタ!$G$6:$G$405&lt;=EOMONTH($AO768,0)))&gt;0)*(((職員マスタ!$H$6:$H$405="")+(職員マスタ!$H$6:$H$405&gt;=$AO768))&gt;0)*(ROW(職員マスタ!$A$6:$A$405)-5)))&gt;0,SUMPRODUCT(MAX((職員マスタ!$A$6:$A$405=$B768)*(((職員マスタ!$G$6:$G$405="")+(職員マスタ!$G$6:$G$405&lt;=EOMONTH($AO768,0)))&gt;0)*(((職員マスタ!$H$6:$H$405="")+(職員マスタ!$H$6:$H$405&gt;=$AO768))&gt;0)*(ROW(職員マスタ!$A$6:$A$405)-5))),IFERROR(MATCH($B768,職員マスタ!$A$6:$A$405,0),"")))</f>
        <v/>
      </c>
      <c r="AO768" s="16">
        <f>IF(OR($B768="",$C768="",$D768=""),"",DATE($C768+2018,$D768,1))</f>
        <v/>
      </c>
    </row>
    <row r="769">
      <c r="A769" s="11" t="n"/>
      <c r="B769" s="12" t="n"/>
      <c r="C769" s="12" t="n"/>
      <c r="D769" s="12" t="n"/>
      <c r="E769" s="13" t="n"/>
      <c r="F769" s="12" t="n"/>
      <c r="G769" s="13" t="n"/>
      <c r="H769" s="12" t="n"/>
      <c r="I769" s="12" t="n"/>
      <c r="J769" s="12" t="n"/>
      <c r="K769" s="12" t="n"/>
      <c r="L769" s="11" t="n"/>
      <c r="M769" s="11" t="n"/>
      <c r="N769" s="11" t="n"/>
      <c r="O769" s="11" t="n"/>
      <c r="P769" s="12" t="n"/>
      <c r="Q769" s="11" t="n"/>
      <c r="R769" s="12" t="n"/>
      <c r="S769" s="11" t="n"/>
      <c r="T769" s="12" t="n"/>
      <c r="U769" s="12" t="n"/>
      <c r="V769" s="14">
        <f>IF($AN769="",IF($B769="","",$H769),IF(INDEX(職員マスタ!$B$6:$B$405,$AN769)="",$H769,INDEX(職員マスタ!$B$6:$B$405,$AN769)))</f>
        <v/>
      </c>
      <c r="W769" s="14">
        <f>IF($AN769="",IF($B769="","",$R769),IF(INDEX(職員マスタ!$C$6:$C$405,$AN769)="",$R769,INDEX(職員マスタ!$C$6:$C$405,$AN769)))</f>
        <v/>
      </c>
      <c r="X769" s="14">
        <f>IF($AO769="","","R"&amp;$C769&amp;"."&amp;$D769)</f>
        <v/>
      </c>
      <c r="Y769" s="15">
        <f>IF($AN769="","",IF(INDEX(職員マスタ!$K$6:$K$405,$AN769)="","",INDEX(職員マスタ!$K$6:$K$405,$AN769)))</f>
        <v/>
      </c>
      <c r="Z769" s="14">
        <f>IF(OR($E769="",$Y769=""),"",IF($E769&gt;=$Y769,"×",IF($E769&gt;=$Y769*設定!$C$5,"△","○")))</f>
        <v/>
      </c>
      <c r="AA769" s="15">
        <f>IF($Z769="","",IF($Z769="×",0,IF($Z769="○",ROUNDDOWN($E769*設定!$C$4,0),ROUNDDOWN($E769*ROUND((9*$Y769-9*$E769)/(10*$E769),4),0))))</f>
        <v/>
      </c>
      <c r="AB769" s="13" t="n"/>
      <c r="AC769" s="15">
        <f>IF($B769="","",IF($AB769&lt;&gt;"",$AB769,IF($AA769="","",IF($AA769&lt;=設定!$C$3,0,$AA769))))</f>
        <v/>
      </c>
      <c r="AD769" s="14">
        <f>IF($B769="","",IF(AND($AE769&lt;&gt;"",$AG769="",$AJ769=""),"保留中",IF($AJ769&lt;&gt;"",IF(N($AC769)&gt;0,"支給済","不支給"),IF($AC769="","要確認",IF($AC769=0,"不支給","未処理")))))</f>
        <v/>
      </c>
      <c r="AE769" s="12" t="n"/>
      <c r="AF769" s="11" t="n"/>
      <c r="AG769" s="11" t="n"/>
      <c r="AH769" s="11" t="n"/>
      <c r="AI769" s="14">
        <f>IF(AND($AD769="保留中",$AF769&lt;&gt;""),TODAY()-$AF769,"")</f>
        <v/>
      </c>
      <c r="AJ769" s="12" t="n"/>
      <c r="AK769" s="14">
        <f>IF($B769="","",IF($AO769="","対象年月が未入力／","")&amp;IF($B769="","",IF($AN769="","職員マスタに未登録の職員番号／",IF($Y769="","標準報酬月額が未登録／","")&amp;IF(AND($AO769&lt;&gt;"",OR(AND(INDEX(職員マスタ!$G$6:$G$405,$AN769)&lt;&gt;"",INDEX(職員マスタ!$G$6:$G$405,$AN769)&gt;EOMONTH($AO769,0)),AND(INDEX(職員マスタ!$H$6:$H$405,$AN769)&lt;&gt;"",INDEX(職員マスタ!$H$6:$H$405,$AN769)&lt;$AO769))),"対象月が時短期間外／","")&amp;IF(AND(INDEX(職員マスタ!$F$6:$F$405,$AN769)&lt;&gt;"",$AO769&lt;&gt;"",INDEX(職員マスタ!$F$6:$F$405,$AN769)&lt;$AO769),"対象月に子が2歳到達済／","")&amp;IF(AND($H769&lt;&gt;"",INDEX(職員マスタ!$B$6:$B$405,$AN769)&lt;&gt;"",SUBSTITUTE(SUBSTITUTE($H769," ","")," ","")&lt;&gt;SUBSTITUTE(SUBSTITUTE(INDEX(職員マスタ!$B$6:$B$405,$AN769)," ","")," ","")),"氏名がマスタと相違／","")&amp;IF(AND($Q769&lt;&gt;"",INDEX(職員マスタ!$E$6:$E$405,$AN769)&lt;&gt;"",$Q769&lt;&gt;INDEX(職員マスタ!$E$6:$E$405,$AN769)),"子の生年月日がマスタと相違／","")&amp;IF(AND($L769&lt;&gt;"",INDEX(職員マスタ!$G$6:$G$405,$AN769)&lt;&gt;"",$L769&lt;&gt;INDEX(職員マスタ!$G$6:$G$405,$AN769)),"時短開始日がマスタと相違／","")&amp;IF(AND($M769&lt;&gt;"",INDEX(職員マスタ!$H$6:$H$405,$AN769)&lt;&gt;"",$M769&lt;&gt;INDEX(職員マスタ!$H$6:$H$405,$AN769)),"時短終了日がマスタと相違／","")))&amp;IF(AND($B769&lt;&gt;"",$E769=""),"報酬額が未入力／","")&amp;IF(N($U769)&gt;0,"申請書に入力エラーが残っています／","")&amp;IF(AND($B769&lt;&gt;"",$AO769&lt;&gt;""),IF(COUNTIFS($B$6:$B$3005,$B769,$C$6:$C$3005,$C769,$D$6:$D$3005,$D769)&gt;1,"同じ月の請求が重複しています／",""),"")&amp;IF(AND(N($E769)&gt;0,$Z769&lt;&gt;"",$Z769&lt;&gt;"×",$AC769=0,$AB769=""),"計算額が下限以下のため不支給／",""))</f>
        <v/>
      </c>
      <c r="AL769" s="12" t="n"/>
      <c r="AM769" s="14">
        <f>IF($AD769="保留中",COUNTIF($AD$6:$AD769,"保留中"),"")</f>
        <v/>
      </c>
      <c r="AN769" s="14">
        <f>IF($AO769="","",IF(SUMPRODUCT(MAX((職員マスタ!$A$6:$A$405=$B769)*(((職員マスタ!$G$6:$G$405="")+(職員マスタ!$G$6:$G$405&lt;=EOMONTH($AO769,0)))&gt;0)*(((職員マスタ!$H$6:$H$405="")+(職員マスタ!$H$6:$H$405&gt;=$AO769))&gt;0)*(ROW(職員マスタ!$A$6:$A$405)-5)))&gt;0,SUMPRODUCT(MAX((職員マスタ!$A$6:$A$405=$B769)*(((職員マスタ!$G$6:$G$405="")+(職員マスタ!$G$6:$G$405&lt;=EOMONTH($AO769,0)))&gt;0)*(((職員マスタ!$H$6:$H$405="")+(職員マスタ!$H$6:$H$405&gt;=$AO769))&gt;0)*(ROW(職員マスタ!$A$6:$A$405)-5))),IFERROR(MATCH($B769,職員マスタ!$A$6:$A$405,0),"")))</f>
        <v/>
      </c>
      <c r="AO769" s="16">
        <f>IF(OR($B769="",$C769="",$D769=""),"",DATE($C769+2018,$D769,1))</f>
        <v/>
      </c>
    </row>
    <row r="770">
      <c r="A770" s="11" t="n"/>
      <c r="B770" s="12" t="n"/>
      <c r="C770" s="12" t="n"/>
      <c r="D770" s="12" t="n"/>
      <c r="E770" s="13" t="n"/>
      <c r="F770" s="12" t="n"/>
      <c r="G770" s="13" t="n"/>
      <c r="H770" s="12" t="n"/>
      <c r="I770" s="12" t="n"/>
      <c r="J770" s="12" t="n"/>
      <c r="K770" s="12" t="n"/>
      <c r="L770" s="11" t="n"/>
      <c r="M770" s="11" t="n"/>
      <c r="N770" s="11" t="n"/>
      <c r="O770" s="11" t="n"/>
      <c r="P770" s="12" t="n"/>
      <c r="Q770" s="11" t="n"/>
      <c r="R770" s="12" t="n"/>
      <c r="S770" s="11" t="n"/>
      <c r="T770" s="12" t="n"/>
      <c r="U770" s="12" t="n"/>
      <c r="V770" s="14">
        <f>IF($AN770="",IF($B770="","",$H770),IF(INDEX(職員マスタ!$B$6:$B$405,$AN770)="",$H770,INDEX(職員マスタ!$B$6:$B$405,$AN770)))</f>
        <v/>
      </c>
      <c r="W770" s="14">
        <f>IF($AN770="",IF($B770="","",$R770),IF(INDEX(職員マスタ!$C$6:$C$405,$AN770)="",$R770,INDEX(職員マスタ!$C$6:$C$405,$AN770)))</f>
        <v/>
      </c>
      <c r="X770" s="14">
        <f>IF($AO770="","","R"&amp;$C770&amp;"."&amp;$D770)</f>
        <v/>
      </c>
      <c r="Y770" s="15">
        <f>IF($AN770="","",IF(INDEX(職員マスタ!$K$6:$K$405,$AN770)="","",INDEX(職員マスタ!$K$6:$K$405,$AN770)))</f>
        <v/>
      </c>
      <c r="Z770" s="14">
        <f>IF(OR($E770="",$Y770=""),"",IF($E770&gt;=$Y770,"×",IF($E770&gt;=$Y770*設定!$C$5,"△","○")))</f>
        <v/>
      </c>
      <c r="AA770" s="15">
        <f>IF($Z770="","",IF($Z770="×",0,IF($Z770="○",ROUNDDOWN($E770*設定!$C$4,0),ROUNDDOWN($E770*ROUND((9*$Y770-9*$E770)/(10*$E770),4),0))))</f>
        <v/>
      </c>
      <c r="AB770" s="13" t="n"/>
      <c r="AC770" s="15">
        <f>IF($B770="","",IF($AB770&lt;&gt;"",$AB770,IF($AA770="","",IF($AA770&lt;=設定!$C$3,0,$AA770))))</f>
        <v/>
      </c>
      <c r="AD770" s="14">
        <f>IF($B770="","",IF(AND($AE770&lt;&gt;"",$AG770="",$AJ770=""),"保留中",IF($AJ770&lt;&gt;"",IF(N($AC770)&gt;0,"支給済","不支給"),IF($AC770="","要確認",IF($AC770=0,"不支給","未処理")))))</f>
        <v/>
      </c>
      <c r="AE770" s="12" t="n"/>
      <c r="AF770" s="11" t="n"/>
      <c r="AG770" s="11" t="n"/>
      <c r="AH770" s="11" t="n"/>
      <c r="AI770" s="14">
        <f>IF(AND($AD770="保留中",$AF770&lt;&gt;""),TODAY()-$AF770,"")</f>
        <v/>
      </c>
      <c r="AJ770" s="12" t="n"/>
      <c r="AK770" s="14">
        <f>IF($B770="","",IF($AO770="","対象年月が未入力／","")&amp;IF($B770="","",IF($AN770="","職員マスタに未登録の職員番号／",IF($Y770="","標準報酬月額が未登録／","")&amp;IF(AND($AO770&lt;&gt;"",OR(AND(INDEX(職員マスタ!$G$6:$G$405,$AN770)&lt;&gt;"",INDEX(職員マスタ!$G$6:$G$405,$AN770)&gt;EOMONTH($AO770,0)),AND(INDEX(職員マスタ!$H$6:$H$405,$AN770)&lt;&gt;"",INDEX(職員マスタ!$H$6:$H$405,$AN770)&lt;$AO770))),"対象月が時短期間外／","")&amp;IF(AND(INDEX(職員マスタ!$F$6:$F$405,$AN770)&lt;&gt;"",$AO770&lt;&gt;"",INDEX(職員マスタ!$F$6:$F$405,$AN770)&lt;$AO770),"対象月に子が2歳到達済／","")&amp;IF(AND($H770&lt;&gt;"",INDEX(職員マスタ!$B$6:$B$405,$AN770)&lt;&gt;"",SUBSTITUTE(SUBSTITUTE($H770," ","")," ","")&lt;&gt;SUBSTITUTE(SUBSTITUTE(INDEX(職員マスタ!$B$6:$B$405,$AN770)," ","")," ","")),"氏名がマスタと相違／","")&amp;IF(AND($Q770&lt;&gt;"",INDEX(職員マスタ!$E$6:$E$405,$AN770)&lt;&gt;"",$Q770&lt;&gt;INDEX(職員マスタ!$E$6:$E$405,$AN770)),"子の生年月日がマスタと相違／","")&amp;IF(AND($L770&lt;&gt;"",INDEX(職員マスタ!$G$6:$G$405,$AN770)&lt;&gt;"",$L770&lt;&gt;INDEX(職員マスタ!$G$6:$G$405,$AN770)),"時短開始日がマスタと相違／","")&amp;IF(AND($M770&lt;&gt;"",INDEX(職員マスタ!$H$6:$H$405,$AN770)&lt;&gt;"",$M770&lt;&gt;INDEX(職員マスタ!$H$6:$H$405,$AN770)),"時短終了日がマスタと相違／","")))&amp;IF(AND($B770&lt;&gt;"",$E770=""),"報酬額が未入力／","")&amp;IF(N($U770)&gt;0,"申請書に入力エラーが残っています／","")&amp;IF(AND($B770&lt;&gt;"",$AO770&lt;&gt;""),IF(COUNTIFS($B$6:$B$3005,$B770,$C$6:$C$3005,$C770,$D$6:$D$3005,$D770)&gt;1,"同じ月の請求が重複しています／",""),"")&amp;IF(AND(N($E770)&gt;0,$Z770&lt;&gt;"",$Z770&lt;&gt;"×",$AC770=0,$AB770=""),"計算額が下限以下のため不支給／",""))</f>
        <v/>
      </c>
      <c r="AL770" s="12" t="n"/>
      <c r="AM770" s="14">
        <f>IF($AD770="保留中",COUNTIF($AD$6:$AD770,"保留中"),"")</f>
        <v/>
      </c>
      <c r="AN770" s="14">
        <f>IF($AO770="","",IF(SUMPRODUCT(MAX((職員マスタ!$A$6:$A$405=$B770)*(((職員マスタ!$G$6:$G$405="")+(職員マスタ!$G$6:$G$405&lt;=EOMONTH($AO770,0)))&gt;0)*(((職員マスタ!$H$6:$H$405="")+(職員マスタ!$H$6:$H$405&gt;=$AO770))&gt;0)*(ROW(職員マスタ!$A$6:$A$405)-5)))&gt;0,SUMPRODUCT(MAX((職員マスタ!$A$6:$A$405=$B770)*(((職員マスタ!$G$6:$G$405="")+(職員マスタ!$G$6:$G$405&lt;=EOMONTH($AO770,0)))&gt;0)*(((職員マスタ!$H$6:$H$405="")+(職員マスタ!$H$6:$H$405&gt;=$AO770))&gt;0)*(ROW(職員マスタ!$A$6:$A$405)-5))),IFERROR(MATCH($B770,職員マスタ!$A$6:$A$405,0),"")))</f>
        <v/>
      </c>
      <c r="AO770" s="16">
        <f>IF(OR($B770="",$C770="",$D770=""),"",DATE($C770+2018,$D770,1))</f>
        <v/>
      </c>
    </row>
    <row r="771">
      <c r="A771" s="11" t="n"/>
      <c r="B771" s="12" t="n"/>
      <c r="C771" s="12" t="n"/>
      <c r="D771" s="12" t="n"/>
      <c r="E771" s="13" t="n"/>
      <c r="F771" s="12" t="n"/>
      <c r="G771" s="13" t="n"/>
      <c r="H771" s="12" t="n"/>
      <c r="I771" s="12" t="n"/>
      <c r="J771" s="12" t="n"/>
      <c r="K771" s="12" t="n"/>
      <c r="L771" s="11" t="n"/>
      <c r="M771" s="11" t="n"/>
      <c r="N771" s="11" t="n"/>
      <c r="O771" s="11" t="n"/>
      <c r="P771" s="12" t="n"/>
      <c r="Q771" s="11" t="n"/>
      <c r="R771" s="12" t="n"/>
      <c r="S771" s="11" t="n"/>
      <c r="T771" s="12" t="n"/>
      <c r="U771" s="12" t="n"/>
      <c r="V771" s="14">
        <f>IF($AN771="",IF($B771="","",$H771),IF(INDEX(職員マスタ!$B$6:$B$405,$AN771)="",$H771,INDEX(職員マスタ!$B$6:$B$405,$AN771)))</f>
        <v/>
      </c>
      <c r="W771" s="14">
        <f>IF($AN771="",IF($B771="","",$R771),IF(INDEX(職員マスタ!$C$6:$C$405,$AN771)="",$R771,INDEX(職員マスタ!$C$6:$C$405,$AN771)))</f>
        <v/>
      </c>
      <c r="X771" s="14">
        <f>IF($AO771="","","R"&amp;$C771&amp;"."&amp;$D771)</f>
        <v/>
      </c>
      <c r="Y771" s="15">
        <f>IF($AN771="","",IF(INDEX(職員マスタ!$K$6:$K$405,$AN771)="","",INDEX(職員マスタ!$K$6:$K$405,$AN771)))</f>
        <v/>
      </c>
      <c r="Z771" s="14">
        <f>IF(OR($E771="",$Y771=""),"",IF($E771&gt;=$Y771,"×",IF($E771&gt;=$Y771*設定!$C$5,"△","○")))</f>
        <v/>
      </c>
      <c r="AA771" s="15">
        <f>IF($Z771="","",IF($Z771="×",0,IF($Z771="○",ROUNDDOWN($E771*設定!$C$4,0),ROUNDDOWN($E771*ROUND((9*$Y771-9*$E771)/(10*$E771),4),0))))</f>
        <v/>
      </c>
      <c r="AB771" s="13" t="n"/>
      <c r="AC771" s="15">
        <f>IF($B771="","",IF($AB771&lt;&gt;"",$AB771,IF($AA771="","",IF($AA771&lt;=設定!$C$3,0,$AA771))))</f>
        <v/>
      </c>
      <c r="AD771" s="14">
        <f>IF($B771="","",IF(AND($AE771&lt;&gt;"",$AG771="",$AJ771=""),"保留中",IF($AJ771&lt;&gt;"",IF(N($AC771)&gt;0,"支給済","不支給"),IF($AC771="","要確認",IF($AC771=0,"不支給","未処理")))))</f>
        <v/>
      </c>
      <c r="AE771" s="12" t="n"/>
      <c r="AF771" s="11" t="n"/>
      <c r="AG771" s="11" t="n"/>
      <c r="AH771" s="11" t="n"/>
      <c r="AI771" s="14">
        <f>IF(AND($AD771="保留中",$AF771&lt;&gt;""),TODAY()-$AF771,"")</f>
        <v/>
      </c>
      <c r="AJ771" s="12" t="n"/>
      <c r="AK771" s="14">
        <f>IF($B771="","",IF($AO771="","対象年月が未入力／","")&amp;IF($B771="","",IF($AN771="","職員マスタに未登録の職員番号／",IF($Y771="","標準報酬月額が未登録／","")&amp;IF(AND($AO771&lt;&gt;"",OR(AND(INDEX(職員マスタ!$G$6:$G$405,$AN771)&lt;&gt;"",INDEX(職員マスタ!$G$6:$G$405,$AN771)&gt;EOMONTH($AO771,0)),AND(INDEX(職員マスタ!$H$6:$H$405,$AN771)&lt;&gt;"",INDEX(職員マスタ!$H$6:$H$405,$AN771)&lt;$AO771))),"対象月が時短期間外／","")&amp;IF(AND(INDEX(職員マスタ!$F$6:$F$405,$AN771)&lt;&gt;"",$AO771&lt;&gt;"",INDEX(職員マスタ!$F$6:$F$405,$AN771)&lt;$AO771),"対象月に子が2歳到達済／","")&amp;IF(AND($H771&lt;&gt;"",INDEX(職員マスタ!$B$6:$B$405,$AN771)&lt;&gt;"",SUBSTITUTE(SUBSTITUTE($H771," ","")," ","")&lt;&gt;SUBSTITUTE(SUBSTITUTE(INDEX(職員マスタ!$B$6:$B$405,$AN771)," ","")," ","")),"氏名がマスタと相違／","")&amp;IF(AND($Q771&lt;&gt;"",INDEX(職員マスタ!$E$6:$E$405,$AN771)&lt;&gt;"",$Q771&lt;&gt;INDEX(職員マスタ!$E$6:$E$405,$AN771)),"子の生年月日がマスタと相違／","")&amp;IF(AND($L771&lt;&gt;"",INDEX(職員マスタ!$G$6:$G$405,$AN771)&lt;&gt;"",$L771&lt;&gt;INDEX(職員マスタ!$G$6:$G$405,$AN771)),"時短開始日がマスタと相違／","")&amp;IF(AND($M771&lt;&gt;"",INDEX(職員マスタ!$H$6:$H$405,$AN771)&lt;&gt;"",$M771&lt;&gt;INDEX(職員マスタ!$H$6:$H$405,$AN771)),"時短終了日がマスタと相違／","")))&amp;IF(AND($B771&lt;&gt;"",$E771=""),"報酬額が未入力／","")&amp;IF(N($U771)&gt;0,"申請書に入力エラーが残っています／","")&amp;IF(AND($B771&lt;&gt;"",$AO771&lt;&gt;""),IF(COUNTIFS($B$6:$B$3005,$B771,$C$6:$C$3005,$C771,$D$6:$D$3005,$D771)&gt;1,"同じ月の請求が重複しています／",""),"")&amp;IF(AND(N($E771)&gt;0,$Z771&lt;&gt;"",$Z771&lt;&gt;"×",$AC771=0,$AB771=""),"計算額が下限以下のため不支給／",""))</f>
        <v/>
      </c>
      <c r="AL771" s="12" t="n"/>
      <c r="AM771" s="14">
        <f>IF($AD771="保留中",COUNTIF($AD$6:$AD771,"保留中"),"")</f>
        <v/>
      </c>
      <c r="AN771" s="14">
        <f>IF($AO771="","",IF(SUMPRODUCT(MAX((職員マスタ!$A$6:$A$405=$B771)*(((職員マスタ!$G$6:$G$405="")+(職員マスタ!$G$6:$G$405&lt;=EOMONTH($AO771,0)))&gt;0)*(((職員マスタ!$H$6:$H$405="")+(職員マスタ!$H$6:$H$405&gt;=$AO771))&gt;0)*(ROW(職員マスタ!$A$6:$A$405)-5)))&gt;0,SUMPRODUCT(MAX((職員マスタ!$A$6:$A$405=$B771)*(((職員マスタ!$G$6:$G$405="")+(職員マスタ!$G$6:$G$405&lt;=EOMONTH($AO771,0)))&gt;0)*(((職員マスタ!$H$6:$H$405="")+(職員マスタ!$H$6:$H$405&gt;=$AO771))&gt;0)*(ROW(職員マスタ!$A$6:$A$405)-5))),IFERROR(MATCH($B771,職員マスタ!$A$6:$A$405,0),"")))</f>
        <v/>
      </c>
      <c r="AO771" s="16">
        <f>IF(OR($B771="",$C771="",$D771=""),"",DATE($C771+2018,$D771,1))</f>
        <v/>
      </c>
    </row>
    <row r="772">
      <c r="A772" s="11" t="n"/>
      <c r="B772" s="12" t="n"/>
      <c r="C772" s="12" t="n"/>
      <c r="D772" s="12" t="n"/>
      <c r="E772" s="13" t="n"/>
      <c r="F772" s="12" t="n"/>
      <c r="G772" s="13" t="n"/>
      <c r="H772" s="12" t="n"/>
      <c r="I772" s="12" t="n"/>
      <c r="J772" s="12" t="n"/>
      <c r="K772" s="12" t="n"/>
      <c r="L772" s="11" t="n"/>
      <c r="M772" s="11" t="n"/>
      <c r="N772" s="11" t="n"/>
      <c r="O772" s="11" t="n"/>
      <c r="P772" s="12" t="n"/>
      <c r="Q772" s="11" t="n"/>
      <c r="R772" s="12" t="n"/>
      <c r="S772" s="11" t="n"/>
      <c r="T772" s="12" t="n"/>
      <c r="U772" s="12" t="n"/>
      <c r="V772" s="14">
        <f>IF($AN772="",IF($B772="","",$H772),IF(INDEX(職員マスタ!$B$6:$B$405,$AN772)="",$H772,INDEX(職員マスタ!$B$6:$B$405,$AN772)))</f>
        <v/>
      </c>
      <c r="W772" s="14">
        <f>IF($AN772="",IF($B772="","",$R772),IF(INDEX(職員マスタ!$C$6:$C$405,$AN772)="",$R772,INDEX(職員マスタ!$C$6:$C$405,$AN772)))</f>
        <v/>
      </c>
      <c r="X772" s="14">
        <f>IF($AO772="","","R"&amp;$C772&amp;"."&amp;$D772)</f>
        <v/>
      </c>
      <c r="Y772" s="15">
        <f>IF($AN772="","",IF(INDEX(職員マスタ!$K$6:$K$405,$AN772)="","",INDEX(職員マスタ!$K$6:$K$405,$AN772)))</f>
        <v/>
      </c>
      <c r="Z772" s="14">
        <f>IF(OR($E772="",$Y772=""),"",IF($E772&gt;=$Y772,"×",IF($E772&gt;=$Y772*設定!$C$5,"△","○")))</f>
        <v/>
      </c>
      <c r="AA772" s="15">
        <f>IF($Z772="","",IF($Z772="×",0,IF($Z772="○",ROUNDDOWN($E772*設定!$C$4,0),ROUNDDOWN($E772*ROUND((9*$Y772-9*$E772)/(10*$E772),4),0))))</f>
        <v/>
      </c>
      <c r="AB772" s="13" t="n"/>
      <c r="AC772" s="15">
        <f>IF($B772="","",IF($AB772&lt;&gt;"",$AB772,IF($AA772="","",IF($AA772&lt;=設定!$C$3,0,$AA772))))</f>
        <v/>
      </c>
      <c r="AD772" s="14">
        <f>IF($B772="","",IF(AND($AE772&lt;&gt;"",$AG772="",$AJ772=""),"保留中",IF($AJ772&lt;&gt;"",IF(N($AC772)&gt;0,"支給済","不支給"),IF($AC772="","要確認",IF($AC772=0,"不支給","未処理")))))</f>
        <v/>
      </c>
      <c r="AE772" s="12" t="n"/>
      <c r="AF772" s="11" t="n"/>
      <c r="AG772" s="11" t="n"/>
      <c r="AH772" s="11" t="n"/>
      <c r="AI772" s="14">
        <f>IF(AND($AD772="保留中",$AF772&lt;&gt;""),TODAY()-$AF772,"")</f>
        <v/>
      </c>
      <c r="AJ772" s="12" t="n"/>
      <c r="AK772" s="14">
        <f>IF($B772="","",IF($AO772="","対象年月が未入力／","")&amp;IF($B772="","",IF($AN772="","職員マスタに未登録の職員番号／",IF($Y772="","標準報酬月額が未登録／","")&amp;IF(AND($AO772&lt;&gt;"",OR(AND(INDEX(職員マスタ!$G$6:$G$405,$AN772)&lt;&gt;"",INDEX(職員マスタ!$G$6:$G$405,$AN772)&gt;EOMONTH($AO772,0)),AND(INDEX(職員マスタ!$H$6:$H$405,$AN772)&lt;&gt;"",INDEX(職員マスタ!$H$6:$H$405,$AN772)&lt;$AO772))),"対象月が時短期間外／","")&amp;IF(AND(INDEX(職員マスタ!$F$6:$F$405,$AN772)&lt;&gt;"",$AO772&lt;&gt;"",INDEX(職員マスタ!$F$6:$F$405,$AN772)&lt;$AO772),"対象月に子が2歳到達済／","")&amp;IF(AND($H772&lt;&gt;"",INDEX(職員マスタ!$B$6:$B$405,$AN772)&lt;&gt;"",SUBSTITUTE(SUBSTITUTE($H772," ","")," ","")&lt;&gt;SUBSTITUTE(SUBSTITUTE(INDEX(職員マスタ!$B$6:$B$405,$AN772)," ","")," ","")),"氏名がマスタと相違／","")&amp;IF(AND($Q772&lt;&gt;"",INDEX(職員マスタ!$E$6:$E$405,$AN772)&lt;&gt;"",$Q772&lt;&gt;INDEX(職員マスタ!$E$6:$E$405,$AN772)),"子の生年月日がマスタと相違／","")&amp;IF(AND($L772&lt;&gt;"",INDEX(職員マスタ!$G$6:$G$405,$AN772)&lt;&gt;"",$L772&lt;&gt;INDEX(職員マスタ!$G$6:$G$405,$AN772)),"時短開始日がマスタと相違／","")&amp;IF(AND($M772&lt;&gt;"",INDEX(職員マスタ!$H$6:$H$405,$AN772)&lt;&gt;"",$M772&lt;&gt;INDEX(職員マスタ!$H$6:$H$405,$AN772)),"時短終了日がマスタと相違／","")))&amp;IF(AND($B772&lt;&gt;"",$E772=""),"報酬額が未入力／","")&amp;IF(N($U772)&gt;0,"申請書に入力エラーが残っています／","")&amp;IF(AND($B772&lt;&gt;"",$AO772&lt;&gt;""),IF(COUNTIFS($B$6:$B$3005,$B772,$C$6:$C$3005,$C772,$D$6:$D$3005,$D772)&gt;1,"同じ月の請求が重複しています／",""),"")&amp;IF(AND(N($E772)&gt;0,$Z772&lt;&gt;"",$Z772&lt;&gt;"×",$AC772=0,$AB772=""),"計算額が下限以下のため不支給／",""))</f>
        <v/>
      </c>
      <c r="AL772" s="12" t="n"/>
      <c r="AM772" s="14">
        <f>IF($AD772="保留中",COUNTIF($AD$6:$AD772,"保留中"),"")</f>
        <v/>
      </c>
      <c r="AN772" s="14">
        <f>IF($AO772="","",IF(SUMPRODUCT(MAX((職員マスタ!$A$6:$A$405=$B772)*(((職員マスタ!$G$6:$G$405="")+(職員マスタ!$G$6:$G$405&lt;=EOMONTH($AO772,0)))&gt;0)*(((職員マスタ!$H$6:$H$405="")+(職員マスタ!$H$6:$H$405&gt;=$AO772))&gt;0)*(ROW(職員マスタ!$A$6:$A$405)-5)))&gt;0,SUMPRODUCT(MAX((職員マスタ!$A$6:$A$405=$B772)*(((職員マスタ!$G$6:$G$405="")+(職員マスタ!$G$6:$G$405&lt;=EOMONTH($AO772,0)))&gt;0)*(((職員マスタ!$H$6:$H$405="")+(職員マスタ!$H$6:$H$405&gt;=$AO772))&gt;0)*(ROW(職員マスタ!$A$6:$A$405)-5))),IFERROR(MATCH($B772,職員マスタ!$A$6:$A$405,0),"")))</f>
        <v/>
      </c>
      <c r="AO772" s="16">
        <f>IF(OR($B772="",$C772="",$D772=""),"",DATE($C772+2018,$D772,1))</f>
        <v/>
      </c>
    </row>
    <row r="773">
      <c r="A773" s="11" t="n"/>
      <c r="B773" s="12" t="n"/>
      <c r="C773" s="12" t="n"/>
      <c r="D773" s="12" t="n"/>
      <c r="E773" s="13" t="n"/>
      <c r="F773" s="12" t="n"/>
      <c r="G773" s="13" t="n"/>
      <c r="H773" s="12" t="n"/>
      <c r="I773" s="12" t="n"/>
      <c r="J773" s="12" t="n"/>
      <c r="K773" s="12" t="n"/>
      <c r="L773" s="11" t="n"/>
      <c r="M773" s="11" t="n"/>
      <c r="N773" s="11" t="n"/>
      <c r="O773" s="11" t="n"/>
      <c r="P773" s="12" t="n"/>
      <c r="Q773" s="11" t="n"/>
      <c r="R773" s="12" t="n"/>
      <c r="S773" s="11" t="n"/>
      <c r="T773" s="12" t="n"/>
      <c r="U773" s="12" t="n"/>
      <c r="V773" s="14">
        <f>IF($AN773="",IF($B773="","",$H773),IF(INDEX(職員マスタ!$B$6:$B$405,$AN773)="",$H773,INDEX(職員マスタ!$B$6:$B$405,$AN773)))</f>
        <v/>
      </c>
      <c r="W773" s="14">
        <f>IF($AN773="",IF($B773="","",$R773),IF(INDEX(職員マスタ!$C$6:$C$405,$AN773)="",$R773,INDEX(職員マスタ!$C$6:$C$405,$AN773)))</f>
        <v/>
      </c>
      <c r="X773" s="14">
        <f>IF($AO773="","","R"&amp;$C773&amp;"."&amp;$D773)</f>
        <v/>
      </c>
      <c r="Y773" s="15">
        <f>IF($AN773="","",IF(INDEX(職員マスタ!$K$6:$K$405,$AN773)="","",INDEX(職員マスタ!$K$6:$K$405,$AN773)))</f>
        <v/>
      </c>
      <c r="Z773" s="14">
        <f>IF(OR($E773="",$Y773=""),"",IF($E773&gt;=$Y773,"×",IF($E773&gt;=$Y773*設定!$C$5,"△","○")))</f>
        <v/>
      </c>
      <c r="AA773" s="15">
        <f>IF($Z773="","",IF($Z773="×",0,IF($Z773="○",ROUNDDOWN($E773*設定!$C$4,0),ROUNDDOWN($E773*ROUND((9*$Y773-9*$E773)/(10*$E773),4),0))))</f>
        <v/>
      </c>
      <c r="AB773" s="13" t="n"/>
      <c r="AC773" s="15">
        <f>IF($B773="","",IF($AB773&lt;&gt;"",$AB773,IF($AA773="","",IF($AA773&lt;=設定!$C$3,0,$AA773))))</f>
        <v/>
      </c>
      <c r="AD773" s="14">
        <f>IF($B773="","",IF(AND($AE773&lt;&gt;"",$AG773="",$AJ773=""),"保留中",IF($AJ773&lt;&gt;"",IF(N($AC773)&gt;0,"支給済","不支給"),IF($AC773="","要確認",IF($AC773=0,"不支給","未処理")))))</f>
        <v/>
      </c>
      <c r="AE773" s="12" t="n"/>
      <c r="AF773" s="11" t="n"/>
      <c r="AG773" s="11" t="n"/>
      <c r="AH773" s="11" t="n"/>
      <c r="AI773" s="14">
        <f>IF(AND($AD773="保留中",$AF773&lt;&gt;""),TODAY()-$AF773,"")</f>
        <v/>
      </c>
      <c r="AJ773" s="12" t="n"/>
      <c r="AK773" s="14">
        <f>IF($B773="","",IF($AO773="","対象年月が未入力／","")&amp;IF($B773="","",IF($AN773="","職員マスタに未登録の職員番号／",IF($Y773="","標準報酬月額が未登録／","")&amp;IF(AND($AO773&lt;&gt;"",OR(AND(INDEX(職員マスタ!$G$6:$G$405,$AN773)&lt;&gt;"",INDEX(職員マスタ!$G$6:$G$405,$AN773)&gt;EOMONTH($AO773,0)),AND(INDEX(職員マスタ!$H$6:$H$405,$AN773)&lt;&gt;"",INDEX(職員マスタ!$H$6:$H$405,$AN773)&lt;$AO773))),"対象月が時短期間外／","")&amp;IF(AND(INDEX(職員マスタ!$F$6:$F$405,$AN773)&lt;&gt;"",$AO773&lt;&gt;"",INDEX(職員マスタ!$F$6:$F$405,$AN773)&lt;$AO773),"対象月に子が2歳到達済／","")&amp;IF(AND($H773&lt;&gt;"",INDEX(職員マスタ!$B$6:$B$405,$AN773)&lt;&gt;"",SUBSTITUTE(SUBSTITUTE($H773," ","")," ","")&lt;&gt;SUBSTITUTE(SUBSTITUTE(INDEX(職員マスタ!$B$6:$B$405,$AN773)," ","")," ","")),"氏名がマスタと相違／","")&amp;IF(AND($Q773&lt;&gt;"",INDEX(職員マスタ!$E$6:$E$405,$AN773)&lt;&gt;"",$Q773&lt;&gt;INDEX(職員マスタ!$E$6:$E$405,$AN773)),"子の生年月日がマスタと相違／","")&amp;IF(AND($L773&lt;&gt;"",INDEX(職員マスタ!$G$6:$G$405,$AN773)&lt;&gt;"",$L773&lt;&gt;INDEX(職員マスタ!$G$6:$G$405,$AN773)),"時短開始日がマスタと相違／","")&amp;IF(AND($M773&lt;&gt;"",INDEX(職員マスタ!$H$6:$H$405,$AN773)&lt;&gt;"",$M773&lt;&gt;INDEX(職員マスタ!$H$6:$H$405,$AN773)),"時短終了日がマスタと相違／","")))&amp;IF(AND($B773&lt;&gt;"",$E773=""),"報酬額が未入力／","")&amp;IF(N($U773)&gt;0,"申請書に入力エラーが残っています／","")&amp;IF(AND($B773&lt;&gt;"",$AO773&lt;&gt;""),IF(COUNTIFS($B$6:$B$3005,$B773,$C$6:$C$3005,$C773,$D$6:$D$3005,$D773)&gt;1,"同じ月の請求が重複しています／",""),"")&amp;IF(AND(N($E773)&gt;0,$Z773&lt;&gt;"",$Z773&lt;&gt;"×",$AC773=0,$AB773=""),"計算額が下限以下のため不支給／",""))</f>
        <v/>
      </c>
      <c r="AL773" s="12" t="n"/>
      <c r="AM773" s="14">
        <f>IF($AD773="保留中",COUNTIF($AD$6:$AD773,"保留中"),"")</f>
        <v/>
      </c>
      <c r="AN773" s="14">
        <f>IF($AO773="","",IF(SUMPRODUCT(MAX((職員マスタ!$A$6:$A$405=$B773)*(((職員マスタ!$G$6:$G$405="")+(職員マスタ!$G$6:$G$405&lt;=EOMONTH($AO773,0)))&gt;0)*(((職員マスタ!$H$6:$H$405="")+(職員マスタ!$H$6:$H$405&gt;=$AO773))&gt;0)*(ROW(職員マスタ!$A$6:$A$405)-5)))&gt;0,SUMPRODUCT(MAX((職員マスタ!$A$6:$A$405=$B773)*(((職員マスタ!$G$6:$G$405="")+(職員マスタ!$G$6:$G$405&lt;=EOMONTH($AO773,0)))&gt;0)*(((職員マスタ!$H$6:$H$405="")+(職員マスタ!$H$6:$H$405&gt;=$AO773))&gt;0)*(ROW(職員マスタ!$A$6:$A$405)-5))),IFERROR(MATCH($B773,職員マスタ!$A$6:$A$405,0),"")))</f>
        <v/>
      </c>
      <c r="AO773" s="16">
        <f>IF(OR($B773="",$C773="",$D773=""),"",DATE($C773+2018,$D773,1))</f>
        <v/>
      </c>
    </row>
    <row r="774">
      <c r="A774" s="11" t="n"/>
      <c r="B774" s="12" t="n"/>
      <c r="C774" s="12" t="n"/>
      <c r="D774" s="12" t="n"/>
      <c r="E774" s="13" t="n"/>
      <c r="F774" s="12" t="n"/>
      <c r="G774" s="13" t="n"/>
      <c r="H774" s="12" t="n"/>
      <c r="I774" s="12" t="n"/>
      <c r="J774" s="12" t="n"/>
      <c r="K774" s="12" t="n"/>
      <c r="L774" s="11" t="n"/>
      <c r="M774" s="11" t="n"/>
      <c r="N774" s="11" t="n"/>
      <c r="O774" s="11" t="n"/>
      <c r="P774" s="12" t="n"/>
      <c r="Q774" s="11" t="n"/>
      <c r="R774" s="12" t="n"/>
      <c r="S774" s="11" t="n"/>
      <c r="T774" s="12" t="n"/>
      <c r="U774" s="12" t="n"/>
      <c r="V774" s="14">
        <f>IF($AN774="",IF($B774="","",$H774),IF(INDEX(職員マスタ!$B$6:$B$405,$AN774)="",$H774,INDEX(職員マスタ!$B$6:$B$405,$AN774)))</f>
        <v/>
      </c>
      <c r="W774" s="14">
        <f>IF($AN774="",IF($B774="","",$R774),IF(INDEX(職員マスタ!$C$6:$C$405,$AN774)="",$R774,INDEX(職員マスタ!$C$6:$C$405,$AN774)))</f>
        <v/>
      </c>
      <c r="X774" s="14">
        <f>IF($AO774="","","R"&amp;$C774&amp;"."&amp;$D774)</f>
        <v/>
      </c>
      <c r="Y774" s="15">
        <f>IF($AN774="","",IF(INDEX(職員マスタ!$K$6:$K$405,$AN774)="","",INDEX(職員マスタ!$K$6:$K$405,$AN774)))</f>
        <v/>
      </c>
      <c r="Z774" s="14">
        <f>IF(OR($E774="",$Y774=""),"",IF($E774&gt;=$Y774,"×",IF($E774&gt;=$Y774*設定!$C$5,"△","○")))</f>
        <v/>
      </c>
      <c r="AA774" s="15">
        <f>IF($Z774="","",IF($Z774="×",0,IF($Z774="○",ROUNDDOWN($E774*設定!$C$4,0),ROUNDDOWN($E774*ROUND((9*$Y774-9*$E774)/(10*$E774),4),0))))</f>
        <v/>
      </c>
      <c r="AB774" s="13" t="n"/>
      <c r="AC774" s="15">
        <f>IF($B774="","",IF($AB774&lt;&gt;"",$AB774,IF($AA774="","",IF($AA774&lt;=設定!$C$3,0,$AA774))))</f>
        <v/>
      </c>
      <c r="AD774" s="14">
        <f>IF($B774="","",IF(AND($AE774&lt;&gt;"",$AG774="",$AJ774=""),"保留中",IF($AJ774&lt;&gt;"",IF(N($AC774)&gt;0,"支給済","不支給"),IF($AC774="","要確認",IF($AC774=0,"不支給","未処理")))))</f>
        <v/>
      </c>
      <c r="AE774" s="12" t="n"/>
      <c r="AF774" s="11" t="n"/>
      <c r="AG774" s="11" t="n"/>
      <c r="AH774" s="11" t="n"/>
      <c r="AI774" s="14">
        <f>IF(AND($AD774="保留中",$AF774&lt;&gt;""),TODAY()-$AF774,"")</f>
        <v/>
      </c>
      <c r="AJ774" s="12" t="n"/>
      <c r="AK774" s="14">
        <f>IF($B774="","",IF($AO774="","対象年月が未入力／","")&amp;IF($B774="","",IF($AN774="","職員マスタに未登録の職員番号／",IF($Y774="","標準報酬月額が未登録／","")&amp;IF(AND($AO774&lt;&gt;"",OR(AND(INDEX(職員マスタ!$G$6:$G$405,$AN774)&lt;&gt;"",INDEX(職員マスタ!$G$6:$G$405,$AN774)&gt;EOMONTH($AO774,0)),AND(INDEX(職員マスタ!$H$6:$H$405,$AN774)&lt;&gt;"",INDEX(職員マスタ!$H$6:$H$405,$AN774)&lt;$AO774))),"対象月が時短期間外／","")&amp;IF(AND(INDEX(職員マスタ!$F$6:$F$405,$AN774)&lt;&gt;"",$AO774&lt;&gt;"",INDEX(職員マスタ!$F$6:$F$405,$AN774)&lt;$AO774),"対象月に子が2歳到達済／","")&amp;IF(AND($H774&lt;&gt;"",INDEX(職員マスタ!$B$6:$B$405,$AN774)&lt;&gt;"",SUBSTITUTE(SUBSTITUTE($H774," ","")," ","")&lt;&gt;SUBSTITUTE(SUBSTITUTE(INDEX(職員マスタ!$B$6:$B$405,$AN774)," ","")," ","")),"氏名がマスタと相違／","")&amp;IF(AND($Q774&lt;&gt;"",INDEX(職員マスタ!$E$6:$E$405,$AN774)&lt;&gt;"",$Q774&lt;&gt;INDEX(職員マスタ!$E$6:$E$405,$AN774)),"子の生年月日がマスタと相違／","")&amp;IF(AND($L774&lt;&gt;"",INDEX(職員マスタ!$G$6:$G$405,$AN774)&lt;&gt;"",$L774&lt;&gt;INDEX(職員マスタ!$G$6:$G$405,$AN774)),"時短開始日がマスタと相違／","")&amp;IF(AND($M774&lt;&gt;"",INDEX(職員マスタ!$H$6:$H$405,$AN774)&lt;&gt;"",$M774&lt;&gt;INDEX(職員マスタ!$H$6:$H$405,$AN774)),"時短終了日がマスタと相違／","")))&amp;IF(AND($B774&lt;&gt;"",$E774=""),"報酬額が未入力／","")&amp;IF(N($U774)&gt;0,"申請書に入力エラーが残っています／","")&amp;IF(AND($B774&lt;&gt;"",$AO774&lt;&gt;""),IF(COUNTIFS($B$6:$B$3005,$B774,$C$6:$C$3005,$C774,$D$6:$D$3005,$D774)&gt;1,"同じ月の請求が重複しています／",""),"")&amp;IF(AND(N($E774)&gt;0,$Z774&lt;&gt;"",$Z774&lt;&gt;"×",$AC774=0,$AB774=""),"計算額が下限以下のため不支給／",""))</f>
        <v/>
      </c>
      <c r="AL774" s="12" t="n"/>
      <c r="AM774" s="14">
        <f>IF($AD774="保留中",COUNTIF($AD$6:$AD774,"保留中"),"")</f>
        <v/>
      </c>
      <c r="AN774" s="14">
        <f>IF($AO774="","",IF(SUMPRODUCT(MAX((職員マスタ!$A$6:$A$405=$B774)*(((職員マスタ!$G$6:$G$405="")+(職員マスタ!$G$6:$G$405&lt;=EOMONTH($AO774,0)))&gt;0)*(((職員マスタ!$H$6:$H$405="")+(職員マスタ!$H$6:$H$405&gt;=$AO774))&gt;0)*(ROW(職員マスタ!$A$6:$A$405)-5)))&gt;0,SUMPRODUCT(MAX((職員マスタ!$A$6:$A$405=$B774)*(((職員マスタ!$G$6:$G$405="")+(職員マスタ!$G$6:$G$405&lt;=EOMONTH($AO774,0)))&gt;0)*(((職員マスタ!$H$6:$H$405="")+(職員マスタ!$H$6:$H$405&gt;=$AO774))&gt;0)*(ROW(職員マスタ!$A$6:$A$405)-5))),IFERROR(MATCH($B774,職員マスタ!$A$6:$A$405,0),"")))</f>
        <v/>
      </c>
      <c r="AO774" s="16">
        <f>IF(OR($B774="",$C774="",$D774=""),"",DATE($C774+2018,$D774,1))</f>
        <v/>
      </c>
    </row>
    <row r="775">
      <c r="A775" s="11" t="n"/>
      <c r="B775" s="12" t="n"/>
      <c r="C775" s="12" t="n"/>
      <c r="D775" s="12" t="n"/>
      <c r="E775" s="13" t="n"/>
      <c r="F775" s="12" t="n"/>
      <c r="G775" s="13" t="n"/>
      <c r="H775" s="12" t="n"/>
      <c r="I775" s="12" t="n"/>
      <c r="J775" s="12" t="n"/>
      <c r="K775" s="12" t="n"/>
      <c r="L775" s="11" t="n"/>
      <c r="M775" s="11" t="n"/>
      <c r="N775" s="11" t="n"/>
      <c r="O775" s="11" t="n"/>
      <c r="P775" s="12" t="n"/>
      <c r="Q775" s="11" t="n"/>
      <c r="R775" s="12" t="n"/>
      <c r="S775" s="11" t="n"/>
      <c r="T775" s="12" t="n"/>
      <c r="U775" s="12" t="n"/>
      <c r="V775" s="14">
        <f>IF($AN775="",IF($B775="","",$H775),IF(INDEX(職員マスタ!$B$6:$B$405,$AN775)="",$H775,INDEX(職員マスタ!$B$6:$B$405,$AN775)))</f>
        <v/>
      </c>
      <c r="W775" s="14">
        <f>IF($AN775="",IF($B775="","",$R775),IF(INDEX(職員マスタ!$C$6:$C$405,$AN775)="",$R775,INDEX(職員マスタ!$C$6:$C$405,$AN775)))</f>
        <v/>
      </c>
      <c r="X775" s="14">
        <f>IF($AO775="","","R"&amp;$C775&amp;"."&amp;$D775)</f>
        <v/>
      </c>
      <c r="Y775" s="15">
        <f>IF($AN775="","",IF(INDEX(職員マスタ!$K$6:$K$405,$AN775)="","",INDEX(職員マスタ!$K$6:$K$405,$AN775)))</f>
        <v/>
      </c>
      <c r="Z775" s="14">
        <f>IF(OR($E775="",$Y775=""),"",IF($E775&gt;=$Y775,"×",IF($E775&gt;=$Y775*設定!$C$5,"△","○")))</f>
        <v/>
      </c>
      <c r="AA775" s="15">
        <f>IF($Z775="","",IF($Z775="×",0,IF($Z775="○",ROUNDDOWN($E775*設定!$C$4,0),ROUNDDOWN($E775*ROUND((9*$Y775-9*$E775)/(10*$E775),4),0))))</f>
        <v/>
      </c>
      <c r="AB775" s="13" t="n"/>
      <c r="AC775" s="15">
        <f>IF($B775="","",IF($AB775&lt;&gt;"",$AB775,IF($AA775="","",IF($AA775&lt;=設定!$C$3,0,$AA775))))</f>
        <v/>
      </c>
      <c r="AD775" s="14">
        <f>IF($B775="","",IF(AND($AE775&lt;&gt;"",$AG775="",$AJ775=""),"保留中",IF($AJ775&lt;&gt;"",IF(N($AC775)&gt;0,"支給済","不支給"),IF($AC775="","要確認",IF($AC775=0,"不支給","未処理")))))</f>
        <v/>
      </c>
      <c r="AE775" s="12" t="n"/>
      <c r="AF775" s="11" t="n"/>
      <c r="AG775" s="11" t="n"/>
      <c r="AH775" s="11" t="n"/>
      <c r="AI775" s="14">
        <f>IF(AND($AD775="保留中",$AF775&lt;&gt;""),TODAY()-$AF775,"")</f>
        <v/>
      </c>
      <c r="AJ775" s="12" t="n"/>
      <c r="AK775" s="14">
        <f>IF($B775="","",IF($AO775="","対象年月が未入力／","")&amp;IF($B775="","",IF($AN775="","職員マスタに未登録の職員番号／",IF($Y775="","標準報酬月額が未登録／","")&amp;IF(AND($AO775&lt;&gt;"",OR(AND(INDEX(職員マスタ!$G$6:$G$405,$AN775)&lt;&gt;"",INDEX(職員マスタ!$G$6:$G$405,$AN775)&gt;EOMONTH($AO775,0)),AND(INDEX(職員マスタ!$H$6:$H$405,$AN775)&lt;&gt;"",INDEX(職員マスタ!$H$6:$H$405,$AN775)&lt;$AO775))),"対象月が時短期間外／","")&amp;IF(AND(INDEX(職員マスタ!$F$6:$F$405,$AN775)&lt;&gt;"",$AO775&lt;&gt;"",INDEX(職員マスタ!$F$6:$F$405,$AN775)&lt;$AO775),"対象月に子が2歳到達済／","")&amp;IF(AND($H775&lt;&gt;"",INDEX(職員マスタ!$B$6:$B$405,$AN775)&lt;&gt;"",SUBSTITUTE(SUBSTITUTE($H775," ","")," ","")&lt;&gt;SUBSTITUTE(SUBSTITUTE(INDEX(職員マスタ!$B$6:$B$405,$AN775)," ","")," ","")),"氏名がマスタと相違／","")&amp;IF(AND($Q775&lt;&gt;"",INDEX(職員マスタ!$E$6:$E$405,$AN775)&lt;&gt;"",$Q775&lt;&gt;INDEX(職員マスタ!$E$6:$E$405,$AN775)),"子の生年月日がマスタと相違／","")&amp;IF(AND($L775&lt;&gt;"",INDEX(職員マスタ!$G$6:$G$405,$AN775)&lt;&gt;"",$L775&lt;&gt;INDEX(職員マスタ!$G$6:$G$405,$AN775)),"時短開始日がマスタと相違／","")&amp;IF(AND($M775&lt;&gt;"",INDEX(職員マスタ!$H$6:$H$405,$AN775)&lt;&gt;"",$M775&lt;&gt;INDEX(職員マスタ!$H$6:$H$405,$AN775)),"時短終了日がマスタと相違／","")))&amp;IF(AND($B775&lt;&gt;"",$E775=""),"報酬額が未入力／","")&amp;IF(N($U775)&gt;0,"申請書に入力エラーが残っています／","")&amp;IF(AND($B775&lt;&gt;"",$AO775&lt;&gt;""),IF(COUNTIFS($B$6:$B$3005,$B775,$C$6:$C$3005,$C775,$D$6:$D$3005,$D775)&gt;1,"同じ月の請求が重複しています／",""),"")&amp;IF(AND(N($E775)&gt;0,$Z775&lt;&gt;"",$Z775&lt;&gt;"×",$AC775=0,$AB775=""),"計算額が下限以下のため不支給／",""))</f>
        <v/>
      </c>
      <c r="AL775" s="12" t="n"/>
      <c r="AM775" s="14">
        <f>IF($AD775="保留中",COUNTIF($AD$6:$AD775,"保留中"),"")</f>
        <v/>
      </c>
      <c r="AN775" s="14">
        <f>IF($AO775="","",IF(SUMPRODUCT(MAX((職員マスタ!$A$6:$A$405=$B775)*(((職員マスタ!$G$6:$G$405="")+(職員マスタ!$G$6:$G$405&lt;=EOMONTH($AO775,0)))&gt;0)*(((職員マスタ!$H$6:$H$405="")+(職員マスタ!$H$6:$H$405&gt;=$AO775))&gt;0)*(ROW(職員マスタ!$A$6:$A$405)-5)))&gt;0,SUMPRODUCT(MAX((職員マスタ!$A$6:$A$405=$B775)*(((職員マスタ!$G$6:$G$405="")+(職員マスタ!$G$6:$G$405&lt;=EOMONTH($AO775,0)))&gt;0)*(((職員マスタ!$H$6:$H$405="")+(職員マスタ!$H$6:$H$405&gt;=$AO775))&gt;0)*(ROW(職員マスタ!$A$6:$A$405)-5))),IFERROR(MATCH($B775,職員マスタ!$A$6:$A$405,0),"")))</f>
        <v/>
      </c>
      <c r="AO775" s="16">
        <f>IF(OR($B775="",$C775="",$D775=""),"",DATE($C775+2018,$D775,1))</f>
        <v/>
      </c>
    </row>
    <row r="776">
      <c r="A776" s="11" t="n"/>
      <c r="B776" s="12" t="n"/>
      <c r="C776" s="12" t="n"/>
      <c r="D776" s="12" t="n"/>
      <c r="E776" s="13" t="n"/>
      <c r="F776" s="12" t="n"/>
      <c r="G776" s="13" t="n"/>
      <c r="H776" s="12" t="n"/>
      <c r="I776" s="12" t="n"/>
      <c r="J776" s="12" t="n"/>
      <c r="K776" s="12" t="n"/>
      <c r="L776" s="11" t="n"/>
      <c r="M776" s="11" t="n"/>
      <c r="N776" s="11" t="n"/>
      <c r="O776" s="11" t="n"/>
      <c r="P776" s="12" t="n"/>
      <c r="Q776" s="11" t="n"/>
      <c r="R776" s="12" t="n"/>
      <c r="S776" s="11" t="n"/>
      <c r="T776" s="12" t="n"/>
      <c r="U776" s="12" t="n"/>
      <c r="V776" s="14">
        <f>IF($AN776="",IF($B776="","",$H776),IF(INDEX(職員マスタ!$B$6:$B$405,$AN776)="",$H776,INDEX(職員マスタ!$B$6:$B$405,$AN776)))</f>
        <v/>
      </c>
      <c r="W776" s="14">
        <f>IF($AN776="",IF($B776="","",$R776),IF(INDEX(職員マスタ!$C$6:$C$405,$AN776)="",$R776,INDEX(職員マスタ!$C$6:$C$405,$AN776)))</f>
        <v/>
      </c>
      <c r="X776" s="14">
        <f>IF($AO776="","","R"&amp;$C776&amp;"."&amp;$D776)</f>
        <v/>
      </c>
      <c r="Y776" s="15">
        <f>IF($AN776="","",IF(INDEX(職員マスタ!$K$6:$K$405,$AN776)="","",INDEX(職員マスタ!$K$6:$K$405,$AN776)))</f>
        <v/>
      </c>
      <c r="Z776" s="14">
        <f>IF(OR($E776="",$Y776=""),"",IF($E776&gt;=$Y776,"×",IF($E776&gt;=$Y776*設定!$C$5,"△","○")))</f>
        <v/>
      </c>
      <c r="AA776" s="15">
        <f>IF($Z776="","",IF($Z776="×",0,IF($Z776="○",ROUNDDOWN($E776*設定!$C$4,0),ROUNDDOWN($E776*ROUND((9*$Y776-9*$E776)/(10*$E776),4),0))))</f>
        <v/>
      </c>
      <c r="AB776" s="13" t="n"/>
      <c r="AC776" s="15">
        <f>IF($B776="","",IF($AB776&lt;&gt;"",$AB776,IF($AA776="","",IF($AA776&lt;=設定!$C$3,0,$AA776))))</f>
        <v/>
      </c>
      <c r="AD776" s="14">
        <f>IF($B776="","",IF(AND($AE776&lt;&gt;"",$AG776="",$AJ776=""),"保留中",IF($AJ776&lt;&gt;"",IF(N($AC776)&gt;0,"支給済","不支給"),IF($AC776="","要確認",IF($AC776=0,"不支給","未処理")))))</f>
        <v/>
      </c>
      <c r="AE776" s="12" t="n"/>
      <c r="AF776" s="11" t="n"/>
      <c r="AG776" s="11" t="n"/>
      <c r="AH776" s="11" t="n"/>
      <c r="AI776" s="14">
        <f>IF(AND($AD776="保留中",$AF776&lt;&gt;""),TODAY()-$AF776,"")</f>
        <v/>
      </c>
      <c r="AJ776" s="12" t="n"/>
      <c r="AK776" s="14">
        <f>IF($B776="","",IF($AO776="","対象年月が未入力／","")&amp;IF($B776="","",IF($AN776="","職員マスタに未登録の職員番号／",IF($Y776="","標準報酬月額が未登録／","")&amp;IF(AND($AO776&lt;&gt;"",OR(AND(INDEX(職員マスタ!$G$6:$G$405,$AN776)&lt;&gt;"",INDEX(職員マスタ!$G$6:$G$405,$AN776)&gt;EOMONTH($AO776,0)),AND(INDEX(職員マスタ!$H$6:$H$405,$AN776)&lt;&gt;"",INDEX(職員マスタ!$H$6:$H$405,$AN776)&lt;$AO776))),"対象月が時短期間外／","")&amp;IF(AND(INDEX(職員マスタ!$F$6:$F$405,$AN776)&lt;&gt;"",$AO776&lt;&gt;"",INDEX(職員マスタ!$F$6:$F$405,$AN776)&lt;$AO776),"対象月に子が2歳到達済／","")&amp;IF(AND($H776&lt;&gt;"",INDEX(職員マスタ!$B$6:$B$405,$AN776)&lt;&gt;"",SUBSTITUTE(SUBSTITUTE($H776," ","")," ","")&lt;&gt;SUBSTITUTE(SUBSTITUTE(INDEX(職員マスタ!$B$6:$B$405,$AN776)," ","")," ","")),"氏名がマスタと相違／","")&amp;IF(AND($Q776&lt;&gt;"",INDEX(職員マスタ!$E$6:$E$405,$AN776)&lt;&gt;"",$Q776&lt;&gt;INDEX(職員マスタ!$E$6:$E$405,$AN776)),"子の生年月日がマスタと相違／","")&amp;IF(AND($L776&lt;&gt;"",INDEX(職員マスタ!$G$6:$G$405,$AN776)&lt;&gt;"",$L776&lt;&gt;INDEX(職員マスタ!$G$6:$G$405,$AN776)),"時短開始日がマスタと相違／","")&amp;IF(AND($M776&lt;&gt;"",INDEX(職員マスタ!$H$6:$H$405,$AN776)&lt;&gt;"",$M776&lt;&gt;INDEX(職員マスタ!$H$6:$H$405,$AN776)),"時短終了日がマスタと相違／","")))&amp;IF(AND($B776&lt;&gt;"",$E776=""),"報酬額が未入力／","")&amp;IF(N($U776)&gt;0,"申請書に入力エラーが残っています／","")&amp;IF(AND($B776&lt;&gt;"",$AO776&lt;&gt;""),IF(COUNTIFS($B$6:$B$3005,$B776,$C$6:$C$3005,$C776,$D$6:$D$3005,$D776)&gt;1,"同じ月の請求が重複しています／",""),"")&amp;IF(AND(N($E776)&gt;0,$Z776&lt;&gt;"",$Z776&lt;&gt;"×",$AC776=0,$AB776=""),"計算額が下限以下のため不支給／",""))</f>
        <v/>
      </c>
      <c r="AL776" s="12" t="n"/>
      <c r="AM776" s="14">
        <f>IF($AD776="保留中",COUNTIF($AD$6:$AD776,"保留中"),"")</f>
        <v/>
      </c>
      <c r="AN776" s="14">
        <f>IF($AO776="","",IF(SUMPRODUCT(MAX((職員マスタ!$A$6:$A$405=$B776)*(((職員マスタ!$G$6:$G$405="")+(職員マスタ!$G$6:$G$405&lt;=EOMONTH($AO776,0)))&gt;0)*(((職員マスタ!$H$6:$H$405="")+(職員マスタ!$H$6:$H$405&gt;=$AO776))&gt;0)*(ROW(職員マスタ!$A$6:$A$405)-5)))&gt;0,SUMPRODUCT(MAX((職員マスタ!$A$6:$A$405=$B776)*(((職員マスタ!$G$6:$G$405="")+(職員マスタ!$G$6:$G$405&lt;=EOMONTH($AO776,0)))&gt;0)*(((職員マスタ!$H$6:$H$405="")+(職員マスタ!$H$6:$H$405&gt;=$AO776))&gt;0)*(ROW(職員マスタ!$A$6:$A$405)-5))),IFERROR(MATCH($B776,職員マスタ!$A$6:$A$405,0),"")))</f>
        <v/>
      </c>
      <c r="AO776" s="16">
        <f>IF(OR($B776="",$C776="",$D776=""),"",DATE($C776+2018,$D776,1))</f>
        <v/>
      </c>
    </row>
    <row r="777">
      <c r="A777" s="11" t="n"/>
      <c r="B777" s="12" t="n"/>
      <c r="C777" s="12" t="n"/>
      <c r="D777" s="12" t="n"/>
      <c r="E777" s="13" t="n"/>
      <c r="F777" s="12" t="n"/>
      <c r="G777" s="13" t="n"/>
      <c r="H777" s="12" t="n"/>
      <c r="I777" s="12" t="n"/>
      <c r="J777" s="12" t="n"/>
      <c r="K777" s="12" t="n"/>
      <c r="L777" s="11" t="n"/>
      <c r="M777" s="11" t="n"/>
      <c r="N777" s="11" t="n"/>
      <c r="O777" s="11" t="n"/>
      <c r="P777" s="12" t="n"/>
      <c r="Q777" s="11" t="n"/>
      <c r="R777" s="12" t="n"/>
      <c r="S777" s="11" t="n"/>
      <c r="T777" s="12" t="n"/>
      <c r="U777" s="12" t="n"/>
      <c r="V777" s="14">
        <f>IF($AN777="",IF($B777="","",$H777),IF(INDEX(職員マスタ!$B$6:$B$405,$AN777)="",$H777,INDEX(職員マスタ!$B$6:$B$405,$AN777)))</f>
        <v/>
      </c>
      <c r="W777" s="14">
        <f>IF($AN777="",IF($B777="","",$R777),IF(INDEX(職員マスタ!$C$6:$C$405,$AN777)="",$R777,INDEX(職員マスタ!$C$6:$C$405,$AN777)))</f>
        <v/>
      </c>
      <c r="X777" s="14">
        <f>IF($AO777="","","R"&amp;$C777&amp;"."&amp;$D777)</f>
        <v/>
      </c>
      <c r="Y777" s="15">
        <f>IF($AN777="","",IF(INDEX(職員マスタ!$K$6:$K$405,$AN777)="","",INDEX(職員マスタ!$K$6:$K$405,$AN777)))</f>
        <v/>
      </c>
      <c r="Z777" s="14">
        <f>IF(OR($E777="",$Y777=""),"",IF($E777&gt;=$Y777,"×",IF($E777&gt;=$Y777*設定!$C$5,"△","○")))</f>
        <v/>
      </c>
      <c r="AA777" s="15">
        <f>IF($Z777="","",IF($Z777="×",0,IF($Z777="○",ROUNDDOWN($E777*設定!$C$4,0),ROUNDDOWN($E777*ROUND((9*$Y777-9*$E777)/(10*$E777),4),0))))</f>
        <v/>
      </c>
      <c r="AB777" s="13" t="n"/>
      <c r="AC777" s="15">
        <f>IF($B777="","",IF($AB777&lt;&gt;"",$AB777,IF($AA777="","",IF($AA777&lt;=設定!$C$3,0,$AA777))))</f>
        <v/>
      </c>
      <c r="AD777" s="14">
        <f>IF($B777="","",IF(AND($AE777&lt;&gt;"",$AG777="",$AJ777=""),"保留中",IF($AJ777&lt;&gt;"",IF(N($AC777)&gt;0,"支給済","不支給"),IF($AC777="","要確認",IF($AC777=0,"不支給","未処理")))))</f>
        <v/>
      </c>
      <c r="AE777" s="12" t="n"/>
      <c r="AF777" s="11" t="n"/>
      <c r="AG777" s="11" t="n"/>
      <c r="AH777" s="11" t="n"/>
      <c r="AI777" s="14">
        <f>IF(AND($AD777="保留中",$AF777&lt;&gt;""),TODAY()-$AF777,"")</f>
        <v/>
      </c>
      <c r="AJ777" s="12" t="n"/>
      <c r="AK777" s="14">
        <f>IF($B777="","",IF($AO777="","対象年月が未入力／","")&amp;IF($B777="","",IF($AN777="","職員マスタに未登録の職員番号／",IF($Y777="","標準報酬月額が未登録／","")&amp;IF(AND($AO777&lt;&gt;"",OR(AND(INDEX(職員マスタ!$G$6:$G$405,$AN777)&lt;&gt;"",INDEX(職員マスタ!$G$6:$G$405,$AN777)&gt;EOMONTH($AO777,0)),AND(INDEX(職員マスタ!$H$6:$H$405,$AN777)&lt;&gt;"",INDEX(職員マスタ!$H$6:$H$405,$AN777)&lt;$AO777))),"対象月が時短期間外／","")&amp;IF(AND(INDEX(職員マスタ!$F$6:$F$405,$AN777)&lt;&gt;"",$AO777&lt;&gt;"",INDEX(職員マスタ!$F$6:$F$405,$AN777)&lt;$AO777),"対象月に子が2歳到達済／","")&amp;IF(AND($H777&lt;&gt;"",INDEX(職員マスタ!$B$6:$B$405,$AN777)&lt;&gt;"",SUBSTITUTE(SUBSTITUTE($H777," ","")," ","")&lt;&gt;SUBSTITUTE(SUBSTITUTE(INDEX(職員マスタ!$B$6:$B$405,$AN777)," ","")," ","")),"氏名がマスタと相違／","")&amp;IF(AND($Q777&lt;&gt;"",INDEX(職員マスタ!$E$6:$E$405,$AN777)&lt;&gt;"",$Q777&lt;&gt;INDEX(職員マスタ!$E$6:$E$405,$AN777)),"子の生年月日がマスタと相違／","")&amp;IF(AND($L777&lt;&gt;"",INDEX(職員マスタ!$G$6:$G$405,$AN777)&lt;&gt;"",$L777&lt;&gt;INDEX(職員マスタ!$G$6:$G$405,$AN777)),"時短開始日がマスタと相違／","")&amp;IF(AND($M777&lt;&gt;"",INDEX(職員マスタ!$H$6:$H$405,$AN777)&lt;&gt;"",$M777&lt;&gt;INDEX(職員マスタ!$H$6:$H$405,$AN777)),"時短終了日がマスタと相違／","")))&amp;IF(AND($B777&lt;&gt;"",$E777=""),"報酬額が未入力／","")&amp;IF(N($U777)&gt;0,"申請書に入力エラーが残っています／","")&amp;IF(AND($B777&lt;&gt;"",$AO777&lt;&gt;""),IF(COUNTIFS($B$6:$B$3005,$B777,$C$6:$C$3005,$C777,$D$6:$D$3005,$D777)&gt;1,"同じ月の請求が重複しています／",""),"")&amp;IF(AND(N($E777)&gt;0,$Z777&lt;&gt;"",$Z777&lt;&gt;"×",$AC777=0,$AB777=""),"計算額が下限以下のため不支給／",""))</f>
        <v/>
      </c>
      <c r="AL777" s="12" t="n"/>
      <c r="AM777" s="14">
        <f>IF($AD777="保留中",COUNTIF($AD$6:$AD777,"保留中"),"")</f>
        <v/>
      </c>
      <c r="AN777" s="14">
        <f>IF($AO777="","",IF(SUMPRODUCT(MAX((職員マスタ!$A$6:$A$405=$B777)*(((職員マスタ!$G$6:$G$405="")+(職員マスタ!$G$6:$G$405&lt;=EOMONTH($AO777,0)))&gt;0)*(((職員マスタ!$H$6:$H$405="")+(職員マスタ!$H$6:$H$405&gt;=$AO777))&gt;0)*(ROW(職員マスタ!$A$6:$A$405)-5)))&gt;0,SUMPRODUCT(MAX((職員マスタ!$A$6:$A$405=$B777)*(((職員マスタ!$G$6:$G$405="")+(職員マスタ!$G$6:$G$405&lt;=EOMONTH($AO777,0)))&gt;0)*(((職員マスタ!$H$6:$H$405="")+(職員マスタ!$H$6:$H$405&gt;=$AO777))&gt;0)*(ROW(職員マスタ!$A$6:$A$405)-5))),IFERROR(MATCH($B777,職員マスタ!$A$6:$A$405,0),"")))</f>
        <v/>
      </c>
      <c r="AO777" s="16">
        <f>IF(OR($B777="",$C777="",$D777=""),"",DATE($C777+2018,$D777,1))</f>
        <v/>
      </c>
    </row>
    <row r="778">
      <c r="A778" s="11" t="n"/>
      <c r="B778" s="12" t="n"/>
      <c r="C778" s="12" t="n"/>
      <c r="D778" s="12" t="n"/>
      <c r="E778" s="13" t="n"/>
      <c r="F778" s="12" t="n"/>
      <c r="G778" s="13" t="n"/>
      <c r="H778" s="12" t="n"/>
      <c r="I778" s="12" t="n"/>
      <c r="J778" s="12" t="n"/>
      <c r="K778" s="12" t="n"/>
      <c r="L778" s="11" t="n"/>
      <c r="M778" s="11" t="n"/>
      <c r="N778" s="11" t="n"/>
      <c r="O778" s="11" t="n"/>
      <c r="P778" s="12" t="n"/>
      <c r="Q778" s="11" t="n"/>
      <c r="R778" s="12" t="n"/>
      <c r="S778" s="11" t="n"/>
      <c r="T778" s="12" t="n"/>
      <c r="U778" s="12" t="n"/>
      <c r="V778" s="14">
        <f>IF($AN778="",IF($B778="","",$H778),IF(INDEX(職員マスタ!$B$6:$B$405,$AN778)="",$H778,INDEX(職員マスタ!$B$6:$B$405,$AN778)))</f>
        <v/>
      </c>
      <c r="W778" s="14">
        <f>IF($AN778="",IF($B778="","",$R778),IF(INDEX(職員マスタ!$C$6:$C$405,$AN778)="",$R778,INDEX(職員マスタ!$C$6:$C$405,$AN778)))</f>
        <v/>
      </c>
      <c r="X778" s="14">
        <f>IF($AO778="","","R"&amp;$C778&amp;"."&amp;$D778)</f>
        <v/>
      </c>
      <c r="Y778" s="15">
        <f>IF($AN778="","",IF(INDEX(職員マスタ!$K$6:$K$405,$AN778)="","",INDEX(職員マスタ!$K$6:$K$405,$AN778)))</f>
        <v/>
      </c>
      <c r="Z778" s="14">
        <f>IF(OR($E778="",$Y778=""),"",IF($E778&gt;=$Y778,"×",IF($E778&gt;=$Y778*設定!$C$5,"△","○")))</f>
        <v/>
      </c>
      <c r="AA778" s="15">
        <f>IF($Z778="","",IF($Z778="×",0,IF($Z778="○",ROUNDDOWN($E778*設定!$C$4,0),ROUNDDOWN($E778*ROUND((9*$Y778-9*$E778)/(10*$E778),4),0))))</f>
        <v/>
      </c>
      <c r="AB778" s="13" t="n"/>
      <c r="AC778" s="15">
        <f>IF($B778="","",IF($AB778&lt;&gt;"",$AB778,IF($AA778="","",IF($AA778&lt;=設定!$C$3,0,$AA778))))</f>
        <v/>
      </c>
      <c r="AD778" s="14">
        <f>IF($B778="","",IF(AND($AE778&lt;&gt;"",$AG778="",$AJ778=""),"保留中",IF($AJ778&lt;&gt;"",IF(N($AC778)&gt;0,"支給済","不支給"),IF($AC778="","要確認",IF($AC778=0,"不支給","未処理")))))</f>
        <v/>
      </c>
      <c r="AE778" s="12" t="n"/>
      <c r="AF778" s="11" t="n"/>
      <c r="AG778" s="11" t="n"/>
      <c r="AH778" s="11" t="n"/>
      <c r="AI778" s="14">
        <f>IF(AND($AD778="保留中",$AF778&lt;&gt;""),TODAY()-$AF778,"")</f>
        <v/>
      </c>
      <c r="AJ778" s="12" t="n"/>
      <c r="AK778" s="14">
        <f>IF($B778="","",IF($AO778="","対象年月が未入力／","")&amp;IF($B778="","",IF($AN778="","職員マスタに未登録の職員番号／",IF($Y778="","標準報酬月額が未登録／","")&amp;IF(AND($AO778&lt;&gt;"",OR(AND(INDEX(職員マスタ!$G$6:$G$405,$AN778)&lt;&gt;"",INDEX(職員マスタ!$G$6:$G$405,$AN778)&gt;EOMONTH($AO778,0)),AND(INDEX(職員マスタ!$H$6:$H$405,$AN778)&lt;&gt;"",INDEX(職員マスタ!$H$6:$H$405,$AN778)&lt;$AO778))),"対象月が時短期間外／","")&amp;IF(AND(INDEX(職員マスタ!$F$6:$F$405,$AN778)&lt;&gt;"",$AO778&lt;&gt;"",INDEX(職員マスタ!$F$6:$F$405,$AN778)&lt;$AO778),"対象月に子が2歳到達済／","")&amp;IF(AND($H778&lt;&gt;"",INDEX(職員マスタ!$B$6:$B$405,$AN778)&lt;&gt;"",SUBSTITUTE(SUBSTITUTE($H778," ","")," ","")&lt;&gt;SUBSTITUTE(SUBSTITUTE(INDEX(職員マスタ!$B$6:$B$405,$AN778)," ","")," ","")),"氏名がマスタと相違／","")&amp;IF(AND($Q778&lt;&gt;"",INDEX(職員マスタ!$E$6:$E$405,$AN778)&lt;&gt;"",$Q778&lt;&gt;INDEX(職員マスタ!$E$6:$E$405,$AN778)),"子の生年月日がマスタと相違／","")&amp;IF(AND($L778&lt;&gt;"",INDEX(職員マスタ!$G$6:$G$405,$AN778)&lt;&gt;"",$L778&lt;&gt;INDEX(職員マスタ!$G$6:$G$405,$AN778)),"時短開始日がマスタと相違／","")&amp;IF(AND($M778&lt;&gt;"",INDEX(職員マスタ!$H$6:$H$405,$AN778)&lt;&gt;"",$M778&lt;&gt;INDEX(職員マスタ!$H$6:$H$405,$AN778)),"時短終了日がマスタと相違／","")))&amp;IF(AND($B778&lt;&gt;"",$E778=""),"報酬額が未入力／","")&amp;IF(N($U778)&gt;0,"申請書に入力エラーが残っています／","")&amp;IF(AND($B778&lt;&gt;"",$AO778&lt;&gt;""),IF(COUNTIFS($B$6:$B$3005,$B778,$C$6:$C$3005,$C778,$D$6:$D$3005,$D778)&gt;1,"同じ月の請求が重複しています／",""),"")&amp;IF(AND(N($E778)&gt;0,$Z778&lt;&gt;"",$Z778&lt;&gt;"×",$AC778=0,$AB778=""),"計算額が下限以下のため不支給／",""))</f>
        <v/>
      </c>
      <c r="AL778" s="12" t="n"/>
      <c r="AM778" s="14">
        <f>IF($AD778="保留中",COUNTIF($AD$6:$AD778,"保留中"),"")</f>
        <v/>
      </c>
      <c r="AN778" s="14">
        <f>IF($AO778="","",IF(SUMPRODUCT(MAX((職員マスタ!$A$6:$A$405=$B778)*(((職員マスタ!$G$6:$G$405="")+(職員マスタ!$G$6:$G$405&lt;=EOMONTH($AO778,0)))&gt;0)*(((職員マスタ!$H$6:$H$405="")+(職員マスタ!$H$6:$H$405&gt;=$AO778))&gt;0)*(ROW(職員マスタ!$A$6:$A$405)-5)))&gt;0,SUMPRODUCT(MAX((職員マスタ!$A$6:$A$405=$B778)*(((職員マスタ!$G$6:$G$405="")+(職員マスタ!$G$6:$G$405&lt;=EOMONTH($AO778,0)))&gt;0)*(((職員マスタ!$H$6:$H$405="")+(職員マスタ!$H$6:$H$405&gt;=$AO778))&gt;0)*(ROW(職員マスタ!$A$6:$A$405)-5))),IFERROR(MATCH($B778,職員マスタ!$A$6:$A$405,0),"")))</f>
        <v/>
      </c>
      <c r="AO778" s="16">
        <f>IF(OR($B778="",$C778="",$D778=""),"",DATE($C778+2018,$D778,1))</f>
        <v/>
      </c>
    </row>
    <row r="779">
      <c r="A779" s="11" t="n"/>
      <c r="B779" s="12" t="n"/>
      <c r="C779" s="12" t="n"/>
      <c r="D779" s="12" t="n"/>
      <c r="E779" s="13" t="n"/>
      <c r="F779" s="12" t="n"/>
      <c r="G779" s="13" t="n"/>
      <c r="H779" s="12" t="n"/>
      <c r="I779" s="12" t="n"/>
      <c r="J779" s="12" t="n"/>
      <c r="K779" s="12" t="n"/>
      <c r="L779" s="11" t="n"/>
      <c r="M779" s="11" t="n"/>
      <c r="N779" s="11" t="n"/>
      <c r="O779" s="11" t="n"/>
      <c r="P779" s="12" t="n"/>
      <c r="Q779" s="11" t="n"/>
      <c r="R779" s="12" t="n"/>
      <c r="S779" s="11" t="n"/>
      <c r="T779" s="12" t="n"/>
      <c r="U779" s="12" t="n"/>
      <c r="V779" s="14">
        <f>IF($AN779="",IF($B779="","",$H779),IF(INDEX(職員マスタ!$B$6:$B$405,$AN779)="",$H779,INDEX(職員マスタ!$B$6:$B$405,$AN779)))</f>
        <v/>
      </c>
      <c r="W779" s="14">
        <f>IF($AN779="",IF($B779="","",$R779),IF(INDEX(職員マスタ!$C$6:$C$405,$AN779)="",$R779,INDEX(職員マスタ!$C$6:$C$405,$AN779)))</f>
        <v/>
      </c>
      <c r="X779" s="14">
        <f>IF($AO779="","","R"&amp;$C779&amp;"."&amp;$D779)</f>
        <v/>
      </c>
      <c r="Y779" s="15">
        <f>IF($AN779="","",IF(INDEX(職員マスタ!$K$6:$K$405,$AN779)="","",INDEX(職員マスタ!$K$6:$K$405,$AN779)))</f>
        <v/>
      </c>
      <c r="Z779" s="14">
        <f>IF(OR($E779="",$Y779=""),"",IF($E779&gt;=$Y779,"×",IF($E779&gt;=$Y779*設定!$C$5,"△","○")))</f>
        <v/>
      </c>
      <c r="AA779" s="15">
        <f>IF($Z779="","",IF($Z779="×",0,IF($Z779="○",ROUNDDOWN($E779*設定!$C$4,0),ROUNDDOWN($E779*ROUND((9*$Y779-9*$E779)/(10*$E779),4),0))))</f>
        <v/>
      </c>
      <c r="AB779" s="13" t="n"/>
      <c r="AC779" s="15">
        <f>IF($B779="","",IF($AB779&lt;&gt;"",$AB779,IF($AA779="","",IF($AA779&lt;=設定!$C$3,0,$AA779))))</f>
        <v/>
      </c>
      <c r="AD779" s="14">
        <f>IF($B779="","",IF(AND($AE779&lt;&gt;"",$AG779="",$AJ779=""),"保留中",IF($AJ779&lt;&gt;"",IF(N($AC779)&gt;0,"支給済","不支給"),IF($AC779="","要確認",IF($AC779=0,"不支給","未処理")))))</f>
        <v/>
      </c>
      <c r="AE779" s="12" t="n"/>
      <c r="AF779" s="11" t="n"/>
      <c r="AG779" s="11" t="n"/>
      <c r="AH779" s="11" t="n"/>
      <c r="AI779" s="14">
        <f>IF(AND($AD779="保留中",$AF779&lt;&gt;""),TODAY()-$AF779,"")</f>
        <v/>
      </c>
      <c r="AJ779" s="12" t="n"/>
      <c r="AK779" s="14">
        <f>IF($B779="","",IF($AO779="","対象年月が未入力／","")&amp;IF($B779="","",IF($AN779="","職員マスタに未登録の職員番号／",IF($Y779="","標準報酬月額が未登録／","")&amp;IF(AND($AO779&lt;&gt;"",OR(AND(INDEX(職員マスタ!$G$6:$G$405,$AN779)&lt;&gt;"",INDEX(職員マスタ!$G$6:$G$405,$AN779)&gt;EOMONTH($AO779,0)),AND(INDEX(職員マスタ!$H$6:$H$405,$AN779)&lt;&gt;"",INDEX(職員マスタ!$H$6:$H$405,$AN779)&lt;$AO779))),"対象月が時短期間外／","")&amp;IF(AND(INDEX(職員マスタ!$F$6:$F$405,$AN779)&lt;&gt;"",$AO779&lt;&gt;"",INDEX(職員マスタ!$F$6:$F$405,$AN779)&lt;$AO779),"対象月に子が2歳到達済／","")&amp;IF(AND($H779&lt;&gt;"",INDEX(職員マスタ!$B$6:$B$405,$AN779)&lt;&gt;"",SUBSTITUTE(SUBSTITUTE($H779," ","")," ","")&lt;&gt;SUBSTITUTE(SUBSTITUTE(INDEX(職員マスタ!$B$6:$B$405,$AN779)," ","")," ","")),"氏名がマスタと相違／","")&amp;IF(AND($Q779&lt;&gt;"",INDEX(職員マスタ!$E$6:$E$405,$AN779)&lt;&gt;"",$Q779&lt;&gt;INDEX(職員マスタ!$E$6:$E$405,$AN779)),"子の生年月日がマスタと相違／","")&amp;IF(AND($L779&lt;&gt;"",INDEX(職員マスタ!$G$6:$G$405,$AN779)&lt;&gt;"",$L779&lt;&gt;INDEX(職員マスタ!$G$6:$G$405,$AN779)),"時短開始日がマスタと相違／","")&amp;IF(AND($M779&lt;&gt;"",INDEX(職員マスタ!$H$6:$H$405,$AN779)&lt;&gt;"",$M779&lt;&gt;INDEX(職員マスタ!$H$6:$H$405,$AN779)),"時短終了日がマスタと相違／","")))&amp;IF(AND($B779&lt;&gt;"",$E779=""),"報酬額が未入力／","")&amp;IF(N($U779)&gt;0,"申請書に入力エラーが残っています／","")&amp;IF(AND($B779&lt;&gt;"",$AO779&lt;&gt;""),IF(COUNTIFS($B$6:$B$3005,$B779,$C$6:$C$3005,$C779,$D$6:$D$3005,$D779)&gt;1,"同じ月の請求が重複しています／",""),"")&amp;IF(AND(N($E779)&gt;0,$Z779&lt;&gt;"",$Z779&lt;&gt;"×",$AC779=0,$AB779=""),"計算額が下限以下のため不支給／",""))</f>
        <v/>
      </c>
      <c r="AL779" s="12" t="n"/>
      <c r="AM779" s="14">
        <f>IF($AD779="保留中",COUNTIF($AD$6:$AD779,"保留中"),"")</f>
        <v/>
      </c>
      <c r="AN779" s="14">
        <f>IF($AO779="","",IF(SUMPRODUCT(MAX((職員マスタ!$A$6:$A$405=$B779)*(((職員マスタ!$G$6:$G$405="")+(職員マスタ!$G$6:$G$405&lt;=EOMONTH($AO779,0)))&gt;0)*(((職員マスタ!$H$6:$H$405="")+(職員マスタ!$H$6:$H$405&gt;=$AO779))&gt;0)*(ROW(職員マスタ!$A$6:$A$405)-5)))&gt;0,SUMPRODUCT(MAX((職員マスタ!$A$6:$A$405=$B779)*(((職員マスタ!$G$6:$G$405="")+(職員マスタ!$G$6:$G$405&lt;=EOMONTH($AO779,0)))&gt;0)*(((職員マスタ!$H$6:$H$405="")+(職員マスタ!$H$6:$H$405&gt;=$AO779))&gt;0)*(ROW(職員マスタ!$A$6:$A$405)-5))),IFERROR(MATCH($B779,職員マスタ!$A$6:$A$405,0),"")))</f>
        <v/>
      </c>
      <c r="AO779" s="16">
        <f>IF(OR($B779="",$C779="",$D779=""),"",DATE($C779+2018,$D779,1))</f>
        <v/>
      </c>
    </row>
    <row r="780">
      <c r="A780" s="11" t="n"/>
      <c r="B780" s="12" t="n"/>
      <c r="C780" s="12" t="n"/>
      <c r="D780" s="12" t="n"/>
      <c r="E780" s="13" t="n"/>
      <c r="F780" s="12" t="n"/>
      <c r="G780" s="13" t="n"/>
      <c r="H780" s="12" t="n"/>
      <c r="I780" s="12" t="n"/>
      <c r="J780" s="12" t="n"/>
      <c r="K780" s="12" t="n"/>
      <c r="L780" s="11" t="n"/>
      <c r="M780" s="11" t="n"/>
      <c r="N780" s="11" t="n"/>
      <c r="O780" s="11" t="n"/>
      <c r="P780" s="12" t="n"/>
      <c r="Q780" s="11" t="n"/>
      <c r="R780" s="12" t="n"/>
      <c r="S780" s="11" t="n"/>
      <c r="T780" s="12" t="n"/>
      <c r="U780" s="12" t="n"/>
      <c r="V780" s="14">
        <f>IF($AN780="",IF($B780="","",$H780),IF(INDEX(職員マスタ!$B$6:$B$405,$AN780)="",$H780,INDEX(職員マスタ!$B$6:$B$405,$AN780)))</f>
        <v/>
      </c>
      <c r="W780" s="14">
        <f>IF($AN780="",IF($B780="","",$R780),IF(INDEX(職員マスタ!$C$6:$C$405,$AN780)="",$R780,INDEX(職員マスタ!$C$6:$C$405,$AN780)))</f>
        <v/>
      </c>
      <c r="X780" s="14">
        <f>IF($AO780="","","R"&amp;$C780&amp;"."&amp;$D780)</f>
        <v/>
      </c>
      <c r="Y780" s="15">
        <f>IF($AN780="","",IF(INDEX(職員マスタ!$K$6:$K$405,$AN780)="","",INDEX(職員マスタ!$K$6:$K$405,$AN780)))</f>
        <v/>
      </c>
      <c r="Z780" s="14">
        <f>IF(OR($E780="",$Y780=""),"",IF($E780&gt;=$Y780,"×",IF($E780&gt;=$Y780*設定!$C$5,"△","○")))</f>
        <v/>
      </c>
      <c r="AA780" s="15">
        <f>IF($Z780="","",IF($Z780="×",0,IF($Z780="○",ROUNDDOWN($E780*設定!$C$4,0),ROUNDDOWN($E780*ROUND((9*$Y780-9*$E780)/(10*$E780),4),0))))</f>
        <v/>
      </c>
      <c r="AB780" s="13" t="n"/>
      <c r="AC780" s="15">
        <f>IF($B780="","",IF($AB780&lt;&gt;"",$AB780,IF($AA780="","",IF($AA780&lt;=設定!$C$3,0,$AA780))))</f>
        <v/>
      </c>
      <c r="AD780" s="14">
        <f>IF($B780="","",IF(AND($AE780&lt;&gt;"",$AG780="",$AJ780=""),"保留中",IF($AJ780&lt;&gt;"",IF(N($AC780)&gt;0,"支給済","不支給"),IF($AC780="","要確認",IF($AC780=0,"不支給","未処理")))))</f>
        <v/>
      </c>
      <c r="AE780" s="12" t="n"/>
      <c r="AF780" s="11" t="n"/>
      <c r="AG780" s="11" t="n"/>
      <c r="AH780" s="11" t="n"/>
      <c r="AI780" s="14">
        <f>IF(AND($AD780="保留中",$AF780&lt;&gt;""),TODAY()-$AF780,"")</f>
        <v/>
      </c>
      <c r="AJ780" s="12" t="n"/>
      <c r="AK780" s="14">
        <f>IF($B780="","",IF($AO780="","対象年月が未入力／","")&amp;IF($B780="","",IF($AN780="","職員マスタに未登録の職員番号／",IF($Y780="","標準報酬月額が未登録／","")&amp;IF(AND($AO780&lt;&gt;"",OR(AND(INDEX(職員マスタ!$G$6:$G$405,$AN780)&lt;&gt;"",INDEX(職員マスタ!$G$6:$G$405,$AN780)&gt;EOMONTH($AO780,0)),AND(INDEX(職員マスタ!$H$6:$H$405,$AN780)&lt;&gt;"",INDEX(職員マスタ!$H$6:$H$405,$AN780)&lt;$AO780))),"対象月が時短期間外／","")&amp;IF(AND(INDEX(職員マスタ!$F$6:$F$405,$AN780)&lt;&gt;"",$AO780&lt;&gt;"",INDEX(職員マスタ!$F$6:$F$405,$AN780)&lt;$AO780),"対象月に子が2歳到達済／","")&amp;IF(AND($H780&lt;&gt;"",INDEX(職員マスタ!$B$6:$B$405,$AN780)&lt;&gt;"",SUBSTITUTE(SUBSTITUTE($H780," ","")," ","")&lt;&gt;SUBSTITUTE(SUBSTITUTE(INDEX(職員マスタ!$B$6:$B$405,$AN780)," ","")," ","")),"氏名がマスタと相違／","")&amp;IF(AND($Q780&lt;&gt;"",INDEX(職員マスタ!$E$6:$E$405,$AN780)&lt;&gt;"",$Q780&lt;&gt;INDEX(職員マスタ!$E$6:$E$405,$AN780)),"子の生年月日がマスタと相違／","")&amp;IF(AND($L780&lt;&gt;"",INDEX(職員マスタ!$G$6:$G$405,$AN780)&lt;&gt;"",$L780&lt;&gt;INDEX(職員マスタ!$G$6:$G$405,$AN780)),"時短開始日がマスタと相違／","")&amp;IF(AND($M780&lt;&gt;"",INDEX(職員マスタ!$H$6:$H$405,$AN780)&lt;&gt;"",$M780&lt;&gt;INDEX(職員マスタ!$H$6:$H$405,$AN780)),"時短終了日がマスタと相違／","")))&amp;IF(AND($B780&lt;&gt;"",$E780=""),"報酬額が未入力／","")&amp;IF(N($U780)&gt;0,"申請書に入力エラーが残っています／","")&amp;IF(AND($B780&lt;&gt;"",$AO780&lt;&gt;""),IF(COUNTIFS($B$6:$B$3005,$B780,$C$6:$C$3005,$C780,$D$6:$D$3005,$D780)&gt;1,"同じ月の請求が重複しています／",""),"")&amp;IF(AND(N($E780)&gt;0,$Z780&lt;&gt;"",$Z780&lt;&gt;"×",$AC780=0,$AB780=""),"計算額が下限以下のため不支給／",""))</f>
        <v/>
      </c>
      <c r="AL780" s="12" t="n"/>
      <c r="AM780" s="14">
        <f>IF($AD780="保留中",COUNTIF($AD$6:$AD780,"保留中"),"")</f>
        <v/>
      </c>
      <c r="AN780" s="14">
        <f>IF($AO780="","",IF(SUMPRODUCT(MAX((職員マスタ!$A$6:$A$405=$B780)*(((職員マスタ!$G$6:$G$405="")+(職員マスタ!$G$6:$G$405&lt;=EOMONTH($AO780,0)))&gt;0)*(((職員マスタ!$H$6:$H$405="")+(職員マスタ!$H$6:$H$405&gt;=$AO780))&gt;0)*(ROW(職員マスタ!$A$6:$A$405)-5)))&gt;0,SUMPRODUCT(MAX((職員マスタ!$A$6:$A$405=$B780)*(((職員マスタ!$G$6:$G$405="")+(職員マスタ!$G$6:$G$405&lt;=EOMONTH($AO780,0)))&gt;0)*(((職員マスタ!$H$6:$H$405="")+(職員マスタ!$H$6:$H$405&gt;=$AO780))&gt;0)*(ROW(職員マスタ!$A$6:$A$405)-5))),IFERROR(MATCH($B780,職員マスタ!$A$6:$A$405,0),"")))</f>
        <v/>
      </c>
      <c r="AO780" s="16">
        <f>IF(OR($B780="",$C780="",$D780=""),"",DATE($C780+2018,$D780,1))</f>
        <v/>
      </c>
    </row>
    <row r="781">
      <c r="A781" s="11" t="n"/>
      <c r="B781" s="12" t="n"/>
      <c r="C781" s="12" t="n"/>
      <c r="D781" s="12" t="n"/>
      <c r="E781" s="13" t="n"/>
      <c r="F781" s="12" t="n"/>
      <c r="G781" s="13" t="n"/>
      <c r="H781" s="12" t="n"/>
      <c r="I781" s="12" t="n"/>
      <c r="J781" s="12" t="n"/>
      <c r="K781" s="12" t="n"/>
      <c r="L781" s="11" t="n"/>
      <c r="M781" s="11" t="n"/>
      <c r="N781" s="11" t="n"/>
      <c r="O781" s="11" t="n"/>
      <c r="P781" s="12" t="n"/>
      <c r="Q781" s="11" t="n"/>
      <c r="R781" s="12" t="n"/>
      <c r="S781" s="11" t="n"/>
      <c r="T781" s="12" t="n"/>
      <c r="U781" s="12" t="n"/>
      <c r="V781" s="14">
        <f>IF($AN781="",IF($B781="","",$H781),IF(INDEX(職員マスタ!$B$6:$B$405,$AN781)="",$H781,INDEX(職員マスタ!$B$6:$B$405,$AN781)))</f>
        <v/>
      </c>
      <c r="W781" s="14">
        <f>IF($AN781="",IF($B781="","",$R781),IF(INDEX(職員マスタ!$C$6:$C$405,$AN781)="",$R781,INDEX(職員マスタ!$C$6:$C$405,$AN781)))</f>
        <v/>
      </c>
      <c r="X781" s="14">
        <f>IF($AO781="","","R"&amp;$C781&amp;"."&amp;$D781)</f>
        <v/>
      </c>
      <c r="Y781" s="15">
        <f>IF($AN781="","",IF(INDEX(職員マスタ!$K$6:$K$405,$AN781)="","",INDEX(職員マスタ!$K$6:$K$405,$AN781)))</f>
        <v/>
      </c>
      <c r="Z781" s="14">
        <f>IF(OR($E781="",$Y781=""),"",IF($E781&gt;=$Y781,"×",IF($E781&gt;=$Y781*設定!$C$5,"△","○")))</f>
        <v/>
      </c>
      <c r="AA781" s="15">
        <f>IF($Z781="","",IF($Z781="×",0,IF($Z781="○",ROUNDDOWN($E781*設定!$C$4,0),ROUNDDOWN($E781*ROUND((9*$Y781-9*$E781)/(10*$E781),4),0))))</f>
        <v/>
      </c>
      <c r="AB781" s="13" t="n"/>
      <c r="AC781" s="15">
        <f>IF($B781="","",IF($AB781&lt;&gt;"",$AB781,IF($AA781="","",IF($AA781&lt;=設定!$C$3,0,$AA781))))</f>
        <v/>
      </c>
      <c r="AD781" s="14">
        <f>IF($B781="","",IF(AND($AE781&lt;&gt;"",$AG781="",$AJ781=""),"保留中",IF($AJ781&lt;&gt;"",IF(N($AC781)&gt;0,"支給済","不支給"),IF($AC781="","要確認",IF($AC781=0,"不支給","未処理")))))</f>
        <v/>
      </c>
      <c r="AE781" s="12" t="n"/>
      <c r="AF781" s="11" t="n"/>
      <c r="AG781" s="11" t="n"/>
      <c r="AH781" s="11" t="n"/>
      <c r="AI781" s="14">
        <f>IF(AND($AD781="保留中",$AF781&lt;&gt;""),TODAY()-$AF781,"")</f>
        <v/>
      </c>
      <c r="AJ781" s="12" t="n"/>
      <c r="AK781" s="14">
        <f>IF($B781="","",IF($AO781="","対象年月が未入力／","")&amp;IF($B781="","",IF($AN781="","職員マスタに未登録の職員番号／",IF($Y781="","標準報酬月額が未登録／","")&amp;IF(AND($AO781&lt;&gt;"",OR(AND(INDEX(職員マスタ!$G$6:$G$405,$AN781)&lt;&gt;"",INDEX(職員マスタ!$G$6:$G$405,$AN781)&gt;EOMONTH($AO781,0)),AND(INDEX(職員マスタ!$H$6:$H$405,$AN781)&lt;&gt;"",INDEX(職員マスタ!$H$6:$H$405,$AN781)&lt;$AO781))),"対象月が時短期間外／","")&amp;IF(AND(INDEX(職員マスタ!$F$6:$F$405,$AN781)&lt;&gt;"",$AO781&lt;&gt;"",INDEX(職員マスタ!$F$6:$F$405,$AN781)&lt;$AO781),"対象月に子が2歳到達済／","")&amp;IF(AND($H781&lt;&gt;"",INDEX(職員マスタ!$B$6:$B$405,$AN781)&lt;&gt;"",SUBSTITUTE(SUBSTITUTE($H781," ","")," ","")&lt;&gt;SUBSTITUTE(SUBSTITUTE(INDEX(職員マスタ!$B$6:$B$405,$AN781)," ","")," ","")),"氏名がマスタと相違／","")&amp;IF(AND($Q781&lt;&gt;"",INDEX(職員マスタ!$E$6:$E$405,$AN781)&lt;&gt;"",$Q781&lt;&gt;INDEX(職員マスタ!$E$6:$E$405,$AN781)),"子の生年月日がマスタと相違／","")&amp;IF(AND($L781&lt;&gt;"",INDEX(職員マスタ!$G$6:$G$405,$AN781)&lt;&gt;"",$L781&lt;&gt;INDEX(職員マスタ!$G$6:$G$405,$AN781)),"時短開始日がマスタと相違／","")&amp;IF(AND($M781&lt;&gt;"",INDEX(職員マスタ!$H$6:$H$405,$AN781)&lt;&gt;"",$M781&lt;&gt;INDEX(職員マスタ!$H$6:$H$405,$AN781)),"時短終了日がマスタと相違／","")))&amp;IF(AND($B781&lt;&gt;"",$E781=""),"報酬額が未入力／","")&amp;IF(N($U781)&gt;0,"申請書に入力エラーが残っています／","")&amp;IF(AND($B781&lt;&gt;"",$AO781&lt;&gt;""),IF(COUNTIFS($B$6:$B$3005,$B781,$C$6:$C$3005,$C781,$D$6:$D$3005,$D781)&gt;1,"同じ月の請求が重複しています／",""),"")&amp;IF(AND(N($E781)&gt;0,$Z781&lt;&gt;"",$Z781&lt;&gt;"×",$AC781=0,$AB781=""),"計算額が下限以下のため不支給／",""))</f>
        <v/>
      </c>
      <c r="AL781" s="12" t="n"/>
      <c r="AM781" s="14">
        <f>IF($AD781="保留中",COUNTIF($AD$6:$AD781,"保留中"),"")</f>
        <v/>
      </c>
      <c r="AN781" s="14">
        <f>IF($AO781="","",IF(SUMPRODUCT(MAX((職員マスタ!$A$6:$A$405=$B781)*(((職員マスタ!$G$6:$G$405="")+(職員マスタ!$G$6:$G$405&lt;=EOMONTH($AO781,0)))&gt;0)*(((職員マスタ!$H$6:$H$405="")+(職員マスタ!$H$6:$H$405&gt;=$AO781))&gt;0)*(ROW(職員マスタ!$A$6:$A$405)-5)))&gt;0,SUMPRODUCT(MAX((職員マスタ!$A$6:$A$405=$B781)*(((職員マスタ!$G$6:$G$405="")+(職員マスタ!$G$6:$G$405&lt;=EOMONTH($AO781,0)))&gt;0)*(((職員マスタ!$H$6:$H$405="")+(職員マスタ!$H$6:$H$405&gt;=$AO781))&gt;0)*(ROW(職員マスタ!$A$6:$A$405)-5))),IFERROR(MATCH($B781,職員マスタ!$A$6:$A$405,0),"")))</f>
        <v/>
      </c>
      <c r="AO781" s="16">
        <f>IF(OR($B781="",$C781="",$D781=""),"",DATE($C781+2018,$D781,1))</f>
        <v/>
      </c>
    </row>
    <row r="782">
      <c r="A782" s="11" t="n"/>
      <c r="B782" s="12" t="n"/>
      <c r="C782" s="12" t="n"/>
      <c r="D782" s="12" t="n"/>
      <c r="E782" s="13" t="n"/>
      <c r="F782" s="12" t="n"/>
      <c r="G782" s="13" t="n"/>
      <c r="H782" s="12" t="n"/>
      <c r="I782" s="12" t="n"/>
      <c r="J782" s="12" t="n"/>
      <c r="K782" s="12" t="n"/>
      <c r="L782" s="11" t="n"/>
      <c r="M782" s="11" t="n"/>
      <c r="N782" s="11" t="n"/>
      <c r="O782" s="11" t="n"/>
      <c r="P782" s="12" t="n"/>
      <c r="Q782" s="11" t="n"/>
      <c r="R782" s="12" t="n"/>
      <c r="S782" s="11" t="n"/>
      <c r="T782" s="12" t="n"/>
      <c r="U782" s="12" t="n"/>
      <c r="V782" s="14">
        <f>IF($AN782="",IF($B782="","",$H782),IF(INDEX(職員マスタ!$B$6:$B$405,$AN782)="",$H782,INDEX(職員マスタ!$B$6:$B$405,$AN782)))</f>
        <v/>
      </c>
      <c r="W782" s="14">
        <f>IF($AN782="",IF($B782="","",$R782),IF(INDEX(職員マスタ!$C$6:$C$405,$AN782)="",$R782,INDEX(職員マスタ!$C$6:$C$405,$AN782)))</f>
        <v/>
      </c>
      <c r="X782" s="14">
        <f>IF($AO782="","","R"&amp;$C782&amp;"."&amp;$D782)</f>
        <v/>
      </c>
      <c r="Y782" s="15">
        <f>IF($AN782="","",IF(INDEX(職員マスタ!$K$6:$K$405,$AN782)="","",INDEX(職員マスタ!$K$6:$K$405,$AN782)))</f>
        <v/>
      </c>
      <c r="Z782" s="14">
        <f>IF(OR($E782="",$Y782=""),"",IF($E782&gt;=$Y782,"×",IF($E782&gt;=$Y782*設定!$C$5,"△","○")))</f>
        <v/>
      </c>
      <c r="AA782" s="15">
        <f>IF($Z782="","",IF($Z782="×",0,IF($Z782="○",ROUNDDOWN($E782*設定!$C$4,0),ROUNDDOWN($E782*ROUND((9*$Y782-9*$E782)/(10*$E782),4),0))))</f>
        <v/>
      </c>
      <c r="AB782" s="13" t="n"/>
      <c r="AC782" s="15">
        <f>IF($B782="","",IF($AB782&lt;&gt;"",$AB782,IF($AA782="","",IF($AA782&lt;=設定!$C$3,0,$AA782))))</f>
        <v/>
      </c>
      <c r="AD782" s="14">
        <f>IF($B782="","",IF(AND($AE782&lt;&gt;"",$AG782="",$AJ782=""),"保留中",IF($AJ782&lt;&gt;"",IF(N($AC782)&gt;0,"支給済","不支給"),IF($AC782="","要確認",IF($AC782=0,"不支給","未処理")))))</f>
        <v/>
      </c>
      <c r="AE782" s="12" t="n"/>
      <c r="AF782" s="11" t="n"/>
      <c r="AG782" s="11" t="n"/>
      <c r="AH782" s="11" t="n"/>
      <c r="AI782" s="14">
        <f>IF(AND($AD782="保留中",$AF782&lt;&gt;""),TODAY()-$AF782,"")</f>
        <v/>
      </c>
      <c r="AJ782" s="12" t="n"/>
      <c r="AK782" s="14">
        <f>IF($B782="","",IF($AO782="","対象年月が未入力／","")&amp;IF($B782="","",IF($AN782="","職員マスタに未登録の職員番号／",IF($Y782="","標準報酬月額が未登録／","")&amp;IF(AND($AO782&lt;&gt;"",OR(AND(INDEX(職員マスタ!$G$6:$G$405,$AN782)&lt;&gt;"",INDEX(職員マスタ!$G$6:$G$405,$AN782)&gt;EOMONTH($AO782,0)),AND(INDEX(職員マスタ!$H$6:$H$405,$AN782)&lt;&gt;"",INDEX(職員マスタ!$H$6:$H$405,$AN782)&lt;$AO782))),"対象月が時短期間外／","")&amp;IF(AND(INDEX(職員マスタ!$F$6:$F$405,$AN782)&lt;&gt;"",$AO782&lt;&gt;"",INDEX(職員マスタ!$F$6:$F$405,$AN782)&lt;$AO782),"対象月に子が2歳到達済／","")&amp;IF(AND($H782&lt;&gt;"",INDEX(職員マスタ!$B$6:$B$405,$AN782)&lt;&gt;"",SUBSTITUTE(SUBSTITUTE($H782," ","")," ","")&lt;&gt;SUBSTITUTE(SUBSTITUTE(INDEX(職員マスタ!$B$6:$B$405,$AN782)," ","")," ","")),"氏名がマスタと相違／","")&amp;IF(AND($Q782&lt;&gt;"",INDEX(職員マスタ!$E$6:$E$405,$AN782)&lt;&gt;"",$Q782&lt;&gt;INDEX(職員マスタ!$E$6:$E$405,$AN782)),"子の生年月日がマスタと相違／","")&amp;IF(AND($L782&lt;&gt;"",INDEX(職員マスタ!$G$6:$G$405,$AN782)&lt;&gt;"",$L782&lt;&gt;INDEX(職員マスタ!$G$6:$G$405,$AN782)),"時短開始日がマスタと相違／","")&amp;IF(AND($M782&lt;&gt;"",INDEX(職員マスタ!$H$6:$H$405,$AN782)&lt;&gt;"",$M782&lt;&gt;INDEX(職員マスタ!$H$6:$H$405,$AN782)),"時短終了日がマスタと相違／","")))&amp;IF(AND($B782&lt;&gt;"",$E782=""),"報酬額が未入力／","")&amp;IF(N($U782)&gt;0,"申請書に入力エラーが残っています／","")&amp;IF(AND($B782&lt;&gt;"",$AO782&lt;&gt;""),IF(COUNTIFS($B$6:$B$3005,$B782,$C$6:$C$3005,$C782,$D$6:$D$3005,$D782)&gt;1,"同じ月の請求が重複しています／",""),"")&amp;IF(AND(N($E782)&gt;0,$Z782&lt;&gt;"",$Z782&lt;&gt;"×",$AC782=0,$AB782=""),"計算額が下限以下のため不支給／",""))</f>
        <v/>
      </c>
      <c r="AL782" s="12" t="n"/>
      <c r="AM782" s="14">
        <f>IF($AD782="保留中",COUNTIF($AD$6:$AD782,"保留中"),"")</f>
        <v/>
      </c>
      <c r="AN782" s="14">
        <f>IF($AO782="","",IF(SUMPRODUCT(MAX((職員マスタ!$A$6:$A$405=$B782)*(((職員マスタ!$G$6:$G$405="")+(職員マスタ!$G$6:$G$405&lt;=EOMONTH($AO782,0)))&gt;0)*(((職員マスタ!$H$6:$H$405="")+(職員マスタ!$H$6:$H$405&gt;=$AO782))&gt;0)*(ROW(職員マスタ!$A$6:$A$405)-5)))&gt;0,SUMPRODUCT(MAX((職員マスタ!$A$6:$A$405=$B782)*(((職員マスタ!$G$6:$G$405="")+(職員マスタ!$G$6:$G$405&lt;=EOMONTH($AO782,0)))&gt;0)*(((職員マスタ!$H$6:$H$405="")+(職員マスタ!$H$6:$H$405&gt;=$AO782))&gt;0)*(ROW(職員マスタ!$A$6:$A$405)-5))),IFERROR(MATCH($B782,職員マスタ!$A$6:$A$405,0),"")))</f>
        <v/>
      </c>
      <c r="AO782" s="16">
        <f>IF(OR($B782="",$C782="",$D782=""),"",DATE($C782+2018,$D782,1))</f>
        <v/>
      </c>
    </row>
    <row r="783">
      <c r="A783" s="11" t="n"/>
      <c r="B783" s="12" t="n"/>
      <c r="C783" s="12" t="n"/>
      <c r="D783" s="12" t="n"/>
      <c r="E783" s="13" t="n"/>
      <c r="F783" s="12" t="n"/>
      <c r="G783" s="13" t="n"/>
      <c r="H783" s="12" t="n"/>
      <c r="I783" s="12" t="n"/>
      <c r="J783" s="12" t="n"/>
      <c r="K783" s="12" t="n"/>
      <c r="L783" s="11" t="n"/>
      <c r="M783" s="11" t="n"/>
      <c r="N783" s="11" t="n"/>
      <c r="O783" s="11" t="n"/>
      <c r="P783" s="12" t="n"/>
      <c r="Q783" s="11" t="n"/>
      <c r="R783" s="12" t="n"/>
      <c r="S783" s="11" t="n"/>
      <c r="T783" s="12" t="n"/>
      <c r="U783" s="12" t="n"/>
      <c r="V783" s="14">
        <f>IF($AN783="",IF($B783="","",$H783),IF(INDEX(職員マスタ!$B$6:$B$405,$AN783)="",$H783,INDEX(職員マスタ!$B$6:$B$405,$AN783)))</f>
        <v/>
      </c>
      <c r="W783" s="14">
        <f>IF($AN783="",IF($B783="","",$R783),IF(INDEX(職員マスタ!$C$6:$C$405,$AN783)="",$R783,INDEX(職員マスタ!$C$6:$C$405,$AN783)))</f>
        <v/>
      </c>
      <c r="X783" s="14">
        <f>IF($AO783="","","R"&amp;$C783&amp;"."&amp;$D783)</f>
        <v/>
      </c>
      <c r="Y783" s="15">
        <f>IF($AN783="","",IF(INDEX(職員マスタ!$K$6:$K$405,$AN783)="","",INDEX(職員マスタ!$K$6:$K$405,$AN783)))</f>
        <v/>
      </c>
      <c r="Z783" s="14">
        <f>IF(OR($E783="",$Y783=""),"",IF($E783&gt;=$Y783,"×",IF($E783&gt;=$Y783*設定!$C$5,"△","○")))</f>
        <v/>
      </c>
      <c r="AA783" s="15">
        <f>IF($Z783="","",IF($Z783="×",0,IF($Z783="○",ROUNDDOWN($E783*設定!$C$4,0),ROUNDDOWN($E783*ROUND((9*$Y783-9*$E783)/(10*$E783),4),0))))</f>
        <v/>
      </c>
      <c r="AB783" s="13" t="n"/>
      <c r="AC783" s="15">
        <f>IF($B783="","",IF($AB783&lt;&gt;"",$AB783,IF($AA783="","",IF($AA783&lt;=設定!$C$3,0,$AA783))))</f>
        <v/>
      </c>
      <c r="AD783" s="14">
        <f>IF($B783="","",IF(AND($AE783&lt;&gt;"",$AG783="",$AJ783=""),"保留中",IF($AJ783&lt;&gt;"",IF(N($AC783)&gt;0,"支給済","不支給"),IF($AC783="","要確認",IF($AC783=0,"不支給","未処理")))))</f>
        <v/>
      </c>
      <c r="AE783" s="12" t="n"/>
      <c r="AF783" s="11" t="n"/>
      <c r="AG783" s="11" t="n"/>
      <c r="AH783" s="11" t="n"/>
      <c r="AI783" s="14">
        <f>IF(AND($AD783="保留中",$AF783&lt;&gt;""),TODAY()-$AF783,"")</f>
        <v/>
      </c>
      <c r="AJ783" s="12" t="n"/>
      <c r="AK783" s="14">
        <f>IF($B783="","",IF($AO783="","対象年月が未入力／","")&amp;IF($B783="","",IF($AN783="","職員マスタに未登録の職員番号／",IF($Y783="","標準報酬月額が未登録／","")&amp;IF(AND($AO783&lt;&gt;"",OR(AND(INDEX(職員マスタ!$G$6:$G$405,$AN783)&lt;&gt;"",INDEX(職員マスタ!$G$6:$G$405,$AN783)&gt;EOMONTH($AO783,0)),AND(INDEX(職員マスタ!$H$6:$H$405,$AN783)&lt;&gt;"",INDEX(職員マスタ!$H$6:$H$405,$AN783)&lt;$AO783))),"対象月が時短期間外／","")&amp;IF(AND(INDEX(職員マスタ!$F$6:$F$405,$AN783)&lt;&gt;"",$AO783&lt;&gt;"",INDEX(職員マスタ!$F$6:$F$405,$AN783)&lt;$AO783),"対象月に子が2歳到達済／","")&amp;IF(AND($H783&lt;&gt;"",INDEX(職員マスタ!$B$6:$B$405,$AN783)&lt;&gt;"",SUBSTITUTE(SUBSTITUTE($H783," ","")," ","")&lt;&gt;SUBSTITUTE(SUBSTITUTE(INDEX(職員マスタ!$B$6:$B$405,$AN783)," ","")," ","")),"氏名がマスタと相違／","")&amp;IF(AND($Q783&lt;&gt;"",INDEX(職員マスタ!$E$6:$E$405,$AN783)&lt;&gt;"",$Q783&lt;&gt;INDEX(職員マスタ!$E$6:$E$405,$AN783)),"子の生年月日がマスタと相違／","")&amp;IF(AND($L783&lt;&gt;"",INDEX(職員マスタ!$G$6:$G$405,$AN783)&lt;&gt;"",$L783&lt;&gt;INDEX(職員マスタ!$G$6:$G$405,$AN783)),"時短開始日がマスタと相違／","")&amp;IF(AND($M783&lt;&gt;"",INDEX(職員マスタ!$H$6:$H$405,$AN783)&lt;&gt;"",$M783&lt;&gt;INDEX(職員マスタ!$H$6:$H$405,$AN783)),"時短終了日がマスタと相違／","")))&amp;IF(AND($B783&lt;&gt;"",$E783=""),"報酬額が未入力／","")&amp;IF(N($U783)&gt;0,"申請書に入力エラーが残っています／","")&amp;IF(AND($B783&lt;&gt;"",$AO783&lt;&gt;""),IF(COUNTIFS($B$6:$B$3005,$B783,$C$6:$C$3005,$C783,$D$6:$D$3005,$D783)&gt;1,"同じ月の請求が重複しています／",""),"")&amp;IF(AND(N($E783)&gt;0,$Z783&lt;&gt;"",$Z783&lt;&gt;"×",$AC783=0,$AB783=""),"計算額が下限以下のため不支給／",""))</f>
        <v/>
      </c>
      <c r="AL783" s="12" t="n"/>
      <c r="AM783" s="14">
        <f>IF($AD783="保留中",COUNTIF($AD$6:$AD783,"保留中"),"")</f>
        <v/>
      </c>
      <c r="AN783" s="14">
        <f>IF($AO783="","",IF(SUMPRODUCT(MAX((職員マスタ!$A$6:$A$405=$B783)*(((職員マスタ!$G$6:$G$405="")+(職員マスタ!$G$6:$G$405&lt;=EOMONTH($AO783,0)))&gt;0)*(((職員マスタ!$H$6:$H$405="")+(職員マスタ!$H$6:$H$405&gt;=$AO783))&gt;0)*(ROW(職員マスタ!$A$6:$A$405)-5)))&gt;0,SUMPRODUCT(MAX((職員マスタ!$A$6:$A$405=$B783)*(((職員マスタ!$G$6:$G$405="")+(職員マスタ!$G$6:$G$405&lt;=EOMONTH($AO783,0)))&gt;0)*(((職員マスタ!$H$6:$H$405="")+(職員マスタ!$H$6:$H$405&gt;=$AO783))&gt;0)*(ROW(職員マスタ!$A$6:$A$405)-5))),IFERROR(MATCH($B783,職員マスタ!$A$6:$A$405,0),"")))</f>
        <v/>
      </c>
      <c r="AO783" s="16">
        <f>IF(OR($B783="",$C783="",$D783=""),"",DATE($C783+2018,$D783,1))</f>
        <v/>
      </c>
    </row>
    <row r="784">
      <c r="A784" s="11" t="n"/>
      <c r="B784" s="12" t="n"/>
      <c r="C784" s="12" t="n"/>
      <c r="D784" s="12" t="n"/>
      <c r="E784" s="13" t="n"/>
      <c r="F784" s="12" t="n"/>
      <c r="G784" s="13" t="n"/>
      <c r="H784" s="12" t="n"/>
      <c r="I784" s="12" t="n"/>
      <c r="J784" s="12" t="n"/>
      <c r="K784" s="12" t="n"/>
      <c r="L784" s="11" t="n"/>
      <c r="M784" s="11" t="n"/>
      <c r="N784" s="11" t="n"/>
      <c r="O784" s="11" t="n"/>
      <c r="P784" s="12" t="n"/>
      <c r="Q784" s="11" t="n"/>
      <c r="R784" s="12" t="n"/>
      <c r="S784" s="11" t="n"/>
      <c r="T784" s="12" t="n"/>
      <c r="U784" s="12" t="n"/>
      <c r="V784" s="14">
        <f>IF($AN784="",IF($B784="","",$H784),IF(INDEX(職員マスタ!$B$6:$B$405,$AN784)="",$H784,INDEX(職員マスタ!$B$6:$B$405,$AN784)))</f>
        <v/>
      </c>
      <c r="W784" s="14">
        <f>IF($AN784="",IF($B784="","",$R784),IF(INDEX(職員マスタ!$C$6:$C$405,$AN784)="",$R784,INDEX(職員マスタ!$C$6:$C$405,$AN784)))</f>
        <v/>
      </c>
      <c r="X784" s="14">
        <f>IF($AO784="","","R"&amp;$C784&amp;"."&amp;$D784)</f>
        <v/>
      </c>
      <c r="Y784" s="15">
        <f>IF($AN784="","",IF(INDEX(職員マスタ!$K$6:$K$405,$AN784)="","",INDEX(職員マスタ!$K$6:$K$405,$AN784)))</f>
        <v/>
      </c>
      <c r="Z784" s="14">
        <f>IF(OR($E784="",$Y784=""),"",IF($E784&gt;=$Y784,"×",IF($E784&gt;=$Y784*設定!$C$5,"△","○")))</f>
        <v/>
      </c>
      <c r="AA784" s="15">
        <f>IF($Z784="","",IF($Z784="×",0,IF($Z784="○",ROUNDDOWN($E784*設定!$C$4,0),ROUNDDOWN($E784*ROUND((9*$Y784-9*$E784)/(10*$E784),4),0))))</f>
        <v/>
      </c>
      <c r="AB784" s="13" t="n"/>
      <c r="AC784" s="15">
        <f>IF($B784="","",IF($AB784&lt;&gt;"",$AB784,IF($AA784="","",IF($AA784&lt;=設定!$C$3,0,$AA784))))</f>
        <v/>
      </c>
      <c r="AD784" s="14">
        <f>IF($B784="","",IF(AND($AE784&lt;&gt;"",$AG784="",$AJ784=""),"保留中",IF($AJ784&lt;&gt;"",IF(N($AC784)&gt;0,"支給済","不支給"),IF($AC784="","要確認",IF($AC784=0,"不支給","未処理")))))</f>
        <v/>
      </c>
      <c r="AE784" s="12" t="n"/>
      <c r="AF784" s="11" t="n"/>
      <c r="AG784" s="11" t="n"/>
      <c r="AH784" s="11" t="n"/>
      <c r="AI784" s="14">
        <f>IF(AND($AD784="保留中",$AF784&lt;&gt;""),TODAY()-$AF784,"")</f>
        <v/>
      </c>
      <c r="AJ784" s="12" t="n"/>
      <c r="AK784" s="14">
        <f>IF($B784="","",IF($AO784="","対象年月が未入力／","")&amp;IF($B784="","",IF($AN784="","職員マスタに未登録の職員番号／",IF($Y784="","標準報酬月額が未登録／","")&amp;IF(AND($AO784&lt;&gt;"",OR(AND(INDEX(職員マスタ!$G$6:$G$405,$AN784)&lt;&gt;"",INDEX(職員マスタ!$G$6:$G$405,$AN784)&gt;EOMONTH($AO784,0)),AND(INDEX(職員マスタ!$H$6:$H$405,$AN784)&lt;&gt;"",INDEX(職員マスタ!$H$6:$H$405,$AN784)&lt;$AO784))),"対象月が時短期間外／","")&amp;IF(AND(INDEX(職員マスタ!$F$6:$F$405,$AN784)&lt;&gt;"",$AO784&lt;&gt;"",INDEX(職員マスタ!$F$6:$F$405,$AN784)&lt;$AO784),"対象月に子が2歳到達済／","")&amp;IF(AND($H784&lt;&gt;"",INDEX(職員マスタ!$B$6:$B$405,$AN784)&lt;&gt;"",SUBSTITUTE(SUBSTITUTE($H784," ","")," ","")&lt;&gt;SUBSTITUTE(SUBSTITUTE(INDEX(職員マスタ!$B$6:$B$405,$AN784)," ","")," ","")),"氏名がマスタと相違／","")&amp;IF(AND($Q784&lt;&gt;"",INDEX(職員マスタ!$E$6:$E$405,$AN784)&lt;&gt;"",$Q784&lt;&gt;INDEX(職員マスタ!$E$6:$E$405,$AN784)),"子の生年月日がマスタと相違／","")&amp;IF(AND($L784&lt;&gt;"",INDEX(職員マスタ!$G$6:$G$405,$AN784)&lt;&gt;"",$L784&lt;&gt;INDEX(職員マスタ!$G$6:$G$405,$AN784)),"時短開始日がマスタと相違／","")&amp;IF(AND($M784&lt;&gt;"",INDEX(職員マスタ!$H$6:$H$405,$AN784)&lt;&gt;"",$M784&lt;&gt;INDEX(職員マスタ!$H$6:$H$405,$AN784)),"時短終了日がマスタと相違／","")))&amp;IF(AND($B784&lt;&gt;"",$E784=""),"報酬額が未入力／","")&amp;IF(N($U784)&gt;0,"申請書に入力エラーが残っています／","")&amp;IF(AND($B784&lt;&gt;"",$AO784&lt;&gt;""),IF(COUNTIFS($B$6:$B$3005,$B784,$C$6:$C$3005,$C784,$D$6:$D$3005,$D784)&gt;1,"同じ月の請求が重複しています／",""),"")&amp;IF(AND(N($E784)&gt;0,$Z784&lt;&gt;"",$Z784&lt;&gt;"×",$AC784=0,$AB784=""),"計算額が下限以下のため不支給／",""))</f>
        <v/>
      </c>
      <c r="AL784" s="12" t="n"/>
      <c r="AM784" s="14">
        <f>IF($AD784="保留中",COUNTIF($AD$6:$AD784,"保留中"),"")</f>
        <v/>
      </c>
      <c r="AN784" s="14">
        <f>IF($AO784="","",IF(SUMPRODUCT(MAX((職員マスタ!$A$6:$A$405=$B784)*(((職員マスタ!$G$6:$G$405="")+(職員マスタ!$G$6:$G$405&lt;=EOMONTH($AO784,0)))&gt;0)*(((職員マスタ!$H$6:$H$405="")+(職員マスタ!$H$6:$H$405&gt;=$AO784))&gt;0)*(ROW(職員マスタ!$A$6:$A$405)-5)))&gt;0,SUMPRODUCT(MAX((職員マスタ!$A$6:$A$405=$B784)*(((職員マスタ!$G$6:$G$405="")+(職員マスタ!$G$6:$G$405&lt;=EOMONTH($AO784,0)))&gt;0)*(((職員マスタ!$H$6:$H$405="")+(職員マスタ!$H$6:$H$405&gt;=$AO784))&gt;0)*(ROW(職員マスタ!$A$6:$A$405)-5))),IFERROR(MATCH($B784,職員マスタ!$A$6:$A$405,0),"")))</f>
        <v/>
      </c>
      <c r="AO784" s="16">
        <f>IF(OR($B784="",$C784="",$D784=""),"",DATE($C784+2018,$D784,1))</f>
        <v/>
      </c>
    </row>
    <row r="785">
      <c r="A785" s="11" t="n"/>
      <c r="B785" s="12" t="n"/>
      <c r="C785" s="12" t="n"/>
      <c r="D785" s="12" t="n"/>
      <c r="E785" s="13" t="n"/>
      <c r="F785" s="12" t="n"/>
      <c r="G785" s="13" t="n"/>
      <c r="H785" s="12" t="n"/>
      <c r="I785" s="12" t="n"/>
      <c r="J785" s="12" t="n"/>
      <c r="K785" s="12" t="n"/>
      <c r="L785" s="11" t="n"/>
      <c r="M785" s="11" t="n"/>
      <c r="N785" s="11" t="n"/>
      <c r="O785" s="11" t="n"/>
      <c r="P785" s="12" t="n"/>
      <c r="Q785" s="11" t="n"/>
      <c r="R785" s="12" t="n"/>
      <c r="S785" s="11" t="n"/>
      <c r="T785" s="12" t="n"/>
      <c r="U785" s="12" t="n"/>
      <c r="V785" s="14">
        <f>IF($AN785="",IF($B785="","",$H785),IF(INDEX(職員マスタ!$B$6:$B$405,$AN785)="",$H785,INDEX(職員マスタ!$B$6:$B$405,$AN785)))</f>
        <v/>
      </c>
      <c r="W785" s="14">
        <f>IF($AN785="",IF($B785="","",$R785),IF(INDEX(職員マスタ!$C$6:$C$405,$AN785)="",$R785,INDEX(職員マスタ!$C$6:$C$405,$AN785)))</f>
        <v/>
      </c>
      <c r="X785" s="14">
        <f>IF($AO785="","","R"&amp;$C785&amp;"."&amp;$D785)</f>
        <v/>
      </c>
      <c r="Y785" s="15">
        <f>IF($AN785="","",IF(INDEX(職員マスタ!$K$6:$K$405,$AN785)="","",INDEX(職員マスタ!$K$6:$K$405,$AN785)))</f>
        <v/>
      </c>
      <c r="Z785" s="14">
        <f>IF(OR($E785="",$Y785=""),"",IF($E785&gt;=$Y785,"×",IF($E785&gt;=$Y785*設定!$C$5,"△","○")))</f>
        <v/>
      </c>
      <c r="AA785" s="15">
        <f>IF($Z785="","",IF($Z785="×",0,IF($Z785="○",ROUNDDOWN($E785*設定!$C$4,0),ROUNDDOWN($E785*ROUND((9*$Y785-9*$E785)/(10*$E785),4),0))))</f>
        <v/>
      </c>
      <c r="AB785" s="13" t="n"/>
      <c r="AC785" s="15">
        <f>IF($B785="","",IF($AB785&lt;&gt;"",$AB785,IF($AA785="","",IF($AA785&lt;=設定!$C$3,0,$AA785))))</f>
        <v/>
      </c>
      <c r="AD785" s="14">
        <f>IF($B785="","",IF(AND($AE785&lt;&gt;"",$AG785="",$AJ785=""),"保留中",IF($AJ785&lt;&gt;"",IF(N($AC785)&gt;0,"支給済","不支給"),IF($AC785="","要確認",IF($AC785=0,"不支給","未処理")))))</f>
        <v/>
      </c>
      <c r="AE785" s="12" t="n"/>
      <c r="AF785" s="11" t="n"/>
      <c r="AG785" s="11" t="n"/>
      <c r="AH785" s="11" t="n"/>
      <c r="AI785" s="14">
        <f>IF(AND($AD785="保留中",$AF785&lt;&gt;""),TODAY()-$AF785,"")</f>
        <v/>
      </c>
      <c r="AJ785" s="12" t="n"/>
      <c r="AK785" s="14">
        <f>IF($B785="","",IF($AO785="","対象年月が未入力／","")&amp;IF($B785="","",IF($AN785="","職員マスタに未登録の職員番号／",IF($Y785="","標準報酬月額が未登録／","")&amp;IF(AND($AO785&lt;&gt;"",OR(AND(INDEX(職員マスタ!$G$6:$G$405,$AN785)&lt;&gt;"",INDEX(職員マスタ!$G$6:$G$405,$AN785)&gt;EOMONTH($AO785,0)),AND(INDEX(職員マスタ!$H$6:$H$405,$AN785)&lt;&gt;"",INDEX(職員マスタ!$H$6:$H$405,$AN785)&lt;$AO785))),"対象月が時短期間外／","")&amp;IF(AND(INDEX(職員マスタ!$F$6:$F$405,$AN785)&lt;&gt;"",$AO785&lt;&gt;"",INDEX(職員マスタ!$F$6:$F$405,$AN785)&lt;$AO785),"対象月に子が2歳到達済／","")&amp;IF(AND($H785&lt;&gt;"",INDEX(職員マスタ!$B$6:$B$405,$AN785)&lt;&gt;"",SUBSTITUTE(SUBSTITUTE($H785," ","")," ","")&lt;&gt;SUBSTITUTE(SUBSTITUTE(INDEX(職員マスタ!$B$6:$B$405,$AN785)," ","")," ","")),"氏名がマスタと相違／","")&amp;IF(AND($Q785&lt;&gt;"",INDEX(職員マスタ!$E$6:$E$405,$AN785)&lt;&gt;"",$Q785&lt;&gt;INDEX(職員マスタ!$E$6:$E$405,$AN785)),"子の生年月日がマスタと相違／","")&amp;IF(AND($L785&lt;&gt;"",INDEX(職員マスタ!$G$6:$G$405,$AN785)&lt;&gt;"",$L785&lt;&gt;INDEX(職員マスタ!$G$6:$G$405,$AN785)),"時短開始日がマスタと相違／","")&amp;IF(AND($M785&lt;&gt;"",INDEX(職員マスタ!$H$6:$H$405,$AN785)&lt;&gt;"",$M785&lt;&gt;INDEX(職員マスタ!$H$6:$H$405,$AN785)),"時短終了日がマスタと相違／","")))&amp;IF(AND($B785&lt;&gt;"",$E785=""),"報酬額が未入力／","")&amp;IF(N($U785)&gt;0,"申請書に入力エラーが残っています／","")&amp;IF(AND($B785&lt;&gt;"",$AO785&lt;&gt;""),IF(COUNTIFS($B$6:$B$3005,$B785,$C$6:$C$3005,$C785,$D$6:$D$3005,$D785)&gt;1,"同じ月の請求が重複しています／",""),"")&amp;IF(AND(N($E785)&gt;0,$Z785&lt;&gt;"",$Z785&lt;&gt;"×",$AC785=0,$AB785=""),"計算額が下限以下のため不支給／",""))</f>
        <v/>
      </c>
      <c r="AL785" s="12" t="n"/>
      <c r="AM785" s="14">
        <f>IF($AD785="保留中",COUNTIF($AD$6:$AD785,"保留中"),"")</f>
        <v/>
      </c>
      <c r="AN785" s="14">
        <f>IF($AO785="","",IF(SUMPRODUCT(MAX((職員マスタ!$A$6:$A$405=$B785)*(((職員マスタ!$G$6:$G$405="")+(職員マスタ!$G$6:$G$405&lt;=EOMONTH($AO785,0)))&gt;0)*(((職員マスタ!$H$6:$H$405="")+(職員マスタ!$H$6:$H$405&gt;=$AO785))&gt;0)*(ROW(職員マスタ!$A$6:$A$405)-5)))&gt;0,SUMPRODUCT(MAX((職員マスタ!$A$6:$A$405=$B785)*(((職員マスタ!$G$6:$G$405="")+(職員マスタ!$G$6:$G$405&lt;=EOMONTH($AO785,0)))&gt;0)*(((職員マスタ!$H$6:$H$405="")+(職員マスタ!$H$6:$H$405&gt;=$AO785))&gt;0)*(ROW(職員マスタ!$A$6:$A$405)-5))),IFERROR(MATCH($B785,職員マスタ!$A$6:$A$405,0),"")))</f>
        <v/>
      </c>
      <c r="AO785" s="16">
        <f>IF(OR($B785="",$C785="",$D785=""),"",DATE($C785+2018,$D785,1))</f>
        <v/>
      </c>
    </row>
    <row r="786">
      <c r="A786" s="11" t="n"/>
      <c r="B786" s="12" t="n"/>
      <c r="C786" s="12" t="n"/>
      <c r="D786" s="12" t="n"/>
      <c r="E786" s="13" t="n"/>
      <c r="F786" s="12" t="n"/>
      <c r="G786" s="13" t="n"/>
      <c r="H786" s="12" t="n"/>
      <c r="I786" s="12" t="n"/>
      <c r="J786" s="12" t="n"/>
      <c r="K786" s="12" t="n"/>
      <c r="L786" s="11" t="n"/>
      <c r="M786" s="11" t="n"/>
      <c r="N786" s="11" t="n"/>
      <c r="O786" s="11" t="n"/>
      <c r="P786" s="12" t="n"/>
      <c r="Q786" s="11" t="n"/>
      <c r="R786" s="12" t="n"/>
      <c r="S786" s="11" t="n"/>
      <c r="T786" s="12" t="n"/>
      <c r="U786" s="12" t="n"/>
      <c r="V786" s="14">
        <f>IF($AN786="",IF($B786="","",$H786),IF(INDEX(職員マスタ!$B$6:$B$405,$AN786)="",$H786,INDEX(職員マスタ!$B$6:$B$405,$AN786)))</f>
        <v/>
      </c>
      <c r="W786" s="14">
        <f>IF($AN786="",IF($B786="","",$R786),IF(INDEX(職員マスタ!$C$6:$C$405,$AN786)="",$R786,INDEX(職員マスタ!$C$6:$C$405,$AN786)))</f>
        <v/>
      </c>
      <c r="X786" s="14">
        <f>IF($AO786="","","R"&amp;$C786&amp;"."&amp;$D786)</f>
        <v/>
      </c>
      <c r="Y786" s="15">
        <f>IF($AN786="","",IF(INDEX(職員マスタ!$K$6:$K$405,$AN786)="","",INDEX(職員マスタ!$K$6:$K$405,$AN786)))</f>
        <v/>
      </c>
      <c r="Z786" s="14">
        <f>IF(OR($E786="",$Y786=""),"",IF($E786&gt;=$Y786,"×",IF($E786&gt;=$Y786*設定!$C$5,"△","○")))</f>
        <v/>
      </c>
      <c r="AA786" s="15">
        <f>IF($Z786="","",IF($Z786="×",0,IF($Z786="○",ROUNDDOWN($E786*設定!$C$4,0),ROUNDDOWN($E786*ROUND((9*$Y786-9*$E786)/(10*$E786),4),0))))</f>
        <v/>
      </c>
      <c r="AB786" s="13" t="n"/>
      <c r="AC786" s="15">
        <f>IF($B786="","",IF($AB786&lt;&gt;"",$AB786,IF($AA786="","",IF($AA786&lt;=設定!$C$3,0,$AA786))))</f>
        <v/>
      </c>
      <c r="AD786" s="14">
        <f>IF($B786="","",IF(AND($AE786&lt;&gt;"",$AG786="",$AJ786=""),"保留中",IF($AJ786&lt;&gt;"",IF(N($AC786)&gt;0,"支給済","不支給"),IF($AC786="","要確認",IF($AC786=0,"不支給","未処理")))))</f>
        <v/>
      </c>
      <c r="AE786" s="12" t="n"/>
      <c r="AF786" s="11" t="n"/>
      <c r="AG786" s="11" t="n"/>
      <c r="AH786" s="11" t="n"/>
      <c r="AI786" s="14">
        <f>IF(AND($AD786="保留中",$AF786&lt;&gt;""),TODAY()-$AF786,"")</f>
        <v/>
      </c>
      <c r="AJ786" s="12" t="n"/>
      <c r="AK786" s="14">
        <f>IF($B786="","",IF($AO786="","対象年月が未入力／","")&amp;IF($B786="","",IF($AN786="","職員マスタに未登録の職員番号／",IF($Y786="","標準報酬月額が未登録／","")&amp;IF(AND($AO786&lt;&gt;"",OR(AND(INDEX(職員マスタ!$G$6:$G$405,$AN786)&lt;&gt;"",INDEX(職員マスタ!$G$6:$G$405,$AN786)&gt;EOMONTH($AO786,0)),AND(INDEX(職員マスタ!$H$6:$H$405,$AN786)&lt;&gt;"",INDEX(職員マスタ!$H$6:$H$405,$AN786)&lt;$AO786))),"対象月が時短期間外／","")&amp;IF(AND(INDEX(職員マスタ!$F$6:$F$405,$AN786)&lt;&gt;"",$AO786&lt;&gt;"",INDEX(職員マスタ!$F$6:$F$405,$AN786)&lt;$AO786),"対象月に子が2歳到達済／","")&amp;IF(AND($H786&lt;&gt;"",INDEX(職員マスタ!$B$6:$B$405,$AN786)&lt;&gt;"",SUBSTITUTE(SUBSTITUTE($H786," ","")," ","")&lt;&gt;SUBSTITUTE(SUBSTITUTE(INDEX(職員マスタ!$B$6:$B$405,$AN786)," ","")," ","")),"氏名がマスタと相違／","")&amp;IF(AND($Q786&lt;&gt;"",INDEX(職員マスタ!$E$6:$E$405,$AN786)&lt;&gt;"",$Q786&lt;&gt;INDEX(職員マスタ!$E$6:$E$405,$AN786)),"子の生年月日がマスタと相違／","")&amp;IF(AND($L786&lt;&gt;"",INDEX(職員マスタ!$G$6:$G$405,$AN786)&lt;&gt;"",$L786&lt;&gt;INDEX(職員マスタ!$G$6:$G$405,$AN786)),"時短開始日がマスタと相違／","")&amp;IF(AND($M786&lt;&gt;"",INDEX(職員マスタ!$H$6:$H$405,$AN786)&lt;&gt;"",$M786&lt;&gt;INDEX(職員マスタ!$H$6:$H$405,$AN786)),"時短終了日がマスタと相違／","")))&amp;IF(AND($B786&lt;&gt;"",$E786=""),"報酬額が未入力／","")&amp;IF(N($U786)&gt;0,"申請書に入力エラーが残っています／","")&amp;IF(AND($B786&lt;&gt;"",$AO786&lt;&gt;""),IF(COUNTIFS($B$6:$B$3005,$B786,$C$6:$C$3005,$C786,$D$6:$D$3005,$D786)&gt;1,"同じ月の請求が重複しています／",""),"")&amp;IF(AND(N($E786)&gt;0,$Z786&lt;&gt;"",$Z786&lt;&gt;"×",$AC786=0,$AB786=""),"計算額が下限以下のため不支給／",""))</f>
        <v/>
      </c>
      <c r="AL786" s="12" t="n"/>
      <c r="AM786" s="14">
        <f>IF($AD786="保留中",COUNTIF($AD$6:$AD786,"保留中"),"")</f>
        <v/>
      </c>
      <c r="AN786" s="14">
        <f>IF($AO786="","",IF(SUMPRODUCT(MAX((職員マスタ!$A$6:$A$405=$B786)*(((職員マスタ!$G$6:$G$405="")+(職員マスタ!$G$6:$G$405&lt;=EOMONTH($AO786,0)))&gt;0)*(((職員マスタ!$H$6:$H$405="")+(職員マスタ!$H$6:$H$405&gt;=$AO786))&gt;0)*(ROW(職員マスタ!$A$6:$A$405)-5)))&gt;0,SUMPRODUCT(MAX((職員マスタ!$A$6:$A$405=$B786)*(((職員マスタ!$G$6:$G$405="")+(職員マスタ!$G$6:$G$405&lt;=EOMONTH($AO786,0)))&gt;0)*(((職員マスタ!$H$6:$H$405="")+(職員マスタ!$H$6:$H$405&gt;=$AO786))&gt;0)*(ROW(職員マスタ!$A$6:$A$405)-5))),IFERROR(MATCH($B786,職員マスタ!$A$6:$A$405,0),"")))</f>
        <v/>
      </c>
      <c r="AO786" s="16">
        <f>IF(OR($B786="",$C786="",$D786=""),"",DATE($C786+2018,$D786,1))</f>
        <v/>
      </c>
    </row>
    <row r="787">
      <c r="A787" s="11" t="n"/>
      <c r="B787" s="12" t="n"/>
      <c r="C787" s="12" t="n"/>
      <c r="D787" s="12" t="n"/>
      <c r="E787" s="13" t="n"/>
      <c r="F787" s="12" t="n"/>
      <c r="G787" s="13" t="n"/>
      <c r="H787" s="12" t="n"/>
      <c r="I787" s="12" t="n"/>
      <c r="J787" s="12" t="n"/>
      <c r="K787" s="12" t="n"/>
      <c r="L787" s="11" t="n"/>
      <c r="M787" s="11" t="n"/>
      <c r="N787" s="11" t="n"/>
      <c r="O787" s="11" t="n"/>
      <c r="P787" s="12" t="n"/>
      <c r="Q787" s="11" t="n"/>
      <c r="R787" s="12" t="n"/>
      <c r="S787" s="11" t="n"/>
      <c r="T787" s="12" t="n"/>
      <c r="U787" s="12" t="n"/>
      <c r="V787" s="14">
        <f>IF($AN787="",IF($B787="","",$H787),IF(INDEX(職員マスタ!$B$6:$B$405,$AN787)="",$H787,INDEX(職員マスタ!$B$6:$B$405,$AN787)))</f>
        <v/>
      </c>
      <c r="W787" s="14">
        <f>IF($AN787="",IF($B787="","",$R787),IF(INDEX(職員マスタ!$C$6:$C$405,$AN787)="",$R787,INDEX(職員マスタ!$C$6:$C$405,$AN787)))</f>
        <v/>
      </c>
      <c r="X787" s="14">
        <f>IF($AO787="","","R"&amp;$C787&amp;"."&amp;$D787)</f>
        <v/>
      </c>
      <c r="Y787" s="15">
        <f>IF($AN787="","",IF(INDEX(職員マスタ!$K$6:$K$405,$AN787)="","",INDEX(職員マスタ!$K$6:$K$405,$AN787)))</f>
        <v/>
      </c>
      <c r="Z787" s="14">
        <f>IF(OR($E787="",$Y787=""),"",IF($E787&gt;=$Y787,"×",IF($E787&gt;=$Y787*設定!$C$5,"△","○")))</f>
        <v/>
      </c>
      <c r="AA787" s="15">
        <f>IF($Z787="","",IF($Z787="×",0,IF($Z787="○",ROUNDDOWN($E787*設定!$C$4,0),ROUNDDOWN($E787*ROUND((9*$Y787-9*$E787)/(10*$E787),4),0))))</f>
        <v/>
      </c>
      <c r="AB787" s="13" t="n"/>
      <c r="AC787" s="15">
        <f>IF($B787="","",IF($AB787&lt;&gt;"",$AB787,IF($AA787="","",IF($AA787&lt;=設定!$C$3,0,$AA787))))</f>
        <v/>
      </c>
      <c r="AD787" s="14">
        <f>IF($B787="","",IF(AND($AE787&lt;&gt;"",$AG787="",$AJ787=""),"保留中",IF($AJ787&lt;&gt;"",IF(N($AC787)&gt;0,"支給済","不支給"),IF($AC787="","要確認",IF($AC787=0,"不支給","未処理")))))</f>
        <v/>
      </c>
      <c r="AE787" s="12" t="n"/>
      <c r="AF787" s="11" t="n"/>
      <c r="AG787" s="11" t="n"/>
      <c r="AH787" s="11" t="n"/>
      <c r="AI787" s="14">
        <f>IF(AND($AD787="保留中",$AF787&lt;&gt;""),TODAY()-$AF787,"")</f>
        <v/>
      </c>
      <c r="AJ787" s="12" t="n"/>
      <c r="AK787" s="14">
        <f>IF($B787="","",IF($AO787="","対象年月が未入力／","")&amp;IF($B787="","",IF($AN787="","職員マスタに未登録の職員番号／",IF($Y787="","標準報酬月額が未登録／","")&amp;IF(AND($AO787&lt;&gt;"",OR(AND(INDEX(職員マスタ!$G$6:$G$405,$AN787)&lt;&gt;"",INDEX(職員マスタ!$G$6:$G$405,$AN787)&gt;EOMONTH($AO787,0)),AND(INDEX(職員マスタ!$H$6:$H$405,$AN787)&lt;&gt;"",INDEX(職員マスタ!$H$6:$H$405,$AN787)&lt;$AO787))),"対象月が時短期間外／","")&amp;IF(AND(INDEX(職員マスタ!$F$6:$F$405,$AN787)&lt;&gt;"",$AO787&lt;&gt;"",INDEX(職員マスタ!$F$6:$F$405,$AN787)&lt;$AO787),"対象月に子が2歳到達済／","")&amp;IF(AND($H787&lt;&gt;"",INDEX(職員マスタ!$B$6:$B$405,$AN787)&lt;&gt;"",SUBSTITUTE(SUBSTITUTE($H787," ","")," ","")&lt;&gt;SUBSTITUTE(SUBSTITUTE(INDEX(職員マスタ!$B$6:$B$405,$AN787)," ","")," ","")),"氏名がマスタと相違／","")&amp;IF(AND($Q787&lt;&gt;"",INDEX(職員マスタ!$E$6:$E$405,$AN787)&lt;&gt;"",$Q787&lt;&gt;INDEX(職員マスタ!$E$6:$E$405,$AN787)),"子の生年月日がマスタと相違／","")&amp;IF(AND($L787&lt;&gt;"",INDEX(職員マスタ!$G$6:$G$405,$AN787)&lt;&gt;"",$L787&lt;&gt;INDEX(職員マスタ!$G$6:$G$405,$AN787)),"時短開始日がマスタと相違／","")&amp;IF(AND($M787&lt;&gt;"",INDEX(職員マスタ!$H$6:$H$405,$AN787)&lt;&gt;"",$M787&lt;&gt;INDEX(職員マスタ!$H$6:$H$405,$AN787)),"時短終了日がマスタと相違／","")))&amp;IF(AND($B787&lt;&gt;"",$E787=""),"報酬額が未入力／","")&amp;IF(N($U787)&gt;0,"申請書に入力エラーが残っています／","")&amp;IF(AND($B787&lt;&gt;"",$AO787&lt;&gt;""),IF(COUNTIFS($B$6:$B$3005,$B787,$C$6:$C$3005,$C787,$D$6:$D$3005,$D787)&gt;1,"同じ月の請求が重複しています／",""),"")&amp;IF(AND(N($E787)&gt;0,$Z787&lt;&gt;"",$Z787&lt;&gt;"×",$AC787=0,$AB787=""),"計算額が下限以下のため不支給／",""))</f>
        <v/>
      </c>
      <c r="AL787" s="12" t="n"/>
      <c r="AM787" s="14">
        <f>IF($AD787="保留中",COUNTIF($AD$6:$AD787,"保留中"),"")</f>
        <v/>
      </c>
      <c r="AN787" s="14">
        <f>IF($AO787="","",IF(SUMPRODUCT(MAX((職員マスタ!$A$6:$A$405=$B787)*(((職員マスタ!$G$6:$G$405="")+(職員マスタ!$G$6:$G$405&lt;=EOMONTH($AO787,0)))&gt;0)*(((職員マスタ!$H$6:$H$405="")+(職員マスタ!$H$6:$H$405&gt;=$AO787))&gt;0)*(ROW(職員マスタ!$A$6:$A$405)-5)))&gt;0,SUMPRODUCT(MAX((職員マスタ!$A$6:$A$405=$B787)*(((職員マスタ!$G$6:$G$405="")+(職員マスタ!$G$6:$G$405&lt;=EOMONTH($AO787,0)))&gt;0)*(((職員マスタ!$H$6:$H$405="")+(職員マスタ!$H$6:$H$405&gt;=$AO787))&gt;0)*(ROW(職員マスタ!$A$6:$A$405)-5))),IFERROR(MATCH($B787,職員マスタ!$A$6:$A$405,0),"")))</f>
        <v/>
      </c>
      <c r="AO787" s="16">
        <f>IF(OR($B787="",$C787="",$D787=""),"",DATE($C787+2018,$D787,1))</f>
        <v/>
      </c>
    </row>
    <row r="788">
      <c r="A788" s="11" t="n"/>
      <c r="B788" s="12" t="n"/>
      <c r="C788" s="12" t="n"/>
      <c r="D788" s="12" t="n"/>
      <c r="E788" s="13" t="n"/>
      <c r="F788" s="12" t="n"/>
      <c r="G788" s="13" t="n"/>
      <c r="H788" s="12" t="n"/>
      <c r="I788" s="12" t="n"/>
      <c r="J788" s="12" t="n"/>
      <c r="K788" s="12" t="n"/>
      <c r="L788" s="11" t="n"/>
      <c r="M788" s="11" t="n"/>
      <c r="N788" s="11" t="n"/>
      <c r="O788" s="11" t="n"/>
      <c r="P788" s="12" t="n"/>
      <c r="Q788" s="11" t="n"/>
      <c r="R788" s="12" t="n"/>
      <c r="S788" s="11" t="n"/>
      <c r="T788" s="12" t="n"/>
      <c r="U788" s="12" t="n"/>
      <c r="V788" s="14">
        <f>IF($AN788="",IF($B788="","",$H788),IF(INDEX(職員マスタ!$B$6:$B$405,$AN788)="",$H788,INDEX(職員マスタ!$B$6:$B$405,$AN788)))</f>
        <v/>
      </c>
      <c r="W788" s="14">
        <f>IF($AN788="",IF($B788="","",$R788),IF(INDEX(職員マスタ!$C$6:$C$405,$AN788)="",$R788,INDEX(職員マスタ!$C$6:$C$405,$AN788)))</f>
        <v/>
      </c>
      <c r="X788" s="14">
        <f>IF($AO788="","","R"&amp;$C788&amp;"."&amp;$D788)</f>
        <v/>
      </c>
      <c r="Y788" s="15">
        <f>IF($AN788="","",IF(INDEX(職員マスタ!$K$6:$K$405,$AN788)="","",INDEX(職員マスタ!$K$6:$K$405,$AN788)))</f>
        <v/>
      </c>
      <c r="Z788" s="14">
        <f>IF(OR($E788="",$Y788=""),"",IF($E788&gt;=$Y788,"×",IF($E788&gt;=$Y788*設定!$C$5,"△","○")))</f>
        <v/>
      </c>
      <c r="AA788" s="15">
        <f>IF($Z788="","",IF($Z788="×",0,IF($Z788="○",ROUNDDOWN($E788*設定!$C$4,0),ROUNDDOWN($E788*ROUND((9*$Y788-9*$E788)/(10*$E788),4),0))))</f>
        <v/>
      </c>
      <c r="AB788" s="13" t="n"/>
      <c r="AC788" s="15">
        <f>IF($B788="","",IF($AB788&lt;&gt;"",$AB788,IF($AA788="","",IF($AA788&lt;=設定!$C$3,0,$AA788))))</f>
        <v/>
      </c>
      <c r="AD788" s="14">
        <f>IF($B788="","",IF(AND($AE788&lt;&gt;"",$AG788="",$AJ788=""),"保留中",IF($AJ788&lt;&gt;"",IF(N($AC788)&gt;0,"支給済","不支給"),IF($AC788="","要確認",IF($AC788=0,"不支給","未処理")))))</f>
        <v/>
      </c>
      <c r="AE788" s="12" t="n"/>
      <c r="AF788" s="11" t="n"/>
      <c r="AG788" s="11" t="n"/>
      <c r="AH788" s="11" t="n"/>
      <c r="AI788" s="14">
        <f>IF(AND($AD788="保留中",$AF788&lt;&gt;""),TODAY()-$AF788,"")</f>
        <v/>
      </c>
      <c r="AJ788" s="12" t="n"/>
      <c r="AK788" s="14">
        <f>IF($B788="","",IF($AO788="","対象年月が未入力／","")&amp;IF($B788="","",IF($AN788="","職員マスタに未登録の職員番号／",IF($Y788="","標準報酬月額が未登録／","")&amp;IF(AND($AO788&lt;&gt;"",OR(AND(INDEX(職員マスタ!$G$6:$G$405,$AN788)&lt;&gt;"",INDEX(職員マスタ!$G$6:$G$405,$AN788)&gt;EOMONTH($AO788,0)),AND(INDEX(職員マスタ!$H$6:$H$405,$AN788)&lt;&gt;"",INDEX(職員マスタ!$H$6:$H$405,$AN788)&lt;$AO788))),"対象月が時短期間外／","")&amp;IF(AND(INDEX(職員マスタ!$F$6:$F$405,$AN788)&lt;&gt;"",$AO788&lt;&gt;"",INDEX(職員マスタ!$F$6:$F$405,$AN788)&lt;$AO788),"対象月に子が2歳到達済／","")&amp;IF(AND($H788&lt;&gt;"",INDEX(職員マスタ!$B$6:$B$405,$AN788)&lt;&gt;"",SUBSTITUTE(SUBSTITUTE($H788," ","")," ","")&lt;&gt;SUBSTITUTE(SUBSTITUTE(INDEX(職員マスタ!$B$6:$B$405,$AN788)," ","")," ","")),"氏名がマスタと相違／","")&amp;IF(AND($Q788&lt;&gt;"",INDEX(職員マスタ!$E$6:$E$405,$AN788)&lt;&gt;"",$Q788&lt;&gt;INDEX(職員マスタ!$E$6:$E$405,$AN788)),"子の生年月日がマスタと相違／","")&amp;IF(AND($L788&lt;&gt;"",INDEX(職員マスタ!$G$6:$G$405,$AN788)&lt;&gt;"",$L788&lt;&gt;INDEX(職員マスタ!$G$6:$G$405,$AN788)),"時短開始日がマスタと相違／","")&amp;IF(AND($M788&lt;&gt;"",INDEX(職員マスタ!$H$6:$H$405,$AN788)&lt;&gt;"",$M788&lt;&gt;INDEX(職員マスタ!$H$6:$H$405,$AN788)),"時短終了日がマスタと相違／","")))&amp;IF(AND($B788&lt;&gt;"",$E788=""),"報酬額が未入力／","")&amp;IF(N($U788)&gt;0,"申請書に入力エラーが残っています／","")&amp;IF(AND($B788&lt;&gt;"",$AO788&lt;&gt;""),IF(COUNTIFS($B$6:$B$3005,$B788,$C$6:$C$3005,$C788,$D$6:$D$3005,$D788)&gt;1,"同じ月の請求が重複しています／",""),"")&amp;IF(AND(N($E788)&gt;0,$Z788&lt;&gt;"",$Z788&lt;&gt;"×",$AC788=0,$AB788=""),"計算額が下限以下のため不支給／",""))</f>
        <v/>
      </c>
      <c r="AL788" s="12" t="n"/>
      <c r="AM788" s="14">
        <f>IF($AD788="保留中",COUNTIF($AD$6:$AD788,"保留中"),"")</f>
        <v/>
      </c>
      <c r="AN788" s="14">
        <f>IF($AO788="","",IF(SUMPRODUCT(MAX((職員マスタ!$A$6:$A$405=$B788)*(((職員マスタ!$G$6:$G$405="")+(職員マスタ!$G$6:$G$405&lt;=EOMONTH($AO788,0)))&gt;0)*(((職員マスタ!$H$6:$H$405="")+(職員マスタ!$H$6:$H$405&gt;=$AO788))&gt;0)*(ROW(職員マスタ!$A$6:$A$405)-5)))&gt;0,SUMPRODUCT(MAX((職員マスタ!$A$6:$A$405=$B788)*(((職員マスタ!$G$6:$G$405="")+(職員マスタ!$G$6:$G$405&lt;=EOMONTH($AO788,0)))&gt;0)*(((職員マスタ!$H$6:$H$405="")+(職員マスタ!$H$6:$H$405&gt;=$AO788))&gt;0)*(ROW(職員マスタ!$A$6:$A$405)-5))),IFERROR(MATCH($B788,職員マスタ!$A$6:$A$405,0),"")))</f>
        <v/>
      </c>
      <c r="AO788" s="16">
        <f>IF(OR($B788="",$C788="",$D788=""),"",DATE($C788+2018,$D788,1))</f>
        <v/>
      </c>
    </row>
    <row r="789">
      <c r="A789" s="11" t="n"/>
      <c r="B789" s="12" t="n"/>
      <c r="C789" s="12" t="n"/>
      <c r="D789" s="12" t="n"/>
      <c r="E789" s="13" t="n"/>
      <c r="F789" s="12" t="n"/>
      <c r="G789" s="13" t="n"/>
      <c r="H789" s="12" t="n"/>
      <c r="I789" s="12" t="n"/>
      <c r="J789" s="12" t="n"/>
      <c r="K789" s="12" t="n"/>
      <c r="L789" s="11" t="n"/>
      <c r="M789" s="11" t="n"/>
      <c r="N789" s="11" t="n"/>
      <c r="O789" s="11" t="n"/>
      <c r="P789" s="12" t="n"/>
      <c r="Q789" s="11" t="n"/>
      <c r="R789" s="12" t="n"/>
      <c r="S789" s="11" t="n"/>
      <c r="T789" s="12" t="n"/>
      <c r="U789" s="12" t="n"/>
      <c r="V789" s="14">
        <f>IF($AN789="",IF($B789="","",$H789),IF(INDEX(職員マスタ!$B$6:$B$405,$AN789)="",$H789,INDEX(職員マスタ!$B$6:$B$405,$AN789)))</f>
        <v/>
      </c>
      <c r="W789" s="14">
        <f>IF($AN789="",IF($B789="","",$R789),IF(INDEX(職員マスタ!$C$6:$C$405,$AN789)="",$R789,INDEX(職員マスタ!$C$6:$C$405,$AN789)))</f>
        <v/>
      </c>
      <c r="X789" s="14">
        <f>IF($AO789="","","R"&amp;$C789&amp;"."&amp;$D789)</f>
        <v/>
      </c>
      <c r="Y789" s="15">
        <f>IF($AN789="","",IF(INDEX(職員マスタ!$K$6:$K$405,$AN789)="","",INDEX(職員マスタ!$K$6:$K$405,$AN789)))</f>
        <v/>
      </c>
      <c r="Z789" s="14">
        <f>IF(OR($E789="",$Y789=""),"",IF($E789&gt;=$Y789,"×",IF($E789&gt;=$Y789*設定!$C$5,"△","○")))</f>
        <v/>
      </c>
      <c r="AA789" s="15">
        <f>IF($Z789="","",IF($Z789="×",0,IF($Z789="○",ROUNDDOWN($E789*設定!$C$4,0),ROUNDDOWN($E789*ROUND((9*$Y789-9*$E789)/(10*$E789),4),0))))</f>
        <v/>
      </c>
      <c r="AB789" s="13" t="n"/>
      <c r="AC789" s="15">
        <f>IF($B789="","",IF($AB789&lt;&gt;"",$AB789,IF($AA789="","",IF($AA789&lt;=設定!$C$3,0,$AA789))))</f>
        <v/>
      </c>
      <c r="AD789" s="14">
        <f>IF($B789="","",IF(AND($AE789&lt;&gt;"",$AG789="",$AJ789=""),"保留中",IF($AJ789&lt;&gt;"",IF(N($AC789)&gt;0,"支給済","不支給"),IF($AC789="","要確認",IF($AC789=0,"不支給","未処理")))))</f>
        <v/>
      </c>
      <c r="AE789" s="12" t="n"/>
      <c r="AF789" s="11" t="n"/>
      <c r="AG789" s="11" t="n"/>
      <c r="AH789" s="11" t="n"/>
      <c r="AI789" s="14">
        <f>IF(AND($AD789="保留中",$AF789&lt;&gt;""),TODAY()-$AF789,"")</f>
        <v/>
      </c>
      <c r="AJ789" s="12" t="n"/>
      <c r="AK789" s="14">
        <f>IF($B789="","",IF($AO789="","対象年月が未入力／","")&amp;IF($B789="","",IF($AN789="","職員マスタに未登録の職員番号／",IF($Y789="","標準報酬月額が未登録／","")&amp;IF(AND($AO789&lt;&gt;"",OR(AND(INDEX(職員マスタ!$G$6:$G$405,$AN789)&lt;&gt;"",INDEX(職員マスタ!$G$6:$G$405,$AN789)&gt;EOMONTH($AO789,0)),AND(INDEX(職員マスタ!$H$6:$H$405,$AN789)&lt;&gt;"",INDEX(職員マスタ!$H$6:$H$405,$AN789)&lt;$AO789))),"対象月が時短期間外／","")&amp;IF(AND(INDEX(職員マスタ!$F$6:$F$405,$AN789)&lt;&gt;"",$AO789&lt;&gt;"",INDEX(職員マスタ!$F$6:$F$405,$AN789)&lt;$AO789),"対象月に子が2歳到達済／","")&amp;IF(AND($H789&lt;&gt;"",INDEX(職員マスタ!$B$6:$B$405,$AN789)&lt;&gt;"",SUBSTITUTE(SUBSTITUTE($H789," ","")," ","")&lt;&gt;SUBSTITUTE(SUBSTITUTE(INDEX(職員マスタ!$B$6:$B$405,$AN789)," ","")," ","")),"氏名がマスタと相違／","")&amp;IF(AND($Q789&lt;&gt;"",INDEX(職員マスタ!$E$6:$E$405,$AN789)&lt;&gt;"",$Q789&lt;&gt;INDEX(職員マスタ!$E$6:$E$405,$AN789)),"子の生年月日がマスタと相違／","")&amp;IF(AND($L789&lt;&gt;"",INDEX(職員マスタ!$G$6:$G$405,$AN789)&lt;&gt;"",$L789&lt;&gt;INDEX(職員マスタ!$G$6:$G$405,$AN789)),"時短開始日がマスタと相違／","")&amp;IF(AND($M789&lt;&gt;"",INDEX(職員マスタ!$H$6:$H$405,$AN789)&lt;&gt;"",$M789&lt;&gt;INDEX(職員マスタ!$H$6:$H$405,$AN789)),"時短終了日がマスタと相違／","")))&amp;IF(AND($B789&lt;&gt;"",$E789=""),"報酬額が未入力／","")&amp;IF(N($U789)&gt;0,"申請書に入力エラーが残っています／","")&amp;IF(AND($B789&lt;&gt;"",$AO789&lt;&gt;""),IF(COUNTIFS($B$6:$B$3005,$B789,$C$6:$C$3005,$C789,$D$6:$D$3005,$D789)&gt;1,"同じ月の請求が重複しています／",""),"")&amp;IF(AND(N($E789)&gt;0,$Z789&lt;&gt;"",$Z789&lt;&gt;"×",$AC789=0,$AB789=""),"計算額が下限以下のため不支給／",""))</f>
        <v/>
      </c>
      <c r="AL789" s="12" t="n"/>
      <c r="AM789" s="14">
        <f>IF($AD789="保留中",COUNTIF($AD$6:$AD789,"保留中"),"")</f>
        <v/>
      </c>
      <c r="AN789" s="14">
        <f>IF($AO789="","",IF(SUMPRODUCT(MAX((職員マスタ!$A$6:$A$405=$B789)*(((職員マスタ!$G$6:$G$405="")+(職員マスタ!$G$6:$G$405&lt;=EOMONTH($AO789,0)))&gt;0)*(((職員マスタ!$H$6:$H$405="")+(職員マスタ!$H$6:$H$405&gt;=$AO789))&gt;0)*(ROW(職員マスタ!$A$6:$A$405)-5)))&gt;0,SUMPRODUCT(MAX((職員マスタ!$A$6:$A$405=$B789)*(((職員マスタ!$G$6:$G$405="")+(職員マスタ!$G$6:$G$405&lt;=EOMONTH($AO789,0)))&gt;0)*(((職員マスタ!$H$6:$H$405="")+(職員マスタ!$H$6:$H$405&gt;=$AO789))&gt;0)*(ROW(職員マスタ!$A$6:$A$405)-5))),IFERROR(MATCH($B789,職員マスタ!$A$6:$A$405,0),"")))</f>
        <v/>
      </c>
      <c r="AO789" s="16">
        <f>IF(OR($B789="",$C789="",$D789=""),"",DATE($C789+2018,$D789,1))</f>
        <v/>
      </c>
    </row>
    <row r="790">
      <c r="A790" s="11" t="n"/>
      <c r="B790" s="12" t="n"/>
      <c r="C790" s="12" t="n"/>
      <c r="D790" s="12" t="n"/>
      <c r="E790" s="13" t="n"/>
      <c r="F790" s="12" t="n"/>
      <c r="G790" s="13" t="n"/>
      <c r="H790" s="12" t="n"/>
      <c r="I790" s="12" t="n"/>
      <c r="J790" s="12" t="n"/>
      <c r="K790" s="12" t="n"/>
      <c r="L790" s="11" t="n"/>
      <c r="M790" s="11" t="n"/>
      <c r="N790" s="11" t="n"/>
      <c r="O790" s="11" t="n"/>
      <c r="P790" s="12" t="n"/>
      <c r="Q790" s="11" t="n"/>
      <c r="R790" s="12" t="n"/>
      <c r="S790" s="11" t="n"/>
      <c r="T790" s="12" t="n"/>
      <c r="U790" s="12" t="n"/>
      <c r="V790" s="14">
        <f>IF($AN790="",IF($B790="","",$H790),IF(INDEX(職員マスタ!$B$6:$B$405,$AN790)="",$H790,INDEX(職員マスタ!$B$6:$B$405,$AN790)))</f>
        <v/>
      </c>
      <c r="W790" s="14">
        <f>IF($AN790="",IF($B790="","",$R790),IF(INDEX(職員マスタ!$C$6:$C$405,$AN790)="",$R790,INDEX(職員マスタ!$C$6:$C$405,$AN790)))</f>
        <v/>
      </c>
      <c r="X790" s="14">
        <f>IF($AO790="","","R"&amp;$C790&amp;"."&amp;$D790)</f>
        <v/>
      </c>
      <c r="Y790" s="15">
        <f>IF($AN790="","",IF(INDEX(職員マスタ!$K$6:$K$405,$AN790)="","",INDEX(職員マスタ!$K$6:$K$405,$AN790)))</f>
        <v/>
      </c>
      <c r="Z790" s="14">
        <f>IF(OR($E790="",$Y790=""),"",IF($E790&gt;=$Y790,"×",IF($E790&gt;=$Y790*設定!$C$5,"△","○")))</f>
        <v/>
      </c>
      <c r="AA790" s="15">
        <f>IF($Z790="","",IF($Z790="×",0,IF($Z790="○",ROUNDDOWN($E790*設定!$C$4,0),ROUNDDOWN($E790*ROUND((9*$Y790-9*$E790)/(10*$E790),4),0))))</f>
        <v/>
      </c>
      <c r="AB790" s="13" t="n"/>
      <c r="AC790" s="15">
        <f>IF($B790="","",IF($AB790&lt;&gt;"",$AB790,IF($AA790="","",IF($AA790&lt;=設定!$C$3,0,$AA790))))</f>
        <v/>
      </c>
      <c r="AD790" s="14">
        <f>IF($B790="","",IF(AND($AE790&lt;&gt;"",$AG790="",$AJ790=""),"保留中",IF($AJ790&lt;&gt;"",IF(N($AC790)&gt;0,"支給済","不支給"),IF($AC790="","要確認",IF($AC790=0,"不支給","未処理")))))</f>
        <v/>
      </c>
      <c r="AE790" s="12" t="n"/>
      <c r="AF790" s="11" t="n"/>
      <c r="AG790" s="11" t="n"/>
      <c r="AH790" s="11" t="n"/>
      <c r="AI790" s="14">
        <f>IF(AND($AD790="保留中",$AF790&lt;&gt;""),TODAY()-$AF790,"")</f>
        <v/>
      </c>
      <c r="AJ790" s="12" t="n"/>
      <c r="AK790" s="14">
        <f>IF($B790="","",IF($AO790="","対象年月が未入力／","")&amp;IF($B790="","",IF($AN790="","職員マスタに未登録の職員番号／",IF($Y790="","標準報酬月額が未登録／","")&amp;IF(AND($AO790&lt;&gt;"",OR(AND(INDEX(職員マスタ!$G$6:$G$405,$AN790)&lt;&gt;"",INDEX(職員マスタ!$G$6:$G$405,$AN790)&gt;EOMONTH($AO790,0)),AND(INDEX(職員マスタ!$H$6:$H$405,$AN790)&lt;&gt;"",INDEX(職員マスタ!$H$6:$H$405,$AN790)&lt;$AO790))),"対象月が時短期間外／","")&amp;IF(AND(INDEX(職員マスタ!$F$6:$F$405,$AN790)&lt;&gt;"",$AO790&lt;&gt;"",INDEX(職員マスタ!$F$6:$F$405,$AN790)&lt;$AO790),"対象月に子が2歳到達済／","")&amp;IF(AND($H790&lt;&gt;"",INDEX(職員マスタ!$B$6:$B$405,$AN790)&lt;&gt;"",SUBSTITUTE(SUBSTITUTE($H790," ","")," ","")&lt;&gt;SUBSTITUTE(SUBSTITUTE(INDEX(職員マスタ!$B$6:$B$405,$AN790)," ","")," ","")),"氏名がマスタと相違／","")&amp;IF(AND($Q790&lt;&gt;"",INDEX(職員マスタ!$E$6:$E$405,$AN790)&lt;&gt;"",$Q790&lt;&gt;INDEX(職員マスタ!$E$6:$E$405,$AN790)),"子の生年月日がマスタと相違／","")&amp;IF(AND($L790&lt;&gt;"",INDEX(職員マスタ!$G$6:$G$405,$AN790)&lt;&gt;"",$L790&lt;&gt;INDEX(職員マスタ!$G$6:$G$405,$AN790)),"時短開始日がマスタと相違／","")&amp;IF(AND($M790&lt;&gt;"",INDEX(職員マスタ!$H$6:$H$405,$AN790)&lt;&gt;"",$M790&lt;&gt;INDEX(職員マスタ!$H$6:$H$405,$AN790)),"時短終了日がマスタと相違／","")))&amp;IF(AND($B790&lt;&gt;"",$E790=""),"報酬額が未入力／","")&amp;IF(N($U790)&gt;0,"申請書に入力エラーが残っています／","")&amp;IF(AND($B790&lt;&gt;"",$AO790&lt;&gt;""),IF(COUNTIFS($B$6:$B$3005,$B790,$C$6:$C$3005,$C790,$D$6:$D$3005,$D790)&gt;1,"同じ月の請求が重複しています／",""),"")&amp;IF(AND(N($E790)&gt;0,$Z790&lt;&gt;"",$Z790&lt;&gt;"×",$AC790=0,$AB790=""),"計算額が下限以下のため不支給／",""))</f>
        <v/>
      </c>
      <c r="AL790" s="12" t="n"/>
      <c r="AM790" s="14">
        <f>IF($AD790="保留中",COUNTIF($AD$6:$AD790,"保留中"),"")</f>
        <v/>
      </c>
      <c r="AN790" s="14">
        <f>IF($AO790="","",IF(SUMPRODUCT(MAX((職員マスタ!$A$6:$A$405=$B790)*(((職員マスタ!$G$6:$G$405="")+(職員マスタ!$G$6:$G$405&lt;=EOMONTH($AO790,0)))&gt;0)*(((職員マスタ!$H$6:$H$405="")+(職員マスタ!$H$6:$H$405&gt;=$AO790))&gt;0)*(ROW(職員マスタ!$A$6:$A$405)-5)))&gt;0,SUMPRODUCT(MAX((職員マスタ!$A$6:$A$405=$B790)*(((職員マスタ!$G$6:$G$405="")+(職員マスタ!$G$6:$G$405&lt;=EOMONTH($AO790,0)))&gt;0)*(((職員マスタ!$H$6:$H$405="")+(職員マスタ!$H$6:$H$405&gt;=$AO790))&gt;0)*(ROW(職員マスタ!$A$6:$A$405)-5))),IFERROR(MATCH($B790,職員マスタ!$A$6:$A$405,0),"")))</f>
        <v/>
      </c>
      <c r="AO790" s="16">
        <f>IF(OR($B790="",$C790="",$D790=""),"",DATE($C790+2018,$D790,1))</f>
        <v/>
      </c>
    </row>
    <row r="791">
      <c r="A791" s="11" t="n"/>
      <c r="B791" s="12" t="n"/>
      <c r="C791" s="12" t="n"/>
      <c r="D791" s="12" t="n"/>
      <c r="E791" s="13" t="n"/>
      <c r="F791" s="12" t="n"/>
      <c r="G791" s="13" t="n"/>
      <c r="H791" s="12" t="n"/>
      <c r="I791" s="12" t="n"/>
      <c r="J791" s="12" t="n"/>
      <c r="K791" s="12" t="n"/>
      <c r="L791" s="11" t="n"/>
      <c r="M791" s="11" t="n"/>
      <c r="N791" s="11" t="n"/>
      <c r="O791" s="11" t="n"/>
      <c r="P791" s="12" t="n"/>
      <c r="Q791" s="11" t="n"/>
      <c r="R791" s="12" t="n"/>
      <c r="S791" s="11" t="n"/>
      <c r="T791" s="12" t="n"/>
      <c r="U791" s="12" t="n"/>
      <c r="V791" s="14">
        <f>IF($AN791="",IF($B791="","",$H791),IF(INDEX(職員マスタ!$B$6:$B$405,$AN791)="",$H791,INDEX(職員マスタ!$B$6:$B$405,$AN791)))</f>
        <v/>
      </c>
      <c r="W791" s="14">
        <f>IF($AN791="",IF($B791="","",$R791),IF(INDEX(職員マスタ!$C$6:$C$405,$AN791)="",$R791,INDEX(職員マスタ!$C$6:$C$405,$AN791)))</f>
        <v/>
      </c>
      <c r="X791" s="14">
        <f>IF($AO791="","","R"&amp;$C791&amp;"."&amp;$D791)</f>
        <v/>
      </c>
      <c r="Y791" s="15">
        <f>IF($AN791="","",IF(INDEX(職員マスタ!$K$6:$K$405,$AN791)="","",INDEX(職員マスタ!$K$6:$K$405,$AN791)))</f>
        <v/>
      </c>
      <c r="Z791" s="14">
        <f>IF(OR($E791="",$Y791=""),"",IF($E791&gt;=$Y791,"×",IF($E791&gt;=$Y791*設定!$C$5,"△","○")))</f>
        <v/>
      </c>
      <c r="AA791" s="15">
        <f>IF($Z791="","",IF($Z791="×",0,IF($Z791="○",ROUNDDOWN($E791*設定!$C$4,0),ROUNDDOWN($E791*ROUND((9*$Y791-9*$E791)/(10*$E791),4),0))))</f>
        <v/>
      </c>
      <c r="AB791" s="13" t="n"/>
      <c r="AC791" s="15">
        <f>IF($B791="","",IF($AB791&lt;&gt;"",$AB791,IF($AA791="","",IF($AA791&lt;=設定!$C$3,0,$AA791))))</f>
        <v/>
      </c>
      <c r="AD791" s="14">
        <f>IF($B791="","",IF(AND($AE791&lt;&gt;"",$AG791="",$AJ791=""),"保留中",IF($AJ791&lt;&gt;"",IF(N($AC791)&gt;0,"支給済","不支給"),IF($AC791="","要確認",IF($AC791=0,"不支給","未処理")))))</f>
        <v/>
      </c>
      <c r="AE791" s="12" t="n"/>
      <c r="AF791" s="11" t="n"/>
      <c r="AG791" s="11" t="n"/>
      <c r="AH791" s="11" t="n"/>
      <c r="AI791" s="14">
        <f>IF(AND($AD791="保留中",$AF791&lt;&gt;""),TODAY()-$AF791,"")</f>
        <v/>
      </c>
      <c r="AJ791" s="12" t="n"/>
      <c r="AK791" s="14">
        <f>IF($B791="","",IF($AO791="","対象年月が未入力／","")&amp;IF($B791="","",IF($AN791="","職員マスタに未登録の職員番号／",IF($Y791="","標準報酬月額が未登録／","")&amp;IF(AND($AO791&lt;&gt;"",OR(AND(INDEX(職員マスタ!$G$6:$G$405,$AN791)&lt;&gt;"",INDEX(職員マスタ!$G$6:$G$405,$AN791)&gt;EOMONTH($AO791,0)),AND(INDEX(職員マスタ!$H$6:$H$405,$AN791)&lt;&gt;"",INDEX(職員マスタ!$H$6:$H$405,$AN791)&lt;$AO791))),"対象月が時短期間外／","")&amp;IF(AND(INDEX(職員マスタ!$F$6:$F$405,$AN791)&lt;&gt;"",$AO791&lt;&gt;"",INDEX(職員マスタ!$F$6:$F$405,$AN791)&lt;$AO791),"対象月に子が2歳到達済／","")&amp;IF(AND($H791&lt;&gt;"",INDEX(職員マスタ!$B$6:$B$405,$AN791)&lt;&gt;"",SUBSTITUTE(SUBSTITUTE($H791," ","")," ","")&lt;&gt;SUBSTITUTE(SUBSTITUTE(INDEX(職員マスタ!$B$6:$B$405,$AN791)," ","")," ","")),"氏名がマスタと相違／","")&amp;IF(AND($Q791&lt;&gt;"",INDEX(職員マスタ!$E$6:$E$405,$AN791)&lt;&gt;"",$Q791&lt;&gt;INDEX(職員マスタ!$E$6:$E$405,$AN791)),"子の生年月日がマスタと相違／","")&amp;IF(AND($L791&lt;&gt;"",INDEX(職員マスタ!$G$6:$G$405,$AN791)&lt;&gt;"",$L791&lt;&gt;INDEX(職員マスタ!$G$6:$G$405,$AN791)),"時短開始日がマスタと相違／","")&amp;IF(AND($M791&lt;&gt;"",INDEX(職員マスタ!$H$6:$H$405,$AN791)&lt;&gt;"",$M791&lt;&gt;INDEX(職員マスタ!$H$6:$H$405,$AN791)),"時短終了日がマスタと相違／","")))&amp;IF(AND($B791&lt;&gt;"",$E791=""),"報酬額が未入力／","")&amp;IF(N($U791)&gt;0,"申請書に入力エラーが残っています／","")&amp;IF(AND($B791&lt;&gt;"",$AO791&lt;&gt;""),IF(COUNTIFS($B$6:$B$3005,$B791,$C$6:$C$3005,$C791,$D$6:$D$3005,$D791)&gt;1,"同じ月の請求が重複しています／",""),"")&amp;IF(AND(N($E791)&gt;0,$Z791&lt;&gt;"",$Z791&lt;&gt;"×",$AC791=0,$AB791=""),"計算額が下限以下のため不支給／",""))</f>
        <v/>
      </c>
      <c r="AL791" s="12" t="n"/>
      <c r="AM791" s="14">
        <f>IF($AD791="保留中",COUNTIF($AD$6:$AD791,"保留中"),"")</f>
        <v/>
      </c>
      <c r="AN791" s="14">
        <f>IF($AO791="","",IF(SUMPRODUCT(MAX((職員マスタ!$A$6:$A$405=$B791)*(((職員マスタ!$G$6:$G$405="")+(職員マスタ!$G$6:$G$405&lt;=EOMONTH($AO791,0)))&gt;0)*(((職員マスタ!$H$6:$H$405="")+(職員マスタ!$H$6:$H$405&gt;=$AO791))&gt;0)*(ROW(職員マスタ!$A$6:$A$405)-5)))&gt;0,SUMPRODUCT(MAX((職員マスタ!$A$6:$A$405=$B791)*(((職員マスタ!$G$6:$G$405="")+(職員マスタ!$G$6:$G$405&lt;=EOMONTH($AO791,0)))&gt;0)*(((職員マスタ!$H$6:$H$405="")+(職員マスタ!$H$6:$H$405&gt;=$AO791))&gt;0)*(ROW(職員マスタ!$A$6:$A$405)-5))),IFERROR(MATCH($B791,職員マスタ!$A$6:$A$405,0),"")))</f>
        <v/>
      </c>
      <c r="AO791" s="16">
        <f>IF(OR($B791="",$C791="",$D791=""),"",DATE($C791+2018,$D791,1))</f>
        <v/>
      </c>
    </row>
    <row r="792">
      <c r="A792" s="11" t="n"/>
      <c r="B792" s="12" t="n"/>
      <c r="C792" s="12" t="n"/>
      <c r="D792" s="12" t="n"/>
      <c r="E792" s="13" t="n"/>
      <c r="F792" s="12" t="n"/>
      <c r="G792" s="13" t="n"/>
      <c r="H792" s="12" t="n"/>
      <c r="I792" s="12" t="n"/>
      <c r="J792" s="12" t="n"/>
      <c r="K792" s="12" t="n"/>
      <c r="L792" s="11" t="n"/>
      <c r="M792" s="11" t="n"/>
      <c r="N792" s="11" t="n"/>
      <c r="O792" s="11" t="n"/>
      <c r="P792" s="12" t="n"/>
      <c r="Q792" s="11" t="n"/>
      <c r="R792" s="12" t="n"/>
      <c r="S792" s="11" t="n"/>
      <c r="T792" s="12" t="n"/>
      <c r="U792" s="12" t="n"/>
      <c r="V792" s="14">
        <f>IF($AN792="",IF($B792="","",$H792),IF(INDEX(職員マスタ!$B$6:$B$405,$AN792)="",$H792,INDEX(職員マスタ!$B$6:$B$405,$AN792)))</f>
        <v/>
      </c>
      <c r="W792" s="14">
        <f>IF($AN792="",IF($B792="","",$R792),IF(INDEX(職員マスタ!$C$6:$C$405,$AN792)="",$R792,INDEX(職員マスタ!$C$6:$C$405,$AN792)))</f>
        <v/>
      </c>
      <c r="X792" s="14">
        <f>IF($AO792="","","R"&amp;$C792&amp;"."&amp;$D792)</f>
        <v/>
      </c>
      <c r="Y792" s="15">
        <f>IF($AN792="","",IF(INDEX(職員マスタ!$K$6:$K$405,$AN792)="","",INDEX(職員マスタ!$K$6:$K$405,$AN792)))</f>
        <v/>
      </c>
      <c r="Z792" s="14">
        <f>IF(OR($E792="",$Y792=""),"",IF($E792&gt;=$Y792,"×",IF($E792&gt;=$Y792*設定!$C$5,"△","○")))</f>
        <v/>
      </c>
      <c r="AA792" s="15">
        <f>IF($Z792="","",IF($Z792="×",0,IF($Z792="○",ROUNDDOWN($E792*設定!$C$4,0),ROUNDDOWN($E792*ROUND((9*$Y792-9*$E792)/(10*$E792),4),0))))</f>
        <v/>
      </c>
      <c r="AB792" s="13" t="n"/>
      <c r="AC792" s="15">
        <f>IF($B792="","",IF($AB792&lt;&gt;"",$AB792,IF($AA792="","",IF($AA792&lt;=設定!$C$3,0,$AA792))))</f>
        <v/>
      </c>
      <c r="AD792" s="14">
        <f>IF($B792="","",IF(AND($AE792&lt;&gt;"",$AG792="",$AJ792=""),"保留中",IF($AJ792&lt;&gt;"",IF(N($AC792)&gt;0,"支給済","不支給"),IF($AC792="","要確認",IF($AC792=0,"不支給","未処理")))))</f>
        <v/>
      </c>
      <c r="AE792" s="12" t="n"/>
      <c r="AF792" s="11" t="n"/>
      <c r="AG792" s="11" t="n"/>
      <c r="AH792" s="11" t="n"/>
      <c r="AI792" s="14">
        <f>IF(AND($AD792="保留中",$AF792&lt;&gt;""),TODAY()-$AF792,"")</f>
        <v/>
      </c>
      <c r="AJ792" s="12" t="n"/>
      <c r="AK792" s="14">
        <f>IF($B792="","",IF($AO792="","対象年月が未入力／","")&amp;IF($B792="","",IF($AN792="","職員マスタに未登録の職員番号／",IF($Y792="","標準報酬月額が未登録／","")&amp;IF(AND($AO792&lt;&gt;"",OR(AND(INDEX(職員マスタ!$G$6:$G$405,$AN792)&lt;&gt;"",INDEX(職員マスタ!$G$6:$G$405,$AN792)&gt;EOMONTH($AO792,0)),AND(INDEX(職員マスタ!$H$6:$H$405,$AN792)&lt;&gt;"",INDEX(職員マスタ!$H$6:$H$405,$AN792)&lt;$AO792))),"対象月が時短期間外／","")&amp;IF(AND(INDEX(職員マスタ!$F$6:$F$405,$AN792)&lt;&gt;"",$AO792&lt;&gt;"",INDEX(職員マスタ!$F$6:$F$405,$AN792)&lt;$AO792),"対象月に子が2歳到達済／","")&amp;IF(AND($H792&lt;&gt;"",INDEX(職員マスタ!$B$6:$B$405,$AN792)&lt;&gt;"",SUBSTITUTE(SUBSTITUTE($H792," ","")," ","")&lt;&gt;SUBSTITUTE(SUBSTITUTE(INDEX(職員マスタ!$B$6:$B$405,$AN792)," ","")," ","")),"氏名がマスタと相違／","")&amp;IF(AND($Q792&lt;&gt;"",INDEX(職員マスタ!$E$6:$E$405,$AN792)&lt;&gt;"",$Q792&lt;&gt;INDEX(職員マスタ!$E$6:$E$405,$AN792)),"子の生年月日がマスタと相違／","")&amp;IF(AND($L792&lt;&gt;"",INDEX(職員マスタ!$G$6:$G$405,$AN792)&lt;&gt;"",$L792&lt;&gt;INDEX(職員マスタ!$G$6:$G$405,$AN792)),"時短開始日がマスタと相違／","")&amp;IF(AND($M792&lt;&gt;"",INDEX(職員マスタ!$H$6:$H$405,$AN792)&lt;&gt;"",$M792&lt;&gt;INDEX(職員マスタ!$H$6:$H$405,$AN792)),"時短終了日がマスタと相違／","")))&amp;IF(AND($B792&lt;&gt;"",$E792=""),"報酬額が未入力／","")&amp;IF(N($U792)&gt;0,"申請書に入力エラーが残っています／","")&amp;IF(AND($B792&lt;&gt;"",$AO792&lt;&gt;""),IF(COUNTIFS($B$6:$B$3005,$B792,$C$6:$C$3005,$C792,$D$6:$D$3005,$D792)&gt;1,"同じ月の請求が重複しています／",""),"")&amp;IF(AND(N($E792)&gt;0,$Z792&lt;&gt;"",$Z792&lt;&gt;"×",$AC792=0,$AB792=""),"計算額が下限以下のため不支給／",""))</f>
        <v/>
      </c>
      <c r="AL792" s="12" t="n"/>
      <c r="AM792" s="14">
        <f>IF($AD792="保留中",COUNTIF($AD$6:$AD792,"保留中"),"")</f>
        <v/>
      </c>
      <c r="AN792" s="14">
        <f>IF($AO792="","",IF(SUMPRODUCT(MAX((職員マスタ!$A$6:$A$405=$B792)*(((職員マスタ!$G$6:$G$405="")+(職員マスタ!$G$6:$G$405&lt;=EOMONTH($AO792,0)))&gt;0)*(((職員マスタ!$H$6:$H$405="")+(職員マスタ!$H$6:$H$405&gt;=$AO792))&gt;0)*(ROW(職員マスタ!$A$6:$A$405)-5)))&gt;0,SUMPRODUCT(MAX((職員マスタ!$A$6:$A$405=$B792)*(((職員マスタ!$G$6:$G$405="")+(職員マスタ!$G$6:$G$405&lt;=EOMONTH($AO792,0)))&gt;0)*(((職員マスタ!$H$6:$H$405="")+(職員マスタ!$H$6:$H$405&gt;=$AO792))&gt;0)*(ROW(職員マスタ!$A$6:$A$405)-5))),IFERROR(MATCH($B792,職員マスタ!$A$6:$A$405,0),"")))</f>
        <v/>
      </c>
      <c r="AO792" s="16">
        <f>IF(OR($B792="",$C792="",$D792=""),"",DATE($C792+2018,$D792,1))</f>
        <v/>
      </c>
    </row>
    <row r="793">
      <c r="A793" s="11" t="n"/>
      <c r="B793" s="12" t="n"/>
      <c r="C793" s="12" t="n"/>
      <c r="D793" s="12" t="n"/>
      <c r="E793" s="13" t="n"/>
      <c r="F793" s="12" t="n"/>
      <c r="G793" s="13" t="n"/>
      <c r="H793" s="12" t="n"/>
      <c r="I793" s="12" t="n"/>
      <c r="J793" s="12" t="n"/>
      <c r="K793" s="12" t="n"/>
      <c r="L793" s="11" t="n"/>
      <c r="M793" s="11" t="n"/>
      <c r="N793" s="11" t="n"/>
      <c r="O793" s="11" t="n"/>
      <c r="P793" s="12" t="n"/>
      <c r="Q793" s="11" t="n"/>
      <c r="R793" s="12" t="n"/>
      <c r="S793" s="11" t="n"/>
      <c r="T793" s="12" t="n"/>
      <c r="U793" s="12" t="n"/>
      <c r="V793" s="14">
        <f>IF($AN793="",IF($B793="","",$H793),IF(INDEX(職員マスタ!$B$6:$B$405,$AN793)="",$H793,INDEX(職員マスタ!$B$6:$B$405,$AN793)))</f>
        <v/>
      </c>
      <c r="W793" s="14">
        <f>IF($AN793="",IF($B793="","",$R793),IF(INDEX(職員マスタ!$C$6:$C$405,$AN793)="",$R793,INDEX(職員マスタ!$C$6:$C$405,$AN793)))</f>
        <v/>
      </c>
      <c r="X793" s="14">
        <f>IF($AO793="","","R"&amp;$C793&amp;"."&amp;$D793)</f>
        <v/>
      </c>
      <c r="Y793" s="15">
        <f>IF($AN793="","",IF(INDEX(職員マスタ!$K$6:$K$405,$AN793)="","",INDEX(職員マスタ!$K$6:$K$405,$AN793)))</f>
        <v/>
      </c>
      <c r="Z793" s="14">
        <f>IF(OR($E793="",$Y793=""),"",IF($E793&gt;=$Y793,"×",IF($E793&gt;=$Y793*設定!$C$5,"△","○")))</f>
        <v/>
      </c>
      <c r="AA793" s="15">
        <f>IF($Z793="","",IF($Z793="×",0,IF($Z793="○",ROUNDDOWN($E793*設定!$C$4,0),ROUNDDOWN($E793*ROUND((9*$Y793-9*$E793)/(10*$E793),4),0))))</f>
        <v/>
      </c>
      <c r="AB793" s="13" t="n"/>
      <c r="AC793" s="15">
        <f>IF($B793="","",IF($AB793&lt;&gt;"",$AB793,IF($AA793="","",IF($AA793&lt;=設定!$C$3,0,$AA793))))</f>
        <v/>
      </c>
      <c r="AD793" s="14">
        <f>IF($B793="","",IF(AND($AE793&lt;&gt;"",$AG793="",$AJ793=""),"保留中",IF($AJ793&lt;&gt;"",IF(N($AC793)&gt;0,"支給済","不支給"),IF($AC793="","要確認",IF($AC793=0,"不支給","未処理")))))</f>
        <v/>
      </c>
      <c r="AE793" s="12" t="n"/>
      <c r="AF793" s="11" t="n"/>
      <c r="AG793" s="11" t="n"/>
      <c r="AH793" s="11" t="n"/>
      <c r="AI793" s="14">
        <f>IF(AND($AD793="保留中",$AF793&lt;&gt;""),TODAY()-$AF793,"")</f>
        <v/>
      </c>
      <c r="AJ793" s="12" t="n"/>
      <c r="AK793" s="14">
        <f>IF($B793="","",IF($AO793="","対象年月が未入力／","")&amp;IF($B793="","",IF($AN793="","職員マスタに未登録の職員番号／",IF($Y793="","標準報酬月額が未登録／","")&amp;IF(AND($AO793&lt;&gt;"",OR(AND(INDEX(職員マスタ!$G$6:$G$405,$AN793)&lt;&gt;"",INDEX(職員マスタ!$G$6:$G$405,$AN793)&gt;EOMONTH($AO793,0)),AND(INDEX(職員マスタ!$H$6:$H$405,$AN793)&lt;&gt;"",INDEX(職員マスタ!$H$6:$H$405,$AN793)&lt;$AO793))),"対象月が時短期間外／","")&amp;IF(AND(INDEX(職員マスタ!$F$6:$F$405,$AN793)&lt;&gt;"",$AO793&lt;&gt;"",INDEX(職員マスタ!$F$6:$F$405,$AN793)&lt;$AO793),"対象月に子が2歳到達済／","")&amp;IF(AND($H793&lt;&gt;"",INDEX(職員マスタ!$B$6:$B$405,$AN793)&lt;&gt;"",SUBSTITUTE(SUBSTITUTE($H793," ","")," ","")&lt;&gt;SUBSTITUTE(SUBSTITUTE(INDEX(職員マスタ!$B$6:$B$405,$AN793)," ","")," ","")),"氏名がマスタと相違／","")&amp;IF(AND($Q793&lt;&gt;"",INDEX(職員マスタ!$E$6:$E$405,$AN793)&lt;&gt;"",$Q793&lt;&gt;INDEX(職員マスタ!$E$6:$E$405,$AN793)),"子の生年月日がマスタと相違／","")&amp;IF(AND($L793&lt;&gt;"",INDEX(職員マスタ!$G$6:$G$405,$AN793)&lt;&gt;"",$L793&lt;&gt;INDEX(職員マスタ!$G$6:$G$405,$AN793)),"時短開始日がマスタと相違／","")&amp;IF(AND($M793&lt;&gt;"",INDEX(職員マスタ!$H$6:$H$405,$AN793)&lt;&gt;"",$M793&lt;&gt;INDEX(職員マスタ!$H$6:$H$405,$AN793)),"時短終了日がマスタと相違／","")))&amp;IF(AND($B793&lt;&gt;"",$E793=""),"報酬額が未入力／","")&amp;IF(N($U793)&gt;0,"申請書に入力エラーが残っています／","")&amp;IF(AND($B793&lt;&gt;"",$AO793&lt;&gt;""),IF(COUNTIFS($B$6:$B$3005,$B793,$C$6:$C$3005,$C793,$D$6:$D$3005,$D793)&gt;1,"同じ月の請求が重複しています／",""),"")&amp;IF(AND(N($E793)&gt;0,$Z793&lt;&gt;"",$Z793&lt;&gt;"×",$AC793=0,$AB793=""),"計算額が下限以下のため不支給／",""))</f>
        <v/>
      </c>
      <c r="AL793" s="12" t="n"/>
      <c r="AM793" s="14">
        <f>IF($AD793="保留中",COUNTIF($AD$6:$AD793,"保留中"),"")</f>
        <v/>
      </c>
      <c r="AN793" s="14">
        <f>IF($AO793="","",IF(SUMPRODUCT(MAX((職員マスタ!$A$6:$A$405=$B793)*(((職員マスタ!$G$6:$G$405="")+(職員マスタ!$G$6:$G$405&lt;=EOMONTH($AO793,0)))&gt;0)*(((職員マスタ!$H$6:$H$405="")+(職員マスタ!$H$6:$H$405&gt;=$AO793))&gt;0)*(ROW(職員マスタ!$A$6:$A$405)-5)))&gt;0,SUMPRODUCT(MAX((職員マスタ!$A$6:$A$405=$B793)*(((職員マスタ!$G$6:$G$405="")+(職員マスタ!$G$6:$G$405&lt;=EOMONTH($AO793,0)))&gt;0)*(((職員マスタ!$H$6:$H$405="")+(職員マスタ!$H$6:$H$405&gt;=$AO793))&gt;0)*(ROW(職員マスタ!$A$6:$A$405)-5))),IFERROR(MATCH($B793,職員マスタ!$A$6:$A$405,0),"")))</f>
        <v/>
      </c>
      <c r="AO793" s="16">
        <f>IF(OR($B793="",$C793="",$D793=""),"",DATE($C793+2018,$D793,1))</f>
        <v/>
      </c>
    </row>
    <row r="794">
      <c r="A794" s="11" t="n"/>
      <c r="B794" s="12" t="n"/>
      <c r="C794" s="12" t="n"/>
      <c r="D794" s="12" t="n"/>
      <c r="E794" s="13" t="n"/>
      <c r="F794" s="12" t="n"/>
      <c r="G794" s="13" t="n"/>
      <c r="H794" s="12" t="n"/>
      <c r="I794" s="12" t="n"/>
      <c r="J794" s="12" t="n"/>
      <c r="K794" s="12" t="n"/>
      <c r="L794" s="11" t="n"/>
      <c r="M794" s="11" t="n"/>
      <c r="N794" s="11" t="n"/>
      <c r="O794" s="11" t="n"/>
      <c r="P794" s="12" t="n"/>
      <c r="Q794" s="11" t="n"/>
      <c r="R794" s="12" t="n"/>
      <c r="S794" s="11" t="n"/>
      <c r="T794" s="12" t="n"/>
      <c r="U794" s="12" t="n"/>
      <c r="V794" s="14">
        <f>IF($AN794="",IF($B794="","",$H794),IF(INDEX(職員マスタ!$B$6:$B$405,$AN794)="",$H794,INDEX(職員マスタ!$B$6:$B$405,$AN794)))</f>
        <v/>
      </c>
      <c r="W794" s="14">
        <f>IF($AN794="",IF($B794="","",$R794),IF(INDEX(職員マスタ!$C$6:$C$405,$AN794)="",$R794,INDEX(職員マスタ!$C$6:$C$405,$AN794)))</f>
        <v/>
      </c>
      <c r="X794" s="14">
        <f>IF($AO794="","","R"&amp;$C794&amp;"."&amp;$D794)</f>
        <v/>
      </c>
      <c r="Y794" s="15">
        <f>IF($AN794="","",IF(INDEX(職員マスタ!$K$6:$K$405,$AN794)="","",INDEX(職員マスタ!$K$6:$K$405,$AN794)))</f>
        <v/>
      </c>
      <c r="Z794" s="14">
        <f>IF(OR($E794="",$Y794=""),"",IF($E794&gt;=$Y794,"×",IF($E794&gt;=$Y794*設定!$C$5,"△","○")))</f>
        <v/>
      </c>
      <c r="AA794" s="15">
        <f>IF($Z794="","",IF($Z794="×",0,IF($Z794="○",ROUNDDOWN($E794*設定!$C$4,0),ROUNDDOWN($E794*ROUND((9*$Y794-9*$E794)/(10*$E794),4),0))))</f>
        <v/>
      </c>
      <c r="AB794" s="13" t="n"/>
      <c r="AC794" s="15">
        <f>IF($B794="","",IF($AB794&lt;&gt;"",$AB794,IF($AA794="","",IF($AA794&lt;=設定!$C$3,0,$AA794))))</f>
        <v/>
      </c>
      <c r="AD794" s="14">
        <f>IF($B794="","",IF(AND($AE794&lt;&gt;"",$AG794="",$AJ794=""),"保留中",IF($AJ794&lt;&gt;"",IF(N($AC794)&gt;0,"支給済","不支給"),IF($AC794="","要確認",IF($AC794=0,"不支給","未処理")))))</f>
        <v/>
      </c>
      <c r="AE794" s="12" t="n"/>
      <c r="AF794" s="11" t="n"/>
      <c r="AG794" s="11" t="n"/>
      <c r="AH794" s="11" t="n"/>
      <c r="AI794" s="14">
        <f>IF(AND($AD794="保留中",$AF794&lt;&gt;""),TODAY()-$AF794,"")</f>
        <v/>
      </c>
      <c r="AJ794" s="12" t="n"/>
      <c r="AK794" s="14">
        <f>IF($B794="","",IF($AO794="","対象年月が未入力／","")&amp;IF($B794="","",IF($AN794="","職員マスタに未登録の職員番号／",IF($Y794="","標準報酬月額が未登録／","")&amp;IF(AND($AO794&lt;&gt;"",OR(AND(INDEX(職員マスタ!$G$6:$G$405,$AN794)&lt;&gt;"",INDEX(職員マスタ!$G$6:$G$405,$AN794)&gt;EOMONTH($AO794,0)),AND(INDEX(職員マスタ!$H$6:$H$405,$AN794)&lt;&gt;"",INDEX(職員マスタ!$H$6:$H$405,$AN794)&lt;$AO794))),"対象月が時短期間外／","")&amp;IF(AND(INDEX(職員マスタ!$F$6:$F$405,$AN794)&lt;&gt;"",$AO794&lt;&gt;"",INDEX(職員マスタ!$F$6:$F$405,$AN794)&lt;$AO794),"対象月に子が2歳到達済／","")&amp;IF(AND($H794&lt;&gt;"",INDEX(職員マスタ!$B$6:$B$405,$AN794)&lt;&gt;"",SUBSTITUTE(SUBSTITUTE($H794," ","")," ","")&lt;&gt;SUBSTITUTE(SUBSTITUTE(INDEX(職員マスタ!$B$6:$B$405,$AN794)," ","")," ","")),"氏名がマスタと相違／","")&amp;IF(AND($Q794&lt;&gt;"",INDEX(職員マスタ!$E$6:$E$405,$AN794)&lt;&gt;"",$Q794&lt;&gt;INDEX(職員マスタ!$E$6:$E$405,$AN794)),"子の生年月日がマスタと相違／","")&amp;IF(AND($L794&lt;&gt;"",INDEX(職員マスタ!$G$6:$G$405,$AN794)&lt;&gt;"",$L794&lt;&gt;INDEX(職員マスタ!$G$6:$G$405,$AN794)),"時短開始日がマスタと相違／","")&amp;IF(AND($M794&lt;&gt;"",INDEX(職員マスタ!$H$6:$H$405,$AN794)&lt;&gt;"",$M794&lt;&gt;INDEX(職員マスタ!$H$6:$H$405,$AN794)),"時短終了日がマスタと相違／","")))&amp;IF(AND($B794&lt;&gt;"",$E794=""),"報酬額が未入力／","")&amp;IF(N($U794)&gt;0,"申請書に入力エラーが残っています／","")&amp;IF(AND($B794&lt;&gt;"",$AO794&lt;&gt;""),IF(COUNTIFS($B$6:$B$3005,$B794,$C$6:$C$3005,$C794,$D$6:$D$3005,$D794)&gt;1,"同じ月の請求が重複しています／",""),"")&amp;IF(AND(N($E794)&gt;0,$Z794&lt;&gt;"",$Z794&lt;&gt;"×",$AC794=0,$AB794=""),"計算額が下限以下のため不支給／",""))</f>
        <v/>
      </c>
      <c r="AL794" s="12" t="n"/>
      <c r="AM794" s="14">
        <f>IF($AD794="保留中",COUNTIF($AD$6:$AD794,"保留中"),"")</f>
        <v/>
      </c>
      <c r="AN794" s="14">
        <f>IF($AO794="","",IF(SUMPRODUCT(MAX((職員マスタ!$A$6:$A$405=$B794)*(((職員マスタ!$G$6:$G$405="")+(職員マスタ!$G$6:$G$405&lt;=EOMONTH($AO794,0)))&gt;0)*(((職員マスタ!$H$6:$H$405="")+(職員マスタ!$H$6:$H$405&gt;=$AO794))&gt;0)*(ROW(職員マスタ!$A$6:$A$405)-5)))&gt;0,SUMPRODUCT(MAX((職員マスタ!$A$6:$A$405=$B794)*(((職員マスタ!$G$6:$G$405="")+(職員マスタ!$G$6:$G$405&lt;=EOMONTH($AO794,0)))&gt;0)*(((職員マスタ!$H$6:$H$405="")+(職員マスタ!$H$6:$H$405&gt;=$AO794))&gt;0)*(ROW(職員マスタ!$A$6:$A$405)-5))),IFERROR(MATCH($B794,職員マスタ!$A$6:$A$405,0),"")))</f>
        <v/>
      </c>
      <c r="AO794" s="16">
        <f>IF(OR($B794="",$C794="",$D794=""),"",DATE($C794+2018,$D794,1))</f>
        <v/>
      </c>
    </row>
    <row r="795">
      <c r="A795" s="11" t="n"/>
      <c r="B795" s="12" t="n"/>
      <c r="C795" s="12" t="n"/>
      <c r="D795" s="12" t="n"/>
      <c r="E795" s="13" t="n"/>
      <c r="F795" s="12" t="n"/>
      <c r="G795" s="13" t="n"/>
      <c r="H795" s="12" t="n"/>
      <c r="I795" s="12" t="n"/>
      <c r="J795" s="12" t="n"/>
      <c r="K795" s="12" t="n"/>
      <c r="L795" s="11" t="n"/>
      <c r="M795" s="11" t="n"/>
      <c r="N795" s="11" t="n"/>
      <c r="O795" s="11" t="n"/>
      <c r="P795" s="12" t="n"/>
      <c r="Q795" s="11" t="n"/>
      <c r="R795" s="12" t="n"/>
      <c r="S795" s="11" t="n"/>
      <c r="T795" s="12" t="n"/>
      <c r="U795" s="12" t="n"/>
      <c r="V795" s="14">
        <f>IF($AN795="",IF($B795="","",$H795),IF(INDEX(職員マスタ!$B$6:$B$405,$AN795)="",$H795,INDEX(職員マスタ!$B$6:$B$405,$AN795)))</f>
        <v/>
      </c>
      <c r="W795" s="14">
        <f>IF($AN795="",IF($B795="","",$R795),IF(INDEX(職員マスタ!$C$6:$C$405,$AN795)="",$R795,INDEX(職員マスタ!$C$6:$C$405,$AN795)))</f>
        <v/>
      </c>
      <c r="X795" s="14">
        <f>IF($AO795="","","R"&amp;$C795&amp;"."&amp;$D795)</f>
        <v/>
      </c>
      <c r="Y795" s="15">
        <f>IF($AN795="","",IF(INDEX(職員マスタ!$K$6:$K$405,$AN795)="","",INDEX(職員マスタ!$K$6:$K$405,$AN795)))</f>
        <v/>
      </c>
      <c r="Z795" s="14">
        <f>IF(OR($E795="",$Y795=""),"",IF($E795&gt;=$Y795,"×",IF($E795&gt;=$Y795*設定!$C$5,"△","○")))</f>
        <v/>
      </c>
      <c r="AA795" s="15">
        <f>IF($Z795="","",IF($Z795="×",0,IF($Z795="○",ROUNDDOWN($E795*設定!$C$4,0),ROUNDDOWN($E795*ROUND((9*$Y795-9*$E795)/(10*$E795),4),0))))</f>
        <v/>
      </c>
      <c r="AB795" s="13" t="n"/>
      <c r="AC795" s="15">
        <f>IF($B795="","",IF($AB795&lt;&gt;"",$AB795,IF($AA795="","",IF($AA795&lt;=設定!$C$3,0,$AA795))))</f>
        <v/>
      </c>
      <c r="AD795" s="14">
        <f>IF($B795="","",IF(AND($AE795&lt;&gt;"",$AG795="",$AJ795=""),"保留中",IF($AJ795&lt;&gt;"",IF(N($AC795)&gt;0,"支給済","不支給"),IF($AC795="","要確認",IF($AC795=0,"不支給","未処理")))))</f>
        <v/>
      </c>
      <c r="AE795" s="12" t="n"/>
      <c r="AF795" s="11" t="n"/>
      <c r="AG795" s="11" t="n"/>
      <c r="AH795" s="11" t="n"/>
      <c r="AI795" s="14">
        <f>IF(AND($AD795="保留中",$AF795&lt;&gt;""),TODAY()-$AF795,"")</f>
        <v/>
      </c>
      <c r="AJ795" s="12" t="n"/>
      <c r="AK795" s="14">
        <f>IF($B795="","",IF($AO795="","対象年月が未入力／","")&amp;IF($B795="","",IF($AN795="","職員マスタに未登録の職員番号／",IF($Y795="","標準報酬月額が未登録／","")&amp;IF(AND($AO795&lt;&gt;"",OR(AND(INDEX(職員マスタ!$G$6:$G$405,$AN795)&lt;&gt;"",INDEX(職員マスタ!$G$6:$G$405,$AN795)&gt;EOMONTH($AO795,0)),AND(INDEX(職員マスタ!$H$6:$H$405,$AN795)&lt;&gt;"",INDEX(職員マスタ!$H$6:$H$405,$AN795)&lt;$AO795))),"対象月が時短期間外／","")&amp;IF(AND(INDEX(職員マスタ!$F$6:$F$405,$AN795)&lt;&gt;"",$AO795&lt;&gt;"",INDEX(職員マスタ!$F$6:$F$405,$AN795)&lt;$AO795),"対象月に子が2歳到達済／","")&amp;IF(AND($H795&lt;&gt;"",INDEX(職員マスタ!$B$6:$B$405,$AN795)&lt;&gt;"",SUBSTITUTE(SUBSTITUTE($H795," ","")," ","")&lt;&gt;SUBSTITUTE(SUBSTITUTE(INDEX(職員マスタ!$B$6:$B$405,$AN795)," ","")," ","")),"氏名がマスタと相違／","")&amp;IF(AND($Q795&lt;&gt;"",INDEX(職員マスタ!$E$6:$E$405,$AN795)&lt;&gt;"",$Q795&lt;&gt;INDEX(職員マスタ!$E$6:$E$405,$AN795)),"子の生年月日がマスタと相違／","")&amp;IF(AND($L795&lt;&gt;"",INDEX(職員マスタ!$G$6:$G$405,$AN795)&lt;&gt;"",$L795&lt;&gt;INDEX(職員マスタ!$G$6:$G$405,$AN795)),"時短開始日がマスタと相違／","")&amp;IF(AND($M795&lt;&gt;"",INDEX(職員マスタ!$H$6:$H$405,$AN795)&lt;&gt;"",$M795&lt;&gt;INDEX(職員マスタ!$H$6:$H$405,$AN795)),"時短終了日がマスタと相違／","")))&amp;IF(AND($B795&lt;&gt;"",$E795=""),"報酬額が未入力／","")&amp;IF(N($U795)&gt;0,"申請書に入力エラーが残っています／","")&amp;IF(AND($B795&lt;&gt;"",$AO795&lt;&gt;""),IF(COUNTIFS($B$6:$B$3005,$B795,$C$6:$C$3005,$C795,$D$6:$D$3005,$D795)&gt;1,"同じ月の請求が重複しています／",""),"")&amp;IF(AND(N($E795)&gt;0,$Z795&lt;&gt;"",$Z795&lt;&gt;"×",$AC795=0,$AB795=""),"計算額が下限以下のため不支給／",""))</f>
        <v/>
      </c>
      <c r="AL795" s="12" t="n"/>
      <c r="AM795" s="14">
        <f>IF($AD795="保留中",COUNTIF($AD$6:$AD795,"保留中"),"")</f>
        <v/>
      </c>
      <c r="AN795" s="14">
        <f>IF($AO795="","",IF(SUMPRODUCT(MAX((職員マスタ!$A$6:$A$405=$B795)*(((職員マスタ!$G$6:$G$405="")+(職員マスタ!$G$6:$G$405&lt;=EOMONTH($AO795,0)))&gt;0)*(((職員マスタ!$H$6:$H$405="")+(職員マスタ!$H$6:$H$405&gt;=$AO795))&gt;0)*(ROW(職員マスタ!$A$6:$A$405)-5)))&gt;0,SUMPRODUCT(MAX((職員マスタ!$A$6:$A$405=$B795)*(((職員マスタ!$G$6:$G$405="")+(職員マスタ!$G$6:$G$405&lt;=EOMONTH($AO795,0)))&gt;0)*(((職員マスタ!$H$6:$H$405="")+(職員マスタ!$H$6:$H$405&gt;=$AO795))&gt;0)*(ROW(職員マスタ!$A$6:$A$405)-5))),IFERROR(MATCH($B795,職員マスタ!$A$6:$A$405,0),"")))</f>
        <v/>
      </c>
      <c r="AO795" s="16">
        <f>IF(OR($B795="",$C795="",$D795=""),"",DATE($C795+2018,$D795,1))</f>
        <v/>
      </c>
    </row>
    <row r="796">
      <c r="A796" s="11" t="n"/>
      <c r="B796" s="12" t="n"/>
      <c r="C796" s="12" t="n"/>
      <c r="D796" s="12" t="n"/>
      <c r="E796" s="13" t="n"/>
      <c r="F796" s="12" t="n"/>
      <c r="G796" s="13" t="n"/>
      <c r="H796" s="12" t="n"/>
      <c r="I796" s="12" t="n"/>
      <c r="J796" s="12" t="n"/>
      <c r="K796" s="12" t="n"/>
      <c r="L796" s="11" t="n"/>
      <c r="M796" s="11" t="n"/>
      <c r="N796" s="11" t="n"/>
      <c r="O796" s="11" t="n"/>
      <c r="P796" s="12" t="n"/>
      <c r="Q796" s="11" t="n"/>
      <c r="R796" s="12" t="n"/>
      <c r="S796" s="11" t="n"/>
      <c r="T796" s="12" t="n"/>
      <c r="U796" s="12" t="n"/>
      <c r="V796" s="14">
        <f>IF($AN796="",IF($B796="","",$H796),IF(INDEX(職員マスタ!$B$6:$B$405,$AN796)="",$H796,INDEX(職員マスタ!$B$6:$B$405,$AN796)))</f>
        <v/>
      </c>
      <c r="W796" s="14">
        <f>IF($AN796="",IF($B796="","",$R796),IF(INDEX(職員マスタ!$C$6:$C$405,$AN796)="",$R796,INDEX(職員マスタ!$C$6:$C$405,$AN796)))</f>
        <v/>
      </c>
      <c r="X796" s="14">
        <f>IF($AO796="","","R"&amp;$C796&amp;"."&amp;$D796)</f>
        <v/>
      </c>
      <c r="Y796" s="15">
        <f>IF($AN796="","",IF(INDEX(職員マスタ!$K$6:$K$405,$AN796)="","",INDEX(職員マスタ!$K$6:$K$405,$AN796)))</f>
        <v/>
      </c>
      <c r="Z796" s="14">
        <f>IF(OR($E796="",$Y796=""),"",IF($E796&gt;=$Y796,"×",IF($E796&gt;=$Y796*設定!$C$5,"△","○")))</f>
        <v/>
      </c>
      <c r="AA796" s="15">
        <f>IF($Z796="","",IF($Z796="×",0,IF($Z796="○",ROUNDDOWN($E796*設定!$C$4,0),ROUNDDOWN($E796*ROUND((9*$Y796-9*$E796)/(10*$E796),4),0))))</f>
        <v/>
      </c>
      <c r="AB796" s="13" t="n"/>
      <c r="AC796" s="15">
        <f>IF($B796="","",IF($AB796&lt;&gt;"",$AB796,IF($AA796="","",IF($AA796&lt;=設定!$C$3,0,$AA796))))</f>
        <v/>
      </c>
      <c r="AD796" s="14">
        <f>IF($B796="","",IF(AND($AE796&lt;&gt;"",$AG796="",$AJ796=""),"保留中",IF($AJ796&lt;&gt;"",IF(N($AC796)&gt;0,"支給済","不支給"),IF($AC796="","要確認",IF($AC796=0,"不支給","未処理")))))</f>
        <v/>
      </c>
      <c r="AE796" s="12" t="n"/>
      <c r="AF796" s="11" t="n"/>
      <c r="AG796" s="11" t="n"/>
      <c r="AH796" s="11" t="n"/>
      <c r="AI796" s="14">
        <f>IF(AND($AD796="保留中",$AF796&lt;&gt;""),TODAY()-$AF796,"")</f>
        <v/>
      </c>
      <c r="AJ796" s="12" t="n"/>
      <c r="AK796" s="14">
        <f>IF($B796="","",IF($AO796="","対象年月が未入力／","")&amp;IF($B796="","",IF($AN796="","職員マスタに未登録の職員番号／",IF($Y796="","標準報酬月額が未登録／","")&amp;IF(AND($AO796&lt;&gt;"",OR(AND(INDEX(職員マスタ!$G$6:$G$405,$AN796)&lt;&gt;"",INDEX(職員マスタ!$G$6:$G$405,$AN796)&gt;EOMONTH($AO796,0)),AND(INDEX(職員マスタ!$H$6:$H$405,$AN796)&lt;&gt;"",INDEX(職員マスタ!$H$6:$H$405,$AN796)&lt;$AO796))),"対象月が時短期間外／","")&amp;IF(AND(INDEX(職員マスタ!$F$6:$F$405,$AN796)&lt;&gt;"",$AO796&lt;&gt;"",INDEX(職員マスタ!$F$6:$F$405,$AN796)&lt;$AO796),"対象月に子が2歳到達済／","")&amp;IF(AND($H796&lt;&gt;"",INDEX(職員マスタ!$B$6:$B$405,$AN796)&lt;&gt;"",SUBSTITUTE(SUBSTITUTE($H796," ","")," ","")&lt;&gt;SUBSTITUTE(SUBSTITUTE(INDEX(職員マスタ!$B$6:$B$405,$AN796)," ","")," ","")),"氏名がマスタと相違／","")&amp;IF(AND($Q796&lt;&gt;"",INDEX(職員マスタ!$E$6:$E$405,$AN796)&lt;&gt;"",$Q796&lt;&gt;INDEX(職員マスタ!$E$6:$E$405,$AN796)),"子の生年月日がマスタと相違／","")&amp;IF(AND($L796&lt;&gt;"",INDEX(職員マスタ!$G$6:$G$405,$AN796)&lt;&gt;"",$L796&lt;&gt;INDEX(職員マスタ!$G$6:$G$405,$AN796)),"時短開始日がマスタと相違／","")&amp;IF(AND($M796&lt;&gt;"",INDEX(職員マスタ!$H$6:$H$405,$AN796)&lt;&gt;"",$M796&lt;&gt;INDEX(職員マスタ!$H$6:$H$405,$AN796)),"時短終了日がマスタと相違／","")))&amp;IF(AND($B796&lt;&gt;"",$E796=""),"報酬額が未入力／","")&amp;IF(N($U796)&gt;0,"申請書に入力エラーが残っています／","")&amp;IF(AND($B796&lt;&gt;"",$AO796&lt;&gt;""),IF(COUNTIFS($B$6:$B$3005,$B796,$C$6:$C$3005,$C796,$D$6:$D$3005,$D796)&gt;1,"同じ月の請求が重複しています／",""),"")&amp;IF(AND(N($E796)&gt;0,$Z796&lt;&gt;"",$Z796&lt;&gt;"×",$AC796=0,$AB796=""),"計算額が下限以下のため不支給／",""))</f>
        <v/>
      </c>
      <c r="AL796" s="12" t="n"/>
      <c r="AM796" s="14">
        <f>IF($AD796="保留中",COUNTIF($AD$6:$AD796,"保留中"),"")</f>
        <v/>
      </c>
      <c r="AN796" s="14">
        <f>IF($AO796="","",IF(SUMPRODUCT(MAX((職員マスタ!$A$6:$A$405=$B796)*(((職員マスタ!$G$6:$G$405="")+(職員マスタ!$G$6:$G$405&lt;=EOMONTH($AO796,0)))&gt;0)*(((職員マスタ!$H$6:$H$405="")+(職員マスタ!$H$6:$H$405&gt;=$AO796))&gt;0)*(ROW(職員マスタ!$A$6:$A$405)-5)))&gt;0,SUMPRODUCT(MAX((職員マスタ!$A$6:$A$405=$B796)*(((職員マスタ!$G$6:$G$405="")+(職員マスタ!$G$6:$G$405&lt;=EOMONTH($AO796,0)))&gt;0)*(((職員マスタ!$H$6:$H$405="")+(職員マスタ!$H$6:$H$405&gt;=$AO796))&gt;0)*(ROW(職員マスタ!$A$6:$A$405)-5))),IFERROR(MATCH($B796,職員マスタ!$A$6:$A$405,0),"")))</f>
        <v/>
      </c>
      <c r="AO796" s="16">
        <f>IF(OR($B796="",$C796="",$D796=""),"",DATE($C796+2018,$D796,1))</f>
        <v/>
      </c>
    </row>
    <row r="797">
      <c r="A797" s="11" t="n"/>
      <c r="B797" s="12" t="n"/>
      <c r="C797" s="12" t="n"/>
      <c r="D797" s="12" t="n"/>
      <c r="E797" s="13" t="n"/>
      <c r="F797" s="12" t="n"/>
      <c r="G797" s="13" t="n"/>
      <c r="H797" s="12" t="n"/>
      <c r="I797" s="12" t="n"/>
      <c r="J797" s="12" t="n"/>
      <c r="K797" s="12" t="n"/>
      <c r="L797" s="11" t="n"/>
      <c r="M797" s="11" t="n"/>
      <c r="N797" s="11" t="n"/>
      <c r="O797" s="11" t="n"/>
      <c r="P797" s="12" t="n"/>
      <c r="Q797" s="11" t="n"/>
      <c r="R797" s="12" t="n"/>
      <c r="S797" s="11" t="n"/>
      <c r="T797" s="12" t="n"/>
      <c r="U797" s="12" t="n"/>
      <c r="V797" s="14">
        <f>IF($AN797="",IF($B797="","",$H797),IF(INDEX(職員マスタ!$B$6:$B$405,$AN797)="",$H797,INDEX(職員マスタ!$B$6:$B$405,$AN797)))</f>
        <v/>
      </c>
      <c r="W797" s="14">
        <f>IF($AN797="",IF($B797="","",$R797),IF(INDEX(職員マスタ!$C$6:$C$405,$AN797)="",$R797,INDEX(職員マスタ!$C$6:$C$405,$AN797)))</f>
        <v/>
      </c>
      <c r="X797" s="14">
        <f>IF($AO797="","","R"&amp;$C797&amp;"."&amp;$D797)</f>
        <v/>
      </c>
      <c r="Y797" s="15">
        <f>IF($AN797="","",IF(INDEX(職員マスタ!$K$6:$K$405,$AN797)="","",INDEX(職員マスタ!$K$6:$K$405,$AN797)))</f>
        <v/>
      </c>
      <c r="Z797" s="14">
        <f>IF(OR($E797="",$Y797=""),"",IF($E797&gt;=$Y797,"×",IF($E797&gt;=$Y797*設定!$C$5,"△","○")))</f>
        <v/>
      </c>
      <c r="AA797" s="15">
        <f>IF($Z797="","",IF($Z797="×",0,IF($Z797="○",ROUNDDOWN($E797*設定!$C$4,0),ROUNDDOWN($E797*ROUND((9*$Y797-9*$E797)/(10*$E797),4),0))))</f>
        <v/>
      </c>
      <c r="AB797" s="13" t="n"/>
      <c r="AC797" s="15">
        <f>IF($B797="","",IF($AB797&lt;&gt;"",$AB797,IF($AA797="","",IF($AA797&lt;=設定!$C$3,0,$AA797))))</f>
        <v/>
      </c>
      <c r="AD797" s="14">
        <f>IF($B797="","",IF(AND($AE797&lt;&gt;"",$AG797="",$AJ797=""),"保留中",IF($AJ797&lt;&gt;"",IF(N($AC797)&gt;0,"支給済","不支給"),IF($AC797="","要確認",IF($AC797=0,"不支給","未処理")))))</f>
        <v/>
      </c>
      <c r="AE797" s="12" t="n"/>
      <c r="AF797" s="11" t="n"/>
      <c r="AG797" s="11" t="n"/>
      <c r="AH797" s="11" t="n"/>
      <c r="AI797" s="14">
        <f>IF(AND($AD797="保留中",$AF797&lt;&gt;""),TODAY()-$AF797,"")</f>
        <v/>
      </c>
      <c r="AJ797" s="12" t="n"/>
      <c r="AK797" s="14">
        <f>IF($B797="","",IF($AO797="","対象年月が未入力／","")&amp;IF($B797="","",IF($AN797="","職員マスタに未登録の職員番号／",IF($Y797="","標準報酬月額が未登録／","")&amp;IF(AND($AO797&lt;&gt;"",OR(AND(INDEX(職員マスタ!$G$6:$G$405,$AN797)&lt;&gt;"",INDEX(職員マスタ!$G$6:$G$405,$AN797)&gt;EOMONTH($AO797,0)),AND(INDEX(職員マスタ!$H$6:$H$405,$AN797)&lt;&gt;"",INDEX(職員マスタ!$H$6:$H$405,$AN797)&lt;$AO797))),"対象月が時短期間外／","")&amp;IF(AND(INDEX(職員マスタ!$F$6:$F$405,$AN797)&lt;&gt;"",$AO797&lt;&gt;"",INDEX(職員マスタ!$F$6:$F$405,$AN797)&lt;$AO797),"対象月に子が2歳到達済／","")&amp;IF(AND($H797&lt;&gt;"",INDEX(職員マスタ!$B$6:$B$405,$AN797)&lt;&gt;"",SUBSTITUTE(SUBSTITUTE($H797," ","")," ","")&lt;&gt;SUBSTITUTE(SUBSTITUTE(INDEX(職員マスタ!$B$6:$B$405,$AN797)," ","")," ","")),"氏名がマスタと相違／","")&amp;IF(AND($Q797&lt;&gt;"",INDEX(職員マスタ!$E$6:$E$405,$AN797)&lt;&gt;"",$Q797&lt;&gt;INDEX(職員マスタ!$E$6:$E$405,$AN797)),"子の生年月日がマスタと相違／","")&amp;IF(AND($L797&lt;&gt;"",INDEX(職員マスタ!$G$6:$G$405,$AN797)&lt;&gt;"",$L797&lt;&gt;INDEX(職員マスタ!$G$6:$G$405,$AN797)),"時短開始日がマスタと相違／","")&amp;IF(AND($M797&lt;&gt;"",INDEX(職員マスタ!$H$6:$H$405,$AN797)&lt;&gt;"",$M797&lt;&gt;INDEX(職員マスタ!$H$6:$H$405,$AN797)),"時短終了日がマスタと相違／","")))&amp;IF(AND($B797&lt;&gt;"",$E797=""),"報酬額が未入力／","")&amp;IF(N($U797)&gt;0,"申請書に入力エラーが残っています／","")&amp;IF(AND($B797&lt;&gt;"",$AO797&lt;&gt;""),IF(COUNTIFS($B$6:$B$3005,$B797,$C$6:$C$3005,$C797,$D$6:$D$3005,$D797)&gt;1,"同じ月の請求が重複しています／",""),"")&amp;IF(AND(N($E797)&gt;0,$Z797&lt;&gt;"",$Z797&lt;&gt;"×",$AC797=0,$AB797=""),"計算額が下限以下のため不支給／",""))</f>
        <v/>
      </c>
      <c r="AL797" s="12" t="n"/>
      <c r="AM797" s="14">
        <f>IF($AD797="保留中",COUNTIF($AD$6:$AD797,"保留中"),"")</f>
        <v/>
      </c>
      <c r="AN797" s="14">
        <f>IF($AO797="","",IF(SUMPRODUCT(MAX((職員マスタ!$A$6:$A$405=$B797)*(((職員マスタ!$G$6:$G$405="")+(職員マスタ!$G$6:$G$405&lt;=EOMONTH($AO797,0)))&gt;0)*(((職員マスタ!$H$6:$H$405="")+(職員マスタ!$H$6:$H$405&gt;=$AO797))&gt;0)*(ROW(職員マスタ!$A$6:$A$405)-5)))&gt;0,SUMPRODUCT(MAX((職員マスタ!$A$6:$A$405=$B797)*(((職員マスタ!$G$6:$G$405="")+(職員マスタ!$G$6:$G$405&lt;=EOMONTH($AO797,0)))&gt;0)*(((職員マスタ!$H$6:$H$405="")+(職員マスタ!$H$6:$H$405&gt;=$AO797))&gt;0)*(ROW(職員マスタ!$A$6:$A$405)-5))),IFERROR(MATCH($B797,職員マスタ!$A$6:$A$405,0),"")))</f>
        <v/>
      </c>
      <c r="AO797" s="16">
        <f>IF(OR($B797="",$C797="",$D797=""),"",DATE($C797+2018,$D797,1))</f>
        <v/>
      </c>
    </row>
    <row r="798">
      <c r="A798" s="11" t="n"/>
      <c r="B798" s="12" t="n"/>
      <c r="C798" s="12" t="n"/>
      <c r="D798" s="12" t="n"/>
      <c r="E798" s="13" t="n"/>
      <c r="F798" s="12" t="n"/>
      <c r="G798" s="13" t="n"/>
      <c r="H798" s="12" t="n"/>
      <c r="I798" s="12" t="n"/>
      <c r="J798" s="12" t="n"/>
      <c r="K798" s="12" t="n"/>
      <c r="L798" s="11" t="n"/>
      <c r="M798" s="11" t="n"/>
      <c r="N798" s="11" t="n"/>
      <c r="O798" s="11" t="n"/>
      <c r="P798" s="12" t="n"/>
      <c r="Q798" s="11" t="n"/>
      <c r="R798" s="12" t="n"/>
      <c r="S798" s="11" t="n"/>
      <c r="T798" s="12" t="n"/>
      <c r="U798" s="12" t="n"/>
      <c r="V798" s="14">
        <f>IF($AN798="",IF($B798="","",$H798),IF(INDEX(職員マスタ!$B$6:$B$405,$AN798)="",$H798,INDEX(職員マスタ!$B$6:$B$405,$AN798)))</f>
        <v/>
      </c>
      <c r="W798" s="14">
        <f>IF($AN798="",IF($B798="","",$R798),IF(INDEX(職員マスタ!$C$6:$C$405,$AN798)="",$R798,INDEX(職員マスタ!$C$6:$C$405,$AN798)))</f>
        <v/>
      </c>
      <c r="X798" s="14">
        <f>IF($AO798="","","R"&amp;$C798&amp;"."&amp;$D798)</f>
        <v/>
      </c>
      <c r="Y798" s="15">
        <f>IF($AN798="","",IF(INDEX(職員マスタ!$K$6:$K$405,$AN798)="","",INDEX(職員マスタ!$K$6:$K$405,$AN798)))</f>
        <v/>
      </c>
      <c r="Z798" s="14">
        <f>IF(OR($E798="",$Y798=""),"",IF($E798&gt;=$Y798,"×",IF($E798&gt;=$Y798*設定!$C$5,"△","○")))</f>
        <v/>
      </c>
      <c r="AA798" s="15">
        <f>IF($Z798="","",IF($Z798="×",0,IF($Z798="○",ROUNDDOWN($E798*設定!$C$4,0),ROUNDDOWN($E798*ROUND((9*$Y798-9*$E798)/(10*$E798),4),0))))</f>
        <v/>
      </c>
      <c r="AB798" s="13" t="n"/>
      <c r="AC798" s="15">
        <f>IF($B798="","",IF($AB798&lt;&gt;"",$AB798,IF($AA798="","",IF($AA798&lt;=設定!$C$3,0,$AA798))))</f>
        <v/>
      </c>
      <c r="AD798" s="14">
        <f>IF($B798="","",IF(AND($AE798&lt;&gt;"",$AG798="",$AJ798=""),"保留中",IF($AJ798&lt;&gt;"",IF(N($AC798)&gt;0,"支給済","不支給"),IF($AC798="","要確認",IF($AC798=0,"不支給","未処理")))))</f>
        <v/>
      </c>
      <c r="AE798" s="12" t="n"/>
      <c r="AF798" s="11" t="n"/>
      <c r="AG798" s="11" t="n"/>
      <c r="AH798" s="11" t="n"/>
      <c r="AI798" s="14">
        <f>IF(AND($AD798="保留中",$AF798&lt;&gt;""),TODAY()-$AF798,"")</f>
        <v/>
      </c>
      <c r="AJ798" s="12" t="n"/>
      <c r="AK798" s="14">
        <f>IF($B798="","",IF($AO798="","対象年月が未入力／","")&amp;IF($B798="","",IF($AN798="","職員マスタに未登録の職員番号／",IF($Y798="","標準報酬月額が未登録／","")&amp;IF(AND($AO798&lt;&gt;"",OR(AND(INDEX(職員マスタ!$G$6:$G$405,$AN798)&lt;&gt;"",INDEX(職員マスタ!$G$6:$G$405,$AN798)&gt;EOMONTH($AO798,0)),AND(INDEX(職員マスタ!$H$6:$H$405,$AN798)&lt;&gt;"",INDEX(職員マスタ!$H$6:$H$405,$AN798)&lt;$AO798))),"対象月が時短期間外／","")&amp;IF(AND(INDEX(職員マスタ!$F$6:$F$405,$AN798)&lt;&gt;"",$AO798&lt;&gt;"",INDEX(職員マスタ!$F$6:$F$405,$AN798)&lt;$AO798),"対象月に子が2歳到達済／","")&amp;IF(AND($H798&lt;&gt;"",INDEX(職員マスタ!$B$6:$B$405,$AN798)&lt;&gt;"",SUBSTITUTE(SUBSTITUTE($H798," ","")," ","")&lt;&gt;SUBSTITUTE(SUBSTITUTE(INDEX(職員マスタ!$B$6:$B$405,$AN798)," ","")," ","")),"氏名がマスタと相違／","")&amp;IF(AND($Q798&lt;&gt;"",INDEX(職員マスタ!$E$6:$E$405,$AN798)&lt;&gt;"",$Q798&lt;&gt;INDEX(職員マスタ!$E$6:$E$405,$AN798)),"子の生年月日がマスタと相違／","")&amp;IF(AND($L798&lt;&gt;"",INDEX(職員マスタ!$G$6:$G$405,$AN798)&lt;&gt;"",$L798&lt;&gt;INDEX(職員マスタ!$G$6:$G$405,$AN798)),"時短開始日がマスタと相違／","")&amp;IF(AND($M798&lt;&gt;"",INDEX(職員マスタ!$H$6:$H$405,$AN798)&lt;&gt;"",$M798&lt;&gt;INDEX(職員マスタ!$H$6:$H$405,$AN798)),"時短終了日がマスタと相違／","")))&amp;IF(AND($B798&lt;&gt;"",$E798=""),"報酬額が未入力／","")&amp;IF(N($U798)&gt;0,"申請書に入力エラーが残っています／","")&amp;IF(AND($B798&lt;&gt;"",$AO798&lt;&gt;""),IF(COUNTIFS($B$6:$B$3005,$B798,$C$6:$C$3005,$C798,$D$6:$D$3005,$D798)&gt;1,"同じ月の請求が重複しています／",""),"")&amp;IF(AND(N($E798)&gt;0,$Z798&lt;&gt;"",$Z798&lt;&gt;"×",$AC798=0,$AB798=""),"計算額が下限以下のため不支給／",""))</f>
        <v/>
      </c>
      <c r="AL798" s="12" t="n"/>
      <c r="AM798" s="14">
        <f>IF($AD798="保留中",COUNTIF($AD$6:$AD798,"保留中"),"")</f>
        <v/>
      </c>
      <c r="AN798" s="14">
        <f>IF($AO798="","",IF(SUMPRODUCT(MAX((職員マスタ!$A$6:$A$405=$B798)*(((職員マスタ!$G$6:$G$405="")+(職員マスタ!$G$6:$G$405&lt;=EOMONTH($AO798,0)))&gt;0)*(((職員マスタ!$H$6:$H$405="")+(職員マスタ!$H$6:$H$405&gt;=$AO798))&gt;0)*(ROW(職員マスタ!$A$6:$A$405)-5)))&gt;0,SUMPRODUCT(MAX((職員マスタ!$A$6:$A$405=$B798)*(((職員マスタ!$G$6:$G$405="")+(職員マスタ!$G$6:$G$405&lt;=EOMONTH($AO798,0)))&gt;0)*(((職員マスタ!$H$6:$H$405="")+(職員マスタ!$H$6:$H$405&gt;=$AO798))&gt;0)*(ROW(職員マスタ!$A$6:$A$405)-5))),IFERROR(MATCH($B798,職員マスタ!$A$6:$A$405,0),"")))</f>
        <v/>
      </c>
      <c r="AO798" s="16">
        <f>IF(OR($B798="",$C798="",$D798=""),"",DATE($C798+2018,$D798,1))</f>
        <v/>
      </c>
    </row>
    <row r="799">
      <c r="A799" s="11" t="n"/>
      <c r="B799" s="12" t="n"/>
      <c r="C799" s="12" t="n"/>
      <c r="D799" s="12" t="n"/>
      <c r="E799" s="13" t="n"/>
      <c r="F799" s="12" t="n"/>
      <c r="G799" s="13" t="n"/>
      <c r="H799" s="12" t="n"/>
      <c r="I799" s="12" t="n"/>
      <c r="J799" s="12" t="n"/>
      <c r="K799" s="12" t="n"/>
      <c r="L799" s="11" t="n"/>
      <c r="M799" s="11" t="n"/>
      <c r="N799" s="11" t="n"/>
      <c r="O799" s="11" t="n"/>
      <c r="P799" s="12" t="n"/>
      <c r="Q799" s="11" t="n"/>
      <c r="R799" s="12" t="n"/>
      <c r="S799" s="11" t="n"/>
      <c r="T799" s="12" t="n"/>
      <c r="U799" s="12" t="n"/>
      <c r="V799" s="14">
        <f>IF($AN799="",IF($B799="","",$H799),IF(INDEX(職員マスタ!$B$6:$B$405,$AN799)="",$H799,INDEX(職員マスタ!$B$6:$B$405,$AN799)))</f>
        <v/>
      </c>
      <c r="W799" s="14">
        <f>IF($AN799="",IF($B799="","",$R799),IF(INDEX(職員マスタ!$C$6:$C$405,$AN799)="",$R799,INDEX(職員マスタ!$C$6:$C$405,$AN799)))</f>
        <v/>
      </c>
      <c r="X799" s="14">
        <f>IF($AO799="","","R"&amp;$C799&amp;"."&amp;$D799)</f>
        <v/>
      </c>
      <c r="Y799" s="15">
        <f>IF($AN799="","",IF(INDEX(職員マスタ!$K$6:$K$405,$AN799)="","",INDEX(職員マスタ!$K$6:$K$405,$AN799)))</f>
        <v/>
      </c>
      <c r="Z799" s="14">
        <f>IF(OR($E799="",$Y799=""),"",IF($E799&gt;=$Y799,"×",IF($E799&gt;=$Y799*設定!$C$5,"△","○")))</f>
        <v/>
      </c>
      <c r="AA799" s="15">
        <f>IF($Z799="","",IF($Z799="×",0,IF($Z799="○",ROUNDDOWN($E799*設定!$C$4,0),ROUNDDOWN($E799*ROUND((9*$Y799-9*$E799)/(10*$E799),4),0))))</f>
        <v/>
      </c>
      <c r="AB799" s="13" t="n"/>
      <c r="AC799" s="15">
        <f>IF($B799="","",IF($AB799&lt;&gt;"",$AB799,IF($AA799="","",IF($AA799&lt;=設定!$C$3,0,$AA799))))</f>
        <v/>
      </c>
      <c r="AD799" s="14">
        <f>IF($B799="","",IF(AND($AE799&lt;&gt;"",$AG799="",$AJ799=""),"保留中",IF($AJ799&lt;&gt;"",IF(N($AC799)&gt;0,"支給済","不支給"),IF($AC799="","要確認",IF($AC799=0,"不支給","未処理")))))</f>
        <v/>
      </c>
      <c r="AE799" s="12" t="n"/>
      <c r="AF799" s="11" t="n"/>
      <c r="AG799" s="11" t="n"/>
      <c r="AH799" s="11" t="n"/>
      <c r="AI799" s="14">
        <f>IF(AND($AD799="保留中",$AF799&lt;&gt;""),TODAY()-$AF799,"")</f>
        <v/>
      </c>
      <c r="AJ799" s="12" t="n"/>
      <c r="AK799" s="14">
        <f>IF($B799="","",IF($AO799="","対象年月が未入力／","")&amp;IF($B799="","",IF($AN799="","職員マスタに未登録の職員番号／",IF($Y799="","標準報酬月額が未登録／","")&amp;IF(AND($AO799&lt;&gt;"",OR(AND(INDEX(職員マスタ!$G$6:$G$405,$AN799)&lt;&gt;"",INDEX(職員マスタ!$G$6:$G$405,$AN799)&gt;EOMONTH($AO799,0)),AND(INDEX(職員マスタ!$H$6:$H$405,$AN799)&lt;&gt;"",INDEX(職員マスタ!$H$6:$H$405,$AN799)&lt;$AO799))),"対象月が時短期間外／","")&amp;IF(AND(INDEX(職員マスタ!$F$6:$F$405,$AN799)&lt;&gt;"",$AO799&lt;&gt;"",INDEX(職員マスタ!$F$6:$F$405,$AN799)&lt;$AO799),"対象月に子が2歳到達済／","")&amp;IF(AND($H799&lt;&gt;"",INDEX(職員マスタ!$B$6:$B$405,$AN799)&lt;&gt;"",SUBSTITUTE(SUBSTITUTE($H799," ","")," ","")&lt;&gt;SUBSTITUTE(SUBSTITUTE(INDEX(職員マスタ!$B$6:$B$405,$AN799)," ","")," ","")),"氏名がマスタと相違／","")&amp;IF(AND($Q799&lt;&gt;"",INDEX(職員マスタ!$E$6:$E$405,$AN799)&lt;&gt;"",$Q799&lt;&gt;INDEX(職員マスタ!$E$6:$E$405,$AN799)),"子の生年月日がマスタと相違／","")&amp;IF(AND($L799&lt;&gt;"",INDEX(職員マスタ!$G$6:$G$405,$AN799)&lt;&gt;"",$L799&lt;&gt;INDEX(職員マスタ!$G$6:$G$405,$AN799)),"時短開始日がマスタと相違／","")&amp;IF(AND($M799&lt;&gt;"",INDEX(職員マスタ!$H$6:$H$405,$AN799)&lt;&gt;"",$M799&lt;&gt;INDEX(職員マスタ!$H$6:$H$405,$AN799)),"時短終了日がマスタと相違／","")))&amp;IF(AND($B799&lt;&gt;"",$E799=""),"報酬額が未入力／","")&amp;IF(N($U799)&gt;0,"申請書に入力エラーが残っています／","")&amp;IF(AND($B799&lt;&gt;"",$AO799&lt;&gt;""),IF(COUNTIFS($B$6:$B$3005,$B799,$C$6:$C$3005,$C799,$D$6:$D$3005,$D799)&gt;1,"同じ月の請求が重複しています／",""),"")&amp;IF(AND(N($E799)&gt;0,$Z799&lt;&gt;"",$Z799&lt;&gt;"×",$AC799=0,$AB799=""),"計算額が下限以下のため不支給／",""))</f>
        <v/>
      </c>
      <c r="AL799" s="12" t="n"/>
      <c r="AM799" s="14">
        <f>IF($AD799="保留中",COUNTIF($AD$6:$AD799,"保留中"),"")</f>
        <v/>
      </c>
      <c r="AN799" s="14">
        <f>IF($AO799="","",IF(SUMPRODUCT(MAX((職員マスタ!$A$6:$A$405=$B799)*(((職員マスタ!$G$6:$G$405="")+(職員マスタ!$G$6:$G$405&lt;=EOMONTH($AO799,0)))&gt;0)*(((職員マスタ!$H$6:$H$405="")+(職員マスタ!$H$6:$H$405&gt;=$AO799))&gt;0)*(ROW(職員マスタ!$A$6:$A$405)-5)))&gt;0,SUMPRODUCT(MAX((職員マスタ!$A$6:$A$405=$B799)*(((職員マスタ!$G$6:$G$405="")+(職員マスタ!$G$6:$G$405&lt;=EOMONTH($AO799,0)))&gt;0)*(((職員マスタ!$H$6:$H$405="")+(職員マスタ!$H$6:$H$405&gt;=$AO799))&gt;0)*(ROW(職員マスタ!$A$6:$A$405)-5))),IFERROR(MATCH($B799,職員マスタ!$A$6:$A$405,0),"")))</f>
        <v/>
      </c>
      <c r="AO799" s="16">
        <f>IF(OR($B799="",$C799="",$D799=""),"",DATE($C799+2018,$D799,1))</f>
        <v/>
      </c>
    </row>
    <row r="800">
      <c r="A800" s="11" t="n"/>
      <c r="B800" s="12" t="n"/>
      <c r="C800" s="12" t="n"/>
      <c r="D800" s="12" t="n"/>
      <c r="E800" s="13" t="n"/>
      <c r="F800" s="12" t="n"/>
      <c r="G800" s="13" t="n"/>
      <c r="H800" s="12" t="n"/>
      <c r="I800" s="12" t="n"/>
      <c r="J800" s="12" t="n"/>
      <c r="K800" s="12" t="n"/>
      <c r="L800" s="11" t="n"/>
      <c r="M800" s="11" t="n"/>
      <c r="N800" s="11" t="n"/>
      <c r="O800" s="11" t="n"/>
      <c r="P800" s="12" t="n"/>
      <c r="Q800" s="11" t="n"/>
      <c r="R800" s="12" t="n"/>
      <c r="S800" s="11" t="n"/>
      <c r="T800" s="12" t="n"/>
      <c r="U800" s="12" t="n"/>
      <c r="V800" s="14">
        <f>IF($AN800="",IF($B800="","",$H800),IF(INDEX(職員マスタ!$B$6:$B$405,$AN800)="",$H800,INDEX(職員マスタ!$B$6:$B$405,$AN800)))</f>
        <v/>
      </c>
      <c r="W800" s="14">
        <f>IF($AN800="",IF($B800="","",$R800),IF(INDEX(職員マスタ!$C$6:$C$405,$AN800)="",$R800,INDEX(職員マスタ!$C$6:$C$405,$AN800)))</f>
        <v/>
      </c>
      <c r="X800" s="14">
        <f>IF($AO800="","","R"&amp;$C800&amp;"."&amp;$D800)</f>
        <v/>
      </c>
      <c r="Y800" s="15">
        <f>IF($AN800="","",IF(INDEX(職員マスタ!$K$6:$K$405,$AN800)="","",INDEX(職員マスタ!$K$6:$K$405,$AN800)))</f>
        <v/>
      </c>
      <c r="Z800" s="14">
        <f>IF(OR($E800="",$Y800=""),"",IF($E800&gt;=$Y800,"×",IF($E800&gt;=$Y800*設定!$C$5,"△","○")))</f>
        <v/>
      </c>
      <c r="AA800" s="15">
        <f>IF($Z800="","",IF($Z800="×",0,IF($Z800="○",ROUNDDOWN($E800*設定!$C$4,0),ROUNDDOWN($E800*ROUND((9*$Y800-9*$E800)/(10*$E800),4),0))))</f>
        <v/>
      </c>
      <c r="AB800" s="13" t="n"/>
      <c r="AC800" s="15">
        <f>IF($B800="","",IF($AB800&lt;&gt;"",$AB800,IF($AA800="","",IF($AA800&lt;=設定!$C$3,0,$AA800))))</f>
        <v/>
      </c>
      <c r="AD800" s="14">
        <f>IF($B800="","",IF(AND($AE800&lt;&gt;"",$AG800="",$AJ800=""),"保留中",IF($AJ800&lt;&gt;"",IF(N($AC800)&gt;0,"支給済","不支給"),IF($AC800="","要確認",IF($AC800=0,"不支給","未処理")))))</f>
        <v/>
      </c>
      <c r="AE800" s="12" t="n"/>
      <c r="AF800" s="11" t="n"/>
      <c r="AG800" s="11" t="n"/>
      <c r="AH800" s="11" t="n"/>
      <c r="AI800" s="14">
        <f>IF(AND($AD800="保留中",$AF800&lt;&gt;""),TODAY()-$AF800,"")</f>
        <v/>
      </c>
      <c r="AJ800" s="12" t="n"/>
      <c r="AK800" s="14">
        <f>IF($B800="","",IF($AO800="","対象年月が未入力／","")&amp;IF($B800="","",IF($AN800="","職員マスタに未登録の職員番号／",IF($Y800="","標準報酬月額が未登録／","")&amp;IF(AND($AO800&lt;&gt;"",OR(AND(INDEX(職員マスタ!$G$6:$G$405,$AN800)&lt;&gt;"",INDEX(職員マスタ!$G$6:$G$405,$AN800)&gt;EOMONTH($AO800,0)),AND(INDEX(職員マスタ!$H$6:$H$405,$AN800)&lt;&gt;"",INDEX(職員マスタ!$H$6:$H$405,$AN800)&lt;$AO800))),"対象月が時短期間外／","")&amp;IF(AND(INDEX(職員マスタ!$F$6:$F$405,$AN800)&lt;&gt;"",$AO800&lt;&gt;"",INDEX(職員マスタ!$F$6:$F$405,$AN800)&lt;$AO800),"対象月に子が2歳到達済／","")&amp;IF(AND($H800&lt;&gt;"",INDEX(職員マスタ!$B$6:$B$405,$AN800)&lt;&gt;"",SUBSTITUTE(SUBSTITUTE($H800," ","")," ","")&lt;&gt;SUBSTITUTE(SUBSTITUTE(INDEX(職員マスタ!$B$6:$B$405,$AN800)," ","")," ","")),"氏名がマスタと相違／","")&amp;IF(AND($Q800&lt;&gt;"",INDEX(職員マスタ!$E$6:$E$405,$AN800)&lt;&gt;"",$Q800&lt;&gt;INDEX(職員マスタ!$E$6:$E$405,$AN800)),"子の生年月日がマスタと相違／","")&amp;IF(AND($L800&lt;&gt;"",INDEX(職員マスタ!$G$6:$G$405,$AN800)&lt;&gt;"",$L800&lt;&gt;INDEX(職員マスタ!$G$6:$G$405,$AN800)),"時短開始日がマスタと相違／","")&amp;IF(AND($M800&lt;&gt;"",INDEX(職員マスタ!$H$6:$H$405,$AN800)&lt;&gt;"",$M800&lt;&gt;INDEX(職員マスタ!$H$6:$H$405,$AN800)),"時短終了日がマスタと相違／","")))&amp;IF(AND($B800&lt;&gt;"",$E800=""),"報酬額が未入力／","")&amp;IF(N($U800)&gt;0,"申請書に入力エラーが残っています／","")&amp;IF(AND($B800&lt;&gt;"",$AO800&lt;&gt;""),IF(COUNTIFS($B$6:$B$3005,$B800,$C$6:$C$3005,$C800,$D$6:$D$3005,$D800)&gt;1,"同じ月の請求が重複しています／",""),"")&amp;IF(AND(N($E800)&gt;0,$Z800&lt;&gt;"",$Z800&lt;&gt;"×",$AC800=0,$AB800=""),"計算額が下限以下のため不支給／",""))</f>
        <v/>
      </c>
      <c r="AL800" s="12" t="n"/>
      <c r="AM800" s="14">
        <f>IF($AD800="保留中",COUNTIF($AD$6:$AD800,"保留中"),"")</f>
        <v/>
      </c>
      <c r="AN800" s="14">
        <f>IF($AO800="","",IF(SUMPRODUCT(MAX((職員マスタ!$A$6:$A$405=$B800)*(((職員マスタ!$G$6:$G$405="")+(職員マスタ!$G$6:$G$405&lt;=EOMONTH($AO800,0)))&gt;0)*(((職員マスタ!$H$6:$H$405="")+(職員マスタ!$H$6:$H$405&gt;=$AO800))&gt;0)*(ROW(職員マスタ!$A$6:$A$405)-5)))&gt;0,SUMPRODUCT(MAX((職員マスタ!$A$6:$A$405=$B800)*(((職員マスタ!$G$6:$G$405="")+(職員マスタ!$G$6:$G$405&lt;=EOMONTH($AO800,0)))&gt;0)*(((職員マスタ!$H$6:$H$405="")+(職員マスタ!$H$6:$H$405&gt;=$AO800))&gt;0)*(ROW(職員マスタ!$A$6:$A$405)-5))),IFERROR(MATCH($B800,職員マスタ!$A$6:$A$405,0),"")))</f>
        <v/>
      </c>
      <c r="AO800" s="16">
        <f>IF(OR($B800="",$C800="",$D800=""),"",DATE($C800+2018,$D800,1))</f>
        <v/>
      </c>
    </row>
    <row r="801">
      <c r="A801" s="11" t="n"/>
      <c r="B801" s="12" t="n"/>
      <c r="C801" s="12" t="n"/>
      <c r="D801" s="12" t="n"/>
      <c r="E801" s="13" t="n"/>
      <c r="F801" s="12" t="n"/>
      <c r="G801" s="13" t="n"/>
      <c r="H801" s="12" t="n"/>
      <c r="I801" s="12" t="n"/>
      <c r="J801" s="12" t="n"/>
      <c r="K801" s="12" t="n"/>
      <c r="L801" s="11" t="n"/>
      <c r="M801" s="11" t="n"/>
      <c r="N801" s="11" t="n"/>
      <c r="O801" s="11" t="n"/>
      <c r="P801" s="12" t="n"/>
      <c r="Q801" s="11" t="n"/>
      <c r="R801" s="12" t="n"/>
      <c r="S801" s="11" t="n"/>
      <c r="T801" s="12" t="n"/>
      <c r="U801" s="12" t="n"/>
      <c r="V801" s="14">
        <f>IF($AN801="",IF($B801="","",$H801),IF(INDEX(職員マスタ!$B$6:$B$405,$AN801)="",$H801,INDEX(職員マスタ!$B$6:$B$405,$AN801)))</f>
        <v/>
      </c>
      <c r="W801" s="14">
        <f>IF($AN801="",IF($B801="","",$R801),IF(INDEX(職員マスタ!$C$6:$C$405,$AN801)="",$R801,INDEX(職員マスタ!$C$6:$C$405,$AN801)))</f>
        <v/>
      </c>
      <c r="X801" s="14">
        <f>IF($AO801="","","R"&amp;$C801&amp;"."&amp;$D801)</f>
        <v/>
      </c>
      <c r="Y801" s="15">
        <f>IF($AN801="","",IF(INDEX(職員マスタ!$K$6:$K$405,$AN801)="","",INDEX(職員マスタ!$K$6:$K$405,$AN801)))</f>
        <v/>
      </c>
      <c r="Z801" s="14">
        <f>IF(OR($E801="",$Y801=""),"",IF($E801&gt;=$Y801,"×",IF($E801&gt;=$Y801*設定!$C$5,"△","○")))</f>
        <v/>
      </c>
      <c r="AA801" s="15">
        <f>IF($Z801="","",IF($Z801="×",0,IF($Z801="○",ROUNDDOWN($E801*設定!$C$4,0),ROUNDDOWN($E801*ROUND((9*$Y801-9*$E801)/(10*$E801),4),0))))</f>
        <v/>
      </c>
      <c r="AB801" s="13" t="n"/>
      <c r="AC801" s="15">
        <f>IF($B801="","",IF($AB801&lt;&gt;"",$AB801,IF($AA801="","",IF($AA801&lt;=設定!$C$3,0,$AA801))))</f>
        <v/>
      </c>
      <c r="AD801" s="14">
        <f>IF($B801="","",IF(AND($AE801&lt;&gt;"",$AG801="",$AJ801=""),"保留中",IF($AJ801&lt;&gt;"",IF(N($AC801)&gt;0,"支給済","不支給"),IF($AC801="","要確認",IF($AC801=0,"不支給","未処理")))))</f>
        <v/>
      </c>
      <c r="AE801" s="12" t="n"/>
      <c r="AF801" s="11" t="n"/>
      <c r="AG801" s="11" t="n"/>
      <c r="AH801" s="11" t="n"/>
      <c r="AI801" s="14">
        <f>IF(AND($AD801="保留中",$AF801&lt;&gt;""),TODAY()-$AF801,"")</f>
        <v/>
      </c>
      <c r="AJ801" s="12" t="n"/>
      <c r="AK801" s="14">
        <f>IF($B801="","",IF($AO801="","対象年月が未入力／","")&amp;IF($B801="","",IF($AN801="","職員マスタに未登録の職員番号／",IF($Y801="","標準報酬月額が未登録／","")&amp;IF(AND($AO801&lt;&gt;"",OR(AND(INDEX(職員マスタ!$G$6:$G$405,$AN801)&lt;&gt;"",INDEX(職員マスタ!$G$6:$G$405,$AN801)&gt;EOMONTH($AO801,0)),AND(INDEX(職員マスタ!$H$6:$H$405,$AN801)&lt;&gt;"",INDEX(職員マスタ!$H$6:$H$405,$AN801)&lt;$AO801))),"対象月が時短期間外／","")&amp;IF(AND(INDEX(職員マスタ!$F$6:$F$405,$AN801)&lt;&gt;"",$AO801&lt;&gt;"",INDEX(職員マスタ!$F$6:$F$405,$AN801)&lt;$AO801),"対象月に子が2歳到達済／","")&amp;IF(AND($H801&lt;&gt;"",INDEX(職員マスタ!$B$6:$B$405,$AN801)&lt;&gt;"",SUBSTITUTE(SUBSTITUTE($H801," ","")," ","")&lt;&gt;SUBSTITUTE(SUBSTITUTE(INDEX(職員マスタ!$B$6:$B$405,$AN801)," ","")," ","")),"氏名がマスタと相違／","")&amp;IF(AND($Q801&lt;&gt;"",INDEX(職員マスタ!$E$6:$E$405,$AN801)&lt;&gt;"",$Q801&lt;&gt;INDEX(職員マスタ!$E$6:$E$405,$AN801)),"子の生年月日がマスタと相違／","")&amp;IF(AND($L801&lt;&gt;"",INDEX(職員マスタ!$G$6:$G$405,$AN801)&lt;&gt;"",$L801&lt;&gt;INDEX(職員マスタ!$G$6:$G$405,$AN801)),"時短開始日がマスタと相違／","")&amp;IF(AND($M801&lt;&gt;"",INDEX(職員マスタ!$H$6:$H$405,$AN801)&lt;&gt;"",$M801&lt;&gt;INDEX(職員マスタ!$H$6:$H$405,$AN801)),"時短終了日がマスタと相違／","")))&amp;IF(AND($B801&lt;&gt;"",$E801=""),"報酬額が未入力／","")&amp;IF(N($U801)&gt;0,"申請書に入力エラーが残っています／","")&amp;IF(AND($B801&lt;&gt;"",$AO801&lt;&gt;""),IF(COUNTIFS($B$6:$B$3005,$B801,$C$6:$C$3005,$C801,$D$6:$D$3005,$D801)&gt;1,"同じ月の請求が重複しています／",""),"")&amp;IF(AND(N($E801)&gt;0,$Z801&lt;&gt;"",$Z801&lt;&gt;"×",$AC801=0,$AB801=""),"計算額が下限以下のため不支給／",""))</f>
        <v/>
      </c>
      <c r="AL801" s="12" t="n"/>
      <c r="AM801" s="14">
        <f>IF($AD801="保留中",COUNTIF($AD$6:$AD801,"保留中"),"")</f>
        <v/>
      </c>
      <c r="AN801" s="14">
        <f>IF($AO801="","",IF(SUMPRODUCT(MAX((職員マスタ!$A$6:$A$405=$B801)*(((職員マスタ!$G$6:$G$405="")+(職員マスタ!$G$6:$G$405&lt;=EOMONTH($AO801,0)))&gt;0)*(((職員マスタ!$H$6:$H$405="")+(職員マスタ!$H$6:$H$405&gt;=$AO801))&gt;0)*(ROW(職員マスタ!$A$6:$A$405)-5)))&gt;0,SUMPRODUCT(MAX((職員マスタ!$A$6:$A$405=$B801)*(((職員マスタ!$G$6:$G$405="")+(職員マスタ!$G$6:$G$405&lt;=EOMONTH($AO801,0)))&gt;0)*(((職員マスタ!$H$6:$H$405="")+(職員マスタ!$H$6:$H$405&gt;=$AO801))&gt;0)*(ROW(職員マスタ!$A$6:$A$405)-5))),IFERROR(MATCH($B801,職員マスタ!$A$6:$A$405,0),"")))</f>
        <v/>
      </c>
      <c r="AO801" s="16">
        <f>IF(OR($B801="",$C801="",$D801=""),"",DATE($C801+2018,$D801,1))</f>
        <v/>
      </c>
    </row>
    <row r="802">
      <c r="A802" s="11" t="n"/>
      <c r="B802" s="12" t="n"/>
      <c r="C802" s="12" t="n"/>
      <c r="D802" s="12" t="n"/>
      <c r="E802" s="13" t="n"/>
      <c r="F802" s="12" t="n"/>
      <c r="G802" s="13" t="n"/>
      <c r="H802" s="12" t="n"/>
      <c r="I802" s="12" t="n"/>
      <c r="J802" s="12" t="n"/>
      <c r="K802" s="12" t="n"/>
      <c r="L802" s="11" t="n"/>
      <c r="M802" s="11" t="n"/>
      <c r="N802" s="11" t="n"/>
      <c r="O802" s="11" t="n"/>
      <c r="P802" s="12" t="n"/>
      <c r="Q802" s="11" t="n"/>
      <c r="R802" s="12" t="n"/>
      <c r="S802" s="11" t="n"/>
      <c r="T802" s="12" t="n"/>
      <c r="U802" s="12" t="n"/>
      <c r="V802" s="14">
        <f>IF($AN802="",IF($B802="","",$H802),IF(INDEX(職員マスタ!$B$6:$B$405,$AN802)="",$H802,INDEX(職員マスタ!$B$6:$B$405,$AN802)))</f>
        <v/>
      </c>
      <c r="W802" s="14">
        <f>IF($AN802="",IF($B802="","",$R802),IF(INDEX(職員マスタ!$C$6:$C$405,$AN802)="",$R802,INDEX(職員マスタ!$C$6:$C$405,$AN802)))</f>
        <v/>
      </c>
      <c r="X802" s="14">
        <f>IF($AO802="","","R"&amp;$C802&amp;"."&amp;$D802)</f>
        <v/>
      </c>
      <c r="Y802" s="15">
        <f>IF($AN802="","",IF(INDEX(職員マスタ!$K$6:$K$405,$AN802)="","",INDEX(職員マスタ!$K$6:$K$405,$AN802)))</f>
        <v/>
      </c>
      <c r="Z802" s="14">
        <f>IF(OR($E802="",$Y802=""),"",IF($E802&gt;=$Y802,"×",IF($E802&gt;=$Y802*設定!$C$5,"△","○")))</f>
        <v/>
      </c>
      <c r="AA802" s="15">
        <f>IF($Z802="","",IF($Z802="×",0,IF($Z802="○",ROUNDDOWN($E802*設定!$C$4,0),ROUNDDOWN($E802*ROUND((9*$Y802-9*$E802)/(10*$E802),4),0))))</f>
        <v/>
      </c>
      <c r="AB802" s="13" t="n"/>
      <c r="AC802" s="15">
        <f>IF($B802="","",IF($AB802&lt;&gt;"",$AB802,IF($AA802="","",IF($AA802&lt;=設定!$C$3,0,$AA802))))</f>
        <v/>
      </c>
      <c r="AD802" s="14">
        <f>IF($B802="","",IF(AND($AE802&lt;&gt;"",$AG802="",$AJ802=""),"保留中",IF($AJ802&lt;&gt;"",IF(N($AC802)&gt;0,"支給済","不支給"),IF($AC802="","要確認",IF($AC802=0,"不支給","未処理")))))</f>
        <v/>
      </c>
      <c r="AE802" s="12" t="n"/>
      <c r="AF802" s="11" t="n"/>
      <c r="AG802" s="11" t="n"/>
      <c r="AH802" s="11" t="n"/>
      <c r="AI802" s="14">
        <f>IF(AND($AD802="保留中",$AF802&lt;&gt;""),TODAY()-$AF802,"")</f>
        <v/>
      </c>
      <c r="AJ802" s="12" t="n"/>
      <c r="AK802" s="14">
        <f>IF($B802="","",IF($AO802="","対象年月が未入力／","")&amp;IF($B802="","",IF($AN802="","職員マスタに未登録の職員番号／",IF($Y802="","標準報酬月額が未登録／","")&amp;IF(AND($AO802&lt;&gt;"",OR(AND(INDEX(職員マスタ!$G$6:$G$405,$AN802)&lt;&gt;"",INDEX(職員マスタ!$G$6:$G$405,$AN802)&gt;EOMONTH($AO802,0)),AND(INDEX(職員マスタ!$H$6:$H$405,$AN802)&lt;&gt;"",INDEX(職員マスタ!$H$6:$H$405,$AN802)&lt;$AO802))),"対象月が時短期間外／","")&amp;IF(AND(INDEX(職員マスタ!$F$6:$F$405,$AN802)&lt;&gt;"",$AO802&lt;&gt;"",INDEX(職員マスタ!$F$6:$F$405,$AN802)&lt;$AO802),"対象月に子が2歳到達済／","")&amp;IF(AND($H802&lt;&gt;"",INDEX(職員マスタ!$B$6:$B$405,$AN802)&lt;&gt;"",SUBSTITUTE(SUBSTITUTE($H802," ","")," ","")&lt;&gt;SUBSTITUTE(SUBSTITUTE(INDEX(職員マスタ!$B$6:$B$405,$AN802)," ","")," ","")),"氏名がマスタと相違／","")&amp;IF(AND($Q802&lt;&gt;"",INDEX(職員マスタ!$E$6:$E$405,$AN802)&lt;&gt;"",$Q802&lt;&gt;INDEX(職員マスタ!$E$6:$E$405,$AN802)),"子の生年月日がマスタと相違／","")&amp;IF(AND($L802&lt;&gt;"",INDEX(職員マスタ!$G$6:$G$405,$AN802)&lt;&gt;"",$L802&lt;&gt;INDEX(職員マスタ!$G$6:$G$405,$AN802)),"時短開始日がマスタと相違／","")&amp;IF(AND($M802&lt;&gt;"",INDEX(職員マスタ!$H$6:$H$405,$AN802)&lt;&gt;"",$M802&lt;&gt;INDEX(職員マスタ!$H$6:$H$405,$AN802)),"時短終了日がマスタと相違／","")))&amp;IF(AND($B802&lt;&gt;"",$E802=""),"報酬額が未入力／","")&amp;IF(N($U802)&gt;0,"申請書に入力エラーが残っています／","")&amp;IF(AND($B802&lt;&gt;"",$AO802&lt;&gt;""),IF(COUNTIFS($B$6:$B$3005,$B802,$C$6:$C$3005,$C802,$D$6:$D$3005,$D802)&gt;1,"同じ月の請求が重複しています／",""),"")&amp;IF(AND(N($E802)&gt;0,$Z802&lt;&gt;"",$Z802&lt;&gt;"×",$AC802=0,$AB802=""),"計算額が下限以下のため不支給／",""))</f>
        <v/>
      </c>
      <c r="AL802" s="12" t="n"/>
      <c r="AM802" s="14">
        <f>IF($AD802="保留中",COUNTIF($AD$6:$AD802,"保留中"),"")</f>
        <v/>
      </c>
      <c r="AN802" s="14">
        <f>IF($AO802="","",IF(SUMPRODUCT(MAX((職員マスタ!$A$6:$A$405=$B802)*(((職員マスタ!$G$6:$G$405="")+(職員マスタ!$G$6:$G$405&lt;=EOMONTH($AO802,0)))&gt;0)*(((職員マスタ!$H$6:$H$405="")+(職員マスタ!$H$6:$H$405&gt;=$AO802))&gt;0)*(ROW(職員マスタ!$A$6:$A$405)-5)))&gt;0,SUMPRODUCT(MAX((職員マスタ!$A$6:$A$405=$B802)*(((職員マスタ!$G$6:$G$405="")+(職員マスタ!$G$6:$G$405&lt;=EOMONTH($AO802,0)))&gt;0)*(((職員マスタ!$H$6:$H$405="")+(職員マスタ!$H$6:$H$405&gt;=$AO802))&gt;0)*(ROW(職員マスタ!$A$6:$A$405)-5))),IFERROR(MATCH($B802,職員マスタ!$A$6:$A$405,0),"")))</f>
        <v/>
      </c>
      <c r="AO802" s="16">
        <f>IF(OR($B802="",$C802="",$D802=""),"",DATE($C802+2018,$D802,1))</f>
        <v/>
      </c>
    </row>
    <row r="803">
      <c r="A803" s="11" t="n"/>
      <c r="B803" s="12" t="n"/>
      <c r="C803" s="12" t="n"/>
      <c r="D803" s="12" t="n"/>
      <c r="E803" s="13" t="n"/>
      <c r="F803" s="12" t="n"/>
      <c r="G803" s="13" t="n"/>
      <c r="H803" s="12" t="n"/>
      <c r="I803" s="12" t="n"/>
      <c r="J803" s="12" t="n"/>
      <c r="K803" s="12" t="n"/>
      <c r="L803" s="11" t="n"/>
      <c r="M803" s="11" t="n"/>
      <c r="N803" s="11" t="n"/>
      <c r="O803" s="11" t="n"/>
      <c r="P803" s="12" t="n"/>
      <c r="Q803" s="11" t="n"/>
      <c r="R803" s="12" t="n"/>
      <c r="S803" s="11" t="n"/>
      <c r="T803" s="12" t="n"/>
      <c r="U803" s="12" t="n"/>
      <c r="V803" s="14">
        <f>IF($AN803="",IF($B803="","",$H803),IF(INDEX(職員マスタ!$B$6:$B$405,$AN803)="",$H803,INDEX(職員マスタ!$B$6:$B$405,$AN803)))</f>
        <v/>
      </c>
      <c r="W803" s="14">
        <f>IF($AN803="",IF($B803="","",$R803),IF(INDEX(職員マスタ!$C$6:$C$405,$AN803)="",$R803,INDEX(職員マスタ!$C$6:$C$405,$AN803)))</f>
        <v/>
      </c>
      <c r="X803" s="14">
        <f>IF($AO803="","","R"&amp;$C803&amp;"."&amp;$D803)</f>
        <v/>
      </c>
      <c r="Y803" s="15">
        <f>IF($AN803="","",IF(INDEX(職員マスタ!$K$6:$K$405,$AN803)="","",INDEX(職員マスタ!$K$6:$K$405,$AN803)))</f>
        <v/>
      </c>
      <c r="Z803" s="14">
        <f>IF(OR($E803="",$Y803=""),"",IF($E803&gt;=$Y803,"×",IF($E803&gt;=$Y803*設定!$C$5,"△","○")))</f>
        <v/>
      </c>
      <c r="AA803" s="15">
        <f>IF($Z803="","",IF($Z803="×",0,IF($Z803="○",ROUNDDOWN($E803*設定!$C$4,0),ROUNDDOWN($E803*ROUND((9*$Y803-9*$E803)/(10*$E803),4),0))))</f>
        <v/>
      </c>
      <c r="AB803" s="13" t="n"/>
      <c r="AC803" s="15">
        <f>IF($B803="","",IF($AB803&lt;&gt;"",$AB803,IF($AA803="","",IF($AA803&lt;=設定!$C$3,0,$AA803))))</f>
        <v/>
      </c>
      <c r="AD803" s="14">
        <f>IF($B803="","",IF(AND($AE803&lt;&gt;"",$AG803="",$AJ803=""),"保留中",IF($AJ803&lt;&gt;"",IF(N($AC803)&gt;0,"支給済","不支給"),IF($AC803="","要確認",IF($AC803=0,"不支給","未処理")))))</f>
        <v/>
      </c>
      <c r="AE803" s="12" t="n"/>
      <c r="AF803" s="11" t="n"/>
      <c r="AG803" s="11" t="n"/>
      <c r="AH803" s="11" t="n"/>
      <c r="AI803" s="14">
        <f>IF(AND($AD803="保留中",$AF803&lt;&gt;""),TODAY()-$AF803,"")</f>
        <v/>
      </c>
      <c r="AJ803" s="12" t="n"/>
      <c r="AK803" s="14">
        <f>IF($B803="","",IF($AO803="","対象年月が未入力／","")&amp;IF($B803="","",IF($AN803="","職員マスタに未登録の職員番号／",IF($Y803="","標準報酬月額が未登録／","")&amp;IF(AND($AO803&lt;&gt;"",OR(AND(INDEX(職員マスタ!$G$6:$G$405,$AN803)&lt;&gt;"",INDEX(職員マスタ!$G$6:$G$405,$AN803)&gt;EOMONTH($AO803,0)),AND(INDEX(職員マスタ!$H$6:$H$405,$AN803)&lt;&gt;"",INDEX(職員マスタ!$H$6:$H$405,$AN803)&lt;$AO803))),"対象月が時短期間外／","")&amp;IF(AND(INDEX(職員マスタ!$F$6:$F$405,$AN803)&lt;&gt;"",$AO803&lt;&gt;"",INDEX(職員マスタ!$F$6:$F$405,$AN803)&lt;$AO803),"対象月に子が2歳到達済／","")&amp;IF(AND($H803&lt;&gt;"",INDEX(職員マスタ!$B$6:$B$405,$AN803)&lt;&gt;"",SUBSTITUTE(SUBSTITUTE($H803," ","")," ","")&lt;&gt;SUBSTITUTE(SUBSTITUTE(INDEX(職員マスタ!$B$6:$B$405,$AN803)," ","")," ","")),"氏名がマスタと相違／","")&amp;IF(AND($Q803&lt;&gt;"",INDEX(職員マスタ!$E$6:$E$405,$AN803)&lt;&gt;"",$Q803&lt;&gt;INDEX(職員マスタ!$E$6:$E$405,$AN803)),"子の生年月日がマスタと相違／","")&amp;IF(AND($L803&lt;&gt;"",INDEX(職員マスタ!$G$6:$G$405,$AN803)&lt;&gt;"",$L803&lt;&gt;INDEX(職員マスタ!$G$6:$G$405,$AN803)),"時短開始日がマスタと相違／","")&amp;IF(AND($M803&lt;&gt;"",INDEX(職員マスタ!$H$6:$H$405,$AN803)&lt;&gt;"",$M803&lt;&gt;INDEX(職員マスタ!$H$6:$H$405,$AN803)),"時短終了日がマスタと相違／","")))&amp;IF(AND($B803&lt;&gt;"",$E803=""),"報酬額が未入力／","")&amp;IF(N($U803)&gt;0,"申請書に入力エラーが残っています／","")&amp;IF(AND($B803&lt;&gt;"",$AO803&lt;&gt;""),IF(COUNTIFS($B$6:$B$3005,$B803,$C$6:$C$3005,$C803,$D$6:$D$3005,$D803)&gt;1,"同じ月の請求が重複しています／",""),"")&amp;IF(AND(N($E803)&gt;0,$Z803&lt;&gt;"",$Z803&lt;&gt;"×",$AC803=0,$AB803=""),"計算額が下限以下のため不支給／",""))</f>
        <v/>
      </c>
      <c r="AL803" s="12" t="n"/>
      <c r="AM803" s="14">
        <f>IF($AD803="保留中",COUNTIF($AD$6:$AD803,"保留中"),"")</f>
        <v/>
      </c>
      <c r="AN803" s="14">
        <f>IF($AO803="","",IF(SUMPRODUCT(MAX((職員マスタ!$A$6:$A$405=$B803)*(((職員マスタ!$G$6:$G$405="")+(職員マスタ!$G$6:$G$405&lt;=EOMONTH($AO803,0)))&gt;0)*(((職員マスタ!$H$6:$H$405="")+(職員マスタ!$H$6:$H$405&gt;=$AO803))&gt;0)*(ROW(職員マスタ!$A$6:$A$405)-5)))&gt;0,SUMPRODUCT(MAX((職員マスタ!$A$6:$A$405=$B803)*(((職員マスタ!$G$6:$G$405="")+(職員マスタ!$G$6:$G$405&lt;=EOMONTH($AO803,0)))&gt;0)*(((職員マスタ!$H$6:$H$405="")+(職員マスタ!$H$6:$H$405&gt;=$AO803))&gt;0)*(ROW(職員マスタ!$A$6:$A$405)-5))),IFERROR(MATCH($B803,職員マスタ!$A$6:$A$405,0),"")))</f>
        <v/>
      </c>
      <c r="AO803" s="16">
        <f>IF(OR($B803="",$C803="",$D803=""),"",DATE($C803+2018,$D803,1))</f>
        <v/>
      </c>
    </row>
    <row r="804">
      <c r="A804" s="11" t="n"/>
      <c r="B804" s="12" t="n"/>
      <c r="C804" s="12" t="n"/>
      <c r="D804" s="12" t="n"/>
      <c r="E804" s="13" t="n"/>
      <c r="F804" s="12" t="n"/>
      <c r="G804" s="13" t="n"/>
      <c r="H804" s="12" t="n"/>
      <c r="I804" s="12" t="n"/>
      <c r="J804" s="12" t="n"/>
      <c r="K804" s="12" t="n"/>
      <c r="L804" s="11" t="n"/>
      <c r="M804" s="11" t="n"/>
      <c r="N804" s="11" t="n"/>
      <c r="O804" s="11" t="n"/>
      <c r="P804" s="12" t="n"/>
      <c r="Q804" s="11" t="n"/>
      <c r="R804" s="12" t="n"/>
      <c r="S804" s="11" t="n"/>
      <c r="T804" s="12" t="n"/>
      <c r="U804" s="12" t="n"/>
      <c r="V804" s="14">
        <f>IF($AN804="",IF($B804="","",$H804),IF(INDEX(職員マスタ!$B$6:$B$405,$AN804)="",$H804,INDEX(職員マスタ!$B$6:$B$405,$AN804)))</f>
        <v/>
      </c>
      <c r="W804" s="14">
        <f>IF($AN804="",IF($B804="","",$R804),IF(INDEX(職員マスタ!$C$6:$C$405,$AN804)="",$R804,INDEX(職員マスタ!$C$6:$C$405,$AN804)))</f>
        <v/>
      </c>
      <c r="X804" s="14">
        <f>IF($AO804="","","R"&amp;$C804&amp;"."&amp;$D804)</f>
        <v/>
      </c>
      <c r="Y804" s="15">
        <f>IF($AN804="","",IF(INDEX(職員マスタ!$K$6:$K$405,$AN804)="","",INDEX(職員マスタ!$K$6:$K$405,$AN804)))</f>
        <v/>
      </c>
      <c r="Z804" s="14">
        <f>IF(OR($E804="",$Y804=""),"",IF($E804&gt;=$Y804,"×",IF($E804&gt;=$Y804*設定!$C$5,"△","○")))</f>
        <v/>
      </c>
      <c r="AA804" s="15">
        <f>IF($Z804="","",IF($Z804="×",0,IF($Z804="○",ROUNDDOWN($E804*設定!$C$4,0),ROUNDDOWN($E804*ROUND((9*$Y804-9*$E804)/(10*$E804),4),0))))</f>
        <v/>
      </c>
      <c r="AB804" s="13" t="n"/>
      <c r="AC804" s="15">
        <f>IF($B804="","",IF($AB804&lt;&gt;"",$AB804,IF($AA804="","",IF($AA804&lt;=設定!$C$3,0,$AA804))))</f>
        <v/>
      </c>
      <c r="AD804" s="14">
        <f>IF($B804="","",IF(AND($AE804&lt;&gt;"",$AG804="",$AJ804=""),"保留中",IF($AJ804&lt;&gt;"",IF(N($AC804)&gt;0,"支給済","不支給"),IF($AC804="","要確認",IF($AC804=0,"不支給","未処理")))))</f>
        <v/>
      </c>
      <c r="AE804" s="12" t="n"/>
      <c r="AF804" s="11" t="n"/>
      <c r="AG804" s="11" t="n"/>
      <c r="AH804" s="11" t="n"/>
      <c r="AI804" s="14">
        <f>IF(AND($AD804="保留中",$AF804&lt;&gt;""),TODAY()-$AF804,"")</f>
        <v/>
      </c>
      <c r="AJ804" s="12" t="n"/>
      <c r="AK804" s="14">
        <f>IF($B804="","",IF($AO804="","対象年月が未入力／","")&amp;IF($B804="","",IF($AN804="","職員マスタに未登録の職員番号／",IF($Y804="","標準報酬月額が未登録／","")&amp;IF(AND($AO804&lt;&gt;"",OR(AND(INDEX(職員マスタ!$G$6:$G$405,$AN804)&lt;&gt;"",INDEX(職員マスタ!$G$6:$G$405,$AN804)&gt;EOMONTH($AO804,0)),AND(INDEX(職員マスタ!$H$6:$H$405,$AN804)&lt;&gt;"",INDEX(職員マスタ!$H$6:$H$405,$AN804)&lt;$AO804))),"対象月が時短期間外／","")&amp;IF(AND(INDEX(職員マスタ!$F$6:$F$405,$AN804)&lt;&gt;"",$AO804&lt;&gt;"",INDEX(職員マスタ!$F$6:$F$405,$AN804)&lt;$AO804),"対象月に子が2歳到達済／","")&amp;IF(AND($H804&lt;&gt;"",INDEX(職員マスタ!$B$6:$B$405,$AN804)&lt;&gt;"",SUBSTITUTE(SUBSTITUTE($H804," ","")," ","")&lt;&gt;SUBSTITUTE(SUBSTITUTE(INDEX(職員マスタ!$B$6:$B$405,$AN804)," ","")," ","")),"氏名がマスタと相違／","")&amp;IF(AND($Q804&lt;&gt;"",INDEX(職員マスタ!$E$6:$E$405,$AN804)&lt;&gt;"",$Q804&lt;&gt;INDEX(職員マスタ!$E$6:$E$405,$AN804)),"子の生年月日がマスタと相違／","")&amp;IF(AND($L804&lt;&gt;"",INDEX(職員マスタ!$G$6:$G$405,$AN804)&lt;&gt;"",$L804&lt;&gt;INDEX(職員マスタ!$G$6:$G$405,$AN804)),"時短開始日がマスタと相違／","")&amp;IF(AND($M804&lt;&gt;"",INDEX(職員マスタ!$H$6:$H$405,$AN804)&lt;&gt;"",$M804&lt;&gt;INDEX(職員マスタ!$H$6:$H$405,$AN804)),"時短終了日がマスタと相違／","")))&amp;IF(AND($B804&lt;&gt;"",$E804=""),"報酬額が未入力／","")&amp;IF(N($U804)&gt;0,"申請書に入力エラーが残っています／","")&amp;IF(AND($B804&lt;&gt;"",$AO804&lt;&gt;""),IF(COUNTIFS($B$6:$B$3005,$B804,$C$6:$C$3005,$C804,$D$6:$D$3005,$D804)&gt;1,"同じ月の請求が重複しています／",""),"")&amp;IF(AND(N($E804)&gt;0,$Z804&lt;&gt;"",$Z804&lt;&gt;"×",$AC804=0,$AB804=""),"計算額が下限以下のため不支給／",""))</f>
        <v/>
      </c>
      <c r="AL804" s="12" t="n"/>
      <c r="AM804" s="14">
        <f>IF($AD804="保留中",COUNTIF($AD$6:$AD804,"保留中"),"")</f>
        <v/>
      </c>
      <c r="AN804" s="14">
        <f>IF($AO804="","",IF(SUMPRODUCT(MAX((職員マスタ!$A$6:$A$405=$B804)*(((職員マスタ!$G$6:$G$405="")+(職員マスタ!$G$6:$G$405&lt;=EOMONTH($AO804,0)))&gt;0)*(((職員マスタ!$H$6:$H$405="")+(職員マスタ!$H$6:$H$405&gt;=$AO804))&gt;0)*(ROW(職員マスタ!$A$6:$A$405)-5)))&gt;0,SUMPRODUCT(MAX((職員マスタ!$A$6:$A$405=$B804)*(((職員マスタ!$G$6:$G$405="")+(職員マスタ!$G$6:$G$405&lt;=EOMONTH($AO804,0)))&gt;0)*(((職員マスタ!$H$6:$H$405="")+(職員マスタ!$H$6:$H$405&gt;=$AO804))&gt;0)*(ROW(職員マスタ!$A$6:$A$405)-5))),IFERROR(MATCH($B804,職員マスタ!$A$6:$A$405,0),"")))</f>
        <v/>
      </c>
      <c r="AO804" s="16">
        <f>IF(OR($B804="",$C804="",$D804=""),"",DATE($C804+2018,$D804,1))</f>
        <v/>
      </c>
    </row>
    <row r="805">
      <c r="A805" s="11" t="n"/>
      <c r="B805" s="12" t="n"/>
      <c r="C805" s="12" t="n"/>
      <c r="D805" s="12" t="n"/>
      <c r="E805" s="13" t="n"/>
      <c r="F805" s="12" t="n"/>
      <c r="G805" s="13" t="n"/>
      <c r="H805" s="12" t="n"/>
      <c r="I805" s="12" t="n"/>
      <c r="J805" s="12" t="n"/>
      <c r="K805" s="12" t="n"/>
      <c r="L805" s="11" t="n"/>
      <c r="M805" s="11" t="n"/>
      <c r="N805" s="11" t="n"/>
      <c r="O805" s="11" t="n"/>
      <c r="P805" s="12" t="n"/>
      <c r="Q805" s="11" t="n"/>
      <c r="R805" s="12" t="n"/>
      <c r="S805" s="11" t="n"/>
      <c r="T805" s="12" t="n"/>
      <c r="U805" s="12" t="n"/>
      <c r="V805" s="14">
        <f>IF($AN805="",IF($B805="","",$H805),IF(INDEX(職員マスタ!$B$6:$B$405,$AN805)="",$H805,INDEX(職員マスタ!$B$6:$B$405,$AN805)))</f>
        <v/>
      </c>
      <c r="W805" s="14">
        <f>IF($AN805="",IF($B805="","",$R805),IF(INDEX(職員マスタ!$C$6:$C$405,$AN805)="",$R805,INDEX(職員マスタ!$C$6:$C$405,$AN805)))</f>
        <v/>
      </c>
      <c r="X805" s="14">
        <f>IF($AO805="","","R"&amp;$C805&amp;"."&amp;$D805)</f>
        <v/>
      </c>
      <c r="Y805" s="15">
        <f>IF($AN805="","",IF(INDEX(職員マスタ!$K$6:$K$405,$AN805)="","",INDEX(職員マスタ!$K$6:$K$405,$AN805)))</f>
        <v/>
      </c>
      <c r="Z805" s="14">
        <f>IF(OR($E805="",$Y805=""),"",IF($E805&gt;=$Y805,"×",IF($E805&gt;=$Y805*設定!$C$5,"△","○")))</f>
        <v/>
      </c>
      <c r="AA805" s="15">
        <f>IF($Z805="","",IF($Z805="×",0,IF($Z805="○",ROUNDDOWN($E805*設定!$C$4,0),ROUNDDOWN($E805*ROUND((9*$Y805-9*$E805)/(10*$E805),4),0))))</f>
        <v/>
      </c>
      <c r="AB805" s="13" t="n"/>
      <c r="AC805" s="15">
        <f>IF($B805="","",IF($AB805&lt;&gt;"",$AB805,IF($AA805="","",IF($AA805&lt;=設定!$C$3,0,$AA805))))</f>
        <v/>
      </c>
      <c r="AD805" s="14">
        <f>IF($B805="","",IF(AND($AE805&lt;&gt;"",$AG805="",$AJ805=""),"保留中",IF($AJ805&lt;&gt;"",IF(N($AC805)&gt;0,"支給済","不支給"),IF($AC805="","要確認",IF($AC805=0,"不支給","未処理")))))</f>
        <v/>
      </c>
      <c r="AE805" s="12" t="n"/>
      <c r="AF805" s="11" t="n"/>
      <c r="AG805" s="11" t="n"/>
      <c r="AH805" s="11" t="n"/>
      <c r="AI805" s="14">
        <f>IF(AND($AD805="保留中",$AF805&lt;&gt;""),TODAY()-$AF805,"")</f>
        <v/>
      </c>
      <c r="AJ805" s="12" t="n"/>
      <c r="AK805" s="14">
        <f>IF($B805="","",IF($AO805="","対象年月が未入力／","")&amp;IF($B805="","",IF($AN805="","職員マスタに未登録の職員番号／",IF($Y805="","標準報酬月額が未登録／","")&amp;IF(AND($AO805&lt;&gt;"",OR(AND(INDEX(職員マスタ!$G$6:$G$405,$AN805)&lt;&gt;"",INDEX(職員マスタ!$G$6:$G$405,$AN805)&gt;EOMONTH($AO805,0)),AND(INDEX(職員マスタ!$H$6:$H$405,$AN805)&lt;&gt;"",INDEX(職員マスタ!$H$6:$H$405,$AN805)&lt;$AO805))),"対象月が時短期間外／","")&amp;IF(AND(INDEX(職員マスタ!$F$6:$F$405,$AN805)&lt;&gt;"",$AO805&lt;&gt;"",INDEX(職員マスタ!$F$6:$F$405,$AN805)&lt;$AO805),"対象月に子が2歳到達済／","")&amp;IF(AND($H805&lt;&gt;"",INDEX(職員マスタ!$B$6:$B$405,$AN805)&lt;&gt;"",SUBSTITUTE(SUBSTITUTE($H805," ","")," ","")&lt;&gt;SUBSTITUTE(SUBSTITUTE(INDEX(職員マスタ!$B$6:$B$405,$AN805)," ","")," ","")),"氏名がマスタと相違／","")&amp;IF(AND($Q805&lt;&gt;"",INDEX(職員マスタ!$E$6:$E$405,$AN805)&lt;&gt;"",$Q805&lt;&gt;INDEX(職員マスタ!$E$6:$E$405,$AN805)),"子の生年月日がマスタと相違／","")&amp;IF(AND($L805&lt;&gt;"",INDEX(職員マスタ!$G$6:$G$405,$AN805)&lt;&gt;"",$L805&lt;&gt;INDEX(職員マスタ!$G$6:$G$405,$AN805)),"時短開始日がマスタと相違／","")&amp;IF(AND($M805&lt;&gt;"",INDEX(職員マスタ!$H$6:$H$405,$AN805)&lt;&gt;"",$M805&lt;&gt;INDEX(職員マスタ!$H$6:$H$405,$AN805)),"時短終了日がマスタと相違／","")))&amp;IF(AND($B805&lt;&gt;"",$E805=""),"報酬額が未入力／","")&amp;IF(N($U805)&gt;0,"申請書に入力エラーが残っています／","")&amp;IF(AND($B805&lt;&gt;"",$AO805&lt;&gt;""),IF(COUNTIFS($B$6:$B$3005,$B805,$C$6:$C$3005,$C805,$D$6:$D$3005,$D805)&gt;1,"同じ月の請求が重複しています／",""),"")&amp;IF(AND(N($E805)&gt;0,$Z805&lt;&gt;"",$Z805&lt;&gt;"×",$AC805=0,$AB805=""),"計算額が下限以下のため不支給／",""))</f>
        <v/>
      </c>
      <c r="AL805" s="12" t="n"/>
      <c r="AM805" s="14">
        <f>IF($AD805="保留中",COUNTIF($AD$6:$AD805,"保留中"),"")</f>
        <v/>
      </c>
      <c r="AN805" s="14">
        <f>IF($AO805="","",IF(SUMPRODUCT(MAX((職員マスタ!$A$6:$A$405=$B805)*(((職員マスタ!$G$6:$G$405="")+(職員マスタ!$G$6:$G$405&lt;=EOMONTH($AO805,0)))&gt;0)*(((職員マスタ!$H$6:$H$405="")+(職員マスタ!$H$6:$H$405&gt;=$AO805))&gt;0)*(ROW(職員マスタ!$A$6:$A$405)-5)))&gt;0,SUMPRODUCT(MAX((職員マスタ!$A$6:$A$405=$B805)*(((職員マスタ!$G$6:$G$405="")+(職員マスタ!$G$6:$G$405&lt;=EOMONTH($AO805,0)))&gt;0)*(((職員マスタ!$H$6:$H$405="")+(職員マスタ!$H$6:$H$405&gt;=$AO805))&gt;0)*(ROW(職員マスタ!$A$6:$A$405)-5))),IFERROR(MATCH($B805,職員マスタ!$A$6:$A$405,0),"")))</f>
        <v/>
      </c>
      <c r="AO805" s="16">
        <f>IF(OR($B805="",$C805="",$D805=""),"",DATE($C805+2018,$D805,1))</f>
        <v/>
      </c>
    </row>
    <row r="806">
      <c r="A806" s="11" t="n"/>
      <c r="B806" s="12" t="n"/>
      <c r="C806" s="12" t="n"/>
      <c r="D806" s="12" t="n"/>
      <c r="E806" s="13" t="n"/>
      <c r="F806" s="12" t="n"/>
      <c r="G806" s="13" t="n"/>
      <c r="H806" s="12" t="n"/>
      <c r="I806" s="12" t="n"/>
      <c r="J806" s="12" t="n"/>
      <c r="K806" s="12" t="n"/>
      <c r="L806" s="11" t="n"/>
      <c r="M806" s="11" t="n"/>
      <c r="N806" s="11" t="n"/>
      <c r="O806" s="11" t="n"/>
      <c r="P806" s="12" t="n"/>
      <c r="Q806" s="11" t="n"/>
      <c r="R806" s="12" t="n"/>
      <c r="S806" s="11" t="n"/>
      <c r="T806" s="12" t="n"/>
      <c r="U806" s="12" t="n"/>
      <c r="V806" s="14">
        <f>IF($AN806="",IF($B806="","",$H806),IF(INDEX(職員マスタ!$B$6:$B$405,$AN806)="",$H806,INDEX(職員マスタ!$B$6:$B$405,$AN806)))</f>
        <v/>
      </c>
      <c r="W806" s="14">
        <f>IF($AN806="",IF($B806="","",$R806),IF(INDEX(職員マスタ!$C$6:$C$405,$AN806)="",$R806,INDEX(職員マスタ!$C$6:$C$405,$AN806)))</f>
        <v/>
      </c>
      <c r="X806" s="14">
        <f>IF($AO806="","","R"&amp;$C806&amp;"."&amp;$D806)</f>
        <v/>
      </c>
      <c r="Y806" s="15">
        <f>IF($AN806="","",IF(INDEX(職員マスタ!$K$6:$K$405,$AN806)="","",INDEX(職員マスタ!$K$6:$K$405,$AN806)))</f>
        <v/>
      </c>
      <c r="Z806" s="14">
        <f>IF(OR($E806="",$Y806=""),"",IF($E806&gt;=$Y806,"×",IF($E806&gt;=$Y806*設定!$C$5,"△","○")))</f>
        <v/>
      </c>
      <c r="AA806" s="15">
        <f>IF($Z806="","",IF($Z806="×",0,IF($Z806="○",ROUNDDOWN($E806*設定!$C$4,0),ROUNDDOWN($E806*ROUND((9*$Y806-9*$E806)/(10*$E806),4),0))))</f>
        <v/>
      </c>
      <c r="AB806" s="13" t="n"/>
      <c r="AC806" s="15">
        <f>IF($B806="","",IF($AB806&lt;&gt;"",$AB806,IF($AA806="","",IF($AA806&lt;=設定!$C$3,0,$AA806))))</f>
        <v/>
      </c>
      <c r="AD806" s="14">
        <f>IF($B806="","",IF(AND($AE806&lt;&gt;"",$AG806="",$AJ806=""),"保留中",IF($AJ806&lt;&gt;"",IF(N($AC806)&gt;0,"支給済","不支給"),IF($AC806="","要確認",IF($AC806=0,"不支給","未処理")))))</f>
        <v/>
      </c>
      <c r="AE806" s="12" t="n"/>
      <c r="AF806" s="11" t="n"/>
      <c r="AG806" s="11" t="n"/>
      <c r="AH806" s="11" t="n"/>
      <c r="AI806" s="14">
        <f>IF(AND($AD806="保留中",$AF806&lt;&gt;""),TODAY()-$AF806,"")</f>
        <v/>
      </c>
      <c r="AJ806" s="12" t="n"/>
      <c r="AK806" s="14">
        <f>IF($B806="","",IF($AO806="","対象年月が未入力／","")&amp;IF($B806="","",IF($AN806="","職員マスタに未登録の職員番号／",IF($Y806="","標準報酬月額が未登録／","")&amp;IF(AND($AO806&lt;&gt;"",OR(AND(INDEX(職員マスタ!$G$6:$G$405,$AN806)&lt;&gt;"",INDEX(職員マスタ!$G$6:$G$405,$AN806)&gt;EOMONTH($AO806,0)),AND(INDEX(職員マスタ!$H$6:$H$405,$AN806)&lt;&gt;"",INDEX(職員マスタ!$H$6:$H$405,$AN806)&lt;$AO806))),"対象月が時短期間外／","")&amp;IF(AND(INDEX(職員マスタ!$F$6:$F$405,$AN806)&lt;&gt;"",$AO806&lt;&gt;"",INDEX(職員マスタ!$F$6:$F$405,$AN806)&lt;$AO806),"対象月に子が2歳到達済／","")&amp;IF(AND($H806&lt;&gt;"",INDEX(職員マスタ!$B$6:$B$405,$AN806)&lt;&gt;"",SUBSTITUTE(SUBSTITUTE($H806," ","")," ","")&lt;&gt;SUBSTITUTE(SUBSTITUTE(INDEX(職員マスタ!$B$6:$B$405,$AN806)," ","")," ","")),"氏名がマスタと相違／","")&amp;IF(AND($Q806&lt;&gt;"",INDEX(職員マスタ!$E$6:$E$405,$AN806)&lt;&gt;"",$Q806&lt;&gt;INDEX(職員マスタ!$E$6:$E$405,$AN806)),"子の生年月日がマスタと相違／","")&amp;IF(AND($L806&lt;&gt;"",INDEX(職員マスタ!$G$6:$G$405,$AN806)&lt;&gt;"",$L806&lt;&gt;INDEX(職員マスタ!$G$6:$G$405,$AN806)),"時短開始日がマスタと相違／","")&amp;IF(AND($M806&lt;&gt;"",INDEX(職員マスタ!$H$6:$H$405,$AN806)&lt;&gt;"",$M806&lt;&gt;INDEX(職員マスタ!$H$6:$H$405,$AN806)),"時短終了日がマスタと相違／","")))&amp;IF(AND($B806&lt;&gt;"",$E806=""),"報酬額が未入力／","")&amp;IF(N($U806)&gt;0,"申請書に入力エラーが残っています／","")&amp;IF(AND($B806&lt;&gt;"",$AO806&lt;&gt;""),IF(COUNTIFS($B$6:$B$3005,$B806,$C$6:$C$3005,$C806,$D$6:$D$3005,$D806)&gt;1,"同じ月の請求が重複しています／",""),"")&amp;IF(AND(N($E806)&gt;0,$Z806&lt;&gt;"",$Z806&lt;&gt;"×",$AC806=0,$AB806=""),"計算額が下限以下のため不支給／",""))</f>
        <v/>
      </c>
      <c r="AL806" s="12" t="n"/>
      <c r="AM806" s="14">
        <f>IF($AD806="保留中",COUNTIF($AD$6:$AD806,"保留中"),"")</f>
        <v/>
      </c>
      <c r="AN806" s="14">
        <f>IF($AO806="","",IF(SUMPRODUCT(MAX((職員マスタ!$A$6:$A$405=$B806)*(((職員マスタ!$G$6:$G$405="")+(職員マスタ!$G$6:$G$405&lt;=EOMONTH($AO806,0)))&gt;0)*(((職員マスタ!$H$6:$H$405="")+(職員マスタ!$H$6:$H$405&gt;=$AO806))&gt;0)*(ROW(職員マスタ!$A$6:$A$405)-5)))&gt;0,SUMPRODUCT(MAX((職員マスタ!$A$6:$A$405=$B806)*(((職員マスタ!$G$6:$G$405="")+(職員マスタ!$G$6:$G$405&lt;=EOMONTH($AO806,0)))&gt;0)*(((職員マスタ!$H$6:$H$405="")+(職員マスタ!$H$6:$H$405&gt;=$AO806))&gt;0)*(ROW(職員マスタ!$A$6:$A$405)-5))),IFERROR(MATCH($B806,職員マスタ!$A$6:$A$405,0),"")))</f>
        <v/>
      </c>
      <c r="AO806" s="16">
        <f>IF(OR($B806="",$C806="",$D806=""),"",DATE($C806+2018,$D806,1))</f>
        <v/>
      </c>
    </row>
    <row r="807">
      <c r="A807" s="11" t="n"/>
      <c r="B807" s="12" t="n"/>
      <c r="C807" s="12" t="n"/>
      <c r="D807" s="12" t="n"/>
      <c r="E807" s="13" t="n"/>
      <c r="F807" s="12" t="n"/>
      <c r="G807" s="13" t="n"/>
      <c r="H807" s="12" t="n"/>
      <c r="I807" s="12" t="n"/>
      <c r="J807" s="12" t="n"/>
      <c r="K807" s="12" t="n"/>
      <c r="L807" s="11" t="n"/>
      <c r="M807" s="11" t="n"/>
      <c r="N807" s="11" t="n"/>
      <c r="O807" s="11" t="n"/>
      <c r="P807" s="12" t="n"/>
      <c r="Q807" s="11" t="n"/>
      <c r="R807" s="12" t="n"/>
      <c r="S807" s="11" t="n"/>
      <c r="T807" s="12" t="n"/>
      <c r="U807" s="12" t="n"/>
      <c r="V807" s="14">
        <f>IF($AN807="",IF($B807="","",$H807),IF(INDEX(職員マスタ!$B$6:$B$405,$AN807)="",$H807,INDEX(職員マスタ!$B$6:$B$405,$AN807)))</f>
        <v/>
      </c>
      <c r="W807" s="14">
        <f>IF($AN807="",IF($B807="","",$R807),IF(INDEX(職員マスタ!$C$6:$C$405,$AN807)="",$R807,INDEX(職員マスタ!$C$6:$C$405,$AN807)))</f>
        <v/>
      </c>
      <c r="X807" s="14">
        <f>IF($AO807="","","R"&amp;$C807&amp;"."&amp;$D807)</f>
        <v/>
      </c>
      <c r="Y807" s="15">
        <f>IF($AN807="","",IF(INDEX(職員マスタ!$K$6:$K$405,$AN807)="","",INDEX(職員マスタ!$K$6:$K$405,$AN807)))</f>
        <v/>
      </c>
      <c r="Z807" s="14">
        <f>IF(OR($E807="",$Y807=""),"",IF($E807&gt;=$Y807,"×",IF($E807&gt;=$Y807*設定!$C$5,"△","○")))</f>
        <v/>
      </c>
      <c r="AA807" s="15">
        <f>IF($Z807="","",IF($Z807="×",0,IF($Z807="○",ROUNDDOWN($E807*設定!$C$4,0),ROUNDDOWN($E807*ROUND((9*$Y807-9*$E807)/(10*$E807),4),0))))</f>
        <v/>
      </c>
      <c r="AB807" s="13" t="n"/>
      <c r="AC807" s="15">
        <f>IF($B807="","",IF($AB807&lt;&gt;"",$AB807,IF($AA807="","",IF($AA807&lt;=設定!$C$3,0,$AA807))))</f>
        <v/>
      </c>
      <c r="AD807" s="14">
        <f>IF($B807="","",IF(AND($AE807&lt;&gt;"",$AG807="",$AJ807=""),"保留中",IF($AJ807&lt;&gt;"",IF(N($AC807)&gt;0,"支給済","不支給"),IF($AC807="","要確認",IF($AC807=0,"不支給","未処理")))))</f>
        <v/>
      </c>
      <c r="AE807" s="12" t="n"/>
      <c r="AF807" s="11" t="n"/>
      <c r="AG807" s="11" t="n"/>
      <c r="AH807" s="11" t="n"/>
      <c r="AI807" s="14">
        <f>IF(AND($AD807="保留中",$AF807&lt;&gt;""),TODAY()-$AF807,"")</f>
        <v/>
      </c>
      <c r="AJ807" s="12" t="n"/>
      <c r="AK807" s="14">
        <f>IF($B807="","",IF($AO807="","対象年月が未入力／","")&amp;IF($B807="","",IF($AN807="","職員マスタに未登録の職員番号／",IF($Y807="","標準報酬月額が未登録／","")&amp;IF(AND($AO807&lt;&gt;"",OR(AND(INDEX(職員マスタ!$G$6:$G$405,$AN807)&lt;&gt;"",INDEX(職員マスタ!$G$6:$G$405,$AN807)&gt;EOMONTH($AO807,0)),AND(INDEX(職員マスタ!$H$6:$H$405,$AN807)&lt;&gt;"",INDEX(職員マスタ!$H$6:$H$405,$AN807)&lt;$AO807))),"対象月が時短期間外／","")&amp;IF(AND(INDEX(職員マスタ!$F$6:$F$405,$AN807)&lt;&gt;"",$AO807&lt;&gt;"",INDEX(職員マスタ!$F$6:$F$405,$AN807)&lt;$AO807),"対象月に子が2歳到達済／","")&amp;IF(AND($H807&lt;&gt;"",INDEX(職員マスタ!$B$6:$B$405,$AN807)&lt;&gt;"",SUBSTITUTE(SUBSTITUTE($H807," ","")," ","")&lt;&gt;SUBSTITUTE(SUBSTITUTE(INDEX(職員マスタ!$B$6:$B$405,$AN807)," ","")," ","")),"氏名がマスタと相違／","")&amp;IF(AND($Q807&lt;&gt;"",INDEX(職員マスタ!$E$6:$E$405,$AN807)&lt;&gt;"",$Q807&lt;&gt;INDEX(職員マスタ!$E$6:$E$405,$AN807)),"子の生年月日がマスタと相違／","")&amp;IF(AND($L807&lt;&gt;"",INDEX(職員マスタ!$G$6:$G$405,$AN807)&lt;&gt;"",$L807&lt;&gt;INDEX(職員マスタ!$G$6:$G$405,$AN807)),"時短開始日がマスタと相違／","")&amp;IF(AND($M807&lt;&gt;"",INDEX(職員マスタ!$H$6:$H$405,$AN807)&lt;&gt;"",$M807&lt;&gt;INDEX(職員マスタ!$H$6:$H$405,$AN807)),"時短終了日がマスタと相違／","")))&amp;IF(AND($B807&lt;&gt;"",$E807=""),"報酬額が未入力／","")&amp;IF(N($U807)&gt;0,"申請書に入力エラーが残っています／","")&amp;IF(AND($B807&lt;&gt;"",$AO807&lt;&gt;""),IF(COUNTIFS($B$6:$B$3005,$B807,$C$6:$C$3005,$C807,$D$6:$D$3005,$D807)&gt;1,"同じ月の請求が重複しています／",""),"")&amp;IF(AND(N($E807)&gt;0,$Z807&lt;&gt;"",$Z807&lt;&gt;"×",$AC807=0,$AB807=""),"計算額が下限以下のため不支給／",""))</f>
        <v/>
      </c>
      <c r="AL807" s="12" t="n"/>
      <c r="AM807" s="14">
        <f>IF($AD807="保留中",COUNTIF($AD$6:$AD807,"保留中"),"")</f>
        <v/>
      </c>
      <c r="AN807" s="14">
        <f>IF($AO807="","",IF(SUMPRODUCT(MAX((職員マスタ!$A$6:$A$405=$B807)*(((職員マスタ!$G$6:$G$405="")+(職員マスタ!$G$6:$G$405&lt;=EOMONTH($AO807,0)))&gt;0)*(((職員マスタ!$H$6:$H$405="")+(職員マスタ!$H$6:$H$405&gt;=$AO807))&gt;0)*(ROW(職員マスタ!$A$6:$A$405)-5)))&gt;0,SUMPRODUCT(MAX((職員マスタ!$A$6:$A$405=$B807)*(((職員マスタ!$G$6:$G$405="")+(職員マスタ!$G$6:$G$405&lt;=EOMONTH($AO807,0)))&gt;0)*(((職員マスタ!$H$6:$H$405="")+(職員マスタ!$H$6:$H$405&gt;=$AO807))&gt;0)*(ROW(職員マスタ!$A$6:$A$405)-5))),IFERROR(MATCH($B807,職員マスタ!$A$6:$A$405,0),"")))</f>
        <v/>
      </c>
      <c r="AO807" s="16">
        <f>IF(OR($B807="",$C807="",$D807=""),"",DATE($C807+2018,$D807,1))</f>
        <v/>
      </c>
    </row>
    <row r="808">
      <c r="A808" s="11" t="n"/>
      <c r="B808" s="12" t="n"/>
      <c r="C808" s="12" t="n"/>
      <c r="D808" s="12" t="n"/>
      <c r="E808" s="13" t="n"/>
      <c r="F808" s="12" t="n"/>
      <c r="G808" s="13" t="n"/>
      <c r="H808" s="12" t="n"/>
      <c r="I808" s="12" t="n"/>
      <c r="J808" s="12" t="n"/>
      <c r="K808" s="12" t="n"/>
      <c r="L808" s="11" t="n"/>
      <c r="M808" s="11" t="n"/>
      <c r="N808" s="11" t="n"/>
      <c r="O808" s="11" t="n"/>
      <c r="P808" s="12" t="n"/>
      <c r="Q808" s="11" t="n"/>
      <c r="R808" s="12" t="n"/>
      <c r="S808" s="11" t="n"/>
      <c r="T808" s="12" t="n"/>
      <c r="U808" s="12" t="n"/>
      <c r="V808" s="14">
        <f>IF($AN808="",IF($B808="","",$H808),IF(INDEX(職員マスタ!$B$6:$B$405,$AN808)="",$H808,INDEX(職員マスタ!$B$6:$B$405,$AN808)))</f>
        <v/>
      </c>
      <c r="W808" s="14">
        <f>IF($AN808="",IF($B808="","",$R808),IF(INDEX(職員マスタ!$C$6:$C$405,$AN808)="",$R808,INDEX(職員マスタ!$C$6:$C$405,$AN808)))</f>
        <v/>
      </c>
      <c r="X808" s="14">
        <f>IF($AO808="","","R"&amp;$C808&amp;"."&amp;$D808)</f>
        <v/>
      </c>
      <c r="Y808" s="15">
        <f>IF($AN808="","",IF(INDEX(職員マスタ!$K$6:$K$405,$AN808)="","",INDEX(職員マスタ!$K$6:$K$405,$AN808)))</f>
        <v/>
      </c>
      <c r="Z808" s="14">
        <f>IF(OR($E808="",$Y808=""),"",IF($E808&gt;=$Y808,"×",IF($E808&gt;=$Y808*設定!$C$5,"△","○")))</f>
        <v/>
      </c>
      <c r="AA808" s="15">
        <f>IF($Z808="","",IF($Z808="×",0,IF($Z808="○",ROUNDDOWN($E808*設定!$C$4,0),ROUNDDOWN($E808*ROUND((9*$Y808-9*$E808)/(10*$E808),4),0))))</f>
        <v/>
      </c>
      <c r="AB808" s="13" t="n"/>
      <c r="AC808" s="15">
        <f>IF($B808="","",IF($AB808&lt;&gt;"",$AB808,IF($AA808="","",IF($AA808&lt;=設定!$C$3,0,$AA808))))</f>
        <v/>
      </c>
      <c r="AD808" s="14">
        <f>IF($B808="","",IF(AND($AE808&lt;&gt;"",$AG808="",$AJ808=""),"保留中",IF($AJ808&lt;&gt;"",IF(N($AC808)&gt;0,"支給済","不支給"),IF($AC808="","要確認",IF($AC808=0,"不支給","未処理")))))</f>
        <v/>
      </c>
      <c r="AE808" s="12" t="n"/>
      <c r="AF808" s="11" t="n"/>
      <c r="AG808" s="11" t="n"/>
      <c r="AH808" s="11" t="n"/>
      <c r="AI808" s="14">
        <f>IF(AND($AD808="保留中",$AF808&lt;&gt;""),TODAY()-$AF808,"")</f>
        <v/>
      </c>
      <c r="AJ808" s="12" t="n"/>
      <c r="AK808" s="14">
        <f>IF($B808="","",IF($AO808="","対象年月が未入力／","")&amp;IF($B808="","",IF($AN808="","職員マスタに未登録の職員番号／",IF($Y808="","標準報酬月額が未登録／","")&amp;IF(AND($AO808&lt;&gt;"",OR(AND(INDEX(職員マスタ!$G$6:$G$405,$AN808)&lt;&gt;"",INDEX(職員マスタ!$G$6:$G$405,$AN808)&gt;EOMONTH($AO808,0)),AND(INDEX(職員マスタ!$H$6:$H$405,$AN808)&lt;&gt;"",INDEX(職員マスタ!$H$6:$H$405,$AN808)&lt;$AO808))),"対象月が時短期間外／","")&amp;IF(AND(INDEX(職員マスタ!$F$6:$F$405,$AN808)&lt;&gt;"",$AO808&lt;&gt;"",INDEX(職員マスタ!$F$6:$F$405,$AN808)&lt;$AO808),"対象月に子が2歳到達済／","")&amp;IF(AND($H808&lt;&gt;"",INDEX(職員マスタ!$B$6:$B$405,$AN808)&lt;&gt;"",SUBSTITUTE(SUBSTITUTE($H808," ","")," ","")&lt;&gt;SUBSTITUTE(SUBSTITUTE(INDEX(職員マスタ!$B$6:$B$405,$AN808)," ","")," ","")),"氏名がマスタと相違／","")&amp;IF(AND($Q808&lt;&gt;"",INDEX(職員マスタ!$E$6:$E$405,$AN808)&lt;&gt;"",$Q808&lt;&gt;INDEX(職員マスタ!$E$6:$E$405,$AN808)),"子の生年月日がマスタと相違／","")&amp;IF(AND($L808&lt;&gt;"",INDEX(職員マスタ!$G$6:$G$405,$AN808)&lt;&gt;"",$L808&lt;&gt;INDEX(職員マスタ!$G$6:$G$405,$AN808)),"時短開始日がマスタと相違／","")&amp;IF(AND($M808&lt;&gt;"",INDEX(職員マスタ!$H$6:$H$405,$AN808)&lt;&gt;"",$M808&lt;&gt;INDEX(職員マスタ!$H$6:$H$405,$AN808)),"時短終了日がマスタと相違／","")))&amp;IF(AND($B808&lt;&gt;"",$E808=""),"報酬額が未入力／","")&amp;IF(N($U808)&gt;0,"申請書に入力エラーが残っています／","")&amp;IF(AND($B808&lt;&gt;"",$AO808&lt;&gt;""),IF(COUNTIFS($B$6:$B$3005,$B808,$C$6:$C$3005,$C808,$D$6:$D$3005,$D808)&gt;1,"同じ月の請求が重複しています／",""),"")&amp;IF(AND(N($E808)&gt;0,$Z808&lt;&gt;"",$Z808&lt;&gt;"×",$AC808=0,$AB808=""),"計算額が下限以下のため不支給／",""))</f>
        <v/>
      </c>
      <c r="AL808" s="12" t="n"/>
      <c r="AM808" s="14">
        <f>IF($AD808="保留中",COUNTIF($AD$6:$AD808,"保留中"),"")</f>
        <v/>
      </c>
      <c r="AN808" s="14">
        <f>IF($AO808="","",IF(SUMPRODUCT(MAX((職員マスタ!$A$6:$A$405=$B808)*(((職員マスタ!$G$6:$G$405="")+(職員マスタ!$G$6:$G$405&lt;=EOMONTH($AO808,0)))&gt;0)*(((職員マスタ!$H$6:$H$405="")+(職員マスタ!$H$6:$H$405&gt;=$AO808))&gt;0)*(ROW(職員マスタ!$A$6:$A$405)-5)))&gt;0,SUMPRODUCT(MAX((職員マスタ!$A$6:$A$405=$B808)*(((職員マスタ!$G$6:$G$405="")+(職員マスタ!$G$6:$G$405&lt;=EOMONTH($AO808,0)))&gt;0)*(((職員マスタ!$H$6:$H$405="")+(職員マスタ!$H$6:$H$405&gt;=$AO808))&gt;0)*(ROW(職員マスタ!$A$6:$A$405)-5))),IFERROR(MATCH($B808,職員マスタ!$A$6:$A$405,0),"")))</f>
        <v/>
      </c>
      <c r="AO808" s="16">
        <f>IF(OR($B808="",$C808="",$D808=""),"",DATE($C808+2018,$D808,1))</f>
        <v/>
      </c>
    </row>
    <row r="809">
      <c r="A809" s="11" t="n"/>
      <c r="B809" s="12" t="n"/>
      <c r="C809" s="12" t="n"/>
      <c r="D809" s="12" t="n"/>
      <c r="E809" s="13" t="n"/>
      <c r="F809" s="12" t="n"/>
      <c r="G809" s="13" t="n"/>
      <c r="H809" s="12" t="n"/>
      <c r="I809" s="12" t="n"/>
      <c r="J809" s="12" t="n"/>
      <c r="K809" s="12" t="n"/>
      <c r="L809" s="11" t="n"/>
      <c r="M809" s="11" t="n"/>
      <c r="N809" s="11" t="n"/>
      <c r="O809" s="11" t="n"/>
      <c r="P809" s="12" t="n"/>
      <c r="Q809" s="11" t="n"/>
      <c r="R809" s="12" t="n"/>
      <c r="S809" s="11" t="n"/>
      <c r="T809" s="12" t="n"/>
      <c r="U809" s="12" t="n"/>
      <c r="V809" s="14">
        <f>IF($AN809="",IF($B809="","",$H809),IF(INDEX(職員マスタ!$B$6:$B$405,$AN809)="",$H809,INDEX(職員マスタ!$B$6:$B$405,$AN809)))</f>
        <v/>
      </c>
      <c r="W809" s="14">
        <f>IF($AN809="",IF($B809="","",$R809),IF(INDEX(職員マスタ!$C$6:$C$405,$AN809)="",$R809,INDEX(職員マスタ!$C$6:$C$405,$AN809)))</f>
        <v/>
      </c>
      <c r="X809" s="14">
        <f>IF($AO809="","","R"&amp;$C809&amp;"."&amp;$D809)</f>
        <v/>
      </c>
      <c r="Y809" s="15">
        <f>IF($AN809="","",IF(INDEX(職員マスタ!$K$6:$K$405,$AN809)="","",INDEX(職員マスタ!$K$6:$K$405,$AN809)))</f>
        <v/>
      </c>
      <c r="Z809" s="14">
        <f>IF(OR($E809="",$Y809=""),"",IF($E809&gt;=$Y809,"×",IF($E809&gt;=$Y809*設定!$C$5,"△","○")))</f>
        <v/>
      </c>
      <c r="AA809" s="15">
        <f>IF($Z809="","",IF($Z809="×",0,IF($Z809="○",ROUNDDOWN($E809*設定!$C$4,0),ROUNDDOWN($E809*ROUND((9*$Y809-9*$E809)/(10*$E809),4),0))))</f>
        <v/>
      </c>
      <c r="AB809" s="13" t="n"/>
      <c r="AC809" s="15">
        <f>IF($B809="","",IF($AB809&lt;&gt;"",$AB809,IF($AA809="","",IF($AA809&lt;=設定!$C$3,0,$AA809))))</f>
        <v/>
      </c>
      <c r="AD809" s="14">
        <f>IF($B809="","",IF(AND($AE809&lt;&gt;"",$AG809="",$AJ809=""),"保留中",IF($AJ809&lt;&gt;"",IF(N($AC809)&gt;0,"支給済","不支給"),IF($AC809="","要確認",IF($AC809=0,"不支給","未処理")))))</f>
        <v/>
      </c>
      <c r="AE809" s="12" t="n"/>
      <c r="AF809" s="11" t="n"/>
      <c r="AG809" s="11" t="n"/>
      <c r="AH809" s="11" t="n"/>
      <c r="AI809" s="14">
        <f>IF(AND($AD809="保留中",$AF809&lt;&gt;""),TODAY()-$AF809,"")</f>
        <v/>
      </c>
      <c r="AJ809" s="12" t="n"/>
      <c r="AK809" s="14">
        <f>IF($B809="","",IF($AO809="","対象年月が未入力／","")&amp;IF($B809="","",IF($AN809="","職員マスタに未登録の職員番号／",IF($Y809="","標準報酬月額が未登録／","")&amp;IF(AND($AO809&lt;&gt;"",OR(AND(INDEX(職員マスタ!$G$6:$G$405,$AN809)&lt;&gt;"",INDEX(職員マスタ!$G$6:$G$405,$AN809)&gt;EOMONTH($AO809,0)),AND(INDEX(職員マスタ!$H$6:$H$405,$AN809)&lt;&gt;"",INDEX(職員マスタ!$H$6:$H$405,$AN809)&lt;$AO809))),"対象月が時短期間外／","")&amp;IF(AND(INDEX(職員マスタ!$F$6:$F$405,$AN809)&lt;&gt;"",$AO809&lt;&gt;"",INDEX(職員マスタ!$F$6:$F$405,$AN809)&lt;$AO809),"対象月に子が2歳到達済／","")&amp;IF(AND($H809&lt;&gt;"",INDEX(職員マスタ!$B$6:$B$405,$AN809)&lt;&gt;"",SUBSTITUTE(SUBSTITUTE($H809," ","")," ","")&lt;&gt;SUBSTITUTE(SUBSTITUTE(INDEX(職員マスタ!$B$6:$B$405,$AN809)," ","")," ","")),"氏名がマスタと相違／","")&amp;IF(AND($Q809&lt;&gt;"",INDEX(職員マスタ!$E$6:$E$405,$AN809)&lt;&gt;"",$Q809&lt;&gt;INDEX(職員マスタ!$E$6:$E$405,$AN809)),"子の生年月日がマスタと相違／","")&amp;IF(AND($L809&lt;&gt;"",INDEX(職員マスタ!$G$6:$G$405,$AN809)&lt;&gt;"",$L809&lt;&gt;INDEX(職員マスタ!$G$6:$G$405,$AN809)),"時短開始日がマスタと相違／","")&amp;IF(AND($M809&lt;&gt;"",INDEX(職員マスタ!$H$6:$H$405,$AN809)&lt;&gt;"",$M809&lt;&gt;INDEX(職員マスタ!$H$6:$H$405,$AN809)),"時短終了日がマスタと相違／","")))&amp;IF(AND($B809&lt;&gt;"",$E809=""),"報酬額が未入力／","")&amp;IF(N($U809)&gt;0,"申請書に入力エラーが残っています／","")&amp;IF(AND($B809&lt;&gt;"",$AO809&lt;&gt;""),IF(COUNTIFS($B$6:$B$3005,$B809,$C$6:$C$3005,$C809,$D$6:$D$3005,$D809)&gt;1,"同じ月の請求が重複しています／",""),"")&amp;IF(AND(N($E809)&gt;0,$Z809&lt;&gt;"",$Z809&lt;&gt;"×",$AC809=0,$AB809=""),"計算額が下限以下のため不支給／",""))</f>
        <v/>
      </c>
      <c r="AL809" s="12" t="n"/>
      <c r="AM809" s="14">
        <f>IF($AD809="保留中",COUNTIF($AD$6:$AD809,"保留中"),"")</f>
        <v/>
      </c>
      <c r="AN809" s="14">
        <f>IF($AO809="","",IF(SUMPRODUCT(MAX((職員マスタ!$A$6:$A$405=$B809)*(((職員マスタ!$G$6:$G$405="")+(職員マスタ!$G$6:$G$405&lt;=EOMONTH($AO809,0)))&gt;0)*(((職員マスタ!$H$6:$H$405="")+(職員マスタ!$H$6:$H$405&gt;=$AO809))&gt;0)*(ROW(職員マスタ!$A$6:$A$405)-5)))&gt;0,SUMPRODUCT(MAX((職員マスタ!$A$6:$A$405=$B809)*(((職員マスタ!$G$6:$G$405="")+(職員マスタ!$G$6:$G$405&lt;=EOMONTH($AO809,0)))&gt;0)*(((職員マスタ!$H$6:$H$405="")+(職員マスタ!$H$6:$H$405&gt;=$AO809))&gt;0)*(ROW(職員マスタ!$A$6:$A$405)-5))),IFERROR(MATCH($B809,職員マスタ!$A$6:$A$405,0),"")))</f>
        <v/>
      </c>
      <c r="AO809" s="16">
        <f>IF(OR($B809="",$C809="",$D809=""),"",DATE($C809+2018,$D809,1))</f>
        <v/>
      </c>
    </row>
    <row r="810">
      <c r="A810" s="11" t="n"/>
      <c r="B810" s="12" t="n"/>
      <c r="C810" s="12" t="n"/>
      <c r="D810" s="12" t="n"/>
      <c r="E810" s="13" t="n"/>
      <c r="F810" s="12" t="n"/>
      <c r="G810" s="13" t="n"/>
      <c r="H810" s="12" t="n"/>
      <c r="I810" s="12" t="n"/>
      <c r="J810" s="12" t="n"/>
      <c r="K810" s="12" t="n"/>
      <c r="L810" s="11" t="n"/>
      <c r="M810" s="11" t="n"/>
      <c r="N810" s="11" t="n"/>
      <c r="O810" s="11" t="n"/>
      <c r="P810" s="12" t="n"/>
      <c r="Q810" s="11" t="n"/>
      <c r="R810" s="12" t="n"/>
      <c r="S810" s="11" t="n"/>
      <c r="T810" s="12" t="n"/>
      <c r="U810" s="12" t="n"/>
      <c r="V810" s="14">
        <f>IF($AN810="",IF($B810="","",$H810),IF(INDEX(職員マスタ!$B$6:$B$405,$AN810)="",$H810,INDEX(職員マスタ!$B$6:$B$405,$AN810)))</f>
        <v/>
      </c>
      <c r="W810" s="14">
        <f>IF($AN810="",IF($B810="","",$R810),IF(INDEX(職員マスタ!$C$6:$C$405,$AN810)="",$R810,INDEX(職員マスタ!$C$6:$C$405,$AN810)))</f>
        <v/>
      </c>
      <c r="X810" s="14">
        <f>IF($AO810="","","R"&amp;$C810&amp;"."&amp;$D810)</f>
        <v/>
      </c>
      <c r="Y810" s="15">
        <f>IF($AN810="","",IF(INDEX(職員マスタ!$K$6:$K$405,$AN810)="","",INDEX(職員マスタ!$K$6:$K$405,$AN810)))</f>
        <v/>
      </c>
      <c r="Z810" s="14">
        <f>IF(OR($E810="",$Y810=""),"",IF($E810&gt;=$Y810,"×",IF($E810&gt;=$Y810*設定!$C$5,"△","○")))</f>
        <v/>
      </c>
      <c r="AA810" s="15">
        <f>IF($Z810="","",IF($Z810="×",0,IF($Z810="○",ROUNDDOWN($E810*設定!$C$4,0),ROUNDDOWN($E810*ROUND((9*$Y810-9*$E810)/(10*$E810),4),0))))</f>
        <v/>
      </c>
      <c r="AB810" s="13" t="n"/>
      <c r="AC810" s="15">
        <f>IF($B810="","",IF($AB810&lt;&gt;"",$AB810,IF($AA810="","",IF($AA810&lt;=設定!$C$3,0,$AA810))))</f>
        <v/>
      </c>
      <c r="AD810" s="14">
        <f>IF($B810="","",IF(AND($AE810&lt;&gt;"",$AG810="",$AJ810=""),"保留中",IF($AJ810&lt;&gt;"",IF(N($AC810)&gt;0,"支給済","不支給"),IF($AC810="","要確認",IF($AC810=0,"不支給","未処理")))))</f>
        <v/>
      </c>
      <c r="AE810" s="12" t="n"/>
      <c r="AF810" s="11" t="n"/>
      <c r="AG810" s="11" t="n"/>
      <c r="AH810" s="11" t="n"/>
      <c r="AI810" s="14">
        <f>IF(AND($AD810="保留中",$AF810&lt;&gt;""),TODAY()-$AF810,"")</f>
        <v/>
      </c>
      <c r="AJ810" s="12" t="n"/>
      <c r="AK810" s="14">
        <f>IF($B810="","",IF($AO810="","対象年月が未入力／","")&amp;IF($B810="","",IF($AN810="","職員マスタに未登録の職員番号／",IF($Y810="","標準報酬月額が未登録／","")&amp;IF(AND($AO810&lt;&gt;"",OR(AND(INDEX(職員マスタ!$G$6:$G$405,$AN810)&lt;&gt;"",INDEX(職員マスタ!$G$6:$G$405,$AN810)&gt;EOMONTH($AO810,0)),AND(INDEX(職員マスタ!$H$6:$H$405,$AN810)&lt;&gt;"",INDEX(職員マスタ!$H$6:$H$405,$AN810)&lt;$AO810))),"対象月が時短期間外／","")&amp;IF(AND(INDEX(職員マスタ!$F$6:$F$405,$AN810)&lt;&gt;"",$AO810&lt;&gt;"",INDEX(職員マスタ!$F$6:$F$405,$AN810)&lt;$AO810),"対象月に子が2歳到達済／","")&amp;IF(AND($H810&lt;&gt;"",INDEX(職員マスタ!$B$6:$B$405,$AN810)&lt;&gt;"",SUBSTITUTE(SUBSTITUTE($H810," ","")," ","")&lt;&gt;SUBSTITUTE(SUBSTITUTE(INDEX(職員マスタ!$B$6:$B$405,$AN810)," ","")," ","")),"氏名がマスタと相違／","")&amp;IF(AND($Q810&lt;&gt;"",INDEX(職員マスタ!$E$6:$E$405,$AN810)&lt;&gt;"",$Q810&lt;&gt;INDEX(職員マスタ!$E$6:$E$405,$AN810)),"子の生年月日がマスタと相違／","")&amp;IF(AND($L810&lt;&gt;"",INDEX(職員マスタ!$G$6:$G$405,$AN810)&lt;&gt;"",$L810&lt;&gt;INDEX(職員マスタ!$G$6:$G$405,$AN810)),"時短開始日がマスタと相違／","")&amp;IF(AND($M810&lt;&gt;"",INDEX(職員マスタ!$H$6:$H$405,$AN810)&lt;&gt;"",$M810&lt;&gt;INDEX(職員マスタ!$H$6:$H$405,$AN810)),"時短終了日がマスタと相違／","")))&amp;IF(AND($B810&lt;&gt;"",$E810=""),"報酬額が未入力／","")&amp;IF(N($U810)&gt;0,"申請書に入力エラーが残っています／","")&amp;IF(AND($B810&lt;&gt;"",$AO810&lt;&gt;""),IF(COUNTIFS($B$6:$B$3005,$B810,$C$6:$C$3005,$C810,$D$6:$D$3005,$D810)&gt;1,"同じ月の請求が重複しています／",""),"")&amp;IF(AND(N($E810)&gt;0,$Z810&lt;&gt;"",$Z810&lt;&gt;"×",$AC810=0,$AB810=""),"計算額が下限以下のため不支給／",""))</f>
        <v/>
      </c>
      <c r="AL810" s="12" t="n"/>
      <c r="AM810" s="14">
        <f>IF($AD810="保留中",COUNTIF($AD$6:$AD810,"保留中"),"")</f>
        <v/>
      </c>
      <c r="AN810" s="14">
        <f>IF($AO810="","",IF(SUMPRODUCT(MAX((職員マスタ!$A$6:$A$405=$B810)*(((職員マスタ!$G$6:$G$405="")+(職員マスタ!$G$6:$G$405&lt;=EOMONTH($AO810,0)))&gt;0)*(((職員マスタ!$H$6:$H$405="")+(職員マスタ!$H$6:$H$405&gt;=$AO810))&gt;0)*(ROW(職員マスタ!$A$6:$A$405)-5)))&gt;0,SUMPRODUCT(MAX((職員マスタ!$A$6:$A$405=$B810)*(((職員マスタ!$G$6:$G$405="")+(職員マスタ!$G$6:$G$405&lt;=EOMONTH($AO810,0)))&gt;0)*(((職員マスタ!$H$6:$H$405="")+(職員マスタ!$H$6:$H$405&gt;=$AO810))&gt;0)*(ROW(職員マスタ!$A$6:$A$405)-5))),IFERROR(MATCH($B810,職員マスタ!$A$6:$A$405,0),"")))</f>
        <v/>
      </c>
      <c r="AO810" s="16">
        <f>IF(OR($B810="",$C810="",$D810=""),"",DATE($C810+2018,$D810,1))</f>
        <v/>
      </c>
    </row>
    <row r="811">
      <c r="A811" s="11" t="n"/>
      <c r="B811" s="12" t="n"/>
      <c r="C811" s="12" t="n"/>
      <c r="D811" s="12" t="n"/>
      <c r="E811" s="13" t="n"/>
      <c r="F811" s="12" t="n"/>
      <c r="G811" s="13" t="n"/>
      <c r="H811" s="12" t="n"/>
      <c r="I811" s="12" t="n"/>
      <c r="J811" s="12" t="n"/>
      <c r="K811" s="12" t="n"/>
      <c r="L811" s="11" t="n"/>
      <c r="M811" s="11" t="n"/>
      <c r="N811" s="11" t="n"/>
      <c r="O811" s="11" t="n"/>
      <c r="P811" s="12" t="n"/>
      <c r="Q811" s="11" t="n"/>
      <c r="R811" s="12" t="n"/>
      <c r="S811" s="11" t="n"/>
      <c r="T811" s="12" t="n"/>
      <c r="U811" s="12" t="n"/>
      <c r="V811" s="14">
        <f>IF($AN811="",IF($B811="","",$H811),IF(INDEX(職員マスタ!$B$6:$B$405,$AN811)="",$H811,INDEX(職員マスタ!$B$6:$B$405,$AN811)))</f>
        <v/>
      </c>
      <c r="W811" s="14">
        <f>IF($AN811="",IF($B811="","",$R811),IF(INDEX(職員マスタ!$C$6:$C$405,$AN811)="",$R811,INDEX(職員マスタ!$C$6:$C$405,$AN811)))</f>
        <v/>
      </c>
      <c r="X811" s="14">
        <f>IF($AO811="","","R"&amp;$C811&amp;"."&amp;$D811)</f>
        <v/>
      </c>
      <c r="Y811" s="15">
        <f>IF($AN811="","",IF(INDEX(職員マスタ!$K$6:$K$405,$AN811)="","",INDEX(職員マスタ!$K$6:$K$405,$AN811)))</f>
        <v/>
      </c>
      <c r="Z811" s="14">
        <f>IF(OR($E811="",$Y811=""),"",IF($E811&gt;=$Y811,"×",IF($E811&gt;=$Y811*設定!$C$5,"△","○")))</f>
        <v/>
      </c>
      <c r="AA811" s="15">
        <f>IF($Z811="","",IF($Z811="×",0,IF($Z811="○",ROUNDDOWN($E811*設定!$C$4,0),ROUNDDOWN($E811*ROUND((9*$Y811-9*$E811)/(10*$E811),4),0))))</f>
        <v/>
      </c>
      <c r="AB811" s="13" t="n"/>
      <c r="AC811" s="15">
        <f>IF($B811="","",IF($AB811&lt;&gt;"",$AB811,IF($AA811="","",IF($AA811&lt;=設定!$C$3,0,$AA811))))</f>
        <v/>
      </c>
      <c r="AD811" s="14">
        <f>IF($B811="","",IF(AND($AE811&lt;&gt;"",$AG811="",$AJ811=""),"保留中",IF($AJ811&lt;&gt;"",IF(N($AC811)&gt;0,"支給済","不支給"),IF($AC811="","要確認",IF($AC811=0,"不支給","未処理")))))</f>
        <v/>
      </c>
      <c r="AE811" s="12" t="n"/>
      <c r="AF811" s="11" t="n"/>
      <c r="AG811" s="11" t="n"/>
      <c r="AH811" s="11" t="n"/>
      <c r="AI811" s="14">
        <f>IF(AND($AD811="保留中",$AF811&lt;&gt;""),TODAY()-$AF811,"")</f>
        <v/>
      </c>
      <c r="AJ811" s="12" t="n"/>
      <c r="AK811" s="14">
        <f>IF($B811="","",IF($AO811="","対象年月が未入力／","")&amp;IF($B811="","",IF($AN811="","職員マスタに未登録の職員番号／",IF($Y811="","標準報酬月額が未登録／","")&amp;IF(AND($AO811&lt;&gt;"",OR(AND(INDEX(職員マスタ!$G$6:$G$405,$AN811)&lt;&gt;"",INDEX(職員マスタ!$G$6:$G$405,$AN811)&gt;EOMONTH($AO811,0)),AND(INDEX(職員マスタ!$H$6:$H$405,$AN811)&lt;&gt;"",INDEX(職員マスタ!$H$6:$H$405,$AN811)&lt;$AO811))),"対象月が時短期間外／","")&amp;IF(AND(INDEX(職員マスタ!$F$6:$F$405,$AN811)&lt;&gt;"",$AO811&lt;&gt;"",INDEX(職員マスタ!$F$6:$F$405,$AN811)&lt;$AO811),"対象月に子が2歳到達済／","")&amp;IF(AND($H811&lt;&gt;"",INDEX(職員マスタ!$B$6:$B$405,$AN811)&lt;&gt;"",SUBSTITUTE(SUBSTITUTE($H811," ","")," ","")&lt;&gt;SUBSTITUTE(SUBSTITUTE(INDEX(職員マスタ!$B$6:$B$405,$AN811)," ","")," ","")),"氏名がマスタと相違／","")&amp;IF(AND($Q811&lt;&gt;"",INDEX(職員マスタ!$E$6:$E$405,$AN811)&lt;&gt;"",$Q811&lt;&gt;INDEX(職員マスタ!$E$6:$E$405,$AN811)),"子の生年月日がマスタと相違／","")&amp;IF(AND($L811&lt;&gt;"",INDEX(職員マスタ!$G$6:$G$405,$AN811)&lt;&gt;"",$L811&lt;&gt;INDEX(職員マスタ!$G$6:$G$405,$AN811)),"時短開始日がマスタと相違／","")&amp;IF(AND($M811&lt;&gt;"",INDEX(職員マスタ!$H$6:$H$405,$AN811)&lt;&gt;"",$M811&lt;&gt;INDEX(職員マスタ!$H$6:$H$405,$AN811)),"時短終了日がマスタと相違／","")))&amp;IF(AND($B811&lt;&gt;"",$E811=""),"報酬額が未入力／","")&amp;IF(N($U811)&gt;0,"申請書に入力エラーが残っています／","")&amp;IF(AND($B811&lt;&gt;"",$AO811&lt;&gt;""),IF(COUNTIFS($B$6:$B$3005,$B811,$C$6:$C$3005,$C811,$D$6:$D$3005,$D811)&gt;1,"同じ月の請求が重複しています／",""),"")&amp;IF(AND(N($E811)&gt;0,$Z811&lt;&gt;"",$Z811&lt;&gt;"×",$AC811=0,$AB811=""),"計算額が下限以下のため不支給／",""))</f>
        <v/>
      </c>
      <c r="AL811" s="12" t="n"/>
      <c r="AM811" s="14">
        <f>IF($AD811="保留中",COUNTIF($AD$6:$AD811,"保留中"),"")</f>
        <v/>
      </c>
      <c r="AN811" s="14">
        <f>IF($AO811="","",IF(SUMPRODUCT(MAX((職員マスタ!$A$6:$A$405=$B811)*(((職員マスタ!$G$6:$G$405="")+(職員マスタ!$G$6:$G$405&lt;=EOMONTH($AO811,0)))&gt;0)*(((職員マスタ!$H$6:$H$405="")+(職員マスタ!$H$6:$H$405&gt;=$AO811))&gt;0)*(ROW(職員マスタ!$A$6:$A$405)-5)))&gt;0,SUMPRODUCT(MAX((職員マスタ!$A$6:$A$405=$B811)*(((職員マスタ!$G$6:$G$405="")+(職員マスタ!$G$6:$G$405&lt;=EOMONTH($AO811,0)))&gt;0)*(((職員マスタ!$H$6:$H$405="")+(職員マスタ!$H$6:$H$405&gt;=$AO811))&gt;0)*(ROW(職員マスタ!$A$6:$A$405)-5))),IFERROR(MATCH($B811,職員マスタ!$A$6:$A$405,0),"")))</f>
        <v/>
      </c>
      <c r="AO811" s="16">
        <f>IF(OR($B811="",$C811="",$D811=""),"",DATE($C811+2018,$D811,1))</f>
        <v/>
      </c>
    </row>
    <row r="812">
      <c r="A812" s="11" t="n"/>
      <c r="B812" s="12" t="n"/>
      <c r="C812" s="12" t="n"/>
      <c r="D812" s="12" t="n"/>
      <c r="E812" s="13" t="n"/>
      <c r="F812" s="12" t="n"/>
      <c r="G812" s="13" t="n"/>
      <c r="H812" s="12" t="n"/>
      <c r="I812" s="12" t="n"/>
      <c r="J812" s="12" t="n"/>
      <c r="K812" s="12" t="n"/>
      <c r="L812" s="11" t="n"/>
      <c r="M812" s="11" t="n"/>
      <c r="N812" s="11" t="n"/>
      <c r="O812" s="11" t="n"/>
      <c r="P812" s="12" t="n"/>
      <c r="Q812" s="11" t="n"/>
      <c r="R812" s="12" t="n"/>
      <c r="S812" s="11" t="n"/>
      <c r="T812" s="12" t="n"/>
      <c r="U812" s="12" t="n"/>
      <c r="V812" s="14">
        <f>IF($AN812="",IF($B812="","",$H812),IF(INDEX(職員マスタ!$B$6:$B$405,$AN812)="",$H812,INDEX(職員マスタ!$B$6:$B$405,$AN812)))</f>
        <v/>
      </c>
      <c r="W812" s="14">
        <f>IF($AN812="",IF($B812="","",$R812),IF(INDEX(職員マスタ!$C$6:$C$405,$AN812)="",$R812,INDEX(職員マスタ!$C$6:$C$405,$AN812)))</f>
        <v/>
      </c>
      <c r="X812" s="14">
        <f>IF($AO812="","","R"&amp;$C812&amp;"."&amp;$D812)</f>
        <v/>
      </c>
      <c r="Y812" s="15">
        <f>IF($AN812="","",IF(INDEX(職員マスタ!$K$6:$K$405,$AN812)="","",INDEX(職員マスタ!$K$6:$K$405,$AN812)))</f>
        <v/>
      </c>
      <c r="Z812" s="14">
        <f>IF(OR($E812="",$Y812=""),"",IF($E812&gt;=$Y812,"×",IF($E812&gt;=$Y812*設定!$C$5,"△","○")))</f>
        <v/>
      </c>
      <c r="AA812" s="15">
        <f>IF($Z812="","",IF($Z812="×",0,IF($Z812="○",ROUNDDOWN($E812*設定!$C$4,0),ROUNDDOWN($E812*ROUND((9*$Y812-9*$E812)/(10*$E812),4),0))))</f>
        <v/>
      </c>
      <c r="AB812" s="13" t="n"/>
      <c r="AC812" s="15">
        <f>IF($B812="","",IF($AB812&lt;&gt;"",$AB812,IF($AA812="","",IF($AA812&lt;=設定!$C$3,0,$AA812))))</f>
        <v/>
      </c>
      <c r="AD812" s="14">
        <f>IF($B812="","",IF(AND($AE812&lt;&gt;"",$AG812="",$AJ812=""),"保留中",IF($AJ812&lt;&gt;"",IF(N($AC812)&gt;0,"支給済","不支給"),IF($AC812="","要確認",IF($AC812=0,"不支給","未処理")))))</f>
        <v/>
      </c>
      <c r="AE812" s="12" t="n"/>
      <c r="AF812" s="11" t="n"/>
      <c r="AG812" s="11" t="n"/>
      <c r="AH812" s="11" t="n"/>
      <c r="AI812" s="14">
        <f>IF(AND($AD812="保留中",$AF812&lt;&gt;""),TODAY()-$AF812,"")</f>
        <v/>
      </c>
      <c r="AJ812" s="12" t="n"/>
      <c r="AK812" s="14">
        <f>IF($B812="","",IF($AO812="","対象年月が未入力／","")&amp;IF($B812="","",IF($AN812="","職員マスタに未登録の職員番号／",IF($Y812="","標準報酬月額が未登録／","")&amp;IF(AND($AO812&lt;&gt;"",OR(AND(INDEX(職員マスタ!$G$6:$G$405,$AN812)&lt;&gt;"",INDEX(職員マスタ!$G$6:$G$405,$AN812)&gt;EOMONTH($AO812,0)),AND(INDEX(職員マスタ!$H$6:$H$405,$AN812)&lt;&gt;"",INDEX(職員マスタ!$H$6:$H$405,$AN812)&lt;$AO812))),"対象月が時短期間外／","")&amp;IF(AND(INDEX(職員マスタ!$F$6:$F$405,$AN812)&lt;&gt;"",$AO812&lt;&gt;"",INDEX(職員マスタ!$F$6:$F$405,$AN812)&lt;$AO812),"対象月に子が2歳到達済／","")&amp;IF(AND($H812&lt;&gt;"",INDEX(職員マスタ!$B$6:$B$405,$AN812)&lt;&gt;"",SUBSTITUTE(SUBSTITUTE($H812," ","")," ","")&lt;&gt;SUBSTITUTE(SUBSTITUTE(INDEX(職員マスタ!$B$6:$B$405,$AN812)," ","")," ","")),"氏名がマスタと相違／","")&amp;IF(AND($Q812&lt;&gt;"",INDEX(職員マスタ!$E$6:$E$405,$AN812)&lt;&gt;"",$Q812&lt;&gt;INDEX(職員マスタ!$E$6:$E$405,$AN812)),"子の生年月日がマスタと相違／","")&amp;IF(AND($L812&lt;&gt;"",INDEX(職員マスタ!$G$6:$G$405,$AN812)&lt;&gt;"",$L812&lt;&gt;INDEX(職員マスタ!$G$6:$G$405,$AN812)),"時短開始日がマスタと相違／","")&amp;IF(AND($M812&lt;&gt;"",INDEX(職員マスタ!$H$6:$H$405,$AN812)&lt;&gt;"",$M812&lt;&gt;INDEX(職員マスタ!$H$6:$H$405,$AN812)),"時短終了日がマスタと相違／","")))&amp;IF(AND($B812&lt;&gt;"",$E812=""),"報酬額が未入力／","")&amp;IF(N($U812)&gt;0,"申請書に入力エラーが残っています／","")&amp;IF(AND($B812&lt;&gt;"",$AO812&lt;&gt;""),IF(COUNTIFS($B$6:$B$3005,$B812,$C$6:$C$3005,$C812,$D$6:$D$3005,$D812)&gt;1,"同じ月の請求が重複しています／",""),"")&amp;IF(AND(N($E812)&gt;0,$Z812&lt;&gt;"",$Z812&lt;&gt;"×",$AC812=0,$AB812=""),"計算額が下限以下のため不支給／",""))</f>
        <v/>
      </c>
      <c r="AL812" s="12" t="n"/>
      <c r="AM812" s="14">
        <f>IF($AD812="保留中",COUNTIF($AD$6:$AD812,"保留中"),"")</f>
        <v/>
      </c>
      <c r="AN812" s="14">
        <f>IF($AO812="","",IF(SUMPRODUCT(MAX((職員マスタ!$A$6:$A$405=$B812)*(((職員マスタ!$G$6:$G$405="")+(職員マスタ!$G$6:$G$405&lt;=EOMONTH($AO812,0)))&gt;0)*(((職員マスタ!$H$6:$H$405="")+(職員マスタ!$H$6:$H$405&gt;=$AO812))&gt;0)*(ROW(職員マスタ!$A$6:$A$405)-5)))&gt;0,SUMPRODUCT(MAX((職員マスタ!$A$6:$A$405=$B812)*(((職員マスタ!$G$6:$G$405="")+(職員マスタ!$G$6:$G$405&lt;=EOMONTH($AO812,0)))&gt;0)*(((職員マスタ!$H$6:$H$405="")+(職員マスタ!$H$6:$H$405&gt;=$AO812))&gt;0)*(ROW(職員マスタ!$A$6:$A$405)-5))),IFERROR(MATCH($B812,職員マスタ!$A$6:$A$405,0),"")))</f>
        <v/>
      </c>
      <c r="AO812" s="16">
        <f>IF(OR($B812="",$C812="",$D812=""),"",DATE($C812+2018,$D812,1))</f>
        <v/>
      </c>
    </row>
    <row r="813">
      <c r="A813" s="11" t="n"/>
      <c r="B813" s="12" t="n"/>
      <c r="C813" s="12" t="n"/>
      <c r="D813" s="12" t="n"/>
      <c r="E813" s="13" t="n"/>
      <c r="F813" s="12" t="n"/>
      <c r="G813" s="13" t="n"/>
      <c r="H813" s="12" t="n"/>
      <c r="I813" s="12" t="n"/>
      <c r="J813" s="12" t="n"/>
      <c r="K813" s="12" t="n"/>
      <c r="L813" s="11" t="n"/>
      <c r="M813" s="11" t="n"/>
      <c r="N813" s="11" t="n"/>
      <c r="O813" s="11" t="n"/>
      <c r="P813" s="12" t="n"/>
      <c r="Q813" s="11" t="n"/>
      <c r="R813" s="12" t="n"/>
      <c r="S813" s="11" t="n"/>
      <c r="T813" s="12" t="n"/>
      <c r="U813" s="12" t="n"/>
      <c r="V813" s="14">
        <f>IF($AN813="",IF($B813="","",$H813),IF(INDEX(職員マスタ!$B$6:$B$405,$AN813)="",$H813,INDEX(職員マスタ!$B$6:$B$405,$AN813)))</f>
        <v/>
      </c>
      <c r="W813" s="14">
        <f>IF($AN813="",IF($B813="","",$R813),IF(INDEX(職員マスタ!$C$6:$C$405,$AN813)="",$R813,INDEX(職員マスタ!$C$6:$C$405,$AN813)))</f>
        <v/>
      </c>
      <c r="X813" s="14">
        <f>IF($AO813="","","R"&amp;$C813&amp;"."&amp;$D813)</f>
        <v/>
      </c>
      <c r="Y813" s="15">
        <f>IF($AN813="","",IF(INDEX(職員マスタ!$K$6:$K$405,$AN813)="","",INDEX(職員マスタ!$K$6:$K$405,$AN813)))</f>
        <v/>
      </c>
      <c r="Z813" s="14">
        <f>IF(OR($E813="",$Y813=""),"",IF($E813&gt;=$Y813,"×",IF($E813&gt;=$Y813*設定!$C$5,"△","○")))</f>
        <v/>
      </c>
      <c r="AA813" s="15">
        <f>IF($Z813="","",IF($Z813="×",0,IF($Z813="○",ROUNDDOWN($E813*設定!$C$4,0),ROUNDDOWN($E813*ROUND((9*$Y813-9*$E813)/(10*$E813),4),0))))</f>
        <v/>
      </c>
      <c r="AB813" s="13" t="n"/>
      <c r="AC813" s="15">
        <f>IF($B813="","",IF($AB813&lt;&gt;"",$AB813,IF($AA813="","",IF($AA813&lt;=設定!$C$3,0,$AA813))))</f>
        <v/>
      </c>
      <c r="AD813" s="14">
        <f>IF($B813="","",IF(AND($AE813&lt;&gt;"",$AG813="",$AJ813=""),"保留中",IF($AJ813&lt;&gt;"",IF(N($AC813)&gt;0,"支給済","不支給"),IF($AC813="","要確認",IF($AC813=0,"不支給","未処理")))))</f>
        <v/>
      </c>
      <c r="AE813" s="12" t="n"/>
      <c r="AF813" s="11" t="n"/>
      <c r="AG813" s="11" t="n"/>
      <c r="AH813" s="11" t="n"/>
      <c r="AI813" s="14">
        <f>IF(AND($AD813="保留中",$AF813&lt;&gt;""),TODAY()-$AF813,"")</f>
        <v/>
      </c>
      <c r="AJ813" s="12" t="n"/>
      <c r="AK813" s="14">
        <f>IF($B813="","",IF($AO813="","対象年月が未入力／","")&amp;IF($B813="","",IF($AN813="","職員マスタに未登録の職員番号／",IF($Y813="","標準報酬月額が未登録／","")&amp;IF(AND($AO813&lt;&gt;"",OR(AND(INDEX(職員マスタ!$G$6:$G$405,$AN813)&lt;&gt;"",INDEX(職員マスタ!$G$6:$G$405,$AN813)&gt;EOMONTH($AO813,0)),AND(INDEX(職員マスタ!$H$6:$H$405,$AN813)&lt;&gt;"",INDEX(職員マスタ!$H$6:$H$405,$AN813)&lt;$AO813))),"対象月が時短期間外／","")&amp;IF(AND(INDEX(職員マスタ!$F$6:$F$405,$AN813)&lt;&gt;"",$AO813&lt;&gt;"",INDEX(職員マスタ!$F$6:$F$405,$AN813)&lt;$AO813),"対象月に子が2歳到達済／","")&amp;IF(AND($H813&lt;&gt;"",INDEX(職員マスタ!$B$6:$B$405,$AN813)&lt;&gt;"",SUBSTITUTE(SUBSTITUTE($H813," ","")," ","")&lt;&gt;SUBSTITUTE(SUBSTITUTE(INDEX(職員マスタ!$B$6:$B$405,$AN813)," ","")," ","")),"氏名がマスタと相違／","")&amp;IF(AND($Q813&lt;&gt;"",INDEX(職員マスタ!$E$6:$E$405,$AN813)&lt;&gt;"",$Q813&lt;&gt;INDEX(職員マスタ!$E$6:$E$405,$AN813)),"子の生年月日がマスタと相違／","")&amp;IF(AND($L813&lt;&gt;"",INDEX(職員マスタ!$G$6:$G$405,$AN813)&lt;&gt;"",$L813&lt;&gt;INDEX(職員マスタ!$G$6:$G$405,$AN813)),"時短開始日がマスタと相違／","")&amp;IF(AND($M813&lt;&gt;"",INDEX(職員マスタ!$H$6:$H$405,$AN813)&lt;&gt;"",$M813&lt;&gt;INDEX(職員マスタ!$H$6:$H$405,$AN813)),"時短終了日がマスタと相違／","")))&amp;IF(AND($B813&lt;&gt;"",$E813=""),"報酬額が未入力／","")&amp;IF(N($U813)&gt;0,"申請書に入力エラーが残っています／","")&amp;IF(AND($B813&lt;&gt;"",$AO813&lt;&gt;""),IF(COUNTIFS($B$6:$B$3005,$B813,$C$6:$C$3005,$C813,$D$6:$D$3005,$D813)&gt;1,"同じ月の請求が重複しています／",""),"")&amp;IF(AND(N($E813)&gt;0,$Z813&lt;&gt;"",$Z813&lt;&gt;"×",$AC813=0,$AB813=""),"計算額が下限以下のため不支給／",""))</f>
        <v/>
      </c>
      <c r="AL813" s="12" t="n"/>
      <c r="AM813" s="14">
        <f>IF($AD813="保留中",COUNTIF($AD$6:$AD813,"保留中"),"")</f>
        <v/>
      </c>
      <c r="AN813" s="14">
        <f>IF($AO813="","",IF(SUMPRODUCT(MAX((職員マスタ!$A$6:$A$405=$B813)*(((職員マスタ!$G$6:$G$405="")+(職員マスタ!$G$6:$G$405&lt;=EOMONTH($AO813,0)))&gt;0)*(((職員マスタ!$H$6:$H$405="")+(職員マスタ!$H$6:$H$405&gt;=$AO813))&gt;0)*(ROW(職員マスタ!$A$6:$A$405)-5)))&gt;0,SUMPRODUCT(MAX((職員マスタ!$A$6:$A$405=$B813)*(((職員マスタ!$G$6:$G$405="")+(職員マスタ!$G$6:$G$405&lt;=EOMONTH($AO813,0)))&gt;0)*(((職員マスタ!$H$6:$H$405="")+(職員マスタ!$H$6:$H$405&gt;=$AO813))&gt;0)*(ROW(職員マスタ!$A$6:$A$405)-5))),IFERROR(MATCH($B813,職員マスタ!$A$6:$A$405,0),"")))</f>
        <v/>
      </c>
      <c r="AO813" s="16">
        <f>IF(OR($B813="",$C813="",$D813=""),"",DATE($C813+2018,$D813,1))</f>
        <v/>
      </c>
    </row>
    <row r="814">
      <c r="A814" s="11" t="n"/>
      <c r="B814" s="12" t="n"/>
      <c r="C814" s="12" t="n"/>
      <c r="D814" s="12" t="n"/>
      <c r="E814" s="13" t="n"/>
      <c r="F814" s="12" t="n"/>
      <c r="G814" s="13" t="n"/>
      <c r="H814" s="12" t="n"/>
      <c r="I814" s="12" t="n"/>
      <c r="J814" s="12" t="n"/>
      <c r="K814" s="12" t="n"/>
      <c r="L814" s="11" t="n"/>
      <c r="M814" s="11" t="n"/>
      <c r="N814" s="11" t="n"/>
      <c r="O814" s="11" t="n"/>
      <c r="P814" s="12" t="n"/>
      <c r="Q814" s="11" t="n"/>
      <c r="R814" s="12" t="n"/>
      <c r="S814" s="11" t="n"/>
      <c r="T814" s="12" t="n"/>
      <c r="U814" s="12" t="n"/>
      <c r="V814" s="14">
        <f>IF($AN814="",IF($B814="","",$H814),IF(INDEX(職員マスタ!$B$6:$B$405,$AN814)="",$H814,INDEX(職員マスタ!$B$6:$B$405,$AN814)))</f>
        <v/>
      </c>
      <c r="W814" s="14">
        <f>IF($AN814="",IF($B814="","",$R814),IF(INDEX(職員マスタ!$C$6:$C$405,$AN814)="",$R814,INDEX(職員マスタ!$C$6:$C$405,$AN814)))</f>
        <v/>
      </c>
      <c r="X814" s="14">
        <f>IF($AO814="","","R"&amp;$C814&amp;"."&amp;$D814)</f>
        <v/>
      </c>
      <c r="Y814" s="15">
        <f>IF($AN814="","",IF(INDEX(職員マスタ!$K$6:$K$405,$AN814)="","",INDEX(職員マスタ!$K$6:$K$405,$AN814)))</f>
        <v/>
      </c>
      <c r="Z814" s="14">
        <f>IF(OR($E814="",$Y814=""),"",IF($E814&gt;=$Y814,"×",IF($E814&gt;=$Y814*設定!$C$5,"△","○")))</f>
        <v/>
      </c>
      <c r="AA814" s="15">
        <f>IF($Z814="","",IF($Z814="×",0,IF($Z814="○",ROUNDDOWN($E814*設定!$C$4,0),ROUNDDOWN($E814*ROUND((9*$Y814-9*$E814)/(10*$E814),4),0))))</f>
        <v/>
      </c>
      <c r="AB814" s="13" t="n"/>
      <c r="AC814" s="15">
        <f>IF($B814="","",IF($AB814&lt;&gt;"",$AB814,IF($AA814="","",IF($AA814&lt;=設定!$C$3,0,$AA814))))</f>
        <v/>
      </c>
      <c r="AD814" s="14">
        <f>IF($B814="","",IF(AND($AE814&lt;&gt;"",$AG814="",$AJ814=""),"保留中",IF($AJ814&lt;&gt;"",IF(N($AC814)&gt;0,"支給済","不支給"),IF($AC814="","要確認",IF($AC814=0,"不支給","未処理")))))</f>
        <v/>
      </c>
      <c r="AE814" s="12" t="n"/>
      <c r="AF814" s="11" t="n"/>
      <c r="AG814" s="11" t="n"/>
      <c r="AH814" s="11" t="n"/>
      <c r="AI814" s="14">
        <f>IF(AND($AD814="保留中",$AF814&lt;&gt;""),TODAY()-$AF814,"")</f>
        <v/>
      </c>
      <c r="AJ814" s="12" t="n"/>
      <c r="AK814" s="14">
        <f>IF($B814="","",IF($AO814="","対象年月が未入力／","")&amp;IF($B814="","",IF($AN814="","職員マスタに未登録の職員番号／",IF($Y814="","標準報酬月額が未登録／","")&amp;IF(AND($AO814&lt;&gt;"",OR(AND(INDEX(職員マスタ!$G$6:$G$405,$AN814)&lt;&gt;"",INDEX(職員マスタ!$G$6:$G$405,$AN814)&gt;EOMONTH($AO814,0)),AND(INDEX(職員マスタ!$H$6:$H$405,$AN814)&lt;&gt;"",INDEX(職員マスタ!$H$6:$H$405,$AN814)&lt;$AO814))),"対象月が時短期間外／","")&amp;IF(AND(INDEX(職員マスタ!$F$6:$F$405,$AN814)&lt;&gt;"",$AO814&lt;&gt;"",INDEX(職員マスタ!$F$6:$F$405,$AN814)&lt;$AO814),"対象月に子が2歳到達済／","")&amp;IF(AND($H814&lt;&gt;"",INDEX(職員マスタ!$B$6:$B$405,$AN814)&lt;&gt;"",SUBSTITUTE(SUBSTITUTE($H814," ","")," ","")&lt;&gt;SUBSTITUTE(SUBSTITUTE(INDEX(職員マスタ!$B$6:$B$405,$AN814)," ","")," ","")),"氏名がマスタと相違／","")&amp;IF(AND($Q814&lt;&gt;"",INDEX(職員マスタ!$E$6:$E$405,$AN814)&lt;&gt;"",$Q814&lt;&gt;INDEX(職員マスタ!$E$6:$E$405,$AN814)),"子の生年月日がマスタと相違／","")&amp;IF(AND($L814&lt;&gt;"",INDEX(職員マスタ!$G$6:$G$405,$AN814)&lt;&gt;"",$L814&lt;&gt;INDEX(職員マスタ!$G$6:$G$405,$AN814)),"時短開始日がマスタと相違／","")&amp;IF(AND($M814&lt;&gt;"",INDEX(職員マスタ!$H$6:$H$405,$AN814)&lt;&gt;"",$M814&lt;&gt;INDEX(職員マスタ!$H$6:$H$405,$AN814)),"時短終了日がマスタと相違／","")))&amp;IF(AND($B814&lt;&gt;"",$E814=""),"報酬額が未入力／","")&amp;IF(N($U814)&gt;0,"申請書に入力エラーが残っています／","")&amp;IF(AND($B814&lt;&gt;"",$AO814&lt;&gt;""),IF(COUNTIFS($B$6:$B$3005,$B814,$C$6:$C$3005,$C814,$D$6:$D$3005,$D814)&gt;1,"同じ月の請求が重複しています／",""),"")&amp;IF(AND(N($E814)&gt;0,$Z814&lt;&gt;"",$Z814&lt;&gt;"×",$AC814=0,$AB814=""),"計算額が下限以下のため不支給／",""))</f>
        <v/>
      </c>
      <c r="AL814" s="12" t="n"/>
      <c r="AM814" s="14">
        <f>IF($AD814="保留中",COUNTIF($AD$6:$AD814,"保留中"),"")</f>
        <v/>
      </c>
      <c r="AN814" s="14">
        <f>IF($AO814="","",IF(SUMPRODUCT(MAX((職員マスタ!$A$6:$A$405=$B814)*(((職員マスタ!$G$6:$G$405="")+(職員マスタ!$G$6:$G$405&lt;=EOMONTH($AO814,0)))&gt;0)*(((職員マスタ!$H$6:$H$405="")+(職員マスタ!$H$6:$H$405&gt;=$AO814))&gt;0)*(ROW(職員マスタ!$A$6:$A$405)-5)))&gt;0,SUMPRODUCT(MAX((職員マスタ!$A$6:$A$405=$B814)*(((職員マスタ!$G$6:$G$405="")+(職員マスタ!$G$6:$G$405&lt;=EOMONTH($AO814,0)))&gt;0)*(((職員マスタ!$H$6:$H$405="")+(職員マスタ!$H$6:$H$405&gt;=$AO814))&gt;0)*(ROW(職員マスタ!$A$6:$A$405)-5))),IFERROR(MATCH($B814,職員マスタ!$A$6:$A$405,0),"")))</f>
        <v/>
      </c>
      <c r="AO814" s="16">
        <f>IF(OR($B814="",$C814="",$D814=""),"",DATE($C814+2018,$D814,1))</f>
        <v/>
      </c>
    </row>
    <row r="815">
      <c r="A815" s="11" t="n"/>
      <c r="B815" s="12" t="n"/>
      <c r="C815" s="12" t="n"/>
      <c r="D815" s="12" t="n"/>
      <c r="E815" s="13" t="n"/>
      <c r="F815" s="12" t="n"/>
      <c r="G815" s="13" t="n"/>
      <c r="H815" s="12" t="n"/>
      <c r="I815" s="12" t="n"/>
      <c r="J815" s="12" t="n"/>
      <c r="K815" s="12" t="n"/>
      <c r="L815" s="11" t="n"/>
      <c r="M815" s="11" t="n"/>
      <c r="N815" s="11" t="n"/>
      <c r="O815" s="11" t="n"/>
      <c r="P815" s="12" t="n"/>
      <c r="Q815" s="11" t="n"/>
      <c r="R815" s="12" t="n"/>
      <c r="S815" s="11" t="n"/>
      <c r="T815" s="12" t="n"/>
      <c r="U815" s="12" t="n"/>
      <c r="V815" s="14">
        <f>IF($AN815="",IF($B815="","",$H815),IF(INDEX(職員マスタ!$B$6:$B$405,$AN815)="",$H815,INDEX(職員マスタ!$B$6:$B$405,$AN815)))</f>
        <v/>
      </c>
      <c r="W815" s="14">
        <f>IF($AN815="",IF($B815="","",$R815),IF(INDEX(職員マスタ!$C$6:$C$405,$AN815)="",$R815,INDEX(職員マスタ!$C$6:$C$405,$AN815)))</f>
        <v/>
      </c>
      <c r="X815" s="14">
        <f>IF($AO815="","","R"&amp;$C815&amp;"."&amp;$D815)</f>
        <v/>
      </c>
      <c r="Y815" s="15">
        <f>IF($AN815="","",IF(INDEX(職員マスタ!$K$6:$K$405,$AN815)="","",INDEX(職員マスタ!$K$6:$K$405,$AN815)))</f>
        <v/>
      </c>
      <c r="Z815" s="14">
        <f>IF(OR($E815="",$Y815=""),"",IF($E815&gt;=$Y815,"×",IF($E815&gt;=$Y815*設定!$C$5,"△","○")))</f>
        <v/>
      </c>
      <c r="AA815" s="15">
        <f>IF($Z815="","",IF($Z815="×",0,IF($Z815="○",ROUNDDOWN($E815*設定!$C$4,0),ROUNDDOWN($E815*ROUND((9*$Y815-9*$E815)/(10*$E815),4),0))))</f>
        <v/>
      </c>
      <c r="AB815" s="13" t="n"/>
      <c r="AC815" s="15">
        <f>IF($B815="","",IF($AB815&lt;&gt;"",$AB815,IF($AA815="","",IF($AA815&lt;=設定!$C$3,0,$AA815))))</f>
        <v/>
      </c>
      <c r="AD815" s="14">
        <f>IF($B815="","",IF(AND($AE815&lt;&gt;"",$AG815="",$AJ815=""),"保留中",IF($AJ815&lt;&gt;"",IF(N($AC815)&gt;0,"支給済","不支給"),IF($AC815="","要確認",IF($AC815=0,"不支給","未処理")))))</f>
        <v/>
      </c>
      <c r="AE815" s="12" t="n"/>
      <c r="AF815" s="11" t="n"/>
      <c r="AG815" s="11" t="n"/>
      <c r="AH815" s="11" t="n"/>
      <c r="AI815" s="14">
        <f>IF(AND($AD815="保留中",$AF815&lt;&gt;""),TODAY()-$AF815,"")</f>
        <v/>
      </c>
      <c r="AJ815" s="12" t="n"/>
      <c r="AK815" s="14">
        <f>IF($B815="","",IF($AO815="","対象年月が未入力／","")&amp;IF($B815="","",IF($AN815="","職員マスタに未登録の職員番号／",IF($Y815="","標準報酬月額が未登録／","")&amp;IF(AND($AO815&lt;&gt;"",OR(AND(INDEX(職員マスタ!$G$6:$G$405,$AN815)&lt;&gt;"",INDEX(職員マスタ!$G$6:$G$405,$AN815)&gt;EOMONTH($AO815,0)),AND(INDEX(職員マスタ!$H$6:$H$405,$AN815)&lt;&gt;"",INDEX(職員マスタ!$H$6:$H$405,$AN815)&lt;$AO815))),"対象月が時短期間外／","")&amp;IF(AND(INDEX(職員マスタ!$F$6:$F$405,$AN815)&lt;&gt;"",$AO815&lt;&gt;"",INDEX(職員マスタ!$F$6:$F$405,$AN815)&lt;$AO815),"対象月に子が2歳到達済／","")&amp;IF(AND($H815&lt;&gt;"",INDEX(職員マスタ!$B$6:$B$405,$AN815)&lt;&gt;"",SUBSTITUTE(SUBSTITUTE($H815," ","")," ","")&lt;&gt;SUBSTITUTE(SUBSTITUTE(INDEX(職員マスタ!$B$6:$B$405,$AN815)," ","")," ","")),"氏名がマスタと相違／","")&amp;IF(AND($Q815&lt;&gt;"",INDEX(職員マスタ!$E$6:$E$405,$AN815)&lt;&gt;"",$Q815&lt;&gt;INDEX(職員マスタ!$E$6:$E$405,$AN815)),"子の生年月日がマスタと相違／","")&amp;IF(AND($L815&lt;&gt;"",INDEX(職員マスタ!$G$6:$G$405,$AN815)&lt;&gt;"",$L815&lt;&gt;INDEX(職員マスタ!$G$6:$G$405,$AN815)),"時短開始日がマスタと相違／","")&amp;IF(AND($M815&lt;&gt;"",INDEX(職員マスタ!$H$6:$H$405,$AN815)&lt;&gt;"",$M815&lt;&gt;INDEX(職員マスタ!$H$6:$H$405,$AN815)),"時短終了日がマスタと相違／","")))&amp;IF(AND($B815&lt;&gt;"",$E815=""),"報酬額が未入力／","")&amp;IF(N($U815)&gt;0,"申請書に入力エラーが残っています／","")&amp;IF(AND($B815&lt;&gt;"",$AO815&lt;&gt;""),IF(COUNTIFS($B$6:$B$3005,$B815,$C$6:$C$3005,$C815,$D$6:$D$3005,$D815)&gt;1,"同じ月の請求が重複しています／",""),"")&amp;IF(AND(N($E815)&gt;0,$Z815&lt;&gt;"",$Z815&lt;&gt;"×",$AC815=0,$AB815=""),"計算額が下限以下のため不支給／",""))</f>
        <v/>
      </c>
      <c r="AL815" s="12" t="n"/>
      <c r="AM815" s="14">
        <f>IF($AD815="保留中",COUNTIF($AD$6:$AD815,"保留中"),"")</f>
        <v/>
      </c>
      <c r="AN815" s="14">
        <f>IF($AO815="","",IF(SUMPRODUCT(MAX((職員マスタ!$A$6:$A$405=$B815)*(((職員マスタ!$G$6:$G$405="")+(職員マスタ!$G$6:$G$405&lt;=EOMONTH($AO815,0)))&gt;0)*(((職員マスタ!$H$6:$H$405="")+(職員マスタ!$H$6:$H$405&gt;=$AO815))&gt;0)*(ROW(職員マスタ!$A$6:$A$405)-5)))&gt;0,SUMPRODUCT(MAX((職員マスタ!$A$6:$A$405=$B815)*(((職員マスタ!$G$6:$G$405="")+(職員マスタ!$G$6:$G$405&lt;=EOMONTH($AO815,0)))&gt;0)*(((職員マスタ!$H$6:$H$405="")+(職員マスタ!$H$6:$H$405&gt;=$AO815))&gt;0)*(ROW(職員マスタ!$A$6:$A$405)-5))),IFERROR(MATCH($B815,職員マスタ!$A$6:$A$405,0),"")))</f>
        <v/>
      </c>
      <c r="AO815" s="16">
        <f>IF(OR($B815="",$C815="",$D815=""),"",DATE($C815+2018,$D815,1))</f>
        <v/>
      </c>
    </row>
    <row r="816">
      <c r="A816" s="11" t="n"/>
      <c r="B816" s="12" t="n"/>
      <c r="C816" s="12" t="n"/>
      <c r="D816" s="12" t="n"/>
      <c r="E816" s="13" t="n"/>
      <c r="F816" s="12" t="n"/>
      <c r="G816" s="13" t="n"/>
      <c r="H816" s="12" t="n"/>
      <c r="I816" s="12" t="n"/>
      <c r="J816" s="12" t="n"/>
      <c r="K816" s="12" t="n"/>
      <c r="L816" s="11" t="n"/>
      <c r="M816" s="11" t="n"/>
      <c r="N816" s="11" t="n"/>
      <c r="O816" s="11" t="n"/>
      <c r="P816" s="12" t="n"/>
      <c r="Q816" s="11" t="n"/>
      <c r="R816" s="12" t="n"/>
      <c r="S816" s="11" t="n"/>
      <c r="T816" s="12" t="n"/>
      <c r="U816" s="12" t="n"/>
      <c r="V816" s="14">
        <f>IF($AN816="",IF($B816="","",$H816),IF(INDEX(職員マスタ!$B$6:$B$405,$AN816)="",$H816,INDEX(職員マスタ!$B$6:$B$405,$AN816)))</f>
        <v/>
      </c>
      <c r="W816" s="14">
        <f>IF($AN816="",IF($B816="","",$R816),IF(INDEX(職員マスタ!$C$6:$C$405,$AN816)="",$R816,INDEX(職員マスタ!$C$6:$C$405,$AN816)))</f>
        <v/>
      </c>
      <c r="X816" s="14">
        <f>IF($AO816="","","R"&amp;$C816&amp;"."&amp;$D816)</f>
        <v/>
      </c>
      <c r="Y816" s="15">
        <f>IF($AN816="","",IF(INDEX(職員マスタ!$K$6:$K$405,$AN816)="","",INDEX(職員マスタ!$K$6:$K$405,$AN816)))</f>
        <v/>
      </c>
      <c r="Z816" s="14">
        <f>IF(OR($E816="",$Y816=""),"",IF($E816&gt;=$Y816,"×",IF($E816&gt;=$Y816*設定!$C$5,"△","○")))</f>
        <v/>
      </c>
      <c r="AA816" s="15">
        <f>IF($Z816="","",IF($Z816="×",0,IF($Z816="○",ROUNDDOWN($E816*設定!$C$4,0),ROUNDDOWN($E816*ROUND((9*$Y816-9*$E816)/(10*$E816),4),0))))</f>
        <v/>
      </c>
      <c r="AB816" s="13" t="n"/>
      <c r="AC816" s="15">
        <f>IF($B816="","",IF($AB816&lt;&gt;"",$AB816,IF($AA816="","",IF($AA816&lt;=設定!$C$3,0,$AA816))))</f>
        <v/>
      </c>
      <c r="AD816" s="14">
        <f>IF($B816="","",IF(AND($AE816&lt;&gt;"",$AG816="",$AJ816=""),"保留中",IF($AJ816&lt;&gt;"",IF(N($AC816)&gt;0,"支給済","不支給"),IF($AC816="","要確認",IF($AC816=0,"不支給","未処理")))))</f>
        <v/>
      </c>
      <c r="AE816" s="12" t="n"/>
      <c r="AF816" s="11" t="n"/>
      <c r="AG816" s="11" t="n"/>
      <c r="AH816" s="11" t="n"/>
      <c r="AI816" s="14">
        <f>IF(AND($AD816="保留中",$AF816&lt;&gt;""),TODAY()-$AF816,"")</f>
        <v/>
      </c>
      <c r="AJ816" s="12" t="n"/>
      <c r="AK816" s="14">
        <f>IF($B816="","",IF($AO816="","対象年月が未入力／","")&amp;IF($B816="","",IF($AN816="","職員マスタに未登録の職員番号／",IF($Y816="","標準報酬月額が未登録／","")&amp;IF(AND($AO816&lt;&gt;"",OR(AND(INDEX(職員マスタ!$G$6:$G$405,$AN816)&lt;&gt;"",INDEX(職員マスタ!$G$6:$G$405,$AN816)&gt;EOMONTH($AO816,0)),AND(INDEX(職員マスタ!$H$6:$H$405,$AN816)&lt;&gt;"",INDEX(職員マスタ!$H$6:$H$405,$AN816)&lt;$AO816))),"対象月が時短期間外／","")&amp;IF(AND(INDEX(職員マスタ!$F$6:$F$405,$AN816)&lt;&gt;"",$AO816&lt;&gt;"",INDEX(職員マスタ!$F$6:$F$405,$AN816)&lt;$AO816),"対象月に子が2歳到達済／","")&amp;IF(AND($H816&lt;&gt;"",INDEX(職員マスタ!$B$6:$B$405,$AN816)&lt;&gt;"",SUBSTITUTE(SUBSTITUTE($H816," ","")," ","")&lt;&gt;SUBSTITUTE(SUBSTITUTE(INDEX(職員マスタ!$B$6:$B$405,$AN816)," ","")," ","")),"氏名がマスタと相違／","")&amp;IF(AND($Q816&lt;&gt;"",INDEX(職員マスタ!$E$6:$E$405,$AN816)&lt;&gt;"",$Q816&lt;&gt;INDEX(職員マスタ!$E$6:$E$405,$AN816)),"子の生年月日がマスタと相違／","")&amp;IF(AND($L816&lt;&gt;"",INDEX(職員マスタ!$G$6:$G$405,$AN816)&lt;&gt;"",$L816&lt;&gt;INDEX(職員マスタ!$G$6:$G$405,$AN816)),"時短開始日がマスタと相違／","")&amp;IF(AND($M816&lt;&gt;"",INDEX(職員マスタ!$H$6:$H$405,$AN816)&lt;&gt;"",$M816&lt;&gt;INDEX(職員マスタ!$H$6:$H$405,$AN816)),"時短終了日がマスタと相違／","")))&amp;IF(AND($B816&lt;&gt;"",$E816=""),"報酬額が未入力／","")&amp;IF(N($U816)&gt;0,"申請書に入力エラーが残っています／","")&amp;IF(AND($B816&lt;&gt;"",$AO816&lt;&gt;""),IF(COUNTIFS($B$6:$B$3005,$B816,$C$6:$C$3005,$C816,$D$6:$D$3005,$D816)&gt;1,"同じ月の請求が重複しています／",""),"")&amp;IF(AND(N($E816)&gt;0,$Z816&lt;&gt;"",$Z816&lt;&gt;"×",$AC816=0,$AB816=""),"計算額が下限以下のため不支給／",""))</f>
        <v/>
      </c>
      <c r="AL816" s="12" t="n"/>
      <c r="AM816" s="14">
        <f>IF($AD816="保留中",COUNTIF($AD$6:$AD816,"保留中"),"")</f>
        <v/>
      </c>
      <c r="AN816" s="14">
        <f>IF($AO816="","",IF(SUMPRODUCT(MAX((職員マスタ!$A$6:$A$405=$B816)*(((職員マスタ!$G$6:$G$405="")+(職員マスタ!$G$6:$G$405&lt;=EOMONTH($AO816,0)))&gt;0)*(((職員マスタ!$H$6:$H$405="")+(職員マスタ!$H$6:$H$405&gt;=$AO816))&gt;0)*(ROW(職員マスタ!$A$6:$A$405)-5)))&gt;0,SUMPRODUCT(MAX((職員マスタ!$A$6:$A$405=$B816)*(((職員マスタ!$G$6:$G$405="")+(職員マスタ!$G$6:$G$405&lt;=EOMONTH($AO816,0)))&gt;0)*(((職員マスタ!$H$6:$H$405="")+(職員マスタ!$H$6:$H$405&gt;=$AO816))&gt;0)*(ROW(職員マスタ!$A$6:$A$405)-5))),IFERROR(MATCH($B816,職員マスタ!$A$6:$A$405,0),"")))</f>
        <v/>
      </c>
      <c r="AO816" s="16">
        <f>IF(OR($B816="",$C816="",$D816=""),"",DATE($C816+2018,$D816,1))</f>
        <v/>
      </c>
    </row>
    <row r="817">
      <c r="A817" s="11" t="n"/>
      <c r="B817" s="12" t="n"/>
      <c r="C817" s="12" t="n"/>
      <c r="D817" s="12" t="n"/>
      <c r="E817" s="13" t="n"/>
      <c r="F817" s="12" t="n"/>
      <c r="G817" s="13" t="n"/>
      <c r="H817" s="12" t="n"/>
      <c r="I817" s="12" t="n"/>
      <c r="J817" s="12" t="n"/>
      <c r="K817" s="12" t="n"/>
      <c r="L817" s="11" t="n"/>
      <c r="M817" s="11" t="n"/>
      <c r="N817" s="11" t="n"/>
      <c r="O817" s="11" t="n"/>
      <c r="P817" s="12" t="n"/>
      <c r="Q817" s="11" t="n"/>
      <c r="R817" s="12" t="n"/>
      <c r="S817" s="11" t="n"/>
      <c r="T817" s="12" t="n"/>
      <c r="U817" s="12" t="n"/>
      <c r="V817" s="14">
        <f>IF($AN817="",IF($B817="","",$H817),IF(INDEX(職員マスタ!$B$6:$B$405,$AN817)="",$H817,INDEX(職員マスタ!$B$6:$B$405,$AN817)))</f>
        <v/>
      </c>
      <c r="W817" s="14">
        <f>IF($AN817="",IF($B817="","",$R817),IF(INDEX(職員マスタ!$C$6:$C$405,$AN817)="",$R817,INDEX(職員マスタ!$C$6:$C$405,$AN817)))</f>
        <v/>
      </c>
      <c r="X817" s="14">
        <f>IF($AO817="","","R"&amp;$C817&amp;"."&amp;$D817)</f>
        <v/>
      </c>
      <c r="Y817" s="15">
        <f>IF($AN817="","",IF(INDEX(職員マスタ!$K$6:$K$405,$AN817)="","",INDEX(職員マスタ!$K$6:$K$405,$AN817)))</f>
        <v/>
      </c>
      <c r="Z817" s="14">
        <f>IF(OR($E817="",$Y817=""),"",IF($E817&gt;=$Y817,"×",IF($E817&gt;=$Y817*設定!$C$5,"△","○")))</f>
        <v/>
      </c>
      <c r="AA817" s="15">
        <f>IF($Z817="","",IF($Z817="×",0,IF($Z817="○",ROUNDDOWN($E817*設定!$C$4,0),ROUNDDOWN($E817*ROUND((9*$Y817-9*$E817)/(10*$E817),4),0))))</f>
        <v/>
      </c>
      <c r="AB817" s="13" t="n"/>
      <c r="AC817" s="15">
        <f>IF($B817="","",IF($AB817&lt;&gt;"",$AB817,IF($AA817="","",IF($AA817&lt;=設定!$C$3,0,$AA817))))</f>
        <v/>
      </c>
      <c r="AD817" s="14">
        <f>IF($B817="","",IF(AND($AE817&lt;&gt;"",$AG817="",$AJ817=""),"保留中",IF($AJ817&lt;&gt;"",IF(N($AC817)&gt;0,"支給済","不支給"),IF($AC817="","要確認",IF($AC817=0,"不支給","未処理")))))</f>
        <v/>
      </c>
      <c r="AE817" s="12" t="n"/>
      <c r="AF817" s="11" t="n"/>
      <c r="AG817" s="11" t="n"/>
      <c r="AH817" s="11" t="n"/>
      <c r="AI817" s="14">
        <f>IF(AND($AD817="保留中",$AF817&lt;&gt;""),TODAY()-$AF817,"")</f>
        <v/>
      </c>
      <c r="AJ817" s="12" t="n"/>
      <c r="AK817" s="14">
        <f>IF($B817="","",IF($AO817="","対象年月が未入力／","")&amp;IF($B817="","",IF($AN817="","職員マスタに未登録の職員番号／",IF($Y817="","標準報酬月額が未登録／","")&amp;IF(AND($AO817&lt;&gt;"",OR(AND(INDEX(職員マスタ!$G$6:$G$405,$AN817)&lt;&gt;"",INDEX(職員マスタ!$G$6:$G$405,$AN817)&gt;EOMONTH($AO817,0)),AND(INDEX(職員マスタ!$H$6:$H$405,$AN817)&lt;&gt;"",INDEX(職員マスタ!$H$6:$H$405,$AN817)&lt;$AO817))),"対象月が時短期間外／","")&amp;IF(AND(INDEX(職員マスタ!$F$6:$F$405,$AN817)&lt;&gt;"",$AO817&lt;&gt;"",INDEX(職員マスタ!$F$6:$F$405,$AN817)&lt;$AO817),"対象月に子が2歳到達済／","")&amp;IF(AND($H817&lt;&gt;"",INDEX(職員マスタ!$B$6:$B$405,$AN817)&lt;&gt;"",SUBSTITUTE(SUBSTITUTE($H817," ","")," ","")&lt;&gt;SUBSTITUTE(SUBSTITUTE(INDEX(職員マスタ!$B$6:$B$405,$AN817)," ","")," ","")),"氏名がマスタと相違／","")&amp;IF(AND($Q817&lt;&gt;"",INDEX(職員マスタ!$E$6:$E$405,$AN817)&lt;&gt;"",$Q817&lt;&gt;INDEX(職員マスタ!$E$6:$E$405,$AN817)),"子の生年月日がマスタと相違／","")&amp;IF(AND($L817&lt;&gt;"",INDEX(職員マスタ!$G$6:$G$405,$AN817)&lt;&gt;"",$L817&lt;&gt;INDEX(職員マスタ!$G$6:$G$405,$AN817)),"時短開始日がマスタと相違／","")&amp;IF(AND($M817&lt;&gt;"",INDEX(職員マスタ!$H$6:$H$405,$AN817)&lt;&gt;"",$M817&lt;&gt;INDEX(職員マスタ!$H$6:$H$405,$AN817)),"時短終了日がマスタと相違／","")))&amp;IF(AND($B817&lt;&gt;"",$E817=""),"報酬額が未入力／","")&amp;IF(N($U817)&gt;0,"申請書に入力エラーが残っています／","")&amp;IF(AND($B817&lt;&gt;"",$AO817&lt;&gt;""),IF(COUNTIFS($B$6:$B$3005,$B817,$C$6:$C$3005,$C817,$D$6:$D$3005,$D817)&gt;1,"同じ月の請求が重複しています／",""),"")&amp;IF(AND(N($E817)&gt;0,$Z817&lt;&gt;"",$Z817&lt;&gt;"×",$AC817=0,$AB817=""),"計算額が下限以下のため不支給／",""))</f>
        <v/>
      </c>
      <c r="AL817" s="12" t="n"/>
      <c r="AM817" s="14">
        <f>IF($AD817="保留中",COUNTIF($AD$6:$AD817,"保留中"),"")</f>
        <v/>
      </c>
      <c r="AN817" s="14">
        <f>IF($AO817="","",IF(SUMPRODUCT(MAX((職員マスタ!$A$6:$A$405=$B817)*(((職員マスタ!$G$6:$G$405="")+(職員マスタ!$G$6:$G$405&lt;=EOMONTH($AO817,0)))&gt;0)*(((職員マスタ!$H$6:$H$405="")+(職員マスタ!$H$6:$H$405&gt;=$AO817))&gt;0)*(ROW(職員マスタ!$A$6:$A$405)-5)))&gt;0,SUMPRODUCT(MAX((職員マスタ!$A$6:$A$405=$B817)*(((職員マスタ!$G$6:$G$405="")+(職員マスタ!$G$6:$G$405&lt;=EOMONTH($AO817,0)))&gt;0)*(((職員マスタ!$H$6:$H$405="")+(職員マスタ!$H$6:$H$405&gt;=$AO817))&gt;0)*(ROW(職員マスタ!$A$6:$A$405)-5))),IFERROR(MATCH($B817,職員マスタ!$A$6:$A$405,0),"")))</f>
        <v/>
      </c>
      <c r="AO817" s="16">
        <f>IF(OR($B817="",$C817="",$D817=""),"",DATE($C817+2018,$D817,1))</f>
        <v/>
      </c>
    </row>
    <row r="818">
      <c r="A818" s="11" t="n"/>
      <c r="B818" s="12" t="n"/>
      <c r="C818" s="12" t="n"/>
      <c r="D818" s="12" t="n"/>
      <c r="E818" s="13" t="n"/>
      <c r="F818" s="12" t="n"/>
      <c r="G818" s="13" t="n"/>
      <c r="H818" s="12" t="n"/>
      <c r="I818" s="12" t="n"/>
      <c r="J818" s="12" t="n"/>
      <c r="K818" s="12" t="n"/>
      <c r="L818" s="11" t="n"/>
      <c r="M818" s="11" t="n"/>
      <c r="N818" s="11" t="n"/>
      <c r="O818" s="11" t="n"/>
      <c r="P818" s="12" t="n"/>
      <c r="Q818" s="11" t="n"/>
      <c r="R818" s="12" t="n"/>
      <c r="S818" s="11" t="n"/>
      <c r="T818" s="12" t="n"/>
      <c r="U818" s="12" t="n"/>
      <c r="V818" s="14">
        <f>IF($AN818="",IF($B818="","",$H818),IF(INDEX(職員マスタ!$B$6:$B$405,$AN818)="",$H818,INDEX(職員マスタ!$B$6:$B$405,$AN818)))</f>
        <v/>
      </c>
      <c r="W818" s="14">
        <f>IF($AN818="",IF($B818="","",$R818),IF(INDEX(職員マスタ!$C$6:$C$405,$AN818)="",$R818,INDEX(職員マスタ!$C$6:$C$405,$AN818)))</f>
        <v/>
      </c>
      <c r="X818" s="14">
        <f>IF($AO818="","","R"&amp;$C818&amp;"."&amp;$D818)</f>
        <v/>
      </c>
      <c r="Y818" s="15">
        <f>IF($AN818="","",IF(INDEX(職員マスタ!$K$6:$K$405,$AN818)="","",INDEX(職員マスタ!$K$6:$K$405,$AN818)))</f>
        <v/>
      </c>
      <c r="Z818" s="14">
        <f>IF(OR($E818="",$Y818=""),"",IF($E818&gt;=$Y818,"×",IF($E818&gt;=$Y818*設定!$C$5,"△","○")))</f>
        <v/>
      </c>
      <c r="AA818" s="15">
        <f>IF($Z818="","",IF($Z818="×",0,IF($Z818="○",ROUNDDOWN($E818*設定!$C$4,0),ROUNDDOWN($E818*ROUND((9*$Y818-9*$E818)/(10*$E818),4),0))))</f>
        <v/>
      </c>
      <c r="AB818" s="13" t="n"/>
      <c r="AC818" s="15">
        <f>IF($B818="","",IF($AB818&lt;&gt;"",$AB818,IF($AA818="","",IF($AA818&lt;=設定!$C$3,0,$AA818))))</f>
        <v/>
      </c>
      <c r="AD818" s="14">
        <f>IF($B818="","",IF(AND($AE818&lt;&gt;"",$AG818="",$AJ818=""),"保留中",IF($AJ818&lt;&gt;"",IF(N($AC818)&gt;0,"支給済","不支給"),IF($AC818="","要確認",IF($AC818=0,"不支給","未処理")))))</f>
        <v/>
      </c>
      <c r="AE818" s="12" t="n"/>
      <c r="AF818" s="11" t="n"/>
      <c r="AG818" s="11" t="n"/>
      <c r="AH818" s="11" t="n"/>
      <c r="AI818" s="14">
        <f>IF(AND($AD818="保留中",$AF818&lt;&gt;""),TODAY()-$AF818,"")</f>
        <v/>
      </c>
      <c r="AJ818" s="12" t="n"/>
      <c r="AK818" s="14">
        <f>IF($B818="","",IF($AO818="","対象年月が未入力／","")&amp;IF($B818="","",IF($AN818="","職員マスタに未登録の職員番号／",IF($Y818="","標準報酬月額が未登録／","")&amp;IF(AND($AO818&lt;&gt;"",OR(AND(INDEX(職員マスタ!$G$6:$G$405,$AN818)&lt;&gt;"",INDEX(職員マスタ!$G$6:$G$405,$AN818)&gt;EOMONTH($AO818,0)),AND(INDEX(職員マスタ!$H$6:$H$405,$AN818)&lt;&gt;"",INDEX(職員マスタ!$H$6:$H$405,$AN818)&lt;$AO818))),"対象月が時短期間外／","")&amp;IF(AND(INDEX(職員マスタ!$F$6:$F$405,$AN818)&lt;&gt;"",$AO818&lt;&gt;"",INDEX(職員マスタ!$F$6:$F$405,$AN818)&lt;$AO818),"対象月に子が2歳到達済／","")&amp;IF(AND($H818&lt;&gt;"",INDEX(職員マスタ!$B$6:$B$405,$AN818)&lt;&gt;"",SUBSTITUTE(SUBSTITUTE($H818," ","")," ","")&lt;&gt;SUBSTITUTE(SUBSTITUTE(INDEX(職員マスタ!$B$6:$B$405,$AN818)," ","")," ","")),"氏名がマスタと相違／","")&amp;IF(AND($Q818&lt;&gt;"",INDEX(職員マスタ!$E$6:$E$405,$AN818)&lt;&gt;"",$Q818&lt;&gt;INDEX(職員マスタ!$E$6:$E$405,$AN818)),"子の生年月日がマスタと相違／","")&amp;IF(AND($L818&lt;&gt;"",INDEX(職員マスタ!$G$6:$G$405,$AN818)&lt;&gt;"",$L818&lt;&gt;INDEX(職員マスタ!$G$6:$G$405,$AN818)),"時短開始日がマスタと相違／","")&amp;IF(AND($M818&lt;&gt;"",INDEX(職員マスタ!$H$6:$H$405,$AN818)&lt;&gt;"",$M818&lt;&gt;INDEX(職員マスタ!$H$6:$H$405,$AN818)),"時短終了日がマスタと相違／","")))&amp;IF(AND($B818&lt;&gt;"",$E818=""),"報酬額が未入力／","")&amp;IF(N($U818)&gt;0,"申請書に入力エラーが残っています／","")&amp;IF(AND($B818&lt;&gt;"",$AO818&lt;&gt;""),IF(COUNTIFS($B$6:$B$3005,$B818,$C$6:$C$3005,$C818,$D$6:$D$3005,$D818)&gt;1,"同じ月の請求が重複しています／",""),"")&amp;IF(AND(N($E818)&gt;0,$Z818&lt;&gt;"",$Z818&lt;&gt;"×",$AC818=0,$AB818=""),"計算額が下限以下のため不支給／",""))</f>
        <v/>
      </c>
      <c r="AL818" s="12" t="n"/>
      <c r="AM818" s="14">
        <f>IF($AD818="保留中",COUNTIF($AD$6:$AD818,"保留中"),"")</f>
        <v/>
      </c>
      <c r="AN818" s="14">
        <f>IF($AO818="","",IF(SUMPRODUCT(MAX((職員マスタ!$A$6:$A$405=$B818)*(((職員マスタ!$G$6:$G$405="")+(職員マスタ!$G$6:$G$405&lt;=EOMONTH($AO818,0)))&gt;0)*(((職員マスタ!$H$6:$H$405="")+(職員マスタ!$H$6:$H$405&gt;=$AO818))&gt;0)*(ROW(職員マスタ!$A$6:$A$405)-5)))&gt;0,SUMPRODUCT(MAX((職員マスタ!$A$6:$A$405=$B818)*(((職員マスタ!$G$6:$G$405="")+(職員マスタ!$G$6:$G$405&lt;=EOMONTH($AO818,0)))&gt;0)*(((職員マスタ!$H$6:$H$405="")+(職員マスタ!$H$6:$H$405&gt;=$AO818))&gt;0)*(ROW(職員マスタ!$A$6:$A$405)-5))),IFERROR(MATCH($B818,職員マスタ!$A$6:$A$405,0),"")))</f>
        <v/>
      </c>
      <c r="AO818" s="16">
        <f>IF(OR($B818="",$C818="",$D818=""),"",DATE($C818+2018,$D818,1))</f>
        <v/>
      </c>
    </row>
    <row r="819">
      <c r="A819" s="11" t="n"/>
      <c r="B819" s="12" t="n"/>
      <c r="C819" s="12" t="n"/>
      <c r="D819" s="12" t="n"/>
      <c r="E819" s="13" t="n"/>
      <c r="F819" s="12" t="n"/>
      <c r="G819" s="13" t="n"/>
      <c r="H819" s="12" t="n"/>
      <c r="I819" s="12" t="n"/>
      <c r="J819" s="12" t="n"/>
      <c r="K819" s="12" t="n"/>
      <c r="L819" s="11" t="n"/>
      <c r="M819" s="11" t="n"/>
      <c r="N819" s="11" t="n"/>
      <c r="O819" s="11" t="n"/>
      <c r="P819" s="12" t="n"/>
      <c r="Q819" s="11" t="n"/>
      <c r="R819" s="12" t="n"/>
      <c r="S819" s="11" t="n"/>
      <c r="T819" s="12" t="n"/>
      <c r="U819" s="12" t="n"/>
      <c r="V819" s="14">
        <f>IF($AN819="",IF($B819="","",$H819),IF(INDEX(職員マスタ!$B$6:$B$405,$AN819)="",$H819,INDEX(職員マスタ!$B$6:$B$405,$AN819)))</f>
        <v/>
      </c>
      <c r="W819" s="14">
        <f>IF($AN819="",IF($B819="","",$R819),IF(INDEX(職員マスタ!$C$6:$C$405,$AN819)="",$R819,INDEX(職員マスタ!$C$6:$C$405,$AN819)))</f>
        <v/>
      </c>
      <c r="X819" s="14">
        <f>IF($AO819="","","R"&amp;$C819&amp;"."&amp;$D819)</f>
        <v/>
      </c>
      <c r="Y819" s="15">
        <f>IF($AN819="","",IF(INDEX(職員マスタ!$K$6:$K$405,$AN819)="","",INDEX(職員マスタ!$K$6:$K$405,$AN819)))</f>
        <v/>
      </c>
      <c r="Z819" s="14">
        <f>IF(OR($E819="",$Y819=""),"",IF($E819&gt;=$Y819,"×",IF($E819&gt;=$Y819*設定!$C$5,"△","○")))</f>
        <v/>
      </c>
      <c r="AA819" s="15">
        <f>IF($Z819="","",IF($Z819="×",0,IF($Z819="○",ROUNDDOWN($E819*設定!$C$4,0),ROUNDDOWN($E819*ROUND((9*$Y819-9*$E819)/(10*$E819),4),0))))</f>
        <v/>
      </c>
      <c r="AB819" s="13" t="n"/>
      <c r="AC819" s="15">
        <f>IF($B819="","",IF($AB819&lt;&gt;"",$AB819,IF($AA819="","",IF($AA819&lt;=設定!$C$3,0,$AA819))))</f>
        <v/>
      </c>
      <c r="AD819" s="14">
        <f>IF($B819="","",IF(AND($AE819&lt;&gt;"",$AG819="",$AJ819=""),"保留中",IF($AJ819&lt;&gt;"",IF(N($AC819)&gt;0,"支給済","不支給"),IF($AC819="","要確認",IF($AC819=0,"不支給","未処理")))))</f>
        <v/>
      </c>
      <c r="AE819" s="12" t="n"/>
      <c r="AF819" s="11" t="n"/>
      <c r="AG819" s="11" t="n"/>
      <c r="AH819" s="11" t="n"/>
      <c r="AI819" s="14">
        <f>IF(AND($AD819="保留中",$AF819&lt;&gt;""),TODAY()-$AF819,"")</f>
        <v/>
      </c>
      <c r="AJ819" s="12" t="n"/>
      <c r="AK819" s="14">
        <f>IF($B819="","",IF($AO819="","対象年月が未入力／","")&amp;IF($B819="","",IF($AN819="","職員マスタに未登録の職員番号／",IF($Y819="","標準報酬月額が未登録／","")&amp;IF(AND($AO819&lt;&gt;"",OR(AND(INDEX(職員マスタ!$G$6:$G$405,$AN819)&lt;&gt;"",INDEX(職員マスタ!$G$6:$G$405,$AN819)&gt;EOMONTH($AO819,0)),AND(INDEX(職員マスタ!$H$6:$H$405,$AN819)&lt;&gt;"",INDEX(職員マスタ!$H$6:$H$405,$AN819)&lt;$AO819))),"対象月が時短期間外／","")&amp;IF(AND(INDEX(職員マスタ!$F$6:$F$405,$AN819)&lt;&gt;"",$AO819&lt;&gt;"",INDEX(職員マスタ!$F$6:$F$405,$AN819)&lt;$AO819),"対象月に子が2歳到達済／","")&amp;IF(AND($H819&lt;&gt;"",INDEX(職員マスタ!$B$6:$B$405,$AN819)&lt;&gt;"",SUBSTITUTE(SUBSTITUTE($H819," ","")," ","")&lt;&gt;SUBSTITUTE(SUBSTITUTE(INDEX(職員マスタ!$B$6:$B$405,$AN819)," ","")," ","")),"氏名がマスタと相違／","")&amp;IF(AND($Q819&lt;&gt;"",INDEX(職員マスタ!$E$6:$E$405,$AN819)&lt;&gt;"",$Q819&lt;&gt;INDEX(職員マスタ!$E$6:$E$405,$AN819)),"子の生年月日がマスタと相違／","")&amp;IF(AND($L819&lt;&gt;"",INDEX(職員マスタ!$G$6:$G$405,$AN819)&lt;&gt;"",$L819&lt;&gt;INDEX(職員マスタ!$G$6:$G$405,$AN819)),"時短開始日がマスタと相違／","")&amp;IF(AND($M819&lt;&gt;"",INDEX(職員マスタ!$H$6:$H$405,$AN819)&lt;&gt;"",$M819&lt;&gt;INDEX(職員マスタ!$H$6:$H$405,$AN819)),"時短終了日がマスタと相違／","")))&amp;IF(AND($B819&lt;&gt;"",$E819=""),"報酬額が未入力／","")&amp;IF(N($U819)&gt;0,"申請書に入力エラーが残っています／","")&amp;IF(AND($B819&lt;&gt;"",$AO819&lt;&gt;""),IF(COUNTIFS($B$6:$B$3005,$B819,$C$6:$C$3005,$C819,$D$6:$D$3005,$D819)&gt;1,"同じ月の請求が重複しています／",""),"")&amp;IF(AND(N($E819)&gt;0,$Z819&lt;&gt;"",$Z819&lt;&gt;"×",$AC819=0,$AB819=""),"計算額が下限以下のため不支給／",""))</f>
        <v/>
      </c>
      <c r="AL819" s="12" t="n"/>
      <c r="AM819" s="14">
        <f>IF($AD819="保留中",COUNTIF($AD$6:$AD819,"保留中"),"")</f>
        <v/>
      </c>
      <c r="AN819" s="14">
        <f>IF($AO819="","",IF(SUMPRODUCT(MAX((職員マスタ!$A$6:$A$405=$B819)*(((職員マスタ!$G$6:$G$405="")+(職員マスタ!$G$6:$G$405&lt;=EOMONTH($AO819,0)))&gt;0)*(((職員マスタ!$H$6:$H$405="")+(職員マスタ!$H$6:$H$405&gt;=$AO819))&gt;0)*(ROW(職員マスタ!$A$6:$A$405)-5)))&gt;0,SUMPRODUCT(MAX((職員マスタ!$A$6:$A$405=$B819)*(((職員マスタ!$G$6:$G$405="")+(職員マスタ!$G$6:$G$405&lt;=EOMONTH($AO819,0)))&gt;0)*(((職員マスタ!$H$6:$H$405="")+(職員マスタ!$H$6:$H$405&gt;=$AO819))&gt;0)*(ROW(職員マスタ!$A$6:$A$405)-5))),IFERROR(MATCH($B819,職員マスタ!$A$6:$A$405,0),"")))</f>
        <v/>
      </c>
      <c r="AO819" s="16">
        <f>IF(OR($B819="",$C819="",$D819=""),"",DATE($C819+2018,$D819,1))</f>
        <v/>
      </c>
    </row>
    <row r="820">
      <c r="A820" s="11" t="n"/>
      <c r="B820" s="12" t="n"/>
      <c r="C820" s="12" t="n"/>
      <c r="D820" s="12" t="n"/>
      <c r="E820" s="13" t="n"/>
      <c r="F820" s="12" t="n"/>
      <c r="G820" s="13" t="n"/>
      <c r="H820" s="12" t="n"/>
      <c r="I820" s="12" t="n"/>
      <c r="J820" s="12" t="n"/>
      <c r="K820" s="12" t="n"/>
      <c r="L820" s="11" t="n"/>
      <c r="M820" s="11" t="n"/>
      <c r="N820" s="11" t="n"/>
      <c r="O820" s="11" t="n"/>
      <c r="P820" s="12" t="n"/>
      <c r="Q820" s="11" t="n"/>
      <c r="R820" s="12" t="n"/>
      <c r="S820" s="11" t="n"/>
      <c r="T820" s="12" t="n"/>
      <c r="U820" s="12" t="n"/>
      <c r="V820" s="14">
        <f>IF($AN820="",IF($B820="","",$H820),IF(INDEX(職員マスタ!$B$6:$B$405,$AN820)="",$H820,INDEX(職員マスタ!$B$6:$B$405,$AN820)))</f>
        <v/>
      </c>
      <c r="W820" s="14">
        <f>IF($AN820="",IF($B820="","",$R820),IF(INDEX(職員マスタ!$C$6:$C$405,$AN820)="",$R820,INDEX(職員マスタ!$C$6:$C$405,$AN820)))</f>
        <v/>
      </c>
      <c r="X820" s="14">
        <f>IF($AO820="","","R"&amp;$C820&amp;"."&amp;$D820)</f>
        <v/>
      </c>
      <c r="Y820" s="15">
        <f>IF($AN820="","",IF(INDEX(職員マスタ!$K$6:$K$405,$AN820)="","",INDEX(職員マスタ!$K$6:$K$405,$AN820)))</f>
        <v/>
      </c>
      <c r="Z820" s="14">
        <f>IF(OR($E820="",$Y820=""),"",IF($E820&gt;=$Y820,"×",IF($E820&gt;=$Y820*設定!$C$5,"△","○")))</f>
        <v/>
      </c>
      <c r="AA820" s="15">
        <f>IF($Z820="","",IF($Z820="×",0,IF($Z820="○",ROUNDDOWN($E820*設定!$C$4,0),ROUNDDOWN($E820*ROUND((9*$Y820-9*$E820)/(10*$E820),4),0))))</f>
        <v/>
      </c>
      <c r="AB820" s="13" t="n"/>
      <c r="AC820" s="15">
        <f>IF($B820="","",IF($AB820&lt;&gt;"",$AB820,IF($AA820="","",IF($AA820&lt;=設定!$C$3,0,$AA820))))</f>
        <v/>
      </c>
      <c r="AD820" s="14">
        <f>IF($B820="","",IF(AND($AE820&lt;&gt;"",$AG820="",$AJ820=""),"保留中",IF($AJ820&lt;&gt;"",IF(N($AC820)&gt;0,"支給済","不支給"),IF($AC820="","要確認",IF($AC820=0,"不支給","未処理")))))</f>
        <v/>
      </c>
      <c r="AE820" s="12" t="n"/>
      <c r="AF820" s="11" t="n"/>
      <c r="AG820" s="11" t="n"/>
      <c r="AH820" s="11" t="n"/>
      <c r="AI820" s="14">
        <f>IF(AND($AD820="保留中",$AF820&lt;&gt;""),TODAY()-$AF820,"")</f>
        <v/>
      </c>
      <c r="AJ820" s="12" t="n"/>
      <c r="AK820" s="14">
        <f>IF($B820="","",IF($AO820="","対象年月が未入力／","")&amp;IF($B820="","",IF($AN820="","職員マスタに未登録の職員番号／",IF($Y820="","標準報酬月額が未登録／","")&amp;IF(AND($AO820&lt;&gt;"",OR(AND(INDEX(職員マスタ!$G$6:$G$405,$AN820)&lt;&gt;"",INDEX(職員マスタ!$G$6:$G$405,$AN820)&gt;EOMONTH($AO820,0)),AND(INDEX(職員マスタ!$H$6:$H$405,$AN820)&lt;&gt;"",INDEX(職員マスタ!$H$6:$H$405,$AN820)&lt;$AO820))),"対象月が時短期間外／","")&amp;IF(AND(INDEX(職員マスタ!$F$6:$F$405,$AN820)&lt;&gt;"",$AO820&lt;&gt;"",INDEX(職員マスタ!$F$6:$F$405,$AN820)&lt;$AO820),"対象月に子が2歳到達済／","")&amp;IF(AND($H820&lt;&gt;"",INDEX(職員マスタ!$B$6:$B$405,$AN820)&lt;&gt;"",SUBSTITUTE(SUBSTITUTE($H820," ","")," ","")&lt;&gt;SUBSTITUTE(SUBSTITUTE(INDEX(職員マスタ!$B$6:$B$405,$AN820)," ","")," ","")),"氏名がマスタと相違／","")&amp;IF(AND($Q820&lt;&gt;"",INDEX(職員マスタ!$E$6:$E$405,$AN820)&lt;&gt;"",$Q820&lt;&gt;INDEX(職員マスタ!$E$6:$E$405,$AN820)),"子の生年月日がマスタと相違／","")&amp;IF(AND($L820&lt;&gt;"",INDEX(職員マスタ!$G$6:$G$405,$AN820)&lt;&gt;"",$L820&lt;&gt;INDEX(職員マスタ!$G$6:$G$405,$AN820)),"時短開始日がマスタと相違／","")&amp;IF(AND($M820&lt;&gt;"",INDEX(職員マスタ!$H$6:$H$405,$AN820)&lt;&gt;"",$M820&lt;&gt;INDEX(職員マスタ!$H$6:$H$405,$AN820)),"時短終了日がマスタと相違／","")))&amp;IF(AND($B820&lt;&gt;"",$E820=""),"報酬額が未入力／","")&amp;IF(N($U820)&gt;0,"申請書に入力エラーが残っています／","")&amp;IF(AND($B820&lt;&gt;"",$AO820&lt;&gt;""),IF(COUNTIFS($B$6:$B$3005,$B820,$C$6:$C$3005,$C820,$D$6:$D$3005,$D820)&gt;1,"同じ月の請求が重複しています／",""),"")&amp;IF(AND(N($E820)&gt;0,$Z820&lt;&gt;"",$Z820&lt;&gt;"×",$AC820=0,$AB820=""),"計算額が下限以下のため不支給／",""))</f>
        <v/>
      </c>
      <c r="AL820" s="12" t="n"/>
      <c r="AM820" s="14">
        <f>IF($AD820="保留中",COUNTIF($AD$6:$AD820,"保留中"),"")</f>
        <v/>
      </c>
      <c r="AN820" s="14">
        <f>IF($AO820="","",IF(SUMPRODUCT(MAX((職員マスタ!$A$6:$A$405=$B820)*(((職員マスタ!$G$6:$G$405="")+(職員マスタ!$G$6:$G$405&lt;=EOMONTH($AO820,0)))&gt;0)*(((職員マスタ!$H$6:$H$405="")+(職員マスタ!$H$6:$H$405&gt;=$AO820))&gt;0)*(ROW(職員マスタ!$A$6:$A$405)-5)))&gt;0,SUMPRODUCT(MAX((職員マスタ!$A$6:$A$405=$B820)*(((職員マスタ!$G$6:$G$405="")+(職員マスタ!$G$6:$G$405&lt;=EOMONTH($AO820,0)))&gt;0)*(((職員マスタ!$H$6:$H$405="")+(職員マスタ!$H$6:$H$405&gt;=$AO820))&gt;0)*(ROW(職員マスタ!$A$6:$A$405)-5))),IFERROR(MATCH($B820,職員マスタ!$A$6:$A$405,0),"")))</f>
        <v/>
      </c>
      <c r="AO820" s="16">
        <f>IF(OR($B820="",$C820="",$D820=""),"",DATE($C820+2018,$D820,1))</f>
        <v/>
      </c>
    </row>
    <row r="821">
      <c r="A821" s="11" t="n"/>
      <c r="B821" s="12" t="n"/>
      <c r="C821" s="12" t="n"/>
      <c r="D821" s="12" t="n"/>
      <c r="E821" s="13" t="n"/>
      <c r="F821" s="12" t="n"/>
      <c r="G821" s="13" t="n"/>
      <c r="H821" s="12" t="n"/>
      <c r="I821" s="12" t="n"/>
      <c r="J821" s="12" t="n"/>
      <c r="K821" s="12" t="n"/>
      <c r="L821" s="11" t="n"/>
      <c r="M821" s="11" t="n"/>
      <c r="N821" s="11" t="n"/>
      <c r="O821" s="11" t="n"/>
      <c r="P821" s="12" t="n"/>
      <c r="Q821" s="11" t="n"/>
      <c r="R821" s="12" t="n"/>
      <c r="S821" s="11" t="n"/>
      <c r="T821" s="12" t="n"/>
      <c r="U821" s="12" t="n"/>
      <c r="V821" s="14">
        <f>IF($AN821="",IF($B821="","",$H821),IF(INDEX(職員マスタ!$B$6:$B$405,$AN821)="",$H821,INDEX(職員マスタ!$B$6:$B$405,$AN821)))</f>
        <v/>
      </c>
      <c r="W821" s="14">
        <f>IF($AN821="",IF($B821="","",$R821),IF(INDEX(職員マスタ!$C$6:$C$405,$AN821)="",$R821,INDEX(職員マスタ!$C$6:$C$405,$AN821)))</f>
        <v/>
      </c>
      <c r="X821" s="14">
        <f>IF($AO821="","","R"&amp;$C821&amp;"."&amp;$D821)</f>
        <v/>
      </c>
      <c r="Y821" s="15">
        <f>IF($AN821="","",IF(INDEX(職員マスタ!$K$6:$K$405,$AN821)="","",INDEX(職員マスタ!$K$6:$K$405,$AN821)))</f>
        <v/>
      </c>
      <c r="Z821" s="14">
        <f>IF(OR($E821="",$Y821=""),"",IF($E821&gt;=$Y821,"×",IF($E821&gt;=$Y821*設定!$C$5,"△","○")))</f>
        <v/>
      </c>
      <c r="AA821" s="15">
        <f>IF($Z821="","",IF($Z821="×",0,IF($Z821="○",ROUNDDOWN($E821*設定!$C$4,0),ROUNDDOWN($E821*ROUND((9*$Y821-9*$E821)/(10*$E821),4),0))))</f>
        <v/>
      </c>
      <c r="AB821" s="13" t="n"/>
      <c r="AC821" s="15">
        <f>IF($B821="","",IF($AB821&lt;&gt;"",$AB821,IF($AA821="","",IF($AA821&lt;=設定!$C$3,0,$AA821))))</f>
        <v/>
      </c>
      <c r="AD821" s="14">
        <f>IF($B821="","",IF(AND($AE821&lt;&gt;"",$AG821="",$AJ821=""),"保留中",IF($AJ821&lt;&gt;"",IF(N($AC821)&gt;0,"支給済","不支給"),IF($AC821="","要確認",IF($AC821=0,"不支給","未処理")))))</f>
        <v/>
      </c>
      <c r="AE821" s="12" t="n"/>
      <c r="AF821" s="11" t="n"/>
      <c r="AG821" s="11" t="n"/>
      <c r="AH821" s="11" t="n"/>
      <c r="AI821" s="14">
        <f>IF(AND($AD821="保留中",$AF821&lt;&gt;""),TODAY()-$AF821,"")</f>
        <v/>
      </c>
      <c r="AJ821" s="12" t="n"/>
      <c r="AK821" s="14">
        <f>IF($B821="","",IF($AO821="","対象年月が未入力／","")&amp;IF($B821="","",IF($AN821="","職員マスタに未登録の職員番号／",IF($Y821="","標準報酬月額が未登録／","")&amp;IF(AND($AO821&lt;&gt;"",OR(AND(INDEX(職員マスタ!$G$6:$G$405,$AN821)&lt;&gt;"",INDEX(職員マスタ!$G$6:$G$405,$AN821)&gt;EOMONTH($AO821,0)),AND(INDEX(職員マスタ!$H$6:$H$405,$AN821)&lt;&gt;"",INDEX(職員マスタ!$H$6:$H$405,$AN821)&lt;$AO821))),"対象月が時短期間外／","")&amp;IF(AND(INDEX(職員マスタ!$F$6:$F$405,$AN821)&lt;&gt;"",$AO821&lt;&gt;"",INDEX(職員マスタ!$F$6:$F$405,$AN821)&lt;$AO821),"対象月に子が2歳到達済／","")&amp;IF(AND($H821&lt;&gt;"",INDEX(職員マスタ!$B$6:$B$405,$AN821)&lt;&gt;"",SUBSTITUTE(SUBSTITUTE($H821," ","")," ","")&lt;&gt;SUBSTITUTE(SUBSTITUTE(INDEX(職員マスタ!$B$6:$B$405,$AN821)," ","")," ","")),"氏名がマスタと相違／","")&amp;IF(AND($Q821&lt;&gt;"",INDEX(職員マスタ!$E$6:$E$405,$AN821)&lt;&gt;"",$Q821&lt;&gt;INDEX(職員マスタ!$E$6:$E$405,$AN821)),"子の生年月日がマスタと相違／","")&amp;IF(AND($L821&lt;&gt;"",INDEX(職員マスタ!$G$6:$G$405,$AN821)&lt;&gt;"",$L821&lt;&gt;INDEX(職員マスタ!$G$6:$G$405,$AN821)),"時短開始日がマスタと相違／","")&amp;IF(AND($M821&lt;&gt;"",INDEX(職員マスタ!$H$6:$H$405,$AN821)&lt;&gt;"",$M821&lt;&gt;INDEX(職員マスタ!$H$6:$H$405,$AN821)),"時短終了日がマスタと相違／","")))&amp;IF(AND($B821&lt;&gt;"",$E821=""),"報酬額が未入力／","")&amp;IF(N($U821)&gt;0,"申請書に入力エラーが残っています／","")&amp;IF(AND($B821&lt;&gt;"",$AO821&lt;&gt;""),IF(COUNTIFS($B$6:$B$3005,$B821,$C$6:$C$3005,$C821,$D$6:$D$3005,$D821)&gt;1,"同じ月の請求が重複しています／",""),"")&amp;IF(AND(N($E821)&gt;0,$Z821&lt;&gt;"",$Z821&lt;&gt;"×",$AC821=0,$AB821=""),"計算額が下限以下のため不支給／",""))</f>
        <v/>
      </c>
      <c r="AL821" s="12" t="n"/>
      <c r="AM821" s="14">
        <f>IF($AD821="保留中",COUNTIF($AD$6:$AD821,"保留中"),"")</f>
        <v/>
      </c>
      <c r="AN821" s="14">
        <f>IF($AO821="","",IF(SUMPRODUCT(MAX((職員マスタ!$A$6:$A$405=$B821)*(((職員マスタ!$G$6:$G$405="")+(職員マスタ!$G$6:$G$405&lt;=EOMONTH($AO821,0)))&gt;0)*(((職員マスタ!$H$6:$H$405="")+(職員マスタ!$H$6:$H$405&gt;=$AO821))&gt;0)*(ROW(職員マスタ!$A$6:$A$405)-5)))&gt;0,SUMPRODUCT(MAX((職員マスタ!$A$6:$A$405=$B821)*(((職員マスタ!$G$6:$G$405="")+(職員マスタ!$G$6:$G$405&lt;=EOMONTH($AO821,0)))&gt;0)*(((職員マスタ!$H$6:$H$405="")+(職員マスタ!$H$6:$H$405&gt;=$AO821))&gt;0)*(ROW(職員マスタ!$A$6:$A$405)-5))),IFERROR(MATCH($B821,職員マスタ!$A$6:$A$405,0),"")))</f>
        <v/>
      </c>
      <c r="AO821" s="16">
        <f>IF(OR($B821="",$C821="",$D821=""),"",DATE($C821+2018,$D821,1))</f>
        <v/>
      </c>
    </row>
    <row r="822">
      <c r="A822" s="11" t="n"/>
      <c r="B822" s="12" t="n"/>
      <c r="C822" s="12" t="n"/>
      <c r="D822" s="12" t="n"/>
      <c r="E822" s="13" t="n"/>
      <c r="F822" s="12" t="n"/>
      <c r="G822" s="13" t="n"/>
      <c r="H822" s="12" t="n"/>
      <c r="I822" s="12" t="n"/>
      <c r="J822" s="12" t="n"/>
      <c r="K822" s="12" t="n"/>
      <c r="L822" s="11" t="n"/>
      <c r="M822" s="11" t="n"/>
      <c r="N822" s="11" t="n"/>
      <c r="O822" s="11" t="n"/>
      <c r="P822" s="12" t="n"/>
      <c r="Q822" s="11" t="n"/>
      <c r="R822" s="12" t="n"/>
      <c r="S822" s="11" t="n"/>
      <c r="T822" s="12" t="n"/>
      <c r="U822" s="12" t="n"/>
      <c r="V822" s="14">
        <f>IF($AN822="",IF($B822="","",$H822),IF(INDEX(職員マスタ!$B$6:$B$405,$AN822)="",$H822,INDEX(職員マスタ!$B$6:$B$405,$AN822)))</f>
        <v/>
      </c>
      <c r="W822" s="14">
        <f>IF($AN822="",IF($B822="","",$R822),IF(INDEX(職員マスタ!$C$6:$C$405,$AN822)="",$R822,INDEX(職員マスタ!$C$6:$C$405,$AN822)))</f>
        <v/>
      </c>
      <c r="X822" s="14">
        <f>IF($AO822="","","R"&amp;$C822&amp;"."&amp;$D822)</f>
        <v/>
      </c>
      <c r="Y822" s="15">
        <f>IF($AN822="","",IF(INDEX(職員マスタ!$K$6:$K$405,$AN822)="","",INDEX(職員マスタ!$K$6:$K$405,$AN822)))</f>
        <v/>
      </c>
      <c r="Z822" s="14">
        <f>IF(OR($E822="",$Y822=""),"",IF($E822&gt;=$Y822,"×",IF($E822&gt;=$Y822*設定!$C$5,"△","○")))</f>
        <v/>
      </c>
      <c r="AA822" s="15">
        <f>IF($Z822="","",IF($Z822="×",0,IF($Z822="○",ROUNDDOWN($E822*設定!$C$4,0),ROUNDDOWN($E822*ROUND((9*$Y822-9*$E822)/(10*$E822),4),0))))</f>
        <v/>
      </c>
      <c r="AB822" s="13" t="n"/>
      <c r="AC822" s="15">
        <f>IF($B822="","",IF($AB822&lt;&gt;"",$AB822,IF($AA822="","",IF($AA822&lt;=設定!$C$3,0,$AA822))))</f>
        <v/>
      </c>
      <c r="AD822" s="14">
        <f>IF($B822="","",IF(AND($AE822&lt;&gt;"",$AG822="",$AJ822=""),"保留中",IF($AJ822&lt;&gt;"",IF(N($AC822)&gt;0,"支給済","不支給"),IF($AC822="","要確認",IF($AC822=0,"不支給","未処理")))))</f>
        <v/>
      </c>
      <c r="AE822" s="12" t="n"/>
      <c r="AF822" s="11" t="n"/>
      <c r="AG822" s="11" t="n"/>
      <c r="AH822" s="11" t="n"/>
      <c r="AI822" s="14">
        <f>IF(AND($AD822="保留中",$AF822&lt;&gt;""),TODAY()-$AF822,"")</f>
        <v/>
      </c>
      <c r="AJ822" s="12" t="n"/>
      <c r="AK822" s="14">
        <f>IF($B822="","",IF($AO822="","対象年月が未入力／","")&amp;IF($B822="","",IF($AN822="","職員マスタに未登録の職員番号／",IF($Y822="","標準報酬月額が未登録／","")&amp;IF(AND($AO822&lt;&gt;"",OR(AND(INDEX(職員マスタ!$G$6:$G$405,$AN822)&lt;&gt;"",INDEX(職員マスタ!$G$6:$G$405,$AN822)&gt;EOMONTH($AO822,0)),AND(INDEX(職員マスタ!$H$6:$H$405,$AN822)&lt;&gt;"",INDEX(職員マスタ!$H$6:$H$405,$AN822)&lt;$AO822))),"対象月が時短期間外／","")&amp;IF(AND(INDEX(職員マスタ!$F$6:$F$405,$AN822)&lt;&gt;"",$AO822&lt;&gt;"",INDEX(職員マスタ!$F$6:$F$405,$AN822)&lt;$AO822),"対象月に子が2歳到達済／","")&amp;IF(AND($H822&lt;&gt;"",INDEX(職員マスタ!$B$6:$B$405,$AN822)&lt;&gt;"",SUBSTITUTE(SUBSTITUTE($H822," ","")," ","")&lt;&gt;SUBSTITUTE(SUBSTITUTE(INDEX(職員マスタ!$B$6:$B$405,$AN822)," ","")," ","")),"氏名がマスタと相違／","")&amp;IF(AND($Q822&lt;&gt;"",INDEX(職員マスタ!$E$6:$E$405,$AN822)&lt;&gt;"",$Q822&lt;&gt;INDEX(職員マスタ!$E$6:$E$405,$AN822)),"子の生年月日がマスタと相違／","")&amp;IF(AND($L822&lt;&gt;"",INDEX(職員マスタ!$G$6:$G$405,$AN822)&lt;&gt;"",$L822&lt;&gt;INDEX(職員マスタ!$G$6:$G$405,$AN822)),"時短開始日がマスタと相違／","")&amp;IF(AND($M822&lt;&gt;"",INDEX(職員マスタ!$H$6:$H$405,$AN822)&lt;&gt;"",$M822&lt;&gt;INDEX(職員マスタ!$H$6:$H$405,$AN822)),"時短終了日がマスタと相違／","")))&amp;IF(AND($B822&lt;&gt;"",$E822=""),"報酬額が未入力／","")&amp;IF(N($U822)&gt;0,"申請書に入力エラーが残っています／","")&amp;IF(AND($B822&lt;&gt;"",$AO822&lt;&gt;""),IF(COUNTIFS($B$6:$B$3005,$B822,$C$6:$C$3005,$C822,$D$6:$D$3005,$D822)&gt;1,"同じ月の請求が重複しています／",""),"")&amp;IF(AND(N($E822)&gt;0,$Z822&lt;&gt;"",$Z822&lt;&gt;"×",$AC822=0,$AB822=""),"計算額が下限以下のため不支給／",""))</f>
        <v/>
      </c>
      <c r="AL822" s="12" t="n"/>
      <c r="AM822" s="14">
        <f>IF($AD822="保留中",COUNTIF($AD$6:$AD822,"保留中"),"")</f>
        <v/>
      </c>
      <c r="AN822" s="14">
        <f>IF($AO822="","",IF(SUMPRODUCT(MAX((職員マスタ!$A$6:$A$405=$B822)*(((職員マスタ!$G$6:$G$405="")+(職員マスタ!$G$6:$G$405&lt;=EOMONTH($AO822,0)))&gt;0)*(((職員マスタ!$H$6:$H$405="")+(職員マスタ!$H$6:$H$405&gt;=$AO822))&gt;0)*(ROW(職員マスタ!$A$6:$A$405)-5)))&gt;0,SUMPRODUCT(MAX((職員マスタ!$A$6:$A$405=$B822)*(((職員マスタ!$G$6:$G$405="")+(職員マスタ!$G$6:$G$405&lt;=EOMONTH($AO822,0)))&gt;0)*(((職員マスタ!$H$6:$H$405="")+(職員マスタ!$H$6:$H$405&gt;=$AO822))&gt;0)*(ROW(職員マスタ!$A$6:$A$405)-5))),IFERROR(MATCH($B822,職員マスタ!$A$6:$A$405,0),"")))</f>
        <v/>
      </c>
      <c r="AO822" s="16">
        <f>IF(OR($B822="",$C822="",$D822=""),"",DATE($C822+2018,$D822,1))</f>
        <v/>
      </c>
    </row>
    <row r="823">
      <c r="A823" s="11" t="n"/>
      <c r="B823" s="12" t="n"/>
      <c r="C823" s="12" t="n"/>
      <c r="D823" s="12" t="n"/>
      <c r="E823" s="13" t="n"/>
      <c r="F823" s="12" t="n"/>
      <c r="G823" s="13" t="n"/>
      <c r="H823" s="12" t="n"/>
      <c r="I823" s="12" t="n"/>
      <c r="J823" s="12" t="n"/>
      <c r="K823" s="12" t="n"/>
      <c r="L823" s="11" t="n"/>
      <c r="M823" s="11" t="n"/>
      <c r="N823" s="11" t="n"/>
      <c r="O823" s="11" t="n"/>
      <c r="P823" s="12" t="n"/>
      <c r="Q823" s="11" t="n"/>
      <c r="R823" s="12" t="n"/>
      <c r="S823" s="11" t="n"/>
      <c r="T823" s="12" t="n"/>
      <c r="U823" s="12" t="n"/>
      <c r="V823" s="14">
        <f>IF($AN823="",IF($B823="","",$H823),IF(INDEX(職員マスタ!$B$6:$B$405,$AN823)="",$H823,INDEX(職員マスタ!$B$6:$B$405,$AN823)))</f>
        <v/>
      </c>
      <c r="W823" s="14">
        <f>IF($AN823="",IF($B823="","",$R823),IF(INDEX(職員マスタ!$C$6:$C$405,$AN823)="",$R823,INDEX(職員マスタ!$C$6:$C$405,$AN823)))</f>
        <v/>
      </c>
      <c r="X823" s="14">
        <f>IF($AO823="","","R"&amp;$C823&amp;"."&amp;$D823)</f>
        <v/>
      </c>
      <c r="Y823" s="15">
        <f>IF($AN823="","",IF(INDEX(職員マスタ!$K$6:$K$405,$AN823)="","",INDEX(職員マスタ!$K$6:$K$405,$AN823)))</f>
        <v/>
      </c>
      <c r="Z823" s="14">
        <f>IF(OR($E823="",$Y823=""),"",IF($E823&gt;=$Y823,"×",IF($E823&gt;=$Y823*設定!$C$5,"△","○")))</f>
        <v/>
      </c>
      <c r="AA823" s="15">
        <f>IF($Z823="","",IF($Z823="×",0,IF($Z823="○",ROUNDDOWN($E823*設定!$C$4,0),ROUNDDOWN($E823*ROUND((9*$Y823-9*$E823)/(10*$E823),4),0))))</f>
        <v/>
      </c>
      <c r="AB823" s="13" t="n"/>
      <c r="AC823" s="15">
        <f>IF($B823="","",IF($AB823&lt;&gt;"",$AB823,IF($AA823="","",IF($AA823&lt;=設定!$C$3,0,$AA823))))</f>
        <v/>
      </c>
      <c r="AD823" s="14">
        <f>IF($B823="","",IF(AND($AE823&lt;&gt;"",$AG823="",$AJ823=""),"保留中",IF($AJ823&lt;&gt;"",IF(N($AC823)&gt;0,"支給済","不支給"),IF($AC823="","要確認",IF($AC823=0,"不支給","未処理")))))</f>
        <v/>
      </c>
      <c r="AE823" s="12" t="n"/>
      <c r="AF823" s="11" t="n"/>
      <c r="AG823" s="11" t="n"/>
      <c r="AH823" s="11" t="n"/>
      <c r="AI823" s="14">
        <f>IF(AND($AD823="保留中",$AF823&lt;&gt;""),TODAY()-$AF823,"")</f>
        <v/>
      </c>
      <c r="AJ823" s="12" t="n"/>
      <c r="AK823" s="14">
        <f>IF($B823="","",IF($AO823="","対象年月が未入力／","")&amp;IF($B823="","",IF($AN823="","職員マスタに未登録の職員番号／",IF($Y823="","標準報酬月額が未登録／","")&amp;IF(AND($AO823&lt;&gt;"",OR(AND(INDEX(職員マスタ!$G$6:$G$405,$AN823)&lt;&gt;"",INDEX(職員マスタ!$G$6:$G$405,$AN823)&gt;EOMONTH($AO823,0)),AND(INDEX(職員マスタ!$H$6:$H$405,$AN823)&lt;&gt;"",INDEX(職員マスタ!$H$6:$H$405,$AN823)&lt;$AO823))),"対象月が時短期間外／","")&amp;IF(AND(INDEX(職員マスタ!$F$6:$F$405,$AN823)&lt;&gt;"",$AO823&lt;&gt;"",INDEX(職員マスタ!$F$6:$F$405,$AN823)&lt;$AO823),"対象月に子が2歳到達済／","")&amp;IF(AND($H823&lt;&gt;"",INDEX(職員マスタ!$B$6:$B$405,$AN823)&lt;&gt;"",SUBSTITUTE(SUBSTITUTE($H823," ","")," ","")&lt;&gt;SUBSTITUTE(SUBSTITUTE(INDEX(職員マスタ!$B$6:$B$405,$AN823)," ","")," ","")),"氏名がマスタと相違／","")&amp;IF(AND($Q823&lt;&gt;"",INDEX(職員マスタ!$E$6:$E$405,$AN823)&lt;&gt;"",$Q823&lt;&gt;INDEX(職員マスタ!$E$6:$E$405,$AN823)),"子の生年月日がマスタと相違／","")&amp;IF(AND($L823&lt;&gt;"",INDEX(職員マスタ!$G$6:$G$405,$AN823)&lt;&gt;"",$L823&lt;&gt;INDEX(職員マスタ!$G$6:$G$405,$AN823)),"時短開始日がマスタと相違／","")&amp;IF(AND($M823&lt;&gt;"",INDEX(職員マスタ!$H$6:$H$405,$AN823)&lt;&gt;"",$M823&lt;&gt;INDEX(職員マスタ!$H$6:$H$405,$AN823)),"時短終了日がマスタと相違／","")))&amp;IF(AND($B823&lt;&gt;"",$E823=""),"報酬額が未入力／","")&amp;IF(N($U823)&gt;0,"申請書に入力エラーが残っています／","")&amp;IF(AND($B823&lt;&gt;"",$AO823&lt;&gt;""),IF(COUNTIFS($B$6:$B$3005,$B823,$C$6:$C$3005,$C823,$D$6:$D$3005,$D823)&gt;1,"同じ月の請求が重複しています／",""),"")&amp;IF(AND(N($E823)&gt;0,$Z823&lt;&gt;"",$Z823&lt;&gt;"×",$AC823=0,$AB823=""),"計算額が下限以下のため不支給／",""))</f>
        <v/>
      </c>
      <c r="AL823" s="12" t="n"/>
      <c r="AM823" s="14">
        <f>IF($AD823="保留中",COUNTIF($AD$6:$AD823,"保留中"),"")</f>
        <v/>
      </c>
      <c r="AN823" s="14">
        <f>IF($AO823="","",IF(SUMPRODUCT(MAX((職員マスタ!$A$6:$A$405=$B823)*(((職員マスタ!$G$6:$G$405="")+(職員マスタ!$G$6:$G$405&lt;=EOMONTH($AO823,0)))&gt;0)*(((職員マスタ!$H$6:$H$405="")+(職員マスタ!$H$6:$H$405&gt;=$AO823))&gt;0)*(ROW(職員マスタ!$A$6:$A$405)-5)))&gt;0,SUMPRODUCT(MAX((職員マスタ!$A$6:$A$405=$B823)*(((職員マスタ!$G$6:$G$405="")+(職員マスタ!$G$6:$G$405&lt;=EOMONTH($AO823,0)))&gt;0)*(((職員マスタ!$H$6:$H$405="")+(職員マスタ!$H$6:$H$405&gt;=$AO823))&gt;0)*(ROW(職員マスタ!$A$6:$A$405)-5))),IFERROR(MATCH($B823,職員マスタ!$A$6:$A$405,0),"")))</f>
        <v/>
      </c>
      <c r="AO823" s="16">
        <f>IF(OR($B823="",$C823="",$D823=""),"",DATE($C823+2018,$D823,1))</f>
        <v/>
      </c>
    </row>
    <row r="824">
      <c r="A824" s="11" t="n"/>
      <c r="B824" s="12" t="n"/>
      <c r="C824" s="12" t="n"/>
      <c r="D824" s="12" t="n"/>
      <c r="E824" s="13" t="n"/>
      <c r="F824" s="12" t="n"/>
      <c r="G824" s="13" t="n"/>
      <c r="H824" s="12" t="n"/>
      <c r="I824" s="12" t="n"/>
      <c r="J824" s="12" t="n"/>
      <c r="K824" s="12" t="n"/>
      <c r="L824" s="11" t="n"/>
      <c r="M824" s="11" t="n"/>
      <c r="N824" s="11" t="n"/>
      <c r="O824" s="11" t="n"/>
      <c r="P824" s="12" t="n"/>
      <c r="Q824" s="11" t="n"/>
      <c r="R824" s="12" t="n"/>
      <c r="S824" s="11" t="n"/>
      <c r="T824" s="12" t="n"/>
      <c r="U824" s="12" t="n"/>
      <c r="V824" s="14">
        <f>IF($AN824="",IF($B824="","",$H824),IF(INDEX(職員マスタ!$B$6:$B$405,$AN824)="",$H824,INDEX(職員マスタ!$B$6:$B$405,$AN824)))</f>
        <v/>
      </c>
      <c r="W824" s="14">
        <f>IF($AN824="",IF($B824="","",$R824),IF(INDEX(職員マスタ!$C$6:$C$405,$AN824)="",$R824,INDEX(職員マスタ!$C$6:$C$405,$AN824)))</f>
        <v/>
      </c>
      <c r="X824" s="14">
        <f>IF($AO824="","","R"&amp;$C824&amp;"."&amp;$D824)</f>
        <v/>
      </c>
      <c r="Y824" s="15">
        <f>IF($AN824="","",IF(INDEX(職員マスタ!$K$6:$K$405,$AN824)="","",INDEX(職員マスタ!$K$6:$K$405,$AN824)))</f>
        <v/>
      </c>
      <c r="Z824" s="14">
        <f>IF(OR($E824="",$Y824=""),"",IF($E824&gt;=$Y824,"×",IF($E824&gt;=$Y824*設定!$C$5,"△","○")))</f>
        <v/>
      </c>
      <c r="AA824" s="15">
        <f>IF($Z824="","",IF($Z824="×",0,IF($Z824="○",ROUNDDOWN($E824*設定!$C$4,0),ROUNDDOWN($E824*ROUND((9*$Y824-9*$E824)/(10*$E824),4),0))))</f>
        <v/>
      </c>
      <c r="AB824" s="13" t="n"/>
      <c r="AC824" s="15">
        <f>IF($B824="","",IF($AB824&lt;&gt;"",$AB824,IF($AA824="","",IF($AA824&lt;=設定!$C$3,0,$AA824))))</f>
        <v/>
      </c>
      <c r="AD824" s="14">
        <f>IF($B824="","",IF(AND($AE824&lt;&gt;"",$AG824="",$AJ824=""),"保留中",IF($AJ824&lt;&gt;"",IF(N($AC824)&gt;0,"支給済","不支給"),IF($AC824="","要確認",IF($AC824=0,"不支給","未処理")))))</f>
        <v/>
      </c>
      <c r="AE824" s="12" t="n"/>
      <c r="AF824" s="11" t="n"/>
      <c r="AG824" s="11" t="n"/>
      <c r="AH824" s="11" t="n"/>
      <c r="AI824" s="14">
        <f>IF(AND($AD824="保留中",$AF824&lt;&gt;""),TODAY()-$AF824,"")</f>
        <v/>
      </c>
      <c r="AJ824" s="12" t="n"/>
      <c r="AK824" s="14">
        <f>IF($B824="","",IF($AO824="","対象年月が未入力／","")&amp;IF($B824="","",IF($AN824="","職員マスタに未登録の職員番号／",IF($Y824="","標準報酬月額が未登録／","")&amp;IF(AND($AO824&lt;&gt;"",OR(AND(INDEX(職員マスタ!$G$6:$G$405,$AN824)&lt;&gt;"",INDEX(職員マスタ!$G$6:$G$405,$AN824)&gt;EOMONTH($AO824,0)),AND(INDEX(職員マスタ!$H$6:$H$405,$AN824)&lt;&gt;"",INDEX(職員マスタ!$H$6:$H$405,$AN824)&lt;$AO824))),"対象月が時短期間外／","")&amp;IF(AND(INDEX(職員マスタ!$F$6:$F$405,$AN824)&lt;&gt;"",$AO824&lt;&gt;"",INDEX(職員マスタ!$F$6:$F$405,$AN824)&lt;$AO824),"対象月に子が2歳到達済／","")&amp;IF(AND($H824&lt;&gt;"",INDEX(職員マスタ!$B$6:$B$405,$AN824)&lt;&gt;"",SUBSTITUTE(SUBSTITUTE($H824," ","")," ","")&lt;&gt;SUBSTITUTE(SUBSTITUTE(INDEX(職員マスタ!$B$6:$B$405,$AN824)," ","")," ","")),"氏名がマスタと相違／","")&amp;IF(AND($Q824&lt;&gt;"",INDEX(職員マスタ!$E$6:$E$405,$AN824)&lt;&gt;"",$Q824&lt;&gt;INDEX(職員マスタ!$E$6:$E$405,$AN824)),"子の生年月日がマスタと相違／","")&amp;IF(AND($L824&lt;&gt;"",INDEX(職員マスタ!$G$6:$G$405,$AN824)&lt;&gt;"",$L824&lt;&gt;INDEX(職員マスタ!$G$6:$G$405,$AN824)),"時短開始日がマスタと相違／","")&amp;IF(AND($M824&lt;&gt;"",INDEX(職員マスタ!$H$6:$H$405,$AN824)&lt;&gt;"",$M824&lt;&gt;INDEX(職員マスタ!$H$6:$H$405,$AN824)),"時短終了日がマスタと相違／","")))&amp;IF(AND($B824&lt;&gt;"",$E824=""),"報酬額が未入力／","")&amp;IF(N($U824)&gt;0,"申請書に入力エラーが残っています／","")&amp;IF(AND($B824&lt;&gt;"",$AO824&lt;&gt;""),IF(COUNTIFS($B$6:$B$3005,$B824,$C$6:$C$3005,$C824,$D$6:$D$3005,$D824)&gt;1,"同じ月の請求が重複しています／",""),"")&amp;IF(AND(N($E824)&gt;0,$Z824&lt;&gt;"",$Z824&lt;&gt;"×",$AC824=0,$AB824=""),"計算額が下限以下のため不支給／",""))</f>
        <v/>
      </c>
      <c r="AL824" s="12" t="n"/>
      <c r="AM824" s="14">
        <f>IF($AD824="保留中",COUNTIF($AD$6:$AD824,"保留中"),"")</f>
        <v/>
      </c>
      <c r="AN824" s="14">
        <f>IF($AO824="","",IF(SUMPRODUCT(MAX((職員マスタ!$A$6:$A$405=$B824)*(((職員マスタ!$G$6:$G$405="")+(職員マスタ!$G$6:$G$405&lt;=EOMONTH($AO824,0)))&gt;0)*(((職員マスタ!$H$6:$H$405="")+(職員マスタ!$H$6:$H$405&gt;=$AO824))&gt;0)*(ROW(職員マスタ!$A$6:$A$405)-5)))&gt;0,SUMPRODUCT(MAX((職員マスタ!$A$6:$A$405=$B824)*(((職員マスタ!$G$6:$G$405="")+(職員マスタ!$G$6:$G$405&lt;=EOMONTH($AO824,0)))&gt;0)*(((職員マスタ!$H$6:$H$405="")+(職員マスタ!$H$6:$H$405&gt;=$AO824))&gt;0)*(ROW(職員マスタ!$A$6:$A$405)-5))),IFERROR(MATCH($B824,職員マスタ!$A$6:$A$405,0),"")))</f>
        <v/>
      </c>
      <c r="AO824" s="16">
        <f>IF(OR($B824="",$C824="",$D824=""),"",DATE($C824+2018,$D824,1))</f>
        <v/>
      </c>
    </row>
    <row r="825">
      <c r="A825" s="11" t="n"/>
      <c r="B825" s="12" t="n"/>
      <c r="C825" s="12" t="n"/>
      <c r="D825" s="12" t="n"/>
      <c r="E825" s="13" t="n"/>
      <c r="F825" s="12" t="n"/>
      <c r="G825" s="13" t="n"/>
      <c r="H825" s="12" t="n"/>
      <c r="I825" s="12" t="n"/>
      <c r="J825" s="12" t="n"/>
      <c r="K825" s="12" t="n"/>
      <c r="L825" s="11" t="n"/>
      <c r="M825" s="11" t="n"/>
      <c r="N825" s="11" t="n"/>
      <c r="O825" s="11" t="n"/>
      <c r="P825" s="12" t="n"/>
      <c r="Q825" s="11" t="n"/>
      <c r="R825" s="12" t="n"/>
      <c r="S825" s="11" t="n"/>
      <c r="T825" s="12" t="n"/>
      <c r="U825" s="12" t="n"/>
      <c r="V825" s="14">
        <f>IF($AN825="",IF($B825="","",$H825),IF(INDEX(職員マスタ!$B$6:$B$405,$AN825)="",$H825,INDEX(職員マスタ!$B$6:$B$405,$AN825)))</f>
        <v/>
      </c>
      <c r="W825" s="14">
        <f>IF($AN825="",IF($B825="","",$R825),IF(INDEX(職員マスタ!$C$6:$C$405,$AN825)="",$R825,INDEX(職員マスタ!$C$6:$C$405,$AN825)))</f>
        <v/>
      </c>
      <c r="X825" s="14">
        <f>IF($AO825="","","R"&amp;$C825&amp;"."&amp;$D825)</f>
        <v/>
      </c>
      <c r="Y825" s="15">
        <f>IF($AN825="","",IF(INDEX(職員マスタ!$K$6:$K$405,$AN825)="","",INDEX(職員マスタ!$K$6:$K$405,$AN825)))</f>
        <v/>
      </c>
      <c r="Z825" s="14">
        <f>IF(OR($E825="",$Y825=""),"",IF($E825&gt;=$Y825,"×",IF($E825&gt;=$Y825*設定!$C$5,"△","○")))</f>
        <v/>
      </c>
      <c r="AA825" s="15">
        <f>IF($Z825="","",IF($Z825="×",0,IF($Z825="○",ROUNDDOWN($E825*設定!$C$4,0),ROUNDDOWN($E825*ROUND((9*$Y825-9*$E825)/(10*$E825),4),0))))</f>
        <v/>
      </c>
      <c r="AB825" s="13" t="n"/>
      <c r="AC825" s="15">
        <f>IF($B825="","",IF($AB825&lt;&gt;"",$AB825,IF($AA825="","",IF($AA825&lt;=設定!$C$3,0,$AA825))))</f>
        <v/>
      </c>
      <c r="AD825" s="14">
        <f>IF($B825="","",IF(AND($AE825&lt;&gt;"",$AG825="",$AJ825=""),"保留中",IF($AJ825&lt;&gt;"",IF(N($AC825)&gt;0,"支給済","不支給"),IF($AC825="","要確認",IF($AC825=0,"不支給","未処理")))))</f>
        <v/>
      </c>
      <c r="AE825" s="12" t="n"/>
      <c r="AF825" s="11" t="n"/>
      <c r="AG825" s="11" t="n"/>
      <c r="AH825" s="11" t="n"/>
      <c r="AI825" s="14">
        <f>IF(AND($AD825="保留中",$AF825&lt;&gt;""),TODAY()-$AF825,"")</f>
        <v/>
      </c>
      <c r="AJ825" s="12" t="n"/>
      <c r="AK825" s="14">
        <f>IF($B825="","",IF($AO825="","対象年月が未入力／","")&amp;IF($B825="","",IF($AN825="","職員マスタに未登録の職員番号／",IF($Y825="","標準報酬月額が未登録／","")&amp;IF(AND($AO825&lt;&gt;"",OR(AND(INDEX(職員マスタ!$G$6:$G$405,$AN825)&lt;&gt;"",INDEX(職員マスタ!$G$6:$G$405,$AN825)&gt;EOMONTH($AO825,0)),AND(INDEX(職員マスタ!$H$6:$H$405,$AN825)&lt;&gt;"",INDEX(職員マスタ!$H$6:$H$405,$AN825)&lt;$AO825))),"対象月が時短期間外／","")&amp;IF(AND(INDEX(職員マスタ!$F$6:$F$405,$AN825)&lt;&gt;"",$AO825&lt;&gt;"",INDEX(職員マスタ!$F$6:$F$405,$AN825)&lt;$AO825),"対象月に子が2歳到達済／","")&amp;IF(AND($H825&lt;&gt;"",INDEX(職員マスタ!$B$6:$B$405,$AN825)&lt;&gt;"",SUBSTITUTE(SUBSTITUTE($H825," ","")," ","")&lt;&gt;SUBSTITUTE(SUBSTITUTE(INDEX(職員マスタ!$B$6:$B$405,$AN825)," ","")," ","")),"氏名がマスタと相違／","")&amp;IF(AND($Q825&lt;&gt;"",INDEX(職員マスタ!$E$6:$E$405,$AN825)&lt;&gt;"",$Q825&lt;&gt;INDEX(職員マスタ!$E$6:$E$405,$AN825)),"子の生年月日がマスタと相違／","")&amp;IF(AND($L825&lt;&gt;"",INDEX(職員マスタ!$G$6:$G$405,$AN825)&lt;&gt;"",$L825&lt;&gt;INDEX(職員マスタ!$G$6:$G$405,$AN825)),"時短開始日がマスタと相違／","")&amp;IF(AND($M825&lt;&gt;"",INDEX(職員マスタ!$H$6:$H$405,$AN825)&lt;&gt;"",$M825&lt;&gt;INDEX(職員マスタ!$H$6:$H$405,$AN825)),"時短終了日がマスタと相違／","")))&amp;IF(AND($B825&lt;&gt;"",$E825=""),"報酬額が未入力／","")&amp;IF(N($U825)&gt;0,"申請書に入力エラーが残っています／","")&amp;IF(AND($B825&lt;&gt;"",$AO825&lt;&gt;""),IF(COUNTIFS($B$6:$B$3005,$B825,$C$6:$C$3005,$C825,$D$6:$D$3005,$D825)&gt;1,"同じ月の請求が重複しています／",""),"")&amp;IF(AND(N($E825)&gt;0,$Z825&lt;&gt;"",$Z825&lt;&gt;"×",$AC825=0,$AB825=""),"計算額が下限以下のため不支給／",""))</f>
        <v/>
      </c>
      <c r="AL825" s="12" t="n"/>
      <c r="AM825" s="14">
        <f>IF($AD825="保留中",COUNTIF($AD$6:$AD825,"保留中"),"")</f>
        <v/>
      </c>
      <c r="AN825" s="14">
        <f>IF($AO825="","",IF(SUMPRODUCT(MAX((職員マスタ!$A$6:$A$405=$B825)*(((職員マスタ!$G$6:$G$405="")+(職員マスタ!$G$6:$G$405&lt;=EOMONTH($AO825,0)))&gt;0)*(((職員マスタ!$H$6:$H$405="")+(職員マスタ!$H$6:$H$405&gt;=$AO825))&gt;0)*(ROW(職員マスタ!$A$6:$A$405)-5)))&gt;0,SUMPRODUCT(MAX((職員マスタ!$A$6:$A$405=$B825)*(((職員マスタ!$G$6:$G$405="")+(職員マスタ!$G$6:$G$405&lt;=EOMONTH($AO825,0)))&gt;0)*(((職員マスタ!$H$6:$H$405="")+(職員マスタ!$H$6:$H$405&gt;=$AO825))&gt;0)*(ROW(職員マスタ!$A$6:$A$405)-5))),IFERROR(MATCH($B825,職員マスタ!$A$6:$A$405,0),"")))</f>
        <v/>
      </c>
      <c r="AO825" s="16">
        <f>IF(OR($B825="",$C825="",$D825=""),"",DATE($C825+2018,$D825,1))</f>
        <v/>
      </c>
    </row>
    <row r="826">
      <c r="A826" s="11" t="n"/>
      <c r="B826" s="12" t="n"/>
      <c r="C826" s="12" t="n"/>
      <c r="D826" s="12" t="n"/>
      <c r="E826" s="13" t="n"/>
      <c r="F826" s="12" t="n"/>
      <c r="G826" s="13" t="n"/>
      <c r="H826" s="12" t="n"/>
      <c r="I826" s="12" t="n"/>
      <c r="J826" s="12" t="n"/>
      <c r="K826" s="12" t="n"/>
      <c r="L826" s="11" t="n"/>
      <c r="M826" s="11" t="n"/>
      <c r="N826" s="11" t="n"/>
      <c r="O826" s="11" t="n"/>
      <c r="P826" s="12" t="n"/>
      <c r="Q826" s="11" t="n"/>
      <c r="R826" s="12" t="n"/>
      <c r="S826" s="11" t="n"/>
      <c r="T826" s="12" t="n"/>
      <c r="U826" s="12" t="n"/>
      <c r="V826" s="14">
        <f>IF($AN826="",IF($B826="","",$H826),IF(INDEX(職員マスタ!$B$6:$B$405,$AN826)="",$H826,INDEX(職員マスタ!$B$6:$B$405,$AN826)))</f>
        <v/>
      </c>
      <c r="W826" s="14">
        <f>IF($AN826="",IF($B826="","",$R826),IF(INDEX(職員マスタ!$C$6:$C$405,$AN826)="",$R826,INDEX(職員マスタ!$C$6:$C$405,$AN826)))</f>
        <v/>
      </c>
      <c r="X826" s="14">
        <f>IF($AO826="","","R"&amp;$C826&amp;"."&amp;$D826)</f>
        <v/>
      </c>
      <c r="Y826" s="15">
        <f>IF($AN826="","",IF(INDEX(職員マスタ!$K$6:$K$405,$AN826)="","",INDEX(職員マスタ!$K$6:$K$405,$AN826)))</f>
        <v/>
      </c>
      <c r="Z826" s="14">
        <f>IF(OR($E826="",$Y826=""),"",IF($E826&gt;=$Y826,"×",IF($E826&gt;=$Y826*設定!$C$5,"△","○")))</f>
        <v/>
      </c>
      <c r="AA826" s="15">
        <f>IF($Z826="","",IF($Z826="×",0,IF($Z826="○",ROUNDDOWN($E826*設定!$C$4,0),ROUNDDOWN($E826*ROUND((9*$Y826-9*$E826)/(10*$E826),4),0))))</f>
        <v/>
      </c>
      <c r="AB826" s="13" t="n"/>
      <c r="AC826" s="15">
        <f>IF($B826="","",IF($AB826&lt;&gt;"",$AB826,IF($AA826="","",IF($AA826&lt;=設定!$C$3,0,$AA826))))</f>
        <v/>
      </c>
      <c r="AD826" s="14">
        <f>IF($B826="","",IF(AND($AE826&lt;&gt;"",$AG826="",$AJ826=""),"保留中",IF($AJ826&lt;&gt;"",IF(N($AC826)&gt;0,"支給済","不支給"),IF($AC826="","要確認",IF($AC826=0,"不支給","未処理")))))</f>
        <v/>
      </c>
      <c r="AE826" s="12" t="n"/>
      <c r="AF826" s="11" t="n"/>
      <c r="AG826" s="11" t="n"/>
      <c r="AH826" s="11" t="n"/>
      <c r="AI826" s="14">
        <f>IF(AND($AD826="保留中",$AF826&lt;&gt;""),TODAY()-$AF826,"")</f>
        <v/>
      </c>
      <c r="AJ826" s="12" t="n"/>
      <c r="AK826" s="14">
        <f>IF($B826="","",IF($AO826="","対象年月が未入力／","")&amp;IF($B826="","",IF($AN826="","職員マスタに未登録の職員番号／",IF($Y826="","標準報酬月額が未登録／","")&amp;IF(AND($AO826&lt;&gt;"",OR(AND(INDEX(職員マスタ!$G$6:$G$405,$AN826)&lt;&gt;"",INDEX(職員マスタ!$G$6:$G$405,$AN826)&gt;EOMONTH($AO826,0)),AND(INDEX(職員マスタ!$H$6:$H$405,$AN826)&lt;&gt;"",INDEX(職員マスタ!$H$6:$H$405,$AN826)&lt;$AO826))),"対象月が時短期間外／","")&amp;IF(AND(INDEX(職員マスタ!$F$6:$F$405,$AN826)&lt;&gt;"",$AO826&lt;&gt;"",INDEX(職員マスタ!$F$6:$F$405,$AN826)&lt;$AO826),"対象月に子が2歳到達済／","")&amp;IF(AND($H826&lt;&gt;"",INDEX(職員マスタ!$B$6:$B$405,$AN826)&lt;&gt;"",SUBSTITUTE(SUBSTITUTE($H826," ","")," ","")&lt;&gt;SUBSTITUTE(SUBSTITUTE(INDEX(職員マスタ!$B$6:$B$405,$AN826)," ","")," ","")),"氏名がマスタと相違／","")&amp;IF(AND($Q826&lt;&gt;"",INDEX(職員マスタ!$E$6:$E$405,$AN826)&lt;&gt;"",$Q826&lt;&gt;INDEX(職員マスタ!$E$6:$E$405,$AN826)),"子の生年月日がマスタと相違／","")&amp;IF(AND($L826&lt;&gt;"",INDEX(職員マスタ!$G$6:$G$405,$AN826)&lt;&gt;"",$L826&lt;&gt;INDEX(職員マスタ!$G$6:$G$405,$AN826)),"時短開始日がマスタと相違／","")&amp;IF(AND($M826&lt;&gt;"",INDEX(職員マスタ!$H$6:$H$405,$AN826)&lt;&gt;"",$M826&lt;&gt;INDEX(職員マスタ!$H$6:$H$405,$AN826)),"時短終了日がマスタと相違／","")))&amp;IF(AND($B826&lt;&gt;"",$E826=""),"報酬額が未入力／","")&amp;IF(N($U826)&gt;0,"申請書に入力エラーが残っています／","")&amp;IF(AND($B826&lt;&gt;"",$AO826&lt;&gt;""),IF(COUNTIFS($B$6:$B$3005,$B826,$C$6:$C$3005,$C826,$D$6:$D$3005,$D826)&gt;1,"同じ月の請求が重複しています／",""),"")&amp;IF(AND(N($E826)&gt;0,$Z826&lt;&gt;"",$Z826&lt;&gt;"×",$AC826=0,$AB826=""),"計算額が下限以下のため不支給／",""))</f>
        <v/>
      </c>
      <c r="AL826" s="12" t="n"/>
      <c r="AM826" s="14">
        <f>IF($AD826="保留中",COUNTIF($AD$6:$AD826,"保留中"),"")</f>
        <v/>
      </c>
      <c r="AN826" s="14">
        <f>IF($AO826="","",IF(SUMPRODUCT(MAX((職員マスタ!$A$6:$A$405=$B826)*(((職員マスタ!$G$6:$G$405="")+(職員マスタ!$G$6:$G$405&lt;=EOMONTH($AO826,0)))&gt;0)*(((職員マスタ!$H$6:$H$405="")+(職員マスタ!$H$6:$H$405&gt;=$AO826))&gt;0)*(ROW(職員マスタ!$A$6:$A$405)-5)))&gt;0,SUMPRODUCT(MAX((職員マスタ!$A$6:$A$405=$B826)*(((職員マスタ!$G$6:$G$405="")+(職員マスタ!$G$6:$G$405&lt;=EOMONTH($AO826,0)))&gt;0)*(((職員マスタ!$H$6:$H$405="")+(職員マスタ!$H$6:$H$405&gt;=$AO826))&gt;0)*(ROW(職員マスタ!$A$6:$A$405)-5))),IFERROR(MATCH($B826,職員マスタ!$A$6:$A$405,0),"")))</f>
        <v/>
      </c>
      <c r="AO826" s="16">
        <f>IF(OR($B826="",$C826="",$D826=""),"",DATE($C826+2018,$D826,1))</f>
        <v/>
      </c>
    </row>
    <row r="827">
      <c r="A827" s="11" t="n"/>
      <c r="B827" s="12" t="n"/>
      <c r="C827" s="12" t="n"/>
      <c r="D827" s="12" t="n"/>
      <c r="E827" s="13" t="n"/>
      <c r="F827" s="12" t="n"/>
      <c r="G827" s="13" t="n"/>
      <c r="H827" s="12" t="n"/>
      <c r="I827" s="12" t="n"/>
      <c r="J827" s="12" t="n"/>
      <c r="K827" s="12" t="n"/>
      <c r="L827" s="11" t="n"/>
      <c r="M827" s="11" t="n"/>
      <c r="N827" s="11" t="n"/>
      <c r="O827" s="11" t="n"/>
      <c r="P827" s="12" t="n"/>
      <c r="Q827" s="11" t="n"/>
      <c r="R827" s="12" t="n"/>
      <c r="S827" s="11" t="n"/>
      <c r="T827" s="12" t="n"/>
      <c r="U827" s="12" t="n"/>
      <c r="V827" s="14">
        <f>IF($AN827="",IF($B827="","",$H827),IF(INDEX(職員マスタ!$B$6:$B$405,$AN827)="",$H827,INDEX(職員マスタ!$B$6:$B$405,$AN827)))</f>
        <v/>
      </c>
      <c r="W827" s="14">
        <f>IF($AN827="",IF($B827="","",$R827),IF(INDEX(職員マスタ!$C$6:$C$405,$AN827)="",$R827,INDEX(職員マスタ!$C$6:$C$405,$AN827)))</f>
        <v/>
      </c>
      <c r="X827" s="14">
        <f>IF($AO827="","","R"&amp;$C827&amp;"."&amp;$D827)</f>
        <v/>
      </c>
      <c r="Y827" s="15">
        <f>IF($AN827="","",IF(INDEX(職員マスタ!$K$6:$K$405,$AN827)="","",INDEX(職員マスタ!$K$6:$K$405,$AN827)))</f>
        <v/>
      </c>
      <c r="Z827" s="14">
        <f>IF(OR($E827="",$Y827=""),"",IF($E827&gt;=$Y827,"×",IF($E827&gt;=$Y827*設定!$C$5,"△","○")))</f>
        <v/>
      </c>
      <c r="AA827" s="15">
        <f>IF($Z827="","",IF($Z827="×",0,IF($Z827="○",ROUNDDOWN($E827*設定!$C$4,0),ROUNDDOWN($E827*ROUND((9*$Y827-9*$E827)/(10*$E827),4),0))))</f>
        <v/>
      </c>
      <c r="AB827" s="13" t="n"/>
      <c r="AC827" s="15">
        <f>IF($B827="","",IF($AB827&lt;&gt;"",$AB827,IF($AA827="","",IF($AA827&lt;=設定!$C$3,0,$AA827))))</f>
        <v/>
      </c>
      <c r="AD827" s="14">
        <f>IF($B827="","",IF(AND($AE827&lt;&gt;"",$AG827="",$AJ827=""),"保留中",IF($AJ827&lt;&gt;"",IF(N($AC827)&gt;0,"支給済","不支給"),IF($AC827="","要確認",IF($AC827=0,"不支給","未処理")))))</f>
        <v/>
      </c>
      <c r="AE827" s="12" t="n"/>
      <c r="AF827" s="11" t="n"/>
      <c r="AG827" s="11" t="n"/>
      <c r="AH827" s="11" t="n"/>
      <c r="AI827" s="14">
        <f>IF(AND($AD827="保留中",$AF827&lt;&gt;""),TODAY()-$AF827,"")</f>
        <v/>
      </c>
      <c r="AJ827" s="12" t="n"/>
      <c r="AK827" s="14">
        <f>IF($B827="","",IF($AO827="","対象年月が未入力／","")&amp;IF($B827="","",IF($AN827="","職員マスタに未登録の職員番号／",IF($Y827="","標準報酬月額が未登録／","")&amp;IF(AND($AO827&lt;&gt;"",OR(AND(INDEX(職員マスタ!$G$6:$G$405,$AN827)&lt;&gt;"",INDEX(職員マスタ!$G$6:$G$405,$AN827)&gt;EOMONTH($AO827,0)),AND(INDEX(職員マスタ!$H$6:$H$405,$AN827)&lt;&gt;"",INDEX(職員マスタ!$H$6:$H$405,$AN827)&lt;$AO827))),"対象月が時短期間外／","")&amp;IF(AND(INDEX(職員マスタ!$F$6:$F$405,$AN827)&lt;&gt;"",$AO827&lt;&gt;"",INDEX(職員マスタ!$F$6:$F$405,$AN827)&lt;$AO827),"対象月に子が2歳到達済／","")&amp;IF(AND($H827&lt;&gt;"",INDEX(職員マスタ!$B$6:$B$405,$AN827)&lt;&gt;"",SUBSTITUTE(SUBSTITUTE($H827," ","")," ","")&lt;&gt;SUBSTITUTE(SUBSTITUTE(INDEX(職員マスタ!$B$6:$B$405,$AN827)," ","")," ","")),"氏名がマスタと相違／","")&amp;IF(AND($Q827&lt;&gt;"",INDEX(職員マスタ!$E$6:$E$405,$AN827)&lt;&gt;"",$Q827&lt;&gt;INDEX(職員マスタ!$E$6:$E$405,$AN827)),"子の生年月日がマスタと相違／","")&amp;IF(AND($L827&lt;&gt;"",INDEX(職員マスタ!$G$6:$G$405,$AN827)&lt;&gt;"",$L827&lt;&gt;INDEX(職員マスタ!$G$6:$G$405,$AN827)),"時短開始日がマスタと相違／","")&amp;IF(AND($M827&lt;&gt;"",INDEX(職員マスタ!$H$6:$H$405,$AN827)&lt;&gt;"",$M827&lt;&gt;INDEX(職員マスタ!$H$6:$H$405,$AN827)),"時短終了日がマスタと相違／","")))&amp;IF(AND($B827&lt;&gt;"",$E827=""),"報酬額が未入力／","")&amp;IF(N($U827)&gt;0,"申請書に入力エラーが残っています／","")&amp;IF(AND($B827&lt;&gt;"",$AO827&lt;&gt;""),IF(COUNTIFS($B$6:$B$3005,$B827,$C$6:$C$3005,$C827,$D$6:$D$3005,$D827)&gt;1,"同じ月の請求が重複しています／",""),"")&amp;IF(AND(N($E827)&gt;0,$Z827&lt;&gt;"",$Z827&lt;&gt;"×",$AC827=0,$AB827=""),"計算額が下限以下のため不支給／",""))</f>
        <v/>
      </c>
      <c r="AL827" s="12" t="n"/>
      <c r="AM827" s="14">
        <f>IF($AD827="保留中",COUNTIF($AD$6:$AD827,"保留中"),"")</f>
        <v/>
      </c>
      <c r="AN827" s="14">
        <f>IF($AO827="","",IF(SUMPRODUCT(MAX((職員マスタ!$A$6:$A$405=$B827)*(((職員マスタ!$G$6:$G$405="")+(職員マスタ!$G$6:$G$405&lt;=EOMONTH($AO827,0)))&gt;0)*(((職員マスタ!$H$6:$H$405="")+(職員マスタ!$H$6:$H$405&gt;=$AO827))&gt;0)*(ROW(職員マスタ!$A$6:$A$405)-5)))&gt;0,SUMPRODUCT(MAX((職員マスタ!$A$6:$A$405=$B827)*(((職員マスタ!$G$6:$G$405="")+(職員マスタ!$G$6:$G$405&lt;=EOMONTH($AO827,0)))&gt;0)*(((職員マスタ!$H$6:$H$405="")+(職員マスタ!$H$6:$H$405&gt;=$AO827))&gt;0)*(ROW(職員マスタ!$A$6:$A$405)-5))),IFERROR(MATCH($B827,職員マスタ!$A$6:$A$405,0),"")))</f>
        <v/>
      </c>
      <c r="AO827" s="16">
        <f>IF(OR($B827="",$C827="",$D827=""),"",DATE($C827+2018,$D827,1))</f>
        <v/>
      </c>
    </row>
    <row r="828">
      <c r="A828" s="11" t="n"/>
      <c r="B828" s="12" t="n"/>
      <c r="C828" s="12" t="n"/>
      <c r="D828" s="12" t="n"/>
      <c r="E828" s="13" t="n"/>
      <c r="F828" s="12" t="n"/>
      <c r="G828" s="13" t="n"/>
      <c r="H828" s="12" t="n"/>
      <c r="I828" s="12" t="n"/>
      <c r="J828" s="12" t="n"/>
      <c r="K828" s="12" t="n"/>
      <c r="L828" s="11" t="n"/>
      <c r="M828" s="11" t="n"/>
      <c r="N828" s="11" t="n"/>
      <c r="O828" s="11" t="n"/>
      <c r="P828" s="12" t="n"/>
      <c r="Q828" s="11" t="n"/>
      <c r="R828" s="12" t="n"/>
      <c r="S828" s="11" t="n"/>
      <c r="T828" s="12" t="n"/>
      <c r="U828" s="12" t="n"/>
      <c r="V828" s="14">
        <f>IF($AN828="",IF($B828="","",$H828),IF(INDEX(職員マスタ!$B$6:$B$405,$AN828)="",$H828,INDEX(職員マスタ!$B$6:$B$405,$AN828)))</f>
        <v/>
      </c>
      <c r="W828" s="14">
        <f>IF($AN828="",IF($B828="","",$R828),IF(INDEX(職員マスタ!$C$6:$C$405,$AN828)="",$R828,INDEX(職員マスタ!$C$6:$C$405,$AN828)))</f>
        <v/>
      </c>
      <c r="X828" s="14">
        <f>IF($AO828="","","R"&amp;$C828&amp;"."&amp;$D828)</f>
        <v/>
      </c>
      <c r="Y828" s="15">
        <f>IF($AN828="","",IF(INDEX(職員マスタ!$K$6:$K$405,$AN828)="","",INDEX(職員マスタ!$K$6:$K$405,$AN828)))</f>
        <v/>
      </c>
      <c r="Z828" s="14">
        <f>IF(OR($E828="",$Y828=""),"",IF($E828&gt;=$Y828,"×",IF($E828&gt;=$Y828*設定!$C$5,"△","○")))</f>
        <v/>
      </c>
      <c r="AA828" s="15">
        <f>IF($Z828="","",IF($Z828="×",0,IF($Z828="○",ROUNDDOWN($E828*設定!$C$4,0),ROUNDDOWN($E828*ROUND((9*$Y828-9*$E828)/(10*$E828),4),0))))</f>
        <v/>
      </c>
      <c r="AB828" s="13" t="n"/>
      <c r="AC828" s="15">
        <f>IF($B828="","",IF($AB828&lt;&gt;"",$AB828,IF($AA828="","",IF($AA828&lt;=設定!$C$3,0,$AA828))))</f>
        <v/>
      </c>
      <c r="AD828" s="14">
        <f>IF($B828="","",IF(AND($AE828&lt;&gt;"",$AG828="",$AJ828=""),"保留中",IF($AJ828&lt;&gt;"",IF(N($AC828)&gt;0,"支給済","不支給"),IF($AC828="","要確認",IF($AC828=0,"不支給","未処理")))))</f>
        <v/>
      </c>
      <c r="AE828" s="12" t="n"/>
      <c r="AF828" s="11" t="n"/>
      <c r="AG828" s="11" t="n"/>
      <c r="AH828" s="11" t="n"/>
      <c r="AI828" s="14">
        <f>IF(AND($AD828="保留中",$AF828&lt;&gt;""),TODAY()-$AF828,"")</f>
        <v/>
      </c>
      <c r="AJ828" s="12" t="n"/>
      <c r="AK828" s="14">
        <f>IF($B828="","",IF($AO828="","対象年月が未入力／","")&amp;IF($B828="","",IF($AN828="","職員マスタに未登録の職員番号／",IF($Y828="","標準報酬月額が未登録／","")&amp;IF(AND($AO828&lt;&gt;"",OR(AND(INDEX(職員マスタ!$G$6:$G$405,$AN828)&lt;&gt;"",INDEX(職員マスタ!$G$6:$G$405,$AN828)&gt;EOMONTH($AO828,0)),AND(INDEX(職員マスタ!$H$6:$H$405,$AN828)&lt;&gt;"",INDEX(職員マスタ!$H$6:$H$405,$AN828)&lt;$AO828))),"対象月が時短期間外／","")&amp;IF(AND(INDEX(職員マスタ!$F$6:$F$405,$AN828)&lt;&gt;"",$AO828&lt;&gt;"",INDEX(職員マスタ!$F$6:$F$405,$AN828)&lt;$AO828),"対象月に子が2歳到達済／","")&amp;IF(AND($H828&lt;&gt;"",INDEX(職員マスタ!$B$6:$B$405,$AN828)&lt;&gt;"",SUBSTITUTE(SUBSTITUTE($H828," ","")," ","")&lt;&gt;SUBSTITUTE(SUBSTITUTE(INDEX(職員マスタ!$B$6:$B$405,$AN828)," ","")," ","")),"氏名がマスタと相違／","")&amp;IF(AND($Q828&lt;&gt;"",INDEX(職員マスタ!$E$6:$E$405,$AN828)&lt;&gt;"",$Q828&lt;&gt;INDEX(職員マスタ!$E$6:$E$405,$AN828)),"子の生年月日がマスタと相違／","")&amp;IF(AND($L828&lt;&gt;"",INDEX(職員マスタ!$G$6:$G$405,$AN828)&lt;&gt;"",$L828&lt;&gt;INDEX(職員マスタ!$G$6:$G$405,$AN828)),"時短開始日がマスタと相違／","")&amp;IF(AND($M828&lt;&gt;"",INDEX(職員マスタ!$H$6:$H$405,$AN828)&lt;&gt;"",$M828&lt;&gt;INDEX(職員マスタ!$H$6:$H$405,$AN828)),"時短終了日がマスタと相違／","")))&amp;IF(AND($B828&lt;&gt;"",$E828=""),"報酬額が未入力／","")&amp;IF(N($U828)&gt;0,"申請書に入力エラーが残っています／","")&amp;IF(AND($B828&lt;&gt;"",$AO828&lt;&gt;""),IF(COUNTIFS($B$6:$B$3005,$B828,$C$6:$C$3005,$C828,$D$6:$D$3005,$D828)&gt;1,"同じ月の請求が重複しています／",""),"")&amp;IF(AND(N($E828)&gt;0,$Z828&lt;&gt;"",$Z828&lt;&gt;"×",$AC828=0,$AB828=""),"計算額が下限以下のため不支給／",""))</f>
        <v/>
      </c>
      <c r="AL828" s="12" t="n"/>
      <c r="AM828" s="14">
        <f>IF($AD828="保留中",COUNTIF($AD$6:$AD828,"保留中"),"")</f>
        <v/>
      </c>
      <c r="AN828" s="14">
        <f>IF($AO828="","",IF(SUMPRODUCT(MAX((職員マスタ!$A$6:$A$405=$B828)*(((職員マスタ!$G$6:$G$405="")+(職員マスタ!$G$6:$G$405&lt;=EOMONTH($AO828,0)))&gt;0)*(((職員マスタ!$H$6:$H$405="")+(職員マスタ!$H$6:$H$405&gt;=$AO828))&gt;0)*(ROW(職員マスタ!$A$6:$A$405)-5)))&gt;0,SUMPRODUCT(MAX((職員マスタ!$A$6:$A$405=$B828)*(((職員マスタ!$G$6:$G$405="")+(職員マスタ!$G$6:$G$405&lt;=EOMONTH($AO828,0)))&gt;0)*(((職員マスタ!$H$6:$H$405="")+(職員マスタ!$H$6:$H$405&gt;=$AO828))&gt;0)*(ROW(職員マスタ!$A$6:$A$405)-5))),IFERROR(MATCH($B828,職員マスタ!$A$6:$A$405,0),"")))</f>
        <v/>
      </c>
      <c r="AO828" s="16">
        <f>IF(OR($B828="",$C828="",$D828=""),"",DATE($C828+2018,$D828,1))</f>
        <v/>
      </c>
    </row>
    <row r="829">
      <c r="A829" s="11" t="n"/>
      <c r="B829" s="12" t="n"/>
      <c r="C829" s="12" t="n"/>
      <c r="D829" s="12" t="n"/>
      <c r="E829" s="13" t="n"/>
      <c r="F829" s="12" t="n"/>
      <c r="G829" s="13" t="n"/>
      <c r="H829" s="12" t="n"/>
      <c r="I829" s="12" t="n"/>
      <c r="J829" s="12" t="n"/>
      <c r="K829" s="12" t="n"/>
      <c r="L829" s="11" t="n"/>
      <c r="M829" s="11" t="n"/>
      <c r="N829" s="11" t="n"/>
      <c r="O829" s="11" t="n"/>
      <c r="P829" s="12" t="n"/>
      <c r="Q829" s="11" t="n"/>
      <c r="R829" s="12" t="n"/>
      <c r="S829" s="11" t="n"/>
      <c r="T829" s="12" t="n"/>
      <c r="U829" s="12" t="n"/>
      <c r="V829" s="14">
        <f>IF($AN829="",IF($B829="","",$H829),IF(INDEX(職員マスタ!$B$6:$B$405,$AN829)="",$H829,INDEX(職員マスタ!$B$6:$B$405,$AN829)))</f>
        <v/>
      </c>
      <c r="W829" s="14">
        <f>IF($AN829="",IF($B829="","",$R829),IF(INDEX(職員マスタ!$C$6:$C$405,$AN829)="",$R829,INDEX(職員マスタ!$C$6:$C$405,$AN829)))</f>
        <v/>
      </c>
      <c r="X829" s="14">
        <f>IF($AO829="","","R"&amp;$C829&amp;"."&amp;$D829)</f>
        <v/>
      </c>
      <c r="Y829" s="15">
        <f>IF($AN829="","",IF(INDEX(職員マスタ!$K$6:$K$405,$AN829)="","",INDEX(職員マスタ!$K$6:$K$405,$AN829)))</f>
        <v/>
      </c>
      <c r="Z829" s="14">
        <f>IF(OR($E829="",$Y829=""),"",IF($E829&gt;=$Y829,"×",IF($E829&gt;=$Y829*設定!$C$5,"△","○")))</f>
        <v/>
      </c>
      <c r="AA829" s="15">
        <f>IF($Z829="","",IF($Z829="×",0,IF($Z829="○",ROUNDDOWN($E829*設定!$C$4,0),ROUNDDOWN($E829*ROUND((9*$Y829-9*$E829)/(10*$E829),4),0))))</f>
        <v/>
      </c>
      <c r="AB829" s="13" t="n"/>
      <c r="AC829" s="15">
        <f>IF($B829="","",IF($AB829&lt;&gt;"",$AB829,IF($AA829="","",IF($AA829&lt;=設定!$C$3,0,$AA829))))</f>
        <v/>
      </c>
      <c r="AD829" s="14">
        <f>IF($B829="","",IF(AND($AE829&lt;&gt;"",$AG829="",$AJ829=""),"保留中",IF($AJ829&lt;&gt;"",IF(N($AC829)&gt;0,"支給済","不支給"),IF($AC829="","要確認",IF($AC829=0,"不支給","未処理")))))</f>
        <v/>
      </c>
      <c r="AE829" s="12" t="n"/>
      <c r="AF829" s="11" t="n"/>
      <c r="AG829" s="11" t="n"/>
      <c r="AH829" s="11" t="n"/>
      <c r="AI829" s="14">
        <f>IF(AND($AD829="保留中",$AF829&lt;&gt;""),TODAY()-$AF829,"")</f>
        <v/>
      </c>
      <c r="AJ829" s="12" t="n"/>
      <c r="AK829" s="14">
        <f>IF($B829="","",IF($AO829="","対象年月が未入力／","")&amp;IF($B829="","",IF($AN829="","職員マスタに未登録の職員番号／",IF($Y829="","標準報酬月額が未登録／","")&amp;IF(AND($AO829&lt;&gt;"",OR(AND(INDEX(職員マスタ!$G$6:$G$405,$AN829)&lt;&gt;"",INDEX(職員マスタ!$G$6:$G$405,$AN829)&gt;EOMONTH($AO829,0)),AND(INDEX(職員マスタ!$H$6:$H$405,$AN829)&lt;&gt;"",INDEX(職員マスタ!$H$6:$H$405,$AN829)&lt;$AO829))),"対象月が時短期間外／","")&amp;IF(AND(INDEX(職員マスタ!$F$6:$F$405,$AN829)&lt;&gt;"",$AO829&lt;&gt;"",INDEX(職員マスタ!$F$6:$F$405,$AN829)&lt;$AO829),"対象月に子が2歳到達済／","")&amp;IF(AND($H829&lt;&gt;"",INDEX(職員マスタ!$B$6:$B$405,$AN829)&lt;&gt;"",SUBSTITUTE(SUBSTITUTE($H829," ","")," ","")&lt;&gt;SUBSTITUTE(SUBSTITUTE(INDEX(職員マスタ!$B$6:$B$405,$AN829)," ","")," ","")),"氏名がマスタと相違／","")&amp;IF(AND($Q829&lt;&gt;"",INDEX(職員マスタ!$E$6:$E$405,$AN829)&lt;&gt;"",$Q829&lt;&gt;INDEX(職員マスタ!$E$6:$E$405,$AN829)),"子の生年月日がマスタと相違／","")&amp;IF(AND($L829&lt;&gt;"",INDEX(職員マスタ!$G$6:$G$405,$AN829)&lt;&gt;"",$L829&lt;&gt;INDEX(職員マスタ!$G$6:$G$405,$AN829)),"時短開始日がマスタと相違／","")&amp;IF(AND($M829&lt;&gt;"",INDEX(職員マスタ!$H$6:$H$405,$AN829)&lt;&gt;"",$M829&lt;&gt;INDEX(職員マスタ!$H$6:$H$405,$AN829)),"時短終了日がマスタと相違／","")))&amp;IF(AND($B829&lt;&gt;"",$E829=""),"報酬額が未入力／","")&amp;IF(N($U829)&gt;0,"申請書に入力エラーが残っています／","")&amp;IF(AND($B829&lt;&gt;"",$AO829&lt;&gt;""),IF(COUNTIFS($B$6:$B$3005,$B829,$C$6:$C$3005,$C829,$D$6:$D$3005,$D829)&gt;1,"同じ月の請求が重複しています／",""),"")&amp;IF(AND(N($E829)&gt;0,$Z829&lt;&gt;"",$Z829&lt;&gt;"×",$AC829=0,$AB829=""),"計算額が下限以下のため不支給／",""))</f>
        <v/>
      </c>
      <c r="AL829" s="12" t="n"/>
      <c r="AM829" s="14">
        <f>IF($AD829="保留中",COUNTIF($AD$6:$AD829,"保留中"),"")</f>
        <v/>
      </c>
      <c r="AN829" s="14">
        <f>IF($AO829="","",IF(SUMPRODUCT(MAX((職員マスタ!$A$6:$A$405=$B829)*(((職員マスタ!$G$6:$G$405="")+(職員マスタ!$G$6:$G$405&lt;=EOMONTH($AO829,0)))&gt;0)*(((職員マスタ!$H$6:$H$405="")+(職員マスタ!$H$6:$H$405&gt;=$AO829))&gt;0)*(ROW(職員マスタ!$A$6:$A$405)-5)))&gt;0,SUMPRODUCT(MAX((職員マスタ!$A$6:$A$405=$B829)*(((職員マスタ!$G$6:$G$405="")+(職員マスタ!$G$6:$G$405&lt;=EOMONTH($AO829,0)))&gt;0)*(((職員マスタ!$H$6:$H$405="")+(職員マスタ!$H$6:$H$405&gt;=$AO829))&gt;0)*(ROW(職員マスタ!$A$6:$A$405)-5))),IFERROR(MATCH($B829,職員マスタ!$A$6:$A$405,0),"")))</f>
        <v/>
      </c>
      <c r="AO829" s="16">
        <f>IF(OR($B829="",$C829="",$D829=""),"",DATE($C829+2018,$D829,1))</f>
        <v/>
      </c>
    </row>
    <row r="830">
      <c r="A830" s="11" t="n"/>
      <c r="B830" s="12" t="n"/>
      <c r="C830" s="12" t="n"/>
      <c r="D830" s="12" t="n"/>
      <c r="E830" s="13" t="n"/>
      <c r="F830" s="12" t="n"/>
      <c r="G830" s="13" t="n"/>
      <c r="H830" s="12" t="n"/>
      <c r="I830" s="12" t="n"/>
      <c r="J830" s="12" t="n"/>
      <c r="K830" s="12" t="n"/>
      <c r="L830" s="11" t="n"/>
      <c r="M830" s="11" t="n"/>
      <c r="N830" s="11" t="n"/>
      <c r="O830" s="11" t="n"/>
      <c r="P830" s="12" t="n"/>
      <c r="Q830" s="11" t="n"/>
      <c r="R830" s="12" t="n"/>
      <c r="S830" s="11" t="n"/>
      <c r="T830" s="12" t="n"/>
      <c r="U830" s="12" t="n"/>
      <c r="V830" s="14">
        <f>IF($AN830="",IF($B830="","",$H830),IF(INDEX(職員マスタ!$B$6:$B$405,$AN830)="",$H830,INDEX(職員マスタ!$B$6:$B$405,$AN830)))</f>
        <v/>
      </c>
      <c r="W830" s="14">
        <f>IF($AN830="",IF($B830="","",$R830),IF(INDEX(職員マスタ!$C$6:$C$405,$AN830)="",$R830,INDEX(職員マスタ!$C$6:$C$405,$AN830)))</f>
        <v/>
      </c>
      <c r="X830" s="14">
        <f>IF($AO830="","","R"&amp;$C830&amp;"."&amp;$D830)</f>
        <v/>
      </c>
      <c r="Y830" s="15">
        <f>IF($AN830="","",IF(INDEX(職員マスタ!$K$6:$K$405,$AN830)="","",INDEX(職員マスタ!$K$6:$K$405,$AN830)))</f>
        <v/>
      </c>
      <c r="Z830" s="14">
        <f>IF(OR($E830="",$Y830=""),"",IF($E830&gt;=$Y830,"×",IF($E830&gt;=$Y830*設定!$C$5,"△","○")))</f>
        <v/>
      </c>
      <c r="AA830" s="15">
        <f>IF($Z830="","",IF($Z830="×",0,IF($Z830="○",ROUNDDOWN($E830*設定!$C$4,0),ROUNDDOWN($E830*ROUND((9*$Y830-9*$E830)/(10*$E830),4),0))))</f>
        <v/>
      </c>
      <c r="AB830" s="13" t="n"/>
      <c r="AC830" s="15">
        <f>IF($B830="","",IF($AB830&lt;&gt;"",$AB830,IF($AA830="","",IF($AA830&lt;=設定!$C$3,0,$AA830))))</f>
        <v/>
      </c>
      <c r="AD830" s="14">
        <f>IF($B830="","",IF(AND($AE830&lt;&gt;"",$AG830="",$AJ830=""),"保留中",IF($AJ830&lt;&gt;"",IF(N($AC830)&gt;0,"支給済","不支給"),IF($AC830="","要確認",IF($AC830=0,"不支給","未処理")))))</f>
        <v/>
      </c>
      <c r="AE830" s="12" t="n"/>
      <c r="AF830" s="11" t="n"/>
      <c r="AG830" s="11" t="n"/>
      <c r="AH830" s="11" t="n"/>
      <c r="AI830" s="14">
        <f>IF(AND($AD830="保留中",$AF830&lt;&gt;""),TODAY()-$AF830,"")</f>
        <v/>
      </c>
      <c r="AJ830" s="12" t="n"/>
      <c r="AK830" s="14">
        <f>IF($B830="","",IF($AO830="","対象年月が未入力／","")&amp;IF($B830="","",IF($AN830="","職員マスタに未登録の職員番号／",IF($Y830="","標準報酬月額が未登録／","")&amp;IF(AND($AO830&lt;&gt;"",OR(AND(INDEX(職員マスタ!$G$6:$G$405,$AN830)&lt;&gt;"",INDEX(職員マスタ!$G$6:$G$405,$AN830)&gt;EOMONTH($AO830,0)),AND(INDEX(職員マスタ!$H$6:$H$405,$AN830)&lt;&gt;"",INDEX(職員マスタ!$H$6:$H$405,$AN830)&lt;$AO830))),"対象月が時短期間外／","")&amp;IF(AND(INDEX(職員マスタ!$F$6:$F$405,$AN830)&lt;&gt;"",$AO830&lt;&gt;"",INDEX(職員マスタ!$F$6:$F$405,$AN830)&lt;$AO830),"対象月に子が2歳到達済／","")&amp;IF(AND($H830&lt;&gt;"",INDEX(職員マスタ!$B$6:$B$405,$AN830)&lt;&gt;"",SUBSTITUTE(SUBSTITUTE($H830," ","")," ","")&lt;&gt;SUBSTITUTE(SUBSTITUTE(INDEX(職員マスタ!$B$6:$B$405,$AN830)," ","")," ","")),"氏名がマスタと相違／","")&amp;IF(AND($Q830&lt;&gt;"",INDEX(職員マスタ!$E$6:$E$405,$AN830)&lt;&gt;"",$Q830&lt;&gt;INDEX(職員マスタ!$E$6:$E$405,$AN830)),"子の生年月日がマスタと相違／","")&amp;IF(AND($L830&lt;&gt;"",INDEX(職員マスタ!$G$6:$G$405,$AN830)&lt;&gt;"",$L830&lt;&gt;INDEX(職員マスタ!$G$6:$G$405,$AN830)),"時短開始日がマスタと相違／","")&amp;IF(AND($M830&lt;&gt;"",INDEX(職員マスタ!$H$6:$H$405,$AN830)&lt;&gt;"",$M830&lt;&gt;INDEX(職員マスタ!$H$6:$H$405,$AN830)),"時短終了日がマスタと相違／","")))&amp;IF(AND($B830&lt;&gt;"",$E830=""),"報酬額が未入力／","")&amp;IF(N($U830)&gt;0,"申請書に入力エラーが残っています／","")&amp;IF(AND($B830&lt;&gt;"",$AO830&lt;&gt;""),IF(COUNTIFS($B$6:$B$3005,$B830,$C$6:$C$3005,$C830,$D$6:$D$3005,$D830)&gt;1,"同じ月の請求が重複しています／",""),"")&amp;IF(AND(N($E830)&gt;0,$Z830&lt;&gt;"",$Z830&lt;&gt;"×",$AC830=0,$AB830=""),"計算額が下限以下のため不支給／",""))</f>
        <v/>
      </c>
      <c r="AL830" s="12" t="n"/>
      <c r="AM830" s="14">
        <f>IF($AD830="保留中",COUNTIF($AD$6:$AD830,"保留中"),"")</f>
        <v/>
      </c>
      <c r="AN830" s="14">
        <f>IF($AO830="","",IF(SUMPRODUCT(MAX((職員マスタ!$A$6:$A$405=$B830)*(((職員マスタ!$G$6:$G$405="")+(職員マスタ!$G$6:$G$405&lt;=EOMONTH($AO830,0)))&gt;0)*(((職員マスタ!$H$6:$H$405="")+(職員マスタ!$H$6:$H$405&gt;=$AO830))&gt;0)*(ROW(職員マスタ!$A$6:$A$405)-5)))&gt;0,SUMPRODUCT(MAX((職員マスタ!$A$6:$A$405=$B830)*(((職員マスタ!$G$6:$G$405="")+(職員マスタ!$G$6:$G$405&lt;=EOMONTH($AO830,0)))&gt;0)*(((職員マスタ!$H$6:$H$405="")+(職員マスタ!$H$6:$H$405&gt;=$AO830))&gt;0)*(ROW(職員マスタ!$A$6:$A$405)-5))),IFERROR(MATCH($B830,職員マスタ!$A$6:$A$405,0),"")))</f>
        <v/>
      </c>
      <c r="AO830" s="16">
        <f>IF(OR($B830="",$C830="",$D830=""),"",DATE($C830+2018,$D830,1))</f>
        <v/>
      </c>
    </row>
    <row r="831">
      <c r="A831" s="11" t="n"/>
      <c r="B831" s="12" t="n"/>
      <c r="C831" s="12" t="n"/>
      <c r="D831" s="12" t="n"/>
      <c r="E831" s="13" t="n"/>
      <c r="F831" s="12" t="n"/>
      <c r="G831" s="13" t="n"/>
      <c r="H831" s="12" t="n"/>
      <c r="I831" s="12" t="n"/>
      <c r="J831" s="12" t="n"/>
      <c r="K831" s="12" t="n"/>
      <c r="L831" s="11" t="n"/>
      <c r="M831" s="11" t="n"/>
      <c r="N831" s="11" t="n"/>
      <c r="O831" s="11" t="n"/>
      <c r="P831" s="12" t="n"/>
      <c r="Q831" s="11" t="n"/>
      <c r="R831" s="12" t="n"/>
      <c r="S831" s="11" t="n"/>
      <c r="T831" s="12" t="n"/>
      <c r="U831" s="12" t="n"/>
      <c r="V831" s="14">
        <f>IF($AN831="",IF($B831="","",$H831),IF(INDEX(職員マスタ!$B$6:$B$405,$AN831)="",$H831,INDEX(職員マスタ!$B$6:$B$405,$AN831)))</f>
        <v/>
      </c>
      <c r="W831" s="14">
        <f>IF($AN831="",IF($B831="","",$R831),IF(INDEX(職員マスタ!$C$6:$C$405,$AN831)="",$R831,INDEX(職員マスタ!$C$6:$C$405,$AN831)))</f>
        <v/>
      </c>
      <c r="X831" s="14">
        <f>IF($AO831="","","R"&amp;$C831&amp;"."&amp;$D831)</f>
        <v/>
      </c>
      <c r="Y831" s="15">
        <f>IF($AN831="","",IF(INDEX(職員マスタ!$K$6:$K$405,$AN831)="","",INDEX(職員マスタ!$K$6:$K$405,$AN831)))</f>
        <v/>
      </c>
      <c r="Z831" s="14">
        <f>IF(OR($E831="",$Y831=""),"",IF($E831&gt;=$Y831,"×",IF($E831&gt;=$Y831*設定!$C$5,"△","○")))</f>
        <v/>
      </c>
      <c r="AA831" s="15">
        <f>IF($Z831="","",IF($Z831="×",0,IF($Z831="○",ROUNDDOWN($E831*設定!$C$4,0),ROUNDDOWN($E831*ROUND((9*$Y831-9*$E831)/(10*$E831),4),0))))</f>
        <v/>
      </c>
      <c r="AB831" s="13" t="n"/>
      <c r="AC831" s="15">
        <f>IF($B831="","",IF($AB831&lt;&gt;"",$AB831,IF($AA831="","",IF($AA831&lt;=設定!$C$3,0,$AA831))))</f>
        <v/>
      </c>
      <c r="AD831" s="14">
        <f>IF($B831="","",IF(AND($AE831&lt;&gt;"",$AG831="",$AJ831=""),"保留中",IF($AJ831&lt;&gt;"",IF(N($AC831)&gt;0,"支給済","不支給"),IF($AC831="","要確認",IF($AC831=0,"不支給","未処理")))))</f>
        <v/>
      </c>
      <c r="AE831" s="12" t="n"/>
      <c r="AF831" s="11" t="n"/>
      <c r="AG831" s="11" t="n"/>
      <c r="AH831" s="11" t="n"/>
      <c r="AI831" s="14">
        <f>IF(AND($AD831="保留中",$AF831&lt;&gt;""),TODAY()-$AF831,"")</f>
        <v/>
      </c>
      <c r="AJ831" s="12" t="n"/>
      <c r="AK831" s="14">
        <f>IF($B831="","",IF($AO831="","対象年月が未入力／","")&amp;IF($B831="","",IF($AN831="","職員マスタに未登録の職員番号／",IF($Y831="","標準報酬月額が未登録／","")&amp;IF(AND($AO831&lt;&gt;"",OR(AND(INDEX(職員マスタ!$G$6:$G$405,$AN831)&lt;&gt;"",INDEX(職員マスタ!$G$6:$G$405,$AN831)&gt;EOMONTH($AO831,0)),AND(INDEX(職員マスタ!$H$6:$H$405,$AN831)&lt;&gt;"",INDEX(職員マスタ!$H$6:$H$405,$AN831)&lt;$AO831))),"対象月が時短期間外／","")&amp;IF(AND(INDEX(職員マスタ!$F$6:$F$405,$AN831)&lt;&gt;"",$AO831&lt;&gt;"",INDEX(職員マスタ!$F$6:$F$405,$AN831)&lt;$AO831),"対象月に子が2歳到達済／","")&amp;IF(AND($H831&lt;&gt;"",INDEX(職員マスタ!$B$6:$B$405,$AN831)&lt;&gt;"",SUBSTITUTE(SUBSTITUTE($H831," ","")," ","")&lt;&gt;SUBSTITUTE(SUBSTITUTE(INDEX(職員マスタ!$B$6:$B$405,$AN831)," ","")," ","")),"氏名がマスタと相違／","")&amp;IF(AND($Q831&lt;&gt;"",INDEX(職員マスタ!$E$6:$E$405,$AN831)&lt;&gt;"",$Q831&lt;&gt;INDEX(職員マスタ!$E$6:$E$405,$AN831)),"子の生年月日がマスタと相違／","")&amp;IF(AND($L831&lt;&gt;"",INDEX(職員マスタ!$G$6:$G$405,$AN831)&lt;&gt;"",$L831&lt;&gt;INDEX(職員マスタ!$G$6:$G$405,$AN831)),"時短開始日がマスタと相違／","")&amp;IF(AND($M831&lt;&gt;"",INDEX(職員マスタ!$H$6:$H$405,$AN831)&lt;&gt;"",$M831&lt;&gt;INDEX(職員マスタ!$H$6:$H$405,$AN831)),"時短終了日がマスタと相違／","")))&amp;IF(AND($B831&lt;&gt;"",$E831=""),"報酬額が未入力／","")&amp;IF(N($U831)&gt;0,"申請書に入力エラーが残っています／","")&amp;IF(AND($B831&lt;&gt;"",$AO831&lt;&gt;""),IF(COUNTIFS($B$6:$B$3005,$B831,$C$6:$C$3005,$C831,$D$6:$D$3005,$D831)&gt;1,"同じ月の請求が重複しています／",""),"")&amp;IF(AND(N($E831)&gt;0,$Z831&lt;&gt;"",$Z831&lt;&gt;"×",$AC831=0,$AB831=""),"計算額が下限以下のため不支給／",""))</f>
        <v/>
      </c>
      <c r="AL831" s="12" t="n"/>
      <c r="AM831" s="14">
        <f>IF($AD831="保留中",COUNTIF($AD$6:$AD831,"保留中"),"")</f>
        <v/>
      </c>
      <c r="AN831" s="14">
        <f>IF($AO831="","",IF(SUMPRODUCT(MAX((職員マスタ!$A$6:$A$405=$B831)*(((職員マスタ!$G$6:$G$405="")+(職員マスタ!$G$6:$G$405&lt;=EOMONTH($AO831,0)))&gt;0)*(((職員マスタ!$H$6:$H$405="")+(職員マスタ!$H$6:$H$405&gt;=$AO831))&gt;0)*(ROW(職員マスタ!$A$6:$A$405)-5)))&gt;0,SUMPRODUCT(MAX((職員マスタ!$A$6:$A$405=$B831)*(((職員マスタ!$G$6:$G$405="")+(職員マスタ!$G$6:$G$405&lt;=EOMONTH($AO831,0)))&gt;0)*(((職員マスタ!$H$6:$H$405="")+(職員マスタ!$H$6:$H$405&gt;=$AO831))&gt;0)*(ROW(職員マスタ!$A$6:$A$405)-5))),IFERROR(MATCH($B831,職員マスタ!$A$6:$A$405,0),"")))</f>
        <v/>
      </c>
      <c r="AO831" s="16">
        <f>IF(OR($B831="",$C831="",$D831=""),"",DATE($C831+2018,$D831,1))</f>
        <v/>
      </c>
    </row>
    <row r="832">
      <c r="A832" s="11" t="n"/>
      <c r="B832" s="12" t="n"/>
      <c r="C832" s="12" t="n"/>
      <c r="D832" s="12" t="n"/>
      <c r="E832" s="13" t="n"/>
      <c r="F832" s="12" t="n"/>
      <c r="G832" s="13" t="n"/>
      <c r="H832" s="12" t="n"/>
      <c r="I832" s="12" t="n"/>
      <c r="J832" s="12" t="n"/>
      <c r="K832" s="12" t="n"/>
      <c r="L832" s="11" t="n"/>
      <c r="M832" s="11" t="n"/>
      <c r="N832" s="11" t="n"/>
      <c r="O832" s="11" t="n"/>
      <c r="P832" s="12" t="n"/>
      <c r="Q832" s="11" t="n"/>
      <c r="R832" s="12" t="n"/>
      <c r="S832" s="11" t="n"/>
      <c r="T832" s="12" t="n"/>
      <c r="U832" s="12" t="n"/>
      <c r="V832" s="14">
        <f>IF($AN832="",IF($B832="","",$H832),IF(INDEX(職員マスタ!$B$6:$B$405,$AN832)="",$H832,INDEX(職員マスタ!$B$6:$B$405,$AN832)))</f>
        <v/>
      </c>
      <c r="W832" s="14">
        <f>IF($AN832="",IF($B832="","",$R832),IF(INDEX(職員マスタ!$C$6:$C$405,$AN832)="",$R832,INDEX(職員マスタ!$C$6:$C$405,$AN832)))</f>
        <v/>
      </c>
      <c r="X832" s="14">
        <f>IF($AO832="","","R"&amp;$C832&amp;"."&amp;$D832)</f>
        <v/>
      </c>
      <c r="Y832" s="15">
        <f>IF($AN832="","",IF(INDEX(職員マスタ!$K$6:$K$405,$AN832)="","",INDEX(職員マスタ!$K$6:$K$405,$AN832)))</f>
        <v/>
      </c>
      <c r="Z832" s="14">
        <f>IF(OR($E832="",$Y832=""),"",IF($E832&gt;=$Y832,"×",IF($E832&gt;=$Y832*設定!$C$5,"△","○")))</f>
        <v/>
      </c>
      <c r="AA832" s="15">
        <f>IF($Z832="","",IF($Z832="×",0,IF($Z832="○",ROUNDDOWN($E832*設定!$C$4,0),ROUNDDOWN($E832*ROUND((9*$Y832-9*$E832)/(10*$E832),4),0))))</f>
        <v/>
      </c>
      <c r="AB832" s="13" t="n"/>
      <c r="AC832" s="15">
        <f>IF($B832="","",IF($AB832&lt;&gt;"",$AB832,IF($AA832="","",IF($AA832&lt;=設定!$C$3,0,$AA832))))</f>
        <v/>
      </c>
      <c r="AD832" s="14">
        <f>IF($B832="","",IF(AND($AE832&lt;&gt;"",$AG832="",$AJ832=""),"保留中",IF($AJ832&lt;&gt;"",IF(N($AC832)&gt;0,"支給済","不支給"),IF($AC832="","要確認",IF($AC832=0,"不支給","未処理")))))</f>
        <v/>
      </c>
      <c r="AE832" s="12" t="n"/>
      <c r="AF832" s="11" t="n"/>
      <c r="AG832" s="11" t="n"/>
      <c r="AH832" s="11" t="n"/>
      <c r="AI832" s="14">
        <f>IF(AND($AD832="保留中",$AF832&lt;&gt;""),TODAY()-$AF832,"")</f>
        <v/>
      </c>
      <c r="AJ832" s="12" t="n"/>
      <c r="AK832" s="14">
        <f>IF($B832="","",IF($AO832="","対象年月が未入力／","")&amp;IF($B832="","",IF($AN832="","職員マスタに未登録の職員番号／",IF($Y832="","標準報酬月額が未登録／","")&amp;IF(AND($AO832&lt;&gt;"",OR(AND(INDEX(職員マスタ!$G$6:$G$405,$AN832)&lt;&gt;"",INDEX(職員マスタ!$G$6:$G$405,$AN832)&gt;EOMONTH($AO832,0)),AND(INDEX(職員マスタ!$H$6:$H$405,$AN832)&lt;&gt;"",INDEX(職員マスタ!$H$6:$H$405,$AN832)&lt;$AO832))),"対象月が時短期間外／","")&amp;IF(AND(INDEX(職員マスタ!$F$6:$F$405,$AN832)&lt;&gt;"",$AO832&lt;&gt;"",INDEX(職員マスタ!$F$6:$F$405,$AN832)&lt;$AO832),"対象月に子が2歳到達済／","")&amp;IF(AND($H832&lt;&gt;"",INDEX(職員マスタ!$B$6:$B$405,$AN832)&lt;&gt;"",SUBSTITUTE(SUBSTITUTE($H832," ","")," ","")&lt;&gt;SUBSTITUTE(SUBSTITUTE(INDEX(職員マスタ!$B$6:$B$405,$AN832)," ","")," ","")),"氏名がマスタと相違／","")&amp;IF(AND($Q832&lt;&gt;"",INDEX(職員マスタ!$E$6:$E$405,$AN832)&lt;&gt;"",$Q832&lt;&gt;INDEX(職員マスタ!$E$6:$E$405,$AN832)),"子の生年月日がマスタと相違／","")&amp;IF(AND($L832&lt;&gt;"",INDEX(職員マスタ!$G$6:$G$405,$AN832)&lt;&gt;"",$L832&lt;&gt;INDEX(職員マスタ!$G$6:$G$405,$AN832)),"時短開始日がマスタと相違／","")&amp;IF(AND($M832&lt;&gt;"",INDEX(職員マスタ!$H$6:$H$405,$AN832)&lt;&gt;"",$M832&lt;&gt;INDEX(職員マスタ!$H$6:$H$405,$AN832)),"時短終了日がマスタと相違／","")))&amp;IF(AND($B832&lt;&gt;"",$E832=""),"報酬額が未入力／","")&amp;IF(N($U832)&gt;0,"申請書に入力エラーが残っています／","")&amp;IF(AND($B832&lt;&gt;"",$AO832&lt;&gt;""),IF(COUNTIFS($B$6:$B$3005,$B832,$C$6:$C$3005,$C832,$D$6:$D$3005,$D832)&gt;1,"同じ月の請求が重複しています／",""),"")&amp;IF(AND(N($E832)&gt;0,$Z832&lt;&gt;"",$Z832&lt;&gt;"×",$AC832=0,$AB832=""),"計算額が下限以下のため不支給／",""))</f>
        <v/>
      </c>
      <c r="AL832" s="12" t="n"/>
      <c r="AM832" s="14">
        <f>IF($AD832="保留中",COUNTIF($AD$6:$AD832,"保留中"),"")</f>
        <v/>
      </c>
      <c r="AN832" s="14">
        <f>IF($AO832="","",IF(SUMPRODUCT(MAX((職員マスタ!$A$6:$A$405=$B832)*(((職員マスタ!$G$6:$G$405="")+(職員マスタ!$G$6:$G$405&lt;=EOMONTH($AO832,0)))&gt;0)*(((職員マスタ!$H$6:$H$405="")+(職員マスタ!$H$6:$H$405&gt;=$AO832))&gt;0)*(ROW(職員マスタ!$A$6:$A$405)-5)))&gt;0,SUMPRODUCT(MAX((職員マスタ!$A$6:$A$405=$B832)*(((職員マスタ!$G$6:$G$405="")+(職員マスタ!$G$6:$G$405&lt;=EOMONTH($AO832,0)))&gt;0)*(((職員マスタ!$H$6:$H$405="")+(職員マスタ!$H$6:$H$405&gt;=$AO832))&gt;0)*(ROW(職員マスタ!$A$6:$A$405)-5))),IFERROR(MATCH($B832,職員マスタ!$A$6:$A$405,0),"")))</f>
        <v/>
      </c>
      <c r="AO832" s="16">
        <f>IF(OR($B832="",$C832="",$D832=""),"",DATE($C832+2018,$D832,1))</f>
        <v/>
      </c>
    </row>
    <row r="833">
      <c r="A833" s="11" t="n"/>
      <c r="B833" s="12" t="n"/>
      <c r="C833" s="12" t="n"/>
      <c r="D833" s="12" t="n"/>
      <c r="E833" s="13" t="n"/>
      <c r="F833" s="12" t="n"/>
      <c r="G833" s="13" t="n"/>
      <c r="H833" s="12" t="n"/>
      <c r="I833" s="12" t="n"/>
      <c r="J833" s="12" t="n"/>
      <c r="K833" s="12" t="n"/>
      <c r="L833" s="11" t="n"/>
      <c r="M833" s="11" t="n"/>
      <c r="N833" s="11" t="n"/>
      <c r="O833" s="11" t="n"/>
      <c r="P833" s="12" t="n"/>
      <c r="Q833" s="11" t="n"/>
      <c r="R833" s="12" t="n"/>
      <c r="S833" s="11" t="n"/>
      <c r="T833" s="12" t="n"/>
      <c r="U833" s="12" t="n"/>
      <c r="V833" s="14">
        <f>IF($AN833="",IF($B833="","",$H833),IF(INDEX(職員マスタ!$B$6:$B$405,$AN833)="",$H833,INDEX(職員マスタ!$B$6:$B$405,$AN833)))</f>
        <v/>
      </c>
      <c r="W833" s="14">
        <f>IF($AN833="",IF($B833="","",$R833),IF(INDEX(職員マスタ!$C$6:$C$405,$AN833)="",$R833,INDEX(職員マスタ!$C$6:$C$405,$AN833)))</f>
        <v/>
      </c>
      <c r="X833" s="14">
        <f>IF($AO833="","","R"&amp;$C833&amp;"."&amp;$D833)</f>
        <v/>
      </c>
      <c r="Y833" s="15">
        <f>IF($AN833="","",IF(INDEX(職員マスタ!$K$6:$K$405,$AN833)="","",INDEX(職員マスタ!$K$6:$K$405,$AN833)))</f>
        <v/>
      </c>
      <c r="Z833" s="14">
        <f>IF(OR($E833="",$Y833=""),"",IF($E833&gt;=$Y833,"×",IF($E833&gt;=$Y833*設定!$C$5,"△","○")))</f>
        <v/>
      </c>
      <c r="AA833" s="15">
        <f>IF($Z833="","",IF($Z833="×",0,IF($Z833="○",ROUNDDOWN($E833*設定!$C$4,0),ROUNDDOWN($E833*ROUND((9*$Y833-9*$E833)/(10*$E833),4),0))))</f>
        <v/>
      </c>
      <c r="AB833" s="13" t="n"/>
      <c r="AC833" s="15">
        <f>IF($B833="","",IF($AB833&lt;&gt;"",$AB833,IF($AA833="","",IF($AA833&lt;=設定!$C$3,0,$AA833))))</f>
        <v/>
      </c>
      <c r="AD833" s="14">
        <f>IF($B833="","",IF(AND($AE833&lt;&gt;"",$AG833="",$AJ833=""),"保留中",IF($AJ833&lt;&gt;"",IF(N($AC833)&gt;0,"支給済","不支給"),IF($AC833="","要確認",IF($AC833=0,"不支給","未処理")))))</f>
        <v/>
      </c>
      <c r="AE833" s="12" t="n"/>
      <c r="AF833" s="11" t="n"/>
      <c r="AG833" s="11" t="n"/>
      <c r="AH833" s="11" t="n"/>
      <c r="AI833" s="14">
        <f>IF(AND($AD833="保留中",$AF833&lt;&gt;""),TODAY()-$AF833,"")</f>
        <v/>
      </c>
      <c r="AJ833" s="12" t="n"/>
      <c r="AK833" s="14">
        <f>IF($B833="","",IF($AO833="","対象年月が未入力／","")&amp;IF($B833="","",IF($AN833="","職員マスタに未登録の職員番号／",IF($Y833="","標準報酬月額が未登録／","")&amp;IF(AND($AO833&lt;&gt;"",OR(AND(INDEX(職員マスタ!$G$6:$G$405,$AN833)&lt;&gt;"",INDEX(職員マスタ!$G$6:$G$405,$AN833)&gt;EOMONTH($AO833,0)),AND(INDEX(職員マスタ!$H$6:$H$405,$AN833)&lt;&gt;"",INDEX(職員マスタ!$H$6:$H$405,$AN833)&lt;$AO833))),"対象月が時短期間外／","")&amp;IF(AND(INDEX(職員マスタ!$F$6:$F$405,$AN833)&lt;&gt;"",$AO833&lt;&gt;"",INDEX(職員マスタ!$F$6:$F$405,$AN833)&lt;$AO833),"対象月に子が2歳到達済／","")&amp;IF(AND($H833&lt;&gt;"",INDEX(職員マスタ!$B$6:$B$405,$AN833)&lt;&gt;"",SUBSTITUTE(SUBSTITUTE($H833," ","")," ","")&lt;&gt;SUBSTITUTE(SUBSTITUTE(INDEX(職員マスタ!$B$6:$B$405,$AN833)," ","")," ","")),"氏名がマスタと相違／","")&amp;IF(AND($Q833&lt;&gt;"",INDEX(職員マスタ!$E$6:$E$405,$AN833)&lt;&gt;"",$Q833&lt;&gt;INDEX(職員マスタ!$E$6:$E$405,$AN833)),"子の生年月日がマスタと相違／","")&amp;IF(AND($L833&lt;&gt;"",INDEX(職員マスタ!$G$6:$G$405,$AN833)&lt;&gt;"",$L833&lt;&gt;INDEX(職員マスタ!$G$6:$G$405,$AN833)),"時短開始日がマスタと相違／","")&amp;IF(AND($M833&lt;&gt;"",INDEX(職員マスタ!$H$6:$H$405,$AN833)&lt;&gt;"",$M833&lt;&gt;INDEX(職員マスタ!$H$6:$H$405,$AN833)),"時短終了日がマスタと相違／","")))&amp;IF(AND($B833&lt;&gt;"",$E833=""),"報酬額が未入力／","")&amp;IF(N($U833)&gt;0,"申請書に入力エラーが残っています／","")&amp;IF(AND($B833&lt;&gt;"",$AO833&lt;&gt;""),IF(COUNTIFS($B$6:$B$3005,$B833,$C$6:$C$3005,$C833,$D$6:$D$3005,$D833)&gt;1,"同じ月の請求が重複しています／",""),"")&amp;IF(AND(N($E833)&gt;0,$Z833&lt;&gt;"",$Z833&lt;&gt;"×",$AC833=0,$AB833=""),"計算額が下限以下のため不支給／",""))</f>
        <v/>
      </c>
      <c r="AL833" s="12" t="n"/>
      <c r="AM833" s="14">
        <f>IF($AD833="保留中",COUNTIF($AD$6:$AD833,"保留中"),"")</f>
        <v/>
      </c>
      <c r="AN833" s="14">
        <f>IF($AO833="","",IF(SUMPRODUCT(MAX((職員マスタ!$A$6:$A$405=$B833)*(((職員マスタ!$G$6:$G$405="")+(職員マスタ!$G$6:$G$405&lt;=EOMONTH($AO833,0)))&gt;0)*(((職員マスタ!$H$6:$H$405="")+(職員マスタ!$H$6:$H$405&gt;=$AO833))&gt;0)*(ROW(職員マスタ!$A$6:$A$405)-5)))&gt;0,SUMPRODUCT(MAX((職員マスタ!$A$6:$A$405=$B833)*(((職員マスタ!$G$6:$G$405="")+(職員マスタ!$G$6:$G$405&lt;=EOMONTH($AO833,0)))&gt;0)*(((職員マスタ!$H$6:$H$405="")+(職員マスタ!$H$6:$H$405&gt;=$AO833))&gt;0)*(ROW(職員マスタ!$A$6:$A$405)-5))),IFERROR(MATCH($B833,職員マスタ!$A$6:$A$405,0),"")))</f>
        <v/>
      </c>
      <c r="AO833" s="16">
        <f>IF(OR($B833="",$C833="",$D833=""),"",DATE($C833+2018,$D833,1))</f>
        <v/>
      </c>
    </row>
    <row r="834">
      <c r="A834" s="11" t="n"/>
      <c r="B834" s="12" t="n"/>
      <c r="C834" s="12" t="n"/>
      <c r="D834" s="12" t="n"/>
      <c r="E834" s="13" t="n"/>
      <c r="F834" s="12" t="n"/>
      <c r="G834" s="13" t="n"/>
      <c r="H834" s="12" t="n"/>
      <c r="I834" s="12" t="n"/>
      <c r="J834" s="12" t="n"/>
      <c r="K834" s="12" t="n"/>
      <c r="L834" s="11" t="n"/>
      <c r="M834" s="11" t="n"/>
      <c r="N834" s="11" t="n"/>
      <c r="O834" s="11" t="n"/>
      <c r="P834" s="12" t="n"/>
      <c r="Q834" s="11" t="n"/>
      <c r="R834" s="12" t="n"/>
      <c r="S834" s="11" t="n"/>
      <c r="T834" s="12" t="n"/>
      <c r="U834" s="12" t="n"/>
      <c r="V834" s="14">
        <f>IF($AN834="",IF($B834="","",$H834),IF(INDEX(職員マスタ!$B$6:$B$405,$AN834)="",$H834,INDEX(職員マスタ!$B$6:$B$405,$AN834)))</f>
        <v/>
      </c>
      <c r="W834" s="14">
        <f>IF($AN834="",IF($B834="","",$R834),IF(INDEX(職員マスタ!$C$6:$C$405,$AN834)="",$R834,INDEX(職員マスタ!$C$6:$C$405,$AN834)))</f>
        <v/>
      </c>
      <c r="X834" s="14">
        <f>IF($AO834="","","R"&amp;$C834&amp;"."&amp;$D834)</f>
        <v/>
      </c>
      <c r="Y834" s="15">
        <f>IF($AN834="","",IF(INDEX(職員マスタ!$K$6:$K$405,$AN834)="","",INDEX(職員マスタ!$K$6:$K$405,$AN834)))</f>
        <v/>
      </c>
      <c r="Z834" s="14">
        <f>IF(OR($E834="",$Y834=""),"",IF($E834&gt;=$Y834,"×",IF($E834&gt;=$Y834*設定!$C$5,"△","○")))</f>
        <v/>
      </c>
      <c r="AA834" s="15">
        <f>IF($Z834="","",IF($Z834="×",0,IF($Z834="○",ROUNDDOWN($E834*設定!$C$4,0),ROUNDDOWN($E834*ROUND((9*$Y834-9*$E834)/(10*$E834),4),0))))</f>
        <v/>
      </c>
      <c r="AB834" s="13" t="n"/>
      <c r="AC834" s="15">
        <f>IF($B834="","",IF($AB834&lt;&gt;"",$AB834,IF($AA834="","",IF($AA834&lt;=設定!$C$3,0,$AA834))))</f>
        <v/>
      </c>
      <c r="AD834" s="14">
        <f>IF($B834="","",IF(AND($AE834&lt;&gt;"",$AG834="",$AJ834=""),"保留中",IF($AJ834&lt;&gt;"",IF(N($AC834)&gt;0,"支給済","不支給"),IF($AC834="","要確認",IF($AC834=0,"不支給","未処理")))))</f>
        <v/>
      </c>
      <c r="AE834" s="12" t="n"/>
      <c r="AF834" s="11" t="n"/>
      <c r="AG834" s="11" t="n"/>
      <c r="AH834" s="11" t="n"/>
      <c r="AI834" s="14">
        <f>IF(AND($AD834="保留中",$AF834&lt;&gt;""),TODAY()-$AF834,"")</f>
        <v/>
      </c>
      <c r="AJ834" s="12" t="n"/>
      <c r="AK834" s="14">
        <f>IF($B834="","",IF($AO834="","対象年月が未入力／","")&amp;IF($B834="","",IF($AN834="","職員マスタに未登録の職員番号／",IF($Y834="","標準報酬月額が未登録／","")&amp;IF(AND($AO834&lt;&gt;"",OR(AND(INDEX(職員マスタ!$G$6:$G$405,$AN834)&lt;&gt;"",INDEX(職員マスタ!$G$6:$G$405,$AN834)&gt;EOMONTH($AO834,0)),AND(INDEX(職員マスタ!$H$6:$H$405,$AN834)&lt;&gt;"",INDEX(職員マスタ!$H$6:$H$405,$AN834)&lt;$AO834))),"対象月が時短期間外／","")&amp;IF(AND(INDEX(職員マスタ!$F$6:$F$405,$AN834)&lt;&gt;"",$AO834&lt;&gt;"",INDEX(職員マスタ!$F$6:$F$405,$AN834)&lt;$AO834),"対象月に子が2歳到達済／","")&amp;IF(AND($H834&lt;&gt;"",INDEX(職員マスタ!$B$6:$B$405,$AN834)&lt;&gt;"",SUBSTITUTE(SUBSTITUTE($H834," ","")," ","")&lt;&gt;SUBSTITUTE(SUBSTITUTE(INDEX(職員マスタ!$B$6:$B$405,$AN834)," ","")," ","")),"氏名がマスタと相違／","")&amp;IF(AND($Q834&lt;&gt;"",INDEX(職員マスタ!$E$6:$E$405,$AN834)&lt;&gt;"",$Q834&lt;&gt;INDEX(職員マスタ!$E$6:$E$405,$AN834)),"子の生年月日がマスタと相違／","")&amp;IF(AND($L834&lt;&gt;"",INDEX(職員マスタ!$G$6:$G$405,$AN834)&lt;&gt;"",$L834&lt;&gt;INDEX(職員マスタ!$G$6:$G$405,$AN834)),"時短開始日がマスタと相違／","")&amp;IF(AND($M834&lt;&gt;"",INDEX(職員マスタ!$H$6:$H$405,$AN834)&lt;&gt;"",$M834&lt;&gt;INDEX(職員マスタ!$H$6:$H$405,$AN834)),"時短終了日がマスタと相違／","")))&amp;IF(AND($B834&lt;&gt;"",$E834=""),"報酬額が未入力／","")&amp;IF(N($U834)&gt;0,"申請書に入力エラーが残っています／","")&amp;IF(AND($B834&lt;&gt;"",$AO834&lt;&gt;""),IF(COUNTIFS($B$6:$B$3005,$B834,$C$6:$C$3005,$C834,$D$6:$D$3005,$D834)&gt;1,"同じ月の請求が重複しています／",""),"")&amp;IF(AND(N($E834)&gt;0,$Z834&lt;&gt;"",$Z834&lt;&gt;"×",$AC834=0,$AB834=""),"計算額が下限以下のため不支給／",""))</f>
        <v/>
      </c>
      <c r="AL834" s="12" t="n"/>
      <c r="AM834" s="14">
        <f>IF($AD834="保留中",COUNTIF($AD$6:$AD834,"保留中"),"")</f>
        <v/>
      </c>
      <c r="AN834" s="14">
        <f>IF($AO834="","",IF(SUMPRODUCT(MAX((職員マスタ!$A$6:$A$405=$B834)*(((職員マスタ!$G$6:$G$405="")+(職員マスタ!$G$6:$G$405&lt;=EOMONTH($AO834,0)))&gt;0)*(((職員マスタ!$H$6:$H$405="")+(職員マスタ!$H$6:$H$405&gt;=$AO834))&gt;0)*(ROW(職員マスタ!$A$6:$A$405)-5)))&gt;0,SUMPRODUCT(MAX((職員マスタ!$A$6:$A$405=$B834)*(((職員マスタ!$G$6:$G$405="")+(職員マスタ!$G$6:$G$405&lt;=EOMONTH($AO834,0)))&gt;0)*(((職員マスタ!$H$6:$H$405="")+(職員マスタ!$H$6:$H$405&gt;=$AO834))&gt;0)*(ROW(職員マスタ!$A$6:$A$405)-5))),IFERROR(MATCH($B834,職員マスタ!$A$6:$A$405,0),"")))</f>
        <v/>
      </c>
      <c r="AO834" s="16">
        <f>IF(OR($B834="",$C834="",$D834=""),"",DATE($C834+2018,$D834,1))</f>
        <v/>
      </c>
    </row>
    <row r="835">
      <c r="A835" s="11" t="n"/>
      <c r="B835" s="12" t="n"/>
      <c r="C835" s="12" t="n"/>
      <c r="D835" s="12" t="n"/>
      <c r="E835" s="13" t="n"/>
      <c r="F835" s="12" t="n"/>
      <c r="G835" s="13" t="n"/>
      <c r="H835" s="12" t="n"/>
      <c r="I835" s="12" t="n"/>
      <c r="J835" s="12" t="n"/>
      <c r="K835" s="12" t="n"/>
      <c r="L835" s="11" t="n"/>
      <c r="M835" s="11" t="n"/>
      <c r="N835" s="11" t="n"/>
      <c r="O835" s="11" t="n"/>
      <c r="P835" s="12" t="n"/>
      <c r="Q835" s="11" t="n"/>
      <c r="R835" s="12" t="n"/>
      <c r="S835" s="11" t="n"/>
      <c r="T835" s="12" t="n"/>
      <c r="U835" s="12" t="n"/>
      <c r="V835" s="14">
        <f>IF($AN835="",IF($B835="","",$H835),IF(INDEX(職員マスタ!$B$6:$B$405,$AN835)="",$H835,INDEX(職員マスタ!$B$6:$B$405,$AN835)))</f>
        <v/>
      </c>
      <c r="W835" s="14">
        <f>IF($AN835="",IF($B835="","",$R835),IF(INDEX(職員マスタ!$C$6:$C$405,$AN835)="",$R835,INDEX(職員マスタ!$C$6:$C$405,$AN835)))</f>
        <v/>
      </c>
      <c r="X835" s="14">
        <f>IF($AO835="","","R"&amp;$C835&amp;"."&amp;$D835)</f>
        <v/>
      </c>
      <c r="Y835" s="15">
        <f>IF($AN835="","",IF(INDEX(職員マスタ!$K$6:$K$405,$AN835)="","",INDEX(職員マスタ!$K$6:$K$405,$AN835)))</f>
        <v/>
      </c>
      <c r="Z835" s="14">
        <f>IF(OR($E835="",$Y835=""),"",IF($E835&gt;=$Y835,"×",IF($E835&gt;=$Y835*設定!$C$5,"△","○")))</f>
        <v/>
      </c>
      <c r="AA835" s="15">
        <f>IF($Z835="","",IF($Z835="×",0,IF($Z835="○",ROUNDDOWN($E835*設定!$C$4,0),ROUNDDOWN($E835*ROUND((9*$Y835-9*$E835)/(10*$E835),4),0))))</f>
        <v/>
      </c>
      <c r="AB835" s="13" t="n"/>
      <c r="AC835" s="15">
        <f>IF($B835="","",IF($AB835&lt;&gt;"",$AB835,IF($AA835="","",IF($AA835&lt;=設定!$C$3,0,$AA835))))</f>
        <v/>
      </c>
      <c r="AD835" s="14">
        <f>IF($B835="","",IF(AND($AE835&lt;&gt;"",$AG835="",$AJ835=""),"保留中",IF($AJ835&lt;&gt;"",IF(N($AC835)&gt;0,"支給済","不支給"),IF($AC835="","要確認",IF($AC835=0,"不支給","未処理")))))</f>
        <v/>
      </c>
      <c r="AE835" s="12" t="n"/>
      <c r="AF835" s="11" t="n"/>
      <c r="AG835" s="11" t="n"/>
      <c r="AH835" s="11" t="n"/>
      <c r="AI835" s="14">
        <f>IF(AND($AD835="保留中",$AF835&lt;&gt;""),TODAY()-$AF835,"")</f>
        <v/>
      </c>
      <c r="AJ835" s="12" t="n"/>
      <c r="AK835" s="14">
        <f>IF($B835="","",IF($AO835="","対象年月が未入力／","")&amp;IF($B835="","",IF($AN835="","職員マスタに未登録の職員番号／",IF($Y835="","標準報酬月額が未登録／","")&amp;IF(AND($AO835&lt;&gt;"",OR(AND(INDEX(職員マスタ!$G$6:$G$405,$AN835)&lt;&gt;"",INDEX(職員マスタ!$G$6:$G$405,$AN835)&gt;EOMONTH($AO835,0)),AND(INDEX(職員マスタ!$H$6:$H$405,$AN835)&lt;&gt;"",INDEX(職員マスタ!$H$6:$H$405,$AN835)&lt;$AO835))),"対象月が時短期間外／","")&amp;IF(AND(INDEX(職員マスタ!$F$6:$F$405,$AN835)&lt;&gt;"",$AO835&lt;&gt;"",INDEX(職員マスタ!$F$6:$F$405,$AN835)&lt;$AO835),"対象月に子が2歳到達済／","")&amp;IF(AND($H835&lt;&gt;"",INDEX(職員マスタ!$B$6:$B$405,$AN835)&lt;&gt;"",SUBSTITUTE(SUBSTITUTE($H835," ","")," ","")&lt;&gt;SUBSTITUTE(SUBSTITUTE(INDEX(職員マスタ!$B$6:$B$405,$AN835)," ","")," ","")),"氏名がマスタと相違／","")&amp;IF(AND($Q835&lt;&gt;"",INDEX(職員マスタ!$E$6:$E$405,$AN835)&lt;&gt;"",$Q835&lt;&gt;INDEX(職員マスタ!$E$6:$E$405,$AN835)),"子の生年月日がマスタと相違／","")&amp;IF(AND($L835&lt;&gt;"",INDEX(職員マスタ!$G$6:$G$405,$AN835)&lt;&gt;"",$L835&lt;&gt;INDEX(職員マスタ!$G$6:$G$405,$AN835)),"時短開始日がマスタと相違／","")&amp;IF(AND($M835&lt;&gt;"",INDEX(職員マスタ!$H$6:$H$405,$AN835)&lt;&gt;"",$M835&lt;&gt;INDEX(職員マスタ!$H$6:$H$405,$AN835)),"時短終了日がマスタと相違／","")))&amp;IF(AND($B835&lt;&gt;"",$E835=""),"報酬額が未入力／","")&amp;IF(N($U835)&gt;0,"申請書に入力エラーが残っています／","")&amp;IF(AND($B835&lt;&gt;"",$AO835&lt;&gt;""),IF(COUNTIFS($B$6:$B$3005,$B835,$C$6:$C$3005,$C835,$D$6:$D$3005,$D835)&gt;1,"同じ月の請求が重複しています／",""),"")&amp;IF(AND(N($E835)&gt;0,$Z835&lt;&gt;"",$Z835&lt;&gt;"×",$AC835=0,$AB835=""),"計算額が下限以下のため不支給／",""))</f>
        <v/>
      </c>
      <c r="AL835" s="12" t="n"/>
      <c r="AM835" s="14">
        <f>IF($AD835="保留中",COUNTIF($AD$6:$AD835,"保留中"),"")</f>
        <v/>
      </c>
      <c r="AN835" s="14">
        <f>IF($AO835="","",IF(SUMPRODUCT(MAX((職員マスタ!$A$6:$A$405=$B835)*(((職員マスタ!$G$6:$G$405="")+(職員マスタ!$G$6:$G$405&lt;=EOMONTH($AO835,0)))&gt;0)*(((職員マスタ!$H$6:$H$405="")+(職員マスタ!$H$6:$H$405&gt;=$AO835))&gt;0)*(ROW(職員マスタ!$A$6:$A$405)-5)))&gt;0,SUMPRODUCT(MAX((職員マスタ!$A$6:$A$405=$B835)*(((職員マスタ!$G$6:$G$405="")+(職員マスタ!$G$6:$G$405&lt;=EOMONTH($AO835,0)))&gt;0)*(((職員マスタ!$H$6:$H$405="")+(職員マスタ!$H$6:$H$405&gt;=$AO835))&gt;0)*(ROW(職員マスタ!$A$6:$A$405)-5))),IFERROR(MATCH($B835,職員マスタ!$A$6:$A$405,0),"")))</f>
        <v/>
      </c>
      <c r="AO835" s="16">
        <f>IF(OR($B835="",$C835="",$D835=""),"",DATE($C835+2018,$D835,1))</f>
        <v/>
      </c>
    </row>
    <row r="836">
      <c r="A836" s="11" t="n"/>
      <c r="B836" s="12" t="n"/>
      <c r="C836" s="12" t="n"/>
      <c r="D836" s="12" t="n"/>
      <c r="E836" s="13" t="n"/>
      <c r="F836" s="12" t="n"/>
      <c r="G836" s="13" t="n"/>
      <c r="H836" s="12" t="n"/>
      <c r="I836" s="12" t="n"/>
      <c r="J836" s="12" t="n"/>
      <c r="K836" s="12" t="n"/>
      <c r="L836" s="11" t="n"/>
      <c r="M836" s="11" t="n"/>
      <c r="N836" s="11" t="n"/>
      <c r="O836" s="11" t="n"/>
      <c r="P836" s="12" t="n"/>
      <c r="Q836" s="11" t="n"/>
      <c r="R836" s="12" t="n"/>
      <c r="S836" s="11" t="n"/>
      <c r="T836" s="12" t="n"/>
      <c r="U836" s="12" t="n"/>
      <c r="V836" s="14">
        <f>IF($AN836="",IF($B836="","",$H836),IF(INDEX(職員マスタ!$B$6:$B$405,$AN836)="",$H836,INDEX(職員マスタ!$B$6:$B$405,$AN836)))</f>
        <v/>
      </c>
      <c r="W836" s="14">
        <f>IF($AN836="",IF($B836="","",$R836),IF(INDEX(職員マスタ!$C$6:$C$405,$AN836)="",$R836,INDEX(職員マスタ!$C$6:$C$405,$AN836)))</f>
        <v/>
      </c>
      <c r="X836" s="14">
        <f>IF($AO836="","","R"&amp;$C836&amp;"."&amp;$D836)</f>
        <v/>
      </c>
      <c r="Y836" s="15">
        <f>IF($AN836="","",IF(INDEX(職員マスタ!$K$6:$K$405,$AN836)="","",INDEX(職員マスタ!$K$6:$K$405,$AN836)))</f>
        <v/>
      </c>
      <c r="Z836" s="14">
        <f>IF(OR($E836="",$Y836=""),"",IF($E836&gt;=$Y836,"×",IF($E836&gt;=$Y836*設定!$C$5,"△","○")))</f>
        <v/>
      </c>
      <c r="AA836" s="15">
        <f>IF($Z836="","",IF($Z836="×",0,IF($Z836="○",ROUNDDOWN($E836*設定!$C$4,0),ROUNDDOWN($E836*ROUND((9*$Y836-9*$E836)/(10*$E836),4),0))))</f>
        <v/>
      </c>
      <c r="AB836" s="13" t="n"/>
      <c r="AC836" s="15">
        <f>IF($B836="","",IF($AB836&lt;&gt;"",$AB836,IF($AA836="","",IF($AA836&lt;=設定!$C$3,0,$AA836))))</f>
        <v/>
      </c>
      <c r="AD836" s="14">
        <f>IF($B836="","",IF(AND($AE836&lt;&gt;"",$AG836="",$AJ836=""),"保留中",IF($AJ836&lt;&gt;"",IF(N($AC836)&gt;0,"支給済","不支給"),IF($AC836="","要確認",IF($AC836=0,"不支給","未処理")))))</f>
        <v/>
      </c>
      <c r="AE836" s="12" t="n"/>
      <c r="AF836" s="11" t="n"/>
      <c r="AG836" s="11" t="n"/>
      <c r="AH836" s="11" t="n"/>
      <c r="AI836" s="14">
        <f>IF(AND($AD836="保留中",$AF836&lt;&gt;""),TODAY()-$AF836,"")</f>
        <v/>
      </c>
      <c r="AJ836" s="12" t="n"/>
      <c r="AK836" s="14">
        <f>IF($B836="","",IF($AO836="","対象年月が未入力／","")&amp;IF($B836="","",IF($AN836="","職員マスタに未登録の職員番号／",IF($Y836="","標準報酬月額が未登録／","")&amp;IF(AND($AO836&lt;&gt;"",OR(AND(INDEX(職員マスタ!$G$6:$G$405,$AN836)&lt;&gt;"",INDEX(職員マスタ!$G$6:$G$405,$AN836)&gt;EOMONTH($AO836,0)),AND(INDEX(職員マスタ!$H$6:$H$405,$AN836)&lt;&gt;"",INDEX(職員マスタ!$H$6:$H$405,$AN836)&lt;$AO836))),"対象月が時短期間外／","")&amp;IF(AND(INDEX(職員マスタ!$F$6:$F$405,$AN836)&lt;&gt;"",$AO836&lt;&gt;"",INDEX(職員マスタ!$F$6:$F$405,$AN836)&lt;$AO836),"対象月に子が2歳到達済／","")&amp;IF(AND($H836&lt;&gt;"",INDEX(職員マスタ!$B$6:$B$405,$AN836)&lt;&gt;"",SUBSTITUTE(SUBSTITUTE($H836," ","")," ","")&lt;&gt;SUBSTITUTE(SUBSTITUTE(INDEX(職員マスタ!$B$6:$B$405,$AN836)," ","")," ","")),"氏名がマスタと相違／","")&amp;IF(AND($Q836&lt;&gt;"",INDEX(職員マスタ!$E$6:$E$405,$AN836)&lt;&gt;"",$Q836&lt;&gt;INDEX(職員マスタ!$E$6:$E$405,$AN836)),"子の生年月日がマスタと相違／","")&amp;IF(AND($L836&lt;&gt;"",INDEX(職員マスタ!$G$6:$G$405,$AN836)&lt;&gt;"",$L836&lt;&gt;INDEX(職員マスタ!$G$6:$G$405,$AN836)),"時短開始日がマスタと相違／","")&amp;IF(AND($M836&lt;&gt;"",INDEX(職員マスタ!$H$6:$H$405,$AN836)&lt;&gt;"",$M836&lt;&gt;INDEX(職員マスタ!$H$6:$H$405,$AN836)),"時短終了日がマスタと相違／","")))&amp;IF(AND($B836&lt;&gt;"",$E836=""),"報酬額が未入力／","")&amp;IF(N($U836)&gt;0,"申請書に入力エラーが残っています／","")&amp;IF(AND($B836&lt;&gt;"",$AO836&lt;&gt;""),IF(COUNTIFS($B$6:$B$3005,$B836,$C$6:$C$3005,$C836,$D$6:$D$3005,$D836)&gt;1,"同じ月の請求が重複しています／",""),"")&amp;IF(AND(N($E836)&gt;0,$Z836&lt;&gt;"",$Z836&lt;&gt;"×",$AC836=0,$AB836=""),"計算額が下限以下のため不支給／",""))</f>
        <v/>
      </c>
      <c r="AL836" s="12" t="n"/>
      <c r="AM836" s="14">
        <f>IF($AD836="保留中",COUNTIF($AD$6:$AD836,"保留中"),"")</f>
        <v/>
      </c>
      <c r="AN836" s="14">
        <f>IF($AO836="","",IF(SUMPRODUCT(MAX((職員マスタ!$A$6:$A$405=$B836)*(((職員マスタ!$G$6:$G$405="")+(職員マスタ!$G$6:$G$405&lt;=EOMONTH($AO836,0)))&gt;0)*(((職員マスタ!$H$6:$H$405="")+(職員マスタ!$H$6:$H$405&gt;=$AO836))&gt;0)*(ROW(職員マスタ!$A$6:$A$405)-5)))&gt;0,SUMPRODUCT(MAX((職員マスタ!$A$6:$A$405=$B836)*(((職員マスタ!$G$6:$G$405="")+(職員マスタ!$G$6:$G$405&lt;=EOMONTH($AO836,0)))&gt;0)*(((職員マスタ!$H$6:$H$405="")+(職員マスタ!$H$6:$H$405&gt;=$AO836))&gt;0)*(ROW(職員マスタ!$A$6:$A$405)-5))),IFERROR(MATCH($B836,職員マスタ!$A$6:$A$405,0),"")))</f>
        <v/>
      </c>
      <c r="AO836" s="16">
        <f>IF(OR($B836="",$C836="",$D836=""),"",DATE($C836+2018,$D836,1))</f>
        <v/>
      </c>
    </row>
    <row r="837">
      <c r="A837" s="11" t="n"/>
      <c r="B837" s="12" t="n"/>
      <c r="C837" s="12" t="n"/>
      <c r="D837" s="12" t="n"/>
      <c r="E837" s="13" t="n"/>
      <c r="F837" s="12" t="n"/>
      <c r="G837" s="13" t="n"/>
      <c r="H837" s="12" t="n"/>
      <c r="I837" s="12" t="n"/>
      <c r="J837" s="12" t="n"/>
      <c r="K837" s="12" t="n"/>
      <c r="L837" s="11" t="n"/>
      <c r="M837" s="11" t="n"/>
      <c r="N837" s="11" t="n"/>
      <c r="O837" s="11" t="n"/>
      <c r="P837" s="12" t="n"/>
      <c r="Q837" s="11" t="n"/>
      <c r="R837" s="12" t="n"/>
      <c r="S837" s="11" t="n"/>
      <c r="T837" s="12" t="n"/>
      <c r="U837" s="12" t="n"/>
      <c r="V837" s="14">
        <f>IF($AN837="",IF($B837="","",$H837),IF(INDEX(職員マスタ!$B$6:$B$405,$AN837)="",$H837,INDEX(職員マスタ!$B$6:$B$405,$AN837)))</f>
        <v/>
      </c>
      <c r="W837" s="14">
        <f>IF($AN837="",IF($B837="","",$R837),IF(INDEX(職員マスタ!$C$6:$C$405,$AN837)="",$R837,INDEX(職員マスタ!$C$6:$C$405,$AN837)))</f>
        <v/>
      </c>
      <c r="X837" s="14">
        <f>IF($AO837="","","R"&amp;$C837&amp;"."&amp;$D837)</f>
        <v/>
      </c>
      <c r="Y837" s="15">
        <f>IF($AN837="","",IF(INDEX(職員マスタ!$K$6:$K$405,$AN837)="","",INDEX(職員マスタ!$K$6:$K$405,$AN837)))</f>
        <v/>
      </c>
      <c r="Z837" s="14">
        <f>IF(OR($E837="",$Y837=""),"",IF($E837&gt;=$Y837,"×",IF($E837&gt;=$Y837*設定!$C$5,"△","○")))</f>
        <v/>
      </c>
      <c r="AA837" s="15">
        <f>IF($Z837="","",IF($Z837="×",0,IF($Z837="○",ROUNDDOWN($E837*設定!$C$4,0),ROUNDDOWN($E837*ROUND((9*$Y837-9*$E837)/(10*$E837),4),0))))</f>
        <v/>
      </c>
      <c r="AB837" s="13" t="n"/>
      <c r="AC837" s="15">
        <f>IF($B837="","",IF($AB837&lt;&gt;"",$AB837,IF($AA837="","",IF($AA837&lt;=設定!$C$3,0,$AA837))))</f>
        <v/>
      </c>
      <c r="AD837" s="14">
        <f>IF($B837="","",IF(AND($AE837&lt;&gt;"",$AG837="",$AJ837=""),"保留中",IF($AJ837&lt;&gt;"",IF(N($AC837)&gt;0,"支給済","不支給"),IF($AC837="","要確認",IF($AC837=0,"不支給","未処理")))))</f>
        <v/>
      </c>
      <c r="AE837" s="12" t="n"/>
      <c r="AF837" s="11" t="n"/>
      <c r="AG837" s="11" t="n"/>
      <c r="AH837" s="11" t="n"/>
      <c r="AI837" s="14">
        <f>IF(AND($AD837="保留中",$AF837&lt;&gt;""),TODAY()-$AF837,"")</f>
        <v/>
      </c>
      <c r="AJ837" s="12" t="n"/>
      <c r="AK837" s="14">
        <f>IF($B837="","",IF($AO837="","対象年月が未入力／","")&amp;IF($B837="","",IF($AN837="","職員マスタに未登録の職員番号／",IF($Y837="","標準報酬月額が未登録／","")&amp;IF(AND($AO837&lt;&gt;"",OR(AND(INDEX(職員マスタ!$G$6:$G$405,$AN837)&lt;&gt;"",INDEX(職員マスタ!$G$6:$G$405,$AN837)&gt;EOMONTH($AO837,0)),AND(INDEX(職員マスタ!$H$6:$H$405,$AN837)&lt;&gt;"",INDEX(職員マスタ!$H$6:$H$405,$AN837)&lt;$AO837))),"対象月が時短期間外／","")&amp;IF(AND(INDEX(職員マスタ!$F$6:$F$405,$AN837)&lt;&gt;"",$AO837&lt;&gt;"",INDEX(職員マスタ!$F$6:$F$405,$AN837)&lt;$AO837),"対象月に子が2歳到達済／","")&amp;IF(AND($H837&lt;&gt;"",INDEX(職員マスタ!$B$6:$B$405,$AN837)&lt;&gt;"",SUBSTITUTE(SUBSTITUTE($H837," ","")," ","")&lt;&gt;SUBSTITUTE(SUBSTITUTE(INDEX(職員マスタ!$B$6:$B$405,$AN837)," ","")," ","")),"氏名がマスタと相違／","")&amp;IF(AND($Q837&lt;&gt;"",INDEX(職員マスタ!$E$6:$E$405,$AN837)&lt;&gt;"",$Q837&lt;&gt;INDEX(職員マスタ!$E$6:$E$405,$AN837)),"子の生年月日がマスタと相違／","")&amp;IF(AND($L837&lt;&gt;"",INDEX(職員マスタ!$G$6:$G$405,$AN837)&lt;&gt;"",$L837&lt;&gt;INDEX(職員マスタ!$G$6:$G$405,$AN837)),"時短開始日がマスタと相違／","")&amp;IF(AND($M837&lt;&gt;"",INDEX(職員マスタ!$H$6:$H$405,$AN837)&lt;&gt;"",$M837&lt;&gt;INDEX(職員マスタ!$H$6:$H$405,$AN837)),"時短終了日がマスタと相違／","")))&amp;IF(AND($B837&lt;&gt;"",$E837=""),"報酬額が未入力／","")&amp;IF(N($U837)&gt;0,"申請書に入力エラーが残っています／","")&amp;IF(AND($B837&lt;&gt;"",$AO837&lt;&gt;""),IF(COUNTIFS($B$6:$B$3005,$B837,$C$6:$C$3005,$C837,$D$6:$D$3005,$D837)&gt;1,"同じ月の請求が重複しています／",""),"")&amp;IF(AND(N($E837)&gt;0,$Z837&lt;&gt;"",$Z837&lt;&gt;"×",$AC837=0,$AB837=""),"計算額が下限以下のため不支給／",""))</f>
        <v/>
      </c>
      <c r="AL837" s="12" t="n"/>
      <c r="AM837" s="14">
        <f>IF($AD837="保留中",COUNTIF($AD$6:$AD837,"保留中"),"")</f>
        <v/>
      </c>
      <c r="AN837" s="14">
        <f>IF($AO837="","",IF(SUMPRODUCT(MAX((職員マスタ!$A$6:$A$405=$B837)*(((職員マスタ!$G$6:$G$405="")+(職員マスタ!$G$6:$G$405&lt;=EOMONTH($AO837,0)))&gt;0)*(((職員マスタ!$H$6:$H$405="")+(職員マスタ!$H$6:$H$405&gt;=$AO837))&gt;0)*(ROW(職員マスタ!$A$6:$A$405)-5)))&gt;0,SUMPRODUCT(MAX((職員マスタ!$A$6:$A$405=$B837)*(((職員マスタ!$G$6:$G$405="")+(職員マスタ!$G$6:$G$405&lt;=EOMONTH($AO837,0)))&gt;0)*(((職員マスタ!$H$6:$H$405="")+(職員マスタ!$H$6:$H$405&gt;=$AO837))&gt;0)*(ROW(職員マスタ!$A$6:$A$405)-5))),IFERROR(MATCH($B837,職員マスタ!$A$6:$A$405,0),"")))</f>
        <v/>
      </c>
      <c r="AO837" s="16">
        <f>IF(OR($B837="",$C837="",$D837=""),"",DATE($C837+2018,$D837,1))</f>
        <v/>
      </c>
    </row>
    <row r="838">
      <c r="A838" s="11" t="n"/>
      <c r="B838" s="12" t="n"/>
      <c r="C838" s="12" t="n"/>
      <c r="D838" s="12" t="n"/>
      <c r="E838" s="13" t="n"/>
      <c r="F838" s="12" t="n"/>
      <c r="G838" s="13" t="n"/>
      <c r="H838" s="12" t="n"/>
      <c r="I838" s="12" t="n"/>
      <c r="J838" s="12" t="n"/>
      <c r="K838" s="12" t="n"/>
      <c r="L838" s="11" t="n"/>
      <c r="M838" s="11" t="n"/>
      <c r="N838" s="11" t="n"/>
      <c r="O838" s="11" t="n"/>
      <c r="P838" s="12" t="n"/>
      <c r="Q838" s="11" t="n"/>
      <c r="R838" s="12" t="n"/>
      <c r="S838" s="11" t="n"/>
      <c r="T838" s="12" t="n"/>
      <c r="U838" s="12" t="n"/>
      <c r="V838" s="14">
        <f>IF($AN838="",IF($B838="","",$H838),IF(INDEX(職員マスタ!$B$6:$B$405,$AN838)="",$H838,INDEX(職員マスタ!$B$6:$B$405,$AN838)))</f>
        <v/>
      </c>
      <c r="W838" s="14">
        <f>IF($AN838="",IF($B838="","",$R838),IF(INDEX(職員マスタ!$C$6:$C$405,$AN838)="",$R838,INDEX(職員マスタ!$C$6:$C$405,$AN838)))</f>
        <v/>
      </c>
      <c r="X838" s="14">
        <f>IF($AO838="","","R"&amp;$C838&amp;"."&amp;$D838)</f>
        <v/>
      </c>
      <c r="Y838" s="15">
        <f>IF($AN838="","",IF(INDEX(職員マスタ!$K$6:$K$405,$AN838)="","",INDEX(職員マスタ!$K$6:$K$405,$AN838)))</f>
        <v/>
      </c>
      <c r="Z838" s="14">
        <f>IF(OR($E838="",$Y838=""),"",IF($E838&gt;=$Y838,"×",IF($E838&gt;=$Y838*設定!$C$5,"△","○")))</f>
        <v/>
      </c>
      <c r="AA838" s="15">
        <f>IF($Z838="","",IF($Z838="×",0,IF($Z838="○",ROUNDDOWN($E838*設定!$C$4,0),ROUNDDOWN($E838*ROUND((9*$Y838-9*$E838)/(10*$E838),4),0))))</f>
        <v/>
      </c>
      <c r="AB838" s="13" t="n"/>
      <c r="AC838" s="15">
        <f>IF($B838="","",IF($AB838&lt;&gt;"",$AB838,IF($AA838="","",IF($AA838&lt;=設定!$C$3,0,$AA838))))</f>
        <v/>
      </c>
      <c r="AD838" s="14">
        <f>IF($B838="","",IF(AND($AE838&lt;&gt;"",$AG838="",$AJ838=""),"保留中",IF($AJ838&lt;&gt;"",IF(N($AC838)&gt;0,"支給済","不支給"),IF($AC838="","要確認",IF($AC838=0,"不支給","未処理")))))</f>
        <v/>
      </c>
      <c r="AE838" s="12" t="n"/>
      <c r="AF838" s="11" t="n"/>
      <c r="AG838" s="11" t="n"/>
      <c r="AH838" s="11" t="n"/>
      <c r="AI838" s="14">
        <f>IF(AND($AD838="保留中",$AF838&lt;&gt;""),TODAY()-$AF838,"")</f>
        <v/>
      </c>
      <c r="AJ838" s="12" t="n"/>
      <c r="AK838" s="14">
        <f>IF($B838="","",IF($AO838="","対象年月が未入力／","")&amp;IF($B838="","",IF($AN838="","職員マスタに未登録の職員番号／",IF($Y838="","標準報酬月額が未登録／","")&amp;IF(AND($AO838&lt;&gt;"",OR(AND(INDEX(職員マスタ!$G$6:$G$405,$AN838)&lt;&gt;"",INDEX(職員マスタ!$G$6:$G$405,$AN838)&gt;EOMONTH($AO838,0)),AND(INDEX(職員マスタ!$H$6:$H$405,$AN838)&lt;&gt;"",INDEX(職員マスタ!$H$6:$H$405,$AN838)&lt;$AO838))),"対象月が時短期間外／","")&amp;IF(AND(INDEX(職員マスタ!$F$6:$F$405,$AN838)&lt;&gt;"",$AO838&lt;&gt;"",INDEX(職員マスタ!$F$6:$F$405,$AN838)&lt;$AO838),"対象月に子が2歳到達済／","")&amp;IF(AND($H838&lt;&gt;"",INDEX(職員マスタ!$B$6:$B$405,$AN838)&lt;&gt;"",SUBSTITUTE(SUBSTITUTE($H838," ","")," ","")&lt;&gt;SUBSTITUTE(SUBSTITUTE(INDEX(職員マスタ!$B$6:$B$405,$AN838)," ","")," ","")),"氏名がマスタと相違／","")&amp;IF(AND($Q838&lt;&gt;"",INDEX(職員マスタ!$E$6:$E$405,$AN838)&lt;&gt;"",$Q838&lt;&gt;INDEX(職員マスタ!$E$6:$E$405,$AN838)),"子の生年月日がマスタと相違／","")&amp;IF(AND($L838&lt;&gt;"",INDEX(職員マスタ!$G$6:$G$405,$AN838)&lt;&gt;"",$L838&lt;&gt;INDEX(職員マスタ!$G$6:$G$405,$AN838)),"時短開始日がマスタと相違／","")&amp;IF(AND($M838&lt;&gt;"",INDEX(職員マスタ!$H$6:$H$405,$AN838)&lt;&gt;"",$M838&lt;&gt;INDEX(職員マスタ!$H$6:$H$405,$AN838)),"時短終了日がマスタと相違／","")))&amp;IF(AND($B838&lt;&gt;"",$E838=""),"報酬額が未入力／","")&amp;IF(N($U838)&gt;0,"申請書に入力エラーが残っています／","")&amp;IF(AND($B838&lt;&gt;"",$AO838&lt;&gt;""),IF(COUNTIFS($B$6:$B$3005,$B838,$C$6:$C$3005,$C838,$D$6:$D$3005,$D838)&gt;1,"同じ月の請求が重複しています／",""),"")&amp;IF(AND(N($E838)&gt;0,$Z838&lt;&gt;"",$Z838&lt;&gt;"×",$AC838=0,$AB838=""),"計算額が下限以下のため不支給／",""))</f>
        <v/>
      </c>
      <c r="AL838" s="12" t="n"/>
      <c r="AM838" s="14">
        <f>IF($AD838="保留中",COUNTIF($AD$6:$AD838,"保留中"),"")</f>
        <v/>
      </c>
      <c r="AN838" s="14">
        <f>IF($AO838="","",IF(SUMPRODUCT(MAX((職員マスタ!$A$6:$A$405=$B838)*(((職員マスタ!$G$6:$G$405="")+(職員マスタ!$G$6:$G$405&lt;=EOMONTH($AO838,0)))&gt;0)*(((職員マスタ!$H$6:$H$405="")+(職員マスタ!$H$6:$H$405&gt;=$AO838))&gt;0)*(ROW(職員マスタ!$A$6:$A$405)-5)))&gt;0,SUMPRODUCT(MAX((職員マスタ!$A$6:$A$405=$B838)*(((職員マスタ!$G$6:$G$405="")+(職員マスタ!$G$6:$G$405&lt;=EOMONTH($AO838,0)))&gt;0)*(((職員マスタ!$H$6:$H$405="")+(職員マスタ!$H$6:$H$405&gt;=$AO838))&gt;0)*(ROW(職員マスタ!$A$6:$A$405)-5))),IFERROR(MATCH($B838,職員マスタ!$A$6:$A$405,0),"")))</f>
        <v/>
      </c>
      <c r="AO838" s="16">
        <f>IF(OR($B838="",$C838="",$D838=""),"",DATE($C838+2018,$D838,1))</f>
        <v/>
      </c>
    </row>
    <row r="839">
      <c r="A839" s="11" t="n"/>
      <c r="B839" s="12" t="n"/>
      <c r="C839" s="12" t="n"/>
      <c r="D839" s="12" t="n"/>
      <c r="E839" s="13" t="n"/>
      <c r="F839" s="12" t="n"/>
      <c r="G839" s="13" t="n"/>
      <c r="H839" s="12" t="n"/>
      <c r="I839" s="12" t="n"/>
      <c r="J839" s="12" t="n"/>
      <c r="K839" s="12" t="n"/>
      <c r="L839" s="11" t="n"/>
      <c r="M839" s="11" t="n"/>
      <c r="N839" s="11" t="n"/>
      <c r="O839" s="11" t="n"/>
      <c r="P839" s="12" t="n"/>
      <c r="Q839" s="11" t="n"/>
      <c r="R839" s="12" t="n"/>
      <c r="S839" s="11" t="n"/>
      <c r="T839" s="12" t="n"/>
      <c r="U839" s="12" t="n"/>
      <c r="V839" s="14">
        <f>IF($AN839="",IF($B839="","",$H839),IF(INDEX(職員マスタ!$B$6:$B$405,$AN839)="",$H839,INDEX(職員マスタ!$B$6:$B$405,$AN839)))</f>
        <v/>
      </c>
      <c r="W839" s="14">
        <f>IF($AN839="",IF($B839="","",$R839),IF(INDEX(職員マスタ!$C$6:$C$405,$AN839)="",$R839,INDEX(職員マスタ!$C$6:$C$405,$AN839)))</f>
        <v/>
      </c>
      <c r="X839" s="14">
        <f>IF($AO839="","","R"&amp;$C839&amp;"."&amp;$D839)</f>
        <v/>
      </c>
      <c r="Y839" s="15">
        <f>IF($AN839="","",IF(INDEX(職員マスタ!$K$6:$K$405,$AN839)="","",INDEX(職員マスタ!$K$6:$K$405,$AN839)))</f>
        <v/>
      </c>
      <c r="Z839" s="14">
        <f>IF(OR($E839="",$Y839=""),"",IF($E839&gt;=$Y839,"×",IF($E839&gt;=$Y839*設定!$C$5,"△","○")))</f>
        <v/>
      </c>
      <c r="AA839" s="15">
        <f>IF($Z839="","",IF($Z839="×",0,IF($Z839="○",ROUNDDOWN($E839*設定!$C$4,0),ROUNDDOWN($E839*ROUND((9*$Y839-9*$E839)/(10*$E839),4),0))))</f>
        <v/>
      </c>
      <c r="AB839" s="13" t="n"/>
      <c r="AC839" s="15">
        <f>IF($B839="","",IF($AB839&lt;&gt;"",$AB839,IF($AA839="","",IF($AA839&lt;=設定!$C$3,0,$AA839))))</f>
        <v/>
      </c>
      <c r="AD839" s="14">
        <f>IF($B839="","",IF(AND($AE839&lt;&gt;"",$AG839="",$AJ839=""),"保留中",IF($AJ839&lt;&gt;"",IF(N($AC839)&gt;0,"支給済","不支給"),IF($AC839="","要確認",IF($AC839=0,"不支給","未処理")))))</f>
        <v/>
      </c>
      <c r="AE839" s="12" t="n"/>
      <c r="AF839" s="11" t="n"/>
      <c r="AG839" s="11" t="n"/>
      <c r="AH839" s="11" t="n"/>
      <c r="AI839" s="14">
        <f>IF(AND($AD839="保留中",$AF839&lt;&gt;""),TODAY()-$AF839,"")</f>
        <v/>
      </c>
      <c r="AJ839" s="12" t="n"/>
      <c r="AK839" s="14">
        <f>IF($B839="","",IF($AO839="","対象年月が未入力／","")&amp;IF($B839="","",IF($AN839="","職員マスタに未登録の職員番号／",IF($Y839="","標準報酬月額が未登録／","")&amp;IF(AND($AO839&lt;&gt;"",OR(AND(INDEX(職員マスタ!$G$6:$G$405,$AN839)&lt;&gt;"",INDEX(職員マスタ!$G$6:$G$405,$AN839)&gt;EOMONTH($AO839,0)),AND(INDEX(職員マスタ!$H$6:$H$405,$AN839)&lt;&gt;"",INDEX(職員マスタ!$H$6:$H$405,$AN839)&lt;$AO839))),"対象月が時短期間外／","")&amp;IF(AND(INDEX(職員マスタ!$F$6:$F$405,$AN839)&lt;&gt;"",$AO839&lt;&gt;"",INDEX(職員マスタ!$F$6:$F$405,$AN839)&lt;$AO839),"対象月に子が2歳到達済／","")&amp;IF(AND($H839&lt;&gt;"",INDEX(職員マスタ!$B$6:$B$405,$AN839)&lt;&gt;"",SUBSTITUTE(SUBSTITUTE($H839," ","")," ","")&lt;&gt;SUBSTITUTE(SUBSTITUTE(INDEX(職員マスタ!$B$6:$B$405,$AN839)," ","")," ","")),"氏名がマスタと相違／","")&amp;IF(AND($Q839&lt;&gt;"",INDEX(職員マスタ!$E$6:$E$405,$AN839)&lt;&gt;"",$Q839&lt;&gt;INDEX(職員マスタ!$E$6:$E$405,$AN839)),"子の生年月日がマスタと相違／","")&amp;IF(AND($L839&lt;&gt;"",INDEX(職員マスタ!$G$6:$G$405,$AN839)&lt;&gt;"",$L839&lt;&gt;INDEX(職員マスタ!$G$6:$G$405,$AN839)),"時短開始日がマスタと相違／","")&amp;IF(AND($M839&lt;&gt;"",INDEX(職員マスタ!$H$6:$H$405,$AN839)&lt;&gt;"",$M839&lt;&gt;INDEX(職員マスタ!$H$6:$H$405,$AN839)),"時短終了日がマスタと相違／","")))&amp;IF(AND($B839&lt;&gt;"",$E839=""),"報酬額が未入力／","")&amp;IF(N($U839)&gt;0,"申請書に入力エラーが残っています／","")&amp;IF(AND($B839&lt;&gt;"",$AO839&lt;&gt;""),IF(COUNTIFS($B$6:$B$3005,$B839,$C$6:$C$3005,$C839,$D$6:$D$3005,$D839)&gt;1,"同じ月の請求が重複しています／",""),"")&amp;IF(AND(N($E839)&gt;0,$Z839&lt;&gt;"",$Z839&lt;&gt;"×",$AC839=0,$AB839=""),"計算額が下限以下のため不支給／",""))</f>
        <v/>
      </c>
      <c r="AL839" s="12" t="n"/>
      <c r="AM839" s="14">
        <f>IF($AD839="保留中",COUNTIF($AD$6:$AD839,"保留中"),"")</f>
        <v/>
      </c>
      <c r="AN839" s="14">
        <f>IF($AO839="","",IF(SUMPRODUCT(MAX((職員マスタ!$A$6:$A$405=$B839)*(((職員マスタ!$G$6:$G$405="")+(職員マスタ!$G$6:$G$405&lt;=EOMONTH($AO839,0)))&gt;0)*(((職員マスタ!$H$6:$H$405="")+(職員マスタ!$H$6:$H$405&gt;=$AO839))&gt;0)*(ROW(職員マスタ!$A$6:$A$405)-5)))&gt;0,SUMPRODUCT(MAX((職員マスタ!$A$6:$A$405=$B839)*(((職員マスタ!$G$6:$G$405="")+(職員マスタ!$G$6:$G$405&lt;=EOMONTH($AO839,0)))&gt;0)*(((職員マスタ!$H$6:$H$405="")+(職員マスタ!$H$6:$H$405&gt;=$AO839))&gt;0)*(ROW(職員マスタ!$A$6:$A$405)-5))),IFERROR(MATCH($B839,職員マスタ!$A$6:$A$405,0),"")))</f>
        <v/>
      </c>
      <c r="AO839" s="16">
        <f>IF(OR($B839="",$C839="",$D839=""),"",DATE($C839+2018,$D839,1))</f>
        <v/>
      </c>
    </row>
    <row r="840">
      <c r="A840" s="11" t="n"/>
      <c r="B840" s="12" t="n"/>
      <c r="C840" s="12" t="n"/>
      <c r="D840" s="12" t="n"/>
      <c r="E840" s="13" t="n"/>
      <c r="F840" s="12" t="n"/>
      <c r="G840" s="13" t="n"/>
      <c r="H840" s="12" t="n"/>
      <c r="I840" s="12" t="n"/>
      <c r="J840" s="12" t="n"/>
      <c r="K840" s="12" t="n"/>
      <c r="L840" s="11" t="n"/>
      <c r="M840" s="11" t="n"/>
      <c r="N840" s="11" t="n"/>
      <c r="O840" s="11" t="n"/>
      <c r="P840" s="12" t="n"/>
      <c r="Q840" s="11" t="n"/>
      <c r="R840" s="12" t="n"/>
      <c r="S840" s="11" t="n"/>
      <c r="T840" s="12" t="n"/>
      <c r="U840" s="12" t="n"/>
      <c r="V840" s="14">
        <f>IF($AN840="",IF($B840="","",$H840),IF(INDEX(職員マスタ!$B$6:$B$405,$AN840)="",$H840,INDEX(職員マスタ!$B$6:$B$405,$AN840)))</f>
        <v/>
      </c>
      <c r="W840" s="14">
        <f>IF($AN840="",IF($B840="","",$R840),IF(INDEX(職員マスタ!$C$6:$C$405,$AN840)="",$R840,INDEX(職員マスタ!$C$6:$C$405,$AN840)))</f>
        <v/>
      </c>
      <c r="X840" s="14">
        <f>IF($AO840="","","R"&amp;$C840&amp;"."&amp;$D840)</f>
        <v/>
      </c>
      <c r="Y840" s="15">
        <f>IF($AN840="","",IF(INDEX(職員マスタ!$K$6:$K$405,$AN840)="","",INDEX(職員マスタ!$K$6:$K$405,$AN840)))</f>
        <v/>
      </c>
      <c r="Z840" s="14">
        <f>IF(OR($E840="",$Y840=""),"",IF($E840&gt;=$Y840,"×",IF($E840&gt;=$Y840*設定!$C$5,"△","○")))</f>
        <v/>
      </c>
      <c r="AA840" s="15">
        <f>IF($Z840="","",IF($Z840="×",0,IF($Z840="○",ROUNDDOWN($E840*設定!$C$4,0),ROUNDDOWN($E840*ROUND((9*$Y840-9*$E840)/(10*$E840),4),0))))</f>
        <v/>
      </c>
      <c r="AB840" s="13" t="n"/>
      <c r="AC840" s="15">
        <f>IF($B840="","",IF($AB840&lt;&gt;"",$AB840,IF($AA840="","",IF($AA840&lt;=設定!$C$3,0,$AA840))))</f>
        <v/>
      </c>
      <c r="AD840" s="14">
        <f>IF($B840="","",IF(AND($AE840&lt;&gt;"",$AG840="",$AJ840=""),"保留中",IF($AJ840&lt;&gt;"",IF(N($AC840)&gt;0,"支給済","不支給"),IF($AC840="","要確認",IF($AC840=0,"不支給","未処理")))))</f>
        <v/>
      </c>
      <c r="AE840" s="12" t="n"/>
      <c r="AF840" s="11" t="n"/>
      <c r="AG840" s="11" t="n"/>
      <c r="AH840" s="11" t="n"/>
      <c r="AI840" s="14">
        <f>IF(AND($AD840="保留中",$AF840&lt;&gt;""),TODAY()-$AF840,"")</f>
        <v/>
      </c>
      <c r="AJ840" s="12" t="n"/>
      <c r="AK840" s="14">
        <f>IF($B840="","",IF($AO840="","対象年月が未入力／","")&amp;IF($B840="","",IF($AN840="","職員マスタに未登録の職員番号／",IF($Y840="","標準報酬月額が未登録／","")&amp;IF(AND($AO840&lt;&gt;"",OR(AND(INDEX(職員マスタ!$G$6:$G$405,$AN840)&lt;&gt;"",INDEX(職員マスタ!$G$6:$G$405,$AN840)&gt;EOMONTH($AO840,0)),AND(INDEX(職員マスタ!$H$6:$H$405,$AN840)&lt;&gt;"",INDEX(職員マスタ!$H$6:$H$405,$AN840)&lt;$AO840))),"対象月が時短期間外／","")&amp;IF(AND(INDEX(職員マスタ!$F$6:$F$405,$AN840)&lt;&gt;"",$AO840&lt;&gt;"",INDEX(職員マスタ!$F$6:$F$405,$AN840)&lt;$AO840),"対象月に子が2歳到達済／","")&amp;IF(AND($H840&lt;&gt;"",INDEX(職員マスタ!$B$6:$B$405,$AN840)&lt;&gt;"",SUBSTITUTE(SUBSTITUTE($H840," ","")," ","")&lt;&gt;SUBSTITUTE(SUBSTITUTE(INDEX(職員マスタ!$B$6:$B$405,$AN840)," ","")," ","")),"氏名がマスタと相違／","")&amp;IF(AND($Q840&lt;&gt;"",INDEX(職員マスタ!$E$6:$E$405,$AN840)&lt;&gt;"",$Q840&lt;&gt;INDEX(職員マスタ!$E$6:$E$405,$AN840)),"子の生年月日がマスタと相違／","")&amp;IF(AND($L840&lt;&gt;"",INDEX(職員マスタ!$G$6:$G$405,$AN840)&lt;&gt;"",$L840&lt;&gt;INDEX(職員マスタ!$G$6:$G$405,$AN840)),"時短開始日がマスタと相違／","")&amp;IF(AND($M840&lt;&gt;"",INDEX(職員マスタ!$H$6:$H$405,$AN840)&lt;&gt;"",$M840&lt;&gt;INDEX(職員マスタ!$H$6:$H$405,$AN840)),"時短終了日がマスタと相違／","")))&amp;IF(AND($B840&lt;&gt;"",$E840=""),"報酬額が未入力／","")&amp;IF(N($U840)&gt;0,"申請書に入力エラーが残っています／","")&amp;IF(AND($B840&lt;&gt;"",$AO840&lt;&gt;""),IF(COUNTIFS($B$6:$B$3005,$B840,$C$6:$C$3005,$C840,$D$6:$D$3005,$D840)&gt;1,"同じ月の請求が重複しています／",""),"")&amp;IF(AND(N($E840)&gt;0,$Z840&lt;&gt;"",$Z840&lt;&gt;"×",$AC840=0,$AB840=""),"計算額が下限以下のため不支給／",""))</f>
        <v/>
      </c>
      <c r="AL840" s="12" t="n"/>
      <c r="AM840" s="14">
        <f>IF($AD840="保留中",COUNTIF($AD$6:$AD840,"保留中"),"")</f>
        <v/>
      </c>
      <c r="AN840" s="14">
        <f>IF($AO840="","",IF(SUMPRODUCT(MAX((職員マスタ!$A$6:$A$405=$B840)*(((職員マスタ!$G$6:$G$405="")+(職員マスタ!$G$6:$G$405&lt;=EOMONTH($AO840,0)))&gt;0)*(((職員マスタ!$H$6:$H$405="")+(職員マスタ!$H$6:$H$405&gt;=$AO840))&gt;0)*(ROW(職員マスタ!$A$6:$A$405)-5)))&gt;0,SUMPRODUCT(MAX((職員マスタ!$A$6:$A$405=$B840)*(((職員マスタ!$G$6:$G$405="")+(職員マスタ!$G$6:$G$405&lt;=EOMONTH($AO840,0)))&gt;0)*(((職員マスタ!$H$6:$H$405="")+(職員マスタ!$H$6:$H$405&gt;=$AO840))&gt;0)*(ROW(職員マスタ!$A$6:$A$405)-5))),IFERROR(MATCH($B840,職員マスタ!$A$6:$A$405,0),"")))</f>
        <v/>
      </c>
      <c r="AO840" s="16">
        <f>IF(OR($B840="",$C840="",$D840=""),"",DATE($C840+2018,$D840,1))</f>
        <v/>
      </c>
    </row>
    <row r="841">
      <c r="A841" s="11" t="n"/>
      <c r="B841" s="12" t="n"/>
      <c r="C841" s="12" t="n"/>
      <c r="D841" s="12" t="n"/>
      <c r="E841" s="13" t="n"/>
      <c r="F841" s="12" t="n"/>
      <c r="G841" s="13" t="n"/>
      <c r="H841" s="12" t="n"/>
      <c r="I841" s="12" t="n"/>
      <c r="J841" s="12" t="n"/>
      <c r="K841" s="12" t="n"/>
      <c r="L841" s="11" t="n"/>
      <c r="M841" s="11" t="n"/>
      <c r="N841" s="11" t="n"/>
      <c r="O841" s="11" t="n"/>
      <c r="P841" s="12" t="n"/>
      <c r="Q841" s="11" t="n"/>
      <c r="R841" s="12" t="n"/>
      <c r="S841" s="11" t="n"/>
      <c r="T841" s="12" t="n"/>
      <c r="U841" s="12" t="n"/>
      <c r="V841" s="14">
        <f>IF($AN841="",IF($B841="","",$H841),IF(INDEX(職員マスタ!$B$6:$B$405,$AN841)="",$H841,INDEX(職員マスタ!$B$6:$B$405,$AN841)))</f>
        <v/>
      </c>
      <c r="W841" s="14">
        <f>IF($AN841="",IF($B841="","",$R841),IF(INDEX(職員マスタ!$C$6:$C$405,$AN841)="",$R841,INDEX(職員マスタ!$C$6:$C$405,$AN841)))</f>
        <v/>
      </c>
      <c r="X841" s="14">
        <f>IF($AO841="","","R"&amp;$C841&amp;"."&amp;$D841)</f>
        <v/>
      </c>
      <c r="Y841" s="15">
        <f>IF($AN841="","",IF(INDEX(職員マスタ!$K$6:$K$405,$AN841)="","",INDEX(職員マスタ!$K$6:$K$405,$AN841)))</f>
        <v/>
      </c>
      <c r="Z841" s="14">
        <f>IF(OR($E841="",$Y841=""),"",IF($E841&gt;=$Y841,"×",IF($E841&gt;=$Y841*設定!$C$5,"△","○")))</f>
        <v/>
      </c>
      <c r="AA841" s="15">
        <f>IF($Z841="","",IF($Z841="×",0,IF($Z841="○",ROUNDDOWN($E841*設定!$C$4,0),ROUNDDOWN($E841*ROUND((9*$Y841-9*$E841)/(10*$E841),4),0))))</f>
        <v/>
      </c>
      <c r="AB841" s="13" t="n"/>
      <c r="AC841" s="15">
        <f>IF($B841="","",IF($AB841&lt;&gt;"",$AB841,IF($AA841="","",IF($AA841&lt;=設定!$C$3,0,$AA841))))</f>
        <v/>
      </c>
      <c r="AD841" s="14">
        <f>IF($B841="","",IF(AND($AE841&lt;&gt;"",$AG841="",$AJ841=""),"保留中",IF($AJ841&lt;&gt;"",IF(N($AC841)&gt;0,"支給済","不支給"),IF($AC841="","要確認",IF($AC841=0,"不支給","未処理")))))</f>
        <v/>
      </c>
      <c r="AE841" s="12" t="n"/>
      <c r="AF841" s="11" t="n"/>
      <c r="AG841" s="11" t="n"/>
      <c r="AH841" s="11" t="n"/>
      <c r="AI841" s="14">
        <f>IF(AND($AD841="保留中",$AF841&lt;&gt;""),TODAY()-$AF841,"")</f>
        <v/>
      </c>
      <c r="AJ841" s="12" t="n"/>
      <c r="AK841" s="14">
        <f>IF($B841="","",IF($AO841="","対象年月が未入力／","")&amp;IF($B841="","",IF($AN841="","職員マスタに未登録の職員番号／",IF($Y841="","標準報酬月額が未登録／","")&amp;IF(AND($AO841&lt;&gt;"",OR(AND(INDEX(職員マスタ!$G$6:$G$405,$AN841)&lt;&gt;"",INDEX(職員マスタ!$G$6:$G$405,$AN841)&gt;EOMONTH($AO841,0)),AND(INDEX(職員マスタ!$H$6:$H$405,$AN841)&lt;&gt;"",INDEX(職員マスタ!$H$6:$H$405,$AN841)&lt;$AO841))),"対象月が時短期間外／","")&amp;IF(AND(INDEX(職員マスタ!$F$6:$F$405,$AN841)&lt;&gt;"",$AO841&lt;&gt;"",INDEX(職員マスタ!$F$6:$F$405,$AN841)&lt;$AO841),"対象月に子が2歳到達済／","")&amp;IF(AND($H841&lt;&gt;"",INDEX(職員マスタ!$B$6:$B$405,$AN841)&lt;&gt;"",SUBSTITUTE(SUBSTITUTE($H841," ","")," ","")&lt;&gt;SUBSTITUTE(SUBSTITUTE(INDEX(職員マスタ!$B$6:$B$405,$AN841)," ","")," ","")),"氏名がマスタと相違／","")&amp;IF(AND($Q841&lt;&gt;"",INDEX(職員マスタ!$E$6:$E$405,$AN841)&lt;&gt;"",$Q841&lt;&gt;INDEX(職員マスタ!$E$6:$E$405,$AN841)),"子の生年月日がマスタと相違／","")&amp;IF(AND($L841&lt;&gt;"",INDEX(職員マスタ!$G$6:$G$405,$AN841)&lt;&gt;"",$L841&lt;&gt;INDEX(職員マスタ!$G$6:$G$405,$AN841)),"時短開始日がマスタと相違／","")&amp;IF(AND($M841&lt;&gt;"",INDEX(職員マスタ!$H$6:$H$405,$AN841)&lt;&gt;"",$M841&lt;&gt;INDEX(職員マスタ!$H$6:$H$405,$AN841)),"時短終了日がマスタと相違／","")))&amp;IF(AND($B841&lt;&gt;"",$E841=""),"報酬額が未入力／","")&amp;IF(N($U841)&gt;0,"申請書に入力エラーが残っています／","")&amp;IF(AND($B841&lt;&gt;"",$AO841&lt;&gt;""),IF(COUNTIFS($B$6:$B$3005,$B841,$C$6:$C$3005,$C841,$D$6:$D$3005,$D841)&gt;1,"同じ月の請求が重複しています／",""),"")&amp;IF(AND(N($E841)&gt;0,$Z841&lt;&gt;"",$Z841&lt;&gt;"×",$AC841=0,$AB841=""),"計算額が下限以下のため不支給／",""))</f>
        <v/>
      </c>
      <c r="AL841" s="12" t="n"/>
      <c r="AM841" s="14">
        <f>IF($AD841="保留中",COUNTIF($AD$6:$AD841,"保留中"),"")</f>
        <v/>
      </c>
      <c r="AN841" s="14">
        <f>IF($AO841="","",IF(SUMPRODUCT(MAX((職員マスタ!$A$6:$A$405=$B841)*(((職員マスタ!$G$6:$G$405="")+(職員マスタ!$G$6:$G$405&lt;=EOMONTH($AO841,0)))&gt;0)*(((職員マスタ!$H$6:$H$405="")+(職員マスタ!$H$6:$H$405&gt;=$AO841))&gt;0)*(ROW(職員マスタ!$A$6:$A$405)-5)))&gt;0,SUMPRODUCT(MAX((職員マスタ!$A$6:$A$405=$B841)*(((職員マスタ!$G$6:$G$405="")+(職員マスタ!$G$6:$G$405&lt;=EOMONTH($AO841,0)))&gt;0)*(((職員マスタ!$H$6:$H$405="")+(職員マスタ!$H$6:$H$405&gt;=$AO841))&gt;0)*(ROW(職員マスタ!$A$6:$A$405)-5))),IFERROR(MATCH($B841,職員マスタ!$A$6:$A$405,0),"")))</f>
        <v/>
      </c>
      <c r="AO841" s="16">
        <f>IF(OR($B841="",$C841="",$D841=""),"",DATE($C841+2018,$D841,1))</f>
        <v/>
      </c>
    </row>
    <row r="842">
      <c r="A842" s="11" t="n"/>
      <c r="B842" s="12" t="n"/>
      <c r="C842" s="12" t="n"/>
      <c r="D842" s="12" t="n"/>
      <c r="E842" s="13" t="n"/>
      <c r="F842" s="12" t="n"/>
      <c r="G842" s="13" t="n"/>
      <c r="H842" s="12" t="n"/>
      <c r="I842" s="12" t="n"/>
      <c r="J842" s="12" t="n"/>
      <c r="K842" s="12" t="n"/>
      <c r="L842" s="11" t="n"/>
      <c r="M842" s="11" t="n"/>
      <c r="N842" s="11" t="n"/>
      <c r="O842" s="11" t="n"/>
      <c r="P842" s="12" t="n"/>
      <c r="Q842" s="11" t="n"/>
      <c r="R842" s="12" t="n"/>
      <c r="S842" s="11" t="n"/>
      <c r="T842" s="12" t="n"/>
      <c r="U842" s="12" t="n"/>
      <c r="V842" s="14">
        <f>IF($AN842="",IF($B842="","",$H842),IF(INDEX(職員マスタ!$B$6:$B$405,$AN842)="",$H842,INDEX(職員マスタ!$B$6:$B$405,$AN842)))</f>
        <v/>
      </c>
      <c r="W842" s="14">
        <f>IF($AN842="",IF($B842="","",$R842),IF(INDEX(職員マスタ!$C$6:$C$405,$AN842)="",$R842,INDEX(職員マスタ!$C$6:$C$405,$AN842)))</f>
        <v/>
      </c>
      <c r="X842" s="14">
        <f>IF($AO842="","","R"&amp;$C842&amp;"."&amp;$D842)</f>
        <v/>
      </c>
      <c r="Y842" s="15">
        <f>IF($AN842="","",IF(INDEX(職員マスタ!$K$6:$K$405,$AN842)="","",INDEX(職員マスタ!$K$6:$K$405,$AN842)))</f>
        <v/>
      </c>
      <c r="Z842" s="14">
        <f>IF(OR($E842="",$Y842=""),"",IF($E842&gt;=$Y842,"×",IF($E842&gt;=$Y842*設定!$C$5,"△","○")))</f>
        <v/>
      </c>
      <c r="AA842" s="15">
        <f>IF($Z842="","",IF($Z842="×",0,IF($Z842="○",ROUNDDOWN($E842*設定!$C$4,0),ROUNDDOWN($E842*ROUND((9*$Y842-9*$E842)/(10*$E842),4),0))))</f>
        <v/>
      </c>
      <c r="AB842" s="13" t="n"/>
      <c r="AC842" s="15">
        <f>IF($B842="","",IF($AB842&lt;&gt;"",$AB842,IF($AA842="","",IF($AA842&lt;=設定!$C$3,0,$AA842))))</f>
        <v/>
      </c>
      <c r="AD842" s="14">
        <f>IF($B842="","",IF(AND($AE842&lt;&gt;"",$AG842="",$AJ842=""),"保留中",IF($AJ842&lt;&gt;"",IF(N($AC842)&gt;0,"支給済","不支給"),IF($AC842="","要確認",IF($AC842=0,"不支給","未処理")))))</f>
        <v/>
      </c>
      <c r="AE842" s="12" t="n"/>
      <c r="AF842" s="11" t="n"/>
      <c r="AG842" s="11" t="n"/>
      <c r="AH842" s="11" t="n"/>
      <c r="AI842" s="14">
        <f>IF(AND($AD842="保留中",$AF842&lt;&gt;""),TODAY()-$AF842,"")</f>
        <v/>
      </c>
      <c r="AJ842" s="12" t="n"/>
      <c r="AK842" s="14">
        <f>IF($B842="","",IF($AO842="","対象年月が未入力／","")&amp;IF($B842="","",IF($AN842="","職員マスタに未登録の職員番号／",IF($Y842="","標準報酬月額が未登録／","")&amp;IF(AND($AO842&lt;&gt;"",OR(AND(INDEX(職員マスタ!$G$6:$G$405,$AN842)&lt;&gt;"",INDEX(職員マスタ!$G$6:$G$405,$AN842)&gt;EOMONTH($AO842,0)),AND(INDEX(職員マスタ!$H$6:$H$405,$AN842)&lt;&gt;"",INDEX(職員マスタ!$H$6:$H$405,$AN842)&lt;$AO842))),"対象月が時短期間外／","")&amp;IF(AND(INDEX(職員マスタ!$F$6:$F$405,$AN842)&lt;&gt;"",$AO842&lt;&gt;"",INDEX(職員マスタ!$F$6:$F$405,$AN842)&lt;$AO842),"対象月に子が2歳到達済／","")&amp;IF(AND($H842&lt;&gt;"",INDEX(職員マスタ!$B$6:$B$405,$AN842)&lt;&gt;"",SUBSTITUTE(SUBSTITUTE($H842," ","")," ","")&lt;&gt;SUBSTITUTE(SUBSTITUTE(INDEX(職員マスタ!$B$6:$B$405,$AN842)," ","")," ","")),"氏名がマスタと相違／","")&amp;IF(AND($Q842&lt;&gt;"",INDEX(職員マスタ!$E$6:$E$405,$AN842)&lt;&gt;"",$Q842&lt;&gt;INDEX(職員マスタ!$E$6:$E$405,$AN842)),"子の生年月日がマスタと相違／","")&amp;IF(AND($L842&lt;&gt;"",INDEX(職員マスタ!$G$6:$G$405,$AN842)&lt;&gt;"",$L842&lt;&gt;INDEX(職員マスタ!$G$6:$G$405,$AN842)),"時短開始日がマスタと相違／","")&amp;IF(AND($M842&lt;&gt;"",INDEX(職員マスタ!$H$6:$H$405,$AN842)&lt;&gt;"",$M842&lt;&gt;INDEX(職員マスタ!$H$6:$H$405,$AN842)),"時短終了日がマスタと相違／","")))&amp;IF(AND($B842&lt;&gt;"",$E842=""),"報酬額が未入力／","")&amp;IF(N($U842)&gt;0,"申請書に入力エラーが残っています／","")&amp;IF(AND($B842&lt;&gt;"",$AO842&lt;&gt;""),IF(COUNTIFS($B$6:$B$3005,$B842,$C$6:$C$3005,$C842,$D$6:$D$3005,$D842)&gt;1,"同じ月の請求が重複しています／",""),"")&amp;IF(AND(N($E842)&gt;0,$Z842&lt;&gt;"",$Z842&lt;&gt;"×",$AC842=0,$AB842=""),"計算額が下限以下のため不支給／",""))</f>
        <v/>
      </c>
      <c r="AL842" s="12" t="n"/>
      <c r="AM842" s="14">
        <f>IF($AD842="保留中",COUNTIF($AD$6:$AD842,"保留中"),"")</f>
        <v/>
      </c>
      <c r="AN842" s="14">
        <f>IF($AO842="","",IF(SUMPRODUCT(MAX((職員マスタ!$A$6:$A$405=$B842)*(((職員マスタ!$G$6:$G$405="")+(職員マスタ!$G$6:$G$405&lt;=EOMONTH($AO842,0)))&gt;0)*(((職員マスタ!$H$6:$H$405="")+(職員マスタ!$H$6:$H$405&gt;=$AO842))&gt;0)*(ROW(職員マスタ!$A$6:$A$405)-5)))&gt;0,SUMPRODUCT(MAX((職員マスタ!$A$6:$A$405=$B842)*(((職員マスタ!$G$6:$G$405="")+(職員マスタ!$G$6:$G$405&lt;=EOMONTH($AO842,0)))&gt;0)*(((職員マスタ!$H$6:$H$405="")+(職員マスタ!$H$6:$H$405&gt;=$AO842))&gt;0)*(ROW(職員マスタ!$A$6:$A$405)-5))),IFERROR(MATCH($B842,職員マスタ!$A$6:$A$405,0),"")))</f>
        <v/>
      </c>
      <c r="AO842" s="16">
        <f>IF(OR($B842="",$C842="",$D842=""),"",DATE($C842+2018,$D842,1))</f>
        <v/>
      </c>
    </row>
    <row r="843">
      <c r="A843" s="11" t="n"/>
      <c r="B843" s="12" t="n"/>
      <c r="C843" s="12" t="n"/>
      <c r="D843" s="12" t="n"/>
      <c r="E843" s="13" t="n"/>
      <c r="F843" s="12" t="n"/>
      <c r="G843" s="13" t="n"/>
      <c r="H843" s="12" t="n"/>
      <c r="I843" s="12" t="n"/>
      <c r="J843" s="12" t="n"/>
      <c r="K843" s="12" t="n"/>
      <c r="L843" s="11" t="n"/>
      <c r="M843" s="11" t="n"/>
      <c r="N843" s="11" t="n"/>
      <c r="O843" s="11" t="n"/>
      <c r="P843" s="12" t="n"/>
      <c r="Q843" s="11" t="n"/>
      <c r="R843" s="12" t="n"/>
      <c r="S843" s="11" t="n"/>
      <c r="T843" s="12" t="n"/>
      <c r="U843" s="12" t="n"/>
      <c r="V843" s="14">
        <f>IF($AN843="",IF($B843="","",$H843),IF(INDEX(職員マスタ!$B$6:$B$405,$AN843)="",$H843,INDEX(職員マスタ!$B$6:$B$405,$AN843)))</f>
        <v/>
      </c>
      <c r="W843" s="14">
        <f>IF($AN843="",IF($B843="","",$R843),IF(INDEX(職員マスタ!$C$6:$C$405,$AN843)="",$R843,INDEX(職員マスタ!$C$6:$C$405,$AN843)))</f>
        <v/>
      </c>
      <c r="X843" s="14">
        <f>IF($AO843="","","R"&amp;$C843&amp;"."&amp;$D843)</f>
        <v/>
      </c>
      <c r="Y843" s="15">
        <f>IF($AN843="","",IF(INDEX(職員マスタ!$K$6:$K$405,$AN843)="","",INDEX(職員マスタ!$K$6:$K$405,$AN843)))</f>
        <v/>
      </c>
      <c r="Z843" s="14">
        <f>IF(OR($E843="",$Y843=""),"",IF($E843&gt;=$Y843,"×",IF($E843&gt;=$Y843*設定!$C$5,"△","○")))</f>
        <v/>
      </c>
      <c r="AA843" s="15">
        <f>IF($Z843="","",IF($Z843="×",0,IF($Z843="○",ROUNDDOWN($E843*設定!$C$4,0),ROUNDDOWN($E843*ROUND((9*$Y843-9*$E843)/(10*$E843),4),0))))</f>
        <v/>
      </c>
      <c r="AB843" s="13" t="n"/>
      <c r="AC843" s="15">
        <f>IF($B843="","",IF($AB843&lt;&gt;"",$AB843,IF($AA843="","",IF($AA843&lt;=設定!$C$3,0,$AA843))))</f>
        <v/>
      </c>
      <c r="AD843" s="14">
        <f>IF($B843="","",IF(AND($AE843&lt;&gt;"",$AG843="",$AJ843=""),"保留中",IF($AJ843&lt;&gt;"",IF(N($AC843)&gt;0,"支給済","不支給"),IF($AC843="","要確認",IF($AC843=0,"不支給","未処理")))))</f>
        <v/>
      </c>
      <c r="AE843" s="12" t="n"/>
      <c r="AF843" s="11" t="n"/>
      <c r="AG843" s="11" t="n"/>
      <c r="AH843" s="11" t="n"/>
      <c r="AI843" s="14">
        <f>IF(AND($AD843="保留中",$AF843&lt;&gt;""),TODAY()-$AF843,"")</f>
        <v/>
      </c>
      <c r="AJ843" s="12" t="n"/>
      <c r="AK843" s="14">
        <f>IF($B843="","",IF($AO843="","対象年月が未入力／","")&amp;IF($B843="","",IF($AN843="","職員マスタに未登録の職員番号／",IF($Y843="","標準報酬月額が未登録／","")&amp;IF(AND($AO843&lt;&gt;"",OR(AND(INDEX(職員マスタ!$G$6:$G$405,$AN843)&lt;&gt;"",INDEX(職員マスタ!$G$6:$G$405,$AN843)&gt;EOMONTH($AO843,0)),AND(INDEX(職員マスタ!$H$6:$H$405,$AN843)&lt;&gt;"",INDEX(職員マスタ!$H$6:$H$405,$AN843)&lt;$AO843))),"対象月が時短期間外／","")&amp;IF(AND(INDEX(職員マスタ!$F$6:$F$405,$AN843)&lt;&gt;"",$AO843&lt;&gt;"",INDEX(職員マスタ!$F$6:$F$405,$AN843)&lt;$AO843),"対象月に子が2歳到達済／","")&amp;IF(AND($H843&lt;&gt;"",INDEX(職員マスタ!$B$6:$B$405,$AN843)&lt;&gt;"",SUBSTITUTE(SUBSTITUTE($H843," ","")," ","")&lt;&gt;SUBSTITUTE(SUBSTITUTE(INDEX(職員マスタ!$B$6:$B$405,$AN843)," ","")," ","")),"氏名がマスタと相違／","")&amp;IF(AND($Q843&lt;&gt;"",INDEX(職員マスタ!$E$6:$E$405,$AN843)&lt;&gt;"",$Q843&lt;&gt;INDEX(職員マスタ!$E$6:$E$405,$AN843)),"子の生年月日がマスタと相違／","")&amp;IF(AND($L843&lt;&gt;"",INDEX(職員マスタ!$G$6:$G$405,$AN843)&lt;&gt;"",$L843&lt;&gt;INDEX(職員マスタ!$G$6:$G$405,$AN843)),"時短開始日がマスタと相違／","")&amp;IF(AND($M843&lt;&gt;"",INDEX(職員マスタ!$H$6:$H$405,$AN843)&lt;&gt;"",$M843&lt;&gt;INDEX(職員マスタ!$H$6:$H$405,$AN843)),"時短終了日がマスタと相違／","")))&amp;IF(AND($B843&lt;&gt;"",$E843=""),"報酬額が未入力／","")&amp;IF(N($U843)&gt;0,"申請書に入力エラーが残っています／","")&amp;IF(AND($B843&lt;&gt;"",$AO843&lt;&gt;""),IF(COUNTIFS($B$6:$B$3005,$B843,$C$6:$C$3005,$C843,$D$6:$D$3005,$D843)&gt;1,"同じ月の請求が重複しています／",""),"")&amp;IF(AND(N($E843)&gt;0,$Z843&lt;&gt;"",$Z843&lt;&gt;"×",$AC843=0,$AB843=""),"計算額が下限以下のため不支給／",""))</f>
        <v/>
      </c>
      <c r="AL843" s="12" t="n"/>
      <c r="AM843" s="14">
        <f>IF($AD843="保留中",COUNTIF($AD$6:$AD843,"保留中"),"")</f>
        <v/>
      </c>
      <c r="AN843" s="14">
        <f>IF($AO843="","",IF(SUMPRODUCT(MAX((職員マスタ!$A$6:$A$405=$B843)*(((職員マスタ!$G$6:$G$405="")+(職員マスタ!$G$6:$G$405&lt;=EOMONTH($AO843,0)))&gt;0)*(((職員マスタ!$H$6:$H$405="")+(職員マスタ!$H$6:$H$405&gt;=$AO843))&gt;0)*(ROW(職員マスタ!$A$6:$A$405)-5)))&gt;0,SUMPRODUCT(MAX((職員マスタ!$A$6:$A$405=$B843)*(((職員マスタ!$G$6:$G$405="")+(職員マスタ!$G$6:$G$405&lt;=EOMONTH($AO843,0)))&gt;0)*(((職員マスタ!$H$6:$H$405="")+(職員マスタ!$H$6:$H$405&gt;=$AO843))&gt;0)*(ROW(職員マスタ!$A$6:$A$405)-5))),IFERROR(MATCH($B843,職員マスタ!$A$6:$A$405,0),"")))</f>
        <v/>
      </c>
      <c r="AO843" s="16">
        <f>IF(OR($B843="",$C843="",$D843=""),"",DATE($C843+2018,$D843,1))</f>
        <v/>
      </c>
    </row>
    <row r="844">
      <c r="A844" s="11" t="n"/>
      <c r="B844" s="12" t="n"/>
      <c r="C844" s="12" t="n"/>
      <c r="D844" s="12" t="n"/>
      <c r="E844" s="13" t="n"/>
      <c r="F844" s="12" t="n"/>
      <c r="G844" s="13" t="n"/>
      <c r="H844" s="12" t="n"/>
      <c r="I844" s="12" t="n"/>
      <c r="J844" s="12" t="n"/>
      <c r="K844" s="12" t="n"/>
      <c r="L844" s="11" t="n"/>
      <c r="M844" s="11" t="n"/>
      <c r="N844" s="11" t="n"/>
      <c r="O844" s="11" t="n"/>
      <c r="P844" s="12" t="n"/>
      <c r="Q844" s="11" t="n"/>
      <c r="R844" s="12" t="n"/>
      <c r="S844" s="11" t="n"/>
      <c r="T844" s="12" t="n"/>
      <c r="U844" s="12" t="n"/>
      <c r="V844" s="14">
        <f>IF($AN844="",IF($B844="","",$H844),IF(INDEX(職員マスタ!$B$6:$B$405,$AN844)="",$H844,INDEX(職員マスタ!$B$6:$B$405,$AN844)))</f>
        <v/>
      </c>
      <c r="W844" s="14">
        <f>IF($AN844="",IF($B844="","",$R844),IF(INDEX(職員マスタ!$C$6:$C$405,$AN844)="",$R844,INDEX(職員マスタ!$C$6:$C$405,$AN844)))</f>
        <v/>
      </c>
      <c r="X844" s="14">
        <f>IF($AO844="","","R"&amp;$C844&amp;"."&amp;$D844)</f>
        <v/>
      </c>
      <c r="Y844" s="15">
        <f>IF($AN844="","",IF(INDEX(職員マスタ!$K$6:$K$405,$AN844)="","",INDEX(職員マスタ!$K$6:$K$405,$AN844)))</f>
        <v/>
      </c>
      <c r="Z844" s="14">
        <f>IF(OR($E844="",$Y844=""),"",IF($E844&gt;=$Y844,"×",IF($E844&gt;=$Y844*設定!$C$5,"△","○")))</f>
        <v/>
      </c>
      <c r="AA844" s="15">
        <f>IF($Z844="","",IF($Z844="×",0,IF($Z844="○",ROUNDDOWN($E844*設定!$C$4,0),ROUNDDOWN($E844*ROUND((9*$Y844-9*$E844)/(10*$E844),4),0))))</f>
        <v/>
      </c>
      <c r="AB844" s="13" t="n"/>
      <c r="AC844" s="15">
        <f>IF($B844="","",IF($AB844&lt;&gt;"",$AB844,IF($AA844="","",IF($AA844&lt;=設定!$C$3,0,$AA844))))</f>
        <v/>
      </c>
      <c r="AD844" s="14">
        <f>IF($B844="","",IF(AND($AE844&lt;&gt;"",$AG844="",$AJ844=""),"保留中",IF($AJ844&lt;&gt;"",IF(N($AC844)&gt;0,"支給済","不支給"),IF($AC844="","要確認",IF($AC844=0,"不支給","未処理")))))</f>
        <v/>
      </c>
      <c r="AE844" s="12" t="n"/>
      <c r="AF844" s="11" t="n"/>
      <c r="AG844" s="11" t="n"/>
      <c r="AH844" s="11" t="n"/>
      <c r="AI844" s="14">
        <f>IF(AND($AD844="保留中",$AF844&lt;&gt;""),TODAY()-$AF844,"")</f>
        <v/>
      </c>
      <c r="AJ844" s="12" t="n"/>
      <c r="AK844" s="14">
        <f>IF($B844="","",IF($AO844="","対象年月が未入力／","")&amp;IF($B844="","",IF($AN844="","職員マスタに未登録の職員番号／",IF($Y844="","標準報酬月額が未登録／","")&amp;IF(AND($AO844&lt;&gt;"",OR(AND(INDEX(職員マスタ!$G$6:$G$405,$AN844)&lt;&gt;"",INDEX(職員マスタ!$G$6:$G$405,$AN844)&gt;EOMONTH($AO844,0)),AND(INDEX(職員マスタ!$H$6:$H$405,$AN844)&lt;&gt;"",INDEX(職員マスタ!$H$6:$H$405,$AN844)&lt;$AO844))),"対象月が時短期間外／","")&amp;IF(AND(INDEX(職員マスタ!$F$6:$F$405,$AN844)&lt;&gt;"",$AO844&lt;&gt;"",INDEX(職員マスタ!$F$6:$F$405,$AN844)&lt;$AO844),"対象月に子が2歳到達済／","")&amp;IF(AND($H844&lt;&gt;"",INDEX(職員マスタ!$B$6:$B$405,$AN844)&lt;&gt;"",SUBSTITUTE(SUBSTITUTE($H844," ","")," ","")&lt;&gt;SUBSTITUTE(SUBSTITUTE(INDEX(職員マスタ!$B$6:$B$405,$AN844)," ","")," ","")),"氏名がマスタと相違／","")&amp;IF(AND($Q844&lt;&gt;"",INDEX(職員マスタ!$E$6:$E$405,$AN844)&lt;&gt;"",$Q844&lt;&gt;INDEX(職員マスタ!$E$6:$E$405,$AN844)),"子の生年月日がマスタと相違／","")&amp;IF(AND($L844&lt;&gt;"",INDEX(職員マスタ!$G$6:$G$405,$AN844)&lt;&gt;"",$L844&lt;&gt;INDEX(職員マスタ!$G$6:$G$405,$AN844)),"時短開始日がマスタと相違／","")&amp;IF(AND($M844&lt;&gt;"",INDEX(職員マスタ!$H$6:$H$405,$AN844)&lt;&gt;"",$M844&lt;&gt;INDEX(職員マスタ!$H$6:$H$405,$AN844)),"時短終了日がマスタと相違／","")))&amp;IF(AND($B844&lt;&gt;"",$E844=""),"報酬額が未入力／","")&amp;IF(N($U844)&gt;0,"申請書に入力エラーが残っています／","")&amp;IF(AND($B844&lt;&gt;"",$AO844&lt;&gt;""),IF(COUNTIFS($B$6:$B$3005,$B844,$C$6:$C$3005,$C844,$D$6:$D$3005,$D844)&gt;1,"同じ月の請求が重複しています／",""),"")&amp;IF(AND(N($E844)&gt;0,$Z844&lt;&gt;"",$Z844&lt;&gt;"×",$AC844=0,$AB844=""),"計算額が下限以下のため不支給／",""))</f>
        <v/>
      </c>
      <c r="AL844" s="12" t="n"/>
      <c r="AM844" s="14">
        <f>IF($AD844="保留中",COUNTIF($AD$6:$AD844,"保留中"),"")</f>
        <v/>
      </c>
      <c r="AN844" s="14">
        <f>IF($AO844="","",IF(SUMPRODUCT(MAX((職員マスタ!$A$6:$A$405=$B844)*(((職員マスタ!$G$6:$G$405="")+(職員マスタ!$G$6:$G$405&lt;=EOMONTH($AO844,0)))&gt;0)*(((職員マスタ!$H$6:$H$405="")+(職員マスタ!$H$6:$H$405&gt;=$AO844))&gt;0)*(ROW(職員マスタ!$A$6:$A$405)-5)))&gt;0,SUMPRODUCT(MAX((職員マスタ!$A$6:$A$405=$B844)*(((職員マスタ!$G$6:$G$405="")+(職員マスタ!$G$6:$G$405&lt;=EOMONTH($AO844,0)))&gt;0)*(((職員マスタ!$H$6:$H$405="")+(職員マスタ!$H$6:$H$405&gt;=$AO844))&gt;0)*(ROW(職員マスタ!$A$6:$A$405)-5))),IFERROR(MATCH($B844,職員マスタ!$A$6:$A$405,0),"")))</f>
        <v/>
      </c>
      <c r="AO844" s="16">
        <f>IF(OR($B844="",$C844="",$D844=""),"",DATE($C844+2018,$D844,1))</f>
        <v/>
      </c>
    </row>
    <row r="845">
      <c r="A845" s="11" t="n"/>
      <c r="B845" s="12" t="n"/>
      <c r="C845" s="12" t="n"/>
      <c r="D845" s="12" t="n"/>
      <c r="E845" s="13" t="n"/>
      <c r="F845" s="12" t="n"/>
      <c r="G845" s="13" t="n"/>
      <c r="H845" s="12" t="n"/>
      <c r="I845" s="12" t="n"/>
      <c r="J845" s="12" t="n"/>
      <c r="K845" s="12" t="n"/>
      <c r="L845" s="11" t="n"/>
      <c r="M845" s="11" t="n"/>
      <c r="N845" s="11" t="n"/>
      <c r="O845" s="11" t="n"/>
      <c r="P845" s="12" t="n"/>
      <c r="Q845" s="11" t="n"/>
      <c r="R845" s="12" t="n"/>
      <c r="S845" s="11" t="n"/>
      <c r="T845" s="12" t="n"/>
      <c r="U845" s="12" t="n"/>
      <c r="V845" s="14">
        <f>IF($AN845="",IF($B845="","",$H845),IF(INDEX(職員マスタ!$B$6:$B$405,$AN845)="",$H845,INDEX(職員マスタ!$B$6:$B$405,$AN845)))</f>
        <v/>
      </c>
      <c r="W845" s="14">
        <f>IF($AN845="",IF($B845="","",$R845),IF(INDEX(職員マスタ!$C$6:$C$405,$AN845)="",$R845,INDEX(職員マスタ!$C$6:$C$405,$AN845)))</f>
        <v/>
      </c>
      <c r="X845" s="14">
        <f>IF($AO845="","","R"&amp;$C845&amp;"."&amp;$D845)</f>
        <v/>
      </c>
      <c r="Y845" s="15">
        <f>IF($AN845="","",IF(INDEX(職員マスタ!$K$6:$K$405,$AN845)="","",INDEX(職員マスタ!$K$6:$K$405,$AN845)))</f>
        <v/>
      </c>
      <c r="Z845" s="14">
        <f>IF(OR($E845="",$Y845=""),"",IF($E845&gt;=$Y845,"×",IF($E845&gt;=$Y845*設定!$C$5,"△","○")))</f>
        <v/>
      </c>
      <c r="AA845" s="15">
        <f>IF($Z845="","",IF($Z845="×",0,IF($Z845="○",ROUNDDOWN($E845*設定!$C$4,0),ROUNDDOWN($E845*ROUND((9*$Y845-9*$E845)/(10*$E845),4),0))))</f>
        <v/>
      </c>
      <c r="AB845" s="13" t="n"/>
      <c r="AC845" s="15">
        <f>IF($B845="","",IF($AB845&lt;&gt;"",$AB845,IF($AA845="","",IF($AA845&lt;=設定!$C$3,0,$AA845))))</f>
        <v/>
      </c>
      <c r="AD845" s="14">
        <f>IF($B845="","",IF(AND($AE845&lt;&gt;"",$AG845="",$AJ845=""),"保留中",IF($AJ845&lt;&gt;"",IF(N($AC845)&gt;0,"支給済","不支給"),IF($AC845="","要確認",IF($AC845=0,"不支給","未処理")))))</f>
        <v/>
      </c>
      <c r="AE845" s="12" t="n"/>
      <c r="AF845" s="11" t="n"/>
      <c r="AG845" s="11" t="n"/>
      <c r="AH845" s="11" t="n"/>
      <c r="AI845" s="14">
        <f>IF(AND($AD845="保留中",$AF845&lt;&gt;""),TODAY()-$AF845,"")</f>
        <v/>
      </c>
      <c r="AJ845" s="12" t="n"/>
      <c r="AK845" s="14">
        <f>IF($B845="","",IF($AO845="","対象年月が未入力／","")&amp;IF($B845="","",IF($AN845="","職員マスタに未登録の職員番号／",IF($Y845="","標準報酬月額が未登録／","")&amp;IF(AND($AO845&lt;&gt;"",OR(AND(INDEX(職員マスタ!$G$6:$G$405,$AN845)&lt;&gt;"",INDEX(職員マスタ!$G$6:$G$405,$AN845)&gt;EOMONTH($AO845,0)),AND(INDEX(職員マスタ!$H$6:$H$405,$AN845)&lt;&gt;"",INDEX(職員マスタ!$H$6:$H$405,$AN845)&lt;$AO845))),"対象月が時短期間外／","")&amp;IF(AND(INDEX(職員マスタ!$F$6:$F$405,$AN845)&lt;&gt;"",$AO845&lt;&gt;"",INDEX(職員マスタ!$F$6:$F$405,$AN845)&lt;$AO845),"対象月に子が2歳到達済／","")&amp;IF(AND($H845&lt;&gt;"",INDEX(職員マスタ!$B$6:$B$405,$AN845)&lt;&gt;"",SUBSTITUTE(SUBSTITUTE($H845," ","")," ","")&lt;&gt;SUBSTITUTE(SUBSTITUTE(INDEX(職員マスタ!$B$6:$B$405,$AN845)," ","")," ","")),"氏名がマスタと相違／","")&amp;IF(AND($Q845&lt;&gt;"",INDEX(職員マスタ!$E$6:$E$405,$AN845)&lt;&gt;"",$Q845&lt;&gt;INDEX(職員マスタ!$E$6:$E$405,$AN845)),"子の生年月日がマスタと相違／","")&amp;IF(AND($L845&lt;&gt;"",INDEX(職員マスタ!$G$6:$G$405,$AN845)&lt;&gt;"",$L845&lt;&gt;INDEX(職員マスタ!$G$6:$G$405,$AN845)),"時短開始日がマスタと相違／","")&amp;IF(AND($M845&lt;&gt;"",INDEX(職員マスタ!$H$6:$H$405,$AN845)&lt;&gt;"",$M845&lt;&gt;INDEX(職員マスタ!$H$6:$H$405,$AN845)),"時短終了日がマスタと相違／","")))&amp;IF(AND($B845&lt;&gt;"",$E845=""),"報酬額が未入力／","")&amp;IF(N($U845)&gt;0,"申請書に入力エラーが残っています／","")&amp;IF(AND($B845&lt;&gt;"",$AO845&lt;&gt;""),IF(COUNTIFS($B$6:$B$3005,$B845,$C$6:$C$3005,$C845,$D$6:$D$3005,$D845)&gt;1,"同じ月の請求が重複しています／",""),"")&amp;IF(AND(N($E845)&gt;0,$Z845&lt;&gt;"",$Z845&lt;&gt;"×",$AC845=0,$AB845=""),"計算額が下限以下のため不支給／",""))</f>
        <v/>
      </c>
      <c r="AL845" s="12" t="n"/>
      <c r="AM845" s="14">
        <f>IF($AD845="保留中",COUNTIF($AD$6:$AD845,"保留中"),"")</f>
        <v/>
      </c>
      <c r="AN845" s="14">
        <f>IF($AO845="","",IF(SUMPRODUCT(MAX((職員マスタ!$A$6:$A$405=$B845)*(((職員マスタ!$G$6:$G$405="")+(職員マスタ!$G$6:$G$405&lt;=EOMONTH($AO845,0)))&gt;0)*(((職員マスタ!$H$6:$H$405="")+(職員マスタ!$H$6:$H$405&gt;=$AO845))&gt;0)*(ROW(職員マスタ!$A$6:$A$405)-5)))&gt;0,SUMPRODUCT(MAX((職員マスタ!$A$6:$A$405=$B845)*(((職員マスタ!$G$6:$G$405="")+(職員マスタ!$G$6:$G$405&lt;=EOMONTH($AO845,0)))&gt;0)*(((職員マスタ!$H$6:$H$405="")+(職員マスタ!$H$6:$H$405&gt;=$AO845))&gt;0)*(ROW(職員マスタ!$A$6:$A$405)-5))),IFERROR(MATCH($B845,職員マスタ!$A$6:$A$405,0),"")))</f>
        <v/>
      </c>
      <c r="AO845" s="16">
        <f>IF(OR($B845="",$C845="",$D845=""),"",DATE($C845+2018,$D845,1))</f>
        <v/>
      </c>
    </row>
    <row r="846">
      <c r="A846" s="11" t="n"/>
      <c r="B846" s="12" t="n"/>
      <c r="C846" s="12" t="n"/>
      <c r="D846" s="12" t="n"/>
      <c r="E846" s="13" t="n"/>
      <c r="F846" s="12" t="n"/>
      <c r="G846" s="13" t="n"/>
      <c r="H846" s="12" t="n"/>
      <c r="I846" s="12" t="n"/>
      <c r="J846" s="12" t="n"/>
      <c r="K846" s="12" t="n"/>
      <c r="L846" s="11" t="n"/>
      <c r="M846" s="11" t="n"/>
      <c r="N846" s="11" t="n"/>
      <c r="O846" s="11" t="n"/>
      <c r="P846" s="12" t="n"/>
      <c r="Q846" s="11" t="n"/>
      <c r="R846" s="12" t="n"/>
      <c r="S846" s="11" t="n"/>
      <c r="T846" s="12" t="n"/>
      <c r="U846" s="12" t="n"/>
      <c r="V846" s="14">
        <f>IF($AN846="",IF($B846="","",$H846),IF(INDEX(職員マスタ!$B$6:$B$405,$AN846)="",$H846,INDEX(職員マスタ!$B$6:$B$405,$AN846)))</f>
        <v/>
      </c>
      <c r="W846" s="14">
        <f>IF($AN846="",IF($B846="","",$R846),IF(INDEX(職員マスタ!$C$6:$C$405,$AN846)="",$R846,INDEX(職員マスタ!$C$6:$C$405,$AN846)))</f>
        <v/>
      </c>
      <c r="X846" s="14">
        <f>IF($AO846="","","R"&amp;$C846&amp;"."&amp;$D846)</f>
        <v/>
      </c>
      <c r="Y846" s="15">
        <f>IF($AN846="","",IF(INDEX(職員マスタ!$K$6:$K$405,$AN846)="","",INDEX(職員マスタ!$K$6:$K$405,$AN846)))</f>
        <v/>
      </c>
      <c r="Z846" s="14">
        <f>IF(OR($E846="",$Y846=""),"",IF($E846&gt;=$Y846,"×",IF($E846&gt;=$Y846*設定!$C$5,"△","○")))</f>
        <v/>
      </c>
      <c r="AA846" s="15">
        <f>IF($Z846="","",IF($Z846="×",0,IF($Z846="○",ROUNDDOWN($E846*設定!$C$4,0),ROUNDDOWN($E846*ROUND((9*$Y846-9*$E846)/(10*$E846),4),0))))</f>
        <v/>
      </c>
      <c r="AB846" s="13" t="n"/>
      <c r="AC846" s="15">
        <f>IF($B846="","",IF($AB846&lt;&gt;"",$AB846,IF($AA846="","",IF($AA846&lt;=設定!$C$3,0,$AA846))))</f>
        <v/>
      </c>
      <c r="AD846" s="14">
        <f>IF($B846="","",IF(AND($AE846&lt;&gt;"",$AG846="",$AJ846=""),"保留中",IF($AJ846&lt;&gt;"",IF(N($AC846)&gt;0,"支給済","不支給"),IF($AC846="","要確認",IF($AC846=0,"不支給","未処理")))))</f>
        <v/>
      </c>
      <c r="AE846" s="12" t="n"/>
      <c r="AF846" s="11" t="n"/>
      <c r="AG846" s="11" t="n"/>
      <c r="AH846" s="11" t="n"/>
      <c r="AI846" s="14">
        <f>IF(AND($AD846="保留中",$AF846&lt;&gt;""),TODAY()-$AF846,"")</f>
        <v/>
      </c>
      <c r="AJ846" s="12" t="n"/>
      <c r="AK846" s="14">
        <f>IF($B846="","",IF($AO846="","対象年月が未入力／","")&amp;IF($B846="","",IF($AN846="","職員マスタに未登録の職員番号／",IF($Y846="","標準報酬月額が未登録／","")&amp;IF(AND($AO846&lt;&gt;"",OR(AND(INDEX(職員マスタ!$G$6:$G$405,$AN846)&lt;&gt;"",INDEX(職員マスタ!$G$6:$G$405,$AN846)&gt;EOMONTH($AO846,0)),AND(INDEX(職員マスタ!$H$6:$H$405,$AN846)&lt;&gt;"",INDEX(職員マスタ!$H$6:$H$405,$AN846)&lt;$AO846))),"対象月が時短期間外／","")&amp;IF(AND(INDEX(職員マスタ!$F$6:$F$405,$AN846)&lt;&gt;"",$AO846&lt;&gt;"",INDEX(職員マスタ!$F$6:$F$405,$AN846)&lt;$AO846),"対象月に子が2歳到達済／","")&amp;IF(AND($H846&lt;&gt;"",INDEX(職員マスタ!$B$6:$B$405,$AN846)&lt;&gt;"",SUBSTITUTE(SUBSTITUTE($H846," ","")," ","")&lt;&gt;SUBSTITUTE(SUBSTITUTE(INDEX(職員マスタ!$B$6:$B$405,$AN846)," ","")," ","")),"氏名がマスタと相違／","")&amp;IF(AND($Q846&lt;&gt;"",INDEX(職員マスタ!$E$6:$E$405,$AN846)&lt;&gt;"",$Q846&lt;&gt;INDEX(職員マスタ!$E$6:$E$405,$AN846)),"子の生年月日がマスタと相違／","")&amp;IF(AND($L846&lt;&gt;"",INDEX(職員マスタ!$G$6:$G$405,$AN846)&lt;&gt;"",$L846&lt;&gt;INDEX(職員マスタ!$G$6:$G$405,$AN846)),"時短開始日がマスタと相違／","")&amp;IF(AND($M846&lt;&gt;"",INDEX(職員マスタ!$H$6:$H$405,$AN846)&lt;&gt;"",$M846&lt;&gt;INDEX(職員マスタ!$H$6:$H$405,$AN846)),"時短終了日がマスタと相違／","")))&amp;IF(AND($B846&lt;&gt;"",$E846=""),"報酬額が未入力／","")&amp;IF(N($U846)&gt;0,"申請書に入力エラーが残っています／","")&amp;IF(AND($B846&lt;&gt;"",$AO846&lt;&gt;""),IF(COUNTIFS($B$6:$B$3005,$B846,$C$6:$C$3005,$C846,$D$6:$D$3005,$D846)&gt;1,"同じ月の請求が重複しています／",""),"")&amp;IF(AND(N($E846)&gt;0,$Z846&lt;&gt;"",$Z846&lt;&gt;"×",$AC846=0,$AB846=""),"計算額が下限以下のため不支給／",""))</f>
        <v/>
      </c>
      <c r="AL846" s="12" t="n"/>
      <c r="AM846" s="14">
        <f>IF($AD846="保留中",COUNTIF($AD$6:$AD846,"保留中"),"")</f>
        <v/>
      </c>
      <c r="AN846" s="14">
        <f>IF($AO846="","",IF(SUMPRODUCT(MAX((職員マスタ!$A$6:$A$405=$B846)*(((職員マスタ!$G$6:$G$405="")+(職員マスタ!$G$6:$G$405&lt;=EOMONTH($AO846,0)))&gt;0)*(((職員マスタ!$H$6:$H$405="")+(職員マスタ!$H$6:$H$405&gt;=$AO846))&gt;0)*(ROW(職員マスタ!$A$6:$A$405)-5)))&gt;0,SUMPRODUCT(MAX((職員マスタ!$A$6:$A$405=$B846)*(((職員マスタ!$G$6:$G$405="")+(職員マスタ!$G$6:$G$405&lt;=EOMONTH($AO846,0)))&gt;0)*(((職員マスタ!$H$6:$H$405="")+(職員マスタ!$H$6:$H$405&gt;=$AO846))&gt;0)*(ROW(職員マスタ!$A$6:$A$405)-5))),IFERROR(MATCH($B846,職員マスタ!$A$6:$A$405,0),"")))</f>
        <v/>
      </c>
      <c r="AO846" s="16">
        <f>IF(OR($B846="",$C846="",$D846=""),"",DATE($C846+2018,$D846,1))</f>
        <v/>
      </c>
    </row>
    <row r="847">
      <c r="A847" s="11" t="n"/>
      <c r="B847" s="12" t="n"/>
      <c r="C847" s="12" t="n"/>
      <c r="D847" s="12" t="n"/>
      <c r="E847" s="13" t="n"/>
      <c r="F847" s="12" t="n"/>
      <c r="G847" s="13" t="n"/>
      <c r="H847" s="12" t="n"/>
      <c r="I847" s="12" t="n"/>
      <c r="J847" s="12" t="n"/>
      <c r="K847" s="12" t="n"/>
      <c r="L847" s="11" t="n"/>
      <c r="M847" s="11" t="n"/>
      <c r="N847" s="11" t="n"/>
      <c r="O847" s="11" t="n"/>
      <c r="P847" s="12" t="n"/>
      <c r="Q847" s="11" t="n"/>
      <c r="R847" s="12" t="n"/>
      <c r="S847" s="11" t="n"/>
      <c r="T847" s="12" t="n"/>
      <c r="U847" s="12" t="n"/>
      <c r="V847" s="14">
        <f>IF($AN847="",IF($B847="","",$H847),IF(INDEX(職員マスタ!$B$6:$B$405,$AN847)="",$H847,INDEX(職員マスタ!$B$6:$B$405,$AN847)))</f>
        <v/>
      </c>
      <c r="W847" s="14">
        <f>IF($AN847="",IF($B847="","",$R847),IF(INDEX(職員マスタ!$C$6:$C$405,$AN847)="",$R847,INDEX(職員マスタ!$C$6:$C$405,$AN847)))</f>
        <v/>
      </c>
      <c r="X847" s="14">
        <f>IF($AO847="","","R"&amp;$C847&amp;"."&amp;$D847)</f>
        <v/>
      </c>
      <c r="Y847" s="15">
        <f>IF($AN847="","",IF(INDEX(職員マスタ!$K$6:$K$405,$AN847)="","",INDEX(職員マスタ!$K$6:$K$405,$AN847)))</f>
        <v/>
      </c>
      <c r="Z847" s="14">
        <f>IF(OR($E847="",$Y847=""),"",IF($E847&gt;=$Y847,"×",IF($E847&gt;=$Y847*設定!$C$5,"△","○")))</f>
        <v/>
      </c>
      <c r="AA847" s="15">
        <f>IF($Z847="","",IF($Z847="×",0,IF($Z847="○",ROUNDDOWN($E847*設定!$C$4,0),ROUNDDOWN($E847*ROUND((9*$Y847-9*$E847)/(10*$E847),4),0))))</f>
        <v/>
      </c>
      <c r="AB847" s="13" t="n"/>
      <c r="AC847" s="15">
        <f>IF($B847="","",IF($AB847&lt;&gt;"",$AB847,IF($AA847="","",IF($AA847&lt;=設定!$C$3,0,$AA847))))</f>
        <v/>
      </c>
      <c r="AD847" s="14">
        <f>IF($B847="","",IF(AND($AE847&lt;&gt;"",$AG847="",$AJ847=""),"保留中",IF($AJ847&lt;&gt;"",IF(N($AC847)&gt;0,"支給済","不支給"),IF($AC847="","要確認",IF($AC847=0,"不支給","未処理")))))</f>
        <v/>
      </c>
      <c r="AE847" s="12" t="n"/>
      <c r="AF847" s="11" t="n"/>
      <c r="AG847" s="11" t="n"/>
      <c r="AH847" s="11" t="n"/>
      <c r="AI847" s="14">
        <f>IF(AND($AD847="保留中",$AF847&lt;&gt;""),TODAY()-$AF847,"")</f>
        <v/>
      </c>
      <c r="AJ847" s="12" t="n"/>
      <c r="AK847" s="14">
        <f>IF($B847="","",IF($AO847="","対象年月が未入力／","")&amp;IF($B847="","",IF($AN847="","職員マスタに未登録の職員番号／",IF($Y847="","標準報酬月額が未登録／","")&amp;IF(AND($AO847&lt;&gt;"",OR(AND(INDEX(職員マスタ!$G$6:$G$405,$AN847)&lt;&gt;"",INDEX(職員マスタ!$G$6:$G$405,$AN847)&gt;EOMONTH($AO847,0)),AND(INDEX(職員マスタ!$H$6:$H$405,$AN847)&lt;&gt;"",INDEX(職員マスタ!$H$6:$H$405,$AN847)&lt;$AO847))),"対象月が時短期間外／","")&amp;IF(AND(INDEX(職員マスタ!$F$6:$F$405,$AN847)&lt;&gt;"",$AO847&lt;&gt;"",INDEX(職員マスタ!$F$6:$F$405,$AN847)&lt;$AO847),"対象月に子が2歳到達済／","")&amp;IF(AND($H847&lt;&gt;"",INDEX(職員マスタ!$B$6:$B$405,$AN847)&lt;&gt;"",SUBSTITUTE(SUBSTITUTE($H847," ","")," ","")&lt;&gt;SUBSTITUTE(SUBSTITUTE(INDEX(職員マスタ!$B$6:$B$405,$AN847)," ","")," ","")),"氏名がマスタと相違／","")&amp;IF(AND($Q847&lt;&gt;"",INDEX(職員マスタ!$E$6:$E$405,$AN847)&lt;&gt;"",$Q847&lt;&gt;INDEX(職員マスタ!$E$6:$E$405,$AN847)),"子の生年月日がマスタと相違／","")&amp;IF(AND($L847&lt;&gt;"",INDEX(職員マスタ!$G$6:$G$405,$AN847)&lt;&gt;"",$L847&lt;&gt;INDEX(職員マスタ!$G$6:$G$405,$AN847)),"時短開始日がマスタと相違／","")&amp;IF(AND($M847&lt;&gt;"",INDEX(職員マスタ!$H$6:$H$405,$AN847)&lt;&gt;"",$M847&lt;&gt;INDEX(職員マスタ!$H$6:$H$405,$AN847)),"時短終了日がマスタと相違／","")))&amp;IF(AND($B847&lt;&gt;"",$E847=""),"報酬額が未入力／","")&amp;IF(N($U847)&gt;0,"申請書に入力エラーが残っています／","")&amp;IF(AND($B847&lt;&gt;"",$AO847&lt;&gt;""),IF(COUNTIFS($B$6:$B$3005,$B847,$C$6:$C$3005,$C847,$D$6:$D$3005,$D847)&gt;1,"同じ月の請求が重複しています／",""),"")&amp;IF(AND(N($E847)&gt;0,$Z847&lt;&gt;"",$Z847&lt;&gt;"×",$AC847=0,$AB847=""),"計算額が下限以下のため不支給／",""))</f>
        <v/>
      </c>
      <c r="AL847" s="12" t="n"/>
      <c r="AM847" s="14">
        <f>IF($AD847="保留中",COUNTIF($AD$6:$AD847,"保留中"),"")</f>
        <v/>
      </c>
      <c r="AN847" s="14">
        <f>IF($AO847="","",IF(SUMPRODUCT(MAX((職員マスタ!$A$6:$A$405=$B847)*(((職員マスタ!$G$6:$G$405="")+(職員マスタ!$G$6:$G$405&lt;=EOMONTH($AO847,0)))&gt;0)*(((職員マスタ!$H$6:$H$405="")+(職員マスタ!$H$6:$H$405&gt;=$AO847))&gt;0)*(ROW(職員マスタ!$A$6:$A$405)-5)))&gt;0,SUMPRODUCT(MAX((職員マスタ!$A$6:$A$405=$B847)*(((職員マスタ!$G$6:$G$405="")+(職員マスタ!$G$6:$G$405&lt;=EOMONTH($AO847,0)))&gt;0)*(((職員マスタ!$H$6:$H$405="")+(職員マスタ!$H$6:$H$405&gt;=$AO847))&gt;0)*(ROW(職員マスタ!$A$6:$A$405)-5))),IFERROR(MATCH($B847,職員マスタ!$A$6:$A$405,0),"")))</f>
        <v/>
      </c>
      <c r="AO847" s="16">
        <f>IF(OR($B847="",$C847="",$D847=""),"",DATE($C847+2018,$D847,1))</f>
        <v/>
      </c>
    </row>
    <row r="848">
      <c r="A848" s="11" t="n"/>
      <c r="B848" s="12" t="n"/>
      <c r="C848" s="12" t="n"/>
      <c r="D848" s="12" t="n"/>
      <c r="E848" s="13" t="n"/>
      <c r="F848" s="12" t="n"/>
      <c r="G848" s="13" t="n"/>
      <c r="H848" s="12" t="n"/>
      <c r="I848" s="12" t="n"/>
      <c r="J848" s="12" t="n"/>
      <c r="K848" s="12" t="n"/>
      <c r="L848" s="11" t="n"/>
      <c r="M848" s="11" t="n"/>
      <c r="N848" s="11" t="n"/>
      <c r="O848" s="11" t="n"/>
      <c r="P848" s="12" t="n"/>
      <c r="Q848" s="11" t="n"/>
      <c r="R848" s="12" t="n"/>
      <c r="S848" s="11" t="n"/>
      <c r="T848" s="12" t="n"/>
      <c r="U848" s="12" t="n"/>
      <c r="V848" s="14">
        <f>IF($AN848="",IF($B848="","",$H848),IF(INDEX(職員マスタ!$B$6:$B$405,$AN848)="",$H848,INDEX(職員マスタ!$B$6:$B$405,$AN848)))</f>
        <v/>
      </c>
      <c r="W848" s="14">
        <f>IF($AN848="",IF($B848="","",$R848),IF(INDEX(職員マスタ!$C$6:$C$405,$AN848)="",$R848,INDEX(職員マスタ!$C$6:$C$405,$AN848)))</f>
        <v/>
      </c>
      <c r="X848" s="14">
        <f>IF($AO848="","","R"&amp;$C848&amp;"."&amp;$D848)</f>
        <v/>
      </c>
      <c r="Y848" s="15">
        <f>IF($AN848="","",IF(INDEX(職員マスタ!$K$6:$K$405,$AN848)="","",INDEX(職員マスタ!$K$6:$K$405,$AN848)))</f>
        <v/>
      </c>
      <c r="Z848" s="14">
        <f>IF(OR($E848="",$Y848=""),"",IF($E848&gt;=$Y848,"×",IF($E848&gt;=$Y848*設定!$C$5,"△","○")))</f>
        <v/>
      </c>
      <c r="AA848" s="15">
        <f>IF($Z848="","",IF($Z848="×",0,IF($Z848="○",ROUNDDOWN($E848*設定!$C$4,0),ROUNDDOWN($E848*ROUND((9*$Y848-9*$E848)/(10*$E848),4),0))))</f>
        <v/>
      </c>
      <c r="AB848" s="13" t="n"/>
      <c r="AC848" s="15">
        <f>IF($B848="","",IF($AB848&lt;&gt;"",$AB848,IF($AA848="","",IF($AA848&lt;=設定!$C$3,0,$AA848))))</f>
        <v/>
      </c>
      <c r="AD848" s="14">
        <f>IF($B848="","",IF(AND($AE848&lt;&gt;"",$AG848="",$AJ848=""),"保留中",IF($AJ848&lt;&gt;"",IF(N($AC848)&gt;0,"支給済","不支給"),IF($AC848="","要確認",IF($AC848=0,"不支給","未処理")))))</f>
        <v/>
      </c>
      <c r="AE848" s="12" t="n"/>
      <c r="AF848" s="11" t="n"/>
      <c r="AG848" s="11" t="n"/>
      <c r="AH848" s="11" t="n"/>
      <c r="AI848" s="14">
        <f>IF(AND($AD848="保留中",$AF848&lt;&gt;""),TODAY()-$AF848,"")</f>
        <v/>
      </c>
      <c r="AJ848" s="12" t="n"/>
      <c r="AK848" s="14">
        <f>IF($B848="","",IF($AO848="","対象年月が未入力／","")&amp;IF($B848="","",IF($AN848="","職員マスタに未登録の職員番号／",IF($Y848="","標準報酬月額が未登録／","")&amp;IF(AND($AO848&lt;&gt;"",OR(AND(INDEX(職員マスタ!$G$6:$G$405,$AN848)&lt;&gt;"",INDEX(職員マスタ!$G$6:$G$405,$AN848)&gt;EOMONTH($AO848,0)),AND(INDEX(職員マスタ!$H$6:$H$405,$AN848)&lt;&gt;"",INDEX(職員マスタ!$H$6:$H$405,$AN848)&lt;$AO848))),"対象月が時短期間外／","")&amp;IF(AND(INDEX(職員マスタ!$F$6:$F$405,$AN848)&lt;&gt;"",$AO848&lt;&gt;"",INDEX(職員マスタ!$F$6:$F$405,$AN848)&lt;$AO848),"対象月に子が2歳到達済／","")&amp;IF(AND($H848&lt;&gt;"",INDEX(職員マスタ!$B$6:$B$405,$AN848)&lt;&gt;"",SUBSTITUTE(SUBSTITUTE($H848," ","")," ","")&lt;&gt;SUBSTITUTE(SUBSTITUTE(INDEX(職員マスタ!$B$6:$B$405,$AN848)," ","")," ","")),"氏名がマスタと相違／","")&amp;IF(AND($Q848&lt;&gt;"",INDEX(職員マスタ!$E$6:$E$405,$AN848)&lt;&gt;"",$Q848&lt;&gt;INDEX(職員マスタ!$E$6:$E$405,$AN848)),"子の生年月日がマスタと相違／","")&amp;IF(AND($L848&lt;&gt;"",INDEX(職員マスタ!$G$6:$G$405,$AN848)&lt;&gt;"",$L848&lt;&gt;INDEX(職員マスタ!$G$6:$G$405,$AN848)),"時短開始日がマスタと相違／","")&amp;IF(AND($M848&lt;&gt;"",INDEX(職員マスタ!$H$6:$H$405,$AN848)&lt;&gt;"",$M848&lt;&gt;INDEX(職員マスタ!$H$6:$H$405,$AN848)),"時短終了日がマスタと相違／","")))&amp;IF(AND($B848&lt;&gt;"",$E848=""),"報酬額が未入力／","")&amp;IF(N($U848)&gt;0,"申請書に入力エラーが残っています／","")&amp;IF(AND($B848&lt;&gt;"",$AO848&lt;&gt;""),IF(COUNTIFS($B$6:$B$3005,$B848,$C$6:$C$3005,$C848,$D$6:$D$3005,$D848)&gt;1,"同じ月の請求が重複しています／",""),"")&amp;IF(AND(N($E848)&gt;0,$Z848&lt;&gt;"",$Z848&lt;&gt;"×",$AC848=0,$AB848=""),"計算額が下限以下のため不支給／",""))</f>
        <v/>
      </c>
      <c r="AL848" s="12" t="n"/>
      <c r="AM848" s="14">
        <f>IF($AD848="保留中",COUNTIF($AD$6:$AD848,"保留中"),"")</f>
        <v/>
      </c>
      <c r="AN848" s="14">
        <f>IF($AO848="","",IF(SUMPRODUCT(MAX((職員マスタ!$A$6:$A$405=$B848)*(((職員マスタ!$G$6:$G$405="")+(職員マスタ!$G$6:$G$405&lt;=EOMONTH($AO848,0)))&gt;0)*(((職員マスタ!$H$6:$H$405="")+(職員マスタ!$H$6:$H$405&gt;=$AO848))&gt;0)*(ROW(職員マスタ!$A$6:$A$405)-5)))&gt;0,SUMPRODUCT(MAX((職員マスタ!$A$6:$A$405=$B848)*(((職員マスタ!$G$6:$G$405="")+(職員マスタ!$G$6:$G$405&lt;=EOMONTH($AO848,0)))&gt;0)*(((職員マスタ!$H$6:$H$405="")+(職員マスタ!$H$6:$H$405&gt;=$AO848))&gt;0)*(ROW(職員マスタ!$A$6:$A$405)-5))),IFERROR(MATCH($B848,職員マスタ!$A$6:$A$405,0),"")))</f>
        <v/>
      </c>
      <c r="AO848" s="16">
        <f>IF(OR($B848="",$C848="",$D848=""),"",DATE($C848+2018,$D848,1))</f>
        <v/>
      </c>
    </row>
    <row r="849">
      <c r="A849" s="11" t="n"/>
      <c r="B849" s="12" t="n"/>
      <c r="C849" s="12" t="n"/>
      <c r="D849" s="12" t="n"/>
      <c r="E849" s="13" t="n"/>
      <c r="F849" s="12" t="n"/>
      <c r="G849" s="13" t="n"/>
      <c r="H849" s="12" t="n"/>
      <c r="I849" s="12" t="n"/>
      <c r="J849" s="12" t="n"/>
      <c r="K849" s="12" t="n"/>
      <c r="L849" s="11" t="n"/>
      <c r="M849" s="11" t="n"/>
      <c r="N849" s="11" t="n"/>
      <c r="O849" s="11" t="n"/>
      <c r="P849" s="12" t="n"/>
      <c r="Q849" s="11" t="n"/>
      <c r="R849" s="12" t="n"/>
      <c r="S849" s="11" t="n"/>
      <c r="T849" s="12" t="n"/>
      <c r="U849" s="12" t="n"/>
      <c r="V849" s="14">
        <f>IF($AN849="",IF($B849="","",$H849),IF(INDEX(職員マスタ!$B$6:$B$405,$AN849)="",$H849,INDEX(職員マスタ!$B$6:$B$405,$AN849)))</f>
        <v/>
      </c>
      <c r="W849" s="14">
        <f>IF($AN849="",IF($B849="","",$R849),IF(INDEX(職員マスタ!$C$6:$C$405,$AN849)="",$R849,INDEX(職員マスタ!$C$6:$C$405,$AN849)))</f>
        <v/>
      </c>
      <c r="X849" s="14">
        <f>IF($AO849="","","R"&amp;$C849&amp;"."&amp;$D849)</f>
        <v/>
      </c>
      <c r="Y849" s="15">
        <f>IF($AN849="","",IF(INDEX(職員マスタ!$K$6:$K$405,$AN849)="","",INDEX(職員マスタ!$K$6:$K$405,$AN849)))</f>
        <v/>
      </c>
      <c r="Z849" s="14">
        <f>IF(OR($E849="",$Y849=""),"",IF($E849&gt;=$Y849,"×",IF($E849&gt;=$Y849*設定!$C$5,"△","○")))</f>
        <v/>
      </c>
      <c r="AA849" s="15">
        <f>IF($Z849="","",IF($Z849="×",0,IF($Z849="○",ROUNDDOWN($E849*設定!$C$4,0),ROUNDDOWN($E849*ROUND((9*$Y849-9*$E849)/(10*$E849),4),0))))</f>
        <v/>
      </c>
      <c r="AB849" s="13" t="n"/>
      <c r="AC849" s="15">
        <f>IF($B849="","",IF($AB849&lt;&gt;"",$AB849,IF($AA849="","",IF($AA849&lt;=設定!$C$3,0,$AA849))))</f>
        <v/>
      </c>
      <c r="AD849" s="14">
        <f>IF($B849="","",IF(AND($AE849&lt;&gt;"",$AG849="",$AJ849=""),"保留中",IF($AJ849&lt;&gt;"",IF(N($AC849)&gt;0,"支給済","不支給"),IF($AC849="","要確認",IF($AC849=0,"不支給","未処理")))))</f>
        <v/>
      </c>
      <c r="AE849" s="12" t="n"/>
      <c r="AF849" s="11" t="n"/>
      <c r="AG849" s="11" t="n"/>
      <c r="AH849" s="11" t="n"/>
      <c r="AI849" s="14">
        <f>IF(AND($AD849="保留中",$AF849&lt;&gt;""),TODAY()-$AF849,"")</f>
        <v/>
      </c>
      <c r="AJ849" s="12" t="n"/>
      <c r="AK849" s="14">
        <f>IF($B849="","",IF($AO849="","対象年月が未入力／","")&amp;IF($B849="","",IF($AN849="","職員マスタに未登録の職員番号／",IF($Y849="","標準報酬月額が未登録／","")&amp;IF(AND($AO849&lt;&gt;"",OR(AND(INDEX(職員マスタ!$G$6:$G$405,$AN849)&lt;&gt;"",INDEX(職員マスタ!$G$6:$G$405,$AN849)&gt;EOMONTH($AO849,0)),AND(INDEX(職員マスタ!$H$6:$H$405,$AN849)&lt;&gt;"",INDEX(職員マスタ!$H$6:$H$405,$AN849)&lt;$AO849))),"対象月が時短期間外／","")&amp;IF(AND(INDEX(職員マスタ!$F$6:$F$405,$AN849)&lt;&gt;"",$AO849&lt;&gt;"",INDEX(職員マスタ!$F$6:$F$405,$AN849)&lt;$AO849),"対象月に子が2歳到達済／","")&amp;IF(AND($H849&lt;&gt;"",INDEX(職員マスタ!$B$6:$B$405,$AN849)&lt;&gt;"",SUBSTITUTE(SUBSTITUTE($H849," ","")," ","")&lt;&gt;SUBSTITUTE(SUBSTITUTE(INDEX(職員マスタ!$B$6:$B$405,$AN849)," ","")," ","")),"氏名がマスタと相違／","")&amp;IF(AND($Q849&lt;&gt;"",INDEX(職員マスタ!$E$6:$E$405,$AN849)&lt;&gt;"",$Q849&lt;&gt;INDEX(職員マスタ!$E$6:$E$405,$AN849)),"子の生年月日がマスタと相違／","")&amp;IF(AND($L849&lt;&gt;"",INDEX(職員マスタ!$G$6:$G$405,$AN849)&lt;&gt;"",$L849&lt;&gt;INDEX(職員マスタ!$G$6:$G$405,$AN849)),"時短開始日がマスタと相違／","")&amp;IF(AND($M849&lt;&gt;"",INDEX(職員マスタ!$H$6:$H$405,$AN849)&lt;&gt;"",$M849&lt;&gt;INDEX(職員マスタ!$H$6:$H$405,$AN849)),"時短終了日がマスタと相違／","")))&amp;IF(AND($B849&lt;&gt;"",$E849=""),"報酬額が未入力／","")&amp;IF(N($U849)&gt;0,"申請書に入力エラーが残っています／","")&amp;IF(AND($B849&lt;&gt;"",$AO849&lt;&gt;""),IF(COUNTIFS($B$6:$B$3005,$B849,$C$6:$C$3005,$C849,$D$6:$D$3005,$D849)&gt;1,"同じ月の請求が重複しています／",""),"")&amp;IF(AND(N($E849)&gt;0,$Z849&lt;&gt;"",$Z849&lt;&gt;"×",$AC849=0,$AB849=""),"計算額が下限以下のため不支給／",""))</f>
        <v/>
      </c>
      <c r="AL849" s="12" t="n"/>
      <c r="AM849" s="14">
        <f>IF($AD849="保留中",COUNTIF($AD$6:$AD849,"保留中"),"")</f>
        <v/>
      </c>
      <c r="AN849" s="14">
        <f>IF($AO849="","",IF(SUMPRODUCT(MAX((職員マスタ!$A$6:$A$405=$B849)*(((職員マスタ!$G$6:$G$405="")+(職員マスタ!$G$6:$G$405&lt;=EOMONTH($AO849,0)))&gt;0)*(((職員マスタ!$H$6:$H$405="")+(職員マスタ!$H$6:$H$405&gt;=$AO849))&gt;0)*(ROW(職員マスタ!$A$6:$A$405)-5)))&gt;0,SUMPRODUCT(MAX((職員マスタ!$A$6:$A$405=$B849)*(((職員マスタ!$G$6:$G$405="")+(職員マスタ!$G$6:$G$405&lt;=EOMONTH($AO849,0)))&gt;0)*(((職員マスタ!$H$6:$H$405="")+(職員マスタ!$H$6:$H$405&gt;=$AO849))&gt;0)*(ROW(職員マスタ!$A$6:$A$405)-5))),IFERROR(MATCH($B849,職員マスタ!$A$6:$A$405,0),"")))</f>
        <v/>
      </c>
      <c r="AO849" s="16">
        <f>IF(OR($B849="",$C849="",$D849=""),"",DATE($C849+2018,$D849,1))</f>
        <v/>
      </c>
    </row>
    <row r="850">
      <c r="A850" s="11" t="n"/>
      <c r="B850" s="12" t="n"/>
      <c r="C850" s="12" t="n"/>
      <c r="D850" s="12" t="n"/>
      <c r="E850" s="13" t="n"/>
      <c r="F850" s="12" t="n"/>
      <c r="G850" s="13" t="n"/>
      <c r="H850" s="12" t="n"/>
      <c r="I850" s="12" t="n"/>
      <c r="J850" s="12" t="n"/>
      <c r="K850" s="12" t="n"/>
      <c r="L850" s="11" t="n"/>
      <c r="M850" s="11" t="n"/>
      <c r="N850" s="11" t="n"/>
      <c r="O850" s="11" t="n"/>
      <c r="P850" s="12" t="n"/>
      <c r="Q850" s="11" t="n"/>
      <c r="R850" s="12" t="n"/>
      <c r="S850" s="11" t="n"/>
      <c r="T850" s="12" t="n"/>
      <c r="U850" s="12" t="n"/>
      <c r="V850" s="14">
        <f>IF($AN850="",IF($B850="","",$H850),IF(INDEX(職員マスタ!$B$6:$B$405,$AN850)="",$H850,INDEX(職員マスタ!$B$6:$B$405,$AN850)))</f>
        <v/>
      </c>
      <c r="W850" s="14">
        <f>IF($AN850="",IF($B850="","",$R850),IF(INDEX(職員マスタ!$C$6:$C$405,$AN850)="",$R850,INDEX(職員マスタ!$C$6:$C$405,$AN850)))</f>
        <v/>
      </c>
      <c r="X850" s="14">
        <f>IF($AO850="","","R"&amp;$C850&amp;"."&amp;$D850)</f>
        <v/>
      </c>
      <c r="Y850" s="15">
        <f>IF($AN850="","",IF(INDEX(職員マスタ!$K$6:$K$405,$AN850)="","",INDEX(職員マスタ!$K$6:$K$405,$AN850)))</f>
        <v/>
      </c>
      <c r="Z850" s="14">
        <f>IF(OR($E850="",$Y850=""),"",IF($E850&gt;=$Y850,"×",IF($E850&gt;=$Y850*設定!$C$5,"△","○")))</f>
        <v/>
      </c>
      <c r="AA850" s="15">
        <f>IF($Z850="","",IF($Z850="×",0,IF($Z850="○",ROUNDDOWN($E850*設定!$C$4,0),ROUNDDOWN($E850*ROUND((9*$Y850-9*$E850)/(10*$E850),4),0))))</f>
        <v/>
      </c>
      <c r="AB850" s="13" t="n"/>
      <c r="AC850" s="15">
        <f>IF($B850="","",IF($AB850&lt;&gt;"",$AB850,IF($AA850="","",IF($AA850&lt;=設定!$C$3,0,$AA850))))</f>
        <v/>
      </c>
      <c r="AD850" s="14">
        <f>IF($B850="","",IF(AND($AE850&lt;&gt;"",$AG850="",$AJ850=""),"保留中",IF($AJ850&lt;&gt;"",IF(N($AC850)&gt;0,"支給済","不支給"),IF($AC850="","要確認",IF($AC850=0,"不支給","未処理")))))</f>
        <v/>
      </c>
      <c r="AE850" s="12" t="n"/>
      <c r="AF850" s="11" t="n"/>
      <c r="AG850" s="11" t="n"/>
      <c r="AH850" s="11" t="n"/>
      <c r="AI850" s="14">
        <f>IF(AND($AD850="保留中",$AF850&lt;&gt;""),TODAY()-$AF850,"")</f>
        <v/>
      </c>
      <c r="AJ850" s="12" t="n"/>
      <c r="AK850" s="14">
        <f>IF($B850="","",IF($AO850="","対象年月が未入力／","")&amp;IF($B850="","",IF($AN850="","職員マスタに未登録の職員番号／",IF($Y850="","標準報酬月額が未登録／","")&amp;IF(AND($AO850&lt;&gt;"",OR(AND(INDEX(職員マスタ!$G$6:$G$405,$AN850)&lt;&gt;"",INDEX(職員マスタ!$G$6:$G$405,$AN850)&gt;EOMONTH($AO850,0)),AND(INDEX(職員マスタ!$H$6:$H$405,$AN850)&lt;&gt;"",INDEX(職員マスタ!$H$6:$H$405,$AN850)&lt;$AO850))),"対象月が時短期間外／","")&amp;IF(AND(INDEX(職員マスタ!$F$6:$F$405,$AN850)&lt;&gt;"",$AO850&lt;&gt;"",INDEX(職員マスタ!$F$6:$F$405,$AN850)&lt;$AO850),"対象月に子が2歳到達済／","")&amp;IF(AND($H850&lt;&gt;"",INDEX(職員マスタ!$B$6:$B$405,$AN850)&lt;&gt;"",SUBSTITUTE(SUBSTITUTE($H850," ","")," ","")&lt;&gt;SUBSTITUTE(SUBSTITUTE(INDEX(職員マスタ!$B$6:$B$405,$AN850)," ","")," ","")),"氏名がマスタと相違／","")&amp;IF(AND($Q850&lt;&gt;"",INDEX(職員マスタ!$E$6:$E$405,$AN850)&lt;&gt;"",$Q850&lt;&gt;INDEX(職員マスタ!$E$6:$E$405,$AN850)),"子の生年月日がマスタと相違／","")&amp;IF(AND($L850&lt;&gt;"",INDEX(職員マスタ!$G$6:$G$405,$AN850)&lt;&gt;"",$L850&lt;&gt;INDEX(職員マスタ!$G$6:$G$405,$AN850)),"時短開始日がマスタと相違／","")&amp;IF(AND($M850&lt;&gt;"",INDEX(職員マスタ!$H$6:$H$405,$AN850)&lt;&gt;"",$M850&lt;&gt;INDEX(職員マスタ!$H$6:$H$405,$AN850)),"時短終了日がマスタと相違／","")))&amp;IF(AND($B850&lt;&gt;"",$E850=""),"報酬額が未入力／","")&amp;IF(N($U850)&gt;0,"申請書に入力エラーが残っています／","")&amp;IF(AND($B850&lt;&gt;"",$AO850&lt;&gt;""),IF(COUNTIFS($B$6:$B$3005,$B850,$C$6:$C$3005,$C850,$D$6:$D$3005,$D850)&gt;1,"同じ月の請求が重複しています／",""),"")&amp;IF(AND(N($E850)&gt;0,$Z850&lt;&gt;"",$Z850&lt;&gt;"×",$AC850=0,$AB850=""),"計算額が下限以下のため不支給／",""))</f>
        <v/>
      </c>
      <c r="AL850" s="12" t="n"/>
      <c r="AM850" s="14">
        <f>IF($AD850="保留中",COUNTIF($AD$6:$AD850,"保留中"),"")</f>
        <v/>
      </c>
      <c r="AN850" s="14">
        <f>IF($AO850="","",IF(SUMPRODUCT(MAX((職員マスタ!$A$6:$A$405=$B850)*(((職員マスタ!$G$6:$G$405="")+(職員マスタ!$G$6:$G$405&lt;=EOMONTH($AO850,0)))&gt;0)*(((職員マスタ!$H$6:$H$405="")+(職員マスタ!$H$6:$H$405&gt;=$AO850))&gt;0)*(ROW(職員マスタ!$A$6:$A$405)-5)))&gt;0,SUMPRODUCT(MAX((職員マスタ!$A$6:$A$405=$B850)*(((職員マスタ!$G$6:$G$405="")+(職員マスタ!$G$6:$G$405&lt;=EOMONTH($AO850,0)))&gt;0)*(((職員マスタ!$H$6:$H$405="")+(職員マスタ!$H$6:$H$405&gt;=$AO850))&gt;0)*(ROW(職員マスタ!$A$6:$A$405)-5))),IFERROR(MATCH($B850,職員マスタ!$A$6:$A$405,0),"")))</f>
        <v/>
      </c>
      <c r="AO850" s="16">
        <f>IF(OR($B850="",$C850="",$D850=""),"",DATE($C850+2018,$D850,1))</f>
        <v/>
      </c>
    </row>
    <row r="851">
      <c r="A851" s="11" t="n"/>
      <c r="B851" s="12" t="n"/>
      <c r="C851" s="12" t="n"/>
      <c r="D851" s="12" t="n"/>
      <c r="E851" s="13" t="n"/>
      <c r="F851" s="12" t="n"/>
      <c r="G851" s="13" t="n"/>
      <c r="H851" s="12" t="n"/>
      <c r="I851" s="12" t="n"/>
      <c r="J851" s="12" t="n"/>
      <c r="K851" s="12" t="n"/>
      <c r="L851" s="11" t="n"/>
      <c r="M851" s="11" t="n"/>
      <c r="N851" s="11" t="n"/>
      <c r="O851" s="11" t="n"/>
      <c r="P851" s="12" t="n"/>
      <c r="Q851" s="11" t="n"/>
      <c r="R851" s="12" t="n"/>
      <c r="S851" s="11" t="n"/>
      <c r="T851" s="12" t="n"/>
      <c r="U851" s="12" t="n"/>
      <c r="V851" s="14">
        <f>IF($AN851="",IF($B851="","",$H851),IF(INDEX(職員マスタ!$B$6:$B$405,$AN851)="",$H851,INDEX(職員マスタ!$B$6:$B$405,$AN851)))</f>
        <v/>
      </c>
      <c r="W851" s="14">
        <f>IF($AN851="",IF($B851="","",$R851),IF(INDEX(職員マスタ!$C$6:$C$405,$AN851)="",$R851,INDEX(職員マスタ!$C$6:$C$405,$AN851)))</f>
        <v/>
      </c>
      <c r="X851" s="14">
        <f>IF($AO851="","","R"&amp;$C851&amp;"."&amp;$D851)</f>
        <v/>
      </c>
      <c r="Y851" s="15">
        <f>IF($AN851="","",IF(INDEX(職員マスタ!$K$6:$K$405,$AN851)="","",INDEX(職員マスタ!$K$6:$K$405,$AN851)))</f>
        <v/>
      </c>
      <c r="Z851" s="14">
        <f>IF(OR($E851="",$Y851=""),"",IF($E851&gt;=$Y851,"×",IF($E851&gt;=$Y851*設定!$C$5,"△","○")))</f>
        <v/>
      </c>
      <c r="AA851" s="15">
        <f>IF($Z851="","",IF($Z851="×",0,IF($Z851="○",ROUNDDOWN($E851*設定!$C$4,0),ROUNDDOWN($E851*ROUND((9*$Y851-9*$E851)/(10*$E851),4),0))))</f>
        <v/>
      </c>
      <c r="AB851" s="13" t="n"/>
      <c r="AC851" s="15">
        <f>IF($B851="","",IF($AB851&lt;&gt;"",$AB851,IF($AA851="","",IF($AA851&lt;=設定!$C$3,0,$AA851))))</f>
        <v/>
      </c>
      <c r="AD851" s="14">
        <f>IF($B851="","",IF(AND($AE851&lt;&gt;"",$AG851="",$AJ851=""),"保留中",IF($AJ851&lt;&gt;"",IF(N($AC851)&gt;0,"支給済","不支給"),IF($AC851="","要確認",IF($AC851=0,"不支給","未処理")))))</f>
        <v/>
      </c>
      <c r="AE851" s="12" t="n"/>
      <c r="AF851" s="11" t="n"/>
      <c r="AG851" s="11" t="n"/>
      <c r="AH851" s="11" t="n"/>
      <c r="AI851" s="14">
        <f>IF(AND($AD851="保留中",$AF851&lt;&gt;""),TODAY()-$AF851,"")</f>
        <v/>
      </c>
      <c r="AJ851" s="12" t="n"/>
      <c r="AK851" s="14">
        <f>IF($B851="","",IF($AO851="","対象年月が未入力／","")&amp;IF($B851="","",IF($AN851="","職員マスタに未登録の職員番号／",IF($Y851="","標準報酬月額が未登録／","")&amp;IF(AND($AO851&lt;&gt;"",OR(AND(INDEX(職員マスタ!$G$6:$G$405,$AN851)&lt;&gt;"",INDEX(職員マスタ!$G$6:$G$405,$AN851)&gt;EOMONTH($AO851,0)),AND(INDEX(職員マスタ!$H$6:$H$405,$AN851)&lt;&gt;"",INDEX(職員マスタ!$H$6:$H$405,$AN851)&lt;$AO851))),"対象月が時短期間外／","")&amp;IF(AND(INDEX(職員マスタ!$F$6:$F$405,$AN851)&lt;&gt;"",$AO851&lt;&gt;"",INDEX(職員マスタ!$F$6:$F$405,$AN851)&lt;$AO851),"対象月に子が2歳到達済／","")&amp;IF(AND($H851&lt;&gt;"",INDEX(職員マスタ!$B$6:$B$405,$AN851)&lt;&gt;"",SUBSTITUTE(SUBSTITUTE($H851," ","")," ","")&lt;&gt;SUBSTITUTE(SUBSTITUTE(INDEX(職員マスタ!$B$6:$B$405,$AN851)," ","")," ","")),"氏名がマスタと相違／","")&amp;IF(AND($Q851&lt;&gt;"",INDEX(職員マスタ!$E$6:$E$405,$AN851)&lt;&gt;"",$Q851&lt;&gt;INDEX(職員マスタ!$E$6:$E$405,$AN851)),"子の生年月日がマスタと相違／","")&amp;IF(AND($L851&lt;&gt;"",INDEX(職員マスタ!$G$6:$G$405,$AN851)&lt;&gt;"",$L851&lt;&gt;INDEX(職員マスタ!$G$6:$G$405,$AN851)),"時短開始日がマスタと相違／","")&amp;IF(AND($M851&lt;&gt;"",INDEX(職員マスタ!$H$6:$H$405,$AN851)&lt;&gt;"",$M851&lt;&gt;INDEX(職員マスタ!$H$6:$H$405,$AN851)),"時短終了日がマスタと相違／","")))&amp;IF(AND($B851&lt;&gt;"",$E851=""),"報酬額が未入力／","")&amp;IF(N($U851)&gt;0,"申請書に入力エラーが残っています／","")&amp;IF(AND($B851&lt;&gt;"",$AO851&lt;&gt;""),IF(COUNTIFS($B$6:$B$3005,$B851,$C$6:$C$3005,$C851,$D$6:$D$3005,$D851)&gt;1,"同じ月の請求が重複しています／",""),"")&amp;IF(AND(N($E851)&gt;0,$Z851&lt;&gt;"",$Z851&lt;&gt;"×",$AC851=0,$AB851=""),"計算額が下限以下のため不支給／",""))</f>
        <v/>
      </c>
      <c r="AL851" s="12" t="n"/>
      <c r="AM851" s="14">
        <f>IF($AD851="保留中",COUNTIF($AD$6:$AD851,"保留中"),"")</f>
        <v/>
      </c>
      <c r="AN851" s="14">
        <f>IF($AO851="","",IF(SUMPRODUCT(MAX((職員マスタ!$A$6:$A$405=$B851)*(((職員マスタ!$G$6:$G$405="")+(職員マスタ!$G$6:$G$405&lt;=EOMONTH($AO851,0)))&gt;0)*(((職員マスタ!$H$6:$H$405="")+(職員マスタ!$H$6:$H$405&gt;=$AO851))&gt;0)*(ROW(職員マスタ!$A$6:$A$405)-5)))&gt;0,SUMPRODUCT(MAX((職員マスタ!$A$6:$A$405=$B851)*(((職員マスタ!$G$6:$G$405="")+(職員マスタ!$G$6:$G$405&lt;=EOMONTH($AO851,0)))&gt;0)*(((職員マスタ!$H$6:$H$405="")+(職員マスタ!$H$6:$H$405&gt;=$AO851))&gt;0)*(ROW(職員マスタ!$A$6:$A$405)-5))),IFERROR(MATCH($B851,職員マスタ!$A$6:$A$405,0),"")))</f>
        <v/>
      </c>
      <c r="AO851" s="16">
        <f>IF(OR($B851="",$C851="",$D851=""),"",DATE($C851+2018,$D851,1))</f>
        <v/>
      </c>
    </row>
    <row r="852">
      <c r="A852" s="11" t="n"/>
      <c r="B852" s="12" t="n"/>
      <c r="C852" s="12" t="n"/>
      <c r="D852" s="12" t="n"/>
      <c r="E852" s="13" t="n"/>
      <c r="F852" s="12" t="n"/>
      <c r="G852" s="13" t="n"/>
      <c r="H852" s="12" t="n"/>
      <c r="I852" s="12" t="n"/>
      <c r="J852" s="12" t="n"/>
      <c r="K852" s="12" t="n"/>
      <c r="L852" s="11" t="n"/>
      <c r="M852" s="11" t="n"/>
      <c r="N852" s="11" t="n"/>
      <c r="O852" s="11" t="n"/>
      <c r="P852" s="12" t="n"/>
      <c r="Q852" s="11" t="n"/>
      <c r="R852" s="12" t="n"/>
      <c r="S852" s="11" t="n"/>
      <c r="T852" s="12" t="n"/>
      <c r="U852" s="12" t="n"/>
      <c r="V852" s="14">
        <f>IF($AN852="",IF($B852="","",$H852),IF(INDEX(職員マスタ!$B$6:$B$405,$AN852)="",$H852,INDEX(職員マスタ!$B$6:$B$405,$AN852)))</f>
        <v/>
      </c>
      <c r="W852" s="14">
        <f>IF($AN852="",IF($B852="","",$R852),IF(INDEX(職員マスタ!$C$6:$C$405,$AN852)="",$R852,INDEX(職員マスタ!$C$6:$C$405,$AN852)))</f>
        <v/>
      </c>
      <c r="X852" s="14">
        <f>IF($AO852="","","R"&amp;$C852&amp;"."&amp;$D852)</f>
        <v/>
      </c>
      <c r="Y852" s="15">
        <f>IF($AN852="","",IF(INDEX(職員マスタ!$K$6:$K$405,$AN852)="","",INDEX(職員マスタ!$K$6:$K$405,$AN852)))</f>
        <v/>
      </c>
      <c r="Z852" s="14">
        <f>IF(OR($E852="",$Y852=""),"",IF($E852&gt;=$Y852,"×",IF($E852&gt;=$Y852*設定!$C$5,"△","○")))</f>
        <v/>
      </c>
      <c r="AA852" s="15">
        <f>IF($Z852="","",IF($Z852="×",0,IF($Z852="○",ROUNDDOWN($E852*設定!$C$4,0),ROUNDDOWN($E852*ROUND((9*$Y852-9*$E852)/(10*$E852),4),0))))</f>
        <v/>
      </c>
      <c r="AB852" s="13" t="n"/>
      <c r="AC852" s="15">
        <f>IF($B852="","",IF($AB852&lt;&gt;"",$AB852,IF($AA852="","",IF($AA852&lt;=設定!$C$3,0,$AA852))))</f>
        <v/>
      </c>
      <c r="AD852" s="14">
        <f>IF($B852="","",IF(AND($AE852&lt;&gt;"",$AG852="",$AJ852=""),"保留中",IF($AJ852&lt;&gt;"",IF(N($AC852)&gt;0,"支給済","不支給"),IF($AC852="","要確認",IF($AC852=0,"不支給","未処理")))))</f>
        <v/>
      </c>
      <c r="AE852" s="12" t="n"/>
      <c r="AF852" s="11" t="n"/>
      <c r="AG852" s="11" t="n"/>
      <c r="AH852" s="11" t="n"/>
      <c r="AI852" s="14">
        <f>IF(AND($AD852="保留中",$AF852&lt;&gt;""),TODAY()-$AF852,"")</f>
        <v/>
      </c>
      <c r="AJ852" s="12" t="n"/>
      <c r="AK852" s="14">
        <f>IF($B852="","",IF($AO852="","対象年月が未入力／","")&amp;IF($B852="","",IF($AN852="","職員マスタに未登録の職員番号／",IF($Y852="","標準報酬月額が未登録／","")&amp;IF(AND($AO852&lt;&gt;"",OR(AND(INDEX(職員マスタ!$G$6:$G$405,$AN852)&lt;&gt;"",INDEX(職員マスタ!$G$6:$G$405,$AN852)&gt;EOMONTH($AO852,0)),AND(INDEX(職員マスタ!$H$6:$H$405,$AN852)&lt;&gt;"",INDEX(職員マスタ!$H$6:$H$405,$AN852)&lt;$AO852))),"対象月が時短期間外／","")&amp;IF(AND(INDEX(職員マスタ!$F$6:$F$405,$AN852)&lt;&gt;"",$AO852&lt;&gt;"",INDEX(職員マスタ!$F$6:$F$405,$AN852)&lt;$AO852),"対象月に子が2歳到達済／","")&amp;IF(AND($H852&lt;&gt;"",INDEX(職員マスタ!$B$6:$B$405,$AN852)&lt;&gt;"",SUBSTITUTE(SUBSTITUTE($H852," ","")," ","")&lt;&gt;SUBSTITUTE(SUBSTITUTE(INDEX(職員マスタ!$B$6:$B$405,$AN852)," ","")," ","")),"氏名がマスタと相違／","")&amp;IF(AND($Q852&lt;&gt;"",INDEX(職員マスタ!$E$6:$E$405,$AN852)&lt;&gt;"",$Q852&lt;&gt;INDEX(職員マスタ!$E$6:$E$405,$AN852)),"子の生年月日がマスタと相違／","")&amp;IF(AND($L852&lt;&gt;"",INDEX(職員マスタ!$G$6:$G$405,$AN852)&lt;&gt;"",$L852&lt;&gt;INDEX(職員マスタ!$G$6:$G$405,$AN852)),"時短開始日がマスタと相違／","")&amp;IF(AND($M852&lt;&gt;"",INDEX(職員マスタ!$H$6:$H$405,$AN852)&lt;&gt;"",$M852&lt;&gt;INDEX(職員マスタ!$H$6:$H$405,$AN852)),"時短終了日がマスタと相違／","")))&amp;IF(AND($B852&lt;&gt;"",$E852=""),"報酬額が未入力／","")&amp;IF(N($U852)&gt;0,"申請書に入力エラーが残っています／","")&amp;IF(AND($B852&lt;&gt;"",$AO852&lt;&gt;""),IF(COUNTIFS($B$6:$B$3005,$B852,$C$6:$C$3005,$C852,$D$6:$D$3005,$D852)&gt;1,"同じ月の請求が重複しています／",""),"")&amp;IF(AND(N($E852)&gt;0,$Z852&lt;&gt;"",$Z852&lt;&gt;"×",$AC852=0,$AB852=""),"計算額が下限以下のため不支給／",""))</f>
        <v/>
      </c>
      <c r="AL852" s="12" t="n"/>
      <c r="AM852" s="14">
        <f>IF($AD852="保留中",COUNTIF($AD$6:$AD852,"保留中"),"")</f>
        <v/>
      </c>
      <c r="AN852" s="14">
        <f>IF($AO852="","",IF(SUMPRODUCT(MAX((職員マスタ!$A$6:$A$405=$B852)*(((職員マスタ!$G$6:$G$405="")+(職員マスタ!$G$6:$G$405&lt;=EOMONTH($AO852,0)))&gt;0)*(((職員マスタ!$H$6:$H$405="")+(職員マスタ!$H$6:$H$405&gt;=$AO852))&gt;0)*(ROW(職員マスタ!$A$6:$A$405)-5)))&gt;0,SUMPRODUCT(MAX((職員マスタ!$A$6:$A$405=$B852)*(((職員マスタ!$G$6:$G$405="")+(職員マスタ!$G$6:$G$405&lt;=EOMONTH($AO852,0)))&gt;0)*(((職員マスタ!$H$6:$H$405="")+(職員マスタ!$H$6:$H$405&gt;=$AO852))&gt;0)*(ROW(職員マスタ!$A$6:$A$405)-5))),IFERROR(MATCH($B852,職員マスタ!$A$6:$A$405,0),"")))</f>
        <v/>
      </c>
      <c r="AO852" s="16">
        <f>IF(OR($B852="",$C852="",$D852=""),"",DATE($C852+2018,$D852,1))</f>
        <v/>
      </c>
    </row>
    <row r="853">
      <c r="A853" s="11" t="n"/>
      <c r="B853" s="12" t="n"/>
      <c r="C853" s="12" t="n"/>
      <c r="D853" s="12" t="n"/>
      <c r="E853" s="13" t="n"/>
      <c r="F853" s="12" t="n"/>
      <c r="G853" s="13" t="n"/>
      <c r="H853" s="12" t="n"/>
      <c r="I853" s="12" t="n"/>
      <c r="J853" s="12" t="n"/>
      <c r="K853" s="12" t="n"/>
      <c r="L853" s="11" t="n"/>
      <c r="M853" s="11" t="n"/>
      <c r="N853" s="11" t="n"/>
      <c r="O853" s="11" t="n"/>
      <c r="P853" s="12" t="n"/>
      <c r="Q853" s="11" t="n"/>
      <c r="R853" s="12" t="n"/>
      <c r="S853" s="11" t="n"/>
      <c r="T853" s="12" t="n"/>
      <c r="U853" s="12" t="n"/>
      <c r="V853" s="14">
        <f>IF($AN853="",IF($B853="","",$H853),IF(INDEX(職員マスタ!$B$6:$B$405,$AN853)="",$H853,INDEX(職員マスタ!$B$6:$B$405,$AN853)))</f>
        <v/>
      </c>
      <c r="W853" s="14">
        <f>IF($AN853="",IF($B853="","",$R853),IF(INDEX(職員マスタ!$C$6:$C$405,$AN853)="",$R853,INDEX(職員マスタ!$C$6:$C$405,$AN853)))</f>
        <v/>
      </c>
      <c r="X853" s="14">
        <f>IF($AO853="","","R"&amp;$C853&amp;"."&amp;$D853)</f>
        <v/>
      </c>
      <c r="Y853" s="15">
        <f>IF($AN853="","",IF(INDEX(職員マスタ!$K$6:$K$405,$AN853)="","",INDEX(職員マスタ!$K$6:$K$405,$AN853)))</f>
        <v/>
      </c>
      <c r="Z853" s="14">
        <f>IF(OR($E853="",$Y853=""),"",IF($E853&gt;=$Y853,"×",IF($E853&gt;=$Y853*設定!$C$5,"△","○")))</f>
        <v/>
      </c>
      <c r="AA853" s="15">
        <f>IF($Z853="","",IF($Z853="×",0,IF($Z853="○",ROUNDDOWN($E853*設定!$C$4,0),ROUNDDOWN($E853*ROUND((9*$Y853-9*$E853)/(10*$E853),4),0))))</f>
        <v/>
      </c>
      <c r="AB853" s="13" t="n"/>
      <c r="AC853" s="15">
        <f>IF($B853="","",IF($AB853&lt;&gt;"",$AB853,IF($AA853="","",IF($AA853&lt;=設定!$C$3,0,$AA853))))</f>
        <v/>
      </c>
      <c r="AD853" s="14">
        <f>IF($B853="","",IF(AND($AE853&lt;&gt;"",$AG853="",$AJ853=""),"保留中",IF($AJ853&lt;&gt;"",IF(N($AC853)&gt;0,"支給済","不支給"),IF($AC853="","要確認",IF($AC853=0,"不支給","未処理")))))</f>
        <v/>
      </c>
      <c r="AE853" s="12" t="n"/>
      <c r="AF853" s="11" t="n"/>
      <c r="AG853" s="11" t="n"/>
      <c r="AH853" s="11" t="n"/>
      <c r="AI853" s="14">
        <f>IF(AND($AD853="保留中",$AF853&lt;&gt;""),TODAY()-$AF853,"")</f>
        <v/>
      </c>
      <c r="AJ853" s="12" t="n"/>
      <c r="AK853" s="14">
        <f>IF($B853="","",IF($AO853="","対象年月が未入力／","")&amp;IF($B853="","",IF($AN853="","職員マスタに未登録の職員番号／",IF($Y853="","標準報酬月額が未登録／","")&amp;IF(AND($AO853&lt;&gt;"",OR(AND(INDEX(職員マスタ!$G$6:$G$405,$AN853)&lt;&gt;"",INDEX(職員マスタ!$G$6:$G$405,$AN853)&gt;EOMONTH($AO853,0)),AND(INDEX(職員マスタ!$H$6:$H$405,$AN853)&lt;&gt;"",INDEX(職員マスタ!$H$6:$H$405,$AN853)&lt;$AO853))),"対象月が時短期間外／","")&amp;IF(AND(INDEX(職員マスタ!$F$6:$F$405,$AN853)&lt;&gt;"",$AO853&lt;&gt;"",INDEX(職員マスタ!$F$6:$F$405,$AN853)&lt;$AO853),"対象月に子が2歳到達済／","")&amp;IF(AND($H853&lt;&gt;"",INDEX(職員マスタ!$B$6:$B$405,$AN853)&lt;&gt;"",SUBSTITUTE(SUBSTITUTE($H853," ","")," ","")&lt;&gt;SUBSTITUTE(SUBSTITUTE(INDEX(職員マスタ!$B$6:$B$405,$AN853)," ","")," ","")),"氏名がマスタと相違／","")&amp;IF(AND($Q853&lt;&gt;"",INDEX(職員マスタ!$E$6:$E$405,$AN853)&lt;&gt;"",$Q853&lt;&gt;INDEX(職員マスタ!$E$6:$E$405,$AN853)),"子の生年月日がマスタと相違／","")&amp;IF(AND($L853&lt;&gt;"",INDEX(職員マスタ!$G$6:$G$405,$AN853)&lt;&gt;"",$L853&lt;&gt;INDEX(職員マスタ!$G$6:$G$405,$AN853)),"時短開始日がマスタと相違／","")&amp;IF(AND($M853&lt;&gt;"",INDEX(職員マスタ!$H$6:$H$405,$AN853)&lt;&gt;"",$M853&lt;&gt;INDEX(職員マスタ!$H$6:$H$405,$AN853)),"時短終了日がマスタと相違／","")))&amp;IF(AND($B853&lt;&gt;"",$E853=""),"報酬額が未入力／","")&amp;IF(N($U853)&gt;0,"申請書に入力エラーが残っています／","")&amp;IF(AND($B853&lt;&gt;"",$AO853&lt;&gt;""),IF(COUNTIFS($B$6:$B$3005,$B853,$C$6:$C$3005,$C853,$D$6:$D$3005,$D853)&gt;1,"同じ月の請求が重複しています／",""),"")&amp;IF(AND(N($E853)&gt;0,$Z853&lt;&gt;"",$Z853&lt;&gt;"×",$AC853=0,$AB853=""),"計算額が下限以下のため不支給／",""))</f>
        <v/>
      </c>
      <c r="AL853" s="12" t="n"/>
      <c r="AM853" s="14">
        <f>IF($AD853="保留中",COUNTIF($AD$6:$AD853,"保留中"),"")</f>
        <v/>
      </c>
      <c r="AN853" s="14">
        <f>IF($AO853="","",IF(SUMPRODUCT(MAX((職員マスタ!$A$6:$A$405=$B853)*(((職員マスタ!$G$6:$G$405="")+(職員マスタ!$G$6:$G$405&lt;=EOMONTH($AO853,0)))&gt;0)*(((職員マスタ!$H$6:$H$405="")+(職員マスタ!$H$6:$H$405&gt;=$AO853))&gt;0)*(ROW(職員マスタ!$A$6:$A$405)-5)))&gt;0,SUMPRODUCT(MAX((職員マスタ!$A$6:$A$405=$B853)*(((職員マスタ!$G$6:$G$405="")+(職員マスタ!$G$6:$G$405&lt;=EOMONTH($AO853,0)))&gt;0)*(((職員マスタ!$H$6:$H$405="")+(職員マスタ!$H$6:$H$405&gt;=$AO853))&gt;0)*(ROW(職員マスタ!$A$6:$A$405)-5))),IFERROR(MATCH($B853,職員マスタ!$A$6:$A$405,0),"")))</f>
        <v/>
      </c>
      <c r="AO853" s="16">
        <f>IF(OR($B853="",$C853="",$D853=""),"",DATE($C853+2018,$D853,1))</f>
        <v/>
      </c>
    </row>
    <row r="854">
      <c r="A854" s="11" t="n"/>
      <c r="B854" s="12" t="n"/>
      <c r="C854" s="12" t="n"/>
      <c r="D854" s="12" t="n"/>
      <c r="E854" s="13" t="n"/>
      <c r="F854" s="12" t="n"/>
      <c r="G854" s="13" t="n"/>
      <c r="H854" s="12" t="n"/>
      <c r="I854" s="12" t="n"/>
      <c r="J854" s="12" t="n"/>
      <c r="K854" s="12" t="n"/>
      <c r="L854" s="11" t="n"/>
      <c r="M854" s="11" t="n"/>
      <c r="N854" s="11" t="n"/>
      <c r="O854" s="11" t="n"/>
      <c r="P854" s="12" t="n"/>
      <c r="Q854" s="11" t="n"/>
      <c r="R854" s="12" t="n"/>
      <c r="S854" s="11" t="n"/>
      <c r="T854" s="12" t="n"/>
      <c r="U854" s="12" t="n"/>
      <c r="V854" s="14">
        <f>IF($AN854="",IF($B854="","",$H854),IF(INDEX(職員マスタ!$B$6:$B$405,$AN854)="",$H854,INDEX(職員マスタ!$B$6:$B$405,$AN854)))</f>
        <v/>
      </c>
      <c r="W854" s="14">
        <f>IF($AN854="",IF($B854="","",$R854),IF(INDEX(職員マスタ!$C$6:$C$405,$AN854)="",$R854,INDEX(職員マスタ!$C$6:$C$405,$AN854)))</f>
        <v/>
      </c>
      <c r="X854" s="14">
        <f>IF($AO854="","","R"&amp;$C854&amp;"."&amp;$D854)</f>
        <v/>
      </c>
      <c r="Y854" s="15">
        <f>IF($AN854="","",IF(INDEX(職員マスタ!$K$6:$K$405,$AN854)="","",INDEX(職員マスタ!$K$6:$K$405,$AN854)))</f>
        <v/>
      </c>
      <c r="Z854" s="14">
        <f>IF(OR($E854="",$Y854=""),"",IF($E854&gt;=$Y854,"×",IF($E854&gt;=$Y854*設定!$C$5,"△","○")))</f>
        <v/>
      </c>
      <c r="AA854" s="15">
        <f>IF($Z854="","",IF($Z854="×",0,IF($Z854="○",ROUNDDOWN($E854*設定!$C$4,0),ROUNDDOWN($E854*ROUND((9*$Y854-9*$E854)/(10*$E854),4),0))))</f>
        <v/>
      </c>
      <c r="AB854" s="13" t="n"/>
      <c r="AC854" s="15">
        <f>IF($B854="","",IF($AB854&lt;&gt;"",$AB854,IF($AA854="","",IF($AA854&lt;=設定!$C$3,0,$AA854))))</f>
        <v/>
      </c>
      <c r="AD854" s="14">
        <f>IF($B854="","",IF(AND($AE854&lt;&gt;"",$AG854="",$AJ854=""),"保留中",IF($AJ854&lt;&gt;"",IF(N($AC854)&gt;0,"支給済","不支給"),IF($AC854="","要確認",IF($AC854=0,"不支給","未処理")))))</f>
        <v/>
      </c>
      <c r="AE854" s="12" t="n"/>
      <c r="AF854" s="11" t="n"/>
      <c r="AG854" s="11" t="n"/>
      <c r="AH854" s="11" t="n"/>
      <c r="AI854" s="14">
        <f>IF(AND($AD854="保留中",$AF854&lt;&gt;""),TODAY()-$AF854,"")</f>
        <v/>
      </c>
      <c r="AJ854" s="12" t="n"/>
      <c r="AK854" s="14">
        <f>IF($B854="","",IF($AO854="","対象年月が未入力／","")&amp;IF($B854="","",IF($AN854="","職員マスタに未登録の職員番号／",IF($Y854="","標準報酬月額が未登録／","")&amp;IF(AND($AO854&lt;&gt;"",OR(AND(INDEX(職員マスタ!$G$6:$G$405,$AN854)&lt;&gt;"",INDEX(職員マスタ!$G$6:$G$405,$AN854)&gt;EOMONTH($AO854,0)),AND(INDEX(職員マスタ!$H$6:$H$405,$AN854)&lt;&gt;"",INDEX(職員マスタ!$H$6:$H$405,$AN854)&lt;$AO854))),"対象月が時短期間外／","")&amp;IF(AND(INDEX(職員マスタ!$F$6:$F$405,$AN854)&lt;&gt;"",$AO854&lt;&gt;"",INDEX(職員マスタ!$F$6:$F$405,$AN854)&lt;$AO854),"対象月に子が2歳到達済／","")&amp;IF(AND($H854&lt;&gt;"",INDEX(職員マスタ!$B$6:$B$405,$AN854)&lt;&gt;"",SUBSTITUTE(SUBSTITUTE($H854," ","")," ","")&lt;&gt;SUBSTITUTE(SUBSTITUTE(INDEX(職員マスタ!$B$6:$B$405,$AN854)," ","")," ","")),"氏名がマスタと相違／","")&amp;IF(AND($Q854&lt;&gt;"",INDEX(職員マスタ!$E$6:$E$405,$AN854)&lt;&gt;"",$Q854&lt;&gt;INDEX(職員マスタ!$E$6:$E$405,$AN854)),"子の生年月日がマスタと相違／","")&amp;IF(AND($L854&lt;&gt;"",INDEX(職員マスタ!$G$6:$G$405,$AN854)&lt;&gt;"",$L854&lt;&gt;INDEX(職員マスタ!$G$6:$G$405,$AN854)),"時短開始日がマスタと相違／","")&amp;IF(AND($M854&lt;&gt;"",INDEX(職員マスタ!$H$6:$H$405,$AN854)&lt;&gt;"",$M854&lt;&gt;INDEX(職員マスタ!$H$6:$H$405,$AN854)),"時短終了日がマスタと相違／","")))&amp;IF(AND($B854&lt;&gt;"",$E854=""),"報酬額が未入力／","")&amp;IF(N($U854)&gt;0,"申請書に入力エラーが残っています／","")&amp;IF(AND($B854&lt;&gt;"",$AO854&lt;&gt;""),IF(COUNTIFS($B$6:$B$3005,$B854,$C$6:$C$3005,$C854,$D$6:$D$3005,$D854)&gt;1,"同じ月の請求が重複しています／",""),"")&amp;IF(AND(N($E854)&gt;0,$Z854&lt;&gt;"",$Z854&lt;&gt;"×",$AC854=0,$AB854=""),"計算額が下限以下のため不支給／",""))</f>
        <v/>
      </c>
      <c r="AL854" s="12" t="n"/>
      <c r="AM854" s="14">
        <f>IF($AD854="保留中",COUNTIF($AD$6:$AD854,"保留中"),"")</f>
        <v/>
      </c>
      <c r="AN854" s="14">
        <f>IF($AO854="","",IF(SUMPRODUCT(MAX((職員マスタ!$A$6:$A$405=$B854)*(((職員マスタ!$G$6:$G$405="")+(職員マスタ!$G$6:$G$405&lt;=EOMONTH($AO854,0)))&gt;0)*(((職員マスタ!$H$6:$H$405="")+(職員マスタ!$H$6:$H$405&gt;=$AO854))&gt;0)*(ROW(職員マスタ!$A$6:$A$405)-5)))&gt;0,SUMPRODUCT(MAX((職員マスタ!$A$6:$A$405=$B854)*(((職員マスタ!$G$6:$G$405="")+(職員マスタ!$G$6:$G$405&lt;=EOMONTH($AO854,0)))&gt;0)*(((職員マスタ!$H$6:$H$405="")+(職員マスタ!$H$6:$H$405&gt;=$AO854))&gt;0)*(ROW(職員マスタ!$A$6:$A$405)-5))),IFERROR(MATCH($B854,職員マスタ!$A$6:$A$405,0),"")))</f>
        <v/>
      </c>
      <c r="AO854" s="16">
        <f>IF(OR($B854="",$C854="",$D854=""),"",DATE($C854+2018,$D854,1))</f>
        <v/>
      </c>
    </row>
    <row r="855">
      <c r="A855" s="11" t="n"/>
      <c r="B855" s="12" t="n"/>
      <c r="C855" s="12" t="n"/>
      <c r="D855" s="12" t="n"/>
      <c r="E855" s="13" t="n"/>
      <c r="F855" s="12" t="n"/>
      <c r="G855" s="13" t="n"/>
      <c r="H855" s="12" t="n"/>
      <c r="I855" s="12" t="n"/>
      <c r="J855" s="12" t="n"/>
      <c r="K855" s="12" t="n"/>
      <c r="L855" s="11" t="n"/>
      <c r="M855" s="11" t="n"/>
      <c r="N855" s="11" t="n"/>
      <c r="O855" s="11" t="n"/>
      <c r="P855" s="12" t="n"/>
      <c r="Q855" s="11" t="n"/>
      <c r="R855" s="12" t="n"/>
      <c r="S855" s="11" t="n"/>
      <c r="T855" s="12" t="n"/>
      <c r="U855" s="12" t="n"/>
      <c r="V855" s="14">
        <f>IF($AN855="",IF($B855="","",$H855),IF(INDEX(職員マスタ!$B$6:$B$405,$AN855)="",$H855,INDEX(職員マスタ!$B$6:$B$405,$AN855)))</f>
        <v/>
      </c>
      <c r="W855" s="14">
        <f>IF($AN855="",IF($B855="","",$R855),IF(INDEX(職員マスタ!$C$6:$C$405,$AN855)="",$R855,INDEX(職員マスタ!$C$6:$C$405,$AN855)))</f>
        <v/>
      </c>
      <c r="X855" s="14">
        <f>IF($AO855="","","R"&amp;$C855&amp;"."&amp;$D855)</f>
        <v/>
      </c>
      <c r="Y855" s="15">
        <f>IF($AN855="","",IF(INDEX(職員マスタ!$K$6:$K$405,$AN855)="","",INDEX(職員マスタ!$K$6:$K$405,$AN855)))</f>
        <v/>
      </c>
      <c r="Z855" s="14">
        <f>IF(OR($E855="",$Y855=""),"",IF($E855&gt;=$Y855,"×",IF($E855&gt;=$Y855*設定!$C$5,"△","○")))</f>
        <v/>
      </c>
      <c r="AA855" s="15">
        <f>IF($Z855="","",IF($Z855="×",0,IF($Z855="○",ROUNDDOWN($E855*設定!$C$4,0),ROUNDDOWN($E855*ROUND((9*$Y855-9*$E855)/(10*$E855),4),0))))</f>
        <v/>
      </c>
      <c r="AB855" s="13" t="n"/>
      <c r="AC855" s="15">
        <f>IF($B855="","",IF($AB855&lt;&gt;"",$AB855,IF($AA855="","",IF($AA855&lt;=設定!$C$3,0,$AA855))))</f>
        <v/>
      </c>
      <c r="AD855" s="14">
        <f>IF($B855="","",IF(AND($AE855&lt;&gt;"",$AG855="",$AJ855=""),"保留中",IF($AJ855&lt;&gt;"",IF(N($AC855)&gt;0,"支給済","不支給"),IF($AC855="","要確認",IF($AC855=0,"不支給","未処理")))))</f>
        <v/>
      </c>
      <c r="AE855" s="12" t="n"/>
      <c r="AF855" s="11" t="n"/>
      <c r="AG855" s="11" t="n"/>
      <c r="AH855" s="11" t="n"/>
      <c r="AI855" s="14">
        <f>IF(AND($AD855="保留中",$AF855&lt;&gt;""),TODAY()-$AF855,"")</f>
        <v/>
      </c>
      <c r="AJ855" s="12" t="n"/>
      <c r="AK855" s="14">
        <f>IF($B855="","",IF($AO855="","対象年月が未入力／","")&amp;IF($B855="","",IF($AN855="","職員マスタに未登録の職員番号／",IF($Y855="","標準報酬月額が未登録／","")&amp;IF(AND($AO855&lt;&gt;"",OR(AND(INDEX(職員マスタ!$G$6:$G$405,$AN855)&lt;&gt;"",INDEX(職員マスタ!$G$6:$G$405,$AN855)&gt;EOMONTH($AO855,0)),AND(INDEX(職員マスタ!$H$6:$H$405,$AN855)&lt;&gt;"",INDEX(職員マスタ!$H$6:$H$405,$AN855)&lt;$AO855))),"対象月が時短期間外／","")&amp;IF(AND(INDEX(職員マスタ!$F$6:$F$405,$AN855)&lt;&gt;"",$AO855&lt;&gt;"",INDEX(職員マスタ!$F$6:$F$405,$AN855)&lt;$AO855),"対象月に子が2歳到達済／","")&amp;IF(AND($H855&lt;&gt;"",INDEX(職員マスタ!$B$6:$B$405,$AN855)&lt;&gt;"",SUBSTITUTE(SUBSTITUTE($H855," ","")," ","")&lt;&gt;SUBSTITUTE(SUBSTITUTE(INDEX(職員マスタ!$B$6:$B$405,$AN855)," ","")," ","")),"氏名がマスタと相違／","")&amp;IF(AND($Q855&lt;&gt;"",INDEX(職員マスタ!$E$6:$E$405,$AN855)&lt;&gt;"",$Q855&lt;&gt;INDEX(職員マスタ!$E$6:$E$405,$AN855)),"子の生年月日がマスタと相違／","")&amp;IF(AND($L855&lt;&gt;"",INDEX(職員マスタ!$G$6:$G$405,$AN855)&lt;&gt;"",$L855&lt;&gt;INDEX(職員マスタ!$G$6:$G$405,$AN855)),"時短開始日がマスタと相違／","")&amp;IF(AND($M855&lt;&gt;"",INDEX(職員マスタ!$H$6:$H$405,$AN855)&lt;&gt;"",$M855&lt;&gt;INDEX(職員マスタ!$H$6:$H$405,$AN855)),"時短終了日がマスタと相違／","")))&amp;IF(AND($B855&lt;&gt;"",$E855=""),"報酬額が未入力／","")&amp;IF(N($U855)&gt;0,"申請書に入力エラーが残っています／","")&amp;IF(AND($B855&lt;&gt;"",$AO855&lt;&gt;""),IF(COUNTIFS($B$6:$B$3005,$B855,$C$6:$C$3005,$C855,$D$6:$D$3005,$D855)&gt;1,"同じ月の請求が重複しています／",""),"")&amp;IF(AND(N($E855)&gt;0,$Z855&lt;&gt;"",$Z855&lt;&gt;"×",$AC855=0,$AB855=""),"計算額が下限以下のため不支給／",""))</f>
        <v/>
      </c>
      <c r="AL855" s="12" t="n"/>
      <c r="AM855" s="14">
        <f>IF($AD855="保留中",COUNTIF($AD$6:$AD855,"保留中"),"")</f>
        <v/>
      </c>
      <c r="AN855" s="14">
        <f>IF($AO855="","",IF(SUMPRODUCT(MAX((職員マスタ!$A$6:$A$405=$B855)*(((職員マスタ!$G$6:$G$405="")+(職員マスタ!$G$6:$G$405&lt;=EOMONTH($AO855,0)))&gt;0)*(((職員マスタ!$H$6:$H$405="")+(職員マスタ!$H$6:$H$405&gt;=$AO855))&gt;0)*(ROW(職員マスタ!$A$6:$A$405)-5)))&gt;0,SUMPRODUCT(MAX((職員マスタ!$A$6:$A$405=$B855)*(((職員マスタ!$G$6:$G$405="")+(職員マスタ!$G$6:$G$405&lt;=EOMONTH($AO855,0)))&gt;0)*(((職員マスタ!$H$6:$H$405="")+(職員マスタ!$H$6:$H$405&gt;=$AO855))&gt;0)*(ROW(職員マスタ!$A$6:$A$405)-5))),IFERROR(MATCH($B855,職員マスタ!$A$6:$A$405,0),"")))</f>
        <v/>
      </c>
      <c r="AO855" s="16">
        <f>IF(OR($B855="",$C855="",$D855=""),"",DATE($C855+2018,$D855,1))</f>
        <v/>
      </c>
    </row>
    <row r="856">
      <c r="A856" s="11" t="n"/>
      <c r="B856" s="12" t="n"/>
      <c r="C856" s="12" t="n"/>
      <c r="D856" s="12" t="n"/>
      <c r="E856" s="13" t="n"/>
      <c r="F856" s="12" t="n"/>
      <c r="G856" s="13" t="n"/>
      <c r="H856" s="12" t="n"/>
      <c r="I856" s="12" t="n"/>
      <c r="J856" s="12" t="n"/>
      <c r="K856" s="12" t="n"/>
      <c r="L856" s="11" t="n"/>
      <c r="M856" s="11" t="n"/>
      <c r="N856" s="11" t="n"/>
      <c r="O856" s="11" t="n"/>
      <c r="P856" s="12" t="n"/>
      <c r="Q856" s="11" t="n"/>
      <c r="R856" s="12" t="n"/>
      <c r="S856" s="11" t="n"/>
      <c r="T856" s="12" t="n"/>
      <c r="U856" s="12" t="n"/>
      <c r="V856" s="14">
        <f>IF($AN856="",IF($B856="","",$H856),IF(INDEX(職員マスタ!$B$6:$B$405,$AN856)="",$H856,INDEX(職員マスタ!$B$6:$B$405,$AN856)))</f>
        <v/>
      </c>
      <c r="W856" s="14">
        <f>IF($AN856="",IF($B856="","",$R856),IF(INDEX(職員マスタ!$C$6:$C$405,$AN856)="",$R856,INDEX(職員マスタ!$C$6:$C$405,$AN856)))</f>
        <v/>
      </c>
      <c r="X856" s="14">
        <f>IF($AO856="","","R"&amp;$C856&amp;"."&amp;$D856)</f>
        <v/>
      </c>
      <c r="Y856" s="15">
        <f>IF($AN856="","",IF(INDEX(職員マスタ!$K$6:$K$405,$AN856)="","",INDEX(職員マスタ!$K$6:$K$405,$AN856)))</f>
        <v/>
      </c>
      <c r="Z856" s="14">
        <f>IF(OR($E856="",$Y856=""),"",IF($E856&gt;=$Y856,"×",IF($E856&gt;=$Y856*設定!$C$5,"△","○")))</f>
        <v/>
      </c>
      <c r="AA856" s="15">
        <f>IF($Z856="","",IF($Z856="×",0,IF($Z856="○",ROUNDDOWN($E856*設定!$C$4,0),ROUNDDOWN($E856*ROUND((9*$Y856-9*$E856)/(10*$E856),4),0))))</f>
        <v/>
      </c>
      <c r="AB856" s="13" t="n"/>
      <c r="AC856" s="15">
        <f>IF($B856="","",IF($AB856&lt;&gt;"",$AB856,IF($AA856="","",IF($AA856&lt;=設定!$C$3,0,$AA856))))</f>
        <v/>
      </c>
      <c r="AD856" s="14">
        <f>IF($B856="","",IF(AND($AE856&lt;&gt;"",$AG856="",$AJ856=""),"保留中",IF($AJ856&lt;&gt;"",IF(N($AC856)&gt;0,"支給済","不支給"),IF($AC856="","要確認",IF($AC856=0,"不支給","未処理")))))</f>
        <v/>
      </c>
      <c r="AE856" s="12" t="n"/>
      <c r="AF856" s="11" t="n"/>
      <c r="AG856" s="11" t="n"/>
      <c r="AH856" s="11" t="n"/>
      <c r="AI856" s="14">
        <f>IF(AND($AD856="保留中",$AF856&lt;&gt;""),TODAY()-$AF856,"")</f>
        <v/>
      </c>
      <c r="AJ856" s="12" t="n"/>
      <c r="AK856" s="14">
        <f>IF($B856="","",IF($AO856="","対象年月が未入力／","")&amp;IF($B856="","",IF($AN856="","職員マスタに未登録の職員番号／",IF($Y856="","標準報酬月額が未登録／","")&amp;IF(AND($AO856&lt;&gt;"",OR(AND(INDEX(職員マスタ!$G$6:$G$405,$AN856)&lt;&gt;"",INDEX(職員マスタ!$G$6:$G$405,$AN856)&gt;EOMONTH($AO856,0)),AND(INDEX(職員マスタ!$H$6:$H$405,$AN856)&lt;&gt;"",INDEX(職員マスタ!$H$6:$H$405,$AN856)&lt;$AO856))),"対象月が時短期間外／","")&amp;IF(AND(INDEX(職員マスタ!$F$6:$F$405,$AN856)&lt;&gt;"",$AO856&lt;&gt;"",INDEX(職員マスタ!$F$6:$F$405,$AN856)&lt;$AO856),"対象月に子が2歳到達済／","")&amp;IF(AND($H856&lt;&gt;"",INDEX(職員マスタ!$B$6:$B$405,$AN856)&lt;&gt;"",SUBSTITUTE(SUBSTITUTE($H856," ","")," ","")&lt;&gt;SUBSTITUTE(SUBSTITUTE(INDEX(職員マスタ!$B$6:$B$405,$AN856)," ","")," ","")),"氏名がマスタと相違／","")&amp;IF(AND($Q856&lt;&gt;"",INDEX(職員マスタ!$E$6:$E$405,$AN856)&lt;&gt;"",$Q856&lt;&gt;INDEX(職員マスタ!$E$6:$E$405,$AN856)),"子の生年月日がマスタと相違／","")&amp;IF(AND($L856&lt;&gt;"",INDEX(職員マスタ!$G$6:$G$405,$AN856)&lt;&gt;"",$L856&lt;&gt;INDEX(職員マスタ!$G$6:$G$405,$AN856)),"時短開始日がマスタと相違／","")&amp;IF(AND($M856&lt;&gt;"",INDEX(職員マスタ!$H$6:$H$405,$AN856)&lt;&gt;"",$M856&lt;&gt;INDEX(職員マスタ!$H$6:$H$405,$AN856)),"時短終了日がマスタと相違／","")))&amp;IF(AND($B856&lt;&gt;"",$E856=""),"報酬額が未入力／","")&amp;IF(N($U856)&gt;0,"申請書に入力エラーが残っています／","")&amp;IF(AND($B856&lt;&gt;"",$AO856&lt;&gt;""),IF(COUNTIFS($B$6:$B$3005,$B856,$C$6:$C$3005,$C856,$D$6:$D$3005,$D856)&gt;1,"同じ月の請求が重複しています／",""),"")&amp;IF(AND(N($E856)&gt;0,$Z856&lt;&gt;"",$Z856&lt;&gt;"×",$AC856=0,$AB856=""),"計算額が下限以下のため不支給／",""))</f>
        <v/>
      </c>
      <c r="AL856" s="12" t="n"/>
      <c r="AM856" s="14">
        <f>IF($AD856="保留中",COUNTIF($AD$6:$AD856,"保留中"),"")</f>
        <v/>
      </c>
      <c r="AN856" s="14">
        <f>IF($AO856="","",IF(SUMPRODUCT(MAX((職員マスタ!$A$6:$A$405=$B856)*(((職員マスタ!$G$6:$G$405="")+(職員マスタ!$G$6:$G$405&lt;=EOMONTH($AO856,0)))&gt;0)*(((職員マスタ!$H$6:$H$405="")+(職員マスタ!$H$6:$H$405&gt;=$AO856))&gt;0)*(ROW(職員マスタ!$A$6:$A$405)-5)))&gt;0,SUMPRODUCT(MAX((職員マスタ!$A$6:$A$405=$B856)*(((職員マスタ!$G$6:$G$405="")+(職員マスタ!$G$6:$G$405&lt;=EOMONTH($AO856,0)))&gt;0)*(((職員マスタ!$H$6:$H$405="")+(職員マスタ!$H$6:$H$405&gt;=$AO856))&gt;0)*(ROW(職員マスタ!$A$6:$A$405)-5))),IFERROR(MATCH($B856,職員マスタ!$A$6:$A$405,0),"")))</f>
        <v/>
      </c>
      <c r="AO856" s="16">
        <f>IF(OR($B856="",$C856="",$D856=""),"",DATE($C856+2018,$D856,1))</f>
        <v/>
      </c>
    </row>
    <row r="857">
      <c r="A857" s="11" t="n"/>
      <c r="B857" s="12" t="n"/>
      <c r="C857" s="12" t="n"/>
      <c r="D857" s="12" t="n"/>
      <c r="E857" s="13" t="n"/>
      <c r="F857" s="12" t="n"/>
      <c r="G857" s="13" t="n"/>
      <c r="H857" s="12" t="n"/>
      <c r="I857" s="12" t="n"/>
      <c r="J857" s="12" t="n"/>
      <c r="K857" s="12" t="n"/>
      <c r="L857" s="11" t="n"/>
      <c r="M857" s="11" t="n"/>
      <c r="N857" s="11" t="n"/>
      <c r="O857" s="11" t="n"/>
      <c r="P857" s="12" t="n"/>
      <c r="Q857" s="11" t="n"/>
      <c r="R857" s="12" t="n"/>
      <c r="S857" s="11" t="n"/>
      <c r="T857" s="12" t="n"/>
      <c r="U857" s="12" t="n"/>
      <c r="V857" s="14">
        <f>IF($AN857="",IF($B857="","",$H857),IF(INDEX(職員マスタ!$B$6:$B$405,$AN857)="",$H857,INDEX(職員マスタ!$B$6:$B$405,$AN857)))</f>
        <v/>
      </c>
      <c r="W857" s="14">
        <f>IF($AN857="",IF($B857="","",$R857),IF(INDEX(職員マスタ!$C$6:$C$405,$AN857)="",$R857,INDEX(職員マスタ!$C$6:$C$405,$AN857)))</f>
        <v/>
      </c>
      <c r="X857" s="14">
        <f>IF($AO857="","","R"&amp;$C857&amp;"."&amp;$D857)</f>
        <v/>
      </c>
      <c r="Y857" s="15">
        <f>IF($AN857="","",IF(INDEX(職員マスタ!$K$6:$K$405,$AN857)="","",INDEX(職員マスタ!$K$6:$K$405,$AN857)))</f>
        <v/>
      </c>
      <c r="Z857" s="14">
        <f>IF(OR($E857="",$Y857=""),"",IF($E857&gt;=$Y857,"×",IF($E857&gt;=$Y857*設定!$C$5,"△","○")))</f>
        <v/>
      </c>
      <c r="AA857" s="15">
        <f>IF($Z857="","",IF($Z857="×",0,IF($Z857="○",ROUNDDOWN($E857*設定!$C$4,0),ROUNDDOWN($E857*ROUND((9*$Y857-9*$E857)/(10*$E857),4),0))))</f>
        <v/>
      </c>
      <c r="AB857" s="13" t="n"/>
      <c r="AC857" s="15">
        <f>IF($B857="","",IF($AB857&lt;&gt;"",$AB857,IF($AA857="","",IF($AA857&lt;=設定!$C$3,0,$AA857))))</f>
        <v/>
      </c>
      <c r="AD857" s="14">
        <f>IF($B857="","",IF(AND($AE857&lt;&gt;"",$AG857="",$AJ857=""),"保留中",IF($AJ857&lt;&gt;"",IF(N($AC857)&gt;0,"支給済","不支給"),IF($AC857="","要確認",IF($AC857=0,"不支給","未処理")))))</f>
        <v/>
      </c>
      <c r="AE857" s="12" t="n"/>
      <c r="AF857" s="11" t="n"/>
      <c r="AG857" s="11" t="n"/>
      <c r="AH857" s="11" t="n"/>
      <c r="AI857" s="14">
        <f>IF(AND($AD857="保留中",$AF857&lt;&gt;""),TODAY()-$AF857,"")</f>
        <v/>
      </c>
      <c r="AJ857" s="12" t="n"/>
      <c r="AK857" s="14">
        <f>IF($B857="","",IF($AO857="","対象年月が未入力／","")&amp;IF($B857="","",IF($AN857="","職員マスタに未登録の職員番号／",IF($Y857="","標準報酬月額が未登録／","")&amp;IF(AND($AO857&lt;&gt;"",OR(AND(INDEX(職員マスタ!$G$6:$G$405,$AN857)&lt;&gt;"",INDEX(職員マスタ!$G$6:$G$405,$AN857)&gt;EOMONTH($AO857,0)),AND(INDEX(職員マスタ!$H$6:$H$405,$AN857)&lt;&gt;"",INDEX(職員マスタ!$H$6:$H$405,$AN857)&lt;$AO857))),"対象月が時短期間外／","")&amp;IF(AND(INDEX(職員マスタ!$F$6:$F$405,$AN857)&lt;&gt;"",$AO857&lt;&gt;"",INDEX(職員マスタ!$F$6:$F$405,$AN857)&lt;$AO857),"対象月に子が2歳到達済／","")&amp;IF(AND($H857&lt;&gt;"",INDEX(職員マスタ!$B$6:$B$405,$AN857)&lt;&gt;"",SUBSTITUTE(SUBSTITUTE($H857," ","")," ","")&lt;&gt;SUBSTITUTE(SUBSTITUTE(INDEX(職員マスタ!$B$6:$B$405,$AN857)," ","")," ","")),"氏名がマスタと相違／","")&amp;IF(AND($Q857&lt;&gt;"",INDEX(職員マスタ!$E$6:$E$405,$AN857)&lt;&gt;"",$Q857&lt;&gt;INDEX(職員マスタ!$E$6:$E$405,$AN857)),"子の生年月日がマスタと相違／","")&amp;IF(AND($L857&lt;&gt;"",INDEX(職員マスタ!$G$6:$G$405,$AN857)&lt;&gt;"",$L857&lt;&gt;INDEX(職員マスタ!$G$6:$G$405,$AN857)),"時短開始日がマスタと相違／","")&amp;IF(AND($M857&lt;&gt;"",INDEX(職員マスタ!$H$6:$H$405,$AN857)&lt;&gt;"",$M857&lt;&gt;INDEX(職員マスタ!$H$6:$H$405,$AN857)),"時短終了日がマスタと相違／","")))&amp;IF(AND($B857&lt;&gt;"",$E857=""),"報酬額が未入力／","")&amp;IF(N($U857)&gt;0,"申請書に入力エラーが残っています／","")&amp;IF(AND($B857&lt;&gt;"",$AO857&lt;&gt;""),IF(COUNTIFS($B$6:$B$3005,$B857,$C$6:$C$3005,$C857,$D$6:$D$3005,$D857)&gt;1,"同じ月の請求が重複しています／",""),"")&amp;IF(AND(N($E857)&gt;0,$Z857&lt;&gt;"",$Z857&lt;&gt;"×",$AC857=0,$AB857=""),"計算額が下限以下のため不支給／",""))</f>
        <v/>
      </c>
      <c r="AL857" s="12" t="n"/>
      <c r="AM857" s="14">
        <f>IF($AD857="保留中",COUNTIF($AD$6:$AD857,"保留中"),"")</f>
        <v/>
      </c>
      <c r="AN857" s="14">
        <f>IF($AO857="","",IF(SUMPRODUCT(MAX((職員マスタ!$A$6:$A$405=$B857)*(((職員マスタ!$G$6:$G$405="")+(職員マスタ!$G$6:$G$405&lt;=EOMONTH($AO857,0)))&gt;0)*(((職員マスタ!$H$6:$H$405="")+(職員マスタ!$H$6:$H$405&gt;=$AO857))&gt;0)*(ROW(職員マスタ!$A$6:$A$405)-5)))&gt;0,SUMPRODUCT(MAX((職員マスタ!$A$6:$A$405=$B857)*(((職員マスタ!$G$6:$G$405="")+(職員マスタ!$G$6:$G$405&lt;=EOMONTH($AO857,0)))&gt;0)*(((職員マスタ!$H$6:$H$405="")+(職員マスタ!$H$6:$H$405&gt;=$AO857))&gt;0)*(ROW(職員マスタ!$A$6:$A$405)-5))),IFERROR(MATCH($B857,職員マスタ!$A$6:$A$405,0),"")))</f>
        <v/>
      </c>
      <c r="AO857" s="16">
        <f>IF(OR($B857="",$C857="",$D857=""),"",DATE($C857+2018,$D857,1))</f>
        <v/>
      </c>
    </row>
    <row r="858">
      <c r="A858" s="11" t="n"/>
      <c r="B858" s="12" t="n"/>
      <c r="C858" s="12" t="n"/>
      <c r="D858" s="12" t="n"/>
      <c r="E858" s="13" t="n"/>
      <c r="F858" s="12" t="n"/>
      <c r="G858" s="13" t="n"/>
      <c r="H858" s="12" t="n"/>
      <c r="I858" s="12" t="n"/>
      <c r="J858" s="12" t="n"/>
      <c r="K858" s="12" t="n"/>
      <c r="L858" s="11" t="n"/>
      <c r="M858" s="11" t="n"/>
      <c r="N858" s="11" t="n"/>
      <c r="O858" s="11" t="n"/>
      <c r="P858" s="12" t="n"/>
      <c r="Q858" s="11" t="n"/>
      <c r="R858" s="12" t="n"/>
      <c r="S858" s="11" t="n"/>
      <c r="T858" s="12" t="n"/>
      <c r="U858" s="12" t="n"/>
      <c r="V858" s="14">
        <f>IF($AN858="",IF($B858="","",$H858),IF(INDEX(職員マスタ!$B$6:$B$405,$AN858)="",$H858,INDEX(職員マスタ!$B$6:$B$405,$AN858)))</f>
        <v/>
      </c>
      <c r="W858" s="14">
        <f>IF($AN858="",IF($B858="","",$R858),IF(INDEX(職員マスタ!$C$6:$C$405,$AN858)="",$R858,INDEX(職員マスタ!$C$6:$C$405,$AN858)))</f>
        <v/>
      </c>
      <c r="X858" s="14">
        <f>IF($AO858="","","R"&amp;$C858&amp;"."&amp;$D858)</f>
        <v/>
      </c>
      <c r="Y858" s="15">
        <f>IF($AN858="","",IF(INDEX(職員マスタ!$K$6:$K$405,$AN858)="","",INDEX(職員マスタ!$K$6:$K$405,$AN858)))</f>
        <v/>
      </c>
      <c r="Z858" s="14">
        <f>IF(OR($E858="",$Y858=""),"",IF($E858&gt;=$Y858,"×",IF($E858&gt;=$Y858*設定!$C$5,"△","○")))</f>
        <v/>
      </c>
      <c r="AA858" s="15">
        <f>IF($Z858="","",IF($Z858="×",0,IF($Z858="○",ROUNDDOWN($E858*設定!$C$4,0),ROUNDDOWN($E858*ROUND((9*$Y858-9*$E858)/(10*$E858),4),0))))</f>
        <v/>
      </c>
      <c r="AB858" s="13" t="n"/>
      <c r="AC858" s="15">
        <f>IF($B858="","",IF($AB858&lt;&gt;"",$AB858,IF($AA858="","",IF($AA858&lt;=設定!$C$3,0,$AA858))))</f>
        <v/>
      </c>
      <c r="AD858" s="14">
        <f>IF($B858="","",IF(AND($AE858&lt;&gt;"",$AG858="",$AJ858=""),"保留中",IF($AJ858&lt;&gt;"",IF(N($AC858)&gt;0,"支給済","不支給"),IF($AC858="","要確認",IF($AC858=0,"不支給","未処理")))))</f>
        <v/>
      </c>
      <c r="AE858" s="12" t="n"/>
      <c r="AF858" s="11" t="n"/>
      <c r="AG858" s="11" t="n"/>
      <c r="AH858" s="11" t="n"/>
      <c r="AI858" s="14">
        <f>IF(AND($AD858="保留中",$AF858&lt;&gt;""),TODAY()-$AF858,"")</f>
        <v/>
      </c>
      <c r="AJ858" s="12" t="n"/>
      <c r="AK858" s="14">
        <f>IF($B858="","",IF($AO858="","対象年月が未入力／","")&amp;IF($B858="","",IF($AN858="","職員マスタに未登録の職員番号／",IF($Y858="","標準報酬月額が未登録／","")&amp;IF(AND($AO858&lt;&gt;"",OR(AND(INDEX(職員マスタ!$G$6:$G$405,$AN858)&lt;&gt;"",INDEX(職員マスタ!$G$6:$G$405,$AN858)&gt;EOMONTH($AO858,0)),AND(INDEX(職員マスタ!$H$6:$H$405,$AN858)&lt;&gt;"",INDEX(職員マスタ!$H$6:$H$405,$AN858)&lt;$AO858))),"対象月が時短期間外／","")&amp;IF(AND(INDEX(職員マスタ!$F$6:$F$405,$AN858)&lt;&gt;"",$AO858&lt;&gt;"",INDEX(職員マスタ!$F$6:$F$405,$AN858)&lt;$AO858),"対象月に子が2歳到達済／","")&amp;IF(AND($H858&lt;&gt;"",INDEX(職員マスタ!$B$6:$B$405,$AN858)&lt;&gt;"",SUBSTITUTE(SUBSTITUTE($H858," ","")," ","")&lt;&gt;SUBSTITUTE(SUBSTITUTE(INDEX(職員マスタ!$B$6:$B$405,$AN858)," ","")," ","")),"氏名がマスタと相違／","")&amp;IF(AND($Q858&lt;&gt;"",INDEX(職員マスタ!$E$6:$E$405,$AN858)&lt;&gt;"",$Q858&lt;&gt;INDEX(職員マスタ!$E$6:$E$405,$AN858)),"子の生年月日がマスタと相違／","")&amp;IF(AND($L858&lt;&gt;"",INDEX(職員マスタ!$G$6:$G$405,$AN858)&lt;&gt;"",$L858&lt;&gt;INDEX(職員マスタ!$G$6:$G$405,$AN858)),"時短開始日がマスタと相違／","")&amp;IF(AND($M858&lt;&gt;"",INDEX(職員マスタ!$H$6:$H$405,$AN858)&lt;&gt;"",$M858&lt;&gt;INDEX(職員マスタ!$H$6:$H$405,$AN858)),"時短終了日がマスタと相違／","")))&amp;IF(AND($B858&lt;&gt;"",$E858=""),"報酬額が未入力／","")&amp;IF(N($U858)&gt;0,"申請書に入力エラーが残っています／","")&amp;IF(AND($B858&lt;&gt;"",$AO858&lt;&gt;""),IF(COUNTIFS($B$6:$B$3005,$B858,$C$6:$C$3005,$C858,$D$6:$D$3005,$D858)&gt;1,"同じ月の請求が重複しています／",""),"")&amp;IF(AND(N($E858)&gt;0,$Z858&lt;&gt;"",$Z858&lt;&gt;"×",$AC858=0,$AB858=""),"計算額が下限以下のため不支給／",""))</f>
        <v/>
      </c>
      <c r="AL858" s="12" t="n"/>
      <c r="AM858" s="14">
        <f>IF($AD858="保留中",COUNTIF($AD$6:$AD858,"保留中"),"")</f>
        <v/>
      </c>
      <c r="AN858" s="14">
        <f>IF($AO858="","",IF(SUMPRODUCT(MAX((職員マスタ!$A$6:$A$405=$B858)*(((職員マスタ!$G$6:$G$405="")+(職員マスタ!$G$6:$G$405&lt;=EOMONTH($AO858,0)))&gt;0)*(((職員マスタ!$H$6:$H$405="")+(職員マスタ!$H$6:$H$405&gt;=$AO858))&gt;0)*(ROW(職員マスタ!$A$6:$A$405)-5)))&gt;0,SUMPRODUCT(MAX((職員マスタ!$A$6:$A$405=$B858)*(((職員マスタ!$G$6:$G$405="")+(職員マスタ!$G$6:$G$405&lt;=EOMONTH($AO858,0)))&gt;0)*(((職員マスタ!$H$6:$H$405="")+(職員マスタ!$H$6:$H$405&gt;=$AO858))&gt;0)*(ROW(職員マスタ!$A$6:$A$405)-5))),IFERROR(MATCH($B858,職員マスタ!$A$6:$A$405,0),"")))</f>
        <v/>
      </c>
      <c r="AO858" s="16">
        <f>IF(OR($B858="",$C858="",$D858=""),"",DATE($C858+2018,$D858,1))</f>
        <v/>
      </c>
    </row>
    <row r="859">
      <c r="A859" s="11" t="n"/>
      <c r="B859" s="12" t="n"/>
      <c r="C859" s="12" t="n"/>
      <c r="D859" s="12" t="n"/>
      <c r="E859" s="13" t="n"/>
      <c r="F859" s="12" t="n"/>
      <c r="G859" s="13" t="n"/>
      <c r="H859" s="12" t="n"/>
      <c r="I859" s="12" t="n"/>
      <c r="J859" s="12" t="n"/>
      <c r="K859" s="12" t="n"/>
      <c r="L859" s="11" t="n"/>
      <c r="M859" s="11" t="n"/>
      <c r="N859" s="11" t="n"/>
      <c r="O859" s="11" t="n"/>
      <c r="P859" s="12" t="n"/>
      <c r="Q859" s="11" t="n"/>
      <c r="R859" s="12" t="n"/>
      <c r="S859" s="11" t="n"/>
      <c r="T859" s="12" t="n"/>
      <c r="U859" s="12" t="n"/>
      <c r="V859" s="14">
        <f>IF($AN859="",IF($B859="","",$H859),IF(INDEX(職員マスタ!$B$6:$B$405,$AN859)="",$H859,INDEX(職員マスタ!$B$6:$B$405,$AN859)))</f>
        <v/>
      </c>
      <c r="W859" s="14">
        <f>IF($AN859="",IF($B859="","",$R859),IF(INDEX(職員マスタ!$C$6:$C$405,$AN859)="",$R859,INDEX(職員マスタ!$C$6:$C$405,$AN859)))</f>
        <v/>
      </c>
      <c r="X859" s="14">
        <f>IF($AO859="","","R"&amp;$C859&amp;"."&amp;$D859)</f>
        <v/>
      </c>
      <c r="Y859" s="15">
        <f>IF($AN859="","",IF(INDEX(職員マスタ!$K$6:$K$405,$AN859)="","",INDEX(職員マスタ!$K$6:$K$405,$AN859)))</f>
        <v/>
      </c>
      <c r="Z859" s="14">
        <f>IF(OR($E859="",$Y859=""),"",IF($E859&gt;=$Y859,"×",IF($E859&gt;=$Y859*設定!$C$5,"△","○")))</f>
        <v/>
      </c>
      <c r="AA859" s="15">
        <f>IF($Z859="","",IF($Z859="×",0,IF($Z859="○",ROUNDDOWN($E859*設定!$C$4,0),ROUNDDOWN($E859*ROUND((9*$Y859-9*$E859)/(10*$E859),4),0))))</f>
        <v/>
      </c>
      <c r="AB859" s="13" t="n"/>
      <c r="AC859" s="15">
        <f>IF($B859="","",IF($AB859&lt;&gt;"",$AB859,IF($AA859="","",IF($AA859&lt;=設定!$C$3,0,$AA859))))</f>
        <v/>
      </c>
      <c r="AD859" s="14">
        <f>IF($B859="","",IF(AND($AE859&lt;&gt;"",$AG859="",$AJ859=""),"保留中",IF($AJ859&lt;&gt;"",IF(N($AC859)&gt;0,"支給済","不支給"),IF($AC859="","要確認",IF($AC859=0,"不支給","未処理")))))</f>
        <v/>
      </c>
      <c r="AE859" s="12" t="n"/>
      <c r="AF859" s="11" t="n"/>
      <c r="AG859" s="11" t="n"/>
      <c r="AH859" s="11" t="n"/>
      <c r="AI859" s="14">
        <f>IF(AND($AD859="保留中",$AF859&lt;&gt;""),TODAY()-$AF859,"")</f>
        <v/>
      </c>
      <c r="AJ859" s="12" t="n"/>
      <c r="AK859" s="14">
        <f>IF($B859="","",IF($AO859="","対象年月が未入力／","")&amp;IF($B859="","",IF($AN859="","職員マスタに未登録の職員番号／",IF($Y859="","標準報酬月額が未登録／","")&amp;IF(AND($AO859&lt;&gt;"",OR(AND(INDEX(職員マスタ!$G$6:$G$405,$AN859)&lt;&gt;"",INDEX(職員マスタ!$G$6:$G$405,$AN859)&gt;EOMONTH($AO859,0)),AND(INDEX(職員マスタ!$H$6:$H$405,$AN859)&lt;&gt;"",INDEX(職員マスタ!$H$6:$H$405,$AN859)&lt;$AO859))),"対象月が時短期間外／","")&amp;IF(AND(INDEX(職員マスタ!$F$6:$F$405,$AN859)&lt;&gt;"",$AO859&lt;&gt;"",INDEX(職員マスタ!$F$6:$F$405,$AN859)&lt;$AO859),"対象月に子が2歳到達済／","")&amp;IF(AND($H859&lt;&gt;"",INDEX(職員マスタ!$B$6:$B$405,$AN859)&lt;&gt;"",SUBSTITUTE(SUBSTITUTE($H859," ","")," ","")&lt;&gt;SUBSTITUTE(SUBSTITUTE(INDEX(職員マスタ!$B$6:$B$405,$AN859)," ","")," ","")),"氏名がマスタと相違／","")&amp;IF(AND($Q859&lt;&gt;"",INDEX(職員マスタ!$E$6:$E$405,$AN859)&lt;&gt;"",$Q859&lt;&gt;INDEX(職員マスタ!$E$6:$E$405,$AN859)),"子の生年月日がマスタと相違／","")&amp;IF(AND($L859&lt;&gt;"",INDEX(職員マスタ!$G$6:$G$405,$AN859)&lt;&gt;"",$L859&lt;&gt;INDEX(職員マスタ!$G$6:$G$405,$AN859)),"時短開始日がマスタと相違／","")&amp;IF(AND($M859&lt;&gt;"",INDEX(職員マスタ!$H$6:$H$405,$AN859)&lt;&gt;"",$M859&lt;&gt;INDEX(職員マスタ!$H$6:$H$405,$AN859)),"時短終了日がマスタと相違／","")))&amp;IF(AND($B859&lt;&gt;"",$E859=""),"報酬額が未入力／","")&amp;IF(N($U859)&gt;0,"申請書に入力エラーが残っています／","")&amp;IF(AND($B859&lt;&gt;"",$AO859&lt;&gt;""),IF(COUNTIFS($B$6:$B$3005,$B859,$C$6:$C$3005,$C859,$D$6:$D$3005,$D859)&gt;1,"同じ月の請求が重複しています／",""),"")&amp;IF(AND(N($E859)&gt;0,$Z859&lt;&gt;"",$Z859&lt;&gt;"×",$AC859=0,$AB859=""),"計算額が下限以下のため不支給／",""))</f>
        <v/>
      </c>
      <c r="AL859" s="12" t="n"/>
      <c r="AM859" s="14">
        <f>IF($AD859="保留中",COUNTIF($AD$6:$AD859,"保留中"),"")</f>
        <v/>
      </c>
      <c r="AN859" s="14">
        <f>IF($AO859="","",IF(SUMPRODUCT(MAX((職員マスタ!$A$6:$A$405=$B859)*(((職員マスタ!$G$6:$G$405="")+(職員マスタ!$G$6:$G$405&lt;=EOMONTH($AO859,0)))&gt;0)*(((職員マスタ!$H$6:$H$405="")+(職員マスタ!$H$6:$H$405&gt;=$AO859))&gt;0)*(ROW(職員マスタ!$A$6:$A$405)-5)))&gt;0,SUMPRODUCT(MAX((職員マスタ!$A$6:$A$405=$B859)*(((職員マスタ!$G$6:$G$405="")+(職員マスタ!$G$6:$G$405&lt;=EOMONTH($AO859,0)))&gt;0)*(((職員マスタ!$H$6:$H$405="")+(職員マスタ!$H$6:$H$405&gt;=$AO859))&gt;0)*(ROW(職員マスタ!$A$6:$A$405)-5))),IFERROR(MATCH($B859,職員マスタ!$A$6:$A$405,0),"")))</f>
        <v/>
      </c>
      <c r="AO859" s="16">
        <f>IF(OR($B859="",$C859="",$D859=""),"",DATE($C859+2018,$D859,1))</f>
        <v/>
      </c>
    </row>
    <row r="860">
      <c r="A860" s="11" t="n"/>
      <c r="B860" s="12" t="n"/>
      <c r="C860" s="12" t="n"/>
      <c r="D860" s="12" t="n"/>
      <c r="E860" s="13" t="n"/>
      <c r="F860" s="12" t="n"/>
      <c r="G860" s="13" t="n"/>
      <c r="H860" s="12" t="n"/>
      <c r="I860" s="12" t="n"/>
      <c r="J860" s="12" t="n"/>
      <c r="K860" s="12" t="n"/>
      <c r="L860" s="11" t="n"/>
      <c r="M860" s="11" t="n"/>
      <c r="N860" s="11" t="n"/>
      <c r="O860" s="11" t="n"/>
      <c r="P860" s="12" t="n"/>
      <c r="Q860" s="11" t="n"/>
      <c r="R860" s="12" t="n"/>
      <c r="S860" s="11" t="n"/>
      <c r="T860" s="12" t="n"/>
      <c r="U860" s="12" t="n"/>
      <c r="V860" s="14">
        <f>IF($AN860="",IF($B860="","",$H860),IF(INDEX(職員マスタ!$B$6:$B$405,$AN860)="",$H860,INDEX(職員マスタ!$B$6:$B$405,$AN860)))</f>
        <v/>
      </c>
      <c r="W860" s="14">
        <f>IF($AN860="",IF($B860="","",$R860),IF(INDEX(職員マスタ!$C$6:$C$405,$AN860)="",$R860,INDEX(職員マスタ!$C$6:$C$405,$AN860)))</f>
        <v/>
      </c>
      <c r="X860" s="14">
        <f>IF($AO860="","","R"&amp;$C860&amp;"."&amp;$D860)</f>
        <v/>
      </c>
      <c r="Y860" s="15">
        <f>IF($AN860="","",IF(INDEX(職員マスタ!$K$6:$K$405,$AN860)="","",INDEX(職員マスタ!$K$6:$K$405,$AN860)))</f>
        <v/>
      </c>
      <c r="Z860" s="14">
        <f>IF(OR($E860="",$Y860=""),"",IF($E860&gt;=$Y860,"×",IF($E860&gt;=$Y860*設定!$C$5,"△","○")))</f>
        <v/>
      </c>
      <c r="AA860" s="15">
        <f>IF($Z860="","",IF($Z860="×",0,IF($Z860="○",ROUNDDOWN($E860*設定!$C$4,0),ROUNDDOWN($E860*ROUND((9*$Y860-9*$E860)/(10*$E860),4),0))))</f>
        <v/>
      </c>
      <c r="AB860" s="13" t="n"/>
      <c r="AC860" s="15">
        <f>IF($B860="","",IF($AB860&lt;&gt;"",$AB860,IF($AA860="","",IF($AA860&lt;=設定!$C$3,0,$AA860))))</f>
        <v/>
      </c>
      <c r="AD860" s="14">
        <f>IF($B860="","",IF(AND($AE860&lt;&gt;"",$AG860="",$AJ860=""),"保留中",IF($AJ860&lt;&gt;"",IF(N($AC860)&gt;0,"支給済","不支給"),IF($AC860="","要確認",IF($AC860=0,"不支給","未処理")))))</f>
        <v/>
      </c>
      <c r="AE860" s="12" t="n"/>
      <c r="AF860" s="11" t="n"/>
      <c r="AG860" s="11" t="n"/>
      <c r="AH860" s="11" t="n"/>
      <c r="AI860" s="14">
        <f>IF(AND($AD860="保留中",$AF860&lt;&gt;""),TODAY()-$AF860,"")</f>
        <v/>
      </c>
      <c r="AJ860" s="12" t="n"/>
      <c r="AK860" s="14">
        <f>IF($B860="","",IF($AO860="","対象年月が未入力／","")&amp;IF($B860="","",IF($AN860="","職員マスタに未登録の職員番号／",IF($Y860="","標準報酬月額が未登録／","")&amp;IF(AND($AO860&lt;&gt;"",OR(AND(INDEX(職員マスタ!$G$6:$G$405,$AN860)&lt;&gt;"",INDEX(職員マスタ!$G$6:$G$405,$AN860)&gt;EOMONTH($AO860,0)),AND(INDEX(職員マスタ!$H$6:$H$405,$AN860)&lt;&gt;"",INDEX(職員マスタ!$H$6:$H$405,$AN860)&lt;$AO860))),"対象月が時短期間外／","")&amp;IF(AND(INDEX(職員マスタ!$F$6:$F$405,$AN860)&lt;&gt;"",$AO860&lt;&gt;"",INDEX(職員マスタ!$F$6:$F$405,$AN860)&lt;$AO860),"対象月に子が2歳到達済／","")&amp;IF(AND($H860&lt;&gt;"",INDEX(職員マスタ!$B$6:$B$405,$AN860)&lt;&gt;"",SUBSTITUTE(SUBSTITUTE($H860," ","")," ","")&lt;&gt;SUBSTITUTE(SUBSTITUTE(INDEX(職員マスタ!$B$6:$B$405,$AN860)," ","")," ","")),"氏名がマスタと相違／","")&amp;IF(AND($Q860&lt;&gt;"",INDEX(職員マスタ!$E$6:$E$405,$AN860)&lt;&gt;"",$Q860&lt;&gt;INDEX(職員マスタ!$E$6:$E$405,$AN860)),"子の生年月日がマスタと相違／","")&amp;IF(AND($L860&lt;&gt;"",INDEX(職員マスタ!$G$6:$G$405,$AN860)&lt;&gt;"",$L860&lt;&gt;INDEX(職員マスタ!$G$6:$G$405,$AN860)),"時短開始日がマスタと相違／","")&amp;IF(AND($M860&lt;&gt;"",INDEX(職員マスタ!$H$6:$H$405,$AN860)&lt;&gt;"",$M860&lt;&gt;INDEX(職員マスタ!$H$6:$H$405,$AN860)),"時短終了日がマスタと相違／","")))&amp;IF(AND($B860&lt;&gt;"",$E860=""),"報酬額が未入力／","")&amp;IF(N($U860)&gt;0,"申請書に入力エラーが残っています／","")&amp;IF(AND($B860&lt;&gt;"",$AO860&lt;&gt;""),IF(COUNTIFS($B$6:$B$3005,$B860,$C$6:$C$3005,$C860,$D$6:$D$3005,$D860)&gt;1,"同じ月の請求が重複しています／",""),"")&amp;IF(AND(N($E860)&gt;0,$Z860&lt;&gt;"",$Z860&lt;&gt;"×",$AC860=0,$AB860=""),"計算額が下限以下のため不支給／",""))</f>
        <v/>
      </c>
      <c r="AL860" s="12" t="n"/>
      <c r="AM860" s="14">
        <f>IF($AD860="保留中",COUNTIF($AD$6:$AD860,"保留中"),"")</f>
        <v/>
      </c>
      <c r="AN860" s="14">
        <f>IF($AO860="","",IF(SUMPRODUCT(MAX((職員マスタ!$A$6:$A$405=$B860)*(((職員マスタ!$G$6:$G$405="")+(職員マスタ!$G$6:$G$405&lt;=EOMONTH($AO860,0)))&gt;0)*(((職員マスタ!$H$6:$H$405="")+(職員マスタ!$H$6:$H$405&gt;=$AO860))&gt;0)*(ROW(職員マスタ!$A$6:$A$405)-5)))&gt;0,SUMPRODUCT(MAX((職員マスタ!$A$6:$A$405=$B860)*(((職員マスタ!$G$6:$G$405="")+(職員マスタ!$G$6:$G$405&lt;=EOMONTH($AO860,0)))&gt;0)*(((職員マスタ!$H$6:$H$405="")+(職員マスタ!$H$6:$H$405&gt;=$AO860))&gt;0)*(ROW(職員マスタ!$A$6:$A$405)-5))),IFERROR(MATCH($B860,職員マスタ!$A$6:$A$405,0),"")))</f>
        <v/>
      </c>
      <c r="AO860" s="16">
        <f>IF(OR($B860="",$C860="",$D860=""),"",DATE($C860+2018,$D860,1))</f>
        <v/>
      </c>
    </row>
    <row r="861">
      <c r="A861" s="11" t="n"/>
      <c r="B861" s="12" t="n"/>
      <c r="C861" s="12" t="n"/>
      <c r="D861" s="12" t="n"/>
      <c r="E861" s="13" t="n"/>
      <c r="F861" s="12" t="n"/>
      <c r="G861" s="13" t="n"/>
      <c r="H861" s="12" t="n"/>
      <c r="I861" s="12" t="n"/>
      <c r="J861" s="12" t="n"/>
      <c r="K861" s="12" t="n"/>
      <c r="L861" s="11" t="n"/>
      <c r="M861" s="11" t="n"/>
      <c r="N861" s="11" t="n"/>
      <c r="O861" s="11" t="n"/>
      <c r="P861" s="12" t="n"/>
      <c r="Q861" s="11" t="n"/>
      <c r="R861" s="12" t="n"/>
      <c r="S861" s="11" t="n"/>
      <c r="T861" s="12" t="n"/>
      <c r="U861" s="12" t="n"/>
      <c r="V861" s="14">
        <f>IF($AN861="",IF($B861="","",$H861),IF(INDEX(職員マスタ!$B$6:$B$405,$AN861)="",$H861,INDEX(職員マスタ!$B$6:$B$405,$AN861)))</f>
        <v/>
      </c>
      <c r="W861" s="14">
        <f>IF($AN861="",IF($B861="","",$R861),IF(INDEX(職員マスタ!$C$6:$C$405,$AN861)="",$R861,INDEX(職員マスタ!$C$6:$C$405,$AN861)))</f>
        <v/>
      </c>
      <c r="X861" s="14">
        <f>IF($AO861="","","R"&amp;$C861&amp;"."&amp;$D861)</f>
        <v/>
      </c>
      <c r="Y861" s="15">
        <f>IF($AN861="","",IF(INDEX(職員マスタ!$K$6:$K$405,$AN861)="","",INDEX(職員マスタ!$K$6:$K$405,$AN861)))</f>
        <v/>
      </c>
      <c r="Z861" s="14">
        <f>IF(OR($E861="",$Y861=""),"",IF($E861&gt;=$Y861,"×",IF($E861&gt;=$Y861*設定!$C$5,"△","○")))</f>
        <v/>
      </c>
      <c r="AA861" s="15">
        <f>IF($Z861="","",IF($Z861="×",0,IF($Z861="○",ROUNDDOWN($E861*設定!$C$4,0),ROUNDDOWN($E861*ROUND((9*$Y861-9*$E861)/(10*$E861),4),0))))</f>
        <v/>
      </c>
      <c r="AB861" s="13" t="n"/>
      <c r="AC861" s="15">
        <f>IF($B861="","",IF($AB861&lt;&gt;"",$AB861,IF($AA861="","",IF($AA861&lt;=設定!$C$3,0,$AA861))))</f>
        <v/>
      </c>
      <c r="AD861" s="14">
        <f>IF($B861="","",IF(AND($AE861&lt;&gt;"",$AG861="",$AJ861=""),"保留中",IF($AJ861&lt;&gt;"",IF(N($AC861)&gt;0,"支給済","不支給"),IF($AC861="","要確認",IF($AC861=0,"不支給","未処理")))))</f>
        <v/>
      </c>
      <c r="AE861" s="12" t="n"/>
      <c r="AF861" s="11" t="n"/>
      <c r="AG861" s="11" t="n"/>
      <c r="AH861" s="11" t="n"/>
      <c r="AI861" s="14">
        <f>IF(AND($AD861="保留中",$AF861&lt;&gt;""),TODAY()-$AF861,"")</f>
        <v/>
      </c>
      <c r="AJ861" s="12" t="n"/>
      <c r="AK861" s="14">
        <f>IF($B861="","",IF($AO861="","対象年月が未入力／","")&amp;IF($B861="","",IF($AN861="","職員マスタに未登録の職員番号／",IF($Y861="","標準報酬月額が未登録／","")&amp;IF(AND($AO861&lt;&gt;"",OR(AND(INDEX(職員マスタ!$G$6:$G$405,$AN861)&lt;&gt;"",INDEX(職員マスタ!$G$6:$G$405,$AN861)&gt;EOMONTH($AO861,0)),AND(INDEX(職員マスタ!$H$6:$H$405,$AN861)&lt;&gt;"",INDEX(職員マスタ!$H$6:$H$405,$AN861)&lt;$AO861))),"対象月が時短期間外／","")&amp;IF(AND(INDEX(職員マスタ!$F$6:$F$405,$AN861)&lt;&gt;"",$AO861&lt;&gt;"",INDEX(職員マスタ!$F$6:$F$405,$AN861)&lt;$AO861),"対象月に子が2歳到達済／","")&amp;IF(AND($H861&lt;&gt;"",INDEX(職員マスタ!$B$6:$B$405,$AN861)&lt;&gt;"",SUBSTITUTE(SUBSTITUTE($H861," ","")," ","")&lt;&gt;SUBSTITUTE(SUBSTITUTE(INDEX(職員マスタ!$B$6:$B$405,$AN861)," ","")," ","")),"氏名がマスタと相違／","")&amp;IF(AND($Q861&lt;&gt;"",INDEX(職員マスタ!$E$6:$E$405,$AN861)&lt;&gt;"",$Q861&lt;&gt;INDEX(職員マスタ!$E$6:$E$405,$AN861)),"子の生年月日がマスタと相違／","")&amp;IF(AND($L861&lt;&gt;"",INDEX(職員マスタ!$G$6:$G$405,$AN861)&lt;&gt;"",$L861&lt;&gt;INDEX(職員マスタ!$G$6:$G$405,$AN861)),"時短開始日がマスタと相違／","")&amp;IF(AND($M861&lt;&gt;"",INDEX(職員マスタ!$H$6:$H$405,$AN861)&lt;&gt;"",$M861&lt;&gt;INDEX(職員マスタ!$H$6:$H$405,$AN861)),"時短終了日がマスタと相違／","")))&amp;IF(AND($B861&lt;&gt;"",$E861=""),"報酬額が未入力／","")&amp;IF(N($U861)&gt;0,"申請書に入力エラーが残っています／","")&amp;IF(AND($B861&lt;&gt;"",$AO861&lt;&gt;""),IF(COUNTIFS($B$6:$B$3005,$B861,$C$6:$C$3005,$C861,$D$6:$D$3005,$D861)&gt;1,"同じ月の請求が重複しています／",""),"")&amp;IF(AND(N($E861)&gt;0,$Z861&lt;&gt;"",$Z861&lt;&gt;"×",$AC861=0,$AB861=""),"計算額が下限以下のため不支給／",""))</f>
        <v/>
      </c>
      <c r="AL861" s="12" t="n"/>
      <c r="AM861" s="14">
        <f>IF($AD861="保留中",COUNTIF($AD$6:$AD861,"保留中"),"")</f>
        <v/>
      </c>
      <c r="AN861" s="14">
        <f>IF($AO861="","",IF(SUMPRODUCT(MAX((職員マスタ!$A$6:$A$405=$B861)*(((職員マスタ!$G$6:$G$405="")+(職員マスタ!$G$6:$G$405&lt;=EOMONTH($AO861,0)))&gt;0)*(((職員マスタ!$H$6:$H$405="")+(職員マスタ!$H$6:$H$405&gt;=$AO861))&gt;0)*(ROW(職員マスタ!$A$6:$A$405)-5)))&gt;0,SUMPRODUCT(MAX((職員マスタ!$A$6:$A$405=$B861)*(((職員マスタ!$G$6:$G$405="")+(職員マスタ!$G$6:$G$405&lt;=EOMONTH($AO861,0)))&gt;0)*(((職員マスタ!$H$6:$H$405="")+(職員マスタ!$H$6:$H$405&gt;=$AO861))&gt;0)*(ROW(職員マスタ!$A$6:$A$405)-5))),IFERROR(MATCH($B861,職員マスタ!$A$6:$A$405,0),"")))</f>
        <v/>
      </c>
      <c r="AO861" s="16">
        <f>IF(OR($B861="",$C861="",$D861=""),"",DATE($C861+2018,$D861,1))</f>
        <v/>
      </c>
    </row>
    <row r="862">
      <c r="A862" s="11" t="n"/>
      <c r="B862" s="12" t="n"/>
      <c r="C862" s="12" t="n"/>
      <c r="D862" s="12" t="n"/>
      <c r="E862" s="13" t="n"/>
      <c r="F862" s="12" t="n"/>
      <c r="G862" s="13" t="n"/>
      <c r="H862" s="12" t="n"/>
      <c r="I862" s="12" t="n"/>
      <c r="J862" s="12" t="n"/>
      <c r="K862" s="12" t="n"/>
      <c r="L862" s="11" t="n"/>
      <c r="M862" s="11" t="n"/>
      <c r="N862" s="11" t="n"/>
      <c r="O862" s="11" t="n"/>
      <c r="P862" s="12" t="n"/>
      <c r="Q862" s="11" t="n"/>
      <c r="R862" s="12" t="n"/>
      <c r="S862" s="11" t="n"/>
      <c r="T862" s="12" t="n"/>
      <c r="U862" s="12" t="n"/>
      <c r="V862" s="14">
        <f>IF($AN862="",IF($B862="","",$H862),IF(INDEX(職員マスタ!$B$6:$B$405,$AN862)="",$H862,INDEX(職員マスタ!$B$6:$B$405,$AN862)))</f>
        <v/>
      </c>
      <c r="W862" s="14">
        <f>IF($AN862="",IF($B862="","",$R862),IF(INDEX(職員マスタ!$C$6:$C$405,$AN862)="",$R862,INDEX(職員マスタ!$C$6:$C$405,$AN862)))</f>
        <v/>
      </c>
      <c r="X862" s="14">
        <f>IF($AO862="","","R"&amp;$C862&amp;"."&amp;$D862)</f>
        <v/>
      </c>
      <c r="Y862" s="15">
        <f>IF($AN862="","",IF(INDEX(職員マスタ!$K$6:$K$405,$AN862)="","",INDEX(職員マスタ!$K$6:$K$405,$AN862)))</f>
        <v/>
      </c>
      <c r="Z862" s="14">
        <f>IF(OR($E862="",$Y862=""),"",IF($E862&gt;=$Y862,"×",IF($E862&gt;=$Y862*設定!$C$5,"△","○")))</f>
        <v/>
      </c>
      <c r="AA862" s="15">
        <f>IF($Z862="","",IF($Z862="×",0,IF($Z862="○",ROUNDDOWN($E862*設定!$C$4,0),ROUNDDOWN($E862*ROUND((9*$Y862-9*$E862)/(10*$E862),4),0))))</f>
        <v/>
      </c>
      <c r="AB862" s="13" t="n"/>
      <c r="AC862" s="15">
        <f>IF($B862="","",IF($AB862&lt;&gt;"",$AB862,IF($AA862="","",IF($AA862&lt;=設定!$C$3,0,$AA862))))</f>
        <v/>
      </c>
      <c r="AD862" s="14">
        <f>IF($B862="","",IF(AND($AE862&lt;&gt;"",$AG862="",$AJ862=""),"保留中",IF($AJ862&lt;&gt;"",IF(N($AC862)&gt;0,"支給済","不支給"),IF($AC862="","要確認",IF($AC862=0,"不支給","未処理")))))</f>
        <v/>
      </c>
      <c r="AE862" s="12" t="n"/>
      <c r="AF862" s="11" t="n"/>
      <c r="AG862" s="11" t="n"/>
      <c r="AH862" s="11" t="n"/>
      <c r="AI862" s="14">
        <f>IF(AND($AD862="保留中",$AF862&lt;&gt;""),TODAY()-$AF862,"")</f>
        <v/>
      </c>
      <c r="AJ862" s="12" t="n"/>
      <c r="AK862" s="14">
        <f>IF($B862="","",IF($AO862="","対象年月が未入力／","")&amp;IF($B862="","",IF($AN862="","職員マスタに未登録の職員番号／",IF($Y862="","標準報酬月額が未登録／","")&amp;IF(AND($AO862&lt;&gt;"",OR(AND(INDEX(職員マスタ!$G$6:$G$405,$AN862)&lt;&gt;"",INDEX(職員マスタ!$G$6:$G$405,$AN862)&gt;EOMONTH($AO862,0)),AND(INDEX(職員マスタ!$H$6:$H$405,$AN862)&lt;&gt;"",INDEX(職員マスタ!$H$6:$H$405,$AN862)&lt;$AO862))),"対象月が時短期間外／","")&amp;IF(AND(INDEX(職員マスタ!$F$6:$F$405,$AN862)&lt;&gt;"",$AO862&lt;&gt;"",INDEX(職員マスタ!$F$6:$F$405,$AN862)&lt;$AO862),"対象月に子が2歳到達済／","")&amp;IF(AND($H862&lt;&gt;"",INDEX(職員マスタ!$B$6:$B$405,$AN862)&lt;&gt;"",SUBSTITUTE(SUBSTITUTE($H862," ","")," ","")&lt;&gt;SUBSTITUTE(SUBSTITUTE(INDEX(職員マスタ!$B$6:$B$405,$AN862)," ","")," ","")),"氏名がマスタと相違／","")&amp;IF(AND($Q862&lt;&gt;"",INDEX(職員マスタ!$E$6:$E$405,$AN862)&lt;&gt;"",$Q862&lt;&gt;INDEX(職員マスタ!$E$6:$E$405,$AN862)),"子の生年月日がマスタと相違／","")&amp;IF(AND($L862&lt;&gt;"",INDEX(職員マスタ!$G$6:$G$405,$AN862)&lt;&gt;"",$L862&lt;&gt;INDEX(職員マスタ!$G$6:$G$405,$AN862)),"時短開始日がマスタと相違／","")&amp;IF(AND($M862&lt;&gt;"",INDEX(職員マスタ!$H$6:$H$405,$AN862)&lt;&gt;"",$M862&lt;&gt;INDEX(職員マスタ!$H$6:$H$405,$AN862)),"時短終了日がマスタと相違／","")))&amp;IF(AND($B862&lt;&gt;"",$E862=""),"報酬額が未入力／","")&amp;IF(N($U862)&gt;0,"申請書に入力エラーが残っています／","")&amp;IF(AND($B862&lt;&gt;"",$AO862&lt;&gt;""),IF(COUNTIFS($B$6:$B$3005,$B862,$C$6:$C$3005,$C862,$D$6:$D$3005,$D862)&gt;1,"同じ月の請求が重複しています／",""),"")&amp;IF(AND(N($E862)&gt;0,$Z862&lt;&gt;"",$Z862&lt;&gt;"×",$AC862=0,$AB862=""),"計算額が下限以下のため不支給／",""))</f>
        <v/>
      </c>
      <c r="AL862" s="12" t="n"/>
      <c r="AM862" s="14">
        <f>IF($AD862="保留中",COUNTIF($AD$6:$AD862,"保留中"),"")</f>
        <v/>
      </c>
      <c r="AN862" s="14">
        <f>IF($AO862="","",IF(SUMPRODUCT(MAX((職員マスタ!$A$6:$A$405=$B862)*(((職員マスタ!$G$6:$G$405="")+(職員マスタ!$G$6:$G$405&lt;=EOMONTH($AO862,0)))&gt;0)*(((職員マスタ!$H$6:$H$405="")+(職員マスタ!$H$6:$H$405&gt;=$AO862))&gt;0)*(ROW(職員マスタ!$A$6:$A$405)-5)))&gt;0,SUMPRODUCT(MAX((職員マスタ!$A$6:$A$405=$B862)*(((職員マスタ!$G$6:$G$405="")+(職員マスタ!$G$6:$G$405&lt;=EOMONTH($AO862,0)))&gt;0)*(((職員マスタ!$H$6:$H$405="")+(職員マスタ!$H$6:$H$405&gt;=$AO862))&gt;0)*(ROW(職員マスタ!$A$6:$A$405)-5))),IFERROR(MATCH($B862,職員マスタ!$A$6:$A$405,0),"")))</f>
        <v/>
      </c>
      <c r="AO862" s="16">
        <f>IF(OR($B862="",$C862="",$D862=""),"",DATE($C862+2018,$D862,1))</f>
        <v/>
      </c>
    </row>
    <row r="863">
      <c r="A863" s="11" t="n"/>
      <c r="B863" s="12" t="n"/>
      <c r="C863" s="12" t="n"/>
      <c r="D863" s="12" t="n"/>
      <c r="E863" s="13" t="n"/>
      <c r="F863" s="12" t="n"/>
      <c r="G863" s="13" t="n"/>
      <c r="H863" s="12" t="n"/>
      <c r="I863" s="12" t="n"/>
      <c r="J863" s="12" t="n"/>
      <c r="K863" s="12" t="n"/>
      <c r="L863" s="11" t="n"/>
      <c r="M863" s="11" t="n"/>
      <c r="N863" s="11" t="n"/>
      <c r="O863" s="11" t="n"/>
      <c r="P863" s="12" t="n"/>
      <c r="Q863" s="11" t="n"/>
      <c r="R863" s="12" t="n"/>
      <c r="S863" s="11" t="n"/>
      <c r="T863" s="12" t="n"/>
      <c r="U863" s="12" t="n"/>
      <c r="V863" s="14">
        <f>IF($AN863="",IF($B863="","",$H863),IF(INDEX(職員マスタ!$B$6:$B$405,$AN863)="",$H863,INDEX(職員マスタ!$B$6:$B$405,$AN863)))</f>
        <v/>
      </c>
      <c r="W863" s="14">
        <f>IF($AN863="",IF($B863="","",$R863),IF(INDEX(職員マスタ!$C$6:$C$405,$AN863)="",$R863,INDEX(職員マスタ!$C$6:$C$405,$AN863)))</f>
        <v/>
      </c>
      <c r="X863" s="14">
        <f>IF($AO863="","","R"&amp;$C863&amp;"."&amp;$D863)</f>
        <v/>
      </c>
      <c r="Y863" s="15">
        <f>IF($AN863="","",IF(INDEX(職員マスタ!$K$6:$K$405,$AN863)="","",INDEX(職員マスタ!$K$6:$K$405,$AN863)))</f>
        <v/>
      </c>
      <c r="Z863" s="14">
        <f>IF(OR($E863="",$Y863=""),"",IF($E863&gt;=$Y863,"×",IF($E863&gt;=$Y863*設定!$C$5,"△","○")))</f>
        <v/>
      </c>
      <c r="AA863" s="15">
        <f>IF($Z863="","",IF($Z863="×",0,IF($Z863="○",ROUNDDOWN($E863*設定!$C$4,0),ROUNDDOWN($E863*ROUND((9*$Y863-9*$E863)/(10*$E863),4),0))))</f>
        <v/>
      </c>
      <c r="AB863" s="13" t="n"/>
      <c r="AC863" s="15">
        <f>IF($B863="","",IF($AB863&lt;&gt;"",$AB863,IF($AA863="","",IF($AA863&lt;=設定!$C$3,0,$AA863))))</f>
        <v/>
      </c>
      <c r="AD863" s="14">
        <f>IF($B863="","",IF(AND($AE863&lt;&gt;"",$AG863="",$AJ863=""),"保留中",IF($AJ863&lt;&gt;"",IF(N($AC863)&gt;0,"支給済","不支給"),IF($AC863="","要確認",IF($AC863=0,"不支給","未処理")))))</f>
        <v/>
      </c>
      <c r="AE863" s="12" t="n"/>
      <c r="AF863" s="11" t="n"/>
      <c r="AG863" s="11" t="n"/>
      <c r="AH863" s="11" t="n"/>
      <c r="AI863" s="14">
        <f>IF(AND($AD863="保留中",$AF863&lt;&gt;""),TODAY()-$AF863,"")</f>
        <v/>
      </c>
      <c r="AJ863" s="12" t="n"/>
      <c r="AK863" s="14">
        <f>IF($B863="","",IF($AO863="","対象年月が未入力／","")&amp;IF($B863="","",IF($AN863="","職員マスタに未登録の職員番号／",IF($Y863="","標準報酬月額が未登録／","")&amp;IF(AND($AO863&lt;&gt;"",OR(AND(INDEX(職員マスタ!$G$6:$G$405,$AN863)&lt;&gt;"",INDEX(職員マスタ!$G$6:$G$405,$AN863)&gt;EOMONTH($AO863,0)),AND(INDEX(職員マスタ!$H$6:$H$405,$AN863)&lt;&gt;"",INDEX(職員マスタ!$H$6:$H$405,$AN863)&lt;$AO863))),"対象月が時短期間外／","")&amp;IF(AND(INDEX(職員マスタ!$F$6:$F$405,$AN863)&lt;&gt;"",$AO863&lt;&gt;"",INDEX(職員マスタ!$F$6:$F$405,$AN863)&lt;$AO863),"対象月に子が2歳到達済／","")&amp;IF(AND($H863&lt;&gt;"",INDEX(職員マスタ!$B$6:$B$405,$AN863)&lt;&gt;"",SUBSTITUTE(SUBSTITUTE($H863," ","")," ","")&lt;&gt;SUBSTITUTE(SUBSTITUTE(INDEX(職員マスタ!$B$6:$B$405,$AN863)," ","")," ","")),"氏名がマスタと相違／","")&amp;IF(AND($Q863&lt;&gt;"",INDEX(職員マスタ!$E$6:$E$405,$AN863)&lt;&gt;"",$Q863&lt;&gt;INDEX(職員マスタ!$E$6:$E$405,$AN863)),"子の生年月日がマスタと相違／","")&amp;IF(AND($L863&lt;&gt;"",INDEX(職員マスタ!$G$6:$G$405,$AN863)&lt;&gt;"",$L863&lt;&gt;INDEX(職員マスタ!$G$6:$G$405,$AN863)),"時短開始日がマスタと相違／","")&amp;IF(AND($M863&lt;&gt;"",INDEX(職員マスタ!$H$6:$H$405,$AN863)&lt;&gt;"",$M863&lt;&gt;INDEX(職員マスタ!$H$6:$H$405,$AN863)),"時短終了日がマスタと相違／","")))&amp;IF(AND($B863&lt;&gt;"",$E863=""),"報酬額が未入力／","")&amp;IF(N($U863)&gt;0,"申請書に入力エラーが残っています／","")&amp;IF(AND($B863&lt;&gt;"",$AO863&lt;&gt;""),IF(COUNTIFS($B$6:$B$3005,$B863,$C$6:$C$3005,$C863,$D$6:$D$3005,$D863)&gt;1,"同じ月の請求が重複しています／",""),"")&amp;IF(AND(N($E863)&gt;0,$Z863&lt;&gt;"",$Z863&lt;&gt;"×",$AC863=0,$AB863=""),"計算額が下限以下のため不支給／",""))</f>
        <v/>
      </c>
      <c r="AL863" s="12" t="n"/>
      <c r="AM863" s="14">
        <f>IF($AD863="保留中",COUNTIF($AD$6:$AD863,"保留中"),"")</f>
        <v/>
      </c>
      <c r="AN863" s="14">
        <f>IF($AO863="","",IF(SUMPRODUCT(MAX((職員マスタ!$A$6:$A$405=$B863)*(((職員マスタ!$G$6:$G$405="")+(職員マスタ!$G$6:$G$405&lt;=EOMONTH($AO863,0)))&gt;0)*(((職員マスタ!$H$6:$H$405="")+(職員マスタ!$H$6:$H$405&gt;=$AO863))&gt;0)*(ROW(職員マスタ!$A$6:$A$405)-5)))&gt;0,SUMPRODUCT(MAX((職員マスタ!$A$6:$A$405=$B863)*(((職員マスタ!$G$6:$G$405="")+(職員マスタ!$G$6:$G$405&lt;=EOMONTH($AO863,0)))&gt;0)*(((職員マスタ!$H$6:$H$405="")+(職員マスタ!$H$6:$H$405&gt;=$AO863))&gt;0)*(ROW(職員マスタ!$A$6:$A$405)-5))),IFERROR(MATCH($B863,職員マスタ!$A$6:$A$405,0),"")))</f>
        <v/>
      </c>
      <c r="AO863" s="16">
        <f>IF(OR($B863="",$C863="",$D863=""),"",DATE($C863+2018,$D863,1))</f>
        <v/>
      </c>
    </row>
    <row r="864">
      <c r="A864" s="11" t="n"/>
      <c r="B864" s="12" t="n"/>
      <c r="C864" s="12" t="n"/>
      <c r="D864" s="12" t="n"/>
      <c r="E864" s="13" t="n"/>
      <c r="F864" s="12" t="n"/>
      <c r="G864" s="13" t="n"/>
      <c r="H864" s="12" t="n"/>
      <c r="I864" s="12" t="n"/>
      <c r="J864" s="12" t="n"/>
      <c r="K864" s="12" t="n"/>
      <c r="L864" s="11" t="n"/>
      <c r="M864" s="11" t="n"/>
      <c r="N864" s="11" t="n"/>
      <c r="O864" s="11" t="n"/>
      <c r="P864" s="12" t="n"/>
      <c r="Q864" s="11" t="n"/>
      <c r="R864" s="12" t="n"/>
      <c r="S864" s="11" t="n"/>
      <c r="T864" s="12" t="n"/>
      <c r="U864" s="12" t="n"/>
      <c r="V864" s="14">
        <f>IF($AN864="",IF($B864="","",$H864),IF(INDEX(職員マスタ!$B$6:$B$405,$AN864)="",$H864,INDEX(職員マスタ!$B$6:$B$405,$AN864)))</f>
        <v/>
      </c>
      <c r="W864" s="14">
        <f>IF($AN864="",IF($B864="","",$R864),IF(INDEX(職員マスタ!$C$6:$C$405,$AN864)="",$R864,INDEX(職員マスタ!$C$6:$C$405,$AN864)))</f>
        <v/>
      </c>
      <c r="X864" s="14">
        <f>IF($AO864="","","R"&amp;$C864&amp;"."&amp;$D864)</f>
        <v/>
      </c>
      <c r="Y864" s="15">
        <f>IF($AN864="","",IF(INDEX(職員マスタ!$K$6:$K$405,$AN864)="","",INDEX(職員マスタ!$K$6:$K$405,$AN864)))</f>
        <v/>
      </c>
      <c r="Z864" s="14">
        <f>IF(OR($E864="",$Y864=""),"",IF($E864&gt;=$Y864,"×",IF($E864&gt;=$Y864*設定!$C$5,"△","○")))</f>
        <v/>
      </c>
      <c r="AA864" s="15">
        <f>IF($Z864="","",IF($Z864="×",0,IF($Z864="○",ROUNDDOWN($E864*設定!$C$4,0),ROUNDDOWN($E864*ROUND((9*$Y864-9*$E864)/(10*$E864),4),0))))</f>
        <v/>
      </c>
      <c r="AB864" s="13" t="n"/>
      <c r="AC864" s="15">
        <f>IF($B864="","",IF($AB864&lt;&gt;"",$AB864,IF($AA864="","",IF($AA864&lt;=設定!$C$3,0,$AA864))))</f>
        <v/>
      </c>
      <c r="AD864" s="14">
        <f>IF($B864="","",IF(AND($AE864&lt;&gt;"",$AG864="",$AJ864=""),"保留中",IF($AJ864&lt;&gt;"",IF(N($AC864)&gt;0,"支給済","不支給"),IF($AC864="","要確認",IF($AC864=0,"不支給","未処理")))))</f>
        <v/>
      </c>
      <c r="AE864" s="12" t="n"/>
      <c r="AF864" s="11" t="n"/>
      <c r="AG864" s="11" t="n"/>
      <c r="AH864" s="11" t="n"/>
      <c r="AI864" s="14">
        <f>IF(AND($AD864="保留中",$AF864&lt;&gt;""),TODAY()-$AF864,"")</f>
        <v/>
      </c>
      <c r="AJ864" s="12" t="n"/>
      <c r="AK864" s="14">
        <f>IF($B864="","",IF($AO864="","対象年月が未入力／","")&amp;IF($B864="","",IF($AN864="","職員マスタに未登録の職員番号／",IF($Y864="","標準報酬月額が未登録／","")&amp;IF(AND($AO864&lt;&gt;"",OR(AND(INDEX(職員マスタ!$G$6:$G$405,$AN864)&lt;&gt;"",INDEX(職員マスタ!$G$6:$G$405,$AN864)&gt;EOMONTH($AO864,0)),AND(INDEX(職員マスタ!$H$6:$H$405,$AN864)&lt;&gt;"",INDEX(職員マスタ!$H$6:$H$405,$AN864)&lt;$AO864))),"対象月が時短期間外／","")&amp;IF(AND(INDEX(職員マスタ!$F$6:$F$405,$AN864)&lt;&gt;"",$AO864&lt;&gt;"",INDEX(職員マスタ!$F$6:$F$405,$AN864)&lt;$AO864),"対象月に子が2歳到達済／","")&amp;IF(AND($H864&lt;&gt;"",INDEX(職員マスタ!$B$6:$B$405,$AN864)&lt;&gt;"",SUBSTITUTE(SUBSTITUTE($H864," ","")," ","")&lt;&gt;SUBSTITUTE(SUBSTITUTE(INDEX(職員マスタ!$B$6:$B$405,$AN864)," ","")," ","")),"氏名がマスタと相違／","")&amp;IF(AND($Q864&lt;&gt;"",INDEX(職員マスタ!$E$6:$E$405,$AN864)&lt;&gt;"",$Q864&lt;&gt;INDEX(職員マスタ!$E$6:$E$405,$AN864)),"子の生年月日がマスタと相違／","")&amp;IF(AND($L864&lt;&gt;"",INDEX(職員マスタ!$G$6:$G$405,$AN864)&lt;&gt;"",$L864&lt;&gt;INDEX(職員マスタ!$G$6:$G$405,$AN864)),"時短開始日がマスタと相違／","")&amp;IF(AND($M864&lt;&gt;"",INDEX(職員マスタ!$H$6:$H$405,$AN864)&lt;&gt;"",$M864&lt;&gt;INDEX(職員マスタ!$H$6:$H$405,$AN864)),"時短終了日がマスタと相違／","")))&amp;IF(AND($B864&lt;&gt;"",$E864=""),"報酬額が未入力／","")&amp;IF(N($U864)&gt;0,"申請書に入力エラーが残っています／","")&amp;IF(AND($B864&lt;&gt;"",$AO864&lt;&gt;""),IF(COUNTIFS($B$6:$B$3005,$B864,$C$6:$C$3005,$C864,$D$6:$D$3005,$D864)&gt;1,"同じ月の請求が重複しています／",""),"")&amp;IF(AND(N($E864)&gt;0,$Z864&lt;&gt;"",$Z864&lt;&gt;"×",$AC864=0,$AB864=""),"計算額が下限以下のため不支給／",""))</f>
        <v/>
      </c>
      <c r="AL864" s="12" t="n"/>
      <c r="AM864" s="14">
        <f>IF($AD864="保留中",COUNTIF($AD$6:$AD864,"保留中"),"")</f>
        <v/>
      </c>
      <c r="AN864" s="14">
        <f>IF($AO864="","",IF(SUMPRODUCT(MAX((職員マスタ!$A$6:$A$405=$B864)*(((職員マスタ!$G$6:$G$405="")+(職員マスタ!$G$6:$G$405&lt;=EOMONTH($AO864,0)))&gt;0)*(((職員マスタ!$H$6:$H$405="")+(職員マスタ!$H$6:$H$405&gt;=$AO864))&gt;0)*(ROW(職員マスタ!$A$6:$A$405)-5)))&gt;0,SUMPRODUCT(MAX((職員マスタ!$A$6:$A$405=$B864)*(((職員マスタ!$G$6:$G$405="")+(職員マスタ!$G$6:$G$405&lt;=EOMONTH($AO864,0)))&gt;0)*(((職員マスタ!$H$6:$H$405="")+(職員マスタ!$H$6:$H$405&gt;=$AO864))&gt;0)*(ROW(職員マスタ!$A$6:$A$405)-5))),IFERROR(MATCH($B864,職員マスタ!$A$6:$A$405,0),"")))</f>
        <v/>
      </c>
      <c r="AO864" s="16">
        <f>IF(OR($B864="",$C864="",$D864=""),"",DATE($C864+2018,$D864,1))</f>
        <v/>
      </c>
    </row>
    <row r="865">
      <c r="A865" s="11" t="n"/>
      <c r="B865" s="12" t="n"/>
      <c r="C865" s="12" t="n"/>
      <c r="D865" s="12" t="n"/>
      <c r="E865" s="13" t="n"/>
      <c r="F865" s="12" t="n"/>
      <c r="G865" s="13" t="n"/>
      <c r="H865" s="12" t="n"/>
      <c r="I865" s="12" t="n"/>
      <c r="J865" s="12" t="n"/>
      <c r="K865" s="12" t="n"/>
      <c r="L865" s="11" t="n"/>
      <c r="M865" s="11" t="n"/>
      <c r="N865" s="11" t="n"/>
      <c r="O865" s="11" t="n"/>
      <c r="P865" s="12" t="n"/>
      <c r="Q865" s="11" t="n"/>
      <c r="R865" s="12" t="n"/>
      <c r="S865" s="11" t="n"/>
      <c r="T865" s="12" t="n"/>
      <c r="U865" s="12" t="n"/>
      <c r="V865" s="14">
        <f>IF($AN865="",IF($B865="","",$H865),IF(INDEX(職員マスタ!$B$6:$B$405,$AN865)="",$H865,INDEX(職員マスタ!$B$6:$B$405,$AN865)))</f>
        <v/>
      </c>
      <c r="W865" s="14">
        <f>IF($AN865="",IF($B865="","",$R865),IF(INDEX(職員マスタ!$C$6:$C$405,$AN865)="",$R865,INDEX(職員マスタ!$C$6:$C$405,$AN865)))</f>
        <v/>
      </c>
      <c r="X865" s="14">
        <f>IF($AO865="","","R"&amp;$C865&amp;"."&amp;$D865)</f>
        <v/>
      </c>
      <c r="Y865" s="15">
        <f>IF($AN865="","",IF(INDEX(職員マスタ!$K$6:$K$405,$AN865)="","",INDEX(職員マスタ!$K$6:$K$405,$AN865)))</f>
        <v/>
      </c>
      <c r="Z865" s="14">
        <f>IF(OR($E865="",$Y865=""),"",IF($E865&gt;=$Y865,"×",IF($E865&gt;=$Y865*設定!$C$5,"△","○")))</f>
        <v/>
      </c>
      <c r="AA865" s="15">
        <f>IF($Z865="","",IF($Z865="×",0,IF($Z865="○",ROUNDDOWN($E865*設定!$C$4,0),ROUNDDOWN($E865*ROUND((9*$Y865-9*$E865)/(10*$E865),4),0))))</f>
        <v/>
      </c>
      <c r="AB865" s="13" t="n"/>
      <c r="AC865" s="15">
        <f>IF($B865="","",IF($AB865&lt;&gt;"",$AB865,IF($AA865="","",IF($AA865&lt;=設定!$C$3,0,$AA865))))</f>
        <v/>
      </c>
      <c r="AD865" s="14">
        <f>IF($B865="","",IF(AND($AE865&lt;&gt;"",$AG865="",$AJ865=""),"保留中",IF($AJ865&lt;&gt;"",IF(N($AC865)&gt;0,"支給済","不支給"),IF($AC865="","要確認",IF($AC865=0,"不支給","未処理")))))</f>
        <v/>
      </c>
      <c r="AE865" s="12" t="n"/>
      <c r="AF865" s="11" t="n"/>
      <c r="AG865" s="11" t="n"/>
      <c r="AH865" s="11" t="n"/>
      <c r="AI865" s="14">
        <f>IF(AND($AD865="保留中",$AF865&lt;&gt;""),TODAY()-$AF865,"")</f>
        <v/>
      </c>
      <c r="AJ865" s="12" t="n"/>
      <c r="AK865" s="14">
        <f>IF($B865="","",IF($AO865="","対象年月が未入力／","")&amp;IF($B865="","",IF($AN865="","職員マスタに未登録の職員番号／",IF($Y865="","標準報酬月額が未登録／","")&amp;IF(AND($AO865&lt;&gt;"",OR(AND(INDEX(職員マスタ!$G$6:$G$405,$AN865)&lt;&gt;"",INDEX(職員マスタ!$G$6:$G$405,$AN865)&gt;EOMONTH($AO865,0)),AND(INDEX(職員マスタ!$H$6:$H$405,$AN865)&lt;&gt;"",INDEX(職員マスタ!$H$6:$H$405,$AN865)&lt;$AO865))),"対象月が時短期間外／","")&amp;IF(AND(INDEX(職員マスタ!$F$6:$F$405,$AN865)&lt;&gt;"",$AO865&lt;&gt;"",INDEX(職員マスタ!$F$6:$F$405,$AN865)&lt;$AO865),"対象月に子が2歳到達済／","")&amp;IF(AND($H865&lt;&gt;"",INDEX(職員マスタ!$B$6:$B$405,$AN865)&lt;&gt;"",SUBSTITUTE(SUBSTITUTE($H865," ","")," ","")&lt;&gt;SUBSTITUTE(SUBSTITUTE(INDEX(職員マスタ!$B$6:$B$405,$AN865)," ","")," ","")),"氏名がマスタと相違／","")&amp;IF(AND($Q865&lt;&gt;"",INDEX(職員マスタ!$E$6:$E$405,$AN865)&lt;&gt;"",$Q865&lt;&gt;INDEX(職員マスタ!$E$6:$E$405,$AN865)),"子の生年月日がマスタと相違／","")&amp;IF(AND($L865&lt;&gt;"",INDEX(職員マスタ!$G$6:$G$405,$AN865)&lt;&gt;"",$L865&lt;&gt;INDEX(職員マスタ!$G$6:$G$405,$AN865)),"時短開始日がマスタと相違／","")&amp;IF(AND($M865&lt;&gt;"",INDEX(職員マスタ!$H$6:$H$405,$AN865)&lt;&gt;"",$M865&lt;&gt;INDEX(職員マスタ!$H$6:$H$405,$AN865)),"時短終了日がマスタと相違／","")))&amp;IF(AND($B865&lt;&gt;"",$E865=""),"報酬額が未入力／","")&amp;IF(N($U865)&gt;0,"申請書に入力エラーが残っています／","")&amp;IF(AND($B865&lt;&gt;"",$AO865&lt;&gt;""),IF(COUNTIFS($B$6:$B$3005,$B865,$C$6:$C$3005,$C865,$D$6:$D$3005,$D865)&gt;1,"同じ月の請求が重複しています／",""),"")&amp;IF(AND(N($E865)&gt;0,$Z865&lt;&gt;"",$Z865&lt;&gt;"×",$AC865=0,$AB865=""),"計算額が下限以下のため不支給／",""))</f>
        <v/>
      </c>
      <c r="AL865" s="12" t="n"/>
      <c r="AM865" s="14">
        <f>IF($AD865="保留中",COUNTIF($AD$6:$AD865,"保留中"),"")</f>
        <v/>
      </c>
      <c r="AN865" s="14">
        <f>IF($AO865="","",IF(SUMPRODUCT(MAX((職員マスタ!$A$6:$A$405=$B865)*(((職員マスタ!$G$6:$G$405="")+(職員マスタ!$G$6:$G$405&lt;=EOMONTH($AO865,0)))&gt;0)*(((職員マスタ!$H$6:$H$405="")+(職員マスタ!$H$6:$H$405&gt;=$AO865))&gt;0)*(ROW(職員マスタ!$A$6:$A$405)-5)))&gt;0,SUMPRODUCT(MAX((職員マスタ!$A$6:$A$405=$B865)*(((職員マスタ!$G$6:$G$405="")+(職員マスタ!$G$6:$G$405&lt;=EOMONTH($AO865,0)))&gt;0)*(((職員マスタ!$H$6:$H$405="")+(職員マスタ!$H$6:$H$405&gt;=$AO865))&gt;0)*(ROW(職員マスタ!$A$6:$A$405)-5))),IFERROR(MATCH($B865,職員マスタ!$A$6:$A$405,0),"")))</f>
        <v/>
      </c>
      <c r="AO865" s="16">
        <f>IF(OR($B865="",$C865="",$D865=""),"",DATE($C865+2018,$D865,1))</f>
        <v/>
      </c>
    </row>
    <row r="866">
      <c r="A866" s="11" t="n"/>
      <c r="B866" s="12" t="n"/>
      <c r="C866" s="12" t="n"/>
      <c r="D866" s="12" t="n"/>
      <c r="E866" s="13" t="n"/>
      <c r="F866" s="12" t="n"/>
      <c r="G866" s="13" t="n"/>
      <c r="H866" s="12" t="n"/>
      <c r="I866" s="12" t="n"/>
      <c r="J866" s="12" t="n"/>
      <c r="K866" s="12" t="n"/>
      <c r="L866" s="11" t="n"/>
      <c r="M866" s="11" t="n"/>
      <c r="N866" s="11" t="n"/>
      <c r="O866" s="11" t="n"/>
      <c r="P866" s="12" t="n"/>
      <c r="Q866" s="11" t="n"/>
      <c r="R866" s="12" t="n"/>
      <c r="S866" s="11" t="n"/>
      <c r="T866" s="12" t="n"/>
      <c r="U866" s="12" t="n"/>
      <c r="V866" s="14">
        <f>IF($AN866="",IF($B866="","",$H866),IF(INDEX(職員マスタ!$B$6:$B$405,$AN866)="",$H866,INDEX(職員マスタ!$B$6:$B$405,$AN866)))</f>
        <v/>
      </c>
      <c r="W866" s="14">
        <f>IF($AN866="",IF($B866="","",$R866),IF(INDEX(職員マスタ!$C$6:$C$405,$AN866)="",$R866,INDEX(職員マスタ!$C$6:$C$405,$AN866)))</f>
        <v/>
      </c>
      <c r="X866" s="14">
        <f>IF($AO866="","","R"&amp;$C866&amp;"."&amp;$D866)</f>
        <v/>
      </c>
      <c r="Y866" s="15">
        <f>IF($AN866="","",IF(INDEX(職員マスタ!$K$6:$K$405,$AN866)="","",INDEX(職員マスタ!$K$6:$K$405,$AN866)))</f>
        <v/>
      </c>
      <c r="Z866" s="14">
        <f>IF(OR($E866="",$Y866=""),"",IF($E866&gt;=$Y866,"×",IF($E866&gt;=$Y866*設定!$C$5,"△","○")))</f>
        <v/>
      </c>
      <c r="AA866" s="15">
        <f>IF($Z866="","",IF($Z866="×",0,IF($Z866="○",ROUNDDOWN($E866*設定!$C$4,0),ROUNDDOWN($E866*ROUND((9*$Y866-9*$E866)/(10*$E866),4),0))))</f>
        <v/>
      </c>
      <c r="AB866" s="13" t="n"/>
      <c r="AC866" s="15">
        <f>IF($B866="","",IF($AB866&lt;&gt;"",$AB866,IF($AA866="","",IF($AA866&lt;=設定!$C$3,0,$AA866))))</f>
        <v/>
      </c>
      <c r="AD866" s="14">
        <f>IF($B866="","",IF(AND($AE866&lt;&gt;"",$AG866="",$AJ866=""),"保留中",IF($AJ866&lt;&gt;"",IF(N($AC866)&gt;0,"支給済","不支給"),IF($AC866="","要確認",IF($AC866=0,"不支給","未処理")))))</f>
        <v/>
      </c>
      <c r="AE866" s="12" t="n"/>
      <c r="AF866" s="11" t="n"/>
      <c r="AG866" s="11" t="n"/>
      <c r="AH866" s="11" t="n"/>
      <c r="AI866" s="14">
        <f>IF(AND($AD866="保留中",$AF866&lt;&gt;""),TODAY()-$AF866,"")</f>
        <v/>
      </c>
      <c r="AJ866" s="12" t="n"/>
      <c r="AK866" s="14">
        <f>IF($B866="","",IF($AO866="","対象年月が未入力／","")&amp;IF($B866="","",IF($AN866="","職員マスタに未登録の職員番号／",IF($Y866="","標準報酬月額が未登録／","")&amp;IF(AND($AO866&lt;&gt;"",OR(AND(INDEX(職員マスタ!$G$6:$G$405,$AN866)&lt;&gt;"",INDEX(職員マスタ!$G$6:$G$405,$AN866)&gt;EOMONTH($AO866,0)),AND(INDEX(職員マスタ!$H$6:$H$405,$AN866)&lt;&gt;"",INDEX(職員マスタ!$H$6:$H$405,$AN866)&lt;$AO866))),"対象月が時短期間外／","")&amp;IF(AND(INDEX(職員マスタ!$F$6:$F$405,$AN866)&lt;&gt;"",$AO866&lt;&gt;"",INDEX(職員マスタ!$F$6:$F$405,$AN866)&lt;$AO866),"対象月に子が2歳到達済／","")&amp;IF(AND($H866&lt;&gt;"",INDEX(職員マスタ!$B$6:$B$405,$AN866)&lt;&gt;"",SUBSTITUTE(SUBSTITUTE($H866," ","")," ","")&lt;&gt;SUBSTITUTE(SUBSTITUTE(INDEX(職員マスタ!$B$6:$B$405,$AN866)," ","")," ","")),"氏名がマスタと相違／","")&amp;IF(AND($Q866&lt;&gt;"",INDEX(職員マスタ!$E$6:$E$405,$AN866)&lt;&gt;"",$Q866&lt;&gt;INDEX(職員マスタ!$E$6:$E$405,$AN866)),"子の生年月日がマスタと相違／","")&amp;IF(AND($L866&lt;&gt;"",INDEX(職員マスタ!$G$6:$G$405,$AN866)&lt;&gt;"",$L866&lt;&gt;INDEX(職員マスタ!$G$6:$G$405,$AN866)),"時短開始日がマスタと相違／","")&amp;IF(AND($M866&lt;&gt;"",INDEX(職員マスタ!$H$6:$H$405,$AN866)&lt;&gt;"",$M866&lt;&gt;INDEX(職員マスタ!$H$6:$H$405,$AN866)),"時短終了日がマスタと相違／","")))&amp;IF(AND($B866&lt;&gt;"",$E866=""),"報酬額が未入力／","")&amp;IF(N($U866)&gt;0,"申請書に入力エラーが残っています／","")&amp;IF(AND($B866&lt;&gt;"",$AO866&lt;&gt;""),IF(COUNTIFS($B$6:$B$3005,$B866,$C$6:$C$3005,$C866,$D$6:$D$3005,$D866)&gt;1,"同じ月の請求が重複しています／",""),"")&amp;IF(AND(N($E866)&gt;0,$Z866&lt;&gt;"",$Z866&lt;&gt;"×",$AC866=0,$AB866=""),"計算額が下限以下のため不支給／",""))</f>
        <v/>
      </c>
      <c r="AL866" s="12" t="n"/>
      <c r="AM866" s="14">
        <f>IF($AD866="保留中",COUNTIF($AD$6:$AD866,"保留中"),"")</f>
        <v/>
      </c>
      <c r="AN866" s="14">
        <f>IF($AO866="","",IF(SUMPRODUCT(MAX((職員マスタ!$A$6:$A$405=$B866)*(((職員マスタ!$G$6:$G$405="")+(職員マスタ!$G$6:$G$405&lt;=EOMONTH($AO866,0)))&gt;0)*(((職員マスタ!$H$6:$H$405="")+(職員マスタ!$H$6:$H$405&gt;=$AO866))&gt;0)*(ROW(職員マスタ!$A$6:$A$405)-5)))&gt;0,SUMPRODUCT(MAX((職員マスタ!$A$6:$A$405=$B866)*(((職員マスタ!$G$6:$G$405="")+(職員マスタ!$G$6:$G$405&lt;=EOMONTH($AO866,0)))&gt;0)*(((職員マスタ!$H$6:$H$405="")+(職員マスタ!$H$6:$H$405&gt;=$AO866))&gt;0)*(ROW(職員マスタ!$A$6:$A$405)-5))),IFERROR(MATCH($B866,職員マスタ!$A$6:$A$405,0),"")))</f>
        <v/>
      </c>
      <c r="AO866" s="16">
        <f>IF(OR($B866="",$C866="",$D866=""),"",DATE($C866+2018,$D866,1))</f>
        <v/>
      </c>
    </row>
    <row r="867">
      <c r="A867" s="11" t="n"/>
      <c r="B867" s="12" t="n"/>
      <c r="C867" s="12" t="n"/>
      <c r="D867" s="12" t="n"/>
      <c r="E867" s="13" t="n"/>
      <c r="F867" s="12" t="n"/>
      <c r="G867" s="13" t="n"/>
      <c r="H867" s="12" t="n"/>
      <c r="I867" s="12" t="n"/>
      <c r="J867" s="12" t="n"/>
      <c r="K867" s="12" t="n"/>
      <c r="L867" s="11" t="n"/>
      <c r="M867" s="11" t="n"/>
      <c r="N867" s="11" t="n"/>
      <c r="O867" s="11" t="n"/>
      <c r="P867" s="12" t="n"/>
      <c r="Q867" s="11" t="n"/>
      <c r="R867" s="12" t="n"/>
      <c r="S867" s="11" t="n"/>
      <c r="T867" s="12" t="n"/>
      <c r="U867" s="12" t="n"/>
      <c r="V867" s="14">
        <f>IF($AN867="",IF($B867="","",$H867),IF(INDEX(職員マスタ!$B$6:$B$405,$AN867)="",$H867,INDEX(職員マスタ!$B$6:$B$405,$AN867)))</f>
        <v/>
      </c>
      <c r="W867" s="14">
        <f>IF($AN867="",IF($B867="","",$R867),IF(INDEX(職員マスタ!$C$6:$C$405,$AN867)="",$R867,INDEX(職員マスタ!$C$6:$C$405,$AN867)))</f>
        <v/>
      </c>
      <c r="X867" s="14">
        <f>IF($AO867="","","R"&amp;$C867&amp;"."&amp;$D867)</f>
        <v/>
      </c>
      <c r="Y867" s="15">
        <f>IF($AN867="","",IF(INDEX(職員マスタ!$K$6:$K$405,$AN867)="","",INDEX(職員マスタ!$K$6:$K$405,$AN867)))</f>
        <v/>
      </c>
      <c r="Z867" s="14">
        <f>IF(OR($E867="",$Y867=""),"",IF($E867&gt;=$Y867,"×",IF($E867&gt;=$Y867*設定!$C$5,"△","○")))</f>
        <v/>
      </c>
      <c r="AA867" s="15">
        <f>IF($Z867="","",IF($Z867="×",0,IF($Z867="○",ROUNDDOWN($E867*設定!$C$4,0),ROUNDDOWN($E867*ROUND((9*$Y867-9*$E867)/(10*$E867),4),0))))</f>
        <v/>
      </c>
      <c r="AB867" s="13" t="n"/>
      <c r="AC867" s="15">
        <f>IF($B867="","",IF($AB867&lt;&gt;"",$AB867,IF($AA867="","",IF($AA867&lt;=設定!$C$3,0,$AA867))))</f>
        <v/>
      </c>
      <c r="AD867" s="14">
        <f>IF($B867="","",IF(AND($AE867&lt;&gt;"",$AG867="",$AJ867=""),"保留中",IF($AJ867&lt;&gt;"",IF(N($AC867)&gt;0,"支給済","不支給"),IF($AC867="","要確認",IF($AC867=0,"不支給","未処理")))))</f>
        <v/>
      </c>
      <c r="AE867" s="12" t="n"/>
      <c r="AF867" s="11" t="n"/>
      <c r="AG867" s="11" t="n"/>
      <c r="AH867" s="11" t="n"/>
      <c r="AI867" s="14">
        <f>IF(AND($AD867="保留中",$AF867&lt;&gt;""),TODAY()-$AF867,"")</f>
        <v/>
      </c>
      <c r="AJ867" s="12" t="n"/>
      <c r="AK867" s="14">
        <f>IF($B867="","",IF($AO867="","対象年月が未入力／","")&amp;IF($B867="","",IF($AN867="","職員マスタに未登録の職員番号／",IF($Y867="","標準報酬月額が未登録／","")&amp;IF(AND($AO867&lt;&gt;"",OR(AND(INDEX(職員マスタ!$G$6:$G$405,$AN867)&lt;&gt;"",INDEX(職員マスタ!$G$6:$G$405,$AN867)&gt;EOMONTH($AO867,0)),AND(INDEX(職員マスタ!$H$6:$H$405,$AN867)&lt;&gt;"",INDEX(職員マスタ!$H$6:$H$405,$AN867)&lt;$AO867))),"対象月が時短期間外／","")&amp;IF(AND(INDEX(職員マスタ!$F$6:$F$405,$AN867)&lt;&gt;"",$AO867&lt;&gt;"",INDEX(職員マスタ!$F$6:$F$405,$AN867)&lt;$AO867),"対象月に子が2歳到達済／","")&amp;IF(AND($H867&lt;&gt;"",INDEX(職員マスタ!$B$6:$B$405,$AN867)&lt;&gt;"",SUBSTITUTE(SUBSTITUTE($H867," ","")," ","")&lt;&gt;SUBSTITUTE(SUBSTITUTE(INDEX(職員マスタ!$B$6:$B$405,$AN867)," ","")," ","")),"氏名がマスタと相違／","")&amp;IF(AND($Q867&lt;&gt;"",INDEX(職員マスタ!$E$6:$E$405,$AN867)&lt;&gt;"",$Q867&lt;&gt;INDEX(職員マスタ!$E$6:$E$405,$AN867)),"子の生年月日がマスタと相違／","")&amp;IF(AND($L867&lt;&gt;"",INDEX(職員マスタ!$G$6:$G$405,$AN867)&lt;&gt;"",$L867&lt;&gt;INDEX(職員マスタ!$G$6:$G$405,$AN867)),"時短開始日がマスタと相違／","")&amp;IF(AND($M867&lt;&gt;"",INDEX(職員マスタ!$H$6:$H$405,$AN867)&lt;&gt;"",$M867&lt;&gt;INDEX(職員マスタ!$H$6:$H$405,$AN867)),"時短終了日がマスタと相違／","")))&amp;IF(AND($B867&lt;&gt;"",$E867=""),"報酬額が未入力／","")&amp;IF(N($U867)&gt;0,"申請書に入力エラーが残っています／","")&amp;IF(AND($B867&lt;&gt;"",$AO867&lt;&gt;""),IF(COUNTIFS($B$6:$B$3005,$B867,$C$6:$C$3005,$C867,$D$6:$D$3005,$D867)&gt;1,"同じ月の請求が重複しています／",""),"")&amp;IF(AND(N($E867)&gt;0,$Z867&lt;&gt;"",$Z867&lt;&gt;"×",$AC867=0,$AB867=""),"計算額が下限以下のため不支給／",""))</f>
        <v/>
      </c>
      <c r="AL867" s="12" t="n"/>
      <c r="AM867" s="14">
        <f>IF($AD867="保留中",COUNTIF($AD$6:$AD867,"保留中"),"")</f>
        <v/>
      </c>
      <c r="AN867" s="14">
        <f>IF($AO867="","",IF(SUMPRODUCT(MAX((職員マスタ!$A$6:$A$405=$B867)*(((職員マスタ!$G$6:$G$405="")+(職員マスタ!$G$6:$G$405&lt;=EOMONTH($AO867,0)))&gt;0)*(((職員マスタ!$H$6:$H$405="")+(職員マスタ!$H$6:$H$405&gt;=$AO867))&gt;0)*(ROW(職員マスタ!$A$6:$A$405)-5)))&gt;0,SUMPRODUCT(MAX((職員マスタ!$A$6:$A$405=$B867)*(((職員マスタ!$G$6:$G$405="")+(職員マスタ!$G$6:$G$405&lt;=EOMONTH($AO867,0)))&gt;0)*(((職員マスタ!$H$6:$H$405="")+(職員マスタ!$H$6:$H$405&gt;=$AO867))&gt;0)*(ROW(職員マスタ!$A$6:$A$405)-5))),IFERROR(MATCH($B867,職員マスタ!$A$6:$A$405,0),"")))</f>
        <v/>
      </c>
      <c r="AO867" s="16">
        <f>IF(OR($B867="",$C867="",$D867=""),"",DATE($C867+2018,$D867,1))</f>
        <v/>
      </c>
    </row>
    <row r="868">
      <c r="A868" s="11" t="n"/>
      <c r="B868" s="12" t="n"/>
      <c r="C868" s="12" t="n"/>
      <c r="D868" s="12" t="n"/>
      <c r="E868" s="13" t="n"/>
      <c r="F868" s="12" t="n"/>
      <c r="G868" s="13" t="n"/>
      <c r="H868" s="12" t="n"/>
      <c r="I868" s="12" t="n"/>
      <c r="J868" s="12" t="n"/>
      <c r="K868" s="12" t="n"/>
      <c r="L868" s="11" t="n"/>
      <c r="M868" s="11" t="n"/>
      <c r="N868" s="11" t="n"/>
      <c r="O868" s="11" t="n"/>
      <c r="P868" s="12" t="n"/>
      <c r="Q868" s="11" t="n"/>
      <c r="R868" s="12" t="n"/>
      <c r="S868" s="11" t="n"/>
      <c r="T868" s="12" t="n"/>
      <c r="U868" s="12" t="n"/>
      <c r="V868" s="14">
        <f>IF($AN868="",IF($B868="","",$H868),IF(INDEX(職員マスタ!$B$6:$B$405,$AN868)="",$H868,INDEX(職員マスタ!$B$6:$B$405,$AN868)))</f>
        <v/>
      </c>
      <c r="W868" s="14">
        <f>IF($AN868="",IF($B868="","",$R868),IF(INDEX(職員マスタ!$C$6:$C$405,$AN868)="",$R868,INDEX(職員マスタ!$C$6:$C$405,$AN868)))</f>
        <v/>
      </c>
      <c r="X868" s="14">
        <f>IF($AO868="","","R"&amp;$C868&amp;"."&amp;$D868)</f>
        <v/>
      </c>
      <c r="Y868" s="15">
        <f>IF($AN868="","",IF(INDEX(職員マスタ!$K$6:$K$405,$AN868)="","",INDEX(職員マスタ!$K$6:$K$405,$AN868)))</f>
        <v/>
      </c>
      <c r="Z868" s="14">
        <f>IF(OR($E868="",$Y868=""),"",IF($E868&gt;=$Y868,"×",IF($E868&gt;=$Y868*設定!$C$5,"△","○")))</f>
        <v/>
      </c>
      <c r="AA868" s="15">
        <f>IF($Z868="","",IF($Z868="×",0,IF($Z868="○",ROUNDDOWN($E868*設定!$C$4,0),ROUNDDOWN($E868*ROUND((9*$Y868-9*$E868)/(10*$E868),4),0))))</f>
        <v/>
      </c>
      <c r="AB868" s="13" t="n"/>
      <c r="AC868" s="15">
        <f>IF($B868="","",IF($AB868&lt;&gt;"",$AB868,IF($AA868="","",IF($AA868&lt;=設定!$C$3,0,$AA868))))</f>
        <v/>
      </c>
      <c r="AD868" s="14">
        <f>IF($B868="","",IF(AND($AE868&lt;&gt;"",$AG868="",$AJ868=""),"保留中",IF($AJ868&lt;&gt;"",IF(N($AC868)&gt;0,"支給済","不支給"),IF($AC868="","要確認",IF($AC868=0,"不支給","未処理")))))</f>
        <v/>
      </c>
      <c r="AE868" s="12" t="n"/>
      <c r="AF868" s="11" t="n"/>
      <c r="AG868" s="11" t="n"/>
      <c r="AH868" s="11" t="n"/>
      <c r="AI868" s="14">
        <f>IF(AND($AD868="保留中",$AF868&lt;&gt;""),TODAY()-$AF868,"")</f>
        <v/>
      </c>
      <c r="AJ868" s="12" t="n"/>
      <c r="AK868" s="14">
        <f>IF($B868="","",IF($AO868="","対象年月が未入力／","")&amp;IF($B868="","",IF($AN868="","職員マスタに未登録の職員番号／",IF($Y868="","標準報酬月額が未登録／","")&amp;IF(AND($AO868&lt;&gt;"",OR(AND(INDEX(職員マスタ!$G$6:$G$405,$AN868)&lt;&gt;"",INDEX(職員マスタ!$G$6:$G$405,$AN868)&gt;EOMONTH($AO868,0)),AND(INDEX(職員マスタ!$H$6:$H$405,$AN868)&lt;&gt;"",INDEX(職員マスタ!$H$6:$H$405,$AN868)&lt;$AO868))),"対象月が時短期間外／","")&amp;IF(AND(INDEX(職員マスタ!$F$6:$F$405,$AN868)&lt;&gt;"",$AO868&lt;&gt;"",INDEX(職員マスタ!$F$6:$F$405,$AN868)&lt;$AO868),"対象月に子が2歳到達済／","")&amp;IF(AND($H868&lt;&gt;"",INDEX(職員マスタ!$B$6:$B$405,$AN868)&lt;&gt;"",SUBSTITUTE(SUBSTITUTE($H868," ","")," ","")&lt;&gt;SUBSTITUTE(SUBSTITUTE(INDEX(職員マスタ!$B$6:$B$405,$AN868)," ","")," ","")),"氏名がマスタと相違／","")&amp;IF(AND($Q868&lt;&gt;"",INDEX(職員マスタ!$E$6:$E$405,$AN868)&lt;&gt;"",$Q868&lt;&gt;INDEX(職員マスタ!$E$6:$E$405,$AN868)),"子の生年月日がマスタと相違／","")&amp;IF(AND($L868&lt;&gt;"",INDEX(職員マスタ!$G$6:$G$405,$AN868)&lt;&gt;"",$L868&lt;&gt;INDEX(職員マスタ!$G$6:$G$405,$AN868)),"時短開始日がマスタと相違／","")&amp;IF(AND($M868&lt;&gt;"",INDEX(職員マスタ!$H$6:$H$405,$AN868)&lt;&gt;"",$M868&lt;&gt;INDEX(職員マスタ!$H$6:$H$405,$AN868)),"時短終了日がマスタと相違／","")))&amp;IF(AND($B868&lt;&gt;"",$E868=""),"報酬額が未入力／","")&amp;IF(N($U868)&gt;0,"申請書に入力エラーが残っています／","")&amp;IF(AND($B868&lt;&gt;"",$AO868&lt;&gt;""),IF(COUNTIFS($B$6:$B$3005,$B868,$C$6:$C$3005,$C868,$D$6:$D$3005,$D868)&gt;1,"同じ月の請求が重複しています／",""),"")&amp;IF(AND(N($E868)&gt;0,$Z868&lt;&gt;"",$Z868&lt;&gt;"×",$AC868=0,$AB868=""),"計算額が下限以下のため不支給／",""))</f>
        <v/>
      </c>
      <c r="AL868" s="12" t="n"/>
      <c r="AM868" s="14">
        <f>IF($AD868="保留中",COUNTIF($AD$6:$AD868,"保留中"),"")</f>
        <v/>
      </c>
      <c r="AN868" s="14">
        <f>IF($AO868="","",IF(SUMPRODUCT(MAX((職員マスタ!$A$6:$A$405=$B868)*(((職員マスタ!$G$6:$G$405="")+(職員マスタ!$G$6:$G$405&lt;=EOMONTH($AO868,0)))&gt;0)*(((職員マスタ!$H$6:$H$405="")+(職員マスタ!$H$6:$H$405&gt;=$AO868))&gt;0)*(ROW(職員マスタ!$A$6:$A$405)-5)))&gt;0,SUMPRODUCT(MAX((職員マスタ!$A$6:$A$405=$B868)*(((職員マスタ!$G$6:$G$405="")+(職員マスタ!$G$6:$G$405&lt;=EOMONTH($AO868,0)))&gt;0)*(((職員マスタ!$H$6:$H$405="")+(職員マスタ!$H$6:$H$405&gt;=$AO868))&gt;0)*(ROW(職員マスタ!$A$6:$A$405)-5))),IFERROR(MATCH($B868,職員マスタ!$A$6:$A$405,0),"")))</f>
        <v/>
      </c>
      <c r="AO868" s="16">
        <f>IF(OR($B868="",$C868="",$D868=""),"",DATE($C868+2018,$D868,1))</f>
        <v/>
      </c>
    </row>
    <row r="869">
      <c r="A869" s="11" t="n"/>
      <c r="B869" s="12" t="n"/>
      <c r="C869" s="12" t="n"/>
      <c r="D869" s="12" t="n"/>
      <c r="E869" s="13" t="n"/>
      <c r="F869" s="12" t="n"/>
      <c r="G869" s="13" t="n"/>
      <c r="H869" s="12" t="n"/>
      <c r="I869" s="12" t="n"/>
      <c r="J869" s="12" t="n"/>
      <c r="K869" s="12" t="n"/>
      <c r="L869" s="11" t="n"/>
      <c r="M869" s="11" t="n"/>
      <c r="N869" s="11" t="n"/>
      <c r="O869" s="11" t="n"/>
      <c r="P869" s="12" t="n"/>
      <c r="Q869" s="11" t="n"/>
      <c r="R869" s="12" t="n"/>
      <c r="S869" s="11" t="n"/>
      <c r="T869" s="12" t="n"/>
      <c r="U869" s="12" t="n"/>
      <c r="V869" s="14">
        <f>IF($AN869="",IF($B869="","",$H869),IF(INDEX(職員マスタ!$B$6:$B$405,$AN869)="",$H869,INDEX(職員マスタ!$B$6:$B$405,$AN869)))</f>
        <v/>
      </c>
      <c r="W869" s="14">
        <f>IF($AN869="",IF($B869="","",$R869),IF(INDEX(職員マスタ!$C$6:$C$405,$AN869)="",$R869,INDEX(職員マスタ!$C$6:$C$405,$AN869)))</f>
        <v/>
      </c>
      <c r="X869" s="14">
        <f>IF($AO869="","","R"&amp;$C869&amp;"."&amp;$D869)</f>
        <v/>
      </c>
      <c r="Y869" s="15">
        <f>IF($AN869="","",IF(INDEX(職員マスタ!$K$6:$K$405,$AN869)="","",INDEX(職員マスタ!$K$6:$K$405,$AN869)))</f>
        <v/>
      </c>
      <c r="Z869" s="14">
        <f>IF(OR($E869="",$Y869=""),"",IF($E869&gt;=$Y869,"×",IF($E869&gt;=$Y869*設定!$C$5,"△","○")))</f>
        <v/>
      </c>
      <c r="AA869" s="15">
        <f>IF($Z869="","",IF($Z869="×",0,IF($Z869="○",ROUNDDOWN($E869*設定!$C$4,0),ROUNDDOWN($E869*ROUND((9*$Y869-9*$E869)/(10*$E869),4),0))))</f>
        <v/>
      </c>
      <c r="AB869" s="13" t="n"/>
      <c r="AC869" s="15">
        <f>IF($B869="","",IF($AB869&lt;&gt;"",$AB869,IF($AA869="","",IF($AA869&lt;=設定!$C$3,0,$AA869))))</f>
        <v/>
      </c>
      <c r="AD869" s="14">
        <f>IF($B869="","",IF(AND($AE869&lt;&gt;"",$AG869="",$AJ869=""),"保留中",IF($AJ869&lt;&gt;"",IF(N($AC869)&gt;0,"支給済","不支給"),IF($AC869="","要確認",IF($AC869=0,"不支給","未処理")))))</f>
        <v/>
      </c>
      <c r="AE869" s="12" t="n"/>
      <c r="AF869" s="11" t="n"/>
      <c r="AG869" s="11" t="n"/>
      <c r="AH869" s="11" t="n"/>
      <c r="AI869" s="14">
        <f>IF(AND($AD869="保留中",$AF869&lt;&gt;""),TODAY()-$AF869,"")</f>
        <v/>
      </c>
      <c r="AJ869" s="12" t="n"/>
      <c r="AK869" s="14">
        <f>IF($B869="","",IF($AO869="","対象年月が未入力／","")&amp;IF($B869="","",IF($AN869="","職員マスタに未登録の職員番号／",IF($Y869="","標準報酬月額が未登録／","")&amp;IF(AND($AO869&lt;&gt;"",OR(AND(INDEX(職員マスタ!$G$6:$G$405,$AN869)&lt;&gt;"",INDEX(職員マスタ!$G$6:$G$405,$AN869)&gt;EOMONTH($AO869,0)),AND(INDEX(職員マスタ!$H$6:$H$405,$AN869)&lt;&gt;"",INDEX(職員マスタ!$H$6:$H$405,$AN869)&lt;$AO869))),"対象月が時短期間外／","")&amp;IF(AND(INDEX(職員マスタ!$F$6:$F$405,$AN869)&lt;&gt;"",$AO869&lt;&gt;"",INDEX(職員マスタ!$F$6:$F$405,$AN869)&lt;$AO869),"対象月に子が2歳到達済／","")&amp;IF(AND($H869&lt;&gt;"",INDEX(職員マスタ!$B$6:$B$405,$AN869)&lt;&gt;"",SUBSTITUTE(SUBSTITUTE($H869," ","")," ","")&lt;&gt;SUBSTITUTE(SUBSTITUTE(INDEX(職員マスタ!$B$6:$B$405,$AN869)," ","")," ","")),"氏名がマスタと相違／","")&amp;IF(AND($Q869&lt;&gt;"",INDEX(職員マスタ!$E$6:$E$405,$AN869)&lt;&gt;"",$Q869&lt;&gt;INDEX(職員マスタ!$E$6:$E$405,$AN869)),"子の生年月日がマスタと相違／","")&amp;IF(AND($L869&lt;&gt;"",INDEX(職員マスタ!$G$6:$G$405,$AN869)&lt;&gt;"",$L869&lt;&gt;INDEX(職員マスタ!$G$6:$G$405,$AN869)),"時短開始日がマスタと相違／","")&amp;IF(AND($M869&lt;&gt;"",INDEX(職員マスタ!$H$6:$H$405,$AN869)&lt;&gt;"",$M869&lt;&gt;INDEX(職員マスタ!$H$6:$H$405,$AN869)),"時短終了日がマスタと相違／","")))&amp;IF(AND($B869&lt;&gt;"",$E869=""),"報酬額が未入力／","")&amp;IF(N($U869)&gt;0,"申請書に入力エラーが残っています／","")&amp;IF(AND($B869&lt;&gt;"",$AO869&lt;&gt;""),IF(COUNTIFS($B$6:$B$3005,$B869,$C$6:$C$3005,$C869,$D$6:$D$3005,$D869)&gt;1,"同じ月の請求が重複しています／",""),"")&amp;IF(AND(N($E869)&gt;0,$Z869&lt;&gt;"",$Z869&lt;&gt;"×",$AC869=0,$AB869=""),"計算額が下限以下のため不支給／",""))</f>
        <v/>
      </c>
      <c r="AL869" s="12" t="n"/>
      <c r="AM869" s="14">
        <f>IF($AD869="保留中",COUNTIF($AD$6:$AD869,"保留中"),"")</f>
        <v/>
      </c>
      <c r="AN869" s="14">
        <f>IF($AO869="","",IF(SUMPRODUCT(MAX((職員マスタ!$A$6:$A$405=$B869)*(((職員マスタ!$G$6:$G$405="")+(職員マスタ!$G$6:$G$405&lt;=EOMONTH($AO869,0)))&gt;0)*(((職員マスタ!$H$6:$H$405="")+(職員マスタ!$H$6:$H$405&gt;=$AO869))&gt;0)*(ROW(職員マスタ!$A$6:$A$405)-5)))&gt;0,SUMPRODUCT(MAX((職員マスタ!$A$6:$A$405=$B869)*(((職員マスタ!$G$6:$G$405="")+(職員マスタ!$G$6:$G$405&lt;=EOMONTH($AO869,0)))&gt;0)*(((職員マスタ!$H$6:$H$405="")+(職員マスタ!$H$6:$H$405&gt;=$AO869))&gt;0)*(ROW(職員マスタ!$A$6:$A$405)-5))),IFERROR(MATCH($B869,職員マスタ!$A$6:$A$405,0),"")))</f>
        <v/>
      </c>
      <c r="AO869" s="16">
        <f>IF(OR($B869="",$C869="",$D869=""),"",DATE($C869+2018,$D869,1))</f>
        <v/>
      </c>
    </row>
    <row r="870">
      <c r="A870" s="11" t="n"/>
      <c r="B870" s="12" t="n"/>
      <c r="C870" s="12" t="n"/>
      <c r="D870" s="12" t="n"/>
      <c r="E870" s="13" t="n"/>
      <c r="F870" s="12" t="n"/>
      <c r="G870" s="13" t="n"/>
      <c r="H870" s="12" t="n"/>
      <c r="I870" s="12" t="n"/>
      <c r="J870" s="12" t="n"/>
      <c r="K870" s="12" t="n"/>
      <c r="L870" s="11" t="n"/>
      <c r="M870" s="11" t="n"/>
      <c r="N870" s="11" t="n"/>
      <c r="O870" s="11" t="n"/>
      <c r="P870" s="12" t="n"/>
      <c r="Q870" s="11" t="n"/>
      <c r="R870" s="12" t="n"/>
      <c r="S870" s="11" t="n"/>
      <c r="T870" s="12" t="n"/>
      <c r="U870" s="12" t="n"/>
      <c r="V870" s="14">
        <f>IF($AN870="",IF($B870="","",$H870),IF(INDEX(職員マスタ!$B$6:$B$405,$AN870)="",$H870,INDEX(職員マスタ!$B$6:$B$405,$AN870)))</f>
        <v/>
      </c>
      <c r="W870" s="14">
        <f>IF($AN870="",IF($B870="","",$R870),IF(INDEX(職員マスタ!$C$6:$C$405,$AN870)="",$R870,INDEX(職員マスタ!$C$6:$C$405,$AN870)))</f>
        <v/>
      </c>
      <c r="X870" s="14">
        <f>IF($AO870="","","R"&amp;$C870&amp;"."&amp;$D870)</f>
        <v/>
      </c>
      <c r="Y870" s="15">
        <f>IF($AN870="","",IF(INDEX(職員マスタ!$K$6:$K$405,$AN870)="","",INDEX(職員マスタ!$K$6:$K$405,$AN870)))</f>
        <v/>
      </c>
      <c r="Z870" s="14">
        <f>IF(OR($E870="",$Y870=""),"",IF($E870&gt;=$Y870,"×",IF($E870&gt;=$Y870*設定!$C$5,"△","○")))</f>
        <v/>
      </c>
      <c r="AA870" s="15">
        <f>IF($Z870="","",IF($Z870="×",0,IF($Z870="○",ROUNDDOWN($E870*設定!$C$4,0),ROUNDDOWN($E870*ROUND((9*$Y870-9*$E870)/(10*$E870),4),0))))</f>
        <v/>
      </c>
      <c r="AB870" s="13" t="n"/>
      <c r="AC870" s="15">
        <f>IF($B870="","",IF($AB870&lt;&gt;"",$AB870,IF($AA870="","",IF($AA870&lt;=設定!$C$3,0,$AA870))))</f>
        <v/>
      </c>
      <c r="AD870" s="14">
        <f>IF($B870="","",IF(AND($AE870&lt;&gt;"",$AG870="",$AJ870=""),"保留中",IF($AJ870&lt;&gt;"",IF(N($AC870)&gt;0,"支給済","不支給"),IF($AC870="","要確認",IF($AC870=0,"不支給","未処理")))))</f>
        <v/>
      </c>
      <c r="AE870" s="12" t="n"/>
      <c r="AF870" s="11" t="n"/>
      <c r="AG870" s="11" t="n"/>
      <c r="AH870" s="11" t="n"/>
      <c r="AI870" s="14">
        <f>IF(AND($AD870="保留中",$AF870&lt;&gt;""),TODAY()-$AF870,"")</f>
        <v/>
      </c>
      <c r="AJ870" s="12" t="n"/>
      <c r="AK870" s="14">
        <f>IF($B870="","",IF($AO870="","対象年月が未入力／","")&amp;IF($B870="","",IF($AN870="","職員マスタに未登録の職員番号／",IF($Y870="","標準報酬月額が未登録／","")&amp;IF(AND($AO870&lt;&gt;"",OR(AND(INDEX(職員マスタ!$G$6:$G$405,$AN870)&lt;&gt;"",INDEX(職員マスタ!$G$6:$G$405,$AN870)&gt;EOMONTH($AO870,0)),AND(INDEX(職員マスタ!$H$6:$H$405,$AN870)&lt;&gt;"",INDEX(職員マスタ!$H$6:$H$405,$AN870)&lt;$AO870))),"対象月が時短期間外／","")&amp;IF(AND(INDEX(職員マスタ!$F$6:$F$405,$AN870)&lt;&gt;"",$AO870&lt;&gt;"",INDEX(職員マスタ!$F$6:$F$405,$AN870)&lt;$AO870),"対象月に子が2歳到達済／","")&amp;IF(AND($H870&lt;&gt;"",INDEX(職員マスタ!$B$6:$B$405,$AN870)&lt;&gt;"",SUBSTITUTE(SUBSTITUTE($H870," ","")," ","")&lt;&gt;SUBSTITUTE(SUBSTITUTE(INDEX(職員マスタ!$B$6:$B$405,$AN870)," ","")," ","")),"氏名がマスタと相違／","")&amp;IF(AND($Q870&lt;&gt;"",INDEX(職員マスタ!$E$6:$E$405,$AN870)&lt;&gt;"",$Q870&lt;&gt;INDEX(職員マスタ!$E$6:$E$405,$AN870)),"子の生年月日がマスタと相違／","")&amp;IF(AND($L870&lt;&gt;"",INDEX(職員マスタ!$G$6:$G$405,$AN870)&lt;&gt;"",$L870&lt;&gt;INDEX(職員マスタ!$G$6:$G$405,$AN870)),"時短開始日がマスタと相違／","")&amp;IF(AND($M870&lt;&gt;"",INDEX(職員マスタ!$H$6:$H$405,$AN870)&lt;&gt;"",$M870&lt;&gt;INDEX(職員マスタ!$H$6:$H$405,$AN870)),"時短終了日がマスタと相違／","")))&amp;IF(AND($B870&lt;&gt;"",$E870=""),"報酬額が未入力／","")&amp;IF(N($U870)&gt;0,"申請書に入力エラーが残っています／","")&amp;IF(AND($B870&lt;&gt;"",$AO870&lt;&gt;""),IF(COUNTIFS($B$6:$B$3005,$B870,$C$6:$C$3005,$C870,$D$6:$D$3005,$D870)&gt;1,"同じ月の請求が重複しています／",""),"")&amp;IF(AND(N($E870)&gt;0,$Z870&lt;&gt;"",$Z870&lt;&gt;"×",$AC870=0,$AB870=""),"計算額が下限以下のため不支給／",""))</f>
        <v/>
      </c>
      <c r="AL870" s="12" t="n"/>
      <c r="AM870" s="14">
        <f>IF($AD870="保留中",COUNTIF($AD$6:$AD870,"保留中"),"")</f>
        <v/>
      </c>
      <c r="AN870" s="14">
        <f>IF($AO870="","",IF(SUMPRODUCT(MAX((職員マスタ!$A$6:$A$405=$B870)*(((職員マスタ!$G$6:$G$405="")+(職員マスタ!$G$6:$G$405&lt;=EOMONTH($AO870,0)))&gt;0)*(((職員マスタ!$H$6:$H$405="")+(職員マスタ!$H$6:$H$405&gt;=$AO870))&gt;0)*(ROW(職員マスタ!$A$6:$A$405)-5)))&gt;0,SUMPRODUCT(MAX((職員マスタ!$A$6:$A$405=$B870)*(((職員マスタ!$G$6:$G$405="")+(職員マスタ!$G$6:$G$405&lt;=EOMONTH($AO870,0)))&gt;0)*(((職員マスタ!$H$6:$H$405="")+(職員マスタ!$H$6:$H$405&gt;=$AO870))&gt;0)*(ROW(職員マスタ!$A$6:$A$405)-5))),IFERROR(MATCH($B870,職員マスタ!$A$6:$A$405,0),"")))</f>
        <v/>
      </c>
      <c r="AO870" s="16">
        <f>IF(OR($B870="",$C870="",$D870=""),"",DATE($C870+2018,$D870,1))</f>
        <v/>
      </c>
    </row>
    <row r="871">
      <c r="A871" s="11" t="n"/>
      <c r="B871" s="12" t="n"/>
      <c r="C871" s="12" t="n"/>
      <c r="D871" s="12" t="n"/>
      <c r="E871" s="13" t="n"/>
      <c r="F871" s="12" t="n"/>
      <c r="G871" s="13" t="n"/>
      <c r="H871" s="12" t="n"/>
      <c r="I871" s="12" t="n"/>
      <c r="J871" s="12" t="n"/>
      <c r="K871" s="12" t="n"/>
      <c r="L871" s="11" t="n"/>
      <c r="M871" s="11" t="n"/>
      <c r="N871" s="11" t="n"/>
      <c r="O871" s="11" t="n"/>
      <c r="P871" s="12" t="n"/>
      <c r="Q871" s="11" t="n"/>
      <c r="R871" s="12" t="n"/>
      <c r="S871" s="11" t="n"/>
      <c r="T871" s="12" t="n"/>
      <c r="U871" s="12" t="n"/>
      <c r="V871" s="14">
        <f>IF($AN871="",IF($B871="","",$H871),IF(INDEX(職員マスタ!$B$6:$B$405,$AN871)="",$H871,INDEX(職員マスタ!$B$6:$B$405,$AN871)))</f>
        <v/>
      </c>
      <c r="W871" s="14">
        <f>IF($AN871="",IF($B871="","",$R871),IF(INDEX(職員マスタ!$C$6:$C$405,$AN871)="",$R871,INDEX(職員マスタ!$C$6:$C$405,$AN871)))</f>
        <v/>
      </c>
      <c r="X871" s="14">
        <f>IF($AO871="","","R"&amp;$C871&amp;"."&amp;$D871)</f>
        <v/>
      </c>
      <c r="Y871" s="15">
        <f>IF($AN871="","",IF(INDEX(職員マスタ!$K$6:$K$405,$AN871)="","",INDEX(職員マスタ!$K$6:$K$405,$AN871)))</f>
        <v/>
      </c>
      <c r="Z871" s="14">
        <f>IF(OR($E871="",$Y871=""),"",IF($E871&gt;=$Y871,"×",IF($E871&gt;=$Y871*設定!$C$5,"△","○")))</f>
        <v/>
      </c>
      <c r="AA871" s="15">
        <f>IF($Z871="","",IF($Z871="×",0,IF($Z871="○",ROUNDDOWN($E871*設定!$C$4,0),ROUNDDOWN($E871*ROUND((9*$Y871-9*$E871)/(10*$E871),4),0))))</f>
        <v/>
      </c>
      <c r="AB871" s="13" t="n"/>
      <c r="AC871" s="15">
        <f>IF($B871="","",IF($AB871&lt;&gt;"",$AB871,IF($AA871="","",IF($AA871&lt;=設定!$C$3,0,$AA871))))</f>
        <v/>
      </c>
      <c r="AD871" s="14">
        <f>IF($B871="","",IF(AND($AE871&lt;&gt;"",$AG871="",$AJ871=""),"保留中",IF($AJ871&lt;&gt;"",IF(N($AC871)&gt;0,"支給済","不支給"),IF($AC871="","要確認",IF($AC871=0,"不支給","未処理")))))</f>
        <v/>
      </c>
      <c r="AE871" s="12" t="n"/>
      <c r="AF871" s="11" t="n"/>
      <c r="AG871" s="11" t="n"/>
      <c r="AH871" s="11" t="n"/>
      <c r="AI871" s="14">
        <f>IF(AND($AD871="保留中",$AF871&lt;&gt;""),TODAY()-$AF871,"")</f>
        <v/>
      </c>
      <c r="AJ871" s="12" t="n"/>
      <c r="AK871" s="14">
        <f>IF($B871="","",IF($AO871="","対象年月が未入力／","")&amp;IF($B871="","",IF($AN871="","職員マスタに未登録の職員番号／",IF($Y871="","標準報酬月額が未登録／","")&amp;IF(AND($AO871&lt;&gt;"",OR(AND(INDEX(職員マスタ!$G$6:$G$405,$AN871)&lt;&gt;"",INDEX(職員マスタ!$G$6:$G$405,$AN871)&gt;EOMONTH($AO871,0)),AND(INDEX(職員マスタ!$H$6:$H$405,$AN871)&lt;&gt;"",INDEX(職員マスタ!$H$6:$H$405,$AN871)&lt;$AO871))),"対象月が時短期間外／","")&amp;IF(AND(INDEX(職員マスタ!$F$6:$F$405,$AN871)&lt;&gt;"",$AO871&lt;&gt;"",INDEX(職員マスタ!$F$6:$F$405,$AN871)&lt;$AO871),"対象月に子が2歳到達済／","")&amp;IF(AND($H871&lt;&gt;"",INDEX(職員マスタ!$B$6:$B$405,$AN871)&lt;&gt;"",SUBSTITUTE(SUBSTITUTE($H871," ","")," ","")&lt;&gt;SUBSTITUTE(SUBSTITUTE(INDEX(職員マスタ!$B$6:$B$405,$AN871)," ","")," ","")),"氏名がマスタと相違／","")&amp;IF(AND($Q871&lt;&gt;"",INDEX(職員マスタ!$E$6:$E$405,$AN871)&lt;&gt;"",$Q871&lt;&gt;INDEX(職員マスタ!$E$6:$E$405,$AN871)),"子の生年月日がマスタと相違／","")&amp;IF(AND($L871&lt;&gt;"",INDEX(職員マスタ!$G$6:$G$405,$AN871)&lt;&gt;"",$L871&lt;&gt;INDEX(職員マスタ!$G$6:$G$405,$AN871)),"時短開始日がマスタと相違／","")&amp;IF(AND($M871&lt;&gt;"",INDEX(職員マスタ!$H$6:$H$405,$AN871)&lt;&gt;"",$M871&lt;&gt;INDEX(職員マスタ!$H$6:$H$405,$AN871)),"時短終了日がマスタと相違／","")))&amp;IF(AND($B871&lt;&gt;"",$E871=""),"報酬額が未入力／","")&amp;IF(N($U871)&gt;0,"申請書に入力エラーが残っています／","")&amp;IF(AND($B871&lt;&gt;"",$AO871&lt;&gt;""),IF(COUNTIFS($B$6:$B$3005,$B871,$C$6:$C$3005,$C871,$D$6:$D$3005,$D871)&gt;1,"同じ月の請求が重複しています／",""),"")&amp;IF(AND(N($E871)&gt;0,$Z871&lt;&gt;"",$Z871&lt;&gt;"×",$AC871=0,$AB871=""),"計算額が下限以下のため不支給／",""))</f>
        <v/>
      </c>
      <c r="AL871" s="12" t="n"/>
      <c r="AM871" s="14">
        <f>IF($AD871="保留中",COUNTIF($AD$6:$AD871,"保留中"),"")</f>
        <v/>
      </c>
      <c r="AN871" s="14">
        <f>IF($AO871="","",IF(SUMPRODUCT(MAX((職員マスタ!$A$6:$A$405=$B871)*(((職員マスタ!$G$6:$G$405="")+(職員マスタ!$G$6:$G$405&lt;=EOMONTH($AO871,0)))&gt;0)*(((職員マスタ!$H$6:$H$405="")+(職員マスタ!$H$6:$H$405&gt;=$AO871))&gt;0)*(ROW(職員マスタ!$A$6:$A$405)-5)))&gt;0,SUMPRODUCT(MAX((職員マスタ!$A$6:$A$405=$B871)*(((職員マスタ!$G$6:$G$405="")+(職員マスタ!$G$6:$G$405&lt;=EOMONTH($AO871,0)))&gt;0)*(((職員マスタ!$H$6:$H$405="")+(職員マスタ!$H$6:$H$405&gt;=$AO871))&gt;0)*(ROW(職員マスタ!$A$6:$A$405)-5))),IFERROR(MATCH($B871,職員マスタ!$A$6:$A$405,0),"")))</f>
        <v/>
      </c>
      <c r="AO871" s="16">
        <f>IF(OR($B871="",$C871="",$D871=""),"",DATE($C871+2018,$D871,1))</f>
        <v/>
      </c>
    </row>
    <row r="872">
      <c r="A872" s="11" t="n"/>
      <c r="B872" s="12" t="n"/>
      <c r="C872" s="12" t="n"/>
      <c r="D872" s="12" t="n"/>
      <c r="E872" s="13" t="n"/>
      <c r="F872" s="12" t="n"/>
      <c r="G872" s="13" t="n"/>
      <c r="H872" s="12" t="n"/>
      <c r="I872" s="12" t="n"/>
      <c r="J872" s="12" t="n"/>
      <c r="K872" s="12" t="n"/>
      <c r="L872" s="11" t="n"/>
      <c r="M872" s="11" t="n"/>
      <c r="N872" s="11" t="n"/>
      <c r="O872" s="11" t="n"/>
      <c r="P872" s="12" t="n"/>
      <c r="Q872" s="11" t="n"/>
      <c r="R872" s="12" t="n"/>
      <c r="S872" s="11" t="n"/>
      <c r="T872" s="12" t="n"/>
      <c r="U872" s="12" t="n"/>
      <c r="V872" s="14">
        <f>IF($AN872="",IF($B872="","",$H872),IF(INDEX(職員マスタ!$B$6:$B$405,$AN872)="",$H872,INDEX(職員マスタ!$B$6:$B$405,$AN872)))</f>
        <v/>
      </c>
      <c r="W872" s="14">
        <f>IF($AN872="",IF($B872="","",$R872),IF(INDEX(職員マスタ!$C$6:$C$405,$AN872)="",$R872,INDEX(職員マスタ!$C$6:$C$405,$AN872)))</f>
        <v/>
      </c>
      <c r="X872" s="14">
        <f>IF($AO872="","","R"&amp;$C872&amp;"."&amp;$D872)</f>
        <v/>
      </c>
      <c r="Y872" s="15">
        <f>IF($AN872="","",IF(INDEX(職員マスタ!$K$6:$K$405,$AN872)="","",INDEX(職員マスタ!$K$6:$K$405,$AN872)))</f>
        <v/>
      </c>
      <c r="Z872" s="14">
        <f>IF(OR($E872="",$Y872=""),"",IF($E872&gt;=$Y872,"×",IF($E872&gt;=$Y872*設定!$C$5,"△","○")))</f>
        <v/>
      </c>
      <c r="AA872" s="15">
        <f>IF($Z872="","",IF($Z872="×",0,IF($Z872="○",ROUNDDOWN($E872*設定!$C$4,0),ROUNDDOWN($E872*ROUND((9*$Y872-9*$E872)/(10*$E872),4),0))))</f>
        <v/>
      </c>
      <c r="AB872" s="13" t="n"/>
      <c r="AC872" s="15">
        <f>IF($B872="","",IF($AB872&lt;&gt;"",$AB872,IF($AA872="","",IF($AA872&lt;=設定!$C$3,0,$AA872))))</f>
        <v/>
      </c>
      <c r="AD872" s="14">
        <f>IF($B872="","",IF(AND($AE872&lt;&gt;"",$AG872="",$AJ872=""),"保留中",IF($AJ872&lt;&gt;"",IF(N($AC872)&gt;0,"支給済","不支給"),IF($AC872="","要確認",IF($AC872=0,"不支給","未処理")))))</f>
        <v/>
      </c>
      <c r="AE872" s="12" t="n"/>
      <c r="AF872" s="11" t="n"/>
      <c r="AG872" s="11" t="n"/>
      <c r="AH872" s="11" t="n"/>
      <c r="AI872" s="14">
        <f>IF(AND($AD872="保留中",$AF872&lt;&gt;""),TODAY()-$AF872,"")</f>
        <v/>
      </c>
      <c r="AJ872" s="12" t="n"/>
      <c r="AK872" s="14">
        <f>IF($B872="","",IF($AO872="","対象年月が未入力／","")&amp;IF($B872="","",IF($AN872="","職員マスタに未登録の職員番号／",IF($Y872="","標準報酬月額が未登録／","")&amp;IF(AND($AO872&lt;&gt;"",OR(AND(INDEX(職員マスタ!$G$6:$G$405,$AN872)&lt;&gt;"",INDEX(職員マスタ!$G$6:$G$405,$AN872)&gt;EOMONTH($AO872,0)),AND(INDEX(職員マスタ!$H$6:$H$405,$AN872)&lt;&gt;"",INDEX(職員マスタ!$H$6:$H$405,$AN872)&lt;$AO872))),"対象月が時短期間外／","")&amp;IF(AND(INDEX(職員マスタ!$F$6:$F$405,$AN872)&lt;&gt;"",$AO872&lt;&gt;"",INDEX(職員マスタ!$F$6:$F$405,$AN872)&lt;$AO872),"対象月に子が2歳到達済／","")&amp;IF(AND($H872&lt;&gt;"",INDEX(職員マスタ!$B$6:$B$405,$AN872)&lt;&gt;"",SUBSTITUTE(SUBSTITUTE($H872," ","")," ","")&lt;&gt;SUBSTITUTE(SUBSTITUTE(INDEX(職員マスタ!$B$6:$B$405,$AN872)," ","")," ","")),"氏名がマスタと相違／","")&amp;IF(AND($Q872&lt;&gt;"",INDEX(職員マスタ!$E$6:$E$405,$AN872)&lt;&gt;"",$Q872&lt;&gt;INDEX(職員マスタ!$E$6:$E$405,$AN872)),"子の生年月日がマスタと相違／","")&amp;IF(AND($L872&lt;&gt;"",INDEX(職員マスタ!$G$6:$G$405,$AN872)&lt;&gt;"",$L872&lt;&gt;INDEX(職員マスタ!$G$6:$G$405,$AN872)),"時短開始日がマスタと相違／","")&amp;IF(AND($M872&lt;&gt;"",INDEX(職員マスタ!$H$6:$H$405,$AN872)&lt;&gt;"",$M872&lt;&gt;INDEX(職員マスタ!$H$6:$H$405,$AN872)),"時短終了日がマスタと相違／","")))&amp;IF(AND($B872&lt;&gt;"",$E872=""),"報酬額が未入力／","")&amp;IF(N($U872)&gt;0,"申請書に入力エラーが残っています／","")&amp;IF(AND($B872&lt;&gt;"",$AO872&lt;&gt;""),IF(COUNTIFS($B$6:$B$3005,$B872,$C$6:$C$3005,$C872,$D$6:$D$3005,$D872)&gt;1,"同じ月の請求が重複しています／",""),"")&amp;IF(AND(N($E872)&gt;0,$Z872&lt;&gt;"",$Z872&lt;&gt;"×",$AC872=0,$AB872=""),"計算額が下限以下のため不支給／",""))</f>
        <v/>
      </c>
      <c r="AL872" s="12" t="n"/>
      <c r="AM872" s="14">
        <f>IF($AD872="保留中",COUNTIF($AD$6:$AD872,"保留中"),"")</f>
        <v/>
      </c>
      <c r="AN872" s="14">
        <f>IF($AO872="","",IF(SUMPRODUCT(MAX((職員マスタ!$A$6:$A$405=$B872)*(((職員マスタ!$G$6:$G$405="")+(職員マスタ!$G$6:$G$405&lt;=EOMONTH($AO872,0)))&gt;0)*(((職員マスタ!$H$6:$H$405="")+(職員マスタ!$H$6:$H$405&gt;=$AO872))&gt;0)*(ROW(職員マスタ!$A$6:$A$405)-5)))&gt;0,SUMPRODUCT(MAX((職員マスタ!$A$6:$A$405=$B872)*(((職員マスタ!$G$6:$G$405="")+(職員マスタ!$G$6:$G$405&lt;=EOMONTH($AO872,0)))&gt;0)*(((職員マスタ!$H$6:$H$405="")+(職員マスタ!$H$6:$H$405&gt;=$AO872))&gt;0)*(ROW(職員マスタ!$A$6:$A$405)-5))),IFERROR(MATCH($B872,職員マスタ!$A$6:$A$405,0),"")))</f>
        <v/>
      </c>
      <c r="AO872" s="16">
        <f>IF(OR($B872="",$C872="",$D872=""),"",DATE($C872+2018,$D872,1))</f>
        <v/>
      </c>
    </row>
    <row r="873">
      <c r="A873" s="11" t="n"/>
      <c r="B873" s="12" t="n"/>
      <c r="C873" s="12" t="n"/>
      <c r="D873" s="12" t="n"/>
      <c r="E873" s="13" t="n"/>
      <c r="F873" s="12" t="n"/>
      <c r="G873" s="13" t="n"/>
      <c r="H873" s="12" t="n"/>
      <c r="I873" s="12" t="n"/>
      <c r="J873" s="12" t="n"/>
      <c r="K873" s="12" t="n"/>
      <c r="L873" s="11" t="n"/>
      <c r="M873" s="11" t="n"/>
      <c r="N873" s="11" t="n"/>
      <c r="O873" s="11" t="n"/>
      <c r="P873" s="12" t="n"/>
      <c r="Q873" s="11" t="n"/>
      <c r="R873" s="12" t="n"/>
      <c r="S873" s="11" t="n"/>
      <c r="T873" s="12" t="n"/>
      <c r="U873" s="12" t="n"/>
      <c r="V873" s="14">
        <f>IF($AN873="",IF($B873="","",$H873),IF(INDEX(職員マスタ!$B$6:$B$405,$AN873)="",$H873,INDEX(職員マスタ!$B$6:$B$405,$AN873)))</f>
        <v/>
      </c>
      <c r="W873" s="14">
        <f>IF($AN873="",IF($B873="","",$R873),IF(INDEX(職員マスタ!$C$6:$C$405,$AN873)="",$R873,INDEX(職員マスタ!$C$6:$C$405,$AN873)))</f>
        <v/>
      </c>
      <c r="X873" s="14">
        <f>IF($AO873="","","R"&amp;$C873&amp;"."&amp;$D873)</f>
        <v/>
      </c>
      <c r="Y873" s="15">
        <f>IF($AN873="","",IF(INDEX(職員マスタ!$K$6:$K$405,$AN873)="","",INDEX(職員マスタ!$K$6:$K$405,$AN873)))</f>
        <v/>
      </c>
      <c r="Z873" s="14">
        <f>IF(OR($E873="",$Y873=""),"",IF($E873&gt;=$Y873,"×",IF($E873&gt;=$Y873*設定!$C$5,"△","○")))</f>
        <v/>
      </c>
      <c r="AA873" s="15">
        <f>IF($Z873="","",IF($Z873="×",0,IF($Z873="○",ROUNDDOWN($E873*設定!$C$4,0),ROUNDDOWN($E873*ROUND((9*$Y873-9*$E873)/(10*$E873),4),0))))</f>
        <v/>
      </c>
      <c r="AB873" s="13" t="n"/>
      <c r="AC873" s="15">
        <f>IF($B873="","",IF($AB873&lt;&gt;"",$AB873,IF($AA873="","",IF($AA873&lt;=設定!$C$3,0,$AA873))))</f>
        <v/>
      </c>
      <c r="AD873" s="14">
        <f>IF($B873="","",IF(AND($AE873&lt;&gt;"",$AG873="",$AJ873=""),"保留中",IF($AJ873&lt;&gt;"",IF(N($AC873)&gt;0,"支給済","不支給"),IF($AC873="","要確認",IF($AC873=0,"不支給","未処理")))))</f>
        <v/>
      </c>
      <c r="AE873" s="12" t="n"/>
      <c r="AF873" s="11" t="n"/>
      <c r="AG873" s="11" t="n"/>
      <c r="AH873" s="11" t="n"/>
      <c r="AI873" s="14">
        <f>IF(AND($AD873="保留中",$AF873&lt;&gt;""),TODAY()-$AF873,"")</f>
        <v/>
      </c>
      <c r="AJ873" s="12" t="n"/>
      <c r="AK873" s="14">
        <f>IF($B873="","",IF($AO873="","対象年月が未入力／","")&amp;IF($B873="","",IF($AN873="","職員マスタに未登録の職員番号／",IF($Y873="","標準報酬月額が未登録／","")&amp;IF(AND($AO873&lt;&gt;"",OR(AND(INDEX(職員マスタ!$G$6:$G$405,$AN873)&lt;&gt;"",INDEX(職員マスタ!$G$6:$G$405,$AN873)&gt;EOMONTH($AO873,0)),AND(INDEX(職員マスタ!$H$6:$H$405,$AN873)&lt;&gt;"",INDEX(職員マスタ!$H$6:$H$405,$AN873)&lt;$AO873))),"対象月が時短期間外／","")&amp;IF(AND(INDEX(職員マスタ!$F$6:$F$405,$AN873)&lt;&gt;"",$AO873&lt;&gt;"",INDEX(職員マスタ!$F$6:$F$405,$AN873)&lt;$AO873),"対象月に子が2歳到達済／","")&amp;IF(AND($H873&lt;&gt;"",INDEX(職員マスタ!$B$6:$B$405,$AN873)&lt;&gt;"",SUBSTITUTE(SUBSTITUTE($H873," ","")," ","")&lt;&gt;SUBSTITUTE(SUBSTITUTE(INDEX(職員マスタ!$B$6:$B$405,$AN873)," ","")," ","")),"氏名がマスタと相違／","")&amp;IF(AND($Q873&lt;&gt;"",INDEX(職員マスタ!$E$6:$E$405,$AN873)&lt;&gt;"",$Q873&lt;&gt;INDEX(職員マスタ!$E$6:$E$405,$AN873)),"子の生年月日がマスタと相違／","")&amp;IF(AND($L873&lt;&gt;"",INDEX(職員マスタ!$G$6:$G$405,$AN873)&lt;&gt;"",$L873&lt;&gt;INDEX(職員マスタ!$G$6:$G$405,$AN873)),"時短開始日がマスタと相違／","")&amp;IF(AND($M873&lt;&gt;"",INDEX(職員マスタ!$H$6:$H$405,$AN873)&lt;&gt;"",$M873&lt;&gt;INDEX(職員マスタ!$H$6:$H$405,$AN873)),"時短終了日がマスタと相違／","")))&amp;IF(AND($B873&lt;&gt;"",$E873=""),"報酬額が未入力／","")&amp;IF(N($U873)&gt;0,"申請書に入力エラーが残っています／","")&amp;IF(AND($B873&lt;&gt;"",$AO873&lt;&gt;""),IF(COUNTIFS($B$6:$B$3005,$B873,$C$6:$C$3005,$C873,$D$6:$D$3005,$D873)&gt;1,"同じ月の請求が重複しています／",""),"")&amp;IF(AND(N($E873)&gt;0,$Z873&lt;&gt;"",$Z873&lt;&gt;"×",$AC873=0,$AB873=""),"計算額が下限以下のため不支給／",""))</f>
        <v/>
      </c>
      <c r="AL873" s="12" t="n"/>
      <c r="AM873" s="14">
        <f>IF($AD873="保留中",COUNTIF($AD$6:$AD873,"保留中"),"")</f>
        <v/>
      </c>
      <c r="AN873" s="14">
        <f>IF($AO873="","",IF(SUMPRODUCT(MAX((職員マスタ!$A$6:$A$405=$B873)*(((職員マスタ!$G$6:$G$405="")+(職員マスタ!$G$6:$G$405&lt;=EOMONTH($AO873,0)))&gt;0)*(((職員マスタ!$H$6:$H$405="")+(職員マスタ!$H$6:$H$405&gt;=$AO873))&gt;0)*(ROW(職員マスタ!$A$6:$A$405)-5)))&gt;0,SUMPRODUCT(MAX((職員マスタ!$A$6:$A$405=$B873)*(((職員マスタ!$G$6:$G$405="")+(職員マスタ!$G$6:$G$405&lt;=EOMONTH($AO873,0)))&gt;0)*(((職員マスタ!$H$6:$H$405="")+(職員マスタ!$H$6:$H$405&gt;=$AO873))&gt;0)*(ROW(職員マスタ!$A$6:$A$405)-5))),IFERROR(MATCH($B873,職員マスタ!$A$6:$A$405,0),"")))</f>
        <v/>
      </c>
      <c r="AO873" s="16">
        <f>IF(OR($B873="",$C873="",$D873=""),"",DATE($C873+2018,$D873,1))</f>
        <v/>
      </c>
    </row>
    <row r="874">
      <c r="A874" s="11" t="n"/>
      <c r="B874" s="12" t="n"/>
      <c r="C874" s="12" t="n"/>
      <c r="D874" s="12" t="n"/>
      <c r="E874" s="13" t="n"/>
      <c r="F874" s="12" t="n"/>
      <c r="G874" s="13" t="n"/>
      <c r="H874" s="12" t="n"/>
      <c r="I874" s="12" t="n"/>
      <c r="J874" s="12" t="n"/>
      <c r="K874" s="12" t="n"/>
      <c r="L874" s="11" t="n"/>
      <c r="M874" s="11" t="n"/>
      <c r="N874" s="11" t="n"/>
      <c r="O874" s="11" t="n"/>
      <c r="P874" s="12" t="n"/>
      <c r="Q874" s="11" t="n"/>
      <c r="R874" s="12" t="n"/>
      <c r="S874" s="11" t="n"/>
      <c r="T874" s="12" t="n"/>
      <c r="U874" s="12" t="n"/>
      <c r="V874" s="14">
        <f>IF($AN874="",IF($B874="","",$H874),IF(INDEX(職員マスタ!$B$6:$B$405,$AN874)="",$H874,INDEX(職員マスタ!$B$6:$B$405,$AN874)))</f>
        <v/>
      </c>
      <c r="W874" s="14">
        <f>IF($AN874="",IF($B874="","",$R874),IF(INDEX(職員マスタ!$C$6:$C$405,$AN874)="",$R874,INDEX(職員マスタ!$C$6:$C$405,$AN874)))</f>
        <v/>
      </c>
      <c r="X874" s="14">
        <f>IF($AO874="","","R"&amp;$C874&amp;"."&amp;$D874)</f>
        <v/>
      </c>
      <c r="Y874" s="15">
        <f>IF($AN874="","",IF(INDEX(職員マスタ!$K$6:$K$405,$AN874)="","",INDEX(職員マスタ!$K$6:$K$405,$AN874)))</f>
        <v/>
      </c>
      <c r="Z874" s="14">
        <f>IF(OR($E874="",$Y874=""),"",IF($E874&gt;=$Y874,"×",IF($E874&gt;=$Y874*設定!$C$5,"△","○")))</f>
        <v/>
      </c>
      <c r="AA874" s="15">
        <f>IF($Z874="","",IF($Z874="×",0,IF($Z874="○",ROUNDDOWN($E874*設定!$C$4,0),ROUNDDOWN($E874*ROUND((9*$Y874-9*$E874)/(10*$E874),4),0))))</f>
        <v/>
      </c>
      <c r="AB874" s="13" t="n"/>
      <c r="AC874" s="15">
        <f>IF($B874="","",IF($AB874&lt;&gt;"",$AB874,IF($AA874="","",IF($AA874&lt;=設定!$C$3,0,$AA874))))</f>
        <v/>
      </c>
      <c r="AD874" s="14">
        <f>IF($B874="","",IF(AND($AE874&lt;&gt;"",$AG874="",$AJ874=""),"保留中",IF($AJ874&lt;&gt;"",IF(N($AC874)&gt;0,"支給済","不支給"),IF($AC874="","要確認",IF($AC874=0,"不支給","未処理")))))</f>
        <v/>
      </c>
      <c r="AE874" s="12" t="n"/>
      <c r="AF874" s="11" t="n"/>
      <c r="AG874" s="11" t="n"/>
      <c r="AH874" s="11" t="n"/>
      <c r="AI874" s="14">
        <f>IF(AND($AD874="保留中",$AF874&lt;&gt;""),TODAY()-$AF874,"")</f>
        <v/>
      </c>
      <c r="AJ874" s="12" t="n"/>
      <c r="AK874" s="14">
        <f>IF($B874="","",IF($AO874="","対象年月が未入力／","")&amp;IF($B874="","",IF($AN874="","職員マスタに未登録の職員番号／",IF($Y874="","標準報酬月額が未登録／","")&amp;IF(AND($AO874&lt;&gt;"",OR(AND(INDEX(職員マスタ!$G$6:$G$405,$AN874)&lt;&gt;"",INDEX(職員マスタ!$G$6:$G$405,$AN874)&gt;EOMONTH($AO874,0)),AND(INDEX(職員マスタ!$H$6:$H$405,$AN874)&lt;&gt;"",INDEX(職員マスタ!$H$6:$H$405,$AN874)&lt;$AO874))),"対象月が時短期間外／","")&amp;IF(AND(INDEX(職員マスタ!$F$6:$F$405,$AN874)&lt;&gt;"",$AO874&lt;&gt;"",INDEX(職員マスタ!$F$6:$F$405,$AN874)&lt;$AO874),"対象月に子が2歳到達済／","")&amp;IF(AND($H874&lt;&gt;"",INDEX(職員マスタ!$B$6:$B$405,$AN874)&lt;&gt;"",SUBSTITUTE(SUBSTITUTE($H874," ","")," ","")&lt;&gt;SUBSTITUTE(SUBSTITUTE(INDEX(職員マスタ!$B$6:$B$405,$AN874)," ","")," ","")),"氏名がマスタと相違／","")&amp;IF(AND($Q874&lt;&gt;"",INDEX(職員マスタ!$E$6:$E$405,$AN874)&lt;&gt;"",$Q874&lt;&gt;INDEX(職員マスタ!$E$6:$E$405,$AN874)),"子の生年月日がマスタと相違／","")&amp;IF(AND($L874&lt;&gt;"",INDEX(職員マスタ!$G$6:$G$405,$AN874)&lt;&gt;"",$L874&lt;&gt;INDEX(職員マスタ!$G$6:$G$405,$AN874)),"時短開始日がマスタと相違／","")&amp;IF(AND($M874&lt;&gt;"",INDEX(職員マスタ!$H$6:$H$405,$AN874)&lt;&gt;"",$M874&lt;&gt;INDEX(職員マスタ!$H$6:$H$405,$AN874)),"時短終了日がマスタと相違／","")))&amp;IF(AND($B874&lt;&gt;"",$E874=""),"報酬額が未入力／","")&amp;IF(N($U874)&gt;0,"申請書に入力エラーが残っています／","")&amp;IF(AND($B874&lt;&gt;"",$AO874&lt;&gt;""),IF(COUNTIFS($B$6:$B$3005,$B874,$C$6:$C$3005,$C874,$D$6:$D$3005,$D874)&gt;1,"同じ月の請求が重複しています／",""),"")&amp;IF(AND(N($E874)&gt;0,$Z874&lt;&gt;"",$Z874&lt;&gt;"×",$AC874=0,$AB874=""),"計算額が下限以下のため不支給／",""))</f>
        <v/>
      </c>
      <c r="AL874" s="12" t="n"/>
      <c r="AM874" s="14">
        <f>IF($AD874="保留中",COUNTIF($AD$6:$AD874,"保留中"),"")</f>
        <v/>
      </c>
      <c r="AN874" s="14">
        <f>IF($AO874="","",IF(SUMPRODUCT(MAX((職員マスタ!$A$6:$A$405=$B874)*(((職員マスタ!$G$6:$G$405="")+(職員マスタ!$G$6:$G$405&lt;=EOMONTH($AO874,0)))&gt;0)*(((職員マスタ!$H$6:$H$405="")+(職員マスタ!$H$6:$H$405&gt;=$AO874))&gt;0)*(ROW(職員マスタ!$A$6:$A$405)-5)))&gt;0,SUMPRODUCT(MAX((職員マスタ!$A$6:$A$405=$B874)*(((職員マスタ!$G$6:$G$405="")+(職員マスタ!$G$6:$G$405&lt;=EOMONTH($AO874,0)))&gt;0)*(((職員マスタ!$H$6:$H$405="")+(職員マスタ!$H$6:$H$405&gt;=$AO874))&gt;0)*(ROW(職員マスタ!$A$6:$A$405)-5))),IFERROR(MATCH($B874,職員マスタ!$A$6:$A$405,0),"")))</f>
        <v/>
      </c>
      <c r="AO874" s="16">
        <f>IF(OR($B874="",$C874="",$D874=""),"",DATE($C874+2018,$D874,1))</f>
        <v/>
      </c>
    </row>
    <row r="875">
      <c r="A875" s="11" t="n"/>
      <c r="B875" s="12" t="n"/>
      <c r="C875" s="12" t="n"/>
      <c r="D875" s="12" t="n"/>
      <c r="E875" s="13" t="n"/>
      <c r="F875" s="12" t="n"/>
      <c r="G875" s="13" t="n"/>
      <c r="H875" s="12" t="n"/>
      <c r="I875" s="12" t="n"/>
      <c r="J875" s="12" t="n"/>
      <c r="K875" s="12" t="n"/>
      <c r="L875" s="11" t="n"/>
      <c r="M875" s="11" t="n"/>
      <c r="N875" s="11" t="n"/>
      <c r="O875" s="11" t="n"/>
      <c r="P875" s="12" t="n"/>
      <c r="Q875" s="11" t="n"/>
      <c r="R875" s="12" t="n"/>
      <c r="S875" s="11" t="n"/>
      <c r="T875" s="12" t="n"/>
      <c r="U875" s="12" t="n"/>
      <c r="V875" s="14">
        <f>IF($AN875="",IF($B875="","",$H875),IF(INDEX(職員マスタ!$B$6:$B$405,$AN875)="",$H875,INDEX(職員マスタ!$B$6:$B$405,$AN875)))</f>
        <v/>
      </c>
      <c r="W875" s="14">
        <f>IF($AN875="",IF($B875="","",$R875),IF(INDEX(職員マスタ!$C$6:$C$405,$AN875)="",$R875,INDEX(職員マスタ!$C$6:$C$405,$AN875)))</f>
        <v/>
      </c>
      <c r="X875" s="14">
        <f>IF($AO875="","","R"&amp;$C875&amp;"."&amp;$D875)</f>
        <v/>
      </c>
      <c r="Y875" s="15">
        <f>IF($AN875="","",IF(INDEX(職員マスタ!$K$6:$K$405,$AN875)="","",INDEX(職員マスタ!$K$6:$K$405,$AN875)))</f>
        <v/>
      </c>
      <c r="Z875" s="14">
        <f>IF(OR($E875="",$Y875=""),"",IF($E875&gt;=$Y875,"×",IF($E875&gt;=$Y875*設定!$C$5,"△","○")))</f>
        <v/>
      </c>
      <c r="AA875" s="15">
        <f>IF($Z875="","",IF($Z875="×",0,IF($Z875="○",ROUNDDOWN($E875*設定!$C$4,0),ROUNDDOWN($E875*ROUND((9*$Y875-9*$E875)/(10*$E875),4),0))))</f>
        <v/>
      </c>
      <c r="AB875" s="13" t="n"/>
      <c r="AC875" s="15">
        <f>IF($B875="","",IF($AB875&lt;&gt;"",$AB875,IF($AA875="","",IF($AA875&lt;=設定!$C$3,0,$AA875))))</f>
        <v/>
      </c>
      <c r="AD875" s="14">
        <f>IF($B875="","",IF(AND($AE875&lt;&gt;"",$AG875="",$AJ875=""),"保留中",IF($AJ875&lt;&gt;"",IF(N($AC875)&gt;0,"支給済","不支給"),IF($AC875="","要確認",IF($AC875=0,"不支給","未処理")))))</f>
        <v/>
      </c>
      <c r="AE875" s="12" t="n"/>
      <c r="AF875" s="11" t="n"/>
      <c r="AG875" s="11" t="n"/>
      <c r="AH875" s="11" t="n"/>
      <c r="AI875" s="14">
        <f>IF(AND($AD875="保留中",$AF875&lt;&gt;""),TODAY()-$AF875,"")</f>
        <v/>
      </c>
      <c r="AJ875" s="12" t="n"/>
      <c r="AK875" s="14">
        <f>IF($B875="","",IF($AO875="","対象年月が未入力／","")&amp;IF($B875="","",IF($AN875="","職員マスタに未登録の職員番号／",IF($Y875="","標準報酬月額が未登録／","")&amp;IF(AND($AO875&lt;&gt;"",OR(AND(INDEX(職員マスタ!$G$6:$G$405,$AN875)&lt;&gt;"",INDEX(職員マスタ!$G$6:$G$405,$AN875)&gt;EOMONTH($AO875,0)),AND(INDEX(職員マスタ!$H$6:$H$405,$AN875)&lt;&gt;"",INDEX(職員マスタ!$H$6:$H$405,$AN875)&lt;$AO875))),"対象月が時短期間外／","")&amp;IF(AND(INDEX(職員マスタ!$F$6:$F$405,$AN875)&lt;&gt;"",$AO875&lt;&gt;"",INDEX(職員マスタ!$F$6:$F$405,$AN875)&lt;$AO875),"対象月に子が2歳到達済／","")&amp;IF(AND($H875&lt;&gt;"",INDEX(職員マスタ!$B$6:$B$405,$AN875)&lt;&gt;"",SUBSTITUTE(SUBSTITUTE($H875," ","")," ","")&lt;&gt;SUBSTITUTE(SUBSTITUTE(INDEX(職員マスタ!$B$6:$B$405,$AN875)," ","")," ","")),"氏名がマスタと相違／","")&amp;IF(AND($Q875&lt;&gt;"",INDEX(職員マスタ!$E$6:$E$405,$AN875)&lt;&gt;"",$Q875&lt;&gt;INDEX(職員マスタ!$E$6:$E$405,$AN875)),"子の生年月日がマスタと相違／","")&amp;IF(AND($L875&lt;&gt;"",INDEX(職員マスタ!$G$6:$G$405,$AN875)&lt;&gt;"",$L875&lt;&gt;INDEX(職員マスタ!$G$6:$G$405,$AN875)),"時短開始日がマスタと相違／","")&amp;IF(AND($M875&lt;&gt;"",INDEX(職員マスタ!$H$6:$H$405,$AN875)&lt;&gt;"",$M875&lt;&gt;INDEX(職員マスタ!$H$6:$H$405,$AN875)),"時短終了日がマスタと相違／","")))&amp;IF(AND($B875&lt;&gt;"",$E875=""),"報酬額が未入力／","")&amp;IF(N($U875)&gt;0,"申請書に入力エラーが残っています／","")&amp;IF(AND($B875&lt;&gt;"",$AO875&lt;&gt;""),IF(COUNTIFS($B$6:$B$3005,$B875,$C$6:$C$3005,$C875,$D$6:$D$3005,$D875)&gt;1,"同じ月の請求が重複しています／",""),"")&amp;IF(AND(N($E875)&gt;0,$Z875&lt;&gt;"",$Z875&lt;&gt;"×",$AC875=0,$AB875=""),"計算額が下限以下のため不支給／",""))</f>
        <v/>
      </c>
      <c r="AL875" s="12" t="n"/>
      <c r="AM875" s="14">
        <f>IF($AD875="保留中",COUNTIF($AD$6:$AD875,"保留中"),"")</f>
        <v/>
      </c>
      <c r="AN875" s="14">
        <f>IF($AO875="","",IF(SUMPRODUCT(MAX((職員マスタ!$A$6:$A$405=$B875)*(((職員マスタ!$G$6:$G$405="")+(職員マスタ!$G$6:$G$405&lt;=EOMONTH($AO875,0)))&gt;0)*(((職員マスタ!$H$6:$H$405="")+(職員マスタ!$H$6:$H$405&gt;=$AO875))&gt;0)*(ROW(職員マスタ!$A$6:$A$405)-5)))&gt;0,SUMPRODUCT(MAX((職員マスタ!$A$6:$A$405=$B875)*(((職員マスタ!$G$6:$G$405="")+(職員マスタ!$G$6:$G$405&lt;=EOMONTH($AO875,0)))&gt;0)*(((職員マスタ!$H$6:$H$405="")+(職員マスタ!$H$6:$H$405&gt;=$AO875))&gt;0)*(ROW(職員マスタ!$A$6:$A$405)-5))),IFERROR(MATCH($B875,職員マスタ!$A$6:$A$405,0),"")))</f>
        <v/>
      </c>
      <c r="AO875" s="16">
        <f>IF(OR($B875="",$C875="",$D875=""),"",DATE($C875+2018,$D875,1))</f>
        <v/>
      </c>
    </row>
    <row r="876">
      <c r="A876" s="11" t="n"/>
      <c r="B876" s="12" t="n"/>
      <c r="C876" s="12" t="n"/>
      <c r="D876" s="12" t="n"/>
      <c r="E876" s="13" t="n"/>
      <c r="F876" s="12" t="n"/>
      <c r="G876" s="13" t="n"/>
      <c r="H876" s="12" t="n"/>
      <c r="I876" s="12" t="n"/>
      <c r="J876" s="12" t="n"/>
      <c r="K876" s="12" t="n"/>
      <c r="L876" s="11" t="n"/>
      <c r="M876" s="11" t="n"/>
      <c r="N876" s="11" t="n"/>
      <c r="O876" s="11" t="n"/>
      <c r="P876" s="12" t="n"/>
      <c r="Q876" s="11" t="n"/>
      <c r="R876" s="12" t="n"/>
      <c r="S876" s="11" t="n"/>
      <c r="T876" s="12" t="n"/>
      <c r="U876" s="12" t="n"/>
      <c r="V876" s="14">
        <f>IF($AN876="",IF($B876="","",$H876),IF(INDEX(職員マスタ!$B$6:$B$405,$AN876)="",$H876,INDEX(職員マスタ!$B$6:$B$405,$AN876)))</f>
        <v/>
      </c>
      <c r="W876" s="14">
        <f>IF($AN876="",IF($B876="","",$R876),IF(INDEX(職員マスタ!$C$6:$C$405,$AN876)="",$R876,INDEX(職員マスタ!$C$6:$C$405,$AN876)))</f>
        <v/>
      </c>
      <c r="X876" s="14">
        <f>IF($AO876="","","R"&amp;$C876&amp;"."&amp;$D876)</f>
        <v/>
      </c>
      <c r="Y876" s="15">
        <f>IF($AN876="","",IF(INDEX(職員マスタ!$K$6:$K$405,$AN876)="","",INDEX(職員マスタ!$K$6:$K$405,$AN876)))</f>
        <v/>
      </c>
      <c r="Z876" s="14">
        <f>IF(OR($E876="",$Y876=""),"",IF($E876&gt;=$Y876,"×",IF($E876&gt;=$Y876*設定!$C$5,"△","○")))</f>
        <v/>
      </c>
      <c r="AA876" s="15">
        <f>IF($Z876="","",IF($Z876="×",0,IF($Z876="○",ROUNDDOWN($E876*設定!$C$4,0),ROUNDDOWN($E876*ROUND((9*$Y876-9*$E876)/(10*$E876),4),0))))</f>
        <v/>
      </c>
      <c r="AB876" s="13" t="n"/>
      <c r="AC876" s="15">
        <f>IF($B876="","",IF($AB876&lt;&gt;"",$AB876,IF($AA876="","",IF($AA876&lt;=設定!$C$3,0,$AA876))))</f>
        <v/>
      </c>
      <c r="AD876" s="14">
        <f>IF($B876="","",IF(AND($AE876&lt;&gt;"",$AG876="",$AJ876=""),"保留中",IF($AJ876&lt;&gt;"",IF(N($AC876)&gt;0,"支給済","不支給"),IF($AC876="","要確認",IF($AC876=0,"不支給","未処理")))))</f>
        <v/>
      </c>
      <c r="AE876" s="12" t="n"/>
      <c r="AF876" s="11" t="n"/>
      <c r="AG876" s="11" t="n"/>
      <c r="AH876" s="11" t="n"/>
      <c r="AI876" s="14">
        <f>IF(AND($AD876="保留中",$AF876&lt;&gt;""),TODAY()-$AF876,"")</f>
        <v/>
      </c>
      <c r="AJ876" s="12" t="n"/>
      <c r="AK876" s="14">
        <f>IF($B876="","",IF($AO876="","対象年月が未入力／","")&amp;IF($B876="","",IF($AN876="","職員マスタに未登録の職員番号／",IF($Y876="","標準報酬月額が未登録／","")&amp;IF(AND($AO876&lt;&gt;"",OR(AND(INDEX(職員マスタ!$G$6:$G$405,$AN876)&lt;&gt;"",INDEX(職員マスタ!$G$6:$G$405,$AN876)&gt;EOMONTH($AO876,0)),AND(INDEX(職員マスタ!$H$6:$H$405,$AN876)&lt;&gt;"",INDEX(職員マスタ!$H$6:$H$405,$AN876)&lt;$AO876))),"対象月が時短期間外／","")&amp;IF(AND(INDEX(職員マスタ!$F$6:$F$405,$AN876)&lt;&gt;"",$AO876&lt;&gt;"",INDEX(職員マスタ!$F$6:$F$405,$AN876)&lt;$AO876),"対象月に子が2歳到達済／","")&amp;IF(AND($H876&lt;&gt;"",INDEX(職員マスタ!$B$6:$B$405,$AN876)&lt;&gt;"",SUBSTITUTE(SUBSTITUTE($H876," ","")," ","")&lt;&gt;SUBSTITUTE(SUBSTITUTE(INDEX(職員マスタ!$B$6:$B$405,$AN876)," ","")," ","")),"氏名がマスタと相違／","")&amp;IF(AND($Q876&lt;&gt;"",INDEX(職員マスタ!$E$6:$E$405,$AN876)&lt;&gt;"",$Q876&lt;&gt;INDEX(職員マスタ!$E$6:$E$405,$AN876)),"子の生年月日がマスタと相違／","")&amp;IF(AND($L876&lt;&gt;"",INDEX(職員マスタ!$G$6:$G$405,$AN876)&lt;&gt;"",$L876&lt;&gt;INDEX(職員マスタ!$G$6:$G$405,$AN876)),"時短開始日がマスタと相違／","")&amp;IF(AND($M876&lt;&gt;"",INDEX(職員マスタ!$H$6:$H$405,$AN876)&lt;&gt;"",$M876&lt;&gt;INDEX(職員マスタ!$H$6:$H$405,$AN876)),"時短終了日がマスタと相違／","")))&amp;IF(AND($B876&lt;&gt;"",$E876=""),"報酬額が未入力／","")&amp;IF(N($U876)&gt;0,"申請書に入力エラーが残っています／","")&amp;IF(AND($B876&lt;&gt;"",$AO876&lt;&gt;""),IF(COUNTIFS($B$6:$B$3005,$B876,$C$6:$C$3005,$C876,$D$6:$D$3005,$D876)&gt;1,"同じ月の請求が重複しています／",""),"")&amp;IF(AND(N($E876)&gt;0,$Z876&lt;&gt;"",$Z876&lt;&gt;"×",$AC876=0,$AB876=""),"計算額が下限以下のため不支給／",""))</f>
        <v/>
      </c>
      <c r="AL876" s="12" t="n"/>
      <c r="AM876" s="14">
        <f>IF($AD876="保留中",COUNTIF($AD$6:$AD876,"保留中"),"")</f>
        <v/>
      </c>
      <c r="AN876" s="14">
        <f>IF($AO876="","",IF(SUMPRODUCT(MAX((職員マスタ!$A$6:$A$405=$B876)*(((職員マスタ!$G$6:$G$405="")+(職員マスタ!$G$6:$G$405&lt;=EOMONTH($AO876,0)))&gt;0)*(((職員マスタ!$H$6:$H$405="")+(職員マスタ!$H$6:$H$405&gt;=$AO876))&gt;0)*(ROW(職員マスタ!$A$6:$A$405)-5)))&gt;0,SUMPRODUCT(MAX((職員マスタ!$A$6:$A$405=$B876)*(((職員マスタ!$G$6:$G$405="")+(職員マスタ!$G$6:$G$405&lt;=EOMONTH($AO876,0)))&gt;0)*(((職員マスタ!$H$6:$H$405="")+(職員マスタ!$H$6:$H$405&gt;=$AO876))&gt;0)*(ROW(職員マスタ!$A$6:$A$405)-5))),IFERROR(MATCH($B876,職員マスタ!$A$6:$A$405,0),"")))</f>
        <v/>
      </c>
      <c r="AO876" s="16">
        <f>IF(OR($B876="",$C876="",$D876=""),"",DATE($C876+2018,$D876,1))</f>
        <v/>
      </c>
    </row>
    <row r="877">
      <c r="A877" s="11" t="n"/>
      <c r="B877" s="12" t="n"/>
      <c r="C877" s="12" t="n"/>
      <c r="D877" s="12" t="n"/>
      <c r="E877" s="13" t="n"/>
      <c r="F877" s="12" t="n"/>
      <c r="G877" s="13" t="n"/>
      <c r="H877" s="12" t="n"/>
      <c r="I877" s="12" t="n"/>
      <c r="J877" s="12" t="n"/>
      <c r="K877" s="12" t="n"/>
      <c r="L877" s="11" t="n"/>
      <c r="M877" s="11" t="n"/>
      <c r="N877" s="11" t="n"/>
      <c r="O877" s="11" t="n"/>
      <c r="P877" s="12" t="n"/>
      <c r="Q877" s="11" t="n"/>
      <c r="R877" s="12" t="n"/>
      <c r="S877" s="11" t="n"/>
      <c r="T877" s="12" t="n"/>
      <c r="U877" s="12" t="n"/>
      <c r="V877" s="14">
        <f>IF($AN877="",IF($B877="","",$H877),IF(INDEX(職員マスタ!$B$6:$B$405,$AN877)="",$H877,INDEX(職員マスタ!$B$6:$B$405,$AN877)))</f>
        <v/>
      </c>
      <c r="W877" s="14">
        <f>IF($AN877="",IF($B877="","",$R877),IF(INDEX(職員マスタ!$C$6:$C$405,$AN877)="",$R877,INDEX(職員マスタ!$C$6:$C$405,$AN877)))</f>
        <v/>
      </c>
      <c r="X877" s="14">
        <f>IF($AO877="","","R"&amp;$C877&amp;"."&amp;$D877)</f>
        <v/>
      </c>
      <c r="Y877" s="15">
        <f>IF($AN877="","",IF(INDEX(職員マスタ!$K$6:$K$405,$AN877)="","",INDEX(職員マスタ!$K$6:$K$405,$AN877)))</f>
        <v/>
      </c>
      <c r="Z877" s="14">
        <f>IF(OR($E877="",$Y877=""),"",IF($E877&gt;=$Y877,"×",IF($E877&gt;=$Y877*設定!$C$5,"△","○")))</f>
        <v/>
      </c>
      <c r="AA877" s="15">
        <f>IF($Z877="","",IF($Z877="×",0,IF($Z877="○",ROUNDDOWN($E877*設定!$C$4,0),ROUNDDOWN($E877*ROUND((9*$Y877-9*$E877)/(10*$E877),4),0))))</f>
        <v/>
      </c>
      <c r="AB877" s="13" t="n"/>
      <c r="AC877" s="15">
        <f>IF($B877="","",IF($AB877&lt;&gt;"",$AB877,IF($AA877="","",IF($AA877&lt;=設定!$C$3,0,$AA877))))</f>
        <v/>
      </c>
      <c r="AD877" s="14">
        <f>IF($B877="","",IF(AND($AE877&lt;&gt;"",$AG877="",$AJ877=""),"保留中",IF($AJ877&lt;&gt;"",IF(N($AC877)&gt;0,"支給済","不支給"),IF($AC877="","要確認",IF($AC877=0,"不支給","未処理")))))</f>
        <v/>
      </c>
      <c r="AE877" s="12" t="n"/>
      <c r="AF877" s="11" t="n"/>
      <c r="AG877" s="11" t="n"/>
      <c r="AH877" s="11" t="n"/>
      <c r="AI877" s="14">
        <f>IF(AND($AD877="保留中",$AF877&lt;&gt;""),TODAY()-$AF877,"")</f>
        <v/>
      </c>
      <c r="AJ877" s="12" t="n"/>
      <c r="AK877" s="14">
        <f>IF($B877="","",IF($AO877="","対象年月が未入力／","")&amp;IF($B877="","",IF($AN877="","職員マスタに未登録の職員番号／",IF($Y877="","標準報酬月額が未登録／","")&amp;IF(AND($AO877&lt;&gt;"",OR(AND(INDEX(職員マスタ!$G$6:$G$405,$AN877)&lt;&gt;"",INDEX(職員マスタ!$G$6:$G$405,$AN877)&gt;EOMONTH($AO877,0)),AND(INDEX(職員マスタ!$H$6:$H$405,$AN877)&lt;&gt;"",INDEX(職員マスタ!$H$6:$H$405,$AN877)&lt;$AO877))),"対象月が時短期間外／","")&amp;IF(AND(INDEX(職員マスタ!$F$6:$F$405,$AN877)&lt;&gt;"",$AO877&lt;&gt;"",INDEX(職員マスタ!$F$6:$F$405,$AN877)&lt;$AO877),"対象月に子が2歳到達済／","")&amp;IF(AND($H877&lt;&gt;"",INDEX(職員マスタ!$B$6:$B$405,$AN877)&lt;&gt;"",SUBSTITUTE(SUBSTITUTE($H877," ","")," ","")&lt;&gt;SUBSTITUTE(SUBSTITUTE(INDEX(職員マスタ!$B$6:$B$405,$AN877)," ","")," ","")),"氏名がマスタと相違／","")&amp;IF(AND($Q877&lt;&gt;"",INDEX(職員マスタ!$E$6:$E$405,$AN877)&lt;&gt;"",$Q877&lt;&gt;INDEX(職員マスタ!$E$6:$E$405,$AN877)),"子の生年月日がマスタと相違／","")&amp;IF(AND($L877&lt;&gt;"",INDEX(職員マスタ!$G$6:$G$405,$AN877)&lt;&gt;"",$L877&lt;&gt;INDEX(職員マスタ!$G$6:$G$405,$AN877)),"時短開始日がマスタと相違／","")&amp;IF(AND($M877&lt;&gt;"",INDEX(職員マスタ!$H$6:$H$405,$AN877)&lt;&gt;"",$M877&lt;&gt;INDEX(職員マスタ!$H$6:$H$405,$AN877)),"時短終了日がマスタと相違／","")))&amp;IF(AND($B877&lt;&gt;"",$E877=""),"報酬額が未入力／","")&amp;IF(N($U877)&gt;0,"申請書に入力エラーが残っています／","")&amp;IF(AND($B877&lt;&gt;"",$AO877&lt;&gt;""),IF(COUNTIFS($B$6:$B$3005,$B877,$C$6:$C$3005,$C877,$D$6:$D$3005,$D877)&gt;1,"同じ月の請求が重複しています／",""),"")&amp;IF(AND(N($E877)&gt;0,$Z877&lt;&gt;"",$Z877&lt;&gt;"×",$AC877=0,$AB877=""),"計算額が下限以下のため不支給／",""))</f>
        <v/>
      </c>
      <c r="AL877" s="12" t="n"/>
      <c r="AM877" s="14">
        <f>IF($AD877="保留中",COUNTIF($AD$6:$AD877,"保留中"),"")</f>
        <v/>
      </c>
      <c r="AN877" s="14">
        <f>IF($AO877="","",IF(SUMPRODUCT(MAX((職員マスタ!$A$6:$A$405=$B877)*(((職員マスタ!$G$6:$G$405="")+(職員マスタ!$G$6:$G$405&lt;=EOMONTH($AO877,0)))&gt;0)*(((職員マスタ!$H$6:$H$405="")+(職員マスタ!$H$6:$H$405&gt;=$AO877))&gt;0)*(ROW(職員マスタ!$A$6:$A$405)-5)))&gt;0,SUMPRODUCT(MAX((職員マスタ!$A$6:$A$405=$B877)*(((職員マスタ!$G$6:$G$405="")+(職員マスタ!$G$6:$G$405&lt;=EOMONTH($AO877,0)))&gt;0)*(((職員マスタ!$H$6:$H$405="")+(職員マスタ!$H$6:$H$405&gt;=$AO877))&gt;0)*(ROW(職員マスタ!$A$6:$A$405)-5))),IFERROR(MATCH($B877,職員マスタ!$A$6:$A$405,0),"")))</f>
        <v/>
      </c>
      <c r="AO877" s="16">
        <f>IF(OR($B877="",$C877="",$D877=""),"",DATE($C877+2018,$D877,1))</f>
        <v/>
      </c>
    </row>
    <row r="878">
      <c r="A878" s="11" t="n"/>
      <c r="B878" s="12" t="n"/>
      <c r="C878" s="12" t="n"/>
      <c r="D878" s="12" t="n"/>
      <c r="E878" s="13" t="n"/>
      <c r="F878" s="12" t="n"/>
      <c r="G878" s="13" t="n"/>
      <c r="H878" s="12" t="n"/>
      <c r="I878" s="12" t="n"/>
      <c r="J878" s="12" t="n"/>
      <c r="K878" s="12" t="n"/>
      <c r="L878" s="11" t="n"/>
      <c r="M878" s="11" t="n"/>
      <c r="N878" s="11" t="n"/>
      <c r="O878" s="11" t="n"/>
      <c r="P878" s="12" t="n"/>
      <c r="Q878" s="11" t="n"/>
      <c r="R878" s="12" t="n"/>
      <c r="S878" s="11" t="n"/>
      <c r="T878" s="12" t="n"/>
      <c r="U878" s="12" t="n"/>
      <c r="V878" s="14">
        <f>IF($AN878="",IF($B878="","",$H878),IF(INDEX(職員マスタ!$B$6:$B$405,$AN878)="",$H878,INDEX(職員マスタ!$B$6:$B$405,$AN878)))</f>
        <v/>
      </c>
      <c r="W878" s="14">
        <f>IF($AN878="",IF($B878="","",$R878),IF(INDEX(職員マスタ!$C$6:$C$405,$AN878)="",$R878,INDEX(職員マスタ!$C$6:$C$405,$AN878)))</f>
        <v/>
      </c>
      <c r="X878" s="14">
        <f>IF($AO878="","","R"&amp;$C878&amp;"."&amp;$D878)</f>
        <v/>
      </c>
      <c r="Y878" s="15">
        <f>IF($AN878="","",IF(INDEX(職員マスタ!$K$6:$K$405,$AN878)="","",INDEX(職員マスタ!$K$6:$K$405,$AN878)))</f>
        <v/>
      </c>
      <c r="Z878" s="14">
        <f>IF(OR($E878="",$Y878=""),"",IF($E878&gt;=$Y878,"×",IF($E878&gt;=$Y878*設定!$C$5,"△","○")))</f>
        <v/>
      </c>
      <c r="AA878" s="15">
        <f>IF($Z878="","",IF($Z878="×",0,IF($Z878="○",ROUNDDOWN($E878*設定!$C$4,0),ROUNDDOWN($E878*ROUND((9*$Y878-9*$E878)/(10*$E878),4),0))))</f>
        <v/>
      </c>
      <c r="AB878" s="13" t="n"/>
      <c r="AC878" s="15">
        <f>IF($B878="","",IF($AB878&lt;&gt;"",$AB878,IF($AA878="","",IF($AA878&lt;=設定!$C$3,0,$AA878))))</f>
        <v/>
      </c>
      <c r="AD878" s="14">
        <f>IF($B878="","",IF(AND($AE878&lt;&gt;"",$AG878="",$AJ878=""),"保留中",IF($AJ878&lt;&gt;"",IF(N($AC878)&gt;0,"支給済","不支給"),IF($AC878="","要確認",IF($AC878=0,"不支給","未処理")))))</f>
        <v/>
      </c>
      <c r="AE878" s="12" t="n"/>
      <c r="AF878" s="11" t="n"/>
      <c r="AG878" s="11" t="n"/>
      <c r="AH878" s="11" t="n"/>
      <c r="AI878" s="14">
        <f>IF(AND($AD878="保留中",$AF878&lt;&gt;""),TODAY()-$AF878,"")</f>
        <v/>
      </c>
      <c r="AJ878" s="12" t="n"/>
      <c r="AK878" s="14">
        <f>IF($B878="","",IF($AO878="","対象年月が未入力／","")&amp;IF($B878="","",IF($AN878="","職員マスタに未登録の職員番号／",IF($Y878="","標準報酬月額が未登録／","")&amp;IF(AND($AO878&lt;&gt;"",OR(AND(INDEX(職員マスタ!$G$6:$G$405,$AN878)&lt;&gt;"",INDEX(職員マスタ!$G$6:$G$405,$AN878)&gt;EOMONTH($AO878,0)),AND(INDEX(職員マスタ!$H$6:$H$405,$AN878)&lt;&gt;"",INDEX(職員マスタ!$H$6:$H$405,$AN878)&lt;$AO878))),"対象月が時短期間外／","")&amp;IF(AND(INDEX(職員マスタ!$F$6:$F$405,$AN878)&lt;&gt;"",$AO878&lt;&gt;"",INDEX(職員マスタ!$F$6:$F$405,$AN878)&lt;$AO878),"対象月に子が2歳到達済／","")&amp;IF(AND($H878&lt;&gt;"",INDEX(職員マスタ!$B$6:$B$405,$AN878)&lt;&gt;"",SUBSTITUTE(SUBSTITUTE($H878," ","")," ","")&lt;&gt;SUBSTITUTE(SUBSTITUTE(INDEX(職員マスタ!$B$6:$B$405,$AN878)," ","")," ","")),"氏名がマスタと相違／","")&amp;IF(AND($Q878&lt;&gt;"",INDEX(職員マスタ!$E$6:$E$405,$AN878)&lt;&gt;"",$Q878&lt;&gt;INDEX(職員マスタ!$E$6:$E$405,$AN878)),"子の生年月日がマスタと相違／","")&amp;IF(AND($L878&lt;&gt;"",INDEX(職員マスタ!$G$6:$G$405,$AN878)&lt;&gt;"",$L878&lt;&gt;INDEX(職員マスタ!$G$6:$G$405,$AN878)),"時短開始日がマスタと相違／","")&amp;IF(AND($M878&lt;&gt;"",INDEX(職員マスタ!$H$6:$H$405,$AN878)&lt;&gt;"",$M878&lt;&gt;INDEX(職員マスタ!$H$6:$H$405,$AN878)),"時短終了日がマスタと相違／","")))&amp;IF(AND($B878&lt;&gt;"",$E878=""),"報酬額が未入力／","")&amp;IF(N($U878)&gt;0,"申請書に入力エラーが残っています／","")&amp;IF(AND($B878&lt;&gt;"",$AO878&lt;&gt;""),IF(COUNTIFS($B$6:$B$3005,$B878,$C$6:$C$3005,$C878,$D$6:$D$3005,$D878)&gt;1,"同じ月の請求が重複しています／",""),"")&amp;IF(AND(N($E878)&gt;0,$Z878&lt;&gt;"",$Z878&lt;&gt;"×",$AC878=0,$AB878=""),"計算額が下限以下のため不支給／",""))</f>
        <v/>
      </c>
      <c r="AL878" s="12" t="n"/>
      <c r="AM878" s="14">
        <f>IF($AD878="保留中",COUNTIF($AD$6:$AD878,"保留中"),"")</f>
        <v/>
      </c>
      <c r="AN878" s="14">
        <f>IF($AO878="","",IF(SUMPRODUCT(MAX((職員マスタ!$A$6:$A$405=$B878)*(((職員マスタ!$G$6:$G$405="")+(職員マスタ!$G$6:$G$405&lt;=EOMONTH($AO878,0)))&gt;0)*(((職員マスタ!$H$6:$H$405="")+(職員マスタ!$H$6:$H$405&gt;=$AO878))&gt;0)*(ROW(職員マスタ!$A$6:$A$405)-5)))&gt;0,SUMPRODUCT(MAX((職員マスタ!$A$6:$A$405=$B878)*(((職員マスタ!$G$6:$G$405="")+(職員マスタ!$G$6:$G$405&lt;=EOMONTH($AO878,0)))&gt;0)*(((職員マスタ!$H$6:$H$405="")+(職員マスタ!$H$6:$H$405&gt;=$AO878))&gt;0)*(ROW(職員マスタ!$A$6:$A$405)-5))),IFERROR(MATCH($B878,職員マスタ!$A$6:$A$405,0),"")))</f>
        <v/>
      </c>
      <c r="AO878" s="16">
        <f>IF(OR($B878="",$C878="",$D878=""),"",DATE($C878+2018,$D878,1))</f>
        <v/>
      </c>
    </row>
    <row r="879">
      <c r="A879" s="11" t="n"/>
      <c r="B879" s="12" t="n"/>
      <c r="C879" s="12" t="n"/>
      <c r="D879" s="12" t="n"/>
      <c r="E879" s="13" t="n"/>
      <c r="F879" s="12" t="n"/>
      <c r="G879" s="13" t="n"/>
      <c r="H879" s="12" t="n"/>
      <c r="I879" s="12" t="n"/>
      <c r="J879" s="12" t="n"/>
      <c r="K879" s="12" t="n"/>
      <c r="L879" s="11" t="n"/>
      <c r="M879" s="11" t="n"/>
      <c r="N879" s="11" t="n"/>
      <c r="O879" s="11" t="n"/>
      <c r="P879" s="12" t="n"/>
      <c r="Q879" s="11" t="n"/>
      <c r="R879" s="12" t="n"/>
      <c r="S879" s="11" t="n"/>
      <c r="T879" s="12" t="n"/>
      <c r="U879" s="12" t="n"/>
      <c r="V879" s="14">
        <f>IF($AN879="",IF($B879="","",$H879),IF(INDEX(職員マスタ!$B$6:$B$405,$AN879)="",$H879,INDEX(職員マスタ!$B$6:$B$405,$AN879)))</f>
        <v/>
      </c>
      <c r="W879" s="14">
        <f>IF($AN879="",IF($B879="","",$R879),IF(INDEX(職員マスタ!$C$6:$C$405,$AN879)="",$R879,INDEX(職員マスタ!$C$6:$C$405,$AN879)))</f>
        <v/>
      </c>
      <c r="X879" s="14">
        <f>IF($AO879="","","R"&amp;$C879&amp;"."&amp;$D879)</f>
        <v/>
      </c>
      <c r="Y879" s="15">
        <f>IF($AN879="","",IF(INDEX(職員マスタ!$K$6:$K$405,$AN879)="","",INDEX(職員マスタ!$K$6:$K$405,$AN879)))</f>
        <v/>
      </c>
      <c r="Z879" s="14">
        <f>IF(OR($E879="",$Y879=""),"",IF($E879&gt;=$Y879,"×",IF($E879&gt;=$Y879*設定!$C$5,"△","○")))</f>
        <v/>
      </c>
      <c r="AA879" s="15">
        <f>IF($Z879="","",IF($Z879="×",0,IF($Z879="○",ROUNDDOWN($E879*設定!$C$4,0),ROUNDDOWN($E879*ROUND((9*$Y879-9*$E879)/(10*$E879),4),0))))</f>
        <v/>
      </c>
      <c r="AB879" s="13" t="n"/>
      <c r="AC879" s="15">
        <f>IF($B879="","",IF($AB879&lt;&gt;"",$AB879,IF($AA879="","",IF($AA879&lt;=設定!$C$3,0,$AA879))))</f>
        <v/>
      </c>
      <c r="AD879" s="14">
        <f>IF($B879="","",IF(AND($AE879&lt;&gt;"",$AG879="",$AJ879=""),"保留中",IF($AJ879&lt;&gt;"",IF(N($AC879)&gt;0,"支給済","不支給"),IF($AC879="","要確認",IF($AC879=0,"不支給","未処理")))))</f>
        <v/>
      </c>
      <c r="AE879" s="12" t="n"/>
      <c r="AF879" s="11" t="n"/>
      <c r="AG879" s="11" t="n"/>
      <c r="AH879" s="11" t="n"/>
      <c r="AI879" s="14">
        <f>IF(AND($AD879="保留中",$AF879&lt;&gt;""),TODAY()-$AF879,"")</f>
        <v/>
      </c>
      <c r="AJ879" s="12" t="n"/>
      <c r="AK879" s="14">
        <f>IF($B879="","",IF($AO879="","対象年月が未入力／","")&amp;IF($B879="","",IF($AN879="","職員マスタに未登録の職員番号／",IF($Y879="","標準報酬月額が未登録／","")&amp;IF(AND($AO879&lt;&gt;"",OR(AND(INDEX(職員マスタ!$G$6:$G$405,$AN879)&lt;&gt;"",INDEX(職員マスタ!$G$6:$G$405,$AN879)&gt;EOMONTH($AO879,0)),AND(INDEX(職員マスタ!$H$6:$H$405,$AN879)&lt;&gt;"",INDEX(職員マスタ!$H$6:$H$405,$AN879)&lt;$AO879))),"対象月が時短期間外／","")&amp;IF(AND(INDEX(職員マスタ!$F$6:$F$405,$AN879)&lt;&gt;"",$AO879&lt;&gt;"",INDEX(職員マスタ!$F$6:$F$405,$AN879)&lt;$AO879),"対象月に子が2歳到達済／","")&amp;IF(AND($H879&lt;&gt;"",INDEX(職員マスタ!$B$6:$B$405,$AN879)&lt;&gt;"",SUBSTITUTE(SUBSTITUTE($H879," ","")," ","")&lt;&gt;SUBSTITUTE(SUBSTITUTE(INDEX(職員マスタ!$B$6:$B$405,$AN879)," ","")," ","")),"氏名がマスタと相違／","")&amp;IF(AND($Q879&lt;&gt;"",INDEX(職員マスタ!$E$6:$E$405,$AN879)&lt;&gt;"",$Q879&lt;&gt;INDEX(職員マスタ!$E$6:$E$405,$AN879)),"子の生年月日がマスタと相違／","")&amp;IF(AND($L879&lt;&gt;"",INDEX(職員マスタ!$G$6:$G$405,$AN879)&lt;&gt;"",$L879&lt;&gt;INDEX(職員マスタ!$G$6:$G$405,$AN879)),"時短開始日がマスタと相違／","")&amp;IF(AND($M879&lt;&gt;"",INDEX(職員マスタ!$H$6:$H$405,$AN879)&lt;&gt;"",$M879&lt;&gt;INDEX(職員マスタ!$H$6:$H$405,$AN879)),"時短終了日がマスタと相違／","")))&amp;IF(AND($B879&lt;&gt;"",$E879=""),"報酬額が未入力／","")&amp;IF(N($U879)&gt;0,"申請書に入力エラーが残っています／","")&amp;IF(AND($B879&lt;&gt;"",$AO879&lt;&gt;""),IF(COUNTIFS($B$6:$B$3005,$B879,$C$6:$C$3005,$C879,$D$6:$D$3005,$D879)&gt;1,"同じ月の請求が重複しています／",""),"")&amp;IF(AND(N($E879)&gt;0,$Z879&lt;&gt;"",$Z879&lt;&gt;"×",$AC879=0,$AB879=""),"計算額が下限以下のため不支給／",""))</f>
        <v/>
      </c>
      <c r="AL879" s="12" t="n"/>
      <c r="AM879" s="14">
        <f>IF($AD879="保留中",COUNTIF($AD$6:$AD879,"保留中"),"")</f>
        <v/>
      </c>
      <c r="AN879" s="14">
        <f>IF($AO879="","",IF(SUMPRODUCT(MAX((職員マスタ!$A$6:$A$405=$B879)*(((職員マスタ!$G$6:$G$405="")+(職員マスタ!$G$6:$G$405&lt;=EOMONTH($AO879,0)))&gt;0)*(((職員マスタ!$H$6:$H$405="")+(職員マスタ!$H$6:$H$405&gt;=$AO879))&gt;0)*(ROW(職員マスタ!$A$6:$A$405)-5)))&gt;0,SUMPRODUCT(MAX((職員マスタ!$A$6:$A$405=$B879)*(((職員マスタ!$G$6:$G$405="")+(職員マスタ!$G$6:$G$405&lt;=EOMONTH($AO879,0)))&gt;0)*(((職員マスタ!$H$6:$H$405="")+(職員マスタ!$H$6:$H$405&gt;=$AO879))&gt;0)*(ROW(職員マスタ!$A$6:$A$405)-5))),IFERROR(MATCH($B879,職員マスタ!$A$6:$A$405,0),"")))</f>
        <v/>
      </c>
      <c r="AO879" s="16">
        <f>IF(OR($B879="",$C879="",$D879=""),"",DATE($C879+2018,$D879,1))</f>
        <v/>
      </c>
    </row>
    <row r="880">
      <c r="A880" s="11" t="n"/>
      <c r="B880" s="12" t="n"/>
      <c r="C880" s="12" t="n"/>
      <c r="D880" s="12" t="n"/>
      <c r="E880" s="13" t="n"/>
      <c r="F880" s="12" t="n"/>
      <c r="G880" s="13" t="n"/>
      <c r="H880" s="12" t="n"/>
      <c r="I880" s="12" t="n"/>
      <c r="J880" s="12" t="n"/>
      <c r="K880" s="12" t="n"/>
      <c r="L880" s="11" t="n"/>
      <c r="M880" s="11" t="n"/>
      <c r="N880" s="11" t="n"/>
      <c r="O880" s="11" t="n"/>
      <c r="P880" s="12" t="n"/>
      <c r="Q880" s="11" t="n"/>
      <c r="R880" s="12" t="n"/>
      <c r="S880" s="11" t="n"/>
      <c r="T880" s="12" t="n"/>
      <c r="U880" s="12" t="n"/>
      <c r="V880" s="14">
        <f>IF($AN880="",IF($B880="","",$H880),IF(INDEX(職員マスタ!$B$6:$B$405,$AN880)="",$H880,INDEX(職員マスタ!$B$6:$B$405,$AN880)))</f>
        <v/>
      </c>
      <c r="W880" s="14">
        <f>IF($AN880="",IF($B880="","",$R880),IF(INDEX(職員マスタ!$C$6:$C$405,$AN880)="",$R880,INDEX(職員マスタ!$C$6:$C$405,$AN880)))</f>
        <v/>
      </c>
      <c r="X880" s="14">
        <f>IF($AO880="","","R"&amp;$C880&amp;"."&amp;$D880)</f>
        <v/>
      </c>
      <c r="Y880" s="15">
        <f>IF($AN880="","",IF(INDEX(職員マスタ!$K$6:$K$405,$AN880)="","",INDEX(職員マスタ!$K$6:$K$405,$AN880)))</f>
        <v/>
      </c>
      <c r="Z880" s="14">
        <f>IF(OR($E880="",$Y880=""),"",IF($E880&gt;=$Y880,"×",IF($E880&gt;=$Y880*設定!$C$5,"△","○")))</f>
        <v/>
      </c>
      <c r="AA880" s="15">
        <f>IF($Z880="","",IF($Z880="×",0,IF($Z880="○",ROUNDDOWN($E880*設定!$C$4,0),ROUNDDOWN($E880*ROUND((9*$Y880-9*$E880)/(10*$E880),4),0))))</f>
        <v/>
      </c>
      <c r="AB880" s="13" t="n"/>
      <c r="AC880" s="15">
        <f>IF($B880="","",IF($AB880&lt;&gt;"",$AB880,IF($AA880="","",IF($AA880&lt;=設定!$C$3,0,$AA880))))</f>
        <v/>
      </c>
      <c r="AD880" s="14">
        <f>IF($B880="","",IF(AND($AE880&lt;&gt;"",$AG880="",$AJ880=""),"保留中",IF($AJ880&lt;&gt;"",IF(N($AC880)&gt;0,"支給済","不支給"),IF($AC880="","要確認",IF($AC880=0,"不支給","未処理")))))</f>
        <v/>
      </c>
      <c r="AE880" s="12" t="n"/>
      <c r="AF880" s="11" t="n"/>
      <c r="AG880" s="11" t="n"/>
      <c r="AH880" s="11" t="n"/>
      <c r="AI880" s="14">
        <f>IF(AND($AD880="保留中",$AF880&lt;&gt;""),TODAY()-$AF880,"")</f>
        <v/>
      </c>
      <c r="AJ880" s="12" t="n"/>
      <c r="AK880" s="14">
        <f>IF($B880="","",IF($AO880="","対象年月が未入力／","")&amp;IF($B880="","",IF($AN880="","職員マスタに未登録の職員番号／",IF($Y880="","標準報酬月額が未登録／","")&amp;IF(AND($AO880&lt;&gt;"",OR(AND(INDEX(職員マスタ!$G$6:$G$405,$AN880)&lt;&gt;"",INDEX(職員マスタ!$G$6:$G$405,$AN880)&gt;EOMONTH($AO880,0)),AND(INDEX(職員マスタ!$H$6:$H$405,$AN880)&lt;&gt;"",INDEX(職員マスタ!$H$6:$H$405,$AN880)&lt;$AO880))),"対象月が時短期間外／","")&amp;IF(AND(INDEX(職員マスタ!$F$6:$F$405,$AN880)&lt;&gt;"",$AO880&lt;&gt;"",INDEX(職員マスタ!$F$6:$F$405,$AN880)&lt;$AO880),"対象月に子が2歳到達済／","")&amp;IF(AND($H880&lt;&gt;"",INDEX(職員マスタ!$B$6:$B$405,$AN880)&lt;&gt;"",SUBSTITUTE(SUBSTITUTE($H880," ","")," ","")&lt;&gt;SUBSTITUTE(SUBSTITUTE(INDEX(職員マスタ!$B$6:$B$405,$AN880)," ","")," ","")),"氏名がマスタと相違／","")&amp;IF(AND($Q880&lt;&gt;"",INDEX(職員マスタ!$E$6:$E$405,$AN880)&lt;&gt;"",$Q880&lt;&gt;INDEX(職員マスタ!$E$6:$E$405,$AN880)),"子の生年月日がマスタと相違／","")&amp;IF(AND($L880&lt;&gt;"",INDEX(職員マスタ!$G$6:$G$405,$AN880)&lt;&gt;"",$L880&lt;&gt;INDEX(職員マスタ!$G$6:$G$405,$AN880)),"時短開始日がマスタと相違／","")&amp;IF(AND($M880&lt;&gt;"",INDEX(職員マスタ!$H$6:$H$405,$AN880)&lt;&gt;"",$M880&lt;&gt;INDEX(職員マスタ!$H$6:$H$405,$AN880)),"時短終了日がマスタと相違／","")))&amp;IF(AND($B880&lt;&gt;"",$E880=""),"報酬額が未入力／","")&amp;IF(N($U880)&gt;0,"申請書に入力エラーが残っています／","")&amp;IF(AND($B880&lt;&gt;"",$AO880&lt;&gt;""),IF(COUNTIFS($B$6:$B$3005,$B880,$C$6:$C$3005,$C880,$D$6:$D$3005,$D880)&gt;1,"同じ月の請求が重複しています／",""),"")&amp;IF(AND(N($E880)&gt;0,$Z880&lt;&gt;"",$Z880&lt;&gt;"×",$AC880=0,$AB880=""),"計算額が下限以下のため不支給／",""))</f>
        <v/>
      </c>
      <c r="AL880" s="12" t="n"/>
      <c r="AM880" s="14">
        <f>IF($AD880="保留中",COUNTIF($AD$6:$AD880,"保留中"),"")</f>
        <v/>
      </c>
      <c r="AN880" s="14">
        <f>IF($AO880="","",IF(SUMPRODUCT(MAX((職員マスタ!$A$6:$A$405=$B880)*(((職員マスタ!$G$6:$G$405="")+(職員マスタ!$G$6:$G$405&lt;=EOMONTH($AO880,0)))&gt;0)*(((職員マスタ!$H$6:$H$405="")+(職員マスタ!$H$6:$H$405&gt;=$AO880))&gt;0)*(ROW(職員マスタ!$A$6:$A$405)-5)))&gt;0,SUMPRODUCT(MAX((職員マスタ!$A$6:$A$405=$B880)*(((職員マスタ!$G$6:$G$405="")+(職員マスタ!$G$6:$G$405&lt;=EOMONTH($AO880,0)))&gt;0)*(((職員マスタ!$H$6:$H$405="")+(職員マスタ!$H$6:$H$405&gt;=$AO880))&gt;0)*(ROW(職員マスタ!$A$6:$A$405)-5))),IFERROR(MATCH($B880,職員マスタ!$A$6:$A$405,0),"")))</f>
        <v/>
      </c>
      <c r="AO880" s="16">
        <f>IF(OR($B880="",$C880="",$D880=""),"",DATE($C880+2018,$D880,1))</f>
        <v/>
      </c>
    </row>
    <row r="881">
      <c r="A881" s="11" t="n"/>
      <c r="B881" s="12" t="n"/>
      <c r="C881" s="12" t="n"/>
      <c r="D881" s="12" t="n"/>
      <c r="E881" s="13" t="n"/>
      <c r="F881" s="12" t="n"/>
      <c r="G881" s="13" t="n"/>
      <c r="H881" s="12" t="n"/>
      <c r="I881" s="12" t="n"/>
      <c r="J881" s="12" t="n"/>
      <c r="K881" s="12" t="n"/>
      <c r="L881" s="11" t="n"/>
      <c r="M881" s="11" t="n"/>
      <c r="N881" s="11" t="n"/>
      <c r="O881" s="11" t="n"/>
      <c r="P881" s="12" t="n"/>
      <c r="Q881" s="11" t="n"/>
      <c r="R881" s="12" t="n"/>
      <c r="S881" s="11" t="n"/>
      <c r="T881" s="12" t="n"/>
      <c r="U881" s="12" t="n"/>
      <c r="V881" s="14">
        <f>IF($AN881="",IF($B881="","",$H881),IF(INDEX(職員マスタ!$B$6:$B$405,$AN881)="",$H881,INDEX(職員マスタ!$B$6:$B$405,$AN881)))</f>
        <v/>
      </c>
      <c r="W881" s="14">
        <f>IF($AN881="",IF($B881="","",$R881),IF(INDEX(職員マスタ!$C$6:$C$405,$AN881)="",$R881,INDEX(職員マスタ!$C$6:$C$405,$AN881)))</f>
        <v/>
      </c>
      <c r="X881" s="14">
        <f>IF($AO881="","","R"&amp;$C881&amp;"."&amp;$D881)</f>
        <v/>
      </c>
      <c r="Y881" s="15">
        <f>IF($AN881="","",IF(INDEX(職員マスタ!$K$6:$K$405,$AN881)="","",INDEX(職員マスタ!$K$6:$K$405,$AN881)))</f>
        <v/>
      </c>
      <c r="Z881" s="14">
        <f>IF(OR($E881="",$Y881=""),"",IF($E881&gt;=$Y881,"×",IF($E881&gt;=$Y881*設定!$C$5,"△","○")))</f>
        <v/>
      </c>
      <c r="AA881" s="15">
        <f>IF($Z881="","",IF($Z881="×",0,IF($Z881="○",ROUNDDOWN($E881*設定!$C$4,0),ROUNDDOWN($E881*ROUND((9*$Y881-9*$E881)/(10*$E881),4),0))))</f>
        <v/>
      </c>
      <c r="AB881" s="13" t="n"/>
      <c r="AC881" s="15">
        <f>IF($B881="","",IF($AB881&lt;&gt;"",$AB881,IF($AA881="","",IF($AA881&lt;=設定!$C$3,0,$AA881))))</f>
        <v/>
      </c>
      <c r="AD881" s="14">
        <f>IF($B881="","",IF(AND($AE881&lt;&gt;"",$AG881="",$AJ881=""),"保留中",IF($AJ881&lt;&gt;"",IF(N($AC881)&gt;0,"支給済","不支給"),IF($AC881="","要確認",IF($AC881=0,"不支給","未処理")))))</f>
        <v/>
      </c>
      <c r="AE881" s="12" t="n"/>
      <c r="AF881" s="11" t="n"/>
      <c r="AG881" s="11" t="n"/>
      <c r="AH881" s="11" t="n"/>
      <c r="AI881" s="14">
        <f>IF(AND($AD881="保留中",$AF881&lt;&gt;""),TODAY()-$AF881,"")</f>
        <v/>
      </c>
      <c r="AJ881" s="12" t="n"/>
      <c r="AK881" s="14">
        <f>IF($B881="","",IF($AO881="","対象年月が未入力／","")&amp;IF($B881="","",IF($AN881="","職員マスタに未登録の職員番号／",IF($Y881="","標準報酬月額が未登録／","")&amp;IF(AND($AO881&lt;&gt;"",OR(AND(INDEX(職員マスタ!$G$6:$G$405,$AN881)&lt;&gt;"",INDEX(職員マスタ!$G$6:$G$405,$AN881)&gt;EOMONTH($AO881,0)),AND(INDEX(職員マスタ!$H$6:$H$405,$AN881)&lt;&gt;"",INDEX(職員マスタ!$H$6:$H$405,$AN881)&lt;$AO881))),"対象月が時短期間外／","")&amp;IF(AND(INDEX(職員マスタ!$F$6:$F$405,$AN881)&lt;&gt;"",$AO881&lt;&gt;"",INDEX(職員マスタ!$F$6:$F$405,$AN881)&lt;$AO881),"対象月に子が2歳到達済／","")&amp;IF(AND($H881&lt;&gt;"",INDEX(職員マスタ!$B$6:$B$405,$AN881)&lt;&gt;"",SUBSTITUTE(SUBSTITUTE($H881," ","")," ","")&lt;&gt;SUBSTITUTE(SUBSTITUTE(INDEX(職員マスタ!$B$6:$B$405,$AN881)," ","")," ","")),"氏名がマスタと相違／","")&amp;IF(AND($Q881&lt;&gt;"",INDEX(職員マスタ!$E$6:$E$405,$AN881)&lt;&gt;"",$Q881&lt;&gt;INDEX(職員マスタ!$E$6:$E$405,$AN881)),"子の生年月日がマスタと相違／","")&amp;IF(AND($L881&lt;&gt;"",INDEX(職員マスタ!$G$6:$G$405,$AN881)&lt;&gt;"",$L881&lt;&gt;INDEX(職員マスタ!$G$6:$G$405,$AN881)),"時短開始日がマスタと相違／","")&amp;IF(AND($M881&lt;&gt;"",INDEX(職員マスタ!$H$6:$H$405,$AN881)&lt;&gt;"",$M881&lt;&gt;INDEX(職員マスタ!$H$6:$H$405,$AN881)),"時短終了日がマスタと相違／","")))&amp;IF(AND($B881&lt;&gt;"",$E881=""),"報酬額が未入力／","")&amp;IF(N($U881)&gt;0,"申請書に入力エラーが残っています／","")&amp;IF(AND($B881&lt;&gt;"",$AO881&lt;&gt;""),IF(COUNTIFS($B$6:$B$3005,$B881,$C$6:$C$3005,$C881,$D$6:$D$3005,$D881)&gt;1,"同じ月の請求が重複しています／",""),"")&amp;IF(AND(N($E881)&gt;0,$Z881&lt;&gt;"",$Z881&lt;&gt;"×",$AC881=0,$AB881=""),"計算額が下限以下のため不支給／",""))</f>
        <v/>
      </c>
      <c r="AL881" s="12" t="n"/>
      <c r="AM881" s="14">
        <f>IF($AD881="保留中",COUNTIF($AD$6:$AD881,"保留中"),"")</f>
        <v/>
      </c>
      <c r="AN881" s="14">
        <f>IF($AO881="","",IF(SUMPRODUCT(MAX((職員マスタ!$A$6:$A$405=$B881)*(((職員マスタ!$G$6:$G$405="")+(職員マスタ!$G$6:$G$405&lt;=EOMONTH($AO881,0)))&gt;0)*(((職員マスタ!$H$6:$H$405="")+(職員マスタ!$H$6:$H$405&gt;=$AO881))&gt;0)*(ROW(職員マスタ!$A$6:$A$405)-5)))&gt;0,SUMPRODUCT(MAX((職員マスタ!$A$6:$A$405=$B881)*(((職員マスタ!$G$6:$G$405="")+(職員マスタ!$G$6:$G$405&lt;=EOMONTH($AO881,0)))&gt;0)*(((職員マスタ!$H$6:$H$405="")+(職員マスタ!$H$6:$H$405&gt;=$AO881))&gt;0)*(ROW(職員マスタ!$A$6:$A$405)-5))),IFERROR(MATCH($B881,職員マスタ!$A$6:$A$405,0),"")))</f>
        <v/>
      </c>
      <c r="AO881" s="16">
        <f>IF(OR($B881="",$C881="",$D881=""),"",DATE($C881+2018,$D881,1))</f>
        <v/>
      </c>
    </row>
    <row r="882">
      <c r="A882" s="11" t="n"/>
      <c r="B882" s="12" t="n"/>
      <c r="C882" s="12" t="n"/>
      <c r="D882" s="12" t="n"/>
      <c r="E882" s="13" t="n"/>
      <c r="F882" s="12" t="n"/>
      <c r="G882" s="13" t="n"/>
      <c r="H882" s="12" t="n"/>
      <c r="I882" s="12" t="n"/>
      <c r="J882" s="12" t="n"/>
      <c r="K882" s="12" t="n"/>
      <c r="L882" s="11" t="n"/>
      <c r="M882" s="11" t="n"/>
      <c r="N882" s="11" t="n"/>
      <c r="O882" s="11" t="n"/>
      <c r="P882" s="12" t="n"/>
      <c r="Q882" s="11" t="n"/>
      <c r="R882" s="12" t="n"/>
      <c r="S882" s="11" t="n"/>
      <c r="T882" s="12" t="n"/>
      <c r="U882" s="12" t="n"/>
      <c r="V882" s="14">
        <f>IF($AN882="",IF($B882="","",$H882),IF(INDEX(職員マスタ!$B$6:$B$405,$AN882)="",$H882,INDEX(職員マスタ!$B$6:$B$405,$AN882)))</f>
        <v/>
      </c>
      <c r="W882" s="14">
        <f>IF($AN882="",IF($B882="","",$R882),IF(INDEX(職員マスタ!$C$6:$C$405,$AN882)="",$R882,INDEX(職員マスタ!$C$6:$C$405,$AN882)))</f>
        <v/>
      </c>
      <c r="X882" s="14">
        <f>IF($AO882="","","R"&amp;$C882&amp;"."&amp;$D882)</f>
        <v/>
      </c>
      <c r="Y882" s="15">
        <f>IF($AN882="","",IF(INDEX(職員マスタ!$K$6:$K$405,$AN882)="","",INDEX(職員マスタ!$K$6:$K$405,$AN882)))</f>
        <v/>
      </c>
      <c r="Z882" s="14">
        <f>IF(OR($E882="",$Y882=""),"",IF($E882&gt;=$Y882,"×",IF($E882&gt;=$Y882*設定!$C$5,"△","○")))</f>
        <v/>
      </c>
      <c r="AA882" s="15">
        <f>IF($Z882="","",IF($Z882="×",0,IF($Z882="○",ROUNDDOWN($E882*設定!$C$4,0),ROUNDDOWN($E882*ROUND((9*$Y882-9*$E882)/(10*$E882),4),0))))</f>
        <v/>
      </c>
      <c r="AB882" s="13" t="n"/>
      <c r="AC882" s="15">
        <f>IF($B882="","",IF($AB882&lt;&gt;"",$AB882,IF($AA882="","",IF($AA882&lt;=設定!$C$3,0,$AA882))))</f>
        <v/>
      </c>
      <c r="AD882" s="14">
        <f>IF($B882="","",IF(AND($AE882&lt;&gt;"",$AG882="",$AJ882=""),"保留中",IF($AJ882&lt;&gt;"",IF(N($AC882)&gt;0,"支給済","不支給"),IF($AC882="","要確認",IF($AC882=0,"不支給","未処理")))))</f>
        <v/>
      </c>
      <c r="AE882" s="12" t="n"/>
      <c r="AF882" s="11" t="n"/>
      <c r="AG882" s="11" t="n"/>
      <c r="AH882" s="11" t="n"/>
      <c r="AI882" s="14">
        <f>IF(AND($AD882="保留中",$AF882&lt;&gt;""),TODAY()-$AF882,"")</f>
        <v/>
      </c>
      <c r="AJ882" s="12" t="n"/>
      <c r="AK882" s="14">
        <f>IF($B882="","",IF($AO882="","対象年月が未入力／","")&amp;IF($B882="","",IF($AN882="","職員マスタに未登録の職員番号／",IF($Y882="","標準報酬月額が未登録／","")&amp;IF(AND($AO882&lt;&gt;"",OR(AND(INDEX(職員マスタ!$G$6:$G$405,$AN882)&lt;&gt;"",INDEX(職員マスタ!$G$6:$G$405,$AN882)&gt;EOMONTH($AO882,0)),AND(INDEX(職員マスタ!$H$6:$H$405,$AN882)&lt;&gt;"",INDEX(職員マスタ!$H$6:$H$405,$AN882)&lt;$AO882))),"対象月が時短期間外／","")&amp;IF(AND(INDEX(職員マスタ!$F$6:$F$405,$AN882)&lt;&gt;"",$AO882&lt;&gt;"",INDEX(職員マスタ!$F$6:$F$405,$AN882)&lt;$AO882),"対象月に子が2歳到達済／","")&amp;IF(AND($H882&lt;&gt;"",INDEX(職員マスタ!$B$6:$B$405,$AN882)&lt;&gt;"",SUBSTITUTE(SUBSTITUTE($H882," ","")," ","")&lt;&gt;SUBSTITUTE(SUBSTITUTE(INDEX(職員マスタ!$B$6:$B$405,$AN882)," ","")," ","")),"氏名がマスタと相違／","")&amp;IF(AND($Q882&lt;&gt;"",INDEX(職員マスタ!$E$6:$E$405,$AN882)&lt;&gt;"",$Q882&lt;&gt;INDEX(職員マスタ!$E$6:$E$405,$AN882)),"子の生年月日がマスタと相違／","")&amp;IF(AND($L882&lt;&gt;"",INDEX(職員マスタ!$G$6:$G$405,$AN882)&lt;&gt;"",$L882&lt;&gt;INDEX(職員マスタ!$G$6:$G$405,$AN882)),"時短開始日がマスタと相違／","")&amp;IF(AND($M882&lt;&gt;"",INDEX(職員マスタ!$H$6:$H$405,$AN882)&lt;&gt;"",$M882&lt;&gt;INDEX(職員マスタ!$H$6:$H$405,$AN882)),"時短終了日がマスタと相違／","")))&amp;IF(AND($B882&lt;&gt;"",$E882=""),"報酬額が未入力／","")&amp;IF(N($U882)&gt;0,"申請書に入力エラーが残っています／","")&amp;IF(AND($B882&lt;&gt;"",$AO882&lt;&gt;""),IF(COUNTIFS($B$6:$B$3005,$B882,$C$6:$C$3005,$C882,$D$6:$D$3005,$D882)&gt;1,"同じ月の請求が重複しています／",""),"")&amp;IF(AND(N($E882)&gt;0,$Z882&lt;&gt;"",$Z882&lt;&gt;"×",$AC882=0,$AB882=""),"計算額が下限以下のため不支給／",""))</f>
        <v/>
      </c>
      <c r="AL882" s="12" t="n"/>
      <c r="AM882" s="14">
        <f>IF($AD882="保留中",COUNTIF($AD$6:$AD882,"保留中"),"")</f>
        <v/>
      </c>
      <c r="AN882" s="14">
        <f>IF($AO882="","",IF(SUMPRODUCT(MAX((職員マスタ!$A$6:$A$405=$B882)*(((職員マスタ!$G$6:$G$405="")+(職員マスタ!$G$6:$G$405&lt;=EOMONTH($AO882,0)))&gt;0)*(((職員マスタ!$H$6:$H$405="")+(職員マスタ!$H$6:$H$405&gt;=$AO882))&gt;0)*(ROW(職員マスタ!$A$6:$A$405)-5)))&gt;0,SUMPRODUCT(MAX((職員マスタ!$A$6:$A$405=$B882)*(((職員マスタ!$G$6:$G$405="")+(職員マスタ!$G$6:$G$405&lt;=EOMONTH($AO882,0)))&gt;0)*(((職員マスタ!$H$6:$H$405="")+(職員マスタ!$H$6:$H$405&gt;=$AO882))&gt;0)*(ROW(職員マスタ!$A$6:$A$405)-5))),IFERROR(MATCH($B882,職員マスタ!$A$6:$A$405,0),"")))</f>
        <v/>
      </c>
      <c r="AO882" s="16">
        <f>IF(OR($B882="",$C882="",$D882=""),"",DATE($C882+2018,$D882,1))</f>
        <v/>
      </c>
    </row>
    <row r="883">
      <c r="A883" s="11" t="n"/>
      <c r="B883" s="12" t="n"/>
      <c r="C883" s="12" t="n"/>
      <c r="D883" s="12" t="n"/>
      <c r="E883" s="13" t="n"/>
      <c r="F883" s="12" t="n"/>
      <c r="G883" s="13" t="n"/>
      <c r="H883" s="12" t="n"/>
      <c r="I883" s="12" t="n"/>
      <c r="J883" s="12" t="n"/>
      <c r="K883" s="12" t="n"/>
      <c r="L883" s="11" t="n"/>
      <c r="M883" s="11" t="n"/>
      <c r="N883" s="11" t="n"/>
      <c r="O883" s="11" t="n"/>
      <c r="P883" s="12" t="n"/>
      <c r="Q883" s="11" t="n"/>
      <c r="R883" s="12" t="n"/>
      <c r="S883" s="11" t="n"/>
      <c r="T883" s="12" t="n"/>
      <c r="U883" s="12" t="n"/>
      <c r="V883" s="14">
        <f>IF($AN883="",IF($B883="","",$H883),IF(INDEX(職員マスタ!$B$6:$B$405,$AN883)="",$H883,INDEX(職員マスタ!$B$6:$B$405,$AN883)))</f>
        <v/>
      </c>
      <c r="W883" s="14">
        <f>IF($AN883="",IF($B883="","",$R883),IF(INDEX(職員マスタ!$C$6:$C$405,$AN883)="",$R883,INDEX(職員マスタ!$C$6:$C$405,$AN883)))</f>
        <v/>
      </c>
      <c r="X883" s="14">
        <f>IF($AO883="","","R"&amp;$C883&amp;"."&amp;$D883)</f>
        <v/>
      </c>
      <c r="Y883" s="15">
        <f>IF($AN883="","",IF(INDEX(職員マスタ!$K$6:$K$405,$AN883)="","",INDEX(職員マスタ!$K$6:$K$405,$AN883)))</f>
        <v/>
      </c>
      <c r="Z883" s="14">
        <f>IF(OR($E883="",$Y883=""),"",IF($E883&gt;=$Y883,"×",IF($E883&gt;=$Y883*設定!$C$5,"△","○")))</f>
        <v/>
      </c>
      <c r="AA883" s="15">
        <f>IF($Z883="","",IF($Z883="×",0,IF($Z883="○",ROUNDDOWN($E883*設定!$C$4,0),ROUNDDOWN($E883*ROUND((9*$Y883-9*$E883)/(10*$E883),4),0))))</f>
        <v/>
      </c>
      <c r="AB883" s="13" t="n"/>
      <c r="AC883" s="15">
        <f>IF($B883="","",IF($AB883&lt;&gt;"",$AB883,IF($AA883="","",IF($AA883&lt;=設定!$C$3,0,$AA883))))</f>
        <v/>
      </c>
      <c r="AD883" s="14">
        <f>IF($B883="","",IF(AND($AE883&lt;&gt;"",$AG883="",$AJ883=""),"保留中",IF($AJ883&lt;&gt;"",IF(N($AC883)&gt;0,"支給済","不支給"),IF($AC883="","要確認",IF($AC883=0,"不支給","未処理")))))</f>
        <v/>
      </c>
      <c r="AE883" s="12" t="n"/>
      <c r="AF883" s="11" t="n"/>
      <c r="AG883" s="11" t="n"/>
      <c r="AH883" s="11" t="n"/>
      <c r="AI883" s="14">
        <f>IF(AND($AD883="保留中",$AF883&lt;&gt;""),TODAY()-$AF883,"")</f>
        <v/>
      </c>
      <c r="AJ883" s="12" t="n"/>
      <c r="AK883" s="14">
        <f>IF($B883="","",IF($AO883="","対象年月が未入力／","")&amp;IF($B883="","",IF($AN883="","職員マスタに未登録の職員番号／",IF($Y883="","標準報酬月額が未登録／","")&amp;IF(AND($AO883&lt;&gt;"",OR(AND(INDEX(職員マスタ!$G$6:$G$405,$AN883)&lt;&gt;"",INDEX(職員マスタ!$G$6:$G$405,$AN883)&gt;EOMONTH($AO883,0)),AND(INDEX(職員マスタ!$H$6:$H$405,$AN883)&lt;&gt;"",INDEX(職員マスタ!$H$6:$H$405,$AN883)&lt;$AO883))),"対象月が時短期間外／","")&amp;IF(AND(INDEX(職員マスタ!$F$6:$F$405,$AN883)&lt;&gt;"",$AO883&lt;&gt;"",INDEX(職員マスタ!$F$6:$F$405,$AN883)&lt;$AO883),"対象月に子が2歳到達済／","")&amp;IF(AND($H883&lt;&gt;"",INDEX(職員マスタ!$B$6:$B$405,$AN883)&lt;&gt;"",SUBSTITUTE(SUBSTITUTE($H883," ","")," ","")&lt;&gt;SUBSTITUTE(SUBSTITUTE(INDEX(職員マスタ!$B$6:$B$405,$AN883)," ","")," ","")),"氏名がマスタと相違／","")&amp;IF(AND($Q883&lt;&gt;"",INDEX(職員マスタ!$E$6:$E$405,$AN883)&lt;&gt;"",$Q883&lt;&gt;INDEX(職員マスタ!$E$6:$E$405,$AN883)),"子の生年月日がマスタと相違／","")&amp;IF(AND($L883&lt;&gt;"",INDEX(職員マスタ!$G$6:$G$405,$AN883)&lt;&gt;"",$L883&lt;&gt;INDEX(職員マスタ!$G$6:$G$405,$AN883)),"時短開始日がマスタと相違／","")&amp;IF(AND($M883&lt;&gt;"",INDEX(職員マスタ!$H$6:$H$405,$AN883)&lt;&gt;"",$M883&lt;&gt;INDEX(職員マスタ!$H$6:$H$405,$AN883)),"時短終了日がマスタと相違／","")))&amp;IF(AND($B883&lt;&gt;"",$E883=""),"報酬額が未入力／","")&amp;IF(N($U883)&gt;0,"申請書に入力エラーが残っています／","")&amp;IF(AND($B883&lt;&gt;"",$AO883&lt;&gt;""),IF(COUNTIFS($B$6:$B$3005,$B883,$C$6:$C$3005,$C883,$D$6:$D$3005,$D883)&gt;1,"同じ月の請求が重複しています／",""),"")&amp;IF(AND(N($E883)&gt;0,$Z883&lt;&gt;"",$Z883&lt;&gt;"×",$AC883=0,$AB883=""),"計算額が下限以下のため不支給／",""))</f>
        <v/>
      </c>
      <c r="AL883" s="12" t="n"/>
      <c r="AM883" s="14">
        <f>IF($AD883="保留中",COUNTIF($AD$6:$AD883,"保留中"),"")</f>
        <v/>
      </c>
      <c r="AN883" s="14">
        <f>IF($AO883="","",IF(SUMPRODUCT(MAX((職員マスタ!$A$6:$A$405=$B883)*(((職員マスタ!$G$6:$G$405="")+(職員マスタ!$G$6:$G$405&lt;=EOMONTH($AO883,0)))&gt;0)*(((職員マスタ!$H$6:$H$405="")+(職員マスタ!$H$6:$H$405&gt;=$AO883))&gt;0)*(ROW(職員マスタ!$A$6:$A$405)-5)))&gt;0,SUMPRODUCT(MAX((職員マスタ!$A$6:$A$405=$B883)*(((職員マスタ!$G$6:$G$405="")+(職員マスタ!$G$6:$G$405&lt;=EOMONTH($AO883,0)))&gt;0)*(((職員マスタ!$H$6:$H$405="")+(職員マスタ!$H$6:$H$405&gt;=$AO883))&gt;0)*(ROW(職員マスタ!$A$6:$A$405)-5))),IFERROR(MATCH($B883,職員マスタ!$A$6:$A$405,0),"")))</f>
        <v/>
      </c>
      <c r="AO883" s="16">
        <f>IF(OR($B883="",$C883="",$D883=""),"",DATE($C883+2018,$D883,1))</f>
        <v/>
      </c>
    </row>
    <row r="884">
      <c r="A884" s="11" t="n"/>
      <c r="B884" s="12" t="n"/>
      <c r="C884" s="12" t="n"/>
      <c r="D884" s="12" t="n"/>
      <c r="E884" s="13" t="n"/>
      <c r="F884" s="12" t="n"/>
      <c r="G884" s="13" t="n"/>
      <c r="H884" s="12" t="n"/>
      <c r="I884" s="12" t="n"/>
      <c r="J884" s="12" t="n"/>
      <c r="K884" s="12" t="n"/>
      <c r="L884" s="11" t="n"/>
      <c r="M884" s="11" t="n"/>
      <c r="N884" s="11" t="n"/>
      <c r="O884" s="11" t="n"/>
      <c r="P884" s="12" t="n"/>
      <c r="Q884" s="11" t="n"/>
      <c r="R884" s="12" t="n"/>
      <c r="S884" s="11" t="n"/>
      <c r="T884" s="12" t="n"/>
      <c r="U884" s="12" t="n"/>
      <c r="V884" s="14">
        <f>IF($AN884="",IF($B884="","",$H884),IF(INDEX(職員マスタ!$B$6:$B$405,$AN884)="",$H884,INDEX(職員マスタ!$B$6:$B$405,$AN884)))</f>
        <v/>
      </c>
      <c r="W884" s="14">
        <f>IF($AN884="",IF($B884="","",$R884),IF(INDEX(職員マスタ!$C$6:$C$405,$AN884)="",$R884,INDEX(職員マスタ!$C$6:$C$405,$AN884)))</f>
        <v/>
      </c>
      <c r="X884" s="14">
        <f>IF($AO884="","","R"&amp;$C884&amp;"."&amp;$D884)</f>
        <v/>
      </c>
      <c r="Y884" s="15">
        <f>IF($AN884="","",IF(INDEX(職員マスタ!$K$6:$K$405,$AN884)="","",INDEX(職員マスタ!$K$6:$K$405,$AN884)))</f>
        <v/>
      </c>
      <c r="Z884" s="14">
        <f>IF(OR($E884="",$Y884=""),"",IF($E884&gt;=$Y884,"×",IF($E884&gt;=$Y884*設定!$C$5,"△","○")))</f>
        <v/>
      </c>
      <c r="AA884" s="15">
        <f>IF($Z884="","",IF($Z884="×",0,IF($Z884="○",ROUNDDOWN($E884*設定!$C$4,0),ROUNDDOWN($E884*ROUND((9*$Y884-9*$E884)/(10*$E884),4),0))))</f>
        <v/>
      </c>
      <c r="AB884" s="13" t="n"/>
      <c r="AC884" s="15">
        <f>IF($B884="","",IF($AB884&lt;&gt;"",$AB884,IF($AA884="","",IF($AA884&lt;=設定!$C$3,0,$AA884))))</f>
        <v/>
      </c>
      <c r="AD884" s="14">
        <f>IF($B884="","",IF(AND($AE884&lt;&gt;"",$AG884="",$AJ884=""),"保留中",IF($AJ884&lt;&gt;"",IF(N($AC884)&gt;0,"支給済","不支給"),IF($AC884="","要確認",IF($AC884=0,"不支給","未処理")))))</f>
        <v/>
      </c>
      <c r="AE884" s="12" t="n"/>
      <c r="AF884" s="11" t="n"/>
      <c r="AG884" s="11" t="n"/>
      <c r="AH884" s="11" t="n"/>
      <c r="AI884" s="14">
        <f>IF(AND($AD884="保留中",$AF884&lt;&gt;""),TODAY()-$AF884,"")</f>
        <v/>
      </c>
      <c r="AJ884" s="12" t="n"/>
      <c r="AK884" s="14">
        <f>IF($B884="","",IF($AO884="","対象年月が未入力／","")&amp;IF($B884="","",IF($AN884="","職員マスタに未登録の職員番号／",IF($Y884="","標準報酬月額が未登録／","")&amp;IF(AND($AO884&lt;&gt;"",OR(AND(INDEX(職員マスタ!$G$6:$G$405,$AN884)&lt;&gt;"",INDEX(職員マスタ!$G$6:$G$405,$AN884)&gt;EOMONTH($AO884,0)),AND(INDEX(職員マスタ!$H$6:$H$405,$AN884)&lt;&gt;"",INDEX(職員マスタ!$H$6:$H$405,$AN884)&lt;$AO884))),"対象月が時短期間外／","")&amp;IF(AND(INDEX(職員マスタ!$F$6:$F$405,$AN884)&lt;&gt;"",$AO884&lt;&gt;"",INDEX(職員マスタ!$F$6:$F$405,$AN884)&lt;$AO884),"対象月に子が2歳到達済／","")&amp;IF(AND($H884&lt;&gt;"",INDEX(職員マスタ!$B$6:$B$405,$AN884)&lt;&gt;"",SUBSTITUTE(SUBSTITUTE($H884," ","")," ","")&lt;&gt;SUBSTITUTE(SUBSTITUTE(INDEX(職員マスタ!$B$6:$B$405,$AN884)," ","")," ","")),"氏名がマスタと相違／","")&amp;IF(AND($Q884&lt;&gt;"",INDEX(職員マスタ!$E$6:$E$405,$AN884)&lt;&gt;"",$Q884&lt;&gt;INDEX(職員マスタ!$E$6:$E$405,$AN884)),"子の生年月日がマスタと相違／","")&amp;IF(AND($L884&lt;&gt;"",INDEX(職員マスタ!$G$6:$G$405,$AN884)&lt;&gt;"",$L884&lt;&gt;INDEX(職員マスタ!$G$6:$G$405,$AN884)),"時短開始日がマスタと相違／","")&amp;IF(AND($M884&lt;&gt;"",INDEX(職員マスタ!$H$6:$H$405,$AN884)&lt;&gt;"",$M884&lt;&gt;INDEX(職員マスタ!$H$6:$H$405,$AN884)),"時短終了日がマスタと相違／","")))&amp;IF(AND($B884&lt;&gt;"",$E884=""),"報酬額が未入力／","")&amp;IF(N($U884)&gt;0,"申請書に入力エラーが残っています／","")&amp;IF(AND($B884&lt;&gt;"",$AO884&lt;&gt;""),IF(COUNTIFS($B$6:$B$3005,$B884,$C$6:$C$3005,$C884,$D$6:$D$3005,$D884)&gt;1,"同じ月の請求が重複しています／",""),"")&amp;IF(AND(N($E884)&gt;0,$Z884&lt;&gt;"",$Z884&lt;&gt;"×",$AC884=0,$AB884=""),"計算額が下限以下のため不支給／",""))</f>
        <v/>
      </c>
      <c r="AL884" s="12" t="n"/>
      <c r="AM884" s="14">
        <f>IF($AD884="保留中",COUNTIF($AD$6:$AD884,"保留中"),"")</f>
        <v/>
      </c>
      <c r="AN884" s="14">
        <f>IF($AO884="","",IF(SUMPRODUCT(MAX((職員マスタ!$A$6:$A$405=$B884)*(((職員マスタ!$G$6:$G$405="")+(職員マスタ!$G$6:$G$405&lt;=EOMONTH($AO884,0)))&gt;0)*(((職員マスタ!$H$6:$H$405="")+(職員マスタ!$H$6:$H$405&gt;=$AO884))&gt;0)*(ROW(職員マスタ!$A$6:$A$405)-5)))&gt;0,SUMPRODUCT(MAX((職員マスタ!$A$6:$A$405=$B884)*(((職員マスタ!$G$6:$G$405="")+(職員マスタ!$G$6:$G$405&lt;=EOMONTH($AO884,0)))&gt;0)*(((職員マスタ!$H$6:$H$405="")+(職員マスタ!$H$6:$H$405&gt;=$AO884))&gt;0)*(ROW(職員マスタ!$A$6:$A$405)-5))),IFERROR(MATCH($B884,職員マスタ!$A$6:$A$405,0),"")))</f>
        <v/>
      </c>
      <c r="AO884" s="16">
        <f>IF(OR($B884="",$C884="",$D884=""),"",DATE($C884+2018,$D884,1))</f>
        <v/>
      </c>
    </row>
    <row r="885">
      <c r="A885" s="11" t="n"/>
      <c r="B885" s="12" t="n"/>
      <c r="C885" s="12" t="n"/>
      <c r="D885" s="12" t="n"/>
      <c r="E885" s="13" t="n"/>
      <c r="F885" s="12" t="n"/>
      <c r="G885" s="13" t="n"/>
      <c r="H885" s="12" t="n"/>
      <c r="I885" s="12" t="n"/>
      <c r="J885" s="12" t="n"/>
      <c r="K885" s="12" t="n"/>
      <c r="L885" s="11" t="n"/>
      <c r="M885" s="11" t="n"/>
      <c r="N885" s="11" t="n"/>
      <c r="O885" s="11" t="n"/>
      <c r="P885" s="12" t="n"/>
      <c r="Q885" s="11" t="n"/>
      <c r="R885" s="12" t="n"/>
      <c r="S885" s="11" t="n"/>
      <c r="T885" s="12" t="n"/>
      <c r="U885" s="12" t="n"/>
      <c r="V885" s="14">
        <f>IF($AN885="",IF($B885="","",$H885),IF(INDEX(職員マスタ!$B$6:$B$405,$AN885)="",$H885,INDEX(職員マスタ!$B$6:$B$405,$AN885)))</f>
        <v/>
      </c>
      <c r="W885" s="14">
        <f>IF($AN885="",IF($B885="","",$R885),IF(INDEX(職員マスタ!$C$6:$C$405,$AN885)="",$R885,INDEX(職員マスタ!$C$6:$C$405,$AN885)))</f>
        <v/>
      </c>
      <c r="X885" s="14">
        <f>IF($AO885="","","R"&amp;$C885&amp;"."&amp;$D885)</f>
        <v/>
      </c>
      <c r="Y885" s="15">
        <f>IF($AN885="","",IF(INDEX(職員マスタ!$K$6:$K$405,$AN885)="","",INDEX(職員マスタ!$K$6:$K$405,$AN885)))</f>
        <v/>
      </c>
      <c r="Z885" s="14">
        <f>IF(OR($E885="",$Y885=""),"",IF($E885&gt;=$Y885,"×",IF($E885&gt;=$Y885*設定!$C$5,"△","○")))</f>
        <v/>
      </c>
      <c r="AA885" s="15">
        <f>IF($Z885="","",IF($Z885="×",0,IF($Z885="○",ROUNDDOWN($E885*設定!$C$4,0),ROUNDDOWN($E885*ROUND((9*$Y885-9*$E885)/(10*$E885),4),0))))</f>
        <v/>
      </c>
      <c r="AB885" s="13" t="n"/>
      <c r="AC885" s="15">
        <f>IF($B885="","",IF($AB885&lt;&gt;"",$AB885,IF($AA885="","",IF($AA885&lt;=設定!$C$3,0,$AA885))))</f>
        <v/>
      </c>
      <c r="AD885" s="14">
        <f>IF($B885="","",IF(AND($AE885&lt;&gt;"",$AG885="",$AJ885=""),"保留中",IF($AJ885&lt;&gt;"",IF(N($AC885)&gt;0,"支給済","不支給"),IF($AC885="","要確認",IF($AC885=0,"不支給","未処理")))))</f>
        <v/>
      </c>
      <c r="AE885" s="12" t="n"/>
      <c r="AF885" s="11" t="n"/>
      <c r="AG885" s="11" t="n"/>
      <c r="AH885" s="11" t="n"/>
      <c r="AI885" s="14">
        <f>IF(AND($AD885="保留中",$AF885&lt;&gt;""),TODAY()-$AF885,"")</f>
        <v/>
      </c>
      <c r="AJ885" s="12" t="n"/>
      <c r="AK885" s="14">
        <f>IF($B885="","",IF($AO885="","対象年月が未入力／","")&amp;IF($B885="","",IF($AN885="","職員マスタに未登録の職員番号／",IF($Y885="","標準報酬月額が未登録／","")&amp;IF(AND($AO885&lt;&gt;"",OR(AND(INDEX(職員マスタ!$G$6:$G$405,$AN885)&lt;&gt;"",INDEX(職員マスタ!$G$6:$G$405,$AN885)&gt;EOMONTH($AO885,0)),AND(INDEX(職員マスタ!$H$6:$H$405,$AN885)&lt;&gt;"",INDEX(職員マスタ!$H$6:$H$405,$AN885)&lt;$AO885))),"対象月が時短期間外／","")&amp;IF(AND(INDEX(職員マスタ!$F$6:$F$405,$AN885)&lt;&gt;"",$AO885&lt;&gt;"",INDEX(職員マスタ!$F$6:$F$405,$AN885)&lt;$AO885),"対象月に子が2歳到達済／","")&amp;IF(AND($H885&lt;&gt;"",INDEX(職員マスタ!$B$6:$B$405,$AN885)&lt;&gt;"",SUBSTITUTE(SUBSTITUTE($H885," ","")," ","")&lt;&gt;SUBSTITUTE(SUBSTITUTE(INDEX(職員マスタ!$B$6:$B$405,$AN885)," ","")," ","")),"氏名がマスタと相違／","")&amp;IF(AND($Q885&lt;&gt;"",INDEX(職員マスタ!$E$6:$E$405,$AN885)&lt;&gt;"",$Q885&lt;&gt;INDEX(職員マスタ!$E$6:$E$405,$AN885)),"子の生年月日がマスタと相違／","")&amp;IF(AND($L885&lt;&gt;"",INDEX(職員マスタ!$G$6:$G$405,$AN885)&lt;&gt;"",$L885&lt;&gt;INDEX(職員マスタ!$G$6:$G$405,$AN885)),"時短開始日がマスタと相違／","")&amp;IF(AND($M885&lt;&gt;"",INDEX(職員マスタ!$H$6:$H$405,$AN885)&lt;&gt;"",$M885&lt;&gt;INDEX(職員マスタ!$H$6:$H$405,$AN885)),"時短終了日がマスタと相違／","")))&amp;IF(AND($B885&lt;&gt;"",$E885=""),"報酬額が未入力／","")&amp;IF(N($U885)&gt;0,"申請書に入力エラーが残っています／","")&amp;IF(AND($B885&lt;&gt;"",$AO885&lt;&gt;""),IF(COUNTIFS($B$6:$B$3005,$B885,$C$6:$C$3005,$C885,$D$6:$D$3005,$D885)&gt;1,"同じ月の請求が重複しています／",""),"")&amp;IF(AND(N($E885)&gt;0,$Z885&lt;&gt;"",$Z885&lt;&gt;"×",$AC885=0,$AB885=""),"計算額が下限以下のため不支給／",""))</f>
        <v/>
      </c>
      <c r="AL885" s="12" t="n"/>
      <c r="AM885" s="14">
        <f>IF($AD885="保留中",COUNTIF($AD$6:$AD885,"保留中"),"")</f>
        <v/>
      </c>
      <c r="AN885" s="14">
        <f>IF($AO885="","",IF(SUMPRODUCT(MAX((職員マスタ!$A$6:$A$405=$B885)*(((職員マスタ!$G$6:$G$405="")+(職員マスタ!$G$6:$G$405&lt;=EOMONTH($AO885,0)))&gt;0)*(((職員マスタ!$H$6:$H$405="")+(職員マスタ!$H$6:$H$405&gt;=$AO885))&gt;0)*(ROW(職員マスタ!$A$6:$A$405)-5)))&gt;0,SUMPRODUCT(MAX((職員マスタ!$A$6:$A$405=$B885)*(((職員マスタ!$G$6:$G$405="")+(職員マスタ!$G$6:$G$405&lt;=EOMONTH($AO885,0)))&gt;0)*(((職員マスタ!$H$6:$H$405="")+(職員マスタ!$H$6:$H$405&gt;=$AO885))&gt;0)*(ROW(職員マスタ!$A$6:$A$405)-5))),IFERROR(MATCH($B885,職員マスタ!$A$6:$A$405,0),"")))</f>
        <v/>
      </c>
      <c r="AO885" s="16">
        <f>IF(OR($B885="",$C885="",$D885=""),"",DATE($C885+2018,$D885,1))</f>
        <v/>
      </c>
    </row>
    <row r="886">
      <c r="A886" s="11" t="n"/>
      <c r="B886" s="12" t="n"/>
      <c r="C886" s="12" t="n"/>
      <c r="D886" s="12" t="n"/>
      <c r="E886" s="13" t="n"/>
      <c r="F886" s="12" t="n"/>
      <c r="G886" s="13" t="n"/>
      <c r="H886" s="12" t="n"/>
      <c r="I886" s="12" t="n"/>
      <c r="J886" s="12" t="n"/>
      <c r="K886" s="12" t="n"/>
      <c r="L886" s="11" t="n"/>
      <c r="M886" s="11" t="n"/>
      <c r="N886" s="11" t="n"/>
      <c r="O886" s="11" t="n"/>
      <c r="P886" s="12" t="n"/>
      <c r="Q886" s="11" t="n"/>
      <c r="R886" s="12" t="n"/>
      <c r="S886" s="11" t="n"/>
      <c r="T886" s="12" t="n"/>
      <c r="U886" s="12" t="n"/>
      <c r="V886" s="14">
        <f>IF($AN886="",IF($B886="","",$H886),IF(INDEX(職員マスタ!$B$6:$B$405,$AN886)="",$H886,INDEX(職員マスタ!$B$6:$B$405,$AN886)))</f>
        <v/>
      </c>
      <c r="W886" s="14">
        <f>IF($AN886="",IF($B886="","",$R886),IF(INDEX(職員マスタ!$C$6:$C$405,$AN886)="",$R886,INDEX(職員マスタ!$C$6:$C$405,$AN886)))</f>
        <v/>
      </c>
      <c r="X886" s="14">
        <f>IF($AO886="","","R"&amp;$C886&amp;"."&amp;$D886)</f>
        <v/>
      </c>
      <c r="Y886" s="15">
        <f>IF($AN886="","",IF(INDEX(職員マスタ!$K$6:$K$405,$AN886)="","",INDEX(職員マスタ!$K$6:$K$405,$AN886)))</f>
        <v/>
      </c>
      <c r="Z886" s="14">
        <f>IF(OR($E886="",$Y886=""),"",IF($E886&gt;=$Y886,"×",IF($E886&gt;=$Y886*設定!$C$5,"△","○")))</f>
        <v/>
      </c>
      <c r="AA886" s="15">
        <f>IF($Z886="","",IF($Z886="×",0,IF($Z886="○",ROUNDDOWN($E886*設定!$C$4,0),ROUNDDOWN($E886*ROUND((9*$Y886-9*$E886)/(10*$E886),4),0))))</f>
        <v/>
      </c>
      <c r="AB886" s="13" t="n"/>
      <c r="AC886" s="15">
        <f>IF($B886="","",IF($AB886&lt;&gt;"",$AB886,IF($AA886="","",IF($AA886&lt;=設定!$C$3,0,$AA886))))</f>
        <v/>
      </c>
      <c r="AD886" s="14">
        <f>IF($B886="","",IF(AND($AE886&lt;&gt;"",$AG886="",$AJ886=""),"保留中",IF($AJ886&lt;&gt;"",IF(N($AC886)&gt;0,"支給済","不支給"),IF($AC886="","要確認",IF($AC886=0,"不支給","未処理")))))</f>
        <v/>
      </c>
      <c r="AE886" s="12" t="n"/>
      <c r="AF886" s="11" t="n"/>
      <c r="AG886" s="11" t="n"/>
      <c r="AH886" s="11" t="n"/>
      <c r="AI886" s="14">
        <f>IF(AND($AD886="保留中",$AF886&lt;&gt;""),TODAY()-$AF886,"")</f>
        <v/>
      </c>
      <c r="AJ886" s="12" t="n"/>
      <c r="AK886" s="14">
        <f>IF($B886="","",IF($AO886="","対象年月が未入力／","")&amp;IF($B886="","",IF($AN886="","職員マスタに未登録の職員番号／",IF($Y886="","標準報酬月額が未登録／","")&amp;IF(AND($AO886&lt;&gt;"",OR(AND(INDEX(職員マスタ!$G$6:$G$405,$AN886)&lt;&gt;"",INDEX(職員マスタ!$G$6:$G$405,$AN886)&gt;EOMONTH($AO886,0)),AND(INDEX(職員マスタ!$H$6:$H$405,$AN886)&lt;&gt;"",INDEX(職員マスタ!$H$6:$H$405,$AN886)&lt;$AO886))),"対象月が時短期間外／","")&amp;IF(AND(INDEX(職員マスタ!$F$6:$F$405,$AN886)&lt;&gt;"",$AO886&lt;&gt;"",INDEX(職員マスタ!$F$6:$F$405,$AN886)&lt;$AO886),"対象月に子が2歳到達済／","")&amp;IF(AND($H886&lt;&gt;"",INDEX(職員マスタ!$B$6:$B$405,$AN886)&lt;&gt;"",SUBSTITUTE(SUBSTITUTE($H886," ","")," ","")&lt;&gt;SUBSTITUTE(SUBSTITUTE(INDEX(職員マスタ!$B$6:$B$405,$AN886)," ","")," ","")),"氏名がマスタと相違／","")&amp;IF(AND($Q886&lt;&gt;"",INDEX(職員マスタ!$E$6:$E$405,$AN886)&lt;&gt;"",$Q886&lt;&gt;INDEX(職員マスタ!$E$6:$E$405,$AN886)),"子の生年月日がマスタと相違／","")&amp;IF(AND($L886&lt;&gt;"",INDEX(職員マスタ!$G$6:$G$405,$AN886)&lt;&gt;"",$L886&lt;&gt;INDEX(職員マスタ!$G$6:$G$405,$AN886)),"時短開始日がマスタと相違／","")&amp;IF(AND($M886&lt;&gt;"",INDEX(職員マスタ!$H$6:$H$405,$AN886)&lt;&gt;"",$M886&lt;&gt;INDEX(職員マスタ!$H$6:$H$405,$AN886)),"時短終了日がマスタと相違／","")))&amp;IF(AND($B886&lt;&gt;"",$E886=""),"報酬額が未入力／","")&amp;IF(N($U886)&gt;0,"申請書に入力エラーが残っています／","")&amp;IF(AND($B886&lt;&gt;"",$AO886&lt;&gt;""),IF(COUNTIFS($B$6:$B$3005,$B886,$C$6:$C$3005,$C886,$D$6:$D$3005,$D886)&gt;1,"同じ月の請求が重複しています／",""),"")&amp;IF(AND(N($E886)&gt;0,$Z886&lt;&gt;"",$Z886&lt;&gt;"×",$AC886=0,$AB886=""),"計算額が下限以下のため不支給／",""))</f>
        <v/>
      </c>
      <c r="AL886" s="12" t="n"/>
      <c r="AM886" s="14">
        <f>IF($AD886="保留中",COUNTIF($AD$6:$AD886,"保留中"),"")</f>
        <v/>
      </c>
      <c r="AN886" s="14">
        <f>IF($AO886="","",IF(SUMPRODUCT(MAX((職員マスタ!$A$6:$A$405=$B886)*(((職員マスタ!$G$6:$G$405="")+(職員マスタ!$G$6:$G$405&lt;=EOMONTH($AO886,0)))&gt;0)*(((職員マスタ!$H$6:$H$405="")+(職員マスタ!$H$6:$H$405&gt;=$AO886))&gt;0)*(ROW(職員マスタ!$A$6:$A$405)-5)))&gt;0,SUMPRODUCT(MAX((職員マスタ!$A$6:$A$405=$B886)*(((職員マスタ!$G$6:$G$405="")+(職員マスタ!$G$6:$G$405&lt;=EOMONTH($AO886,0)))&gt;0)*(((職員マスタ!$H$6:$H$405="")+(職員マスタ!$H$6:$H$405&gt;=$AO886))&gt;0)*(ROW(職員マスタ!$A$6:$A$405)-5))),IFERROR(MATCH($B886,職員マスタ!$A$6:$A$405,0),"")))</f>
        <v/>
      </c>
      <c r="AO886" s="16">
        <f>IF(OR($B886="",$C886="",$D886=""),"",DATE($C886+2018,$D886,1))</f>
        <v/>
      </c>
    </row>
    <row r="887">
      <c r="A887" s="11" t="n"/>
      <c r="B887" s="12" t="n"/>
      <c r="C887" s="12" t="n"/>
      <c r="D887" s="12" t="n"/>
      <c r="E887" s="13" t="n"/>
      <c r="F887" s="12" t="n"/>
      <c r="G887" s="13" t="n"/>
      <c r="H887" s="12" t="n"/>
      <c r="I887" s="12" t="n"/>
      <c r="J887" s="12" t="n"/>
      <c r="K887" s="12" t="n"/>
      <c r="L887" s="11" t="n"/>
      <c r="M887" s="11" t="n"/>
      <c r="N887" s="11" t="n"/>
      <c r="O887" s="11" t="n"/>
      <c r="P887" s="12" t="n"/>
      <c r="Q887" s="11" t="n"/>
      <c r="R887" s="12" t="n"/>
      <c r="S887" s="11" t="n"/>
      <c r="T887" s="12" t="n"/>
      <c r="U887" s="12" t="n"/>
      <c r="V887" s="14">
        <f>IF($AN887="",IF($B887="","",$H887),IF(INDEX(職員マスタ!$B$6:$B$405,$AN887)="",$H887,INDEX(職員マスタ!$B$6:$B$405,$AN887)))</f>
        <v/>
      </c>
      <c r="W887" s="14">
        <f>IF($AN887="",IF($B887="","",$R887),IF(INDEX(職員マスタ!$C$6:$C$405,$AN887)="",$R887,INDEX(職員マスタ!$C$6:$C$405,$AN887)))</f>
        <v/>
      </c>
      <c r="X887" s="14">
        <f>IF($AO887="","","R"&amp;$C887&amp;"."&amp;$D887)</f>
        <v/>
      </c>
      <c r="Y887" s="15">
        <f>IF($AN887="","",IF(INDEX(職員マスタ!$K$6:$K$405,$AN887)="","",INDEX(職員マスタ!$K$6:$K$405,$AN887)))</f>
        <v/>
      </c>
      <c r="Z887" s="14">
        <f>IF(OR($E887="",$Y887=""),"",IF($E887&gt;=$Y887,"×",IF($E887&gt;=$Y887*設定!$C$5,"△","○")))</f>
        <v/>
      </c>
      <c r="AA887" s="15">
        <f>IF($Z887="","",IF($Z887="×",0,IF($Z887="○",ROUNDDOWN($E887*設定!$C$4,0),ROUNDDOWN($E887*ROUND((9*$Y887-9*$E887)/(10*$E887),4),0))))</f>
        <v/>
      </c>
      <c r="AB887" s="13" t="n"/>
      <c r="AC887" s="15">
        <f>IF($B887="","",IF($AB887&lt;&gt;"",$AB887,IF($AA887="","",IF($AA887&lt;=設定!$C$3,0,$AA887))))</f>
        <v/>
      </c>
      <c r="AD887" s="14">
        <f>IF($B887="","",IF(AND($AE887&lt;&gt;"",$AG887="",$AJ887=""),"保留中",IF($AJ887&lt;&gt;"",IF(N($AC887)&gt;0,"支給済","不支給"),IF($AC887="","要確認",IF($AC887=0,"不支給","未処理")))))</f>
        <v/>
      </c>
      <c r="AE887" s="12" t="n"/>
      <c r="AF887" s="11" t="n"/>
      <c r="AG887" s="11" t="n"/>
      <c r="AH887" s="11" t="n"/>
      <c r="AI887" s="14">
        <f>IF(AND($AD887="保留中",$AF887&lt;&gt;""),TODAY()-$AF887,"")</f>
        <v/>
      </c>
      <c r="AJ887" s="12" t="n"/>
      <c r="AK887" s="14">
        <f>IF($B887="","",IF($AO887="","対象年月が未入力／","")&amp;IF($B887="","",IF($AN887="","職員マスタに未登録の職員番号／",IF($Y887="","標準報酬月額が未登録／","")&amp;IF(AND($AO887&lt;&gt;"",OR(AND(INDEX(職員マスタ!$G$6:$G$405,$AN887)&lt;&gt;"",INDEX(職員マスタ!$G$6:$G$405,$AN887)&gt;EOMONTH($AO887,0)),AND(INDEX(職員マスタ!$H$6:$H$405,$AN887)&lt;&gt;"",INDEX(職員マスタ!$H$6:$H$405,$AN887)&lt;$AO887))),"対象月が時短期間外／","")&amp;IF(AND(INDEX(職員マスタ!$F$6:$F$405,$AN887)&lt;&gt;"",$AO887&lt;&gt;"",INDEX(職員マスタ!$F$6:$F$405,$AN887)&lt;$AO887),"対象月に子が2歳到達済／","")&amp;IF(AND($H887&lt;&gt;"",INDEX(職員マスタ!$B$6:$B$405,$AN887)&lt;&gt;"",SUBSTITUTE(SUBSTITUTE($H887," ","")," ","")&lt;&gt;SUBSTITUTE(SUBSTITUTE(INDEX(職員マスタ!$B$6:$B$405,$AN887)," ","")," ","")),"氏名がマスタと相違／","")&amp;IF(AND($Q887&lt;&gt;"",INDEX(職員マスタ!$E$6:$E$405,$AN887)&lt;&gt;"",$Q887&lt;&gt;INDEX(職員マスタ!$E$6:$E$405,$AN887)),"子の生年月日がマスタと相違／","")&amp;IF(AND($L887&lt;&gt;"",INDEX(職員マスタ!$G$6:$G$405,$AN887)&lt;&gt;"",$L887&lt;&gt;INDEX(職員マスタ!$G$6:$G$405,$AN887)),"時短開始日がマスタと相違／","")&amp;IF(AND($M887&lt;&gt;"",INDEX(職員マスタ!$H$6:$H$405,$AN887)&lt;&gt;"",$M887&lt;&gt;INDEX(職員マスタ!$H$6:$H$405,$AN887)),"時短終了日がマスタと相違／","")))&amp;IF(AND($B887&lt;&gt;"",$E887=""),"報酬額が未入力／","")&amp;IF(N($U887)&gt;0,"申請書に入力エラーが残っています／","")&amp;IF(AND($B887&lt;&gt;"",$AO887&lt;&gt;""),IF(COUNTIFS($B$6:$B$3005,$B887,$C$6:$C$3005,$C887,$D$6:$D$3005,$D887)&gt;1,"同じ月の請求が重複しています／",""),"")&amp;IF(AND(N($E887)&gt;0,$Z887&lt;&gt;"",$Z887&lt;&gt;"×",$AC887=0,$AB887=""),"計算額が下限以下のため不支給／",""))</f>
        <v/>
      </c>
      <c r="AL887" s="12" t="n"/>
      <c r="AM887" s="14">
        <f>IF($AD887="保留中",COUNTIF($AD$6:$AD887,"保留中"),"")</f>
        <v/>
      </c>
      <c r="AN887" s="14">
        <f>IF($AO887="","",IF(SUMPRODUCT(MAX((職員マスタ!$A$6:$A$405=$B887)*(((職員マスタ!$G$6:$G$405="")+(職員マスタ!$G$6:$G$405&lt;=EOMONTH($AO887,0)))&gt;0)*(((職員マスタ!$H$6:$H$405="")+(職員マスタ!$H$6:$H$405&gt;=$AO887))&gt;0)*(ROW(職員マスタ!$A$6:$A$405)-5)))&gt;0,SUMPRODUCT(MAX((職員マスタ!$A$6:$A$405=$B887)*(((職員マスタ!$G$6:$G$405="")+(職員マスタ!$G$6:$G$405&lt;=EOMONTH($AO887,0)))&gt;0)*(((職員マスタ!$H$6:$H$405="")+(職員マスタ!$H$6:$H$405&gt;=$AO887))&gt;0)*(ROW(職員マスタ!$A$6:$A$405)-5))),IFERROR(MATCH($B887,職員マスタ!$A$6:$A$405,0),"")))</f>
        <v/>
      </c>
      <c r="AO887" s="16">
        <f>IF(OR($B887="",$C887="",$D887=""),"",DATE($C887+2018,$D887,1))</f>
        <v/>
      </c>
    </row>
    <row r="888">
      <c r="A888" s="11" t="n"/>
      <c r="B888" s="12" t="n"/>
      <c r="C888" s="12" t="n"/>
      <c r="D888" s="12" t="n"/>
      <c r="E888" s="13" t="n"/>
      <c r="F888" s="12" t="n"/>
      <c r="G888" s="13" t="n"/>
      <c r="H888" s="12" t="n"/>
      <c r="I888" s="12" t="n"/>
      <c r="J888" s="12" t="n"/>
      <c r="K888" s="12" t="n"/>
      <c r="L888" s="11" t="n"/>
      <c r="M888" s="11" t="n"/>
      <c r="N888" s="11" t="n"/>
      <c r="O888" s="11" t="n"/>
      <c r="P888" s="12" t="n"/>
      <c r="Q888" s="11" t="n"/>
      <c r="R888" s="12" t="n"/>
      <c r="S888" s="11" t="n"/>
      <c r="T888" s="12" t="n"/>
      <c r="U888" s="12" t="n"/>
      <c r="V888" s="14">
        <f>IF($AN888="",IF($B888="","",$H888),IF(INDEX(職員マスタ!$B$6:$B$405,$AN888)="",$H888,INDEX(職員マスタ!$B$6:$B$405,$AN888)))</f>
        <v/>
      </c>
      <c r="W888" s="14">
        <f>IF($AN888="",IF($B888="","",$R888),IF(INDEX(職員マスタ!$C$6:$C$405,$AN888)="",$R888,INDEX(職員マスタ!$C$6:$C$405,$AN888)))</f>
        <v/>
      </c>
      <c r="X888" s="14">
        <f>IF($AO888="","","R"&amp;$C888&amp;"."&amp;$D888)</f>
        <v/>
      </c>
      <c r="Y888" s="15">
        <f>IF($AN888="","",IF(INDEX(職員マスタ!$K$6:$K$405,$AN888)="","",INDEX(職員マスタ!$K$6:$K$405,$AN888)))</f>
        <v/>
      </c>
      <c r="Z888" s="14">
        <f>IF(OR($E888="",$Y888=""),"",IF($E888&gt;=$Y888,"×",IF($E888&gt;=$Y888*設定!$C$5,"△","○")))</f>
        <v/>
      </c>
      <c r="AA888" s="15">
        <f>IF($Z888="","",IF($Z888="×",0,IF($Z888="○",ROUNDDOWN($E888*設定!$C$4,0),ROUNDDOWN($E888*ROUND((9*$Y888-9*$E888)/(10*$E888),4),0))))</f>
        <v/>
      </c>
      <c r="AB888" s="13" t="n"/>
      <c r="AC888" s="15">
        <f>IF($B888="","",IF($AB888&lt;&gt;"",$AB888,IF($AA888="","",IF($AA888&lt;=設定!$C$3,0,$AA888))))</f>
        <v/>
      </c>
      <c r="AD888" s="14">
        <f>IF($B888="","",IF(AND($AE888&lt;&gt;"",$AG888="",$AJ888=""),"保留中",IF($AJ888&lt;&gt;"",IF(N($AC888)&gt;0,"支給済","不支給"),IF($AC888="","要確認",IF($AC888=0,"不支給","未処理")))))</f>
        <v/>
      </c>
      <c r="AE888" s="12" t="n"/>
      <c r="AF888" s="11" t="n"/>
      <c r="AG888" s="11" t="n"/>
      <c r="AH888" s="11" t="n"/>
      <c r="AI888" s="14">
        <f>IF(AND($AD888="保留中",$AF888&lt;&gt;""),TODAY()-$AF888,"")</f>
        <v/>
      </c>
      <c r="AJ888" s="12" t="n"/>
      <c r="AK888" s="14">
        <f>IF($B888="","",IF($AO888="","対象年月が未入力／","")&amp;IF($B888="","",IF($AN888="","職員マスタに未登録の職員番号／",IF($Y888="","標準報酬月額が未登録／","")&amp;IF(AND($AO888&lt;&gt;"",OR(AND(INDEX(職員マスタ!$G$6:$G$405,$AN888)&lt;&gt;"",INDEX(職員マスタ!$G$6:$G$405,$AN888)&gt;EOMONTH($AO888,0)),AND(INDEX(職員マスタ!$H$6:$H$405,$AN888)&lt;&gt;"",INDEX(職員マスタ!$H$6:$H$405,$AN888)&lt;$AO888))),"対象月が時短期間外／","")&amp;IF(AND(INDEX(職員マスタ!$F$6:$F$405,$AN888)&lt;&gt;"",$AO888&lt;&gt;"",INDEX(職員マスタ!$F$6:$F$405,$AN888)&lt;$AO888),"対象月に子が2歳到達済／","")&amp;IF(AND($H888&lt;&gt;"",INDEX(職員マスタ!$B$6:$B$405,$AN888)&lt;&gt;"",SUBSTITUTE(SUBSTITUTE($H888," ","")," ","")&lt;&gt;SUBSTITUTE(SUBSTITUTE(INDEX(職員マスタ!$B$6:$B$405,$AN888)," ","")," ","")),"氏名がマスタと相違／","")&amp;IF(AND($Q888&lt;&gt;"",INDEX(職員マスタ!$E$6:$E$405,$AN888)&lt;&gt;"",$Q888&lt;&gt;INDEX(職員マスタ!$E$6:$E$405,$AN888)),"子の生年月日がマスタと相違／","")&amp;IF(AND($L888&lt;&gt;"",INDEX(職員マスタ!$G$6:$G$405,$AN888)&lt;&gt;"",$L888&lt;&gt;INDEX(職員マスタ!$G$6:$G$405,$AN888)),"時短開始日がマスタと相違／","")&amp;IF(AND($M888&lt;&gt;"",INDEX(職員マスタ!$H$6:$H$405,$AN888)&lt;&gt;"",$M888&lt;&gt;INDEX(職員マスタ!$H$6:$H$405,$AN888)),"時短終了日がマスタと相違／","")))&amp;IF(AND($B888&lt;&gt;"",$E888=""),"報酬額が未入力／","")&amp;IF(N($U888)&gt;0,"申請書に入力エラーが残っています／","")&amp;IF(AND($B888&lt;&gt;"",$AO888&lt;&gt;""),IF(COUNTIFS($B$6:$B$3005,$B888,$C$6:$C$3005,$C888,$D$6:$D$3005,$D888)&gt;1,"同じ月の請求が重複しています／",""),"")&amp;IF(AND(N($E888)&gt;0,$Z888&lt;&gt;"",$Z888&lt;&gt;"×",$AC888=0,$AB888=""),"計算額が下限以下のため不支給／",""))</f>
        <v/>
      </c>
      <c r="AL888" s="12" t="n"/>
      <c r="AM888" s="14">
        <f>IF($AD888="保留中",COUNTIF($AD$6:$AD888,"保留中"),"")</f>
        <v/>
      </c>
      <c r="AN888" s="14">
        <f>IF($AO888="","",IF(SUMPRODUCT(MAX((職員マスタ!$A$6:$A$405=$B888)*(((職員マスタ!$G$6:$G$405="")+(職員マスタ!$G$6:$G$405&lt;=EOMONTH($AO888,0)))&gt;0)*(((職員マスタ!$H$6:$H$405="")+(職員マスタ!$H$6:$H$405&gt;=$AO888))&gt;0)*(ROW(職員マスタ!$A$6:$A$405)-5)))&gt;0,SUMPRODUCT(MAX((職員マスタ!$A$6:$A$405=$B888)*(((職員マスタ!$G$6:$G$405="")+(職員マスタ!$G$6:$G$405&lt;=EOMONTH($AO888,0)))&gt;0)*(((職員マスタ!$H$6:$H$405="")+(職員マスタ!$H$6:$H$405&gt;=$AO888))&gt;0)*(ROW(職員マスタ!$A$6:$A$405)-5))),IFERROR(MATCH($B888,職員マスタ!$A$6:$A$405,0),"")))</f>
        <v/>
      </c>
      <c r="AO888" s="16">
        <f>IF(OR($B888="",$C888="",$D888=""),"",DATE($C888+2018,$D888,1))</f>
        <v/>
      </c>
    </row>
    <row r="889">
      <c r="A889" s="11" t="n"/>
      <c r="B889" s="12" t="n"/>
      <c r="C889" s="12" t="n"/>
      <c r="D889" s="12" t="n"/>
      <c r="E889" s="13" t="n"/>
      <c r="F889" s="12" t="n"/>
      <c r="G889" s="13" t="n"/>
      <c r="H889" s="12" t="n"/>
      <c r="I889" s="12" t="n"/>
      <c r="J889" s="12" t="n"/>
      <c r="K889" s="12" t="n"/>
      <c r="L889" s="11" t="n"/>
      <c r="M889" s="11" t="n"/>
      <c r="N889" s="11" t="n"/>
      <c r="O889" s="11" t="n"/>
      <c r="P889" s="12" t="n"/>
      <c r="Q889" s="11" t="n"/>
      <c r="R889" s="12" t="n"/>
      <c r="S889" s="11" t="n"/>
      <c r="T889" s="12" t="n"/>
      <c r="U889" s="12" t="n"/>
      <c r="V889" s="14">
        <f>IF($AN889="",IF($B889="","",$H889),IF(INDEX(職員マスタ!$B$6:$B$405,$AN889)="",$H889,INDEX(職員マスタ!$B$6:$B$405,$AN889)))</f>
        <v/>
      </c>
      <c r="W889" s="14">
        <f>IF($AN889="",IF($B889="","",$R889),IF(INDEX(職員マスタ!$C$6:$C$405,$AN889)="",$R889,INDEX(職員マスタ!$C$6:$C$405,$AN889)))</f>
        <v/>
      </c>
      <c r="X889" s="14">
        <f>IF($AO889="","","R"&amp;$C889&amp;"."&amp;$D889)</f>
        <v/>
      </c>
      <c r="Y889" s="15">
        <f>IF($AN889="","",IF(INDEX(職員マスタ!$K$6:$K$405,$AN889)="","",INDEX(職員マスタ!$K$6:$K$405,$AN889)))</f>
        <v/>
      </c>
      <c r="Z889" s="14">
        <f>IF(OR($E889="",$Y889=""),"",IF($E889&gt;=$Y889,"×",IF($E889&gt;=$Y889*設定!$C$5,"△","○")))</f>
        <v/>
      </c>
      <c r="AA889" s="15">
        <f>IF($Z889="","",IF($Z889="×",0,IF($Z889="○",ROUNDDOWN($E889*設定!$C$4,0),ROUNDDOWN($E889*ROUND((9*$Y889-9*$E889)/(10*$E889),4),0))))</f>
        <v/>
      </c>
      <c r="AB889" s="13" t="n"/>
      <c r="AC889" s="15">
        <f>IF($B889="","",IF($AB889&lt;&gt;"",$AB889,IF($AA889="","",IF($AA889&lt;=設定!$C$3,0,$AA889))))</f>
        <v/>
      </c>
      <c r="AD889" s="14">
        <f>IF($B889="","",IF(AND($AE889&lt;&gt;"",$AG889="",$AJ889=""),"保留中",IF($AJ889&lt;&gt;"",IF(N($AC889)&gt;0,"支給済","不支給"),IF($AC889="","要確認",IF($AC889=0,"不支給","未処理")))))</f>
        <v/>
      </c>
      <c r="AE889" s="12" t="n"/>
      <c r="AF889" s="11" t="n"/>
      <c r="AG889" s="11" t="n"/>
      <c r="AH889" s="11" t="n"/>
      <c r="AI889" s="14">
        <f>IF(AND($AD889="保留中",$AF889&lt;&gt;""),TODAY()-$AF889,"")</f>
        <v/>
      </c>
      <c r="AJ889" s="12" t="n"/>
      <c r="AK889" s="14">
        <f>IF($B889="","",IF($AO889="","対象年月が未入力／","")&amp;IF($B889="","",IF($AN889="","職員マスタに未登録の職員番号／",IF($Y889="","標準報酬月額が未登録／","")&amp;IF(AND($AO889&lt;&gt;"",OR(AND(INDEX(職員マスタ!$G$6:$G$405,$AN889)&lt;&gt;"",INDEX(職員マスタ!$G$6:$G$405,$AN889)&gt;EOMONTH($AO889,0)),AND(INDEX(職員マスタ!$H$6:$H$405,$AN889)&lt;&gt;"",INDEX(職員マスタ!$H$6:$H$405,$AN889)&lt;$AO889))),"対象月が時短期間外／","")&amp;IF(AND(INDEX(職員マスタ!$F$6:$F$405,$AN889)&lt;&gt;"",$AO889&lt;&gt;"",INDEX(職員マスタ!$F$6:$F$405,$AN889)&lt;$AO889),"対象月に子が2歳到達済／","")&amp;IF(AND($H889&lt;&gt;"",INDEX(職員マスタ!$B$6:$B$405,$AN889)&lt;&gt;"",SUBSTITUTE(SUBSTITUTE($H889," ","")," ","")&lt;&gt;SUBSTITUTE(SUBSTITUTE(INDEX(職員マスタ!$B$6:$B$405,$AN889)," ","")," ","")),"氏名がマスタと相違／","")&amp;IF(AND($Q889&lt;&gt;"",INDEX(職員マスタ!$E$6:$E$405,$AN889)&lt;&gt;"",$Q889&lt;&gt;INDEX(職員マスタ!$E$6:$E$405,$AN889)),"子の生年月日がマスタと相違／","")&amp;IF(AND($L889&lt;&gt;"",INDEX(職員マスタ!$G$6:$G$405,$AN889)&lt;&gt;"",$L889&lt;&gt;INDEX(職員マスタ!$G$6:$G$405,$AN889)),"時短開始日がマスタと相違／","")&amp;IF(AND($M889&lt;&gt;"",INDEX(職員マスタ!$H$6:$H$405,$AN889)&lt;&gt;"",$M889&lt;&gt;INDEX(職員マスタ!$H$6:$H$405,$AN889)),"時短終了日がマスタと相違／","")))&amp;IF(AND($B889&lt;&gt;"",$E889=""),"報酬額が未入力／","")&amp;IF(N($U889)&gt;0,"申請書に入力エラーが残っています／","")&amp;IF(AND($B889&lt;&gt;"",$AO889&lt;&gt;""),IF(COUNTIFS($B$6:$B$3005,$B889,$C$6:$C$3005,$C889,$D$6:$D$3005,$D889)&gt;1,"同じ月の請求が重複しています／",""),"")&amp;IF(AND(N($E889)&gt;0,$Z889&lt;&gt;"",$Z889&lt;&gt;"×",$AC889=0,$AB889=""),"計算額が下限以下のため不支給／",""))</f>
        <v/>
      </c>
      <c r="AL889" s="12" t="n"/>
      <c r="AM889" s="14">
        <f>IF($AD889="保留中",COUNTIF($AD$6:$AD889,"保留中"),"")</f>
        <v/>
      </c>
      <c r="AN889" s="14">
        <f>IF($AO889="","",IF(SUMPRODUCT(MAX((職員マスタ!$A$6:$A$405=$B889)*(((職員マスタ!$G$6:$G$405="")+(職員マスタ!$G$6:$G$405&lt;=EOMONTH($AO889,0)))&gt;0)*(((職員マスタ!$H$6:$H$405="")+(職員マスタ!$H$6:$H$405&gt;=$AO889))&gt;0)*(ROW(職員マスタ!$A$6:$A$405)-5)))&gt;0,SUMPRODUCT(MAX((職員マスタ!$A$6:$A$405=$B889)*(((職員マスタ!$G$6:$G$405="")+(職員マスタ!$G$6:$G$405&lt;=EOMONTH($AO889,0)))&gt;0)*(((職員マスタ!$H$6:$H$405="")+(職員マスタ!$H$6:$H$405&gt;=$AO889))&gt;0)*(ROW(職員マスタ!$A$6:$A$405)-5))),IFERROR(MATCH($B889,職員マスタ!$A$6:$A$405,0),"")))</f>
        <v/>
      </c>
      <c r="AO889" s="16">
        <f>IF(OR($B889="",$C889="",$D889=""),"",DATE($C889+2018,$D889,1))</f>
        <v/>
      </c>
    </row>
    <row r="890">
      <c r="A890" s="11" t="n"/>
      <c r="B890" s="12" t="n"/>
      <c r="C890" s="12" t="n"/>
      <c r="D890" s="12" t="n"/>
      <c r="E890" s="13" t="n"/>
      <c r="F890" s="12" t="n"/>
      <c r="G890" s="13" t="n"/>
      <c r="H890" s="12" t="n"/>
      <c r="I890" s="12" t="n"/>
      <c r="J890" s="12" t="n"/>
      <c r="K890" s="12" t="n"/>
      <c r="L890" s="11" t="n"/>
      <c r="M890" s="11" t="n"/>
      <c r="N890" s="11" t="n"/>
      <c r="O890" s="11" t="n"/>
      <c r="P890" s="12" t="n"/>
      <c r="Q890" s="11" t="n"/>
      <c r="R890" s="12" t="n"/>
      <c r="S890" s="11" t="n"/>
      <c r="T890" s="12" t="n"/>
      <c r="U890" s="12" t="n"/>
      <c r="V890" s="14">
        <f>IF($AN890="",IF($B890="","",$H890),IF(INDEX(職員マスタ!$B$6:$B$405,$AN890)="",$H890,INDEX(職員マスタ!$B$6:$B$405,$AN890)))</f>
        <v/>
      </c>
      <c r="W890" s="14">
        <f>IF($AN890="",IF($B890="","",$R890),IF(INDEX(職員マスタ!$C$6:$C$405,$AN890)="",$R890,INDEX(職員マスタ!$C$6:$C$405,$AN890)))</f>
        <v/>
      </c>
      <c r="X890" s="14">
        <f>IF($AO890="","","R"&amp;$C890&amp;"."&amp;$D890)</f>
        <v/>
      </c>
      <c r="Y890" s="15">
        <f>IF($AN890="","",IF(INDEX(職員マスタ!$K$6:$K$405,$AN890)="","",INDEX(職員マスタ!$K$6:$K$405,$AN890)))</f>
        <v/>
      </c>
      <c r="Z890" s="14">
        <f>IF(OR($E890="",$Y890=""),"",IF($E890&gt;=$Y890,"×",IF($E890&gt;=$Y890*設定!$C$5,"△","○")))</f>
        <v/>
      </c>
      <c r="AA890" s="15">
        <f>IF($Z890="","",IF($Z890="×",0,IF($Z890="○",ROUNDDOWN($E890*設定!$C$4,0),ROUNDDOWN($E890*ROUND((9*$Y890-9*$E890)/(10*$E890),4),0))))</f>
        <v/>
      </c>
      <c r="AB890" s="13" t="n"/>
      <c r="AC890" s="15">
        <f>IF($B890="","",IF($AB890&lt;&gt;"",$AB890,IF($AA890="","",IF($AA890&lt;=設定!$C$3,0,$AA890))))</f>
        <v/>
      </c>
      <c r="AD890" s="14">
        <f>IF($B890="","",IF(AND($AE890&lt;&gt;"",$AG890="",$AJ890=""),"保留中",IF($AJ890&lt;&gt;"",IF(N($AC890)&gt;0,"支給済","不支給"),IF($AC890="","要確認",IF($AC890=0,"不支給","未処理")))))</f>
        <v/>
      </c>
      <c r="AE890" s="12" t="n"/>
      <c r="AF890" s="11" t="n"/>
      <c r="AG890" s="11" t="n"/>
      <c r="AH890" s="11" t="n"/>
      <c r="AI890" s="14">
        <f>IF(AND($AD890="保留中",$AF890&lt;&gt;""),TODAY()-$AF890,"")</f>
        <v/>
      </c>
      <c r="AJ890" s="12" t="n"/>
      <c r="AK890" s="14">
        <f>IF($B890="","",IF($AO890="","対象年月が未入力／","")&amp;IF($B890="","",IF($AN890="","職員マスタに未登録の職員番号／",IF($Y890="","標準報酬月額が未登録／","")&amp;IF(AND($AO890&lt;&gt;"",OR(AND(INDEX(職員マスタ!$G$6:$G$405,$AN890)&lt;&gt;"",INDEX(職員マスタ!$G$6:$G$405,$AN890)&gt;EOMONTH($AO890,0)),AND(INDEX(職員マスタ!$H$6:$H$405,$AN890)&lt;&gt;"",INDEX(職員マスタ!$H$6:$H$405,$AN890)&lt;$AO890))),"対象月が時短期間外／","")&amp;IF(AND(INDEX(職員マスタ!$F$6:$F$405,$AN890)&lt;&gt;"",$AO890&lt;&gt;"",INDEX(職員マスタ!$F$6:$F$405,$AN890)&lt;$AO890),"対象月に子が2歳到達済／","")&amp;IF(AND($H890&lt;&gt;"",INDEX(職員マスタ!$B$6:$B$405,$AN890)&lt;&gt;"",SUBSTITUTE(SUBSTITUTE($H890," ","")," ","")&lt;&gt;SUBSTITUTE(SUBSTITUTE(INDEX(職員マスタ!$B$6:$B$405,$AN890)," ","")," ","")),"氏名がマスタと相違／","")&amp;IF(AND($Q890&lt;&gt;"",INDEX(職員マスタ!$E$6:$E$405,$AN890)&lt;&gt;"",$Q890&lt;&gt;INDEX(職員マスタ!$E$6:$E$405,$AN890)),"子の生年月日がマスタと相違／","")&amp;IF(AND($L890&lt;&gt;"",INDEX(職員マスタ!$G$6:$G$405,$AN890)&lt;&gt;"",$L890&lt;&gt;INDEX(職員マスタ!$G$6:$G$405,$AN890)),"時短開始日がマスタと相違／","")&amp;IF(AND($M890&lt;&gt;"",INDEX(職員マスタ!$H$6:$H$405,$AN890)&lt;&gt;"",$M890&lt;&gt;INDEX(職員マスタ!$H$6:$H$405,$AN890)),"時短終了日がマスタと相違／","")))&amp;IF(AND($B890&lt;&gt;"",$E890=""),"報酬額が未入力／","")&amp;IF(N($U890)&gt;0,"申請書に入力エラーが残っています／","")&amp;IF(AND($B890&lt;&gt;"",$AO890&lt;&gt;""),IF(COUNTIFS($B$6:$B$3005,$B890,$C$6:$C$3005,$C890,$D$6:$D$3005,$D890)&gt;1,"同じ月の請求が重複しています／",""),"")&amp;IF(AND(N($E890)&gt;0,$Z890&lt;&gt;"",$Z890&lt;&gt;"×",$AC890=0,$AB890=""),"計算額が下限以下のため不支給／",""))</f>
        <v/>
      </c>
      <c r="AL890" s="12" t="n"/>
      <c r="AM890" s="14">
        <f>IF($AD890="保留中",COUNTIF($AD$6:$AD890,"保留中"),"")</f>
        <v/>
      </c>
      <c r="AN890" s="14">
        <f>IF($AO890="","",IF(SUMPRODUCT(MAX((職員マスタ!$A$6:$A$405=$B890)*(((職員マスタ!$G$6:$G$405="")+(職員マスタ!$G$6:$G$405&lt;=EOMONTH($AO890,0)))&gt;0)*(((職員マスタ!$H$6:$H$405="")+(職員マスタ!$H$6:$H$405&gt;=$AO890))&gt;0)*(ROW(職員マスタ!$A$6:$A$405)-5)))&gt;0,SUMPRODUCT(MAX((職員マスタ!$A$6:$A$405=$B890)*(((職員マスタ!$G$6:$G$405="")+(職員マスタ!$G$6:$G$405&lt;=EOMONTH($AO890,0)))&gt;0)*(((職員マスタ!$H$6:$H$405="")+(職員マスタ!$H$6:$H$405&gt;=$AO890))&gt;0)*(ROW(職員マスタ!$A$6:$A$405)-5))),IFERROR(MATCH($B890,職員マスタ!$A$6:$A$405,0),"")))</f>
        <v/>
      </c>
      <c r="AO890" s="16">
        <f>IF(OR($B890="",$C890="",$D890=""),"",DATE($C890+2018,$D890,1))</f>
        <v/>
      </c>
    </row>
    <row r="891">
      <c r="A891" s="11" t="n"/>
      <c r="B891" s="12" t="n"/>
      <c r="C891" s="12" t="n"/>
      <c r="D891" s="12" t="n"/>
      <c r="E891" s="13" t="n"/>
      <c r="F891" s="12" t="n"/>
      <c r="G891" s="13" t="n"/>
      <c r="H891" s="12" t="n"/>
      <c r="I891" s="12" t="n"/>
      <c r="J891" s="12" t="n"/>
      <c r="K891" s="12" t="n"/>
      <c r="L891" s="11" t="n"/>
      <c r="M891" s="11" t="n"/>
      <c r="N891" s="11" t="n"/>
      <c r="O891" s="11" t="n"/>
      <c r="P891" s="12" t="n"/>
      <c r="Q891" s="11" t="n"/>
      <c r="R891" s="12" t="n"/>
      <c r="S891" s="11" t="n"/>
      <c r="T891" s="12" t="n"/>
      <c r="U891" s="12" t="n"/>
      <c r="V891" s="14">
        <f>IF($AN891="",IF($B891="","",$H891),IF(INDEX(職員マスタ!$B$6:$B$405,$AN891)="",$H891,INDEX(職員マスタ!$B$6:$B$405,$AN891)))</f>
        <v/>
      </c>
      <c r="W891" s="14">
        <f>IF($AN891="",IF($B891="","",$R891),IF(INDEX(職員マスタ!$C$6:$C$405,$AN891)="",$R891,INDEX(職員マスタ!$C$6:$C$405,$AN891)))</f>
        <v/>
      </c>
      <c r="X891" s="14">
        <f>IF($AO891="","","R"&amp;$C891&amp;"."&amp;$D891)</f>
        <v/>
      </c>
      <c r="Y891" s="15">
        <f>IF($AN891="","",IF(INDEX(職員マスタ!$K$6:$K$405,$AN891)="","",INDEX(職員マスタ!$K$6:$K$405,$AN891)))</f>
        <v/>
      </c>
      <c r="Z891" s="14">
        <f>IF(OR($E891="",$Y891=""),"",IF($E891&gt;=$Y891,"×",IF($E891&gt;=$Y891*設定!$C$5,"△","○")))</f>
        <v/>
      </c>
      <c r="AA891" s="15">
        <f>IF($Z891="","",IF($Z891="×",0,IF($Z891="○",ROUNDDOWN($E891*設定!$C$4,0),ROUNDDOWN($E891*ROUND((9*$Y891-9*$E891)/(10*$E891),4),0))))</f>
        <v/>
      </c>
      <c r="AB891" s="13" t="n"/>
      <c r="AC891" s="15">
        <f>IF($B891="","",IF($AB891&lt;&gt;"",$AB891,IF($AA891="","",IF($AA891&lt;=設定!$C$3,0,$AA891))))</f>
        <v/>
      </c>
      <c r="AD891" s="14">
        <f>IF($B891="","",IF(AND($AE891&lt;&gt;"",$AG891="",$AJ891=""),"保留中",IF($AJ891&lt;&gt;"",IF(N($AC891)&gt;0,"支給済","不支給"),IF($AC891="","要確認",IF($AC891=0,"不支給","未処理")))))</f>
        <v/>
      </c>
      <c r="AE891" s="12" t="n"/>
      <c r="AF891" s="11" t="n"/>
      <c r="AG891" s="11" t="n"/>
      <c r="AH891" s="11" t="n"/>
      <c r="AI891" s="14">
        <f>IF(AND($AD891="保留中",$AF891&lt;&gt;""),TODAY()-$AF891,"")</f>
        <v/>
      </c>
      <c r="AJ891" s="12" t="n"/>
      <c r="AK891" s="14">
        <f>IF($B891="","",IF($AO891="","対象年月が未入力／","")&amp;IF($B891="","",IF($AN891="","職員マスタに未登録の職員番号／",IF($Y891="","標準報酬月額が未登録／","")&amp;IF(AND($AO891&lt;&gt;"",OR(AND(INDEX(職員マスタ!$G$6:$G$405,$AN891)&lt;&gt;"",INDEX(職員マスタ!$G$6:$G$405,$AN891)&gt;EOMONTH($AO891,0)),AND(INDEX(職員マスタ!$H$6:$H$405,$AN891)&lt;&gt;"",INDEX(職員マスタ!$H$6:$H$405,$AN891)&lt;$AO891))),"対象月が時短期間外／","")&amp;IF(AND(INDEX(職員マスタ!$F$6:$F$405,$AN891)&lt;&gt;"",$AO891&lt;&gt;"",INDEX(職員マスタ!$F$6:$F$405,$AN891)&lt;$AO891),"対象月に子が2歳到達済／","")&amp;IF(AND($H891&lt;&gt;"",INDEX(職員マスタ!$B$6:$B$405,$AN891)&lt;&gt;"",SUBSTITUTE(SUBSTITUTE($H891," ","")," ","")&lt;&gt;SUBSTITUTE(SUBSTITUTE(INDEX(職員マスタ!$B$6:$B$405,$AN891)," ","")," ","")),"氏名がマスタと相違／","")&amp;IF(AND($Q891&lt;&gt;"",INDEX(職員マスタ!$E$6:$E$405,$AN891)&lt;&gt;"",$Q891&lt;&gt;INDEX(職員マスタ!$E$6:$E$405,$AN891)),"子の生年月日がマスタと相違／","")&amp;IF(AND($L891&lt;&gt;"",INDEX(職員マスタ!$G$6:$G$405,$AN891)&lt;&gt;"",$L891&lt;&gt;INDEX(職員マスタ!$G$6:$G$405,$AN891)),"時短開始日がマスタと相違／","")&amp;IF(AND($M891&lt;&gt;"",INDEX(職員マスタ!$H$6:$H$405,$AN891)&lt;&gt;"",$M891&lt;&gt;INDEX(職員マスタ!$H$6:$H$405,$AN891)),"時短終了日がマスタと相違／","")))&amp;IF(AND($B891&lt;&gt;"",$E891=""),"報酬額が未入力／","")&amp;IF(N($U891)&gt;0,"申請書に入力エラーが残っています／","")&amp;IF(AND($B891&lt;&gt;"",$AO891&lt;&gt;""),IF(COUNTIFS($B$6:$B$3005,$B891,$C$6:$C$3005,$C891,$D$6:$D$3005,$D891)&gt;1,"同じ月の請求が重複しています／",""),"")&amp;IF(AND(N($E891)&gt;0,$Z891&lt;&gt;"",$Z891&lt;&gt;"×",$AC891=0,$AB891=""),"計算額が下限以下のため不支給／",""))</f>
        <v/>
      </c>
      <c r="AL891" s="12" t="n"/>
      <c r="AM891" s="14">
        <f>IF($AD891="保留中",COUNTIF($AD$6:$AD891,"保留中"),"")</f>
        <v/>
      </c>
      <c r="AN891" s="14">
        <f>IF($AO891="","",IF(SUMPRODUCT(MAX((職員マスタ!$A$6:$A$405=$B891)*(((職員マスタ!$G$6:$G$405="")+(職員マスタ!$G$6:$G$405&lt;=EOMONTH($AO891,0)))&gt;0)*(((職員マスタ!$H$6:$H$405="")+(職員マスタ!$H$6:$H$405&gt;=$AO891))&gt;0)*(ROW(職員マスタ!$A$6:$A$405)-5)))&gt;0,SUMPRODUCT(MAX((職員マスタ!$A$6:$A$405=$B891)*(((職員マスタ!$G$6:$G$405="")+(職員マスタ!$G$6:$G$405&lt;=EOMONTH($AO891,0)))&gt;0)*(((職員マスタ!$H$6:$H$405="")+(職員マスタ!$H$6:$H$405&gt;=$AO891))&gt;0)*(ROW(職員マスタ!$A$6:$A$405)-5))),IFERROR(MATCH($B891,職員マスタ!$A$6:$A$405,0),"")))</f>
        <v/>
      </c>
      <c r="AO891" s="16">
        <f>IF(OR($B891="",$C891="",$D891=""),"",DATE($C891+2018,$D891,1))</f>
        <v/>
      </c>
    </row>
    <row r="892">
      <c r="A892" s="11" t="n"/>
      <c r="B892" s="12" t="n"/>
      <c r="C892" s="12" t="n"/>
      <c r="D892" s="12" t="n"/>
      <c r="E892" s="13" t="n"/>
      <c r="F892" s="12" t="n"/>
      <c r="G892" s="13" t="n"/>
      <c r="H892" s="12" t="n"/>
      <c r="I892" s="12" t="n"/>
      <c r="J892" s="12" t="n"/>
      <c r="K892" s="12" t="n"/>
      <c r="L892" s="11" t="n"/>
      <c r="M892" s="11" t="n"/>
      <c r="N892" s="11" t="n"/>
      <c r="O892" s="11" t="n"/>
      <c r="P892" s="12" t="n"/>
      <c r="Q892" s="11" t="n"/>
      <c r="R892" s="12" t="n"/>
      <c r="S892" s="11" t="n"/>
      <c r="T892" s="12" t="n"/>
      <c r="U892" s="12" t="n"/>
      <c r="V892" s="14">
        <f>IF($AN892="",IF($B892="","",$H892),IF(INDEX(職員マスタ!$B$6:$B$405,$AN892)="",$H892,INDEX(職員マスタ!$B$6:$B$405,$AN892)))</f>
        <v/>
      </c>
      <c r="W892" s="14">
        <f>IF($AN892="",IF($B892="","",$R892),IF(INDEX(職員マスタ!$C$6:$C$405,$AN892)="",$R892,INDEX(職員マスタ!$C$6:$C$405,$AN892)))</f>
        <v/>
      </c>
      <c r="X892" s="14">
        <f>IF($AO892="","","R"&amp;$C892&amp;"."&amp;$D892)</f>
        <v/>
      </c>
      <c r="Y892" s="15">
        <f>IF($AN892="","",IF(INDEX(職員マスタ!$K$6:$K$405,$AN892)="","",INDEX(職員マスタ!$K$6:$K$405,$AN892)))</f>
        <v/>
      </c>
      <c r="Z892" s="14">
        <f>IF(OR($E892="",$Y892=""),"",IF($E892&gt;=$Y892,"×",IF($E892&gt;=$Y892*設定!$C$5,"△","○")))</f>
        <v/>
      </c>
      <c r="AA892" s="15">
        <f>IF($Z892="","",IF($Z892="×",0,IF($Z892="○",ROUNDDOWN($E892*設定!$C$4,0),ROUNDDOWN($E892*ROUND((9*$Y892-9*$E892)/(10*$E892),4),0))))</f>
        <v/>
      </c>
      <c r="AB892" s="13" t="n"/>
      <c r="AC892" s="15">
        <f>IF($B892="","",IF($AB892&lt;&gt;"",$AB892,IF($AA892="","",IF($AA892&lt;=設定!$C$3,0,$AA892))))</f>
        <v/>
      </c>
      <c r="AD892" s="14">
        <f>IF($B892="","",IF(AND($AE892&lt;&gt;"",$AG892="",$AJ892=""),"保留中",IF($AJ892&lt;&gt;"",IF(N($AC892)&gt;0,"支給済","不支給"),IF($AC892="","要確認",IF($AC892=0,"不支給","未処理")))))</f>
        <v/>
      </c>
      <c r="AE892" s="12" t="n"/>
      <c r="AF892" s="11" t="n"/>
      <c r="AG892" s="11" t="n"/>
      <c r="AH892" s="11" t="n"/>
      <c r="AI892" s="14">
        <f>IF(AND($AD892="保留中",$AF892&lt;&gt;""),TODAY()-$AF892,"")</f>
        <v/>
      </c>
      <c r="AJ892" s="12" t="n"/>
      <c r="AK892" s="14">
        <f>IF($B892="","",IF($AO892="","対象年月が未入力／","")&amp;IF($B892="","",IF($AN892="","職員マスタに未登録の職員番号／",IF($Y892="","標準報酬月額が未登録／","")&amp;IF(AND($AO892&lt;&gt;"",OR(AND(INDEX(職員マスタ!$G$6:$G$405,$AN892)&lt;&gt;"",INDEX(職員マスタ!$G$6:$G$405,$AN892)&gt;EOMONTH($AO892,0)),AND(INDEX(職員マスタ!$H$6:$H$405,$AN892)&lt;&gt;"",INDEX(職員マスタ!$H$6:$H$405,$AN892)&lt;$AO892))),"対象月が時短期間外／","")&amp;IF(AND(INDEX(職員マスタ!$F$6:$F$405,$AN892)&lt;&gt;"",$AO892&lt;&gt;"",INDEX(職員マスタ!$F$6:$F$405,$AN892)&lt;$AO892),"対象月に子が2歳到達済／","")&amp;IF(AND($H892&lt;&gt;"",INDEX(職員マスタ!$B$6:$B$405,$AN892)&lt;&gt;"",SUBSTITUTE(SUBSTITUTE($H892," ","")," ","")&lt;&gt;SUBSTITUTE(SUBSTITUTE(INDEX(職員マスタ!$B$6:$B$405,$AN892)," ","")," ","")),"氏名がマスタと相違／","")&amp;IF(AND($Q892&lt;&gt;"",INDEX(職員マスタ!$E$6:$E$405,$AN892)&lt;&gt;"",$Q892&lt;&gt;INDEX(職員マスタ!$E$6:$E$405,$AN892)),"子の生年月日がマスタと相違／","")&amp;IF(AND($L892&lt;&gt;"",INDEX(職員マスタ!$G$6:$G$405,$AN892)&lt;&gt;"",$L892&lt;&gt;INDEX(職員マスタ!$G$6:$G$405,$AN892)),"時短開始日がマスタと相違／","")&amp;IF(AND($M892&lt;&gt;"",INDEX(職員マスタ!$H$6:$H$405,$AN892)&lt;&gt;"",$M892&lt;&gt;INDEX(職員マスタ!$H$6:$H$405,$AN892)),"時短終了日がマスタと相違／","")))&amp;IF(AND($B892&lt;&gt;"",$E892=""),"報酬額が未入力／","")&amp;IF(N($U892)&gt;0,"申請書に入力エラーが残っています／","")&amp;IF(AND($B892&lt;&gt;"",$AO892&lt;&gt;""),IF(COUNTIFS($B$6:$B$3005,$B892,$C$6:$C$3005,$C892,$D$6:$D$3005,$D892)&gt;1,"同じ月の請求が重複しています／",""),"")&amp;IF(AND(N($E892)&gt;0,$Z892&lt;&gt;"",$Z892&lt;&gt;"×",$AC892=0,$AB892=""),"計算額が下限以下のため不支給／",""))</f>
        <v/>
      </c>
      <c r="AL892" s="12" t="n"/>
      <c r="AM892" s="14">
        <f>IF($AD892="保留中",COUNTIF($AD$6:$AD892,"保留中"),"")</f>
        <v/>
      </c>
      <c r="AN892" s="14">
        <f>IF($AO892="","",IF(SUMPRODUCT(MAX((職員マスタ!$A$6:$A$405=$B892)*(((職員マスタ!$G$6:$G$405="")+(職員マスタ!$G$6:$G$405&lt;=EOMONTH($AO892,0)))&gt;0)*(((職員マスタ!$H$6:$H$405="")+(職員マスタ!$H$6:$H$405&gt;=$AO892))&gt;0)*(ROW(職員マスタ!$A$6:$A$405)-5)))&gt;0,SUMPRODUCT(MAX((職員マスタ!$A$6:$A$405=$B892)*(((職員マスタ!$G$6:$G$405="")+(職員マスタ!$G$6:$G$405&lt;=EOMONTH($AO892,0)))&gt;0)*(((職員マスタ!$H$6:$H$405="")+(職員マスタ!$H$6:$H$405&gt;=$AO892))&gt;0)*(ROW(職員マスタ!$A$6:$A$405)-5))),IFERROR(MATCH($B892,職員マスタ!$A$6:$A$405,0),"")))</f>
        <v/>
      </c>
      <c r="AO892" s="16">
        <f>IF(OR($B892="",$C892="",$D892=""),"",DATE($C892+2018,$D892,1))</f>
        <v/>
      </c>
    </row>
    <row r="893">
      <c r="A893" s="11" t="n"/>
      <c r="B893" s="12" t="n"/>
      <c r="C893" s="12" t="n"/>
      <c r="D893" s="12" t="n"/>
      <c r="E893" s="13" t="n"/>
      <c r="F893" s="12" t="n"/>
      <c r="G893" s="13" t="n"/>
      <c r="H893" s="12" t="n"/>
      <c r="I893" s="12" t="n"/>
      <c r="J893" s="12" t="n"/>
      <c r="K893" s="12" t="n"/>
      <c r="L893" s="11" t="n"/>
      <c r="M893" s="11" t="n"/>
      <c r="N893" s="11" t="n"/>
      <c r="O893" s="11" t="n"/>
      <c r="P893" s="12" t="n"/>
      <c r="Q893" s="11" t="n"/>
      <c r="R893" s="12" t="n"/>
      <c r="S893" s="11" t="n"/>
      <c r="T893" s="12" t="n"/>
      <c r="U893" s="12" t="n"/>
      <c r="V893" s="14">
        <f>IF($AN893="",IF($B893="","",$H893),IF(INDEX(職員マスタ!$B$6:$B$405,$AN893)="",$H893,INDEX(職員マスタ!$B$6:$B$405,$AN893)))</f>
        <v/>
      </c>
      <c r="W893" s="14">
        <f>IF($AN893="",IF($B893="","",$R893),IF(INDEX(職員マスタ!$C$6:$C$405,$AN893)="",$R893,INDEX(職員マスタ!$C$6:$C$405,$AN893)))</f>
        <v/>
      </c>
      <c r="X893" s="14">
        <f>IF($AO893="","","R"&amp;$C893&amp;"."&amp;$D893)</f>
        <v/>
      </c>
      <c r="Y893" s="15">
        <f>IF($AN893="","",IF(INDEX(職員マスタ!$K$6:$K$405,$AN893)="","",INDEX(職員マスタ!$K$6:$K$405,$AN893)))</f>
        <v/>
      </c>
      <c r="Z893" s="14">
        <f>IF(OR($E893="",$Y893=""),"",IF($E893&gt;=$Y893,"×",IF($E893&gt;=$Y893*設定!$C$5,"△","○")))</f>
        <v/>
      </c>
      <c r="AA893" s="15">
        <f>IF($Z893="","",IF($Z893="×",0,IF($Z893="○",ROUNDDOWN($E893*設定!$C$4,0),ROUNDDOWN($E893*ROUND((9*$Y893-9*$E893)/(10*$E893),4),0))))</f>
        <v/>
      </c>
      <c r="AB893" s="13" t="n"/>
      <c r="AC893" s="15">
        <f>IF($B893="","",IF($AB893&lt;&gt;"",$AB893,IF($AA893="","",IF($AA893&lt;=設定!$C$3,0,$AA893))))</f>
        <v/>
      </c>
      <c r="AD893" s="14">
        <f>IF($B893="","",IF(AND($AE893&lt;&gt;"",$AG893="",$AJ893=""),"保留中",IF($AJ893&lt;&gt;"",IF(N($AC893)&gt;0,"支給済","不支給"),IF($AC893="","要確認",IF($AC893=0,"不支給","未処理")))))</f>
        <v/>
      </c>
      <c r="AE893" s="12" t="n"/>
      <c r="AF893" s="11" t="n"/>
      <c r="AG893" s="11" t="n"/>
      <c r="AH893" s="11" t="n"/>
      <c r="AI893" s="14">
        <f>IF(AND($AD893="保留中",$AF893&lt;&gt;""),TODAY()-$AF893,"")</f>
        <v/>
      </c>
      <c r="AJ893" s="12" t="n"/>
      <c r="AK893" s="14">
        <f>IF($B893="","",IF($AO893="","対象年月が未入力／","")&amp;IF($B893="","",IF($AN893="","職員マスタに未登録の職員番号／",IF($Y893="","標準報酬月額が未登録／","")&amp;IF(AND($AO893&lt;&gt;"",OR(AND(INDEX(職員マスタ!$G$6:$G$405,$AN893)&lt;&gt;"",INDEX(職員マスタ!$G$6:$G$405,$AN893)&gt;EOMONTH($AO893,0)),AND(INDEX(職員マスタ!$H$6:$H$405,$AN893)&lt;&gt;"",INDEX(職員マスタ!$H$6:$H$405,$AN893)&lt;$AO893))),"対象月が時短期間外／","")&amp;IF(AND(INDEX(職員マスタ!$F$6:$F$405,$AN893)&lt;&gt;"",$AO893&lt;&gt;"",INDEX(職員マスタ!$F$6:$F$405,$AN893)&lt;$AO893),"対象月に子が2歳到達済／","")&amp;IF(AND($H893&lt;&gt;"",INDEX(職員マスタ!$B$6:$B$405,$AN893)&lt;&gt;"",SUBSTITUTE(SUBSTITUTE($H893," ","")," ","")&lt;&gt;SUBSTITUTE(SUBSTITUTE(INDEX(職員マスタ!$B$6:$B$405,$AN893)," ","")," ","")),"氏名がマスタと相違／","")&amp;IF(AND($Q893&lt;&gt;"",INDEX(職員マスタ!$E$6:$E$405,$AN893)&lt;&gt;"",$Q893&lt;&gt;INDEX(職員マスタ!$E$6:$E$405,$AN893)),"子の生年月日がマスタと相違／","")&amp;IF(AND($L893&lt;&gt;"",INDEX(職員マスタ!$G$6:$G$405,$AN893)&lt;&gt;"",$L893&lt;&gt;INDEX(職員マスタ!$G$6:$G$405,$AN893)),"時短開始日がマスタと相違／","")&amp;IF(AND($M893&lt;&gt;"",INDEX(職員マスタ!$H$6:$H$405,$AN893)&lt;&gt;"",$M893&lt;&gt;INDEX(職員マスタ!$H$6:$H$405,$AN893)),"時短終了日がマスタと相違／","")))&amp;IF(AND($B893&lt;&gt;"",$E893=""),"報酬額が未入力／","")&amp;IF(N($U893)&gt;0,"申請書に入力エラーが残っています／","")&amp;IF(AND($B893&lt;&gt;"",$AO893&lt;&gt;""),IF(COUNTIFS($B$6:$B$3005,$B893,$C$6:$C$3005,$C893,$D$6:$D$3005,$D893)&gt;1,"同じ月の請求が重複しています／",""),"")&amp;IF(AND(N($E893)&gt;0,$Z893&lt;&gt;"",$Z893&lt;&gt;"×",$AC893=0,$AB893=""),"計算額が下限以下のため不支給／",""))</f>
        <v/>
      </c>
      <c r="AL893" s="12" t="n"/>
      <c r="AM893" s="14">
        <f>IF($AD893="保留中",COUNTIF($AD$6:$AD893,"保留中"),"")</f>
        <v/>
      </c>
      <c r="AN893" s="14">
        <f>IF($AO893="","",IF(SUMPRODUCT(MAX((職員マスタ!$A$6:$A$405=$B893)*(((職員マスタ!$G$6:$G$405="")+(職員マスタ!$G$6:$G$405&lt;=EOMONTH($AO893,0)))&gt;0)*(((職員マスタ!$H$6:$H$405="")+(職員マスタ!$H$6:$H$405&gt;=$AO893))&gt;0)*(ROW(職員マスタ!$A$6:$A$405)-5)))&gt;0,SUMPRODUCT(MAX((職員マスタ!$A$6:$A$405=$B893)*(((職員マスタ!$G$6:$G$405="")+(職員マスタ!$G$6:$G$405&lt;=EOMONTH($AO893,0)))&gt;0)*(((職員マスタ!$H$6:$H$405="")+(職員マスタ!$H$6:$H$405&gt;=$AO893))&gt;0)*(ROW(職員マスタ!$A$6:$A$405)-5))),IFERROR(MATCH($B893,職員マスタ!$A$6:$A$405,0),"")))</f>
        <v/>
      </c>
      <c r="AO893" s="16">
        <f>IF(OR($B893="",$C893="",$D893=""),"",DATE($C893+2018,$D893,1))</f>
        <v/>
      </c>
    </row>
    <row r="894">
      <c r="A894" s="11" t="n"/>
      <c r="B894" s="12" t="n"/>
      <c r="C894" s="12" t="n"/>
      <c r="D894" s="12" t="n"/>
      <c r="E894" s="13" t="n"/>
      <c r="F894" s="12" t="n"/>
      <c r="G894" s="13" t="n"/>
      <c r="H894" s="12" t="n"/>
      <c r="I894" s="12" t="n"/>
      <c r="J894" s="12" t="n"/>
      <c r="K894" s="12" t="n"/>
      <c r="L894" s="11" t="n"/>
      <c r="M894" s="11" t="n"/>
      <c r="N894" s="11" t="n"/>
      <c r="O894" s="11" t="n"/>
      <c r="P894" s="12" t="n"/>
      <c r="Q894" s="11" t="n"/>
      <c r="R894" s="12" t="n"/>
      <c r="S894" s="11" t="n"/>
      <c r="T894" s="12" t="n"/>
      <c r="U894" s="12" t="n"/>
      <c r="V894" s="14">
        <f>IF($AN894="",IF($B894="","",$H894),IF(INDEX(職員マスタ!$B$6:$B$405,$AN894)="",$H894,INDEX(職員マスタ!$B$6:$B$405,$AN894)))</f>
        <v/>
      </c>
      <c r="W894" s="14">
        <f>IF($AN894="",IF($B894="","",$R894),IF(INDEX(職員マスタ!$C$6:$C$405,$AN894)="",$R894,INDEX(職員マスタ!$C$6:$C$405,$AN894)))</f>
        <v/>
      </c>
      <c r="X894" s="14">
        <f>IF($AO894="","","R"&amp;$C894&amp;"."&amp;$D894)</f>
        <v/>
      </c>
      <c r="Y894" s="15">
        <f>IF($AN894="","",IF(INDEX(職員マスタ!$K$6:$K$405,$AN894)="","",INDEX(職員マスタ!$K$6:$K$405,$AN894)))</f>
        <v/>
      </c>
      <c r="Z894" s="14">
        <f>IF(OR($E894="",$Y894=""),"",IF($E894&gt;=$Y894,"×",IF($E894&gt;=$Y894*設定!$C$5,"△","○")))</f>
        <v/>
      </c>
      <c r="AA894" s="15">
        <f>IF($Z894="","",IF($Z894="×",0,IF($Z894="○",ROUNDDOWN($E894*設定!$C$4,0),ROUNDDOWN($E894*ROUND((9*$Y894-9*$E894)/(10*$E894),4),0))))</f>
        <v/>
      </c>
      <c r="AB894" s="13" t="n"/>
      <c r="AC894" s="15">
        <f>IF($B894="","",IF($AB894&lt;&gt;"",$AB894,IF($AA894="","",IF($AA894&lt;=設定!$C$3,0,$AA894))))</f>
        <v/>
      </c>
      <c r="AD894" s="14">
        <f>IF($B894="","",IF(AND($AE894&lt;&gt;"",$AG894="",$AJ894=""),"保留中",IF($AJ894&lt;&gt;"",IF(N($AC894)&gt;0,"支給済","不支給"),IF($AC894="","要確認",IF($AC894=0,"不支給","未処理")))))</f>
        <v/>
      </c>
      <c r="AE894" s="12" t="n"/>
      <c r="AF894" s="11" t="n"/>
      <c r="AG894" s="11" t="n"/>
      <c r="AH894" s="11" t="n"/>
      <c r="AI894" s="14">
        <f>IF(AND($AD894="保留中",$AF894&lt;&gt;""),TODAY()-$AF894,"")</f>
        <v/>
      </c>
      <c r="AJ894" s="12" t="n"/>
      <c r="AK894" s="14">
        <f>IF($B894="","",IF($AO894="","対象年月が未入力／","")&amp;IF($B894="","",IF($AN894="","職員マスタに未登録の職員番号／",IF($Y894="","標準報酬月額が未登録／","")&amp;IF(AND($AO894&lt;&gt;"",OR(AND(INDEX(職員マスタ!$G$6:$G$405,$AN894)&lt;&gt;"",INDEX(職員マスタ!$G$6:$G$405,$AN894)&gt;EOMONTH($AO894,0)),AND(INDEX(職員マスタ!$H$6:$H$405,$AN894)&lt;&gt;"",INDEX(職員マスタ!$H$6:$H$405,$AN894)&lt;$AO894))),"対象月が時短期間外／","")&amp;IF(AND(INDEX(職員マスタ!$F$6:$F$405,$AN894)&lt;&gt;"",$AO894&lt;&gt;"",INDEX(職員マスタ!$F$6:$F$405,$AN894)&lt;$AO894),"対象月に子が2歳到達済／","")&amp;IF(AND($H894&lt;&gt;"",INDEX(職員マスタ!$B$6:$B$405,$AN894)&lt;&gt;"",SUBSTITUTE(SUBSTITUTE($H894," ","")," ","")&lt;&gt;SUBSTITUTE(SUBSTITUTE(INDEX(職員マスタ!$B$6:$B$405,$AN894)," ","")," ","")),"氏名がマスタと相違／","")&amp;IF(AND($Q894&lt;&gt;"",INDEX(職員マスタ!$E$6:$E$405,$AN894)&lt;&gt;"",$Q894&lt;&gt;INDEX(職員マスタ!$E$6:$E$405,$AN894)),"子の生年月日がマスタと相違／","")&amp;IF(AND($L894&lt;&gt;"",INDEX(職員マスタ!$G$6:$G$405,$AN894)&lt;&gt;"",$L894&lt;&gt;INDEX(職員マスタ!$G$6:$G$405,$AN894)),"時短開始日がマスタと相違／","")&amp;IF(AND($M894&lt;&gt;"",INDEX(職員マスタ!$H$6:$H$405,$AN894)&lt;&gt;"",$M894&lt;&gt;INDEX(職員マスタ!$H$6:$H$405,$AN894)),"時短終了日がマスタと相違／","")))&amp;IF(AND($B894&lt;&gt;"",$E894=""),"報酬額が未入力／","")&amp;IF(N($U894)&gt;0,"申請書に入力エラーが残っています／","")&amp;IF(AND($B894&lt;&gt;"",$AO894&lt;&gt;""),IF(COUNTIFS($B$6:$B$3005,$B894,$C$6:$C$3005,$C894,$D$6:$D$3005,$D894)&gt;1,"同じ月の請求が重複しています／",""),"")&amp;IF(AND(N($E894)&gt;0,$Z894&lt;&gt;"",$Z894&lt;&gt;"×",$AC894=0,$AB894=""),"計算額が下限以下のため不支給／",""))</f>
        <v/>
      </c>
      <c r="AL894" s="12" t="n"/>
      <c r="AM894" s="14">
        <f>IF($AD894="保留中",COUNTIF($AD$6:$AD894,"保留中"),"")</f>
        <v/>
      </c>
      <c r="AN894" s="14">
        <f>IF($AO894="","",IF(SUMPRODUCT(MAX((職員マスタ!$A$6:$A$405=$B894)*(((職員マスタ!$G$6:$G$405="")+(職員マスタ!$G$6:$G$405&lt;=EOMONTH($AO894,0)))&gt;0)*(((職員マスタ!$H$6:$H$405="")+(職員マスタ!$H$6:$H$405&gt;=$AO894))&gt;0)*(ROW(職員マスタ!$A$6:$A$405)-5)))&gt;0,SUMPRODUCT(MAX((職員マスタ!$A$6:$A$405=$B894)*(((職員マスタ!$G$6:$G$405="")+(職員マスタ!$G$6:$G$405&lt;=EOMONTH($AO894,0)))&gt;0)*(((職員マスタ!$H$6:$H$405="")+(職員マスタ!$H$6:$H$405&gt;=$AO894))&gt;0)*(ROW(職員マスタ!$A$6:$A$405)-5))),IFERROR(MATCH($B894,職員マスタ!$A$6:$A$405,0),"")))</f>
        <v/>
      </c>
      <c r="AO894" s="16">
        <f>IF(OR($B894="",$C894="",$D894=""),"",DATE($C894+2018,$D894,1))</f>
        <v/>
      </c>
    </row>
    <row r="895">
      <c r="A895" s="11" t="n"/>
      <c r="B895" s="12" t="n"/>
      <c r="C895" s="12" t="n"/>
      <c r="D895" s="12" t="n"/>
      <c r="E895" s="13" t="n"/>
      <c r="F895" s="12" t="n"/>
      <c r="G895" s="13" t="n"/>
      <c r="H895" s="12" t="n"/>
      <c r="I895" s="12" t="n"/>
      <c r="J895" s="12" t="n"/>
      <c r="K895" s="12" t="n"/>
      <c r="L895" s="11" t="n"/>
      <c r="M895" s="11" t="n"/>
      <c r="N895" s="11" t="n"/>
      <c r="O895" s="11" t="n"/>
      <c r="P895" s="12" t="n"/>
      <c r="Q895" s="11" t="n"/>
      <c r="R895" s="12" t="n"/>
      <c r="S895" s="11" t="n"/>
      <c r="T895" s="12" t="n"/>
      <c r="U895" s="12" t="n"/>
      <c r="V895" s="14">
        <f>IF($AN895="",IF($B895="","",$H895),IF(INDEX(職員マスタ!$B$6:$B$405,$AN895)="",$H895,INDEX(職員マスタ!$B$6:$B$405,$AN895)))</f>
        <v/>
      </c>
      <c r="W895" s="14">
        <f>IF($AN895="",IF($B895="","",$R895),IF(INDEX(職員マスタ!$C$6:$C$405,$AN895)="",$R895,INDEX(職員マスタ!$C$6:$C$405,$AN895)))</f>
        <v/>
      </c>
      <c r="X895" s="14">
        <f>IF($AO895="","","R"&amp;$C895&amp;"."&amp;$D895)</f>
        <v/>
      </c>
      <c r="Y895" s="15">
        <f>IF($AN895="","",IF(INDEX(職員マスタ!$K$6:$K$405,$AN895)="","",INDEX(職員マスタ!$K$6:$K$405,$AN895)))</f>
        <v/>
      </c>
      <c r="Z895" s="14">
        <f>IF(OR($E895="",$Y895=""),"",IF($E895&gt;=$Y895,"×",IF($E895&gt;=$Y895*設定!$C$5,"△","○")))</f>
        <v/>
      </c>
      <c r="AA895" s="15">
        <f>IF($Z895="","",IF($Z895="×",0,IF($Z895="○",ROUNDDOWN($E895*設定!$C$4,0),ROUNDDOWN($E895*ROUND((9*$Y895-9*$E895)/(10*$E895),4),0))))</f>
        <v/>
      </c>
      <c r="AB895" s="13" t="n"/>
      <c r="AC895" s="15">
        <f>IF($B895="","",IF($AB895&lt;&gt;"",$AB895,IF($AA895="","",IF($AA895&lt;=設定!$C$3,0,$AA895))))</f>
        <v/>
      </c>
      <c r="AD895" s="14">
        <f>IF($B895="","",IF(AND($AE895&lt;&gt;"",$AG895="",$AJ895=""),"保留中",IF($AJ895&lt;&gt;"",IF(N($AC895)&gt;0,"支給済","不支給"),IF($AC895="","要確認",IF($AC895=0,"不支給","未処理")))))</f>
        <v/>
      </c>
      <c r="AE895" s="12" t="n"/>
      <c r="AF895" s="11" t="n"/>
      <c r="AG895" s="11" t="n"/>
      <c r="AH895" s="11" t="n"/>
      <c r="AI895" s="14">
        <f>IF(AND($AD895="保留中",$AF895&lt;&gt;""),TODAY()-$AF895,"")</f>
        <v/>
      </c>
      <c r="AJ895" s="12" t="n"/>
      <c r="AK895" s="14">
        <f>IF($B895="","",IF($AO895="","対象年月が未入力／","")&amp;IF($B895="","",IF($AN895="","職員マスタに未登録の職員番号／",IF($Y895="","標準報酬月額が未登録／","")&amp;IF(AND($AO895&lt;&gt;"",OR(AND(INDEX(職員マスタ!$G$6:$G$405,$AN895)&lt;&gt;"",INDEX(職員マスタ!$G$6:$G$405,$AN895)&gt;EOMONTH($AO895,0)),AND(INDEX(職員マスタ!$H$6:$H$405,$AN895)&lt;&gt;"",INDEX(職員マスタ!$H$6:$H$405,$AN895)&lt;$AO895))),"対象月が時短期間外／","")&amp;IF(AND(INDEX(職員マスタ!$F$6:$F$405,$AN895)&lt;&gt;"",$AO895&lt;&gt;"",INDEX(職員マスタ!$F$6:$F$405,$AN895)&lt;$AO895),"対象月に子が2歳到達済／","")&amp;IF(AND($H895&lt;&gt;"",INDEX(職員マスタ!$B$6:$B$405,$AN895)&lt;&gt;"",SUBSTITUTE(SUBSTITUTE($H895," ","")," ","")&lt;&gt;SUBSTITUTE(SUBSTITUTE(INDEX(職員マスタ!$B$6:$B$405,$AN895)," ","")," ","")),"氏名がマスタと相違／","")&amp;IF(AND($Q895&lt;&gt;"",INDEX(職員マスタ!$E$6:$E$405,$AN895)&lt;&gt;"",$Q895&lt;&gt;INDEX(職員マスタ!$E$6:$E$405,$AN895)),"子の生年月日がマスタと相違／","")&amp;IF(AND($L895&lt;&gt;"",INDEX(職員マスタ!$G$6:$G$405,$AN895)&lt;&gt;"",$L895&lt;&gt;INDEX(職員マスタ!$G$6:$G$405,$AN895)),"時短開始日がマスタと相違／","")&amp;IF(AND($M895&lt;&gt;"",INDEX(職員マスタ!$H$6:$H$405,$AN895)&lt;&gt;"",$M895&lt;&gt;INDEX(職員マスタ!$H$6:$H$405,$AN895)),"時短終了日がマスタと相違／","")))&amp;IF(AND($B895&lt;&gt;"",$E895=""),"報酬額が未入力／","")&amp;IF(N($U895)&gt;0,"申請書に入力エラーが残っています／","")&amp;IF(AND($B895&lt;&gt;"",$AO895&lt;&gt;""),IF(COUNTIFS($B$6:$B$3005,$B895,$C$6:$C$3005,$C895,$D$6:$D$3005,$D895)&gt;1,"同じ月の請求が重複しています／",""),"")&amp;IF(AND(N($E895)&gt;0,$Z895&lt;&gt;"",$Z895&lt;&gt;"×",$AC895=0,$AB895=""),"計算額が下限以下のため不支給／",""))</f>
        <v/>
      </c>
      <c r="AL895" s="12" t="n"/>
      <c r="AM895" s="14">
        <f>IF($AD895="保留中",COUNTIF($AD$6:$AD895,"保留中"),"")</f>
        <v/>
      </c>
      <c r="AN895" s="14">
        <f>IF($AO895="","",IF(SUMPRODUCT(MAX((職員マスタ!$A$6:$A$405=$B895)*(((職員マスタ!$G$6:$G$405="")+(職員マスタ!$G$6:$G$405&lt;=EOMONTH($AO895,0)))&gt;0)*(((職員マスタ!$H$6:$H$405="")+(職員マスタ!$H$6:$H$405&gt;=$AO895))&gt;0)*(ROW(職員マスタ!$A$6:$A$405)-5)))&gt;0,SUMPRODUCT(MAX((職員マスタ!$A$6:$A$405=$B895)*(((職員マスタ!$G$6:$G$405="")+(職員マスタ!$G$6:$G$405&lt;=EOMONTH($AO895,0)))&gt;0)*(((職員マスタ!$H$6:$H$405="")+(職員マスタ!$H$6:$H$405&gt;=$AO895))&gt;0)*(ROW(職員マスタ!$A$6:$A$405)-5))),IFERROR(MATCH($B895,職員マスタ!$A$6:$A$405,0),"")))</f>
        <v/>
      </c>
      <c r="AO895" s="16">
        <f>IF(OR($B895="",$C895="",$D895=""),"",DATE($C895+2018,$D895,1))</f>
        <v/>
      </c>
    </row>
    <row r="896">
      <c r="A896" s="11" t="n"/>
      <c r="B896" s="12" t="n"/>
      <c r="C896" s="12" t="n"/>
      <c r="D896" s="12" t="n"/>
      <c r="E896" s="13" t="n"/>
      <c r="F896" s="12" t="n"/>
      <c r="G896" s="13" t="n"/>
      <c r="H896" s="12" t="n"/>
      <c r="I896" s="12" t="n"/>
      <c r="J896" s="12" t="n"/>
      <c r="K896" s="12" t="n"/>
      <c r="L896" s="11" t="n"/>
      <c r="M896" s="11" t="n"/>
      <c r="N896" s="11" t="n"/>
      <c r="O896" s="11" t="n"/>
      <c r="P896" s="12" t="n"/>
      <c r="Q896" s="11" t="n"/>
      <c r="R896" s="12" t="n"/>
      <c r="S896" s="11" t="n"/>
      <c r="T896" s="12" t="n"/>
      <c r="U896" s="12" t="n"/>
      <c r="V896" s="14">
        <f>IF($AN896="",IF($B896="","",$H896),IF(INDEX(職員マスタ!$B$6:$B$405,$AN896)="",$H896,INDEX(職員マスタ!$B$6:$B$405,$AN896)))</f>
        <v/>
      </c>
      <c r="W896" s="14">
        <f>IF($AN896="",IF($B896="","",$R896),IF(INDEX(職員マスタ!$C$6:$C$405,$AN896)="",$R896,INDEX(職員マスタ!$C$6:$C$405,$AN896)))</f>
        <v/>
      </c>
      <c r="X896" s="14">
        <f>IF($AO896="","","R"&amp;$C896&amp;"."&amp;$D896)</f>
        <v/>
      </c>
      <c r="Y896" s="15">
        <f>IF($AN896="","",IF(INDEX(職員マスタ!$K$6:$K$405,$AN896)="","",INDEX(職員マスタ!$K$6:$K$405,$AN896)))</f>
        <v/>
      </c>
      <c r="Z896" s="14">
        <f>IF(OR($E896="",$Y896=""),"",IF($E896&gt;=$Y896,"×",IF($E896&gt;=$Y896*設定!$C$5,"△","○")))</f>
        <v/>
      </c>
      <c r="AA896" s="15">
        <f>IF($Z896="","",IF($Z896="×",0,IF($Z896="○",ROUNDDOWN($E896*設定!$C$4,0),ROUNDDOWN($E896*ROUND((9*$Y896-9*$E896)/(10*$E896),4),0))))</f>
        <v/>
      </c>
      <c r="AB896" s="13" t="n"/>
      <c r="AC896" s="15">
        <f>IF($B896="","",IF($AB896&lt;&gt;"",$AB896,IF($AA896="","",IF($AA896&lt;=設定!$C$3,0,$AA896))))</f>
        <v/>
      </c>
      <c r="AD896" s="14">
        <f>IF($B896="","",IF(AND($AE896&lt;&gt;"",$AG896="",$AJ896=""),"保留中",IF($AJ896&lt;&gt;"",IF(N($AC896)&gt;0,"支給済","不支給"),IF($AC896="","要確認",IF($AC896=0,"不支給","未処理")))))</f>
        <v/>
      </c>
      <c r="AE896" s="12" t="n"/>
      <c r="AF896" s="11" t="n"/>
      <c r="AG896" s="11" t="n"/>
      <c r="AH896" s="11" t="n"/>
      <c r="AI896" s="14">
        <f>IF(AND($AD896="保留中",$AF896&lt;&gt;""),TODAY()-$AF896,"")</f>
        <v/>
      </c>
      <c r="AJ896" s="12" t="n"/>
      <c r="AK896" s="14">
        <f>IF($B896="","",IF($AO896="","対象年月が未入力／","")&amp;IF($B896="","",IF($AN896="","職員マスタに未登録の職員番号／",IF($Y896="","標準報酬月額が未登録／","")&amp;IF(AND($AO896&lt;&gt;"",OR(AND(INDEX(職員マスタ!$G$6:$G$405,$AN896)&lt;&gt;"",INDEX(職員マスタ!$G$6:$G$405,$AN896)&gt;EOMONTH($AO896,0)),AND(INDEX(職員マスタ!$H$6:$H$405,$AN896)&lt;&gt;"",INDEX(職員マスタ!$H$6:$H$405,$AN896)&lt;$AO896))),"対象月が時短期間外／","")&amp;IF(AND(INDEX(職員マスタ!$F$6:$F$405,$AN896)&lt;&gt;"",$AO896&lt;&gt;"",INDEX(職員マスタ!$F$6:$F$405,$AN896)&lt;$AO896),"対象月に子が2歳到達済／","")&amp;IF(AND($H896&lt;&gt;"",INDEX(職員マスタ!$B$6:$B$405,$AN896)&lt;&gt;"",SUBSTITUTE(SUBSTITUTE($H896," ","")," ","")&lt;&gt;SUBSTITUTE(SUBSTITUTE(INDEX(職員マスタ!$B$6:$B$405,$AN896)," ","")," ","")),"氏名がマスタと相違／","")&amp;IF(AND($Q896&lt;&gt;"",INDEX(職員マスタ!$E$6:$E$405,$AN896)&lt;&gt;"",$Q896&lt;&gt;INDEX(職員マスタ!$E$6:$E$405,$AN896)),"子の生年月日がマスタと相違／","")&amp;IF(AND($L896&lt;&gt;"",INDEX(職員マスタ!$G$6:$G$405,$AN896)&lt;&gt;"",$L896&lt;&gt;INDEX(職員マスタ!$G$6:$G$405,$AN896)),"時短開始日がマスタと相違／","")&amp;IF(AND($M896&lt;&gt;"",INDEX(職員マスタ!$H$6:$H$405,$AN896)&lt;&gt;"",$M896&lt;&gt;INDEX(職員マスタ!$H$6:$H$405,$AN896)),"時短終了日がマスタと相違／","")))&amp;IF(AND($B896&lt;&gt;"",$E896=""),"報酬額が未入力／","")&amp;IF(N($U896)&gt;0,"申請書に入力エラーが残っています／","")&amp;IF(AND($B896&lt;&gt;"",$AO896&lt;&gt;""),IF(COUNTIFS($B$6:$B$3005,$B896,$C$6:$C$3005,$C896,$D$6:$D$3005,$D896)&gt;1,"同じ月の請求が重複しています／",""),"")&amp;IF(AND(N($E896)&gt;0,$Z896&lt;&gt;"",$Z896&lt;&gt;"×",$AC896=0,$AB896=""),"計算額が下限以下のため不支給／",""))</f>
        <v/>
      </c>
      <c r="AL896" s="12" t="n"/>
      <c r="AM896" s="14">
        <f>IF($AD896="保留中",COUNTIF($AD$6:$AD896,"保留中"),"")</f>
        <v/>
      </c>
      <c r="AN896" s="14">
        <f>IF($AO896="","",IF(SUMPRODUCT(MAX((職員マスタ!$A$6:$A$405=$B896)*(((職員マスタ!$G$6:$G$405="")+(職員マスタ!$G$6:$G$405&lt;=EOMONTH($AO896,0)))&gt;0)*(((職員マスタ!$H$6:$H$405="")+(職員マスタ!$H$6:$H$405&gt;=$AO896))&gt;0)*(ROW(職員マスタ!$A$6:$A$405)-5)))&gt;0,SUMPRODUCT(MAX((職員マスタ!$A$6:$A$405=$B896)*(((職員マスタ!$G$6:$G$405="")+(職員マスタ!$G$6:$G$405&lt;=EOMONTH($AO896,0)))&gt;0)*(((職員マスタ!$H$6:$H$405="")+(職員マスタ!$H$6:$H$405&gt;=$AO896))&gt;0)*(ROW(職員マスタ!$A$6:$A$405)-5))),IFERROR(MATCH($B896,職員マスタ!$A$6:$A$405,0),"")))</f>
        <v/>
      </c>
      <c r="AO896" s="16">
        <f>IF(OR($B896="",$C896="",$D896=""),"",DATE($C896+2018,$D896,1))</f>
        <v/>
      </c>
    </row>
    <row r="897">
      <c r="A897" s="11" t="n"/>
      <c r="B897" s="12" t="n"/>
      <c r="C897" s="12" t="n"/>
      <c r="D897" s="12" t="n"/>
      <c r="E897" s="13" t="n"/>
      <c r="F897" s="12" t="n"/>
      <c r="G897" s="13" t="n"/>
      <c r="H897" s="12" t="n"/>
      <c r="I897" s="12" t="n"/>
      <c r="J897" s="12" t="n"/>
      <c r="K897" s="12" t="n"/>
      <c r="L897" s="11" t="n"/>
      <c r="M897" s="11" t="n"/>
      <c r="N897" s="11" t="n"/>
      <c r="O897" s="11" t="n"/>
      <c r="P897" s="12" t="n"/>
      <c r="Q897" s="11" t="n"/>
      <c r="R897" s="12" t="n"/>
      <c r="S897" s="11" t="n"/>
      <c r="T897" s="12" t="n"/>
      <c r="U897" s="12" t="n"/>
      <c r="V897" s="14">
        <f>IF($AN897="",IF($B897="","",$H897),IF(INDEX(職員マスタ!$B$6:$B$405,$AN897)="",$H897,INDEX(職員マスタ!$B$6:$B$405,$AN897)))</f>
        <v/>
      </c>
      <c r="W897" s="14">
        <f>IF($AN897="",IF($B897="","",$R897),IF(INDEX(職員マスタ!$C$6:$C$405,$AN897)="",$R897,INDEX(職員マスタ!$C$6:$C$405,$AN897)))</f>
        <v/>
      </c>
      <c r="X897" s="14">
        <f>IF($AO897="","","R"&amp;$C897&amp;"."&amp;$D897)</f>
        <v/>
      </c>
      <c r="Y897" s="15">
        <f>IF($AN897="","",IF(INDEX(職員マスタ!$K$6:$K$405,$AN897)="","",INDEX(職員マスタ!$K$6:$K$405,$AN897)))</f>
        <v/>
      </c>
      <c r="Z897" s="14">
        <f>IF(OR($E897="",$Y897=""),"",IF($E897&gt;=$Y897,"×",IF($E897&gt;=$Y897*設定!$C$5,"△","○")))</f>
        <v/>
      </c>
      <c r="AA897" s="15">
        <f>IF($Z897="","",IF($Z897="×",0,IF($Z897="○",ROUNDDOWN($E897*設定!$C$4,0),ROUNDDOWN($E897*ROUND((9*$Y897-9*$E897)/(10*$E897),4),0))))</f>
        <v/>
      </c>
      <c r="AB897" s="13" t="n"/>
      <c r="AC897" s="15">
        <f>IF($B897="","",IF($AB897&lt;&gt;"",$AB897,IF($AA897="","",IF($AA897&lt;=設定!$C$3,0,$AA897))))</f>
        <v/>
      </c>
      <c r="AD897" s="14">
        <f>IF($B897="","",IF(AND($AE897&lt;&gt;"",$AG897="",$AJ897=""),"保留中",IF($AJ897&lt;&gt;"",IF(N($AC897)&gt;0,"支給済","不支給"),IF($AC897="","要確認",IF($AC897=0,"不支給","未処理")))))</f>
        <v/>
      </c>
      <c r="AE897" s="12" t="n"/>
      <c r="AF897" s="11" t="n"/>
      <c r="AG897" s="11" t="n"/>
      <c r="AH897" s="11" t="n"/>
      <c r="AI897" s="14">
        <f>IF(AND($AD897="保留中",$AF897&lt;&gt;""),TODAY()-$AF897,"")</f>
        <v/>
      </c>
      <c r="AJ897" s="12" t="n"/>
      <c r="AK897" s="14">
        <f>IF($B897="","",IF($AO897="","対象年月が未入力／","")&amp;IF($B897="","",IF($AN897="","職員マスタに未登録の職員番号／",IF($Y897="","標準報酬月額が未登録／","")&amp;IF(AND($AO897&lt;&gt;"",OR(AND(INDEX(職員マスタ!$G$6:$G$405,$AN897)&lt;&gt;"",INDEX(職員マスタ!$G$6:$G$405,$AN897)&gt;EOMONTH($AO897,0)),AND(INDEX(職員マスタ!$H$6:$H$405,$AN897)&lt;&gt;"",INDEX(職員マスタ!$H$6:$H$405,$AN897)&lt;$AO897))),"対象月が時短期間外／","")&amp;IF(AND(INDEX(職員マスタ!$F$6:$F$405,$AN897)&lt;&gt;"",$AO897&lt;&gt;"",INDEX(職員マスタ!$F$6:$F$405,$AN897)&lt;$AO897),"対象月に子が2歳到達済／","")&amp;IF(AND($H897&lt;&gt;"",INDEX(職員マスタ!$B$6:$B$405,$AN897)&lt;&gt;"",SUBSTITUTE(SUBSTITUTE($H897," ","")," ","")&lt;&gt;SUBSTITUTE(SUBSTITUTE(INDEX(職員マスタ!$B$6:$B$405,$AN897)," ","")," ","")),"氏名がマスタと相違／","")&amp;IF(AND($Q897&lt;&gt;"",INDEX(職員マスタ!$E$6:$E$405,$AN897)&lt;&gt;"",$Q897&lt;&gt;INDEX(職員マスタ!$E$6:$E$405,$AN897)),"子の生年月日がマスタと相違／","")&amp;IF(AND($L897&lt;&gt;"",INDEX(職員マスタ!$G$6:$G$405,$AN897)&lt;&gt;"",$L897&lt;&gt;INDEX(職員マスタ!$G$6:$G$405,$AN897)),"時短開始日がマスタと相違／","")&amp;IF(AND($M897&lt;&gt;"",INDEX(職員マスタ!$H$6:$H$405,$AN897)&lt;&gt;"",$M897&lt;&gt;INDEX(職員マスタ!$H$6:$H$405,$AN897)),"時短終了日がマスタと相違／","")))&amp;IF(AND($B897&lt;&gt;"",$E897=""),"報酬額が未入力／","")&amp;IF(N($U897)&gt;0,"申請書に入力エラーが残っています／","")&amp;IF(AND($B897&lt;&gt;"",$AO897&lt;&gt;""),IF(COUNTIFS($B$6:$B$3005,$B897,$C$6:$C$3005,$C897,$D$6:$D$3005,$D897)&gt;1,"同じ月の請求が重複しています／",""),"")&amp;IF(AND(N($E897)&gt;0,$Z897&lt;&gt;"",$Z897&lt;&gt;"×",$AC897=0,$AB897=""),"計算額が下限以下のため不支給／",""))</f>
        <v/>
      </c>
      <c r="AL897" s="12" t="n"/>
      <c r="AM897" s="14">
        <f>IF($AD897="保留中",COUNTIF($AD$6:$AD897,"保留中"),"")</f>
        <v/>
      </c>
      <c r="AN897" s="14">
        <f>IF($AO897="","",IF(SUMPRODUCT(MAX((職員マスタ!$A$6:$A$405=$B897)*(((職員マスタ!$G$6:$G$405="")+(職員マスタ!$G$6:$G$405&lt;=EOMONTH($AO897,0)))&gt;0)*(((職員マスタ!$H$6:$H$405="")+(職員マスタ!$H$6:$H$405&gt;=$AO897))&gt;0)*(ROW(職員マスタ!$A$6:$A$405)-5)))&gt;0,SUMPRODUCT(MAX((職員マスタ!$A$6:$A$405=$B897)*(((職員マスタ!$G$6:$G$405="")+(職員マスタ!$G$6:$G$405&lt;=EOMONTH($AO897,0)))&gt;0)*(((職員マスタ!$H$6:$H$405="")+(職員マスタ!$H$6:$H$405&gt;=$AO897))&gt;0)*(ROW(職員マスタ!$A$6:$A$405)-5))),IFERROR(MATCH($B897,職員マスタ!$A$6:$A$405,0),"")))</f>
        <v/>
      </c>
      <c r="AO897" s="16">
        <f>IF(OR($B897="",$C897="",$D897=""),"",DATE($C897+2018,$D897,1))</f>
        <v/>
      </c>
    </row>
    <row r="898">
      <c r="A898" s="11" t="n"/>
      <c r="B898" s="12" t="n"/>
      <c r="C898" s="12" t="n"/>
      <c r="D898" s="12" t="n"/>
      <c r="E898" s="13" t="n"/>
      <c r="F898" s="12" t="n"/>
      <c r="G898" s="13" t="n"/>
      <c r="H898" s="12" t="n"/>
      <c r="I898" s="12" t="n"/>
      <c r="J898" s="12" t="n"/>
      <c r="K898" s="12" t="n"/>
      <c r="L898" s="11" t="n"/>
      <c r="M898" s="11" t="n"/>
      <c r="N898" s="11" t="n"/>
      <c r="O898" s="11" t="n"/>
      <c r="P898" s="12" t="n"/>
      <c r="Q898" s="11" t="n"/>
      <c r="R898" s="12" t="n"/>
      <c r="S898" s="11" t="n"/>
      <c r="T898" s="12" t="n"/>
      <c r="U898" s="12" t="n"/>
      <c r="V898" s="14">
        <f>IF($AN898="",IF($B898="","",$H898),IF(INDEX(職員マスタ!$B$6:$B$405,$AN898)="",$H898,INDEX(職員マスタ!$B$6:$B$405,$AN898)))</f>
        <v/>
      </c>
      <c r="W898" s="14">
        <f>IF($AN898="",IF($B898="","",$R898),IF(INDEX(職員マスタ!$C$6:$C$405,$AN898)="",$R898,INDEX(職員マスタ!$C$6:$C$405,$AN898)))</f>
        <v/>
      </c>
      <c r="X898" s="14">
        <f>IF($AO898="","","R"&amp;$C898&amp;"."&amp;$D898)</f>
        <v/>
      </c>
      <c r="Y898" s="15">
        <f>IF($AN898="","",IF(INDEX(職員マスタ!$K$6:$K$405,$AN898)="","",INDEX(職員マスタ!$K$6:$K$405,$AN898)))</f>
        <v/>
      </c>
      <c r="Z898" s="14">
        <f>IF(OR($E898="",$Y898=""),"",IF($E898&gt;=$Y898,"×",IF($E898&gt;=$Y898*設定!$C$5,"△","○")))</f>
        <v/>
      </c>
      <c r="AA898" s="15">
        <f>IF($Z898="","",IF($Z898="×",0,IF($Z898="○",ROUNDDOWN($E898*設定!$C$4,0),ROUNDDOWN($E898*ROUND((9*$Y898-9*$E898)/(10*$E898),4),0))))</f>
        <v/>
      </c>
      <c r="AB898" s="13" t="n"/>
      <c r="AC898" s="15">
        <f>IF($B898="","",IF($AB898&lt;&gt;"",$AB898,IF($AA898="","",IF($AA898&lt;=設定!$C$3,0,$AA898))))</f>
        <v/>
      </c>
      <c r="AD898" s="14">
        <f>IF($B898="","",IF(AND($AE898&lt;&gt;"",$AG898="",$AJ898=""),"保留中",IF($AJ898&lt;&gt;"",IF(N($AC898)&gt;0,"支給済","不支給"),IF($AC898="","要確認",IF($AC898=0,"不支給","未処理")))))</f>
        <v/>
      </c>
      <c r="AE898" s="12" t="n"/>
      <c r="AF898" s="11" t="n"/>
      <c r="AG898" s="11" t="n"/>
      <c r="AH898" s="11" t="n"/>
      <c r="AI898" s="14">
        <f>IF(AND($AD898="保留中",$AF898&lt;&gt;""),TODAY()-$AF898,"")</f>
        <v/>
      </c>
      <c r="AJ898" s="12" t="n"/>
      <c r="AK898" s="14">
        <f>IF($B898="","",IF($AO898="","対象年月が未入力／","")&amp;IF($B898="","",IF($AN898="","職員マスタに未登録の職員番号／",IF($Y898="","標準報酬月額が未登録／","")&amp;IF(AND($AO898&lt;&gt;"",OR(AND(INDEX(職員マスタ!$G$6:$G$405,$AN898)&lt;&gt;"",INDEX(職員マスタ!$G$6:$G$405,$AN898)&gt;EOMONTH($AO898,0)),AND(INDEX(職員マスタ!$H$6:$H$405,$AN898)&lt;&gt;"",INDEX(職員マスタ!$H$6:$H$405,$AN898)&lt;$AO898))),"対象月が時短期間外／","")&amp;IF(AND(INDEX(職員マスタ!$F$6:$F$405,$AN898)&lt;&gt;"",$AO898&lt;&gt;"",INDEX(職員マスタ!$F$6:$F$405,$AN898)&lt;$AO898),"対象月に子が2歳到達済／","")&amp;IF(AND($H898&lt;&gt;"",INDEX(職員マスタ!$B$6:$B$405,$AN898)&lt;&gt;"",SUBSTITUTE(SUBSTITUTE($H898," ","")," ","")&lt;&gt;SUBSTITUTE(SUBSTITUTE(INDEX(職員マスタ!$B$6:$B$405,$AN898)," ","")," ","")),"氏名がマスタと相違／","")&amp;IF(AND($Q898&lt;&gt;"",INDEX(職員マスタ!$E$6:$E$405,$AN898)&lt;&gt;"",$Q898&lt;&gt;INDEX(職員マスタ!$E$6:$E$405,$AN898)),"子の生年月日がマスタと相違／","")&amp;IF(AND($L898&lt;&gt;"",INDEX(職員マスタ!$G$6:$G$405,$AN898)&lt;&gt;"",$L898&lt;&gt;INDEX(職員マスタ!$G$6:$G$405,$AN898)),"時短開始日がマスタと相違／","")&amp;IF(AND($M898&lt;&gt;"",INDEX(職員マスタ!$H$6:$H$405,$AN898)&lt;&gt;"",$M898&lt;&gt;INDEX(職員マスタ!$H$6:$H$405,$AN898)),"時短終了日がマスタと相違／","")))&amp;IF(AND($B898&lt;&gt;"",$E898=""),"報酬額が未入力／","")&amp;IF(N($U898)&gt;0,"申請書に入力エラーが残っています／","")&amp;IF(AND($B898&lt;&gt;"",$AO898&lt;&gt;""),IF(COUNTIFS($B$6:$B$3005,$B898,$C$6:$C$3005,$C898,$D$6:$D$3005,$D898)&gt;1,"同じ月の請求が重複しています／",""),"")&amp;IF(AND(N($E898)&gt;0,$Z898&lt;&gt;"",$Z898&lt;&gt;"×",$AC898=0,$AB898=""),"計算額が下限以下のため不支給／",""))</f>
        <v/>
      </c>
      <c r="AL898" s="12" t="n"/>
      <c r="AM898" s="14">
        <f>IF($AD898="保留中",COUNTIF($AD$6:$AD898,"保留中"),"")</f>
        <v/>
      </c>
      <c r="AN898" s="14">
        <f>IF($AO898="","",IF(SUMPRODUCT(MAX((職員マスタ!$A$6:$A$405=$B898)*(((職員マスタ!$G$6:$G$405="")+(職員マスタ!$G$6:$G$405&lt;=EOMONTH($AO898,0)))&gt;0)*(((職員マスタ!$H$6:$H$405="")+(職員マスタ!$H$6:$H$405&gt;=$AO898))&gt;0)*(ROW(職員マスタ!$A$6:$A$405)-5)))&gt;0,SUMPRODUCT(MAX((職員マスタ!$A$6:$A$405=$B898)*(((職員マスタ!$G$6:$G$405="")+(職員マスタ!$G$6:$G$405&lt;=EOMONTH($AO898,0)))&gt;0)*(((職員マスタ!$H$6:$H$405="")+(職員マスタ!$H$6:$H$405&gt;=$AO898))&gt;0)*(ROW(職員マスタ!$A$6:$A$405)-5))),IFERROR(MATCH($B898,職員マスタ!$A$6:$A$405,0),"")))</f>
        <v/>
      </c>
      <c r="AO898" s="16">
        <f>IF(OR($B898="",$C898="",$D898=""),"",DATE($C898+2018,$D898,1))</f>
        <v/>
      </c>
    </row>
    <row r="899">
      <c r="A899" s="11" t="n"/>
      <c r="B899" s="12" t="n"/>
      <c r="C899" s="12" t="n"/>
      <c r="D899" s="12" t="n"/>
      <c r="E899" s="13" t="n"/>
      <c r="F899" s="12" t="n"/>
      <c r="G899" s="13" t="n"/>
      <c r="H899" s="12" t="n"/>
      <c r="I899" s="12" t="n"/>
      <c r="J899" s="12" t="n"/>
      <c r="K899" s="12" t="n"/>
      <c r="L899" s="11" t="n"/>
      <c r="M899" s="11" t="n"/>
      <c r="N899" s="11" t="n"/>
      <c r="O899" s="11" t="n"/>
      <c r="P899" s="12" t="n"/>
      <c r="Q899" s="11" t="n"/>
      <c r="R899" s="12" t="n"/>
      <c r="S899" s="11" t="n"/>
      <c r="T899" s="12" t="n"/>
      <c r="U899" s="12" t="n"/>
      <c r="V899" s="14">
        <f>IF($AN899="",IF($B899="","",$H899),IF(INDEX(職員マスタ!$B$6:$B$405,$AN899)="",$H899,INDEX(職員マスタ!$B$6:$B$405,$AN899)))</f>
        <v/>
      </c>
      <c r="W899" s="14">
        <f>IF($AN899="",IF($B899="","",$R899),IF(INDEX(職員マスタ!$C$6:$C$405,$AN899)="",$R899,INDEX(職員マスタ!$C$6:$C$405,$AN899)))</f>
        <v/>
      </c>
      <c r="X899" s="14">
        <f>IF($AO899="","","R"&amp;$C899&amp;"."&amp;$D899)</f>
        <v/>
      </c>
      <c r="Y899" s="15">
        <f>IF($AN899="","",IF(INDEX(職員マスタ!$K$6:$K$405,$AN899)="","",INDEX(職員マスタ!$K$6:$K$405,$AN899)))</f>
        <v/>
      </c>
      <c r="Z899" s="14">
        <f>IF(OR($E899="",$Y899=""),"",IF($E899&gt;=$Y899,"×",IF($E899&gt;=$Y899*設定!$C$5,"△","○")))</f>
        <v/>
      </c>
      <c r="AA899" s="15">
        <f>IF($Z899="","",IF($Z899="×",0,IF($Z899="○",ROUNDDOWN($E899*設定!$C$4,0),ROUNDDOWN($E899*ROUND((9*$Y899-9*$E899)/(10*$E899),4),0))))</f>
        <v/>
      </c>
      <c r="AB899" s="13" t="n"/>
      <c r="AC899" s="15">
        <f>IF($B899="","",IF($AB899&lt;&gt;"",$AB899,IF($AA899="","",IF($AA899&lt;=設定!$C$3,0,$AA899))))</f>
        <v/>
      </c>
      <c r="AD899" s="14">
        <f>IF($B899="","",IF(AND($AE899&lt;&gt;"",$AG899="",$AJ899=""),"保留中",IF($AJ899&lt;&gt;"",IF(N($AC899)&gt;0,"支給済","不支給"),IF($AC899="","要確認",IF($AC899=0,"不支給","未処理")))))</f>
        <v/>
      </c>
      <c r="AE899" s="12" t="n"/>
      <c r="AF899" s="11" t="n"/>
      <c r="AG899" s="11" t="n"/>
      <c r="AH899" s="11" t="n"/>
      <c r="AI899" s="14">
        <f>IF(AND($AD899="保留中",$AF899&lt;&gt;""),TODAY()-$AF899,"")</f>
        <v/>
      </c>
      <c r="AJ899" s="12" t="n"/>
      <c r="AK899" s="14">
        <f>IF($B899="","",IF($AO899="","対象年月が未入力／","")&amp;IF($B899="","",IF($AN899="","職員マスタに未登録の職員番号／",IF($Y899="","標準報酬月額が未登録／","")&amp;IF(AND($AO899&lt;&gt;"",OR(AND(INDEX(職員マスタ!$G$6:$G$405,$AN899)&lt;&gt;"",INDEX(職員マスタ!$G$6:$G$405,$AN899)&gt;EOMONTH($AO899,0)),AND(INDEX(職員マスタ!$H$6:$H$405,$AN899)&lt;&gt;"",INDEX(職員マスタ!$H$6:$H$405,$AN899)&lt;$AO899))),"対象月が時短期間外／","")&amp;IF(AND(INDEX(職員マスタ!$F$6:$F$405,$AN899)&lt;&gt;"",$AO899&lt;&gt;"",INDEX(職員マスタ!$F$6:$F$405,$AN899)&lt;$AO899),"対象月に子が2歳到達済／","")&amp;IF(AND($H899&lt;&gt;"",INDEX(職員マスタ!$B$6:$B$405,$AN899)&lt;&gt;"",SUBSTITUTE(SUBSTITUTE($H899," ","")," ","")&lt;&gt;SUBSTITUTE(SUBSTITUTE(INDEX(職員マスタ!$B$6:$B$405,$AN899)," ","")," ","")),"氏名がマスタと相違／","")&amp;IF(AND($Q899&lt;&gt;"",INDEX(職員マスタ!$E$6:$E$405,$AN899)&lt;&gt;"",$Q899&lt;&gt;INDEX(職員マスタ!$E$6:$E$405,$AN899)),"子の生年月日がマスタと相違／","")&amp;IF(AND($L899&lt;&gt;"",INDEX(職員マスタ!$G$6:$G$405,$AN899)&lt;&gt;"",$L899&lt;&gt;INDEX(職員マスタ!$G$6:$G$405,$AN899)),"時短開始日がマスタと相違／","")&amp;IF(AND($M899&lt;&gt;"",INDEX(職員マスタ!$H$6:$H$405,$AN899)&lt;&gt;"",$M899&lt;&gt;INDEX(職員マスタ!$H$6:$H$405,$AN899)),"時短終了日がマスタと相違／","")))&amp;IF(AND($B899&lt;&gt;"",$E899=""),"報酬額が未入力／","")&amp;IF(N($U899)&gt;0,"申請書に入力エラーが残っています／","")&amp;IF(AND($B899&lt;&gt;"",$AO899&lt;&gt;""),IF(COUNTIFS($B$6:$B$3005,$B899,$C$6:$C$3005,$C899,$D$6:$D$3005,$D899)&gt;1,"同じ月の請求が重複しています／",""),"")&amp;IF(AND(N($E899)&gt;0,$Z899&lt;&gt;"",$Z899&lt;&gt;"×",$AC899=0,$AB899=""),"計算額が下限以下のため不支給／",""))</f>
        <v/>
      </c>
      <c r="AL899" s="12" t="n"/>
      <c r="AM899" s="14">
        <f>IF($AD899="保留中",COUNTIF($AD$6:$AD899,"保留中"),"")</f>
        <v/>
      </c>
      <c r="AN899" s="14">
        <f>IF($AO899="","",IF(SUMPRODUCT(MAX((職員マスタ!$A$6:$A$405=$B899)*(((職員マスタ!$G$6:$G$405="")+(職員マスタ!$G$6:$G$405&lt;=EOMONTH($AO899,0)))&gt;0)*(((職員マスタ!$H$6:$H$405="")+(職員マスタ!$H$6:$H$405&gt;=$AO899))&gt;0)*(ROW(職員マスタ!$A$6:$A$405)-5)))&gt;0,SUMPRODUCT(MAX((職員マスタ!$A$6:$A$405=$B899)*(((職員マスタ!$G$6:$G$405="")+(職員マスタ!$G$6:$G$405&lt;=EOMONTH($AO899,0)))&gt;0)*(((職員マスタ!$H$6:$H$405="")+(職員マスタ!$H$6:$H$405&gt;=$AO899))&gt;0)*(ROW(職員マスタ!$A$6:$A$405)-5))),IFERROR(MATCH($B899,職員マスタ!$A$6:$A$405,0),"")))</f>
        <v/>
      </c>
      <c r="AO899" s="16">
        <f>IF(OR($B899="",$C899="",$D899=""),"",DATE($C899+2018,$D899,1))</f>
        <v/>
      </c>
    </row>
    <row r="900">
      <c r="A900" s="11" t="n"/>
      <c r="B900" s="12" t="n"/>
      <c r="C900" s="12" t="n"/>
      <c r="D900" s="12" t="n"/>
      <c r="E900" s="13" t="n"/>
      <c r="F900" s="12" t="n"/>
      <c r="G900" s="13" t="n"/>
      <c r="H900" s="12" t="n"/>
      <c r="I900" s="12" t="n"/>
      <c r="J900" s="12" t="n"/>
      <c r="K900" s="12" t="n"/>
      <c r="L900" s="11" t="n"/>
      <c r="M900" s="11" t="n"/>
      <c r="N900" s="11" t="n"/>
      <c r="O900" s="11" t="n"/>
      <c r="P900" s="12" t="n"/>
      <c r="Q900" s="11" t="n"/>
      <c r="R900" s="12" t="n"/>
      <c r="S900" s="11" t="n"/>
      <c r="T900" s="12" t="n"/>
      <c r="U900" s="12" t="n"/>
      <c r="V900" s="14">
        <f>IF($AN900="",IF($B900="","",$H900),IF(INDEX(職員マスタ!$B$6:$B$405,$AN900)="",$H900,INDEX(職員マスタ!$B$6:$B$405,$AN900)))</f>
        <v/>
      </c>
      <c r="W900" s="14">
        <f>IF($AN900="",IF($B900="","",$R900),IF(INDEX(職員マスタ!$C$6:$C$405,$AN900)="",$R900,INDEX(職員マスタ!$C$6:$C$405,$AN900)))</f>
        <v/>
      </c>
      <c r="X900" s="14">
        <f>IF($AO900="","","R"&amp;$C900&amp;"."&amp;$D900)</f>
        <v/>
      </c>
      <c r="Y900" s="15">
        <f>IF($AN900="","",IF(INDEX(職員マスタ!$K$6:$K$405,$AN900)="","",INDEX(職員マスタ!$K$6:$K$405,$AN900)))</f>
        <v/>
      </c>
      <c r="Z900" s="14">
        <f>IF(OR($E900="",$Y900=""),"",IF($E900&gt;=$Y900,"×",IF($E900&gt;=$Y900*設定!$C$5,"△","○")))</f>
        <v/>
      </c>
      <c r="AA900" s="15">
        <f>IF($Z900="","",IF($Z900="×",0,IF($Z900="○",ROUNDDOWN($E900*設定!$C$4,0),ROUNDDOWN($E900*ROUND((9*$Y900-9*$E900)/(10*$E900),4),0))))</f>
        <v/>
      </c>
      <c r="AB900" s="13" t="n"/>
      <c r="AC900" s="15">
        <f>IF($B900="","",IF($AB900&lt;&gt;"",$AB900,IF($AA900="","",IF($AA900&lt;=設定!$C$3,0,$AA900))))</f>
        <v/>
      </c>
      <c r="AD900" s="14">
        <f>IF($B900="","",IF(AND($AE900&lt;&gt;"",$AG900="",$AJ900=""),"保留中",IF($AJ900&lt;&gt;"",IF(N($AC900)&gt;0,"支給済","不支給"),IF($AC900="","要確認",IF($AC900=0,"不支給","未処理")))))</f>
        <v/>
      </c>
      <c r="AE900" s="12" t="n"/>
      <c r="AF900" s="11" t="n"/>
      <c r="AG900" s="11" t="n"/>
      <c r="AH900" s="11" t="n"/>
      <c r="AI900" s="14">
        <f>IF(AND($AD900="保留中",$AF900&lt;&gt;""),TODAY()-$AF900,"")</f>
        <v/>
      </c>
      <c r="AJ900" s="12" t="n"/>
      <c r="AK900" s="14">
        <f>IF($B900="","",IF($AO900="","対象年月が未入力／","")&amp;IF($B900="","",IF($AN900="","職員マスタに未登録の職員番号／",IF($Y900="","標準報酬月額が未登録／","")&amp;IF(AND($AO900&lt;&gt;"",OR(AND(INDEX(職員マスタ!$G$6:$G$405,$AN900)&lt;&gt;"",INDEX(職員マスタ!$G$6:$G$405,$AN900)&gt;EOMONTH($AO900,0)),AND(INDEX(職員マスタ!$H$6:$H$405,$AN900)&lt;&gt;"",INDEX(職員マスタ!$H$6:$H$405,$AN900)&lt;$AO900))),"対象月が時短期間外／","")&amp;IF(AND(INDEX(職員マスタ!$F$6:$F$405,$AN900)&lt;&gt;"",$AO900&lt;&gt;"",INDEX(職員マスタ!$F$6:$F$405,$AN900)&lt;$AO900),"対象月に子が2歳到達済／","")&amp;IF(AND($H900&lt;&gt;"",INDEX(職員マスタ!$B$6:$B$405,$AN900)&lt;&gt;"",SUBSTITUTE(SUBSTITUTE($H900," ","")," ","")&lt;&gt;SUBSTITUTE(SUBSTITUTE(INDEX(職員マスタ!$B$6:$B$405,$AN900)," ","")," ","")),"氏名がマスタと相違／","")&amp;IF(AND($Q900&lt;&gt;"",INDEX(職員マスタ!$E$6:$E$405,$AN900)&lt;&gt;"",$Q900&lt;&gt;INDEX(職員マスタ!$E$6:$E$405,$AN900)),"子の生年月日がマスタと相違／","")&amp;IF(AND($L900&lt;&gt;"",INDEX(職員マスタ!$G$6:$G$405,$AN900)&lt;&gt;"",$L900&lt;&gt;INDEX(職員マスタ!$G$6:$G$405,$AN900)),"時短開始日がマスタと相違／","")&amp;IF(AND($M900&lt;&gt;"",INDEX(職員マスタ!$H$6:$H$405,$AN900)&lt;&gt;"",$M900&lt;&gt;INDEX(職員マスタ!$H$6:$H$405,$AN900)),"時短終了日がマスタと相違／","")))&amp;IF(AND($B900&lt;&gt;"",$E900=""),"報酬額が未入力／","")&amp;IF(N($U900)&gt;0,"申請書に入力エラーが残っています／","")&amp;IF(AND($B900&lt;&gt;"",$AO900&lt;&gt;""),IF(COUNTIFS($B$6:$B$3005,$B900,$C$6:$C$3005,$C900,$D$6:$D$3005,$D900)&gt;1,"同じ月の請求が重複しています／",""),"")&amp;IF(AND(N($E900)&gt;0,$Z900&lt;&gt;"",$Z900&lt;&gt;"×",$AC900=0,$AB900=""),"計算額が下限以下のため不支給／",""))</f>
        <v/>
      </c>
      <c r="AL900" s="12" t="n"/>
      <c r="AM900" s="14">
        <f>IF($AD900="保留中",COUNTIF($AD$6:$AD900,"保留中"),"")</f>
        <v/>
      </c>
      <c r="AN900" s="14">
        <f>IF($AO900="","",IF(SUMPRODUCT(MAX((職員マスタ!$A$6:$A$405=$B900)*(((職員マスタ!$G$6:$G$405="")+(職員マスタ!$G$6:$G$405&lt;=EOMONTH($AO900,0)))&gt;0)*(((職員マスタ!$H$6:$H$405="")+(職員マスタ!$H$6:$H$405&gt;=$AO900))&gt;0)*(ROW(職員マスタ!$A$6:$A$405)-5)))&gt;0,SUMPRODUCT(MAX((職員マスタ!$A$6:$A$405=$B900)*(((職員マスタ!$G$6:$G$405="")+(職員マスタ!$G$6:$G$405&lt;=EOMONTH($AO900,0)))&gt;0)*(((職員マスタ!$H$6:$H$405="")+(職員マスタ!$H$6:$H$405&gt;=$AO900))&gt;0)*(ROW(職員マスタ!$A$6:$A$405)-5))),IFERROR(MATCH($B900,職員マスタ!$A$6:$A$405,0),"")))</f>
        <v/>
      </c>
      <c r="AO900" s="16">
        <f>IF(OR($B900="",$C900="",$D900=""),"",DATE($C900+2018,$D900,1))</f>
        <v/>
      </c>
    </row>
    <row r="901">
      <c r="A901" s="11" t="n"/>
      <c r="B901" s="12" t="n"/>
      <c r="C901" s="12" t="n"/>
      <c r="D901" s="12" t="n"/>
      <c r="E901" s="13" t="n"/>
      <c r="F901" s="12" t="n"/>
      <c r="G901" s="13" t="n"/>
      <c r="H901" s="12" t="n"/>
      <c r="I901" s="12" t="n"/>
      <c r="J901" s="12" t="n"/>
      <c r="K901" s="12" t="n"/>
      <c r="L901" s="11" t="n"/>
      <c r="M901" s="11" t="n"/>
      <c r="N901" s="11" t="n"/>
      <c r="O901" s="11" t="n"/>
      <c r="P901" s="12" t="n"/>
      <c r="Q901" s="11" t="n"/>
      <c r="R901" s="12" t="n"/>
      <c r="S901" s="11" t="n"/>
      <c r="T901" s="12" t="n"/>
      <c r="U901" s="12" t="n"/>
      <c r="V901" s="14">
        <f>IF($AN901="",IF($B901="","",$H901),IF(INDEX(職員マスタ!$B$6:$B$405,$AN901)="",$H901,INDEX(職員マスタ!$B$6:$B$405,$AN901)))</f>
        <v/>
      </c>
      <c r="W901" s="14">
        <f>IF($AN901="",IF($B901="","",$R901),IF(INDEX(職員マスタ!$C$6:$C$405,$AN901)="",$R901,INDEX(職員マスタ!$C$6:$C$405,$AN901)))</f>
        <v/>
      </c>
      <c r="X901" s="14">
        <f>IF($AO901="","","R"&amp;$C901&amp;"."&amp;$D901)</f>
        <v/>
      </c>
      <c r="Y901" s="15">
        <f>IF($AN901="","",IF(INDEX(職員マスタ!$K$6:$K$405,$AN901)="","",INDEX(職員マスタ!$K$6:$K$405,$AN901)))</f>
        <v/>
      </c>
      <c r="Z901" s="14">
        <f>IF(OR($E901="",$Y901=""),"",IF($E901&gt;=$Y901,"×",IF($E901&gt;=$Y901*設定!$C$5,"△","○")))</f>
        <v/>
      </c>
      <c r="AA901" s="15">
        <f>IF($Z901="","",IF($Z901="×",0,IF($Z901="○",ROUNDDOWN($E901*設定!$C$4,0),ROUNDDOWN($E901*ROUND((9*$Y901-9*$E901)/(10*$E901),4),0))))</f>
        <v/>
      </c>
      <c r="AB901" s="13" t="n"/>
      <c r="AC901" s="15">
        <f>IF($B901="","",IF($AB901&lt;&gt;"",$AB901,IF($AA901="","",IF($AA901&lt;=設定!$C$3,0,$AA901))))</f>
        <v/>
      </c>
      <c r="AD901" s="14">
        <f>IF($B901="","",IF(AND($AE901&lt;&gt;"",$AG901="",$AJ901=""),"保留中",IF($AJ901&lt;&gt;"",IF(N($AC901)&gt;0,"支給済","不支給"),IF($AC901="","要確認",IF($AC901=0,"不支給","未処理")))))</f>
        <v/>
      </c>
      <c r="AE901" s="12" t="n"/>
      <c r="AF901" s="11" t="n"/>
      <c r="AG901" s="11" t="n"/>
      <c r="AH901" s="11" t="n"/>
      <c r="AI901" s="14">
        <f>IF(AND($AD901="保留中",$AF901&lt;&gt;""),TODAY()-$AF901,"")</f>
        <v/>
      </c>
      <c r="AJ901" s="12" t="n"/>
      <c r="AK901" s="14">
        <f>IF($B901="","",IF($AO901="","対象年月が未入力／","")&amp;IF($B901="","",IF($AN901="","職員マスタに未登録の職員番号／",IF($Y901="","標準報酬月額が未登録／","")&amp;IF(AND($AO901&lt;&gt;"",OR(AND(INDEX(職員マスタ!$G$6:$G$405,$AN901)&lt;&gt;"",INDEX(職員マスタ!$G$6:$G$405,$AN901)&gt;EOMONTH($AO901,0)),AND(INDEX(職員マスタ!$H$6:$H$405,$AN901)&lt;&gt;"",INDEX(職員マスタ!$H$6:$H$405,$AN901)&lt;$AO901))),"対象月が時短期間外／","")&amp;IF(AND(INDEX(職員マスタ!$F$6:$F$405,$AN901)&lt;&gt;"",$AO901&lt;&gt;"",INDEX(職員マスタ!$F$6:$F$405,$AN901)&lt;$AO901),"対象月に子が2歳到達済／","")&amp;IF(AND($H901&lt;&gt;"",INDEX(職員マスタ!$B$6:$B$405,$AN901)&lt;&gt;"",SUBSTITUTE(SUBSTITUTE($H901," ","")," ","")&lt;&gt;SUBSTITUTE(SUBSTITUTE(INDEX(職員マスタ!$B$6:$B$405,$AN901)," ","")," ","")),"氏名がマスタと相違／","")&amp;IF(AND($Q901&lt;&gt;"",INDEX(職員マスタ!$E$6:$E$405,$AN901)&lt;&gt;"",$Q901&lt;&gt;INDEX(職員マスタ!$E$6:$E$405,$AN901)),"子の生年月日がマスタと相違／","")&amp;IF(AND($L901&lt;&gt;"",INDEX(職員マスタ!$G$6:$G$405,$AN901)&lt;&gt;"",$L901&lt;&gt;INDEX(職員マスタ!$G$6:$G$405,$AN901)),"時短開始日がマスタと相違／","")&amp;IF(AND($M901&lt;&gt;"",INDEX(職員マスタ!$H$6:$H$405,$AN901)&lt;&gt;"",$M901&lt;&gt;INDEX(職員マスタ!$H$6:$H$405,$AN901)),"時短終了日がマスタと相違／","")))&amp;IF(AND($B901&lt;&gt;"",$E901=""),"報酬額が未入力／","")&amp;IF(N($U901)&gt;0,"申請書に入力エラーが残っています／","")&amp;IF(AND($B901&lt;&gt;"",$AO901&lt;&gt;""),IF(COUNTIFS($B$6:$B$3005,$B901,$C$6:$C$3005,$C901,$D$6:$D$3005,$D901)&gt;1,"同じ月の請求が重複しています／",""),"")&amp;IF(AND(N($E901)&gt;0,$Z901&lt;&gt;"",$Z901&lt;&gt;"×",$AC901=0,$AB901=""),"計算額が下限以下のため不支給／",""))</f>
        <v/>
      </c>
      <c r="AL901" s="12" t="n"/>
      <c r="AM901" s="14">
        <f>IF($AD901="保留中",COUNTIF($AD$6:$AD901,"保留中"),"")</f>
        <v/>
      </c>
      <c r="AN901" s="14">
        <f>IF($AO901="","",IF(SUMPRODUCT(MAX((職員マスタ!$A$6:$A$405=$B901)*(((職員マスタ!$G$6:$G$405="")+(職員マスタ!$G$6:$G$405&lt;=EOMONTH($AO901,0)))&gt;0)*(((職員マスタ!$H$6:$H$405="")+(職員マスタ!$H$6:$H$405&gt;=$AO901))&gt;0)*(ROW(職員マスタ!$A$6:$A$405)-5)))&gt;0,SUMPRODUCT(MAX((職員マスタ!$A$6:$A$405=$B901)*(((職員マスタ!$G$6:$G$405="")+(職員マスタ!$G$6:$G$405&lt;=EOMONTH($AO901,0)))&gt;0)*(((職員マスタ!$H$6:$H$405="")+(職員マスタ!$H$6:$H$405&gt;=$AO901))&gt;0)*(ROW(職員マスタ!$A$6:$A$405)-5))),IFERROR(MATCH($B901,職員マスタ!$A$6:$A$405,0),"")))</f>
        <v/>
      </c>
      <c r="AO901" s="16">
        <f>IF(OR($B901="",$C901="",$D901=""),"",DATE($C901+2018,$D901,1))</f>
        <v/>
      </c>
    </row>
    <row r="902">
      <c r="A902" s="11" t="n"/>
      <c r="B902" s="12" t="n"/>
      <c r="C902" s="12" t="n"/>
      <c r="D902" s="12" t="n"/>
      <c r="E902" s="13" t="n"/>
      <c r="F902" s="12" t="n"/>
      <c r="G902" s="13" t="n"/>
      <c r="H902" s="12" t="n"/>
      <c r="I902" s="12" t="n"/>
      <c r="J902" s="12" t="n"/>
      <c r="K902" s="12" t="n"/>
      <c r="L902" s="11" t="n"/>
      <c r="M902" s="11" t="n"/>
      <c r="N902" s="11" t="n"/>
      <c r="O902" s="11" t="n"/>
      <c r="P902" s="12" t="n"/>
      <c r="Q902" s="11" t="n"/>
      <c r="R902" s="12" t="n"/>
      <c r="S902" s="11" t="n"/>
      <c r="T902" s="12" t="n"/>
      <c r="U902" s="12" t="n"/>
      <c r="V902" s="14">
        <f>IF($AN902="",IF($B902="","",$H902),IF(INDEX(職員マスタ!$B$6:$B$405,$AN902)="",$H902,INDEX(職員マスタ!$B$6:$B$405,$AN902)))</f>
        <v/>
      </c>
      <c r="W902" s="14">
        <f>IF($AN902="",IF($B902="","",$R902),IF(INDEX(職員マスタ!$C$6:$C$405,$AN902)="",$R902,INDEX(職員マスタ!$C$6:$C$405,$AN902)))</f>
        <v/>
      </c>
      <c r="X902" s="14">
        <f>IF($AO902="","","R"&amp;$C902&amp;"."&amp;$D902)</f>
        <v/>
      </c>
      <c r="Y902" s="15">
        <f>IF($AN902="","",IF(INDEX(職員マスタ!$K$6:$K$405,$AN902)="","",INDEX(職員マスタ!$K$6:$K$405,$AN902)))</f>
        <v/>
      </c>
      <c r="Z902" s="14">
        <f>IF(OR($E902="",$Y902=""),"",IF($E902&gt;=$Y902,"×",IF($E902&gt;=$Y902*設定!$C$5,"△","○")))</f>
        <v/>
      </c>
      <c r="AA902" s="15">
        <f>IF($Z902="","",IF($Z902="×",0,IF($Z902="○",ROUNDDOWN($E902*設定!$C$4,0),ROUNDDOWN($E902*ROUND((9*$Y902-9*$E902)/(10*$E902),4),0))))</f>
        <v/>
      </c>
      <c r="AB902" s="13" t="n"/>
      <c r="AC902" s="15">
        <f>IF($B902="","",IF($AB902&lt;&gt;"",$AB902,IF($AA902="","",IF($AA902&lt;=設定!$C$3,0,$AA902))))</f>
        <v/>
      </c>
      <c r="AD902" s="14">
        <f>IF($B902="","",IF(AND($AE902&lt;&gt;"",$AG902="",$AJ902=""),"保留中",IF($AJ902&lt;&gt;"",IF(N($AC902)&gt;0,"支給済","不支給"),IF($AC902="","要確認",IF($AC902=0,"不支給","未処理")))))</f>
        <v/>
      </c>
      <c r="AE902" s="12" t="n"/>
      <c r="AF902" s="11" t="n"/>
      <c r="AG902" s="11" t="n"/>
      <c r="AH902" s="11" t="n"/>
      <c r="AI902" s="14">
        <f>IF(AND($AD902="保留中",$AF902&lt;&gt;""),TODAY()-$AF902,"")</f>
        <v/>
      </c>
      <c r="AJ902" s="12" t="n"/>
      <c r="AK902" s="14">
        <f>IF($B902="","",IF($AO902="","対象年月が未入力／","")&amp;IF($B902="","",IF($AN902="","職員マスタに未登録の職員番号／",IF($Y902="","標準報酬月額が未登録／","")&amp;IF(AND($AO902&lt;&gt;"",OR(AND(INDEX(職員マスタ!$G$6:$G$405,$AN902)&lt;&gt;"",INDEX(職員マスタ!$G$6:$G$405,$AN902)&gt;EOMONTH($AO902,0)),AND(INDEX(職員マスタ!$H$6:$H$405,$AN902)&lt;&gt;"",INDEX(職員マスタ!$H$6:$H$405,$AN902)&lt;$AO902))),"対象月が時短期間外／","")&amp;IF(AND(INDEX(職員マスタ!$F$6:$F$405,$AN902)&lt;&gt;"",$AO902&lt;&gt;"",INDEX(職員マスタ!$F$6:$F$405,$AN902)&lt;$AO902),"対象月に子が2歳到達済／","")&amp;IF(AND($H902&lt;&gt;"",INDEX(職員マスタ!$B$6:$B$405,$AN902)&lt;&gt;"",SUBSTITUTE(SUBSTITUTE($H902," ","")," ","")&lt;&gt;SUBSTITUTE(SUBSTITUTE(INDEX(職員マスタ!$B$6:$B$405,$AN902)," ","")," ","")),"氏名がマスタと相違／","")&amp;IF(AND($Q902&lt;&gt;"",INDEX(職員マスタ!$E$6:$E$405,$AN902)&lt;&gt;"",$Q902&lt;&gt;INDEX(職員マスタ!$E$6:$E$405,$AN902)),"子の生年月日がマスタと相違／","")&amp;IF(AND($L902&lt;&gt;"",INDEX(職員マスタ!$G$6:$G$405,$AN902)&lt;&gt;"",$L902&lt;&gt;INDEX(職員マスタ!$G$6:$G$405,$AN902)),"時短開始日がマスタと相違／","")&amp;IF(AND($M902&lt;&gt;"",INDEX(職員マスタ!$H$6:$H$405,$AN902)&lt;&gt;"",$M902&lt;&gt;INDEX(職員マスタ!$H$6:$H$405,$AN902)),"時短終了日がマスタと相違／","")))&amp;IF(AND($B902&lt;&gt;"",$E902=""),"報酬額が未入力／","")&amp;IF(N($U902)&gt;0,"申請書に入力エラーが残っています／","")&amp;IF(AND($B902&lt;&gt;"",$AO902&lt;&gt;""),IF(COUNTIFS($B$6:$B$3005,$B902,$C$6:$C$3005,$C902,$D$6:$D$3005,$D902)&gt;1,"同じ月の請求が重複しています／",""),"")&amp;IF(AND(N($E902)&gt;0,$Z902&lt;&gt;"",$Z902&lt;&gt;"×",$AC902=0,$AB902=""),"計算額が下限以下のため不支給／",""))</f>
        <v/>
      </c>
      <c r="AL902" s="12" t="n"/>
      <c r="AM902" s="14">
        <f>IF($AD902="保留中",COUNTIF($AD$6:$AD902,"保留中"),"")</f>
        <v/>
      </c>
      <c r="AN902" s="14">
        <f>IF($AO902="","",IF(SUMPRODUCT(MAX((職員マスタ!$A$6:$A$405=$B902)*(((職員マスタ!$G$6:$G$405="")+(職員マスタ!$G$6:$G$405&lt;=EOMONTH($AO902,0)))&gt;0)*(((職員マスタ!$H$6:$H$405="")+(職員マスタ!$H$6:$H$405&gt;=$AO902))&gt;0)*(ROW(職員マスタ!$A$6:$A$405)-5)))&gt;0,SUMPRODUCT(MAX((職員マスタ!$A$6:$A$405=$B902)*(((職員マスタ!$G$6:$G$405="")+(職員マスタ!$G$6:$G$405&lt;=EOMONTH($AO902,0)))&gt;0)*(((職員マスタ!$H$6:$H$405="")+(職員マスタ!$H$6:$H$405&gt;=$AO902))&gt;0)*(ROW(職員マスタ!$A$6:$A$405)-5))),IFERROR(MATCH($B902,職員マスタ!$A$6:$A$405,0),"")))</f>
        <v/>
      </c>
      <c r="AO902" s="16">
        <f>IF(OR($B902="",$C902="",$D902=""),"",DATE($C902+2018,$D902,1))</f>
        <v/>
      </c>
    </row>
    <row r="903">
      <c r="A903" s="11" t="n"/>
      <c r="B903" s="12" t="n"/>
      <c r="C903" s="12" t="n"/>
      <c r="D903" s="12" t="n"/>
      <c r="E903" s="13" t="n"/>
      <c r="F903" s="12" t="n"/>
      <c r="G903" s="13" t="n"/>
      <c r="H903" s="12" t="n"/>
      <c r="I903" s="12" t="n"/>
      <c r="J903" s="12" t="n"/>
      <c r="K903" s="12" t="n"/>
      <c r="L903" s="11" t="n"/>
      <c r="M903" s="11" t="n"/>
      <c r="N903" s="11" t="n"/>
      <c r="O903" s="11" t="n"/>
      <c r="P903" s="12" t="n"/>
      <c r="Q903" s="11" t="n"/>
      <c r="R903" s="12" t="n"/>
      <c r="S903" s="11" t="n"/>
      <c r="T903" s="12" t="n"/>
      <c r="U903" s="12" t="n"/>
      <c r="V903" s="14">
        <f>IF($AN903="",IF($B903="","",$H903),IF(INDEX(職員マスタ!$B$6:$B$405,$AN903)="",$H903,INDEX(職員マスタ!$B$6:$B$405,$AN903)))</f>
        <v/>
      </c>
      <c r="W903" s="14">
        <f>IF($AN903="",IF($B903="","",$R903),IF(INDEX(職員マスタ!$C$6:$C$405,$AN903)="",$R903,INDEX(職員マスタ!$C$6:$C$405,$AN903)))</f>
        <v/>
      </c>
      <c r="X903" s="14">
        <f>IF($AO903="","","R"&amp;$C903&amp;"."&amp;$D903)</f>
        <v/>
      </c>
      <c r="Y903" s="15">
        <f>IF($AN903="","",IF(INDEX(職員マスタ!$K$6:$K$405,$AN903)="","",INDEX(職員マスタ!$K$6:$K$405,$AN903)))</f>
        <v/>
      </c>
      <c r="Z903" s="14">
        <f>IF(OR($E903="",$Y903=""),"",IF($E903&gt;=$Y903,"×",IF($E903&gt;=$Y903*設定!$C$5,"△","○")))</f>
        <v/>
      </c>
      <c r="AA903" s="15">
        <f>IF($Z903="","",IF($Z903="×",0,IF($Z903="○",ROUNDDOWN($E903*設定!$C$4,0),ROUNDDOWN($E903*ROUND((9*$Y903-9*$E903)/(10*$E903),4),0))))</f>
        <v/>
      </c>
      <c r="AB903" s="13" t="n"/>
      <c r="AC903" s="15">
        <f>IF($B903="","",IF($AB903&lt;&gt;"",$AB903,IF($AA903="","",IF($AA903&lt;=設定!$C$3,0,$AA903))))</f>
        <v/>
      </c>
      <c r="AD903" s="14">
        <f>IF($B903="","",IF(AND($AE903&lt;&gt;"",$AG903="",$AJ903=""),"保留中",IF($AJ903&lt;&gt;"",IF(N($AC903)&gt;0,"支給済","不支給"),IF($AC903="","要確認",IF($AC903=0,"不支給","未処理")))))</f>
        <v/>
      </c>
      <c r="AE903" s="12" t="n"/>
      <c r="AF903" s="11" t="n"/>
      <c r="AG903" s="11" t="n"/>
      <c r="AH903" s="11" t="n"/>
      <c r="AI903" s="14">
        <f>IF(AND($AD903="保留中",$AF903&lt;&gt;""),TODAY()-$AF903,"")</f>
        <v/>
      </c>
      <c r="AJ903" s="12" t="n"/>
      <c r="AK903" s="14">
        <f>IF($B903="","",IF($AO903="","対象年月が未入力／","")&amp;IF($B903="","",IF($AN903="","職員マスタに未登録の職員番号／",IF($Y903="","標準報酬月額が未登録／","")&amp;IF(AND($AO903&lt;&gt;"",OR(AND(INDEX(職員マスタ!$G$6:$G$405,$AN903)&lt;&gt;"",INDEX(職員マスタ!$G$6:$G$405,$AN903)&gt;EOMONTH($AO903,0)),AND(INDEX(職員マスタ!$H$6:$H$405,$AN903)&lt;&gt;"",INDEX(職員マスタ!$H$6:$H$405,$AN903)&lt;$AO903))),"対象月が時短期間外／","")&amp;IF(AND(INDEX(職員マスタ!$F$6:$F$405,$AN903)&lt;&gt;"",$AO903&lt;&gt;"",INDEX(職員マスタ!$F$6:$F$405,$AN903)&lt;$AO903),"対象月に子が2歳到達済／","")&amp;IF(AND($H903&lt;&gt;"",INDEX(職員マスタ!$B$6:$B$405,$AN903)&lt;&gt;"",SUBSTITUTE(SUBSTITUTE($H903," ","")," ","")&lt;&gt;SUBSTITUTE(SUBSTITUTE(INDEX(職員マスタ!$B$6:$B$405,$AN903)," ","")," ","")),"氏名がマスタと相違／","")&amp;IF(AND($Q903&lt;&gt;"",INDEX(職員マスタ!$E$6:$E$405,$AN903)&lt;&gt;"",$Q903&lt;&gt;INDEX(職員マスタ!$E$6:$E$405,$AN903)),"子の生年月日がマスタと相違／","")&amp;IF(AND($L903&lt;&gt;"",INDEX(職員マスタ!$G$6:$G$405,$AN903)&lt;&gt;"",$L903&lt;&gt;INDEX(職員マスタ!$G$6:$G$405,$AN903)),"時短開始日がマスタと相違／","")&amp;IF(AND($M903&lt;&gt;"",INDEX(職員マスタ!$H$6:$H$405,$AN903)&lt;&gt;"",$M903&lt;&gt;INDEX(職員マスタ!$H$6:$H$405,$AN903)),"時短終了日がマスタと相違／","")))&amp;IF(AND($B903&lt;&gt;"",$E903=""),"報酬額が未入力／","")&amp;IF(N($U903)&gt;0,"申請書に入力エラーが残っています／","")&amp;IF(AND($B903&lt;&gt;"",$AO903&lt;&gt;""),IF(COUNTIFS($B$6:$B$3005,$B903,$C$6:$C$3005,$C903,$D$6:$D$3005,$D903)&gt;1,"同じ月の請求が重複しています／",""),"")&amp;IF(AND(N($E903)&gt;0,$Z903&lt;&gt;"",$Z903&lt;&gt;"×",$AC903=0,$AB903=""),"計算額が下限以下のため不支給／",""))</f>
        <v/>
      </c>
      <c r="AL903" s="12" t="n"/>
      <c r="AM903" s="14">
        <f>IF($AD903="保留中",COUNTIF($AD$6:$AD903,"保留中"),"")</f>
        <v/>
      </c>
      <c r="AN903" s="14">
        <f>IF($AO903="","",IF(SUMPRODUCT(MAX((職員マスタ!$A$6:$A$405=$B903)*(((職員マスタ!$G$6:$G$405="")+(職員マスタ!$G$6:$G$405&lt;=EOMONTH($AO903,0)))&gt;0)*(((職員マスタ!$H$6:$H$405="")+(職員マスタ!$H$6:$H$405&gt;=$AO903))&gt;0)*(ROW(職員マスタ!$A$6:$A$405)-5)))&gt;0,SUMPRODUCT(MAX((職員マスタ!$A$6:$A$405=$B903)*(((職員マスタ!$G$6:$G$405="")+(職員マスタ!$G$6:$G$405&lt;=EOMONTH($AO903,0)))&gt;0)*(((職員マスタ!$H$6:$H$405="")+(職員マスタ!$H$6:$H$405&gt;=$AO903))&gt;0)*(ROW(職員マスタ!$A$6:$A$405)-5))),IFERROR(MATCH($B903,職員マスタ!$A$6:$A$405,0),"")))</f>
        <v/>
      </c>
      <c r="AO903" s="16">
        <f>IF(OR($B903="",$C903="",$D903=""),"",DATE($C903+2018,$D903,1))</f>
        <v/>
      </c>
    </row>
    <row r="904">
      <c r="A904" s="11" t="n"/>
      <c r="B904" s="12" t="n"/>
      <c r="C904" s="12" t="n"/>
      <c r="D904" s="12" t="n"/>
      <c r="E904" s="13" t="n"/>
      <c r="F904" s="12" t="n"/>
      <c r="G904" s="13" t="n"/>
      <c r="H904" s="12" t="n"/>
      <c r="I904" s="12" t="n"/>
      <c r="J904" s="12" t="n"/>
      <c r="K904" s="12" t="n"/>
      <c r="L904" s="11" t="n"/>
      <c r="M904" s="11" t="n"/>
      <c r="N904" s="11" t="n"/>
      <c r="O904" s="11" t="n"/>
      <c r="P904" s="12" t="n"/>
      <c r="Q904" s="11" t="n"/>
      <c r="R904" s="12" t="n"/>
      <c r="S904" s="11" t="n"/>
      <c r="T904" s="12" t="n"/>
      <c r="U904" s="12" t="n"/>
      <c r="V904" s="14">
        <f>IF($AN904="",IF($B904="","",$H904),IF(INDEX(職員マスタ!$B$6:$B$405,$AN904)="",$H904,INDEX(職員マスタ!$B$6:$B$405,$AN904)))</f>
        <v/>
      </c>
      <c r="W904" s="14">
        <f>IF($AN904="",IF($B904="","",$R904),IF(INDEX(職員マスタ!$C$6:$C$405,$AN904)="",$R904,INDEX(職員マスタ!$C$6:$C$405,$AN904)))</f>
        <v/>
      </c>
      <c r="X904" s="14">
        <f>IF($AO904="","","R"&amp;$C904&amp;"."&amp;$D904)</f>
        <v/>
      </c>
      <c r="Y904" s="15">
        <f>IF($AN904="","",IF(INDEX(職員マスタ!$K$6:$K$405,$AN904)="","",INDEX(職員マスタ!$K$6:$K$405,$AN904)))</f>
        <v/>
      </c>
      <c r="Z904" s="14">
        <f>IF(OR($E904="",$Y904=""),"",IF($E904&gt;=$Y904,"×",IF($E904&gt;=$Y904*設定!$C$5,"△","○")))</f>
        <v/>
      </c>
      <c r="AA904" s="15">
        <f>IF($Z904="","",IF($Z904="×",0,IF($Z904="○",ROUNDDOWN($E904*設定!$C$4,0),ROUNDDOWN($E904*ROUND((9*$Y904-9*$E904)/(10*$E904),4),0))))</f>
        <v/>
      </c>
      <c r="AB904" s="13" t="n"/>
      <c r="AC904" s="15">
        <f>IF($B904="","",IF($AB904&lt;&gt;"",$AB904,IF($AA904="","",IF($AA904&lt;=設定!$C$3,0,$AA904))))</f>
        <v/>
      </c>
      <c r="AD904" s="14">
        <f>IF($B904="","",IF(AND($AE904&lt;&gt;"",$AG904="",$AJ904=""),"保留中",IF($AJ904&lt;&gt;"",IF(N($AC904)&gt;0,"支給済","不支給"),IF($AC904="","要確認",IF($AC904=0,"不支給","未処理")))))</f>
        <v/>
      </c>
      <c r="AE904" s="12" t="n"/>
      <c r="AF904" s="11" t="n"/>
      <c r="AG904" s="11" t="n"/>
      <c r="AH904" s="11" t="n"/>
      <c r="AI904" s="14">
        <f>IF(AND($AD904="保留中",$AF904&lt;&gt;""),TODAY()-$AF904,"")</f>
        <v/>
      </c>
      <c r="AJ904" s="12" t="n"/>
      <c r="AK904" s="14">
        <f>IF($B904="","",IF($AO904="","対象年月が未入力／","")&amp;IF($B904="","",IF($AN904="","職員マスタに未登録の職員番号／",IF($Y904="","標準報酬月額が未登録／","")&amp;IF(AND($AO904&lt;&gt;"",OR(AND(INDEX(職員マスタ!$G$6:$G$405,$AN904)&lt;&gt;"",INDEX(職員マスタ!$G$6:$G$405,$AN904)&gt;EOMONTH($AO904,0)),AND(INDEX(職員マスタ!$H$6:$H$405,$AN904)&lt;&gt;"",INDEX(職員マスタ!$H$6:$H$405,$AN904)&lt;$AO904))),"対象月が時短期間外／","")&amp;IF(AND(INDEX(職員マスタ!$F$6:$F$405,$AN904)&lt;&gt;"",$AO904&lt;&gt;"",INDEX(職員マスタ!$F$6:$F$405,$AN904)&lt;$AO904),"対象月に子が2歳到達済／","")&amp;IF(AND($H904&lt;&gt;"",INDEX(職員マスタ!$B$6:$B$405,$AN904)&lt;&gt;"",SUBSTITUTE(SUBSTITUTE($H904," ","")," ","")&lt;&gt;SUBSTITUTE(SUBSTITUTE(INDEX(職員マスタ!$B$6:$B$405,$AN904)," ","")," ","")),"氏名がマスタと相違／","")&amp;IF(AND($Q904&lt;&gt;"",INDEX(職員マスタ!$E$6:$E$405,$AN904)&lt;&gt;"",$Q904&lt;&gt;INDEX(職員マスタ!$E$6:$E$405,$AN904)),"子の生年月日がマスタと相違／","")&amp;IF(AND($L904&lt;&gt;"",INDEX(職員マスタ!$G$6:$G$405,$AN904)&lt;&gt;"",$L904&lt;&gt;INDEX(職員マスタ!$G$6:$G$405,$AN904)),"時短開始日がマスタと相違／","")&amp;IF(AND($M904&lt;&gt;"",INDEX(職員マスタ!$H$6:$H$405,$AN904)&lt;&gt;"",$M904&lt;&gt;INDEX(職員マスタ!$H$6:$H$405,$AN904)),"時短終了日がマスタと相違／","")))&amp;IF(AND($B904&lt;&gt;"",$E904=""),"報酬額が未入力／","")&amp;IF(N($U904)&gt;0,"申請書に入力エラーが残っています／","")&amp;IF(AND($B904&lt;&gt;"",$AO904&lt;&gt;""),IF(COUNTIFS($B$6:$B$3005,$B904,$C$6:$C$3005,$C904,$D$6:$D$3005,$D904)&gt;1,"同じ月の請求が重複しています／",""),"")&amp;IF(AND(N($E904)&gt;0,$Z904&lt;&gt;"",$Z904&lt;&gt;"×",$AC904=0,$AB904=""),"計算額が下限以下のため不支給／",""))</f>
        <v/>
      </c>
      <c r="AL904" s="12" t="n"/>
      <c r="AM904" s="14">
        <f>IF($AD904="保留中",COUNTIF($AD$6:$AD904,"保留中"),"")</f>
        <v/>
      </c>
      <c r="AN904" s="14">
        <f>IF($AO904="","",IF(SUMPRODUCT(MAX((職員マスタ!$A$6:$A$405=$B904)*(((職員マスタ!$G$6:$G$405="")+(職員マスタ!$G$6:$G$405&lt;=EOMONTH($AO904,0)))&gt;0)*(((職員マスタ!$H$6:$H$405="")+(職員マスタ!$H$6:$H$405&gt;=$AO904))&gt;0)*(ROW(職員マスタ!$A$6:$A$405)-5)))&gt;0,SUMPRODUCT(MAX((職員マスタ!$A$6:$A$405=$B904)*(((職員マスタ!$G$6:$G$405="")+(職員マスタ!$G$6:$G$405&lt;=EOMONTH($AO904,0)))&gt;0)*(((職員マスタ!$H$6:$H$405="")+(職員マスタ!$H$6:$H$405&gt;=$AO904))&gt;0)*(ROW(職員マスタ!$A$6:$A$405)-5))),IFERROR(MATCH($B904,職員マスタ!$A$6:$A$405,0),"")))</f>
        <v/>
      </c>
      <c r="AO904" s="16">
        <f>IF(OR($B904="",$C904="",$D904=""),"",DATE($C904+2018,$D904,1))</f>
        <v/>
      </c>
    </row>
    <row r="905">
      <c r="A905" s="11" t="n"/>
      <c r="B905" s="12" t="n"/>
      <c r="C905" s="12" t="n"/>
      <c r="D905" s="12" t="n"/>
      <c r="E905" s="13" t="n"/>
      <c r="F905" s="12" t="n"/>
      <c r="G905" s="13" t="n"/>
      <c r="H905" s="12" t="n"/>
      <c r="I905" s="12" t="n"/>
      <c r="J905" s="12" t="n"/>
      <c r="K905" s="12" t="n"/>
      <c r="L905" s="11" t="n"/>
      <c r="M905" s="11" t="n"/>
      <c r="N905" s="11" t="n"/>
      <c r="O905" s="11" t="n"/>
      <c r="P905" s="12" t="n"/>
      <c r="Q905" s="11" t="n"/>
      <c r="R905" s="12" t="n"/>
      <c r="S905" s="11" t="n"/>
      <c r="T905" s="12" t="n"/>
      <c r="U905" s="12" t="n"/>
      <c r="V905" s="14">
        <f>IF($AN905="",IF($B905="","",$H905),IF(INDEX(職員マスタ!$B$6:$B$405,$AN905)="",$H905,INDEX(職員マスタ!$B$6:$B$405,$AN905)))</f>
        <v/>
      </c>
      <c r="W905" s="14">
        <f>IF($AN905="",IF($B905="","",$R905),IF(INDEX(職員マスタ!$C$6:$C$405,$AN905)="",$R905,INDEX(職員マスタ!$C$6:$C$405,$AN905)))</f>
        <v/>
      </c>
      <c r="X905" s="14">
        <f>IF($AO905="","","R"&amp;$C905&amp;"."&amp;$D905)</f>
        <v/>
      </c>
      <c r="Y905" s="15">
        <f>IF($AN905="","",IF(INDEX(職員マスタ!$K$6:$K$405,$AN905)="","",INDEX(職員マスタ!$K$6:$K$405,$AN905)))</f>
        <v/>
      </c>
      <c r="Z905" s="14">
        <f>IF(OR($E905="",$Y905=""),"",IF($E905&gt;=$Y905,"×",IF($E905&gt;=$Y905*設定!$C$5,"△","○")))</f>
        <v/>
      </c>
      <c r="AA905" s="15">
        <f>IF($Z905="","",IF($Z905="×",0,IF($Z905="○",ROUNDDOWN($E905*設定!$C$4,0),ROUNDDOWN($E905*ROUND((9*$Y905-9*$E905)/(10*$E905),4),0))))</f>
        <v/>
      </c>
      <c r="AB905" s="13" t="n"/>
      <c r="AC905" s="15">
        <f>IF($B905="","",IF($AB905&lt;&gt;"",$AB905,IF($AA905="","",IF($AA905&lt;=設定!$C$3,0,$AA905))))</f>
        <v/>
      </c>
      <c r="AD905" s="14">
        <f>IF($B905="","",IF(AND($AE905&lt;&gt;"",$AG905="",$AJ905=""),"保留中",IF($AJ905&lt;&gt;"",IF(N($AC905)&gt;0,"支給済","不支給"),IF($AC905="","要確認",IF($AC905=0,"不支給","未処理")))))</f>
        <v/>
      </c>
      <c r="AE905" s="12" t="n"/>
      <c r="AF905" s="11" t="n"/>
      <c r="AG905" s="11" t="n"/>
      <c r="AH905" s="11" t="n"/>
      <c r="AI905" s="14">
        <f>IF(AND($AD905="保留中",$AF905&lt;&gt;""),TODAY()-$AF905,"")</f>
        <v/>
      </c>
      <c r="AJ905" s="12" t="n"/>
      <c r="AK905" s="14">
        <f>IF($B905="","",IF($AO905="","対象年月が未入力／","")&amp;IF($B905="","",IF($AN905="","職員マスタに未登録の職員番号／",IF($Y905="","標準報酬月額が未登録／","")&amp;IF(AND($AO905&lt;&gt;"",OR(AND(INDEX(職員マスタ!$G$6:$G$405,$AN905)&lt;&gt;"",INDEX(職員マスタ!$G$6:$G$405,$AN905)&gt;EOMONTH($AO905,0)),AND(INDEX(職員マスタ!$H$6:$H$405,$AN905)&lt;&gt;"",INDEX(職員マスタ!$H$6:$H$405,$AN905)&lt;$AO905))),"対象月が時短期間外／","")&amp;IF(AND(INDEX(職員マスタ!$F$6:$F$405,$AN905)&lt;&gt;"",$AO905&lt;&gt;"",INDEX(職員マスタ!$F$6:$F$405,$AN905)&lt;$AO905),"対象月に子が2歳到達済／","")&amp;IF(AND($H905&lt;&gt;"",INDEX(職員マスタ!$B$6:$B$405,$AN905)&lt;&gt;"",SUBSTITUTE(SUBSTITUTE($H905," ","")," ","")&lt;&gt;SUBSTITUTE(SUBSTITUTE(INDEX(職員マスタ!$B$6:$B$405,$AN905)," ","")," ","")),"氏名がマスタと相違／","")&amp;IF(AND($Q905&lt;&gt;"",INDEX(職員マスタ!$E$6:$E$405,$AN905)&lt;&gt;"",$Q905&lt;&gt;INDEX(職員マスタ!$E$6:$E$405,$AN905)),"子の生年月日がマスタと相違／","")&amp;IF(AND($L905&lt;&gt;"",INDEX(職員マスタ!$G$6:$G$405,$AN905)&lt;&gt;"",$L905&lt;&gt;INDEX(職員マスタ!$G$6:$G$405,$AN905)),"時短開始日がマスタと相違／","")&amp;IF(AND($M905&lt;&gt;"",INDEX(職員マスタ!$H$6:$H$405,$AN905)&lt;&gt;"",$M905&lt;&gt;INDEX(職員マスタ!$H$6:$H$405,$AN905)),"時短終了日がマスタと相違／","")))&amp;IF(AND($B905&lt;&gt;"",$E905=""),"報酬額が未入力／","")&amp;IF(N($U905)&gt;0,"申請書に入力エラーが残っています／","")&amp;IF(AND($B905&lt;&gt;"",$AO905&lt;&gt;""),IF(COUNTIFS($B$6:$B$3005,$B905,$C$6:$C$3005,$C905,$D$6:$D$3005,$D905)&gt;1,"同じ月の請求が重複しています／",""),"")&amp;IF(AND(N($E905)&gt;0,$Z905&lt;&gt;"",$Z905&lt;&gt;"×",$AC905=0,$AB905=""),"計算額が下限以下のため不支給／",""))</f>
        <v/>
      </c>
      <c r="AL905" s="12" t="n"/>
      <c r="AM905" s="14">
        <f>IF($AD905="保留中",COUNTIF($AD$6:$AD905,"保留中"),"")</f>
        <v/>
      </c>
      <c r="AN905" s="14">
        <f>IF($AO905="","",IF(SUMPRODUCT(MAX((職員マスタ!$A$6:$A$405=$B905)*(((職員マスタ!$G$6:$G$405="")+(職員マスタ!$G$6:$G$405&lt;=EOMONTH($AO905,0)))&gt;0)*(((職員マスタ!$H$6:$H$405="")+(職員マスタ!$H$6:$H$405&gt;=$AO905))&gt;0)*(ROW(職員マスタ!$A$6:$A$405)-5)))&gt;0,SUMPRODUCT(MAX((職員マスタ!$A$6:$A$405=$B905)*(((職員マスタ!$G$6:$G$405="")+(職員マスタ!$G$6:$G$405&lt;=EOMONTH($AO905,0)))&gt;0)*(((職員マスタ!$H$6:$H$405="")+(職員マスタ!$H$6:$H$405&gt;=$AO905))&gt;0)*(ROW(職員マスタ!$A$6:$A$405)-5))),IFERROR(MATCH($B905,職員マスタ!$A$6:$A$405,0),"")))</f>
        <v/>
      </c>
      <c r="AO905" s="16">
        <f>IF(OR($B905="",$C905="",$D905=""),"",DATE($C905+2018,$D905,1))</f>
        <v/>
      </c>
    </row>
    <row r="906">
      <c r="A906" s="11" t="n"/>
      <c r="B906" s="12" t="n"/>
      <c r="C906" s="12" t="n"/>
      <c r="D906" s="12" t="n"/>
      <c r="E906" s="13" t="n"/>
      <c r="F906" s="12" t="n"/>
      <c r="G906" s="13" t="n"/>
      <c r="H906" s="12" t="n"/>
      <c r="I906" s="12" t="n"/>
      <c r="J906" s="12" t="n"/>
      <c r="K906" s="12" t="n"/>
      <c r="L906" s="11" t="n"/>
      <c r="M906" s="11" t="n"/>
      <c r="N906" s="11" t="n"/>
      <c r="O906" s="11" t="n"/>
      <c r="P906" s="12" t="n"/>
      <c r="Q906" s="11" t="n"/>
      <c r="R906" s="12" t="n"/>
      <c r="S906" s="11" t="n"/>
      <c r="T906" s="12" t="n"/>
      <c r="U906" s="12" t="n"/>
      <c r="V906" s="14">
        <f>IF($AN906="",IF($B906="","",$H906),IF(INDEX(職員マスタ!$B$6:$B$405,$AN906)="",$H906,INDEX(職員マスタ!$B$6:$B$405,$AN906)))</f>
        <v/>
      </c>
      <c r="W906" s="14">
        <f>IF($AN906="",IF($B906="","",$R906),IF(INDEX(職員マスタ!$C$6:$C$405,$AN906)="",$R906,INDEX(職員マスタ!$C$6:$C$405,$AN906)))</f>
        <v/>
      </c>
      <c r="X906" s="14">
        <f>IF($AO906="","","R"&amp;$C906&amp;"."&amp;$D906)</f>
        <v/>
      </c>
      <c r="Y906" s="15">
        <f>IF($AN906="","",IF(INDEX(職員マスタ!$K$6:$K$405,$AN906)="","",INDEX(職員マスタ!$K$6:$K$405,$AN906)))</f>
        <v/>
      </c>
      <c r="Z906" s="14">
        <f>IF(OR($E906="",$Y906=""),"",IF($E906&gt;=$Y906,"×",IF($E906&gt;=$Y906*設定!$C$5,"△","○")))</f>
        <v/>
      </c>
      <c r="AA906" s="15">
        <f>IF($Z906="","",IF($Z906="×",0,IF($Z906="○",ROUNDDOWN($E906*設定!$C$4,0),ROUNDDOWN($E906*ROUND((9*$Y906-9*$E906)/(10*$E906),4),0))))</f>
        <v/>
      </c>
      <c r="AB906" s="13" t="n"/>
      <c r="AC906" s="15">
        <f>IF($B906="","",IF($AB906&lt;&gt;"",$AB906,IF($AA906="","",IF($AA906&lt;=設定!$C$3,0,$AA906))))</f>
        <v/>
      </c>
      <c r="AD906" s="14">
        <f>IF($B906="","",IF(AND($AE906&lt;&gt;"",$AG906="",$AJ906=""),"保留中",IF($AJ906&lt;&gt;"",IF(N($AC906)&gt;0,"支給済","不支給"),IF($AC906="","要確認",IF($AC906=0,"不支給","未処理")))))</f>
        <v/>
      </c>
      <c r="AE906" s="12" t="n"/>
      <c r="AF906" s="11" t="n"/>
      <c r="AG906" s="11" t="n"/>
      <c r="AH906" s="11" t="n"/>
      <c r="AI906" s="14">
        <f>IF(AND($AD906="保留中",$AF906&lt;&gt;""),TODAY()-$AF906,"")</f>
        <v/>
      </c>
      <c r="AJ906" s="12" t="n"/>
      <c r="AK906" s="14">
        <f>IF($B906="","",IF($AO906="","対象年月が未入力／","")&amp;IF($B906="","",IF($AN906="","職員マスタに未登録の職員番号／",IF($Y906="","標準報酬月額が未登録／","")&amp;IF(AND($AO906&lt;&gt;"",OR(AND(INDEX(職員マスタ!$G$6:$G$405,$AN906)&lt;&gt;"",INDEX(職員マスタ!$G$6:$G$405,$AN906)&gt;EOMONTH($AO906,0)),AND(INDEX(職員マスタ!$H$6:$H$405,$AN906)&lt;&gt;"",INDEX(職員マスタ!$H$6:$H$405,$AN906)&lt;$AO906))),"対象月が時短期間外／","")&amp;IF(AND(INDEX(職員マスタ!$F$6:$F$405,$AN906)&lt;&gt;"",$AO906&lt;&gt;"",INDEX(職員マスタ!$F$6:$F$405,$AN906)&lt;$AO906),"対象月に子が2歳到達済／","")&amp;IF(AND($H906&lt;&gt;"",INDEX(職員マスタ!$B$6:$B$405,$AN906)&lt;&gt;"",SUBSTITUTE(SUBSTITUTE($H906," ","")," ","")&lt;&gt;SUBSTITUTE(SUBSTITUTE(INDEX(職員マスタ!$B$6:$B$405,$AN906)," ","")," ","")),"氏名がマスタと相違／","")&amp;IF(AND($Q906&lt;&gt;"",INDEX(職員マスタ!$E$6:$E$405,$AN906)&lt;&gt;"",$Q906&lt;&gt;INDEX(職員マスタ!$E$6:$E$405,$AN906)),"子の生年月日がマスタと相違／","")&amp;IF(AND($L906&lt;&gt;"",INDEX(職員マスタ!$G$6:$G$405,$AN906)&lt;&gt;"",$L906&lt;&gt;INDEX(職員マスタ!$G$6:$G$405,$AN906)),"時短開始日がマスタと相違／","")&amp;IF(AND($M906&lt;&gt;"",INDEX(職員マスタ!$H$6:$H$405,$AN906)&lt;&gt;"",$M906&lt;&gt;INDEX(職員マスタ!$H$6:$H$405,$AN906)),"時短終了日がマスタと相違／","")))&amp;IF(AND($B906&lt;&gt;"",$E906=""),"報酬額が未入力／","")&amp;IF(N($U906)&gt;0,"申請書に入力エラーが残っています／","")&amp;IF(AND($B906&lt;&gt;"",$AO906&lt;&gt;""),IF(COUNTIFS($B$6:$B$3005,$B906,$C$6:$C$3005,$C906,$D$6:$D$3005,$D906)&gt;1,"同じ月の請求が重複しています／",""),"")&amp;IF(AND(N($E906)&gt;0,$Z906&lt;&gt;"",$Z906&lt;&gt;"×",$AC906=0,$AB906=""),"計算額が下限以下のため不支給／",""))</f>
        <v/>
      </c>
      <c r="AL906" s="12" t="n"/>
      <c r="AM906" s="14">
        <f>IF($AD906="保留中",COUNTIF($AD$6:$AD906,"保留中"),"")</f>
        <v/>
      </c>
      <c r="AN906" s="14">
        <f>IF($AO906="","",IF(SUMPRODUCT(MAX((職員マスタ!$A$6:$A$405=$B906)*(((職員マスタ!$G$6:$G$405="")+(職員マスタ!$G$6:$G$405&lt;=EOMONTH($AO906,0)))&gt;0)*(((職員マスタ!$H$6:$H$405="")+(職員マスタ!$H$6:$H$405&gt;=$AO906))&gt;0)*(ROW(職員マスタ!$A$6:$A$405)-5)))&gt;0,SUMPRODUCT(MAX((職員マスタ!$A$6:$A$405=$B906)*(((職員マスタ!$G$6:$G$405="")+(職員マスタ!$G$6:$G$405&lt;=EOMONTH($AO906,0)))&gt;0)*(((職員マスタ!$H$6:$H$405="")+(職員マスタ!$H$6:$H$405&gt;=$AO906))&gt;0)*(ROW(職員マスタ!$A$6:$A$405)-5))),IFERROR(MATCH($B906,職員マスタ!$A$6:$A$405,0),"")))</f>
        <v/>
      </c>
      <c r="AO906" s="16">
        <f>IF(OR($B906="",$C906="",$D906=""),"",DATE($C906+2018,$D906,1))</f>
        <v/>
      </c>
    </row>
    <row r="907">
      <c r="A907" s="11" t="n"/>
      <c r="B907" s="12" t="n"/>
      <c r="C907" s="12" t="n"/>
      <c r="D907" s="12" t="n"/>
      <c r="E907" s="13" t="n"/>
      <c r="F907" s="12" t="n"/>
      <c r="G907" s="13" t="n"/>
      <c r="H907" s="12" t="n"/>
      <c r="I907" s="12" t="n"/>
      <c r="J907" s="12" t="n"/>
      <c r="K907" s="12" t="n"/>
      <c r="L907" s="11" t="n"/>
      <c r="M907" s="11" t="n"/>
      <c r="N907" s="11" t="n"/>
      <c r="O907" s="11" t="n"/>
      <c r="P907" s="12" t="n"/>
      <c r="Q907" s="11" t="n"/>
      <c r="R907" s="12" t="n"/>
      <c r="S907" s="11" t="n"/>
      <c r="T907" s="12" t="n"/>
      <c r="U907" s="12" t="n"/>
      <c r="V907" s="14">
        <f>IF($AN907="",IF($B907="","",$H907),IF(INDEX(職員マスタ!$B$6:$B$405,$AN907)="",$H907,INDEX(職員マスタ!$B$6:$B$405,$AN907)))</f>
        <v/>
      </c>
      <c r="W907" s="14">
        <f>IF($AN907="",IF($B907="","",$R907),IF(INDEX(職員マスタ!$C$6:$C$405,$AN907)="",$R907,INDEX(職員マスタ!$C$6:$C$405,$AN907)))</f>
        <v/>
      </c>
      <c r="X907" s="14">
        <f>IF($AO907="","","R"&amp;$C907&amp;"."&amp;$D907)</f>
        <v/>
      </c>
      <c r="Y907" s="15">
        <f>IF($AN907="","",IF(INDEX(職員マスタ!$K$6:$K$405,$AN907)="","",INDEX(職員マスタ!$K$6:$K$405,$AN907)))</f>
        <v/>
      </c>
      <c r="Z907" s="14">
        <f>IF(OR($E907="",$Y907=""),"",IF($E907&gt;=$Y907,"×",IF($E907&gt;=$Y907*設定!$C$5,"△","○")))</f>
        <v/>
      </c>
      <c r="AA907" s="15">
        <f>IF($Z907="","",IF($Z907="×",0,IF($Z907="○",ROUNDDOWN($E907*設定!$C$4,0),ROUNDDOWN($E907*ROUND((9*$Y907-9*$E907)/(10*$E907),4),0))))</f>
        <v/>
      </c>
      <c r="AB907" s="13" t="n"/>
      <c r="AC907" s="15">
        <f>IF($B907="","",IF($AB907&lt;&gt;"",$AB907,IF($AA907="","",IF($AA907&lt;=設定!$C$3,0,$AA907))))</f>
        <v/>
      </c>
      <c r="AD907" s="14">
        <f>IF($B907="","",IF(AND($AE907&lt;&gt;"",$AG907="",$AJ907=""),"保留中",IF($AJ907&lt;&gt;"",IF(N($AC907)&gt;0,"支給済","不支給"),IF($AC907="","要確認",IF($AC907=0,"不支給","未処理")))))</f>
        <v/>
      </c>
      <c r="AE907" s="12" t="n"/>
      <c r="AF907" s="11" t="n"/>
      <c r="AG907" s="11" t="n"/>
      <c r="AH907" s="11" t="n"/>
      <c r="AI907" s="14">
        <f>IF(AND($AD907="保留中",$AF907&lt;&gt;""),TODAY()-$AF907,"")</f>
        <v/>
      </c>
      <c r="AJ907" s="12" t="n"/>
      <c r="AK907" s="14">
        <f>IF($B907="","",IF($AO907="","対象年月が未入力／","")&amp;IF($B907="","",IF($AN907="","職員マスタに未登録の職員番号／",IF($Y907="","標準報酬月額が未登録／","")&amp;IF(AND($AO907&lt;&gt;"",OR(AND(INDEX(職員マスタ!$G$6:$G$405,$AN907)&lt;&gt;"",INDEX(職員マスタ!$G$6:$G$405,$AN907)&gt;EOMONTH($AO907,0)),AND(INDEX(職員マスタ!$H$6:$H$405,$AN907)&lt;&gt;"",INDEX(職員マスタ!$H$6:$H$405,$AN907)&lt;$AO907))),"対象月が時短期間外／","")&amp;IF(AND(INDEX(職員マスタ!$F$6:$F$405,$AN907)&lt;&gt;"",$AO907&lt;&gt;"",INDEX(職員マスタ!$F$6:$F$405,$AN907)&lt;$AO907),"対象月に子が2歳到達済／","")&amp;IF(AND($H907&lt;&gt;"",INDEX(職員マスタ!$B$6:$B$405,$AN907)&lt;&gt;"",SUBSTITUTE(SUBSTITUTE($H907," ","")," ","")&lt;&gt;SUBSTITUTE(SUBSTITUTE(INDEX(職員マスタ!$B$6:$B$405,$AN907)," ","")," ","")),"氏名がマスタと相違／","")&amp;IF(AND($Q907&lt;&gt;"",INDEX(職員マスタ!$E$6:$E$405,$AN907)&lt;&gt;"",$Q907&lt;&gt;INDEX(職員マスタ!$E$6:$E$405,$AN907)),"子の生年月日がマスタと相違／","")&amp;IF(AND($L907&lt;&gt;"",INDEX(職員マスタ!$G$6:$G$405,$AN907)&lt;&gt;"",$L907&lt;&gt;INDEX(職員マスタ!$G$6:$G$405,$AN907)),"時短開始日がマスタと相違／","")&amp;IF(AND($M907&lt;&gt;"",INDEX(職員マスタ!$H$6:$H$405,$AN907)&lt;&gt;"",$M907&lt;&gt;INDEX(職員マスタ!$H$6:$H$405,$AN907)),"時短終了日がマスタと相違／","")))&amp;IF(AND($B907&lt;&gt;"",$E907=""),"報酬額が未入力／","")&amp;IF(N($U907)&gt;0,"申請書に入力エラーが残っています／","")&amp;IF(AND($B907&lt;&gt;"",$AO907&lt;&gt;""),IF(COUNTIFS($B$6:$B$3005,$B907,$C$6:$C$3005,$C907,$D$6:$D$3005,$D907)&gt;1,"同じ月の請求が重複しています／",""),"")&amp;IF(AND(N($E907)&gt;0,$Z907&lt;&gt;"",$Z907&lt;&gt;"×",$AC907=0,$AB907=""),"計算額が下限以下のため不支給／",""))</f>
        <v/>
      </c>
      <c r="AL907" s="12" t="n"/>
      <c r="AM907" s="14">
        <f>IF($AD907="保留中",COUNTIF($AD$6:$AD907,"保留中"),"")</f>
        <v/>
      </c>
      <c r="AN907" s="14">
        <f>IF($AO907="","",IF(SUMPRODUCT(MAX((職員マスタ!$A$6:$A$405=$B907)*(((職員マスタ!$G$6:$G$405="")+(職員マスタ!$G$6:$G$405&lt;=EOMONTH($AO907,0)))&gt;0)*(((職員マスタ!$H$6:$H$405="")+(職員マスタ!$H$6:$H$405&gt;=$AO907))&gt;0)*(ROW(職員マスタ!$A$6:$A$405)-5)))&gt;0,SUMPRODUCT(MAX((職員マスタ!$A$6:$A$405=$B907)*(((職員マスタ!$G$6:$G$405="")+(職員マスタ!$G$6:$G$405&lt;=EOMONTH($AO907,0)))&gt;0)*(((職員マスタ!$H$6:$H$405="")+(職員マスタ!$H$6:$H$405&gt;=$AO907))&gt;0)*(ROW(職員マスタ!$A$6:$A$405)-5))),IFERROR(MATCH($B907,職員マスタ!$A$6:$A$405,0),"")))</f>
        <v/>
      </c>
      <c r="AO907" s="16">
        <f>IF(OR($B907="",$C907="",$D907=""),"",DATE($C907+2018,$D907,1))</f>
        <v/>
      </c>
    </row>
    <row r="908">
      <c r="A908" s="11" t="n"/>
      <c r="B908" s="12" t="n"/>
      <c r="C908" s="12" t="n"/>
      <c r="D908" s="12" t="n"/>
      <c r="E908" s="13" t="n"/>
      <c r="F908" s="12" t="n"/>
      <c r="G908" s="13" t="n"/>
      <c r="H908" s="12" t="n"/>
      <c r="I908" s="12" t="n"/>
      <c r="J908" s="12" t="n"/>
      <c r="K908" s="12" t="n"/>
      <c r="L908" s="11" t="n"/>
      <c r="M908" s="11" t="n"/>
      <c r="N908" s="11" t="n"/>
      <c r="O908" s="11" t="n"/>
      <c r="P908" s="12" t="n"/>
      <c r="Q908" s="11" t="n"/>
      <c r="R908" s="12" t="n"/>
      <c r="S908" s="11" t="n"/>
      <c r="T908" s="12" t="n"/>
      <c r="U908" s="12" t="n"/>
      <c r="V908" s="14">
        <f>IF($AN908="",IF($B908="","",$H908),IF(INDEX(職員マスタ!$B$6:$B$405,$AN908)="",$H908,INDEX(職員マスタ!$B$6:$B$405,$AN908)))</f>
        <v/>
      </c>
      <c r="W908" s="14">
        <f>IF($AN908="",IF($B908="","",$R908),IF(INDEX(職員マスタ!$C$6:$C$405,$AN908)="",$R908,INDEX(職員マスタ!$C$6:$C$405,$AN908)))</f>
        <v/>
      </c>
      <c r="X908" s="14">
        <f>IF($AO908="","","R"&amp;$C908&amp;"."&amp;$D908)</f>
        <v/>
      </c>
      <c r="Y908" s="15">
        <f>IF($AN908="","",IF(INDEX(職員マスタ!$K$6:$K$405,$AN908)="","",INDEX(職員マスタ!$K$6:$K$405,$AN908)))</f>
        <v/>
      </c>
      <c r="Z908" s="14">
        <f>IF(OR($E908="",$Y908=""),"",IF($E908&gt;=$Y908,"×",IF($E908&gt;=$Y908*設定!$C$5,"△","○")))</f>
        <v/>
      </c>
      <c r="AA908" s="15">
        <f>IF($Z908="","",IF($Z908="×",0,IF($Z908="○",ROUNDDOWN($E908*設定!$C$4,0),ROUNDDOWN($E908*ROUND((9*$Y908-9*$E908)/(10*$E908),4),0))))</f>
        <v/>
      </c>
      <c r="AB908" s="13" t="n"/>
      <c r="AC908" s="15">
        <f>IF($B908="","",IF($AB908&lt;&gt;"",$AB908,IF($AA908="","",IF($AA908&lt;=設定!$C$3,0,$AA908))))</f>
        <v/>
      </c>
      <c r="AD908" s="14">
        <f>IF($B908="","",IF(AND($AE908&lt;&gt;"",$AG908="",$AJ908=""),"保留中",IF($AJ908&lt;&gt;"",IF(N($AC908)&gt;0,"支給済","不支給"),IF($AC908="","要確認",IF($AC908=0,"不支給","未処理")))))</f>
        <v/>
      </c>
      <c r="AE908" s="12" t="n"/>
      <c r="AF908" s="11" t="n"/>
      <c r="AG908" s="11" t="n"/>
      <c r="AH908" s="11" t="n"/>
      <c r="AI908" s="14">
        <f>IF(AND($AD908="保留中",$AF908&lt;&gt;""),TODAY()-$AF908,"")</f>
        <v/>
      </c>
      <c r="AJ908" s="12" t="n"/>
      <c r="AK908" s="14">
        <f>IF($B908="","",IF($AO908="","対象年月が未入力／","")&amp;IF($B908="","",IF($AN908="","職員マスタに未登録の職員番号／",IF($Y908="","標準報酬月額が未登録／","")&amp;IF(AND($AO908&lt;&gt;"",OR(AND(INDEX(職員マスタ!$G$6:$G$405,$AN908)&lt;&gt;"",INDEX(職員マスタ!$G$6:$G$405,$AN908)&gt;EOMONTH($AO908,0)),AND(INDEX(職員マスタ!$H$6:$H$405,$AN908)&lt;&gt;"",INDEX(職員マスタ!$H$6:$H$405,$AN908)&lt;$AO908))),"対象月が時短期間外／","")&amp;IF(AND(INDEX(職員マスタ!$F$6:$F$405,$AN908)&lt;&gt;"",$AO908&lt;&gt;"",INDEX(職員マスタ!$F$6:$F$405,$AN908)&lt;$AO908),"対象月に子が2歳到達済／","")&amp;IF(AND($H908&lt;&gt;"",INDEX(職員マスタ!$B$6:$B$405,$AN908)&lt;&gt;"",SUBSTITUTE(SUBSTITUTE($H908," ","")," ","")&lt;&gt;SUBSTITUTE(SUBSTITUTE(INDEX(職員マスタ!$B$6:$B$405,$AN908)," ","")," ","")),"氏名がマスタと相違／","")&amp;IF(AND($Q908&lt;&gt;"",INDEX(職員マスタ!$E$6:$E$405,$AN908)&lt;&gt;"",$Q908&lt;&gt;INDEX(職員マスタ!$E$6:$E$405,$AN908)),"子の生年月日がマスタと相違／","")&amp;IF(AND($L908&lt;&gt;"",INDEX(職員マスタ!$G$6:$G$405,$AN908)&lt;&gt;"",$L908&lt;&gt;INDEX(職員マスタ!$G$6:$G$405,$AN908)),"時短開始日がマスタと相違／","")&amp;IF(AND($M908&lt;&gt;"",INDEX(職員マスタ!$H$6:$H$405,$AN908)&lt;&gt;"",$M908&lt;&gt;INDEX(職員マスタ!$H$6:$H$405,$AN908)),"時短終了日がマスタと相違／","")))&amp;IF(AND($B908&lt;&gt;"",$E908=""),"報酬額が未入力／","")&amp;IF(N($U908)&gt;0,"申請書に入力エラーが残っています／","")&amp;IF(AND($B908&lt;&gt;"",$AO908&lt;&gt;""),IF(COUNTIFS($B$6:$B$3005,$B908,$C$6:$C$3005,$C908,$D$6:$D$3005,$D908)&gt;1,"同じ月の請求が重複しています／",""),"")&amp;IF(AND(N($E908)&gt;0,$Z908&lt;&gt;"",$Z908&lt;&gt;"×",$AC908=0,$AB908=""),"計算額が下限以下のため不支給／",""))</f>
        <v/>
      </c>
      <c r="AL908" s="12" t="n"/>
      <c r="AM908" s="14">
        <f>IF($AD908="保留中",COUNTIF($AD$6:$AD908,"保留中"),"")</f>
        <v/>
      </c>
      <c r="AN908" s="14">
        <f>IF($AO908="","",IF(SUMPRODUCT(MAX((職員マスタ!$A$6:$A$405=$B908)*(((職員マスタ!$G$6:$G$405="")+(職員マスタ!$G$6:$G$405&lt;=EOMONTH($AO908,0)))&gt;0)*(((職員マスタ!$H$6:$H$405="")+(職員マスタ!$H$6:$H$405&gt;=$AO908))&gt;0)*(ROW(職員マスタ!$A$6:$A$405)-5)))&gt;0,SUMPRODUCT(MAX((職員マスタ!$A$6:$A$405=$B908)*(((職員マスタ!$G$6:$G$405="")+(職員マスタ!$G$6:$G$405&lt;=EOMONTH($AO908,0)))&gt;0)*(((職員マスタ!$H$6:$H$405="")+(職員マスタ!$H$6:$H$405&gt;=$AO908))&gt;0)*(ROW(職員マスタ!$A$6:$A$405)-5))),IFERROR(MATCH($B908,職員マスタ!$A$6:$A$405,0),"")))</f>
        <v/>
      </c>
      <c r="AO908" s="16">
        <f>IF(OR($B908="",$C908="",$D908=""),"",DATE($C908+2018,$D908,1))</f>
        <v/>
      </c>
    </row>
    <row r="909">
      <c r="A909" s="11" t="n"/>
      <c r="B909" s="12" t="n"/>
      <c r="C909" s="12" t="n"/>
      <c r="D909" s="12" t="n"/>
      <c r="E909" s="13" t="n"/>
      <c r="F909" s="12" t="n"/>
      <c r="G909" s="13" t="n"/>
      <c r="H909" s="12" t="n"/>
      <c r="I909" s="12" t="n"/>
      <c r="J909" s="12" t="n"/>
      <c r="K909" s="12" t="n"/>
      <c r="L909" s="11" t="n"/>
      <c r="M909" s="11" t="n"/>
      <c r="N909" s="11" t="n"/>
      <c r="O909" s="11" t="n"/>
      <c r="P909" s="12" t="n"/>
      <c r="Q909" s="11" t="n"/>
      <c r="R909" s="12" t="n"/>
      <c r="S909" s="11" t="n"/>
      <c r="T909" s="12" t="n"/>
      <c r="U909" s="12" t="n"/>
      <c r="V909" s="14">
        <f>IF($AN909="",IF($B909="","",$H909),IF(INDEX(職員マスタ!$B$6:$B$405,$AN909)="",$H909,INDEX(職員マスタ!$B$6:$B$405,$AN909)))</f>
        <v/>
      </c>
      <c r="W909" s="14">
        <f>IF($AN909="",IF($B909="","",$R909),IF(INDEX(職員マスタ!$C$6:$C$405,$AN909)="",$R909,INDEX(職員マスタ!$C$6:$C$405,$AN909)))</f>
        <v/>
      </c>
      <c r="X909" s="14">
        <f>IF($AO909="","","R"&amp;$C909&amp;"."&amp;$D909)</f>
        <v/>
      </c>
      <c r="Y909" s="15">
        <f>IF($AN909="","",IF(INDEX(職員マスタ!$K$6:$K$405,$AN909)="","",INDEX(職員マスタ!$K$6:$K$405,$AN909)))</f>
        <v/>
      </c>
      <c r="Z909" s="14">
        <f>IF(OR($E909="",$Y909=""),"",IF($E909&gt;=$Y909,"×",IF($E909&gt;=$Y909*設定!$C$5,"△","○")))</f>
        <v/>
      </c>
      <c r="AA909" s="15">
        <f>IF($Z909="","",IF($Z909="×",0,IF($Z909="○",ROUNDDOWN($E909*設定!$C$4,0),ROUNDDOWN($E909*ROUND((9*$Y909-9*$E909)/(10*$E909),4),0))))</f>
        <v/>
      </c>
      <c r="AB909" s="13" t="n"/>
      <c r="AC909" s="15">
        <f>IF($B909="","",IF($AB909&lt;&gt;"",$AB909,IF($AA909="","",IF($AA909&lt;=設定!$C$3,0,$AA909))))</f>
        <v/>
      </c>
      <c r="AD909" s="14">
        <f>IF($B909="","",IF(AND($AE909&lt;&gt;"",$AG909="",$AJ909=""),"保留中",IF($AJ909&lt;&gt;"",IF(N($AC909)&gt;0,"支給済","不支給"),IF($AC909="","要確認",IF($AC909=0,"不支給","未処理")))))</f>
        <v/>
      </c>
      <c r="AE909" s="12" t="n"/>
      <c r="AF909" s="11" t="n"/>
      <c r="AG909" s="11" t="n"/>
      <c r="AH909" s="11" t="n"/>
      <c r="AI909" s="14">
        <f>IF(AND($AD909="保留中",$AF909&lt;&gt;""),TODAY()-$AF909,"")</f>
        <v/>
      </c>
      <c r="AJ909" s="12" t="n"/>
      <c r="AK909" s="14">
        <f>IF($B909="","",IF($AO909="","対象年月が未入力／","")&amp;IF($B909="","",IF($AN909="","職員マスタに未登録の職員番号／",IF($Y909="","標準報酬月額が未登録／","")&amp;IF(AND($AO909&lt;&gt;"",OR(AND(INDEX(職員マスタ!$G$6:$G$405,$AN909)&lt;&gt;"",INDEX(職員マスタ!$G$6:$G$405,$AN909)&gt;EOMONTH($AO909,0)),AND(INDEX(職員マスタ!$H$6:$H$405,$AN909)&lt;&gt;"",INDEX(職員マスタ!$H$6:$H$405,$AN909)&lt;$AO909))),"対象月が時短期間外／","")&amp;IF(AND(INDEX(職員マスタ!$F$6:$F$405,$AN909)&lt;&gt;"",$AO909&lt;&gt;"",INDEX(職員マスタ!$F$6:$F$405,$AN909)&lt;$AO909),"対象月に子が2歳到達済／","")&amp;IF(AND($H909&lt;&gt;"",INDEX(職員マスタ!$B$6:$B$405,$AN909)&lt;&gt;"",SUBSTITUTE(SUBSTITUTE($H909," ","")," ","")&lt;&gt;SUBSTITUTE(SUBSTITUTE(INDEX(職員マスタ!$B$6:$B$405,$AN909)," ","")," ","")),"氏名がマスタと相違／","")&amp;IF(AND($Q909&lt;&gt;"",INDEX(職員マスタ!$E$6:$E$405,$AN909)&lt;&gt;"",$Q909&lt;&gt;INDEX(職員マスタ!$E$6:$E$405,$AN909)),"子の生年月日がマスタと相違／","")&amp;IF(AND($L909&lt;&gt;"",INDEX(職員マスタ!$G$6:$G$405,$AN909)&lt;&gt;"",$L909&lt;&gt;INDEX(職員マスタ!$G$6:$G$405,$AN909)),"時短開始日がマスタと相違／","")&amp;IF(AND($M909&lt;&gt;"",INDEX(職員マスタ!$H$6:$H$405,$AN909)&lt;&gt;"",$M909&lt;&gt;INDEX(職員マスタ!$H$6:$H$405,$AN909)),"時短終了日がマスタと相違／","")))&amp;IF(AND($B909&lt;&gt;"",$E909=""),"報酬額が未入力／","")&amp;IF(N($U909)&gt;0,"申請書に入力エラーが残っています／","")&amp;IF(AND($B909&lt;&gt;"",$AO909&lt;&gt;""),IF(COUNTIFS($B$6:$B$3005,$B909,$C$6:$C$3005,$C909,$D$6:$D$3005,$D909)&gt;1,"同じ月の請求が重複しています／",""),"")&amp;IF(AND(N($E909)&gt;0,$Z909&lt;&gt;"",$Z909&lt;&gt;"×",$AC909=0,$AB909=""),"計算額が下限以下のため不支給／",""))</f>
        <v/>
      </c>
      <c r="AL909" s="12" t="n"/>
      <c r="AM909" s="14">
        <f>IF($AD909="保留中",COUNTIF($AD$6:$AD909,"保留中"),"")</f>
        <v/>
      </c>
      <c r="AN909" s="14">
        <f>IF($AO909="","",IF(SUMPRODUCT(MAX((職員マスタ!$A$6:$A$405=$B909)*(((職員マスタ!$G$6:$G$405="")+(職員マスタ!$G$6:$G$405&lt;=EOMONTH($AO909,0)))&gt;0)*(((職員マスタ!$H$6:$H$405="")+(職員マスタ!$H$6:$H$405&gt;=$AO909))&gt;0)*(ROW(職員マスタ!$A$6:$A$405)-5)))&gt;0,SUMPRODUCT(MAX((職員マスタ!$A$6:$A$405=$B909)*(((職員マスタ!$G$6:$G$405="")+(職員マスタ!$G$6:$G$405&lt;=EOMONTH($AO909,0)))&gt;0)*(((職員マスタ!$H$6:$H$405="")+(職員マスタ!$H$6:$H$405&gt;=$AO909))&gt;0)*(ROW(職員マスタ!$A$6:$A$405)-5))),IFERROR(MATCH($B909,職員マスタ!$A$6:$A$405,0),"")))</f>
        <v/>
      </c>
      <c r="AO909" s="16">
        <f>IF(OR($B909="",$C909="",$D909=""),"",DATE($C909+2018,$D909,1))</f>
        <v/>
      </c>
    </row>
    <row r="910">
      <c r="A910" s="11" t="n"/>
      <c r="B910" s="12" t="n"/>
      <c r="C910" s="12" t="n"/>
      <c r="D910" s="12" t="n"/>
      <c r="E910" s="13" t="n"/>
      <c r="F910" s="12" t="n"/>
      <c r="G910" s="13" t="n"/>
      <c r="H910" s="12" t="n"/>
      <c r="I910" s="12" t="n"/>
      <c r="J910" s="12" t="n"/>
      <c r="K910" s="12" t="n"/>
      <c r="L910" s="11" t="n"/>
      <c r="M910" s="11" t="n"/>
      <c r="N910" s="11" t="n"/>
      <c r="O910" s="11" t="n"/>
      <c r="P910" s="12" t="n"/>
      <c r="Q910" s="11" t="n"/>
      <c r="R910" s="12" t="n"/>
      <c r="S910" s="11" t="n"/>
      <c r="T910" s="12" t="n"/>
      <c r="U910" s="12" t="n"/>
      <c r="V910" s="14">
        <f>IF($AN910="",IF($B910="","",$H910),IF(INDEX(職員マスタ!$B$6:$B$405,$AN910)="",$H910,INDEX(職員マスタ!$B$6:$B$405,$AN910)))</f>
        <v/>
      </c>
      <c r="W910" s="14">
        <f>IF($AN910="",IF($B910="","",$R910),IF(INDEX(職員マスタ!$C$6:$C$405,$AN910)="",$R910,INDEX(職員マスタ!$C$6:$C$405,$AN910)))</f>
        <v/>
      </c>
      <c r="X910" s="14">
        <f>IF($AO910="","","R"&amp;$C910&amp;"."&amp;$D910)</f>
        <v/>
      </c>
      <c r="Y910" s="15">
        <f>IF($AN910="","",IF(INDEX(職員マスタ!$K$6:$K$405,$AN910)="","",INDEX(職員マスタ!$K$6:$K$405,$AN910)))</f>
        <v/>
      </c>
      <c r="Z910" s="14">
        <f>IF(OR($E910="",$Y910=""),"",IF($E910&gt;=$Y910,"×",IF($E910&gt;=$Y910*設定!$C$5,"△","○")))</f>
        <v/>
      </c>
      <c r="AA910" s="15">
        <f>IF($Z910="","",IF($Z910="×",0,IF($Z910="○",ROUNDDOWN($E910*設定!$C$4,0),ROUNDDOWN($E910*ROUND((9*$Y910-9*$E910)/(10*$E910),4),0))))</f>
        <v/>
      </c>
      <c r="AB910" s="13" t="n"/>
      <c r="AC910" s="15">
        <f>IF($B910="","",IF($AB910&lt;&gt;"",$AB910,IF($AA910="","",IF($AA910&lt;=設定!$C$3,0,$AA910))))</f>
        <v/>
      </c>
      <c r="AD910" s="14">
        <f>IF($B910="","",IF(AND($AE910&lt;&gt;"",$AG910="",$AJ910=""),"保留中",IF($AJ910&lt;&gt;"",IF(N($AC910)&gt;0,"支給済","不支給"),IF($AC910="","要確認",IF($AC910=0,"不支給","未処理")))))</f>
        <v/>
      </c>
      <c r="AE910" s="12" t="n"/>
      <c r="AF910" s="11" t="n"/>
      <c r="AG910" s="11" t="n"/>
      <c r="AH910" s="11" t="n"/>
      <c r="AI910" s="14">
        <f>IF(AND($AD910="保留中",$AF910&lt;&gt;""),TODAY()-$AF910,"")</f>
        <v/>
      </c>
      <c r="AJ910" s="12" t="n"/>
      <c r="AK910" s="14">
        <f>IF($B910="","",IF($AO910="","対象年月が未入力／","")&amp;IF($B910="","",IF($AN910="","職員マスタに未登録の職員番号／",IF($Y910="","標準報酬月額が未登録／","")&amp;IF(AND($AO910&lt;&gt;"",OR(AND(INDEX(職員マスタ!$G$6:$G$405,$AN910)&lt;&gt;"",INDEX(職員マスタ!$G$6:$G$405,$AN910)&gt;EOMONTH($AO910,0)),AND(INDEX(職員マスタ!$H$6:$H$405,$AN910)&lt;&gt;"",INDEX(職員マスタ!$H$6:$H$405,$AN910)&lt;$AO910))),"対象月が時短期間外／","")&amp;IF(AND(INDEX(職員マスタ!$F$6:$F$405,$AN910)&lt;&gt;"",$AO910&lt;&gt;"",INDEX(職員マスタ!$F$6:$F$405,$AN910)&lt;$AO910),"対象月に子が2歳到達済／","")&amp;IF(AND($H910&lt;&gt;"",INDEX(職員マスタ!$B$6:$B$405,$AN910)&lt;&gt;"",SUBSTITUTE(SUBSTITUTE($H910," ","")," ","")&lt;&gt;SUBSTITUTE(SUBSTITUTE(INDEX(職員マスタ!$B$6:$B$405,$AN910)," ","")," ","")),"氏名がマスタと相違／","")&amp;IF(AND($Q910&lt;&gt;"",INDEX(職員マスタ!$E$6:$E$405,$AN910)&lt;&gt;"",$Q910&lt;&gt;INDEX(職員マスタ!$E$6:$E$405,$AN910)),"子の生年月日がマスタと相違／","")&amp;IF(AND($L910&lt;&gt;"",INDEX(職員マスタ!$G$6:$G$405,$AN910)&lt;&gt;"",$L910&lt;&gt;INDEX(職員マスタ!$G$6:$G$405,$AN910)),"時短開始日がマスタと相違／","")&amp;IF(AND($M910&lt;&gt;"",INDEX(職員マスタ!$H$6:$H$405,$AN910)&lt;&gt;"",$M910&lt;&gt;INDEX(職員マスタ!$H$6:$H$405,$AN910)),"時短終了日がマスタと相違／","")))&amp;IF(AND($B910&lt;&gt;"",$E910=""),"報酬額が未入力／","")&amp;IF(N($U910)&gt;0,"申請書に入力エラーが残っています／","")&amp;IF(AND($B910&lt;&gt;"",$AO910&lt;&gt;""),IF(COUNTIFS($B$6:$B$3005,$B910,$C$6:$C$3005,$C910,$D$6:$D$3005,$D910)&gt;1,"同じ月の請求が重複しています／",""),"")&amp;IF(AND(N($E910)&gt;0,$Z910&lt;&gt;"",$Z910&lt;&gt;"×",$AC910=0,$AB910=""),"計算額が下限以下のため不支給／",""))</f>
        <v/>
      </c>
      <c r="AL910" s="12" t="n"/>
      <c r="AM910" s="14">
        <f>IF($AD910="保留中",COUNTIF($AD$6:$AD910,"保留中"),"")</f>
        <v/>
      </c>
      <c r="AN910" s="14">
        <f>IF($AO910="","",IF(SUMPRODUCT(MAX((職員マスタ!$A$6:$A$405=$B910)*(((職員マスタ!$G$6:$G$405="")+(職員マスタ!$G$6:$G$405&lt;=EOMONTH($AO910,0)))&gt;0)*(((職員マスタ!$H$6:$H$405="")+(職員マスタ!$H$6:$H$405&gt;=$AO910))&gt;0)*(ROW(職員マスタ!$A$6:$A$405)-5)))&gt;0,SUMPRODUCT(MAX((職員マスタ!$A$6:$A$405=$B910)*(((職員マスタ!$G$6:$G$405="")+(職員マスタ!$G$6:$G$405&lt;=EOMONTH($AO910,0)))&gt;0)*(((職員マスタ!$H$6:$H$405="")+(職員マスタ!$H$6:$H$405&gt;=$AO910))&gt;0)*(ROW(職員マスタ!$A$6:$A$405)-5))),IFERROR(MATCH($B910,職員マスタ!$A$6:$A$405,0),"")))</f>
        <v/>
      </c>
      <c r="AO910" s="16">
        <f>IF(OR($B910="",$C910="",$D910=""),"",DATE($C910+2018,$D910,1))</f>
        <v/>
      </c>
    </row>
    <row r="911">
      <c r="A911" s="11" t="n"/>
      <c r="B911" s="12" t="n"/>
      <c r="C911" s="12" t="n"/>
      <c r="D911" s="12" t="n"/>
      <c r="E911" s="13" t="n"/>
      <c r="F911" s="12" t="n"/>
      <c r="G911" s="13" t="n"/>
      <c r="H911" s="12" t="n"/>
      <c r="I911" s="12" t="n"/>
      <c r="J911" s="12" t="n"/>
      <c r="K911" s="12" t="n"/>
      <c r="L911" s="11" t="n"/>
      <c r="M911" s="11" t="n"/>
      <c r="N911" s="11" t="n"/>
      <c r="O911" s="11" t="n"/>
      <c r="P911" s="12" t="n"/>
      <c r="Q911" s="11" t="n"/>
      <c r="R911" s="12" t="n"/>
      <c r="S911" s="11" t="n"/>
      <c r="T911" s="12" t="n"/>
      <c r="U911" s="12" t="n"/>
      <c r="V911" s="14">
        <f>IF($AN911="",IF($B911="","",$H911),IF(INDEX(職員マスタ!$B$6:$B$405,$AN911)="",$H911,INDEX(職員マスタ!$B$6:$B$405,$AN911)))</f>
        <v/>
      </c>
      <c r="W911" s="14">
        <f>IF($AN911="",IF($B911="","",$R911),IF(INDEX(職員マスタ!$C$6:$C$405,$AN911)="",$R911,INDEX(職員マスタ!$C$6:$C$405,$AN911)))</f>
        <v/>
      </c>
      <c r="X911" s="14">
        <f>IF($AO911="","","R"&amp;$C911&amp;"."&amp;$D911)</f>
        <v/>
      </c>
      <c r="Y911" s="15">
        <f>IF($AN911="","",IF(INDEX(職員マスタ!$K$6:$K$405,$AN911)="","",INDEX(職員マスタ!$K$6:$K$405,$AN911)))</f>
        <v/>
      </c>
      <c r="Z911" s="14">
        <f>IF(OR($E911="",$Y911=""),"",IF($E911&gt;=$Y911,"×",IF($E911&gt;=$Y911*設定!$C$5,"△","○")))</f>
        <v/>
      </c>
      <c r="AA911" s="15">
        <f>IF($Z911="","",IF($Z911="×",0,IF($Z911="○",ROUNDDOWN($E911*設定!$C$4,0),ROUNDDOWN($E911*ROUND((9*$Y911-9*$E911)/(10*$E911),4),0))))</f>
        <v/>
      </c>
      <c r="AB911" s="13" t="n"/>
      <c r="AC911" s="15">
        <f>IF($B911="","",IF($AB911&lt;&gt;"",$AB911,IF($AA911="","",IF($AA911&lt;=設定!$C$3,0,$AA911))))</f>
        <v/>
      </c>
      <c r="AD911" s="14">
        <f>IF($B911="","",IF(AND($AE911&lt;&gt;"",$AG911="",$AJ911=""),"保留中",IF($AJ911&lt;&gt;"",IF(N($AC911)&gt;0,"支給済","不支給"),IF($AC911="","要確認",IF($AC911=0,"不支給","未処理")))))</f>
        <v/>
      </c>
      <c r="AE911" s="12" t="n"/>
      <c r="AF911" s="11" t="n"/>
      <c r="AG911" s="11" t="n"/>
      <c r="AH911" s="11" t="n"/>
      <c r="AI911" s="14">
        <f>IF(AND($AD911="保留中",$AF911&lt;&gt;""),TODAY()-$AF911,"")</f>
        <v/>
      </c>
      <c r="AJ911" s="12" t="n"/>
      <c r="AK911" s="14">
        <f>IF($B911="","",IF($AO911="","対象年月が未入力／","")&amp;IF($B911="","",IF($AN911="","職員マスタに未登録の職員番号／",IF($Y911="","標準報酬月額が未登録／","")&amp;IF(AND($AO911&lt;&gt;"",OR(AND(INDEX(職員マスタ!$G$6:$G$405,$AN911)&lt;&gt;"",INDEX(職員マスタ!$G$6:$G$405,$AN911)&gt;EOMONTH($AO911,0)),AND(INDEX(職員マスタ!$H$6:$H$405,$AN911)&lt;&gt;"",INDEX(職員マスタ!$H$6:$H$405,$AN911)&lt;$AO911))),"対象月が時短期間外／","")&amp;IF(AND(INDEX(職員マスタ!$F$6:$F$405,$AN911)&lt;&gt;"",$AO911&lt;&gt;"",INDEX(職員マスタ!$F$6:$F$405,$AN911)&lt;$AO911),"対象月に子が2歳到達済／","")&amp;IF(AND($H911&lt;&gt;"",INDEX(職員マスタ!$B$6:$B$405,$AN911)&lt;&gt;"",SUBSTITUTE(SUBSTITUTE($H911," ","")," ","")&lt;&gt;SUBSTITUTE(SUBSTITUTE(INDEX(職員マスタ!$B$6:$B$405,$AN911)," ","")," ","")),"氏名がマスタと相違／","")&amp;IF(AND($Q911&lt;&gt;"",INDEX(職員マスタ!$E$6:$E$405,$AN911)&lt;&gt;"",$Q911&lt;&gt;INDEX(職員マスタ!$E$6:$E$405,$AN911)),"子の生年月日がマスタと相違／","")&amp;IF(AND($L911&lt;&gt;"",INDEX(職員マスタ!$G$6:$G$405,$AN911)&lt;&gt;"",$L911&lt;&gt;INDEX(職員マスタ!$G$6:$G$405,$AN911)),"時短開始日がマスタと相違／","")&amp;IF(AND($M911&lt;&gt;"",INDEX(職員マスタ!$H$6:$H$405,$AN911)&lt;&gt;"",$M911&lt;&gt;INDEX(職員マスタ!$H$6:$H$405,$AN911)),"時短終了日がマスタと相違／","")))&amp;IF(AND($B911&lt;&gt;"",$E911=""),"報酬額が未入力／","")&amp;IF(N($U911)&gt;0,"申請書に入力エラーが残っています／","")&amp;IF(AND($B911&lt;&gt;"",$AO911&lt;&gt;""),IF(COUNTIFS($B$6:$B$3005,$B911,$C$6:$C$3005,$C911,$D$6:$D$3005,$D911)&gt;1,"同じ月の請求が重複しています／",""),"")&amp;IF(AND(N($E911)&gt;0,$Z911&lt;&gt;"",$Z911&lt;&gt;"×",$AC911=0,$AB911=""),"計算額が下限以下のため不支給／",""))</f>
        <v/>
      </c>
      <c r="AL911" s="12" t="n"/>
      <c r="AM911" s="14">
        <f>IF($AD911="保留中",COUNTIF($AD$6:$AD911,"保留中"),"")</f>
        <v/>
      </c>
      <c r="AN911" s="14">
        <f>IF($AO911="","",IF(SUMPRODUCT(MAX((職員マスタ!$A$6:$A$405=$B911)*(((職員マスタ!$G$6:$G$405="")+(職員マスタ!$G$6:$G$405&lt;=EOMONTH($AO911,0)))&gt;0)*(((職員マスタ!$H$6:$H$405="")+(職員マスタ!$H$6:$H$405&gt;=$AO911))&gt;0)*(ROW(職員マスタ!$A$6:$A$405)-5)))&gt;0,SUMPRODUCT(MAX((職員マスタ!$A$6:$A$405=$B911)*(((職員マスタ!$G$6:$G$405="")+(職員マスタ!$G$6:$G$405&lt;=EOMONTH($AO911,0)))&gt;0)*(((職員マスタ!$H$6:$H$405="")+(職員マスタ!$H$6:$H$405&gt;=$AO911))&gt;0)*(ROW(職員マスタ!$A$6:$A$405)-5))),IFERROR(MATCH($B911,職員マスタ!$A$6:$A$405,0),"")))</f>
        <v/>
      </c>
      <c r="AO911" s="16">
        <f>IF(OR($B911="",$C911="",$D911=""),"",DATE($C911+2018,$D911,1))</f>
        <v/>
      </c>
    </row>
    <row r="912">
      <c r="A912" s="11" t="n"/>
      <c r="B912" s="12" t="n"/>
      <c r="C912" s="12" t="n"/>
      <c r="D912" s="12" t="n"/>
      <c r="E912" s="13" t="n"/>
      <c r="F912" s="12" t="n"/>
      <c r="G912" s="13" t="n"/>
      <c r="H912" s="12" t="n"/>
      <c r="I912" s="12" t="n"/>
      <c r="J912" s="12" t="n"/>
      <c r="K912" s="12" t="n"/>
      <c r="L912" s="11" t="n"/>
      <c r="M912" s="11" t="n"/>
      <c r="N912" s="11" t="n"/>
      <c r="O912" s="11" t="n"/>
      <c r="P912" s="12" t="n"/>
      <c r="Q912" s="11" t="n"/>
      <c r="R912" s="12" t="n"/>
      <c r="S912" s="11" t="n"/>
      <c r="T912" s="12" t="n"/>
      <c r="U912" s="12" t="n"/>
      <c r="V912" s="14">
        <f>IF($AN912="",IF($B912="","",$H912),IF(INDEX(職員マスタ!$B$6:$B$405,$AN912)="",$H912,INDEX(職員マスタ!$B$6:$B$405,$AN912)))</f>
        <v/>
      </c>
      <c r="W912" s="14">
        <f>IF($AN912="",IF($B912="","",$R912),IF(INDEX(職員マスタ!$C$6:$C$405,$AN912)="",$R912,INDEX(職員マスタ!$C$6:$C$405,$AN912)))</f>
        <v/>
      </c>
      <c r="X912" s="14">
        <f>IF($AO912="","","R"&amp;$C912&amp;"."&amp;$D912)</f>
        <v/>
      </c>
      <c r="Y912" s="15">
        <f>IF($AN912="","",IF(INDEX(職員マスタ!$K$6:$K$405,$AN912)="","",INDEX(職員マスタ!$K$6:$K$405,$AN912)))</f>
        <v/>
      </c>
      <c r="Z912" s="14">
        <f>IF(OR($E912="",$Y912=""),"",IF($E912&gt;=$Y912,"×",IF($E912&gt;=$Y912*設定!$C$5,"△","○")))</f>
        <v/>
      </c>
      <c r="AA912" s="15">
        <f>IF($Z912="","",IF($Z912="×",0,IF($Z912="○",ROUNDDOWN($E912*設定!$C$4,0),ROUNDDOWN($E912*ROUND((9*$Y912-9*$E912)/(10*$E912),4),0))))</f>
        <v/>
      </c>
      <c r="AB912" s="13" t="n"/>
      <c r="AC912" s="15">
        <f>IF($B912="","",IF($AB912&lt;&gt;"",$AB912,IF($AA912="","",IF($AA912&lt;=設定!$C$3,0,$AA912))))</f>
        <v/>
      </c>
      <c r="AD912" s="14">
        <f>IF($B912="","",IF(AND($AE912&lt;&gt;"",$AG912="",$AJ912=""),"保留中",IF($AJ912&lt;&gt;"",IF(N($AC912)&gt;0,"支給済","不支給"),IF($AC912="","要確認",IF($AC912=0,"不支給","未処理")))))</f>
        <v/>
      </c>
      <c r="AE912" s="12" t="n"/>
      <c r="AF912" s="11" t="n"/>
      <c r="AG912" s="11" t="n"/>
      <c r="AH912" s="11" t="n"/>
      <c r="AI912" s="14">
        <f>IF(AND($AD912="保留中",$AF912&lt;&gt;""),TODAY()-$AF912,"")</f>
        <v/>
      </c>
      <c r="AJ912" s="12" t="n"/>
      <c r="AK912" s="14">
        <f>IF($B912="","",IF($AO912="","対象年月が未入力／","")&amp;IF($B912="","",IF($AN912="","職員マスタに未登録の職員番号／",IF($Y912="","標準報酬月額が未登録／","")&amp;IF(AND($AO912&lt;&gt;"",OR(AND(INDEX(職員マスタ!$G$6:$G$405,$AN912)&lt;&gt;"",INDEX(職員マスタ!$G$6:$G$405,$AN912)&gt;EOMONTH($AO912,0)),AND(INDEX(職員マスタ!$H$6:$H$405,$AN912)&lt;&gt;"",INDEX(職員マスタ!$H$6:$H$405,$AN912)&lt;$AO912))),"対象月が時短期間外／","")&amp;IF(AND(INDEX(職員マスタ!$F$6:$F$405,$AN912)&lt;&gt;"",$AO912&lt;&gt;"",INDEX(職員マスタ!$F$6:$F$405,$AN912)&lt;$AO912),"対象月に子が2歳到達済／","")&amp;IF(AND($H912&lt;&gt;"",INDEX(職員マスタ!$B$6:$B$405,$AN912)&lt;&gt;"",SUBSTITUTE(SUBSTITUTE($H912," ","")," ","")&lt;&gt;SUBSTITUTE(SUBSTITUTE(INDEX(職員マスタ!$B$6:$B$405,$AN912)," ","")," ","")),"氏名がマスタと相違／","")&amp;IF(AND($Q912&lt;&gt;"",INDEX(職員マスタ!$E$6:$E$405,$AN912)&lt;&gt;"",$Q912&lt;&gt;INDEX(職員マスタ!$E$6:$E$405,$AN912)),"子の生年月日がマスタと相違／","")&amp;IF(AND($L912&lt;&gt;"",INDEX(職員マスタ!$G$6:$G$405,$AN912)&lt;&gt;"",$L912&lt;&gt;INDEX(職員マスタ!$G$6:$G$405,$AN912)),"時短開始日がマスタと相違／","")&amp;IF(AND($M912&lt;&gt;"",INDEX(職員マスタ!$H$6:$H$405,$AN912)&lt;&gt;"",$M912&lt;&gt;INDEX(職員マスタ!$H$6:$H$405,$AN912)),"時短終了日がマスタと相違／","")))&amp;IF(AND($B912&lt;&gt;"",$E912=""),"報酬額が未入力／","")&amp;IF(N($U912)&gt;0,"申請書に入力エラーが残っています／","")&amp;IF(AND($B912&lt;&gt;"",$AO912&lt;&gt;""),IF(COUNTIFS($B$6:$B$3005,$B912,$C$6:$C$3005,$C912,$D$6:$D$3005,$D912)&gt;1,"同じ月の請求が重複しています／",""),"")&amp;IF(AND(N($E912)&gt;0,$Z912&lt;&gt;"",$Z912&lt;&gt;"×",$AC912=0,$AB912=""),"計算額が下限以下のため不支給／",""))</f>
        <v/>
      </c>
      <c r="AL912" s="12" t="n"/>
      <c r="AM912" s="14">
        <f>IF($AD912="保留中",COUNTIF($AD$6:$AD912,"保留中"),"")</f>
        <v/>
      </c>
      <c r="AN912" s="14">
        <f>IF($AO912="","",IF(SUMPRODUCT(MAX((職員マスタ!$A$6:$A$405=$B912)*(((職員マスタ!$G$6:$G$405="")+(職員マスタ!$G$6:$G$405&lt;=EOMONTH($AO912,0)))&gt;0)*(((職員マスタ!$H$6:$H$405="")+(職員マスタ!$H$6:$H$405&gt;=$AO912))&gt;0)*(ROW(職員マスタ!$A$6:$A$405)-5)))&gt;0,SUMPRODUCT(MAX((職員マスタ!$A$6:$A$405=$B912)*(((職員マスタ!$G$6:$G$405="")+(職員マスタ!$G$6:$G$405&lt;=EOMONTH($AO912,0)))&gt;0)*(((職員マスタ!$H$6:$H$405="")+(職員マスタ!$H$6:$H$405&gt;=$AO912))&gt;0)*(ROW(職員マスタ!$A$6:$A$405)-5))),IFERROR(MATCH($B912,職員マスタ!$A$6:$A$405,0),"")))</f>
        <v/>
      </c>
      <c r="AO912" s="16">
        <f>IF(OR($B912="",$C912="",$D912=""),"",DATE($C912+2018,$D912,1))</f>
        <v/>
      </c>
    </row>
    <row r="913">
      <c r="A913" s="11" t="n"/>
      <c r="B913" s="12" t="n"/>
      <c r="C913" s="12" t="n"/>
      <c r="D913" s="12" t="n"/>
      <c r="E913" s="13" t="n"/>
      <c r="F913" s="12" t="n"/>
      <c r="G913" s="13" t="n"/>
      <c r="H913" s="12" t="n"/>
      <c r="I913" s="12" t="n"/>
      <c r="J913" s="12" t="n"/>
      <c r="K913" s="12" t="n"/>
      <c r="L913" s="11" t="n"/>
      <c r="M913" s="11" t="n"/>
      <c r="N913" s="11" t="n"/>
      <c r="O913" s="11" t="n"/>
      <c r="P913" s="12" t="n"/>
      <c r="Q913" s="11" t="n"/>
      <c r="R913" s="12" t="n"/>
      <c r="S913" s="11" t="n"/>
      <c r="T913" s="12" t="n"/>
      <c r="U913" s="12" t="n"/>
      <c r="V913" s="14">
        <f>IF($AN913="",IF($B913="","",$H913),IF(INDEX(職員マスタ!$B$6:$B$405,$AN913)="",$H913,INDEX(職員マスタ!$B$6:$B$405,$AN913)))</f>
        <v/>
      </c>
      <c r="W913" s="14">
        <f>IF($AN913="",IF($B913="","",$R913),IF(INDEX(職員マスタ!$C$6:$C$405,$AN913)="",$R913,INDEX(職員マスタ!$C$6:$C$405,$AN913)))</f>
        <v/>
      </c>
      <c r="X913" s="14">
        <f>IF($AO913="","","R"&amp;$C913&amp;"."&amp;$D913)</f>
        <v/>
      </c>
      <c r="Y913" s="15">
        <f>IF($AN913="","",IF(INDEX(職員マスタ!$K$6:$K$405,$AN913)="","",INDEX(職員マスタ!$K$6:$K$405,$AN913)))</f>
        <v/>
      </c>
      <c r="Z913" s="14">
        <f>IF(OR($E913="",$Y913=""),"",IF($E913&gt;=$Y913,"×",IF($E913&gt;=$Y913*設定!$C$5,"△","○")))</f>
        <v/>
      </c>
      <c r="AA913" s="15">
        <f>IF($Z913="","",IF($Z913="×",0,IF($Z913="○",ROUNDDOWN($E913*設定!$C$4,0),ROUNDDOWN($E913*ROUND((9*$Y913-9*$E913)/(10*$E913),4),0))))</f>
        <v/>
      </c>
      <c r="AB913" s="13" t="n"/>
      <c r="AC913" s="15">
        <f>IF($B913="","",IF($AB913&lt;&gt;"",$AB913,IF($AA913="","",IF($AA913&lt;=設定!$C$3,0,$AA913))))</f>
        <v/>
      </c>
      <c r="AD913" s="14">
        <f>IF($B913="","",IF(AND($AE913&lt;&gt;"",$AG913="",$AJ913=""),"保留中",IF($AJ913&lt;&gt;"",IF(N($AC913)&gt;0,"支給済","不支給"),IF($AC913="","要確認",IF($AC913=0,"不支給","未処理")))))</f>
        <v/>
      </c>
      <c r="AE913" s="12" t="n"/>
      <c r="AF913" s="11" t="n"/>
      <c r="AG913" s="11" t="n"/>
      <c r="AH913" s="11" t="n"/>
      <c r="AI913" s="14">
        <f>IF(AND($AD913="保留中",$AF913&lt;&gt;""),TODAY()-$AF913,"")</f>
        <v/>
      </c>
      <c r="AJ913" s="12" t="n"/>
      <c r="AK913" s="14">
        <f>IF($B913="","",IF($AO913="","対象年月が未入力／","")&amp;IF($B913="","",IF($AN913="","職員マスタに未登録の職員番号／",IF($Y913="","標準報酬月額が未登録／","")&amp;IF(AND($AO913&lt;&gt;"",OR(AND(INDEX(職員マスタ!$G$6:$G$405,$AN913)&lt;&gt;"",INDEX(職員マスタ!$G$6:$G$405,$AN913)&gt;EOMONTH($AO913,0)),AND(INDEX(職員マスタ!$H$6:$H$405,$AN913)&lt;&gt;"",INDEX(職員マスタ!$H$6:$H$405,$AN913)&lt;$AO913))),"対象月が時短期間外／","")&amp;IF(AND(INDEX(職員マスタ!$F$6:$F$405,$AN913)&lt;&gt;"",$AO913&lt;&gt;"",INDEX(職員マスタ!$F$6:$F$405,$AN913)&lt;$AO913),"対象月に子が2歳到達済／","")&amp;IF(AND($H913&lt;&gt;"",INDEX(職員マスタ!$B$6:$B$405,$AN913)&lt;&gt;"",SUBSTITUTE(SUBSTITUTE($H913," ","")," ","")&lt;&gt;SUBSTITUTE(SUBSTITUTE(INDEX(職員マスタ!$B$6:$B$405,$AN913)," ","")," ","")),"氏名がマスタと相違／","")&amp;IF(AND($Q913&lt;&gt;"",INDEX(職員マスタ!$E$6:$E$405,$AN913)&lt;&gt;"",$Q913&lt;&gt;INDEX(職員マスタ!$E$6:$E$405,$AN913)),"子の生年月日がマスタと相違／","")&amp;IF(AND($L913&lt;&gt;"",INDEX(職員マスタ!$G$6:$G$405,$AN913)&lt;&gt;"",$L913&lt;&gt;INDEX(職員マスタ!$G$6:$G$405,$AN913)),"時短開始日がマスタと相違／","")&amp;IF(AND($M913&lt;&gt;"",INDEX(職員マスタ!$H$6:$H$405,$AN913)&lt;&gt;"",$M913&lt;&gt;INDEX(職員マスタ!$H$6:$H$405,$AN913)),"時短終了日がマスタと相違／","")))&amp;IF(AND($B913&lt;&gt;"",$E913=""),"報酬額が未入力／","")&amp;IF(N($U913)&gt;0,"申請書に入力エラーが残っています／","")&amp;IF(AND($B913&lt;&gt;"",$AO913&lt;&gt;""),IF(COUNTIFS($B$6:$B$3005,$B913,$C$6:$C$3005,$C913,$D$6:$D$3005,$D913)&gt;1,"同じ月の請求が重複しています／",""),"")&amp;IF(AND(N($E913)&gt;0,$Z913&lt;&gt;"",$Z913&lt;&gt;"×",$AC913=0,$AB913=""),"計算額が下限以下のため不支給／",""))</f>
        <v/>
      </c>
      <c r="AL913" s="12" t="n"/>
      <c r="AM913" s="14">
        <f>IF($AD913="保留中",COUNTIF($AD$6:$AD913,"保留中"),"")</f>
        <v/>
      </c>
      <c r="AN913" s="14">
        <f>IF($AO913="","",IF(SUMPRODUCT(MAX((職員マスタ!$A$6:$A$405=$B913)*(((職員マスタ!$G$6:$G$405="")+(職員マスタ!$G$6:$G$405&lt;=EOMONTH($AO913,0)))&gt;0)*(((職員マスタ!$H$6:$H$405="")+(職員マスタ!$H$6:$H$405&gt;=$AO913))&gt;0)*(ROW(職員マスタ!$A$6:$A$405)-5)))&gt;0,SUMPRODUCT(MAX((職員マスタ!$A$6:$A$405=$B913)*(((職員マスタ!$G$6:$G$405="")+(職員マスタ!$G$6:$G$405&lt;=EOMONTH($AO913,0)))&gt;0)*(((職員マスタ!$H$6:$H$405="")+(職員マスタ!$H$6:$H$405&gt;=$AO913))&gt;0)*(ROW(職員マスタ!$A$6:$A$405)-5))),IFERROR(MATCH($B913,職員マスタ!$A$6:$A$405,0),"")))</f>
        <v/>
      </c>
      <c r="AO913" s="16">
        <f>IF(OR($B913="",$C913="",$D913=""),"",DATE($C913+2018,$D913,1))</f>
        <v/>
      </c>
    </row>
    <row r="914">
      <c r="A914" s="11" t="n"/>
      <c r="B914" s="12" t="n"/>
      <c r="C914" s="12" t="n"/>
      <c r="D914" s="12" t="n"/>
      <c r="E914" s="13" t="n"/>
      <c r="F914" s="12" t="n"/>
      <c r="G914" s="13" t="n"/>
      <c r="H914" s="12" t="n"/>
      <c r="I914" s="12" t="n"/>
      <c r="J914" s="12" t="n"/>
      <c r="K914" s="12" t="n"/>
      <c r="L914" s="11" t="n"/>
      <c r="M914" s="11" t="n"/>
      <c r="N914" s="11" t="n"/>
      <c r="O914" s="11" t="n"/>
      <c r="P914" s="12" t="n"/>
      <c r="Q914" s="11" t="n"/>
      <c r="R914" s="12" t="n"/>
      <c r="S914" s="11" t="n"/>
      <c r="T914" s="12" t="n"/>
      <c r="U914" s="12" t="n"/>
      <c r="V914" s="14">
        <f>IF($AN914="",IF($B914="","",$H914),IF(INDEX(職員マスタ!$B$6:$B$405,$AN914)="",$H914,INDEX(職員マスタ!$B$6:$B$405,$AN914)))</f>
        <v/>
      </c>
      <c r="W914" s="14">
        <f>IF($AN914="",IF($B914="","",$R914),IF(INDEX(職員マスタ!$C$6:$C$405,$AN914)="",$R914,INDEX(職員マスタ!$C$6:$C$405,$AN914)))</f>
        <v/>
      </c>
      <c r="X914" s="14">
        <f>IF($AO914="","","R"&amp;$C914&amp;"."&amp;$D914)</f>
        <v/>
      </c>
      <c r="Y914" s="15">
        <f>IF($AN914="","",IF(INDEX(職員マスタ!$K$6:$K$405,$AN914)="","",INDEX(職員マスタ!$K$6:$K$405,$AN914)))</f>
        <v/>
      </c>
      <c r="Z914" s="14">
        <f>IF(OR($E914="",$Y914=""),"",IF($E914&gt;=$Y914,"×",IF($E914&gt;=$Y914*設定!$C$5,"△","○")))</f>
        <v/>
      </c>
      <c r="AA914" s="15">
        <f>IF($Z914="","",IF($Z914="×",0,IF($Z914="○",ROUNDDOWN($E914*設定!$C$4,0),ROUNDDOWN($E914*ROUND((9*$Y914-9*$E914)/(10*$E914),4),0))))</f>
        <v/>
      </c>
      <c r="AB914" s="13" t="n"/>
      <c r="AC914" s="15">
        <f>IF($B914="","",IF($AB914&lt;&gt;"",$AB914,IF($AA914="","",IF($AA914&lt;=設定!$C$3,0,$AA914))))</f>
        <v/>
      </c>
      <c r="AD914" s="14">
        <f>IF($B914="","",IF(AND($AE914&lt;&gt;"",$AG914="",$AJ914=""),"保留中",IF($AJ914&lt;&gt;"",IF(N($AC914)&gt;0,"支給済","不支給"),IF($AC914="","要確認",IF($AC914=0,"不支給","未処理")))))</f>
        <v/>
      </c>
      <c r="AE914" s="12" t="n"/>
      <c r="AF914" s="11" t="n"/>
      <c r="AG914" s="11" t="n"/>
      <c r="AH914" s="11" t="n"/>
      <c r="AI914" s="14">
        <f>IF(AND($AD914="保留中",$AF914&lt;&gt;""),TODAY()-$AF914,"")</f>
        <v/>
      </c>
      <c r="AJ914" s="12" t="n"/>
      <c r="AK914" s="14">
        <f>IF($B914="","",IF($AO914="","対象年月が未入力／","")&amp;IF($B914="","",IF($AN914="","職員マスタに未登録の職員番号／",IF($Y914="","標準報酬月額が未登録／","")&amp;IF(AND($AO914&lt;&gt;"",OR(AND(INDEX(職員マスタ!$G$6:$G$405,$AN914)&lt;&gt;"",INDEX(職員マスタ!$G$6:$G$405,$AN914)&gt;EOMONTH($AO914,0)),AND(INDEX(職員マスタ!$H$6:$H$405,$AN914)&lt;&gt;"",INDEX(職員マスタ!$H$6:$H$405,$AN914)&lt;$AO914))),"対象月が時短期間外／","")&amp;IF(AND(INDEX(職員マスタ!$F$6:$F$405,$AN914)&lt;&gt;"",$AO914&lt;&gt;"",INDEX(職員マスタ!$F$6:$F$405,$AN914)&lt;$AO914),"対象月に子が2歳到達済／","")&amp;IF(AND($H914&lt;&gt;"",INDEX(職員マスタ!$B$6:$B$405,$AN914)&lt;&gt;"",SUBSTITUTE(SUBSTITUTE($H914," ","")," ","")&lt;&gt;SUBSTITUTE(SUBSTITUTE(INDEX(職員マスタ!$B$6:$B$405,$AN914)," ","")," ","")),"氏名がマスタと相違／","")&amp;IF(AND($Q914&lt;&gt;"",INDEX(職員マスタ!$E$6:$E$405,$AN914)&lt;&gt;"",$Q914&lt;&gt;INDEX(職員マスタ!$E$6:$E$405,$AN914)),"子の生年月日がマスタと相違／","")&amp;IF(AND($L914&lt;&gt;"",INDEX(職員マスタ!$G$6:$G$405,$AN914)&lt;&gt;"",$L914&lt;&gt;INDEX(職員マスタ!$G$6:$G$405,$AN914)),"時短開始日がマスタと相違／","")&amp;IF(AND($M914&lt;&gt;"",INDEX(職員マスタ!$H$6:$H$405,$AN914)&lt;&gt;"",$M914&lt;&gt;INDEX(職員マスタ!$H$6:$H$405,$AN914)),"時短終了日がマスタと相違／","")))&amp;IF(AND($B914&lt;&gt;"",$E914=""),"報酬額が未入力／","")&amp;IF(N($U914)&gt;0,"申請書に入力エラーが残っています／","")&amp;IF(AND($B914&lt;&gt;"",$AO914&lt;&gt;""),IF(COUNTIFS($B$6:$B$3005,$B914,$C$6:$C$3005,$C914,$D$6:$D$3005,$D914)&gt;1,"同じ月の請求が重複しています／",""),"")&amp;IF(AND(N($E914)&gt;0,$Z914&lt;&gt;"",$Z914&lt;&gt;"×",$AC914=0,$AB914=""),"計算額が下限以下のため不支給／",""))</f>
        <v/>
      </c>
      <c r="AL914" s="12" t="n"/>
      <c r="AM914" s="14">
        <f>IF($AD914="保留中",COUNTIF($AD$6:$AD914,"保留中"),"")</f>
        <v/>
      </c>
      <c r="AN914" s="14">
        <f>IF($AO914="","",IF(SUMPRODUCT(MAX((職員マスタ!$A$6:$A$405=$B914)*(((職員マスタ!$G$6:$G$405="")+(職員マスタ!$G$6:$G$405&lt;=EOMONTH($AO914,0)))&gt;0)*(((職員マスタ!$H$6:$H$405="")+(職員マスタ!$H$6:$H$405&gt;=$AO914))&gt;0)*(ROW(職員マスタ!$A$6:$A$405)-5)))&gt;0,SUMPRODUCT(MAX((職員マスタ!$A$6:$A$405=$B914)*(((職員マスタ!$G$6:$G$405="")+(職員マスタ!$G$6:$G$405&lt;=EOMONTH($AO914,0)))&gt;0)*(((職員マスタ!$H$6:$H$405="")+(職員マスタ!$H$6:$H$405&gt;=$AO914))&gt;0)*(ROW(職員マスタ!$A$6:$A$405)-5))),IFERROR(MATCH($B914,職員マスタ!$A$6:$A$405,0),"")))</f>
        <v/>
      </c>
      <c r="AO914" s="16">
        <f>IF(OR($B914="",$C914="",$D914=""),"",DATE($C914+2018,$D914,1))</f>
        <v/>
      </c>
    </row>
    <row r="915">
      <c r="A915" s="11" t="n"/>
      <c r="B915" s="12" t="n"/>
      <c r="C915" s="12" t="n"/>
      <c r="D915" s="12" t="n"/>
      <c r="E915" s="13" t="n"/>
      <c r="F915" s="12" t="n"/>
      <c r="G915" s="13" t="n"/>
      <c r="H915" s="12" t="n"/>
      <c r="I915" s="12" t="n"/>
      <c r="J915" s="12" t="n"/>
      <c r="K915" s="12" t="n"/>
      <c r="L915" s="11" t="n"/>
      <c r="M915" s="11" t="n"/>
      <c r="N915" s="11" t="n"/>
      <c r="O915" s="11" t="n"/>
      <c r="P915" s="12" t="n"/>
      <c r="Q915" s="11" t="n"/>
      <c r="R915" s="12" t="n"/>
      <c r="S915" s="11" t="n"/>
      <c r="T915" s="12" t="n"/>
      <c r="U915" s="12" t="n"/>
      <c r="V915" s="14">
        <f>IF($AN915="",IF($B915="","",$H915),IF(INDEX(職員マスタ!$B$6:$B$405,$AN915)="",$H915,INDEX(職員マスタ!$B$6:$B$405,$AN915)))</f>
        <v/>
      </c>
      <c r="W915" s="14">
        <f>IF($AN915="",IF($B915="","",$R915),IF(INDEX(職員マスタ!$C$6:$C$405,$AN915)="",$R915,INDEX(職員マスタ!$C$6:$C$405,$AN915)))</f>
        <v/>
      </c>
      <c r="X915" s="14">
        <f>IF($AO915="","","R"&amp;$C915&amp;"."&amp;$D915)</f>
        <v/>
      </c>
      <c r="Y915" s="15">
        <f>IF($AN915="","",IF(INDEX(職員マスタ!$K$6:$K$405,$AN915)="","",INDEX(職員マスタ!$K$6:$K$405,$AN915)))</f>
        <v/>
      </c>
      <c r="Z915" s="14">
        <f>IF(OR($E915="",$Y915=""),"",IF($E915&gt;=$Y915,"×",IF($E915&gt;=$Y915*設定!$C$5,"△","○")))</f>
        <v/>
      </c>
      <c r="AA915" s="15">
        <f>IF($Z915="","",IF($Z915="×",0,IF($Z915="○",ROUNDDOWN($E915*設定!$C$4,0),ROUNDDOWN($E915*ROUND((9*$Y915-9*$E915)/(10*$E915),4),0))))</f>
        <v/>
      </c>
      <c r="AB915" s="13" t="n"/>
      <c r="AC915" s="15">
        <f>IF($B915="","",IF($AB915&lt;&gt;"",$AB915,IF($AA915="","",IF($AA915&lt;=設定!$C$3,0,$AA915))))</f>
        <v/>
      </c>
      <c r="AD915" s="14">
        <f>IF($B915="","",IF(AND($AE915&lt;&gt;"",$AG915="",$AJ915=""),"保留中",IF($AJ915&lt;&gt;"",IF(N($AC915)&gt;0,"支給済","不支給"),IF($AC915="","要確認",IF($AC915=0,"不支給","未処理")))))</f>
        <v/>
      </c>
      <c r="AE915" s="12" t="n"/>
      <c r="AF915" s="11" t="n"/>
      <c r="AG915" s="11" t="n"/>
      <c r="AH915" s="11" t="n"/>
      <c r="AI915" s="14">
        <f>IF(AND($AD915="保留中",$AF915&lt;&gt;""),TODAY()-$AF915,"")</f>
        <v/>
      </c>
      <c r="AJ915" s="12" t="n"/>
      <c r="AK915" s="14">
        <f>IF($B915="","",IF($AO915="","対象年月が未入力／","")&amp;IF($B915="","",IF($AN915="","職員マスタに未登録の職員番号／",IF($Y915="","標準報酬月額が未登録／","")&amp;IF(AND($AO915&lt;&gt;"",OR(AND(INDEX(職員マスタ!$G$6:$G$405,$AN915)&lt;&gt;"",INDEX(職員マスタ!$G$6:$G$405,$AN915)&gt;EOMONTH($AO915,0)),AND(INDEX(職員マスタ!$H$6:$H$405,$AN915)&lt;&gt;"",INDEX(職員マスタ!$H$6:$H$405,$AN915)&lt;$AO915))),"対象月が時短期間外／","")&amp;IF(AND(INDEX(職員マスタ!$F$6:$F$405,$AN915)&lt;&gt;"",$AO915&lt;&gt;"",INDEX(職員マスタ!$F$6:$F$405,$AN915)&lt;$AO915),"対象月に子が2歳到達済／","")&amp;IF(AND($H915&lt;&gt;"",INDEX(職員マスタ!$B$6:$B$405,$AN915)&lt;&gt;"",SUBSTITUTE(SUBSTITUTE($H915," ","")," ","")&lt;&gt;SUBSTITUTE(SUBSTITUTE(INDEX(職員マスタ!$B$6:$B$405,$AN915)," ","")," ","")),"氏名がマスタと相違／","")&amp;IF(AND($Q915&lt;&gt;"",INDEX(職員マスタ!$E$6:$E$405,$AN915)&lt;&gt;"",$Q915&lt;&gt;INDEX(職員マスタ!$E$6:$E$405,$AN915)),"子の生年月日がマスタと相違／","")&amp;IF(AND($L915&lt;&gt;"",INDEX(職員マスタ!$G$6:$G$405,$AN915)&lt;&gt;"",$L915&lt;&gt;INDEX(職員マスタ!$G$6:$G$405,$AN915)),"時短開始日がマスタと相違／","")&amp;IF(AND($M915&lt;&gt;"",INDEX(職員マスタ!$H$6:$H$405,$AN915)&lt;&gt;"",$M915&lt;&gt;INDEX(職員マスタ!$H$6:$H$405,$AN915)),"時短終了日がマスタと相違／","")))&amp;IF(AND($B915&lt;&gt;"",$E915=""),"報酬額が未入力／","")&amp;IF(N($U915)&gt;0,"申請書に入力エラーが残っています／","")&amp;IF(AND($B915&lt;&gt;"",$AO915&lt;&gt;""),IF(COUNTIFS($B$6:$B$3005,$B915,$C$6:$C$3005,$C915,$D$6:$D$3005,$D915)&gt;1,"同じ月の請求が重複しています／",""),"")&amp;IF(AND(N($E915)&gt;0,$Z915&lt;&gt;"",$Z915&lt;&gt;"×",$AC915=0,$AB915=""),"計算額が下限以下のため不支給／",""))</f>
        <v/>
      </c>
      <c r="AL915" s="12" t="n"/>
      <c r="AM915" s="14">
        <f>IF($AD915="保留中",COUNTIF($AD$6:$AD915,"保留中"),"")</f>
        <v/>
      </c>
      <c r="AN915" s="14">
        <f>IF($AO915="","",IF(SUMPRODUCT(MAX((職員マスタ!$A$6:$A$405=$B915)*(((職員マスタ!$G$6:$G$405="")+(職員マスタ!$G$6:$G$405&lt;=EOMONTH($AO915,0)))&gt;0)*(((職員マスタ!$H$6:$H$405="")+(職員マスタ!$H$6:$H$405&gt;=$AO915))&gt;0)*(ROW(職員マスタ!$A$6:$A$405)-5)))&gt;0,SUMPRODUCT(MAX((職員マスタ!$A$6:$A$405=$B915)*(((職員マスタ!$G$6:$G$405="")+(職員マスタ!$G$6:$G$405&lt;=EOMONTH($AO915,0)))&gt;0)*(((職員マスタ!$H$6:$H$405="")+(職員マスタ!$H$6:$H$405&gt;=$AO915))&gt;0)*(ROW(職員マスタ!$A$6:$A$405)-5))),IFERROR(MATCH($B915,職員マスタ!$A$6:$A$405,0),"")))</f>
        <v/>
      </c>
      <c r="AO915" s="16">
        <f>IF(OR($B915="",$C915="",$D915=""),"",DATE($C915+2018,$D915,1))</f>
        <v/>
      </c>
    </row>
    <row r="916">
      <c r="A916" s="11" t="n"/>
      <c r="B916" s="12" t="n"/>
      <c r="C916" s="12" t="n"/>
      <c r="D916" s="12" t="n"/>
      <c r="E916" s="13" t="n"/>
      <c r="F916" s="12" t="n"/>
      <c r="G916" s="13" t="n"/>
      <c r="H916" s="12" t="n"/>
      <c r="I916" s="12" t="n"/>
      <c r="J916" s="12" t="n"/>
      <c r="K916" s="12" t="n"/>
      <c r="L916" s="11" t="n"/>
      <c r="M916" s="11" t="n"/>
      <c r="N916" s="11" t="n"/>
      <c r="O916" s="11" t="n"/>
      <c r="P916" s="12" t="n"/>
      <c r="Q916" s="11" t="n"/>
      <c r="R916" s="12" t="n"/>
      <c r="S916" s="11" t="n"/>
      <c r="T916" s="12" t="n"/>
      <c r="U916" s="12" t="n"/>
      <c r="V916" s="14">
        <f>IF($AN916="",IF($B916="","",$H916),IF(INDEX(職員マスタ!$B$6:$B$405,$AN916)="",$H916,INDEX(職員マスタ!$B$6:$B$405,$AN916)))</f>
        <v/>
      </c>
      <c r="W916" s="14">
        <f>IF($AN916="",IF($B916="","",$R916),IF(INDEX(職員マスタ!$C$6:$C$405,$AN916)="",$R916,INDEX(職員マスタ!$C$6:$C$405,$AN916)))</f>
        <v/>
      </c>
      <c r="X916" s="14">
        <f>IF($AO916="","","R"&amp;$C916&amp;"."&amp;$D916)</f>
        <v/>
      </c>
      <c r="Y916" s="15">
        <f>IF($AN916="","",IF(INDEX(職員マスタ!$K$6:$K$405,$AN916)="","",INDEX(職員マスタ!$K$6:$K$405,$AN916)))</f>
        <v/>
      </c>
      <c r="Z916" s="14">
        <f>IF(OR($E916="",$Y916=""),"",IF($E916&gt;=$Y916,"×",IF($E916&gt;=$Y916*設定!$C$5,"△","○")))</f>
        <v/>
      </c>
      <c r="AA916" s="15">
        <f>IF($Z916="","",IF($Z916="×",0,IF($Z916="○",ROUNDDOWN($E916*設定!$C$4,0),ROUNDDOWN($E916*ROUND((9*$Y916-9*$E916)/(10*$E916),4),0))))</f>
        <v/>
      </c>
      <c r="AB916" s="13" t="n"/>
      <c r="AC916" s="15">
        <f>IF($B916="","",IF($AB916&lt;&gt;"",$AB916,IF($AA916="","",IF($AA916&lt;=設定!$C$3,0,$AA916))))</f>
        <v/>
      </c>
      <c r="AD916" s="14">
        <f>IF($B916="","",IF(AND($AE916&lt;&gt;"",$AG916="",$AJ916=""),"保留中",IF($AJ916&lt;&gt;"",IF(N($AC916)&gt;0,"支給済","不支給"),IF($AC916="","要確認",IF($AC916=0,"不支給","未処理")))))</f>
        <v/>
      </c>
      <c r="AE916" s="12" t="n"/>
      <c r="AF916" s="11" t="n"/>
      <c r="AG916" s="11" t="n"/>
      <c r="AH916" s="11" t="n"/>
      <c r="AI916" s="14">
        <f>IF(AND($AD916="保留中",$AF916&lt;&gt;""),TODAY()-$AF916,"")</f>
        <v/>
      </c>
      <c r="AJ916" s="12" t="n"/>
      <c r="AK916" s="14">
        <f>IF($B916="","",IF($AO916="","対象年月が未入力／","")&amp;IF($B916="","",IF($AN916="","職員マスタに未登録の職員番号／",IF($Y916="","標準報酬月額が未登録／","")&amp;IF(AND($AO916&lt;&gt;"",OR(AND(INDEX(職員マスタ!$G$6:$G$405,$AN916)&lt;&gt;"",INDEX(職員マスタ!$G$6:$G$405,$AN916)&gt;EOMONTH($AO916,0)),AND(INDEX(職員マスタ!$H$6:$H$405,$AN916)&lt;&gt;"",INDEX(職員マスタ!$H$6:$H$405,$AN916)&lt;$AO916))),"対象月が時短期間外／","")&amp;IF(AND(INDEX(職員マスタ!$F$6:$F$405,$AN916)&lt;&gt;"",$AO916&lt;&gt;"",INDEX(職員マスタ!$F$6:$F$405,$AN916)&lt;$AO916),"対象月に子が2歳到達済／","")&amp;IF(AND($H916&lt;&gt;"",INDEX(職員マスタ!$B$6:$B$405,$AN916)&lt;&gt;"",SUBSTITUTE(SUBSTITUTE($H916," ","")," ","")&lt;&gt;SUBSTITUTE(SUBSTITUTE(INDEX(職員マスタ!$B$6:$B$405,$AN916)," ","")," ","")),"氏名がマスタと相違／","")&amp;IF(AND($Q916&lt;&gt;"",INDEX(職員マスタ!$E$6:$E$405,$AN916)&lt;&gt;"",$Q916&lt;&gt;INDEX(職員マスタ!$E$6:$E$405,$AN916)),"子の生年月日がマスタと相違／","")&amp;IF(AND($L916&lt;&gt;"",INDEX(職員マスタ!$G$6:$G$405,$AN916)&lt;&gt;"",$L916&lt;&gt;INDEX(職員マスタ!$G$6:$G$405,$AN916)),"時短開始日がマスタと相違／","")&amp;IF(AND($M916&lt;&gt;"",INDEX(職員マスタ!$H$6:$H$405,$AN916)&lt;&gt;"",$M916&lt;&gt;INDEX(職員マスタ!$H$6:$H$405,$AN916)),"時短終了日がマスタと相違／","")))&amp;IF(AND($B916&lt;&gt;"",$E916=""),"報酬額が未入力／","")&amp;IF(N($U916)&gt;0,"申請書に入力エラーが残っています／","")&amp;IF(AND($B916&lt;&gt;"",$AO916&lt;&gt;""),IF(COUNTIFS($B$6:$B$3005,$B916,$C$6:$C$3005,$C916,$D$6:$D$3005,$D916)&gt;1,"同じ月の請求が重複しています／",""),"")&amp;IF(AND(N($E916)&gt;0,$Z916&lt;&gt;"",$Z916&lt;&gt;"×",$AC916=0,$AB916=""),"計算額が下限以下のため不支給／",""))</f>
        <v/>
      </c>
      <c r="AL916" s="12" t="n"/>
      <c r="AM916" s="14">
        <f>IF($AD916="保留中",COUNTIF($AD$6:$AD916,"保留中"),"")</f>
        <v/>
      </c>
      <c r="AN916" s="14">
        <f>IF($AO916="","",IF(SUMPRODUCT(MAX((職員マスタ!$A$6:$A$405=$B916)*(((職員マスタ!$G$6:$G$405="")+(職員マスタ!$G$6:$G$405&lt;=EOMONTH($AO916,0)))&gt;0)*(((職員マスタ!$H$6:$H$405="")+(職員マスタ!$H$6:$H$405&gt;=$AO916))&gt;0)*(ROW(職員マスタ!$A$6:$A$405)-5)))&gt;0,SUMPRODUCT(MAX((職員マスタ!$A$6:$A$405=$B916)*(((職員マスタ!$G$6:$G$405="")+(職員マスタ!$G$6:$G$405&lt;=EOMONTH($AO916,0)))&gt;0)*(((職員マスタ!$H$6:$H$405="")+(職員マスタ!$H$6:$H$405&gt;=$AO916))&gt;0)*(ROW(職員マスタ!$A$6:$A$405)-5))),IFERROR(MATCH($B916,職員マスタ!$A$6:$A$405,0),"")))</f>
        <v/>
      </c>
      <c r="AO916" s="16">
        <f>IF(OR($B916="",$C916="",$D916=""),"",DATE($C916+2018,$D916,1))</f>
        <v/>
      </c>
    </row>
    <row r="917">
      <c r="A917" s="11" t="n"/>
      <c r="B917" s="12" t="n"/>
      <c r="C917" s="12" t="n"/>
      <c r="D917" s="12" t="n"/>
      <c r="E917" s="13" t="n"/>
      <c r="F917" s="12" t="n"/>
      <c r="G917" s="13" t="n"/>
      <c r="H917" s="12" t="n"/>
      <c r="I917" s="12" t="n"/>
      <c r="J917" s="12" t="n"/>
      <c r="K917" s="12" t="n"/>
      <c r="L917" s="11" t="n"/>
      <c r="M917" s="11" t="n"/>
      <c r="N917" s="11" t="n"/>
      <c r="O917" s="11" t="n"/>
      <c r="P917" s="12" t="n"/>
      <c r="Q917" s="11" t="n"/>
      <c r="R917" s="12" t="n"/>
      <c r="S917" s="11" t="n"/>
      <c r="T917" s="12" t="n"/>
      <c r="U917" s="12" t="n"/>
      <c r="V917" s="14">
        <f>IF($AN917="",IF($B917="","",$H917),IF(INDEX(職員マスタ!$B$6:$B$405,$AN917)="",$H917,INDEX(職員マスタ!$B$6:$B$405,$AN917)))</f>
        <v/>
      </c>
      <c r="W917" s="14">
        <f>IF($AN917="",IF($B917="","",$R917),IF(INDEX(職員マスタ!$C$6:$C$405,$AN917)="",$R917,INDEX(職員マスタ!$C$6:$C$405,$AN917)))</f>
        <v/>
      </c>
      <c r="X917" s="14">
        <f>IF($AO917="","","R"&amp;$C917&amp;"."&amp;$D917)</f>
        <v/>
      </c>
      <c r="Y917" s="15">
        <f>IF($AN917="","",IF(INDEX(職員マスタ!$K$6:$K$405,$AN917)="","",INDEX(職員マスタ!$K$6:$K$405,$AN917)))</f>
        <v/>
      </c>
      <c r="Z917" s="14">
        <f>IF(OR($E917="",$Y917=""),"",IF($E917&gt;=$Y917,"×",IF($E917&gt;=$Y917*設定!$C$5,"△","○")))</f>
        <v/>
      </c>
      <c r="AA917" s="15">
        <f>IF($Z917="","",IF($Z917="×",0,IF($Z917="○",ROUNDDOWN($E917*設定!$C$4,0),ROUNDDOWN($E917*ROUND((9*$Y917-9*$E917)/(10*$E917),4),0))))</f>
        <v/>
      </c>
      <c r="AB917" s="13" t="n"/>
      <c r="AC917" s="15">
        <f>IF($B917="","",IF($AB917&lt;&gt;"",$AB917,IF($AA917="","",IF($AA917&lt;=設定!$C$3,0,$AA917))))</f>
        <v/>
      </c>
      <c r="AD917" s="14">
        <f>IF($B917="","",IF(AND($AE917&lt;&gt;"",$AG917="",$AJ917=""),"保留中",IF($AJ917&lt;&gt;"",IF(N($AC917)&gt;0,"支給済","不支給"),IF($AC917="","要確認",IF($AC917=0,"不支給","未処理")))))</f>
        <v/>
      </c>
      <c r="AE917" s="12" t="n"/>
      <c r="AF917" s="11" t="n"/>
      <c r="AG917" s="11" t="n"/>
      <c r="AH917" s="11" t="n"/>
      <c r="AI917" s="14">
        <f>IF(AND($AD917="保留中",$AF917&lt;&gt;""),TODAY()-$AF917,"")</f>
        <v/>
      </c>
      <c r="AJ917" s="12" t="n"/>
      <c r="AK917" s="14">
        <f>IF($B917="","",IF($AO917="","対象年月が未入力／","")&amp;IF($B917="","",IF($AN917="","職員マスタに未登録の職員番号／",IF($Y917="","標準報酬月額が未登録／","")&amp;IF(AND($AO917&lt;&gt;"",OR(AND(INDEX(職員マスタ!$G$6:$G$405,$AN917)&lt;&gt;"",INDEX(職員マスタ!$G$6:$G$405,$AN917)&gt;EOMONTH($AO917,0)),AND(INDEX(職員マスタ!$H$6:$H$405,$AN917)&lt;&gt;"",INDEX(職員マスタ!$H$6:$H$405,$AN917)&lt;$AO917))),"対象月が時短期間外／","")&amp;IF(AND(INDEX(職員マスタ!$F$6:$F$405,$AN917)&lt;&gt;"",$AO917&lt;&gt;"",INDEX(職員マスタ!$F$6:$F$405,$AN917)&lt;$AO917),"対象月に子が2歳到達済／","")&amp;IF(AND($H917&lt;&gt;"",INDEX(職員マスタ!$B$6:$B$405,$AN917)&lt;&gt;"",SUBSTITUTE(SUBSTITUTE($H917," ","")," ","")&lt;&gt;SUBSTITUTE(SUBSTITUTE(INDEX(職員マスタ!$B$6:$B$405,$AN917)," ","")," ","")),"氏名がマスタと相違／","")&amp;IF(AND($Q917&lt;&gt;"",INDEX(職員マスタ!$E$6:$E$405,$AN917)&lt;&gt;"",$Q917&lt;&gt;INDEX(職員マスタ!$E$6:$E$405,$AN917)),"子の生年月日がマスタと相違／","")&amp;IF(AND($L917&lt;&gt;"",INDEX(職員マスタ!$G$6:$G$405,$AN917)&lt;&gt;"",$L917&lt;&gt;INDEX(職員マスタ!$G$6:$G$405,$AN917)),"時短開始日がマスタと相違／","")&amp;IF(AND($M917&lt;&gt;"",INDEX(職員マスタ!$H$6:$H$405,$AN917)&lt;&gt;"",$M917&lt;&gt;INDEX(職員マスタ!$H$6:$H$405,$AN917)),"時短終了日がマスタと相違／","")))&amp;IF(AND($B917&lt;&gt;"",$E917=""),"報酬額が未入力／","")&amp;IF(N($U917)&gt;0,"申請書に入力エラーが残っています／","")&amp;IF(AND($B917&lt;&gt;"",$AO917&lt;&gt;""),IF(COUNTIFS($B$6:$B$3005,$B917,$C$6:$C$3005,$C917,$D$6:$D$3005,$D917)&gt;1,"同じ月の請求が重複しています／",""),"")&amp;IF(AND(N($E917)&gt;0,$Z917&lt;&gt;"",$Z917&lt;&gt;"×",$AC917=0,$AB917=""),"計算額が下限以下のため不支給／",""))</f>
        <v/>
      </c>
      <c r="AL917" s="12" t="n"/>
      <c r="AM917" s="14">
        <f>IF($AD917="保留中",COUNTIF($AD$6:$AD917,"保留中"),"")</f>
        <v/>
      </c>
      <c r="AN917" s="14">
        <f>IF($AO917="","",IF(SUMPRODUCT(MAX((職員マスタ!$A$6:$A$405=$B917)*(((職員マスタ!$G$6:$G$405="")+(職員マスタ!$G$6:$G$405&lt;=EOMONTH($AO917,0)))&gt;0)*(((職員マスタ!$H$6:$H$405="")+(職員マスタ!$H$6:$H$405&gt;=$AO917))&gt;0)*(ROW(職員マスタ!$A$6:$A$405)-5)))&gt;0,SUMPRODUCT(MAX((職員マスタ!$A$6:$A$405=$B917)*(((職員マスタ!$G$6:$G$405="")+(職員マスタ!$G$6:$G$405&lt;=EOMONTH($AO917,0)))&gt;0)*(((職員マスタ!$H$6:$H$405="")+(職員マスタ!$H$6:$H$405&gt;=$AO917))&gt;0)*(ROW(職員マスタ!$A$6:$A$405)-5))),IFERROR(MATCH($B917,職員マスタ!$A$6:$A$405,0),"")))</f>
        <v/>
      </c>
      <c r="AO917" s="16">
        <f>IF(OR($B917="",$C917="",$D917=""),"",DATE($C917+2018,$D917,1))</f>
        <v/>
      </c>
    </row>
    <row r="918">
      <c r="A918" s="11" t="n"/>
      <c r="B918" s="12" t="n"/>
      <c r="C918" s="12" t="n"/>
      <c r="D918" s="12" t="n"/>
      <c r="E918" s="13" t="n"/>
      <c r="F918" s="12" t="n"/>
      <c r="G918" s="13" t="n"/>
      <c r="H918" s="12" t="n"/>
      <c r="I918" s="12" t="n"/>
      <c r="J918" s="12" t="n"/>
      <c r="K918" s="12" t="n"/>
      <c r="L918" s="11" t="n"/>
      <c r="M918" s="11" t="n"/>
      <c r="N918" s="11" t="n"/>
      <c r="O918" s="11" t="n"/>
      <c r="P918" s="12" t="n"/>
      <c r="Q918" s="11" t="n"/>
      <c r="R918" s="12" t="n"/>
      <c r="S918" s="11" t="n"/>
      <c r="T918" s="12" t="n"/>
      <c r="U918" s="12" t="n"/>
      <c r="V918" s="14">
        <f>IF($AN918="",IF($B918="","",$H918),IF(INDEX(職員マスタ!$B$6:$B$405,$AN918)="",$H918,INDEX(職員マスタ!$B$6:$B$405,$AN918)))</f>
        <v/>
      </c>
      <c r="W918" s="14">
        <f>IF($AN918="",IF($B918="","",$R918),IF(INDEX(職員マスタ!$C$6:$C$405,$AN918)="",$R918,INDEX(職員マスタ!$C$6:$C$405,$AN918)))</f>
        <v/>
      </c>
      <c r="X918" s="14">
        <f>IF($AO918="","","R"&amp;$C918&amp;"."&amp;$D918)</f>
        <v/>
      </c>
      <c r="Y918" s="15">
        <f>IF($AN918="","",IF(INDEX(職員マスタ!$K$6:$K$405,$AN918)="","",INDEX(職員マスタ!$K$6:$K$405,$AN918)))</f>
        <v/>
      </c>
      <c r="Z918" s="14">
        <f>IF(OR($E918="",$Y918=""),"",IF($E918&gt;=$Y918,"×",IF($E918&gt;=$Y918*設定!$C$5,"△","○")))</f>
        <v/>
      </c>
      <c r="AA918" s="15">
        <f>IF($Z918="","",IF($Z918="×",0,IF($Z918="○",ROUNDDOWN($E918*設定!$C$4,0),ROUNDDOWN($E918*ROUND((9*$Y918-9*$E918)/(10*$E918),4),0))))</f>
        <v/>
      </c>
      <c r="AB918" s="13" t="n"/>
      <c r="AC918" s="15">
        <f>IF($B918="","",IF($AB918&lt;&gt;"",$AB918,IF($AA918="","",IF($AA918&lt;=設定!$C$3,0,$AA918))))</f>
        <v/>
      </c>
      <c r="AD918" s="14">
        <f>IF($B918="","",IF(AND($AE918&lt;&gt;"",$AG918="",$AJ918=""),"保留中",IF($AJ918&lt;&gt;"",IF(N($AC918)&gt;0,"支給済","不支給"),IF($AC918="","要確認",IF($AC918=0,"不支給","未処理")))))</f>
        <v/>
      </c>
      <c r="AE918" s="12" t="n"/>
      <c r="AF918" s="11" t="n"/>
      <c r="AG918" s="11" t="n"/>
      <c r="AH918" s="11" t="n"/>
      <c r="AI918" s="14">
        <f>IF(AND($AD918="保留中",$AF918&lt;&gt;""),TODAY()-$AF918,"")</f>
        <v/>
      </c>
      <c r="AJ918" s="12" t="n"/>
      <c r="AK918" s="14">
        <f>IF($B918="","",IF($AO918="","対象年月が未入力／","")&amp;IF($B918="","",IF($AN918="","職員マスタに未登録の職員番号／",IF($Y918="","標準報酬月額が未登録／","")&amp;IF(AND($AO918&lt;&gt;"",OR(AND(INDEX(職員マスタ!$G$6:$G$405,$AN918)&lt;&gt;"",INDEX(職員マスタ!$G$6:$G$405,$AN918)&gt;EOMONTH($AO918,0)),AND(INDEX(職員マスタ!$H$6:$H$405,$AN918)&lt;&gt;"",INDEX(職員マスタ!$H$6:$H$405,$AN918)&lt;$AO918))),"対象月が時短期間外／","")&amp;IF(AND(INDEX(職員マスタ!$F$6:$F$405,$AN918)&lt;&gt;"",$AO918&lt;&gt;"",INDEX(職員マスタ!$F$6:$F$405,$AN918)&lt;$AO918),"対象月に子が2歳到達済／","")&amp;IF(AND($H918&lt;&gt;"",INDEX(職員マスタ!$B$6:$B$405,$AN918)&lt;&gt;"",SUBSTITUTE(SUBSTITUTE($H918," ","")," ","")&lt;&gt;SUBSTITUTE(SUBSTITUTE(INDEX(職員マスタ!$B$6:$B$405,$AN918)," ","")," ","")),"氏名がマスタと相違／","")&amp;IF(AND($Q918&lt;&gt;"",INDEX(職員マスタ!$E$6:$E$405,$AN918)&lt;&gt;"",$Q918&lt;&gt;INDEX(職員マスタ!$E$6:$E$405,$AN918)),"子の生年月日がマスタと相違／","")&amp;IF(AND($L918&lt;&gt;"",INDEX(職員マスタ!$G$6:$G$405,$AN918)&lt;&gt;"",$L918&lt;&gt;INDEX(職員マスタ!$G$6:$G$405,$AN918)),"時短開始日がマスタと相違／","")&amp;IF(AND($M918&lt;&gt;"",INDEX(職員マスタ!$H$6:$H$405,$AN918)&lt;&gt;"",$M918&lt;&gt;INDEX(職員マスタ!$H$6:$H$405,$AN918)),"時短終了日がマスタと相違／","")))&amp;IF(AND($B918&lt;&gt;"",$E918=""),"報酬額が未入力／","")&amp;IF(N($U918)&gt;0,"申請書に入力エラーが残っています／","")&amp;IF(AND($B918&lt;&gt;"",$AO918&lt;&gt;""),IF(COUNTIFS($B$6:$B$3005,$B918,$C$6:$C$3005,$C918,$D$6:$D$3005,$D918)&gt;1,"同じ月の請求が重複しています／",""),"")&amp;IF(AND(N($E918)&gt;0,$Z918&lt;&gt;"",$Z918&lt;&gt;"×",$AC918=0,$AB918=""),"計算額が下限以下のため不支給／",""))</f>
        <v/>
      </c>
      <c r="AL918" s="12" t="n"/>
      <c r="AM918" s="14">
        <f>IF($AD918="保留中",COUNTIF($AD$6:$AD918,"保留中"),"")</f>
        <v/>
      </c>
      <c r="AN918" s="14">
        <f>IF($AO918="","",IF(SUMPRODUCT(MAX((職員マスタ!$A$6:$A$405=$B918)*(((職員マスタ!$G$6:$G$405="")+(職員マスタ!$G$6:$G$405&lt;=EOMONTH($AO918,0)))&gt;0)*(((職員マスタ!$H$6:$H$405="")+(職員マスタ!$H$6:$H$405&gt;=$AO918))&gt;0)*(ROW(職員マスタ!$A$6:$A$405)-5)))&gt;0,SUMPRODUCT(MAX((職員マスタ!$A$6:$A$405=$B918)*(((職員マスタ!$G$6:$G$405="")+(職員マスタ!$G$6:$G$405&lt;=EOMONTH($AO918,0)))&gt;0)*(((職員マスタ!$H$6:$H$405="")+(職員マスタ!$H$6:$H$405&gt;=$AO918))&gt;0)*(ROW(職員マスタ!$A$6:$A$405)-5))),IFERROR(MATCH($B918,職員マスタ!$A$6:$A$405,0),"")))</f>
        <v/>
      </c>
      <c r="AO918" s="16">
        <f>IF(OR($B918="",$C918="",$D918=""),"",DATE($C918+2018,$D918,1))</f>
        <v/>
      </c>
    </row>
    <row r="919">
      <c r="A919" s="11" t="n"/>
      <c r="B919" s="12" t="n"/>
      <c r="C919" s="12" t="n"/>
      <c r="D919" s="12" t="n"/>
      <c r="E919" s="13" t="n"/>
      <c r="F919" s="12" t="n"/>
      <c r="G919" s="13" t="n"/>
      <c r="H919" s="12" t="n"/>
      <c r="I919" s="12" t="n"/>
      <c r="J919" s="12" t="n"/>
      <c r="K919" s="12" t="n"/>
      <c r="L919" s="11" t="n"/>
      <c r="M919" s="11" t="n"/>
      <c r="N919" s="11" t="n"/>
      <c r="O919" s="11" t="n"/>
      <c r="P919" s="12" t="n"/>
      <c r="Q919" s="11" t="n"/>
      <c r="R919" s="12" t="n"/>
      <c r="S919" s="11" t="n"/>
      <c r="T919" s="12" t="n"/>
      <c r="U919" s="12" t="n"/>
      <c r="V919" s="14">
        <f>IF($AN919="",IF($B919="","",$H919),IF(INDEX(職員マスタ!$B$6:$B$405,$AN919)="",$H919,INDEX(職員マスタ!$B$6:$B$405,$AN919)))</f>
        <v/>
      </c>
      <c r="W919" s="14">
        <f>IF($AN919="",IF($B919="","",$R919),IF(INDEX(職員マスタ!$C$6:$C$405,$AN919)="",$R919,INDEX(職員マスタ!$C$6:$C$405,$AN919)))</f>
        <v/>
      </c>
      <c r="X919" s="14">
        <f>IF($AO919="","","R"&amp;$C919&amp;"."&amp;$D919)</f>
        <v/>
      </c>
      <c r="Y919" s="15">
        <f>IF($AN919="","",IF(INDEX(職員マスタ!$K$6:$K$405,$AN919)="","",INDEX(職員マスタ!$K$6:$K$405,$AN919)))</f>
        <v/>
      </c>
      <c r="Z919" s="14">
        <f>IF(OR($E919="",$Y919=""),"",IF($E919&gt;=$Y919,"×",IF($E919&gt;=$Y919*設定!$C$5,"△","○")))</f>
        <v/>
      </c>
      <c r="AA919" s="15">
        <f>IF($Z919="","",IF($Z919="×",0,IF($Z919="○",ROUNDDOWN($E919*設定!$C$4,0),ROUNDDOWN($E919*ROUND((9*$Y919-9*$E919)/(10*$E919),4),0))))</f>
        <v/>
      </c>
      <c r="AB919" s="13" t="n"/>
      <c r="AC919" s="15">
        <f>IF($B919="","",IF($AB919&lt;&gt;"",$AB919,IF($AA919="","",IF($AA919&lt;=設定!$C$3,0,$AA919))))</f>
        <v/>
      </c>
      <c r="AD919" s="14">
        <f>IF($B919="","",IF(AND($AE919&lt;&gt;"",$AG919="",$AJ919=""),"保留中",IF($AJ919&lt;&gt;"",IF(N($AC919)&gt;0,"支給済","不支給"),IF($AC919="","要確認",IF($AC919=0,"不支給","未処理")))))</f>
        <v/>
      </c>
      <c r="AE919" s="12" t="n"/>
      <c r="AF919" s="11" t="n"/>
      <c r="AG919" s="11" t="n"/>
      <c r="AH919" s="11" t="n"/>
      <c r="AI919" s="14">
        <f>IF(AND($AD919="保留中",$AF919&lt;&gt;""),TODAY()-$AF919,"")</f>
        <v/>
      </c>
      <c r="AJ919" s="12" t="n"/>
      <c r="AK919" s="14">
        <f>IF($B919="","",IF($AO919="","対象年月が未入力／","")&amp;IF($B919="","",IF($AN919="","職員マスタに未登録の職員番号／",IF($Y919="","標準報酬月額が未登録／","")&amp;IF(AND($AO919&lt;&gt;"",OR(AND(INDEX(職員マスタ!$G$6:$G$405,$AN919)&lt;&gt;"",INDEX(職員マスタ!$G$6:$G$405,$AN919)&gt;EOMONTH($AO919,0)),AND(INDEX(職員マスタ!$H$6:$H$405,$AN919)&lt;&gt;"",INDEX(職員マスタ!$H$6:$H$405,$AN919)&lt;$AO919))),"対象月が時短期間外／","")&amp;IF(AND(INDEX(職員マスタ!$F$6:$F$405,$AN919)&lt;&gt;"",$AO919&lt;&gt;"",INDEX(職員マスタ!$F$6:$F$405,$AN919)&lt;$AO919),"対象月に子が2歳到達済／","")&amp;IF(AND($H919&lt;&gt;"",INDEX(職員マスタ!$B$6:$B$405,$AN919)&lt;&gt;"",SUBSTITUTE(SUBSTITUTE($H919," ","")," ","")&lt;&gt;SUBSTITUTE(SUBSTITUTE(INDEX(職員マスタ!$B$6:$B$405,$AN919)," ","")," ","")),"氏名がマスタと相違／","")&amp;IF(AND($Q919&lt;&gt;"",INDEX(職員マスタ!$E$6:$E$405,$AN919)&lt;&gt;"",$Q919&lt;&gt;INDEX(職員マスタ!$E$6:$E$405,$AN919)),"子の生年月日がマスタと相違／","")&amp;IF(AND($L919&lt;&gt;"",INDEX(職員マスタ!$G$6:$G$405,$AN919)&lt;&gt;"",$L919&lt;&gt;INDEX(職員マスタ!$G$6:$G$405,$AN919)),"時短開始日がマスタと相違／","")&amp;IF(AND($M919&lt;&gt;"",INDEX(職員マスタ!$H$6:$H$405,$AN919)&lt;&gt;"",$M919&lt;&gt;INDEX(職員マスタ!$H$6:$H$405,$AN919)),"時短終了日がマスタと相違／","")))&amp;IF(AND($B919&lt;&gt;"",$E919=""),"報酬額が未入力／","")&amp;IF(N($U919)&gt;0,"申請書に入力エラーが残っています／","")&amp;IF(AND($B919&lt;&gt;"",$AO919&lt;&gt;""),IF(COUNTIFS($B$6:$B$3005,$B919,$C$6:$C$3005,$C919,$D$6:$D$3005,$D919)&gt;1,"同じ月の請求が重複しています／",""),"")&amp;IF(AND(N($E919)&gt;0,$Z919&lt;&gt;"",$Z919&lt;&gt;"×",$AC919=0,$AB919=""),"計算額が下限以下のため不支給／",""))</f>
        <v/>
      </c>
      <c r="AL919" s="12" t="n"/>
      <c r="AM919" s="14">
        <f>IF($AD919="保留中",COUNTIF($AD$6:$AD919,"保留中"),"")</f>
        <v/>
      </c>
      <c r="AN919" s="14">
        <f>IF($AO919="","",IF(SUMPRODUCT(MAX((職員マスタ!$A$6:$A$405=$B919)*(((職員マスタ!$G$6:$G$405="")+(職員マスタ!$G$6:$G$405&lt;=EOMONTH($AO919,0)))&gt;0)*(((職員マスタ!$H$6:$H$405="")+(職員マスタ!$H$6:$H$405&gt;=$AO919))&gt;0)*(ROW(職員マスタ!$A$6:$A$405)-5)))&gt;0,SUMPRODUCT(MAX((職員マスタ!$A$6:$A$405=$B919)*(((職員マスタ!$G$6:$G$405="")+(職員マスタ!$G$6:$G$405&lt;=EOMONTH($AO919,0)))&gt;0)*(((職員マスタ!$H$6:$H$405="")+(職員マスタ!$H$6:$H$405&gt;=$AO919))&gt;0)*(ROW(職員マスタ!$A$6:$A$405)-5))),IFERROR(MATCH($B919,職員マスタ!$A$6:$A$405,0),"")))</f>
        <v/>
      </c>
      <c r="AO919" s="16">
        <f>IF(OR($B919="",$C919="",$D919=""),"",DATE($C919+2018,$D919,1))</f>
        <v/>
      </c>
    </row>
    <row r="920">
      <c r="A920" s="11" t="n"/>
      <c r="B920" s="12" t="n"/>
      <c r="C920" s="12" t="n"/>
      <c r="D920" s="12" t="n"/>
      <c r="E920" s="13" t="n"/>
      <c r="F920" s="12" t="n"/>
      <c r="G920" s="13" t="n"/>
      <c r="H920" s="12" t="n"/>
      <c r="I920" s="12" t="n"/>
      <c r="J920" s="12" t="n"/>
      <c r="K920" s="12" t="n"/>
      <c r="L920" s="11" t="n"/>
      <c r="M920" s="11" t="n"/>
      <c r="N920" s="11" t="n"/>
      <c r="O920" s="11" t="n"/>
      <c r="P920" s="12" t="n"/>
      <c r="Q920" s="11" t="n"/>
      <c r="R920" s="12" t="n"/>
      <c r="S920" s="11" t="n"/>
      <c r="T920" s="12" t="n"/>
      <c r="U920" s="12" t="n"/>
      <c r="V920" s="14">
        <f>IF($AN920="",IF($B920="","",$H920),IF(INDEX(職員マスタ!$B$6:$B$405,$AN920)="",$H920,INDEX(職員マスタ!$B$6:$B$405,$AN920)))</f>
        <v/>
      </c>
      <c r="W920" s="14">
        <f>IF($AN920="",IF($B920="","",$R920),IF(INDEX(職員マスタ!$C$6:$C$405,$AN920)="",$R920,INDEX(職員マスタ!$C$6:$C$405,$AN920)))</f>
        <v/>
      </c>
      <c r="X920" s="14">
        <f>IF($AO920="","","R"&amp;$C920&amp;"."&amp;$D920)</f>
        <v/>
      </c>
      <c r="Y920" s="15">
        <f>IF($AN920="","",IF(INDEX(職員マスタ!$K$6:$K$405,$AN920)="","",INDEX(職員マスタ!$K$6:$K$405,$AN920)))</f>
        <v/>
      </c>
      <c r="Z920" s="14">
        <f>IF(OR($E920="",$Y920=""),"",IF($E920&gt;=$Y920,"×",IF($E920&gt;=$Y920*設定!$C$5,"△","○")))</f>
        <v/>
      </c>
      <c r="AA920" s="15">
        <f>IF($Z920="","",IF($Z920="×",0,IF($Z920="○",ROUNDDOWN($E920*設定!$C$4,0),ROUNDDOWN($E920*ROUND((9*$Y920-9*$E920)/(10*$E920),4),0))))</f>
        <v/>
      </c>
      <c r="AB920" s="13" t="n"/>
      <c r="AC920" s="15">
        <f>IF($B920="","",IF($AB920&lt;&gt;"",$AB920,IF($AA920="","",IF($AA920&lt;=設定!$C$3,0,$AA920))))</f>
        <v/>
      </c>
      <c r="AD920" s="14">
        <f>IF($B920="","",IF(AND($AE920&lt;&gt;"",$AG920="",$AJ920=""),"保留中",IF($AJ920&lt;&gt;"",IF(N($AC920)&gt;0,"支給済","不支給"),IF($AC920="","要確認",IF($AC920=0,"不支給","未処理")))))</f>
        <v/>
      </c>
      <c r="AE920" s="12" t="n"/>
      <c r="AF920" s="11" t="n"/>
      <c r="AG920" s="11" t="n"/>
      <c r="AH920" s="11" t="n"/>
      <c r="AI920" s="14">
        <f>IF(AND($AD920="保留中",$AF920&lt;&gt;""),TODAY()-$AF920,"")</f>
        <v/>
      </c>
      <c r="AJ920" s="12" t="n"/>
      <c r="AK920" s="14">
        <f>IF($B920="","",IF($AO920="","対象年月が未入力／","")&amp;IF($B920="","",IF($AN920="","職員マスタに未登録の職員番号／",IF($Y920="","標準報酬月額が未登録／","")&amp;IF(AND($AO920&lt;&gt;"",OR(AND(INDEX(職員マスタ!$G$6:$G$405,$AN920)&lt;&gt;"",INDEX(職員マスタ!$G$6:$G$405,$AN920)&gt;EOMONTH($AO920,0)),AND(INDEX(職員マスタ!$H$6:$H$405,$AN920)&lt;&gt;"",INDEX(職員マスタ!$H$6:$H$405,$AN920)&lt;$AO920))),"対象月が時短期間外／","")&amp;IF(AND(INDEX(職員マスタ!$F$6:$F$405,$AN920)&lt;&gt;"",$AO920&lt;&gt;"",INDEX(職員マスタ!$F$6:$F$405,$AN920)&lt;$AO920),"対象月に子が2歳到達済／","")&amp;IF(AND($H920&lt;&gt;"",INDEX(職員マスタ!$B$6:$B$405,$AN920)&lt;&gt;"",SUBSTITUTE(SUBSTITUTE($H920," ","")," ","")&lt;&gt;SUBSTITUTE(SUBSTITUTE(INDEX(職員マスタ!$B$6:$B$405,$AN920)," ","")," ","")),"氏名がマスタと相違／","")&amp;IF(AND($Q920&lt;&gt;"",INDEX(職員マスタ!$E$6:$E$405,$AN920)&lt;&gt;"",$Q920&lt;&gt;INDEX(職員マスタ!$E$6:$E$405,$AN920)),"子の生年月日がマスタと相違／","")&amp;IF(AND($L920&lt;&gt;"",INDEX(職員マスタ!$G$6:$G$405,$AN920)&lt;&gt;"",$L920&lt;&gt;INDEX(職員マスタ!$G$6:$G$405,$AN920)),"時短開始日がマスタと相違／","")&amp;IF(AND($M920&lt;&gt;"",INDEX(職員マスタ!$H$6:$H$405,$AN920)&lt;&gt;"",$M920&lt;&gt;INDEX(職員マスタ!$H$6:$H$405,$AN920)),"時短終了日がマスタと相違／","")))&amp;IF(AND($B920&lt;&gt;"",$E920=""),"報酬額が未入力／","")&amp;IF(N($U920)&gt;0,"申請書に入力エラーが残っています／","")&amp;IF(AND($B920&lt;&gt;"",$AO920&lt;&gt;""),IF(COUNTIFS($B$6:$B$3005,$B920,$C$6:$C$3005,$C920,$D$6:$D$3005,$D920)&gt;1,"同じ月の請求が重複しています／",""),"")&amp;IF(AND(N($E920)&gt;0,$Z920&lt;&gt;"",$Z920&lt;&gt;"×",$AC920=0,$AB920=""),"計算額が下限以下のため不支給／",""))</f>
        <v/>
      </c>
      <c r="AL920" s="12" t="n"/>
      <c r="AM920" s="14">
        <f>IF($AD920="保留中",COUNTIF($AD$6:$AD920,"保留中"),"")</f>
        <v/>
      </c>
      <c r="AN920" s="14">
        <f>IF($AO920="","",IF(SUMPRODUCT(MAX((職員マスタ!$A$6:$A$405=$B920)*(((職員マスタ!$G$6:$G$405="")+(職員マスタ!$G$6:$G$405&lt;=EOMONTH($AO920,0)))&gt;0)*(((職員マスタ!$H$6:$H$405="")+(職員マスタ!$H$6:$H$405&gt;=$AO920))&gt;0)*(ROW(職員マスタ!$A$6:$A$405)-5)))&gt;0,SUMPRODUCT(MAX((職員マスタ!$A$6:$A$405=$B920)*(((職員マスタ!$G$6:$G$405="")+(職員マスタ!$G$6:$G$405&lt;=EOMONTH($AO920,0)))&gt;0)*(((職員マスタ!$H$6:$H$405="")+(職員マスタ!$H$6:$H$405&gt;=$AO920))&gt;0)*(ROW(職員マスタ!$A$6:$A$405)-5))),IFERROR(MATCH($B920,職員マスタ!$A$6:$A$405,0),"")))</f>
        <v/>
      </c>
      <c r="AO920" s="16">
        <f>IF(OR($B920="",$C920="",$D920=""),"",DATE($C920+2018,$D920,1))</f>
        <v/>
      </c>
    </row>
    <row r="921">
      <c r="A921" s="11" t="n"/>
      <c r="B921" s="12" t="n"/>
      <c r="C921" s="12" t="n"/>
      <c r="D921" s="12" t="n"/>
      <c r="E921" s="13" t="n"/>
      <c r="F921" s="12" t="n"/>
      <c r="G921" s="13" t="n"/>
      <c r="H921" s="12" t="n"/>
      <c r="I921" s="12" t="n"/>
      <c r="J921" s="12" t="n"/>
      <c r="K921" s="12" t="n"/>
      <c r="L921" s="11" t="n"/>
      <c r="M921" s="11" t="n"/>
      <c r="N921" s="11" t="n"/>
      <c r="O921" s="11" t="n"/>
      <c r="P921" s="12" t="n"/>
      <c r="Q921" s="11" t="n"/>
      <c r="R921" s="12" t="n"/>
      <c r="S921" s="11" t="n"/>
      <c r="T921" s="12" t="n"/>
      <c r="U921" s="12" t="n"/>
      <c r="V921" s="14">
        <f>IF($AN921="",IF($B921="","",$H921),IF(INDEX(職員マスタ!$B$6:$B$405,$AN921)="",$H921,INDEX(職員マスタ!$B$6:$B$405,$AN921)))</f>
        <v/>
      </c>
      <c r="W921" s="14">
        <f>IF($AN921="",IF($B921="","",$R921),IF(INDEX(職員マスタ!$C$6:$C$405,$AN921)="",$R921,INDEX(職員マスタ!$C$6:$C$405,$AN921)))</f>
        <v/>
      </c>
      <c r="X921" s="14">
        <f>IF($AO921="","","R"&amp;$C921&amp;"."&amp;$D921)</f>
        <v/>
      </c>
      <c r="Y921" s="15">
        <f>IF($AN921="","",IF(INDEX(職員マスタ!$K$6:$K$405,$AN921)="","",INDEX(職員マスタ!$K$6:$K$405,$AN921)))</f>
        <v/>
      </c>
      <c r="Z921" s="14">
        <f>IF(OR($E921="",$Y921=""),"",IF($E921&gt;=$Y921,"×",IF($E921&gt;=$Y921*設定!$C$5,"△","○")))</f>
        <v/>
      </c>
      <c r="AA921" s="15">
        <f>IF($Z921="","",IF($Z921="×",0,IF($Z921="○",ROUNDDOWN($E921*設定!$C$4,0),ROUNDDOWN($E921*ROUND((9*$Y921-9*$E921)/(10*$E921),4),0))))</f>
        <v/>
      </c>
      <c r="AB921" s="13" t="n"/>
      <c r="AC921" s="15">
        <f>IF($B921="","",IF($AB921&lt;&gt;"",$AB921,IF($AA921="","",IF($AA921&lt;=設定!$C$3,0,$AA921))))</f>
        <v/>
      </c>
      <c r="AD921" s="14">
        <f>IF($B921="","",IF(AND($AE921&lt;&gt;"",$AG921="",$AJ921=""),"保留中",IF($AJ921&lt;&gt;"",IF(N($AC921)&gt;0,"支給済","不支給"),IF($AC921="","要確認",IF($AC921=0,"不支給","未処理")))))</f>
        <v/>
      </c>
      <c r="AE921" s="12" t="n"/>
      <c r="AF921" s="11" t="n"/>
      <c r="AG921" s="11" t="n"/>
      <c r="AH921" s="11" t="n"/>
      <c r="AI921" s="14">
        <f>IF(AND($AD921="保留中",$AF921&lt;&gt;""),TODAY()-$AF921,"")</f>
        <v/>
      </c>
      <c r="AJ921" s="12" t="n"/>
      <c r="AK921" s="14">
        <f>IF($B921="","",IF($AO921="","対象年月が未入力／","")&amp;IF($B921="","",IF($AN921="","職員マスタに未登録の職員番号／",IF($Y921="","標準報酬月額が未登録／","")&amp;IF(AND($AO921&lt;&gt;"",OR(AND(INDEX(職員マスタ!$G$6:$G$405,$AN921)&lt;&gt;"",INDEX(職員マスタ!$G$6:$G$405,$AN921)&gt;EOMONTH($AO921,0)),AND(INDEX(職員マスタ!$H$6:$H$405,$AN921)&lt;&gt;"",INDEX(職員マスタ!$H$6:$H$405,$AN921)&lt;$AO921))),"対象月が時短期間外／","")&amp;IF(AND(INDEX(職員マスタ!$F$6:$F$405,$AN921)&lt;&gt;"",$AO921&lt;&gt;"",INDEX(職員マスタ!$F$6:$F$405,$AN921)&lt;$AO921),"対象月に子が2歳到達済／","")&amp;IF(AND($H921&lt;&gt;"",INDEX(職員マスタ!$B$6:$B$405,$AN921)&lt;&gt;"",SUBSTITUTE(SUBSTITUTE($H921," ","")," ","")&lt;&gt;SUBSTITUTE(SUBSTITUTE(INDEX(職員マスタ!$B$6:$B$405,$AN921)," ","")," ","")),"氏名がマスタと相違／","")&amp;IF(AND($Q921&lt;&gt;"",INDEX(職員マスタ!$E$6:$E$405,$AN921)&lt;&gt;"",$Q921&lt;&gt;INDEX(職員マスタ!$E$6:$E$405,$AN921)),"子の生年月日がマスタと相違／","")&amp;IF(AND($L921&lt;&gt;"",INDEX(職員マスタ!$G$6:$G$405,$AN921)&lt;&gt;"",$L921&lt;&gt;INDEX(職員マスタ!$G$6:$G$405,$AN921)),"時短開始日がマスタと相違／","")&amp;IF(AND($M921&lt;&gt;"",INDEX(職員マスタ!$H$6:$H$405,$AN921)&lt;&gt;"",$M921&lt;&gt;INDEX(職員マスタ!$H$6:$H$405,$AN921)),"時短終了日がマスタと相違／","")))&amp;IF(AND($B921&lt;&gt;"",$E921=""),"報酬額が未入力／","")&amp;IF(N($U921)&gt;0,"申請書に入力エラーが残っています／","")&amp;IF(AND($B921&lt;&gt;"",$AO921&lt;&gt;""),IF(COUNTIFS($B$6:$B$3005,$B921,$C$6:$C$3005,$C921,$D$6:$D$3005,$D921)&gt;1,"同じ月の請求が重複しています／",""),"")&amp;IF(AND(N($E921)&gt;0,$Z921&lt;&gt;"",$Z921&lt;&gt;"×",$AC921=0,$AB921=""),"計算額が下限以下のため不支給／",""))</f>
        <v/>
      </c>
      <c r="AL921" s="12" t="n"/>
      <c r="AM921" s="14">
        <f>IF($AD921="保留中",COUNTIF($AD$6:$AD921,"保留中"),"")</f>
        <v/>
      </c>
      <c r="AN921" s="14">
        <f>IF($AO921="","",IF(SUMPRODUCT(MAX((職員マスタ!$A$6:$A$405=$B921)*(((職員マスタ!$G$6:$G$405="")+(職員マスタ!$G$6:$G$405&lt;=EOMONTH($AO921,0)))&gt;0)*(((職員マスタ!$H$6:$H$405="")+(職員マスタ!$H$6:$H$405&gt;=$AO921))&gt;0)*(ROW(職員マスタ!$A$6:$A$405)-5)))&gt;0,SUMPRODUCT(MAX((職員マスタ!$A$6:$A$405=$B921)*(((職員マスタ!$G$6:$G$405="")+(職員マスタ!$G$6:$G$405&lt;=EOMONTH($AO921,0)))&gt;0)*(((職員マスタ!$H$6:$H$405="")+(職員マスタ!$H$6:$H$405&gt;=$AO921))&gt;0)*(ROW(職員マスタ!$A$6:$A$405)-5))),IFERROR(MATCH($B921,職員マスタ!$A$6:$A$405,0),"")))</f>
        <v/>
      </c>
      <c r="AO921" s="16">
        <f>IF(OR($B921="",$C921="",$D921=""),"",DATE($C921+2018,$D921,1))</f>
        <v/>
      </c>
    </row>
    <row r="922">
      <c r="A922" s="11" t="n"/>
      <c r="B922" s="12" t="n"/>
      <c r="C922" s="12" t="n"/>
      <c r="D922" s="12" t="n"/>
      <c r="E922" s="13" t="n"/>
      <c r="F922" s="12" t="n"/>
      <c r="G922" s="13" t="n"/>
      <c r="H922" s="12" t="n"/>
      <c r="I922" s="12" t="n"/>
      <c r="J922" s="12" t="n"/>
      <c r="K922" s="12" t="n"/>
      <c r="L922" s="11" t="n"/>
      <c r="M922" s="11" t="n"/>
      <c r="N922" s="11" t="n"/>
      <c r="O922" s="11" t="n"/>
      <c r="P922" s="12" t="n"/>
      <c r="Q922" s="11" t="n"/>
      <c r="R922" s="12" t="n"/>
      <c r="S922" s="11" t="n"/>
      <c r="T922" s="12" t="n"/>
      <c r="U922" s="12" t="n"/>
      <c r="V922" s="14">
        <f>IF($AN922="",IF($B922="","",$H922),IF(INDEX(職員マスタ!$B$6:$B$405,$AN922)="",$H922,INDEX(職員マスタ!$B$6:$B$405,$AN922)))</f>
        <v/>
      </c>
      <c r="W922" s="14">
        <f>IF($AN922="",IF($B922="","",$R922),IF(INDEX(職員マスタ!$C$6:$C$405,$AN922)="",$R922,INDEX(職員マスタ!$C$6:$C$405,$AN922)))</f>
        <v/>
      </c>
      <c r="X922" s="14">
        <f>IF($AO922="","","R"&amp;$C922&amp;"."&amp;$D922)</f>
        <v/>
      </c>
      <c r="Y922" s="15">
        <f>IF($AN922="","",IF(INDEX(職員マスタ!$K$6:$K$405,$AN922)="","",INDEX(職員マスタ!$K$6:$K$405,$AN922)))</f>
        <v/>
      </c>
      <c r="Z922" s="14">
        <f>IF(OR($E922="",$Y922=""),"",IF($E922&gt;=$Y922,"×",IF($E922&gt;=$Y922*設定!$C$5,"△","○")))</f>
        <v/>
      </c>
      <c r="AA922" s="15">
        <f>IF($Z922="","",IF($Z922="×",0,IF($Z922="○",ROUNDDOWN($E922*設定!$C$4,0),ROUNDDOWN($E922*ROUND((9*$Y922-9*$E922)/(10*$E922),4),0))))</f>
        <v/>
      </c>
      <c r="AB922" s="13" t="n"/>
      <c r="AC922" s="15">
        <f>IF($B922="","",IF($AB922&lt;&gt;"",$AB922,IF($AA922="","",IF($AA922&lt;=設定!$C$3,0,$AA922))))</f>
        <v/>
      </c>
      <c r="AD922" s="14">
        <f>IF($B922="","",IF(AND($AE922&lt;&gt;"",$AG922="",$AJ922=""),"保留中",IF($AJ922&lt;&gt;"",IF(N($AC922)&gt;0,"支給済","不支給"),IF($AC922="","要確認",IF($AC922=0,"不支給","未処理")))))</f>
        <v/>
      </c>
      <c r="AE922" s="12" t="n"/>
      <c r="AF922" s="11" t="n"/>
      <c r="AG922" s="11" t="n"/>
      <c r="AH922" s="11" t="n"/>
      <c r="AI922" s="14">
        <f>IF(AND($AD922="保留中",$AF922&lt;&gt;""),TODAY()-$AF922,"")</f>
        <v/>
      </c>
      <c r="AJ922" s="12" t="n"/>
      <c r="AK922" s="14">
        <f>IF($B922="","",IF($AO922="","対象年月が未入力／","")&amp;IF($B922="","",IF($AN922="","職員マスタに未登録の職員番号／",IF($Y922="","標準報酬月額が未登録／","")&amp;IF(AND($AO922&lt;&gt;"",OR(AND(INDEX(職員マスタ!$G$6:$G$405,$AN922)&lt;&gt;"",INDEX(職員マスタ!$G$6:$G$405,$AN922)&gt;EOMONTH($AO922,0)),AND(INDEX(職員マスタ!$H$6:$H$405,$AN922)&lt;&gt;"",INDEX(職員マスタ!$H$6:$H$405,$AN922)&lt;$AO922))),"対象月が時短期間外／","")&amp;IF(AND(INDEX(職員マスタ!$F$6:$F$405,$AN922)&lt;&gt;"",$AO922&lt;&gt;"",INDEX(職員マスタ!$F$6:$F$405,$AN922)&lt;$AO922),"対象月に子が2歳到達済／","")&amp;IF(AND($H922&lt;&gt;"",INDEX(職員マスタ!$B$6:$B$405,$AN922)&lt;&gt;"",SUBSTITUTE(SUBSTITUTE($H922," ","")," ","")&lt;&gt;SUBSTITUTE(SUBSTITUTE(INDEX(職員マスタ!$B$6:$B$405,$AN922)," ","")," ","")),"氏名がマスタと相違／","")&amp;IF(AND($Q922&lt;&gt;"",INDEX(職員マスタ!$E$6:$E$405,$AN922)&lt;&gt;"",$Q922&lt;&gt;INDEX(職員マスタ!$E$6:$E$405,$AN922)),"子の生年月日がマスタと相違／","")&amp;IF(AND($L922&lt;&gt;"",INDEX(職員マスタ!$G$6:$G$405,$AN922)&lt;&gt;"",$L922&lt;&gt;INDEX(職員マスタ!$G$6:$G$405,$AN922)),"時短開始日がマスタと相違／","")&amp;IF(AND($M922&lt;&gt;"",INDEX(職員マスタ!$H$6:$H$405,$AN922)&lt;&gt;"",$M922&lt;&gt;INDEX(職員マスタ!$H$6:$H$405,$AN922)),"時短終了日がマスタと相違／","")))&amp;IF(AND($B922&lt;&gt;"",$E922=""),"報酬額が未入力／","")&amp;IF(N($U922)&gt;0,"申請書に入力エラーが残っています／","")&amp;IF(AND($B922&lt;&gt;"",$AO922&lt;&gt;""),IF(COUNTIFS($B$6:$B$3005,$B922,$C$6:$C$3005,$C922,$D$6:$D$3005,$D922)&gt;1,"同じ月の請求が重複しています／",""),"")&amp;IF(AND(N($E922)&gt;0,$Z922&lt;&gt;"",$Z922&lt;&gt;"×",$AC922=0,$AB922=""),"計算額が下限以下のため不支給／",""))</f>
        <v/>
      </c>
      <c r="AL922" s="12" t="n"/>
      <c r="AM922" s="14">
        <f>IF($AD922="保留中",COUNTIF($AD$6:$AD922,"保留中"),"")</f>
        <v/>
      </c>
      <c r="AN922" s="14">
        <f>IF($AO922="","",IF(SUMPRODUCT(MAX((職員マスタ!$A$6:$A$405=$B922)*(((職員マスタ!$G$6:$G$405="")+(職員マスタ!$G$6:$G$405&lt;=EOMONTH($AO922,0)))&gt;0)*(((職員マスタ!$H$6:$H$405="")+(職員マスタ!$H$6:$H$405&gt;=$AO922))&gt;0)*(ROW(職員マスタ!$A$6:$A$405)-5)))&gt;0,SUMPRODUCT(MAX((職員マスタ!$A$6:$A$405=$B922)*(((職員マスタ!$G$6:$G$405="")+(職員マスタ!$G$6:$G$405&lt;=EOMONTH($AO922,0)))&gt;0)*(((職員マスタ!$H$6:$H$405="")+(職員マスタ!$H$6:$H$405&gt;=$AO922))&gt;0)*(ROW(職員マスタ!$A$6:$A$405)-5))),IFERROR(MATCH($B922,職員マスタ!$A$6:$A$405,0),"")))</f>
        <v/>
      </c>
      <c r="AO922" s="16">
        <f>IF(OR($B922="",$C922="",$D922=""),"",DATE($C922+2018,$D922,1))</f>
        <v/>
      </c>
    </row>
    <row r="923">
      <c r="A923" s="11" t="n"/>
      <c r="B923" s="12" t="n"/>
      <c r="C923" s="12" t="n"/>
      <c r="D923" s="12" t="n"/>
      <c r="E923" s="13" t="n"/>
      <c r="F923" s="12" t="n"/>
      <c r="G923" s="13" t="n"/>
      <c r="H923" s="12" t="n"/>
      <c r="I923" s="12" t="n"/>
      <c r="J923" s="12" t="n"/>
      <c r="K923" s="12" t="n"/>
      <c r="L923" s="11" t="n"/>
      <c r="M923" s="11" t="n"/>
      <c r="N923" s="11" t="n"/>
      <c r="O923" s="11" t="n"/>
      <c r="P923" s="12" t="n"/>
      <c r="Q923" s="11" t="n"/>
      <c r="R923" s="12" t="n"/>
      <c r="S923" s="11" t="n"/>
      <c r="T923" s="12" t="n"/>
      <c r="U923" s="12" t="n"/>
      <c r="V923" s="14">
        <f>IF($AN923="",IF($B923="","",$H923),IF(INDEX(職員マスタ!$B$6:$B$405,$AN923)="",$H923,INDEX(職員マスタ!$B$6:$B$405,$AN923)))</f>
        <v/>
      </c>
      <c r="W923" s="14">
        <f>IF($AN923="",IF($B923="","",$R923),IF(INDEX(職員マスタ!$C$6:$C$405,$AN923)="",$R923,INDEX(職員マスタ!$C$6:$C$405,$AN923)))</f>
        <v/>
      </c>
      <c r="X923" s="14">
        <f>IF($AO923="","","R"&amp;$C923&amp;"."&amp;$D923)</f>
        <v/>
      </c>
      <c r="Y923" s="15">
        <f>IF($AN923="","",IF(INDEX(職員マスタ!$K$6:$K$405,$AN923)="","",INDEX(職員マスタ!$K$6:$K$405,$AN923)))</f>
        <v/>
      </c>
      <c r="Z923" s="14">
        <f>IF(OR($E923="",$Y923=""),"",IF($E923&gt;=$Y923,"×",IF($E923&gt;=$Y923*設定!$C$5,"△","○")))</f>
        <v/>
      </c>
      <c r="AA923" s="15">
        <f>IF($Z923="","",IF($Z923="×",0,IF($Z923="○",ROUNDDOWN($E923*設定!$C$4,0),ROUNDDOWN($E923*ROUND((9*$Y923-9*$E923)/(10*$E923),4),0))))</f>
        <v/>
      </c>
      <c r="AB923" s="13" t="n"/>
      <c r="AC923" s="15">
        <f>IF($B923="","",IF($AB923&lt;&gt;"",$AB923,IF($AA923="","",IF($AA923&lt;=設定!$C$3,0,$AA923))))</f>
        <v/>
      </c>
      <c r="AD923" s="14">
        <f>IF($B923="","",IF(AND($AE923&lt;&gt;"",$AG923="",$AJ923=""),"保留中",IF($AJ923&lt;&gt;"",IF(N($AC923)&gt;0,"支給済","不支給"),IF($AC923="","要確認",IF($AC923=0,"不支給","未処理")))))</f>
        <v/>
      </c>
      <c r="AE923" s="12" t="n"/>
      <c r="AF923" s="11" t="n"/>
      <c r="AG923" s="11" t="n"/>
      <c r="AH923" s="11" t="n"/>
      <c r="AI923" s="14">
        <f>IF(AND($AD923="保留中",$AF923&lt;&gt;""),TODAY()-$AF923,"")</f>
        <v/>
      </c>
      <c r="AJ923" s="12" t="n"/>
      <c r="AK923" s="14">
        <f>IF($B923="","",IF($AO923="","対象年月が未入力／","")&amp;IF($B923="","",IF($AN923="","職員マスタに未登録の職員番号／",IF($Y923="","標準報酬月額が未登録／","")&amp;IF(AND($AO923&lt;&gt;"",OR(AND(INDEX(職員マスタ!$G$6:$G$405,$AN923)&lt;&gt;"",INDEX(職員マスタ!$G$6:$G$405,$AN923)&gt;EOMONTH($AO923,0)),AND(INDEX(職員マスタ!$H$6:$H$405,$AN923)&lt;&gt;"",INDEX(職員マスタ!$H$6:$H$405,$AN923)&lt;$AO923))),"対象月が時短期間外／","")&amp;IF(AND(INDEX(職員マスタ!$F$6:$F$405,$AN923)&lt;&gt;"",$AO923&lt;&gt;"",INDEX(職員マスタ!$F$6:$F$405,$AN923)&lt;$AO923),"対象月に子が2歳到達済／","")&amp;IF(AND($H923&lt;&gt;"",INDEX(職員マスタ!$B$6:$B$405,$AN923)&lt;&gt;"",SUBSTITUTE(SUBSTITUTE($H923," ","")," ","")&lt;&gt;SUBSTITUTE(SUBSTITUTE(INDEX(職員マスタ!$B$6:$B$405,$AN923)," ","")," ","")),"氏名がマスタと相違／","")&amp;IF(AND($Q923&lt;&gt;"",INDEX(職員マスタ!$E$6:$E$405,$AN923)&lt;&gt;"",$Q923&lt;&gt;INDEX(職員マスタ!$E$6:$E$405,$AN923)),"子の生年月日がマスタと相違／","")&amp;IF(AND($L923&lt;&gt;"",INDEX(職員マスタ!$G$6:$G$405,$AN923)&lt;&gt;"",$L923&lt;&gt;INDEX(職員マスタ!$G$6:$G$405,$AN923)),"時短開始日がマスタと相違／","")&amp;IF(AND($M923&lt;&gt;"",INDEX(職員マスタ!$H$6:$H$405,$AN923)&lt;&gt;"",$M923&lt;&gt;INDEX(職員マスタ!$H$6:$H$405,$AN923)),"時短終了日がマスタと相違／","")))&amp;IF(AND($B923&lt;&gt;"",$E923=""),"報酬額が未入力／","")&amp;IF(N($U923)&gt;0,"申請書に入力エラーが残っています／","")&amp;IF(AND($B923&lt;&gt;"",$AO923&lt;&gt;""),IF(COUNTIFS($B$6:$B$3005,$B923,$C$6:$C$3005,$C923,$D$6:$D$3005,$D923)&gt;1,"同じ月の請求が重複しています／",""),"")&amp;IF(AND(N($E923)&gt;0,$Z923&lt;&gt;"",$Z923&lt;&gt;"×",$AC923=0,$AB923=""),"計算額が下限以下のため不支給／",""))</f>
        <v/>
      </c>
      <c r="AL923" s="12" t="n"/>
      <c r="AM923" s="14">
        <f>IF($AD923="保留中",COUNTIF($AD$6:$AD923,"保留中"),"")</f>
        <v/>
      </c>
      <c r="AN923" s="14">
        <f>IF($AO923="","",IF(SUMPRODUCT(MAX((職員マスタ!$A$6:$A$405=$B923)*(((職員マスタ!$G$6:$G$405="")+(職員マスタ!$G$6:$G$405&lt;=EOMONTH($AO923,0)))&gt;0)*(((職員マスタ!$H$6:$H$405="")+(職員マスタ!$H$6:$H$405&gt;=$AO923))&gt;0)*(ROW(職員マスタ!$A$6:$A$405)-5)))&gt;0,SUMPRODUCT(MAX((職員マスタ!$A$6:$A$405=$B923)*(((職員マスタ!$G$6:$G$405="")+(職員マスタ!$G$6:$G$405&lt;=EOMONTH($AO923,0)))&gt;0)*(((職員マスタ!$H$6:$H$405="")+(職員マスタ!$H$6:$H$405&gt;=$AO923))&gt;0)*(ROW(職員マスタ!$A$6:$A$405)-5))),IFERROR(MATCH($B923,職員マスタ!$A$6:$A$405,0),"")))</f>
        <v/>
      </c>
      <c r="AO923" s="16">
        <f>IF(OR($B923="",$C923="",$D923=""),"",DATE($C923+2018,$D923,1))</f>
        <v/>
      </c>
    </row>
    <row r="924">
      <c r="A924" s="11" t="n"/>
      <c r="B924" s="12" t="n"/>
      <c r="C924" s="12" t="n"/>
      <c r="D924" s="12" t="n"/>
      <c r="E924" s="13" t="n"/>
      <c r="F924" s="12" t="n"/>
      <c r="G924" s="13" t="n"/>
      <c r="H924" s="12" t="n"/>
      <c r="I924" s="12" t="n"/>
      <c r="J924" s="12" t="n"/>
      <c r="K924" s="12" t="n"/>
      <c r="L924" s="11" t="n"/>
      <c r="M924" s="11" t="n"/>
      <c r="N924" s="11" t="n"/>
      <c r="O924" s="11" t="n"/>
      <c r="P924" s="12" t="n"/>
      <c r="Q924" s="11" t="n"/>
      <c r="R924" s="12" t="n"/>
      <c r="S924" s="11" t="n"/>
      <c r="T924" s="12" t="n"/>
      <c r="U924" s="12" t="n"/>
      <c r="V924" s="14">
        <f>IF($AN924="",IF($B924="","",$H924),IF(INDEX(職員マスタ!$B$6:$B$405,$AN924)="",$H924,INDEX(職員マスタ!$B$6:$B$405,$AN924)))</f>
        <v/>
      </c>
      <c r="W924" s="14">
        <f>IF($AN924="",IF($B924="","",$R924),IF(INDEX(職員マスタ!$C$6:$C$405,$AN924)="",$R924,INDEX(職員マスタ!$C$6:$C$405,$AN924)))</f>
        <v/>
      </c>
      <c r="X924" s="14">
        <f>IF($AO924="","","R"&amp;$C924&amp;"."&amp;$D924)</f>
        <v/>
      </c>
      <c r="Y924" s="15">
        <f>IF($AN924="","",IF(INDEX(職員マスタ!$K$6:$K$405,$AN924)="","",INDEX(職員マスタ!$K$6:$K$405,$AN924)))</f>
        <v/>
      </c>
      <c r="Z924" s="14">
        <f>IF(OR($E924="",$Y924=""),"",IF($E924&gt;=$Y924,"×",IF($E924&gt;=$Y924*設定!$C$5,"△","○")))</f>
        <v/>
      </c>
      <c r="AA924" s="15">
        <f>IF($Z924="","",IF($Z924="×",0,IF($Z924="○",ROUNDDOWN($E924*設定!$C$4,0),ROUNDDOWN($E924*ROUND((9*$Y924-9*$E924)/(10*$E924),4),0))))</f>
        <v/>
      </c>
      <c r="AB924" s="13" t="n"/>
      <c r="AC924" s="15">
        <f>IF($B924="","",IF($AB924&lt;&gt;"",$AB924,IF($AA924="","",IF($AA924&lt;=設定!$C$3,0,$AA924))))</f>
        <v/>
      </c>
      <c r="AD924" s="14">
        <f>IF($B924="","",IF(AND($AE924&lt;&gt;"",$AG924="",$AJ924=""),"保留中",IF($AJ924&lt;&gt;"",IF(N($AC924)&gt;0,"支給済","不支給"),IF($AC924="","要確認",IF($AC924=0,"不支給","未処理")))))</f>
        <v/>
      </c>
      <c r="AE924" s="12" t="n"/>
      <c r="AF924" s="11" t="n"/>
      <c r="AG924" s="11" t="n"/>
      <c r="AH924" s="11" t="n"/>
      <c r="AI924" s="14">
        <f>IF(AND($AD924="保留中",$AF924&lt;&gt;""),TODAY()-$AF924,"")</f>
        <v/>
      </c>
      <c r="AJ924" s="12" t="n"/>
      <c r="AK924" s="14">
        <f>IF($B924="","",IF($AO924="","対象年月が未入力／","")&amp;IF($B924="","",IF($AN924="","職員マスタに未登録の職員番号／",IF($Y924="","標準報酬月額が未登録／","")&amp;IF(AND($AO924&lt;&gt;"",OR(AND(INDEX(職員マスタ!$G$6:$G$405,$AN924)&lt;&gt;"",INDEX(職員マスタ!$G$6:$G$405,$AN924)&gt;EOMONTH($AO924,0)),AND(INDEX(職員マスタ!$H$6:$H$405,$AN924)&lt;&gt;"",INDEX(職員マスタ!$H$6:$H$405,$AN924)&lt;$AO924))),"対象月が時短期間外／","")&amp;IF(AND(INDEX(職員マスタ!$F$6:$F$405,$AN924)&lt;&gt;"",$AO924&lt;&gt;"",INDEX(職員マスタ!$F$6:$F$405,$AN924)&lt;$AO924),"対象月に子が2歳到達済／","")&amp;IF(AND($H924&lt;&gt;"",INDEX(職員マスタ!$B$6:$B$405,$AN924)&lt;&gt;"",SUBSTITUTE(SUBSTITUTE($H924," ","")," ","")&lt;&gt;SUBSTITUTE(SUBSTITUTE(INDEX(職員マスタ!$B$6:$B$405,$AN924)," ","")," ","")),"氏名がマスタと相違／","")&amp;IF(AND($Q924&lt;&gt;"",INDEX(職員マスタ!$E$6:$E$405,$AN924)&lt;&gt;"",$Q924&lt;&gt;INDEX(職員マスタ!$E$6:$E$405,$AN924)),"子の生年月日がマスタと相違／","")&amp;IF(AND($L924&lt;&gt;"",INDEX(職員マスタ!$G$6:$G$405,$AN924)&lt;&gt;"",$L924&lt;&gt;INDEX(職員マスタ!$G$6:$G$405,$AN924)),"時短開始日がマスタと相違／","")&amp;IF(AND($M924&lt;&gt;"",INDEX(職員マスタ!$H$6:$H$405,$AN924)&lt;&gt;"",$M924&lt;&gt;INDEX(職員マスタ!$H$6:$H$405,$AN924)),"時短終了日がマスタと相違／","")))&amp;IF(AND($B924&lt;&gt;"",$E924=""),"報酬額が未入力／","")&amp;IF(N($U924)&gt;0,"申請書に入力エラーが残っています／","")&amp;IF(AND($B924&lt;&gt;"",$AO924&lt;&gt;""),IF(COUNTIFS($B$6:$B$3005,$B924,$C$6:$C$3005,$C924,$D$6:$D$3005,$D924)&gt;1,"同じ月の請求が重複しています／",""),"")&amp;IF(AND(N($E924)&gt;0,$Z924&lt;&gt;"",$Z924&lt;&gt;"×",$AC924=0,$AB924=""),"計算額が下限以下のため不支給／",""))</f>
        <v/>
      </c>
      <c r="AL924" s="12" t="n"/>
      <c r="AM924" s="14">
        <f>IF($AD924="保留中",COUNTIF($AD$6:$AD924,"保留中"),"")</f>
        <v/>
      </c>
      <c r="AN924" s="14">
        <f>IF($AO924="","",IF(SUMPRODUCT(MAX((職員マスタ!$A$6:$A$405=$B924)*(((職員マスタ!$G$6:$G$405="")+(職員マスタ!$G$6:$G$405&lt;=EOMONTH($AO924,0)))&gt;0)*(((職員マスタ!$H$6:$H$405="")+(職員マスタ!$H$6:$H$405&gt;=$AO924))&gt;0)*(ROW(職員マスタ!$A$6:$A$405)-5)))&gt;0,SUMPRODUCT(MAX((職員マスタ!$A$6:$A$405=$B924)*(((職員マスタ!$G$6:$G$405="")+(職員マスタ!$G$6:$G$405&lt;=EOMONTH($AO924,0)))&gt;0)*(((職員マスタ!$H$6:$H$405="")+(職員マスタ!$H$6:$H$405&gt;=$AO924))&gt;0)*(ROW(職員マスタ!$A$6:$A$405)-5))),IFERROR(MATCH($B924,職員マスタ!$A$6:$A$405,0),"")))</f>
        <v/>
      </c>
      <c r="AO924" s="16">
        <f>IF(OR($B924="",$C924="",$D924=""),"",DATE($C924+2018,$D924,1))</f>
        <v/>
      </c>
    </row>
    <row r="925">
      <c r="A925" s="11" t="n"/>
      <c r="B925" s="12" t="n"/>
      <c r="C925" s="12" t="n"/>
      <c r="D925" s="12" t="n"/>
      <c r="E925" s="13" t="n"/>
      <c r="F925" s="12" t="n"/>
      <c r="G925" s="13" t="n"/>
      <c r="H925" s="12" t="n"/>
      <c r="I925" s="12" t="n"/>
      <c r="J925" s="12" t="n"/>
      <c r="K925" s="12" t="n"/>
      <c r="L925" s="11" t="n"/>
      <c r="M925" s="11" t="n"/>
      <c r="N925" s="11" t="n"/>
      <c r="O925" s="11" t="n"/>
      <c r="P925" s="12" t="n"/>
      <c r="Q925" s="11" t="n"/>
      <c r="R925" s="12" t="n"/>
      <c r="S925" s="11" t="n"/>
      <c r="T925" s="12" t="n"/>
      <c r="U925" s="12" t="n"/>
      <c r="V925" s="14">
        <f>IF($AN925="",IF($B925="","",$H925),IF(INDEX(職員マスタ!$B$6:$B$405,$AN925)="",$H925,INDEX(職員マスタ!$B$6:$B$405,$AN925)))</f>
        <v/>
      </c>
      <c r="W925" s="14">
        <f>IF($AN925="",IF($B925="","",$R925),IF(INDEX(職員マスタ!$C$6:$C$405,$AN925)="",$R925,INDEX(職員マスタ!$C$6:$C$405,$AN925)))</f>
        <v/>
      </c>
      <c r="X925" s="14">
        <f>IF($AO925="","","R"&amp;$C925&amp;"."&amp;$D925)</f>
        <v/>
      </c>
      <c r="Y925" s="15">
        <f>IF($AN925="","",IF(INDEX(職員マスタ!$K$6:$K$405,$AN925)="","",INDEX(職員マスタ!$K$6:$K$405,$AN925)))</f>
        <v/>
      </c>
      <c r="Z925" s="14">
        <f>IF(OR($E925="",$Y925=""),"",IF($E925&gt;=$Y925,"×",IF($E925&gt;=$Y925*設定!$C$5,"△","○")))</f>
        <v/>
      </c>
      <c r="AA925" s="15">
        <f>IF($Z925="","",IF($Z925="×",0,IF($Z925="○",ROUNDDOWN($E925*設定!$C$4,0),ROUNDDOWN($E925*ROUND((9*$Y925-9*$E925)/(10*$E925),4),0))))</f>
        <v/>
      </c>
      <c r="AB925" s="13" t="n"/>
      <c r="AC925" s="15">
        <f>IF($B925="","",IF($AB925&lt;&gt;"",$AB925,IF($AA925="","",IF($AA925&lt;=設定!$C$3,0,$AA925))))</f>
        <v/>
      </c>
      <c r="AD925" s="14">
        <f>IF($B925="","",IF(AND($AE925&lt;&gt;"",$AG925="",$AJ925=""),"保留中",IF($AJ925&lt;&gt;"",IF(N($AC925)&gt;0,"支給済","不支給"),IF($AC925="","要確認",IF($AC925=0,"不支給","未処理")))))</f>
        <v/>
      </c>
      <c r="AE925" s="12" t="n"/>
      <c r="AF925" s="11" t="n"/>
      <c r="AG925" s="11" t="n"/>
      <c r="AH925" s="11" t="n"/>
      <c r="AI925" s="14">
        <f>IF(AND($AD925="保留中",$AF925&lt;&gt;""),TODAY()-$AF925,"")</f>
        <v/>
      </c>
      <c r="AJ925" s="12" t="n"/>
      <c r="AK925" s="14">
        <f>IF($B925="","",IF($AO925="","対象年月が未入力／","")&amp;IF($B925="","",IF($AN925="","職員マスタに未登録の職員番号／",IF($Y925="","標準報酬月額が未登録／","")&amp;IF(AND($AO925&lt;&gt;"",OR(AND(INDEX(職員マスタ!$G$6:$G$405,$AN925)&lt;&gt;"",INDEX(職員マスタ!$G$6:$G$405,$AN925)&gt;EOMONTH($AO925,0)),AND(INDEX(職員マスタ!$H$6:$H$405,$AN925)&lt;&gt;"",INDEX(職員マスタ!$H$6:$H$405,$AN925)&lt;$AO925))),"対象月が時短期間外／","")&amp;IF(AND(INDEX(職員マスタ!$F$6:$F$405,$AN925)&lt;&gt;"",$AO925&lt;&gt;"",INDEX(職員マスタ!$F$6:$F$405,$AN925)&lt;$AO925),"対象月に子が2歳到達済／","")&amp;IF(AND($H925&lt;&gt;"",INDEX(職員マスタ!$B$6:$B$405,$AN925)&lt;&gt;"",SUBSTITUTE(SUBSTITUTE($H925," ","")," ","")&lt;&gt;SUBSTITUTE(SUBSTITUTE(INDEX(職員マスタ!$B$6:$B$405,$AN925)," ","")," ","")),"氏名がマスタと相違／","")&amp;IF(AND($Q925&lt;&gt;"",INDEX(職員マスタ!$E$6:$E$405,$AN925)&lt;&gt;"",$Q925&lt;&gt;INDEX(職員マスタ!$E$6:$E$405,$AN925)),"子の生年月日がマスタと相違／","")&amp;IF(AND($L925&lt;&gt;"",INDEX(職員マスタ!$G$6:$G$405,$AN925)&lt;&gt;"",$L925&lt;&gt;INDEX(職員マスタ!$G$6:$G$405,$AN925)),"時短開始日がマスタと相違／","")&amp;IF(AND($M925&lt;&gt;"",INDEX(職員マスタ!$H$6:$H$405,$AN925)&lt;&gt;"",$M925&lt;&gt;INDEX(職員マスタ!$H$6:$H$405,$AN925)),"時短終了日がマスタと相違／","")))&amp;IF(AND($B925&lt;&gt;"",$E925=""),"報酬額が未入力／","")&amp;IF(N($U925)&gt;0,"申請書に入力エラーが残っています／","")&amp;IF(AND($B925&lt;&gt;"",$AO925&lt;&gt;""),IF(COUNTIFS($B$6:$B$3005,$B925,$C$6:$C$3005,$C925,$D$6:$D$3005,$D925)&gt;1,"同じ月の請求が重複しています／",""),"")&amp;IF(AND(N($E925)&gt;0,$Z925&lt;&gt;"",$Z925&lt;&gt;"×",$AC925=0,$AB925=""),"計算額が下限以下のため不支給／",""))</f>
        <v/>
      </c>
      <c r="AL925" s="12" t="n"/>
      <c r="AM925" s="14">
        <f>IF($AD925="保留中",COUNTIF($AD$6:$AD925,"保留中"),"")</f>
        <v/>
      </c>
      <c r="AN925" s="14">
        <f>IF($AO925="","",IF(SUMPRODUCT(MAX((職員マスタ!$A$6:$A$405=$B925)*(((職員マスタ!$G$6:$G$405="")+(職員マスタ!$G$6:$G$405&lt;=EOMONTH($AO925,0)))&gt;0)*(((職員マスタ!$H$6:$H$405="")+(職員マスタ!$H$6:$H$405&gt;=$AO925))&gt;0)*(ROW(職員マスタ!$A$6:$A$405)-5)))&gt;0,SUMPRODUCT(MAX((職員マスタ!$A$6:$A$405=$B925)*(((職員マスタ!$G$6:$G$405="")+(職員マスタ!$G$6:$G$405&lt;=EOMONTH($AO925,0)))&gt;0)*(((職員マスタ!$H$6:$H$405="")+(職員マスタ!$H$6:$H$405&gt;=$AO925))&gt;0)*(ROW(職員マスタ!$A$6:$A$405)-5))),IFERROR(MATCH($B925,職員マスタ!$A$6:$A$405,0),"")))</f>
        <v/>
      </c>
      <c r="AO925" s="16">
        <f>IF(OR($B925="",$C925="",$D925=""),"",DATE($C925+2018,$D925,1))</f>
        <v/>
      </c>
    </row>
    <row r="926">
      <c r="A926" s="11" t="n"/>
      <c r="B926" s="12" t="n"/>
      <c r="C926" s="12" t="n"/>
      <c r="D926" s="12" t="n"/>
      <c r="E926" s="13" t="n"/>
      <c r="F926" s="12" t="n"/>
      <c r="G926" s="13" t="n"/>
      <c r="H926" s="12" t="n"/>
      <c r="I926" s="12" t="n"/>
      <c r="J926" s="12" t="n"/>
      <c r="K926" s="12" t="n"/>
      <c r="L926" s="11" t="n"/>
      <c r="M926" s="11" t="n"/>
      <c r="N926" s="11" t="n"/>
      <c r="O926" s="11" t="n"/>
      <c r="P926" s="12" t="n"/>
      <c r="Q926" s="11" t="n"/>
      <c r="R926" s="12" t="n"/>
      <c r="S926" s="11" t="n"/>
      <c r="T926" s="12" t="n"/>
      <c r="U926" s="12" t="n"/>
      <c r="V926" s="14">
        <f>IF($AN926="",IF($B926="","",$H926),IF(INDEX(職員マスタ!$B$6:$B$405,$AN926)="",$H926,INDEX(職員マスタ!$B$6:$B$405,$AN926)))</f>
        <v/>
      </c>
      <c r="W926" s="14">
        <f>IF($AN926="",IF($B926="","",$R926),IF(INDEX(職員マスタ!$C$6:$C$405,$AN926)="",$R926,INDEX(職員マスタ!$C$6:$C$405,$AN926)))</f>
        <v/>
      </c>
      <c r="X926" s="14">
        <f>IF($AO926="","","R"&amp;$C926&amp;"."&amp;$D926)</f>
        <v/>
      </c>
      <c r="Y926" s="15">
        <f>IF($AN926="","",IF(INDEX(職員マスタ!$K$6:$K$405,$AN926)="","",INDEX(職員マスタ!$K$6:$K$405,$AN926)))</f>
        <v/>
      </c>
      <c r="Z926" s="14">
        <f>IF(OR($E926="",$Y926=""),"",IF($E926&gt;=$Y926,"×",IF($E926&gt;=$Y926*設定!$C$5,"△","○")))</f>
        <v/>
      </c>
      <c r="AA926" s="15">
        <f>IF($Z926="","",IF($Z926="×",0,IF($Z926="○",ROUNDDOWN($E926*設定!$C$4,0),ROUNDDOWN($E926*ROUND((9*$Y926-9*$E926)/(10*$E926),4),0))))</f>
        <v/>
      </c>
      <c r="AB926" s="13" t="n"/>
      <c r="AC926" s="15">
        <f>IF($B926="","",IF($AB926&lt;&gt;"",$AB926,IF($AA926="","",IF($AA926&lt;=設定!$C$3,0,$AA926))))</f>
        <v/>
      </c>
      <c r="AD926" s="14">
        <f>IF($B926="","",IF(AND($AE926&lt;&gt;"",$AG926="",$AJ926=""),"保留中",IF($AJ926&lt;&gt;"",IF(N($AC926)&gt;0,"支給済","不支給"),IF($AC926="","要確認",IF($AC926=0,"不支給","未処理")))))</f>
        <v/>
      </c>
      <c r="AE926" s="12" t="n"/>
      <c r="AF926" s="11" t="n"/>
      <c r="AG926" s="11" t="n"/>
      <c r="AH926" s="11" t="n"/>
      <c r="AI926" s="14">
        <f>IF(AND($AD926="保留中",$AF926&lt;&gt;""),TODAY()-$AF926,"")</f>
        <v/>
      </c>
      <c r="AJ926" s="12" t="n"/>
      <c r="AK926" s="14">
        <f>IF($B926="","",IF($AO926="","対象年月が未入力／","")&amp;IF($B926="","",IF($AN926="","職員マスタに未登録の職員番号／",IF($Y926="","標準報酬月額が未登録／","")&amp;IF(AND($AO926&lt;&gt;"",OR(AND(INDEX(職員マスタ!$G$6:$G$405,$AN926)&lt;&gt;"",INDEX(職員マスタ!$G$6:$G$405,$AN926)&gt;EOMONTH($AO926,0)),AND(INDEX(職員マスタ!$H$6:$H$405,$AN926)&lt;&gt;"",INDEX(職員マスタ!$H$6:$H$405,$AN926)&lt;$AO926))),"対象月が時短期間外／","")&amp;IF(AND(INDEX(職員マスタ!$F$6:$F$405,$AN926)&lt;&gt;"",$AO926&lt;&gt;"",INDEX(職員マスタ!$F$6:$F$405,$AN926)&lt;$AO926),"対象月に子が2歳到達済／","")&amp;IF(AND($H926&lt;&gt;"",INDEX(職員マスタ!$B$6:$B$405,$AN926)&lt;&gt;"",SUBSTITUTE(SUBSTITUTE($H926," ","")," ","")&lt;&gt;SUBSTITUTE(SUBSTITUTE(INDEX(職員マスタ!$B$6:$B$405,$AN926)," ","")," ","")),"氏名がマスタと相違／","")&amp;IF(AND($Q926&lt;&gt;"",INDEX(職員マスタ!$E$6:$E$405,$AN926)&lt;&gt;"",$Q926&lt;&gt;INDEX(職員マスタ!$E$6:$E$405,$AN926)),"子の生年月日がマスタと相違／","")&amp;IF(AND($L926&lt;&gt;"",INDEX(職員マスタ!$G$6:$G$405,$AN926)&lt;&gt;"",$L926&lt;&gt;INDEX(職員マスタ!$G$6:$G$405,$AN926)),"時短開始日がマスタと相違／","")&amp;IF(AND($M926&lt;&gt;"",INDEX(職員マスタ!$H$6:$H$405,$AN926)&lt;&gt;"",$M926&lt;&gt;INDEX(職員マスタ!$H$6:$H$405,$AN926)),"時短終了日がマスタと相違／","")))&amp;IF(AND($B926&lt;&gt;"",$E926=""),"報酬額が未入力／","")&amp;IF(N($U926)&gt;0,"申請書に入力エラーが残っています／","")&amp;IF(AND($B926&lt;&gt;"",$AO926&lt;&gt;""),IF(COUNTIFS($B$6:$B$3005,$B926,$C$6:$C$3005,$C926,$D$6:$D$3005,$D926)&gt;1,"同じ月の請求が重複しています／",""),"")&amp;IF(AND(N($E926)&gt;0,$Z926&lt;&gt;"",$Z926&lt;&gt;"×",$AC926=0,$AB926=""),"計算額が下限以下のため不支給／",""))</f>
        <v/>
      </c>
      <c r="AL926" s="12" t="n"/>
      <c r="AM926" s="14">
        <f>IF($AD926="保留中",COUNTIF($AD$6:$AD926,"保留中"),"")</f>
        <v/>
      </c>
      <c r="AN926" s="14">
        <f>IF($AO926="","",IF(SUMPRODUCT(MAX((職員マスタ!$A$6:$A$405=$B926)*(((職員マスタ!$G$6:$G$405="")+(職員マスタ!$G$6:$G$405&lt;=EOMONTH($AO926,0)))&gt;0)*(((職員マスタ!$H$6:$H$405="")+(職員マスタ!$H$6:$H$405&gt;=$AO926))&gt;0)*(ROW(職員マスタ!$A$6:$A$405)-5)))&gt;0,SUMPRODUCT(MAX((職員マスタ!$A$6:$A$405=$B926)*(((職員マスタ!$G$6:$G$405="")+(職員マスタ!$G$6:$G$405&lt;=EOMONTH($AO926,0)))&gt;0)*(((職員マスタ!$H$6:$H$405="")+(職員マスタ!$H$6:$H$405&gt;=$AO926))&gt;0)*(ROW(職員マスタ!$A$6:$A$405)-5))),IFERROR(MATCH($B926,職員マスタ!$A$6:$A$405,0),"")))</f>
        <v/>
      </c>
      <c r="AO926" s="16">
        <f>IF(OR($B926="",$C926="",$D926=""),"",DATE($C926+2018,$D926,1))</f>
        <v/>
      </c>
    </row>
    <row r="927">
      <c r="A927" s="11" t="n"/>
      <c r="B927" s="12" t="n"/>
      <c r="C927" s="12" t="n"/>
      <c r="D927" s="12" t="n"/>
      <c r="E927" s="13" t="n"/>
      <c r="F927" s="12" t="n"/>
      <c r="G927" s="13" t="n"/>
      <c r="H927" s="12" t="n"/>
      <c r="I927" s="12" t="n"/>
      <c r="J927" s="12" t="n"/>
      <c r="K927" s="12" t="n"/>
      <c r="L927" s="11" t="n"/>
      <c r="M927" s="11" t="n"/>
      <c r="N927" s="11" t="n"/>
      <c r="O927" s="11" t="n"/>
      <c r="P927" s="12" t="n"/>
      <c r="Q927" s="11" t="n"/>
      <c r="R927" s="12" t="n"/>
      <c r="S927" s="11" t="n"/>
      <c r="T927" s="12" t="n"/>
      <c r="U927" s="12" t="n"/>
      <c r="V927" s="14">
        <f>IF($AN927="",IF($B927="","",$H927),IF(INDEX(職員マスタ!$B$6:$B$405,$AN927)="",$H927,INDEX(職員マスタ!$B$6:$B$405,$AN927)))</f>
        <v/>
      </c>
      <c r="W927" s="14">
        <f>IF($AN927="",IF($B927="","",$R927),IF(INDEX(職員マスタ!$C$6:$C$405,$AN927)="",$R927,INDEX(職員マスタ!$C$6:$C$405,$AN927)))</f>
        <v/>
      </c>
      <c r="X927" s="14">
        <f>IF($AO927="","","R"&amp;$C927&amp;"."&amp;$D927)</f>
        <v/>
      </c>
      <c r="Y927" s="15">
        <f>IF($AN927="","",IF(INDEX(職員マスタ!$K$6:$K$405,$AN927)="","",INDEX(職員マスタ!$K$6:$K$405,$AN927)))</f>
        <v/>
      </c>
      <c r="Z927" s="14">
        <f>IF(OR($E927="",$Y927=""),"",IF($E927&gt;=$Y927,"×",IF($E927&gt;=$Y927*設定!$C$5,"△","○")))</f>
        <v/>
      </c>
      <c r="AA927" s="15">
        <f>IF($Z927="","",IF($Z927="×",0,IF($Z927="○",ROUNDDOWN($E927*設定!$C$4,0),ROUNDDOWN($E927*ROUND((9*$Y927-9*$E927)/(10*$E927),4),0))))</f>
        <v/>
      </c>
      <c r="AB927" s="13" t="n"/>
      <c r="AC927" s="15">
        <f>IF($B927="","",IF($AB927&lt;&gt;"",$AB927,IF($AA927="","",IF($AA927&lt;=設定!$C$3,0,$AA927))))</f>
        <v/>
      </c>
      <c r="AD927" s="14">
        <f>IF($B927="","",IF(AND($AE927&lt;&gt;"",$AG927="",$AJ927=""),"保留中",IF($AJ927&lt;&gt;"",IF(N($AC927)&gt;0,"支給済","不支給"),IF($AC927="","要確認",IF($AC927=0,"不支給","未処理")))))</f>
        <v/>
      </c>
      <c r="AE927" s="12" t="n"/>
      <c r="AF927" s="11" t="n"/>
      <c r="AG927" s="11" t="n"/>
      <c r="AH927" s="11" t="n"/>
      <c r="AI927" s="14">
        <f>IF(AND($AD927="保留中",$AF927&lt;&gt;""),TODAY()-$AF927,"")</f>
        <v/>
      </c>
      <c r="AJ927" s="12" t="n"/>
      <c r="AK927" s="14">
        <f>IF($B927="","",IF($AO927="","対象年月が未入力／","")&amp;IF($B927="","",IF($AN927="","職員マスタに未登録の職員番号／",IF($Y927="","標準報酬月額が未登録／","")&amp;IF(AND($AO927&lt;&gt;"",OR(AND(INDEX(職員マスタ!$G$6:$G$405,$AN927)&lt;&gt;"",INDEX(職員マスタ!$G$6:$G$405,$AN927)&gt;EOMONTH($AO927,0)),AND(INDEX(職員マスタ!$H$6:$H$405,$AN927)&lt;&gt;"",INDEX(職員マスタ!$H$6:$H$405,$AN927)&lt;$AO927))),"対象月が時短期間外／","")&amp;IF(AND(INDEX(職員マスタ!$F$6:$F$405,$AN927)&lt;&gt;"",$AO927&lt;&gt;"",INDEX(職員マスタ!$F$6:$F$405,$AN927)&lt;$AO927),"対象月に子が2歳到達済／","")&amp;IF(AND($H927&lt;&gt;"",INDEX(職員マスタ!$B$6:$B$405,$AN927)&lt;&gt;"",SUBSTITUTE(SUBSTITUTE($H927," ","")," ","")&lt;&gt;SUBSTITUTE(SUBSTITUTE(INDEX(職員マスタ!$B$6:$B$405,$AN927)," ","")," ","")),"氏名がマスタと相違／","")&amp;IF(AND($Q927&lt;&gt;"",INDEX(職員マスタ!$E$6:$E$405,$AN927)&lt;&gt;"",$Q927&lt;&gt;INDEX(職員マスタ!$E$6:$E$405,$AN927)),"子の生年月日がマスタと相違／","")&amp;IF(AND($L927&lt;&gt;"",INDEX(職員マスタ!$G$6:$G$405,$AN927)&lt;&gt;"",$L927&lt;&gt;INDEX(職員マスタ!$G$6:$G$405,$AN927)),"時短開始日がマスタと相違／","")&amp;IF(AND($M927&lt;&gt;"",INDEX(職員マスタ!$H$6:$H$405,$AN927)&lt;&gt;"",$M927&lt;&gt;INDEX(職員マスタ!$H$6:$H$405,$AN927)),"時短終了日がマスタと相違／","")))&amp;IF(AND($B927&lt;&gt;"",$E927=""),"報酬額が未入力／","")&amp;IF(N($U927)&gt;0,"申請書に入力エラーが残っています／","")&amp;IF(AND($B927&lt;&gt;"",$AO927&lt;&gt;""),IF(COUNTIFS($B$6:$B$3005,$B927,$C$6:$C$3005,$C927,$D$6:$D$3005,$D927)&gt;1,"同じ月の請求が重複しています／",""),"")&amp;IF(AND(N($E927)&gt;0,$Z927&lt;&gt;"",$Z927&lt;&gt;"×",$AC927=0,$AB927=""),"計算額が下限以下のため不支給／",""))</f>
        <v/>
      </c>
      <c r="AL927" s="12" t="n"/>
      <c r="AM927" s="14">
        <f>IF($AD927="保留中",COUNTIF($AD$6:$AD927,"保留中"),"")</f>
        <v/>
      </c>
      <c r="AN927" s="14">
        <f>IF($AO927="","",IF(SUMPRODUCT(MAX((職員マスタ!$A$6:$A$405=$B927)*(((職員マスタ!$G$6:$G$405="")+(職員マスタ!$G$6:$G$405&lt;=EOMONTH($AO927,0)))&gt;0)*(((職員マスタ!$H$6:$H$405="")+(職員マスタ!$H$6:$H$405&gt;=$AO927))&gt;0)*(ROW(職員マスタ!$A$6:$A$405)-5)))&gt;0,SUMPRODUCT(MAX((職員マスタ!$A$6:$A$405=$B927)*(((職員マスタ!$G$6:$G$405="")+(職員マスタ!$G$6:$G$405&lt;=EOMONTH($AO927,0)))&gt;0)*(((職員マスタ!$H$6:$H$405="")+(職員マスタ!$H$6:$H$405&gt;=$AO927))&gt;0)*(ROW(職員マスタ!$A$6:$A$405)-5))),IFERROR(MATCH($B927,職員マスタ!$A$6:$A$405,0),"")))</f>
        <v/>
      </c>
      <c r="AO927" s="16">
        <f>IF(OR($B927="",$C927="",$D927=""),"",DATE($C927+2018,$D927,1))</f>
        <v/>
      </c>
    </row>
    <row r="928">
      <c r="A928" s="11" t="n"/>
      <c r="B928" s="12" t="n"/>
      <c r="C928" s="12" t="n"/>
      <c r="D928" s="12" t="n"/>
      <c r="E928" s="13" t="n"/>
      <c r="F928" s="12" t="n"/>
      <c r="G928" s="13" t="n"/>
      <c r="H928" s="12" t="n"/>
      <c r="I928" s="12" t="n"/>
      <c r="J928" s="12" t="n"/>
      <c r="K928" s="12" t="n"/>
      <c r="L928" s="11" t="n"/>
      <c r="M928" s="11" t="n"/>
      <c r="N928" s="11" t="n"/>
      <c r="O928" s="11" t="n"/>
      <c r="P928" s="12" t="n"/>
      <c r="Q928" s="11" t="n"/>
      <c r="R928" s="12" t="n"/>
      <c r="S928" s="11" t="n"/>
      <c r="T928" s="12" t="n"/>
      <c r="U928" s="12" t="n"/>
      <c r="V928" s="14">
        <f>IF($AN928="",IF($B928="","",$H928),IF(INDEX(職員マスタ!$B$6:$B$405,$AN928)="",$H928,INDEX(職員マスタ!$B$6:$B$405,$AN928)))</f>
        <v/>
      </c>
      <c r="W928" s="14">
        <f>IF($AN928="",IF($B928="","",$R928),IF(INDEX(職員マスタ!$C$6:$C$405,$AN928)="",$R928,INDEX(職員マスタ!$C$6:$C$405,$AN928)))</f>
        <v/>
      </c>
      <c r="X928" s="14">
        <f>IF($AO928="","","R"&amp;$C928&amp;"."&amp;$D928)</f>
        <v/>
      </c>
      <c r="Y928" s="15">
        <f>IF($AN928="","",IF(INDEX(職員マスタ!$K$6:$K$405,$AN928)="","",INDEX(職員マスタ!$K$6:$K$405,$AN928)))</f>
        <v/>
      </c>
      <c r="Z928" s="14">
        <f>IF(OR($E928="",$Y928=""),"",IF($E928&gt;=$Y928,"×",IF($E928&gt;=$Y928*設定!$C$5,"△","○")))</f>
        <v/>
      </c>
      <c r="AA928" s="15">
        <f>IF($Z928="","",IF($Z928="×",0,IF($Z928="○",ROUNDDOWN($E928*設定!$C$4,0),ROUNDDOWN($E928*ROUND((9*$Y928-9*$E928)/(10*$E928),4),0))))</f>
        <v/>
      </c>
      <c r="AB928" s="13" t="n"/>
      <c r="AC928" s="15">
        <f>IF($B928="","",IF($AB928&lt;&gt;"",$AB928,IF($AA928="","",IF($AA928&lt;=設定!$C$3,0,$AA928))))</f>
        <v/>
      </c>
      <c r="AD928" s="14">
        <f>IF($B928="","",IF(AND($AE928&lt;&gt;"",$AG928="",$AJ928=""),"保留中",IF($AJ928&lt;&gt;"",IF(N($AC928)&gt;0,"支給済","不支給"),IF($AC928="","要確認",IF($AC928=0,"不支給","未処理")))))</f>
        <v/>
      </c>
      <c r="AE928" s="12" t="n"/>
      <c r="AF928" s="11" t="n"/>
      <c r="AG928" s="11" t="n"/>
      <c r="AH928" s="11" t="n"/>
      <c r="AI928" s="14">
        <f>IF(AND($AD928="保留中",$AF928&lt;&gt;""),TODAY()-$AF928,"")</f>
        <v/>
      </c>
      <c r="AJ928" s="12" t="n"/>
      <c r="AK928" s="14">
        <f>IF($B928="","",IF($AO928="","対象年月が未入力／","")&amp;IF($B928="","",IF($AN928="","職員マスタに未登録の職員番号／",IF($Y928="","標準報酬月額が未登録／","")&amp;IF(AND($AO928&lt;&gt;"",OR(AND(INDEX(職員マスタ!$G$6:$G$405,$AN928)&lt;&gt;"",INDEX(職員マスタ!$G$6:$G$405,$AN928)&gt;EOMONTH($AO928,0)),AND(INDEX(職員マスタ!$H$6:$H$405,$AN928)&lt;&gt;"",INDEX(職員マスタ!$H$6:$H$405,$AN928)&lt;$AO928))),"対象月が時短期間外／","")&amp;IF(AND(INDEX(職員マスタ!$F$6:$F$405,$AN928)&lt;&gt;"",$AO928&lt;&gt;"",INDEX(職員マスタ!$F$6:$F$405,$AN928)&lt;$AO928),"対象月に子が2歳到達済／","")&amp;IF(AND($H928&lt;&gt;"",INDEX(職員マスタ!$B$6:$B$405,$AN928)&lt;&gt;"",SUBSTITUTE(SUBSTITUTE($H928," ","")," ","")&lt;&gt;SUBSTITUTE(SUBSTITUTE(INDEX(職員マスタ!$B$6:$B$405,$AN928)," ","")," ","")),"氏名がマスタと相違／","")&amp;IF(AND($Q928&lt;&gt;"",INDEX(職員マスタ!$E$6:$E$405,$AN928)&lt;&gt;"",$Q928&lt;&gt;INDEX(職員マスタ!$E$6:$E$405,$AN928)),"子の生年月日がマスタと相違／","")&amp;IF(AND($L928&lt;&gt;"",INDEX(職員マスタ!$G$6:$G$405,$AN928)&lt;&gt;"",$L928&lt;&gt;INDEX(職員マスタ!$G$6:$G$405,$AN928)),"時短開始日がマスタと相違／","")&amp;IF(AND($M928&lt;&gt;"",INDEX(職員マスタ!$H$6:$H$405,$AN928)&lt;&gt;"",$M928&lt;&gt;INDEX(職員マスタ!$H$6:$H$405,$AN928)),"時短終了日がマスタと相違／","")))&amp;IF(AND($B928&lt;&gt;"",$E928=""),"報酬額が未入力／","")&amp;IF(N($U928)&gt;0,"申請書に入力エラーが残っています／","")&amp;IF(AND($B928&lt;&gt;"",$AO928&lt;&gt;""),IF(COUNTIFS($B$6:$B$3005,$B928,$C$6:$C$3005,$C928,$D$6:$D$3005,$D928)&gt;1,"同じ月の請求が重複しています／",""),"")&amp;IF(AND(N($E928)&gt;0,$Z928&lt;&gt;"",$Z928&lt;&gt;"×",$AC928=0,$AB928=""),"計算額が下限以下のため不支給／",""))</f>
        <v/>
      </c>
      <c r="AL928" s="12" t="n"/>
      <c r="AM928" s="14">
        <f>IF($AD928="保留中",COUNTIF($AD$6:$AD928,"保留中"),"")</f>
        <v/>
      </c>
      <c r="AN928" s="14">
        <f>IF($AO928="","",IF(SUMPRODUCT(MAX((職員マスタ!$A$6:$A$405=$B928)*(((職員マスタ!$G$6:$G$405="")+(職員マスタ!$G$6:$G$405&lt;=EOMONTH($AO928,0)))&gt;0)*(((職員マスタ!$H$6:$H$405="")+(職員マスタ!$H$6:$H$405&gt;=$AO928))&gt;0)*(ROW(職員マスタ!$A$6:$A$405)-5)))&gt;0,SUMPRODUCT(MAX((職員マスタ!$A$6:$A$405=$B928)*(((職員マスタ!$G$6:$G$405="")+(職員マスタ!$G$6:$G$405&lt;=EOMONTH($AO928,0)))&gt;0)*(((職員マスタ!$H$6:$H$405="")+(職員マスタ!$H$6:$H$405&gt;=$AO928))&gt;0)*(ROW(職員マスタ!$A$6:$A$405)-5))),IFERROR(MATCH($B928,職員マスタ!$A$6:$A$405,0),"")))</f>
        <v/>
      </c>
      <c r="AO928" s="16">
        <f>IF(OR($B928="",$C928="",$D928=""),"",DATE($C928+2018,$D928,1))</f>
        <v/>
      </c>
    </row>
    <row r="929">
      <c r="A929" s="11" t="n"/>
      <c r="B929" s="12" t="n"/>
      <c r="C929" s="12" t="n"/>
      <c r="D929" s="12" t="n"/>
      <c r="E929" s="13" t="n"/>
      <c r="F929" s="12" t="n"/>
      <c r="G929" s="13" t="n"/>
      <c r="H929" s="12" t="n"/>
      <c r="I929" s="12" t="n"/>
      <c r="J929" s="12" t="n"/>
      <c r="K929" s="12" t="n"/>
      <c r="L929" s="11" t="n"/>
      <c r="M929" s="11" t="n"/>
      <c r="N929" s="11" t="n"/>
      <c r="O929" s="11" t="n"/>
      <c r="P929" s="12" t="n"/>
      <c r="Q929" s="11" t="n"/>
      <c r="R929" s="12" t="n"/>
      <c r="S929" s="11" t="n"/>
      <c r="T929" s="12" t="n"/>
      <c r="U929" s="12" t="n"/>
      <c r="V929" s="14">
        <f>IF($AN929="",IF($B929="","",$H929),IF(INDEX(職員マスタ!$B$6:$B$405,$AN929)="",$H929,INDEX(職員マスタ!$B$6:$B$405,$AN929)))</f>
        <v/>
      </c>
      <c r="W929" s="14">
        <f>IF($AN929="",IF($B929="","",$R929),IF(INDEX(職員マスタ!$C$6:$C$405,$AN929)="",$R929,INDEX(職員マスタ!$C$6:$C$405,$AN929)))</f>
        <v/>
      </c>
      <c r="X929" s="14">
        <f>IF($AO929="","","R"&amp;$C929&amp;"."&amp;$D929)</f>
        <v/>
      </c>
      <c r="Y929" s="15">
        <f>IF($AN929="","",IF(INDEX(職員マスタ!$K$6:$K$405,$AN929)="","",INDEX(職員マスタ!$K$6:$K$405,$AN929)))</f>
        <v/>
      </c>
      <c r="Z929" s="14">
        <f>IF(OR($E929="",$Y929=""),"",IF($E929&gt;=$Y929,"×",IF($E929&gt;=$Y929*設定!$C$5,"△","○")))</f>
        <v/>
      </c>
      <c r="AA929" s="15">
        <f>IF($Z929="","",IF($Z929="×",0,IF($Z929="○",ROUNDDOWN($E929*設定!$C$4,0),ROUNDDOWN($E929*ROUND((9*$Y929-9*$E929)/(10*$E929),4),0))))</f>
        <v/>
      </c>
      <c r="AB929" s="13" t="n"/>
      <c r="AC929" s="15">
        <f>IF($B929="","",IF($AB929&lt;&gt;"",$AB929,IF($AA929="","",IF($AA929&lt;=設定!$C$3,0,$AA929))))</f>
        <v/>
      </c>
      <c r="AD929" s="14">
        <f>IF($B929="","",IF(AND($AE929&lt;&gt;"",$AG929="",$AJ929=""),"保留中",IF($AJ929&lt;&gt;"",IF(N($AC929)&gt;0,"支給済","不支給"),IF($AC929="","要確認",IF($AC929=0,"不支給","未処理")))))</f>
        <v/>
      </c>
      <c r="AE929" s="12" t="n"/>
      <c r="AF929" s="11" t="n"/>
      <c r="AG929" s="11" t="n"/>
      <c r="AH929" s="11" t="n"/>
      <c r="AI929" s="14">
        <f>IF(AND($AD929="保留中",$AF929&lt;&gt;""),TODAY()-$AF929,"")</f>
        <v/>
      </c>
      <c r="AJ929" s="12" t="n"/>
      <c r="AK929" s="14">
        <f>IF($B929="","",IF($AO929="","対象年月が未入力／","")&amp;IF($B929="","",IF($AN929="","職員マスタに未登録の職員番号／",IF($Y929="","標準報酬月額が未登録／","")&amp;IF(AND($AO929&lt;&gt;"",OR(AND(INDEX(職員マスタ!$G$6:$G$405,$AN929)&lt;&gt;"",INDEX(職員マスタ!$G$6:$G$405,$AN929)&gt;EOMONTH($AO929,0)),AND(INDEX(職員マスタ!$H$6:$H$405,$AN929)&lt;&gt;"",INDEX(職員マスタ!$H$6:$H$405,$AN929)&lt;$AO929))),"対象月が時短期間外／","")&amp;IF(AND(INDEX(職員マスタ!$F$6:$F$405,$AN929)&lt;&gt;"",$AO929&lt;&gt;"",INDEX(職員マスタ!$F$6:$F$405,$AN929)&lt;$AO929),"対象月に子が2歳到達済／","")&amp;IF(AND($H929&lt;&gt;"",INDEX(職員マスタ!$B$6:$B$405,$AN929)&lt;&gt;"",SUBSTITUTE(SUBSTITUTE($H929," ","")," ","")&lt;&gt;SUBSTITUTE(SUBSTITUTE(INDEX(職員マスタ!$B$6:$B$405,$AN929)," ","")," ","")),"氏名がマスタと相違／","")&amp;IF(AND($Q929&lt;&gt;"",INDEX(職員マスタ!$E$6:$E$405,$AN929)&lt;&gt;"",$Q929&lt;&gt;INDEX(職員マスタ!$E$6:$E$405,$AN929)),"子の生年月日がマスタと相違／","")&amp;IF(AND($L929&lt;&gt;"",INDEX(職員マスタ!$G$6:$G$405,$AN929)&lt;&gt;"",$L929&lt;&gt;INDEX(職員マスタ!$G$6:$G$405,$AN929)),"時短開始日がマスタと相違／","")&amp;IF(AND($M929&lt;&gt;"",INDEX(職員マスタ!$H$6:$H$405,$AN929)&lt;&gt;"",$M929&lt;&gt;INDEX(職員マスタ!$H$6:$H$405,$AN929)),"時短終了日がマスタと相違／","")))&amp;IF(AND($B929&lt;&gt;"",$E929=""),"報酬額が未入力／","")&amp;IF(N($U929)&gt;0,"申請書に入力エラーが残っています／","")&amp;IF(AND($B929&lt;&gt;"",$AO929&lt;&gt;""),IF(COUNTIFS($B$6:$B$3005,$B929,$C$6:$C$3005,$C929,$D$6:$D$3005,$D929)&gt;1,"同じ月の請求が重複しています／",""),"")&amp;IF(AND(N($E929)&gt;0,$Z929&lt;&gt;"",$Z929&lt;&gt;"×",$AC929=0,$AB929=""),"計算額が下限以下のため不支給／",""))</f>
        <v/>
      </c>
      <c r="AL929" s="12" t="n"/>
      <c r="AM929" s="14">
        <f>IF($AD929="保留中",COUNTIF($AD$6:$AD929,"保留中"),"")</f>
        <v/>
      </c>
      <c r="AN929" s="14">
        <f>IF($AO929="","",IF(SUMPRODUCT(MAX((職員マスタ!$A$6:$A$405=$B929)*(((職員マスタ!$G$6:$G$405="")+(職員マスタ!$G$6:$G$405&lt;=EOMONTH($AO929,0)))&gt;0)*(((職員マスタ!$H$6:$H$405="")+(職員マスタ!$H$6:$H$405&gt;=$AO929))&gt;0)*(ROW(職員マスタ!$A$6:$A$405)-5)))&gt;0,SUMPRODUCT(MAX((職員マスタ!$A$6:$A$405=$B929)*(((職員マスタ!$G$6:$G$405="")+(職員マスタ!$G$6:$G$405&lt;=EOMONTH($AO929,0)))&gt;0)*(((職員マスタ!$H$6:$H$405="")+(職員マスタ!$H$6:$H$405&gt;=$AO929))&gt;0)*(ROW(職員マスタ!$A$6:$A$405)-5))),IFERROR(MATCH($B929,職員マスタ!$A$6:$A$405,0),"")))</f>
        <v/>
      </c>
      <c r="AO929" s="16">
        <f>IF(OR($B929="",$C929="",$D929=""),"",DATE($C929+2018,$D929,1))</f>
        <v/>
      </c>
    </row>
    <row r="930">
      <c r="A930" s="11" t="n"/>
      <c r="B930" s="12" t="n"/>
      <c r="C930" s="12" t="n"/>
      <c r="D930" s="12" t="n"/>
      <c r="E930" s="13" t="n"/>
      <c r="F930" s="12" t="n"/>
      <c r="G930" s="13" t="n"/>
      <c r="H930" s="12" t="n"/>
      <c r="I930" s="12" t="n"/>
      <c r="J930" s="12" t="n"/>
      <c r="K930" s="12" t="n"/>
      <c r="L930" s="11" t="n"/>
      <c r="M930" s="11" t="n"/>
      <c r="N930" s="11" t="n"/>
      <c r="O930" s="11" t="n"/>
      <c r="P930" s="12" t="n"/>
      <c r="Q930" s="11" t="n"/>
      <c r="R930" s="12" t="n"/>
      <c r="S930" s="11" t="n"/>
      <c r="T930" s="12" t="n"/>
      <c r="U930" s="12" t="n"/>
      <c r="V930" s="14">
        <f>IF($AN930="",IF($B930="","",$H930),IF(INDEX(職員マスタ!$B$6:$B$405,$AN930)="",$H930,INDEX(職員マスタ!$B$6:$B$405,$AN930)))</f>
        <v/>
      </c>
      <c r="W930" s="14">
        <f>IF($AN930="",IF($B930="","",$R930),IF(INDEX(職員マスタ!$C$6:$C$405,$AN930)="",$R930,INDEX(職員マスタ!$C$6:$C$405,$AN930)))</f>
        <v/>
      </c>
      <c r="X930" s="14">
        <f>IF($AO930="","","R"&amp;$C930&amp;"."&amp;$D930)</f>
        <v/>
      </c>
      <c r="Y930" s="15">
        <f>IF($AN930="","",IF(INDEX(職員マスタ!$K$6:$K$405,$AN930)="","",INDEX(職員マスタ!$K$6:$K$405,$AN930)))</f>
        <v/>
      </c>
      <c r="Z930" s="14">
        <f>IF(OR($E930="",$Y930=""),"",IF($E930&gt;=$Y930,"×",IF($E930&gt;=$Y930*設定!$C$5,"△","○")))</f>
        <v/>
      </c>
      <c r="AA930" s="15">
        <f>IF($Z930="","",IF($Z930="×",0,IF($Z930="○",ROUNDDOWN($E930*設定!$C$4,0),ROUNDDOWN($E930*ROUND((9*$Y930-9*$E930)/(10*$E930),4),0))))</f>
        <v/>
      </c>
      <c r="AB930" s="13" t="n"/>
      <c r="AC930" s="15">
        <f>IF($B930="","",IF($AB930&lt;&gt;"",$AB930,IF($AA930="","",IF($AA930&lt;=設定!$C$3,0,$AA930))))</f>
        <v/>
      </c>
      <c r="AD930" s="14">
        <f>IF($B930="","",IF(AND($AE930&lt;&gt;"",$AG930="",$AJ930=""),"保留中",IF($AJ930&lt;&gt;"",IF(N($AC930)&gt;0,"支給済","不支給"),IF($AC930="","要確認",IF($AC930=0,"不支給","未処理")))))</f>
        <v/>
      </c>
      <c r="AE930" s="12" t="n"/>
      <c r="AF930" s="11" t="n"/>
      <c r="AG930" s="11" t="n"/>
      <c r="AH930" s="11" t="n"/>
      <c r="AI930" s="14">
        <f>IF(AND($AD930="保留中",$AF930&lt;&gt;""),TODAY()-$AF930,"")</f>
        <v/>
      </c>
      <c r="AJ930" s="12" t="n"/>
      <c r="AK930" s="14">
        <f>IF($B930="","",IF($AO930="","対象年月が未入力／","")&amp;IF($B930="","",IF($AN930="","職員マスタに未登録の職員番号／",IF($Y930="","標準報酬月額が未登録／","")&amp;IF(AND($AO930&lt;&gt;"",OR(AND(INDEX(職員マスタ!$G$6:$G$405,$AN930)&lt;&gt;"",INDEX(職員マスタ!$G$6:$G$405,$AN930)&gt;EOMONTH($AO930,0)),AND(INDEX(職員マスタ!$H$6:$H$405,$AN930)&lt;&gt;"",INDEX(職員マスタ!$H$6:$H$405,$AN930)&lt;$AO930))),"対象月が時短期間外／","")&amp;IF(AND(INDEX(職員マスタ!$F$6:$F$405,$AN930)&lt;&gt;"",$AO930&lt;&gt;"",INDEX(職員マスタ!$F$6:$F$405,$AN930)&lt;$AO930),"対象月に子が2歳到達済／","")&amp;IF(AND($H930&lt;&gt;"",INDEX(職員マスタ!$B$6:$B$405,$AN930)&lt;&gt;"",SUBSTITUTE(SUBSTITUTE($H930," ","")," ","")&lt;&gt;SUBSTITUTE(SUBSTITUTE(INDEX(職員マスタ!$B$6:$B$405,$AN930)," ","")," ","")),"氏名がマスタと相違／","")&amp;IF(AND($Q930&lt;&gt;"",INDEX(職員マスタ!$E$6:$E$405,$AN930)&lt;&gt;"",$Q930&lt;&gt;INDEX(職員マスタ!$E$6:$E$405,$AN930)),"子の生年月日がマスタと相違／","")&amp;IF(AND($L930&lt;&gt;"",INDEX(職員マスタ!$G$6:$G$405,$AN930)&lt;&gt;"",$L930&lt;&gt;INDEX(職員マスタ!$G$6:$G$405,$AN930)),"時短開始日がマスタと相違／","")&amp;IF(AND($M930&lt;&gt;"",INDEX(職員マスタ!$H$6:$H$405,$AN930)&lt;&gt;"",$M930&lt;&gt;INDEX(職員マスタ!$H$6:$H$405,$AN930)),"時短終了日がマスタと相違／","")))&amp;IF(AND($B930&lt;&gt;"",$E930=""),"報酬額が未入力／","")&amp;IF(N($U930)&gt;0,"申請書に入力エラーが残っています／","")&amp;IF(AND($B930&lt;&gt;"",$AO930&lt;&gt;""),IF(COUNTIFS($B$6:$B$3005,$B930,$C$6:$C$3005,$C930,$D$6:$D$3005,$D930)&gt;1,"同じ月の請求が重複しています／",""),"")&amp;IF(AND(N($E930)&gt;0,$Z930&lt;&gt;"",$Z930&lt;&gt;"×",$AC930=0,$AB930=""),"計算額が下限以下のため不支給／",""))</f>
        <v/>
      </c>
      <c r="AL930" s="12" t="n"/>
      <c r="AM930" s="14">
        <f>IF($AD930="保留中",COUNTIF($AD$6:$AD930,"保留中"),"")</f>
        <v/>
      </c>
      <c r="AN930" s="14">
        <f>IF($AO930="","",IF(SUMPRODUCT(MAX((職員マスタ!$A$6:$A$405=$B930)*(((職員マスタ!$G$6:$G$405="")+(職員マスタ!$G$6:$G$405&lt;=EOMONTH($AO930,0)))&gt;0)*(((職員マスタ!$H$6:$H$405="")+(職員マスタ!$H$6:$H$405&gt;=$AO930))&gt;0)*(ROW(職員マスタ!$A$6:$A$405)-5)))&gt;0,SUMPRODUCT(MAX((職員マスタ!$A$6:$A$405=$B930)*(((職員マスタ!$G$6:$G$405="")+(職員マスタ!$G$6:$G$405&lt;=EOMONTH($AO930,0)))&gt;0)*(((職員マスタ!$H$6:$H$405="")+(職員マスタ!$H$6:$H$405&gt;=$AO930))&gt;0)*(ROW(職員マスタ!$A$6:$A$405)-5))),IFERROR(MATCH($B930,職員マスタ!$A$6:$A$405,0),"")))</f>
        <v/>
      </c>
      <c r="AO930" s="16">
        <f>IF(OR($B930="",$C930="",$D930=""),"",DATE($C930+2018,$D930,1))</f>
        <v/>
      </c>
    </row>
    <row r="931">
      <c r="A931" s="11" t="n"/>
      <c r="B931" s="12" t="n"/>
      <c r="C931" s="12" t="n"/>
      <c r="D931" s="12" t="n"/>
      <c r="E931" s="13" t="n"/>
      <c r="F931" s="12" t="n"/>
      <c r="G931" s="13" t="n"/>
      <c r="H931" s="12" t="n"/>
      <c r="I931" s="12" t="n"/>
      <c r="J931" s="12" t="n"/>
      <c r="K931" s="12" t="n"/>
      <c r="L931" s="11" t="n"/>
      <c r="M931" s="11" t="n"/>
      <c r="N931" s="11" t="n"/>
      <c r="O931" s="11" t="n"/>
      <c r="P931" s="12" t="n"/>
      <c r="Q931" s="11" t="n"/>
      <c r="R931" s="12" t="n"/>
      <c r="S931" s="11" t="n"/>
      <c r="T931" s="12" t="n"/>
      <c r="U931" s="12" t="n"/>
      <c r="V931" s="14">
        <f>IF($AN931="",IF($B931="","",$H931),IF(INDEX(職員マスタ!$B$6:$B$405,$AN931)="",$H931,INDEX(職員マスタ!$B$6:$B$405,$AN931)))</f>
        <v/>
      </c>
      <c r="W931" s="14">
        <f>IF($AN931="",IF($B931="","",$R931),IF(INDEX(職員マスタ!$C$6:$C$405,$AN931)="",$R931,INDEX(職員マスタ!$C$6:$C$405,$AN931)))</f>
        <v/>
      </c>
      <c r="X931" s="14">
        <f>IF($AO931="","","R"&amp;$C931&amp;"."&amp;$D931)</f>
        <v/>
      </c>
      <c r="Y931" s="15">
        <f>IF($AN931="","",IF(INDEX(職員マスタ!$K$6:$K$405,$AN931)="","",INDEX(職員マスタ!$K$6:$K$405,$AN931)))</f>
        <v/>
      </c>
      <c r="Z931" s="14">
        <f>IF(OR($E931="",$Y931=""),"",IF($E931&gt;=$Y931,"×",IF($E931&gt;=$Y931*設定!$C$5,"△","○")))</f>
        <v/>
      </c>
      <c r="AA931" s="15">
        <f>IF($Z931="","",IF($Z931="×",0,IF($Z931="○",ROUNDDOWN($E931*設定!$C$4,0),ROUNDDOWN($E931*ROUND((9*$Y931-9*$E931)/(10*$E931),4),0))))</f>
        <v/>
      </c>
      <c r="AB931" s="13" t="n"/>
      <c r="AC931" s="15">
        <f>IF($B931="","",IF($AB931&lt;&gt;"",$AB931,IF($AA931="","",IF($AA931&lt;=設定!$C$3,0,$AA931))))</f>
        <v/>
      </c>
      <c r="AD931" s="14">
        <f>IF($B931="","",IF(AND($AE931&lt;&gt;"",$AG931="",$AJ931=""),"保留中",IF($AJ931&lt;&gt;"",IF(N($AC931)&gt;0,"支給済","不支給"),IF($AC931="","要確認",IF($AC931=0,"不支給","未処理")))))</f>
        <v/>
      </c>
      <c r="AE931" s="12" t="n"/>
      <c r="AF931" s="11" t="n"/>
      <c r="AG931" s="11" t="n"/>
      <c r="AH931" s="11" t="n"/>
      <c r="AI931" s="14">
        <f>IF(AND($AD931="保留中",$AF931&lt;&gt;""),TODAY()-$AF931,"")</f>
        <v/>
      </c>
      <c r="AJ931" s="12" t="n"/>
      <c r="AK931" s="14">
        <f>IF($B931="","",IF($AO931="","対象年月が未入力／","")&amp;IF($B931="","",IF($AN931="","職員マスタに未登録の職員番号／",IF($Y931="","標準報酬月額が未登録／","")&amp;IF(AND($AO931&lt;&gt;"",OR(AND(INDEX(職員マスタ!$G$6:$G$405,$AN931)&lt;&gt;"",INDEX(職員マスタ!$G$6:$G$405,$AN931)&gt;EOMONTH($AO931,0)),AND(INDEX(職員マスタ!$H$6:$H$405,$AN931)&lt;&gt;"",INDEX(職員マスタ!$H$6:$H$405,$AN931)&lt;$AO931))),"対象月が時短期間外／","")&amp;IF(AND(INDEX(職員マスタ!$F$6:$F$405,$AN931)&lt;&gt;"",$AO931&lt;&gt;"",INDEX(職員マスタ!$F$6:$F$405,$AN931)&lt;$AO931),"対象月に子が2歳到達済／","")&amp;IF(AND($H931&lt;&gt;"",INDEX(職員マスタ!$B$6:$B$405,$AN931)&lt;&gt;"",SUBSTITUTE(SUBSTITUTE($H931," ","")," ","")&lt;&gt;SUBSTITUTE(SUBSTITUTE(INDEX(職員マスタ!$B$6:$B$405,$AN931)," ","")," ","")),"氏名がマスタと相違／","")&amp;IF(AND($Q931&lt;&gt;"",INDEX(職員マスタ!$E$6:$E$405,$AN931)&lt;&gt;"",$Q931&lt;&gt;INDEX(職員マスタ!$E$6:$E$405,$AN931)),"子の生年月日がマスタと相違／","")&amp;IF(AND($L931&lt;&gt;"",INDEX(職員マスタ!$G$6:$G$405,$AN931)&lt;&gt;"",$L931&lt;&gt;INDEX(職員マスタ!$G$6:$G$405,$AN931)),"時短開始日がマスタと相違／","")&amp;IF(AND($M931&lt;&gt;"",INDEX(職員マスタ!$H$6:$H$405,$AN931)&lt;&gt;"",$M931&lt;&gt;INDEX(職員マスタ!$H$6:$H$405,$AN931)),"時短終了日がマスタと相違／","")))&amp;IF(AND($B931&lt;&gt;"",$E931=""),"報酬額が未入力／","")&amp;IF(N($U931)&gt;0,"申請書に入力エラーが残っています／","")&amp;IF(AND($B931&lt;&gt;"",$AO931&lt;&gt;""),IF(COUNTIFS($B$6:$B$3005,$B931,$C$6:$C$3005,$C931,$D$6:$D$3005,$D931)&gt;1,"同じ月の請求が重複しています／",""),"")&amp;IF(AND(N($E931)&gt;0,$Z931&lt;&gt;"",$Z931&lt;&gt;"×",$AC931=0,$AB931=""),"計算額が下限以下のため不支給／",""))</f>
        <v/>
      </c>
      <c r="AL931" s="12" t="n"/>
      <c r="AM931" s="14">
        <f>IF($AD931="保留中",COUNTIF($AD$6:$AD931,"保留中"),"")</f>
        <v/>
      </c>
      <c r="AN931" s="14">
        <f>IF($AO931="","",IF(SUMPRODUCT(MAX((職員マスタ!$A$6:$A$405=$B931)*(((職員マスタ!$G$6:$G$405="")+(職員マスタ!$G$6:$G$405&lt;=EOMONTH($AO931,0)))&gt;0)*(((職員マスタ!$H$6:$H$405="")+(職員マスタ!$H$6:$H$405&gt;=$AO931))&gt;0)*(ROW(職員マスタ!$A$6:$A$405)-5)))&gt;0,SUMPRODUCT(MAX((職員マスタ!$A$6:$A$405=$B931)*(((職員マスタ!$G$6:$G$405="")+(職員マスタ!$G$6:$G$405&lt;=EOMONTH($AO931,0)))&gt;0)*(((職員マスタ!$H$6:$H$405="")+(職員マスタ!$H$6:$H$405&gt;=$AO931))&gt;0)*(ROW(職員マスタ!$A$6:$A$405)-5))),IFERROR(MATCH($B931,職員マスタ!$A$6:$A$405,0),"")))</f>
        <v/>
      </c>
      <c r="AO931" s="16">
        <f>IF(OR($B931="",$C931="",$D931=""),"",DATE($C931+2018,$D931,1))</f>
        <v/>
      </c>
    </row>
    <row r="932">
      <c r="A932" s="11" t="n"/>
      <c r="B932" s="12" t="n"/>
      <c r="C932" s="12" t="n"/>
      <c r="D932" s="12" t="n"/>
      <c r="E932" s="13" t="n"/>
      <c r="F932" s="12" t="n"/>
      <c r="G932" s="13" t="n"/>
      <c r="H932" s="12" t="n"/>
      <c r="I932" s="12" t="n"/>
      <c r="J932" s="12" t="n"/>
      <c r="K932" s="12" t="n"/>
      <c r="L932" s="11" t="n"/>
      <c r="M932" s="11" t="n"/>
      <c r="N932" s="11" t="n"/>
      <c r="O932" s="11" t="n"/>
      <c r="P932" s="12" t="n"/>
      <c r="Q932" s="11" t="n"/>
      <c r="R932" s="12" t="n"/>
      <c r="S932" s="11" t="n"/>
      <c r="T932" s="12" t="n"/>
      <c r="U932" s="12" t="n"/>
      <c r="V932" s="14">
        <f>IF($AN932="",IF($B932="","",$H932),IF(INDEX(職員マスタ!$B$6:$B$405,$AN932)="",$H932,INDEX(職員マスタ!$B$6:$B$405,$AN932)))</f>
        <v/>
      </c>
      <c r="W932" s="14">
        <f>IF($AN932="",IF($B932="","",$R932),IF(INDEX(職員マスタ!$C$6:$C$405,$AN932)="",$R932,INDEX(職員マスタ!$C$6:$C$405,$AN932)))</f>
        <v/>
      </c>
      <c r="X932" s="14">
        <f>IF($AO932="","","R"&amp;$C932&amp;"."&amp;$D932)</f>
        <v/>
      </c>
      <c r="Y932" s="15">
        <f>IF($AN932="","",IF(INDEX(職員マスタ!$K$6:$K$405,$AN932)="","",INDEX(職員マスタ!$K$6:$K$405,$AN932)))</f>
        <v/>
      </c>
      <c r="Z932" s="14">
        <f>IF(OR($E932="",$Y932=""),"",IF($E932&gt;=$Y932,"×",IF($E932&gt;=$Y932*設定!$C$5,"△","○")))</f>
        <v/>
      </c>
      <c r="AA932" s="15">
        <f>IF($Z932="","",IF($Z932="×",0,IF($Z932="○",ROUNDDOWN($E932*設定!$C$4,0),ROUNDDOWN($E932*ROUND((9*$Y932-9*$E932)/(10*$E932),4),0))))</f>
        <v/>
      </c>
      <c r="AB932" s="13" t="n"/>
      <c r="AC932" s="15">
        <f>IF($B932="","",IF($AB932&lt;&gt;"",$AB932,IF($AA932="","",IF($AA932&lt;=設定!$C$3,0,$AA932))))</f>
        <v/>
      </c>
      <c r="AD932" s="14">
        <f>IF($B932="","",IF(AND($AE932&lt;&gt;"",$AG932="",$AJ932=""),"保留中",IF($AJ932&lt;&gt;"",IF(N($AC932)&gt;0,"支給済","不支給"),IF($AC932="","要確認",IF($AC932=0,"不支給","未処理")))))</f>
        <v/>
      </c>
      <c r="AE932" s="12" t="n"/>
      <c r="AF932" s="11" t="n"/>
      <c r="AG932" s="11" t="n"/>
      <c r="AH932" s="11" t="n"/>
      <c r="AI932" s="14">
        <f>IF(AND($AD932="保留中",$AF932&lt;&gt;""),TODAY()-$AF932,"")</f>
        <v/>
      </c>
      <c r="AJ932" s="12" t="n"/>
      <c r="AK932" s="14">
        <f>IF($B932="","",IF($AO932="","対象年月が未入力／","")&amp;IF($B932="","",IF($AN932="","職員マスタに未登録の職員番号／",IF($Y932="","標準報酬月額が未登録／","")&amp;IF(AND($AO932&lt;&gt;"",OR(AND(INDEX(職員マスタ!$G$6:$G$405,$AN932)&lt;&gt;"",INDEX(職員マスタ!$G$6:$G$405,$AN932)&gt;EOMONTH($AO932,0)),AND(INDEX(職員マスタ!$H$6:$H$405,$AN932)&lt;&gt;"",INDEX(職員マスタ!$H$6:$H$405,$AN932)&lt;$AO932))),"対象月が時短期間外／","")&amp;IF(AND(INDEX(職員マスタ!$F$6:$F$405,$AN932)&lt;&gt;"",$AO932&lt;&gt;"",INDEX(職員マスタ!$F$6:$F$405,$AN932)&lt;$AO932),"対象月に子が2歳到達済／","")&amp;IF(AND($H932&lt;&gt;"",INDEX(職員マスタ!$B$6:$B$405,$AN932)&lt;&gt;"",SUBSTITUTE(SUBSTITUTE($H932," ","")," ","")&lt;&gt;SUBSTITUTE(SUBSTITUTE(INDEX(職員マスタ!$B$6:$B$405,$AN932)," ","")," ","")),"氏名がマスタと相違／","")&amp;IF(AND($Q932&lt;&gt;"",INDEX(職員マスタ!$E$6:$E$405,$AN932)&lt;&gt;"",$Q932&lt;&gt;INDEX(職員マスタ!$E$6:$E$405,$AN932)),"子の生年月日がマスタと相違／","")&amp;IF(AND($L932&lt;&gt;"",INDEX(職員マスタ!$G$6:$G$405,$AN932)&lt;&gt;"",$L932&lt;&gt;INDEX(職員マスタ!$G$6:$G$405,$AN932)),"時短開始日がマスタと相違／","")&amp;IF(AND($M932&lt;&gt;"",INDEX(職員マスタ!$H$6:$H$405,$AN932)&lt;&gt;"",$M932&lt;&gt;INDEX(職員マスタ!$H$6:$H$405,$AN932)),"時短終了日がマスタと相違／","")))&amp;IF(AND($B932&lt;&gt;"",$E932=""),"報酬額が未入力／","")&amp;IF(N($U932)&gt;0,"申請書に入力エラーが残っています／","")&amp;IF(AND($B932&lt;&gt;"",$AO932&lt;&gt;""),IF(COUNTIFS($B$6:$B$3005,$B932,$C$6:$C$3005,$C932,$D$6:$D$3005,$D932)&gt;1,"同じ月の請求が重複しています／",""),"")&amp;IF(AND(N($E932)&gt;0,$Z932&lt;&gt;"",$Z932&lt;&gt;"×",$AC932=0,$AB932=""),"計算額が下限以下のため不支給／",""))</f>
        <v/>
      </c>
      <c r="AL932" s="12" t="n"/>
      <c r="AM932" s="14">
        <f>IF($AD932="保留中",COUNTIF($AD$6:$AD932,"保留中"),"")</f>
        <v/>
      </c>
      <c r="AN932" s="14">
        <f>IF($AO932="","",IF(SUMPRODUCT(MAX((職員マスタ!$A$6:$A$405=$B932)*(((職員マスタ!$G$6:$G$405="")+(職員マスタ!$G$6:$G$405&lt;=EOMONTH($AO932,0)))&gt;0)*(((職員マスタ!$H$6:$H$405="")+(職員マスタ!$H$6:$H$405&gt;=$AO932))&gt;0)*(ROW(職員マスタ!$A$6:$A$405)-5)))&gt;0,SUMPRODUCT(MAX((職員マスタ!$A$6:$A$405=$B932)*(((職員マスタ!$G$6:$G$405="")+(職員マスタ!$G$6:$G$405&lt;=EOMONTH($AO932,0)))&gt;0)*(((職員マスタ!$H$6:$H$405="")+(職員マスタ!$H$6:$H$405&gt;=$AO932))&gt;0)*(ROW(職員マスタ!$A$6:$A$405)-5))),IFERROR(MATCH($B932,職員マスタ!$A$6:$A$405,0),"")))</f>
        <v/>
      </c>
      <c r="AO932" s="16">
        <f>IF(OR($B932="",$C932="",$D932=""),"",DATE($C932+2018,$D932,1))</f>
        <v/>
      </c>
    </row>
    <row r="933">
      <c r="A933" s="11" t="n"/>
      <c r="B933" s="12" t="n"/>
      <c r="C933" s="12" t="n"/>
      <c r="D933" s="12" t="n"/>
      <c r="E933" s="13" t="n"/>
      <c r="F933" s="12" t="n"/>
      <c r="G933" s="13" t="n"/>
      <c r="H933" s="12" t="n"/>
      <c r="I933" s="12" t="n"/>
      <c r="J933" s="12" t="n"/>
      <c r="K933" s="12" t="n"/>
      <c r="L933" s="11" t="n"/>
      <c r="M933" s="11" t="n"/>
      <c r="N933" s="11" t="n"/>
      <c r="O933" s="11" t="n"/>
      <c r="P933" s="12" t="n"/>
      <c r="Q933" s="11" t="n"/>
      <c r="R933" s="12" t="n"/>
      <c r="S933" s="11" t="n"/>
      <c r="T933" s="12" t="n"/>
      <c r="U933" s="12" t="n"/>
      <c r="V933" s="14">
        <f>IF($AN933="",IF($B933="","",$H933),IF(INDEX(職員マスタ!$B$6:$B$405,$AN933)="",$H933,INDEX(職員マスタ!$B$6:$B$405,$AN933)))</f>
        <v/>
      </c>
      <c r="W933" s="14">
        <f>IF($AN933="",IF($B933="","",$R933),IF(INDEX(職員マスタ!$C$6:$C$405,$AN933)="",$R933,INDEX(職員マスタ!$C$6:$C$405,$AN933)))</f>
        <v/>
      </c>
      <c r="X933" s="14">
        <f>IF($AO933="","","R"&amp;$C933&amp;"."&amp;$D933)</f>
        <v/>
      </c>
      <c r="Y933" s="15">
        <f>IF($AN933="","",IF(INDEX(職員マスタ!$K$6:$K$405,$AN933)="","",INDEX(職員マスタ!$K$6:$K$405,$AN933)))</f>
        <v/>
      </c>
      <c r="Z933" s="14">
        <f>IF(OR($E933="",$Y933=""),"",IF($E933&gt;=$Y933,"×",IF($E933&gt;=$Y933*設定!$C$5,"△","○")))</f>
        <v/>
      </c>
      <c r="AA933" s="15">
        <f>IF($Z933="","",IF($Z933="×",0,IF($Z933="○",ROUNDDOWN($E933*設定!$C$4,0),ROUNDDOWN($E933*ROUND((9*$Y933-9*$E933)/(10*$E933),4),0))))</f>
        <v/>
      </c>
      <c r="AB933" s="13" t="n"/>
      <c r="AC933" s="15">
        <f>IF($B933="","",IF($AB933&lt;&gt;"",$AB933,IF($AA933="","",IF($AA933&lt;=設定!$C$3,0,$AA933))))</f>
        <v/>
      </c>
      <c r="AD933" s="14">
        <f>IF($B933="","",IF(AND($AE933&lt;&gt;"",$AG933="",$AJ933=""),"保留中",IF($AJ933&lt;&gt;"",IF(N($AC933)&gt;0,"支給済","不支給"),IF($AC933="","要確認",IF($AC933=0,"不支給","未処理")))))</f>
        <v/>
      </c>
      <c r="AE933" s="12" t="n"/>
      <c r="AF933" s="11" t="n"/>
      <c r="AG933" s="11" t="n"/>
      <c r="AH933" s="11" t="n"/>
      <c r="AI933" s="14">
        <f>IF(AND($AD933="保留中",$AF933&lt;&gt;""),TODAY()-$AF933,"")</f>
        <v/>
      </c>
      <c r="AJ933" s="12" t="n"/>
      <c r="AK933" s="14">
        <f>IF($B933="","",IF($AO933="","対象年月が未入力／","")&amp;IF($B933="","",IF($AN933="","職員マスタに未登録の職員番号／",IF($Y933="","標準報酬月額が未登録／","")&amp;IF(AND($AO933&lt;&gt;"",OR(AND(INDEX(職員マスタ!$G$6:$G$405,$AN933)&lt;&gt;"",INDEX(職員マスタ!$G$6:$G$405,$AN933)&gt;EOMONTH($AO933,0)),AND(INDEX(職員マスタ!$H$6:$H$405,$AN933)&lt;&gt;"",INDEX(職員マスタ!$H$6:$H$405,$AN933)&lt;$AO933))),"対象月が時短期間外／","")&amp;IF(AND(INDEX(職員マスタ!$F$6:$F$405,$AN933)&lt;&gt;"",$AO933&lt;&gt;"",INDEX(職員マスタ!$F$6:$F$405,$AN933)&lt;$AO933),"対象月に子が2歳到達済／","")&amp;IF(AND($H933&lt;&gt;"",INDEX(職員マスタ!$B$6:$B$405,$AN933)&lt;&gt;"",SUBSTITUTE(SUBSTITUTE($H933," ","")," ","")&lt;&gt;SUBSTITUTE(SUBSTITUTE(INDEX(職員マスタ!$B$6:$B$405,$AN933)," ","")," ","")),"氏名がマスタと相違／","")&amp;IF(AND($Q933&lt;&gt;"",INDEX(職員マスタ!$E$6:$E$405,$AN933)&lt;&gt;"",$Q933&lt;&gt;INDEX(職員マスタ!$E$6:$E$405,$AN933)),"子の生年月日がマスタと相違／","")&amp;IF(AND($L933&lt;&gt;"",INDEX(職員マスタ!$G$6:$G$405,$AN933)&lt;&gt;"",$L933&lt;&gt;INDEX(職員マスタ!$G$6:$G$405,$AN933)),"時短開始日がマスタと相違／","")&amp;IF(AND($M933&lt;&gt;"",INDEX(職員マスタ!$H$6:$H$405,$AN933)&lt;&gt;"",$M933&lt;&gt;INDEX(職員マスタ!$H$6:$H$405,$AN933)),"時短終了日がマスタと相違／","")))&amp;IF(AND($B933&lt;&gt;"",$E933=""),"報酬額が未入力／","")&amp;IF(N($U933)&gt;0,"申請書に入力エラーが残っています／","")&amp;IF(AND($B933&lt;&gt;"",$AO933&lt;&gt;""),IF(COUNTIFS($B$6:$B$3005,$B933,$C$6:$C$3005,$C933,$D$6:$D$3005,$D933)&gt;1,"同じ月の請求が重複しています／",""),"")&amp;IF(AND(N($E933)&gt;0,$Z933&lt;&gt;"",$Z933&lt;&gt;"×",$AC933=0,$AB933=""),"計算額が下限以下のため不支給／",""))</f>
        <v/>
      </c>
      <c r="AL933" s="12" t="n"/>
      <c r="AM933" s="14">
        <f>IF($AD933="保留中",COUNTIF($AD$6:$AD933,"保留中"),"")</f>
        <v/>
      </c>
      <c r="AN933" s="14">
        <f>IF($AO933="","",IF(SUMPRODUCT(MAX((職員マスタ!$A$6:$A$405=$B933)*(((職員マスタ!$G$6:$G$405="")+(職員マスタ!$G$6:$G$405&lt;=EOMONTH($AO933,0)))&gt;0)*(((職員マスタ!$H$6:$H$405="")+(職員マスタ!$H$6:$H$405&gt;=$AO933))&gt;0)*(ROW(職員マスタ!$A$6:$A$405)-5)))&gt;0,SUMPRODUCT(MAX((職員マスタ!$A$6:$A$405=$B933)*(((職員マスタ!$G$6:$G$405="")+(職員マスタ!$G$6:$G$405&lt;=EOMONTH($AO933,0)))&gt;0)*(((職員マスタ!$H$6:$H$405="")+(職員マスタ!$H$6:$H$405&gt;=$AO933))&gt;0)*(ROW(職員マスタ!$A$6:$A$405)-5))),IFERROR(MATCH($B933,職員マスタ!$A$6:$A$405,0),"")))</f>
        <v/>
      </c>
      <c r="AO933" s="16">
        <f>IF(OR($B933="",$C933="",$D933=""),"",DATE($C933+2018,$D933,1))</f>
        <v/>
      </c>
    </row>
    <row r="934">
      <c r="A934" s="11" t="n"/>
      <c r="B934" s="12" t="n"/>
      <c r="C934" s="12" t="n"/>
      <c r="D934" s="12" t="n"/>
      <c r="E934" s="13" t="n"/>
      <c r="F934" s="12" t="n"/>
      <c r="G934" s="13" t="n"/>
      <c r="H934" s="12" t="n"/>
      <c r="I934" s="12" t="n"/>
      <c r="J934" s="12" t="n"/>
      <c r="K934" s="12" t="n"/>
      <c r="L934" s="11" t="n"/>
      <c r="M934" s="11" t="n"/>
      <c r="N934" s="11" t="n"/>
      <c r="O934" s="11" t="n"/>
      <c r="P934" s="12" t="n"/>
      <c r="Q934" s="11" t="n"/>
      <c r="R934" s="12" t="n"/>
      <c r="S934" s="11" t="n"/>
      <c r="T934" s="12" t="n"/>
      <c r="U934" s="12" t="n"/>
      <c r="V934" s="14">
        <f>IF($AN934="",IF($B934="","",$H934),IF(INDEX(職員マスタ!$B$6:$B$405,$AN934)="",$H934,INDEX(職員マスタ!$B$6:$B$405,$AN934)))</f>
        <v/>
      </c>
      <c r="W934" s="14">
        <f>IF($AN934="",IF($B934="","",$R934),IF(INDEX(職員マスタ!$C$6:$C$405,$AN934)="",$R934,INDEX(職員マスタ!$C$6:$C$405,$AN934)))</f>
        <v/>
      </c>
      <c r="X934" s="14">
        <f>IF($AO934="","","R"&amp;$C934&amp;"."&amp;$D934)</f>
        <v/>
      </c>
      <c r="Y934" s="15">
        <f>IF($AN934="","",IF(INDEX(職員マスタ!$K$6:$K$405,$AN934)="","",INDEX(職員マスタ!$K$6:$K$405,$AN934)))</f>
        <v/>
      </c>
      <c r="Z934" s="14">
        <f>IF(OR($E934="",$Y934=""),"",IF($E934&gt;=$Y934,"×",IF($E934&gt;=$Y934*設定!$C$5,"△","○")))</f>
        <v/>
      </c>
      <c r="AA934" s="15">
        <f>IF($Z934="","",IF($Z934="×",0,IF($Z934="○",ROUNDDOWN($E934*設定!$C$4,0),ROUNDDOWN($E934*ROUND((9*$Y934-9*$E934)/(10*$E934),4),0))))</f>
        <v/>
      </c>
      <c r="AB934" s="13" t="n"/>
      <c r="AC934" s="15">
        <f>IF($B934="","",IF($AB934&lt;&gt;"",$AB934,IF($AA934="","",IF($AA934&lt;=設定!$C$3,0,$AA934))))</f>
        <v/>
      </c>
      <c r="AD934" s="14">
        <f>IF($B934="","",IF(AND($AE934&lt;&gt;"",$AG934="",$AJ934=""),"保留中",IF($AJ934&lt;&gt;"",IF(N($AC934)&gt;0,"支給済","不支給"),IF($AC934="","要確認",IF($AC934=0,"不支給","未処理")))))</f>
        <v/>
      </c>
      <c r="AE934" s="12" t="n"/>
      <c r="AF934" s="11" t="n"/>
      <c r="AG934" s="11" t="n"/>
      <c r="AH934" s="11" t="n"/>
      <c r="AI934" s="14">
        <f>IF(AND($AD934="保留中",$AF934&lt;&gt;""),TODAY()-$AF934,"")</f>
        <v/>
      </c>
      <c r="AJ934" s="12" t="n"/>
      <c r="AK934" s="14">
        <f>IF($B934="","",IF($AO934="","対象年月が未入力／","")&amp;IF($B934="","",IF($AN934="","職員マスタに未登録の職員番号／",IF($Y934="","標準報酬月額が未登録／","")&amp;IF(AND($AO934&lt;&gt;"",OR(AND(INDEX(職員マスタ!$G$6:$G$405,$AN934)&lt;&gt;"",INDEX(職員マスタ!$G$6:$G$405,$AN934)&gt;EOMONTH($AO934,0)),AND(INDEX(職員マスタ!$H$6:$H$405,$AN934)&lt;&gt;"",INDEX(職員マスタ!$H$6:$H$405,$AN934)&lt;$AO934))),"対象月が時短期間外／","")&amp;IF(AND(INDEX(職員マスタ!$F$6:$F$405,$AN934)&lt;&gt;"",$AO934&lt;&gt;"",INDEX(職員マスタ!$F$6:$F$405,$AN934)&lt;$AO934),"対象月に子が2歳到達済／","")&amp;IF(AND($H934&lt;&gt;"",INDEX(職員マスタ!$B$6:$B$405,$AN934)&lt;&gt;"",SUBSTITUTE(SUBSTITUTE($H934," ","")," ","")&lt;&gt;SUBSTITUTE(SUBSTITUTE(INDEX(職員マスタ!$B$6:$B$405,$AN934)," ","")," ","")),"氏名がマスタと相違／","")&amp;IF(AND($Q934&lt;&gt;"",INDEX(職員マスタ!$E$6:$E$405,$AN934)&lt;&gt;"",$Q934&lt;&gt;INDEX(職員マスタ!$E$6:$E$405,$AN934)),"子の生年月日がマスタと相違／","")&amp;IF(AND($L934&lt;&gt;"",INDEX(職員マスタ!$G$6:$G$405,$AN934)&lt;&gt;"",$L934&lt;&gt;INDEX(職員マスタ!$G$6:$G$405,$AN934)),"時短開始日がマスタと相違／","")&amp;IF(AND($M934&lt;&gt;"",INDEX(職員マスタ!$H$6:$H$405,$AN934)&lt;&gt;"",$M934&lt;&gt;INDEX(職員マスタ!$H$6:$H$405,$AN934)),"時短終了日がマスタと相違／","")))&amp;IF(AND($B934&lt;&gt;"",$E934=""),"報酬額が未入力／","")&amp;IF(N($U934)&gt;0,"申請書に入力エラーが残っています／","")&amp;IF(AND($B934&lt;&gt;"",$AO934&lt;&gt;""),IF(COUNTIFS($B$6:$B$3005,$B934,$C$6:$C$3005,$C934,$D$6:$D$3005,$D934)&gt;1,"同じ月の請求が重複しています／",""),"")&amp;IF(AND(N($E934)&gt;0,$Z934&lt;&gt;"",$Z934&lt;&gt;"×",$AC934=0,$AB934=""),"計算額が下限以下のため不支給／",""))</f>
        <v/>
      </c>
      <c r="AL934" s="12" t="n"/>
      <c r="AM934" s="14">
        <f>IF($AD934="保留中",COUNTIF($AD$6:$AD934,"保留中"),"")</f>
        <v/>
      </c>
      <c r="AN934" s="14">
        <f>IF($AO934="","",IF(SUMPRODUCT(MAX((職員マスタ!$A$6:$A$405=$B934)*(((職員マスタ!$G$6:$G$405="")+(職員マスタ!$G$6:$G$405&lt;=EOMONTH($AO934,0)))&gt;0)*(((職員マスタ!$H$6:$H$405="")+(職員マスタ!$H$6:$H$405&gt;=$AO934))&gt;0)*(ROW(職員マスタ!$A$6:$A$405)-5)))&gt;0,SUMPRODUCT(MAX((職員マスタ!$A$6:$A$405=$B934)*(((職員マスタ!$G$6:$G$405="")+(職員マスタ!$G$6:$G$405&lt;=EOMONTH($AO934,0)))&gt;0)*(((職員マスタ!$H$6:$H$405="")+(職員マスタ!$H$6:$H$405&gt;=$AO934))&gt;0)*(ROW(職員マスタ!$A$6:$A$405)-5))),IFERROR(MATCH($B934,職員マスタ!$A$6:$A$405,0),"")))</f>
        <v/>
      </c>
      <c r="AO934" s="16">
        <f>IF(OR($B934="",$C934="",$D934=""),"",DATE($C934+2018,$D934,1))</f>
        <v/>
      </c>
    </row>
    <row r="935">
      <c r="A935" s="11" t="n"/>
      <c r="B935" s="12" t="n"/>
      <c r="C935" s="12" t="n"/>
      <c r="D935" s="12" t="n"/>
      <c r="E935" s="13" t="n"/>
      <c r="F935" s="12" t="n"/>
      <c r="G935" s="13" t="n"/>
      <c r="H935" s="12" t="n"/>
      <c r="I935" s="12" t="n"/>
      <c r="J935" s="12" t="n"/>
      <c r="K935" s="12" t="n"/>
      <c r="L935" s="11" t="n"/>
      <c r="M935" s="11" t="n"/>
      <c r="N935" s="11" t="n"/>
      <c r="O935" s="11" t="n"/>
      <c r="P935" s="12" t="n"/>
      <c r="Q935" s="11" t="n"/>
      <c r="R935" s="12" t="n"/>
      <c r="S935" s="11" t="n"/>
      <c r="T935" s="12" t="n"/>
      <c r="U935" s="12" t="n"/>
      <c r="V935" s="14">
        <f>IF($AN935="",IF($B935="","",$H935),IF(INDEX(職員マスタ!$B$6:$B$405,$AN935)="",$H935,INDEX(職員マスタ!$B$6:$B$405,$AN935)))</f>
        <v/>
      </c>
      <c r="W935" s="14">
        <f>IF($AN935="",IF($B935="","",$R935),IF(INDEX(職員マスタ!$C$6:$C$405,$AN935)="",$R935,INDEX(職員マスタ!$C$6:$C$405,$AN935)))</f>
        <v/>
      </c>
      <c r="X935" s="14">
        <f>IF($AO935="","","R"&amp;$C935&amp;"."&amp;$D935)</f>
        <v/>
      </c>
      <c r="Y935" s="15">
        <f>IF($AN935="","",IF(INDEX(職員マスタ!$K$6:$K$405,$AN935)="","",INDEX(職員マスタ!$K$6:$K$405,$AN935)))</f>
        <v/>
      </c>
      <c r="Z935" s="14">
        <f>IF(OR($E935="",$Y935=""),"",IF($E935&gt;=$Y935,"×",IF($E935&gt;=$Y935*設定!$C$5,"△","○")))</f>
        <v/>
      </c>
      <c r="AA935" s="15">
        <f>IF($Z935="","",IF($Z935="×",0,IF($Z935="○",ROUNDDOWN($E935*設定!$C$4,0),ROUNDDOWN($E935*ROUND((9*$Y935-9*$E935)/(10*$E935),4),0))))</f>
        <v/>
      </c>
      <c r="AB935" s="13" t="n"/>
      <c r="AC935" s="15">
        <f>IF($B935="","",IF($AB935&lt;&gt;"",$AB935,IF($AA935="","",IF($AA935&lt;=設定!$C$3,0,$AA935))))</f>
        <v/>
      </c>
      <c r="AD935" s="14">
        <f>IF($B935="","",IF(AND($AE935&lt;&gt;"",$AG935="",$AJ935=""),"保留中",IF($AJ935&lt;&gt;"",IF(N($AC935)&gt;0,"支給済","不支給"),IF($AC935="","要確認",IF($AC935=0,"不支給","未処理")))))</f>
        <v/>
      </c>
      <c r="AE935" s="12" t="n"/>
      <c r="AF935" s="11" t="n"/>
      <c r="AG935" s="11" t="n"/>
      <c r="AH935" s="11" t="n"/>
      <c r="AI935" s="14">
        <f>IF(AND($AD935="保留中",$AF935&lt;&gt;""),TODAY()-$AF935,"")</f>
        <v/>
      </c>
      <c r="AJ935" s="12" t="n"/>
      <c r="AK935" s="14">
        <f>IF($B935="","",IF($AO935="","対象年月が未入力／","")&amp;IF($B935="","",IF($AN935="","職員マスタに未登録の職員番号／",IF($Y935="","標準報酬月額が未登録／","")&amp;IF(AND($AO935&lt;&gt;"",OR(AND(INDEX(職員マスタ!$G$6:$G$405,$AN935)&lt;&gt;"",INDEX(職員マスタ!$G$6:$G$405,$AN935)&gt;EOMONTH($AO935,0)),AND(INDEX(職員マスタ!$H$6:$H$405,$AN935)&lt;&gt;"",INDEX(職員マスタ!$H$6:$H$405,$AN935)&lt;$AO935))),"対象月が時短期間外／","")&amp;IF(AND(INDEX(職員マスタ!$F$6:$F$405,$AN935)&lt;&gt;"",$AO935&lt;&gt;"",INDEX(職員マスタ!$F$6:$F$405,$AN935)&lt;$AO935),"対象月に子が2歳到達済／","")&amp;IF(AND($H935&lt;&gt;"",INDEX(職員マスタ!$B$6:$B$405,$AN935)&lt;&gt;"",SUBSTITUTE(SUBSTITUTE($H935," ","")," ","")&lt;&gt;SUBSTITUTE(SUBSTITUTE(INDEX(職員マスタ!$B$6:$B$405,$AN935)," ","")," ","")),"氏名がマスタと相違／","")&amp;IF(AND($Q935&lt;&gt;"",INDEX(職員マスタ!$E$6:$E$405,$AN935)&lt;&gt;"",$Q935&lt;&gt;INDEX(職員マスタ!$E$6:$E$405,$AN935)),"子の生年月日がマスタと相違／","")&amp;IF(AND($L935&lt;&gt;"",INDEX(職員マスタ!$G$6:$G$405,$AN935)&lt;&gt;"",$L935&lt;&gt;INDEX(職員マスタ!$G$6:$G$405,$AN935)),"時短開始日がマスタと相違／","")&amp;IF(AND($M935&lt;&gt;"",INDEX(職員マスタ!$H$6:$H$405,$AN935)&lt;&gt;"",$M935&lt;&gt;INDEX(職員マスタ!$H$6:$H$405,$AN935)),"時短終了日がマスタと相違／","")))&amp;IF(AND($B935&lt;&gt;"",$E935=""),"報酬額が未入力／","")&amp;IF(N($U935)&gt;0,"申請書に入力エラーが残っています／","")&amp;IF(AND($B935&lt;&gt;"",$AO935&lt;&gt;""),IF(COUNTIFS($B$6:$B$3005,$B935,$C$6:$C$3005,$C935,$D$6:$D$3005,$D935)&gt;1,"同じ月の請求が重複しています／",""),"")&amp;IF(AND(N($E935)&gt;0,$Z935&lt;&gt;"",$Z935&lt;&gt;"×",$AC935=0,$AB935=""),"計算額が下限以下のため不支給／",""))</f>
        <v/>
      </c>
      <c r="AL935" s="12" t="n"/>
      <c r="AM935" s="14">
        <f>IF($AD935="保留中",COUNTIF($AD$6:$AD935,"保留中"),"")</f>
        <v/>
      </c>
      <c r="AN935" s="14">
        <f>IF($AO935="","",IF(SUMPRODUCT(MAX((職員マスタ!$A$6:$A$405=$B935)*(((職員マスタ!$G$6:$G$405="")+(職員マスタ!$G$6:$G$405&lt;=EOMONTH($AO935,0)))&gt;0)*(((職員マスタ!$H$6:$H$405="")+(職員マスタ!$H$6:$H$405&gt;=$AO935))&gt;0)*(ROW(職員マスタ!$A$6:$A$405)-5)))&gt;0,SUMPRODUCT(MAX((職員マスタ!$A$6:$A$405=$B935)*(((職員マスタ!$G$6:$G$405="")+(職員マスタ!$G$6:$G$405&lt;=EOMONTH($AO935,0)))&gt;0)*(((職員マスタ!$H$6:$H$405="")+(職員マスタ!$H$6:$H$405&gt;=$AO935))&gt;0)*(ROW(職員マスタ!$A$6:$A$405)-5))),IFERROR(MATCH($B935,職員マスタ!$A$6:$A$405,0),"")))</f>
        <v/>
      </c>
      <c r="AO935" s="16">
        <f>IF(OR($B935="",$C935="",$D935=""),"",DATE($C935+2018,$D935,1))</f>
        <v/>
      </c>
    </row>
    <row r="936">
      <c r="A936" s="11" t="n"/>
      <c r="B936" s="12" t="n"/>
      <c r="C936" s="12" t="n"/>
      <c r="D936" s="12" t="n"/>
      <c r="E936" s="13" t="n"/>
      <c r="F936" s="12" t="n"/>
      <c r="G936" s="13" t="n"/>
      <c r="H936" s="12" t="n"/>
      <c r="I936" s="12" t="n"/>
      <c r="J936" s="12" t="n"/>
      <c r="K936" s="12" t="n"/>
      <c r="L936" s="11" t="n"/>
      <c r="M936" s="11" t="n"/>
      <c r="N936" s="11" t="n"/>
      <c r="O936" s="11" t="n"/>
      <c r="P936" s="12" t="n"/>
      <c r="Q936" s="11" t="n"/>
      <c r="R936" s="12" t="n"/>
      <c r="S936" s="11" t="n"/>
      <c r="T936" s="12" t="n"/>
      <c r="U936" s="12" t="n"/>
      <c r="V936" s="14">
        <f>IF($AN936="",IF($B936="","",$H936),IF(INDEX(職員マスタ!$B$6:$B$405,$AN936)="",$H936,INDEX(職員マスタ!$B$6:$B$405,$AN936)))</f>
        <v/>
      </c>
      <c r="W936" s="14">
        <f>IF($AN936="",IF($B936="","",$R936),IF(INDEX(職員マスタ!$C$6:$C$405,$AN936)="",$R936,INDEX(職員マスタ!$C$6:$C$405,$AN936)))</f>
        <v/>
      </c>
      <c r="X936" s="14">
        <f>IF($AO936="","","R"&amp;$C936&amp;"."&amp;$D936)</f>
        <v/>
      </c>
      <c r="Y936" s="15">
        <f>IF($AN936="","",IF(INDEX(職員マスタ!$K$6:$K$405,$AN936)="","",INDEX(職員マスタ!$K$6:$K$405,$AN936)))</f>
        <v/>
      </c>
      <c r="Z936" s="14">
        <f>IF(OR($E936="",$Y936=""),"",IF($E936&gt;=$Y936,"×",IF($E936&gt;=$Y936*設定!$C$5,"△","○")))</f>
        <v/>
      </c>
      <c r="AA936" s="15">
        <f>IF($Z936="","",IF($Z936="×",0,IF($Z936="○",ROUNDDOWN($E936*設定!$C$4,0),ROUNDDOWN($E936*ROUND((9*$Y936-9*$E936)/(10*$E936),4),0))))</f>
        <v/>
      </c>
      <c r="AB936" s="13" t="n"/>
      <c r="AC936" s="15">
        <f>IF($B936="","",IF($AB936&lt;&gt;"",$AB936,IF($AA936="","",IF($AA936&lt;=設定!$C$3,0,$AA936))))</f>
        <v/>
      </c>
      <c r="AD936" s="14">
        <f>IF($B936="","",IF(AND($AE936&lt;&gt;"",$AG936="",$AJ936=""),"保留中",IF($AJ936&lt;&gt;"",IF(N($AC936)&gt;0,"支給済","不支給"),IF($AC936="","要確認",IF($AC936=0,"不支給","未処理")))))</f>
        <v/>
      </c>
      <c r="AE936" s="12" t="n"/>
      <c r="AF936" s="11" t="n"/>
      <c r="AG936" s="11" t="n"/>
      <c r="AH936" s="11" t="n"/>
      <c r="AI936" s="14">
        <f>IF(AND($AD936="保留中",$AF936&lt;&gt;""),TODAY()-$AF936,"")</f>
        <v/>
      </c>
      <c r="AJ936" s="12" t="n"/>
      <c r="AK936" s="14">
        <f>IF($B936="","",IF($AO936="","対象年月が未入力／","")&amp;IF($B936="","",IF($AN936="","職員マスタに未登録の職員番号／",IF($Y936="","標準報酬月額が未登録／","")&amp;IF(AND($AO936&lt;&gt;"",OR(AND(INDEX(職員マスタ!$G$6:$G$405,$AN936)&lt;&gt;"",INDEX(職員マスタ!$G$6:$G$405,$AN936)&gt;EOMONTH($AO936,0)),AND(INDEX(職員マスタ!$H$6:$H$405,$AN936)&lt;&gt;"",INDEX(職員マスタ!$H$6:$H$405,$AN936)&lt;$AO936))),"対象月が時短期間外／","")&amp;IF(AND(INDEX(職員マスタ!$F$6:$F$405,$AN936)&lt;&gt;"",$AO936&lt;&gt;"",INDEX(職員マスタ!$F$6:$F$405,$AN936)&lt;$AO936),"対象月に子が2歳到達済／","")&amp;IF(AND($H936&lt;&gt;"",INDEX(職員マスタ!$B$6:$B$405,$AN936)&lt;&gt;"",SUBSTITUTE(SUBSTITUTE($H936," ","")," ","")&lt;&gt;SUBSTITUTE(SUBSTITUTE(INDEX(職員マスタ!$B$6:$B$405,$AN936)," ","")," ","")),"氏名がマスタと相違／","")&amp;IF(AND($Q936&lt;&gt;"",INDEX(職員マスタ!$E$6:$E$405,$AN936)&lt;&gt;"",$Q936&lt;&gt;INDEX(職員マスタ!$E$6:$E$405,$AN936)),"子の生年月日がマスタと相違／","")&amp;IF(AND($L936&lt;&gt;"",INDEX(職員マスタ!$G$6:$G$405,$AN936)&lt;&gt;"",$L936&lt;&gt;INDEX(職員マスタ!$G$6:$G$405,$AN936)),"時短開始日がマスタと相違／","")&amp;IF(AND($M936&lt;&gt;"",INDEX(職員マスタ!$H$6:$H$405,$AN936)&lt;&gt;"",$M936&lt;&gt;INDEX(職員マスタ!$H$6:$H$405,$AN936)),"時短終了日がマスタと相違／","")))&amp;IF(AND($B936&lt;&gt;"",$E936=""),"報酬額が未入力／","")&amp;IF(N($U936)&gt;0,"申請書に入力エラーが残っています／","")&amp;IF(AND($B936&lt;&gt;"",$AO936&lt;&gt;""),IF(COUNTIFS($B$6:$B$3005,$B936,$C$6:$C$3005,$C936,$D$6:$D$3005,$D936)&gt;1,"同じ月の請求が重複しています／",""),"")&amp;IF(AND(N($E936)&gt;0,$Z936&lt;&gt;"",$Z936&lt;&gt;"×",$AC936=0,$AB936=""),"計算額が下限以下のため不支給／",""))</f>
        <v/>
      </c>
      <c r="AL936" s="12" t="n"/>
      <c r="AM936" s="14">
        <f>IF($AD936="保留中",COUNTIF($AD$6:$AD936,"保留中"),"")</f>
        <v/>
      </c>
      <c r="AN936" s="14">
        <f>IF($AO936="","",IF(SUMPRODUCT(MAX((職員マスタ!$A$6:$A$405=$B936)*(((職員マスタ!$G$6:$G$405="")+(職員マスタ!$G$6:$G$405&lt;=EOMONTH($AO936,0)))&gt;0)*(((職員マスタ!$H$6:$H$405="")+(職員マスタ!$H$6:$H$405&gt;=$AO936))&gt;0)*(ROW(職員マスタ!$A$6:$A$405)-5)))&gt;0,SUMPRODUCT(MAX((職員マスタ!$A$6:$A$405=$B936)*(((職員マスタ!$G$6:$G$405="")+(職員マスタ!$G$6:$G$405&lt;=EOMONTH($AO936,0)))&gt;0)*(((職員マスタ!$H$6:$H$405="")+(職員マスタ!$H$6:$H$405&gt;=$AO936))&gt;0)*(ROW(職員マスタ!$A$6:$A$405)-5))),IFERROR(MATCH($B936,職員マスタ!$A$6:$A$405,0),"")))</f>
        <v/>
      </c>
      <c r="AO936" s="16">
        <f>IF(OR($B936="",$C936="",$D936=""),"",DATE($C936+2018,$D936,1))</f>
        <v/>
      </c>
    </row>
    <row r="937">
      <c r="A937" s="11" t="n"/>
      <c r="B937" s="12" t="n"/>
      <c r="C937" s="12" t="n"/>
      <c r="D937" s="12" t="n"/>
      <c r="E937" s="13" t="n"/>
      <c r="F937" s="12" t="n"/>
      <c r="G937" s="13" t="n"/>
      <c r="H937" s="12" t="n"/>
      <c r="I937" s="12" t="n"/>
      <c r="J937" s="12" t="n"/>
      <c r="K937" s="12" t="n"/>
      <c r="L937" s="11" t="n"/>
      <c r="M937" s="11" t="n"/>
      <c r="N937" s="11" t="n"/>
      <c r="O937" s="11" t="n"/>
      <c r="P937" s="12" t="n"/>
      <c r="Q937" s="11" t="n"/>
      <c r="R937" s="12" t="n"/>
      <c r="S937" s="11" t="n"/>
      <c r="T937" s="12" t="n"/>
      <c r="U937" s="12" t="n"/>
      <c r="V937" s="14">
        <f>IF($AN937="",IF($B937="","",$H937),IF(INDEX(職員マスタ!$B$6:$B$405,$AN937)="",$H937,INDEX(職員マスタ!$B$6:$B$405,$AN937)))</f>
        <v/>
      </c>
      <c r="W937" s="14">
        <f>IF($AN937="",IF($B937="","",$R937),IF(INDEX(職員マスタ!$C$6:$C$405,$AN937)="",$R937,INDEX(職員マスタ!$C$6:$C$405,$AN937)))</f>
        <v/>
      </c>
      <c r="X937" s="14">
        <f>IF($AO937="","","R"&amp;$C937&amp;"."&amp;$D937)</f>
        <v/>
      </c>
      <c r="Y937" s="15">
        <f>IF($AN937="","",IF(INDEX(職員マスタ!$K$6:$K$405,$AN937)="","",INDEX(職員マスタ!$K$6:$K$405,$AN937)))</f>
        <v/>
      </c>
      <c r="Z937" s="14">
        <f>IF(OR($E937="",$Y937=""),"",IF($E937&gt;=$Y937,"×",IF($E937&gt;=$Y937*設定!$C$5,"△","○")))</f>
        <v/>
      </c>
      <c r="AA937" s="15">
        <f>IF($Z937="","",IF($Z937="×",0,IF($Z937="○",ROUNDDOWN($E937*設定!$C$4,0),ROUNDDOWN($E937*ROUND((9*$Y937-9*$E937)/(10*$E937),4),0))))</f>
        <v/>
      </c>
      <c r="AB937" s="13" t="n"/>
      <c r="AC937" s="15">
        <f>IF($B937="","",IF($AB937&lt;&gt;"",$AB937,IF($AA937="","",IF($AA937&lt;=設定!$C$3,0,$AA937))))</f>
        <v/>
      </c>
      <c r="AD937" s="14">
        <f>IF($B937="","",IF(AND($AE937&lt;&gt;"",$AG937="",$AJ937=""),"保留中",IF($AJ937&lt;&gt;"",IF(N($AC937)&gt;0,"支給済","不支給"),IF($AC937="","要確認",IF($AC937=0,"不支給","未処理")))))</f>
        <v/>
      </c>
      <c r="AE937" s="12" t="n"/>
      <c r="AF937" s="11" t="n"/>
      <c r="AG937" s="11" t="n"/>
      <c r="AH937" s="11" t="n"/>
      <c r="AI937" s="14">
        <f>IF(AND($AD937="保留中",$AF937&lt;&gt;""),TODAY()-$AF937,"")</f>
        <v/>
      </c>
      <c r="AJ937" s="12" t="n"/>
      <c r="AK937" s="14">
        <f>IF($B937="","",IF($AO937="","対象年月が未入力／","")&amp;IF($B937="","",IF($AN937="","職員マスタに未登録の職員番号／",IF($Y937="","標準報酬月額が未登録／","")&amp;IF(AND($AO937&lt;&gt;"",OR(AND(INDEX(職員マスタ!$G$6:$G$405,$AN937)&lt;&gt;"",INDEX(職員マスタ!$G$6:$G$405,$AN937)&gt;EOMONTH($AO937,0)),AND(INDEX(職員マスタ!$H$6:$H$405,$AN937)&lt;&gt;"",INDEX(職員マスタ!$H$6:$H$405,$AN937)&lt;$AO937))),"対象月が時短期間外／","")&amp;IF(AND(INDEX(職員マスタ!$F$6:$F$405,$AN937)&lt;&gt;"",$AO937&lt;&gt;"",INDEX(職員マスタ!$F$6:$F$405,$AN937)&lt;$AO937),"対象月に子が2歳到達済／","")&amp;IF(AND($H937&lt;&gt;"",INDEX(職員マスタ!$B$6:$B$405,$AN937)&lt;&gt;"",SUBSTITUTE(SUBSTITUTE($H937," ","")," ","")&lt;&gt;SUBSTITUTE(SUBSTITUTE(INDEX(職員マスタ!$B$6:$B$405,$AN937)," ","")," ","")),"氏名がマスタと相違／","")&amp;IF(AND($Q937&lt;&gt;"",INDEX(職員マスタ!$E$6:$E$405,$AN937)&lt;&gt;"",$Q937&lt;&gt;INDEX(職員マスタ!$E$6:$E$405,$AN937)),"子の生年月日がマスタと相違／","")&amp;IF(AND($L937&lt;&gt;"",INDEX(職員マスタ!$G$6:$G$405,$AN937)&lt;&gt;"",$L937&lt;&gt;INDEX(職員マスタ!$G$6:$G$405,$AN937)),"時短開始日がマスタと相違／","")&amp;IF(AND($M937&lt;&gt;"",INDEX(職員マスタ!$H$6:$H$405,$AN937)&lt;&gt;"",$M937&lt;&gt;INDEX(職員マスタ!$H$6:$H$405,$AN937)),"時短終了日がマスタと相違／","")))&amp;IF(AND($B937&lt;&gt;"",$E937=""),"報酬額が未入力／","")&amp;IF(N($U937)&gt;0,"申請書に入力エラーが残っています／","")&amp;IF(AND($B937&lt;&gt;"",$AO937&lt;&gt;""),IF(COUNTIFS($B$6:$B$3005,$B937,$C$6:$C$3005,$C937,$D$6:$D$3005,$D937)&gt;1,"同じ月の請求が重複しています／",""),"")&amp;IF(AND(N($E937)&gt;0,$Z937&lt;&gt;"",$Z937&lt;&gt;"×",$AC937=0,$AB937=""),"計算額が下限以下のため不支給／",""))</f>
        <v/>
      </c>
      <c r="AL937" s="12" t="n"/>
      <c r="AM937" s="14">
        <f>IF($AD937="保留中",COUNTIF($AD$6:$AD937,"保留中"),"")</f>
        <v/>
      </c>
      <c r="AN937" s="14">
        <f>IF($AO937="","",IF(SUMPRODUCT(MAX((職員マスタ!$A$6:$A$405=$B937)*(((職員マスタ!$G$6:$G$405="")+(職員マスタ!$G$6:$G$405&lt;=EOMONTH($AO937,0)))&gt;0)*(((職員マスタ!$H$6:$H$405="")+(職員マスタ!$H$6:$H$405&gt;=$AO937))&gt;0)*(ROW(職員マスタ!$A$6:$A$405)-5)))&gt;0,SUMPRODUCT(MAX((職員マスタ!$A$6:$A$405=$B937)*(((職員マスタ!$G$6:$G$405="")+(職員マスタ!$G$6:$G$405&lt;=EOMONTH($AO937,0)))&gt;0)*(((職員マスタ!$H$6:$H$405="")+(職員マスタ!$H$6:$H$405&gt;=$AO937))&gt;0)*(ROW(職員マスタ!$A$6:$A$405)-5))),IFERROR(MATCH($B937,職員マスタ!$A$6:$A$405,0),"")))</f>
        <v/>
      </c>
      <c r="AO937" s="16">
        <f>IF(OR($B937="",$C937="",$D937=""),"",DATE($C937+2018,$D937,1))</f>
        <v/>
      </c>
    </row>
    <row r="938">
      <c r="A938" s="11" t="n"/>
      <c r="B938" s="12" t="n"/>
      <c r="C938" s="12" t="n"/>
      <c r="D938" s="12" t="n"/>
      <c r="E938" s="13" t="n"/>
      <c r="F938" s="12" t="n"/>
      <c r="G938" s="13" t="n"/>
      <c r="H938" s="12" t="n"/>
      <c r="I938" s="12" t="n"/>
      <c r="J938" s="12" t="n"/>
      <c r="K938" s="12" t="n"/>
      <c r="L938" s="11" t="n"/>
      <c r="M938" s="11" t="n"/>
      <c r="N938" s="11" t="n"/>
      <c r="O938" s="11" t="n"/>
      <c r="P938" s="12" t="n"/>
      <c r="Q938" s="11" t="n"/>
      <c r="R938" s="12" t="n"/>
      <c r="S938" s="11" t="n"/>
      <c r="T938" s="12" t="n"/>
      <c r="U938" s="12" t="n"/>
      <c r="V938" s="14">
        <f>IF($AN938="",IF($B938="","",$H938),IF(INDEX(職員マスタ!$B$6:$B$405,$AN938)="",$H938,INDEX(職員マスタ!$B$6:$B$405,$AN938)))</f>
        <v/>
      </c>
      <c r="W938" s="14">
        <f>IF($AN938="",IF($B938="","",$R938),IF(INDEX(職員マスタ!$C$6:$C$405,$AN938)="",$R938,INDEX(職員マスタ!$C$6:$C$405,$AN938)))</f>
        <v/>
      </c>
      <c r="X938" s="14">
        <f>IF($AO938="","","R"&amp;$C938&amp;"."&amp;$D938)</f>
        <v/>
      </c>
      <c r="Y938" s="15">
        <f>IF($AN938="","",IF(INDEX(職員マスタ!$K$6:$K$405,$AN938)="","",INDEX(職員マスタ!$K$6:$K$405,$AN938)))</f>
        <v/>
      </c>
      <c r="Z938" s="14">
        <f>IF(OR($E938="",$Y938=""),"",IF($E938&gt;=$Y938,"×",IF($E938&gt;=$Y938*設定!$C$5,"△","○")))</f>
        <v/>
      </c>
      <c r="AA938" s="15">
        <f>IF($Z938="","",IF($Z938="×",0,IF($Z938="○",ROUNDDOWN($E938*設定!$C$4,0),ROUNDDOWN($E938*ROUND((9*$Y938-9*$E938)/(10*$E938),4),0))))</f>
        <v/>
      </c>
      <c r="AB938" s="13" t="n"/>
      <c r="AC938" s="15">
        <f>IF($B938="","",IF($AB938&lt;&gt;"",$AB938,IF($AA938="","",IF($AA938&lt;=設定!$C$3,0,$AA938))))</f>
        <v/>
      </c>
      <c r="AD938" s="14">
        <f>IF($B938="","",IF(AND($AE938&lt;&gt;"",$AG938="",$AJ938=""),"保留中",IF($AJ938&lt;&gt;"",IF(N($AC938)&gt;0,"支給済","不支給"),IF($AC938="","要確認",IF($AC938=0,"不支給","未処理")))))</f>
        <v/>
      </c>
      <c r="AE938" s="12" t="n"/>
      <c r="AF938" s="11" t="n"/>
      <c r="AG938" s="11" t="n"/>
      <c r="AH938" s="11" t="n"/>
      <c r="AI938" s="14">
        <f>IF(AND($AD938="保留中",$AF938&lt;&gt;""),TODAY()-$AF938,"")</f>
        <v/>
      </c>
      <c r="AJ938" s="12" t="n"/>
      <c r="AK938" s="14">
        <f>IF($B938="","",IF($AO938="","対象年月が未入力／","")&amp;IF($B938="","",IF($AN938="","職員マスタに未登録の職員番号／",IF($Y938="","標準報酬月額が未登録／","")&amp;IF(AND($AO938&lt;&gt;"",OR(AND(INDEX(職員マスタ!$G$6:$G$405,$AN938)&lt;&gt;"",INDEX(職員マスタ!$G$6:$G$405,$AN938)&gt;EOMONTH($AO938,0)),AND(INDEX(職員マスタ!$H$6:$H$405,$AN938)&lt;&gt;"",INDEX(職員マスタ!$H$6:$H$405,$AN938)&lt;$AO938))),"対象月が時短期間外／","")&amp;IF(AND(INDEX(職員マスタ!$F$6:$F$405,$AN938)&lt;&gt;"",$AO938&lt;&gt;"",INDEX(職員マスタ!$F$6:$F$405,$AN938)&lt;$AO938),"対象月に子が2歳到達済／","")&amp;IF(AND($H938&lt;&gt;"",INDEX(職員マスタ!$B$6:$B$405,$AN938)&lt;&gt;"",SUBSTITUTE(SUBSTITUTE($H938," ","")," ","")&lt;&gt;SUBSTITUTE(SUBSTITUTE(INDEX(職員マスタ!$B$6:$B$405,$AN938)," ","")," ","")),"氏名がマスタと相違／","")&amp;IF(AND($Q938&lt;&gt;"",INDEX(職員マスタ!$E$6:$E$405,$AN938)&lt;&gt;"",$Q938&lt;&gt;INDEX(職員マスタ!$E$6:$E$405,$AN938)),"子の生年月日がマスタと相違／","")&amp;IF(AND($L938&lt;&gt;"",INDEX(職員マスタ!$G$6:$G$405,$AN938)&lt;&gt;"",$L938&lt;&gt;INDEX(職員マスタ!$G$6:$G$405,$AN938)),"時短開始日がマスタと相違／","")&amp;IF(AND($M938&lt;&gt;"",INDEX(職員マスタ!$H$6:$H$405,$AN938)&lt;&gt;"",$M938&lt;&gt;INDEX(職員マスタ!$H$6:$H$405,$AN938)),"時短終了日がマスタと相違／","")))&amp;IF(AND($B938&lt;&gt;"",$E938=""),"報酬額が未入力／","")&amp;IF(N($U938)&gt;0,"申請書に入力エラーが残っています／","")&amp;IF(AND($B938&lt;&gt;"",$AO938&lt;&gt;""),IF(COUNTIFS($B$6:$B$3005,$B938,$C$6:$C$3005,$C938,$D$6:$D$3005,$D938)&gt;1,"同じ月の請求が重複しています／",""),"")&amp;IF(AND(N($E938)&gt;0,$Z938&lt;&gt;"",$Z938&lt;&gt;"×",$AC938=0,$AB938=""),"計算額が下限以下のため不支給／",""))</f>
        <v/>
      </c>
      <c r="AL938" s="12" t="n"/>
      <c r="AM938" s="14">
        <f>IF($AD938="保留中",COUNTIF($AD$6:$AD938,"保留中"),"")</f>
        <v/>
      </c>
      <c r="AN938" s="14">
        <f>IF($AO938="","",IF(SUMPRODUCT(MAX((職員マスタ!$A$6:$A$405=$B938)*(((職員マスタ!$G$6:$G$405="")+(職員マスタ!$G$6:$G$405&lt;=EOMONTH($AO938,0)))&gt;0)*(((職員マスタ!$H$6:$H$405="")+(職員マスタ!$H$6:$H$405&gt;=$AO938))&gt;0)*(ROW(職員マスタ!$A$6:$A$405)-5)))&gt;0,SUMPRODUCT(MAX((職員マスタ!$A$6:$A$405=$B938)*(((職員マスタ!$G$6:$G$405="")+(職員マスタ!$G$6:$G$405&lt;=EOMONTH($AO938,0)))&gt;0)*(((職員マスタ!$H$6:$H$405="")+(職員マスタ!$H$6:$H$405&gt;=$AO938))&gt;0)*(ROW(職員マスタ!$A$6:$A$405)-5))),IFERROR(MATCH($B938,職員マスタ!$A$6:$A$405,0),"")))</f>
        <v/>
      </c>
      <c r="AO938" s="16">
        <f>IF(OR($B938="",$C938="",$D938=""),"",DATE($C938+2018,$D938,1))</f>
        <v/>
      </c>
    </row>
    <row r="939">
      <c r="A939" s="11" t="n"/>
      <c r="B939" s="12" t="n"/>
      <c r="C939" s="12" t="n"/>
      <c r="D939" s="12" t="n"/>
      <c r="E939" s="13" t="n"/>
      <c r="F939" s="12" t="n"/>
      <c r="G939" s="13" t="n"/>
      <c r="H939" s="12" t="n"/>
      <c r="I939" s="12" t="n"/>
      <c r="J939" s="12" t="n"/>
      <c r="K939" s="12" t="n"/>
      <c r="L939" s="11" t="n"/>
      <c r="M939" s="11" t="n"/>
      <c r="N939" s="11" t="n"/>
      <c r="O939" s="11" t="n"/>
      <c r="P939" s="12" t="n"/>
      <c r="Q939" s="11" t="n"/>
      <c r="R939" s="12" t="n"/>
      <c r="S939" s="11" t="n"/>
      <c r="T939" s="12" t="n"/>
      <c r="U939" s="12" t="n"/>
      <c r="V939" s="14">
        <f>IF($AN939="",IF($B939="","",$H939),IF(INDEX(職員マスタ!$B$6:$B$405,$AN939)="",$H939,INDEX(職員マスタ!$B$6:$B$405,$AN939)))</f>
        <v/>
      </c>
      <c r="W939" s="14">
        <f>IF($AN939="",IF($B939="","",$R939),IF(INDEX(職員マスタ!$C$6:$C$405,$AN939)="",$R939,INDEX(職員マスタ!$C$6:$C$405,$AN939)))</f>
        <v/>
      </c>
      <c r="X939" s="14">
        <f>IF($AO939="","","R"&amp;$C939&amp;"."&amp;$D939)</f>
        <v/>
      </c>
      <c r="Y939" s="15">
        <f>IF($AN939="","",IF(INDEX(職員マスタ!$K$6:$K$405,$AN939)="","",INDEX(職員マスタ!$K$6:$K$405,$AN939)))</f>
        <v/>
      </c>
      <c r="Z939" s="14">
        <f>IF(OR($E939="",$Y939=""),"",IF($E939&gt;=$Y939,"×",IF($E939&gt;=$Y939*設定!$C$5,"△","○")))</f>
        <v/>
      </c>
      <c r="AA939" s="15">
        <f>IF($Z939="","",IF($Z939="×",0,IF($Z939="○",ROUNDDOWN($E939*設定!$C$4,0),ROUNDDOWN($E939*ROUND((9*$Y939-9*$E939)/(10*$E939),4),0))))</f>
        <v/>
      </c>
      <c r="AB939" s="13" t="n"/>
      <c r="AC939" s="15">
        <f>IF($B939="","",IF($AB939&lt;&gt;"",$AB939,IF($AA939="","",IF($AA939&lt;=設定!$C$3,0,$AA939))))</f>
        <v/>
      </c>
      <c r="AD939" s="14">
        <f>IF($B939="","",IF(AND($AE939&lt;&gt;"",$AG939="",$AJ939=""),"保留中",IF($AJ939&lt;&gt;"",IF(N($AC939)&gt;0,"支給済","不支給"),IF($AC939="","要確認",IF($AC939=0,"不支給","未処理")))))</f>
        <v/>
      </c>
      <c r="AE939" s="12" t="n"/>
      <c r="AF939" s="11" t="n"/>
      <c r="AG939" s="11" t="n"/>
      <c r="AH939" s="11" t="n"/>
      <c r="AI939" s="14">
        <f>IF(AND($AD939="保留中",$AF939&lt;&gt;""),TODAY()-$AF939,"")</f>
        <v/>
      </c>
      <c r="AJ939" s="12" t="n"/>
      <c r="AK939" s="14">
        <f>IF($B939="","",IF($AO939="","対象年月が未入力／","")&amp;IF($B939="","",IF($AN939="","職員マスタに未登録の職員番号／",IF($Y939="","標準報酬月額が未登録／","")&amp;IF(AND($AO939&lt;&gt;"",OR(AND(INDEX(職員マスタ!$G$6:$G$405,$AN939)&lt;&gt;"",INDEX(職員マスタ!$G$6:$G$405,$AN939)&gt;EOMONTH($AO939,0)),AND(INDEX(職員マスタ!$H$6:$H$405,$AN939)&lt;&gt;"",INDEX(職員マスタ!$H$6:$H$405,$AN939)&lt;$AO939))),"対象月が時短期間外／","")&amp;IF(AND(INDEX(職員マスタ!$F$6:$F$405,$AN939)&lt;&gt;"",$AO939&lt;&gt;"",INDEX(職員マスタ!$F$6:$F$405,$AN939)&lt;$AO939),"対象月に子が2歳到達済／","")&amp;IF(AND($H939&lt;&gt;"",INDEX(職員マスタ!$B$6:$B$405,$AN939)&lt;&gt;"",SUBSTITUTE(SUBSTITUTE($H939," ","")," ","")&lt;&gt;SUBSTITUTE(SUBSTITUTE(INDEX(職員マスタ!$B$6:$B$405,$AN939)," ","")," ","")),"氏名がマスタと相違／","")&amp;IF(AND($Q939&lt;&gt;"",INDEX(職員マスタ!$E$6:$E$405,$AN939)&lt;&gt;"",$Q939&lt;&gt;INDEX(職員マスタ!$E$6:$E$405,$AN939)),"子の生年月日がマスタと相違／","")&amp;IF(AND($L939&lt;&gt;"",INDEX(職員マスタ!$G$6:$G$405,$AN939)&lt;&gt;"",$L939&lt;&gt;INDEX(職員マスタ!$G$6:$G$405,$AN939)),"時短開始日がマスタと相違／","")&amp;IF(AND($M939&lt;&gt;"",INDEX(職員マスタ!$H$6:$H$405,$AN939)&lt;&gt;"",$M939&lt;&gt;INDEX(職員マスタ!$H$6:$H$405,$AN939)),"時短終了日がマスタと相違／","")))&amp;IF(AND($B939&lt;&gt;"",$E939=""),"報酬額が未入力／","")&amp;IF(N($U939)&gt;0,"申請書に入力エラーが残っています／","")&amp;IF(AND($B939&lt;&gt;"",$AO939&lt;&gt;""),IF(COUNTIFS($B$6:$B$3005,$B939,$C$6:$C$3005,$C939,$D$6:$D$3005,$D939)&gt;1,"同じ月の請求が重複しています／",""),"")&amp;IF(AND(N($E939)&gt;0,$Z939&lt;&gt;"",$Z939&lt;&gt;"×",$AC939=0,$AB939=""),"計算額が下限以下のため不支給／",""))</f>
        <v/>
      </c>
      <c r="AL939" s="12" t="n"/>
      <c r="AM939" s="14">
        <f>IF($AD939="保留中",COUNTIF($AD$6:$AD939,"保留中"),"")</f>
        <v/>
      </c>
      <c r="AN939" s="14">
        <f>IF($AO939="","",IF(SUMPRODUCT(MAX((職員マスタ!$A$6:$A$405=$B939)*(((職員マスタ!$G$6:$G$405="")+(職員マスタ!$G$6:$G$405&lt;=EOMONTH($AO939,0)))&gt;0)*(((職員マスタ!$H$6:$H$405="")+(職員マスタ!$H$6:$H$405&gt;=$AO939))&gt;0)*(ROW(職員マスタ!$A$6:$A$405)-5)))&gt;0,SUMPRODUCT(MAX((職員マスタ!$A$6:$A$405=$B939)*(((職員マスタ!$G$6:$G$405="")+(職員マスタ!$G$6:$G$405&lt;=EOMONTH($AO939,0)))&gt;0)*(((職員マスタ!$H$6:$H$405="")+(職員マスタ!$H$6:$H$405&gt;=$AO939))&gt;0)*(ROW(職員マスタ!$A$6:$A$405)-5))),IFERROR(MATCH($B939,職員マスタ!$A$6:$A$405,0),"")))</f>
        <v/>
      </c>
      <c r="AO939" s="16">
        <f>IF(OR($B939="",$C939="",$D939=""),"",DATE($C939+2018,$D939,1))</f>
        <v/>
      </c>
    </row>
    <row r="940">
      <c r="A940" s="11" t="n"/>
      <c r="B940" s="12" t="n"/>
      <c r="C940" s="12" t="n"/>
      <c r="D940" s="12" t="n"/>
      <c r="E940" s="13" t="n"/>
      <c r="F940" s="12" t="n"/>
      <c r="G940" s="13" t="n"/>
      <c r="H940" s="12" t="n"/>
      <c r="I940" s="12" t="n"/>
      <c r="J940" s="12" t="n"/>
      <c r="K940" s="12" t="n"/>
      <c r="L940" s="11" t="n"/>
      <c r="M940" s="11" t="n"/>
      <c r="N940" s="11" t="n"/>
      <c r="O940" s="11" t="n"/>
      <c r="P940" s="12" t="n"/>
      <c r="Q940" s="11" t="n"/>
      <c r="R940" s="12" t="n"/>
      <c r="S940" s="11" t="n"/>
      <c r="T940" s="12" t="n"/>
      <c r="U940" s="12" t="n"/>
      <c r="V940" s="14">
        <f>IF($AN940="",IF($B940="","",$H940),IF(INDEX(職員マスタ!$B$6:$B$405,$AN940)="",$H940,INDEX(職員マスタ!$B$6:$B$405,$AN940)))</f>
        <v/>
      </c>
      <c r="W940" s="14">
        <f>IF($AN940="",IF($B940="","",$R940),IF(INDEX(職員マスタ!$C$6:$C$405,$AN940)="",$R940,INDEX(職員マスタ!$C$6:$C$405,$AN940)))</f>
        <v/>
      </c>
      <c r="X940" s="14">
        <f>IF($AO940="","","R"&amp;$C940&amp;"."&amp;$D940)</f>
        <v/>
      </c>
      <c r="Y940" s="15">
        <f>IF($AN940="","",IF(INDEX(職員マスタ!$K$6:$K$405,$AN940)="","",INDEX(職員マスタ!$K$6:$K$405,$AN940)))</f>
        <v/>
      </c>
      <c r="Z940" s="14">
        <f>IF(OR($E940="",$Y940=""),"",IF($E940&gt;=$Y940,"×",IF($E940&gt;=$Y940*設定!$C$5,"△","○")))</f>
        <v/>
      </c>
      <c r="AA940" s="15">
        <f>IF($Z940="","",IF($Z940="×",0,IF($Z940="○",ROUNDDOWN($E940*設定!$C$4,0),ROUNDDOWN($E940*ROUND((9*$Y940-9*$E940)/(10*$E940),4),0))))</f>
        <v/>
      </c>
      <c r="AB940" s="13" t="n"/>
      <c r="AC940" s="15">
        <f>IF($B940="","",IF($AB940&lt;&gt;"",$AB940,IF($AA940="","",IF($AA940&lt;=設定!$C$3,0,$AA940))))</f>
        <v/>
      </c>
      <c r="AD940" s="14">
        <f>IF($B940="","",IF(AND($AE940&lt;&gt;"",$AG940="",$AJ940=""),"保留中",IF($AJ940&lt;&gt;"",IF(N($AC940)&gt;0,"支給済","不支給"),IF($AC940="","要確認",IF($AC940=0,"不支給","未処理")))))</f>
        <v/>
      </c>
      <c r="AE940" s="12" t="n"/>
      <c r="AF940" s="11" t="n"/>
      <c r="AG940" s="11" t="n"/>
      <c r="AH940" s="11" t="n"/>
      <c r="AI940" s="14">
        <f>IF(AND($AD940="保留中",$AF940&lt;&gt;""),TODAY()-$AF940,"")</f>
        <v/>
      </c>
      <c r="AJ940" s="12" t="n"/>
      <c r="AK940" s="14">
        <f>IF($B940="","",IF($AO940="","対象年月が未入力／","")&amp;IF($B940="","",IF($AN940="","職員マスタに未登録の職員番号／",IF($Y940="","標準報酬月額が未登録／","")&amp;IF(AND($AO940&lt;&gt;"",OR(AND(INDEX(職員マスタ!$G$6:$G$405,$AN940)&lt;&gt;"",INDEX(職員マスタ!$G$6:$G$405,$AN940)&gt;EOMONTH($AO940,0)),AND(INDEX(職員マスタ!$H$6:$H$405,$AN940)&lt;&gt;"",INDEX(職員マスタ!$H$6:$H$405,$AN940)&lt;$AO940))),"対象月が時短期間外／","")&amp;IF(AND(INDEX(職員マスタ!$F$6:$F$405,$AN940)&lt;&gt;"",$AO940&lt;&gt;"",INDEX(職員マスタ!$F$6:$F$405,$AN940)&lt;$AO940),"対象月に子が2歳到達済／","")&amp;IF(AND($H940&lt;&gt;"",INDEX(職員マスタ!$B$6:$B$405,$AN940)&lt;&gt;"",SUBSTITUTE(SUBSTITUTE($H940," ","")," ","")&lt;&gt;SUBSTITUTE(SUBSTITUTE(INDEX(職員マスタ!$B$6:$B$405,$AN940)," ","")," ","")),"氏名がマスタと相違／","")&amp;IF(AND($Q940&lt;&gt;"",INDEX(職員マスタ!$E$6:$E$405,$AN940)&lt;&gt;"",$Q940&lt;&gt;INDEX(職員マスタ!$E$6:$E$405,$AN940)),"子の生年月日がマスタと相違／","")&amp;IF(AND($L940&lt;&gt;"",INDEX(職員マスタ!$G$6:$G$405,$AN940)&lt;&gt;"",$L940&lt;&gt;INDEX(職員マスタ!$G$6:$G$405,$AN940)),"時短開始日がマスタと相違／","")&amp;IF(AND($M940&lt;&gt;"",INDEX(職員マスタ!$H$6:$H$405,$AN940)&lt;&gt;"",$M940&lt;&gt;INDEX(職員マスタ!$H$6:$H$405,$AN940)),"時短終了日がマスタと相違／","")))&amp;IF(AND($B940&lt;&gt;"",$E940=""),"報酬額が未入力／","")&amp;IF(N($U940)&gt;0,"申請書に入力エラーが残っています／","")&amp;IF(AND($B940&lt;&gt;"",$AO940&lt;&gt;""),IF(COUNTIFS($B$6:$B$3005,$B940,$C$6:$C$3005,$C940,$D$6:$D$3005,$D940)&gt;1,"同じ月の請求が重複しています／",""),"")&amp;IF(AND(N($E940)&gt;0,$Z940&lt;&gt;"",$Z940&lt;&gt;"×",$AC940=0,$AB940=""),"計算額が下限以下のため不支給／",""))</f>
        <v/>
      </c>
      <c r="AL940" s="12" t="n"/>
      <c r="AM940" s="14">
        <f>IF($AD940="保留中",COUNTIF($AD$6:$AD940,"保留中"),"")</f>
        <v/>
      </c>
      <c r="AN940" s="14">
        <f>IF($AO940="","",IF(SUMPRODUCT(MAX((職員マスタ!$A$6:$A$405=$B940)*(((職員マスタ!$G$6:$G$405="")+(職員マスタ!$G$6:$G$405&lt;=EOMONTH($AO940,0)))&gt;0)*(((職員マスタ!$H$6:$H$405="")+(職員マスタ!$H$6:$H$405&gt;=$AO940))&gt;0)*(ROW(職員マスタ!$A$6:$A$405)-5)))&gt;0,SUMPRODUCT(MAX((職員マスタ!$A$6:$A$405=$B940)*(((職員マスタ!$G$6:$G$405="")+(職員マスタ!$G$6:$G$405&lt;=EOMONTH($AO940,0)))&gt;0)*(((職員マスタ!$H$6:$H$405="")+(職員マスタ!$H$6:$H$405&gt;=$AO940))&gt;0)*(ROW(職員マスタ!$A$6:$A$405)-5))),IFERROR(MATCH($B940,職員マスタ!$A$6:$A$405,0),"")))</f>
        <v/>
      </c>
      <c r="AO940" s="16">
        <f>IF(OR($B940="",$C940="",$D940=""),"",DATE($C940+2018,$D940,1))</f>
        <v/>
      </c>
    </row>
    <row r="941">
      <c r="A941" s="11" t="n"/>
      <c r="B941" s="12" t="n"/>
      <c r="C941" s="12" t="n"/>
      <c r="D941" s="12" t="n"/>
      <c r="E941" s="13" t="n"/>
      <c r="F941" s="12" t="n"/>
      <c r="G941" s="13" t="n"/>
      <c r="H941" s="12" t="n"/>
      <c r="I941" s="12" t="n"/>
      <c r="J941" s="12" t="n"/>
      <c r="K941" s="12" t="n"/>
      <c r="L941" s="11" t="n"/>
      <c r="M941" s="11" t="n"/>
      <c r="N941" s="11" t="n"/>
      <c r="O941" s="11" t="n"/>
      <c r="P941" s="12" t="n"/>
      <c r="Q941" s="11" t="n"/>
      <c r="R941" s="12" t="n"/>
      <c r="S941" s="11" t="n"/>
      <c r="T941" s="12" t="n"/>
      <c r="U941" s="12" t="n"/>
      <c r="V941" s="14">
        <f>IF($AN941="",IF($B941="","",$H941),IF(INDEX(職員マスタ!$B$6:$B$405,$AN941)="",$H941,INDEX(職員マスタ!$B$6:$B$405,$AN941)))</f>
        <v/>
      </c>
      <c r="W941" s="14">
        <f>IF($AN941="",IF($B941="","",$R941),IF(INDEX(職員マスタ!$C$6:$C$405,$AN941)="",$R941,INDEX(職員マスタ!$C$6:$C$405,$AN941)))</f>
        <v/>
      </c>
      <c r="X941" s="14">
        <f>IF($AO941="","","R"&amp;$C941&amp;"."&amp;$D941)</f>
        <v/>
      </c>
      <c r="Y941" s="15">
        <f>IF($AN941="","",IF(INDEX(職員マスタ!$K$6:$K$405,$AN941)="","",INDEX(職員マスタ!$K$6:$K$405,$AN941)))</f>
        <v/>
      </c>
      <c r="Z941" s="14">
        <f>IF(OR($E941="",$Y941=""),"",IF($E941&gt;=$Y941,"×",IF($E941&gt;=$Y941*設定!$C$5,"△","○")))</f>
        <v/>
      </c>
      <c r="AA941" s="15">
        <f>IF($Z941="","",IF($Z941="×",0,IF($Z941="○",ROUNDDOWN($E941*設定!$C$4,0),ROUNDDOWN($E941*ROUND((9*$Y941-9*$E941)/(10*$E941),4),0))))</f>
        <v/>
      </c>
      <c r="AB941" s="13" t="n"/>
      <c r="AC941" s="15">
        <f>IF($B941="","",IF($AB941&lt;&gt;"",$AB941,IF($AA941="","",IF($AA941&lt;=設定!$C$3,0,$AA941))))</f>
        <v/>
      </c>
      <c r="AD941" s="14">
        <f>IF($B941="","",IF(AND($AE941&lt;&gt;"",$AG941="",$AJ941=""),"保留中",IF($AJ941&lt;&gt;"",IF(N($AC941)&gt;0,"支給済","不支給"),IF($AC941="","要確認",IF($AC941=0,"不支給","未処理")))))</f>
        <v/>
      </c>
      <c r="AE941" s="12" t="n"/>
      <c r="AF941" s="11" t="n"/>
      <c r="AG941" s="11" t="n"/>
      <c r="AH941" s="11" t="n"/>
      <c r="AI941" s="14">
        <f>IF(AND($AD941="保留中",$AF941&lt;&gt;""),TODAY()-$AF941,"")</f>
        <v/>
      </c>
      <c r="AJ941" s="12" t="n"/>
      <c r="AK941" s="14">
        <f>IF($B941="","",IF($AO941="","対象年月が未入力／","")&amp;IF($B941="","",IF($AN941="","職員マスタに未登録の職員番号／",IF($Y941="","標準報酬月額が未登録／","")&amp;IF(AND($AO941&lt;&gt;"",OR(AND(INDEX(職員マスタ!$G$6:$G$405,$AN941)&lt;&gt;"",INDEX(職員マスタ!$G$6:$G$405,$AN941)&gt;EOMONTH($AO941,0)),AND(INDEX(職員マスタ!$H$6:$H$405,$AN941)&lt;&gt;"",INDEX(職員マスタ!$H$6:$H$405,$AN941)&lt;$AO941))),"対象月が時短期間外／","")&amp;IF(AND(INDEX(職員マスタ!$F$6:$F$405,$AN941)&lt;&gt;"",$AO941&lt;&gt;"",INDEX(職員マスタ!$F$6:$F$405,$AN941)&lt;$AO941),"対象月に子が2歳到達済／","")&amp;IF(AND($H941&lt;&gt;"",INDEX(職員マスタ!$B$6:$B$405,$AN941)&lt;&gt;"",SUBSTITUTE(SUBSTITUTE($H941," ","")," ","")&lt;&gt;SUBSTITUTE(SUBSTITUTE(INDEX(職員マスタ!$B$6:$B$405,$AN941)," ","")," ","")),"氏名がマスタと相違／","")&amp;IF(AND($Q941&lt;&gt;"",INDEX(職員マスタ!$E$6:$E$405,$AN941)&lt;&gt;"",$Q941&lt;&gt;INDEX(職員マスタ!$E$6:$E$405,$AN941)),"子の生年月日がマスタと相違／","")&amp;IF(AND($L941&lt;&gt;"",INDEX(職員マスタ!$G$6:$G$405,$AN941)&lt;&gt;"",$L941&lt;&gt;INDEX(職員マスタ!$G$6:$G$405,$AN941)),"時短開始日がマスタと相違／","")&amp;IF(AND($M941&lt;&gt;"",INDEX(職員マスタ!$H$6:$H$405,$AN941)&lt;&gt;"",$M941&lt;&gt;INDEX(職員マスタ!$H$6:$H$405,$AN941)),"時短終了日がマスタと相違／","")))&amp;IF(AND($B941&lt;&gt;"",$E941=""),"報酬額が未入力／","")&amp;IF(N($U941)&gt;0,"申請書に入力エラーが残っています／","")&amp;IF(AND($B941&lt;&gt;"",$AO941&lt;&gt;""),IF(COUNTIFS($B$6:$B$3005,$B941,$C$6:$C$3005,$C941,$D$6:$D$3005,$D941)&gt;1,"同じ月の請求が重複しています／",""),"")&amp;IF(AND(N($E941)&gt;0,$Z941&lt;&gt;"",$Z941&lt;&gt;"×",$AC941=0,$AB941=""),"計算額が下限以下のため不支給／",""))</f>
        <v/>
      </c>
      <c r="AL941" s="12" t="n"/>
      <c r="AM941" s="14">
        <f>IF($AD941="保留中",COUNTIF($AD$6:$AD941,"保留中"),"")</f>
        <v/>
      </c>
      <c r="AN941" s="14">
        <f>IF($AO941="","",IF(SUMPRODUCT(MAX((職員マスタ!$A$6:$A$405=$B941)*(((職員マスタ!$G$6:$G$405="")+(職員マスタ!$G$6:$G$405&lt;=EOMONTH($AO941,0)))&gt;0)*(((職員マスタ!$H$6:$H$405="")+(職員マスタ!$H$6:$H$405&gt;=$AO941))&gt;0)*(ROW(職員マスタ!$A$6:$A$405)-5)))&gt;0,SUMPRODUCT(MAX((職員マスタ!$A$6:$A$405=$B941)*(((職員マスタ!$G$6:$G$405="")+(職員マスタ!$G$6:$G$405&lt;=EOMONTH($AO941,0)))&gt;0)*(((職員マスタ!$H$6:$H$405="")+(職員マスタ!$H$6:$H$405&gt;=$AO941))&gt;0)*(ROW(職員マスタ!$A$6:$A$405)-5))),IFERROR(MATCH($B941,職員マスタ!$A$6:$A$405,0),"")))</f>
        <v/>
      </c>
      <c r="AO941" s="16">
        <f>IF(OR($B941="",$C941="",$D941=""),"",DATE($C941+2018,$D941,1))</f>
        <v/>
      </c>
    </row>
    <row r="942">
      <c r="A942" s="11" t="n"/>
      <c r="B942" s="12" t="n"/>
      <c r="C942" s="12" t="n"/>
      <c r="D942" s="12" t="n"/>
      <c r="E942" s="13" t="n"/>
      <c r="F942" s="12" t="n"/>
      <c r="G942" s="13" t="n"/>
      <c r="H942" s="12" t="n"/>
      <c r="I942" s="12" t="n"/>
      <c r="J942" s="12" t="n"/>
      <c r="K942" s="12" t="n"/>
      <c r="L942" s="11" t="n"/>
      <c r="M942" s="11" t="n"/>
      <c r="N942" s="11" t="n"/>
      <c r="O942" s="11" t="n"/>
      <c r="P942" s="12" t="n"/>
      <c r="Q942" s="11" t="n"/>
      <c r="R942" s="12" t="n"/>
      <c r="S942" s="11" t="n"/>
      <c r="T942" s="12" t="n"/>
      <c r="U942" s="12" t="n"/>
      <c r="V942" s="14">
        <f>IF($AN942="",IF($B942="","",$H942),IF(INDEX(職員マスタ!$B$6:$B$405,$AN942)="",$H942,INDEX(職員マスタ!$B$6:$B$405,$AN942)))</f>
        <v/>
      </c>
      <c r="W942" s="14">
        <f>IF($AN942="",IF($B942="","",$R942),IF(INDEX(職員マスタ!$C$6:$C$405,$AN942)="",$R942,INDEX(職員マスタ!$C$6:$C$405,$AN942)))</f>
        <v/>
      </c>
      <c r="X942" s="14">
        <f>IF($AO942="","","R"&amp;$C942&amp;"."&amp;$D942)</f>
        <v/>
      </c>
      <c r="Y942" s="15">
        <f>IF($AN942="","",IF(INDEX(職員マスタ!$K$6:$K$405,$AN942)="","",INDEX(職員マスタ!$K$6:$K$405,$AN942)))</f>
        <v/>
      </c>
      <c r="Z942" s="14">
        <f>IF(OR($E942="",$Y942=""),"",IF($E942&gt;=$Y942,"×",IF($E942&gt;=$Y942*設定!$C$5,"△","○")))</f>
        <v/>
      </c>
      <c r="AA942" s="15">
        <f>IF($Z942="","",IF($Z942="×",0,IF($Z942="○",ROUNDDOWN($E942*設定!$C$4,0),ROUNDDOWN($E942*ROUND((9*$Y942-9*$E942)/(10*$E942),4),0))))</f>
        <v/>
      </c>
      <c r="AB942" s="13" t="n"/>
      <c r="AC942" s="15">
        <f>IF($B942="","",IF($AB942&lt;&gt;"",$AB942,IF($AA942="","",IF($AA942&lt;=設定!$C$3,0,$AA942))))</f>
        <v/>
      </c>
      <c r="AD942" s="14">
        <f>IF($B942="","",IF(AND($AE942&lt;&gt;"",$AG942="",$AJ942=""),"保留中",IF($AJ942&lt;&gt;"",IF(N($AC942)&gt;0,"支給済","不支給"),IF($AC942="","要確認",IF($AC942=0,"不支給","未処理")))))</f>
        <v/>
      </c>
      <c r="AE942" s="12" t="n"/>
      <c r="AF942" s="11" t="n"/>
      <c r="AG942" s="11" t="n"/>
      <c r="AH942" s="11" t="n"/>
      <c r="AI942" s="14">
        <f>IF(AND($AD942="保留中",$AF942&lt;&gt;""),TODAY()-$AF942,"")</f>
        <v/>
      </c>
      <c r="AJ942" s="12" t="n"/>
      <c r="AK942" s="14">
        <f>IF($B942="","",IF($AO942="","対象年月が未入力／","")&amp;IF($B942="","",IF($AN942="","職員マスタに未登録の職員番号／",IF($Y942="","標準報酬月額が未登録／","")&amp;IF(AND($AO942&lt;&gt;"",OR(AND(INDEX(職員マスタ!$G$6:$G$405,$AN942)&lt;&gt;"",INDEX(職員マスタ!$G$6:$G$405,$AN942)&gt;EOMONTH($AO942,0)),AND(INDEX(職員マスタ!$H$6:$H$405,$AN942)&lt;&gt;"",INDEX(職員マスタ!$H$6:$H$405,$AN942)&lt;$AO942))),"対象月が時短期間外／","")&amp;IF(AND(INDEX(職員マスタ!$F$6:$F$405,$AN942)&lt;&gt;"",$AO942&lt;&gt;"",INDEX(職員マスタ!$F$6:$F$405,$AN942)&lt;$AO942),"対象月に子が2歳到達済／","")&amp;IF(AND($H942&lt;&gt;"",INDEX(職員マスタ!$B$6:$B$405,$AN942)&lt;&gt;"",SUBSTITUTE(SUBSTITUTE($H942," ","")," ","")&lt;&gt;SUBSTITUTE(SUBSTITUTE(INDEX(職員マスタ!$B$6:$B$405,$AN942)," ","")," ","")),"氏名がマスタと相違／","")&amp;IF(AND($Q942&lt;&gt;"",INDEX(職員マスタ!$E$6:$E$405,$AN942)&lt;&gt;"",$Q942&lt;&gt;INDEX(職員マスタ!$E$6:$E$405,$AN942)),"子の生年月日がマスタと相違／","")&amp;IF(AND($L942&lt;&gt;"",INDEX(職員マスタ!$G$6:$G$405,$AN942)&lt;&gt;"",$L942&lt;&gt;INDEX(職員マスタ!$G$6:$G$405,$AN942)),"時短開始日がマスタと相違／","")&amp;IF(AND($M942&lt;&gt;"",INDEX(職員マスタ!$H$6:$H$405,$AN942)&lt;&gt;"",$M942&lt;&gt;INDEX(職員マスタ!$H$6:$H$405,$AN942)),"時短終了日がマスタと相違／","")))&amp;IF(AND($B942&lt;&gt;"",$E942=""),"報酬額が未入力／","")&amp;IF(N($U942)&gt;0,"申請書に入力エラーが残っています／","")&amp;IF(AND($B942&lt;&gt;"",$AO942&lt;&gt;""),IF(COUNTIFS($B$6:$B$3005,$B942,$C$6:$C$3005,$C942,$D$6:$D$3005,$D942)&gt;1,"同じ月の請求が重複しています／",""),"")&amp;IF(AND(N($E942)&gt;0,$Z942&lt;&gt;"",$Z942&lt;&gt;"×",$AC942=0,$AB942=""),"計算額が下限以下のため不支給／",""))</f>
        <v/>
      </c>
      <c r="AL942" s="12" t="n"/>
      <c r="AM942" s="14">
        <f>IF($AD942="保留中",COUNTIF($AD$6:$AD942,"保留中"),"")</f>
        <v/>
      </c>
      <c r="AN942" s="14">
        <f>IF($AO942="","",IF(SUMPRODUCT(MAX((職員マスタ!$A$6:$A$405=$B942)*(((職員マスタ!$G$6:$G$405="")+(職員マスタ!$G$6:$G$405&lt;=EOMONTH($AO942,0)))&gt;0)*(((職員マスタ!$H$6:$H$405="")+(職員マスタ!$H$6:$H$405&gt;=$AO942))&gt;0)*(ROW(職員マスタ!$A$6:$A$405)-5)))&gt;0,SUMPRODUCT(MAX((職員マスタ!$A$6:$A$405=$B942)*(((職員マスタ!$G$6:$G$405="")+(職員マスタ!$G$6:$G$405&lt;=EOMONTH($AO942,0)))&gt;0)*(((職員マスタ!$H$6:$H$405="")+(職員マスタ!$H$6:$H$405&gt;=$AO942))&gt;0)*(ROW(職員マスタ!$A$6:$A$405)-5))),IFERROR(MATCH($B942,職員マスタ!$A$6:$A$405,0),"")))</f>
        <v/>
      </c>
      <c r="AO942" s="16">
        <f>IF(OR($B942="",$C942="",$D942=""),"",DATE($C942+2018,$D942,1))</f>
        <v/>
      </c>
    </row>
    <row r="943">
      <c r="A943" s="11" t="n"/>
      <c r="B943" s="12" t="n"/>
      <c r="C943" s="12" t="n"/>
      <c r="D943" s="12" t="n"/>
      <c r="E943" s="13" t="n"/>
      <c r="F943" s="12" t="n"/>
      <c r="G943" s="13" t="n"/>
      <c r="H943" s="12" t="n"/>
      <c r="I943" s="12" t="n"/>
      <c r="J943" s="12" t="n"/>
      <c r="K943" s="12" t="n"/>
      <c r="L943" s="11" t="n"/>
      <c r="M943" s="11" t="n"/>
      <c r="N943" s="11" t="n"/>
      <c r="O943" s="11" t="n"/>
      <c r="P943" s="12" t="n"/>
      <c r="Q943" s="11" t="n"/>
      <c r="R943" s="12" t="n"/>
      <c r="S943" s="11" t="n"/>
      <c r="T943" s="12" t="n"/>
      <c r="U943" s="12" t="n"/>
      <c r="V943" s="14">
        <f>IF($AN943="",IF($B943="","",$H943),IF(INDEX(職員マスタ!$B$6:$B$405,$AN943)="",$H943,INDEX(職員マスタ!$B$6:$B$405,$AN943)))</f>
        <v/>
      </c>
      <c r="W943" s="14">
        <f>IF($AN943="",IF($B943="","",$R943),IF(INDEX(職員マスタ!$C$6:$C$405,$AN943)="",$R943,INDEX(職員マスタ!$C$6:$C$405,$AN943)))</f>
        <v/>
      </c>
      <c r="X943" s="14">
        <f>IF($AO943="","","R"&amp;$C943&amp;"."&amp;$D943)</f>
        <v/>
      </c>
      <c r="Y943" s="15">
        <f>IF($AN943="","",IF(INDEX(職員マスタ!$K$6:$K$405,$AN943)="","",INDEX(職員マスタ!$K$6:$K$405,$AN943)))</f>
        <v/>
      </c>
      <c r="Z943" s="14">
        <f>IF(OR($E943="",$Y943=""),"",IF($E943&gt;=$Y943,"×",IF($E943&gt;=$Y943*設定!$C$5,"△","○")))</f>
        <v/>
      </c>
      <c r="AA943" s="15">
        <f>IF($Z943="","",IF($Z943="×",0,IF($Z943="○",ROUNDDOWN($E943*設定!$C$4,0),ROUNDDOWN($E943*ROUND((9*$Y943-9*$E943)/(10*$E943),4),0))))</f>
        <v/>
      </c>
      <c r="AB943" s="13" t="n"/>
      <c r="AC943" s="15">
        <f>IF($B943="","",IF($AB943&lt;&gt;"",$AB943,IF($AA943="","",IF($AA943&lt;=設定!$C$3,0,$AA943))))</f>
        <v/>
      </c>
      <c r="AD943" s="14">
        <f>IF($B943="","",IF(AND($AE943&lt;&gt;"",$AG943="",$AJ943=""),"保留中",IF($AJ943&lt;&gt;"",IF(N($AC943)&gt;0,"支給済","不支給"),IF($AC943="","要確認",IF($AC943=0,"不支給","未処理")))))</f>
        <v/>
      </c>
      <c r="AE943" s="12" t="n"/>
      <c r="AF943" s="11" t="n"/>
      <c r="AG943" s="11" t="n"/>
      <c r="AH943" s="11" t="n"/>
      <c r="AI943" s="14">
        <f>IF(AND($AD943="保留中",$AF943&lt;&gt;""),TODAY()-$AF943,"")</f>
        <v/>
      </c>
      <c r="AJ943" s="12" t="n"/>
      <c r="AK943" s="14">
        <f>IF($B943="","",IF($AO943="","対象年月が未入力／","")&amp;IF($B943="","",IF($AN943="","職員マスタに未登録の職員番号／",IF($Y943="","標準報酬月額が未登録／","")&amp;IF(AND($AO943&lt;&gt;"",OR(AND(INDEX(職員マスタ!$G$6:$G$405,$AN943)&lt;&gt;"",INDEX(職員マスタ!$G$6:$G$405,$AN943)&gt;EOMONTH($AO943,0)),AND(INDEX(職員マスタ!$H$6:$H$405,$AN943)&lt;&gt;"",INDEX(職員マスタ!$H$6:$H$405,$AN943)&lt;$AO943))),"対象月が時短期間外／","")&amp;IF(AND(INDEX(職員マスタ!$F$6:$F$405,$AN943)&lt;&gt;"",$AO943&lt;&gt;"",INDEX(職員マスタ!$F$6:$F$405,$AN943)&lt;$AO943),"対象月に子が2歳到達済／","")&amp;IF(AND($H943&lt;&gt;"",INDEX(職員マスタ!$B$6:$B$405,$AN943)&lt;&gt;"",SUBSTITUTE(SUBSTITUTE($H943," ","")," ","")&lt;&gt;SUBSTITUTE(SUBSTITUTE(INDEX(職員マスタ!$B$6:$B$405,$AN943)," ","")," ","")),"氏名がマスタと相違／","")&amp;IF(AND($Q943&lt;&gt;"",INDEX(職員マスタ!$E$6:$E$405,$AN943)&lt;&gt;"",$Q943&lt;&gt;INDEX(職員マスタ!$E$6:$E$405,$AN943)),"子の生年月日がマスタと相違／","")&amp;IF(AND($L943&lt;&gt;"",INDEX(職員マスタ!$G$6:$G$405,$AN943)&lt;&gt;"",$L943&lt;&gt;INDEX(職員マスタ!$G$6:$G$405,$AN943)),"時短開始日がマスタと相違／","")&amp;IF(AND($M943&lt;&gt;"",INDEX(職員マスタ!$H$6:$H$405,$AN943)&lt;&gt;"",$M943&lt;&gt;INDEX(職員マスタ!$H$6:$H$405,$AN943)),"時短終了日がマスタと相違／","")))&amp;IF(AND($B943&lt;&gt;"",$E943=""),"報酬額が未入力／","")&amp;IF(N($U943)&gt;0,"申請書に入力エラーが残っています／","")&amp;IF(AND($B943&lt;&gt;"",$AO943&lt;&gt;""),IF(COUNTIFS($B$6:$B$3005,$B943,$C$6:$C$3005,$C943,$D$6:$D$3005,$D943)&gt;1,"同じ月の請求が重複しています／",""),"")&amp;IF(AND(N($E943)&gt;0,$Z943&lt;&gt;"",$Z943&lt;&gt;"×",$AC943=0,$AB943=""),"計算額が下限以下のため不支給／",""))</f>
        <v/>
      </c>
      <c r="AL943" s="12" t="n"/>
      <c r="AM943" s="14">
        <f>IF($AD943="保留中",COUNTIF($AD$6:$AD943,"保留中"),"")</f>
        <v/>
      </c>
      <c r="AN943" s="14">
        <f>IF($AO943="","",IF(SUMPRODUCT(MAX((職員マスタ!$A$6:$A$405=$B943)*(((職員マスタ!$G$6:$G$405="")+(職員マスタ!$G$6:$G$405&lt;=EOMONTH($AO943,0)))&gt;0)*(((職員マスタ!$H$6:$H$405="")+(職員マスタ!$H$6:$H$405&gt;=$AO943))&gt;0)*(ROW(職員マスタ!$A$6:$A$405)-5)))&gt;0,SUMPRODUCT(MAX((職員マスタ!$A$6:$A$405=$B943)*(((職員マスタ!$G$6:$G$405="")+(職員マスタ!$G$6:$G$405&lt;=EOMONTH($AO943,0)))&gt;0)*(((職員マスタ!$H$6:$H$405="")+(職員マスタ!$H$6:$H$405&gt;=$AO943))&gt;0)*(ROW(職員マスタ!$A$6:$A$405)-5))),IFERROR(MATCH($B943,職員マスタ!$A$6:$A$405,0),"")))</f>
        <v/>
      </c>
      <c r="AO943" s="16">
        <f>IF(OR($B943="",$C943="",$D943=""),"",DATE($C943+2018,$D943,1))</f>
        <v/>
      </c>
    </row>
    <row r="944">
      <c r="A944" s="11" t="n"/>
      <c r="B944" s="12" t="n"/>
      <c r="C944" s="12" t="n"/>
      <c r="D944" s="12" t="n"/>
      <c r="E944" s="13" t="n"/>
      <c r="F944" s="12" t="n"/>
      <c r="G944" s="13" t="n"/>
      <c r="H944" s="12" t="n"/>
      <c r="I944" s="12" t="n"/>
      <c r="J944" s="12" t="n"/>
      <c r="K944" s="12" t="n"/>
      <c r="L944" s="11" t="n"/>
      <c r="M944" s="11" t="n"/>
      <c r="N944" s="11" t="n"/>
      <c r="O944" s="11" t="n"/>
      <c r="P944" s="12" t="n"/>
      <c r="Q944" s="11" t="n"/>
      <c r="R944" s="12" t="n"/>
      <c r="S944" s="11" t="n"/>
      <c r="T944" s="12" t="n"/>
      <c r="U944" s="12" t="n"/>
      <c r="V944" s="14">
        <f>IF($AN944="",IF($B944="","",$H944),IF(INDEX(職員マスタ!$B$6:$B$405,$AN944)="",$H944,INDEX(職員マスタ!$B$6:$B$405,$AN944)))</f>
        <v/>
      </c>
      <c r="W944" s="14">
        <f>IF($AN944="",IF($B944="","",$R944),IF(INDEX(職員マスタ!$C$6:$C$405,$AN944)="",$R944,INDEX(職員マスタ!$C$6:$C$405,$AN944)))</f>
        <v/>
      </c>
      <c r="X944" s="14">
        <f>IF($AO944="","","R"&amp;$C944&amp;"."&amp;$D944)</f>
        <v/>
      </c>
      <c r="Y944" s="15">
        <f>IF($AN944="","",IF(INDEX(職員マスタ!$K$6:$K$405,$AN944)="","",INDEX(職員マスタ!$K$6:$K$405,$AN944)))</f>
        <v/>
      </c>
      <c r="Z944" s="14">
        <f>IF(OR($E944="",$Y944=""),"",IF($E944&gt;=$Y944,"×",IF($E944&gt;=$Y944*設定!$C$5,"△","○")))</f>
        <v/>
      </c>
      <c r="AA944" s="15">
        <f>IF($Z944="","",IF($Z944="×",0,IF($Z944="○",ROUNDDOWN($E944*設定!$C$4,0),ROUNDDOWN($E944*ROUND((9*$Y944-9*$E944)/(10*$E944),4),0))))</f>
        <v/>
      </c>
      <c r="AB944" s="13" t="n"/>
      <c r="AC944" s="15">
        <f>IF($B944="","",IF($AB944&lt;&gt;"",$AB944,IF($AA944="","",IF($AA944&lt;=設定!$C$3,0,$AA944))))</f>
        <v/>
      </c>
      <c r="AD944" s="14">
        <f>IF($B944="","",IF(AND($AE944&lt;&gt;"",$AG944="",$AJ944=""),"保留中",IF($AJ944&lt;&gt;"",IF(N($AC944)&gt;0,"支給済","不支給"),IF($AC944="","要確認",IF($AC944=0,"不支給","未処理")))))</f>
        <v/>
      </c>
      <c r="AE944" s="12" t="n"/>
      <c r="AF944" s="11" t="n"/>
      <c r="AG944" s="11" t="n"/>
      <c r="AH944" s="11" t="n"/>
      <c r="AI944" s="14">
        <f>IF(AND($AD944="保留中",$AF944&lt;&gt;""),TODAY()-$AF944,"")</f>
        <v/>
      </c>
      <c r="AJ944" s="12" t="n"/>
      <c r="AK944" s="14">
        <f>IF($B944="","",IF($AO944="","対象年月が未入力／","")&amp;IF($B944="","",IF($AN944="","職員マスタに未登録の職員番号／",IF($Y944="","標準報酬月額が未登録／","")&amp;IF(AND($AO944&lt;&gt;"",OR(AND(INDEX(職員マスタ!$G$6:$G$405,$AN944)&lt;&gt;"",INDEX(職員マスタ!$G$6:$G$405,$AN944)&gt;EOMONTH($AO944,0)),AND(INDEX(職員マスタ!$H$6:$H$405,$AN944)&lt;&gt;"",INDEX(職員マスタ!$H$6:$H$405,$AN944)&lt;$AO944))),"対象月が時短期間外／","")&amp;IF(AND(INDEX(職員マスタ!$F$6:$F$405,$AN944)&lt;&gt;"",$AO944&lt;&gt;"",INDEX(職員マスタ!$F$6:$F$405,$AN944)&lt;$AO944),"対象月に子が2歳到達済／","")&amp;IF(AND($H944&lt;&gt;"",INDEX(職員マスタ!$B$6:$B$405,$AN944)&lt;&gt;"",SUBSTITUTE(SUBSTITUTE($H944," ","")," ","")&lt;&gt;SUBSTITUTE(SUBSTITUTE(INDEX(職員マスタ!$B$6:$B$405,$AN944)," ","")," ","")),"氏名がマスタと相違／","")&amp;IF(AND($Q944&lt;&gt;"",INDEX(職員マスタ!$E$6:$E$405,$AN944)&lt;&gt;"",$Q944&lt;&gt;INDEX(職員マスタ!$E$6:$E$405,$AN944)),"子の生年月日がマスタと相違／","")&amp;IF(AND($L944&lt;&gt;"",INDEX(職員マスタ!$G$6:$G$405,$AN944)&lt;&gt;"",$L944&lt;&gt;INDEX(職員マスタ!$G$6:$G$405,$AN944)),"時短開始日がマスタと相違／","")&amp;IF(AND($M944&lt;&gt;"",INDEX(職員マスタ!$H$6:$H$405,$AN944)&lt;&gt;"",$M944&lt;&gt;INDEX(職員マスタ!$H$6:$H$405,$AN944)),"時短終了日がマスタと相違／","")))&amp;IF(AND($B944&lt;&gt;"",$E944=""),"報酬額が未入力／","")&amp;IF(N($U944)&gt;0,"申請書に入力エラーが残っています／","")&amp;IF(AND($B944&lt;&gt;"",$AO944&lt;&gt;""),IF(COUNTIFS($B$6:$B$3005,$B944,$C$6:$C$3005,$C944,$D$6:$D$3005,$D944)&gt;1,"同じ月の請求が重複しています／",""),"")&amp;IF(AND(N($E944)&gt;0,$Z944&lt;&gt;"",$Z944&lt;&gt;"×",$AC944=0,$AB944=""),"計算額が下限以下のため不支給／",""))</f>
        <v/>
      </c>
      <c r="AL944" s="12" t="n"/>
      <c r="AM944" s="14">
        <f>IF($AD944="保留中",COUNTIF($AD$6:$AD944,"保留中"),"")</f>
        <v/>
      </c>
      <c r="AN944" s="14">
        <f>IF($AO944="","",IF(SUMPRODUCT(MAX((職員マスタ!$A$6:$A$405=$B944)*(((職員マスタ!$G$6:$G$405="")+(職員マスタ!$G$6:$G$405&lt;=EOMONTH($AO944,0)))&gt;0)*(((職員マスタ!$H$6:$H$405="")+(職員マスタ!$H$6:$H$405&gt;=$AO944))&gt;0)*(ROW(職員マスタ!$A$6:$A$405)-5)))&gt;0,SUMPRODUCT(MAX((職員マスタ!$A$6:$A$405=$B944)*(((職員マスタ!$G$6:$G$405="")+(職員マスタ!$G$6:$G$405&lt;=EOMONTH($AO944,0)))&gt;0)*(((職員マスタ!$H$6:$H$405="")+(職員マスタ!$H$6:$H$405&gt;=$AO944))&gt;0)*(ROW(職員マスタ!$A$6:$A$405)-5))),IFERROR(MATCH($B944,職員マスタ!$A$6:$A$405,0),"")))</f>
        <v/>
      </c>
      <c r="AO944" s="16">
        <f>IF(OR($B944="",$C944="",$D944=""),"",DATE($C944+2018,$D944,1))</f>
        <v/>
      </c>
    </row>
    <row r="945">
      <c r="A945" s="11" t="n"/>
      <c r="B945" s="12" t="n"/>
      <c r="C945" s="12" t="n"/>
      <c r="D945" s="12" t="n"/>
      <c r="E945" s="13" t="n"/>
      <c r="F945" s="12" t="n"/>
      <c r="G945" s="13" t="n"/>
      <c r="H945" s="12" t="n"/>
      <c r="I945" s="12" t="n"/>
      <c r="J945" s="12" t="n"/>
      <c r="K945" s="12" t="n"/>
      <c r="L945" s="11" t="n"/>
      <c r="M945" s="11" t="n"/>
      <c r="N945" s="11" t="n"/>
      <c r="O945" s="11" t="n"/>
      <c r="P945" s="12" t="n"/>
      <c r="Q945" s="11" t="n"/>
      <c r="R945" s="12" t="n"/>
      <c r="S945" s="11" t="n"/>
      <c r="T945" s="12" t="n"/>
      <c r="U945" s="12" t="n"/>
      <c r="V945" s="14">
        <f>IF($AN945="",IF($B945="","",$H945),IF(INDEX(職員マスタ!$B$6:$B$405,$AN945)="",$H945,INDEX(職員マスタ!$B$6:$B$405,$AN945)))</f>
        <v/>
      </c>
      <c r="W945" s="14">
        <f>IF($AN945="",IF($B945="","",$R945),IF(INDEX(職員マスタ!$C$6:$C$405,$AN945)="",$R945,INDEX(職員マスタ!$C$6:$C$405,$AN945)))</f>
        <v/>
      </c>
      <c r="X945" s="14">
        <f>IF($AO945="","","R"&amp;$C945&amp;"."&amp;$D945)</f>
        <v/>
      </c>
      <c r="Y945" s="15">
        <f>IF($AN945="","",IF(INDEX(職員マスタ!$K$6:$K$405,$AN945)="","",INDEX(職員マスタ!$K$6:$K$405,$AN945)))</f>
        <v/>
      </c>
      <c r="Z945" s="14">
        <f>IF(OR($E945="",$Y945=""),"",IF($E945&gt;=$Y945,"×",IF($E945&gt;=$Y945*設定!$C$5,"△","○")))</f>
        <v/>
      </c>
      <c r="AA945" s="15">
        <f>IF($Z945="","",IF($Z945="×",0,IF($Z945="○",ROUNDDOWN($E945*設定!$C$4,0),ROUNDDOWN($E945*ROUND((9*$Y945-9*$E945)/(10*$E945),4),0))))</f>
        <v/>
      </c>
      <c r="AB945" s="13" t="n"/>
      <c r="AC945" s="15">
        <f>IF($B945="","",IF($AB945&lt;&gt;"",$AB945,IF($AA945="","",IF($AA945&lt;=設定!$C$3,0,$AA945))))</f>
        <v/>
      </c>
      <c r="AD945" s="14">
        <f>IF($B945="","",IF(AND($AE945&lt;&gt;"",$AG945="",$AJ945=""),"保留中",IF($AJ945&lt;&gt;"",IF(N($AC945)&gt;0,"支給済","不支給"),IF($AC945="","要確認",IF($AC945=0,"不支給","未処理")))))</f>
        <v/>
      </c>
      <c r="AE945" s="12" t="n"/>
      <c r="AF945" s="11" t="n"/>
      <c r="AG945" s="11" t="n"/>
      <c r="AH945" s="11" t="n"/>
      <c r="AI945" s="14">
        <f>IF(AND($AD945="保留中",$AF945&lt;&gt;""),TODAY()-$AF945,"")</f>
        <v/>
      </c>
      <c r="AJ945" s="12" t="n"/>
      <c r="AK945" s="14">
        <f>IF($B945="","",IF($AO945="","対象年月が未入力／","")&amp;IF($B945="","",IF($AN945="","職員マスタに未登録の職員番号／",IF($Y945="","標準報酬月額が未登録／","")&amp;IF(AND($AO945&lt;&gt;"",OR(AND(INDEX(職員マスタ!$G$6:$G$405,$AN945)&lt;&gt;"",INDEX(職員マスタ!$G$6:$G$405,$AN945)&gt;EOMONTH($AO945,0)),AND(INDEX(職員マスタ!$H$6:$H$405,$AN945)&lt;&gt;"",INDEX(職員マスタ!$H$6:$H$405,$AN945)&lt;$AO945))),"対象月が時短期間外／","")&amp;IF(AND(INDEX(職員マスタ!$F$6:$F$405,$AN945)&lt;&gt;"",$AO945&lt;&gt;"",INDEX(職員マスタ!$F$6:$F$405,$AN945)&lt;$AO945),"対象月に子が2歳到達済／","")&amp;IF(AND($H945&lt;&gt;"",INDEX(職員マスタ!$B$6:$B$405,$AN945)&lt;&gt;"",SUBSTITUTE(SUBSTITUTE($H945," ","")," ","")&lt;&gt;SUBSTITUTE(SUBSTITUTE(INDEX(職員マスタ!$B$6:$B$405,$AN945)," ","")," ","")),"氏名がマスタと相違／","")&amp;IF(AND($Q945&lt;&gt;"",INDEX(職員マスタ!$E$6:$E$405,$AN945)&lt;&gt;"",$Q945&lt;&gt;INDEX(職員マスタ!$E$6:$E$405,$AN945)),"子の生年月日がマスタと相違／","")&amp;IF(AND($L945&lt;&gt;"",INDEX(職員マスタ!$G$6:$G$405,$AN945)&lt;&gt;"",$L945&lt;&gt;INDEX(職員マスタ!$G$6:$G$405,$AN945)),"時短開始日がマスタと相違／","")&amp;IF(AND($M945&lt;&gt;"",INDEX(職員マスタ!$H$6:$H$405,$AN945)&lt;&gt;"",$M945&lt;&gt;INDEX(職員マスタ!$H$6:$H$405,$AN945)),"時短終了日がマスタと相違／","")))&amp;IF(AND($B945&lt;&gt;"",$E945=""),"報酬額が未入力／","")&amp;IF(N($U945)&gt;0,"申請書に入力エラーが残っています／","")&amp;IF(AND($B945&lt;&gt;"",$AO945&lt;&gt;""),IF(COUNTIFS($B$6:$B$3005,$B945,$C$6:$C$3005,$C945,$D$6:$D$3005,$D945)&gt;1,"同じ月の請求が重複しています／",""),"")&amp;IF(AND(N($E945)&gt;0,$Z945&lt;&gt;"",$Z945&lt;&gt;"×",$AC945=0,$AB945=""),"計算額が下限以下のため不支給／",""))</f>
        <v/>
      </c>
      <c r="AL945" s="12" t="n"/>
      <c r="AM945" s="14">
        <f>IF($AD945="保留中",COUNTIF($AD$6:$AD945,"保留中"),"")</f>
        <v/>
      </c>
      <c r="AN945" s="14">
        <f>IF($AO945="","",IF(SUMPRODUCT(MAX((職員マスタ!$A$6:$A$405=$B945)*(((職員マスタ!$G$6:$G$405="")+(職員マスタ!$G$6:$G$405&lt;=EOMONTH($AO945,0)))&gt;0)*(((職員マスタ!$H$6:$H$405="")+(職員マスタ!$H$6:$H$405&gt;=$AO945))&gt;0)*(ROW(職員マスタ!$A$6:$A$405)-5)))&gt;0,SUMPRODUCT(MAX((職員マスタ!$A$6:$A$405=$B945)*(((職員マスタ!$G$6:$G$405="")+(職員マスタ!$G$6:$G$405&lt;=EOMONTH($AO945,0)))&gt;0)*(((職員マスタ!$H$6:$H$405="")+(職員マスタ!$H$6:$H$405&gt;=$AO945))&gt;0)*(ROW(職員マスタ!$A$6:$A$405)-5))),IFERROR(MATCH($B945,職員マスタ!$A$6:$A$405,0),"")))</f>
        <v/>
      </c>
      <c r="AO945" s="16">
        <f>IF(OR($B945="",$C945="",$D945=""),"",DATE($C945+2018,$D945,1))</f>
        <v/>
      </c>
    </row>
    <row r="946">
      <c r="A946" s="11" t="n"/>
      <c r="B946" s="12" t="n"/>
      <c r="C946" s="12" t="n"/>
      <c r="D946" s="12" t="n"/>
      <c r="E946" s="13" t="n"/>
      <c r="F946" s="12" t="n"/>
      <c r="G946" s="13" t="n"/>
      <c r="H946" s="12" t="n"/>
      <c r="I946" s="12" t="n"/>
      <c r="J946" s="12" t="n"/>
      <c r="K946" s="12" t="n"/>
      <c r="L946" s="11" t="n"/>
      <c r="M946" s="11" t="n"/>
      <c r="N946" s="11" t="n"/>
      <c r="O946" s="11" t="n"/>
      <c r="P946" s="12" t="n"/>
      <c r="Q946" s="11" t="n"/>
      <c r="R946" s="12" t="n"/>
      <c r="S946" s="11" t="n"/>
      <c r="T946" s="12" t="n"/>
      <c r="U946" s="12" t="n"/>
      <c r="V946" s="14">
        <f>IF($AN946="",IF($B946="","",$H946),IF(INDEX(職員マスタ!$B$6:$B$405,$AN946)="",$H946,INDEX(職員マスタ!$B$6:$B$405,$AN946)))</f>
        <v/>
      </c>
      <c r="W946" s="14">
        <f>IF($AN946="",IF($B946="","",$R946),IF(INDEX(職員マスタ!$C$6:$C$405,$AN946)="",$R946,INDEX(職員マスタ!$C$6:$C$405,$AN946)))</f>
        <v/>
      </c>
      <c r="X946" s="14">
        <f>IF($AO946="","","R"&amp;$C946&amp;"."&amp;$D946)</f>
        <v/>
      </c>
      <c r="Y946" s="15">
        <f>IF($AN946="","",IF(INDEX(職員マスタ!$K$6:$K$405,$AN946)="","",INDEX(職員マスタ!$K$6:$K$405,$AN946)))</f>
        <v/>
      </c>
      <c r="Z946" s="14">
        <f>IF(OR($E946="",$Y946=""),"",IF($E946&gt;=$Y946,"×",IF($E946&gt;=$Y946*設定!$C$5,"△","○")))</f>
        <v/>
      </c>
      <c r="AA946" s="15">
        <f>IF($Z946="","",IF($Z946="×",0,IF($Z946="○",ROUNDDOWN($E946*設定!$C$4,0),ROUNDDOWN($E946*ROUND((9*$Y946-9*$E946)/(10*$E946),4),0))))</f>
        <v/>
      </c>
      <c r="AB946" s="13" t="n"/>
      <c r="AC946" s="15">
        <f>IF($B946="","",IF($AB946&lt;&gt;"",$AB946,IF($AA946="","",IF($AA946&lt;=設定!$C$3,0,$AA946))))</f>
        <v/>
      </c>
      <c r="AD946" s="14">
        <f>IF($B946="","",IF(AND($AE946&lt;&gt;"",$AG946="",$AJ946=""),"保留中",IF($AJ946&lt;&gt;"",IF(N($AC946)&gt;0,"支給済","不支給"),IF($AC946="","要確認",IF($AC946=0,"不支給","未処理")))))</f>
        <v/>
      </c>
      <c r="AE946" s="12" t="n"/>
      <c r="AF946" s="11" t="n"/>
      <c r="AG946" s="11" t="n"/>
      <c r="AH946" s="11" t="n"/>
      <c r="AI946" s="14">
        <f>IF(AND($AD946="保留中",$AF946&lt;&gt;""),TODAY()-$AF946,"")</f>
        <v/>
      </c>
      <c r="AJ946" s="12" t="n"/>
      <c r="AK946" s="14">
        <f>IF($B946="","",IF($AO946="","対象年月が未入力／","")&amp;IF($B946="","",IF($AN946="","職員マスタに未登録の職員番号／",IF($Y946="","標準報酬月額が未登録／","")&amp;IF(AND($AO946&lt;&gt;"",OR(AND(INDEX(職員マスタ!$G$6:$G$405,$AN946)&lt;&gt;"",INDEX(職員マスタ!$G$6:$G$405,$AN946)&gt;EOMONTH($AO946,0)),AND(INDEX(職員マスタ!$H$6:$H$405,$AN946)&lt;&gt;"",INDEX(職員マスタ!$H$6:$H$405,$AN946)&lt;$AO946))),"対象月が時短期間外／","")&amp;IF(AND(INDEX(職員マスタ!$F$6:$F$405,$AN946)&lt;&gt;"",$AO946&lt;&gt;"",INDEX(職員マスタ!$F$6:$F$405,$AN946)&lt;$AO946),"対象月に子が2歳到達済／","")&amp;IF(AND($H946&lt;&gt;"",INDEX(職員マスタ!$B$6:$B$405,$AN946)&lt;&gt;"",SUBSTITUTE(SUBSTITUTE($H946," ","")," ","")&lt;&gt;SUBSTITUTE(SUBSTITUTE(INDEX(職員マスタ!$B$6:$B$405,$AN946)," ","")," ","")),"氏名がマスタと相違／","")&amp;IF(AND($Q946&lt;&gt;"",INDEX(職員マスタ!$E$6:$E$405,$AN946)&lt;&gt;"",$Q946&lt;&gt;INDEX(職員マスタ!$E$6:$E$405,$AN946)),"子の生年月日がマスタと相違／","")&amp;IF(AND($L946&lt;&gt;"",INDEX(職員マスタ!$G$6:$G$405,$AN946)&lt;&gt;"",$L946&lt;&gt;INDEX(職員マスタ!$G$6:$G$405,$AN946)),"時短開始日がマスタと相違／","")&amp;IF(AND($M946&lt;&gt;"",INDEX(職員マスタ!$H$6:$H$405,$AN946)&lt;&gt;"",$M946&lt;&gt;INDEX(職員マスタ!$H$6:$H$405,$AN946)),"時短終了日がマスタと相違／","")))&amp;IF(AND($B946&lt;&gt;"",$E946=""),"報酬額が未入力／","")&amp;IF(N($U946)&gt;0,"申請書に入力エラーが残っています／","")&amp;IF(AND($B946&lt;&gt;"",$AO946&lt;&gt;""),IF(COUNTIFS($B$6:$B$3005,$B946,$C$6:$C$3005,$C946,$D$6:$D$3005,$D946)&gt;1,"同じ月の請求が重複しています／",""),"")&amp;IF(AND(N($E946)&gt;0,$Z946&lt;&gt;"",$Z946&lt;&gt;"×",$AC946=0,$AB946=""),"計算額が下限以下のため不支給／",""))</f>
        <v/>
      </c>
      <c r="AL946" s="12" t="n"/>
      <c r="AM946" s="14">
        <f>IF($AD946="保留中",COUNTIF($AD$6:$AD946,"保留中"),"")</f>
        <v/>
      </c>
      <c r="AN946" s="14">
        <f>IF($AO946="","",IF(SUMPRODUCT(MAX((職員マスタ!$A$6:$A$405=$B946)*(((職員マスタ!$G$6:$G$405="")+(職員マスタ!$G$6:$G$405&lt;=EOMONTH($AO946,0)))&gt;0)*(((職員マスタ!$H$6:$H$405="")+(職員マスタ!$H$6:$H$405&gt;=$AO946))&gt;0)*(ROW(職員マスタ!$A$6:$A$405)-5)))&gt;0,SUMPRODUCT(MAX((職員マスタ!$A$6:$A$405=$B946)*(((職員マスタ!$G$6:$G$405="")+(職員マスタ!$G$6:$G$405&lt;=EOMONTH($AO946,0)))&gt;0)*(((職員マスタ!$H$6:$H$405="")+(職員マスタ!$H$6:$H$405&gt;=$AO946))&gt;0)*(ROW(職員マスタ!$A$6:$A$405)-5))),IFERROR(MATCH($B946,職員マスタ!$A$6:$A$405,0),"")))</f>
        <v/>
      </c>
      <c r="AO946" s="16">
        <f>IF(OR($B946="",$C946="",$D946=""),"",DATE($C946+2018,$D946,1))</f>
        <v/>
      </c>
    </row>
    <row r="947">
      <c r="A947" s="11" t="n"/>
      <c r="B947" s="12" t="n"/>
      <c r="C947" s="12" t="n"/>
      <c r="D947" s="12" t="n"/>
      <c r="E947" s="13" t="n"/>
      <c r="F947" s="12" t="n"/>
      <c r="G947" s="13" t="n"/>
      <c r="H947" s="12" t="n"/>
      <c r="I947" s="12" t="n"/>
      <c r="J947" s="12" t="n"/>
      <c r="K947" s="12" t="n"/>
      <c r="L947" s="11" t="n"/>
      <c r="M947" s="11" t="n"/>
      <c r="N947" s="11" t="n"/>
      <c r="O947" s="11" t="n"/>
      <c r="P947" s="12" t="n"/>
      <c r="Q947" s="11" t="n"/>
      <c r="R947" s="12" t="n"/>
      <c r="S947" s="11" t="n"/>
      <c r="T947" s="12" t="n"/>
      <c r="U947" s="12" t="n"/>
      <c r="V947" s="14">
        <f>IF($AN947="",IF($B947="","",$H947),IF(INDEX(職員マスタ!$B$6:$B$405,$AN947)="",$H947,INDEX(職員マスタ!$B$6:$B$405,$AN947)))</f>
        <v/>
      </c>
      <c r="W947" s="14">
        <f>IF($AN947="",IF($B947="","",$R947),IF(INDEX(職員マスタ!$C$6:$C$405,$AN947)="",$R947,INDEX(職員マスタ!$C$6:$C$405,$AN947)))</f>
        <v/>
      </c>
      <c r="X947" s="14">
        <f>IF($AO947="","","R"&amp;$C947&amp;"."&amp;$D947)</f>
        <v/>
      </c>
      <c r="Y947" s="15">
        <f>IF($AN947="","",IF(INDEX(職員マスタ!$K$6:$K$405,$AN947)="","",INDEX(職員マスタ!$K$6:$K$405,$AN947)))</f>
        <v/>
      </c>
      <c r="Z947" s="14">
        <f>IF(OR($E947="",$Y947=""),"",IF($E947&gt;=$Y947,"×",IF($E947&gt;=$Y947*設定!$C$5,"△","○")))</f>
        <v/>
      </c>
      <c r="AA947" s="15">
        <f>IF($Z947="","",IF($Z947="×",0,IF($Z947="○",ROUNDDOWN($E947*設定!$C$4,0),ROUNDDOWN($E947*ROUND((9*$Y947-9*$E947)/(10*$E947),4),0))))</f>
        <v/>
      </c>
      <c r="AB947" s="13" t="n"/>
      <c r="AC947" s="15">
        <f>IF($B947="","",IF($AB947&lt;&gt;"",$AB947,IF($AA947="","",IF($AA947&lt;=設定!$C$3,0,$AA947))))</f>
        <v/>
      </c>
      <c r="AD947" s="14">
        <f>IF($B947="","",IF(AND($AE947&lt;&gt;"",$AG947="",$AJ947=""),"保留中",IF($AJ947&lt;&gt;"",IF(N($AC947)&gt;0,"支給済","不支給"),IF($AC947="","要確認",IF($AC947=0,"不支給","未処理")))))</f>
        <v/>
      </c>
      <c r="AE947" s="12" t="n"/>
      <c r="AF947" s="11" t="n"/>
      <c r="AG947" s="11" t="n"/>
      <c r="AH947" s="11" t="n"/>
      <c r="AI947" s="14">
        <f>IF(AND($AD947="保留中",$AF947&lt;&gt;""),TODAY()-$AF947,"")</f>
        <v/>
      </c>
      <c r="AJ947" s="12" t="n"/>
      <c r="AK947" s="14">
        <f>IF($B947="","",IF($AO947="","対象年月が未入力／","")&amp;IF($B947="","",IF($AN947="","職員マスタに未登録の職員番号／",IF($Y947="","標準報酬月額が未登録／","")&amp;IF(AND($AO947&lt;&gt;"",OR(AND(INDEX(職員マスタ!$G$6:$G$405,$AN947)&lt;&gt;"",INDEX(職員マスタ!$G$6:$G$405,$AN947)&gt;EOMONTH($AO947,0)),AND(INDEX(職員マスタ!$H$6:$H$405,$AN947)&lt;&gt;"",INDEX(職員マスタ!$H$6:$H$405,$AN947)&lt;$AO947))),"対象月が時短期間外／","")&amp;IF(AND(INDEX(職員マスタ!$F$6:$F$405,$AN947)&lt;&gt;"",$AO947&lt;&gt;"",INDEX(職員マスタ!$F$6:$F$405,$AN947)&lt;$AO947),"対象月に子が2歳到達済／","")&amp;IF(AND($H947&lt;&gt;"",INDEX(職員マスタ!$B$6:$B$405,$AN947)&lt;&gt;"",SUBSTITUTE(SUBSTITUTE($H947," ","")," ","")&lt;&gt;SUBSTITUTE(SUBSTITUTE(INDEX(職員マスタ!$B$6:$B$405,$AN947)," ","")," ","")),"氏名がマスタと相違／","")&amp;IF(AND($Q947&lt;&gt;"",INDEX(職員マスタ!$E$6:$E$405,$AN947)&lt;&gt;"",$Q947&lt;&gt;INDEX(職員マスタ!$E$6:$E$405,$AN947)),"子の生年月日がマスタと相違／","")&amp;IF(AND($L947&lt;&gt;"",INDEX(職員マスタ!$G$6:$G$405,$AN947)&lt;&gt;"",$L947&lt;&gt;INDEX(職員マスタ!$G$6:$G$405,$AN947)),"時短開始日がマスタと相違／","")&amp;IF(AND($M947&lt;&gt;"",INDEX(職員マスタ!$H$6:$H$405,$AN947)&lt;&gt;"",$M947&lt;&gt;INDEX(職員マスタ!$H$6:$H$405,$AN947)),"時短終了日がマスタと相違／","")))&amp;IF(AND($B947&lt;&gt;"",$E947=""),"報酬額が未入力／","")&amp;IF(N($U947)&gt;0,"申請書に入力エラーが残っています／","")&amp;IF(AND($B947&lt;&gt;"",$AO947&lt;&gt;""),IF(COUNTIFS($B$6:$B$3005,$B947,$C$6:$C$3005,$C947,$D$6:$D$3005,$D947)&gt;1,"同じ月の請求が重複しています／",""),"")&amp;IF(AND(N($E947)&gt;0,$Z947&lt;&gt;"",$Z947&lt;&gt;"×",$AC947=0,$AB947=""),"計算額が下限以下のため不支給／",""))</f>
        <v/>
      </c>
      <c r="AL947" s="12" t="n"/>
      <c r="AM947" s="14">
        <f>IF($AD947="保留中",COUNTIF($AD$6:$AD947,"保留中"),"")</f>
        <v/>
      </c>
      <c r="AN947" s="14">
        <f>IF($AO947="","",IF(SUMPRODUCT(MAX((職員マスタ!$A$6:$A$405=$B947)*(((職員マスタ!$G$6:$G$405="")+(職員マスタ!$G$6:$G$405&lt;=EOMONTH($AO947,0)))&gt;0)*(((職員マスタ!$H$6:$H$405="")+(職員マスタ!$H$6:$H$405&gt;=$AO947))&gt;0)*(ROW(職員マスタ!$A$6:$A$405)-5)))&gt;0,SUMPRODUCT(MAX((職員マスタ!$A$6:$A$405=$B947)*(((職員マスタ!$G$6:$G$405="")+(職員マスタ!$G$6:$G$405&lt;=EOMONTH($AO947,0)))&gt;0)*(((職員マスタ!$H$6:$H$405="")+(職員マスタ!$H$6:$H$405&gt;=$AO947))&gt;0)*(ROW(職員マスタ!$A$6:$A$405)-5))),IFERROR(MATCH($B947,職員マスタ!$A$6:$A$405,0),"")))</f>
        <v/>
      </c>
      <c r="AO947" s="16">
        <f>IF(OR($B947="",$C947="",$D947=""),"",DATE($C947+2018,$D947,1))</f>
        <v/>
      </c>
    </row>
    <row r="948">
      <c r="A948" s="11" t="n"/>
      <c r="B948" s="12" t="n"/>
      <c r="C948" s="12" t="n"/>
      <c r="D948" s="12" t="n"/>
      <c r="E948" s="13" t="n"/>
      <c r="F948" s="12" t="n"/>
      <c r="G948" s="13" t="n"/>
      <c r="H948" s="12" t="n"/>
      <c r="I948" s="12" t="n"/>
      <c r="J948" s="12" t="n"/>
      <c r="K948" s="12" t="n"/>
      <c r="L948" s="11" t="n"/>
      <c r="M948" s="11" t="n"/>
      <c r="N948" s="11" t="n"/>
      <c r="O948" s="11" t="n"/>
      <c r="P948" s="12" t="n"/>
      <c r="Q948" s="11" t="n"/>
      <c r="R948" s="12" t="n"/>
      <c r="S948" s="11" t="n"/>
      <c r="T948" s="12" t="n"/>
      <c r="U948" s="12" t="n"/>
      <c r="V948" s="14">
        <f>IF($AN948="",IF($B948="","",$H948),IF(INDEX(職員マスタ!$B$6:$B$405,$AN948)="",$H948,INDEX(職員マスタ!$B$6:$B$405,$AN948)))</f>
        <v/>
      </c>
      <c r="W948" s="14">
        <f>IF($AN948="",IF($B948="","",$R948),IF(INDEX(職員マスタ!$C$6:$C$405,$AN948)="",$R948,INDEX(職員マスタ!$C$6:$C$405,$AN948)))</f>
        <v/>
      </c>
      <c r="X948" s="14">
        <f>IF($AO948="","","R"&amp;$C948&amp;"."&amp;$D948)</f>
        <v/>
      </c>
      <c r="Y948" s="15">
        <f>IF($AN948="","",IF(INDEX(職員マスタ!$K$6:$K$405,$AN948)="","",INDEX(職員マスタ!$K$6:$K$405,$AN948)))</f>
        <v/>
      </c>
      <c r="Z948" s="14">
        <f>IF(OR($E948="",$Y948=""),"",IF($E948&gt;=$Y948,"×",IF($E948&gt;=$Y948*設定!$C$5,"△","○")))</f>
        <v/>
      </c>
      <c r="AA948" s="15">
        <f>IF($Z948="","",IF($Z948="×",0,IF($Z948="○",ROUNDDOWN($E948*設定!$C$4,0),ROUNDDOWN($E948*ROUND((9*$Y948-9*$E948)/(10*$E948),4),0))))</f>
        <v/>
      </c>
      <c r="AB948" s="13" t="n"/>
      <c r="AC948" s="15">
        <f>IF($B948="","",IF($AB948&lt;&gt;"",$AB948,IF($AA948="","",IF($AA948&lt;=設定!$C$3,0,$AA948))))</f>
        <v/>
      </c>
      <c r="AD948" s="14">
        <f>IF($B948="","",IF(AND($AE948&lt;&gt;"",$AG948="",$AJ948=""),"保留中",IF($AJ948&lt;&gt;"",IF(N($AC948)&gt;0,"支給済","不支給"),IF($AC948="","要確認",IF($AC948=0,"不支給","未処理")))))</f>
        <v/>
      </c>
      <c r="AE948" s="12" t="n"/>
      <c r="AF948" s="11" t="n"/>
      <c r="AG948" s="11" t="n"/>
      <c r="AH948" s="11" t="n"/>
      <c r="AI948" s="14">
        <f>IF(AND($AD948="保留中",$AF948&lt;&gt;""),TODAY()-$AF948,"")</f>
        <v/>
      </c>
      <c r="AJ948" s="12" t="n"/>
      <c r="AK948" s="14">
        <f>IF($B948="","",IF($AO948="","対象年月が未入力／","")&amp;IF($B948="","",IF($AN948="","職員マスタに未登録の職員番号／",IF($Y948="","標準報酬月額が未登録／","")&amp;IF(AND($AO948&lt;&gt;"",OR(AND(INDEX(職員マスタ!$G$6:$G$405,$AN948)&lt;&gt;"",INDEX(職員マスタ!$G$6:$G$405,$AN948)&gt;EOMONTH($AO948,0)),AND(INDEX(職員マスタ!$H$6:$H$405,$AN948)&lt;&gt;"",INDEX(職員マスタ!$H$6:$H$405,$AN948)&lt;$AO948))),"対象月が時短期間外／","")&amp;IF(AND(INDEX(職員マスタ!$F$6:$F$405,$AN948)&lt;&gt;"",$AO948&lt;&gt;"",INDEX(職員マスタ!$F$6:$F$405,$AN948)&lt;$AO948),"対象月に子が2歳到達済／","")&amp;IF(AND($H948&lt;&gt;"",INDEX(職員マスタ!$B$6:$B$405,$AN948)&lt;&gt;"",SUBSTITUTE(SUBSTITUTE($H948," ","")," ","")&lt;&gt;SUBSTITUTE(SUBSTITUTE(INDEX(職員マスタ!$B$6:$B$405,$AN948)," ","")," ","")),"氏名がマスタと相違／","")&amp;IF(AND($Q948&lt;&gt;"",INDEX(職員マスタ!$E$6:$E$405,$AN948)&lt;&gt;"",$Q948&lt;&gt;INDEX(職員マスタ!$E$6:$E$405,$AN948)),"子の生年月日がマスタと相違／","")&amp;IF(AND($L948&lt;&gt;"",INDEX(職員マスタ!$G$6:$G$405,$AN948)&lt;&gt;"",$L948&lt;&gt;INDEX(職員マスタ!$G$6:$G$405,$AN948)),"時短開始日がマスタと相違／","")&amp;IF(AND($M948&lt;&gt;"",INDEX(職員マスタ!$H$6:$H$405,$AN948)&lt;&gt;"",$M948&lt;&gt;INDEX(職員マスタ!$H$6:$H$405,$AN948)),"時短終了日がマスタと相違／","")))&amp;IF(AND($B948&lt;&gt;"",$E948=""),"報酬額が未入力／","")&amp;IF(N($U948)&gt;0,"申請書に入力エラーが残っています／","")&amp;IF(AND($B948&lt;&gt;"",$AO948&lt;&gt;""),IF(COUNTIFS($B$6:$B$3005,$B948,$C$6:$C$3005,$C948,$D$6:$D$3005,$D948)&gt;1,"同じ月の請求が重複しています／",""),"")&amp;IF(AND(N($E948)&gt;0,$Z948&lt;&gt;"",$Z948&lt;&gt;"×",$AC948=0,$AB948=""),"計算額が下限以下のため不支給／",""))</f>
        <v/>
      </c>
      <c r="AL948" s="12" t="n"/>
      <c r="AM948" s="14">
        <f>IF($AD948="保留中",COUNTIF($AD$6:$AD948,"保留中"),"")</f>
        <v/>
      </c>
      <c r="AN948" s="14">
        <f>IF($AO948="","",IF(SUMPRODUCT(MAX((職員マスタ!$A$6:$A$405=$B948)*(((職員マスタ!$G$6:$G$405="")+(職員マスタ!$G$6:$G$405&lt;=EOMONTH($AO948,0)))&gt;0)*(((職員マスタ!$H$6:$H$405="")+(職員マスタ!$H$6:$H$405&gt;=$AO948))&gt;0)*(ROW(職員マスタ!$A$6:$A$405)-5)))&gt;0,SUMPRODUCT(MAX((職員マスタ!$A$6:$A$405=$B948)*(((職員マスタ!$G$6:$G$405="")+(職員マスタ!$G$6:$G$405&lt;=EOMONTH($AO948,0)))&gt;0)*(((職員マスタ!$H$6:$H$405="")+(職員マスタ!$H$6:$H$405&gt;=$AO948))&gt;0)*(ROW(職員マスタ!$A$6:$A$405)-5))),IFERROR(MATCH($B948,職員マスタ!$A$6:$A$405,0),"")))</f>
        <v/>
      </c>
      <c r="AO948" s="16">
        <f>IF(OR($B948="",$C948="",$D948=""),"",DATE($C948+2018,$D948,1))</f>
        <v/>
      </c>
    </row>
    <row r="949">
      <c r="A949" s="11" t="n"/>
      <c r="B949" s="12" t="n"/>
      <c r="C949" s="12" t="n"/>
      <c r="D949" s="12" t="n"/>
      <c r="E949" s="13" t="n"/>
      <c r="F949" s="12" t="n"/>
      <c r="G949" s="13" t="n"/>
      <c r="H949" s="12" t="n"/>
      <c r="I949" s="12" t="n"/>
      <c r="J949" s="12" t="n"/>
      <c r="K949" s="12" t="n"/>
      <c r="L949" s="11" t="n"/>
      <c r="M949" s="11" t="n"/>
      <c r="N949" s="11" t="n"/>
      <c r="O949" s="11" t="n"/>
      <c r="P949" s="12" t="n"/>
      <c r="Q949" s="11" t="n"/>
      <c r="R949" s="12" t="n"/>
      <c r="S949" s="11" t="n"/>
      <c r="T949" s="12" t="n"/>
      <c r="U949" s="12" t="n"/>
      <c r="V949" s="14">
        <f>IF($AN949="",IF($B949="","",$H949),IF(INDEX(職員マスタ!$B$6:$B$405,$AN949)="",$H949,INDEX(職員マスタ!$B$6:$B$405,$AN949)))</f>
        <v/>
      </c>
      <c r="W949" s="14">
        <f>IF($AN949="",IF($B949="","",$R949),IF(INDEX(職員マスタ!$C$6:$C$405,$AN949)="",$R949,INDEX(職員マスタ!$C$6:$C$405,$AN949)))</f>
        <v/>
      </c>
      <c r="X949" s="14">
        <f>IF($AO949="","","R"&amp;$C949&amp;"."&amp;$D949)</f>
        <v/>
      </c>
      <c r="Y949" s="15">
        <f>IF($AN949="","",IF(INDEX(職員マスタ!$K$6:$K$405,$AN949)="","",INDEX(職員マスタ!$K$6:$K$405,$AN949)))</f>
        <v/>
      </c>
      <c r="Z949" s="14">
        <f>IF(OR($E949="",$Y949=""),"",IF($E949&gt;=$Y949,"×",IF($E949&gt;=$Y949*設定!$C$5,"△","○")))</f>
        <v/>
      </c>
      <c r="AA949" s="15">
        <f>IF($Z949="","",IF($Z949="×",0,IF($Z949="○",ROUNDDOWN($E949*設定!$C$4,0),ROUNDDOWN($E949*ROUND((9*$Y949-9*$E949)/(10*$E949),4),0))))</f>
        <v/>
      </c>
      <c r="AB949" s="13" t="n"/>
      <c r="AC949" s="15">
        <f>IF($B949="","",IF($AB949&lt;&gt;"",$AB949,IF($AA949="","",IF($AA949&lt;=設定!$C$3,0,$AA949))))</f>
        <v/>
      </c>
      <c r="AD949" s="14">
        <f>IF($B949="","",IF(AND($AE949&lt;&gt;"",$AG949="",$AJ949=""),"保留中",IF($AJ949&lt;&gt;"",IF(N($AC949)&gt;0,"支給済","不支給"),IF($AC949="","要確認",IF($AC949=0,"不支給","未処理")))))</f>
        <v/>
      </c>
      <c r="AE949" s="12" t="n"/>
      <c r="AF949" s="11" t="n"/>
      <c r="AG949" s="11" t="n"/>
      <c r="AH949" s="11" t="n"/>
      <c r="AI949" s="14">
        <f>IF(AND($AD949="保留中",$AF949&lt;&gt;""),TODAY()-$AF949,"")</f>
        <v/>
      </c>
      <c r="AJ949" s="12" t="n"/>
      <c r="AK949" s="14">
        <f>IF($B949="","",IF($AO949="","対象年月が未入力／","")&amp;IF($B949="","",IF($AN949="","職員マスタに未登録の職員番号／",IF($Y949="","標準報酬月額が未登録／","")&amp;IF(AND($AO949&lt;&gt;"",OR(AND(INDEX(職員マスタ!$G$6:$G$405,$AN949)&lt;&gt;"",INDEX(職員マスタ!$G$6:$G$405,$AN949)&gt;EOMONTH($AO949,0)),AND(INDEX(職員マスタ!$H$6:$H$405,$AN949)&lt;&gt;"",INDEX(職員マスタ!$H$6:$H$405,$AN949)&lt;$AO949))),"対象月が時短期間外／","")&amp;IF(AND(INDEX(職員マスタ!$F$6:$F$405,$AN949)&lt;&gt;"",$AO949&lt;&gt;"",INDEX(職員マスタ!$F$6:$F$405,$AN949)&lt;$AO949),"対象月に子が2歳到達済／","")&amp;IF(AND($H949&lt;&gt;"",INDEX(職員マスタ!$B$6:$B$405,$AN949)&lt;&gt;"",SUBSTITUTE(SUBSTITUTE($H949," ","")," ","")&lt;&gt;SUBSTITUTE(SUBSTITUTE(INDEX(職員マスタ!$B$6:$B$405,$AN949)," ","")," ","")),"氏名がマスタと相違／","")&amp;IF(AND($Q949&lt;&gt;"",INDEX(職員マスタ!$E$6:$E$405,$AN949)&lt;&gt;"",$Q949&lt;&gt;INDEX(職員マスタ!$E$6:$E$405,$AN949)),"子の生年月日がマスタと相違／","")&amp;IF(AND($L949&lt;&gt;"",INDEX(職員マスタ!$G$6:$G$405,$AN949)&lt;&gt;"",$L949&lt;&gt;INDEX(職員マスタ!$G$6:$G$405,$AN949)),"時短開始日がマスタと相違／","")&amp;IF(AND($M949&lt;&gt;"",INDEX(職員マスタ!$H$6:$H$405,$AN949)&lt;&gt;"",$M949&lt;&gt;INDEX(職員マスタ!$H$6:$H$405,$AN949)),"時短終了日がマスタと相違／","")))&amp;IF(AND($B949&lt;&gt;"",$E949=""),"報酬額が未入力／","")&amp;IF(N($U949)&gt;0,"申請書に入力エラーが残っています／","")&amp;IF(AND($B949&lt;&gt;"",$AO949&lt;&gt;""),IF(COUNTIFS($B$6:$B$3005,$B949,$C$6:$C$3005,$C949,$D$6:$D$3005,$D949)&gt;1,"同じ月の請求が重複しています／",""),"")&amp;IF(AND(N($E949)&gt;0,$Z949&lt;&gt;"",$Z949&lt;&gt;"×",$AC949=0,$AB949=""),"計算額が下限以下のため不支給／",""))</f>
        <v/>
      </c>
      <c r="AL949" s="12" t="n"/>
      <c r="AM949" s="14">
        <f>IF($AD949="保留中",COUNTIF($AD$6:$AD949,"保留中"),"")</f>
        <v/>
      </c>
      <c r="AN949" s="14">
        <f>IF($AO949="","",IF(SUMPRODUCT(MAX((職員マスタ!$A$6:$A$405=$B949)*(((職員マスタ!$G$6:$G$405="")+(職員マスタ!$G$6:$G$405&lt;=EOMONTH($AO949,0)))&gt;0)*(((職員マスタ!$H$6:$H$405="")+(職員マスタ!$H$6:$H$405&gt;=$AO949))&gt;0)*(ROW(職員マスタ!$A$6:$A$405)-5)))&gt;0,SUMPRODUCT(MAX((職員マスタ!$A$6:$A$405=$B949)*(((職員マスタ!$G$6:$G$405="")+(職員マスタ!$G$6:$G$405&lt;=EOMONTH($AO949,0)))&gt;0)*(((職員マスタ!$H$6:$H$405="")+(職員マスタ!$H$6:$H$405&gt;=$AO949))&gt;0)*(ROW(職員マスタ!$A$6:$A$405)-5))),IFERROR(MATCH($B949,職員マスタ!$A$6:$A$405,0),"")))</f>
        <v/>
      </c>
      <c r="AO949" s="16">
        <f>IF(OR($B949="",$C949="",$D949=""),"",DATE($C949+2018,$D949,1))</f>
        <v/>
      </c>
    </row>
    <row r="950">
      <c r="A950" s="11" t="n"/>
      <c r="B950" s="12" t="n"/>
      <c r="C950" s="12" t="n"/>
      <c r="D950" s="12" t="n"/>
      <c r="E950" s="13" t="n"/>
      <c r="F950" s="12" t="n"/>
      <c r="G950" s="13" t="n"/>
      <c r="H950" s="12" t="n"/>
      <c r="I950" s="12" t="n"/>
      <c r="J950" s="12" t="n"/>
      <c r="K950" s="12" t="n"/>
      <c r="L950" s="11" t="n"/>
      <c r="M950" s="11" t="n"/>
      <c r="N950" s="11" t="n"/>
      <c r="O950" s="11" t="n"/>
      <c r="P950" s="12" t="n"/>
      <c r="Q950" s="11" t="n"/>
      <c r="R950" s="12" t="n"/>
      <c r="S950" s="11" t="n"/>
      <c r="T950" s="12" t="n"/>
      <c r="U950" s="12" t="n"/>
      <c r="V950" s="14">
        <f>IF($AN950="",IF($B950="","",$H950),IF(INDEX(職員マスタ!$B$6:$B$405,$AN950)="",$H950,INDEX(職員マスタ!$B$6:$B$405,$AN950)))</f>
        <v/>
      </c>
      <c r="W950" s="14">
        <f>IF($AN950="",IF($B950="","",$R950),IF(INDEX(職員マスタ!$C$6:$C$405,$AN950)="",$R950,INDEX(職員マスタ!$C$6:$C$405,$AN950)))</f>
        <v/>
      </c>
      <c r="X950" s="14">
        <f>IF($AO950="","","R"&amp;$C950&amp;"."&amp;$D950)</f>
        <v/>
      </c>
      <c r="Y950" s="15">
        <f>IF($AN950="","",IF(INDEX(職員マスタ!$K$6:$K$405,$AN950)="","",INDEX(職員マスタ!$K$6:$K$405,$AN950)))</f>
        <v/>
      </c>
      <c r="Z950" s="14">
        <f>IF(OR($E950="",$Y950=""),"",IF($E950&gt;=$Y950,"×",IF($E950&gt;=$Y950*設定!$C$5,"△","○")))</f>
        <v/>
      </c>
      <c r="AA950" s="15">
        <f>IF($Z950="","",IF($Z950="×",0,IF($Z950="○",ROUNDDOWN($E950*設定!$C$4,0),ROUNDDOWN($E950*ROUND((9*$Y950-9*$E950)/(10*$E950),4),0))))</f>
        <v/>
      </c>
      <c r="AB950" s="13" t="n"/>
      <c r="AC950" s="15">
        <f>IF($B950="","",IF($AB950&lt;&gt;"",$AB950,IF($AA950="","",IF($AA950&lt;=設定!$C$3,0,$AA950))))</f>
        <v/>
      </c>
      <c r="AD950" s="14">
        <f>IF($B950="","",IF(AND($AE950&lt;&gt;"",$AG950="",$AJ950=""),"保留中",IF($AJ950&lt;&gt;"",IF(N($AC950)&gt;0,"支給済","不支給"),IF($AC950="","要確認",IF($AC950=0,"不支給","未処理")))))</f>
        <v/>
      </c>
      <c r="AE950" s="12" t="n"/>
      <c r="AF950" s="11" t="n"/>
      <c r="AG950" s="11" t="n"/>
      <c r="AH950" s="11" t="n"/>
      <c r="AI950" s="14">
        <f>IF(AND($AD950="保留中",$AF950&lt;&gt;""),TODAY()-$AF950,"")</f>
        <v/>
      </c>
      <c r="AJ950" s="12" t="n"/>
      <c r="AK950" s="14">
        <f>IF($B950="","",IF($AO950="","対象年月が未入力／","")&amp;IF($B950="","",IF($AN950="","職員マスタに未登録の職員番号／",IF($Y950="","標準報酬月額が未登録／","")&amp;IF(AND($AO950&lt;&gt;"",OR(AND(INDEX(職員マスタ!$G$6:$G$405,$AN950)&lt;&gt;"",INDEX(職員マスタ!$G$6:$G$405,$AN950)&gt;EOMONTH($AO950,0)),AND(INDEX(職員マスタ!$H$6:$H$405,$AN950)&lt;&gt;"",INDEX(職員マスタ!$H$6:$H$405,$AN950)&lt;$AO950))),"対象月が時短期間外／","")&amp;IF(AND(INDEX(職員マスタ!$F$6:$F$405,$AN950)&lt;&gt;"",$AO950&lt;&gt;"",INDEX(職員マスタ!$F$6:$F$405,$AN950)&lt;$AO950),"対象月に子が2歳到達済／","")&amp;IF(AND($H950&lt;&gt;"",INDEX(職員マスタ!$B$6:$B$405,$AN950)&lt;&gt;"",SUBSTITUTE(SUBSTITUTE($H950," ","")," ","")&lt;&gt;SUBSTITUTE(SUBSTITUTE(INDEX(職員マスタ!$B$6:$B$405,$AN950)," ","")," ","")),"氏名がマスタと相違／","")&amp;IF(AND($Q950&lt;&gt;"",INDEX(職員マスタ!$E$6:$E$405,$AN950)&lt;&gt;"",$Q950&lt;&gt;INDEX(職員マスタ!$E$6:$E$405,$AN950)),"子の生年月日がマスタと相違／","")&amp;IF(AND($L950&lt;&gt;"",INDEX(職員マスタ!$G$6:$G$405,$AN950)&lt;&gt;"",$L950&lt;&gt;INDEX(職員マスタ!$G$6:$G$405,$AN950)),"時短開始日がマスタと相違／","")&amp;IF(AND($M950&lt;&gt;"",INDEX(職員マスタ!$H$6:$H$405,$AN950)&lt;&gt;"",$M950&lt;&gt;INDEX(職員マスタ!$H$6:$H$405,$AN950)),"時短終了日がマスタと相違／","")))&amp;IF(AND($B950&lt;&gt;"",$E950=""),"報酬額が未入力／","")&amp;IF(N($U950)&gt;0,"申請書に入力エラーが残っています／","")&amp;IF(AND($B950&lt;&gt;"",$AO950&lt;&gt;""),IF(COUNTIFS($B$6:$B$3005,$B950,$C$6:$C$3005,$C950,$D$6:$D$3005,$D950)&gt;1,"同じ月の請求が重複しています／",""),"")&amp;IF(AND(N($E950)&gt;0,$Z950&lt;&gt;"",$Z950&lt;&gt;"×",$AC950=0,$AB950=""),"計算額が下限以下のため不支給／",""))</f>
        <v/>
      </c>
      <c r="AL950" s="12" t="n"/>
      <c r="AM950" s="14">
        <f>IF($AD950="保留中",COUNTIF($AD$6:$AD950,"保留中"),"")</f>
        <v/>
      </c>
      <c r="AN950" s="14">
        <f>IF($AO950="","",IF(SUMPRODUCT(MAX((職員マスタ!$A$6:$A$405=$B950)*(((職員マスタ!$G$6:$G$405="")+(職員マスタ!$G$6:$G$405&lt;=EOMONTH($AO950,0)))&gt;0)*(((職員マスタ!$H$6:$H$405="")+(職員マスタ!$H$6:$H$405&gt;=$AO950))&gt;0)*(ROW(職員マスタ!$A$6:$A$405)-5)))&gt;0,SUMPRODUCT(MAX((職員マスタ!$A$6:$A$405=$B950)*(((職員マスタ!$G$6:$G$405="")+(職員マスタ!$G$6:$G$405&lt;=EOMONTH($AO950,0)))&gt;0)*(((職員マスタ!$H$6:$H$405="")+(職員マスタ!$H$6:$H$405&gt;=$AO950))&gt;0)*(ROW(職員マスタ!$A$6:$A$405)-5))),IFERROR(MATCH($B950,職員マスタ!$A$6:$A$405,0),"")))</f>
        <v/>
      </c>
      <c r="AO950" s="16">
        <f>IF(OR($B950="",$C950="",$D950=""),"",DATE($C950+2018,$D950,1))</f>
        <v/>
      </c>
    </row>
    <row r="951">
      <c r="A951" s="11" t="n"/>
      <c r="B951" s="12" t="n"/>
      <c r="C951" s="12" t="n"/>
      <c r="D951" s="12" t="n"/>
      <c r="E951" s="13" t="n"/>
      <c r="F951" s="12" t="n"/>
      <c r="G951" s="13" t="n"/>
      <c r="H951" s="12" t="n"/>
      <c r="I951" s="12" t="n"/>
      <c r="J951" s="12" t="n"/>
      <c r="K951" s="12" t="n"/>
      <c r="L951" s="11" t="n"/>
      <c r="M951" s="11" t="n"/>
      <c r="N951" s="11" t="n"/>
      <c r="O951" s="11" t="n"/>
      <c r="P951" s="12" t="n"/>
      <c r="Q951" s="11" t="n"/>
      <c r="R951" s="12" t="n"/>
      <c r="S951" s="11" t="n"/>
      <c r="T951" s="12" t="n"/>
      <c r="U951" s="12" t="n"/>
      <c r="V951" s="14">
        <f>IF($AN951="",IF($B951="","",$H951),IF(INDEX(職員マスタ!$B$6:$B$405,$AN951)="",$H951,INDEX(職員マスタ!$B$6:$B$405,$AN951)))</f>
        <v/>
      </c>
      <c r="W951" s="14">
        <f>IF($AN951="",IF($B951="","",$R951),IF(INDEX(職員マスタ!$C$6:$C$405,$AN951)="",$R951,INDEX(職員マスタ!$C$6:$C$405,$AN951)))</f>
        <v/>
      </c>
      <c r="X951" s="14">
        <f>IF($AO951="","","R"&amp;$C951&amp;"."&amp;$D951)</f>
        <v/>
      </c>
      <c r="Y951" s="15">
        <f>IF($AN951="","",IF(INDEX(職員マスタ!$K$6:$K$405,$AN951)="","",INDEX(職員マスタ!$K$6:$K$405,$AN951)))</f>
        <v/>
      </c>
      <c r="Z951" s="14">
        <f>IF(OR($E951="",$Y951=""),"",IF($E951&gt;=$Y951,"×",IF($E951&gt;=$Y951*設定!$C$5,"△","○")))</f>
        <v/>
      </c>
      <c r="AA951" s="15">
        <f>IF($Z951="","",IF($Z951="×",0,IF($Z951="○",ROUNDDOWN($E951*設定!$C$4,0),ROUNDDOWN($E951*ROUND((9*$Y951-9*$E951)/(10*$E951),4),0))))</f>
        <v/>
      </c>
      <c r="AB951" s="13" t="n"/>
      <c r="AC951" s="15">
        <f>IF($B951="","",IF($AB951&lt;&gt;"",$AB951,IF($AA951="","",IF($AA951&lt;=設定!$C$3,0,$AA951))))</f>
        <v/>
      </c>
      <c r="AD951" s="14">
        <f>IF($B951="","",IF(AND($AE951&lt;&gt;"",$AG951="",$AJ951=""),"保留中",IF($AJ951&lt;&gt;"",IF(N($AC951)&gt;0,"支給済","不支給"),IF($AC951="","要確認",IF($AC951=0,"不支給","未処理")))))</f>
        <v/>
      </c>
      <c r="AE951" s="12" t="n"/>
      <c r="AF951" s="11" t="n"/>
      <c r="AG951" s="11" t="n"/>
      <c r="AH951" s="11" t="n"/>
      <c r="AI951" s="14">
        <f>IF(AND($AD951="保留中",$AF951&lt;&gt;""),TODAY()-$AF951,"")</f>
        <v/>
      </c>
      <c r="AJ951" s="12" t="n"/>
      <c r="AK951" s="14">
        <f>IF($B951="","",IF($AO951="","対象年月が未入力／","")&amp;IF($B951="","",IF($AN951="","職員マスタに未登録の職員番号／",IF($Y951="","標準報酬月額が未登録／","")&amp;IF(AND($AO951&lt;&gt;"",OR(AND(INDEX(職員マスタ!$G$6:$G$405,$AN951)&lt;&gt;"",INDEX(職員マスタ!$G$6:$G$405,$AN951)&gt;EOMONTH($AO951,0)),AND(INDEX(職員マスタ!$H$6:$H$405,$AN951)&lt;&gt;"",INDEX(職員マスタ!$H$6:$H$405,$AN951)&lt;$AO951))),"対象月が時短期間外／","")&amp;IF(AND(INDEX(職員マスタ!$F$6:$F$405,$AN951)&lt;&gt;"",$AO951&lt;&gt;"",INDEX(職員マスタ!$F$6:$F$405,$AN951)&lt;$AO951),"対象月に子が2歳到達済／","")&amp;IF(AND($H951&lt;&gt;"",INDEX(職員マスタ!$B$6:$B$405,$AN951)&lt;&gt;"",SUBSTITUTE(SUBSTITUTE($H951," ","")," ","")&lt;&gt;SUBSTITUTE(SUBSTITUTE(INDEX(職員マスタ!$B$6:$B$405,$AN951)," ","")," ","")),"氏名がマスタと相違／","")&amp;IF(AND($Q951&lt;&gt;"",INDEX(職員マスタ!$E$6:$E$405,$AN951)&lt;&gt;"",$Q951&lt;&gt;INDEX(職員マスタ!$E$6:$E$405,$AN951)),"子の生年月日がマスタと相違／","")&amp;IF(AND($L951&lt;&gt;"",INDEX(職員マスタ!$G$6:$G$405,$AN951)&lt;&gt;"",$L951&lt;&gt;INDEX(職員マスタ!$G$6:$G$405,$AN951)),"時短開始日がマスタと相違／","")&amp;IF(AND($M951&lt;&gt;"",INDEX(職員マスタ!$H$6:$H$405,$AN951)&lt;&gt;"",$M951&lt;&gt;INDEX(職員マスタ!$H$6:$H$405,$AN951)),"時短終了日がマスタと相違／","")))&amp;IF(AND($B951&lt;&gt;"",$E951=""),"報酬額が未入力／","")&amp;IF(N($U951)&gt;0,"申請書に入力エラーが残っています／","")&amp;IF(AND($B951&lt;&gt;"",$AO951&lt;&gt;""),IF(COUNTIFS($B$6:$B$3005,$B951,$C$6:$C$3005,$C951,$D$6:$D$3005,$D951)&gt;1,"同じ月の請求が重複しています／",""),"")&amp;IF(AND(N($E951)&gt;0,$Z951&lt;&gt;"",$Z951&lt;&gt;"×",$AC951=0,$AB951=""),"計算額が下限以下のため不支給／",""))</f>
        <v/>
      </c>
      <c r="AL951" s="12" t="n"/>
      <c r="AM951" s="14">
        <f>IF($AD951="保留中",COUNTIF($AD$6:$AD951,"保留中"),"")</f>
        <v/>
      </c>
      <c r="AN951" s="14">
        <f>IF($AO951="","",IF(SUMPRODUCT(MAX((職員マスタ!$A$6:$A$405=$B951)*(((職員マスタ!$G$6:$G$405="")+(職員マスタ!$G$6:$G$405&lt;=EOMONTH($AO951,0)))&gt;0)*(((職員マスタ!$H$6:$H$405="")+(職員マスタ!$H$6:$H$405&gt;=$AO951))&gt;0)*(ROW(職員マスタ!$A$6:$A$405)-5)))&gt;0,SUMPRODUCT(MAX((職員マスタ!$A$6:$A$405=$B951)*(((職員マスタ!$G$6:$G$405="")+(職員マスタ!$G$6:$G$405&lt;=EOMONTH($AO951,0)))&gt;0)*(((職員マスタ!$H$6:$H$405="")+(職員マスタ!$H$6:$H$405&gt;=$AO951))&gt;0)*(ROW(職員マスタ!$A$6:$A$405)-5))),IFERROR(MATCH($B951,職員マスタ!$A$6:$A$405,0),"")))</f>
        <v/>
      </c>
      <c r="AO951" s="16">
        <f>IF(OR($B951="",$C951="",$D951=""),"",DATE($C951+2018,$D951,1))</f>
        <v/>
      </c>
    </row>
    <row r="952">
      <c r="A952" s="11" t="n"/>
      <c r="B952" s="12" t="n"/>
      <c r="C952" s="12" t="n"/>
      <c r="D952" s="12" t="n"/>
      <c r="E952" s="13" t="n"/>
      <c r="F952" s="12" t="n"/>
      <c r="G952" s="13" t="n"/>
      <c r="H952" s="12" t="n"/>
      <c r="I952" s="12" t="n"/>
      <c r="J952" s="12" t="n"/>
      <c r="K952" s="12" t="n"/>
      <c r="L952" s="11" t="n"/>
      <c r="M952" s="11" t="n"/>
      <c r="N952" s="11" t="n"/>
      <c r="O952" s="11" t="n"/>
      <c r="P952" s="12" t="n"/>
      <c r="Q952" s="11" t="n"/>
      <c r="R952" s="12" t="n"/>
      <c r="S952" s="11" t="n"/>
      <c r="T952" s="12" t="n"/>
      <c r="U952" s="12" t="n"/>
      <c r="V952" s="14">
        <f>IF($AN952="",IF($B952="","",$H952),IF(INDEX(職員マスタ!$B$6:$B$405,$AN952)="",$H952,INDEX(職員マスタ!$B$6:$B$405,$AN952)))</f>
        <v/>
      </c>
      <c r="W952" s="14">
        <f>IF($AN952="",IF($B952="","",$R952),IF(INDEX(職員マスタ!$C$6:$C$405,$AN952)="",$R952,INDEX(職員マスタ!$C$6:$C$405,$AN952)))</f>
        <v/>
      </c>
      <c r="X952" s="14">
        <f>IF($AO952="","","R"&amp;$C952&amp;"."&amp;$D952)</f>
        <v/>
      </c>
      <c r="Y952" s="15">
        <f>IF($AN952="","",IF(INDEX(職員マスタ!$K$6:$K$405,$AN952)="","",INDEX(職員マスタ!$K$6:$K$405,$AN952)))</f>
        <v/>
      </c>
      <c r="Z952" s="14">
        <f>IF(OR($E952="",$Y952=""),"",IF($E952&gt;=$Y952,"×",IF($E952&gt;=$Y952*設定!$C$5,"△","○")))</f>
        <v/>
      </c>
      <c r="AA952" s="15">
        <f>IF($Z952="","",IF($Z952="×",0,IF($Z952="○",ROUNDDOWN($E952*設定!$C$4,0),ROUNDDOWN($E952*ROUND((9*$Y952-9*$E952)/(10*$E952),4),0))))</f>
        <v/>
      </c>
      <c r="AB952" s="13" t="n"/>
      <c r="AC952" s="15">
        <f>IF($B952="","",IF($AB952&lt;&gt;"",$AB952,IF($AA952="","",IF($AA952&lt;=設定!$C$3,0,$AA952))))</f>
        <v/>
      </c>
      <c r="AD952" s="14">
        <f>IF($B952="","",IF(AND($AE952&lt;&gt;"",$AG952="",$AJ952=""),"保留中",IF($AJ952&lt;&gt;"",IF(N($AC952)&gt;0,"支給済","不支給"),IF($AC952="","要確認",IF($AC952=0,"不支給","未処理")))))</f>
        <v/>
      </c>
      <c r="AE952" s="12" t="n"/>
      <c r="AF952" s="11" t="n"/>
      <c r="AG952" s="11" t="n"/>
      <c r="AH952" s="11" t="n"/>
      <c r="AI952" s="14">
        <f>IF(AND($AD952="保留中",$AF952&lt;&gt;""),TODAY()-$AF952,"")</f>
        <v/>
      </c>
      <c r="AJ952" s="12" t="n"/>
      <c r="AK952" s="14">
        <f>IF($B952="","",IF($AO952="","対象年月が未入力／","")&amp;IF($B952="","",IF($AN952="","職員マスタに未登録の職員番号／",IF($Y952="","標準報酬月額が未登録／","")&amp;IF(AND($AO952&lt;&gt;"",OR(AND(INDEX(職員マスタ!$G$6:$G$405,$AN952)&lt;&gt;"",INDEX(職員マスタ!$G$6:$G$405,$AN952)&gt;EOMONTH($AO952,0)),AND(INDEX(職員マスタ!$H$6:$H$405,$AN952)&lt;&gt;"",INDEX(職員マスタ!$H$6:$H$405,$AN952)&lt;$AO952))),"対象月が時短期間外／","")&amp;IF(AND(INDEX(職員マスタ!$F$6:$F$405,$AN952)&lt;&gt;"",$AO952&lt;&gt;"",INDEX(職員マスタ!$F$6:$F$405,$AN952)&lt;$AO952),"対象月に子が2歳到達済／","")&amp;IF(AND($H952&lt;&gt;"",INDEX(職員マスタ!$B$6:$B$405,$AN952)&lt;&gt;"",SUBSTITUTE(SUBSTITUTE($H952," ","")," ","")&lt;&gt;SUBSTITUTE(SUBSTITUTE(INDEX(職員マスタ!$B$6:$B$405,$AN952)," ","")," ","")),"氏名がマスタと相違／","")&amp;IF(AND($Q952&lt;&gt;"",INDEX(職員マスタ!$E$6:$E$405,$AN952)&lt;&gt;"",$Q952&lt;&gt;INDEX(職員マスタ!$E$6:$E$405,$AN952)),"子の生年月日がマスタと相違／","")&amp;IF(AND($L952&lt;&gt;"",INDEX(職員マスタ!$G$6:$G$405,$AN952)&lt;&gt;"",$L952&lt;&gt;INDEX(職員マスタ!$G$6:$G$405,$AN952)),"時短開始日がマスタと相違／","")&amp;IF(AND($M952&lt;&gt;"",INDEX(職員マスタ!$H$6:$H$405,$AN952)&lt;&gt;"",$M952&lt;&gt;INDEX(職員マスタ!$H$6:$H$405,$AN952)),"時短終了日がマスタと相違／","")))&amp;IF(AND($B952&lt;&gt;"",$E952=""),"報酬額が未入力／","")&amp;IF(N($U952)&gt;0,"申請書に入力エラーが残っています／","")&amp;IF(AND($B952&lt;&gt;"",$AO952&lt;&gt;""),IF(COUNTIFS($B$6:$B$3005,$B952,$C$6:$C$3005,$C952,$D$6:$D$3005,$D952)&gt;1,"同じ月の請求が重複しています／",""),"")&amp;IF(AND(N($E952)&gt;0,$Z952&lt;&gt;"",$Z952&lt;&gt;"×",$AC952=0,$AB952=""),"計算額が下限以下のため不支給／",""))</f>
        <v/>
      </c>
      <c r="AL952" s="12" t="n"/>
      <c r="AM952" s="14">
        <f>IF($AD952="保留中",COUNTIF($AD$6:$AD952,"保留中"),"")</f>
        <v/>
      </c>
      <c r="AN952" s="14">
        <f>IF($AO952="","",IF(SUMPRODUCT(MAX((職員マスタ!$A$6:$A$405=$B952)*(((職員マスタ!$G$6:$G$405="")+(職員マスタ!$G$6:$G$405&lt;=EOMONTH($AO952,0)))&gt;0)*(((職員マスタ!$H$6:$H$405="")+(職員マスタ!$H$6:$H$405&gt;=$AO952))&gt;0)*(ROW(職員マスタ!$A$6:$A$405)-5)))&gt;0,SUMPRODUCT(MAX((職員マスタ!$A$6:$A$405=$B952)*(((職員マスタ!$G$6:$G$405="")+(職員マスタ!$G$6:$G$405&lt;=EOMONTH($AO952,0)))&gt;0)*(((職員マスタ!$H$6:$H$405="")+(職員マスタ!$H$6:$H$405&gt;=$AO952))&gt;0)*(ROW(職員マスタ!$A$6:$A$405)-5))),IFERROR(MATCH($B952,職員マスタ!$A$6:$A$405,0),"")))</f>
        <v/>
      </c>
      <c r="AO952" s="16">
        <f>IF(OR($B952="",$C952="",$D952=""),"",DATE($C952+2018,$D952,1))</f>
        <v/>
      </c>
    </row>
    <row r="953">
      <c r="A953" s="11" t="n"/>
      <c r="B953" s="12" t="n"/>
      <c r="C953" s="12" t="n"/>
      <c r="D953" s="12" t="n"/>
      <c r="E953" s="13" t="n"/>
      <c r="F953" s="12" t="n"/>
      <c r="G953" s="13" t="n"/>
      <c r="H953" s="12" t="n"/>
      <c r="I953" s="12" t="n"/>
      <c r="J953" s="12" t="n"/>
      <c r="K953" s="12" t="n"/>
      <c r="L953" s="11" t="n"/>
      <c r="M953" s="11" t="n"/>
      <c r="N953" s="11" t="n"/>
      <c r="O953" s="11" t="n"/>
      <c r="P953" s="12" t="n"/>
      <c r="Q953" s="11" t="n"/>
      <c r="R953" s="12" t="n"/>
      <c r="S953" s="11" t="n"/>
      <c r="T953" s="12" t="n"/>
      <c r="U953" s="12" t="n"/>
      <c r="V953" s="14">
        <f>IF($AN953="",IF($B953="","",$H953),IF(INDEX(職員マスタ!$B$6:$B$405,$AN953)="",$H953,INDEX(職員マスタ!$B$6:$B$405,$AN953)))</f>
        <v/>
      </c>
      <c r="W953" s="14">
        <f>IF($AN953="",IF($B953="","",$R953),IF(INDEX(職員マスタ!$C$6:$C$405,$AN953)="",$R953,INDEX(職員マスタ!$C$6:$C$405,$AN953)))</f>
        <v/>
      </c>
      <c r="X953" s="14">
        <f>IF($AO953="","","R"&amp;$C953&amp;"."&amp;$D953)</f>
        <v/>
      </c>
      <c r="Y953" s="15">
        <f>IF($AN953="","",IF(INDEX(職員マスタ!$K$6:$K$405,$AN953)="","",INDEX(職員マスタ!$K$6:$K$405,$AN953)))</f>
        <v/>
      </c>
      <c r="Z953" s="14">
        <f>IF(OR($E953="",$Y953=""),"",IF($E953&gt;=$Y953,"×",IF($E953&gt;=$Y953*設定!$C$5,"△","○")))</f>
        <v/>
      </c>
      <c r="AA953" s="15">
        <f>IF($Z953="","",IF($Z953="×",0,IF($Z953="○",ROUNDDOWN($E953*設定!$C$4,0),ROUNDDOWN($E953*ROUND((9*$Y953-9*$E953)/(10*$E953),4),0))))</f>
        <v/>
      </c>
      <c r="AB953" s="13" t="n"/>
      <c r="AC953" s="15">
        <f>IF($B953="","",IF($AB953&lt;&gt;"",$AB953,IF($AA953="","",IF($AA953&lt;=設定!$C$3,0,$AA953))))</f>
        <v/>
      </c>
      <c r="AD953" s="14">
        <f>IF($B953="","",IF(AND($AE953&lt;&gt;"",$AG953="",$AJ953=""),"保留中",IF($AJ953&lt;&gt;"",IF(N($AC953)&gt;0,"支給済","不支給"),IF($AC953="","要確認",IF($AC953=0,"不支給","未処理")))))</f>
        <v/>
      </c>
      <c r="AE953" s="12" t="n"/>
      <c r="AF953" s="11" t="n"/>
      <c r="AG953" s="11" t="n"/>
      <c r="AH953" s="11" t="n"/>
      <c r="AI953" s="14">
        <f>IF(AND($AD953="保留中",$AF953&lt;&gt;""),TODAY()-$AF953,"")</f>
        <v/>
      </c>
      <c r="AJ953" s="12" t="n"/>
      <c r="AK953" s="14">
        <f>IF($B953="","",IF($AO953="","対象年月が未入力／","")&amp;IF($B953="","",IF($AN953="","職員マスタに未登録の職員番号／",IF($Y953="","標準報酬月額が未登録／","")&amp;IF(AND($AO953&lt;&gt;"",OR(AND(INDEX(職員マスタ!$G$6:$G$405,$AN953)&lt;&gt;"",INDEX(職員マスタ!$G$6:$G$405,$AN953)&gt;EOMONTH($AO953,0)),AND(INDEX(職員マスタ!$H$6:$H$405,$AN953)&lt;&gt;"",INDEX(職員マスタ!$H$6:$H$405,$AN953)&lt;$AO953))),"対象月が時短期間外／","")&amp;IF(AND(INDEX(職員マスタ!$F$6:$F$405,$AN953)&lt;&gt;"",$AO953&lt;&gt;"",INDEX(職員マスタ!$F$6:$F$405,$AN953)&lt;$AO953),"対象月に子が2歳到達済／","")&amp;IF(AND($H953&lt;&gt;"",INDEX(職員マスタ!$B$6:$B$405,$AN953)&lt;&gt;"",SUBSTITUTE(SUBSTITUTE($H953," ","")," ","")&lt;&gt;SUBSTITUTE(SUBSTITUTE(INDEX(職員マスタ!$B$6:$B$405,$AN953)," ","")," ","")),"氏名がマスタと相違／","")&amp;IF(AND($Q953&lt;&gt;"",INDEX(職員マスタ!$E$6:$E$405,$AN953)&lt;&gt;"",$Q953&lt;&gt;INDEX(職員マスタ!$E$6:$E$405,$AN953)),"子の生年月日がマスタと相違／","")&amp;IF(AND($L953&lt;&gt;"",INDEX(職員マスタ!$G$6:$G$405,$AN953)&lt;&gt;"",$L953&lt;&gt;INDEX(職員マスタ!$G$6:$G$405,$AN953)),"時短開始日がマスタと相違／","")&amp;IF(AND($M953&lt;&gt;"",INDEX(職員マスタ!$H$6:$H$405,$AN953)&lt;&gt;"",$M953&lt;&gt;INDEX(職員マスタ!$H$6:$H$405,$AN953)),"時短終了日がマスタと相違／","")))&amp;IF(AND($B953&lt;&gt;"",$E953=""),"報酬額が未入力／","")&amp;IF(N($U953)&gt;0,"申請書に入力エラーが残っています／","")&amp;IF(AND($B953&lt;&gt;"",$AO953&lt;&gt;""),IF(COUNTIFS($B$6:$B$3005,$B953,$C$6:$C$3005,$C953,$D$6:$D$3005,$D953)&gt;1,"同じ月の請求が重複しています／",""),"")&amp;IF(AND(N($E953)&gt;0,$Z953&lt;&gt;"",$Z953&lt;&gt;"×",$AC953=0,$AB953=""),"計算額が下限以下のため不支給／",""))</f>
        <v/>
      </c>
      <c r="AL953" s="12" t="n"/>
      <c r="AM953" s="14">
        <f>IF($AD953="保留中",COUNTIF($AD$6:$AD953,"保留中"),"")</f>
        <v/>
      </c>
      <c r="AN953" s="14">
        <f>IF($AO953="","",IF(SUMPRODUCT(MAX((職員マスタ!$A$6:$A$405=$B953)*(((職員マスタ!$G$6:$G$405="")+(職員マスタ!$G$6:$G$405&lt;=EOMONTH($AO953,0)))&gt;0)*(((職員マスタ!$H$6:$H$405="")+(職員マスタ!$H$6:$H$405&gt;=$AO953))&gt;0)*(ROW(職員マスタ!$A$6:$A$405)-5)))&gt;0,SUMPRODUCT(MAX((職員マスタ!$A$6:$A$405=$B953)*(((職員マスタ!$G$6:$G$405="")+(職員マスタ!$G$6:$G$405&lt;=EOMONTH($AO953,0)))&gt;0)*(((職員マスタ!$H$6:$H$405="")+(職員マスタ!$H$6:$H$405&gt;=$AO953))&gt;0)*(ROW(職員マスタ!$A$6:$A$405)-5))),IFERROR(MATCH($B953,職員マスタ!$A$6:$A$405,0),"")))</f>
        <v/>
      </c>
      <c r="AO953" s="16">
        <f>IF(OR($B953="",$C953="",$D953=""),"",DATE($C953+2018,$D953,1))</f>
        <v/>
      </c>
    </row>
    <row r="954">
      <c r="A954" s="11" t="n"/>
      <c r="B954" s="12" t="n"/>
      <c r="C954" s="12" t="n"/>
      <c r="D954" s="12" t="n"/>
      <c r="E954" s="13" t="n"/>
      <c r="F954" s="12" t="n"/>
      <c r="G954" s="13" t="n"/>
      <c r="H954" s="12" t="n"/>
      <c r="I954" s="12" t="n"/>
      <c r="J954" s="12" t="n"/>
      <c r="K954" s="12" t="n"/>
      <c r="L954" s="11" t="n"/>
      <c r="M954" s="11" t="n"/>
      <c r="N954" s="11" t="n"/>
      <c r="O954" s="11" t="n"/>
      <c r="P954" s="12" t="n"/>
      <c r="Q954" s="11" t="n"/>
      <c r="R954" s="12" t="n"/>
      <c r="S954" s="11" t="n"/>
      <c r="T954" s="12" t="n"/>
      <c r="U954" s="12" t="n"/>
      <c r="V954" s="14">
        <f>IF($AN954="",IF($B954="","",$H954),IF(INDEX(職員マスタ!$B$6:$B$405,$AN954)="",$H954,INDEX(職員マスタ!$B$6:$B$405,$AN954)))</f>
        <v/>
      </c>
      <c r="W954" s="14">
        <f>IF($AN954="",IF($B954="","",$R954),IF(INDEX(職員マスタ!$C$6:$C$405,$AN954)="",$R954,INDEX(職員マスタ!$C$6:$C$405,$AN954)))</f>
        <v/>
      </c>
      <c r="X954" s="14">
        <f>IF($AO954="","","R"&amp;$C954&amp;"."&amp;$D954)</f>
        <v/>
      </c>
      <c r="Y954" s="15">
        <f>IF($AN954="","",IF(INDEX(職員マスタ!$K$6:$K$405,$AN954)="","",INDEX(職員マスタ!$K$6:$K$405,$AN954)))</f>
        <v/>
      </c>
      <c r="Z954" s="14">
        <f>IF(OR($E954="",$Y954=""),"",IF($E954&gt;=$Y954,"×",IF($E954&gt;=$Y954*設定!$C$5,"△","○")))</f>
        <v/>
      </c>
      <c r="AA954" s="15">
        <f>IF($Z954="","",IF($Z954="×",0,IF($Z954="○",ROUNDDOWN($E954*設定!$C$4,0),ROUNDDOWN($E954*ROUND((9*$Y954-9*$E954)/(10*$E954),4),0))))</f>
        <v/>
      </c>
      <c r="AB954" s="13" t="n"/>
      <c r="AC954" s="15">
        <f>IF($B954="","",IF($AB954&lt;&gt;"",$AB954,IF($AA954="","",IF($AA954&lt;=設定!$C$3,0,$AA954))))</f>
        <v/>
      </c>
      <c r="AD954" s="14">
        <f>IF($B954="","",IF(AND($AE954&lt;&gt;"",$AG954="",$AJ954=""),"保留中",IF($AJ954&lt;&gt;"",IF(N($AC954)&gt;0,"支給済","不支給"),IF($AC954="","要確認",IF($AC954=0,"不支給","未処理")))))</f>
        <v/>
      </c>
      <c r="AE954" s="12" t="n"/>
      <c r="AF954" s="11" t="n"/>
      <c r="AG954" s="11" t="n"/>
      <c r="AH954" s="11" t="n"/>
      <c r="AI954" s="14">
        <f>IF(AND($AD954="保留中",$AF954&lt;&gt;""),TODAY()-$AF954,"")</f>
        <v/>
      </c>
      <c r="AJ954" s="12" t="n"/>
      <c r="AK954" s="14">
        <f>IF($B954="","",IF($AO954="","対象年月が未入力／","")&amp;IF($B954="","",IF($AN954="","職員マスタに未登録の職員番号／",IF($Y954="","標準報酬月額が未登録／","")&amp;IF(AND($AO954&lt;&gt;"",OR(AND(INDEX(職員マスタ!$G$6:$G$405,$AN954)&lt;&gt;"",INDEX(職員マスタ!$G$6:$G$405,$AN954)&gt;EOMONTH($AO954,0)),AND(INDEX(職員マスタ!$H$6:$H$405,$AN954)&lt;&gt;"",INDEX(職員マスタ!$H$6:$H$405,$AN954)&lt;$AO954))),"対象月が時短期間外／","")&amp;IF(AND(INDEX(職員マスタ!$F$6:$F$405,$AN954)&lt;&gt;"",$AO954&lt;&gt;"",INDEX(職員マスタ!$F$6:$F$405,$AN954)&lt;$AO954),"対象月に子が2歳到達済／","")&amp;IF(AND($H954&lt;&gt;"",INDEX(職員マスタ!$B$6:$B$405,$AN954)&lt;&gt;"",SUBSTITUTE(SUBSTITUTE($H954," ","")," ","")&lt;&gt;SUBSTITUTE(SUBSTITUTE(INDEX(職員マスタ!$B$6:$B$405,$AN954)," ","")," ","")),"氏名がマスタと相違／","")&amp;IF(AND($Q954&lt;&gt;"",INDEX(職員マスタ!$E$6:$E$405,$AN954)&lt;&gt;"",$Q954&lt;&gt;INDEX(職員マスタ!$E$6:$E$405,$AN954)),"子の生年月日がマスタと相違／","")&amp;IF(AND($L954&lt;&gt;"",INDEX(職員マスタ!$G$6:$G$405,$AN954)&lt;&gt;"",$L954&lt;&gt;INDEX(職員マスタ!$G$6:$G$405,$AN954)),"時短開始日がマスタと相違／","")&amp;IF(AND($M954&lt;&gt;"",INDEX(職員マスタ!$H$6:$H$405,$AN954)&lt;&gt;"",$M954&lt;&gt;INDEX(職員マスタ!$H$6:$H$405,$AN954)),"時短終了日がマスタと相違／","")))&amp;IF(AND($B954&lt;&gt;"",$E954=""),"報酬額が未入力／","")&amp;IF(N($U954)&gt;0,"申請書に入力エラーが残っています／","")&amp;IF(AND($B954&lt;&gt;"",$AO954&lt;&gt;""),IF(COUNTIFS($B$6:$B$3005,$B954,$C$6:$C$3005,$C954,$D$6:$D$3005,$D954)&gt;1,"同じ月の請求が重複しています／",""),"")&amp;IF(AND(N($E954)&gt;0,$Z954&lt;&gt;"",$Z954&lt;&gt;"×",$AC954=0,$AB954=""),"計算額が下限以下のため不支給／",""))</f>
        <v/>
      </c>
      <c r="AL954" s="12" t="n"/>
      <c r="AM954" s="14">
        <f>IF($AD954="保留中",COUNTIF($AD$6:$AD954,"保留中"),"")</f>
        <v/>
      </c>
      <c r="AN954" s="14">
        <f>IF($AO954="","",IF(SUMPRODUCT(MAX((職員マスタ!$A$6:$A$405=$B954)*(((職員マスタ!$G$6:$G$405="")+(職員マスタ!$G$6:$G$405&lt;=EOMONTH($AO954,0)))&gt;0)*(((職員マスタ!$H$6:$H$405="")+(職員マスタ!$H$6:$H$405&gt;=$AO954))&gt;0)*(ROW(職員マスタ!$A$6:$A$405)-5)))&gt;0,SUMPRODUCT(MAX((職員マスタ!$A$6:$A$405=$B954)*(((職員マスタ!$G$6:$G$405="")+(職員マスタ!$G$6:$G$405&lt;=EOMONTH($AO954,0)))&gt;0)*(((職員マスタ!$H$6:$H$405="")+(職員マスタ!$H$6:$H$405&gt;=$AO954))&gt;0)*(ROW(職員マスタ!$A$6:$A$405)-5))),IFERROR(MATCH($B954,職員マスタ!$A$6:$A$405,0),"")))</f>
        <v/>
      </c>
      <c r="AO954" s="16">
        <f>IF(OR($B954="",$C954="",$D954=""),"",DATE($C954+2018,$D954,1))</f>
        <v/>
      </c>
    </row>
    <row r="955">
      <c r="A955" s="11" t="n"/>
      <c r="B955" s="12" t="n"/>
      <c r="C955" s="12" t="n"/>
      <c r="D955" s="12" t="n"/>
      <c r="E955" s="13" t="n"/>
      <c r="F955" s="12" t="n"/>
      <c r="G955" s="13" t="n"/>
      <c r="H955" s="12" t="n"/>
      <c r="I955" s="12" t="n"/>
      <c r="J955" s="12" t="n"/>
      <c r="K955" s="12" t="n"/>
      <c r="L955" s="11" t="n"/>
      <c r="M955" s="11" t="n"/>
      <c r="N955" s="11" t="n"/>
      <c r="O955" s="11" t="n"/>
      <c r="P955" s="12" t="n"/>
      <c r="Q955" s="11" t="n"/>
      <c r="R955" s="12" t="n"/>
      <c r="S955" s="11" t="n"/>
      <c r="T955" s="12" t="n"/>
      <c r="U955" s="12" t="n"/>
      <c r="V955" s="14">
        <f>IF($AN955="",IF($B955="","",$H955),IF(INDEX(職員マスタ!$B$6:$B$405,$AN955)="",$H955,INDEX(職員マスタ!$B$6:$B$405,$AN955)))</f>
        <v/>
      </c>
      <c r="W955" s="14">
        <f>IF($AN955="",IF($B955="","",$R955),IF(INDEX(職員マスタ!$C$6:$C$405,$AN955)="",$R955,INDEX(職員マスタ!$C$6:$C$405,$AN955)))</f>
        <v/>
      </c>
      <c r="X955" s="14">
        <f>IF($AO955="","","R"&amp;$C955&amp;"."&amp;$D955)</f>
        <v/>
      </c>
      <c r="Y955" s="15">
        <f>IF($AN955="","",IF(INDEX(職員マスタ!$K$6:$K$405,$AN955)="","",INDEX(職員マスタ!$K$6:$K$405,$AN955)))</f>
        <v/>
      </c>
      <c r="Z955" s="14">
        <f>IF(OR($E955="",$Y955=""),"",IF($E955&gt;=$Y955,"×",IF($E955&gt;=$Y955*設定!$C$5,"△","○")))</f>
        <v/>
      </c>
      <c r="AA955" s="15">
        <f>IF($Z955="","",IF($Z955="×",0,IF($Z955="○",ROUNDDOWN($E955*設定!$C$4,0),ROUNDDOWN($E955*ROUND((9*$Y955-9*$E955)/(10*$E955),4),0))))</f>
        <v/>
      </c>
      <c r="AB955" s="13" t="n"/>
      <c r="AC955" s="15">
        <f>IF($B955="","",IF($AB955&lt;&gt;"",$AB955,IF($AA955="","",IF($AA955&lt;=設定!$C$3,0,$AA955))))</f>
        <v/>
      </c>
      <c r="AD955" s="14">
        <f>IF($B955="","",IF(AND($AE955&lt;&gt;"",$AG955="",$AJ955=""),"保留中",IF($AJ955&lt;&gt;"",IF(N($AC955)&gt;0,"支給済","不支給"),IF($AC955="","要確認",IF($AC955=0,"不支給","未処理")))))</f>
        <v/>
      </c>
      <c r="AE955" s="12" t="n"/>
      <c r="AF955" s="11" t="n"/>
      <c r="AG955" s="11" t="n"/>
      <c r="AH955" s="11" t="n"/>
      <c r="AI955" s="14">
        <f>IF(AND($AD955="保留中",$AF955&lt;&gt;""),TODAY()-$AF955,"")</f>
        <v/>
      </c>
      <c r="AJ955" s="12" t="n"/>
      <c r="AK955" s="14">
        <f>IF($B955="","",IF($AO955="","対象年月が未入力／","")&amp;IF($B955="","",IF($AN955="","職員マスタに未登録の職員番号／",IF($Y955="","標準報酬月額が未登録／","")&amp;IF(AND($AO955&lt;&gt;"",OR(AND(INDEX(職員マスタ!$G$6:$G$405,$AN955)&lt;&gt;"",INDEX(職員マスタ!$G$6:$G$405,$AN955)&gt;EOMONTH($AO955,0)),AND(INDEX(職員マスタ!$H$6:$H$405,$AN955)&lt;&gt;"",INDEX(職員マスタ!$H$6:$H$405,$AN955)&lt;$AO955))),"対象月が時短期間外／","")&amp;IF(AND(INDEX(職員マスタ!$F$6:$F$405,$AN955)&lt;&gt;"",$AO955&lt;&gt;"",INDEX(職員マスタ!$F$6:$F$405,$AN955)&lt;$AO955),"対象月に子が2歳到達済／","")&amp;IF(AND($H955&lt;&gt;"",INDEX(職員マスタ!$B$6:$B$405,$AN955)&lt;&gt;"",SUBSTITUTE(SUBSTITUTE($H955," ","")," ","")&lt;&gt;SUBSTITUTE(SUBSTITUTE(INDEX(職員マスタ!$B$6:$B$405,$AN955)," ","")," ","")),"氏名がマスタと相違／","")&amp;IF(AND($Q955&lt;&gt;"",INDEX(職員マスタ!$E$6:$E$405,$AN955)&lt;&gt;"",$Q955&lt;&gt;INDEX(職員マスタ!$E$6:$E$405,$AN955)),"子の生年月日がマスタと相違／","")&amp;IF(AND($L955&lt;&gt;"",INDEX(職員マスタ!$G$6:$G$405,$AN955)&lt;&gt;"",$L955&lt;&gt;INDEX(職員マスタ!$G$6:$G$405,$AN955)),"時短開始日がマスタと相違／","")&amp;IF(AND($M955&lt;&gt;"",INDEX(職員マスタ!$H$6:$H$405,$AN955)&lt;&gt;"",$M955&lt;&gt;INDEX(職員マスタ!$H$6:$H$405,$AN955)),"時短終了日がマスタと相違／","")))&amp;IF(AND($B955&lt;&gt;"",$E955=""),"報酬額が未入力／","")&amp;IF(N($U955)&gt;0,"申請書に入力エラーが残っています／","")&amp;IF(AND($B955&lt;&gt;"",$AO955&lt;&gt;""),IF(COUNTIFS($B$6:$B$3005,$B955,$C$6:$C$3005,$C955,$D$6:$D$3005,$D955)&gt;1,"同じ月の請求が重複しています／",""),"")&amp;IF(AND(N($E955)&gt;0,$Z955&lt;&gt;"",$Z955&lt;&gt;"×",$AC955=0,$AB955=""),"計算額が下限以下のため不支給／",""))</f>
        <v/>
      </c>
      <c r="AL955" s="12" t="n"/>
      <c r="AM955" s="14">
        <f>IF($AD955="保留中",COUNTIF($AD$6:$AD955,"保留中"),"")</f>
        <v/>
      </c>
      <c r="AN955" s="14">
        <f>IF($AO955="","",IF(SUMPRODUCT(MAX((職員マスタ!$A$6:$A$405=$B955)*(((職員マスタ!$G$6:$G$405="")+(職員マスタ!$G$6:$G$405&lt;=EOMONTH($AO955,0)))&gt;0)*(((職員マスタ!$H$6:$H$405="")+(職員マスタ!$H$6:$H$405&gt;=$AO955))&gt;0)*(ROW(職員マスタ!$A$6:$A$405)-5)))&gt;0,SUMPRODUCT(MAX((職員マスタ!$A$6:$A$405=$B955)*(((職員マスタ!$G$6:$G$405="")+(職員マスタ!$G$6:$G$405&lt;=EOMONTH($AO955,0)))&gt;0)*(((職員マスタ!$H$6:$H$405="")+(職員マスタ!$H$6:$H$405&gt;=$AO955))&gt;0)*(ROW(職員マスタ!$A$6:$A$405)-5))),IFERROR(MATCH($B955,職員マスタ!$A$6:$A$405,0),"")))</f>
        <v/>
      </c>
      <c r="AO955" s="16">
        <f>IF(OR($B955="",$C955="",$D955=""),"",DATE($C955+2018,$D955,1))</f>
        <v/>
      </c>
    </row>
    <row r="956">
      <c r="A956" s="11" t="n"/>
      <c r="B956" s="12" t="n"/>
      <c r="C956" s="12" t="n"/>
      <c r="D956" s="12" t="n"/>
      <c r="E956" s="13" t="n"/>
      <c r="F956" s="12" t="n"/>
      <c r="G956" s="13" t="n"/>
      <c r="H956" s="12" t="n"/>
      <c r="I956" s="12" t="n"/>
      <c r="J956" s="12" t="n"/>
      <c r="K956" s="12" t="n"/>
      <c r="L956" s="11" t="n"/>
      <c r="M956" s="11" t="n"/>
      <c r="N956" s="11" t="n"/>
      <c r="O956" s="11" t="n"/>
      <c r="P956" s="12" t="n"/>
      <c r="Q956" s="11" t="n"/>
      <c r="R956" s="12" t="n"/>
      <c r="S956" s="11" t="n"/>
      <c r="T956" s="12" t="n"/>
      <c r="U956" s="12" t="n"/>
      <c r="V956" s="14">
        <f>IF($AN956="",IF($B956="","",$H956),IF(INDEX(職員マスタ!$B$6:$B$405,$AN956)="",$H956,INDEX(職員マスタ!$B$6:$B$405,$AN956)))</f>
        <v/>
      </c>
      <c r="W956" s="14">
        <f>IF($AN956="",IF($B956="","",$R956),IF(INDEX(職員マスタ!$C$6:$C$405,$AN956)="",$R956,INDEX(職員マスタ!$C$6:$C$405,$AN956)))</f>
        <v/>
      </c>
      <c r="X956" s="14">
        <f>IF($AO956="","","R"&amp;$C956&amp;"."&amp;$D956)</f>
        <v/>
      </c>
      <c r="Y956" s="15">
        <f>IF($AN956="","",IF(INDEX(職員マスタ!$K$6:$K$405,$AN956)="","",INDEX(職員マスタ!$K$6:$K$405,$AN956)))</f>
        <v/>
      </c>
      <c r="Z956" s="14">
        <f>IF(OR($E956="",$Y956=""),"",IF($E956&gt;=$Y956,"×",IF($E956&gt;=$Y956*設定!$C$5,"△","○")))</f>
        <v/>
      </c>
      <c r="AA956" s="15">
        <f>IF($Z956="","",IF($Z956="×",0,IF($Z956="○",ROUNDDOWN($E956*設定!$C$4,0),ROUNDDOWN($E956*ROUND((9*$Y956-9*$E956)/(10*$E956),4),0))))</f>
        <v/>
      </c>
      <c r="AB956" s="13" t="n"/>
      <c r="AC956" s="15">
        <f>IF($B956="","",IF($AB956&lt;&gt;"",$AB956,IF($AA956="","",IF($AA956&lt;=設定!$C$3,0,$AA956))))</f>
        <v/>
      </c>
      <c r="AD956" s="14">
        <f>IF($B956="","",IF(AND($AE956&lt;&gt;"",$AG956="",$AJ956=""),"保留中",IF($AJ956&lt;&gt;"",IF(N($AC956)&gt;0,"支給済","不支給"),IF($AC956="","要確認",IF($AC956=0,"不支給","未処理")))))</f>
        <v/>
      </c>
      <c r="AE956" s="12" t="n"/>
      <c r="AF956" s="11" t="n"/>
      <c r="AG956" s="11" t="n"/>
      <c r="AH956" s="11" t="n"/>
      <c r="AI956" s="14">
        <f>IF(AND($AD956="保留中",$AF956&lt;&gt;""),TODAY()-$AF956,"")</f>
        <v/>
      </c>
      <c r="AJ956" s="12" t="n"/>
      <c r="AK956" s="14">
        <f>IF($B956="","",IF($AO956="","対象年月が未入力／","")&amp;IF($B956="","",IF($AN956="","職員マスタに未登録の職員番号／",IF($Y956="","標準報酬月額が未登録／","")&amp;IF(AND($AO956&lt;&gt;"",OR(AND(INDEX(職員マスタ!$G$6:$G$405,$AN956)&lt;&gt;"",INDEX(職員マスタ!$G$6:$G$405,$AN956)&gt;EOMONTH($AO956,0)),AND(INDEX(職員マスタ!$H$6:$H$405,$AN956)&lt;&gt;"",INDEX(職員マスタ!$H$6:$H$405,$AN956)&lt;$AO956))),"対象月が時短期間外／","")&amp;IF(AND(INDEX(職員マスタ!$F$6:$F$405,$AN956)&lt;&gt;"",$AO956&lt;&gt;"",INDEX(職員マスタ!$F$6:$F$405,$AN956)&lt;$AO956),"対象月に子が2歳到達済／","")&amp;IF(AND($H956&lt;&gt;"",INDEX(職員マスタ!$B$6:$B$405,$AN956)&lt;&gt;"",SUBSTITUTE(SUBSTITUTE($H956," ","")," ","")&lt;&gt;SUBSTITUTE(SUBSTITUTE(INDEX(職員マスタ!$B$6:$B$405,$AN956)," ","")," ","")),"氏名がマスタと相違／","")&amp;IF(AND($Q956&lt;&gt;"",INDEX(職員マスタ!$E$6:$E$405,$AN956)&lt;&gt;"",$Q956&lt;&gt;INDEX(職員マスタ!$E$6:$E$405,$AN956)),"子の生年月日がマスタと相違／","")&amp;IF(AND($L956&lt;&gt;"",INDEX(職員マスタ!$G$6:$G$405,$AN956)&lt;&gt;"",$L956&lt;&gt;INDEX(職員マスタ!$G$6:$G$405,$AN956)),"時短開始日がマスタと相違／","")&amp;IF(AND($M956&lt;&gt;"",INDEX(職員マスタ!$H$6:$H$405,$AN956)&lt;&gt;"",$M956&lt;&gt;INDEX(職員マスタ!$H$6:$H$405,$AN956)),"時短終了日がマスタと相違／","")))&amp;IF(AND($B956&lt;&gt;"",$E956=""),"報酬額が未入力／","")&amp;IF(N($U956)&gt;0,"申請書に入力エラーが残っています／","")&amp;IF(AND($B956&lt;&gt;"",$AO956&lt;&gt;""),IF(COUNTIFS($B$6:$B$3005,$B956,$C$6:$C$3005,$C956,$D$6:$D$3005,$D956)&gt;1,"同じ月の請求が重複しています／",""),"")&amp;IF(AND(N($E956)&gt;0,$Z956&lt;&gt;"",$Z956&lt;&gt;"×",$AC956=0,$AB956=""),"計算額が下限以下のため不支給／",""))</f>
        <v/>
      </c>
      <c r="AL956" s="12" t="n"/>
      <c r="AM956" s="14">
        <f>IF($AD956="保留中",COUNTIF($AD$6:$AD956,"保留中"),"")</f>
        <v/>
      </c>
      <c r="AN956" s="14">
        <f>IF($AO956="","",IF(SUMPRODUCT(MAX((職員マスタ!$A$6:$A$405=$B956)*(((職員マスタ!$G$6:$G$405="")+(職員マスタ!$G$6:$G$405&lt;=EOMONTH($AO956,0)))&gt;0)*(((職員マスタ!$H$6:$H$405="")+(職員マスタ!$H$6:$H$405&gt;=$AO956))&gt;0)*(ROW(職員マスタ!$A$6:$A$405)-5)))&gt;0,SUMPRODUCT(MAX((職員マスタ!$A$6:$A$405=$B956)*(((職員マスタ!$G$6:$G$405="")+(職員マスタ!$G$6:$G$405&lt;=EOMONTH($AO956,0)))&gt;0)*(((職員マスタ!$H$6:$H$405="")+(職員マスタ!$H$6:$H$405&gt;=$AO956))&gt;0)*(ROW(職員マスタ!$A$6:$A$405)-5))),IFERROR(MATCH($B956,職員マスタ!$A$6:$A$405,0),"")))</f>
        <v/>
      </c>
      <c r="AO956" s="16">
        <f>IF(OR($B956="",$C956="",$D956=""),"",DATE($C956+2018,$D956,1))</f>
        <v/>
      </c>
    </row>
    <row r="957">
      <c r="A957" s="11" t="n"/>
      <c r="B957" s="12" t="n"/>
      <c r="C957" s="12" t="n"/>
      <c r="D957" s="12" t="n"/>
      <c r="E957" s="13" t="n"/>
      <c r="F957" s="12" t="n"/>
      <c r="G957" s="13" t="n"/>
      <c r="H957" s="12" t="n"/>
      <c r="I957" s="12" t="n"/>
      <c r="J957" s="12" t="n"/>
      <c r="K957" s="12" t="n"/>
      <c r="L957" s="11" t="n"/>
      <c r="M957" s="11" t="n"/>
      <c r="N957" s="11" t="n"/>
      <c r="O957" s="11" t="n"/>
      <c r="P957" s="12" t="n"/>
      <c r="Q957" s="11" t="n"/>
      <c r="R957" s="12" t="n"/>
      <c r="S957" s="11" t="n"/>
      <c r="T957" s="12" t="n"/>
      <c r="U957" s="12" t="n"/>
      <c r="V957" s="14">
        <f>IF($AN957="",IF($B957="","",$H957),IF(INDEX(職員マスタ!$B$6:$B$405,$AN957)="",$H957,INDEX(職員マスタ!$B$6:$B$405,$AN957)))</f>
        <v/>
      </c>
      <c r="W957" s="14">
        <f>IF($AN957="",IF($B957="","",$R957),IF(INDEX(職員マスタ!$C$6:$C$405,$AN957)="",$R957,INDEX(職員マスタ!$C$6:$C$405,$AN957)))</f>
        <v/>
      </c>
      <c r="X957" s="14">
        <f>IF($AO957="","","R"&amp;$C957&amp;"."&amp;$D957)</f>
        <v/>
      </c>
      <c r="Y957" s="15">
        <f>IF($AN957="","",IF(INDEX(職員マスタ!$K$6:$K$405,$AN957)="","",INDEX(職員マスタ!$K$6:$K$405,$AN957)))</f>
        <v/>
      </c>
      <c r="Z957" s="14">
        <f>IF(OR($E957="",$Y957=""),"",IF($E957&gt;=$Y957,"×",IF($E957&gt;=$Y957*設定!$C$5,"△","○")))</f>
        <v/>
      </c>
      <c r="AA957" s="15">
        <f>IF($Z957="","",IF($Z957="×",0,IF($Z957="○",ROUNDDOWN($E957*設定!$C$4,0),ROUNDDOWN($E957*ROUND((9*$Y957-9*$E957)/(10*$E957),4),0))))</f>
        <v/>
      </c>
      <c r="AB957" s="13" t="n"/>
      <c r="AC957" s="15">
        <f>IF($B957="","",IF($AB957&lt;&gt;"",$AB957,IF($AA957="","",IF($AA957&lt;=設定!$C$3,0,$AA957))))</f>
        <v/>
      </c>
      <c r="AD957" s="14">
        <f>IF($B957="","",IF(AND($AE957&lt;&gt;"",$AG957="",$AJ957=""),"保留中",IF($AJ957&lt;&gt;"",IF(N($AC957)&gt;0,"支給済","不支給"),IF($AC957="","要確認",IF($AC957=0,"不支給","未処理")))))</f>
        <v/>
      </c>
      <c r="AE957" s="12" t="n"/>
      <c r="AF957" s="11" t="n"/>
      <c r="AG957" s="11" t="n"/>
      <c r="AH957" s="11" t="n"/>
      <c r="AI957" s="14">
        <f>IF(AND($AD957="保留中",$AF957&lt;&gt;""),TODAY()-$AF957,"")</f>
        <v/>
      </c>
      <c r="AJ957" s="12" t="n"/>
      <c r="AK957" s="14">
        <f>IF($B957="","",IF($AO957="","対象年月が未入力／","")&amp;IF($B957="","",IF($AN957="","職員マスタに未登録の職員番号／",IF($Y957="","標準報酬月額が未登録／","")&amp;IF(AND($AO957&lt;&gt;"",OR(AND(INDEX(職員マスタ!$G$6:$G$405,$AN957)&lt;&gt;"",INDEX(職員マスタ!$G$6:$G$405,$AN957)&gt;EOMONTH($AO957,0)),AND(INDEX(職員マスタ!$H$6:$H$405,$AN957)&lt;&gt;"",INDEX(職員マスタ!$H$6:$H$405,$AN957)&lt;$AO957))),"対象月が時短期間外／","")&amp;IF(AND(INDEX(職員マスタ!$F$6:$F$405,$AN957)&lt;&gt;"",$AO957&lt;&gt;"",INDEX(職員マスタ!$F$6:$F$405,$AN957)&lt;$AO957),"対象月に子が2歳到達済／","")&amp;IF(AND($H957&lt;&gt;"",INDEX(職員マスタ!$B$6:$B$405,$AN957)&lt;&gt;"",SUBSTITUTE(SUBSTITUTE($H957," ","")," ","")&lt;&gt;SUBSTITUTE(SUBSTITUTE(INDEX(職員マスタ!$B$6:$B$405,$AN957)," ","")," ","")),"氏名がマスタと相違／","")&amp;IF(AND($Q957&lt;&gt;"",INDEX(職員マスタ!$E$6:$E$405,$AN957)&lt;&gt;"",$Q957&lt;&gt;INDEX(職員マスタ!$E$6:$E$405,$AN957)),"子の生年月日がマスタと相違／","")&amp;IF(AND($L957&lt;&gt;"",INDEX(職員マスタ!$G$6:$G$405,$AN957)&lt;&gt;"",$L957&lt;&gt;INDEX(職員マスタ!$G$6:$G$405,$AN957)),"時短開始日がマスタと相違／","")&amp;IF(AND($M957&lt;&gt;"",INDEX(職員マスタ!$H$6:$H$405,$AN957)&lt;&gt;"",$M957&lt;&gt;INDEX(職員マスタ!$H$6:$H$405,$AN957)),"時短終了日がマスタと相違／","")))&amp;IF(AND($B957&lt;&gt;"",$E957=""),"報酬額が未入力／","")&amp;IF(N($U957)&gt;0,"申請書に入力エラーが残っています／","")&amp;IF(AND($B957&lt;&gt;"",$AO957&lt;&gt;""),IF(COUNTIFS($B$6:$B$3005,$B957,$C$6:$C$3005,$C957,$D$6:$D$3005,$D957)&gt;1,"同じ月の請求が重複しています／",""),"")&amp;IF(AND(N($E957)&gt;0,$Z957&lt;&gt;"",$Z957&lt;&gt;"×",$AC957=0,$AB957=""),"計算額が下限以下のため不支給／",""))</f>
        <v/>
      </c>
      <c r="AL957" s="12" t="n"/>
      <c r="AM957" s="14">
        <f>IF($AD957="保留中",COUNTIF($AD$6:$AD957,"保留中"),"")</f>
        <v/>
      </c>
      <c r="AN957" s="14">
        <f>IF($AO957="","",IF(SUMPRODUCT(MAX((職員マスタ!$A$6:$A$405=$B957)*(((職員マスタ!$G$6:$G$405="")+(職員マスタ!$G$6:$G$405&lt;=EOMONTH($AO957,0)))&gt;0)*(((職員マスタ!$H$6:$H$405="")+(職員マスタ!$H$6:$H$405&gt;=$AO957))&gt;0)*(ROW(職員マスタ!$A$6:$A$405)-5)))&gt;0,SUMPRODUCT(MAX((職員マスタ!$A$6:$A$405=$B957)*(((職員マスタ!$G$6:$G$405="")+(職員マスタ!$G$6:$G$405&lt;=EOMONTH($AO957,0)))&gt;0)*(((職員マスタ!$H$6:$H$405="")+(職員マスタ!$H$6:$H$405&gt;=$AO957))&gt;0)*(ROW(職員マスタ!$A$6:$A$405)-5))),IFERROR(MATCH($B957,職員マスタ!$A$6:$A$405,0),"")))</f>
        <v/>
      </c>
      <c r="AO957" s="16">
        <f>IF(OR($B957="",$C957="",$D957=""),"",DATE($C957+2018,$D957,1))</f>
        <v/>
      </c>
    </row>
    <row r="958">
      <c r="A958" s="11" t="n"/>
      <c r="B958" s="12" t="n"/>
      <c r="C958" s="12" t="n"/>
      <c r="D958" s="12" t="n"/>
      <c r="E958" s="13" t="n"/>
      <c r="F958" s="12" t="n"/>
      <c r="G958" s="13" t="n"/>
      <c r="H958" s="12" t="n"/>
      <c r="I958" s="12" t="n"/>
      <c r="J958" s="12" t="n"/>
      <c r="K958" s="12" t="n"/>
      <c r="L958" s="11" t="n"/>
      <c r="M958" s="11" t="n"/>
      <c r="N958" s="11" t="n"/>
      <c r="O958" s="11" t="n"/>
      <c r="P958" s="12" t="n"/>
      <c r="Q958" s="11" t="n"/>
      <c r="R958" s="12" t="n"/>
      <c r="S958" s="11" t="n"/>
      <c r="T958" s="12" t="n"/>
      <c r="U958" s="12" t="n"/>
      <c r="V958" s="14">
        <f>IF($AN958="",IF($B958="","",$H958),IF(INDEX(職員マスタ!$B$6:$B$405,$AN958)="",$H958,INDEX(職員マスタ!$B$6:$B$405,$AN958)))</f>
        <v/>
      </c>
      <c r="W958" s="14">
        <f>IF($AN958="",IF($B958="","",$R958),IF(INDEX(職員マスタ!$C$6:$C$405,$AN958)="",$R958,INDEX(職員マスタ!$C$6:$C$405,$AN958)))</f>
        <v/>
      </c>
      <c r="X958" s="14">
        <f>IF($AO958="","","R"&amp;$C958&amp;"."&amp;$D958)</f>
        <v/>
      </c>
      <c r="Y958" s="15">
        <f>IF($AN958="","",IF(INDEX(職員マスタ!$K$6:$K$405,$AN958)="","",INDEX(職員マスタ!$K$6:$K$405,$AN958)))</f>
        <v/>
      </c>
      <c r="Z958" s="14">
        <f>IF(OR($E958="",$Y958=""),"",IF($E958&gt;=$Y958,"×",IF($E958&gt;=$Y958*設定!$C$5,"△","○")))</f>
        <v/>
      </c>
      <c r="AA958" s="15">
        <f>IF($Z958="","",IF($Z958="×",0,IF($Z958="○",ROUNDDOWN($E958*設定!$C$4,0),ROUNDDOWN($E958*ROUND((9*$Y958-9*$E958)/(10*$E958),4),0))))</f>
        <v/>
      </c>
      <c r="AB958" s="13" t="n"/>
      <c r="AC958" s="15">
        <f>IF($B958="","",IF($AB958&lt;&gt;"",$AB958,IF($AA958="","",IF($AA958&lt;=設定!$C$3,0,$AA958))))</f>
        <v/>
      </c>
      <c r="AD958" s="14">
        <f>IF($B958="","",IF(AND($AE958&lt;&gt;"",$AG958="",$AJ958=""),"保留中",IF($AJ958&lt;&gt;"",IF(N($AC958)&gt;0,"支給済","不支給"),IF($AC958="","要確認",IF($AC958=0,"不支給","未処理")))))</f>
        <v/>
      </c>
      <c r="AE958" s="12" t="n"/>
      <c r="AF958" s="11" t="n"/>
      <c r="AG958" s="11" t="n"/>
      <c r="AH958" s="11" t="n"/>
      <c r="AI958" s="14">
        <f>IF(AND($AD958="保留中",$AF958&lt;&gt;""),TODAY()-$AF958,"")</f>
        <v/>
      </c>
      <c r="AJ958" s="12" t="n"/>
      <c r="AK958" s="14">
        <f>IF($B958="","",IF($AO958="","対象年月が未入力／","")&amp;IF($B958="","",IF($AN958="","職員マスタに未登録の職員番号／",IF($Y958="","標準報酬月額が未登録／","")&amp;IF(AND($AO958&lt;&gt;"",OR(AND(INDEX(職員マスタ!$G$6:$G$405,$AN958)&lt;&gt;"",INDEX(職員マスタ!$G$6:$G$405,$AN958)&gt;EOMONTH($AO958,0)),AND(INDEX(職員マスタ!$H$6:$H$405,$AN958)&lt;&gt;"",INDEX(職員マスタ!$H$6:$H$405,$AN958)&lt;$AO958))),"対象月が時短期間外／","")&amp;IF(AND(INDEX(職員マスタ!$F$6:$F$405,$AN958)&lt;&gt;"",$AO958&lt;&gt;"",INDEX(職員マスタ!$F$6:$F$405,$AN958)&lt;$AO958),"対象月に子が2歳到達済／","")&amp;IF(AND($H958&lt;&gt;"",INDEX(職員マスタ!$B$6:$B$405,$AN958)&lt;&gt;"",SUBSTITUTE(SUBSTITUTE($H958," ","")," ","")&lt;&gt;SUBSTITUTE(SUBSTITUTE(INDEX(職員マスタ!$B$6:$B$405,$AN958)," ","")," ","")),"氏名がマスタと相違／","")&amp;IF(AND($Q958&lt;&gt;"",INDEX(職員マスタ!$E$6:$E$405,$AN958)&lt;&gt;"",$Q958&lt;&gt;INDEX(職員マスタ!$E$6:$E$405,$AN958)),"子の生年月日がマスタと相違／","")&amp;IF(AND($L958&lt;&gt;"",INDEX(職員マスタ!$G$6:$G$405,$AN958)&lt;&gt;"",$L958&lt;&gt;INDEX(職員マスタ!$G$6:$G$405,$AN958)),"時短開始日がマスタと相違／","")&amp;IF(AND($M958&lt;&gt;"",INDEX(職員マスタ!$H$6:$H$405,$AN958)&lt;&gt;"",$M958&lt;&gt;INDEX(職員マスタ!$H$6:$H$405,$AN958)),"時短終了日がマスタと相違／","")))&amp;IF(AND($B958&lt;&gt;"",$E958=""),"報酬額が未入力／","")&amp;IF(N($U958)&gt;0,"申請書に入力エラーが残っています／","")&amp;IF(AND($B958&lt;&gt;"",$AO958&lt;&gt;""),IF(COUNTIFS($B$6:$B$3005,$B958,$C$6:$C$3005,$C958,$D$6:$D$3005,$D958)&gt;1,"同じ月の請求が重複しています／",""),"")&amp;IF(AND(N($E958)&gt;0,$Z958&lt;&gt;"",$Z958&lt;&gt;"×",$AC958=0,$AB958=""),"計算額が下限以下のため不支給／",""))</f>
        <v/>
      </c>
      <c r="AL958" s="12" t="n"/>
      <c r="AM958" s="14">
        <f>IF($AD958="保留中",COUNTIF($AD$6:$AD958,"保留中"),"")</f>
        <v/>
      </c>
      <c r="AN958" s="14">
        <f>IF($AO958="","",IF(SUMPRODUCT(MAX((職員マスタ!$A$6:$A$405=$B958)*(((職員マスタ!$G$6:$G$405="")+(職員マスタ!$G$6:$G$405&lt;=EOMONTH($AO958,0)))&gt;0)*(((職員マスタ!$H$6:$H$405="")+(職員マスタ!$H$6:$H$405&gt;=$AO958))&gt;0)*(ROW(職員マスタ!$A$6:$A$405)-5)))&gt;0,SUMPRODUCT(MAX((職員マスタ!$A$6:$A$405=$B958)*(((職員マスタ!$G$6:$G$405="")+(職員マスタ!$G$6:$G$405&lt;=EOMONTH($AO958,0)))&gt;0)*(((職員マスタ!$H$6:$H$405="")+(職員マスタ!$H$6:$H$405&gt;=$AO958))&gt;0)*(ROW(職員マスタ!$A$6:$A$405)-5))),IFERROR(MATCH($B958,職員マスタ!$A$6:$A$405,0),"")))</f>
        <v/>
      </c>
      <c r="AO958" s="16">
        <f>IF(OR($B958="",$C958="",$D958=""),"",DATE($C958+2018,$D958,1))</f>
        <v/>
      </c>
    </row>
    <row r="959">
      <c r="A959" s="11" t="n"/>
      <c r="B959" s="12" t="n"/>
      <c r="C959" s="12" t="n"/>
      <c r="D959" s="12" t="n"/>
      <c r="E959" s="13" t="n"/>
      <c r="F959" s="12" t="n"/>
      <c r="G959" s="13" t="n"/>
      <c r="H959" s="12" t="n"/>
      <c r="I959" s="12" t="n"/>
      <c r="J959" s="12" t="n"/>
      <c r="K959" s="12" t="n"/>
      <c r="L959" s="11" t="n"/>
      <c r="M959" s="11" t="n"/>
      <c r="N959" s="11" t="n"/>
      <c r="O959" s="11" t="n"/>
      <c r="P959" s="12" t="n"/>
      <c r="Q959" s="11" t="n"/>
      <c r="R959" s="12" t="n"/>
      <c r="S959" s="11" t="n"/>
      <c r="T959" s="12" t="n"/>
      <c r="U959" s="12" t="n"/>
      <c r="V959" s="14">
        <f>IF($AN959="",IF($B959="","",$H959),IF(INDEX(職員マスタ!$B$6:$B$405,$AN959)="",$H959,INDEX(職員マスタ!$B$6:$B$405,$AN959)))</f>
        <v/>
      </c>
      <c r="W959" s="14">
        <f>IF($AN959="",IF($B959="","",$R959),IF(INDEX(職員マスタ!$C$6:$C$405,$AN959)="",$R959,INDEX(職員マスタ!$C$6:$C$405,$AN959)))</f>
        <v/>
      </c>
      <c r="X959" s="14">
        <f>IF($AO959="","","R"&amp;$C959&amp;"."&amp;$D959)</f>
        <v/>
      </c>
      <c r="Y959" s="15">
        <f>IF($AN959="","",IF(INDEX(職員マスタ!$K$6:$K$405,$AN959)="","",INDEX(職員マスタ!$K$6:$K$405,$AN959)))</f>
        <v/>
      </c>
      <c r="Z959" s="14">
        <f>IF(OR($E959="",$Y959=""),"",IF($E959&gt;=$Y959,"×",IF($E959&gt;=$Y959*設定!$C$5,"△","○")))</f>
        <v/>
      </c>
      <c r="AA959" s="15">
        <f>IF($Z959="","",IF($Z959="×",0,IF($Z959="○",ROUNDDOWN($E959*設定!$C$4,0),ROUNDDOWN($E959*ROUND((9*$Y959-9*$E959)/(10*$E959),4),0))))</f>
        <v/>
      </c>
      <c r="AB959" s="13" t="n"/>
      <c r="AC959" s="15">
        <f>IF($B959="","",IF($AB959&lt;&gt;"",$AB959,IF($AA959="","",IF($AA959&lt;=設定!$C$3,0,$AA959))))</f>
        <v/>
      </c>
      <c r="AD959" s="14">
        <f>IF($B959="","",IF(AND($AE959&lt;&gt;"",$AG959="",$AJ959=""),"保留中",IF($AJ959&lt;&gt;"",IF(N($AC959)&gt;0,"支給済","不支給"),IF($AC959="","要確認",IF($AC959=0,"不支給","未処理")))))</f>
        <v/>
      </c>
      <c r="AE959" s="12" t="n"/>
      <c r="AF959" s="11" t="n"/>
      <c r="AG959" s="11" t="n"/>
      <c r="AH959" s="11" t="n"/>
      <c r="AI959" s="14">
        <f>IF(AND($AD959="保留中",$AF959&lt;&gt;""),TODAY()-$AF959,"")</f>
        <v/>
      </c>
      <c r="AJ959" s="12" t="n"/>
      <c r="AK959" s="14">
        <f>IF($B959="","",IF($AO959="","対象年月が未入力／","")&amp;IF($B959="","",IF($AN959="","職員マスタに未登録の職員番号／",IF($Y959="","標準報酬月額が未登録／","")&amp;IF(AND($AO959&lt;&gt;"",OR(AND(INDEX(職員マスタ!$G$6:$G$405,$AN959)&lt;&gt;"",INDEX(職員マスタ!$G$6:$G$405,$AN959)&gt;EOMONTH($AO959,0)),AND(INDEX(職員マスタ!$H$6:$H$405,$AN959)&lt;&gt;"",INDEX(職員マスタ!$H$6:$H$405,$AN959)&lt;$AO959))),"対象月が時短期間外／","")&amp;IF(AND(INDEX(職員マスタ!$F$6:$F$405,$AN959)&lt;&gt;"",$AO959&lt;&gt;"",INDEX(職員マスタ!$F$6:$F$405,$AN959)&lt;$AO959),"対象月に子が2歳到達済／","")&amp;IF(AND($H959&lt;&gt;"",INDEX(職員マスタ!$B$6:$B$405,$AN959)&lt;&gt;"",SUBSTITUTE(SUBSTITUTE($H959," ","")," ","")&lt;&gt;SUBSTITUTE(SUBSTITUTE(INDEX(職員マスタ!$B$6:$B$405,$AN959)," ","")," ","")),"氏名がマスタと相違／","")&amp;IF(AND($Q959&lt;&gt;"",INDEX(職員マスタ!$E$6:$E$405,$AN959)&lt;&gt;"",$Q959&lt;&gt;INDEX(職員マスタ!$E$6:$E$405,$AN959)),"子の生年月日がマスタと相違／","")&amp;IF(AND($L959&lt;&gt;"",INDEX(職員マスタ!$G$6:$G$405,$AN959)&lt;&gt;"",$L959&lt;&gt;INDEX(職員マスタ!$G$6:$G$405,$AN959)),"時短開始日がマスタと相違／","")&amp;IF(AND($M959&lt;&gt;"",INDEX(職員マスタ!$H$6:$H$405,$AN959)&lt;&gt;"",$M959&lt;&gt;INDEX(職員マスタ!$H$6:$H$405,$AN959)),"時短終了日がマスタと相違／","")))&amp;IF(AND($B959&lt;&gt;"",$E959=""),"報酬額が未入力／","")&amp;IF(N($U959)&gt;0,"申請書に入力エラーが残っています／","")&amp;IF(AND($B959&lt;&gt;"",$AO959&lt;&gt;""),IF(COUNTIFS($B$6:$B$3005,$B959,$C$6:$C$3005,$C959,$D$6:$D$3005,$D959)&gt;1,"同じ月の請求が重複しています／",""),"")&amp;IF(AND(N($E959)&gt;0,$Z959&lt;&gt;"",$Z959&lt;&gt;"×",$AC959=0,$AB959=""),"計算額が下限以下のため不支給／",""))</f>
        <v/>
      </c>
      <c r="AL959" s="12" t="n"/>
      <c r="AM959" s="14">
        <f>IF($AD959="保留中",COUNTIF($AD$6:$AD959,"保留中"),"")</f>
        <v/>
      </c>
      <c r="AN959" s="14">
        <f>IF($AO959="","",IF(SUMPRODUCT(MAX((職員マスタ!$A$6:$A$405=$B959)*(((職員マスタ!$G$6:$G$405="")+(職員マスタ!$G$6:$G$405&lt;=EOMONTH($AO959,0)))&gt;0)*(((職員マスタ!$H$6:$H$405="")+(職員マスタ!$H$6:$H$405&gt;=$AO959))&gt;0)*(ROW(職員マスタ!$A$6:$A$405)-5)))&gt;0,SUMPRODUCT(MAX((職員マスタ!$A$6:$A$405=$B959)*(((職員マスタ!$G$6:$G$405="")+(職員マスタ!$G$6:$G$405&lt;=EOMONTH($AO959,0)))&gt;0)*(((職員マスタ!$H$6:$H$405="")+(職員マスタ!$H$6:$H$405&gt;=$AO959))&gt;0)*(ROW(職員マスタ!$A$6:$A$405)-5))),IFERROR(MATCH($B959,職員マスタ!$A$6:$A$405,0),"")))</f>
        <v/>
      </c>
      <c r="AO959" s="16">
        <f>IF(OR($B959="",$C959="",$D959=""),"",DATE($C959+2018,$D959,1))</f>
        <v/>
      </c>
    </row>
    <row r="960">
      <c r="A960" s="11" t="n"/>
      <c r="B960" s="12" t="n"/>
      <c r="C960" s="12" t="n"/>
      <c r="D960" s="12" t="n"/>
      <c r="E960" s="13" t="n"/>
      <c r="F960" s="12" t="n"/>
      <c r="G960" s="13" t="n"/>
      <c r="H960" s="12" t="n"/>
      <c r="I960" s="12" t="n"/>
      <c r="J960" s="12" t="n"/>
      <c r="K960" s="12" t="n"/>
      <c r="L960" s="11" t="n"/>
      <c r="M960" s="11" t="n"/>
      <c r="N960" s="11" t="n"/>
      <c r="O960" s="11" t="n"/>
      <c r="P960" s="12" t="n"/>
      <c r="Q960" s="11" t="n"/>
      <c r="R960" s="12" t="n"/>
      <c r="S960" s="11" t="n"/>
      <c r="T960" s="12" t="n"/>
      <c r="U960" s="12" t="n"/>
      <c r="V960" s="14">
        <f>IF($AN960="",IF($B960="","",$H960),IF(INDEX(職員マスタ!$B$6:$B$405,$AN960)="",$H960,INDEX(職員マスタ!$B$6:$B$405,$AN960)))</f>
        <v/>
      </c>
      <c r="W960" s="14">
        <f>IF($AN960="",IF($B960="","",$R960),IF(INDEX(職員マスタ!$C$6:$C$405,$AN960)="",$R960,INDEX(職員マスタ!$C$6:$C$405,$AN960)))</f>
        <v/>
      </c>
      <c r="X960" s="14">
        <f>IF($AO960="","","R"&amp;$C960&amp;"."&amp;$D960)</f>
        <v/>
      </c>
      <c r="Y960" s="15">
        <f>IF($AN960="","",IF(INDEX(職員マスタ!$K$6:$K$405,$AN960)="","",INDEX(職員マスタ!$K$6:$K$405,$AN960)))</f>
        <v/>
      </c>
      <c r="Z960" s="14">
        <f>IF(OR($E960="",$Y960=""),"",IF($E960&gt;=$Y960,"×",IF($E960&gt;=$Y960*設定!$C$5,"△","○")))</f>
        <v/>
      </c>
      <c r="AA960" s="15">
        <f>IF($Z960="","",IF($Z960="×",0,IF($Z960="○",ROUNDDOWN($E960*設定!$C$4,0),ROUNDDOWN($E960*ROUND((9*$Y960-9*$E960)/(10*$E960),4),0))))</f>
        <v/>
      </c>
      <c r="AB960" s="13" t="n"/>
      <c r="AC960" s="15">
        <f>IF($B960="","",IF($AB960&lt;&gt;"",$AB960,IF($AA960="","",IF($AA960&lt;=設定!$C$3,0,$AA960))))</f>
        <v/>
      </c>
      <c r="AD960" s="14">
        <f>IF($B960="","",IF(AND($AE960&lt;&gt;"",$AG960="",$AJ960=""),"保留中",IF($AJ960&lt;&gt;"",IF(N($AC960)&gt;0,"支給済","不支給"),IF($AC960="","要確認",IF($AC960=0,"不支給","未処理")))))</f>
        <v/>
      </c>
      <c r="AE960" s="12" t="n"/>
      <c r="AF960" s="11" t="n"/>
      <c r="AG960" s="11" t="n"/>
      <c r="AH960" s="11" t="n"/>
      <c r="AI960" s="14">
        <f>IF(AND($AD960="保留中",$AF960&lt;&gt;""),TODAY()-$AF960,"")</f>
        <v/>
      </c>
      <c r="AJ960" s="12" t="n"/>
      <c r="AK960" s="14">
        <f>IF($B960="","",IF($AO960="","対象年月が未入力／","")&amp;IF($B960="","",IF($AN960="","職員マスタに未登録の職員番号／",IF($Y960="","標準報酬月額が未登録／","")&amp;IF(AND($AO960&lt;&gt;"",OR(AND(INDEX(職員マスタ!$G$6:$G$405,$AN960)&lt;&gt;"",INDEX(職員マスタ!$G$6:$G$405,$AN960)&gt;EOMONTH($AO960,0)),AND(INDEX(職員マスタ!$H$6:$H$405,$AN960)&lt;&gt;"",INDEX(職員マスタ!$H$6:$H$405,$AN960)&lt;$AO960))),"対象月が時短期間外／","")&amp;IF(AND(INDEX(職員マスタ!$F$6:$F$405,$AN960)&lt;&gt;"",$AO960&lt;&gt;"",INDEX(職員マスタ!$F$6:$F$405,$AN960)&lt;$AO960),"対象月に子が2歳到達済／","")&amp;IF(AND($H960&lt;&gt;"",INDEX(職員マスタ!$B$6:$B$405,$AN960)&lt;&gt;"",SUBSTITUTE(SUBSTITUTE($H960," ","")," ","")&lt;&gt;SUBSTITUTE(SUBSTITUTE(INDEX(職員マスタ!$B$6:$B$405,$AN960)," ","")," ","")),"氏名がマスタと相違／","")&amp;IF(AND($Q960&lt;&gt;"",INDEX(職員マスタ!$E$6:$E$405,$AN960)&lt;&gt;"",$Q960&lt;&gt;INDEX(職員マスタ!$E$6:$E$405,$AN960)),"子の生年月日がマスタと相違／","")&amp;IF(AND($L960&lt;&gt;"",INDEX(職員マスタ!$G$6:$G$405,$AN960)&lt;&gt;"",$L960&lt;&gt;INDEX(職員マスタ!$G$6:$G$405,$AN960)),"時短開始日がマスタと相違／","")&amp;IF(AND($M960&lt;&gt;"",INDEX(職員マスタ!$H$6:$H$405,$AN960)&lt;&gt;"",$M960&lt;&gt;INDEX(職員マスタ!$H$6:$H$405,$AN960)),"時短終了日がマスタと相違／","")))&amp;IF(AND($B960&lt;&gt;"",$E960=""),"報酬額が未入力／","")&amp;IF(N($U960)&gt;0,"申請書に入力エラーが残っています／","")&amp;IF(AND($B960&lt;&gt;"",$AO960&lt;&gt;""),IF(COUNTIFS($B$6:$B$3005,$B960,$C$6:$C$3005,$C960,$D$6:$D$3005,$D960)&gt;1,"同じ月の請求が重複しています／",""),"")&amp;IF(AND(N($E960)&gt;0,$Z960&lt;&gt;"",$Z960&lt;&gt;"×",$AC960=0,$AB960=""),"計算額が下限以下のため不支給／",""))</f>
        <v/>
      </c>
      <c r="AL960" s="12" t="n"/>
      <c r="AM960" s="14">
        <f>IF($AD960="保留中",COUNTIF($AD$6:$AD960,"保留中"),"")</f>
        <v/>
      </c>
      <c r="AN960" s="14">
        <f>IF($AO960="","",IF(SUMPRODUCT(MAX((職員マスタ!$A$6:$A$405=$B960)*(((職員マスタ!$G$6:$G$405="")+(職員マスタ!$G$6:$G$405&lt;=EOMONTH($AO960,0)))&gt;0)*(((職員マスタ!$H$6:$H$405="")+(職員マスタ!$H$6:$H$405&gt;=$AO960))&gt;0)*(ROW(職員マスタ!$A$6:$A$405)-5)))&gt;0,SUMPRODUCT(MAX((職員マスタ!$A$6:$A$405=$B960)*(((職員マスタ!$G$6:$G$405="")+(職員マスタ!$G$6:$G$405&lt;=EOMONTH($AO960,0)))&gt;0)*(((職員マスタ!$H$6:$H$405="")+(職員マスタ!$H$6:$H$405&gt;=$AO960))&gt;0)*(ROW(職員マスタ!$A$6:$A$405)-5))),IFERROR(MATCH($B960,職員マスタ!$A$6:$A$405,0),"")))</f>
        <v/>
      </c>
      <c r="AO960" s="16">
        <f>IF(OR($B960="",$C960="",$D960=""),"",DATE($C960+2018,$D960,1))</f>
        <v/>
      </c>
    </row>
    <row r="961">
      <c r="A961" s="11" t="n"/>
      <c r="B961" s="12" t="n"/>
      <c r="C961" s="12" t="n"/>
      <c r="D961" s="12" t="n"/>
      <c r="E961" s="13" t="n"/>
      <c r="F961" s="12" t="n"/>
      <c r="G961" s="13" t="n"/>
      <c r="H961" s="12" t="n"/>
      <c r="I961" s="12" t="n"/>
      <c r="J961" s="12" t="n"/>
      <c r="K961" s="12" t="n"/>
      <c r="L961" s="11" t="n"/>
      <c r="M961" s="11" t="n"/>
      <c r="N961" s="11" t="n"/>
      <c r="O961" s="11" t="n"/>
      <c r="P961" s="12" t="n"/>
      <c r="Q961" s="11" t="n"/>
      <c r="R961" s="12" t="n"/>
      <c r="S961" s="11" t="n"/>
      <c r="T961" s="12" t="n"/>
      <c r="U961" s="12" t="n"/>
      <c r="V961" s="14">
        <f>IF($AN961="",IF($B961="","",$H961),IF(INDEX(職員マスタ!$B$6:$B$405,$AN961)="",$H961,INDEX(職員マスタ!$B$6:$B$405,$AN961)))</f>
        <v/>
      </c>
      <c r="W961" s="14">
        <f>IF($AN961="",IF($B961="","",$R961),IF(INDEX(職員マスタ!$C$6:$C$405,$AN961)="",$R961,INDEX(職員マスタ!$C$6:$C$405,$AN961)))</f>
        <v/>
      </c>
      <c r="X961" s="14">
        <f>IF($AO961="","","R"&amp;$C961&amp;"."&amp;$D961)</f>
        <v/>
      </c>
      <c r="Y961" s="15">
        <f>IF($AN961="","",IF(INDEX(職員マスタ!$K$6:$K$405,$AN961)="","",INDEX(職員マスタ!$K$6:$K$405,$AN961)))</f>
        <v/>
      </c>
      <c r="Z961" s="14">
        <f>IF(OR($E961="",$Y961=""),"",IF($E961&gt;=$Y961,"×",IF($E961&gt;=$Y961*設定!$C$5,"△","○")))</f>
        <v/>
      </c>
      <c r="AA961" s="15">
        <f>IF($Z961="","",IF($Z961="×",0,IF($Z961="○",ROUNDDOWN($E961*設定!$C$4,0),ROUNDDOWN($E961*ROUND((9*$Y961-9*$E961)/(10*$E961),4),0))))</f>
        <v/>
      </c>
      <c r="AB961" s="13" t="n"/>
      <c r="AC961" s="15">
        <f>IF($B961="","",IF($AB961&lt;&gt;"",$AB961,IF($AA961="","",IF($AA961&lt;=設定!$C$3,0,$AA961))))</f>
        <v/>
      </c>
      <c r="AD961" s="14">
        <f>IF($B961="","",IF(AND($AE961&lt;&gt;"",$AG961="",$AJ961=""),"保留中",IF($AJ961&lt;&gt;"",IF(N($AC961)&gt;0,"支給済","不支給"),IF($AC961="","要確認",IF($AC961=0,"不支給","未処理")))))</f>
        <v/>
      </c>
      <c r="AE961" s="12" t="n"/>
      <c r="AF961" s="11" t="n"/>
      <c r="AG961" s="11" t="n"/>
      <c r="AH961" s="11" t="n"/>
      <c r="AI961" s="14">
        <f>IF(AND($AD961="保留中",$AF961&lt;&gt;""),TODAY()-$AF961,"")</f>
        <v/>
      </c>
      <c r="AJ961" s="12" t="n"/>
      <c r="AK961" s="14">
        <f>IF($B961="","",IF($AO961="","対象年月が未入力／","")&amp;IF($B961="","",IF($AN961="","職員マスタに未登録の職員番号／",IF($Y961="","標準報酬月額が未登録／","")&amp;IF(AND($AO961&lt;&gt;"",OR(AND(INDEX(職員マスタ!$G$6:$G$405,$AN961)&lt;&gt;"",INDEX(職員マスタ!$G$6:$G$405,$AN961)&gt;EOMONTH($AO961,0)),AND(INDEX(職員マスタ!$H$6:$H$405,$AN961)&lt;&gt;"",INDEX(職員マスタ!$H$6:$H$405,$AN961)&lt;$AO961))),"対象月が時短期間外／","")&amp;IF(AND(INDEX(職員マスタ!$F$6:$F$405,$AN961)&lt;&gt;"",$AO961&lt;&gt;"",INDEX(職員マスタ!$F$6:$F$405,$AN961)&lt;$AO961),"対象月に子が2歳到達済／","")&amp;IF(AND($H961&lt;&gt;"",INDEX(職員マスタ!$B$6:$B$405,$AN961)&lt;&gt;"",SUBSTITUTE(SUBSTITUTE($H961," ","")," ","")&lt;&gt;SUBSTITUTE(SUBSTITUTE(INDEX(職員マスタ!$B$6:$B$405,$AN961)," ","")," ","")),"氏名がマスタと相違／","")&amp;IF(AND($Q961&lt;&gt;"",INDEX(職員マスタ!$E$6:$E$405,$AN961)&lt;&gt;"",$Q961&lt;&gt;INDEX(職員マスタ!$E$6:$E$405,$AN961)),"子の生年月日がマスタと相違／","")&amp;IF(AND($L961&lt;&gt;"",INDEX(職員マスタ!$G$6:$G$405,$AN961)&lt;&gt;"",$L961&lt;&gt;INDEX(職員マスタ!$G$6:$G$405,$AN961)),"時短開始日がマスタと相違／","")&amp;IF(AND($M961&lt;&gt;"",INDEX(職員マスタ!$H$6:$H$405,$AN961)&lt;&gt;"",$M961&lt;&gt;INDEX(職員マスタ!$H$6:$H$405,$AN961)),"時短終了日がマスタと相違／","")))&amp;IF(AND($B961&lt;&gt;"",$E961=""),"報酬額が未入力／","")&amp;IF(N($U961)&gt;0,"申請書に入力エラーが残っています／","")&amp;IF(AND($B961&lt;&gt;"",$AO961&lt;&gt;""),IF(COUNTIFS($B$6:$B$3005,$B961,$C$6:$C$3005,$C961,$D$6:$D$3005,$D961)&gt;1,"同じ月の請求が重複しています／",""),"")&amp;IF(AND(N($E961)&gt;0,$Z961&lt;&gt;"",$Z961&lt;&gt;"×",$AC961=0,$AB961=""),"計算額が下限以下のため不支給／",""))</f>
        <v/>
      </c>
      <c r="AL961" s="12" t="n"/>
      <c r="AM961" s="14">
        <f>IF($AD961="保留中",COUNTIF($AD$6:$AD961,"保留中"),"")</f>
        <v/>
      </c>
      <c r="AN961" s="14">
        <f>IF($AO961="","",IF(SUMPRODUCT(MAX((職員マスタ!$A$6:$A$405=$B961)*(((職員マスタ!$G$6:$G$405="")+(職員マスタ!$G$6:$G$405&lt;=EOMONTH($AO961,0)))&gt;0)*(((職員マスタ!$H$6:$H$405="")+(職員マスタ!$H$6:$H$405&gt;=$AO961))&gt;0)*(ROW(職員マスタ!$A$6:$A$405)-5)))&gt;0,SUMPRODUCT(MAX((職員マスタ!$A$6:$A$405=$B961)*(((職員マスタ!$G$6:$G$405="")+(職員マスタ!$G$6:$G$405&lt;=EOMONTH($AO961,0)))&gt;0)*(((職員マスタ!$H$6:$H$405="")+(職員マスタ!$H$6:$H$405&gt;=$AO961))&gt;0)*(ROW(職員マスタ!$A$6:$A$405)-5))),IFERROR(MATCH($B961,職員マスタ!$A$6:$A$405,0),"")))</f>
        <v/>
      </c>
      <c r="AO961" s="16">
        <f>IF(OR($B961="",$C961="",$D961=""),"",DATE($C961+2018,$D961,1))</f>
        <v/>
      </c>
    </row>
    <row r="962">
      <c r="A962" s="11" t="n"/>
      <c r="B962" s="12" t="n"/>
      <c r="C962" s="12" t="n"/>
      <c r="D962" s="12" t="n"/>
      <c r="E962" s="13" t="n"/>
      <c r="F962" s="12" t="n"/>
      <c r="G962" s="13" t="n"/>
      <c r="H962" s="12" t="n"/>
      <c r="I962" s="12" t="n"/>
      <c r="J962" s="12" t="n"/>
      <c r="K962" s="12" t="n"/>
      <c r="L962" s="11" t="n"/>
      <c r="M962" s="11" t="n"/>
      <c r="N962" s="11" t="n"/>
      <c r="O962" s="11" t="n"/>
      <c r="P962" s="12" t="n"/>
      <c r="Q962" s="11" t="n"/>
      <c r="R962" s="12" t="n"/>
      <c r="S962" s="11" t="n"/>
      <c r="T962" s="12" t="n"/>
      <c r="U962" s="12" t="n"/>
      <c r="V962" s="14">
        <f>IF($AN962="",IF($B962="","",$H962),IF(INDEX(職員マスタ!$B$6:$B$405,$AN962)="",$H962,INDEX(職員マスタ!$B$6:$B$405,$AN962)))</f>
        <v/>
      </c>
      <c r="W962" s="14">
        <f>IF($AN962="",IF($B962="","",$R962),IF(INDEX(職員マスタ!$C$6:$C$405,$AN962)="",$R962,INDEX(職員マスタ!$C$6:$C$405,$AN962)))</f>
        <v/>
      </c>
      <c r="X962" s="14">
        <f>IF($AO962="","","R"&amp;$C962&amp;"."&amp;$D962)</f>
        <v/>
      </c>
      <c r="Y962" s="15">
        <f>IF($AN962="","",IF(INDEX(職員マスタ!$K$6:$K$405,$AN962)="","",INDEX(職員マスタ!$K$6:$K$405,$AN962)))</f>
        <v/>
      </c>
      <c r="Z962" s="14">
        <f>IF(OR($E962="",$Y962=""),"",IF($E962&gt;=$Y962,"×",IF($E962&gt;=$Y962*設定!$C$5,"△","○")))</f>
        <v/>
      </c>
      <c r="AA962" s="15">
        <f>IF($Z962="","",IF($Z962="×",0,IF($Z962="○",ROUNDDOWN($E962*設定!$C$4,0),ROUNDDOWN($E962*ROUND((9*$Y962-9*$E962)/(10*$E962),4),0))))</f>
        <v/>
      </c>
      <c r="AB962" s="13" t="n"/>
      <c r="AC962" s="15">
        <f>IF($B962="","",IF($AB962&lt;&gt;"",$AB962,IF($AA962="","",IF($AA962&lt;=設定!$C$3,0,$AA962))))</f>
        <v/>
      </c>
      <c r="AD962" s="14">
        <f>IF($B962="","",IF(AND($AE962&lt;&gt;"",$AG962="",$AJ962=""),"保留中",IF($AJ962&lt;&gt;"",IF(N($AC962)&gt;0,"支給済","不支給"),IF($AC962="","要確認",IF($AC962=0,"不支給","未処理")))))</f>
        <v/>
      </c>
      <c r="AE962" s="12" t="n"/>
      <c r="AF962" s="11" t="n"/>
      <c r="AG962" s="11" t="n"/>
      <c r="AH962" s="11" t="n"/>
      <c r="AI962" s="14">
        <f>IF(AND($AD962="保留中",$AF962&lt;&gt;""),TODAY()-$AF962,"")</f>
        <v/>
      </c>
      <c r="AJ962" s="12" t="n"/>
      <c r="AK962" s="14">
        <f>IF($B962="","",IF($AO962="","対象年月が未入力／","")&amp;IF($B962="","",IF($AN962="","職員マスタに未登録の職員番号／",IF($Y962="","標準報酬月額が未登録／","")&amp;IF(AND($AO962&lt;&gt;"",OR(AND(INDEX(職員マスタ!$G$6:$G$405,$AN962)&lt;&gt;"",INDEX(職員マスタ!$G$6:$G$405,$AN962)&gt;EOMONTH($AO962,0)),AND(INDEX(職員マスタ!$H$6:$H$405,$AN962)&lt;&gt;"",INDEX(職員マスタ!$H$6:$H$405,$AN962)&lt;$AO962))),"対象月が時短期間外／","")&amp;IF(AND(INDEX(職員マスタ!$F$6:$F$405,$AN962)&lt;&gt;"",$AO962&lt;&gt;"",INDEX(職員マスタ!$F$6:$F$405,$AN962)&lt;$AO962),"対象月に子が2歳到達済／","")&amp;IF(AND($H962&lt;&gt;"",INDEX(職員マスタ!$B$6:$B$405,$AN962)&lt;&gt;"",SUBSTITUTE(SUBSTITUTE($H962," ","")," ","")&lt;&gt;SUBSTITUTE(SUBSTITUTE(INDEX(職員マスタ!$B$6:$B$405,$AN962)," ","")," ","")),"氏名がマスタと相違／","")&amp;IF(AND($Q962&lt;&gt;"",INDEX(職員マスタ!$E$6:$E$405,$AN962)&lt;&gt;"",$Q962&lt;&gt;INDEX(職員マスタ!$E$6:$E$405,$AN962)),"子の生年月日がマスタと相違／","")&amp;IF(AND($L962&lt;&gt;"",INDEX(職員マスタ!$G$6:$G$405,$AN962)&lt;&gt;"",$L962&lt;&gt;INDEX(職員マスタ!$G$6:$G$405,$AN962)),"時短開始日がマスタと相違／","")&amp;IF(AND($M962&lt;&gt;"",INDEX(職員マスタ!$H$6:$H$405,$AN962)&lt;&gt;"",$M962&lt;&gt;INDEX(職員マスタ!$H$6:$H$405,$AN962)),"時短終了日がマスタと相違／","")))&amp;IF(AND($B962&lt;&gt;"",$E962=""),"報酬額が未入力／","")&amp;IF(N($U962)&gt;0,"申請書に入力エラーが残っています／","")&amp;IF(AND($B962&lt;&gt;"",$AO962&lt;&gt;""),IF(COUNTIFS($B$6:$B$3005,$B962,$C$6:$C$3005,$C962,$D$6:$D$3005,$D962)&gt;1,"同じ月の請求が重複しています／",""),"")&amp;IF(AND(N($E962)&gt;0,$Z962&lt;&gt;"",$Z962&lt;&gt;"×",$AC962=0,$AB962=""),"計算額が下限以下のため不支給／",""))</f>
        <v/>
      </c>
      <c r="AL962" s="12" t="n"/>
      <c r="AM962" s="14">
        <f>IF($AD962="保留中",COUNTIF($AD$6:$AD962,"保留中"),"")</f>
        <v/>
      </c>
      <c r="AN962" s="14">
        <f>IF($AO962="","",IF(SUMPRODUCT(MAX((職員マスタ!$A$6:$A$405=$B962)*(((職員マスタ!$G$6:$G$405="")+(職員マスタ!$G$6:$G$405&lt;=EOMONTH($AO962,0)))&gt;0)*(((職員マスタ!$H$6:$H$405="")+(職員マスタ!$H$6:$H$405&gt;=$AO962))&gt;0)*(ROW(職員マスタ!$A$6:$A$405)-5)))&gt;0,SUMPRODUCT(MAX((職員マスタ!$A$6:$A$405=$B962)*(((職員マスタ!$G$6:$G$405="")+(職員マスタ!$G$6:$G$405&lt;=EOMONTH($AO962,0)))&gt;0)*(((職員マスタ!$H$6:$H$405="")+(職員マスタ!$H$6:$H$405&gt;=$AO962))&gt;0)*(ROW(職員マスタ!$A$6:$A$405)-5))),IFERROR(MATCH($B962,職員マスタ!$A$6:$A$405,0),"")))</f>
        <v/>
      </c>
      <c r="AO962" s="16">
        <f>IF(OR($B962="",$C962="",$D962=""),"",DATE($C962+2018,$D962,1))</f>
        <v/>
      </c>
    </row>
    <row r="963">
      <c r="A963" s="11" t="n"/>
      <c r="B963" s="12" t="n"/>
      <c r="C963" s="12" t="n"/>
      <c r="D963" s="12" t="n"/>
      <c r="E963" s="13" t="n"/>
      <c r="F963" s="12" t="n"/>
      <c r="G963" s="13" t="n"/>
      <c r="H963" s="12" t="n"/>
      <c r="I963" s="12" t="n"/>
      <c r="J963" s="12" t="n"/>
      <c r="K963" s="12" t="n"/>
      <c r="L963" s="11" t="n"/>
      <c r="M963" s="11" t="n"/>
      <c r="N963" s="11" t="n"/>
      <c r="O963" s="11" t="n"/>
      <c r="P963" s="12" t="n"/>
      <c r="Q963" s="11" t="n"/>
      <c r="R963" s="12" t="n"/>
      <c r="S963" s="11" t="n"/>
      <c r="T963" s="12" t="n"/>
      <c r="U963" s="12" t="n"/>
      <c r="V963" s="14">
        <f>IF($AN963="",IF($B963="","",$H963),IF(INDEX(職員マスタ!$B$6:$B$405,$AN963)="",$H963,INDEX(職員マスタ!$B$6:$B$405,$AN963)))</f>
        <v/>
      </c>
      <c r="W963" s="14">
        <f>IF($AN963="",IF($B963="","",$R963),IF(INDEX(職員マスタ!$C$6:$C$405,$AN963)="",$R963,INDEX(職員マスタ!$C$6:$C$405,$AN963)))</f>
        <v/>
      </c>
      <c r="X963" s="14">
        <f>IF($AO963="","","R"&amp;$C963&amp;"."&amp;$D963)</f>
        <v/>
      </c>
      <c r="Y963" s="15">
        <f>IF($AN963="","",IF(INDEX(職員マスタ!$K$6:$K$405,$AN963)="","",INDEX(職員マスタ!$K$6:$K$405,$AN963)))</f>
        <v/>
      </c>
      <c r="Z963" s="14">
        <f>IF(OR($E963="",$Y963=""),"",IF($E963&gt;=$Y963,"×",IF($E963&gt;=$Y963*設定!$C$5,"△","○")))</f>
        <v/>
      </c>
      <c r="AA963" s="15">
        <f>IF($Z963="","",IF($Z963="×",0,IF($Z963="○",ROUNDDOWN($E963*設定!$C$4,0),ROUNDDOWN($E963*ROUND((9*$Y963-9*$E963)/(10*$E963),4),0))))</f>
        <v/>
      </c>
      <c r="AB963" s="13" t="n"/>
      <c r="AC963" s="15">
        <f>IF($B963="","",IF($AB963&lt;&gt;"",$AB963,IF($AA963="","",IF($AA963&lt;=設定!$C$3,0,$AA963))))</f>
        <v/>
      </c>
      <c r="AD963" s="14">
        <f>IF($B963="","",IF(AND($AE963&lt;&gt;"",$AG963="",$AJ963=""),"保留中",IF($AJ963&lt;&gt;"",IF(N($AC963)&gt;0,"支給済","不支給"),IF($AC963="","要確認",IF($AC963=0,"不支給","未処理")))))</f>
        <v/>
      </c>
      <c r="AE963" s="12" t="n"/>
      <c r="AF963" s="11" t="n"/>
      <c r="AG963" s="11" t="n"/>
      <c r="AH963" s="11" t="n"/>
      <c r="AI963" s="14">
        <f>IF(AND($AD963="保留中",$AF963&lt;&gt;""),TODAY()-$AF963,"")</f>
        <v/>
      </c>
      <c r="AJ963" s="12" t="n"/>
      <c r="AK963" s="14">
        <f>IF($B963="","",IF($AO963="","対象年月が未入力／","")&amp;IF($B963="","",IF($AN963="","職員マスタに未登録の職員番号／",IF($Y963="","標準報酬月額が未登録／","")&amp;IF(AND($AO963&lt;&gt;"",OR(AND(INDEX(職員マスタ!$G$6:$G$405,$AN963)&lt;&gt;"",INDEX(職員マスタ!$G$6:$G$405,$AN963)&gt;EOMONTH($AO963,0)),AND(INDEX(職員マスタ!$H$6:$H$405,$AN963)&lt;&gt;"",INDEX(職員マスタ!$H$6:$H$405,$AN963)&lt;$AO963))),"対象月が時短期間外／","")&amp;IF(AND(INDEX(職員マスタ!$F$6:$F$405,$AN963)&lt;&gt;"",$AO963&lt;&gt;"",INDEX(職員マスタ!$F$6:$F$405,$AN963)&lt;$AO963),"対象月に子が2歳到達済／","")&amp;IF(AND($H963&lt;&gt;"",INDEX(職員マスタ!$B$6:$B$405,$AN963)&lt;&gt;"",SUBSTITUTE(SUBSTITUTE($H963," ","")," ","")&lt;&gt;SUBSTITUTE(SUBSTITUTE(INDEX(職員マスタ!$B$6:$B$405,$AN963)," ","")," ","")),"氏名がマスタと相違／","")&amp;IF(AND($Q963&lt;&gt;"",INDEX(職員マスタ!$E$6:$E$405,$AN963)&lt;&gt;"",$Q963&lt;&gt;INDEX(職員マスタ!$E$6:$E$405,$AN963)),"子の生年月日がマスタと相違／","")&amp;IF(AND($L963&lt;&gt;"",INDEX(職員マスタ!$G$6:$G$405,$AN963)&lt;&gt;"",$L963&lt;&gt;INDEX(職員マスタ!$G$6:$G$405,$AN963)),"時短開始日がマスタと相違／","")&amp;IF(AND($M963&lt;&gt;"",INDEX(職員マスタ!$H$6:$H$405,$AN963)&lt;&gt;"",$M963&lt;&gt;INDEX(職員マスタ!$H$6:$H$405,$AN963)),"時短終了日がマスタと相違／","")))&amp;IF(AND($B963&lt;&gt;"",$E963=""),"報酬額が未入力／","")&amp;IF(N($U963)&gt;0,"申請書に入力エラーが残っています／","")&amp;IF(AND($B963&lt;&gt;"",$AO963&lt;&gt;""),IF(COUNTIFS($B$6:$B$3005,$B963,$C$6:$C$3005,$C963,$D$6:$D$3005,$D963)&gt;1,"同じ月の請求が重複しています／",""),"")&amp;IF(AND(N($E963)&gt;0,$Z963&lt;&gt;"",$Z963&lt;&gt;"×",$AC963=0,$AB963=""),"計算額が下限以下のため不支給／",""))</f>
        <v/>
      </c>
      <c r="AL963" s="12" t="n"/>
      <c r="AM963" s="14">
        <f>IF($AD963="保留中",COUNTIF($AD$6:$AD963,"保留中"),"")</f>
        <v/>
      </c>
      <c r="AN963" s="14">
        <f>IF($AO963="","",IF(SUMPRODUCT(MAX((職員マスタ!$A$6:$A$405=$B963)*(((職員マスタ!$G$6:$G$405="")+(職員マスタ!$G$6:$G$405&lt;=EOMONTH($AO963,0)))&gt;0)*(((職員マスタ!$H$6:$H$405="")+(職員マスタ!$H$6:$H$405&gt;=$AO963))&gt;0)*(ROW(職員マスタ!$A$6:$A$405)-5)))&gt;0,SUMPRODUCT(MAX((職員マスタ!$A$6:$A$405=$B963)*(((職員マスタ!$G$6:$G$405="")+(職員マスタ!$G$6:$G$405&lt;=EOMONTH($AO963,0)))&gt;0)*(((職員マスタ!$H$6:$H$405="")+(職員マスタ!$H$6:$H$405&gt;=$AO963))&gt;0)*(ROW(職員マスタ!$A$6:$A$405)-5))),IFERROR(MATCH($B963,職員マスタ!$A$6:$A$405,0),"")))</f>
        <v/>
      </c>
      <c r="AO963" s="16">
        <f>IF(OR($B963="",$C963="",$D963=""),"",DATE($C963+2018,$D963,1))</f>
        <v/>
      </c>
    </row>
    <row r="964">
      <c r="A964" s="11" t="n"/>
      <c r="B964" s="12" t="n"/>
      <c r="C964" s="12" t="n"/>
      <c r="D964" s="12" t="n"/>
      <c r="E964" s="13" t="n"/>
      <c r="F964" s="12" t="n"/>
      <c r="G964" s="13" t="n"/>
      <c r="H964" s="12" t="n"/>
      <c r="I964" s="12" t="n"/>
      <c r="J964" s="12" t="n"/>
      <c r="K964" s="12" t="n"/>
      <c r="L964" s="11" t="n"/>
      <c r="M964" s="11" t="n"/>
      <c r="N964" s="11" t="n"/>
      <c r="O964" s="11" t="n"/>
      <c r="P964" s="12" t="n"/>
      <c r="Q964" s="11" t="n"/>
      <c r="R964" s="12" t="n"/>
      <c r="S964" s="11" t="n"/>
      <c r="T964" s="12" t="n"/>
      <c r="U964" s="12" t="n"/>
      <c r="V964" s="14">
        <f>IF($AN964="",IF($B964="","",$H964),IF(INDEX(職員マスタ!$B$6:$B$405,$AN964)="",$H964,INDEX(職員マスタ!$B$6:$B$405,$AN964)))</f>
        <v/>
      </c>
      <c r="W964" s="14">
        <f>IF($AN964="",IF($B964="","",$R964),IF(INDEX(職員マスタ!$C$6:$C$405,$AN964)="",$R964,INDEX(職員マスタ!$C$6:$C$405,$AN964)))</f>
        <v/>
      </c>
      <c r="X964" s="14">
        <f>IF($AO964="","","R"&amp;$C964&amp;"."&amp;$D964)</f>
        <v/>
      </c>
      <c r="Y964" s="15">
        <f>IF($AN964="","",IF(INDEX(職員マスタ!$K$6:$K$405,$AN964)="","",INDEX(職員マスタ!$K$6:$K$405,$AN964)))</f>
        <v/>
      </c>
      <c r="Z964" s="14">
        <f>IF(OR($E964="",$Y964=""),"",IF($E964&gt;=$Y964,"×",IF($E964&gt;=$Y964*設定!$C$5,"△","○")))</f>
        <v/>
      </c>
      <c r="AA964" s="15">
        <f>IF($Z964="","",IF($Z964="×",0,IF($Z964="○",ROUNDDOWN($E964*設定!$C$4,0),ROUNDDOWN($E964*ROUND((9*$Y964-9*$E964)/(10*$E964),4),0))))</f>
        <v/>
      </c>
      <c r="AB964" s="13" t="n"/>
      <c r="AC964" s="15">
        <f>IF($B964="","",IF($AB964&lt;&gt;"",$AB964,IF($AA964="","",IF($AA964&lt;=設定!$C$3,0,$AA964))))</f>
        <v/>
      </c>
      <c r="AD964" s="14">
        <f>IF($B964="","",IF(AND($AE964&lt;&gt;"",$AG964="",$AJ964=""),"保留中",IF($AJ964&lt;&gt;"",IF(N($AC964)&gt;0,"支給済","不支給"),IF($AC964="","要確認",IF($AC964=0,"不支給","未処理")))))</f>
        <v/>
      </c>
      <c r="AE964" s="12" t="n"/>
      <c r="AF964" s="11" t="n"/>
      <c r="AG964" s="11" t="n"/>
      <c r="AH964" s="11" t="n"/>
      <c r="AI964" s="14">
        <f>IF(AND($AD964="保留中",$AF964&lt;&gt;""),TODAY()-$AF964,"")</f>
        <v/>
      </c>
      <c r="AJ964" s="12" t="n"/>
      <c r="AK964" s="14">
        <f>IF($B964="","",IF($AO964="","対象年月が未入力／","")&amp;IF($B964="","",IF($AN964="","職員マスタに未登録の職員番号／",IF($Y964="","標準報酬月額が未登録／","")&amp;IF(AND($AO964&lt;&gt;"",OR(AND(INDEX(職員マスタ!$G$6:$G$405,$AN964)&lt;&gt;"",INDEX(職員マスタ!$G$6:$G$405,$AN964)&gt;EOMONTH($AO964,0)),AND(INDEX(職員マスタ!$H$6:$H$405,$AN964)&lt;&gt;"",INDEX(職員マスタ!$H$6:$H$405,$AN964)&lt;$AO964))),"対象月が時短期間外／","")&amp;IF(AND(INDEX(職員マスタ!$F$6:$F$405,$AN964)&lt;&gt;"",$AO964&lt;&gt;"",INDEX(職員マスタ!$F$6:$F$405,$AN964)&lt;$AO964),"対象月に子が2歳到達済／","")&amp;IF(AND($H964&lt;&gt;"",INDEX(職員マスタ!$B$6:$B$405,$AN964)&lt;&gt;"",SUBSTITUTE(SUBSTITUTE($H964," ","")," ","")&lt;&gt;SUBSTITUTE(SUBSTITUTE(INDEX(職員マスタ!$B$6:$B$405,$AN964)," ","")," ","")),"氏名がマスタと相違／","")&amp;IF(AND($Q964&lt;&gt;"",INDEX(職員マスタ!$E$6:$E$405,$AN964)&lt;&gt;"",$Q964&lt;&gt;INDEX(職員マスタ!$E$6:$E$405,$AN964)),"子の生年月日がマスタと相違／","")&amp;IF(AND($L964&lt;&gt;"",INDEX(職員マスタ!$G$6:$G$405,$AN964)&lt;&gt;"",$L964&lt;&gt;INDEX(職員マスタ!$G$6:$G$405,$AN964)),"時短開始日がマスタと相違／","")&amp;IF(AND($M964&lt;&gt;"",INDEX(職員マスタ!$H$6:$H$405,$AN964)&lt;&gt;"",$M964&lt;&gt;INDEX(職員マスタ!$H$6:$H$405,$AN964)),"時短終了日がマスタと相違／","")))&amp;IF(AND($B964&lt;&gt;"",$E964=""),"報酬額が未入力／","")&amp;IF(N($U964)&gt;0,"申請書に入力エラーが残っています／","")&amp;IF(AND($B964&lt;&gt;"",$AO964&lt;&gt;""),IF(COUNTIFS($B$6:$B$3005,$B964,$C$6:$C$3005,$C964,$D$6:$D$3005,$D964)&gt;1,"同じ月の請求が重複しています／",""),"")&amp;IF(AND(N($E964)&gt;0,$Z964&lt;&gt;"",$Z964&lt;&gt;"×",$AC964=0,$AB964=""),"計算額が下限以下のため不支給／",""))</f>
        <v/>
      </c>
      <c r="AL964" s="12" t="n"/>
      <c r="AM964" s="14">
        <f>IF($AD964="保留中",COUNTIF($AD$6:$AD964,"保留中"),"")</f>
        <v/>
      </c>
      <c r="AN964" s="14">
        <f>IF($AO964="","",IF(SUMPRODUCT(MAX((職員マスタ!$A$6:$A$405=$B964)*(((職員マスタ!$G$6:$G$405="")+(職員マスタ!$G$6:$G$405&lt;=EOMONTH($AO964,0)))&gt;0)*(((職員マスタ!$H$6:$H$405="")+(職員マスタ!$H$6:$H$405&gt;=$AO964))&gt;0)*(ROW(職員マスタ!$A$6:$A$405)-5)))&gt;0,SUMPRODUCT(MAX((職員マスタ!$A$6:$A$405=$B964)*(((職員マスタ!$G$6:$G$405="")+(職員マスタ!$G$6:$G$405&lt;=EOMONTH($AO964,0)))&gt;0)*(((職員マスタ!$H$6:$H$405="")+(職員マスタ!$H$6:$H$405&gt;=$AO964))&gt;0)*(ROW(職員マスタ!$A$6:$A$405)-5))),IFERROR(MATCH($B964,職員マスタ!$A$6:$A$405,0),"")))</f>
        <v/>
      </c>
      <c r="AO964" s="16">
        <f>IF(OR($B964="",$C964="",$D964=""),"",DATE($C964+2018,$D964,1))</f>
        <v/>
      </c>
    </row>
    <row r="965">
      <c r="A965" s="11" t="n"/>
      <c r="B965" s="12" t="n"/>
      <c r="C965" s="12" t="n"/>
      <c r="D965" s="12" t="n"/>
      <c r="E965" s="13" t="n"/>
      <c r="F965" s="12" t="n"/>
      <c r="G965" s="13" t="n"/>
      <c r="H965" s="12" t="n"/>
      <c r="I965" s="12" t="n"/>
      <c r="J965" s="12" t="n"/>
      <c r="K965" s="12" t="n"/>
      <c r="L965" s="11" t="n"/>
      <c r="M965" s="11" t="n"/>
      <c r="N965" s="11" t="n"/>
      <c r="O965" s="11" t="n"/>
      <c r="P965" s="12" t="n"/>
      <c r="Q965" s="11" t="n"/>
      <c r="R965" s="12" t="n"/>
      <c r="S965" s="11" t="n"/>
      <c r="T965" s="12" t="n"/>
      <c r="U965" s="12" t="n"/>
      <c r="V965" s="14">
        <f>IF($AN965="",IF($B965="","",$H965),IF(INDEX(職員マスタ!$B$6:$B$405,$AN965)="",$H965,INDEX(職員マスタ!$B$6:$B$405,$AN965)))</f>
        <v/>
      </c>
      <c r="W965" s="14">
        <f>IF($AN965="",IF($B965="","",$R965),IF(INDEX(職員マスタ!$C$6:$C$405,$AN965)="",$R965,INDEX(職員マスタ!$C$6:$C$405,$AN965)))</f>
        <v/>
      </c>
      <c r="X965" s="14">
        <f>IF($AO965="","","R"&amp;$C965&amp;"."&amp;$D965)</f>
        <v/>
      </c>
      <c r="Y965" s="15">
        <f>IF($AN965="","",IF(INDEX(職員マスタ!$K$6:$K$405,$AN965)="","",INDEX(職員マスタ!$K$6:$K$405,$AN965)))</f>
        <v/>
      </c>
      <c r="Z965" s="14">
        <f>IF(OR($E965="",$Y965=""),"",IF($E965&gt;=$Y965,"×",IF($E965&gt;=$Y965*設定!$C$5,"△","○")))</f>
        <v/>
      </c>
      <c r="AA965" s="15">
        <f>IF($Z965="","",IF($Z965="×",0,IF($Z965="○",ROUNDDOWN($E965*設定!$C$4,0),ROUNDDOWN($E965*ROUND((9*$Y965-9*$E965)/(10*$E965),4),0))))</f>
        <v/>
      </c>
      <c r="AB965" s="13" t="n"/>
      <c r="AC965" s="15">
        <f>IF($B965="","",IF($AB965&lt;&gt;"",$AB965,IF($AA965="","",IF($AA965&lt;=設定!$C$3,0,$AA965))))</f>
        <v/>
      </c>
      <c r="AD965" s="14">
        <f>IF($B965="","",IF(AND($AE965&lt;&gt;"",$AG965="",$AJ965=""),"保留中",IF($AJ965&lt;&gt;"",IF(N($AC965)&gt;0,"支給済","不支給"),IF($AC965="","要確認",IF($AC965=0,"不支給","未処理")))))</f>
        <v/>
      </c>
      <c r="AE965" s="12" t="n"/>
      <c r="AF965" s="11" t="n"/>
      <c r="AG965" s="11" t="n"/>
      <c r="AH965" s="11" t="n"/>
      <c r="AI965" s="14">
        <f>IF(AND($AD965="保留中",$AF965&lt;&gt;""),TODAY()-$AF965,"")</f>
        <v/>
      </c>
      <c r="AJ965" s="12" t="n"/>
      <c r="AK965" s="14">
        <f>IF($B965="","",IF($AO965="","対象年月が未入力／","")&amp;IF($B965="","",IF($AN965="","職員マスタに未登録の職員番号／",IF($Y965="","標準報酬月額が未登録／","")&amp;IF(AND($AO965&lt;&gt;"",OR(AND(INDEX(職員マスタ!$G$6:$G$405,$AN965)&lt;&gt;"",INDEX(職員マスタ!$G$6:$G$405,$AN965)&gt;EOMONTH($AO965,0)),AND(INDEX(職員マスタ!$H$6:$H$405,$AN965)&lt;&gt;"",INDEX(職員マスタ!$H$6:$H$405,$AN965)&lt;$AO965))),"対象月が時短期間外／","")&amp;IF(AND(INDEX(職員マスタ!$F$6:$F$405,$AN965)&lt;&gt;"",$AO965&lt;&gt;"",INDEX(職員マスタ!$F$6:$F$405,$AN965)&lt;$AO965),"対象月に子が2歳到達済／","")&amp;IF(AND($H965&lt;&gt;"",INDEX(職員マスタ!$B$6:$B$405,$AN965)&lt;&gt;"",SUBSTITUTE(SUBSTITUTE($H965," ","")," ","")&lt;&gt;SUBSTITUTE(SUBSTITUTE(INDEX(職員マスタ!$B$6:$B$405,$AN965)," ","")," ","")),"氏名がマスタと相違／","")&amp;IF(AND($Q965&lt;&gt;"",INDEX(職員マスタ!$E$6:$E$405,$AN965)&lt;&gt;"",$Q965&lt;&gt;INDEX(職員マスタ!$E$6:$E$405,$AN965)),"子の生年月日がマスタと相違／","")&amp;IF(AND($L965&lt;&gt;"",INDEX(職員マスタ!$G$6:$G$405,$AN965)&lt;&gt;"",$L965&lt;&gt;INDEX(職員マスタ!$G$6:$G$405,$AN965)),"時短開始日がマスタと相違／","")&amp;IF(AND($M965&lt;&gt;"",INDEX(職員マスタ!$H$6:$H$405,$AN965)&lt;&gt;"",$M965&lt;&gt;INDEX(職員マスタ!$H$6:$H$405,$AN965)),"時短終了日がマスタと相違／","")))&amp;IF(AND($B965&lt;&gt;"",$E965=""),"報酬額が未入力／","")&amp;IF(N($U965)&gt;0,"申請書に入力エラーが残っています／","")&amp;IF(AND($B965&lt;&gt;"",$AO965&lt;&gt;""),IF(COUNTIFS($B$6:$B$3005,$B965,$C$6:$C$3005,$C965,$D$6:$D$3005,$D965)&gt;1,"同じ月の請求が重複しています／",""),"")&amp;IF(AND(N($E965)&gt;0,$Z965&lt;&gt;"",$Z965&lt;&gt;"×",$AC965=0,$AB965=""),"計算額が下限以下のため不支給／",""))</f>
        <v/>
      </c>
      <c r="AL965" s="12" t="n"/>
      <c r="AM965" s="14">
        <f>IF($AD965="保留中",COUNTIF($AD$6:$AD965,"保留中"),"")</f>
        <v/>
      </c>
      <c r="AN965" s="14">
        <f>IF($AO965="","",IF(SUMPRODUCT(MAX((職員マスタ!$A$6:$A$405=$B965)*(((職員マスタ!$G$6:$G$405="")+(職員マスタ!$G$6:$G$405&lt;=EOMONTH($AO965,0)))&gt;0)*(((職員マスタ!$H$6:$H$405="")+(職員マスタ!$H$6:$H$405&gt;=$AO965))&gt;0)*(ROW(職員マスタ!$A$6:$A$405)-5)))&gt;0,SUMPRODUCT(MAX((職員マスタ!$A$6:$A$405=$B965)*(((職員マスタ!$G$6:$G$405="")+(職員マスタ!$G$6:$G$405&lt;=EOMONTH($AO965,0)))&gt;0)*(((職員マスタ!$H$6:$H$405="")+(職員マスタ!$H$6:$H$405&gt;=$AO965))&gt;0)*(ROW(職員マスタ!$A$6:$A$405)-5))),IFERROR(MATCH($B965,職員マスタ!$A$6:$A$405,0),"")))</f>
        <v/>
      </c>
      <c r="AO965" s="16">
        <f>IF(OR($B965="",$C965="",$D965=""),"",DATE($C965+2018,$D965,1))</f>
        <v/>
      </c>
    </row>
    <row r="966">
      <c r="A966" s="11" t="n"/>
      <c r="B966" s="12" t="n"/>
      <c r="C966" s="12" t="n"/>
      <c r="D966" s="12" t="n"/>
      <c r="E966" s="13" t="n"/>
      <c r="F966" s="12" t="n"/>
      <c r="G966" s="13" t="n"/>
      <c r="H966" s="12" t="n"/>
      <c r="I966" s="12" t="n"/>
      <c r="J966" s="12" t="n"/>
      <c r="K966" s="12" t="n"/>
      <c r="L966" s="11" t="n"/>
      <c r="M966" s="11" t="n"/>
      <c r="N966" s="11" t="n"/>
      <c r="O966" s="11" t="n"/>
      <c r="P966" s="12" t="n"/>
      <c r="Q966" s="11" t="n"/>
      <c r="R966" s="12" t="n"/>
      <c r="S966" s="11" t="n"/>
      <c r="T966" s="12" t="n"/>
      <c r="U966" s="12" t="n"/>
      <c r="V966" s="14">
        <f>IF($AN966="",IF($B966="","",$H966),IF(INDEX(職員マスタ!$B$6:$B$405,$AN966)="",$H966,INDEX(職員マスタ!$B$6:$B$405,$AN966)))</f>
        <v/>
      </c>
      <c r="W966" s="14">
        <f>IF($AN966="",IF($B966="","",$R966),IF(INDEX(職員マスタ!$C$6:$C$405,$AN966)="",$R966,INDEX(職員マスタ!$C$6:$C$405,$AN966)))</f>
        <v/>
      </c>
      <c r="X966" s="14">
        <f>IF($AO966="","","R"&amp;$C966&amp;"."&amp;$D966)</f>
        <v/>
      </c>
      <c r="Y966" s="15">
        <f>IF($AN966="","",IF(INDEX(職員マスタ!$K$6:$K$405,$AN966)="","",INDEX(職員マスタ!$K$6:$K$405,$AN966)))</f>
        <v/>
      </c>
      <c r="Z966" s="14">
        <f>IF(OR($E966="",$Y966=""),"",IF($E966&gt;=$Y966,"×",IF($E966&gt;=$Y966*設定!$C$5,"△","○")))</f>
        <v/>
      </c>
      <c r="AA966" s="15">
        <f>IF($Z966="","",IF($Z966="×",0,IF($Z966="○",ROUNDDOWN($E966*設定!$C$4,0),ROUNDDOWN($E966*ROUND((9*$Y966-9*$E966)/(10*$E966),4),0))))</f>
        <v/>
      </c>
      <c r="AB966" s="13" t="n"/>
      <c r="AC966" s="15">
        <f>IF($B966="","",IF($AB966&lt;&gt;"",$AB966,IF($AA966="","",IF($AA966&lt;=設定!$C$3,0,$AA966))))</f>
        <v/>
      </c>
      <c r="AD966" s="14">
        <f>IF($B966="","",IF(AND($AE966&lt;&gt;"",$AG966="",$AJ966=""),"保留中",IF($AJ966&lt;&gt;"",IF(N($AC966)&gt;0,"支給済","不支給"),IF($AC966="","要確認",IF($AC966=0,"不支給","未処理")))))</f>
        <v/>
      </c>
      <c r="AE966" s="12" t="n"/>
      <c r="AF966" s="11" t="n"/>
      <c r="AG966" s="11" t="n"/>
      <c r="AH966" s="11" t="n"/>
      <c r="AI966" s="14">
        <f>IF(AND($AD966="保留中",$AF966&lt;&gt;""),TODAY()-$AF966,"")</f>
        <v/>
      </c>
      <c r="AJ966" s="12" t="n"/>
      <c r="AK966" s="14">
        <f>IF($B966="","",IF($AO966="","対象年月が未入力／","")&amp;IF($B966="","",IF($AN966="","職員マスタに未登録の職員番号／",IF($Y966="","標準報酬月額が未登録／","")&amp;IF(AND($AO966&lt;&gt;"",OR(AND(INDEX(職員マスタ!$G$6:$G$405,$AN966)&lt;&gt;"",INDEX(職員マスタ!$G$6:$G$405,$AN966)&gt;EOMONTH($AO966,0)),AND(INDEX(職員マスタ!$H$6:$H$405,$AN966)&lt;&gt;"",INDEX(職員マスタ!$H$6:$H$405,$AN966)&lt;$AO966))),"対象月が時短期間外／","")&amp;IF(AND(INDEX(職員マスタ!$F$6:$F$405,$AN966)&lt;&gt;"",$AO966&lt;&gt;"",INDEX(職員マスタ!$F$6:$F$405,$AN966)&lt;$AO966),"対象月に子が2歳到達済／","")&amp;IF(AND($H966&lt;&gt;"",INDEX(職員マスタ!$B$6:$B$405,$AN966)&lt;&gt;"",SUBSTITUTE(SUBSTITUTE($H966," ","")," ","")&lt;&gt;SUBSTITUTE(SUBSTITUTE(INDEX(職員マスタ!$B$6:$B$405,$AN966)," ","")," ","")),"氏名がマスタと相違／","")&amp;IF(AND($Q966&lt;&gt;"",INDEX(職員マスタ!$E$6:$E$405,$AN966)&lt;&gt;"",$Q966&lt;&gt;INDEX(職員マスタ!$E$6:$E$405,$AN966)),"子の生年月日がマスタと相違／","")&amp;IF(AND($L966&lt;&gt;"",INDEX(職員マスタ!$G$6:$G$405,$AN966)&lt;&gt;"",$L966&lt;&gt;INDEX(職員マスタ!$G$6:$G$405,$AN966)),"時短開始日がマスタと相違／","")&amp;IF(AND($M966&lt;&gt;"",INDEX(職員マスタ!$H$6:$H$405,$AN966)&lt;&gt;"",$M966&lt;&gt;INDEX(職員マスタ!$H$6:$H$405,$AN966)),"時短終了日がマスタと相違／","")))&amp;IF(AND($B966&lt;&gt;"",$E966=""),"報酬額が未入力／","")&amp;IF(N($U966)&gt;0,"申請書に入力エラーが残っています／","")&amp;IF(AND($B966&lt;&gt;"",$AO966&lt;&gt;""),IF(COUNTIFS($B$6:$B$3005,$B966,$C$6:$C$3005,$C966,$D$6:$D$3005,$D966)&gt;1,"同じ月の請求が重複しています／",""),"")&amp;IF(AND(N($E966)&gt;0,$Z966&lt;&gt;"",$Z966&lt;&gt;"×",$AC966=0,$AB966=""),"計算額が下限以下のため不支給／",""))</f>
        <v/>
      </c>
      <c r="AL966" s="12" t="n"/>
      <c r="AM966" s="14">
        <f>IF($AD966="保留中",COUNTIF($AD$6:$AD966,"保留中"),"")</f>
        <v/>
      </c>
      <c r="AN966" s="14">
        <f>IF($AO966="","",IF(SUMPRODUCT(MAX((職員マスタ!$A$6:$A$405=$B966)*(((職員マスタ!$G$6:$G$405="")+(職員マスタ!$G$6:$G$405&lt;=EOMONTH($AO966,0)))&gt;0)*(((職員マスタ!$H$6:$H$405="")+(職員マスタ!$H$6:$H$405&gt;=$AO966))&gt;0)*(ROW(職員マスタ!$A$6:$A$405)-5)))&gt;0,SUMPRODUCT(MAX((職員マスタ!$A$6:$A$405=$B966)*(((職員マスタ!$G$6:$G$405="")+(職員マスタ!$G$6:$G$405&lt;=EOMONTH($AO966,0)))&gt;0)*(((職員マスタ!$H$6:$H$405="")+(職員マスタ!$H$6:$H$405&gt;=$AO966))&gt;0)*(ROW(職員マスタ!$A$6:$A$405)-5))),IFERROR(MATCH($B966,職員マスタ!$A$6:$A$405,0),"")))</f>
        <v/>
      </c>
      <c r="AO966" s="16">
        <f>IF(OR($B966="",$C966="",$D966=""),"",DATE($C966+2018,$D966,1))</f>
        <v/>
      </c>
    </row>
    <row r="967">
      <c r="A967" s="11" t="n"/>
      <c r="B967" s="12" t="n"/>
      <c r="C967" s="12" t="n"/>
      <c r="D967" s="12" t="n"/>
      <c r="E967" s="13" t="n"/>
      <c r="F967" s="12" t="n"/>
      <c r="G967" s="13" t="n"/>
      <c r="H967" s="12" t="n"/>
      <c r="I967" s="12" t="n"/>
      <c r="J967" s="12" t="n"/>
      <c r="K967" s="12" t="n"/>
      <c r="L967" s="11" t="n"/>
      <c r="M967" s="11" t="n"/>
      <c r="N967" s="11" t="n"/>
      <c r="O967" s="11" t="n"/>
      <c r="P967" s="12" t="n"/>
      <c r="Q967" s="11" t="n"/>
      <c r="R967" s="12" t="n"/>
      <c r="S967" s="11" t="n"/>
      <c r="T967" s="12" t="n"/>
      <c r="U967" s="12" t="n"/>
      <c r="V967" s="14">
        <f>IF($AN967="",IF($B967="","",$H967),IF(INDEX(職員マスタ!$B$6:$B$405,$AN967)="",$H967,INDEX(職員マスタ!$B$6:$B$405,$AN967)))</f>
        <v/>
      </c>
      <c r="W967" s="14">
        <f>IF($AN967="",IF($B967="","",$R967),IF(INDEX(職員マスタ!$C$6:$C$405,$AN967)="",$R967,INDEX(職員マスタ!$C$6:$C$405,$AN967)))</f>
        <v/>
      </c>
      <c r="X967" s="14">
        <f>IF($AO967="","","R"&amp;$C967&amp;"."&amp;$D967)</f>
        <v/>
      </c>
      <c r="Y967" s="15">
        <f>IF($AN967="","",IF(INDEX(職員マスタ!$K$6:$K$405,$AN967)="","",INDEX(職員マスタ!$K$6:$K$405,$AN967)))</f>
        <v/>
      </c>
      <c r="Z967" s="14">
        <f>IF(OR($E967="",$Y967=""),"",IF($E967&gt;=$Y967,"×",IF($E967&gt;=$Y967*設定!$C$5,"△","○")))</f>
        <v/>
      </c>
      <c r="AA967" s="15">
        <f>IF($Z967="","",IF($Z967="×",0,IF($Z967="○",ROUNDDOWN($E967*設定!$C$4,0),ROUNDDOWN($E967*ROUND((9*$Y967-9*$E967)/(10*$E967),4),0))))</f>
        <v/>
      </c>
      <c r="AB967" s="13" t="n"/>
      <c r="AC967" s="15">
        <f>IF($B967="","",IF($AB967&lt;&gt;"",$AB967,IF($AA967="","",IF($AA967&lt;=設定!$C$3,0,$AA967))))</f>
        <v/>
      </c>
      <c r="AD967" s="14">
        <f>IF($B967="","",IF(AND($AE967&lt;&gt;"",$AG967="",$AJ967=""),"保留中",IF($AJ967&lt;&gt;"",IF(N($AC967)&gt;0,"支給済","不支給"),IF($AC967="","要確認",IF($AC967=0,"不支給","未処理")))))</f>
        <v/>
      </c>
      <c r="AE967" s="12" t="n"/>
      <c r="AF967" s="11" t="n"/>
      <c r="AG967" s="11" t="n"/>
      <c r="AH967" s="11" t="n"/>
      <c r="AI967" s="14">
        <f>IF(AND($AD967="保留中",$AF967&lt;&gt;""),TODAY()-$AF967,"")</f>
        <v/>
      </c>
      <c r="AJ967" s="12" t="n"/>
      <c r="AK967" s="14">
        <f>IF($B967="","",IF($AO967="","対象年月が未入力／","")&amp;IF($B967="","",IF($AN967="","職員マスタに未登録の職員番号／",IF($Y967="","標準報酬月額が未登録／","")&amp;IF(AND($AO967&lt;&gt;"",OR(AND(INDEX(職員マスタ!$G$6:$G$405,$AN967)&lt;&gt;"",INDEX(職員マスタ!$G$6:$G$405,$AN967)&gt;EOMONTH($AO967,0)),AND(INDEX(職員マスタ!$H$6:$H$405,$AN967)&lt;&gt;"",INDEX(職員マスタ!$H$6:$H$405,$AN967)&lt;$AO967))),"対象月が時短期間外／","")&amp;IF(AND(INDEX(職員マスタ!$F$6:$F$405,$AN967)&lt;&gt;"",$AO967&lt;&gt;"",INDEX(職員マスタ!$F$6:$F$405,$AN967)&lt;$AO967),"対象月に子が2歳到達済／","")&amp;IF(AND($H967&lt;&gt;"",INDEX(職員マスタ!$B$6:$B$405,$AN967)&lt;&gt;"",SUBSTITUTE(SUBSTITUTE($H967," ","")," ","")&lt;&gt;SUBSTITUTE(SUBSTITUTE(INDEX(職員マスタ!$B$6:$B$405,$AN967)," ","")," ","")),"氏名がマスタと相違／","")&amp;IF(AND($Q967&lt;&gt;"",INDEX(職員マスタ!$E$6:$E$405,$AN967)&lt;&gt;"",$Q967&lt;&gt;INDEX(職員マスタ!$E$6:$E$405,$AN967)),"子の生年月日がマスタと相違／","")&amp;IF(AND($L967&lt;&gt;"",INDEX(職員マスタ!$G$6:$G$405,$AN967)&lt;&gt;"",$L967&lt;&gt;INDEX(職員マスタ!$G$6:$G$405,$AN967)),"時短開始日がマスタと相違／","")&amp;IF(AND($M967&lt;&gt;"",INDEX(職員マスタ!$H$6:$H$405,$AN967)&lt;&gt;"",$M967&lt;&gt;INDEX(職員マスタ!$H$6:$H$405,$AN967)),"時短終了日がマスタと相違／","")))&amp;IF(AND($B967&lt;&gt;"",$E967=""),"報酬額が未入力／","")&amp;IF(N($U967)&gt;0,"申請書に入力エラーが残っています／","")&amp;IF(AND($B967&lt;&gt;"",$AO967&lt;&gt;""),IF(COUNTIFS($B$6:$B$3005,$B967,$C$6:$C$3005,$C967,$D$6:$D$3005,$D967)&gt;1,"同じ月の請求が重複しています／",""),"")&amp;IF(AND(N($E967)&gt;0,$Z967&lt;&gt;"",$Z967&lt;&gt;"×",$AC967=0,$AB967=""),"計算額が下限以下のため不支給／",""))</f>
        <v/>
      </c>
      <c r="AL967" s="12" t="n"/>
      <c r="AM967" s="14">
        <f>IF($AD967="保留中",COUNTIF($AD$6:$AD967,"保留中"),"")</f>
        <v/>
      </c>
      <c r="AN967" s="14">
        <f>IF($AO967="","",IF(SUMPRODUCT(MAX((職員マスタ!$A$6:$A$405=$B967)*(((職員マスタ!$G$6:$G$405="")+(職員マスタ!$G$6:$G$405&lt;=EOMONTH($AO967,0)))&gt;0)*(((職員マスタ!$H$6:$H$405="")+(職員マスタ!$H$6:$H$405&gt;=$AO967))&gt;0)*(ROW(職員マスタ!$A$6:$A$405)-5)))&gt;0,SUMPRODUCT(MAX((職員マスタ!$A$6:$A$405=$B967)*(((職員マスタ!$G$6:$G$405="")+(職員マスタ!$G$6:$G$405&lt;=EOMONTH($AO967,0)))&gt;0)*(((職員マスタ!$H$6:$H$405="")+(職員マスタ!$H$6:$H$405&gt;=$AO967))&gt;0)*(ROW(職員マスタ!$A$6:$A$405)-5))),IFERROR(MATCH($B967,職員マスタ!$A$6:$A$405,0),"")))</f>
        <v/>
      </c>
      <c r="AO967" s="16">
        <f>IF(OR($B967="",$C967="",$D967=""),"",DATE($C967+2018,$D967,1))</f>
        <v/>
      </c>
    </row>
    <row r="968">
      <c r="A968" s="11" t="n"/>
      <c r="B968" s="12" t="n"/>
      <c r="C968" s="12" t="n"/>
      <c r="D968" s="12" t="n"/>
      <c r="E968" s="13" t="n"/>
      <c r="F968" s="12" t="n"/>
      <c r="G968" s="13" t="n"/>
      <c r="H968" s="12" t="n"/>
      <c r="I968" s="12" t="n"/>
      <c r="J968" s="12" t="n"/>
      <c r="K968" s="12" t="n"/>
      <c r="L968" s="11" t="n"/>
      <c r="M968" s="11" t="n"/>
      <c r="N968" s="11" t="n"/>
      <c r="O968" s="11" t="n"/>
      <c r="P968" s="12" t="n"/>
      <c r="Q968" s="11" t="n"/>
      <c r="R968" s="12" t="n"/>
      <c r="S968" s="11" t="n"/>
      <c r="T968" s="12" t="n"/>
      <c r="U968" s="12" t="n"/>
      <c r="V968" s="14">
        <f>IF($AN968="",IF($B968="","",$H968),IF(INDEX(職員マスタ!$B$6:$B$405,$AN968)="",$H968,INDEX(職員マスタ!$B$6:$B$405,$AN968)))</f>
        <v/>
      </c>
      <c r="W968" s="14">
        <f>IF($AN968="",IF($B968="","",$R968),IF(INDEX(職員マスタ!$C$6:$C$405,$AN968)="",$R968,INDEX(職員マスタ!$C$6:$C$405,$AN968)))</f>
        <v/>
      </c>
      <c r="X968" s="14">
        <f>IF($AO968="","","R"&amp;$C968&amp;"."&amp;$D968)</f>
        <v/>
      </c>
      <c r="Y968" s="15">
        <f>IF($AN968="","",IF(INDEX(職員マスタ!$K$6:$K$405,$AN968)="","",INDEX(職員マスタ!$K$6:$K$405,$AN968)))</f>
        <v/>
      </c>
      <c r="Z968" s="14">
        <f>IF(OR($E968="",$Y968=""),"",IF($E968&gt;=$Y968,"×",IF($E968&gt;=$Y968*設定!$C$5,"△","○")))</f>
        <v/>
      </c>
      <c r="AA968" s="15">
        <f>IF($Z968="","",IF($Z968="×",0,IF($Z968="○",ROUNDDOWN($E968*設定!$C$4,0),ROUNDDOWN($E968*ROUND((9*$Y968-9*$E968)/(10*$E968),4),0))))</f>
        <v/>
      </c>
      <c r="AB968" s="13" t="n"/>
      <c r="AC968" s="15">
        <f>IF($B968="","",IF($AB968&lt;&gt;"",$AB968,IF($AA968="","",IF($AA968&lt;=設定!$C$3,0,$AA968))))</f>
        <v/>
      </c>
      <c r="AD968" s="14">
        <f>IF($B968="","",IF(AND($AE968&lt;&gt;"",$AG968="",$AJ968=""),"保留中",IF($AJ968&lt;&gt;"",IF(N($AC968)&gt;0,"支給済","不支給"),IF($AC968="","要確認",IF($AC968=0,"不支給","未処理")))))</f>
        <v/>
      </c>
      <c r="AE968" s="12" t="n"/>
      <c r="AF968" s="11" t="n"/>
      <c r="AG968" s="11" t="n"/>
      <c r="AH968" s="11" t="n"/>
      <c r="AI968" s="14">
        <f>IF(AND($AD968="保留中",$AF968&lt;&gt;""),TODAY()-$AF968,"")</f>
        <v/>
      </c>
      <c r="AJ968" s="12" t="n"/>
      <c r="AK968" s="14">
        <f>IF($B968="","",IF($AO968="","対象年月が未入力／","")&amp;IF($B968="","",IF($AN968="","職員マスタに未登録の職員番号／",IF($Y968="","標準報酬月額が未登録／","")&amp;IF(AND($AO968&lt;&gt;"",OR(AND(INDEX(職員マスタ!$G$6:$G$405,$AN968)&lt;&gt;"",INDEX(職員マスタ!$G$6:$G$405,$AN968)&gt;EOMONTH($AO968,0)),AND(INDEX(職員マスタ!$H$6:$H$405,$AN968)&lt;&gt;"",INDEX(職員マスタ!$H$6:$H$405,$AN968)&lt;$AO968))),"対象月が時短期間外／","")&amp;IF(AND(INDEX(職員マスタ!$F$6:$F$405,$AN968)&lt;&gt;"",$AO968&lt;&gt;"",INDEX(職員マスタ!$F$6:$F$405,$AN968)&lt;$AO968),"対象月に子が2歳到達済／","")&amp;IF(AND($H968&lt;&gt;"",INDEX(職員マスタ!$B$6:$B$405,$AN968)&lt;&gt;"",SUBSTITUTE(SUBSTITUTE($H968," ","")," ","")&lt;&gt;SUBSTITUTE(SUBSTITUTE(INDEX(職員マスタ!$B$6:$B$405,$AN968)," ","")," ","")),"氏名がマスタと相違／","")&amp;IF(AND($Q968&lt;&gt;"",INDEX(職員マスタ!$E$6:$E$405,$AN968)&lt;&gt;"",$Q968&lt;&gt;INDEX(職員マスタ!$E$6:$E$405,$AN968)),"子の生年月日がマスタと相違／","")&amp;IF(AND($L968&lt;&gt;"",INDEX(職員マスタ!$G$6:$G$405,$AN968)&lt;&gt;"",$L968&lt;&gt;INDEX(職員マスタ!$G$6:$G$405,$AN968)),"時短開始日がマスタと相違／","")&amp;IF(AND($M968&lt;&gt;"",INDEX(職員マスタ!$H$6:$H$405,$AN968)&lt;&gt;"",$M968&lt;&gt;INDEX(職員マスタ!$H$6:$H$405,$AN968)),"時短終了日がマスタと相違／","")))&amp;IF(AND($B968&lt;&gt;"",$E968=""),"報酬額が未入力／","")&amp;IF(N($U968)&gt;0,"申請書に入力エラーが残っています／","")&amp;IF(AND($B968&lt;&gt;"",$AO968&lt;&gt;""),IF(COUNTIFS($B$6:$B$3005,$B968,$C$6:$C$3005,$C968,$D$6:$D$3005,$D968)&gt;1,"同じ月の請求が重複しています／",""),"")&amp;IF(AND(N($E968)&gt;0,$Z968&lt;&gt;"",$Z968&lt;&gt;"×",$AC968=0,$AB968=""),"計算額が下限以下のため不支給／",""))</f>
        <v/>
      </c>
      <c r="AL968" s="12" t="n"/>
      <c r="AM968" s="14">
        <f>IF($AD968="保留中",COUNTIF($AD$6:$AD968,"保留中"),"")</f>
        <v/>
      </c>
      <c r="AN968" s="14">
        <f>IF($AO968="","",IF(SUMPRODUCT(MAX((職員マスタ!$A$6:$A$405=$B968)*(((職員マスタ!$G$6:$G$405="")+(職員マスタ!$G$6:$G$405&lt;=EOMONTH($AO968,0)))&gt;0)*(((職員マスタ!$H$6:$H$405="")+(職員マスタ!$H$6:$H$405&gt;=$AO968))&gt;0)*(ROW(職員マスタ!$A$6:$A$405)-5)))&gt;0,SUMPRODUCT(MAX((職員マスタ!$A$6:$A$405=$B968)*(((職員マスタ!$G$6:$G$405="")+(職員マスタ!$G$6:$G$405&lt;=EOMONTH($AO968,0)))&gt;0)*(((職員マスタ!$H$6:$H$405="")+(職員マスタ!$H$6:$H$405&gt;=$AO968))&gt;0)*(ROW(職員マスタ!$A$6:$A$405)-5))),IFERROR(MATCH($B968,職員マスタ!$A$6:$A$405,0),"")))</f>
        <v/>
      </c>
      <c r="AO968" s="16">
        <f>IF(OR($B968="",$C968="",$D968=""),"",DATE($C968+2018,$D968,1))</f>
        <v/>
      </c>
    </row>
    <row r="969">
      <c r="A969" s="11" t="n"/>
      <c r="B969" s="12" t="n"/>
      <c r="C969" s="12" t="n"/>
      <c r="D969" s="12" t="n"/>
      <c r="E969" s="13" t="n"/>
      <c r="F969" s="12" t="n"/>
      <c r="G969" s="13" t="n"/>
      <c r="H969" s="12" t="n"/>
      <c r="I969" s="12" t="n"/>
      <c r="J969" s="12" t="n"/>
      <c r="K969" s="12" t="n"/>
      <c r="L969" s="11" t="n"/>
      <c r="M969" s="11" t="n"/>
      <c r="N969" s="11" t="n"/>
      <c r="O969" s="11" t="n"/>
      <c r="P969" s="12" t="n"/>
      <c r="Q969" s="11" t="n"/>
      <c r="R969" s="12" t="n"/>
      <c r="S969" s="11" t="n"/>
      <c r="T969" s="12" t="n"/>
      <c r="U969" s="12" t="n"/>
      <c r="V969" s="14">
        <f>IF($AN969="",IF($B969="","",$H969),IF(INDEX(職員マスタ!$B$6:$B$405,$AN969)="",$H969,INDEX(職員マスタ!$B$6:$B$405,$AN969)))</f>
        <v/>
      </c>
      <c r="W969" s="14">
        <f>IF($AN969="",IF($B969="","",$R969),IF(INDEX(職員マスタ!$C$6:$C$405,$AN969)="",$R969,INDEX(職員マスタ!$C$6:$C$405,$AN969)))</f>
        <v/>
      </c>
      <c r="X969" s="14">
        <f>IF($AO969="","","R"&amp;$C969&amp;"."&amp;$D969)</f>
        <v/>
      </c>
      <c r="Y969" s="15">
        <f>IF($AN969="","",IF(INDEX(職員マスタ!$K$6:$K$405,$AN969)="","",INDEX(職員マスタ!$K$6:$K$405,$AN969)))</f>
        <v/>
      </c>
      <c r="Z969" s="14">
        <f>IF(OR($E969="",$Y969=""),"",IF($E969&gt;=$Y969,"×",IF($E969&gt;=$Y969*設定!$C$5,"△","○")))</f>
        <v/>
      </c>
      <c r="AA969" s="15">
        <f>IF($Z969="","",IF($Z969="×",0,IF($Z969="○",ROUNDDOWN($E969*設定!$C$4,0),ROUNDDOWN($E969*ROUND((9*$Y969-9*$E969)/(10*$E969),4),0))))</f>
        <v/>
      </c>
      <c r="AB969" s="13" t="n"/>
      <c r="AC969" s="15">
        <f>IF($B969="","",IF($AB969&lt;&gt;"",$AB969,IF($AA969="","",IF($AA969&lt;=設定!$C$3,0,$AA969))))</f>
        <v/>
      </c>
      <c r="AD969" s="14">
        <f>IF($B969="","",IF(AND($AE969&lt;&gt;"",$AG969="",$AJ969=""),"保留中",IF($AJ969&lt;&gt;"",IF(N($AC969)&gt;0,"支給済","不支給"),IF($AC969="","要確認",IF($AC969=0,"不支給","未処理")))))</f>
        <v/>
      </c>
      <c r="AE969" s="12" t="n"/>
      <c r="AF969" s="11" t="n"/>
      <c r="AG969" s="11" t="n"/>
      <c r="AH969" s="11" t="n"/>
      <c r="AI969" s="14">
        <f>IF(AND($AD969="保留中",$AF969&lt;&gt;""),TODAY()-$AF969,"")</f>
        <v/>
      </c>
      <c r="AJ969" s="12" t="n"/>
      <c r="AK969" s="14">
        <f>IF($B969="","",IF($AO969="","対象年月が未入力／","")&amp;IF($B969="","",IF($AN969="","職員マスタに未登録の職員番号／",IF($Y969="","標準報酬月額が未登録／","")&amp;IF(AND($AO969&lt;&gt;"",OR(AND(INDEX(職員マスタ!$G$6:$G$405,$AN969)&lt;&gt;"",INDEX(職員マスタ!$G$6:$G$405,$AN969)&gt;EOMONTH($AO969,0)),AND(INDEX(職員マスタ!$H$6:$H$405,$AN969)&lt;&gt;"",INDEX(職員マスタ!$H$6:$H$405,$AN969)&lt;$AO969))),"対象月が時短期間外／","")&amp;IF(AND(INDEX(職員マスタ!$F$6:$F$405,$AN969)&lt;&gt;"",$AO969&lt;&gt;"",INDEX(職員マスタ!$F$6:$F$405,$AN969)&lt;$AO969),"対象月に子が2歳到達済／","")&amp;IF(AND($H969&lt;&gt;"",INDEX(職員マスタ!$B$6:$B$405,$AN969)&lt;&gt;"",SUBSTITUTE(SUBSTITUTE($H969," ","")," ","")&lt;&gt;SUBSTITUTE(SUBSTITUTE(INDEX(職員マスタ!$B$6:$B$405,$AN969)," ","")," ","")),"氏名がマスタと相違／","")&amp;IF(AND($Q969&lt;&gt;"",INDEX(職員マスタ!$E$6:$E$405,$AN969)&lt;&gt;"",$Q969&lt;&gt;INDEX(職員マスタ!$E$6:$E$405,$AN969)),"子の生年月日がマスタと相違／","")&amp;IF(AND($L969&lt;&gt;"",INDEX(職員マスタ!$G$6:$G$405,$AN969)&lt;&gt;"",$L969&lt;&gt;INDEX(職員マスタ!$G$6:$G$405,$AN969)),"時短開始日がマスタと相違／","")&amp;IF(AND($M969&lt;&gt;"",INDEX(職員マスタ!$H$6:$H$405,$AN969)&lt;&gt;"",$M969&lt;&gt;INDEX(職員マスタ!$H$6:$H$405,$AN969)),"時短終了日がマスタと相違／","")))&amp;IF(AND($B969&lt;&gt;"",$E969=""),"報酬額が未入力／","")&amp;IF(N($U969)&gt;0,"申請書に入力エラーが残っています／","")&amp;IF(AND($B969&lt;&gt;"",$AO969&lt;&gt;""),IF(COUNTIFS($B$6:$B$3005,$B969,$C$6:$C$3005,$C969,$D$6:$D$3005,$D969)&gt;1,"同じ月の請求が重複しています／",""),"")&amp;IF(AND(N($E969)&gt;0,$Z969&lt;&gt;"",$Z969&lt;&gt;"×",$AC969=0,$AB969=""),"計算額が下限以下のため不支給／",""))</f>
        <v/>
      </c>
      <c r="AL969" s="12" t="n"/>
      <c r="AM969" s="14">
        <f>IF($AD969="保留中",COUNTIF($AD$6:$AD969,"保留中"),"")</f>
        <v/>
      </c>
      <c r="AN969" s="14">
        <f>IF($AO969="","",IF(SUMPRODUCT(MAX((職員マスタ!$A$6:$A$405=$B969)*(((職員マスタ!$G$6:$G$405="")+(職員マスタ!$G$6:$G$405&lt;=EOMONTH($AO969,0)))&gt;0)*(((職員マスタ!$H$6:$H$405="")+(職員マスタ!$H$6:$H$405&gt;=$AO969))&gt;0)*(ROW(職員マスタ!$A$6:$A$405)-5)))&gt;0,SUMPRODUCT(MAX((職員マスタ!$A$6:$A$405=$B969)*(((職員マスタ!$G$6:$G$405="")+(職員マスタ!$G$6:$G$405&lt;=EOMONTH($AO969,0)))&gt;0)*(((職員マスタ!$H$6:$H$405="")+(職員マスタ!$H$6:$H$405&gt;=$AO969))&gt;0)*(ROW(職員マスタ!$A$6:$A$405)-5))),IFERROR(MATCH($B969,職員マスタ!$A$6:$A$405,0),"")))</f>
        <v/>
      </c>
      <c r="AO969" s="16">
        <f>IF(OR($B969="",$C969="",$D969=""),"",DATE($C969+2018,$D969,1))</f>
        <v/>
      </c>
    </row>
    <row r="970">
      <c r="A970" s="11" t="n"/>
      <c r="B970" s="12" t="n"/>
      <c r="C970" s="12" t="n"/>
      <c r="D970" s="12" t="n"/>
      <c r="E970" s="13" t="n"/>
      <c r="F970" s="12" t="n"/>
      <c r="G970" s="13" t="n"/>
      <c r="H970" s="12" t="n"/>
      <c r="I970" s="12" t="n"/>
      <c r="J970" s="12" t="n"/>
      <c r="K970" s="12" t="n"/>
      <c r="L970" s="11" t="n"/>
      <c r="M970" s="11" t="n"/>
      <c r="N970" s="11" t="n"/>
      <c r="O970" s="11" t="n"/>
      <c r="P970" s="12" t="n"/>
      <c r="Q970" s="11" t="n"/>
      <c r="R970" s="12" t="n"/>
      <c r="S970" s="11" t="n"/>
      <c r="T970" s="12" t="n"/>
      <c r="U970" s="12" t="n"/>
      <c r="V970" s="14">
        <f>IF($AN970="",IF($B970="","",$H970),IF(INDEX(職員マスタ!$B$6:$B$405,$AN970)="",$H970,INDEX(職員マスタ!$B$6:$B$405,$AN970)))</f>
        <v/>
      </c>
      <c r="W970" s="14">
        <f>IF($AN970="",IF($B970="","",$R970),IF(INDEX(職員マスタ!$C$6:$C$405,$AN970)="",$R970,INDEX(職員マスタ!$C$6:$C$405,$AN970)))</f>
        <v/>
      </c>
      <c r="X970" s="14">
        <f>IF($AO970="","","R"&amp;$C970&amp;"."&amp;$D970)</f>
        <v/>
      </c>
      <c r="Y970" s="15">
        <f>IF($AN970="","",IF(INDEX(職員マスタ!$K$6:$K$405,$AN970)="","",INDEX(職員マスタ!$K$6:$K$405,$AN970)))</f>
        <v/>
      </c>
      <c r="Z970" s="14">
        <f>IF(OR($E970="",$Y970=""),"",IF($E970&gt;=$Y970,"×",IF($E970&gt;=$Y970*設定!$C$5,"△","○")))</f>
        <v/>
      </c>
      <c r="AA970" s="15">
        <f>IF($Z970="","",IF($Z970="×",0,IF($Z970="○",ROUNDDOWN($E970*設定!$C$4,0),ROUNDDOWN($E970*ROUND((9*$Y970-9*$E970)/(10*$E970),4),0))))</f>
        <v/>
      </c>
      <c r="AB970" s="13" t="n"/>
      <c r="AC970" s="15">
        <f>IF($B970="","",IF($AB970&lt;&gt;"",$AB970,IF($AA970="","",IF($AA970&lt;=設定!$C$3,0,$AA970))))</f>
        <v/>
      </c>
      <c r="AD970" s="14">
        <f>IF($B970="","",IF(AND($AE970&lt;&gt;"",$AG970="",$AJ970=""),"保留中",IF($AJ970&lt;&gt;"",IF(N($AC970)&gt;0,"支給済","不支給"),IF($AC970="","要確認",IF($AC970=0,"不支給","未処理")))))</f>
        <v/>
      </c>
      <c r="AE970" s="12" t="n"/>
      <c r="AF970" s="11" t="n"/>
      <c r="AG970" s="11" t="n"/>
      <c r="AH970" s="11" t="n"/>
      <c r="AI970" s="14">
        <f>IF(AND($AD970="保留中",$AF970&lt;&gt;""),TODAY()-$AF970,"")</f>
        <v/>
      </c>
      <c r="AJ970" s="12" t="n"/>
      <c r="AK970" s="14">
        <f>IF($B970="","",IF($AO970="","対象年月が未入力／","")&amp;IF($B970="","",IF($AN970="","職員マスタに未登録の職員番号／",IF($Y970="","標準報酬月額が未登録／","")&amp;IF(AND($AO970&lt;&gt;"",OR(AND(INDEX(職員マスタ!$G$6:$G$405,$AN970)&lt;&gt;"",INDEX(職員マスタ!$G$6:$G$405,$AN970)&gt;EOMONTH($AO970,0)),AND(INDEX(職員マスタ!$H$6:$H$405,$AN970)&lt;&gt;"",INDEX(職員マスタ!$H$6:$H$405,$AN970)&lt;$AO970))),"対象月が時短期間外／","")&amp;IF(AND(INDEX(職員マスタ!$F$6:$F$405,$AN970)&lt;&gt;"",$AO970&lt;&gt;"",INDEX(職員マスタ!$F$6:$F$405,$AN970)&lt;$AO970),"対象月に子が2歳到達済／","")&amp;IF(AND($H970&lt;&gt;"",INDEX(職員マスタ!$B$6:$B$405,$AN970)&lt;&gt;"",SUBSTITUTE(SUBSTITUTE($H970," ","")," ","")&lt;&gt;SUBSTITUTE(SUBSTITUTE(INDEX(職員マスタ!$B$6:$B$405,$AN970)," ","")," ","")),"氏名がマスタと相違／","")&amp;IF(AND($Q970&lt;&gt;"",INDEX(職員マスタ!$E$6:$E$405,$AN970)&lt;&gt;"",$Q970&lt;&gt;INDEX(職員マスタ!$E$6:$E$405,$AN970)),"子の生年月日がマスタと相違／","")&amp;IF(AND($L970&lt;&gt;"",INDEX(職員マスタ!$G$6:$G$405,$AN970)&lt;&gt;"",$L970&lt;&gt;INDEX(職員マスタ!$G$6:$G$405,$AN970)),"時短開始日がマスタと相違／","")&amp;IF(AND($M970&lt;&gt;"",INDEX(職員マスタ!$H$6:$H$405,$AN970)&lt;&gt;"",$M970&lt;&gt;INDEX(職員マスタ!$H$6:$H$405,$AN970)),"時短終了日がマスタと相違／","")))&amp;IF(AND($B970&lt;&gt;"",$E970=""),"報酬額が未入力／","")&amp;IF(N($U970)&gt;0,"申請書に入力エラーが残っています／","")&amp;IF(AND($B970&lt;&gt;"",$AO970&lt;&gt;""),IF(COUNTIFS($B$6:$B$3005,$B970,$C$6:$C$3005,$C970,$D$6:$D$3005,$D970)&gt;1,"同じ月の請求が重複しています／",""),"")&amp;IF(AND(N($E970)&gt;0,$Z970&lt;&gt;"",$Z970&lt;&gt;"×",$AC970=0,$AB970=""),"計算額が下限以下のため不支給／",""))</f>
        <v/>
      </c>
      <c r="AL970" s="12" t="n"/>
      <c r="AM970" s="14">
        <f>IF($AD970="保留中",COUNTIF($AD$6:$AD970,"保留中"),"")</f>
        <v/>
      </c>
      <c r="AN970" s="14">
        <f>IF($AO970="","",IF(SUMPRODUCT(MAX((職員マスタ!$A$6:$A$405=$B970)*(((職員マスタ!$G$6:$G$405="")+(職員マスタ!$G$6:$G$405&lt;=EOMONTH($AO970,0)))&gt;0)*(((職員マスタ!$H$6:$H$405="")+(職員マスタ!$H$6:$H$405&gt;=$AO970))&gt;0)*(ROW(職員マスタ!$A$6:$A$405)-5)))&gt;0,SUMPRODUCT(MAX((職員マスタ!$A$6:$A$405=$B970)*(((職員マスタ!$G$6:$G$405="")+(職員マスタ!$G$6:$G$405&lt;=EOMONTH($AO970,0)))&gt;0)*(((職員マスタ!$H$6:$H$405="")+(職員マスタ!$H$6:$H$405&gt;=$AO970))&gt;0)*(ROW(職員マスタ!$A$6:$A$405)-5))),IFERROR(MATCH($B970,職員マスタ!$A$6:$A$405,0),"")))</f>
        <v/>
      </c>
      <c r="AO970" s="16">
        <f>IF(OR($B970="",$C970="",$D970=""),"",DATE($C970+2018,$D970,1))</f>
        <v/>
      </c>
    </row>
    <row r="971">
      <c r="A971" s="11" t="n"/>
      <c r="B971" s="12" t="n"/>
      <c r="C971" s="12" t="n"/>
      <c r="D971" s="12" t="n"/>
      <c r="E971" s="13" t="n"/>
      <c r="F971" s="12" t="n"/>
      <c r="G971" s="13" t="n"/>
      <c r="H971" s="12" t="n"/>
      <c r="I971" s="12" t="n"/>
      <c r="J971" s="12" t="n"/>
      <c r="K971" s="12" t="n"/>
      <c r="L971" s="11" t="n"/>
      <c r="M971" s="11" t="n"/>
      <c r="N971" s="11" t="n"/>
      <c r="O971" s="11" t="n"/>
      <c r="P971" s="12" t="n"/>
      <c r="Q971" s="11" t="n"/>
      <c r="R971" s="12" t="n"/>
      <c r="S971" s="11" t="n"/>
      <c r="T971" s="12" t="n"/>
      <c r="U971" s="12" t="n"/>
      <c r="V971" s="14">
        <f>IF($AN971="",IF($B971="","",$H971),IF(INDEX(職員マスタ!$B$6:$B$405,$AN971)="",$H971,INDEX(職員マスタ!$B$6:$B$405,$AN971)))</f>
        <v/>
      </c>
      <c r="W971" s="14">
        <f>IF($AN971="",IF($B971="","",$R971),IF(INDEX(職員マスタ!$C$6:$C$405,$AN971)="",$R971,INDEX(職員マスタ!$C$6:$C$405,$AN971)))</f>
        <v/>
      </c>
      <c r="X971" s="14">
        <f>IF($AO971="","","R"&amp;$C971&amp;"."&amp;$D971)</f>
        <v/>
      </c>
      <c r="Y971" s="15">
        <f>IF($AN971="","",IF(INDEX(職員マスタ!$K$6:$K$405,$AN971)="","",INDEX(職員マスタ!$K$6:$K$405,$AN971)))</f>
        <v/>
      </c>
      <c r="Z971" s="14">
        <f>IF(OR($E971="",$Y971=""),"",IF($E971&gt;=$Y971,"×",IF($E971&gt;=$Y971*設定!$C$5,"△","○")))</f>
        <v/>
      </c>
      <c r="AA971" s="15">
        <f>IF($Z971="","",IF($Z971="×",0,IF($Z971="○",ROUNDDOWN($E971*設定!$C$4,0),ROUNDDOWN($E971*ROUND((9*$Y971-9*$E971)/(10*$E971),4),0))))</f>
        <v/>
      </c>
      <c r="AB971" s="13" t="n"/>
      <c r="AC971" s="15">
        <f>IF($B971="","",IF($AB971&lt;&gt;"",$AB971,IF($AA971="","",IF($AA971&lt;=設定!$C$3,0,$AA971))))</f>
        <v/>
      </c>
      <c r="AD971" s="14">
        <f>IF($B971="","",IF(AND($AE971&lt;&gt;"",$AG971="",$AJ971=""),"保留中",IF($AJ971&lt;&gt;"",IF(N($AC971)&gt;0,"支給済","不支給"),IF($AC971="","要確認",IF($AC971=0,"不支給","未処理")))))</f>
        <v/>
      </c>
      <c r="AE971" s="12" t="n"/>
      <c r="AF971" s="11" t="n"/>
      <c r="AG971" s="11" t="n"/>
      <c r="AH971" s="11" t="n"/>
      <c r="AI971" s="14">
        <f>IF(AND($AD971="保留中",$AF971&lt;&gt;""),TODAY()-$AF971,"")</f>
        <v/>
      </c>
      <c r="AJ971" s="12" t="n"/>
      <c r="AK971" s="14">
        <f>IF($B971="","",IF($AO971="","対象年月が未入力／","")&amp;IF($B971="","",IF($AN971="","職員マスタに未登録の職員番号／",IF($Y971="","標準報酬月額が未登録／","")&amp;IF(AND($AO971&lt;&gt;"",OR(AND(INDEX(職員マスタ!$G$6:$G$405,$AN971)&lt;&gt;"",INDEX(職員マスタ!$G$6:$G$405,$AN971)&gt;EOMONTH($AO971,0)),AND(INDEX(職員マスタ!$H$6:$H$405,$AN971)&lt;&gt;"",INDEX(職員マスタ!$H$6:$H$405,$AN971)&lt;$AO971))),"対象月が時短期間外／","")&amp;IF(AND(INDEX(職員マスタ!$F$6:$F$405,$AN971)&lt;&gt;"",$AO971&lt;&gt;"",INDEX(職員マスタ!$F$6:$F$405,$AN971)&lt;$AO971),"対象月に子が2歳到達済／","")&amp;IF(AND($H971&lt;&gt;"",INDEX(職員マスタ!$B$6:$B$405,$AN971)&lt;&gt;"",SUBSTITUTE(SUBSTITUTE($H971," ","")," ","")&lt;&gt;SUBSTITUTE(SUBSTITUTE(INDEX(職員マスタ!$B$6:$B$405,$AN971)," ","")," ","")),"氏名がマスタと相違／","")&amp;IF(AND($Q971&lt;&gt;"",INDEX(職員マスタ!$E$6:$E$405,$AN971)&lt;&gt;"",$Q971&lt;&gt;INDEX(職員マスタ!$E$6:$E$405,$AN971)),"子の生年月日がマスタと相違／","")&amp;IF(AND($L971&lt;&gt;"",INDEX(職員マスタ!$G$6:$G$405,$AN971)&lt;&gt;"",$L971&lt;&gt;INDEX(職員マスタ!$G$6:$G$405,$AN971)),"時短開始日がマスタと相違／","")&amp;IF(AND($M971&lt;&gt;"",INDEX(職員マスタ!$H$6:$H$405,$AN971)&lt;&gt;"",$M971&lt;&gt;INDEX(職員マスタ!$H$6:$H$405,$AN971)),"時短終了日がマスタと相違／","")))&amp;IF(AND($B971&lt;&gt;"",$E971=""),"報酬額が未入力／","")&amp;IF(N($U971)&gt;0,"申請書に入力エラーが残っています／","")&amp;IF(AND($B971&lt;&gt;"",$AO971&lt;&gt;""),IF(COUNTIFS($B$6:$B$3005,$B971,$C$6:$C$3005,$C971,$D$6:$D$3005,$D971)&gt;1,"同じ月の請求が重複しています／",""),"")&amp;IF(AND(N($E971)&gt;0,$Z971&lt;&gt;"",$Z971&lt;&gt;"×",$AC971=0,$AB971=""),"計算額が下限以下のため不支給／",""))</f>
        <v/>
      </c>
      <c r="AL971" s="12" t="n"/>
      <c r="AM971" s="14">
        <f>IF($AD971="保留中",COUNTIF($AD$6:$AD971,"保留中"),"")</f>
        <v/>
      </c>
      <c r="AN971" s="14">
        <f>IF($AO971="","",IF(SUMPRODUCT(MAX((職員マスタ!$A$6:$A$405=$B971)*(((職員マスタ!$G$6:$G$405="")+(職員マスタ!$G$6:$G$405&lt;=EOMONTH($AO971,0)))&gt;0)*(((職員マスタ!$H$6:$H$405="")+(職員マスタ!$H$6:$H$405&gt;=$AO971))&gt;0)*(ROW(職員マスタ!$A$6:$A$405)-5)))&gt;0,SUMPRODUCT(MAX((職員マスタ!$A$6:$A$405=$B971)*(((職員マスタ!$G$6:$G$405="")+(職員マスタ!$G$6:$G$405&lt;=EOMONTH($AO971,0)))&gt;0)*(((職員マスタ!$H$6:$H$405="")+(職員マスタ!$H$6:$H$405&gt;=$AO971))&gt;0)*(ROW(職員マスタ!$A$6:$A$405)-5))),IFERROR(MATCH($B971,職員マスタ!$A$6:$A$405,0),"")))</f>
        <v/>
      </c>
      <c r="AO971" s="16">
        <f>IF(OR($B971="",$C971="",$D971=""),"",DATE($C971+2018,$D971,1))</f>
        <v/>
      </c>
    </row>
    <row r="972">
      <c r="A972" s="11" t="n"/>
      <c r="B972" s="12" t="n"/>
      <c r="C972" s="12" t="n"/>
      <c r="D972" s="12" t="n"/>
      <c r="E972" s="13" t="n"/>
      <c r="F972" s="12" t="n"/>
      <c r="G972" s="13" t="n"/>
      <c r="H972" s="12" t="n"/>
      <c r="I972" s="12" t="n"/>
      <c r="J972" s="12" t="n"/>
      <c r="K972" s="12" t="n"/>
      <c r="L972" s="11" t="n"/>
      <c r="M972" s="11" t="n"/>
      <c r="N972" s="11" t="n"/>
      <c r="O972" s="11" t="n"/>
      <c r="P972" s="12" t="n"/>
      <c r="Q972" s="11" t="n"/>
      <c r="R972" s="12" t="n"/>
      <c r="S972" s="11" t="n"/>
      <c r="T972" s="12" t="n"/>
      <c r="U972" s="12" t="n"/>
      <c r="V972" s="14">
        <f>IF($AN972="",IF($B972="","",$H972),IF(INDEX(職員マスタ!$B$6:$B$405,$AN972)="",$H972,INDEX(職員マスタ!$B$6:$B$405,$AN972)))</f>
        <v/>
      </c>
      <c r="W972" s="14">
        <f>IF($AN972="",IF($B972="","",$R972),IF(INDEX(職員マスタ!$C$6:$C$405,$AN972)="",$R972,INDEX(職員マスタ!$C$6:$C$405,$AN972)))</f>
        <v/>
      </c>
      <c r="X972" s="14">
        <f>IF($AO972="","","R"&amp;$C972&amp;"."&amp;$D972)</f>
        <v/>
      </c>
      <c r="Y972" s="15">
        <f>IF($AN972="","",IF(INDEX(職員マスタ!$K$6:$K$405,$AN972)="","",INDEX(職員マスタ!$K$6:$K$405,$AN972)))</f>
        <v/>
      </c>
      <c r="Z972" s="14">
        <f>IF(OR($E972="",$Y972=""),"",IF($E972&gt;=$Y972,"×",IF($E972&gt;=$Y972*設定!$C$5,"△","○")))</f>
        <v/>
      </c>
      <c r="AA972" s="15">
        <f>IF($Z972="","",IF($Z972="×",0,IF($Z972="○",ROUNDDOWN($E972*設定!$C$4,0),ROUNDDOWN($E972*ROUND((9*$Y972-9*$E972)/(10*$E972),4),0))))</f>
        <v/>
      </c>
      <c r="AB972" s="13" t="n"/>
      <c r="AC972" s="15">
        <f>IF($B972="","",IF($AB972&lt;&gt;"",$AB972,IF($AA972="","",IF($AA972&lt;=設定!$C$3,0,$AA972))))</f>
        <v/>
      </c>
      <c r="AD972" s="14">
        <f>IF($B972="","",IF(AND($AE972&lt;&gt;"",$AG972="",$AJ972=""),"保留中",IF($AJ972&lt;&gt;"",IF(N($AC972)&gt;0,"支給済","不支給"),IF($AC972="","要確認",IF($AC972=0,"不支給","未処理")))))</f>
        <v/>
      </c>
      <c r="AE972" s="12" t="n"/>
      <c r="AF972" s="11" t="n"/>
      <c r="AG972" s="11" t="n"/>
      <c r="AH972" s="11" t="n"/>
      <c r="AI972" s="14">
        <f>IF(AND($AD972="保留中",$AF972&lt;&gt;""),TODAY()-$AF972,"")</f>
        <v/>
      </c>
      <c r="AJ972" s="12" t="n"/>
      <c r="AK972" s="14">
        <f>IF($B972="","",IF($AO972="","対象年月が未入力／","")&amp;IF($B972="","",IF($AN972="","職員マスタに未登録の職員番号／",IF($Y972="","標準報酬月額が未登録／","")&amp;IF(AND($AO972&lt;&gt;"",OR(AND(INDEX(職員マスタ!$G$6:$G$405,$AN972)&lt;&gt;"",INDEX(職員マスタ!$G$6:$G$405,$AN972)&gt;EOMONTH($AO972,0)),AND(INDEX(職員マスタ!$H$6:$H$405,$AN972)&lt;&gt;"",INDEX(職員マスタ!$H$6:$H$405,$AN972)&lt;$AO972))),"対象月が時短期間外／","")&amp;IF(AND(INDEX(職員マスタ!$F$6:$F$405,$AN972)&lt;&gt;"",$AO972&lt;&gt;"",INDEX(職員マスタ!$F$6:$F$405,$AN972)&lt;$AO972),"対象月に子が2歳到達済／","")&amp;IF(AND($H972&lt;&gt;"",INDEX(職員マスタ!$B$6:$B$405,$AN972)&lt;&gt;"",SUBSTITUTE(SUBSTITUTE($H972," ","")," ","")&lt;&gt;SUBSTITUTE(SUBSTITUTE(INDEX(職員マスタ!$B$6:$B$405,$AN972)," ","")," ","")),"氏名がマスタと相違／","")&amp;IF(AND($Q972&lt;&gt;"",INDEX(職員マスタ!$E$6:$E$405,$AN972)&lt;&gt;"",$Q972&lt;&gt;INDEX(職員マスタ!$E$6:$E$405,$AN972)),"子の生年月日がマスタと相違／","")&amp;IF(AND($L972&lt;&gt;"",INDEX(職員マスタ!$G$6:$G$405,$AN972)&lt;&gt;"",$L972&lt;&gt;INDEX(職員マスタ!$G$6:$G$405,$AN972)),"時短開始日がマスタと相違／","")&amp;IF(AND($M972&lt;&gt;"",INDEX(職員マスタ!$H$6:$H$405,$AN972)&lt;&gt;"",$M972&lt;&gt;INDEX(職員マスタ!$H$6:$H$405,$AN972)),"時短終了日がマスタと相違／","")))&amp;IF(AND($B972&lt;&gt;"",$E972=""),"報酬額が未入力／","")&amp;IF(N($U972)&gt;0,"申請書に入力エラーが残っています／","")&amp;IF(AND($B972&lt;&gt;"",$AO972&lt;&gt;""),IF(COUNTIFS($B$6:$B$3005,$B972,$C$6:$C$3005,$C972,$D$6:$D$3005,$D972)&gt;1,"同じ月の請求が重複しています／",""),"")&amp;IF(AND(N($E972)&gt;0,$Z972&lt;&gt;"",$Z972&lt;&gt;"×",$AC972=0,$AB972=""),"計算額が下限以下のため不支給／",""))</f>
        <v/>
      </c>
      <c r="AL972" s="12" t="n"/>
      <c r="AM972" s="14">
        <f>IF($AD972="保留中",COUNTIF($AD$6:$AD972,"保留中"),"")</f>
        <v/>
      </c>
      <c r="AN972" s="14">
        <f>IF($AO972="","",IF(SUMPRODUCT(MAX((職員マスタ!$A$6:$A$405=$B972)*(((職員マスタ!$G$6:$G$405="")+(職員マスタ!$G$6:$G$405&lt;=EOMONTH($AO972,0)))&gt;0)*(((職員マスタ!$H$6:$H$405="")+(職員マスタ!$H$6:$H$405&gt;=$AO972))&gt;0)*(ROW(職員マスタ!$A$6:$A$405)-5)))&gt;0,SUMPRODUCT(MAX((職員マスタ!$A$6:$A$405=$B972)*(((職員マスタ!$G$6:$G$405="")+(職員マスタ!$G$6:$G$405&lt;=EOMONTH($AO972,0)))&gt;0)*(((職員マスタ!$H$6:$H$405="")+(職員マスタ!$H$6:$H$405&gt;=$AO972))&gt;0)*(ROW(職員マスタ!$A$6:$A$405)-5))),IFERROR(MATCH($B972,職員マスタ!$A$6:$A$405,0),"")))</f>
        <v/>
      </c>
      <c r="AO972" s="16">
        <f>IF(OR($B972="",$C972="",$D972=""),"",DATE($C972+2018,$D972,1))</f>
        <v/>
      </c>
    </row>
    <row r="973">
      <c r="A973" s="11" t="n"/>
      <c r="B973" s="12" t="n"/>
      <c r="C973" s="12" t="n"/>
      <c r="D973" s="12" t="n"/>
      <c r="E973" s="13" t="n"/>
      <c r="F973" s="12" t="n"/>
      <c r="G973" s="13" t="n"/>
      <c r="H973" s="12" t="n"/>
      <c r="I973" s="12" t="n"/>
      <c r="J973" s="12" t="n"/>
      <c r="K973" s="12" t="n"/>
      <c r="L973" s="11" t="n"/>
      <c r="M973" s="11" t="n"/>
      <c r="N973" s="11" t="n"/>
      <c r="O973" s="11" t="n"/>
      <c r="P973" s="12" t="n"/>
      <c r="Q973" s="11" t="n"/>
      <c r="R973" s="12" t="n"/>
      <c r="S973" s="11" t="n"/>
      <c r="T973" s="12" t="n"/>
      <c r="U973" s="12" t="n"/>
      <c r="V973" s="14">
        <f>IF($AN973="",IF($B973="","",$H973),IF(INDEX(職員マスタ!$B$6:$B$405,$AN973)="",$H973,INDEX(職員マスタ!$B$6:$B$405,$AN973)))</f>
        <v/>
      </c>
      <c r="W973" s="14">
        <f>IF($AN973="",IF($B973="","",$R973),IF(INDEX(職員マスタ!$C$6:$C$405,$AN973)="",$R973,INDEX(職員マスタ!$C$6:$C$405,$AN973)))</f>
        <v/>
      </c>
      <c r="X973" s="14">
        <f>IF($AO973="","","R"&amp;$C973&amp;"."&amp;$D973)</f>
        <v/>
      </c>
      <c r="Y973" s="15">
        <f>IF($AN973="","",IF(INDEX(職員マスタ!$K$6:$K$405,$AN973)="","",INDEX(職員マスタ!$K$6:$K$405,$AN973)))</f>
        <v/>
      </c>
      <c r="Z973" s="14">
        <f>IF(OR($E973="",$Y973=""),"",IF($E973&gt;=$Y973,"×",IF($E973&gt;=$Y973*設定!$C$5,"△","○")))</f>
        <v/>
      </c>
      <c r="AA973" s="15">
        <f>IF($Z973="","",IF($Z973="×",0,IF($Z973="○",ROUNDDOWN($E973*設定!$C$4,0),ROUNDDOWN($E973*ROUND((9*$Y973-9*$E973)/(10*$E973),4),0))))</f>
        <v/>
      </c>
      <c r="AB973" s="13" t="n"/>
      <c r="AC973" s="15">
        <f>IF($B973="","",IF($AB973&lt;&gt;"",$AB973,IF($AA973="","",IF($AA973&lt;=設定!$C$3,0,$AA973))))</f>
        <v/>
      </c>
      <c r="AD973" s="14">
        <f>IF($B973="","",IF(AND($AE973&lt;&gt;"",$AG973="",$AJ973=""),"保留中",IF($AJ973&lt;&gt;"",IF(N($AC973)&gt;0,"支給済","不支給"),IF($AC973="","要確認",IF($AC973=0,"不支給","未処理")))))</f>
        <v/>
      </c>
      <c r="AE973" s="12" t="n"/>
      <c r="AF973" s="11" t="n"/>
      <c r="AG973" s="11" t="n"/>
      <c r="AH973" s="11" t="n"/>
      <c r="AI973" s="14">
        <f>IF(AND($AD973="保留中",$AF973&lt;&gt;""),TODAY()-$AF973,"")</f>
        <v/>
      </c>
      <c r="AJ973" s="12" t="n"/>
      <c r="AK973" s="14">
        <f>IF($B973="","",IF($AO973="","対象年月が未入力／","")&amp;IF($B973="","",IF($AN973="","職員マスタに未登録の職員番号／",IF($Y973="","標準報酬月額が未登録／","")&amp;IF(AND($AO973&lt;&gt;"",OR(AND(INDEX(職員マスタ!$G$6:$G$405,$AN973)&lt;&gt;"",INDEX(職員マスタ!$G$6:$G$405,$AN973)&gt;EOMONTH($AO973,0)),AND(INDEX(職員マスタ!$H$6:$H$405,$AN973)&lt;&gt;"",INDEX(職員マスタ!$H$6:$H$405,$AN973)&lt;$AO973))),"対象月が時短期間外／","")&amp;IF(AND(INDEX(職員マスタ!$F$6:$F$405,$AN973)&lt;&gt;"",$AO973&lt;&gt;"",INDEX(職員マスタ!$F$6:$F$405,$AN973)&lt;$AO973),"対象月に子が2歳到達済／","")&amp;IF(AND($H973&lt;&gt;"",INDEX(職員マスタ!$B$6:$B$405,$AN973)&lt;&gt;"",SUBSTITUTE(SUBSTITUTE($H973," ","")," ","")&lt;&gt;SUBSTITUTE(SUBSTITUTE(INDEX(職員マスタ!$B$6:$B$405,$AN973)," ","")," ","")),"氏名がマスタと相違／","")&amp;IF(AND($Q973&lt;&gt;"",INDEX(職員マスタ!$E$6:$E$405,$AN973)&lt;&gt;"",$Q973&lt;&gt;INDEX(職員マスタ!$E$6:$E$405,$AN973)),"子の生年月日がマスタと相違／","")&amp;IF(AND($L973&lt;&gt;"",INDEX(職員マスタ!$G$6:$G$405,$AN973)&lt;&gt;"",$L973&lt;&gt;INDEX(職員マスタ!$G$6:$G$405,$AN973)),"時短開始日がマスタと相違／","")&amp;IF(AND($M973&lt;&gt;"",INDEX(職員マスタ!$H$6:$H$405,$AN973)&lt;&gt;"",$M973&lt;&gt;INDEX(職員マスタ!$H$6:$H$405,$AN973)),"時短終了日がマスタと相違／","")))&amp;IF(AND($B973&lt;&gt;"",$E973=""),"報酬額が未入力／","")&amp;IF(N($U973)&gt;0,"申請書に入力エラーが残っています／","")&amp;IF(AND($B973&lt;&gt;"",$AO973&lt;&gt;""),IF(COUNTIFS($B$6:$B$3005,$B973,$C$6:$C$3005,$C973,$D$6:$D$3005,$D973)&gt;1,"同じ月の請求が重複しています／",""),"")&amp;IF(AND(N($E973)&gt;0,$Z973&lt;&gt;"",$Z973&lt;&gt;"×",$AC973=0,$AB973=""),"計算額が下限以下のため不支給／",""))</f>
        <v/>
      </c>
      <c r="AL973" s="12" t="n"/>
      <c r="AM973" s="14">
        <f>IF($AD973="保留中",COUNTIF($AD$6:$AD973,"保留中"),"")</f>
        <v/>
      </c>
      <c r="AN973" s="14">
        <f>IF($AO973="","",IF(SUMPRODUCT(MAX((職員マスタ!$A$6:$A$405=$B973)*(((職員マスタ!$G$6:$G$405="")+(職員マスタ!$G$6:$G$405&lt;=EOMONTH($AO973,0)))&gt;0)*(((職員マスタ!$H$6:$H$405="")+(職員マスタ!$H$6:$H$405&gt;=$AO973))&gt;0)*(ROW(職員マスタ!$A$6:$A$405)-5)))&gt;0,SUMPRODUCT(MAX((職員マスタ!$A$6:$A$405=$B973)*(((職員マスタ!$G$6:$G$405="")+(職員マスタ!$G$6:$G$405&lt;=EOMONTH($AO973,0)))&gt;0)*(((職員マスタ!$H$6:$H$405="")+(職員マスタ!$H$6:$H$405&gt;=$AO973))&gt;0)*(ROW(職員マスタ!$A$6:$A$405)-5))),IFERROR(MATCH($B973,職員マスタ!$A$6:$A$405,0),"")))</f>
        <v/>
      </c>
      <c r="AO973" s="16">
        <f>IF(OR($B973="",$C973="",$D973=""),"",DATE($C973+2018,$D973,1))</f>
        <v/>
      </c>
    </row>
    <row r="974">
      <c r="A974" s="11" t="n"/>
      <c r="B974" s="12" t="n"/>
      <c r="C974" s="12" t="n"/>
      <c r="D974" s="12" t="n"/>
      <c r="E974" s="13" t="n"/>
      <c r="F974" s="12" t="n"/>
      <c r="G974" s="13" t="n"/>
      <c r="H974" s="12" t="n"/>
      <c r="I974" s="12" t="n"/>
      <c r="J974" s="12" t="n"/>
      <c r="K974" s="12" t="n"/>
      <c r="L974" s="11" t="n"/>
      <c r="M974" s="11" t="n"/>
      <c r="N974" s="11" t="n"/>
      <c r="O974" s="11" t="n"/>
      <c r="P974" s="12" t="n"/>
      <c r="Q974" s="11" t="n"/>
      <c r="R974" s="12" t="n"/>
      <c r="S974" s="11" t="n"/>
      <c r="T974" s="12" t="n"/>
      <c r="U974" s="12" t="n"/>
      <c r="V974" s="14">
        <f>IF($AN974="",IF($B974="","",$H974),IF(INDEX(職員マスタ!$B$6:$B$405,$AN974)="",$H974,INDEX(職員マスタ!$B$6:$B$405,$AN974)))</f>
        <v/>
      </c>
      <c r="W974" s="14">
        <f>IF($AN974="",IF($B974="","",$R974),IF(INDEX(職員マスタ!$C$6:$C$405,$AN974)="",$R974,INDEX(職員マスタ!$C$6:$C$405,$AN974)))</f>
        <v/>
      </c>
      <c r="X974" s="14">
        <f>IF($AO974="","","R"&amp;$C974&amp;"."&amp;$D974)</f>
        <v/>
      </c>
      <c r="Y974" s="15">
        <f>IF($AN974="","",IF(INDEX(職員マスタ!$K$6:$K$405,$AN974)="","",INDEX(職員マスタ!$K$6:$K$405,$AN974)))</f>
        <v/>
      </c>
      <c r="Z974" s="14">
        <f>IF(OR($E974="",$Y974=""),"",IF($E974&gt;=$Y974,"×",IF($E974&gt;=$Y974*設定!$C$5,"△","○")))</f>
        <v/>
      </c>
      <c r="AA974" s="15">
        <f>IF($Z974="","",IF($Z974="×",0,IF($Z974="○",ROUNDDOWN($E974*設定!$C$4,0),ROUNDDOWN($E974*ROUND((9*$Y974-9*$E974)/(10*$E974),4),0))))</f>
        <v/>
      </c>
      <c r="AB974" s="13" t="n"/>
      <c r="AC974" s="15">
        <f>IF($B974="","",IF($AB974&lt;&gt;"",$AB974,IF($AA974="","",IF($AA974&lt;=設定!$C$3,0,$AA974))))</f>
        <v/>
      </c>
      <c r="AD974" s="14">
        <f>IF($B974="","",IF(AND($AE974&lt;&gt;"",$AG974="",$AJ974=""),"保留中",IF($AJ974&lt;&gt;"",IF(N($AC974)&gt;0,"支給済","不支給"),IF($AC974="","要確認",IF($AC974=0,"不支給","未処理")))))</f>
        <v/>
      </c>
      <c r="AE974" s="12" t="n"/>
      <c r="AF974" s="11" t="n"/>
      <c r="AG974" s="11" t="n"/>
      <c r="AH974" s="11" t="n"/>
      <c r="AI974" s="14">
        <f>IF(AND($AD974="保留中",$AF974&lt;&gt;""),TODAY()-$AF974,"")</f>
        <v/>
      </c>
      <c r="AJ974" s="12" t="n"/>
      <c r="AK974" s="14">
        <f>IF($B974="","",IF($AO974="","対象年月が未入力／","")&amp;IF($B974="","",IF($AN974="","職員マスタに未登録の職員番号／",IF($Y974="","標準報酬月額が未登録／","")&amp;IF(AND($AO974&lt;&gt;"",OR(AND(INDEX(職員マスタ!$G$6:$G$405,$AN974)&lt;&gt;"",INDEX(職員マスタ!$G$6:$G$405,$AN974)&gt;EOMONTH($AO974,0)),AND(INDEX(職員マスタ!$H$6:$H$405,$AN974)&lt;&gt;"",INDEX(職員マスタ!$H$6:$H$405,$AN974)&lt;$AO974))),"対象月が時短期間外／","")&amp;IF(AND(INDEX(職員マスタ!$F$6:$F$405,$AN974)&lt;&gt;"",$AO974&lt;&gt;"",INDEX(職員マスタ!$F$6:$F$405,$AN974)&lt;$AO974),"対象月に子が2歳到達済／","")&amp;IF(AND($H974&lt;&gt;"",INDEX(職員マスタ!$B$6:$B$405,$AN974)&lt;&gt;"",SUBSTITUTE(SUBSTITUTE($H974," ","")," ","")&lt;&gt;SUBSTITUTE(SUBSTITUTE(INDEX(職員マスタ!$B$6:$B$405,$AN974)," ","")," ","")),"氏名がマスタと相違／","")&amp;IF(AND($Q974&lt;&gt;"",INDEX(職員マスタ!$E$6:$E$405,$AN974)&lt;&gt;"",$Q974&lt;&gt;INDEX(職員マスタ!$E$6:$E$405,$AN974)),"子の生年月日がマスタと相違／","")&amp;IF(AND($L974&lt;&gt;"",INDEX(職員マスタ!$G$6:$G$405,$AN974)&lt;&gt;"",$L974&lt;&gt;INDEX(職員マスタ!$G$6:$G$405,$AN974)),"時短開始日がマスタと相違／","")&amp;IF(AND($M974&lt;&gt;"",INDEX(職員マスタ!$H$6:$H$405,$AN974)&lt;&gt;"",$M974&lt;&gt;INDEX(職員マスタ!$H$6:$H$405,$AN974)),"時短終了日がマスタと相違／","")))&amp;IF(AND($B974&lt;&gt;"",$E974=""),"報酬額が未入力／","")&amp;IF(N($U974)&gt;0,"申請書に入力エラーが残っています／","")&amp;IF(AND($B974&lt;&gt;"",$AO974&lt;&gt;""),IF(COUNTIFS($B$6:$B$3005,$B974,$C$6:$C$3005,$C974,$D$6:$D$3005,$D974)&gt;1,"同じ月の請求が重複しています／",""),"")&amp;IF(AND(N($E974)&gt;0,$Z974&lt;&gt;"",$Z974&lt;&gt;"×",$AC974=0,$AB974=""),"計算額が下限以下のため不支給／",""))</f>
        <v/>
      </c>
      <c r="AL974" s="12" t="n"/>
      <c r="AM974" s="14">
        <f>IF($AD974="保留中",COUNTIF($AD$6:$AD974,"保留中"),"")</f>
        <v/>
      </c>
      <c r="AN974" s="14">
        <f>IF($AO974="","",IF(SUMPRODUCT(MAX((職員マスタ!$A$6:$A$405=$B974)*(((職員マスタ!$G$6:$G$405="")+(職員マスタ!$G$6:$G$405&lt;=EOMONTH($AO974,0)))&gt;0)*(((職員マスタ!$H$6:$H$405="")+(職員マスタ!$H$6:$H$405&gt;=$AO974))&gt;0)*(ROW(職員マスタ!$A$6:$A$405)-5)))&gt;0,SUMPRODUCT(MAX((職員マスタ!$A$6:$A$405=$B974)*(((職員マスタ!$G$6:$G$405="")+(職員マスタ!$G$6:$G$405&lt;=EOMONTH($AO974,0)))&gt;0)*(((職員マスタ!$H$6:$H$405="")+(職員マスタ!$H$6:$H$405&gt;=$AO974))&gt;0)*(ROW(職員マスタ!$A$6:$A$405)-5))),IFERROR(MATCH($B974,職員マスタ!$A$6:$A$405,0),"")))</f>
        <v/>
      </c>
      <c r="AO974" s="16">
        <f>IF(OR($B974="",$C974="",$D974=""),"",DATE($C974+2018,$D974,1))</f>
        <v/>
      </c>
    </row>
    <row r="975">
      <c r="A975" s="11" t="n"/>
      <c r="B975" s="12" t="n"/>
      <c r="C975" s="12" t="n"/>
      <c r="D975" s="12" t="n"/>
      <c r="E975" s="13" t="n"/>
      <c r="F975" s="12" t="n"/>
      <c r="G975" s="13" t="n"/>
      <c r="H975" s="12" t="n"/>
      <c r="I975" s="12" t="n"/>
      <c r="J975" s="12" t="n"/>
      <c r="K975" s="12" t="n"/>
      <c r="L975" s="11" t="n"/>
      <c r="M975" s="11" t="n"/>
      <c r="N975" s="11" t="n"/>
      <c r="O975" s="11" t="n"/>
      <c r="P975" s="12" t="n"/>
      <c r="Q975" s="11" t="n"/>
      <c r="R975" s="12" t="n"/>
      <c r="S975" s="11" t="n"/>
      <c r="T975" s="12" t="n"/>
      <c r="U975" s="12" t="n"/>
      <c r="V975" s="14">
        <f>IF($AN975="",IF($B975="","",$H975),IF(INDEX(職員マスタ!$B$6:$B$405,$AN975)="",$H975,INDEX(職員マスタ!$B$6:$B$405,$AN975)))</f>
        <v/>
      </c>
      <c r="W975" s="14">
        <f>IF($AN975="",IF($B975="","",$R975),IF(INDEX(職員マスタ!$C$6:$C$405,$AN975)="",$R975,INDEX(職員マスタ!$C$6:$C$405,$AN975)))</f>
        <v/>
      </c>
      <c r="X975" s="14">
        <f>IF($AO975="","","R"&amp;$C975&amp;"."&amp;$D975)</f>
        <v/>
      </c>
      <c r="Y975" s="15">
        <f>IF($AN975="","",IF(INDEX(職員マスタ!$K$6:$K$405,$AN975)="","",INDEX(職員マスタ!$K$6:$K$405,$AN975)))</f>
        <v/>
      </c>
      <c r="Z975" s="14">
        <f>IF(OR($E975="",$Y975=""),"",IF($E975&gt;=$Y975,"×",IF($E975&gt;=$Y975*設定!$C$5,"△","○")))</f>
        <v/>
      </c>
      <c r="AA975" s="15">
        <f>IF($Z975="","",IF($Z975="×",0,IF($Z975="○",ROUNDDOWN($E975*設定!$C$4,0),ROUNDDOWN($E975*ROUND((9*$Y975-9*$E975)/(10*$E975),4),0))))</f>
        <v/>
      </c>
      <c r="AB975" s="13" t="n"/>
      <c r="AC975" s="15">
        <f>IF($B975="","",IF($AB975&lt;&gt;"",$AB975,IF($AA975="","",IF($AA975&lt;=設定!$C$3,0,$AA975))))</f>
        <v/>
      </c>
      <c r="AD975" s="14">
        <f>IF($B975="","",IF(AND($AE975&lt;&gt;"",$AG975="",$AJ975=""),"保留中",IF($AJ975&lt;&gt;"",IF(N($AC975)&gt;0,"支給済","不支給"),IF($AC975="","要確認",IF($AC975=0,"不支給","未処理")))))</f>
        <v/>
      </c>
      <c r="AE975" s="12" t="n"/>
      <c r="AF975" s="11" t="n"/>
      <c r="AG975" s="11" t="n"/>
      <c r="AH975" s="11" t="n"/>
      <c r="AI975" s="14">
        <f>IF(AND($AD975="保留中",$AF975&lt;&gt;""),TODAY()-$AF975,"")</f>
        <v/>
      </c>
      <c r="AJ975" s="12" t="n"/>
      <c r="AK975" s="14">
        <f>IF($B975="","",IF($AO975="","対象年月が未入力／","")&amp;IF($B975="","",IF($AN975="","職員マスタに未登録の職員番号／",IF($Y975="","標準報酬月額が未登録／","")&amp;IF(AND($AO975&lt;&gt;"",OR(AND(INDEX(職員マスタ!$G$6:$G$405,$AN975)&lt;&gt;"",INDEX(職員マスタ!$G$6:$G$405,$AN975)&gt;EOMONTH($AO975,0)),AND(INDEX(職員マスタ!$H$6:$H$405,$AN975)&lt;&gt;"",INDEX(職員マスタ!$H$6:$H$405,$AN975)&lt;$AO975))),"対象月が時短期間外／","")&amp;IF(AND(INDEX(職員マスタ!$F$6:$F$405,$AN975)&lt;&gt;"",$AO975&lt;&gt;"",INDEX(職員マスタ!$F$6:$F$405,$AN975)&lt;$AO975),"対象月に子が2歳到達済／","")&amp;IF(AND($H975&lt;&gt;"",INDEX(職員マスタ!$B$6:$B$405,$AN975)&lt;&gt;"",SUBSTITUTE(SUBSTITUTE($H975," ","")," ","")&lt;&gt;SUBSTITUTE(SUBSTITUTE(INDEX(職員マスタ!$B$6:$B$405,$AN975)," ","")," ","")),"氏名がマスタと相違／","")&amp;IF(AND($Q975&lt;&gt;"",INDEX(職員マスタ!$E$6:$E$405,$AN975)&lt;&gt;"",$Q975&lt;&gt;INDEX(職員マスタ!$E$6:$E$405,$AN975)),"子の生年月日がマスタと相違／","")&amp;IF(AND($L975&lt;&gt;"",INDEX(職員マスタ!$G$6:$G$405,$AN975)&lt;&gt;"",$L975&lt;&gt;INDEX(職員マスタ!$G$6:$G$405,$AN975)),"時短開始日がマスタと相違／","")&amp;IF(AND($M975&lt;&gt;"",INDEX(職員マスタ!$H$6:$H$405,$AN975)&lt;&gt;"",$M975&lt;&gt;INDEX(職員マスタ!$H$6:$H$405,$AN975)),"時短終了日がマスタと相違／","")))&amp;IF(AND($B975&lt;&gt;"",$E975=""),"報酬額が未入力／","")&amp;IF(N($U975)&gt;0,"申請書に入力エラーが残っています／","")&amp;IF(AND($B975&lt;&gt;"",$AO975&lt;&gt;""),IF(COUNTIFS($B$6:$B$3005,$B975,$C$6:$C$3005,$C975,$D$6:$D$3005,$D975)&gt;1,"同じ月の請求が重複しています／",""),"")&amp;IF(AND(N($E975)&gt;0,$Z975&lt;&gt;"",$Z975&lt;&gt;"×",$AC975=0,$AB975=""),"計算額が下限以下のため不支給／",""))</f>
        <v/>
      </c>
      <c r="AL975" s="12" t="n"/>
      <c r="AM975" s="14">
        <f>IF($AD975="保留中",COUNTIF($AD$6:$AD975,"保留中"),"")</f>
        <v/>
      </c>
      <c r="AN975" s="14">
        <f>IF($AO975="","",IF(SUMPRODUCT(MAX((職員マスタ!$A$6:$A$405=$B975)*(((職員マスタ!$G$6:$G$405="")+(職員マスタ!$G$6:$G$405&lt;=EOMONTH($AO975,0)))&gt;0)*(((職員マスタ!$H$6:$H$405="")+(職員マスタ!$H$6:$H$405&gt;=$AO975))&gt;0)*(ROW(職員マスタ!$A$6:$A$405)-5)))&gt;0,SUMPRODUCT(MAX((職員マスタ!$A$6:$A$405=$B975)*(((職員マスタ!$G$6:$G$405="")+(職員マスタ!$G$6:$G$405&lt;=EOMONTH($AO975,0)))&gt;0)*(((職員マスタ!$H$6:$H$405="")+(職員マスタ!$H$6:$H$405&gt;=$AO975))&gt;0)*(ROW(職員マスタ!$A$6:$A$405)-5))),IFERROR(MATCH($B975,職員マスタ!$A$6:$A$405,0),"")))</f>
        <v/>
      </c>
      <c r="AO975" s="16">
        <f>IF(OR($B975="",$C975="",$D975=""),"",DATE($C975+2018,$D975,1))</f>
        <v/>
      </c>
    </row>
    <row r="976">
      <c r="A976" s="11" t="n"/>
      <c r="B976" s="12" t="n"/>
      <c r="C976" s="12" t="n"/>
      <c r="D976" s="12" t="n"/>
      <c r="E976" s="13" t="n"/>
      <c r="F976" s="12" t="n"/>
      <c r="G976" s="13" t="n"/>
      <c r="H976" s="12" t="n"/>
      <c r="I976" s="12" t="n"/>
      <c r="J976" s="12" t="n"/>
      <c r="K976" s="12" t="n"/>
      <c r="L976" s="11" t="n"/>
      <c r="M976" s="11" t="n"/>
      <c r="N976" s="11" t="n"/>
      <c r="O976" s="11" t="n"/>
      <c r="P976" s="12" t="n"/>
      <c r="Q976" s="11" t="n"/>
      <c r="R976" s="12" t="n"/>
      <c r="S976" s="11" t="n"/>
      <c r="T976" s="12" t="n"/>
      <c r="U976" s="12" t="n"/>
      <c r="V976" s="14">
        <f>IF($AN976="",IF($B976="","",$H976),IF(INDEX(職員マスタ!$B$6:$B$405,$AN976)="",$H976,INDEX(職員マスタ!$B$6:$B$405,$AN976)))</f>
        <v/>
      </c>
      <c r="W976" s="14">
        <f>IF($AN976="",IF($B976="","",$R976),IF(INDEX(職員マスタ!$C$6:$C$405,$AN976)="",$R976,INDEX(職員マスタ!$C$6:$C$405,$AN976)))</f>
        <v/>
      </c>
      <c r="X976" s="14">
        <f>IF($AO976="","","R"&amp;$C976&amp;"."&amp;$D976)</f>
        <v/>
      </c>
      <c r="Y976" s="15">
        <f>IF($AN976="","",IF(INDEX(職員マスタ!$K$6:$K$405,$AN976)="","",INDEX(職員マスタ!$K$6:$K$405,$AN976)))</f>
        <v/>
      </c>
      <c r="Z976" s="14">
        <f>IF(OR($E976="",$Y976=""),"",IF($E976&gt;=$Y976,"×",IF($E976&gt;=$Y976*設定!$C$5,"△","○")))</f>
        <v/>
      </c>
      <c r="AA976" s="15">
        <f>IF($Z976="","",IF($Z976="×",0,IF($Z976="○",ROUNDDOWN($E976*設定!$C$4,0),ROUNDDOWN($E976*ROUND((9*$Y976-9*$E976)/(10*$E976),4),0))))</f>
        <v/>
      </c>
      <c r="AB976" s="13" t="n"/>
      <c r="AC976" s="15">
        <f>IF($B976="","",IF($AB976&lt;&gt;"",$AB976,IF($AA976="","",IF($AA976&lt;=設定!$C$3,0,$AA976))))</f>
        <v/>
      </c>
      <c r="AD976" s="14">
        <f>IF($B976="","",IF(AND($AE976&lt;&gt;"",$AG976="",$AJ976=""),"保留中",IF($AJ976&lt;&gt;"",IF(N($AC976)&gt;0,"支給済","不支給"),IF($AC976="","要確認",IF($AC976=0,"不支給","未処理")))))</f>
        <v/>
      </c>
      <c r="AE976" s="12" t="n"/>
      <c r="AF976" s="11" t="n"/>
      <c r="AG976" s="11" t="n"/>
      <c r="AH976" s="11" t="n"/>
      <c r="AI976" s="14">
        <f>IF(AND($AD976="保留中",$AF976&lt;&gt;""),TODAY()-$AF976,"")</f>
        <v/>
      </c>
      <c r="AJ976" s="12" t="n"/>
      <c r="AK976" s="14">
        <f>IF($B976="","",IF($AO976="","対象年月が未入力／","")&amp;IF($B976="","",IF($AN976="","職員マスタに未登録の職員番号／",IF($Y976="","標準報酬月額が未登録／","")&amp;IF(AND($AO976&lt;&gt;"",OR(AND(INDEX(職員マスタ!$G$6:$G$405,$AN976)&lt;&gt;"",INDEX(職員マスタ!$G$6:$G$405,$AN976)&gt;EOMONTH($AO976,0)),AND(INDEX(職員マスタ!$H$6:$H$405,$AN976)&lt;&gt;"",INDEX(職員マスタ!$H$6:$H$405,$AN976)&lt;$AO976))),"対象月が時短期間外／","")&amp;IF(AND(INDEX(職員マスタ!$F$6:$F$405,$AN976)&lt;&gt;"",$AO976&lt;&gt;"",INDEX(職員マスタ!$F$6:$F$405,$AN976)&lt;$AO976),"対象月に子が2歳到達済／","")&amp;IF(AND($H976&lt;&gt;"",INDEX(職員マスタ!$B$6:$B$405,$AN976)&lt;&gt;"",SUBSTITUTE(SUBSTITUTE($H976," ","")," ","")&lt;&gt;SUBSTITUTE(SUBSTITUTE(INDEX(職員マスタ!$B$6:$B$405,$AN976)," ","")," ","")),"氏名がマスタと相違／","")&amp;IF(AND($Q976&lt;&gt;"",INDEX(職員マスタ!$E$6:$E$405,$AN976)&lt;&gt;"",$Q976&lt;&gt;INDEX(職員マスタ!$E$6:$E$405,$AN976)),"子の生年月日がマスタと相違／","")&amp;IF(AND($L976&lt;&gt;"",INDEX(職員マスタ!$G$6:$G$405,$AN976)&lt;&gt;"",$L976&lt;&gt;INDEX(職員マスタ!$G$6:$G$405,$AN976)),"時短開始日がマスタと相違／","")&amp;IF(AND($M976&lt;&gt;"",INDEX(職員マスタ!$H$6:$H$405,$AN976)&lt;&gt;"",$M976&lt;&gt;INDEX(職員マスタ!$H$6:$H$405,$AN976)),"時短終了日がマスタと相違／","")))&amp;IF(AND($B976&lt;&gt;"",$E976=""),"報酬額が未入力／","")&amp;IF(N($U976)&gt;0,"申請書に入力エラーが残っています／","")&amp;IF(AND($B976&lt;&gt;"",$AO976&lt;&gt;""),IF(COUNTIFS($B$6:$B$3005,$B976,$C$6:$C$3005,$C976,$D$6:$D$3005,$D976)&gt;1,"同じ月の請求が重複しています／",""),"")&amp;IF(AND(N($E976)&gt;0,$Z976&lt;&gt;"",$Z976&lt;&gt;"×",$AC976=0,$AB976=""),"計算額が下限以下のため不支給／",""))</f>
        <v/>
      </c>
      <c r="AL976" s="12" t="n"/>
      <c r="AM976" s="14">
        <f>IF($AD976="保留中",COUNTIF($AD$6:$AD976,"保留中"),"")</f>
        <v/>
      </c>
      <c r="AN976" s="14">
        <f>IF($AO976="","",IF(SUMPRODUCT(MAX((職員マスタ!$A$6:$A$405=$B976)*(((職員マスタ!$G$6:$G$405="")+(職員マスタ!$G$6:$G$405&lt;=EOMONTH($AO976,0)))&gt;0)*(((職員マスタ!$H$6:$H$405="")+(職員マスタ!$H$6:$H$405&gt;=$AO976))&gt;0)*(ROW(職員マスタ!$A$6:$A$405)-5)))&gt;0,SUMPRODUCT(MAX((職員マスタ!$A$6:$A$405=$B976)*(((職員マスタ!$G$6:$G$405="")+(職員マスタ!$G$6:$G$405&lt;=EOMONTH($AO976,0)))&gt;0)*(((職員マスタ!$H$6:$H$405="")+(職員マスタ!$H$6:$H$405&gt;=$AO976))&gt;0)*(ROW(職員マスタ!$A$6:$A$405)-5))),IFERROR(MATCH($B976,職員マスタ!$A$6:$A$405,0),"")))</f>
        <v/>
      </c>
      <c r="AO976" s="16">
        <f>IF(OR($B976="",$C976="",$D976=""),"",DATE($C976+2018,$D976,1))</f>
        <v/>
      </c>
    </row>
    <row r="977">
      <c r="A977" s="11" t="n"/>
      <c r="B977" s="12" t="n"/>
      <c r="C977" s="12" t="n"/>
      <c r="D977" s="12" t="n"/>
      <c r="E977" s="13" t="n"/>
      <c r="F977" s="12" t="n"/>
      <c r="G977" s="13" t="n"/>
      <c r="H977" s="12" t="n"/>
      <c r="I977" s="12" t="n"/>
      <c r="J977" s="12" t="n"/>
      <c r="K977" s="12" t="n"/>
      <c r="L977" s="11" t="n"/>
      <c r="M977" s="11" t="n"/>
      <c r="N977" s="11" t="n"/>
      <c r="O977" s="11" t="n"/>
      <c r="P977" s="12" t="n"/>
      <c r="Q977" s="11" t="n"/>
      <c r="R977" s="12" t="n"/>
      <c r="S977" s="11" t="n"/>
      <c r="T977" s="12" t="n"/>
      <c r="U977" s="12" t="n"/>
      <c r="V977" s="14">
        <f>IF($AN977="",IF($B977="","",$H977),IF(INDEX(職員マスタ!$B$6:$B$405,$AN977)="",$H977,INDEX(職員マスタ!$B$6:$B$405,$AN977)))</f>
        <v/>
      </c>
      <c r="W977" s="14">
        <f>IF($AN977="",IF($B977="","",$R977),IF(INDEX(職員マスタ!$C$6:$C$405,$AN977)="",$R977,INDEX(職員マスタ!$C$6:$C$405,$AN977)))</f>
        <v/>
      </c>
      <c r="X977" s="14">
        <f>IF($AO977="","","R"&amp;$C977&amp;"."&amp;$D977)</f>
        <v/>
      </c>
      <c r="Y977" s="15">
        <f>IF($AN977="","",IF(INDEX(職員マスタ!$K$6:$K$405,$AN977)="","",INDEX(職員マスタ!$K$6:$K$405,$AN977)))</f>
        <v/>
      </c>
      <c r="Z977" s="14">
        <f>IF(OR($E977="",$Y977=""),"",IF($E977&gt;=$Y977,"×",IF($E977&gt;=$Y977*設定!$C$5,"△","○")))</f>
        <v/>
      </c>
      <c r="AA977" s="15">
        <f>IF($Z977="","",IF($Z977="×",0,IF($Z977="○",ROUNDDOWN($E977*設定!$C$4,0),ROUNDDOWN($E977*ROUND((9*$Y977-9*$E977)/(10*$E977),4),0))))</f>
        <v/>
      </c>
      <c r="AB977" s="13" t="n"/>
      <c r="AC977" s="15">
        <f>IF($B977="","",IF($AB977&lt;&gt;"",$AB977,IF($AA977="","",IF($AA977&lt;=設定!$C$3,0,$AA977))))</f>
        <v/>
      </c>
      <c r="AD977" s="14">
        <f>IF($B977="","",IF(AND($AE977&lt;&gt;"",$AG977="",$AJ977=""),"保留中",IF($AJ977&lt;&gt;"",IF(N($AC977)&gt;0,"支給済","不支給"),IF($AC977="","要確認",IF($AC977=0,"不支給","未処理")))))</f>
        <v/>
      </c>
      <c r="AE977" s="12" t="n"/>
      <c r="AF977" s="11" t="n"/>
      <c r="AG977" s="11" t="n"/>
      <c r="AH977" s="11" t="n"/>
      <c r="AI977" s="14">
        <f>IF(AND($AD977="保留中",$AF977&lt;&gt;""),TODAY()-$AF977,"")</f>
        <v/>
      </c>
      <c r="AJ977" s="12" t="n"/>
      <c r="AK977" s="14">
        <f>IF($B977="","",IF($AO977="","対象年月が未入力／","")&amp;IF($B977="","",IF($AN977="","職員マスタに未登録の職員番号／",IF($Y977="","標準報酬月額が未登録／","")&amp;IF(AND($AO977&lt;&gt;"",OR(AND(INDEX(職員マスタ!$G$6:$G$405,$AN977)&lt;&gt;"",INDEX(職員マスタ!$G$6:$G$405,$AN977)&gt;EOMONTH($AO977,0)),AND(INDEX(職員マスタ!$H$6:$H$405,$AN977)&lt;&gt;"",INDEX(職員マスタ!$H$6:$H$405,$AN977)&lt;$AO977))),"対象月が時短期間外／","")&amp;IF(AND(INDEX(職員マスタ!$F$6:$F$405,$AN977)&lt;&gt;"",$AO977&lt;&gt;"",INDEX(職員マスタ!$F$6:$F$405,$AN977)&lt;$AO977),"対象月に子が2歳到達済／","")&amp;IF(AND($H977&lt;&gt;"",INDEX(職員マスタ!$B$6:$B$405,$AN977)&lt;&gt;"",SUBSTITUTE(SUBSTITUTE($H977," ","")," ","")&lt;&gt;SUBSTITUTE(SUBSTITUTE(INDEX(職員マスタ!$B$6:$B$405,$AN977)," ","")," ","")),"氏名がマスタと相違／","")&amp;IF(AND($Q977&lt;&gt;"",INDEX(職員マスタ!$E$6:$E$405,$AN977)&lt;&gt;"",$Q977&lt;&gt;INDEX(職員マスタ!$E$6:$E$405,$AN977)),"子の生年月日がマスタと相違／","")&amp;IF(AND($L977&lt;&gt;"",INDEX(職員マスタ!$G$6:$G$405,$AN977)&lt;&gt;"",$L977&lt;&gt;INDEX(職員マスタ!$G$6:$G$405,$AN977)),"時短開始日がマスタと相違／","")&amp;IF(AND($M977&lt;&gt;"",INDEX(職員マスタ!$H$6:$H$405,$AN977)&lt;&gt;"",$M977&lt;&gt;INDEX(職員マスタ!$H$6:$H$405,$AN977)),"時短終了日がマスタと相違／","")))&amp;IF(AND($B977&lt;&gt;"",$E977=""),"報酬額が未入力／","")&amp;IF(N($U977)&gt;0,"申請書に入力エラーが残っています／","")&amp;IF(AND($B977&lt;&gt;"",$AO977&lt;&gt;""),IF(COUNTIFS($B$6:$B$3005,$B977,$C$6:$C$3005,$C977,$D$6:$D$3005,$D977)&gt;1,"同じ月の請求が重複しています／",""),"")&amp;IF(AND(N($E977)&gt;0,$Z977&lt;&gt;"",$Z977&lt;&gt;"×",$AC977=0,$AB977=""),"計算額が下限以下のため不支給／",""))</f>
        <v/>
      </c>
      <c r="AL977" s="12" t="n"/>
      <c r="AM977" s="14">
        <f>IF($AD977="保留中",COUNTIF($AD$6:$AD977,"保留中"),"")</f>
        <v/>
      </c>
      <c r="AN977" s="14">
        <f>IF($AO977="","",IF(SUMPRODUCT(MAX((職員マスタ!$A$6:$A$405=$B977)*(((職員マスタ!$G$6:$G$405="")+(職員マスタ!$G$6:$G$405&lt;=EOMONTH($AO977,0)))&gt;0)*(((職員マスタ!$H$6:$H$405="")+(職員マスタ!$H$6:$H$405&gt;=$AO977))&gt;0)*(ROW(職員マスタ!$A$6:$A$405)-5)))&gt;0,SUMPRODUCT(MAX((職員マスタ!$A$6:$A$405=$B977)*(((職員マスタ!$G$6:$G$405="")+(職員マスタ!$G$6:$G$405&lt;=EOMONTH($AO977,0)))&gt;0)*(((職員マスタ!$H$6:$H$405="")+(職員マスタ!$H$6:$H$405&gt;=$AO977))&gt;0)*(ROW(職員マスタ!$A$6:$A$405)-5))),IFERROR(MATCH($B977,職員マスタ!$A$6:$A$405,0),"")))</f>
        <v/>
      </c>
      <c r="AO977" s="16">
        <f>IF(OR($B977="",$C977="",$D977=""),"",DATE($C977+2018,$D977,1))</f>
        <v/>
      </c>
    </row>
    <row r="978">
      <c r="A978" s="11" t="n"/>
      <c r="B978" s="12" t="n"/>
      <c r="C978" s="12" t="n"/>
      <c r="D978" s="12" t="n"/>
      <c r="E978" s="13" t="n"/>
      <c r="F978" s="12" t="n"/>
      <c r="G978" s="13" t="n"/>
      <c r="H978" s="12" t="n"/>
      <c r="I978" s="12" t="n"/>
      <c r="J978" s="12" t="n"/>
      <c r="K978" s="12" t="n"/>
      <c r="L978" s="11" t="n"/>
      <c r="M978" s="11" t="n"/>
      <c r="N978" s="11" t="n"/>
      <c r="O978" s="11" t="n"/>
      <c r="P978" s="12" t="n"/>
      <c r="Q978" s="11" t="n"/>
      <c r="R978" s="12" t="n"/>
      <c r="S978" s="11" t="n"/>
      <c r="T978" s="12" t="n"/>
      <c r="U978" s="12" t="n"/>
      <c r="V978" s="14">
        <f>IF($AN978="",IF($B978="","",$H978),IF(INDEX(職員マスタ!$B$6:$B$405,$AN978)="",$H978,INDEX(職員マスタ!$B$6:$B$405,$AN978)))</f>
        <v/>
      </c>
      <c r="W978" s="14">
        <f>IF($AN978="",IF($B978="","",$R978),IF(INDEX(職員マスタ!$C$6:$C$405,$AN978)="",$R978,INDEX(職員マスタ!$C$6:$C$405,$AN978)))</f>
        <v/>
      </c>
      <c r="X978" s="14">
        <f>IF($AO978="","","R"&amp;$C978&amp;"."&amp;$D978)</f>
        <v/>
      </c>
      <c r="Y978" s="15">
        <f>IF($AN978="","",IF(INDEX(職員マスタ!$K$6:$K$405,$AN978)="","",INDEX(職員マスタ!$K$6:$K$405,$AN978)))</f>
        <v/>
      </c>
      <c r="Z978" s="14">
        <f>IF(OR($E978="",$Y978=""),"",IF($E978&gt;=$Y978,"×",IF($E978&gt;=$Y978*設定!$C$5,"△","○")))</f>
        <v/>
      </c>
      <c r="AA978" s="15">
        <f>IF($Z978="","",IF($Z978="×",0,IF($Z978="○",ROUNDDOWN($E978*設定!$C$4,0),ROUNDDOWN($E978*ROUND((9*$Y978-9*$E978)/(10*$E978),4),0))))</f>
        <v/>
      </c>
      <c r="AB978" s="13" t="n"/>
      <c r="AC978" s="15">
        <f>IF($B978="","",IF($AB978&lt;&gt;"",$AB978,IF($AA978="","",IF($AA978&lt;=設定!$C$3,0,$AA978))))</f>
        <v/>
      </c>
      <c r="AD978" s="14">
        <f>IF($B978="","",IF(AND($AE978&lt;&gt;"",$AG978="",$AJ978=""),"保留中",IF($AJ978&lt;&gt;"",IF(N($AC978)&gt;0,"支給済","不支給"),IF($AC978="","要確認",IF($AC978=0,"不支給","未処理")))))</f>
        <v/>
      </c>
      <c r="AE978" s="12" t="n"/>
      <c r="AF978" s="11" t="n"/>
      <c r="AG978" s="11" t="n"/>
      <c r="AH978" s="11" t="n"/>
      <c r="AI978" s="14">
        <f>IF(AND($AD978="保留中",$AF978&lt;&gt;""),TODAY()-$AF978,"")</f>
        <v/>
      </c>
      <c r="AJ978" s="12" t="n"/>
      <c r="AK978" s="14">
        <f>IF($B978="","",IF($AO978="","対象年月が未入力／","")&amp;IF($B978="","",IF($AN978="","職員マスタに未登録の職員番号／",IF($Y978="","標準報酬月額が未登録／","")&amp;IF(AND($AO978&lt;&gt;"",OR(AND(INDEX(職員マスタ!$G$6:$G$405,$AN978)&lt;&gt;"",INDEX(職員マスタ!$G$6:$G$405,$AN978)&gt;EOMONTH($AO978,0)),AND(INDEX(職員マスタ!$H$6:$H$405,$AN978)&lt;&gt;"",INDEX(職員マスタ!$H$6:$H$405,$AN978)&lt;$AO978))),"対象月が時短期間外／","")&amp;IF(AND(INDEX(職員マスタ!$F$6:$F$405,$AN978)&lt;&gt;"",$AO978&lt;&gt;"",INDEX(職員マスタ!$F$6:$F$405,$AN978)&lt;$AO978),"対象月に子が2歳到達済／","")&amp;IF(AND($H978&lt;&gt;"",INDEX(職員マスタ!$B$6:$B$405,$AN978)&lt;&gt;"",SUBSTITUTE(SUBSTITUTE($H978," ","")," ","")&lt;&gt;SUBSTITUTE(SUBSTITUTE(INDEX(職員マスタ!$B$6:$B$405,$AN978)," ","")," ","")),"氏名がマスタと相違／","")&amp;IF(AND($Q978&lt;&gt;"",INDEX(職員マスタ!$E$6:$E$405,$AN978)&lt;&gt;"",$Q978&lt;&gt;INDEX(職員マスタ!$E$6:$E$405,$AN978)),"子の生年月日がマスタと相違／","")&amp;IF(AND($L978&lt;&gt;"",INDEX(職員マスタ!$G$6:$G$405,$AN978)&lt;&gt;"",$L978&lt;&gt;INDEX(職員マスタ!$G$6:$G$405,$AN978)),"時短開始日がマスタと相違／","")&amp;IF(AND($M978&lt;&gt;"",INDEX(職員マスタ!$H$6:$H$405,$AN978)&lt;&gt;"",$M978&lt;&gt;INDEX(職員マスタ!$H$6:$H$405,$AN978)),"時短終了日がマスタと相違／","")))&amp;IF(AND($B978&lt;&gt;"",$E978=""),"報酬額が未入力／","")&amp;IF(N($U978)&gt;0,"申請書に入力エラーが残っています／","")&amp;IF(AND($B978&lt;&gt;"",$AO978&lt;&gt;""),IF(COUNTIFS($B$6:$B$3005,$B978,$C$6:$C$3005,$C978,$D$6:$D$3005,$D978)&gt;1,"同じ月の請求が重複しています／",""),"")&amp;IF(AND(N($E978)&gt;0,$Z978&lt;&gt;"",$Z978&lt;&gt;"×",$AC978=0,$AB978=""),"計算額が下限以下のため不支給／",""))</f>
        <v/>
      </c>
      <c r="AL978" s="12" t="n"/>
      <c r="AM978" s="14">
        <f>IF($AD978="保留中",COUNTIF($AD$6:$AD978,"保留中"),"")</f>
        <v/>
      </c>
      <c r="AN978" s="14">
        <f>IF($AO978="","",IF(SUMPRODUCT(MAX((職員マスタ!$A$6:$A$405=$B978)*(((職員マスタ!$G$6:$G$405="")+(職員マスタ!$G$6:$G$405&lt;=EOMONTH($AO978,0)))&gt;0)*(((職員マスタ!$H$6:$H$405="")+(職員マスタ!$H$6:$H$405&gt;=$AO978))&gt;0)*(ROW(職員マスタ!$A$6:$A$405)-5)))&gt;0,SUMPRODUCT(MAX((職員マスタ!$A$6:$A$405=$B978)*(((職員マスタ!$G$6:$G$405="")+(職員マスタ!$G$6:$G$405&lt;=EOMONTH($AO978,0)))&gt;0)*(((職員マスタ!$H$6:$H$405="")+(職員マスタ!$H$6:$H$405&gt;=$AO978))&gt;0)*(ROW(職員マスタ!$A$6:$A$405)-5))),IFERROR(MATCH($B978,職員マスタ!$A$6:$A$405,0),"")))</f>
        <v/>
      </c>
      <c r="AO978" s="16">
        <f>IF(OR($B978="",$C978="",$D978=""),"",DATE($C978+2018,$D978,1))</f>
        <v/>
      </c>
    </row>
    <row r="979">
      <c r="A979" s="11" t="n"/>
      <c r="B979" s="12" t="n"/>
      <c r="C979" s="12" t="n"/>
      <c r="D979" s="12" t="n"/>
      <c r="E979" s="13" t="n"/>
      <c r="F979" s="12" t="n"/>
      <c r="G979" s="13" t="n"/>
      <c r="H979" s="12" t="n"/>
      <c r="I979" s="12" t="n"/>
      <c r="J979" s="12" t="n"/>
      <c r="K979" s="12" t="n"/>
      <c r="L979" s="11" t="n"/>
      <c r="M979" s="11" t="n"/>
      <c r="N979" s="11" t="n"/>
      <c r="O979" s="11" t="n"/>
      <c r="P979" s="12" t="n"/>
      <c r="Q979" s="11" t="n"/>
      <c r="R979" s="12" t="n"/>
      <c r="S979" s="11" t="n"/>
      <c r="T979" s="12" t="n"/>
      <c r="U979" s="12" t="n"/>
      <c r="V979" s="14">
        <f>IF($AN979="",IF($B979="","",$H979),IF(INDEX(職員マスタ!$B$6:$B$405,$AN979)="",$H979,INDEX(職員マスタ!$B$6:$B$405,$AN979)))</f>
        <v/>
      </c>
      <c r="W979" s="14">
        <f>IF($AN979="",IF($B979="","",$R979),IF(INDEX(職員マスタ!$C$6:$C$405,$AN979)="",$R979,INDEX(職員マスタ!$C$6:$C$405,$AN979)))</f>
        <v/>
      </c>
      <c r="X979" s="14">
        <f>IF($AO979="","","R"&amp;$C979&amp;"."&amp;$D979)</f>
        <v/>
      </c>
      <c r="Y979" s="15">
        <f>IF($AN979="","",IF(INDEX(職員マスタ!$K$6:$K$405,$AN979)="","",INDEX(職員マスタ!$K$6:$K$405,$AN979)))</f>
        <v/>
      </c>
      <c r="Z979" s="14">
        <f>IF(OR($E979="",$Y979=""),"",IF($E979&gt;=$Y979,"×",IF($E979&gt;=$Y979*設定!$C$5,"△","○")))</f>
        <v/>
      </c>
      <c r="AA979" s="15">
        <f>IF($Z979="","",IF($Z979="×",0,IF($Z979="○",ROUNDDOWN($E979*設定!$C$4,0),ROUNDDOWN($E979*ROUND((9*$Y979-9*$E979)/(10*$E979),4),0))))</f>
        <v/>
      </c>
      <c r="AB979" s="13" t="n"/>
      <c r="AC979" s="15">
        <f>IF($B979="","",IF($AB979&lt;&gt;"",$AB979,IF($AA979="","",IF($AA979&lt;=設定!$C$3,0,$AA979))))</f>
        <v/>
      </c>
      <c r="AD979" s="14">
        <f>IF($B979="","",IF(AND($AE979&lt;&gt;"",$AG979="",$AJ979=""),"保留中",IF($AJ979&lt;&gt;"",IF(N($AC979)&gt;0,"支給済","不支給"),IF($AC979="","要確認",IF($AC979=0,"不支給","未処理")))))</f>
        <v/>
      </c>
      <c r="AE979" s="12" t="n"/>
      <c r="AF979" s="11" t="n"/>
      <c r="AG979" s="11" t="n"/>
      <c r="AH979" s="11" t="n"/>
      <c r="AI979" s="14">
        <f>IF(AND($AD979="保留中",$AF979&lt;&gt;""),TODAY()-$AF979,"")</f>
        <v/>
      </c>
      <c r="AJ979" s="12" t="n"/>
      <c r="AK979" s="14">
        <f>IF($B979="","",IF($AO979="","対象年月が未入力／","")&amp;IF($B979="","",IF($AN979="","職員マスタに未登録の職員番号／",IF($Y979="","標準報酬月額が未登録／","")&amp;IF(AND($AO979&lt;&gt;"",OR(AND(INDEX(職員マスタ!$G$6:$G$405,$AN979)&lt;&gt;"",INDEX(職員マスタ!$G$6:$G$405,$AN979)&gt;EOMONTH($AO979,0)),AND(INDEX(職員マスタ!$H$6:$H$405,$AN979)&lt;&gt;"",INDEX(職員マスタ!$H$6:$H$405,$AN979)&lt;$AO979))),"対象月が時短期間外／","")&amp;IF(AND(INDEX(職員マスタ!$F$6:$F$405,$AN979)&lt;&gt;"",$AO979&lt;&gt;"",INDEX(職員マスタ!$F$6:$F$405,$AN979)&lt;$AO979),"対象月に子が2歳到達済／","")&amp;IF(AND($H979&lt;&gt;"",INDEX(職員マスタ!$B$6:$B$405,$AN979)&lt;&gt;"",SUBSTITUTE(SUBSTITUTE($H979," ","")," ","")&lt;&gt;SUBSTITUTE(SUBSTITUTE(INDEX(職員マスタ!$B$6:$B$405,$AN979)," ","")," ","")),"氏名がマスタと相違／","")&amp;IF(AND($Q979&lt;&gt;"",INDEX(職員マスタ!$E$6:$E$405,$AN979)&lt;&gt;"",$Q979&lt;&gt;INDEX(職員マスタ!$E$6:$E$405,$AN979)),"子の生年月日がマスタと相違／","")&amp;IF(AND($L979&lt;&gt;"",INDEX(職員マスタ!$G$6:$G$405,$AN979)&lt;&gt;"",$L979&lt;&gt;INDEX(職員マスタ!$G$6:$G$405,$AN979)),"時短開始日がマスタと相違／","")&amp;IF(AND($M979&lt;&gt;"",INDEX(職員マスタ!$H$6:$H$405,$AN979)&lt;&gt;"",$M979&lt;&gt;INDEX(職員マスタ!$H$6:$H$405,$AN979)),"時短終了日がマスタと相違／","")))&amp;IF(AND($B979&lt;&gt;"",$E979=""),"報酬額が未入力／","")&amp;IF(N($U979)&gt;0,"申請書に入力エラーが残っています／","")&amp;IF(AND($B979&lt;&gt;"",$AO979&lt;&gt;""),IF(COUNTIFS($B$6:$B$3005,$B979,$C$6:$C$3005,$C979,$D$6:$D$3005,$D979)&gt;1,"同じ月の請求が重複しています／",""),"")&amp;IF(AND(N($E979)&gt;0,$Z979&lt;&gt;"",$Z979&lt;&gt;"×",$AC979=0,$AB979=""),"計算額が下限以下のため不支給／",""))</f>
        <v/>
      </c>
      <c r="AL979" s="12" t="n"/>
      <c r="AM979" s="14">
        <f>IF($AD979="保留中",COUNTIF($AD$6:$AD979,"保留中"),"")</f>
        <v/>
      </c>
      <c r="AN979" s="14">
        <f>IF($AO979="","",IF(SUMPRODUCT(MAX((職員マスタ!$A$6:$A$405=$B979)*(((職員マスタ!$G$6:$G$405="")+(職員マスタ!$G$6:$G$405&lt;=EOMONTH($AO979,0)))&gt;0)*(((職員マスタ!$H$6:$H$405="")+(職員マスタ!$H$6:$H$405&gt;=$AO979))&gt;0)*(ROW(職員マスタ!$A$6:$A$405)-5)))&gt;0,SUMPRODUCT(MAX((職員マスタ!$A$6:$A$405=$B979)*(((職員マスタ!$G$6:$G$405="")+(職員マスタ!$G$6:$G$405&lt;=EOMONTH($AO979,0)))&gt;0)*(((職員マスタ!$H$6:$H$405="")+(職員マスタ!$H$6:$H$405&gt;=$AO979))&gt;0)*(ROW(職員マスタ!$A$6:$A$405)-5))),IFERROR(MATCH($B979,職員マスタ!$A$6:$A$405,0),"")))</f>
        <v/>
      </c>
      <c r="AO979" s="16">
        <f>IF(OR($B979="",$C979="",$D979=""),"",DATE($C979+2018,$D979,1))</f>
        <v/>
      </c>
    </row>
    <row r="980">
      <c r="A980" s="11" t="n"/>
      <c r="B980" s="12" t="n"/>
      <c r="C980" s="12" t="n"/>
      <c r="D980" s="12" t="n"/>
      <c r="E980" s="13" t="n"/>
      <c r="F980" s="12" t="n"/>
      <c r="G980" s="13" t="n"/>
      <c r="H980" s="12" t="n"/>
      <c r="I980" s="12" t="n"/>
      <c r="J980" s="12" t="n"/>
      <c r="K980" s="12" t="n"/>
      <c r="L980" s="11" t="n"/>
      <c r="M980" s="11" t="n"/>
      <c r="N980" s="11" t="n"/>
      <c r="O980" s="11" t="n"/>
      <c r="P980" s="12" t="n"/>
      <c r="Q980" s="11" t="n"/>
      <c r="R980" s="12" t="n"/>
      <c r="S980" s="11" t="n"/>
      <c r="T980" s="12" t="n"/>
      <c r="U980" s="12" t="n"/>
      <c r="V980" s="14">
        <f>IF($AN980="",IF($B980="","",$H980),IF(INDEX(職員マスタ!$B$6:$B$405,$AN980)="",$H980,INDEX(職員マスタ!$B$6:$B$405,$AN980)))</f>
        <v/>
      </c>
      <c r="W980" s="14">
        <f>IF($AN980="",IF($B980="","",$R980),IF(INDEX(職員マスタ!$C$6:$C$405,$AN980)="",$R980,INDEX(職員マスタ!$C$6:$C$405,$AN980)))</f>
        <v/>
      </c>
      <c r="X980" s="14">
        <f>IF($AO980="","","R"&amp;$C980&amp;"."&amp;$D980)</f>
        <v/>
      </c>
      <c r="Y980" s="15">
        <f>IF($AN980="","",IF(INDEX(職員マスタ!$K$6:$K$405,$AN980)="","",INDEX(職員マスタ!$K$6:$K$405,$AN980)))</f>
        <v/>
      </c>
      <c r="Z980" s="14">
        <f>IF(OR($E980="",$Y980=""),"",IF($E980&gt;=$Y980,"×",IF($E980&gt;=$Y980*設定!$C$5,"△","○")))</f>
        <v/>
      </c>
      <c r="AA980" s="15">
        <f>IF($Z980="","",IF($Z980="×",0,IF($Z980="○",ROUNDDOWN($E980*設定!$C$4,0),ROUNDDOWN($E980*ROUND((9*$Y980-9*$E980)/(10*$E980),4),0))))</f>
        <v/>
      </c>
      <c r="AB980" s="13" t="n"/>
      <c r="AC980" s="15">
        <f>IF($B980="","",IF($AB980&lt;&gt;"",$AB980,IF($AA980="","",IF($AA980&lt;=設定!$C$3,0,$AA980))))</f>
        <v/>
      </c>
      <c r="AD980" s="14">
        <f>IF($B980="","",IF(AND($AE980&lt;&gt;"",$AG980="",$AJ980=""),"保留中",IF($AJ980&lt;&gt;"",IF(N($AC980)&gt;0,"支給済","不支給"),IF($AC980="","要確認",IF($AC980=0,"不支給","未処理")))))</f>
        <v/>
      </c>
      <c r="AE980" s="12" t="n"/>
      <c r="AF980" s="11" t="n"/>
      <c r="AG980" s="11" t="n"/>
      <c r="AH980" s="11" t="n"/>
      <c r="AI980" s="14">
        <f>IF(AND($AD980="保留中",$AF980&lt;&gt;""),TODAY()-$AF980,"")</f>
        <v/>
      </c>
      <c r="AJ980" s="12" t="n"/>
      <c r="AK980" s="14">
        <f>IF($B980="","",IF($AO980="","対象年月が未入力／","")&amp;IF($B980="","",IF($AN980="","職員マスタに未登録の職員番号／",IF($Y980="","標準報酬月額が未登録／","")&amp;IF(AND($AO980&lt;&gt;"",OR(AND(INDEX(職員マスタ!$G$6:$G$405,$AN980)&lt;&gt;"",INDEX(職員マスタ!$G$6:$G$405,$AN980)&gt;EOMONTH($AO980,0)),AND(INDEX(職員マスタ!$H$6:$H$405,$AN980)&lt;&gt;"",INDEX(職員マスタ!$H$6:$H$405,$AN980)&lt;$AO980))),"対象月が時短期間外／","")&amp;IF(AND(INDEX(職員マスタ!$F$6:$F$405,$AN980)&lt;&gt;"",$AO980&lt;&gt;"",INDEX(職員マスタ!$F$6:$F$405,$AN980)&lt;$AO980),"対象月に子が2歳到達済／","")&amp;IF(AND($H980&lt;&gt;"",INDEX(職員マスタ!$B$6:$B$405,$AN980)&lt;&gt;"",SUBSTITUTE(SUBSTITUTE($H980," ","")," ","")&lt;&gt;SUBSTITUTE(SUBSTITUTE(INDEX(職員マスタ!$B$6:$B$405,$AN980)," ","")," ","")),"氏名がマスタと相違／","")&amp;IF(AND($Q980&lt;&gt;"",INDEX(職員マスタ!$E$6:$E$405,$AN980)&lt;&gt;"",$Q980&lt;&gt;INDEX(職員マスタ!$E$6:$E$405,$AN980)),"子の生年月日がマスタと相違／","")&amp;IF(AND($L980&lt;&gt;"",INDEX(職員マスタ!$G$6:$G$405,$AN980)&lt;&gt;"",$L980&lt;&gt;INDEX(職員マスタ!$G$6:$G$405,$AN980)),"時短開始日がマスタと相違／","")&amp;IF(AND($M980&lt;&gt;"",INDEX(職員マスタ!$H$6:$H$405,$AN980)&lt;&gt;"",$M980&lt;&gt;INDEX(職員マスタ!$H$6:$H$405,$AN980)),"時短終了日がマスタと相違／","")))&amp;IF(AND($B980&lt;&gt;"",$E980=""),"報酬額が未入力／","")&amp;IF(N($U980)&gt;0,"申請書に入力エラーが残っています／","")&amp;IF(AND($B980&lt;&gt;"",$AO980&lt;&gt;""),IF(COUNTIFS($B$6:$B$3005,$B980,$C$6:$C$3005,$C980,$D$6:$D$3005,$D980)&gt;1,"同じ月の請求が重複しています／",""),"")&amp;IF(AND(N($E980)&gt;0,$Z980&lt;&gt;"",$Z980&lt;&gt;"×",$AC980=0,$AB980=""),"計算額が下限以下のため不支給／",""))</f>
        <v/>
      </c>
      <c r="AL980" s="12" t="n"/>
      <c r="AM980" s="14">
        <f>IF($AD980="保留中",COUNTIF($AD$6:$AD980,"保留中"),"")</f>
        <v/>
      </c>
      <c r="AN980" s="14">
        <f>IF($AO980="","",IF(SUMPRODUCT(MAX((職員マスタ!$A$6:$A$405=$B980)*(((職員マスタ!$G$6:$G$405="")+(職員マスタ!$G$6:$G$405&lt;=EOMONTH($AO980,0)))&gt;0)*(((職員マスタ!$H$6:$H$405="")+(職員マスタ!$H$6:$H$405&gt;=$AO980))&gt;0)*(ROW(職員マスタ!$A$6:$A$405)-5)))&gt;0,SUMPRODUCT(MAX((職員マスタ!$A$6:$A$405=$B980)*(((職員マスタ!$G$6:$G$405="")+(職員マスタ!$G$6:$G$405&lt;=EOMONTH($AO980,0)))&gt;0)*(((職員マスタ!$H$6:$H$405="")+(職員マスタ!$H$6:$H$405&gt;=$AO980))&gt;0)*(ROW(職員マスタ!$A$6:$A$405)-5))),IFERROR(MATCH($B980,職員マスタ!$A$6:$A$405,0),"")))</f>
        <v/>
      </c>
      <c r="AO980" s="16">
        <f>IF(OR($B980="",$C980="",$D980=""),"",DATE($C980+2018,$D980,1))</f>
        <v/>
      </c>
    </row>
    <row r="981">
      <c r="A981" s="11" t="n"/>
      <c r="B981" s="12" t="n"/>
      <c r="C981" s="12" t="n"/>
      <c r="D981" s="12" t="n"/>
      <c r="E981" s="13" t="n"/>
      <c r="F981" s="12" t="n"/>
      <c r="G981" s="13" t="n"/>
      <c r="H981" s="12" t="n"/>
      <c r="I981" s="12" t="n"/>
      <c r="J981" s="12" t="n"/>
      <c r="K981" s="12" t="n"/>
      <c r="L981" s="11" t="n"/>
      <c r="M981" s="11" t="n"/>
      <c r="N981" s="11" t="n"/>
      <c r="O981" s="11" t="n"/>
      <c r="P981" s="12" t="n"/>
      <c r="Q981" s="11" t="n"/>
      <c r="R981" s="12" t="n"/>
      <c r="S981" s="11" t="n"/>
      <c r="T981" s="12" t="n"/>
      <c r="U981" s="12" t="n"/>
      <c r="V981" s="14">
        <f>IF($AN981="",IF($B981="","",$H981),IF(INDEX(職員マスタ!$B$6:$B$405,$AN981)="",$H981,INDEX(職員マスタ!$B$6:$B$405,$AN981)))</f>
        <v/>
      </c>
      <c r="W981" s="14">
        <f>IF($AN981="",IF($B981="","",$R981),IF(INDEX(職員マスタ!$C$6:$C$405,$AN981)="",$R981,INDEX(職員マスタ!$C$6:$C$405,$AN981)))</f>
        <v/>
      </c>
      <c r="X981" s="14">
        <f>IF($AO981="","","R"&amp;$C981&amp;"."&amp;$D981)</f>
        <v/>
      </c>
      <c r="Y981" s="15">
        <f>IF($AN981="","",IF(INDEX(職員マスタ!$K$6:$K$405,$AN981)="","",INDEX(職員マスタ!$K$6:$K$405,$AN981)))</f>
        <v/>
      </c>
      <c r="Z981" s="14">
        <f>IF(OR($E981="",$Y981=""),"",IF($E981&gt;=$Y981,"×",IF($E981&gt;=$Y981*設定!$C$5,"△","○")))</f>
        <v/>
      </c>
      <c r="AA981" s="15">
        <f>IF($Z981="","",IF($Z981="×",0,IF($Z981="○",ROUNDDOWN($E981*設定!$C$4,0),ROUNDDOWN($E981*ROUND((9*$Y981-9*$E981)/(10*$E981),4),0))))</f>
        <v/>
      </c>
      <c r="AB981" s="13" t="n"/>
      <c r="AC981" s="15">
        <f>IF($B981="","",IF($AB981&lt;&gt;"",$AB981,IF($AA981="","",IF($AA981&lt;=設定!$C$3,0,$AA981))))</f>
        <v/>
      </c>
      <c r="AD981" s="14">
        <f>IF($B981="","",IF(AND($AE981&lt;&gt;"",$AG981="",$AJ981=""),"保留中",IF($AJ981&lt;&gt;"",IF(N($AC981)&gt;0,"支給済","不支給"),IF($AC981="","要確認",IF($AC981=0,"不支給","未処理")))))</f>
        <v/>
      </c>
      <c r="AE981" s="12" t="n"/>
      <c r="AF981" s="11" t="n"/>
      <c r="AG981" s="11" t="n"/>
      <c r="AH981" s="11" t="n"/>
      <c r="AI981" s="14">
        <f>IF(AND($AD981="保留中",$AF981&lt;&gt;""),TODAY()-$AF981,"")</f>
        <v/>
      </c>
      <c r="AJ981" s="12" t="n"/>
      <c r="AK981" s="14">
        <f>IF($B981="","",IF($AO981="","対象年月が未入力／","")&amp;IF($B981="","",IF($AN981="","職員マスタに未登録の職員番号／",IF($Y981="","標準報酬月額が未登録／","")&amp;IF(AND($AO981&lt;&gt;"",OR(AND(INDEX(職員マスタ!$G$6:$G$405,$AN981)&lt;&gt;"",INDEX(職員マスタ!$G$6:$G$405,$AN981)&gt;EOMONTH($AO981,0)),AND(INDEX(職員マスタ!$H$6:$H$405,$AN981)&lt;&gt;"",INDEX(職員マスタ!$H$6:$H$405,$AN981)&lt;$AO981))),"対象月が時短期間外／","")&amp;IF(AND(INDEX(職員マスタ!$F$6:$F$405,$AN981)&lt;&gt;"",$AO981&lt;&gt;"",INDEX(職員マスタ!$F$6:$F$405,$AN981)&lt;$AO981),"対象月に子が2歳到達済／","")&amp;IF(AND($H981&lt;&gt;"",INDEX(職員マスタ!$B$6:$B$405,$AN981)&lt;&gt;"",SUBSTITUTE(SUBSTITUTE($H981," ","")," ","")&lt;&gt;SUBSTITUTE(SUBSTITUTE(INDEX(職員マスタ!$B$6:$B$405,$AN981)," ","")," ","")),"氏名がマスタと相違／","")&amp;IF(AND($Q981&lt;&gt;"",INDEX(職員マスタ!$E$6:$E$405,$AN981)&lt;&gt;"",$Q981&lt;&gt;INDEX(職員マスタ!$E$6:$E$405,$AN981)),"子の生年月日がマスタと相違／","")&amp;IF(AND($L981&lt;&gt;"",INDEX(職員マスタ!$G$6:$G$405,$AN981)&lt;&gt;"",$L981&lt;&gt;INDEX(職員マスタ!$G$6:$G$405,$AN981)),"時短開始日がマスタと相違／","")&amp;IF(AND($M981&lt;&gt;"",INDEX(職員マスタ!$H$6:$H$405,$AN981)&lt;&gt;"",$M981&lt;&gt;INDEX(職員マスタ!$H$6:$H$405,$AN981)),"時短終了日がマスタと相違／","")))&amp;IF(AND($B981&lt;&gt;"",$E981=""),"報酬額が未入力／","")&amp;IF(N($U981)&gt;0,"申請書に入力エラーが残っています／","")&amp;IF(AND($B981&lt;&gt;"",$AO981&lt;&gt;""),IF(COUNTIFS($B$6:$B$3005,$B981,$C$6:$C$3005,$C981,$D$6:$D$3005,$D981)&gt;1,"同じ月の請求が重複しています／",""),"")&amp;IF(AND(N($E981)&gt;0,$Z981&lt;&gt;"",$Z981&lt;&gt;"×",$AC981=0,$AB981=""),"計算額が下限以下のため不支給／",""))</f>
        <v/>
      </c>
      <c r="AL981" s="12" t="n"/>
      <c r="AM981" s="14">
        <f>IF($AD981="保留中",COUNTIF($AD$6:$AD981,"保留中"),"")</f>
        <v/>
      </c>
      <c r="AN981" s="14">
        <f>IF($AO981="","",IF(SUMPRODUCT(MAX((職員マスタ!$A$6:$A$405=$B981)*(((職員マスタ!$G$6:$G$405="")+(職員マスタ!$G$6:$G$405&lt;=EOMONTH($AO981,0)))&gt;0)*(((職員マスタ!$H$6:$H$405="")+(職員マスタ!$H$6:$H$405&gt;=$AO981))&gt;0)*(ROW(職員マスタ!$A$6:$A$405)-5)))&gt;0,SUMPRODUCT(MAX((職員マスタ!$A$6:$A$405=$B981)*(((職員マスタ!$G$6:$G$405="")+(職員マスタ!$G$6:$G$405&lt;=EOMONTH($AO981,0)))&gt;0)*(((職員マスタ!$H$6:$H$405="")+(職員マスタ!$H$6:$H$405&gt;=$AO981))&gt;0)*(ROW(職員マスタ!$A$6:$A$405)-5))),IFERROR(MATCH($B981,職員マスタ!$A$6:$A$405,0),"")))</f>
        <v/>
      </c>
      <c r="AO981" s="16">
        <f>IF(OR($B981="",$C981="",$D981=""),"",DATE($C981+2018,$D981,1))</f>
        <v/>
      </c>
    </row>
    <row r="982">
      <c r="A982" s="11" t="n"/>
      <c r="B982" s="12" t="n"/>
      <c r="C982" s="12" t="n"/>
      <c r="D982" s="12" t="n"/>
      <c r="E982" s="13" t="n"/>
      <c r="F982" s="12" t="n"/>
      <c r="G982" s="13" t="n"/>
      <c r="H982" s="12" t="n"/>
      <c r="I982" s="12" t="n"/>
      <c r="J982" s="12" t="n"/>
      <c r="K982" s="12" t="n"/>
      <c r="L982" s="11" t="n"/>
      <c r="M982" s="11" t="n"/>
      <c r="N982" s="11" t="n"/>
      <c r="O982" s="11" t="n"/>
      <c r="P982" s="12" t="n"/>
      <c r="Q982" s="11" t="n"/>
      <c r="R982" s="12" t="n"/>
      <c r="S982" s="11" t="n"/>
      <c r="T982" s="12" t="n"/>
      <c r="U982" s="12" t="n"/>
      <c r="V982" s="14">
        <f>IF($AN982="",IF($B982="","",$H982),IF(INDEX(職員マスタ!$B$6:$B$405,$AN982)="",$H982,INDEX(職員マスタ!$B$6:$B$405,$AN982)))</f>
        <v/>
      </c>
      <c r="W982" s="14">
        <f>IF($AN982="",IF($B982="","",$R982),IF(INDEX(職員マスタ!$C$6:$C$405,$AN982)="",$R982,INDEX(職員マスタ!$C$6:$C$405,$AN982)))</f>
        <v/>
      </c>
      <c r="X982" s="14">
        <f>IF($AO982="","","R"&amp;$C982&amp;"."&amp;$D982)</f>
        <v/>
      </c>
      <c r="Y982" s="15">
        <f>IF($AN982="","",IF(INDEX(職員マスタ!$K$6:$K$405,$AN982)="","",INDEX(職員マスタ!$K$6:$K$405,$AN982)))</f>
        <v/>
      </c>
      <c r="Z982" s="14">
        <f>IF(OR($E982="",$Y982=""),"",IF($E982&gt;=$Y982,"×",IF($E982&gt;=$Y982*設定!$C$5,"△","○")))</f>
        <v/>
      </c>
      <c r="AA982" s="15">
        <f>IF($Z982="","",IF($Z982="×",0,IF($Z982="○",ROUNDDOWN($E982*設定!$C$4,0),ROUNDDOWN($E982*ROUND((9*$Y982-9*$E982)/(10*$E982),4),0))))</f>
        <v/>
      </c>
      <c r="AB982" s="13" t="n"/>
      <c r="AC982" s="15">
        <f>IF($B982="","",IF($AB982&lt;&gt;"",$AB982,IF($AA982="","",IF($AA982&lt;=設定!$C$3,0,$AA982))))</f>
        <v/>
      </c>
      <c r="AD982" s="14">
        <f>IF($B982="","",IF(AND($AE982&lt;&gt;"",$AG982="",$AJ982=""),"保留中",IF($AJ982&lt;&gt;"",IF(N($AC982)&gt;0,"支給済","不支給"),IF($AC982="","要確認",IF($AC982=0,"不支給","未処理")))))</f>
        <v/>
      </c>
      <c r="AE982" s="12" t="n"/>
      <c r="AF982" s="11" t="n"/>
      <c r="AG982" s="11" t="n"/>
      <c r="AH982" s="11" t="n"/>
      <c r="AI982" s="14">
        <f>IF(AND($AD982="保留中",$AF982&lt;&gt;""),TODAY()-$AF982,"")</f>
        <v/>
      </c>
      <c r="AJ982" s="12" t="n"/>
      <c r="AK982" s="14">
        <f>IF($B982="","",IF($AO982="","対象年月が未入力／","")&amp;IF($B982="","",IF($AN982="","職員マスタに未登録の職員番号／",IF($Y982="","標準報酬月額が未登録／","")&amp;IF(AND($AO982&lt;&gt;"",OR(AND(INDEX(職員マスタ!$G$6:$G$405,$AN982)&lt;&gt;"",INDEX(職員マスタ!$G$6:$G$405,$AN982)&gt;EOMONTH($AO982,0)),AND(INDEX(職員マスタ!$H$6:$H$405,$AN982)&lt;&gt;"",INDEX(職員マスタ!$H$6:$H$405,$AN982)&lt;$AO982))),"対象月が時短期間外／","")&amp;IF(AND(INDEX(職員マスタ!$F$6:$F$405,$AN982)&lt;&gt;"",$AO982&lt;&gt;"",INDEX(職員マスタ!$F$6:$F$405,$AN982)&lt;$AO982),"対象月に子が2歳到達済／","")&amp;IF(AND($H982&lt;&gt;"",INDEX(職員マスタ!$B$6:$B$405,$AN982)&lt;&gt;"",SUBSTITUTE(SUBSTITUTE($H982," ","")," ","")&lt;&gt;SUBSTITUTE(SUBSTITUTE(INDEX(職員マスタ!$B$6:$B$405,$AN982)," ","")," ","")),"氏名がマスタと相違／","")&amp;IF(AND($Q982&lt;&gt;"",INDEX(職員マスタ!$E$6:$E$405,$AN982)&lt;&gt;"",$Q982&lt;&gt;INDEX(職員マスタ!$E$6:$E$405,$AN982)),"子の生年月日がマスタと相違／","")&amp;IF(AND($L982&lt;&gt;"",INDEX(職員マスタ!$G$6:$G$405,$AN982)&lt;&gt;"",$L982&lt;&gt;INDEX(職員マスタ!$G$6:$G$405,$AN982)),"時短開始日がマスタと相違／","")&amp;IF(AND($M982&lt;&gt;"",INDEX(職員マスタ!$H$6:$H$405,$AN982)&lt;&gt;"",$M982&lt;&gt;INDEX(職員マスタ!$H$6:$H$405,$AN982)),"時短終了日がマスタと相違／","")))&amp;IF(AND($B982&lt;&gt;"",$E982=""),"報酬額が未入力／","")&amp;IF(N($U982)&gt;0,"申請書に入力エラーが残っています／","")&amp;IF(AND($B982&lt;&gt;"",$AO982&lt;&gt;""),IF(COUNTIFS($B$6:$B$3005,$B982,$C$6:$C$3005,$C982,$D$6:$D$3005,$D982)&gt;1,"同じ月の請求が重複しています／",""),"")&amp;IF(AND(N($E982)&gt;0,$Z982&lt;&gt;"",$Z982&lt;&gt;"×",$AC982=0,$AB982=""),"計算額が下限以下のため不支給／",""))</f>
        <v/>
      </c>
      <c r="AL982" s="12" t="n"/>
      <c r="AM982" s="14">
        <f>IF($AD982="保留中",COUNTIF($AD$6:$AD982,"保留中"),"")</f>
        <v/>
      </c>
      <c r="AN982" s="14">
        <f>IF($AO982="","",IF(SUMPRODUCT(MAX((職員マスタ!$A$6:$A$405=$B982)*(((職員マスタ!$G$6:$G$405="")+(職員マスタ!$G$6:$G$405&lt;=EOMONTH($AO982,0)))&gt;0)*(((職員マスタ!$H$6:$H$405="")+(職員マスタ!$H$6:$H$405&gt;=$AO982))&gt;0)*(ROW(職員マスタ!$A$6:$A$405)-5)))&gt;0,SUMPRODUCT(MAX((職員マスタ!$A$6:$A$405=$B982)*(((職員マスタ!$G$6:$G$405="")+(職員マスタ!$G$6:$G$405&lt;=EOMONTH($AO982,0)))&gt;0)*(((職員マスタ!$H$6:$H$405="")+(職員マスタ!$H$6:$H$405&gt;=$AO982))&gt;0)*(ROW(職員マスタ!$A$6:$A$405)-5))),IFERROR(MATCH($B982,職員マスタ!$A$6:$A$405,0),"")))</f>
        <v/>
      </c>
      <c r="AO982" s="16">
        <f>IF(OR($B982="",$C982="",$D982=""),"",DATE($C982+2018,$D982,1))</f>
        <v/>
      </c>
    </row>
    <row r="983">
      <c r="A983" s="11" t="n"/>
      <c r="B983" s="12" t="n"/>
      <c r="C983" s="12" t="n"/>
      <c r="D983" s="12" t="n"/>
      <c r="E983" s="13" t="n"/>
      <c r="F983" s="12" t="n"/>
      <c r="G983" s="13" t="n"/>
      <c r="H983" s="12" t="n"/>
      <c r="I983" s="12" t="n"/>
      <c r="J983" s="12" t="n"/>
      <c r="K983" s="12" t="n"/>
      <c r="L983" s="11" t="n"/>
      <c r="M983" s="11" t="n"/>
      <c r="N983" s="11" t="n"/>
      <c r="O983" s="11" t="n"/>
      <c r="P983" s="12" t="n"/>
      <c r="Q983" s="11" t="n"/>
      <c r="R983" s="12" t="n"/>
      <c r="S983" s="11" t="n"/>
      <c r="T983" s="12" t="n"/>
      <c r="U983" s="12" t="n"/>
      <c r="V983" s="14">
        <f>IF($AN983="",IF($B983="","",$H983),IF(INDEX(職員マスタ!$B$6:$B$405,$AN983)="",$H983,INDEX(職員マスタ!$B$6:$B$405,$AN983)))</f>
        <v/>
      </c>
      <c r="W983" s="14">
        <f>IF($AN983="",IF($B983="","",$R983),IF(INDEX(職員マスタ!$C$6:$C$405,$AN983)="",$R983,INDEX(職員マスタ!$C$6:$C$405,$AN983)))</f>
        <v/>
      </c>
      <c r="X983" s="14">
        <f>IF($AO983="","","R"&amp;$C983&amp;"."&amp;$D983)</f>
        <v/>
      </c>
      <c r="Y983" s="15">
        <f>IF($AN983="","",IF(INDEX(職員マスタ!$K$6:$K$405,$AN983)="","",INDEX(職員マスタ!$K$6:$K$405,$AN983)))</f>
        <v/>
      </c>
      <c r="Z983" s="14">
        <f>IF(OR($E983="",$Y983=""),"",IF($E983&gt;=$Y983,"×",IF($E983&gt;=$Y983*設定!$C$5,"△","○")))</f>
        <v/>
      </c>
      <c r="AA983" s="15">
        <f>IF($Z983="","",IF($Z983="×",0,IF($Z983="○",ROUNDDOWN($E983*設定!$C$4,0),ROUNDDOWN($E983*ROUND((9*$Y983-9*$E983)/(10*$E983),4),0))))</f>
        <v/>
      </c>
      <c r="AB983" s="13" t="n"/>
      <c r="AC983" s="15">
        <f>IF($B983="","",IF($AB983&lt;&gt;"",$AB983,IF($AA983="","",IF($AA983&lt;=設定!$C$3,0,$AA983))))</f>
        <v/>
      </c>
      <c r="AD983" s="14">
        <f>IF($B983="","",IF(AND($AE983&lt;&gt;"",$AG983="",$AJ983=""),"保留中",IF($AJ983&lt;&gt;"",IF(N($AC983)&gt;0,"支給済","不支給"),IF($AC983="","要確認",IF($AC983=0,"不支給","未処理")))))</f>
        <v/>
      </c>
      <c r="AE983" s="12" t="n"/>
      <c r="AF983" s="11" t="n"/>
      <c r="AG983" s="11" t="n"/>
      <c r="AH983" s="11" t="n"/>
      <c r="AI983" s="14">
        <f>IF(AND($AD983="保留中",$AF983&lt;&gt;""),TODAY()-$AF983,"")</f>
        <v/>
      </c>
      <c r="AJ983" s="12" t="n"/>
      <c r="AK983" s="14">
        <f>IF($B983="","",IF($AO983="","対象年月が未入力／","")&amp;IF($B983="","",IF($AN983="","職員マスタに未登録の職員番号／",IF($Y983="","標準報酬月額が未登録／","")&amp;IF(AND($AO983&lt;&gt;"",OR(AND(INDEX(職員マスタ!$G$6:$G$405,$AN983)&lt;&gt;"",INDEX(職員マスタ!$G$6:$G$405,$AN983)&gt;EOMONTH($AO983,0)),AND(INDEX(職員マスタ!$H$6:$H$405,$AN983)&lt;&gt;"",INDEX(職員マスタ!$H$6:$H$405,$AN983)&lt;$AO983))),"対象月が時短期間外／","")&amp;IF(AND(INDEX(職員マスタ!$F$6:$F$405,$AN983)&lt;&gt;"",$AO983&lt;&gt;"",INDEX(職員マスタ!$F$6:$F$405,$AN983)&lt;$AO983),"対象月に子が2歳到達済／","")&amp;IF(AND($H983&lt;&gt;"",INDEX(職員マスタ!$B$6:$B$405,$AN983)&lt;&gt;"",SUBSTITUTE(SUBSTITUTE($H983," ","")," ","")&lt;&gt;SUBSTITUTE(SUBSTITUTE(INDEX(職員マスタ!$B$6:$B$405,$AN983)," ","")," ","")),"氏名がマスタと相違／","")&amp;IF(AND($Q983&lt;&gt;"",INDEX(職員マスタ!$E$6:$E$405,$AN983)&lt;&gt;"",$Q983&lt;&gt;INDEX(職員マスタ!$E$6:$E$405,$AN983)),"子の生年月日がマスタと相違／","")&amp;IF(AND($L983&lt;&gt;"",INDEX(職員マスタ!$G$6:$G$405,$AN983)&lt;&gt;"",$L983&lt;&gt;INDEX(職員マスタ!$G$6:$G$405,$AN983)),"時短開始日がマスタと相違／","")&amp;IF(AND($M983&lt;&gt;"",INDEX(職員マスタ!$H$6:$H$405,$AN983)&lt;&gt;"",$M983&lt;&gt;INDEX(職員マスタ!$H$6:$H$405,$AN983)),"時短終了日がマスタと相違／","")))&amp;IF(AND($B983&lt;&gt;"",$E983=""),"報酬額が未入力／","")&amp;IF(N($U983)&gt;0,"申請書に入力エラーが残っています／","")&amp;IF(AND($B983&lt;&gt;"",$AO983&lt;&gt;""),IF(COUNTIFS($B$6:$B$3005,$B983,$C$6:$C$3005,$C983,$D$6:$D$3005,$D983)&gt;1,"同じ月の請求が重複しています／",""),"")&amp;IF(AND(N($E983)&gt;0,$Z983&lt;&gt;"",$Z983&lt;&gt;"×",$AC983=0,$AB983=""),"計算額が下限以下のため不支給／",""))</f>
        <v/>
      </c>
      <c r="AL983" s="12" t="n"/>
      <c r="AM983" s="14">
        <f>IF($AD983="保留中",COUNTIF($AD$6:$AD983,"保留中"),"")</f>
        <v/>
      </c>
      <c r="AN983" s="14">
        <f>IF($AO983="","",IF(SUMPRODUCT(MAX((職員マスタ!$A$6:$A$405=$B983)*(((職員マスタ!$G$6:$G$405="")+(職員マスタ!$G$6:$G$405&lt;=EOMONTH($AO983,0)))&gt;0)*(((職員マスタ!$H$6:$H$405="")+(職員マスタ!$H$6:$H$405&gt;=$AO983))&gt;0)*(ROW(職員マスタ!$A$6:$A$405)-5)))&gt;0,SUMPRODUCT(MAX((職員マスタ!$A$6:$A$405=$B983)*(((職員マスタ!$G$6:$G$405="")+(職員マスタ!$G$6:$G$405&lt;=EOMONTH($AO983,0)))&gt;0)*(((職員マスタ!$H$6:$H$405="")+(職員マスタ!$H$6:$H$405&gt;=$AO983))&gt;0)*(ROW(職員マスタ!$A$6:$A$405)-5))),IFERROR(MATCH($B983,職員マスタ!$A$6:$A$405,0),"")))</f>
        <v/>
      </c>
      <c r="AO983" s="16">
        <f>IF(OR($B983="",$C983="",$D983=""),"",DATE($C983+2018,$D983,1))</f>
        <v/>
      </c>
    </row>
    <row r="984">
      <c r="A984" s="11" t="n"/>
      <c r="B984" s="12" t="n"/>
      <c r="C984" s="12" t="n"/>
      <c r="D984" s="12" t="n"/>
      <c r="E984" s="13" t="n"/>
      <c r="F984" s="12" t="n"/>
      <c r="G984" s="13" t="n"/>
      <c r="H984" s="12" t="n"/>
      <c r="I984" s="12" t="n"/>
      <c r="J984" s="12" t="n"/>
      <c r="K984" s="12" t="n"/>
      <c r="L984" s="11" t="n"/>
      <c r="M984" s="11" t="n"/>
      <c r="N984" s="11" t="n"/>
      <c r="O984" s="11" t="n"/>
      <c r="P984" s="12" t="n"/>
      <c r="Q984" s="11" t="n"/>
      <c r="R984" s="12" t="n"/>
      <c r="S984" s="11" t="n"/>
      <c r="T984" s="12" t="n"/>
      <c r="U984" s="12" t="n"/>
      <c r="V984" s="14">
        <f>IF($AN984="",IF($B984="","",$H984),IF(INDEX(職員マスタ!$B$6:$B$405,$AN984)="",$H984,INDEX(職員マスタ!$B$6:$B$405,$AN984)))</f>
        <v/>
      </c>
      <c r="W984" s="14">
        <f>IF($AN984="",IF($B984="","",$R984),IF(INDEX(職員マスタ!$C$6:$C$405,$AN984)="",$R984,INDEX(職員マスタ!$C$6:$C$405,$AN984)))</f>
        <v/>
      </c>
      <c r="X984" s="14">
        <f>IF($AO984="","","R"&amp;$C984&amp;"."&amp;$D984)</f>
        <v/>
      </c>
      <c r="Y984" s="15">
        <f>IF($AN984="","",IF(INDEX(職員マスタ!$K$6:$K$405,$AN984)="","",INDEX(職員マスタ!$K$6:$K$405,$AN984)))</f>
        <v/>
      </c>
      <c r="Z984" s="14">
        <f>IF(OR($E984="",$Y984=""),"",IF($E984&gt;=$Y984,"×",IF($E984&gt;=$Y984*設定!$C$5,"△","○")))</f>
        <v/>
      </c>
      <c r="AA984" s="15">
        <f>IF($Z984="","",IF($Z984="×",0,IF($Z984="○",ROUNDDOWN($E984*設定!$C$4,0),ROUNDDOWN($E984*ROUND((9*$Y984-9*$E984)/(10*$E984),4),0))))</f>
        <v/>
      </c>
      <c r="AB984" s="13" t="n"/>
      <c r="AC984" s="15">
        <f>IF($B984="","",IF($AB984&lt;&gt;"",$AB984,IF($AA984="","",IF($AA984&lt;=設定!$C$3,0,$AA984))))</f>
        <v/>
      </c>
      <c r="AD984" s="14">
        <f>IF($B984="","",IF(AND($AE984&lt;&gt;"",$AG984="",$AJ984=""),"保留中",IF($AJ984&lt;&gt;"",IF(N($AC984)&gt;0,"支給済","不支給"),IF($AC984="","要確認",IF($AC984=0,"不支給","未処理")))))</f>
        <v/>
      </c>
      <c r="AE984" s="12" t="n"/>
      <c r="AF984" s="11" t="n"/>
      <c r="AG984" s="11" t="n"/>
      <c r="AH984" s="11" t="n"/>
      <c r="AI984" s="14">
        <f>IF(AND($AD984="保留中",$AF984&lt;&gt;""),TODAY()-$AF984,"")</f>
        <v/>
      </c>
      <c r="AJ984" s="12" t="n"/>
      <c r="AK984" s="14">
        <f>IF($B984="","",IF($AO984="","対象年月が未入力／","")&amp;IF($B984="","",IF($AN984="","職員マスタに未登録の職員番号／",IF($Y984="","標準報酬月額が未登録／","")&amp;IF(AND($AO984&lt;&gt;"",OR(AND(INDEX(職員マスタ!$G$6:$G$405,$AN984)&lt;&gt;"",INDEX(職員マスタ!$G$6:$G$405,$AN984)&gt;EOMONTH($AO984,0)),AND(INDEX(職員マスタ!$H$6:$H$405,$AN984)&lt;&gt;"",INDEX(職員マスタ!$H$6:$H$405,$AN984)&lt;$AO984))),"対象月が時短期間外／","")&amp;IF(AND(INDEX(職員マスタ!$F$6:$F$405,$AN984)&lt;&gt;"",$AO984&lt;&gt;"",INDEX(職員マスタ!$F$6:$F$405,$AN984)&lt;$AO984),"対象月に子が2歳到達済／","")&amp;IF(AND($H984&lt;&gt;"",INDEX(職員マスタ!$B$6:$B$405,$AN984)&lt;&gt;"",SUBSTITUTE(SUBSTITUTE($H984," ","")," ","")&lt;&gt;SUBSTITUTE(SUBSTITUTE(INDEX(職員マスタ!$B$6:$B$405,$AN984)," ","")," ","")),"氏名がマスタと相違／","")&amp;IF(AND($Q984&lt;&gt;"",INDEX(職員マスタ!$E$6:$E$405,$AN984)&lt;&gt;"",$Q984&lt;&gt;INDEX(職員マスタ!$E$6:$E$405,$AN984)),"子の生年月日がマスタと相違／","")&amp;IF(AND($L984&lt;&gt;"",INDEX(職員マスタ!$G$6:$G$405,$AN984)&lt;&gt;"",$L984&lt;&gt;INDEX(職員マスタ!$G$6:$G$405,$AN984)),"時短開始日がマスタと相違／","")&amp;IF(AND($M984&lt;&gt;"",INDEX(職員マスタ!$H$6:$H$405,$AN984)&lt;&gt;"",$M984&lt;&gt;INDEX(職員マスタ!$H$6:$H$405,$AN984)),"時短終了日がマスタと相違／","")))&amp;IF(AND($B984&lt;&gt;"",$E984=""),"報酬額が未入力／","")&amp;IF(N($U984)&gt;0,"申請書に入力エラーが残っています／","")&amp;IF(AND($B984&lt;&gt;"",$AO984&lt;&gt;""),IF(COUNTIFS($B$6:$B$3005,$B984,$C$6:$C$3005,$C984,$D$6:$D$3005,$D984)&gt;1,"同じ月の請求が重複しています／",""),"")&amp;IF(AND(N($E984)&gt;0,$Z984&lt;&gt;"",$Z984&lt;&gt;"×",$AC984=0,$AB984=""),"計算額が下限以下のため不支給／",""))</f>
        <v/>
      </c>
      <c r="AL984" s="12" t="n"/>
      <c r="AM984" s="14">
        <f>IF($AD984="保留中",COUNTIF($AD$6:$AD984,"保留中"),"")</f>
        <v/>
      </c>
      <c r="AN984" s="14">
        <f>IF($AO984="","",IF(SUMPRODUCT(MAX((職員マスタ!$A$6:$A$405=$B984)*(((職員マスタ!$G$6:$G$405="")+(職員マスタ!$G$6:$G$405&lt;=EOMONTH($AO984,0)))&gt;0)*(((職員マスタ!$H$6:$H$405="")+(職員マスタ!$H$6:$H$405&gt;=$AO984))&gt;0)*(ROW(職員マスタ!$A$6:$A$405)-5)))&gt;0,SUMPRODUCT(MAX((職員マスタ!$A$6:$A$405=$B984)*(((職員マスタ!$G$6:$G$405="")+(職員マスタ!$G$6:$G$405&lt;=EOMONTH($AO984,0)))&gt;0)*(((職員マスタ!$H$6:$H$405="")+(職員マスタ!$H$6:$H$405&gt;=$AO984))&gt;0)*(ROW(職員マスタ!$A$6:$A$405)-5))),IFERROR(MATCH($B984,職員マスタ!$A$6:$A$405,0),"")))</f>
        <v/>
      </c>
      <c r="AO984" s="16">
        <f>IF(OR($B984="",$C984="",$D984=""),"",DATE($C984+2018,$D984,1))</f>
        <v/>
      </c>
    </row>
    <row r="985">
      <c r="A985" s="11" t="n"/>
      <c r="B985" s="12" t="n"/>
      <c r="C985" s="12" t="n"/>
      <c r="D985" s="12" t="n"/>
      <c r="E985" s="13" t="n"/>
      <c r="F985" s="12" t="n"/>
      <c r="G985" s="13" t="n"/>
      <c r="H985" s="12" t="n"/>
      <c r="I985" s="12" t="n"/>
      <c r="J985" s="12" t="n"/>
      <c r="K985" s="12" t="n"/>
      <c r="L985" s="11" t="n"/>
      <c r="M985" s="11" t="n"/>
      <c r="N985" s="11" t="n"/>
      <c r="O985" s="11" t="n"/>
      <c r="P985" s="12" t="n"/>
      <c r="Q985" s="11" t="n"/>
      <c r="R985" s="12" t="n"/>
      <c r="S985" s="11" t="n"/>
      <c r="T985" s="12" t="n"/>
      <c r="U985" s="12" t="n"/>
      <c r="V985" s="14">
        <f>IF($AN985="",IF($B985="","",$H985),IF(INDEX(職員マスタ!$B$6:$B$405,$AN985)="",$H985,INDEX(職員マスタ!$B$6:$B$405,$AN985)))</f>
        <v/>
      </c>
      <c r="W985" s="14">
        <f>IF($AN985="",IF($B985="","",$R985),IF(INDEX(職員マスタ!$C$6:$C$405,$AN985)="",$R985,INDEX(職員マスタ!$C$6:$C$405,$AN985)))</f>
        <v/>
      </c>
      <c r="X985" s="14">
        <f>IF($AO985="","","R"&amp;$C985&amp;"."&amp;$D985)</f>
        <v/>
      </c>
      <c r="Y985" s="15">
        <f>IF($AN985="","",IF(INDEX(職員マスタ!$K$6:$K$405,$AN985)="","",INDEX(職員マスタ!$K$6:$K$405,$AN985)))</f>
        <v/>
      </c>
      <c r="Z985" s="14">
        <f>IF(OR($E985="",$Y985=""),"",IF($E985&gt;=$Y985,"×",IF($E985&gt;=$Y985*設定!$C$5,"△","○")))</f>
        <v/>
      </c>
      <c r="AA985" s="15">
        <f>IF($Z985="","",IF($Z985="×",0,IF($Z985="○",ROUNDDOWN($E985*設定!$C$4,0),ROUNDDOWN($E985*ROUND((9*$Y985-9*$E985)/(10*$E985),4),0))))</f>
        <v/>
      </c>
      <c r="AB985" s="13" t="n"/>
      <c r="AC985" s="15">
        <f>IF($B985="","",IF($AB985&lt;&gt;"",$AB985,IF($AA985="","",IF($AA985&lt;=設定!$C$3,0,$AA985))))</f>
        <v/>
      </c>
      <c r="AD985" s="14">
        <f>IF($B985="","",IF(AND($AE985&lt;&gt;"",$AG985="",$AJ985=""),"保留中",IF($AJ985&lt;&gt;"",IF(N($AC985)&gt;0,"支給済","不支給"),IF($AC985="","要確認",IF($AC985=0,"不支給","未処理")))))</f>
        <v/>
      </c>
      <c r="AE985" s="12" t="n"/>
      <c r="AF985" s="11" t="n"/>
      <c r="AG985" s="11" t="n"/>
      <c r="AH985" s="11" t="n"/>
      <c r="AI985" s="14">
        <f>IF(AND($AD985="保留中",$AF985&lt;&gt;""),TODAY()-$AF985,"")</f>
        <v/>
      </c>
      <c r="AJ985" s="12" t="n"/>
      <c r="AK985" s="14">
        <f>IF($B985="","",IF($AO985="","対象年月が未入力／","")&amp;IF($B985="","",IF($AN985="","職員マスタに未登録の職員番号／",IF($Y985="","標準報酬月額が未登録／","")&amp;IF(AND($AO985&lt;&gt;"",OR(AND(INDEX(職員マスタ!$G$6:$G$405,$AN985)&lt;&gt;"",INDEX(職員マスタ!$G$6:$G$405,$AN985)&gt;EOMONTH($AO985,0)),AND(INDEX(職員マスタ!$H$6:$H$405,$AN985)&lt;&gt;"",INDEX(職員マスタ!$H$6:$H$405,$AN985)&lt;$AO985))),"対象月が時短期間外／","")&amp;IF(AND(INDEX(職員マスタ!$F$6:$F$405,$AN985)&lt;&gt;"",$AO985&lt;&gt;"",INDEX(職員マスタ!$F$6:$F$405,$AN985)&lt;$AO985),"対象月に子が2歳到達済／","")&amp;IF(AND($H985&lt;&gt;"",INDEX(職員マスタ!$B$6:$B$405,$AN985)&lt;&gt;"",SUBSTITUTE(SUBSTITUTE($H985," ","")," ","")&lt;&gt;SUBSTITUTE(SUBSTITUTE(INDEX(職員マスタ!$B$6:$B$405,$AN985)," ","")," ","")),"氏名がマスタと相違／","")&amp;IF(AND($Q985&lt;&gt;"",INDEX(職員マスタ!$E$6:$E$405,$AN985)&lt;&gt;"",$Q985&lt;&gt;INDEX(職員マスタ!$E$6:$E$405,$AN985)),"子の生年月日がマスタと相違／","")&amp;IF(AND($L985&lt;&gt;"",INDEX(職員マスタ!$G$6:$G$405,$AN985)&lt;&gt;"",$L985&lt;&gt;INDEX(職員マスタ!$G$6:$G$405,$AN985)),"時短開始日がマスタと相違／","")&amp;IF(AND($M985&lt;&gt;"",INDEX(職員マスタ!$H$6:$H$405,$AN985)&lt;&gt;"",$M985&lt;&gt;INDEX(職員マスタ!$H$6:$H$405,$AN985)),"時短終了日がマスタと相違／","")))&amp;IF(AND($B985&lt;&gt;"",$E985=""),"報酬額が未入力／","")&amp;IF(N($U985)&gt;0,"申請書に入力エラーが残っています／","")&amp;IF(AND($B985&lt;&gt;"",$AO985&lt;&gt;""),IF(COUNTIFS($B$6:$B$3005,$B985,$C$6:$C$3005,$C985,$D$6:$D$3005,$D985)&gt;1,"同じ月の請求が重複しています／",""),"")&amp;IF(AND(N($E985)&gt;0,$Z985&lt;&gt;"",$Z985&lt;&gt;"×",$AC985=0,$AB985=""),"計算額が下限以下のため不支給／",""))</f>
        <v/>
      </c>
      <c r="AL985" s="12" t="n"/>
      <c r="AM985" s="14">
        <f>IF($AD985="保留中",COUNTIF($AD$6:$AD985,"保留中"),"")</f>
        <v/>
      </c>
      <c r="AN985" s="14">
        <f>IF($AO985="","",IF(SUMPRODUCT(MAX((職員マスタ!$A$6:$A$405=$B985)*(((職員マスタ!$G$6:$G$405="")+(職員マスタ!$G$6:$G$405&lt;=EOMONTH($AO985,0)))&gt;0)*(((職員マスタ!$H$6:$H$405="")+(職員マスタ!$H$6:$H$405&gt;=$AO985))&gt;0)*(ROW(職員マスタ!$A$6:$A$405)-5)))&gt;0,SUMPRODUCT(MAX((職員マスタ!$A$6:$A$405=$B985)*(((職員マスタ!$G$6:$G$405="")+(職員マスタ!$G$6:$G$405&lt;=EOMONTH($AO985,0)))&gt;0)*(((職員マスタ!$H$6:$H$405="")+(職員マスタ!$H$6:$H$405&gt;=$AO985))&gt;0)*(ROW(職員マスタ!$A$6:$A$405)-5))),IFERROR(MATCH($B985,職員マスタ!$A$6:$A$405,0),"")))</f>
        <v/>
      </c>
      <c r="AO985" s="16">
        <f>IF(OR($B985="",$C985="",$D985=""),"",DATE($C985+2018,$D985,1))</f>
        <v/>
      </c>
    </row>
    <row r="986">
      <c r="A986" s="11" t="n"/>
      <c r="B986" s="12" t="n"/>
      <c r="C986" s="12" t="n"/>
      <c r="D986" s="12" t="n"/>
      <c r="E986" s="13" t="n"/>
      <c r="F986" s="12" t="n"/>
      <c r="G986" s="13" t="n"/>
      <c r="H986" s="12" t="n"/>
      <c r="I986" s="12" t="n"/>
      <c r="J986" s="12" t="n"/>
      <c r="K986" s="12" t="n"/>
      <c r="L986" s="11" t="n"/>
      <c r="M986" s="11" t="n"/>
      <c r="N986" s="11" t="n"/>
      <c r="O986" s="11" t="n"/>
      <c r="P986" s="12" t="n"/>
      <c r="Q986" s="11" t="n"/>
      <c r="R986" s="12" t="n"/>
      <c r="S986" s="11" t="n"/>
      <c r="T986" s="12" t="n"/>
      <c r="U986" s="12" t="n"/>
      <c r="V986" s="14">
        <f>IF($AN986="",IF($B986="","",$H986),IF(INDEX(職員マスタ!$B$6:$B$405,$AN986)="",$H986,INDEX(職員マスタ!$B$6:$B$405,$AN986)))</f>
        <v/>
      </c>
      <c r="W986" s="14">
        <f>IF($AN986="",IF($B986="","",$R986),IF(INDEX(職員マスタ!$C$6:$C$405,$AN986)="",$R986,INDEX(職員マスタ!$C$6:$C$405,$AN986)))</f>
        <v/>
      </c>
      <c r="X986" s="14">
        <f>IF($AO986="","","R"&amp;$C986&amp;"."&amp;$D986)</f>
        <v/>
      </c>
      <c r="Y986" s="15">
        <f>IF($AN986="","",IF(INDEX(職員マスタ!$K$6:$K$405,$AN986)="","",INDEX(職員マスタ!$K$6:$K$405,$AN986)))</f>
        <v/>
      </c>
      <c r="Z986" s="14">
        <f>IF(OR($E986="",$Y986=""),"",IF($E986&gt;=$Y986,"×",IF($E986&gt;=$Y986*設定!$C$5,"△","○")))</f>
        <v/>
      </c>
      <c r="AA986" s="15">
        <f>IF($Z986="","",IF($Z986="×",0,IF($Z986="○",ROUNDDOWN($E986*設定!$C$4,0),ROUNDDOWN($E986*ROUND((9*$Y986-9*$E986)/(10*$E986),4),0))))</f>
        <v/>
      </c>
      <c r="AB986" s="13" t="n"/>
      <c r="AC986" s="15">
        <f>IF($B986="","",IF($AB986&lt;&gt;"",$AB986,IF($AA986="","",IF($AA986&lt;=設定!$C$3,0,$AA986))))</f>
        <v/>
      </c>
      <c r="AD986" s="14">
        <f>IF($B986="","",IF(AND($AE986&lt;&gt;"",$AG986="",$AJ986=""),"保留中",IF($AJ986&lt;&gt;"",IF(N($AC986)&gt;0,"支給済","不支給"),IF($AC986="","要確認",IF($AC986=0,"不支給","未処理")))))</f>
        <v/>
      </c>
      <c r="AE986" s="12" t="n"/>
      <c r="AF986" s="11" t="n"/>
      <c r="AG986" s="11" t="n"/>
      <c r="AH986" s="11" t="n"/>
      <c r="AI986" s="14">
        <f>IF(AND($AD986="保留中",$AF986&lt;&gt;""),TODAY()-$AF986,"")</f>
        <v/>
      </c>
      <c r="AJ986" s="12" t="n"/>
      <c r="AK986" s="14">
        <f>IF($B986="","",IF($AO986="","対象年月が未入力／","")&amp;IF($B986="","",IF($AN986="","職員マスタに未登録の職員番号／",IF($Y986="","標準報酬月額が未登録／","")&amp;IF(AND($AO986&lt;&gt;"",OR(AND(INDEX(職員マスタ!$G$6:$G$405,$AN986)&lt;&gt;"",INDEX(職員マスタ!$G$6:$G$405,$AN986)&gt;EOMONTH($AO986,0)),AND(INDEX(職員マスタ!$H$6:$H$405,$AN986)&lt;&gt;"",INDEX(職員マスタ!$H$6:$H$405,$AN986)&lt;$AO986))),"対象月が時短期間外／","")&amp;IF(AND(INDEX(職員マスタ!$F$6:$F$405,$AN986)&lt;&gt;"",$AO986&lt;&gt;"",INDEX(職員マスタ!$F$6:$F$405,$AN986)&lt;$AO986),"対象月に子が2歳到達済／","")&amp;IF(AND($H986&lt;&gt;"",INDEX(職員マスタ!$B$6:$B$405,$AN986)&lt;&gt;"",SUBSTITUTE(SUBSTITUTE($H986," ","")," ","")&lt;&gt;SUBSTITUTE(SUBSTITUTE(INDEX(職員マスタ!$B$6:$B$405,$AN986)," ","")," ","")),"氏名がマスタと相違／","")&amp;IF(AND($Q986&lt;&gt;"",INDEX(職員マスタ!$E$6:$E$405,$AN986)&lt;&gt;"",$Q986&lt;&gt;INDEX(職員マスタ!$E$6:$E$405,$AN986)),"子の生年月日がマスタと相違／","")&amp;IF(AND($L986&lt;&gt;"",INDEX(職員マスタ!$G$6:$G$405,$AN986)&lt;&gt;"",$L986&lt;&gt;INDEX(職員マスタ!$G$6:$G$405,$AN986)),"時短開始日がマスタと相違／","")&amp;IF(AND($M986&lt;&gt;"",INDEX(職員マスタ!$H$6:$H$405,$AN986)&lt;&gt;"",$M986&lt;&gt;INDEX(職員マスタ!$H$6:$H$405,$AN986)),"時短終了日がマスタと相違／","")))&amp;IF(AND($B986&lt;&gt;"",$E986=""),"報酬額が未入力／","")&amp;IF(N($U986)&gt;0,"申請書に入力エラーが残っています／","")&amp;IF(AND($B986&lt;&gt;"",$AO986&lt;&gt;""),IF(COUNTIFS($B$6:$B$3005,$B986,$C$6:$C$3005,$C986,$D$6:$D$3005,$D986)&gt;1,"同じ月の請求が重複しています／",""),"")&amp;IF(AND(N($E986)&gt;0,$Z986&lt;&gt;"",$Z986&lt;&gt;"×",$AC986=0,$AB986=""),"計算額が下限以下のため不支給／",""))</f>
        <v/>
      </c>
      <c r="AL986" s="12" t="n"/>
      <c r="AM986" s="14">
        <f>IF($AD986="保留中",COUNTIF($AD$6:$AD986,"保留中"),"")</f>
        <v/>
      </c>
      <c r="AN986" s="14">
        <f>IF($AO986="","",IF(SUMPRODUCT(MAX((職員マスタ!$A$6:$A$405=$B986)*(((職員マスタ!$G$6:$G$405="")+(職員マスタ!$G$6:$G$405&lt;=EOMONTH($AO986,0)))&gt;0)*(((職員マスタ!$H$6:$H$405="")+(職員マスタ!$H$6:$H$405&gt;=$AO986))&gt;0)*(ROW(職員マスタ!$A$6:$A$405)-5)))&gt;0,SUMPRODUCT(MAX((職員マスタ!$A$6:$A$405=$B986)*(((職員マスタ!$G$6:$G$405="")+(職員マスタ!$G$6:$G$405&lt;=EOMONTH($AO986,0)))&gt;0)*(((職員マスタ!$H$6:$H$405="")+(職員マスタ!$H$6:$H$405&gt;=$AO986))&gt;0)*(ROW(職員マスタ!$A$6:$A$405)-5))),IFERROR(MATCH($B986,職員マスタ!$A$6:$A$405,0),"")))</f>
        <v/>
      </c>
      <c r="AO986" s="16">
        <f>IF(OR($B986="",$C986="",$D986=""),"",DATE($C986+2018,$D986,1))</f>
        <v/>
      </c>
    </row>
    <row r="987">
      <c r="A987" s="11" t="n"/>
      <c r="B987" s="12" t="n"/>
      <c r="C987" s="12" t="n"/>
      <c r="D987" s="12" t="n"/>
      <c r="E987" s="13" t="n"/>
      <c r="F987" s="12" t="n"/>
      <c r="G987" s="13" t="n"/>
      <c r="H987" s="12" t="n"/>
      <c r="I987" s="12" t="n"/>
      <c r="J987" s="12" t="n"/>
      <c r="K987" s="12" t="n"/>
      <c r="L987" s="11" t="n"/>
      <c r="M987" s="11" t="n"/>
      <c r="N987" s="11" t="n"/>
      <c r="O987" s="11" t="n"/>
      <c r="P987" s="12" t="n"/>
      <c r="Q987" s="11" t="n"/>
      <c r="R987" s="12" t="n"/>
      <c r="S987" s="11" t="n"/>
      <c r="T987" s="12" t="n"/>
      <c r="U987" s="12" t="n"/>
      <c r="V987" s="14">
        <f>IF($AN987="",IF($B987="","",$H987),IF(INDEX(職員マスタ!$B$6:$B$405,$AN987)="",$H987,INDEX(職員マスタ!$B$6:$B$405,$AN987)))</f>
        <v/>
      </c>
      <c r="W987" s="14">
        <f>IF($AN987="",IF($B987="","",$R987),IF(INDEX(職員マスタ!$C$6:$C$405,$AN987)="",$R987,INDEX(職員マスタ!$C$6:$C$405,$AN987)))</f>
        <v/>
      </c>
      <c r="X987" s="14">
        <f>IF($AO987="","","R"&amp;$C987&amp;"."&amp;$D987)</f>
        <v/>
      </c>
      <c r="Y987" s="15">
        <f>IF($AN987="","",IF(INDEX(職員マスタ!$K$6:$K$405,$AN987)="","",INDEX(職員マスタ!$K$6:$K$405,$AN987)))</f>
        <v/>
      </c>
      <c r="Z987" s="14">
        <f>IF(OR($E987="",$Y987=""),"",IF($E987&gt;=$Y987,"×",IF($E987&gt;=$Y987*設定!$C$5,"△","○")))</f>
        <v/>
      </c>
      <c r="AA987" s="15">
        <f>IF($Z987="","",IF($Z987="×",0,IF($Z987="○",ROUNDDOWN($E987*設定!$C$4,0),ROUNDDOWN($E987*ROUND((9*$Y987-9*$E987)/(10*$E987),4),0))))</f>
        <v/>
      </c>
      <c r="AB987" s="13" t="n"/>
      <c r="AC987" s="15">
        <f>IF($B987="","",IF($AB987&lt;&gt;"",$AB987,IF($AA987="","",IF($AA987&lt;=設定!$C$3,0,$AA987))))</f>
        <v/>
      </c>
      <c r="AD987" s="14">
        <f>IF($B987="","",IF(AND($AE987&lt;&gt;"",$AG987="",$AJ987=""),"保留中",IF($AJ987&lt;&gt;"",IF(N($AC987)&gt;0,"支給済","不支給"),IF($AC987="","要確認",IF($AC987=0,"不支給","未処理")))))</f>
        <v/>
      </c>
      <c r="AE987" s="12" t="n"/>
      <c r="AF987" s="11" t="n"/>
      <c r="AG987" s="11" t="n"/>
      <c r="AH987" s="11" t="n"/>
      <c r="AI987" s="14">
        <f>IF(AND($AD987="保留中",$AF987&lt;&gt;""),TODAY()-$AF987,"")</f>
        <v/>
      </c>
      <c r="AJ987" s="12" t="n"/>
      <c r="AK987" s="14">
        <f>IF($B987="","",IF($AO987="","対象年月が未入力／","")&amp;IF($B987="","",IF($AN987="","職員マスタに未登録の職員番号／",IF($Y987="","標準報酬月額が未登録／","")&amp;IF(AND($AO987&lt;&gt;"",OR(AND(INDEX(職員マスタ!$G$6:$G$405,$AN987)&lt;&gt;"",INDEX(職員マスタ!$G$6:$G$405,$AN987)&gt;EOMONTH($AO987,0)),AND(INDEX(職員マスタ!$H$6:$H$405,$AN987)&lt;&gt;"",INDEX(職員マスタ!$H$6:$H$405,$AN987)&lt;$AO987))),"対象月が時短期間外／","")&amp;IF(AND(INDEX(職員マスタ!$F$6:$F$405,$AN987)&lt;&gt;"",$AO987&lt;&gt;"",INDEX(職員マスタ!$F$6:$F$405,$AN987)&lt;$AO987),"対象月に子が2歳到達済／","")&amp;IF(AND($H987&lt;&gt;"",INDEX(職員マスタ!$B$6:$B$405,$AN987)&lt;&gt;"",SUBSTITUTE(SUBSTITUTE($H987," ","")," ","")&lt;&gt;SUBSTITUTE(SUBSTITUTE(INDEX(職員マスタ!$B$6:$B$405,$AN987)," ","")," ","")),"氏名がマスタと相違／","")&amp;IF(AND($Q987&lt;&gt;"",INDEX(職員マスタ!$E$6:$E$405,$AN987)&lt;&gt;"",$Q987&lt;&gt;INDEX(職員マスタ!$E$6:$E$405,$AN987)),"子の生年月日がマスタと相違／","")&amp;IF(AND($L987&lt;&gt;"",INDEX(職員マスタ!$G$6:$G$405,$AN987)&lt;&gt;"",$L987&lt;&gt;INDEX(職員マスタ!$G$6:$G$405,$AN987)),"時短開始日がマスタと相違／","")&amp;IF(AND($M987&lt;&gt;"",INDEX(職員マスタ!$H$6:$H$405,$AN987)&lt;&gt;"",$M987&lt;&gt;INDEX(職員マスタ!$H$6:$H$405,$AN987)),"時短終了日がマスタと相違／","")))&amp;IF(AND($B987&lt;&gt;"",$E987=""),"報酬額が未入力／","")&amp;IF(N($U987)&gt;0,"申請書に入力エラーが残っています／","")&amp;IF(AND($B987&lt;&gt;"",$AO987&lt;&gt;""),IF(COUNTIFS($B$6:$B$3005,$B987,$C$6:$C$3005,$C987,$D$6:$D$3005,$D987)&gt;1,"同じ月の請求が重複しています／",""),"")&amp;IF(AND(N($E987)&gt;0,$Z987&lt;&gt;"",$Z987&lt;&gt;"×",$AC987=0,$AB987=""),"計算額が下限以下のため不支給／",""))</f>
        <v/>
      </c>
      <c r="AL987" s="12" t="n"/>
      <c r="AM987" s="14">
        <f>IF($AD987="保留中",COUNTIF($AD$6:$AD987,"保留中"),"")</f>
        <v/>
      </c>
      <c r="AN987" s="14">
        <f>IF($AO987="","",IF(SUMPRODUCT(MAX((職員マスタ!$A$6:$A$405=$B987)*(((職員マスタ!$G$6:$G$405="")+(職員マスタ!$G$6:$G$405&lt;=EOMONTH($AO987,0)))&gt;0)*(((職員マスタ!$H$6:$H$405="")+(職員マスタ!$H$6:$H$405&gt;=$AO987))&gt;0)*(ROW(職員マスタ!$A$6:$A$405)-5)))&gt;0,SUMPRODUCT(MAX((職員マスタ!$A$6:$A$405=$B987)*(((職員マスタ!$G$6:$G$405="")+(職員マスタ!$G$6:$G$405&lt;=EOMONTH($AO987,0)))&gt;0)*(((職員マスタ!$H$6:$H$405="")+(職員マスタ!$H$6:$H$405&gt;=$AO987))&gt;0)*(ROW(職員マスタ!$A$6:$A$405)-5))),IFERROR(MATCH($B987,職員マスタ!$A$6:$A$405,0),"")))</f>
        <v/>
      </c>
      <c r="AO987" s="16">
        <f>IF(OR($B987="",$C987="",$D987=""),"",DATE($C987+2018,$D987,1))</f>
        <v/>
      </c>
    </row>
    <row r="988">
      <c r="A988" s="11" t="n"/>
      <c r="B988" s="12" t="n"/>
      <c r="C988" s="12" t="n"/>
      <c r="D988" s="12" t="n"/>
      <c r="E988" s="13" t="n"/>
      <c r="F988" s="12" t="n"/>
      <c r="G988" s="13" t="n"/>
      <c r="H988" s="12" t="n"/>
      <c r="I988" s="12" t="n"/>
      <c r="J988" s="12" t="n"/>
      <c r="K988" s="12" t="n"/>
      <c r="L988" s="11" t="n"/>
      <c r="M988" s="11" t="n"/>
      <c r="N988" s="11" t="n"/>
      <c r="O988" s="11" t="n"/>
      <c r="P988" s="12" t="n"/>
      <c r="Q988" s="11" t="n"/>
      <c r="R988" s="12" t="n"/>
      <c r="S988" s="11" t="n"/>
      <c r="T988" s="12" t="n"/>
      <c r="U988" s="12" t="n"/>
      <c r="V988" s="14">
        <f>IF($AN988="",IF($B988="","",$H988),IF(INDEX(職員マスタ!$B$6:$B$405,$AN988)="",$H988,INDEX(職員マスタ!$B$6:$B$405,$AN988)))</f>
        <v/>
      </c>
      <c r="W988" s="14">
        <f>IF($AN988="",IF($B988="","",$R988),IF(INDEX(職員マスタ!$C$6:$C$405,$AN988)="",$R988,INDEX(職員マスタ!$C$6:$C$405,$AN988)))</f>
        <v/>
      </c>
      <c r="X988" s="14">
        <f>IF($AO988="","","R"&amp;$C988&amp;"."&amp;$D988)</f>
        <v/>
      </c>
      <c r="Y988" s="15">
        <f>IF($AN988="","",IF(INDEX(職員マスタ!$K$6:$K$405,$AN988)="","",INDEX(職員マスタ!$K$6:$K$405,$AN988)))</f>
        <v/>
      </c>
      <c r="Z988" s="14">
        <f>IF(OR($E988="",$Y988=""),"",IF($E988&gt;=$Y988,"×",IF($E988&gt;=$Y988*設定!$C$5,"△","○")))</f>
        <v/>
      </c>
      <c r="AA988" s="15">
        <f>IF($Z988="","",IF($Z988="×",0,IF($Z988="○",ROUNDDOWN($E988*設定!$C$4,0),ROUNDDOWN($E988*ROUND((9*$Y988-9*$E988)/(10*$E988),4),0))))</f>
        <v/>
      </c>
      <c r="AB988" s="13" t="n"/>
      <c r="AC988" s="15">
        <f>IF($B988="","",IF($AB988&lt;&gt;"",$AB988,IF($AA988="","",IF($AA988&lt;=設定!$C$3,0,$AA988))))</f>
        <v/>
      </c>
      <c r="AD988" s="14">
        <f>IF($B988="","",IF(AND($AE988&lt;&gt;"",$AG988="",$AJ988=""),"保留中",IF($AJ988&lt;&gt;"",IF(N($AC988)&gt;0,"支給済","不支給"),IF($AC988="","要確認",IF($AC988=0,"不支給","未処理")))))</f>
        <v/>
      </c>
      <c r="AE988" s="12" t="n"/>
      <c r="AF988" s="11" t="n"/>
      <c r="AG988" s="11" t="n"/>
      <c r="AH988" s="11" t="n"/>
      <c r="AI988" s="14">
        <f>IF(AND($AD988="保留中",$AF988&lt;&gt;""),TODAY()-$AF988,"")</f>
        <v/>
      </c>
      <c r="AJ988" s="12" t="n"/>
      <c r="AK988" s="14">
        <f>IF($B988="","",IF($AO988="","対象年月が未入力／","")&amp;IF($B988="","",IF($AN988="","職員マスタに未登録の職員番号／",IF($Y988="","標準報酬月額が未登録／","")&amp;IF(AND($AO988&lt;&gt;"",OR(AND(INDEX(職員マスタ!$G$6:$G$405,$AN988)&lt;&gt;"",INDEX(職員マスタ!$G$6:$G$405,$AN988)&gt;EOMONTH($AO988,0)),AND(INDEX(職員マスタ!$H$6:$H$405,$AN988)&lt;&gt;"",INDEX(職員マスタ!$H$6:$H$405,$AN988)&lt;$AO988))),"対象月が時短期間外／","")&amp;IF(AND(INDEX(職員マスタ!$F$6:$F$405,$AN988)&lt;&gt;"",$AO988&lt;&gt;"",INDEX(職員マスタ!$F$6:$F$405,$AN988)&lt;$AO988),"対象月に子が2歳到達済／","")&amp;IF(AND($H988&lt;&gt;"",INDEX(職員マスタ!$B$6:$B$405,$AN988)&lt;&gt;"",SUBSTITUTE(SUBSTITUTE($H988," ","")," ","")&lt;&gt;SUBSTITUTE(SUBSTITUTE(INDEX(職員マスタ!$B$6:$B$405,$AN988)," ","")," ","")),"氏名がマスタと相違／","")&amp;IF(AND($Q988&lt;&gt;"",INDEX(職員マスタ!$E$6:$E$405,$AN988)&lt;&gt;"",$Q988&lt;&gt;INDEX(職員マスタ!$E$6:$E$405,$AN988)),"子の生年月日がマスタと相違／","")&amp;IF(AND($L988&lt;&gt;"",INDEX(職員マスタ!$G$6:$G$405,$AN988)&lt;&gt;"",$L988&lt;&gt;INDEX(職員マスタ!$G$6:$G$405,$AN988)),"時短開始日がマスタと相違／","")&amp;IF(AND($M988&lt;&gt;"",INDEX(職員マスタ!$H$6:$H$405,$AN988)&lt;&gt;"",$M988&lt;&gt;INDEX(職員マスタ!$H$6:$H$405,$AN988)),"時短終了日がマスタと相違／","")))&amp;IF(AND($B988&lt;&gt;"",$E988=""),"報酬額が未入力／","")&amp;IF(N($U988)&gt;0,"申請書に入力エラーが残っています／","")&amp;IF(AND($B988&lt;&gt;"",$AO988&lt;&gt;""),IF(COUNTIFS($B$6:$B$3005,$B988,$C$6:$C$3005,$C988,$D$6:$D$3005,$D988)&gt;1,"同じ月の請求が重複しています／",""),"")&amp;IF(AND(N($E988)&gt;0,$Z988&lt;&gt;"",$Z988&lt;&gt;"×",$AC988=0,$AB988=""),"計算額が下限以下のため不支給／",""))</f>
        <v/>
      </c>
      <c r="AL988" s="12" t="n"/>
      <c r="AM988" s="14">
        <f>IF($AD988="保留中",COUNTIF($AD$6:$AD988,"保留中"),"")</f>
        <v/>
      </c>
      <c r="AN988" s="14">
        <f>IF($AO988="","",IF(SUMPRODUCT(MAX((職員マスタ!$A$6:$A$405=$B988)*(((職員マスタ!$G$6:$G$405="")+(職員マスタ!$G$6:$G$405&lt;=EOMONTH($AO988,0)))&gt;0)*(((職員マスタ!$H$6:$H$405="")+(職員マスタ!$H$6:$H$405&gt;=$AO988))&gt;0)*(ROW(職員マスタ!$A$6:$A$405)-5)))&gt;0,SUMPRODUCT(MAX((職員マスタ!$A$6:$A$405=$B988)*(((職員マスタ!$G$6:$G$405="")+(職員マスタ!$G$6:$G$405&lt;=EOMONTH($AO988,0)))&gt;0)*(((職員マスタ!$H$6:$H$405="")+(職員マスタ!$H$6:$H$405&gt;=$AO988))&gt;0)*(ROW(職員マスタ!$A$6:$A$405)-5))),IFERROR(MATCH($B988,職員マスタ!$A$6:$A$405,0),"")))</f>
        <v/>
      </c>
      <c r="AO988" s="16">
        <f>IF(OR($B988="",$C988="",$D988=""),"",DATE($C988+2018,$D988,1))</f>
        <v/>
      </c>
    </row>
    <row r="989">
      <c r="A989" s="11" t="n"/>
      <c r="B989" s="12" t="n"/>
      <c r="C989" s="12" t="n"/>
      <c r="D989" s="12" t="n"/>
      <c r="E989" s="13" t="n"/>
      <c r="F989" s="12" t="n"/>
      <c r="G989" s="13" t="n"/>
      <c r="H989" s="12" t="n"/>
      <c r="I989" s="12" t="n"/>
      <c r="J989" s="12" t="n"/>
      <c r="K989" s="12" t="n"/>
      <c r="L989" s="11" t="n"/>
      <c r="M989" s="11" t="n"/>
      <c r="N989" s="11" t="n"/>
      <c r="O989" s="11" t="n"/>
      <c r="P989" s="12" t="n"/>
      <c r="Q989" s="11" t="n"/>
      <c r="R989" s="12" t="n"/>
      <c r="S989" s="11" t="n"/>
      <c r="T989" s="12" t="n"/>
      <c r="U989" s="12" t="n"/>
      <c r="V989" s="14">
        <f>IF($AN989="",IF($B989="","",$H989),IF(INDEX(職員マスタ!$B$6:$B$405,$AN989)="",$H989,INDEX(職員マスタ!$B$6:$B$405,$AN989)))</f>
        <v/>
      </c>
      <c r="W989" s="14">
        <f>IF($AN989="",IF($B989="","",$R989),IF(INDEX(職員マスタ!$C$6:$C$405,$AN989)="",$R989,INDEX(職員マスタ!$C$6:$C$405,$AN989)))</f>
        <v/>
      </c>
      <c r="X989" s="14">
        <f>IF($AO989="","","R"&amp;$C989&amp;"."&amp;$D989)</f>
        <v/>
      </c>
      <c r="Y989" s="15">
        <f>IF($AN989="","",IF(INDEX(職員マスタ!$K$6:$K$405,$AN989)="","",INDEX(職員マスタ!$K$6:$K$405,$AN989)))</f>
        <v/>
      </c>
      <c r="Z989" s="14">
        <f>IF(OR($E989="",$Y989=""),"",IF($E989&gt;=$Y989,"×",IF($E989&gt;=$Y989*設定!$C$5,"△","○")))</f>
        <v/>
      </c>
      <c r="AA989" s="15">
        <f>IF($Z989="","",IF($Z989="×",0,IF($Z989="○",ROUNDDOWN($E989*設定!$C$4,0),ROUNDDOWN($E989*ROUND((9*$Y989-9*$E989)/(10*$E989),4),0))))</f>
        <v/>
      </c>
      <c r="AB989" s="13" t="n"/>
      <c r="AC989" s="15">
        <f>IF($B989="","",IF($AB989&lt;&gt;"",$AB989,IF($AA989="","",IF($AA989&lt;=設定!$C$3,0,$AA989))))</f>
        <v/>
      </c>
      <c r="AD989" s="14">
        <f>IF($B989="","",IF(AND($AE989&lt;&gt;"",$AG989="",$AJ989=""),"保留中",IF($AJ989&lt;&gt;"",IF(N($AC989)&gt;0,"支給済","不支給"),IF($AC989="","要確認",IF($AC989=0,"不支給","未処理")))))</f>
        <v/>
      </c>
      <c r="AE989" s="12" t="n"/>
      <c r="AF989" s="11" t="n"/>
      <c r="AG989" s="11" t="n"/>
      <c r="AH989" s="11" t="n"/>
      <c r="AI989" s="14">
        <f>IF(AND($AD989="保留中",$AF989&lt;&gt;""),TODAY()-$AF989,"")</f>
        <v/>
      </c>
      <c r="AJ989" s="12" t="n"/>
      <c r="AK989" s="14">
        <f>IF($B989="","",IF($AO989="","対象年月が未入力／","")&amp;IF($B989="","",IF($AN989="","職員マスタに未登録の職員番号／",IF($Y989="","標準報酬月額が未登録／","")&amp;IF(AND($AO989&lt;&gt;"",OR(AND(INDEX(職員マスタ!$G$6:$G$405,$AN989)&lt;&gt;"",INDEX(職員マスタ!$G$6:$G$405,$AN989)&gt;EOMONTH($AO989,0)),AND(INDEX(職員マスタ!$H$6:$H$405,$AN989)&lt;&gt;"",INDEX(職員マスタ!$H$6:$H$405,$AN989)&lt;$AO989))),"対象月が時短期間外／","")&amp;IF(AND(INDEX(職員マスタ!$F$6:$F$405,$AN989)&lt;&gt;"",$AO989&lt;&gt;"",INDEX(職員マスタ!$F$6:$F$405,$AN989)&lt;$AO989),"対象月に子が2歳到達済／","")&amp;IF(AND($H989&lt;&gt;"",INDEX(職員マスタ!$B$6:$B$405,$AN989)&lt;&gt;"",SUBSTITUTE(SUBSTITUTE($H989," ","")," ","")&lt;&gt;SUBSTITUTE(SUBSTITUTE(INDEX(職員マスタ!$B$6:$B$405,$AN989)," ","")," ","")),"氏名がマスタと相違／","")&amp;IF(AND($Q989&lt;&gt;"",INDEX(職員マスタ!$E$6:$E$405,$AN989)&lt;&gt;"",$Q989&lt;&gt;INDEX(職員マスタ!$E$6:$E$405,$AN989)),"子の生年月日がマスタと相違／","")&amp;IF(AND($L989&lt;&gt;"",INDEX(職員マスタ!$G$6:$G$405,$AN989)&lt;&gt;"",$L989&lt;&gt;INDEX(職員マスタ!$G$6:$G$405,$AN989)),"時短開始日がマスタと相違／","")&amp;IF(AND($M989&lt;&gt;"",INDEX(職員マスタ!$H$6:$H$405,$AN989)&lt;&gt;"",$M989&lt;&gt;INDEX(職員マスタ!$H$6:$H$405,$AN989)),"時短終了日がマスタと相違／","")))&amp;IF(AND($B989&lt;&gt;"",$E989=""),"報酬額が未入力／","")&amp;IF(N($U989)&gt;0,"申請書に入力エラーが残っています／","")&amp;IF(AND($B989&lt;&gt;"",$AO989&lt;&gt;""),IF(COUNTIFS($B$6:$B$3005,$B989,$C$6:$C$3005,$C989,$D$6:$D$3005,$D989)&gt;1,"同じ月の請求が重複しています／",""),"")&amp;IF(AND(N($E989)&gt;0,$Z989&lt;&gt;"",$Z989&lt;&gt;"×",$AC989=0,$AB989=""),"計算額が下限以下のため不支給／",""))</f>
        <v/>
      </c>
      <c r="AL989" s="12" t="n"/>
      <c r="AM989" s="14">
        <f>IF($AD989="保留中",COUNTIF($AD$6:$AD989,"保留中"),"")</f>
        <v/>
      </c>
      <c r="AN989" s="14">
        <f>IF($AO989="","",IF(SUMPRODUCT(MAX((職員マスタ!$A$6:$A$405=$B989)*(((職員マスタ!$G$6:$G$405="")+(職員マスタ!$G$6:$G$405&lt;=EOMONTH($AO989,0)))&gt;0)*(((職員マスタ!$H$6:$H$405="")+(職員マスタ!$H$6:$H$405&gt;=$AO989))&gt;0)*(ROW(職員マスタ!$A$6:$A$405)-5)))&gt;0,SUMPRODUCT(MAX((職員マスタ!$A$6:$A$405=$B989)*(((職員マスタ!$G$6:$G$405="")+(職員マスタ!$G$6:$G$405&lt;=EOMONTH($AO989,0)))&gt;0)*(((職員マスタ!$H$6:$H$405="")+(職員マスタ!$H$6:$H$405&gt;=$AO989))&gt;0)*(ROW(職員マスタ!$A$6:$A$405)-5))),IFERROR(MATCH($B989,職員マスタ!$A$6:$A$405,0),"")))</f>
        <v/>
      </c>
      <c r="AO989" s="16">
        <f>IF(OR($B989="",$C989="",$D989=""),"",DATE($C989+2018,$D989,1))</f>
        <v/>
      </c>
    </row>
    <row r="990">
      <c r="A990" s="11" t="n"/>
      <c r="B990" s="12" t="n"/>
      <c r="C990" s="12" t="n"/>
      <c r="D990" s="12" t="n"/>
      <c r="E990" s="13" t="n"/>
      <c r="F990" s="12" t="n"/>
      <c r="G990" s="13" t="n"/>
      <c r="H990" s="12" t="n"/>
      <c r="I990" s="12" t="n"/>
      <c r="J990" s="12" t="n"/>
      <c r="K990" s="12" t="n"/>
      <c r="L990" s="11" t="n"/>
      <c r="M990" s="11" t="n"/>
      <c r="N990" s="11" t="n"/>
      <c r="O990" s="11" t="n"/>
      <c r="P990" s="12" t="n"/>
      <c r="Q990" s="11" t="n"/>
      <c r="R990" s="12" t="n"/>
      <c r="S990" s="11" t="n"/>
      <c r="T990" s="12" t="n"/>
      <c r="U990" s="12" t="n"/>
      <c r="V990" s="14">
        <f>IF($AN990="",IF($B990="","",$H990),IF(INDEX(職員マスタ!$B$6:$B$405,$AN990)="",$H990,INDEX(職員マスタ!$B$6:$B$405,$AN990)))</f>
        <v/>
      </c>
      <c r="W990" s="14">
        <f>IF($AN990="",IF($B990="","",$R990),IF(INDEX(職員マスタ!$C$6:$C$405,$AN990)="",$R990,INDEX(職員マスタ!$C$6:$C$405,$AN990)))</f>
        <v/>
      </c>
      <c r="X990" s="14">
        <f>IF($AO990="","","R"&amp;$C990&amp;"."&amp;$D990)</f>
        <v/>
      </c>
      <c r="Y990" s="15">
        <f>IF($AN990="","",IF(INDEX(職員マスタ!$K$6:$K$405,$AN990)="","",INDEX(職員マスタ!$K$6:$K$405,$AN990)))</f>
        <v/>
      </c>
      <c r="Z990" s="14">
        <f>IF(OR($E990="",$Y990=""),"",IF($E990&gt;=$Y990,"×",IF($E990&gt;=$Y990*設定!$C$5,"△","○")))</f>
        <v/>
      </c>
      <c r="AA990" s="15">
        <f>IF($Z990="","",IF($Z990="×",0,IF($Z990="○",ROUNDDOWN($E990*設定!$C$4,0),ROUNDDOWN($E990*ROUND((9*$Y990-9*$E990)/(10*$E990),4),0))))</f>
        <v/>
      </c>
      <c r="AB990" s="13" t="n"/>
      <c r="AC990" s="15">
        <f>IF($B990="","",IF($AB990&lt;&gt;"",$AB990,IF($AA990="","",IF($AA990&lt;=設定!$C$3,0,$AA990))))</f>
        <v/>
      </c>
      <c r="AD990" s="14">
        <f>IF($B990="","",IF(AND($AE990&lt;&gt;"",$AG990="",$AJ990=""),"保留中",IF($AJ990&lt;&gt;"",IF(N($AC990)&gt;0,"支給済","不支給"),IF($AC990="","要確認",IF($AC990=0,"不支給","未処理")))))</f>
        <v/>
      </c>
      <c r="AE990" s="12" t="n"/>
      <c r="AF990" s="11" t="n"/>
      <c r="AG990" s="11" t="n"/>
      <c r="AH990" s="11" t="n"/>
      <c r="AI990" s="14">
        <f>IF(AND($AD990="保留中",$AF990&lt;&gt;""),TODAY()-$AF990,"")</f>
        <v/>
      </c>
      <c r="AJ990" s="12" t="n"/>
      <c r="AK990" s="14">
        <f>IF($B990="","",IF($AO990="","対象年月が未入力／","")&amp;IF($B990="","",IF($AN990="","職員マスタに未登録の職員番号／",IF($Y990="","標準報酬月額が未登録／","")&amp;IF(AND($AO990&lt;&gt;"",OR(AND(INDEX(職員マスタ!$G$6:$G$405,$AN990)&lt;&gt;"",INDEX(職員マスタ!$G$6:$G$405,$AN990)&gt;EOMONTH($AO990,0)),AND(INDEX(職員マスタ!$H$6:$H$405,$AN990)&lt;&gt;"",INDEX(職員マスタ!$H$6:$H$405,$AN990)&lt;$AO990))),"対象月が時短期間外／","")&amp;IF(AND(INDEX(職員マスタ!$F$6:$F$405,$AN990)&lt;&gt;"",$AO990&lt;&gt;"",INDEX(職員マスタ!$F$6:$F$405,$AN990)&lt;$AO990),"対象月に子が2歳到達済／","")&amp;IF(AND($H990&lt;&gt;"",INDEX(職員マスタ!$B$6:$B$405,$AN990)&lt;&gt;"",SUBSTITUTE(SUBSTITUTE($H990," ","")," ","")&lt;&gt;SUBSTITUTE(SUBSTITUTE(INDEX(職員マスタ!$B$6:$B$405,$AN990)," ","")," ","")),"氏名がマスタと相違／","")&amp;IF(AND($Q990&lt;&gt;"",INDEX(職員マスタ!$E$6:$E$405,$AN990)&lt;&gt;"",$Q990&lt;&gt;INDEX(職員マスタ!$E$6:$E$405,$AN990)),"子の生年月日がマスタと相違／","")&amp;IF(AND($L990&lt;&gt;"",INDEX(職員マスタ!$G$6:$G$405,$AN990)&lt;&gt;"",$L990&lt;&gt;INDEX(職員マスタ!$G$6:$G$405,$AN990)),"時短開始日がマスタと相違／","")&amp;IF(AND($M990&lt;&gt;"",INDEX(職員マスタ!$H$6:$H$405,$AN990)&lt;&gt;"",$M990&lt;&gt;INDEX(職員マスタ!$H$6:$H$405,$AN990)),"時短終了日がマスタと相違／","")))&amp;IF(AND($B990&lt;&gt;"",$E990=""),"報酬額が未入力／","")&amp;IF(N($U990)&gt;0,"申請書に入力エラーが残っています／","")&amp;IF(AND($B990&lt;&gt;"",$AO990&lt;&gt;""),IF(COUNTIFS($B$6:$B$3005,$B990,$C$6:$C$3005,$C990,$D$6:$D$3005,$D990)&gt;1,"同じ月の請求が重複しています／",""),"")&amp;IF(AND(N($E990)&gt;0,$Z990&lt;&gt;"",$Z990&lt;&gt;"×",$AC990=0,$AB990=""),"計算額が下限以下のため不支給／",""))</f>
        <v/>
      </c>
      <c r="AL990" s="12" t="n"/>
      <c r="AM990" s="14">
        <f>IF($AD990="保留中",COUNTIF($AD$6:$AD990,"保留中"),"")</f>
        <v/>
      </c>
      <c r="AN990" s="14">
        <f>IF($AO990="","",IF(SUMPRODUCT(MAX((職員マスタ!$A$6:$A$405=$B990)*(((職員マスタ!$G$6:$G$405="")+(職員マスタ!$G$6:$G$405&lt;=EOMONTH($AO990,0)))&gt;0)*(((職員マスタ!$H$6:$H$405="")+(職員マスタ!$H$6:$H$405&gt;=$AO990))&gt;0)*(ROW(職員マスタ!$A$6:$A$405)-5)))&gt;0,SUMPRODUCT(MAX((職員マスタ!$A$6:$A$405=$B990)*(((職員マスタ!$G$6:$G$405="")+(職員マスタ!$G$6:$G$405&lt;=EOMONTH($AO990,0)))&gt;0)*(((職員マスタ!$H$6:$H$405="")+(職員マスタ!$H$6:$H$405&gt;=$AO990))&gt;0)*(ROW(職員マスタ!$A$6:$A$405)-5))),IFERROR(MATCH($B990,職員マスタ!$A$6:$A$405,0),"")))</f>
        <v/>
      </c>
      <c r="AO990" s="16">
        <f>IF(OR($B990="",$C990="",$D990=""),"",DATE($C990+2018,$D990,1))</f>
        <v/>
      </c>
    </row>
    <row r="991">
      <c r="A991" s="11" t="n"/>
      <c r="B991" s="12" t="n"/>
      <c r="C991" s="12" t="n"/>
      <c r="D991" s="12" t="n"/>
      <c r="E991" s="13" t="n"/>
      <c r="F991" s="12" t="n"/>
      <c r="G991" s="13" t="n"/>
      <c r="H991" s="12" t="n"/>
      <c r="I991" s="12" t="n"/>
      <c r="J991" s="12" t="n"/>
      <c r="K991" s="12" t="n"/>
      <c r="L991" s="11" t="n"/>
      <c r="M991" s="11" t="n"/>
      <c r="N991" s="11" t="n"/>
      <c r="O991" s="11" t="n"/>
      <c r="P991" s="12" t="n"/>
      <c r="Q991" s="11" t="n"/>
      <c r="R991" s="12" t="n"/>
      <c r="S991" s="11" t="n"/>
      <c r="T991" s="12" t="n"/>
      <c r="U991" s="12" t="n"/>
      <c r="V991" s="14">
        <f>IF($AN991="",IF($B991="","",$H991),IF(INDEX(職員マスタ!$B$6:$B$405,$AN991)="",$H991,INDEX(職員マスタ!$B$6:$B$405,$AN991)))</f>
        <v/>
      </c>
      <c r="W991" s="14">
        <f>IF($AN991="",IF($B991="","",$R991),IF(INDEX(職員マスタ!$C$6:$C$405,$AN991)="",$R991,INDEX(職員マスタ!$C$6:$C$405,$AN991)))</f>
        <v/>
      </c>
      <c r="X991" s="14">
        <f>IF($AO991="","","R"&amp;$C991&amp;"."&amp;$D991)</f>
        <v/>
      </c>
      <c r="Y991" s="15">
        <f>IF($AN991="","",IF(INDEX(職員マスタ!$K$6:$K$405,$AN991)="","",INDEX(職員マスタ!$K$6:$K$405,$AN991)))</f>
        <v/>
      </c>
      <c r="Z991" s="14">
        <f>IF(OR($E991="",$Y991=""),"",IF($E991&gt;=$Y991,"×",IF($E991&gt;=$Y991*設定!$C$5,"△","○")))</f>
        <v/>
      </c>
      <c r="AA991" s="15">
        <f>IF($Z991="","",IF($Z991="×",0,IF($Z991="○",ROUNDDOWN($E991*設定!$C$4,0),ROUNDDOWN($E991*ROUND((9*$Y991-9*$E991)/(10*$E991),4),0))))</f>
        <v/>
      </c>
      <c r="AB991" s="13" t="n"/>
      <c r="AC991" s="15">
        <f>IF($B991="","",IF($AB991&lt;&gt;"",$AB991,IF($AA991="","",IF($AA991&lt;=設定!$C$3,0,$AA991))))</f>
        <v/>
      </c>
      <c r="AD991" s="14">
        <f>IF($B991="","",IF(AND($AE991&lt;&gt;"",$AG991="",$AJ991=""),"保留中",IF($AJ991&lt;&gt;"",IF(N($AC991)&gt;0,"支給済","不支給"),IF($AC991="","要確認",IF($AC991=0,"不支給","未処理")))))</f>
        <v/>
      </c>
      <c r="AE991" s="12" t="n"/>
      <c r="AF991" s="11" t="n"/>
      <c r="AG991" s="11" t="n"/>
      <c r="AH991" s="11" t="n"/>
      <c r="AI991" s="14">
        <f>IF(AND($AD991="保留中",$AF991&lt;&gt;""),TODAY()-$AF991,"")</f>
        <v/>
      </c>
      <c r="AJ991" s="12" t="n"/>
      <c r="AK991" s="14">
        <f>IF($B991="","",IF($AO991="","対象年月が未入力／","")&amp;IF($B991="","",IF($AN991="","職員マスタに未登録の職員番号／",IF($Y991="","標準報酬月額が未登録／","")&amp;IF(AND($AO991&lt;&gt;"",OR(AND(INDEX(職員マスタ!$G$6:$G$405,$AN991)&lt;&gt;"",INDEX(職員マスタ!$G$6:$G$405,$AN991)&gt;EOMONTH($AO991,0)),AND(INDEX(職員マスタ!$H$6:$H$405,$AN991)&lt;&gt;"",INDEX(職員マスタ!$H$6:$H$405,$AN991)&lt;$AO991))),"対象月が時短期間外／","")&amp;IF(AND(INDEX(職員マスタ!$F$6:$F$405,$AN991)&lt;&gt;"",$AO991&lt;&gt;"",INDEX(職員マスタ!$F$6:$F$405,$AN991)&lt;$AO991),"対象月に子が2歳到達済／","")&amp;IF(AND($H991&lt;&gt;"",INDEX(職員マスタ!$B$6:$B$405,$AN991)&lt;&gt;"",SUBSTITUTE(SUBSTITUTE($H991," ","")," ","")&lt;&gt;SUBSTITUTE(SUBSTITUTE(INDEX(職員マスタ!$B$6:$B$405,$AN991)," ","")," ","")),"氏名がマスタと相違／","")&amp;IF(AND($Q991&lt;&gt;"",INDEX(職員マスタ!$E$6:$E$405,$AN991)&lt;&gt;"",$Q991&lt;&gt;INDEX(職員マスタ!$E$6:$E$405,$AN991)),"子の生年月日がマスタと相違／","")&amp;IF(AND($L991&lt;&gt;"",INDEX(職員マスタ!$G$6:$G$405,$AN991)&lt;&gt;"",$L991&lt;&gt;INDEX(職員マスタ!$G$6:$G$405,$AN991)),"時短開始日がマスタと相違／","")&amp;IF(AND($M991&lt;&gt;"",INDEX(職員マスタ!$H$6:$H$405,$AN991)&lt;&gt;"",$M991&lt;&gt;INDEX(職員マスタ!$H$6:$H$405,$AN991)),"時短終了日がマスタと相違／","")))&amp;IF(AND($B991&lt;&gt;"",$E991=""),"報酬額が未入力／","")&amp;IF(N($U991)&gt;0,"申請書に入力エラーが残っています／","")&amp;IF(AND($B991&lt;&gt;"",$AO991&lt;&gt;""),IF(COUNTIFS($B$6:$B$3005,$B991,$C$6:$C$3005,$C991,$D$6:$D$3005,$D991)&gt;1,"同じ月の請求が重複しています／",""),"")&amp;IF(AND(N($E991)&gt;0,$Z991&lt;&gt;"",$Z991&lt;&gt;"×",$AC991=0,$AB991=""),"計算額が下限以下のため不支給／",""))</f>
        <v/>
      </c>
      <c r="AL991" s="12" t="n"/>
      <c r="AM991" s="14">
        <f>IF($AD991="保留中",COUNTIF($AD$6:$AD991,"保留中"),"")</f>
        <v/>
      </c>
      <c r="AN991" s="14">
        <f>IF($AO991="","",IF(SUMPRODUCT(MAX((職員マスタ!$A$6:$A$405=$B991)*(((職員マスタ!$G$6:$G$405="")+(職員マスタ!$G$6:$G$405&lt;=EOMONTH($AO991,0)))&gt;0)*(((職員マスタ!$H$6:$H$405="")+(職員マスタ!$H$6:$H$405&gt;=$AO991))&gt;0)*(ROW(職員マスタ!$A$6:$A$405)-5)))&gt;0,SUMPRODUCT(MAX((職員マスタ!$A$6:$A$405=$B991)*(((職員マスタ!$G$6:$G$405="")+(職員マスタ!$G$6:$G$405&lt;=EOMONTH($AO991,0)))&gt;0)*(((職員マスタ!$H$6:$H$405="")+(職員マスタ!$H$6:$H$405&gt;=$AO991))&gt;0)*(ROW(職員マスタ!$A$6:$A$405)-5))),IFERROR(MATCH($B991,職員マスタ!$A$6:$A$405,0),"")))</f>
        <v/>
      </c>
      <c r="AO991" s="16">
        <f>IF(OR($B991="",$C991="",$D991=""),"",DATE($C991+2018,$D991,1))</f>
        <v/>
      </c>
    </row>
    <row r="992">
      <c r="A992" s="11" t="n"/>
      <c r="B992" s="12" t="n"/>
      <c r="C992" s="12" t="n"/>
      <c r="D992" s="12" t="n"/>
      <c r="E992" s="13" t="n"/>
      <c r="F992" s="12" t="n"/>
      <c r="G992" s="13" t="n"/>
      <c r="H992" s="12" t="n"/>
      <c r="I992" s="12" t="n"/>
      <c r="J992" s="12" t="n"/>
      <c r="K992" s="12" t="n"/>
      <c r="L992" s="11" t="n"/>
      <c r="M992" s="11" t="n"/>
      <c r="N992" s="11" t="n"/>
      <c r="O992" s="11" t="n"/>
      <c r="P992" s="12" t="n"/>
      <c r="Q992" s="11" t="n"/>
      <c r="R992" s="12" t="n"/>
      <c r="S992" s="11" t="n"/>
      <c r="T992" s="12" t="n"/>
      <c r="U992" s="12" t="n"/>
      <c r="V992" s="14">
        <f>IF($AN992="",IF($B992="","",$H992),IF(INDEX(職員マスタ!$B$6:$B$405,$AN992)="",$H992,INDEX(職員マスタ!$B$6:$B$405,$AN992)))</f>
        <v/>
      </c>
      <c r="W992" s="14">
        <f>IF($AN992="",IF($B992="","",$R992),IF(INDEX(職員マスタ!$C$6:$C$405,$AN992)="",$R992,INDEX(職員マスタ!$C$6:$C$405,$AN992)))</f>
        <v/>
      </c>
      <c r="X992" s="14">
        <f>IF($AO992="","","R"&amp;$C992&amp;"."&amp;$D992)</f>
        <v/>
      </c>
      <c r="Y992" s="15">
        <f>IF($AN992="","",IF(INDEX(職員マスタ!$K$6:$K$405,$AN992)="","",INDEX(職員マスタ!$K$6:$K$405,$AN992)))</f>
        <v/>
      </c>
      <c r="Z992" s="14">
        <f>IF(OR($E992="",$Y992=""),"",IF($E992&gt;=$Y992,"×",IF($E992&gt;=$Y992*設定!$C$5,"△","○")))</f>
        <v/>
      </c>
      <c r="AA992" s="15">
        <f>IF($Z992="","",IF($Z992="×",0,IF($Z992="○",ROUNDDOWN($E992*設定!$C$4,0),ROUNDDOWN($E992*ROUND((9*$Y992-9*$E992)/(10*$E992),4),0))))</f>
        <v/>
      </c>
      <c r="AB992" s="13" t="n"/>
      <c r="AC992" s="15">
        <f>IF($B992="","",IF($AB992&lt;&gt;"",$AB992,IF($AA992="","",IF($AA992&lt;=設定!$C$3,0,$AA992))))</f>
        <v/>
      </c>
      <c r="AD992" s="14">
        <f>IF($B992="","",IF(AND($AE992&lt;&gt;"",$AG992="",$AJ992=""),"保留中",IF($AJ992&lt;&gt;"",IF(N($AC992)&gt;0,"支給済","不支給"),IF($AC992="","要確認",IF($AC992=0,"不支給","未処理")))))</f>
        <v/>
      </c>
      <c r="AE992" s="12" t="n"/>
      <c r="AF992" s="11" t="n"/>
      <c r="AG992" s="11" t="n"/>
      <c r="AH992" s="11" t="n"/>
      <c r="AI992" s="14">
        <f>IF(AND($AD992="保留中",$AF992&lt;&gt;""),TODAY()-$AF992,"")</f>
        <v/>
      </c>
      <c r="AJ992" s="12" t="n"/>
      <c r="AK992" s="14">
        <f>IF($B992="","",IF($AO992="","対象年月が未入力／","")&amp;IF($B992="","",IF($AN992="","職員マスタに未登録の職員番号／",IF($Y992="","標準報酬月額が未登録／","")&amp;IF(AND($AO992&lt;&gt;"",OR(AND(INDEX(職員マスタ!$G$6:$G$405,$AN992)&lt;&gt;"",INDEX(職員マスタ!$G$6:$G$405,$AN992)&gt;EOMONTH($AO992,0)),AND(INDEX(職員マスタ!$H$6:$H$405,$AN992)&lt;&gt;"",INDEX(職員マスタ!$H$6:$H$405,$AN992)&lt;$AO992))),"対象月が時短期間外／","")&amp;IF(AND(INDEX(職員マスタ!$F$6:$F$405,$AN992)&lt;&gt;"",$AO992&lt;&gt;"",INDEX(職員マスタ!$F$6:$F$405,$AN992)&lt;$AO992),"対象月に子が2歳到達済／","")&amp;IF(AND($H992&lt;&gt;"",INDEX(職員マスタ!$B$6:$B$405,$AN992)&lt;&gt;"",SUBSTITUTE(SUBSTITUTE($H992," ","")," ","")&lt;&gt;SUBSTITUTE(SUBSTITUTE(INDEX(職員マスタ!$B$6:$B$405,$AN992)," ","")," ","")),"氏名がマスタと相違／","")&amp;IF(AND($Q992&lt;&gt;"",INDEX(職員マスタ!$E$6:$E$405,$AN992)&lt;&gt;"",$Q992&lt;&gt;INDEX(職員マスタ!$E$6:$E$405,$AN992)),"子の生年月日がマスタと相違／","")&amp;IF(AND($L992&lt;&gt;"",INDEX(職員マスタ!$G$6:$G$405,$AN992)&lt;&gt;"",$L992&lt;&gt;INDEX(職員マスタ!$G$6:$G$405,$AN992)),"時短開始日がマスタと相違／","")&amp;IF(AND($M992&lt;&gt;"",INDEX(職員マスタ!$H$6:$H$405,$AN992)&lt;&gt;"",$M992&lt;&gt;INDEX(職員マスタ!$H$6:$H$405,$AN992)),"時短終了日がマスタと相違／","")))&amp;IF(AND($B992&lt;&gt;"",$E992=""),"報酬額が未入力／","")&amp;IF(N($U992)&gt;0,"申請書に入力エラーが残っています／","")&amp;IF(AND($B992&lt;&gt;"",$AO992&lt;&gt;""),IF(COUNTIFS($B$6:$B$3005,$B992,$C$6:$C$3005,$C992,$D$6:$D$3005,$D992)&gt;1,"同じ月の請求が重複しています／",""),"")&amp;IF(AND(N($E992)&gt;0,$Z992&lt;&gt;"",$Z992&lt;&gt;"×",$AC992=0,$AB992=""),"計算額が下限以下のため不支給／",""))</f>
        <v/>
      </c>
      <c r="AL992" s="12" t="n"/>
      <c r="AM992" s="14">
        <f>IF($AD992="保留中",COUNTIF($AD$6:$AD992,"保留中"),"")</f>
        <v/>
      </c>
      <c r="AN992" s="14">
        <f>IF($AO992="","",IF(SUMPRODUCT(MAX((職員マスタ!$A$6:$A$405=$B992)*(((職員マスタ!$G$6:$G$405="")+(職員マスタ!$G$6:$G$405&lt;=EOMONTH($AO992,0)))&gt;0)*(((職員マスタ!$H$6:$H$405="")+(職員マスタ!$H$6:$H$405&gt;=$AO992))&gt;0)*(ROW(職員マスタ!$A$6:$A$405)-5)))&gt;0,SUMPRODUCT(MAX((職員マスタ!$A$6:$A$405=$B992)*(((職員マスタ!$G$6:$G$405="")+(職員マスタ!$G$6:$G$405&lt;=EOMONTH($AO992,0)))&gt;0)*(((職員マスタ!$H$6:$H$405="")+(職員マスタ!$H$6:$H$405&gt;=$AO992))&gt;0)*(ROW(職員マスタ!$A$6:$A$405)-5))),IFERROR(MATCH($B992,職員マスタ!$A$6:$A$405,0),"")))</f>
        <v/>
      </c>
      <c r="AO992" s="16">
        <f>IF(OR($B992="",$C992="",$D992=""),"",DATE($C992+2018,$D992,1))</f>
        <v/>
      </c>
    </row>
    <row r="993">
      <c r="A993" s="11" t="n"/>
      <c r="B993" s="12" t="n"/>
      <c r="C993" s="12" t="n"/>
      <c r="D993" s="12" t="n"/>
      <c r="E993" s="13" t="n"/>
      <c r="F993" s="12" t="n"/>
      <c r="G993" s="13" t="n"/>
      <c r="H993" s="12" t="n"/>
      <c r="I993" s="12" t="n"/>
      <c r="J993" s="12" t="n"/>
      <c r="K993" s="12" t="n"/>
      <c r="L993" s="11" t="n"/>
      <c r="M993" s="11" t="n"/>
      <c r="N993" s="11" t="n"/>
      <c r="O993" s="11" t="n"/>
      <c r="P993" s="12" t="n"/>
      <c r="Q993" s="11" t="n"/>
      <c r="R993" s="12" t="n"/>
      <c r="S993" s="11" t="n"/>
      <c r="T993" s="12" t="n"/>
      <c r="U993" s="12" t="n"/>
      <c r="V993" s="14">
        <f>IF($AN993="",IF($B993="","",$H993),IF(INDEX(職員マスタ!$B$6:$B$405,$AN993)="",$H993,INDEX(職員マスタ!$B$6:$B$405,$AN993)))</f>
        <v/>
      </c>
      <c r="W993" s="14">
        <f>IF($AN993="",IF($B993="","",$R993),IF(INDEX(職員マスタ!$C$6:$C$405,$AN993)="",$R993,INDEX(職員マスタ!$C$6:$C$405,$AN993)))</f>
        <v/>
      </c>
      <c r="X993" s="14">
        <f>IF($AO993="","","R"&amp;$C993&amp;"."&amp;$D993)</f>
        <v/>
      </c>
      <c r="Y993" s="15">
        <f>IF($AN993="","",IF(INDEX(職員マスタ!$K$6:$K$405,$AN993)="","",INDEX(職員マスタ!$K$6:$K$405,$AN993)))</f>
        <v/>
      </c>
      <c r="Z993" s="14">
        <f>IF(OR($E993="",$Y993=""),"",IF($E993&gt;=$Y993,"×",IF($E993&gt;=$Y993*設定!$C$5,"△","○")))</f>
        <v/>
      </c>
      <c r="AA993" s="15">
        <f>IF($Z993="","",IF($Z993="×",0,IF($Z993="○",ROUNDDOWN($E993*設定!$C$4,0),ROUNDDOWN($E993*ROUND((9*$Y993-9*$E993)/(10*$E993),4),0))))</f>
        <v/>
      </c>
      <c r="AB993" s="13" t="n"/>
      <c r="AC993" s="15">
        <f>IF($B993="","",IF($AB993&lt;&gt;"",$AB993,IF($AA993="","",IF($AA993&lt;=設定!$C$3,0,$AA993))))</f>
        <v/>
      </c>
      <c r="AD993" s="14">
        <f>IF($B993="","",IF(AND($AE993&lt;&gt;"",$AG993="",$AJ993=""),"保留中",IF($AJ993&lt;&gt;"",IF(N($AC993)&gt;0,"支給済","不支給"),IF($AC993="","要確認",IF($AC993=0,"不支給","未処理")))))</f>
        <v/>
      </c>
      <c r="AE993" s="12" t="n"/>
      <c r="AF993" s="11" t="n"/>
      <c r="AG993" s="11" t="n"/>
      <c r="AH993" s="11" t="n"/>
      <c r="AI993" s="14">
        <f>IF(AND($AD993="保留中",$AF993&lt;&gt;""),TODAY()-$AF993,"")</f>
        <v/>
      </c>
      <c r="AJ993" s="12" t="n"/>
      <c r="AK993" s="14">
        <f>IF($B993="","",IF($AO993="","対象年月が未入力／","")&amp;IF($B993="","",IF($AN993="","職員マスタに未登録の職員番号／",IF($Y993="","標準報酬月額が未登録／","")&amp;IF(AND($AO993&lt;&gt;"",OR(AND(INDEX(職員マスタ!$G$6:$G$405,$AN993)&lt;&gt;"",INDEX(職員マスタ!$G$6:$G$405,$AN993)&gt;EOMONTH($AO993,0)),AND(INDEX(職員マスタ!$H$6:$H$405,$AN993)&lt;&gt;"",INDEX(職員マスタ!$H$6:$H$405,$AN993)&lt;$AO993))),"対象月が時短期間外／","")&amp;IF(AND(INDEX(職員マスタ!$F$6:$F$405,$AN993)&lt;&gt;"",$AO993&lt;&gt;"",INDEX(職員マスタ!$F$6:$F$405,$AN993)&lt;$AO993),"対象月に子が2歳到達済／","")&amp;IF(AND($H993&lt;&gt;"",INDEX(職員マスタ!$B$6:$B$405,$AN993)&lt;&gt;"",SUBSTITUTE(SUBSTITUTE($H993," ","")," ","")&lt;&gt;SUBSTITUTE(SUBSTITUTE(INDEX(職員マスタ!$B$6:$B$405,$AN993)," ","")," ","")),"氏名がマスタと相違／","")&amp;IF(AND($Q993&lt;&gt;"",INDEX(職員マスタ!$E$6:$E$405,$AN993)&lt;&gt;"",$Q993&lt;&gt;INDEX(職員マスタ!$E$6:$E$405,$AN993)),"子の生年月日がマスタと相違／","")&amp;IF(AND($L993&lt;&gt;"",INDEX(職員マスタ!$G$6:$G$405,$AN993)&lt;&gt;"",$L993&lt;&gt;INDEX(職員マスタ!$G$6:$G$405,$AN993)),"時短開始日がマスタと相違／","")&amp;IF(AND($M993&lt;&gt;"",INDEX(職員マスタ!$H$6:$H$405,$AN993)&lt;&gt;"",$M993&lt;&gt;INDEX(職員マスタ!$H$6:$H$405,$AN993)),"時短終了日がマスタと相違／","")))&amp;IF(AND($B993&lt;&gt;"",$E993=""),"報酬額が未入力／","")&amp;IF(N($U993)&gt;0,"申請書に入力エラーが残っています／","")&amp;IF(AND($B993&lt;&gt;"",$AO993&lt;&gt;""),IF(COUNTIFS($B$6:$B$3005,$B993,$C$6:$C$3005,$C993,$D$6:$D$3005,$D993)&gt;1,"同じ月の請求が重複しています／",""),"")&amp;IF(AND(N($E993)&gt;0,$Z993&lt;&gt;"",$Z993&lt;&gt;"×",$AC993=0,$AB993=""),"計算額が下限以下のため不支給／",""))</f>
        <v/>
      </c>
      <c r="AL993" s="12" t="n"/>
      <c r="AM993" s="14">
        <f>IF($AD993="保留中",COUNTIF($AD$6:$AD993,"保留中"),"")</f>
        <v/>
      </c>
      <c r="AN993" s="14">
        <f>IF($AO993="","",IF(SUMPRODUCT(MAX((職員マスタ!$A$6:$A$405=$B993)*(((職員マスタ!$G$6:$G$405="")+(職員マスタ!$G$6:$G$405&lt;=EOMONTH($AO993,0)))&gt;0)*(((職員マスタ!$H$6:$H$405="")+(職員マスタ!$H$6:$H$405&gt;=$AO993))&gt;0)*(ROW(職員マスタ!$A$6:$A$405)-5)))&gt;0,SUMPRODUCT(MAX((職員マスタ!$A$6:$A$405=$B993)*(((職員マスタ!$G$6:$G$405="")+(職員マスタ!$G$6:$G$405&lt;=EOMONTH($AO993,0)))&gt;0)*(((職員マスタ!$H$6:$H$405="")+(職員マスタ!$H$6:$H$405&gt;=$AO993))&gt;0)*(ROW(職員マスタ!$A$6:$A$405)-5))),IFERROR(MATCH($B993,職員マスタ!$A$6:$A$405,0),"")))</f>
        <v/>
      </c>
      <c r="AO993" s="16">
        <f>IF(OR($B993="",$C993="",$D993=""),"",DATE($C993+2018,$D993,1))</f>
        <v/>
      </c>
    </row>
    <row r="994">
      <c r="A994" s="11" t="n"/>
      <c r="B994" s="12" t="n"/>
      <c r="C994" s="12" t="n"/>
      <c r="D994" s="12" t="n"/>
      <c r="E994" s="13" t="n"/>
      <c r="F994" s="12" t="n"/>
      <c r="G994" s="13" t="n"/>
      <c r="H994" s="12" t="n"/>
      <c r="I994" s="12" t="n"/>
      <c r="J994" s="12" t="n"/>
      <c r="K994" s="12" t="n"/>
      <c r="L994" s="11" t="n"/>
      <c r="M994" s="11" t="n"/>
      <c r="N994" s="11" t="n"/>
      <c r="O994" s="11" t="n"/>
      <c r="P994" s="12" t="n"/>
      <c r="Q994" s="11" t="n"/>
      <c r="R994" s="12" t="n"/>
      <c r="S994" s="11" t="n"/>
      <c r="T994" s="12" t="n"/>
      <c r="U994" s="12" t="n"/>
      <c r="V994" s="14">
        <f>IF($AN994="",IF($B994="","",$H994),IF(INDEX(職員マスタ!$B$6:$B$405,$AN994)="",$H994,INDEX(職員マスタ!$B$6:$B$405,$AN994)))</f>
        <v/>
      </c>
      <c r="W994" s="14">
        <f>IF($AN994="",IF($B994="","",$R994),IF(INDEX(職員マスタ!$C$6:$C$405,$AN994)="",$R994,INDEX(職員マスタ!$C$6:$C$405,$AN994)))</f>
        <v/>
      </c>
      <c r="X994" s="14">
        <f>IF($AO994="","","R"&amp;$C994&amp;"."&amp;$D994)</f>
        <v/>
      </c>
      <c r="Y994" s="15">
        <f>IF($AN994="","",IF(INDEX(職員マスタ!$K$6:$K$405,$AN994)="","",INDEX(職員マスタ!$K$6:$K$405,$AN994)))</f>
        <v/>
      </c>
      <c r="Z994" s="14">
        <f>IF(OR($E994="",$Y994=""),"",IF($E994&gt;=$Y994,"×",IF($E994&gt;=$Y994*設定!$C$5,"△","○")))</f>
        <v/>
      </c>
      <c r="AA994" s="15">
        <f>IF($Z994="","",IF($Z994="×",0,IF($Z994="○",ROUNDDOWN($E994*設定!$C$4,0),ROUNDDOWN($E994*ROUND((9*$Y994-9*$E994)/(10*$E994),4),0))))</f>
        <v/>
      </c>
      <c r="AB994" s="13" t="n"/>
      <c r="AC994" s="15">
        <f>IF($B994="","",IF($AB994&lt;&gt;"",$AB994,IF($AA994="","",IF($AA994&lt;=設定!$C$3,0,$AA994))))</f>
        <v/>
      </c>
      <c r="AD994" s="14">
        <f>IF($B994="","",IF(AND($AE994&lt;&gt;"",$AG994="",$AJ994=""),"保留中",IF($AJ994&lt;&gt;"",IF(N($AC994)&gt;0,"支給済","不支給"),IF($AC994="","要確認",IF($AC994=0,"不支給","未処理")))))</f>
        <v/>
      </c>
      <c r="AE994" s="12" t="n"/>
      <c r="AF994" s="11" t="n"/>
      <c r="AG994" s="11" t="n"/>
      <c r="AH994" s="11" t="n"/>
      <c r="AI994" s="14">
        <f>IF(AND($AD994="保留中",$AF994&lt;&gt;""),TODAY()-$AF994,"")</f>
        <v/>
      </c>
      <c r="AJ994" s="12" t="n"/>
      <c r="AK994" s="14">
        <f>IF($B994="","",IF($AO994="","対象年月が未入力／","")&amp;IF($B994="","",IF($AN994="","職員マスタに未登録の職員番号／",IF($Y994="","標準報酬月額が未登録／","")&amp;IF(AND($AO994&lt;&gt;"",OR(AND(INDEX(職員マスタ!$G$6:$G$405,$AN994)&lt;&gt;"",INDEX(職員マスタ!$G$6:$G$405,$AN994)&gt;EOMONTH($AO994,0)),AND(INDEX(職員マスタ!$H$6:$H$405,$AN994)&lt;&gt;"",INDEX(職員マスタ!$H$6:$H$405,$AN994)&lt;$AO994))),"対象月が時短期間外／","")&amp;IF(AND(INDEX(職員マスタ!$F$6:$F$405,$AN994)&lt;&gt;"",$AO994&lt;&gt;"",INDEX(職員マスタ!$F$6:$F$405,$AN994)&lt;$AO994),"対象月に子が2歳到達済／","")&amp;IF(AND($H994&lt;&gt;"",INDEX(職員マスタ!$B$6:$B$405,$AN994)&lt;&gt;"",SUBSTITUTE(SUBSTITUTE($H994," ","")," ","")&lt;&gt;SUBSTITUTE(SUBSTITUTE(INDEX(職員マスタ!$B$6:$B$405,$AN994)," ","")," ","")),"氏名がマスタと相違／","")&amp;IF(AND($Q994&lt;&gt;"",INDEX(職員マスタ!$E$6:$E$405,$AN994)&lt;&gt;"",$Q994&lt;&gt;INDEX(職員マスタ!$E$6:$E$405,$AN994)),"子の生年月日がマスタと相違／","")&amp;IF(AND($L994&lt;&gt;"",INDEX(職員マスタ!$G$6:$G$405,$AN994)&lt;&gt;"",$L994&lt;&gt;INDEX(職員マスタ!$G$6:$G$405,$AN994)),"時短開始日がマスタと相違／","")&amp;IF(AND($M994&lt;&gt;"",INDEX(職員マスタ!$H$6:$H$405,$AN994)&lt;&gt;"",$M994&lt;&gt;INDEX(職員マスタ!$H$6:$H$405,$AN994)),"時短終了日がマスタと相違／","")))&amp;IF(AND($B994&lt;&gt;"",$E994=""),"報酬額が未入力／","")&amp;IF(N($U994)&gt;0,"申請書に入力エラーが残っています／","")&amp;IF(AND($B994&lt;&gt;"",$AO994&lt;&gt;""),IF(COUNTIFS($B$6:$B$3005,$B994,$C$6:$C$3005,$C994,$D$6:$D$3005,$D994)&gt;1,"同じ月の請求が重複しています／",""),"")&amp;IF(AND(N($E994)&gt;0,$Z994&lt;&gt;"",$Z994&lt;&gt;"×",$AC994=0,$AB994=""),"計算額が下限以下のため不支給／",""))</f>
        <v/>
      </c>
      <c r="AL994" s="12" t="n"/>
      <c r="AM994" s="14">
        <f>IF($AD994="保留中",COUNTIF($AD$6:$AD994,"保留中"),"")</f>
        <v/>
      </c>
      <c r="AN994" s="14">
        <f>IF($AO994="","",IF(SUMPRODUCT(MAX((職員マスタ!$A$6:$A$405=$B994)*(((職員マスタ!$G$6:$G$405="")+(職員マスタ!$G$6:$G$405&lt;=EOMONTH($AO994,0)))&gt;0)*(((職員マスタ!$H$6:$H$405="")+(職員マスタ!$H$6:$H$405&gt;=$AO994))&gt;0)*(ROW(職員マスタ!$A$6:$A$405)-5)))&gt;0,SUMPRODUCT(MAX((職員マスタ!$A$6:$A$405=$B994)*(((職員マスタ!$G$6:$G$405="")+(職員マスタ!$G$6:$G$405&lt;=EOMONTH($AO994,0)))&gt;0)*(((職員マスタ!$H$6:$H$405="")+(職員マスタ!$H$6:$H$405&gt;=$AO994))&gt;0)*(ROW(職員マスタ!$A$6:$A$405)-5))),IFERROR(MATCH($B994,職員マスタ!$A$6:$A$405,0),"")))</f>
        <v/>
      </c>
      <c r="AO994" s="16">
        <f>IF(OR($B994="",$C994="",$D994=""),"",DATE($C994+2018,$D994,1))</f>
        <v/>
      </c>
    </row>
    <row r="995">
      <c r="A995" s="11" t="n"/>
      <c r="B995" s="12" t="n"/>
      <c r="C995" s="12" t="n"/>
      <c r="D995" s="12" t="n"/>
      <c r="E995" s="13" t="n"/>
      <c r="F995" s="12" t="n"/>
      <c r="G995" s="13" t="n"/>
      <c r="H995" s="12" t="n"/>
      <c r="I995" s="12" t="n"/>
      <c r="J995" s="12" t="n"/>
      <c r="K995" s="12" t="n"/>
      <c r="L995" s="11" t="n"/>
      <c r="M995" s="11" t="n"/>
      <c r="N995" s="11" t="n"/>
      <c r="O995" s="11" t="n"/>
      <c r="P995" s="12" t="n"/>
      <c r="Q995" s="11" t="n"/>
      <c r="R995" s="12" t="n"/>
      <c r="S995" s="11" t="n"/>
      <c r="T995" s="12" t="n"/>
      <c r="U995" s="12" t="n"/>
      <c r="V995" s="14">
        <f>IF($AN995="",IF($B995="","",$H995),IF(INDEX(職員マスタ!$B$6:$B$405,$AN995)="",$H995,INDEX(職員マスタ!$B$6:$B$405,$AN995)))</f>
        <v/>
      </c>
      <c r="W995" s="14">
        <f>IF($AN995="",IF($B995="","",$R995),IF(INDEX(職員マスタ!$C$6:$C$405,$AN995)="",$R995,INDEX(職員マスタ!$C$6:$C$405,$AN995)))</f>
        <v/>
      </c>
      <c r="X995" s="14">
        <f>IF($AO995="","","R"&amp;$C995&amp;"."&amp;$D995)</f>
        <v/>
      </c>
      <c r="Y995" s="15">
        <f>IF($AN995="","",IF(INDEX(職員マスタ!$K$6:$K$405,$AN995)="","",INDEX(職員マスタ!$K$6:$K$405,$AN995)))</f>
        <v/>
      </c>
      <c r="Z995" s="14">
        <f>IF(OR($E995="",$Y995=""),"",IF($E995&gt;=$Y995,"×",IF($E995&gt;=$Y995*設定!$C$5,"△","○")))</f>
        <v/>
      </c>
      <c r="AA995" s="15">
        <f>IF($Z995="","",IF($Z995="×",0,IF($Z995="○",ROUNDDOWN($E995*設定!$C$4,0),ROUNDDOWN($E995*ROUND((9*$Y995-9*$E995)/(10*$E995),4),0))))</f>
        <v/>
      </c>
      <c r="AB995" s="13" t="n"/>
      <c r="AC995" s="15">
        <f>IF($B995="","",IF($AB995&lt;&gt;"",$AB995,IF($AA995="","",IF($AA995&lt;=設定!$C$3,0,$AA995))))</f>
        <v/>
      </c>
      <c r="AD995" s="14">
        <f>IF($B995="","",IF(AND($AE995&lt;&gt;"",$AG995="",$AJ995=""),"保留中",IF($AJ995&lt;&gt;"",IF(N($AC995)&gt;0,"支給済","不支給"),IF($AC995="","要確認",IF($AC995=0,"不支給","未処理")))))</f>
        <v/>
      </c>
      <c r="AE995" s="12" t="n"/>
      <c r="AF995" s="11" t="n"/>
      <c r="AG995" s="11" t="n"/>
      <c r="AH995" s="11" t="n"/>
      <c r="AI995" s="14">
        <f>IF(AND($AD995="保留中",$AF995&lt;&gt;""),TODAY()-$AF995,"")</f>
        <v/>
      </c>
      <c r="AJ995" s="12" t="n"/>
      <c r="AK995" s="14">
        <f>IF($B995="","",IF($AO995="","対象年月が未入力／","")&amp;IF($B995="","",IF($AN995="","職員マスタに未登録の職員番号／",IF($Y995="","標準報酬月額が未登録／","")&amp;IF(AND($AO995&lt;&gt;"",OR(AND(INDEX(職員マスタ!$G$6:$G$405,$AN995)&lt;&gt;"",INDEX(職員マスタ!$G$6:$G$405,$AN995)&gt;EOMONTH($AO995,0)),AND(INDEX(職員マスタ!$H$6:$H$405,$AN995)&lt;&gt;"",INDEX(職員マスタ!$H$6:$H$405,$AN995)&lt;$AO995))),"対象月が時短期間外／","")&amp;IF(AND(INDEX(職員マスタ!$F$6:$F$405,$AN995)&lt;&gt;"",$AO995&lt;&gt;"",INDEX(職員マスタ!$F$6:$F$405,$AN995)&lt;$AO995),"対象月に子が2歳到達済／","")&amp;IF(AND($H995&lt;&gt;"",INDEX(職員マスタ!$B$6:$B$405,$AN995)&lt;&gt;"",SUBSTITUTE(SUBSTITUTE($H995," ","")," ","")&lt;&gt;SUBSTITUTE(SUBSTITUTE(INDEX(職員マスタ!$B$6:$B$405,$AN995)," ","")," ","")),"氏名がマスタと相違／","")&amp;IF(AND($Q995&lt;&gt;"",INDEX(職員マスタ!$E$6:$E$405,$AN995)&lt;&gt;"",$Q995&lt;&gt;INDEX(職員マスタ!$E$6:$E$405,$AN995)),"子の生年月日がマスタと相違／","")&amp;IF(AND($L995&lt;&gt;"",INDEX(職員マスタ!$G$6:$G$405,$AN995)&lt;&gt;"",$L995&lt;&gt;INDEX(職員マスタ!$G$6:$G$405,$AN995)),"時短開始日がマスタと相違／","")&amp;IF(AND($M995&lt;&gt;"",INDEX(職員マスタ!$H$6:$H$405,$AN995)&lt;&gt;"",$M995&lt;&gt;INDEX(職員マスタ!$H$6:$H$405,$AN995)),"時短終了日がマスタと相違／","")))&amp;IF(AND($B995&lt;&gt;"",$E995=""),"報酬額が未入力／","")&amp;IF(N($U995)&gt;0,"申請書に入力エラーが残っています／","")&amp;IF(AND($B995&lt;&gt;"",$AO995&lt;&gt;""),IF(COUNTIFS($B$6:$B$3005,$B995,$C$6:$C$3005,$C995,$D$6:$D$3005,$D995)&gt;1,"同じ月の請求が重複しています／",""),"")&amp;IF(AND(N($E995)&gt;0,$Z995&lt;&gt;"",$Z995&lt;&gt;"×",$AC995=0,$AB995=""),"計算額が下限以下のため不支給／",""))</f>
        <v/>
      </c>
      <c r="AL995" s="12" t="n"/>
      <c r="AM995" s="14">
        <f>IF($AD995="保留中",COUNTIF($AD$6:$AD995,"保留中"),"")</f>
        <v/>
      </c>
      <c r="AN995" s="14">
        <f>IF($AO995="","",IF(SUMPRODUCT(MAX((職員マスタ!$A$6:$A$405=$B995)*(((職員マスタ!$G$6:$G$405="")+(職員マスタ!$G$6:$G$405&lt;=EOMONTH($AO995,0)))&gt;0)*(((職員マスタ!$H$6:$H$405="")+(職員マスタ!$H$6:$H$405&gt;=$AO995))&gt;0)*(ROW(職員マスタ!$A$6:$A$405)-5)))&gt;0,SUMPRODUCT(MAX((職員マスタ!$A$6:$A$405=$B995)*(((職員マスタ!$G$6:$G$405="")+(職員マスタ!$G$6:$G$405&lt;=EOMONTH($AO995,0)))&gt;0)*(((職員マスタ!$H$6:$H$405="")+(職員マスタ!$H$6:$H$405&gt;=$AO995))&gt;0)*(ROW(職員マスタ!$A$6:$A$405)-5))),IFERROR(MATCH($B995,職員マスタ!$A$6:$A$405,0),"")))</f>
        <v/>
      </c>
      <c r="AO995" s="16">
        <f>IF(OR($B995="",$C995="",$D995=""),"",DATE($C995+2018,$D995,1))</f>
        <v/>
      </c>
    </row>
    <row r="996">
      <c r="A996" s="11" t="n"/>
      <c r="B996" s="12" t="n"/>
      <c r="C996" s="12" t="n"/>
      <c r="D996" s="12" t="n"/>
      <c r="E996" s="13" t="n"/>
      <c r="F996" s="12" t="n"/>
      <c r="G996" s="13" t="n"/>
      <c r="H996" s="12" t="n"/>
      <c r="I996" s="12" t="n"/>
      <c r="J996" s="12" t="n"/>
      <c r="K996" s="12" t="n"/>
      <c r="L996" s="11" t="n"/>
      <c r="M996" s="11" t="n"/>
      <c r="N996" s="11" t="n"/>
      <c r="O996" s="11" t="n"/>
      <c r="P996" s="12" t="n"/>
      <c r="Q996" s="11" t="n"/>
      <c r="R996" s="12" t="n"/>
      <c r="S996" s="11" t="n"/>
      <c r="T996" s="12" t="n"/>
      <c r="U996" s="12" t="n"/>
      <c r="V996" s="14">
        <f>IF($AN996="",IF($B996="","",$H996),IF(INDEX(職員マスタ!$B$6:$B$405,$AN996)="",$H996,INDEX(職員マスタ!$B$6:$B$405,$AN996)))</f>
        <v/>
      </c>
      <c r="W996" s="14">
        <f>IF($AN996="",IF($B996="","",$R996),IF(INDEX(職員マスタ!$C$6:$C$405,$AN996)="",$R996,INDEX(職員マスタ!$C$6:$C$405,$AN996)))</f>
        <v/>
      </c>
      <c r="X996" s="14">
        <f>IF($AO996="","","R"&amp;$C996&amp;"."&amp;$D996)</f>
        <v/>
      </c>
      <c r="Y996" s="15">
        <f>IF($AN996="","",IF(INDEX(職員マスタ!$K$6:$K$405,$AN996)="","",INDEX(職員マスタ!$K$6:$K$405,$AN996)))</f>
        <v/>
      </c>
      <c r="Z996" s="14">
        <f>IF(OR($E996="",$Y996=""),"",IF($E996&gt;=$Y996,"×",IF($E996&gt;=$Y996*設定!$C$5,"△","○")))</f>
        <v/>
      </c>
      <c r="AA996" s="15">
        <f>IF($Z996="","",IF($Z996="×",0,IF($Z996="○",ROUNDDOWN($E996*設定!$C$4,0),ROUNDDOWN($E996*ROUND((9*$Y996-9*$E996)/(10*$E996),4),0))))</f>
        <v/>
      </c>
      <c r="AB996" s="13" t="n"/>
      <c r="AC996" s="15">
        <f>IF($B996="","",IF($AB996&lt;&gt;"",$AB996,IF($AA996="","",IF($AA996&lt;=設定!$C$3,0,$AA996))))</f>
        <v/>
      </c>
      <c r="AD996" s="14">
        <f>IF($B996="","",IF(AND($AE996&lt;&gt;"",$AG996="",$AJ996=""),"保留中",IF($AJ996&lt;&gt;"",IF(N($AC996)&gt;0,"支給済","不支給"),IF($AC996="","要確認",IF($AC996=0,"不支給","未処理")))))</f>
        <v/>
      </c>
      <c r="AE996" s="12" t="n"/>
      <c r="AF996" s="11" t="n"/>
      <c r="AG996" s="11" t="n"/>
      <c r="AH996" s="11" t="n"/>
      <c r="AI996" s="14">
        <f>IF(AND($AD996="保留中",$AF996&lt;&gt;""),TODAY()-$AF996,"")</f>
        <v/>
      </c>
      <c r="AJ996" s="12" t="n"/>
      <c r="AK996" s="14">
        <f>IF($B996="","",IF($AO996="","対象年月が未入力／","")&amp;IF($B996="","",IF($AN996="","職員マスタに未登録の職員番号／",IF($Y996="","標準報酬月額が未登録／","")&amp;IF(AND($AO996&lt;&gt;"",OR(AND(INDEX(職員マスタ!$G$6:$G$405,$AN996)&lt;&gt;"",INDEX(職員マスタ!$G$6:$G$405,$AN996)&gt;EOMONTH($AO996,0)),AND(INDEX(職員マスタ!$H$6:$H$405,$AN996)&lt;&gt;"",INDEX(職員マスタ!$H$6:$H$405,$AN996)&lt;$AO996))),"対象月が時短期間外／","")&amp;IF(AND(INDEX(職員マスタ!$F$6:$F$405,$AN996)&lt;&gt;"",$AO996&lt;&gt;"",INDEX(職員マスタ!$F$6:$F$405,$AN996)&lt;$AO996),"対象月に子が2歳到達済／","")&amp;IF(AND($H996&lt;&gt;"",INDEX(職員マスタ!$B$6:$B$405,$AN996)&lt;&gt;"",SUBSTITUTE(SUBSTITUTE($H996," ","")," ","")&lt;&gt;SUBSTITUTE(SUBSTITUTE(INDEX(職員マスタ!$B$6:$B$405,$AN996)," ","")," ","")),"氏名がマスタと相違／","")&amp;IF(AND($Q996&lt;&gt;"",INDEX(職員マスタ!$E$6:$E$405,$AN996)&lt;&gt;"",$Q996&lt;&gt;INDEX(職員マスタ!$E$6:$E$405,$AN996)),"子の生年月日がマスタと相違／","")&amp;IF(AND($L996&lt;&gt;"",INDEX(職員マスタ!$G$6:$G$405,$AN996)&lt;&gt;"",$L996&lt;&gt;INDEX(職員マスタ!$G$6:$G$405,$AN996)),"時短開始日がマスタと相違／","")&amp;IF(AND($M996&lt;&gt;"",INDEX(職員マスタ!$H$6:$H$405,$AN996)&lt;&gt;"",$M996&lt;&gt;INDEX(職員マスタ!$H$6:$H$405,$AN996)),"時短終了日がマスタと相違／","")))&amp;IF(AND($B996&lt;&gt;"",$E996=""),"報酬額が未入力／","")&amp;IF(N($U996)&gt;0,"申請書に入力エラーが残っています／","")&amp;IF(AND($B996&lt;&gt;"",$AO996&lt;&gt;""),IF(COUNTIFS($B$6:$B$3005,$B996,$C$6:$C$3005,$C996,$D$6:$D$3005,$D996)&gt;1,"同じ月の請求が重複しています／",""),"")&amp;IF(AND(N($E996)&gt;0,$Z996&lt;&gt;"",$Z996&lt;&gt;"×",$AC996=0,$AB996=""),"計算額が下限以下のため不支給／",""))</f>
        <v/>
      </c>
      <c r="AL996" s="12" t="n"/>
      <c r="AM996" s="14">
        <f>IF($AD996="保留中",COUNTIF($AD$6:$AD996,"保留中"),"")</f>
        <v/>
      </c>
      <c r="AN996" s="14">
        <f>IF($AO996="","",IF(SUMPRODUCT(MAX((職員マスタ!$A$6:$A$405=$B996)*(((職員マスタ!$G$6:$G$405="")+(職員マスタ!$G$6:$G$405&lt;=EOMONTH($AO996,0)))&gt;0)*(((職員マスタ!$H$6:$H$405="")+(職員マスタ!$H$6:$H$405&gt;=$AO996))&gt;0)*(ROW(職員マスタ!$A$6:$A$405)-5)))&gt;0,SUMPRODUCT(MAX((職員マスタ!$A$6:$A$405=$B996)*(((職員マスタ!$G$6:$G$405="")+(職員マスタ!$G$6:$G$405&lt;=EOMONTH($AO996,0)))&gt;0)*(((職員マスタ!$H$6:$H$405="")+(職員マスタ!$H$6:$H$405&gt;=$AO996))&gt;0)*(ROW(職員マスタ!$A$6:$A$405)-5))),IFERROR(MATCH($B996,職員マスタ!$A$6:$A$405,0),"")))</f>
        <v/>
      </c>
      <c r="AO996" s="16">
        <f>IF(OR($B996="",$C996="",$D996=""),"",DATE($C996+2018,$D996,1))</f>
        <v/>
      </c>
    </row>
    <row r="997">
      <c r="A997" s="11" t="n"/>
      <c r="B997" s="12" t="n"/>
      <c r="C997" s="12" t="n"/>
      <c r="D997" s="12" t="n"/>
      <c r="E997" s="13" t="n"/>
      <c r="F997" s="12" t="n"/>
      <c r="G997" s="13" t="n"/>
      <c r="H997" s="12" t="n"/>
      <c r="I997" s="12" t="n"/>
      <c r="J997" s="12" t="n"/>
      <c r="K997" s="12" t="n"/>
      <c r="L997" s="11" t="n"/>
      <c r="M997" s="11" t="n"/>
      <c r="N997" s="11" t="n"/>
      <c r="O997" s="11" t="n"/>
      <c r="P997" s="12" t="n"/>
      <c r="Q997" s="11" t="n"/>
      <c r="R997" s="12" t="n"/>
      <c r="S997" s="11" t="n"/>
      <c r="T997" s="12" t="n"/>
      <c r="U997" s="12" t="n"/>
      <c r="V997" s="14">
        <f>IF($AN997="",IF($B997="","",$H997),IF(INDEX(職員マスタ!$B$6:$B$405,$AN997)="",$H997,INDEX(職員マスタ!$B$6:$B$405,$AN997)))</f>
        <v/>
      </c>
      <c r="W997" s="14">
        <f>IF($AN997="",IF($B997="","",$R997),IF(INDEX(職員マスタ!$C$6:$C$405,$AN997)="",$R997,INDEX(職員マスタ!$C$6:$C$405,$AN997)))</f>
        <v/>
      </c>
      <c r="X997" s="14">
        <f>IF($AO997="","","R"&amp;$C997&amp;"."&amp;$D997)</f>
        <v/>
      </c>
      <c r="Y997" s="15">
        <f>IF($AN997="","",IF(INDEX(職員マスタ!$K$6:$K$405,$AN997)="","",INDEX(職員マスタ!$K$6:$K$405,$AN997)))</f>
        <v/>
      </c>
      <c r="Z997" s="14">
        <f>IF(OR($E997="",$Y997=""),"",IF($E997&gt;=$Y997,"×",IF($E997&gt;=$Y997*設定!$C$5,"△","○")))</f>
        <v/>
      </c>
      <c r="AA997" s="15">
        <f>IF($Z997="","",IF($Z997="×",0,IF($Z997="○",ROUNDDOWN($E997*設定!$C$4,0),ROUNDDOWN($E997*ROUND((9*$Y997-9*$E997)/(10*$E997),4),0))))</f>
        <v/>
      </c>
      <c r="AB997" s="13" t="n"/>
      <c r="AC997" s="15">
        <f>IF($B997="","",IF($AB997&lt;&gt;"",$AB997,IF($AA997="","",IF($AA997&lt;=設定!$C$3,0,$AA997))))</f>
        <v/>
      </c>
      <c r="AD997" s="14">
        <f>IF($B997="","",IF(AND($AE997&lt;&gt;"",$AG997="",$AJ997=""),"保留中",IF($AJ997&lt;&gt;"",IF(N($AC997)&gt;0,"支給済","不支給"),IF($AC997="","要確認",IF($AC997=0,"不支給","未処理")))))</f>
        <v/>
      </c>
      <c r="AE997" s="12" t="n"/>
      <c r="AF997" s="11" t="n"/>
      <c r="AG997" s="11" t="n"/>
      <c r="AH997" s="11" t="n"/>
      <c r="AI997" s="14">
        <f>IF(AND($AD997="保留中",$AF997&lt;&gt;""),TODAY()-$AF997,"")</f>
        <v/>
      </c>
      <c r="AJ997" s="12" t="n"/>
      <c r="AK997" s="14">
        <f>IF($B997="","",IF($AO997="","対象年月が未入力／","")&amp;IF($B997="","",IF($AN997="","職員マスタに未登録の職員番号／",IF($Y997="","標準報酬月額が未登録／","")&amp;IF(AND($AO997&lt;&gt;"",OR(AND(INDEX(職員マスタ!$G$6:$G$405,$AN997)&lt;&gt;"",INDEX(職員マスタ!$G$6:$G$405,$AN997)&gt;EOMONTH($AO997,0)),AND(INDEX(職員マスタ!$H$6:$H$405,$AN997)&lt;&gt;"",INDEX(職員マスタ!$H$6:$H$405,$AN997)&lt;$AO997))),"対象月が時短期間外／","")&amp;IF(AND(INDEX(職員マスタ!$F$6:$F$405,$AN997)&lt;&gt;"",$AO997&lt;&gt;"",INDEX(職員マスタ!$F$6:$F$405,$AN997)&lt;$AO997),"対象月に子が2歳到達済／","")&amp;IF(AND($H997&lt;&gt;"",INDEX(職員マスタ!$B$6:$B$405,$AN997)&lt;&gt;"",SUBSTITUTE(SUBSTITUTE($H997," ","")," ","")&lt;&gt;SUBSTITUTE(SUBSTITUTE(INDEX(職員マスタ!$B$6:$B$405,$AN997)," ","")," ","")),"氏名がマスタと相違／","")&amp;IF(AND($Q997&lt;&gt;"",INDEX(職員マスタ!$E$6:$E$405,$AN997)&lt;&gt;"",$Q997&lt;&gt;INDEX(職員マスタ!$E$6:$E$405,$AN997)),"子の生年月日がマスタと相違／","")&amp;IF(AND($L997&lt;&gt;"",INDEX(職員マスタ!$G$6:$G$405,$AN997)&lt;&gt;"",$L997&lt;&gt;INDEX(職員マスタ!$G$6:$G$405,$AN997)),"時短開始日がマスタと相違／","")&amp;IF(AND($M997&lt;&gt;"",INDEX(職員マスタ!$H$6:$H$405,$AN997)&lt;&gt;"",$M997&lt;&gt;INDEX(職員マスタ!$H$6:$H$405,$AN997)),"時短終了日がマスタと相違／","")))&amp;IF(AND($B997&lt;&gt;"",$E997=""),"報酬額が未入力／","")&amp;IF(N($U997)&gt;0,"申請書に入力エラーが残っています／","")&amp;IF(AND($B997&lt;&gt;"",$AO997&lt;&gt;""),IF(COUNTIFS($B$6:$B$3005,$B997,$C$6:$C$3005,$C997,$D$6:$D$3005,$D997)&gt;1,"同じ月の請求が重複しています／",""),"")&amp;IF(AND(N($E997)&gt;0,$Z997&lt;&gt;"",$Z997&lt;&gt;"×",$AC997=0,$AB997=""),"計算額が下限以下のため不支給／",""))</f>
        <v/>
      </c>
      <c r="AL997" s="12" t="n"/>
      <c r="AM997" s="14">
        <f>IF($AD997="保留中",COUNTIF($AD$6:$AD997,"保留中"),"")</f>
        <v/>
      </c>
      <c r="AN997" s="14">
        <f>IF($AO997="","",IF(SUMPRODUCT(MAX((職員マスタ!$A$6:$A$405=$B997)*(((職員マスタ!$G$6:$G$405="")+(職員マスタ!$G$6:$G$405&lt;=EOMONTH($AO997,0)))&gt;0)*(((職員マスタ!$H$6:$H$405="")+(職員マスタ!$H$6:$H$405&gt;=$AO997))&gt;0)*(ROW(職員マスタ!$A$6:$A$405)-5)))&gt;0,SUMPRODUCT(MAX((職員マスタ!$A$6:$A$405=$B997)*(((職員マスタ!$G$6:$G$405="")+(職員マスタ!$G$6:$G$405&lt;=EOMONTH($AO997,0)))&gt;0)*(((職員マスタ!$H$6:$H$405="")+(職員マスタ!$H$6:$H$405&gt;=$AO997))&gt;0)*(ROW(職員マスタ!$A$6:$A$405)-5))),IFERROR(MATCH($B997,職員マスタ!$A$6:$A$405,0),"")))</f>
        <v/>
      </c>
      <c r="AO997" s="16">
        <f>IF(OR($B997="",$C997="",$D997=""),"",DATE($C997+2018,$D997,1))</f>
        <v/>
      </c>
    </row>
    <row r="998">
      <c r="A998" s="11" t="n"/>
      <c r="B998" s="12" t="n"/>
      <c r="C998" s="12" t="n"/>
      <c r="D998" s="12" t="n"/>
      <c r="E998" s="13" t="n"/>
      <c r="F998" s="12" t="n"/>
      <c r="G998" s="13" t="n"/>
      <c r="H998" s="12" t="n"/>
      <c r="I998" s="12" t="n"/>
      <c r="J998" s="12" t="n"/>
      <c r="K998" s="12" t="n"/>
      <c r="L998" s="11" t="n"/>
      <c r="M998" s="11" t="n"/>
      <c r="N998" s="11" t="n"/>
      <c r="O998" s="11" t="n"/>
      <c r="P998" s="12" t="n"/>
      <c r="Q998" s="11" t="n"/>
      <c r="R998" s="12" t="n"/>
      <c r="S998" s="11" t="n"/>
      <c r="T998" s="12" t="n"/>
      <c r="U998" s="12" t="n"/>
      <c r="V998" s="14">
        <f>IF($AN998="",IF($B998="","",$H998),IF(INDEX(職員マスタ!$B$6:$B$405,$AN998)="",$H998,INDEX(職員マスタ!$B$6:$B$405,$AN998)))</f>
        <v/>
      </c>
      <c r="W998" s="14">
        <f>IF($AN998="",IF($B998="","",$R998),IF(INDEX(職員マスタ!$C$6:$C$405,$AN998)="",$R998,INDEX(職員マスタ!$C$6:$C$405,$AN998)))</f>
        <v/>
      </c>
      <c r="X998" s="14">
        <f>IF($AO998="","","R"&amp;$C998&amp;"."&amp;$D998)</f>
        <v/>
      </c>
      <c r="Y998" s="15">
        <f>IF($AN998="","",IF(INDEX(職員マスタ!$K$6:$K$405,$AN998)="","",INDEX(職員マスタ!$K$6:$K$405,$AN998)))</f>
        <v/>
      </c>
      <c r="Z998" s="14">
        <f>IF(OR($E998="",$Y998=""),"",IF($E998&gt;=$Y998,"×",IF($E998&gt;=$Y998*設定!$C$5,"△","○")))</f>
        <v/>
      </c>
      <c r="AA998" s="15">
        <f>IF($Z998="","",IF($Z998="×",0,IF($Z998="○",ROUNDDOWN($E998*設定!$C$4,0),ROUNDDOWN($E998*ROUND((9*$Y998-9*$E998)/(10*$E998),4),0))))</f>
        <v/>
      </c>
      <c r="AB998" s="13" t="n"/>
      <c r="AC998" s="15">
        <f>IF($B998="","",IF($AB998&lt;&gt;"",$AB998,IF($AA998="","",IF($AA998&lt;=設定!$C$3,0,$AA998))))</f>
        <v/>
      </c>
      <c r="AD998" s="14">
        <f>IF($B998="","",IF(AND($AE998&lt;&gt;"",$AG998="",$AJ998=""),"保留中",IF($AJ998&lt;&gt;"",IF(N($AC998)&gt;0,"支給済","不支給"),IF($AC998="","要確認",IF($AC998=0,"不支給","未処理")))))</f>
        <v/>
      </c>
      <c r="AE998" s="12" t="n"/>
      <c r="AF998" s="11" t="n"/>
      <c r="AG998" s="11" t="n"/>
      <c r="AH998" s="11" t="n"/>
      <c r="AI998" s="14">
        <f>IF(AND($AD998="保留中",$AF998&lt;&gt;""),TODAY()-$AF998,"")</f>
        <v/>
      </c>
      <c r="AJ998" s="12" t="n"/>
      <c r="AK998" s="14">
        <f>IF($B998="","",IF($AO998="","対象年月が未入力／","")&amp;IF($B998="","",IF($AN998="","職員マスタに未登録の職員番号／",IF($Y998="","標準報酬月額が未登録／","")&amp;IF(AND($AO998&lt;&gt;"",OR(AND(INDEX(職員マスタ!$G$6:$G$405,$AN998)&lt;&gt;"",INDEX(職員マスタ!$G$6:$G$405,$AN998)&gt;EOMONTH($AO998,0)),AND(INDEX(職員マスタ!$H$6:$H$405,$AN998)&lt;&gt;"",INDEX(職員マスタ!$H$6:$H$405,$AN998)&lt;$AO998))),"対象月が時短期間外／","")&amp;IF(AND(INDEX(職員マスタ!$F$6:$F$405,$AN998)&lt;&gt;"",$AO998&lt;&gt;"",INDEX(職員マスタ!$F$6:$F$405,$AN998)&lt;$AO998),"対象月に子が2歳到達済／","")&amp;IF(AND($H998&lt;&gt;"",INDEX(職員マスタ!$B$6:$B$405,$AN998)&lt;&gt;"",SUBSTITUTE(SUBSTITUTE($H998," ","")," ","")&lt;&gt;SUBSTITUTE(SUBSTITUTE(INDEX(職員マスタ!$B$6:$B$405,$AN998)," ","")," ","")),"氏名がマスタと相違／","")&amp;IF(AND($Q998&lt;&gt;"",INDEX(職員マスタ!$E$6:$E$405,$AN998)&lt;&gt;"",$Q998&lt;&gt;INDEX(職員マスタ!$E$6:$E$405,$AN998)),"子の生年月日がマスタと相違／","")&amp;IF(AND($L998&lt;&gt;"",INDEX(職員マスタ!$G$6:$G$405,$AN998)&lt;&gt;"",$L998&lt;&gt;INDEX(職員マスタ!$G$6:$G$405,$AN998)),"時短開始日がマスタと相違／","")&amp;IF(AND($M998&lt;&gt;"",INDEX(職員マスタ!$H$6:$H$405,$AN998)&lt;&gt;"",$M998&lt;&gt;INDEX(職員マスタ!$H$6:$H$405,$AN998)),"時短終了日がマスタと相違／","")))&amp;IF(AND($B998&lt;&gt;"",$E998=""),"報酬額が未入力／","")&amp;IF(N($U998)&gt;0,"申請書に入力エラーが残っています／","")&amp;IF(AND($B998&lt;&gt;"",$AO998&lt;&gt;""),IF(COUNTIFS($B$6:$B$3005,$B998,$C$6:$C$3005,$C998,$D$6:$D$3005,$D998)&gt;1,"同じ月の請求が重複しています／",""),"")&amp;IF(AND(N($E998)&gt;0,$Z998&lt;&gt;"",$Z998&lt;&gt;"×",$AC998=0,$AB998=""),"計算額が下限以下のため不支給／",""))</f>
        <v/>
      </c>
      <c r="AL998" s="12" t="n"/>
      <c r="AM998" s="14">
        <f>IF($AD998="保留中",COUNTIF($AD$6:$AD998,"保留中"),"")</f>
        <v/>
      </c>
      <c r="AN998" s="14">
        <f>IF($AO998="","",IF(SUMPRODUCT(MAX((職員マスタ!$A$6:$A$405=$B998)*(((職員マスタ!$G$6:$G$405="")+(職員マスタ!$G$6:$G$405&lt;=EOMONTH($AO998,0)))&gt;0)*(((職員マスタ!$H$6:$H$405="")+(職員マスタ!$H$6:$H$405&gt;=$AO998))&gt;0)*(ROW(職員マスタ!$A$6:$A$405)-5)))&gt;0,SUMPRODUCT(MAX((職員マスタ!$A$6:$A$405=$B998)*(((職員マスタ!$G$6:$G$405="")+(職員マスタ!$G$6:$G$405&lt;=EOMONTH($AO998,0)))&gt;0)*(((職員マスタ!$H$6:$H$405="")+(職員マスタ!$H$6:$H$405&gt;=$AO998))&gt;0)*(ROW(職員マスタ!$A$6:$A$405)-5))),IFERROR(MATCH($B998,職員マスタ!$A$6:$A$405,0),"")))</f>
        <v/>
      </c>
      <c r="AO998" s="16">
        <f>IF(OR($B998="",$C998="",$D998=""),"",DATE($C998+2018,$D998,1))</f>
        <v/>
      </c>
    </row>
    <row r="999">
      <c r="A999" s="11" t="n"/>
      <c r="B999" s="12" t="n"/>
      <c r="C999" s="12" t="n"/>
      <c r="D999" s="12" t="n"/>
      <c r="E999" s="13" t="n"/>
      <c r="F999" s="12" t="n"/>
      <c r="G999" s="13" t="n"/>
      <c r="H999" s="12" t="n"/>
      <c r="I999" s="12" t="n"/>
      <c r="J999" s="12" t="n"/>
      <c r="K999" s="12" t="n"/>
      <c r="L999" s="11" t="n"/>
      <c r="M999" s="11" t="n"/>
      <c r="N999" s="11" t="n"/>
      <c r="O999" s="11" t="n"/>
      <c r="P999" s="12" t="n"/>
      <c r="Q999" s="11" t="n"/>
      <c r="R999" s="12" t="n"/>
      <c r="S999" s="11" t="n"/>
      <c r="T999" s="12" t="n"/>
      <c r="U999" s="12" t="n"/>
      <c r="V999" s="14">
        <f>IF($AN999="",IF($B999="","",$H999),IF(INDEX(職員マスタ!$B$6:$B$405,$AN999)="",$H999,INDEX(職員マスタ!$B$6:$B$405,$AN999)))</f>
        <v/>
      </c>
      <c r="W999" s="14">
        <f>IF($AN999="",IF($B999="","",$R999),IF(INDEX(職員マスタ!$C$6:$C$405,$AN999)="",$R999,INDEX(職員マスタ!$C$6:$C$405,$AN999)))</f>
        <v/>
      </c>
      <c r="X999" s="14">
        <f>IF($AO999="","","R"&amp;$C999&amp;"."&amp;$D999)</f>
        <v/>
      </c>
      <c r="Y999" s="15">
        <f>IF($AN999="","",IF(INDEX(職員マスタ!$K$6:$K$405,$AN999)="","",INDEX(職員マスタ!$K$6:$K$405,$AN999)))</f>
        <v/>
      </c>
      <c r="Z999" s="14">
        <f>IF(OR($E999="",$Y999=""),"",IF($E999&gt;=$Y999,"×",IF($E999&gt;=$Y999*設定!$C$5,"△","○")))</f>
        <v/>
      </c>
      <c r="AA999" s="15">
        <f>IF($Z999="","",IF($Z999="×",0,IF($Z999="○",ROUNDDOWN($E999*設定!$C$4,0),ROUNDDOWN($E999*ROUND((9*$Y999-9*$E999)/(10*$E999),4),0))))</f>
        <v/>
      </c>
      <c r="AB999" s="13" t="n"/>
      <c r="AC999" s="15">
        <f>IF($B999="","",IF($AB999&lt;&gt;"",$AB999,IF($AA999="","",IF($AA999&lt;=設定!$C$3,0,$AA999))))</f>
        <v/>
      </c>
      <c r="AD999" s="14">
        <f>IF($B999="","",IF(AND($AE999&lt;&gt;"",$AG999="",$AJ999=""),"保留中",IF($AJ999&lt;&gt;"",IF(N($AC999)&gt;0,"支給済","不支給"),IF($AC999="","要確認",IF($AC999=0,"不支給","未処理")))))</f>
        <v/>
      </c>
      <c r="AE999" s="12" t="n"/>
      <c r="AF999" s="11" t="n"/>
      <c r="AG999" s="11" t="n"/>
      <c r="AH999" s="11" t="n"/>
      <c r="AI999" s="14">
        <f>IF(AND($AD999="保留中",$AF999&lt;&gt;""),TODAY()-$AF999,"")</f>
        <v/>
      </c>
      <c r="AJ999" s="12" t="n"/>
      <c r="AK999" s="14">
        <f>IF($B999="","",IF($AO999="","対象年月が未入力／","")&amp;IF($B999="","",IF($AN999="","職員マスタに未登録の職員番号／",IF($Y999="","標準報酬月額が未登録／","")&amp;IF(AND($AO999&lt;&gt;"",OR(AND(INDEX(職員マスタ!$G$6:$G$405,$AN999)&lt;&gt;"",INDEX(職員マスタ!$G$6:$G$405,$AN999)&gt;EOMONTH($AO999,0)),AND(INDEX(職員マスタ!$H$6:$H$405,$AN999)&lt;&gt;"",INDEX(職員マスタ!$H$6:$H$405,$AN999)&lt;$AO999))),"対象月が時短期間外／","")&amp;IF(AND(INDEX(職員マスタ!$F$6:$F$405,$AN999)&lt;&gt;"",$AO999&lt;&gt;"",INDEX(職員マスタ!$F$6:$F$405,$AN999)&lt;$AO999),"対象月に子が2歳到達済／","")&amp;IF(AND($H999&lt;&gt;"",INDEX(職員マスタ!$B$6:$B$405,$AN999)&lt;&gt;"",SUBSTITUTE(SUBSTITUTE($H999," ","")," ","")&lt;&gt;SUBSTITUTE(SUBSTITUTE(INDEX(職員マスタ!$B$6:$B$405,$AN999)," ","")," ","")),"氏名がマスタと相違／","")&amp;IF(AND($Q999&lt;&gt;"",INDEX(職員マスタ!$E$6:$E$405,$AN999)&lt;&gt;"",$Q999&lt;&gt;INDEX(職員マスタ!$E$6:$E$405,$AN999)),"子の生年月日がマスタと相違／","")&amp;IF(AND($L999&lt;&gt;"",INDEX(職員マスタ!$G$6:$G$405,$AN999)&lt;&gt;"",$L999&lt;&gt;INDEX(職員マスタ!$G$6:$G$405,$AN999)),"時短開始日がマスタと相違／","")&amp;IF(AND($M999&lt;&gt;"",INDEX(職員マスタ!$H$6:$H$405,$AN999)&lt;&gt;"",$M999&lt;&gt;INDEX(職員マスタ!$H$6:$H$405,$AN999)),"時短終了日がマスタと相違／","")))&amp;IF(AND($B999&lt;&gt;"",$E999=""),"報酬額が未入力／","")&amp;IF(N($U999)&gt;0,"申請書に入力エラーが残っています／","")&amp;IF(AND($B999&lt;&gt;"",$AO999&lt;&gt;""),IF(COUNTIFS($B$6:$B$3005,$B999,$C$6:$C$3005,$C999,$D$6:$D$3005,$D999)&gt;1,"同じ月の請求が重複しています／",""),"")&amp;IF(AND(N($E999)&gt;0,$Z999&lt;&gt;"",$Z999&lt;&gt;"×",$AC999=0,$AB999=""),"計算額が下限以下のため不支給／",""))</f>
        <v/>
      </c>
      <c r="AL999" s="12" t="n"/>
      <c r="AM999" s="14">
        <f>IF($AD999="保留中",COUNTIF($AD$6:$AD999,"保留中"),"")</f>
        <v/>
      </c>
      <c r="AN999" s="14">
        <f>IF($AO999="","",IF(SUMPRODUCT(MAX((職員マスタ!$A$6:$A$405=$B999)*(((職員マスタ!$G$6:$G$405="")+(職員マスタ!$G$6:$G$405&lt;=EOMONTH($AO999,0)))&gt;0)*(((職員マスタ!$H$6:$H$405="")+(職員マスタ!$H$6:$H$405&gt;=$AO999))&gt;0)*(ROW(職員マスタ!$A$6:$A$405)-5)))&gt;0,SUMPRODUCT(MAX((職員マスタ!$A$6:$A$405=$B999)*(((職員マスタ!$G$6:$G$405="")+(職員マスタ!$G$6:$G$405&lt;=EOMONTH($AO999,0)))&gt;0)*(((職員マスタ!$H$6:$H$405="")+(職員マスタ!$H$6:$H$405&gt;=$AO999))&gt;0)*(ROW(職員マスタ!$A$6:$A$405)-5))),IFERROR(MATCH($B999,職員マスタ!$A$6:$A$405,0),"")))</f>
        <v/>
      </c>
      <c r="AO999" s="16">
        <f>IF(OR($B999="",$C999="",$D999=""),"",DATE($C999+2018,$D999,1))</f>
        <v/>
      </c>
    </row>
    <row r="1000">
      <c r="A1000" s="11" t="n"/>
      <c r="B1000" s="12" t="n"/>
      <c r="C1000" s="12" t="n"/>
      <c r="D1000" s="12" t="n"/>
      <c r="E1000" s="13" t="n"/>
      <c r="F1000" s="12" t="n"/>
      <c r="G1000" s="13" t="n"/>
      <c r="H1000" s="12" t="n"/>
      <c r="I1000" s="12" t="n"/>
      <c r="J1000" s="12" t="n"/>
      <c r="K1000" s="12" t="n"/>
      <c r="L1000" s="11" t="n"/>
      <c r="M1000" s="11" t="n"/>
      <c r="N1000" s="11" t="n"/>
      <c r="O1000" s="11" t="n"/>
      <c r="P1000" s="12" t="n"/>
      <c r="Q1000" s="11" t="n"/>
      <c r="R1000" s="12" t="n"/>
      <c r="S1000" s="11" t="n"/>
      <c r="T1000" s="12" t="n"/>
      <c r="U1000" s="12" t="n"/>
      <c r="V1000" s="14">
        <f>IF($AN1000="",IF($B1000="","",$H1000),IF(INDEX(職員マスタ!$B$6:$B$405,$AN1000)="",$H1000,INDEX(職員マスタ!$B$6:$B$405,$AN1000)))</f>
        <v/>
      </c>
      <c r="W1000" s="14">
        <f>IF($AN1000="",IF($B1000="","",$R1000),IF(INDEX(職員マスタ!$C$6:$C$405,$AN1000)="",$R1000,INDEX(職員マスタ!$C$6:$C$405,$AN1000)))</f>
        <v/>
      </c>
      <c r="X1000" s="14">
        <f>IF($AO1000="","","R"&amp;$C1000&amp;"."&amp;$D1000)</f>
        <v/>
      </c>
      <c r="Y1000" s="15">
        <f>IF($AN1000="","",IF(INDEX(職員マスタ!$K$6:$K$405,$AN1000)="","",INDEX(職員マスタ!$K$6:$K$405,$AN1000)))</f>
        <v/>
      </c>
      <c r="Z1000" s="14">
        <f>IF(OR($E1000="",$Y1000=""),"",IF($E1000&gt;=$Y1000,"×",IF($E1000&gt;=$Y1000*設定!$C$5,"△","○")))</f>
        <v/>
      </c>
      <c r="AA1000" s="15">
        <f>IF($Z1000="","",IF($Z1000="×",0,IF($Z1000="○",ROUNDDOWN($E1000*設定!$C$4,0),ROUNDDOWN($E1000*ROUND((9*$Y1000-9*$E1000)/(10*$E1000),4),0))))</f>
        <v/>
      </c>
      <c r="AB1000" s="13" t="n"/>
      <c r="AC1000" s="15">
        <f>IF($B1000="","",IF($AB1000&lt;&gt;"",$AB1000,IF($AA1000="","",IF($AA1000&lt;=設定!$C$3,0,$AA1000))))</f>
        <v/>
      </c>
      <c r="AD1000" s="14">
        <f>IF($B1000="","",IF(AND($AE1000&lt;&gt;"",$AG1000="",$AJ1000=""),"保留中",IF($AJ1000&lt;&gt;"",IF(N($AC1000)&gt;0,"支給済","不支給"),IF($AC1000="","要確認",IF($AC1000=0,"不支給","未処理")))))</f>
        <v/>
      </c>
      <c r="AE1000" s="12" t="n"/>
      <c r="AF1000" s="11" t="n"/>
      <c r="AG1000" s="11" t="n"/>
      <c r="AH1000" s="11" t="n"/>
      <c r="AI1000" s="14">
        <f>IF(AND($AD1000="保留中",$AF1000&lt;&gt;""),TODAY()-$AF1000,"")</f>
        <v/>
      </c>
      <c r="AJ1000" s="12" t="n"/>
      <c r="AK1000" s="14">
        <f>IF($B1000="","",IF($AO1000="","対象年月が未入力／","")&amp;IF($B1000="","",IF($AN1000="","職員マスタに未登録の職員番号／",IF($Y1000="","標準報酬月額が未登録／","")&amp;IF(AND($AO1000&lt;&gt;"",OR(AND(INDEX(職員マスタ!$G$6:$G$405,$AN1000)&lt;&gt;"",INDEX(職員マスタ!$G$6:$G$405,$AN1000)&gt;EOMONTH($AO1000,0)),AND(INDEX(職員マスタ!$H$6:$H$405,$AN1000)&lt;&gt;"",INDEX(職員マスタ!$H$6:$H$405,$AN1000)&lt;$AO1000))),"対象月が時短期間外／","")&amp;IF(AND(INDEX(職員マスタ!$F$6:$F$405,$AN1000)&lt;&gt;"",$AO1000&lt;&gt;"",INDEX(職員マスタ!$F$6:$F$405,$AN1000)&lt;$AO1000),"対象月に子が2歳到達済／","")&amp;IF(AND($H1000&lt;&gt;"",INDEX(職員マスタ!$B$6:$B$405,$AN1000)&lt;&gt;"",SUBSTITUTE(SUBSTITUTE($H1000," ","")," ","")&lt;&gt;SUBSTITUTE(SUBSTITUTE(INDEX(職員マスタ!$B$6:$B$405,$AN1000)," ","")," ","")),"氏名がマスタと相違／","")&amp;IF(AND($Q1000&lt;&gt;"",INDEX(職員マスタ!$E$6:$E$405,$AN1000)&lt;&gt;"",$Q1000&lt;&gt;INDEX(職員マスタ!$E$6:$E$405,$AN1000)),"子の生年月日がマスタと相違／","")&amp;IF(AND($L1000&lt;&gt;"",INDEX(職員マスタ!$G$6:$G$405,$AN1000)&lt;&gt;"",$L1000&lt;&gt;INDEX(職員マスタ!$G$6:$G$405,$AN1000)),"時短開始日がマスタと相違／","")&amp;IF(AND($M1000&lt;&gt;"",INDEX(職員マスタ!$H$6:$H$405,$AN1000)&lt;&gt;"",$M1000&lt;&gt;INDEX(職員マスタ!$H$6:$H$405,$AN1000)),"時短終了日がマスタと相違／","")))&amp;IF(AND($B1000&lt;&gt;"",$E1000=""),"報酬額が未入力／","")&amp;IF(N($U1000)&gt;0,"申請書に入力エラーが残っています／","")&amp;IF(AND($B1000&lt;&gt;"",$AO1000&lt;&gt;""),IF(COUNTIFS($B$6:$B$3005,$B1000,$C$6:$C$3005,$C1000,$D$6:$D$3005,$D1000)&gt;1,"同じ月の請求が重複しています／",""),"")&amp;IF(AND(N($E1000)&gt;0,$Z1000&lt;&gt;"",$Z1000&lt;&gt;"×",$AC1000=0,$AB1000=""),"計算額が下限以下のため不支給／",""))</f>
        <v/>
      </c>
      <c r="AL1000" s="12" t="n"/>
      <c r="AM1000" s="14">
        <f>IF($AD1000="保留中",COUNTIF($AD$6:$AD1000,"保留中"),"")</f>
        <v/>
      </c>
      <c r="AN1000" s="14">
        <f>IF($AO1000="","",IF(SUMPRODUCT(MAX((職員マスタ!$A$6:$A$405=$B1000)*(((職員マスタ!$G$6:$G$405="")+(職員マスタ!$G$6:$G$405&lt;=EOMONTH($AO1000,0)))&gt;0)*(((職員マスタ!$H$6:$H$405="")+(職員マスタ!$H$6:$H$405&gt;=$AO1000))&gt;0)*(ROW(職員マスタ!$A$6:$A$405)-5)))&gt;0,SUMPRODUCT(MAX((職員マスタ!$A$6:$A$405=$B1000)*(((職員マスタ!$G$6:$G$405="")+(職員マスタ!$G$6:$G$405&lt;=EOMONTH($AO1000,0)))&gt;0)*(((職員マスタ!$H$6:$H$405="")+(職員マスタ!$H$6:$H$405&gt;=$AO1000))&gt;0)*(ROW(職員マスタ!$A$6:$A$405)-5))),IFERROR(MATCH($B1000,職員マスタ!$A$6:$A$405,0),"")))</f>
        <v/>
      </c>
      <c r="AO1000" s="16">
        <f>IF(OR($B1000="",$C1000="",$D1000=""),"",DATE($C1000+2018,$D1000,1))</f>
        <v/>
      </c>
    </row>
    <row r="1001">
      <c r="A1001" s="11" t="n"/>
      <c r="B1001" s="12" t="n"/>
      <c r="C1001" s="12" t="n"/>
      <c r="D1001" s="12" t="n"/>
      <c r="E1001" s="13" t="n"/>
      <c r="F1001" s="12" t="n"/>
      <c r="G1001" s="13" t="n"/>
      <c r="H1001" s="12" t="n"/>
      <c r="I1001" s="12" t="n"/>
      <c r="J1001" s="12" t="n"/>
      <c r="K1001" s="12" t="n"/>
      <c r="L1001" s="11" t="n"/>
      <c r="M1001" s="11" t="n"/>
      <c r="N1001" s="11" t="n"/>
      <c r="O1001" s="11" t="n"/>
      <c r="P1001" s="12" t="n"/>
      <c r="Q1001" s="11" t="n"/>
      <c r="R1001" s="12" t="n"/>
      <c r="S1001" s="11" t="n"/>
      <c r="T1001" s="12" t="n"/>
      <c r="U1001" s="12" t="n"/>
      <c r="V1001" s="14">
        <f>IF($AN1001="",IF($B1001="","",$H1001),IF(INDEX(職員マスタ!$B$6:$B$405,$AN1001)="",$H1001,INDEX(職員マスタ!$B$6:$B$405,$AN1001)))</f>
        <v/>
      </c>
      <c r="W1001" s="14">
        <f>IF($AN1001="",IF($B1001="","",$R1001),IF(INDEX(職員マスタ!$C$6:$C$405,$AN1001)="",$R1001,INDEX(職員マスタ!$C$6:$C$405,$AN1001)))</f>
        <v/>
      </c>
      <c r="X1001" s="14">
        <f>IF($AO1001="","","R"&amp;$C1001&amp;"."&amp;$D1001)</f>
        <v/>
      </c>
      <c r="Y1001" s="15">
        <f>IF($AN1001="","",IF(INDEX(職員マスタ!$K$6:$K$405,$AN1001)="","",INDEX(職員マスタ!$K$6:$K$405,$AN1001)))</f>
        <v/>
      </c>
      <c r="Z1001" s="14">
        <f>IF(OR($E1001="",$Y1001=""),"",IF($E1001&gt;=$Y1001,"×",IF($E1001&gt;=$Y1001*設定!$C$5,"△","○")))</f>
        <v/>
      </c>
      <c r="AA1001" s="15">
        <f>IF($Z1001="","",IF($Z1001="×",0,IF($Z1001="○",ROUNDDOWN($E1001*設定!$C$4,0),ROUNDDOWN($E1001*ROUND((9*$Y1001-9*$E1001)/(10*$E1001),4),0))))</f>
        <v/>
      </c>
      <c r="AB1001" s="13" t="n"/>
      <c r="AC1001" s="15">
        <f>IF($B1001="","",IF($AB1001&lt;&gt;"",$AB1001,IF($AA1001="","",IF($AA1001&lt;=設定!$C$3,0,$AA1001))))</f>
        <v/>
      </c>
      <c r="AD1001" s="14">
        <f>IF($B1001="","",IF(AND($AE1001&lt;&gt;"",$AG1001="",$AJ1001=""),"保留中",IF($AJ1001&lt;&gt;"",IF(N($AC1001)&gt;0,"支給済","不支給"),IF($AC1001="","要確認",IF($AC1001=0,"不支給","未処理")))))</f>
        <v/>
      </c>
      <c r="AE1001" s="12" t="n"/>
      <c r="AF1001" s="11" t="n"/>
      <c r="AG1001" s="11" t="n"/>
      <c r="AH1001" s="11" t="n"/>
      <c r="AI1001" s="14">
        <f>IF(AND($AD1001="保留中",$AF1001&lt;&gt;""),TODAY()-$AF1001,"")</f>
        <v/>
      </c>
      <c r="AJ1001" s="12" t="n"/>
      <c r="AK1001" s="14">
        <f>IF($B1001="","",IF($AO1001="","対象年月が未入力／","")&amp;IF($B1001="","",IF($AN1001="","職員マスタに未登録の職員番号／",IF($Y1001="","標準報酬月額が未登録／","")&amp;IF(AND($AO1001&lt;&gt;"",OR(AND(INDEX(職員マスタ!$G$6:$G$405,$AN1001)&lt;&gt;"",INDEX(職員マスタ!$G$6:$G$405,$AN1001)&gt;EOMONTH($AO1001,0)),AND(INDEX(職員マスタ!$H$6:$H$405,$AN1001)&lt;&gt;"",INDEX(職員マスタ!$H$6:$H$405,$AN1001)&lt;$AO1001))),"対象月が時短期間外／","")&amp;IF(AND(INDEX(職員マスタ!$F$6:$F$405,$AN1001)&lt;&gt;"",$AO1001&lt;&gt;"",INDEX(職員マスタ!$F$6:$F$405,$AN1001)&lt;$AO1001),"対象月に子が2歳到達済／","")&amp;IF(AND($H1001&lt;&gt;"",INDEX(職員マスタ!$B$6:$B$405,$AN1001)&lt;&gt;"",SUBSTITUTE(SUBSTITUTE($H1001," ","")," ","")&lt;&gt;SUBSTITUTE(SUBSTITUTE(INDEX(職員マスタ!$B$6:$B$405,$AN1001)," ","")," ","")),"氏名がマスタと相違／","")&amp;IF(AND($Q1001&lt;&gt;"",INDEX(職員マスタ!$E$6:$E$405,$AN1001)&lt;&gt;"",$Q1001&lt;&gt;INDEX(職員マスタ!$E$6:$E$405,$AN1001)),"子の生年月日がマスタと相違／","")&amp;IF(AND($L1001&lt;&gt;"",INDEX(職員マスタ!$G$6:$G$405,$AN1001)&lt;&gt;"",$L1001&lt;&gt;INDEX(職員マスタ!$G$6:$G$405,$AN1001)),"時短開始日がマスタと相違／","")&amp;IF(AND($M1001&lt;&gt;"",INDEX(職員マスタ!$H$6:$H$405,$AN1001)&lt;&gt;"",$M1001&lt;&gt;INDEX(職員マスタ!$H$6:$H$405,$AN1001)),"時短終了日がマスタと相違／","")))&amp;IF(AND($B1001&lt;&gt;"",$E1001=""),"報酬額が未入力／","")&amp;IF(N($U1001)&gt;0,"申請書に入力エラーが残っています／","")&amp;IF(AND($B1001&lt;&gt;"",$AO1001&lt;&gt;""),IF(COUNTIFS($B$6:$B$3005,$B1001,$C$6:$C$3005,$C1001,$D$6:$D$3005,$D1001)&gt;1,"同じ月の請求が重複しています／",""),"")&amp;IF(AND(N($E1001)&gt;0,$Z1001&lt;&gt;"",$Z1001&lt;&gt;"×",$AC1001=0,$AB1001=""),"計算額が下限以下のため不支給／",""))</f>
        <v/>
      </c>
      <c r="AL1001" s="12" t="n"/>
      <c r="AM1001" s="14">
        <f>IF($AD1001="保留中",COUNTIF($AD$6:$AD1001,"保留中"),"")</f>
        <v/>
      </c>
      <c r="AN1001" s="14">
        <f>IF($AO1001="","",IF(SUMPRODUCT(MAX((職員マスタ!$A$6:$A$405=$B1001)*(((職員マスタ!$G$6:$G$405="")+(職員マスタ!$G$6:$G$405&lt;=EOMONTH($AO1001,0)))&gt;0)*(((職員マスタ!$H$6:$H$405="")+(職員マスタ!$H$6:$H$405&gt;=$AO1001))&gt;0)*(ROW(職員マスタ!$A$6:$A$405)-5)))&gt;0,SUMPRODUCT(MAX((職員マスタ!$A$6:$A$405=$B1001)*(((職員マスタ!$G$6:$G$405="")+(職員マスタ!$G$6:$G$405&lt;=EOMONTH($AO1001,0)))&gt;0)*(((職員マスタ!$H$6:$H$405="")+(職員マスタ!$H$6:$H$405&gt;=$AO1001))&gt;0)*(ROW(職員マスタ!$A$6:$A$405)-5))),IFERROR(MATCH($B1001,職員マスタ!$A$6:$A$405,0),"")))</f>
        <v/>
      </c>
      <c r="AO1001" s="16">
        <f>IF(OR($B1001="",$C1001="",$D1001=""),"",DATE($C1001+2018,$D1001,1))</f>
        <v/>
      </c>
    </row>
    <row r="1002">
      <c r="A1002" s="11" t="n"/>
      <c r="B1002" s="12" t="n"/>
      <c r="C1002" s="12" t="n"/>
      <c r="D1002" s="12" t="n"/>
      <c r="E1002" s="13" t="n"/>
      <c r="F1002" s="12" t="n"/>
      <c r="G1002" s="13" t="n"/>
      <c r="H1002" s="12" t="n"/>
      <c r="I1002" s="12" t="n"/>
      <c r="J1002" s="12" t="n"/>
      <c r="K1002" s="12" t="n"/>
      <c r="L1002" s="11" t="n"/>
      <c r="M1002" s="11" t="n"/>
      <c r="N1002" s="11" t="n"/>
      <c r="O1002" s="11" t="n"/>
      <c r="P1002" s="12" t="n"/>
      <c r="Q1002" s="11" t="n"/>
      <c r="R1002" s="12" t="n"/>
      <c r="S1002" s="11" t="n"/>
      <c r="T1002" s="12" t="n"/>
      <c r="U1002" s="12" t="n"/>
      <c r="V1002" s="14">
        <f>IF($AN1002="",IF($B1002="","",$H1002),IF(INDEX(職員マスタ!$B$6:$B$405,$AN1002)="",$H1002,INDEX(職員マスタ!$B$6:$B$405,$AN1002)))</f>
        <v/>
      </c>
      <c r="W1002" s="14">
        <f>IF($AN1002="",IF($B1002="","",$R1002),IF(INDEX(職員マスタ!$C$6:$C$405,$AN1002)="",$R1002,INDEX(職員マスタ!$C$6:$C$405,$AN1002)))</f>
        <v/>
      </c>
      <c r="X1002" s="14">
        <f>IF($AO1002="","","R"&amp;$C1002&amp;"."&amp;$D1002)</f>
        <v/>
      </c>
      <c r="Y1002" s="15">
        <f>IF($AN1002="","",IF(INDEX(職員マスタ!$K$6:$K$405,$AN1002)="","",INDEX(職員マスタ!$K$6:$K$405,$AN1002)))</f>
        <v/>
      </c>
      <c r="Z1002" s="14">
        <f>IF(OR($E1002="",$Y1002=""),"",IF($E1002&gt;=$Y1002,"×",IF($E1002&gt;=$Y1002*設定!$C$5,"△","○")))</f>
        <v/>
      </c>
      <c r="AA1002" s="15">
        <f>IF($Z1002="","",IF($Z1002="×",0,IF($Z1002="○",ROUNDDOWN($E1002*設定!$C$4,0),ROUNDDOWN($E1002*ROUND((9*$Y1002-9*$E1002)/(10*$E1002),4),0))))</f>
        <v/>
      </c>
      <c r="AB1002" s="13" t="n"/>
      <c r="AC1002" s="15">
        <f>IF($B1002="","",IF($AB1002&lt;&gt;"",$AB1002,IF($AA1002="","",IF($AA1002&lt;=設定!$C$3,0,$AA1002))))</f>
        <v/>
      </c>
      <c r="AD1002" s="14">
        <f>IF($B1002="","",IF(AND($AE1002&lt;&gt;"",$AG1002="",$AJ1002=""),"保留中",IF($AJ1002&lt;&gt;"",IF(N($AC1002)&gt;0,"支給済","不支給"),IF($AC1002="","要確認",IF($AC1002=0,"不支給","未処理")))))</f>
        <v/>
      </c>
      <c r="AE1002" s="12" t="n"/>
      <c r="AF1002" s="11" t="n"/>
      <c r="AG1002" s="11" t="n"/>
      <c r="AH1002" s="11" t="n"/>
      <c r="AI1002" s="14">
        <f>IF(AND($AD1002="保留中",$AF1002&lt;&gt;""),TODAY()-$AF1002,"")</f>
        <v/>
      </c>
      <c r="AJ1002" s="12" t="n"/>
      <c r="AK1002" s="14">
        <f>IF($B1002="","",IF($AO1002="","対象年月が未入力／","")&amp;IF($B1002="","",IF($AN1002="","職員マスタに未登録の職員番号／",IF($Y1002="","標準報酬月額が未登録／","")&amp;IF(AND($AO1002&lt;&gt;"",OR(AND(INDEX(職員マスタ!$G$6:$G$405,$AN1002)&lt;&gt;"",INDEX(職員マスタ!$G$6:$G$405,$AN1002)&gt;EOMONTH($AO1002,0)),AND(INDEX(職員マスタ!$H$6:$H$405,$AN1002)&lt;&gt;"",INDEX(職員マスタ!$H$6:$H$405,$AN1002)&lt;$AO1002))),"対象月が時短期間外／","")&amp;IF(AND(INDEX(職員マスタ!$F$6:$F$405,$AN1002)&lt;&gt;"",$AO1002&lt;&gt;"",INDEX(職員マスタ!$F$6:$F$405,$AN1002)&lt;$AO1002),"対象月に子が2歳到達済／","")&amp;IF(AND($H1002&lt;&gt;"",INDEX(職員マスタ!$B$6:$B$405,$AN1002)&lt;&gt;"",SUBSTITUTE(SUBSTITUTE($H1002," ","")," ","")&lt;&gt;SUBSTITUTE(SUBSTITUTE(INDEX(職員マスタ!$B$6:$B$405,$AN1002)," ","")," ","")),"氏名がマスタと相違／","")&amp;IF(AND($Q1002&lt;&gt;"",INDEX(職員マスタ!$E$6:$E$405,$AN1002)&lt;&gt;"",$Q1002&lt;&gt;INDEX(職員マスタ!$E$6:$E$405,$AN1002)),"子の生年月日がマスタと相違／","")&amp;IF(AND($L1002&lt;&gt;"",INDEX(職員マスタ!$G$6:$G$405,$AN1002)&lt;&gt;"",$L1002&lt;&gt;INDEX(職員マスタ!$G$6:$G$405,$AN1002)),"時短開始日がマスタと相違／","")&amp;IF(AND($M1002&lt;&gt;"",INDEX(職員マスタ!$H$6:$H$405,$AN1002)&lt;&gt;"",$M1002&lt;&gt;INDEX(職員マスタ!$H$6:$H$405,$AN1002)),"時短終了日がマスタと相違／","")))&amp;IF(AND($B1002&lt;&gt;"",$E1002=""),"報酬額が未入力／","")&amp;IF(N($U1002)&gt;0,"申請書に入力エラーが残っています／","")&amp;IF(AND($B1002&lt;&gt;"",$AO1002&lt;&gt;""),IF(COUNTIFS($B$6:$B$3005,$B1002,$C$6:$C$3005,$C1002,$D$6:$D$3005,$D1002)&gt;1,"同じ月の請求が重複しています／",""),"")&amp;IF(AND(N($E1002)&gt;0,$Z1002&lt;&gt;"",$Z1002&lt;&gt;"×",$AC1002=0,$AB1002=""),"計算額が下限以下のため不支給／",""))</f>
        <v/>
      </c>
      <c r="AL1002" s="12" t="n"/>
      <c r="AM1002" s="14">
        <f>IF($AD1002="保留中",COUNTIF($AD$6:$AD1002,"保留中"),"")</f>
        <v/>
      </c>
      <c r="AN1002" s="14">
        <f>IF($AO1002="","",IF(SUMPRODUCT(MAX((職員マスタ!$A$6:$A$405=$B1002)*(((職員マスタ!$G$6:$G$405="")+(職員マスタ!$G$6:$G$405&lt;=EOMONTH($AO1002,0)))&gt;0)*(((職員マスタ!$H$6:$H$405="")+(職員マスタ!$H$6:$H$405&gt;=$AO1002))&gt;0)*(ROW(職員マスタ!$A$6:$A$405)-5)))&gt;0,SUMPRODUCT(MAX((職員マスタ!$A$6:$A$405=$B1002)*(((職員マスタ!$G$6:$G$405="")+(職員マスタ!$G$6:$G$405&lt;=EOMONTH($AO1002,0)))&gt;0)*(((職員マスタ!$H$6:$H$405="")+(職員マスタ!$H$6:$H$405&gt;=$AO1002))&gt;0)*(ROW(職員マスタ!$A$6:$A$405)-5))),IFERROR(MATCH($B1002,職員マスタ!$A$6:$A$405,0),"")))</f>
        <v/>
      </c>
      <c r="AO1002" s="16">
        <f>IF(OR($B1002="",$C1002="",$D1002=""),"",DATE($C1002+2018,$D1002,1))</f>
        <v/>
      </c>
    </row>
    <row r="1003">
      <c r="A1003" s="11" t="n"/>
      <c r="B1003" s="12" t="n"/>
      <c r="C1003" s="12" t="n"/>
      <c r="D1003" s="12" t="n"/>
      <c r="E1003" s="13" t="n"/>
      <c r="F1003" s="12" t="n"/>
      <c r="G1003" s="13" t="n"/>
      <c r="H1003" s="12" t="n"/>
      <c r="I1003" s="12" t="n"/>
      <c r="J1003" s="12" t="n"/>
      <c r="K1003" s="12" t="n"/>
      <c r="L1003" s="11" t="n"/>
      <c r="M1003" s="11" t="n"/>
      <c r="N1003" s="11" t="n"/>
      <c r="O1003" s="11" t="n"/>
      <c r="P1003" s="12" t="n"/>
      <c r="Q1003" s="11" t="n"/>
      <c r="R1003" s="12" t="n"/>
      <c r="S1003" s="11" t="n"/>
      <c r="T1003" s="12" t="n"/>
      <c r="U1003" s="12" t="n"/>
      <c r="V1003" s="14">
        <f>IF($AN1003="",IF($B1003="","",$H1003),IF(INDEX(職員マスタ!$B$6:$B$405,$AN1003)="",$H1003,INDEX(職員マスタ!$B$6:$B$405,$AN1003)))</f>
        <v/>
      </c>
      <c r="W1003" s="14">
        <f>IF($AN1003="",IF($B1003="","",$R1003),IF(INDEX(職員マスタ!$C$6:$C$405,$AN1003)="",$R1003,INDEX(職員マスタ!$C$6:$C$405,$AN1003)))</f>
        <v/>
      </c>
      <c r="X1003" s="14">
        <f>IF($AO1003="","","R"&amp;$C1003&amp;"."&amp;$D1003)</f>
        <v/>
      </c>
      <c r="Y1003" s="15">
        <f>IF($AN1003="","",IF(INDEX(職員マスタ!$K$6:$K$405,$AN1003)="","",INDEX(職員マスタ!$K$6:$K$405,$AN1003)))</f>
        <v/>
      </c>
      <c r="Z1003" s="14">
        <f>IF(OR($E1003="",$Y1003=""),"",IF($E1003&gt;=$Y1003,"×",IF($E1003&gt;=$Y1003*設定!$C$5,"△","○")))</f>
        <v/>
      </c>
      <c r="AA1003" s="15">
        <f>IF($Z1003="","",IF($Z1003="×",0,IF($Z1003="○",ROUNDDOWN($E1003*設定!$C$4,0),ROUNDDOWN($E1003*ROUND((9*$Y1003-9*$E1003)/(10*$E1003),4),0))))</f>
        <v/>
      </c>
      <c r="AB1003" s="13" t="n"/>
      <c r="AC1003" s="15">
        <f>IF($B1003="","",IF($AB1003&lt;&gt;"",$AB1003,IF($AA1003="","",IF($AA1003&lt;=設定!$C$3,0,$AA1003))))</f>
        <v/>
      </c>
      <c r="AD1003" s="14">
        <f>IF($B1003="","",IF(AND($AE1003&lt;&gt;"",$AG1003="",$AJ1003=""),"保留中",IF($AJ1003&lt;&gt;"",IF(N($AC1003)&gt;0,"支給済","不支給"),IF($AC1003="","要確認",IF($AC1003=0,"不支給","未処理")))))</f>
        <v/>
      </c>
      <c r="AE1003" s="12" t="n"/>
      <c r="AF1003" s="11" t="n"/>
      <c r="AG1003" s="11" t="n"/>
      <c r="AH1003" s="11" t="n"/>
      <c r="AI1003" s="14">
        <f>IF(AND($AD1003="保留中",$AF1003&lt;&gt;""),TODAY()-$AF1003,"")</f>
        <v/>
      </c>
      <c r="AJ1003" s="12" t="n"/>
      <c r="AK1003" s="14">
        <f>IF($B1003="","",IF($AO1003="","対象年月が未入力／","")&amp;IF($B1003="","",IF($AN1003="","職員マスタに未登録の職員番号／",IF($Y1003="","標準報酬月額が未登録／","")&amp;IF(AND($AO1003&lt;&gt;"",OR(AND(INDEX(職員マスタ!$G$6:$G$405,$AN1003)&lt;&gt;"",INDEX(職員マスタ!$G$6:$G$405,$AN1003)&gt;EOMONTH($AO1003,0)),AND(INDEX(職員マスタ!$H$6:$H$405,$AN1003)&lt;&gt;"",INDEX(職員マスタ!$H$6:$H$405,$AN1003)&lt;$AO1003))),"対象月が時短期間外／","")&amp;IF(AND(INDEX(職員マスタ!$F$6:$F$405,$AN1003)&lt;&gt;"",$AO1003&lt;&gt;"",INDEX(職員マスタ!$F$6:$F$405,$AN1003)&lt;$AO1003),"対象月に子が2歳到達済／","")&amp;IF(AND($H1003&lt;&gt;"",INDEX(職員マスタ!$B$6:$B$405,$AN1003)&lt;&gt;"",SUBSTITUTE(SUBSTITUTE($H1003," ","")," ","")&lt;&gt;SUBSTITUTE(SUBSTITUTE(INDEX(職員マスタ!$B$6:$B$405,$AN1003)," ","")," ","")),"氏名がマスタと相違／","")&amp;IF(AND($Q1003&lt;&gt;"",INDEX(職員マスタ!$E$6:$E$405,$AN1003)&lt;&gt;"",$Q1003&lt;&gt;INDEX(職員マスタ!$E$6:$E$405,$AN1003)),"子の生年月日がマスタと相違／","")&amp;IF(AND($L1003&lt;&gt;"",INDEX(職員マスタ!$G$6:$G$405,$AN1003)&lt;&gt;"",$L1003&lt;&gt;INDEX(職員マスタ!$G$6:$G$405,$AN1003)),"時短開始日がマスタと相違／","")&amp;IF(AND($M1003&lt;&gt;"",INDEX(職員マスタ!$H$6:$H$405,$AN1003)&lt;&gt;"",$M1003&lt;&gt;INDEX(職員マスタ!$H$6:$H$405,$AN1003)),"時短終了日がマスタと相違／","")))&amp;IF(AND($B1003&lt;&gt;"",$E1003=""),"報酬額が未入力／","")&amp;IF(N($U1003)&gt;0,"申請書に入力エラーが残っています／","")&amp;IF(AND($B1003&lt;&gt;"",$AO1003&lt;&gt;""),IF(COUNTIFS($B$6:$B$3005,$B1003,$C$6:$C$3005,$C1003,$D$6:$D$3005,$D1003)&gt;1,"同じ月の請求が重複しています／",""),"")&amp;IF(AND(N($E1003)&gt;0,$Z1003&lt;&gt;"",$Z1003&lt;&gt;"×",$AC1003=0,$AB1003=""),"計算額が下限以下のため不支給／",""))</f>
        <v/>
      </c>
      <c r="AL1003" s="12" t="n"/>
      <c r="AM1003" s="14">
        <f>IF($AD1003="保留中",COUNTIF($AD$6:$AD1003,"保留中"),"")</f>
        <v/>
      </c>
      <c r="AN1003" s="14">
        <f>IF($AO1003="","",IF(SUMPRODUCT(MAX((職員マスタ!$A$6:$A$405=$B1003)*(((職員マスタ!$G$6:$G$405="")+(職員マスタ!$G$6:$G$405&lt;=EOMONTH($AO1003,0)))&gt;0)*(((職員マスタ!$H$6:$H$405="")+(職員マスタ!$H$6:$H$405&gt;=$AO1003))&gt;0)*(ROW(職員マスタ!$A$6:$A$405)-5)))&gt;0,SUMPRODUCT(MAX((職員マスタ!$A$6:$A$405=$B1003)*(((職員マスタ!$G$6:$G$405="")+(職員マスタ!$G$6:$G$405&lt;=EOMONTH($AO1003,0)))&gt;0)*(((職員マスタ!$H$6:$H$405="")+(職員マスタ!$H$6:$H$405&gt;=$AO1003))&gt;0)*(ROW(職員マスタ!$A$6:$A$405)-5))),IFERROR(MATCH($B1003,職員マスタ!$A$6:$A$405,0),"")))</f>
        <v/>
      </c>
      <c r="AO1003" s="16">
        <f>IF(OR($B1003="",$C1003="",$D1003=""),"",DATE($C1003+2018,$D1003,1))</f>
        <v/>
      </c>
    </row>
    <row r="1004">
      <c r="A1004" s="11" t="n"/>
      <c r="B1004" s="12" t="n"/>
      <c r="C1004" s="12" t="n"/>
      <c r="D1004" s="12" t="n"/>
      <c r="E1004" s="13" t="n"/>
      <c r="F1004" s="12" t="n"/>
      <c r="G1004" s="13" t="n"/>
      <c r="H1004" s="12" t="n"/>
      <c r="I1004" s="12" t="n"/>
      <c r="J1004" s="12" t="n"/>
      <c r="K1004" s="12" t="n"/>
      <c r="L1004" s="11" t="n"/>
      <c r="M1004" s="11" t="n"/>
      <c r="N1004" s="11" t="n"/>
      <c r="O1004" s="11" t="n"/>
      <c r="P1004" s="12" t="n"/>
      <c r="Q1004" s="11" t="n"/>
      <c r="R1004" s="12" t="n"/>
      <c r="S1004" s="11" t="n"/>
      <c r="T1004" s="12" t="n"/>
      <c r="U1004" s="12" t="n"/>
      <c r="V1004" s="14">
        <f>IF($AN1004="",IF($B1004="","",$H1004),IF(INDEX(職員マスタ!$B$6:$B$405,$AN1004)="",$H1004,INDEX(職員マスタ!$B$6:$B$405,$AN1004)))</f>
        <v/>
      </c>
      <c r="W1004" s="14">
        <f>IF($AN1004="",IF($B1004="","",$R1004),IF(INDEX(職員マスタ!$C$6:$C$405,$AN1004)="",$R1004,INDEX(職員マスタ!$C$6:$C$405,$AN1004)))</f>
        <v/>
      </c>
      <c r="X1004" s="14">
        <f>IF($AO1004="","","R"&amp;$C1004&amp;"."&amp;$D1004)</f>
        <v/>
      </c>
      <c r="Y1004" s="15">
        <f>IF($AN1004="","",IF(INDEX(職員マスタ!$K$6:$K$405,$AN1004)="","",INDEX(職員マスタ!$K$6:$K$405,$AN1004)))</f>
        <v/>
      </c>
      <c r="Z1004" s="14">
        <f>IF(OR($E1004="",$Y1004=""),"",IF($E1004&gt;=$Y1004,"×",IF($E1004&gt;=$Y1004*設定!$C$5,"△","○")))</f>
        <v/>
      </c>
      <c r="AA1004" s="15">
        <f>IF($Z1004="","",IF($Z1004="×",0,IF($Z1004="○",ROUNDDOWN($E1004*設定!$C$4,0),ROUNDDOWN($E1004*ROUND((9*$Y1004-9*$E1004)/(10*$E1004),4),0))))</f>
        <v/>
      </c>
      <c r="AB1004" s="13" t="n"/>
      <c r="AC1004" s="15">
        <f>IF($B1004="","",IF($AB1004&lt;&gt;"",$AB1004,IF($AA1004="","",IF($AA1004&lt;=設定!$C$3,0,$AA1004))))</f>
        <v/>
      </c>
      <c r="AD1004" s="14">
        <f>IF($B1004="","",IF(AND($AE1004&lt;&gt;"",$AG1004="",$AJ1004=""),"保留中",IF($AJ1004&lt;&gt;"",IF(N($AC1004)&gt;0,"支給済","不支給"),IF($AC1004="","要確認",IF($AC1004=0,"不支給","未処理")))))</f>
        <v/>
      </c>
      <c r="AE1004" s="12" t="n"/>
      <c r="AF1004" s="11" t="n"/>
      <c r="AG1004" s="11" t="n"/>
      <c r="AH1004" s="11" t="n"/>
      <c r="AI1004" s="14">
        <f>IF(AND($AD1004="保留中",$AF1004&lt;&gt;""),TODAY()-$AF1004,"")</f>
        <v/>
      </c>
      <c r="AJ1004" s="12" t="n"/>
      <c r="AK1004" s="14">
        <f>IF($B1004="","",IF($AO1004="","対象年月が未入力／","")&amp;IF($B1004="","",IF($AN1004="","職員マスタに未登録の職員番号／",IF($Y1004="","標準報酬月額が未登録／","")&amp;IF(AND($AO1004&lt;&gt;"",OR(AND(INDEX(職員マスタ!$G$6:$G$405,$AN1004)&lt;&gt;"",INDEX(職員マスタ!$G$6:$G$405,$AN1004)&gt;EOMONTH($AO1004,0)),AND(INDEX(職員マスタ!$H$6:$H$405,$AN1004)&lt;&gt;"",INDEX(職員マスタ!$H$6:$H$405,$AN1004)&lt;$AO1004))),"対象月が時短期間外／","")&amp;IF(AND(INDEX(職員マスタ!$F$6:$F$405,$AN1004)&lt;&gt;"",$AO1004&lt;&gt;"",INDEX(職員マスタ!$F$6:$F$405,$AN1004)&lt;$AO1004),"対象月に子が2歳到達済／","")&amp;IF(AND($H1004&lt;&gt;"",INDEX(職員マスタ!$B$6:$B$405,$AN1004)&lt;&gt;"",SUBSTITUTE(SUBSTITUTE($H1004," ","")," ","")&lt;&gt;SUBSTITUTE(SUBSTITUTE(INDEX(職員マスタ!$B$6:$B$405,$AN1004)," ","")," ","")),"氏名がマスタと相違／","")&amp;IF(AND($Q1004&lt;&gt;"",INDEX(職員マスタ!$E$6:$E$405,$AN1004)&lt;&gt;"",$Q1004&lt;&gt;INDEX(職員マスタ!$E$6:$E$405,$AN1004)),"子の生年月日がマスタと相違／","")&amp;IF(AND($L1004&lt;&gt;"",INDEX(職員マスタ!$G$6:$G$405,$AN1004)&lt;&gt;"",$L1004&lt;&gt;INDEX(職員マスタ!$G$6:$G$405,$AN1004)),"時短開始日がマスタと相違／","")&amp;IF(AND($M1004&lt;&gt;"",INDEX(職員マスタ!$H$6:$H$405,$AN1004)&lt;&gt;"",$M1004&lt;&gt;INDEX(職員マスタ!$H$6:$H$405,$AN1004)),"時短終了日がマスタと相違／","")))&amp;IF(AND($B1004&lt;&gt;"",$E1004=""),"報酬額が未入力／","")&amp;IF(N($U1004)&gt;0,"申請書に入力エラーが残っています／","")&amp;IF(AND($B1004&lt;&gt;"",$AO1004&lt;&gt;""),IF(COUNTIFS($B$6:$B$3005,$B1004,$C$6:$C$3005,$C1004,$D$6:$D$3005,$D1004)&gt;1,"同じ月の請求が重複しています／",""),"")&amp;IF(AND(N($E1004)&gt;0,$Z1004&lt;&gt;"",$Z1004&lt;&gt;"×",$AC1004=0,$AB1004=""),"計算額が下限以下のため不支給／",""))</f>
        <v/>
      </c>
      <c r="AL1004" s="12" t="n"/>
      <c r="AM1004" s="14">
        <f>IF($AD1004="保留中",COUNTIF($AD$6:$AD1004,"保留中"),"")</f>
        <v/>
      </c>
      <c r="AN1004" s="14">
        <f>IF($AO1004="","",IF(SUMPRODUCT(MAX((職員マスタ!$A$6:$A$405=$B1004)*(((職員マスタ!$G$6:$G$405="")+(職員マスタ!$G$6:$G$405&lt;=EOMONTH($AO1004,0)))&gt;0)*(((職員マスタ!$H$6:$H$405="")+(職員マスタ!$H$6:$H$405&gt;=$AO1004))&gt;0)*(ROW(職員マスタ!$A$6:$A$405)-5)))&gt;0,SUMPRODUCT(MAX((職員マスタ!$A$6:$A$405=$B1004)*(((職員マスタ!$G$6:$G$405="")+(職員マスタ!$G$6:$G$405&lt;=EOMONTH($AO1004,0)))&gt;0)*(((職員マスタ!$H$6:$H$405="")+(職員マスタ!$H$6:$H$405&gt;=$AO1004))&gt;0)*(ROW(職員マスタ!$A$6:$A$405)-5))),IFERROR(MATCH($B1004,職員マスタ!$A$6:$A$405,0),"")))</f>
        <v/>
      </c>
      <c r="AO1004" s="16">
        <f>IF(OR($B1004="",$C1004="",$D1004=""),"",DATE($C1004+2018,$D1004,1))</f>
        <v/>
      </c>
    </row>
    <row r="1005">
      <c r="A1005" s="11" t="n"/>
      <c r="B1005" s="12" t="n"/>
      <c r="C1005" s="12" t="n"/>
      <c r="D1005" s="12" t="n"/>
      <c r="E1005" s="13" t="n"/>
      <c r="F1005" s="12" t="n"/>
      <c r="G1005" s="13" t="n"/>
      <c r="H1005" s="12" t="n"/>
      <c r="I1005" s="12" t="n"/>
      <c r="J1005" s="12" t="n"/>
      <c r="K1005" s="12" t="n"/>
      <c r="L1005" s="11" t="n"/>
      <c r="M1005" s="11" t="n"/>
      <c r="N1005" s="11" t="n"/>
      <c r="O1005" s="11" t="n"/>
      <c r="P1005" s="12" t="n"/>
      <c r="Q1005" s="11" t="n"/>
      <c r="R1005" s="12" t="n"/>
      <c r="S1005" s="11" t="n"/>
      <c r="T1005" s="12" t="n"/>
      <c r="U1005" s="12" t="n"/>
      <c r="V1005" s="14">
        <f>IF($AN1005="",IF($B1005="","",$H1005),IF(INDEX(職員マスタ!$B$6:$B$405,$AN1005)="",$H1005,INDEX(職員マスタ!$B$6:$B$405,$AN1005)))</f>
        <v/>
      </c>
      <c r="W1005" s="14">
        <f>IF($AN1005="",IF($B1005="","",$R1005),IF(INDEX(職員マスタ!$C$6:$C$405,$AN1005)="",$R1005,INDEX(職員マスタ!$C$6:$C$405,$AN1005)))</f>
        <v/>
      </c>
      <c r="X1005" s="14">
        <f>IF($AO1005="","","R"&amp;$C1005&amp;"."&amp;$D1005)</f>
        <v/>
      </c>
      <c r="Y1005" s="15">
        <f>IF($AN1005="","",IF(INDEX(職員マスタ!$K$6:$K$405,$AN1005)="","",INDEX(職員マスタ!$K$6:$K$405,$AN1005)))</f>
        <v/>
      </c>
      <c r="Z1005" s="14">
        <f>IF(OR($E1005="",$Y1005=""),"",IF($E1005&gt;=$Y1005,"×",IF($E1005&gt;=$Y1005*設定!$C$5,"△","○")))</f>
        <v/>
      </c>
      <c r="AA1005" s="15">
        <f>IF($Z1005="","",IF($Z1005="×",0,IF($Z1005="○",ROUNDDOWN($E1005*設定!$C$4,0),ROUNDDOWN($E1005*ROUND((9*$Y1005-9*$E1005)/(10*$E1005),4),0))))</f>
        <v/>
      </c>
      <c r="AB1005" s="13" t="n"/>
      <c r="AC1005" s="15">
        <f>IF($B1005="","",IF($AB1005&lt;&gt;"",$AB1005,IF($AA1005="","",IF($AA1005&lt;=設定!$C$3,0,$AA1005))))</f>
        <v/>
      </c>
      <c r="AD1005" s="14">
        <f>IF($B1005="","",IF(AND($AE1005&lt;&gt;"",$AG1005="",$AJ1005=""),"保留中",IF($AJ1005&lt;&gt;"",IF(N($AC1005)&gt;0,"支給済","不支給"),IF($AC1005="","要確認",IF($AC1005=0,"不支給","未処理")))))</f>
        <v/>
      </c>
      <c r="AE1005" s="12" t="n"/>
      <c r="AF1005" s="11" t="n"/>
      <c r="AG1005" s="11" t="n"/>
      <c r="AH1005" s="11" t="n"/>
      <c r="AI1005" s="14">
        <f>IF(AND($AD1005="保留中",$AF1005&lt;&gt;""),TODAY()-$AF1005,"")</f>
        <v/>
      </c>
      <c r="AJ1005" s="12" t="n"/>
      <c r="AK1005" s="14">
        <f>IF($B1005="","",IF($AO1005="","対象年月が未入力／","")&amp;IF($B1005="","",IF($AN1005="","職員マスタに未登録の職員番号／",IF($Y1005="","標準報酬月額が未登録／","")&amp;IF(AND($AO1005&lt;&gt;"",OR(AND(INDEX(職員マスタ!$G$6:$G$405,$AN1005)&lt;&gt;"",INDEX(職員マスタ!$G$6:$G$405,$AN1005)&gt;EOMONTH($AO1005,0)),AND(INDEX(職員マスタ!$H$6:$H$405,$AN1005)&lt;&gt;"",INDEX(職員マスタ!$H$6:$H$405,$AN1005)&lt;$AO1005))),"対象月が時短期間外／","")&amp;IF(AND(INDEX(職員マスタ!$F$6:$F$405,$AN1005)&lt;&gt;"",$AO1005&lt;&gt;"",INDEX(職員マスタ!$F$6:$F$405,$AN1005)&lt;$AO1005),"対象月に子が2歳到達済／","")&amp;IF(AND($H1005&lt;&gt;"",INDEX(職員マスタ!$B$6:$B$405,$AN1005)&lt;&gt;"",SUBSTITUTE(SUBSTITUTE($H1005," ","")," ","")&lt;&gt;SUBSTITUTE(SUBSTITUTE(INDEX(職員マスタ!$B$6:$B$405,$AN1005)," ","")," ","")),"氏名がマスタと相違／","")&amp;IF(AND($Q1005&lt;&gt;"",INDEX(職員マスタ!$E$6:$E$405,$AN1005)&lt;&gt;"",$Q1005&lt;&gt;INDEX(職員マスタ!$E$6:$E$405,$AN1005)),"子の生年月日がマスタと相違／","")&amp;IF(AND($L1005&lt;&gt;"",INDEX(職員マスタ!$G$6:$G$405,$AN1005)&lt;&gt;"",$L1005&lt;&gt;INDEX(職員マスタ!$G$6:$G$405,$AN1005)),"時短開始日がマスタと相違／","")&amp;IF(AND($M1005&lt;&gt;"",INDEX(職員マスタ!$H$6:$H$405,$AN1005)&lt;&gt;"",$M1005&lt;&gt;INDEX(職員マスタ!$H$6:$H$405,$AN1005)),"時短終了日がマスタと相違／","")))&amp;IF(AND($B1005&lt;&gt;"",$E1005=""),"報酬額が未入力／","")&amp;IF(N($U1005)&gt;0,"申請書に入力エラーが残っています／","")&amp;IF(AND($B1005&lt;&gt;"",$AO1005&lt;&gt;""),IF(COUNTIFS($B$6:$B$3005,$B1005,$C$6:$C$3005,$C1005,$D$6:$D$3005,$D1005)&gt;1,"同じ月の請求が重複しています／",""),"")&amp;IF(AND(N($E1005)&gt;0,$Z1005&lt;&gt;"",$Z1005&lt;&gt;"×",$AC1005=0,$AB1005=""),"計算額が下限以下のため不支給／",""))</f>
        <v/>
      </c>
      <c r="AL1005" s="12" t="n"/>
      <c r="AM1005" s="14">
        <f>IF($AD1005="保留中",COUNTIF($AD$6:$AD1005,"保留中"),"")</f>
        <v/>
      </c>
      <c r="AN1005" s="14">
        <f>IF($AO1005="","",IF(SUMPRODUCT(MAX((職員マスタ!$A$6:$A$405=$B1005)*(((職員マスタ!$G$6:$G$405="")+(職員マスタ!$G$6:$G$405&lt;=EOMONTH($AO1005,0)))&gt;0)*(((職員マスタ!$H$6:$H$405="")+(職員マスタ!$H$6:$H$405&gt;=$AO1005))&gt;0)*(ROW(職員マスタ!$A$6:$A$405)-5)))&gt;0,SUMPRODUCT(MAX((職員マスタ!$A$6:$A$405=$B1005)*(((職員マスタ!$G$6:$G$405="")+(職員マスタ!$G$6:$G$405&lt;=EOMONTH($AO1005,0)))&gt;0)*(((職員マスタ!$H$6:$H$405="")+(職員マスタ!$H$6:$H$405&gt;=$AO1005))&gt;0)*(ROW(職員マスタ!$A$6:$A$405)-5))),IFERROR(MATCH($B1005,職員マスタ!$A$6:$A$405,0),"")))</f>
        <v/>
      </c>
      <c r="AO1005" s="16">
        <f>IF(OR($B1005="",$C1005="",$D1005=""),"",DATE($C1005+2018,$D1005,1))</f>
        <v/>
      </c>
    </row>
    <row r="1006">
      <c r="A1006" s="11" t="n"/>
      <c r="B1006" s="12" t="n"/>
      <c r="C1006" s="12" t="n"/>
      <c r="D1006" s="12" t="n"/>
      <c r="E1006" s="13" t="n"/>
      <c r="F1006" s="12" t="n"/>
      <c r="G1006" s="13" t="n"/>
      <c r="H1006" s="12" t="n"/>
      <c r="I1006" s="12" t="n"/>
      <c r="J1006" s="12" t="n"/>
      <c r="K1006" s="12" t="n"/>
      <c r="L1006" s="11" t="n"/>
      <c r="M1006" s="11" t="n"/>
      <c r="N1006" s="11" t="n"/>
      <c r="O1006" s="11" t="n"/>
      <c r="P1006" s="12" t="n"/>
      <c r="Q1006" s="11" t="n"/>
      <c r="R1006" s="12" t="n"/>
      <c r="S1006" s="11" t="n"/>
      <c r="T1006" s="12" t="n"/>
      <c r="U1006" s="12" t="n"/>
      <c r="V1006" s="14">
        <f>IF($AN1006="",IF($B1006="","",$H1006),IF(INDEX(職員マスタ!$B$6:$B$405,$AN1006)="",$H1006,INDEX(職員マスタ!$B$6:$B$405,$AN1006)))</f>
        <v/>
      </c>
      <c r="W1006" s="14">
        <f>IF($AN1006="",IF($B1006="","",$R1006),IF(INDEX(職員マスタ!$C$6:$C$405,$AN1006)="",$R1006,INDEX(職員マスタ!$C$6:$C$405,$AN1006)))</f>
        <v/>
      </c>
      <c r="X1006" s="14">
        <f>IF($AO1006="","","R"&amp;$C1006&amp;"."&amp;$D1006)</f>
        <v/>
      </c>
      <c r="Y1006" s="15">
        <f>IF($AN1006="","",IF(INDEX(職員マスタ!$K$6:$K$405,$AN1006)="","",INDEX(職員マスタ!$K$6:$K$405,$AN1006)))</f>
        <v/>
      </c>
      <c r="Z1006" s="14">
        <f>IF(OR($E1006="",$Y1006=""),"",IF($E1006&gt;=$Y1006,"×",IF($E1006&gt;=$Y1006*設定!$C$5,"△","○")))</f>
        <v/>
      </c>
      <c r="AA1006" s="15">
        <f>IF($Z1006="","",IF($Z1006="×",0,IF($Z1006="○",ROUNDDOWN($E1006*設定!$C$4,0),ROUNDDOWN($E1006*ROUND((9*$Y1006-9*$E1006)/(10*$E1006),4),0))))</f>
        <v/>
      </c>
      <c r="AB1006" s="13" t="n"/>
      <c r="AC1006" s="15">
        <f>IF($B1006="","",IF($AB1006&lt;&gt;"",$AB1006,IF($AA1006="","",IF($AA1006&lt;=設定!$C$3,0,$AA1006))))</f>
        <v/>
      </c>
      <c r="AD1006" s="14">
        <f>IF($B1006="","",IF(AND($AE1006&lt;&gt;"",$AG1006="",$AJ1006=""),"保留中",IF($AJ1006&lt;&gt;"",IF(N($AC1006)&gt;0,"支給済","不支給"),IF($AC1006="","要確認",IF($AC1006=0,"不支給","未処理")))))</f>
        <v/>
      </c>
      <c r="AE1006" s="12" t="n"/>
      <c r="AF1006" s="11" t="n"/>
      <c r="AG1006" s="11" t="n"/>
      <c r="AH1006" s="11" t="n"/>
      <c r="AI1006" s="14">
        <f>IF(AND($AD1006="保留中",$AF1006&lt;&gt;""),TODAY()-$AF1006,"")</f>
        <v/>
      </c>
      <c r="AJ1006" s="12" t="n"/>
      <c r="AK1006" s="14">
        <f>IF($B1006="","",IF($AO1006="","対象年月が未入力／","")&amp;IF($B1006="","",IF($AN1006="","職員マスタに未登録の職員番号／",IF($Y1006="","標準報酬月額が未登録／","")&amp;IF(AND($AO1006&lt;&gt;"",OR(AND(INDEX(職員マスタ!$G$6:$G$405,$AN1006)&lt;&gt;"",INDEX(職員マスタ!$G$6:$G$405,$AN1006)&gt;EOMONTH($AO1006,0)),AND(INDEX(職員マスタ!$H$6:$H$405,$AN1006)&lt;&gt;"",INDEX(職員マスタ!$H$6:$H$405,$AN1006)&lt;$AO1006))),"対象月が時短期間外／","")&amp;IF(AND(INDEX(職員マスタ!$F$6:$F$405,$AN1006)&lt;&gt;"",$AO1006&lt;&gt;"",INDEX(職員マスタ!$F$6:$F$405,$AN1006)&lt;$AO1006),"対象月に子が2歳到達済／","")&amp;IF(AND($H1006&lt;&gt;"",INDEX(職員マスタ!$B$6:$B$405,$AN1006)&lt;&gt;"",SUBSTITUTE(SUBSTITUTE($H1006," ","")," ","")&lt;&gt;SUBSTITUTE(SUBSTITUTE(INDEX(職員マスタ!$B$6:$B$405,$AN1006)," ","")," ","")),"氏名がマスタと相違／","")&amp;IF(AND($Q1006&lt;&gt;"",INDEX(職員マスタ!$E$6:$E$405,$AN1006)&lt;&gt;"",$Q1006&lt;&gt;INDEX(職員マスタ!$E$6:$E$405,$AN1006)),"子の生年月日がマスタと相違／","")&amp;IF(AND($L1006&lt;&gt;"",INDEX(職員マスタ!$G$6:$G$405,$AN1006)&lt;&gt;"",$L1006&lt;&gt;INDEX(職員マスタ!$G$6:$G$405,$AN1006)),"時短開始日がマスタと相違／","")&amp;IF(AND($M1006&lt;&gt;"",INDEX(職員マスタ!$H$6:$H$405,$AN1006)&lt;&gt;"",$M1006&lt;&gt;INDEX(職員マスタ!$H$6:$H$405,$AN1006)),"時短終了日がマスタと相違／","")))&amp;IF(AND($B1006&lt;&gt;"",$E1006=""),"報酬額が未入力／","")&amp;IF(N($U1006)&gt;0,"申請書に入力エラーが残っています／","")&amp;IF(AND($B1006&lt;&gt;"",$AO1006&lt;&gt;""),IF(COUNTIFS($B$6:$B$3005,$B1006,$C$6:$C$3005,$C1006,$D$6:$D$3005,$D1006)&gt;1,"同じ月の請求が重複しています／",""),"")&amp;IF(AND(N($E1006)&gt;0,$Z1006&lt;&gt;"",$Z1006&lt;&gt;"×",$AC1006=0,$AB1006=""),"計算額が下限以下のため不支給／",""))</f>
        <v/>
      </c>
      <c r="AL1006" s="12" t="n"/>
      <c r="AM1006" s="14">
        <f>IF($AD1006="保留中",COUNTIF($AD$6:$AD1006,"保留中"),"")</f>
        <v/>
      </c>
      <c r="AN1006" s="14">
        <f>IF($AO1006="","",IF(SUMPRODUCT(MAX((職員マスタ!$A$6:$A$405=$B1006)*(((職員マスタ!$G$6:$G$405="")+(職員マスタ!$G$6:$G$405&lt;=EOMONTH($AO1006,0)))&gt;0)*(((職員マスタ!$H$6:$H$405="")+(職員マスタ!$H$6:$H$405&gt;=$AO1006))&gt;0)*(ROW(職員マスタ!$A$6:$A$405)-5)))&gt;0,SUMPRODUCT(MAX((職員マスタ!$A$6:$A$405=$B1006)*(((職員マスタ!$G$6:$G$405="")+(職員マスタ!$G$6:$G$405&lt;=EOMONTH($AO1006,0)))&gt;0)*(((職員マスタ!$H$6:$H$405="")+(職員マスタ!$H$6:$H$405&gt;=$AO1006))&gt;0)*(ROW(職員マスタ!$A$6:$A$405)-5))),IFERROR(MATCH($B1006,職員マスタ!$A$6:$A$405,0),"")))</f>
        <v/>
      </c>
      <c r="AO1006" s="16">
        <f>IF(OR($B1006="",$C1006="",$D1006=""),"",DATE($C1006+2018,$D1006,1))</f>
        <v/>
      </c>
    </row>
    <row r="1007">
      <c r="A1007" s="11" t="n"/>
      <c r="B1007" s="12" t="n"/>
      <c r="C1007" s="12" t="n"/>
      <c r="D1007" s="12" t="n"/>
      <c r="E1007" s="13" t="n"/>
      <c r="F1007" s="12" t="n"/>
      <c r="G1007" s="13" t="n"/>
      <c r="H1007" s="12" t="n"/>
      <c r="I1007" s="12" t="n"/>
      <c r="J1007" s="12" t="n"/>
      <c r="K1007" s="12" t="n"/>
      <c r="L1007" s="11" t="n"/>
      <c r="M1007" s="11" t="n"/>
      <c r="N1007" s="11" t="n"/>
      <c r="O1007" s="11" t="n"/>
      <c r="P1007" s="12" t="n"/>
      <c r="Q1007" s="11" t="n"/>
      <c r="R1007" s="12" t="n"/>
      <c r="S1007" s="11" t="n"/>
      <c r="T1007" s="12" t="n"/>
      <c r="U1007" s="12" t="n"/>
      <c r="V1007" s="14">
        <f>IF($AN1007="",IF($B1007="","",$H1007),IF(INDEX(職員マスタ!$B$6:$B$405,$AN1007)="",$H1007,INDEX(職員マスタ!$B$6:$B$405,$AN1007)))</f>
        <v/>
      </c>
      <c r="W1007" s="14">
        <f>IF($AN1007="",IF($B1007="","",$R1007),IF(INDEX(職員マスタ!$C$6:$C$405,$AN1007)="",$R1007,INDEX(職員マスタ!$C$6:$C$405,$AN1007)))</f>
        <v/>
      </c>
      <c r="X1007" s="14">
        <f>IF($AO1007="","","R"&amp;$C1007&amp;"."&amp;$D1007)</f>
        <v/>
      </c>
      <c r="Y1007" s="15">
        <f>IF($AN1007="","",IF(INDEX(職員マスタ!$K$6:$K$405,$AN1007)="","",INDEX(職員マスタ!$K$6:$K$405,$AN1007)))</f>
        <v/>
      </c>
      <c r="Z1007" s="14">
        <f>IF(OR($E1007="",$Y1007=""),"",IF($E1007&gt;=$Y1007,"×",IF($E1007&gt;=$Y1007*設定!$C$5,"△","○")))</f>
        <v/>
      </c>
      <c r="AA1007" s="15">
        <f>IF($Z1007="","",IF($Z1007="×",0,IF($Z1007="○",ROUNDDOWN($E1007*設定!$C$4,0),ROUNDDOWN($E1007*ROUND((9*$Y1007-9*$E1007)/(10*$E1007),4),0))))</f>
        <v/>
      </c>
      <c r="AB1007" s="13" t="n"/>
      <c r="AC1007" s="15">
        <f>IF($B1007="","",IF($AB1007&lt;&gt;"",$AB1007,IF($AA1007="","",IF($AA1007&lt;=設定!$C$3,0,$AA1007))))</f>
        <v/>
      </c>
      <c r="AD1007" s="14">
        <f>IF($B1007="","",IF(AND($AE1007&lt;&gt;"",$AG1007="",$AJ1007=""),"保留中",IF($AJ1007&lt;&gt;"",IF(N($AC1007)&gt;0,"支給済","不支給"),IF($AC1007="","要確認",IF($AC1007=0,"不支給","未処理")))))</f>
        <v/>
      </c>
      <c r="AE1007" s="12" t="n"/>
      <c r="AF1007" s="11" t="n"/>
      <c r="AG1007" s="11" t="n"/>
      <c r="AH1007" s="11" t="n"/>
      <c r="AI1007" s="14">
        <f>IF(AND($AD1007="保留中",$AF1007&lt;&gt;""),TODAY()-$AF1007,"")</f>
        <v/>
      </c>
      <c r="AJ1007" s="12" t="n"/>
      <c r="AK1007" s="14">
        <f>IF($B1007="","",IF($AO1007="","対象年月が未入力／","")&amp;IF($B1007="","",IF($AN1007="","職員マスタに未登録の職員番号／",IF($Y1007="","標準報酬月額が未登録／","")&amp;IF(AND($AO1007&lt;&gt;"",OR(AND(INDEX(職員マスタ!$G$6:$G$405,$AN1007)&lt;&gt;"",INDEX(職員マスタ!$G$6:$G$405,$AN1007)&gt;EOMONTH($AO1007,0)),AND(INDEX(職員マスタ!$H$6:$H$405,$AN1007)&lt;&gt;"",INDEX(職員マスタ!$H$6:$H$405,$AN1007)&lt;$AO1007))),"対象月が時短期間外／","")&amp;IF(AND(INDEX(職員マスタ!$F$6:$F$405,$AN1007)&lt;&gt;"",$AO1007&lt;&gt;"",INDEX(職員マスタ!$F$6:$F$405,$AN1007)&lt;$AO1007),"対象月に子が2歳到達済／","")&amp;IF(AND($H1007&lt;&gt;"",INDEX(職員マスタ!$B$6:$B$405,$AN1007)&lt;&gt;"",SUBSTITUTE(SUBSTITUTE($H1007," ","")," ","")&lt;&gt;SUBSTITUTE(SUBSTITUTE(INDEX(職員マスタ!$B$6:$B$405,$AN1007)," ","")," ","")),"氏名がマスタと相違／","")&amp;IF(AND($Q1007&lt;&gt;"",INDEX(職員マスタ!$E$6:$E$405,$AN1007)&lt;&gt;"",$Q1007&lt;&gt;INDEX(職員マスタ!$E$6:$E$405,$AN1007)),"子の生年月日がマスタと相違／","")&amp;IF(AND($L1007&lt;&gt;"",INDEX(職員マスタ!$G$6:$G$405,$AN1007)&lt;&gt;"",$L1007&lt;&gt;INDEX(職員マスタ!$G$6:$G$405,$AN1007)),"時短開始日がマスタと相違／","")&amp;IF(AND($M1007&lt;&gt;"",INDEX(職員マスタ!$H$6:$H$405,$AN1007)&lt;&gt;"",$M1007&lt;&gt;INDEX(職員マスタ!$H$6:$H$405,$AN1007)),"時短終了日がマスタと相違／","")))&amp;IF(AND($B1007&lt;&gt;"",$E1007=""),"報酬額が未入力／","")&amp;IF(N($U1007)&gt;0,"申請書に入力エラーが残っています／","")&amp;IF(AND($B1007&lt;&gt;"",$AO1007&lt;&gt;""),IF(COUNTIFS($B$6:$B$3005,$B1007,$C$6:$C$3005,$C1007,$D$6:$D$3005,$D1007)&gt;1,"同じ月の請求が重複しています／",""),"")&amp;IF(AND(N($E1007)&gt;0,$Z1007&lt;&gt;"",$Z1007&lt;&gt;"×",$AC1007=0,$AB1007=""),"計算額が下限以下のため不支給／",""))</f>
        <v/>
      </c>
      <c r="AL1007" s="12" t="n"/>
      <c r="AM1007" s="14">
        <f>IF($AD1007="保留中",COUNTIF($AD$6:$AD1007,"保留中"),"")</f>
        <v/>
      </c>
      <c r="AN1007" s="14">
        <f>IF($AO1007="","",IF(SUMPRODUCT(MAX((職員マスタ!$A$6:$A$405=$B1007)*(((職員マスタ!$G$6:$G$405="")+(職員マスタ!$G$6:$G$405&lt;=EOMONTH($AO1007,0)))&gt;0)*(((職員マスタ!$H$6:$H$405="")+(職員マスタ!$H$6:$H$405&gt;=$AO1007))&gt;0)*(ROW(職員マスタ!$A$6:$A$405)-5)))&gt;0,SUMPRODUCT(MAX((職員マスタ!$A$6:$A$405=$B1007)*(((職員マスタ!$G$6:$G$405="")+(職員マスタ!$G$6:$G$405&lt;=EOMONTH($AO1007,0)))&gt;0)*(((職員マスタ!$H$6:$H$405="")+(職員マスタ!$H$6:$H$405&gt;=$AO1007))&gt;0)*(ROW(職員マスタ!$A$6:$A$405)-5))),IFERROR(MATCH($B1007,職員マスタ!$A$6:$A$405,0),"")))</f>
        <v/>
      </c>
      <c r="AO1007" s="16">
        <f>IF(OR($B1007="",$C1007="",$D1007=""),"",DATE($C1007+2018,$D1007,1))</f>
        <v/>
      </c>
    </row>
    <row r="1008">
      <c r="A1008" s="11" t="n"/>
      <c r="B1008" s="12" t="n"/>
      <c r="C1008" s="12" t="n"/>
      <c r="D1008" s="12" t="n"/>
      <c r="E1008" s="13" t="n"/>
      <c r="F1008" s="12" t="n"/>
      <c r="G1008" s="13" t="n"/>
      <c r="H1008" s="12" t="n"/>
      <c r="I1008" s="12" t="n"/>
      <c r="J1008" s="12" t="n"/>
      <c r="K1008" s="12" t="n"/>
      <c r="L1008" s="11" t="n"/>
      <c r="M1008" s="11" t="n"/>
      <c r="N1008" s="11" t="n"/>
      <c r="O1008" s="11" t="n"/>
      <c r="P1008" s="12" t="n"/>
      <c r="Q1008" s="11" t="n"/>
      <c r="R1008" s="12" t="n"/>
      <c r="S1008" s="11" t="n"/>
      <c r="T1008" s="12" t="n"/>
      <c r="U1008" s="12" t="n"/>
      <c r="V1008" s="14">
        <f>IF($AN1008="",IF($B1008="","",$H1008),IF(INDEX(職員マスタ!$B$6:$B$405,$AN1008)="",$H1008,INDEX(職員マスタ!$B$6:$B$405,$AN1008)))</f>
        <v/>
      </c>
      <c r="W1008" s="14">
        <f>IF($AN1008="",IF($B1008="","",$R1008),IF(INDEX(職員マスタ!$C$6:$C$405,$AN1008)="",$R1008,INDEX(職員マスタ!$C$6:$C$405,$AN1008)))</f>
        <v/>
      </c>
      <c r="X1008" s="14">
        <f>IF($AO1008="","","R"&amp;$C1008&amp;"."&amp;$D1008)</f>
        <v/>
      </c>
      <c r="Y1008" s="15">
        <f>IF($AN1008="","",IF(INDEX(職員マスタ!$K$6:$K$405,$AN1008)="","",INDEX(職員マスタ!$K$6:$K$405,$AN1008)))</f>
        <v/>
      </c>
      <c r="Z1008" s="14">
        <f>IF(OR($E1008="",$Y1008=""),"",IF($E1008&gt;=$Y1008,"×",IF($E1008&gt;=$Y1008*設定!$C$5,"△","○")))</f>
        <v/>
      </c>
      <c r="AA1008" s="15">
        <f>IF($Z1008="","",IF($Z1008="×",0,IF($Z1008="○",ROUNDDOWN($E1008*設定!$C$4,0),ROUNDDOWN($E1008*ROUND((9*$Y1008-9*$E1008)/(10*$E1008),4),0))))</f>
        <v/>
      </c>
      <c r="AB1008" s="13" t="n"/>
      <c r="AC1008" s="15">
        <f>IF($B1008="","",IF($AB1008&lt;&gt;"",$AB1008,IF($AA1008="","",IF($AA1008&lt;=設定!$C$3,0,$AA1008))))</f>
        <v/>
      </c>
      <c r="AD1008" s="14">
        <f>IF($B1008="","",IF(AND($AE1008&lt;&gt;"",$AG1008="",$AJ1008=""),"保留中",IF($AJ1008&lt;&gt;"",IF(N($AC1008)&gt;0,"支給済","不支給"),IF($AC1008="","要確認",IF($AC1008=0,"不支給","未処理")))))</f>
        <v/>
      </c>
      <c r="AE1008" s="12" t="n"/>
      <c r="AF1008" s="11" t="n"/>
      <c r="AG1008" s="11" t="n"/>
      <c r="AH1008" s="11" t="n"/>
      <c r="AI1008" s="14">
        <f>IF(AND($AD1008="保留中",$AF1008&lt;&gt;""),TODAY()-$AF1008,"")</f>
        <v/>
      </c>
      <c r="AJ1008" s="12" t="n"/>
      <c r="AK1008" s="14">
        <f>IF($B1008="","",IF($AO1008="","対象年月が未入力／","")&amp;IF($B1008="","",IF($AN1008="","職員マスタに未登録の職員番号／",IF($Y1008="","標準報酬月額が未登録／","")&amp;IF(AND($AO1008&lt;&gt;"",OR(AND(INDEX(職員マスタ!$G$6:$G$405,$AN1008)&lt;&gt;"",INDEX(職員マスタ!$G$6:$G$405,$AN1008)&gt;EOMONTH($AO1008,0)),AND(INDEX(職員マスタ!$H$6:$H$405,$AN1008)&lt;&gt;"",INDEX(職員マスタ!$H$6:$H$405,$AN1008)&lt;$AO1008))),"対象月が時短期間外／","")&amp;IF(AND(INDEX(職員マスタ!$F$6:$F$405,$AN1008)&lt;&gt;"",$AO1008&lt;&gt;"",INDEX(職員マスタ!$F$6:$F$405,$AN1008)&lt;$AO1008),"対象月に子が2歳到達済／","")&amp;IF(AND($H1008&lt;&gt;"",INDEX(職員マスタ!$B$6:$B$405,$AN1008)&lt;&gt;"",SUBSTITUTE(SUBSTITUTE($H1008," ","")," ","")&lt;&gt;SUBSTITUTE(SUBSTITUTE(INDEX(職員マスタ!$B$6:$B$405,$AN1008)," ","")," ","")),"氏名がマスタと相違／","")&amp;IF(AND($Q1008&lt;&gt;"",INDEX(職員マスタ!$E$6:$E$405,$AN1008)&lt;&gt;"",$Q1008&lt;&gt;INDEX(職員マスタ!$E$6:$E$405,$AN1008)),"子の生年月日がマスタと相違／","")&amp;IF(AND($L1008&lt;&gt;"",INDEX(職員マスタ!$G$6:$G$405,$AN1008)&lt;&gt;"",$L1008&lt;&gt;INDEX(職員マスタ!$G$6:$G$405,$AN1008)),"時短開始日がマスタと相違／","")&amp;IF(AND($M1008&lt;&gt;"",INDEX(職員マスタ!$H$6:$H$405,$AN1008)&lt;&gt;"",$M1008&lt;&gt;INDEX(職員マスタ!$H$6:$H$405,$AN1008)),"時短終了日がマスタと相違／","")))&amp;IF(AND($B1008&lt;&gt;"",$E1008=""),"報酬額が未入力／","")&amp;IF(N($U1008)&gt;0,"申請書に入力エラーが残っています／","")&amp;IF(AND($B1008&lt;&gt;"",$AO1008&lt;&gt;""),IF(COUNTIFS($B$6:$B$3005,$B1008,$C$6:$C$3005,$C1008,$D$6:$D$3005,$D1008)&gt;1,"同じ月の請求が重複しています／",""),"")&amp;IF(AND(N($E1008)&gt;0,$Z1008&lt;&gt;"",$Z1008&lt;&gt;"×",$AC1008=0,$AB1008=""),"計算額が下限以下のため不支給／",""))</f>
        <v/>
      </c>
      <c r="AL1008" s="12" t="n"/>
      <c r="AM1008" s="14">
        <f>IF($AD1008="保留中",COUNTIF($AD$6:$AD1008,"保留中"),"")</f>
        <v/>
      </c>
      <c r="AN1008" s="14">
        <f>IF($AO1008="","",IF(SUMPRODUCT(MAX((職員マスタ!$A$6:$A$405=$B1008)*(((職員マスタ!$G$6:$G$405="")+(職員マスタ!$G$6:$G$405&lt;=EOMONTH($AO1008,0)))&gt;0)*(((職員マスタ!$H$6:$H$405="")+(職員マスタ!$H$6:$H$405&gt;=$AO1008))&gt;0)*(ROW(職員マスタ!$A$6:$A$405)-5)))&gt;0,SUMPRODUCT(MAX((職員マスタ!$A$6:$A$405=$B1008)*(((職員マスタ!$G$6:$G$405="")+(職員マスタ!$G$6:$G$405&lt;=EOMONTH($AO1008,0)))&gt;0)*(((職員マスタ!$H$6:$H$405="")+(職員マスタ!$H$6:$H$405&gt;=$AO1008))&gt;0)*(ROW(職員マスタ!$A$6:$A$405)-5))),IFERROR(MATCH($B1008,職員マスタ!$A$6:$A$405,0),"")))</f>
        <v/>
      </c>
      <c r="AO1008" s="16">
        <f>IF(OR($B1008="",$C1008="",$D1008=""),"",DATE($C1008+2018,$D1008,1))</f>
        <v/>
      </c>
    </row>
    <row r="1009">
      <c r="A1009" s="11" t="n"/>
      <c r="B1009" s="12" t="n"/>
      <c r="C1009" s="12" t="n"/>
      <c r="D1009" s="12" t="n"/>
      <c r="E1009" s="13" t="n"/>
      <c r="F1009" s="12" t="n"/>
      <c r="G1009" s="13" t="n"/>
      <c r="H1009" s="12" t="n"/>
      <c r="I1009" s="12" t="n"/>
      <c r="J1009" s="12" t="n"/>
      <c r="K1009" s="12" t="n"/>
      <c r="L1009" s="11" t="n"/>
      <c r="M1009" s="11" t="n"/>
      <c r="N1009" s="11" t="n"/>
      <c r="O1009" s="11" t="n"/>
      <c r="P1009" s="12" t="n"/>
      <c r="Q1009" s="11" t="n"/>
      <c r="R1009" s="12" t="n"/>
      <c r="S1009" s="11" t="n"/>
      <c r="T1009" s="12" t="n"/>
      <c r="U1009" s="12" t="n"/>
      <c r="V1009" s="14">
        <f>IF($AN1009="",IF($B1009="","",$H1009),IF(INDEX(職員マスタ!$B$6:$B$405,$AN1009)="",$H1009,INDEX(職員マスタ!$B$6:$B$405,$AN1009)))</f>
        <v/>
      </c>
      <c r="W1009" s="14">
        <f>IF($AN1009="",IF($B1009="","",$R1009),IF(INDEX(職員マスタ!$C$6:$C$405,$AN1009)="",$R1009,INDEX(職員マスタ!$C$6:$C$405,$AN1009)))</f>
        <v/>
      </c>
      <c r="X1009" s="14">
        <f>IF($AO1009="","","R"&amp;$C1009&amp;"."&amp;$D1009)</f>
        <v/>
      </c>
      <c r="Y1009" s="15">
        <f>IF($AN1009="","",IF(INDEX(職員マスタ!$K$6:$K$405,$AN1009)="","",INDEX(職員マスタ!$K$6:$K$405,$AN1009)))</f>
        <v/>
      </c>
      <c r="Z1009" s="14">
        <f>IF(OR($E1009="",$Y1009=""),"",IF($E1009&gt;=$Y1009,"×",IF($E1009&gt;=$Y1009*設定!$C$5,"△","○")))</f>
        <v/>
      </c>
      <c r="AA1009" s="15">
        <f>IF($Z1009="","",IF($Z1009="×",0,IF($Z1009="○",ROUNDDOWN($E1009*設定!$C$4,0),ROUNDDOWN($E1009*ROUND((9*$Y1009-9*$E1009)/(10*$E1009),4),0))))</f>
        <v/>
      </c>
      <c r="AB1009" s="13" t="n"/>
      <c r="AC1009" s="15">
        <f>IF($B1009="","",IF($AB1009&lt;&gt;"",$AB1009,IF($AA1009="","",IF($AA1009&lt;=設定!$C$3,0,$AA1009))))</f>
        <v/>
      </c>
      <c r="AD1009" s="14">
        <f>IF($B1009="","",IF(AND($AE1009&lt;&gt;"",$AG1009="",$AJ1009=""),"保留中",IF($AJ1009&lt;&gt;"",IF(N($AC1009)&gt;0,"支給済","不支給"),IF($AC1009="","要確認",IF($AC1009=0,"不支給","未処理")))))</f>
        <v/>
      </c>
      <c r="AE1009" s="12" t="n"/>
      <c r="AF1009" s="11" t="n"/>
      <c r="AG1009" s="11" t="n"/>
      <c r="AH1009" s="11" t="n"/>
      <c r="AI1009" s="14">
        <f>IF(AND($AD1009="保留中",$AF1009&lt;&gt;""),TODAY()-$AF1009,"")</f>
        <v/>
      </c>
      <c r="AJ1009" s="12" t="n"/>
      <c r="AK1009" s="14">
        <f>IF($B1009="","",IF($AO1009="","対象年月が未入力／","")&amp;IF($B1009="","",IF($AN1009="","職員マスタに未登録の職員番号／",IF($Y1009="","標準報酬月額が未登録／","")&amp;IF(AND($AO1009&lt;&gt;"",OR(AND(INDEX(職員マスタ!$G$6:$G$405,$AN1009)&lt;&gt;"",INDEX(職員マスタ!$G$6:$G$405,$AN1009)&gt;EOMONTH($AO1009,0)),AND(INDEX(職員マスタ!$H$6:$H$405,$AN1009)&lt;&gt;"",INDEX(職員マスタ!$H$6:$H$405,$AN1009)&lt;$AO1009))),"対象月が時短期間外／","")&amp;IF(AND(INDEX(職員マスタ!$F$6:$F$405,$AN1009)&lt;&gt;"",$AO1009&lt;&gt;"",INDEX(職員マスタ!$F$6:$F$405,$AN1009)&lt;$AO1009),"対象月に子が2歳到達済／","")&amp;IF(AND($H1009&lt;&gt;"",INDEX(職員マスタ!$B$6:$B$405,$AN1009)&lt;&gt;"",SUBSTITUTE(SUBSTITUTE($H1009," ","")," ","")&lt;&gt;SUBSTITUTE(SUBSTITUTE(INDEX(職員マスタ!$B$6:$B$405,$AN1009)," ","")," ","")),"氏名がマスタと相違／","")&amp;IF(AND($Q1009&lt;&gt;"",INDEX(職員マスタ!$E$6:$E$405,$AN1009)&lt;&gt;"",$Q1009&lt;&gt;INDEX(職員マスタ!$E$6:$E$405,$AN1009)),"子の生年月日がマスタと相違／","")&amp;IF(AND($L1009&lt;&gt;"",INDEX(職員マスタ!$G$6:$G$405,$AN1009)&lt;&gt;"",$L1009&lt;&gt;INDEX(職員マスタ!$G$6:$G$405,$AN1009)),"時短開始日がマスタと相違／","")&amp;IF(AND($M1009&lt;&gt;"",INDEX(職員マスタ!$H$6:$H$405,$AN1009)&lt;&gt;"",$M1009&lt;&gt;INDEX(職員マスタ!$H$6:$H$405,$AN1009)),"時短終了日がマスタと相違／","")))&amp;IF(AND($B1009&lt;&gt;"",$E1009=""),"報酬額が未入力／","")&amp;IF(N($U1009)&gt;0,"申請書に入力エラーが残っています／","")&amp;IF(AND($B1009&lt;&gt;"",$AO1009&lt;&gt;""),IF(COUNTIFS($B$6:$B$3005,$B1009,$C$6:$C$3005,$C1009,$D$6:$D$3005,$D1009)&gt;1,"同じ月の請求が重複しています／",""),"")&amp;IF(AND(N($E1009)&gt;0,$Z1009&lt;&gt;"",$Z1009&lt;&gt;"×",$AC1009=0,$AB1009=""),"計算額が下限以下のため不支給／",""))</f>
        <v/>
      </c>
      <c r="AL1009" s="12" t="n"/>
      <c r="AM1009" s="14">
        <f>IF($AD1009="保留中",COUNTIF($AD$6:$AD1009,"保留中"),"")</f>
        <v/>
      </c>
      <c r="AN1009" s="14">
        <f>IF($AO1009="","",IF(SUMPRODUCT(MAX((職員マスタ!$A$6:$A$405=$B1009)*(((職員マスタ!$G$6:$G$405="")+(職員マスタ!$G$6:$G$405&lt;=EOMONTH($AO1009,0)))&gt;0)*(((職員マスタ!$H$6:$H$405="")+(職員マスタ!$H$6:$H$405&gt;=$AO1009))&gt;0)*(ROW(職員マスタ!$A$6:$A$405)-5)))&gt;0,SUMPRODUCT(MAX((職員マスタ!$A$6:$A$405=$B1009)*(((職員マスタ!$G$6:$G$405="")+(職員マスタ!$G$6:$G$405&lt;=EOMONTH($AO1009,0)))&gt;0)*(((職員マスタ!$H$6:$H$405="")+(職員マスタ!$H$6:$H$405&gt;=$AO1009))&gt;0)*(ROW(職員マスタ!$A$6:$A$405)-5))),IFERROR(MATCH($B1009,職員マスタ!$A$6:$A$405,0),"")))</f>
        <v/>
      </c>
      <c r="AO1009" s="16">
        <f>IF(OR($B1009="",$C1009="",$D1009=""),"",DATE($C1009+2018,$D1009,1))</f>
        <v/>
      </c>
    </row>
    <row r="1010">
      <c r="A1010" s="11" t="n"/>
      <c r="B1010" s="12" t="n"/>
      <c r="C1010" s="12" t="n"/>
      <c r="D1010" s="12" t="n"/>
      <c r="E1010" s="13" t="n"/>
      <c r="F1010" s="12" t="n"/>
      <c r="G1010" s="13" t="n"/>
      <c r="H1010" s="12" t="n"/>
      <c r="I1010" s="12" t="n"/>
      <c r="J1010" s="12" t="n"/>
      <c r="K1010" s="12" t="n"/>
      <c r="L1010" s="11" t="n"/>
      <c r="M1010" s="11" t="n"/>
      <c r="N1010" s="11" t="n"/>
      <c r="O1010" s="11" t="n"/>
      <c r="P1010" s="12" t="n"/>
      <c r="Q1010" s="11" t="n"/>
      <c r="R1010" s="12" t="n"/>
      <c r="S1010" s="11" t="n"/>
      <c r="T1010" s="12" t="n"/>
      <c r="U1010" s="12" t="n"/>
      <c r="V1010" s="14">
        <f>IF($AN1010="",IF($B1010="","",$H1010),IF(INDEX(職員マスタ!$B$6:$B$405,$AN1010)="",$H1010,INDEX(職員マスタ!$B$6:$B$405,$AN1010)))</f>
        <v/>
      </c>
      <c r="W1010" s="14">
        <f>IF($AN1010="",IF($B1010="","",$R1010),IF(INDEX(職員マスタ!$C$6:$C$405,$AN1010)="",$R1010,INDEX(職員マスタ!$C$6:$C$405,$AN1010)))</f>
        <v/>
      </c>
      <c r="X1010" s="14">
        <f>IF($AO1010="","","R"&amp;$C1010&amp;"."&amp;$D1010)</f>
        <v/>
      </c>
      <c r="Y1010" s="15">
        <f>IF($AN1010="","",IF(INDEX(職員マスタ!$K$6:$K$405,$AN1010)="","",INDEX(職員マスタ!$K$6:$K$405,$AN1010)))</f>
        <v/>
      </c>
      <c r="Z1010" s="14">
        <f>IF(OR($E1010="",$Y1010=""),"",IF($E1010&gt;=$Y1010,"×",IF($E1010&gt;=$Y1010*設定!$C$5,"△","○")))</f>
        <v/>
      </c>
      <c r="AA1010" s="15">
        <f>IF($Z1010="","",IF($Z1010="×",0,IF($Z1010="○",ROUNDDOWN($E1010*設定!$C$4,0),ROUNDDOWN($E1010*ROUND((9*$Y1010-9*$E1010)/(10*$E1010),4),0))))</f>
        <v/>
      </c>
      <c r="AB1010" s="13" t="n"/>
      <c r="AC1010" s="15">
        <f>IF($B1010="","",IF($AB1010&lt;&gt;"",$AB1010,IF($AA1010="","",IF($AA1010&lt;=設定!$C$3,0,$AA1010))))</f>
        <v/>
      </c>
      <c r="AD1010" s="14">
        <f>IF($B1010="","",IF(AND($AE1010&lt;&gt;"",$AG1010="",$AJ1010=""),"保留中",IF($AJ1010&lt;&gt;"",IF(N($AC1010)&gt;0,"支給済","不支給"),IF($AC1010="","要確認",IF($AC1010=0,"不支給","未処理")))))</f>
        <v/>
      </c>
      <c r="AE1010" s="12" t="n"/>
      <c r="AF1010" s="11" t="n"/>
      <c r="AG1010" s="11" t="n"/>
      <c r="AH1010" s="11" t="n"/>
      <c r="AI1010" s="14">
        <f>IF(AND($AD1010="保留中",$AF1010&lt;&gt;""),TODAY()-$AF1010,"")</f>
        <v/>
      </c>
      <c r="AJ1010" s="12" t="n"/>
      <c r="AK1010" s="14">
        <f>IF($B1010="","",IF($AO1010="","対象年月が未入力／","")&amp;IF($B1010="","",IF($AN1010="","職員マスタに未登録の職員番号／",IF($Y1010="","標準報酬月額が未登録／","")&amp;IF(AND($AO1010&lt;&gt;"",OR(AND(INDEX(職員マスタ!$G$6:$G$405,$AN1010)&lt;&gt;"",INDEX(職員マスタ!$G$6:$G$405,$AN1010)&gt;EOMONTH($AO1010,0)),AND(INDEX(職員マスタ!$H$6:$H$405,$AN1010)&lt;&gt;"",INDEX(職員マスタ!$H$6:$H$405,$AN1010)&lt;$AO1010))),"対象月が時短期間外／","")&amp;IF(AND(INDEX(職員マスタ!$F$6:$F$405,$AN1010)&lt;&gt;"",$AO1010&lt;&gt;"",INDEX(職員マスタ!$F$6:$F$405,$AN1010)&lt;$AO1010),"対象月に子が2歳到達済／","")&amp;IF(AND($H1010&lt;&gt;"",INDEX(職員マスタ!$B$6:$B$405,$AN1010)&lt;&gt;"",SUBSTITUTE(SUBSTITUTE($H1010," ","")," ","")&lt;&gt;SUBSTITUTE(SUBSTITUTE(INDEX(職員マスタ!$B$6:$B$405,$AN1010)," ","")," ","")),"氏名がマスタと相違／","")&amp;IF(AND($Q1010&lt;&gt;"",INDEX(職員マスタ!$E$6:$E$405,$AN1010)&lt;&gt;"",$Q1010&lt;&gt;INDEX(職員マスタ!$E$6:$E$405,$AN1010)),"子の生年月日がマスタと相違／","")&amp;IF(AND($L1010&lt;&gt;"",INDEX(職員マスタ!$G$6:$G$405,$AN1010)&lt;&gt;"",$L1010&lt;&gt;INDEX(職員マスタ!$G$6:$G$405,$AN1010)),"時短開始日がマスタと相違／","")&amp;IF(AND($M1010&lt;&gt;"",INDEX(職員マスタ!$H$6:$H$405,$AN1010)&lt;&gt;"",$M1010&lt;&gt;INDEX(職員マスタ!$H$6:$H$405,$AN1010)),"時短終了日がマスタと相違／","")))&amp;IF(AND($B1010&lt;&gt;"",$E1010=""),"報酬額が未入力／","")&amp;IF(N($U1010)&gt;0,"申請書に入力エラーが残っています／","")&amp;IF(AND($B1010&lt;&gt;"",$AO1010&lt;&gt;""),IF(COUNTIFS($B$6:$B$3005,$B1010,$C$6:$C$3005,$C1010,$D$6:$D$3005,$D1010)&gt;1,"同じ月の請求が重複しています／",""),"")&amp;IF(AND(N($E1010)&gt;0,$Z1010&lt;&gt;"",$Z1010&lt;&gt;"×",$AC1010=0,$AB1010=""),"計算額が下限以下のため不支給／",""))</f>
        <v/>
      </c>
      <c r="AL1010" s="12" t="n"/>
      <c r="AM1010" s="14">
        <f>IF($AD1010="保留中",COUNTIF($AD$6:$AD1010,"保留中"),"")</f>
        <v/>
      </c>
      <c r="AN1010" s="14">
        <f>IF($AO1010="","",IF(SUMPRODUCT(MAX((職員マスタ!$A$6:$A$405=$B1010)*(((職員マスタ!$G$6:$G$405="")+(職員マスタ!$G$6:$G$405&lt;=EOMONTH($AO1010,0)))&gt;0)*(((職員マスタ!$H$6:$H$405="")+(職員マスタ!$H$6:$H$405&gt;=$AO1010))&gt;0)*(ROW(職員マスタ!$A$6:$A$405)-5)))&gt;0,SUMPRODUCT(MAX((職員マスタ!$A$6:$A$405=$B1010)*(((職員マスタ!$G$6:$G$405="")+(職員マスタ!$G$6:$G$405&lt;=EOMONTH($AO1010,0)))&gt;0)*(((職員マスタ!$H$6:$H$405="")+(職員マスタ!$H$6:$H$405&gt;=$AO1010))&gt;0)*(ROW(職員マスタ!$A$6:$A$405)-5))),IFERROR(MATCH($B1010,職員マスタ!$A$6:$A$405,0),"")))</f>
        <v/>
      </c>
      <c r="AO1010" s="16">
        <f>IF(OR($B1010="",$C1010="",$D1010=""),"",DATE($C1010+2018,$D1010,1))</f>
        <v/>
      </c>
    </row>
    <row r="1011">
      <c r="A1011" s="11" t="n"/>
      <c r="B1011" s="12" t="n"/>
      <c r="C1011" s="12" t="n"/>
      <c r="D1011" s="12" t="n"/>
      <c r="E1011" s="13" t="n"/>
      <c r="F1011" s="12" t="n"/>
      <c r="G1011" s="13" t="n"/>
      <c r="H1011" s="12" t="n"/>
      <c r="I1011" s="12" t="n"/>
      <c r="J1011" s="12" t="n"/>
      <c r="K1011" s="12" t="n"/>
      <c r="L1011" s="11" t="n"/>
      <c r="M1011" s="11" t="n"/>
      <c r="N1011" s="11" t="n"/>
      <c r="O1011" s="11" t="n"/>
      <c r="P1011" s="12" t="n"/>
      <c r="Q1011" s="11" t="n"/>
      <c r="R1011" s="12" t="n"/>
      <c r="S1011" s="11" t="n"/>
      <c r="T1011" s="12" t="n"/>
      <c r="U1011" s="12" t="n"/>
      <c r="V1011" s="14">
        <f>IF($AN1011="",IF($B1011="","",$H1011),IF(INDEX(職員マスタ!$B$6:$B$405,$AN1011)="",$H1011,INDEX(職員マスタ!$B$6:$B$405,$AN1011)))</f>
        <v/>
      </c>
      <c r="W1011" s="14">
        <f>IF($AN1011="",IF($B1011="","",$R1011),IF(INDEX(職員マスタ!$C$6:$C$405,$AN1011)="",$R1011,INDEX(職員マスタ!$C$6:$C$405,$AN1011)))</f>
        <v/>
      </c>
      <c r="X1011" s="14">
        <f>IF($AO1011="","","R"&amp;$C1011&amp;"."&amp;$D1011)</f>
        <v/>
      </c>
      <c r="Y1011" s="15">
        <f>IF($AN1011="","",IF(INDEX(職員マスタ!$K$6:$K$405,$AN1011)="","",INDEX(職員マスタ!$K$6:$K$405,$AN1011)))</f>
        <v/>
      </c>
      <c r="Z1011" s="14">
        <f>IF(OR($E1011="",$Y1011=""),"",IF($E1011&gt;=$Y1011,"×",IF($E1011&gt;=$Y1011*設定!$C$5,"△","○")))</f>
        <v/>
      </c>
      <c r="AA1011" s="15">
        <f>IF($Z1011="","",IF($Z1011="×",0,IF($Z1011="○",ROUNDDOWN($E1011*設定!$C$4,0),ROUNDDOWN($E1011*ROUND((9*$Y1011-9*$E1011)/(10*$E1011),4),0))))</f>
        <v/>
      </c>
      <c r="AB1011" s="13" t="n"/>
      <c r="AC1011" s="15">
        <f>IF($B1011="","",IF($AB1011&lt;&gt;"",$AB1011,IF($AA1011="","",IF($AA1011&lt;=設定!$C$3,0,$AA1011))))</f>
        <v/>
      </c>
      <c r="AD1011" s="14">
        <f>IF($B1011="","",IF(AND($AE1011&lt;&gt;"",$AG1011="",$AJ1011=""),"保留中",IF($AJ1011&lt;&gt;"",IF(N($AC1011)&gt;0,"支給済","不支給"),IF($AC1011="","要確認",IF($AC1011=0,"不支給","未処理")))))</f>
        <v/>
      </c>
      <c r="AE1011" s="12" t="n"/>
      <c r="AF1011" s="11" t="n"/>
      <c r="AG1011" s="11" t="n"/>
      <c r="AH1011" s="11" t="n"/>
      <c r="AI1011" s="14">
        <f>IF(AND($AD1011="保留中",$AF1011&lt;&gt;""),TODAY()-$AF1011,"")</f>
        <v/>
      </c>
      <c r="AJ1011" s="12" t="n"/>
      <c r="AK1011" s="14">
        <f>IF($B1011="","",IF($AO1011="","対象年月が未入力／","")&amp;IF($B1011="","",IF($AN1011="","職員マスタに未登録の職員番号／",IF($Y1011="","標準報酬月額が未登録／","")&amp;IF(AND($AO1011&lt;&gt;"",OR(AND(INDEX(職員マスタ!$G$6:$G$405,$AN1011)&lt;&gt;"",INDEX(職員マスタ!$G$6:$G$405,$AN1011)&gt;EOMONTH($AO1011,0)),AND(INDEX(職員マスタ!$H$6:$H$405,$AN1011)&lt;&gt;"",INDEX(職員マスタ!$H$6:$H$405,$AN1011)&lt;$AO1011))),"対象月が時短期間外／","")&amp;IF(AND(INDEX(職員マスタ!$F$6:$F$405,$AN1011)&lt;&gt;"",$AO1011&lt;&gt;"",INDEX(職員マスタ!$F$6:$F$405,$AN1011)&lt;$AO1011),"対象月に子が2歳到達済／","")&amp;IF(AND($H1011&lt;&gt;"",INDEX(職員マスタ!$B$6:$B$405,$AN1011)&lt;&gt;"",SUBSTITUTE(SUBSTITUTE($H1011," ","")," ","")&lt;&gt;SUBSTITUTE(SUBSTITUTE(INDEX(職員マスタ!$B$6:$B$405,$AN1011)," ","")," ","")),"氏名がマスタと相違／","")&amp;IF(AND($Q1011&lt;&gt;"",INDEX(職員マスタ!$E$6:$E$405,$AN1011)&lt;&gt;"",$Q1011&lt;&gt;INDEX(職員マスタ!$E$6:$E$405,$AN1011)),"子の生年月日がマスタと相違／","")&amp;IF(AND($L1011&lt;&gt;"",INDEX(職員マスタ!$G$6:$G$405,$AN1011)&lt;&gt;"",$L1011&lt;&gt;INDEX(職員マスタ!$G$6:$G$405,$AN1011)),"時短開始日がマスタと相違／","")&amp;IF(AND($M1011&lt;&gt;"",INDEX(職員マスタ!$H$6:$H$405,$AN1011)&lt;&gt;"",$M1011&lt;&gt;INDEX(職員マスタ!$H$6:$H$405,$AN1011)),"時短終了日がマスタと相違／","")))&amp;IF(AND($B1011&lt;&gt;"",$E1011=""),"報酬額が未入力／","")&amp;IF(N($U1011)&gt;0,"申請書に入力エラーが残っています／","")&amp;IF(AND($B1011&lt;&gt;"",$AO1011&lt;&gt;""),IF(COUNTIFS($B$6:$B$3005,$B1011,$C$6:$C$3005,$C1011,$D$6:$D$3005,$D1011)&gt;1,"同じ月の請求が重複しています／",""),"")&amp;IF(AND(N($E1011)&gt;0,$Z1011&lt;&gt;"",$Z1011&lt;&gt;"×",$AC1011=0,$AB1011=""),"計算額が下限以下のため不支給／",""))</f>
        <v/>
      </c>
      <c r="AL1011" s="12" t="n"/>
      <c r="AM1011" s="14">
        <f>IF($AD1011="保留中",COUNTIF($AD$6:$AD1011,"保留中"),"")</f>
        <v/>
      </c>
      <c r="AN1011" s="14">
        <f>IF($AO1011="","",IF(SUMPRODUCT(MAX((職員マスタ!$A$6:$A$405=$B1011)*(((職員マスタ!$G$6:$G$405="")+(職員マスタ!$G$6:$G$405&lt;=EOMONTH($AO1011,0)))&gt;0)*(((職員マスタ!$H$6:$H$405="")+(職員マスタ!$H$6:$H$405&gt;=$AO1011))&gt;0)*(ROW(職員マスタ!$A$6:$A$405)-5)))&gt;0,SUMPRODUCT(MAX((職員マスタ!$A$6:$A$405=$B1011)*(((職員マスタ!$G$6:$G$405="")+(職員マスタ!$G$6:$G$405&lt;=EOMONTH($AO1011,0)))&gt;0)*(((職員マスタ!$H$6:$H$405="")+(職員マスタ!$H$6:$H$405&gt;=$AO1011))&gt;0)*(ROW(職員マスタ!$A$6:$A$405)-5))),IFERROR(MATCH($B1011,職員マスタ!$A$6:$A$405,0),"")))</f>
        <v/>
      </c>
      <c r="AO1011" s="16">
        <f>IF(OR($B1011="",$C1011="",$D1011=""),"",DATE($C1011+2018,$D1011,1))</f>
        <v/>
      </c>
    </row>
    <row r="1012">
      <c r="A1012" s="11" t="n"/>
      <c r="B1012" s="12" t="n"/>
      <c r="C1012" s="12" t="n"/>
      <c r="D1012" s="12" t="n"/>
      <c r="E1012" s="13" t="n"/>
      <c r="F1012" s="12" t="n"/>
      <c r="G1012" s="13" t="n"/>
      <c r="H1012" s="12" t="n"/>
      <c r="I1012" s="12" t="n"/>
      <c r="J1012" s="12" t="n"/>
      <c r="K1012" s="12" t="n"/>
      <c r="L1012" s="11" t="n"/>
      <c r="M1012" s="11" t="n"/>
      <c r="N1012" s="11" t="n"/>
      <c r="O1012" s="11" t="n"/>
      <c r="P1012" s="12" t="n"/>
      <c r="Q1012" s="11" t="n"/>
      <c r="R1012" s="12" t="n"/>
      <c r="S1012" s="11" t="n"/>
      <c r="T1012" s="12" t="n"/>
      <c r="U1012" s="12" t="n"/>
      <c r="V1012" s="14">
        <f>IF($AN1012="",IF($B1012="","",$H1012),IF(INDEX(職員マスタ!$B$6:$B$405,$AN1012)="",$H1012,INDEX(職員マスタ!$B$6:$B$405,$AN1012)))</f>
        <v/>
      </c>
      <c r="W1012" s="14">
        <f>IF($AN1012="",IF($B1012="","",$R1012),IF(INDEX(職員マスタ!$C$6:$C$405,$AN1012)="",$R1012,INDEX(職員マスタ!$C$6:$C$405,$AN1012)))</f>
        <v/>
      </c>
      <c r="X1012" s="14">
        <f>IF($AO1012="","","R"&amp;$C1012&amp;"."&amp;$D1012)</f>
        <v/>
      </c>
      <c r="Y1012" s="15">
        <f>IF($AN1012="","",IF(INDEX(職員マスタ!$K$6:$K$405,$AN1012)="","",INDEX(職員マスタ!$K$6:$K$405,$AN1012)))</f>
        <v/>
      </c>
      <c r="Z1012" s="14">
        <f>IF(OR($E1012="",$Y1012=""),"",IF($E1012&gt;=$Y1012,"×",IF($E1012&gt;=$Y1012*設定!$C$5,"△","○")))</f>
        <v/>
      </c>
      <c r="AA1012" s="15">
        <f>IF($Z1012="","",IF($Z1012="×",0,IF($Z1012="○",ROUNDDOWN($E1012*設定!$C$4,0),ROUNDDOWN($E1012*ROUND((9*$Y1012-9*$E1012)/(10*$E1012),4),0))))</f>
        <v/>
      </c>
      <c r="AB1012" s="13" t="n"/>
      <c r="AC1012" s="15">
        <f>IF($B1012="","",IF($AB1012&lt;&gt;"",$AB1012,IF($AA1012="","",IF($AA1012&lt;=設定!$C$3,0,$AA1012))))</f>
        <v/>
      </c>
      <c r="AD1012" s="14">
        <f>IF($B1012="","",IF(AND($AE1012&lt;&gt;"",$AG1012="",$AJ1012=""),"保留中",IF($AJ1012&lt;&gt;"",IF(N($AC1012)&gt;0,"支給済","不支給"),IF($AC1012="","要確認",IF($AC1012=0,"不支給","未処理")))))</f>
        <v/>
      </c>
      <c r="AE1012" s="12" t="n"/>
      <c r="AF1012" s="11" t="n"/>
      <c r="AG1012" s="11" t="n"/>
      <c r="AH1012" s="11" t="n"/>
      <c r="AI1012" s="14">
        <f>IF(AND($AD1012="保留中",$AF1012&lt;&gt;""),TODAY()-$AF1012,"")</f>
        <v/>
      </c>
      <c r="AJ1012" s="12" t="n"/>
      <c r="AK1012" s="14">
        <f>IF($B1012="","",IF($AO1012="","対象年月が未入力／","")&amp;IF($B1012="","",IF($AN1012="","職員マスタに未登録の職員番号／",IF($Y1012="","標準報酬月額が未登録／","")&amp;IF(AND($AO1012&lt;&gt;"",OR(AND(INDEX(職員マスタ!$G$6:$G$405,$AN1012)&lt;&gt;"",INDEX(職員マスタ!$G$6:$G$405,$AN1012)&gt;EOMONTH($AO1012,0)),AND(INDEX(職員マスタ!$H$6:$H$405,$AN1012)&lt;&gt;"",INDEX(職員マスタ!$H$6:$H$405,$AN1012)&lt;$AO1012))),"対象月が時短期間外／","")&amp;IF(AND(INDEX(職員マスタ!$F$6:$F$405,$AN1012)&lt;&gt;"",$AO1012&lt;&gt;"",INDEX(職員マスタ!$F$6:$F$405,$AN1012)&lt;$AO1012),"対象月に子が2歳到達済／","")&amp;IF(AND($H1012&lt;&gt;"",INDEX(職員マスタ!$B$6:$B$405,$AN1012)&lt;&gt;"",SUBSTITUTE(SUBSTITUTE($H1012," ","")," ","")&lt;&gt;SUBSTITUTE(SUBSTITUTE(INDEX(職員マスタ!$B$6:$B$405,$AN1012)," ","")," ","")),"氏名がマスタと相違／","")&amp;IF(AND($Q1012&lt;&gt;"",INDEX(職員マスタ!$E$6:$E$405,$AN1012)&lt;&gt;"",$Q1012&lt;&gt;INDEX(職員マスタ!$E$6:$E$405,$AN1012)),"子の生年月日がマスタと相違／","")&amp;IF(AND($L1012&lt;&gt;"",INDEX(職員マスタ!$G$6:$G$405,$AN1012)&lt;&gt;"",$L1012&lt;&gt;INDEX(職員マスタ!$G$6:$G$405,$AN1012)),"時短開始日がマスタと相違／","")&amp;IF(AND($M1012&lt;&gt;"",INDEX(職員マスタ!$H$6:$H$405,$AN1012)&lt;&gt;"",$M1012&lt;&gt;INDEX(職員マスタ!$H$6:$H$405,$AN1012)),"時短終了日がマスタと相違／","")))&amp;IF(AND($B1012&lt;&gt;"",$E1012=""),"報酬額が未入力／","")&amp;IF(N($U1012)&gt;0,"申請書に入力エラーが残っています／","")&amp;IF(AND($B1012&lt;&gt;"",$AO1012&lt;&gt;""),IF(COUNTIFS($B$6:$B$3005,$B1012,$C$6:$C$3005,$C1012,$D$6:$D$3005,$D1012)&gt;1,"同じ月の請求が重複しています／",""),"")&amp;IF(AND(N($E1012)&gt;0,$Z1012&lt;&gt;"",$Z1012&lt;&gt;"×",$AC1012=0,$AB1012=""),"計算額が下限以下のため不支給／",""))</f>
        <v/>
      </c>
      <c r="AL1012" s="12" t="n"/>
      <c r="AM1012" s="14">
        <f>IF($AD1012="保留中",COUNTIF($AD$6:$AD1012,"保留中"),"")</f>
        <v/>
      </c>
      <c r="AN1012" s="14">
        <f>IF($AO1012="","",IF(SUMPRODUCT(MAX((職員マスタ!$A$6:$A$405=$B1012)*(((職員マスタ!$G$6:$G$405="")+(職員マスタ!$G$6:$G$405&lt;=EOMONTH($AO1012,0)))&gt;0)*(((職員マスタ!$H$6:$H$405="")+(職員マスタ!$H$6:$H$405&gt;=$AO1012))&gt;0)*(ROW(職員マスタ!$A$6:$A$405)-5)))&gt;0,SUMPRODUCT(MAX((職員マスタ!$A$6:$A$405=$B1012)*(((職員マスタ!$G$6:$G$405="")+(職員マスタ!$G$6:$G$405&lt;=EOMONTH($AO1012,0)))&gt;0)*(((職員マスタ!$H$6:$H$405="")+(職員マスタ!$H$6:$H$405&gt;=$AO1012))&gt;0)*(ROW(職員マスタ!$A$6:$A$405)-5))),IFERROR(MATCH($B1012,職員マスタ!$A$6:$A$405,0),"")))</f>
        <v/>
      </c>
      <c r="AO1012" s="16">
        <f>IF(OR($B1012="",$C1012="",$D1012=""),"",DATE($C1012+2018,$D1012,1))</f>
        <v/>
      </c>
    </row>
    <row r="1013">
      <c r="A1013" s="11" t="n"/>
      <c r="B1013" s="12" t="n"/>
      <c r="C1013" s="12" t="n"/>
      <c r="D1013" s="12" t="n"/>
      <c r="E1013" s="13" t="n"/>
      <c r="F1013" s="12" t="n"/>
      <c r="G1013" s="13" t="n"/>
      <c r="H1013" s="12" t="n"/>
      <c r="I1013" s="12" t="n"/>
      <c r="J1013" s="12" t="n"/>
      <c r="K1013" s="12" t="n"/>
      <c r="L1013" s="11" t="n"/>
      <c r="M1013" s="11" t="n"/>
      <c r="N1013" s="11" t="n"/>
      <c r="O1013" s="11" t="n"/>
      <c r="P1013" s="12" t="n"/>
      <c r="Q1013" s="11" t="n"/>
      <c r="R1013" s="12" t="n"/>
      <c r="S1013" s="11" t="n"/>
      <c r="T1013" s="12" t="n"/>
      <c r="U1013" s="12" t="n"/>
      <c r="V1013" s="14">
        <f>IF($AN1013="",IF($B1013="","",$H1013),IF(INDEX(職員マスタ!$B$6:$B$405,$AN1013)="",$H1013,INDEX(職員マスタ!$B$6:$B$405,$AN1013)))</f>
        <v/>
      </c>
      <c r="W1013" s="14">
        <f>IF($AN1013="",IF($B1013="","",$R1013),IF(INDEX(職員マスタ!$C$6:$C$405,$AN1013)="",$R1013,INDEX(職員マスタ!$C$6:$C$405,$AN1013)))</f>
        <v/>
      </c>
      <c r="X1013" s="14">
        <f>IF($AO1013="","","R"&amp;$C1013&amp;"."&amp;$D1013)</f>
        <v/>
      </c>
      <c r="Y1013" s="15">
        <f>IF($AN1013="","",IF(INDEX(職員マスタ!$K$6:$K$405,$AN1013)="","",INDEX(職員マスタ!$K$6:$K$405,$AN1013)))</f>
        <v/>
      </c>
      <c r="Z1013" s="14">
        <f>IF(OR($E1013="",$Y1013=""),"",IF($E1013&gt;=$Y1013,"×",IF($E1013&gt;=$Y1013*設定!$C$5,"△","○")))</f>
        <v/>
      </c>
      <c r="AA1013" s="15">
        <f>IF($Z1013="","",IF($Z1013="×",0,IF($Z1013="○",ROUNDDOWN($E1013*設定!$C$4,0),ROUNDDOWN($E1013*ROUND((9*$Y1013-9*$E1013)/(10*$E1013),4),0))))</f>
        <v/>
      </c>
      <c r="AB1013" s="13" t="n"/>
      <c r="AC1013" s="15">
        <f>IF($B1013="","",IF($AB1013&lt;&gt;"",$AB1013,IF($AA1013="","",IF($AA1013&lt;=設定!$C$3,0,$AA1013))))</f>
        <v/>
      </c>
      <c r="AD1013" s="14">
        <f>IF($B1013="","",IF(AND($AE1013&lt;&gt;"",$AG1013="",$AJ1013=""),"保留中",IF($AJ1013&lt;&gt;"",IF(N($AC1013)&gt;0,"支給済","不支給"),IF($AC1013="","要確認",IF($AC1013=0,"不支給","未処理")))))</f>
        <v/>
      </c>
      <c r="AE1013" s="12" t="n"/>
      <c r="AF1013" s="11" t="n"/>
      <c r="AG1013" s="11" t="n"/>
      <c r="AH1013" s="11" t="n"/>
      <c r="AI1013" s="14">
        <f>IF(AND($AD1013="保留中",$AF1013&lt;&gt;""),TODAY()-$AF1013,"")</f>
        <v/>
      </c>
      <c r="AJ1013" s="12" t="n"/>
      <c r="AK1013" s="14">
        <f>IF($B1013="","",IF($AO1013="","対象年月が未入力／","")&amp;IF($B1013="","",IF($AN1013="","職員マスタに未登録の職員番号／",IF($Y1013="","標準報酬月額が未登録／","")&amp;IF(AND($AO1013&lt;&gt;"",OR(AND(INDEX(職員マスタ!$G$6:$G$405,$AN1013)&lt;&gt;"",INDEX(職員マスタ!$G$6:$G$405,$AN1013)&gt;EOMONTH($AO1013,0)),AND(INDEX(職員マスタ!$H$6:$H$405,$AN1013)&lt;&gt;"",INDEX(職員マスタ!$H$6:$H$405,$AN1013)&lt;$AO1013))),"対象月が時短期間外／","")&amp;IF(AND(INDEX(職員マスタ!$F$6:$F$405,$AN1013)&lt;&gt;"",$AO1013&lt;&gt;"",INDEX(職員マスタ!$F$6:$F$405,$AN1013)&lt;$AO1013),"対象月に子が2歳到達済／","")&amp;IF(AND($H1013&lt;&gt;"",INDEX(職員マスタ!$B$6:$B$405,$AN1013)&lt;&gt;"",SUBSTITUTE(SUBSTITUTE($H1013," ","")," ","")&lt;&gt;SUBSTITUTE(SUBSTITUTE(INDEX(職員マスタ!$B$6:$B$405,$AN1013)," ","")," ","")),"氏名がマスタと相違／","")&amp;IF(AND($Q1013&lt;&gt;"",INDEX(職員マスタ!$E$6:$E$405,$AN1013)&lt;&gt;"",$Q1013&lt;&gt;INDEX(職員マスタ!$E$6:$E$405,$AN1013)),"子の生年月日がマスタと相違／","")&amp;IF(AND($L1013&lt;&gt;"",INDEX(職員マスタ!$G$6:$G$405,$AN1013)&lt;&gt;"",$L1013&lt;&gt;INDEX(職員マスタ!$G$6:$G$405,$AN1013)),"時短開始日がマスタと相違／","")&amp;IF(AND($M1013&lt;&gt;"",INDEX(職員マスタ!$H$6:$H$405,$AN1013)&lt;&gt;"",$M1013&lt;&gt;INDEX(職員マスタ!$H$6:$H$405,$AN1013)),"時短終了日がマスタと相違／","")))&amp;IF(AND($B1013&lt;&gt;"",$E1013=""),"報酬額が未入力／","")&amp;IF(N($U1013)&gt;0,"申請書に入力エラーが残っています／","")&amp;IF(AND($B1013&lt;&gt;"",$AO1013&lt;&gt;""),IF(COUNTIFS($B$6:$B$3005,$B1013,$C$6:$C$3005,$C1013,$D$6:$D$3005,$D1013)&gt;1,"同じ月の請求が重複しています／",""),"")&amp;IF(AND(N($E1013)&gt;0,$Z1013&lt;&gt;"",$Z1013&lt;&gt;"×",$AC1013=0,$AB1013=""),"計算額が下限以下のため不支給／",""))</f>
        <v/>
      </c>
      <c r="AL1013" s="12" t="n"/>
      <c r="AM1013" s="14">
        <f>IF($AD1013="保留中",COUNTIF($AD$6:$AD1013,"保留中"),"")</f>
        <v/>
      </c>
      <c r="AN1013" s="14">
        <f>IF($AO1013="","",IF(SUMPRODUCT(MAX((職員マスタ!$A$6:$A$405=$B1013)*(((職員マスタ!$G$6:$G$405="")+(職員マスタ!$G$6:$G$405&lt;=EOMONTH($AO1013,0)))&gt;0)*(((職員マスタ!$H$6:$H$405="")+(職員マスタ!$H$6:$H$405&gt;=$AO1013))&gt;0)*(ROW(職員マスタ!$A$6:$A$405)-5)))&gt;0,SUMPRODUCT(MAX((職員マスタ!$A$6:$A$405=$B1013)*(((職員マスタ!$G$6:$G$405="")+(職員マスタ!$G$6:$G$405&lt;=EOMONTH($AO1013,0)))&gt;0)*(((職員マスタ!$H$6:$H$405="")+(職員マスタ!$H$6:$H$405&gt;=$AO1013))&gt;0)*(ROW(職員マスタ!$A$6:$A$405)-5))),IFERROR(MATCH($B1013,職員マスタ!$A$6:$A$405,0),"")))</f>
        <v/>
      </c>
      <c r="AO1013" s="16">
        <f>IF(OR($B1013="",$C1013="",$D1013=""),"",DATE($C1013+2018,$D1013,1))</f>
        <v/>
      </c>
    </row>
    <row r="1014">
      <c r="A1014" s="11" t="n"/>
      <c r="B1014" s="12" t="n"/>
      <c r="C1014" s="12" t="n"/>
      <c r="D1014" s="12" t="n"/>
      <c r="E1014" s="13" t="n"/>
      <c r="F1014" s="12" t="n"/>
      <c r="G1014" s="13" t="n"/>
      <c r="H1014" s="12" t="n"/>
      <c r="I1014" s="12" t="n"/>
      <c r="J1014" s="12" t="n"/>
      <c r="K1014" s="12" t="n"/>
      <c r="L1014" s="11" t="n"/>
      <c r="M1014" s="11" t="n"/>
      <c r="N1014" s="11" t="n"/>
      <c r="O1014" s="11" t="n"/>
      <c r="P1014" s="12" t="n"/>
      <c r="Q1014" s="11" t="n"/>
      <c r="R1014" s="12" t="n"/>
      <c r="S1014" s="11" t="n"/>
      <c r="T1014" s="12" t="n"/>
      <c r="U1014" s="12" t="n"/>
      <c r="V1014" s="14">
        <f>IF($AN1014="",IF($B1014="","",$H1014),IF(INDEX(職員マスタ!$B$6:$B$405,$AN1014)="",$H1014,INDEX(職員マスタ!$B$6:$B$405,$AN1014)))</f>
        <v/>
      </c>
      <c r="W1014" s="14">
        <f>IF($AN1014="",IF($B1014="","",$R1014),IF(INDEX(職員マスタ!$C$6:$C$405,$AN1014)="",$R1014,INDEX(職員マスタ!$C$6:$C$405,$AN1014)))</f>
        <v/>
      </c>
      <c r="X1014" s="14">
        <f>IF($AO1014="","","R"&amp;$C1014&amp;"."&amp;$D1014)</f>
        <v/>
      </c>
      <c r="Y1014" s="15">
        <f>IF($AN1014="","",IF(INDEX(職員マスタ!$K$6:$K$405,$AN1014)="","",INDEX(職員マスタ!$K$6:$K$405,$AN1014)))</f>
        <v/>
      </c>
      <c r="Z1014" s="14">
        <f>IF(OR($E1014="",$Y1014=""),"",IF($E1014&gt;=$Y1014,"×",IF($E1014&gt;=$Y1014*設定!$C$5,"△","○")))</f>
        <v/>
      </c>
      <c r="AA1014" s="15">
        <f>IF($Z1014="","",IF($Z1014="×",0,IF($Z1014="○",ROUNDDOWN($E1014*設定!$C$4,0),ROUNDDOWN($E1014*ROUND((9*$Y1014-9*$E1014)/(10*$E1014),4),0))))</f>
        <v/>
      </c>
      <c r="AB1014" s="13" t="n"/>
      <c r="AC1014" s="15">
        <f>IF($B1014="","",IF($AB1014&lt;&gt;"",$AB1014,IF($AA1014="","",IF($AA1014&lt;=設定!$C$3,0,$AA1014))))</f>
        <v/>
      </c>
      <c r="AD1014" s="14">
        <f>IF($B1014="","",IF(AND($AE1014&lt;&gt;"",$AG1014="",$AJ1014=""),"保留中",IF($AJ1014&lt;&gt;"",IF(N($AC1014)&gt;0,"支給済","不支給"),IF($AC1014="","要確認",IF($AC1014=0,"不支給","未処理")))))</f>
        <v/>
      </c>
      <c r="AE1014" s="12" t="n"/>
      <c r="AF1014" s="11" t="n"/>
      <c r="AG1014" s="11" t="n"/>
      <c r="AH1014" s="11" t="n"/>
      <c r="AI1014" s="14">
        <f>IF(AND($AD1014="保留中",$AF1014&lt;&gt;""),TODAY()-$AF1014,"")</f>
        <v/>
      </c>
      <c r="AJ1014" s="12" t="n"/>
      <c r="AK1014" s="14">
        <f>IF($B1014="","",IF($AO1014="","対象年月が未入力／","")&amp;IF($B1014="","",IF($AN1014="","職員マスタに未登録の職員番号／",IF($Y1014="","標準報酬月額が未登録／","")&amp;IF(AND($AO1014&lt;&gt;"",OR(AND(INDEX(職員マスタ!$G$6:$G$405,$AN1014)&lt;&gt;"",INDEX(職員マスタ!$G$6:$G$405,$AN1014)&gt;EOMONTH($AO1014,0)),AND(INDEX(職員マスタ!$H$6:$H$405,$AN1014)&lt;&gt;"",INDEX(職員マスタ!$H$6:$H$405,$AN1014)&lt;$AO1014))),"対象月が時短期間外／","")&amp;IF(AND(INDEX(職員マスタ!$F$6:$F$405,$AN1014)&lt;&gt;"",$AO1014&lt;&gt;"",INDEX(職員マスタ!$F$6:$F$405,$AN1014)&lt;$AO1014),"対象月に子が2歳到達済／","")&amp;IF(AND($H1014&lt;&gt;"",INDEX(職員マスタ!$B$6:$B$405,$AN1014)&lt;&gt;"",SUBSTITUTE(SUBSTITUTE($H1014," ","")," ","")&lt;&gt;SUBSTITUTE(SUBSTITUTE(INDEX(職員マスタ!$B$6:$B$405,$AN1014)," ","")," ","")),"氏名がマスタと相違／","")&amp;IF(AND($Q1014&lt;&gt;"",INDEX(職員マスタ!$E$6:$E$405,$AN1014)&lt;&gt;"",$Q1014&lt;&gt;INDEX(職員マスタ!$E$6:$E$405,$AN1014)),"子の生年月日がマスタと相違／","")&amp;IF(AND($L1014&lt;&gt;"",INDEX(職員マスタ!$G$6:$G$405,$AN1014)&lt;&gt;"",$L1014&lt;&gt;INDEX(職員マスタ!$G$6:$G$405,$AN1014)),"時短開始日がマスタと相違／","")&amp;IF(AND($M1014&lt;&gt;"",INDEX(職員マスタ!$H$6:$H$405,$AN1014)&lt;&gt;"",$M1014&lt;&gt;INDEX(職員マスタ!$H$6:$H$405,$AN1014)),"時短終了日がマスタと相違／","")))&amp;IF(AND($B1014&lt;&gt;"",$E1014=""),"報酬額が未入力／","")&amp;IF(N($U1014)&gt;0,"申請書に入力エラーが残っています／","")&amp;IF(AND($B1014&lt;&gt;"",$AO1014&lt;&gt;""),IF(COUNTIFS($B$6:$B$3005,$B1014,$C$6:$C$3005,$C1014,$D$6:$D$3005,$D1014)&gt;1,"同じ月の請求が重複しています／",""),"")&amp;IF(AND(N($E1014)&gt;0,$Z1014&lt;&gt;"",$Z1014&lt;&gt;"×",$AC1014=0,$AB1014=""),"計算額が下限以下のため不支給／",""))</f>
        <v/>
      </c>
      <c r="AL1014" s="12" t="n"/>
      <c r="AM1014" s="14">
        <f>IF($AD1014="保留中",COUNTIF($AD$6:$AD1014,"保留中"),"")</f>
        <v/>
      </c>
      <c r="AN1014" s="14">
        <f>IF($AO1014="","",IF(SUMPRODUCT(MAX((職員マスタ!$A$6:$A$405=$B1014)*(((職員マスタ!$G$6:$G$405="")+(職員マスタ!$G$6:$G$405&lt;=EOMONTH($AO1014,0)))&gt;0)*(((職員マスタ!$H$6:$H$405="")+(職員マスタ!$H$6:$H$405&gt;=$AO1014))&gt;0)*(ROW(職員マスタ!$A$6:$A$405)-5)))&gt;0,SUMPRODUCT(MAX((職員マスタ!$A$6:$A$405=$B1014)*(((職員マスタ!$G$6:$G$405="")+(職員マスタ!$G$6:$G$405&lt;=EOMONTH($AO1014,0)))&gt;0)*(((職員マスタ!$H$6:$H$405="")+(職員マスタ!$H$6:$H$405&gt;=$AO1014))&gt;0)*(ROW(職員マスタ!$A$6:$A$405)-5))),IFERROR(MATCH($B1014,職員マスタ!$A$6:$A$405,0),"")))</f>
        <v/>
      </c>
      <c r="AO1014" s="16">
        <f>IF(OR($B1014="",$C1014="",$D1014=""),"",DATE($C1014+2018,$D1014,1))</f>
        <v/>
      </c>
    </row>
    <row r="1015">
      <c r="A1015" s="11" t="n"/>
      <c r="B1015" s="12" t="n"/>
      <c r="C1015" s="12" t="n"/>
      <c r="D1015" s="12" t="n"/>
      <c r="E1015" s="13" t="n"/>
      <c r="F1015" s="12" t="n"/>
      <c r="G1015" s="13" t="n"/>
      <c r="H1015" s="12" t="n"/>
      <c r="I1015" s="12" t="n"/>
      <c r="J1015" s="12" t="n"/>
      <c r="K1015" s="12" t="n"/>
      <c r="L1015" s="11" t="n"/>
      <c r="M1015" s="11" t="n"/>
      <c r="N1015" s="11" t="n"/>
      <c r="O1015" s="11" t="n"/>
      <c r="P1015" s="12" t="n"/>
      <c r="Q1015" s="11" t="n"/>
      <c r="R1015" s="12" t="n"/>
      <c r="S1015" s="11" t="n"/>
      <c r="T1015" s="12" t="n"/>
      <c r="U1015" s="12" t="n"/>
      <c r="V1015" s="14">
        <f>IF($AN1015="",IF($B1015="","",$H1015),IF(INDEX(職員マスタ!$B$6:$B$405,$AN1015)="",$H1015,INDEX(職員マスタ!$B$6:$B$405,$AN1015)))</f>
        <v/>
      </c>
      <c r="W1015" s="14">
        <f>IF($AN1015="",IF($B1015="","",$R1015),IF(INDEX(職員マスタ!$C$6:$C$405,$AN1015)="",$R1015,INDEX(職員マスタ!$C$6:$C$405,$AN1015)))</f>
        <v/>
      </c>
      <c r="X1015" s="14">
        <f>IF($AO1015="","","R"&amp;$C1015&amp;"."&amp;$D1015)</f>
        <v/>
      </c>
      <c r="Y1015" s="15">
        <f>IF($AN1015="","",IF(INDEX(職員マスタ!$K$6:$K$405,$AN1015)="","",INDEX(職員マスタ!$K$6:$K$405,$AN1015)))</f>
        <v/>
      </c>
      <c r="Z1015" s="14">
        <f>IF(OR($E1015="",$Y1015=""),"",IF($E1015&gt;=$Y1015,"×",IF($E1015&gt;=$Y1015*設定!$C$5,"△","○")))</f>
        <v/>
      </c>
      <c r="AA1015" s="15">
        <f>IF($Z1015="","",IF($Z1015="×",0,IF($Z1015="○",ROUNDDOWN($E1015*設定!$C$4,0),ROUNDDOWN($E1015*ROUND((9*$Y1015-9*$E1015)/(10*$E1015),4),0))))</f>
        <v/>
      </c>
      <c r="AB1015" s="13" t="n"/>
      <c r="AC1015" s="15">
        <f>IF($B1015="","",IF($AB1015&lt;&gt;"",$AB1015,IF($AA1015="","",IF($AA1015&lt;=設定!$C$3,0,$AA1015))))</f>
        <v/>
      </c>
      <c r="AD1015" s="14">
        <f>IF($B1015="","",IF(AND($AE1015&lt;&gt;"",$AG1015="",$AJ1015=""),"保留中",IF($AJ1015&lt;&gt;"",IF(N($AC1015)&gt;0,"支給済","不支給"),IF($AC1015="","要確認",IF($AC1015=0,"不支給","未処理")))))</f>
        <v/>
      </c>
      <c r="AE1015" s="12" t="n"/>
      <c r="AF1015" s="11" t="n"/>
      <c r="AG1015" s="11" t="n"/>
      <c r="AH1015" s="11" t="n"/>
      <c r="AI1015" s="14">
        <f>IF(AND($AD1015="保留中",$AF1015&lt;&gt;""),TODAY()-$AF1015,"")</f>
        <v/>
      </c>
      <c r="AJ1015" s="12" t="n"/>
      <c r="AK1015" s="14">
        <f>IF($B1015="","",IF($AO1015="","対象年月が未入力／","")&amp;IF($B1015="","",IF($AN1015="","職員マスタに未登録の職員番号／",IF($Y1015="","標準報酬月額が未登録／","")&amp;IF(AND($AO1015&lt;&gt;"",OR(AND(INDEX(職員マスタ!$G$6:$G$405,$AN1015)&lt;&gt;"",INDEX(職員マスタ!$G$6:$G$405,$AN1015)&gt;EOMONTH($AO1015,0)),AND(INDEX(職員マスタ!$H$6:$H$405,$AN1015)&lt;&gt;"",INDEX(職員マスタ!$H$6:$H$405,$AN1015)&lt;$AO1015))),"対象月が時短期間外／","")&amp;IF(AND(INDEX(職員マスタ!$F$6:$F$405,$AN1015)&lt;&gt;"",$AO1015&lt;&gt;"",INDEX(職員マスタ!$F$6:$F$405,$AN1015)&lt;$AO1015),"対象月に子が2歳到達済／","")&amp;IF(AND($H1015&lt;&gt;"",INDEX(職員マスタ!$B$6:$B$405,$AN1015)&lt;&gt;"",SUBSTITUTE(SUBSTITUTE($H1015," ","")," ","")&lt;&gt;SUBSTITUTE(SUBSTITUTE(INDEX(職員マスタ!$B$6:$B$405,$AN1015)," ","")," ","")),"氏名がマスタと相違／","")&amp;IF(AND($Q1015&lt;&gt;"",INDEX(職員マスタ!$E$6:$E$405,$AN1015)&lt;&gt;"",$Q1015&lt;&gt;INDEX(職員マスタ!$E$6:$E$405,$AN1015)),"子の生年月日がマスタと相違／","")&amp;IF(AND($L1015&lt;&gt;"",INDEX(職員マスタ!$G$6:$G$405,$AN1015)&lt;&gt;"",$L1015&lt;&gt;INDEX(職員マスタ!$G$6:$G$405,$AN1015)),"時短開始日がマスタと相違／","")&amp;IF(AND($M1015&lt;&gt;"",INDEX(職員マスタ!$H$6:$H$405,$AN1015)&lt;&gt;"",$M1015&lt;&gt;INDEX(職員マスタ!$H$6:$H$405,$AN1015)),"時短終了日がマスタと相違／","")))&amp;IF(AND($B1015&lt;&gt;"",$E1015=""),"報酬額が未入力／","")&amp;IF(N($U1015)&gt;0,"申請書に入力エラーが残っています／","")&amp;IF(AND($B1015&lt;&gt;"",$AO1015&lt;&gt;""),IF(COUNTIFS($B$6:$B$3005,$B1015,$C$6:$C$3005,$C1015,$D$6:$D$3005,$D1015)&gt;1,"同じ月の請求が重複しています／",""),"")&amp;IF(AND(N($E1015)&gt;0,$Z1015&lt;&gt;"",$Z1015&lt;&gt;"×",$AC1015=0,$AB1015=""),"計算額が下限以下のため不支給／",""))</f>
        <v/>
      </c>
      <c r="AL1015" s="12" t="n"/>
      <c r="AM1015" s="14">
        <f>IF($AD1015="保留中",COUNTIF($AD$6:$AD1015,"保留中"),"")</f>
        <v/>
      </c>
      <c r="AN1015" s="14">
        <f>IF($AO1015="","",IF(SUMPRODUCT(MAX((職員マスタ!$A$6:$A$405=$B1015)*(((職員マスタ!$G$6:$G$405="")+(職員マスタ!$G$6:$G$405&lt;=EOMONTH($AO1015,0)))&gt;0)*(((職員マスタ!$H$6:$H$405="")+(職員マスタ!$H$6:$H$405&gt;=$AO1015))&gt;0)*(ROW(職員マスタ!$A$6:$A$405)-5)))&gt;0,SUMPRODUCT(MAX((職員マスタ!$A$6:$A$405=$B1015)*(((職員マスタ!$G$6:$G$405="")+(職員マスタ!$G$6:$G$405&lt;=EOMONTH($AO1015,0)))&gt;0)*(((職員マスタ!$H$6:$H$405="")+(職員マスタ!$H$6:$H$405&gt;=$AO1015))&gt;0)*(ROW(職員マスタ!$A$6:$A$405)-5))),IFERROR(MATCH($B1015,職員マスタ!$A$6:$A$405,0),"")))</f>
        <v/>
      </c>
      <c r="AO1015" s="16">
        <f>IF(OR($B1015="",$C1015="",$D1015=""),"",DATE($C1015+2018,$D1015,1))</f>
        <v/>
      </c>
    </row>
    <row r="1016">
      <c r="A1016" s="11" t="n"/>
      <c r="B1016" s="12" t="n"/>
      <c r="C1016" s="12" t="n"/>
      <c r="D1016" s="12" t="n"/>
      <c r="E1016" s="13" t="n"/>
      <c r="F1016" s="12" t="n"/>
      <c r="G1016" s="13" t="n"/>
      <c r="H1016" s="12" t="n"/>
      <c r="I1016" s="12" t="n"/>
      <c r="J1016" s="12" t="n"/>
      <c r="K1016" s="12" t="n"/>
      <c r="L1016" s="11" t="n"/>
      <c r="M1016" s="11" t="n"/>
      <c r="N1016" s="11" t="n"/>
      <c r="O1016" s="11" t="n"/>
      <c r="P1016" s="12" t="n"/>
      <c r="Q1016" s="11" t="n"/>
      <c r="R1016" s="12" t="n"/>
      <c r="S1016" s="11" t="n"/>
      <c r="T1016" s="12" t="n"/>
      <c r="U1016" s="12" t="n"/>
      <c r="V1016" s="14">
        <f>IF($AN1016="",IF($B1016="","",$H1016),IF(INDEX(職員マスタ!$B$6:$B$405,$AN1016)="",$H1016,INDEX(職員マスタ!$B$6:$B$405,$AN1016)))</f>
        <v/>
      </c>
      <c r="W1016" s="14">
        <f>IF($AN1016="",IF($B1016="","",$R1016),IF(INDEX(職員マスタ!$C$6:$C$405,$AN1016)="",$R1016,INDEX(職員マスタ!$C$6:$C$405,$AN1016)))</f>
        <v/>
      </c>
      <c r="X1016" s="14">
        <f>IF($AO1016="","","R"&amp;$C1016&amp;"."&amp;$D1016)</f>
        <v/>
      </c>
      <c r="Y1016" s="15">
        <f>IF($AN1016="","",IF(INDEX(職員マスタ!$K$6:$K$405,$AN1016)="","",INDEX(職員マスタ!$K$6:$K$405,$AN1016)))</f>
        <v/>
      </c>
      <c r="Z1016" s="14">
        <f>IF(OR($E1016="",$Y1016=""),"",IF($E1016&gt;=$Y1016,"×",IF($E1016&gt;=$Y1016*設定!$C$5,"△","○")))</f>
        <v/>
      </c>
      <c r="AA1016" s="15">
        <f>IF($Z1016="","",IF($Z1016="×",0,IF($Z1016="○",ROUNDDOWN($E1016*設定!$C$4,0),ROUNDDOWN($E1016*ROUND((9*$Y1016-9*$E1016)/(10*$E1016),4),0))))</f>
        <v/>
      </c>
      <c r="AB1016" s="13" t="n"/>
      <c r="AC1016" s="15">
        <f>IF($B1016="","",IF($AB1016&lt;&gt;"",$AB1016,IF($AA1016="","",IF($AA1016&lt;=設定!$C$3,0,$AA1016))))</f>
        <v/>
      </c>
      <c r="AD1016" s="14">
        <f>IF($B1016="","",IF(AND($AE1016&lt;&gt;"",$AG1016="",$AJ1016=""),"保留中",IF($AJ1016&lt;&gt;"",IF(N($AC1016)&gt;0,"支給済","不支給"),IF($AC1016="","要確認",IF($AC1016=0,"不支給","未処理")))))</f>
        <v/>
      </c>
      <c r="AE1016" s="12" t="n"/>
      <c r="AF1016" s="11" t="n"/>
      <c r="AG1016" s="11" t="n"/>
      <c r="AH1016" s="11" t="n"/>
      <c r="AI1016" s="14">
        <f>IF(AND($AD1016="保留中",$AF1016&lt;&gt;""),TODAY()-$AF1016,"")</f>
        <v/>
      </c>
      <c r="AJ1016" s="12" t="n"/>
      <c r="AK1016" s="14">
        <f>IF($B1016="","",IF($AO1016="","対象年月が未入力／","")&amp;IF($B1016="","",IF($AN1016="","職員マスタに未登録の職員番号／",IF($Y1016="","標準報酬月額が未登録／","")&amp;IF(AND($AO1016&lt;&gt;"",OR(AND(INDEX(職員マスタ!$G$6:$G$405,$AN1016)&lt;&gt;"",INDEX(職員マスタ!$G$6:$G$405,$AN1016)&gt;EOMONTH($AO1016,0)),AND(INDEX(職員マスタ!$H$6:$H$405,$AN1016)&lt;&gt;"",INDEX(職員マスタ!$H$6:$H$405,$AN1016)&lt;$AO1016))),"対象月が時短期間外／","")&amp;IF(AND(INDEX(職員マスタ!$F$6:$F$405,$AN1016)&lt;&gt;"",$AO1016&lt;&gt;"",INDEX(職員マスタ!$F$6:$F$405,$AN1016)&lt;$AO1016),"対象月に子が2歳到達済／","")&amp;IF(AND($H1016&lt;&gt;"",INDEX(職員マスタ!$B$6:$B$405,$AN1016)&lt;&gt;"",SUBSTITUTE(SUBSTITUTE($H1016," ","")," ","")&lt;&gt;SUBSTITUTE(SUBSTITUTE(INDEX(職員マスタ!$B$6:$B$405,$AN1016)," ","")," ","")),"氏名がマスタと相違／","")&amp;IF(AND($Q1016&lt;&gt;"",INDEX(職員マスタ!$E$6:$E$405,$AN1016)&lt;&gt;"",$Q1016&lt;&gt;INDEX(職員マスタ!$E$6:$E$405,$AN1016)),"子の生年月日がマスタと相違／","")&amp;IF(AND($L1016&lt;&gt;"",INDEX(職員マスタ!$G$6:$G$405,$AN1016)&lt;&gt;"",$L1016&lt;&gt;INDEX(職員マスタ!$G$6:$G$405,$AN1016)),"時短開始日がマスタと相違／","")&amp;IF(AND($M1016&lt;&gt;"",INDEX(職員マスタ!$H$6:$H$405,$AN1016)&lt;&gt;"",$M1016&lt;&gt;INDEX(職員マスタ!$H$6:$H$405,$AN1016)),"時短終了日がマスタと相違／","")))&amp;IF(AND($B1016&lt;&gt;"",$E1016=""),"報酬額が未入力／","")&amp;IF(N($U1016)&gt;0,"申請書に入力エラーが残っています／","")&amp;IF(AND($B1016&lt;&gt;"",$AO1016&lt;&gt;""),IF(COUNTIFS($B$6:$B$3005,$B1016,$C$6:$C$3005,$C1016,$D$6:$D$3005,$D1016)&gt;1,"同じ月の請求が重複しています／",""),"")&amp;IF(AND(N($E1016)&gt;0,$Z1016&lt;&gt;"",$Z1016&lt;&gt;"×",$AC1016=0,$AB1016=""),"計算額が下限以下のため不支給／",""))</f>
        <v/>
      </c>
      <c r="AL1016" s="12" t="n"/>
      <c r="AM1016" s="14">
        <f>IF($AD1016="保留中",COUNTIF($AD$6:$AD1016,"保留中"),"")</f>
        <v/>
      </c>
      <c r="AN1016" s="14">
        <f>IF($AO1016="","",IF(SUMPRODUCT(MAX((職員マスタ!$A$6:$A$405=$B1016)*(((職員マスタ!$G$6:$G$405="")+(職員マスタ!$G$6:$G$405&lt;=EOMONTH($AO1016,0)))&gt;0)*(((職員マスタ!$H$6:$H$405="")+(職員マスタ!$H$6:$H$405&gt;=$AO1016))&gt;0)*(ROW(職員マスタ!$A$6:$A$405)-5)))&gt;0,SUMPRODUCT(MAX((職員マスタ!$A$6:$A$405=$B1016)*(((職員マスタ!$G$6:$G$405="")+(職員マスタ!$G$6:$G$405&lt;=EOMONTH($AO1016,0)))&gt;0)*(((職員マスタ!$H$6:$H$405="")+(職員マスタ!$H$6:$H$405&gt;=$AO1016))&gt;0)*(ROW(職員マスタ!$A$6:$A$405)-5))),IFERROR(MATCH($B1016,職員マスタ!$A$6:$A$405,0),"")))</f>
        <v/>
      </c>
      <c r="AO1016" s="16">
        <f>IF(OR($B1016="",$C1016="",$D1016=""),"",DATE($C1016+2018,$D1016,1))</f>
        <v/>
      </c>
    </row>
    <row r="1017">
      <c r="A1017" s="11" t="n"/>
      <c r="B1017" s="12" t="n"/>
      <c r="C1017" s="12" t="n"/>
      <c r="D1017" s="12" t="n"/>
      <c r="E1017" s="13" t="n"/>
      <c r="F1017" s="12" t="n"/>
      <c r="G1017" s="13" t="n"/>
      <c r="H1017" s="12" t="n"/>
      <c r="I1017" s="12" t="n"/>
      <c r="J1017" s="12" t="n"/>
      <c r="K1017" s="12" t="n"/>
      <c r="L1017" s="11" t="n"/>
      <c r="M1017" s="11" t="n"/>
      <c r="N1017" s="11" t="n"/>
      <c r="O1017" s="11" t="n"/>
      <c r="P1017" s="12" t="n"/>
      <c r="Q1017" s="11" t="n"/>
      <c r="R1017" s="12" t="n"/>
      <c r="S1017" s="11" t="n"/>
      <c r="T1017" s="12" t="n"/>
      <c r="U1017" s="12" t="n"/>
      <c r="V1017" s="14">
        <f>IF($AN1017="",IF($B1017="","",$H1017),IF(INDEX(職員マスタ!$B$6:$B$405,$AN1017)="",$H1017,INDEX(職員マスタ!$B$6:$B$405,$AN1017)))</f>
        <v/>
      </c>
      <c r="W1017" s="14">
        <f>IF($AN1017="",IF($B1017="","",$R1017),IF(INDEX(職員マスタ!$C$6:$C$405,$AN1017)="",$R1017,INDEX(職員マスタ!$C$6:$C$405,$AN1017)))</f>
        <v/>
      </c>
      <c r="X1017" s="14">
        <f>IF($AO1017="","","R"&amp;$C1017&amp;"."&amp;$D1017)</f>
        <v/>
      </c>
      <c r="Y1017" s="15">
        <f>IF($AN1017="","",IF(INDEX(職員マスタ!$K$6:$K$405,$AN1017)="","",INDEX(職員マスタ!$K$6:$K$405,$AN1017)))</f>
        <v/>
      </c>
      <c r="Z1017" s="14">
        <f>IF(OR($E1017="",$Y1017=""),"",IF($E1017&gt;=$Y1017,"×",IF($E1017&gt;=$Y1017*設定!$C$5,"△","○")))</f>
        <v/>
      </c>
      <c r="AA1017" s="15">
        <f>IF($Z1017="","",IF($Z1017="×",0,IF($Z1017="○",ROUNDDOWN($E1017*設定!$C$4,0),ROUNDDOWN($E1017*ROUND((9*$Y1017-9*$E1017)/(10*$E1017),4),0))))</f>
        <v/>
      </c>
      <c r="AB1017" s="13" t="n"/>
      <c r="AC1017" s="15">
        <f>IF($B1017="","",IF($AB1017&lt;&gt;"",$AB1017,IF($AA1017="","",IF($AA1017&lt;=設定!$C$3,0,$AA1017))))</f>
        <v/>
      </c>
      <c r="AD1017" s="14">
        <f>IF($B1017="","",IF(AND($AE1017&lt;&gt;"",$AG1017="",$AJ1017=""),"保留中",IF($AJ1017&lt;&gt;"",IF(N($AC1017)&gt;0,"支給済","不支給"),IF($AC1017="","要確認",IF($AC1017=0,"不支給","未処理")))))</f>
        <v/>
      </c>
      <c r="AE1017" s="12" t="n"/>
      <c r="AF1017" s="11" t="n"/>
      <c r="AG1017" s="11" t="n"/>
      <c r="AH1017" s="11" t="n"/>
      <c r="AI1017" s="14">
        <f>IF(AND($AD1017="保留中",$AF1017&lt;&gt;""),TODAY()-$AF1017,"")</f>
        <v/>
      </c>
      <c r="AJ1017" s="12" t="n"/>
      <c r="AK1017" s="14">
        <f>IF($B1017="","",IF($AO1017="","対象年月が未入力／","")&amp;IF($B1017="","",IF($AN1017="","職員マスタに未登録の職員番号／",IF($Y1017="","標準報酬月額が未登録／","")&amp;IF(AND($AO1017&lt;&gt;"",OR(AND(INDEX(職員マスタ!$G$6:$G$405,$AN1017)&lt;&gt;"",INDEX(職員マスタ!$G$6:$G$405,$AN1017)&gt;EOMONTH($AO1017,0)),AND(INDEX(職員マスタ!$H$6:$H$405,$AN1017)&lt;&gt;"",INDEX(職員マスタ!$H$6:$H$405,$AN1017)&lt;$AO1017))),"対象月が時短期間外／","")&amp;IF(AND(INDEX(職員マスタ!$F$6:$F$405,$AN1017)&lt;&gt;"",$AO1017&lt;&gt;"",INDEX(職員マスタ!$F$6:$F$405,$AN1017)&lt;$AO1017),"対象月に子が2歳到達済／","")&amp;IF(AND($H1017&lt;&gt;"",INDEX(職員マスタ!$B$6:$B$405,$AN1017)&lt;&gt;"",SUBSTITUTE(SUBSTITUTE($H1017," ","")," ","")&lt;&gt;SUBSTITUTE(SUBSTITUTE(INDEX(職員マスタ!$B$6:$B$405,$AN1017)," ","")," ","")),"氏名がマスタと相違／","")&amp;IF(AND($Q1017&lt;&gt;"",INDEX(職員マスタ!$E$6:$E$405,$AN1017)&lt;&gt;"",$Q1017&lt;&gt;INDEX(職員マスタ!$E$6:$E$405,$AN1017)),"子の生年月日がマスタと相違／","")&amp;IF(AND($L1017&lt;&gt;"",INDEX(職員マスタ!$G$6:$G$405,$AN1017)&lt;&gt;"",$L1017&lt;&gt;INDEX(職員マスタ!$G$6:$G$405,$AN1017)),"時短開始日がマスタと相違／","")&amp;IF(AND($M1017&lt;&gt;"",INDEX(職員マスタ!$H$6:$H$405,$AN1017)&lt;&gt;"",$M1017&lt;&gt;INDEX(職員マスタ!$H$6:$H$405,$AN1017)),"時短終了日がマスタと相違／","")))&amp;IF(AND($B1017&lt;&gt;"",$E1017=""),"報酬額が未入力／","")&amp;IF(N($U1017)&gt;0,"申請書に入力エラーが残っています／","")&amp;IF(AND($B1017&lt;&gt;"",$AO1017&lt;&gt;""),IF(COUNTIFS($B$6:$B$3005,$B1017,$C$6:$C$3005,$C1017,$D$6:$D$3005,$D1017)&gt;1,"同じ月の請求が重複しています／",""),"")&amp;IF(AND(N($E1017)&gt;0,$Z1017&lt;&gt;"",$Z1017&lt;&gt;"×",$AC1017=0,$AB1017=""),"計算額が下限以下のため不支給／",""))</f>
        <v/>
      </c>
      <c r="AL1017" s="12" t="n"/>
      <c r="AM1017" s="14">
        <f>IF($AD1017="保留中",COUNTIF($AD$6:$AD1017,"保留中"),"")</f>
        <v/>
      </c>
      <c r="AN1017" s="14">
        <f>IF($AO1017="","",IF(SUMPRODUCT(MAX((職員マスタ!$A$6:$A$405=$B1017)*(((職員マスタ!$G$6:$G$405="")+(職員マスタ!$G$6:$G$405&lt;=EOMONTH($AO1017,0)))&gt;0)*(((職員マスタ!$H$6:$H$405="")+(職員マスタ!$H$6:$H$405&gt;=$AO1017))&gt;0)*(ROW(職員マスタ!$A$6:$A$405)-5)))&gt;0,SUMPRODUCT(MAX((職員マスタ!$A$6:$A$405=$B1017)*(((職員マスタ!$G$6:$G$405="")+(職員マスタ!$G$6:$G$405&lt;=EOMONTH($AO1017,0)))&gt;0)*(((職員マスタ!$H$6:$H$405="")+(職員マスタ!$H$6:$H$405&gt;=$AO1017))&gt;0)*(ROW(職員マスタ!$A$6:$A$405)-5))),IFERROR(MATCH($B1017,職員マスタ!$A$6:$A$405,0),"")))</f>
        <v/>
      </c>
      <c r="AO1017" s="16">
        <f>IF(OR($B1017="",$C1017="",$D1017=""),"",DATE($C1017+2018,$D1017,1))</f>
        <v/>
      </c>
    </row>
    <row r="1018">
      <c r="A1018" s="11" t="n"/>
      <c r="B1018" s="12" t="n"/>
      <c r="C1018" s="12" t="n"/>
      <c r="D1018" s="12" t="n"/>
      <c r="E1018" s="13" t="n"/>
      <c r="F1018" s="12" t="n"/>
      <c r="G1018" s="13" t="n"/>
      <c r="H1018" s="12" t="n"/>
      <c r="I1018" s="12" t="n"/>
      <c r="J1018" s="12" t="n"/>
      <c r="K1018" s="12" t="n"/>
      <c r="L1018" s="11" t="n"/>
      <c r="M1018" s="11" t="n"/>
      <c r="N1018" s="11" t="n"/>
      <c r="O1018" s="11" t="n"/>
      <c r="P1018" s="12" t="n"/>
      <c r="Q1018" s="11" t="n"/>
      <c r="R1018" s="12" t="n"/>
      <c r="S1018" s="11" t="n"/>
      <c r="T1018" s="12" t="n"/>
      <c r="U1018" s="12" t="n"/>
      <c r="V1018" s="14">
        <f>IF($AN1018="",IF($B1018="","",$H1018),IF(INDEX(職員マスタ!$B$6:$B$405,$AN1018)="",$H1018,INDEX(職員マスタ!$B$6:$B$405,$AN1018)))</f>
        <v/>
      </c>
      <c r="W1018" s="14">
        <f>IF($AN1018="",IF($B1018="","",$R1018),IF(INDEX(職員マスタ!$C$6:$C$405,$AN1018)="",$R1018,INDEX(職員マスタ!$C$6:$C$405,$AN1018)))</f>
        <v/>
      </c>
      <c r="X1018" s="14">
        <f>IF($AO1018="","","R"&amp;$C1018&amp;"."&amp;$D1018)</f>
        <v/>
      </c>
      <c r="Y1018" s="15">
        <f>IF($AN1018="","",IF(INDEX(職員マスタ!$K$6:$K$405,$AN1018)="","",INDEX(職員マスタ!$K$6:$K$405,$AN1018)))</f>
        <v/>
      </c>
      <c r="Z1018" s="14">
        <f>IF(OR($E1018="",$Y1018=""),"",IF($E1018&gt;=$Y1018,"×",IF($E1018&gt;=$Y1018*設定!$C$5,"△","○")))</f>
        <v/>
      </c>
      <c r="AA1018" s="15">
        <f>IF($Z1018="","",IF($Z1018="×",0,IF($Z1018="○",ROUNDDOWN($E1018*設定!$C$4,0),ROUNDDOWN($E1018*ROUND((9*$Y1018-9*$E1018)/(10*$E1018),4),0))))</f>
        <v/>
      </c>
      <c r="AB1018" s="13" t="n"/>
      <c r="AC1018" s="15">
        <f>IF($B1018="","",IF($AB1018&lt;&gt;"",$AB1018,IF($AA1018="","",IF($AA1018&lt;=設定!$C$3,0,$AA1018))))</f>
        <v/>
      </c>
      <c r="AD1018" s="14">
        <f>IF($B1018="","",IF(AND($AE1018&lt;&gt;"",$AG1018="",$AJ1018=""),"保留中",IF($AJ1018&lt;&gt;"",IF(N($AC1018)&gt;0,"支給済","不支給"),IF($AC1018="","要確認",IF($AC1018=0,"不支給","未処理")))))</f>
        <v/>
      </c>
      <c r="AE1018" s="12" t="n"/>
      <c r="AF1018" s="11" t="n"/>
      <c r="AG1018" s="11" t="n"/>
      <c r="AH1018" s="11" t="n"/>
      <c r="AI1018" s="14">
        <f>IF(AND($AD1018="保留中",$AF1018&lt;&gt;""),TODAY()-$AF1018,"")</f>
        <v/>
      </c>
      <c r="AJ1018" s="12" t="n"/>
      <c r="AK1018" s="14">
        <f>IF($B1018="","",IF($AO1018="","対象年月が未入力／","")&amp;IF($B1018="","",IF($AN1018="","職員マスタに未登録の職員番号／",IF($Y1018="","標準報酬月額が未登録／","")&amp;IF(AND($AO1018&lt;&gt;"",OR(AND(INDEX(職員マスタ!$G$6:$G$405,$AN1018)&lt;&gt;"",INDEX(職員マスタ!$G$6:$G$405,$AN1018)&gt;EOMONTH($AO1018,0)),AND(INDEX(職員マスタ!$H$6:$H$405,$AN1018)&lt;&gt;"",INDEX(職員マスタ!$H$6:$H$405,$AN1018)&lt;$AO1018))),"対象月が時短期間外／","")&amp;IF(AND(INDEX(職員マスタ!$F$6:$F$405,$AN1018)&lt;&gt;"",$AO1018&lt;&gt;"",INDEX(職員マスタ!$F$6:$F$405,$AN1018)&lt;$AO1018),"対象月に子が2歳到達済／","")&amp;IF(AND($H1018&lt;&gt;"",INDEX(職員マスタ!$B$6:$B$405,$AN1018)&lt;&gt;"",SUBSTITUTE(SUBSTITUTE($H1018," ","")," ","")&lt;&gt;SUBSTITUTE(SUBSTITUTE(INDEX(職員マスタ!$B$6:$B$405,$AN1018)," ","")," ","")),"氏名がマスタと相違／","")&amp;IF(AND($Q1018&lt;&gt;"",INDEX(職員マスタ!$E$6:$E$405,$AN1018)&lt;&gt;"",$Q1018&lt;&gt;INDEX(職員マスタ!$E$6:$E$405,$AN1018)),"子の生年月日がマスタと相違／","")&amp;IF(AND($L1018&lt;&gt;"",INDEX(職員マスタ!$G$6:$G$405,$AN1018)&lt;&gt;"",$L1018&lt;&gt;INDEX(職員マスタ!$G$6:$G$405,$AN1018)),"時短開始日がマスタと相違／","")&amp;IF(AND($M1018&lt;&gt;"",INDEX(職員マスタ!$H$6:$H$405,$AN1018)&lt;&gt;"",$M1018&lt;&gt;INDEX(職員マスタ!$H$6:$H$405,$AN1018)),"時短終了日がマスタと相違／","")))&amp;IF(AND($B1018&lt;&gt;"",$E1018=""),"報酬額が未入力／","")&amp;IF(N($U1018)&gt;0,"申請書に入力エラーが残っています／","")&amp;IF(AND($B1018&lt;&gt;"",$AO1018&lt;&gt;""),IF(COUNTIFS($B$6:$B$3005,$B1018,$C$6:$C$3005,$C1018,$D$6:$D$3005,$D1018)&gt;1,"同じ月の請求が重複しています／",""),"")&amp;IF(AND(N($E1018)&gt;0,$Z1018&lt;&gt;"",$Z1018&lt;&gt;"×",$AC1018=0,$AB1018=""),"計算額が下限以下のため不支給／",""))</f>
        <v/>
      </c>
      <c r="AL1018" s="12" t="n"/>
      <c r="AM1018" s="14">
        <f>IF($AD1018="保留中",COUNTIF($AD$6:$AD1018,"保留中"),"")</f>
        <v/>
      </c>
      <c r="AN1018" s="14">
        <f>IF($AO1018="","",IF(SUMPRODUCT(MAX((職員マスタ!$A$6:$A$405=$B1018)*(((職員マスタ!$G$6:$G$405="")+(職員マスタ!$G$6:$G$405&lt;=EOMONTH($AO1018,0)))&gt;0)*(((職員マスタ!$H$6:$H$405="")+(職員マスタ!$H$6:$H$405&gt;=$AO1018))&gt;0)*(ROW(職員マスタ!$A$6:$A$405)-5)))&gt;0,SUMPRODUCT(MAX((職員マスタ!$A$6:$A$405=$B1018)*(((職員マスタ!$G$6:$G$405="")+(職員マスタ!$G$6:$G$405&lt;=EOMONTH($AO1018,0)))&gt;0)*(((職員マスタ!$H$6:$H$405="")+(職員マスタ!$H$6:$H$405&gt;=$AO1018))&gt;0)*(ROW(職員マスタ!$A$6:$A$405)-5))),IFERROR(MATCH($B1018,職員マスタ!$A$6:$A$405,0),"")))</f>
        <v/>
      </c>
      <c r="AO1018" s="16">
        <f>IF(OR($B1018="",$C1018="",$D1018=""),"",DATE($C1018+2018,$D1018,1))</f>
        <v/>
      </c>
    </row>
    <row r="1019">
      <c r="A1019" s="11" t="n"/>
      <c r="B1019" s="12" t="n"/>
      <c r="C1019" s="12" t="n"/>
      <c r="D1019" s="12" t="n"/>
      <c r="E1019" s="13" t="n"/>
      <c r="F1019" s="12" t="n"/>
      <c r="G1019" s="13" t="n"/>
      <c r="H1019" s="12" t="n"/>
      <c r="I1019" s="12" t="n"/>
      <c r="J1019" s="12" t="n"/>
      <c r="K1019" s="12" t="n"/>
      <c r="L1019" s="11" t="n"/>
      <c r="M1019" s="11" t="n"/>
      <c r="N1019" s="11" t="n"/>
      <c r="O1019" s="11" t="n"/>
      <c r="P1019" s="12" t="n"/>
      <c r="Q1019" s="11" t="n"/>
      <c r="R1019" s="12" t="n"/>
      <c r="S1019" s="11" t="n"/>
      <c r="T1019" s="12" t="n"/>
      <c r="U1019" s="12" t="n"/>
      <c r="V1019" s="14">
        <f>IF($AN1019="",IF($B1019="","",$H1019),IF(INDEX(職員マスタ!$B$6:$B$405,$AN1019)="",$H1019,INDEX(職員マスタ!$B$6:$B$405,$AN1019)))</f>
        <v/>
      </c>
      <c r="W1019" s="14">
        <f>IF($AN1019="",IF($B1019="","",$R1019),IF(INDEX(職員マスタ!$C$6:$C$405,$AN1019)="",$R1019,INDEX(職員マスタ!$C$6:$C$405,$AN1019)))</f>
        <v/>
      </c>
      <c r="X1019" s="14">
        <f>IF($AO1019="","","R"&amp;$C1019&amp;"."&amp;$D1019)</f>
        <v/>
      </c>
      <c r="Y1019" s="15">
        <f>IF($AN1019="","",IF(INDEX(職員マスタ!$K$6:$K$405,$AN1019)="","",INDEX(職員マスタ!$K$6:$K$405,$AN1019)))</f>
        <v/>
      </c>
      <c r="Z1019" s="14">
        <f>IF(OR($E1019="",$Y1019=""),"",IF($E1019&gt;=$Y1019,"×",IF($E1019&gt;=$Y1019*設定!$C$5,"△","○")))</f>
        <v/>
      </c>
      <c r="AA1019" s="15">
        <f>IF($Z1019="","",IF($Z1019="×",0,IF($Z1019="○",ROUNDDOWN($E1019*設定!$C$4,0),ROUNDDOWN($E1019*ROUND((9*$Y1019-9*$E1019)/(10*$E1019),4),0))))</f>
        <v/>
      </c>
      <c r="AB1019" s="13" t="n"/>
      <c r="AC1019" s="15">
        <f>IF($B1019="","",IF($AB1019&lt;&gt;"",$AB1019,IF($AA1019="","",IF($AA1019&lt;=設定!$C$3,0,$AA1019))))</f>
        <v/>
      </c>
      <c r="AD1019" s="14">
        <f>IF($B1019="","",IF(AND($AE1019&lt;&gt;"",$AG1019="",$AJ1019=""),"保留中",IF($AJ1019&lt;&gt;"",IF(N($AC1019)&gt;0,"支給済","不支給"),IF($AC1019="","要確認",IF($AC1019=0,"不支給","未処理")))))</f>
        <v/>
      </c>
      <c r="AE1019" s="12" t="n"/>
      <c r="AF1019" s="11" t="n"/>
      <c r="AG1019" s="11" t="n"/>
      <c r="AH1019" s="11" t="n"/>
      <c r="AI1019" s="14">
        <f>IF(AND($AD1019="保留中",$AF1019&lt;&gt;""),TODAY()-$AF1019,"")</f>
        <v/>
      </c>
      <c r="AJ1019" s="12" t="n"/>
      <c r="AK1019" s="14">
        <f>IF($B1019="","",IF($AO1019="","対象年月が未入力／","")&amp;IF($B1019="","",IF($AN1019="","職員マスタに未登録の職員番号／",IF($Y1019="","標準報酬月額が未登録／","")&amp;IF(AND($AO1019&lt;&gt;"",OR(AND(INDEX(職員マスタ!$G$6:$G$405,$AN1019)&lt;&gt;"",INDEX(職員マスタ!$G$6:$G$405,$AN1019)&gt;EOMONTH($AO1019,0)),AND(INDEX(職員マスタ!$H$6:$H$405,$AN1019)&lt;&gt;"",INDEX(職員マスタ!$H$6:$H$405,$AN1019)&lt;$AO1019))),"対象月が時短期間外／","")&amp;IF(AND(INDEX(職員マスタ!$F$6:$F$405,$AN1019)&lt;&gt;"",$AO1019&lt;&gt;"",INDEX(職員マスタ!$F$6:$F$405,$AN1019)&lt;$AO1019),"対象月に子が2歳到達済／","")&amp;IF(AND($H1019&lt;&gt;"",INDEX(職員マスタ!$B$6:$B$405,$AN1019)&lt;&gt;"",SUBSTITUTE(SUBSTITUTE($H1019," ","")," ","")&lt;&gt;SUBSTITUTE(SUBSTITUTE(INDEX(職員マスタ!$B$6:$B$405,$AN1019)," ","")," ","")),"氏名がマスタと相違／","")&amp;IF(AND($Q1019&lt;&gt;"",INDEX(職員マスタ!$E$6:$E$405,$AN1019)&lt;&gt;"",$Q1019&lt;&gt;INDEX(職員マスタ!$E$6:$E$405,$AN1019)),"子の生年月日がマスタと相違／","")&amp;IF(AND($L1019&lt;&gt;"",INDEX(職員マスタ!$G$6:$G$405,$AN1019)&lt;&gt;"",$L1019&lt;&gt;INDEX(職員マスタ!$G$6:$G$405,$AN1019)),"時短開始日がマスタと相違／","")&amp;IF(AND($M1019&lt;&gt;"",INDEX(職員マスタ!$H$6:$H$405,$AN1019)&lt;&gt;"",$M1019&lt;&gt;INDEX(職員マスタ!$H$6:$H$405,$AN1019)),"時短終了日がマスタと相違／","")))&amp;IF(AND($B1019&lt;&gt;"",$E1019=""),"報酬額が未入力／","")&amp;IF(N($U1019)&gt;0,"申請書に入力エラーが残っています／","")&amp;IF(AND($B1019&lt;&gt;"",$AO1019&lt;&gt;""),IF(COUNTIFS($B$6:$B$3005,$B1019,$C$6:$C$3005,$C1019,$D$6:$D$3005,$D1019)&gt;1,"同じ月の請求が重複しています／",""),"")&amp;IF(AND(N($E1019)&gt;0,$Z1019&lt;&gt;"",$Z1019&lt;&gt;"×",$AC1019=0,$AB1019=""),"計算額が下限以下のため不支給／",""))</f>
        <v/>
      </c>
      <c r="AL1019" s="12" t="n"/>
      <c r="AM1019" s="14">
        <f>IF($AD1019="保留中",COUNTIF($AD$6:$AD1019,"保留中"),"")</f>
        <v/>
      </c>
      <c r="AN1019" s="14">
        <f>IF($AO1019="","",IF(SUMPRODUCT(MAX((職員マスタ!$A$6:$A$405=$B1019)*(((職員マスタ!$G$6:$G$405="")+(職員マスタ!$G$6:$G$405&lt;=EOMONTH($AO1019,0)))&gt;0)*(((職員マスタ!$H$6:$H$405="")+(職員マスタ!$H$6:$H$405&gt;=$AO1019))&gt;0)*(ROW(職員マスタ!$A$6:$A$405)-5)))&gt;0,SUMPRODUCT(MAX((職員マスタ!$A$6:$A$405=$B1019)*(((職員マスタ!$G$6:$G$405="")+(職員マスタ!$G$6:$G$405&lt;=EOMONTH($AO1019,0)))&gt;0)*(((職員マスタ!$H$6:$H$405="")+(職員マスタ!$H$6:$H$405&gt;=$AO1019))&gt;0)*(ROW(職員マスタ!$A$6:$A$405)-5))),IFERROR(MATCH($B1019,職員マスタ!$A$6:$A$405,0),"")))</f>
        <v/>
      </c>
      <c r="AO1019" s="16">
        <f>IF(OR($B1019="",$C1019="",$D1019=""),"",DATE($C1019+2018,$D1019,1))</f>
        <v/>
      </c>
    </row>
    <row r="1020">
      <c r="A1020" s="11" t="n"/>
      <c r="B1020" s="12" t="n"/>
      <c r="C1020" s="12" t="n"/>
      <c r="D1020" s="12" t="n"/>
      <c r="E1020" s="13" t="n"/>
      <c r="F1020" s="12" t="n"/>
      <c r="G1020" s="13" t="n"/>
      <c r="H1020" s="12" t="n"/>
      <c r="I1020" s="12" t="n"/>
      <c r="J1020" s="12" t="n"/>
      <c r="K1020" s="12" t="n"/>
      <c r="L1020" s="11" t="n"/>
      <c r="M1020" s="11" t="n"/>
      <c r="N1020" s="11" t="n"/>
      <c r="O1020" s="11" t="n"/>
      <c r="P1020" s="12" t="n"/>
      <c r="Q1020" s="11" t="n"/>
      <c r="R1020" s="12" t="n"/>
      <c r="S1020" s="11" t="n"/>
      <c r="T1020" s="12" t="n"/>
      <c r="U1020" s="12" t="n"/>
      <c r="V1020" s="14">
        <f>IF($AN1020="",IF($B1020="","",$H1020),IF(INDEX(職員マスタ!$B$6:$B$405,$AN1020)="",$H1020,INDEX(職員マスタ!$B$6:$B$405,$AN1020)))</f>
        <v/>
      </c>
      <c r="W1020" s="14">
        <f>IF($AN1020="",IF($B1020="","",$R1020),IF(INDEX(職員マスタ!$C$6:$C$405,$AN1020)="",$R1020,INDEX(職員マスタ!$C$6:$C$405,$AN1020)))</f>
        <v/>
      </c>
      <c r="X1020" s="14">
        <f>IF($AO1020="","","R"&amp;$C1020&amp;"."&amp;$D1020)</f>
        <v/>
      </c>
      <c r="Y1020" s="15">
        <f>IF($AN1020="","",IF(INDEX(職員マスタ!$K$6:$K$405,$AN1020)="","",INDEX(職員マスタ!$K$6:$K$405,$AN1020)))</f>
        <v/>
      </c>
      <c r="Z1020" s="14">
        <f>IF(OR($E1020="",$Y1020=""),"",IF($E1020&gt;=$Y1020,"×",IF($E1020&gt;=$Y1020*設定!$C$5,"△","○")))</f>
        <v/>
      </c>
      <c r="AA1020" s="15">
        <f>IF($Z1020="","",IF($Z1020="×",0,IF($Z1020="○",ROUNDDOWN($E1020*設定!$C$4,0),ROUNDDOWN($E1020*ROUND((9*$Y1020-9*$E1020)/(10*$E1020),4),0))))</f>
        <v/>
      </c>
      <c r="AB1020" s="13" t="n"/>
      <c r="AC1020" s="15">
        <f>IF($B1020="","",IF($AB1020&lt;&gt;"",$AB1020,IF($AA1020="","",IF($AA1020&lt;=設定!$C$3,0,$AA1020))))</f>
        <v/>
      </c>
      <c r="AD1020" s="14">
        <f>IF($B1020="","",IF(AND($AE1020&lt;&gt;"",$AG1020="",$AJ1020=""),"保留中",IF($AJ1020&lt;&gt;"",IF(N($AC1020)&gt;0,"支給済","不支給"),IF($AC1020="","要確認",IF($AC1020=0,"不支給","未処理")))))</f>
        <v/>
      </c>
      <c r="AE1020" s="12" t="n"/>
      <c r="AF1020" s="11" t="n"/>
      <c r="AG1020" s="11" t="n"/>
      <c r="AH1020" s="11" t="n"/>
      <c r="AI1020" s="14">
        <f>IF(AND($AD1020="保留中",$AF1020&lt;&gt;""),TODAY()-$AF1020,"")</f>
        <v/>
      </c>
      <c r="AJ1020" s="12" t="n"/>
      <c r="AK1020" s="14">
        <f>IF($B1020="","",IF($AO1020="","対象年月が未入力／","")&amp;IF($B1020="","",IF($AN1020="","職員マスタに未登録の職員番号／",IF($Y1020="","標準報酬月額が未登録／","")&amp;IF(AND($AO1020&lt;&gt;"",OR(AND(INDEX(職員マスタ!$G$6:$G$405,$AN1020)&lt;&gt;"",INDEX(職員マスタ!$G$6:$G$405,$AN1020)&gt;EOMONTH($AO1020,0)),AND(INDEX(職員マスタ!$H$6:$H$405,$AN1020)&lt;&gt;"",INDEX(職員マスタ!$H$6:$H$405,$AN1020)&lt;$AO1020))),"対象月が時短期間外／","")&amp;IF(AND(INDEX(職員マスタ!$F$6:$F$405,$AN1020)&lt;&gt;"",$AO1020&lt;&gt;"",INDEX(職員マスタ!$F$6:$F$405,$AN1020)&lt;$AO1020),"対象月に子が2歳到達済／","")&amp;IF(AND($H1020&lt;&gt;"",INDEX(職員マスタ!$B$6:$B$405,$AN1020)&lt;&gt;"",SUBSTITUTE(SUBSTITUTE($H1020," ","")," ","")&lt;&gt;SUBSTITUTE(SUBSTITUTE(INDEX(職員マスタ!$B$6:$B$405,$AN1020)," ","")," ","")),"氏名がマスタと相違／","")&amp;IF(AND($Q1020&lt;&gt;"",INDEX(職員マスタ!$E$6:$E$405,$AN1020)&lt;&gt;"",$Q1020&lt;&gt;INDEX(職員マスタ!$E$6:$E$405,$AN1020)),"子の生年月日がマスタと相違／","")&amp;IF(AND($L1020&lt;&gt;"",INDEX(職員マスタ!$G$6:$G$405,$AN1020)&lt;&gt;"",$L1020&lt;&gt;INDEX(職員マスタ!$G$6:$G$405,$AN1020)),"時短開始日がマスタと相違／","")&amp;IF(AND($M1020&lt;&gt;"",INDEX(職員マスタ!$H$6:$H$405,$AN1020)&lt;&gt;"",$M1020&lt;&gt;INDEX(職員マスタ!$H$6:$H$405,$AN1020)),"時短終了日がマスタと相違／","")))&amp;IF(AND($B1020&lt;&gt;"",$E1020=""),"報酬額が未入力／","")&amp;IF(N($U1020)&gt;0,"申請書に入力エラーが残っています／","")&amp;IF(AND($B1020&lt;&gt;"",$AO1020&lt;&gt;""),IF(COUNTIFS($B$6:$B$3005,$B1020,$C$6:$C$3005,$C1020,$D$6:$D$3005,$D1020)&gt;1,"同じ月の請求が重複しています／",""),"")&amp;IF(AND(N($E1020)&gt;0,$Z1020&lt;&gt;"",$Z1020&lt;&gt;"×",$AC1020=0,$AB1020=""),"計算額が下限以下のため不支給／",""))</f>
        <v/>
      </c>
      <c r="AL1020" s="12" t="n"/>
      <c r="AM1020" s="14">
        <f>IF($AD1020="保留中",COUNTIF($AD$6:$AD1020,"保留中"),"")</f>
        <v/>
      </c>
      <c r="AN1020" s="14">
        <f>IF($AO1020="","",IF(SUMPRODUCT(MAX((職員マスタ!$A$6:$A$405=$B1020)*(((職員マスタ!$G$6:$G$405="")+(職員マスタ!$G$6:$G$405&lt;=EOMONTH($AO1020,0)))&gt;0)*(((職員マスタ!$H$6:$H$405="")+(職員マスタ!$H$6:$H$405&gt;=$AO1020))&gt;0)*(ROW(職員マスタ!$A$6:$A$405)-5)))&gt;0,SUMPRODUCT(MAX((職員マスタ!$A$6:$A$405=$B1020)*(((職員マスタ!$G$6:$G$405="")+(職員マスタ!$G$6:$G$405&lt;=EOMONTH($AO1020,0)))&gt;0)*(((職員マスタ!$H$6:$H$405="")+(職員マスタ!$H$6:$H$405&gt;=$AO1020))&gt;0)*(ROW(職員マスタ!$A$6:$A$405)-5))),IFERROR(MATCH($B1020,職員マスタ!$A$6:$A$405,0),"")))</f>
        <v/>
      </c>
      <c r="AO1020" s="16">
        <f>IF(OR($B1020="",$C1020="",$D1020=""),"",DATE($C1020+2018,$D1020,1))</f>
        <v/>
      </c>
    </row>
    <row r="1021">
      <c r="A1021" s="11" t="n"/>
      <c r="B1021" s="12" t="n"/>
      <c r="C1021" s="12" t="n"/>
      <c r="D1021" s="12" t="n"/>
      <c r="E1021" s="13" t="n"/>
      <c r="F1021" s="12" t="n"/>
      <c r="G1021" s="13" t="n"/>
      <c r="H1021" s="12" t="n"/>
      <c r="I1021" s="12" t="n"/>
      <c r="J1021" s="12" t="n"/>
      <c r="K1021" s="12" t="n"/>
      <c r="L1021" s="11" t="n"/>
      <c r="M1021" s="11" t="n"/>
      <c r="N1021" s="11" t="n"/>
      <c r="O1021" s="11" t="n"/>
      <c r="P1021" s="12" t="n"/>
      <c r="Q1021" s="11" t="n"/>
      <c r="R1021" s="12" t="n"/>
      <c r="S1021" s="11" t="n"/>
      <c r="T1021" s="12" t="n"/>
      <c r="U1021" s="12" t="n"/>
      <c r="V1021" s="14">
        <f>IF($AN1021="",IF($B1021="","",$H1021),IF(INDEX(職員マスタ!$B$6:$B$405,$AN1021)="",$H1021,INDEX(職員マスタ!$B$6:$B$405,$AN1021)))</f>
        <v/>
      </c>
      <c r="W1021" s="14">
        <f>IF($AN1021="",IF($B1021="","",$R1021),IF(INDEX(職員マスタ!$C$6:$C$405,$AN1021)="",$R1021,INDEX(職員マスタ!$C$6:$C$405,$AN1021)))</f>
        <v/>
      </c>
      <c r="X1021" s="14">
        <f>IF($AO1021="","","R"&amp;$C1021&amp;"."&amp;$D1021)</f>
        <v/>
      </c>
      <c r="Y1021" s="15">
        <f>IF($AN1021="","",IF(INDEX(職員マスタ!$K$6:$K$405,$AN1021)="","",INDEX(職員マスタ!$K$6:$K$405,$AN1021)))</f>
        <v/>
      </c>
      <c r="Z1021" s="14">
        <f>IF(OR($E1021="",$Y1021=""),"",IF($E1021&gt;=$Y1021,"×",IF($E1021&gt;=$Y1021*設定!$C$5,"△","○")))</f>
        <v/>
      </c>
      <c r="AA1021" s="15">
        <f>IF($Z1021="","",IF($Z1021="×",0,IF($Z1021="○",ROUNDDOWN($E1021*設定!$C$4,0),ROUNDDOWN($E1021*ROUND((9*$Y1021-9*$E1021)/(10*$E1021),4),0))))</f>
        <v/>
      </c>
      <c r="AB1021" s="13" t="n"/>
      <c r="AC1021" s="15">
        <f>IF($B1021="","",IF($AB1021&lt;&gt;"",$AB1021,IF($AA1021="","",IF($AA1021&lt;=設定!$C$3,0,$AA1021))))</f>
        <v/>
      </c>
      <c r="AD1021" s="14">
        <f>IF($B1021="","",IF(AND($AE1021&lt;&gt;"",$AG1021="",$AJ1021=""),"保留中",IF($AJ1021&lt;&gt;"",IF(N($AC1021)&gt;0,"支給済","不支給"),IF($AC1021="","要確認",IF($AC1021=0,"不支給","未処理")))))</f>
        <v/>
      </c>
      <c r="AE1021" s="12" t="n"/>
      <c r="AF1021" s="11" t="n"/>
      <c r="AG1021" s="11" t="n"/>
      <c r="AH1021" s="11" t="n"/>
      <c r="AI1021" s="14">
        <f>IF(AND($AD1021="保留中",$AF1021&lt;&gt;""),TODAY()-$AF1021,"")</f>
        <v/>
      </c>
      <c r="AJ1021" s="12" t="n"/>
      <c r="AK1021" s="14">
        <f>IF($B1021="","",IF($AO1021="","対象年月が未入力／","")&amp;IF($B1021="","",IF($AN1021="","職員マスタに未登録の職員番号／",IF($Y1021="","標準報酬月額が未登録／","")&amp;IF(AND($AO1021&lt;&gt;"",OR(AND(INDEX(職員マスタ!$G$6:$G$405,$AN1021)&lt;&gt;"",INDEX(職員マスタ!$G$6:$G$405,$AN1021)&gt;EOMONTH($AO1021,0)),AND(INDEX(職員マスタ!$H$6:$H$405,$AN1021)&lt;&gt;"",INDEX(職員マスタ!$H$6:$H$405,$AN1021)&lt;$AO1021))),"対象月が時短期間外／","")&amp;IF(AND(INDEX(職員マスタ!$F$6:$F$405,$AN1021)&lt;&gt;"",$AO1021&lt;&gt;"",INDEX(職員マスタ!$F$6:$F$405,$AN1021)&lt;$AO1021),"対象月に子が2歳到達済／","")&amp;IF(AND($H1021&lt;&gt;"",INDEX(職員マスタ!$B$6:$B$405,$AN1021)&lt;&gt;"",SUBSTITUTE(SUBSTITUTE($H1021," ","")," ","")&lt;&gt;SUBSTITUTE(SUBSTITUTE(INDEX(職員マスタ!$B$6:$B$405,$AN1021)," ","")," ","")),"氏名がマスタと相違／","")&amp;IF(AND($Q1021&lt;&gt;"",INDEX(職員マスタ!$E$6:$E$405,$AN1021)&lt;&gt;"",$Q1021&lt;&gt;INDEX(職員マスタ!$E$6:$E$405,$AN1021)),"子の生年月日がマスタと相違／","")&amp;IF(AND($L1021&lt;&gt;"",INDEX(職員マスタ!$G$6:$G$405,$AN1021)&lt;&gt;"",$L1021&lt;&gt;INDEX(職員マスタ!$G$6:$G$405,$AN1021)),"時短開始日がマスタと相違／","")&amp;IF(AND($M1021&lt;&gt;"",INDEX(職員マスタ!$H$6:$H$405,$AN1021)&lt;&gt;"",$M1021&lt;&gt;INDEX(職員マスタ!$H$6:$H$405,$AN1021)),"時短終了日がマスタと相違／","")))&amp;IF(AND($B1021&lt;&gt;"",$E1021=""),"報酬額が未入力／","")&amp;IF(N($U1021)&gt;0,"申請書に入力エラーが残っています／","")&amp;IF(AND($B1021&lt;&gt;"",$AO1021&lt;&gt;""),IF(COUNTIFS($B$6:$B$3005,$B1021,$C$6:$C$3005,$C1021,$D$6:$D$3005,$D1021)&gt;1,"同じ月の請求が重複しています／",""),"")&amp;IF(AND(N($E1021)&gt;0,$Z1021&lt;&gt;"",$Z1021&lt;&gt;"×",$AC1021=0,$AB1021=""),"計算額が下限以下のため不支給／",""))</f>
        <v/>
      </c>
      <c r="AL1021" s="12" t="n"/>
      <c r="AM1021" s="14">
        <f>IF($AD1021="保留中",COUNTIF($AD$6:$AD1021,"保留中"),"")</f>
        <v/>
      </c>
      <c r="AN1021" s="14">
        <f>IF($AO1021="","",IF(SUMPRODUCT(MAX((職員マスタ!$A$6:$A$405=$B1021)*(((職員マスタ!$G$6:$G$405="")+(職員マスタ!$G$6:$G$405&lt;=EOMONTH($AO1021,0)))&gt;0)*(((職員マスタ!$H$6:$H$405="")+(職員マスタ!$H$6:$H$405&gt;=$AO1021))&gt;0)*(ROW(職員マスタ!$A$6:$A$405)-5)))&gt;0,SUMPRODUCT(MAX((職員マスタ!$A$6:$A$405=$B1021)*(((職員マスタ!$G$6:$G$405="")+(職員マスタ!$G$6:$G$405&lt;=EOMONTH($AO1021,0)))&gt;0)*(((職員マスタ!$H$6:$H$405="")+(職員マスタ!$H$6:$H$405&gt;=$AO1021))&gt;0)*(ROW(職員マスタ!$A$6:$A$405)-5))),IFERROR(MATCH($B1021,職員マスタ!$A$6:$A$405,0),"")))</f>
        <v/>
      </c>
      <c r="AO1021" s="16">
        <f>IF(OR($B1021="",$C1021="",$D1021=""),"",DATE($C1021+2018,$D1021,1))</f>
        <v/>
      </c>
    </row>
    <row r="1022">
      <c r="A1022" s="11" t="n"/>
      <c r="B1022" s="12" t="n"/>
      <c r="C1022" s="12" t="n"/>
      <c r="D1022" s="12" t="n"/>
      <c r="E1022" s="13" t="n"/>
      <c r="F1022" s="12" t="n"/>
      <c r="G1022" s="13" t="n"/>
      <c r="H1022" s="12" t="n"/>
      <c r="I1022" s="12" t="n"/>
      <c r="J1022" s="12" t="n"/>
      <c r="K1022" s="12" t="n"/>
      <c r="L1022" s="11" t="n"/>
      <c r="M1022" s="11" t="n"/>
      <c r="N1022" s="11" t="n"/>
      <c r="O1022" s="11" t="n"/>
      <c r="P1022" s="12" t="n"/>
      <c r="Q1022" s="11" t="n"/>
      <c r="R1022" s="12" t="n"/>
      <c r="S1022" s="11" t="n"/>
      <c r="T1022" s="12" t="n"/>
      <c r="U1022" s="12" t="n"/>
      <c r="V1022" s="14">
        <f>IF($AN1022="",IF($B1022="","",$H1022),IF(INDEX(職員マスタ!$B$6:$B$405,$AN1022)="",$H1022,INDEX(職員マスタ!$B$6:$B$405,$AN1022)))</f>
        <v/>
      </c>
      <c r="W1022" s="14">
        <f>IF($AN1022="",IF($B1022="","",$R1022),IF(INDEX(職員マスタ!$C$6:$C$405,$AN1022)="",$R1022,INDEX(職員マスタ!$C$6:$C$405,$AN1022)))</f>
        <v/>
      </c>
      <c r="X1022" s="14">
        <f>IF($AO1022="","","R"&amp;$C1022&amp;"."&amp;$D1022)</f>
        <v/>
      </c>
      <c r="Y1022" s="15">
        <f>IF($AN1022="","",IF(INDEX(職員マスタ!$K$6:$K$405,$AN1022)="","",INDEX(職員マスタ!$K$6:$K$405,$AN1022)))</f>
        <v/>
      </c>
      <c r="Z1022" s="14">
        <f>IF(OR($E1022="",$Y1022=""),"",IF($E1022&gt;=$Y1022,"×",IF($E1022&gt;=$Y1022*設定!$C$5,"△","○")))</f>
        <v/>
      </c>
      <c r="AA1022" s="15">
        <f>IF($Z1022="","",IF($Z1022="×",0,IF($Z1022="○",ROUNDDOWN($E1022*設定!$C$4,0),ROUNDDOWN($E1022*ROUND((9*$Y1022-9*$E1022)/(10*$E1022),4),0))))</f>
        <v/>
      </c>
      <c r="AB1022" s="13" t="n"/>
      <c r="AC1022" s="15">
        <f>IF($B1022="","",IF($AB1022&lt;&gt;"",$AB1022,IF($AA1022="","",IF($AA1022&lt;=設定!$C$3,0,$AA1022))))</f>
        <v/>
      </c>
      <c r="AD1022" s="14">
        <f>IF($B1022="","",IF(AND($AE1022&lt;&gt;"",$AG1022="",$AJ1022=""),"保留中",IF($AJ1022&lt;&gt;"",IF(N($AC1022)&gt;0,"支給済","不支給"),IF($AC1022="","要確認",IF($AC1022=0,"不支給","未処理")))))</f>
        <v/>
      </c>
      <c r="AE1022" s="12" t="n"/>
      <c r="AF1022" s="11" t="n"/>
      <c r="AG1022" s="11" t="n"/>
      <c r="AH1022" s="11" t="n"/>
      <c r="AI1022" s="14">
        <f>IF(AND($AD1022="保留中",$AF1022&lt;&gt;""),TODAY()-$AF1022,"")</f>
        <v/>
      </c>
      <c r="AJ1022" s="12" t="n"/>
      <c r="AK1022" s="14">
        <f>IF($B1022="","",IF($AO1022="","対象年月が未入力／","")&amp;IF($B1022="","",IF($AN1022="","職員マスタに未登録の職員番号／",IF($Y1022="","標準報酬月額が未登録／","")&amp;IF(AND($AO1022&lt;&gt;"",OR(AND(INDEX(職員マスタ!$G$6:$G$405,$AN1022)&lt;&gt;"",INDEX(職員マスタ!$G$6:$G$405,$AN1022)&gt;EOMONTH($AO1022,0)),AND(INDEX(職員マスタ!$H$6:$H$405,$AN1022)&lt;&gt;"",INDEX(職員マスタ!$H$6:$H$405,$AN1022)&lt;$AO1022))),"対象月が時短期間外／","")&amp;IF(AND(INDEX(職員マスタ!$F$6:$F$405,$AN1022)&lt;&gt;"",$AO1022&lt;&gt;"",INDEX(職員マスタ!$F$6:$F$405,$AN1022)&lt;$AO1022),"対象月に子が2歳到達済／","")&amp;IF(AND($H1022&lt;&gt;"",INDEX(職員マスタ!$B$6:$B$405,$AN1022)&lt;&gt;"",SUBSTITUTE(SUBSTITUTE($H1022," ","")," ","")&lt;&gt;SUBSTITUTE(SUBSTITUTE(INDEX(職員マスタ!$B$6:$B$405,$AN1022)," ","")," ","")),"氏名がマスタと相違／","")&amp;IF(AND($Q1022&lt;&gt;"",INDEX(職員マスタ!$E$6:$E$405,$AN1022)&lt;&gt;"",$Q1022&lt;&gt;INDEX(職員マスタ!$E$6:$E$405,$AN1022)),"子の生年月日がマスタと相違／","")&amp;IF(AND($L1022&lt;&gt;"",INDEX(職員マスタ!$G$6:$G$405,$AN1022)&lt;&gt;"",$L1022&lt;&gt;INDEX(職員マスタ!$G$6:$G$405,$AN1022)),"時短開始日がマスタと相違／","")&amp;IF(AND($M1022&lt;&gt;"",INDEX(職員マスタ!$H$6:$H$405,$AN1022)&lt;&gt;"",$M1022&lt;&gt;INDEX(職員マスタ!$H$6:$H$405,$AN1022)),"時短終了日がマスタと相違／","")))&amp;IF(AND($B1022&lt;&gt;"",$E1022=""),"報酬額が未入力／","")&amp;IF(N($U1022)&gt;0,"申請書に入力エラーが残っています／","")&amp;IF(AND($B1022&lt;&gt;"",$AO1022&lt;&gt;""),IF(COUNTIFS($B$6:$B$3005,$B1022,$C$6:$C$3005,$C1022,$D$6:$D$3005,$D1022)&gt;1,"同じ月の請求が重複しています／",""),"")&amp;IF(AND(N($E1022)&gt;0,$Z1022&lt;&gt;"",$Z1022&lt;&gt;"×",$AC1022=0,$AB1022=""),"計算額が下限以下のため不支給／",""))</f>
        <v/>
      </c>
      <c r="AL1022" s="12" t="n"/>
      <c r="AM1022" s="14">
        <f>IF($AD1022="保留中",COUNTIF($AD$6:$AD1022,"保留中"),"")</f>
        <v/>
      </c>
      <c r="AN1022" s="14">
        <f>IF($AO1022="","",IF(SUMPRODUCT(MAX((職員マスタ!$A$6:$A$405=$B1022)*(((職員マスタ!$G$6:$G$405="")+(職員マスタ!$G$6:$G$405&lt;=EOMONTH($AO1022,0)))&gt;0)*(((職員マスタ!$H$6:$H$405="")+(職員マスタ!$H$6:$H$405&gt;=$AO1022))&gt;0)*(ROW(職員マスタ!$A$6:$A$405)-5)))&gt;0,SUMPRODUCT(MAX((職員マスタ!$A$6:$A$405=$B1022)*(((職員マスタ!$G$6:$G$405="")+(職員マスタ!$G$6:$G$405&lt;=EOMONTH($AO1022,0)))&gt;0)*(((職員マスタ!$H$6:$H$405="")+(職員マスタ!$H$6:$H$405&gt;=$AO1022))&gt;0)*(ROW(職員マスタ!$A$6:$A$405)-5))),IFERROR(MATCH($B1022,職員マスタ!$A$6:$A$405,0),"")))</f>
        <v/>
      </c>
      <c r="AO1022" s="16">
        <f>IF(OR($B1022="",$C1022="",$D1022=""),"",DATE($C1022+2018,$D1022,1))</f>
        <v/>
      </c>
    </row>
    <row r="1023">
      <c r="A1023" s="11" t="n"/>
      <c r="B1023" s="12" t="n"/>
      <c r="C1023" s="12" t="n"/>
      <c r="D1023" s="12" t="n"/>
      <c r="E1023" s="13" t="n"/>
      <c r="F1023" s="12" t="n"/>
      <c r="G1023" s="13" t="n"/>
      <c r="H1023" s="12" t="n"/>
      <c r="I1023" s="12" t="n"/>
      <c r="J1023" s="12" t="n"/>
      <c r="K1023" s="12" t="n"/>
      <c r="L1023" s="11" t="n"/>
      <c r="M1023" s="11" t="n"/>
      <c r="N1023" s="11" t="n"/>
      <c r="O1023" s="11" t="n"/>
      <c r="P1023" s="12" t="n"/>
      <c r="Q1023" s="11" t="n"/>
      <c r="R1023" s="12" t="n"/>
      <c r="S1023" s="11" t="n"/>
      <c r="T1023" s="12" t="n"/>
      <c r="U1023" s="12" t="n"/>
      <c r="V1023" s="14">
        <f>IF($AN1023="",IF($B1023="","",$H1023),IF(INDEX(職員マスタ!$B$6:$B$405,$AN1023)="",$H1023,INDEX(職員マスタ!$B$6:$B$405,$AN1023)))</f>
        <v/>
      </c>
      <c r="W1023" s="14">
        <f>IF($AN1023="",IF($B1023="","",$R1023),IF(INDEX(職員マスタ!$C$6:$C$405,$AN1023)="",$R1023,INDEX(職員マスタ!$C$6:$C$405,$AN1023)))</f>
        <v/>
      </c>
      <c r="X1023" s="14">
        <f>IF($AO1023="","","R"&amp;$C1023&amp;"."&amp;$D1023)</f>
        <v/>
      </c>
      <c r="Y1023" s="15">
        <f>IF($AN1023="","",IF(INDEX(職員マスタ!$K$6:$K$405,$AN1023)="","",INDEX(職員マスタ!$K$6:$K$405,$AN1023)))</f>
        <v/>
      </c>
      <c r="Z1023" s="14">
        <f>IF(OR($E1023="",$Y1023=""),"",IF($E1023&gt;=$Y1023,"×",IF($E1023&gt;=$Y1023*設定!$C$5,"△","○")))</f>
        <v/>
      </c>
      <c r="AA1023" s="15">
        <f>IF($Z1023="","",IF($Z1023="×",0,IF($Z1023="○",ROUNDDOWN($E1023*設定!$C$4,0),ROUNDDOWN($E1023*ROUND((9*$Y1023-9*$E1023)/(10*$E1023),4),0))))</f>
        <v/>
      </c>
      <c r="AB1023" s="13" t="n"/>
      <c r="AC1023" s="15">
        <f>IF($B1023="","",IF($AB1023&lt;&gt;"",$AB1023,IF($AA1023="","",IF($AA1023&lt;=設定!$C$3,0,$AA1023))))</f>
        <v/>
      </c>
      <c r="AD1023" s="14">
        <f>IF($B1023="","",IF(AND($AE1023&lt;&gt;"",$AG1023="",$AJ1023=""),"保留中",IF($AJ1023&lt;&gt;"",IF(N($AC1023)&gt;0,"支給済","不支給"),IF($AC1023="","要確認",IF($AC1023=0,"不支給","未処理")))))</f>
        <v/>
      </c>
      <c r="AE1023" s="12" t="n"/>
      <c r="AF1023" s="11" t="n"/>
      <c r="AG1023" s="11" t="n"/>
      <c r="AH1023" s="11" t="n"/>
      <c r="AI1023" s="14">
        <f>IF(AND($AD1023="保留中",$AF1023&lt;&gt;""),TODAY()-$AF1023,"")</f>
        <v/>
      </c>
      <c r="AJ1023" s="12" t="n"/>
      <c r="AK1023" s="14">
        <f>IF($B1023="","",IF($AO1023="","対象年月が未入力／","")&amp;IF($B1023="","",IF($AN1023="","職員マスタに未登録の職員番号／",IF($Y1023="","標準報酬月額が未登録／","")&amp;IF(AND($AO1023&lt;&gt;"",OR(AND(INDEX(職員マスタ!$G$6:$G$405,$AN1023)&lt;&gt;"",INDEX(職員マスタ!$G$6:$G$405,$AN1023)&gt;EOMONTH($AO1023,0)),AND(INDEX(職員マスタ!$H$6:$H$405,$AN1023)&lt;&gt;"",INDEX(職員マスタ!$H$6:$H$405,$AN1023)&lt;$AO1023))),"対象月が時短期間外／","")&amp;IF(AND(INDEX(職員マスタ!$F$6:$F$405,$AN1023)&lt;&gt;"",$AO1023&lt;&gt;"",INDEX(職員マスタ!$F$6:$F$405,$AN1023)&lt;$AO1023),"対象月に子が2歳到達済／","")&amp;IF(AND($H1023&lt;&gt;"",INDEX(職員マスタ!$B$6:$B$405,$AN1023)&lt;&gt;"",SUBSTITUTE(SUBSTITUTE($H1023," ","")," ","")&lt;&gt;SUBSTITUTE(SUBSTITUTE(INDEX(職員マスタ!$B$6:$B$405,$AN1023)," ","")," ","")),"氏名がマスタと相違／","")&amp;IF(AND($Q1023&lt;&gt;"",INDEX(職員マスタ!$E$6:$E$405,$AN1023)&lt;&gt;"",$Q1023&lt;&gt;INDEX(職員マスタ!$E$6:$E$405,$AN1023)),"子の生年月日がマスタと相違／","")&amp;IF(AND($L1023&lt;&gt;"",INDEX(職員マスタ!$G$6:$G$405,$AN1023)&lt;&gt;"",$L1023&lt;&gt;INDEX(職員マスタ!$G$6:$G$405,$AN1023)),"時短開始日がマスタと相違／","")&amp;IF(AND($M1023&lt;&gt;"",INDEX(職員マスタ!$H$6:$H$405,$AN1023)&lt;&gt;"",$M1023&lt;&gt;INDEX(職員マスタ!$H$6:$H$405,$AN1023)),"時短終了日がマスタと相違／","")))&amp;IF(AND($B1023&lt;&gt;"",$E1023=""),"報酬額が未入力／","")&amp;IF(N($U1023)&gt;0,"申請書に入力エラーが残っています／","")&amp;IF(AND($B1023&lt;&gt;"",$AO1023&lt;&gt;""),IF(COUNTIFS($B$6:$B$3005,$B1023,$C$6:$C$3005,$C1023,$D$6:$D$3005,$D1023)&gt;1,"同じ月の請求が重複しています／",""),"")&amp;IF(AND(N($E1023)&gt;0,$Z1023&lt;&gt;"",$Z1023&lt;&gt;"×",$AC1023=0,$AB1023=""),"計算額が下限以下のため不支給／",""))</f>
        <v/>
      </c>
      <c r="AL1023" s="12" t="n"/>
      <c r="AM1023" s="14">
        <f>IF($AD1023="保留中",COUNTIF($AD$6:$AD1023,"保留中"),"")</f>
        <v/>
      </c>
      <c r="AN1023" s="14">
        <f>IF($AO1023="","",IF(SUMPRODUCT(MAX((職員マスタ!$A$6:$A$405=$B1023)*(((職員マスタ!$G$6:$G$405="")+(職員マスタ!$G$6:$G$405&lt;=EOMONTH($AO1023,0)))&gt;0)*(((職員マスタ!$H$6:$H$405="")+(職員マスタ!$H$6:$H$405&gt;=$AO1023))&gt;0)*(ROW(職員マスタ!$A$6:$A$405)-5)))&gt;0,SUMPRODUCT(MAX((職員マスタ!$A$6:$A$405=$B1023)*(((職員マスタ!$G$6:$G$405="")+(職員マスタ!$G$6:$G$405&lt;=EOMONTH($AO1023,0)))&gt;0)*(((職員マスタ!$H$6:$H$405="")+(職員マスタ!$H$6:$H$405&gt;=$AO1023))&gt;0)*(ROW(職員マスタ!$A$6:$A$405)-5))),IFERROR(MATCH($B1023,職員マスタ!$A$6:$A$405,0),"")))</f>
        <v/>
      </c>
      <c r="AO1023" s="16">
        <f>IF(OR($B1023="",$C1023="",$D1023=""),"",DATE($C1023+2018,$D1023,1))</f>
        <v/>
      </c>
    </row>
    <row r="1024">
      <c r="A1024" s="11" t="n"/>
      <c r="B1024" s="12" t="n"/>
      <c r="C1024" s="12" t="n"/>
      <c r="D1024" s="12" t="n"/>
      <c r="E1024" s="13" t="n"/>
      <c r="F1024" s="12" t="n"/>
      <c r="G1024" s="13" t="n"/>
      <c r="H1024" s="12" t="n"/>
      <c r="I1024" s="12" t="n"/>
      <c r="J1024" s="12" t="n"/>
      <c r="K1024" s="12" t="n"/>
      <c r="L1024" s="11" t="n"/>
      <c r="M1024" s="11" t="n"/>
      <c r="N1024" s="11" t="n"/>
      <c r="O1024" s="11" t="n"/>
      <c r="P1024" s="12" t="n"/>
      <c r="Q1024" s="11" t="n"/>
      <c r="R1024" s="12" t="n"/>
      <c r="S1024" s="11" t="n"/>
      <c r="T1024" s="12" t="n"/>
      <c r="U1024" s="12" t="n"/>
      <c r="V1024" s="14">
        <f>IF($AN1024="",IF($B1024="","",$H1024),IF(INDEX(職員マスタ!$B$6:$B$405,$AN1024)="",$H1024,INDEX(職員マスタ!$B$6:$B$405,$AN1024)))</f>
        <v/>
      </c>
      <c r="W1024" s="14">
        <f>IF($AN1024="",IF($B1024="","",$R1024),IF(INDEX(職員マスタ!$C$6:$C$405,$AN1024)="",$R1024,INDEX(職員マスタ!$C$6:$C$405,$AN1024)))</f>
        <v/>
      </c>
      <c r="X1024" s="14">
        <f>IF($AO1024="","","R"&amp;$C1024&amp;"."&amp;$D1024)</f>
        <v/>
      </c>
      <c r="Y1024" s="15">
        <f>IF($AN1024="","",IF(INDEX(職員マスタ!$K$6:$K$405,$AN1024)="","",INDEX(職員マスタ!$K$6:$K$405,$AN1024)))</f>
        <v/>
      </c>
      <c r="Z1024" s="14">
        <f>IF(OR($E1024="",$Y1024=""),"",IF($E1024&gt;=$Y1024,"×",IF($E1024&gt;=$Y1024*設定!$C$5,"△","○")))</f>
        <v/>
      </c>
      <c r="AA1024" s="15">
        <f>IF($Z1024="","",IF($Z1024="×",0,IF($Z1024="○",ROUNDDOWN($E1024*設定!$C$4,0),ROUNDDOWN($E1024*ROUND((9*$Y1024-9*$E1024)/(10*$E1024),4),0))))</f>
        <v/>
      </c>
      <c r="AB1024" s="13" t="n"/>
      <c r="AC1024" s="15">
        <f>IF($B1024="","",IF($AB1024&lt;&gt;"",$AB1024,IF($AA1024="","",IF($AA1024&lt;=設定!$C$3,0,$AA1024))))</f>
        <v/>
      </c>
      <c r="AD1024" s="14">
        <f>IF($B1024="","",IF(AND($AE1024&lt;&gt;"",$AG1024="",$AJ1024=""),"保留中",IF($AJ1024&lt;&gt;"",IF(N($AC1024)&gt;0,"支給済","不支給"),IF($AC1024="","要確認",IF($AC1024=0,"不支給","未処理")))))</f>
        <v/>
      </c>
      <c r="AE1024" s="12" t="n"/>
      <c r="AF1024" s="11" t="n"/>
      <c r="AG1024" s="11" t="n"/>
      <c r="AH1024" s="11" t="n"/>
      <c r="AI1024" s="14">
        <f>IF(AND($AD1024="保留中",$AF1024&lt;&gt;""),TODAY()-$AF1024,"")</f>
        <v/>
      </c>
      <c r="AJ1024" s="12" t="n"/>
      <c r="AK1024" s="14">
        <f>IF($B1024="","",IF($AO1024="","対象年月が未入力／","")&amp;IF($B1024="","",IF($AN1024="","職員マスタに未登録の職員番号／",IF($Y1024="","標準報酬月額が未登録／","")&amp;IF(AND($AO1024&lt;&gt;"",OR(AND(INDEX(職員マスタ!$G$6:$G$405,$AN1024)&lt;&gt;"",INDEX(職員マスタ!$G$6:$G$405,$AN1024)&gt;EOMONTH($AO1024,0)),AND(INDEX(職員マスタ!$H$6:$H$405,$AN1024)&lt;&gt;"",INDEX(職員マスタ!$H$6:$H$405,$AN1024)&lt;$AO1024))),"対象月が時短期間外／","")&amp;IF(AND(INDEX(職員マスタ!$F$6:$F$405,$AN1024)&lt;&gt;"",$AO1024&lt;&gt;"",INDEX(職員マスタ!$F$6:$F$405,$AN1024)&lt;$AO1024),"対象月に子が2歳到達済／","")&amp;IF(AND($H1024&lt;&gt;"",INDEX(職員マスタ!$B$6:$B$405,$AN1024)&lt;&gt;"",SUBSTITUTE(SUBSTITUTE($H1024," ","")," ","")&lt;&gt;SUBSTITUTE(SUBSTITUTE(INDEX(職員マスタ!$B$6:$B$405,$AN1024)," ","")," ","")),"氏名がマスタと相違／","")&amp;IF(AND($Q1024&lt;&gt;"",INDEX(職員マスタ!$E$6:$E$405,$AN1024)&lt;&gt;"",$Q1024&lt;&gt;INDEX(職員マスタ!$E$6:$E$405,$AN1024)),"子の生年月日がマスタと相違／","")&amp;IF(AND($L1024&lt;&gt;"",INDEX(職員マスタ!$G$6:$G$405,$AN1024)&lt;&gt;"",$L1024&lt;&gt;INDEX(職員マスタ!$G$6:$G$405,$AN1024)),"時短開始日がマスタと相違／","")&amp;IF(AND($M1024&lt;&gt;"",INDEX(職員マスタ!$H$6:$H$405,$AN1024)&lt;&gt;"",$M1024&lt;&gt;INDEX(職員マスタ!$H$6:$H$405,$AN1024)),"時短終了日がマスタと相違／","")))&amp;IF(AND($B1024&lt;&gt;"",$E1024=""),"報酬額が未入力／","")&amp;IF(N($U1024)&gt;0,"申請書に入力エラーが残っています／","")&amp;IF(AND($B1024&lt;&gt;"",$AO1024&lt;&gt;""),IF(COUNTIFS($B$6:$B$3005,$B1024,$C$6:$C$3005,$C1024,$D$6:$D$3005,$D1024)&gt;1,"同じ月の請求が重複しています／",""),"")&amp;IF(AND(N($E1024)&gt;0,$Z1024&lt;&gt;"",$Z1024&lt;&gt;"×",$AC1024=0,$AB1024=""),"計算額が下限以下のため不支給／",""))</f>
        <v/>
      </c>
      <c r="AL1024" s="12" t="n"/>
      <c r="AM1024" s="14">
        <f>IF($AD1024="保留中",COUNTIF($AD$6:$AD1024,"保留中"),"")</f>
        <v/>
      </c>
      <c r="AN1024" s="14">
        <f>IF($AO1024="","",IF(SUMPRODUCT(MAX((職員マスタ!$A$6:$A$405=$B1024)*(((職員マスタ!$G$6:$G$405="")+(職員マスタ!$G$6:$G$405&lt;=EOMONTH($AO1024,0)))&gt;0)*(((職員マスタ!$H$6:$H$405="")+(職員マスタ!$H$6:$H$405&gt;=$AO1024))&gt;0)*(ROW(職員マスタ!$A$6:$A$405)-5)))&gt;0,SUMPRODUCT(MAX((職員マスタ!$A$6:$A$405=$B1024)*(((職員マスタ!$G$6:$G$405="")+(職員マスタ!$G$6:$G$405&lt;=EOMONTH($AO1024,0)))&gt;0)*(((職員マスタ!$H$6:$H$405="")+(職員マスタ!$H$6:$H$405&gt;=$AO1024))&gt;0)*(ROW(職員マスタ!$A$6:$A$405)-5))),IFERROR(MATCH($B1024,職員マスタ!$A$6:$A$405,0),"")))</f>
        <v/>
      </c>
      <c r="AO1024" s="16">
        <f>IF(OR($B1024="",$C1024="",$D1024=""),"",DATE($C1024+2018,$D1024,1))</f>
        <v/>
      </c>
    </row>
    <row r="1025">
      <c r="A1025" s="11" t="n"/>
      <c r="B1025" s="12" t="n"/>
      <c r="C1025" s="12" t="n"/>
      <c r="D1025" s="12" t="n"/>
      <c r="E1025" s="13" t="n"/>
      <c r="F1025" s="12" t="n"/>
      <c r="G1025" s="13" t="n"/>
      <c r="H1025" s="12" t="n"/>
      <c r="I1025" s="12" t="n"/>
      <c r="J1025" s="12" t="n"/>
      <c r="K1025" s="12" t="n"/>
      <c r="L1025" s="11" t="n"/>
      <c r="M1025" s="11" t="n"/>
      <c r="N1025" s="11" t="n"/>
      <c r="O1025" s="11" t="n"/>
      <c r="P1025" s="12" t="n"/>
      <c r="Q1025" s="11" t="n"/>
      <c r="R1025" s="12" t="n"/>
      <c r="S1025" s="11" t="n"/>
      <c r="T1025" s="12" t="n"/>
      <c r="U1025" s="12" t="n"/>
      <c r="V1025" s="14">
        <f>IF($AN1025="",IF($B1025="","",$H1025),IF(INDEX(職員マスタ!$B$6:$B$405,$AN1025)="",$H1025,INDEX(職員マスタ!$B$6:$B$405,$AN1025)))</f>
        <v/>
      </c>
      <c r="W1025" s="14">
        <f>IF($AN1025="",IF($B1025="","",$R1025),IF(INDEX(職員マスタ!$C$6:$C$405,$AN1025)="",$R1025,INDEX(職員マスタ!$C$6:$C$405,$AN1025)))</f>
        <v/>
      </c>
      <c r="X1025" s="14">
        <f>IF($AO1025="","","R"&amp;$C1025&amp;"."&amp;$D1025)</f>
        <v/>
      </c>
      <c r="Y1025" s="15">
        <f>IF($AN1025="","",IF(INDEX(職員マスタ!$K$6:$K$405,$AN1025)="","",INDEX(職員マスタ!$K$6:$K$405,$AN1025)))</f>
        <v/>
      </c>
      <c r="Z1025" s="14">
        <f>IF(OR($E1025="",$Y1025=""),"",IF($E1025&gt;=$Y1025,"×",IF($E1025&gt;=$Y1025*設定!$C$5,"△","○")))</f>
        <v/>
      </c>
      <c r="AA1025" s="15">
        <f>IF($Z1025="","",IF($Z1025="×",0,IF($Z1025="○",ROUNDDOWN($E1025*設定!$C$4,0),ROUNDDOWN($E1025*ROUND((9*$Y1025-9*$E1025)/(10*$E1025),4),0))))</f>
        <v/>
      </c>
      <c r="AB1025" s="13" t="n"/>
      <c r="AC1025" s="15">
        <f>IF($B1025="","",IF($AB1025&lt;&gt;"",$AB1025,IF($AA1025="","",IF($AA1025&lt;=設定!$C$3,0,$AA1025))))</f>
        <v/>
      </c>
      <c r="AD1025" s="14">
        <f>IF($B1025="","",IF(AND($AE1025&lt;&gt;"",$AG1025="",$AJ1025=""),"保留中",IF($AJ1025&lt;&gt;"",IF(N($AC1025)&gt;0,"支給済","不支給"),IF($AC1025="","要確認",IF($AC1025=0,"不支給","未処理")))))</f>
        <v/>
      </c>
      <c r="AE1025" s="12" t="n"/>
      <c r="AF1025" s="11" t="n"/>
      <c r="AG1025" s="11" t="n"/>
      <c r="AH1025" s="11" t="n"/>
      <c r="AI1025" s="14">
        <f>IF(AND($AD1025="保留中",$AF1025&lt;&gt;""),TODAY()-$AF1025,"")</f>
        <v/>
      </c>
      <c r="AJ1025" s="12" t="n"/>
      <c r="AK1025" s="14">
        <f>IF($B1025="","",IF($AO1025="","対象年月が未入力／","")&amp;IF($B1025="","",IF($AN1025="","職員マスタに未登録の職員番号／",IF($Y1025="","標準報酬月額が未登録／","")&amp;IF(AND($AO1025&lt;&gt;"",OR(AND(INDEX(職員マスタ!$G$6:$G$405,$AN1025)&lt;&gt;"",INDEX(職員マスタ!$G$6:$G$405,$AN1025)&gt;EOMONTH($AO1025,0)),AND(INDEX(職員マスタ!$H$6:$H$405,$AN1025)&lt;&gt;"",INDEX(職員マスタ!$H$6:$H$405,$AN1025)&lt;$AO1025))),"対象月が時短期間外／","")&amp;IF(AND(INDEX(職員マスタ!$F$6:$F$405,$AN1025)&lt;&gt;"",$AO1025&lt;&gt;"",INDEX(職員マスタ!$F$6:$F$405,$AN1025)&lt;$AO1025),"対象月に子が2歳到達済／","")&amp;IF(AND($H1025&lt;&gt;"",INDEX(職員マスタ!$B$6:$B$405,$AN1025)&lt;&gt;"",SUBSTITUTE(SUBSTITUTE($H1025," ","")," ","")&lt;&gt;SUBSTITUTE(SUBSTITUTE(INDEX(職員マスタ!$B$6:$B$405,$AN1025)," ","")," ","")),"氏名がマスタと相違／","")&amp;IF(AND($Q1025&lt;&gt;"",INDEX(職員マスタ!$E$6:$E$405,$AN1025)&lt;&gt;"",$Q1025&lt;&gt;INDEX(職員マスタ!$E$6:$E$405,$AN1025)),"子の生年月日がマスタと相違／","")&amp;IF(AND($L1025&lt;&gt;"",INDEX(職員マスタ!$G$6:$G$405,$AN1025)&lt;&gt;"",$L1025&lt;&gt;INDEX(職員マスタ!$G$6:$G$405,$AN1025)),"時短開始日がマスタと相違／","")&amp;IF(AND($M1025&lt;&gt;"",INDEX(職員マスタ!$H$6:$H$405,$AN1025)&lt;&gt;"",$M1025&lt;&gt;INDEX(職員マスタ!$H$6:$H$405,$AN1025)),"時短終了日がマスタと相違／","")))&amp;IF(AND($B1025&lt;&gt;"",$E1025=""),"報酬額が未入力／","")&amp;IF(N($U1025)&gt;0,"申請書に入力エラーが残っています／","")&amp;IF(AND($B1025&lt;&gt;"",$AO1025&lt;&gt;""),IF(COUNTIFS($B$6:$B$3005,$B1025,$C$6:$C$3005,$C1025,$D$6:$D$3005,$D1025)&gt;1,"同じ月の請求が重複しています／",""),"")&amp;IF(AND(N($E1025)&gt;0,$Z1025&lt;&gt;"",$Z1025&lt;&gt;"×",$AC1025=0,$AB1025=""),"計算額が下限以下のため不支給／",""))</f>
        <v/>
      </c>
      <c r="AL1025" s="12" t="n"/>
      <c r="AM1025" s="14">
        <f>IF($AD1025="保留中",COUNTIF($AD$6:$AD1025,"保留中"),"")</f>
        <v/>
      </c>
      <c r="AN1025" s="14">
        <f>IF($AO1025="","",IF(SUMPRODUCT(MAX((職員マスタ!$A$6:$A$405=$B1025)*(((職員マスタ!$G$6:$G$405="")+(職員マスタ!$G$6:$G$405&lt;=EOMONTH($AO1025,0)))&gt;0)*(((職員マスタ!$H$6:$H$405="")+(職員マスタ!$H$6:$H$405&gt;=$AO1025))&gt;0)*(ROW(職員マスタ!$A$6:$A$405)-5)))&gt;0,SUMPRODUCT(MAX((職員マスタ!$A$6:$A$405=$B1025)*(((職員マスタ!$G$6:$G$405="")+(職員マスタ!$G$6:$G$405&lt;=EOMONTH($AO1025,0)))&gt;0)*(((職員マスタ!$H$6:$H$405="")+(職員マスタ!$H$6:$H$405&gt;=$AO1025))&gt;0)*(ROW(職員マスタ!$A$6:$A$405)-5))),IFERROR(MATCH($B1025,職員マスタ!$A$6:$A$405,0),"")))</f>
        <v/>
      </c>
      <c r="AO1025" s="16">
        <f>IF(OR($B1025="",$C1025="",$D1025=""),"",DATE($C1025+2018,$D1025,1))</f>
        <v/>
      </c>
    </row>
    <row r="1026">
      <c r="A1026" s="11" t="n"/>
      <c r="B1026" s="12" t="n"/>
      <c r="C1026" s="12" t="n"/>
      <c r="D1026" s="12" t="n"/>
      <c r="E1026" s="13" t="n"/>
      <c r="F1026" s="12" t="n"/>
      <c r="G1026" s="13" t="n"/>
      <c r="H1026" s="12" t="n"/>
      <c r="I1026" s="12" t="n"/>
      <c r="J1026" s="12" t="n"/>
      <c r="K1026" s="12" t="n"/>
      <c r="L1026" s="11" t="n"/>
      <c r="M1026" s="11" t="n"/>
      <c r="N1026" s="11" t="n"/>
      <c r="O1026" s="11" t="n"/>
      <c r="P1026" s="12" t="n"/>
      <c r="Q1026" s="11" t="n"/>
      <c r="R1026" s="12" t="n"/>
      <c r="S1026" s="11" t="n"/>
      <c r="T1026" s="12" t="n"/>
      <c r="U1026" s="12" t="n"/>
      <c r="V1026" s="14">
        <f>IF($AN1026="",IF($B1026="","",$H1026),IF(INDEX(職員マスタ!$B$6:$B$405,$AN1026)="",$H1026,INDEX(職員マスタ!$B$6:$B$405,$AN1026)))</f>
        <v/>
      </c>
      <c r="W1026" s="14">
        <f>IF($AN1026="",IF($B1026="","",$R1026),IF(INDEX(職員マスタ!$C$6:$C$405,$AN1026)="",$R1026,INDEX(職員マスタ!$C$6:$C$405,$AN1026)))</f>
        <v/>
      </c>
      <c r="X1026" s="14">
        <f>IF($AO1026="","","R"&amp;$C1026&amp;"."&amp;$D1026)</f>
        <v/>
      </c>
      <c r="Y1026" s="15">
        <f>IF($AN1026="","",IF(INDEX(職員マスタ!$K$6:$K$405,$AN1026)="","",INDEX(職員マスタ!$K$6:$K$405,$AN1026)))</f>
        <v/>
      </c>
      <c r="Z1026" s="14">
        <f>IF(OR($E1026="",$Y1026=""),"",IF($E1026&gt;=$Y1026,"×",IF($E1026&gt;=$Y1026*設定!$C$5,"△","○")))</f>
        <v/>
      </c>
      <c r="AA1026" s="15">
        <f>IF($Z1026="","",IF($Z1026="×",0,IF($Z1026="○",ROUNDDOWN($E1026*設定!$C$4,0),ROUNDDOWN($E1026*ROUND((9*$Y1026-9*$E1026)/(10*$E1026),4),0))))</f>
        <v/>
      </c>
      <c r="AB1026" s="13" t="n"/>
      <c r="AC1026" s="15">
        <f>IF($B1026="","",IF($AB1026&lt;&gt;"",$AB1026,IF($AA1026="","",IF($AA1026&lt;=設定!$C$3,0,$AA1026))))</f>
        <v/>
      </c>
      <c r="AD1026" s="14">
        <f>IF($B1026="","",IF(AND($AE1026&lt;&gt;"",$AG1026="",$AJ1026=""),"保留中",IF($AJ1026&lt;&gt;"",IF(N($AC1026)&gt;0,"支給済","不支給"),IF($AC1026="","要確認",IF($AC1026=0,"不支給","未処理")))))</f>
        <v/>
      </c>
      <c r="AE1026" s="12" t="n"/>
      <c r="AF1026" s="11" t="n"/>
      <c r="AG1026" s="11" t="n"/>
      <c r="AH1026" s="11" t="n"/>
      <c r="AI1026" s="14">
        <f>IF(AND($AD1026="保留中",$AF1026&lt;&gt;""),TODAY()-$AF1026,"")</f>
        <v/>
      </c>
      <c r="AJ1026" s="12" t="n"/>
      <c r="AK1026" s="14">
        <f>IF($B1026="","",IF($AO1026="","対象年月が未入力／","")&amp;IF($B1026="","",IF($AN1026="","職員マスタに未登録の職員番号／",IF($Y1026="","標準報酬月額が未登録／","")&amp;IF(AND($AO1026&lt;&gt;"",OR(AND(INDEX(職員マスタ!$G$6:$G$405,$AN1026)&lt;&gt;"",INDEX(職員マスタ!$G$6:$G$405,$AN1026)&gt;EOMONTH($AO1026,0)),AND(INDEX(職員マスタ!$H$6:$H$405,$AN1026)&lt;&gt;"",INDEX(職員マスタ!$H$6:$H$405,$AN1026)&lt;$AO1026))),"対象月が時短期間外／","")&amp;IF(AND(INDEX(職員マスタ!$F$6:$F$405,$AN1026)&lt;&gt;"",$AO1026&lt;&gt;"",INDEX(職員マスタ!$F$6:$F$405,$AN1026)&lt;$AO1026),"対象月に子が2歳到達済／","")&amp;IF(AND($H1026&lt;&gt;"",INDEX(職員マスタ!$B$6:$B$405,$AN1026)&lt;&gt;"",SUBSTITUTE(SUBSTITUTE($H1026," ","")," ","")&lt;&gt;SUBSTITUTE(SUBSTITUTE(INDEX(職員マスタ!$B$6:$B$405,$AN1026)," ","")," ","")),"氏名がマスタと相違／","")&amp;IF(AND($Q1026&lt;&gt;"",INDEX(職員マスタ!$E$6:$E$405,$AN1026)&lt;&gt;"",$Q1026&lt;&gt;INDEX(職員マスタ!$E$6:$E$405,$AN1026)),"子の生年月日がマスタと相違／","")&amp;IF(AND($L1026&lt;&gt;"",INDEX(職員マスタ!$G$6:$G$405,$AN1026)&lt;&gt;"",$L1026&lt;&gt;INDEX(職員マスタ!$G$6:$G$405,$AN1026)),"時短開始日がマスタと相違／","")&amp;IF(AND($M1026&lt;&gt;"",INDEX(職員マスタ!$H$6:$H$405,$AN1026)&lt;&gt;"",$M1026&lt;&gt;INDEX(職員マスタ!$H$6:$H$405,$AN1026)),"時短終了日がマスタと相違／","")))&amp;IF(AND($B1026&lt;&gt;"",$E1026=""),"報酬額が未入力／","")&amp;IF(N($U1026)&gt;0,"申請書に入力エラーが残っています／","")&amp;IF(AND($B1026&lt;&gt;"",$AO1026&lt;&gt;""),IF(COUNTIFS($B$6:$B$3005,$B1026,$C$6:$C$3005,$C1026,$D$6:$D$3005,$D1026)&gt;1,"同じ月の請求が重複しています／",""),"")&amp;IF(AND(N($E1026)&gt;0,$Z1026&lt;&gt;"",$Z1026&lt;&gt;"×",$AC1026=0,$AB1026=""),"計算額が下限以下のため不支給／",""))</f>
        <v/>
      </c>
      <c r="AL1026" s="12" t="n"/>
      <c r="AM1026" s="14">
        <f>IF($AD1026="保留中",COUNTIF($AD$6:$AD1026,"保留中"),"")</f>
        <v/>
      </c>
      <c r="AN1026" s="14">
        <f>IF($AO1026="","",IF(SUMPRODUCT(MAX((職員マスタ!$A$6:$A$405=$B1026)*(((職員マスタ!$G$6:$G$405="")+(職員マスタ!$G$6:$G$405&lt;=EOMONTH($AO1026,0)))&gt;0)*(((職員マスタ!$H$6:$H$405="")+(職員マスタ!$H$6:$H$405&gt;=$AO1026))&gt;0)*(ROW(職員マスタ!$A$6:$A$405)-5)))&gt;0,SUMPRODUCT(MAX((職員マスタ!$A$6:$A$405=$B1026)*(((職員マスタ!$G$6:$G$405="")+(職員マスタ!$G$6:$G$405&lt;=EOMONTH($AO1026,0)))&gt;0)*(((職員マスタ!$H$6:$H$405="")+(職員マスタ!$H$6:$H$405&gt;=$AO1026))&gt;0)*(ROW(職員マスタ!$A$6:$A$405)-5))),IFERROR(MATCH($B1026,職員マスタ!$A$6:$A$405,0),"")))</f>
        <v/>
      </c>
      <c r="AO1026" s="16">
        <f>IF(OR($B1026="",$C1026="",$D1026=""),"",DATE($C1026+2018,$D1026,1))</f>
        <v/>
      </c>
    </row>
    <row r="1027">
      <c r="A1027" s="11" t="n"/>
      <c r="B1027" s="12" t="n"/>
      <c r="C1027" s="12" t="n"/>
      <c r="D1027" s="12" t="n"/>
      <c r="E1027" s="13" t="n"/>
      <c r="F1027" s="12" t="n"/>
      <c r="G1027" s="13" t="n"/>
      <c r="H1027" s="12" t="n"/>
      <c r="I1027" s="12" t="n"/>
      <c r="J1027" s="12" t="n"/>
      <c r="K1027" s="12" t="n"/>
      <c r="L1027" s="11" t="n"/>
      <c r="M1027" s="11" t="n"/>
      <c r="N1027" s="11" t="n"/>
      <c r="O1027" s="11" t="n"/>
      <c r="P1027" s="12" t="n"/>
      <c r="Q1027" s="11" t="n"/>
      <c r="R1027" s="12" t="n"/>
      <c r="S1027" s="11" t="n"/>
      <c r="T1027" s="12" t="n"/>
      <c r="U1027" s="12" t="n"/>
      <c r="V1027" s="14">
        <f>IF($AN1027="",IF($B1027="","",$H1027),IF(INDEX(職員マスタ!$B$6:$B$405,$AN1027)="",$H1027,INDEX(職員マスタ!$B$6:$B$405,$AN1027)))</f>
        <v/>
      </c>
      <c r="W1027" s="14">
        <f>IF($AN1027="",IF($B1027="","",$R1027),IF(INDEX(職員マスタ!$C$6:$C$405,$AN1027)="",$R1027,INDEX(職員マスタ!$C$6:$C$405,$AN1027)))</f>
        <v/>
      </c>
      <c r="X1027" s="14">
        <f>IF($AO1027="","","R"&amp;$C1027&amp;"."&amp;$D1027)</f>
        <v/>
      </c>
      <c r="Y1027" s="15">
        <f>IF($AN1027="","",IF(INDEX(職員マスタ!$K$6:$K$405,$AN1027)="","",INDEX(職員マスタ!$K$6:$K$405,$AN1027)))</f>
        <v/>
      </c>
      <c r="Z1027" s="14">
        <f>IF(OR($E1027="",$Y1027=""),"",IF($E1027&gt;=$Y1027,"×",IF($E1027&gt;=$Y1027*設定!$C$5,"△","○")))</f>
        <v/>
      </c>
      <c r="AA1027" s="15">
        <f>IF($Z1027="","",IF($Z1027="×",0,IF($Z1027="○",ROUNDDOWN($E1027*設定!$C$4,0),ROUNDDOWN($E1027*ROUND((9*$Y1027-9*$E1027)/(10*$E1027),4),0))))</f>
        <v/>
      </c>
      <c r="AB1027" s="13" t="n"/>
      <c r="AC1027" s="15">
        <f>IF($B1027="","",IF($AB1027&lt;&gt;"",$AB1027,IF($AA1027="","",IF($AA1027&lt;=設定!$C$3,0,$AA1027))))</f>
        <v/>
      </c>
      <c r="AD1027" s="14">
        <f>IF($B1027="","",IF(AND($AE1027&lt;&gt;"",$AG1027="",$AJ1027=""),"保留中",IF($AJ1027&lt;&gt;"",IF(N($AC1027)&gt;0,"支給済","不支給"),IF($AC1027="","要確認",IF($AC1027=0,"不支給","未処理")))))</f>
        <v/>
      </c>
      <c r="AE1027" s="12" t="n"/>
      <c r="AF1027" s="11" t="n"/>
      <c r="AG1027" s="11" t="n"/>
      <c r="AH1027" s="11" t="n"/>
      <c r="AI1027" s="14">
        <f>IF(AND($AD1027="保留中",$AF1027&lt;&gt;""),TODAY()-$AF1027,"")</f>
        <v/>
      </c>
      <c r="AJ1027" s="12" t="n"/>
      <c r="AK1027" s="14">
        <f>IF($B1027="","",IF($AO1027="","対象年月が未入力／","")&amp;IF($B1027="","",IF($AN1027="","職員マスタに未登録の職員番号／",IF($Y1027="","標準報酬月額が未登録／","")&amp;IF(AND($AO1027&lt;&gt;"",OR(AND(INDEX(職員マスタ!$G$6:$G$405,$AN1027)&lt;&gt;"",INDEX(職員マスタ!$G$6:$G$405,$AN1027)&gt;EOMONTH($AO1027,0)),AND(INDEX(職員マスタ!$H$6:$H$405,$AN1027)&lt;&gt;"",INDEX(職員マスタ!$H$6:$H$405,$AN1027)&lt;$AO1027))),"対象月が時短期間外／","")&amp;IF(AND(INDEX(職員マスタ!$F$6:$F$405,$AN1027)&lt;&gt;"",$AO1027&lt;&gt;"",INDEX(職員マスタ!$F$6:$F$405,$AN1027)&lt;$AO1027),"対象月に子が2歳到達済／","")&amp;IF(AND($H1027&lt;&gt;"",INDEX(職員マスタ!$B$6:$B$405,$AN1027)&lt;&gt;"",SUBSTITUTE(SUBSTITUTE($H1027," ","")," ","")&lt;&gt;SUBSTITUTE(SUBSTITUTE(INDEX(職員マスタ!$B$6:$B$405,$AN1027)," ","")," ","")),"氏名がマスタと相違／","")&amp;IF(AND($Q1027&lt;&gt;"",INDEX(職員マスタ!$E$6:$E$405,$AN1027)&lt;&gt;"",$Q1027&lt;&gt;INDEX(職員マスタ!$E$6:$E$405,$AN1027)),"子の生年月日がマスタと相違／","")&amp;IF(AND($L1027&lt;&gt;"",INDEX(職員マスタ!$G$6:$G$405,$AN1027)&lt;&gt;"",$L1027&lt;&gt;INDEX(職員マスタ!$G$6:$G$405,$AN1027)),"時短開始日がマスタと相違／","")&amp;IF(AND($M1027&lt;&gt;"",INDEX(職員マスタ!$H$6:$H$405,$AN1027)&lt;&gt;"",$M1027&lt;&gt;INDEX(職員マスタ!$H$6:$H$405,$AN1027)),"時短終了日がマスタと相違／","")))&amp;IF(AND($B1027&lt;&gt;"",$E1027=""),"報酬額が未入力／","")&amp;IF(N($U1027)&gt;0,"申請書に入力エラーが残っています／","")&amp;IF(AND($B1027&lt;&gt;"",$AO1027&lt;&gt;""),IF(COUNTIFS($B$6:$B$3005,$B1027,$C$6:$C$3005,$C1027,$D$6:$D$3005,$D1027)&gt;1,"同じ月の請求が重複しています／",""),"")&amp;IF(AND(N($E1027)&gt;0,$Z1027&lt;&gt;"",$Z1027&lt;&gt;"×",$AC1027=0,$AB1027=""),"計算額が下限以下のため不支給／",""))</f>
        <v/>
      </c>
      <c r="AL1027" s="12" t="n"/>
      <c r="AM1027" s="14">
        <f>IF($AD1027="保留中",COUNTIF($AD$6:$AD1027,"保留中"),"")</f>
        <v/>
      </c>
      <c r="AN1027" s="14">
        <f>IF($AO1027="","",IF(SUMPRODUCT(MAX((職員マスタ!$A$6:$A$405=$B1027)*(((職員マスタ!$G$6:$G$405="")+(職員マスタ!$G$6:$G$405&lt;=EOMONTH($AO1027,0)))&gt;0)*(((職員マスタ!$H$6:$H$405="")+(職員マスタ!$H$6:$H$405&gt;=$AO1027))&gt;0)*(ROW(職員マスタ!$A$6:$A$405)-5)))&gt;0,SUMPRODUCT(MAX((職員マスタ!$A$6:$A$405=$B1027)*(((職員マスタ!$G$6:$G$405="")+(職員マスタ!$G$6:$G$405&lt;=EOMONTH($AO1027,0)))&gt;0)*(((職員マスタ!$H$6:$H$405="")+(職員マスタ!$H$6:$H$405&gt;=$AO1027))&gt;0)*(ROW(職員マスタ!$A$6:$A$405)-5))),IFERROR(MATCH($B1027,職員マスタ!$A$6:$A$405,0),"")))</f>
        <v/>
      </c>
      <c r="AO1027" s="16">
        <f>IF(OR($B1027="",$C1027="",$D1027=""),"",DATE($C1027+2018,$D1027,1))</f>
        <v/>
      </c>
    </row>
    <row r="1028">
      <c r="A1028" s="11" t="n"/>
      <c r="B1028" s="12" t="n"/>
      <c r="C1028" s="12" t="n"/>
      <c r="D1028" s="12" t="n"/>
      <c r="E1028" s="13" t="n"/>
      <c r="F1028" s="12" t="n"/>
      <c r="G1028" s="13" t="n"/>
      <c r="H1028" s="12" t="n"/>
      <c r="I1028" s="12" t="n"/>
      <c r="J1028" s="12" t="n"/>
      <c r="K1028" s="12" t="n"/>
      <c r="L1028" s="11" t="n"/>
      <c r="M1028" s="11" t="n"/>
      <c r="N1028" s="11" t="n"/>
      <c r="O1028" s="11" t="n"/>
      <c r="P1028" s="12" t="n"/>
      <c r="Q1028" s="11" t="n"/>
      <c r="R1028" s="12" t="n"/>
      <c r="S1028" s="11" t="n"/>
      <c r="T1028" s="12" t="n"/>
      <c r="U1028" s="12" t="n"/>
      <c r="V1028" s="14">
        <f>IF($AN1028="",IF($B1028="","",$H1028),IF(INDEX(職員マスタ!$B$6:$B$405,$AN1028)="",$H1028,INDEX(職員マスタ!$B$6:$B$405,$AN1028)))</f>
        <v/>
      </c>
      <c r="W1028" s="14">
        <f>IF($AN1028="",IF($B1028="","",$R1028),IF(INDEX(職員マスタ!$C$6:$C$405,$AN1028)="",$R1028,INDEX(職員マスタ!$C$6:$C$405,$AN1028)))</f>
        <v/>
      </c>
      <c r="X1028" s="14">
        <f>IF($AO1028="","","R"&amp;$C1028&amp;"."&amp;$D1028)</f>
        <v/>
      </c>
      <c r="Y1028" s="15">
        <f>IF($AN1028="","",IF(INDEX(職員マスタ!$K$6:$K$405,$AN1028)="","",INDEX(職員マスタ!$K$6:$K$405,$AN1028)))</f>
        <v/>
      </c>
      <c r="Z1028" s="14">
        <f>IF(OR($E1028="",$Y1028=""),"",IF($E1028&gt;=$Y1028,"×",IF($E1028&gt;=$Y1028*設定!$C$5,"△","○")))</f>
        <v/>
      </c>
      <c r="AA1028" s="15">
        <f>IF($Z1028="","",IF($Z1028="×",0,IF($Z1028="○",ROUNDDOWN($E1028*設定!$C$4,0),ROUNDDOWN($E1028*ROUND((9*$Y1028-9*$E1028)/(10*$E1028),4),0))))</f>
        <v/>
      </c>
      <c r="AB1028" s="13" t="n"/>
      <c r="AC1028" s="15">
        <f>IF($B1028="","",IF($AB1028&lt;&gt;"",$AB1028,IF($AA1028="","",IF($AA1028&lt;=設定!$C$3,0,$AA1028))))</f>
        <v/>
      </c>
      <c r="AD1028" s="14">
        <f>IF($B1028="","",IF(AND($AE1028&lt;&gt;"",$AG1028="",$AJ1028=""),"保留中",IF($AJ1028&lt;&gt;"",IF(N($AC1028)&gt;0,"支給済","不支給"),IF($AC1028="","要確認",IF($AC1028=0,"不支給","未処理")))))</f>
        <v/>
      </c>
      <c r="AE1028" s="12" t="n"/>
      <c r="AF1028" s="11" t="n"/>
      <c r="AG1028" s="11" t="n"/>
      <c r="AH1028" s="11" t="n"/>
      <c r="AI1028" s="14">
        <f>IF(AND($AD1028="保留中",$AF1028&lt;&gt;""),TODAY()-$AF1028,"")</f>
        <v/>
      </c>
      <c r="AJ1028" s="12" t="n"/>
      <c r="AK1028" s="14">
        <f>IF($B1028="","",IF($AO1028="","対象年月が未入力／","")&amp;IF($B1028="","",IF($AN1028="","職員マスタに未登録の職員番号／",IF($Y1028="","標準報酬月額が未登録／","")&amp;IF(AND($AO1028&lt;&gt;"",OR(AND(INDEX(職員マスタ!$G$6:$G$405,$AN1028)&lt;&gt;"",INDEX(職員マスタ!$G$6:$G$405,$AN1028)&gt;EOMONTH($AO1028,0)),AND(INDEX(職員マスタ!$H$6:$H$405,$AN1028)&lt;&gt;"",INDEX(職員マスタ!$H$6:$H$405,$AN1028)&lt;$AO1028))),"対象月が時短期間外／","")&amp;IF(AND(INDEX(職員マスタ!$F$6:$F$405,$AN1028)&lt;&gt;"",$AO1028&lt;&gt;"",INDEX(職員マスタ!$F$6:$F$405,$AN1028)&lt;$AO1028),"対象月に子が2歳到達済／","")&amp;IF(AND($H1028&lt;&gt;"",INDEX(職員マスタ!$B$6:$B$405,$AN1028)&lt;&gt;"",SUBSTITUTE(SUBSTITUTE($H1028," ","")," ","")&lt;&gt;SUBSTITUTE(SUBSTITUTE(INDEX(職員マスタ!$B$6:$B$405,$AN1028)," ","")," ","")),"氏名がマスタと相違／","")&amp;IF(AND($Q1028&lt;&gt;"",INDEX(職員マスタ!$E$6:$E$405,$AN1028)&lt;&gt;"",$Q1028&lt;&gt;INDEX(職員マスタ!$E$6:$E$405,$AN1028)),"子の生年月日がマスタと相違／","")&amp;IF(AND($L1028&lt;&gt;"",INDEX(職員マスタ!$G$6:$G$405,$AN1028)&lt;&gt;"",$L1028&lt;&gt;INDEX(職員マスタ!$G$6:$G$405,$AN1028)),"時短開始日がマスタと相違／","")&amp;IF(AND($M1028&lt;&gt;"",INDEX(職員マスタ!$H$6:$H$405,$AN1028)&lt;&gt;"",$M1028&lt;&gt;INDEX(職員マスタ!$H$6:$H$405,$AN1028)),"時短終了日がマスタと相違／","")))&amp;IF(AND($B1028&lt;&gt;"",$E1028=""),"報酬額が未入力／","")&amp;IF(N($U1028)&gt;0,"申請書に入力エラーが残っています／","")&amp;IF(AND($B1028&lt;&gt;"",$AO1028&lt;&gt;""),IF(COUNTIFS($B$6:$B$3005,$B1028,$C$6:$C$3005,$C1028,$D$6:$D$3005,$D1028)&gt;1,"同じ月の請求が重複しています／",""),"")&amp;IF(AND(N($E1028)&gt;0,$Z1028&lt;&gt;"",$Z1028&lt;&gt;"×",$AC1028=0,$AB1028=""),"計算額が下限以下のため不支給／",""))</f>
        <v/>
      </c>
      <c r="AL1028" s="12" t="n"/>
      <c r="AM1028" s="14">
        <f>IF($AD1028="保留中",COUNTIF($AD$6:$AD1028,"保留中"),"")</f>
        <v/>
      </c>
      <c r="AN1028" s="14">
        <f>IF($AO1028="","",IF(SUMPRODUCT(MAX((職員マスタ!$A$6:$A$405=$B1028)*(((職員マスタ!$G$6:$G$405="")+(職員マスタ!$G$6:$G$405&lt;=EOMONTH($AO1028,0)))&gt;0)*(((職員マスタ!$H$6:$H$405="")+(職員マスタ!$H$6:$H$405&gt;=$AO1028))&gt;0)*(ROW(職員マスタ!$A$6:$A$405)-5)))&gt;0,SUMPRODUCT(MAX((職員マスタ!$A$6:$A$405=$B1028)*(((職員マスタ!$G$6:$G$405="")+(職員マスタ!$G$6:$G$405&lt;=EOMONTH($AO1028,0)))&gt;0)*(((職員マスタ!$H$6:$H$405="")+(職員マスタ!$H$6:$H$405&gt;=$AO1028))&gt;0)*(ROW(職員マスタ!$A$6:$A$405)-5))),IFERROR(MATCH($B1028,職員マスタ!$A$6:$A$405,0),"")))</f>
        <v/>
      </c>
      <c r="AO1028" s="16">
        <f>IF(OR($B1028="",$C1028="",$D1028=""),"",DATE($C1028+2018,$D1028,1))</f>
        <v/>
      </c>
    </row>
    <row r="1029">
      <c r="A1029" s="11" t="n"/>
      <c r="B1029" s="12" t="n"/>
      <c r="C1029" s="12" t="n"/>
      <c r="D1029" s="12" t="n"/>
      <c r="E1029" s="13" t="n"/>
      <c r="F1029" s="12" t="n"/>
      <c r="G1029" s="13" t="n"/>
      <c r="H1029" s="12" t="n"/>
      <c r="I1029" s="12" t="n"/>
      <c r="J1029" s="12" t="n"/>
      <c r="K1029" s="12" t="n"/>
      <c r="L1029" s="11" t="n"/>
      <c r="M1029" s="11" t="n"/>
      <c r="N1029" s="11" t="n"/>
      <c r="O1029" s="11" t="n"/>
      <c r="P1029" s="12" t="n"/>
      <c r="Q1029" s="11" t="n"/>
      <c r="R1029" s="12" t="n"/>
      <c r="S1029" s="11" t="n"/>
      <c r="T1029" s="12" t="n"/>
      <c r="U1029" s="12" t="n"/>
      <c r="V1029" s="14">
        <f>IF($AN1029="",IF($B1029="","",$H1029),IF(INDEX(職員マスタ!$B$6:$B$405,$AN1029)="",$H1029,INDEX(職員マスタ!$B$6:$B$405,$AN1029)))</f>
        <v/>
      </c>
      <c r="W1029" s="14">
        <f>IF($AN1029="",IF($B1029="","",$R1029),IF(INDEX(職員マスタ!$C$6:$C$405,$AN1029)="",$R1029,INDEX(職員マスタ!$C$6:$C$405,$AN1029)))</f>
        <v/>
      </c>
      <c r="X1029" s="14">
        <f>IF($AO1029="","","R"&amp;$C1029&amp;"."&amp;$D1029)</f>
        <v/>
      </c>
      <c r="Y1029" s="15">
        <f>IF($AN1029="","",IF(INDEX(職員マスタ!$K$6:$K$405,$AN1029)="","",INDEX(職員マスタ!$K$6:$K$405,$AN1029)))</f>
        <v/>
      </c>
      <c r="Z1029" s="14">
        <f>IF(OR($E1029="",$Y1029=""),"",IF($E1029&gt;=$Y1029,"×",IF($E1029&gt;=$Y1029*設定!$C$5,"△","○")))</f>
        <v/>
      </c>
      <c r="AA1029" s="15">
        <f>IF($Z1029="","",IF($Z1029="×",0,IF($Z1029="○",ROUNDDOWN($E1029*設定!$C$4,0),ROUNDDOWN($E1029*ROUND((9*$Y1029-9*$E1029)/(10*$E1029),4),0))))</f>
        <v/>
      </c>
      <c r="AB1029" s="13" t="n"/>
      <c r="AC1029" s="15">
        <f>IF($B1029="","",IF($AB1029&lt;&gt;"",$AB1029,IF($AA1029="","",IF($AA1029&lt;=設定!$C$3,0,$AA1029))))</f>
        <v/>
      </c>
      <c r="AD1029" s="14">
        <f>IF($B1029="","",IF(AND($AE1029&lt;&gt;"",$AG1029="",$AJ1029=""),"保留中",IF($AJ1029&lt;&gt;"",IF(N($AC1029)&gt;0,"支給済","不支給"),IF($AC1029="","要確認",IF($AC1029=0,"不支給","未処理")))))</f>
        <v/>
      </c>
      <c r="AE1029" s="12" t="n"/>
      <c r="AF1029" s="11" t="n"/>
      <c r="AG1029" s="11" t="n"/>
      <c r="AH1029" s="11" t="n"/>
      <c r="AI1029" s="14">
        <f>IF(AND($AD1029="保留中",$AF1029&lt;&gt;""),TODAY()-$AF1029,"")</f>
        <v/>
      </c>
      <c r="AJ1029" s="12" t="n"/>
      <c r="AK1029" s="14">
        <f>IF($B1029="","",IF($AO1029="","対象年月が未入力／","")&amp;IF($B1029="","",IF($AN1029="","職員マスタに未登録の職員番号／",IF($Y1029="","標準報酬月額が未登録／","")&amp;IF(AND($AO1029&lt;&gt;"",OR(AND(INDEX(職員マスタ!$G$6:$G$405,$AN1029)&lt;&gt;"",INDEX(職員マスタ!$G$6:$G$405,$AN1029)&gt;EOMONTH($AO1029,0)),AND(INDEX(職員マスタ!$H$6:$H$405,$AN1029)&lt;&gt;"",INDEX(職員マスタ!$H$6:$H$405,$AN1029)&lt;$AO1029))),"対象月が時短期間外／","")&amp;IF(AND(INDEX(職員マスタ!$F$6:$F$405,$AN1029)&lt;&gt;"",$AO1029&lt;&gt;"",INDEX(職員マスタ!$F$6:$F$405,$AN1029)&lt;$AO1029),"対象月に子が2歳到達済／","")&amp;IF(AND($H1029&lt;&gt;"",INDEX(職員マスタ!$B$6:$B$405,$AN1029)&lt;&gt;"",SUBSTITUTE(SUBSTITUTE($H1029," ","")," ","")&lt;&gt;SUBSTITUTE(SUBSTITUTE(INDEX(職員マスタ!$B$6:$B$405,$AN1029)," ","")," ","")),"氏名がマスタと相違／","")&amp;IF(AND($Q1029&lt;&gt;"",INDEX(職員マスタ!$E$6:$E$405,$AN1029)&lt;&gt;"",$Q1029&lt;&gt;INDEX(職員マスタ!$E$6:$E$405,$AN1029)),"子の生年月日がマスタと相違／","")&amp;IF(AND($L1029&lt;&gt;"",INDEX(職員マスタ!$G$6:$G$405,$AN1029)&lt;&gt;"",$L1029&lt;&gt;INDEX(職員マスタ!$G$6:$G$405,$AN1029)),"時短開始日がマスタと相違／","")&amp;IF(AND($M1029&lt;&gt;"",INDEX(職員マスタ!$H$6:$H$405,$AN1029)&lt;&gt;"",$M1029&lt;&gt;INDEX(職員マスタ!$H$6:$H$405,$AN1029)),"時短終了日がマスタと相違／","")))&amp;IF(AND($B1029&lt;&gt;"",$E1029=""),"報酬額が未入力／","")&amp;IF(N($U1029)&gt;0,"申請書に入力エラーが残っています／","")&amp;IF(AND($B1029&lt;&gt;"",$AO1029&lt;&gt;""),IF(COUNTIFS($B$6:$B$3005,$B1029,$C$6:$C$3005,$C1029,$D$6:$D$3005,$D1029)&gt;1,"同じ月の請求が重複しています／",""),"")&amp;IF(AND(N($E1029)&gt;0,$Z1029&lt;&gt;"",$Z1029&lt;&gt;"×",$AC1029=0,$AB1029=""),"計算額が下限以下のため不支給／",""))</f>
        <v/>
      </c>
      <c r="AL1029" s="12" t="n"/>
      <c r="AM1029" s="14">
        <f>IF($AD1029="保留中",COUNTIF($AD$6:$AD1029,"保留中"),"")</f>
        <v/>
      </c>
      <c r="AN1029" s="14">
        <f>IF($AO1029="","",IF(SUMPRODUCT(MAX((職員マスタ!$A$6:$A$405=$B1029)*(((職員マスタ!$G$6:$G$405="")+(職員マスタ!$G$6:$G$405&lt;=EOMONTH($AO1029,0)))&gt;0)*(((職員マスタ!$H$6:$H$405="")+(職員マスタ!$H$6:$H$405&gt;=$AO1029))&gt;0)*(ROW(職員マスタ!$A$6:$A$405)-5)))&gt;0,SUMPRODUCT(MAX((職員マスタ!$A$6:$A$405=$B1029)*(((職員マスタ!$G$6:$G$405="")+(職員マスタ!$G$6:$G$405&lt;=EOMONTH($AO1029,0)))&gt;0)*(((職員マスタ!$H$6:$H$405="")+(職員マスタ!$H$6:$H$405&gt;=$AO1029))&gt;0)*(ROW(職員マスタ!$A$6:$A$405)-5))),IFERROR(MATCH($B1029,職員マスタ!$A$6:$A$405,0),"")))</f>
        <v/>
      </c>
      <c r="AO1029" s="16">
        <f>IF(OR($B1029="",$C1029="",$D1029=""),"",DATE($C1029+2018,$D1029,1))</f>
        <v/>
      </c>
    </row>
    <row r="1030">
      <c r="A1030" s="11" t="n"/>
      <c r="B1030" s="12" t="n"/>
      <c r="C1030" s="12" t="n"/>
      <c r="D1030" s="12" t="n"/>
      <c r="E1030" s="13" t="n"/>
      <c r="F1030" s="12" t="n"/>
      <c r="G1030" s="13" t="n"/>
      <c r="H1030" s="12" t="n"/>
      <c r="I1030" s="12" t="n"/>
      <c r="J1030" s="12" t="n"/>
      <c r="K1030" s="12" t="n"/>
      <c r="L1030" s="11" t="n"/>
      <c r="M1030" s="11" t="n"/>
      <c r="N1030" s="11" t="n"/>
      <c r="O1030" s="11" t="n"/>
      <c r="P1030" s="12" t="n"/>
      <c r="Q1030" s="11" t="n"/>
      <c r="R1030" s="12" t="n"/>
      <c r="S1030" s="11" t="n"/>
      <c r="T1030" s="12" t="n"/>
      <c r="U1030" s="12" t="n"/>
      <c r="V1030" s="14">
        <f>IF($AN1030="",IF($B1030="","",$H1030),IF(INDEX(職員マスタ!$B$6:$B$405,$AN1030)="",$H1030,INDEX(職員マスタ!$B$6:$B$405,$AN1030)))</f>
        <v/>
      </c>
      <c r="W1030" s="14">
        <f>IF($AN1030="",IF($B1030="","",$R1030),IF(INDEX(職員マスタ!$C$6:$C$405,$AN1030)="",$R1030,INDEX(職員マスタ!$C$6:$C$405,$AN1030)))</f>
        <v/>
      </c>
      <c r="X1030" s="14">
        <f>IF($AO1030="","","R"&amp;$C1030&amp;"."&amp;$D1030)</f>
        <v/>
      </c>
      <c r="Y1030" s="15">
        <f>IF($AN1030="","",IF(INDEX(職員マスタ!$K$6:$K$405,$AN1030)="","",INDEX(職員マスタ!$K$6:$K$405,$AN1030)))</f>
        <v/>
      </c>
      <c r="Z1030" s="14">
        <f>IF(OR($E1030="",$Y1030=""),"",IF($E1030&gt;=$Y1030,"×",IF($E1030&gt;=$Y1030*設定!$C$5,"△","○")))</f>
        <v/>
      </c>
      <c r="AA1030" s="15">
        <f>IF($Z1030="","",IF($Z1030="×",0,IF($Z1030="○",ROUNDDOWN($E1030*設定!$C$4,0),ROUNDDOWN($E1030*ROUND((9*$Y1030-9*$E1030)/(10*$E1030),4),0))))</f>
        <v/>
      </c>
      <c r="AB1030" s="13" t="n"/>
      <c r="AC1030" s="15">
        <f>IF($B1030="","",IF($AB1030&lt;&gt;"",$AB1030,IF($AA1030="","",IF($AA1030&lt;=設定!$C$3,0,$AA1030))))</f>
        <v/>
      </c>
      <c r="AD1030" s="14">
        <f>IF($B1030="","",IF(AND($AE1030&lt;&gt;"",$AG1030="",$AJ1030=""),"保留中",IF($AJ1030&lt;&gt;"",IF(N($AC1030)&gt;0,"支給済","不支給"),IF($AC1030="","要確認",IF($AC1030=0,"不支給","未処理")))))</f>
        <v/>
      </c>
      <c r="AE1030" s="12" t="n"/>
      <c r="AF1030" s="11" t="n"/>
      <c r="AG1030" s="11" t="n"/>
      <c r="AH1030" s="11" t="n"/>
      <c r="AI1030" s="14">
        <f>IF(AND($AD1030="保留中",$AF1030&lt;&gt;""),TODAY()-$AF1030,"")</f>
        <v/>
      </c>
      <c r="AJ1030" s="12" t="n"/>
      <c r="AK1030" s="14">
        <f>IF($B1030="","",IF($AO1030="","対象年月が未入力／","")&amp;IF($B1030="","",IF($AN1030="","職員マスタに未登録の職員番号／",IF($Y1030="","標準報酬月額が未登録／","")&amp;IF(AND($AO1030&lt;&gt;"",OR(AND(INDEX(職員マスタ!$G$6:$G$405,$AN1030)&lt;&gt;"",INDEX(職員マスタ!$G$6:$G$405,$AN1030)&gt;EOMONTH($AO1030,0)),AND(INDEX(職員マスタ!$H$6:$H$405,$AN1030)&lt;&gt;"",INDEX(職員マスタ!$H$6:$H$405,$AN1030)&lt;$AO1030))),"対象月が時短期間外／","")&amp;IF(AND(INDEX(職員マスタ!$F$6:$F$405,$AN1030)&lt;&gt;"",$AO1030&lt;&gt;"",INDEX(職員マスタ!$F$6:$F$405,$AN1030)&lt;$AO1030),"対象月に子が2歳到達済／","")&amp;IF(AND($H1030&lt;&gt;"",INDEX(職員マスタ!$B$6:$B$405,$AN1030)&lt;&gt;"",SUBSTITUTE(SUBSTITUTE($H1030," ","")," ","")&lt;&gt;SUBSTITUTE(SUBSTITUTE(INDEX(職員マスタ!$B$6:$B$405,$AN1030)," ","")," ","")),"氏名がマスタと相違／","")&amp;IF(AND($Q1030&lt;&gt;"",INDEX(職員マスタ!$E$6:$E$405,$AN1030)&lt;&gt;"",$Q1030&lt;&gt;INDEX(職員マスタ!$E$6:$E$405,$AN1030)),"子の生年月日がマスタと相違／","")&amp;IF(AND($L1030&lt;&gt;"",INDEX(職員マスタ!$G$6:$G$405,$AN1030)&lt;&gt;"",$L1030&lt;&gt;INDEX(職員マスタ!$G$6:$G$405,$AN1030)),"時短開始日がマスタと相違／","")&amp;IF(AND($M1030&lt;&gt;"",INDEX(職員マスタ!$H$6:$H$405,$AN1030)&lt;&gt;"",$M1030&lt;&gt;INDEX(職員マスタ!$H$6:$H$405,$AN1030)),"時短終了日がマスタと相違／","")))&amp;IF(AND($B1030&lt;&gt;"",$E1030=""),"報酬額が未入力／","")&amp;IF(N($U1030)&gt;0,"申請書に入力エラーが残っています／","")&amp;IF(AND($B1030&lt;&gt;"",$AO1030&lt;&gt;""),IF(COUNTIFS($B$6:$B$3005,$B1030,$C$6:$C$3005,$C1030,$D$6:$D$3005,$D1030)&gt;1,"同じ月の請求が重複しています／",""),"")&amp;IF(AND(N($E1030)&gt;0,$Z1030&lt;&gt;"",$Z1030&lt;&gt;"×",$AC1030=0,$AB1030=""),"計算額が下限以下のため不支給／",""))</f>
        <v/>
      </c>
      <c r="AL1030" s="12" t="n"/>
      <c r="AM1030" s="14">
        <f>IF($AD1030="保留中",COUNTIF($AD$6:$AD1030,"保留中"),"")</f>
        <v/>
      </c>
      <c r="AN1030" s="14">
        <f>IF($AO1030="","",IF(SUMPRODUCT(MAX((職員マスタ!$A$6:$A$405=$B1030)*(((職員マスタ!$G$6:$G$405="")+(職員マスタ!$G$6:$G$405&lt;=EOMONTH($AO1030,0)))&gt;0)*(((職員マスタ!$H$6:$H$405="")+(職員マスタ!$H$6:$H$405&gt;=$AO1030))&gt;0)*(ROW(職員マスタ!$A$6:$A$405)-5)))&gt;0,SUMPRODUCT(MAX((職員マスタ!$A$6:$A$405=$B1030)*(((職員マスタ!$G$6:$G$405="")+(職員マスタ!$G$6:$G$405&lt;=EOMONTH($AO1030,0)))&gt;0)*(((職員マスタ!$H$6:$H$405="")+(職員マスタ!$H$6:$H$405&gt;=$AO1030))&gt;0)*(ROW(職員マスタ!$A$6:$A$405)-5))),IFERROR(MATCH($B1030,職員マスタ!$A$6:$A$405,0),"")))</f>
        <v/>
      </c>
      <c r="AO1030" s="16">
        <f>IF(OR($B1030="",$C1030="",$D1030=""),"",DATE($C1030+2018,$D1030,1))</f>
        <v/>
      </c>
    </row>
    <row r="1031">
      <c r="A1031" s="11" t="n"/>
      <c r="B1031" s="12" t="n"/>
      <c r="C1031" s="12" t="n"/>
      <c r="D1031" s="12" t="n"/>
      <c r="E1031" s="13" t="n"/>
      <c r="F1031" s="12" t="n"/>
      <c r="G1031" s="13" t="n"/>
      <c r="H1031" s="12" t="n"/>
      <c r="I1031" s="12" t="n"/>
      <c r="J1031" s="12" t="n"/>
      <c r="K1031" s="12" t="n"/>
      <c r="L1031" s="11" t="n"/>
      <c r="M1031" s="11" t="n"/>
      <c r="N1031" s="11" t="n"/>
      <c r="O1031" s="11" t="n"/>
      <c r="P1031" s="12" t="n"/>
      <c r="Q1031" s="11" t="n"/>
      <c r="R1031" s="12" t="n"/>
      <c r="S1031" s="11" t="n"/>
      <c r="T1031" s="12" t="n"/>
      <c r="U1031" s="12" t="n"/>
      <c r="V1031" s="14">
        <f>IF($AN1031="",IF($B1031="","",$H1031),IF(INDEX(職員マスタ!$B$6:$B$405,$AN1031)="",$H1031,INDEX(職員マスタ!$B$6:$B$405,$AN1031)))</f>
        <v/>
      </c>
      <c r="W1031" s="14">
        <f>IF($AN1031="",IF($B1031="","",$R1031),IF(INDEX(職員マスタ!$C$6:$C$405,$AN1031)="",$R1031,INDEX(職員マスタ!$C$6:$C$405,$AN1031)))</f>
        <v/>
      </c>
      <c r="X1031" s="14">
        <f>IF($AO1031="","","R"&amp;$C1031&amp;"."&amp;$D1031)</f>
        <v/>
      </c>
      <c r="Y1031" s="15">
        <f>IF($AN1031="","",IF(INDEX(職員マスタ!$K$6:$K$405,$AN1031)="","",INDEX(職員マスタ!$K$6:$K$405,$AN1031)))</f>
        <v/>
      </c>
      <c r="Z1031" s="14">
        <f>IF(OR($E1031="",$Y1031=""),"",IF($E1031&gt;=$Y1031,"×",IF($E1031&gt;=$Y1031*設定!$C$5,"△","○")))</f>
        <v/>
      </c>
      <c r="AA1031" s="15">
        <f>IF($Z1031="","",IF($Z1031="×",0,IF($Z1031="○",ROUNDDOWN($E1031*設定!$C$4,0),ROUNDDOWN($E1031*ROUND((9*$Y1031-9*$E1031)/(10*$E1031),4),0))))</f>
        <v/>
      </c>
      <c r="AB1031" s="13" t="n"/>
      <c r="AC1031" s="15">
        <f>IF($B1031="","",IF($AB1031&lt;&gt;"",$AB1031,IF($AA1031="","",IF($AA1031&lt;=設定!$C$3,0,$AA1031))))</f>
        <v/>
      </c>
      <c r="AD1031" s="14">
        <f>IF($B1031="","",IF(AND($AE1031&lt;&gt;"",$AG1031="",$AJ1031=""),"保留中",IF($AJ1031&lt;&gt;"",IF(N($AC1031)&gt;0,"支給済","不支給"),IF($AC1031="","要確認",IF($AC1031=0,"不支給","未処理")))))</f>
        <v/>
      </c>
      <c r="AE1031" s="12" t="n"/>
      <c r="AF1031" s="11" t="n"/>
      <c r="AG1031" s="11" t="n"/>
      <c r="AH1031" s="11" t="n"/>
      <c r="AI1031" s="14">
        <f>IF(AND($AD1031="保留中",$AF1031&lt;&gt;""),TODAY()-$AF1031,"")</f>
        <v/>
      </c>
      <c r="AJ1031" s="12" t="n"/>
      <c r="AK1031" s="14">
        <f>IF($B1031="","",IF($AO1031="","対象年月が未入力／","")&amp;IF($B1031="","",IF($AN1031="","職員マスタに未登録の職員番号／",IF($Y1031="","標準報酬月額が未登録／","")&amp;IF(AND($AO1031&lt;&gt;"",OR(AND(INDEX(職員マスタ!$G$6:$G$405,$AN1031)&lt;&gt;"",INDEX(職員マスタ!$G$6:$G$405,$AN1031)&gt;EOMONTH($AO1031,0)),AND(INDEX(職員マスタ!$H$6:$H$405,$AN1031)&lt;&gt;"",INDEX(職員マスタ!$H$6:$H$405,$AN1031)&lt;$AO1031))),"対象月が時短期間外／","")&amp;IF(AND(INDEX(職員マスタ!$F$6:$F$405,$AN1031)&lt;&gt;"",$AO1031&lt;&gt;"",INDEX(職員マスタ!$F$6:$F$405,$AN1031)&lt;$AO1031),"対象月に子が2歳到達済／","")&amp;IF(AND($H1031&lt;&gt;"",INDEX(職員マスタ!$B$6:$B$405,$AN1031)&lt;&gt;"",SUBSTITUTE(SUBSTITUTE($H1031," ","")," ","")&lt;&gt;SUBSTITUTE(SUBSTITUTE(INDEX(職員マスタ!$B$6:$B$405,$AN1031)," ","")," ","")),"氏名がマスタと相違／","")&amp;IF(AND($Q1031&lt;&gt;"",INDEX(職員マスタ!$E$6:$E$405,$AN1031)&lt;&gt;"",$Q1031&lt;&gt;INDEX(職員マスタ!$E$6:$E$405,$AN1031)),"子の生年月日がマスタと相違／","")&amp;IF(AND($L1031&lt;&gt;"",INDEX(職員マスタ!$G$6:$G$405,$AN1031)&lt;&gt;"",$L1031&lt;&gt;INDEX(職員マスタ!$G$6:$G$405,$AN1031)),"時短開始日がマスタと相違／","")&amp;IF(AND($M1031&lt;&gt;"",INDEX(職員マスタ!$H$6:$H$405,$AN1031)&lt;&gt;"",$M1031&lt;&gt;INDEX(職員マスタ!$H$6:$H$405,$AN1031)),"時短終了日がマスタと相違／","")))&amp;IF(AND($B1031&lt;&gt;"",$E1031=""),"報酬額が未入力／","")&amp;IF(N($U1031)&gt;0,"申請書に入力エラーが残っています／","")&amp;IF(AND($B1031&lt;&gt;"",$AO1031&lt;&gt;""),IF(COUNTIFS($B$6:$B$3005,$B1031,$C$6:$C$3005,$C1031,$D$6:$D$3005,$D1031)&gt;1,"同じ月の請求が重複しています／",""),"")&amp;IF(AND(N($E1031)&gt;0,$Z1031&lt;&gt;"",$Z1031&lt;&gt;"×",$AC1031=0,$AB1031=""),"計算額が下限以下のため不支給／",""))</f>
        <v/>
      </c>
      <c r="AL1031" s="12" t="n"/>
      <c r="AM1031" s="14">
        <f>IF($AD1031="保留中",COUNTIF($AD$6:$AD1031,"保留中"),"")</f>
        <v/>
      </c>
      <c r="AN1031" s="14">
        <f>IF($AO1031="","",IF(SUMPRODUCT(MAX((職員マスタ!$A$6:$A$405=$B1031)*(((職員マスタ!$G$6:$G$405="")+(職員マスタ!$G$6:$G$405&lt;=EOMONTH($AO1031,0)))&gt;0)*(((職員マスタ!$H$6:$H$405="")+(職員マスタ!$H$6:$H$405&gt;=$AO1031))&gt;0)*(ROW(職員マスタ!$A$6:$A$405)-5)))&gt;0,SUMPRODUCT(MAX((職員マスタ!$A$6:$A$405=$B1031)*(((職員マスタ!$G$6:$G$405="")+(職員マスタ!$G$6:$G$405&lt;=EOMONTH($AO1031,0)))&gt;0)*(((職員マスタ!$H$6:$H$405="")+(職員マスタ!$H$6:$H$405&gt;=$AO1031))&gt;0)*(ROW(職員マスタ!$A$6:$A$405)-5))),IFERROR(MATCH($B1031,職員マスタ!$A$6:$A$405,0),"")))</f>
        <v/>
      </c>
      <c r="AO1031" s="16">
        <f>IF(OR($B1031="",$C1031="",$D1031=""),"",DATE($C1031+2018,$D1031,1))</f>
        <v/>
      </c>
    </row>
    <row r="1032">
      <c r="A1032" s="11" t="n"/>
      <c r="B1032" s="12" t="n"/>
      <c r="C1032" s="12" t="n"/>
      <c r="D1032" s="12" t="n"/>
      <c r="E1032" s="13" t="n"/>
      <c r="F1032" s="12" t="n"/>
      <c r="G1032" s="13" t="n"/>
      <c r="H1032" s="12" t="n"/>
      <c r="I1032" s="12" t="n"/>
      <c r="J1032" s="12" t="n"/>
      <c r="K1032" s="12" t="n"/>
      <c r="L1032" s="11" t="n"/>
      <c r="M1032" s="11" t="n"/>
      <c r="N1032" s="11" t="n"/>
      <c r="O1032" s="11" t="n"/>
      <c r="P1032" s="12" t="n"/>
      <c r="Q1032" s="11" t="n"/>
      <c r="R1032" s="12" t="n"/>
      <c r="S1032" s="11" t="n"/>
      <c r="T1032" s="12" t="n"/>
      <c r="U1032" s="12" t="n"/>
      <c r="V1032" s="14">
        <f>IF($AN1032="",IF($B1032="","",$H1032),IF(INDEX(職員マスタ!$B$6:$B$405,$AN1032)="",$H1032,INDEX(職員マスタ!$B$6:$B$405,$AN1032)))</f>
        <v/>
      </c>
      <c r="W1032" s="14">
        <f>IF($AN1032="",IF($B1032="","",$R1032),IF(INDEX(職員マスタ!$C$6:$C$405,$AN1032)="",$R1032,INDEX(職員マスタ!$C$6:$C$405,$AN1032)))</f>
        <v/>
      </c>
      <c r="X1032" s="14">
        <f>IF($AO1032="","","R"&amp;$C1032&amp;"."&amp;$D1032)</f>
        <v/>
      </c>
      <c r="Y1032" s="15">
        <f>IF($AN1032="","",IF(INDEX(職員マスタ!$K$6:$K$405,$AN1032)="","",INDEX(職員マスタ!$K$6:$K$405,$AN1032)))</f>
        <v/>
      </c>
      <c r="Z1032" s="14">
        <f>IF(OR($E1032="",$Y1032=""),"",IF($E1032&gt;=$Y1032,"×",IF($E1032&gt;=$Y1032*設定!$C$5,"△","○")))</f>
        <v/>
      </c>
      <c r="AA1032" s="15">
        <f>IF($Z1032="","",IF($Z1032="×",0,IF($Z1032="○",ROUNDDOWN($E1032*設定!$C$4,0),ROUNDDOWN($E1032*ROUND((9*$Y1032-9*$E1032)/(10*$E1032),4),0))))</f>
        <v/>
      </c>
      <c r="AB1032" s="13" t="n"/>
      <c r="AC1032" s="15">
        <f>IF($B1032="","",IF($AB1032&lt;&gt;"",$AB1032,IF($AA1032="","",IF($AA1032&lt;=設定!$C$3,0,$AA1032))))</f>
        <v/>
      </c>
      <c r="AD1032" s="14">
        <f>IF($B1032="","",IF(AND($AE1032&lt;&gt;"",$AG1032="",$AJ1032=""),"保留中",IF($AJ1032&lt;&gt;"",IF(N($AC1032)&gt;0,"支給済","不支給"),IF($AC1032="","要確認",IF($AC1032=0,"不支給","未処理")))))</f>
        <v/>
      </c>
      <c r="AE1032" s="12" t="n"/>
      <c r="AF1032" s="11" t="n"/>
      <c r="AG1032" s="11" t="n"/>
      <c r="AH1032" s="11" t="n"/>
      <c r="AI1032" s="14">
        <f>IF(AND($AD1032="保留中",$AF1032&lt;&gt;""),TODAY()-$AF1032,"")</f>
        <v/>
      </c>
      <c r="AJ1032" s="12" t="n"/>
      <c r="AK1032" s="14">
        <f>IF($B1032="","",IF($AO1032="","対象年月が未入力／","")&amp;IF($B1032="","",IF($AN1032="","職員マスタに未登録の職員番号／",IF($Y1032="","標準報酬月額が未登録／","")&amp;IF(AND($AO1032&lt;&gt;"",OR(AND(INDEX(職員マスタ!$G$6:$G$405,$AN1032)&lt;&gt;"",INDEX(職員マスタ!$G$6:$G$405,$AN1032)&gt;EOMONTH($AO1032,0)),AND(INDEX(職員マスタ!$H$6:$H$405,$AN1032)&lt;&gt;"",INDEX(職員マスタ!$H$6:$H$405,$AN1032)&lt;$AO1032))),"対象月が時短期間外／","")&amp;IF(AND(INDEX(職員マスタ!$F$6:$F$405,$AN1032)&lt;&gt;"",$AO1032&lt;&gt;"",INDEX(職員マスタ!$F$6:$F$405,$AN1032)&lt;$AO1032),"対象月に子が2歳到達済／","")&amp;IF(AND($H1032&lt;&gt;"",INDEX(職員マスタ!$B$6:$B$405,$AN1032)&lt;&gt;"",SUBSTITUTE(SUBSTITUTE($H1032," ","")," ","")&lt;&gt;SUBSTITUTE(SUBSTITUTE(INDEX(職員マスタ!$B$6:$B$405,$AN1032)," ","")," ","")),"氏名がマスタと相違／","")&amp;IF(AND($Q1032&lt;&gt;"",INDEX(職員マスタ!$E$6:$E$405,$AN1032)&lt;&gt;"",$Q1032&lt;&gt;INDEX(職員マスタ!$E$6:$E$405,$AN1032)),"子の生年月日がマスタと相違／","")&amp;IF(AND($L1032&lt;&gt;"",INDEX(職員マスタ!$G$6:$G$405,$AN1032)&lt;&gt;"",$L1032&lt;&gt;INDEX(職員マスタ!$G$6:$G$405,$AN1032)),"時短開始日がマスタと相違／","")&amp;IF(AND($M1032&lt;&gt;"",INDEX(職員マスタ!$H$6:$H$405,$AN1032)&lt;&gt;"",$M1032&lt;&gt;INDEX(職員マスタ!$H$6:$H$405,$AN1032)),"時短終了日がマスタと相違／","")))&amp;IF(AND($B1032&lt;&gt;"",$E1032=""),"報酬額が未入力／","")&amp;IF(N($U1032)&gt;0,"申請書に入力エラーが残っています／","")&amp;IF(AND($B1032&lt;&gt;"",$AO1032&lt;&gt;""),IF(COUNTIFS($B$6:$B$3005,$B1032,$C$6:$C$3005,$C1032,$D$6:$D$3005,$D1032)&gt;1,"同じ月の請求が重複しています／",""),"")&amp;IF(AND(N($E1032)&gt;0,$Z1032&lt;&gt;"",$Z1032&lt;&gt;"×",$AC1032=0,$AB1032=""),"計算額が下限以下のため不支給／",""))</f>
        <v/>
      </c>
      <c r="AL1032" s="12" t="n"/>
      <c r="AM1032" s="14">
        <f>IF($AD1032="保留中",COUNTIF($AD$6:$AD1032,"保留中"),"")</f>
        <v/>
      </c>
      <c r="AN1032" s="14">
        <f>IF($AO1032="","",IF(SUMPRODUCT(MAX((職員マスタ!$A$6:$A$405=$B1032)*(((職員マスタ!$G$6:$G$405="")+(職員マスタ!$G$6:$G$405&lt;=EOMONTH($AO1032,0)))&gt;0)*(((職員マスタ!$H$6:$H$405="")+(職員マスタ!$H$6:$H$405&gt;=$AO1032))&gt;0)*(ROW(職員マスタ!$A$6:$A$405)-5)))&gt;0,SUMPRODUCT(MAX((職員マスタ!$A$6:$A$405=$B1032)*(((職員マスタ!$G$6:$G$405="")+(職員マスタ!$G$6:$G$405&lt;=EOMONTH($AO1032,0)))&gt;0)*(((職員マスタ!$H$6:$H$405="")+(職員マスタ!$H$6:$H$405&gt;=$AO1032))&gt;0)*(ROW(職員マスタ!$A$6:$A$405)-5))),IFERROR(MATCH($B1032,職員マスタ!$A$6:$A$405,0),"")))</f>
        <v/>
      </c>
      <c r="AO1032" s="16">
        <f>IF(OR($B1032="",$C1032="",$D1032=""),"",DATE($C1032+2018,$D1032,1))</f>
        <v/>
      </c>
    </row>
    <row r="1033">
      <c r="A1033" s="11" t="n"/>
      <c r="B1033" s="12" t="n"/>
      <c r="C1033" s="12" t="n"/>
      <c r="D1033" s="12" t="n"/>
      <c r="E1033" s="13" t="n"/>
      <c r="F1033" s="12" t="n"/>
      <c r="G1033" s="13" t="n"/>
      <c r="H1033" s="12" t="n"/>
      <c r="I1033" s="12" t="n"/>
      <c r="J1033" s="12" t="n"/>
      <c r="K1033" s="12" t="n"/>
      <c r="L1033" s="11" t="n"/>
      <c r="M1033" s="11" t="n"/>
      <c r="N1033" s="11" t="n"/>
      <c r="O1033" s="11" t="n"/>
      <c r="P1033" s="12" t="n"/>
      <c r="Q1033" s="11" t="n"/>
      <c r="R1033" s="12" t="n"/>
      <c r="S1033" s="11" t="n"/>
      <c r="T1033" s="12" t="n"/>
      <c r="U1033" s="12" t="n"/>
      <c r="V1033" s="14">
        <f>IF($AN1033="",IF($B1033="","",$H1033),IF(INDEX(職員マスタ!$B$6:$B$405,$AN1033)="",$H1033,INDEX(職員マスタ!$B$6:$B$405,$AN1033)))</f>
        <v/>
      </c>
      <c r="W1033" s="14">
        <f>IF($AN1033="",IF($B1033="","",$R1033),IF(INDEX(職員マスタ!$C$6:$C$405,$AN1033)="",$R1033,INDEX(職員マスタ!$C$6:$C$405,$AN1033)))</f>
        <v/>
      </c>
      <c r="X1033" s="14">
        <f>IF($AO1033="","","R"&amp;$C1033&amp;"."&amp;$D1033)</f>
        <v/>
      </c>
      <c r="Y1033" s="15">
        <f>IF($AN1033="","",IF(INDEX(職員マスタ!$K$6:$K$405,$AN1033)="","",INDEX(職員マスタ!$K$6:$K$405,$AN1033)))</f>
        <v/>
      </c>
      <c r="Z1033" s="14">
        <f>IF(OR($E1033="",$Y1033=""),"",IF($E1033&gt;=$Y1033,"×",IF($E1033&gt;=$Y1033*設定!$C$5,"△","○")))</f>
        <v/>
      </c>
      <c r="AA1033" s="15">
        <f>IF($Z1033="","",IF($Z1033="×",0,IF($Z1033="○",ROUNDDOWN($E1033*設定!$C$4,0),ROUNDDOWN($E1033*ROUND((9*$Y1033-9*$E1033)/(10*$E1033),4),0))))</f>
        <v/>
      </c>
      <c r="AB1033" s="13" t="n"/>
      <c r="AC1033" s="15">
        <f>IF($B1033="","",IF($AB1033&lt;&gt;"",$AB1033,IF($AA1033="","",IF($AA1033&lt;=設定!$C$3,0,$AA1033))))</f>
        <v/>
      </c>
      <c r="AD1033" s="14">
        <f>IF($B1033="","",IF(AND($AE1033&lt;&gt;"",$AG1033="",$AJ1033=""),"保留中",IF($AJ1033&lt;&gt;"",IF(N($AC1033)&gt;0,"支給済","不支給"),IF($AC1033="","要確認",IF($AC1033=0,"不支給","未処理")))))</f>
        <v/>
      </c>
      <c r="AE1033" s="12" t="n"/>
      <c r="AF1033" s="11" t="n"/>
      <c r="AG1033" s="11" t="n"/>
      <c r="AH1033" s="11" t="n"/>
      <c r="AI1033" s="14">
        <f>IF(AND($AD1033="保留中",$AF1033&lt;&gt;""),TODAY()-$AF1033,"")</f>
        <v/>
      </c>
      <c r="AJ1033" s="12" t="n"/>
      <c r="AK1033" s="14">
        <f>IF($B1033="","",IF($AO1033="","対象年月が未入力／","")&amp;IF($B1033="","",IF($AN1033="","職員マスタに未登録の職員番号／",IF($Y1033="","標準報酬月額が未登録／","")&amp;IF(AND($AO1033&lt;&gt;"",OR(AND(INDEX(職員マスタ!$G$6:$G$405,$AN1033)&lt;&gt;"",INDEX(職員マスタ!$G$6:$G$405,$AN1033)&gt;EOMONTH($AO1033,0)),AND(INDEX(職員マスタ!$H$6:$H$405,$AN1033)&lt;&gt;"",INDEX(職員マスタ!$H$6:$H$405,$AN1033)&lt;$AO1033))),"対象月が時短期間外／","")&amp;IF(AND(INDEX(職員マスタ!$F$6:$F$405,$AN1033)&lt;&gt;"",$AO1033&lt;&gt;"",INDEX(職員マスタ!$F$6:$F$405,$AN1033)&lt;$AO1033),"対象月に子が2歳到達済／","")&amp;IF(AND($H1033&lt;&gt;"",INDEX(職員マスタ!$B$6:$B$405,$AN1033)&lt;&gt;"",SUBSTITUTE(SUBSTITUTE($H1033," ","")," ","")&lt;&gt;SUBSTITUTE(SUBSTITUTE(INDEX(職員マスタ!$B$6:$B$405,$AN1033)," ","")," ","")),"氏名がマスタと相違／","")&amp;IF(AND($Q1033&lt;&gt;"",INDEX(職員マスタ!$E$6:$E$405,$AN1033)&lt;&gt;"",$Q1033&lt;&gt;INDEX(職員マスタ!$E$6:$E$405,$AN1033)),"子の生年月日がマスタと相違／","")&amp;IF(AND($L1033&lt;&gt;"",INDEX(職員マスタ!$G$6:$G$405,$AN1033)&lt;&gt;"",$L1033&lt;&gt;INDEX(職員マスタ!$G$6:$G$405,$AN1033)),"時短開始日がマスタと相違／","")&amp;IF(AND($M1033&lt;&gt;"",INDEX(職員マスタ!$H$6:$H$405,$AN1033)&lt;&gt;"",$M1033&lt;&gt;INDEX(職員マスタ!$H$6:$H$405,$AN1033)),"時短終了日がマスタと相違／","")))&amp;IF(AND($B1033&lt;&gt;"",$E1033=""),"報酬額が未入力／","")&amp;IF(N($U1033)&gt;0,"申請書に入力エラーが残っています／","")&amp;IF(AND($B1033&lt;&gt;"",$AO1033&lt;&gt;""),IF(COUNTIFS($B$6:$B$3005,$B1033,$C$6:$C$3005,$C1033,$D$6:$D$3005,$D1033)&gt;1,"同じ月の請求が重複しています／",""),"")&amp;IF(AND(N($E1033)&gt;0,$Z1033&lt;&gt;"",$Z1033&lt;&gt;"×",$AC1033=0,$AB1033=""),"計算額が下限以下のため不支給／",""))</f>
        <v/>
      </c>
      <c r="AL1033" s="12" t="n"/>
      <c r="AM1033" s="14">
        <f>IF($AD1033="保留中",COUNTIF($AD$6:$AD1033,"保留中"),"")</f>
        <v/>
      </c>
      <c r="AN1033" s="14">
        <f>IF($AO1033="","",IF(SUMPRODUCT(MAX((職員マスタ!$A$6:$A$405=$B1033)*(((職員マスタ!$G$6:$G$405="")+(職員マスタ!$G$6:$G$405&lt;=EOMONTH($AO1033,0)))&gt;0)*(((職員マスタ!$H$6:$H$405="")+(職員マスタ!$H$6:$H$405&gt;=$AO1033))&gt;0)*(ROW(職員マスタ!$A$6:$A$405)-5)))&gt;0,SUMPRODUCT(MAX((職員マスタ!$A$6:$A$405=$B1033)*(((職員マスタ!$G$6:$G$405="")+(職員マスタ!$G$6:$G$405&lt;=EOMONTH($AO1033,0)))&gt;0)*(((職員マスタ!$H$6:$H$405="")+(職員マスタ!$H$6:$H$405&gt;=$AO1033))&gt;0)*(ROW(職員マスタ!$A$6:$A$405)-5))),IFERROR(MATCH($B1033,職員マスタ!$A$6:$A$405,0),"")))</f>
        <v/>
      </c>
      <c r="AO1033" s="16">
        <f>IF(OR($B1033="",$C1033="",$D1033=""),"",DATE($C1033+2018,$D1033,1))</f>
        <v/>
      </c>
    </row>
    <row r="1034">
      <c r="A1034" s="11" t="n"/>
      <c r="B1034" s="12" t="n"/>
      <c r="C1034" s="12" t="n"/>
      <c r="D1034" s="12" t="n"/>
      <c r="E1034" s="13" t="n"/>
      <c r="F1034" s="12" t="n"/>
      <c r="G1034" s="13" t="n"/>
      <c r="H1034" s="12" t="n"/>
      <c r="I1034" s="12" t="n"/>
      <c r="J1034" s="12" t="n"/>
      <c r="K1034" s="12" t="n"/>
      <c r="L1034" s="11" t="n"/>
      <c r="M1034" s="11" t="n"/>
      <c r="N1034" s="11" t="n"/>
      <c r="O1034" s="11" t="n"/>
      <c r="P1034" s="12" t="n"/>
      <c r="Q1034" s="11" t="n"/>
      <c r="R1034" s="12" t="n"/>
      <c r="S1034" s="11" t="n"/>
      <c r="T1034" s="12" t="n"/>
      <c r="U1034" s="12" t="n"/>
      <c r="V1034" s="14">
        <f>IF($AN1034="",IF($B1034="","",$H1034),IF(INDEX(職員マスタ!$B$6:$B$405,$AN1034)="",$H1034,INDEX(職員マスタ!$B$6:$B$405,$AN1034)))</f>
        <v/>
      </c>
      <c r="W1034" s="14">
        <f>IF($AN1034="",IF($B1034="","",$R1034),IF(INDEX(職員マスタ!$C$6:$C$405,$AN1034)="",$R1034,INDEX(職員マスタ!$C$6:$C$405,$AN1034)))</f>
        <v/>
      </c>
      <c r="X1034" s="14">
        <f>IF($AO1034="","","R"&amp;$C1034&amp;"."&amp;$D1034)</f>
        <v/>
      </c>
      <c r="Y1034" s="15">
        <f>IF($AN1034="","",IF(INDEX(職員マスタ!$K$6:$K$405,$AN1034)="","",INDEX(職員マスタ!$K$6:$K$405,$AN1034)))</f>
        <v/>
      </c>
      <c r="Z1034" s="14">
        <f>IF(OR($E1034="",$Y1034=""),"",IF($E1034&gt;=$Y1034,"×",IF($E1034&gt;=$Y1034*設定!$C$5,"△","○")))</f>
        <v/>
      </c>
      <c r="AA1034" s="15">
        <f>IF($Z1034="","",IF($Z1034="×",0,IF($Z1034="○",ROUNDDOWN($E1034*設定!$C$4,0),ROUNDDOWN($E1034*ROUND((9*$Y1034-9*$E1034)/(10*$E1034),4),0))))</f>
        <v/>
      </c>
      <c r="AB1034" s="13" t="n"/>
      <c r="AC1034" s="15">
        <f>IF($B1034="","",IF($AB1034&lt;&gt;"",$AB1034,IF($AA1034="","",IF($AA1034&lt;=設定!$C$3,0,$AA1034))))</f>
        <v/>
      </c>
      <c r="AD1034" s="14">
        <f>IF($B1034="","",IF(AND($AE1034&lt;&gt;"",$AG1034="",$AJ1034=""),"保留中",IF($AJ1034&lt;&gt;"",IF(N($AC1034)&gt;0,"支給済","不支給"),IF($AC1034="","要確認",IF($AC1034=0,"不支給","未処理")))))</f>
        <v/>
      </c>
      <c r="AE1034" s="12" t="n"/>
      <c r="AF1034" s="11" t="n"/>
      <c r="AG1034" s="11" t="n"/>
      <c r="AH1034" s="11" t="n"/>
      <c r="AI1034" s="14">
        <f>IF(AND($AD1034="保留中",$AF1034&lt;&gt;""),TODAY()-$AF1034,"")</f>
        <v/>
      </c>
      <c r="AJ1034" s="12" t="n"/>
      <c r="AK1034" s="14">
        <f>IF($B1034="","",IF($AO1034="","対象年月が未入力／","")&amp;IF($B1034="","",IF($AN1034="","職員マスタに未登録の職員番号／",IF($Y1034="","標準報酬月額が未登録／","")&amp;IF(AND($AO1034&lt;&gt;"",OR(AND(INDEX(職員マスタ!$G$6:$G$405,$AN1034)&lt;&gt;"",INDEX(職員マスタ!$G$6:$G$405,$AN1034)&gt;EOMONTH($AO1034,0)),AND(INDEX(職員マスタ!$H$6:$H$405,$AN1034)&lt;&gt;"",INDEX(職員マスタ!$H$6:$H$405,$AN1034)&lt;$AO1034))),"対象月が時短期間外／","")&amp;IF(AND(INDEX(職員マスタ!$F$6:$F$405,$AN1034)&lt;&gt;"",$AO1034&lt;&gt;"",INDEX(職員マスタ!$F$6:$F$405,$AN1034)&lt;$AO1034),"対象月に子が2歳到達済／","")&amp;IF(AND($H1034&lt;&gt;"",INDEX(職員マスタ!$B$6:$B$405,$AN1034)&lt;&gt;"",SUBSTITUTE(SUBSTITUTE($H1034," ","")," ","")&lt;&gt;SUBSTITUTE(SUBSTITUTE(INDEX(職員マスタ!$B$6:$B$405,$AN1034)," ","")," ","")),"氏名がマスタと相違／","")&amp;IF(AND($Q1034&lt;&gt;"",INDEX(職員マスタ!$E$6:$E$405,$AN1034)&lt;&gt;"",$Q1034&lt;&gt;INDEX(職員マスタ!$E$6:$E$405,$AN1034)),"子の生年月日がマスタと相違／","")&amp;IF(AND($L1034&lt;&gt;"",INDEX(職員マスタ!$G$6:$G$405,$AN1034)&lt;&gt;"",$L1034&lt;&gt;INDEX(職員マスタ!$G$6:$G$405,$AN1034)),"時短開始日がマスタと相違／","")&amp;IF(AND($M1034&lt;&gt;"",INDEX(職員マスタ!$H$6:$H$405,$AN1034)&lt;&gt;"",$M1034&lt;&gt;INDEX(職員マスタ!$H$6:$H$405,$AN1034)),"時短終了日がマスタと相違／","")))&amp;IF(AND($B1034&lt;&gt;"",$E1034=""),"報酬額が未入力／","")&amp;IF(N($U1034)&gt;0,"申請書に入力エラーが残っています／","")&amp;IF(AND($B1034&lt;&gt;"",$AO1034&lt;&gt;""),IF(COUNTIFS($B$6:$B$3005,$B1034,$C$6:$C$3005,$C1034,$D$6:$D$3005,$D1034)&gt;1,"同じ月の請求が重複しています／",""),"")&amp;IF(AND(N($E1034)&gt;0,$Z1034&lt;&gt;"",$Z1034&lt;&gt;"×",$AC1034=0,$AB1034=""),"計算額が下限以下のため不支給／",""))</f>
        <v/>
      </c>
      <c r="AL1034" s="12" t="n"/>
      <c r="AM1034" s="14">
        <f>IF($AD1034="保留中",COUNTIF($AD$6:$AD1034,"保留中"),"")</f>
        <v/>
      </c>
      <c r="AN1034" s="14">
        <f>IF($AO1034="","",IF(SUMPRODUCT(MAX((職員マスタ!$A$6:$A$405=$B1034)*(((職員マスタ!$G$6:$G$405="")+(職員マスタ!$G$6:$G$405&lt;=EOMONTH($AO1034,0)))&gt;0)*(((職員マスタ!$H$6:$H$405="")+(職員マスタ!$H$6:$H$405&gt;=$AO1034))&gt;0)*(ROW(職員マスタ!$A$6:$A$405)-5)))&gt;0,SUMPRODUCT(MAX((職員マスタ!$A$6:$A$405=$B1034)*(((職員マスタ!$G$6:$G$405="")+(職員マスタ!$G$6:$G$405&lt;=EOMONTH($AO1034,0)))&gt;0)*(((職員マスタ!$H$6:$H$405="")+(職員マスタ!$H$6:$H$405&gt;=$AO1034))&gt;0)*(ROW(職員マスタ!$A$6:$A$405)-5))),IFERROR(MATCH($B1034,職員マスタ!$A$6:$A$405,0),"")))</f>
        <v/>
      </c>
      <c r="AO1034" s="16">
        <f>IF(OR($B1034="",$C1034="",$D1034=""),"",DATE($C1034+2018,$D1034,1))</f>
        <v/>
      </c>
    </row>
    <row r="1035">
      <c r="A1035" s="11" t="n"/>
      <c r="B1035" s="12" t="n"/>
      <c r="C1035" s="12" t="n"/>
      <c r="D1035" s="12" t="n"/>
      <c r="E1035" s="13" t="n"/>
      <c r="F1035" s="12" t="n"/>
      <c r="G1035" s="13" t="n"/>
      <c r="H1035" s="12" t="n"/>
      <c r="I1035" s="12" t="n"/>
      <c r="J1035" s="12" t="n"/>
      <c r="K1035" s="12" t="n"/>
      <c r="L1035" s="11" t="n"/>
      <c r="M1035" s="11" t="n"/>
      <c r="N1035" s="11" t="n"/>
      <c r="O1035" s="11" t="n"/>
      <c r="P1035" s="12" t="n"/>
      <c r="Q1035" s="11" t="n"/>
      <c r="R1035" s="12" t="n"/>
      <c r="S1035" s="11" t="n"/>
      <c r="T1035" s="12" t="n"/>
      <c r="U1035" s="12" t="n"/>
      <c r="V1035" s="14">
        <f>IF($AN1035="",IF($B1035="","",$H1035),IF(INDEX(職員マスタ!$B$6:$B$405,$AN1035)="",$H1035,INDEX(職員マスタ!$B$6:$B$405,$AN1035)))</f>
        <v/>
      </c>
      <c r="W1035" s="14">
        <f>IF($AN1035="",IF($B1035="","",$R1035),IF(INDEX(職員マスタ!$C$6:$C$405,$AN1035)="",$R1035,INDEX(職員マスタ!$C$6:$C$405,$AN1035)))</f>
        <v/>
      </c>
      <c r="X1035" s="14">
        <f>IF($AO1035="","","R"&amp;$C1035&amp;"."&amp;$D1035)</f>
        <v/>
      </c>
      <c r="Y1035" s="15">
        <f>IF($AN1035="","",IF(INDEX(職員マスタ!$K$6:$K$405,$AN1035)="","",INDEX(職員マスタ!$K$6:$K$405,$AN1035)))</f>
        <v/>
      </c>
      <c r="Z1035" s="14">
        <f>IF(OR($E1035="",$Y1035=""),"",IF($E1035&gt;=$Y1035,"×",IF($E1035&gt;=$Y1035*設定!$C$5,"△","○")))</f>
        <v/>
      </c>
      <c r="AA1035" s="15">
        <f>IF($Z1035="","",IF($Z1035="×",0,IF($Z1035="○",ROUNDDOWN($E1035*設定!$C$4,0),ROUNDDOWN($E1035*ROUND((9*$Y1035-9*$E1035)/(10*$E1035),4),0))))</f>
        <v/>
      </c>
      <c r="AB1035" s="13" t="n"/>
      <c r="AC1035" s="15">
        <f>IF($B1035="","",IF($AB1035&lt;&gt;"",$AB1035,IF($AA1035="","",IF($AA1035&lt;=設定!$C$3,0,$AA1035))))</f>
        <v/>
      </c>
      <c r="AD1035" s="14">
        <f>IF($B1035="","",IF(AND($AE1035&lt;&gt;"",$AG1035="",$AJ1035=""),"保留中",IF($AJ1035&lt;&gt;"",IF(N($AC1035)&gt;0,"支給済","不支給"),IF($AC1035="","要確認",IF($AC1035=0,"不支給","未処理")))))</f>
        <v/>
      </c>
      <c r="AE1035" s="12" t="n"/>
      <c r="AF1035" s="11" t="n"/>
      <c r="AG1035" s="11" t="n"/>
      <c r="AH1035" s="11" t="n"/>
      <c r="AI1035" s="14">
        <f>IF(AND($AD1035="保留中",$AF1035&lt;&gt;""),TODAY()-$AF1035,"")</f>
        <v/>
      </c>
      <c r="AJ1035" s="12" t="n"/>
      <c r="AK1035" s="14">
        <f>IF($B1035="","",IF($AO1035="","対象年月が未入力／","")&amp;IF($B1035="","",IF($AN1035="","職員マスタに未登録の職員番号／",IF($Y1035="","標準報酬月額が未登録／","")&amp;IF(AND($AO1035&lt;&gt;"",OR(AND(INDEX(職員マスタ!$G$6:$G$405,$AN1035)&lt;&gt;"",INDEX(職員マスタ!$G$6:$G$405,$AN1035)&gt;EOMONTH($AO1035,0)),AND(INDEX(職員マスタ!$H$6:$H$405,$AN1035)&lt;&gt;"",INDEX(職員マスタ!$H$6:$H$405,$AN1035)&lt;$AO1035))),"対象月が時短期間外／","")&amp;IF(AND(INDEX(職員マスタ!$F$6:$F$405,$AN1035)&lt;&gt;"",$AO1035&lt;&gt;"",INDEX(職員マスタ!$F$6:$F$405,$AN1035)&lt;$AO1035),"対象月に子が2歳到達済／","")&amp;IF(AND($H1035&lt;&gt;"",INDEX(職員マスタ!$B$6:$B$405,$AN1035)&lt;&gt;"",SUBSTITUTE(SUBSTITUTE($H1035," ","")," ","")&lt;&gt;SUBSTITUTE(SUBSTITUTE(INDEX(職員マスタ!$B$6:$B$405,$AN1035)," ","")," ","")),"氏名がマスタと相違／","")&amp;IF(AND($Q1035&lt;&gt;"",INDEX(職員マスタ!$E$6:$E$405,$AN1035)&lt;&gt;"",$Q1035&lt;&gt;INDEX(職員マスタ!$E$6:$E$405,$AN1035)),"子の生年月日がマスタと相違／","")&amp;IF(AND($L1035&lt;&gt;"",INDEX(職員マスタ!$G$6:$G$405,$AN1035)&lt;&gt;"",$L1035&lt;&gt;INDEX(職員マスタ!$G$6:$G$405,$AN1035)),"時短開始日がマスタと相違／","")&amp;IF(AND($M1035&lt;&gt;"",INDEX(職員マスタ!$H$6:$H$405,$AN1035)&lt;&gt;"",$M1035&lt;&gt;INDEX(職員マスタ!$H$6:$H$405,$AN1035)),"時短終了日がマスタと相違／","")))&amp;IF(AND($B1035&lt;&gt;"",$E1035=""),"報酬額が未入力／","")&amp;IF(N($U1035)&gt;0,"申請書に入力エラーが残っています／","")&amp;IF(AND($B1035&lt;&gt;"",$AO1035&lt;&gt;""),IF(COUNTIFS($B$6:$B$3005,$B1035,$C$6:$C$3005,$C1035,$D$6:$D$3005,$D1035)&gt;1,"同じ月の請求が重複しています／",""),"")&amp;IF(AND(N($E1035)&gt;0,$Z1035&lt;&gt;"",$Z1035&lt;&gt;"×",$AC1035=0,$AB1035=""),"計算額が下限以下のため不支給／",""))</f>
        <v/>
      </c>
      <c r="AL1035" s="12" t="n"/>
      <c r="AM1035" s="14">
        <f>IF($AD1035="保留中",COUNTIF($AD$6:$AD1035,"保留中"),"")</f>
        <v/>
      </c>
      <c r="AN1035" s="14">
        <f>IF($AO1035="","",IF(SUMPRODUCT(MAX((職員マスタ!$A$6:$A$405=$B1035)*(((職員マスタ!$G$6:$G$405="")+(職員マスタ!$G$6:$G$405&lt;=EOMONTH($AO1035,0)))&gt;0)*(((職員マスタ!$H$6:$H$405="")+(職員マスタ!$H$6:$H$405&gt;=$AO1035))&gt;0)*(ROW(職員マスタ!$A$6:$A$405)-5)))&gt;0,SUMPRODUCT(MAX((職員マスタ!$A$6:$A$405=$B1035)*(((職員マスタ!$G$6:$G$405="")+(職員マスタ!$G$6:$G$405&lt;=EOMONTH($AO1035,0)))&gt;0)*(((職員マスタ!$H$6:$H$405="")+(職員マスタ!$H$6:$H$405&gt;=$AO1035))&gt;0)*(ROW(職員マスタ!$A$6:$A$405)-5))),IFERROR(MATCH($B1035,職員マスタ!$A$6:$A$405,0),"")))</f>
        <v/>
      </c>
      <c r="AO1035" s="16">
        <f>IF(OR($B1035="",$C1035="",$D1035=""),"",DATE($C1035+2018,$D1035,1))</f>
        <v/>
      </c>
    </row>
    <row r="1036">
      <c r="A1036" s="11" t="n"/>
      <c r="B1036" s="12" t="n"/>
      <c r="C1036" s="12" t="n"/>
      <c r="D1036" s="12" t="n"/>
      <c r="E1036" s="13" t="n"/>
      <c r="F1036" s="12" t="n"/>
      <c r="G1036" s="13" t="n"/>
      <c r="H1036" s="12" t="n"/>
      <c r="I1036" s="12" t="n"/>
      <c r="J1036" s="12" t="n"/>
      <c r="K1036" s="12" t="n"/>
      <c r="L1036" s="11" t="n"/>
      <c r="M1036" s="11" t="n"/>
      <c r="N1036" s="11" t="n"/>
      <c r="O1036" s="11" t="n"/>
      <c r="P1036" s="12" t="n"/>
      <c r="Q1036" s="11" t="n"/>
      <c r="R1036" s="12" t="n"/>
      <c r="S1036" s="11" t="n"/>
      <c r="T1036" s="12" t="n"/>
      <c r="U1036" s="12" t="n"/>
      <c r="V1036" s="14">
        <f>IF($AN1036="",IF($B1036="","",$H1036),IF(INDEX(職員マスタ!$B$6:$B$405,$AN1036)="",$H1036,INDEX(職員マスタ!$B$6:$B$405,$AN1036)))</f>
        <v/>
      </c>
      <c r="W1036" s="14">
        <f>IF($AN1036="",IF($B1036="","",$R1036),IF(INDEX(職員マスタ!$C$6:$C$405,$AN1036)="",$R1036,INDEX(職員マスタ!$C$6:$C$405,$AN1036)))</f>
        <v/>
      </c>
      <c r="X1036" s="14">
        <f>IF($AO1036="","","R"&amp;$C1036&amp;"."&amp;$D1036)</f>
        <v/>
      </c>
      <c r="Y1036" s="15">
        <f>IF($AN1036="","",IF(INDEX(職員マスタ!$K$6:$K$405,$AN1036)="","",INDEX(職員マスタ!$K$6:$K$405,$AN1036)))</f>
        <v/>
      </c>
      <c r="Z1036" s="14">
        <f>IF(OR($E1036="",$Y1036=""),"",IF($E1036&gt;=$Y1036,"×",IF($E1036&gt;=$Y1036*設定!$C$5,"△","○")))</f>
        <v/>
      </c>
      <c r="AA1036" s="15">
        <f>IF($Z1036="","",IF($Z1036="×",0,IF($Z1036="○",ROUNDDOWN($E1036*設定!$C$4,0),ROUNDDOWN($E1036*ROUND((9*$Y1036-9*$E1036)/(10*$E1036),4),0))))</f>
        <v/>
      </c>
      <c r="AB1036" s="13" t="n"/>
      <c r="AC1036" s="15">
        <f>IF($B1036="","",IF($AB1036&lt;&gt;"",$AB1036,IF($AA1036="","",IF($AA1036&lt;=設定!$C$3,0,$AA1036))))</f>
        <v/>
      </c>
      <c r="AD1036" s="14">
        <f>IF($B1036="","",IF(AND($AE1036&lt;&gt;"",$AG1036="",$AJ1036=""),"保留中",IF($AJ1036&lt;&gt;"",IF(N($AC1036)&gt;0,"支給済","不支給"),IF($AC1036="","要確認",IF($AC1036=0,"不支給","未処理")))))</f>
        <v/>
      </c>
      <c r="AE1036" s="12" t="n"/>
      <c r="AF1036" s="11" t="n"/>
      <c r="AG1036" s="11" t="n"/>
      <c r="AH1036" s="11" t="n"/>
      <c r="AI1036" s="14">
        <f>IF(AND($AD1036="保留中",$AF1036&lt;&gt;""),TODAY()-$AF1036,"")</f>
        <v/>
      </c>
      <c r="AJ1036" s="12" t="n"/>
      <c r="AK1036" s="14">
        <f>IF($B1036="","",IF($AO1036="","対象年月が未入力／","")&amp;IF($B1036="","",IF($AN1036="","職員マスタに未登録の職員番号／",IF($Y1036="","標準報酬月額が未登録／","")&amp;IF(AND($AO1036&lt;&gt;"",OR(AND(INDEX(職員マスタ!$G$6:$G$405,$AN1036)&lt;&gt;"",INDEX(職員マスタ!$G$6:$G$405,$AN1036)&gt;EOMONTH($AO1036,0)),AND(INDEX(職員マスタ!$H$6:$H$405,$AN1036)&lt;&gt;"",INDEX(職員マスタ!$H$6:$H$405,$AN1036)&lt;$AO1036))),"対象月が時短期間外／","")&amp;IF(AND(INDEX(職員マスタ!$F$6:$F$405,$AN1036)&lt;&gt;"",$AO1036&lt;&gt;"",INDEX(職員マスタ!$F$6:$F$405,$AN1036)&lt;$AO1036),"対象月に子が2歳到達済／","")&amp;IF(AND($H1036&lt;&gt;"",INDEX(職員マスタ!$B$6:$B$405,$AN1036)&lt;&gt;"",SUBSTITUTE(SUBSTITUTE($H1036," ","")," ","")&lt;&gt;SUBSTITUTE(SUBSTITUTE(INDEX(職員マスタ!$B$6:$B$405,$AN1036)," ","")," ","")),"氏名がマスタと相違／","")&amp;IF(AND($Q1036&lt;&gt;"",INDEX(職員マスタ!$E$6:$E$405,$AN1036)&lt;&gt;"",$Q1036&lt;&gt;INDEX(職員マスタ!$E$6:$E$405,$AN1036)),"子の生年月日がマスタと相違／","")&amp;IF(AND($L1036&lt;&gt;"",INDEX(職員マスタ!$G$6:$G$405,$AN1036)&lt;&gt;"",$L1036&lt;&gt;INDEX(職員マスタ!$G$6:$G$405,$AN1036)),"時短開始日がマスタと相違／","")&amp;IF(AND($M1036&lt;&gt;"",INDEX(職員マスタ!$H$6:$H$405,$AN1036)&lt;&gt;"",$M1036&lt;&gt;INDEX(職員マスタ!$H$6:$H$405,$AN1036)),"時短終了日がマスタと相違／","")))&amp;IF(AND($B1036&lt;&gt;"",$E1036=""),"報酬額が未入力／","")&amp;IF(N($U1036)&gt;0,"申請書に入力エラーが残っています／","")&amp;IF(AND($B1036&lt;&gt;"",$AO1036&lt;&gt;""),IF(COUNTIFS($B$6:$B$3005,$B1036,$C$6:$C$3005,$C1036,$D$6:$D$3005,$D1036)&gt;1,"同じ月の請求が重複しています／",""),"")&amp;IF(AND(N($E1036)&gt;0,$Z1036&lt;&gt;"",$Z1036&lt;&gt;"×",$AC1036=0,$AB1036=""),"計算額が下限以下のため不支給／",""))</f>
        <v/>
      </c>
      <c r="AL1036" s="12" t="n"/>
      <c r="AM1036" s="14">
        <f>IF($AD1036="保留中",COUNTIF($AD$6:$AD1036,"保留中"),"")</f>
        <v/>
      </c>
      <c r="AN1036" s="14">
        <f>IF($AO1036="","",IF(SUMPRODUCT(MAX((職員マスタ!$A$6:$A$405=$B1036)*(((職員マスタ!$G$6:$G$405="")+(職員マスタ!$G$6:$G$405&lt;=EOMONTH($AO1036,0)))&gt;0)*(((職員マスタ!$H$6:$H$405="")+(職員マスタ!$H$6:$H$405&gt;=$AO1036))&gt;0)*(ROW(職員マスタ!$A$6:$A$405)-5)))&gt;0,SUMPRODUCT(MAX((職員マスタ!$A$6:$A$405=$B1036)*(((職員マスタ!$G$6:$G$405="")+(職員マスタ!$G$6:$G$405&lt;=EOMONTH($AO1036,0)))&gt;0)*(((職員マスタ!$H$6:$H$405="")+(職員マスタ!$H$6:$H$405&gt;=$AO1036))&gt;0)*(ROW(職員マスタ!$A$6:$A$405)-5))),IFERROR(MATCH($B1036,職員マスタ!$A$6:$A$405,0),"")))</f>
        <v/>
      </c>
      <c r="AO1036" s="16">
        <f>IF(OR($B1036="",$C1036="",$D1036=""),"",DATE($C1036+2018,$D1036,1))</f>
        <v/>
      </c>
    </row>
    <row r="1037">
      <c r="A1037" s="11" t="n"/>
      <c r="B1037" s="12" t="n"/>
      <c r="C1037" s="12" t="n"/>
      <c r="D1037" s="12" t="n"/>
      <c r="E1037" s="13" t="n"/>
      <c r="F1037" s="12" t="n"/>
      <c r="G1037" s="13" t="n"/>
      <c r="H1037" s="12" t="n"/>
      <c r="I1037" s="12" t="n"/>
      <c r="J1037" s="12" t="n"/>
      <c r="K1037" s="12" t="n"/>
      <c r="L1037" s="11" t="n"/>
      <c r="M1037" s="11" t="n"/>
      <c r="N1037" s="11" t="n"/>
      <c r="O1037" s="11" t="n"/>
      <c r="P1037" s="12" t="n"/>
      <c r="Q1037" s="11" t="n"/>
      <c r="R1037" s="12" t="n"/>
      <c r="S1037" s="11" t="n"/>
      <c r="T1037" s="12" t="n"/>
      <c r="U1037" s="12" t="n"/>
      <c r="V1037" s="14">
        <f>IF($AN1037="",IF($B1037="","",$H1037),IF(INDEX(職員マスタ!$B$6:$B$405,$AN1037)="",$H1037,INDEX(職員マスタ!$B$6:$B$405,$AN1037)))</f>
        <v/>
      </c>
      <c r="W1037" s="14">
        <f>IF($AN1037="",IF($B1037="","",$R1037),IF(INDEX(職員マスタ!$C$6:$C$405,$AN1037)="",$R1037,INDEX(職員マスタ!$C$6:$C$405,$AN1037)))</f>
        <v/>
      </c>
      <c r="X1037" s="14">
        <f>IF($AO1037="","","R"&amp;$C1037&amp;"."&amp;$D1037)</f>
        <v/>
      </c>
      <c r="Y1037" s="15">
        <f>IF($AN1037="","",IF(INDEX(職員マスタ!$K$6:$K$405,$AN1037)="","",INDEX(職員マスタ!$K$6:$K$405,$AN1037)))</f>
        <v/>
      </c>
      <c r="Z1037" s="14">
        <f>IF(OR($E1037="",$Y1037=""),"",IF($E1037&gt;=$Y1037,"×",IF($E1037&gt;=$Y1037*設定!$C$5,"△","○")))</f>
        <v/>
      </c>
      <c r="AA1037" s="15">
        <f>IF($Z1037="","",IF($Z1037="×",0,IF($Z1037="○",ROUNDDOWN($E1037*設定!$C$4,0),ROUNDDOWN($E1037*ROUND((9*$Y1037-9*$E1037)/(10*$E1037),4),0))))</f>
        <v/>
      </c>
      <c r="AB1037" s="13" t="n"/>
      <c r="AC1037" s="15">
        <f>IF($B1037="","",IF($AB1037&lt;&gt;"",$AB1037,IF($AA1037="","",IF($AA1037&lt;=設定!$C$3,0,$AA1037))))</f>
        <v/>
      </c>
      <c r="AD1037" s="14">
        <f>IF($B1037="","",IF(AND($AE1037&lt;&gt;"",$AG1037="",$AJ1037=""),"保留中",IF($AJ1037&lt;&gt;"",IF(N($AC1037)&gt;0,"支給済","不支給"),IF($AC1037="","要確認",IF($AC1037=0,"不支給","未処理")))))</f>
        <v/>
      </c>
      <c r="AE1037" s="12" t="n"/>
      <c r="AF1037" s="11" t="n"/>
      <c r="AG1037" s="11" t="n"/>
      <c r="AH1037" s="11" t="n"/>
      <c r="AI1037" s="14">
        <f>IF(AND($AD1037="保留中",$AF1037&lt;&gt;""),TODAY()-$AF1037,"")</f>
        <v/>
      </c>
      <c r="AJ1037" s="12" t="n"/>
      <c r="AK1037" s="14">
        <f>IF($B1037="","",IF($AO1037="","対象年月が未入力／","")&amp;IF($B1037="","",IF($AN1037="","職員マスタに未登録の職員番号／",IF($Y1037="","標準報酬月額が未登録／","")&amp;IF(AND($AO1037&lt;&gt;"",OR(AND(INDEX(職員マスタ!$G$6:$G$405,$AN1037)&lt;&gt;"",INDEX(職員マスタ!$G$6:$G$405,$AN1037)&gt;EOMONTH($AO1037,0)),AND(INDEX(職員マスタ!$H$6:$H$405,$AN1037)&lt;&gt;"",INDEX(職員マスタ!$H$6:$H$405,$AN1037)&lt;$AO1037))),"対象月が時短期間外／","")&amp;IF(AND(INDEX(職員マスタ!$F$6:$F$405,$AN1037)&lt;&gt;"",$AO1037&lt;&gt;"",INDEX(職員マスタ!$F$6:$F$405,$AN1037)&lt;$AO1037),"対象月に子が2歳到達済／","")&amp;IF(AND($H1037&lt;&gt;"",INDEX(職員マスタ!$B$6:$B$405,$AN1037)&lt;&gt;"",SUBSTITUTE(SUBSTITUTE($H1037," ","")," ","")&lt;&gt;SUBSTITUTE(SUBSTITUTE(INDEX(職員マスタ!$B$6:$B$405,$AN1037)," ","")," ","")),"氏名がマスタと相違／","")&amp;IF(AND($Q1037&lt;&gt;"",INDEX(職員マスタ!$E$6:$E$405,$AN1037)&lt;&gt;"",$Q1037&lt;&gt;INDEX(職員マスタ!$E$6:$E$405,$AN1037)),"子の生年月日がマスタと相違／","")&amp;IF(AND($L1037&lt;&gt;"",INDEX(職員マスタ!$G$6:$G$405,$AN1037)&lt;&gt;"",$L1037&lt;&gt;INDEX(職員マスタ!$G$6:$G$405,$AN1037)),"時短開始日がマスタと相違／","")&amp;IF(AND($M1037&lt;&gt;"",INDEX(職員マスタ!$H$6:$H$405,$AN1037)&lt;&gt;"",$M1037&lt;&gt;INDEX(職員マスタ!$H$6:$H$405,$AN1037)),"時短終了日がマスタと相違／","")))&amp;IF(AND($B1037&lt;&gt;"",$E1037=""),"報酬額が未入力／","")&amp;IF(N($U1037)&gt;0,"申請書に入力エラーが残っています／","")&amp;IF(AND($B1037&lt;&gt;"",$AO1037&lt;&gt;""),IF(COUNTIFS($B$6:$B$3005,$B1037,$C$6:$C$3005,$C1037,$D$6:$D$3005,$D1037)&gt;1,"同じ月の請求が重複しています／",""),"")&amp;IF(AND(N($E1037)&gt;0,$Z1037&lt;&gt;"",$Z1037&lt;&gt;"×",$AC1037=0,$AB1037=""),"計算額が下限以下のため不支給／",""))</f>
        <v/>
      </c>
      <c r="AL1037" s="12" t="n"/>
      <c r="AM1037" s="14">
        <f>IF($AD1037="保留中",COUNTIF($AD$6:$AD1037,"保留中"),"")</f>
        <v/>
      </c>
      <c r="AN1037" s="14">
        <f>IF($AO1037="","",IF(SUMPRODUCT(MAX((職員マスタ!$A$6:$A$405=$B1037)*(((職員マスタ!$G$6:$G$405="")+(職員マスタ!$G$6:$G$405&lt;=EOMONTH($AO1037,0)))&gt;0)*(((職員マスタ!$H$6:$H$405="")+(職員マスタ!$H$6:$H$405&gt;=$AO1037))&gt;0)*(ROW(職員マスタ!$A$6:$A$405)-5)))&gt;0,SUMPRODUCT(MAX((職員マスタ!$A$6:$A$405=$B1037)*(((職員マスタ!$G$6:$G$405="")+(職員マスタ!$G$6:$G$405&lt;=EOMONTH($AO1037,0)))&gt;0)*(((職員マスタ!$H$6:$H$405="")+(職員マスタ!$H$6:$H$405&gt;=$AO1037))&gt;0)*(ROW(職員マスタ!$A$6:$A$405)-5))),IFERROR(MATCH($B1037,職員マスタ!$A$6:$A$405,0),"")))</f>
        <v/>
      </c>
      <c r="AO1037" s="16">
        <f>IF(OR($B1037="",$C1037="",$D1037=""),"",DATE($C1037+2018,$D1037,1))</f>
        <v/>
      </c>
    </row>
    <row r="1038">
      <c r="A1038" s="11" t="n"/>
      <c r="B1038" s="12" t="n"/>
      <c r="C1038" s="12" t="n"/>
      <c r="D1038" s="12" t="n"/>
      <c r="E1038" s="13" t="n"/>
      <c r="F1038" s="12" t="n"/>
      <c r="G1038" s="13" t="n"/>
      <c r="H1038" s="12" t="n"/>
      <c r="I1038" s="12" t="n"/>
      <c r="J1038" s="12" t="n"/>
      <c r="K1038" s="12" t="n"/>
      <c r="L1038" s="11" t="n"/>
      <c r="M1038" s="11" t="n"/>
      <c r="N1038" s="11" t="n"/>
      <c r="O1038" s="11" t="n"/>
      <c r="P1038" s="12" t="n"/>
      <c r="Q1038" s="11" t="n"/>
      <c r="R1038" s="12" t="n"/>
      <c r="S1038" s="11" t="n"/>
      <c r="T1038" s="12" t="n"/>
      <c r="U1038" s="12" t="n"/>
      <c r="V1038" s="14">
        <f>IF($AN1038="",IF($B1038="","",$H1038),IF(INDEX(職員マスタ!$B$6:$B$405,$AN1038)="",$H1038,INDEX(職員マスタ!$B$6:$B$405,$AN1038)))</f>
        <v/>
      </c>
      <c r="W1038" s="14">
        <f>IF($AN1038="",IF($B1038="","",$R1038),IF(INDEX(職員マスタ!$C$6:$C$405,$AN1038)="",$R1038,INDEX(職員マスタ!$C$6:$C$405,$AN1038)))</f>
        <v/>
      </c>
      <c r="X1038" s="14">
        <f>IF($AO1038="","","R"&amp;$C1038&amp;"."&amp;$D1038)</f>
        <v/>
      </c>
      <c r="Y1038" s="15">
        <f>IF($AN1038="","",IF(INDEX(職員マスタ!$K$6:$K$405,$AN1038)="","",INDEX(職員マスタ!$K$6:$K$405,$AN1038)))</f>
        <v/>
      </c>
      <c r="Z1038" s="14">
        <f>IF(OR($E1038="",$Y1038=""),"",IF($E1038&gt;=$Y1038,"×",IF($E1038&gt;=$Y1038*設定!$C$5,"△","○")))</f>
        <v/>
      </c>
      <c r="AA1038" s="15">
        <f>IF($Z1038="","",IF($Z1038="×",0,IF($Z1038="○",ROUNDDOWN($E1038*設定!$C$4,0),ROUNDDOWN($E1038*ROUND((9*$Y1038-9*$E1038)/(10*$E1038),4),0))))</f>
        <v/>
      </c>
      <c r="AB1038" s="13" t="n"/>
      <c r="AC1038" s="15">
        <f>IF($B1038="","",IF($AB1038&lt;&gt;"",$AB1038,IF($AA1038="","",IF($AA1038&lt;=設定!$C$3,0,$AA1038))))</f>
        <v/>
      </c>
      <c r="AD1038" s="14">
        <f>IF($B1038="","",IF(AND($AE1038&lt;&gt;"",$AG1038="",$AJ1038=""),"保留中",IF($AJ1038&lt;&gt;"",IF(N($AC1038)&gt;0,"支給済","不支給"),IF($AC1038="","要確認",IF($AC1038=0,"不支給","未処理")))))</f>
        <v/>
      </c>
      <c r="AE1038" s="12" t="n"/>
      <c r="AF1038" s="11" t="n"/>
      <c r="AG1038" s="11" t="n"/>
      <c r="AH1038" s="11" t="n"/>
      <c r="AI1038" s="14">
        <f>IF(AND($AD1038="保留中",$AF1038&lt;&gt;""),TODAY()-$AF1038,"")</f>
        <v/>
      </c>
      <c r="AJ1038" s="12" t="n"/>
      <c r="AK1038" s="14">
        <f>IF($B1038="","",IF($AO1038="","対象年月が未入力／","")&amp;IF($B1038="","",IF($AN1038="","職員マスタに未登録の職員番号／",IF($Y1038="","標準報酬月額が未登録／","")&amp;IF(AND($AO1038&lt;&gt;"",OR(AND(INDEX(職員マスタ!$G$6:$G$405,$AN1038)&lt;&gt;"",INDEX(職員マスタ!$G$6:$G$405,$AN1038)&gt;EOMONTH($AO1038,0)),AND(INDEX(職員マスタ!$H$6:$H$405,$AN1038)&lt;&gt;"",INDEX(職員マスタ!$H$6:$H$405,$AN1038)&lt;$AO1038))),"対象月が時短期間外／","")&amp;IF(AND(INDEX(職員マスタ!$F$6:$F$405,$AN1038)&lt;&gt;"",$AO1038&lt;&gt;"",INDEX(職員マスタ!$F$6:$F$405,$AN1038)&lt;$AO1038),"対象月に子が2歳到達済／","")&amp;IF(AND($H1038&lt;&gt;"",INDEX(職員マスタ!$B$6:$B$405,$AN1038)&lt;&gt;"",SUBSTITUTE(SUBSTITUTE($H1038," ","")," ","")&lt;&gt;SUBSTITUTE(SUBSTITUTE(INDEX(職員マスタ!$B$6:$B$405,$AN1038)," ","")," ","")),"氏名がマスタと相違／","")&amp;IF(AND($Q1038&lt;&gt;"",INDEX(職員マスタ!$E$6:$E$405,$AN1038)&lt;&gt;"",$Q1038&lt;&gt;INDEX(職員マスタ!$E$6:$E$405,$AN1038)),"子の生年月日がマスタと相違／","")&amp;IF(AND($L1038&lt;&gt;"",INDEX(職員マスタ!$G$6:$G$405,$AN1038)&lt;&gt;"",$L1038&lt;&gt;INDEX(職員マスタ!$G$6:$G$405,$AN1038)),"時短開始日がマスタと相違／","")&amp;IF(AND($M1038&lt;&gt;"",INDEX(職員マスタ!$H$6:$H$405,$AN1038)&lt;&gt;"",$M1038&lt;&gt;INDEX(職員マスタ!$H$6:$H$405,$AN1038)),"時短終了日がマスタと相違／","")))&amp;IF(AND($B1038&lt;&gt;"",$E1038=""),"報酬額が未入力／","")&amp;IF(N($U1038)&gt;0,"申請書に入力エラーが残っています／","")&amp;IF(AND($B1038&lt;&gt;"",$AO1038&lt;&gt;""),IF(COUNTIFS($B$6:$B$3005,$B1038,$C$6:$C$3005,$C1038,$D$6:$D$3005,$D1038)&gt;1,"同じ月の請求が重複しています／",""),"")&amp;IF(AND(N($E1038)&gt;0,$Z1038&lt;&gt;"",$Z1038&lt;&gt;"×",$AC1038=0,$AB1038=""),"計算額が下限以下のため不支給／",""))</f>
        <v/>
      </c>
      <c r="AL1038" s="12" t="n"/>
      <c r="AM1038" s="14">
        <f>IF($AD1038="保留中",COUNTIF($AD$6:$AD1038,"保留中"),"")</f>
        <v/>
      </c>
      <c r="AN1038" s="14">
        <f>IF($AO1038="","",IF(SUMPRODUCT(MAX((職員マスタ!$A$6:$A$405=$B1038)*(((職員マスタ!$G$6:$G$405="")+(職員マスタ!$G$6:$G$405&lt;=EOMONTH($AO1038,0)))&gt;0)*(((職員マスタ!$H$6:$H$405="")+(職員マスタ!$H$6:$H$405&gt;=$AO1038))&gt;0)*(ROW(職員マスタ!$A$6:$A$405)-5)))&gt;0,SUMPRODUCT(MAX((職員マスタ!$A$6:$A$405=$B1038)*(((職員マスタ!$G$6:$G$405="")+(職員マスタ!$G$6:$G$405&lt;=EOMONTH($AO1038,0)))&gt;0)*(((職員マスタ!$H$6:$H$405="")+(職員マスタ!$H$6:$H$405&gt;=$AO1038))&gt;0)*(ROW(職員マスタ!$A$6:$A$405)-5))),IFERROR(MATCH($B1038,職員マスタ!$A$6:$A$405,0),"")))</f>
        <v/>
      </c>
      <c r="AO1038" s="16">
        <f>IF(OR($B1038="",$C1038="",$D1038=""),"",DATE($C1038+2018,$D1038,1))</f>
        <v/>
      </c>
    </row>
    <row r="1039">
      <c r="A1039" s="11" t="n"/>
      <c r="B1039" s="12" t="n"/>
      <c r="C1039" s="12" t="n"/>
      <c r="D1039" s="12" t="n"/>
      <c r="E1039" s="13" t="n"/>
      <c r="F1039" s="12" t="n"/>
      <c r="G1039" s="13" t="n"/>
      <c r="H1039" s="12" t="n"/>
      <c r="I1039" s="12" t="n"/>
      <c r="J1039" s="12" t="n"/>
      <c r="K1039" s="12" t="n"/>
      <c r="L1039" s="11" t="n"/>
      <c r="M1039" s="11" t="n"/>
      <c r="N1039" s="11" t="n"/>
      <c r="O1039" s="11" t="n"/>
      <c r="P1039" s="12" t="n"/>
      <c r="Q1039" s="11" t="n"/>
      <c r="R1039" s="12" t="n"/>
      <c r="S1039" s="11" t="n"/>
      <c r="T1039" s="12" t="n"/>
      <c r="U1039" s="12" t="n"/>
      <c r="V1039" s="14">
        <f>IF($AN1039="",IF($B1039="","",$H1039),IF(INDEX(職員マスタ!$B$6:$B$405,$AN1039)="",$H1039,INDEX(職員マスタ!$B$6:$B$405,$AN1039)))</f>
        <v/>
      </c>
      <c r="W1039" s="14">
        <f>IF($AN1039="",IF($B1039="","",$R1039),IF(INDEX(職員マスタ!$C$6:$C$405,$AN1039)="",$R1039,INDEX(職員マスタ!$C$6:$C$405,$AN1039)))</f>
        <v/>
      </c>
      <c r="X1039" s="14">
        <f>IF($AO1039="","","R"&amp;$C1039&amp;"."&amp;$D1039)</f>
        <v/>
      </c>
      <c r="Y1039" s="15">
        <f>IF($AN1039="","",IF(INDEX(職員マスタ!$K$6:$K$405,$AN1039)="","",INDEX(職員マスタ!$K$6:$K$405,$AN1039)))</f>
        <v/>
      </c>
      <c r="Z1039" s="14">
        <f>IF(OR($E1039="",$Y1039=""),"",IF($E1039&gt;=$Y1039,"×",IF($E1039&gt;=$Y1039*設定!$C$5,"△","○")))</f>
        <v/>
      </c>
      <c r="AA1039" s="15">
        <f>IF($Z1039="","",IF($Z1039="×",0,IF($Z1039="○",ROUNDDOWN($E1039*設定!$C$4,0),ROUNDDOWN($E1039*ROUND((9*$Y1039-9*$E1039)/(10*$E1039),4),0))))</f>
        <v/>
      </c>
      <c r="AB1039" s="13" t="n"/>
      <c r="AC1039" s="15">
        <f>IF($B1039="","",IF($AB1039&lt;&gt;"",$AB1039,IF($AA1039="","",IF($AA1039&lt;=設定!$C$3,0,$AA1039))))</f>
        <v/>
      </c>
      <c r="AD1039" s="14">
        <f>IF($B1039="","",IF(AND($AE1039&lt;&gt;"",$AG1039="",$AJ1039=""),"保留中",IF($AJ1039&lt;&gt;"",IF(N($AC1039)&gt;0,"支給済","不支給"),IF($AC1039="","要確認",IF($AC1039=0,"不支給","未処理")))))</f>
        <v/>
      </c>
      <c r="AE1039" s="12" t="n"/>
      <c r="AF1039" s="11" t="n"/>
      <c r="AG1039" s="11" t="n"/>
      <c r="AH1039" s="11" t="n"/>
      <c r="AI1039" s="14">
        <f>IF(AND($AD1039="保留中",$AF1039&lt;&gt;""),TODAY()-$AF1039,"")</f>
        <v/>
      </c>
      <c r="AJ1039" s="12" t="n"/>
      <c r="AK1039" s="14">
        <f>IF($B1039="","",IF($AO1039="","対象年月が未入力／","")&amp;IF($B1039="","",IF($AN1039="","職員マスタに未登録の職員番号／",IF($Y1039="","標準報酬月額が未登録／","")&amp;IF(AND($AO1039&lt;&gt;"",OR(AND(INDEX(職員マスタ!$G$6:$G$405,$AN1039)&lt;&gt;"",INDEX(職員マスタ!$G$6:$G$405,$AN1039)&gt;EOMONTH($AO1039,0)),AND(INDEX(職員マスタ!$H$6:$H$405,$AN1039)&lt;&gt;"",INDEX(職員マスタ!$H$6:$H$405,$AN1039)&lt;$AO1039))),"対象月が時短期間外／","")&amp;IF(AND(INDEX(職員マスタ!$F$6:$F$405,$AN1039)&lt;&gt;"",$AO1039&lt;&gt;"",INDEX(職員マスタ!$F$6:$F$405,$AN1039)&lt;$AO1039),"対象月に子が2歳到達済／","")&amp;IF(AND($H1039&lt;&gt;"",INDEX(職員マスタ!$B$6:$B$405,$AN1039)&lt;&gt;"",SUBSTITUTE(SUBSTITUTE($H1039," ","")," ","")&lt;&gt;SUBSTITUTE(SUBSTITUTE(INDEX(職員マスタ!$B$6:$B$405,$AN1039)," ","")," ","")),"氏名がマスタと相違／","")&amp;IF(AND($Q1039&lt;&gt;"",INDEX(職員マスタ!$E$6:$E$405,$AN1039)&lt;&gt;"",$Q1039&lt;&gt;INDEX(職員マスタ!$E$6:$E$405,$AN1039)),"子の生年月日がマスタと相違／","")&amp;IF(AND($L1039&lt;&gt;"",INDEX(職員マスタ!$G$6:$G$405,$AN1039)&lt;&gt;"",$L1039&lt;&gt;INDEX(職員マスタ!$G$6:$G$405,$AN1039)),"時短開始日がマスタと相違／","")&amp;IF(AND($M1039&lt;&gt;"",INDEX(職員マスタ!$H$6:$H$405,$AN1039)&lt;&gt;"",$M1039&lt;&gt;INDEX(職員マスタ!$H$6:$H$405,$AN1039)),"時短終了日がマスタと相違／","")))&amp;IF(AND($B1039&lt;&gt;"",$E1039=""),"報酬額が未入力／","")&amp;IF(N($U1039)&gt;0,"申請書に入力エラーが残っています／","")&amp;IF(AND($B1039&lt;&gt;"",$AO1039&lt;&gt;""),IF(COUNTIFS($B$6:$B$3005,$B1039,$C$6:$C$3005,$C1039,$D$6:$D$3005,$D1039)&gt;1,"同じ月の請求が重複しています／",""),"")&amp;IF(AND(N($E1039)&gt;0,$Z1039&lt;&gt;"",$Z1039&lt;&gt;"×",$AC1039=0,$AB1039=""),"計算額が下限以下のため不支給／",""))</f>
        <v/>
      </c>
      <c r="AL1039" s="12" t="n"/>
      <c r="AM1039" s="14">
        <f>IF($AD1039="保留中",COUNTIF($AD$6:$AD1039,"保留中"),"")</f>
        <v/>
      </c>
      <c r="AN1039" s="14">
        <f>IF($AO1039="","",IF(SUMPRODUCT(MAX((職員マスタ!$A$6:$A$405=$B1039)*(((職員マスタ!$G$6:$G$405="")+(職員マスタ!$G$6:$G$405&lt;=EOMONTH($AO1039,0)))&gt;0)*(((職員マスタ!$H$6:$H$405="")+(職員マスタ!$H$6:$H$405&gt;=$AO1039))&gt;0)*(ROW(職員マスタ!$A$6:$A$405)-5)))&gt;0,SUMPRODUCT(MAX((職員マスタ!$A$6:$A$405=$B1039)*(((職員マスタ!$G$6:$G$405="")+(職員マスタ!$G$6:$G$405&lt;=EOMONTH($AO1039,0)))&gt;0)*(((職員マスタ!$H$6:$H$405="")+(職員マスタ!$H$6:$H$405&gt;=$AO1039))&gt;0)*(ROW(職員マスタ!$A$6:$A$405)-5))),IFERROR(MATCH($B1039,職員マスタ!$A$6:$A$405,0),"")))</f>
        <v/>
      </c>
      <c r="AO1039" s="16">
        <f>IF(OR($B1039="",$C1039="",$D1039=""),"",DATE($C1039+2018,$D1039,1))</f>
        <v/>
      </c>
    </row>
    <row r="1040">
      <c r="A1040" s="11" t="n"/>
      <c r="B1040" s="12" t="n"/>
      <c r="C1040" s="12" t="n"/>
      <c r="D1040" s="12" t="n"/>
      <c r="E1040" s="13" t="n"/>
      <c r="F1040" s="12" t="n"/>
      <c r="G1040" s="13" t="n"/>
      <c r="H1040" s="12" t="n"/>
      <c r="I1040" s="12" t="n"/>
      <c r="J1040" s="12" t="n"/>
      <c r="K1040" s="12" t="n"/>
      <c r="L1040" s="11" t="n"/>
      <c r="M1040" s="11" t="n"/>
      <c r="N1040" s="11" t="n"/>
      <c r="O1040" s="11" t="n"/>
      <c r="P1040" s="12" t="n"/>
      <c r="Q1040" s="11" t="n"/>
      <c r="R1040" s="12" t="n"/>
      <c r="S1040" s="11" t="n"/>
      <c r="T1040" s="12" t="n"/>
      <c r="U1040" s="12" t="n"/>
      <c r="V1040" s="14">
        <f>IF($AN1040="",IF($B1040="","",$H1040),IF(INDEX(職員マスタ!$B$6:$B$405,$AN1040)="",$H1040,INDEX(職員マスタ!$B$6:$B$405,$AN1040)))</f>
        <v/>
      </c>
      <c r="W1040" s="14">
        <f>IF($AN1040="",IF($B1040="","",$R1040),IF(INDEX(職員マスタ!$C$6:$C$405,$AN1040)="",$R1040,INDEX(職員マスタ!$C$6:$C$405,$AN1040)))</f>
        <v/>
      </c>
      <c r="X1040" s="14">
        <f>IF($AO1040="","","R"&amp;$C1040&amp;"."&amp;$D1040)</f>
        <v/>
      </c>
      <c r="Y1040" s="15">
        <f>IF($AN1040="","",IF(INDEX(職員マスタ!$K$6:$K$405,$AN1040)="","",INDEX(職員マスタ!$K$6:$K$405,$AN1040)))</f>
        <v/>
      </c>
      <c r="Z1040" s="14">
        <f>IF(OR($E1040="",$Y1040=""),"",IF($E1040&gt;=$Y1040,"×",IF($E1040&gt;=$Y1040*設定!$C$5,"△","○")))</f>
        <v/>
      </c>
      <c r="AA1040" s="15">
        <f>IF($Z1040="","",IF($Z1040="×",0,IF($Z1040="○",ROUNDDOWN($E1040*設定!$C$4,0),ROUNDDOWN($E1040*ROUND((9*$Y1040-9*$E1040)/(10*$E1040),4),0))))</f>
        <v/>
      </c>
      <c r="AB1040" s="13" t="n"/>
      <c r="AC1040" s="15">
        <f>IF($B1040="","",IF($AB1040&lt;&gt;"",$AB1040,IF($AA1040="","",IF($AA1040&lt;=設定!$C$3,0,$AA1040))))</f>
        <v/>
      </c>
      <c r="AD1040" s="14">
        <f>IF($B1040="","",IF(AND($AE1040&lt;&gt;"",$AG1040="",$AJ1040=""),"保留中",IF($AJ1040&lt;&gt;"",IF(N($AC1040)&gt;0,"支給済","不支給"),IF($AC1040="","要確認",IF($AC1040=0,"不支給","未処理")))))</f>
        <v/>
      </c>
      <c r="AE1040" s="12" t="n"/>
      <c r="AF1040" s="11" t="n"/>
      <c r="AG1040" s="11" t="n"/>
      <c r="AH1040" s="11" t="n"/>
      <c r="AI1040" s="14">
        <f>IF(AND($AD1040="保留中",$AF1040&lt;&gt;""),TODAY()-$AF1040,"")</f>
        <v/>
      </c>
      <c r="AJ1040" s="12" t="n"/>
      <c r="AK1040" s="14">
        <f>IF($B1040="","",IF($AO1040="","対象年月が未入力／","")&amp;IF($B1040="","",IF($AN1040="","職員マスタに未登録の職員番号／",IF($Y1040="","標準報酬月額が未登録／","")&amp;IF(AND($AO1040&lt;&gt;"",OR(AND(INDEX(職員マスタ!$G$6:$G$405,$AN1040)&lt;&gt;"",INDEX(職員マスタ!$G$6:$G$405,$AN1040)&gt;EOMONTH($AO1040,0)),AND(INDEX(職員マスタ!$H$6:$H$405,$AN1040)&lt;&gt;"",INDEX(職員マスタ!$H$6:$H$405,$AN1040)&lt;$AO1040))),"対象月が時短期間外／","")&amp;IF(AND(INDEX(職員マスタ!$F$6:$F$405,$AN1040)&lt;&gt;"",$AO1040&lt;&gt;"",INDEX(職員マスタ!$F$6:$F$405,$AN1040)&lt;$AO1040),"対象月に子が2歳到達済／","")&amp;IF(AND($H1040&lt;&gt;"",INDEX(職員マスタ!$B$6:$B$405,$AN1040)&lt;&gt;"",SUBSTITUTE(SUBSTITUTE($H1040," ","")," ","")&lt;&gt;SUBSTITUTE(SUBSTITUTE(INDEX(職員マスタ!$B$6:$B$405,$AN1040)," ","")," ","")),"氏名がマスタと相違／","")&amp;IF(AND($Q1040&lt;&gt;"",INDEX(職員マスタ!$E$6:$E$405,$AN1040)&lt;&gt;"",$Q1040&lt;&gt;INDEX(職員マスタ!$E$6:$E$405,$AN1040)),"子の生年月日がマスタと相違／","")&amp;IF(AND($L1040&lt;&gt;"",INDEX(職員マスタ!$G$6:$G$405,$AN1040)&lt;&gt;"",$L1040&lt;&gt;INDEX(職員マスタ!$G$6:$G$405,$AN1040)),"時短開始日がマスタと相違／","")&amp;IF(AND($M1040&lt;&gt;"",INDEX(職員マスタ!$H$6:$H$405,$AN1040)&lt;&gt;"",$M1040&lt;&gt;INDEX(職員マスタ!$H$6:$H$405,$AN1040)),"時短終了日がマスタと相違／","")))&amp;IF(AND($B1040&lt;&gt;"",$E1040=""),"報酬額が未入力／","")&amp;IF(N($U1040)&gt;0,"申請書に入力エラーが残っています／","")&amp;IF(AND($B1040&lt;&gt;"",$AO1040&lt;&gt;""),IF(COUNTIFS($B$6:$B$3005,$B1040,$C$6:$C$3005,$C1040,$D$6:$D$3005,$D1040)&gt;1,"同じ月の請求が重複しています／",""),"")&amp;IF(AND(N($E1040)&gt;0,$Z1040&lt;&gt;"",$Z1040&lt;&gt;"×",$AC1040=0,$AB1040=""),"計算額が下限以下のため不支給／",""))</f>
        <v/>
      </c>
      <c r="AL1040" s="12" t="n"/>
      <c r="AM1040" s="14">
        <f>IF($AD1040="保留中",COUNTIF($AD$6:$AD1040,"保留中"),"")</f>
        <v/>
      </c>
      <c r="AN1040" s="14">
        <f>IF($AO1040="","",IF(SUMPRODUCT(MAX((職員マスタ!$A$6:$A$405=$B1040)*(((職員マスタ!$G$6:$G$405="")+(職員マスタ!$G$6:$G$405&lt;=EOMONTH($AO1040,0)))&gt;0)*(((職員マスタ!$H$6:$H$405="")+(職員マスタ!$H$6:$H$405&gt;=$AO1040))&gt;0)*(ROW(職員マスタ!$A$6:$A$405)-5)))&gt;0,SUMPRODUCT(MAX((職員マスタ!$A$6:$A$405=$B1040)*(((職員マスタ!$G$6:$G$405="")+(職員マスタ!$G$6:$G$405&lt;=EOMONTH($AO1040,0)))&gt;0)*(((職員マスタ!$H$6:$H$405="")+(職員マスタ!$H$6:$H$405&gt;=$AO1040))&gt;0)*(ROW(職員マスタ!$A$6:$A$405)-5))),IFERROR(MATCH($B1040,職員マスタ!$A$6:$A$405,0),"")))</f>
        <v/>
      </c>
      <c r="AO1040" s="16">
        <f>IF(OR($B1040="",$C1040="",$D1040=""),"",DATE($C1040+2018,$D1040,1))</f>
        <v/>
      </c>
    </row>
    <row r="1041">
      <c r="A1041" s="11" t="n"/>
      <c r="B1041" s="12" t="n"/>
      <c r="C1041" s="12" t="n"/>
      <c r="D1041" s="12" t="n"/>
      <c r="E1041" s="13" t="n"/>
      <c r="F1041" s="12" t="n"/>
      <c r="G1041" s="13" t="n"/>
      <c r="H1041" s="12" t="n"/>
      <c r="I1041" s="12" t="n"/>
      <c r="J1041" s="12" t="n"/>
      <c r="K1041" s="12" t="n"/>
      <c r="L1041" s="11" t="n"/>
      <c r="M1041" s="11" t="n"/>
      <c r="N1041" s="11" t="n"/>
      <c r="O1041" s="11" t="n"/>
      <c r="P1041" s="12" t="n"/>
      <c r="Q1041" s="11" t="n"/>
      <c r="R1041" s="12" t="n"/>
      <c r="S1041" s="11" t="n"/>
      <c r="T1041" s="12" t="n"/>
      <c r="U1041" s="12" t="n"/>
      <c r="V1041" s="14">
        <f>IF($AN1041="",IF($B1041="","",$H1041),IF(INDEX(職員マスタ!$B$6:$B$405,$AN1041)="",$H1041,INDEX(職員マスタ!$B$6:$B$405,$AN1041)))</f>
        <v/>
      </c>
      <c r="W1041" s="14">
        <f>IF($AN1041="",IF($B1041="","",$R1041),IF(INDEX(職員マスタ!$C$6:$C$405,$AN1041)="",$R1041,INDEX(職員マスタ!$C$6:$C$405,$AN1041)))</f>
        <v/>
      </c>
      <c r="X1041" s="14">
        <f>IF($AO1041="","","R"&amp;$C1041&amp;"."&amp;$D1041)</f>
        <v/>
      </c>
      <c r="Y1041" s="15">
        <f>IF($AN1041="","",IF(INDEX(職員マスタ!$K$6:$K$405,$AN1041)="","",INDEX(職員マスタ!$K$6:$K$405,$AN1041)))</f>
        <v/>
      </c>
      <c r="Z1041" s="14">
        <f>IF(OR($E1041="",$Y1041=""),"",IF($E1041&gt;=$Y1041,"×",IF($E1041&gt;=$Y1041*設定!$C$5,"△","○")))</f>
        <v/>
      </c>
      <c r="AA1041" s="15">
        <f>IF($Z1041="","",IF($Z1041="×",0,IF($Z1041="○",ROUNDDOWN($E1041*設定!$C$4,0),ROUNDDOWN($E1041*ROUND((9*$Y1041-9*$E1041)/(10*$E1041),4),0))))</f>
        <v/>
      </c>
      <c r="AB1041" s="13" t="n"/>
      <c r="AC1041" s="15">
        <f>IF($B1041="","",IF($AB1041&lt;&gt;"",$AB1041,IF($AA1041="","",IF($AA1041&lt;=設定!$C$3,0,$AA1041))))</f>
        <v/>
      </c>
      <c r="AD1041" s="14">
        <f>IF($B1041="","",IF(AND($AE1041&lt;&gt;"",$AG1041="",$AJ1041=""),"保留中",IF($AJ1041&lt;&gt;"",IF(N($AC1041)&gt;0,"支給済","不支給"),IF($AC1041="","要確認",IF($AC1041=0,"不支給","未処理")))))</f>
        <v/>
      </c>
      <c r="AE1041" s="12" t="n"/>
      <c r="AF1041" s="11" t="n"/>
      <c r="AG1041" s="11" t="n"/>
      <c r="AH1041" s="11" t="n"/>
      <c r="AI1041" s="14">
        <f>IF(AND($AD1041="保留中",$AF1041&lt;&gt;""),TODAY()-$AF1041,"")</f>
        <v/>
      </c>
      <c r="AJ1041" s="12" t="n"/>
      <c r="AK1041" s="14">
        <f>IF($B1041="","",IF($AO1041="","対象年月が未入力／","")&amp;IF($B1041="","",IF($AN1041="","職員マスタに未登録の職員番号／",IF($Y1041="","標準報酬月額が未登録／","")&amp;IF(AND($AO1041&lt;&gt;"",OR(AND(INDEX(職員マスタ!$G$6:$G$405,$AN1041)&lt;&gt;"",INDEX(職員マスタ!$G$6:$G$405,$AN1041)&gt;EOMONTH($AO1041,0)),AND(INDEX(職員マスタ!$H$6:$H$405,$AN1041)&lt;&gt;"",INDEX(職員マスタ!$H$6:$H$405,$AN1041)&lt;$AO1041))),"対象月が時短期間外／","")&amp;IF(AND(INDEX(職員マスタ!$F$6:$F$405,$AN1041)&lt;&gt;"",$AO1041&lt;&gt;"",INDEX(職員マスタ!$F$6:$F$405,$AN1041)&lt;$AO1041),"対象月に子が2歳到達済／","")&amp;IF(AND($H1041&lt;&gt;"",INDEX(職員マスタ!$B$6:$B$405,$AN1041)&lt;&gt;"",SUBSTITUTE(SUBSTITUTE($H1041," ","")," ","")&lt;&gt;SUBSTITUTE(SUBSTITUTE(INDEX(職員マスタ!$B$6:$B$405,$AN1041)," ","")," ","")),"氏名がマスタと相違／","")&amp;IF(AND($Q1041&lt;&gt;"",INDEX(職員マスタ!$E$6:$E$405,$AN1041)&lt;&gt;"",$Q1041&lt;&gt;INDEX(職員マスタ!$E$6:$E$405,$AN1041)),"子の生年月日がマスタと相違／","")&amp;IF(AND($L1041&lt;&gt;"",INDEX(職員マスタ!$G$6:$G$405,$AN1041)&lt;&gt;"",$L1041&lt;&gt;INDEX(職員マスタ!$G$6:$G$405,$AN1041)),"時短開始日がマスタと相違／","")&amp;IF(AND($M1041&lt;&gt;"",INDEX(職員マスタ!$H$6:$H$405,$AN1041)&lt;&gt;"",$M1041&lt;&gt;INDEX(職員マスタ!$H$6:$H$405,$AN1041)),"時短終了日がマスタと相違／","")))&amp;IF(AND($B1041&lt;&gt;"",$E1041=""),"報酬額が未入力／","")&amp;IF(N($U1041)&gt;0,"申請書に入力エラーが残っています／","")&amp;IF(AND($B1041&lt;&gt;"",$AO1041&lt;&gt;""),IF(COUNTIFS($B$6:$B$3005,$B1041,$C$6:$C$3005,$C1041,$D$6:$D$3005,$D1041)&gt;1,"同じ月の請求が重複しています／",""),"")&amp;IF(AND(N($E1041)&gt;0,$Z1041&lt;&gt;"",$Z1041&lt;&gt;"×",$AC1041=0,$AB1041=""),"計算額が下限以下のため不支給／",""))</f>
        <v/>
      </c>
      <c r="AL1041" s="12" t="n"/>
      <c r="AM1041" s="14">
        <f>IF($AD1041="保留中",COUNTIF($AD$6:$AD1041,"保留中"),"")</f>
        <v/>
      </c>
      <c r="AN1041" s="14">
        <f>IF($AO1041="","",IF(SUMPRODUCT(MAX((職員マスタ!$A$6:$A$405=$B1041)*(((職員マスタ!$G$6:$G$405="")+(職員マスタ!$G$6:$G$405&lt;=EOMONTH($AO1041,0)))&gt;0)*(((職員マスタ!$H$6:$H$405="")+(職員マスタ!$H$6:$H$405&gt;=$AO1041))&gt;0)*(ROW(職員マスタ!$A$6:$A$405)-5)))&gt;0,SUMPRODUCT(MAX((職員マスタ!$A$6:$A$405=$B1041)*(((職員マスタ!$G$6:$G$405="")+(職員マスタ!$G$6:$G$405&lt;=EOMONTH($AO1041,0)))&gt;0)*(((職員マスタ!$H$6:$H$405="")+(職員マスタ!$H$6:$H$405&gt;=$AO1041))&gt;0)*(ROW(職員マスタ!$A$6:$A$405)-5))),IFERROR(MATCH($B1041,職員マスタ!$A$6:$A$405,0),"")))</f>
        <v/>
      </c>
      <c r="AO1041" s="16">
        <f>IF(OR($B1041="",$C1041="",$D1041=""),"",DATE($C1041+2018,$D1041,1))</f>
        <v/>
      </c>
    </row>
    <row r="1042">
      <c r="A1042" s="11" t="n"/>
      <c r="B1042" s="12" t="n"/>
      <c r="C1042" s="12" t="n"/>
      <c r="D1042" s="12" t="n"/>
      <c r="E1042" s="13" t="n"/>
      <c r="F1042" s="12" t="n"/>
      <c r="G1042" s="13" t="n"/>
      <c r="H1042" s="12" t="n"/>
      <c r="I1042" s="12" t="n"/>
      <c r="J1042" s="12" t="n"/>
      <c r="K1042" s="12" t="n"/>
      <c r="L1042" s="11" t="n"/>
      <c r="M1042" s="11" t="n"/>
      <c r="N1042" s="11" t="n"/>
      <c r="O1042" s="11" t="n"/>
      <c r="P1042" s="12" t="n"/>
      <c r="Q1042" s="11" t="n"/>
      <c r="R1042" s="12" t="n"/>
      <c r="S1042" s="11" t="n"/>
      <c r="T1042" s="12" t="n"/>
      <c r="U1042" s="12" t="n"/>
      <c r="V1042" s="14">
        <f>IF($AN1042="",IF($B1042="","",$H1042),IF(INDEX(職員マスタ!$B$6:$B$405,$AN1042)="",$H1042,INDEX(職員マスタ!$B$6:$B$405,$AN1042)))</f>
        <v/>
      </c>
      <c r="W1042" s="14">
        <f>IF($AN1042="",IF($B1042="","",$R1042),IF(INDEX(職員マスタ!$C$6:$C$405,$AN1042)="",$R1042,INDEX(職員マスタ!$C$6:$C$405,$AN1042)))</f>
        <v/>
      </c>
      <c r="X1042" s="14">
        <f>IF($AO1042="","","R"&amp;$C1042&amp;"."&amp;$D1042)</f>
        <v/>
      </c>
      <c r="Y1042" s="15">
        <f>IF($AN1042="","",IF(INDEX(職員マスタ!$K$6:$K$405,$AN1042)="","",INDEX(職員マスタ!$K$6:$K$405,$AN1042)))</f>
        <v/>
      </c>
      <c r="Z1042" s="14">
        <f>IF(OR($E1042="",$Y1042=""),"",IF($E1042&gt;=$Y1042,"×",IF($E1042&gt;=$Y1042*設定!$C$5,"△","○")))</f>
        <v/>
      </c>
      <c r="AA1042" s="15">
        <f>IF($Z1042="","",IF($Z1042="×",0,IF($Z1042="○",ROUNDDOWN($E1042*設定!$C$4,0),ROUNDDOWN($E1042*ROUND((9*$Y1042-9*$E1042)/(10*$E1042),4),0))))</f>
        <v/>
      </c>
      <c r="AB1042" s="13" t="n"/>
      <c r="AC1042" s="15">
        <f>IF($B1042="","",IF($AB1042&lt;&gt;"",$AB1042,IF($AA1042="","",IF($AA1042&lt;=設定!$C$3,0,$AA1042))))</f>
        <v/>
      </c>
      <c r="AD1042" s="14">
        <f>IF($B1042="","",IF(AND($AE1042&lt;&gt;"",$AG1042="",$AJ1042=""),"保留中",IF($AJ1042&lt;&gt;"",IF(N($AC1042)&gt;0,"支給済","不支給"),IF($AC1042="","要確認",IF($AC1042=0,"不支給","未処理")))))</f>
        <v/>
      </c>
      <c r="AE1042" s="12" t="n"/>
      <c r="AF1042" s="11" t="n"/>
      <c r="AG1042" s="11" t="n"/>
      <c r="AH1042" s="11" t="n"/>
      <c r="AI1042" s="14">
        <f>IF(AND($AD1042="保留中",$AF1042&lt;&gt;""),TODAY()-$AF1042,"")</f>
        <v/>
      </c>
      <c r="AJ1042" s="12" t="n"/>
      <c r="AK1042" s="14">
        <f>IF($B1042="","",IF($AO1042="","対象年月が未入力／","")&amp;IF($B1042="","",IF($AN1042="","職員マスタに未登録の職員番号／",IF($Y1042="","標準報酬月額が未登録／","")&amp;IF(AND($AO1042&lt;&gt;"",OR(AND(INDEX(職員マスタ!$G$6:$G$405,$AN1042)&lt;&gt;"",INDEX(職員マスタ!$G$6:$G$405,$AN1042)&gt;EOMONTH($AO1042,0)),AND(INDEX(職員マスタ!$H$6:$H$405,$AN1042)&lt;&gt;"",INDEX(職員マスタ!$H$6:$H$405,$AN1042)&lt;$AO1042))),"対象月が時短期間外／","")&amp;IF(AND(INDEX(職員マスタ!$F$6:$F$405,$AN1042)&lt;&gt;"",$AO1042&lt;&gt;"",INDEX(職員マスタ!$F$6:$F$405,$AN1042)&lt;$AO1042),"対象月に子が2歳到達済／","")&amp;IF(AND($H1042&lt;&gt;"",INDEX(職員マスタ!$B$6:$B$405,$AN1042)&lt;&gt;"",SUBSTITUTE(SUBSTITUTE($H1042," ","")," ","")&lt;&gt;SUBSTITUTE(SUBSTITUTE(INDEX(職員マスタ!$B$6:$B$405,$AN1042)," ","")," ","")),"氏名がマスタと相違／","")&amp;IF(AND($Q1042&lt;&gt;"",INDEX(職員マスタ!$E$6:$E$405,$AN1042)&lt;&gt;"",$Q1042&lt;&gt;INDEX(職員マスタ!$E$6:$E$405,$AN1042)),"子の生年月日がマスタと相違／","")&amp;IF(AND($L1042&lt;&gt;"",INDEX(職員マスタ!$G$6:$G$405,$AN1042)&lt;&gt;"",$L1042&lt;&gt;INDEX(職員マスタ!$G$6:$G$405,$AN1042)),"時短開始日がマスタと相違／","")&amp;IF(AND($M1042&lt;&gt;"",INDEX(職員マスタ!$H$6:$H$405,$AN1042)&lt;&gt;"",$M1042&lt;&gt;INDEX(職員マスタ!$H$6:$H$405,$AN1042)),"時短終了日がマスタと相違／","")))&amp;IF(AND($B1042&lt;&gt;"",$E1042=""),"報酬額が未入力／","")&amp;IF(N($U1042)&gt;0,"申請書に入力エラーが残っています／","")&amp;IF(AND($B1042&lt;&gt;"",$AO1042&lt;&gt;""),IF(COUNTIFS($B$6:$B$3005,$B1042,$C$6:$C$3005,$C1042,$D$6:$D$3005,$D1042)&gt;1,"同じ月の請求が重複しています／",""),"")&amp;IF(AND(N($E1042)&gt;0,$Z1042&lt;&gt;"",$Z1042&lt;&gt;"×",$AC1042=0,$AB1042=""),"計算額が下限以下のため不支給／",""))</f>
        <v/>
      </c>
      <c r="AL1042" s="12" t="n"/>
      <c r="AM1042" s="14">
        <f>IF($AD1042="保留中",COUNTIF($AD$6:$AD1042,"保留中"),"")</f>
        <v/>
      </c>
      <c r="AN1042" s="14">
        <f>IF($AO1042="","",IF(SUMPRODUCT(MAX((職員マスタ!$A$6:$A$405=$B1042)*(((職員マスタ!$G$6:$G$405="")+(職員マスタ!$G$6:$G$405&lt;=EOMONTH($AO1042,0)))&gt;0)*(((職員マスタ!$H$6:$H$405="")+(職員マスタ!$H$6:$H$405&gt;=$AO1042))&gt;0)*(ROW(職員マスタ!$A$6:$A$405)-5)))&gt;0,SUMPRODUCT(MAX((職員マスタ!$A$6:$A$405=$B1042)*(((職員マスタ!$G$6:$G$405="")+(職員マスタ!$G$6:$G$405&lt;=EOMONTH($AO1042,0)))&gt;0)*(((職員マスタ!$H$6:$H$405="")+(職員マスタ!$H$6:$H$405&gt;=$AO1042))&gt;0)*(ROW(職員マスタ!$A$6:$A$405)-5))),IFERROR(MATCH($B1042,職員マスタ!$A$6:$A$405,0),"")))</f>
        <v/>
      </c>
      <c r="AO1042" s="16">
        <f>IF(OR($B1042="",$C1042="",$D1042=""),"",DATE($C1042+2018,$D1042,1))</f>
        <v/>
      </c>
    </row>
    <row r="1043">
      <c r="A1043" s="11" t="n"/>
      <c r="B1043" s="12" t="n"/>
      <c r="C1043" s="12" t="n"/>
      <c r="D1043" s="12" t="n"/>
      <c r="E1043" s="13" t="n"/>
      <c r="F1043" s="12" t="n"/>
      <c r="G1043" s="13" t="n"/>
      <c r="H1043" s="12" t="n"/>
      <c r="I1043" s="12" t="n"/>
      <c r="J1043" s="12" t="n"/>
      <c r="K1043" s="12" t="n"/>
      <c r="L1043" s="11" t="n"/>
      <c r="M1043" s="11" t="n"/>
      <c r="N1043" s="11" t="n"/>
      <c r="O1043" s="11" t="n"/>
      <c r="P1043" s="12" t="n"/>
      <c r="Q1043" s="11" t="n"/>
      <c r="R1043" s="12" t="n"/>
      <c r="S1043" s="11" t="n"/>
      <c r="T1043" s="12" t="n"/>
      <c r="U1043" s="12" t="n"/>
      <c r="V1043" s="14">
        <f>IF($AN1043="",IF($B1043="","",$H1043),IF(INDEX(職員マスタ!$B$6:$B$405,$AN1043)="",$H1043,INDEX(職員マスタ!$B$6:$B$405,$AN1043)))</f>
        <v/>
      </c>
      <c r="W1043" s="14">
        <f>IF($AN1043="",IF($B1043="","",$R1043),IF(INDEX(職員マスタ!$C$6:$C$405,$AN1043)="",$R1043,INDEX(職員マスタ!$C$6:$C$405,$AN1043)))</f>
        <v/>
      </c>
      <c r="X1043" s="14">
        <f>IF($AO1043="","","R"&amp;$C1043&amp;"."&amp;$D1043)</f>
        <v/>
      </c>
      <c r="Y1043" s="15">
        <f>IF($AN1043="","",IF(INDEX(職員マスタ!$K$6:$K$405,$AN1043)="","",INDEX(職員マスタ!$K$6:$K$405,$AN1043)))</f>
        <v/>
      </c>
      <c r="Z1043" s="14">
        <f>IF(OR($E1043="",$Y1043=""),"",IF($E1043&gt;=$Y1043,"×",IF($E1043&gt;=$Y1043*設定!$C$5,"△","○")))</f>
        <v/>
      </c>
      <c r="AA1043" s="15">
        <f>IF($Z1043="","",IF($Z1043="×",0,IF($Z1043="○",ROUNDDOWN($E1043*設定!$C$4,0),ROUNDDOWN($E1043*ROUND((9*$Y1043-9*$E1043)/(10*$E1043),4),0))))</f>
        <v/>
      </c>
      <c r="AB1043" s="13" t="n"/>
      <c r="AC1043" s="15">
        <f>IF($B1043="","",IF($AB1043&lt;&gt;"",$AB1043,IF($AA1043="","",IF($AA1043&lt;=設定!$C$3,0,$AA1043))))</f>
        <v/>
      </c>
      <c r="AD1043" s="14">
        <f>IF($B1043="","",IF(AND($AE1043&lt;&gt;"",$AG1043="",$AJ1043=""),"保留中",IF($AJ1043&lt;&gt;"",IF(N($AC1043)&gt;0,"支給済","不支給"),IF($AC1043="","要確認",IF($AC1043=0,"不支給","未処理")))))</f>
        <v/>
      </c>
      <c r="AE1043" s="12" t="n"/>
      <c r="AF1043" s="11" t="n"/>
      <c r="AG1043" s="11" t="n"/>
      <c r="AH1043" s="11" t="n"/>
      <c r="AI1043" s="14">
        <f>IF(AND($AD1043="保留中",$AF1043&lt;&gt;""),TODAY()-$AF1043,"")</f>
        <v/>
      </c>
      <c r="AJ1043" s="12" t="n"/>
      <c r="AK1043" s="14">
        <f>IF($B1043="","",IF($AO1043="","対象年月が未入力／","")&amp;IF($B1043="","",IF($AN1043="","職員マスタに未登録の職員番号／",IF($Y1043="","標準報酬月額が未登録／","")&amp;IF(AND($AO1043&lt;&gt;"",OR(AND(INDEX(職員マスタ!$G$6:$G$405,$AN1043)&lt;&gt;"",INDEX(職員マスタ!$G$6:$G$405,$AN1043)&gt;EOMONTH($AO1043,0)),AND(INDEX(職員マスタ!$H$6:$H$405,$AN1043)&lt;&gt;"",INDEX(職員マスタ!$H$6:$H$405,$AN1043)&lt;$AO1043))),"対象月が時短期間外／","")&amp;IF(AND(INDEX(職員マスタ!$F$6:$F$405,$AN1043)&lt;&gt;"",$AO1043&lt;&gt;"",INDEX(職員マスタ!$F$6:$F$405,$AN1043)&lt;$AO1043),"対象月に子が2歳到達済／","")&amp;IF(AND($H1043&lt;&gt;"",INDEX(職員マスタ!$B$6:$B$405,$AN1043)&lt;&gt;"",SUBSTITUTE(SUBSTITUTE($H1043," ","")," ","")&lt;&gt;SUBSTITUTE(SUBSTITUTE(INDEX(職員マスタ!$B$6:$B$405,$AN1043)," ","")," ","")),"氏名がマスタと相違／","")&amp;IF(AND($Q1043&lt;&gt;"",INDEX(職員マスタ!$E$6:$E$405,$AN1043)&lt;&gt;"",$Q1043&lt;&gt;INDEX(職員マスタ!$E$6:$E$405,$AN1043)),"子の生年月日がマスタと相違／","")&amp;IF(AND($L1043&lt;&gt;"",INDEX(職員マスタ!$G$6:$G$405,$AN1043)&lt;&gt;"",$L1043&lt;&gt;INDEX(職員マスタ!$G$6:$G$405,$AN1043)),"時短開始日がマスタと相違／","")&amp;IF(AND($M1043&lt;&gt;"",INDEX(職員マスタ!$H$6:$H$405,$AN1043)&lt;&gt;"",$M1043&lt;&gt;INDEX(職員マスタ!$H$6:$H$405,$AN1043)),"時短終了日がマスタと相違／","")))&amp;IF(AND($B1043&lt;&gt;"",$E1043=""),"報酬額が未入力／","")&amp;IF(N($U1043)&gt;0,"申請書に入力エラーが残っています／","")&amp;IF(AND($B1043&lt;&gt;"",$AO1043&lt;&gt;""),IF(COUNTIFS($B$6:$B$3005,$B1043,$C$6:$C$3005,$C1043,$D$6:$D$3005,$D1043)&gt;1,"同じ月の請求が重複しています／",""),"")&amp;IF(AND(N($E1043)&gt;0,$Z1043&lt;&gt;"",$Z1043&lt;&gt;"×",$AC1043=0,$AB1043=""),"計算額が下限以下のため不支給／",""))</f>
        <v/>
      </c>
      <c r="AL1043" s="12" t="n"/>
      <c r="AM1043" s="14">
        <f>IF($AD1043="保留中",COUNTIF($AD$6:$AD1043,"保留中"),"")</f>
        <v/>
      </c>
      <c r="AN1043" s="14">
        <f>IF($AO1043="","",IF(SUMPRODUCT(MAX((職員マスタ!$A$6:$A$405=$B1043)*(((職員マスタ!$G$6:$G$405="")+(職員マスタ!$G$6:$G$405&lt;=EOMONTH($AO1043,0)))&gt;0)*(((職員マスタ!$H$6:$H$405="")+(職員マスタ!$H$6:$H$405&gt;=$AO1043))&gt;0)*(ROW(職員マスタ!$A$6:$A$405)-5)))&gt;0,SUMPRODUCT(MAX((職員マスタ!$A$6:$A$405=$B1043)*(((職員マスタ!$G$6:$G$405="")+(職員マスタ!$G$6:$G$405&lt;=EOMONTH($AO1043,0)))&gt;0)*(((職員マスタ!$H$6:$H$405="")+(職員マスタ!$H$6:$H$405&gt;=$AO1043))&gt;0)*(ROW(職員マスタ!$A$6:$A$405)-5))),IFERROR(MATCH($B1043,職員マスタ!$A$6:$A$405,0),"")))</f>
        <v/>
      </c>
      <c r="AO1043" s="16">
        <f>IF(OR($B1043="",$C1043="",$D1043=""),"",DATE($C1043+2018,$D1043,1))</f>
        <v/>
      </c>
    </row>
    <row r="1044">
      <c r="A1044" s="11" t="n"/>
      <c r="B1044" s="12" t="n"/>
      <c r="C1044" s="12" t="n"/>
      <c r="D1044" s="12" t="n"/>
      <c r="E1044" s="13" t="n"/>
      <c r="F1044" s="12" t="n"/>
      <c r="G1044" s="13" t="n"/>
      <c r="H1044" s="12" t="n"/>
      <c r="I1044" s="12" t="n"/>
      <c r="J1044" s="12" t="n"/>
      <c r="K1044" s="12" t="n"/>
      <c r="L1044" s="11" t="n"/>
      <c r="M1044" s="11" t="n"/>
      <c r="N1044" s="11" t="n"/>
      <c r="O1044" s="11" t="n"/>
      <c r="P1044" s="12" t="n"/>
      <c r="Q1044" s="11" t="n"/>
      <c r="R1044" s="12" t="n"/>
      <c r="S1044" s="11" t="n"/>
      <c r="T1044" s="12" t="n"/>
      <c r="U1044" s="12" t="n"/>
      <c r="V1044" s="14">
        <f>IF($AN1044="",IF($B1044="","",$H1044),IF(INDEX(職員マスタ!$B$6:$B$405,$AN1044)="",$H1044,INDEX(職員マスタ!$B$6:$B$405,$AN1044)))</f>
        <v/>
      </c>
      <c r="W1044" s="14">
        <f>IF($AN1044="",IF($B1044="","",$R1044),IF(INDEX(職員マスタ!$C$6:$C$405,$AN1044)="",$R1044,INDEX(職員マスタ!$C$6:$C$405,$AN1044)))</f>
        <v/>
      </c>
      <c r="X1044" s="14">
        <f>IF($AO1044="","","R"&amp;$C1044&amp;"."&amp;$D1044)</f>
        <v/>
      </c>
      <c r="Y1044" s="15">
        <f>IF($AN1044="","",IF(INDEX(職員マスタ!$K$6:$K$405,$AN1044)="","",INDEX(職員マスタ!$K$6:$K$405,$AN1044)))</f>
        <v/>
      </c>
      <c r="Z1044" s="14">
        <f>IF(OR($E1044="",$Y1044=""),"",IF($E1044&gt;=$Y1044,"×",IF($E1044&gt;=$Y1044*設定!$C$5,"△","○")))</f>
        <v/>
      </c>
      <c r="AA1044" s="15">
        <f>IF($Z1044="","",IF($Z1044="×",0,IF($Z1044="○",ROUNDDOWN($E1044*設定!$C$4,0),ROUNDDOWN($E1044*ROUND((9*$Y1044-9*$E1044)/(10*$E1044),4),0))))</f>
        <v/>
      </c>
      <c r="AB1044" s="13" t="n"/>
      <c r="AC1044" s="15">
        <f>IF($B1044="","",IF($AB1044&lt;&gt;"",$AB1044,IF($AA1044="","",IF($AA1044&lt;=設定!$C$3,0,$AA1044))))</f>
        <v/>
      </c>
      <c r="AD1044" s="14">
        <f>IF($B1044="","",IF(AND($AE1044&lt;&gt;"",$AG1044="",$AJ1044=""),"保留中",IF($AJ1044&lt;&gt;"",IF(N($AC1044)&gt;0,"支給済","不支給"),IF($AC1044="","要確認",IF($AC1044=0,"不支給","未処理")))))</f>
        <v/>
      </c>
      <c r="AE1044" s="12" t="n"/>
      <c r="AF1044" s="11" t="n"/>
      <c r="AG1044" s="11" t="n"/>
      <c r="AH1044" s="11" t="n"/>
      <c r="AI1044" s="14">
        <f>IF(AND($AD1044="保留中",$AF1044&lt;&gt;""),TODAY()-$AF1044,"")</f>
        <v/>
      </c>
      <c r="AJ1044" s="12" t="n"/>
      <c r="AK1044" s="14">
        <f>IF($B1044="","",IF($AO1044="","対象年月が未入力／","")&amp;IF($B1044="","",IF($AN1044="","職員マスタに未登録の職員番号／",IF($Y1044="","標準報酬月額が未登録／","")&amp;IF(AND($AO1044&lt;&gt;"",OR(AND(INDEX(職員マスタ!$G$6:$G$405,$AN1044)&lt;&gt;"",INDEX(職員マスタ!$G$6:$G$405,$AN1044)&gt;EOMONTH($AO1044,0)),AND(INDEX(職員マスタ!$H$6:$H$405,$AN1044)&lt;&gt;"",INDEX(職員マスタ!$H$6:$H$405,$AN1044)&lt;$AO1044))),"対象月が時短期間外／","")&amp;IF(AND(INDEX(職員マスタ!$F$6:$F$405,$AN1044)&lt;&gt;"",$AO1044&lt;&gt;"",INDEX(職員マスタ!$F$6:$F$405,$AN1044)&lt;$AO1044),"対象月に子が2歳到達済／","")&amp;IF(AND($H1044&lt;&gt;"",INDEX(職員マスタ!$B$6:$B$405,$AN1044)&lt;&gt;"",SUBSTITUTE(SUBSTITUTE($H1044," ","")," ","")&lt;&gt;SUBSTITUTE(SUBSTITUTE(INDEX(職員マスタ!$B$6:$B$405,$AN1044)," ","")," ","")),"氏名がマスタと相違／","")&amp;IF(AND($Q1044&lt;&gt;"",INDEX(職員マスタ!$E$6:$E$405,$AN1044)&lt;&gt;"",$Q1044&lt;&gt;INDEX(職員マスタ!$E$6:$E$405,$AN1044)),"子の生年月日がマスタと相違／","")&amp;IF(AND($L1044&lt;&gt;"",INDEX(職員マスタ!$G$6:$G$405,$AN1044)&lt;&gt;"",$L1044&lt;&gt;INDEX(職員マスタ!$G$6:$G$405,$AN1044)),"時短開始日がマスタと相違／","")&amp;IF(AND($M1044&lt;&gt;"",INDEX(職員マスタ!$H$6:$H$405,$AN1044)&lt;&gt;"",$M1044&lt;&gt;INDEX(職員マスタ!$H$6:$H$405,$AN1044)),"時短終了日がマスタと相違／","")))&amp;IF(AND($B1044&lt;&gt;"",$E1044=""),"報酬額が未入力／","")&amp;IF(N($U1044)&gt;0,"申請書に入力エラーが残っています／","")&amp;IF(AND($B1044&lt;&gt;"",$AO1044&lt;&gt;""),IF(COUNTIFS($B$6:$B$3005,$B1044,$C$6:$C$3005,$C1044,$D$6:$D$3005,$D1044)&gt;1,"同じ月の請求が重複しています／",""),"")&amp;IF(AND(N($E1044)&gt;0,$Z1044&lt;&gt;"",$Z1044&lt;&gt;"×",$AC1044=0,$AB1044=""),"計算額が下限以下のため不支給／",""))</f>
        <v/>
      </c>
      <c r="AL1044" s="12" t="n"/>
      <c r="AM1044" s="14">
        <f>IF($AD1044="保留中",COUNTIF($AD$6:$AD1044,"保留中"),"")</f>
        <v/>
      </c>
      <c r="AN1044" s="14">
        <f>IF($AO1044="","",IF(SUMPRODUCT(MAX((職員マスタ!$A$6:$A$405=$B1044)*(((職員マスタ!$G$6:$G$405="")+(職員マスタ!$G$6:$G$405&lt;=EOMONTH($AO1044,0)))&gt;0)*(((職員マスタ!$H$6:$H$405="")+(職員マスタ!$H$6:$H$405&gt;=$AO1044))&gt;0)*(ROW(職員マスタ!$A$6:$A$405)-5)))&gt;0,SUMPRODUCT(MAX((職員マスタ!$A$6:$A$405=$B1044)*(((職員マスタ!$G$6:$G$405="")+(職員マスタ!$G$6:$G$405&lt;=EOMONTH($AO1044,0)))&gt;0)*(((職員マスタ!$H$6:$H$405="")+(職員マスタ!$H$6:$H$405&gt;=$AO1044))&gt;0)*(ROW(職員マスタ!$A$6:$A$405)-5))),IFERROR(MATCH($B1044,職員マスタ!$A$6:$A$405,0),"")))</f>
        <v/>
      </c>
      <c r="AO1044" s="16">
        <f>IF(OR($B1044="",$C1044="",$D1044=""),"",DATE($C1044+2018,$D1044,1))</f>
        <v/>
      </c>
    </row>
    <row r="1045">
      <c r="A1045" s="11" t="n"/>
      <c r="B1045" s="12" t="n"/>
      <c r="C1045" s="12" t="n"/>
      <c r="D1045" s="12" t="n"/>
      <c r="E1045" s="13" t="n"/>
      <c r="F1045" s="12" t="n"/>
      <c r="G1045" s="13" t="n"/>
      <c r="H1045" s="12" t="n"/>
      <c r="I1045" s="12" t="n"/>
      <c r="J1045" s="12" t="n"/>
      <c r="K1045" s="12" t="n"/>
      <c r="L1045" s="11" t="n"/>
      <c r="M1045" s="11" t="n"/>
      <c r="N1045" s="11" t="n"/>
      <c r="O1045" s="11" t="n"/>
      <c r="P1045" s="12" t="n"/>
      <c r="Q1045" s="11" t="n"/>
      <c r="R1045" s="12" t="n"/>
      <c r="S1045" s="11" t="n"/>
      <c r="T1045" s="12" t="n"/>
      <c r="U1045" s="12" t="n"/>
      <c r="V1045" s="14">
        <f>IF($AN1045="",IF($B1045="","",$H1045),IF(INDEX(職員マスタ!$B$6:$B$405,$AN1045)="",$H1045,INDEX(職員マスタ!$B$6:$B$405,$AN1045)))</f>
        <v/>
      </c>
      <c r="W1045" s="14">
        <f>IF($AN1045="",IF($B1045="","",$R1045),IF(INDEX(職員マスタ!$C$6:$C$405,$AN1045)="",$R1045,INDEX(職員マスタ!$C$6:$C$405,$AN1045)))</f>
        <v/>
      </c>
      <c r="X1045" s="14">
        <f>IF($AO1045="","","R"&amp;$C1045&amp;"."&amp;$D1045)</f>
        <v/>
      </c>
      <c r="Y1045" s="15">
        <f>IF($AN1045="","",IF(INDEX(職員マスタ!$K$6:$K$405,$AN1045)="","",INDEX(職員マスタ!$K$6:$K$405,$AN1045)))</f>
        <v/>
      </c>
      <c r="Z1045" s="14">
        <f>IF(OR($E1045="",$Y1045=""),"",IF($E1045&gt;=$Y1045,"×",IF($E1045&gt;=$Y1045*設定!$C$5,"△","○")))</f>
        <v/>
      </c>
      <c r="AA1045" s="15">
        <f>IF($Z1045="","",IF($Z1045="×",0,IF($Z1045="○",ROUNDDOWN($E1045*設定!$C$4,0),ROUNDDOWN($E1045*ROUND((9*$Y1045-9*$E1045)/(10*$E1045),4),0))))</f>
        <v/>
      </c>
      <c r="AB1045" s="13" t="n"/>
      <c r="AC1045" s="15">
        <f>IF($B1045="","",IF($AB1045&lt;&gt;"",$AB1045,IF($AA1045="","",IF($AA1045&lt;=設定!$C$3,0,$AA1045))))</f>
        <v/>
      </c>
      <c r="AD1045" s="14">
        <f>IF($B1045="","",IF(AND($AE1045&lt;&gt;"",$AG1045="",$AJ1045=""),"保留中",IF($AJ1045&lt;&gt;"",IF(N($AC1045)&gt;0,"支給済","不支給"),IF($AC1045="","要確認",IF($AC1045=0,"不支給","未処理")))))</f>
        <v/>
      </c>
      <c r="AE1045" s="12" t="n"/>
      <c r="AF1045" s="11" t="n"/>
      <c r="AG1045" s="11" t="n"/>
      <c r="AH1045" s="11" t="n"/>
      <c r="AI1045" s="14">
        <f>IF(AND($AD1045="保留中",$AF1045&lt;&gt;""),TODAY()-$AF1045,"")</f>
        <v/>
      </c>
      <c r="AJ1045" s="12" t="n"/>
      <c r="AK1045" s="14">
        <f>IF($B1045="","",IF($AO1045="","対象年月が未入力／","")&amp;IF($B1045="","",IF($AN1045="","職員マスタに未登録の職員番号／",IF($Y1045="","標準報酬月額が未登録／","")&amp;IF(AND($AO1045&lt;&gt;"",OR(AND(INDEX(職員マスタ!$G$6:$G$405,$AN1045)&lt;&gt;"",INDEX(職員マスタ!$G$6:$G$405,$AN1045)&gt;EOMONTH($AO1045,0)),AND(INDEX(職員マスタ!$H$6:$H$405,$AN1045)&lt;&gt;"",INDEX(職員マスタ!$H$6:$H$405,$AN1045)&lt;$AO1045))),"対象月が時短期間外／","")&amp;IF(AND(INDEX(職員マスタ!$F$6:$F$405,$AN1045)&lt;&gt;"",$AO1045&lt;&gt;"",INDEX(職員マスタ!$F$6:$F$405,$AN1045)&lt;$AO1045),"対象月に子が2歳到達済／","")&amp;IF(AND($H1045&lt;&gt;"",INDEX(職員マスタ!$B$6:$B$405,$AN1045)&lt;&gt;"",SUBSTITUTE(SUBSTITUTE($H1045," ","")," ","")&lt;&gt;SUBSTITUTE(SUBSTITUTE(INDEX(職員マスタ!$B$6:$B$405,$AN1045)," ","")," ","")),"氏名がマスタと相違／","")&amp;IF(AND($Q1045&lt;&gt;"",INDEX(職員マスタ!$E$6:$E$405,$AN1045)&lt;&gt;"",$Q1045&lt;&gt;INDEX(職員マスタ!$E$6:$E$405,$AN1045)),"子の生年月日がマスタと相違／","")&amp;IF(AND($L1045&lt;&gt;"",INDEX(職員マスタ!$G$6:$G$405,$AN1045)&lt;&gt;"",$L1045&lt;&gt;INDEX(職員マスタ!$G$6:$G$405,$AN1045)),"時短開始日がマスタと相違／","")&amp;IF(AND($M1045&lt;&gt;"",INDEX(職員マスタ!$H$6:$H$405,$AN1045)&lt;&gt;"",$M1045&lt;&gt;INDEX(職員マスタ!$H$6:$H$405,$AN1045)),"時短終了日がマスタと相違／","")))&amp;IF(AND($B1045&lt;&gt;"",$E1045=""),"報酬額が未入力／","")&amp;IF(N($U1045)&gt;0,"申請書に入力エラーが残っています／","")&amp;IF(AND($B1045&lt;&gt;"",$AO1045&lt;&gt;""),IF(COUNTIFS($B$6:$B$3005,$B1045,$C$6:$C$3005,$C1045,$D$6:$D$3005,$D1045)&gt;1,"同じ月の請求が重複しています／",""),"")&amp;IF(AND(N($E1045)&gt;0,$Z1045&lt;&gt;"",$Z1045&lt;&gt;"×",$AC1045=0,$AB1045=""),"計算額が下限以下のため不支給／",""))</f>
        <v/>
      </c>
      <c r="AL1045" s="12" t="n"/>
      <c r="AM1045" s="14">
        <f>IF($AD1045="保留中",COUNTIF($AD$6:$AD1045,"保留中"),"")</f>
        <v/>
      </c>
      <c r="AN1045" s="14">
        <f>IF($AO1045="","",IF(SUMPRODUCT(MAX((職員マスタ!$A$6:$A$405=$B1045)*(((職員マスタ!$G$6:$G$405="")+(職員マスタ!$G$6:$G$405&lt;=EOMONTH($AO1045,0)))&gt;0)*(((職員マスタ!$H$6:$H$405="")+(職員マスタ!$H$6:$H$405&gt;=$AO1045))&gt;0)*(ROW(職員マスタ!$A$6:$A$405)-5)))&gt;0,SUMPRODUCT(MAX((職員マスタ!$A$6:$A$405=$B1045)*(((職員マスタ!$G$6:$G$405="")+(職員マスタ!$G$6:$G$405&lt;=EOMONTH($AO1045,0)))&gt;0)*(((職員マスタ!$H$6:$H$405="")+(職員マスタ!$H$6:$H$405&gt;=$AO1045))&gt;0)*(ROW(職員マスタ!$A$6:$A$405)-5))),IFERROR(MATCH($B1045,職員マスタ!$A$6:$A$405,0),"")))</f>
        <v/>
      </c>
      <c r="AO1045" s="16">
        <f>IF(OR($B1045="",$C1045="",$D1045=""),"",DATE($C1045+2018,$D1045,1))</f>
        <v/>
      </c>
    </row>
    <row r="1046">
      <c r="A1046" s="11" t="n"/>
      <c r="B1046" s="12" t="n"/>
      <c r="C1046" s="12" t="n"/>
      <c r="D1046" s="12" t="n"/>
      <c r="E1046" s="13" t="n"/>
      <c r="F1046" s="12" t="n"/>
      <c r="G1046" s="13" t="n"/>
      <c r="H1046" s="12" t="n"/>
      <c r="I1046" s="12" t="n"/>
      <c r="J1046" s="12" t="n"/>
      <c r="K1046" s="12" t="n"/>
      <c r="L1046" s="11" t="n"/>
      <c r="M1046" s="11" t="n"/>
      <c r="N1046" s="11" t="n"/>
      <c r="O1046" s="11" t="n"/>
      <c r="P1046" s="12" t="n"/>
      <c r="Q1046" s="11" t="n"/>
      <c r="R1046" s="12" t="n"/>
      <c r="S1046" s="11" t="n"/>
      <c r="T1046" s="12" t="n"/>
      <c r="U1046" s="12" t="n"/>
      <c r="V1046" s="14">
        <f>IF($AN1046="",IF($B1046="","",$H1046),IF(INDEX(職員マスタ!$B$6:$B$405,$AN1046)="",$H1046,INDEX(職員マスタ!$B$6:$B$405,$AN1046)))</f>
        <v/>
      </c>
      <c r="W1046" s="14">
        <f>IF($AN1046="",IF($B1046="","",$R1046),IF(INDEX(職員マスタ!$C$6:$C$405,$AN1046)="",$R1046,INDEX(職員マスタ!$C$6:$C$405,$AN1046)))</f>
        <v/>
      </c>
      <c r="X1046" s="14">
        <f>IF($AO1046="","","R"&amp;$C1046&amp;"."&amp;$D1046)</f>
        <v/>
      </c>
      <c r="Y1046" s="15">
        <f>IF($AN1046="","",IF(INDEX(職員マスタ!$K$6:$K$405,$AN1046)="","",INDEX(職員マスタ!$K$6:$K$405,$AN1046)))</f>
        <v/>
      </c>
      <c r="Z1046" s="14">
        <f>IF(OR($E1046="",$Y1046=""),"",IF($E1046&gt;=$Y1046,"×",IF($E1046&gt;=$Y1046*設定!$C$5,"△","○")))</f>
        <v/>
      </c>
      <c r="AA1046" s="15">
        <f>IF($Z1046="","",IF($Z1046="×",0,IF($Z1046="○",ROUNDDOWN($E1046*設定!$C$4,0),ROUNDDOWN($E1046*ROUND((9*$Y1046-9*$E1046)/(10*$E1046),4),0))))</f>
        <v/>
      </c>
      <c r="AB1046" s="13" t="n"/>
      <c r="AC1046" s="15">
        <f>IF($B1046="","",IF($AB1046&lt;&gt;"",$AB1046,IF($AA1046="","",IF($AA1046&lt;=設定!$C$3,0,$AA1046))))</f>
        <v/>
      </c>
      <c r="AD1046" s="14">
        <f>IF($B1046="","",IF(AND($AE1046&lt;&gt;"",$AG1046="",$AJ1046=""),"保留中",IF($AJ1046&lt;&gt;"",IF(N($AC1046)&gt;0,"支給済","不支給"),IF($AC1046="","要確認",IF($AC1046=0,"不支給","未処理")))))</f>
        <v/>
      </c>
      <c r="AE1046" s="12" t="n"/>
      <c r="AF1046" s="11" t="n"/>
      <c r="AG1046" s="11" t="n"/>
      <c r="AH1046" s="11" t="n"/>
      <c r="AI1046" s="14">
        <f>IF(AND($AD1046="保留中",$AF1046&lt;&gt;""),TODAY()-$AF1046,"")</f>
        <v/>
      </c>
      <c r="AJ1046" s="12" t="n"/>
      <c r="AK1046" s="14">
        <f>IF($B1046="","",IF($AO1046="","対象年月が未入力／","")&amp;IF($B1046="","",IF($AN1046="","職員マスタに未登録の職員番号／",IF($Y1046="","標準報酬月額が未登録／","")&amp;IF(AND($AO1046&lt;&gt;"",OR(AND(INDEX(職員マスタ!$G$6:$G$405,$AN1046)&lt;&gt;"",INDEX(職員マスタ!$G$6:$G$405,$AN1046)&gt;EOMONTH($AO1046,0)),AND(INDEX(職員マスタ!$H$6:$H$405,$AN1046)&lt;&gt;"",INDEX(職員マスタ!$H$6:$H$405,$AN1046)&lt;$AO1046))),"対象月が時短期間外／","")&amp;IF(AND(INDEX(職員マスタ!$F$6:$F$405,$AN1046)&lt;&gt;"",$AO1046&lt;&gt;"",INDEX(職員マスタ!$F$6:$F$405,$AN1046)&lt;$AO1046),"対象月に子が2歳到達済／","")&amp;IF(AND($H1046&lt;&gt;"",INDEX(職員マスタ!$B$6:$B$405,$AN1046)&lt;&gt;"",SUBSTITUTE(SUBSTITUTE($H1046," ","")," ","")&lt;&gt;SUBSTITUTE(SUBSTITUTE(INDEX(職員マスタ!$B$6:$B$405,$AN1046)," ","")," ","")),"氏名がマスタと相違／","")&amp;IF(AND($Q1046&lt;&gt;"",INDEX(職員マスタ!$E$6:$E$405,$AN1046)&lt;&gt;"",$Q1046&lt;&gt;INDEX(職員マスタ!$E$6:$E$405,$AN1046)),"子の生年月日がマスタと相違／","")&amp;IF(AND($L1046&lt;&gt;"",INDEX(職員マスタ!$G$6:$G$405,$AN1046)&lt;&gt;"",$L1046&lt;&gt;INDEX(職員マスタ!$G$6:$G$405,$AN1046)),"時短開始日がマスタと相違／","")&amp;IF(AND($M1046&lt;&gt;"",INDEX(職員マスタ!$H$6:$H$405,$AN1046)&lt;&gt;"",$M1046&lt;&gt;INDEX(職員マスタ!$H$6:$H$405,$AN1046)),"時短終了日がマスタと相違／","")))&amp;IF(AND($B1046&lt;&gt;"",$E1046=""),"報酬額が未入力／","")&amp;IF(N($U1046)&gt;0,"申請書に入力エラーが残っています／","")&amp;IF(AND($B1046&lt;&gt;"",$AO1046&lt;&gt;""),IF(COUNTIFS($B$6:$B$3005,$B1046,$C$6:$C$3005,$C1046,$D$6:$D$3005,$D1046)&gt;1,"同じ月の請求が重複しています／",""),"")&amp;IF(AND(N($E1046)&gt;0,$Z1046&lt;&gt;"",$Z1046&lt;&gt;"×",$AC1046=0,$AB1046=""),"計算額が下限以下のため不支給／",""))</f>
        <v/>
      </c>
      <c r="AL1046" s="12" t="n"/>
      <c r="AM1046" s="14">
        <f>IF($AD1046="保留中",COUNTIF($AD$6:$AD1046,"保留中"),"")</f>
        <v/>
      </c>
      <c r="AN1046" s="14">
        <f>IF($AO1046="","",IF(SUMPRODUCT(MAX((職員マスタ!$A$6:$A$405=$B1046)*(((職員マスタ!$G$6:$G$405="")+(職員マスタ!$G$6:$G$405&lt;=EOMONTH($AO1046,0)))&gt;0)*(((職員マスタ!$H$6:$H$405="")+(職員マスタ!$H$6:$H$405&gt;=$AO1046))&gt;0)*(ROW(職員マスタ!$A$6:$A$405)-5)))&gt;0,SUMPRODUCT(MAX((職員マスタ!$A$6:$A$405=$B1046)*(((職員マスタ!$G$6:$G$405="")+(職員マスタ!$G$6:$G$405&lt;=EOMONTH($AO1046,0)))&gt;0)*(((職員マスタ!$H$6:$H$405="")+(職員マスタ!$H$6:$H$405&gt;=$AO1046))&gt;0)*(ROW(職員マスタ!$A$6:$A$405)-5))),IFERROR(MATCH($B1046,職員マスタ!$A$6:$A$405,0),"")))</f>
        <v/>
      </c>
      <c r="AO1046" s="16">
        <f>IF(OR($B1046="",$C1046="",$D1046=""),"",DATE($C1046+2018,$D1046,1))</f>
        <v/>
      </c>
    </row>
    <row r="1047">
      <c r="A1047" s="11" t="n"/>
      <c r="B1047" s="12" t="n"/>
      <c r="C1047" s="12" t="n"/>
      <c r="D1047" s="12" t="n"/>
      <c r="E1047" s="13" t="n"/>
      <c r="F1047" s="12" t="n"/>
      <c r="G1047" s="13" t="n"/>
      <c r="H1047" s="12" t="n"/>
      <c r="I1047" s="12" t="n"/>
      <c r="J1047" s="12" t="n"/>
      <c r="K1047" s="12" t="n"/>
      <c r="L1047" s="11" t="n"/>
      <c r="M1047" s="11" t="n"/>
      <c r="N1047" s="11" t="n"/>
      <c r="O1047" s="11" t="n"/>
      <c r="P1047" s="12" t="n"/>
      <c r="Q1047" s="11" t="n"/>
      <c r="R1047" s="12" t="n"/>
      <c r="S1047" s="11" t="n"/>
      <c r="T1047" s="12" t="n"/>
      <c r="U1047" s="12" t="n"/>
      <c r="V1047" s="14">
        <f>IF($AN1047="",IF($B1047="","",$H1047),IF(INDEX(職員マスタ!$B$6:$B$405,$AN1047)="",$H1047,INDEX(職員マスタ!$B$6:$B$405,$AN1047)))</f>
        <v/>
      </c>
      <c r="W1047" s="14">
        <f>IF($AN1047="",IF($B1047="","",$R1047),IF(INDEX(職員マスタ!$C$6:$C$405,$AN1047)="",$R1047,INDEX(職員マスタ!$C$6:$C$405,$AN1047)))</f>
        <v/>
      </c>
      <c r="X1047" s="14">
        <f>IF($AO1047="","","R"&amp;$C1047&amp;"."&amp;$D1047)</f>
        <v/>
      </c>
      <c r="Y1047" s="15">
        <f>IF($AN1047="","",IF(INDEX(職員マスタ!$K$6:$K$405,$AN1047)="","",INDEX(職員マスタ!$K$6:$K$405,$AN1047)))</f>
        <v/>
      </c>
      <c r="Z1047" s="14">
        <f>IF(OR($E1047="",$Y1047=""),"",IF($E1047&gt;=$Y1047,"×",IF($E1047&gt;=$Y1047*設定!$C$5,"△","○")))</f>
        <v/>
      </c>
      <c r="AA1047" s="15">
        <f>IF($Z1047="","",IF($Z1047="×",0,IF($Z1047="○",ROUNDDOWN($E1047*設定!$C$4,0),ROUNDDOWN($E1047*ROUND((9*$Y1047-9*$E1047)/(10*$E1047),4),0))))</f>
        <v/>
      </c>
      <c r="AB1047" s="13" t="n"/>
      <c r="AC1047" s="15">
        <f>IF($B1047="","",IF($AB1047&lt;&gt;"",$AB1047,IF($AA1047="","",IF($AA1047&lt;=設定!$C$3,0,$AA1047))))</f>
        <v/>
      </c>
      <c r="AD1047" s="14">
        <f>IF($B1047="","",IF(AND($AE1047&lt;&gt;"",$AG1047="",$AJ1047=""),"保留中",IF($AJ1047&lt;&gt;"",IF(N($AC1047)&gt;0,"支給済","不支給"),IF($AC1047="","要確認",IF($AC1047=0,"不支給","未処理")))))</f>
        <v/>
      </c>
      <c r="AE1047" s="12" t="n"/>
      <c r="AF1047" s="11" t="n"/>
      <c r="AG1047" s="11" t="n"/>
      <c r="AH1047" s="11" t="n"/>
      <c r="AI1047" s="14">
        <f>IF(AND($AD1047="保留中",$AF1047&lt;&gt;""),TODAY()-$AF1047,"")</f>
        <v/>
      </c>
      <c r="AJ1047" s="12" t="n"/>
      <c r="AK1047" s="14">
        <f>IF($B1047="","",IF($AO1047="","対象年月が未入力／","")&amp;IF($B1047="","",IF($AN1047="","職員マスタに未登録の職員番号／",IF($Y1047="","標準報酬月額が未登録／","")&amp;IF(AND($AO1047&lt;&gt;"",OR(AND(INDEX(職員マスタ!$G$6:$G$405,$AN1047)&lt;&gt;"",INDEX(職員マスタ!$G$6:$G$405,$AN1047)&gt;EOMONTH($AO1047,0)),AND(INDEX(職員マスタ!$H$6:$H$405,$AN1047)&lt;&gt;"",INDEX(職員マスタ!$H$6:$H$405,$AN1047)&lt;$AO1047))),"対象月が時短期間外／","")&amp;IF(AND(INDEX(職員マスタ!$F$6:$F$405,$AN1047)&lt;&gt;"",$AO1047&lt;&gt;"",INDEX(職員マスタ!$F$6:$F$405,$AN1047)&lt;$AO1047),"対象月に子が2歳到達済／","")&amp;IF(AND($H1047&lt;&gt;"",INDEX(職員マスタ!$B$6:$B$405,$AN1047)&lt;&gt;"",SUBSTITUTE(SUBSTITUTE($H1047," ","")," ","")&lt;&gt;SUBSTITUTE(SUBSTITUTE(INDEX(職員マスタ!$B$6:$B$405,$AN1047)," ","")," ","")),"氏名がマスタと相違／","")&amp;IF(AND($Q1047&lt;&gt;"",INDEX(職員マスタ!$E$6:$E$405,$AN1047)&lt;&gt;"",$Q1047&lt;&gt;INDEX(職員マスタ!$E$6:$E$405,$AN1047)),"子の生年月日がマスタと相違／","")&amp;IF(AND($L1047&lt;&gt;"",INDEX(職員マスタ!$G$6:$G$405,$AN1047)&lt;&gt;"",$L1047&lt;&gt;INDEX(職員マスタ!$G$6:$G$405,$AN1047)),"時短開始日がマスタと相違／","")&amp;IF(AND($M1047&lt;&gt;"",INDEX(職員マスタ!$H$6:$H$405,$AN1047)&lt;&gt;"",$M1047&lt;&gt;INDEX(職員マスタ!$H$6:$H$405,$AN1047)),"時短終了日がマスタと相違／","")))&amp;IF(AND($B1047&lt;&gt;"",$E1047=""),"報酬額が未入力／","")&amp;IF(N($U1047)&gt;0,"申請書に入力エラーが残っています／","")&amp;IF(AND($B1047&lt;&gt;"",$AO1047&lt;&gt;""),IF(COUNTIFS($B$6:$B$3005,$B1047,$C$6:$C$3005,$C1047,$D$6:$D$3005,$D1047)&gt;1,"同じ月の請求が重複しています／",""),"")&amp;IF(AND(N($E1047)&gt;0,$Z1047&lt;&gt;"",$Z1047&lt;&gt;"×",$AC1047=0,$AB1047=""),"計算額が下限以下のため不支給／",""))</f>
        <v/>
      </c>
      <c r="AL1047" s="12" t="n"/>
      <c r="AM1047" s="14">
        <f>IF($AD1047="保留中",COUNTIF($AD$6:$AD1047,"保留中"),"")</f>
        <v/>
      </c>
      <c r="AN1047" s="14">
        <f>IF($AO1047="","",IF(SUMPRODUCT(MAX((職員マスタ!$A$6:$A$405=$B1047)*(((職員マスタ!$G$6:$G$405="")+(職員マスタ!$G$6:$G$405&lt;=EOMONTH($AO1047,0)))&gt;0)*(((職員マスタ!$H$6:$H$405="")+(職員マスタ!$H$6:$H$405&gt;=$AO1047))&gt;0)*(ROW(職員マスタ!$A$6:$A$405)-5)))&gt;0,SUMPRODUCT(MAX((職員マスタ!$A$6:$A$405=$B1047)*(((職員マスタ!$G$6:$G$405="")+(職員マスタ!$G$6:$G$405&lt;=EOMONTH($AO1047,0)))&gt;0)*(((職員マスタ!$H$6:$H$405="")+(職員マスタ!$H$6:$H$405&gt;=$AO1047))&gt;0)*(ROW(職員マスタ!$A$6:$A$405)-5))),IFERROR(MATCH($B1047,職員マスタ!$A$6:$A$405,0),"")))</f>
        <v/>
      </c>
      <c r="AO1047" s="16">
        <f>IF(OR($B1047="",$C1047="",$D1047=""),"",DATE($C1047+2018,$D1047,1))</f>
        <v/>
      </c>
    </row>
    <row r="1048">
      <c r="A1048" s="11" t="n"/>
      <c r="B1048" s="12" t="n"/>
      <c r="C1048" s="12" t="n"/>
      <c r="D1048" s="12" t="n"/>
      <c r="E1048" s="13" t="n"/>
      <c r="F1048" s="12" t="n"/>
      <c r="G1048" s="13" t="n"/>
      <c r="H1048" s="12" t="n"/>
      <c r="I1048" s="12" t="n"/>
      <c r="J1048" s="12" t="n"/>
      <c r="K1048" s="12" t="n"/>
      <c r="L1048" s="11" t="n"/>
      <c r="M1048" s="11" t="n"/>
      <c r="N1048" s="11" t="n"/>
      <c r="O1048" s="11" t="n"/>
      <c r="P1048" s="12" t="n"/>
      <c r="Q1048" s="11" t="n"/>
      <c r="R1048" s="12" t="n"/>
      <c r="S1048" s="11" t="n"/>
      <c r="T1048" s="12" t="n"/>
      <c r="U1048" s="12" t="n"/>
      <c r="V1048" s="14">
        <f>IF($AN1048="",IF($B1048="","",$H1048),IF(INDEX(職員マスタ!$B$6:$B$405,$AN1048)="",$H1048,INDEX(職員マスタ!$B$6:$B$405,$AN1048)))</f>
        <v/>
      </c>
      <c r="W1048" s="14">
        <f>IF($AN1048="",IF($B1048="","",$R1048),IF(INDEX(職員マスタ!$C$6:$C$405,$AN1048)="",$R1048,INDEX(職員マスタ!$C$6:$C$405,$AN1048)))</f>
        <v/>
      </c>
      <c r="X1048" s="14">
        <f>IF($AO1048="","","R"&amp;$C1048&amp;"."&amp;$D1048)</f>
        <v/>
      </c>
      <c r="Y1048" s="15">
        <f>IF($AN1048="","",IF(INDEX(職員マスタ!$K$6:$K$405,$AN1048)="","",INDEX(職員マスタ!$K$6:$K$405,$AN1048)))</f>
        <v/>
      </c>
      <c r="Z1048" s="14">
        <f>IF(OR($E1048="",$Y1048=""),"",IF($E1048&gt;=$Y1048,"×",IF($E1048&gt;=$Y1048*設定!$C$5,"△","○")))</f>
        <v/>
      </c>
      <c r="AA1048" s="15">
        <f>IF($Z1048="","",IF($Z1048="×",0,IF($Z1048="○",ROUNDDOWN($E1048*設定!$C$4,0),ROUNDDOWN($E1048*ROUND((9*$Y1048-9*$E1048)/(10*$E1048),4),0))))</f>
        <v/>
      </c>
      <c r="AB1048" s="13" t="n"/>
      <c r="AC1048" s="15">
        <f>IF($B1048="","",IF($AB1048&lt;&gt;"",$AB1048,IF($AA1048="","",IF($AA1048&lt;=設定!$C$3,0,$AA1048))))</f>
        <v/>
      </c>
      <c r="AD1048" s="14">
        <f>IF($B1048="","",IF(AND($AE1048&lt;&gt;"",$AG1048="",$AJ1048=""),"保留中",IF($AJ1048&lt;&gt;"",IF(N($AC1048)&gt;0,"支給済","不支給"),IF($AC1048="","要確認",IF($AC1048=0,"不支給","未処理")))))</f>
        <v/>
      </c>
      <c r="AE1048" s="12" t="n"/>
      <c r="AF1048" s="11" t="n"/>
      <c r="AG1048" s="11" t="n"/>
      <c r="AH1048" s="11" t="n"/>
      <c r="AI1048" s="14">
        <f>IF(AND($AD1048="保留中",$AF1048&lt;&gt;""),TODAY()-$AF1048,"")</f>
        <v/>
      </c>
      <c r="AJ1048" s="12" t="n"/>
      <c r="AK1048" s="14">
        <f>IF($B1048="","",IF($AO1048="","対象年月が未入力／","")&amp;IF($B1048="","",IF($AN1048="","職員マスタに未登録の職員番号／",IF($Y1048="","標準報酬月額が未登録／","")&amp;IF(AND($AO1048&lt;&gt;"",OR(AND(INDEX(職員マスタ!$G$6:$G$405,$AN1048)&lt;&gt;"",INDEX(職員マスタ!$G$6:$G$405,$AN1048)&gt;EOMONTH($AO1048,0)),AND(INDEX(職員マスタ!$H$6:$H$405,$AN1048)&lt;&gt;"",INDEX(職員マスタ!$H$6:$H$405,$AN1048)&lt;$AO1048))),"対象月が時短期間外／","")&amp;IF(AND(INDEX(職員マスタ!$F$6:$F$405,$AN1048)&lt;&gt;"",$AO1048&lt;&gt;"",INDEX(職員マスタ!$F$6:$F$405,$AN1048)&lt;$AO1048),"対象月に子が2歳到達済／","")&amp;IF(AND($H1048&lt;&gt;"",INDEX(職員マスタ!$B$6:$B$405,$AN1048)&lt;&gt;"",SUBSTITUTE(SUBSTITUTE($H1048," ","")," ","")&lt;&gt;SUBSTITUTE(SUBSTITUTE(INDEX(職員マスタ!$B$6:$B$405,$AN1048)," ","")," ","")),"氏名がマスタと相違／","")&amp;IF(AND($Q1048&lt;&gt;"",INDEX(職員マスタ!$E$6:$E$405,$AN1048)&lt;&gt;"",$Q1048&lt;&gt;INDEX(職員マスタ!$E$6:$E$405,$AN1048)),"子の生年月日がマスタと相違／","")&amp;IF(AND($L1048&lt;&gt;"",INDEX(職員マスタ!$G$6:$G$405,$AN1048)&lt;&gt;"",$L1048&lt;&gt;INDEX(職員マスタ!$G$6:$G$405,$AN1048)),"時短開始日がマスタと相違／","")&amp;IF(AND($M1048&lt;&gt;"",INDEX(職員マスタ!$H$6:$H$405,$AN1048)&lt;&gt;"",$M1048&lt;&gt;INDEX(職員マスタ!$H$6:$H$405,$AN1048)),"時短終了日がマスタと相違／","")))&amp;IF(AND($B1048&lt;&gt;"",$E1048=""),"報酬額が未入力／","")&amp;IF(N($U1048)&gt;0,"申請書に入力エラーが残っています／","")&amp;IF(AND($B1048&lt;&gt;"",$AO1048&lt;&gt;""),IF(COUNTIFS($B$6:$B$3005,$B1048,$C$6:$C$3005,$C1048,$D$6:$D$3005,$D1048)&gt;1,"同じ月の請求が重複しています／",""),"")&amp;IF(AND(N($E1048)&gt;0,$Z1048&lt;&gt;"",$Z1048&lt;&gt;"×",$AC1048=0,$AB1048=""),"計算額が下限以下のため不支給／",""))</f>
        <v/>
      </c>
      <c r="AL1048" s="12" t="n"/>
      <c r="AM1048" s="14">
        <f>IF($AD1048="保留中",COUNTIF($AD$6:$AD1048,"保留中"),"")</f>
        <v/>
      </c>
      <c r="AN1048" s="14">
        <f>IF($AO1048="","",IF(SUMPRODUCT(MAX((職員マスタ!$A$6:$A$405=$B1048)*(((職員マスタ!$G$6:$G$405="")+(職員マスタ!$G$6:$G$405&lt;=EOMONTH($AO1048,0)))&gt;0)*(((職員マスタ!$H$6:$H$405="")+(職員マスタ!$H$6:$H$405&gt;=$AO1048))&gt;0)*(ROW(職員マスタ!$A$6:$A$405)-5)))&gt;0,SUMPRODUCT(MAX((職員マスタ!$A$6:$A$405=$B1048)*(((職員マスタ!$G$6:$G$405="")+(職員マスタ!$G$6:$G$405&lt;=EOMONTH($AO1048,0)))&gt;0)*(((職員マスタ!$H$6:$H$405="")+(職員マスタ!$H$6:$H$405&gt;=$AO1048))&gt;0)*(ROW(職員マスタ!$A$6:$A$405)-5))),IFERROR(MATCH($B1048,職員マスタ!$A$6:$A$405,0),"")))</f>
        <v/>
      </c>
      <c r="AO1048" s="16">
        <f>IF(OR($B1048="",$C1048="",$D1048=""),"",DATE($C1048+2018,$D1048,1))</f>
        <v/>
      </c>
    </row>
    <row r="1049">
      <c r="A1049" s="11" t="n"/>
      <c r="B1049" s="12" t="n"/>
      <c r="C1049" s="12" t="n"/>
      <c r="D1049" s="12" t="n"/>
      <c r="E1049" s="13" t="n"/>
      <c r="F1049" s="12" t="n"/>
      <c r="G1049" s="13" t="n"/>
      <c r="H1049" s="12" t="n"/>
      <c r="I1049" s="12" t="n"/>
      <c r="J1049" s="12" t="n"/>
      <c r="K1049" s="12" t="n"/>
      <c r="L1049" s="11" t="n"/>
      <c r="M1049" s="11" t="n"/>
      <c r="N1049" s="11" t="n"/>
      <c r="O1049" s="11" t="n"/>
      <c r="P1049" s="12" t="n"/>
      <c r="Q1049" s="11" t="n"/>
      <c r="R1049" s="12" t="n"/>
      <c r="S1049" s="11" t="n"/>
      <c r="T1049" s="12" t="n"/>
      <c r="U1049" s="12" t="n"/>
      <c r="V1049" s="14">
        <f>IF($AN1049="",IF($B1049="","",$H1049),IF(INDEX(職員マスタ!$B$6:$B$405,$AN1049)="",$H1049,INDEX(職員マスタ!$B$6:$B$405,$AN1049)))</f>
        <v/>
      </c>
      <c r="W1049" s="14">
        <f>IF($AN1049="",IF($B1049="","",$R1049),IF(INDEX(職員マスタ!$C$6:$C$405,$AN1049)="",$R1049,INDEX(職員マスタ!$C$6:$C$405,$AN1049)))</f>
        <v/>
      </c>
      <c r="X1049" s="14">
        <f>IF($AO1049="","","R"&amp;$C1049&amp;"."&amp;$D1049)</f>
        <v/>
      </c>
      <c r="Y1049" s="15">
        <f>IF($AN1049="","",IF(INDEX(職員マスタ!$K$6:$K$405,$AN1049)="","",INDEX(職員マスタ!$K$6:$K$405,$AN1049)))</f>
        <v/>
      </c>
      <c r="Z1049" s="14">
        <f>IF(OR($E1049="",$Y1049=""),"",IF($E1049&gt;=$Y1049,"×",IF($E1049&gt;=$Y1049*設定!$C$5,"△","○")))</f>
        <v/>
      </c>
      <c r="AA1049" s="15">
        <f>IF($Z1049="","",IF($Z1049="×",0,IF($Z1049="○",ROUNDDOWN($E1049*設定!$C$4,0),ROUNDDOWN($E1049*ROUND((9*$Y1049-9*$E1049)/(10*$E1049),4),0))))</f>
        <v/>
      </c>
      <c r="AB1049" s="13" t="n"/>
      <c r="AC1049" s="15">
        <f>IF($B1049="","",IF($AB1049&lt;&gt;"",$AB1049,IF($AA1049="","",IF($AA1049&lt;=設定!$C$3,0,$AA1049))))</f>
        <v/>
      </c>
      <c r="AD1049" s="14">
        <f>IF($B1049="","",IF(AND($AE1049&lt;&gt;"",$AG1049="",$AJ1049=""),"保留中",IF($AJ1049&lt;&gt;"",IF(N($AC1049)&gt;0,"支給済","不支給"),IF($AC1049="","要確認",IF($AC1049=0,"不支給","未処理")))))</f>
        <v/>
      </c>
      <c r="AE1049" s="12" t="n"/>
      <c r="AF1049" s="11" t="n"/>
      <c r="AG1049" s="11" t="n"/>
      <c r="AH1049" s="11" t="n"/>
      <c r="AI1049" s="14">
        <f>IF(AND($AD1049="保留中",$AF1049&lt;&gt;""),TODAY()-$AF1049,"")</f>
        <v/>
      </c>
      <c r="AJ1049" s="12" t="n"/>
      <c r="AK1049" s="14">
        <f>IF($B1049="","",IF($AO1049="","対象年月が未入力／","")&amp;IF($B1049="","",IF($AN1049="","職員マスタに未登録の職員番号／",IF($Y1049="","標準報酬月額が未登録／","")&amp;IF(AND($AO1049&lt;&gt;"",OR(AND(INDEX(職員マスタ!$G$6:$G$405,$AN1049)&lt;&gt;"",INDEX(職員マスタ!$G$6:$G$405,$AN1049)&gt;EOMONTH($AO1049,0)),AND(INDEX(職員マスタ!$H$6:$H$405,$AN1049)&lt;&gt;"",INDEX(職員マスタ!$H$6:$H$405,$AN1049)&lt;$AO1049))),"対象月が時短期間外／","")&amp;IF(AND(INDEX(職員マスタ!$F$6:$F$405,$AN1049)&lt;&gt;"",$AO1049&lt;&gt;"",INDEX(職員マスタ!$F$6:$F$405,$AN1049)&lt;$AO1049),"対象月に子が2歳到達済／","")&amp;IF(AND($H1049&lt;&gt;"",INDEX(職員マスタ!$B$6:$B$405,$AN1049)&lt;&gt;"",SUBSTITUTE(SUBSTITUTE($H1049," ","")," ","")&lt;&gt;SUBSTITUTE(SUBSTITUTE(INDEX(職員マスタ!$B$6:$B$405,$AN1049)," ","")," ","")),"氏名がマスタと相違／","")&amp;IF(AND($Q1049&lt;&gt;"",INDEX(職員マスタ!$E$6:$E$405,$AN1049)&lt;&gt;"",$Q1049&lt;&gt;INDEX(職員マスタ!$E$6:$E$405,$AN1049)),"子の生年月日がマスタと相違／","")&amp;IF(AND($L1049&lt;&gt;"",INDEX(職員マスタ!$G$6:$G$405,$AN1049)&lt;&gt;"",$L1049&lt;&gt;INDEX(職員マスタ!$G$6:$G$405,$AN1049)),"時短開始日がマスタと相違／","")&amp;IF(AND($M1049&lt;&gt;"",INDEX(職員マスタ!$H$6:$H$405,$AN1049)&lt;&gt;"",$M1049&lt;&gt;INDEX(職員マスタ!$H$6:$H$405,$AN1049)),"時短終了日がマスタと相違／","")))&amp;IF(AND($B1049&lt;&gt;"",$E1049=""),"報酬額が未入力／","")&amp;IF(N($U1049)&gt;0,"申請書に入力エラーが残っています／","")&amp;IF(AND($B1049&lt;&gt;"",$AO1049&lt;&gt;""),IF(COUNTIFS($B$6:$B$3005,$B1049,$C$6:$C$3005,$C1049,$D$6:$D$3005,$D1049)&gt;1,"同じ月の請求が重複しています／",""),"")&amp;IF(AND(N($E1049)&gt;0,$Z1049&lt;&gt;"",$Z1049&lt;&gt;"×",$AC1049=0,$AB1049=""),"計算額が下限以下のため不支給／",""))</f>
        <v/>
      </c>
      <c r="AL1049" s="12" t="n"/>
      <c r="AM1049" s="14">
        <f>IF($AD1049="保留中",COUNTIF($AD$6:$AD1049,"保留中"),"")</f>
        <v/>
      </c>
      <c r="AN1049" s="14">
        <f>IF($AO1049="","",IF(SUMPRODUCT(MAX((職員マスタ!$A$6:$A$405=$B1049)*(((職員マスタ!$G$6:$G$405="")+(職員マスタ!$G$6:$G$405&lt;=EOMONTH($AO1049,0)))&gt;0)*(((職員マスタ!$H$6:$H$405="")+(職員マスタ!$H$6:$H$405&gt;=$AO1049))&gt;0)*(ROW(職員マスタ!$A$6:$A$405)-5)))&gt;0,SUMPRODUCT(MAX((職員マスタ!$A$6:$A$405=$B1049)*(((職員マスタ!$G$6:$G$405="")+(職員マスタ!$G$6:$G$405&lt;=EOMONTH($AO1049,0)))&gt;0)*(((職員マスタ!$H$6:$H$405="")+(職員マスタ!$H$6:$H$405&gt;=$AO1049))&gt;0)*(ROW(職員マスタ!$A$6:$A$405)-5))),IFERROR(MATCH($B1049,職員マスタ!$A$6:$A$405,0),"")))</f>
        <v/>
      </c>
      <c r="AO1049" s="16">
        <f>IF(OR($B1049="",$C1049="",$D1049=""),"",DATE($C1049+2018,$D1049,1))</f>
        <v/>
      </c>
    </row>
    <row r="1050">
      <c r="A1050" s="11" t="n"/>
      <c r="B1050" s="12" t="n"/>
      <c r="C1050" s="12" t="n"/>
      <c r="D1050" s="12" t="n"/>
      <c r="E1050" s="13" t="n"/>
      <c r="F1050" s="12" t="n"/>
      <c r="G1050" s="13" t="n"/>
      <c r="H1050" s="12" t="n"/>
      <c r="I1050" s="12" t="n"/>
      <c r="J1050" s="12" t="n"/>
      <c r="K1050" s="12" t="n"/>
      <c r="L1050" s="11" t="n"/>
      <c r="M1050" s="11" t="n"/>
      <c r="N1050" s="11" t="n"/>
      <c r="O1050" s="11" t="n"/>
      <c r="P1050" s="12" t="n"/>
      <c r="Q1050" s="11" t="n"/>
      <c r="R1050" s="12" t="n"/>
      <c r="S1050" s="11" t="n"/>
      <c r="T1050" s="12" t="n"/>
      <c r="U1050" s="12" t="n"/>
      <c r="V1050" s="14">
        <f>IF($AN1050="",IF($B1050="","",$H1050),IF(INDEX(職員マスタ!$B$6:$B$405,$AN1050)="",$H1050,INDEX(職員マスタ!$B$6:$B$405,$AN1050)))</f>
        <v/>
      </c>
      <c r="W1050" s="14">
        <f>IF($AN1050="",IF($B1050="","",$R1050),IF(INDEX(職員マスタ!$C$6:$C$405,$AN1050)="",$R1050,INDEX(職員マスタ!$C$6:$C$405,$AN1050)))</f>
        <v/>
      </c>
      <c r="X1050" s="14">
        <f>IF($AO1050="","","R"&amp;$C1050&amp;"."&amp;$D1050)</f>
        <v/>
      </c>
      <c r="Y1050" s="15">
        <f>IF($AN1050="","",IF(INDEX(職員マスタ!$K$6:$K$405,$AN1050)="","",INDEX(職員マスタ!$K$6:$K$405,$AN1050)))</f>
        <v/>
      </c>
      <c r="Z1050" s="14">
        <f>IF(OR($E1050="",$Y1050=""),"",IF($E1050&gt;=$Y1050,"×",IF($E1050&gt;=$Y1050*設定!$C$5,"△","○")))</f>
        <v/>
      </c>
      <c r="AA1050" s="15">
        <f>IF($Z1050="","",IF($Z1050="×",0,IF($Z1050="○",ROUNDDOWN($E1050*設定!$C$4,0),ROUNDDOWN($E1050*ROUND((9*$Y1050-9*$E1050)/(10*$E1050),4),0))))</f>
        <v/>
      </c>
      <c r="AB1050" s="13" t="n"/>
      <c r="AC1050" s="15">
        <f>IF($B1050="","",IF($AB1050&lt;&gt;"",$AB1050,IF($AA1050="","",IF($AA1050&lt;=設定!$C$3,0,$AA1050))))</f>
        <v/>
      </c>
      <c r="AD1050" s="14">
        <f>IF($B1050="","",IF(AND($AE1050&lt;&gt;"",$AG1050="",$AJ1050=""),"保留中",IF($AJ1050&lt;&gt;"",IF(N($AC1050)&gt;0,"支給済","不支給"),IF($AC1050="","要確認",IF($AC1050=0,"不支給","未処理")))))</f>
        <v/>
      </c>
      <c r="AE1050" s="12" t="n"/>
      <c r="AF1050" s="11" t="n"/>
      <c r="AG1050" s="11" t="n"/>
      <c r="AH1050" s="11" t="n"/>
      <c r="AI1050" s="14">
        <f>IF(AND($AD1050="保留中",$AF1050&lt;&gt;""),TODAY()-$AF1050,"")</f>
        <v/>
      </c>
      <c r="AJ1050" s="12" t="n"/>
      <c r="AK1050" s="14">
        <f>IF($B1050="","",IF($AO1050="","対象年月が未入力／","")&amp;IF($B1050="","",IF($AN1050="","職員マスタに未登録の職員番号／",IF($Y1050="","標準報酬月額が未登録／","")&amp;IF(AND($AO1050&lt;&gt;"",OR(AND(INDEX(職員マスタ!$G$6:$G$405,$AN1050)&lt;&gt;"",INDEX(職員マスタ!$G$6:$G$405,$AN1050)&gt;EOMONTH($AO1050,0)),AND(INDEX(職員マスタ!$H$6:$H$405,$AN1050)&lt;&gt;"",INDEX(職員マスタ!$H$6:$H$405,$AN1050)&lt;$AO1050))),"対象月が時短期間外／","")&amp;IF(AND(INDEX(職員マスタ!$F$6:$F$405,$AN1050)&lt;&gt;"",$AO1050&lt;&gt;"",INDEX(職員マスタ!$F$6:$F$405,$AN1050)&lt;$AO1050),"対象月に子が2歳到達済／","")&amp;IF(AND($H1050&lt;&gt;"",INDEX(職員マスタ!$B$6:$B$405,$AN1050)&lt;&gt;"",SUBSTITUTE(SUBSTITUTE($H1050," ","")," ","")&lt;&gt;SUBSTITUTE(SUBSTITUTE(INDEX(職員マスタ!$B$6:$B$405,$AN1050)," ","")," ","")),"氏名がマスタと相違／","")&amp;IF(AND($Q1050&lt;&gt;"",INDEX(職員マスタ!$E$6:$E$405,$AN1050)&lt;&gt;"",$Q1050&lt;&gt;INDEX(職員マスタ!$E$6:$E$405,$AN1050)),"子の生年月日がマスタと相違／","")&amp;IF(AND($L1050&lt;&gt;"",INDEX(職員マスタ!$G$6:$G$405,$AN1050)&lt;&gt;"",$L1050&lt;&gt;INDEX(職員マスタ!$G$6:$G$405,$AN1050)),"時短開始日がマスタと相違／","")&amp;IF(AND($M1050&lt;&gt;"",INDEX(職員マスタ!$H$6:$H$405,$AN1050)&lt;&gt;"",$M1050&lt;&gt;INDEX(職員マスタ!$H$6:$H$405,$AN1050)),"時短終了日がマスタと相違／","")))&amp;IF(AND($B1050&lt;&gt;"",$E1050=""),"報酬額が未入力／","")&amp;IF(N($U1050)&gt;0,"申請書に入力エラーが残っています／","")&amp;IF(AND($B1050&lt;&gt;"",$AO1050&lt;&gt;""),IF(COUNTIFS($B$6:$B$3005,$B1050,$C$6:$C$3005,$C1050,$D$6:$D$3005,$D1050)&gt;1,"同じ月の請求が重複しています／",""),"")&amp;IF(AND(N($E1050)&gt;0,$Z1050&lt;&gt;"",$Z1050&lt;&gt;"×",$AC1050=0,$AB1050=""),"計算額が下限以下のため不支給／",""))</f>
        <v/>
      </c>
      <c r="AL1050" s="12" t="n"/>
      <c r="AM1050" s="14">
        <f>IF($AD1050="保留中",COUNTIF($AD$6:$AD1050,"保留中"),"")</f>
        <v/>
      </c>
      <c r="AN1050" s="14">
        <f>IF($AO1050="","",IF(SUMPRODUCT(MAX((職員マスタ!$A$6:$A$405=$B1050)*(((職員マスタ!$G$6:$G$405="")+(職員マスタ!$G$6:$G$405&lt;=EOMONTH($AO1050,0)))&gt;0)*(((職員マスタ!$H$6:$H$405="")+(職員マスタ!$H$6:$H$405&gt;=$AO1050))&gt;0)*(ROW(職員マスタ!$A$6:$A$405)-5)))&gt;0,SUMPRODUCT(MAX((職員マスタ!$A$6:$A$405=$B1050)*(((職員マスタ!$G$6:$G$405="")+(職員マスタ!$G$6:$G$405&lt;=EOMONTH($AO1050,0)))&gt;0)*(((職員マスタ!$H$6:$H$405="")+(職員マスタ!$H$6:$H$405&gt;=$AO1050))&gt;0)*(ROW(職員マスタ!$A$6:$A$405)-5))),IFERROR(MATCH($B1050,職員マスタ!$A$6:$A$405,0),"")))</f>
        <v/>
      </c>
      <c r="AO1050" s="16">
        <f>IF(OR($B1050="",$C1050="",$D1050=""),"",DATE($C1050+2018,$D1050,1))</f>
        <v/>
      </c>
    </row>
    <row r="1051">
      <c r="A1051" s="11" t="n"/>
      <c r="B1051" s="12" t="n"/>
      <c r="C1051" s="12" t="n"/>
      <c r="D1051" s="12" t="n"/>
      <c r="E1051" s="13" t="n"/>
      <c r="F1051" s="12" t="n"/>
      <c r="G1051" s="13" t="n"/>
      <c r="H1051" s="12" t="n"/>
      <c r="I1051" s="12" t="n"/>
      <c r="J1051" s="12" t="n"/>
      <c r="K1051" s="12" t="n"/>
      <c r="L1051" s="11" t="n"/>
      <c r="M1051" s="11" t="n"/>
      <c r="N1051" s="11" t="n"/>
      <c r="O1051" s="11" t="n"/>
      <c r="P1051" s="12" t="n"/>
      <c r="Q1051" s="11" t="n"/>
      <c r="R1051" s="12" t="n"/>
      <c r="S1051" s="11" t="n"/>
      <c r="T1051" s="12" t="n"/>
      <c r="U1051" s="12" t="n"/>
      <c r="V1051" s="14">
        <f>IF($AN1051="",IF($B1051="","",$H1051),IF(INDEX(職員マスタ!$B$6:$B$405,$AN1051)="",$H1051,INDEX(職員マスタ!$B$6:$B$405,$AN1051)))</f>
        <v/>
      </c>
      <c r="W1051" s="14">
        <f>IF($AN1051="",IF($B1051="","",$R1051),IF(INDEX(職員マスタ!$C$6:$C$405,$AN1051)="",$R1051,INDEX(職員マスタ!$C$6:$C$405,$AN1051)))</f>
        <v/>
      </c>
      <c r="X1051" s="14">
        <f>IF($AO1051="","","R"&amp;$C1051&amp;"."&amp;$D1051)</f>
        <v/>
      </c>
      <c r="Y1051" s="15">
        <f>IF($AN1051="","",IF(INDEX(職員マスタ!$K$6:$K$405,$AN1051)="","",INDEX(職員マスタ!$K$6:$K$405,$AN1051)))</f>
        <v/>
      </c>
      <c r="Z1051" s="14">
        <f>IF(OR($E1051="",$Y1051=""),"",IF($E1051&gt;=$Y1051,"×",IF($E1051&gt;=$Y1051*設定!$C$5,"△","○")))</f>
        <v/>
      </c>
      <c r="AA1051" s="15">
        <f>IF($Z1051="","",IF($Z1051="×",0,IF($Z1051="○",ROUNDDOWN($E1051*設定!$C$4,0),ROUNDDOWN($E1051*ROUND((9*$Y1051-9*$E1051)/(10*$E1051),4),0))))</f>
        <v/>
      </c>
      <c r="AB1051" s="13" t="n"/>
      <c r="AC1051" s="15">
        <f>IF($B1051="","",IF($AB1051&lt;&gt;"",$AB1051,IF($AA1051="","",IF($AA1051&lt;=設定!$C$3,0,$AA1051))))</f>
        <v/>
      </c>
      <c r="AD1051" s="14">
        <f>IF($B1051="","",IF(AND($AE1051&lt;&gt;"",$AG1051="",$AJ1051=""),"保留中",IF($AJ1051&lt;&gt;"",IF(N($AC1051)&gt;0,"支給済","不支給"),IF($AC1051="","要確認",IF($AC1051=0,"不支給","未処理")))))</f>
        <v/>
      </c>
      <c r="AE1051" s="12" t="n"/>
      <c r="AF1051" s="11" t="n"/>
      <c r="AG1051" s="11" t="n"/>
      <c r="AH1051" s="11" t="n"/>
      <c r="AI1051" s="14">
        <f>IF(AND($AD1051="保留中",$AF1051&lt;&gt;""),TODAY()-$AF1051,"")</f>
        <v/>
      </c>
      <c r="AJ1051" s="12" t="n"/>
      <c r="AK1051" s="14">
        <f>IF($B1051="","",IF($AO1051="","対象年月が未入力／","")&amp;IF($B1051="","",IF($AN1051="","職員マスタに未登録の職員番号／",IF($Y1051="","標準報酬月額が未登録／","")&amp;IF(AND($AO1051&lt;&gt;"",OR(AND(INDEX(職員マスタ!$G$6:$G$405,$AN1051)&lt;&gt;"",INDEX(職員マスタ!$G$6:$G$405,$AN1051)&gt;EOMONTH($AO1051,0)),AND(INDEX(職員マスタ!$H$6:$H$405,$AN1051)&lt;&gt;"",INDEX(職員マスタ!$H$6:$H$405,$AN1051)&lt;$AO1051))),"対象月が時短期間外／","")&amp;IF(AND(INDEX(職員マスタ!$F$6:$F$405,$AN1051)&lt;&gt;"",$AO1051&lt;&gt;"",INDEX(職員マスタ!$F$6:$F$405,$AN1051)&lt;$AO1051),"対象月に子が2歳到達済／","")&amp;IF(AND($H1051&lt;&gt;"",INDEX(職員マスタ!$B$6:$B$405,$AN1051)&lt;&gt;"",SUBSTITUTE(SUBSTITUTE($H1051," ","")," ","")&lt;&gt;SUBSTITUTE(SUBSTITUTE(INDEX(職員マスタ!$B$6:$B$405,$AN1051)," ","")," ","")),"氏名がマスタと相違／","")&amp;IF(AND($Q1051&lt;&gt;"",INDEX(職員マスタ!$E$6:$E$405,$AN1051)&lt;&gt;"",$Q1051&lt;&gt;INDEX(職員マスタ!$E$6:$E$405,$AN1051)),"子の生年月日がマスタと相違／","")&amp;IF(AND($L1051&lt;&gt;"",INDEX(職員マスタ!$G$6:$G$405,$AN1051)&lt;&gt;"",$L1051&lt;&gt;INDEX(職員マスタ!$G$6:$G$405,$AN1051)),"時短開始日がマスタと相違／","")&amp;IF(AND($M1051&lt;&gt;"",INDEX(職員マスタ!$H$6:$H$405,$AN1051)&lt;&gt;"",$M1051&lt;&gt;INDEX(職員マスタ!$H$6:$H$405,$AN1051)),"時短終了日がマスタと相違／","")))&amp;IF(AND($B1051&lt;&gt;"",$E1051=""),"報酬額が未入力／","")&amp;IF(N($U1051)&gt;0,"申請書に入力エラーが残っています／","")&amp;IF(AND($B1051&lt;&gt;"",$AO1051&lt;&gt;""),IF(COUNTIFS($B$6:$B$3005,$B1051,$C$6:$C$3005,$C1051,$D$6:$D$3005,$D1051)&gt;1,"同じ月の請求が重複しています／",""),"")&amp;IF(AND(N($E1051)&gt;0,$Z1051&lt;&gt;"",$Z1051&lt;&gt;"×",$AC1051=0,$AB1051=""),"計算額が下限以下のため不支給／",""))</f>
        <v/>
      </c>
      <c r="AL1051" s="12" t="n"/>
      <c r="AM1051" s="14">
        <f>IF($AD1051="保留中",COUNTIF($AD$6:$AD1051,"保留中"),"")</f>
        <v/>
      </c>
      <c r="AN1051" s="14">
        <f>IF($AO1051="","",IF(SUMPRODUCT(MAX((職員マスタ!$A$6:$A$405=$B1051)*(((職員マスタ!$G$6:$G$405="")+(職員マスタ!$G$6:$G$405&lt;=EOMONTH($AO1051,0)))&gt;0)*(((職員マスタ!$H$6:$H$405="")+(職員マスタ!$H$6:$H$405&gt;=$AO1051))&gt;0)*(ROW(職員マスタ!$A$6:$A$405)-5)))&gt;0,SUMPRODUCT(MAX((職員マスタ!$A$6:$A$405=$B1051)*(((職員マスタ!$G$6:$G$405="")+(職員マスタ!$G$6:$G$405&lt;=EOMONTH($AO1051,0)))&gt;0)*(((職員マスタ!$H$6:$H$405="")+(職員マスタ!$H$6:$H$405&gt;=$AO1051))&gt;0)*(ROW(職員マスタ!$A$6:$A$405)-5))),IFERROR(MATCH($B1051,職員マスタ!$A$6:$A$405,0),"")))</f>
        <v/>
      </c>
      <c r="AO1051" s="16">
        <f>IF(OR($B1051="",$C1051="",$D1051=""),"",DATE($C1051+2018,$D1051,1))</f>
        <v/>
      </c>
    </row>
    <row r="1052">
      <c r="A1052" s="11" t="n"/>
      <c r="B1052" s="12" t="n"/>
      <c r="C1052" s="12" t="n"/>
      <c r="D1052" s="12" t="n"/>
      <c r="E1052" s="13" t="n"/>
      <c r="F1052" s="12" t="n"/>
      <c r="G1052" s="13" t="n"/>
      <c r="H1052" s="12" t="n"/>
      <c r="I1052" s="12" t="n"/>
      <c r="J1052" s="12" t="n"/>
      <c r="K1052" s="12" t="n"/>
      <c r="L1052" s="11" t="n"/>
      <c r="M1052" s="11" t="n"/>
      <c r="N1052" s="11" t="n"/>
      <c r="O1052" s="11" t="n"/>
      <c r="P1052" s="12" t="n"/>
      <c r="Q1052" s="11" t="n"/>
      <c r="R1052" s="12" t="n"/>
      <c r="S1052" s="11" t="n"/>
      <c r="T1052" s="12" t="n"/>
      <c r="U1052" s="12" t="n"/>
      <c r="V1052" s="14">
        <f>IF($AN1052="",IF($B1052="","",$H1052),IF(INDEX(職員マスタ!$B$6:$B$405,$AN1052)="",$H1052,INDEX(職員マスタ!$B$6:$B$405,$AN1052)))</f>
        <v/>
      </c>
      <c r="W1052" s="14">
        <f>IF($AN1052="",IF($B1052="","",$R1052),IF(INDEX(職員マスタ!$C$6:$C$405,$AN1052)="",$R1052,INDEX(職員マスタ!$C$6:$C$405,$AN1052)))</f>
        <v/>
      </c>
      <c r="X1052" s="14">
        <f>IF($AO1052="","","R"&amp;$C1052&amp;"."&amp;$D1052)</f>
        <v/>
      </c>
      <c r="Y1052" s="15">
        <f>IF($AN1052="","",IF(INDEX(職員マスタ!$K$6:$K$405,$AN1052)="","",INDEX(職員マスタ!$K$6:$K$405,$AN1052)))</f>
        <v/>
      </c>
      <c r="Z1052" s="14">
        <f>IF(OR($E1052="",$Y1052=""),"",IF($E1052&gt;=$Y1052,"×",IF($E1052&gt;=$Y1052*設定!$C$5,"△","○")))</f>
        <v/>
      </c>
      <c r="AA1052" s="15">
        <f>IF($Z1052="","",IF($Z1052="×",0,IF($Z1052="○",ROUNDDOWN($E1052*設定!$C$4,0),ROUNDDOWN($E1052*ROUND((9*$Y1052-9*$E1052)/(10*$E1052),4),0))))</f>
        <v/>
      </c>
      <c r="AB1052" s="13" t="n"/>
      <c r="AC1052" s="15">
        <f>IF($B1052="","",IF($AB1052&lt;&gt;"",$AB1052,IF($AA1052="","",IF($AA1052&lt;=設定!$C$3,0,$AA1052))))</f>
        <v/>
      </c>
      <c r="AD1052" s="14">
        <f>IF($B1052="","",IF(AND($AE1052&lt;&gt;"",$AG1052="",$AJ1052=""),"保留中",IF($AJ1052&lt;&gt;"",IF(N($AC1052)&gt;0,"支給済","不支給"),IF($AC1052="","要確認",IF($AC1052=0,"不支給","未処理")))))</f>
        <v/>
      </c>
      <c r="AE1052" s="12" t="n"/>
      <c r="AF1052" s="11" t="n"/>
      <c r="AG1052" s="11" t="n"/>
      <c r="AH1052" s="11" t="n"/>
      <c r="AI1052" s="14">
        <f>IF(AND($AD1052="保留中",$AF1052&lt;&gt;""),TODAY()-$AF1052,"")</f>
        <v/>
      </c>
      <c r="AJ1052" s="12" t="n"/>
      <c r="AK1052" s="14">
        <f>IF($B1052="","",IF($AO1052="","対象年月が未入力／","")&amp;IF($B1052="","",IF($AN1052="","職員マスタに未登録の職員番号／",IF($Y1052="","標準報酬月額が未登録／","")&amp;IF(AND($AO1052&lt;&gt;"",OR(AND(INDEX(職員マスタ!$G$6:$G$405,$AN1052)&lt;&gt;"",INDEX(職員マスタ!$G$6:$G$405,$AN1052)&gt;EOMONTH($AO1052,0)),AND(INDEX(職員マスタ!$H$6:$H$405,$AN1052)&lt;&gt;"",INDEX(職員マスタ!$H$6:$H$405,$AN1052)&lt;$AO1052))),"対象月が時短期間外／","")&amp;IF(AND(INDEX(職員マスタ!$F$6:$F$405,$AN1052)&lt;&gt;"",$AO1052&lt;&gt;"",INDEX(職員マスタ!$F$6:$F$405,$AN1052)&lt;$AO1052),"対象月に子が2歳到達済／","")&amp;IF(AND($H1052&lt;&gt;"",INDEX(職員マスタ!$B$6:$B$405,$AN1052)&lt;&gt;"",SUBSTITUTE(SUBSTITUTE($H1052," ","")," ","")&lt;&gt;SUBSTITUTE(SUBSTITUTE(INDEX(職員マスタ!$B$6:$B$405,$AN1052)," ","")," ","")),"氏名がマスタと相違／","")&amp;IF(AND($Q1052&lt;&gt;"",INDEX(職員マスタ!$E$6:$E$405,$AN1052)&lt;&gt;"",$Q1052&lt;&gt;INDEX(職員マスタ!$E$6:$E$405,$AN1052)),"子の生年月日がマスタと相違／","")&amp;IF(AND($L1052&lt;&gt;"",INDEX(職員マスタ!$G$6:$G$405,$AN1052)&lt;&gt;"",$L1052&lt;&gt;INDEX(職員マスタ!$G$6:$G$405,$AN1052)),"時短開始日がマスタと相違／","")&amp;IF(AND($M1052&lt;&gt;"",INDEX(職員マスタ!$H$6:$H$405,$AN1052)&lt;&gt;"",$M1052&lt;&gt;INDEX(職員マスタ!$H$6:$H$405,$AN1052)),"時短終了日がマスタと相違／","")))&amp;IF(AND($B1052&lt;&gt;"",$E1052=""),"報酬額が未入力／","")&amp;IF(N($U1052)&gt;0,"申請書に入力エラーが残っています／","")&amp;IF(AND($B1052&lt;&gt;"",$AO1052&lt;&gt;""),IF(COUNTIFS($B$6:$B$3005,$B1052,$C$6:$C$3005,$C1052,$D$6:$D$3005,$D1052)&gt;1,"同じ月の請求が重複しています／",""),"")&amp;IF(AND(N($E1052)&gt;0,$Z1052&lt;&gt;"",$Z1052&lt;&gt;"×",$AC1052=0,$AB1052=""),"計算額が下限以下のため不支給／",""))</f>
        <v/>
      </c>
      <c r="AL1052" s="12" t="n"/>
      <c r="AM1052" s="14">
        <f>IF($AD1052="保留中",COUNTIF($AD$6:$AD1052,"保留中"),"")</f>
        <v/>
      </c>
      <c r="AN1052" s="14">
        <f>IF($AO1052="","",IF(SUMPRODUCT(MAX((職員マスタ!$A$6:$A$405=$B1052)*(((職員マスタ!$G$6:$G$405="")+(職員マスタ!$G$6:$G$405&lt;=EOMONTH($AO1052,0)))&gt;0)*(((職員マスタ!$H$6:$H$405="")+(職員マスタ!$H$6:$H$405&gt;=$AO1052))&gt;0)*(ROW(職員マスタ!$A$6:$A$405)-5)))&gt;0,SUMPRODUCT(MAX((職員マスタ!$A$6:$A$405=$B1052)*(((職員マスタ!$G$6:$G$405="")+(職員マスタ!$G$6:$G$405&lt;=EOMONTH($AO1052,0)))&gt;0)*(((職員マスタ!$H$6:$H$405="")+(職員マスタ!$H$6:$H$405&gt;=$AO1052))&gt;0)*(ROW(職員マスタ!$A$6:$A$405)-5))),IFERROR(MATCH($B1052,職員マスタ!$A$6:$A$405,0),"")))</f>
        <v/>
      </c>
      <c r="AO1052" s="16">
        <f>IF(OR($B1052="",$C1052="",$D1052=""),"",DATE($C1052+2018,$D1052,1))</f>
        <v/>
      </c>
    </row>
    <row r="1053">
      <c r="A1053" s="11" t="n"/>
      <c r="B1053" s="12" t="n"/>
      <c r="C1053" s="12" t="n"/>
      <c r="D1053" s="12" t="n"/>
      <c r="E1053" s="13" t="n"/>
      <c r="F1053" s="12" t="n"/>
      <c r="G1053" s="13" t="n"/>
      <c r="H1053" s="12" t="n"/>
      <c r="I1053" s="12" t="n"/>
      <c r="J1053" s="12" t="n"/>
      <c r="K1053" s="12" t="n"/>
      <c r="L1053" s="11" t="n"/>
      <c r="M1053" s="11" t="n"/>
      <c r="N1053" s="11" t="n"/>
      <c r="O1053" s="11" t="n"/>
      <c r="P1053" s="12" t="n"/>
      <c r="Q1053" s="11" t="n"/>
      <c r="R1053" s="12" t="n"/>
      <c r="S1053" s="11" t="n"/>
      <c r="T1053" s="12" t="n"/>
      <c r="U1053" s="12" t="n"/>
      <c r="V1053" s="14">
        <f>IF($AN1053="",IF($B1053="","",$H1053),IF(INDEX(職員マスタ!$B$6:$B$405,$AN1053)="",$H1053,INDEX(職員マスタ!$B$6:$B$405,$AN1053)))</f>
        <v/>
      </c>
      <c r="W1053" s="14">
        <f>IF($AN1053="",IF($B1053="","",$R1053),IF(INDEX(職員マスタ!$C$6:$C$405,$AN1053)="",$R1053,INDEX(職員マスタ!$C$6:$C$405,$AN1053)))</f>
        <v/>
      </c>
      <c r="X1053" s="14">
        <f>IF($AO1053="","","R"&amp;$C1053&amp;"."&amp;$D1053)</f>
        <v/>
      </c>
      <c r="Y1053" s="15">
        <f>IF($AN1053="","",IF(INDEX(職員マスタ!$K$6:$K$405,$AN1053)="","",INDEX(職員マスタ!$K$6:$K$405,$AN1053)))</f>
        <v/>
      </c>
      <c r="Z1053" s="14">
        <f>IF(OR($E1053="",$Y1053=""),"",IF($E1053&gt;=$Y1053,"×",IF($E1053&gt;=$Y1053*設定!$C$5,"△","○")))</f>
        <v/>
      </c>
      <c r="AA1053" s="15">
        <f>IF($Z1053="","",IF($Z1053="×",0,IF($Z1053="○",ROUNDDOWN($E1053*設定!$C$4,0),ROUNDDOWN($E1053*ROUND((9*$Y1053-9*$E1053)/(10*$E1053),4),0))))</f>
        <v/>
      </c>
      <c r="AB1053" s="13" t="n"/>
      <c r="AC1053" s="15">
        <f>IF($B1053="","",IF($AB1053&lt;&gt;"",$AB1053,IF($AA1053="","",IF($AA1053&lt;=設定!$C$3,0,$AA1053))))</f>
        <v/>
      </c>
      <c r="AD1053" s="14">
        <f>IF($B1053="","",IF(AND($AE1053&lt;&gt;"",$AG1053="",$AJ1053=""),"保留中",IF($AJ1053&lt;&gt;"",IF(N($AC1053)&gt;0,"支給済","不支給"),IF($AC1053="","要確認",IF($AC1053=0,"不支給","未処理")))))</f>
        <v/>
      </c>
      <c r="AE1053" s="12" t="n"/>
      <c r="AF1053" s="11" t="n"/>
      <c r="AG1053" s="11" t="n"/>
      <c r="AH1053" s="11" t="n"/>
      <c r="AI1053" s="14">
        <f>IF(AND($AD1053="保留中",$AF1053&lt;&gt;""),TODAY()-$AF1053,"")</f>
        <v/>
      </c>
      <c r="AJ1053" s="12" t="n"/>
      <c r="AK1053" s="14">
        <f>IF($B1053="","",IF($AO1053="","対象年月が未入力／","")&amp;IF($B1053="","",IF($AN1053="","職員マスタに未登録の職員番号／",IF($Y1053="","標準報酬月額が未登録／","")&amp;IF(AND($AO1053&lt;&gt;"",OR(AND(INDEX(職員マスタ!$G$6:$G$405,$AN1053)&lt;&gt;"",INDEX(職員マスタ!$G$6:$G$405,$AN1053)&gt;EOMONTH($AO1053,0)),AND(INDEX(職員マスタ!$H$6:$H$405,$AN1053)&lt;&gt;"",INDEX(職員マスタ!$H$6:$H$405,$AN1053)&lt;$AO1053))),"対象月が時短期間外／","")&amp;IF(AND(INDEX(職員マスタ!$F$6:$F$405,$AN1053)&lt;&gt;"",$AO1053&lt;&gt;"",INDEX(職員マスタ!$F$6:$F$405,$AN1053)&lt;$AO1053),"対象月に子が2歳到達済／","")&amp;IF(AND($H1053&lt;&gt;"",INDEX(職員マスタ!$B$6:$B$405,$AN1053)&lt;&gt;"",SUBSTITUTE(SUBSTITUTE($H1053," ","")," ","")&lt;&gt;SUBSTITUTE(SUBSTITUTE(INDEX(職員マスタ!$B$6:$B$405,$AN1053)," ","")," ","")),"氏名がマスタと相違／","")&amp;IF(AND($Q1053&lt;&gt;"",INDEX(職員マスタ!$E$6:$E$405,$AN1053)&lt;&gt;"",$Q1053&lt;&gt;INDEX(職員マスタ!$E$6:$E$405,$AN1053)),"子の生年月日がマスタと相違／","")&amp;IF(AND($L1053&lt;&gt;"",INDEX(職員マスタ!$G$6:$G$405,$AN1053)&lt;&gt;"",$L1053&lt;&gt;INDEX(職員マスタ!$G$6:$G$405,$AN1053)),"時短開始日がマスタと相違／","")&amp;IF(AND($M1053&lt;&gt;"",INDEX(職員マスタ!$H$6:$H$405,$AN1053)&lt;&gt;"",$M1053&lt;&gt;INDEX(職員マスタ!$H$6:$H$405,$AN1053)),"時短終了日がマスタと相違／","")))&amp;IF(AND($B1053&lt;&gt;"",$E1053=""),"報酬額が未入力／","")&amp;IF(N($U1053)&gt;0,"申請書に入力エラーが残っています／","")&amp;IF(AND($B1053&lt;&gt;"",$AO1053&lt;&gt;""),IF(COUNTIFS($B$6:$B$3005,$B1053,$C$6:$C$3005,$C1053,$D$6:$D$3005,$D1053)&gt;1,"同じ月の請求が重複しています／",""),"")&amp;IF(AND(N($E1053)&gt;0,$Z1053&lt;&gt;"",$Z1053&lt;&gt;"×",$AC1053=0,$AB1053=""),"計算額が下限以下のため不支給／",""))</f>
        <v/>
      </c>
      <c r="AL1053" s="12" t="n"/>
      <c r="AM1053" s="14">
        <f>IF($AD1053="保留中",COUNTIF($AD$6:$AD1053,"保留中"),"")</f>
        <v/>
      </c>
      <c r="AN1053" s="14">
        <f>IF($AO1053="","",IF(SUMPRODUCT(MAX((職員マスタ!$A$6:$A$405=$B1053)*(((職員マスタ!$G$6:$G$405="")+(職員マスタ!$G$6:$G$405&lt;=EOMONTH($AO1053,0)))&gt;0)*(((職員マスタ!$H$6:$H$405="")+(職員マスタ!$H$6:$H$405&gt;=$AO1053))&gt;0)*(ROW(職員マスタ!$A$6:$A$405)-5)))&gt;0,SUMPRODUCT(MAX((職員マスタ!$A$6:$A$405=$B1053)*(((職員マスタ!$G$6:$G$405="")+(職員マスタ!$G$6:$G$405&lt;=EOMONTH($AO1053,0)))&gt;0)*(((職員マスタ!$H$6:$H$405="")+(職員マスタ!$H$6:$H$405&gt;=$AO1053))&gt;0)*(ROW(職員マスタ!$A$6:$A$405)-5))),IFERROR(MATCH($B1053,職員マスタ!$A$6:$A$405,0),"")))</f>
        <v/>
      </c>
      <c r="AO1053" s="16">
        <f>IF(OR($B1053="",$C1053="",$D1053=""),"",DATE($C1053+2018,$D1053,1))</f>
        <v/>
      </c>
    </row>
    <row r="1054">
      <c r="A1054" s="11" t="n"/>
      <c r="B1054" s="12" t="n"/>
      <c r="C1054" s="12" t="n"/>
      <c r="D1054" s="12" t="n"/>
      <c r="E1054" s="13" t="n"/>
      <c r="F1054" s="12" t="n"/>
      <c r="G1054" s="13" t="n"/>
      <c r="H1054" s="12" t="n"/>
      <c r="I1054" s="12" t="n"/>
      <c r="J1054" s="12" t="n"/>
      <c r="K1054" s="12" t="n"/>
      <c r="L1054" s="11" t="n"/>
      <c r="M1054" s="11" t="n"/>
      <c r="N1054" s="11" t="n"/>
      <c r="O1054" s="11" t="n"/>
      <c r="P1054" s="12" t="n"/>
      <c r="Q1054" s="11" t="n"/>
      <c r="R1054" s="12" t="n"/>
      <c r="S1054" s="11" t="n"/>
      <c r="T1054" s="12" t="n"/>
      <c r="U1054" s="12" t="n"/>
      <c r="V1054" s="14">
        <f>IF($AN1054="",IF($B1054="","",$H1054),IF(INDEX(職員マスタ!$B$6:$B$405,$AN1054)="",$H1054,INDEX(職員マスタ!$B$6:$B$405,$AN1054)))</f>
        <v/>
      </c>
      <c r="W1054" s="14">
        <f>IF($AN1054="",IF($B1054="","",$R1054),IF(INDEX(職員マスタ!$C$6:$C$405,$AN1054)="",$R1054,INDEX(職員マスタ!$C$6:$C$405,$AN1054)))</f>
        <v/>
      </c>
      <c r="X1054" s="14">
        <f>IF($AO1054="","","R"&amp;$C1054&amp;"."&amp;$D1054)</f>
        <v/>
      </c>
      <c r="Y1054" s="15">
        <f>IF($AN1054="","",IF(INDEX(職員マスタ!$K$6:$K$405,$AN1054)="","",INDEX(職員マスタ!$K$6:$K$405,$AN1054)))</f>
        <v/>
      </c>
      <c r="Z1054" s="14">
        <f>IF(OR($E1054="",$Y1054=""),"",IF($E1054&gt;=$Y1054,"×",IF($E1054&gt;=$Y1054*設定!$C$5,"△","○")))</f>
        <v/>
      </c>
      <c r="AA1054" s="15">
        <f>IF($Z1054="","",IF($Z1054="×",0,IF($Z1054="○",ROUNDDOWN($E1054*設定!$C$4,0),ROUNDDOWN($E1054*ROUND((9*$Y1054-9*$E1054)/(10*$E1054),4),0))))</f>
        <v/>
      </c>
      <c r="AB1054" s="13" t="n"/>
      <c r="AC1054" s="15">
        <f>IF($B1054="","",IF($AB1054&lt;&gt;"",$AB1054,IF($AA1054="","",IF($AA1054&lt;=設定!$C$3,0,$AA1054))))</f>
        <v/>
      </c>
      <c r="AD1054" s="14">
        <f>IF($B1054="","",IF(AND($AE1054&lt;&gt;"",$AG1054="",$AJ1054=""),"保留中",IF($AJ1054&lt;&gt;"",IF(N($AC1054)&gt;0,"支給済","不支給"),IF($AC1054="","要確認",IF($AC1054=0,"不支給","未処理")))))</f>
        <v/>
      </c>
      <c r="AE1054" s="12" t="n"/>
      <c r="AF1054" s="11" t="n"/>
      <c r="AG1054" s="11" t="n"/>
      <c r="AH1054" s="11" t="n"/>
      <c r="AI1054" s="14">
        <f>IF(AND($AD1054="保留中",$AF1054&lt;&gt;""),TODAY()-$AF1054,"")</f>
        <v/>
      </c>
      <c r="AJ1054" s="12" t="n"/>
      <c r="AK1054" s="14">
        <f>IF($B1054="","",IF($AO1054="","対象年月が未入力／","")&amp;IF($B1054="","",IF($AN1054="","職員マスタに未登録の職員番号／",IF($Y1054="","標準報酬月額が未登録／","")&amp;IF(AND($AO1054&lt;&gt;"",OR(AND(INDEX(職員マスタ!$G$6:$G$405,$AN1054)&lt;&gt;"",INDEX(職員マスタ!$G$6:$G$405,$AN1054)&gt;EOMONTH($AO1054,0)),AND(INDEX(職員マスタ!$H$6:$H$405,$AN1054)&lt;&gt;"",INDEX(職員マスタ!$H$6:$H$405,$AN1054)&lt;$AO1054))),"対象月が時短期間外／","")&amp;IF(AND(INDEX(職員マスタ!$F$6:$F$405,$AN1054)&lt;&gt;"",$AO1054&lt;&gt;"",INDEX(職員マスタ!$F$6:$F$405,$AN1054)&lt;$AO1054),"対象月に子が2歳到達済／","")&amp;IF(AND($H1054&lt;&gt;"",INDEX(職員マスタ!$B$6:$B$405,$AN1054)&lt;&gt;"",SUBSTITUTE(SUBSTITUTE($H1054," ","")," ","")&lt;&gt;SUBSTITUTE(SUBSTITUTE(INDEX(職員マスタ!$B$6:$B$405,$AN1054)," ","")," ","")),"氏名がマスタと相違／","")&amp;IF(AND($Q1054&lt;&gt;"",INDEX(職員マスタ!$E$6:$E$405,$AN1054)&lt;&gt;"",$Q1054&lt;&gt;INDEX(職員マスタ!$E$6:$E$405,$AN1054)),"子の生年月日がマスタと相違／","")&amp;IF(AND($L1054&lt;&gt;"",INDEX(職員マスタ!$G$6:$G$405,$AN1054)&lt;&gt;"",$L1054&lt;&gt;INDEX(職員マスタ!$G$6:$G$405,$AN1054)),"時短開始日がマスタと相違／","")&amp;IF(AND($M1054&lt;&gt;"",INDEX(職員マスタ!$H$6:$H$405,$AN1054)&lt;&gt;"",$M1054&lt;&gt;INDEX(職員マスタ!$H$6:$H$405,$AN1054)),"時短終了日がマスタと相違／","")))&amp;IF(AND($B1054&lt;&gt;"",$E1054=""),"報酬額が未入力／","")&amp;IF(N($U1054)&gt;0,"申請書に入力エラーが残っています／","")&amp;IF(AND($B1054&lt;&gt;"",$AO1054&lt;&gt;""),IF(COUNTIFS($B$6:$B$3005,$B1054,$C$6:$C$3005,$C1054,$D$6:$D$3005,$D1054)&gt;1,"同じ月の請求が重複しています／",""),"")&amp;IF(AND(N($E1054)&gt;0,$Z1054&lt;&gt;"",$Z1054&lt;&gt;"×",$AC1054=0,$AB1054=""),"計算額が下限以下のため不支給／",""))</f>
        <v/>
      </c>
      <c r="AL1054" s="12" t="n"/>
      <c r="AM1054" s="14">
        <f>IF($AD1054="保留中",COUNTIF($AD$6:$AD1054,"保留中"),"")</f>
        <v/>
      </c>
      <c r="AN1054" s="14">
        <f>IF($AO1054="","",IF(SUMPRODUCT(MAX((職員マスタ!$A$6:$A$405=$B1054)*(((職員マスタ!$G$6:$G$405="")+(職員マスタ!$G$6:$G$405&lt;=EOMONTH($AO1054,0)))&gt;0)*(((職員マスタ!$H$6:$H$405="")+(職員マスタ!$H$6:$H$405&gt;=$AO1054))&gt;0)*(ROW(職員マスタ!$A$6:$A$405)-5)))&gt;0,SUMPRODUCT(MAX((職員マスタ!$A$6:$A$405=$B1054)*(((職員マスタ!$G$6:$G$405="")+(職員マスタ!$G$6:$G$405&lt;=EOMONTH($AO1054,0)))&gt;0)*(((職員マスタ!$H$6:$H$405="")+(職員マスタ!$H$6:$H$405&gt;=$AO1054))&gt;0)*(ROW(職員マスタ!$A$6:$A$405)-5))),IFERROR(MATCH($B1054,職員マスタ!$A$6:$A$405,0),"")))</f>
        <v/>
      </c>
      <c r="AO1054" s="16">
        <f>IF(OR($B1054="",$C1054="",$D1054=""),"",DATE($C1054+2018,$D1054,1))</f>
        <v/>
      </c>
    </row>
    <row r="1055">
      <c r="A1055" s="11" t="n"/>
      <c r="B1055" s="12" t="n"/>
      <c r="C1055" s="12" t="n"/>
      <c r="D1055" s="12" t="n"/>
      <c r="E1055" s="13" t="n"/>
      <c r="F1055" s="12" t="n"/>
      <c r="G1055" s="13" t="n"/>
      <c r="H1055" s="12" t="n"/>
      <c r="I1055" s="12" t="n"/>
      <c r="J1055" s="12" t="n"/>
      <c r="K1055" s="12" t="n"/>
      <c r="L1055" s="11" t="n"/>
      <c r="M1055" s="11" t="n"/>
      <c r="N1055" s="11" t="n"/>
      <c r="O1055" s="11" t="n"/>
      <c r="P1055" s="12" t="n"/>
      <c r="Q1055" s="11" t="n"/>
      <c r="R1055" s="12" t="n"/>
      <c r="S1055" s="11" t="n"/>
      <c r="T1055" s="12" t="n"/>
      <c r="U1055" s="12" t="n"/>
      <c r="V1055" s="14">
        <f>IF($AN1055="",IF($B1055="","",$H1055),IF(INDEX(職員マスタ!$B$6:$B$405,$AN1055)="",$H1055,INDEX(職員マスタ!$B$6:$B$405,$AN1055)))</f>
        <v/>
      </c>
      <c r="W1055" s="14">
        <f>IF($AN1055="",IF($B1055="","",$R1055),IF(INDEX(職員マスタ!$C$6:$C$405,$AN1055)="",$R1055,INDEX(職員マスタ!$C$6:$C$405,$AN1055)))</f>
        <v/>
      </c>
      <c r="X1055" s="14">
        <f>IF($AO1055="","","R"&amp;$C1055&amp;"."&amp;$D1055)</f>
        <v/>
      </c>
      <c r="Y1055" s="15">
        <f>IF($AN1055="","",IF(INDEX(職員マスタ!$K$6:$K$405,$AN1055)="","",INDEX(職員マスタ!$K$6:$K$405,$AN1055)))</f>
        <v/>
      </c>
      <c r="Z1055" s="14">
        <f>IF(OR($E1055="",$Y1055=""),"",IF($E1055&gt;=$Y1055,"×",IF($E1055&gt;=$Y1055*設定!$C$5,"△","○")))</f>
        <v/>
      </c>
      <c r="AA1055" s="15">
        <f>IF($Z1055="","",IF($Z1055="×",0,IF($Z1055="○",ROUNDDOWN($E1055*設定!$C$4,0),ROUNDDOWN($E1055*ROUND((9*$Y1055-9*$E1055)/(10*$E1055),4),0))))</f>
        <v/>
      </c>
      <c r="AB1055" s="13" t="n"/>
      <c r="AC1055" s="15">
        <f>IF($B1055="","",IF($AB1055&lt;&gt;"",$AB1055,IF($AA1055="","",IF($AA1055&lt;=設定!$C$3,0,$AA1055))))</f>
        <v/>
      </c>
      <c r="AD1055" s="14">
        <f>IF($B1055="","",IF(AND($AE1055&lt;&gt;"",$AG1055="",$AJ1055=""),"保留中",IF($AJ1055&lt;&gt;"",IF(N($AC1055)&gt;0,"支給済","不支給"),IF($AC1055="","要確認",IF($AC1055=0,"不支給","未処理")))))</f>
        <v/>
      </c>
      <c r="AE1055" s="12" t="n"/>
      <c r="AF1055" s="11" t="n"/>
      <c r="AG1055" s="11" t="n"/>
      <c r="AH1055" s="11" t="n"/>
      <c r="AI1055" s="14">
        <f>IF(AND($AD1055="保留中",$AF1055&lt;&gt;""),TODAY()-$AF1055,"")</f>
        <v/>
      </c>
      <c r="AJ1055" s="12" t="n"/>
      <c r="AK1055" s="14">
        <f>IF($B1055="","",IF($AO1055="","対象年月が未入力／","")&amp;IF($B1055="","",IF($AN1055="","職員マスタに未登録の職員番号／",IF($Y1055="","標準報酬月額が未登録／","")&amp;IF(AND($AO1055&lt;&gt;"",OR(AND(INDEX(職員マスタ!$G$6:$G$405,$AN1055)&lt;&gt;"",INDEX(職員マスタ!$G$6:$G$405,$AN1055)&gt;EOMONTH($AO1055,0)),AND(INDEX(職員マスタ!$H$6:$H$405,$AN1055)&lt;&gt;"",INDEX(職員マスタ!$H$6:$H$405,$AN1055)&lt;$AO1055))),"対象月が時短期間外／","")&amp;IF(AND(INDEX(職員マスタ!$F$6:$F$405,$AN1055)&lt;&gt;"",$AO1055&lt;&gt;"",INDEX(職員マスタ!$F$6:$F$405,$AN1055)&lt;$AO1055),"対象月に子が2歳到達済／","")&amp;IF(AND($H1055&lt;&gt;"",INDEX(職員マスタ!$B$6:$B$405,$AN1055)&lt;&gt;"",SUBSTITUTE(SUBSTITUTE($H1055," ","")," ","")&lt;&gt;SUBSTITUTE(SUBSTITUTE(INDEX(職員マスタ!$B$6:$B$405,$AN1055)," ","")," ","")),"氏名がマスタと相違／","")&amp;IF(AND($Q1055&lt;&gt;"",INDEX(職員マスタ!$E$6:$E$405,$AN1055)&lt;&gt;"",$Q1055&lt;&gt;INDEX(職員マスタ!$E$6:$E$405,$AN1055)),"子の生年月日がマスタと相違／","")&amp;IF(AND($L1055&lt;&gt;"",INDEX(職員マスタ!$G$6:$G$405,$AN1055)&lt;&gt;"",$L1055&lt;&gt;INDEX(職員マスタ!$G$6:$G$405,$AN1055)),"時短開始日がマスタと相違／","")&amp;IF(AND($M1055&lt;&gt;"",INDEX(職員マスタ!$H$6:$H$405,$AN1055)&lt;&gt;"",$M1055&lt;&gt;INDEX(職員マスタ!$H$6:$H$405,$AN1055)),"時短終了日がマスタと相違／","")))&amp;IF(AND($B1055&lt;&gt;"",$E1055=""),"報酬額が未入力／","")&amp;IF(N($U1055)&gt;0,"申請書に入力エラーが残っています／","")&amp;IF(AND($B1055&lt;&gt;"",$AO1055&lt;&gt;""),IF(COUNTIFS($B$6:$B$3005,$B1055,$C$6:$C$3005,$C1055,$D$6:$D$3005,$D1055)&gt;1,"同じ月の請求が重複しています／",""),"")&amp;IF(AND(N($E1055)&gt;0,$Z1055&lt;&gt;"",$Z1055&lt;&gt;"×",$AC1055=0,$AB1055=""),"計算額が下限以下のため不支給／",""))</f>
        <v/>
      </c>
      <c r="AL1055" s="12" t="n"/>
      <c r="AM1055" s="14">
        <f>IF($AD1055="保留中",COUNTIF($AD$6:$AD1055,"保留中"),"")</f>
        <v/>
      </c>
      <c r="AN1055" s="14">
        <f>IF($AO1055="","",IF(SUMPRODUCT(MAX((職員マスタ!$A$6:$A$405=$B1055)*(((職員マスタ!$G$6:$G$405="")+(職員マスタ!$G$6:$G$405&lt;=EOMONTH($AO1055,0)))&gt;0)*(((職員マスタ!$H$6:$H$405="")+(職員マスタ!$H$6:$H$405&gt;=$AO1055))&gt;0)*(ROW(職員マスタ!$A$6:$A$405)-5)))&gt;0,SUMPRODUCT(MAX((職員マスタ!$A$6:$A$405=$B1055)*(((職員マスタ!$G$6:$G$405="")+(職員マスタ!$G$6:$G$405&lt;=EOMONTH($AO1055,0)))&gt;0)*(((職員マスタ!$H$6:$H$405="")+(職員マスタ!$H$6:$H$405&gt;=$AO1055))&gt;0)*(ROW(職員マスタ!$A$6:$A$405)-5))),IFERROR(MATCH($B1055,職員マスタ!$A$6:$A$405,0),"")))</f>
        <v/>
      </c>
      <c r="AO1055" s="16">
        <f>IF(OR($B1055="",$C1055="",$D1055=""),"",DATE($C1055+2018,$D1055,1))</f>
        <v/>
      </c>
    </row>
    <row r="1056">
      <c r="A1056" s="11" t="n"/>
      <c r="B1056" s="12" t="n"/>
      <c r="C1056" s="12" t="n"/>
      <c r="D1056" s="12" t="n"/>
      <c r="E1056" s="13" t="n"/>
      <c r="F1056" s="12" t="n"/>
      <c r="G1056" s="13" t="n"/>
      <c r="H1056" s="12" t="n"/>
      <c r="I1056" s="12" t="n"/>
      <c r="J1056" s="12" t="n"/>
      <c r="K1056" s="12" t="n"/>
      <c r="L1056" s="11" t="n"/>
      <c r="M1056" s="11" t="n"/>
      <c r="N1056" s="11" t="n"/>
      <c r="O1056" s="11" t="n"/>
      <c r="P1056" s="12" t="n"/>
      <c r="Q1056" s="11" t="n"/>
      <c r="R1056" s="12" t="n"/>
      <c r="S1056" s="11" t="n"/>
      <c r="T1056" s="12" t="n"/>
      <c r="U1056" s="12" t="n"/>
      <c r="V1056" s="14">
        <f>IF($AN1056="",IF($B1056="","",$H1056),IF(INDEX(職員マスタ!$B$6:$B$405,$AN1056)="",$H1056,INDEX(職員マスタ!$B$6:$B$405,$AN1056)))</f>
        <v/>
      </c>
      <c r="W1056" s="14">
        <f>IF($AN1056="",IF($B1056="","",$R1056),IF(INDEX(職員マスタ!$C$6:$C$405,$AN1056)="",$R1056,INDEX(職員マスタ!$C$6:$C$405,$AN1056)))</f>
        <v/>
      </c>
      <c r="X1056" s="14">
        <f>IF($AO1056="","","R"&amp;$C1056&amp;"."&amp;$D1056)</f>
        <v/>
      </c>
      <c r="Y1056" s="15">
        <f>IF($AN1056="","",IF(INDEX(職員マスタ!$K$6:$K$405,$AN1056)="","",INDEX(職員マスタ!$K$6:$K$405,$AN1056)))</f>
        <v/>
      </c>
      <c r="Z1056" s="14">
        <f>IF(OR($E1056="",$Y1056=""),"",IF($E1056&gt;=$Y1056,"×",IF($E1056&gt;=$Y1056*設定!$C$5,"△","○")))</f>
        <v/>
      </c>
      <c r="AA1056" s="15">
        <f>IF($Z1056="","",IF($Z1056="×",0,IF($Z1056="○",ROUNDDOWN($E1056*設定!$C$4,0),ROUNDDOWN($E1056*ROUND((9*$Y1056-9*$E1056)/(10*$E1056),4),0))))</f>
        <v/>
      </c>
      <c r="AB1056" s="13" t="n"/>
      <c r="AC1056" s="15">
        <f>IF($B1056="","",IF($AB1056&lt;&gt;"",$AB1056,IF($AA1056="","",IF($AA1056&lt;=設定!$C$3,0,$AA1056))))</f>
        <v/>
      </c>
      <c r="AD1056" s="14">
        <f>IF($B1056="","",IF(AND($AE1056&lt;&gt;"",$AG1056="",$AJ1056=""),"保留中",IF($AJ1056&lt;&gt;"",IF(N($AC1056)&gt;0,"支給済","不支給"),IF($AC1056="","要確認",IF($AC1056=0,"不支給","未処理")))))</f>
        <v/>
      </c>
      <c r="AE1056" s="12" t="n"/>
      <c r="AF1056" s="11" t="n"/>
      <c r="AG1056" s="11" t="n"/>
      <c r="AH1056" s="11" t="n"/>
      <c r="AI1056" s="14">
        <f>IF(AND($AD1056="保留中",$AF1056&lt;&gt;""),TODAY()-$AF1056,"")</f>
        <v/>
      </c>
      <c r="AJ1056" s="12" t="n"/>
      <c r="AK1056" s="14">
        <f>IF($B1056="","",IF($AO1056="","対象年月が未入力／","")&amp;IF($B1056="","",IF($AN1056="","職員マスタに未登録の職員番号／",IF($Y1056="","標準報酬月額が未登録／","")&amp;IF(AND($AO1056&lt;&gt;"",OR(AND(INDEX(職員マスタ!$G$6:$G$405,$AN1056)&lt;&gt;"",INDEX(職員マスタ!$G$6:$G$405,$AN1056)&gt;EOMONTH($AO1056,0)),AND(INDEX(職員マスタ!$H$6:$H$405,$AN1056)&lt;&gt;"",INDEX(職員マスタ!$H$6:$H$405,$AN1056)&lt;$AO1056))),"対象月が時短期間外／","")&amp;IF(AND(INDEX(職員マスタ!$F$6:$F$405,$AN1056)&lt;&gt;"",$AO1056&lt;&gt;"",INDEX(職員マスタ!$F$6:$F$405,$AN1056)&lt;$AO1056),"対象月に子が2歳到達済／","")&amp;IF(AND($H1056&lt;&gt;"",INDEX(職員マスタ!$B$6:$B$405,$AN1056)&lt;&gt;"",SUBSTITUTE(SUBSTITUTE($H1056," ","")," ","")&lt;&gt;SUBSTITUTE(SUBSTITUTE(INDEX(職員マスタ!$B$6:$B$405,$AN1056)," ","")," ","")),"氏名がマスタと相違／","")&amp;IF(AND($Q1056&lt;&gt;"",INDEX(職員マスタ!$E$6:$E$405,$AN1056)&lt;&gt;"",$Q1056&lt;&gt;INDEX(職員マスタ!$E$6:$E$405,$AN1056)),"子の生年月日がマスタと相違／","")&amp;IF(AND($L1056&lt;&gt;"",INDEX(職員マスタ!$G$6:$G$405,$AN1056)&lt;&gt;"",$L1056&lt;&gt;INDEX(職員マスタ!$G$6:$G$405,$AN1056)),"時短開始日がマスタと相違／","")&amp;IF(AND($M1056&lt;&gt;"",INDEX(職員マスタ!$H$6:$H$405,$AN1056)&lt;&gt;"",$M1056&lt;&gt;INDEX(職員マスタ!$H$6:$H$405,$AN1056)),"時短終了日がマスタと相違／","")))&amp;IF(AND($B1056&lt;&gt;"",$E1056=""),"報酬額が未入力／","")&amp;IF(N($U1056)&gt;0,"申請書に入力エラーが残っています／","")&amp;IF(AND($B1056&lt;&gt;"",$AO1056&lt;&gt;""),IF(COUNTIFS($B$6:$B$3005,$B1056,$C$6:$C$3005,$C1056,$D$6:$D$3005,$D1056)&gt;1,"同じ月の請求が重複しています／",""),"")&amp;IF(AND(N($E1056)&gt;0,$Z1056&lt;&gt;"",$Z1056&lt;&gt;"×",$AC1056=0,$AB1056=""),"計算額が下限以下のため不支給／",""))</f>
        <v/>
      </c>
      <c r="AL1056" s="12" t="n"/>
      <c r="AM1056" s="14">
        <f>IF($AD1056="保留中",COUNTIF($AD$6:$AD1056,"保留中"),"")</f>
        <v/>
      </c>
      <c r="AN1056" s="14">
        <f>IF($AO1056="","",IF(SUMPRODUCT(MAX((職員マスタ!$A$6:$A$405=$B1056)*(((職員マスタ!$G$6:$G$405="")+(職員マスタ!$G$6:$G$405&lt;=EOMONTH($AO1056,0)))&gt;0)*(((職員マスタ!$H$6:$H$405="")+(職員マスタ!$H$6:$H$405&gt;=$AO1056))&gt;0)*(ROW(職員マスタ!$A$6:$A$405)-5)))&gt;0,SUMPRODUCT(MAX((職員マスタ!$A$6:$A$405=$B1056)*(((職員マスタ!$G$6:$G$405="")+(職員マスタ!$G$6:$G$405&lt;=EOMONTH($AO1056,0)))&gt;0)*(((職員マスタ!$H$6:$H$405="")+(職員マスタ!$H$6:$H$405&gt;=$AO1056))&gt;0)*(ROW(職員マスタ!$A$6:$A$405)-5))),IFERROR(MATCH($B1056,職員マスタ!$A$6:$A$405,0),"")))</f>
        <v/>
      </c>
      <c r="AO1056" s="16">
        <f>IF(OR($B1056="",$C1056="",$D1056=""),"",DATE($C1056+2018,$D1056,1))</f>
        <v/>
      </c>
    </row>
    <row r="1057">
      <c r="A1057" s="11" t="n"/>
      <c r="B1057" s="12" t="n"/>
      <c r="C1057" s="12" t="n"/>
      <c r="D1057" s="12" t="n"/>
      <c r="E1057" s="13" t="n"/>
      <c r="F1057" s="12" t="n"/>
      <c r="G1057" s="13" t="n"/>
      <c r="H1057" s="12" t="n"/>
      <c r="I1057" s="12" t="n"/>
      <c r="J1057" s="12" t="n"/>
      <c r="K1057" s="12" t="n"/>
      <c r="L1057" s="11" t="n"/>
      <c r="M1057" s="11" t="n"/>
      <c r="N1057" s="11" t="n"/>
      <c r="O1057" s="11" t="n"/>
      <c r="P1057" s="12" t="n"/>
      <c r="Q1057" s="11" t="n"/>
      <c r="R1057" s="12" t="n"/>
      <c r="S1057" s="11" t="n"/>
      <c r="T1057" s="12" t="n"/>
      <c r="U1057" s="12" t="n"/>
      <c r="V1057" s="14">
        <f>IF($AN1057="",IF($B1057="","",$H1057),IF(INDEX(職員マスタ!$B$6:$B$405,$AN1057)="",$H1057,INDEX(職員マスタ!$B$6:$B$405,$AN1057)))</f>
        <v/>
      </c>
      <c r="W1057" s="14">
        <f>IF($AN1057="",IF($B1057="","",$R1057),IF(INDEX(職員マスタ!$C$6:$C$405,$AN1057)="",$R1057,INDEX(職員マスタ!$C$6:$C$405,$AN1057)))</f>
        <v/>
      </c>
      <c r="X1057" s="14">
        <f>IF($AO1057="","","R"&amp;$C1057&amp;"."&amp;$D1057)</f>
        <v/>
      </c>
      <c r="Y1057" s="15">
        <f>IF($AN1057="","",IF(INDEX(職員マスタ!$K$6:$K$405,$AN1057)="","",INDEX(職員マスタ!$K$6:$K$405,$AN1057)))</f>
        <v/>
      </c>
      <c r="Z1057" s="14">
        <f>IF(OR($E1057="",$Y1057=""),"",IF($E1057&gt;=$Y1057,"×",IF($E1057&gt;=$Y1057*設定!$C$5,"△","○")))</f>
        <v/>
      </c>
      <c r="AA1057" s="15">
        <f>IF($Z1057="","",IF($Z1057="×",0,IF($Z1057="○",ROUNDDOWN($E1057*設定!$C$4,0),ROUNDDOWN($E1057*ROUND((9*$Y1057-9*$E1057)/(10*$E1057),4),0))))</f>
        <v/>
      </c>
      <c r="AB1057" s="13" t="n"/>
      <c r="AC1057" s="15">
        <f>IF($B1057="","",IF($AB1057&lt;&gt;"",$AB1057,IF($AA1057="","",IF($AA1057&lt;=設定!$C$3,0,$AA1057))))</f>
        <v/>
      </c>
      <c r="AD1057" s="14">
        <f>IF($B1057="","",IF(AND($AE1057&lt;&gt;"",$AG1057="",$AJ1057=""),"保留中",IF($AJ1057&lt;&gt;"",IF(N($AC1057)&gt;0,"支給済","不支給"),IF($AC1057="","要確認",IF($AC1057=0,"不支給","未処理")))))</f>
        <v/>
      </c>
      <c r="AE1057" s="12" t="n"/>
      <c r="AF1057" s="11" t="n"/>
      <c r="AG1057" s="11" t="n"/>
      <c r="AH1057" s="11" t="n"/>
      <c r="AI1057" s="14">
        <f>IF(AND($AD1057="保留中",$AF1057&lt;&gt;""),TODAY()-$AF1057,"")</f>
        <v/>
      </c>
      <c r="AJ1057" s="12" t="n"/>
      <c r="AK1057" s="14">
        <f>IF($B1057="","",IF($AO1057="","対象年月が未入力／","")&amp;IF($B1057="","",IF($AN1057="","職員マスタに未登録の職員番号／",IF($Y1057="","標準報酬月額が未登録／","")&amp;IF(AND($AO1057&lt;&gt;"",OR(AND(INDEX(職員マスタ!$G$6:$G$405,$AN1057)&lt;&gt;"",INDEX(職員マスタ!$G$6:$G$405,$AN1057)&gt;EOMONTH($AO1057,0)),AND(INDEX(職員マスタ!$H$6:$H$405,$AN1057)&lt;&gt;"",INDEX(職員マスタ!$H$6:$H$405,$AN1057)&lt;$AO1057))),"対象月が時短期間外／","")&amp;IF(AND(INDEX(職員マスタ!$F$6:$F$405,$AN1057)&lt;&gt;"",$AO1057&lt;&gt;"",INDEX(職員マスタ!$F$6:$F$405,$AN1057)&lt;$AO1057),"対象月に子が2歳到達済／","")&amp;IF(AND($H1057&lt;&gt;"",INDEX(職員マスタ!$B$6:$B$405,$AN1057)&lt;&gt;"",SUBSTITUTE(SUBSTITUTE($H1057," ","")," ","")&lt;&gt;SUBSTITUTE(SUBSTITUTE(INDEX(職員マスタ!$B$6:$B$405,$AN1057)," ","")," ","")),"氏名がマスタと相違／","")&amp;IF(AND($Q1057&lt;&gt;"",INDEX(職員マスタ!$E$6:$E$405,$AN1057)&lt;&gt;"",$Q1057&lt;&gt;INDEX(職員マスタ!$E$6:$E$405,$AN1057)),"子の生年月日がマスタと相違／","")&amp;IF(AND($L1057&lt;&gt;"",INDEX(職員マスタ!$G$6:$G$405,$AN1057)&lt;&gt;"",$L1057&lt;&gt;INDEX(職員マスタ!$G$6:$G$405,$AN1057)),"時短開始日がマスタと相違／","")&amp;IF(AND($M1057&lt;&gt;"",INDEX(職員マスタ!$H$6:$H$405,$AN1057)&lt;&gt;"",$M1057&lt;&gt;INDEX(職員マスタ!$H$6:$H$405,$AN1057)),"時短終了日がマスタと相違／","")))&amp;IF(AND($B1057&lt;&gt;"",$E1057=""),"報酬額が未入力／","")&amp;IF(N($U1057)&gt;0,"申請書に入力エラーが残っています／","")&amp;IF(AND($B1057&lt;&gt;"",$AO1057&lt;&gt;""),IF(COUNTIFS($B$6:$B$3005,$B1057,$C$6:$C$3005,$C1057,$D$6:$D$3005,$D1057)&gt;1,"同じ月の請求が重複しています／",""),"")&amp;IF(AND(N($E1057)&gt;0,$Z1057&lt;&gt;"",$Z1057&lt;&gt;"×",$AC1057=0,$AB1057=""),"計算額が下限以下のため不支給／",""))</f>
        <v/>
      </c>
      <c r="AL1057" s="12" t="n"/>
      <c r="AM1057" s="14">
        <f>IF($AD1057="保留中",COUNTIF($AD$6:$AD1057,"保留中"),"")</f>
        <v/>
      </c>
      <c r="AN1057" s="14">
        <f>IF($AO1057="","",IF(SUMPRODUCT(MAX((職員マスタ!$A$6:$A$405=$B1057)*(((職員マスタ!$G$6:$G$405="")+(職員マスタ!$G$6:$G$405&lt;=EOMONTH($AO1057,0)))&gt;0)*(((職員マスタ!$H$6:$H$405="")+(職員マスタ!$H$6:$H$405&gt;=$AO1057))&gt;0)*(ROW(職員マスタ!$A$6:$A$405)-5)))&gt;0,SUMPRODUCT(MAX((職員マスタ!$A$6:$A$405=$B1057)*(((職員マスタ!$G$6:$G$405="")+(職員マスタ!$G$6:$G$405&lt;=EOMONTH($AO1057,0)))&gt;0)*(((職員マスタ!$H$6:$H$405="")+(職員マスタ!$H$6:$H$405&gt;=$AO1057))&gt;0)*(ROW(職員マスタ!$A$6:$A$405)-5))),IFERROR(MATCH($B1057,職員マスタ!$A$6:$A$405,0),"")))</f>
        <v/>
      </c>
      <c r="AO1057" s="16">
        <f>IF(OR($B1057="",$C1057="",$D1057=""),"",DATE($C1057+2018,$D1057,1))</f>
        <v/>
      </c>
    </row>
    <row r="1058">
      <c r="A1058" s="11" t="n"/>
      <c r="B1058" s="12" t="n"/>
      <c r="C1058" s="12" t="n"/>
      <c r="D1058" s="12" t="n"/>
      <c r="E1058" s="13" t="n"/>
      <c r="F1058" s="12" t="n"/>
      <c r="G1058" s="13" t="n"/>
      <c r="H1058" s="12" t="n"/>
      <c r="I1058" s="12" t="n"/>
      <c r="J1058" s="12" t="n"/>
      <c r="K1058" s="12" t="n"/>
      <c r="L1058" s="11" t="n"/>
      <c r="M1058" s="11" t="n"/>
      <c r="N1058" s="11" t="n"/>
      <c r="O1058" s="11" t="n"/>
      <c r="P1058" s="12" t="n"/>
      <c r="Q1058" s="11" t="n"/>
      <c r="R1058" s="12" t="n"/>
      <c r="S1058" s="11" t="n"/>
      <c r="T1058" s="12" t="n"/>
      <c r="U1058" s="12" t="n"/>
      <c r="V1058" s="14">
        <f>IF($AN1058="",IF($B1058="","",$H1058),IF(INDEX(職員マスタ!$B$6:$B$405,$AN1058)="",$H1058,INDEX(職員マスタ!$B$6:$B$405,$AN1058)))</f>
        <v/>
      </c>
      <c r="W1058" s="14">
        <f>IF($AN1058="",IF($B1058="","",$R1058),IF(INDEX(職員マスタ!$C$6:$C$405,$AN1058)="",$R1058,INDEX(職員マスタ!$C$6:$C$405,$AN1058)))</f>
        <v/>
      </c>
      <c r="X1058" s="14">
        <f>IF($AO1058="","","R"&amp;$C1058&amp;"."&amp;$D1058)</f>
        <v/>
      </c>
      <c r="Y1058" s="15">
        <f>IF($AN1058="","",IF(INDEX(職員マスタ!$K$6:$K$405,$AN1058)="","",INDEX(職員マスタ!$K$6:$K$405,$AN1058)))</f>
        <v/>
      </c>
      <c r="Z1058" s="14">
        <f>IF(OR($E1058="",$Y1058=""),"",IF($E1058&gt;=$Y1058,"×",IF($E1058&gt;=$Y1058*設定!$C$5,"△","○")))</f>
        <v/>
      </c>
      <c r="AA1058" s="15">
        <f>IF($Z1058="","",IF($Z1058="×",0,IF($Z1058="○",ROUNDDOWN($E1058*設定!$C$4,0),ROUNDDOWN($E1058*ROUND((9*$Y1058-9*$E1058)/(10*$E1058),4),0))))</f>
        <v/>
      </c>
      <c r="AB1058" s="13" t="n"/>
      <c r="AC1058" s="15">
        <f>IF($B1058="","",IF($AB1058&lt;&gt;"",$AB1058,IF($AA1058="","",IF($AA1058&lt;=設定!$C$3,0,$AA1058))))</f>
        <v/>
      </c>
      <c r="AD1058" s="14">
        <f>IF($B1058="","",IF(AND($AE1058&lt;&gt;"",$AG1058="",$AJ1058=""),"保留中",IF($AJ1058&lt;&gt;"",IF(N($AC1058)&gt;0,"支給済","不支給"),IF($AC1058="","要確認",IF($AC1058=0,"不支給","未処理")))))</f>
        <v/>
      </c>
      <c r="AE1058" s="12" t="n"/>
      <c r="AF1058" s="11" t="n"/>
      <c r="AG1058" s="11" t="n"/>
      <c r="AH1058" s="11" t="n"/>
      <c r="AI1058" s="14">
        <f>IF(AND($AD1058="保留中",$AF1058&lt;&gt;""),TODAY()-$AF1058,"")</f>
        <v/>
      </c>
      <c r="AJ1058" s="12" t="n"/>
      <c r="AK1058" s="14">
        <f>IF($B1058="","",IF($AO1058="","対象年月が未入力／","")&amp;IF($B1058="","",IF($AN1058="","職員マスタに未登録の職員番号／",IF($Y1058="","標準報酬月額が未登録／","")&amp;IF(AND($AO1058&lt;&gt;"",OR(AND(INDEX(職員マスタ!$G$6:$G$405,$AN1058)&lt;&gt;"",INDEX(職員マスタ!$G$6:$G$405,$AN1058)&gt;EOMONTH($AO1058,0)),AND(INDEX(職員マスタ!$H$6:$H$405,$AN1058)&lt;&gt;"",INDEX(職員マスタ!$H$6:$H$405,$AN1058)&lt;$AO1058))),"対象月が時短期間外／","")&amp;IF(AND(INDEX(職員マスタ!$F$6:$F$405,$AN1058)&lt;&gt;"",$AO1058&lt;&gt;"",INDEX(職員マスタ!$F$6:$F$405,$AN1058)&lt;$AO1058),"対象月に子が2歳到達済／","")&amp;IF(AND($H1058&lt;&gt;"",INDEX(職員マスタ!$B$6:$B$405,$AN1058)&lt;&gt;"",SUBSTITUTE(SUBSTITUTE($H1058," ","")," ","")&lt;&gt;SUBSTITUTE(SUBSTITUTE(INDEX(職員マスタ!$B$6:$B$405,$AN1058)," ","")," ","")),"氏名がマスタと相違／","")&amp;IF(AND($Q1058&lt;&gt;"",INDEX(職員マスタ!$E$6:$E$405,$AN1058)&lt;&gt;"",$Q1058&lt;&gt;INDEX(職員マスタ!$E$6:$E$405,$AN1058)),"子の生年月日がマスタと相違／","")&amp;IF(AND($L1058&lt;&gt;"",INDEX(職員マスタ!$G$6:$G$405,$AN1058)&lt;&gt;"",$L1058&lt;&gt;INDEX(職員マスタ!$G$6:$G$405,$AN1058)),"時短開始日がマスタと相違／","")&amp;IF(AND($M1058&lt;&gt;"",INDEX(職員マスタ!$H$6:$H$405,$AN1058)&lt;&gt;"",$M1058&lt;&gt;INDEX(職員マスタ!$H$6:$H$405,$AN1058)),"時短終了日がマスタと相違／","")))&amp;IF(AND($B1058&lt;&gt;"",$E1058=""),"報酬額が未入力／","")&amp;IF(N($U1058)&gt;0,"申請書に入力エラーが残っています／","")&amp;IF(AND($B1058&lt;&gt;"",$AO1058&lt;&gt;""),IF(COUNTIFS($B$6:$B$3005,$B1058,$C$6:$C$3005,$C1058,$D$6:$D$3005,$D1058)&gt;1,"同じ月の請求が重複しています／",""),"")&amp;IF(AND(N($E1058)&gt;0,$Z1058&lt;&gt;"",$Z1058&lt;&gt;"×",$AC1058=0,$AB1058=""),"計算額が下限以下のため不支給／",""))</f>
        <v/>
      </c>
      <c r="AL1058" s="12" t="n"/>
      <c r="AM1058" s="14">
        <f>IF($AD1058="保留中",COUNTIF($AD$6:$AD1058,"保留中"),"")</f>
        <v/>
      </c>
      <c r="AN1058" s="14">
        <f>IF($AO1058="","",IF(SUMPRODUCT(MAX((職員マスタ!$A$6:$A$405=$B1058)*(((職員マスタ!$G$6:$G$405="")+(職員マスタ!$G$6:$G$405&lt;=EOMONTH($AO1058,0)))&gt;0)*(((職員マスタ!$H$6:$H$405="")+(職員マスタ!$H$6:$H$405&gt;=$AO1058))&gt;0)*(ROW(職員マスタ!$A$6:$A$405)-5)))&gt;0,SUMPRODUCT(MAX((職員マスタ!$A$6:$A$405=$B1058)*(((職員マスタ!$G$6:$G$405="")+(職員マスタ!$G$6:$G$405&lt;=EOMONTH($AO1058,0)))&gt;0)*(((職員マスタ!$H$6:$H$405="")+(職員マスタ!$H$6:$H$405&gt;=$AO1058))&gt;0)*(ROW(職員マスタ!$A$6:$A$405)-5))),IFERROR(MATCH($B1058,職員マスタ!$A$6:$A$405,0),"")))</f>
        <v/>
      </c>
      <c r="AO1058" s="16">
        <f>IF(OR($B1058="",$C1058="",$D1058=""),"",DATE($C1058+2018,$D1058,1))</f>
        <v/>
      </c>
    </row>
    <row r="1059">
      <c r="A1059" s="11" t="n"/>
      <c r="B1059" s="12" t="n"/>
      <c r="C1059" s="12" t="n"/>
      <c r="D1059" s="12" t="n"/>
      <c r="E1059" s="13" t="n"/>
      <c r="F1059" s="12" t="n"/>
      <c r="G1059" s="13" t="n"/>
      <c r="H1059" s="12" t="n"/>
      <c r="I1059" s="12" t="n"/>
      <c r="J1059" s="12" t="n"/>
      <c r="K1059" s="12" t="n"/>
      <c r="L1059" s="11" t="n"/>
      <c r="M1059" s="11" t="n"/>
      <c r="N1059" s="11" t="n"/>
      <c r="O1059" s="11" t="n"/>
      <c r="P1059" s="12" t="n"/>
      <c r="Q1059" s="11" t="n"/>
      <c r="R1059" s="12" t="n"/>
      <c r="S1059" s="11" t="n"/>
      <c r="T1059" s="12" t="n"/>
      <c r="U1059" s="12" t="n"/>
      <c r="V1059" s="14">
        <f>IF($AN1059="",IF($B1059="","",$H1059),IF(INDEX(職員マスタ!$B$6:$B$405,$AN1059)="",$H1059,INDEX(職員マスタ!$B$6:$B$405,$AN1059)))</f>
        <v/>
      </c>
      <c r="W1059" s="14">
        <f>IF($AN1059="",IF($B1059="","",$R1059),IF(INDEX(職員マスタ!$C$6:$C$405,$AN1059)="",$R1059,INDEX(職員マスタ!$C$6:$C$405,$AN1059)))</f>
        <v/>
      </c>
      <c r="X1059" s="14">
        <f>IF($AO1059="","","R"&amp;$C1059&amp;"."&amp;$D1059)</f>
        <v/>
      </c>
      <c r="Y1059" s="15">
        <f>IF($AN1059="","",IF(INDEX(職員マスタ!$K$6:$K$405,$AN1059)="","",INDEX(職員マスタ!$K$6:$K$405,$AN1059)))</f>
        <v/>
      </c>
      <c r="Z1059" s="14">
        <f>IF(OR($E1059="",$Y1059=""),"",IF($E1059&gt;=$Y1059,"×",IF($E1059&gt;=$Y1059*設定!$C$5,"△","○")))</f>
        <v/>
      </c>
      <c r="AA1059" s="15">
        <f>IF($Z1059="","",IF($Z1059="×",0,IF($Z1059="○",ROUNDDOWN($E1059*設定!$C$4,0),ROUNDDOWN($E1059*ROUND((9*$Y1059-9*$E1059)/(10*$E1059),4),0))))</f>
        <v/>
      </c>
      <c r="AB1059" s="13" t="n"/>
      <c r="AC1059" s="15">
        <f>IF($B1059="","",IF($AB1059&lt;&gt;"",$AB1059,IF($AA1059="","",IF($AA1059&lt;=設定!$C$3,0,$AA1059))))</f>
        <v/>
      </c>
      <c r="AD1059" s="14">
        <f>IF($B1059="","",IF(AND($AE1059&lt;&gt;"",$AG1059="",$AJ1059=""),"保留中",IF($AJ1059&lt;&gt;"",IF(N($AC1059)&gt;0,"支給済","不支給"),IF($AC1059="","要確認",IF($AC1059=0,"不支給","未処理")))))</f>
        <v/>
      </c>
      <c r="AE1059" s="12" t="n"/>
      <c r="AF1059" s="11" t="n"/>
      <c r="AG1059" s="11" t="n"/>
      <c r="AH1059" s="11" t="n"/>
      <c r="AI1059" s="14">
        <f>IF(AND($AD1059="保留中",$AF1059&lt;&gt;""),TODAY()-$AF1059,"")</f>
        <v/>
      </c>
      <c r="AJ1059" s="12" t="n"/>
      <c r="AK1059" s="14">
        <f>IF($B1059="","",IF($AO1059="","対象年月が未入力／","")&amp;IF($B1059="","",IF($AN1059="","職員マスタに未登録の職員番号／",IF($Y1059="","標準報酬月額が未登録／","")&amp;IF(AND($AO1059&lt;&gt;"",OR(AND(INDEX(職員マスタ!$G$6:$G$405,$AN1059)&lt;&gt;"",INDEX(職員マスタ!$G$6:$G$405,$AN1059)&gt;EOMONTH($AO1059,0)),AND(INDEX(職員マスタ!$H$6:$H$405,$AN1059)&lt;&gt;"",INDEX(職員マスタ!$H$6:$H$405,$AN1059)&lt;$AO1059))),"対象月が時短期間外／","")&amp;IF(AND(INDEX(職員マスタ!$F$6:$F$405,$AN1059)&lt;&gt;"",$AO1059&lt;&gt;"",INDEX(職員マスタ!$F$6:$F$405,$AN1059)&lt;$AO1059),"対象月に子が2歳到達済／","")&amp;IF(AND($H1059&lt;&gt;"",INDEX(職員マスタ!$B$6:$B$405,$AN1059)&lt;&gt;"",SUBSTITUTE(SUBSTITUTE($H1059," ","")," ","")&lt;&gt;SUBSTITUTE(SUBSTITUTE(INDEX(職員マスタ!$B$6:$B$405,$AN1059)," ","")," ","")),"氏名がマスタと相違／","")&amp;IF(AND($Q1059&lt;&gt;"",INDEX(職員マスタ!$E$6:$E$405,$AN1059)&lt;&gt;"",$Q1059&lt;&gt;INDEX(職員マスタ!$E$6:$E$405,$AN1059)),"子の生年月日がマスタと相違／","")&amp;IF(AND($L1059&lt;&gt;"",INDEX(職員マスタ!$G$6:$G$405,$AN1059)&lt;&gt;"",$L1059&lt;&gt;INDEX(職員マスタ!$G$6:$G$405,$AN1059)),"時短開始日がマスタと相違／","")&amp;IF(AND($M1059&lt;&gt;"",INDEX(職員マスタ!$H$6:$H$405,$AN1059)&lt;&gt;"",$M1059&lt;&gt;INDEX(職員マスタ!$H$6:$H$405,$AN1059)),"時短終了日がマスタと相違／","")))&amp;IF(AND($B1059&lt;&gt;"",$E1059=""),"報酬額が未入力／","")&amp;IF(N($U1059)&gt;0,"申請書に入力エラーが残っています／","")&amp;IF(AND($B1059&lt;&gt;"",$AO1059&lt;&gt;""),IF(COUNTIFS($B$6:$B$3005,$B1059,$C$6:$C$3005,$C1059,$D$6:$D$3005,$D1059)&gt;1,"同じ月の請求が重複しています／",""),"")&amp;IF(AND(N($E1059)&gt;0,$Z1059&lt;&gt;"",$Z1059&lt;&gt;"×",$AC1059=0,$AB1059=""),"計算額が下限以下のため不支給／",""))</f>
        <v/>
      </c>
      <c r="AL1059" s="12" t="n"/>
      <c r="AM1059" s="14">
        <f>IF($AD1059="保留中",COUNTIF($AD$6:$AD1059,"保留中"),"")</f>
        <v/>
      </c>
      <c r="AN1059" s="14">
        <f>IF($AO1059="","",IF(SUMPRODUCT(MAX((職員マスタ!$A$6:$A$405=$B1059)*(((職員マスタ!$G$6:$G$405="")+(職員マスタ!$G$6:$G$405&lt;=EOMONTH($AO1059,0)))&gt;0)*(((職員マスタ!$H$6:$H$405="")+(職員マスタ!$H$6:$H$405&gt;=$AO1059))&gt;0)*(ROW(職員マスタ!$A$6:$A$405)-5)))&gt;0,SUMPRODUCT(MAX((職員マスタ!$A$6:$A$405=$B1059)*(((職員マスタ!$G$6:$G$405="")+(職員マスタ!$G$6:$G$405&lt;=EOMONTH($AO1059,0)))&gt;0)*(((職員マスタ!$H$6:$H$405="")+(職員マスタ!$H$6:$H$405&gt;=$AO1059))&gt;0)*(ROW(職員マスタ!$A$6:$A$405)-5))),IFERROR(MATCH($B1059,職員マスタ!$A$6:$A$405,0),"")))</f>
        <v/>
      </c>
      <c r="AO1059" s="16">
        <f>IF(OR($B1059="",$C1059="",$D1059=""),"",DATE($C1059+2018,$D1059,1))</f>
        <v/>
      </c>
    </row>
    <row r="1060">
      <c r="A1060" s="11" t="n"/>
      <c r="B1060" s="12" t="n"/>
      <c r="C1060" s="12" t="n"/>
      <c r="D1060" s="12" t="n"/>
      <c r="E1060" s="13" t="n"/>
      <c r="F1060" s="12" t="n"/>
      <c r="G1060" s="13" t="n"/>
      <c r="H1060" s="12" t="n"/>
      <c r="I1060" s="12" t="n"/>
      <c r="J1060" s="12" t="n"/>
      <c r="K1060" s="12" t="n"/>
      <c r="L1060" s="11" t="n"/>
      <c r="M1060" s="11" t="n"/>
      <c r="N1060" s="11" t="n"/>
      <c r="O1060" s="11" t="n"/>
      <c r="P1060" s="12" t="n"/>
      <c r="Q1060" s="11" t="n"/>
      <c r="R1060" s="12" t="n"/>
      <c r="S1060" s="11" t="n"/>
      <c r="T1060" s="12" t="n"/>
      <c r="U1060" s="12" t="n"/>
      <c r="V1060" s="14">
        <f>IF($AN1060="",IF($B1060="","",$H1060),IF(INDEX(職員マスタ!$B$6:$B$405,$AN1060)="",$H1060,INDEX(職員マスタ!$B$6:$B$405,$AN1060)))</f>
        <v/>
      </c>
      <c r="W1060" s="14">
        <f>IF($AN1060="",IF($B1060="","",$R1060),IF(INDEX(職員マスタ!$C$6:$C$405,$AN1060)="",$R1060,INDEX(職員マスタ!$C$6:$C$405,$AN1060)))</f>
        <v/>
      </c>
      <c r="X1060" s="14">
        <f>IF($AO1060="","","R"&amp;$C1060&amp;"."&amp;$D1060)</f>
        <v/>
      </c>
      <c r="Y1060" s="15">
        <f>IF($AN1060="","",IF(INDEX(職員マスタ!$K$6:$K$405,$AN1060)="","",INDEX(職員マスタ!$K$6:$K$405,$AN1060)))</f>
        <v/>
      </c>
      <c r="Z1060" s="14">
        <f>IF(OR($E1060="",$Y1060=""),"",IF($E1060&gt;=$Y1060,"×",IF($E1060&gt;=$Y1060*設定!$C$5,"△","○")))</f>
        <v/>
      </c>
      <c r="AA1060" s="15">
        <f>IF($Z1060="","",IF($Z1060="×",0,IF($Z1060="○",ROUNDDOWN($E1060*設定!$C$4,0),ROUNDDOWN($E1060*ROUND((9*$Y1060-9*$E1060)/(10*$E1060),4),0))))</f>
        <v/>
      </c>
      <c r="AB1060" s="13" t="n"/>
      <c r="AC1060" s="15">
        <f>IF($B1060="","",IF($AB1060&lt;&gt;"",$AB1060,IF($AA1060="","",IF($AA1060&lt;=設定!$C$3,0,$AA1060))))</f>
        <v/>
      </c>
      <c r="AD1060" s="14">
        <f>IF($B1060="","",IF(AND($AE1060&lt;&gt;"",$AG1060="",$AJ1060=""),"保留中",IF($AJ1060&lt;&gt;"",IF(N($AC1060)&gt;0,"支給済","不支給"),IF($AC1060="","要確認",IF($AC1060=0,"不支給","未処理")))))</f>
        <v/>
      </c>
      <c r="AE1060" s="12" t="n"/>
      <c r="AF1060" s="11" t="n"/>
      <c r="AG1060" s="11" t="n"/>
      <c r="AH1060" s="11" t="n"/>
      <c r="AI1060" s="14">
        <f>IF(AND($AD1060="保留中",$AF1060&lt;&gt;""),TODAY()-$AF1060,"")</f>
        <v/>
      </c>
      <c r="AJ1060" s="12" t="n"/>
      <c r="AK1060" s="14">
        <f>IF($B1060="","",IF($AO1060="","対象年月が未入力／","")&amp;IF($B1060="","",IF($AN1060="","職員マスタに未登録の職員番号／",IF($Y1060="","標準報酬月額が未登録／","")&amp;IF(AND($AO1060&lt;&gt;"",OR(AND(INDEX(職員マスタ!$G$6:$G$405,$AN1060)&lt;&gt;"",INDEX(職員マスタ!$G$6:$G$405,$AN1060)&gt;EOMONTH($AO1060,0)),AND(INDEX(職員マスタ!$H$6:$H$405,$AN1060)&lt;&gt;"",INDEX(職員マスタ!$H$6:$H$405,$AN1060)&lt;$AO1060))),"対象月が時短期間外／","")&amp;IF(AND(INDEX(職員マスタ!$F$6:$F$405,$AN1060)&lt;&gt;"",$AO1060&lt;&gt;"",INDEX(職員マスタ!$F$6:$F$405,$AN1060)&lt;$AO1060),"対象月に子が2歳到達済／","")&amp;IF(AND($H1060&lt;&gt;"",INDEX(職員マスタ!$B$6:$B$405,$AN1060)&lt;&gt;"",SUBSTITUTE(SUBSTITUTE($H1060," ","")," ","")&lt;&gt;SUBSTITUTE(SUBSTITUTE(INDEX(職員マスタ!$B$6:$B$405,$AN1060)," ","")," ","")),"氏名がマスタと相違／","")&amp;IF(AND($Q1060&lt;&gt;"",INDEX(職員マスタ!$E$6:$E$405,$AN1060)&lt;&gt;"",$Q1060&lt;&gt;INDEX(職員マスタ!$E$6:$E$405,$AN1060)),"子の生年月日がマスタと相違／","")&amp;IF(AND($L1060&lt;&gt;"",INDEX(職員マスタ!$G$6:$G$405,$AN1060)&lt;&gt;"",$L1060&lt;&gt;INDEX(職員マスタ!$G$6:$G$405,$AN1060)),"時短開始日がマスタと相違／","")&amp;IF(AND($M1060&lt;&gt;"",INDEX(職員マスタ!$H$6:$H$405,$AN1060)&lt;&gt;"",$M1060&lt;&gt;INDEX(職員マスタ!$H$6:$H$405,$AN1060)),"時短終了日がマスタと相違／","")))&amp;IF(AND($B1060&lt;&gt;"",$E1060=""),"報酬額が未入力／","")&amp;IF(N($U1060)&gt;0,"申請書に入力エラーが残っています／","")&amp;IF(AND($B1060&lt;&gt;"",$AO1060&lt;&gt;""),IF(COUNTIFS($B$6:$B$3005,$B1060,$C$6:$C$3005,$C1060,$D$6:$D$3005,$D1060)&gt;1,"同じ月の請求が重複しています／",""),"")&amp;IF(AND(N($E1060)&gt;0,$Z1060&lt;&gt;"",$Z1060&lt;&gt;"×",$AC1060=0,$AB1060=""),"計算額が下限以下のため不支給／",""))</f>
        <v/>
      </c>
      <c r="AL1060" s="12" t="n"/>
      <c r="AM1060" s="14">
        <f>IF($AD1060="保留中",COUNTIF($AD$6:$AD1060,"保留中"),"")</f>
        <v/>
      </c>
      <c r="AN1060" s="14">
        <f>IF($AO1060="","",IF(SUMPRODUCT(MAX((職員マスタ!$A$6:$A$405=$B1060)*(((職員マスタ!$G$6:$G$405="")+(職員マスタ!$G$6:$G$405&lt;=EOMONTH($AO1060,0)))&gt;0)*(((職員マスタ!$H$6:$H$405="")+(職員マスタ!$H$6:$H$405&gt;=$AO1060))&gt;0)*(ROW(職員マスタ!$A$6:$A$405)-5)))&gt;0,SUMPRODUCT(MAX((職員マスタ!$A$6:$A$405=$B1060)*(((職員マスタ!$G$6:$G$405="")+(職員マスタ!$G$6:$G$405&lt;=EOMONTH($AO1060,0)))&gt;0)*(((職員マスタ!$H$6:$H$405="")+(職員マスタ!$H$6:$H$405&gt;=$AO1060))&gt;0)*(ROW(職員マスタ!$A$6:$A$405)-5))),IFERROR(MATCH($B1060,職員マスタ!$A$6:$A$405,0),"")))</f>
        <v/>
      </c>
      <c r="AO1060" s="16">
        <f>IF(OR($B1060="",$C1060="",$D1060=""),"",DATE($C1060+2018,$D1060,1))</f>
        <v/>
      </c>
    </row>
    <row r="1061">
      <c r="A1061" s="11" t="n"/>
      <c r="B1061" s="12" t="n"/>
      <c r="C1061" s="12" t="n"/>
      <c r="D1061" s="12" t="n"/>
      <c r="E1061" s="13" t="n"/>
      <c r="F1061" s="12" t="n"/>
      <c r="G1061" s="13" t="n"/>
      <c r="H1061" s="12" t="n"/>
      <c r="I1061" s="12" t="n"/>
      <c r="J1061" s="12" t="n"/>
      <c r="K1061" s="12" t="n"/>
      <c r="L1061" s="11" t="n"/>
      <c r="M1061" s="11" t="n"/>
      <c r="N1061" s="11" t="n"/>
      <c r="O1061" s="11" t="n"/>
      <c r="P1061" s="12" t="n"/>
      <c r="Q1061" s="11" t="n"/>
      <c r="R1061" s="12" t="n"/>
      <c r="S1061" s="11" t="n"/>
      <c r="T1061" s="12" t="n"/>
      <c r="U1061" s="12" t="n"/>
      <c r="V1061" s="14">
        <f>IF($AN1061="",IF($B1061="","",$H1061),IF(INDEX(職員マスタ!$B$6:$B$405,$AN1061)="",$H1061,INDEX(職員マスタ!$B$6:$B$405,$AN1061)))</f>
        <v/>
      </c>
      <c r="W1061" s="14">
        <f>IF($AN1061="",IF($B1061="","",$R1061),IF(INDEX(職員マスタ!$C$6:$C$405,$AN1061)="",$R1061,INDEX(職員マスタ!$C$6:$C$405,$AN1061)))</f>
        <v/>
      </c>
      <c r="X1061" s="14">
        <f>IF($AO1061="","","R"&amp;$C1061&amp;"."&amp;$D1061)</f>
        <v/>
      </c>
      <c r="Y1061" s="15">
        <f>IF($AN1061="","",IF(INDEX(職員マスタ!$K$6:$K$405,$AN1061)="","",INDEX(職員マスタ!$K$6:$K$405,$AN1061)))</f>
        <v/>
      </c>
      <c r="Z1061" s="14">
        <f>IF(OR($E1061="",$Y1061=""),"",IF($E1061&gt;=$Y1061,"×",IF($E1061&gt;=$Y1061*設定!$C$5,"△","○")))</f>
        <v/>
      </c>
      <c r="AA1061" s="15">
        <f>IF($Z1061="","",IF($Z1061="×",0,IF($Z1061="○",ROUNDDOWN($E1061*設定!$C$4,0),ROUNDDOWN($E1061*ROUND((9*$Y1061-9*$E1061)/(10*$E1061),4),0))))</f>
        <v/>
      </c>
      <c r="AB1061" s="13" t="n"/>
      <c r="AC1061" s="15">
        <f>IF($B1061="","",IF($AB1061&lt;&gt;"",$AB1061,IF($AA1061="","",IF($AA1061&lt;=設定!$C$3,0,$AA1061))))</f>
        <v/>
      </c>
      <c r="AD1061" s="14">
        <f>IF($B1061="","",IF(AND($AE1061&lt;&gt;"",$AG1061="",$AJ1061=""),"保留中",IF($AJ1061&lt;&gt;"",IF(N($AC1061)&gt;0,"支給済","不支給"),IF($AC1061="","要確認",IF($AC1061=0,"不支給","未処理")))))</f>
        <v/>
      </c>
      <c r="AE1061" s="12" t="n"/>
      <c r="AF1061" s="11" t="n"/>
      <c r="AG1061" s="11" t="n"/>
      <c r="AH1061" s="11" t="n"/>
      <c r="AI1061" s="14">
        <f>IF(AND($AD1061="保留中",$AF1061&lt;&gt;""),TODAY()-$AF1061,"")</f>
        <v/>
      </c>
      <c r="AJ1061" s="12" t="n"/>
      <c r="AK1061" s="14">
        <f>IF($B1061="","",IF($AO1061="","対象年月が未入力／","")&amp;IF($B1061="","",IF($AN1061="","職員マスタに未登録の職員番号／",IF($Y1061="","標準報酬月額が未登録／","")&amp;IF(AND($AO1061&lt;&gt;"",OR(AND(INDEX(職員マスタ!$G$6:$G$405,$AN1061)&lt;&gt;"",INDEX(職員マスタ!$G$6:$G$405,$AN1061)&gt;EOMONTH($AO1061,0)),AND(INDEX(職員マスタ!$H$6:$H$405,$AN1061)&lt;&gt;"",INDEX(職員マスタ!$H$6:$H$405,$AN1061)&lt;$AO1061))),"対象月が時短期間外／","")&amp;IF(AND(INDEX(職員マスタ!$F$6:$F$405,$AN1061)&lt;&gt;"",$AO1061&lt;&gt;"",INDEX(職員マスタ!$F$6:$F$405,$AN1061)&lt;$AO1061),"対象月に子が2歳到達済／","")&amp;IF(AND($H1061&lt;&gt;"",INDEX(職員マスタ!$B$6:$B$405,$AN1061)&lt;&gt;"",SUBSTITUTE(SUBSTITUTE($H1061," ","")," ","")&lt;&gt;SUBSTITUTE(SUBSTITUTE(INDEX(職員マスタ!$B$6:$B$405,$AN1061)," ","")," ","")),"氏名がマスタと相違／","")&amp;IF(AND($Q1061&lt;&gt;"",INDEX(職員マスタ!$E$6:$E$405,$AN1061)&lt;&gt;"",$Q1061&lt;&gt;INDEX(職員マスタ!$E$6:$E$405,$AN1061)),"子の生年月日がマスタと相違／","")&amp;IF(AND($L1061&lt;&gt;"",INDEX(職員マスタ!$G$6:$G$405,$AN1061)&lt;&gt;"",$L1061&lt;&gt;INDEX(職員マスタ!$G$6:$G$405,$AN1061)),"時短開始日がマスタと相違／","")&amp;IF(AND($M1061&lt;&gt;"",INDEX(職員マスタ!$H$6:$H$405,$AN1061)&lt;&gt;"",$M1061&lt;&gt;INDEX(職員マスタ!$H$6:$H$405,$AN1061)),"時短終了日がマスタと相違／","")))&amp;IF(AND($B1061&lt;&gt;"",$E1061=""),"報酬額が未入力／","")&amp;IF(N($U1061)&gt;0,"申請書に入力エラーが残っています／","")&amp;IF(AND($B1061&lt;&gt;"",$AO1061&lt;&gt;""),IF(COUNTIFS($B$6:$B$3005,$B1061,$C$6:$C$3005,$C1061,$D$6:$D$3005,$D1061)&gt;1,"同じ月の請求が重複しています／",""),"")&amp;IF(AND(N($E1061)&gt;0,$Z1061&lt;&gt;"",$Z1061&lt;&gt;"×",$AC1061=0,$AB1061=""),"計算額が下限以下のため不支給／",""))</f>
        <v/>
      </c>
      <c r="AL1061" s="12" t="n"/>
      <c r="AM1061" s="14">
        <f>IF($AD1061="保留中",COUNTIF($AD$6:$AD1061,"保留中"),"")</f>
        <v/>
      </c>
      <c r="AN1061" s="14">
        <f>IF($AO1061="","",IF(SUMPRODUCT(MAX((職員マスタ!$A$6:$A$405=$B1061)*(((職員マスタ!$G$6:$G$405="")+(職員マスタ!$G$6:$G$405&lt;=EOMONTH($AO1061,0)))&gt;0)*(((職員マスタ!$H$6:$H$405="")+(職員マスタ!$H$6:$H$405&gt;=$AO1061))&gt;0)*(ROW(職員マスタ!$A$6:$A$405)-5)))&gt;0,SUMPRODUCT(MAX((職員マスタ!$A$6:$A$405=$B1061)*(((職員マスタ!$G$6:$G$405="")+(職員マスタ!$G$6:$G$405&lt;=EOMONTH($AO1061,0)))&gt;0)*(((職員マスタ!$H$6:$H$405="")+(職員マスタ!$H$6:$H$405&gt;=$AO1061))&gt;0)*(ROW(職員マスタ!$A$6:$A$405)-5))),IFERROR(MATCH($B1061,職員マスタ!$A$6:$A$405,0),"")))</f>
        <v/>
      </c>
      <c r="AO1061" s="16">
        <f>IF(OR($B1061="",$C1061="",$D1061=""),"",DATE($C1061+2018,$D1061,1))</f>
        <v/>
      </c>
    </row>
    <row r="1062">
      <c r="A1062" s="11" t="n"/>
      <c r="B1062" s="12" t="n"/>
      <c r="C1062" s="12" t="n"/>
      <c r="D1062" s="12" t="n"/>
      <c r="E1062" s="13" t="n"/>
      <c r="F1062" s="12" t="n"/>
      <c r="G1062" s="13" t="n"/>
      <c r="H1062" s="12" t="n"/>
      <c r="I1062" s="12" t="n"/>
      <c r="J1062" s="12" t="n"/>
      <c r="K1062" s="12" t="n"/>
      <c r="L1062" s="11" t="n"/>
      <c r="M1062" s="11" t="n"/>
      <c r="N1062" s="11" t="n"/>
      <c r="O1062" s="11" t="n"/>
      <c r="P1062" s="12" t="n"/>
      <c r="Q1062" s="11" t="n"/>
      <c r="R1062" s="12" t="n"/>
      <c r="S1062" s="11" t="n"/>
      <c r="T1062" s="12" t="n"/>
      <c r="U1062" s="12" t="n"/>
      <c r="V1062" s="14">
        <f>IF($AN1062="",IF($B1062="","",$H1062),IF(INDEX(職員マスタ!$B$6:$B$405,$AN1062)="",$H1062,INDEX(職員マスタ!$B$6:$B$405,$AN1062)))</f>
        <v/>
      </c>
      <c r="W1062" s="14">
        <f>IF($AN1062="",IF($B1062="","",$R1062),IF(INDEX(職員マスタ!$C$6:$C$405,$AN1062)="",$R1062,INDEX(職員マスタ!$C$6:$C$405,$AN1062)))</f>
        <v/>
      </c>
      <c r="X1062" s="14">
        <f>IF($AO1062="","","R"&amp;$C1062&amp;"."&amp;$D1062)</f>
        <v/>
      </c>
      <c r="Y1062" s="15">
        <f>IF($AN1062="","",IF(INDEX(職員マスタ!$K$6:$K$405,$AN1062)="","",INDEX(職員マスタ!$K$6:$K$405,$AN1062)))</f>
        <v/>
      </c>
      <c r="Z1062" s="14">
        <f>IF(OR($E1062="",$Y1062=""),"",IF($E1062&gt;=$Y1062,"×",IF($E1062&gt;=$Y1062*設定!$C$5,"△","○")))</f>
        <v/>
      </c>
      <c r="AA1062" s="15">
        <f>IF($Z1062="","",IF($Z1062="×",0,IF($Z1062="○",ROUNDDOWN($E1062*設定!$C$4,0),ROUNDDOWN($E1062*ROUND((9*$Y1062-9*$E1062)/(10*$E1062),4),0))))</f>
        <v/>
      </c>
      <c r="AB1062" s="13" t="n"/>
      <c r="AC1062" s="15">
        <f>IF($B1062="","",IF($AB1062&lt;&gt;"",$AB1062,IF($AA1062="","",IF($AA1062&lt;=設定!$C$3,0,$AA1062))))</f>
        <v/>
      </c>
      <c r="AD1062" s="14">
        <f>IF($B1062="","",IF(AND($AE1062&lt;&gt;"",$AG1062="",$AJ1062=""),"保留中",IF($AJ1062&lt;&gt;"",IF(N($AC1062)&gt;0,"支給済","不支給"),IF($AC1062="","要確認",IF($AC1062=0,"不支給","未処理")))))</f>
        <v/>
      </c>
      <c r="AE1062" s="12" t="n"/>
      <c r="AF1062" s="11" t="n"/>
      <c r="AG1062" s="11" t="n"/>
      <c r="AH1062" s="11" t="n"/>
      <c r="AI1062" s="14">
        <f>IF(AND($AD1062="保留中",$AF1062&lt;&gt;""),TODAY()-$AF1062,"")</f>
        <v/>
      </c>
      <c r="AJ1062" s="12" t="n"/>
      <c r="AK1062" s="14">
        <f>IF($B1062="","",IF($AO1062="","対象年月が未入力／","")&amp;IF($B1062="","",IF($AN1062="","職員マスタに未登録の職員番号／",IF($Y1062="","標準報酬月額が未登録／","")&amp;IF(AND($AO1062&lt;&gt;"",OR(AND(INDEX(職員マスタ!$G$6:$G$405,$AN1062)&lt;&gt;"",INDEX(職員マスタ!$G$6:$G$405,$AN1062)&gt;EOMONTH($AO1062,0)),AND(INDEX(職員マスタ!$H$6:$H$405,$AN1062)&lt;&gt;"",INDEX(職員マスタ!$H$6:$H$405,$AN1062)&lt;$AO1062))),"対象月が時短期間外／","")&amp;IF(AND(INDEX(職員マスタ!$F$6:$F$405,$AN1062)&lt;&gt;"",$AO1062&lt;&gt;"",INDEX(職員マスタ!$F$6:$F$405,$AN1062)&lt;$AO1062),"対象月に子が2歳到達済／","")&amp;IF(AND($H1062&lt;&gt;"",INDEX(職員マスタ!$B$6:$B$405,$AN1062)&lt;&gt;"",SUBSTITUTE(SUBSTITUTE($H1062," ","")," ","")&lt;&gt;SUBSTITUTE(SUBSTITUTE(INDEX(職員マスタ!$B$6:$B$405,$AN1062)," ","")," ","")),"氏名がマスタと相違／","")&amp;IF(AND($Q1062&lt;&gt;"",INDEX(職員マスタ!$E$6:$E$405,$AN1062)&lt;&gt;"",$Q1062&lt;&gt;INDEX(職員マスタ!$E$6:$E$405,$AN1062)),"子の生年月日がマスタと相違／","")&amp;IF(AND($L1062&lt;&gt;"",INDEX(職員マスタ!$G$6:$G$405,$AN1062)&lt;&gt;"",$L1062&lt;&gt;INDEX(職員マスタ!$G$6:$G$405,$AN1062)),"時短開始日がマスタと相違／","")&amp;IF(AND($M1062&lt;&gt;"",INDEX(職員マスタ!$H$6:$H$405,$AN1062)&lt;&gt;"",$M1062&lt;&gt;INDEX(職員マスタ!$H$6:$H$405,$AN1062)),"時短終了日がマスタと相違／","")))&amp;IF(AND($B1062&lt;&gt;"",$E1062=""),"報酬額が未入力／","")&amp;IF(N($U1062)&gt;0,"申請書に入力エラーが残っています／","")&amp;IF(AND($B1062&lt;&gt;"",$AO1062&lt;&gt;""),IF(COUNTIFS($B$6:$B$3005,$B1062,$C$6:$C$3005,$C1062,$D$6:$D$3005,$D1062)&gt;1,"同じ月の請求が重複しています／",""),"")&amp;IF(AND(N($E1062)&gt;0,$Z1062&lt;&gt;"",$Z1062&lt;&gt;"×",$AC1062=0,$AB1062=""),"計算額が下限以下のため不支給／",""))</f>
        <v/>
      </c>
      <c r="AL1062" s="12" t="n"/>
      <c r="AM1062" s="14">
        <f>IF($AD1062="保留中",COUNTIF($AD$6:$AD1062,"保留中"),"")</f>
        <v/>
      </c>
      <c r="AN1062" s="14">
        <f>IF($AO1062="","",IF(SUMPRODUCT(MAX((職員マスタ!$A$6:$A$405=$B1062)*(((職員マスタ!$G$6:$G$405="")+(職員マスタ!$G$6:$G$405&lt;=EOMONTH($AO1062,0)))&gt;0)*(((職員マスタ!$H$6:$H$405="")+(職員マスタ!$H$6:$H$405&gt;=$AO1062))&gt;0)*(ROW(職員マスタ!$A$6:$A$405)-5)))&gt;0,SUMPRODUCT(MAX((職員マスタ!$A$6:$A$405=$B1062)*(((職員マスタ!$G$6:$G$405="")+(職員マスタ!$G$6:$G$405&lt;=EOMONTH($AO1062,0)))&gt;0)*(((職員マスタ!$H$6:$H$405="")+(職員マスタ!$H$6:$H$405&gt;=$AO1062))&gt;0)*(ROW(職員マスタ!$A$6:$A$405)-5))),IFERROR(MATCH($B1062,職員マスタ!$A$6:$A$405,0),"")))</f>
        <v/>
      </c>
      <c r="AO1062" s="16">
        <f>IF(OR($B1062="",$C1062="",$D1062=""),"",DATE($C1062+2018,$D1062,1))</f>
        <v/>
      </c>
    </row>
    <row r="1063">
      <c r="A1063" s="11" t="n"/>
      <c r="B1063" s="12" t="n"/>
      <c r="C1063" s="12" t="n"/>
      <c r="D1063" s="12" t="n"/>
      <c r="E1063" s="13" t="n"/>
      <c r="F1063" s="12" t="n"/>
      <c r="G1063" s="13" t="n"/>
      <c r="H1063" s="12" t="n"/>
      <c r="I1063" s="12" t="n"/>
      <c r="J1063" s="12" t="n"/>
      <c r="K1063" s="12" t="n"/>
      <c r="L1063" s="11" t="n"/>
      <c r="M1063" s="11" t="n"/>
      <c r="N1063" s="11" t="n"/>
      <c r="O1063" s="11" t="n"/>
      <c r="P1063" s="12" t="n"/>
      <c r="Q1063" s="11" t="n"/>
      <c r="R1063" s="12" t="n"/>
      <c r="S1063" s="11" t="n"/>
      <c r="T1063" s="12" t="n"/>
      <c r="U1063" s="12" t="n"/>
      <c r="V1063" s="14">
        <f>IF($AN1063="",IF($B1063="","",$H1063),IF(INDEX(職員マスタ!$B$6:$B$405,$AN1063)="",$H1063,INDEX(職員マスタ!$B$6:$B$405,$AN1063)))</f>
        <v/>
      </c>
      <c r="W1063" s="14">
        <f>IF($AN1063="",IF($B1063="","",$R1063),IF(INDEX(職員マスタ!$C$6:$C$405,$AN1063)="",$R1063,INDEX(職員マスタ!$C$6:$C$405,$AN1063)))</f>
        <v/>
      </c>
      <c r="X1063" s="14">
        <f>IF($AO1063="","","R"&amp;$C1063&amp;"."&amp;$D1063)</f>
        <v/>
      </c>
      <c r="Y1063" s="15">
        <f>IF($AN1063="","",IF(INDEX(職員マスタ!$K$6:$K$405,$AN1063)="","",INDEX(職員マスタ!$K$6:$K$405,$AN1063)))</f>
        <v/>
      </c>
      <c r="Z1063" s="14">
        <f>IF(OR($E1063="",$Y1063=""),"",IF($E1063&gt;=$Y1063,"×",IF($E1063&gt;=$Y1063*設定!$C$5,"△","○")))</f>
        <v/>
      </c>
      <c r="AA1063" s="15">
        <f>IF($Z1063="","",IF($Z1063="×",0,IF($Z1063="○",ROUNDDOWN($E1063*設定!$C$4,0),ROUNDDOWN($E1063*ROUND((9*$Y1063-9*$E1063)/(10*$E1063),4),0))))</f>
        <v/>
      </c>
      <c r="AB1063" s="13" t="n"/>
      <c r="AC1063" s="15">
        <f>IF($B1063="","",IF($AB1063&lt;&gt;"",$AB1063,IF($AA1063="","",IF($AA1063&lt;=設定!$C$3,0,$AA1063))))</f>
        <v/>
      </c>
      <c r="AD1063" s="14">
        <f>IF($B1063="","",IF(AND($AE1063&lt;&gt;"",$AG1063="",$AJ1063=""),"保留中",IF($AJ1063&lt;&gt;"",IF(N($AC1063)&gt;0,"支給済","不支給"),IF($AC1063="","要確認",IF($AC1063=0,"不支給","未処理")))))</f>
        <v/>
      </c>
      <c r="AE1063" s="12" t="n"/>
      <c r="AF1063" s="11" t="n"/>
      <c r="AG1063" s="11" t="n"/>
      <c r="AH1063" s="11" t="n"/>
      <c r="AI1063" s="14">
        <f>IF(AND($AD1063="保留中",$AF1063&lt;&gt;""),TODAY()-$AF1063,"")</f>
        <v/>
      </c>
      <c r="AJ1063" s="12" t="n"/>
      <c r="AK1063" s="14">
        <f>IF($B1063="","",IF($AO1063="","対象年月が未入力／","")&amp;IF($B1063="","",IF($AN1063="","職員マスタに未登録の職員番号／",IF($Y1063="","標準報酬月額が未登録／","")&amp;IF(AND($AO1063&lt;&gt;"",OR(AND(INDEX(職員マスタ!$G$6:$G$405,$AN1063)&lt;&gt;"",INDEX(職員マスタ!$G$6:$G$405,$AN1063)&gt;EOMONTH($AO1063,0)),AND(INDEX(職員マスタ!$H$6:$H$405,$AN1063)&lt;&gt;"",INDEX(職員マスタ!$H$6:$H$405,$AN1063)&lt;$AO1063))),"対象月が時短期間外／","")&amp;IF(AND(INDEX(職員マスタ!$F$6:$F$405,$AN1063)&lt;&gt;"",$AO1063&lt;&gt;"",INDEX(職員マスタ!$F$6:$F$405,$AN1063)&lt;$AO1063),"対象月に子が2歳到達済／","")&amp;IF(AND($H1063&lt;&gt;"",INDEX(職員マスタ!$B$6:$B$405,$AN1063)&lt;&gt;"",SUBSTITUTE(SUBSTITUTE($H1063," ","")," ","")&lt;&gt;SUBSTITUTE(SUBSTITUTE(INDEX(職員マスタ!$B$6:$B$405,$AN1063)," ","")," ","")),"氏名がマスタと相違／","")&amp;IF(AND($Q1063&lt;&gt;"",INDEX(職員マスタ!$E$6:$E$405,$AN1063)&lt;&gt;"",$Q1063&lt;&gt;INDEX(職員マスタ!$E$6:$E$405,$AN1063)),"子の生年月日がマスタと相違／","")&amp;IF(AND($L1063&lt;&gt;"",INDEX(職員マスタ!$G$6:$G$405,$AN1063)&lt;&gt;"",$L1063&lt;&gt;INDEX(職員マスタ!$G$6:$G$405,$AN1063)),"時短開始日がマスタと相違／","")&amp;IF(AND($M1063&lt;&gt;"",INDEX(職員マスタ!$H$6:$H$405,$AN1063)&lt;&gt;"",$M1063&lt;&gt;INDEX(職員マスタ!$H$6:$H$405,$AN1063)),"時短終了日がマスタと相違／","")))&amp;IF(AND($B1063&lt;&gt;"",$E1063=""),"報酬額が未入力／","")&amp;IF(N($U1063)&gt;0,"申請書に入力エラーが残っています／","")&amp;IF(AND($B1063&lt;&gt;"",$AO1063&lt;&gt;""),IF(COUNTIFS($B$6:$B$3005,$B1063,$C$6:$C$3005,$C1063,$D$6:$D$3005,$D1063)&gt;1,"同じ月の請求が重複しています／",""),"")&amp;IF(AND(N($E1063)&gt;0,$Z1063&lt;&gt;"",$Z1063&lt;&gt;"×",$AC1063=0,$AB1063=""),"計算額が下限以下のため不支給／",""))</f>
        <v/>
      </c>
      <c r="AL1063" s="12" t="n"/>
      <c r="AM1063" s="14">
        <f>IF($AD1063="保留中",COUNTIF($AD$6:$AD1063,"保留中"),"")</f>
        <v/>
      </c>
      <c r="AN1063" s="14">
        <f>IF($AO1063="","",IF(SUMPRODUCT(MAX((職員マスタ!$A$6:$A$405=$B1063)*(((職員マスタ!$G$6:$G$405="")+(職員マスタ!$G$6:$G$405&lt;=EOMONTH($AO1063,0)))&gt;0)*(((職員マスタ!$H$6:$H$405="")+(職員マスタ!$H$6:$H$405&gt;=$AO1063))&gt;0)*(ROW(職員マスタ!$A$6:$A$405)-5)))&gt;0,SUMPRODUCT(MAX((職員マスタ!$A$6:$A$405=$B1063)*(((職員マスタ!$G$6:$G$405="")+(職員マスタ!$G$6:$G$405&lt;=EOMONTH($AO1063,0)))&gt;0)*(((職員マスタ!$H$6:$H$405="")+(職員マスタ!$H$6:$H$405&gt;=$AO1063))&gt;0)*(ROW(職員マスタ!$A$6:$A$405)-5))),IFERROR(MATCH($B1063,職員マスタ!$A$6:$A$405,0),"")))</f>
        <v/>
      </c>
      <c r="AO1063" s="16">
        <f>IF(OR($B1063="",$C1063="",$D1063=""),"",DATE($C1063+2018,$D1063,1))</f>
        <v/>
      </c>
    </row>
    <row r="1064">
      <c r="A1064" s="11" t="n"/>
      <c r="B1064" s="12" t="n"/>
      <c r="C1064" s="12" t="n"/>
      <c r="D1064" s="12" t="n"/>
      <c r="E1064" s="13" t="n"/>
      <c r="F1064" s="12" t="n"/>
      <c r="G1064" s="13" t="n"/>
      <c r="H1064" s="12" t="n"/>
      <c r="I1064" s="12" t="n"/>
      <c r="J1064" s="12" t="n"/>
      <c r="K1064" s="12" t="n"/>
      <c r="L1064" s="11" t="n"/>
      <c r="M1064" s="11" t="n"/>
      <c r="N1064" s="11" t="n"/>
      <c r="O1064" s="11" t="n"/>
      <c r="P1064" s="12" t="n"/>
      <c r="Q1064" s="11" t="n"/>
      <c r="R1064" s="12" t="n"/>
      <c r="S1064" s="11" t="n"/>
      <c r="T1064" s="12" t="n"/>
      <c r="U1064" s="12" t="n"/>
      <c r="V1064" s="14">
        <f>IF($AN1064="",IF($B1064="","",$H1064),IF(INDEX(職員マスタ!$B$6:$B$405,$AN1064)="",$H1064,INDEX(職員マスタ!$B$6:$B$405,$AN1064)))</f>
        <v/>
      </c>
      <c r="W1064" s="14">
        <f>IF($AN1064="",IF($B1064="","",$R1064),IF(INDEX(職員マスタ!$C$6:$C$405,$AN1064)="",$R1064,INDEX(職員マスタ!$C$6:$C$405,$AN1064)))</f>
        <v/>
      </c>
      <c r="X1064" s="14">
        <f>IF($AO1064="","","R"&amp;$C1064&amp;"."&amp;$D1064)</f>
        <v/>
      </c>
      <c r="Y1064" s="15">
        <f>IF($AN1064="","",IF(INDEX(職員マスタ!$K$6:$K$405,$AN1064)="","",INDEX(職員マスタ!$K$6:$K$405,$AN1064)))</f>
        <v/>
      </c>
      <c r="Z1064" s="14">
        <f>IF(OR($E1064="",$Y1064=""),"",IF($E1064&gt;=$Y1064,"×",IF($E1064&gt;=$Y1064*設定!$C$5,"△","○")))</f>
        <v/>
      </c>
      <c r="AA1064" s="15">
        <f>IF($Z1064="","",IF($Z1064="×",0,IF($Z1064="○",ROUNDDOWN($E1064*設定!$C$4,0),ROUNDDOWN($E1064*ROUND((9*$Y1064-9*$E1064)/(10*$E1064),4),0))))</f>
        <v/>
      </c>
      <c r="AB1064" s="13" t="n"/>
      <c r="AC1064" s="15">
        <f>IF($B1064="","",IF($AB1064&lt;&gt;"",$AB1064,IF($AA1064="","",IF($AA1064&lt;=設定!$C$3,0,$AA1064))))</f>
        <v/>
      </c>
      <c r="AD1064" s="14">
        <f>IF($B1064="","",IF(AND($AE1064&lt;&gt;"",$AG1064="",$AJ1064=""),"保留中",IF($AJ1064&lt;&gt;"",IF(N($AC1064)&gt;0,"支給済","不支給"),IF($AC1064="","要確認",IF($AC1064=0,"不支給","未処理")))))</f>
        <v/>
      </c>
      <c r="AE1064" s="12" t="n"/>
      <c r="AF1064" s="11" t="n"/>
      <c r="AG1064" s="11" t="n"/>
      <c r="AH1064" s="11" t="n"/>
      <c r="AI1064" s="14">
        <f>IF(AND($AD1064="保留中",$AF1064&lt;&gt;""),TODAY()-$AF1064,"")</f>
        <v/>
      </c>
      <c r="AJ1064" s="12" t="n"/>
      <c r="AK1064" s="14">
        <f>IF($B1064="","",IF($AO1064="","対象年月が未入力／","")&amp;IF($B1064="","",IF($AN1064="","職員マスタに未登録の職員番号／",IF($Y1064="","標準報酬月額が未登録／","")&amp;IF(AND($AO1064&lt;&gt;"",OR(AND(INDEX(職員マスタ!$G$6:$G$405,$AN1064)&lt;&gt;"",INDEX(職員マスタ!$G$6:$G$405,$AN1064)&gt;EOMONTH($AO1064,0)),AND(INDEX(職員マスタ!$H$6:$H$405,$AN1064)&lt;&gt;"",INDEX(職員マスタ!$H$6:$H$405,$AN1064)&lt;$AO1064))),"対象月が時短期間外／","")&amp;IF(AND(INDEX(職員マスタ!$F$6:$F$405,$AN1064)&lt;&gt;"",$AO1064&lt;&gt;"",INDEX(職員マスタ!$F$6:$F$405,$AN1064)&lt;$AO1064),"対象月に子が2歳到達済／","")&amp;IF(AND($H1064&lt;&gt;"",INDEX(職員マスタ!$B$6:$B$405,$AN1064)&lt;&gt;"",SUBSTITUTE(SUBSTITUTE($H1064," ","")," ","")&lt;&gt;SUBSTITUTE(SUBSTITUTE(INDEX(職員マスタ!$B$6:$B$405,$AN1064)," ","")," ","")),"氏名がマスタと相違／","")&amp;IF(AND($Q1064&lt;&gt;"",INDEX(職員マスタ!$E$6:$E$405,$AN1064)&lt;&gt;"",$Q1064&lt;&gt;INDEX(職員マスタ!$E$6:$E$405,$AN1064)),"子の生年月日がマスタと相違／","")&amp;IF(AND($L1064&lt;&gt;"",INDEX(職員マスタ!$G$6:$G$405,$AN1064)&lt;&gt;"",$L1064&lt;&gt;INDEX(職員マスタ!$G$6:$G$405,$AN1064)),"時短開始日がマスタと相違／","")&amp;IF(AND($M1064&lt;&gt;"",INDEX(職員マスタ!$H$6:$H$405,$AN1064)&lt;&gt;"",$M1064&lt;&gt;INDEX(職員マスタ!$H$6:$H$405,$AN1064)),"時短終了日がマスタと相違／","")))&amp;IF(AND($B1064&lt;&gt;"",$E1064=""),"報酬額が未入力／","")&amp;IF(N($U1064)&gt;0,"申請書に入力エラーが残っています／","")&amp;IF(AND($B1064&lt;&gt;"",$AO1064&lt;&gt;""),IF(COUNTIFS($B$6:$B$3005,$B1064,$C$6:$C$3005,$C1064,$D$6:$D$3005,$D1064)&gt;1,"同じ月の請求が重複しています／",""),"")&amp;IF(AND(N($E1064)&gt;0,$Z1064&lt;&gt;"",$Z1064&lt;&gt;"×",$AC1064=0,$AB1064=""),"計算額が下限以下のため不支給／",""))</f>
        <v/>
      </c>
      <c r="AL1064" s="12" t="n"/>
      <c r="AM1064" s="14">
        <f>IF($AD1064="保留中",COUNTIF($AD$6:$AD1064,"保留中"),"")</f>
        <v/>
      </c>
      <c r="AN1064" s="14">
        <f>IF($AO1064="","",IF(SUMPRODUCT(MAX((職員マスタ!$A$6:$A$405=$B1064)*(((職員マスタ!$G$6:$G$405="")+(職員マスタ!$G$6:$G$405&lt;=EOMONTH($AO1064,0)))&gt;0)*(((職員マスタ!$H$6:$H$405="")+(職員マスタ!$H$6:$H$405&gt;=$AO1064))&gt;0)*(ROW(職員マスタ!$A$6:$A$405)-5)))&gt;0,SUMPRODUCT(MAX((職員マスタ!$A$6:$A$405=$B1064)*(((職員マスタ!$G$6:$G$405="")+(職員マスタ!$G$6:$G$405&lt;=EOMONTH($AO1064,0)))&gt;0)*(((職員マスタ!$H$6:$H$405="")+(職員マスタ!$H$6:$H$405&gt;=$AO1064))&gt;0)*(ROW(職員マスタ!$A$6:$A$405)-5))),IFERROR(MATCH($B1064,職員マスタ!$A$6:$A$405,0),"")))</f>
        <v/>
      </c>
      <c r="AO1064" s="16">
        <f>IF(OR($B1064="",$C1064="",$D1064=""),"",DATE($C1064+2018,$D1064,1))</f>
        <v/>
      </c>
    </row>
    <row r="1065">
      <c r="A1065" s="11" t="n"/>
      <c r="B1065" s="12" t="n"/>
      <c r="C1065" s="12" t="n"/>
      <c r="D1065" s="12" t="n"/>
      <c r="E1065" s="13" t="n"/>
      <c r="F1065" s="12" t="n"/>
      <c r="G1065" s="13" t="n"/>
      <c r="H1065" s="12" t="n"/>
      <c r="I1065" s="12" t="n"/>
      <c r="J1065" s="12" t="n"/>
      <c r="K1065" s="12" t="n"/>
      <c r="L1065" s="11" t="n"/>
      <c r="M1065" s="11" t="n"/>
      <c r="N1065" s="11" t="n"/>
      <c r="O1065" s="11" t="n"/>
      <c r="P1065" s="12" t="n"/>
      <c r="Q1065" s="11" t="n"/>
      <c r="R1065" s="12" t="n"/>
      <c r="S1065" s="11" t="n"/>
      <c r="T1065" s="12" t="n"/>
      <c r="U1065" s="12" t="n"/>
      <c r="V1065" s="14">
        <f>IF($AN1065="",IF($B1065="","",$H1065),IF(INDEX(職員マスタ!$B$6:$B$405,$AN1065)="",$H1065,INDEX(職員マスタ!$B$6:$B$405,$AN1065)))</f>
        <v/>
      </c>
      <c r="W1065" s="14">
        <f>IF($AN1065="",IF($B1065="","",$R1065),IF(INDEX(職員マスタ!$C$6:$C$405,$AN1065)="",$R1065,INDEX(職員マスタ!$C$6:$C$405,$AN1065)))</f>
        <v/>
      </c>
      <c r="X1065" s="14">
        <f>IF($AO1065="","","R"&amp;$C1065&amp;"."&amp;$D1065)</f>
        <v/>
      </c>
      <c r="Y1065" s="15">
        <f>IF($AN1065="","",IF(INDEX(職員マスタ!$K$6:$K$405,$AN1065)="","",INDEX(職員マスタ!$K$6:$K$405,$AN1065)))</f>
        <v/>
      </c>
      <c r="Z1065" s="14">
        <f>IF(OR($E1065="",$Y1065=""),"",IF($E1065&gt;=$Y1065,"×",IF($E1065&gt;=$Y1065*設定!$C$5,"△","○")))</f>
        <v/>
      </c>
      <c r="AA1065" s="15">
        <f>IF($Z1065="","",IF($Z1065="×",0,IF($Z1065="○",ROUNDDOWN($E1065*設定!$C$4,0),ROUNDDOWN($E1065*ROUND((9*$Y1065-9*$E1065)/(10*$E1065),4),0))))</f>
        <v/>
      </c>
      <c r="AB1065" s="13" t="n"/>
      <c r="AC1065" s="15">
        <f>IF($B1065="","",IF($AB1065&lt;&gt;"",$AB1065,IF($AA1065="","",IF($AA1065&lt;=設定!$C$3,0,$AA1065))))</f>
        <v/>
      </c>
      <c r="AD1065" s="14">
        <f>IF($B1065="","",IF(AND($AE1065&lt;&gt;"",$AG1065="",$AJ1065=""),"保留中",IF($AJ1065&lt;&gt;"",IF(N($AC1065)&gt;0,"支給済","不支給"),IF($AC1065="","要確認",IF($AC1065=0,"不支給","未処理")))))</f>
        <v/>
      </c>
      <c r="AE1065" s="12" t="n"/>
      <c r="AF1065" s="11" t="n"/>
      <c r="AG1065" s="11" t="n"/>
      <c r="AH1065" s="11" t="n"/>
      <c r="AI1065" s="14">
        <f>IF(AND($AD1065="保留中",$AF1065&lt;&gt;""),TODAY()-$AF1065,"")</f>
        <v/>
      </c>
      <c r="AJ1065" s="12" t="n"/>
      <c r="AK1065" s="14">
        <f>IF($B1065="","",IF($AO1065="","対象年月が未入力／","")&amp;IF($B1065="","",IF($AN1065="","職員マスタに未登録の職員番号／",IF($Y1065="","標準報酬月額が未登録／","")&amp;IF(AND($AO1065&lt;&gt;"",OR(AND(INDEX(職員マスタ!$G$6:$G$405,$AN1065)&lt;&gt;"",INDEX(職員マスタ!$G$6:$G$405,$AN1065)&gt;EOMONTH($AO1065,0)),AND(INDEX(職員マスタ!$H$6:$H$405,$AN1065)&lt;&gt;"",INDEX(職員マスタ!$H$6:$H$405,$AN1065)&lt;$AO1065))),"対象月が時短期間外／","")&amp;IF(AND(INDEX(職員マスタ!$F$6:$F$405,$AN1065)&lt;&gt;"",$AO1065&lt;&gt;"",INDEX(職員マスタ!$F$6:$F$405,$AN1065)&lt;$AO1065),"対象月に子が2歳到達済／","")&amp;IF(AND($H1065&lt;&gt;"",INDEX(職員マスタ!$B$6:$B$405,$AN1065)&lt;&gt;"",SUBSTITUTE(SUBSTITUTE($H1065," ","")," ","")&lt;&gt;SUBSTITUTE(SUBSTITUTE(INDEX(職員マスタ!$B$6:$B$405,$AN1065)," ","")," ","")),"氏名がマスタと相違／","")&amp;IF(AND($Q1065&lt;&gt;"",INDEX(職員マスタ!$E$6:$E$405,$AN1065)&lt;&gt;"",$Q1065&lt;&gt;INDEX(職員マスタ!$E$6:$E$405,$AN1065)),"子の生年月日がマスタと相違／","")&amp;IF(AND($L1065&lt;&gt;"",INDEX(職員マスタ!$G$6:$G$405,$AN1065)&lt;&gt;"",$L1065&lt;&gt;INDEX(職員マスタ!$G$6:$G$405,$AN1065)),"時短開始日がマスタと相違／","")&amp;IF(AND($M1065&lt;&gt;"",INDEX(職員マスタ!$H$6:$H$405,$AN1065)&lt;&gt;"",$M1065&lt;&gt;INDEX(職員マスタ!$H$6:$H$405,$AN1065)),"時短終了日がマスタと相違／","")))&amp;IF(AND($B1065&lt;&gt;"",$E1065=""),"報酬額が未入力／","")&amp;IF(N($U1065)&gt;0,"申請書に入力エラーが残っています／","")&amp;IF(AND($B1065&lt;&gt;"",$AO1065&lt;&gt;""),IF(COUNTIFS($B$6:$B$3005,$B1065,$C$6:$C$3005,$C1065,$D$6:$D$3005,$D1065)&gt;1,"同じ月の請求が重複しています／",""),"")&amp;IF(AND(N($E1065)&gt;0,$Z1065&lt;&gt;"",$Z1065&lt;&gt;"×",$AC1065=0,$AB1065=""),"計算額が下限以下のため不支給／",""))</f>
        <v/>
      </c>
      <c r="AL1065" s="12" t="n"/>
      <c r="AM1065" s="14">
        <f>IF($AD1065="保留中",COUNTIF($AD$6:$AD1065,"保留中"),"")</f>
        <v/>
      </c>
      <c r="AN1065" s="14">
        <f>IF($AO1065="","",IF(SUMPRODUCT(MAX((職員マスタ!$A$6:$A$405=$B1065)*(((職員マスタ!$G$6:$G$405="")+(職員マスタ!$G$6:$G$405&lt;=EOMONTH($AO1065,0)))&gt;0)*(((職員マスタ!$H$6:$H$405="")+(職員マスタ!$H$6:$H$405&gt;=$AO1065))&gt;0)*(ROW(職員マスタ!$A$6:$A$405)-5)))&gt;0,SUMPRODUCT(MAX((職員マスタ!$A$6:$A$405=$B1065)*(((職員マスタ!$G$6:$G$405="")+(職員マスタ!$G$6:$G$405&lt;=EOMONTH($AO1065,0)))&gt;0)*(((職員マスタ!$H$6:$H$405="")+(職員マスタ!$H$6:$H$405&gt;=$AO1065))&gt;0)*(ROW(職員マスタ!$A$6:$A$405)-5))),IFERROR(MATCH($B1065,職員マスタ!$A$6:$A$405,0),"")))</f>
        <v/>
      </c>
      <c r="AO1065" s="16">
        <f>IF(OR($B1065="",$C1065="",$D1065=""),"",DATE($C1065+2018,$D1065,1))</f>
        <v/>
      </c>
    </row>
    <row r="1066">
      <c r="A1066" s="11" t="n"/>
      <c r="B1066" s="12" t="n"/>
      <c r="C1066" s="12" t="n"/>
      <c r="D1066" s="12" t="n"/>
      <c r="E1066" s="13" t="n"/>
      <c r="F1066" s="12" t="n"/>
      <c r="G1066" s="13" t="n"/>
      <c r="H1066" s="12" t="n"/>
      <c r="I1066" s="12" t="n"/>
      <c r="J1066" s="12" t="n"/>
      <c r="K1066" s="12" t="n"/>
      <c r="L1066" s="11" t="n"/>
      <c r="M1066" s="11" t="n"/>
      <c r="N1066" s="11" t="n"/>
      <c r="O1066" s="11" t="n"/>
      <c r="P1066" s="12" t="n"/>
      <c r="Q1066" s="11" t="n"/>
      <c r="R1066" s="12" t="n"/>
      <c r="S1066" s="11" t="n"/>
      <c r="T1066" s="12" t="n"/>
      <c r="U1066" s="12" t="n"/>
      <c r="V1066" s="14">
        <f>IF($AN1066="",IF($B1066="","",$H1066),IF(INDEX(職員マスタ!$B$6:$B$405,$AN1066)="",$H1066,INDEX(職員マスタ!$B$6:$B$405,$AN1066)))</f>
        <v/>
      </c>
      <c r="W1066" s="14">
        <f>IF($AN1066="",IF($B1066="","",$R1066),IF(INDEX(職員マスタ!$C$6:$C$405,$AN1066)="",$R1066,INDEX(職員マスタ!$C$6:$C$405,$AN1066)))</f>
        <v/>
      </c>
      <c r="X1066" s="14">
        <f>IF($AO1066="","","R"&amp;$C1066&amp;"."&amp;$D1066)</f>
        <v/>
      </c>
      <c r="Y1066" s="15">
        <f>IF($AN1066="","",IF(INDEX(職員マスタ!$K$6:$K$405,$AN1066)="","",INDEX(職員マスタ!$K$6:$K$405,$AN1066)))</f>
        <v/>
      </c>
      <c r="Z1066" s="14">
        <f>IF(OR($E1066="",$Y1066=""),"",IF($E1066&gt;=$Y1066,"×",IF($E1066&gt;=$Y1066*設定!$C$5,"△","○")))</f>
        <v/>
      </c>
      <c r="AA1066" s="15">
        <f>IF($Z1066="","",IF($Z1066="×",0,IF($Z1066="○",ROUNDDOWN($E1066*設定!$C$4,0),ROUNDDOWN($E1066*ROUND((9*$Y1066-9*$E1066)/(10*$E1066),4),0))))</f>
        <v/>
      </c>
      <c r="AB1066" s="13" t="n"/>
      <c r="AC1066" s="15">
        <f>IF($B1066="","",IF($AB1066&lt;&gt;"",$AB1066,IF($AA1066="","",IF($AA1066&lt;=設定!$C$3,0,$AA1066))))</f>
        <v/>
      </c>
      <c r="AD1066" s="14">
        <f>IF($B1066="","",IF(AND($AE1066&lt;&gt;"",$AG1066="",$AJ1066=""),"保留中",IF($AJ1066&lt;&gt;"",IF(N($AC1066)&gt;0,"支給済","不支給"),IF($AC1066="","要確認",IF($AC1066=0,"不支給","未処理")))))</f>
        <v/>
      </c>
      <c r="AE1066" s="12" t="n"/>
      <c r="AF1066" s="11" t="n"/>
      <c r="AG1066" s="11" t="n"/>
      <c r="AH1066" s="11" t="n"/>
      <c r="AI1066" s="14">
        <f>IF(AND($AD1066="保留中",$AF1066&lt;&gt;""),TODAY()-$AF1066,"")</f>
        <v/>
      </c>
      <c r="AJ1066" s="12" t="n"/>
      <c r="AK1066" s="14">
        <f>IF($B1066="","",IF($AO1066="","対象年月が未入力／","")&amp;IF($B1066="","",IF($AN1066="","職員マスタに未登録の職員番号／",IF($Y1066="","標準報酬月額が未登録／","")&amp;IF(AND($AO1066&lt;&gt;"",OR(AND(INDEX(職員マスタ!$G$6:$G$405,$AN1066)&lt;&gt;"",INDEX(職員マスタ!$G$6:$G$405,$AN1066)&gt;EOMONTH($AO1066,0)),AND(INDEX(職員マスタ!$H$6:$H$405,$AN1066)&lt;&gt;"",INDEX(職員マスタ!$H$6:$H$405,$AN1066)&lt;$AO1066))),"対象月が時短期間外／","")&amp;IF(AND(INDEX(職員マスタ!$F$6:$F$405,$AN1066)&lt;&gt;"",$AO1066&lt;&gt;"",INDEX(職員マスタ!$F$6:$F$405,$AN1066)&lt;$AO1066),"対象月に子が2歳到達済／","")&amp;IF(AND($H1066&lt;&gt;"",INDEX(職員マスタ!$B$6:$B$405,$AN1066)&lt;&gt;"",SUBSTITUTE(SUBSTITUTE($H1066," ","")," ","")&lt;&gt;SUBSTITUTE(SUBSTITUTE(INDEX(職員マスタ!$B$6:$B$405,$AN1066)," ","")," ","")),"氏名がマスタと相違／","")&amp;IF(AND($Q1066&lt;&gt;"",INDEX(職員マスタ!$E$6:$E$405,$AN1066)&lt;&gt;"",$Q1066&lt;&gt;INDEX(職員マスタ!$E$6:$E$405,$AN1066)),"子の生年月日がマスタと相違／","")&amp;IF(AND($L1066&lt;&gt;"",INDEX(職員マスタ!$G$6:$G$405,$AN1066)&lt;&gt;"",$L1066&lt;&gt;INDEX(職員マスタ!$G$6:$G$405,$AN1066)),"時短開始日がマスタと相違／","")&amp;IF(AND($M1066&lt;&gt;"",INDEX(職員マスタ!$H$6:$H$405,$AN1066)&lt;&gt;"",$M1066&lt;&gt;INDEX(職員マスタ!$H$6:$H$405,$AN1066)),"時短終了日がマスタと相違／","")))&amp;IF(AND($B1066&lt;&gt;"",$E1066=""),"報酬額が未入力／","")&amp;IF(N($U1066)&gt;0,"申請書に入力エラーが残っています／","")&amp;IF(AND($B1066&lt;&gt;"",$AO1066&lt;&gt;""),IF(COUNTIFS($B$6:$B$3005,$B1066,$C$6:$C$3005,$C1066,$D$6:$D$3005,$D1066)&gt;1,"同じ月の請求が重複しています／",""),"")&amp;IF(AND(N($E1066)&gt;0,$Z1066&lt;&gt;"",$Z1066&lt;&gt;"×",$AC1066=0,$AB1066=""),"計算額が下限以下のため不支給／",""))</f>
        <v/>
      </c>
      <c r="AL1066" s="12" t="n"/>
      <c r="AM1066" s="14">
        <f>IF($AD1066="保留中",COUNTIF($AD$6:$AD1066,"保留中"),"")</f>
        <v/>
      </c>
      <c r="AN1066" s="14">
        <f>IF($AO1066="","",IF(SUMPRODUCT(MAX((職員マスタ!$A$6:$A$405=$B1066)*(((職員マスタ!$G$6:$G$405="")+(職員マスタ!$G$6:$G$405&lt;=EOMONTH($AO1066,0)))&gt;0)*(((職員マスタ!$H$6:$H$405="")+(職員マスタ!$H$6:$H$405&gt;=$AO1066))&gt;0)*(ROW(職員マスタ!$A$6:$A$405)-5)))&gt;0,SUMPRODUCT(MAX((職員マスタ!$A$6:$A$405=$B1066)*(((職員マスタ!$G$6:$G$405="")+(職員マスタ!$G$6:$G$405&lt;=EOMONTH($AO1066,0)))&gt;0)*(((職員マスタ!$H$6:$H$405="")+(職員マスタ!$H$6:$H$405&gt;=$AO1066))&gt;0)*(ROW(職員マスタ!$A$6:$A$405)-5))),IFERROR(MATCH($B1066,職員マスタ!$A$6:$A$405,0),"")))</f>
        <v/>
      </c>
      <c r="AO1066" s="16">
        <f>IF(OR($B1066="",$C1066="",$D1066=""),"",DATE($C1066+2018,$D1066,1))</f>
        <v/>
      </c>
    </row>
    <row r="1067">
      <c r="A1067" s="11" t="n"/>
      <c r="B1067" s="12" t="n"/>
      <c r="C1067" s="12" t="n"/>
      <c r="D1067" s="12" t="n"/>
      <c r="E1067" s="13" t="n"/>
      <c r="F1067" s="12" t="n"/>
      <c r="G1067" s="13" t="n"/>
      <c r="H1067" s="12" t="n"/>
      <c r="I1067" s="12" t="n"/>
      <c r="J1067" s="12" t="n"/>
      <c r="K1067" s="12" t="n"/>
      <c r="L1067" s="11" t="n"/>
      <c r="M1067" s="11" t="n"/>
      <c r="N1067" s="11" t="n"/>
      <c r="O1067" s="11" t="n"/>
      <c r="P1067" s="12" t="n"/>
      <c r="Q1067" s="11" t="n"/>
      <c r="R1067" s="12" t="n"/>
      <c r="S1067" s="11" t="n"/>
      <c r="T1067" s="12" t="n"/>
      <c r="U1067" s="12" t="n"/>
      <c r="V1067" s="14">
        <f>IF($AN1067="",IF($B1067="","",$H1067),IF(INDEX(職員マスタ!$B$6:$B$405,$AN1067)="",$H1067,INDEX(職員マスタ!$B$6:$B$405,$AN1067)))</f>
        <v/>
      </c>
      <c r="W1067" s="14">
        <f>IF($AN1067="",IF($B1067="","",$R1067),IF(INDEX(職員マスタ!$C$6:$C$405,$AN1067)="",$R1067,INDEX(職員マスタ!$C$6:$C$405,$AN1067)))</f>
        <v/>
      </c>
      <c r="X1067" s="14">
        <f>IF($AO1067="","","R"&amp;$C1067&amp;"."&amp;$D1067)</f>
        <v/>
      </c>
      <c r="Y1067" s="15">
        <f>IF($AN1067="","",IF(INDEX(職員マスタ!$K$6:$K$405,$AN1067)="","",INDEX(職員マスタ!$K$6:$K$405,$AN1067)))</f>
        <v/>
      </c>
      <c r="Z1067" s="14">
        <f>IF(OR($E1067="",$Y1067=""),"",IF($E1067&gt;=$Y1067,"×",IF($E1067&gt;=$Y1067*設定!$C$5,"△","○")))</f>
        <v/>
      </c>
      <c r="AA1067" s="15">
        <f>IF($Z1067="","",IF($Z1067="×",0,IF($Z1067="○",ROUNDDOWN($E1067*設定!$C$4,0),ROUNDDOWN($E1067*ROUND((9*$Y1067-9*$E1067)/(10*$E1067),4),0))))</f>
        <v/>
      </c>
      <c r="AB1067" s="13" t="n"/>
      <c r="AC1067" s="15">
        <f>IF($B1067="","",IF($AB1067&lt;&gt;"",$AB1067,IF($AA1067="","",IF($AA1067&lt;=設定!$C$3,0,$AA1067))))</f>
        <v/>
      </c>
      <c r="AD1067" s="14">
        <f>IF($B1067="","",IF(AND($AE1067&lt;&gt;"",$AG1067="",$AJ1067=""),"保留中",IF($AJ1067&lt;&gt;"",IF(N($AC1067)&gt;0,"支給済","不支給"),IF($AC1067="","要確認",IF($AC1067=0,"不支給","未処理")))))</f>
        <v/>
      </c>
      <c r="AE1067" s="12" t="n"/>
      <c r="AF1067" s="11" t="n"/>
      <c r="AG1067" s="11" t="n"/>
      <c r="AH1067" s="11" t="n"/>
      <c r="AI1067" s="14">
        <f>IF(AND($AD1067="保留中",$AF1067&lt;&gt;""),TODAY()-$AF1067,"")</f>
        <v/>
      </c>
      <c r="AJ1067" s="12" t="n"/>
      <c r="AK1067" s="14">
        <f>IF($B1067="","",IF($AO1067="","対象年月が未入力／","")&amp;IF($B1067="","",IF($AN1067="","職員マスタに未登録の職員番号／",IF($Y1067="","標準報酬月額が未登録／","")&amp;IF(AND($AO1067&lt;&gt;"",OR(AND(INDEX(職員マスタ!$G$6:$G$405,$AN1067)&lt;&gt;"",INDEX(職員マスタ!$G$6:$G$405,$AN1067)&gt;EOMONTH($AO1067,0)),AND(INDEX(職員マスタ!$H$6:$H$405,$AN1067)&lt;&gt;"",INDEX(職員マスタ!$H$6:$H$405,$AN1067)&lt;$AO1067))),"対象月が時短期間外／","")&amp;IF(AND(INDEX(職員マスタ!$F$6:$F$405,$AN1067)&lt;&gt;"",$AO1067&lt;&gt;"",INDEX(職員マスタ!$F$6:$F$405,$AN1067)&lt;$AO1067),"対象月に子が2歳到達済／","")&amp;IF(AND($H1067&lt;&gt;"",INDEX(職員マスタ!$B$6:$B$405,$AN1067)&lt;&gt;"",SUBSTITUTE(SUBSTITUTE($H1067," ","")," ","")&lt;&gt;SUBSTITUTE(SUBSTITUTE(INDEX(職員マスタ!$B$6:$B$405,$AN1067)," ","")," ","")),"氏名がマスタと相違／","")&amp;IF(AND($Q1067&lt;&gt;"",INDEX(職員マスタ!$E$6:$E$405,$AN1067)&lt;&gt;"",$Q1067&lt;&gt;INDEX(職員マスタ!$E$6:$E$405,$AN1067)),"子の生年月日がマスタと相違／","")&amp;IF(AND($L1067&lt;&gt;"",INDEX(職員マスタ!$G$6:$G$405,$AN1067)&lt;&gt;"",$L1067&lt;&gt;INDEX(職員マスタ!$G$6:$G$405,$AN1067)),"時短開始日がマスタと相違／","")&amp;IF(AND($M1067&lt;&gt;"",INDEX(職員マスタ!$H$6:$H$405,$AN1067)&lt;&gt;"",$M1067&lt;&gt;INDEX(職員マスタ!$H$6:$H$405,$AN1067)),"時短終了日がマスタと相違／","")))&amp;IF(AND($B1067&lt;&gt;"",$E1067=""),"報酬額が未入力／","")&amp;IF(N($U1067)&gt;0,"申請書に入力エラーが残っています／","")&amp;IF(AND($B1067&lt;&gt;"",$AO1067&lt;&gt;""),IF(COUNTIFS($B$6:$B$3005,$B1067,$C$6:$C$3005,$C1067,$D$6:$D$3005,$D1067)&gt;1,"同じ月の請求が重複しています／",""),"")&amp;IF(AND(N($E1067)&gt;0,$Z1067&lt;&gt;"",$Z1067&lt;&gt;"×",$AC1067=0,$AB1067=""),"計算額が下限以下のため不支給／",""))</f>
        <v/>
      </c>
      <c r="AL1067" s="12" t="n"/>
      <c r="AM1067" s="14">
        <f>IF($AD1067="保留中",COUNTIF($AD$6:$AD1067,"保留中"),"")</f>
        <v/>
      </c>
      <c r="AN1067" s="14">
        <f>IF($AO1067="","",IF(SUMPRODUCT(MAX((職員マスタ!$A$6:$A$405=$B1067)*(((職員マスタ!$G$6:$G$405="")+(職員マスタ!$G$6:$G$405&lt;=EOMONTH($AO1067,0)))&gt;0)*(((職員マスタ!$H$6:$H$405="")+(職員マスタ!$H$6:$H$405&gt;=$AO1067))&gt;0)*(ROW(職員マスタ!$A$6:$A$405)-5)))&gt;0,SUMPRODUCT(MAX((職員マスタ!$A$6:$A$405=$B1067)*(((職員マスタ!$G$6:$G$405="")+(職員マスタ!$G$6:$G$405&lt;=EOMONTH($AO1067,0)))&gt;0)*(((職員マスタ!$H$6:$H$405="")+(職員マスタ!$H$6:$H$405&gt;=$AO1067))&gt;0)*(ROW(職員マスタ!$A$6:$A$405)-5))),IFERROR(MATCH($B1067,職員マスタ!$A$6:$A$405,0),"")))</f>
        <v/>
      </c>
      <c r="AO1067" s="16">
        <f>IF(OR($B1067="",$C1067="",$D1067=""),"",DATE($C1067+2018,$D1067,1))</f>
        <v/>
      </c>
    </row>
    <row r="1068">
      <c r="A1068" s="11" t="n"/>
      <c r="B1068" s="12" t="n"/>
      <c r="C1068" s="12" t="n"/>
      <c r="D1068" s="12" t="n"/>
      <c r="E1068" s="13" t="n"/>
      <c r="F1068" s="12" t="n"/>
      <c r="G1068" s="13" t="n"/>
      <c r="H1068" s="12" t="n"/>
      <c r="I1068" s="12" t="n"/>
      <c r="J1068" s="12" t="n"/>
      <c r="K1068" s="12" t="n"/>
      <c r="L1068" s="11" t="n"/>
      <c r="M1068" s="11" t="n"/>
      <c r="N1068" s="11" t="n"/>
      <c r="O1068" s="11" t="n"/>
      <c r="P1068" s="12" t="n"/>
      <c r="Q1068" s="11" t="n"/>
      <c r="R1068" s="12" t="n"/>
      <c r="S1068" s="11" t="n"/>
      <c r="T1068" s="12" t="n"/>
      <c r="U1068" s="12" t="n"/>
      <c r="V1068" s="14">
        <f>IF($AN1068="",IF($B1068="","",$H1068),IF(INDEX(職員マスタ!$B$6:$B$405,$AN1068)="",$H1068,INDEX(職員マスタ!$B$6:$B$405,$AN1068)))</f>
        <v/>
      </c>
      <c r="W1068" s="14">
        <f>IF($AN1068="",IF($B1068="","",$R1068),IF(INDEX(職員マスタ!$C$6:$C$405,$AN1068)="",$R1068,INDEX(職員マスタ!$C$6:$C$405,$AN1068)))</f>
        <v/>
      </c>
      <c r="X1068" s="14">
        <f>IF($AO1068="","","R"&amp;$C1068&amp;"."&amp;$D1068)</f>
        <v/>
      </c>
      <c r="Y1068" s="15">
        <f>IF($AN1068="","",IF(INDEX(職員マスタ!$K$6:$K$405,$AN1068)="","",INDEX(職員マスタ!$K$6:$K$405,$AN1068)))</f>
        <v/>
      </c>
      <c r="Z1068" s="14">
        <f>IF(OR($E1068="",$Y1068=""),"",IF($E1068&gt;=$Y1068,"×",IF($E1068&gt;=$Y1068*設定!$C$5,"△","○")))</f>
        <v/>
      </c>
      <c r="AA1068" s="15">
        <f>IF($Z1068="","",IF($Z1068="×",0,IF($Z1068="○",ROUNDDOWN($E1068*設定!$C$4,0),ROUNDDOWN($E1068*ROUND((9*$Y1068-9*$E1068)/(10*$E1068),4),0))))</f>
        <v/>
      </c>
      <c r="AB1068" s="13" t="n"/>
      <c r="AC1068" s="15">
        <f>IF($B1068="","",IF($AB1068&lt;&gt;"",$AB1068,IF($AA1068="","",IF($AA1068&lt;=設定!$C$3,0,$AA1068))))</f>
        <v/>
      </c>
      <c r="AD1068" s="14">
        <f>IF($B1068="","",IF(AND($AE1068&lt;&gt;"",$AG1068="",$AJ1068=""),"保留中",IF($AJ1068&lt;&gt;"",IF(N($AC1068)&gt;0,"支給済","不支給"),IF($AC1068="","要確認",IF($AC1068=0,"不支給","未処理")))))</f>
        <v/>
      </c>
      <c r="AE1068" s="12" t="n"/>
      <c r="AF1068" s="11" t="n"/>
      <c r="AG1068" s="11" t="n"/>
      <c r="AH1068" s="11" t="n"/>
      <c r="AI1068" s="14">
        <f>IF(AND($AD1068="保留中",$AF1068&lt;&gt;""),TODAY()-$AF1068,"")</f>
        <v/>
      </c>
      <c r="AJ1068" s="12" t="n"/>
      <c r="AK1068" s="14">
        <f>IF($B1068="","",IF($AO1068="","対象年月が未入力／","")&amp;IF($B1068="","",IF($AN1068="","職員マスタに未登録の職員番号／",IF($Y1068="","標準報酬月額が未登録／","")&amp;IF(AND($AO1068&lt;&gt;"",OR(AND(INDEX(職員マスタ!$G$6:$G$405,$AN1068)&lt;&gt;"",INDEX(職員マスタ!$G$6:$G$405,$AN1068)&gt;EOMONTH($AO1068,0)),AND(INDEX(職員マスタ!$H$6:$H$405,$AN1068)&lt;&gt;"",INDEX(職員マスタ!$H$6:$H$405,$AN1068)&lt;$AO1068))),"対象月が時短期間外／","")&amp;IF(AND(INDEX(職員マスタ!$F$6:$F$405,$AN1068)&lt;&gt;"",$AO1068&lt;&gt;"",INDEX(職員マスタ!$F$6:$F$405,$AN1068)&lt;$AO1068),"対象月に子が2歳到達済／","")&amp;IF(AND($H1068&lt;&gt;"",INDEX(職員マスタ!$B$6:$B$405,$AN1068)&lt;&gt;"",SUBSTITUTE(SUBSTITUTE($H1068," ","")," ","")&lt;&gt;SUBSTITUTE(SUBSTITUTE(INDEX(職員マスタ!$B$6:$B$405,$AN1068)," ","")," ","")),"氏名がマスタと相違／","")&amp;IF(AND($Q1068&lt;&gt;"",INDEX(職員マスタ!$E$6:$E$405,$AN1068)&lt;&gt;"",$Q1068&lt;&gt;INDEX(職員マスタ!$E$6:$E$405,$AN1068)),"子の生年月日がマスタと相違／","")&amp;IF(AND($L1068&lt;&gt;"",INDEX(職員マスタ!$G$6:$G$405,$AN1068)&lt;&gt;"",$L1068&lt;&gt;INDEX(職員マスタ!$G$6:$G$405,$AN1068)),"時短開始日がマスタと相違／","")&amp;IF(AND($M1068&lt;&gt;"",INDEX(職員マスタ!$H$6:$H$405,$AN1068)&lt;&gt;"",$M1068&lt;&gt;INDEX(職員マスタ!$H$6:$H$405,$AN1068)),"時短終了日がマスタと相違／","")))&amp;IF(AND($B1068&lt;&gt;"",$E1068=""),"報酬額が未入力／","")&amp;IF(N($U1068)&gt;0,"申請書に入力エラーが残っています／","")&amp;IF(AND($B1068&lt;&gt;"",$AO1068&lt;&gt;""),IF(COUNTIFS($B$6:$B$3005,$B1068,$C$6:$C$3005,$C1068,$D$6:$D$3005,$D1068)&gt;1,"同じ月の請求が重複しています／",""),"")&amp;IF(AND(N($E1068)&gt;0,$Z1068&lt;&gt;"",$Z1068&lt;&gt;"×",$AC1068=0,$AB1068=""),"計算額が下限以下のため不支給／",""))</f>
        <v/>
      </c>
      <c r="AL1068" s="12" t="n"/>
      <c r="AM1068" s="14">
        <f>IF($AD1068="保留中",COUNTIF($AD$6:$AD1068,"保留中"),"")</f>
        <v/>
      </c>
      <c r="AN1068" s="14">
        <f>IF($AO1068="","",IF(SUMPRODUCT(MAX((職員マスタ!$A$6:$A$405=$B1068)*(((職員マスタ!$G$6:$G$405="")+(職員マスタ!$G$6:$G$405&lt;=EOMONTH($AO1068,0)))&gt;0)*(((職員マスタ!$H$6:$H$405="")+(職員マスタ!$H$6:$H$405&gt;=$AO1068))&gt;0)*(ROW(職員マスタ!$A$6:$A$405)-5)))&gt;0,SUMPRODUCT(MAX((職員マスタ!$A$6:$A$405=$B1068)*(((職員マスタ!$G$6:$G$405="")+(職員マスタ!$G$6:$G$405&lt;=EOMONTH($AO1068,0)))&gt;0)*(((職員マスタ!$H$6:$H$405="")+(職員マスタ!$H$6:$H$405&gt;=$AO1068))&gt;0)*(ROW(職員マスタ!$A$6:$A$405)-5))),IFERROR(MATCH($B1068,職員マスタ!$A$6:$A$405,0),"")))</f>
        <v/>
      </c>
      <c r="AO1068" s="16">
        <f>IF(OR($B1068="",$C1068="",$D1068=""),"",DATE($C1068+2018,$D1068,1))</f>
        <v/>
      </c>
    </row>
    <row r="1069">
      <c r="A1069" s="11" t="n"/>
      <c r="B1069" s="12" t="n"/>
      <c r="C1069" s="12" t="n"/>
      <c r="D1069" s="12" t="n"/>
      <c r="E1069" s="13" t="n"/>
      <c r="F1069" s="12" t="n"/>
      <c r="G1069" s="13" t="n"/>
      <c r="H1069" s="12" t="n"/>
      <c r="I1069" s="12" t="n"/>
      <c r="J1069" s="12" t="n"/>
      <c r="K1069" s="12" t="n"/>
      <c r="L1069" s="11" t="n"/>
      <c r="M1069" s="11" t="n"/>
      <c r="N1069" s="11" t="n"/>
      <c r="O1069" s="11" t="n"/>
      <c r="P1069" s="12" t="n"/>
      <c r="Q1069" s="11" t="n"/>
      <c r="R1069" s="12" t="n"/>
      <c r="S1069" s="11" t="n"/>
      <c r="T1069" s="12" t="n"/>
      <c r="U1069" s="12" t="n"/>
      <c r="V1069" s="14">
        <f>IF($AN1069="",IF($B1069="","",$H1069),IF(INDEX(職員マスタ!$B$6:$B$405,$AN1069)="",$H1069,INDEX(職員マスタ!$B$6:$B$405,$AN1069)))</f>
        <v/>
      </c>
      <c r="W1069" s="14">
        <f>IF($AN1069="",IF($B1069="","",$R1069),IF(INDEX(職員マスタ!$C$6:$C$405,$AN1069)="",$R1069,INDEX(職員マスタ!$C$6:$C$405,$AN1069)))</f>
        <v/>
      </c>
      <c r="X1069" s="14">
        <f>IF($AO1069="","","R"&amp;$C1069&amp;"."&amp;$D1069)</f>
        <v/>
      </c>
      <c r="Y1069" s="15">
        <f>IF($AN1069="","",IF(INDEX(職員マスタ!$K$6:$K$405,$AN1069)="","",INDEX(職員マスタ!$K$6:$K$405,$AN1069)))</f>
        <v/>
      </c>
      <c r="Z1069" s="14">
        <f>IF(OR($E1069="",$Y1069=""),"",IF($E1069&gt;=$Y1069,"×",IF($E1069&gt;=$Y1069*設定!$C$5,"△","○")))</f>
        <v/>
      </c>
      <c r="AA1069" s="15">
        <f>IF($Z1069="","",IF($Z1069="×",0,IF($Z1069="○",ROUNDDOWN($E1069*設定!$C$4,0),ROUNDDOWN($E1069*ROUND((9*$Y1069-9*$E1069)/(10*$E1069),4),0))))</f>
        <v/>
      </c>
      <c r="AB1069" s="13" t="n"/>
      <c r="AC1069" s="15">
        <f>IF($B1069="","",IF($AB1069&lt;&gt;"",$AB1069,IF($AA1069="","",IF($AA1069&lt;=設定!$C$3,0,$AA1069))))</f>
        <v/>
      </c>
      <c r="AD1069" s="14">
        <f>IF($B1069="","",IF(AND($AE1069&lt;&gt;"",$AG1069="",$AJ1069=""),"保留中",IF($AJ1069&lt;&gt;"",IF(N($AC1069)&gt;0,"支給済","不支給"),IF($AC1069="","要確認",IF($AC1069=0,"不支給","未処理")))))</f>
        <v/>
      </c>
      <c r="AE1069" s="12" t="n"/>
      <c r="AF1069" s="11" t="n"/>
      <c r="AG1069" s="11" t="n"/>
      <c r="AH1069" s="11" t="n"/>
      <c r="AI1069" s="14">
        <f>IF(AND($AD1069="保留中",$AF1069&lt;&gt;""),TODAY()-$AF1069,"")</f>
        <v/>
      </c>
      <c r="AJ1069" s="12" t="n"/>
      <c r="AK1069" s="14">
        <f>IF($B1069="","",IF($AO1069="","対象年月が未入力／","")&amp;IF($B1069="","",IF($AN1069="","職員マスタに未登録の職員番号／",IF($Y1069="","標準報酬月額が未登録／","")&amp;IF(AND($AO1069&lt;&gt;"",OR(AND(INDEX(職員マスタ!$G$6:$G$405,$AN1069)&lt;&gt;"",INDEX(職員マスタ!$G$6:$G$405,$AN1069)&gt;EOMONTH($AO1069,0)),AND(INDEX(職員マスタ!$H$6:$H$405,$AN1069)&lt;&gt;"",INDEX(職員マスタ!$H$6:$H$405,$AN1069)&lt;$AO1069))),"対象月が時短期間外／","")&amp;IF(AND(INDEX(職員マスタ!$F$6:$F$405,$AN1069)&lt;&gt;"",$AO1069&lt;&gt;"",INDEX(職員マスタ!$F$6:$F$405,$AN1069)&lt;$AO1069),"対象月に子が2歳到達済／","")&amp;IF(AND($H1069&lt;&gt;"",INDEX(職員マスタ!$B$6:$B$405,$AN1069)&lt;&gt;"",SUBSTITUTE(SUBSTITUTE($H1069," ","")," ","")&lt;&gt;SUBSTITUTE(SUBSTITUTE(INDEX(職員マスタ!$B$6:$B$405,$AN1069)," ","")," ","")),"氏名がマスタと相違／","")&amp;IF(AND($Q1069&lt;&gt;"",INDEX(職員マスタ!$E$6:$E$405,$AN1069)&lt;&gt;"",$Q1069&lt;&gt;INDEX(職員マスタ!$E$6:$E$405,$AN1069)),"子の生年月日がマスタと相違／","")&amp;IF(AND($L1069&lt;&gt;"",INDEX(職員マスタ!$G$6:$G$405,$AN1069)&lt;&gt;"",$L1069&lt;&gt;INDEX(職員マスタ!$G$6:$G$405,$AN1069)),"時短開始日がマスタと相違／","")&amp;IF(AND($M1069&lt;&gt;"",INDEX(職員マスタ!$H$6:$H$405,$AN1069)&lt;&gt;"",$M1069&lt;&gt;INDEX(職員マスタ!$H$6:$H$405,$AN1069)),"時短終了日がマスタと相違／","")))&amp;IF(AND($B1069&lt;&gt;"",$E1069=""),"報酬額が未入力／","")&amp;IF(N($U1069)&gt;0,"申請書に入力エラーが残っています／","")&amp;IF(AND($B1069&lt;&gt;"",$AO1069&lt;&gt;""),IF(COUNTIFS($B$6:$B$3005,$B1069,$C$6:$C$3005,$C1069,$D$6:$D$3005,$D1069)&gt;1,"同じ月の請求が重複しています／",""),"")&amp;IF(AND(N($E1069)&gt;0,$Z1069&lt;&gt;"",$Z1069&lt;&gt;"×",$AC1069=0,$AB1069=""),"計算額が下限以下のため不支給／",""))</f>
        <v/>
      </c>
      <c r="AL1069" s="12" t="n"/>
      <c r="AM1069" s="14">
        <f>IF($AD1069="保留中",COUNTIF($AD$6:$AD1069,"保留中"),"")</f>
        <v/>
      </c>
      <c r="AN1069" s="14">
        <f>IF($AO1069="","",IF(SUMPRODUCT(MAX((職員マスタ!$A$6:$A$405=$B1069)*(((職員マスタ!$G$6:$G$405="")+(職員マスタ!$G$6:$G$405&lt;=EOMONTH($AO1069,0)))&gt;0)*(((職員マスタ!$H$6:$H$405="")+(職員マスタ!$H$6:$H$405&gt;=$AO1069))&gt;0)*(ROW(職員マスタ!$A$6:$A$405)-5)))&gt;0,SUMPRODUCT(MAX((職員マスタ!$A$6:$A$405=$B1069)*(((職員マスタ!$G$6:$G$405="")+(職員マスタ!$G$6:$G$405&lt;=EOMONTH($AO1069,0)))&gt;0)*(((職員マスタ!$H$6:$H$405="")+(職員マスタ!$H$6:$H$405&gt;=$AO1069))&gt;0)*(ROW(職員マスタ!$A$6:$A$405)-5))),IFERROR(MATCH($B1069,職員マスタ!$A$6:$A$405,0),"")))</f>
        <v/>
      </c>
      <c r="AO1069" s="16">
        <f>IF(OR($B1069="",$C1069="",$D1069=""),"",DATE($C1069+2018,$D1069,1))</f>
        <v/>
      </c>
    </row>
    <row r="1070">
      <c r="A1070" s="11" t="n"/>
      <c r="B1070" s="12" t="n"/>
      <c r="C1070" s="12" t="n"/>
      <c r="D1070" s="12" t="n"/>
      <c r="E1070" s="13" t="n"/>
      <c r="F1070" s="12" t="n"/>
      <c r="G1070" s="13" t="n"/>
      <c r="H1070" s="12" t="n"/>
      <c r="I1070" s="12" t="n"/>
      <c r="J1070" s="12" t="n"/>
      <c r="K1070" s="12" t="n"/>
      <c r="L1070" s="11" t="n"/>
      <c r="M1070" s="11" t="n"/>
      <c r="N1070" s="11" t="n"/>
      <c r="O1070" s="11" t="n"/>
      <c r="P1070" s="12" t="n"/>
      <c r="Q1070" s="11" t="n"/>
      <c r="R1070" s="12" t="n"/>
      <c r="S1070" s="11" t="n"/>
      <c r="T1070" s="12" t="n"/>
      <c r="U1070" s="12" t="n"/>
      <c r="V1070" s="14">
        <f>IF($AN1070="",IF($B1070="","",$H1070),IF(INDEX(職員マスタ!$B$6:$B$405,$AN1070)="",$H1070,INDEX(職員マスタ!$B$6:$B$405,$AN1070)))</f>
        <v/>
      </c>
      <c r="W1070" s="14">
        <f>IF($AN1070="",IF($B1070="","",$R1070),IF(INDEX(職員マスタ!$C$6:$C$405,$AN1070)="",$R1070,INDEX(職員マスタ!$C$6:$C$405,$AN1070)))</f>
        <v/>
      </c>
      <c r="X1070" s="14">
        <f>IF($AO1070="","","R"&amp;$C1070&amp;"."&amp;$D1070)</f>
        <v/>
      </c>
      <c r="Y1070" s="15">
        <f>IF($AN1070="","",IF(INDEX(職員マスタ!$K$6:$K$405,$AN1070)="","",INDEX(職員マスタ!$K$6:$K$405,$AN1070)))</f>
        <v/>
      </c>
      <c r="Z1070" s="14">
        <f>IF(OR($E1070="",$Y1070=""),"",IF($E1070&gt;=$Y1070,"×",IF($E1070&gt;=$Y1070*設定!$C$5,"△","○")))</f>
        <v/>
      </c>
      <c r="AA1070" s="15">
        <f>IF($Z1070="","",IF($Z1070="×",0,IF($Z1070="○",ROUNDDOWN($E1070*設定!$C$4,0),ROUNDDOWN($E1070*ROUND((9*$Y1070-9*$E1070)/(10*$E1070),4),0))))</f>
        <v/>
      </c>
      <c r="AB1070" s="13" t="n"/>
      <c r="AC1070" s="15">
        <f>IF($B1070="","",IF($AB1070&lt;&gt;"",$AB1070,IF($AA1070="","",IF($AA1070&lt;=設定!$C$3,0,$AA1070))))</f>
        <v/>
      </c>
      <c r="AD1070" s="14">
        <f>IF($B1070="","",IF(AND($AE1070&lt;&gt;"",$AG1070="",$AJ1070=""),"保留中",IF($AJ1070&lt;&gt;"",IF(N($AC1070)&gt;0,"支給済","不支給"),IF($AC1070="","要確認",IF($AC1070=0,"不支給","未処理")))))</f>
        <v/>
      </c>
      <c r="AE1070" s="12" t="n"/>
      <c r="AF1070" s="11" t="n"/>
      <c r="AG1070" s="11" t="n"/>
      <c r="AH1070" s="11" t="n"/>
      <c r="AI1070" s="14">
        <f>IF(AND($AD1070="保留中",$AF1070&lt;&gt;""),TODAY()-$AF1070,"")</f>
        <v/>
      </c>
      <c r="AJ1070" s="12" t="n"/>
      <c r="AK1070" s="14">
        <f>IF($B1070="","",IF($AO1070="","対象年月が未入力／","")&amp;IF($B1070="","",IF($AN1070="","職員マスタに未登録の職員番号／",IF($Y1070="","標準報酬月額が未登録／","")&amp;IF(AND($AO1070&lt;&gt;"",OR(AND(INDEX(職員マスタ!$G$6:$G$405,$AN1070)&lt;&gt;"",INDEX(職員マスタ!$G$6:$G$405,$AN1070)&gt;EOMONTH($AO1070,0)),AND(INDEX(職員マスタ!$H$6:$H$405,$AN1070)&lt;&gt;"",INDEX(職員マスタ!$H$6:$H$405,$AN1070)&lt;$AO1070))),"対象月が時短期間外／","")&amp;IF(AND(INDEX(職員マスタ!$F$6:$F$405,$AN1070)&lt;&gt;"",$AO1070&lt;&gt;"",INDEX(職員マスタ!$F$6:$F$405,$AN1070)&lt;$AO1070),"対象月に子が2歳到達済／","")&amp;IF(AND($H1070&lt;&gt;"",INDEX(職員マスタ!$B$6:$B$405,$AN1070)&lt;&gt;"",SUBSTITUTE(SUBSTITUTE($H1070," ","")," ","")&lt;&gt;SUBSTITUTE(SUBSTITUTE(INDEX(職員マスタ!$B$6:$B$405,$AN1070)," ","")," ","")),"氏名がマスタと相違／","")&amp;IF(AND($Q1070&lt;&gt;"",INDEX(職員マスタ!$E$6:$E$405,$AN1070)&lt;&gt;"",$Q1070&lt;&gt;INDEX(職員マスタ!$E$6:$E$405,$AN1070)),"子の生年月日がマスタと相違／","")&amp;IF(AND($L1070&lt;&gt;"",INDEX(職員マスタ!$G$6:$G$405,$AN1070)&lt;&gt;"",$L1070&lt;&gt;INDEX(職員マスタ!$G$6:$G$405,$AN1070)),"時短開始日がマスタと相違／","")&amp;IF(AND($M1070&lt;&gt;"",INDEX(職員マスタ!$H$6:$H$405,$AN1070)&lt;&gt;"",$M1070&lt;&gt;INDEX(職員マスタ!$H$6:$H$405,$AN1070)),"時短終了日がマスタと相違／","")))&amp;IF(AND($B1070&lt;&gt;"",$E1070=""),"報酬額が未入力／","")&amp;IF(N($U1070)&gt;0,"申請書に入力エラーが残っています／","")&amp;IF(AND($B1070&lt;&gt;"",$AO1070&lt;&gt;""),IF(COUNTIFS($B$6:$B$3005,$B1070,$C$6:$C$3005,$C1070,$D$6:$D$3005,$D1070)&gt;1,"同じ月の請求が重複しています／",""),"")&amp;IF(AND(N($E1070)&gt;0,$Z1070&lt;&gt;"",$Z1070&lt;&gt;"×",$AC1070=0,$AB1070=""),"計算額が下限以下のため不支給／",""))</f>
        <v/>
      </c>
      <c r="AL1070" s="12" t="n"/>
      <c r="AM1070" s="14">
        <f>IF($AD1070="保留中",COUNTIF($AD$6:$AD1070,"保留中"),"")</f>
        <v/>
      </c>
      <c r="AN1070" s="14">
        <f>IF($AO1070="","",IF(SUMPRODUCT(MAX((職員マスタ!$A$6:$A$405=$B1070)*(((職員マスタ!$G$6:$G$405="")+(職員マスタ!$G$6:$G$405&lt;=EOMONTH($AO1070,0)))&gt;0)*(((職員マスタ!$H$6:$H$405="")+(職員マスタ!$H$6:$H$405&gt;=$AO1070))&gt;0)*(ROW(職員マスタ!$A$6:$A$405)-5)))&gt;0,SUMPRODUCT(MAX((職員マスタ!$A$6:$A$405=$B1070)*(((職員マスタ!$G$6:$G$405="")+(職員マスタ!$G$6:$G$405&lt;=EOMONTH($AO1070,0)))&gt;0)*(((職員マスタ!$H$6:$H$405="")+(職員マスタ!$H$6:$H$405&gt;=$AO1070))&gt;0)*(ROW(職員マスタ!$A$6:$A$405)-5))),IFERROR(MATCH($B1070,職員マスタ!$A$6:$A$405,0),"")))</f>
        <v/>
      </c>
      <c r="AO1070" s="16">
        <f>IF(OR($B1070="",$C1070="",$D1070=""),"",DATE($C1070+2018,$D1070,1))</f>
        <v/>
      </c>
    </row>
    <row r="1071">
      <c r="A1071" s="11" t="n"/>
      <c r="B1071" s="12" t="n"/>
      <c r="C1071" s="12" t="n"/>
      <c r="D1071" s="12" t="n"/>
      <c r="E1071" s="13" t="n"/>
      <c r="F1071" s="12" t="n"/>
      <c r="G1071" s="13" t="n"/>
      <c r="H1071" s="12" t="n"/>
      <c r="I1071" s="12" t="n"/>
      <c r="J1071" s="12" t="n"/>
      <c r="K1071" s="12" t="n"/>
      <c r="L1071" s="11" t="n"/>
      <c r="M1071" s="11" t="n"/>
      <c r="N1071" s="11" t="n"/>
      <c r="O1071" s="11" t="n"/>
      <c r="P1071" s="12" t="n"/>
      <c r="Q1071" s="11" t="n"/>
      <c r="R1071" s="12" t="n"/>
      <c r="S1071" s="11" t="n"/>
      <c r="T1071" s="12" t="n"/>
      <c r="U1071" s="12" t="n"/>
      <c r="V1071" s="14">
        <f>IF($AN1071="",IF($B1071="","",$H1071),IF(INDEX(職員マスタ!$B$6:$B$405,$AN1071)="",$H1071,INDEX(職員マスタ!$B$6:$B$405,$AN1071)))</f>
        <v/>
      </c>
      <c r="W1071" s="14">
        <f>IF($AN1071="",IF($B1071="","",$R1071),IF(INDEX(職員マスタ!$C$6:$C$405,$AN1071)="",$R1071,INDEX(職員マスタ!$C$6:$C$405,$AN1071)))</f>
        <v/>
      </c>
      <c r="X1071" s="14">
        <f>IF($AO1071="","","R"&amp;$C1071&amp;"."&amp;$D1071)</f>
        <v/>
      </c>
      <c r="Y1071" s="15">
        <f>IF($AN1071="","",IF(INDEX(職員マスタ!$K$6:$K$405,$AN1071)="","",INDEX(職員マスタ!$K$6:$K$405,$AN1071)))</f>
        <v/>
      </c>
      <c r="Z1071" s="14">
        <f>IF(OR($E1071="",$Y1071=""),"",IF($E1071&gt;=$Y1071,"×",IF($E1071&gt;=$Y1071*設定!$C$5,"△","○")))</f>
        <v/>
      </c>
      <c r="AA1071" s="15">
        <f>IF($Z1071="","",IF($Z1071="×",0,IF($Z1071="○",ROUNDDOWN($E1071*設定!$C$4,0),ROUNDDOWN($E1071*ROUND((9*$Y1071-9*$E1071)/(10*$E1071),4),0))))</f>
        <v/>
      </c>
      <c r="AB1071" s="13" t="n"/>
      <c r="AC1071" s="15">
        <f>IF($B1071="","",IF($AB1071&lt;&gt;"",$AB1071,IF($AA1071="","",IF($AA1071&lt;=設定!$C$3,0,$AA1071))))</f>
        <v/>
      </c>
      <c r="AD1071" s="14">
        <f>IF($B1071="","",IF(AND($AE1071&lt;&gt;"",$AG1071="",$AJ1071=""),"保留中",IF($AJ1071&lt;&gt;"",IF(N($AC1071)&gt;0,"支給済","不支給"),IF($AC1071="","要確認",IF($AC1071=0,"不支給","未処理")))))</f>
        <v/>
      </c>
      <c r="AE1071" s="12" t="n"/>
      <c r="AF1071" s="11" t="n"/>
      <c r="AG1071" s="11" t="n"/>
      <c r="AH1071" s="11" t="n"/>
      <c r="AI1071" s="14">
        <f>IF(AND($AD1071="保留中",$AF1071&lt;&gt;""),TODAY()-$AF1071,"")</f>
        <v/>
      </c>
      <c r="AJ1071" s="12" t="n"/>
      <c r="AK1071" s="14">
        <f>IF($B1071="","",IF($AO1071="","対象年月が未入力／","")&amp;IF($B1071="","",IF($AN1071="","職員マスタに未登録の職員番号／",IF($Y1071="","標準報酬月額が未登録／","")&amp;IF(AND($AO1071&lt;&gt;"",OR(AND(INDEX(職員マスタ!$G$6:$G$405,$AN1071)&lt;&gt;"",INDEX(職員マスタ!$G$6:$G$405,$AN1071)&gt;EOMONTH($AO1071,0)),AND(INDEX(職員マスタ!$H$6:$H$405,$AN1071)&lt;&gt;"",INDEX(職員マスタ!$H$6:$H$405,$AN1071)&lt;$AO1071))),"対象月が時短期間外／","")&amp;IF(AND(INDEX(職員マスタ!$F$6:$F$405,$AN1071)&lt;&gt;"",$AO1071&lt;&gt;"",INDEX(職員マスタ!$F$6:$F$405,$AN1071)&lt;$AO1071),"対象月に子が2歳到達済／","")&amp;IF(AND($H1071&lt;&gt;"",INDEX(職員マスタ!$B$6:$B$405,$AN1071)&lt;&gt;"",SUBSTITUTE(SUBSTITUTE($H1071," ","")," ","")&lt;&gt;SUBSTITUTE(SUBSTITUTE(INDEX(職員マスタ!$B$6:$B$405,$AN1071)," ","")," ","")),"氏名がマスタと相違／","")&amp;IF(AND($Q1071&lt;&gt;"",INDEX(職員マスタ!$E$6:$E$405,$AN1071)&lt;&gt;"",$Q1071&lt;&gt;INDEX(職員マスタ!$E$6:$E$405,$AN1071)),"子の生年月日がマスタと相違／","")&amp;IF(AND($L1071&lt;&gt;"",INDEX(職員マスタ!$G$6:$G$405,$AN1071)&lt;&gt;"",$L1071&lt;&gt;INDEX(職員マスタ!$G$6:$G$405,$AN1071)),"時短開始日がマスタと相違／","")&amp;IF(AND($M1071&lt;&gt;"",INDEX(職員マスタ!$H$6:$H$405,$AN1071)&lt;&gt;"",$M1071&lt;&gt;INDEX(職員マスタ!$H$6:$H$405,$AN1071)),"時短終了日がマスタと相違／","")))&amp;IF(AND($B1071&lt;&gt;"",$E1071=""),"報酬額が未入力／","")&amp;IF(N($U1071)&gt;0,"申請書に入力エラーが残っています／","")&amp;IF(AND($B1071&lt;&gt;"",$AO1071&lt;&gt;""),IF(COUNTIFS($B$6:$B$3005,$B1071,$C$6:$C$3005,$C1071,$D$6:$D$3005,$D1071)&gt;1,"同じ月の請求が重複しています／",""),"")&amp;IF(AND(N($E1071)&gt;0,$Z1071&lt;&gt;"",$Z1071&lt;&gt;"×",$AC1071=0,$AB1071=""),"計算額が下限以下のため不支給／",""))</f>
        <v/>
      </c>
      <c r="AL1071" s="12" t="n"/>
      <c r="AM1071" s="14">
        <f>IF($AD1071="保留中",COUNTIF($AD$6:$AD1071,"保留中"),"")</f>
        <v/>
      </c>
      <c r="AN1071" s="14">
        <f>IF($AO1071="","",IF(SUMPRODUCT(MAX((職員マスタ!$A$6:$A$405=$B1071)*(((職員マスタ!$G$6:$G$405="")+(職員マスタ!$G$6:$G$405&lt;=EOMONTH($AO1071,0)))&gt;0)*(((職員マスタ!$H$6:$H$405="")+(職員マスタ!$H$6:$H$405&gt;=$AO1071))&gt;0)*(ROW(職員マスタ!$A$6:$A$405)-5)))&gt;0,SUMPRODUCT(MAX((職員マスタ!$A$6:$A$405=$B1071)*(((職員マスタ!$G$6:$G$405="")+(職員マスタ!$G$6:$G$405&lt;=EOMONTH($AO1071,0)))&gt;0)*(((職員マスタ!$H$6:$H$405="")+(職員マスタ!$H$6:$H$405&gt;=$AO1071))&gt;0)*(ROW(職員マスタ!$A$6:$A$405)-5))),IFERROR(MATCH($B1071,職員マスタ!$A$6:$A$405,0),"")))</f>
        <v/>
      </c>
      <c r="AO1071" s="16">
        <f>IF(OR($B1071="",$C1071="",$D1071=""),"",DATE($C1071+2018,$D1071,1))</f>
        <v/>
      </c>
    </row>
    <row r="1072">
      <c r="A1072" s="11" t="n"/>
      <c r="B1072" s="12" t="n"/>
      <c r="C1072" s="12" t="n"/>
      <c r="D1072" s="12" t="n"/>
      <c r="E1072" s="13" t="n"/>
      <c r="F1072" s="12" t="n"/>
      <c r="G1072" s="13" t="n"/>
      <c r="H1072" s="12" t="n"/>
      <c r="I1072" s="12" t="n"/>
      <c r="J1072" s="12" t="n"/>
      <c r="K1072" s="12" t="n"/>
      <c r="L1072" s="11" t="n"/>
      <c r="M1072" s="11" t="n"/>
      <c r="N1072" s="11" t="n"/>
      <c r="O1072" s="11" t="n"/>
      <c r="P1072" s="12" t="n"/>
      <c r="Q1072" s="11" t="n"/>
      <c r="R1072" s="12" t="n"/>
      <c r="S1072" s="11" t="n"/>
      <c r="T1072" s="12" t="n"/>
      <c r="U1072" s="12" t="n"/>
      <c r="V1072" s="14">
        <f>IF($AN1072="",IF($B1072="","",$H1072),IF(INDEX(職員マスタ!$B$6:$B$405,$AN1072)="",$H1072,INDEX(職員マスタ!$B$6:$B$405,$AN1072)))</f>
        <v/>
      </c>
      <c r="W1072" s="14">
        <f>IF($AN1072="",IF($B1072="","",$R1072),IF(INDEX(職員マスタ!$C$6:$C$405,$AN1072)="",$R1072,INDEX(職員マスタ!$C$6:$C$405,$AN1072)))</f>
        <v/>
      </c>
      <c r="X1072" s="14">
        <f>IF($AO1072="","","R"&amp;$C1072&amp;"."&amp;$D1072)</f>
        <v/>
      </c>
      <c r="Y1072" s="15">
        <f>IF($AN1072="","",IF(INDEX(職員マスタ!$K$6:$K$405,$AN1072)="","",INDEX(職員マスタ!$K$6:$K$405,$AN1072)))</f>
        <v/>
      </c>
      <c r="Z1072" s="14">
        <f>IF(OR($E1072="",$Y1072=""),"",IF($E1072&gt;=$Y1072,"×",IF($E1072&gt;=$Y1072*設定!$C$5,"△","○")))</f>
        <v/>
      </c>
      <c r="AA1072" s="15">
        <f>IF($Z1072="","",IF($Z1072="×",0,IF($Z1072="○",ROUNDDOWN($E1072*設定!$C$4,0),ROUNDDOWN($E1072*ROUND((9*$Y1072-9*$E1072)/(10*$E1072),4),0))))</f>
        <v/>
      </c>
      <c r="AB1072" s="13" t="n"/>
      <c r="AC1072" s="15">
        <f>IF($B1072="","",IF($AB1072&lt;&gt;"",$AB1072,IF($AA1072="","",IF($AA1072&lt;=設定!$C$3,0,$AA1072))))</f>
        <v/>
      </c>
      <c r="AD1072" s="14">
        <f>IF($B1072="","",IF(AND($AE1072&lt;&gt;"",$AG1072="",$AJ1072=""),"保留中",IF($AJ1072&lt;&gt;"",IF(N($AC1072)&gt;0,"支給済","不支給"),IF($AC1072="","要確認",IF($AC1072=0,"不支給","未処理")))))</f>
        <v/>
      </c>
      <c r="AE1072" s="12" t="n"/>
      <c r="AF1072" s="11" t="n"/>
      <c r="AG1072" s="11" t="n"/>
      <c r="AH1072" s="11" t="n"/>
      <c r="AI1072" s="14">
        <f>IF(AND($AD1072="保留中",$AF1072&lt;&gt;""),TODAY()-$AF1072,"")</f>
        <v/>
      </c>
      <c r="AJ1072" s="12" t="n"/>
      <c r="AK1072" s="14">
        <f>IF($B1072="","",IF($AO1072="","対象年月が未入力／","")&amp;IF($B1072="","",IF($AN1072="","職員マスタに未登録の職員番号／",IF($Y1072="","標準報酬月額が未登録／","")&amp;IF(AND($AO1072&lt;&gt;"",OR(AND(INDEX(職員マスタ!$G$6:$G$405,$AN1072)&lt;&gt;"",INDEX(職員マスタ!$G$6:$G$405,$AN1072)&gt;EOMONTH($AO1072,0)),AND(INDEX(職員マスタ!$H$6:$H$405,$AN1072)&lt;&gt;"",INDEX(職員マスタ!$H$6:$H$405,$AN1072)&lt;$AO1072))),"対象月が時短期間外／","")&amp;IF(AND(INDEX(職員マスタ!$F$6:$F$405,$AN1072)&lt;&gt;"",$AO1072&lt;&gt;"",INDEX(職員マスタ!$F$6:$F$405,$AN1072)&lt;$AO1072),"対象月に子が2歳到達済／","")&amp;IF(AND($H1072&lt;&gt;"",INDEX(職員マスタ!$B$6:$B$405,$AN1072)&lt;&gt;"",SUBSTITUTE(SUBSTITUTE($H1072," ","")," ","")&lt;&gt;SUBSTITUTE(SUBSTITUTE(INDEX(職員マスタ!$B$6:$B$405,$AN1072)," ","")," ","")),"氏名がマスタと相違／","")&amp;IF(AND($Q1072&lt;&gt;"",INDEX(職員マスタ!$E$6:$E$405,$AN1072)&lt;&gt;"",$Q1072&lt;&gt;INDEX(職員マスタ!$E$6:$E$405,$AN1072)),"子の生年月日がマスタと相違／","")&amp;IF(AND($L1072&lt;&gt;"",INDEX(職員マスタ!$G$6:$G$405,$AN1072)&lt;&gt;"",$L1072&lt;&gt;INDEX(職員マスタ!$G$6:$G$405,$AN1072)),"時短開始日がマスタと相違／","")&amp;IF(AND($M1072&lt;&gt;"",INDEX(職員マスタ!$H$6:$H$405,$AN1072)&lt;&gt;"",$M1072&lt;&gt;INDEX(職員マスタ!$H$6:$H$405,$AN1072)),"時短終了日がマスタと相違／","")))&amp;IF(AND($B1072&lt;&gt;"",$E1072=""),"報酬額が未入力／","")&amp;IF(N($U1072)&gt;0,"申請書に入力エラーが残っています／","")&amp;IF(AND($B1072&lt;&gt;"",$AO1072&lt;&gt;""),IF(COUNTIFS($B$6:$B$3005,$B1072,$C$6:$C$3005,$C1072,$D$6:$D$3005,$D1072)&gt;1,"同じ月の請求が重複しています／",""),"")&amp;IF(AND(N($E1072)&gt;0,$Z1072&lt;&gt;"",$Z1072&lt;&gt;"×",$AC1072=0,$AB1072=""),"計算額が下限以下のため不支給／",""))</f>
        <v/>
      </c>
      <c r="AL1072" s="12" t="n"/>
      <c r="AM1072" s="14">
        <f>IF($AD1072="保留中",COUNTIF($AD$6:$AD1072,"保留中"),"")</f>
        <v/>
      </c>
      <c r="AN1072" s="14">
        <f>IF($AO1072="","",IF(SUMPRODUCT(MAX((職員マスタ!$A$6:$A$405=$B1072)*(((職員マスタ!$G$6:$G$405="")+(職員マスタ!$G$6:$G$405&lt;=EOMONTH($AO1072,0)))&gt;0)*(((職員マスタ!$H$6:$H$405="")+(職員マスタ!$H$6:$H$405&gt;=$AO1072))&gt;0)*(ROW(職員マスタ!$A$6:$A$405)-5)))&gt;0,SUMPRODUCT(MAX((職員マスタ!$A$6:$A$405=$B1072)*(((職員マスタ!$G$6:$G$405="")+(職員マスタ!$G$6:$G$405&lt;=EOMONTH($AO1072,0)))&gt;0)*(((職員マスタ!$H$6:$H$405="")+(職員マスタ!$H$6:$H$405&gt;=$AO1072))&gt;0)*(ROW(職員マスタ!$A$6:$A$405)-5))),IFERROR(MATCH($B1072,職員マスタ!$A$6:$A$405,0),"")))</f>
        <v/>
      </c>
      <c r="AO1072" s="16">
        <f>IF(OR($B1072="",$C1072="",$D1072=""),"",DATE($C1072+2018,$D1072,1))</f>
        <v/>
      </c>
    </row>
    <row r="1073">
      <c r="A1073" s="11" t="n"/>
      <c r="B1073" s="12" t="n"/>
      <c r="C1073" s="12" t="n"/>
      <c r="D1073" s="12" t="n"/>
      <c r="E1073" s="13" t="n"/>
      <c r="F1073" s="12" t="n"/>
      <c r="G1073" s="13" t="n"/>
      <c r="H1073" s="12" t="n"/>
      <c r="I1073" s="12" t="n"/>
      <c r="J1073" s="12" t="n"/>
      <c r="K1073" s="12" t="n"/>
      <c r="L1073" s="11" t="n"/>
      <c r="M1073" s="11" t="n"/>
      <c r="N1073" s="11" t="n"/>
      <c r="O1073" s="11" t="n"/>
      <c r="P1073" s="12" t="n"/>
      <c r="Q1073" s="11" t="n"/>
      <c r="R1073" s="12" t="n"/>
      <c r="S1073" s="11" t="n"/>
      <c r="T1073" s="12" t="n"/>
      <c r="U1073" s="12" t="n"/>
      <c r="V1073" s="14">
        <f>IF($AN1073="",IF($B1073="","",$H1073),IF(INDEX(職員マスタ!$B$6:$B$405,$AN1073)="",$H1073,INDEX(職員マスタ!$B$6:$B$405,$AN1073)))</f>
        <v/>
      </c>
      <c r="W1073" s="14">
        <f>IF($AN1073="",IF($B1073="","",$R1073),IF(INDEX(職員マスタ!$C$6:$C$405,$AN1073)="",$R1073,INDEX(職員マスタ!$C$6:$C$405,$AN1073)))</f>
        <v/>
      </c>
      <c r="X1073" s="14">
        <f>IF($AO1073="","","R"&amp;$C1073&amp;"."&amp;$D1073)</f>
        <v/>
      </c>
      <c r="Y1073" s="15">
        <f>IF($AN1073="","",IF(INDEX(職員マスタ!$K$6:$K$405,$AN1073)="","",INDEX(職員マスタ!$K$6:$K$405,$AN1073)))</f>
        <v/>
      </c>
      <c r="Z1073" s="14">
        <f>IF(OR($E1073="",$Y1073=""),"",IF($E1073&gt;=$Y1073,"×",IF($E1073&gt;=$Y1073*設定!$C$5,"△","○")))</f>
        <v/>
      </c>
      <c r="AA1073" s="15">
        <f>IF($Z1073="","",IF($Z1073="×",0,IF($Z1073="○",ROUNDDOWN($E1073*設定!$C$4,0),ROUNDDOWN($E1073*ROUND((9*$Y1073-9*$E1073)/(10*$E1073),4),0))))</f>
        <v/>
      </c>
      <c r="AB1073" s="13" t="n"/>
      <c r="AC1073" s="15">
        <f>IF($B1073="","",IF($AB1073&lt;&gt;"",$AB1073,IF($AA1073="","",IF($AA1073&lt;=設定!$C$3,0,$AA1073))))</f>
        <v/>
      </c>
      <c r="AD1073" s="14">
        <f>IF($B1073="","",IF(AND($AE1073&lt;&gt;"",$AG1073="",$AJ1073=""),"保留中",IF($AJ1073&lt;&gt;"",IF(N($AC1073)&gt;0,"支給済","不支給"),IF($AC1073="","要確認",IF($AC1073=0,"不支給","未処理")))))</f>
        <v/>
      </c>
      <c r="AE1073" s="12" t="n"/>
      <c r="AF1073" s="11" t="n"/>
      <c r="AG1073" s="11" t="n"/>
      <c r="AH1073" s="11" t="n"/>
      <c r="AI1073" s="14">
        <f>IF(AND($AD1073="保留中",$AF1073&lt;&gt;""),TODAY()-$AF1073,"")</f>
        <v/>
      </c>
      <c r="AJ1073" s="12" t="n"/>
      <c r="AK1073" s="14">
        <f>IF($B1073="","",IF($AO1073="","対象年月が未入力／","")&amp;IF($B1073="","",IF($AN1073="","職員マスタに未登録の職員番号／",IF($Y1073="","標準報酬月額が未登録／","")&amp;IF(AND($AO1073&lt;&gt;"",OR(AND(INDEX(職員マスタ!$G$6:$G$405,$AN1073)&lt;&gt;"",INDEX(職員マスタ!$G$6:$G$405,$AN1073)&gt;EOMONTH($AO1073,0)),AND(INDEX(職員マスタ!$H$6:$H$405,$AN1073)&lt;&gt;"",INDEX(職員マスタ!$H$6:$H$405,$AN1073)&lt;$AO1073))),"対象月が時短期間外／","")&amp;IF(AND(INDEX(職員マスタ!$F$6:$F$405,$AN1073)&lt;&gt;"",$AO1073&lt;&gt;"",INDEX(職員マスタ!$F$6:$F$405,$AN1073)&lt;$AO1073),"対象月に子が2歳到達済／","")&amp;IF(AND($H1073&lt;&gt;"",INDEX(職員マスタ!$B$6:$B$405,$AN1073)&lt;&gt;"",SUBSTITUTE(SUBSTITUTE($H1073," ","")," ","")&lt;&gt;SUBSTITUTE(SUBSTITUTE(INDEX(職員マスタ!$B$6:$B$405,$AN1073)," ","")," ","")),"氏名がマスタと相違／","")&amp;IF(AND($Q1073&lt;&gt;"",INDEX(職員マスタ!$E$6:$E$405,$AN1073)&lt;&gt;"",$Q1073&lt;&gt;INDEX(職員マスタ!$E$6:$E$405,$AN1073)),"子の生年月日がマスタと相違／","")&amp;IF(AND($L1073&lt;&gt;"",INDEX(職員マスタ!$G$6:$G$405,$AN1073)&lt;&gt;"",$L1073&lt;&gt;INDEX(職員マスタ!$G$6:$G$405,$AN1073)),"時短開始日がマスタと相違／","")&amp;IF(AND($M1073&lt;&gt;"",INDEX(職員マスタ!$H$6:$H$405,$AN1073)&lt;&gt;"",$M1073&lt;&gt;INDEX(職員マスタ!$H$6:$H$405,$AN1073)),"時短終了日がマスタと相違／","")))&amp;IF(AND($B1073&lt;&gt;"",$E1073=""),"報酬額が未入力／","")&amp;IF(N($U1073)&gt;0,"申請書に入力エラーが残っています／","")&amp;IF(AND($B1073&lt;&gt;"",$AO1073&lt;&gt;""),IF(COUNTIFS($B$6:$B$3005,$B1073,$C$6:$C$3005,$C1073,$D$6:$D$3005,$D1073)&gt;1,"同じ月の請求が重複しています／",""),"")&amp;IF(AND(N($E1073)&gt;0,$Z1073&lt;&gt;"",$Z1073&lt;&gt;"×",$AC1073=0,$AB1073=""),"計算額が下限以下のため不支給／",""))</f>
        <v/>
      </c>
      <c r="AL1073" s="12" t="n"/>
      <c r="AM1073" s="14">
        <f>IF($AD1073="保留中",COUNTIF($AD$6:$AD1073,"保留中"),"")</f>
        <v/>
      </c>
      <c r="AN1073" s="14">
        <f>IF($AO1073="","",IF(SUMPRODUCT(MAX((職員マスタ!$A$6:$A$405=$B1073)*(((職員マスタ!$G$6:$G$405="")+(職員マスタ!$G$6:$G$405&lt;=EOMONTH($AO1073,0)))&gt;0)*(((職員マスタ!$H$6:$H$405="")+(職員マスタ!$H$6:$H$405&gt;=$AO1073))&gt;0)*(ROW(職員マスタ!$A$6:$A$405)-5)))&gt;0,SUMPRODUCT(MAX((職員マスタ!$A$6:$A$405=$B1073)*(((職員マスタ!$G$6:$G$405="")+(職員マスタ!$G$6:$G$405&lt;=EOMONTH($AO1073,0)))&gt;0)*(((職員マスタ!$H$6:$H$405="")+(職員マスタ!$H$6:$H$405&gt;=$AO1073))&gt;0)*(ROW(職員マスタ!$A$6:$A$405)-5))),IFERROR(MATCH($B1073,職員マスタ!$A$6:$A$405,0),"")))</f>
        <v/>
      </c>
      <c r="AO1073" s="16">
        <f>IF(OR($B1073="",$C1073="",$D1073=""),"",DATE($C1073+2018,$D1073,1))</f>
        <v/>
      </c>
    </row>
    <row r="1074">
      <c r="A1074" s="11" t="n"/>
      <c r="B1074" s="12" t="n"/>
      <c r="C1074" s="12" t="n"/>
      <c r="D1074" s="12" t="n"/>
      <c r="E1074" s="13" t="n"/>
      <c r="F1074" s="12" t="n"/>
      <c r="G1074" s="13" t="n"/>
      <c r="H1074" s="12" t="n"/>
      <c r="I1074" s="12" t="n"/>
      <c r="J1074" s="12" t="n"/>
      <c r="K1074" s="12" t="n"/>
      <c r="L1074" s="11" t="n"/>
      <c r="M1074" s="11" t="n"/>
      <c r="N1074" s="11" t="n"/>
      <c r="O1074" s="11" t="n"/>
      <c r="P1074" s="12" t="n"/>
      <c r="Q1074" s="11" t="n"/>
      <c r="R1074" s="12" t="n"/>
      <c r="S1074" s="11" t="n"/>
      <c r="T1074" s="12" t="n"/>
      <c r="U1074" s="12" t="n"/>
      <c r="V1074" s="14">
        <f>IF($AN1074="",IF($B1074="","",$H1074),IF(INDEX(職員マスタ!$B$6:$B$405,$AN1074)="",$H1074,INDEX(職員マスタ!$B$6:$B$405,$AN1074)))</f>
        <v/>
      </c>
      <c r="W1074" s="14">
        <f>IF($AN1074="",IF($B1074="","",$R1074),IF(INDEX(職員マスタ!$C$6:$C$405,$AN1074)="",$R1074,INDEX(職員マスタ!$C$6:$C$405,$AN1074)))</f>
        <v/>
      </c>
      <c r="X1074" s="14">
        <f>IF($AO1074="","","R"&amp;$C1074&amp;"."&amp;$D1074)</f>
        <v/>
      </c>
      <c r="Y1074" s="15">
        <f>IF($AN1074="","",IF(INDEX(職員マスタ!$K$6:$K$405,$AN1074)="","",INDEX(職員マスタ!$K$6:$K$405,$AN1074)))</f>
        <v/>
      </c>
      <c r="Z1074" s="14">
        <f>IF(OR($E1074="",$Y1074=""),"",IF($E1074&gt;=$Y1074,"×",IF($E1074&gt;=$Y1074*設定!$C$5,"△","○")))</f>
        <v/>
      </c>
      <c r="AA1074" s="15">
        <f>IF($Z1074="","",IF($Z1074="×",0,IF($Z1074="○",ROUNDDOWN($E1074*設定!$C$4,0),ROUNDDOWN($E1074*ROUND((9*$Y1074-9*$E1074)/(10*$E1074),4),0))))</f>
        <v/>
      </c>
      <c r="AB1074" s="13" t="n"/>
      <c r="AC1074" s="15">
        <f>IF($B1074="","",IF($AB1074&lt;&gt;"",$AB1074,IF($AA1074="","",IF($AA1074&lt;=設定!$C$3,0,$AA1074))))</f>
        <v/>
      </c>
      <c r="AD1074" s="14">
        <f>IF($B1074="","",IF(AND($AE1074&lt;&gt;"",$AG1074="",$AJ1074=""),"保留中",IF($AJ1074&lt;&gt;"",IF(N($AC1074)&gt;0,"支給済","不支給"),IF($AC1074="","要確認",IF($AC1074=0,"不支給","未処理")))))</f>
        <v/>
      </c>
      <c r="AE1074" s="12" t="n"/>
      <c r="AF1074" s="11" t="n"/>
      <c r="AG1074" s="11" t="n"/>
      <c r="AH1074" s="11" t="n"/>
      <c r="AI1074" s="14">
        <f>IF(AND($AD1074="保留中",$AF1074&lt;&gt;""),TODAY()-$AF1074,"")</f>
        <v/>
      </c>
      <c r="AJ1074" s="12" t="n"/>
      <c r="AK1074" s="14">
        <f>IF($B1074="","",IF($AO1074="","対象年月が未入力／","")&amp;IF($B1074="","",IF($AN1074="","職員マスタに未登録の職員番号／",IF($Y1074="","標準報酬月額が未登録／","")&amp;IF(AND($AO1074&lt;&gt;"",OR(AND(INDEX(職員マスタ!$G$6:$G$405,$AN1074)&lt;&gt;"",INDEX(職員マスタ!$G$6:$G$405,$AN1074)&gt;EOMONTH($AO1074,0)),AND(INDEX(職員マスタ!$H$6:$H$405,$AN1074)&lt;&gt;"",INDEX(職員マスタ!$H$6:$H$405,$AN1074)&lt;$AO1074))),"対象月が時短期間外／","")&amp;IF(AND(INDEX(職員マスタ!$F$6:$F$405,$AN1074)&lt;&gt;"",$AO1074&lt;&gt;"",INDEX(職員マスタ!$F$6:$F$405,$AN1074)&lt;$AO1074),"対象月に子が2歳到達済／","")&amp;IF(AND($H1074&lt;&gt;"",INDEX(職員マスタ!$B$6:$B$405,$AN1074)&lt;&gt;"",SUBSTITUTE(SUBSTITUTE($H1074," ","")," ","")&lt;&gt;SUBSTITUTE(SUBSTITUTE(INDEX(職員マスタ!$B$6:$B$405,$AN1074)," ","")," ","")),"氏名がマスタと相違／","")&amp;IF(AND($Q1074&lt;&gt;"",INDEX(職員マスタ!$E$6:$E$405,$AN1074)&lt;&gt;"",$Q1074&lt;&gt;INDEX(職員マスタ!$E$6:$E$405,$AN1074)),"子の生年月日がマスタと相違／","")&amp;IF(AND($L1074&lt;&gt;"",INDEX(職員マスタ!$G$6:$G$405,$AN1074)&lt;&gt;"",$L1074&lt;&gt;INDEX(職員マスタ!$G$6:$G$405,$AN1074)),"時短開始日がマスタと相違／","")&amp;IF(AND($M1074&lt;&gt;"",INDEX(職員マスタ!$H$6:$H$405,$AN1074)&lt;&gt;"",$M1074&lt;&gt;INDEX(職員マスタ!$H$6:$H$405,$AN1074)),"時短終了日がマスタと相違／","")))&amp;IF(AND($B1074&lt;&gt;"",$E1074=""),"報酬額が未入力／","")&amp;IF(N($U1074)&gt;0,"申請書に入力エラーが残っています／","")&amp;IF(AND($B1074&lt;&gt;"",$AO1074&lt;&gt;""),IF(COUNTIFS($B$6:$B$3005,$B1074,$C$6:$C$3005,$C1074,$D$6:$D$3005,$D1074)&gt;1,"同じ月の請求が重複しています／",""),"")&amp;IF(AND(N($E1074)&gt;0,$Z1074&lt;&gt;"",$Z1074&lt;&gt;"×",$AC1074=0,$AB1074=""),"計算額が下限以下のため不支給／",""))</f>
        <v/>
      </c>
      <c r="AL1074" s="12" t="n"/>
      <c r="AM1074" s="14">
        <f>IF($AD1074="保留中",COUNTIF($AD$6:$AD1074,"保留中"),"")</f>
        <v/>
      </c>
      <c r="AN1074" s="14">
        <f>IF($AO1074="","",IF(SUMPRODUCT(MAX((職員マスタ!$A$6:$A$405=$B1074)*(((職員マスタ!$G$6:$G$405="")+(職員マスタ!$G$6:$G$405&lt;=EOMONTH($AO1074,0)))&gt;0)*(((職員マスタ!$H$6:$H$405="")+(職員マスタ!$H$6:$H$405&gt;=$AO1074))&gt;0)*(ROW(職員マスタ!$A$6:$A$405)-5)))&gt;0,SUMPRODUCT(MAX((職員マスタ!$A$6:$A$405=$B1074)*(((職員マスタ!$G$6:$G$405="")+(職員マスタ!$G$6:$G$405&lt;=EOMONTH($AO1074,0)))&gt;0)*(((職員マスタ!$H$6:$H$405="")+(職員マスタ!$H$6:$H$405&gt;=$AO1074))&gt;0)*(ROW(職員マスタ!$A$6:$A$405)-5))),IFERROR(MATCH($B1074,職員マスタ!$A$6:$A$405,0),"")))</f>
        <v/>
      </c>
      <c r="AO1074" s="16">
        <f>IF(OR($B1074="",$C1074="",$D1074=""),"",DATE($C1074+2018,$D1074,1))</f>
        <v/>
      </c>
    </row>
    <row r="1075">
      <c r="A1075" s="11" t="n"/>
      <c r="B1075" s="12" t="n"/>
      <c r="C1075" s="12" t="n"/>
      <c r="D1075" s="12" t="n"/>
      <c r="E1075" s="13" t="n"/>
      <c r="F1075" s="12" t="n"/>
      <c r="G1075" s="13" t="n"/>
      <c r="H1075" s="12" t="n"/>
      <c r="I1075" s="12" t="n"/>
      <c r="J1075" s="12" t="n"/>
      <c r="K1075" s="12" t="n"/>
      <c r="L1075" s="11" t="n"/>
      <c r="M1075" s="11" t="n"/>
      <c r="N1075" s="11" t="n"/>
      <c r="O1075" s="11" t="n"/>
      <c r="P1075" s="12" t="n"/>
      <c r="Q1075" s="11" t="n"/>
      <c r="R1075" s="12" t="n"/>
      <c r="S1075" s="11" t="n"/>
      <c r="T1075" s="12" t="n"/>
      <c r="U1075" s="12" t="n"/>
      <c r="V1075" s="14">
        <f>IF($AN1075="",IF($B1075="","",$H1075),IF(INDEX(職員マスタ!$B$6:$B$405,$AN1075)="",$H1075,INDEX(職員マスタ!$B$6:$B$405,$AN1075)))</f>
        <v/>
      </c>
      <c r="W1075" s="14">
        <f>IF($AN1075="",IF($B1075="","",$R1075),IF(INDEX(職員マスタ!$C$6:$C$405,$AN1075)="",$R1075,INDEX(職員マスタ!$C$6:$C$405,$AN1075)))</f>
        <v/>
      </c>
      <c r="X1075" s="14">
        <f>IF($AO1075="","","R"&amp;$C1075&amp;"."&amp;$D1075)</f>
        <v/>
      </c>
      <c r="Y1075" s="15">
        <f>IF($AN1075="","",IF(INDEX(職員マスタ!$K$6:$K$405,$AN1075)="","",INDEX(職員マスタ!$K$6:$K$405,$AN1075)))</f>
        <v/>
      </c>
      <c r="Z1075" s="14">
        <f>IF(OR($E1075="",$Y1075=""),"",IF($E1075&gt;=$Y1075,"×",IF($E1075&gt;=$Y1075*設定!$C$5,"△","○")))</f>
        <v/>
      </c>
      <c r="AA1075" s="15">
        <f>IF($Z1075="","",IF($Z1075="×",0,IF($Z1075="○",ROUNDDOWN($E1075*設定!$C$4,0),ROUNDDOWN($E1075*ROUND((9*$Y1075-9*$E1075)/(10*$E1075),4),0))))</f>
        <v/>
      </c>
      <c r="AB1075" s="13" t="n"/>
      <c r="AC1075" s="15">
        <f>IF($B1075="","",IF($AB1075&lt;&gt;"",$AB1075,IF($AA1075="","",IF($AA1075&lt;=設定!$C$3,0,$AA1075))))</f>
        <v/>
      </c>
      <c r="AD1075" s="14">
        <f>IF($B1075="","",IF(AND($AE1075&lt;&gt;"",$AG1075="",$AJ1075=""),"保留中",IF($AJ1075&lt;&gt;"",IF(N($AC1075)&gt;0,"支給済","不支給"),IF($AC1075="","要確認",IF($AC1075=0,"不支給","未処理")))))</f>
        <v/>
      </c>
      <c r="AE1075" s="12" t="n"/>
      <c r="AF1075" s="11" t="n"/>
      <c r="AG1075" s="11" t="n"/>
      <c r="AH1075" s="11" t="n"/>
      <c r="AI1075" s="14">
        <f>IF(AND($AD1075="保留中",$AF1075&lt;&gt;""),TODAY()-$AF1075,"")</f>
        <v/>
      </c>
      <c r="AJ1075" s="12" t="n"/>
      <c r="AK1075" s="14">
        <f>IF($B1075="","",IF($AO1075="","対象年月が未入力／","")&amp;IF($B1075="","",IF($AN1075="","職員マスタに未登録の職員番号／",IF($Y1075="","標準報酬月額が未登録／","")&amp;IF(AND($AO1075&lt;&gt;"",OR(AND(INDEX(職員マスタ!$G$6:$G$405,$AN1075)&lt;&gt;"",INDEX(職員マスタ!$G$6:$G$405,$AN1075)&gt;EOMONTH($AO1075,0)),AND(INDEX(職員マスタ!$H$6:$H$405,$AN1075)&lt;&gt;"",INDEX(職員マスタ!$H$6:$H$405,$AN1075)&lt;$AO1075))),"対象月が時短期間外／","")&amp;IF(AND(INDEX(職員マスタ!$F$6:$F$405,$AN1075)&lt;&gt;"",$AO1075&lt;&gt;"",INDEX(職員マスタ!$F$6:$F$405,$AN1075)&lt;$AO1075),"対象月に子が2歳到達済／","")&amp;IF(AND($H1075&lt;&gt;"",INDEX(職員マスタ!$B$6:$B$405,$AN1075)&lt;&gt;"",SUBSTITUTE(SUBSTITUTE($H1075," ","")," ","")&lt;&gt;SUBSTITUTE(SUBSTITUTE(INDEX(職員マスタ!$B$6:$B$405,$AN1075)," ","")," ","")),"氏名がマスタと相違／","")&amp;IF(AND($Q1075&lt;&gt;"",INDEX(職員マスタ!$E$6:$E$405,$AN1075)&lt;&gt;"",$Q1075&lt;&gt;INDEX(職員マスタ!$E$6:$E$405,$AN1075)),"子の生年月日がマスタと相違／","")&amp;IF(AND($L1075&lt;&gt;"",INDEX(職員マスタ!$G$6:$G$405,$AN1075)&lt;&gt;"",$L1075&lt;&gt;INDEX(職員マスタ!$G$6:$G$405,$AN1075)),"時短開始日がマスタと相違／","")&amp;IF(AND($M1075&lt;&gt;"",INDEX(職員マスタ!$H$6:$H$405,$AN1075)&lt;&gt;"",$M1075&lt;&gt;INDEX(職員マスタ!$H$6:$H$405,$AN1075)),"時短終了日がマスタと相違／","")))&amp;IF(AND($B1075&lt;&gt;"",$E1075=""),"報酬額が未入力／","")&amp;IF(N($U1075)&gt;0,"申請書に入力エラーが残っています／","")&amp;IF(AND($B1075&lt;&gt;"",$AO1075&lt;&gt;""),IF(COUNTIFS($B$6:$B$3005,$B1075,$C$6:$C$3005,$C1075,$D$6:$D$3005,$D1075)&gt;1,"同じ月の請求が重複しています／",""),"")&amp;IF(AND(N($E1075)&gt;0,$Z1075&lt;&gt;"",$Z1075&lt;&gt;"×",$AC1075=0,$AB1075=""),"計算額が下限以下のため不支給／",""))</f>
        <v/>
      </c>
      <c r="AL1075" s="12" t="n"/>
      <c r="AM1075" s="14">
        <f>IF($AD1075="保留中",COUNTIF($AD$6:$AD1075,"保留中"),"")</f>
        <v/>
      </c>
      <c r="AN1075" s="14">
        <f>IF($AO1075="","",IF(SUMPRODUCT(MAX((職員マスタ!$A$6:$A$405=$B1075)*(((職員マスタ!$G$6:$G$405="")+(職員マスタ!$G$6:$G$405&lt;=EOMONTH($AO1075,0)))&gt;0)*(((職員マスタ!$H$6:$H$405="")+(職員マスタ!$H$6:$H$405&gt;=$AO1075))&gt;0)*(ROW(職員マスタ!$A$6:$A$405)-5)))&gt;0,SUMPRODUCT(MAX((職員マスタ!$A$6:$A$405=$B1075)*(((職員マスタ!$G$6:$G$405="")+(職員マスタ!$G$6:$G$405&lt;=EOMONTH($AO1075,0)))&gt;0)*(((職員マスタ!$H$6:$H$405="")+(職員マスタ!$H$6:$H$405&gt;=$AO1075))&gt;0)*(ROW(職員マスタ!$A$6:$A$405)-5))),IFERROR(MATCH($B1075,職員マスタ!$A$6:$A$405,0),"")))</f>
        <v/>
      </c>
      <c r="AO1075" s="16">
        <f>IF(OR($B1075="",$C1075="",$D1075=""),"",DATE($C1075+2018,$D1075,1))</f>
        <v/>
      </c>
    </row>
    <row r="1076">
      <c r="A1076" s="11" t="n"/>
      <c r="B1076" s="12" t="n"/>
      <c r="C1076" s="12" t="n"/>
      <c r="D1076" s="12" t="n"/>
      <c r="E1076" s="13" t="n"/>
      <c r="F1076" s="12" t="n"/>
      <c r="G1076" s="13" t="n"/>
      <c r="H1076" s="12" t="n"/>
      <c r="I1076" s="12" t="n"/>
      <c r="J1076" s="12" t="n"/>
      <c r="K1076" s="12" t="n"/>
      <c r="L1076" s="11" t="n"/>
      <c r="M1076" s="11" t="n"/>
      <c r="N1076" s="11" t="n"/>
      <c r="O1076" s="11" t="n"/>
      <c r="P1076" s="12" t="n"/>
      <c r="Q1076" s="11" t="n"/>
      <c r="R1076" s="12" t="n"/>
      <c r="S1076" s="11" t="n"/>
      <c r="T1076" s="12" t="n"/>
      <c r="U1076" s="12" t="n"/>
      <c r="V1076" s="14">
        <f>IF($AN1076="",IF($B1076="","",$H1076),IF(INDEX(職員マスタ!$B$6:$B$405,$AN1076)="",$H1076,INDEX(職員マスタ!$B$6:$B$405,$AN1076)))</f>
        <v/>
      </c>
      <c r="W1076" s="14">
        <f>IF($AN1076="",IF($B1076="","",$R1076),IF(INDEX(職員マスタ!$C$6:$C$405,$AN1076)="",$R1076,INDEX(職員マスタ!$C$6:$C$405,$AN1076)))</f>
        <v/>
      </c>
      <c r="X1076" s="14">
        <f>IF($AO1076="","","R"&amp;$C1076&amp;"."&amp;$D1076)</f>
        <v/>
      </c>
      <c r="Y1076" s="15">
        <f>IF($AN1076="","",IF(INDEX(職員マスタ!$K$6:$K$405,$AN1076)="","",INDEX(職員マスタ!$K$6:$K$405,$AN1076)))</f>
        <v/>
      </c>
      <c r="Z1076" s="14">
        <f>IF(OR($E1076="",$Y1076=""),"",IF($E1076&gt;=$Y1076,"×",IF($E1076&gt;=$Y1076*設定!$C$5,"△","○")))</f>
        <v/>
      </c>
      <c r="AA1076" s="15">
        <f>IF($Z1076="","",IF($Z1076="×",0,IF($Z1076="○",ROUNDDOWN($E1076*設定!$C$4,0),ROUNDDOWN($E1076*ROUND((9*$Y1076-9*$E1076)/(10*$E1076),4),0))))</f>
        <v/>
      </c>
      <c r="AB1076" s="13" t="n"/>
      <c r="AC1076" s="15">
        <f>IF($B1076="","",IF($AB1076&lt;&gt;"",$AB1076,IF($AA1076="","",IF($AA1076&lt;=設定!$C$3,0,$AA1076))))</f>
        <v/>
      </c>
      <c r="AD1076" s="14">
        <f>IF($B1076="","",IF(AND($AE1076&lt;&gt;"",$AG1076="",$AJ1076=""),"保留中",IF($AJ1076&lt;&gt;"",IF(N($AC1076)&gt;0,"支給済","不支給"),IF($AC1076="","要確認",IF($AC1076=0,"不支給","未処理")))))</f>
        <v/>
      </c>
      <c r="AE1076" s="12" t="n"/>
      <c r="AF1076" s="11" t="n"/>
      <c r="AG1076" s="11" t="n"/>
      <c r="AH1076" s="11" t="n"/>
      <c r="AI1076" s="14">
        <f>IF(AND($AD1076="保留中",$AF1076&lt;&gt;""),TODAY()-$AF1076,"")</f>
        <v/>
      </c>
      <c r="AJ1076" s="12" t="n"/>
      <c r="AK1076" s="14">
        <f>IF($B1076="","",IF($AO1076="","対象年月が未入力／","")&amp;IF($B1076="","",IF($AN1076="","職員マスタに未登録の職員番号／",IF($Y1076="","標準報酬月額が未登録／","")&amp;IF(AND($AO1076&lt;&gt;"",OR(AND(INDEX(職員マスタ!$G$6:$G$405,$AN1076)&lt;&gt;"",INDEX(職員マスタ!$G$6:$G$405,$AN1076)&gt;EOMONTH($AO1076,0)),AND(INDEX(職員マスタ!$H$6:$H$405,$AN1076)&lt;&gt;"",INDEX(職員マスタ!$H$6:$H$405,$AN1076)&lt;$AO1076))),"対象月が時短期間外／","")&amp;IF(AND(INDEX(職員マスタ!$F$6:$F$405,$AN1076)&lt;&gt;"",$AO1076&lt;&gt;"",INDEX(職員マスタ!$F$6:$F$405,$AN1076)&lt;$AO1076),"対象月に子が2歳到達済／","")&amp;IF(AND($H1076&lt;&gt;"",INDEX(職員マスタ!$B$6:$B$405,$AN1076)&lt;&gt;"",SUBSTITUTE(SUBSTITUTE($H1076," ","")," ","")&lt;&gt;SUBSTITUTE(SUBSTITUTE(INDEX(職員マスタ!$B$6:$B$405,$AN1076)," ","")," ","")),"氏名がマスタと相違／","")&amp;IF(AND($Q1076&lt;&gt;"",INDEX(職員マスタ!$E$6:$E$405,$AN1076)&lt;&gt;"",$Q1076&lt;&gt;INDEX(職員マスタ!$E$6:$E$405,$AN1076)),"子の生年月日がマスタと相違／","")&amp;IF(AND($L1076&lt;&gt;"",INDEX(職員マスタ!$G$6:$G$405,$AN1076)&lt;&gt;"",$L1076&lt;&gt;INDEX(職員マスタ!$G$6:$G$405,$AN1076)),"時短開始日がマスタと相違／","")&amp;IF(AND($M1076&lt;&gt;"",INDEX(職員マスタ!$H$6:$H$405,$AN1076)&lt;&gt;"",$M1076&lt;&gt;INDEX(職員マスタ!$H$6:$H$405,$AN1076)),"時短終了日がマスタと相違／","")))&amp;IF(AND($B1076&lt;&gt;"",$E1076=""),"報酬額が未入力／","")&amp;IF(N($U1076)&gt;0,"申請書に入力エラーが残っています／","")&amp;IF(AND($B1076&lt;&gt;"",$AO1076&lt;&gt;""),IF(COUNTIFS($B$6:$B$3005,$B1076,$C$6:$C$3005,$C1076,$D$6:$D$3005,$D1076)&gt;1,"同じ月の請求が重複しています／",""),"")&amp;IF(AND(N($E1076)&gt;0,$Z1076&lt;&gt;"",$Z1076&lt;&gt;"×",$AC1076=0,$AB1076=""),"計算額が下限以下のため不支給／",""))</f>
        <v/>
      </c>
      <c r="AL1076" s="12" t="n"/>
      <c r="AM1076" s="14">
        <f>IF($AD1076="保留中",COUNTIF($AD$6:$AD1076,"保留中"),"")</f>
        <v/>
      </c>
      <c r="AN1076" s="14">
        <f>IF($AO1076="","",IF(SUMPRODUCT(MAX((職員マスタ!$A$6:$A$405=$B1076)*(((職員マスタ!$G$6:$G$405="")+(職員マスタ!$G$6:$G$405&lt;=EOMONTH($AO1076,0)))&gt;0)*(((職員マスタ!$H$6:$H$405="")+(職員マスタ!$H$6:$H$405&gt;=$AO1076))&gt;0)*(ROW(職員マスタ!$A$6:$A$405)-5)))&gt;0,SUMPRODUCT(MAX((職員マスタ!$A$6:$A$405=$B1076)*(((職員マスタ!$G$6:$G$405="")+(職員マスタ!$G$6:$G$405&lt;=EOMONTH($AO1076,0)))&gt;0)*(((職員マスタ!$H$6:$H$405="")+(職員マスタ!$H$6:$H$405&gt;=$AO1076))&gt;0)*(ROW(職員マスタ!$A$6:$A$405)-5))),IFERROR(MATCH($B1076,職員マスタ!$A$6:$A$405,0),"")))</f>
        <v/>
      </c>
      <c r="AO1076" s="16">
        <f>IF(OR($B1076="",$C1076="",$D1076=""),"",DATE($C1076+2018,$D1076,1))</f>
        <v/>
      </c>
    </row>
    <row r="1077">
      <c r="A1077" s="11" t="n"/>
      <c r="B1077" s="12" t="n"/>
      <c r="C1077" s="12" t="n"/>
      <c r="D1077" s="12" t="n"/>
      <c r="E1077" s="13" t="n"/>
      <c r="F1077" s="12" t="n"/>
      <c r="G1077" s="13" t="n"/>
      <c r="H1077" s="12" t="n"/>
      <c r="I1077" s="12" t="n"/>
      <c r="J1077" s="12" t="n"/>
      <c r="K1077" s="12" t="n"/>
      <c r="L1077" s="11" t="n"/>
      <c r="M1077" s="11" t="n"/>
      <c r="N1077" s="11" t="n"/>
      <c r="O1077" s="11" t="n"/>
      <c r="P1077" s="12" t="n"/>
      <c r="Q1077" s="11" t="n"/>
      <c r="R1077" s="12" t="n"/>
      <c r="S1077" s="11" t="n"/>
      <c r="T1077" s="12" t="n"/>
      <c r="U1077" s="12" t="n"/>
      <c r="V1077" s="14">
        <f>IF($AN1077="",IF($B1077="","",$H1077),IF(INDEX(職員マスタ!$B$6:$B$405,$AN1077)="",$H1077,INDEX(職員マスタ!$B$6:$B$405,$AN1077)))</f>
        <v/>
      </c>
      <c r="W1077" s="14">
        <f>IF($AN1077="",IF($B1077="","",$R1077),IF(INDEX(職員マスタ!$C$6:$C$405,$AN1077)="",$R1077,INDEX(職員マスタ!$C$6:$C$405,$AN1077)))</f>
        <v/>
      </c>
      <c r="X1077" s="14">
        <f>IF($AO1077="","","R"&amp;$C1077&amp;"."&amp;$D1077)</f>
        <v/>
      </c>
      <c r="Y1077" s="15">
        <f>IF($AN1077="","",IF(INDEX(職員マスタ!$K$6:$K$405,$AN1077)="","",INDEX(職員マスタ!$K$6:$K$405,$AN1077)))</f>
        <v/>
      </c>
      <c r="Z1077" s="14">
        <f>IF(OR($E1077="",$Y1077=""),"",IF($E1077&gt;=$Y1077,"×",IF($E1077&gt;=$Y1077*設定!$C$5,"△","○")))</f>
        <v/>
      </c>
      <c r="AA1077" s="15">
        <f>IF($Z1077="","",IF($Z1077="×",0,IF($Z1077="○",ROUNDDOWN($E1077*設定!$C$4,0),ROUNDDOWN($E1077*ROUND((9*$Y1077-9*$E1077)/(10*$E1077),4),0))))</f>
        <v/>
      </c>
      <c r="AB1077" s="13" t="n"/>
      <c r="AC1077" s="15">
        <f>IF($B1077="","",IF($AB1077&lt;&gt;"",$AB1077,IF($AA1077="","",IF($AA1077&lt;=設定!$C$3,0,$AA1077))))</f>
        <v/>
      </c>
      <c r="AD1077" s="14">
        <f>IF($B1077="","",IF(AND($AE1077&lt;&gt;"",$AG1077="",$AJ1077=""),"保留中",IF($AJ1077&lt;&gt;"",IF(N($AC1077)&gt;0,"支給済","不支給"),IF($AC1077="","要確認",IF($AC1077=0,"不支給","未処理")))))</f>
        <v/>
      </c>
      <c r="AE1077" s="12" t="n"/>
      <c r="AF1077" s="11" t="n"/>
      <c r="AG1077" s="11" t="n"/>
      <c r="AH1077" s="11" t="n"/>
      <c r="AI1077" s="14">
        <f>IF(AND($AD1077="保留中",$AF1077&lt;&gt;""),TODAY()-$AF1077,"")</f>
        <v/>
      </c>
      <c r="AJ1077" s="12" t="n"/>
      <c r="AK1077" s="14">
        <f>IF($B1077="","",IF($AO1077="","対象年月が未入力／","")&amp;IF($B1077="","",IF($AN1077="","職員マスタに未登録の職員番号／",IF($Y1077="","標準報酬月額が未登録／","")&amp;IF(AND($AO1077&lt;&gt;"",OR(AND(INDEX(職員マスタ!$G$6:$G$405,$AN1077)&lt;&gt;"",INDEX(職員マスタ!$G$6:$G$405,$AN1077)&gt;EOMONTH($AO1077,0)),AND(INDEX(職員マスタ!$H$6:$H$405,$AN1077)&lt;&gt;"",INDEX(職員マスタ!$H$6:$H$405,$AN1077)&lt;$AO1077))),"対象月が時短期間外／","")&amp;IF(AND(INDEX(職員マスタ!$F$6:$F$405,$AN1077)&lt;&gt;"",$AO1077&lt;&gt;"",INDEX(職員マスタ!$F$6:$F$405,$AN1077)&lt;$AO1077),"対象月に子が2歳到達済／","")&amp;IF(AND($H1077&lt;&gt;"",INDEX(職員マスタ!$B$6:$B$405,$AN1077)&lt;&gt;"",SUBSTITUTE(SUBSTITUTE($H1077," ","")," ","")&lt;&gt;SUBSTITUTE(SUBSTITUTE(INDEX(職員マスタ!$B$6:$B$405,$AN1077)," ","")," ","")),"氏名がマスタと相違／","")&amp;IF(AND($Q1077&lt;&gt;"",INDEX(職員マスタ!$E$6:$E$405,$AN1077)&lt;&gt;"",$Q1077&lt;&gt;INDEX(職員マスタ!$E$6:$E$405,$AN1077)),"子の生年月日がマスタと相違／","")&amp;IF(AND($L1077&lt;&gt;"",INDEX(職員マスタ!$G$6:$G$405,$AN1077)&lt;&gt;"",$L1077&lt;&gt;INDEX(職員マスタ!$G$6:$G$405,$AN1077)),"時短開始日がマスタと相違／","")&amp;IF(AND($M1077&lt;&gt;"",INDEX(職員マスタ!$H$6:$H$405,$AN1077)&lt;&gt;"",$M1077&lt;&gt;INDEX(職員マスタ!$H$6:$H$405,$AN1077)),"時短終了日がマスタと相違／","")))&amp;IF(AND($B1077&lt;&gt;"",$E1077=""),"報酬額が未入力／","")&amp;IF(N($U1077)&gt;0,"申請書に入力エラーが残っています／","")&amp;IF(AND($B1077&lt;&gt;"",$AO1077&lt;&gt;""),IF(COUNTIFS($B$6:$B$3005,$B1077,$C$6:$C$3005,$C1077,$D$6:$D$3005,$D1077)&gt;1,"同じ月の請求が重複しています／",""),"")&amp;IF(AND(N($E1077)&gt;0,$Z1077&lt;&gt;"",$Z1077&lt;&gt;"×",$AC1077=0,$AB1077=""),"計算額が下限以下のため不支給／",""))</f>
        <v/>
      </c>
      <c r="AL1077" s="12" t="n"/>
      <c r="AM1077" s="14">
        <f>IF($AD1077="保留中",COUNTIF($AD$6:$AD1077,"保留中"),"")</f>
        <v/>
      </c>
      <c r="AN1077" s="14">
        <f>IF($AO1077="","",IF(SUMPRODUCT(MAX((職員マスタ!$A$6:$A$405=$B1077)*(((職員マスタ!$G$6:$G$405="")+(職員マスタ!$G$6:$G$405&lt;=EOMONTH($AO1077,0)))&gt;0)*(((職員マスタ!$H$6:$H$405="")+(職員マスタ!$H$6:$H$405&gt;=$AO1077))&gt;0)*(ROW(職員マスタ!$A$6:$A$405)-5)))&gt;0,SUMPRODUCT(MAX((職員マスタ!$A$6:$A$405=$B1077)*(((職員マスタ!$G$6:$G$405="")+(職員マスタ!$G$6:$G$405&lt;=EOMONTH($AO1077,0)))&gt;0)*(((職員マスタ!$H$6:$H$405="")+(職員マスタ!$H$6:$H$405&gt;=$AO1077))&gt;0)*(ROW(職員マスタ!$A$6:$A$405)-5))),IFERROR(MATCH($B1077,職員マスタ!$A$6:$A$405,0),"")))</f>
        <v/>
      </c>
      <c r="AO1077" s="16">
        <f>IF(OR($B1077="",$C1077="",$D1077=""),"",DATE($C1077+2018,$D1077,1))</f>
        <v/>
      </c>
    </row>
    <row r="1078">
      <c r="A1078" s="11" t="n"/>
      <c r="B1078" s="12" t="n"/>
      <c r="C1078" s="12" t="n"/>
      <c r="D1078" s="12" t="n"/>
      <c r="E1078" s="13" t="n"/>
      <c r="F1078" s="12" t="n"/>
      <c r="G1078" s="13" t="n"/>
      <c r="H1078" s="12" t="n"/>
      <c r="I1078" s="12" t="n"/>
      <c r="J1078" s="12" t="n"/>
      <c r="K1078" s="12" t="n"/>
      <c r="L1078" s="11" t="n"/>
      <c r="M1078" s="11" t="n"/>
      <c r="N1078" s="11" t="n"/>
      <c r="O1078" s="11" t="n"/>
      <c r="P1078" s="12" t="n"/>
      <c r="Q1078" s="11" t="n"/>
      <c r="R1078" s="12" t="n"/>
      <c r="S1078" s="11" t="n"/>
      <c r="T1078" s="12" t="n"/>
      <c r="U1078" s="12" t="n"/>
      <c r="V1078" s="14">
        <f>IF($AN1078="",IF($B1078="","",$H1078),IF(INDEX(職員マスタ!$B$6:$B$405,$AN1078)="",$H1078,INDEX(職員マスタ!$B$6:$B$405,$AN1078)))</f>
        <v/>
      </c>
      <c r="W1078" s="14">
        <f>IF($AN1078="",IF($B1078="","",$R1078),IF(INDEX(職員マスタ!$C$6:$C$405,$AN1078)="",$R1078,INDEX(職員マスタ!$C$6:$C$405,$AN1078)))</f>
        <v/>
      </c>
      <c r="X1078" s="14">
        <f>IF($AO1078="","","R"&amp;$C1078&amp;"."&amp;$D1078)</f>
        <v/>
      </c>
      <c r="Y1078" s="15">
        <f>IF($AN1078="","",IF(INDEX(職員マスタ!$K$6:$K$405,$AN1078)="","",INDEX(職員マスタ!$K$6:$K$405,$AN1078)))</f>
        <v/>
      </c>
      <c r="Z1078" s="14">
        <f>IF(OR($E1078="",$Y1078=""),"",IF($E1078&gt;=$Y1078,"×",IF($E1078&gt;=$Y1078*設定!$C$5,"△","○")))</f>
        <v/>
      </c>
      <c r="AA1078" s="15">
        <f>IF($Z1078="","",IF($Z1078="×",0,IF($Z1078="○",ROUNDDOWN($E1078*設定!$C$4,0),ROUNDDOWN($E1078*ROUND((9*$Y1078-9*$E1078)/(10*$E1078),4),0))))</f>
        <v/>
      </c>
      <c r="AB1078" s="13" t="n"/>
      <c r="AC1078" s="15">
        <f>IF($B1078="","",IF($AB1078&lt;&gt;"",$AB1078,IF($AA1078="","",IF($AA1078&lt;=設定!$C$3,0,$AA1078))))</f>
        <v/>
      </c>
      <c r="AD1078" s="14">
        <f>IF($B1078="","",IF(AND($AE1078&lt;&gt;"",$AG1078="",$AJ1078=""),"保留中",IF($AJ1078&lt;&gt;"",IF(N($AC1078)&gt;0,"支給済","不支給"),IF($AC1078="","要確認",IF($AC1078=0,"不支給","未処理")))))</f>
        <v/>
      </c>
      <c r="AE1078" s="12" t="n"/>
      <c r="AF1078" s="11" t="n"/>
      <c r="AG1078" s="11" t="n"/>
      <c r="AH1078" s="11" t="n"/>
      <c r="AI1078" s="14">
        <f>IF(AND($AD1078="保留中",$AF1078&lt;&gt;""),TODAY()-$AF1078,"")</f>
        <v/>
      </c>
      <c r="AJ1078" s="12" t="n"/>
      <c r="AK1078" s="14">
        <f>IF($B1078="","",IF($AO1078="","対象年月が未入力／","")&amp;IF($B1078="","",IF($AN1078="","職員マスタに未登録の職員番号／",IF($Y1078="","標準報酬月額が未登録／","")&amp;IF(AND($AO1078&lt;&gt;"",OR(AND(INDEX(職員マスタ!$G$6:$G$405,$AN1078)&lt;&gt;"",INDEX(職員マスタ!$G$6:$G$405,$AN1078)&gt;EOMONTH($AO1078,0)),AND(INDEX(職員マスタ!$H$6:$H$405,$AN1078)&lt;&gt;"",INDEX(職員マスタ!$H$6:$H$405,$AN1078)&lt;$AO1078))),"対象月が時短期間外／","")&amp;IF(AND(INDEX(職員マスタ!$F$6:$F$405,$AN1078)&lt;&gt;"",$AO1078&lt;&gt;"",INDEX(職員マスタ!$F$6:$F$405,$AN1078)&lt;$AO1078),"対象月に子が2歳到達済／","")&amp;IF(AND($H1078&lt;&gt;"",INDEX(職員マスタ!$B$6:$B$405,$AN1078)&lt;&gt;"",SUBSTITUTE(SUBSTITUTE($H1078," ","")," ","")&lt;&gt;SUBSTITUTE(SUBSTITUTE(INDEX(職員マスタ!$B$6:$B$405,$AN1078)," ","")," ","")),"氏名がマスタと相違／","")&amp;IF(AND($Q1078&lt;&gt;"",INDEX(職員マスタ!$E$6:$E$405,$AN1078)&lt;&gt;"",$Q1078&lt;&gt;INDEX(職員マスタ!$E$6:$E$405,$AN1078)),"子の生年月日がマスタと相違／","")&amp;IF(AND($L1078&lt;&gt;"",INDEX(職員マスタ!$G$6:$G$405,$AN1078)&lt;&gt;"",$L1078&lt;&gt;INDEX(職員マスタ!$G$6:$G$405,$AN1078)),"時短開始日がマスタと相違／","")&amp;IF(AND($M1078&lt;&gt;"",INDEX(職員マスタ!$H$6:$H$405,$AN1078)&lt;&gt;"",$M1078&lt;&gt;INDEX(職員マスタ!$H$6:$H$405,$AN1078)),"時短終了日がマスタと相違／","")))&amp;IF(AND($B1078&lt;&gt;"",$E1078=""),"報酬額が未入力／","")&amp;IF(N($U1078)&gt;0,"申請書に入力エラーが残っています／","")&amp;IF(AND($B1078&lt;&gt;"",$AO1078&lt;&gt;""),IF(COUNTIFS($B$6:$B$3005,$B1078,$C$6:$C$3005,$C1078,$D$6:$D$3005,$D1078)&gt;1,"同じ月の請求が重複しています／",""),"")&amp;IF(AND(N($E1078)&gt;0,$Z1078&lt;&gt;"",$Z1078&lt;&gt;"×",$AC1078=0,$AB1078=""),"計算額が下限以下のため不支給／",""))</f>
        <v/>
      </c>
      <c r="AL1078" s="12" t="n"/>
      <c r="AM1078" s="14">
        <f>IF($AD1078="保留中",COUNTIF($AD$6:$AD1078,"保留中"),"")</f>
        <v/>
      </c>
      <c r="AN1078" s="14">
        <f>IF($AO1078="","",IF(SUMPRODUCT(MAX((職員マスタ!$A$6:$A$405=$B1078)*(((職員マスタ!$G$6:$G$405="")+(職員マスタ!$G$6:$G$405&lt;=EOMONTH($AO1078,0)))&gt;0)*(((職員マスタ!$H$6:$H$405="")+(職員マスタ!$H$6:$H$405&gt;=$AO1078))&gt;0)*(ROW(職員マスタ!$A$6:$A$405)-5)))&gt;0,SUMPRODUCT(MAX((職員マスタ!$A$6:$A$405=$B1078)*(((職員マスタ!$G$6:$G$405="")+(職員マスタ!$G$6:$G$405&lt;=EOMONTH($AO1078,0)))&gt;0)*(((職員マスタ!$H$6:$H$405="")+(職員マスタ!$H$6:$H$405&gt;=$AO1078))&gt;0)*(ROW(職員マスタ!$A$6:$A$405)-5))),IFERROR(MATCH($B1078,職員マスタ!$A$6:$A$405,0),"")))</f>
        <v/>
      </c>
      <c r="AO1078" s="16">
        <f>IF(OR($B1078="",$C1078="",$D1078=""),"",DATE($C1078+2018,$D1078,1))</f>
        <v/>
      </c>
    </row>
    <row r="1079">
      <c r="A1079" s="11" t="n"/>
      <c r="B1079" s="12" t="n"/>
      <c r="C1079" s="12" t="n"/>
      <c r="D1079" s="12" t="n"/>
      <c r="E1079" s="13" t="n"/>
      <c r="F1079" s="12" t="n"/>
      <c r="G1079" s="13" t="n"/>
      <c r="H1079" s="12" t="n"/>
      <c r="I1079" s="12" t="n"/>
      <c r="J1079" s="12" t="n"/>
      <c r="K1079" s="12" t="n"/>
      <c r="L1079" s="11" t="n"/>
      <c r="M1079" s="11" t="n"/>
      <c r="N1079" s="11" t="n"/>
      <c r="O1079" s="11" t="n"/>
      <c r="P1079" s="12" t="n"/>
      <c r="Q1079" s="11" t="n"/>
      <c r="R1079" s="12" t="n"/>
      <c r="S1079" s="11" t="n"/>
      <c r="T1079" s="12" t="n"/>
      <c r="U1079" s="12" t="n"/>
      <c r="V1079" s="14">
        <f>IF($AN1079="",IF($B1079="","",$H1079),IF(INDEX(職員マスタ!$B$6:$B$405,$AN1079)="",$H1079,INDEX(職員マスタ!$B$6:$B$405,$AN1079)))</f>
        <v/>
      </c>
      <c r="W1079" s="14">
        <f>IF($AN1079="",IF($B1079="","",$R1079),IF(INDEX(職員マスタ!$C$6:$C$405,$AN1079)="",$R1079,INDEX(職員マスタ!$C$6:$C$405,$AN1079)))</f>
        <v/>
      </c>
      <c r="X1079" s="14">
        <f>IF($AO1079="","","R"&amp;$C1079&amp;"."&amp;$D1079)</f>
        <v/>
      </c>
      <c r="Y1079" s="15">
        <f>IF($AN1079="","",IF(INDEX(職員マスタ!$K$6:$K$405,$AN1079)="","",INDEX(職員マスタ!$K$6:$K$405,$AN1079)))</f>
        <v/>
      </c>
      <c r="Z1079" s="14">
        <f>IF(OR($E1079="",$Y1079=""),"",IF($E1079&gt;=$Y1079,"×",IF($E1079&gt;=$Y1079*設定!$C$5,"△","○")))</f>
        <v/>
      </c>
      <c r="AA1079" s="15">
        <f>IF($Z1079="","",IF($Z1079="×",0,IF($Z1079="○",ROUNDDOWN($E1079*設定!$C$4,0),ROUNDDOWN($E1079*ROUND((9*$Y1079-9*$E1079)/(10*$E1079),4),0))))</f>
        <v/>
      </c>
      <c r="AB1079" s="13" t="n"/>
      <c r="AC1079" s="15">
        <f>IF($B1079="","",IF($AB1079&lt;&gt;"",$AB1079,IF($AA1079="","",IF($AA1079&lt;=設定!$C$3,0,$AA1079))))</f>
        <v/>
      </c>
      <c r="AD1079" s="14">
        <f>IF($B1079="","",IF(AND($AE1079&lt;&gt;"",$AG1079="",$AJ1079=""),"保留中",IF($AJ1079&lt;&gt;"",IF(N($AC1079)&gt;0,"支給済","不支給"),IF($AC1079="","要確認",IF($AC1079=0,"不支給","未処理")))))</f>
        <v/>
      </c>
      <c r="AE1079" s="12" t="n"/>
      <c r="AF1079" s="11" t="n"/>
      <c r="AG1079" s="11" t="n"/>
      <c r="AH1079" s="11" t="n"/>
      <c r="AI1079" s="14">
        <f>IF(AND($AD1079="保留中",$AF1079&lt;&gt;""),TODAY()-$AF1079,"")</f>
        <v/>
      </c>
      <c r="AJ1079" s="12" t="n"/>
      <c r="AK1079" s="14">
        <f>IF($B1079="","",IF($AO1079="","対象年月が未入力／","")&amp;IF($B1079="","",IF($AN1079="","職員マスタに未登録の職員番号／",IF($Y1079="","標準報酬月額が未登録／","")&amp;IF(AND($AO1079&lt;&gt;"",OR(AND(INDEX(職員マスタ!$G$6:$G$405,$AN1079)&lt;&gt;"",INDEX(職員マスタ!$G$6:$G$405,$AN1079)&gt;EOMONTH($AO1079,0)),AND(INDEX(職員マスタ!$H$6:$H$405,$AN1079)&lt;&gt;"",INDEX(職員マスタ!$H$6:$H$405,$AN1079)&lt;$AO1079))),"対象月が時短期間外／","")&amp;IF(AND(INDEX(職員マスタ!$F$6:$F$405,$AN1079)&lt;&gt;"",$AO1079&lt;&gt;"",INDEX(職員マスタ!$F$6:$F$405,$AN1079)&lt;$AO1079),"対象月に子が2歳到達済／","")&amp;IF(AND($H1079&lt;&gt;"",INDEX(職員マスタ!$B$6:$B$405,$AN1079)&lt;&gt;"",SUBSTITUTE(SUBSTITUTE($H1079," ","")," ","")&lt;&gt;SUBSTITUTE(SUBSTITUTE(INDEX(職員マスタ!$B$6:$B$405,$AN1079)," ","")," ","")),"氏名がマスタと相違／","")&amp;IF(AND($Q1079&lt;&gt;"",INDEX(職員マスタ!$E$6:$E$405,$AN1079)&lt;&gt;"",$Q1079&lt;&gt;INDEX(職員マスタ!$E$6:$E$405,$AN1079)),"子の生年月日がマスタと相違／","")&amp;IF(AND($L1079&lt;&gt;"",INDEX(職員マスタ!$G$6:$G$405,$AN1079)&lt;&gt;"",$L1079&lt;&gt;INDEX(職員マスタ!$G$6:$G$405,$AN1079)),"時短開始日がマスタと相違／","")&amp;IF(AND($M1079&lt;&gt;"",INDEX(職員マスタ!$H$6:$H$405,$AN1079)&lt;&gt;"",$M1079&lt;&gt;INDEX(職員マスタ!$H$6:$H$405,$AN1079)),"時短終了日がマスタと相違／","")))&amp;IF(AND($B1079&lt;&gt;"",$E1079=""),"報酬額が未入力／","")&amp;IF(N($U1079)&gt;0,"申請書に入力エラーが残っています／","")&amp;IF(AND($B1079&lt;&gt;"",$AO1079&lt;&gt;""),IF(COUNTIFS($B$6:$B$3005,$B1079,$C$6:$C$3005,$C1079,$D$6:$D$3005,$D1079)&gt;1,"同じ月の請求が重複しています／",""),"")&amp;IF(AND(N($E1079)&gt;0,$Z1079&lt;&gt;"",$Z1079&lt;&gt;"×",$AC1079=0,$AB1079=""),"計算額が下限以下のため不支給／",""))</f>
        <v/>
      </c>
      <c r="AL1079" s="12" t="n"/>
      <c r="AM1079" s="14">
        <f>IF($AD1079="保留中",COUNTIF($AD$6:$AD1079,"保留中"),"")</f>
        <v/>
      </c>
      <c r="AN1079" s="14">
        <f>IF($AO1079="","",IF(SUMPRODUCT(MAX((職員マスタ!$A$6:$A$405=$B1079)*(((職員マスタ!$G$6:$G$405="")+(職員マスタ!$G$6:$G$405&lt;=EOMONTH($AO1079,0)))&gt;0)*(((職員マスタ!$H$6:$H$405="")+(職員マスタ!$H$6:$H$405&gt;=$AO1079))&gt;0)*(ROW(職員マスタ!$A$6:$A$405)-5)))&gt;0,SUMPRODUCT(MAX((職員マスタ!$A$6:$A$405=$B1079)*(((職員マスタ!$G$6:$G$405="")+(職員マスタ!$G$6:$G$405&lt;=EOMONTH($AO1079,0)))&gt;0)*(((職員マスタ!$H$6:$H$405="")+(職員マスタ!$H$6:$H$405&gt;=$AO1079))&gt;0)*(ROW(職員マスタ!$A$6:$A$405)-5))),IFERROR(MATCH($B1079,職員マスタ!$A$6:$A$405,0),"")))</f>
        <v/>
      </c>
      <c r="AO1079" s="16">
        <f>IF(OR($B1079="",$C1079="",$D1079=""),"",DATE($C1079+2018,$D1079,1))</f>
        <v/>
      </c>
    </row>
    <row r="1080">
      <c r="A1080" s="11" t="n"/>
      <c r="B1080" s="12" t="n"/>
      <c r="C1080" s="12" t="n"/>
      <c r="D1080" s="12" t="n"/>
      <c r="E1080" s="13" t="n"/>
      <c r="F1080" s="12" t="n"/>
      <c r="G1080" s="13" t="n"/>
      <c r="H1080" s="12" t="n"/>
      <c r="I1080" s="12" t="n"/>
      <c r="J1080" s="12" t="n"/>
      <c r="K1080" s="12" t="n"/>
      <c r="L1080" s="11" t="n"/>
      <c r="M1080" s="11" t="n"/>
      <c r="N1080" s="11" t="n"/>
      <c r="O1080" s="11" t="n"/>
      <c r="P1080" s="12" t="n"/>
      <c r="Q1080" s="11" t="n"/>
      <c r="R1080" s="12" t="n"/>
      <c r="S1080" s="11" t="n"/>
      <c r="T1080" s="12" t="n"/>
      <c r="U1080" s="12" t="n"/>
      <c r="V1080" s="14">
        <f>IF($AN1080="",IF($B1080="","",$H1080),IF(INDEX(職員マスタ!$B$6:$B$405,$AN1080)="",$H1080,INDEX(職員マスタ!$B$6:$B$405,$AN1080)))</f>
        <v/>
      </c>
      <c r="W1080" s="14">
        <f>IF($AN1080="",IF($B1080="","",$R1080),IF(INDEX(職員マスタ!$C$6:$C$405,$AN1080)="",$R1080,INDEX(職員マスタ!$C$6:$C$405,$AN1080)))</f>
        <v/>
      </c>
      <c r="X1080" s="14">
        <f>IF($AO1080="","","R"&amp;$C1080&amp;"."&amp;$D1080)</f>
        <v/>
      </c>
      <c r="Y1080" s="15">
        <f>IF($AN1080="","",IF(INDEX(職員マスタ!$K$6:$K$405,$AN1080)="","",INDEX(職員マスタ!$K$6:$K$405,$AN1080)))</f>
        <v/>
      </c>
      <c r="Z1080" s="14">
        <f>IF(OR($E1080="",$Y1080=""),"",IF($E1080&gt;=$Y1080,"×",IF($E1080&gt;=$Y1080*設定!$C$5,"△","○")))</f>
        <v/>
      </c>
      <c r="AA1080" s="15">
        <f>IF($Z1080="","",IF($Z1080="×",0,IF($Z1080="○",ROUNDDOWN($E1080*設定!$C$4,0),ROUNDDOWN($E1080*ROUND((9*$Y1080-9*$E1080)/(10*$E1080),4),0))))</f>
        <v/>
      </c>
      <c r="AB1080" s="13" t="n"/>
      <c r="AC1080" s="15">
        <f>IF($B1080="","",IF($AB1080&lt;&gt;"",$AB1080,IF($AA1080="","",IF($AA1080&lt;=設定!$C$3,0,$AA1080))))</f>
        <v/>
      </c>
      <c r="AD1080" s="14">
        <f>IF($B1080="","",IF(AND($AE1080&lt;&gt;"",$AG1080="",$AJ1080=""),"保留中",IF($AJ1080&lt;&gt;"",IF(N($AC1080)&gt;0,"支給済","不支給"),IF($AC1080="","要確認",IF($AC1080=0,"不支給","未処理")))))</f>
        <v/>
      </c>
      <c r="AE1080" s="12" t="n"/>
      <c r="AF1080" s="11" t="n"/>
      <c r="AG1080" s="11" t="n"/>
      <c r="AH1080" s="11" t="n"/>
      <c r="AI1080" s="14">
        <f>IF(AND($AD1080="保留中",$AF1080&lt;&gt;""),TODAY()-$AF1080,"")</f>
        <v/>
      </c>
      <c r="AJ1080" s="12" t="n"/>
      <c r="AK1080" s="14">
        <f>IF($B1080="","",IF($AO1080="","対象年月が未入力／","")&amp;IF($B1080="","",IF($AN1080="","職員マスタに未登録の職員番号／",IF($Y1080="","標準報酬月額が未登録／","")&amp;IF(AND($AO1080&lt;&gt;"",OR(AND(INDEX(職員マスタ!$G$6:$G$405,$AN1080)&lt;&gt;"",INDEX(職員マスタ!$G$6:$G$405,$AN1080)&gt;EOMONTH($AO1080,0)),AND(INDEX(職員マスタ!$H$6:$H$405,$AN1080)&lt;&gt;"",INDEX(職員マスタ!$H$6:$H$405,$AN1080)&lt;$AO1080))),"対象月が時短期間外／","")&amp;IF(AND(INDEX(職員マスタ!$F$6:$F$405,$AN1080)&lt;&gt;"",$AO1080&lt;&gt;"",INDEX(職員マスタ!$F$6:$F$405,$AN1080)&lt;$AO1080),"対象月に子が2歳到達済／","")&amp;IF(AND($H1080&lt;&gt;"",INDEX(職員マスタ!$B$6:$B$405,$AN1080)&lt;&gt;"",SUBSTITUTE(SUBSTITUTE($H1080," ","")," ","")&lt;&gt;SUBSTITUTE(SUBSTITUTE(INDEX(職員マスタ!$B$6:$B$405,$AN1080)," ","")," ","")),"氏名がマスタと相違／","")&amp;IF(AND($Q1080&lt;&gt;"",INDEX(職員マスタ!$E$6:$E$405,$AN1080)&lt;&gt;"",$Q1080&lt;&gt;INDEX(職員マスタ!$E$6:$E$405,$AN1080)),"子の生年月日がマスタと相違／","")&amp;IF(AND($L1080&lt;&gt;"",INDEX(職員マスタ!$G$6:$G$405,$AN1080)&lt;&gt;"",$L1080&lt;&gt;INDEX(職員マスタ!$G$6:$G$405,$AN1080)),"時短開始日がマスタと相違／","")&amp;IF(AND($M1080&lt;&gt;"",INDEX(職員マスタ!$H$6:$H$405,$AN1080)&lt;&gt;"",$M1080&lt;&gt;INDEX(職員マスタ!$H$6:$H$405,$AN1080)),"時短終了日がマスタと相違／","")))&amp;IF(AND($B1080&lt;&gt;"",$E1080=""),"報酬額が未入力／","")&amp;IF(N($U1080)&gt;0,"申請書に入力エラーが残っています／","")&amp;IF(AND($B1080&lt;&gt;"",$AO1080&lt;&gt;""),IF(COUNTIFS($B$6:$B$3005,$B1080,$C$6:$C$3005,$C1080,$D$6:$D$3005,$D1080)&gt;1,"同じ月の請求が重複しています／",""),"")&amp;IF(AND(N($E1080)&gt;0,$Z1080&lt;&gt;"",$Z1080&lt;&gt;"×",$AC1080=0,$AB1080=""),"計算額が下限以下のため不支給／",""))</f>
        <v/>
      </c>
      <c r="AL1080" s="12" t="n"/>
      <c r="AM1080" s="14">
        <f>IF($AD1080="保留中",COUNTIF($AD$6:$AD1080,"保留中"),"")</f>
        <v/>
      </c>
      <c r="AN1080" s="14">
        <f>IF($AO1080="","",IF(SUMPRODUCT(MAX((職員マスタ!$A$6:$A$405=$B1080)*(((職員マスタ!$G$6:$G$405="")+(職員マスタ!$G$6:$G$405&lt;=EOMONTH($AO1080,0)))&gt;0)*(((職員マスタ!$H$6:$H$405="")+(職員マスタ!$H$6:$H$405&gt;=$AO1080))&gt;0)*(ROW(職員マスタ!$A$6:$A$405)-5)))&gt;0,SUMPRODUCT(MAX((職員マスタ!$A$6:$A$405=$B1080)*(((職員マスタ!$G$6:$G$405="")+(職員マスタ!$G$6:$G$405&lt;=EOMONTH($AO1080,0)))&gt;0)*(((職員マスタ!$H$6:$H$405="")+(職員マスタ!$H$6:$H$405&gt;=$AO1080))&gt;0)*(ROW(職員マスタ!$A$6:$A$405)-5))),IFERROR(MATCH($B1080,職員マスタ!$A$6:$A$405,0),"")))</f>
        <v/>
      </c>
      <c r="AO1080" s="16">
        <f>IF(OR($B1080="",$C1080="",$D1080=""),"",DATE($C1080+2018,$D1080,1))</f>
        <v/>
      </c>
    </row>
    <row r="1081">
      <c r="A1081" s="11" t="n"/>
      <c r="B1081" s="12" t="n"/>
      <c r="C1081" s="12" t="n"/>
      <c r="D1081" s="12" t="n"/>
      <c r="E1081" s="13" t="n"/>
      <c r="F1081" s="12" t="n"/>
      <c r="G1081" s="13" t="n"/>
      <c r="H1081" s="12" t="n"/>
      <c r="I1081" s="12" t="n"/>
      <c r="J1081" s="12" t="n"/>
      <c r="K1081" s="12" t="n"/>
      <c r="L1081" s="11" t="n"/>
      <c r="M1081" s="11" t="n"/>
      <c r="N1081" s="11" t="n"/>
      <c r="O1081" s="11" t="n"/>
      <c r="P1081" s="12" t="n"/>
      <c r="Q1081" s="11" t="n"/>
      <c r="R1081" s="12" t="n"/>
      <c r="S1081" s="11" t="n"/>
      <c r="T1081" s="12" t="n"/>
      <c r="U1081" s="12" t="n"/>
      <c r="V1081" s="14">
        <f>IF($AN1081="",IF($B1081="","",$H1081),IF(INDEX(職員マスタ!$B$6:$B$405,$AN1081)="",$H1081,INDEX(職員マスタ!$B$6:$B$405,$AN1081)))</f>
        <v/>
      </c>
      <c r="W1081" s="14">
        <f>IF($AN1081="",IF($B1081="","",$R1081),IF(INDEX(職員マスタ!$C$6:$C$405,$AN1081)="",$R1081,INDEX(職員マスタ!$C$6:$C$405,$AN1081)))</f>
        <v/>
      </c>
      <c r="X1081" s="14">
        <f>IF($AO1081="","","R"&amp;$C1081&amp;"."&amp;$D1081)</f>
        <v/>
      </c>
      <c r="Y1081" s="15">
        <f>IF($AN1081="","",IF(INDEX(職員マスタ!$K$6:$K$405,$AN1081)="","",INDEX(職員マスタ!$K$6:$K$405,$AN1081)))</f>
        <v/>
      </c>
      <c r="Z1081" s="14">
        <f>IF(OR($E1081="",$Y1081=""),"",IF($E1081&gt;=$Y1081,"×",IF($E1081&gt;=$Y1081*設定!$C$5,"△","○")))</f>
        <v/>
      </c>
      <c r="AA1081" s="15">
        <f>IF($Z1081="","",IF($Z1081="×",0,IF($Z1081="○",ROUNDDOWN($E1081*設定!$C$4,0),ROUNDDOWN($E1081*ROUND((9*$Y1081-9*$E1081)/(10*$E1081),4),0))))</f>
        <v/>
      </c>
      <c r="AB1081" s="13" t="n"/>
      <c r="AC1081" s="15">
        <f>IF($B1081="","",IF($AB1081&lt;&gt;"",$AB1081,IF($AA1081="","",IF($AA1081&lt;=設定!$C$3,0,$AA1081))))</f>
        <v/>
      </c>
      <c r="AD1081" s="14">
        <f>IF($B1081="","",IF(AND($AE1081&lt;&gt;"",$AG1081="",$AJ1081=""),"保留中",IF($AJ1081&lt;&gt;"",IF(N($AC1081)&gt;0,"支給済","不支給"),IF($AC1081="","要確認",IF($AC1081=0,"不支給","未処理")))))</f>
        <v/>
      </c>
      <c r="AE1081" s="12" t="n"/>
      <c r="AF1081" s="11" t="n"/>
      <c r="AG1081" s="11" t="n"/>
      <c r="AH1081" s="11" t="n"/>
      <c r="AI1081" s="14">
        <f>IF(AND($AD1081="保留中",$AF1081&lt;&gt;""),TODAY()-$AF1081,"")</f>
        <v/>
      </c>
      <c r="AJ1081" s="12" t="n"/>
      <c r="AK1081" s="14">
        <f>IF($B1081="","",IF($AO1081="","対象年月が未入力／","")&amp;IF($B1081="","",IF($AN1081="","職員マスタに未登録の職員番号／",IF($Y1081="","標準報酬月額が未登録／","")&amp;IF(AND($AO1081&lt;&gt;"",OR(AND(INDEX(職員マスタ!$G$6:$G$405,$AN1081)&lt;&gt;"",INDEX(職員マスタ!$G$6:$G$405,$AN1081)&gt;EOMONTH($AO1081,0)),AND(INDEX(職員マスタ!$H$6:$H$405,$AN1081)&lt;&gt;"",INDEX(職員マスタ!$H$6:$H$405,$AN1081)&lt;$AO1081))),"対象月が時短期間外／","")&amp;IF(AND(INDEX(職員マスタ!$F$6:$F$405,$AN1081)&lt;&gt;"",$AO1081&lt;&gt;"",INDEX(職員マスタ!$F$6:$F$405,$AN1081)&lt;$AO1081),"対象月に子が2歳到達済／","")&amp;IF(AND($H1081&lt;&gt;"",INDEX(職員マスタ!$B$6:$B$405,$AN1081)&lt;&gt;"",SUBSTITUTE(SUBSTITUTE($H1081," ","")," ","")&lt;&gt;SUBSTITUTE(SUBSTITUTE(INDEX(職員マスタ!$B$6:$B$405,$AN1081)," ","")," ","")),"氏名がマスタと相違／","")&amp;IF(AND($Q1081&lt;&gt;"",INDEX(職員マスタ!$E$6:$E$405,$AN1081)&lt;&gt;"",$Q1081&lt;&gt;INDEX(職員マスタ!$E$6:$E$405,$AN1081)),"子の生年月日がマスタと相違／","")&amp;IF(AND($L1081&lt;&gt;"",INDEX(職員マスタ!$G$6:$G$405,$AN1081)&lt;&gt;"",$L1081&lt;&gt;INDEX(職員マスタ!$G$6:$G$405,$AN1081)),"時短開始日がマスタと相違／","")&amp;IF(AND($M1081&lt;&gt;"",INDEX(職員マスタ!$H$6:$H$405,$AN1081)&lt;&gt;"",$M1081&lt;&gt;INDEX(職員マスタ!$H$6:$H$405,$AN1081)),"時短終了日がマスタと相違／","")))&amp;IF(AND($B1081&lt;&gt;"",$E1081=""),"報酬額が未入力／","")&amp;IF(N($U1081)&gt;0,"申請書に入力エラーが残っています／","")&amp;IF(AND($B1081&lt;&gt;"",$AO1081&lt;&gt;""),IF(COUNTIFS($B$6:$B$3005,$B1081,$C$6:$C$3005,$C1081,$D$6:$D$3005,$D1081)&gt;1,"同じ月の請求が重複しています／",""),"")&amp;IF(AND(N($E1081)&gt;0,$Z1081&lt;&gt;"",$Z1081&lt;&gt;"×",$AC1081=0,$AB1081=""),"計算額が下限以下のため不支給／",""))</f>
        <v/>
      </c>
      <c r="AL1081" s="12" t="n"/>
      <c r="AM1081" s="14">
        <f>IF($AD1081="保留中",COUNTIF($AD$6:$AD1081,"保留中"),"")</f>
        <v/>
      </c>
      <c r="AN1081" s="14">
        <f>IF($AO1081="","",IF(SUMPRODUCT(MAX((職員マスタ!$A$6:$A$405=$B1081)*(((職員マスタ!$G$6:$G$405="")+(職員マスタ!$G$6:$G$405&lt;=EOMONTH($AO1081,0)))&gt;0)*(((職員マスタ!$H$6:$H$405="")+(職員マスタ!$H$6:$H$405&gt;=$AO1081))&gt;0)*(ROW(職員マスタ!$A$6:$A$405)-5)))&gt;0,SUMPRODUCT(MAX((職員マスタ!$A$6:$A$405=$B1081)*(((職員マスタ!$G$6:$G$405="")+(職員マスタ!$G$6:$G$405&lt;=EOMONTH($AO1081,0)))&gt;0)*(((職員マスタ!$H$6:$H$405="")+(職員マスタ!$H$6:$H$405&gt;=$AO1081))&gt;0)*(ROW(職員マスタ!$A$6:$A$405)-5))),IFERROR(MATCH($B1081,職員マスタ!$A$6:$A$405,0),"")))</f>
        <v/>
      </c>
      <c r="AO1081" s="16">
        <f>IF(OR($B1081="",$C1081="",$D1081=""),"",DATE($C1081+2018,$D1081,1))</f>
        <v/>
      </c>
    </row>
    <row r="1082">
      <c r="A1082" s="11" t="n"/>
      <c r="B1082" s="12" t="n"/>
      <c r="C1082" s="12" t="n"/>
      <c r="D1082" s="12" t="n"/>
      <c r="E1082" s="13" t="n"/>
      <c r="F1082" s="12" t="n"/>
      <c r="G1082" s="13" t="n"/>
      <c r="H1082" s="12" t="n"/>
      <c r="I1082" s="12" t="n"/>
      <c r="J1082" s="12" t="n"/>
      <c r="K1082" s="12" t="n"/>
      <c r="L1082" s="11" t="n"/>
      <c r="M1082" s="11" t="n"/>
      <c r="N1082" s="11" t="n"/>
      <c r="O1082" s="11" t="n"/>
      <c r="P1082" s="12" t="n"/>
      <c r="Q1082" s="11" t="n"/>
      <c r="R1082" s="12" t="n"/>
      <c r="S1082" s="11" t="n"/>
      <c r="T1082" s="12" t="n"/>
      <c r="U1082" s="12" t="n"/>
      <c r="V1082" s="14">
        <f>IF($AN1082="",IF($B1082="","",$H1082),IF(INDEX(職員マスタ!$B$6:$B$405,$AN1082)="",$H1082,INDEX(職員マスタ!$B$6:$B$405,$AN1082)))</f>
        <v/>
      </c>
      <c r="W1082" s="14">
        <f>IF($AN1082="",IF($B1082="","",$R1082),IF(INDEX(職員マスタ!$C$6:$C$405,$AN1082)="",$R1082,INDEX(職員マスタ!$C$6:$C$405,$AN1082)))</f>
        <v/>
      </c>
      <c r="X1082" s="14">
        <f>IF($AO1082="","","R"&amp;$C1082&amp;"."&amp;$D1082)</f>
        <v/>
      </c>
      <c r="Y1082" s="15">
        <f>IF($AN1082="","",IF(INDEX(職員マスタ!$K$6:$K$405,$AN1082)="","",INDEX(職員マスタ!$K$6:$K$405,$AN1082)))</f>
        <v/>
      </c>
      <c r="Z1082" s="14">
        <f>IF(OR($E1082="",$Y1082=""),"",IF($E1082&gt;=$Y1082,"×",IF($E1082&gt;=$Y1082*設定!$C$5,"△","○")))</f>
        <v/>
      </c>
      <c r="AA1082" s="15">
        <f>IF($Z1082="","",IF($Z1082="×",0,IF($Z1082="○",ROUNDDOWN($E1082*設定!$C$4,0),ROUNDDOWN($E1082*ROUND((9*$Y1082-9*$E1082)/(10*$E1082),4),0))))</f>
        <v/>
      </c>
      <c r="AB1082" s="13" t="n"/>
      <c r="AC1082" s="15">
        <f>IF($B1082="","",IF($AB1082&lt;&gt;"",$AB1082,IF($AA1082="","",IF($AA1082&lt;=設定!$C$3,0,$AA1082))))</f>
        <v/>
      </c>
      <c r="AD1082" s="14">
        <f>IF($B1082="","",IF(AND($AE1082&lt;&gt;"",$AG1082="",$AJ1082=""),"保留中",IF($AJ1082&lt;&gt;"",IF(N($AC1082)&gt;0,"支給済","不支給"),IF($AC1082="","要確認",IF($AC1082=0,"不支給","未処理")))))</f>
        <v/>
      </c>
      <c r="AE1082" s="12" t="n"/>
      <c r="AF1082" s="11" t="n"/>
      <c r="AG1082" s="11" t="n"/>
      <c r="AH1082" s="11" t="n"/>
      <c r="AI1082" s="14">
        <f>IF(AND($AD1082="保留中",$AF1082&lt;&gt;""),TODAY()-$AF1082,"")</f>
        <v/>
      </c>
      <c r="AJ1082" s="12" t="n"/>
      <c r="AK1082" s="14">
        <f>IF($B1082="","",IF($AO1082="","対象年月が未入力／","")&amp;IF($B1082="","",IF($AN1082="","職員マスタに未登録の職員番号／",IF($Y1082="","標準報酬月額が未登録／","")&amp;IF(AND($AO1082&lt;&gt;"",OR(AND(INDEX(職員マスタ!$G$6:$G$405,$AN1082)&lt;&gt;"",INDEX(職員マスタ!$G$6:$G$405,$AN1082)&gt;EOMONTH($AO1082,0)),AND(INDEX(職員マスタ!$H$6:$H$405,$AN1082)&lt;&gt;"",INDEX(職員マスタ!$H$6:$H$405,$AN1082)&lt;$AO1082))),"対象月が時短期間外／","")&amp;IF(AND(INDEX(職員マスタ!$F$6:$F$405,$AN1082)&lt;&gt;"",$AO1082&lt;&gt;"",INDEX(職員マスタ!$F$6:$F$405,$AN1082)&lt;$AO1082),"対象月に子が2歳到達済／","")&amp;IF(AND($H1082&lt;&gt;"",INDEX(職員マスタ!$B$6:$B$405,$AN1082)&lt;&gt;"",SUBSTITUTE(SUBSTITUTE($H1082," ","")," ","")&lt;&gt;SUBSTITUTE(SUBSTITUTE(INDEX(職員マスタ!$B$6:$B$405,$AN1082)," ","")," ","")),"氏名がマスタと相違／","")&amp;IF(AND($Q1082&lt;&gt;"",INDEX(職員マスタ!$E$6:$E$405,$AN1082)&lt;&gt;"",$Q1082&lt;&gt;INDEX(職員マスタ!$E$6:$E$405,$AN1082)),"子の生年月日がマスタと相違／","")&amp;IF(AND($L1082&lt;&gt;"",INDEX(職員マスタ!$G$6:$G$405,$AN1082)&lt;&gt;"",$L1082&lt;&gt;INDEX(職員マスタ!$G$6:$G$405,$AN1082)),"時短開始日がマスタと相違／","")&amp;IF(AND($M1082&lt;&gt;"",INDEX(職員マスタ!$H$6:$H$405,$AN1082)&lt;&gt;"",$M1082&lt;&gt;INDEX(職員マスタ!$H$6:$H$405,$AN1082)),"時短終了日がマスタと相違／","")))&amp;IF(AND($B1082&lt;&gt;"",$E1082=""),"報酬額が未入力／","")&amp;IF(N($U1082)&gt;0,"申請書に入力エラーが残っています／","")&amp;IF(AND($B1082&lt;&gt;"",$AO1082&lt;&gt;""),IF(COUNTIFS($B$6:$B$3005,$B1082,$C$6:$C$3005,$C1082,$D$6:$D$3005,$D1082)&gt;1,"同じ月の請求が重複しています／",""),"")&amp;IF(AND(N($E1082)&gt;0,$Z1082&lt;&gt;"",$Z1082&lt;&gt;"×",$AC1082=0,$AB1082=""),"計算額が下限以下のため不支給／",""))</f>
        <v/>
      </c>
      <c r="AL1082" s="12" t="n"/>
      <c r="AM1082" s="14">
        <f>IF($AD1082="保留中",COUNTIF($AD$6:$AD1082,"保留中"),"")</f>
        <v/>
      </c>
      <c r="AN1082" s="14">
        <f>IF($AO1082="","",IF(SUMPRODUCT(MAX((職員マスタ!$A$6:$A$405=$B1082)*(((職員マスタ!$G$6:$G$405="")+(職員マスタ!$G$6:$G$405&lt;=EOMONTH($AO1082,0)))&gt;0)*(((職員マスタ!$H$6:$H$405="")+(職員マスタ!$H$6:$H$405&gt;=$AO1082))&gt;0)*(ROW(職員マスタ!$A$6:$A$405)-5)))&gt;0,SUMPRODUCT(MAX((職員マスタ!$A$6:$A$405=$B1082)*(((職員マスタ!$G$6:$G$405="")+(職員マスタ!$G$6:$G$405&lt;=EOMONTH($AO1082,0)))&gt;0)*(((職員マスタ!$H$6:$H$405="")+(職員マスタ!$H$6:$H$405&gt;=$AO1082))&gt;0)*(ROW(職員マスタ!$A$6:$A$405)-5))),IFERROR(MATCH($B1082,職員マスタ!$A$6:$A$405,0),"")))</f>
        <v/>
      </c>
      <c r="AO1082" s="16">
        <f>IF(OR($B1082="",$C1082="",$D1082=""),"",DATE($C1082+2018,$D1082,1))</f>
        <v/>
      </c>
    </row>
    <row r="1083">
      <c r="A1083" s="11" t="n"/>
      <c r="B1083" s="12" t="n"/>
      <c r="C1083" s="12" t="n"/>
      <c r="D1083" s="12" t="n"/>
      <c r="E1083" s="13" t="n"/>
      <c r="F1083" s="12" t="n"/>
      <c r="G1083" s="13" t="n"/>
      <c r="H1083" s="12" t="n"/>
      <c r="I1083" s="12" t="n"/>
      <c r="J1083" s="12" t="n"/>
      <c r="K1083" s="12" t="n"/>
      <c r="L1083" s="11" t="n"/>
      <c r="M1083" s="11" t="n"/>
      <c r="N1083" s="11" t="n"/>
      <c r="O1083" s="11" t="n"/>
      <c r="P1083" s="12" t="n"/>
      <c r="Q1083" s="11" t="n"/>
      <c r="R1083" s="12" t="n"/>
      <c r="S1083" s="11" t="n"/>
      <c r="T1083" s="12" t="n"/>
      <c r="U1083" s="12" t="n"/>
      <c r="V1083" s="14">
        <f>IF($AN1083="",IF($B1083="","",$H1083),IF(INDEX(職員マスタ!$B$6:$B$405,$AN1083)="",$H1083,INDEX(職員マスタ!$B$6:$B$405,$AN1083)))</f>
        <v/>
      </c>
      <c r="W1083" s="14">
        <f>IF($AN1083="",IF($B1083="","",$R1083),IF(INDEX(職員マスタ!$C$6:$C$405,$AN1083)="",$R1083,INDEX(職員マスタ!$C$6:$C$405,$AN1083)))</f>
        <v/>
      </c>
      <c r="X1083" s="14">
        <f>IF($AO1083="","","R"&amp;$C1083&amp;"."&amp;$D1083)</f>
        <v/>
      </c>
      <c r="Y1083" s="15">
        <f>IF($AN1083="","",IF(INDEX(職員マスタ!$K$6:$K$405,$AN1083)="","",INDEX(職員マスタ!$K$6:$K$405,$AN1083)))</f>
        <v/>
      </c>
      <c r="Z1083" s="14">
        <f>IF(OR($E1083="",$Y1083=""),"",IF($E1083&gt;=$Y1083,"×",IF($E1083&gt;=$Y1083*設定!$C$5,"△","○")))</f>
        <v/>
      </c>
      <c r="AA1083" s="15">
        <f>IF($Z1083="","",IF($Z1083="×",0,IF($Z1083="○",ROUNDDOWN($E1083*設定!$C$4,0),ROUNDDOWN($E1083*ROUND((9*$Y1083-9*$E1083)/(10*$E1083),4),0))))</f>
        <v/>
      </c>
      <c r="AB1083" s="13" t="n"/>
      <c r="AC1083" s="15">
        <f>IF($B1083="","",IF($AB1083&lt;&gt;"",$AB1083,IF($AA1083="","",IF($AA1083&lt;=設定!$C$3,0,$AA1083))))</f>
        <v/>
      </c>
      <c r="AD1083" s="14">
        <f>IF($B1083="","",IF(AND($AE1083&lt;&gt;"",$AG1083="",$AJ1083=""),"保留中",IF($AJ1083&lt;&gt;"",IF(N($AC1083)&gt;0,"支給済","不支給"),IF($AC1083="","要確認",IF($AC1083=0,"不支給","未処理")))))</f>
        <v/>
      </c>
      <c r="AE1083" s="12" t="n"/>
      <c r="AF1083" s="11" t="n"/>
      <c r="AG1083" s="11" t="n"/>
      <c r="AH1083" s="11" t="n"/>
      <c r="AI1083" s="14">
        <f>IF(AND($AD1083="保留中",$AF1083&lt;&gt;""),TODAY()-$AF1083,"")</f>
        <v/>
      </c>
      <c r="AJ1083" s="12" t="n"/>
      <c r="AK1083" s="14">
        <f>IF($B1083="","",IF($AO1083="","対象年月が未入力／","")&amp;IF($B1083="","",IF($AN1083="","職員マスタに未登録の職員番号／",IF($Y1083="","標準報酬月額が未登録／","")&amp;IF(AND($AO1083&lt;&gt;"",OR(AND(INDEX(職員マスタ!$G$6:$G$405,$AN1083)&lt;&gt;"",INDEX(職員マスタ!$G$6:$G$405,$AN1083)&gt;EOMONTH($AO1083,0)),AND(INDEX(職員マスタ!$H$6:$H$405,$AN1083)&lt;&gt;"",INDEX(職員マスタ!$H$6:$H$405,$AN1083)&lt;$AO1083))),"対象月が時短期間外／","")&amp;IF(AND(INDEX(職員マスタ!$F$6:$F$405,$AN1083)&lt;&gt;"",$AO1083&lt;&gt;"",INDEX(職員マスタ!$F$6:$F$405,$AN1083)&lt;$AO1083),"対象月に子が2歳到達済／","")&amp;IF(AND($H1083&lt;&gt;"",INDEX(職員マスタ!$B$6:$B$405,$AN1083)&lt;&gt;"",SUBSTITUTE(SUBSTITUTE($H1083," ","")," ","")&lt;&gt;SUBSTITUTE(SUBSTITUTE(INDEX(職員マスタ!$B$6:$B$405,$AN1083)," ","")," ","")),"氏名がマスタと相違／","")&amp;IF(AND($Q1083&lt;&gt;"",INDEX(職員マスタ!$E$6:$E$405,$AN1083)&lt;&gt;"",$Q1083&lt;&gt;INDEX(職員マスタ!$E$6:$E$405,$AN1083)),"子の生年月日がマスタと相違／","")&amp;IF(AND($L1083&lt;&gt;"",INDEX(職員マスタ!$G$6:$G$405,$AN1083)&lt;&gt;"",$L1083&lt;&gt;INDEX(職員マスタ!$G$6:$G$405,$AN1083)),"時短開始日がマスタと相違／","")&amp;IF(AND($M1083&lt;&gt;"",INDEX(職員マスタ!$H$6:$H$405,$AN1083)&lt;&gt;"",$M1083&lt;&gt;INDEX(職員マスタ!$H$6:$H$405,$AN1083)),"時短終了日がマスタと相違／","")))&amp;IF(AND($B1083&lt;&gt;"",$E1083=""),"報酬額が未入力／","")&amp;IF(N($U1083)&gt;0,"申請書に入力エラーが残っています／","")&amp;IF(AND($B1083&lt;&gt;"",$AO1083&lt;&gt;""),IF(COUNTIFS($B$6:$B$3005,$B1083,$C$6:$C$3005,$C1083,$D$6:$D$3005,$D1083)&gt;1,"同じ月の請求が重複しています／",""),"")&amp;IF(AND(N($E1083)&gt;0,$Z1083&lt;&gt;"",$Z1083&lt;&gt;"×",$AC1083=0,$AB1083=""),"計算額が下限以下のため不支給／",""))</f>
        <v/>
      </c>
      <c r="AL1083" s="12" t="n"/>
      <c r="AM1083" s="14">
        <f>IF($AD1083="保留中",COUNTIF($AD$6:$AD1083,"保留中"),"")</f>
        <v/>
      </c>
      <c r="AN1083" s="14">
        <f>IF($AO1083="","",IF(SUMPRODUCT(MAX((職員マスタ!$A$6:$A$405=$B1083)*(((職員マスタ!$G$6:$G$405="")+(職員マスタ!$G$6:$G$405&lt;=EOMONTH($AO1083,0)))&gt;0)*(((職員マスタ!$H$6:$H$405="")+(職員マスタ!$H$6:$H$405&gt;=$AO1083))&gt;0)*(ROW(職員マスタ!$A$6:$A$405)-5)))&gt;0,SUMPRODUCT(MAX((職員マスタ!$A$6:$A$405=$B1083)*(((職員マスタ!$G$6:$G$405="")+(職員マスタ!$G$6:$G$405&lt;=EOMONTH($AO1083,0)))&gt;0)*(((職員マスタ!$H$6:$H$405="")+(職員マスタ!$H$6:$H$405&gt;=$AO1083))&gt;0)*(ROW(職員マスタ!$A$6:$A$405)-5))),IFERROR(MATCH($B1083,職員マスタ!$A$6:$A$405,0),"")))</f>
        <v/>
      </c>
      <c r="AO1083" s="16">
        <f>IF(OR($B1083="",$C1083="",$D1083=""),"",DATE($C1083+2018,$D1083,1))</f>
        <v/>
      </c>
    </row>
    <row r="1084">
      <c r="A1084" s="11" t="n"/>
      <c r="B1084" s="12" t="n"/>
      <c r="C1084" s="12" t="n"/>
      <c r="D1084" s="12" t="n"/>
      <c r="E1084" s="13" t="n"/>
      <c r="F1084" s="12" t="n"/>
      <c r="G1084" s="13" t="n"/>
      <c r="H1084" s="12" t="n"/>
      <c r="I1084" s="12" t="n"/>
      <c r="J1084" s="12" t="n"/>
      <c r="K1084" s="12" t="n"/>
      <c r="L1084" s="11" t="n"/>
      <c r="M1084" s="11" t="n"/>
      <c r="N1084" s="11" t="n"/>
      <c r="O1084" s="11" t="n"/>
      <c r="P1084" s="12" t="n"/>
      <c r="Q1084" s="11" t="n"/>
      <c r="R1084" s="12" t="n"/>
      <c r="S1084" s="11" t="n"/>
      <c r="T1084" s="12" t="n"/>
      <c r="U1084" s="12" t="n"/>
      <c r="V1084" s="14">
        <f>IF($AN1084="",IF($B1084="","",$H1084),IF(INDEX(職員マスタ!$B$6:$B$405,$AN1084)="",$H1084,INDEX(職員マスタ!$B$6:$B$405,$AN1084)))</f>
        <v/>
      </c>
      <c r="W1084" s="14">
        <f>IF($AN1084="",IF($B1084="","",$R1084),IF(INDEX(職員マスタ!$C$6:$C$405,$AN1084)="",$R1084,INDEX(職員マスタ!$C$6:$C$405,$AN1084)))</f>
        <v/>
      </c>
      <c r="X1084" s="14">
        <f>IF($AO1084="","","R"&amp;$C1084&amp;"."&amp;$D1084)</f>
        <v/>
      </c>
      <c r="Y1084" s="15">
        <f>IF($AN1084="","",IF(INDEX(職員マスタ!$K$6:$K$405,$AN1084)="","",INDEX(職員マスタ!$K$6:$K$405,$AN1084)))</f>
        <v/>
      </c>
      <c r="Z1084" s="14">
        <f>IF(OR($E1084="",$Y1084=""),"",IF($E1084&gt;=$Y1084,"×",IF($E1084&gt;=$Y1084*設定!$C$5,"△","○")))</f>
        <v/>
      </c>
      <c r="AA1084" s="15">
        <f>IF($Z1084="","",IF($Z1084="×",0,IF($Z1084="○",ROUNDDOWN($E1084*設定!$C$4,0),ROUNDDOWN($E1084*ROUND((9*$Y1084-9*$E1084)/(10*$E1084),4),0))))</f>
        <v/>
      </c>
      <c r="AB1084" s="13" t="n"/>
      <c r="AC1084" s="15">
        <f>IF($B1084="","",IF($AB1084&lt;&gt;"",$AB1084,IF($AA1084="","",IF($AA1084&lt;=設定!$C$3,0,$AA1084))))</f>
        <v/>
      </c>
      <c r="AD1084" s="14">
        <f>IF($B1084="","",IF(AND($AE1084&lt;&gt;"",$AG1084="",$AJ1084=""),"保留中",IF($AJ1084&lt;&gt;"",IF(N($AC1084)&gt;0,"支給済","不支給"),IF($AC1084="","要確認",IF($AC1084=0,"不支給","未処理")))))</f>
        <v/>
      </c>
      <c r="AE1084" s="12" t="n"/>
      <c r="AF1084" s="11" t="n"/>
      <c r="AG1084" s="11" t="n"/>
      <c r="AH1084" s="11" t="n"/>
      <c r="AI1084" s="14">
        <f>IF(AND($AD1084="保留中",$AF1084&lt;&gt;""),TODAY()-$AF1084,"")</f>
        <v/>
      </c>
      <c r="AJ1084" s="12" t="n"/>
      <c r="AK1084" s="14">
        <f>IF($B1084="","",IF($AO1084="","対象年月が未入力／","")&amp;IF($B1084="","",IF($AN1084="","職員マスタに未登録の職員番号／",IF($Y1084="","標準報酬月額が未登録／","")&amp;IF(AND($AO1084&lt;&gt;"",OR(AND(INDEX(職員マスタ!$G$6:$G$405,$AN1084)&lt;&gt;"",INDEX(職員マスタ!$G$6:$G$405,$AN1084)&gt;EOMONTH($AO1084,0)),AND(INDEX(職員マスタ!$H$6:$H$405,$AN1084)&lt;&gt;"",INDEX(職員マスタ!$H$6:$H$405,$AN1084)&lt;$AO1084))),"対象月が時短期間外／","")&amp;IF(AND(INDEX(職員マスタ!$F$6:$F$405,$AN1084)&lt;&gt;"",$AO1084&lt;&gt;"",INDEX(職員マスタ!$F$6:$F$405,$AN1084)&lt;$AO1084),"対象月に子が2歳到達済／","")&amp;IF(AND($H1084&lt;&gt;"",INDEX(職員マスタ!$B$6:$B$405,$AN1084)&lt;&gt;"",SUBSTITUTE(SUBSTITUTE($H1084," ","")," ","")&lt;&gt;SUBSTITUTE(SUBSTITUTE(INDEX(職員マスタ!$B$6:$B$405,$AN1084)," ","")," ","")),"氏名がマスタと相違／","")&amp;IF(AND($Q1084&lt;&gt;"",INDEX(職員マスタ!$E$6:$E$405,$AN1084)&lt;&gt;"",$Q1084&lt;&gt;INDEX(職員マスタ!$E$6:$E$405,$AN1084)),"子の生年月日がマスタと相違／","")&amp;IF(AND($L1084&lt;&gt;"",INDEX(職員マスタ!$G$6:$G$405,$AN1084)&lt;&gt;"",$L1084&lt;&gt;INDEX(職員マスタ!$G$6:$G$405,$AN1084)),"時短開始日がマスタと相違／","")&amp;IF(AND($M1084&lt;&gt;"",INDEX(職員マスタ!$H$6:$H$405,$AN1084)&lt;&gt;"",$M1084&lt;&gt;INDEX(職員マスタ!$H$6:$H$405,$AN1084)),"時短終了日がマスタと相違／","")))&amp;IF(AND($B1084&lt;&gt;"",$E1084=""),"報酬額が未入力／","")&amp;IF(N($U1084)&gt;0,"申請書に入力エラーが残っています／","")&amp;IF(AND($B1084&lt;&gt;"",$AO1084&lt;&gt;""),IF(COUNTIFS($B$6:$B$3005,$B1084,$C$6:$C$3005,$C1084,$D$6:$D$3005,$D1084)&gt;1,"同じ月の請求が重複しています／",""),"")&amp;IF(AND(N($E1084)&gt;0,$Z1084&lt;&gt;"",$Z1084&lt;&gt;"×",$AC1084=0,$AB1084=""),"計算額が下限以下のため不支給／",""))</f>
        <v/>
      </c>
      <c r="AL1084" s="12" t="n"/>
      <c r="AM1084" s="14">
        <f>IF($AD1084="保留中",COUNTIF($AD$6:$AD1084,"保留中"),"")</f>
        <v/>
      </c>
      <c r="AN1084" s="14">
        <f>IF($AO1084="","",IF(SUMPRODUCT(MAX((職員マスタ!$A$6:$A$405=$B1084)*(((職員マスタ!$G$6:$G$405="")+(職員マスタ!$G$6:$G$405&lt;=EOMONTH($AO1084,0)))&gt;0)*(((職員マスタ!$H$6:$H$405="")+(職員マスタ!$H$6:$H$405&gt;=$AO1084))&gt;0)*(ROW(職員マスタ!$A$6:$A$405)-5)))&gt;0,SUMPRODUCT(MAX((職員マスタ!$A$6:$A$405=$B1084)*(((職員マスタ!$G$6:$G$405="")+(職員マスタ!$G$6:$G$405&lt;=EOMONTH($AO1084,0)))&gt;0)*(((職員マスタ!$H$6:$H$405="")+(職員マスタ!$H$6:$H$405&gt;=$AO1084))&gt;0)*(ROW(職員マスタ!$A$6:$A$405)-5))),IFERROR(MATCH($B1084,職員マスタ!$A$6:$A$405,0),"")))</f>
        <v/>
      </c>
      <c r="AO1084" s="16">
        <f>IF(OR($B1084="",$C1084="",$D1084=""),"",DATE($C1084+2018,$D1084,1))</f>
        <v/>
      </c>
    </row>
    <row r="1085">
      <c r="A1085" s="11" t="n"/>
      <c r="B1085" s="12" t="n"/>
      <c r="C1085" s="12" t="n"/>
      <c r="D1085" s="12" t="n"/>
      <c r="E1085" s="13" t="n"/>
      <c r="F1085" s="12" t="n"/>
      <c r="G1085" s="13" t="n"/>
      <c r="H1085" s="12" t="n"/>
      <c r="I1085" s="12" t="n"/>
      <c r="J1085" s="12" t="n"/>
      <c r="K1085" s="12" t="n"/>
      <c r="L1085" s="11" t="n"/>
      <c r="M1085" s="11" t="n"/>
      <c r="N1085" s="11" t="n"/>
      <c r="O1085" s="11" t="n"/>
      <c r="P1085" s="12" t="n"/>
      <c r="Q1085" s="11" t="n"/>
      <c r="R1085" s="12" t="n"/>
      <c r="S1085" s="11" t="n"/>
      <c r="T1085" s="12" t="n"/>
      <c r="U1085" s="12" t="n"/>
      <c r="V1085" s="14">
        <f>IF($AN1085="",IF($B1085="","",$H1085),IF(INDEX(職員マスタ!$B$6:$B$405,$AN1085)="",$H1085,INDEX(職員マスタ!$B$6:$B$405,$AN1085)))</f>
        <v/>
      </c>
      <c r="W1085" s="14">
        <f>IF($AN1085="",IF($B1085="","",$R1085),IF(INDEX(職員マスタ!$C$6:$C$405,$AN1085)="",$R1085,INDEX(職員マスタ!$C$6:$C$405,$AN1085)))</f>
        <v/>
      </c>
      <c r="X1085" s="14">
        <f>IF($AO1085="","","R"&amp;$C1085&amp;"."&amp;$D1085)</f>
        <v/>
      </c>
      <c r="Y1085" s="15">
        <f>IF($AN1085="","",IF(INDEX(職員マスタ!$K$6:$K$405,$AN1085)="","",INDEX(職員マスタ!$K$6:$K$405,$AN1085)))</f>
        <v/>
      </c>
      <c r="Z1085" s="14">
        <f>IF(OR($E1085="",$Y1085=""),"",IF($E1085&gt;=$Y1085,"×",IF($E1085&gt;=$Y1085*設定!$C$5,"△","○")))</f>
        <v/>
      </c>
      <c r="AA1085" s="15">
        <f>IF($Z1085="","",IF($Z1085="×",0,IF($Z1085="○",ROUNDDOWN($E1085*設定!$C$4,0),ROUNDDOWN($E1085*ROUND((9*$Y1085-9*$E1085)/(10*$E1085),4),0))))</f>
        <v/>
      </c>
      <c r="AB1085" s="13" t="n"/>
      <c r="AC1085" s="15">
        <f>IF($B1085="","",IF($AB1085&lt;&gt;"",$AB1085,IF($AA1085="","",IF($AA1085&lt;=設定!$C$3,0,$AA1085))))</f>
        <v/>
      </c>
      <c r="AD1085" s="14">
        <f>IF($B1085="","",IF(AND($AE1085&lt;&gt;"",$AG1085="",$AJ1085=""),"保留中",IF($AJ1085&lt;&gt;"",IF(N($AC1085)&gt;0,"支給済","不支給"),IF($AC1085="","要確認",IF($AC1085=0,"不支給","未処理")))))</f>
        <v/>
      </c>
      <c r="AE1085" s="12" t="n"/>
      <c r="AF1085" s="11" t="n"/>
      <c r="AG1085" s="11" t="n"/>
      <c r="AH1085" s="11" t="n"/>
      <c r="AI1085" s="14">
        <f>IF(AND($AD1085="保留中",$AF1085&lt;&gt;""),TODAY()-$AF1085,"")</f>
        <v/>
      </c>
      <c r="AJ1085" s="12" t="n"/>
      <c r="AK1085" s="14">
        <f>IF($B1085="","",IF($AO1085="","対象年月が未入力／","")&amp;IF($B1085="","",IF($AN1085="","職員マスタに未登録の職員番号／",IF($Y1085="","標準報酬月額が未登録／","")&amp;IF(AND($AO1085&lt;&gt;"",OR(AND(INDEX(職員マスタ!$G$6:$G$405,$AN1085)&lt;&gt;"",INDEX(職員マスタ!$G$6:$G$405,$AN1085)&gt;EOMONTH($AO1085,0)),AND(INDEX(職員マスタ!$H$6:$H$405,$AN1085)&lt;&gt;"",INDEX(職員マスタ!$H$6:$H$405,$AN1085)&lt;$AO1085))),"対象月が時短期間外／","")&amp;IF(AND(INDEX(職員マスタ!$F$6:$F$405,$AN1085)&lt;&gt;"",$AO1085&lt;&gt;"",INDEX(職員マスタ!$F$6:$F$405,$AN1085)&lt;$AO1085),"対象月に子が2歳到達済／","")&amp;IF(AND($H1085&lt;&gt;"",INDEX(職員マスタ!$B$6:$B$405,$AN1085)&lt;&gt;"",SUBSTITUTE(SUBSTITUTE($H1085," ","")," ","")&lt;&gt;SUBSTITUTE(SUBSTITUTE(INDEX(職員マスタ!$B$6:$B$405,$AN1085)," ","")," ","")),"氏名がマスタと相違／","")&amp;IF(AND($Q1085&lt;&gt;"",INDEX(職員マスタ!$E$6:$E$405,$AN1085)&lt;&gt;"",$Q1085&lt;&gt;INDEX(職員マスタ!$E$6:$E$405,$AN1085)),"子の生年月日がマスタと相違／","")&amp;IF(AND($L1085&lt;&gt;"",INDEX(職員マスタ!$G$6:$G$405,$AN1085)&lt;&gt;"",$L1085&lt;&gt;INDEX(職員マスタ!$G$6:$G$405,$AN1085)),"時短開始日がマスタと相違／","")&amp;IF(AND($M1085&lt;&gt;"",INDEX(職員マスタ!$H$6:$H$405,$AN1085)&lt;&gt;"",$M1085&lt;&gt;INDEX(職員マスタ!$H$6:$H$405,$AN1085)),"時短終了日がマスタと相違／","")))&amp;IF(AND($B1085&lt;&gt;"",$E1085=""),"報酬額が未入力／","")&amp;IF(N($U1085)&gt;0,"申請書に入力エラーが残っています／","")&amp;IF(AND($B1085&lt;&gt;"",$AO1085&lt;&gt;""),IF(COUNTIFS($B$6:$B$3005,$B1085,$C$6:$C$3005,$C1085,$D$6:$D$3005,$D1085)&gt;1,"同じ月の請求が重複しています／",""),"")&amp;IF(AND(N($E1085)&gt;0,$Z1085&lt;&gt;"",$Z1085&lt;&gt;"×",$AC1085=0,$AB1085=""),"計算額が下限以下のため不支給／",""))</f>
        <v/>
      </c>
      <c r="AL1085" s="12" t="n"/>
      <c r="AM1085" s="14">
        <f>IF($AD1085="保留中",COUNTIF($AD$6:$AD1085,"保留中"),"")</f>
        <v/>
      </c>
      <c r="AN1085" s="14">
        <f>IF($AO1085="","",IF(SUMPRODUCT(MAX((職員マスタ!$A$6:$A$405=$B1085)*(((職員マスタ!$G$6:$G$405="")+(職員マスタ!$G$6:$G$405&lt;=EOMONTH($AO1085,0)))&gt;0)*(((職員マスタ!$H$6:$H$405="")+(職員マスタ!$H$6:$H$405&gt;=$AO1085))&gt;0)*(ROW(職員マスタ!$A$6:$A$405)-5)))&gt;0,SUMPRODUCT(MAX((職員マスタ!$A$6:$A$405=$B1085)*(((職員マスタ!$G$6:$G$405="")+(職員マスタ!$G$6:$G$405&lt;=EOMONTH($AO1085,0)))&gt;0)*(((職員マスタ!$H$6:$H$405="")+(職員マスタ!$H$6:$H$405&gt;=$AO1085))&gt;0)*(ROW(職員マスタ!$A$6:$A$405)-5))),IFERROR(MATCH($B1085,職員マスタ!$A$6:$A$405,0),"")))</f>
        <v/>
      </c>
      <c r="AO1085" s="16">
        <f>IF(OR($B1085="",$C1085="",$D1085=""),"",DATE($C1085+2018,$D1085,1))</f>
        <v/>
      </c>
    </row>
    <row r="1086">
      <c r="A1086" s="11" t="n"/>
      <c r="B1086" s="12" t="n"/>
      <c r="C1086" s="12" t="n"/>
      <c r="D1086" s="12" t="n"/>
      <c r="E1086" s="13" t="n"/>
      <c r="F1086" s="12" t="n"/>
      <c r="G1086" s="13" t="n"/>
      <c r="H1086" s="12" t="n"/>
      <c r="I1086" s="12" t="n"/>
      <c r="J1086" s="12" t="n"/>
      <c r="K1086" s="12" t="n"/>
      <c r="L1086" s="11" t="n"/>
      <c r="M1086" s="11" t="n"/>
      <c r="N1086" s="11" t="n"/>
      <c r="O1086" s="11" t="n"/>
      <c r="P1086" s="12" t="n"/>
      <c r="Q1086" s="11" t="n"/>
      <c r="R1086" s="12" t="n"/>
      <c r="S1086" s="11" t="n"/>
      <c r="T1086" s="12" t="n"/>
      <c r="U1086" s="12" t="n"/>
      <c r="V1086" s="14">
        <f>IF($AN1086="",IF($B1086="","",$H1086),IF(INDEX(職員マスタ!$B$6:$B$405,$AN1086)="",$H1086,INDEX(職員マスタ!$B$6:$B$405,$AN1086)))</f>
        <v/>
      </c>
      <c r="W1086" s="14">
        <f>IF($AN1086="",IF($B1086="","",$R1086),IF(INDEX(職員マスタ!$C$6:$C$405,$AN1086)="",$R1086,INDEX(職員マスタ!$C$6:$C$405,$AN1086)))</f>
        <v/>
      </c>
      <c r="X1086" s="14">
        <f>IF($AO1086="","","R"&amp;$C1086&amp;"."&amp;$D1086)</f>
        <v/>
      </c>
      <c r="Y1086" s="15">
        <f>IF($AN1086="","",IF(INDEX(職員マスタ!$K$6:$K$405,$AN1086)="","",INDEX(職員マスタ!$K$6:$K$405,$AN1086)))</f>
        <v/>
      </c>
      <c r="Z1086" s="14">
        <f>IF(OR($E1086="",$Y1086=""),"",IF($E1086&gt;=$Y1086,"×",IF($E1086&gt;=$Y1086*設定!$C$5,"△","○")))</f>
        <v/>
      </c>
      <c r="AA1086" s="15">
        <f>IF($Z1086="","",IF($Z1086="×",0,IF($Z1086="○",ROUNDDOWN($E1086*設定!$C$4,0),ROUNDDOWN($E1086*ROUND((9*$Y1086-9*$E1086)/(10*$E1086),4),0))))</f>
        <v/>
      </c>
      <c r="AB1086" s="13" t="n"/>
      <c r="AC1086" s="15">
        <f>IF($B1086="","",IF($AB1086&lt;&gt;"",$AB1086,IF($AA1086="","",IF($AA1086&lt;=設定!$C$3,0,$AA1086))))</f>
        <v/>
      </c>
      <c r="AD1086" s="14">
        <f>IF($B1086="","",IF(AND($AE1086&lt;&gt;"",$AG1086="",$AJ1086=""),"保留中",IF($AJ1086&lt;&gt;"",IF(N($AC1086)&gt;0,"支給済","不支給"),IF($AC1086="","要確認",IF($AC1086=0,"不支給","未処理")))))</f>
        <v/>
      </c>
      <c r="AE1086" s="12" t="n"/>
      <c r="AF1086" s="11" t="n"/>
      <c r="AG1086" s="11" t="n"/>
      <c r="AH1086" s="11" t="n"/>
      <c r="AI1086" s="14">
        <f>IF(AND($AD1086="保留中",$AF1086&lt;&gt;""),TODAY()-$AF1086,"")</f>
        <v/>
      </c>
      <c r="AJ1086" s="12" t="n"/>
      <c r="AK1086" s="14">
        <f>IF($B1086="","",IF($AO1086="","対象年月が未入力／","")&amp;IF($B1086="","",IF($AN1086="","職員マスタに未登録の職員番号／",IF($Y1086="","標準報酬月額が未登録／","")&amp;IF(AND($AO1086&lt;&gt;"",OR(AND(INDEX(職員マスタ!$G$6:$G$405,$AN1086)&lt;&gt;"",INDEX(職員マスタ!$G$6:$G$405,$AN1086)&gt;EOMONTH($AO1086,0)),AND(INDEX(職員マスタ!$H$6:$H$405,$AN1086)&lt;&gt;"",INDEX(職員マスタ!$H$6:$H$405,$AN1086)&lt;$AO1086))),"対象月が時短期間外／","")&amp;IF(AND(INDEX(職員マスタ!$F$6:$F$405,$AN1086)&lt;&gt;"",$AO1086&lt;&gt;"",INDEX(職員マスタ!$F$6:$F$405,$AN1086)&lt;$AO1086),"対象月に子が2歳到達済／","")&amp;IF(AND($H1086&lt;&gt;"",INDEX(職員マスタ!$B$6:$B$405,$AN1086)&lt;&gt;"",SUBSTITUTE(SUBSTITUTE($H1086," ","")," ","")&lt;&gt;SUBSTITUTE(SUBSTITUTE(INDEX(職員マスタ!$B$6:$B$405,$AN1086)," ","")," ","")),"氏名がマスタと相違／","")&amp;IF(AND($Q1086&lt;&gt;"",INDEX(職員マスタ!$E$6:$E$405,$AN1086)&lt;&gt;"",$Q1086&lt;&gt;INDEX(職員マスタ!$E$6:$E$405,$AN1086)),"子の生年月日がマスタと相違／","")&amp;IF(AND($L1086&lt;&gt;"",INDEX(職員マスタ!$G$6:$G$405,$AN1086)&lt;&gt;"",$L1086&lt;&gt;INDEX(職員マスタ!$G$6:$G$405,$AN1086)),"時短開始日がマスタと相違／","")&amp;IF(AND($M1086&lt;&gt;"",INDEX(職員マスタ!$H$6:$H$405,$AN1086)&lt;&gt;"",$M1086&lt;&gt;INDEX(職員マスタ!$H$6:$H$405,$AN1086)),"時短終了日がマスタと相違／","")))&amp;IF(AND($B1086&lt;&gt;"",$E1086=""),"報酬額が未入力／","")&amp;IF(N($U1086)&gt;0,"申請書に入力エラーが残っています／","")&amp;IF(AND($B1086&lt;&gt;"",$AO1086&lt;&gt;""),IF(COUNTIFS($B$6:$B$3005,$B1086,$C$6:$C$3005,$C1086,$D$6:$D$3005,$D1086)&gt;1,"同じ月の請求が重複しています／",""),"")&amp;IF(AND(N($E1086)&gt;0,$Z1086&lt;&gt;"",$Z1086&lt;&gt;"×",$AC1086=0,$AB1086=""),"計算額が下限以下のため不支給／",""))</f>
        <v/>
      </c>
      <c r="AL1086" s="12" t="n"/>
      <c r="AM1086" s="14">
        <f>IF($AD1086="保留中",COUNTIF($AD$6:$AD1086,"保留中"),"")</f>
        <v/>
      </c>
      <c r="AN1086" s="14">
        <f>IF($AO1086="","",IF(SUMPRODUCT(MAX((職員マスタ!$A$6:$A$405=$B1086)*(((職員マスタ!$G$6:$G$405="")+(職員マスタ!$G$6:$G$405&lt;=EOMONTH($AO1086,0)))&gt;0)*(((職員マスタ!$H$6:$H$405="")+(職員マスタ!$H$6:$H$405&gt;=$AO1086))&gt;0)*(ROW(職員マスタ!$A$6:$A$405)-5)))&gt;0,SUMPRODUCT(MAX((職員マスタ!$A$6:$A$405=$B1086)*(((職員マスタ!$G$6:$G$405="")+(職員マスタ!$G$6:$G$405&lt;=EOMONTH($AO1086,0)))&gt;0)*(((職員マスタ!$H$6:$H$405="")+(職員マスタ!$H$6:$H$405&gt;=$AO1086))&gt;0)*(ROW(職員マスタ!$A$6:$A$405)-5))),IFERROR(MATCH($B1086,職員マスタ!$A$6:$A$405,0),"")))</f>
        <v/>
      </c>
      <c r="AO1086" s="16">
        <f>IF(OR($B1086="",$C1086="",$D1086=""),"",DATE($C1086+2018,$D1086,1))</f>
        <v/>
      </c>
    </row>
    <row r="1087">
      <c r="A1087" s="11" t="n"/>
      <c r="B1087" s="12" t="n"/>
      <c r="C1087" s="12" t="n"/>
      <c r="D1087" s="12" t="n"/>
      <c r="E1087" s="13" t="n"/>
      <c r="F1087" s="12" t="n"/>
      <c r="G1087" s="13" t="n"/>
      <c r="H1087" s="12" t="n"/>
      <c r="I1087" s="12" t="n"/>
      <c r="J1087" s="12" t="n"/>
      <c r="K1087" s="12" t="n"/>
      <c r="L1087" s="11" t="n"/>
      <c r="M1087" s="11" t="n"/>
      <c r="N1087" s="11" t="n"/>
      <c r="O1087" s="11" t="n"/>
      <c r="P1087" s="12" t="n"/>
      <c r="Q1087" s="11" t="n"/>
      <c r="R1087" s="12" t="n"/>
      <c r="S1087" s="11" t="n"/>
      <c r="T1087" s="12" t="n"/>
      <c r="U1087" s="12" t="n"/>
      <c r="V1087" s="14">
        <f>IF($AN1087="",IF($B1087="","",$H1087),IF(INDEX(職員マスタ!$B$6:$B$405,$AN1087)="",$H1087,INDEX(職員マスタ!$B$6:$B$405,$AN1087)))</f>
        <v/>
      </c>
      <c r="W1087" s="14">
        <f>IF($AN1087="",IF($B1087="","",$R1087),IF(INDEX(職員マスタ!$C$6:$C$405,$AN1087)="",$R1087,INDEX(職員マスタ!$C$6:$C$405,$AN1087)))</f>
        <v/>
      </c>
      <c r="X1087" s="14">
        <f>IF($AO1087="","","R"&amp;$C1087&amp;"."&amp;$D1087)</f>
        <v/>
      </c>
      <c r="Y1087" s="15">
        <f>IF($AN1087="","",IF(INDEX(職員マスタ!$K$6:$K$405,$AN1087)="","",INDEX(職員マスタ!$K$6:$K$405,$AN1087)))</f>
        <v/>
      </c>
      <c r="Z1087" s="14">
        <f>IF(OR($E1087="",$Y1087=""),"",IF($E1087&gt;=$Y1087,"×",IF($E1087&gt;=$Y1087*設定!$C$5,"△","○")))</f>
        <v/>
      </c>
      <c r="AA1087" s="15">
        <f>IF($Z1087="","",IF($Z1087="×",0,IF($Z1087="○",ROUNDDOWN($E1087*設定!$C$4,0),ROUNDDOWN($E1087*ROUND((9*$Y1087-9*$E1087)/(10*$E1087),4),0))))</f>
        <v/>
      </c>
      <c r="AB1087" s="13" t="n"/>
      <c r="AC1087" s="15">
        <f>IF($B1087="","",IF($AB1087&lt;&gt;"",$AB1087,IF($AA1087="","",IF($AA1087&lt;=設定!$C$3,0,$AA1087))))</f>
        <v/>
      </c>
      <c r="AD1087" s="14">
        <f>IF($B1087="","",IF(AND($AE1087&lt;&gt;"",$AG1087="",$AJ1087=""),"保留中",IF($AJ1087&lt;&gt;"",IF(N($AC1087)&gt;0,"支給済","不支給"),IF($AC1087="","要確認",IF($AC1087=0,"不支給","未処理")))))</f>
        <v/>
      </c>
      <c r="AE1087" s="12" t="n"/>
      <c r="AF1087" s="11" t="n"/>
      <c r="AG1087" s="11" t="n"/>
      <c r="AH1087" s="11" t="n"/>
      <c r="AI1087" s="14">
        <f>IF(AND($AD1087="保留中",$AF1087&lt;&gt;""),TODAY()-$AF1087,"")</f>
        <v/>
      </c>
      <c r="AJ1087" s="12" t="n"/>
      <c r="AK1087" s="14">
        <f>IF($B1087="","",IF($AO1087="","対象年月が未入力／","")&amp;IF($B1087="","",IF($AN1087="","職員マスタに未登録の職員番号／",IF($Y1087="","標準報酬月額が未登録／","")&amp;IF(AND($AO1087&lt;&gt;"",OR(AND(INDEX(職員マスタ!$G$6:$G$405,$AN1087)&lt;&gt;"",INDEX(職員マスタ!$G$6:$G$405,$AN1087)&gt;EOMONTH($AO1087,0)),AND(INDEX(職員マスタ!$H$6:$H$405,$AN1087)&lt;&gt;"",INDEX(職員マスタ!$H$6:$H$405,$AN1087)&lt;$AO1087))),"対象月が時短期間外／","")&amp;IF(AND(INDEX(職員マスタ!$F$6:$F$405,$AN1087)&lt;&gt;"",$AO1087&lt;&gt;"",INDEX(職員マスタ!$F$6:$F$405,$AN1087)&lt;$AO1087),"対象月に子が2歳到達済／","")&amp;IF(AND($H1087&lt;&gt;"",INDEX(職員マスタ!$B$6:$B$405,$AN1087)&lt;&gt;"",SUBSTITUTE(SUBSTITUTE($H1087," ","")," ","")&lt;&gt;SUBSTITUTE(SUBSTITUTE(INDEX(職員マスタ!$B$6:$B$405,$AN1087)," ","")," ","")),"氏名がマスタと相違／","")&amp;IF(AND($Q1087&lt;&gt;"",INDEX(職員マスタ!$E$6:$E$405,$AN1087)&lt;&gt;"",$Q1087&lt;&gt;INDEX(職員マスタ!$E$6:$E$405,$AN1087)),"子の生年月日がマスタと相違／","")&amp;IF(AND($L1087&lt;&gt;"",INDEX(職員マスタ!$G$6:$G$405,$AN1087)&lt;&gt;"",$L1087&lt;&gt;INDEX(職員マスタ!$G$6:$G$405,$AN1087)),"時短開始日がマスタと相違／","")&amp;IF(AND($M1087&lt;&gt;"",INDEX(職員マスタ!$H$6:$H$405,$AN1087)&lt;&gt;"",$M1087&lt;&gt;INDEX(職員マスタ!$H$6:$H$405,$AN1087)),"時短終了日がマスタと相違／","")))&amp;IF(AND($B1087&lt;&gt;"",$E1087=""),"報酬額が未入力／","")&amp;IF(N($U1087)&gt;0,"申請書に入力エラーが残っています／","")&amp;IF(AND($B1087&lt;&gt;"",$AO1087&lt;&gt;""),IF(COUNTIFS($B$6:$B$3005,$B1087,$C$6:$C$3005,$C1087,$D$6:$D$3005,$D1087)&gt;1,"同じ月の請求が重複しています／",""),"")&amp;IF(AND(N($E1087)&gt;0,$Z1087&lt;&gt;"",$Z1087&lt;&gt;"×",$AC1087=0,$AB1087=""),"計算額が下限以下のため不支給／",""))</f>
        <v/>
      </c>
      <c r="AL1087" s="12" t="n"/>
      <c r="AM1087" s="14">
        <f>IF($AD1087="保留中",COUNTIF($AD$6:$AD1087,"保留中"),"")</f>
        <v/>
      </c>
      <c r="AN1087" s="14">
        <f>IF($AO1087="","",IF(SUMPRODUCT(MAX((職員マスタ!$A$6:$A$405=$B1087)*(((職員マスタ!$G$6:$G$405="")+(職員マスタ!$G$6:$G$405&lt;=EOMONTH($AO1087,0)))&gt;0)*(((職員マスタ!$H$6:$H$405="")+(職員マスタ!$H$6:$H$405&gt;=$AO1087))&gt;0)*(ROW(職員マスタ!$A$6:$A$405)-5)))&gt;0,SUMPRODUCT(MAX((職員マスタ!$A$6:$A$405=$B1087)*(((職員マスタ!$G$6:$G$405="")+(職員マスタ!$G$6:$G$405&lt;=EOMONTH($AO1087,0)))&gt;0)*(((職員マスタ!$H$6:$H$405="")+(職員マスタ!$H$6:$H$405&gt;=$AO1087))&gt;0)*(ROW(職員マスタ!$A$6:$A$405)-5))),IFERROR(MATCH($B1087,職員マスタ!$A$6:$A$405,0),"")))</f>
        <v/>
      </c>
      <c r="AO1087" s="16">
        <f>IF(OR($B1087="",$C1087="",$D1087=""),"",DATE($C1087+2018,$D1087,1))</f>
        <v/>
      </c>
    </row>
    <row r="1088">
      <c r="A1088" s="11" t="n"/>
      <c r="B1088" s="12" t="n"/>
      <c r="C1088" s="12" t="n"/>
      <c r="D1088" s="12" t="n"/>
      <c r="E1088" s="13" t="n"/>
      <c r="F1088" s="12" t="n"/>
      <c r="G1088" s="13" t="n"/>
      <c r="H1088" s="12" t="n"/>
      <c r="I1088" s="12" t="n"/>
      <c r="J1088" s="12" t="n"/>
      <c r="K1088" s="12" t="n"/>
      <c r="L1088" s="11" t="n"/>
      <c r="M1088" s="11" t="n"/>
      <c r="N1088" s="11" t="n"/>
      <c r="O1088" s="11" t="n"/>
      <c r="P1088" s="12" t="n"/>
      <c r="Q1088" s="11" t="n"/>
      <c r="R1088" s="12" t="n"/>
      <c r="S1088" s="11" t="n"/>
      <c r="T1088" s="12" t="n"/>
      <c r="U1088" s="12" t="n"/>
      <c r="V1088" s="14">
        <f>IF($AN1088="",IF($B1088="","",$H1088),IF(INDEX(職員マスタ!$B$6:$B$405,$AN1088)="",$H1088,INDEX(職員マスタ!$B$6:$B$405,$AN1088)))</f>
        <v/>
      </c>
      <c r="W1088" s="14">
        <f>IF($AN1088="",IF($B1088="","",$R1088),IF(INDEX(職員マスタ!$C$6:$C$405,$AN1088)="",$R1088,INDEX(職員マスタ!$C$6:$C$405,$AN1088)))</f>
        <v/>
      </c>
      <c r="X1088" s="14">
        <f>IF($AO1088="","","R"&amp;$C1088&amp;"."&amp;$D1088)</f>
        <v/>
      </c>
      <c r="Y1088" s="15">
        <f>IF($AN1088="","",IF(INDEX(職員マスタ!$K$6:$K$405,$AN1088)="","",INDEX(職員マスタ!$K$6:$K$405,$AN1088)))</f>
        <v/>
      </c>
      <c r="Z1088" s="14">
        <f>IF(OR($E1088="",$Y1088=""),"",IF($E1088&gt;=$Y1088,"×",IF($E1088&gt;=$Y1088*設定!$C$5,"△","○")))</f>
        <v/>
      </c>
      <c r="AA1088" s="15">
        <f>IF($Z1088="","",IF($Z1088="×",0,IF($Z1088="○",ROUNDDOWN($E1088*設定!$C$4,0),ROUNDDOWN($E1088*ROUND((9*$Y1088-9*$E1088)/(10*$E1088),4),0))))</f>
        <v/>
      </c>
      <c r="AB1088" s="13" t="n"/>
      <c r="AC1088" s="15">
        <f>IF($B1088="","",IF($AB1088&lt;&gt;"",$AB1088,IF($AA1088="","",IF($AA1088&lt;=設定!$C$3,0,$AA1088))))</f>
        <v/>
      </c>
      <c r="AD1088" s="14">
        <f>IF($B1088="","",IF(AND($AE1088&lt;&gt;"",$AG1088="",$AJ1088=""),"保留中",IF($AJ1088&lt;&gt;"",IF(N($AC1088)&gt;0,"支給済","不支給"),IF($AC1088="","要確認",IF($AC1088=0,"不支給","未処理")))))</f>
        <v/>
      </c>
      <c r="AE1088" s="12" t="n"/>
      <c r="AF1088" s="11" t="n"/>
      <c r="AG1088" s="11" t="n"/>
      <c r="AH1088" s="11" t="n"/>
      <c r="AI1088" s="14">
        <f>IF(AND($AD1088="保留中",$AF1088&lt;&gt;""),TODAY()-$AF1088,"")</f>
        <v/>
      </c>
      <c r="AJ1088" s="12" t="n"/>
      <c r="AK1088" s="14">
        <f>IF($B1088="","",IF($AO1088="","対象年月が未入力／","")&amp;IF($B1088="","",IF($AN1088="","職員マスタに未登録の職員番号／",IF($Y1088="","標準報酬月額が未登録／","")&amp;IF(AND($AO1088&lt;&gt;"",OR(AND(INDEX(職員マスタ!$G$6:$G$405,$AN1088)&lt;&gt;"",INDEX(職員マスタ!$G$6:$G$405,$AN1088)&gt;EOMONTH($AO1088,0)),AND(INDEX(職員マスタ!$H$6:$H$405,$AN1088)&lt;&gt;"",INDEX(職員マスタ!$H$6:$H$405,$AN1088)&lt;$AO1088))),"対象月が時短期間外／","")&amp;IF(AND(INDEX(職員マスタ!$F$6:$F$405,$AN1088)&lt;&gt;"",$AO1088&lt;&gt;"",INDEX(職員マスタ!$F$6:$F$405,$AN1088)&lt;$AO1088),"対象月に子が2歳到達済／","")&amp;IF(AND($H1088&lt;&gt;"",INDEX(職員マスタ!$B$6:$B$405,$AN1088)&lt;&gt;"",SUBSTITUTE(SUBSTITUTE($H1088," ","")," ","")&lt;&gt;SUBSTITUTE(SUBSTITUTE(INDEX(職員マスタ!$B$6:$B$405,$AN1088)," ","")," ","")),"氏名がマスタと相違／","")&amp;IF(AND($Q1088&lt;&gt;"",INDEX(職員マスタ!$E$6:$E$405,$AN1088)&lt;&gt;"",$Q1088&lt;&gt;INDEX(職員マスタ!$E$6:$E$405,$AN1088)),"子の生年月日がマスタと相違／","")&amp;IF(AND($L1088&lt;&gt;"",INDEX(職員マスタ!$G$6:$G$405,$AN1088)&lt;&gt;"",$L1088&lt;&gt;INDEX(職員マスタ!$G$6:$G$405,$AN1088)),"時短開始日がマスタと相違／","")&amp;IF(AND($M1088&lt;&gt;"",INDEX(職員マスタ!$H$6:$H$405,$AN1088)&lt;&gt;"",$M1088&lt;&gt;INDEX(職員マスタ!$H$6:$H$405,$AN1088)),"時短終了日がマスタと相違／","")))&amp;IF(AND($B1088&lt;&gt;"",$E1088=""),"報酬額が未入力／","")&amp;IF(N($U1088)&gt;0,"申請書に入力エラーが残っています／","")&amp;IF(AND($B1088&lt;&gt;"",$AO1088&lt;&gt;""),IF(COUNTIFS($B$6:$B$3005,$B1088,$C$6:$C$3005,$C1088,$D$6:$D$3005,$D1088)&gt;1,"同じ月の請求が重複しています／",""),"")&amp;IF(AND(N($E1088)&gt;0,$Z1088&lt;&gt;"",$Z1088&lt;&gt;"×",$AC1088=0,$AB1088=""),"計算額が下限以下のため不支給／",""))</f>
        <v/>
      </c>
      <c r="AL1088" s="12" t="n"/>
      <c r="AM1088" s="14">
        <f>IF($AD1088="保留中",COUNTIF($AD$6:$AD1088,"保留中"),"")</f>
        <v/>
      </c>
      <c r="AN1088" s="14">
        <f>IF($AO1088="","",IF(SUMPRODUCT(MAX((職員マスタ!$A$6:$A$405=$B1088)*(((職員マスタ!$G$6:$G$405="")+(職員マスタ!$G$6:$G$405&lt;=EOMONTH($AO1088,0)))&gt;0)*(((職員マスタ!$H$6:$H$405="")+(職員マスタ!$H$6:$H$405&gt;=$AO1088))&gt;0)*(ROW(職員マスタ!$A$6:$A$405)-5)))&gt;0,SUMPRODUCT(MAX((職員マスタ!$A$6:$A$405=$B1088)*(((職員マスタ!$G$6:$G$405="")+(職員マスタ!$G$6:$G$405&lt;=EOMONTH($AO1088,0)))&gt;0)*(((職員マスタ!$H$6:$H$405="")+(職員マスタ!$H$6:$H$405&gt;=$AO1088))&gt;0)*(ROW(職員マスタ!$A$6:$A$405)-5))),IFERROR(MATCH($B1088,職員マスタ!$A$6:$A$405,0),"")))</f>
        <v/>
      </c>
      <c r="AO1088" s="16">
        <f>IF(OR($B1088="",$C1088="",$D1088=""),"",DATE($C1088+2018,$D1088,1))</f>
        <v/>
      </c>
    </row>
    <row r="1089">
      <c r="A1089" s="11" t="n"/>
      <c r="B1089" s="12" t="n"/>
      <c r="C1089" s="12" t="n"/>
      <c r="D1089" s="12" t="n"/>
      <c r="E1089" s="13" t="n"/>
      <c r="F1089" s="12" t="n"/>
      <c r="G1089" s="13" t="n"/>
      <c r="H1089" s="12" t="n"/>
      <c r="I1089" s="12" t="n"/>
      <c r="J1089" s="12" t="n"/>
      <c r="K1089" s="12" t="n"/>
      <c r="L1089" s="11" t="n"/>
      <c r="M1089" s="11" t="n"/>
      <c r="N1089" s="11" t="n"/>
      <c r="O1089" s="11" t="n"/>
      <c r="P1089" s="12" t="n"/>
      <c r="Q1089" s="11" t="n"/>
      <c r="R1089" s="12" t="n"/>
      <c r="S1089" s="11" t="n"/>
      <c r="T1089" s="12" t="n"/>
      <c r="U1089" s="12" t="n"/>
      <c r="V1089" s="14">
        <f>IF($AN1089="",IF($B1089="","",$H1089),IF(INDEX(職員マスタ!$B$6:$B$405,$AN1089)="",$H1089,INDEX(職員マスタ!$B$6:$B$405,$AN1089)))</f>
        <v/>
      </c>
      <c r="W1089" s="14">
        <f>IF($AN1089="",IF($B1089="","",$R1089),IF(INDEX(職員マスタ!$C$6:$C$405,$AN1089)="",$R1089,INDEX(職員マスタ!$C$6:$C$405,$AN1089)))</f>
        <v/>
      </c>
      <c r="X1089" s="14">
        <f>IF($AO1089="","","R"&amp;$C1089&amp;"."&amp;$D1089)</f>
        <v/>
      </c>
      <c r="Y1089" s="15">
        <f>IF($AN1089="","",IF(INDEX(職員マスタ!$K$6:$K$405,$AN1089)="","",INDEX(職員マスタ!$K$6:$K$405,$AN1089)))</f>
        <v/>
      </c>
      <c r="Z1089" s="14">
        <f>IF(OR($E1089="",$Y1089=""),"",IF($E1089&gt;=$Y1089,"×",IF($E1089&gt;=$Y1089*設定!$C$5,"△","○")))</f>
        <v/>
      </c>
      <c r="AA1089" s="15">
        <f>IF($Z1089="","",IF($Z1089="×",0,IF($Z1089="○",ROUNDDOWN($E1089*設定!$C$4,0),ROUNDDOWN($E1089*ROUND((9*$Y1089-9*$E1089)/(10*$E1089),4),0))))</f>
        <v/>
      </c>
      <c r="AB1089" s="13" t="n"/>
      <c r="AC1089" s="15">
        <f>IF($B1089="","",IF($AB1089&lt;&gt;"",$AB1089,IF($AA1089="","",IF($AA1089&lt;=設定!$C$3,0,$AA1089))))</f>
        <v/>
      </c>
      <c r="AD1089" s="14">
        <f>IF($B1089="","",IF(AND($AE1089&lt;&gt;"",$AG1089="",$AJ1089=""),"保留中",IF($AJ1089&lt;&gt;"",IF(N($AC1089)&gt;0,"支給済","不支給"),IF($AC1089="","要確認",IF($AC1089=0,"不支給","未処理")))))</f>
        <v/>
      </c>
      <c r="AE1089" s="12" t="n"/>
      <c r="AF1089" s="11" t="n"/>
      <c r="AG1089" s="11" t="n"/>
      <c r="AH1089" s="11" t="n"/>
      <c r="AI1089" s="14">
        <f>IF(AND($AD1089="保留中",$AF1089&lt;&gt;""),TODAY()-$AF1089,"")</f>
        <v/>
      </c>
      <c r="AJ1089" s="12" t="n"/>
      <c r="AK1089" s="14">
        <f>IF($B1089="","",IF($AO1089="","対象年月が未入力／","")&amp;IF($B1089="","",IF($AN1089="","職員マスタに未登録の職員番号／",IF($Y1089="","標準報酬月額が未登録／","")&amp;IF(AND($AO1089&lt;&gt;"",OR(AND(INDEX(職員マスタ!$G$6:$G$405,$AN1089)&lt;&gt;"",INDEX(職員マスタ!$G$6:$G$405,$AN1089)&gt;EOMONTH($AO1089,0)),AND(INDEX(職員マスタ!$H$6:$H$405,$AN1089)&lt;&gt;"",INDEX(職員マスタ!$H$6:$H$405,$AN1089)&lt;$AO1089))),"対象月が時短期間外／","")&amp;IF(AND(INDEX(職員マスタ!$F$6:$F$405,$AN1089)&lt;&gt;"",$AO1089&lt;&gt;"",INDEX(職員マスタ!$F$6:$F$405,$AN1089)&lt;$AO1089),"対象月に子が2歳到達済／","")&amp;IF(AND($H1089&lt;&gt;"",INDEX(職員マスタ!$B$6:$B$405,$AN1089)&lt;&gt;"",SUBSTITUTE(SUBSTITUTE($H1089," ","")," ","")&lt;&gt;SUBSTITUTE(SUBSTITUTE(INDEX(職員マスタ!$B$6:$B$405,$AN1089)," ","")," ","")),"氏名がマスタと相違／","")&amp;IF(AND($Q1089&lt;&gt;"",INDEX(職員マスタ!$E$6:$E$405,$AN1089)&lt;&gt;"",$Q1089&lt;&gt;INDEX(職員マスタ!$E$6:$E$405,$AN1089)),"子の生年月日がマスタと相違／","")&amp;IF(AND($L1089&lt;&gt;"",INDEX(職員マスタ!$G$6:$G$405,$AN1089)&lt;&gt;"",$L1089&lt;&gt;INDEX(職員マスタ!$G$6:$G$405,$AN1089)),"時短開始日がマスタと相違／","")&amp;IF(AND($M1089&lt;&gt;"",INDEX(職員マスタ!$H$6:$H$405,$AN1089)&lt;&gt;"",$M1089&lt;&gt;INDEX(職員マスタ!$H$6:$H$405,$AN1089)),"時短終了日がマスタと相違／","")))&amp;IF(AND($B1089&lt;&gt;"",$E1089=""),"報酬額が未入力／","")&amp;IF(N($U1089)&gt;0,"申請書に入力エラーが残っています／","")&amp;IF(AND($B1089&lt;&gt;"",$AO1089&lt;&gt;""),IF(COUNTIFS($B$6:$B$3005,$B1089,$C$6:$C$3005,$C1089,$D$6:$D$3005,$D1089)&gt;1,"同じ月の請求が重複しています／",""),"")&amp;IF(AND(N($E1089)&gt;0,$Z1089&lt;&gt;"",$Z1089&lt;&gt;"×",$AC1089=0,$AB1089=""),"計算額が下限以下のため不支給／",""))</f>
        <v/>
      </c>
      <c r="AL1089" s="12" t="n"/>
      <c r="AM1089" s="14">
        <f>IF($AD1089="保留中",COUNTIF($AD$6:$AD1089,"保留中"),"")</f>
        <v/>
      </c>
      <c r="AN1089" s="14">
        <f>IF($AO1089="","",IF(SUMPRODUCT(MAX((職員マスタ!$A$6:$A$405=$B1089)*(((職員マスタ!$G$6:$G$405="")+(職員マスタ!$G$6:$G$405&lt;=EOMONTH($AO1089,0)))&gt;0)*(((職員マスタ!$H$6:$H$405="")+(職員マスタ!$H$6:$H$405&gt;=$AO1089))&gt;0)*(ROW(職員マスタ!$A$6:$A$405)-5)))&gt;0,SUMPRODUCT(MAX((職員マスタ!$A$6:$A$405=$B1089)*(((職員マスタ!$G$6:$G$405="")+(職員マスタ!$G$6:$G$405&lt;=EOMONTH($AO1089,0)))&gt;0)*(((職員マスタ!$H$6:$H$405="")+(職員マスタ!$H$6:$H$405&gt;=$AO1089))&gt;0)*(ROW(職員マスタ!$A$6:$A$405)-5))),IFERROR(MATCH($B1089,職員マスタ!$A$6:$A$405,0),"")))</f>
        <v/>
      </c>
      <c r="AO1089" s="16">
        <f>IF(OR($B1089="",$C1089="",$D1089=""),"",DATE($C1089+2018,$D1089,1))</f>
        <v/>
      </c>
    </row>
    <row r="1090">
      <c r="A1090" s="11" t="n"/>
      <c r="B1090" s="12" t="n"/>
      <c r="C1090" s="12" t="n"/>
      <c r="D1090" s="12" t="n"/>
      <c r="E1090" s="13" t="n"/>
      <c r="F1090" s="12" t="n"/>
      <c r="G1090" s="13" t="n"/>
      <c r="H1090" s="12" t="n"/>
      <c r="I1090" s="12" t="n"/>
      <c r="J1090" s="12" t="n"/>
      <c r="K1090" s="12" t="n"/>
      <c r="L1090" s="11" t="n"/>
      <c r="M1090" s="11" t="n"/>
      <c r="N1090" s="11" t="n"/>
      <c r="O1090" s="11" t="n"/>
      <c r="P1090" s="12" t="n"/>
      <c r="Q1090" s="11" t="n"/>
      <c r="R1090" s="12" t="n"/>
      <c r="S1090" s="11" t="n"/>
      <c r="T1090" s="12" t="n"/>
      <c r="U1090" s="12" t="n"/>
      <c r="V1090" s="14">
        <f>IF($AN1090="",IF($B1090="","",$H1090),IF(INDEX(職員マスタ!$B$6:$B$405,$AN1090)="",$H1090,INDEX(職員マスタ!$B$6:$B$405,$AN1090)))</f>
        <v/>
      </c>
      <c r="W1090" s="14">
        <f>IF($AN1090="",IF($B1090="","",$R1090),IF(INDEX(職員マスタ!$C$6:$C$405,$AN1090)="",$R1090,INDEX(職員マスタ!$C$6:$C$405,$AN1090)))</f>
        <v/>
      </c>
      <c r="X1090" s="14">
        <f>IF($AO1090="","","R"&amp;$C1090&amp;"."&amp;$D1090)</f>
        <v/>
      </c>
      <c r="Y1090" s="15">
        <f>IF($AN1090="","",IF(INDEX(職員マスタ!$K$6:$K$405,$AN1090)="","",INDEX(職員マスタ!$K$6:$K$405,$AN1090)))</f>
        <v/>
      </c>
      <c r="Z1090" s="14">
        <f>IF(OR($E1090="",$Y1090=""),"",IF($E1090&gt;=$Y1090,"×",IF($E1090&gt;=$Y1090*設定!$C$5,"△","○")))</f>
        <v/>
      </c>
      <c r="AA1090" s="15">
        <f>IF($Z1090="","",IF($Z1090="×",0,IF($Z1090="○",ROUNDDOWN($E1090*設定!$C$4,0),ROUNDDOWN($E1090*ROUND((9*$Y1090-9*$E1090)/(10*$E1090),4),0))))</f>
        <v/>
      </c>
      <c r="AB1090" s="13" t="n"/>
      <c r="AC1090" s="15">
        <f>IF($B1090="","",IF($AB1090&lt;&gt;"",$AB1090,IF($AA1090="","",IF($AA1090&lt;=設定!$C$3,0,$AA1090))))</f>
        <v/>
      </c>
      <c r="AD1090" s="14">
        <f>IF($B1090="","",IF(AND($AE1090&lt;&gt;"",$AG1090="",$AJ1090=""),"保留中",IF($AJ1090&lt;&gt;"",IF(N($AC1090)&gt;0,"支給済","不支給"),IF($AC1090="","要確認",IF($AC1090=0,"不支給","未処理")))))</f>
        <v/>
      </c>
      <c r="AE1090" s="12" t="n"/>
      <c r="AF1090" s="11" t="n"/>
      <c r="AG1090" s="11" t="n"/>
      <c r="AH1090" s="11" t="n"/>
      <c r="AI1090" s="14">
        <f>IF(AND($AD1090="保留中",$AF1090&lt;&gt;""),TODAY()-$AF1090,"")</f>
        <v/>
      </c>
      <c r="AJ1090" s="12" t="n"/>
      <c r="AK1090" s="14">
        <f>IF($B1090="","",IF($AO1090="","対象年月が未入力／","")&amp;IF($B1090="","",IF($AN1090="","職員マスタに未登録の職員番号／",IF($Y1090="","標準報酬月額が未登録／","")&amp;IF(AND($AO1090&lt;&gt;"",OR(AND(INDEX(職員マスタ!$G$6:$G$405,$AN1090)&lt;&gt;"",INDEX(職員マスタ!$G$6:$G$405,$AN1090)&gt;EOMONTH($AO1090,0)),AND(INDEX(職員マスタ!$H$6:$H$405,$AN1090)&lt;&gt;"",INDEX(職員マスタ!$H$6:$H$405,$AN1090)&lt;$AO1090))),"対象月が時短期間外／","")&amp;IF(AND(INDEX(職員マスタ!$F$6:$F$405,$AN1090)&lt;&gt;"",$AO1090&lt;&gt;"",INDEX(職員マスタ!$F$6:$F$405,$AN1090)&lt;$AO1090),"対象月に子が2歳到達済／","")&amp;IF(AND($H1090&lt;&gt;"",INDEX(職員マスタ!$B$6:$B$405,$AN1090)&lt;&gt;"",SUBSTITUTE(SUBSTITUTE($H1090," ","")," ","")&lt;&gt;SUBSTITUTE(SUBSTITUTE(INDEX(職員マスタ!$B$6:$B$405,$AN1090)," ","")," ","")),"氏名がマスタと相違／","")&amp;IF(AND($Q1090&lt;&gt;"",INDEX(職員マスタ!$E$6:$E$405,$AN1090)&lt;&gt;"",$Q1090&lt;&gt;INDEX(職員マスタ!$E$6:$E$405,$AN1090)),"子の生年月日がマスタと相違／","")&amp;IF(AND($L1090&lt;&gt;"",INDEX(職員マスタ!$G$6:$G$405,$AN1090)&lt;&gt;"",$L1090&lt;&gt;INDEX(職員マスタ!$G$6:$G$405,$AN1090)),"時短開始日がマスタと相違／","")&amp;IF(AND($M1090&lt;&gt;"",INDEX(職員マスタ!$H$6:$H$405,$AN1090)&lt;&gt;"",$M1090&lt;&gt;INDEX(職員マスタ!$H$6:$H$405,$AN1090)),"時短終了日がマスタと相違／","")))&amp;IF(AND($B1090&lt;&gt;"",$E1090=""),"報酬額が未入力／","")&amp;IF(N($U1090)&gt;0,"申請書に入力エラーが残っています／","")&amp;IF(AND($B1090&lt;&gt;"",$AO1090&lt;&gt;""),IF(COUNTIFS($B$6:$B$3005,$B1090,$C$6:$C$3005,$C1090,$D$6:$D$3005,$D1090)&gt;1,"同じ月の請求が重複しています／",""),"")&amp;IF(AND(N($E1090)&gt;0,$Z1090&lt;&gt;"",$Z1090&lt;&gt;"×",$AC1090=0,$AB1090=""),"計算額が下限以下のため不支給／",""))</f>
        <v/>
      </c>
      <c r="AL1090" s="12" t="n"/>
      <c r="AM1090" s="14">
        <f>IF($AD1090="保留中",COUNTIF($AD$6:$AD1090,"保留中"),"")</f>
        <v/>
      </c>
      <c r="AN1090" s="14">
        <f>IF($AO1090="","",IF(SUMPRODUCT(MAX((職員マスタ!$A$6:$A$405=$B1090)*(((職員マスタ!$G$6:$G$405="")+(職員マスタ!$G$6:$G$405&lt;=EOMONTH($AO1090,0)))&gt;0)*(((職員マスタ!$H$6:$H$405="")+(職員マスタ!$H$6:$H$405&gt;=$AO1090))&gt;0)*(ROW(職員マスタ!$A$6:$A$405)-5)))&gt;0,SUMPRODUCT(MAX((職員マスタ!$A$6:$A$405=$B1090)*(((職員マスタ!$G$6:$G$405="")+(職員マスタ!$G$6:$G$405&lt;=EOMONTH($AO1090,0)))&gt;0)*(((職員マスタ!$H$6:$H$405="")+(職員マスタ!$H$6:$H$405&gt;=$AO1090))&gt;0)*(ROW(職員マスタ!$A$6:$A$405)-5))),IFERROR(MATCH($B1090,職員マスタ!$A$6:$A$405,0),"")))</f>
        <v/>
      </c>
      <c r="AO1090" s="16">
        <f>IF(OR($B1090="",$C1090="",$D1090=""),"",DATE($C1090+2018,$D1090,1))</f>
        <v/>
      </c>
    </row>
    <row r="1091">
      <c r="A1091" s="11" t="n"/>
      <c r="B1091" s="12" t="n"/>
      <c r="C1091" s="12" t="n"/>
      <c r="D1091" s="12" t="n"/>
      <c r="E1091" s="13" t="n"/>
      <c r="F1091" s="12" t="n"/>
      <c r="G1091" s="13" t="n"/>
      <c r="H1091" s="12" t="n"/>
      <c r="I1091" s="12" t="n"/>
      <c r="J1091" s="12" t="n"/>
      <c r="K1091" s="12" t="n"/>
      <c r="L1091" s="11" t="n"/>
      <c r="M1091" s="11" t="n"/>
      <c r="N1091" s="11" t="n"/>
      <c r="O1091" s="11" t="n"/>
      <c r="P1091" s="12" t="n"/>
      <c r="Q1091" s="11" t="n"/>
      <c r="R1091" s="12" t="n"/>
      <c r="S1091" s="11" t="n"/>
      <c r="T1091" s="12" t="n"/>
      <c r="U1091" s="12" t="n"/>
      <c r="V1091" s="14">
        <f>IF($AN1091="",IF($B1091="","",$H1091),IF(INDEX(職員マスタ!$B$6:$B$405,$AN1091)="",$H1091,INDEX(職員マスタ!$B$6:$B$405,$AN1091)))</f>
        <v/>
      </c>
      <c r="W1091" s="14">
        <f>IF($AN1091="",IF($B1091="","",$R1091),IF(INDEX(職員マスタ!$C$6:$C$405,$AN1091)="",$R1091,INDEX(職員マスタ!$C$6:$C$405,$AN1091)))</f>
        <v/>
      </c>
      <c r="X1091" s="14">
        <f>IF($AO1091="","","R"&amp;$C1091&amp;"."&amp;$D1091)</f>
        <v/>
      </c>
      <c r="Y1091" s="15">
        <f>IF($AN1091="","",IF(INDEX(職員マスタ!$K$6:$K$405,$AN1091)="","",INDEX(職員マスタ!$K$6:$K$405,$AN1091)))</f>
        <v/>
      </c>
      <c r="Z1091" s="14">
        <f>IF(OR($E1091="",$Y1091=""),"",IF($E1091&gt;=$Y1091,"×",IF($E1091&gt;=$Y1091*設定!$C$5,"△","○")))</f>
        <v/>
      </c>
      <c r="AA1091" s="15">
        <f>IF($Z1091="","",IF($Z1091="×",0,IF($Z1091="○",ROUNDDOWN($E1091*設定!$C$4,0),ROUNDDOWN($E1091*ROUND((9*$Y1091-9*$E1091)/(10*$E1091),4),0))))</f>
        <v/>
      </c>
      <c r="AB1091" s="13" t="n"/>
      <c r="AC1091" s="15">
        <f>IF($B1091="","",IF($AB1091&lt;&gt;"",$AB1091,IF($AA1091="","",IF($AA1091&lt;=設定!$C$3,0,$AA1091))))</f>
        <v/>
      </c>
      <c r="AD1091" s="14">
        <f>IF($B1091="","",IF(AND($AE1091&lt;&gt;"",$AG1091="",$AJ1091=""),"保留中",IF($AJ1091&lt;&gt;"",IF(N($AC1091)&gt;0,"支給済","不支給"),IF($AC1091="","要確認",IF($AC1091=0,"不支給","未処理")))))</f>
        <v/>
      </c>
      <c r="AE1091" s="12" t="n"/>
      <c r="AF1091" s="11" t="n"/>
      <c r="AG1091" s="11" t="n"/>
      <c r="AH1091" s="11" t="n"/>
      <c r="AI1091" s="14">
        <f>IF(AND($AD1091="保留中",$AF1091&lt;&gt;""),TODAY()-$AF1091,"")</f>
        <v/>
      </c>
      <c r="AJ1091" s="12" t="n"/>
      <c r="AK1091" s="14">
        <f>IF($B1091="","",IF($AO1091="","対象年月が未入力／","")&amp;IF($B1091="","",IF($AN1091="","職員マスタに未登録の職員番号／",IF($Y1091="","標準報酬月額が未登録／","")&amp;IF(AND($AO1091&lt;&gt;"",OR(AND(INDEX(職員マスタ!$G$6:$G$405,$AN1091)&lt;&gt;"",INDEX(職員マスタ!$G$6:$G$405,$AN1091)&gt;EOMONTH($AO1091,0)),AND(INDEX(職員マスタ!$H$6:$H$405,$AN1091)&lt;&gt;"",INDEX(職員マスタ!$H$6:$H$405,$AN1091)&lt;$AO1091))),"対象月が時短期間外／","")&amp;IF(AND(INDEX(職員マスタ!$F$6:$F$405,$AN1091)&lt;&gt;"",$AO1091&lt;&gt;"",INDEX(職員マスタ!$F$6:$F$405,$AN1091)&lt;$AO1091),"対象月に子が2歳到達済／","")&amp;IF(AND($H1091&lt;&gt;"",INDEX(職員マスタ!$B$6:$B$405,$AN1091)&lt;&gt;"",SUBSTITUTE(SUBSTITUTE($H1091," ","")," ","")&lt;&gt;SUBSTITUTE(SUBSTITUTE(INDEX(職員マスタ!$B$6:$B$405,$AN1091)," ","")," ","")),"氏名がマスタと相違／","")&amp;IF(AND($Q1091&lt;&gt;"",INDEX(職員マスタ!$E$6:$E$405,$AN1091)&lt;&gt;"",$Q1091&lt;&gt;INDEX(職員マスタ!$E$6:$E$405,$AN1091)),"子の生年月日がマスタと相違／","")&amp;IF(AND($L1091&lt;&gt;"",INDEX(職員マスタ!$G$6:$G$405,$AN1091)&lt;&gt;"",$L1091&lt;&gt;INDEX(職員マスタ!$G$6:$G$405,$AN1091)),"時短開始日がマスタと相違／","")&amp;IF(AND($M1091&lt;&gt;"",INDEX(職員マスタ!$H$6:$H$405,$AN1091)&lt;&gt;"",$M1091&lt;&gt;INDEX(職員マスタ!$H$6:$H$405,$AN1091)),"時短終了日がマスタと相違／","")))&amp;IF(AND($B1091&lt;&gt;"",$E1091=""),"報酬額が未入力／","")&amp;IF(N($U1091)&gt;0,"申請書に入力エラーが残っています／","")&amp;IF(AND($B1091&lt;&gt;"",$AO1091&lt;&gt;""),IF(COUNTIFS($B$6:$B$3005,$B1091,$C$6:$C$3005,$C1091,$D$6:$D$3005,$D1091)&gt;1,"同じ月の請求が重複しています／",""),"")&amp;IF(AND(N($E1091)&gt;0,$Z1091&lt;&gt;"",$Z1091&lt;&gt;"×",$AC1091=0,$AB1091=""),"計算額が下限以下のため不支給／",""))</f>
        <v/>
      </c>
      <c r="AL1091" s="12" t="n"/>
      <c r="AM1091" s="14">
        <f>IF($AD1091="保留中",COUNTIF($AD$6:$AD1091,"保留中"),"")</f>
        <v/>
      </c>
      <c r="AN1091" s="14">
        <f>IF($AO1091="","",IF(SUMPRODUCT(MAX((職員マスタ!$A$6:$A$405=$B1091)*(((職員マスタ!$G$6:$G$405="")+(職員マスタ!$G$6:$G$405&lt;=EOMONTH($AO1091,0)))&gt;0)*(((職員マスタ!$H$6:$H$405="")+(職員マスタ!$H$6:$H$405&gt;=$AO1091))&gt;0)*(ROW(職員マスタ!$A$6:$A$405)-5)))&gt;0,SUMPRODUCT(MAX((職員マスタ!$A$6:$A$405=$B1091)*(((職員マスタ!$G$6:$G$405="")+(職員マスタ!$G$6:$G$405&lt;=EOMONTH($AO1091,0)))&gt;0)*(((職員マスタ!$H$6:$H$405="")+(職員マスタ!$H$6:$H$405&gt;=$AO1091))&gt;0)*(ROW(職員マスタ!$A$6:$A$405)-5))),IFERROR(MATCH($B1091,職員マスタ!$A$6:$A$405,0),"")))</f>
        <v/>
      </c>
      <c r="AO1091" s="16">
        <f>IF(OR($B1091="",$C1091="",$D1091=""),"",DATE($C1091+2018,$D1091,1))</f>
        <v/>
      </c>
    </row>
    <row r="1092">
      <c r="A1092" s="11" t="n"/>
      <c r="B1092" s="12" t="n"/>
      <c r="C1092" s="12" t="n"/>
      <c r="D1092" s="12" t="n"/>
      <c r="E1092" s="13" t="n"/>
      <c r="F1092" s="12" t="n"/>
      <c r="G1092" s="13" t="n"/>
      <c r="H1092" s="12" t="n"/>
      <c r="I1092" s="12" t="n"/>
      <c r="J1092" s="12" t="n"/>
      <c r="K1092" s="12" t="n"/>
      <c r="L1092" s="11" t="n"/>
      <c r="M1092" s="11" t="n"/>
      <c r="N1092" s="11" t="n"/>
      <c r="O1092" s="11" t="n"/>
      <c r="P1092" s="12" t="n"/>
      <c r="Q1092" s="11" t="n"/>
      <c r="R1092" s="12" t="n"/>
      <c r="S1092" s="11" t="n"/>
      <c r="T1092" s="12" t="n"/>
      <c r="U1092" s="12" t="n"/>
      <c r="V1092" s="14">
        <f>IF($AN1092="",IF($B1092="","",$H1092),IF(INDEX(職員マスタ!$B$6:$B$405,$AN1092)="",$H1092,INDEX(職員マスタ!$B$6:$B$405,$AN1092)))</f>
        <v/>
      </c>
      <c r="W1092" s="14">
        <f>IF($AN1092="",IF($B1092="","",$R1092),IF(INDEX(職員マスタ!$C$6:$C$405,$AN1092)="",$R1092,INDEX(職員マスタ!$C$6:$C$405,$AN1092)))</f>
        <v/>
      </c>
      <c r="X1092" s="14">
        <f>IF($AO1092="","","R"&amp;$C1092&amp;"."&amp;$D1092)</f>
        <v/>
      </c>
      <c r="Y1092" s="15">
        <f>IF($AN1092="","",IF(INDEX(職員マスタ!$K$6:$K$405,$AN1092)="","",INDEX(職員マスタ!$K$6:$K$405,$AN1092)))</f>
        <v/>
      </c>
      <c r="Z1092" s="14">
        <f>IF(OR($E1092="",$Y1092=""),"",IF($E1092&gt;=$Y1092,"×",IF($E1092&gt;=$Y1092*設定!$C$5,"△","○")))</f>
        <v/>
      </c>
      <c r="AA1092" s="15">
        <f>IF($Z1092="","",IF($Z1092="×",0,IF($Z1092="○",ROUNDDOWN($E1092*設定!$C$4,0),ROUNDDOWN($E1092*ROUND((9*$Y1092-9*$E1092)/(10*$E1092),4),0))))</f>
        <v/>
      </c>
      <c r="AB1092" s="13" t="n"/>
      <c r="AC1092" s="15">
        <f>IF($B1092="","",IF($AB1092&lt;&gt;"",$AB1092,IF($AA1092="","",IF($AA1092&lt;=設定!$C$3,0,$AA1092))))</f>
        <v/>
      </c>
      <c r="AD1092" s="14">
        <f>IF($B1092="","",IF(AND($AE1092&lt;&gt;"",$AG1092="",$AJ1092=""),"保留中",IF($AJ1092&lt;&gt;"",IF(N($AC1092)&gt;0,"支給済","不支給"),IF($AC1092="","要確認",IF($AC1092=0,"不支給","未処理")))))</f>
        <v/>
      </c>
      <c r="AE1092" s="12" t="n"/>
      <c r="AF1092" s="11" t="n"/>
      <c r="AG1092" s="11" t="n"/>
      <c r="AH1092" s="11" t="n"/>
      <c r="AI1092" s="14">
        <f>IF(AND($AD1092="保留中",$AF1092&lt;&gt;""),TODAY()-$AF1092,"")</f>
        <v/>
      </c>
      <c r="AJ1092" s="12" t="n"/>
      <c r="AK1092" s="14">
        <f>IF($B1092="","",IF($AO1092="","対象年月が未入力／","")&amp;IF($B1092="","",IF($AN1092="","職員マスタに未登録の職員番号／",IF($Y1092="","標準報酬月額が未登録／","")&amp;IF(AND($AO1092&lt;&gt;"",OR(AND(INDEX(職員マスタ!$G$6:$G$405,$AN1092)&lt;&gt;"",INDEX(職員マスタ!$G$6:$G$405,$AN1092)&gt;EOMONTH($AO1092,0)),AND(INDEX(職員マスタ!$H$6:$H$405,$AN1092)&lt;&gt;"",INDEX(職員マスタ!$H$6:$H$405,$AN1092)&lt;$AO1092))),"対象月が時短期間外／","")&amp;IF(AND(INDEX(職員マスタ!$F$6:$F$405,$AN1092)&lt;&gt;"",$AO1092&lt;&gt;"",INDEX(職員マスタ!$F$6:$F$405,$AN1092)&lt;$AO1092),"対象月に子が2歳到達済／","")&amp;IF(AND($H1092&lt;&gt;"",INDEX(職員マスタ!$B$6:$B$405,$AN1092)&lt;&gt;"",SUBSTITUTE(SUBSTITUTE($H1092," ","")," ","")&lt;&gt;SUBSTITUTE(SUBSTITUTE(INDEX(職員マスタ!$B$6:$B$405,$AN1092)," ","")," ","")),"氏名がマスタと相違／","")&amp;IF(AND($Q1092&lt;&gt;"",INDEX(職員マスタ!$E$6:$E$405,$AN1092)&lt;&gt;"",$Q1092&lt;&gt;INDEX(職員マスタ!$E$6:$E$405,$AN1092)),"子の生年月日がマスタと相違／","")&amp;IF(AND($L1092&lt;&gt;"",INDEX(職員マスタ!$G$6:$G$405,$AN1092)&lt;&gt;"",$L1092&lt;&gt;INDEX(職員マスタ!$G$6:$G$405,$AN1092)),"時短開始日がマスタと相違／","")&amp;IF(AND($M1092&lt;&gt;"",INDEX(職員マスタ!$H$6:$H$405,$AN1092)&lt;&gt;"",$M1092&lt;&gt;INDEX(職員マスタ!$H$6:$H$405,$AN1092)),"時短終了日がマスタと相違／","")))&amp;IF(AND($B1092&lt;&gt;"",$E1092=""),"報酬額が未入力／","")&amp;IF(N($U1092)&gt;0,"申請書に入力エラーが残っています／","")&amp;IF(AND($B1092&lt;&gt;"",$AO1092&lt;&gt;""),IF(COUNTIFS($B$6:$B$3005,$B1092,$C$6:$C$3005,$C1092,$D$6:$D$3005,$D1092)&gt;1,"同じ月の請求が重複しています／",""),"")&amp;IF(AND(N($E1092)&gt;0,$Z1092&lt;&gt;"",$Z1092&lt;&gt;"×",$AC1092=0,$AB1092=""),"計算額が下限以下のため不支給／",""))</f>
        <v/>
      </c>
      <c r="AL1092" s="12" t="n"/>
      <c r="AM1092" s="14">
        <f>IF($AD1092="保留中",COUNTIF($AD$6:$AD1092,"保留中"),"")</f>
        <v/>
      </c>
      <c r="AN1092" s="14">
        <f>IF($AO1092="","",IF(SUMPRODUCT(MAX((職員マスタ!$A$6:$A$405=$B1092)*(((職員マスタ!$G$6:$G$405="")+(職員マスタ!$G$6:$G$405&lt;=EOMONTH($AO1092,0)))&gt;0)*(((職員マスタ!$H$6:$H$405="")+(職員マスタ!$H$6:$H$405&gt;=$AO1092))&gt;0)*(ROW(職員マスタ!$A$6:$A$405)-5)))&gt;0,SUMPRODUCT(MAX((職員マスタ!$A$6:$A$405=$B1092)*(((職員マスタ!$G$6:$G$405="")+(職員マスタ!$G$6:$G$405&lt;=EOMONTH($AO1092,0)))&gt;0)*(((職員マスタ!$H$6:$H$405="")+(職員マスタ!$H$6:$H$405&gt;=$AO1092))&gt;0)*(ROW(職員マスタ!$A$6:$A$405)-5))),IFERROR(MATCH($B1092,職員マスタ!$A$6:$A$405,0),"")))</f>
        <v/>
      </c>
      <c r="AO1092" s="16">
        <f>IF(OR($B1092="",$C1092="",$D1092=""),"",DATE($C1092+2018,$D1092,1))</f>
        <v/>
      </c>
    </row>
    <row r="1093">
      <c r="A1093" s="11" t="n"/>
      <c r="B1093" s="12" t="n"/>
      <c r="C1093" s="12" t="n"/>
      <c r="D1093" s="12" t="n"/>
      <c r="E1093" s="13" t="n"/>
      <c r="F1093" s="12" t="n"/>
      <c r="G1093" s="13" t="n"/>
      <c r="H1093" s="12" t="n"/>
      <c r="I1093" s="12" t="n"/>
      <c r="J1093" s="12" t="n"/>
      <c r="K1093" s="12" t="n"/>
      <c r="L1093" s="11" t="n"/>
      <c r="M1093" s="11" t="n"/>
      <c r="N1093" s="11" t="n"/>
      <c r="O1093" s="11" t="n"/>
      <c r="P1093" s="12" t="n"/>
      <c r="Q1093" s="11" t="n"/>
      <c r="R1093" s="12" t="n"/>
      <c r="S1093" s="11" t="n"/>
      <c r="T1093" s="12" t="n"/>
      <c r="U1093" s="12" t="n"/>
      <c r="V1093" s="14">
        <f>IF($AN1093="",IF($B1093="","",$H1093),IF(INDEX(職員マスタ!$B$6:$B$405,$AN1093)="",$H1093,INDEX(職員マスタ!$B$6:$B$405,$AN1093)))</f>
        <v/>
      </c>
      <c r="W1093" s="14">
        <f>IF($AN1093="",IF($B1093="","",$R1093),IF(INDEX(職員マスタ!$C$6:$C$405,$AN1093)="",$R1093,INDEX(職員マスタ!$C$6:$C$405,$AN1093)))</f>
        <v/>
      </c>
      <c r="X1093" s="14">
        <f>IF($AO1093="","","R"&amp;$C1093&amp;"."&amp;$D1093)</f>
        <v/>
      </c>
      <c r="Y1093" s="15">
        <f>IF($AN1093="","",IF(INDEX(職員マスタ!$K$6:$K$405,$AN1093)="","",INDEX(職員マスタ!$K$6:$K$405,$AN1093)))</f>
        <v/>
      </c>
      <c r="Z1093" s="14">
        <f>IF(OR($E1093="",$Y1093=""),"",IF($E1093&gt;=$Y1093,"×",IF($E1093&gt;=$Y1093*設定!$C$5,"△","○")))</f>
        <v/>
      </c>
      <c r="AA1093" s="15">
        <f>IF($Z1093="","",IF($Z1093="×",0,IF($Z1093="○",ROUNDDOWN($E1093*設定!$C$4,0),ROUNDDOWN($E1093*ROUND((9*$Y1093-9*$E1093)/(10*$E1093),4),0))))</f>
        <v/>
      </c>
      <c r="AB1093" s="13" t="n"/>
      <c r="AC1093" s="15">
        <f>IF($B1093="","",IF($AB1093&lt;&gt;"",$AB1093,IF($AA1093="","",IF($AA1093&lt;=設定!$C$3,0,$AA1093))))</f>
        <v/>
      </c>
      <c r="AD1093" s="14">
        <f>IF($B1093="","",IF(AND($AE1093&lt;&gt;"",$AG1093="",$AJ1093=""),"保留中",IF($AJ1093&lt;&gt;"",IF(N($AC1093)&gt;0,"支給済","不支給"),IF($AC1093="","要確認",IF($AC1093=0,"不支給","未処理")))))</f>
        <v/>
      </c>
      <c r="AE1093" s="12" t="n"/>
      <c r="AF1093" s="11" t="n"/>
      <c r="AG1093" s="11" t="n"/>
      <c r="AH1093" s="11" t="n"/>
      <c r="AI1093" s="14">
        <f>IF(AND($AD1093="保留中",$AF1093&lt;&gt;""),TODAY()-$AF1093,"")</f>
        <v/>
      </c>
      <c r="AJ1093" s="12" t="n"/>
      <c r="AK1093" s="14">
        <f>IF($B1093="","",IF($AO1093="","対象年月が未入力／","")&amp;IF($B1093="","",IF($AN1093="","職員マスタに未登録の職員番号／",IF($Y1093="","標準報酬月額が未登録／","")&amp;IF(AND($AO1093&lt;&gt;"",OR(AND(INDEX(職員マスタ!$G$6:$G$405,$AN1093)&lt;&gt;"",INDEX(職員マスタ!$G$6:$G$405,$AN1093)&gt;EOMONTH($AO1093,0)),AND(INDEX(職員マスタ!$H$6:$H$405,$AN1093)&lt;&gt;"",INDEX(職員マスタ!$H$6:$H$405,$AN1093)&lt;$AO1093))),"対象月が時短期間外／","")&amp;IF(AND(INDEX(職員マスタ!$F$6:$F$405,$AN1093)&lt;&gt;"",$AO1093&lt;&gt;"",INDEX(職員マスタ!$F$6:$F$405,$AN1093)&lt;$AO1093),"対象月に子が2歳到達済／","")&amp;IF(AND($H1093&lt;&gt;"",INDEX(職員マスタ!$B$6:$B$405,$AN1093)&lt;&gt;"",SUBSTITUTE(SUBSTITUTE($H1093," ","")," ","")&lt;&gt;SUBSTITUTE(SUBSTITUTE(INDEX(職員マスタ!$B$6:$B$405,$AN1093)," ","")," ","")),"氏名がマスタと相違／","")&amp;IF(AND($Q1093&lt;&gt;"",INDEX(職員マスタ!$E$6:$E$405,$AN1093)&lt;&gt;"",$Q1093&lt;&gt;INDEX(職員マスタ!$E$6:$E$405,$AN1093)),"子の生年月日がマスタと相違／","")&amp;IF(AND($L1093&lt;&gt;"",INDEX(職員マスタ!$G$6:$G$405,$AN1093)&lt;&gt;"",$L1093&lt;&gt;INDEX(職員マスタ!$G$6:$G$405,$AN1093)),"時短開始日がマスタと相違／","")&amp;IF(AND($M1093&lt;&gt;"",INDEX(職員マスタ!$H$6:$H$405,$AN1093)&lt;&gt;"",$M1093&lt;&gt;INDEX(職員マスタ!$H$6:$H$405,$AN1093)),"時短終了日がマスタと相違／","")))&amp;IF(AND($B1093&lt;&gt;"",$E1093=""),"報酬額が未入力／","")&amp;IF(N($U1093)&gt;0,"申請書に入力エラーが残っています／","")&amp;IF(AND($B1093&lt;&gt;"",$AO1093&lt;&gt;""),IF(COUNTIFS($B$6:$B$3005,$B1093,$C$6:$C$3005,$C1093,$D$6:$D$3005,$D1093)&gt;1,"同じ月の請求が重複しています／",""),"")&amp;IF(AND(N($E1093)&gt;0,$Z1093&lt;&gt;"",$Z1093&lt;&gt;"×",$AC1093=0,$AB1093=""),"計算額が下限以下のため不支給／",""))</f>
        <v/>
      </c>
      <c r="AL1093" s="12" t="n"/>
      <c r="AM1093" s="14">
        <f>IF($AD1093="保留中",COUNTIF($AD$6:$AD1093,"保留中"),"")</f>
        <v/>
      </c>
      <c r="AN1093" s="14">
        <f>IF($AO1093="","",IF(SUMPRODUCT(MAX((職員マスタ!$A$6:$A$405=$B1093)*(((職員マスタ!$G$6:$G$405="")+(職員マスタ!$G$6:$G$405&lt;=EOMONTH($AO1093,0)))&gt;0)*(((職員マスタ!$H$6:$H$405="")+(職員マスタ!$H$6:$H$405&gt;=$AO1093))&gt;0)*(ROW(職員マスタ!$A$6:$A$405)-5)))&gt;0,SUMPRODUCT(MAX((職員マスタ!$A$6:$A$405=$B1093)*(((職員マスタ!$G$6:$G$405="")+(職員マスタ!$G$6:$G$405&lt;=EOMONTH($AO1093,0)))&gt;0)*(((職員マスタ!$H$6:$H$405="")+(職員マスタ!$H$6:$H$405&gt;=$AO1093))&gt;0)*(ROW(職員マスタ!$A$6:$A$405)-5))),IFERROR(MATCH($B1093,職員マスタ!$A$6:$A$405,0),"")))</f>
        <v/>
      </c>
      <c r="AO1093" s="16">
        <f>IF(OR($B1093="",$C1093="",$D1093=""),"",DATE($C1093+2018,$D1093,1))</f>
        <v/>
      </c>
    </row>
    <row r="1094">
      <c r="A1094" s="11" t="n"/>
      <c r="B1094" s="12" t="n"/>
      <c r="C1094" s="12" t="n"/>
      <c r="D1094" s="12" t="n"/>
      <c r="E1094" s="13" t="n"/>
      <c r="F1094" s="12" t="n"/>
      <c r="G1094" s="13" t="n"/>
      <c r="H1094" s="12" t="n"/>
      <c r="I1094" s="12" t="n"/>
      <c r="J1094" s="12" t="n"/>
      <c r="K1094" s="12" t="n"/>
      <c r="L1094" s="11" t="n"/>
      <c r="M1094" s="11" t="n"/>
      <c r="N1094" s="11" t="n"/>
      <c r="O1094" s="11" t="n"/>
      <c r="P1094" s="12" t="n"/>
      <c r="Q1094" s="11" t="n"/>
      <c r="R1094" s="12" t="n"/>
      <c r="S1094" s="11" t="n"/>
      <c r="T1094" s="12" t="n"/>
      <c r="U1094" s="12" t="n"/>
      <c r="V1094" s="14">
        <f>IF($AN1094="",IF($B1094="","",$H1094),IF(INDEX(職員マスタ!$B$6:$B$405,$AN1094)="",$H1094,INDEX(職員マスタ!$B$6:$B$405,$AN1094)))</f>
        <v/>
      </c>
      <c r="W1094" s="14">
        <f>IF($AN1094="",IF($B1094="","",$R1094),IF(INDEX(職員マスタ!$C$6:$C$405,$AN1094)="",$R1094,INDEX(職員マスタ!$C$6:$C$405,$AN1094)))</f>
        <v/>
      </c>
      <c r="X1094" s="14">
        <f>IF($AO1094="","","R"&amp;$C1094&amp;"."&amp;$D1094)</f>
        <v/>
      </c>
      <c r="Y1094" s="15">
        <f>IF($AN1094="","",IF(INDEX(職員マスタ!$K$6:$K$405,$AN1094)="","",INDEX(職員マスタ!$K$6:$K$405,$AN1094)))</f>
        <v/>
      </c>
      <c r="Z1094" s="14">
        <f>IF(OR($E1094="",$Y1094=""),"",IF($E1094&gt;=$Y1094,"×",IF($E1094&gt;=$Y1094*設定!$C$5,"△","○")))</f>
        <v/>
      </c>
      <c r="AA1094" s="15">
        <f>IF($Z1094="","",IF($Z1094="×",0,IF($Z1094="○",ROUNDDOWN($E1094*設定!$C$4,0),ROUNDDOWN($E1094*ROUND((9*$Y1094-9*$E1094)/(10*$E1094),4),0))))</f>
        <v/>
      </c>
      <c r="AB1094" s="13" t="n"/>
      <c r="AC1094" s="15">
        <f>IF($B1094="","",IF($AB1094&lt;&gt;"",$AB1094,IF($AA1094="","",IF($AA1094&lt;=設定!$C$3,0,$AA1094))))</f>
        <v/>
      </c>
      <c r="AD1094" s="14">
        <f>IF($B1094="","",IF(AND($AE1094&lt;&gt;"",$AG1094="",$AJ1094=""),"保留中",IF($AJ1094&lt;&gt;"",IF(N($AC1094)&gt;0,"支給済","不支給"),IF($AC1094="","要確認",IF($AC1094=0,"不支給","未処理")))))</f>
        <v/>
      </c>
      <c r="AE1094" s="12" t="n"/>
      <c r="AF1094" s="11" t="n"/>
      <c r="AG1094" s="11" t="n"/>
      <c r="AH1094" s="11" t="n"/>
      <c r="AI1094" s="14">
        <f>IF(AND($AD1094="保留中",$AF1094&lt;&gt;""),TODAY()-$AF1094,"")</f>
        <v/>
      </c>
      <c r="AJ1094" s="12" t="n"/>
      <c r="AK1094" s="14">
        <f>IF($B1094="","",IF($AO1094="","対象年月が未入力／","")&amp;IF($B1094="","",IF($AN1094="","職員マスタに未登録の職員番号／",IF($Y1094="","標準報酬月額が未登録／","")&amp;IF(AND($AO1094&lt;&gt;"",OR(AND(INDEX(職員マスタ!$G$6:$G$405,$AN1094)&lt;&gt;"",INDEX(職員マスタ!$G$6:$G$405,$AN1094)&gt;EOMONTH($AO1094,0)),AND(INDEX(職員マスタ!$H$6:$H$405,$AN1094)&lt;&gt;"",INDEX(職員マスタ!$H$6:$H$405,$AN1094)&lt;$AO1094))),"対象月が時短期間外／","")&amp;IF(AND(INDEX(職員マスタ!$F$6:$F$405,$AN1094)&lt;&gt;"",$AO1094&lt;&gt;"",INDEX(職員マスタ!$F$6:$F$405,$AN1094)&lt;$AO1094),"対象月に子が2歳到達済／","")&amp;IF(AND($H1094&lt;&gt;"",INDEX(職員マスタ!$B$6:$B$405,$AN1094)&lt;&gt;"",SUBSTITUTE(SUBSTITUTE($H1094," ","")," ","")&lt;&gt;SUBSTITUTE(SUBSTITUTE(INDEX(職員マスタ!$B$6:$B$405,$AN1094)," ","")," ","")),"氏名がマスタと相違／","")&amp;IF(AND($Q1094&lt;&gt;"",INDEX(職員マスタ!$E$6:$E$405,$AN1094)&lt;&gt;"",$Q1094&lt;&gt;INDEX(職員マスタ!$E$6:$E$405,$AN1094)),"子の生年月日がマスタと相違／","")&amp;IF(AND($L1094&lt;&gt;"",INDEX(職員マスタ!$G$6:$G$405,$AN1094)&lt;&gt;"",$L1094&lt;&gt;INDEX(職員マスタ!$G$6:$G$405,$AN1094)),"時短開始日がマスタと相違／","")&amp;IF(AND($M1094&lt;&gt;"",INDEX(職員マスタ!$H$6:$H$405,$AN1094)&lt;&gt;"",$M1094&lt;&gt;INDEX(職員マスタ!$H$6:$H$405,$AN1094)),"時短終了日がマスタと相違／","")))&amp;IF(AND($B1094&lt;&gt;"",$E1094=""),"報酬額が未入力／","")&amp;IF(N($U1094)&gt;0,"申請書に入力エラーが残っています／","")&amp;IF(AND($B1094&lt;&gt;"",$AO1094&lt;&gt;""),IF(COUNTIFS($B$6:$B$3005,$B1094,$C$6:$C$3005,$C1094,$D$6:$D$3005,$D1094)&gt;1,"同じ月の請求が重複しています／",""),"")&amp;IF(AND(N($E1094)&gt;0,$Z1094&lt;&gt;"",$Z1094&lt;&gt;"×",$AC1094=0,$AB1094=""),"計算額が下限以下のため不支給／",""))</f>
        <v/>
      </c>
      <c r="AL1094" s="12" t="n"/>
      <c r="AM1094" s="14">
        <f>IF($AD1094="保留中",COUNTIF($AD$6:$AD1094,"保留中"),"")</f>
        <v/>
      </c>
      <c r="AN1094" s="14">
        <f>IF($AO1094="","",IF(SUMPRODUCT(MAX((職員マスタ!$A$6:$A$405=$B1094)*(((職員マスタ!$G$6:$G$405="")+(職員マスタ!$G$6:$G$405&lt;=EOMONTH($AO1094,0)))&gt;0)*(((職員マスタ!$H$6:$H$405="")+(職員マスタ!$H$6:$H$405&gt;=$AO1094))&gt;0)*(ROW(職員マスタ!$A$6:$A$405)-5)))&gt;0,SUMPRODUCT(MAX((職員マスタ!$A$6:$A$405=$B1094)*(((職員マスタ!$G$6:$G$405="")+(職員マスタ!$G$6:$G$405&lt;=EOMONTH($AO1094,0)))&gt;0)*(((職員マスタ!$H$6:$H$405="")+(職員マスタ!$H$6:$H$405&gt;=$AO1094))&gt;0)*(ROW(職員マスタ!$A$6:$A$405)-5))),IFERROR(MATCH($B1094,職員マスタ!$A$6:$A$405,0),"")))</f>
        <v/>
      </c>
      <c r="AO1094" s="16">
        <f>IF(OR($B1094="",$C1094="",$D1094=""),"",DATE($C1094+2018,$D1094,1))</f>
        <v/>
      </c>
    </row>
    <row r="1095">
      <c r="A1095" s="11" t="n"/>
      <c r="B1095" s="12" t="n"/>
      <c r="C1095" s="12" t="n"/>
      <c r="D1095" s="12" t="n"/>
      <c r="E1095" s="13" t="n"/>
      <c r="F1095" s="12" t="n"/>
      <c r="G1095" s="13" t="n"/>
      <c r="H1095" s="12" t="n"/>
      <c r="I1095" s="12" t="n"/>
      <c r="J1095" s="12" t="n"/>
      <c r="K1095" s="12" t="n"/>
      <c r="L1095" s="11" t="n"/>
      <c r="M1095" s="11" t="n"/>
      <c r="N1095" s="11" t="n"/>
      <c r="O1095" s="11" t="n"/>
      <c r="P1095" s="12" t="n"/>
      <c r="Q1095" s="11" t="n"/>
      <c r="R1095" s="12" t="n"/>
      <c r="S1095" s="11" t="n"/>
      <c r="T1095" s="12" t="n"/>
      <c r="U1095" s="12" t="n"/>
      <c r="V1095" s="14">
        <f>IF($AN1095="",IF($B1095="","",$H1095),IF(INDEX(職員マスタ!$B$6:$B$405,$AN1095)="",$H1095,INDEX(職員マスタ!$B$6:$B$405,$AN1095)))</f>
        <v/>
      </c>
      <c r="W1095" s="14">
        <f>IF($AN1095="",IF($B1095="","",$R1095),IF(INDEX(職員マスタ!$C$6:$C$405,$AN1095)="",$R1095,INDEX(職員マスタ!$C$6:$C$405,$AN1095)))</f>
        <v/>
      </c>
      <c r="X1095" s="14">
        <f>IF($AO1095="","","R"&amp;$C1095&amp;"."&amp;$D1095)</f>
        <v/>
      </c>
      <c r="Y1095" s="15">
        <f>IF($AN1095="","",IF(INDEX(職員マスタ!$K$6:$K$405,$AN1095)="","",INDEX(職員マスタ!$K$6:$K$405,$AN1095)))</f>
        <v/>
      </c>
      <c r="Z1095" s="14">
        <f>IF(OR($E1095="",$Y1095=""),"",IF($E1095&gt;=$Y1095,"×",IF($E1095&gt;=$Y1095*設定!$C$5,"△","○")))</f>
        <v/>
      </c>
      <c r="AA1095" s="15">
        <f>IF($Z1095="","",IF($Z1095="×",0,IF($Z1095="○",ROUNDDOWN($E1095*設定!$C$4,0),ROUNDDOWN($E1095*ROUND((9*$Y1095-9*$E1095)/(10*$E1095),4),0))))</f>
        <v/>
      </c>
      <c r="AB1095" s="13" t="n"/>
      <c r="AC1095" s="15">
        <f>IF($B1095="","",IF($AB1095&lt;&gt;"",$AB1095,IF($AA1095="","",IF($AA1095&lt;=設定!$C$3,0,$AA1095))))</f>
        <v/>
      </c>
      <c r="AD1095" s="14">
        <f>IF($B1095="","",IF(AND($AE1095&lt;&gt;"",$AG1095="",$AJ1095=""),"保留中",IF($AJ1095&lt;&gt;"",IF(N($AC1095)&gt;0,"支給済","不支給"),IF($AC1095="","要確認",IF($AC1095=0,"不支給","未処理")))))</f>
        <v/>
      </c>
      <c r="AE1095" s="12" t="n"/>
      <c r="AF1095" s="11" t="n"/>
      <c r="AG1095" s="11" t="n"/>
      <c r="AH1095" s="11" t="n"/>
      <c r="AI1095" s="14">
        <f>IF(AND($AD1095="保留中",$AF1095&lt;&gt;""),TODAY()-$AF1095,"")</f>
        <v/>
      </c>
      <c r="AJ1095" s="12" t="n"/>
      <c r="AK1095" s="14">
        <f>IF($B1095="","",IF($AO1095="","対象年月が未入力／","")&amp;IF($B1095="","",IF($AN1095="","職員マスタに未登録の職員番号／",IF($Y1095="","標準報酬月額が未登録／","")&amp;IF(AND($AO1095&lt;&gt;"",OR(AND(INDEX(職員マスタ!$G$6:$G$405,$AN1095)&lt;&gt;"",INDEX(職員マスタ!$G$6:$G$405,$AN1095)&gt;EOMONTH($AO1095,0)),AND(INDEX(職員マスタ!$H$6:$H$405,$AN1095)&lt;&gt;"",INDEX(職員マスタ!$H$6:$H$405,$AN1095)&lt;$AO1095))),"対象月が時短期間外／","")&amp;IF(AND(INDEX(職員マスタ!$F$6:$F$405,$AN1095)&lt;&gt;"",$AO1095&lt;&gt;"",INDEX(職員マスタ!$F$6:$F$405,$AN1095)&lt;$AO1095),"対象月に子が2歳到達済／","")&amp;IF(AND($H1095&lt;&gt;"",INDEX(職員マスタ!$B$6:$B$405,$AN1095)&lt;&gt;"",SUBSTITUTE(SUBSTITUTE($H1095," ","")," ","")&lt;&gt;SUBSTITUTE(SUBSTITUTE(INDEX(職員マスタ!$B$6:$B$405,$AN1095)," ","")," ","")),"氏名がマスタと相違／","")&amp;IF(AND($Q1095&lt;&gt;"",INDEX(職員マスタ!$E$6:$E$405,$AN1095)&lt;&gt;"",$Q1095&lt;&gt;INDEX(職員マスタ!$E$6:$E$405,$AN1095)),"子の生年月日がマスタと相違／","")&amp;IF(AND($L1095&lt;&gt;"",INDEX(職員マスタ!$G$6:$G$405,$AN1095)&lt;&gt;"",$L1095&lt;&gt;INDEX(職員マスタ!$G$6:$G$405,$AN1095)),"時短開始日がマスタと相違／","")&amp;IF(AND($M1095&lt;&gt;"",INDEX(職員マスタ!$H$6:$H$405,$AN1095)&lt;&gt;"",$M1095&lt;&gt;INDEX(職員マスタ!$H$6:$H$405,$AN1095)),"時短終了日がマスタと相違／","")))&amp;IF(AND($B1095&lt;&gt;"",$E1095=""),"報酬額が未入力／","")&amp;IF(N($U1095)&gt;0,"申請書に入力エラーが残っています／","")&amp;IF(AND($B1095&lt;&gt;"",$AO1095&lt;&gt;""),IF(COUNTIFS($B$6:$B$3005,$B1095,$C$6:$C$3005,$C1095,$D$6:$D$3005,$D1095)&gt;1,"同じ月の請求が重複しています／",""),"")&amp;IF(AND(N($E1095)&gt;0,$Z1095&lt;&gt;"",$Z1095&lt;&gt;"×",$AC1095=0,$AB1095=""),"計算額が下限以下のため不支給／",""))</f>
        <v/>
      </c>
      <c r="AL1095" s="12" t="n"/>
      <c r="AM1095" s="14">
        <f>IF($AD1095="保留中",COUNTIF($AD$6:$AD1095,"保留中"),"")</f>
        <v/>
      </c>
      <c r="AN1095" s="14">
        <f>IF($AO1095="","",IF(SUMPRODUCT(MAX((職員マスタ!$A$6:$A$405=$B1095)*(((職員マスタ!$G$6:$G$405="")+(職員マスタ!$G$6:$G$405&lt;=EOMONTH($AO1095,0)))&gt;0)*(((職員マスタ!$H$6:$H$405="")+(職員マスタ!$H$6:$H$405&gt;=$AO1095))&gt;0)*(ROW(職員マスタ!$A$6:$A$405)-5)))&gt;0,SUMPRODUCT(MAX((職員マスタ!$A$6:$A$405=$B1095)*(((職員マスタ!$G$6:$G$405="")+(職員マスタ!$G$6:$G$405&lt;=EOMONTH($AO1095,0)))&gt;0)*(((職員マスタ!$H$6:$H$405="")+(職員マスタ!$H$6:$H$405&gt;=$AO1095))&gt;0)*(ROW(職員マスタ!$A$6:$A$405)-5))),IFERROR(MATCH($B1095,職員マスタ!$A$6:$A$405,0),"")))</f>
        <v/>
      </c>
      <c r="AO1095" s="16">
        <f>IF(OR($B1095="",$C1095="",$D1095=""),"",DATE($C1095+2018,$D1095,1))</f>
        <v/>
      </c>
    </row>
    <row r="1096">
      <c r="A1096" s="11" t="n"/>
      <c r="B1096" s="12" t="n"/>
      <c r="C1096" s="12" t="n"/>
      <c r="D1096" s="12" t="n"/>
      <c r="E1096" s="13" t="n"/>
      <c r="F1096" s="12" t="n"/>
      <c r="G1096" s="13" t="n"/>
      <c r="H1096" s="12" t="n"/>
      <c r="I1096" s="12" t="n"/>
      <c r="J1096" s="12" t="n"/>
      <c r="K1096" s="12" t="n"/>
      <c r="L1096" s="11" t="n"/>
      <c r="M1096" s="11" t="n"/>
      <c r="N1096" s="11" t="n"/>
      <c r="O1096" s="11" t="n"/>
      <c r="P1096" s="12" t="n"/>
      <c r="Q1096" s="11" t="n"/>
      <c r="R1096" s="12" t="n"/>
      <c r="S1096" s="11" t="n"/>
      <c r="T1096" s="12" t="n"/>
      <c r="U1096" s="12" t="n"/>
      <c r="V1096" s="14">
        <f>IF($AN1096="",IF($B1096="","",$H1096),IF(INDEX(職員マスタ!$B$6:$B$405,$AN1096)="",$H1096,INDEX(職員マスタ!$B$6:$B$405,$AN1096)))</f>
        <v/>
      </c>
      <c r="W1096" s="14">
        <f>IF($AN1096="",IF($B1096="","",$R1096),IF(INDEX(職員マスタ!$C$6:$C$405,$AN1096)="",$R1096,INDEX(職員マスタ!$C$6:$C$405,$AN1096)))</f>
        <v/>
      </c>
      <c r="X1096" s="14">
        <f>IF($AO1096="","","R"&amp;$C1096&amp;"."&amp;$D1096)</f>
        <v/>
      </c>
      <c r="Y1096" s="15">
        <f>IF($AN1096="","",IF(INDEX(職員マスタ!$K$6:$K$405,$AN1096)="","",INDEX(職員マスタ!$K$6:$K$405,$AN1096)))</f>
        <v/>
      </c>
      <c r="Z1096" s="14">
        <f>IF(OR($E1096="",$Y1096=""),"",IF($E1096&gt;=$Y1096,"×",IF($E1096&gt;=$Y1096*設定!$C$5,"△","○")))</f>
        <v/>
      </c>
      <c r="AA1096" s="15">
        <f>IF($Z1096="","",IF($Z1096="×",0,IF($Z1096="○",ROUNDDOWN($E1096*設定!$C$4,0),ROUNDDOWN($E1096*ROUND((9*$Y1096-9*$E1096)/(10*$E1096),4),0))))</f>
        <v/>
      </c>
      <c r="AB1096" s="13" t="n"/>
      <c r="AC1096" s="15">
        <f>IF($B1096="","",IF($AB1096&lt;&gt;"",$AB1096,IF($AA1096="","",IF($AA1096&lt;=設定!$C$3,0,$AA1096))))</f>
        <v/>
      </c>
      <c r="AD1096" s="14">
        <f>IF($B1096="","",IF(AND($AE1096&lt;&gt;"",$AG1096="",$AJ1096=""),"保留中",IF($AJ1096&lt;&gt;"",IF(N($AC1096)&gt;0,"支給済","不支給"),IF($AC1096="","要確認",IF($AC1096=0,"不支給","未処理")))))</f>
        <v/>
      </c>
      <c r="AE1096" s="12" t="n"/>
      <c r="AF1096" s="11" t="n"/>
      <c r="AG1096" s="11" t="n"/>
      <c r="AH1096" s="11" t="n"/>
      <c r="AI1096" s="14">
        <f>IF(AND($AD1096="保留中",$AF1096&lt;&gt;""),TODAY()-$AF1096,"")</f>
        <v/>
      </c>
      <c r="AJ1096" s="12" t="n"/>
      <c r="AK1096" s="14">
        <f>IF($B1096="","",IF($AO1096="","対象年月が未入力／","")&amp;IF($B1096="","",IF($AN1096="","職員マスタに未登録の職員番号／",IF($Y1096="","標準報酬月額が未登録／","")&amp;IF(AND($AO1096&lt;&gt;"",OR(AND(INDEX(職員マスタ!$G$6:$G$405,$AN1096)&lt;&gt;"",INDEX(職員マスタ!$G$6:$G$405,$AN1096)&gt;EOMONTH($AO1096,0)),AND(INDEX(職員マスタ!$H$6:$H$405,$AN1096)&lt;&gt;"",INDEX(職員マスタ!$H$6:$H$405,$AN1096)&lt;$AO1096))),"対象月が時短期間外／","")&amp;IF(AND(INDEX(職員マスタ!$F$6:$F$405,$AN1096)&lt;&gt;"",$AO1096&lt;&gt;"",INDEX(職員マスタ!$F$6:$F$405,$AN1096)&lt;$AO1096),"対象月に子が2歳到達済／","")&amp;IF(AND($H1096&lt;&gt;"",INDEX(職員マスタ!$B$6:$B$405,$AN1096)&lt;&gt;"",SUBSTITUTE(SUBSTITUTE($H1096," ","")," ","")&lt;&gt;SUBSTITUTE(SUBSTITUTE(INDEX(職員マスタ!$B$6:$B$405,$AN1096)," ","")," ","")),"氏名がマスタと相違／","")&amp;IF(AND($Q1096&lt;&gt;"",INDEX(職員マスタ!$E$6:$E$405,$AN1096)&lt;&gt;"",$Q1096&lt;&gt;INDEX(職員マスタ!$E$6:$E$405,$AN1096)),"子の生年月日がマスタと相違／","")&amp;IF(AND($L1096&lt;&gt;"",INDEX(職員マスタ!$G$6:$G$405,$AN1096)&lt;&gt;"",$L1096&lt;&gt;INDEX(職員マスタ!$G$6:$G$405,$AN1096)),"時短開始日がマスタと相違／","")&amp;IF(AND($M1096&lt;&gt;"",INDEX(職員マスタ!$H$6:$H$405,$AN1096)&lt;&gt;"",$M1096&lt;&gt;INDEX(職員マスタ!$H$6:$H$405,$AN1096)),"時短終了日がマスタと相違／","")))&amp;IF(AND($B1096&lt;&gt;"",$E1096=""),"報酬額が未入力／","")&amp;IF(N($U1096)&gt;0,"申請書に入力エラーが残っています／","")&amp;IF(AND($B1096&lt;&gt;"",$AO1096&lt;&gt;""),IF(COUNTIFS($B$6:$B$3005,$B1096,$C$6:$C$3005,$C1096,$D$6:$D$3005,$D1096)&gt;1,"同じ月の請求が重複しています／",""),"")&amp;IF(AND(N($E1096)&gt;0,$Z1096&lt;&gt;"",$Z1096&lt;&gt;"×",$AC1096=0,$AB1096=""),"計算額が下限以下のため不支給／",""))</f>
        <v/>
      </c>
      <c r="AL1096" s="12" t="n"/>
      <c r="AM1096" s="14">
        <f>IF($AD1096="保留中",COUNTIF($AD$6:$AD1096,"保留中"),"")</f>
        <v/>
      </c>
      <c r="AN1096" s="14">
        <f>IF($AO1096="","",IF(SUMPRODUCT(MAX((職員マスタ!$A$6:$A$405=$B1096)*(((職員マスタ!$G$6:$G$405="")+(職員マスタ!$G$6:$G$405&lt;=EOMONTH($AO1096,0)))&gt;0)*(((職員マスタ!$H$6:$H$405="")+(職員マスタ!$H$6:$H$405&gt;=$AO1096))&gt;0)*(ROW(職員マスタ!$A$6:$A$405)-5)))&gt;0,SUMPRODUCT(MAX((職員マスタ!$A$6:$A$405=$B1096)*(((職員マスタ!$G$6:$G$405="")+(職員マスタ!$G$6:$G$405&lt;=EOMONTH($AO1096,0)))&gt;0)*(((職員マスタ!$H$6:$H$405="")+(職員マスタ!$H$6:$H$405&gt;=$AO1096))&gt;0)*(ROW(職員マスタ!$A$6:$A$405)-5))),IFERROR(MATCH($B1096,職員マスタ!$A$6:$A$405,0),"")))</f>
        <v/>
      </c>
      <c r="AO1096" s="16">
        <f>IF(OR($B1096="",$C1096="",$D1096=""),"",DATE($C1096+2018,$D1096,1))</f>
        <v/>
      </c>
    </row>
    <row r="1097">
      <c r="A1097" s="11" t="n"/>
      <c r="B1097" s="12" t="n"/>
      <c r="C1097" s="12" t="n"/>
      <c r="D1097" s="12" t="n"/>
      <c r="E1097" s="13" t="n"/>
      <c r="F1097" s="12" t="n"/>
      <c r="G1097" s="13" t="n"/>
      <c r="H1097" s="12" t="n"/>
      <c r="I1097" s="12" t="n"/>
      <c r="J1097" s="12" t="n"/>
      <c r="K1097" s="12" t="n"/>
      <c r="L1097" s="11" t="n"/>
      <c r="M1097" s="11" t="n"/>
      <c r="N1097" s="11" t="n"/>
      <c r="O1097" s="11" t="n"/>
      <c r="P1097" s="12" t="n"/>
      <c r="Q1097" s="11" t="n"/>
      <c r="R1097" s="12" t="n"/>
      <c r="S1097" s="11" t="n"/>
      <c r="T1097" s="12" t="n"/>
      <c r="U1097" s="12" t="n"/>
      <c r="V1097" s="14">
        <f>IF($AN1097="",IF($B1097="","",$H1097),IF(INDEX(職員マスタ!$B$6:$B$405,$AN1097)="",$H1097,INDEX(職員マスタ!$B$6:$B$405,$AN1097)))</f>
        <v/>
      </c>
      <c r="W1097" s="14">
        <f>IF($AN1097="",IF($B1097="","",$R1097),IF(INDEX(職員マスタ!$C$6:$C$405,$AN1097)="",$R1097,INDEX(職員マスタ!$C$6:$C$405,$AN1097)))</f>
        <v/>
      </c>
      <c r="X1097" s="14">
        <f>IF($AO1097="","","R"&amp;$C1097&amp;"."&amp;$D1097)</f>
        <v/>
      </c>
      <c r="Y1097" s="15">
        <f>IF($AN1097="","",IF(INDEX(職員マスタ!$K$6:$K$405,$AN1097)="","",INDEX(職員マスタ!$K$6:$K$405,$AN1097)))</f>
        <v/>
      </c>
      <c r="Z1097" s="14">
        <f>IF(OR($E1097="",$Y1097=""),"",IF($E1097&gt;=$Y1097,"×",IF($E1097&gt;=$Y1097*設定!$C$5,"△","○")))</f>
        <v/>
      </c>
      <c r="AA1097" s="15">
        <f>IF($Z1097="","",IF($Z1097="×",0,IF($Z1097="○",ROUNDDOWN($E1097*設定!$C$4,0),ROUNDDOWN($E1097*ROUND((9*$Y1097-9*$E1097)/(10*$E1097),4),0))))</f>
        <v/>
      </c>
      <c r="AB1097" s="13" t="n"/>
      <c r="AC1097" s="15">
        <f>IF($B1097="","",IF($AB1097&lt;&gt;"",$AB1097,IF($AA1097="","",IF($AA1097&lt;=設定!$C$3,0,$AA1097))))</f>
        <v/>
      </c>
      <c r="AD1097" s="14">
        <f>IF($B1097="","",IF(AND($AE1097&lt;&gt;"",$AG1097="",$AJ1097=""),"保留中",IF($AJ1097&lt;&gt;"",IF(N($AC1097)&gt;0,"支給済","不支給"),IF($AC1097="","要確認",IF($AC1097=0,"不支給","未処理")))))</f>
        <v/>
      </c>
      <c r="AE1097" s="12" t="n"/>
      <c r="AF1097" s="11" t="n"/>
      <c r="AG1097" s="11" t="n"/>
      <c r="AH1097" s="11" t="n"/>
      <c r="AI1097" s="14">
        <f>IF(AND($AD1097="保留中",$AF1097&lt;&gt;""),TODAY()-$AF1097,"")</f>
        <v/>
      </c>
      <c r="AJ1097" s="12" t="n"/>
      <c r="AK1097" s="14">
        <f>IF($B1097="","",IF($AO1097="","対象年月が未入力／","")&amp;IF($B1097="","",IF($AN1097="","職員マスタに未登録の職員番号／",IF($Y1097="","標準報酬月額が未登録／","")&amp;IF(AND($AO1097&lt;&gt;"",OR(AND(INDEX(職員マスタ!$G$6:$G$405,$AN1097)&lt;&gt;"",INDEX(職員マスタ!$G$6:$G$405,$AN1097)&gt;EOMONTH($AO1097,0)),AND(INDEX(職員マスタ!$H$6:$H$405,$AN1097)&lt;&gt;"",INDEX(職員マスタ!$H$6:$H$405,$AN1097)&lt;$AO1097))),"対象月が時短期間外／","")&amp;IF(AND(INDEX(職員マスタ!$F$6:$F$405,$AN1097)&lt;&gt;"",$AO1097&lt;&gt;"",INDEX(職員マスタ!$F$6:$F$405,$AN1097)&lt;$AO1097),"対象月に子が2歳到達済／","")&amp;IF(AND($H1097&lt;&gt;"",INDEX(職員マスタ!$B$6:$B$405,$AN1097)&lt;&gt;"",SUBSTITUTE(SUBSTITUTE($H1097," ","")," ","")&lt;&gt;SUBSTITUTE(SUBSTITUTE(INDEX(職員マスタ!$B$6:$B$405,$AN1097)," ","")," ","")),"氏名がマスタと相違／","")&amp;IF(AND($Q1097&lt;&gt;"",INDEX(職員マスタ!$E$6:$E$405,$AN1097)&lt;&gt;"",$Q1097&lt;&gt;INDEX(職員マスタ!$E$6:$E$405,$AN1097)),"子の生年月日がマスタと相違／","")&amp;IF(AND($L1097&lt;&gt;"",INDEX(職員マスタ!$G$6:$G$405,$AN1097)&lt;&gt;"",$L1097&lt;&gt;INDEX(職員マスタ!$G$6:$G$405,$AN1097)),"時短開始日がマスタと相違／","")&amp;IF(AND($M1097&lt;&gt;"",INDEX(職員マスタ!$H$6:$H$405,$AN1097)&lt;&gt;"",$M1097&lt;&gt;INDEX(職員マスタ!$H$6:$H$405,$AN1097)),"時短終了日がマスタと相違／","")))&amp;IF(AND($B1097&lt;&gt;"",$E1097=""),"報酬額が未入力／","")&amp;IF(N($U1097)&gt;0,"申請書に入力エラーが残っています／","")&amp;IF(AND($B1097&lt;&gt;"",$AO1097&lt;&gt;""),IF(COUNTIFS($B$6:$B$3005,$B1097,$C$6:$C$3005,$C1097,$D$6:$D$3005,$D1097)&gt;1,"同じ月の請求が重複しています／",""),"")&amp;IF(AND(N($E1097)&gt;0,$Z1097&lt;&gt;"",$Z1097&lt;&gt;"×",$AC1097=0,$AB1097=""),"計算額が下限以下のため不支給／",""))</f>
        <v/>
      </c>
      <c r="AL1097" s="12" t="n"/>
      <c r="AM1097" s="14">
        <f>IF($AD1097="保留中",COUNTIF($AD$6:$AD1097,"保留中"),"")</f>
        <v/>
      </c>
      <c r="AN1097" s="14">
        <f>IF($AO1097="","",IF(SUMPRODUCT(MAX((職員マスタ!$A$6:$A$405=$B1097)*(((職員マスタ!$G$6:$G$405="")+(職員マスタ!$G$6:$G$405&lt;=EOMONTH($AO1097,0)))&gt;0)*(((職員マスタ!$H$6:$H$405="")+(職員マスタ!$H$6:$H$405&gt;=$AO1097))&gt;0)*(ROW(職員マスタ!$A$6:$A$405)-5)))&gt;0,SUMPRODUCT(MAX((職員マスタ!$A$6:$A$405=$B1097)*(((職員マスタ!$G$6:$G$405="")+(職員マスタ!$G$6:$G$405&lt;=EOMONTH($AO1097,0)))&gt;0)*(((職員マスタ!$H$6:$H$405="")+(職員マスタ!$H$6:$H$405&gt;=$AO1097))&gt;0)*(ROW(職員マスタ!$A$6:$A$405)-5))),IFERROR(MATCH($B1097,職員マスタ!$A$6:$A$405,0),"")))</f>
        <v/>
      </c>
      <c r="AO1097" s="16">
        <f>IF(OR($B1097="",$C1097="",$D1097=""),"",DATE($C1097+2018,$D1097,1))</f>
        <v/>
      </c>
    </row>
    <row r="1098">
      <c r="A1098" s="11" t="n"/>
      <c r="B1098" s="12" t="n"/>
      <c r="C1098" s="12" t="n"/>
      <c r="D1098" s="12" t="n"/>
      <c r="E1098" s="13" t="n"/>
      <c r="F1098" s="12" t="n"/>
      <c r="G1098" s="13" t="n"/>
      <c r="H1098" s="12" t="n"/>
      <c r="I1098" s="12" t="n"/>
      <c r="J1098" s="12" t="n"/>
      <c r="K1098" s="12" t="n"/>
      <c r="L1098" s="11" t="n"/>
      <c r="M1098" s="11" t="n"/>
      <c r="N1098" s="11" t="n"/>
      <c r="O1098" s="11" t="n"/>
      <c r="P1098" s="12" t="n"/>
      <c r="Q1098" s="11" t="n"/>
      <c r="R1098" s="12" t="n"/>
      <c r="S1098" s="11" t="n"/>
      <c r="T1098" s="12" t="n"/>
      <c r="U1098" s="12" t="n"/>
      <c r="V1098" s="14">
        <f>IF($AN1098="",IF($B1098="","",$H1098),IF(INDEX(職員マスタ!$B$6:$B$405,$AN1098)="",$H1098,INDEX(職員マスタ!$B$6:$B$405,$AN1098)))</f>
        <v/>
      </c>
      <c r="W1098" s="14">
        <f>IF($AN1098="",IF($B1098="","",$R1098),IF(INDEX(職員マスタ!$C$6:$C$405,$AN1098)="",$R1098,INDEX(職員マスタ!$C$6:$C$405,$AN1098)))</f>
        <v/>
      </c>
      <c r="X1098" s="14">
        <f>IF($AO1098="","","R"&amp;$C1098&amp;"."&amp;$D1098)</f>
        <v/>
      </c>
      <c r="Y1098" s="15">
        <f>IF($AN1098="","",IF(INDEX(職員マスタ!$K$6:$K$405,$AN1098)="","",INDEX(職員マスタ!$K$6:$K$405,$AN1098)))</f>
        <v/>
      </c>
      <c r="Z1098" s="14">
        <f>IF(OR($E1098="",$Y1098=""),"",IF($E1098&gt;=$Y1098,"×",IF($E1098&gt;=$Y1098*設定!$C$5,"△","○")))</f>
        <v/>
      </c>
      <c r="AA1098" s="15">
        <f>IF($Z1098="","",IF($Z1098="×",0,IF($Z1098="○",ROUNDDOWN($E1098*設定!$C$4,0),ROUNDDOWN($E1098*ROUND((9*$Y1098-9*$E1098)/(10*$E1098),4),0))))</f>
        <v/>
      </c>
      <c r="AB1098" s="13" t="n"/>
      <c r="AC1098" s="15">
        <f>IF($B1098="","",IF($AB1098&lt;&gt;"",$AB1098,IF($AA1098="","",IF($AA1098&lt;=設定!$C$3,0,$AA1098))))</f>
        <v/>
      </c>
      <c r="AD1098" s="14">
        <f>IF($B1098="","",IF(AND($AE1098&lt;&gt;"",$AG1098="",$AJ1098=""),"保留中",IF($AJ1098&lt;&gt;"",IF(N($AC1098)&gt;0,"支給済","不支給"),IF($AC1098="","要確認",IF($AC1098=0,"不支給","未処理")))))</f>
        <v/>
      </c>
      <c r="AE1098" s="12" t="n"/>
      <c r="AF1098" s="11" t="n"/>
      <c r="AG1098" s="11" t="n"/>
      <c r="AH1098" s="11" t="n"/>
      <c r="AI1098" s="14">
        <f>IF(AND($AD1098="保留中",$AF1098&lt;&gt;""),TODAY()-$AF1098,"")</f>
        <v/>
      </c>
      <c r="AJ1098" s="12" t="n"/>
      <c r="AK1098" s="14">
        <f>IF($B1098="","",IF($AO1098="","対象年月が未入力／","")&amp;IF($B1098="","",IF($AN1098="","職員マスタに未登録の職員番号／",IF($Y1098="","標準報酬月額が未登録／","")&amp;IF(AND($AO1098&lt;&gt;"",OR(AND(INDEX(職員マスタ!$G$6:$G$405,$AN1098)&lt;&gt;"",INDEX(職員マスタ!$G$6:$G$405,$AN1098)&gt;EOMONTH($AO1098,0)),AND(INDEX(職員マスタ!$H$6:$H$405,$AN1098)&lt;&gt;"",INDEX(職員マスタ!$H$6:$H$405,$AN1098)&lt;$AO1098))),"対象月が時短期間外／","")&amp;IF(AND(INDEX(職員マスタ!$F$6:$F$405,$AN1098)&lt;&gt;"",$AO1098&lt;&gt;"",INDEX(職員マスタ!$F$6:$F$405,$AN1098)&lt;$AO1098),"対象月に子が2歳到達済／","")&amp;IF(AND($H1098&lt;&gt;"",INDEX(職員マスタ!$B$6:$B$405,$AN1098)&lt;&gt;"",SUBSTITUTE(SUBSTITUTE($H1098," ","")," ","")&lt;&gt;SUBSTITUTE(SUBSTITUTE(INDEX(職員マスタ!$B$6:$B$405,$AN1098)," ","")," ","")),"氏名がマスタと相違／","")&amp;IF(AND($Q1098&lt;&gt;"",INDEX(職員マスタ!$E$6:$E$405,$AN1098)&lt;&gt;"",$Q1098&lt;&gt;INDEX(職員マスタ!$E$6:$E$405,$AN1098)),"子の生年月日がマスタと相違／","")&amp;IF(AND($L1098&lt;&gt;"",INDEX(職員マスタ!$G$6:$G$405,$AN1098)&lt;&gt;"",$L1098&lt;&gt;INDEX(職員マスタ!$G$6:$G$405,$AN1098)),"時短開始日がマスタと相違／","")&amp;IF(AND($M1098&lt;&gt;"",INDEX(職員マスタ!$H$6:$H$405,$AN1098)&lt;&gt;"",$M1098&lt;&gt;INDEX(職員マスタ!$H$6:$H$405,$AN1098)),"時短終了日がマスタと相違／","")))&amp;IF(AND($B1098&lt;&gt;"",$E1098=""),"報酬額が未入力／","")&amp;IF(N($U1098)&gt;0,"申請書に入力エラーが残っています／","")&amp;IF(AND($B1098&lt;&gt;"",$AO1098&lt;&gt;""),IF(COUNTIFS($B$6:$B$3005,$B1098,$C$6:$C$3005,$C1098,$D$6:$D$3005,$D1098)&gt;1,"同じ月の請求が重複しています／",""),"")&amp;IF(AND(N($E1098)&gt;0,$Z1098&lt;&gt;"",$Z1098&lt;&gt;"×",$AC1098=0,$AB1098=""),"計算額が下限以下のため不支給／",""))</f>
        <v/>
      </c>
      <c r="AL1098" s="12" t="n"/>
      <c r="AM1098" s="14">
        <f>IF($AD1098="保留中",COUNTIF($AD$6:$AD1098,"保留中"),"")</f>
        <v/>
      </c>
      <c r="AN1098" s="14">
        <f>IF($AO1098="","",IF(SUMPRODUCT(MAX((職員マスタ!$A$6:$A$405=$B1098)*(((職員マスタ!$G$6:$G$405="")+(職員マスタ!$G$6:$G$405&lt;=EOMONTH($AO1098,0)))&gt;0)*(((職員マスタ!$H$6:$H$405="")+(職員マスタ!$H$6:$H$405&gt;=$AO1098))&gt;0)*(ROW(職員マスタ!$A$6:$A$405)-5)))&gt;0,SUMPRODUCT(MAX((職員マスタ!$A$6:$A$405=$B1098)*(((職員マスタ!$G$6:$G$405="")+(職員マスタ!$G$6:$G$405&lt;=EOMONTH($AO1098,0)))&gt;0)*(((職員マスタ!$H$6:$H$405="")+(職員マスタ!$H$6:$H$405&gt;=$AO1098))&gt;0)*(ROW(職員マスタ!$A$6:$A$405)-5))),IFERROR(MATCH($B1098,職員マスタ!$A$6:$A$405,0),"")))</f>
        <v/>
      </c>
      <c r="AO1098" s="16">
        <f>IF(OR($B1098="",$C1098="",$D1098=""),"",DATE($C1098+2018,$D1098,1))</f>
        <v/>
      </c>
    </row>
    <row r="1099">
      <c r="A1099" s="11" t="n"/>
      <c r="B1099" s="12" t="n"/>
      <c r="C1099" s="12" t="n"/>
      <c r="D1099" s="12" t="n"/>
      <c r="E1099" s="13" t="n"/>
      <c r="F1099" s="12" t="n"/>
      <c r="G1099" s="13" t="n"/>
      <c r="H1099" s="12" t="n"/>
      <c r="I1099" s="12" t="n"/>
      <c r="J1099" s="12" t="n"/>
      <c r="K1099" s="12" t="n"/>
      <c r="L1099" s="11" t="n"/>
      <c r="M1099" s="11" t="n"/>
      <c r="N1099" s="11" t="n"/>
      <c r="O1099" s="11" t="n"/>
      <c r="P1099" s="12" t="n"/>
      <c r="Q1099" s="11" t="n"/>
      <c r="R1099" s="12" t="n"/>
      <c r="S1099" s="11" t="n"/>
      <c r="T1099" s="12" t="n"/>
      <c r="U1099" s="12" t="n"/>
      <c r="V1099" s="14">
        <f>IF($AN1099="",IF($B1099="","",$H1099),IF(INDEX(職員マスタ!$B$6:$B$405,$AN1099)="",$H1099,INDEX(職員マスタ!$B$6:$B$405,$AN1099)))</f>
        <v/>
      </c>
      <c r="W1099" s="14">
        <f>IF($AN1099="",IF($B1099="","",$R1099),IF(INDEX(職員マスタ!$C$6:$C$405,$AN1099)="",$R1099,INDEX(職員マスタ!$C$6:$C$405,$AN1099)))</f>
        <v/>
      </c>
      <c r="X1099" s="14">
        <f>IF($AO1099="","","R"&amp;$C1099&amp;"."&amp;$D1099)</f>
        <v/>
      </c>
      <c r="Y1099" s="15">
        <f>IF($AN1099="","",IF(INDEX(職員マスタ!$K$6:$K$405,$AN1099)="","",INDEX(職員マスタ!$K$6:$K$405,$AN1099)))</f>
        <v/>
      </c>
      <c r="Z1099" s="14">
        <f>IF(OR($E1099="",$Y1099=""),"",IF($E1099&gt;=$Y1099,"×",IF($E1099&gt;=$Y1099*設定!$C$5,"△","○")))</f>
        <v/>
      </c>
      <c r="AA1099" s="15">
        <f>IF($Z1099="","",IF($Z1099="×",0,IF($Z1099="○",ROUNDDOWN($E1099*設定!$C$4,0),ROUNDDOWN($E1099*ROUND((9*$Y1099-9*$E1099)/(10*$E1099),4),0))))</f>
        <v/>
      </c>
      <c r="AB1099" s="13" t="n"/>
      <c r="AC1099" s="15">
        <f>IF($B1099="","",IF($AB1099&lt;&gt;"",$AB1099,IF($AA1099="","",IF($AA1099&lt;=設定!$C$3,0,$AA1099))))</f>
        <v/>
      </c>
      <c r="AD1099" s="14">
        <f>IF($B1099="","",IF(AND($AE1099&lt;&gt;"",$AG1099="",$AJ1099=""),"保留中",IF($AJ1099&lt;&gt;"",IF(N($AC1099)&gt;0,"支給済","不支給"),IF($AC1099="","要確認",IF($AC1099=0,"不支給","未処理")))))</f>
        <v/>
      </c>
      <c r="AE1099" s="12" t="n"/>
      <c r="AF1099" s="11" t="n"/>
      <c r="AG1099" s="11" t="n"/>
      <c r="AH1099" s="11" t="n"/>
      <c r="AI1099" s="14">
        <f>IF(AND($AD1099="保留中",$AF1099&lt;&gt;""),TODAY()-$AF1099,"")</f>
        <v/>
      </c>
      <c r="AJ1099" s="12" t="n"/>
      <c r="AK1099" s="14">
        <f>IF($B1099="","",IF($AO1099="","対象年月が未入力／","")&amp;IF($B1099="","",IF($AN1099="","職員マスタに未登録の職員番号／",IF($Y1099="","標準報酬月額が未登録／","")&amp;IF(AND($AO1099&lt;&gt;"",OR(AND(INDEX(職員マスタ!$G$6:$G$405,$AN1099)&lt;&gt;"",INDEX(職員マスタ!$G$6:$G$405,$AN1099)&gt;EOMONTH($AO1099,0)),AND(INDEX(職員マスタ!$H$6:$H$405,$AN1099)&lt;&gt;"",INDEX(職員マスタ!$H$6:$H$405,$AN1099)&lt;$AO1099))),"対象月が時短期間外／","")&amp;IF(AND(INDEX(職員マスタ!$F$6:$F$405,$AN1099)&lt;&gt;"",$AO1099&lt;&gt;"",INDEX(職員マスタ!$F$6:$F$405,$AN1099)&lt;$AO1099),"対象月に子が2歳到達済／","")&amp;IF(AND($H1099&lt;&gt;"",INDEX(職員マスタ!$B$6:$B$405,$AN1099)&lt;&gt;"",SUBSTITUTE(SUBSTITUTE($H1099," ","")," ","")&lt;&gt;SUBSTITUTE(SUBSTITUTE(INDEX(職員マスタ!$B$6:$B$405,$AN1099)," ","")," ","")),"氏名がマスタと相違／","")&amp;IF(AND($Q1099&lt;&gt;"",INDEX(職員マスタ!$E$6:$E$405,$AN1099)&lt;&gt;"",$Q1099&lt;&gt;INDEX(職員マスタ!$E$6:$E$405,$AN1099)),"子の生年月日がマスタと相違／","")&amp;IF(AND($L1099&lt;&gt;"",INDEX(職員マスタ!$G$6:$G$405,$AN1099)&lt;&gt;"",$L1099&lt;&gt;INDEX(職員マスタ!$G$6:$G$405,$AN1099)),"時短開始日がマスタと相違／","")&amp;IF(AND($M1099&lt;&gt;"",INDEX(職員マスタ!$H$6:$H$405,$AN1099)&lt;&gt;"",$M1099&lt;&gt;INDEX(職員マスタ!$H$6:$H$405,$AN1099)),"時短終了日がマスタと相違／","")))&amp;IF(AND($B1099&lt;&gt;"",$E1099=""),"報酬額が未入力／","")&amp;IF(N($U1099)&gt;0,"申請書に入力エラーが残っています／","")&amp;IF(AND($B1099&lt;&gt;"",$AO1099&lt;&gt;""),IF(COUNTIFS($B$6:$B$3005,$B1099,$C$6:$C$3005,$C1099,$D$6:$D$3005,$D1099)&gt;1,"同じ月の請求が重複しています／",""),"")&amp;IF(AND(N($E1099)&gt;0,$Z1099&lt;&gt;"",$Z1099&lt;&gt;"×",$AC1099=0,$AB1099=""),"計算額が下限以下のため不支給／",""))</f>
        <v/>
      </c>
      <c r="AL1099" s="12" t="n"/>
      <c r="AM1099" s="14">
        <f>IF($AD1099="保留中",COUNTIF($AD$6:$AD1099,"保留中"),"")</f>
        <v/>
      </c>
      <c r="AN1099" s="14">
        <f>IF($AO1099="","",IF(SUMPRODUCT(MAX((職員マスタ!$A$6:$A$405=$B1099)*(((職員マスタ!$G$6:$G$405="")+(職員マスタ!$G$6:$G$405&lt;=EOMONTH($AO1099,0)))&gt;0)*(((職員マスタ!$H$6:$H$405="")+(職員マスタ!$H$6:$H$405&gt;=$AO1099))&gt;0)*(ROW(職員マスタ!$A$6:$A$405)-5)))&gt;0,SUMPRODUCT(MAX((職員マスタ!$A$6:$A$405=$B1099)*(((職員マスタ!$G$6:$G$405="")+(職員マスタ!$G$6:$G$405&lt;=EOMONTH($AO1099,0)))&gt;0)*(((職員マスタ!$H$6:$H$405="")+(職員マスタ!$H$6:$H$405&gt;=$AO1099))&gt;0)*(ROW(職員マスタ!$A$6:$A$405)-5))),IFERROR(MATCH($B1099,職員マスタ!$A$6:$A$405,0),"")))</f>
        <v/>
      </c>
      <c r="AO1099" s="16">
        <f>IF(OR($B1099="",$C1099="",$D1099=""),"",DATE($C1099+2018,$D1099,1))</f>
        <v/>
      </c>
    </row>
    <row r="1100">
      <c r="A1100" s="11" t="n"/>
      <c r="B1100" s="12" t="n"/>
      <c r="C1100" s="12" t="n"/>
      <c r="D1100" s="12" t="n"/>
      <c r="E1100" s="13" t="n"/>
      <c r="F1100" s="12" t="n"/>
      <c r="G1100" s="13" t="n"/>
      <c r="H1100" s="12" t="n"/>
      <c r="I1100" s="12" t="n"/>
      <c r="J1100" s="12" t="n"/>
      <c r="K1100" s="12" t="n"/>
      <c r="L1100" s="11" t="n"/>
      <c r="M1100" s="11" t="n"/>
      <c r="N1100" s="11" t="n"/>
      <c r="O1100" s="11" t="n"/>
      <c r="P1100" s="12" t="n"/>
      <c r="Q1100" s="11" t="n"/>
      <c r="R1100" s="12" t="n"/>
      <c r="S1100" s="11" t="n"/>
      <c r="T1100" s="12" t="n"/>
      <c r="U1100" s="12" t="n"/>
      <c r="V1100" s="14">
        <f>IF($AN1100="",IF($B1100="","",$H1100),IF(INDEX(職員マスタ!$B$6:$B$405,$AN1100)="",$H1100,INDEX(職員マスタ!$B$6:$B$405,$AN1100)))</f>
        <v/>
      </c>
      <c r="W1100" s="14">
        <f>IF($AN1100="",IF($B1100="","",$R1100),IF(INDEX(職員マスタ!$C$6:$C$405,$AN1100)="",$R1100,INDEX(職員マスタ!$C$6:$C$405,$AN1100)))</f>
        <v/>
      </c>
      <c r="X1100" s="14">
        <f>IF($AO1100="","","R"&amp;$C1100&amp;"."&amp;$D1100)</f>
        <v/>
      </c>
      <c r="Y1100" s="15">
        <f>IF($AN1100="","",IF(INDEX(職員マスタ!$K$6:$K$405,$AN1100)="","",INDEX(職員マスタ!$K$6:$K$405,$AN1100)))</f>
        <v/>
      </c>
      <c r="Z1100" s="14">
        <f>IF(OR($E1100="",$Y1100=""),"",IF($E1100&gt;=$Y1100,"×",IF($E1100&gt;=$Y1100*設定!$C$5,"△","○")))</f>
        <v/>
      </c>
      <c r="AA1100" s="15">
        <f>IF($Z1100="","",IF($Z1100="×",0,IF($Z1100="○",ROUNDDOWN($E1100*設定!$C$4,0),ROUNDDOWN($E1100*ROUND((9*$Y1100-9*$E1100)/(10*$E1100),4),0))))</f>
        <v/>
      </c>
      <c r="AB1100" s="13" t="n"/>
      <c r="AC1100" s="15">
        <f>IF($B1100="","",IF($AB1100&lt;&gt;"",$AB1100,IF($AA1100="","",IF($AA1100&lt;=設定!$C$3,0,$AA1100))))</f>
        <v/>
      </c>
      <c r="AD1100" s="14">
        <f>IF($B1100="","",IF(AND($AE1100&lt;&gt;"",$AG1100="",$AJ1100=""),"保留中",IF($AJ1100&lt;&gt;"",IF(N($AC1100)&gt;0,"支給済","不支給"),IF($AC1100="","要確認",IF($AC1100=0,"不支給","未処理")))))</f>
        <v/>
      </c>
      <c r="AE1100" s="12" t="n"/>
      <c r="AF1100" s="11" t="n"/>
      <c r="AG1100" s="11" t="n"/>
      <c r="AH1100" s="11" t="n"/>
      <c r="AI1100" s="14">
        <f>IF(AND($AD1100="保留中",$AF1100&lt;&gt;""),TODAY()-$AF1100,"")</f>
        <v/>
      </c>
      <c r="AJ1100" s="12" t="n"/>
      <c r="AK1100" s="14">
        <f>IF($B1100="","",IF($AO1100="","対象年月が未入力／","")&amp;IF($B1100="","",IF($AN1100="","職員マスタに未登録の職員番号／",IF($Y1100="","標準報酬月額が未登録／","")&amp;IF(AND($AO1100&lt;&gt;"",OR(AND(INDEX(職員マスタ!$G$6:$G$405,$AN1100)&lt;&gt;"",INDEX(職員マスタ!$G$6:$G$405,$AN1100)&gt;EOMONTH($AO1100,0)),AND(INDEX(職員マスタ!$H$6:$H$405,$AN1100)&lt;&gt;"",INDEX(職員マスタ!$H$6:$H$405,$AN1100)&lt;$AO1100))),"対象月が時短期間外／","")&amp;IF(AND(INDEX(職員マスタ!$F$6:$F$405,$AN1100)&lt;&gt;"",$AO1100&lt;&gt;"",INDEX(職員マスタ!$F$6:$F$405,$AN1100)&lt;$AO1100),"対象月に子が2歳到達済／","")&amp;IF(AND($H1100&lt;&gt;"",INDEX(職員マスタ!$B$6:$B$405,$AN1100)&lt;&gt;"",SUBSTITUTE(SUBSTITUTE($H1100," ","")," ","")&lt;&gt;SUBSTITUTE(SUBSTITUTE(INDEX(職員マスタ!$B$6:$B$405,$AN1100)," ","")," ","")),"氏名がマスタと相違／","")&amp;IF(AND($Q1100&lt;&gt;"",INDEX(職員マスタ!$E$6:$E$405,$AN1100)&lt;&gt;"",$Q1100&lt;&gt;INDEX(職員マスタ!$E$6:$E$405,$AN1100)),"子の生年月日がマスタと相違／","")&amp;IF(AND($L1100&lt;&gt;"",INDEX(職員マスタ!$G$6:$G$405,$AN1100)&lt;&gt;"",$L1100&lt;&gt;INDEX(職員マスタ!$G$6:$G$405,$AN1100)),"時短開始日がマスタと相違／","")&amp;IF(AND($M1100&lt;&gt;"",INDEX(職員マスタ!$H$6:$H$405,$AN1100)&lt;&gt;"",$M1100&lt;&gt;INDEX(職員マスタ!$H$6:$H$405,$AN1100)),"時短終了日がマスタと相違／","")))&amp;IF(AND($B1100&lt;&gt;"",$E1100=""),"報酬額が未入力／","")&amp;IF(N($U1100)&gt;0,"申請書に入力エラーが残っています／","")&amp;IF(AND($B1100&lt;&gt;"",$AO1100&lt;&gt;""),IF(COUNTIFS($B$6:$B$3005,$B1100,$C$6:$C$3005,$C1100,$D$6:$D$3005,$D1100)&gt;1,"同じ月の請求が重複しています／",""),"")&amp;IF(AND(N($E1100)&gt;0,$Z1100&lt;&gt;"",$Z1100&lt;&gt;"×",$AC1100=0,$AB1100=""),"計算額が下限以下のため不支給／",""))</f>
        <v/>
      </c>
      <c r="AL1100" s="12" t="n"/>
      <c r="AM1100" s="14">
        <f>IF($AD1100="保留中",COUNTIF($AD$6:$AD1100,"保留中"),"")</f>
        <v/>
      </c>
      <c r="AN1100" s="14">
        <f>IF($AO1100="","",IF(SUMPRODUCT(MAX((職員マスタ!$A$6:$A$405=$B1100)*(((職員マスタ!$G$6:$G$405="")+(職員マスタ!$G$6:$G$405&lt;=EOMONTH($AO1100,0)))&gt;0)*(((職員マスタ!$H$6:$H$405="")+(職員マスタ!$H$6:$H$405&gt;=$AO1100))&gt;0)*(ROW(職員マスタ!$A$6:$A$405)-5)))&gt;0,SUMPRODUCT(MAX((職員マスタ!$A$6:$A$405=$B1100)*(((職員マスタ!$G$6:$G$405="")+(職員マスタ!$G$6:$G$405&lt;=EOMONTH($AO1100,0)))&gt;0)*(((職員マスタ!$H$6:$H$405="")+(職員マスタ!$H$6:$H$405&gt;=$AO1100))&gt;0)*(ROW(職員マスタ!$A$6:$A$405)-5))),IFERROR(MATCH($B1100,職員マスタ!$A$6:$A$405,0),"")))</f>
        <v/>
      </c>
      <c r="AO1100" s="16">
        <f>IF(OR($B1100="",$C1100="",$D1100=""),"",DATE($C1100+2018,$D1100,1))</f>
        <v/>
      </c>
    </row>
    <row r="1101">
      <c r="A1101" s="11" t="n"/>
      <c r="B1101" s="12" t="n"/>
      <c r="C1101" s="12" t="n"/>
      <c r="D1101" s="12" t="n"/>
      <c r="E1101" s="13" t="n"/>
      <c r="F1101" s="12" t="n"/>
      <c r="G1101" s="13" t="n"/>
      <c r="H1101" s="12" t="n"/>
      <c r="I1101" s="12" t="n"/>
      <c r="J1101" s="12" t="n"/>
      <c r="K1101" s="12" t="n"/>
      <c r="L1101" s="11" t="n"/>
      <c r="M1101" s="11" t="n"/>
      <c r="N1101" s="11" t="n"/>
      <c r="O1101" s="11" t="n"/>
      <c r="P1101" s="12" t="n"/>
      <c r="Q1101" s="11" t="n"/>
      <c r="R1101" s="12" t="n"/>
      <c r="S1101" s="11" t="n"/>
      <c r="T1101" s="12" t="n"/>
      <c r="U1101" s="12" t="n"/>
      <c r="V1101" s="14">
        <f>IF($AN1101="",IF($B1101="","",$H1101),IF(INDEX(職員マスタ!$B$6:$B$405,$AN1101)="",$H1101,INDEX(職員マスタ!$B$6:$B$405,$AN1101)))</f>
        <v/>
      </c>
      <c r="W1101" s="14">
        <f>IF($AN1101="",IF($B1101="","",$R1101),IF(INDEX(職員マスタ!$C$6:$C$405,$AN1101)="",$R1101,INDEX(職員マスタ!$C$6:$C$405,$AN1101)))</f>
        <v/>
      </c>
      <c r="X1101" s="14">
        <f>IF($AO1101="","","R"&amp;$C1101&amp;"."&amp;$D1101)</f>
        <v/>
      </c>
      <c r="Y1101" s="15">
        <f>IF($AN1101="","",IF(INDEX(職員マスタ!$K$6:$K$405,$AN1101)="","",INDEX(職員マスタ!$K$6:$K$405,$AN1101)))</f>
        <v/>
      </c>
      <c r="Z1101" s="14">
        <f>IF(OR($E1101="",$Y1101=""),"",IF($E1101&gt;=$Y1101,"×",IF($E1101&gt;=$Y1101*設定!$C$5,"△","○")))</f>
        <v/>
      </c>
      <c r="AA1101" s="15">
        <f>IF($Z1101="","",IF($Z1101="×",0,IF($Z1101="○",ROUNDDOWN($E1101*設定!$C$4,0),ROUNDDOWN($E1101*ROUND((9*$Y1101-9*$E1101)/(10*$E1101),4),0))))</f>
        <v/>
      </c>
      <c r="AB1101" s="13" t="n"/>
      <c r="AC1101" s="15">
        <f>IF($B1101="","",IF($AB1101&lt;&gt;"",$AB1101,IF($AA1101="","",IF($AA1101&lt;=設定!$C$3,0,$AA1101))))</f>
        <v/>
      </c>
      <c r="AD1101" s="14">
        <f>IF($B1101="","",IF(AND($AE1101&lt;&gt;"",$AG1101="",$AJ1101=""),"保留中",IF($AJ1101&lt;&gt;"",IF(N($AC1101)&gt;0,"支給済","不支給"),IF($AC1101="","要確認",IF($AC1101=0,"不支給","未処理")))))</f>
        <v/>
      </c>
      <c r="AE1101" s="12" t="n"/>
      <c r="AF1101" s="11" t="n"/>
      <c r="AG1101" s="11" t="n"/>
      <c r="AH1101" s="11" t="n"/>
      <c r="AI1101" s="14">
        <f>IF(AND($AD1101="保留中",$AF1101&lt;&gt;""),TODAY()-$AF1101,"")</f>
        <v/>
      </c>
      <c r="AJ1101" s="12" t="n"/>
      <c r="AK1101" s="14">
        <f>IF($B1101="","",IF($AO1101="","対象年月が未入力／","")&amp;IF($B1101="","",IF($AN1101="","職員マスタに未登録の職員番号／",IF($Y1101="","標準報酬月額が未登録／","")&amp;IF(AND($AO1101&lt;&gt;"",OR(AND(INDEX(職員マスタ!$G$6:$G$405,$AN1101)&lt;&gt;"",INDEX(職員マスタ!$G$6:$G$405,$AN1101)&gt;EOMONTH($AO1101,0)),AND(INDEX(職員マスタ!$H$6:$H$405,$AN1101)&lt;&gt;"",INDEX(職員マスタ!$H$6:$H$405,$AN1101)&lt;$AO1101))),"対象月が時短期間外／","")&amp;IF(AND(INDEX(職員マスタ!$F$6:$F$405,$AN1101)&lt;&gt;"",$AO1101&lt;&gt;"",INDEX(職員マスタ!$F$6:$F$405,$AN1101)&lt;$AO1101),"対象月に子が2歳到達済／","")&amp;IF(AND($H1101&lt;&gt;"",INDEX(職員マスタ!$B$6:$B$405,$AN1101)&lt;&gt;"",SUBSTITUTE(SUBSTITUTE($H1101," ","")," ","")&lt;&gt;SUBSTITUTE(SUBSTITUTE(INDEX(職員マスタ!$B$6:$B$405,$AN1101)," ","")," ","")),"氏名がマスタと相違／","")&amp;IF(AND($Q1101&lt;&gt;"",INDEX(職員マスタ!$E$6:$E$405,$AN1101)&lt;&gt;"",$Q1101&lt;&gt;INDEX(職員マスタ!$E$6:$E$405,$AN1101)),"子の生年月日がマスタと相違／","")&amp;IF(AND($L1101&lt;&gt;"",INDEX(職員マスタ!$G$6:$G$405,$AN1101)&lt;&gt;"",$L1101&lt;&gt;INDEX(職員マスタ!$G$6:$G$405,$AN1101)),"時短開始日がマスタと相違／","")&amp;IF(AND($M1101&lt;&gt;"",INDEX(職員マスタ!$H$6:$H$405,$AN1101)&lt;&gt;"",$M1101&lt;&gt;INDEX(職員マスタ!$H$6:$H$405,$AN1101)),"時短終了日がマスタと相違／","")))&amp;IF(AND($B1101&lt;&gt;"",$E1101=""),"報酬額が未入力／","")&amp;IF(N($U1101)&gt;0,"申請書に入力エラーが残っています／","")&amp;IF(AND($B1101&lt;&gt;"",$AO1101&lt;&gt;""),IF(COUNTIFS($B$6:$B$3005,$B1101,$C$6:$C$3005,$C1101,$D$6:$D$3005,$D1101)&gt;1,"同じ月の請求が重複しています／",""),"")&amp;IF(AND(N($E1101)&gt;0,$Z1101&lt;&gt;"",$Z1101&lt;&gt;"×",$AC1101=0,$AB1101=""),"計算額が下限以下のため不支給／",""))</f>
        <v/>
      </c>
      <c r="AL1101" s="12" t="n"/>
      <c r="AM1101" s="14">
        <f>IF($AD1101="保留中",COUNTIF($AD$6:$AD1101,"保留中"),"")</f>
        <v/>
      </c>
      <c r="AN1101" s="14">
        <f>IF($AO1101="","",IF(SUMPRODUCT(MAX((職員マスタ!$A$6:$A$405=$B1101)*(((職員マスタ!$G$6:$G$405="")+(職員マスタ!$G$6:$G$405&lt;=EOMONTH($AO1101,0)))&gt;0)*(((職員マスタ!$H$6:$H$405="")+(職員マスタ!$H$6:$H$405&gt;=$AO1101))&gt;0)*(ROW(職員マスタ!$A$6:$A$405)-5)))&gt;0,SUMPRODUCT(MAX((職員マスタ!$A$6:$A$405=$B1101)*(((職員マスタ!$G$6:$G$405="")+(職員マスタ!$G$6:$G$405&lt;=EOMONTH($AO1101,0)))&gt;0)*(((職員マスタ!$H$6:$H$405="")+(職員マスタ!$H$6:$H$405&gt;=$AO1101))&gt;0)*(ROW(職員マスタ!$A$6:$A$405)-5))),IFERROR(MATCH($B1101,職員マスタ!$A$6:$A$405,0),"")))</f>
        <v/>
      </c>
      <c r="AO1101" s="16">
        <f>IF(OR($B1101="",$C1101="",$D1101=""),"",DATE($C1101+2018,$D1101,1))</f>
        <v/>
      </c>
    </row>
    <row r="1102">
      <c r="A1102" s="11" t="n"/>
      <c r="B1102" s="12" t="n"/>
      <c r="C1102" s="12" t="n"/>
      <c r="D1102" s="12" t="n"/>
      <c r="E1102" s="13" t="n"/>
      <c r="F1102" s="12" t="n"/>
      <c r="G1102" s="13" t="n"/>
      <c r="H1102" s="12" t="n"/>
      <c r="I1102" s="12" t="n"/>
      <c r="J1102" s="12" t="n"/>
      <c r="K1102" s="12" t="n"/>
      <c r="L1102" s="11" t="n"/>
      <c r="M1102" s="11" t="n"/>
      <c r="N1102" s="11" t="n"/>
      <c r="O1102" s="11" t="n"/>
      <c r="P1102" s="12" t="n"/>
      <c r="Q1102" s="11" t="n"/>
      <c r="R1102" s="12" t="n"/>
      <c r="S1102" s="11" t="n"/>
      <c r="T1102" s="12" t="n"/>
      <c r="U1102" s="12" t="n"/>
      <c r="V1102" s="14">
        <f>IF($AN1102="",IF($B1102="","",$H1102),IF(INDEX(職員マスタ!$B$6:$B$405,$AN1102)="",$H1102,INDEX(職員マスタ!$B$6:$B$405,$AN1102)))</f>
        <v/>
      </c>
      <c r="W1102" s="14">
        <f>IF($AN1102="",IF($B1102="","",$R1102),IF(INDEX(職員マスタ!$C$6:$C$405,$AN1102)="",$R1102,INDEX(職員マスタ!$C$6:$C$405,$AN1102)))</f>
        <v/>
      </c>
      <c r="X1102" s="14">
        <f>IF($AO1102="","","R"&amp;$C1102&amp;"."&amp;$D1102)</f>
        <v/>
      </c>
      <c r="Y1102" s="15">
        <f>IF($AN1102="","",IF(INDEX(職員マスタ!$K$6:$K$405,$AN1102)="","",INDEX(職員マスタ!$K$6:$K$405,$AN1102)))</f>
        <v/>
      </c>
      <c r="Z1102" s="14">
        <f>IF(OR($E1102="",$Y1102=""),"",IF($E1102&gt;=$Y1102,"×",IF($E1102&gt;=$Y1102*設定!$C$5,"△","○")))</f>
        <v/>
      </c>
      <c r="AA1102" s="15">
        <f>IF($Z1102="","",IF($Z1102="×",0,IF($Z1102="○",ROUNDDOWN($E1102*設定!$C$4,0),ROUNDDOWN($E1102*ROUND((9*$Y1102-9*$E1102)/(10*$E1102),4),0))))</f>
        <v/>
      </c>
      <c r="AB1102" s="13" t="n"/>
      <c r="AC1102" s="15">
        <f>IF($B1102="","",IF($AB1102&lt;&gt;"",$AB1102,IF($AA1102="","",IF($AA1102&lt;=設定!$C$3,0,$AA1102))))</f>
        <v/>
      </c>
      <c r="AD1102" s="14">
        <f>IF($B1102="","",IF(AND($AE1102&lt;&gt;"",$AG1102="",$AJ1102=""),"保留中",IF($AJ1102&lt;&gt;"",IF(N($AC1102)&gt;0,"支給済","不支給"),IF($AC1102="","要確認",IF($AC1102=0,"不支給","未処理")))))</f>
        <v/>
      </c>
      <c r="AE1102" s="12" t="n"/>
      <c r="AF1102" s="11" t="n"/>
      <c r="AG1102" s="11" t="n"/>
      <c r="AH1102" s="11" t="n"/>
      <c r="AI1102" s="14">
        <f>IF(AND($AD1102="保留中",$AF1102&lt;&gt;""),TODAY()-$AF1102,"")</f>
        <v/>
      </c>
      <c r="AJ1102" s="12" t="n"/>
      <c r="AK1102" s="14">
        <f>IF($B1102="","",IF($AO1102="","対象年月が未入力／","")&amp;IF($B1102="","",IF($AN1102="","職員マスタに未登録の職員番号／",IF($Y1102="","標準報酬月額が未登録／","")&amp;IF(AND($AO1102&lt;&gt;"",OR(AND(INDEX(職員マスタ!$G$6:$G$405,$AN1102)&lt;&gt;"",INDEX(職員マスタ!$G$6:$G$405,$AN1102)&gt;EOMONTH($AO1102,0)),AND(INDEX(職員マスタ!$H$6:$H$405,$AN1102)&lt;&gt;"",INDEX(職員マスタ!$H$6:$H$405,$AN1102)&lt;$AO1102))),"対象月が時短期間外／","")&amp;IF(AND(INDEX(職員マスタ!$F$6:$F$405,$AN1102)&lt;&gt;"",$AO1102&lt;&gt;"",INDEX(職員マスタ!$F$6:$F$405,$AN1102)&lt;$AO1102),"対象月に子が2歳到達済／","")&amp;IF(AND($H1102&lt;&gt;"",INDEX(職員マスタ!$B$6:$B$405,$AN1102)&lt;&gt;"",SUBSTITUTE(SUBSTITUTE($H1102," ","")," ","")&lt;&gt;SUBSTITUTE(SUBSTITUTE(INDEX(職員マスタ!$B$6:$B$405,$AN1102)," ","")," ","")),"氏名がマスタと相違／","")&amp;IF(AND($Q1102&lt;&gt;"",INDEX(職員マスタ!$E$6:$E$405,$AN1102)&lt;&gt;"",$Q1102&lt;&gt;INDEX(職員マスタ!$E$6:$E$405,$AN1102)),"子の生年月日がマスタと相違／","")&amp;IF(AND($L1102&lt;&gt;"",INDEX(職員マスタ!$G$6:$G$405,$AN1102)&lt;&gt;"",$L1102&lt;&gt;INDEX(職員マスタ!$G$6:$G$405,$AN1102)),"時短開始日がマスタと相違／","")&amp;IF(AND($M1102&lt;&gt;"",INDEX(職員マスタ!$H$6:$H$405,$AN1102)&lt;&gt;"",$M1102&lt;&gt;INDEX(職員マスタ!$H$6:$H$405,$AN1102)),"時短終了日がマスタと相違／","")))&amp;IF(AND($B1102&lt;&gt;"",$E1102=""),"報酬額が未入力／","")&amp;IF(N($U1102)&gt;0,"申請書に入力エラーが残っています／","")&amp;IF(AND($B1102&lt;&gt;"",$AO1102&lt;&gt;""),IF(COUNTIFS($B$6:$B$3005,$B1102,$C$6:$C$3005,$C1102,$D$6:$D$3005,$D1102)&gt;1,"同じ月の請求が重複しています／",""),"")&amp;IF(AND(N($E1102)&gt;0,$Z1102&lt;&gt;"",$Z1102&lt;&gt;"×",$AC1102=0,$AB1102=""),"計算額が下限以下のため不支給／",""))</f>
        <v/>
      </c>
      <c r="AL1102" s="12" t="n"/>
      <c r="AM1102" s="14">
        <f>IF($AD1102="保留中",COUNTIF($AD$6:$AD1102,"保留中"),"")</f>
        <v/>
      </c>
      <c r="AN1102" s="14">
        <f>IF($AO1102="","",IF(SUMPRODUCT(MAX((職員マスタ!$A$6:$A$405=$B1102)*(((職員マスタ!$G$6:$G$405="")+(職員マスタ!$G$6:$G$405&lt;=EOMONTH($AO1102,0)))&gt;0)*(((職員マスタ!$H$6:$H$405="")+(職員マスタ!$H$6:$H$405&gt;=$AO1102))&gt;0)*(ROW(職員マスタ!$A$6:$A$405)-5)))&gt;0,SUMPRODUCT(MAX((職員マスタ!$A$6:$A$405=$B1102)*(((職員マスタ!$G$6:$G$405="")+(職員マスタ!$G$6:$G$405&lt;=EOMONTH($AO1102,0)))&gt;0)*(((職員マスタ!$H$6:$H$405="")+(職員マスタ!$H$6:$H$405&gt;=$AO1102))&gt;0)*(ROW(職員マスタ!$A$6:$A$405)-5))),IFERROR(MATCH($B1102,職員マスタ!$A$6:$A$405,0),"")))</f>
        <v/>
      </c>
      <c r="AO1102" s="16">
        <f>IF(OR($B1102="",$C1102="",$D1102=""),"",DATE($C1102+2018,$D1102,1))</f>
        <v/>
      </c>
    </row>
    <row r="1103">
      <c r="A1103" s="11" t="n"/>
      <c r="B1103" s="12" t="n"/>
      <c r="C1103" s="12" t="n"/>
      <c r="D1103" s="12" t="n"/>
      <c r="E1103" s="13" t="n"/>
      <c r="F1103" s="12" t="n"/>
      <c r="G1103" s="13" t="n"/>
      <c r="H1103" s="12" t="n"/>
      <c r="I1103" s="12" t="n"/>
      <c r="J1103" s="12" t="n"/>
      <c r="K1103" s="12" t="n"/>
      <c r="L1103" s="11" t="n"/>
      <c r="M1103" s="11" t="n"/>
      <c r="N1103" s="11" t="n"/>
      <c r="O1103" s="11" t="n"/>
      <c r="P1103" s="12" t="n"/>
      <c r="Q1103" s="11" t="n"/>
      <c r="R1103" s="12" t="n"/>
      <c r="S1103" s="11" t="n"/>
      <c r="T1103" s="12" t="n"/>
      <c r="U1103" s="12" t="n"/>
      <c r="V1103" s="14">
        <f>IF($AN1103="",IF($B1103="","",$H1103),IF(INDEX(職員マスタ!$B$6:$B$405,$AN1103)="",$H1103,INDEX(職員マスタ!$B$6:$B$405,$AN1103)))</f>
        <v/>
      </c>
      <c r="W1103" s="14">
        <f>IF($AN1103="",IF($B1103="","",$R1103),IF(INDEX(職員マスタ!$C$6:$C$405,$AN1103)="",$R1103,INDEX(職員マスタ!$C$6:$C$405,$AN1103)))</f>
        <v/>
      </c>
      <c r="X1103" s="14">
        <f>IF($AO1103="","","R"&amp;$C1103&amp;"."&amp;$D1103)</f>
        <v/>
      </c>
      <c r="Y1103" s="15">
        <f>IF($AN1103="","",IF(INDEX(職員マスタ!$K$6:$K$405,$AN1103)="","",INDEX(職員マスタ!$K$6:$K$405,$AN1103)))</f>
        <v/>
      </c>
      <c r="Z1103" s="14">
        <f>IF(OR($E1103="",$Y1103=""),"",IF($E1103&gt;=$Y1103,"×",IF($E1103&gt;=$Y1103*設定!$C$5,"△","○")))</f>
        <v/>
      </c>
      <c r="AA1103" s="15">
        <f>IF($Z1103="","",IF($Z1103="×",0,IF($Z1103="○",ROUNDDOWN($E1103*設定!$C$4,0),ROUNDDOWN($E1103*ROUND((9*$Y1103-9*$E1103)/(10*$E1103),4),0))))</f>
        <v/>
      </c>
      <c r="AB1103" s="13" t="n"/>
      <c r="AC1103" s="15">
        <f>IF($B1103="","",IF($AB1103&lt;&gt;"",$AB1103,IF($AA1103="","",IF($AA1103&lt;=設定!$C$3,0,$AA1103))))</f>
        <v/>
      </c>
      <c r="AD1103" s="14">
        <f>IF($B1103="","",IF(AND($AE1103&lt;&gt;"",$AG1103="",$AJ1103=""),"保留中",IF($AJ1103&lt;&gt;"",IF(N($AC1103)&gt;0,"支給済","不支給"),IF($AC1103="","要確認",IF($AC1103=0,"不支給","未処理")))))</f>
        <v/>
      </c>
      <c r="AE1103" s="12" t="n"/>
      <c r="AF1103" s="11" t="n"/>
      <c r="AG1103" s="11" t="n"/>
      <c r="AH1103" s="11" t="n"/>
      <c r="AI1103" s="14">
        <f>IF(AND($AD1103="保留中",$AF1103&lt;&gt;""),TODAY()-$AF1103,"")</f>
        <v/>
      </c>
      <c r="AJ1103" s="12" t="n"/>
      <c r="AK1103" s="14">
        <f>IF($B1103="","",IF($AO1103="","対象年月が未入力／","")&amp;IF($B1103="","",IF($AN1103="","職員マスタに未登録の職員番号／",IF($Y1103="","標準報酬月額が未登録／","")&amp;IF(AND($AO1103&lt;&gt;"",OR(AND(INDEX(職員マスタ!$G$6:$G$405,$AN1103)&lt;&gt;"",INDEX(職員マスタ!$G$6:$G$405,$AN1103)&gt;EOMONTH($AO1103,0)),AND(INDEX(職員マスタ!$H$6:$H$405,$AN1103)&lt;&gt;"",INDEX(職員マスタ!$H$6:$H$405,$AN1103)&lt;$AO1103))),"対象月が時短期間外／","")&amp;IF(AND(INDEX(職員マスタ!$F$6:$F$405,$AN1103)&lt;&gt;"",$AO1103&lt;&gt;"",INDEX(職員マスタ!$F$6:$F$405,$AN1103)&lt;$AO1103),"対象月に子が2歳到達済／","")&amp;IF(AND($H1103&lt;&gt;"",INDEX(職員マスタ!$B$6:$B$405,$AN1103)&lt;&gt;"",SUBSTITUTE(SUBSTITUTE($H1103," ","")," ","")&lt;&gt;SUBSTITUTE(SUBSTITUTE(INDEX(職員マスタ!$B$6:$B$405,$AN1103)," ","")," ","")),"氏名がマスタと相違／","")&amp;IF(AND($Q1103&lt;&gt;"",INDEX(職員マスタ!$E$6:$E$405,$AN1103)&lt;&gt;"",$Q1103&lt;&gt;INDEX(職員マスタ!$E$6:$E$405,$AN1103)),"子の生年月日がマスタと相違／","")&amp;IF(AND($L1103&lt;&gt;"",INDEX(職員マスタ!$G$6:$G$405,$AN1103)&lt;&gt;"",$L1103&lt;&gt;INDEX(職員マスタ!$G$6:$G$405,$AN1103)),"時短開始日がマスタと相違／","")&amp;IF(AND($M1103&lt;&gt;"",INDEX(職員マスタ!$H$6:$H$405,$AN1103)&lt;&gt;"",$M1103&lt;&gt;INDEX(職員マスタ!$H$6:$H$405,$AN1103)),"時短終了日がマスタと相違／","")))&amp;IF(AND($B1103&lt;&gt;"",$E1103=""),"報酬額が未入力／","")&amp;IF(N($U1103)&gt;0,"申請書に入力エラーが残っています／","")&amp;IF(AND($B1103&lt;&gt;"",$AO1103&lt;&gt;""),IF(COUNTIFS($B$6:$B$3005,$B1103,$C$6:$C$3005,$C1103,$D$6:$D$3005,$D1103)&gt;1,"同じ月の請求が重複しています／",""),"")&amp;IF(AND(N($E1103)&gt;0,$Z1103&lt;&gt;"",$Z1103&lt;&gt;"×",$AC1103=0,$AB1103=""),"計算額が下限以下のため不支給／",""))</f>
        <v/>
      </c>
      <c r="AL1103" s="12" t="n"/>
      <c r="AM1103" s="14">
        <f>IF($AD1103="保留中",COUNTIF($AD$6:$AD1103,"保留中"),"")</f>
        <v/>
      </c>
      <c r="AN1103" s="14">
        <f>IF($AO1103="","",IF(SUMPRODUCT(MAX((職員マスタ!$A$6:$A$405=$B1103)*(((職員マスタ!$G$6:$G$405="")+(職員マスタ!$G$6:$G$405&lt;=EOMONTH($AO1103,0)))&gt;0)*(((職員マスタ!$H$6:$H$405="")+(職員マスタ!$H$6:$H$405&gt;=$AO1103))&gt;0)*(ROW(職員マスタ!$A$6:$A$405)-5)))&gt;0,SUMPRODUCT(MAX((職員マスタ!$A$6:$A$405=$B1103)*(((職員マスタ!$G$6:$G$405="")+(職員マスタ!$G$6:$G$405&lt;=EOMONTH($AO1103,0)))&gt;0)*(((職員マスタ!$H$6:$H$405="")+(職員マスタ!$H$6:$H$405&gt;=$AO1103))&gt;0)*(ROW(職員マスタ!$A$6:$A$405)-5))),IFERROR(MATCH($B1103,職員マスタ!$A$6:$A$405,0),"")))</f>
        <v/>
      </c>
      <c r="AO1103" s="16">
        <f>IF(OR($B1103="",$C1103="",$D1103=""),"",DATE($C1103+2018,$D1103,1))</f>
        <v/>
      </c>
    </row>
    <row r="1104">
      <c r="A1104" s="11" t="n"/>
      <c r="B1104" s="12" t="n"/>
      <c r="C1104" s="12" t="n"/>
      <c r="D1104" s="12" t="n"/>
      <c r="E1104" s="13" t="n"/>
      <c r="F1104" s="12" t="n"/>
      <c r="G1104" s="13" t="n"/>
      <c r="H1104" s="12" t="n"/>
      <c r="I1104" s="12" t="n"/>
      <c r="J1104" s="12" t="n"/>
      <c r="K1104" s="12" t="n"/>
      <c r="L1104" s="11" t="n"/>
      <c r="M1104" s="11" t="n"/>
      <c r="N1104" s="11" t="n"/>
      <c r="O1104" s="11" t="n"/>
      <c r="P1104" s="12" t="n"/>
      <c r="Q1104" s="11" t="n"/>
      <c r="R1104" s="12" t="n"/>
      <c r="S1104" s="11" t="n"/>
      <c r="T1104" s="12" t="n"/>
      <c r="U1104" s="12" t="n"/>
      <c r="V1104" s="14">
        <f>IF($AN1104="",IF($B1104="","",$H1104),IF(INDEX(職員マスタ!$B$6:$B$405,$AN1104)="",$H1104,INDEX(職員マスタ!$B$6:$B$405,$AN1104)))</f>
        <v/>
      </c>
      <c r="W1104" s="14">
        <f>IF($AN1104="",IF($B1104="","",$R1104),IF(INDEX(職員マスタ!$C$6:$C$405,$AN1104)="",$R1104,INDEX(職員マスタ!$C$6:$C$405,$AN1104)))</f>
        <v/>
      </c>
      <c r="X1104" s="14">
        <f>IF($AO1104="","","R"&amp;$C1104&amp;"."&amp;$D1104)</f>
        <v/>
      </c>
      <c r="Y1104" s="15">
        <f>IF($AN1104="","",IF(INDEX(職員マスタ!$K$6:$K$405,$AN1104)="","",INDEX(職員マスタ!$K$6:$K$405,$AN1104)))</f>
        <v/>
      </c>
      <c r="Z1104" s="14">
        <f>IF(OR($E1104="",$Y1104=""),"",IF($E1104&gt;=$Y1104,"×",IF($E1104&gt;=$Y1104*設定!$C$5,"△","○")))</f>
        <v/>
      </c>
      <c r="AA1104" s="15">
        <f>IF($Z1104="","",IF($Z1104="×",0,IF($Z1104="○",ROUNDDOWN($E1104*設定!$C$4,0),ROUNDDOWN($E1104*ROUND((9*$Y1104-9*$E1104)/(10*$E1104),4),0))))</f>
        <v/>
      </c>
      <c r="AB1104" s="13" t="n"/>
      <c r="AC1104" s="15">
        <f>IF($B1104="","",IF($AB1104&lt;&gt;"",$AB1104,IF($AA1104="","",IF($AA1104&lt;=設定!$C$3,0,$AA1104))))</f>
        <v/>
      </c>
      <c r="AD1104" s="14">
        <f>IF($B1104="","",IF(AND($AE1104&lt;&gt;"",$AG1104="",$AJ1104=""),"保留中",IF($AJ1104&lt;&gt;"",IF(N($AC1104)&gt;0,"支給済","不支給"),IF($AC1104="","要確認",IF($AC1104=0,"不支給","未処理")))))</f>
        <v/>
      </c>
      <c r="AE1104" s="12" t="n"/>
      <c r="AF1104" s="11" t="n"/>
      <c r="AG1104" s="11" t="n"/>
      <c r="AH1104" s="11" t="n"/>
      <c r="AI1104" s="14">
        <f>IF(AND($AD1104="保留中",$AF1104&lt;&gt;""),TODAY()-$AF1104,"")</f>
        <v/>
      </c>
      <c r="AJ1104" s="12" t="n"/>
      <c r="AK1104" s="14">
        <f>IF($B1104="","",IF($AO1104="","対象年月が未入力／","")&amp;IF($B1104="","",IF($AN1104="","職員マスタに未登録の職員番号／",IF($Y1104="","標準報酬月額が未登録／","")&amp;IF(AND($AO1104&lt;&gt;"",OR(AND(INDEX(職員マスタ!$G$6:$G$405,$AN1104)&lt;&gt;"",INDEX(職員マスタ!$G$6:$G$405,$AN1104)&gt;EOMONTH($AO1104,0)),AND(INDEX(職員マスタ!$H$6:$H$405,$AN1104)&lt;&gt;"",INDEX(職員マスタ!$H$6:$H$405,$AN1104)&lt;$AO1104))),"対象月が時短期間外／","")&amp;IF(AND(INDEX(職員マスタ!$F$6:$F$405,$AN1104)&lt;&gt;"",$AO1104&lt;&gt;"",INDEX(職員マスタ!$F$6:$F$405,$AN1104)&lt;$AO1104),"対象月に子が2歳到達済／","")&amp;IF(AND($H1104&lt;&gt;"",INDEX(職員マスタ!$B$6:$B$405,$AN1104)&lt;&gt;"",SUBSTITUTE(SUBSTITUTE($H1104," ","")," ","")&lt;&gt;SUBSTITUTE(SUBSTITUTE(INDEX(職員マスタ!$B$6:$B$405,$AN1104)," ","")," ","")),"氏名がマスタと相違／","")&amp;IF(AND($Q1104&lt;&gt;"",INDEX(職員マスタ!$E$6:$E$405,$AN1104)&lt;&gt;"",$Q1104&lt;&gt;INDEX(職員マスタ!$E$6:$E$405,$AN1104)),"子の生年月日がマスタと相違／","")&amp;IF(AND($L1104&lt;&gt;"",INDEX(職員マスタ!$G$6:$G$405,$AN1104)&lt;&gt;"",$L1104&lt;&gt;INDEX(職員マスタ!$G$6:$G$405,$AN1104)),"時短開始日がマスタと相違／","")&amp;IF(AND($M1104&lt;&gt;"",INDEX(職員マスタ!$H$6:$H$405,$AN1104)&lt;&gt;"",$M1104&lt;&gt;INDEX(職員マスタ!$H$6:$H$405,$AN1104)),"時短終了日がマスタと相違／","")))&amp;IF(AND($B1104&lt;&gt;"",$E1104=""),"報酬額が未入力／","")&amp;IF(N($U1104)&gt;0,"申請書に入力エラーが残っています／","")&amp;IF(AND($B1104&lt;&gt;"",$AO1104&lt;&gt;""),IF(COUNTIFS($B$6:$B$3005,$B1104,$C$6:$C$3005,$C1104,$D$6:$D$3005,$D1104)&gt;1,"同じ月の請求が重複しています／",""),"")&amp;IF(AND(N($E1104)&gt;0,$Z1104&lt;&gt;"",$Z1104&lt;&gt;"×",$AC1104=0,$AB1104=""),"計算額が下限以下のため不支給／",""))</f>
        <v/>
      </c>
      <c r="AL1104" s="12" t="n"/>
      <c r="AM1104" s="14">
        <f>IF($AD1104="保留中",COUNTIF($AD$6:$AD1104,"保留中"),"")</f>
        <v/>
      </c>
      <c r="AN1104" s="14">
        <f>IF($AO1104="","",IF(SUMPRODUCT(MAX((職員マスタ!$A$6:$A$405=$B1104)*(((職員マスタ!$G$6:$G$405="")+(職員マスタ!$G$6:$G$405&lt;=EOMONTH($AO1104,0)))&gt;0)*(((職員マスタ!$H$6:$H$405="")+(職員マスタ!$H$6:$H$405&gt;=$AO1104))&gt;0)*(ROW(職員マスタ!$A$6:$A$405)-5)))&gt;0,SUMPRODUCT(MAX((職員マスタ!$A$6:$A$405=$B1104)*(((職員マスタ!$G$6:$G$405="")+(職員マスタ!$G$6:$G$405&lt;=EOMONTH($AO1104,0)))&gt;0)*(((職員マスタ!$H$6:$H$405="")+(職員マスタ!$H$6:$H$405&gt;=$AO1104))&gt;0)*(ROW(職員マスタ!$A$6:$A$405)-5))),IFERROR(MATCH($B1104,職員マスタ!$A$6:$A$405,0),"")))</f>
        <v/>
      </c>
      <c r="AO1104" s="16">
        <f>IF(OR($B1104="",$C1104="",$D1104=""),"",DATE($C1104+2018,$D1104,1))</f>
        <v/>
      </c>
    </row>
    <row r="1105">
      <c r="A1105" s="11" t="n"/>
      <c r="B1105" s="12" t="n"/>
      <c r="C1105" s="12" t="n"/>
      <c r="D1105" s="12" t="n"/>
      <c r="E1105" s="13" t="n"/>
      <c r="F1105" s="12" t="n"/>
      <c r="G1105" s="13" t="n"/>
      <c r="H1105" s="12" t="n"/>
      <c r="I1105" s="12" t="n"/>
      <c r="J1105" s="12" t="n"/>
      <c r="K1105" s="12" t="n"/>
      <c r="L1105" s="11" t="n"/>
      <c r="M1105" s="11" t="n"/>
      <c r="N1105" s="11" t="n"/>
      <c r="O1105" s="11" t="n"/>
      <c r="P1105" s="12" t="n"/>
      <c r="Q1105" s="11" t="n"/>
      <c r="R1105" s="12" t="n"/>
      <c r="S1105" s="11" t="n"/>
      <c r="T1105" s="12" t="n"/>
      <c r="U1105" s="12" t="n"/>
      <c r="V1105" s="14">
        <f>IF($AN1105="",IF($B1105="","",$H1105),IF(INDEX(職員マスタ!$B$6:$B$405,$AN1105)="",$H1105,INDEX(職員マスタ!$B$6:$B$405,$AN1105)))</f>
        <v/>
      </c>
      <c r="W1105" s="14">
        <f>IF($AN1105="",IF($B1105="","",$R1105),IF(INDEX(職員マスタ!$C$6:$C$405,$AN1105)="",$R1105,INDEX(職員マスタ!$C$6:$C$405,$AN1105)))</f>
        <v/>
      </c>
      <c r="X1105" s="14">
        <f>IF($AO1105="","","R"&amp;$C1105&amp;"."&amp;$D1105)</f>
        <v/>
      </c>
      <c r="Y1105" s="15">
        <f>IF($AN1105="","",IF(INDEX(職員マスタ!$K$6:$K$405,$AN1105)="","",INDEX(職員マスタ!$K$6:$K$405,$AN1105)))</f>
        <v/>
      </c>
      <c r="Z1105" s="14">
        <f>IF(OR($E1105="",$Y1105=""),"",IF($E1105&gt;=$Y1105,"×",IF($E1105&gt;=$Y1105*設定!$C$5,"△","○")))</f>
        <v/>
      </c>
      <c r="AA1105" s="15">
        <f>IF($Z1105="","",IF($Z1105="×",0,IF($Z1105="○",ROUNDDOWN($E1105*設定!$C$4,0),ROUNDDOWN($E1105*ROUND((9*$Y1105-9*$E1105)/(10*$E1105),4),0))))</f>
        <v/>
      </c>
      <c r="AB1105" s="13" t="n"/>
      <c r="AC1105" s="15">
        <f>IF($B1105="","",IF($AB1105&lt;&gt;"",$AB1105,IF($AA1105="","",IF($AA1105&lt;=設定!$C$3,0,$AA1105))))</f>
        <v/>
      </c>
      <c r="AD1105" s="14">
        <f>IF($B1105="","",IF(AND($AE1105&lt;&gt;"",$AG1105="",$AJ1105=""),"保留中",IF($AJ1105&lt;&gt;"",IF(N($AC1105)&gt;0,"支給済","不支給"),IF($AC1105="","要確認",IF($AC1105=0,"不支給","未処理")))))</f>
        <v/>
      </c>
      <c r="AE1105" s="12" t="n"/>
      <c r="AF1105" s="11" t="n"/>
      <c r="AG1105" s="11" t="n"/>
      <c r="AH1105" s="11" t="n"/>
      <c r="AI1105" s="14">
        <f>IF(AND($AD1105="保留中",$AF1105&lt;&gt;""),TODAY()-$AF1105,"")</f>
        <v/>
      </c>
      <c r="AJ1105" s="12" t="n"/>
      <c r="AK1105" s="14">
        <f>IF($B1105="","",IF($AO1105="","対象年月が未入力／","")&amp;IF($B1105="","",IF($AN1105="","職員マスタに未登録の職員番号／",IF($Y1105="","標準報酬月額が未登録／","")&amp;IF(AND($AO1105&lt;&gt;"",OR(AND(INDEX(職員マスタ!$G$6:$G$405,$AN1105)&lt;&gt;"",INDEX(職員マスタ!$G$6:$G$405,$AN1105)&gt;EOMONTH($AO1105,0)),AND(INDEX(職員マスタ!$H$6:$H$405,$AN1105)&lt;&gt;"",INDEX(職員マスタ!$H$6:$H$405,$AN1105)&lt;$AO1105))),"対象月が時短期間外／","")&amp;IF(AND(INDEX(職員マスタ!$F$6:$F$405,$AN1105)&lt;&gt;"",$AO1105&lt;&gt;"",INDEX(職員マスタ!$F$6:$F$405,$AN1105)&lt;$AO1105),"対象月に子が2歳到達済／","")&amp;IF(AND($H1105&lt;&gt;"",INDEX(職員マスタ!$B$6:$B$405,$AN1105)&lt;&gt;"",SUBSTITUTE(SUBSTITUTE($H1105," ","")," ","")&lt;&gt;SUBSTITUTE(SUBSTITUTE(INDEX(職員マスタ!$B$6:$B$405,$AN1105)," ","")," ","")),"氏名がマスタと相違／","")&amp;IF(AND($Q1105&lt;&gt;"",INDEX(職員マスタ!$E$6:$E$405,$AN1105)&lt;&gt;"",$Q1105&lt;&gt;INDEX(職員マスタ!$E$6:$E$405,$AN1105)),"子の生年月日がマスタと相違／","")&amp;IF(AND($L1105&lt;&gt;"",INDEX(職員マスタ!$G$6:$G$405,$AN1105)&lt;&gt;"",$L1105&lt;&gt;INDEX(職員マスタ!$G$6:$G$405,$AN1105)),"時短開始日がマスタと相違／","")&amp;IF(AND($M1105&lt;&gt;"",INDEX(職員マスタ!$H$6:$H$405,$AN1105)&lt;&gt;"",$M1105&lt;&gt;INDEX(職員マスタ!$H$6:$H$405,$AN1105)),"時短終了日がマスタと相違／","")))&amp;IF(AND($B1105&lt;&gt;"",$E1105=""),"報酬額が未入力／","")&amp;IF(N($U1105)&gt;0,"申請書に入力エラーが残っています／","")&amp;IF(AND($B1105&lt;&gt;"",$AO1105&lt;&gt;""),IF(COUNTIFS($B$6:$B$3005,$B1105,$C$6:$C$3005,$C1105,$D$6:$D$3005,$D1105)&gt;1,"同じ月の請求が重複しています／",""),"")&amp;IF(AND(N($E1105)&gt;0,$Z1105&lt;&gt;"",$Z1105&lt;&gt;"×",$AC1105=0,$AB1105=""),"計算額が下限以下のため不支給／",""))</f>
        <v/>
      </c>
      <c r="AL1105" s="12" t="n"/>
      <c r="AM1105" s="14">
        <f>IF($AD1105="保留中",COUNTIF($AD$6:$AD1105,"保留中"),"")</f>
        <v/>
      </c>
      <c r="AN1105" s="14">
        <f>IF($AO1105="","",IF(SUMPRODUCT(MAX((職員マスタ!$A$6:$A$405=$B1105)*(((職員マスタ!$G$6:$G$405="")+(職員マスタ!$G$6:$G$405&lt;=EOMONTH($AO1105,0)))&gt;0)*(((職員マスタ!$H$6:$H$405="")+(職員マスタ!$H$6:$H$405&gt;=$AO1105))&gt;0)*(ROW(職員マスタ!$A$6:$A$405)-5)))&gt;0,SUMPRODUCT(MAX((職員マスタ!$A$6:$A$405=$B1105)*(((職員マスタ!$G$6:$G$405="")+(職員マスタ!$G$6:$G$405&lt;=EOMONTH($AO1105,0)))&gt;0)*(((職員マスタ!$H$6:$H$405="")+(職員マスタ!$H$6:$H$405&gt;=$AO1105))&gt;0)*(ROW(職員マスタ!$A$6:$A$405)-5))),IFERROR(MATCH($B1105,職員マスタ!$A$6:$A$405,0),"")))</f>
        <v/>
      </c>
      <c r="AO1105" s="16">
        <f>IF(OR($B1105="",$C1105="",$D1105=""),"",DATE($C1105+2018,$D1105,1))</f>
        <v/>
      </c>
    </row>
    <row r="1106">
      <c r="A1106" s="11" t="n"/>
      <c r="B1106" s="12" t="n"/>
      <c r="C1106" s="12" t="n"/>
      <c r="D1106" s="12" t="n"/>
      <c r="E1106" s="13" t="n"/>
      <c r="F1106" s="12" t="n"/>
      <c r="G1106" s="13" t="n"/>
      <c r="H1106" s="12" t="n"/>
      <c r="I1106" s="12" t="n"/>
      <c r="J1106" s="12" t="n"/>
      <c r="K1106" s="12" t="n"/>
      <c r="L1106" s="11" t="n"/>
      <c r="M1106" s="11" t="n"/>
      <c r="N1106" s="11" t="n"/>
      <c r="O1106" s="11" t="n"/>
      <c r="P1106" s="12" t="n"/>
      <c r="Q1106" s="11" t="n"/>
      <c r="R1106" s="12" t="n"/>
      <c r="S1106" s="11" t="n"/>
      <c r="T1106" s="12" t="n"/>
      <c r="U1106" s="12" t="n"/>
      <c r="V1106" s="14">
        <f>IF($AN1106="",IF($B1106="","",$H1106),IF(INDEX(職員マスタ!$B$6:$B$405,$AN1106)="",$H1106,INDEX(職員マスタ!$B$6:$B$405,$AN1106)))</f>
        <v/>
      </c>
      <c r="W1106" s="14">
        <f>IF($AN1106="",IF($B1106="","",$R1106),IF(INDEX(職員マスタ!$C$6:$C$405,$AN1106)="",$R1106,INDEX(職員マスタ!$C$6:$C$405,$AN1106)))</f>
        <v/>
      </c>
      <c r="X1106" s="14">
        <f>IF($AO1106="","","R"&amp;$C1106&amp;"."&amp;$D1106)</f>
        <v/>
      </c>
      <c r="Y1106" s="15">
        <f>IF($AN1106="","",IF(INDEX(職員マスタ!$K$6:$K$405,$AN1106)="","",INDEX(職員マスタ!$K$6:$K$405,$AN1106)))</f>
        <v/>
      </c>
      <c r="Z1106" s="14">
        <f>IF(OR($E1106="",$Y1106=""),"",IF($E1106&gt;=$Y1106,"×",IF($E1106&gt;=$Y1106*設定!$C$5,"△","○")))</f>
        <v/>
      </c>
      <c r="AA1106" s="15">
        <f>IF($Z1106="","",IF($Z1106="×",0,IF($Z1106="○",ROUNDDOWN($E1106*設定!$C$4,0),ROUNDDOWN($E1106*ROUND((9*$Y1106-9*$E1106)/(10*$E1106),4),0))))</f>
        <v/>
      </c>
      <c r="AB1106" s="13" t="n"/>
      <c r="AC1106" s="15">
        <f>IF($B1106="","",IF($AB1106&lt;&gt;"",$AB1106,IF($AA1106="","",IF($AA1106&lt;=設定!$C$3,0,$AA1106))))</f>
        <v/>
      </c>
      <c r="AD1106" s="14">
        <f>IF($B1106="","",IF(AND($AE1106&lt;&gt;"",$AG1106="",$AJ1106=""),"保留中",IF($AJ1106&lt;&gt;"",IF(N($AC1106)&gt;0,"支給済","不支給"),IF($AC1106="","要確認",IF($AC1106=0,"不支給","未処理")))))</f>
        <v/>
      </c>
      <c r="AE1106" s="12" t="n"/>
      <c r="AF1106" s="11" t="n"/>
      <c r="AG1106" s="11" t="n"/>
      <c r="AH1106" s="11" t="n"/>
      <c r="AI1106" s="14">
        <f>IF(AND($AD1106="保留中",$AF1106&lt;&gt;""),TODAY()-$AF1106,"")</f>
        <v/>
      </c>
      <c r="AJ1106" s="12" t="n"/>
      <c r="AK1106" s="14">
        <f>IF($B1106="","",IF($AO1106="","対象年月が未入力／","")&amp;IF($B1106="","",IF($AN1106="","職員マスタに未登録の職員番号／",IF($Y1106="","標準報酬月額が未登録／","")&amp;IF(AND($AO1106&lt;&gt;"",OR(AND(INDEX(職員マスタ!$G$6:$G$405,$AN1106)&lt;&gt;"",INDEX(職員マスタ!$G$6:$G$405,$AN1106)&gt;EOMONTH($AO1106,0)),AND(INDEX(職員マスタ!$H$6:$H$405,$AN1106)&lt;&gt;"",INDEX(職員マスタ!$H$6:$H$405,$AN1106)&lt;$AO1106))),"対象月が時短期間外／","")&amp;IF(AND(INDEX(職員マスタ!$F$6:$F$405,$AN1106)&lt;&gt;"",$AO1106&lt;&gt;"",INDEX(職員マスタ!$F$6:$F$405,$AN1106)&lt;$AO1106),"対象月に子が2歳到達済／","")&amp;IF(AND($H1106&lt;&gt;"",INDEX(職員マスタ!$B$6:$B$405,$AN1106)&lt;&gt;"",SUBSTITUTE(SUBSTITUTE($H1106," ","")," ","")&lt;&gt;SUBSTITUTE(SUBSTITUTE(INDEX(職員マスタ!$B$6:$B$405,$AN1106)," ","")," ","")),"氏名がマスタと相違／","")&amp;IF(AND($Q1106&lt;&gt;"",INDEX(職員マスタ!$E$6:$E$405,$AN1106)&lt;&gt;"",$Q1106&lt;&gt;INDEX(職員マスタ!$E$6:$E$405,$AN1106)),"子の生年月日がマスタと相違／","")&amp;IF(AND($L1106&lt;&gt;"",INDEX(職員マスタ!$G$6:$G$405,$AN1106)&lt;&gt;"",$L1106&lt;&gt;INDEX(職員マスタ!$G$6:$G$405,$AN1106)),"時短開始日がマスタと相違／","")&amp;IF(AND($M1106&lt;&gt;"",INDEX(職員マスタ!$H$6:$H$405,$AN1106)&lt;&gt;"",$M1106&lt;&gt;INDEX(職員マスタ!$H$6:$H$405,$AN1106)),"時短終了日がマスタと相違／","")))&amp;IF(AND($B1106&lt;&gt;"",$E1106=""),"報酬額が未入力／","")&amp;IF(N($U1106)&gt;0,"申請書に入力エラーが残っています／","")&amp;IF(AND($B1106&lt;&gt;"",$AO1106&lt;&gt;""),IF(COUNTIFS($B$6:$B$3005,$B1106,$C$6:$C$3005,$C1106,$D$6:$D$3005,$D1106)&gt;1,"同じ月の請求が重複しています／",""),"")&amp;IF(AND(N($E1106)&gt;0,$Z1106&lt;&gt;"",$Z1106&lt;&gt;"×",$AC1106=0,$AB1106=""),"計算額が下限以下のため不支給／",""))</f>
        <v/>
      </c>
      <c r="AL1106" s="12" t="n"/>
      <c r="AM1106" s="14">
        <f>IF($AD1106="保留中",COUNTIF($AD$6:$AD1106,"保留中"),"")</f>
        <v/>
      </c>
      <c r="AN1106" s="14">
        <f>IF($AO1106="","",IF(SUMPRODUCT(MAX((職員マスタ!$A$6:$A$405=$B1106)*(((職員マスタ!$G$6:$G$405="")+(職員マスタ!$G$6:$G$405&lt;=EOMONTH($AO1106,0)))&gt;0)*(((職員マスタ!$H$6:$H$405="")+(職員マスタ!$H$6:$H$405&gt;=$AO1106))&gt;0)*(ROW(職員マスタ!$A$6:$A$405)-5)))&gt;0,SUMPRODUCT(MAX((職員マスタ!$A$6:$A$405=$B1106)*(((職員マスタ!$G$6:$G$405="")+(職員マスタ!$G$6:$G$405&lt;=EOMONTH($AO1106,0)))&gt;0)*(((職員マスタ!$H$6:$H$405="")+(職員マスタ!$H$6:$H$405&gt;=$AO1106))&gt;0)*(ROW(職員マスタ!$A$6:$A$405)-5))),IFERROR(MATCH($B1106,職員マスタ!$A$6:$A$405,0),"")))</f>
        <v/>
      </c>
      <c r="AO1106" s="16">
        <f>IF(OR($B1106="",$C1106="",$D1106=""),"",DATE($C1106+2018,$D1106,1))</f>
        <v/>
      </c>
    </row>
    <row r="1107">
      <c r="A1107" s="11" t="n"/>
      <c r="B1107" s="12" t="n"/>
      <c r="C1107" s="12" t="n"/>
      <c r="D1107" s="12" t="n"/>
      <c r="E1107" s="13" t="n"/>
      <c r="F1107" s="12" t="n"/>
      <c r="G1107" s="13" t="n"/>
      <c r="H1107" s="12" t="n"/>
      <c r="I1107" s="12" t="n"/>
      <c r="J1107" s="12" t="n"/>
      <c r="K1107" s="12" t="n"/>
      <c r="L1107" s="11" t="n"/>
      <c r="M1107" s="11" t="n"/>
      <c r="N1107" s="11" t="n"/>
      <c r="O1107" s="11" t="n"/>
      <c r="P1107" s="12" t="n"/>
      <c r="Q1107" s="11" t="n"/>
      <c r="R1107" s="12" t="n"/>
      <c r="S1107" s="11" t="n"/>
      <c r="T1107" s="12" t="n"/>
      <c r="U1107" s="12" t="n"/>
      <c r="V1107" s="14">
        <f>IF($AN1107="",IF($B1107="","",$H1107),IF(INDEX(職員マスタ!$B$6:$B$405,$AN1107)="",$H1107,INDEX(職員マスタ!$B$6:$B$405,$AN1107)))</f>
        <v/>
      </c>
      <c r="W1107" s="14">
        <f>IF($AN1107="",IF($B1107="","",$R1107),IF(INDEX(職員マスタ!$C$6:$C$405,$AN1107)="",$R1107,INDEX(職員マスタ!$C$6:$C$405,$AN1107)))</f>
        <v/>
      </c>
      <c r="X1107" s="14">
        <f>IF($AO1107="","","R"&amp;$C1107&amp;"."&amp;$D1107)</f>
        <v/>
      </c>
      <c r="Y1107" s="15">
        <f>IF($AN1107="","",IF(INDEX(職員マスタ!$K$6:$K$405,$AN1107)="","",INDEX(職員マスタ!$K$6:$K$405,$AN1107)))</f>
        <v/>
      </c>
      <c r="Z1107" s="14">
        <f>IF(OR($E1107="",$Y1107=""),"",IF($E1107&gt;=$Y1107,"×",IF($E1107&gt;=$Y1107*設定!$C$5,"△","○")))</f>
        <v/>
      </c>
      <c r="AA1107" s="15">
        <f>IF($Z1107="","",IF($Z1107="×",0,IF($Z1107="○",ROUNDDOWN($E1107*設定!$C$4,0),ROUNDDOWN($E1107*ROUND((9*$Y1107-9*$E1107)/(10*$E1107),4),0))))</f>
        <v/>
      </c>
      <c r="AB1107" s="13" t="n"/>
      <c r="AC1107" s="15">
        <f>IF($B1107="","",IF($AB1107&lt;&gt;"",$AB1107,IF($AA1107="","",IF($AA1107&lt;=設定!$C$3,0,$AA1107))))</f>
        <v/>
      </c>
      <c r="AD1107" s="14">
        <f>IF($B1107="","",IF(AND($AE1107&lt;&gt;"",$AG1107="",$AJ1107=""),"保留中",IF($AJ1107&lt;&gt;"",IF(N($AC1107)&gt;0,"支給済","不支給"),IF($AC1107="","要確認",IF($AC1107=0,"不支給","未処理")))))</f>
        <v/>
      </c>
      <c r="AE1107" s="12" t="n"/>
      <c r="AF1107" s="11" t="n"/>
      <c r="AG1107" s="11" t="n"/>
      <c r="AH1107" s="11" t="n"/>
      <c r="AI1107" s="14">
        <f>IF(AND($AD1107="保留中",$AF1107&lt;&gt;""),TODAY()-$AF1107,"")</f>
        <v/>
      </c>
      <c r="AJ1107" s="12" t="n"/>
      <c r="AK1107" s="14">
        <f>IF($B1107="","",IF($AO1107="","対象年月が未入力／","")&amp;IF($B1107="","",IF($AN1107="","職員マスタに未登録の職員番号／",IF($Y1107="","標準報酬月額が未登録／","")&amp;IF(AND($AO1107&lt;&gt;"",OR(AND(INDEX(職員マスタ!$G$6:$G$405,$AN1107)&lt;&gt;"",INDEX(職員マスタ!$G$6:$G$405,$AN1107)&gt;EOMONTH($AO1107,0)),AND(INDEX(職員マスタ!$H$6:$H$405,$AN1107)&lt;&gt;"",INDEX(職員マスタ!$H$6:$H$405,$AN1107)&lt;$AO1107))),"対象月が時短期間外／","")&amp;IF(AND(INDEX(職員マスタ!$F$6:$F$405,$AN1107)&lt;&gt;"",$AO1107&lt;&gt;"",INDEX(職員マスタ!$F$6:$F$405,$AN1107)&lt;$AO1107),"対象月に子が2歳到達済／","")&amp;IF(AND($H1107&lt;&gt;"",INDEX(職員マスタ!$B$6:$B$405,$AN1107)&lt;&gt;"",SUBSTITUTE(SUBSTITUTE($H1107," ","")," ","")&lt;&gt;SUBSTITUTE(SUBSTITUTE(INDEX(職員マスタ!$B$6:$B$405,$AN1107)," ","")," ","")),"氏名がマスタと相違／","")&amp;IF(AND($Q1107&lt;&gt;"",INDEX(職員マスタ!$E$6:$E$405,$AN1107)&lt;&gt;"",$Q1107&lt;&gt;INDEX(職員マスタ!$E$6:$E$405,$AN1107)),"子の生年月日がマスタと相違／","")&amp;IF(AND($L1107&lt;&gt;"",INDEX(職員マスタ!$G$6:$G$405,$AN1107)&lt;&gt;"",$L1107&lt;&gt;INDEX(職員マスタ!$G$6:$G$405,$AN1107)),"時短開始日がマスタと相違／","")&amp;IF(AND($M1107&lt;&gt;"",INDEX(職員マスタ!$H$6:$H$405,$AN1107)&lt;&gt;"",$M1107&lt;&gt;INDEX(職員マスタ!$H$6:$H$405,$AN1107)),"時短終了日がマスタと相違／","")))&amp;IF(AND($B1107&lt;&gt;"",$E1107=""),"報酬額が未入力／","")&amp;IF(N($U1107)&gt;0,"申請書に入力エラーが残っています／","")&amp;IF(AND($B1107&lt;&gt;"",$AO1107&lt;&gt;""),IF(COUNTIFS($B$6:$B$3005,$B1107,$C$6:$C$3005,$C1107,$D$6:$D$3005,$D1107)&gt;1,"同じ月の請求が重複しています／",""),"")&amp;IF(AND(N($E1107)&gt;0,$Z1107&lt;&gt;"",$Z1107&lt;&gt;"×",$AC1107=0,$AB1107=""),"計算額が下限以下のため不支給／",""))</f>
        <v/>
      </c>
      <c r="AL1107" s="12" t="n"/>
      <c r="AM1107" s="14">
        <f>IF($AD1107="保留中",COUNTIF($AD$6:$AD1107,"保留中"),"")</f>
        <v/>
      </c>
      <c r="AN1107" s="14">
        <f>IF($AO1107="","",IF(SUMPRODUCT(MAX((職員マスタ!$A$6:$A$405=$B1107)*(((職員マスタ!$G$6:$G$405="")+(職員マスタ!$G$6:$G$405&lt;=EOMONTH($AO1107,0)))&gt;0)*(((職員マスタ!$H$6:$H$405="")+(職員マスタ!$H$6:$H$405&gt;=$AO1107))&gt;0)*(ROW(職員マスタ!$A$6:$A$405)-5)))&gt;0,SUMPRODUCT(MAX((職員マスタ!$A$6:$A$405=$B1107)*(((職員マスタ!$G$6:$G$405="")+(職員マスタ!$G$6:$G$405&lt;=EOMONTH($AO1107,0)))&gt;0)*(((職員マスタ!$H$6:$H$405="")+(職員マスタ!$H$6:$H$405&gt;=$AO1107))&gt;0)*(ROW(職員マスタ!$A$6:$A$405)-5))),IFERROR(MATCH($B1107,職員マスタ!$A$6:$A$405,0),"")))</f>
        <v/>
      </c>
      <c r="AO1107" s="16">
        <f>IF(OR($B1107="",$C1107="",$D1107=""),"",DATE($C1107+2018,$D1107,1))</f>
        <v/>
      </c>
    </row>
    <row r="1108">
      <c r="A1108" s="11" t="n"/>
      <c r="B1108" s="12" t="n"/>
      <c r="C1108" s="12" t="n"/>
      <c r="D1108" s="12" t="n"/>
      <c r="E1108" s="13" t="n"/>
      <c r="F1108" s="12" t="n"/>
      <c r="G1108" s="13" t="n"/>
      <c r="H1108" s="12" t="n"/>
      <c r="I1108" s="12" t="n"/>
      <c r="J1108" s="12" t="n"/>
      <c r="K1108" s="12" t="n"/>
      <c r="L1108" s="11" t="n"/>
      <c r="M1108" s="11" t="n"/>
      <c r="N1108" s="11" t="n"/>
      <c r="O1108" s="11" t="n"/>
      <c r="P1108" s="12" t="n"/>
      <c r="Q1108" s="11" t="n"/>
      <c r="R1108" s="12" t="n"/>
      <c r="S1108" s="11" t="n"/>
      <c r="T1108" s="12" t="n"/>
      <c r="U1108" s="12" t="n"/>
      <c r="V1108" s="14">
        <f>IF($AN1108="",IF($B1108="","",$H1108),IF(INDEX(職員マスタ!$B$6:$B$405,$AN1108)="",$H1108,INDEX(職員マスタ!$B$6:$B$405,$AN1108)))</f>
        <v/>
      </c>
      <c r="W1108" s="14">
        <f>IF($AN1108="",IF($B1108="","",$R1108),IF(INDEX(職員マスタ!$C$6:$C$405,$AN1108)="",$R1108,INDEX(職員マスタ!$C$6:$C$405,$AN1108)))</f>
        <v/>
      </c>
      <c r="X1108" s="14">
        <f>IF($AO1108="","","R"&amp;$C1108&amp;"."&amp;$D1108)</f>
        <v/>
      </c>
      <c r="Y1108" s="15">
        <f>IF($AN1108="","",IF(INDEX(職員マスタ!$K$6:$K$405,$AN1108)="","",INDEX(職員マスタ!$K$6:$K$405,$AN1108)))</f>
        <v/>
      </c>
      <c r="Z1108" s="14">
        <f>IF(OR($E1108="",$Y1108=""),"",IF($E1108&gt;=$Y1108,"×",IF($E1108&gt;=$Y1108*設定!$C$5,"△","○")))</f>
        <v/>
      </c>
      <c r="AA1108" s="15">
        <f>IF($Z1108="","",IF($Z1108="×",0,IF($Z1108="○",ROUNDDOWN($E1108*設定!$C$4,0),ROUNDDOWN($E1108*ROUND((9*$Y1108-9*$E1108)/(10*$E1108),4),0))))</f>
        <v/>
      </c>
      <c r="AB1108" s="13" t="n"/>
      <c r="AC1108" s="15">
        <f>IF($B1108="","",IF($AB1108&lt;&gt;"",$AB1108,IF($AA1108="","",IF($AA1108&lt;=設定!$C$3,0,$AA1108))))</f>
        <v/>
      </c>
      <c r="AD1108" s="14">
        <f>IF($B1108="","",IF(AND($AE1108&lt;&gt;"",$AG1108="",$AJ1108=""),"保留中",IF($AJ1108&lt;&gt;"",IF(N($AC1108)&gt;0,"支給済","不支給"),IF($AC1108="","要確認",IF($AC1108=0,"不支給","未処理")))))</f>
        <v/>
      </c>
      <c r="AE1108" s="12" t="n"/>
      <c r="AF1108" s="11" t="n"/>
      <c r="AG1108" s="11" t="n"/>
      <c r="AH1108" s="11" t="n"/>
      <c r="AI1108" s="14">
        <f>IF(AND($AD1108="保留中",$AF1108&lt;&gt;""),TODAY()-$AF1108,"")</f>
        <v/>
      </c>
      <c r="AJ1108" s="12" t="n"/>
      <c r="AK1108" s="14">
        <f>IF($B1108="","",IF($AO1108="","対象年月が未入力／","")&amp;IF($B1108="","",IF($AN1108="","職員マスタに未登録の職員番号／",IF($Y1108="","標準報酬月額が未登録／","")&amp;IF(AND($AO1108&lt;&gt;"",OR(AND(INDEX(職員マスタ!$G$6:$G$405,$AN1108)&lt;&gt;"",INDEX(職員マスタ!$G$6:$G$405,$AN1108)&gt;EOMONTH($AO1108,0)),AND(INDEX(職員マスタ!$H$6:$H$405,$AN1108)&lt;&gt;"",INDEX(職員マスタ!$H$6:$H$405,$AN1108)&lt;$AO1108))),"対象月が時短期間外／","")&amp;IF(AND(INDEX(職員マスタ!$F$6:$F$405,$AN1108)&lt;&gt;"",$AO1108&lt;&gt;"",INDEX(職員マスタ!$F$6:$F$405,$AN1108)&lt;$AO1108),"対象月に子が2歳到達済／","")&amp;IF(AND($H1108&lt;&gt;"",INDEX(職員マスタ!$B$6:$B$405,$AN1108)&lt;&gt;"",SUBSTITUTE(SUBSTITUTE($H1108," ","")," ","")&lt;&gt;SUBSTITUTE(SUBSTITUTE(INDEX(職員マスタ!$B$6:$B$405,$AN1108)," ","")," ","")),"氏名がマスタと相違／","")&amp;IF(AND($Q1108&lt;&gt;"",INDEX(職員マスタ!$E$6:$E$405,$AN1108)&lt;&gt;"",$Q1108&lt;&gt;INDEX(職員マスタ!$E$6:$E$405,$AN1108)),"子の生年月日がマスタと相違／","")&amp;IF(AND($L1108&lt;&gt;"",INDEX(職員マスタ!$G$6:$G$405,$AN1108)&lt;&gt;"",$L1108&lt;&gt;INDEX(職員マスタ!$G$6:$G$405,$AN1108)),"時短開始日がマスタと相違／","")&amp;IF(AND($M1108&lt;&gt;"",INDEX(職員マスタ!$H$6:$H$405,$AN1108)&lt;&gt;"",$M1108&lt;&gt;INDEX(職員マスタ!$H$6:$H$405,$AN1108)),"時短終了日がマスタと相違／","")))&amp;IF(AND($B1108&lt;&gt;"",$E1108=""),"報酬額が未入力／","")&amp;IF(N($U1108)&gt;0,"申請書に入力エラーが残っています／","")&amp;IF(AND($B1108&lt;&gt;"",$AO1108&lt;&gt;""),IF(COUNTIFS($B$6:$B$3005,$B1108,$C$6:$C$3005,$C1108,$D$6:$D$3005,$D1108)&gt;1,"同じ月の請求が重複しています／",""),"")&amp;IF(AND(N($E1108)&gt;0,$Z1108&lt;&gt;"",$Z1108&lt;&gt;"×",$AC1108=0,$AB1108=""),"計算額が下限以下のため不支給／",""))</f>
        <v/>
      </c>
      <c r="AL1108" s="12" t="n"/>
      <c r="AM1108" s="14">
        <f>IF($AD1108="保留中",COUNTIF($AD$6:$AD1108,"保留中"),"")</f>
        <v/>
      </c>
      <c r="AN1108" s="14">
        <f>IF($AO1108="","",IF(SUMPRODUCT(MAX((職員マスタ!$A$6:$A$405=$B1108)*(((職員マスタ!$G$6:$G$405="")+(職員マスタ!$G$6:$G$405&lt;=EOMONTH($AO1108,0)))&gt;0)*(((職員マスタ!$H$6:$H$405="")+(職員マスタ!$H$6:$H$405&gt;=$AO1108))&gt;0)*(ROW(職員マスタ!$A$6:$A$405)-5)))&gt;0,SUMPRODUCT(MAX((職員マスタ!$A$6:$A$405=$B1108)*(((職員マスタ!$G$6:$G$405="")+(職員マスタ!$G$6:$G$405&lt;=EOMONTH($AO1108,0)))&gt;0)*(((職員マスタ!$H$6:$H$405="")+(職員マスタ!$H$6:$H$405&gt;=$AO1108))&gt;0)*(ROW(職員マスタ!$A$6:$A$405)-5))),IFERROR(MATCH($B1108,職員マスタ!$A$6:$A$405,0),"")))</f>
        <v/>
      </c>
      <c r="AO1108" s="16">
        <f>IF(OR($B1108="",$C1108="",$D1108=""),"",DATE($C1108+2018,$D1108,1))</f>
        <v/>
      </c>
    </row>
    <row r="1109">
      <c r="A1109" s="11" t="n"/>
      <c r="B1109" s="12" t="n"/>
      <c r="C1109" s="12" t="n"/>
      <c r="D1109" s="12" t="n"/>
      <c r="E1109" s="13" t="n"/>
      <c r="F1109" s="12" t="n"/>
      <c r="G1109" s="13" t="n"/>
      <c r="H1109" s="12" t="n"/>
      <c r="I1109" s="12" t="n"/>
      <c r="J1109" s="12" t="n"/>
      <c r="K1109" s="12" t="n"/>
      <c r="L1109" s="11" t="n"/>
      <c r="M1109" s="11" t="n"/>
      <c r="N1109" s="11" t="n"/>
      <c r="O1109" s="11" t="n"/>
      <c r="P1109" s="12" t="n"/>
      <c r="Q1109" s="11" t="n"/>
      <c r="R1109" s="12" t="n"/>
      <c r="S1109" s="11" t="n"/>
      <c r="T1109" s="12" t="n"/>
      <c r="U1109" s="12" t="n"/>
      <c r="V1109" s="14">
        <f>IF($AN1109="",IF($B1109="","",$H1109),IF(INDEX(職員マスタ!$B$6:$B$405,$AN1109)="",$H1109,INDEX(職員マスタ!$B$6:$B$405,$AN1109)))</f>
        <v/>
      </c>
      <c r="W1109" s="14">
        <f>IF($AN1109="",IF($B1109="","",$R1109),IF(INDEX(職員マスタ!$C$6:$C$405,$AN1109)="",$R1109,INDEX(職員マスタ!$C$6:$C$405,$AN1109)))</f>
        <v/>
      </c>
      <c r="X1109" s="14">
        <f>IF($AO1109="","","R"&amp;$C1109&amp;"."&amp;$D1109)</f>
        <v/>
      </c>
      <c r="Y1109" s="15">
        <f>IF($AN1109="","",IF(INDEX(職員マスタ!$K$6:$K$405,$AN1109)="","",INDEX(職員マスタ!$K$6:$K$405,$AN1109)))</f>
        <v/>
      </c>
      <c r="Z1109" s="14">
        <f>IF(OR($E1109="",$Y1109=""),"",IF($E1109&gt;=$Y1109,"×",IF($E1109&gt;=$Y1109*設定!$C$5,"△","○")))</f>
        <v/>
      </c>
      <c r="AA1109" s="15">
        <f>IF($Z1109="","",IF($Z1109="×",0,IF($Z1109="○",ROUNDDOWN($E1109*設定!$C$4,0),ROUNDDOWN($E1109*ROUND((9*$Y1109-9*$E1109)/(10*$E1109),4),0))))</f>
        <v/>
      </c>
      <c r="AB1109" s="13" t="n"/>
      <c r="AC1109" s="15">
        <f>IF($B1109="","",IF($AB1109&lt;&gt;"",$AB1109,IF($AA1109="","",IF($AA1109&lt;=設定!$C$3,0,$AA1109))))</f>
        <v/>
      </c>
      <c r="AD1109" s="14">
        <f>IF($B1109="","",IF(AND($AE1109&lt;&gt;"",$AG1109="",$AJ1109=""),"保留中",IF($AJ1109&lt;&gt;"",IF(N($AC1109)&gt;0,"支給済","不支給"),IF($AC1109="","要確認",IF($AC1109=0,"不支給","未処理")))))</f>
        <v/>
      </c>
      <c r="AE1109" s="12" t="n"/>
      <c r="AF1109" s="11" t="n"/>
      <c r="AG1109" s="11" t="n"/>
      <c r="AH1109" s="11" t="n"/>
      <c r="AI1109" s="14">
        <f>IF(AND($AD1109="保留中",$AF1109&lt;&gt;""),TODAY()-$AF1109,"")</f>
        <v/>
      </c>
      <c r="AJ1109" s="12" t="n"/>
      <c r="AK1109" s="14">
        <f>IF($B1109="","",IF($AO1109="","対象年月が未入力／","")&amp;IF($B1109="","",IF($AN1109="","職員マスタに未登録の職員番号／",IF($Y1109="","標準報酬月額が未登録／","")&amp;IF(AND($AO1109&lt;&gt;"",OR(AND(INDEX(職員マスタ!$G$6:$G$405,$AN1109)&lt;&gt;"",INDEX(職員マスタ!$G$6:$G$405,$AN1109)&gt;EOMONTH($AO1109,0)),AND(INDEX(職員マスタ!$H$6:$H$405,$AN1109)&lt;&gt;"",INDEX(職員マスタ!$H$6:$H$405,$AN1109)&lt;$AO1109))),"対象月が時短期間外／","")&amp;IF(AND(INDEX(職員マスタ!$F$6:$F$405,$AN1109)&lt;&gt;"",$AO1109&lt;&gt;"",INDEX(職員マスタ!$F$6:$F$405,$AN1109)&lt;$AO1109),"対象月に子が2歳到達済／","")&amp;IF(AND($H1109&lt;&gt;"",INDEX(職員マスタ!$B$6:$B$405,$AN1109)&lt;&gt;"",SUBSTITUTE(SUBSTITUTE($H1109," ","")," ","")&lt;&gt;SUBSTITUTE(SUBSTITUTE(INDEX(職員マスタ!$B$6:$B$405,$AN1109)," ","")," ","")),"氏名がマスタと相違／","")&amp;IF(AND($Q1109&lt;&gt;"",INDEX(職員マスタ!$E$6:$E$405,$AN1109)&lt;&gt;"",$Q1109&lt;&gt;INDEX(職員マスタ!$E$6:$E$405,$AN1109)),"子の生年月日がマスタと相違／","")&amp;IF(AND($L1109&lt;&gt;"",INDEX(職員マスタ!$G$6:$G$405,$AN1109)&lt;&gt;"",$L1109&lt;&gt;INDEX(職員マスタ!$G$6:$G$405,$AN1109)),"時短開始日がマスタと相違／","")&amp;IF(AND($M1109&lt;&gt;"",INDEX(職員マスタ!$H$6:$H$405,$AN1109)&lt;&gt;"",$M1109&lt;&gt;INDEX(職員マスタ!$H$6:$H$405,$AN1109)),"時短終了日がマスタと相違／","")))&amp;IF(AND($B1109&lt;&gt;"",$E1109=""),"報酬額が未入力／","")&amp;IF(N($U1109)&gt;0,"申請書に入力エラーが残っています／","")&amp;IF(AND($B1109&lt;&gt;"",$AO1109&lt;&gt;""),IF(COUNTIFS($B$6:$B$3005,$B1109,$C$6:$C$3005,$C1109,$D$6:$D$3005,$D1109)&gt;1,"同じ月の請求が重複しています／",""),"")&amp;IF(AND(N($E1109)&gt;0,$Z1109&lt;&gt;"",$Z1109&lt;&gt;"×",$AC1109=0,$AB1109=""),"計算額が下限以下のため不支給／",""))</f>
        <v/>
      </c>
      <c r="AL1109" s="12" t="n"/>
      <c r="AM1109" s="14">
        <f>IF($AD1109="保留中",COUNTIF($AD$6:$AD1109,"保留中"),"")</f>
        <v/>
      </c>
      <c r="AN1109" s="14">
        <f>IF($AO1109="","",IF(SUMPRODUCT(MAX((職員マスタ!$A$6:$A$405=$B1109)*(((職員マスタ!$G$6:$G$405="")+(職員マスタ!$G$6:$G$405&lt;=EOMONTH($AO1109,0)))&gt;0)*(((職員マスタ!$H$6:$H$405="")+(職員マスタ!$H$6:$H$405&gt;=$AO1109))&gt;0)*(ROW(職員マスタ!$A$6:$A$405)-5)))&gt;0,SUMPRODUCT(MAX((職員マスタ!$A$6:$A$405=$B1109)*(((職員マスタ!$G$6:$G$405="")+(職員マスタ!$G$6:$G$405&lt;=EOMONTH($AO1109,0)))&gt;0)*(((職員マスタ!$H$6:$H$405="")+(職員マスタ!$H$6:$H$405&gt;=$AO1109))&gt;0)*(ROW(職員マスタ!$A$6:$A$405)-5))),IFERROR(MATCH($B1109,職員マスタ!$A$6:$A$405,0),"")))</f>
        <v/>
      </c>
      <c r="AO1109" s="16">
        <f>IF(OR($B1109="",$C1109="",$D1109=""),"",DATE($C1109+2018,$D1109,1))</f>
        <v/>
      </c>
    </row>
    <row r="1110">
      <c r="A1110" s="11" t="n"/>
      <c r="B1110" s="12" t="n"/>
      <c r="C1110" s="12" t="n"/>
      <c r="D1110" s="12" t="n"/>
      <c r="E1110" s="13" t="n"/>
      <c r="F1110" s="12" t="n"/>
      <c r="G1110" s="13" t="n"/>
      <c r="H1110" s="12" t="n"/>
      <c r="I1110" s="12" t="n"/>
      <c r="J1110" s="12" t="n"/>
      <c r="K1110" s="12" t="n"/>
      <c r="L1110" s="11" t="n"/>
      <c r="M1110" s="11" t="n"/>
      <c r="N1110" s="11" t="n"/>
      <c r="O1110" s="11" t="n"/>
      <c r="P1110" s="12" t="n"/>
      <c r="Q1110" s="11" t="n"/>
      <c r="R1110" s="12" t="n"/>
      <c r="S1110" s="11" t="n"/>
      <c r="T1110" s="12" t="n"/>
      <c r="U1110" s="12" t="n"/>
      <c r="V1110" s="14">
        <f>IF($AN1110="",IF($B1110="","",$H1110),IF(INDEX(職員マスタ!$B$6:$B$405,$AN1110)="",$H1110,INDEX(職員マスタ!$B$6:$B$405,$AN1110)))</f>
        <v/>
      </c>
      <c r="W1110" s="14">
        <f>IF($AN1110="",IF($B1110="","",$R1110),IF(INDEX(職員マスタ!$C$6:$C$405,$AN1110)="",$R1110,INDEX(職員マスタ!$C$6:$C$405,$AN1110)))</f>
        <v/>
      </c>
      <c r="X1110" s="14">
        <f>IF($AO1110="","","R"&amp;$C1110&amp;"."&amp;$D1110)</f>
        <v/>
      </c>
      <c r="Y1110" s="15">
        <f>IF($AN1110="","",IF(INDEX(職員マスタ!$K$6:$K$405,$AN1110)="","",INDEX(職員マスタ!$K$6:$K$405,$AN1110)))</f>
        <v/>
      </c>
      <c r="Z1110" s="14">
        <f>IF(OR($E1110="",$Y1110=""),"",IF($E1110&gt;=$Y1110,"×",IF($E1110&gt;=$Y1110*設定!$C$5,"△","○")))</f>
        <v/>
      </c>
      <c r="AA1110" s="15">
        <f>IF($Z1110="","",IF($Z1110="×",0,IF($Z1110="○",ROUNDDOWN($E1110*設定!$C$4,0),ROUNDDOWN($E1110*ROUND((9*$Y1110-9*$E1110)/(10*$E1110),4),0))))</f>
        <v/>
      </c>
      <c r="AB1110" s="13" t="n"/>
      <c r="AC1110" s="15">
        <f>IF($B1110="","",IF($AB1110&lt;&gt;"",$AB1110,IF($AA1110="","",IF($AA1110&lt;=設定!$C$3,0,$AA1110))))</f>
        <v/>
      </c>
      <c r="AD1110" s="14">
        <f>IF($B1110="","",IF(AND($AE1110&lt;&gt;"",$AG1110="",$AJ1110=""),"保留中",IF($AJ1110&lt;&gt;"",IF(N($AC1110)&gt;0,"支給済","不支給"),IF($AC1110="","要確認",IF($AC1110=0,"不支給","未処理")))))</f>
        <v/>
      </c>
      <c r="AE1110" s="12" t="n"/>
      <c r="AF1110" s="11" t="n"/>
      <c r="AG1110" s="11" t="n"/>
      <c r="AH1110" s="11" t="n"/>
      <c r="AI1110" s="14">
        <f>IF(AND($AD1110="保留中",$AF1110&lt;&gt;""),TODAY()-$AF1110,"")</f>
        <v/>
      </c>
      <c r="AJ1110" s="12" t="n"/>
      <c r="AK1110" s="14">
        <f>IF($B1110="","",IF($AO1110="","対象年月が未入力／","")&amp;IF($B1110="","",IF($AN1110="","職員マスタに未登録の職員番号／",IF($Y1110="","標準報酬月額が未登録／","")&amp;IF(AND($AO1110&lt;&gt;"",OR(AND(INDEX(職員マスタ!$G$6:$G$405,$AN1110)&lt;&gt;"",INDEX(職員マスタ!$G$6:$G$405,$AN1110)&gt;EOMONTH($AO1110,0)),AND(INDEX(職員マスタ!$H$6:$H$405,$AN1110)&lt;&gt;"",INDEX(職員マスタ!$H$6:$H$405,$AN1110)&lt;$AO1110))),"対象月が時短期間外／","")&amp;IF(AND(INDEX(職員マスタ!$F$6:$F$405,$AN1110)&lt;&gt;"",$AO1110&lt;&gt;"",INDEX(職員マスタ!$F$6:$F$405,$AN1110)&lt;$AO1110),"対象月に子が2歳到達済／","")&amp;IF(AND($H1110&lt;&gt;"",INDEX(職員マスタ!$B$6:$B$405,$AN1110)&lt;&gt;"",SUBSTITUTE(SUBSTITUTE($H1110," ","")," ","")&lt;&gt;SUBSTITUTE(SUBSTITUTE(INDEX(職員マスタ!$B$6:$B$405,$AN1110)," ","")," ","")),"氏名がマスタと相違／","")&amp;IF(AND($Q1110&lt;&gt;"",INDEX(職員マスタ!$E$6:$E$405,$AN1110)&lt;&gt;"",$Q1110&lt;&gt;INDEX(職員マスタ!$E$6:$E$405,$AN1110)),"子の生年月日がマスタと相違／","")&amp;IF(AND($L1110&lt;&gt;"",INDEX(職員マスタ!$G$6:$G$405,$AN1110)&lt;&gt;"",$L1110&lt;&gt;INDEX(職員マスタ!$G$6:$G$405,$AN1110)),"時短開始日がマスタと相違／","")&amp;IF(AND($M1110&lt;&gt;"",INDEX(職員マスタ!$H$6:$H$405,$AN1110)&lt;&gt;"",$M1110&lt;&gt;INDEX(職員マスタ!$H$6:$H$405,$AN1110)),"時短終了日がマスタと相違／","")))&amp;IF(AND($B1110&lt;&gt;"",$E1110=""),"報酬額が未入力／","")&amp;IF(N($U1110)&gt;0,"申請書に入力エラーが残っています／","")&amp;IF(AND($B1110&lt;&gt;"",$AO1110&lt;&gt;""),IF(COUNTIFS($B$6:$B$3005,$B1110,$C$6:$C$3005,$C1110,$D$6:$D$3005,$D1110)&gt;1,"同じ月の請求が重複しています／",""),"")&amp;IF(AND(N($E1110)&gt;0,$Z1110&lt;&gt;"",$Z1110&lt;&gt;"×",$AC1110=0,$AB1110=""),"計算額が下限以下のため不支給／",""))</f>
        <v/>
      </c>
      <c r="AL1110" s="12" t="n"/>
      <c r="AM1110" s="14">
        <f>IF($AD1110="保留中",COUNTIF($AD$6:$AD1110,"保留中"),"")</f>
        <v/>
      </c>
      <c r="AN1110" s="14">
        <f>IF($AO1110="","",IF(SUMPRODUCT(MAX((職員マスタ!$A$6:$A$405=$B1110)*(((職員マスタ!$G$6:$G$405="")+(職員マスタ!$G$6:$G$405&lt;=EOMONTH($AO1110,0)))&gt;0)*(((職員マスタ!$H$6:$H$405="")+(職員マスタ!$H$6:$H$405&gt;=$AO1110))&gt;0)*(ROW(職員マスタ!$A$6:$A$405)-5)))&gt;0,SUMPRODUCT(MAX((職員マスタ!$A$6:$A$405=$B1110)*(((職員マスタ!$G$6:$G$405="")+(職員マスタ!$G$6:$G$405&lt;=EOMONTH($AO1110,0)))&gt;0)*(((職員マスタ!$H$6:$H$405="")+(職員マスタ!$H$6:$H$405&gt;=$AO1110))&gt;0)*(ROW(職員マスタ!$A$6:$A$405)-5))),IFERROR(MATCH($B1110,職員マスタ!$A$6:$A$405,0),"")))</f>
        <v/>
      </c>
      <c r="AO1110" s="16">
        <f>IF(OR($B1110="",$C1110="",$D1110=""),"",DATE($C1110+2018,$D1110,1))</f>
        <v/>
      </c>
    </row>
    <row r="1111">
      <c r="A1111" s="11" t="n"/>
      <c r="B1111" s="12" t="n"/>
      <c r="C1111" s="12" t="n"/>
      <c r="D1111" s="12" t="n"/>
      <c r="E1111" s="13" t="n"/>
      <c r="F1111" s="12" t="n"/>
      <c r="G1111" s="13" t="n"/>
      <c r="H1111" s="12" t="n"/>
      <c r="I1111" s="12" t="n"/>
      <c r="J1111" s="12" t="n"/>
      <c r="K1111" s="12" t="n"/>
      <c r="L1111" s="11" t="n"/>
      <c r="M1111" s="11" t="n"/>
      <c r="N1111" s="11" t="n"/>
      <c r="O1111" s="11" t="n"/>
      <c r="P1111" s="12" t="n"/>
      <c r="Q1111" s="11" t="n"/>
      <c r="R1111" s="12" t="n"/>
      <c r="S1111" s="11" t="n"/>
      <c r="T1111" s="12" t="n"/>
      <c r="U1111" s="12" t="n"/>
      <c r="V1111" s="14">
        <f>IF($AN1111="",IF($B1111="","",$H1111),IF(INDEX(職員マスタ!$B$6:$B$405,$AN1111)="",$H1111,INDEX(職員マスタ!$B$6:$B$405,$AN1111)))</f>
        <v/>
      </c>
      <c r="W1111" s="14">
        <f>IF($AN1111="",IF($B1111="","",$R1111),IF(INDEX(職員マスタ!$C$6:$C$405,$AN1111)="",$R1111,INDEX(職員マスタ!$C$6:$C$405,$AN1111)))</f>
        <v/>
      </c>
      <c r="X1111" s="14">
        <f>IF($AO1111="","","R"&amp;$C1111&amp;"."&amp;$D1111)</f>
        <v/>
      </c>
      <c r="Y1111" s="15">
        <f>IF($AN1111="","",IF(INDEX(職員マスタ!$K$6:$K$405,$AN1111)="","",INDEX(職員マスタ!$K$6:$K$405,$AN1111)))</f>
        <v/>
      </c>
      <c r="Z1111" s="14">
        <f>IF(OR($E1111="",$Y1111=""),"",IF($E1111&gt;=$Y1111,"×",IF($E1111&gt;=$Y1111*設定!$C$5,"△","○")))</f>
        <v/>
      </c>
      <c r="AA1111" s="15">
        <f>IF($Z1111="","",IF($Z1111="×",0,IF($Z1111="○",ROUNDDOWN($E1111*設定!$C$4,0),ROUNDDOWN($E1111*ROUND((9*$Y1111-9*$E1111)/(10*$E1111),4),0))))</f>
        <v/>
      </c>
      <c r="AB1111" s="13" t="n"/>
      <c r="AC1111" s="15">
        <f>IF($B1111="","",IF($AB1111&lt;&gt;"",$AB1111,IF($AA1111="","",IF($AA1111&lt;=設定!$C$3,0,$AA1111))))</f>
        <v/>
      </c>
      <c r="AD1111" s="14">
        <f>IF($B1111="","",IF(AND($AE1111&lt;&gt;"",$AG1111="",$AJ1111=""),"保留中",IF($AJ1111&lt;&gt;"",IF(N($AC1111)&gt;0,"支給済","不支給"),IF($AC1111="","要確認",IF($AC1111=0,"不支給","未処理")))))</f>
        <v/>
      </c>
      <c r="AE1111" s="12" t="n"/>
      <c r="AF1111" s="11" t="n"/>
      <c r="AG1111" s="11" t="n"/>
      <c r="AH1111" s="11" t="n"/>
      <c r="AI1111" s="14">
        <f>IF(AND($AD1111="保留中",$AF1111&lt;&gt;""),TODAY()-$AF1111,"")</f>
        <v/>
      </c>
      <c r="AJ1111" s="12" t="n"/>
      <c r="AK1111" s="14">
        <f>IF($B1111="","",IF($AO1111="","対象年月が未入力／","")&amp;IF($B1111="","",IF($AN1111="","職員マスタに未登録の職員番号／",IF($Y1111="","標準報酬月額が未登録／","")&amp;IF(AND($AO1111&lt;&gt;"",OR(AND(INDEX(職員マスタ!$G$6:$G$405,$AN1111)&lt;&gt;"",INDEX(職員マスタ!$G$6:$G$405,$AN1111)&gt;EOMONTH($AO1111,0)),AND(INDEX(職員マスタ!$H$6:$H$405,$AN1111)&lt;&gt;"",INDEX(職員マスタ!$H$6:$H$405,$AN1111)&lt;$AO1111))),"対象月が時短期間外／","")&amp;IF(AND(INDEX(職員マスタ!$F$6:$F$405,$AN1111)&lt;&gt;"",$AO1111&lt;&gt;"",INDEX(職員マスタ!$F$6:$F$405,$AN1111)&lt;$AO1111),"対象月に子が2歳到達済／","")&amp;IF(AND($H1111&lt;&gt;"",INDEX(職員マスタ!$B$6:$B$405,$AN1111)&lt;&gt;"",SUBSTITUTE(SUBSTITUTE($H1111," ","")," ","")&lt;&gt;SUBSTITUTE(SUBSTITUTE(INDEX(職員マスタ!$B$6:$B$405,$AN1111)," ","")," ","")),"氏名がマスタと相違／","")&amp;IF(AND($Q1111&lt;&gt;"",INDEX(職員マスタ!$E$6:$E$405,$AN1111)&lt;&gt;"",$Q1111&lt;&gt;INDEX(職員マスタ!$E$6:$E$405,$AN1111)),"子の生年月日がマスタと相違／","")&amp;IF(AND($L1111&lt;&gt;"",INDEX(職員マスタ!$G$6:$G$405,$AN1111)&lt;&gt;"",$L1111&lt;&gt;INDEX(職員マスタ!$G$6:$G$405,$AN1111)),"時短開始日がマスタと相違／","")&amp;IF(AND($M1111&lt;&gt;"",INDEX(職員マスタ!$H$6:$H$405,$AN1111)&lt;&gt;"",$M1111&lt;&gt;INDEX(職員マスタ!$H$6:$H$405,$AN1111)),"時短終了日がマスタと相違／","")))&amp;IF(AND($B1111&lt;&gt;"",$E1111=""),"報酬額が未入力／","")&amp;IF(N($U1111)&gt;0,"申請書に入力エラーが残っています／","")&amp;IF(AND($B1111&lt;&gt;"",$AO1111&lt;&gt;""),IF(COUNTIFS($B$6:$B$3005,$B1111,$C$6:$C$3005,$C1111,$D$6:$D$3005,$D1111)&gt;1,"同じ月の請求が重複しています／",""),"")&amp;IF(AND(N($E1111)&gt;0,$Z1111&lt;&gt;"",$Z1111&lt;&gt;"×",$AC1111=0,$AB1111=""),"計算額が下限以下のため不支給／",""))</f>
        <v/>
      </c>
      <c r="AL1111" s="12" t="n"/>
      <c r="AM1111" s="14">
        <f>IF($AD1111="保留中",COUNTIF($AD$6:$AD1111,"保留中"),"")</f>
        <v/>
      </c>
      <c r="AN1111" s="14">
        <f>IF($AO1111="","",IF(SUMPRODUCT(MAX((職員マスタ!$A$6:$A$405=$B1111)*(((職員マスタ!$G$6:$G$405="")+(職員マスタ!$G$6:$G$405&lt;=EOMONTH($AO1111,0)))&gt;0)*(((職員マスタ!$H$6:$H$405="")+(職員マスタ!$H$6:$H$405&gt;=$AO1111))&gt;0)*(ROW(職員マスタ!$A$6:$A$405)-5)))&gt;0,SUMPRODUCT(MAX((職員マスタ!$A$6:$A$405=$B1111)*(((職員マスタ!$G$6:$G$405="")+(職員マスタ!$G$6:$G$405&lt;=EOMONTH($AO1111,0)))&gt;0)*(((職員マスタ!$H$6:$H$405="")+(職員マスタ!$H$6:$H$405&gt;=$AO1111))&gt;0)*(ROW(職員マスタ!$A$6:$A$405)-5))),IFERROR(MATCH($B1111,職員マスタ!$A$6:$A$405,0),"")))</f>
        <v/>
      </c>
      <c r="AO1111" s="16">
        <f>IF(OR($B1111="",$C1111="",$D1111=""),"",DATE($C1111+2018,$D1111,1))</f>
        <v/>
      </c>
    </row>
    <row r="1112">
      <c r="A1112" s="11" t="n"/>
      <c r="B1112" s="12" t="n"/>
      <c r="C1112" s="12" t="n"/>
      <c r="D1112" s="12" t="n"/>
      <c r="E1112" s="13" t="n"/>
      <c r="F1112" s="12" t="n"/>
      <c r="G1112" s="13" t="n"/>
      <c r="H1112" s="12" t="n"/>
      <c r="I1112" s="12" t="n"/>
      <c r="J1112" s="12" t="n"/>
      <c r="K1112" s="12" t="n"/>
      <c r="L1112" s="11" t="n"/>
      <c r="M1112" s="11" t="n"/>
      <c r="N1112" s="11" t="n"/>
      <c r="O1112" s="11" t="n"/>
      <c r="P1112" s="12" t="n"/>
      <c r="Q1112" s="11" t="n"/>
      <c r="R1112" s="12" t="n"/>
      <c r="S1112" s="11" t="n"/>
      <c r="T1112" s="12" t="n"/>
      <c r="U1112" s="12" t="n"/>
      <c r="V1112" s="14">
        <f>IF($AN1112="",IF($B1112="","",$H1112),IF(INDEX(職員マスタ!$B$6:$B$405,$AN1112)="",$H1112,INDEX(職員マスタ!$B$6:$B$405,$AN1112)))</f>
        <v/>
      </c>
      <c r="W1112" s="14">
        <f>IF($AN1112="",IF($B1112="","",$R1112),IF(INDEX(職員マスタ!$C$6:$C$405,$AN1112)="",$R1112,INDEX(職員マスタ!$C$6:$C$405,$AN1112)))</f>
        <v/>
      </c>
      <c r="X1112" s="14">
        <f>IF($AO1112="","","R"&amp;$C1112&amp;"."&amp;$D1112)</f>
        <v/>
      </c>
      <c r="Y1112" s="15">
        <f>IF($AN1112="","",IF(INDEX(職員マスタ!$K$6:$K$405,$AN1112)="","",INDEX(職員マスタ!$K$6:$K$405,$AN1112)))</f>
        <v/>
      </c>
      <c r="Z1112" s="14">
        <f>IF(OR($E1112="",$Y1112=""),"",IF($E1112&gt;=$Y1112,"×",IF($E1112&gt;=$Y1112*設定!$C$5,"△","○")))</f>
        <v/>
      </c>
      <c r="AA1112" s="15">
        <f>IF($Z1112="","",IF($Z1112="×",0,IF($Z1112="○",ROUNDDOWN($E1112*設定!$C$4,0),ROUNDDOWN($E1112*ROUND((9*$Y1112-9*$E1112)/(10*$E1112),4),0))))</f>
        <v/>
      </c>
      <c r="AB1112" s="13" t="n"/>
      <c r="AC1112" s="15">
        <f>IF($B1112="","",IF($AB1112&lt;&gt;"",$AB1112,IF($AA1112="","",IF($AA1112&lt;=設定!$C$3,0,$AA1112))))</f>
        <v/>
      </c>
      <c r="AD1112" s="14">
        <f>IF($B1112="","",IF(AND($AE1112&lt;&gt;"",$AG1112="",$AJ1112=""),"保留中",IF($AJ1112&lt;&gt;"",IF(N($AC1112)&gt;0,"支給済","不支給"),IF($AC1112="","要確認",IF($AC1112=0,"不支給","未処理")))))</f>
        <v/>
      </c>
      <c r="AE1112" s="12" t="n"/>
      <c r="AF1112" s="11" t="n"/>
      <c r="AG1112" s="11" t="n"/>
      <c r="AH1112" s="11" t="n"/>
      <c r="AI1112" s="14">
        <f>IF(AND($AD1112="保留中",$AF1112&lt;&gt;""),TODAY()-$AF1112,"")</f>
        <v/>
      </c>
      <c r="AJ1112" s="12" t="n"/>
      <c r="AK1112" s="14">
        <f>IF($B1112="","",IF($AO1112="","対象年月が未入力／","")&amp;IF($B1112="","",IF($AN1112="","職員マスタに未登録の職員番号／",IF($Y1112="","標準報酬月額が未登録／","")&amp;IF(AND($AO1112&lt;&gt;"",OR(AND(INDEX(職員マスタ!$G$6:$G$405,$AN1112)&lt;&gt;"",INDEX(職員マスタ!$G$6:$G$405,$AN1112)&gt;EOMONTH($AO1112,0)),AND(INDEX(職員マスタ!$H$6:$H$405,$AN1112)&lt;&gt;"",INDEX(職員マスタ!$H$6:$H$405,$AN1112)&lt;$AO1112))),"対象月が時短期間外／","")&amp;IF(AND(INDEX(職員マスタ!$F$6:$F$405,$AN1112)&lt;&gt;"",$AO1112&lt;&gt;"",INDEX(職員マスタ!$F$6:$F$405,$AN1112)&lt;$AO1112),"対象月に子が2歳到達済／","")&amp;IF(AND($H1112&lt;&gt;"",INDEX(職員マスタ!$B$6:$B$405,$AN1112)&lt;&gt;"",SUBSTITUTE(SUBSTITUTE($H1112," ","")," ","")&lt;&gt;SUBSTITUTE(SUBSTITUTE(INDEX(職員マスタ!$B$6:$B$405,$AN1112)," ","")," ","")),"氏名がマスタと相違／","")&amp;IF(AND($Q1112&lt;&gt;"",INDEX(職員マスタ!$E$6:$E$405,$AN1112)&lt;&gt;"",$Q1112&lt;&gt;INDEX(職員マスタ!$E$6:$E$405,$AN1112)),"子の生年月日がマスタと相違／","")&amp;IF(AND($L1112&lt;&gt;"",INDEX(職員マスタ!$G$6:$G$405,$AN1112)&lt;&gt;"",$L1112&lt;&gt;INDEX(職員マスタ!$G$6:$G$405,$AN1112)),"時短開始日がマスタと相違／","")&amp;IF(AND($M1112&lt;&gt;"",INDEX(職員マスタ!$H$6:$H$405,$AN1112)&lt;&gt;"",$M1112&lt;&gt;INDEX(職員マスタ!$H$6:$H$405,$AN1112)),"時短終了日がマスタと相違／","")))&amp;IF(AND($B1112&lt;&gt;"",$E1112=""),"報酬額が未入力／","")&amp;IF(N($U1112)&gt;0,"申請書に入力エラーが残っています／","")&amp;IF(AND($B1112&lt;&gt;"",$AO1112&lt;&gt;""),IF(COUNTIFS($B$6:$B$3005,$B1112,$C$6:$C$3005,$C1112,$D$6:$D$3005,$D1112)&gt;1,"同じ月の請求が重複しています／",""),"")&amp;IF(AND(N($E1112)&gt;0,$Z1112&lt;&gt;"",$Z1112&lt;&gt;"×",$AC1112=0,$AB1112=""),"計算額が下限以下のため不支給／",""))</f>
        <v/>
      </c>
      <c r="AL1112" s="12" t="n"/>
      <c r="AM1112" s="14">
        <f>IF($AD1112="保留中",COUNTIF($AD$6:$AD1112,"保留中"),"")</f>
        <v/>
      </c>
      <c r="AN1112" s="14">
        <f>IF($AO1112="","",IF(SUMPRODUCT(MAX((職員マスタ!$A$6:$A$405=$B1112)*(((職員マスタ!$G$6:$G$405="")+(職員マスタ!$G$6:$G$405&lt;=EOMONTH($AO1112,0)))&gt;0)*(((職員マスタ!$H$6:$H$405="")+(職員マスタ!$H$6:$H$405&gt;=$AO1112))&gt;0)*(ROW(職員マスタ!$A$6:$A$405)-5)))&gt;0,SUMPRODUCT(MAX((職員マスタ!$A$6:$A$405=$B1112)*(((職員マスタ!$G$6:$G$405="")+(職員マスタ!$G$6:$G$405&lt;=EOMONTH($AO1112,0)))&gt;0)*(((職員マスタ!$H$6:$H$405="")+(職員マスタ!$H$6:$H$405&gt;=$AO1112))&gt;0)*(ROW(職員マスタ!$A$6:$A$405)-5))),IFERROR(MATCH($B1112,職員マスタ!$A$6:$A$405,0),"")))</f>
        <v/>
      </c>
      <c r="AO1112" s="16">
        <f>IF(OR($B1112="",$C1112="",$D1112=""),"",DATE($C1112+2018,$D1112,1))</f>
        <v/>
      </c>
    </row>
    <row r="1113">
      <c r="A1113" s="11" t="n"/>
      <c r="B1113" s="12" t="n"/>
      <c r="C1113" s="12" t="n"/>
      <c r="D1113" s="12" t="n"/>
      <c r="E1113" s="13" t="n"/>
      <c r="F1113" s="12" t="n"/>
      <c r="G1113" s="13" t="n"/>
      <c r="H1113" s="12" t="n"/>
      <c r="I1113" s="12" t="n"/>
      <c r="J1113" s="12" t="n"/>
      <c r="K1113" s="12" t="n"/>
      <c r="L1113" s="11" t="n"/>
      <c r="M1113" s="11" t="n"/>
      <c r="N1113" s="11" t="n"/>
      <c r="O1113" s="11" t="n"/>
      <c r="P1113" s="12" t="n"/>
      <c r="Q1113" s="11" t="n"/>
      <c r="R1113" s="12" t="n"/>
      <c r="S1113" s="11" t="n"/>
      <c r="T1113" s="12" t="n"/>
      <c r="U1113" s="12" t="n"/>
      <c r="V1113" s="14">
        <f>IF($AN1113="",IF($B1113="","",$H1113),IF(INDEX(職員マスタ!$B$6:$B$405,$AN1113)="",$H1113,INDEX(職員マスタ!$B$6:$B$405,$AN1113)))</f>
        <v/>
      </c>
      <c r="W1113" s="14">
        <f>IF($AN1113="",IF($B1113="","",$R1113),IF(INDEX(職員マスタ!$C$6:$C$405,$AN1113)="",$R1113,INDEX(職員マスタ!$C$6:$C$405,$AN1113)))</f>
        <v/>
      </c>
      <c r="X1113" s="14">
        <f>IF($AO1113="","","R"&amp;$C1113&amp;"."&amp;$D1113)</f>
        <v/>
      </c>
      <c r="Y1113" s="15">
        <f>IF($AN1113="","",IF(INDEX(職員マスタ!$K$6:$K$405,$AN1113)="","",INDEX(職員マスタ!$K$6:$K$405,$AN1113)))</f>
        <v/>
      </c>
      <c r="Z1113" s="14">
        <f>IF(OR($E1113="",$Y1113=""),"",IF($E1113&gt;=$Y1113,"×",IF($E1113&gt;=$Y1113*設定!$C$5,"△","○")))</f>
        <v/>
      </c>
      <c r="AA1113" s="15">
        <f>IF($Z1113="","",IF($Z1113="×",0,IF($Z1113="○",ROUNDDOWN($E1113*設定!$C$4,0),ROUNDDOWN($E1113*ROUND((9*$Y1113-9*$E1113)/(10*$E1113),4),0))))</f>
        <v/>
      </c>
      <c r="AB1113" s="13" t="n"/>
      <c r="AC1113" s="15">
        <f>IF($B1113="","",IF($AB1113&lt;&gt;"",$AB1113,IF($AA1113="","",IF($AA1113&lt;=設定!$C$3,0,$AA1113))))</f>
        <v/>
      </c>
      <c r="AD1113" s="14">
        <f>IF($B1113="","",IF(AND($AE1113&lt;&gt;"",$AG1113="",$AJ1113=""),"保留中",IF($AJ1113&lt;&gt;"",IF(N($AC1113)&gt;0,"支給済","不支給"),IF($AC1113="","要確認",IF($AC1113=0,"不支給","未処理")))))</f>
        <v/>
      </c>
      <c r="AE1113" s="12" t="n"/>
      <c r="AF1113" s="11" t="n"/>
      <c r="AG1113" s="11" t="n"/>
      <c r="AH1113" s="11" t="n"/>
      <c r="AI1113" s="14">
        <f>IF(AND($AD1113="保留中",$AF1113&lt;&gt;""),TODAY()-$AF1113,"")</f>
        <v/>
      </c>
      <c r="AJ1113" s="12" t="n"/>
      <c r="AK1113" s="14">
        <f>IF($B1113="","",IF($AO1113="","対象年月が未入力／","")&amp;IF($B1113="","",IF($AN1113="","職員マスタに未登録の職員番号／",IF($Y1113="","標準報酬月額が未登録／","")&amp;IF(AND($AO1113&lt;&gt;"",OR(AND(INDEX(職員マスタ!$G$6:$G$405,$AN1113)&lt;&gt;"",INDEX(職員マスタ!$G$6:$G$405,$AN1113)&gt;EOMONTH($AO1113,0)),AND(INDEX(職員マスタ!$H$6:$H$405,$AN1113)&lt;&gt;"",INDEX(職員マスタ!$H$6:$H$405,$AN1113)&lt;$AO1113))),"対象月が時短期間外／","")&amp;IF(AND(INDEX(職員マスタ!$F$6:$F$405,$AN1113)&lt;&gt;"",$AO1113&lt;&gt;"",INDEX(職員マスタ!$F$6:$F$405,$AN1113)&lt;$AO1113),"対象月に子が2歳到達済／","")&amp;IF(AND($H1113&lt;&gt;"",INDEX(職員マスタ!$B$6:$B$405,$AN1113)&lt;&gt;"",SUBSTITUTE(SUBSTITUTE($H1113," ","")," ","")&lt;&gt;SUBSTITUTE(SUBSTITUTE(INDEX(職員マスタ!$B$6:$B$405,$AN1113)," ","")," ","")),"氏名がマスタと相違／","")&amp;IF(AND($Q1113&lt;&gt;"",INDEX(職員マスタ!$E$6:$E$405,$AN1113)&lt;&gt;"",$Q1113&lt;&gt;INDEX(職員マスタ!$E$6:$E$405,$AN1113)),"子の生年月日がマスタと相違／","")&amp;IF(AND($L1113&lt;&gt;"",INDEX(職員マスタ!$G$6:$G$405,$AN1113)&lt;&gt;"",$L1113&lt;&gt;INDEX(職員マスタ!$G$6:$G$405,$AN1113)),"時短開始日がマスタと相違／","")&amp;IF(AND($M1113&lt;&gt;"",INDEX(職員マスタ!$H$6:$H$405,$AN1113)&lt;&gt;"",$M1113&lt;&gt;INDEX(職員マスタ!$H$6:$H$405,$AN1113)),"時短終了日がマスタと相違／","")))&amp;IF(AND($B1113&lt;&gt;"",$E1113=""),"報酬額が未入力／","")&amp;IF(N($U1113)&gt;0,"申請書に入力エラーが残っています／","")&amp;IF(AND($B1113&lt;&gt;"",$AO1113&lt;&gt;""),IF(COUNTIFS($B$6:$B$3005,$B1113,$C$6:$C$3005,$C1113,$D$6:$D$3005,$D1113)&gt;1,"同じ月の請求が重複しています／",""),"")&amp;IF(AND(N($E1113)&gt;0,$Z1113&lt;&gt;"",$Z1113&lt;&gt;"×",$AC1113=0,$AB1113=""),"計算額が下限以下のため不支給／",""))</f>
        <v/>
      </c>
      <c r="AL1113" s="12" t="n"/>
      <c r="AM1113" s="14">
        <f>IF($AD1113="保留中",COUNTIF($AD$6:$AD1113,"保留中"),"")</f>
        <v/>
      </c>
      <c r="AN1113" s="14">
        <f>IF($AO1113="","",IF(SUMPRODUCT(MAX((職員マスタ!$A$6:$A$405=$B1113)*(((職員マスタ!$G$6:$G$405="")+(職員マスタ!$G$6:$G$405&lt;=EOMONTH($AO1113,0)))&gt;0)*(((職員マスタ!$H$6:$H$405="")+(職員マスタ!$H$6:$H$405&gt;=$AO1113))&gt;0)*(ROW(職員マスタ!$A$6:$A$405)-5)))&gt;0,SUMPRODUCT(MAX((職員マスタ!$A$6:$A$405=$B1113)*(((職員マスタ!$G$6:$G$405="")+(職員マスタ!$G$6:$G$405&lt;=EOMONTH($AO1113,0)))&gt;0)*(((職員マスタ!$H$6:$H$405="")+(職員マスタ!$H$6:$H$405&gt;=$AO1113))&gt;0)*(ROW(職員マスタ!$A$6:$A$405)-5))),IFERROR(MATCH($B1113,職員マスタ!$A$6:$A$405,0),"")))</f>
        <v/>
      </c>
      <c r="AO1113" s="16">
        <f>IF(OR($B1113="",$C1113="",$D1113=""),"",DATE($C1113+2018,$D1113,1))</f>
        <v/>
      </c>
    </row>
    <row r="1114">
      <c r="A1114" s="11" t="n"/>
      <c r="B1114" s="12" t="n"/>
      <c r="C1114" s="12" t="n"/>
      <c r="D1114" s="12" t="n"/>
      <c r="E1114" s="13" t="n"/>
      <c r="F1114" s="12" t="n"/>
      <c r="G1114" s="13" t="n"/>
      <c r="H1114" s="12" t="n"/>
      <c r="I1114" s="12" t="n"/>
      <c r="J1114" s="12" t="n"/>
      <c r="K1114" s="12" t="n"/>
      <c r="L1114" s="11" t="n"/>
      <c r="M1114" s="11" t="n"/>
      <c r="N1114" s="11" t="n"/>
      <c r="O1114" s="11" t="n"/>
      <c r="P1114" s="12" t="n"/>
      <c r="Q1114" s="11" t="n"/>
      <c r="R1114" s="12" t="n"/>
      <c r="S1114" s="11" t="n"/>
      <c r="T1114" s="12" t="n"/>
      <c r="U1114" s="12" t="n"/>
      <c r="V1114" s="14">
        <f>IF($AN1114="",IF($B1114="","",$H1114),IF(INDEX(職員マスタ!$B$6:$B$405,$AN1114)="",$H1114,INDEX(職員マスタ!$B$6:$B$405,$AN1114)))</f>
        <v/>
      </c>
      <c r="W1114" s="14">
        <f>IF($AN1114="",IF($B1114="","",$R1114),IF(INDEX(職員マスタ!$C$6:$C$405,$AN1114)="",$R1114,INDEX(職員マスタ!$C$6:$C$405,$AN1114)))</f>
        <v/>
      </c>
      <c r="X1114" s="14">
        <f>IF($AO1114="","","R"&amp;$C1114&amp;"."&amp;$D1114)</f>
        <v/>
      </c>
      <c r="Y1114" s="15">
        <f>IF($AN1114="","",IF(INDEX(職員マスタ!$K$6:$K$405,$AN1114)="","",INDEX(職員マスタ!$K$6:$K$405,$AN1114)))</f>
        <v/>
      </c>
      <c r="Z1114" s="14">
        <f>IF(OR($E1114="",$Y1114=""),"",IF($E1114&gt;=$Y1114,"×",IF($E1114&gt;=$Y1114*設定!$C$5,"△","○")))</f>
        <v/>
      </c>
      <c r="AA1114" s="15">
        <f>IF($Z1114="","",IF($Z1114="×",0,IF($Z1114="○",ROUNDDOWN($E1114*設定!$C$4,0),ROUNDDOWN($E1114*ROUND((9*$Y1114-9*$E1114)/(10*$E1114),4),0))))</f>
        <v/>
      </c>
      <c r="AB1114" s="13" t="n"/>
      <c r="AC1114" s="15">
        <f>IF($B1114="","",IF($AB1114&lt;&gt;"",$AB1114,IF($AA1114="","",IF($AA1114&lt;=設定!$C$3,0,$AA1114))))</f>
        <v/>
      </c>
      <c r="AD1114" s="14">
        <f>IF($B1114="","",IF(AND($AE1114&lt;&gt;"",$AG1114="",$AJ1114=""),"保留中",IF($AJ1114&lt;&gt;"",IF(N($AC1114)&gt;0,"支給済","不支給"),IF($AC1114="","要確認",IF($AC1114=0,"不支給","未処理")))))</f>
        <v/>
      </c>
      <c r="AE1114" s="12" t="n"/>
      <c r="AF1114" s="11" t="n"/>
      <c r="AG1114" s="11" t="n"/>
      <c r="AH1114" s="11" t="n"/>
      <c r="AI1114" s="14">
        <f>IF(AND($AD1114="保留中",$AF1114&lt;&gt;""),TODAY()-$AF1114,"")</f>
        <v/>
      </c>
      <c r="AJ1114" s="12" t="n"/>
      <c r="AK1114" s="14">
        <f>IF($B1114="","",IF($AO1114="","対象年月が未入力／","")&amp;IF($B1114="","",IF($AN1114="","職員マスタに未登録の職員番号／",IF($Y1114="","標準報酬月額が未登録／","")&amp;IF(AND($AO1114&lt;&gt;"",OR(AND(INDEX(職員マスタ!$G$6:$G$405,$AN1114)&lt;&gt;"",INDEX(職員マスタ!$G$6:$G$405,$AN1114)&gt;EOMONTH($AO1114,0)),AND(INDEX(職員マスタ!$H$6:$H$405,$AN1114)&lt;&gt;"",INDEX(職員マスタ!$H$6:$H$405,$AN1114)&lt;$AO1114))),"対象月が時短期間外／","")&amp;IF(AND(INDEX(職員マスタ!$F$6:$F$405,$AN1114)&lt;&gt;"",$AO1114&lt;&gt;"",INDEX(職員マスタ!$F$6:$F$405,$AN1114)&lt;$AO1114),"対象月に子が2歳到達済／","")&amp;IF(AND($H1114&lt;&gt;"",INDEX(職員マスタ!$B$6:$B$405,$AN1114)&lt;&gt;"",SUBSTITUTE(SUBSTITUTE($H1114," ","")," ","")&lt;&gt;SUBSTITUTE(SUBSTITUTE(INDEX(職員マスタ!$B$6:$B$405,$AN1114)," ","")," ","")),"氏名がマスタと相違／","")&amp;IF(AND($Q1114&lt;&gt;"",INDEX(職員マスタ!$E$6:$E$405,$AN1114)&lt;&gt;"",$Q1114&lt;&gt;INDEX(職員マスタ!$E$6:$E$405,$AN1114)),"子の生年月日がマスタと相違／","")&amp;IF(AND($L1114&lt;&gt;"",INDEX(職員マスタ!$G$6:$G$405,$AN1114)&lt;&gt;"",$L1114&lt;&gt;INDEX(職員マスタ!$G$6:$G$405,$AN1114)),"時短開始日がマスタと相違／","")&amp;IF(AND($M1114&lt;&gt;"",INDEX(職員マスタ!$H$6:$H$405,$AN1114)&lt;&gt;"",$M1114&lt;&gt;INDEX(職員マスタ!$H$6:$H$405,$AN1114)),"時短終了日がマスタと相違／","")))&amp;IF(AND($B1114&lt;&gt;"",$E1114=""),"報酬額が未入力／","")&amp;IF(N($U1114)&gt;0,"申請書に入力エラーが残っています／","")&amp;IF(AND($B1114&lt;&gt;"",$AO1114&lt;&gt;""),IF(COUNTIFS($B$6:$B$3005,$B1114,$C$6:$C$3005,$C1114,$D$6:$D$3005,$D1114)&gt;1,"同じ月の請求が重複しています／",""),"")&amp;IF(AND(N($E1114)&gt;0,$Z1114&lt;&gt;"",$Z1114&lt;&gt;"×",$AC1114=0,$AB1114=""),"計算額が下限以下のため不支給／",""))</f>
        <v/>
      </c>
      <c r="AL1114" s="12" t="n"/>
      <c r="AM1114" s="14">
        <f>IF($AD1114="保留中",COUNTIF($AD$6:$AD1114,"保留中"),"")</f>
        <v/>
      </c>
      <c r="AN1114" s="14">
        <f>IF($AO1114="","",IF(SUMPRODUCT(MAX((職員マスタ!$A$6:$A$405=$B1114)*(((職員マスタ!$G$6:$G$405="")+(職員マスタ!$G$6:$G$405&lt;=EOMONTH($AO1114,0)))&gt;0)*(((職員マスタ!$H$6:$H$405="")+(職員マスタ!$H$6:$H$405&gt;=$AO1114))&gt;0)*(ROW(職員マスタ!$A$6:$A$405)-5)))&gt;0,SUMPRODUCT(MAX((職員マスタ!$A$6:$A$405=$B1114)*(((職員マスタ!$G$6:$G$405="")+(職員マスタ!$G$6:$G$405&lt;=EOMONTH($AO1114,0)))&gt;0)*(((職員マスタ!$H$6:$H$405="")+(職員マスタ!$H$6:$H$405&gt;=$AO1114))&gt;0)*(ROW(職員マスタ!$A$6:$A$405)-5))),IFERROR(MATCH($B1114,職員マスタ!$A$6:$A$405,0),"")))</f>
        <v/>
      </c>
      <c r="AO1114" s="16">
        <f>IF(OR($B1114="",$C1114="",$D1114=""),"",DATE($C1114+2018,$D1114,1))</f>
        <v/>
      </c>
    </row>
    <row r="1115">
      <c r="A1115" s="11" t="n"/>
      <c r="B1115" s="12" t="n"/>
      <c r="C1115" s="12" t="n"/>
      <c r="D1115" s="12" t="n"/>
      <c r="E1115" s="13" t="n"/>
      <c r="F1115" s="12" t="n"/>
      <c r="G1115" s="13" t="n"/>
      <c r="H1115" s="12" t="n"/>
      <c r="I1115" s="12" t="n"/>
      <c r="J1115" s="12" t="n"/>
      <c r="K1115" s="12" t="n"/>
      <c r="L1115" s="11" t="n"/>
      <c r="M1115" s="11" t="n"/>
      <c r="N1115" s="11" t="n"/>
      <c r="O1115" s="11" t="n"/>
      <c r="P1115" s="12" t="n"/>
      <c r="Q1115" s="11" t="n"/>
      <c r="R1115" s="12" t="n"/>
      <c r="S1115" s="11" t="n"/>
      <c r="T1115" s="12" t="n"/>
      <c r="U1115" s="12" t="n"/>
      <c r="V1115" s="14">
        <f>IF($AN1115="",IF($B1115="","",$H1115),IF(INDEX(職員マスタ!$B$6:$B$405,$AN1115)="",$H1115,INDEX(職員マスタ!$B$6:$B$405,$AN1115)))</f>
        <v/>
      </c>
      <c r="W1115" s="14">
        <f>IF($AN1115="",IF($B1115="","",$R1115),IF(INDEX(職員マスタ!$C$6:$C$405,$AN1115)="",$R1115,INDEX(職員マスタ!$C$6:$C$405,$AN1115)))</f>
        <v/>
      </c>
      <c r="X1115" s="14">
        <f>IF($AO1115="","","R"&amp;$C1115&amp;"."&amp;$D1115)</f>
        <v/>
      </c>
      <c r="Y1115" s="15">
        <f>IF($AN1115="","",IF(INDEX(職員マスタ!$K$6:$K$405,$AN1115)="","",INDEX(職員マスタ!$K$6:$K$405,$AN1115)))</f>
        <v/>
      </c>
      <c r="Z1115" s="14">
        <f>IF(OR($E1115="",$Y1115=""),"",IF($E1115&gt;=$Y1115,"×",IF($E1115&gt;=$Y1115*設定!$C$5,"△","○")))</f>
        <v/>
      </c>
      <c r="AA1115" s="15">
        <f>IF($Z1115="","",IF($Z1115="×",0,IF($Z1115="○",ROUNDDOWN($E1115*設定!$C$4,0),ROUNDDOWN($E1115*ROUND((9*$Y1115-9*$E1115)/(10*$E1115),4),0))))</f>
        <v/>
      </c>
      <c r="AB1115" s="13" t="n"/>
      <c r="AC1115" s="15">
        <f>IF($B1115="","",IF($AB1115&lt;&gt;"",$AB1115,IF($AA1115="","",IF($AA1115&lt;=設定!$C$3,0,$AA1115))))</f>
        <v/>
      </c>
      <c r="AD1115" s="14">
        <f>IF($B1115="","",IF(AND($AE1115&lt;&gt;"",$AG1115="",$AJ1115=""),"保留中",IF($AJ1115&lt;&gt;"",IF(N($AC1115)&gt;0,"支給済","不支給"),IF($AC1115="","要確認",IF($AC1115=0,"不支給","未処理")))))</f>
        <v/>
      </c>
      <c r="AE1115" s="12" t="n"/>
      <c r="AF1115" s="11" t="n"/>
      <c r="AG1115" s="11" t="n"/>
      <c r="AH1115" s="11" t="n"/>
      <c r="AI1115" s="14">
        <f>IF(AND($AD1115="保留中",$AF1115&lt;&gt;""),TODAY()-$AF1115,"")</f>
        <v/>
      </c>
      <c r="AJ1115" s="12" t="n"/>
      <c r="AK1115" s="14">
        <f>IF($B1115="","",IF($AO1115="","対象年月が未入力／","")&amp;IF($B1115="","",IF($AN1115="","職員マスタに未登録の職員番号／",IF($Y1115="","標準報酬月額が未登録／","")&amp;IF(AND($AO1115&lt;&gt;"",OR(AND(INDEX(職員マスタ!$G$6:$G$405,$AN1115)&lt;&gt;"",INDEX(職員マスタ!$G$6:$G$405,$AN1115)&gt;EOMONTH($AO1115,0)),AND(INDEX(職員マスタ!$H$6:$H$405,$AN1115)&lt;&gt;"",INDEX(職員マスタ!$H$6:$H$405,$AN1115)&lt;$AO1115))),"対象月が時短期間外／","")&amp;IF(AND(INDEX(職員マスタ!$F$6:$F$405,$AN1115)&lt;&gt;"",$AO1115&lt;&gt;"",INDEX(職員マスタ!$F$6:$F$405,$AN1115)&lt;$AO1115),"対象月に子が2歳到達済／","")&amp;IF(AND($H1115&lt;&gt;"",INDEX(職員マスタ!$B$6:$B$405,$AN1115)&lt;&gt;"",SUBSTITUTE(SUBSTITUTE($H1115," ","")," ","")&lt;&gt;SUBSTITUTE(SUBSTITUTE(INDEX(職員マスタ!$B$6:$B$405,$AN1115)," ","")," ","")),"氏名がマスタと相違／","")&amp;IF(AND($Q1115&lt;&gt;"",INDEX(職員マスタ!$E$6:$E$405,$AN1115)&lt;&gt;"",$Q1115&lt;&gt;INDEX(職員マスタ!$E$6:$E$405,$AN1115)),"子の生年月日がマスタと相違／","")&amp;IF(AND($L1115&lt;&gt;"",INDEX(職員マスタ!$G$6:$G$405,$AN1115)&lt;&gt;"",$L1115&lt;&gt;INDEX(職員マスタ!$G$6:$G$405,$AN1115)),"時短開始日がマスタと相違／","")&amp;IF(AND($M1115&lt;&gt;"",INDEX(職員マスタ!$H$6:$H$405,$AN1115)&lt;&gt;"",$M1115&lt;&gt;INDEX(職員マスタ!$H$6:$H$405,$AN1115)),"時短終了日がマスタと相違／","")))&amp;IF(AND($B1115&lt;&gt;"",$E1115=""),"報酬額が未入力／","")&amp;IF(N($U1115)&gt;0,"申請書に入力エラーが残っています／","")&amp;IF(AND($B1115&lt;&gt;"",$AO1115&lt;&gt;""),IF(COUNTIFS($B$6:$B$3005,$B1115,$C$6:$C$3005,$C1115,$D$6:$D$3005,$D1115)&gt;1,"同じ月の請求が重複しています／",""),"")&amp;IF(AND(N($E1115)&gt;0,$Z1115&lt;&gt;"",$Z1115&lt;&gt;"×",$AC1115=0,$AB1115=""),"計算額が下限以下のため不支給／",""))</f>
        <v/>
      </c>
      <c r="AL1115" s="12" t="n"/>
      <c r="AM1115" s="14">
        <f>IF($AD1115="保留中",COUNTIF($AD$6:$AD1115,"保留中"),"")</f>
        <v/>
      </c>
      <c r="AN1115" s="14">
        <f>IF($AO1115="","",IF(SUMPRODUCT(MAX((職員マスタ!$A$6:$A$405=$B1115)*(((職員マスタ!$G$6:$G$405="")+(職員マスタ!$G$6:$G$405&lt;=EOMONTH($AO1115,0)))&gt;0)*(((職員マスタ!$H$6:$H$405="")+(職員マスタ!$H$6:$H$405&gt;=$AO1115))&gt;0)*(ROW(職員マスタ!$A$6:$A$405)-5)))&gt;0,SUMPRODUCT(MAX((職員マスタ!$A$6:$A$405=$B1115)*(((職員マスタ!$G$6:$G$405="")+(職員マスタ!$G$6:$G$405&lt;=EOMONTH($AO1115,0)))&gt;0)*(((職員マスタ!$H$6:$H$405="")+(職員マスタ!$H$6:$H$405&gt;=$AO1115))&gt;0)*(ROW(職員マスタ!$A$6:$A$405)-5))),IFERROR(MATCH($B1115,職員マスタ!$A$6:$A$405,0),"")))</f>
        <v/>
      </c>
      <c r="AO1115" s="16">
        <f>IF(OR($B1115="",$C1115="",$D1115=""),"",DATE($C1115+2018,$D1115,1))</f>
        <v/>
      </c>
    </row>
    <row r="1116">
      <c r="A1116" s="11" t="n"/>
      <c r="B1116" s="12" t="n"/>
      <c r="C1116" s="12" t="n"/>
      <c r="D1116" s="12" t="n"/>
      <c r="E1116" s="13" t="n"/>
      <c r="F1116" s="12" t="n"/>
      <c r="G1116" s="13" t="n"/>
      <c r="H1116" s="12" t="n"/>
      <c r="I1116" s="12" t="n"/>
      <c r="J1116" s="12" t="n"/>
      <c r="K1116" s="12" t="n"/>
      <c r="L1116" s="11" t="n"/>
      <c r="M1116" s="11" t="n"/>
      <c r="N1116" s="11" t="n"/>
      <c r="O1116" s="11" t="n"/>
      <c r="P1116" s="12" t="n"/>
      <c r="Q1116" s="11" t="n"/>
      <c r="R1116" s="12" t="n"/>
      <c r="S1116" s="11" t="n"/>
      <c r="T1116" s="12" t="n"/>
      <c r="U1116" s="12" t="n"/>
      <c r="V1116" s="14">
        <f>IF($AN1116="",IF($B1116="","",$H1116),IF(INDEX(職員マスタ!$B$6:$B$405,$AN1116)="",$H1116,INDEX(職員マスタ!$B$6:$B$405,$AN1116)))</f>
        <v/>
      </c>
      <c r="W1116" s="14">
        <f>IF($AN1116="",IF($B1116="","",$R1116),IF(INDEX(職員マスタ!$C$6:$C$405,$AN1116)="",$R1116,INDEX(職員マスタ!$C$6:$C$405,$AN1116)))</f>
        <v/>
      </c>
      <c r="X1116" s="14">
        <f>IF($AO1116="","","R"&amp;$C1116&amp;"."&amp;$D1116)</f>
        <v/>
      </c>
      <c r="Y1116" s="15">
        <f>IF($AN1116="","",IF(INDEX(職員マスタ!$K$6:$K$405,$AN1116)="","",INDEX(職員マスタ!$K$6:$K$405,$AN1116)))</f>
        <v/>
      </c>
      <c r="Z1116" s="14">
        <f>IF(OR($E1116="",$Y1116=""),"",IF($E1116&gt;=$Y1116,"×",IF($E1116&gt;=$Y1116*設定!$C$5,"△","○")))</f>
        <v/>
      </c>
      <c r="AA1116" s="15">
        <f>IF($Z1116="","",IF($Z1116="×",0,IF($Z1116="○",ROUNDDOWN($E1116*設定!$C$4,0),ROUNDDOWN($E1116*ROUND((9*$Y1116-9*$E1116)/(10*$E1116),4),0))))</f>
        <v/>
      </c>
      <c r="AB1116" s="13" t="n"/>
      <c r="AC1116" s="15">
        <f>IF($B1116="","",IF($AB1116&lt;&gt;"",$AB1116,IF($AA1116="","",IF($AA1116&lt;=設定!$C$3,0,$AA1116))))</f>
        <v/>
      </c>
      <c r="AD1116" s="14">
        <f>IF($B1116="","",IF(AND($AE1116&lt;&gt;"",$AG1116="",$AJ1116=""),"保留中",IF($AJ1116&lt;&gt;"",IF(N($AC1116)&gt;0,"支給済","不支給"),IF($AC1116="","要確認",IF($AC1116=0,"不支給","未処理")))))</f>
        <v/>
      </c>
      <c r="AE1116" s="12" t="n"/>
      <c r="AF1116" s="11" t="n"/>
      <c r="AG1116" s="11" t="n"/>
      <c r="AH1116" s="11" t="n"/>
      <c r="AI1116" s="14">
        <f>IF(AND($AD1116="保留中",$AF1116&lt;&gt;""),TODAY()-$AF1116,"")</f>
        <v/>
      </c>
      <c r="AJ1116" s="12" t="n"/>
      <c r="AK1116" s="14">
        <f>IF($B1116="","",IF($AO1116="","対象年月が未入力／","")&amp;IF($B1116="","",IF($AN1116="","職員マスタに未登録の職員番号／",IF($Y1116="","標準報酬月額が未登録／","")&amp;IF(AND($AO1116&lt;&gt;"",OR(AND(INDEX(職員マスタ!$G$6:$G$405,$AN1116)&lt;&gt;"",INDEX(職員マスタ!$G$6:$G$405,$AN1116)&gt;EOMONTH($AO1116,0)),AND(INDEX(職員マスタ!$H$6:$H$405,$AN1116)&lt;&gt;"",INDEX(職員マスタ!$H$6:$H$405,$AN1116)&lt;$AO1116))),"対象月が時短期間外／","")&amp;IF(AND(INDEX(職員マスタ!$F$6:$F$405,$AN1116)&lt;&gt;"",$AO1116&lt;&gt;"",INDEX(職員マスタ!$F$6:$F$405,$AN1116)&lt;$AO1116),"対象月に子が2歳到達済／","")&amp;IF(AND($H1116&lt;&gt;"",INDEX(職員マスタ!$B$6:$B$405,$AN1116)&lt;&gt;"",SUBSTITUTE(SUBSTITUTE($H1116," ","")," ","")&lt;&gt;SUBSTITUTE(SUBSTITUTE(INDEX(職員マスタ!$B$6:$B$405,$AN1116)," ","")," ","")),"氏名がマスタと相違／","")&amp;IF(AND($Q1116&lt;&gt;"",INDEX(職員マスタ!$E$6:$E$405,$AN1116)&lt;&gt;"",$Q1116&lt;&gt;INDEX(職員マスタ!$E$6:$E$405,$AN1116)),"子の生年月日がマスタと相違／","")&amp;IF(AND($L1116&lt;&gt;"",INDEX(職員マスタ!$G$6:$G$405,$AN1116)&lt;&gt;"",$L1116&lt;&gt;INDEX(職員マスタ!$G$6:$G$405,$AN1116)),"時短開始日がマスタと相違／","")&amp;IF(AND($M1116&lt;&gt;"",INDEX(職員マスタ!$H$6:$H$405,$AN1116)&lt;&gt;"",$M1116&lt;&gt;INDEX(職員マスタ!$H$6:$H$405,$AN1116)),"時短終了日がマスタと相違／","")))&amp;IF(AND($B1116&lt;&gt;"",$E1116=""),"報酬額が未入力／","")&amp;IF(N($U1116)&gt;0,"申請書に入力エラーが残っています／","")&amp;IF(AND($B1116&lt;&gt;"",$AO1116&lt;&gt;""),IF(COUNTIFS($B$6:$B$3005,$B1116,$C$6:$C$3005,$C1116,$D$6:$D$3005,$D1116)&gt;1,"同じ月の請求が重複しています／",""),"")&amp;IF(AND(N($E1116)&gt;0,$Z1116&lt;&gt;"",$Z1116&lt;&gt;"×",$AC1116=0,$AB1116=""),"計算額が下限以下のため不支給／",""))</f>
        <v/>
      </c>
      <c r="AL1116" s="12" t="n"/>
      <c r="AM1116" s="14">
        <f>IF($AD1116="保留中",COUNTIF($AD$6:$AD1116,"保留中"),"")</f>
        <v/>
      </c>
      <c r="AN1116" s="14">
        <f>IF($AO1116="","",IF(SUMPRODUCT(MAX((職員マスタ!$A$6:$A$405=$B1116)*(((職員マスタ!$G$6:$G$405="")+(職員マスタ!$G$6:$G$405&lt;=EOMONTH($AO1116,0)))&gt;0)*(((職員マスタ!$H$6:$H$405="")+(職員マスタ!$H$6:$H$405&gt;=$AO1116))&gt;0)*(ROW(職員マスタ!$A$6:$A$405)-5)))&gt;0,SUMPRODUCT(MAX((職員マスタ!$A$6:$A$405=$B1116)*(((職員マスタ!$G$6:$G$405="")+(職員マスタ!$G$6:$G$405&lt;=EOMONTH($AO1116,0)))&gt;0)*(((職員マスタ!$H$6:$H$405="")+(職員マスタ!$H$6:$H$405&gt;=$AO1116))&gt;0)*(ROW(職員マスタ!$A$6:$A$405)-5))),IFERROR(MATCH($B1116,職員マスタ!$A$6:$A$405,0),"")))</f>
        <v/>
      </c>
      <c r="AO1116" s="16">
        <f>IF(OR($B1116="",$C1116="",$D1116=""),"",DATE($C1116+2018,$D1116,1))</f>
        <v/>
      </c>
    </row>
    <row r="1117">
      <c r="A1117" s="11" t="n"/>
      <c r="B1117" s="12" t="n"/>
      <c r="C1117" s="12" t="n"/>
      <c r="D1117" s="12" t="n"/>
      <c r="E1117" s="13" t="n"/>
      <c r="F1117" s="12" t="n"/>
      <c r="G1117" s="13" t="n"/>
      <c r="H1117" s="12" t="n"/>
      <c r="I1117" s="12" t="n"/>
      <c r="J1117" s="12" t="n"/>
      <c r="K1117" s="12" t="n"/>
      <c r="L1117" s="11" t="n"/>
      <c r="M1117" s="11" t="n"/>
      <c r="N1117" s="11" t="n"/>
      <c r="O1117" s="11" t="n"/>
      <c r="P1117" s="12" t="n"/>
      <c r="Q1117" s="11" t="n"/>
      <c r="R1117" s="12" t="n"/>
      <c r="S1117" s="11" t="n"/>
      <c r="T1117" s="12" t="n"/>
      <c r="U1117" s="12" t="n"/>
      <c r="V1117" s="14">
        <f>IF($AN1117="",IF($B1117="","",$H1117),IF(INDEX(職員マスタ!$B$6:$B$405,$AN1117)="",$H1117,INDEX(職員マスタ!$B$6:$B$405,$AN1117)))</f>
        <v/>
      </c>
      <c r="W1117" s="14">
        <f>IF($AN1117="",IF($B1117="","",$R1117),IF(INDEX(職員マスタ!$C$6:$C$405,$AN1117)="",$R1117,INDEX(職員マスタ!$C$6:$C$405,$AN1117)))</f>
        <v/>
      </c>
      <c r="X1117" s="14">
        <f>IF($AO1117="","","R"&amp;$C1117&amp;"."&amp;$D1117)</f>
        <v/>
      </c>
      <c r="Y1117" s="15">
        <f>IF($AN1117="","",IF(INDEX(職員マスタ!$K$6:$K$405,$AN1117)="","",INDEX(職員マスタ!$K$6:$K$405,$AN1117)))</f>
        <v/>
      </c>
      <c r="Z1117" s="14">
        <f>IF(OR($E1117="",$Y1117=""),"",IF($E1117&gt;=$Y1117,"×",IF($E1117&gt;=$Y1117*設定!$C$5,"△","○")))</f>
        <v/>
      </c>
      <c r="AA1117" s="15">
        <f>IF($Z1117="","",IF($Z1117="×",0,IF($Z1117="○",ROUNDDOWN($E1117*設定!$C$4,0),ROUNDDOWN($E1117*ROUND((9*$Y1117-9*$E1117)/(10*$E1117),4),0))))</f>
        <v/>
      </c>
      <c r="AB1117" s="13" t="n"/>
      <c r="AC1117" s="15">
        <f>IF($B1117="","",IF($AB1117&lt;&gt;"",$AB1117,IF($AA1117="","",IF($AA1117&lt;=設定!$C$3,0,$AA1117))))</f>
        <v/>
      </c>
      <c r="AD1117" s="14">
        <f>IF($B1117="","",IF(AND($AE1117&lt;&gt;"",$AG1117="",$AJ1117=""),"保留中",IF($AJ1117&lt;&gt;"",IF(N($AC1117)&gt;0,"支給済","不支給"),IF($AC1117="","要確認",IF($AC1117=0,"不支給","未処理")))))</f>
        <v/>
      </c>
      <c r="AE1117" s="12" t="n"/>
      <c r="AF1117" s="11" t="n"/>
      <c r="AG1117" s="11" t="n"/>
      <c r="AH1117" s="11" t="n"/>
      <c r="AI1117" s="14">
        <f>IF(AND($AD1117="保留中",$AF1117&lt;&gt;""),TODAY()-$AF1117,"")</f>
        <v/>
      </c>
      <c r="AJ1117" s="12" t="n"/>
      <c r="AK1117" s="14">
        <f>IF($B1117="","",IF($AO1117="","対象年月が未入力／","")&amp;IF($B1117="","",IF($AN1117="","職員マスタに未登録の職員番号／",IF($Y1117="","標準報酬月額が未登録／","")&amp;IF(AND($AO1117&lt;&gt;"",OR(AND(INDEX(職員マスタ!$G$6:$G$405,$AN1117)&lt;&gt;"",INDEX(職員マスタ!$G$6:$G$405,$AN1117)&gt;EOMONTH($AO1117,0)),AND(INDEX(職員マスタ!$H$6:$H$405,$AN1117)&lt;&gt;"",INDEX(職員マスタ!$H$6:$H$405,$AN1117)&lt;$AO1117))),"対象月が時短期間外／","")&amp;IF(AND(INDEX(職員マスタ!$F$6:$F$405,$AN1117)&lt;&gt;"",$AO1117&lt;&gt;"",INDEX(職員マスタ!$F$6:$F$405,$AN1117)&lt;$AO1117),"対象月に子が2歳到達済／","")&amp;IF(AND($H1117&lt;&gt;"",INDEX(職員マスタ!$B$6:$B$405,$AN1117)&lt;&gt;"",SUBSTITUTE(SUBSTITUTE($H1117," ","")," ","")&lt;&gt;SUBSTITUTE(SUBSTITUTE(INDEX(職員マスタ!$B$6:$B$405,$AN1117)," ","")," ","")),"氏名がマスタと相違／","")&amp;IF(AND($Q1117&lt;&gt;"",INDEX(職員マスタ!$E$6:$E$405,$AN1117)&lt;&gt;"",$Q1117&lt;&gt;INDEX(職員マスタ!$E$6:$E$405,$AN1117)),"子の生年月日がマスタと相違／","")&amp;IF(AND($L1117&lt;&gt;"",INDEX(職員マスタ!$G$6:$G$405,$AN1117)&lt;&gt;"",$L1117&lt;&gt;INDEX(職員マスタ!$G$6:$G$405,$AN1117)),"時短開始日がマスタと相違／","")&amp;IF(AND($M1117&lt;&gt;"",INDEX(職員マスタ!$H$6:$H$405,$AN1117)&lt;&gt;"",$M1117&lt;&gt;INDEX(職員マスタ!$H$6:$H$405,$AN1117)),"時短終了日がマスタと相違／","")))&amp;IF(AND($B1117&lt;&gt;"",$E1117=""),"報酬額が未入力／","")&amp;IF(N($U1117)&gt;0,"申請書に入力エラーが残っています／","")&amp;IF(AND($B1117&lt;&gt;"",$AO1117&lt;&gt;""),IF(COUNTIFS($B$6:$B$3005,$B1117,$C$6:$C$3005,$C1117,$D$6:$D$3005,$D1117)&gt;1,"同じ月の請求が重複しています／",""),"")&amp;IF(AND(N($E1117)&gt;0,$Z1117&lt;&gt;"",$Z1117&lt;&gt;"×",$AC1117=0,$AB1117=""),"計算額が下限以下のため不支給／",""))</f>
        <v/>
      </c>
      <c r="AL1117" s="12" t="n"/>
      <c r="AM1117" s="14">
        <f>IF($AD1117="保留中",COUNTIF($AD$6:$AD1117,"保留中"),"")</f>
        <v/>
      </c>
      <c r="AN1117" s="14">
        <f>IF($AO1117="","",IF(SUMPRODUCT(MAX((職員マスタ!$A$6:$A$405=$B1117)*(((職員マスタ!$G$6:$G$405="")+(職員マスタ!$G$6:$G$405&lt;=EOMONTH($AO1117,0)))&gt;0)*(((職員マスタ!$H$6:$H$405="")+(職員マスタ!$H$6:$H$405&gt;=$AO1117))&gt;0)*(ROW(職員マスタ!$A$6:$A$405)-5)))&gt;0,SUMPRODUCT(MAX((職員マスタ!$A$6:$A$405=$B1117)*(((職員マスタ!$G$6:$G$405="")+(職員マスタ!$G$6:$G$405&lt;=EOMONTH($AO1117,0)))&gt;0)*(((職員マスタ!$H$6:$H$405="")+(職員マスタ!$H$6:$H$405&gt;=$AO1117))&gt;0)*(ROW(職員マスタ!$A$6:$A$405)-5))),IFERROR(MATCH($B1117,職員マスタ!$A$6:$A$405,0),"")))</f>
        <v/>
      </c>
      <c r="AO1117" s="16">
        <f>IF(OR($B1117="",$C1117="",$D1117=""),"",DATE($C1117+2018,$D1117,1))</f>
        <v/>
      </c>
    </row>
    <row r="1118">
      <c r="A1118" s="11" t="n"/>
      <c r="B1118" s="12" t="n"/>
      <c r="C1118" s="12" t="n"/>
      <c r="D1118" s="12" t="n"/>
      <c r="E1118" s="13" t="n"/>
      <c r="F1118" s="12" t="n"/>
      <c r="G1118" s="13" t="n"/>
      <c r="H1118" s="12" t="n"/>
      <c r="I1118" s="12" t="n"/>
      <c r="J1118" s="12" t="n"/>
      <c r="K1118" s="12" t="n"/>
      <c r="L1118" s="11" t="n"/>
      <c r="M1118" s="11" t="n"/>
      <c r="N1118" s="11" t="n"/>
      <c r="O1118" s="11" t="n"/>
      <c r="P1118" s="12" t="n"/>
      <c r="Q1118" s="11" t="n"/>
      <c r="R1118" s="12" t="n"/>
      <c r="S1118" s="11" t="n"/>
      <c r="T1118" s="12" t="n"/>
      <c r="U1118" s="12" t="n"/>
      <c r="V1118" s="14">
        <f>IF($AN1118="",IF($B1118="","",$H1118),IF(INDEX(職員マスタ!$B$6:$B$405,$AN1118)="",$H1118,INDEX(職員マスタ!$B$6:$B$405,$AN1118)))</f>
        <v/>
      </c>
      <c r="W1118" s="14">
        <f>IF($AN1118="",IF($B1118="","",$R1118),IF(INDEX(職員マスタ!$C$6:$C$405,$AN1118)="",$R1118,INDEX(職員マスタ!$C$6:$C$405,$AN1118)))</f>
        <v/>
      </c>
      <c r="X1118" s="14">
        <f>IF($AO1118="","","R"&amp;$C1118&amp;"."&amp;$D1118)</f>
        <v/>
      </c>
      <c r="Y1118" s="15">
        <f>IF($AN1118="","",IF(INDEX(職員マスタ!$K$6:$K$405,$AN1118)="","",INDEX(職員マスタ!$K$6:$K$405,$AN1118)))</f>
        <v/>
      </c>
      <c r="Z1118" s="14">
        <f>IF(OR($E1118="",$Y1118=""),"",IF($E1118&gt;=$Y1118,"×",IF($E1118&gt;=$Y1118*設定!$C$5,"△","○")))</f>
        <v/>
      </c>
      <c r="AA1118" s="15">
        <f>IF($Z1118="","",IF($Z1118="×",0,IF($Z1118="○",ROUNDDOWN($E1118*設定!$C$4,0),ROUNDDOWN($E1118*ROUND((9*$Y1118-9*$E1118)/(10*$E1118),4),0))))</f>
        <v/>
      </c>
      <c r="AB1118" s="13" t="n"/>
      <c r="AC1118" s="15">
        <f>IF($B1118="","",IF($AB1118&lt;&gt;"",$AB1118,IF($AA1118="","",IF($AA1118&lt;=設定!$C$3,0,$AA1118))))</f>
        <v/>
      </c>
      <c r="AD1118" s="14">
        <f>IF($B1118="","",IF(AND($AE1118&lt;&gt;"",$AG1118="",$AJ1118=""),"保留中",IF($AJ1118&lt;&gt;"",IF(N($AC1118)&gt;0,"支給済","不支給"),IF($AC1118="","要確認",IF($AC1118=0,"不支給","未処理")))))</f>
        <v/>
      </c>
      <c r="AE1118" s="12" t="n"/>
      <c r="AF1118" s="11" t="n"/>
      <c r="AG1118" s="11" t="n"/>
      <c r="AH1118" s="11" t="n"/>
      <c r="AI1118" s="14">
        <f>IF(AND($AD1118="保留中",$AF1118&lt;&gt;""),TODAY()-$AF1118,"")</f>
        <v/>
      </c>
      <c r="AJ1118" s="12" t="n"/>
      <c r="AK1118" s="14">
        <f>IF($B1118="","",IF($AO1118="","対象年月が未入力／","")&amp;IF($B1118="","",IF($AN1118="","職員マスタに未登録の職員番号／",IF($Y1118="","標準報酬月額が未登録／","")&amp;IF(AND($AO1118&lt;&gt;"",OR(AND(INDEX(職員マスタ!$G$6:$G$405,$AN1118)&lt;&gt;"",INDEX(職員マスタ!$G$6:$G$405,$AN1118)&gt;EOMONTH($AO1118,0)),AND(INDEX(職員マスタ!$H$6:$H$405,$AN1118)&lt;&gt;"",INDEX(職員マスタ!$H$6:$H$405,$AN1118)&lt;$AO1118))),"対象月が時短期間外／","")&amp;IF(AND(INDEX(職員マスタ!$F$6:$F$405,$AN1118)&lt;&gt;"",$AO1118&lt;&gt;"",INDEX(職員マスタ!$F$6:$F$405,$AN1118)&lt;$AO1118),"対象月に子が2歳到達済／","")&amp;IF(AND($H1118&lt;&gt;"",INDEX(職員マスタ!$B$6:$B$405,$AN1118)&lt;&gt;"",SUBSTITUTE(SUBSTITUTE($H1118," ","")," ","")&lt;&gt;SUBSTITUTE(SUBSTITUTE(INDEX(職員マスタ!$B$6:$B$405,$AN1118)," ","")," ","")),"氏名がマスタと相違／","")&amp;IF(AND($Q1118&lt;&gt;"",INDEX(職員マスタ!$E$6:$E$405,$AN1118)&lt;&gt;"",$Q1118&lt;&gt;INDEX(職員マスタ!$E$6:$E$405,$AN1118)),"子の生年月日がマスタと相違／","")&amp;IF(AND($L1118&lt;&gt;"",INDEX(職員マスタ!$G$6:$G$405,$AN1118)&lt;&gt;"",$L1118&lt;&gt;INDEX(職員マスタ!$G$6:$G$405,$AN1118)),"時短開始日がマスタと相違／","")&amp;IF(AND($M1118&lt;&gt;"",INDEX(職員マスタ!$H$6:$H$405,$AN1118)&lt;&gt;"",$M1118&lt;&gt;INDEX(職員マスタ!$H$6:$H$405,$AN1118)),"時短終了日がマスタと相違／","")))&amp;IF(AND($B1118&lt;&gt;"",$E1118=""),"報酬額が未入力／","")&amp;IF(N($U1118)&gt;0,"申請書に入力エラーが残っています／","")&amp;IF(AND($B1118&lt;&gt;"",$AO1118&lt;&gt;""),IF(COUNTIFS($B$6:$B$3005,$B1118,$C$6:$C$3005,$C1118,$D$6:$D$3005,$D1118)&gt;1,"同じ月の請求が重複しています／",""),"")&amp;IF(AND(N($E1118)&gt;0,$Z1118&lt;&gt;"",$Z1118&lt;&gt;"×",$AC1118=0,$AB1118=""),"計算額が下限以下のため不支給／",""))</f>
        <v/>
      </c>
      <c r="AL1118" s="12" t="n"/>
      <c r="AM1118" s="14">
        <f>IF($AD1118="保留中",COUNTIF($AD$6:$AD1118,"保留中"),"")</f>
        <v/>
      </c>
      <c r="AN1118" s="14">
        <f>IF($AO1118="","",IF(SUMPRODUCT(MAX((職員マスタ!$A$6:$A$405=$B1118)*(((職員マスタ!$G$6:$G$405="")+(職員マスタ!$G$6:$G$405&lt;=EOMONTH($AO1118,0)))&gt;0)*(((職員マスタ!$H$6:$H$405="")+(職員マスタ!$H$6:$H$405&gt;=$AO1118))&gt;0)*(ROW(職員マスタ!$A$6:$A$405)-5)))&gt;0,SUMPRODUCT(MAX((職員マスタ!$A$6:$A$405=$B1118)*(((職員マスタ!$G$6:$G$405="")+(職員マスタ!$G$6:$G$405&lt;=EOMONTH($AO1118,0)))&gt;0)*(((職員マスタ!$H$6:$H$405="")+(職員マスタ!$H$6:$H$405&gt;=$AO1118))&gt;0)*(ROW(職員マスタ!$A$6:$A$405)-5))),IFERROR(MATCH($B1118,職員マスタ!$A$6:$A$405,0),"")))</f>
        <v/>
      </c>
      <c r="AO1118" s="16">
        <f>IF(OR($B1118="",$C1118="",$D1118=""),"",DATE($C1118+2018,$D1118,1))</f>
        <v/>
      </c>
    </row>
    <row r="1119">
      <c r="A1119" s="11" t="n"/>
      <c r="B1119" s="12" t="n"/>
      <c r="C1119" s="12" t="n"/>
      <c r="D1119" s="12" t="n"/>
      <c r="E1119" s="13" t="n"/>
      <c r="F1119" s="12" t="n"/>
      <c r="G1119" s="13" t="n"/>
      <c r="H1119" s="12" t="n"/>
      <c r="I1119" s="12" t="n"/>
      <c r="J1119" s="12" t="n"/>
      <c r="K1119" s="12" t="n"/>
      <c r="L1119" s="11" t="n"/>
      <c r="M1119" s="11" t="n"/>
      <c r="N1119" s="11" t="n"/>
      <c r="O1119" s="11" t="n"/>
      <c r="P1119" s="12" t="n"/>
      <c r="Q1119" s="11" t="n"/>
      <c r="R1119" s="12" t="n"/>
      <c r="S1119" s="11" t="n"/>
      <c r="T1119" s="12" t="n"/>
      <c r="U1119" s="12" t="n"/>
      <c r="V1119" s="14">
        <f>IF($AN1119="",IF($B1119="","",$H1119),IF(INDEX(職員マスタ!$B$6:$B$405,$AN1119)="",$H1119,INDEX(職員マスタ!$B$6:$B$405,$AN1119)))</f>
        <v/>
      </c>
      <c r="W1119" s="14">
        <f>IF($AN1119="",IF($B1119="","",$R1119),IF(INDEX(職員マスタ!$C$6:$C$405,$AN1119)="",$R1119,INDEX(職員マスタ!$C$6:$C$405,$AN1119)))</f>
        <v/>
      </c>
      <c r="X1119" s="14">
        <f>IF($AO1119="","","R"&amp;$C1119&amp;"."&amp;$D1119)</f>
        <v/>
      </c>
      <c r="Y1119" s="15">
        <f>IF($AN1119="","",IF(INDEX(職員マスタ!$K$6:$K$405,$AN1119)="","",INDEX(職員マスタ!$K$6:$K$405,$AN1119)))</f>
        <v/>
      </c>
      <c r="Z1119" s="14">
        <f>IF(OR($E1119="",$Y1119=""),"",IF($E1119&gt;=$Y1119,"×",IF($E1119&gt;=$Y1119*設定!$C$5,"△","○")))</f>
        <v/>
      </c>
      <c r="AA1119" s="15">
        <f>IF($Z1119="","",IF($Z1119="×",0,IF($Z1119="○",ROUNDDOWN($E1119*設定!$C$4,0),ROUNDDOWN($E1119*ROUND((9*$Y1119-9*$E1119)/(10*$E1119),4),0))))</f>
        <v/>
      </c>
      <c r="AB1119" s="13" t="n"/>
      <c r="AC1119" s="15">
        <f>IF($B1119="","",IF($AB1119&lt;&gt;"",$AB1119,IF($AA1119="","",IF($AA1119&lt;=設定!$C$3,0,$AA1119))))</f>
        <v/>
      </c>
      <c r="AD1119" s="14">
        <f>IF($B1119="","",IF(AND($AE1119&lt;&gt;"",$AG1119="",$AJ1119=""),"保留中",IF($AJ1119&lt;&gt;"",IF(N($AC1119)&gt;0,"支給済","不支給"),IF($AC1119="","要確認",IF($AC1119=0,"不支給","未処理")))))</f>
        <v/>
      </c>
      <c r="AE1119" s="12" t="n"/>
      <c r="AF1119" s="11" t="n"/>
      <c r="AG1119" s="11" t="n"/>
      <c r="AH1119" s="11" t="n"/>
      <c r="AI1119" s="14">
        <f>IF(AND($AD1119="保留中",$AF1119&lt;&gt;""),TODAY()-$AF1119,"")</f>
        <v/>
      </c>
      <c r="AJ1119" s="12" t="n"/>
      <c r="AK1119" s="14">
        <f>IF($B1119="","",IF($AO1119="","対象年月が未入力／","")&amp;IF($B1119="","",IF($AN1119="","職員マスタに未登録の職員番号／",IF($Y1119="","標準報酬月額が未登録／","")&amp;IF(AND($AO1119&lt;&gt;"",OR(AND(INDEX(職員マスタ!$G$6:$G$405,$AN1119)&lt;&gt;"",INDEX(職員マスタ!$G$6:$G$405,$AN1119)&gt;EOMONTH($AO1119,0)),AND(INDEX(職員マスタ!$H$6:$H$405,$AN1119)&lt;&gt;"",INDEX(職員マスタ!$H$6:$H$405,$AN1119)&lt;$AO1119))),"対象月が時短期間外／","")&amp;IF(AND(INDEX(職員マスタ!$F$6:$F$405,$AN1119)&lt;&gt;"",$AO1119&lt;&gt;"",INDEX(職員マスタ!$F$6:$F$405,$AN1119)&lt;$AO1119),"対象月に子が2歳到達済／","")&amp;IF(AND($H1119&lt;&gt;"",INDEX(職員マスタ!$B$6:$B$405,$AN1119)&lt;&gt;"",SUBSTITUTE(SUBSTITUTE($H1119," ","")," ","")&lt;&gt;SUBSTITUTE(SUBSTITUTE(INDEX(職員マスタ!$B$6:$B$405,$AN1119)," ","")," ","")),"氏名がマスタと相違／","")&amp;IF(AND($Q1119&lt;&gt;"",INDEX(職員マスタ!$E$6:$E$405,$AN1119)&lt;&gt;"",$Q1119&lt;&gt;INDEX(職員マスタ!$E$6:$E$405,$AN1119)),"子の生年月日がマスタと相違／","")&amp;IF(AND($L1119&lt;&gt;"",INDEX(職員マスタ!$G$6:$G$405,$AN1119)&lt;&gt;"",$L1119&lt;&gt;INDEX(職員マスタ!$G$6:$G$405,$AN1119)),"時短開始日がマスタと相違／","")&amp;IF(AND($M1119&lt;&gt;"",INDEX(職員マスタ!$H$6:$H$405,$AN1119)&lt;&gt;"",$M1119&lt;&gt;INDEX(職員マスタ!$H$6:$H$405,$AN1119)),"時短終了日がマスタと相違／","")))&amp;IF(AND($B1119&lt;&gt;"",$E1119=""),"報酬額が未入力／","")&amp;IF(N($U1119)&gt;0,"申請書に入力エラーが残っています／","")&amp;IF(AND($B1119&lt;&gt;"",$AO1119&lt;&gt;""),IF(COUNTIFS($B$6:$B$3005,$B1119,$C$6:$C$3005,$C1119,$D$6:$D$3005,$D1119)&gt;1,"同じ月の請求が重複しています／",""),"")&amp;IF(AND(N($E1119)&gt;0,$Z1119&lt;&gt;"",$Z1119&lt;&gt;"×",$AC1119=0,$AB1119=""),"計算額が下限以下のため不支給／",""))</f>
        <v/>
      </c>
      <c r="AL1119" s="12" t="n"/>
      <c r="AM1119" s="14">
        <f>IF($AD1119="保留中",COUNTIF($AD$6:$AD1119,"保留中"),"")</f>
        <v/>
      </c>
      <c r="AN1119" s="14">
        <f>IF($AO1119="","",IF(SUMPRODUCT(MAX((職員マスタ!$A$6:$A$405=$B1119)*(((職員マスタ!$G$6:$G$405="")+(職員マスタ!$G$6:$G$405&lt;=EOMONTH($AO1119,0)))&gt;0)*(((職員マスタ!$H$6:$H$405="")+(職員マスタ!$H$6:$H$405&gt;=$AO1119))&gt;0)*(ROW(職員マスタ!$A$6:$A$405)-5)))&gt;0,SUMPRODUCT(MAX((職員マスタ!$A$6:$A$405=$B1119)*(((職員マスタ!$G$6:$G$405="")+(職員マスタ!$G$6:$G$405&lt;=EOMONTH($AO1119,0)))&gt;0)*(((職員マスタ!$H$6:$H$405="")+(職員マスタ!$H$6:$H$405&gt;=$AO1119))&gt;0)*(ROW(職員マスタ!$A$6:$A$405)-5))),IFERROR(MATCH($B1119,職員マスタ!$A$6:$A$405,0),"")))</f>
        <v/>
      </c>
      <c r="AO1119" s="16">
        <f>IF(OR($B1119="",$C1119="",$D1119=""),"",DATE($C1119+2018,$D1119,1))</f>
        <v/>
      </c>
    </row>
    <row r="1120">
      <c r="A1120" s="11" t="n"/>
      <c r="B1120" s="12" t="n"/>
      <c r="C1120" s="12" t="n"/>
      <c r="D1120" s="12" t="n"/>
      <c r="E1120" s="13" t="n"/>
      <c r="F1120" s="12" t="n"/>
      <c r="G1120" s="13" t="n"/>
      <c r="H1120" s="12" t="n"/>
      <c r="I1120" s="12" t="n"/>
      <c r="J1120" s="12" t="n"/>
      <c r="K1120" s="12" t="n"/>
      <c r="L1120" s="11" t="n"/>
      <c r="M1120" s="11" t="n"/>
      <c r="N1120" s="11" t="n"/>
      <c r="O1120" s="11" t="n"/>
      <c r="P1120" s="12" t="n"/>
      <c r="Q1120" s="11" t="n"/>
      <c r="R1120" s="12" t="n"/>
      <c r="S1120" s="11" t="n"/>
      <c r="T1120" s="12" t="n"/>
      <c r="U1120" s="12" t="n"/>
      <c r="V1120" s="14">
        <f>IF($AN1120="",IF($B1120="","",$H1120),IF(INDEX(職員マスタ!$B$6:$B$405,$AN1120)="",$H1120,INDEX(職員マスタ!$B$6:$B$405,$AN1120)))</f>
        <v/>
      </c>
      <c r="W1120" s="14">
        <f>IF($AN1120="",IF($B1120="","",$R1120),IF(INDEX(職員マスタ!$C$6:$C$405,$AN1120)="",$R1120,INDEX(職員マスタ!$C$6:$C$405,$AN1120)))</f>
        <v/>
      </c>
      <c r="X1120" s="14">
        <f>IF($AO1120="","","R"&amp;$C1120&amp;"."&amp;$D1120)</f>
        <v/>
      </c>
      <c r="Y1120" s="15">
        <f>IF($AN1120="","",IF(INDEX(職員マスタ!$K$6:$K$405,$AN1120)="","",INDEX(職員マスタ!$K$6:$K$405,$AN1120)))</f>
        <v/>
      </c>
      <c r="Z1120" s="14">
        <f>IF(OR($E1120="",$Y1120=""),"",IF($E1120&gt;=$Y1120,"×",IF($E1120&gt;=$Y1120*設定!$C$5,"△","○")))</f>
        <v/>
      </c>
      <c r="AA1120" s="15">
        <f>IF($Z1120="","",IF($Z1120="×",0,IF($Z1120="○",ROUNDDOWN($E1120*設定!$C$4,0),ROUNDDOWN($E1120*ROUND((9*$Y1120-9*$E1120)/(10*$E1120),4),0))))</f>
        <v/>
      </c>
      <c r="AB1120" s="13" t="n"/>
      <c r="AC1120" s="15">
        <f>IF($B1120="","",IF($AB1120&lt;&gt;"",$AB1120,IF($AA1120="","",IF($AA1120&lt;=設定!$C$3,0,$AA1120))))</f>
        <v/>
      </c>
      <c r="AD1120" s="14">
        <f>IF($B1120="","",IF(AND($AE1120&lt;&gt;"",$AG1120="",$AJ1120=""),"保留中",IF($AJ1120&lt;&gt;"",IF(N($AC1120)&gt;0,"支給済","不支給"),IF($AC1120="","要確認",IF($AC1120=0,"不支給","未処理")))))</f>
        <v/>
      </c>
      <c r="AE1120" s="12" t="n"/>
      <c r="AF1120" s="11" t="n"/>
      <c r="AG1120" s="11" t="n"/>
      <c r="AH1120" s="11" t="n"/>
      <c r="AI1120" s="14">
        <f>IF(AND($AD1120="保留中",$AF1120&lt;&gt;""),TODAY()-$AF1120,"")</f>
        <v/>
      </c>
      <c r="AJ1120" s="12" t="n"/>
      <c r="AK1120" s="14">
        <f>IF($B1120="","",IF($AO1120="","対象年月が未入力／","")&amp;IF($B1120="","",IF($AN1120="","職員マスタに未登録の職員番号／",IF($Y1120="","標準報酬月額が未登録／","")&amp;IF(AND($AO1120&lt;&gt;"",OR(AND(INDEX(職員マスタ!$G$6:$G$405,$AN1120)&lt;&gt;"",INDEX(職員マスタ!$G$6:$G$405,$AN1120)&gt;EOMONTH($AO1120,0)),AND(INDEX(職員マスタ!$H$6:$H$405,$AN1120)&lt;&gt;"",INDEX(職員マスタ!$H$6:$H$405,$AN1120)&lt;$AO1120))),"対象月が時短期間外／","")&amp;IF(AND(INDEX(職員マスタ!$F$6:$F$405,$AN1120)&lt;&gt;"",$AO1120&lt;&gt;"",INDEX(職員マスタ!$F$6:$F$405,$AN1120)&lt;$AO1120),"対象月に子が2歳到達済／","")&amp;IF(AND($H1120&lt;&gt;"",INDEX(職員マスタ!$B$6:$B$405,$AN1120)&lt;&gt;"",SUBSTITUTE(SUBSTITUTE($H1120," ","")," ","")&lt;&gt;SUBSTITUTE(SUBSTITUTE(INDEX(職員マスタ!$B$6:$B$405,$AN1120)," ","")," ","")),"氏名がマスタと相違／","")&amp;IF(AND($Q1120&lt;&gt;"",INDEX(職員マスタ!$E$6:$E$405,$AN1120)&lt;&gt;"",$Q1120&lt;&gt;INDEX(職員マスタ!$E$6:$E$405,$AN1120)),"子の生年月日がマスタと相違／","")&amp;IF(AND($L1120&lt;&gt;"",INDEX(職員マスタ!$G$6:$G$405,$AN1120)&lt;&gt;"",$L1120&lt;&gt;INDEX(職員マスタ!$G$6:$G$405,$AN1120)),"時短開始日がマスタと相違／","")&amp;IF(AND($M1120&lt;&gt;"",INDEX(職員マスタ!$H$6:$H$405,$AN1120)&lt;&gt;"",$M1120&lt;&gt;INDEX(職員マスタ!$H$6:$H$405,$AN1120)),"時短終了日がマスタと相違／","")))&amp;IF(AND($B1120&lt;&gt;"",$E1120=""),"報酬額が未入力／","")&amp;IF(N($U1120)&gt;0,"申請書に入力エラーが残っています／","")&amp;IF(AND($B1120&lt;&gt;"",$AO1120&lt;&gt;""),IF(COUNTIFS($B$6:$B$3005,$B1120,$C$6:$C$3005,$C1120,$D$6:$D$3005,$D1120)&gt;1,"同じ月の請求が重複しています／",""),"")&amp;IF(AND(N($E1120)&gt;0,$Z1120&lt;&gt;"",$Z1120&lt;&gt;"×",$AC1120=0,$AB1120=""),"計算額が下限以下のため不支給／",""))</f>
        <v/>
      </c>
      <c r="AL1120" s="12" t="n"/>
      <c r="AM1120" s="14">
        <f>IF($AD1120="保留中",COUNTIF($AD$6:$AD1120,"保留中"),"")</f>
        <v/>
      </c>
      <c r="AN1120" s="14">
        <f>IF($AO1120="","",IF(SUMPRODUCT(MAX((職員マスタ!$A$6:$A$405=$B1120)*(((職員マスタ!$G$6:$G$405="")+(職員マスタ!$G$6:$G$405&lt;=EOMONTH($AO1120,0)))&gt;0)*(((職員マスタ!$H$6:$H$405="")+(職員マスタ!$H$6:$H$405&gt;=$AO1120))&gt;0)*(ROW(職員マスタ!$A$6:$A$405)-5)))&gt;0,SUMPRODUCT(MAX((職員マスタ!$A$6:$A$405=$B1120)*(((職員マスタ!$G$6:$G$405="")+(職員マスタ!$G$6:$G$405&lt;=EOMONTH($AO1120,0)))&gt;0)*(((職員マスタ!$H$6:$H$405="")+(職員マスタ!$H$6:$H$405&gt;=$AO1120))&gt;0)*(ROW(職員マスタ!$A$6:$A$405)-5))),IFERROR(MATCH($B1120,職員マスタ!$A$6:$A$405,0),"")))</f>
        <v/>
      </c>
      <c r="AO1120" s="16">
        <f>IF(OR($B1120="",$C1120="",$D1120=""),"",DATE($C1120+2018,$D1120,1))</f>
        <v/>
      </c>
    </row>
    <row r="1121">
      <c r="A1121" s="11" t="n"/>
      <c r="B1121" s="12" t="n"/>
      <c r="C1121" s="12" t="n"/>
      <c r="D1121" s="12" t="n"/>
      <c r="E1121" s="13" t="n"/>
      <c r="F1121" s="12" t="n"/>
      <c r="G1121" s="13" t="n"/>
      <c r="H1121" s="12" t="n"/>
      <c r="I1121" s="12" t="n"/>
      <c r="J1121" s="12" t="n"/>
      <c r="K1121" s="12" t="n"/>
      <c r="L1121" s="11" t="n"/>
      <c r="M1121" s="11" t="n"/>
      <c r="N1121" s="11" t="n"/>
      <c r="O1121" s="11" t="n"/>
      <c r="P1121" s="12" t="n"/>
      <c r="Q1121" s="11" t="n"/>
      <c r="R1121" s="12" t="n"/>
      <c r="S1121" s="11" t="n"/>
      <c r="T1121" s="12" t="n"/>
      <c r="U1121" s="12" t="n"/>
      <c r="V1121" s="14">
        <f>IF($AN1121="",IF($B1121="","",$H1121),IF(INDEX(職員マスタ!$B$6:$B$405,$AN1121)="",$H1121,INDEX(職員マスタ!$B$6:$B$405,$AN1121)))</f>
        <v/>
      </c>
      <c r="W1121" s="14">
        <f>IF($AN1121="",IF($B1121="","",$R1121),IF(INDEX(職員マスタ!$C$6:$C$405,$AN1121)="",$R1121,INDEX(職員マスタ!$C$6:$C$405,$AN1121)))</f>
        <v/>
      </c>
      <c r="X1121" s="14">
        <f>IF($AO1121="","","R"&amp;$C1121&amp;"."&amp;$D1121)</f>
        <v/>
      </c>
      <c r="Y1121" s="15">
        <f>IF($AN1121="","",IF(INDEX(職員マスタ!$K$6:$K$405,$AN1121)="","",INDEX(職員マスタ!$K$6:$K$405,$AN1121)))</f>
        <v/>
      </c>
      <c r="Z1121" s="14">
        <f>IF(OR($E1121="",$Y1121=""),"",IF($E1121&gt;=$Y1121,"×",IF($E1121&gt;=$Y1121*設定!$C$5,"△","○")))</f>
        <v/>
      </c>
      <c r="AA1121" s="15">
        <f>IF($Z1121="","",IF($Z1121="×",0,IF($Z1121="○",ROUNDDOWN($E1121*設定!$C$4,0),ROUNDDOWN($E1121*ROUND((9*$Y1121-9*$E1121)/(10*$E1121),4),0))))</f>
        <v/>
      </c>
      <c r="AB1121" s="13" t="n"/>
      <c r="AC1121" s="15">
        <f>IF($B1121="","",IF($AB1121&lt;&gt;"",$AB1121,IF($AA1121="","",IF($AA1121&lt;=設定!$C$3,0,$AA1121))))</f>
        <v/>
      </c>
      <c r="AD1121" s="14">
        <f>IF($B1121="","",IF(AND($AE1121&lt;&gt;"",$AG1121="",$AJ1121=""),"保留中",IF($AJ1121&lt;&gt;"",IF(N($AC1121)&gt;0,"支給済","不支給"),IF($AC1121="","要確認",IF($AC1121=0,"不支給","未処理")))))</f>
        <v/>
      </c>
      <c r="AE1121" s="12" t="n"/>
      <c r="AF1121" s="11" t="n"/>
      <c r="AG1121" s="11" t="n"/>
      <c r="AH1121" s="11" t="n"/>
      <c r="AI1121" s="14">
        <f>IF(AND($AD1121="保留中",$AF1121&lt;&gt;""),TODAY()-$AF1121,"")</f>
        <v/>
      </c>
      <c r="AJ1121" s="12" t="n"/>
      <c r="AK1121" s="14">
        <f>IF($B1121="","",IF($AO1121="","対象年月が未入力／","")&amp;IF($B1121="","",IF($AN1121="","職員マスタに未登録の職員番号／",IF($Y1121="","標準報酬月額が未登録／","")&amp;IF(AND($AO1121&lt;&gt;"",OR(AND(INDEX(職員マスタ!$G$6:$G$405,$AN1121)&lt;&gt;"",INDEX(職員マスタ!$G$6:$G$405,$AN1121)&gt;EOMONTH($AO1121,0)),AND(INDEX(職員マスタ!$H$6:$H$405,$AN1121)&lt;&gt;"",INDEX(職員マスタ!$H$6:$H$405,$AN1121)&lt;$AO1121))),"対象月が時短期間外／","")&amp;IF(AND(INDEX(職員マスタ!$F$6:$F$405,$AN1121)&lt;&gt;"",$AO1121&lt;&gt;"",INDEX(職員マスタ!$F$6:$F$405,$AN1121)&lt;$AO1121),"対象月に子が2歳到達済／","")&amp;IF(AND($H1121&lt;&gt;"",INDEX(職員マスタ!$B$6:$B$405,$AN1121)&lt;&gt;"",SUBSTITUTE(SUBSTITUTE($H1121," ","")," ","")&lt;&gt;SUBSTITUTE(SUBSTITUTE(INDEX(職員マスタ!$B$6:$B$405,$AN1121)," ","")," ","")),"氏名がマスタと相違／","")&amp;IF(AND($Q1121&lt;&gt;"",INDEX(職員マスタ!$E$6:$E$405,$AN1121)&lt;&gt;"",$Q1121&lt;&gt;INDEX(職員マスタ!$E$6:$E$405,$AN1121)),"子の生年月日がマスタと相違／","")&amp;IF(AND($L1121&lt;&gt;"",INDEX(職員マスタ!$G$6:$G$405,$AN1121)&lt;&gt;"",$L1121&lt;&gt;INDEX(職員マスタ!$G$6:$G$405,$AN1121)),"時短開始日がマスタと相違／","")&amp;IF(AND($M1121&lt;&gt;"",INDEX(職員マスタ!$H$6:$H$405,$AN1121)&lt;&gt;"",$M1121&lt;&gt;INDEX(職員マスタ!$H$6:$H$405,$AN1121)),"時短終了日がマスタと相違／","")))&amp;IF(AND($B1121&lt;&gt;"",$E1121=""),"報酬額が未入力／","")&amp;IF(N($U1121)&gt;0,"申請書に入力エラーが残っています／","")&amp;IF(AND($B1121&lt;&gt;"",$AO1121&lt;&gt;""),IF(COUNTIFS($B$6:$B$3005,$B1121,$C$6:$C$3005,$C1121,$D$6:$D$3005,$D1121)&gt;1,"同じ月の請求が重複しています／",""),"")&amp;IF(AND(N($E1121)&gt;0,$Z1121&lt;&gt;"",$Z1121&lt;&gt;"×",$AC1121=0,$AB1121=""),"計算額が下限以下のため不支給／",""))</f>
        <v/>
      </c>
      <c r="AL1121" s="12" t="n"/>
      <c r="AM1121" s="14">
        <f>IF($AD1121="保留中",COUNTIF($AD$6:$AD1121,"保留中"),"")</f>
        <v/>
      </c>
      <c r="AN1121" s="14">
        <f>IF($AO1121="","",IF(SUMPRODUCT(MAX((職員マスタ!$A$6:$A$405=$B1121)*(((職員マスタ!$G$6:$G$405="")+(職員マスタ!$G$6:$G$405&lt;=EOMONTH($AO1121,0)))&gt;0)*(((職員マスタ!$H$6:$H$405="")+(職員マスタ!$H$6:$H$405&gt;=$AO1121))&gt;0)*(ROW(職員マスタ!$A$6:$A$405)-5)))&gt;0,SUMPRODUCT(MAX((職員マスタ!$A$6:$A$405=$B1121)*(((職員マスタ!$G$6:$G$405="")+(職員マスタ!$G$6:$G$405&lt;=EOMONTH($AO1121,0)))&gt;0)*(((職員マスタ!$H$6:$H$405="")+(職員マスタ!$H$6:$H$405&gt;=$AO1121))&gt;0)*(ROW(職員マスタ!$A$6:$A$405)-5))),IFERROR(MATCH($B1121,職員マスタ!$A$6:$A$405,0),"")))</f>
        <v/>
      </c>
      <c r="AO1121" s="16">
        <f>IF(OR($B1121="",$C1121="",$D1121=""),"",DATE($C1121+2018,$D1121,1))</f>
        <v/>
      </c>
    </row>
    <row r="1122">
      <c r="A1122" s="11" t="n"/>
      <c r="B1122" s="12" t="n"/>
      <c r="C1122" s="12" t="n"/>
      <c r="D1122" s="12" t="n"/>
      <c r="E1122" s="13" t="n"/>
      <c r="F1122" s="12" t="n"/>
      <c r="G1122" s="13" t="n"/>
      <c r="H1122" s="12" t="n"/>
      <c r="I1122" s="12" t="n"/>
      <c r="J1122" s="12" t="n"/>
      <c r="K1122" s="12" t="n"/>
      <c r="L1122" s="11" t="n"/>
      <c r="M1122" s="11" t="n"/>
      <c r="N1122" s="11" t="n"/>
      <c r="O1122" s="11" t="n"/>
      <c r="P1122" s="12" t="n"/>
      <c r="Q1122" s="11" t="n"/>
      <c r="R1122" s="12" t="n"/>
      <c r="S1122" s="11" t="n"/>
      <c r="T1122" s="12" t="n"/>
      <c r="U1122" s="12" t="n"/>
      <c r="V1122" s="14">
        <f>IF($AN1122="",IF($B1122="","",$H1122),IF(INDEX(職員マスタ!$B$6:$B$405,$AN1122)="",$H1122,INDEX(職員マスタ!$B$6:$B$405,$AN1122)))</f>
        <v/>
      </c>
      <c r="W1122" s="14">
        <f>IF($AN1122="",IF($B1122="","",$R1122),IF(INDEX(職員マスタ!$C$6:$C$405,$AN1122)="",$R1122,INDEX(職員マスタ!$C$6:$C$405,$AN1122)))</f>
        <v/>
      </c>
      <c r="X1122" s="14">
        <f>IF($AO1122="","","R"&amp;$C1122&amp;"."&amp;$D1122)</f>
        <v/>
      </c>
      <c r="Y1122" s="15">
        <f>IF($AN1122="","",IF(INDEX(職員マスタ!$K$6:$K$405,$AN1122)="","",INDEX(職員マスタ!$K$6:$K$405,$AN1122)))</f>
        <v/>
      </c>
      <c r="Z1122" s="14">
        <f>IF(OR($E1122="",$Y1122=""),"",IF($E1122&gt;=$Y1122,"×",IF($E1122&gt;=$Y1122*設定!$C$5,"△","○")))</f>
        <v/>
      </c>
      <c r="AA1122" s="15">
        <f>IF($Z1122="","",IF($Z1122="×",0,IF($Z1122="○",ROUNDDOWN($E1122*設定!$C$4,0),ROUNDDOWN($E1122*ROUND((9*$Y1122-9*$E1122)/(10*$E1122),4),0))))</f>
        <v/>
      </c>
      <c r="AB1122" s="13" t="n"/>
      <c r="AC1122" s="15">
        <f>IF($B1122="","",IF($AB1122&lt;&gt;"",$AB1122,IF($AA1122="","",IF($AA1122&lt;=設定!$C$3,0,$AA1122))))</f>
        <v/>
      </c>
      <c r="AD1122" s="14">
        <f>IF($B1122="","",IF(AND($AE1122&lt;&gt;"",$AG1122="",$AJ1122=""),"保留中",IF($AJ1122&lt;&gt;"",IF(N($AC1122)&gt;0,"支給済","不支給"),IF($AC1122="","要確認",IF($AC1122=0,"不支給","未処理")))))</f>
        <v/>
      </c>
      <c r="AE1122" s="12" t="n"/>
      <c r="AF1122" s="11" t="n"/>
      <c r="AG1122" s="11" t="n"/>
      <c r="AH1122" s="11" t="n"/>
      <c r="AI1122" s="14">
        <f>IF(AND($AD1122="保留中",$AF1122&lt;&gt;""),TODAY()-$AF1122,"")</f>
        <v/>
      </c>
      <c r="AJ1122" s="12" t="n"/>
      <c r="AK1122" s="14">
        <f>IF($B1122="","",IF($AO1122="","対象年月が未入力／","")&amp;IF($B1122="","",IF($AN1122="","職員マスタに未登録の職員番号／",IF($Y1122="","標準報酬月額が未登録／","")&amp;IF(AND($AO1122&lt;&gt;"",OR(AND(INDEX(職員マスタ!$G$6:$G$405,$AN1122)&lt;&gt;"",INDEX(職員マスタ!$G$6:$G$405,$AN1122)&gt;EOMONTH($AO1122,0)),AND(INDEX(職員マスタ!$H$6:$H$405,$AN1122)&lt;&gt;"",INDEX(職員マスタ!$H$6:$H$405,$AN1122)&lt;$AO1122))),"対象月が時短期間外／","")&amp;IF(AND(INDEX(職員マスタ!$F$6:$F$405,$AN1122)&lt;&gt;"",$AO1122&lt;&gt;"",INDEX(職員マスタ!$F$6:$F$405,$AN1122)&lt;$AO1122),"対象月に子が2歳到達済／","")&amp;IF(AND($H1122&lt;&gt;"",INDEX(職員マスタ!$B$6:$B$405,$AN1122)&lt;&gt;"",SUBSTITUTE(SUBSTITUTE($H1122," ","")," ","")&lt;&gt;SUBSTITUTE(SUBSTITUTE(INDEX(職員マスタ!$B$6:$B$405,$AN1122)," ","")," ","")),"氏名がマスタと相違／","")&amp;IF(AND($Q1122&lt;&gt;"",INDEX(職員マスタ!$E$6:$E$405,$AN1122)&lt;&gt;"",$Q1122&lt;&gt;INDEX(職員マスタ!$E$6:$E$405,$AN1122)),"子の生年月日がマスタと相違／","")&amp;IF(AND($L1122&lt;&gt;"",INDEX(職員マスタ!$G$6:$G$405,$AN1122)&lt;&gt;"",$L1122&lt;&gt;INDEX(職員マスタ!$G$6:$G$405,$AN1122)),"時短開始日がマスタと相違／","")&amp;IF(AND($M1122&lt;&gt;"",INDEX(職員マスタ!$H$6:$H$405,$AN1122)&lt;&gt;"",$M1122&lt;&gt;INDEX(職員マスタ!$H$6:$H$405,$AN1122)),"時短終了日がマスタと相違／","")))&amp;IF(AND($B1122&lt;&gt;"",$E1122=""),"報酬額が未入力／","")&amp;IF(N($U1122)&gt;0,"申請書に入力エラーが残っています／","")&amp;IF(AND($B1122&lt;&gt;"",$AO1122&lt;&gt;""),IF(COUNTIFS($B$6:$B$3005,$B1122,$C$6:$C$3005,$C1122,$D$6:$D$3005,$D1122)&gt;1,"同じ月の請求が重複しています／",""),"")&amp;IF(AND(N($E1122)&gt;0,$Z1122&lt;&gt;"",$Z1122&lt;&gt;"×",$AC1122=0,$AB1122=""),"計算額が下限以下のため不支給／",""))</f>
        <v/>
      </c>
      <c r="AL1122" s="12" t="n"/>
      <c r="AM1122" s="14">
        <f>IF($AD1122="保留中",COUNTIF($AD$6:$AD1122,"保留中"),"")</f>
        <v/>
      </c>
      <c r="AN1122" s="14">
        <f>IF($AO1122="","",IF(SUMPRODUCT(MAX((職員マスタ!$A$6:$A$405=$B1122)*(((職員マスタ!$G$6:$G$405="")+(職員マスタ!$G$6:$G$405&lt;=EOMONTH($AO1122,0)))&gt;0)*(((職員マスタ!$H$6:$H$405="")+(職員マスタ!$H$6:$H$405&gt;=$AO1122))&gt;0)*(ROW(職員マスタ!$A$6:$A$405)-5)))&gt;0,SUMPRODUCT(MAX((職員マスタ!$A$6:$A$405=$B1122)*(((職員マスタ!$G$6:$G$405="")+(職員マスタ!$G$6:$G$405&lt;=EOMONTH($AO1122,0)))&gt;0)*(((職員マスタ!$H$6:$H$405="")+(職員マスタ!$H$6:$H$405&gt;=$AO1122))&gt;0)*(ROW(職員マスタ!$A$6:$A$405)-5))),IFERROR(MATCH($B1122,職員マスタ!$A$6:$A$405,0),"")))</f>
        <v/>
      </c>
      <c r="AO1122" s="16">
        <f>IF(OR($B1122="",$C1122="",$D1122=""),"",DATE($C1122+2018,$D1122,1))</f>
        <v/>
      </c>
    </row>
    <row r="1123">
      <c r="A1123" s="11" t="n"/>
      <c r="B1123" s="12" t="n"/>
      <c r="C1123" s="12" t="n"/>
      <c r="D1123" s="12" t="n"/>
      <c r="E1123" s="13" t="n"/>
      <c r="F1123" s="12" t="n"/>
      <c r="G1123" s="13" t="n"/>
      <c r="H1123" s="12" t="n"/>
      <c r="I1123" s="12" t="n"/>
      <c r="J1123" s="12" t="n"/>
      <c r="K1123" s="12" t="n"/>
      <c r="L1123" s="11" t="n"/>
      <c r="M1123" s="11" t="n"/>
      <c r="N1123" s="11" t="n"/>
      <c r="O1123" s="11" t="n"/>
      <c r="P1123" s="12" t="n"/>
      <c r="Q1123" s="11" t="n"/>
      <c r="R1123" s="12" t="n"/>
      <c r="S1123" s="11" t="n"/>
      <c r="T1123" s="12" t="n"/>
      <c r="U1123" s="12" t="n"/>
      <c r="V1123" s="14">
        <f>IF($AN1123="",IF($B1123="","",$H1123),IF(INDEX(職員マスタ!$B$6:$B$405,$AN1123)="",$H1123,INDEX(職員マスタ!$B$6:$B$405,$AN1123)))</f>
        <v/>
      </c>
      <c r="W1123" s="14">
        <f>IF($AN1123="",IF($B1123="","",$R1123),IF(INDEX(職員マスタ!$C$6:$C$405,$AN1123)="",$R1123,INDEX(職員マスタ!$C$6:$C$405,$AN1123)))</f>
        <v/>
      </c>
      <c r="X1123" s="14">
        <f>IF($AO1123="","","R"&amp;$C1123&amp;"."&amp;$D1123)</f>
        <v/>
      </c>
      <c r="Y1123" s="15">
        <f>IF($AN1123="","",IF(INDEX(職員マスタ!$K$6:$K$405,$AN1123)="","",INDEX(職員マスタ!$K$6:$K$405,$AN1123)))</f>
        <v/>
      </c>
      <c r="Z1123" s="14">
        <f>IF(OR($E1123="",$Y1123=""),"",IF($E1123&gt;=$Y1123,"×",IF($E1123&gt;=$Y1123*設定!$C$5,"△","○")))</f>
        <v/>
      </c>
      <c r="AA1123" s="15">
        <f>IF($Z1123="","",IF($Z1123="×",0,IF($Z1123="○",ROUNDDOWN($E1123*設定!$C$4,0),ROUNDDOWN($E1123*ROUND((9*$Y1123-9*$E1123)/(10*$E1123),4),0))))</f>
        <v/>
      </c>
      <c r="AB1123" s="13" t="n"/>
      <c r="AC1123" s="15">
        <f>IF($B1123="","",IF($AB1123&lt;&gt;"",$AB1123,IF($AA1123="","",IF($AA1123&lt;=設定!$C$3,0,$AA1123))))</f>
        <v/>
      </c>
      <c r="AD1123" s="14">
        <f>IF($B1123="","",IF(AND($AE1123&lt;&gt;"",$AG1123="",$AJ1123=""),"保留中",IF($AJ1123&lt;&gt;"",IF(N($AC1123)&gt;0,"支給済","不支給"),IF($AC1123="","要確認",IF($AC1123=0,"不支給","未処理")))))</f>
        <v/>
      </c>
      <c r="AE1123" s="12" t="n"/>
      <c r="AF1123" s="11" t="n"/>
      <c r="AG1123" s="11" t="n"/>
      <c r="AH1123" s="11" t="n"/>
      <c r="AI1123" s="14">
        <f>IF(AND($AD1123="保留中",$AF1123&lt;&gt;""),TODAY()-$AF1123,"")</f>
        <v/>
      </c>
      <c r="AJ1123" s="12" t="n"/>
      <c r="AK1123" s="14">
        <f>IF($B1123="","",IF($AO1123="","対象年月が未入力／","")&amp;IF($B1123="","",IF($AN1123="","職員マスタに未登録の職員番号／",IF($Y1123="","標準報酬月額が未登録／","")&amp;IF(AND($AO1123&lt;&gt;"",OR(AND(INDEX(職員マスタ!$G$6:$G$405,$AN1123)&lt;&gt;"",INDEX(職員マスタ!$G$6:$G$405,$AN1123)&gt;EOMONTH($AO1123,0)),AND(INDEX(職員マスタ!$H$6:$H$405,$AN1123)&lt;&gt;"",INDEX(職員マスタ!$H$6:$H$405,$AN1123)&lt;$AO1123))),"対象月が時短期間外／","")&amp;IF(AND(INDEX(職員マスタ!$F$6:$F$405,$AN1123)&lt;&gt;"",$AO1123&lt;&gt;"",INDEX(職員マスタ!$F$6:$F$405,$AN1123)&lt;$AO1123),"対象月に子が2歳到達済／","")&amp;IF(AND($H1123&lt;&gt;"",INDEX(職員マスタ!$B$6:$B$405,$AN1123)&lt;&gt;"",SUBSTITUTE(SUBSTITUTE($H1123," ","")," ","")&lt;&gt;SUBSTITUTE(SUBSTITUTE(INDEX(職員マスタ!$B$6:$B$405,$AN1123)," ","")," ","")),"氏名がマスタと相違／","")&amp;IF(AND($Q1123&lt;&gt;"",INDEX(職員マスタ!$E$6:$E$405,$AN1123)&lt;&gt;"",$Q1123&lt;&gt;INDEX(職員マスタ!$E$6:$E$405,$AN1123)),"子の生年月日がマスタと相違／","")&amp;IF(AND($L1123&lt;&gt;"",INDEX(職員マスタ!$G$6:$G$405,$AN1123)&lt;&gt;"",$L1123&lt;&gt;INDEX(職員マスタ!$G$6:$G$405,$AN1123)),"時短開始日がマスタと相違／","")&amp;IF(AND($M1123&lt;&gt;"",INDEX(職員マスタ!$H$6:$H$405,$AN1123)&lt;&gt;"",$M1123&lt;&gt;INDEX(職員マスタ!$H$6:$H$405,$AN1123)),"時短終了日がマスタと相違／","")))&amp;IF(AND($B1123&lt;&gt;"",$E1123=""),"報酬額が未入力／","")&amp;IF(N($U1123)&gt;0,"申請書に入力エラーが残っています／","")&amp;IF(AND($B1123&lt;&gt;"",$AO1123&lt;&gt;""),IF(COUNTIFS($B$6:$B$3005,$B1123,$C$6:$C$3005,$C1123,$D$6:$D$3005,$D1123)&gt;1,"同じ月の請求が重複しています／",""),"")&amp;IF(AND(N($E1123)&gt;0,$Z1123&lt;&gt;"",$Z1123&lt;&gt;"×",$AC1123=0,$AB1123=""),"計算額が下限以下のため不支給／",""))</f>
        <v/>
      </c>
      <c r="AL1123" s="12" t="n"/>
      <c r="AM1123" s="14">
        <f>IF($AD1123="保留中",COUNTIF($AD$6:$AD1123,"保留中"),"")</f>
        <v/>
      </c>
      <c r="AN1123" s="14">
        <f>IF($AO1123="","",IF(SUMPRODUCT(MAX((職員マスタ!$A$6:$A$405=$B1123)*(((職員マスタ!$G$6:$G$405="")+(職員マスタ!$G$6:$G$405&lt;=EOMONTH($AO1123,0)))&gt;0)*(((職員マスタ!$H$6:$H$405="")+(職員マスタ!$H$6:$H$405&gt;=$AO1123))&gt;0)*(ROW(職員マスタ!$A$6:$A$405)-5)))&gt;0,SUMPRODUCT(MAX((職員マスタ!$A$6:$A$405=$B1123)*(((職員マスタ!$G$6:$G$405="")+(職員マスタ!$G$6:$G$405&lt;=EOMONTH($AO1123,0)))&gt;0)*(((職員マスタ!$H$6:$H$405="")+(職員マスタ!$H$6:$H$405&gt;=$AO1123))&gt;0)*(ROW(職員マスタ!$A$6:$A$405)-5))),IFERROR(MATCH($B1123,職員マスタ!$A$6:$A$405,0),"")))</f>
        <v/>
      </c>
      <c r="AO1123" s="16">
        <f>IF(OR($B1123="",$C1123="",$D1123=""),"",DATE($C1123+2018,$D1123,1))</f>
        <v/>
      </c>
    </row>
    <row r="1124">
      <c r="A1124" s="11" t="n"/>
      <c r="B1124" s="12" t="n"/>
      <c r="C1124" s="12" t="n"/>
      <c r="D1124" s="12" t="n"/>
      <c r="E1124" s="13" t="n"/>
      <c r="F1124" s="12" t="n"/>
      <c r="G1124" s="13" t="n"/>
      <c r="H1124" s="12" t="n"/>
      <c r="I1124" s="12" t="n"/>
      <c r="J1124" s="12" t="n"/>
      <c r="K1124" s="12" t="n"/>
      <c r="L1124" s="11" t="n"/>
      <c r="M1124" s="11" t="n"/>
      <c r="N1124" s="11" t="n"/>
      <c r="O1124" s="11" t="n"/>
      <c r="P1124" s="12" t="n"/>
      <c r="Q1124" s="11" t="n"/>
      <c r="R1124" s="12" t="n"/>
      <c r="S1124" s="11" t="n"/>
      <c r="T1124" s="12" t="n"/>
      <c r="U1124" s="12" t="n"/>
      <c r="V1124" s="14">
        <f>IF($AN1124="",IF($B1124="","",$H1124),IF(INDEX(職員マスタ!$B$6:$B$405,$AN1124)="",$H1124,INDEX(職員マスタ!$B$6:$B$405,$AN1124)))</f>
        <v/>
      </c>
      <c r="W1124" s="14">
        <f>IF($AN1124="",IF($B1124="","",$R1124),IF(INDEX(職員マスタ!$C$6:$C$405,$AN1124)="",$R1124,INDEX(職員マスタ!$C$6:$C$405,$AN1124)))</f>
        <v/>
      </c>
      <c r="X1124" s="14">
        <f>IF($AO1124="","","R"&amp;$C1124&amp;"."&amp;$D1124)</f>
        <v/>
      </c>
      <c r="Y1124" s="15">
        <f>IF($AN1124="","",IF(INDEX(職員マスタ!$K$6:$K$405,$AN1124)="","",INDEX(職員マスタ!$K$6:$K$405,$AN1124)))</f>
        <v/>
      </c>
      <c r="Z1124" s="14">
        <f>IF(OR($E1124="",$Y1124=""),"",IF($E1124&gt;=$Y1124,"×",IF($E1124&gt;=$Y1124*設定!$C$5,"△","○")))</f>
        <v/>
      </c>
      <c r="AA1124" s="15">
        <f>IF($Z1124="","",IF($Z1124="×",0,IF($Z1124="○",ROUNDDOWN($E1124*設定!$C$4,0),ROUNDDOWN($E1124*ROUND((9*$Y1124-9*$E1124)/(10*$E1124),4),0))))</f>
        <v/>
      </c>
      <c r="AB1124" s="13" t="n"/>
      <c r="AC1124" s="15">
        <f>IF($B1124="","",IF($AB1124&lt;&gt;"",$AB1124,IF($AA1124="","",IF($AA1124&lt;=設定!$C$3,0,$AA1124))))</f>
        <v/>
      </c>
      <c r="AD1124" s="14">
        <f>IF($B1124="","",IF(AND($AE1124&lt;&gt;"",$AG1124="",$AJ1124=""),"保留中",IF($AJ1124&lt;&gt;"",IF(N($AC1124)&gt;0,"支給済","不支給"),IF($AC1124="","要確認",IF($AC1124=0,"不支給","未処理")))))</f>
        <v/>
      </c>
      <c r="AE1124" s="12" t="n"/>
      <c r="AF1124" s="11" t="n"/>
      <c r="AG1124" s="11" t="n"/>
      <c r="AH1124" s="11" t="n"/>
      <c r="AI1124" s="14">
        <f>IF(AND($AD1124="保留中",$AF1124&lt;&gt;""),TODAY()-$AF1124,"")</f>
        <v/>
      </c>
      <c r="AJ1124" s="12" t="n"/>
      <c r="AK1124" s="14">
        <f>IF($B1124="","",IF($AO1124="","対象年月が未入力／","")&amp;IF($B1124="","",IF($AN1124="","職員マスタに未登録の職員番号／",IF($Y1124="","標準報酬月額が未登録／","")&amp;IF(AND($AO1124&lt;&gt;"",OR(AND(INDEX(職員マスタ!$G$6:$G$405,$AN1124)&lt;&gt;"",INDEX(職員マスタ!$G$6:$G$405,$AN1124)&gt;EOMONTH($AO1124,0)),AND(INDEX(職員マスタ!$H$6:$H$405,$AN1124)&lt;&gt;"",INDEX(職員マスタ!$H$6:$H$405,$AN1124)&lt;$AO1124))),"対象月が時短期間外／","")&amp;IF(AND(INDEX(職員マスタ!$F$6:$F$405,$AN1124)&lt;&gt;"",$AO1124&lt;&gt;"",INDEX(職員マスタ!$F$6:$F$405,$AN1124)&lt;$AO1124),"対象月に子が2歳到達済／","")&amp;IF(AND($H1124&lt;&gt;"",INDEX(職員マスタ!$B$6:$B$405,$AN1124)&lt;&gt;"",SUBSTITUTE(SUBSTITUTE($H1124," ","")," ","")&lt;&gt;SUBSTITUTE(SUBSTITUTE(INDEX(職員マスタ!$B$6:$B$405,$AN1124)," ","")," ","")),"氏名がマスタと相違／","")&amp;IF(AND($Q1124&lt;&gt;"",INDEX(職員マスタ!$E$6:$E$405,$AN1124)&lt;&gt;"",$Q1124&lt;&gt;INDEX(職員マスタ!$E$6:$E$405,$AN1124)),"子の生年月日がマスタと相違／","")&amp;IF(AND($L1124&lt;&gt;"",INDEX(職員マスタ!$G$6:$G$405,$AN1124)&lt;&gt;"",$L1124&lt;&gt;INDEX(職員マスタ!$G$6:$G$405,$AN1124)),"時短開始日がマスタと相違／","")&amp;IF(AND($M1124&lt;&gt;"",INDEX(職員マスタ!$H$6:$H$405,$AN1124)&lt;&gt;"",$M1124&lt;&gt;INDEX(職員マスタ!$H$6:$H$405,$AN1124)),"時短終了日がマスタと相違／","")))&amp;IF(AND($B1124&lt;&gt;"",$E1124=""),"報酬額が未入力／","")&amp;IF(N($U1124)&gt;0,"申請書に入力エラーが残っています／","")&amp;IF(AND($B1124&lt;&gt;"",$AO1124&lt;&gt;""),IF(COUNTIFS($B$6:$B$3005,$B1124,$C$6:$C$3005,$C1124,$D$6:$D$3005,$D1124)&gt;1,"同じ月の請求が重複しています／",""),"")&amp;IF(AND(N($E1124)&gt;0,$Z1124&lt;&gt;"",$Z1124&lt;&gt;"×",$AC1124=0,$AB1124=""),"計算額が下限以下のため不支給／",""))</f>
        <v/>
      </c>
      <c r="AL1124" s="12" t="n"/>
      <c r="AM1124" s="14">
        <f>IF($AD1124="保留中",COUNTIF($AD$6:$AD1124,"保留中"),"")</f>
        <v/>
      </c>
      <c r="AN1124" s="14">
        <f>IF($AO1124="","",IF(SUMPRODUCT(MAX((職員マスタ!$A$6:$A$405=$B1124)*(((職員マスタ!$G$6:$G$405="")+(職員マスタ!$G$6:$G$405&lt;=EOMONTH($AO1124,0)))&gt;0)*(((職員マスタ!$H$6:$H$405="")+(職員マスタ!$H$6:$H$405&gt;=$AO1124))&gt;0)*(ROW(職員マスタ!$A$6:$A$405)-5)))&gt;0,SUMPRODUCT(MAX((職員マスタ!$A$6:$A$405=$B1124)*(((職員マスタ!$G$6:$G$405="")+(職員マスタ!$G$6:$G$405&lt;=EOMONTH($AO1124,0)))&gt;0)*(((職員マスタ!$H$6:$H$405="")+(職員マスタ!$H$6:$H$405&gt;=$AO1124))&gt;0)*(ROW(職員マスタ!$A$6:$A$405)-5))),IFERROR(MATCH($B1124,職員マスタ!$A$6:$A$405,0),"")))</f>
        <v/>
      </c>
      <c r="AO1124" s="16">
        <f>IF(OR($B1124="",$C1124="",$D1124=""),"",DATE($C1124+2018,$D1124,1))</f>
        <v/>
      </c>
    </row>
    <row r="1125">
      <c r="A1125" s="11" t="n"/>
      <c r="B1125" s="12" t="n"/>
      <c r="C1125" s="12" t="n"/>
      <c r="D1125" s="12" t="n"/>
      <c r="E1125" s="13" t="n"/>
      <c r="F1125" s="12" t="n"/>
      <c r="G1125" s="13" t="n"/>
      <c r="H1125" s="12" t="n"/>
      <c r="I1125" s="12" t="n"/>
      <c r="J1125" s="12" t="n"/>
      <c r="K1125" s="12" t="n"/>
      <c r="L1125" s="11" t="n"/>
      <c r="M1125" s="11" t="n"/>
      <c r="N1125" s="11" t="n"/>
      <c r="O1125" s="11" t="n"/>
      <c r="P1125" s="12" t="n"/>
      <c r="Q1125" s="11" t="n"/>
      <c r="R1125" s="12" t="n"/>
      <c r="S1125" s="11" t="n"/>
      <c r="T1125" s="12" t="n"/>
      <c r="U1125" s="12" t="n"/>
      <c r="V1125" s="14">
        <f>IF($AN1125="",IF($B1125="","",$H1125),IF(INDEX(職員マスタ!$B$6:$B$405,$AN1125)="",$H1125,INDEX(職員マスタ!$B$6:$B$405,$AN1125)))</f>
        <v/>
      </c>
      <c r="W1125" s="14">
        <f>IF($AN1125="",IF($B1125="","",$R1125),IF(INDEX(職員マスタ!$C$6:$C$405,$AN1125)="",$R1125,INDEX(職員マスタ!$C$6:$C$405,$AN1125)))</f>
        <v/>
      </c>
      <c r="X1125" s="14">
        <f>IF($AO1125="","","R"&amp;$C1125&amp;"."&amp;$D1125)</f>
        <v/>
      </c>
      <c r="Y1125" s="15">
        <f>IF($AN1125="","",IF(INDEX(職員マスタ!$K$6:$K$405,$AN1125)="","",INDEX(職員マスタ!$K$6:$K$405,$AN1125)))</f>
        <v/>
      </c>
      <c r="Z1125" s="14">
        <f>IF(OR($E1125="",$Y1125=""),"",IF($E1125&gt;=$Y1125,"×",IF($E1125&gt;=$Y1125*設定!$C$5,"△","○")))</f>
        <v/>
      </c>
      <c r="AA1125" s="15">
        <f>IF($Z1125="","",IF($Z1125="×",0,IF($Z1125="○",ROUNDDOWN($E1125*設定!$C$4,0),ROUNDDOWN($E1125*ROUND((9*$Y1125-9*$E1125)/(10*$E1125),4),0))))</f>
        <v/>
      </c>
      <c r="AB1125" s="13" t="n"/>
      <c r="AC1125" s="15">
        <f>IF($B1125="","",IF($AB1125&lt;&gt;"",$AB1125,IF($AA1125="","",IF($AA1125&lt;=設定!$C$3,0,$AA1125))))</f>
        <v/>
      </c>
      <c r="AD1125" s="14">
        <f>IF($B1125="","",IF(AND($AE1125&lt;&gt;"",$AG1125="",$AJ1125=""),"保留中",IF($AJ1125&lt;&gt;"",IF(N($AC1125)&gt;0,"支給済","不支給"),IF($AC1125="","要確認",IF($AC1125=0,"不支給","未処理")))))</f>
        <v/>
      </c>
      <c r="AE1125" s="12" t="n"/>
      <c r="AF1125" s="11" t="n"/>
      <c r="AG1125" s="11" t="n"/>
      <c r="AH1125" s="11" t="n"/>
      <c r="AI1125" s="14">
        <f>IF(AND($AD1125="保留中",$AF1125&lt;&gt;""),TODAY()-$AF1125,"")</f>
        <v/>
      </c>
      <c r="AJ1125" s="12" t="n"/>
      <c r="AK1125" s="14">
        <f>IF($B1125="","",IF($AO1125="","対象年月が未入力／","")&amp;IF($B1125="","",IF($AN1125="","職員マスタに未登録の職員番号／",IF($Y1125="","標準報酬月額が未登録／","")&amp;IF(AND($AO1125&lt;&gt;"",OR(AND(INDEX(職員マスタ!$G$6:$G$405,$AN1125)&lt;&gt;"",INDEX(職員マスタ!$G$6:$G$405,$AN1125)&gt;EOMONTH($AO1125,0)),AND(INDEX(職員マスタ!$H$6:$H$405,$AN1125)&lt;&gt;"",INDEX(職員マスタ!$H$6:$H$405,$AN1125)&lt;$AO1125))),"対象月が時短期間外／","")&amp;IF(AND(INDEX(職員マスタ!$F$6:$F$405,$AN1125)&lt;&gt;"",$AO1125&lt;&gt;"",INDEX(職員マスタ!$F$6:$F$405,$AN1125)&lt;$AO1125),"対象月に子が2歳到達済／","")&amp;IF(AND($H1125&lt;&gt;"",INDEX(職員マスタ!$B$6:$B$405,$AN1125)&lt;&gt;"",SUBSTITUTE(SUBSTITUTE($H1125," ","")," ","")&lt;&gt;SUBSTITUTE(SUBSTITUTE(INDEX(職員マスタ!$B$6:$B$405,$AN1125)," ","")," ","")),"氏名がマスタと相違／","")&amp;IF(AND($Q1125&lt;&gt;"",INDEX(職員マスタ!$E$6:$E$405,$AN1125)&lt;&gt;"",$Q1125&lt;&gt;INDEX(職員マスタ!$E$6:$E$405,$AN1125)),"子の生年月日がマスタと相違／","")&amp;IF(AND($L1125&lt;&gt;"",INDEX(職員マスタ!$G$6:$G$405,$AN1125)&lt;&gt;"",$L1125&lt;&gt;INDEX(職員マスタ!$G$6:$G$405,$AN1125)),"時短開始日がマスタと相違／","")&amp;IF(AND($M1125&lt;&gt;"",INDEX(職員マスタ!$H$6:$H$405,$AN1125)&lt;&gt;"",$M1125&lt;&gt;INDEX(職員マスタ!$H$6:$H$405,$AN1125)),"時短終了日がマスタと相違／","")))&amp;IF(AND($B1125&lt;&gt;"",$E1125=""),"報酬額が未入力／","")&amp;IF(N($U1125)&gt;0,"申請書に入力エラーが残っています／","")&amp;IF(AND($B1125&lt;&gt;"",$AO1125&lt;&gt;""),IF(COUNTIFS($B$6:$B$3005,$B1125,$C$6:$C$3005,$C1125,$D$6:$D$3005,$D1125)&gt;1,"同じ月の請求が重複しています／",""),"")&amp;IF(AND(N($E1125)&gt;0,$Z1125&lt;&gt;"",$Z1125&lt;&gt;"×",$AC1125=0,$AB1125=""),"計算額が下限以下のため不支給／",""))</f>
        <v/>
      </c>
      <c r="AL1125" s="12" t="n"/>
      <c r="AM1125" s="14">
        <f>IF($AD1125="保留中",COUNTIF($AD$6:$AD1125,"保留中"),"")</f>
        <v/>
      </c>
      <c r="AN1125" s="14">
        <f>IF($AO1125="","",IF(SUMPRODUCT(MAX((職員マスタ!$A$6:$A$405=$B1125)*(((職員マスタ!$G$6:$G$405="")+(職員マスタ!$G$6:$G$405&lt;=EOMONTH($AO1125,0)))&gt;0)*(((職員マスタ!$H$6:$H$405="")+(職員マスタ!$H$6:$H$405&gt;=$AO1125))&gt;0)*(ROW(職員マスタ!$A$6:$A$405)-5)))&gt;0,SUMPRODUCT(MAX((職員マスタ!$A$6:$A$405=$B1125)*(((職員マスタ!$G$6:$G$405="")+(職員マスタ!$G$6:$G$405&lt;=EOMONTH($AO1125,0)))&gt;0)*(((職員マスタ!$H$6:$H$405="")+(職員マスタ!$H$6:$H$405&gt;=$AO1125))&gt;0)*(ROW(職員マスタ!$A$6:$A$405)-5))),IFERROR(MATCH($B1125,職員マスタ!$A$6:$A$405,0),"")))</f>
        <v/>
      </c>
      <c r="AO1125" s="16">
        <f>IF(OR($B1125="",$C1125="",$D1125=""),"",DATE($C1125+2018,$D1125,1))</f>
        <v/>
      </c>
    </row>
    <row r="1126">
      <c r="A1126" s="11" t="n"/>
      <c r="B1126" s="12" t="n"/>
      <c r="C1126" s="12" t="n"/>
      <c r="D1126" s="12" t="n"/>
      <c r="E1126" s="13" t="n"/>
      <c r="F1126" s="12" t="n"/>
      <c r="G1126" s="13" t="n"/>
      <c r="H1126" s="12" t="n"/>
      <c r="I1126" s="12" t="n"/>
      <c r="J1126" s="12" t="n"/>
      <c r="K1126" s="12" t="n"/>
      <c r="L1126" s="11" t="n"/>
      <c r="M1126" s="11" t="n"/>
      <c r="N1126" s="11" t="n"/>
      <c r="O1126" s="11" t="n"/>
      <c r="P1126" s="12" t="n"/>
      <c r="Q1126" s="11" t="n"/>
      <c r="R1126" s="12" t="n"/>
      <c r="S1126" s="11" t="n"/>
      <c r="T1126" s="12" t="n"/>
      <c r="U1126" s="12" t="n"/>
      <c r="V1126" s="14">
        <f>IF($AN1126="",IF($B1126="","",$H1126),IF(INDEX(職員マスタ!$B$6:$B$405,$AN1126)="",$H1126,INDEX(職員マスタ!$B$6:$B$405,$AN1126)))</f>
        <v/>
      </c>
      <c r="W1126" s="14">
        <f>IF($AN1126="",IF($B1126="","",$R1126),IF(INDEX(職員マスタ!$C$6:$C$405,$AN1126)="",$R1126,INDEX(職員マスタ!$C$6:$C$405,$AN1126)))</f>
        <v/>
      </c>
      <c r="X1126" s="14">
        <f>IF($AO1126="","","R"&amp;$C1126&amp;"."&amp;$D1126)</f>
        <v/>
      </c>
      <c r="Y1126" s="15">
        <f>IF($AN1126="","",IF(INDEX(職員マスタ!$K$6:$K$405,$AN1126)="","",INDEX(職員マスタ!$K$6:$K$405,$AN1126)))</f>
        <v/>
      </c>
      <c r="Z1126" s="14">
        <f>IF(OR($E1126="",$Y1126=""),"",IF($E1126&gt;=$Y1126,"×",IF($E1126&gt;=$Y1126*設定!$C$5,"△","○")))</f>
        <v/>
      </c>
      <c r="AA1126" s="15">
        <f>IF($Z1126="","",IF($Z1126="×",0,IF($Z1126="○",ROUNDDOWN($E1126*設定!$C$4,0),ROUNDDOWN($E1126*ROUND((9*$Y1126-9*$E1126)/(10*$E1126),4),0))))</f>
        <v/>
      </c>
      <c r="AB1126" s="13" t="n"/>
      <c r="AC1126" s="15">
        <f>IF($B1126="","",IF($AB1126&lt;&gt;"",$AB1126,IF($AA1126="","",IF($AA1126&lt;=設定!$C$3,0,$AA1126))))</f>
        <v/>
      </c>
      <c r="AD1126" s="14">
        <f>IF($B1126="","",IF(AND($AE1126&lt;&gt;"",$AG1126="",$AJ1126=""),"保留中",IF($AJ1126&lt;&gt;"",IF(N($AC1126)&gt;0,"支給済","不支給"),IF($AC1126="","要確認",IF($AC1126=0,"不支給","未処理")))))</f>
        <v/>
      </c>
      <c r="AE1126" s="12" t="n"/>
      <c r="AF1126" s="11" t="n"/>
      <c r="AG1126" s="11" t="n"/>
      <c r="AH1126" s="11" t="n"/>
      <c r="AI1126" s="14">
        <f>IF(AND($AD1126="保留中",$AF1126&lt;&gt;""),TODAY()-$AF1126,"")</f>
        <v/>
      </c>
      <c r="AJ1126" s="12" t="n"/>
      <c r="AK1126" s="14">
        <f>IF($B1126="","",IF($AO1126="","対象年月が未入力／","")&amp;IF($B1126="","",IF($AN1126="","職員マスタに未登録の職員番号／",IF($Y1126="","標準報酬月額が未登録／","")&amp;IF(AND($AO1126&lt;&gt;"",OR(AND(INDEX(職員マスタ!$G$6:$G$405,$AN1126)&lt;&gt;"",INDEX(職員マスタ!$G$6:$G$405,$AN1126)&gt;EOMONTH($AO1126,0)),AND(INDEX(職員マスタ!$H$6:$H$405,$AN1126)&lt;&gt;"",INDEX(職員マスタ!$H$6:$H$405,$AN1126)&lt;$AO1126))),"対象月が時短期間外／","")&amp;IF(AND(INDEX(職員マスタ!$F$6:$F$405,$AN1126)&lt;&gt;"",$AO1126&lt;&gt;"",INDEX(職員マスタ!$F$6:$F$405,$AN1126)&lt;$AO1126),"対象月に子が2歳到達済／","")&amp;IF(AND($H1126&lt;&gt;"",INDEX(職員マスタ!$B$6:$B$405,$AN1126)&lt;&gt;"",SUBSTITUTE(SUBSTITUTE($H1126," ","")," ","")&lt;&gt;SUBSTITUTE(SUBSTITUTE(INDEX(職員マスタ!$B$6:$B$405,$AN1126)," ","")," ","")),"氏名がマスタと相違／","")&amp;IF(AND($Q1126&lt;&gt;"",INDEX(職員マスタ!$E$6:$E$405,$AN1126)&lt;&gt;"",$Q1126&lt;&gt;INDEX(職員マスタ!$E$6:$E$405,$AN1126)),"子の生年月日がマスタと相違／","")&amp;IF(AND($L1126&lt;&gt;"",INDEX(職員マスタ!$G$6:$G$405,$AN1126)&lt;&gt;"",$L1126&lt;&gt;INDEX(職員マスタ!$G$6:$G$405,$AN1126)),"時短開始日がマスタと相違／","")&amp;IF(AND($M1126&lt;&gt;"",INDEX(職員マスタ!$H$6:$H$405,$AN1126)&lt;&gt;"",$M1126&lt;&gt;INDEX(職員マスタ!$H$6:$H$405,$AN1126)),"時短終了日がマスタと相違／","")))&amp;IF(AND($B1126&lt;&gt;"",$E1126=""),"報酬額が未入力／","")&amp;IF(N($U1126)&gt;0,"申請書に入力エラーが残っています／","")&amp;IF(AND($B1126&lt;&gt;"",$AO1126&lt;&gt;""),IF(COUNTIFS($B$6:$B$3005,$B1126,$C$6:$C$3005,$C1126,$D$6:$D$3005,$D1126)&gt;1,"同じ月の請求が重複しています／",""),"")&amp;IF(AND(N($E1126)&gt;0,$Z1126&lt;&gt;"",$Z1126&lt;&gt;"×",$AC1126=0,$AB1126=""),"計算額が下限以下のため不支給／",""))</f>
        <v/>
      </c>
      <c r="AL1126" s="12" t="n"/>
      <c r="AM1126" s="14">
        <f>IF($AD1126="保留中",COUNTIF($AD$6:$AD1126,"保留中"),"")</f>
        <v/>
      </c>
      <c r="AN1126" s="14">
        <f>IF($AO1126="","",IF(SUMPRODUCT(MAX((職員マスタ!$A$6:$A$405=$B1126)*(((職員マスタ!$G$6:$G$405="")+(職員マスタ!$G$6:$G$405&lt;=EOMONTH($AO1126,0)))&gt;0)*(((職員マスタ!$H$6:$H$405="")+(職員マスタ!$H$6:$H$405&gt;=$AO1126))&gt;0)*(ROW(職員マスタ!$A$6:$A$405)-5)))&gt;0,SUMPRODUCT(MAX((職員マスタ!$A$6:$A$405=$B1126)*(((職員マスタ!$G$6:$G$405="")+(職員マスタ!$G$6:$G$405&lt;=EOMONTH($AO1126,0)))&gt;0)*(((職員マスタ!$H$6:$H$405="")+(職員マスタ!$H$6:$H$405&gt;=$AO1126))&gt;0)*(ROW(職員マスタ!$A$6:$A$405)-5))),IFERROR(MATCH($B1126,職員マスタ!$A$6:$A$405,0),"")))</f>
        <v/>
      </c>
      <c r="AO1126" s="16">
        <f>IF(OR($B1126="",$C1126="",$D1126=""),"",DATE($C1126+2018,$D1126,1))</f>
        <v/>
      </c>
    </row>
    <row r="1127">
      <c r="A1127" s="11" t="n"/>
      <c r="B1127" s="12" t="n"/>
      <c r="C1127" s="12" t="n"/>
      <c r="D1127" s="12" t="n"/>
      <c r="E1127" s="13" t="n"/>
      <c r="F1127" s="12" t="n"/>
      <c r="G1127" s="13" t="n"/>
      <c r="H1127" s="12" t="n"/>
      <c r="I1127" s="12" t="n"/>
      <c r="J1127" s="12" t="n"/>
      <c r="K1127" s="12" t="n"/>
      <c r="L1127" s="11" t="n"/>
      <c r="M1127" s="11" t="n"/>
      <c r="N1127" s="11" t="n"/>
      <c r="O1127" s="11" t="n"/>
      <c r="P1127" s="12" t="n"/>
      <c r="Q1127" s="11" t="n"/>
      <c r="R1127" s="12" t="n"/>
      <c r="S1127" s="11" t="n"/>
      <c r="T1127" s="12" t="n"/>
      <c r="U1127" s="12" t="n"/>
      <c r="V1127" s="14">
        <f>IF($AN1127="",IF($B1127="","",$H1127),IF(INDEX(職員マスタ!$B$6:$B$405,$AN1127)="",$H1127,INDEX(職員マスタ!$B$6:$B$405,$AN1127)))</f>
        <v/>
      </c>
      <c r="W1127" s="14">
        <f>IF($AN1127="",IF($B1127="","",$R1127),IF(INDEX(職員マスタ!$C$6:$C$405,$AN1127)="",$R1127,INDEX(職員マスタ!$C$6:$C$405,$AN1127)))</f>
        <v/>
      </c>
      <c r="X1127" s="14">
        <f>IF($AO1127="","","R"&amp;$C1127&amp;"."&amp;$D1127)</f>
        <v/>
      </c>
      <c r="Y1127" s="15">
        <f>IF($AN1127="","",IF(INDEX(職員マスタ!$K$6:$K$405,$AN1127)="","",INDEX(職員マスタ!$K$6:$K$405,$AN1127)))</f>
        <v/>
      </c>
      <c r="Z1127" s="14">
        <f>IF(OR($E1127="",$Y1127=""),"",IF($E1127&gt;=$Y1127,"×",IF($E1127&gt;=$Y1127*設定!$C$5,"△","○")))</f>
        <v/>
      </c>
      <c r="AA1127" s="15">
        <f>IF($Z1127="","",IF($Z1127="×",0,IF($Z1127="○",ROUNDDOWN($E1127*設定!$C$4,0),ROUNDDOWN($E1127*ROUND((9*$Y1127-9*$E1127)/(10*$E1127),4),0))))</f>
        <v/>
      </c>
      <c r="AB1127" s="13" t="n"/>
      <c r="AC1127" s="15">
        <f>IF($B1127="","",IF($AB1127&lt;&gt;"",$AB1127,IF($AA1127="","",IF($AA1127&lt;=設定!$C$3,0,$AA1127))))</f>
        <v/>
      </c>
      <c r="AD1127" s="14">
        <f>IF($B1127="","",IF(AND($AE1127&lt;&gt;"",$AG1127="",$AJ1127=""),"保留中",IF($AJ1127&lt;&gt;"",IF(N($AC1127)&gt;0,"支給済","不支給"),IF($AC1127="","要確認",IF($AC1127=0,"不支給","未処理")))))</f>
        <v/>
      </c>
      <c r="AE1127" s="12" t="n"/>
      <c r="AF1127" s="11" t="n"/>
      <c r="AG1127" s="11" t="n"/>
      <c r="AH1127" s="11" t="n"/>
      <c r="AI1127" s="14">
        <f>IF(AND($AD1127="保留中",$AF1127&lt;&gt;""),TODAY()-$AF1127,"")</f>
        <v/>
      </c>
      <c r="AJ1127" s="12" t="n"/>
      <c r="AK1127" s="14">
        <f>IF($B1127="","",IF($AO1127="","対象年月が未入力／","")&amp;IF($B1127="","",IF($AN1127="","職員マスタに未登録の職員番号／",IF($Y1127="","標準報酬月額が未登録／","")&amp;IF(AND($AO1127&lt;&gt;"",OR(AND(INDEX(職員マスタ!$G$6:$G$405,$AN1127)&lt;&gt;"",INDEX(職員マスタ!$G$6:$G$405,$AN1127)&gt;EOMONTH($AO1127,0)),AND(INDEX(職員マスタ!$H$6:$H$405,$AN1127)&lt;&gt;"",INDEX(職員マスタ!$H$6:$H$405,$AN1127)&lt;$AO1127))),"対象月が時短期間外／","")&amp;IF(AND(INDEX(職員マスタ!$F$6:$F$405,$AN1127)&lt;&gt;"",$AO1127&lt;&gt;"",INDEX(職員マスタ!$F$6:$F$405,$AN1127)&lt;$AO1127),"対象月に子が2歳到達済／","")&amp;IF(AND($H1127&lt;&gt;"",INDEX(職員マスタ!$B$6:$B$405,$AN1127)&lt;&gt;"",SUBSTITUTE(SUBSTITUTE($H1127," ","")," ","")&lt;&gt;SUBSTITUTE(SUBSTITUTE(INDEX(職員マスタ!$B$6:$B$405,$AN1127)," ","")," ","")),"氏名がマスタと相違／","")&amp;IF(AND($Q1127&lt;&gt;"",INDEX(職員マスタ!$E$6:$E$405,$AN1127)&lt;&gt;"",$Q1127&lt;&gt;INDEX(職員マスタ!$E$6:$E$405,$AN1127)),"子の生年月日がマスタと相違／","")&amp;IF(AND($L1127&lt;&gt;"",INDEX(職員マスタ!$G$6:$G$405,$AN1127)&lt;&gt;"",$L1127&lt;&gt;INDEX(職員マスタ!$G$6:$G$405,$AN1127)),"時短開始日がマスタと相違／","")&amp;IF(AND($M1127&lt;&gt;"",INDEX(職員マスタ!$H$6:$H$405,$AN1127)&lt;&gt;"",$M1127&lt;&gt;INDEX(職員マスタ!$H$6:$H$405,$AN1127)),"時短終了日がマスタと相違／","")))&amp;IF(AND($B1127&lt;&gt;"",$E1127=""),"報酬額が未入力／","")&amp;IF(N($U1127)&gt;0,"申請書に入力エラーが残っています／","")&amp;IF(AND($B1127&lt;&gt;"",$AO1127&lt;&gt;""),IF(COUNTIFS($B$6:$B$3005,$B1127,$C$6:$C$3005,$C1127,$D$6:$D$3005,$D1127)&gt;1,"同じ月の請求が重複しています／",""),"")&amp;IF(AND(N($E1127)&gt;0,$Z1127&lt;&gt;"",$Z1127&lt;&gt;"×",$AC1127=0,$AB1127=""),"計算額が下限以下のため不支給／",""))</f>
        <v/>
      </c>
      <c r="AL1127" s="12" t="n"/>
      <c r="AM1127" s="14">
        <f>IF($AD1127="保留中",COUNTIF($AD$6:$AD1127,"保留中"),"")</f>
        <v/>
      </c>
      <c r="AN1127" s="14">
        <f>IF($AO1127="","",IF(SUMPRODUCT(MAX((職員マスタ!$A$6:$A$405=$B1127)*(((職員マスタ!$G$6:$G$405="")+(職員マスタ!$G$6:$G$405&lt;=EOMONTH($AO1127,0)))&gt;0)*(((職員マスタ!$H$6:$H$405="")+(職員マスタ!$H$6:$H$405&gt;=$AO1127))&gt;0)*(ROW(職員マスタ!$A$6:$A$405)-5)))&gt;0,SUMPRODUCT(MAX((職員マスタ!$A$6:$A$405=$B1127)*(((職員マスタ!$G$6:$G$405="")+(職員マスタ!$G$6:$G$405&lt;=EOMONTH($AO1127,0)))&gt;0)*(((職員マスタ!$H$6:$H$405="")+(職員マスタ!$H$6:$H$405&gt;=$AO1127))&gt;0)*(ROW(職員マスタ!$A$6:$A$405)-5))),IFERROR(MATCH($B1127,職員マスタ!$A$6:$A$405,0),"")))</f>
        <v/>
      </c>
      <c r="AO1127" s="16">
        <f>IF(OR($B1127="",$C1127="",$D1127=""),"",DATE($C1127+2018,$D1127,1))</f>
        <v/>
      </c>
    </row>
    <row r="1128">
      <c r="A1128" s="11" t="n"/>
      <c r="B1128" s="12" t="n"/>
      <c r="C1128" s="12" t="n"/>
      <c r="D1128" s="12" t="n"/>
      <c r="E1128" s="13" t="n"/>
      <c r="F1128" s="12" t="n"/>
      <c r="G1128" s="13" t="n"/>
      <c r="H1128" s="12" t="n"/>
      <c r="I1128" s="12" t="n"/>
      <c r="J1128" s="12" t="n"/>
      <c r="K1128" s="12" t="n"/>
      <c r="L1128" s="11" t="n"/>
      <c r="M1128" s="11" t="n"/>
      <c r="N1128" s="11" t="n"/>
      <c r="O1128" s="11" t="n"/>
      <c r="P1128" s="12" t="n"/>
      <c r="Q1128" s="11" t="n"/>
      <c r="R1128" s="12" t="n"/>
      <c r="S1128" s="11" t="n"/>
      <c r="T1128" s="12" t="n"/>
      <c r="U1128" s="12" t="n"/>
      <c r="V1128" s="14">
        <f>IF($AN1128="",IF($B1128="","",$H1128),IF(INDEX(職員マスタ!$B$6:$B$405,$AN1128)="",$H1128,INDEX(職員マスタ!$B$6:$B$405,$AN1128)))</f>
        <v/>
      </c>
      <c r="W1128" s="14">
        <f>IF($AN1128="",IF($B1128="","",$R1128),IF(INDEX(職員マスタ!$C$6:$C$405,$AN1128)="",$R1128,INDEX(職員マスタ!$C$6:$C$405,$AN1128)))</f>
        <v/>
      </c>
      <c r="X1128" s="14">
        <f>IF($AO1128="","","R"&amp;$C1128&amp;"."&amp;$D1128)</f>
        <v/>
      </c>
      <c r="Y1128" s="15">
        <f>IF($AN1128="","",IF(INDEX(職員マスタ!$K$6:$K$405,$AN1128)="","",INDEX(職員マスタ!$K$6:$K$405,$AN1128)))</f>
        <v/>
      </c>
      <c r="Z1128" s="14">
        <f>IF(OR($E1128="",$Y1128=""),"",IF($E1128&gt;=$Y1128,"×",IF($E1128&gt;=$Y1128*設定!$C$5,"△","○")))</f>
        <v/>
      </c>
      <c r="AA1128" s="15">
        <f>IF($Z1128="","",IF($Z1128="×",0,IF($Z1128="○",ROUNDDOWN($E1128*設定!$C$4,0),ROUNDDOWN($E1128*ROUND((9*$Y1128-9*$E1128)/(10*$E1128),4),0))))</f>
        <v/>
      </c>
      <c r="AB1128" s="13" t="n"/>
      <c r="AC1128" s="15">
        <f>IF($B1128="","",IF($AB1128&lt;&gt;"",$AB1128,IF($AA1128="","",IF($AA1128&lt;=設定!$C$3,0,$AA1128))))</f>
        <v/>
      </c>
      <c r="AD1128" s="14">
        <f>IF($B1128="","",IF(AND($AE1128&lt;&gt;"",$AG1128="",$AJ1128=""),"保留中",IF($AJ1128&lt;&gt;"",IF(N($AC1128)&gt;0,"支給済","不支給"),IF($AC1128="","要確認",IF($AC1128=0,"不支給","未処理")))))</f>
        <v/>
      </c>
      <c r="AE1128" s="12" t="n"/>
      <c r="AF1128" s="11" t="n"/>
      <c r="AG1128" s="11" t="n"/>
      <c r="AH1128" s="11" t="n"/>
      <c r="AI1128" s="14">
        <f>IF(AND($AD1128="保留中",$AF1128&lt;&gt;""),TODAY()-$AF1128,"")</f>
        <v/>
      </c>
      <c r="AJ1128" s="12" t="n"/>
      <c r="AK1128" s="14">
        <f>IF($B1128="","",IF($AO1128="","対象年月が未入力／","")&amp;IF($B1128="","",IF($AN1128="","職員マスタに未登録の職員番号／",IF($Y1128="","標準報酬月額が未登録／","")&amp;IF(AND($AO1128&lt;&gt;"",OR(AND(INDEX(職員マスタ!$G$6:$G$405,$AN1128)&lt;&gt;"",INDEX(職員マスタ!$G$6:$G$405,$AN1128)&gt;EOMONTH($AO1128,0)),AND(INDEX(職員マスタ!$H$6:$H$405,$AN1128)&lt;&gt;"",INDEX(職員マスタ!$H$6:$H$405,$AN1128)&lt;$AO1128))),"対象月が時短期間外／","")&amp;IF(AND(INDEX(職員マスタ!$F$6:$F$405,$AN1128)&lt;&gt;"",$AO1128&lt;&gt;"",INDEX(職員マスタ!$F$6:$F$405,$AN1128)&lt;$AO1128),"対象月に子が2歳到達済／","")&amp;IF(AND($H1128&lt;&gt;"",INDEX(職員マスタ!$B$6:$B$405,$AN1128)&lt;&gt;"",SUBSTITUTE(SUBSTITUTE($H1128," ","")," ","")&lt;&gt;SUBSTITUTE(SUBSTITUTE(INDEX(職員マスタ!$B$6:$B$405,$AN1128)," ","")," ","")),"氏名がマスタと相違／","")&amp;IF(AND($Q1128&lt;&gt;"",INDEX(職員マスタ!$E$6:$E$405,$AN1128)&lt;&gt;"",$Q1128&lt;&gt;INDEX(職員マスタ!$E$6:$E$405,$AN1128)),"子の生年月日がマスタと相違／","")&amp;IF(AND($L1128&lt;&gt;"",INDEX(職員マスタ!$G$6:$G$405,$AN1128)&lt;&gt;"",$L1128&lt;&gt;INDEX(職員マスタ!$G$6:$G$405,$AN1128)),"時短開始日がマスタと相違／","")&amp;IF(AND($M1128&lt;&gt;"",INDEX(職員マスタ!$H$6:$H$405,$AN1128)&lt;&gt;"",$M1128&lt;&gt;INDEX(職員マスタ!$H$6:$H$405,$AN1128)),"時短終了日がマスタと相違／","")))&amp;IF(AND($B1128&lt;&gt;"",$E1128=""),"報酬額が未入力／","")&amp;IF(N($U1128)&gt;0,"申請書に入力エラーが残っています／","")&amp;IF(AND($B1128&lt;&gt;"",$AO1128&lt;&gt;""),IF(COUNTIFS($B$6:$B$3005,$B1128,$C$6:$C$3005,$C1128,$D$6:$D$3005,$D1128)&gt;1,"同じ月の請求が重複しています／",""),"")&amp;IF(AND(N($E1128)&gt;0,$Z1128&lt;&gt;"",$Z1128&lt;&gt;"×",$AC1128=0,$AB1128=""),"計算額が下限以下のため不支給／",""))</f>
        <v/>
      </c>
      <c r="AL1128" s="12" t="n"/>
      <c r="AM1128" s="14">
        <f>IF($AD1128="保留中",COUNTIF($AD$6:$AD1128,"保留中"),"")</f>
        <v/>
      </c>
      <c r="AN1128" s="14">
        <f>IF($AO1128="","",IF(SUMPRODUCT(MAX((職員マスタ!$A$6:$A$405=$B1128)*(((職員マスタ!$G$6:$G$405="")+(職員マスタ!$G$6:$G$405&lt;=EOMONTH($AO1128,0)))&gt;0)*(((職員マスタ!$H$6:$H$405="")+(職員マスタ!$H$6:$H$405&gt;=$AO1128))&gt;0)*(ROW(職員マスタ!$A$6:$A$405)-5)))&gt;0,SUMPRODUCT(MAX((職員マスタ!$A$6:$A$405=$B1128)*(((職員マスタ!$G$6:$G$405="")+(職員マスタ!$G$6:$G$405&lt;=EOMONTH($AO1128,0)))&gt;0)*(((職員マスタ!$H$6:$H$405="")+(職員マスタ!$H$6:$H$405&gt;=$AO1128))&gt;0)*(ROW(職員マスタ!$A$6:$A$405)-5))),IFERROR(MATCH($B1128,職員マスタ!$A$6:$A$405,0),"")))</f>
        <v/>
      </c>
      <c r="AO1128" s="16">
        <f>IF(OR($B1128="",$C1128="",$D1128=""),"",DATE($C1128+2018,$D1128,1))</f>
        <v/>
      </c>
    </row>
    <row r="1129">
      <c r="A1129" s="11" t="n"/>
      <c r="B1129" s="12" t="n"/>
      <c r="C1129" s="12" t="n"/>
      <c r="D1129" s="12" t="n"/>
      <c r="E1129" s="13" t="n"/>
      <c r="F1129" s="12" t="n"/>
      <c r="G1129" s="13" t="n"/>
      <c r="H1129" s="12" t="n"/>
      <c r="I1129" s="12" t="n"/>
      <c r="J1129" s="12" t="n"/>
      <c r="K1129" s="12" t="n"/>
      <c r="L1129" s="11" t="n"/>
      <c r="M1129" s="11" t="n"/>
      <c r="N1129" s="11" t="n"/>
      <c r="O1129" s="11" t="n"/>
      <c r="P1129" s="12" t="n"/>
      <c r="Q1129" s="11" t="n"/>
      <c r="R1129" s="12" t="n"/>
      <c r="S1129" s="11" t="n"/>
      <c r="T1129" s="12" t="n"/>
      <c r="U1129" s="12" t="n"/>
      <c r="V1129" s="14">
        <f>IF($AN1129="",IF($B1129="","",$H1129),IF(INDEX(職員マスタ!$B$6:$B$405,$AN1129)="",$H1129,INDEX(職員マスタ!$B$6:$B$405,$AN1129)))</f>
        <v/>
      </c>
      <c r="W1129" s="14">
        <f>IF($AN1129="",IF($B1129="","",$R1129),IF(INDEX(職員マスタ!$C$6:$C$405,$AN1129)="",$R1129,INDEX(職員マスタ!$C$6:$C$405,$AN1129)))</f>
        <v/>
      </c>
      <c r="X1129" s="14">
        <f>IF($AO1129="","","R"&amp;$C1129&amp;"."&amp;$D1129)</f>
        <v/>
      </c>
      <c r="Y1129" s="15">
        <f>IF($AN1129="","",IF(INDEX(職員マスタ!$K$6:$K$405,$AN1129)="","",INDEX(職員マスタ!$K$6:$K$405,$AN1129)))</f>
        <v/>
      </c>
      <c r="Z1129" s="14">
        <f>IF(OR($E1129="",$Y1129=""),"",IF($E1129&gt;=$Y1129,"×",IF($E1129&gt;=$Y1129*設定!$C$5,"△","○")))</f>
        <v/>
      </c>
      <c r="AA1129" s="15">
        <f>IF($Z1129="","",IF($Z1129="×",0,IF($Z1129="○",ROUNDDOWN($E1129*設定!$C$4,0),ROUNDDOWN($E1129*ROUND((9*$Y1129-9*$E1129)/(10*$E1129),4),0))))</f>
        <v/>
      </c>
      <c r="AB1129" s="13" t="n"/>
      <c r="AC1129" s="15">
        <f>IF($B1129="","",IF($AB1129&lt;&gt;"",$AB1129,IF($AA1129="","",IF($AA1129&lt;=設定!$C$3,0,$AA1129))))</f>
        <v/>
      </c>
      <c r="AD1129" s="14">
        <f>IF($B1129="","",IF(AND($AE1129&lt;&gt;"",$AG1129="",$AJ1129=""),"保留中",IF($AJ1129&lt;&gt;"",IF(N($AC1129)&gt;0,"支給済","不支給"),IF($AC1129="","要確認",IF($AC1129=0,"不支給","未処理")))))</f>
        <v/>
      </c>
      <c r="AE1129" s="12" t="n"/>
      <c r="AF1129" s="11" t="n"/>
      <c r="AG1129" s="11" t="n"/>
      <c r="AH1129" s="11" t="n"/>
      <c r="AI1129" s="14">
        <f>IF(AND($AD1129="保留中",$AF1129&lt;&gt;""),TODAY()-$AF1129,"")</f>
        <v/>
      </c>
      <c r="AJ1129" s="12" t="n"/>
      <c r="AK1129" s="14">
        <f>IF($B1129="","",IF($AO1129="","対象年月が未入力／","")&amp;IF($B1129="","",IF($AN1129="","職員マスタに未登録の職員番号／",IF($Y1129="","標準報酬月額が未登録／","")&amp;IF(AND($AO1129&lt;&gt;"",OR(AND(INDEX(職員マスタ!$G$6:$G$405,$AN1129)&lt;&gt;"",INDEX(職員マスタ!$G$6:$G$405,$AN1129)&gt;EOMONTH($AO1129,0)),AND(INDEX(職員マスタ!$H$6:$H$405,$AN1129)&lt;&gt;"",INDEX(職員マスタ!$H$6:$H$405,$AN1129)&lt;$AO1129))),"対象月が時短期間外／","")&amp;IF(AND(INDEX(職員マスタ!$F$6:$F$405,$AN1129)&lt;&gt;"",$AO1129&lt;&gt;"",INDEX(職員マスタ!$F$6:$F$405,$AN1129)&lt;$AO1129),"対象月に子が2歳到達済／","")&amp;IF(AND($H1129&lt;&gt;"",INDEX(職員マスタ!$B$6:$B$405,$AN1129)&lt;&gt;"",SUBSTITUTE(SUBSTITUTE($H1129," ","")," ","")&lt;&gt;SUBSTITUTE(SUBSTITUTE(INDEX(職員マスタ!$B$6:$B$405,$AN1129)," ","")," ","")),"氏名がマスタと相違／","")&amp;IF(AND($Q1129&lt;&gt;"",INDEX(職員マスタ!$E$6:$E$405,$AN1129)&lt;&gt;"",$Q1129&lt;&gt;INDEX(職員マスタ!$E$6:$E$405,$AN1129)),"子の生年月日がマスタと相違／","")&amp;IF(AND($L1129&lt;&gt;"",INDEX(職員マスタ!$G$6:$G$405,$AN1129)&lt;&gt;"",$L1129&lt;&gt;INDEX(職員マスタ!$G$6:$G$405,$AN1129)),"時短開始日がマスタと相違／","")&amp;IF(AND($M1129&lt;&gt;"",INDEX(職員マスタ!$H$6:$H$405,$AN1129)&lt;&gt;"",$M1129&lt;&gt;INDEX(職員マスタ!$H$6:$H$405,$AN1129)),"時短終了日がマスタと相違／","")))&amp;IF(AND($B1129&lt;&gt;"",$E1129=""),"報酬額が未入力／","")&amp;IF(N($U1129)&gt;0,"申請書に入力エラーが残っています／","")&amp;IF(AND($B1129&lt;&gt;"",$AO1129&lt;&gt;""),IF(COUNTIFS($B$6:$B$3005,$B1129,$C$6:$C$3005,$C1129,$D$6:$D$3005,$D1129)&gt;1,"同じ月の請求が重複しています／",""),"")&amp;IF(AND(N($E1129)&gt;0,$Z1129&lt;&gt;"",$Z1129&lt;&gt;"×",$AC1129=0,$AB1129=""),"計算額が下限以下のため不支給／",""))</f>
        <v/>
      </c>
      <c r="AL1129" s="12" t="n"/>
      <c r="AM1129" s="14">
        <f>IF($AD1129="保留中",COUNTIF($AD$6:$AD1129,"保留中"),"")</f>
        <v/>
      </c>
      <c r="AN1129" s="14">
        <f>IF($AO1129="","",IF(SUMPRODUCT(MAX((職員マスタ!$A$6:$A$405=$B1129)*(((職員マスタ!$G$6:$G$405="")+(職員マスタ!$G$6:$G$405&lt;=EOMONTH($AO1129,0)))&gt;0)*(((職員マスタ!$H$6:$H$405="")+(職員マスタ!$H$6:$H$405&gt;=$AO1129))&gt;0)*(ROW(職員マスタ!$A$6:$A$405)-5)))&gt;0,SUMPRODUCT(MAX((職員マスタ!$A$6:$A$405=$B1129)*(((職員マスタ!$G$6:$G$405="")+(職員マスタ!$G$6:$G$405&lt;=EOMONTH($AO1129,0)))&gt;0)*(((職員マスタ!$H$6:$H$405="")+(職員マスタ!$H$6:$H$405&gt;=$AO1129))&gt;0)*(ROW(職員マスタ!$A$6:$A$405)-5))),IFERROR(MATCH($B1129,職員マスタ!$A$6:$A$405,0),"")))</f>
        <v/>
      </c>
      <c r="AO1129" s="16">
        <f>IF(OR($B1129="",$C1129="",$D1129=""),"",DATE($C1129+2018,$D1129,1))</f>
        <v/>
      </c>
    </row>
    <row r="1130">
      <c r="A1130" s="11" t="n"/>
      <c r="B1130" s="12" t="n"/>
      <c r="C1130" s="12" t="n"/>
      <c r="D1130" s="12" t="n"/>
      <c r="E1130" s="13" t="n"/>
      <c r="F1130" s="12" t="n"/>
      <c r="G1130" s="13" t="n"/>
      <c r="H1130" s="12" t="n"/>
      <c r="I1130" s="12" t="n"/>
      <c r="J1130" s="12" t="n"/>
      <c r="K1130" s="12" t="n"/>
      <c r="L1130" s="11" t="n"/>
      <c r="M1130" s="11" t="n"/>
      <c r="N1130" s="11" t="n"/>
      <c r="O1130" s="11" t="n"/>
      <c r="P1130" s="12" t="n"/>
      <c r="Q1130" s="11" t="n"/>
      <c r="R1130" s="12" t="n"/>
      <c r="S1130" s="11" t="n"/>
      <c r="T1130" s="12" t="n"/>
      <c r="U1130" s="12" t="n"/>
      <c r="V1130" s="14">
        <f>IF($AN1130="",IF($B1130="","",$H1130),IF(INDEX(職員マスタ!$B$6:$B$405,$AN1130)="",$H1130,INDEX(職員マスタ!$B$6:$B$405,$AN1130)))</f>
        <v/>
      </c>
      <c r="W1130" s="14">
        <f>IF($AN1130="",IF($B1130="","",$R1130),IF(INDEX(職員マスタ!$C$6:$C$405,$AN1130)="",$R1130,INDEX(職員マスタ!$C$6:$C$405,$AN1130)))</f>
        <v/>
      </c>
      <c r="X1130" s="14">
        <f>IF($AO1130="","","R"&amp;$C1130&amp;"."&amp;$D1130)</f>
        <v/>
      </c>
      <c r="Y1130" s="15">
        <f>IF($AN1130="","",IF(INDEX(職員マスタ!$K$6:$K$405,$AN1130)="","",INDEX(職員マスタ!$K$6:$K$405,$AN1130)))</f>
        <v/>
      </c>
      <c r="Z1130" s="14">
        <f>IF(OR($E1130="",$Y1130=""),"",IF($E1130&gt;=$Y1130,"×",IF($E1130&gt;=$Y1130*設定!$C$5,"△","○")))</f>
        <v/>
      </c>
      <c r="AA1130" s="15">
        <f>IF($Z1130="","",IF($Z1130="×",0,IF($Z1130="○",ROUNDDOWN($E1130*設定!$C$4,0),ROUNDDOWN($E1130*ROUND((9*$Y1130-9*$E1130)/(10*$E1130),4),0))))</f>
        <v/>
      </c>
      <c r="AB1130" s="13" t="n"/>
      <c r="AC1130" s="15">
        <f>IF($B1130="","",IF($AB1130&lt;&gt;"",$AB1130,IF($AA1130="","",IF($AA1130&lt;=設定!$C$3,0,$AA1130))))</f>
        <v/>
      </c>
      <c r="AD1130" s="14">
        <f>IF($B1130="","",IF(AND($AE1130&lt;&gt;"",$AG1130="",$AJ1130=""),"保留中",IF($AJ1130&lt;&gt;"",IF(N($AC1130)&gt;0,"支給済","不支給"),IF($AC1130="","要確認",IF($AC1130=0,"不支給","未処理")))))</f>
        <v/>
      </c>
      <c r="AE1130" s="12" t="n"/>
      <c r="AF1130" s="11" t="n"/>
      <c r="AG1130" s="11" t="n"/>
      <c r="AH1130" s="11" t="n"/>
      <c r="AI1130" s="14">
        <f>IF(AND($AD1130="保留中",$AF1130&lt;&gt;""),TODAY()-$AF1130,"")</f>
        <v/>
      </c>
      <c r="AJ1130" s="12" t="n"/>
      <c r="AK1130" s="14">
        <f>IF($B1130="","",IF($AO1130="","対象年月が未入力／","")&amp;IF($B1130="","",IF($AN1130="","職員マスタに未登録の職員番号／",IF($Y1130="","標準報酬月額が未登録／","")&amp;IF(AND($AO1130&lt;&gt;"",OR(AND(INDEX(職員マスタ!$G$6:$G$405,$AN1130)&lt;&gt;"",INDEX(職員マスタ!$G$6:$G$405,$AN1130)&gt;EOMONTH($AO1130,0)),AND(INDEX(職員マスタ!$H$6:$H$405,$AN1130)&lt;&gt;"",INDEX(職員マスタ!$H$6:$H$405,$AN1130)&lt;$AO1130))),"対象月が時短期間外／","")&amp;IF(AND(INDEX(職員マスタ!$F$6:$F$405,$AN1130)&lt;&gt;"",$AO1130&lt;&gt;"",INDEX(職員マスタ!$F$6:$F$405,$AN1130)&lt;$AO1130),"対象月に子が2歳到達済／","")&amp;IF(AND($H1130&lt;&gt;"",INDEX(職員マスタ!$B$6:$B$405,$AN1130)&lt;&gt;"",SUBSTITUTE(SUBSTITUTE($H1130," ","")," ","")&lt;&gt;SUBSTITUTE(SUBSTITUTE(INDEX(職員マスタ!$B$6:$B$405,$AN1130)," ","")," ","")),"氏名がマスタと相違／","")&amp;IF(AND($Q1130&lt;&gt;"",INDEX(職員マスタ!$E$6:$E$405,$AN1130)&lt;&gt;"",$Q1130&lt;&gt;INDEX(職員マスタ!$E$6:$E$405,$AN1130)),"子の生年月日がマスタと相違／","")&amp;IF(AND($L1130&lt;&gt;"",INDEX(職員マスタ!$G$6:$G$405,$AN1130)&lt;&gt;"",$L1130&lt;&gt;INDEX(職員マスタ!$G$6:$G$405,$AN1130)),"時短開始日がマスタと相違／","")&amp;IF(AND($M1130&lt;&gt;"",INDEX(職員マスタ!$H$6:$H$405,$AN1130)&lt;&gt;"",$M1130&lt;&gt;INDEX(職員マスタ!$H$6:$H$405,$AN1130)),"時短終了日がマスタと相違／","")))&amp;IF(AND($B1130&lt;&gt;"",$E1130=""),"報酬額が未入力／","")&amp;IF(N($U1130)&gt;0,"申請書に入力エラーが残っています／","")&amp;IF(AND($B1130&lt;&gt;"",$AO1130&lt;&gt;""),IF(COUNTIFS($B$6:$B$3005,$B1130,$C$6:$C$3005,$C1130,$D$6:$D$3005,$D1130)&gt;1,"同じ月の請求が重複しています／",""),"")&amp;IF(AND(N($E1130)&gt;0,$Z1130&lt;&gt;"",$Z1130&lt;&gt;"×",$AC1130=0,$AB1130=""),"計算額が下限以下のため不支給／",""))</f>
        <v/>
      </c>
      <c r="AL1130" s="12" t="n"/>
      <c r="AM1130" s="14">
        <f>IF($AD1130="保留中",COUNTIF($AD$6:$AD1130,"保留中"),"")</f>
        <v/>
      </c>
      <c r="AN1130" s="14">
        <f>IF($AO1130="","",IF(SUMPRODUCT(MAX((職員マスタ!$A$6:$A$405=$B1130)*(((職員マスタ!$G$6:$G$405="")+(職員マスタ!$G$6:$G$405&lt;=EOMONTH($AO1130,0)))&gt;0)*(((職員マスタ!$H$6:$H$405="")+(職員マスタ!$H$6:$H$405&gt;=$AO1130))&gt;0)*(ROW(職員マスタ!$A$6:$A$405)-5)))&gt;0,SUMPRODUCT(MAX((職員マスタ!$A$6:$A$405=$B1130)*(((職員マスタ!$G$6:$G$405="")+(職員マスタ!$G$6:$G$405&lt;=EOMONTH($AO1130,0)))&gt;0)*(((職員マスタ!$H$6:$H$405="")+(職員マスタ!$H$6:$H$405&gt;=$AO1130))&gt;0)*(ROW(職員マスタ!$A$6:$A$405)-5))),IFERROR(MATCH($B1130,職員マスタ!$A$6:$A$405,0),"")))</f>
        <v/>
      </c>
      <c r="AO1130" s="16">
        <f>IF(OR($B1130="",$C1130="",$D1130=""),"",DATE($C1130+2018,$D1130,1))</f>
        <v/>
      </c>
    </row>
    <row r="1131">
      <c r="A1131" s="11" t="n"/>
      <c r="B1131" s="12" t="n"/>
      <c r="C1131" s="12" t="n"/>
      <c r="D1131" s="12" t="n"/>
      <c r="E1131" s="13" t="n"/>
      <c r="F1131" s="12" t="n"/>
      <c r="G1131" s="13" t="n"/>
      <c r="H1131" s="12" t="n"/>
      <c r="I1131" s="12" t="n"/>
      <c r="J1131" s="12" t="n"/>
      <c r="K1131" s="12" t="n"/>
      <c r="L1131" s="11" t="n"/>
      <c r="M1131" s="11" t="n"/>
      <c r="N1131" s="11" t="n"/>
      <c r="O1131" s="11" t="n"/>
      <c r="P1131" s="12" t="n"/>
      <c r="Q1131" s="11" t="n"/>
      <c r="R1131" s="12" t="n"/>
      <c r="S1131" s="11" t="n"/>
      <c r="T1131" s="12" t="n"/>
      <c r="U1131" s="12" t="n"/>
      <c r="V1131" s="14">
        <f>IF($AN1131="",IF($B1131="","",$H1131),IF(INDEX(職員マスタ!$B$6:$B$405,$AN1131)="",$H1131,INDEX(職員マスタ!$B$6:$B$405,$AN1131)))</f>
        <v/>
      </c>
      <c r="W1131" s="14">
        <f>IF($AN1131="",IF($B1131="","",$R1131),IF(INDEX(職員マスタ!$C$6:$C$405,$AN1131)="",$R1131,INDEX(職員マスタ!$C$6:$C$405,$AN1131)))</f>
        <v/>
      </c>
      <c r="X1131" s="14">
        <f>IF($AO1131="","","R"&amp;$C1131&amp;"."&amp;$D1131)</f>
        <v/>
      </c>
      <c r="Y1131" s="15">
        <f>IF($AN1131="","",IF(INDEX(職員マスタ!$K$6:$K$405,$AN1131)="","",INDEX(職員マスタ!$K$6:$K$405,$AN1131)))</f>
        <v/>
      </c>
      <c r="Z1131" s="14">
        <f>IF(OR($E1131="",$Y1131=""),"",IF($E1131&gt;=$Y1131,"×",IF($E1131&gt;=$Y1131*設定!$C$5,"△","○")))</f>
        <v/>
      </c>
      <c r="AA1131" s="15">
        <f>IF($Z1131="","",IF($Z1131="×",0,IF($Z1131="○",ROUNDDOWN($E1131*設定!$C$4,0),ROUNDDOWN($E1131*ROUND((9*$Y1131-9*$E1131)/(10*$E1131),4),0))))</f>
        <v/>
      </c>
      <c r="AB1131" s="13" t="n"/>
      <c r="AC1131" s="15">
        <f>IF($B1131="","",IF($AB1131&lt;&gt;"",$AB1131,IF($AA1131="","",IF($AA1131&lt;=設定!$C$3,0,$AA1131))))</f>
        <v/>
      </c>
      <c r="AD1131" s="14">
        <f>IF($B1131="","",IF(AND($AE1131&lt;&gt;"",$AG1131="",$AJ1131=""),"保留中",IF($AJ1131&lt;&gt;"",IF(N($AC1131)&gt;0,"支給済","不支給"),IF($AC1131="","要確認",IF($AC1131=0,"不支給","未処理")))))</f>
        <v/>
      </c>
      <c r="AE1131" s="12" t="n"/>
      <c r="AF1131" s="11" t="n"/>
      <c r="AG1131" s="11" t="n"/>
      <c r="AH1131" s="11" t="n"/>
      <c r="AI1131" s="14">
        <f>IF(AND($AD1131="保留中",$AF1131&lt;&gt;""),TODAY()-$AF1131,"")</f>
        <v/>
      </c>
      <c r="AJ1131" s="12" t="n"/>
      <c r="AK1131" s="14">
        <f>IF($B1131="","",IF($AO1131="","対象年月が未入力／","")&amp;IF($B1131="","",IF($AN1131="","職員マスタに未登録の職員番号／",IF($Y1131="","標準報酬月額が未登録／","")&amp;IF(AND($AO1131&lt;&gt;"",OR(AND(INDEX(職員マスタ!$G$6:$G$405,$AN1131)&lt;&gt;"",INDEX(職員マスタ!$G$6:$G$405,$AN1131)&gt;EOMONTH($AO1131,0)),AND(INDEX(職員マスタ!$H$6:$H$405,$AN1131)&lt;&gt;"",INDEX(職員マスタ!$H$6:$H$405,$AN1131)&lt;$AO1131))),"対象月が時短期間外／","")&amp;IF(AND(INDEX(職員マスタ!$F$6:$F$405,$AN1131)&lt;&gt;"",$AO1131&lt;&gt;"",INDEX(職員マスタ!$F$6:$F$405,$AN1131)&lt;$AO1131),"対象月に子が2歳到達済／","")&amp;IF(AND($H1131&lt;&gt;"",INDEX(職員マスタ!$B$6:$B$405,$AN1131)&lt;&gt;"",SUBSTITUTE(SUBSTITUTE($H1131," ","")," ","")&lt;&gt;SUBSTITUTE(SUBSTITUTE(INDEX(職員マスタ!$B$6:$B$405,$AN1131)," ","")," ","")),"氏名がマスタと相違／","")&amp;IF(AND($Q1131&lt;&gt;"",INDEX(職員マスタ!$E$6:$E$405,$AN1131)&lt;&gt;"",$Q1131&lt;&gt;INDEX(職員マスタ!$E$6:$E$405,$AN1131)),"子の生年月日がマスタと相違／","")&amp;IF(AND($L1131&lt;&gt;"",INDEX(職員マスタ!$G$6:$G$405,$AN1131)&lt;&gt;"",$L1131&lt;&gt;INDEX(職員マスタ!$G$6:$G$405,$AN1131)),"時短開始日がマスタと相違／","")&amp;IF(AND($M1131&lt;&gt;"",INDEX(職員マスタ!$H$6:$H$405,$AN1131)&lt;&gt;"",$M1131&lt;&gt;INDEX(職員マスタ!$H$6:$H$405,$AN1131)),"時短終了日がマスタと相違／","")))&amp;IF(AND($B1131&lt;&gt;"",$E1131=""),"報酬額が未入力／","")&amp;IF(N($U1131)&gt;0,"申請書に入力エラーが残っています／","")&amp;IF(AND($B1131&lt;&gt;"",$AO1131&lt;&gt;""),IF(COUNTIFS($B$6:$B$3005,$B1131,$C$6:$C$3005,$C1131,$D$6:$D$3005,$D1131)&gt;1,"同じ月の請求が重複しています／",""),"")&amp;IF(AND(N($E1131)&gt;0,$Z1131&lt;&gt;"",$Z1131&lt;&gt;"×",$AC1131=0,$AB1131=""),"計算額が下限以下のため不支給／",""))</f>
        <v/>
      </c>
      <c r="AL1131" s="12" t="n"/>
      <c r="AM1131" s="14">
        <f>IF($AD1131="保留中",COUNTIF($AD$6:$AD1131,"保留中"),"")</f>
        <v/>
      </c>
      <c r="AN1131" s="14">
        <f>IF($AO1131="","",IF(SUMPRODUCT(MAX((職員マスタ!$A$6:$A$405=$B1131)*(((職員マスタ!$G$6:$G$405="")+(職員マスタ!$G$6:$G$405&lt;=EOMONTH($AO1131,0)))&gt;0)*(((職員マスタ!$H$6:$H$405="")+(職員マスタ!$H$6:$H$405&gt;=$AO1131))&gt;0)*(ROW(職員マスタ!$A$6:$A$405)-5)))&gt;0,SUMPRODUCT(MAX((職員マスタ!$A$6:$A$405=$B1131)*(((職員マスタ!$G$6:$G$405="")+(職員マスタ!$G$6:$G$405&lt;=EOMONTH($AO1131,0)))&gt;0)*(((職員マスタ!$H$6:$H$405="")+(職員マスタ!$H$6:$H$405&gt;=$AO1131))&gt;0)*(ROW(職員マスタ!$A$6:$A$405)-5))),IFERROR(MATCH($B1131,職員マスタ!$A$6:$A$405,0),"")))</f>
        <v/>
      </c>
      <c r="AO1131" s="16">
        <f>IF(OR($B1131="",$C1131="",$D1131=""),"",DATE($C1131+2018,$D1131,1))</f>
        <v/>
      </c>
    </row>
    <row r="1132">
      <c r="A1132" s="11" t="n"/>
      <c r="B1132" s="12" t="n"/>
      <c r="C1132" s="12" t="n"/>
      <c r="D1132" s="12" t="n"/>
      <c r="E1132" s="13" t="n"/>
      <c r="F1132" s="12" t="n"/>
      <c r="G1132" s="13" t="n"/>
      <c r="H1132" s="12" t="n"/>
      <c r="I1132" s="12" t="n"/>
      <c r="J1132" s="12" t="n"/>
      <c r="K1132" s="12" t="n"/>
      <c r="L1132" s="11" t="n"/>
      <c r="M1132" s="11" t="n"/>
      <c r="N1132" s="11" t="n"/>
      <c r="O1132" s="11" t="n"/>
      <c r="P1132" s="12" t="n"/>
      <c r="Q1132" s="11" t="n"/>
      <c r="R1132" s="12" t="n"/>
      <c r="S1132" s="11" t="n"/>
      <c r="T1132" s="12" t="n"/>
      <c r="U1132" s="12" t="n"/>
      <c r="V1132" s="14">
        <f>IF($AN1132="",IF($B1132="","",$H1132),IF(INDEX(職員マスタ!$B$6:$B$405,$AN1132)="",$H1132,INDEX(職員マスタ!$B$6:$B$405,$AN1132)))</f>
        <v/>
      </c>
      <c r="W1132" s="14">
        <f>IF($AN1132="",IF($B1132="","",$R1132),IF(INDEX(職員マスタ!$C$6:$C$405,$AN1132)="",$R1132,INDEX(職員マスタ!$C$6:$C$405,$AN1132)))</f>
        <v/>
      </c>
      <c r="X1132" s="14">
        <f>IF($AO1132="","","R"&amp;$C1132&amp;"."&amp;$D1132)</f>
        <v/>
      </c>
      <c r="Y1132" s="15">
        <f>IF($AN1132="","",IF(INDEX(職員マスタ!$K$6:$K$405,$AN1132)="","",INDEX(職員マスタ!$K$6:$K$405,$AN1132)))</f>
        <v/>
      </c>
      <c r="Z1132" s="14">
        <f>IF(OR($E1132="",$Y1132=""),"",IF($E1132&gt;=$Y1132,"×",IF($E1132&gt;=$Y1132*設定!$C$5,"△","○")))</f>
        <v/>
      </c>
      <c r="AA1132" s="15">
        <f>IF($Z1132="","",IF($Z1132="×",0,IF($Z1132="○",ROUNDDOWN($E1132*設定!$C$4,0),ROUNDDOWN($E1132*ROUND((9*$Y1132-9*$E1132)/(10*$E1132),4),0))))</f>
        <v/>
      </c>
      <c r="AB1132" s="13" t="n"/>
      <c r="AC1132" s="15">
        <f>IF($B1132="","",IF($AB1132&lt;&gt;"",$AB1132,IF($AA1132="","",IF($AA1132&lt;=設定!$C$3,0,$AA1132))))</f>
        <v/>
      </c>
      <c r="AD1132" s="14">
        <f>IF($B1132="","",IF(AND($AE1132&lt;&gt;"",$AG1132="",$AJ1132=""),"保留中",IF($AJ1132&lt;&gt;"",IF(N($AC1132)&gt;0,"支給済","不支給"),IF($AC1132="","要確認",IF($AC1132=0,"不支給","未処理")))))</f>
        <v/>
      </c>
      <c r="AE1132" s="12" t="n"/>
      <c r="AF1132" s="11" t="n"/>
      <c r="AG1132" s="11" t="n"/>
      <c r="AH1132" s="11" t="n"/>
      <c r="AI1132" s="14">
        <f>IF(AND($AD1132="保留中",$AF1132&lt;&gt;""),TODAY()-$AF1132,"")</f>
        <v/>
      </c>
      <c r="AJ1132" s="12" t="n"/>
      <c r="AK1132" s="14">
        <f>IF($B1132="","",IF($AO1132="","対象年月が未入力／","")&amp;IF($B1132="","",IF($AN1132="","職員マスタに未登録の職員番号／",IF($Y1132="","標準報酬月額が未登録／","")&amp;IF(AND($AO1132&lt;&gt;"",OR(AND(INDEX(職員マスタ!$G$6:$G$405,$AN1132)&lt;&gt;"",INDEX(職員マスタ!$G$6:$G$405,$AN1132)&gt;EOMONTH($AO1132,0)),AND(INDEX(職員マスタ!$H$6:$H$405,$AN1132)&lt;&gt;"",INDEX(職員マスタ!$H$6:$H$405,$AN1132)&lt;$AO1132))),"対象月が時短期間外／","")&amp;IF(AND(INDEX(職員マスタ!$F$6:$F$405,$AN1132)&lt;&gt;"",$AO1132&lt;&gt;"",INDEX(職員マスタ!$F$6:$F$405,$AN1132)&lt;$AO1132),"対象月に子が2歳到達済／","")&amp;IF(AND($H1132&lt;&gt;"",INDEX(職員マスタ!$B$6:$B$405,$AN1132)&lt;&gt;"",SUBSTITUTE(SUBSTITUTE($H1132," ","")," ","")&lt;&gt;SUBSTITUTE(SUBSTITUTE(INDEX(職員マスタ!$B$6:$B$405,$AN1132)," ","")," ","")),"氏名がマスタと相違／","")&amp;IF(AND($Q1132&lt;&gt;"",INDEX(職員マスタ!$E$6:$E$405,$AN1132)&lt;&gt;"",$Q1132&lt;&gt;INDEX(職員マスタ!$E$6:$E$405,$AN1132)),"子の生年月日がマスタと相違／","")&amp;IF(AND($L1132&lt;&gt;"",INDEX(職員マスタ!$G$6:$G$405,$AN1132)&lt;&gt;"",$L1132&lt;&gt;INDEX(職員マスタ!$G$6:$G$405,$AN1132)),"時短開始日がマスタと相違／","")&amp;IF(AND($M1132&lt;&gt;"",INDEX(職員マスタ!$H$6:$H$405,$AN1132)&lt;&gt;"",$M1132&lt;&gt;INDEX(職員マスタ!$H$6:$H$405,$AN1132)),"時短終了日がマスタと相違／","")))&amp;IF(AND($B1132&lt;&gt;"",$E1132=""),"報酬額が未入力／","")&amp;IF(N($U1132)&gt;0,"申請書に入力エラーが残っています／","")&amp;IF(AND($B1132&lt;&gt;"",$AO1132&lt;&gt;""),IF(COUNTIFS($B$6:$B$3005,$B1132,$C$6:$C$3005,$C1132,$D$6:$D$3005,$D1132)&gt;1,"同じ月の請求が重複しています／",""),"")&amp;IF(AND(N($E1132)&gt;0,$Z1132&lt;&gt;"",$Z1132&lt;&gt;"×",$AC1132=0,$AB1132=""),"計算額が下限以下のため不支給／",""))</f>
        <v/>
      </c>
      <c r="AL1132" s="12" t="n"/>
      <c r="AM1132" s="14">
        <f>IF($AD1132="保留中",COUNTIF($AD$6:$AD1132,"保留中"),"")</f>
        <v/>
      </c>
      <c r="AN1132" s="14">
        <f>IF($AO1132="","",IF(SUMPRODUCT(MAX((職員マスタ!$A$6:$A$405=$B1132)*(((職員マスタ!$G$6:$G$405="")+(職員マスタ!$G$6:$G$405&lt;=EOMONTH($AO1132,0)))&gt;0)*(((職員マスタ!$H$6:$H$405="")+(職員マスタ!$H$6:$H$405&gt;=$AO1132))&gt;0)*(ROW(職員マスタ!$A$6:$A$405)-5)))&gt;0,SUMPRODUCT(MAX((職員マスタ!$A$6:$A$405=$B1132)*(((職員マスタ!$G$6:$G$405="")+(職員マスタ!$G$6:$G$405&lt;=EOMONTH($AO1132,0)))&gt;0)*(((職員マスタ!$H$6:$H$405="")+(職員マスタ!$H$6:$H$405&gt;=$AO1132))&gt;0)*(ROW(職員マスタ!$A$6:$A$405)-5))),IFERROR(MATCH($B1132,職員マスタ!$A$6:$A$405,0),"")))</f>
        <v/>
      </c>
      <c r="AO1132" s="16">
        <f>IF(OR($B1132="",$C1132="",$D1132=""),"",DATE($C1132+2018,$D1132,1))</f>
        <v/>
      </c>
    </row>
    <row r="1133">
      <c r="A1133" s="11" t="n"/>
      <c r="B1133" s="12" t="n"/>
      <c r="C1133" s="12" t="n"/>
      <c r="D1133" s="12" t="n"/>
      <c r="E1133" s="13" t="n"/>
      <c r="F1133" s="12" t="n"/>
      <c r="G1133" s="13" t="n"/>
      <c r="H1133" s="12" t="n"/>
      <c r="I1133" s="12" t="n"/>
      <c r="J1133" s="12" t="n"/>
      <c r="K1133" s="12" t="n"/>
      <c r="L1133" s="11" t="n"/>
      <c r="M1133" s="11" t="n"/>
      <c r="N1133" s="11" t="n"/>
      <c r="O1133" s="11" t="n"/>
      <c r="P1133" s="12" t="n"/>
      <c r="Q1133" s="11" t="n"/>
      <c r="R1133" s="12" t="n"/>
      <c r="S1133" s="11" t="n"/>
      <c r="T1133" s="12" t="n"/>
      <c r="U1133" s="12" t="n"/>
      <c r="V1133" s="14">
        <f>IF($AN1133="",IF($B1133="","",$H1133),IF(INDEX(職員マスタ!$B$6:$B$405,$AN1133)="",$H1133,INDEX(職員マスタ!$B$6:$B$405,$AN1133)))</f>
        <v/>
      </c>
      <c r="W1133" s="14">
        <f>IF($AN1133="",IF($B1133="","",$R1133),IF(INDEX(職員マスタ!$C$6:$C$405,$AN1133)="",$R1133,INDEX(職員マスタ!$C$6:$C$405,$AN1133)))</f>
        <v/>
      </c>
      <c r="X1133" s="14">
        <f>IF($AO1133="","","R"&amp;$C1133&amp;"."&amp;$D1133)</f>
        <v/>
      </c>
      <c r="Y1133" s="15">
        <f>IF($AN1133="","",IF(INDEX(職員マスタ!$K$6:$K$405,$AN1133)="","",INDEX(職員マスタ!$K$6:$K$405,$AN1133)))</f>
        <v/>
      </c>
      <c r="Z1133" s="14">
        <f>IF(OR($E1133="",$Y1133=""),"",IF($E1133&gt;=$Y1133,"×",IF($E1133&gt;=$Y1133*設定!$C$5,"△","○")))</f>
        <v/>
      </c>
      <c r="AA1133" s="15">
        <f>IF($Z1133="","",IF($Z1133="×",0,IF($Z1133="○",ROUNDDOWN($E1133*設定!$C$4,0),ROUNDDOWN($E1133*ROUND((9*$Y1133-9*$E1133)/(10*$E1133),4),0))))</f>
        <v/>
      </c>
      <c r="AB1133" s="13" t="n"/>
      <c r="AC1133" s="15">
        <f>IF($B1133="","",IF($AB1133&lt;&gt;"",$AB1133,IF($AA1133="","",IF($AA1133&lt;=設定!$C$3,0,$AA1133))))</f>
        <v/>
      </c>
      <c r="AD1133" s="14">
        <f>IF($B1133="","",IF(AND($AE1133&lt;&gt;"",$AG1133="",$AJ1133=""),"保留中",IF($AJ1133&lt;&gt;"",IF(N($AC1133)&gt;0,"支給済","不支給"),IF($AC1133="","要確認",IF($AC1133=0,"不支給","未処理")))))</f>
        <v/>
      </c>
      <c r="AE1133" s="12" t="n"/>
      <c r="AF1133" s="11" t="n"/>
      <c r="AG1133" s="11" t="n"/>
      <c r="AH1133" s="11" t="n"/>
      <c r="AI1133" s="14">
        <f>IF(AND($AD1133="保留中",$AF1133&lt;&gt;""),TODAY()-$AF1133,"")</f>
        <v/>
      </c>
      <c r="AJ1133" s="12" t="n"/>
      <c r="AK1133" s="14">
        <f>IF($B1133="","",IF($AO1133="","対象年月が未入力／","")&amp;IF($B1133="","",IF($AN1133="","職員マスタに未登録の職員番号／",IF($Y1133="","標準報酬月額が未登録／","")&amp;IF(AND($AO1133&lt;&gt;"",OR(AND(INDEX(職員マスタ!$G$6:$G$405,$AN1133)&lt;&gt;"",INDEX(職員マスタ!$G$6:$G$405,$AN1133)&gt;EOMONTH($AO1133,0)),AND(INDEX(職員マスタ!$H$6:$H$405,$AN1133)&lt;&gt;"",INDEX(職員マスタ!$H$6:$H$405,$AN1133)&lt;$AO1133))),"対象月が時短期間外／","")&amp;IF(AND(INDEX(職員マスタ!$F$6:$F$405,$AN1133)&lt;&gt;"",$AO1133&lt;&gt;"",INDEX(職員マスタ!$F$6:$F$405,$AN1133)&lt;$AO1133),"対象月に子が2歳到達済／","")&amp;IF(AND($H1133&lt;&gt;"",INDEX(職員マスタ!$B$6:$B$405,$AN1133)&lt;&gt;"",SUBSTITUTE(SUBSTITUTE($H1133," ","")," ","")&lt;&gt;SUBSTITUTE(SUBSTITUTE(INDEX(職員マスタ!$B$6:$B$405,$AN1133)," ","")," ","")),"氏名がマスタと相違／","")&amp;IF(AND($Q1133&lt;&gt;"",INDEX(職員マスタ!$E$6:$E$405,$AN1133)&lt;&gt;"",$Q1133&lt;&gt;INDEX(職員マスタ!$E$6:$E$405,$AN1133)),"子の生年月日がマスタと相違／","")&amp;IF(AND($L1133&lt;&gt;"",INDEX(職員マスタ!$G$6:$G$405,$AN1133)&lt;&gt;"",$L1133&lt;&gt;INDEX(職員マスタ!$G$6:$G$405,$AN1133)),"時短開始日がマスタと相違／","")&amp;IF(AND($M1133&lt;&gt;"",INDEX(職員マスタ!$H$6:$H$405,$AN1133)&lt;&gt;"",$M1133&lt;&gt;INDEX(職員マスタ!$H$6:$H$405,$AN1133)),"時短終了日がマスタと相違／","")))&amp;IF(AND($B1133&lt;&gt;"",$E1133=""),"報酬額が未入力／","")&amp;IF(N($U1133)&gt;0,"申請書に入力エラーが残っています／","")&amp;IF(AND($B1133&lt;&gt;"",$AO1133&lt;&gt;""),IF(COUNTIFS($B$6:$B$3005,$B1133,$C$6:$C$3005,$C1133,$D$6:$D$3005,$D1133)&gt;1,"同じ月の請求が重複しています／",""),"")&amp;IF(AND(N($E1133)&gt;0,$Z1133&lt;&gt;"",$Z1133&lt;&gt;"×",$AC1133=0,$AB1133=""),"計算額が下限以下のため不支給／",""))</f>
        <v/>
      </c>
      <c r="AL1133" s="12" t="n"/>
      <c r="AM1133" s="14">
        <f>IF($AD1133="保留中",COUNTIF($AD$6:$AD1133,"保留中"),"")</f>
        <v/>
      </c>
      <c r="AN1133" s="14">
        <f>IF($AO1133="","",IF(SUMPRODUCT(MAX((職員マスタ!$A$6:$A$405=$B1133)*(((職員マスタ!$G$6:$G$405="")+(職員マスタ!$G$6:$G$405&lt;=EOMONTH($AO1133,0)))&gt;0)*(((職員マスタ!$H$6:$H$405="")+(職員マスタ!$H$6:$H$405&gt;=$AO1133))&gt;0)*(ROW(職員マスタ!$A$6:$A$405)-5)))&gt;0,SUMPRODUCT(MAX((職員マスタ!$A$6:$A$405=$B1133)*(((職員マスタ!$G$6:$G$405="")+(職員マスタ!$G$6:$G$405&lt;=EOMONTH($AO1133,0)))&gt;0)*(((職員マスタ!$H$6:$H$405="")+(職員マスタ!$H$6:$H$405&gt;=$AO1133))&gt;0)*(ROW(職員マスタ!$A$6:$A$405)-5))),IFERROR(MATCH($B1133,職員マスタ!$A$6:$A$405,0),"")))</f>
        <v/>
      </c>
      <c r="AO1133" s="16">
        <f>IF(OR($B1133="",$C1133="",$D1133=""),"",DATE($C1133+2018,$D1133,1))</f>
        <v/>
      </c>
    </row>
    <row r="1134">
      <c r="A1134" s="11" t="n"/>
      <c r="B1134" s="12" t="n"/>
      <c r="C1134" s="12" t="n"/>
      <c r="D1134" s="12" t="n"/>
      <c r="E1134" s="13" t="n"/>
      <c r="F1134" s="12" t="n"/>
      <c r="G1134" s="13" t="n"/>
      <c r="H1134" s="12" t="n"/>
      <c r="I1134" s="12" t="n"/>
      <c r="J1134" s="12" t="n"/>
      <c r="K1134" s="12" t="n"/>
      <c r="L1134" s="11" t="n"/>
      <c r="M1134" s="11" t="n"/>
      <c r="N1134" s="11" t="n"/>
      <c r="O1134" s="11" t="n"/>
      <c r="P1134" s="12" t="n"/>
      <c r="Q1134" s="11" t="n"/>
      <c r="R1134" s="12" t="n"/>
      <c r="S1134" s="11" t="n"/>
      <c r="T1134" s="12" t="n"/>
      <c r="U1134" s="12" t="n"/>
      <c r="V1134" s="14">
        <f>IF($AN1134="",IF($B1134="","",$H1134),IF(INDEX(職員マスタ!$B$6:$B$405,$AN1134)="",$H1134,INDEX(職員マスタ!$B$6:$B$405,$AN1134)))</f>
        <v/>
      </c>
      <c r="W1134" s="14">
        <f>IF($AN1134="",IF($B1134="","",$R1134),IF(INDEX(職員マスタ!$C$6:$C$405,$AN1134)="",$R1134,INDEX(職員マスタ!$C$6:$C$405,$AN1134)))</f>
        <v/>
      </c>
      <c r="X1134" s="14">
        <f>IF($AO1134="","","R"&amp;$C1134&amp;"."&amp;$D1134)</f>
        <v/>
      </c>
      <c r="Y1134" s="15">
        <f>IF($AN1134="","",IF(INDEX(職員マスタ!$K$6:$K$405,$AN1134)="","",INDEX(職員マスタ!$K$6:$K$405,$AN1134)))</f>
        <v/>
      </c>
      <c r="Z1134" s="14">
        <f>IF(OR($E1134="",$Y1134=""),"",IF($E1134&gt;=$Y1134,"×",IF($E1134&gt;=$Y1134*設定!$C$5,"△","○")))</f>
        <v/>
      </c>
      <c r="AA1134" s="15">
        <f>IF($Z1134="","",IF($Z1134="×",0,IF($Z1134="○",ROUNDDOWN($E1134*設定!$C$4,0),ROUNDDOWN($E1134*ROUND((9*$Y1134-9*$E1134)/(10*$E1134),4),0))))</f>
        <v/>
      </c>
      <c r="AB1134" s="13" t="n"/>
      <c r="AC1134" s="15">
        <f>IF($B1134="","",IF($AB1134&lt;&gt;"",$AB1134,IF($AA1134="","",IF($AA1134&lt;=設定!$C$3,0,$AA1134))))</f>
        <v/>
      </c>
      <c r="AD1134" s="14">
        <f>IF($B1134="","",IF(AND($AE1134&lt;&gt;"",$AG1134="",$AJ1134=""),"保留中",IF($AJ1134&lt;&gt;"",IF(N($AC1134)&gt;0,"支給済","不支給"),IF($AC1134="","要確認",IF($AC1134=0,"不支給","未処理")))))</f>
        <v/>
      </c>
      <c r="AE1134" s="12" t="n"/>
      <c r="AF1134" s="11" t="n"/>
      <c r="AG1134" s="11" t="n"/>
      <c r="AH1134" s="11" t="n"/>
      <c r="AI1134" s="14">
        <f>IF(AND($AD1134="保留中",$AF1134&lt;&gt;""),TODAY()-$AF1134,"")</f>
        <v/>
      </c>
      <c r="AJ1134" s="12" t="n"/>
      <c r="AK1134" s="14">
        <f>IF($B1134="","",IF($AO1134="","対象年月が未入力／","")&amp;IF($B1134="","",IF($AN1134="","職員マスタに未登録の職員番号／",IF($Y1134="","標準報酬月額が未登録／","")&amp;IF(AND($AO1134&lt;&gt;"",OR(AND(INDEX(職員マスタ!$G$6:$G$405,$AN1134)&lt;&gt;"",INDEX(職員マスタ!$G$6:$G$405,$AN1134)&gt;EOMONTH($AO1134,0)),AND(INDEX(職員マスタ!$H$6:$H$405,$AN1134)&lt;&gt;"",INDEX(職員マスタ!$H$6:$H$405,$AN1134)&lt;$AO1134))),"対象月が時短期間外／","")&amp;IF(AND(INDEX(職員マスタ!$F$6:$F$405,$AN1134)&lt;&gt;"",$AO1134&lt;&gt;"",INDEX(職員マスタ!$F$6:$F$405,$AN1134)&lt;$AO1134),"対象月に子が2歳到達済／","")&amp;IF(AND($H1134&lt;&gt;"",INDEX(職員マスタ!$B$6:$B$405,$AN1134)&lt;&gt;"",SUBSTITUTE(SUBSTITUTE($H1134," ","")," ","")&lt;&gt;SUBSTITUTE(SUBSTITUTE(INDEX(職員マスタ!$B$6:$B$405,$AN1134)," ","")," ","")),"氏名がマスタと相違／","")&amp;IF(AND($Q1134&lt;&gt;"",INDEX(職員マスタ!$E$6:$E$405,$AN1134)&lt;&gt;"",$Q1134&lt;&gt;INDEX(職員マスタ!$E$6:$E$405,$AN1134)),"子の生年月日がマスタと相違／","")&amp;IF(AND($L1134&lt;&gt;"",INDEX(職員マスタ!$G$6:$G$405,$AN1134)&lt;&gt;"",$L1134&lt;&gt;INDEX(職員マスタ!$G$6:$G$405,$AN1134)),"時短開始日がマスタと相違／","")&amp;IF(AND($M1134&lt;&gt;"",INDEX(職員マスタ!$H$6:$H$405,$AN1134)&lt;&gt;"",$M1134&lt;&gt;INDEX(職員マスタ!$H$6:$H$405,$AN1134)),"時短終了日がマスタと相違／","")))&amp;IF(AND($B1134&lt;&gt;"",$E1134=""),"報酬額が未入力／","")&amp;IF(N($U1134)&gt;0,"申請書に入力エラーが残っています／","")&amp;IF(AND($B1134&lt;&gt;"",$AO1134&lt;&gt;""),IF(COUNTIFS($B$6:$B$3005,$B1134,$C$6:$C$3005,$C1134,$D$6:$D$3005,$D1134)&gt;1,"同じ月の請求が重複しています／",""),"")&amp;IF(AND(N($E1134)&gt;0,$Z1134&lt;&gt;"",$Z1134&lt;&gt;"×",$AC1134=0,$AB1134=""),"計算額が下限以下のため不支給／",""))</f>
        <v/>
      </c>
      <c r="AL1134" s="12" t="n"/>
      <c r="AM1134" s="14">
        <f>IF($AD1134="保留中",COUNTIF($AD$6:$AD1134,"保留中"),"")</f>
        <v/>
      </c>
      <c r="AN1134" s="14">
        <f>IF($AO1134="","",IF(SUMPRODUCT(MAX((職員マスタ!$A$6:$A$405=$B1134)*(((職員マスタ!$G$6:$G$405="")+(職員マスタ!$G$6:$G$405&lt;=EOMONTH($AO1134,0)))&gt;0)*(((職員マスタ!$H$6:$H$405="")+(職員マスタ!$H$6:$H$405&gt;=$AO1134))&gt;0)*(ROW(職員マスタ!$A$6:$A$405)-5)))&gt;0,SUMPRODUCT(MAX((職員マスタ!$A$6:$A$405=$B1134)*(((職員マスタ!$G$6:$G$405="")+(職員マスタ!$G$6:$G$405&lt;=EOMONTH($AO1134,0)))&gt;0)*(((職員マスタ!$H$6:$H$405="")+(職員マスタ!$H$6:$H$405&gt;=$AO1134))&gt;0)*(ROW(職員マスタ!$A$6:$A$405)-5))),IFERROR(MATCH($B1134,職員マスタ!$A$6:$A$405,0),"")))</f>
        <v/>
      </c>
      <c r="AO1134" s="16">
        <f>IF(OR($B1134="",$C1134="",$D1134=""),"",DATE($C1134+2018,$D1134,1))</f>
        <v/>
      </c>
    </row>
    <row r="1135">
      <c r="A1135" s="11" t="n"/>
      <c r="B1135" s="12" t="n"/>
      <c r="C1135" s="12" t="n"/>
      <c r="D1135" s="12" t="n"/>
      <c r="E1135" s="13" t="n"/>
      <c r="F1135" s="12" t="n"/>
      <c r="G1135" s="13" t="n"/>
      <c r="H1135" s="12" t="n"/>
      <c r="I1135" s="12" t="n"/>
      <c r="J1135" s="12" t="n"/>
      <c r="K1135" s="12" t="n"/>
      <c r="L1135" s="11" t="n"/>
      <c r="M1135" s="11" t="n"/>
      <c r="N1135" s="11" t="n"/>
      <c r="O1135" s="11" t="n"/>
      <c r="P1135" s="12" t="n"/>
      <c r="Q1135" s="11" t="n"/>
      <c r="R1135" s="12" t="n"/>
      <c r="S1135" s="11" t="n"/>
      <c r="T1135" s="12" t="n"/>
      <c r="U1135" s="12" t="n"/>
      <c r="V1135" s="14">
        <f>IF($AN1135="",IF($B1135="","",$H1135),IF(INDEX(職員マスタ!$B$6:$B$405,$AN1135)="",$H1135,INDEX(職員マスタ!$B$6:$B$405,$AN1135)))</f>
        <v/>
      </c>
      <c r="W1135" s="14">
        <f>IF($AN1135="",IF($B1135="","",$R1135),IF(INDEX(職員マスタ!$C$6:$C$405,$AN1135)="",$R1135,INDEX(職員マスタ!$C$6:$C$405,$AN1135)))</f>
        <v/>
      </c>
      <c r="X1135" s="14">
        <f>IF($AO1135="","","R"&amp;$C1135&amp;"."&amp;$D1135)</f>
        <v/>
      </c>
      <c r="Y1135" s="15">
        <f>IF($AN1135="","",IF(INDEX(職員マスタ!$K$6:$K$405,$AN1135)="","",INDEX(職員マスタ!$K$6:$K$405,$AN1135)))</f>
        <v/>
      </c>
      <c r="Z1135" s="14">
        <f>IF(OR($E1135="",$Y1135=""),"",IF($E1135&gt;=$Y1135,"×",IF($E1135&gt;=$Y1135*設定!$C$5,"△","○")))</f>
        <v/>
      </c>
      <c r="AA1135" s="15">
        <f>IF($Z1135="","",IF($Z1135="×",0,IF($Z1135="○",ROUNDDOWN($E1135*設定!$C$4,0),ROUNDDOWN($E1135*ROUND((9*$Y1135-9*$E1135)/(10*$E1135),4),0))))</f>
        <v/>
      </c>
      <c r="AB1135" s="13" t="n"/>
      <c r="AC1135" s="15">
        <f>IF($B1135="","",IF($AB1135&lt;&gt;"",$AB1135,IF($AA1135="","",IF($AA1135&lt;=設定!$C$3,0,$AA1135))))</f>
        <v/>
      </c>
      <c r="AD1135" s="14">
        <f>IF($B1135="","",IF(AND($AE1135&lt;&gt;"",$AG1135="",$AJ1135=""),"保留中",IF($AJ1135&lt;&gt;"",IF(N($AC1135)&gt;0,"支給済","不支給"),IF($AC1135="","要確認",IF($AC1135=0,"不支給","未処理")))))</f>
        <v/>
      </c>
      <c r="AE1135" s="12" t="n"/>
      <c r="AF1135" s="11" t="n"/>
      <c r="AG1135" s="11" t="n"/>
      <c r="AH1135" s="11" t="n"/>
      <c r="AI1135" s="14">
        <f>IF(AND($AD1135="保留中",$AF1135&lt;&gt;""),TODAY()-$AF1135,"")</f>
        <v/>
      </c>
      <c r="AJ1135" s="12" t="n"/>
      <c r="AK1135" s="14">
        <f>IF($B1135="","",IF($AO1135="","対象年月が未入力／","")&amp;IF($B1135="","",IF($AN1135="","職員マスタに未登録の職員番号／",IF($Y1135="","標準報酬月額が未登録／","")&amp;IF(AND($AO1135&lt;&gt;"",OR(AND(INDEX(職員マスタ!$G$6:$G$405,$AN1135)&lt;&gt;"",INDEX(職員マスタ!$G$6:$G$405,$AN1135)&gt;EOMONTH($AO1135,0)),AND(INDEX(職員マスタ!$H$6:$H$405,$AN1135)&lt;&gt;"",INDEX(職員マスタ!$H$6:$H$405,$AN1135)&lt;$AO1135))),"対象月が時短期間外／","")&amp;IF(AND(INDEX(職員マスタ!$F$6:$F$405,$AN1135)&lt;&gt;"",$AO1135&lt;&gt;"",INDEX(職員マスタ!$F$6:$F$405,$AN1135)&lt;$AO1135),"対象月に子が2歳到達済／","")&amp;IF(AND($H1135&lt;&gt;"",INDEX(職員マスタ!$B$6:$B$405,$AN1135)&lt;&gt;"",SUBSTITUTE(SUBSTITUTE($H1135," ","")," ","")&lt;&gt;SUBSTITUTE(SUBSTITUTE(INDEX(職員マスタ!$B$6:$B$405,$AN1135)," ","")," ","")),"氏名がマスタと相違／","")&amp;IF(AND($Q1135&lt;&gt;"",INDEX(職員マスタ!$E$6:$E$405,$AN1135)&lt;&gt;"",$Q1135&lt;&gt;INDEX(職員マスタ!$E$6:$E$405,$AN1135)),"子の生年月日がマスタと相違／","")&amp;IF(AND($L1135&lt;&gt;"",INDEX(職員マスタ!$G$6:$G$405,$AN1135)&lt;&gt;"",$L1135&lt;&gt;INDEX(職員マスタ!$G$6:$G$405,$AN1135)),"時短開始日がマスタと相違／","")&amp;IF(AND($M1135&lt;&gt;"",INDEX(職員マスタ!$H$6:$H$405,$AN1135)&lt;&gt;"",$M1135&lt;&gt;INDEX(職員マスタ!$H$6:$H$405,$AN1135)),"時短終了日がマスタと相違／","")))&amp;IF(AND($B1135&lt;&gt;"",$E1135=""),"報酬額が未入力／","")&amp;IF(N($U1135)&gt;0,"申請書に入力エラーが残っています／","")&amp;IF(AND($B1135&lt;&gt;"",$AO1135&lt;&gt;""),IF(COUNTIFS($B$6:$B$3005,$B1135,$C$6:$C$3005,$C1135,$D$6:$D$3005,$D1135)&gt;1,"同じ月の請求が重複しています／",""),"")&amp;IF(AND(N($E1135)&gt;0,$Z1135&lt;&gt;"",$Z1135&lt;&gt;"×",$AC1135=0,$AB1135=""),"計算額が下限以下のため不支給／",""))</f>
        <v/>
      </c>
      <c r="AL1135" s="12" t="n"/>
      <c r="AM1135" s="14">
        <f>IF($AD1135="保留中",COUNTIF($AD$6:$AD1135,"保留中"),"")</f>
        <v/>
      </c>
      <c r="AN1135" s="14">
        <f>IF($AO1135="","",IF(SUMPRODUCT(MAX((職員マスタ!$A$6:$A$405=$B1135)*(((職員マスタ!$G$6:$G$405="")+(職員マスタ!$G$6:$G$405&lt;=EOMONTH($AO1135,0)))&gt;0)*(((職員マスタ!$H$6:$H$405="")+(職員マスタ!$H$6:$H$405&gt;=$AO1135))&gt;0)*(ROW(職員マスタ!$A$6:$A$405)-5)))&gt;0,SUMPRODUCT(MAX((職員マスタ!$A$6:$A$405=$B1135)*(((職員マスタ!$G$6:$G$405="")+(職員マスタ!$G$6:$G$405&lt;=EOMONTH($AO1135,0)))&gt;0)*(((職員マスタ!$H$6:$H$405="")+(職員マスタ!$H$6:$H$405&gt;=$AO1135))&gt;0)*(ROW(職員マスタ!$A$6:$A$405)-5))),IFERROR(MATCH($B1135,職員マスタ!$A$6:$A$405,0),"")))</f>
        <v/>
      </c>
      <c r="AO1135" s="16">
        <f>IF(OR($B1135="",$C1135="",$D1135=""),"",DATE($C1135+2018,$D1135,1))</f>
        <v/>
      </c>
    </row>
    <row r="1136">
      <c r="A1136" s="11" t="n"/>
      <c r="B1136" s="12" t="n"/>
      <c r="C1136" s="12" t="n"/>
      <c r="D1136" s="12" t="n"/>
      <c r="E1136" s="13" t="n"/>
      <c r="F1136" s="12" t="n"/>
      <c r="G1136" s="13" t="n"/>
      <c r="H1136" s="12" t="n"/>
      <c r="I1136" s="12" t="n"/>
      <c r="J1136" s="12" t="n"/>
      <c r="K1136" s="12" t="n"/>
      <c r="L1136" s="11" t="n"/>
      <c r="M1136" s="11" t="n"/>
      <c r="N1136" s="11" t="n"/>
      <c r="O1136" s="11" t="n"/>
      <c r="P1136" s="12" t="n"/>
      <c r="Q1136" s="11" t="n"/>
      <c r="R1136" s="12" t="n"/>
      <c r="S1136" s="11" t="n"/>
      <c r="T1136" s="12" t="n"/>
      <c r="U1136" s="12" t="n"/>
      <c r="V1136" s="14">
        <f>IF($AN1136="",IF($B1136="","",$H1136),IF(INDEX(職員マスタ!$B$6:$B$405,$AN1136)="",$H1136,INDEX(職員マスタ!$B$6:$B$405,$AN1136)))</f>
        <v/>
      </c>
      <c r="W1136" s="14">
        <f>IF($AN1136="",IF($B1136="","",$R1136),IF(INDEX(職員マスタ!$C$6:$C$405,$AN1136)="",$R1136,INDEX(職員マスタ!$C$6:$C$405,$AN1136)))</f>
        <v/>
      </c>
      <c r="X1136" s="14">
        <f>IF($AO1136="","","R"&amp;$C1136&amp;"."&amp;$D1136)</f>
        <v/>
      </c>
      <c r="Y1136" s="15">
        <f>IF($AN1136="","",IF(INDEX(職員マスタ!$K$6:$K$405,$AN1136)="","",INDEX(職員マスタ!$K$6:$K$405,$AN1136)))</f>
        <v/>
      </c>
      <c r="Z1136" s="14">
        <f>IF(OR($E1136="",$Y1136=""),"",IF($E1136&gt;=$Y1136,"×",IF($E1136&gt;=$Y1136*設定!$C$5,"△","○")))</f>
        <v/>
      </c>
      <c r="AA1136" s="15">
        <f>IF($Z1136="","",IF($Z1136="×",0,IF($Z1136="○",ROUNDDOWN($E1136*設定!$C$4,0),ROUNDDOWN($E1136*ROUND((9*$Y1136-9*$E1136)/(10*$E1136),4),0))))</f>
        <v/>
      </c>
      <c r="AB1136" s="13" t="n"/>
      <c r="AC1136" s="15">
        <f>IF($B1136="","",IF($AB1136&lt;&gt;"",$AB1136,IF($AA1136="","",IF($AA1136&lt;=設定!$C$3,0,$AA1136))))</f>
        <v/>
      </c>
      <c r="AD1136" s="14">
        <f>IF($B1136="","",IF(AND($AE1136&lt;&gt;"",$AG1136="",$AJ1136=""),"保留中",IF($AJ1136&lt;&gt;"",IF(N($AC1136)&gt;0,"支給済","不支給"),IF($AC1136="","要確認",IF($AC1136=0,"不支給","未処理")))))</f>
        <v/>
      </c>
      <c r="AE1136" s="12" t="n"/>
      <c r="AF1136" s="11" t="n"/>
      <c r="AG1136" s="11" t="n"/>
      <c r="AH1136" s="11" t="n"/>
      <c r="AI1136" s="14">
        <f>IF(AND($AD1136="保留中",$AF1136&lt;&gt;""),TODAY()-$AF1136,"")</f>
        <v/>
      </c>
      <c r="AJ1136" s="12" t="n"/>
      <c r="AK1136" s="14">
        <f>IF($B1136="","",IF($AO1136="","対象年月が未入力／","")&amp;IF($B1136="","",IF($AN1136="","職員マスタに未登録の職員番号／",IF($Y1136="","標準報酬月額が未登録／","")&amp;IF(AND($AO1136&lt;&gt;"",OR(AND(INDEX(職員マスタ!$G$6:$G$405,$AN1136)&lt;&gt;"",INDEX(職員マスタ!$G$6:$G$405,$AN1136)&gt;EOMONTH($AO1136,0)),AND(INDEX(職員マスタ!$H$6:$H$405,$AN1136)&lt;&gt;"",INDEX(職員マスタ!$H$6:$H$405,$AN1136)&lt;$AO1136))),"対象月が時短期間外／","")&amp;IF(AND(INDEX(職員マスタ!$F$6:$F$405,$AN1136)&lt;&gt;"",$AO1136&lt;&gt;"",INDEX(職員マスタ!$F$6:$F$405,$AN1136)&lt;$AO1136),"対象月に子が2歳到達済／","")&amp;IF(AND($H1136&lt;&gt;"",INDEX(職員マスタ!$B$6:$B$405,$AN1136)&lt;&gt;"",SUBSTITUTE(SUBSTITUTE($H1136," ","")," ","")&lt;&gt;SUBSTITUTE(SUBSTITUTE(INDEX(職員マスタ!$B$6:$B$405,$AN1136)," ","")," ","")),"氏名がマスタと相違／","")&amp;IF(AND($Q1136&lt;&gt;"",INDEX(職員マスタ!$E$6:$E$405,$AN1136)&lt;&gt;"",$Q1136&lt;&gt;INDEX(職員マスタ!$E$6:$E$405,$AN1136)),"子の生年月日がマスタと相違／","")&amp;IF(AND($L1136&lt;&gt;"",INDEX(職員マスタ!$G$6:$G$405,$AN1136)&lt;&gt;"",$L1136&lt;&gt;INDEX(職員マスタ!$G$6:$G$405,$AN1136)),"時短開始日がマスタと相違／","")&amp;IF(AND($M1136&lt;&gt;"",INDEX(職員マスタ!$H$6:$H$405,$AN1136)&lt;&gt;"",$M1136&lt;&gt;INDEX(職員マスタ!$H$6:$H$405,$AN1136)),"時短終了日がマスタと相違／","")))&amp;IF(AND($B1136&lt;&gt;"",$E1136=""),"報酬額が未入力／","")&amp;IF(N($U1136)&gt;0,"申請書に入力エラーが残っています／","")&amp;IF(AND($B1136&lt;&gt;"",$AO1136&lt;&gt;""),IF(COUNTIFS($B$6:$B$3005,$B1136,$C$6:$C$3005,$C1136,$D$6:$D$3005,$D1136)&gt;1,"同じ月の請求が重複しています／",""),"")&amp;IF(AND(N($E1136)&gt;0,$Z1136&lt;&gt;"",$Z1136&lt;&gt;"×",$AC1136=0,$AB1136=""),"計算額が下限以下のため不支給／",""))</f>
        <v/>
      </c>
      <c r="AL1136" s="12" t="n"/>
      <c r="AM1136" s="14">
        <f>IF($AD1136="保留中",COUNTIF($AD$6:$AD1136,"保留中"),"")</f>
        <v/>
      </c>
      <c r="AN1136" s="14">
        <f>IF($AO1136="","",IF(SUMPRODUCT(MAX((職員マスタ!$A$6:$A$405=$B1136)*(((職員マスタ!$G$6:$G$405="")+(職員マスタ!$G$6:$G$405&lt;=EOMONTH($AO1136,0)))&gt;0)*(((職員マスタ!$H$6:$H$405="")+(職員マスタ!$H$6:$H$405&gt;=$AO1136))&gt;0)*(ROW(職員マスタ!$A$6:$A$405)-5)))&gt;0,SUMPRODUCT(MAX((職員マスタ!$A$6:$A$405=$B1136)*(((職員マスタ!$G$6:$G$405="")+(職員マスタ!$G$6:$G$405&lt;=EOMONTH($AO1136,0)))&gt;0)*(((職員マスタ!$H$6:$H$405="")+(職員マスタ!$H$6:$H$405&gt;=$AO1136))&gt;0)*(ROW(職員マスタ!$A$6:$A$405)-5))),IFERROR(MATCH($B1136,職員マスタ!$A$6:$A$405,0),"")))</f>
        <v/>
      </c>
      <c r="AO1136" s="16">
        <f>IF(OR($B1136="",$C1136="",$D1136=""),"",DATE($C1136+2018,$D1136,1))</f>
        <v/>
      </c>
    </row>
    <row r="1137">
      <c r="A1137" s="11" t="n"/>
      <c r="B1137" s="12" t="n"/>
      <c r="C1137" s="12" t="n"/>
      <c r="D1137" s="12" t="n"/>
      <c r="E1137" s="13" t="n"/>
      <c r="F1137" s="12" t="n"/>
      <c r="G1137" s="13" t="n"/>
      <c r="H1137" s="12" t="n"/>
      <c r="I1137" s="12" t="n"/>
      <c r="J1137" s="12" t="n"/>
      <c r="K1137" s="12" t="n"/>
      <c r="L1137" s="11" t="n"/>
      <c r="M1137" s="11" t="n"/>
      <c r="N1137" s="11" t="n"/>
      <c r="O1137" s="11" t="n"/>
      <c r="P1137" s="12" t="n"/>
      <c r="Q1137" s="11" t="n"/>
      <c r="R1137" s="12" t="n"/>
      <c r="S1137" s="11" t="n"/>
      <c r="T1137" s="12" t="n"/>
      <c r="U1137" s="12" t="n"/>
      <c r="V1137" s="14">
        <f>IF($AN1137="",IF($B1137="","",$H1137),IF(INDEX(職員マスタ!$B$6:$B$405,$AN1137)="",$H1137,INDEX(職員マスタ!$B$6:$B$405,$AN1137)))</f>
        <v/>
      </c>
      <c r="W1137" s="14">
        <f>IF($AN1137="",IF($B1137="","",$R1137),IF(INDEX(職員マスタ!$C$6:$C$405,$AN1137)="",$R1137,INDEX(職員マスタ!$C$6:$C$405,$AN1137)))</f>
        <v/>
      </c>
      <c r="X1137" s="14">
        <f>IF($AO1137="","","R"&amp;$C1137&amp;"."&amp;$D1137)</f>
        <v/>
      </c>
      <c r="Y1137" s="15">
        <f>IF($AN1137="","",IF(INDEX(職員マスタ!$K$6:$K$405,$AN1137)="","",INDEX(職員マスタ!$K$6:$K$405,$AN1137)))</f>
        <v/>
      </c>
      <c r="Z1137" s="14">
        <f>IF(OR($E1137="",$Y1137=""),"",IF($E1137&gt;=$Y1137,"×",IF($E1137&gt;=$Y1137*設定!$C$5,"△","○")))</f>
        <v/>
      </c>
      <c r="AA1137" s="15">
        <f>IF($Z1137="","",IF($Z1137="×",0,IF($Z1137="○",ROUNDDOWN($E1137*設定!$C$4,0),ROUNDDOWN($E1137*ROUND((9*$Y1137-9*$E1137)/(10*$E1137),4),0))))</f>
        <v/>
      </c>
      <c r="AB1137" s="13" t="n"/>
      <c r="AC1137" s="15">
        <f>IF($B1137="","",IF($AB1137&lt;&gt;"",$AB1137,IF($AA1137="","",IF($AA1137&lt;=設定!$C$3,0,$AA1137))))</f>
        <v/>
      </c>
      <c r="AD1137" s="14">
        <f>IF($B1137="","",IF(AND($AE1137&lt;&gt;"",$AG1137="",$AJ1137=""),"保留中",IF($AJ1137&lt;&gt;"",IF(N($AC1137)&gt;0,"支給済","不支給"),IF($AC1137="","要確認",IF($AC1137=0,"不支給","未処理")))))</f>
        <v/>
      </c>
      <c r="AE1137" s="12" t="n"/>
      <c r="AF1137" s="11" t="n"/>
      <c r="AG1137" s="11" t="n"/>
      <c r="AH1137" s="11" t="n"/>
      <c r="AI1137" s="14">
        <f>IF(AND($AD1137="保留中",$AF1137&lt;&gt;""),TODAY()-$AF1137,"")</f>
        <v/>
      </c>
      <c r="AJ1137" s="12" t="n"/>
      <c r="AK1137" s="14">
        <f>IF($B1137="","",IF($AO1137="","対象年月が未入力／","")&amp;IF($B1137="","",IF($AN1137="","職員マスタに未登録の職員番号／",IF($Y1137="","標準報酬月額が未登録／","")&amp;IF(AND($AO1137&lt;&gt;"",OR(AND(INDEX(職員マスタ!$G$6:$G$405,$AN1137)&lt;&gt;"",INDEX(職員マスタ!$G$6:$G$405,$AN1137)&gt;EOMONTH($AO1137,0)),AND(INDEX(職員マスタ!$H$6:$H$405,$AN1137)&lt;&gt;"",INDEX(職員マスタ!$H$6:$H$405,$AN1137)&lt;$AO1137))),"対象月が時短期間外／","")&amp;IF(AND(INDEX(職員マスタ!$F$6:$F$405,$AN1137)&lt;&gt;"",$AO1137&lt;&gt;"",INDEX(職員マスタ!$F$6:$F$405,$AN1137)&lt;$AO1137),"対象月に子が2歳到達済／","")&amp;IF(AND($H1137&lt;&gt;"",INDEX(職員マスタ!$B$6:$B$405,$AN1137)&lt;&gt;"",SUBSTITUTE(SUBSTITUTE($H1137," ","")," ","")&lt;&gt;SUBSTITUTE(SUBSTITUTE(INDEX(職員マスタ!$B$6:$B$405,$AN1137)," ","")," ","")),"氏名がマスタと相違／","")&amp;IF(AND($Q1137&lt;&gt;"",INDEX(職員マスタ!$E$6:$E$405,$AN1137)&lt;&gt;"",$Q1137&lt;&gt;INDEX(職員マスタ!$E$6:$E$405,$AN1137)),"子の生年月日がマスタと相違／","")&amp;IF(AND($L1137&lt;&gt;"",INDEX(職員マスタ!$G$6:$G$405,$AN1137)&lt;&gt;"",$L1137&lt;&gt;INDEX(職員マスタ!$G$6:$G$405,$AN1137)),"時短開始日がマスタと相違／","")&amp;IF(AND($M1137&lt;&gt;"",INDEX(職員マスタ!$H$6:$H$405,$AN1137)&lt;&gt;"",$M1137&lt;&gt;INDEX(職員マスタ!$H$6:$H$405,$AN1137)),"時短終了日がマスタと相違／","")))&amp;IF(AND($B1137&lt;&gt;"",$E1137=""),"報酬額が未入力／","")&amp;IF(N($U1137)&gt;0,"申請書に入力エラーが残っています／","")&amp;IF(AND($B1137&lt;&gt;"",$AO1137&lt;&gt;""),IF(COUNTIFS($B$6:$B$3005,$B1137,$C$6:$C$3005,$C1137,$D$6:$D$3005,$D1137)&gt;1,"同じ月の請求が重複しています／",""),"")&amp;IF(AND(N($E1137)&gt;0,$Z1137&lt;&gt;"",$Z1137&lt;&gt;"×",$AC1137=0,$AB1137=""),"計算額が下限以下のため不支給／",""))</f>
        <v/>
      </c>
      <c r="AL1137" s="12" t="n"/>
      <c r="AM1137" s="14">
        <f>IF($AD1137="保留中",COUNTIF($AD$6:$AD1137,"保留中"),"")</f>
        <v/>
      </c>
      <c r="AN1137" s="14">
        <f>IF($AO1137="","",IF(SUMPRODUCT(MAX((職員マスタ!$A$6:$A$405=$B1137)*(((職員マスタ!$G$6:$G$405="")+(職員マスタ!$G$6:$G$405&lt;=EOMONTH($AO1137,0)))&gt;0)*(((職員マスタ!$H$6:$H$405="")+(職員マスタ!$H$6:$H$405&gt;=$AO1137))&gt;0)*(ROW(職員マスタ!$A$6:$A$405)-5)))&gt;0,SUMPRODUCT(MAX((職員マスタ!$A$6:$A$405=$B1137)*(((職員マスタ!$G$6:$G$405="")+(職員マスタ!$G$6:$G$405&lt;=EOMONTH($AO1137,0)))&gt;0)*(((職員マスタ!$H$6:$H$405="")+(職員マスタ!$H$6:$H$405&gt;=$AO1137))&gt;0)*(ROW(職員マスタ!$A$6:$A$405)-5))),IFERROR(MATCH($B1137,職員マスタ!$A$6:$A$405,0),"")))</f>
        <v/>
      </c>
      <c r="AO1137" s="16">
        <f>IF(OR($B1137="",$C1137="",$D1137=""),"",DATE($C1137+2018,$D1137,1))</f>
        <v/>
      </c>
    </row>
    <row r="1138">
      <c r="A1138" s="11" t="n"/>
      <c r="B1138" s="12" t="n"/>
      <c r="C1138" s="12" t="n"/>
      <c r="D1138" s="12" t="n"/>
      <c r="E1138" s="13" t="n"/>
      <c r="F1138" s="12" t="n"/>
      <c r="G1138" s="13" t="n"/>
      <c r="H1138" s="12" t="n"/>
      <c r="I1138" s="12" t="n"/>
      <c r="J1138" s="12" t="n"/>
      <c r="K1138" s="12" t="n"/>
      <c r="L1138" s="11" t="n"/>
      <c r="M1138" s="11" t="n"/>
      <c r="N1138" s="11" t="n"/>
      <c r="O1138" s="11" t="n"/>
      <c r="P1138" s="12" t="n"/>
      <c r="Q1138" s="11" t="n"/>
      <c r="R1138" s="12" t="n"/>
      <c r="S1138" s="11" t="n"/>
      <c r="T1138" s="12" t="n"/>
      <c r="U1138" s="12" t="n"/>
      <c r="V1138" s="14">
        <f>IF($AN1138="",IF($B1138="","",$H1138),IF(INDEX(職員マスタ!$B$6:$B$405,$AN1138)="",$H1138,INDEX(職員マスタ!$B$6:$B$405,$AN1138)))</f>
        <v/>
      </c>
      <c r="W1138" s="14">
        <f>IF($AN1138="",IF($B1138="","",$R1138),IF(INDEX(職員マスタ!$C$6:$C$405,$AN1138)="",$R1138,INDEX(職員マスタ!$C$6:$C$405,$AN1138)))</f>
        <v/>
      </c>
      <c r="X1138" s="14">
        <f>IF($AO1138="","","R"&amp;$C1138&amp;"."&amp;$D1138)</f>
        <v/>
      </c>
      <c r="Y1138" s="15">
        <f>IF($AN1138="","",IF(INDEX(職員マスタ!$K$6:$K$405,$AN1138)="","",INDEX(職員マスタ!$K$6:$K$405,$AN1138)))</f>
        <v/>
      </c>
      <c r="Z1138" s="14">
        <f>IF(OR($E1138="",$Y1138=""),"",IF($E1138&gt;=$Y1138,"×",IF($E1138&gt;=$Y1138*設定!$C$5,"△","○")))</f>
        <v/>
      </c>
      <c r="AA1138" s="15">
        <f>IF($Z1138="","",IF($Z1138="×",0,IF($Z1138="○",ROUNDDOWN($E1138*設定!$C$4,0),ROUNDDOWN($E1138*ROUND((9*$Y1138-9*$E1138)/(10*$E1138),4),0))))</f>
        <v/>
      </c>
      <c r="AB1138" s="13" t="n"/>
      <c r="AC1138" s="15">
        <f>IF($B1138="","",IF($AB1138&lt;&gt;"",$AB1138,IF($AA1138="","",IF($AA1138&lt;=設定!$C$3,0,$AA1138))))</f>
        <v/>
      </c>
      <c r="AD1138" s="14">
        <f>IF($B1138="","",IF(AND($AE1138&lt;&gt;"",$AG1138="",$AJ1138=""),"保留中",IF($AJ1138&lt;&gt;"",IF(N($AC1138)&gt;0,"支給済","不支給"),IF($AC1138="","要確認",IF($AC1138=0,"不支給","未処理")))))</f>
        <v/>
      </c>
      <c r="AE1138" s="12" t="n"/>
      <c r="AF1138" s="11" t="n"/>
      <c r="AG1138" s="11" t="n"/>
      <c r="AH1138" s="11" t="n"/>
      <c r="AI1138" s="14">
        <f>IF(AND($AD1138="保留中",$AF1138&lt;&gt;""),TODAY()-$AF1138,"")</f>
        <v/>
      </c>
      <c r="AJ1138" s="12" t="n"/>
      <c r="AK1138" s="14">
        <f>IF($B1138="","",IF($AO1138="","対象年月が未入力／","")&amp;IF($B1138="","",IF($AN1138="","職員マスタに未登録の職員番号／",IF($Y1138="","標準報酬月額が未登録／","")&amp;IF(AND($AO1138&lt;&gt;"",OR(AND(INDEX(職員マスタ!$G$6:$G$405,$AN1138)&lt;&gt;"",INDEX(職員マスタ!$G$6:$G$405,$AN1138)&gt;EOMONTH($AO1138,0)),AND(INDEX(職員マスタ!$H$6:$H$405,$AN1138)&lt;&gt;"",INDEX(職員マスタ!$H$6:$H$405,$AN1138)&lt;$AO1138))),"対象月が時短期間外／","")&amp;IF(AND(INDEX(職員マスタ!$F$6:$F$405,$AN1138)&lt;&gt;"",$AO1138&lt;&gt;"",INDEX(職員マスタ!$F$6:$F$405,$AN1138)&lt;$AO1138),"対象月に子が2歳到達済／","")&amp;IF(AND($H1138&lt;&gt;"",INDEX(職員マスタ!$B$6:$B$405,$AN1138)&lt;&gt;"",SUBSTITUTE(SUBSTITUTE($H1138," ","")," ","")&lt;&gt;SUBSTITUTE(SUBSTITUTE(INDEX(職員マスタ!$B$6:$B$405,$AN1138)," ","")," ","")),"氏名がマスタと相違／","")&amp;IF(AND($Q1138&lt;&gt;"",INDEX(職員マスタ!$E$6:$E$405,$AN1138)&lt;&gt;"",$Q1138&lt;&gt;INDEX(職員マスタ!$E$6:$E$405,$AN1138)),"子の生年月日がマスタと相違／","")&amp;IF(AND($L1138&lt;&gt;"",INDEX(職員マスタ!$G$6:$G$405,$AN1138)&lt;&gt;"",$L1138&lt;&gt;INDEX(職員マスタ!$G$6:$G$405,$AN1138)),"時短開始日がマスタと相違／","")&amp;IF(AND($M1138&lt;&gt;"",INDEX(職員マスタ!$H$6:$H$405,$AN1138)&lt;&gt;"",$M1138&lt;&gt;INDEX(職員マスタ!$H$6:$H$405,$AN1138)),"時短終了日がマスタと相違／","")))&amp;IF(AND($B1138&lt;&gt;"",$E1138=""),"報酬額が未入力／","")&amp;IF(N($U1138)&gt;0,"申請書に入力エラーが残っています／","")&amp;IF(AND($B1138&lt;&gt;"",$AO1138&lt;&gt;""),IF(COUNTIFS($B$6:$B$3005,$B1138,$C$6:$C$3005,$C1138,$D$6:$D$3005,$D1138)&gt;1,"同じ月の請求が重複しています／",""),"")&amp;IF(AND(N($E1138)&gt;0,$Z1138&lt;&gt;"",$Z1138&lt;&gt;"×",$AC1138=0,$AB1138=""),"計算額が下限以下のため不支給／",""))</f>
        <v/>
      </c>
      <c r="AL1138" s="12" t="n"/>
      <c r="AM1138" s="14">
        <f>IF($AD1138="保留中",COUNTIF($AD$6:$AD1138,"保留中"),"")</f>
        <v/>
      </c>
      <c r="AN1138" s="14">
        <f>IF($AO1138="","",IF(SUMPRODUCT(MAX((職員マスタ!$A$6:$A$405=$B1138)*(((職員マスタ!$G$6:$G$405="")+(職員マスタ!$G$6:$G$405&lt;=EOMONTH($AO1138,0)))&gt;0)*(((職員マスタ!$H$6:$H$405="")+(職員マスタ!$H$6:$H$405&gt;=$AO1138))&gt;0)*(ROW(職員マスタ!$A$6:$A$405)-5)))&gt;0,SUMPRODUCT(MAX((職員マスタ!$A$6:$A$405=$B1138)*(((職員マスタ!$G$6:$G$405="")+(職員マスタ!$G$6:$G$405&lt;=EOMONTH($AO1138,0)))&gt;0)*(((職員マスタ!$H$6:$H$405="")+(職員マスタ!$H$6:$H$405&gt;=$AO1138))&gt;0)*(ROW(職員マスタ!$A$6:$A$405)-5))),IFERROR(MATCH($B1138,職員マスタ!$A$6:$A$405,0),"")))</f>
        <v/>
      </c>
      <c r="AO1138" s="16">
        <f>IF(OR($B1138="",$C1138="",$D1138=""),"",DATE($C1138+2018,$D1138,1))</f>
        <v/>
      </c>
    </row>
    <row r="1139">
      <c r="A1139" s="11" t="n"/>
      <c r="B1139" s="12" t="n"/>
      <c r="C1139" s="12" t="n"/>
      <c r="D1139" s="12" t="n"/>
      <c r="E1139" s="13" t="n"/>
      <c r="F1139" s="12" t="n"/>
      <c r="G1139" s="13" t="n"/>
      <c r="H1139" s="12" t="n"/>
      <c r="I1139" s="12" t="n"/>
      <c r="J1139" s="12" t="n"/>
      <c r="K1139" s="12" t="n"/>
      <c r="L1139" s="11" t="n"/>
      <c r="M1139" s="11" t="n"/>
      <c r="N1139" s="11" t="n"/>
      <c r="O1139" s="11" t="n"/>
      <c r="P1139" s="12" t="n"/>
      <c r="Q1139" s="11" t="n"/>
      <c r="R1139" s="12" t="n"/>
      <c r="S1139" s="11" t="n"/>
      <c r="T1139" s="12" t="n"/>
      <c r="U1139" s="12" t="n"/>
      <c r="V1139" s="14">
        <f>IF($AN1139="",IF($B1139="","",$H1139),IF(INDEX(職員マスタ!$B$6:$B$405,$AN1139)="",$H1139,INDEX(職員マスタ!$B$6:$B$405,$AN1139)))</f>
        <v/>
      </c>
      <c r="W1139" s="14">
        <f>IF($AN1139="",IF($B1139="","",$R1139),IF(INDEX(職員マスタ!$C$6:$C$405,$AN1139)="",$R1139,INDEX(職員マスタ!$C$6:$C$405,$AN1139)))</f>
        <v/>
      </c>
      <c r="X1139" s="14">
        <f>IF($AO1139="","","R"&amp;$C1139&amp;"."&amp;$D1139)</f>
        <v/>
      </c>
      <c r="Y1139" s="15">
        <f>IF($AN1139="","",IF(INDEX(職員マスタ!$K$6:$K$405,$AN1139)="","",INDEX(職員マスタ!$K$6:$K$405,$AN1139)))</f>
        <v/>
      </c>
      <c r="Z1139" s="14">
        <f>IF(OR($E1139="",$Y1139=""),"",IF($E1139&gt;=$Y1139,"×",IF($E1139&gt;=$Y1139*設定!$C$5,"△","○")))</f>
        <v/>
      </c>
      <c r="AA1139" s="15">
        <f>IF($Z1139="","",IF($Z1139="×",0,IF($Z1139="○",ROUNDDOWN($E1139*設定!$C$4,0),ROUNDDOWN($E1139*ROUND((9*$Y1139-9*$E1139)/(10*$E1139),4),0))))</f>
        <v/>
      </c>
      <c r="AB1139" s="13" t="n"/>
      <c r="AC1139" s="15">
        <f>IF($B1139="","",IF($AB1139&lt;&gt;"",$AB1139,IF($AA1139="","",IF($AA1139&lt;=設定!$C$3,0,$AA1139))))</f>
        <v/>
      </c>
      <c r="AD1139" s="14">
        <f>IF($B1139="","",IF(AND($AE1139&lt;&gt;"",$AG1139="",$AJ1139=""),"保留中",IF($AJ1139&lt;&gt;"",IF(N($AC1139)&gt;0,"支給済","不支給"),IF($AC1139="","要確認",IF($AC1139=0,"不支給","未処理")))))</f>
        <v/>
      </c>
      <c r="AE1139" s="12" t="n"/>
      <c r="AF1139" s="11" t="n"/>
      <c r="AG1139" s="11" t="n"/>
      <c r="AH1139" s="11" t="n"/>
      <c r="AI1139" s="14">
        <f>IF(AND($AD1139="保留中",$AF1139&lt;&gt;""),TODAY()-$AF1139,"")</f>
        <v/>
      </c>
      <c r="AJ1139" s="12" t="n"/>
      <c r="AK1139" s="14">
        <f>IF($B1139="","",IF($AO1139="","対象年月が未入力／","")&amp;IF($B1139="","",IF($AN1139="","職員マスタに未登録の職員番号／",IF($Y1139="","標準報酬月額が未登録／","")&amp;IF(AND($AO1139&lt;&gt;"",OR(AND(INDEX(職員マスタ!$G$6:$G$405,$AN1139)&lt;&gt;"",INDEX(職員マスタ!$G$6:$G$405,$AN1139)&gt;EOMONTH($AO1139,0)),AND(INDEX(職員マスタ!$H$6:$H$405,$AN1139)&lt;&gt;"",INDEX(職員マスタ!$H$6:$H$405,$AN1139)&lt;$AO1139))),"対象月が時短期間外／","")&amp;IF(AND(INDEX(職員マスタ!$F$6:$F$405,$AN1139)&lt;&gt;"",$AO1139&lt;&gt;"",INDEX(職員マスタ!$F$6:$F$405,$AN1139)&lt;$AO1139),"対象月に子が2歳到達済／","")&amp;IF(AND($H1139&lt;&gt;"",INDEX(職員マスタ!$B$6:$B$405,$AN1139)&lt;&gt;"",SUBSTITUTE(SUBSTITUTE($H1139," ","")," ","")&lt;&gt;SUBSTITUTE(SUBSTITUTE(INDEX(職員マスタ!$B$6:$B$405,$AN1139)," ","")," ","")),"氏名がマスタと相違／","")&amp;IF(AND($Q1139&lt;&gt;"",INDEX(職員マスタ!$E$6:$E$405,$AN1139)&lt;&gt;"",$Q1139&lt;&gt;INDEX(職員マスタ!$E$6:$E$405,$AN1139)),"子の生年月日がマスタと相違／","")&amp;IF(AND($L1139&lt;&gt;"",INDEX(職員マスタ!$G$6:$G$405,$AN1139)&lt;&gt;"",$L1139&lt;&gt;INDEX(職員マスタ!$G$6:$G$405,$AN1139)),"時短開始日がマスタと相違／","")&amp;IF(AND($M1139&lt;&gt;"",INDEX(職員マスタ!$H$6:$H$405,$AN1139)&lt;&gt;"",$M1139&lt;&gt;INDEX(職員マスタ!$H$6:$H$405,$AN1139)),"時短終了日がマスタと相違／","")))&amp;IF(AND($B1139&lt;&gt;"",$E1139=""),"報酬額が未入力／","")&amp;IF(N($U1139)&gt;0,"申請書に入力エラーが残っています／","")&amp;IF(AND($B1139&lt;&gt;"",$AO1139&lt;&gt;""),IF(COUNTIFS($B$6:$B$3005,$B1139,$C$6:$C$3005,$C1139,$D$6:$D$3005,$D1139)&gt;1,"同じ月の請求が重複しています／",""),"")&amp;IF(AND(N($E1139)&gt;0,$Z1139&lt;&gt;"",$Z1139&lt;&gt;"×",$AC1139=0,$AB1139=""),"計算額が下限以下のため不支給／",""))</f>
        <v/>
      </c>
      <c r="AL1139" s="12" t="n"/>
      <c r="AM1139" s="14">
        <f>IF($AD1139="保留中",COUNTIF($AD$6:$AD1139,"保留中"),"")</f>
        <v/>
      </c>
      <c r="AN1139" s="14">
        <f>IF($AO1139="","",IF(SUMPRODUCT(MAX((職員マスタ!$A$6:$A$405=$B1139)*(((職員マスタ!$G$6:$G$405="")+(職員マスタ!$G$6:$G$405&lt;=EOMONTH($AO1139,0)))&gt;0)*(((職員マスタ!$H$6:$H$405="")+(職員マスタ!$H$6:$H$405&gt;=$AO1139))&gt;0)*(ROW(職員マスタ!$A$6:$A$405)-5)))&gt;0,SUMPRODUCT(MAX((職員マスタ!$A$6:$A$405=$B1139)*(((職員マスタ!$G$6:$G$405="")+(職員マスタ!$G$6:$G$405&lt;=EOMONTH($AO1139,0)))&gt;0)*(((職員マスタ!$H$6:$H$405="")+(職員マスタ!$H$6:$H$405&gt;=$AO1139))&gt;0)*(ROW(職員マスタ!$A$6:$A$405)-5))),IFERROR(MATCH($B1139,職員マスタ!$A$6:$A$405,0),"")))</f>
        <v/>
      </c>
      <c r="AO1139" s="16">
        <f>IF(OR($B1139="",$C1139="",$D1139=""),"",DATE($C1139+2018,$D1139,1))</f>
        <v/>
      </c>
    </row>
    <row r="1140">
      <c r="A1140" s="11" t="n"/>
      <c r="B1140" s="12" t="n"/>
      <c r="C1140" s="12" t="n"/>
      <c r="D1140" s="12" t="n"/>
      <c r="E1140" s="13" t="n"/>
      <c r="F1140" s="12" t="n"/>
      <c r="G1140" s="13" t="n"/>
      <c r="H1140" s="12" t="n"/>
      <c r="I1140" s="12" t="n"/>
      <c r="J1140" s="12" t="n"/>
      <c r="K1140" s="12" t="n"/>
      <c r="L1140" s="11" t="n"/>
      <c r="M1140" s="11" t="n"/>
      <c r="N1140" s="11" t="n"/>
      <c r="O1140" s="11" t="n"/>
      <c r="P1140" s="12" t="n"/>
      <c r="Q1140" s="11" t="n"/>
      <c r="R1140" s="12" t="n"/>
      <c r="S1140" s="11" t="n"/>
      <c r="T1140" s="12" t="n"/>
      <c r="U1140" s="12" t="n"/>
      <c r="V1140" s="14">
        <f>IF($AN1140="",IF($B1140="","",$H1140),IF(INDEX(職員マスタ!$B$6:$B$405,$AN1140)="",$H1140,INDEX(職員マスタ!$B$6:$B$405,$AN1140)))</f>
        <v/>
      </c>
      <c r="W1140" s="14">
        <f>IF($AN1140="",IF($B1140="","",$R1140),IF(INDEX(職員マスタ!$C$6:$C$405,$AN1140)="",$R1140,INDEX(職員マスタ!$C$6:$C$405,$AN1140)))</f>
        <v/>
      </c>
      <c r="X1140" s="14">
        <f>IF($AO1140="","","R"&amp;$C1140&amp;"."&amp;$D1140)</f>
        <v/>
      </c>
      <c r="Y1140" s="15">
        <f>IF($AN1140="","",IF(INDEX(職員マスタ!$K$6:$K$405,$AN1140)="","",INDEX(職員マスタ!$K$6:$K$405,$AN1140)))</f>
        <v/>
      </c>
      <c r="Z1140" s="14">
        <f>IF(OR($E1140="",$Y1140=""),"",IF($E1140&gt;=$Y1140,"×",IF($E1140&gt;=$Y1140*設定!$C$5,"△","○")))</f>
        <v/>
      </c>
      <c r="AA1140" s="15">
        <f>IF($Z1140="","",IF($Z1140="×",0,IF($Z1140="○",ROUNDDOWN($E1140*設定!$C$4,0),ROUNDDOWN($E1140*ROUND((9*$Y1140-9*$E1140)/(10*$E1140),4),0))))</f>
        <v/>
      </c>
      <c r="AB1140" s="13" t="n"/>
      <c r="AC1140" s="15">
        <f>IF($B1140="","",IF($AB1140&lt;&gt;"",$AB1140,IF($AA1140="","",IF($AA1140&lt;=設定!$C$3,0,$AA1140))))</f>
        <v/>
      </c>
      <c r="AD1140" s="14">
        <f>IF($B1140="","",IF(AND($AE1140&lt;&gt;"",$AG1140="",$AJ1140=""),"保留中",IF($AJ1140&lt;&gt;"",IF(N($AC1140)&gt;0,"支給済","不支給"),IF($AC1140="","要確認",IF($AC1140=0,"不支給","未処理")))))</f>
        <v/>
      </c>
      <c r="AE1140" s="12" t="n"/>
      <c r="AF1140" s="11" t="n"/>
      <c r="AG1140" s="11" t="n"/>
      <c r="AH1140" s="11" t="n"/>
      <c r="AI1140" s="14">
        <f>IF(AND($AD1140="保留中",$AF1140&lt;&gt;""),TODAY()-$AF1140,"")</f>
        <v/>
      </c>
      <c r="AJ1140" s="12" t="n"/>
      <c r="AK1140" s="14">
        <f>IF($B1140="","",IF($AO1140="","対象年月が未入力／","")&amp;IF($B1140="","",IF($AN1140="","職員マスタに未登録の職員番号／",IF($Y1140="","標準報酬月額が未登録／","")&amp;IF(AND($AO1140&lt;&gt;"",OR(AND(INDEX(職員マスタ!$G$6:$G$405,$AN1140)&lt;&gt;"",INDEX(職員マスタ!$G$6:$G$405,$AN1140)&gt;EOMONTH($AO1140,0)),AND(INDEX(職員マスタ!$H$6:$H$405,$AN1140)&lt;&gt;"",INDEX(職員マスタ!$H$6:$H$405,$AN1140)&lt;$AO1140))),"対象月が時短期間外／","")&amp;IF(AND(INDEX(職員マスタ!$F$6:$F$405,$AN1140)&lt;&gt;"",$AO1140&lt;&gt;"",INDEX(職員マスタ!$F$6:$F$405,$AN1140)&lt;$AO1140),"対象月に子が2歳到達済／","")&amp;IF(AND($H1140&lt;&gt;"",INDEX(職員マスタ!$B$6:$B$405,$AN1140)&lt;&gt;"",SUBSTITUTE(SUBSTITUTE($H1140," ","")," ","")&lt;&gt;SUBSTITUTE(SUBSTITUTE(INDEX(職員マスタ!$B$6:$B$405,$AN1140)," ","")," ","")),"氏名がマスタと相違／","")&amp;IF(AND($Q1140&lt;&gt;"",INDEX(職員マスタ!$E$6:$E$405,$AN1140)&lt;&gt;"",$Q1140&lt;&gt;INDEX(職員マスタ!$E$6:$E$405,$AN1140)),"子の生年月日がマスタと相違／","")&amp;IF(AND($L1140&lt;&gt;"",INDEX(職員マスタ!$G$6:$G$405,$AN1140)&lt;&gt;"",$L1140&lt;&gt;INDEX(職員マスタ!$G$6:$G$405,$AN1140)),"時短開始日がマスタと相違／","")&amp;IF(AND($M1140&lt;&gt;"",INDEX(職員マスタ!$H$6:$H$405,$AN1140)&lt;&gt;"",$M1140&lt;&gt;INDEX(職員マスタ!$H$6:$H$405,$AN1140)),"時短終了日がマスタと相違／","")))&amp;IF(AND($B1140&lt;&gt;"",$E1140=""),"報酬額が未入力／","")&amp;IF(N($U1140)&gt;0,"申請書に入力エラーが残っています／","")&amp;IF(AND($B1140&lt;&gt;"",$AO1140&lt;&gt;""),IF(COUNTIFS($B$6:$B$3005,$B1140,$C$6:$C$3005,$C1140,$D$6:$D$3005,$D1140)&gt;1,"同じ月の請求が重複しています／",""),"")&amp;IF(AND(N($E1140)&gt;0,$Z1140&lt;&gt;"",$Z1140&lt;&gt;"×",$AC1140=0,$AB1140=""),"計算額が下限以下のため不支給／",""))</f>
        <v/>
      </c>
      <c r="AL1140" s="12" t="n"/>
      <c r="AM1140" s="14">
        <f>IF($AD1140="保留中",COUNTIF($AD$6:$AD1140,"保留中"),"")</f>
        <v/>
      </c>
      <c r="AN1140" s="14">
        <f>IF($AO1140="","",IF(SUMPRODUCT(MAX((職員マスタ!$A$6:$A$405=$B1140)*(((職員マスタ!$G$6:$G$405="")+(職員マスタ!$G$6:$G$405&lt;=EOMONTH($AO1140,0)))&gt;0)*(((職員マスタ!$H$6:$H$405="")+(職員マスタ!$H$6:$H$405&gt;=$AO1140))&gt;0)*(ROW(職員マスタ!$A$6:$A$405)-5)))&gt;0,SUMPRODUCT(MAX((職員マスタ!$A$6:$A$405=$B1140)*(((職員マスタ!$G$6:$G$405="")+(職員マスタ!$G$6:$G$405&lt;=EOMONTH($AO1140,0)))&gt;0)*(((職員マスタ!$H$6:$H$405="")+(職員マスタ!$H$6:$H$405&gt;=$AO1140))&gt;0)*(ROW(職員マスタ!$A$6:$A$405)-5))),IFERROR(MATCH($B1140,職員マスタ!$A$6:$A$405,0),"")))</f>
        <v/>
      </c>
      <c r="AO1140" s="16">
        <f>IF(OR($B1140="",$C1140="",$D1140=""),"",DATE($C1140+2018,$D1140,1))</f>
        <v/>
      </c>
    </row>
    <row r="1141">
      <c r="A1141" s="11" t="n"/>
      <c r="B1141" s="12" t="n"/>
      <c r="C1141" s="12" t="n"/>
      <c r="D1141" s="12" t="n"/>
      <c r="E1141" s="13" t="n"/>
      <c r="F1141" s="12" t="n"/>
      <c r="G1141" s="13" t="n"/>
      <c r="H1141" s="12" t="n"/>
      <c r="I1141" s="12" t="n"/>
      <c r="J1141" s="12" t="n"/>
      <c r="K1141" s="12" t="n"/>
      <c r="L1141" s="11" t="n"/>
      <c r="M1141" s="11" t="n"/>
      <c r="N1141" s="11" t="n"/>
      <c r="O1141" s="11" t="n"/>
      <c r="P1141" s="12" t="n"/>
      <c r="Q1141" s="11" t="n"/>
      <c r="R1141" s="12" t="n"/>
      <c r="S1141" s="11" t="n"/>
      <c r="T1141" s="12" t="n"/>
      <c r="U1141" s="12" t="n"/>
      <c r="V1141" s="14">
        <f>IF($AN1141="",IF($B1141="","",$H1141),IF(INDEX(職員マスタ!$B$6:$B$405,$AN1141)="",$H1141,INDEX(職員マスタ!$B$6:$B$405,$AN1141)))</f>
        <v/>
      </c>
      <c r="W1141" s="14">
        <f>IF($AN1141="",IF($B1141="","",$R1141),IF(INDEX(職員マスタ!$C$6:$C$405,$AN1141)="",$R1141,INDEX(職員マスタ!$C$6:$C$405,$AN1141)))</f>
        <v/>
      </c>
      <c r="X1141" s="14">
        <f>IF($AO1141="","","R"&amp;$C1141&amp;"."&amp;$D1141)</f>
        <v/>
      </c>
      <c r="Y1141" s="15">
        <f>IF($AN1141="","",IF(INDEX(職員マスタ!$K$6:$K$405,$AN1141)="","",INDEX(職員マスタ!$K$6:$K$405,$AN1141)))</f>
        <v/>
      </c>
      <c r="Z1141" s="14">
        <f>IF(OR($E1141="",$Y1141=""),"",IF($E1141&gt;=$Y1141,"×",IF($E1141&gt;=$Y1141*設定!$C$5,"△","○")))</f>
        <v/>
      </c>
      <c r="AA1141" s="15">
        <f>IF($Z1141="","",IF($Z1141="×",0,IF($Z1141="○",ROUNDDOWN($E1141*設定!$C$4,0),ROUNDDOWN($E1141*ROUND((9*$Y1141-9*$E1141)/(10*$E1141),4),0))))</f>
        <v/>
      </c>
      <c r="AB1141" s="13" t="n"/>
      <c r="AC1141" s="15">
        <f>IF($B1141="","",IF($AB1141&lt;&gt;"",$AB1141,IF($AA1141="","",IF($AA1141&lt;=設定!$C$3,0,$AA1141))))</f>
        <v/>
      </c>
      <c r="AD1141" s="14">
        <f>IF($B1141="","",IF(AND($AE1141&lt;&gt;"",$AG1141="",$AJ1141=""),"保留中",IF($AJ1141&lt;&gt;"",IF(N($AC1141)&gt;0,"支給済","不支給"),IF($AC1141="","要確認",IF($AC1141=0,"不支給","未処理")))))</f>
        <v/>
      </c>
      <c r="AE1141" s="12" t="n"/>
      <c r="AF1141" s="11" t="n"/>
      <c r="AG1141" s="11" t="n"/>
      <c r="AH1141" s="11" t="n"/>
      <c r="AI1141" s="14">
        <f>IF(AND($AD1141="保留中",$AF1141&lt;&gt;""),TODAY()-$AF1141,"")</f>
        <v/>
      </c>
      <c r="AJ1141" s="12" t="n"/>
      <c r="AK1141" s="14">
        <f>IF($B1141="","",IF($AO1141="","対象年月が未入力／","")&amp;IF($B1141="","",IF($AN1141="","職員マスタに未登録の職員番号／",IF($Y1141="","標準報酬月額が未登録／","")&amp;IF(AND($AO1141&lt;&gt;"",OR(AND(INDEX(職員マスタ!$G$6:$G$405,$AN1141)&lt;&gt;"",INDEX(職員マスタ!$G$6:$G$405,$AN1141)&gt;EOMONTH($AO1141,0)),AND(INDEX(職員マスタ!$H$6:$H$405,$AN1141)&lt;&gt;"",INDEX(職員マスタ!$H$6:$H$405,$AN1141)&lt;$AO1141))),"対象月が時短期間外／","")&amp;IF(AND(INDEX(職員マスタ!$F$6:$F$405,$AN1141)&lt;&gt;"",$AO1141&lt;&gt;"",INDEX(職員マスタ!$F$6:$F$405,$AN1141)&lt;$AO1141),"対象月に子が2歳到達済／","")&amp;IF(AND($H1141&lt;&gt;"",INDEX(職員マスタ!$B$6:$B$405,$AN1141)&lt;&gt;"",SUBSTITUTE(SUBSTITUTE($H1141," ","")," ","")&lt;&gt;SUBSTITUTE(SUBSTITUTE(INDEX(職員マスタ!$B$6:$B$405,$AN1141)," ","")," ","")),"氏名がマスタと相違／","")&amp;IF(AND($Q1141&lt;&gt;"",INDEX(職員マスタ!$E$6:$E$405,$AN1141)&lt;&gt;"",$Q1141&lt;&gt;INDEX(職員マスタ!$E$6:$E$405,$AN1141)),"子の生年月日がマスタと相違／","")&amp;IF(AND($L1141&lt;&gt;"",INDEX(職員マスタ!$G$6:$G$405,$AN1141)&lt;&gt;"",$L1141&lt;&gt;INDEX(職員マスタ!$G$6:$G$405,$AN1141)),"時短開始日がマスタと相違／","")&amp;IF(AND($M1141&lt;&gt;"",INDEX(職員マスタ!$H$6:$H$405,$AN1141)&lt;&gt;"",$M1141&lt;&gt;INDEX(職員マスタ!$H$6:$H$405,$AN1141)),"時短終了日がマスタと相違／","")))&amp;IF(AND($B1141&lt;&gt;"",$E1141=""),"報酬額が未入力／","")&amp;IF(N($U1141)&gt;0,"申請書に入力エラーが残っています／","")&amp;IF(AND($B1141&lt;&gt;"",$AO1141&lt;&gt;""),IF(COUNTIFS($B$6:$B$3005,$B1141,$C$6:$C$3005,$C1141,$D$6:$D$3005,$D1141)&gt;1,"同じ月の請求が重複しています／",""),"")&amp;IF(AND(N($E1141)&gt;0,$Z1141&lt;&gt;"",$Z1141&lt;&gt;"×",$AC1141=0,$AB1141=""),"計算額が下限以下のため不支給／",""))</f>
        <v/>
      </c>
      <c r="AL1141" s="12" t="n"/>
      <c r="AM1141" s="14">
        <f>IF($AD1141="保留中",COUNTIF($AD$6:$AD1141,"保留中"),"")</f>
        <v/>
      </c>
      <c r="AN1141" s="14">
        <f>IF($AO1141="","",IF(SUMPRODUCT(MAX((職員マスタ!$A$6:$A$405=$B1141)*(((職員マスタ!$G$6:$G$405="")+(職員マスタ!$G$6:$G$405&lt;=EOMONTH($AO1141,0)))&gt;0)*(((職員マスタ!$H$6:$H$405="")+(職員マスタ!$H$6:$H$405&gt;=$AO1141))&gt;0)*(ROW(職員マスタ!$A$6:$A$405)-5)))&gt;0,SUMPRODUCT(MAX((職員マスタ!$A$6:$A$405=$B1141)*(((職員マスタ!$G$6:$G$405="")+(職員マスタ!$G$6:$G$405&lt;=EOMONTH($AO1141,0)))&gt;0)*(((職員マスタ!$H$6:$H$405="")+(職員マスタ!$H$6:$H$405&gt;=$AO1141))&gt;0)*(ROW(職員マスタ!$A$6:$A$405)-5))),IFERROR(MATCH($B1141,職員マスタ!$A$6:$A$405,0),"")))</f>
        <v/>
      </c>
      <c r="AO1141" s="16">
        <f>IF(OR($B1141="",$C1141="",$D1141=""),"",DATE($C1141+2018,$D1141,1))</f>
        <v/>
      </c>
    </row>
    <row r="1142">
      <c r="A1142" s="11" t="n"/>
      <c r="B1142" s="12" t="n"/>
      <c r="C1142" s="12" t="n"/>
      <c r="D1142" s="12" t="n"/>
      <c r="E1142" s="13" t="n"/>
      <c r="F1142" s="12" t="n"/>
      <c r="G1142" s="13" t="n"/>
      <c r="H1142" s="12" t="n"/>
      <c r="I1142" s="12" t="n"/>
      <c r="J1142" s="12" t="n"/>
      <c r="K1142" s="12" t="n"/>
      <c r="L1142" s="11" t="n"/>
      <c r="M1142" s="11" t="n"/>
      <c r="N1142" s="11" t="n"/>
      <c r="O1142" s="11" t="n"/>
      <c r="P1142" s="12" t="n"/>
      <c r="Q1142" s="11" t="n"/>
      <c r="R1142" s="12" t="n"/>
      <c r="S1142" s="11" t="n"/>
      <c r="T1142" s="12" t="n"/>
      <c r="U1142" s="12" t="n"/>
      <c r="V1142" s="14">
        <f>IF($AN1142="",IF($B1142="","",$H1142),IF(INDEX(職員マスタ!$B$6:$B$405,$AN1142)="",$H1142,INDEX(職員マスタ!$B$6:$B$405,$AN1142)))</f>
        <v/>
      </c>
      <c r="W1142" s="14">
        <f>IF($AN1142="",IF($B1142="","",$R1142),IF(INDEX(職員マスタ!$C$6:$C$405,$AN1142)="",$R1142,INDEX(職員マスタ!$C$6:$C$405,$AN1142)))</f>
        <v/>
      </c>
      <c r="X1142" s="14">
        <f>IF($AO1142="","","R"&amp;$C1142&amp;"."&amp;$D1142)</f>
        <v/>
      </c>
      <c r="Y1142" s="15">
        <f>IF($AN1142="","",IF(INDEX(職員マスタ!$K$6:$K$405,$AN1142)="","",INDEX(職員マスタ!$K$6:$K$405,$AN1142)))</f>
        <v/>
      </c>
      <c r="Z1142" s="14">
        <f>IF(OR($E1142="",$Y1142=""),"",IF($E1142&gt;=$Y1142,"×",IF($E1142&gt;=$Y1142*設定!$C$5,"△","○")))</f>
        <v/>
      </c>
      <c r="AA1142" s="15">
        <f>IF($Z1142="","",IF($Z1142="×",0,IF($Z1142="○",ROUNDDOWN($E1142*設定!$C$4,0),ROUNDDOWN($E1142*ROUND((9*$Y1142-9*$E1142)/(10*$E1142),4),0))))</f>
        <v/>
      </c>
      <c r="AB1142" s="13" t="n"/>
      <c r="AC1142" s="15">
        <f>IF($B1142="","",IF($AB1142&lt;&gt;"",$AB1142,IF($AA1142="","",IF($AA1142&lt;=設定!$C$3,0,$AA1142))))</f>
        <v/>
      </c>
      <c r="AD1142" s="14">
        <f>IF($B1142="","",IF(AND($AE1142&lt;&gt;"",$AG1142="",$AJ1142=""),"保留中",IF($AJ1142&lt;&gt;"",IF(N($AC1142)&gt;0,"支給済","不支給"),IF($AC1142="","要確認",IF($AC1142=0,"不支給","未処理")))))</f>
        <v/>
      </c>
      <c r="AE1142" s="12" t="n"/>
      <c r="AF1142" s="11" t="n"/>
      <c r="AG1142" s="11" t="n"/>
      <c r="AH1142" s="11" t="n"/>
      <c r="AI1142" s="14">
        <f>IF(AND($AD1142="保留中",$AF1142&lt;&gt;""),TODAY()-$AF1142,"")</f>
        <v/>
      </c>
      <c r="AJ1142" s="12" t="n"/>
      <c r="AK1142" s="14">
        <f>IF($B1142="","",IF($AO1142="","対象年月が未入力／","")&amp;IF($B1142="","",IF($AN1142="","職員マスタに未登録の職員番号／",IF($Y1142="","標準報酬月額が未登録／","")&amp;IF(AND($AO1142&lt;&gt;"",OR(AND(INDEX(職員マスタ!$G$6:$G$405,$AN1142)&lt;&gt;"",INDEX(職員マスタ!$G$6:$G$405,$AN1142)&gt;EOMONTH($AO1142,0)),AND(INDEX(職員マスタ!$H$6:$H$405,$AN1142)&lt;&gt;"",INDEX(職員マスタ!$H$6:$H$405,$AN1142)&lt;$AO1142))),"対象月が時短期間外／","")&amp;IF(AND(INDEX(職員マスタ!$F$6:$F$405,$AN1142)&lt;&gt;"",$AO1142&lt;&gt;"",INDEX(職員マスタ!$F$6:$F$405,$AN1142)&lt;$AO1142),"対象月に子が2歳到達済／","")&amp;IF(AND($H1142&lt;&gt;"",INDEX(職員マスタ!$B$6:$B$405,$AN1142)&lt;&gt;"",SUBSTITUTE(SUBSTITUTE($H1142," ","")," ","")&lt;&gt;SUBSTITUTE(SUBSTITUTE(INDEX(職員マスタ!$B$6:$B$405,$AN1142)," ","")," ","")),"氏名がマスタと相違／","")&amp;IF(AND($Q1142&lt;&gt;"",INDEX(職員マスタ!$E$6:$E$405,$AN1142)&lt;&gt;"",$Q1142&lt;&gt;INDEX(職員マスタ!$E$6:$E$405,$AN1142)),"子の生年月日がマスタと相違／","")&amp;IF(AND($L1142&lt;&gt;"",INDEX(職員マスタ!$G$6:$G$405,$AN1142)&lt;&gt;"",$L1142&lt;&gt;INDEX(職員マスタ!$G$6:$G$405,$AN1142)),"時短開始日がマスタと相違／","")&amp;IF(AND($M1142&lt;&gt;"",INDEX(職員マスタ!$H$6:$H$405,$AN1142)&lt;&gt;"",$M1142&lt;&gt;INDEX(職員マスタ!$H$6:$H$405,$AN1142)),"時短終了日がマスタと相違／","")))&amp;IF(AND($B1142&lt;&gt;"",$E1142=""),"報酬額が未入力／","")&amp;IF(N($U1142)&gt;0,"申請書に入力エラーが残っています／","")&amp;IF(AND($B1142&lt;&gt;"",$AO1142&lt;&gt;""),IF(COUNTIFS($B$6:$B$3005,$B1142,$C$6:$C$3005,$C1142,$D$6:$D$3005,$D1142)&gt;1,"同じ月の請求が重複しています／",""),"")&amp;IF(AND(N($E1142)&gt;0,$Z1142&lt;&gt;"",$Z1142&lt;&gt;"×",$AC1142=0,$AB1142=""),"計算額が下限以下のため不支給／",""))</f>
        <v/>
      </c>
      <c r="AL1142" s="12" t="n"/>
      <c r="AM1142" s="14">
        <f>IF($AD1142="保留中",COUNTIF($AD$6:$AD1142,"保留中"),"")</f>
        <v/>
      </c>
      <c r="AN1142" s="14">
        <f>IF($AO1142="","",IF(SUMPRODUCT(MAX((職員マスタ!$A$6:$A$405=$B1142)*(((職員マスタ!$G$6:$G$405="")+(職員マスタ!$G$6:$G$405&lt;=EOMONTH($AO1142,0)))&gt;0)*(((職員マスタ!$H$6:$H$405="")+(職員マスタ!$H$6:$H$405&gt;=$AO1142))&gt;0)*(ROW(職員マスタ!$A$6:$A$405)-5)))&gt;0,SUMPRODUCT(MAX((職員マスタ!$A$6:$A$405=$B1142)*(((職員マスタ!$G$6:$G$405="")+(職員マスタ!$G$6:$G$405&lt;=EOMONTH($AO1142,0)))&gt;0)*(((職員マスタ!$H$6:$H$405="")+(職員マスタ!$H$6:$H$405&gt;=$AO1142))&gt;0)*(ROW(職員マスタ!$A$6:$A$405)-5))),IFERROR(MATCH($B1142,職員マスタ!$A$6:$A$405,0),"")))</f>
        <v/>
      </c>
      <c r="AO1142" s="16">
        <f>IF(OR($B1142="",$C1142="",$D1142=""),"",DATE($C1142+2018,$D1142,1))</f>
        <v/>
      </c>
    </row>
    <row r="1143">
      <c r="A1143" s="11" t="n"/>
      <c r="B1143" s="12" t="n"/>
      <c r="C1143" s="12" t="n"/>
      <c r="D1143" s="12" t="n"/>
      <c r="E1143" s="13" t="n"/>
      <c r="F1143" s="12" t="n"/>
      <c r="G1143" s="13" t="n"/>
      <c r="H1143" s="12" t="n"/>
      <c r="I1143" s="12" t="n"/>
      <c r="J1143" s="12" t="n"/>
      <c r="K1143" s="12" t="n"/>
      <c r="L1143" s="11" t="n"/>
      <c r="M1143" s="11" t="n"/>
      <c r="N1143" s="11" t="n"/>
      <c r="O1143" s="11" t="n"/>
      <c r="P1143" s="12" t="n"/>
      <c r="Q1143" s="11" t="n"/>
      <c r="R1143" s="12" t="n"/>
      <c r="S1143" s="11" t="n"/>
      <c r="T1143" s="12" t="n"/>
      <c r="U1143" s="12" t="n"/>
      <c r="V1143" s="14">
        <f>IF($AN1143="",IF($B1143="","",$H1143),IF(INDEX(職員マスタ!$B$6:$B$405,$AN1143)="",$H1143,INDEX(職員マスタ!$B$6:$B$405,$AN1143)))</f>
        <v/>
      </c>
      <c r="W1143" s="14">
        <f>IF($AN1143="",IF($B1143="","",$R1143),IF(INDEX(職員マスタ!$C$6:$C$405,$AN1143)="",$R1143,INDEX(職員マスタ!$C$6:$C$405,$AN1143)))</f>
        <v/>
      </c>
      <c r="X1143" s="14">
        <f>IF($AO1143="","","R"&amp;$C1143&amp;"."&amp;$D1143)</f>
        <v/>
      </c>
      <c r="Y1143" s="15">
        <f>IF($AN1143="","",IF(INDEX(職員マスタ!$K$6:$K$405,$AN1143)="","",INDEX(職員マスタ!$K$6:$K$405,$AN1143)))</f>
        <v/>
      </c>
      <c r="Z1143" s="14">
        <f>IF(OR($E1143="",$Y1143=""),"",IF($E1143&gt;=$Y1143,"×",IF($E1143&gt;=$Y1143*設定!$C$5,"△","○")))</f>
        <v/>
      </c>
      <c r="AA1143" s="15">
        <f>IF($Z1143="","",IF($Z1143="×",0,IF($Z1143="○",ROUNDDOWN($E1143*設定!$C$4,0),ROUNDDOWN($E1143*ROUND((9*$Y1143-9*$E1143)/(10*$E1143),4),0))))</f>
        <v/>
      </c>
      <c r="AB1143" s="13" t="n"/>
      <c r="AC1143" s="15">
        <f>IF($B1143="","",IF($AB1143&lt;&gt;"",$AB1143,IF($AA1143="","",IF($AA1143&lt;=設定!$C$3,0,$AA1143))))</f>
        <v/>
      </c>
      <c r="AD1143" s="14">
        <f>IF($B1143="","",IF(AND($AE1143&lt;&gt;"",$AG1143="",$AJ1143=""),"保留中",IF($AJ1143&lt;&gt;"",IF(N($AC1143)&gt;0,"支給済","不支給"),IF($AC1143="","要確認",IF($AC1143=0,"不支給","未処理")))))</f>
        <v/>
      </c>
      <c r="AE1143" s="12" t="n"/>
      <c r="AF1143" s="11" t="n"/>
      <c r="AG1143" s="11" t="n"/>
      <c r="AH1143" s="11" t="n"/>
      <c r="AI1143" s="14">
        <f>IF(AND($AD1143="保留中",$AF1143&lt;&gt;""),TODAY()-$AF1143,"")</f>
        <v/>
      </c>
      <c r="AJ1143" s="12" t="n"/>
      <c r="AK1143" s="14">
        <f>IF($B1143="","",IF($AO1143="","対象年月が未入力／","")&amp;IF($B1143="","",IF($AN1143="","職員マスタに未登録の職員番号／",IF($Y1143="","標準報酬月額が未登録／","")&amp;IF(AND($AO1143&lt;&gt;"",OR(AND(INDEX(職員マスタ!$G$6:$G$405,$AN1143)&lt;&gt;"",INDEX(職員マスタ!$G$6:$G$405,$AN1143)&gt;EOMONTH($AO1143,0)),AND(INDEX(職員マスタ!$H$6:$H$405,$AN1143)&lt;&gt;"",INDEX(職員マスタ!$H$6:$H$405,$AN1143)&lt;$AO1143))),"対象月が時短期間外／","")&amp;IF(AND(INDEX(職員マスタ!$F$6:$F$405,$AN1143)&lt;&gt;"",$AO1143&lt;&gt;"",INDEX(職員マスタ!$F$6:$F$405,$AN1143)&lt;$AO1143),"対象月に子が2歳到達済／","")&amp;IF(AND($H1143&lt;&gt;"",INDEX(職員マスタ!$B$6:$B$405,$AN1143)&lt;&gt;"",SUBSTITUTE(SUBSTITUTE($H1143," ","")," ","")&lt;&gt;SUBSTITUTE(SUBSTITUTE(INDEX(職員マスタ!$B$6:$B$405,$AN1143)," ","")," ","")),"氏名がマスタと相違／","")&amp;IF(AND($Q1143&lt;&gt;"",INDEX(職員マスタ!$E$6:$E$405,$AN1143)&lt;&gt;"",$Q1143&lt;&gt;INDEX(職員マスタ!$E$6:$E$405,$AN1143)),"子の生年月日がマスタと相違／","")&amp;IF(AND($L1143&lt;&gt;"",INDEX(職員マスタ!$G$6:$G$405,$AN1143)&lt;&gt;"",$L1143&lt;&gt;INDEX(職員マスタ!$G$6:$G$405,$AN1143)),"時短開始日がマスタと相違／","")&amp;IF(AND($M1143&lt;&gt;"",INDEX(職員マスタ!$H$6:$H$405,$AN1143)&lt;&gt;"",$M1143&lt;&gt;INDEX(職員マスタ!$H$6:$H$405,$AN1143)),"時短終了日がマスタと相違／","")))&amp;IF(AND($B1143&lt;&gt;"",$E1143=""),"報酬額が未入力／","")&amp;IF(N($U1143)&gt;0,"申請書に入力エラーが残っています／","")&amp;IF(AND($B1143&lt;&gt;"",$AO1143&lt;&gt;""),IF(COUNTIFS($B$6:$B$3005,$B1143,$C$6:$C$3005,$C1143,$D$6:$D$3005,$D1143)&gt;1,"同じ月の請求が重複しています／",""),"")&amp;IF(AND(N($E1143)&gt;0,$Z1143&lt;&gt;"",$Z1143&lt;&gt;"×",$AC1143=0,$AB1143=""),"計算額が下限以下のため不支給／",""))</f>
        <v/>
      </c>
      <c r="AL1143" s="12" t="n"/>
      <c r="AM1143" s="14">
        <f>IF($AD1143="保留中",COUNTIF($AD$6:$AD1143,"保留中"),"")</f>
        <v/>
      </c>
      <c r="AN1143" s="14">
        <f>IF($AO1143="","",IF(SUMPRODUCT(MAX((職員マスタ!$A$6:$A$405=$B1143)*(((職員マスタ!$G$6:$G$405="")+(職員マスタ!$G$6:$G$405&lt;=EOMONTH($AO1143,0)))&gt;0)*(((職員マスタ!$H$6:$H$405="")+(職員マスタ!$H$6:$H$405&gt;=$AO1143))&gt;0)*(ROW(職員マスタ!$A$6:$A$405)-5)))&gt;0,SUMPRODUCT(MAX((職員マスタ!$A$6:$A$405=$B1143)*(((職員マスタ!$G$6:$G$405="")+(職員マスタ!$G$6:$G$405&lt;=EOMONTH($AO1143,0)))&gt;0)*(((職員マスタ!$H$6:$H$405="")+(職員マスタ!$H$6:$H$405&gt;=$AO1143))&gt;0)*(ROW(職員マスタ!$A$6:$A$405)-5))),IFERROR(MATCH($B1143,職員マスタ!$A$6:$A$405,0),"")))</f>
        <v/>
      </c>
      <c r="AO1143" s="16">
        <f>IF(OR($B1143="",$C1143="",$D1143=""),"",DATE($C1143+2018,$D1143,1))</f>
        <v/>
      </c>
    </row>
    <row r="1144">
      <c r="A1144" s="11" t="n"/>
      <c r="B1144" s="12" t="n"/>
      <c r="C1144" s="12" t="n"/>
      <c r="D1144" s="12" t="n"/>
      <c r="E1144" s="13" t="n"/>
      <c r="F1144" s="12" t="n"/>
      <c r="G1144" s="13" t="n"/>
      <c r="H1144" s="12" t="n"/>
      <c r="I1144" s="12" t="n"/>
      <c r="J1144" s="12" t="n"/>
      <c r="K1144" s="12" t="n"/>
      <c r="L1144" s="11" t="n"/>
      <c r="M1144" s="11" t="n"/>
      <c r="N1144" s="11" t="n"/>
      <c r="O1144" s="11" t="n"/>
      <c r="P1144" s="12" t="n"/>
      <c r="Q1144" s="11" t="n"/>
      <c r="R1144" s="12" t="n"/>
      <c r="S1144" s="11" t="n"/>
      <c r="T1144" s="12" t="n"/>
      <c r="U1144" s="12" t="n"/>
      <c r="V1144" s="14">
        <f>IF($AN1144="",IF($B1144="","",$H1144),IF(INDEX(職員マスタ!$B$6:$B$405,$AN1144)="",$H1144,INDEX(職員マスタ!$B$6:$B$405,$AN1144)))</f>
        <v/>
      </c>
      <c r="W1144" s="14">
        <f>IF($AN1144="",IF($B1144="","",$R1144),IF(INDEX(職員マスタ!$C$6:$C$405,$AN1144)="",$R1144,INDEX(職員マスタ!$C$6:$C$405,$AN1144)))</f>
        <v/>
      </c>
      <c r="X1144" s="14">
        <f>IF($AO1144="","","R"&amp;$C1144&amp;"."&amp;$D1144)</f>
        <v/>
      </c>
      <c r="Y1144" s="15">
        <f>IF($AN1144="","",IF(INDEX(職員マスタ!$K$6:$K$405,$AN1144)="","",INDEX(職員マスタ!$K$6:$K$405,$AN1144)))</f>
        <v/>
      </c>
      <c r="Z1144" s="14">
        <f>IF(OR($E1144="",$Y1144=""),"",IF($E1144&gt;=$Y1144,"×",IF($E1144&gt;=$Y1144*設定!$C$5,"△","○")))</f>
        <v/>
      </c>
      <c r="AA1144" s="15">
        <f>IF($Z1144="","",IF($Z1144="×",0,IF($Z1144="○",ROUNDDOWN($E1144*設定!$C$4,0),ROUNDDOWN($E1144*ROUND((9*$Y1144-9*$E1144)/(10*$E1144),4),0))))</f>
        <v/>
      </c>
      <c r="AB1144" s="13" t="n"/>
      <c r="AC1144" s="15">
        <f>IF($B1144="","",IF($AB1144&lt;&gt;"",$AB1144,IF($AA1144="","",IF($AA1144&lt;=設定!$C$3,0,$AA1144))))</f>
        <v/>
      </c>
      <c r="AD1144" s="14">
        <f>IF($B1144="","",IF(AND($AE1144&lt;&gt;"",$AG1144="",$AJ1144=""),"保留中",IF($AJ1144&lt;&gt;"",IF(N($AC1144)&gt;0,"支給済","不支給"),IF($AC1144="","要確認",IF($AC1144=0,"不支給","未処理")))))</f>
        <v/>
      </c>
      <c r="AE1144" s="12" t="n"/>
      <c r="AF1144" s="11" t="n"/>
      <c r="AG1144" s="11" t="n"/>
      <c r="AH1144" s="11" t="n"/>
      <c r="AI1144" s="14">
        <f>IF(AND($AD1144="保留中",$AF1144&lt;&gt;""),TODAY()-$AF1144,"")</f>
        <v/>
      </c>
      <c r="AJ1144" s="12" t="n"/>
      <c r="AK1144" s="14">
        <f>IF($B1144="","",IF($AO1144="","対象年月が未入力／","")&amp;IF($B1144="","",IF($AN1144="","職員マスタに未登録の職員番号／",IF($Y1144="","標準報酬月額が未登録／","")&amp;IF(AND($AO1144&lt;&gt;"",OR(AND(INDEX(職員マスタ!$G$6:$G$405,$AN1144)&lt;&gt;"",INDEX(職員マスタ!$G$6:$G$405,$AN1144)&gt;EOMONTH($AO1144,0)),AND(INDEX(職員マスタ!$H$6:$H$405,$AN1144)&lt;&gt;"",INDEX(職員マスタ!$H$6:$H$405,$AN1144)&lt;$AO1144))),"対象月が時短期間外／","")&amp;IF(AND(INDEX(職員マスタ!$F$6:$F$405,$AN1144)&lt;&gt;"",$AO1144&lt;&gt;"",INDEX(職員マスタ!$F$6:$F$405,$AN1144)&lt;$AO1144),"対象月に子が2歳到達済／","")&amp;IF(AND($H1144&lt;&gt;"",INDEX(職員マスタ!$B$6:$B$405,$AN1144)&lt;&gt;"",SUBSTITUTE(SUBSTITUTE($H1144," ","")," ","")&lt;&gt;SUBSTITUTE(SUBSTITUTE(INDEX(職員マスタ!$B$6:$B$405,$AN1144)," ","")," ","")),"氏名がマスタと相違／","")&amp;IF(AND($Q1144&lt;&gt;"",INDEX(職員マスタ!$E$6:$E$405,$AN1144)&lt;&gt;"",$Q1144&lt;&gt;INDEX(職員マスタ!$E$6:$E$405,$AN1144)),"子の生年月日がマスタと相違／","")&amp;IF(AND($L1144&lt;&gt;"",INDEX(職員マスタ!$G$6:$G$405,$AN1144)&lt;&gt;"",$L1144&lt;&gt;INDEX(職員マスタ!$G$6:$G$405,$AN1144)),"時短開始日がマスタと相違／","")&amp;IF(AND($M1144&lt;&gt;"",INDEX(職員マスタ!$H$6:$H$405,$AN1144)&lt;&gt;"",$M1144&lt;&gt;INDEX(職員マスタ!$H$6:$H$405,$AN1144)),"時短終了日がマスタと相違／","")))&amp;IF(AND($B1144&lt;&gt;"",$E1144=""),"報酬額が未入力／","")&amp;IF(N($U1144)&gt;0,"申請書に入力エラーが残っています／","")&amp;IF(AND($B1144&lt;&gt;"",$AO1144&lt;&gt;""),IF(COUNTIFS($B$6:$B$3005,$B1144,$C$6:$C$3005,$C1144,$D$6:$D$3005,$D1144)&gt;1,"同じ月の請求が重複しています／",""),"")&amp;IF(AND(N($E1144)&gt;0,$Z1144&lt;&gt;"",$Z1144&lt;&gt;"×",$AC1144=0,$AB1144=""),"計算額が下限以下のため不支給／",""))</f>
        <v/>
      </c>
      <c r="AL1144" s="12" t="n"/>
      <c r="AM1144" s="14">
        <f>IF($AD1144="保留中",COUNTIF($AD$6:$AD1144,"保留中"),"")</f>
        <v/>
      </c>
      <c r="AN1144" s="14">
        <f>IF($AO1144="","",IF(SUMPRODUCT(MAX((職員マスタ!$A$6:$A$405=$B1144)*(((職員マスタ!$G$6:$G$405="")+(職員マスタ!$G$6:$G$405&lt;=EOMONTH($AO1144,0)))&gt;0)*(((職員マスタ!$H$6:$H$405="")+(職員マスタ!$H$6:$H$405&gt;=$AO1144))&gt;0)*(ROW(職員マスタ!$A$6:$A$405)-5)))&gt;0,SUMPRODUCT(MAX((職員マスタ!$A$6:$A$405=$B1144)*(((職員マスタ!$G$6:$G$405="")+(職員マスタ!$G$6:$G$405&lt;=EOMONTH($AO1144,0)))&gt;0)*(((職員マスタ!$H$6:$H$405="")+(職員マスタ!$H$6:$H$405&gt;=$AO1144))&gt;0)*(ROW(職員マスタ!$A$6:$A$405)-5))),IFERROR(MATCH($B1144,職員マスタ!$A$6:$A$405,0),"")))</f>
        <v/>
      </c>
      <c r="AO1144" s="16">
        <f>IF(OR($B1144="",$C1144="",$D1144=""),"",DATE($C1144+2018,$D1144,1))</f>
        <v/>
      </c>
    </row>
    <row r="1145">
      <c r="A1145" s="11" t="n"/>
      <c r="B1145" s="12" t="n"/>
      <c r="C1145" s="12" t="n"/>
      <c r="D1145" s="12" t="n"/>
      <c r="E1145" s="13" t="n"/>
      <c r="F1145" s="12" t="n"/>
      <c r="G1145" s="13" t="n"/>
      <c r="H1145" s="12" t="n"/>
      <c r="I1145" s="12" t="n"/>
      <c r="J1145" s="12" t="n"/>
      <c r="K1145" s="12" t="n"/>
      <c r="L1145" s="11" t="n"/>
      <c r="M1145" s="11" t="n"/>
      <c r="N1145" s="11" t="n"/>
      <c r="O1145" s="11" t="n"/>
      <c r="P1145" s="12" t="n"/>
      <c r="Q1145" s="11" t="n"/>
      <c r="R1145" s="12" t="n"/>
      <c r="S1145" s="11" t="n"/>
      <c r="T1145" s="12" t="n"/>
      <c r="U1145" s="12" t="n"/>
      <c r="V1145" s="14">
        <f>IF($AN1145="",IF($B1145="","",$H1145),IF(INDEX(職員マスタ!$B$6:$B$405,$AN1145)="",$H1145,INDEX(職員マスタ!$B$6:$B$405,$AN1145)))</f>
        <v/>
      </c>
      <c r="W1145" s="14">
        <f>IF($AN1145="",IF($B1145="","",$R1145),IF(INDEX(職員マスタ!$C$6:$C$405,$AN1145)="",$R1145,INDEX(職員マスタ!$C$6:$C$405,$AN1145)))</f>
        <v/>
      </c>
      <c r="X1145" s="14">
        <f>IF($AO1145="","","R"&amp;$C1145&amp;"."&amp;$D1145)</f>
        <v/>
      </c>
      <c r="Y1145" s="15">
        <f>IF($AN1145="","",IF(INDEX(職員マスタ!$K$6:$K$405,$AN1145)="","",INDEX(職員マスタ!$K$6:$K$405,$AN1145)))</f>
        <v/>
      </c>
      <c r="Z1145" s="14">
        <f>IF(OR($E1145="",$Y1145=""),"",IF($E1145&gt;=$Y1145,"×",IF($E1145&gt;=$Y1145*設定!$C$5,"△","○")))</f>
        <v/>
      </c>
      <c r="AA1145" s="15">
        <f>IF($Z1145="","",IF($Z1145="×",0,IF($Z1145="○",ROUNDDOWN($E1145*設定!$C$4,0),ROUNDDOWN($E1145*ROUND((9*$Y1145-9*$E1145)/(10*$E1145),4),0))))</f>
        <v/>
      </c>
      <c r="AB1145" s="13" t="n"/>
      <c r="AC1145" s="15">
        <f>IF($B1145="","",IF($AB1145&lt;&gt;"",$AB1145,IF($AA1145="","",IF($AA1145&lt;=設定!$C$3,0,$AA1145))))</f>
        <v/>
      </c>
      <c r="AD1145" s="14">
        <f>IF($B1145="","",IF(AND($AE1145&lt;&gt;"",$AG1145="",$AJ1145=""),"保留中",IF($AJ1145&lt;&gt;"",IF(N($AC1145)&gt;0,"支給済","不支給"),IF($AC1145="","要確認",IF($AC1145=0,"不支給","未処理")))))</f>
        <v/>
      </c>
      <c r="AE1145" s="12" t="n"/>
      <c r="AF1145" s="11" t="n"/>
      <c r="AG1145" s="11" t="n"/>
      <c r="AH1145" s="11" t="n"/>
      <c r="AI1145" s="14">
        <f>IF(AND($AD1145="保留中",$AF1145&lt;&gt;""),TODAY()-$AF1145,"")</f>
        <v/>
      </c>
      <c r="AJ1145" s="12" t="n"/>
      <c r="AK1145" s="14">
        <f>IF($B1145="","",IF($AO1145="","対象年月が未入力／","")&amp;IF($B1145="","",IF($AN1145="","職員マスタに未登録の職員番号／",IF($Y1145="","標準報酬月額が未登録／","")&amp;IF(AND($AO1145&lt;&gt;"",OR(AND(INDEX(職員マスタ!$G$6:$G$405,$AN1145)&lt;&gt;"",INDEX(職員マスタ!$G$6:$G$405,$AN1145)&gt;EOMONTH($AO1145,0)),AND(INDEX(職員マスタ!$H$6:$H$405,$AN1145)&lt;&gt;"",INDEX(職員マスタ!$H$6:$H$405,$AN1145)&lt;$AO1145))),"対象月が時短期間外／","")&amp;IF(AND(INDEX(職員マスタ!$F$6:$F$405,$AN1145)&lt;&gt;"",$AO1145&lt;&gt;"",INDEX(職員マスタ!$F$6:$F$405,$AN1145)&lt;$AO1145),"対象月に子が2歳到達済／","")&amp;IF(AND($H1145&lt;&gt;"",INDEX(職員マスタ!$B$6:$B$405,$AN1145)&lt;&gt;"",SUBSTITUTE(SUBSTITUTE($H1145," ","")," ","")&lt;&gt;SUBSTITUTE(SUBSTITUTE(INDEX(職員マスタ!$B$6:$B$405,$AN1145)," ","")," ","")),"氏名がマスタと相違／","")&amp;IF(AND($Q1145&lt;&gt;"",INDEX(職員マスタ!$E$6:$E$405,$AN1145)&lt;&gt;"",$Q1145&lt;&gt;INDEX(職員マスタ!$E$6:$E$405,$AN1145)),"子の生年月日がマスタと相違／","")&amp;IF(AND($L1145&lt;&gt;"",INDEX(職員マスタ!$G$6:$G$405,$AN1145)&lt;&gt;"",$L1145&lt;&gt;INDEX(職員マスタ!$G$6:$G$405,$AN1145)),"時短開始日がマスタと相違／","")&amp;IF(AND($M1145&lt;&gt;"",INDEX(職員マスタ!$H$6:$H$405,$AN1145)&lt;&gt;"",$M1145&lt;&gt;INDEX(職員マスタ!$H$6:$H$405,$AN1145)),"時短終了日がマスタと相違／","")))&amp;IF(AND($B1145&lt;&gt;"",$E1145=""),"報酬額が未入力／","")&amp;IF(N($U1145)&gt;0,"申請書に入力エラーが残っています／","")&amp;IF(AND($B1145&lt;&gt;"",$AO1145&lt;&gt;""),IF(COUNTIFS($B$6:$B$3005,$B1145,$C$6:$C$3005,$C1145,$D$6:$D$3005,$D1145)&gt;1,"同じ月の請求が重複しています／",""),"")&amp;IF(AND(N($E1145)&gt;0,$Z1145&lt;&gt;"",$Z1145&lt;&gt;"×",$AC1145=0,$AB1145=""),"計算額が下限以下のため不支給／",""))</f>
        <v/>
      </c>
      <c r="AL1145" s="12" t="n"/>
      <c r="AM1145" s="14">
        <f>IF($AD1145="保留中",COUNTIF($AD$6:$AD1145,"保留中"),"")</f>
        <v/>
      </c>
      <c r="AN1145" s="14">
        <f>IF($AO1145="","",IF(SUMPRODUCT(MAX((職員マスタ!$A$6:$A$405=$B1145)*(((職員マスタ!$G$6:$G$405="")+(職員マスタ!$G$6:$G$405&lt;=EOMONTH($AO1145,0)))&gt;0)*(((職員マスタ!$H$6:$H$405="")+(職員マスタ!$H$6:$H$405&gt;=$AO1145))&gt;0)*(ROW(職員マスタ!$A$6:$A$405)-5)))&gt;0,SUMPRODUCT(MAX((職員マスタ!$A$6:$A$405=$B1145)*(((職員マスタ!$G$6:$G$405="")+(職員マスタ!$G$6:$G$405&lt;=EOMONTH($AO1145,0)))&gt;0)*(((職員マスタ!$H$6:$H$405="")+(職員マスタ!$H$6:$H$405&gt;=$AO1145))&gt;0)*(ROW(職員マスタ!$A$6:$A$405)-5))),IFERROR(MATCH($B1145,職員マスタ!$A$6:$A$405,0),"")))</f>
        <v/>
      </c>
      <c r="AO1145" s="16">
        <f>IF(OR($B1145="",$C1145="",$D1145=""),"",DATE($C1145+2018,$D1145,1))</f>
        <v/>
      </c>
    </row>
    <row r="1146">
      <c r="A1146" s="11" t="n"/>
      <c r="B1146" s="12" t="n"/>
      <c r="C1146" s="12" t="n"/>
      <c r="D1146" s="12" t="n"/>
      <c r="E1146" s="13" t="n"/>
      <c r="F1146" s="12" t="n"/>
      <c r="G1146" s="13" t="n"/>
      <c r="H1146" s="12" t="n"/>
      <c r="I1146" s="12" t="n"/>
      <c r="J1146" s="12" t="n"/>
      <c r="K1146" s="12" t="n"/>
      <c r="L1146" s="11" t="n"/>
      <c r="M1146" s="11" t="n"/>
      <c r="N1146" s="11" t="n"/>
      <c r="O1146" s="11" t="n"/>
      <c r="P1146" s="12" t="n"/>
      <c r="Q1146" s="11" t="n"/>
      <c r="R1146" s="12" t="n"/>
      <c r="S1146" s="11" t="n"/>
      <c r="T1146" s="12" t="n"/>
      <c r="U1146" s="12" t="n"/>
      <c r="V1146" s="14">
        <f>IF($AN1146="",IF($B1146="","",$H1146),IF(INDEX(職員マスタ!$B$6:$B$405,$AN1146)="",$H1146,INDEX(職員マスタ!$B$6:$B$405,$AN1146)))</f>
        <v/>
      </c>
      <c r="W1146" s="14">
        <f>IF($AN1146="",IF($B1146="","",$R1146),IF(INDEX(職員マスタ!$C$6:$C$405,$AN1146)="",$R1146,INDEX(職員マスタ!$C$6:$C$405,$AN1146)))</f>
        <v/>
      </c>
      <c r="X1146" s="14">
        <f>IF($AO1146="","","R"&amp;$C1146&amp;"."&amp;$D1146)</f>
        <v/>
      </c>
      <c r="Y1146" s="15">
        <f>IF($AN1146="","",IF(INDEX(職員マスタ!$K$6:$K$405,$AN1146)="","",INDEX(職員マスタ!$K$6:$K$405,$AN1146)))</f>
        <v/>
      </c>
      <c r="Z1146" s="14">
        <f>IF(OR($E1146="",$Y1146=""),"",IF($E1146&gt;=$Y1146,"×",IF($E1146&gt;=$Y1146*設定!$C$5,"△","○")))</f>
        <v/>
      </c>
      <c r="AA1146" s="15">
        <f>IF($Z1146="","",IF($Z1146="×",0,IF($Z1146="○",ROUNDDOWN($E1146*設定!$C$4,0),ROUNDDOWN($E1146*ROUND((9*$Y1146-9*$E1146)/(10*$E1146),4),0))))</f>
        <v/>
      </c>
      <c r="AB1146" s="13" t="n"/>
      <c r="AC1146" s="15">
        <f>IF($B1146="","",IF($AB1146&lt;&gt;"",$AB1146,IF($AA1146="","",IF($AA1146&lt;=設定!$C$3,0,$AA1146))))</f>
        <v/>
      </c>
      <c r="AD1146" s="14">
        <f>IF($B1146="","",IF(AND($AE1146&lt;&gt;"",$AG1146="",$AJ1146=""),"保留中",IF($AJ1146&lt;&gt;"",IF(N($AC1146)&gt;0,"支給済","不支給"),IF($AC1146="","要確認",IF($AC1146=0,"不支給","未処理")))))</f>
        <v/>
      </c>
      <c r="AE1146" s="12" t="n"/>
      <c r="AF1146" s="11" t="n"/>
      <c r="AG1146" s="11" t="n"/>
      <c r="AH1146" s="11" t="n"/>
      <c r="AI1146" s="14">
        <f>IF(AND($AD1146="保留中",$AF1146&lt;&gt;""),TODAY()-$AF1146,"")</f>
        <v/>
      </c>
      <c r="AJ1146" s="12" t="n"/>
      <c r="AK1146" s="14">
        <f>IF($B1146="","",IF($AO1146="","対象年月が未入力／","")&amp;IF($B1146="","",IF($AN1146="","職員マスタに未登録の職員番号／",IF($Y1146="","標準報酬月額が未登録／","")&amp;IF(AND($AO1146&lt;&gt;"",OR(AND(INDEX(職員マスタ!$G$6:$G$405,$AN1146)&lt;&gt;"",INDEX(職員マスタ!$G$6:$G$405,$AN1146)&gt;EOMONTH($AO1146,0)),AND(INDEX(職員マスタ!$H$6:$H$405,$AN1146)&lt;&gt;"",INDEX(職員マスタ!$H$6:$H$405,$AN1146)&lt;$AO1146))),"対象月が時短期間外／","")&amp;IF(AND(INDEX(職員マスタ!$F$6:$F$405,$AN1146)&lt;&gt;"",$AO1146&lt;&gt;"",INDEX(職員マスタ!$F$6:$F$405,$AN1146)&lt;$AO1146),"対象月に子が2歳到達済／","")&amp;IF(AND($H1146&lt;&gt;"",INDEX(職員マスタ!$B$6:$B$405,$AN1146)&lt;&gt;"",SUBSTITUTE(SUBSTITUTE($H1146," ","")," ","")&lt;&gt;SUBSTITUTE(SUBSTITUTE(INDEX(職員マスタ!$B$6:$B$405,$AN1146)," ","")," ","")),"氏名がマスタと相違／","")&amp;IF(AND($Q1146&lt;&gt;"",INDEX(職員マスタ!$E$6:$E$405,$AN1146)&lt;&gt;"",$Q1146&lt;&gt;INDEX(職員マスタ!$E$6:$E$405,$AN1146)),"子の生年月日がマスタと相違／","")&amp;IF(AND($L1146&lt;&gt;"",INDEX(職員マスタ!$G$6:$G$405,$AN1146)&lt;&gt;"",$L1146&lt;&gt;INDEX(職員マスタ!$G$6:$G$405,$AN1146)),"時短開始日がマスタと相違／","")&amp;IF(AND($M1146&lt;&gt;"",INDEX(職員マスタ!$H$6:$H$405,$AN1146)&lt;&gt;"",$M1146&lt;&gt;INDEX(職員マスタ!$H$6:$H$405,$AN1146)),"時短終了日がマスタと相違／","")))&amp;IF(AND($B1146&lt;&gt;"",$E1146=""),"報酬額が未入力／","")&amp;IF(N($U1146)&gt;0,"申請書に入力エラーが残っています／","")&amp;IF(AND($B1146&lt;&gt;"",$AO1146&lt;&gt;""),IF(COUNTIFS($B$6:$B$3005,$B1146,$C$6:$C$3005,$C1146,$D$6:$D$3005,$D1146)&gt;1,"同じ月の請求が重複しています／",""),"")&amp;IF(AND(N($E1146)&gt;0,$Z1146&lt;&gt;"",$Z1146&lt;&gt;"×",$AC1146=0,$AB1146=""),"計算額が下限以下のため不支給／",""))</f>
        <v/>
      </c>
      <c r="AL1146" s="12" t="n"/>
      <c r="AM1146" s="14">
        <f>IF($AD1146="保留中",COUNTIF($AD$6:$AD1146,"保留中"),"")</f>
        <v/>
      </c>
      <c r="AN1146" s="14">
        <f>IF($AO1146="","",IF(SUMPRODUCT(MAX((職員マスタ!$A$6:$A$405=$B1146)*(((職員マスタ!$G$6:$G$405="")+(職員マスタ!$G$6:$G$405&lt;=EOMONTH($AO1146,0)))&gt;0)*(((職員マスタ!$H$6:$H$405="")+(職員マスタ!$H$6:$H$405&gt;=$AO1146))&gt;0)*(ROW(職員マスタ!$A$6:$A$405)-5)))&gt;0,SUMPRODUCT(MAX((職員マスタ!$A$6:$A$405=$B1146)*(((職員マスタ!$G$6:$G$405="")+(職員マスタ!$G$6:$G$405&lt;=EOMONTH($AO1146,0)))&gt;0)*(((職員マスタ!$H$6:$H$405="")+(職員マスタ!$H$6:$H$405&gt;=$AO1146))&gt;0)*(ROW(職員マスタ!$A$6:$A$405)-5))),IFERROR(MATCH($B1146,職員マスタ!$A$6:$A$405,0),"")))</f>
        <v/>
      </c>
      <c r="AO1146" s="16">
        <f>IF(OR($B1146="",$C1146="",$D1146=""),"",DATE($C1146+2018,$D1146,1))</f>
        <v/>
      </c>
    </row>
    <row r="1147">
      <c r="A1147" s="11" t="n"/>
      <c r="B1147" s="12" t="n"/>
      <c r="C1147" s="12" t="n"/>
      <c r="D1147" s="12" t="n"/>
      <c r="E1147" s="13" t="n"/>
      <c r="F1147" s="12" t="n"/>
      <c r="G1147" s="13" t="n"/>
      <c r="H1147" s="12" t="n"/>
      <c r="I1147" s="12" t="n"/>
      <c r="J1147" s="12" t="n"/>
      <c r="K1147" s="12" t="n"/>
      <c r="L1147" s="11" t="n"/>
      <c r="M1147" s="11" t="n"/>
      <c r="N1147" s="11" t="n"/>
      <c r="O1147" s="11" t="n"/>
      <c r="P1147" s="12" t="n"/>
      <c r="Q1147" s="11" t="n"/>
      <c r="R1147" s="12" t="n"/>
      <c r="S1147" s="11" t="n"/>
      <c r="T1147" s="12" t="n"/>
      <c r="U1147" s="12" t="n"/>
      <c r="V1147" s="14">
        <f>IF($AN1147="",IF($B1147="","",$H1147),IF(INDEX(職員マスタ!$B$6:$B$405,$AN1147)="",$H1147,INDEX(職員マスタ!$B$6:$B$405,$AN1147)))</f>
        <v/>
      </c>
      <c r="W1147" s="14">
        <f>IF($AN1147="",IF($B1147="","",$R1147),IF(INDEX(職員マスタ!$C$6:$C$405,$AN1147)="",$R1147,INDEX(職員マスタ!$C$6:$C$405,$AN1147)))</f>
        <v/>
      </c>
      <c r="X1147" s="14">
        <f>IF($AO1147="","","R"&amp;$C1147&amp;"."&amp;$D1147)</f>
        <v/>
      </c>
      <c r="Y1147" s="15">
        <f>IF($AN1147="","",IF(INDEX(職員マスタ!$K$6:$K$405,$AN1147)="","",INDEX(職員マスタ!$K$6:$K$405,$AN1147)))</f>
        <v/>
      </c>
      <c r="Z1147" s="14">
        <f>IF(OR($E1147="",$Y1147=""),"",IF($E1147&gt;=$Y1147,"×",IF($E1147&gt;=$Y1147*設定!$C$5,"△","○")))</f>
        <v/>
      </c>
      <c r="AA1147" s="15">
        <f>IF($Z1147="","",IF($Z1147="×",0,IF($Z1147="○",ROUNDDOWN($E1147*設定!$C$4,0),ROUNDDOWN($E1147*ROUND((9*$Y1147-9*$E1147)/(10*$E1147),4),0))))</f>
        <v/>
      </c>
      <c r="AB1147" s="13" t="n"/>
      <c r="AC1147" s="15">
        <f>IF($B1147="","",IF($AB1147&lt;&gt;"",$AB1147,IF($AA1147="","",IF($AA1147&lt;=設定!$C$3,0,$AA1147))))</f>
        <v/>
      </c>
      <c r="AD1147" s="14">
        <f>IF($B1147="","",IF(AND($AE1147&lt;&gt;"",$AG1147="",$AJ1147=""),"保留中",IF($AJ1147&lt;&gt;"",IF(N($AC1147)&gt;0,"支給済","不支給"),IF($AC1147="","要確認",IF($AC1147=0,"不支給","未処理")))))</f>
        <v/>
      </c>
      <c r="AE1147" s="12" t="n"/>
      <c r="AF1147" s="11" t="n"/>
      <c r="AG1147" s="11" t="n"/>
      <c r="AH1147" s="11" t="n"/>
      <c r="AI1147" s="14">
        <f>IF(AND($AD1147="保留中",$AF1147&lt;&gt;""),TODAY()-$AF1147,"")</f>
        <v/>
      </c>
      <c r="AJ1147" s="12" t="n"/>
      <c r="AK1147" s="14">
        <f>IF($B1147="","",IF($AO1147="","対象年月が未入力／","")&amp;IF($B1147="","",IF($AN1147="","職員マスタに未登録の職員番号／",IF($Y1147="","標準報酬月額が未登録／","")&amp;IF(AND($AO1147&lt;&gt;"",OR(AND(INDEX(職員マスタ!$G$6:$G$405,$AN1147)&lt;&gt;"",INDEX(職員マスタ!$G$6:$G$405,$AN1147)&gt;EOMONTH($AO1147,0)),AND(INDEX(職員マスタ!$H$6:$H$405,$AN1147)&lt;&gt;"",INDEX(職員マスタ!$H$6:$H$405,$AN1147)&lt;$AO1147))),"対象月が時短期間外／","")&amp;IF(AND(INDEX(職員マスタ!$F$6:$F$405,$AN1147)&lt;&gt;"",$AO1147&lt;&gt;"",INDEX(職員マスタ!$F$6:$F$405,$AN1147)&lt;$AO1147),"対象月に子が2歳到達済／","")&amp;IF(AND($H1147&lt;&gt;"",INDEX(職員マスタ!$B$6:$B$405,$AN1147)&lt;&gt;"",SUBSTITUTE(SUBSTITUTE($H1147," ","")," ","")&lt;&gt;SUBSTITUTE(SUBSTITUTE(INDEX(職員マスタ!$B$6:$B$405,$AN1147)," ","")," ","")),"氏名がマスタと相違／","")&amp;IF(AND($Q1147&lt;&gt;"",INDEX(職員マスタ!$E$6:$E$405,$AN1147)&lt;&gt;"",$Q1147&lt;&gt;INDEX(職員マスタ!$E$6:$E$405,$AN1147)),"子の生年月日がマスタと相違／","")&amp;IF(AND($L1147&lt;&gt;"",INDEX(職員マスタ!$G$6:$G$405,$AN1147)&lt;&gt;"",$L1147&lt;&gt;INDEX(職員マスタ!$G$6:$G$405,$AN1147)),"時短開始日がマスタと相違／","")&amp;IF(AND($M1147&lt;&gt;"",INDEX(職員マスタ!$H$6:$H$405,$AN1147)&lt;&gt;"",$M1147&lt;&gt;INDEX(職員マスタ!$H$6:$H$405,$AN1147)),"時短終了日がマスタと相違／","")))&amp;IF(AND($B1147&lt;&gt;"",$E1147=""),"報酬額が未入力／","")&amp;IF(N($U1147)&gt;0,"申請書に入力エラーが残っています／","")&amp;IF(AND($B1147&lt;&gt;"",$AO1147&lt;&gt;""),IF(COUNTIFS($B$6:$B$3005,$B1147,$C$6:$C$3005,$C1147,$D$6:$D$3005,$D1147)&gt;1,"同じ月の請求が重複しています／",""),"")&amp;IF(AND(N($E1147)&gt;0,$Z1147&lt;&gt;"",$Z1147&lt;&gt;"×",$AC1147=0,$AB1147=""),"計算額が下限以下のため不支給／",""))</f>
        <v/>
      </c>
      <c r="AL1147" s="12" t="n"/>
      <c r="AM1147" s="14">
        <f>IF($AD1147="保留中",COUNTIF($AD$6:$AD1147,"保留中"),"")</f>
        <v/>
      </c>
      <c r="AN1147" s="14">
        <f>IF($AO1147="","",IF(SUMPRODUCT(MAX((職員マスタ!$A$6:$A$405=$B1147)*(((職員マスタ!$G$6:$G$405="")+(職員マスタ!$G$6:$G$405&lt;=EOMONTH($AO1147,0)))&gt;0)*(((職員マスタ!$H$6:$H$405="")+(職員マスタ!$H$6:$H$405&gt;=$AO1147))&gt;0)*(ROW(職員マスタ!$A$6:$A$405)-5)))&gt;0,SUMPRODUCT(MAX((職員マスタ!$A$6:$A$405=$B1147)*(((職員マスタ!$G$6:$G$405="")+(職員マスタ!$G$6:$G$405&lt;=EOMONTH($AO1147,0)))&gt;0)*(((職員マスタ!$H$6:$H$405="")+(職員マスタ!$H$6:$H$405&gt;=$AO1147))&gt;0)*(ROW(職員マスタ!$A$6:$A$405)-5))),IFERROR(MATCH($B1147,職員マスタ!$A$6:$A$405,0),"")))</f>
        <v/>
      </c>
      <c r="AO1147" s="16">
        <f>IF(OR($B1147="",$C1147="",$D1147=""),"",DATE($C1147+2018,$D1147,1))</f>
        <v/>
      </c>
    </row>
    <row r="1148">
      <c r="A1148" s="11" t="n"/>
      <c r="B1148" s="12" t="n"/>
      <c r="C1148" s="12" t="n"/>
      <c r="D1148" s="12" t="n"/>
      <c r="E1148" s="13" t="n"/>
      <c r="F1148" s="12" t="n"/>
      <c r="G1148" s="13" t="n"/>
      <c r="H1148" s="12" t="n"/>
      <c r="I1148" s="12" t="n"/>
      <c r="J1148" s="12" t="n"/>
      <c r="K1148" s="12" t="n"/>
      <c r="L1148" s="11" t="n"/>
      <c r="M1148" s="11" t="n"/>
      <c r="N1148" s="11" t="n"/>
      <c r="O1148" s="11" t="n"/>
      <c r="P1148" s="12" t="n"/>
      <c r="Q1148" s="11" t="n"/>
      <c r="R1148" s="12" t="n"/>
      <c r="S1148" s="11" t="n"/>
      <c r="T1148" s="12" t="n"/>
      <c r="U1148" s="12" t="n"/>
      <c r="V1148" s="14">
        <f>IF($AN1148="",IF($B1148="","",$H1148),IF(INDEX(職員マスタ!$B$6:$B$405,$AN1148)="",$H1148,INDEX(職員マスタ!$B$6:$B$405,$AN1148)))</f>
        <v/>
      </c>
      <c r="W1148" s="14">
        <f>IF($AN1148="",IF($B1148="","",$R1148),IF(INDEX(職員マスタ!$C$6:$C$405,$AN1148)="",$R1148,INDEX(職員マスタ!$C$6:$C$405,$AN1148)))</f>
        <v/>
      </c>
      <c r="X1148" s="14">
        <f>IF($AO1148="","","R"&amp;$C1148&amp;"."&amp;$D1148)</f>
        <v/>
      </c>
      <c r="Y1148" s="15">
        <f>IF($AN1148="","",IF(INDEX(職員マスタ!$K$6:$K$405,$AN1148)="","",INDEX(職員マスタ!$K$6:$K$405,$AN1148)))</f>
        <v/>
      </c>
      <c r="Z1148" s="14">
        <f>IF(OR($E1148="",$Y1148=""),"",IF($E1148&gt;=$Y1148,"×",IF($E1148&gt;=$Y1148*設定!$C$5,"△","○")))</f>
        <v/>
      </c>
      <c r="AA1148" s="15">
        <f>IF($Z1148="","",IF($Z1148="×",0,IF($Z1148="○",ROUNDDOWN($E1148*設定!$C$4,0),ROUNDDOWN($E1148*ROUND((9*$Y1148-9*$E1148)/(10*$E1148),4),0))))</f>
        <v/>
      </c>
      <c r="AB1148" s="13" t="n"/>
      <c r="AC1148" s="15">
        <f>IF($B1148="","",IF($AB1148&lt;&gt;"",$AB1148,IF($AA1148="","",IF($AA1148&lt;=設定!$C$3,0,$AA1148))))</f>
        <v/>
      </c>
      <c r="AD1148" s="14">
        <f>IF($B1148="","",IF(AND($AE1148&lt;&gt;"",$AG1148="",$AJ1148=""),"保留中",IF($AJ1148&lt;&gt;"",IF(N($AC1148)&gt;0,"支給済","不支給"),IF($AC1148="","要確認",IF($AC1148=0,"不支給","未処理")))))</f>
        <v/>
      </c>
      <c r="AE1148" s="12" t="n"/>
      <c r="AF1148" s="11" t="n"/>
      <c r="AG1148" s="11" t="n"/>
      <c r="AH1148" s="11" t="n"/>
      <c r="AI1148" s="14">
        <f>IF(AND($AD1148="保留中",$AF1148&lt;&gt;""),TODAY()-$AF1148,"")</f>
        <v/>
      </c>
      <c r="AJ1148" s="12" t="n"/>
      <c r="AK1148" s="14">
        <f>IF($B1148="","",IF($AO1148="","対象年月が未入力／","")&amp;IF($B1148="","",IF($AN1148="","職員マスタに未登録の職員番号／",IF($Y1148="","標準報酬月額が未登録／","")&amp;IF(AND($AO1148&lt;&gt;"",OR(AND(INDEX(職員マスタ!$G$6:$G$405,$AN1148)&lt;&gt;"",INDEX(職員マスタ!$G$6:$G$405,$AN1148)&gt;EOMONTH($AO1148,0)),AND(INDEX(職員マスタ!$H$6:$H$405,$AN1148)&lt;&gt;"",INDEX(職員マスタ!$H$6:$H$405,$AN1148)&lt;$AO1148))),"対象月が時短期間外／","")&amp;IF(AND(INDEX(職員マスタ!$F$6:$F$405,$AN1148)&lt;&gt;"",$AO1148&lt;&gt;"",INDEX(職員マスタ!$F$6:$F$405,$AN1148)&lt;$AO1148),"対象月に子が2歳到達済／","")&amp;IF(AND($H1148&lt;&gt;"",INDEX(職員マスタ!$B$6:$B$405,$AN1148)&lt;&gt;"",SUBSTITUTE(SUBSTITUTE($H1148," ","")," ","")&lt;&gt;SUBSTITUTE(SUBSTITUTE(INDEX(職員マスタ!$B$6:$B$405,$AN1148)," ","")," ","")),"氏名がマスタと相違／","")&amp;IF(AND($Q1148&lt;&gt;"",INDEX(職員マスタ!$E$6:$E$405,$AN1148)&lt;&gt;"",$Q1148&lt;&gt;INDEX(職員マスタ!$E$6:$E$405,$AN1148)),"子の生年月日がマスタと相違／","")&amp;IF(AND($L1148&lt;&gt;"",INDEX(職員マスタ!$G$6:$G$405,$AN1148)&lt;&gt;"",$L1148&lt;&gt;INDEX(職員マスタ!$G$6:$G$405,$AN1148)),"時短開始日がマスタと相違／","")&amp;IF(AND($M1148&lt;&gt;"",INDEX(職員マスタ!$H$6:$H$405,$AN1148)&lt;&gt;"",$M1148&lt;&gt;INDEX(職員マスタ!$H$6:$H$405,$AN1148)),"時短終了日がマスタと相違／","")))&amp;IF(AND($B1148&lt;&gt;"",$E1148=""),"報酬額が未入力／","")&amp;IF(N($U1148)&gt;0,"申請書に入力エラーが残っています／","")&amp;IF(AND($B1148&lt;&gt;"",$AO1148&lt;&gt;""),IF(COUNTIFS($B$6:$B$3005,$B1148,$C$6:$C$3005,$C1148,$D$6:$D$3005,$D1148)&gt;1,"同じ月の請求が重複しています／",""),"")&amp;IF(AND(N($E1148)&gt;0,$Z1148&lt;&gt;"",$Z1148&lt;&gt;"×",$AC1148=0,$AB1148=""),"計算額が下限以下のため不支給／",""))</f>
        <v/>
      </c>
      <c r="AL1148" s="12" t="n"/>
      <c r="AM1148" s="14">
        <f>IF($AD1148="保留中",COUNTIF($AD$6:$AD1148,"保留中"),"")</f>
        <v/>
      </c>
      <c r="AN1148" s="14">
        <f>IF($AO1148="","",IF(SUMPRODUCT(MAX((職員マスタ!$A$6:$A$405=$B1148)*(((職員マスタ!$G$6:$G$405="")+(職員マスタ!$G$6:$G$405&lt;=EOMONTH($AO1148,0)))&gt;0)*(((職員マスタ!$H$6:$H$405="")+(職員マスタ!$H$6:$H$405&gt;=$AO1148))&gt;0)*(ROW(職員マスタ!$A$6:$A$405)-5)))&gt;0,SUMPRODUCT(MAX((職員マスタ!$A$6:$A$405=$B1148)*(((職員マスタ!$G$6:$G$405="")+(職員マスタ!$G$6:$G$405&lt;=EOMONTH($AO1148,0)))&gt;0)*(((職員マスタ!$H$6:$H$405="")+(職員マスタ!$H$6:$H$405&gt;=$AO1148))&gt;0)*(ROW(職員マスタ!$A$6:$A$405)-5))),IFERROR(MATCH($B1148,職員マスタ!$A$6:$A$405,0),"")))</f>
        <v/>
      </c>
      <c r="AO1148" s="16">
        <f>IF(OR($B1148="",$C1148="",$D1148=""),"",DATE($C1148+2018,$D1148,1))</f>
        <v/>
      </c>
    </row>
    <row r="1149">
      <c r="A1149" s="11" t="n"/>
      <c r="B1149" s="12" t="n"/>
      <c r="C1149" s="12" t="n"/>
      <c r="D1149" s="12" t="n"/>
      <c r="E1149" s="13" t="n"/>
      <c r="F1149" s="12" t="n"/>
      <c r="G1149" s="13" t="n"/>
      <c r="H1149" s="12" t="n"/>
      <c r="I1149" s="12" t="n"/>
      <c r="J1149" s="12" t="n"/>
      <c r="K1149" s="12" t="n"/>
      <c r="L1149" s="11" t="n"/>
      <c r="M1149" s="11" t="n"/>
      <c r="N1149" s="11" t="n"/>
      <c r="O1149" s="11" t="n"/>
      <c r="P1149" s="12" t="n"/>
      <c r="Q1149" s="11" t="n"/>
      <c r="R1149" s="12" t="n"/>
      <c r="S1149" s="11" t="n"/>
      <c r="T1149" s="12" t="n"/>
      <c r="U1149" s="12" t="n"/>
      <c r="V1149" s="14">
        <f>IF($AN1149="",IF($B1149="","",$H1149),IF(INDEX(職員マスタ!$B$6:$B$405,$AN1149)="",$H1149,INDEX(職員マスタ!$B$6:$B$405,$AN1149)))</f>
        <v/>
      </c>
      <c r="W1149" s="14">
        <f>IF($AN1149="",IF($B1149="","",$R1149),IF(INDEX(職員マスタ!$C$6:$C$405,$AN1149)="",$R1149,INDEX(職員マスタ!$C$6:$C$405,$AN1149)))</f>
        <v/>
      </c>
      <c r="X1149" s="14">
        <f>IF($AO1149="","","R"&amp;$C1149&amp;"."&amp;$D1149)</f>
        <v/>
      </c>
      <c r="Y1149" s="15">
        <f>IF($AN1149="","",IF(INDEX(職員マスタ!$K$6:$K$405,$AN1149)="","",INDEX(職員マスタ!$K$6:$K$405,$AN1149)))</f>
        <v/>
      </c>
      <c r="Z1149" s="14">
        <f>IF(OR($E1149="",$Y1149=""),"",IF($E1149&gt;=$Y1149,"×",IF($E1149&gt;=$Y1149*設定!$C$5,"△","○")))</f>
        <v/>
      </c>
      <c r="AA1149" s="15">
        <f>IF($Z1149="","",IF($Z1149="×",0,IF($Z1149="○",ROUNDDOWN($E1149*設定!$C$4,0),ROUNDDOWN($E1149*ROUND((9*$Y1149-9*$E1149)/(10*$E1149),4),0))))</f>
        <v/>
      </c>
      <c r="AB1149" s="13" t="n"/>
      <c r="AC1149" s="15">
        <f>IF($B1149="","",IF($AB1149&lt;&gt;"",$AB1149,IF($AA1149="","",IF($AA1149&lt;=設定!$C$3,0,$AA1149))))</f>
        <v/>
      </c>
      <c r="AD1149" s="14">
        <f>IF($B1149="","",IF(AND($AE1149&lt;&gt;"",$AG1149="",$AJ1149=""),"保留中",IF($AJ1149&lt;&gt;"",IF(N($AC1149)&gt;0,"支給済","不支給"),IF($AC1149="","要確認",IF($AC1149=0,"不支給","未処理")))))</f>
        <v/>
      </c>
      <c r="AE1149" s="12" t="n"/>
      <c r="AF1149" s="11" t="n"/>
      <c r="AG1149" s="11" t="n"/>
      <c r="AH1149" s="11" t="n"/>
      <c r="AI1149" s="14">
        <f>IF(AND($AD1149="保留中",$AF1149&lt;&gt;""),TODAY()-$AF1149,"")</f>
        <v/>
      </c>
      <c r="AJ1149" s="12" t="n"/>
      <c r="AK1149" s="14">
        <f>IF($B1149="","",IF($AO1149="","対象年月が未入力／","")&amp;IF($B1149="","",IF($AN1149="","職員マスタに未登録の職員番号／",IF($Y1149="","標準報酬月額が未登録／","")&amp;IF(AND($AO1149&lt;&gt;"",OR(AND(INDEX(職員マスタ!$G$6:$G$405,$AN1149)&lt;&gt;"",INDEX(職員マスタ!$G$6:$G$405,$AN1149)&gt;EOMONTH($AO1149,0)),AND(INDEX(職員マスタ!$H$6:$H$405,$AN1149)&lt;&gt;"",INDEX(職員マスタ!$H$6:$H$405,$AN1149)&lt;$AO1149))),"対象月が時短期間外／","")&amp;IF(AND(INDEX(職員マスタ!$F$6:$F$405,$AN1149)&lt;&gt;"",$AO1149&lt;&gt;"",INDEX(職員マスタ!$F$6:$F$405,$AN1149)&lt;$AO1149),"対象月に子が2歳到達済／","")&amp;IF(AND($H1149&lt;&gt;"",INDEX(職員マスタ!$B$6:$B$405,$AN1149)&lt;&gt;"",SUBSTITUTE(SUBSTITUTE($H1149," ","")," ","")&lt;&gt;SUBSTITUTE(SUBSTITUTE(INDEX(職員マスタ!$B$6:$B$405,$AN1149)," ","")," ","")),"氏名がマスタと相違／","")&amp;IF(AND($Q1149&lt;&gt;"",INDEX(職員マスタ!$E$6:$E$405,$AN1149)&lt;&gt;"",$Q1149&lt;&gt;INDEX(職員マスタ!$E$6:$E$405,$AN1149)),"子の生年月日がマスタと相違／","")&amp;IF(AND($L1149&lt;&gt;"",INDEX(職員マスタ!$G$6:$G$405,$AN1149)&lt;&gt;"",$L1149&lt;&gt;INDEX(職員マスタ!$G$6:$G$405,$AN1149)),"時短開始日がマスタと相違／","")&amp;IF(AND($M1149&lt;&gt;"",INDEX(職員マスタ!$H$6:$H$405,$AN1149)&lt;&gt;"",$M1149&lt;&gt;INDEX(職員マスタ!$H$6:$H$405,$AN1149)),"時短終了日がマスタと相違／","")))&amp;IF(AND($B1149&lt;&gt;"",$E1149=""),"報酬額が未入力／","")&amp;IF(N($U1149)&gt;0,"申請書に入力エラーが残っています／","")&amp;IF(AND($B1149&lt;&gt;"",$AO1149&lt;&gt;""),IF(COUNTIFS($B$6:$B$3005,$B1149,$C$6:$C$3005,$C1149,$D$6:$D$3005,$D1149)&gt;1,"同じ月の請求が重複しています／",""),"")&amp;IF(AND(N($E1149)&gt;0,$Z1149&lt;&gt;"",$Z1149&lt;&gt;"×",$AC1149=0,$AB1149=""),"計算額が下限以下のため不支給／",""))</f>
        <v/>
      </c>
      <c r="AL1149" s="12" t="n"/>
      <c r="AM1149" s="14">
        <f>IF($AD1149="保留中",COUNTIF($AD$6:$AD1149,"保留中"),"")</f>
        <v/>
      </c>
      <c r="AN1149" s="14">
        <f>IF($AO1149="","",IF(SUMPRODUCT(MAX((職員マスタ!$A$6:$A$405=$B1149)*(((職員マスタ!$G$6:$G$405="")+(職員マスタ!$G$6:$G$405&lt;=EOMONTH($AO1149,0)))&gt;0)*(((職員マスタ!$H$6:$H$405="")+(職員マスタ!$H$6:$H$405&gt;=$AO1149))&gt;0)*(ROW(職員マスタ!$A$6:$A$405)-5)))&gt;0,SUMPRODUCT(MAX((職員マスタ!$A$6:$A$405=$B1149)*(((職員マスタ!$G$6:$G$405="")+(職員マスタ!$G$6:$G$405&lt;=EOMONTH($AO1149,0)))&gt;0)*(((職員マスタ!$H$6:$H$405="")+(職員マスタ!$H$6:$H$405&gt;=$AO1149))&gt;0)*(ROW(職員マスタ!$A$6:$A$405)-5))),IFERROR(MATCH($B1149,職員マスタ!$A$6:$A$405,0),"")))</f>
        <v/>
      </c>
      <c r="AO1149" s="16">
        <f>IF(OR($B1149="",$C1149="",$D1149=""),"",DATE($C1149+2018,$D1149,1))</f>
        <v/>
      </c>
    </row>
    <row r="1150">
      <c r="A1150" s="11" t="n"/>
      <c r="B1150" s="12" t="n"/>
      <c r="C1150" s="12" t="n"/>
      <c r="D1150" s="12" t="n"/>
      <c r="E1150" s="13" t="n"/>
      <c r="F1150" s="12" t="n"/>
      <c r="G1150" s="13" t="n"/>
      <c r="H1150" s="12" t="n"/>
      <c r="I1150" s="12" t="n"/>
      <c r="J1150" s="12" t="n"/>
      <c r="K1150" s="12" t="n"/>
      <c r="L1150" s="11" t="n"/>
      <c r="M1150" s="11" t="n"/>
      <c r="N1150" s="11" t="n"/>
      <c r="O1150" s="11" t="n"/>
      <c r="P1150" s="12" t="n"/>
      <c r="Q1150" s="11" t="n"/>
      <c r="R1150" s="12" t="n"/>
      <c r="S1150" s="11" t="n"/>
      <c r="T1150" s="12" t="n"/>
      <c r="U1150" s="12" t="n"/>
      <c r="V1150" s="14">
        <f>IF($AN1150="",IF($B1150="","",$H1150),IF(INDEX(職員マスタ!$B$6:$B$405,$AN1150)="",$H1150,INDEX(職員マスタ!$B$6:$B$405,$AN1150)))</f>
        <v/>
      </c>
      <c r="W1150" s="14">
        <f>IF($AN1150="",IF($B1150="","",$R1150),IF(INDEX(職員マスタ!$C$6:$C$405,$AN1150)="",$R1150,INDEX(職員マスタ!$C$6:$C$405,$AN1150)))</f>
        <v/>
      </c>
      <c r="X1150" s="14">
        <f>IF($AO1150="","","R"&amp;$C1150&amp;"."&amp;$D1150)</f>
        <v/>
      </c>
      <c r="Y1150" s="15">
        <f>IF($AN1150="","",IF(INDEX(職員マスタ!$K$6:$K$405,$AN1150)="","",INDEX(職員マスタ!$K$6:$K$405,$AN1150)))</f>
        <v/>
      </c>
      <c r="Z1150" s="14">
        <f>IF(OR($E1150="",$Y1150=""),"",IF($E1150&gt;=$Y1150,"×",IF($E1150&gt;=$Y1150*設定!$C$5,"△","○")))</f>
        <v/>
      </c>
      <c r="AA1150" s="15">
        <f>IF($Z1150="","",IF($Z1150="×",0,IF($Z1150="○",ROUNDDOWN($E1150*設定!$C$4,0),ROUNDDOWN($E1150*ROUND((9*$Y1150-9*$E1150)/(10*$E1150),4),0))))</f>
        <v/>
      </c>
      <c r="AB1150" s="13" t="n"/>
      <c r="AC1150" s="15">
        <f>IF($B1150="","",IF($AB1150&lt;&gt;"",$AB1150,IF($AA1150="","",IF($AA1150&lt;=設定!$C$3,0,$AA1150))))</f>
        <v/>
      </c>
      <c r="AD1150" s="14">
        <f>IF($B1150="","",IF(AND($AE1150&lt;&gt;"",$AG1150="",$AJ1150=""),"保留中",IF($AJ1150&lt;&gt;"",IF(N($AC1150)&gt;0,"支給済","不支給"),IF($AC1150="","要確認",IF($AC1150=0,"不支給","未処理")))))</f>
        <v/>
      </c>
      <c r="AE1150" s="12" t="n"/>
      <c r="AF1150" s="11" t="n"/>
      <c r="AG1150" s="11" t="n"/>
      <c r="AH1150" s="11" t="n"/>
      <c r="AI1150" s="14">
        <f>IF(AND($AD1150="保留中",$AF1150&lt;&gt;""),TODAY()-$AF1150,"")</f>
        <v/>
      </c>
      <c r="AJ1150" s="12" t="n"/>
      <c r="AK1150" s="14">
        <f>IF($B1150="","",IF($AO1150="","対象年月が未入力／","")&amp;IF($B1150="","",IF($AN1150="","職員マスタに未登録の職員番号／",IF($Y1150="","標準報酬月額が未登録／","")&amp;IF(AND($AO1150&lt;&gt;"",OR(AND(INDEX(職員マスタ!$G$6:$G$405,$AN1150)&lt;&gt;"",INDEX(職員マスタ!$G$6:$G$405,$AN1150)&gt;EOMONTH($AO1150,0)),AND(INDEX(職員マスタ!$H$6:$H$405,$AN1150)&lt;&gt;"",INDEX(職員マスタ!$H$6:$H$405,$AN1150)&lt;$AO1150))),"対象月が時短期間外／","")&amp;IF(AND(INDEX(職員マスタ!$F$6:$F$405,$AN1150)&lt;&gt;"",$AO1150&lt;&gt;"",INDEX(職員マスタ!$F$6:$F$405,$AN1150)&lt;$AO1150),"対象月に子が2歳到達済／","")&amp;IF(AND($H1150&lt;&gt;"",INDEX(職員マスタ!$B$6:$B$405,$AN1150)&lt;&gt;"",SUBSTITUTE(SUBSTITUTE($H1150," ","")," ","")&lt;&gt;SUBSTITUTE(SUBSTITUTE(INDEX(職員マスタ!$B$6:$B$405,$AN1150)," ","")," ","")),"氏名がマスタと相違／","")&amp;IF(AND($Q1150&lt;&gt;"",INDEX(職員マスタ!$E$6:$E$405,$AN1150)&lt;&gt;"",$Q1150&lt;&gt;INDEX(職員マスタ!$E$6:$E$405,$AN1150)),"子の生年月日がマスタと相違／","")&amp;IF(AND($L1150&lt;&gt;"",INDEX(職員マスタ!$G$6:$G$405,$AN1150)&lt;&gt;"",$L1150&lt;&gt;INDEX(職員マスタ!$G$6:$G$405,$AN1150)),"時短開始日がマスタと相違／","")&amp;IF(AND($M1150&lt;&gt;"",INDEX(職員マスタ!$H$6:$H$405,$AN1150)&lt;&gt;"",$M1150&lt;&gt;INDEX(職員マスタ!$H$6:$H$405,$AN1150)),"時短終了日がマスタと相違／","")))&amp;IF(AND($B1150&lt;&gt;"",$E1150=""),"報酬額が未入力／","")&amp;IF(N($U1150)&gt;0,"申請書に入力エラーが残っています／","")&amp;IF(AND($B1150&lt;&gt;"",$AO1150&lt;&gt;""),IF(COUNTIFS($B$6:$B$3005,$B1150,$C$6:$C$3005,$C1150,$D$6:$D$3005,$D1150)&gt;1,"同じ月の請求が重複しています／",""),"")&amp;IF(AND(N($E1150)&gt;0,$Z1150&lt;&gt;"",$Z1150&lt;&gt;"×",$AC1150=0,$AB1150=""),"計算額が下限以下のため不支給／",""))</f>
        <v/>
      </c>
      <c r="AL1150" s="12" t="n"/>
      <c r="AM1150" s="14">
        <f>IF($AD1150="保留中",COUNTIF($AD$6:$AD1150,"保留中"),"")</f>
        <v/>
      </c>
      <c r="AN1150" s="14">
        <f>IF($AO1150="","",IF(SUMPRODUCT(MAX((職員マスタ!$A$6:$A$405=$B1150)*(((職員マスタ!$G$6:$G$405="")+(職員マスタ!$G$6:$G$405&lt;=EOMONTH($AO1150,0)))&gt;0)*(((職員マスタ!$H$6:$H$405="")+(職員マスタ!$H$6:$H$405&gt;=$AO1150))&gt;0)*(ROW(職員マスタ!$A$6:$A$405)-5)))&gt;0,SUMPRODUCT(MAX((職員マスタ!$A$6:$A$405=$B1150)*(((職員マスタ!$G$6:$G$405="")+(職員マスタ!$G$6:$G$405&lt;=EOMONTH($AO1150,0)))&gt;0)*(((職員マスタ!$H$6:$H$405="")+(職員マスタ!$H$6:$H$405&gt;=$AO1150))&gt;0)*(ROW(職員マスタ!$A$6:$A$405)-5))),IFERROR(MATCH($B1150,職員マスタ!$A$6:$A$405,0),"")))</f>
        <v/>
      </c>
      <c r="AO1150" s="16">
        <f>IF(OR($B1150="",$C1150="",$D1150=""),"",DATE($C1150+2018,$D1150,1))</f>
        <v/>
      </c>
    </row>
    <row r="1151">
      <c r="A1151" s="11" t="n"/>
      <c r="B1151" s="12" t="n"/>
      <c r="C1151" s="12" t="n"/>
      <c r="D1151" s="12" t="n"/>
      <c r="E1151" s="13" t="n"/>
      <c r="F1151" s="12" t="n"/>
      <c r="G1151" s="13" t="n"/>
      <c r="H1151" s="12" t="n"/>
      <c r="I1151" s="12" t="n"/>
      <c r="J1151" s="12" t="n"/>
      <c r="K1151" s="12" t="n"/>
      <c r="L1151" s="11" t="n"/>
      <c r="M1151" s="11" t="n"/>
      <c r="N1151" s="11" t="n"/>
      <c r="O1151" s="11" t="n"/>
      <c r="P1151" s="12" t="n"/>
      <c r="Q1151" s="11" t="n"/>
      <c r="R1151" s="12" t="n"/>
      <c r="S1151" s="11" t="n"/>
      <c r="T1151" s="12" t="n"/>
      <c r="U1151" s="12" t="n"/>
      <c r="V1151" s="14">
        <f>IF($AN1151="",IF($B1151="","",$H1151),IF(INDEX(職員マスタ!$B$6:$B$405,$AN1151)="",$H1151,INDEX(職員マスタ!$B$6:$B$405,$AN1151)))</f>
        <v/>
      </c>
      <c r="W1151" s="14">
        <f>IF($AN1151="",IF($B1151="","",$R1151),IF(INDEX(職員マスタ!$C$6:$C$405,$AN1151)="",$R1151,INDEX(職員マスタ!$C$6:$C$405,$AN1151)))</f>
        <v/>
      </c>
      <c r="X1151" s="14">
        <f>IF($AO1151="","","R"&amp;$C1151&amp;"."&amp;$D1151)</f>
        <v/>
      </c>
      <c r="Y1151" s="15">
        <f>IF($AN1151="","",IF(INDEX(職員マスタ!$K$6:$K$405,$AN1151)="","",INDEX(職員マスタ!$K$6:$K$405,$AN1151)))</f>
        <v/>
      </c>
      <c r="Z1151" s="14">
        <f>IF(OR($E1151="",$Y1151=""),"",IF($E1151&gt;=$Y1151,"×",IF($E1151&gt;=$Y1151*設定!$C$5,"△","○")))</f>
        <v/>
      </c>
      <c r="AA1151" s="15">
        <f>IF($Z1151="","",IF($Z1151="×",0,IF($Z1151="○",ROUNDDOWN($E1151*設定!$C$4,0),ROUNDDOWN($E1151*ROUND((9*$Y1151-9*$E1151)/(10*$E1151),4),0))))</f>
        <v/>
      </c>
      <c r="AB1151" s="13" t="n"/>
      <c r="AC1151" s="15">
        <f>IF($B1151="","",IF($AB1151&lt;&gt;"",$AB1151,IF($AA1151="","",IF($AA1151&lt;=設定!$C$3,0,$AA1151))))</f>
        <v/>
      </c>
      <c r="AD1151" s="14">
        <f>IF($B1151="","",IF(AND($AE1151&lt;&gt;"",$AG1151="",$AJ1151=""),"保留中",IF($AJ1151&lt;&gt;"",IF(N($AC1151)&gt;0,"支給済","不支給"),IF($AC1151="","要確認",IF($AC1151=0,"不支給","未処理")))))</f>
        <v/>
      </c>
      <c r="AE1151" s="12" t="n"/>
      <c r="AF1151" s="11" t="n"/>
      <c r="AG1151" s="11" t="n"/>
      <c r="AH1151" s="11" t="n"/>
      <c r="AI1151" s="14">
        <f>IF(AND($AD1151="保留中",$AF1151&lt;&gt;""),TODAY()-$AF1151,"")</f>
        <v/>
      </c>
      <c r="AJ1151" s="12" t="n"/>
      <c r="AK1151" s="14">
        <f>IF($B1151="","",IF($AO1151="","対象年月が未入力／","")&amp;IF($B1151="","",IF($AN1151="","職員マスタに未登録の職員番号／",IF($Y1151="","標準報酬月額が未登録／","")&amp;IF(AND($AO1151&lt;&gt;"",OR(AND(INDEX(職員マスタ!$G$6:$G$405,$AN1151)&lt;&gt;"",INDEX(職員マスタ!$G$6:$G$405,$AN1151)&gt;EOMONTH($AO1151,0)),AND(INDEX(職員マスタ!$H$6:$H$405,$AN1151)&lt;&gt;"",INDEX(職員マスタ!$H$6:$H$405,$AN1151)&lt;$AO1151))),"対象月が時短期間外／","")&amp;IF(AND(INDEX(職員マスタ!$F$6:$F$405,$AN1151)&lt;&gt;"",$AO1151&lt;&gt;"",INDEX(職員マスタ!$F$6:$F$405,$AN1151)&lt;$AO1151),"対象月に子が2歳到達済／","")&amp;IF(AND($H1151&lt;&gt;"",INDEX(職員マスタ!$B$6:$B$405,$AN1151)&lt;&gt;"",SUBSTITUTE(SUBSTITUTE($H1151," ","")," ","")&lt;&gt;SUBSTITUTE(SUBSTITUTE(INDEX(職員マスタ!$B$6:$B$405,$AN1151)," ","")," ","")),"氏名がマスタと相違／","")&amp;IF(AND($Q1151&lt;&gt;"",INDEX(職員マスタ!$E$6:$E$405,$AN1151)&lt;&gt;"",$Q1151&lt;&gt;INDEX(職員マスタ!$E$6:$E$405,$AN1151)),"子の生年月日がマスタと相違／","")&amp;IF(AND($L1151&lt;&gt;"",INDEX(職員マスタ!$G$6:$G$405,$AN1151)&lt;&gt;"",$L1151&lt;&gt;INDEX(職員マスタ!$G$6:$G$405,$AN1151)),"時短開始日がマスタと相違／","")&amp;IF(AND($M1151&lt;&gt;"",INDEX(職員マスタ!$H$6:$H$405,$AN1151)&lt;&gt;"",$M1151&lt;&gt;INDEX(職員マスタ!$H$6:$H$405,$AN1151)),"時短終了日がマスタと相違／","")))&amp;IF(AND($B1151&lt;&gt;"",$E1151=""),"報酬額が未入力／","")&amp;IF(N($U1151)&gt;0,"申請書に入力エラーが残っています／","")&amp;IF(AND($B1151&lt;&gt;"",$AO1151&lt;&gt;""),IF(COUNTIFS($B$6:$B$3005,$B1151,$C$6:$C$3005,$C1151,$D$6:$D$3005,$D1151)&gt;1,"同じ月の請求が重複しています／",""),"")&amp;IF(AND(N($E1151)&gt;0,$Z1151&lt;&gt;"",$Z1151&lt;&gt;"×",$AC1151=0,$AB1151=""),"計算額が下限以下のため不支給／",""))</f>
        <v/>
      </c>
      <c r="AL1151" s="12" t="n"/>
      <c r="AM1151" s="14">
        <f>IF($AD1151="保留中",COUNTIF($AD$6:$AD1151,"保留中"),"")</f>
        <v/>
      </c>
      <c r="AN1151" s="14">
        <f>IF($AO1151="","",IF(SUMPRODUCT(MAX((職員マスタ!$A$6:$A$405=$B1151)*(((職員マスタ!$G$6:$G$405="")+(職員マスタ!$G$6:$G$405&lt;=EOMONTH($AO1151,0)))&gt;0)*(((職員マスタ!$H$6:$H$405="")+(職員マスタ!$H$6:$H$405&gt;=$AO1151))&gt;0)*(ROW(職員マスタ!$A$6:$A$405)-5)))&gt;0,SUMPRODUCT(MAX((職員マスタ!$A$6:$A$405=$B1151)*(((職員マスタ!$G$6:$G$405="")+(職員マスタ!$G$6:$G$405&lt;=EOMONTH($AO1151,0)))&gt;0)*(((職員マスタ!$H$6:$H$405="")+(職員マスタ!$H$6:$H$405&gt;=$AO1151))&gt;0)*(ROW(職員マスタ!$A$6:$A$405)-5))),IFERROR(MATCH($B1151,職員マスタ!$A$6:$A$405,0),"")))</f>
        <v/>
      </c>
      <c r="AO1151" s="16">
        <f>IF(OR($B1151="",$C1151="",$D1151=""),"",DATE($C1151+2018,$D1151,1))</f>
        <v/>
      </c>
    </row>
    <row r="1152">
      <c r="A1152" s="11" t="n"/>
      <c r="B1152" s="12" t="n"/>
      <c r="C1152" s="12" t="n"/>
      <c r="D1152" s="12" t="n"/>
      <c r="E1152" s="13" t="n"/>
      <c r="F1152" s="12" t="n"/>
      <c r="G1152" s="13" t="n"/>
      <c r="H1152" s="12" t="n"/>
      <c r="I1152" s="12" t="n"/>
      <c r="J1152" s="12" t="n"/>
      <c r="K1152" s="12" t="n"/>
      <c r="L1152" s="11" t="n"/>
      <c r="M1152" s="11" t="n"/>
      <c r="N1152" s="11" t="n"/>
      <c r="O1152" s="11" t="n"/>
      <c r="P1152" s="12" t="n"/>
      <c r="Q1152" s="11" t="n"/>
      <c r="R1152" s="12" t="n"/>
      <c r="S1152" s="11" t="n"/>
      <c r="T1152" s="12" t="n"/>
      <c r="U1152" s="12" t="n"/>
      <c r="V1152" s="14">
        <f>IF($AN1152="",IF($B1152="","",$H1152),IF(INDEX(職員マスタ!$B$6:$B$405,$AN1152)="",$H1152,INDEX(職員マスタ!$B$6:$B$405,$AN1152)))</f>
        <v/>
      </c>
      <c r="W1152" s="14">
        <f>IF($AN1152="",IF($B1152="","",$R1152),IF(INDEX(職員マスタ!$C$6:$C$405,$AN1152)="",$R1152,INDEX(職員マスタ!$C$6:$C$405,$AN1152)))</f>
        <v/>
      </c>
      <c r="X1152" s="14">
        <f>IF($AO1152="","","R"&amp;$C1152&amp;"."&amp;$D1152)</f>
        <v/>
      </c>
      <c r="Y1152" s="15">
        <f>IF($AN1152="","",IF(INDEX(職員マスタ!$K$6:$K$405,$AN1152)="","",INDEX(職員マスタ!$K$6:$K$405,$AN1152)))</f>
        <v/>
      </c>
      <c r="Z1152" s="14">
        <f>IF(OR($E1152="",$Y1152=""),"",IF($E1152&gt;=$Y1152,"×",IF($E1152&gt;=$Y1152*設定!$C$5,"△","○")))</f>
        <v/>
      </c>
      <c r="AA1152" s="15">
        <f>IF($Z1152="","",IF($Z1152="×",0,IF($Z1152="○",ROUNDDOWN($E1152*設定!$C$4,0),ROUNDDOWN($E1152*ROUND((9*$Y1152-9*$E1152)/(10*$E1152),4),0))))</f>
        <v/>
      </c>
      <c r="AB1152" s="13" t="n"/>
      <c r="AC1152" s="15">
        <f>IF($B1152="","",IF($AB1152&lt;&gt;"",$AB1152,IF($AA1152="","",IF($AA1152&lt;=設定!$C$3,0,$AA1152))))</f>
        <v/>
      </c>
      <c r="AD1152" s="14">
        <f>IF($B1152="","",IF(AND($AE1152&lt;&gt;"",$AG1152="",$AJ1152=""),"保留中",IF($AJ1152&lt;&gt;"",IF(N($AC1152)&gt;0,"支給済","不支給"),IF($AC1152="","要確認",IF($AC1152=0,"不支給","未処理")))))</f>
        <v/>
      </c>
      <c r="AE1152" s="12" t="n"/>
      <c r="AF1152" s="11" t="n"/>
      <c r="AG1152" s="11" t="n"/>
      <c r="AH1152" s="11" t="n"/>
      <c r="AI1152" s="14">
        <f>IF(AND($AD1152="保留中",$AF1152&lt;&gt;""),TODAY()-$AF1152,"")</f>
        <v/>
      </c>
      <c r="AJ1152" s="12" t="n"/>
      <c r="AK1152" s="14">
        <f>IF($B1152="","",IF($AO1152="","対象年月が未入力／","")&amp;IF($B1152="","",IF($AN1152="","職員マスタに未登録の職員番号／",IF($Y1152="","標準報酬月額が未登録／","")&amp;IF(AND($AO1152&lt;&gt;"",OR(AND(INDEX(職員マスタ!$G$6:$G$405,$AN1152)&lt;&gt;"",INDEX(職員マスタ!$G$6:$G$405,$AN1152)&gt;EOMONTH($AO1152,0)),AND(INDEX(職員マスタ!$H$6:$H$405,$AN1152)&lt;&gt;"",INDEX(職員マスタ!$H$6:$H$405,$AN1152)&lt;$AO1152))),"対象月が時短期間外／","")&amp;IF(AND(INDEX(職員マスタ!$F$6:$F$405,$AN1152)&lt;&gt;"",$AO1152&lt;&gt;"",INDEX(職員マスタ!$F$6:$F$405,$AN1152)&lt;$AO1152),"対象月に子が2歳到達済／","")&amp;IF(AND($H1152&lt;&gt;"",INDEX(職員マスタ!$B$6:$B$405,$AN1152)&lt;&gt;"",SUBSTITUTE(SUBSTITUTE($H1152," ","")," ","")&lt;&gt;SUBSTITUTE(SUBSTITUTE(INDEX(職員マスタ!$B$6:$B$405,$AN1152)," ","")," ","")),"氏名がマスタと相違／","")&amp;IF(AND($Q1152&lt;&gt;"",INDEX(職員マスタ!$E$6:$E$405,$AN1152)&lt;&gt;"",$Q1152&lt;&gt;INDEX(職員マスタ!$E$6:$E$405,$AN1152)),"子の生年月日がマスタと相違／","")&amp;IF(AND($L1152&lt;&gt;"",INDEX(職員マスタ!$G$6:$G$405,$AN1152)&lt;&gt;"",$L1152&lt;&gt;INDEX(職員マスタ!$G$6:$G$405,$AN1152)),"時短開始日がマスタと相違／","")&amp;IF(AND($M1152&lt;&gt;"",INDEX(職員マスタ!$H$6:$H$405,$AN1152)&lt;&gt;"",$M1152&lt;&gt;INDEX(職員マスタ!$H$6:$H$405,$AN1152)),"時短終了日がマスタと相違／","")))&amp;IF(AND($B1152&lt;&gt;"",$E1152=""),"報酬額が未入力／","")&amp;IF(N($U1152)&gt;0,"申請書に入力エラーが残っています／","")&amp;IF(AND($B1152&lt;&gt;"",$AO1152&lt;&gt;""),IF(COUNTIFS($B$6:$B$3005,$B1152,$C$6:$C$3005,$C1152,$D$6:$D$3005,$D1152)&gt;1,"同じ月の請求が重複しています／",""),"")&amp;IF(AND(N($E1152)&gt;0,$Z1152&lt;&gt;"",$Z1152&lt;&gt;"×",$AC1152=0,$AB1152=""),"計算額が下限以下のため不支給／",""))</f>
        <v/>
      </c>
      <c r="AL1152" s="12" t="n"/>
      <c r="AM1152" s="14">
        <f>IF($AD1152="保留中",COUNTIF($AD$6:$AD1152,"保留中"),"")</f>
        <v/>
      </c>
      <c r="AN1152" s="14">
        <f>IF($AO1152="","",IF(SUMPRODUCT(MAX((職員マスタ!$A$6:$A$405=$B1152)*(((職員マスタ!$G$6:$G$405="")+(職員マスタ!$G$6:$G$405&lt;=EOMONTH($AO1152,0)))&gt;0)*(((職員マスタ!$H$6:$H$405="")+(職員マスタ!$H$6:$H$405&gt;=$AO1152))&gt;0)*(ROW(職員マスタ!$A$6:$A$405)-5)))&gt;0,SUMPRODUCT(MAX((職員マスタ!$A$6:$A$405=$B1152)*(((職員マスタ!$G$6:$G$405="")+(職員マスタ!$G$6:$G$405&lt;=EOMONTH($AO1152,0)))&gt;0)*(((職員マスタ!$H$6:$H$405="")+(職員マスタ!$H$6:$H$405&gt;=$AO1152))&gt;0)*(ROW(職員マスタ!$A$6:$A$405)-5))),IFERROR(MATCH($B1152,職員マスタ!$A$6:$A$405,0),"")))</f>
        <v/>
      </c>
      <c r="AO1152" s="16">
        <f>IF(OR($B1152="",$C1152="",$D1152=""),"",DATE($C1152+2018,$D1152,1))</f>
        <v/>
      </c>
    </row>
    <row r="1153">
      <c r="A1153" s="11" t="n"/>
      <c r="B1153" s="12" t="n"/>
      <c r="C1153" s="12" t="n"/>
      <c r="D1153" s="12" t="n"/>
      <c r="E1153" s="13" t="n"/>
      <c r="F1153" s="12" t="n"/>
      <c r="G1153" s="13" t="n"/>
      <c r="H1153" s="12" t="n"/>
      <c r="I1153" s="12" t="n"/>
      <c r="J1153" s="12" t="n"/>
      <c r="K1153" s="12" t="n"/>
      <c r="L1153" s="11" t="n"/>
      <c r="M1153" s="11" t="n"/>
      <c r="N1153" s="11" t="n"/>
      <c r="O1153" s="11" t="n"/>
      <c r="P1153" s="12" t="n"/>
      <c r="Q1153" s="11" t="n"/>
      <c r="R1153" s="12" t="n"/>
      <c r="S1153" s="11" t="n"/>
      <c r="T1153" s="12" t="n"/>
      <c r="U1153" s="12" t="n"/>
      <c r="V1153" s="14">
        <f>IF($AN1153="",IF($B1153="","",$H1153),IF(INDEX(職員マスタ!$B$6:$B$405,$AN1153)="",$H1153,INDEX(職員マスタ!$B$6:$B$405,$AN1153)))</f>
        <v/>
      </c>
      <c r="W1153" s="14">
        <f>IF($AN1153="",IF($B1153="","",$R1153),IF(INDEX(職員マスタ!$C$6:$C$405,$AN1153)="",$R1153,INDEX(職員マスタ!$C$6:$C$405,$AN1153)))</f>
        <v/>
      </c>
      <c r="X1153" s="14">
        <f>IF($AO1153="","","R"&amp;$C1153&amp;"."&amp;$D1153)</f>
        <v/>
      </c>
      <c r="Y1153" s="15">
        <f>IF($AN1153="","",IF(INDEX(職員マスタ!$K$6:$K$405,$AN1153)="","",INDEX(職員マスタ!$K$6:$K$405,$AN1153)))</f>
        <v/>
      </c>
      <c r="Z1153" s="14">
        <f>IF(OR($E1153="",$Y1153=""),"",IF($E1153&gt;=$Y1153,"×",IF($E1153&gt;=$Y1153*設定!$C$5,"△","○")))</f>
        <v/>
      </c>
      <c r="AA1153" s="15">
        <f>IF($Z1153="","",IF($Z1153="×",0,IF($Z1153="○",ROUNDDOWN($E1153*設定!$C$4,0),ROUNDDOWN($E1153*ROUND((9*$Y1153-9*$E1153)/(10*$E1153),4),0))))</f>
        <v/>
      </c>
      <c r="AB1153" s="13" t="n"/>
      <c r="AC1153" s="15">
        <f>IF($B1153="","",IF($AB1153&lt;&gt;"",$AB1153,IF($AA1153="","",IF($AA1153&lt;=設定!$C$3,0,$AA1153))))</f>
        <v/>
      </c>
      <c r="AD1153" s="14">
        <f>IF($B1153="","",IF(AND($AE1153&lt;&gt;"",$AG1153="",$AJ1153=""),"保留中",IF($AJ1153&lt;&gt;"",IF(N($AC1153)&gt;0,"支給済","不支給"),IF($AC1153="","要確認",IF($AC1153=0,"不支給","未処理")))))</f>
        <v/>
      </c>
      <c r="AE1153" s="12" t="n"/>
      <c r="AF1153" s="11" t="n"/>
      <c r="AG1153" s="11" t="n"/>
      <c r="AH1153" s="11" t="n"/>
      <c r="AI1153" s="14">
        <f>IF(AND($AD1153="保留中",$AF1153&lt;&gt;""),TODAY()-$AF1153,"")</f>
        <v/>
      </c>
      <c r="AJ1153" s="12" t="n"/>
      <c r="AK1153" s="14">
        <f>IF($B1153="","",IF($AO1153="","対象年月が未入力／","")&amp;IF($B1153="","",IF($AN1153="","職員マスタに未登録の職員番号／",IF($Y1153="","標準報酬月額が未登録／","")&amp;IF(AND($AO1153&lt;&gt;"",OR(AND(INDEX(職員マスタ!$G$6:$G$405,$AN1153)&lt;&gt;"",INDEX(職員マスタ!$G$6:$G$405,$AN1153)&gt;EOMONTH($AO1153,0)),AND(INDEX(職員マスタ!$H$6:$H$405,$AN1153)&lt;&gt;"",INDEX(職員マスタ!$H$6:$H$405,$AN1153)&lt;$AO1153))),"対象月が時短期間外／","")&amp;IF(AND(INDEX(職員マスタ!$F$6:$F$405,$AN1153)&lt;&gt;"",$AO1153&lt;&gt;"",INDEX(職員マスタ!$F$6:$F$405,$AN1153)&lt;$AO1153),"対象月に子が2歳到達済／","")&amp;IF(AND($H1153&lt;&gt;"",INDEX(職員マスタ!$B$6:$B$405,$AN1153)&lt;&gt;"",SUBSTITUTE(SUBSTITUTE($H1153," ","")," ","")&lt;&gt;SUBSTITUTE(SUBSTITUTE(INDEX(職員マスタ!$B$6:$B$405,$AN1153)," ","")," ","")),"氏名がマスタと相違／","")&amp;IF(AND($Q1153&lt;&gt;"",INDEX(職員マスタ!$E$6:$E$405,$AN1153)&lt;&gt;"",$Q1153&lt;&gt;INDEX(職員マスタ!$E$6:$E$405,$AN1153)),"子の生年月日がマスタと相違／","")&amp;IF(AND($L1153&lt;&gt;"",INDEX(職員マスタ!$G$6:$G$405,$AN1153)&lt;&gt;"",$L1153&lt;&gt;INDEX(職員マスタ!$G$6:$G$405,$AN1153)),"時短開始日がマスタと相違／","")&amp;IF(AND($M1153&lt;&gt;"",INDEX(職員マスタ!$H$6:$H$405,$AN1153)&lt;&gt;"",$M1153&lt;&gt;INDEX(職員マスタ!$H$6:$H$405,$AN1153)),"時短終了日がマスタと相違／","")))&amp;IF(AND($B1153&lt;&gt;"",$E1153=""),"報酬額が未入力／","")&amp;IF(N($U1153)&gt;0,"申請書に入力エラーが残っています／","")&amp;IF(AND($B1153&lt;&gt;"",$AO1153&lt;&gt;""),IF(COUNTIFS($B$6:$B$3005,$B1153,$C$6:$C$3005,$C1153,$D$6:$D$3005,$D1153)&gt;1,"同じ月の請求が重複しています／",""),"")&amp;IF(AND(N($E1153)&gt;0,$Z1153&lt;&gt;"",$Z1153&lt;&gt;"×",$AC1153=0,$AB1153=""),"計算額が下限以下のため不支給／",""))</f>
        <v/>
      </c>
      <c r="AL1153" s="12" t="n"/>
      <c r="AM1153" s="14">
        <f>IF($AD1153="保留中",COUNTIF($AD$6:$AD1153,"保留中"),"")</f>
        <v/>
      </c>
      <c r="AN1153" s="14">
        <f>IF($AO1153="","",IF(SUMPRODUCT(MAX((職員マスタ!$A$6:$A$405=$B1153)*(((職員マスタ!$G$6:$G$405="")+(職員マスタ!$G$6:$G$405&lt;=EOMONTH($AO1153,0)))&gt;0)*(((職員マスタ!$H$6:$H$405="")+(職員マスタ!$H$6:$H$405&gt;=$AO1153))&gt;0)*(ROW(職員マスタ!$A$6:$A$405)-5)))&gt;0,SUMPRODUCT(MAX((職員マスタ!$A$6:$A$405=$B1153)*(((職員マスタ!$G$6:$G$405="")+(職員マスタ!$G$6:$G$405&lt;=EOMONTH($AO1153,0)))&gt;0)*(((職員マスタ!$H$6:$H$405="")+(職員マスタ!$H$6:$H$405&gt;=$AO1153))&gt;0)*(ROW(職員マスタ!$A$6:$A$405)-5))),IFERROR(MATCH($B1153,職員マスタ!$A$6:$A$405,0),"")))</f>
        <v/>
      </c>
      <c r="AO1153" s="16">
        <f>IF(OR($B1153="",$C1153="",$D1153=""),"",DATE($C1153+2018,$D1153,1))</f>
        <v/>
      </c>
    </row>
    <row r="1154">
      <c r="A1154" s="11" t="n"/>
      <c r="B1154" s="12" t="n"/>
      <c r="C1154" s="12" t="n"/>
      <c r="D1154" s="12" t="n"/>
      <c r="E1154" s="13" t="n"/>
      <c r="F1154" s="12" t="n"/>
      <c r="G1154" s="13" t="n"/>
      <c r="H1154" s="12" t="n"/>
      <c r="I1154" s="12" t="n"/>
      <c r="J1154" s="12" t="n"/>
      <c r="K1154" s="12" t="n"/>
      <c r="L1154" s="11" t="n"/>
      <c r="M1154" s="11" t="n"/>
      <c r="N1154" s="11" t="n"/>
      <c r="O1154" s="11" t="n"/>
      <c r="P1154" s="12" t="n"/>
      <c r="Q1154" s="11" t="n"/>
      <c r="R1154" s="12" t="n"/>
      <c r="S1154" s="11" t="n"/>
      <c r="T1154" s="12" t="n"/>
      <c r="U1154" s="12" t="n"/>
      <c r="V1154" s="14">
        <f>IF($AN1154="",IF($B1154="","",$H1154),IF(INDEX(職員マスタ!$B$6:$B$405,$AN1154)="",$H1154,INDEX(職員マスタ!$B$6:$B$405,$AN1154)))</f>
        <v/>
      </c>
      <c r="W1154" s="14">
        <f>IF($AN1154="",IF($B1154="","",$R1154),IF(INDEX(職員マスタ!$C$6:$C$405,$AN1154)="",$R1154,INDEX(職員マスタ!$C$6:$C$405,$AN1154)))</f>
        <v/>
      </c>
      <c r="X1154" s="14">
        <f>IF($AO1154="","","R"&amp;$C1154&amp;"."&amp;$D1154)</f>
        <v/>
      </c>
      <c r="Y1154" s="15">
        <f>IF($AN1154="","",IF(INDEX(職員マスタ!$K$6:$K$405,$AN1154)="","",INDEX(職員マスタ!$K$6:$K$405,$AN1154)))</f>
        <v/>
      </c>
      <c r="Z1154" s="14">
        <f>IF(OR($E1154="",$Y1154=""),"",IF($E1154&gt;=$Y1154,"×",IF($E1154&gt;=$Y1154*設定!$C$5,"△","○")))</f>
        <v/>
      </c>
      <c r="AA1154" s="15">
        <f>IF($Z1154="","",IF($Z1154="×",0,IF($Z1154="○",ROUNDDOWN($E1154*設定!$C$4,0),ROUNDDOWN($E1154*ROUND((9*$Y1154-9*$E1154)/(10*$E1154),4),0))))</f>
        <v/>
      </c>
      <c r="AB1154" s="13" t="n"/>
      <c r="AC1154" s="15">
        <f>IF($B1154="","",IF($AB1154&lt;&gt;"",$AB1154,IF($AA1154="","",IF($AA1154&lt;=設定!$C$3,0,$AA1154))))</f>
        <v/>
      </c>
      <c r="AD1154" s="14">
        <f>IF($B1154="","",IF(AND($AE1154&lt;&gt;"",$AG1154="",$AJ1154=""),"保留中",IF($AJ1154&lt;&gt;"",IF(N($AC1154)&gt;0,"支給済","不支給"),IF($AC1154="","要確認",IF($AC1154=0,"不支給","未処理")))))</f>
        <v/>
      </c>
      <c r="AE1154" s="12" t="n"/>
      <c r="AF1154" s="11" t="n"/>
      <c r="AG1154" s="11" t="n"/>
      <c r="AH1154" s="11" t="n"/>
      <c r="AI1154" s="14">
        <f>IF(AND($AD1154="保留中",$AF1154&lt;&gt;""),TODAY()-$AF1154,"")</f>
        <v/>
      </c>
      <c r="AJ1154" s="12" t="n"/>
      <c r="AK1154" s="14">
        <f>IF($B1154="","",IF($AO1154="","対象年月が未入力／","")&amp;IF($B1154="","",IF($AN1154="","職員マスタに未登録の職員番号／",IF($Y1154="","標準報酬月額が未登録／","")&amp;IF(AND($AO1154&lt;&gt;"",OR(AND(INDEX(職員マスタ!$G$6:$G$405,$AN1154)&lt;&gt;"",INDEX(職員マスタ!$G$6:$G$405,$AN1154)&gt;EOMONTH($AO1154,0)),AND(INDEX(職員マスタ!$H$6:$H$405,$AN1154)&lt;&gt;"",INDEX(職員マスタ!$H$6:$H$405,$AN1154)&lt;$AO1154))),"対象月が時短期間外／","")&amp;IF(AND(INDEX(職員マスタ!$F$6:$F$405,$AN1154)&lt;&gt;"",$AO1154&lt;&gt;"",INDEX(職員マスタ!$F$6:$F$405,$AN1154)&lt;$AO1154),"対象月に子が2歳到達済／","")&amp;IF(AND($H1154&lt;&gt;"",INDEX(職員マスタ!$B$6:$B$405,$AN1154)&lt;&gt;"",SUBSTITUTE(SUBSTITUTE($H1154," ","")," ","")&lt;&gt;SUBSTITUTE(SUBSTITUTE(INDEX(職員マスタ!$B$6:$B$405,$AN1154)," ","")," ","")),"氏名がマスタと相違／","")&amp;IF(AND($Q1154&lt;&gt;"",INDEX(職員マスタ!$E$6:$E$405,$AN1154)&lt;&gt;"",$Q1154&lt;&gt;INDEX(職員マスタ!$E$6:$E$405,$AN1154)),"子の生年月日がマスタと相違／","")&amp;IF(AND($L1154&lt;&gt;"",INDEX(職員マスタ!$G$6:$G$405,$AN1154)&lt;&gt;"",$L1154&lt;&gt;INDEX(職員マスタ!$G$6:$G$405,$AN1154)),"時短開始日がマスタと相違／","")&amp;IF(AND($M1154&lt;&gt;"",INDEX(職員マスタ!$H$6:$H$405,$AN1154)&lt;&gt;"",$M1154&lt;&gt;INDEX(職員マスタ!$H$6:$H$405,$AN1154)),"時短終了日がマスタと相違／","")))&amp;IF(AND($B1154&lt;&gt;"",$E1154=""),"報酬額が未入力／","")&amp;IF(N($U1154)&gt;0,"申請書に入力エラーが残っています／","")&amp;IF(AND($B1154&lt;&gt;"",$AO1154&lt;&gt;""),IF(COUNTIFS($B$6:$B$3005,$B1154,$C$6:$C$3005,$C1154,$D$6:$D$3005,$D1154)&gt;1,"同じ月の請求が重複しています／",""),"")&amp;IF(AND(N($E1154)&gt;0,$Z1154&lt;&gt;"",$Z1154&lt;&gt;"×",$AC1154=0,$AB1154=""),"計算額が下限以下のため不支給／",""))</f>
        <v/>
      </c>
      <c r="AL1154" s="12" t="n"/>
      <c r="AM1154" s="14">
        <f>IF($AD1154="保留中",COUNTIF($AD$6:$AD1154,"保留中"),"")</f>
        <v/>
      </c>
      <c r="AN1154" s="14">
        <f>IF($AO1154="","",IF(SUMPRODUCT(MAX((職員マスタ!$A$6:$A$405=$B1154)*(((職員マスタ!$G$6:$G$405="")+(職員マスタ!$G$6:$G$405&lt;=EOMONTH($AO1154,0)))&gt;0)*(((職員マスタ!$H$6:$H$405="")+(職員マスタ!$H$6:$H$405&gt;=$AO1154))&gt;0)*(ROW(職員マスタ!$A$6:$A$405)-5)))&gt;0,SUMPRODUCT(MAX((職員マスタ!$A$6:$A$405=$B1154)*(((職員マスタ!$G$6:$G$405="")+(職員マスタ!$G$6:$G$405&lt;=EOMONTH($AO1154,0)))&gt;0)*(((職員マスタ!$H$6:$H$405="")+(職員マスタ!$H$6:$H$405&gt;=$AO1154))&gt;0)*(ROW(職員マスタ!$A$6:$A$405)-5))),IFERROR(MATCH($B1154,職員マスタ!$A$6:$A$405,0),"")))</f>
        <v/>
      </c>
      <c r="AO1154" s="16">
        <f>IF(OR($B1154="",$C1154="",$D1154=""),"",DATE($C1154+2018,$D1154,1))</f>
        <v/>
      </c>
    </row>
    <row r="1155">
      <c r="A1155" s="11" t="n"/>
      <c r="B1155" s="12" t="n"/>
      <c r="C1155" s="12" t="n"/>
      <c r="D1155" s="12" t="n"/>
      <c r="E1155" s="13" t="n"/>
      <c r="F1155" s="12" t="n"/>
      <c r="G1155" s="13" t="n"/>
      <c r="H1155" s="12" t="n"/>
      <c r="I1155" s="12" t="n"/>
      <c r="J1155" s="12" t="n"/>
      <c r="K1155" s="12" t="n"/>
      <c r="L1155" s="11" t="n"/>
      <c r="M1155" s="11" t="n"/>
      <c r="N1155" s="11" t="n"/>
      <c r="O1155" s="11" t="n"/>
      <c r="P1155" s="12" t="n"/>
      <c r="Q1155" s="11" t="n"/>
      <c r="R1155" s="12" t="n"/>
      <c r="S1155" s="11" t="n"/>
      <c r="T1155" s="12" t="n"/>
      <c r="U1155" s="12" t="n"/>
      <c r="V1155" s="14">
        <f>IF($AN1155="",IF($B1155="","",$H1155),IF(INDEX(職員マスタ!$B$6:$B$405,$AN1155)="",$H1155,INDEX(職員マスタ!$B$6:$B$405,$AN1155)))</f>
        <v/>
      </c>
      <c r="W1155" s="14">
        <f>IF($AN1155="",IF($B1155="","",$R1155),IF(INDEX(職員マスタ!$C$6:$C$405,$AN1155)="",$R1155,INDEX(職員マスタ!$C$6:$C$405,$AN1155)))</f>
        <v/>
      </c>
      <c r="X1155" s="14">
        <f>IF($AO1155="","","R"&amp;$C1155&amp;"."&amp;$D1155)</f>
        <v/>
      </c>
      <c r="Y1155" s="15">
        <f>IF($AN1155="","",IF(INDEX(職員マスタ!$K$6:$K$405,$AN1155)="","",INDEX(職員マスタ!$K$6:$K$405,$AN1155)))</f>
        <v/>
      </c>
      <c r="Z1155" s="14">
        <f>IF(OR($E1155="",$Y1155=""),"",IF($E1155&gt;=$Y1155,"×",IF($E1155&gt;=$Y1155*設定!$C$5,"△","○")))</f>
        <v/>
      </c>
      <c r="AA1155" s="15">
        <f>IF($Z1155="","",IF($Z1155="×",0,IF($Z1155="○",ROUNDDOWN($E1155*設定!$C$4,0),ROUNDDOWN($E1155*ROUND((9*$Y1155-9*$E1155)/(10*$E1155),4),0))))</f>
        <v/>
      </c>
      <c r="AB1155" s="13" t="n"/>
      <c r="AC1155" s="15">
        <f>IF($B1155="","",IF($AB1155&lt;&gt;"",$AB1155,IF($AA1155="","",IF($AA1155&lt;=設定!$C$3,0,$AA1155))))</f>
        <v/>
      </c>
      <c r="AD1155" s="14">
        <f>IF($B1155="","",IF(AND($AE1155&lt;&gt;"",$AG1155="",$AJ1155=""),"保留中",IF($AJ1155&lt;&gt;"",IF(N($AC1155)&gt;0,"支給済","不支給"),IF($AC1155="","要確認",IF($AC1155=0,"不支給","未処理")))))</f>
        <v/>
      </c>
      <c r="AE1155" s="12" t="n"/>
      <c r="AF1155" s="11" t="n"/>
      <c r="AG1155" s="11" t="n"/>
      <c r="AH1155" s="11" t="n"/>
      <c r="AI1155" s="14">
        <f>IF(AND($AD1155="保留中",$AF1155&lt;&gt;""),TODAY()-$AF1155,"")</f>
        <v/>
      </c>
      <c r="AJ1155" s="12" t="n"/>
      <c r="AK1155" s="14">
        <f>IF($B1155="","",IF($AO1155="","対象年月が未入力／","")&amp;IF($B1155="","",IF($AN1155="","職員マスタに未登録の職員番号／",IF($Y1155="","標準報酬月額が未登録／","")&amp;IF(AND($AO1155&lt;&gt;"",OR(AND(INDEX(職員マスタ!$G$6:$G$405,$AN1155)&lt;&gt;"",INDEX(職員マスタ!$G$6:$G$405,$AN1155)&gt;EOMONTH($AO1155,0)),AND(INDEX(職員マスタ!$H$6:$H$405,$AN1155)&lt;&gt;"",INDEX(職員マスタ!$H$6:$H$405,$AN1155)&lt;$AO1155))),"対象月が時短期間外／","")&amp;IF(AND(INDEX(職員マスタ!$F$6:$F$405,$AN1155)&lt;&gt;"",$AO1155&lt;&gt;"",INDEX(職員マスタ!$F$6:$F$405,$AN1155)&lt;$AO1155),"対象月に子が2歳到達済／","")&amp;IF(AND($H1155&lt;&gt;"",INDEX(職員マスタ!$B$6:$B$405,$AN1155)&lt;&gt;"",SUBSTITUTE(SUBSTITUTE($H1155," ","")," ","")&lt;&gt;SUBSTITUTE(SUBSTITUTE(INDEX(職員マスタ!$B$6:$B$405,$AN1155)," ","")," ","")),"氏名がマスタと相違／","")&amp;IF(AND($Q1155&lt;&gt;"",INDEX(職員マスタ!$E$6:$E$405,$AN1155)&lt;&gt;"",$Q1155&lt;&gt;INDEX(職員マスタ!$E$6:$E$405,$AN1155)),"子の生年月日がマスタと相違／","")&amp;IF(AND($L1155&lt;&gt;"",INDEX(職員マスタ!$G$6:$G$405,$AN1155)&lt;&gt;"",$L1155&lt;&gt;INDEX(職員マスタ!$G$6:$G$405,$AN1155)),"時短開始日がマスタと相違／","")&amp;IF(AND($M1155&lt;&gt;"",INDEX(職員マスタ!$H$6:$H$405,$AN1155)&lt;&gt;"",$M1155&lt;&gt;INDEX(職員マスタ!$H$6:$H$405,$AN1155)),"時短終了日がマスタと相違／","")))&amp;IF(AND($B1155&lt;&gt;"",$E1155=""),"報酬額が未入力／","")&amp;IF(N($U1155)&gt;0,"申請書に入力エラーが残っています／","")&amp;IF(AND($B1155&lt;&gt;"",$AO1155&lt;&gt;""),IF(COUNTIFS($B$6:$B$3005,$B1155,$C$6:$C$3005,$C1155,$D$6:$D$3005,$D1155)&gt;1,"同じ月の請求が重複しています／",""),"")&amp;IF(AND(N($E1155)&gt;0,$Z1155&lt;&gt;"",$Z1155&lt;&gt;"×",$AC1155=0,$AB1155=""),"計算額が下限以下のため不支給／",""))</f>
        <v/>
      </c>
      <c r="AL1155" s="12" t="n"/>
      <c r="AM1155" s="14">
        <f>IF($AD1155="保留中",COUNTIF($AD$6:$AD1155,"保留中"),"")</f>
        <v/>
      </c>
      <c r="AN1155" s="14">
        <f>IF($AO1155="","",IF(SUMPRODUCT(MAX((職員マスタ!$A$6:$A$405=$B1155)*(((職員マスタ!$G$6:$G$405="")+(職員マスタ!$G$6:$G$405&lt;=EOMONTH($AO1155,0)))&gt;0)*(((職員マスタ!$H$6:$H$405="")+(職員マスタ!$H$6:$H$405&gt;=$AO1155))&gt;0)*(ROW(職員マスタ!$A$6:$A$405)-5)))&gt;0,SUMPRODUCT(MAX((職員マスタ!$A$6:$A$405=$B1155)*(((職員マスタ!$G$6:$G$405="")+(職員マスタ!$G$6:$G$405&lt;=EOMONTH($AO1155,0)))&gt;0)*(((職員マスタ!$H$6:$H$405="")+(職員マスタ!$H$6:$H$405&gt;=$AO1155))&gt;0)*(ROW(職員マスタ!$A$6:$A$405)-5))),IFERROR(MATCH($B1155,職員マスタ!$A$6:$A$405,0),"")))</f>
        <v/>
      </c>
      <c r="AO1155" s="16">
        <f>IF(OR($B1155="",$C1155="",$D1155=""),"",DATE($C1155+2018,$D1155,1))</f>
        <v/>
      </c>
    </row>
    <row r="1156">
      <c r="A1156" s="11" t="n"/>
      <c r="B1156" s="12" t="n"/>
      <c r="C1156" s="12" t="n"/>
      <c r="D1156" s="12" t="n"/>
      <c r="E1156" s="13" t="n"/>
      <c r="F1156" s="12" t="n"/>
      <c r="G1156" s="13" t="n"/>
      <c r="H1156" s="12" t="n"/>
      <c r="I1156" s="12" t="n"/>
      <c r="J1156" s="12" t="n"/>
      <c r="K1156" s="12" t="n"/>
      <c r="L1156" s="11" t="n"/>
      <c r="M1156" s="11" t="n"/>
      <c r="N1156" s="11" t="n"/>
      <c r="O1156" s="11" t="n"/>
      <c r="P1156" s="12" t="n"/>
      <c r="Q1156" s="11" t="n"/>
      <c r="R1156" s="12" t="n"/>
      <c r="S1156" s="11" t="n"/>
      <c r="T1156" s="12" t="n"/>
      <c r="U1156" s="12" t="n"/>
      <c r="V1156" s="14">
        <f>IF($AN1156="",IF($B1156="","",$H1156),IF(INDEX(職員マスタ!$B$6:$B$405,$AN1156)="",$H1156,INDEX(職員マスタ!$B$6:$B$405,$AN1156)))</f>
        <v/>
      </c>
      <c r="W1156" s="14">
        <f>IF($AN1156="",IF($B1156="","",$R1156),IF(INDEX(職員マスタ!$C$6:$C$405,$AN1156)="",$R1156,INDEX(職員マスタ!$C$6:$C$405,$AN1156)))</f>
        <v/>
      </c>
      <c r="X1156" s="14">
        <f>IF($AO1156="","","R"&amp;$C1156&amp;"."&amp;$D1156)</f>
        <v/>
      </c>
      <c r="Y1156" s="15">
        <f>IF($AN1156="","",IF(INDEX(職員マスタ!$K$6:$K$405,$AN1156)="","",INDEX(職員マスタ!$K$6:$K$405,$AN1156)))</f>
        <v/>
      </c>
      <c r="Z1156" s="14">
        <f>IF(OR($E1156="",$Y1156=""),"",IF($E1156&gt;=$Y1156,"×",IF($E1156&gt;=$Y1156*設定!$C$5,"△","○")))</f>
        <v/>
      </c>
      <c r="AA1156" s="15">
        <f>IF($Z1156="","",IF($Z1156="×",0,IF($Z1156="○",ROUNDDOWN($E1156*設定!$C$4,0),ROUNDDOWN($E1156*ROUND((9*$Y1156-9*$E1156)/(10*$E1156),4),0))))</f>
        <v/>
      </c>
      <c r="AB1156" s="13" t="n"/>
      <c r="AC1156" s="15">
        <f>IF($B1156="","",IF($AB1156&lt;&gt;"",$AB1156,IF($AA1156="","",IF($AA1156&lt;=設定!$C$3,0,$AA1156))))</f>
        <v/>
      </c>
      <c r="AD1156" s="14">
        <f>IF($B1156="","",IF(AND($AE1156&lt;&gt;"",$AG1156="",$AJ1156=""),"保留中",IF($AJ1156&lt;&gt;"",IF(N($AC1156)&gt;0,"支給済","不支給"),IF($AC1156="","要確認",IF($AC1156=0,"不支給","未処理")))))</f>
        <v/>
      </c>
      <c r="AE1156" s="12" t="n"/>
      <c r="AF1156" s="11" t="n"/>
      <c r="AG1156" s="11" t="n"/>
      <c r="AH1156" s="11" t="n"/>
      <c r="AI1156" s="14">
        <f>IF(AND($AD1156="保留中",$AF1156&lt;&gt;""),TODAY()-$AF1156,"")</f>
        <v/>
      </c>
      <c r="AJ1156" s="12" t="n"/>
      <c r="AK1156" s="14">
        <f>IF($B1156="","",IF($AO1156="","対象年月が未入力／","")&amp;IF($B1156="","",IF($AN1156="","職員マスタに未登録の職員番号／",IF($Y1156="","標準報酬月額が未登録／","")&amp;IF(AND($AO1156&lt;&gt;"",OR(AND(INDEX(職員マスタ!$G$6:$G$405,$AN1156)&lt;&gt;"",INDEX(職員マスタ!$G$6:$G$405,$AN1156)&gt;EOMONTH($AO1156,0)),AND(INDEX(職員マスタ!$H$6:$H$405,$AN1156)&lt;&gt;"",INDEX(職員マスタ!$H$6:$H$405,$AN1156)&lt;$AO1156))),"対象月が時短期間外／","")&amp;IF(AND(INDEX(職員マスタ!$F$6:$F$405,$AN1156)&lt;&gt;"",$AO1156&lt;&gt;"",INDEX(職員マスタ!$F$6:$F$405,$AN1156)&lt;$AO1156),"対象月に子が2歳到達済／","")&amp;IF(AND($H1156&lt;&gt;"",INDEX(職員マスタ!$B$6:$B$405,$AN1156)&lt;&gt;"",SUBSTITUTE(SUBSTITUTE($H1156," ","")," ","")&lt;&gt;SUBSTITUTE(SUBSTITUTE(INDEX(職員マスタ!$B$6:$B$405,$AN1156)," ","")," ","")),"氏名がマスタと相違／","")&amp;IF(AND($Q1156&lt;&gt;"",INDEX(職員マスタ!$E$6:$E$405,$AN1156)&lt;&gt;"",$Q1156&lt;&gt;INDEX(職員マスタ!$E$6:$E$405,$AN1156)),"子の生年月日がマスタと相違／","")&amp;IF(AND($L1156&lt;&gt;"",INDEX(職員マスタ!$G$6:$G$405,$AN1156)&lt;&gt;"",$L1156&lt;&gt;INDEX(職員マスタ!$G$6:$G$405,$AN1156)),"時短開始日がマスタと相違／","")&amp;IF(AND($M1156&lt;&gt;"",INDEX(職員マスタ!$H$6:$H$405,$AN1156)&lt;&gt;"",$M1156&lt;&gt;INDEX(職員マスタ!$H$6:$H$405,$AN1156)),"時短終了日がマスタと相違／","")))&amp;IF(AND($B1156&lt;&gt;"",$E1156=""),"報酬額が未入力／","")&amp;IF(N($U1156)&gt;0,"申請書に入力エラーが残っています／","")&amp;IF(AND($B1156&lt;&gt;"",$AO1156&lt;&gt;""),IF(COUNTIFS($B$6:$B$3005,$B1156,$C$6:$C$3005,$C1156,$D$6:$D$3005,$D1156)&gt;1,"同じ月の請求が重複しています／",""),"")&amp;IF(AND(N($E1156)&gt;0,$Z1156&lt;&gt;"",$Z1156&lt;&gt;"×",$AC1156=0,$AB1156=""),"計算額が下限以下のため不支給／",""))</f>
        <v/>
      </c>
      <c r="AL1156" s="12" t="n"/>
      <c r="AM1156" s="14">
        <f>IF($AD1156="保留中",COUNTIF($AD$6:$AD1156,"保留中"),"")</f>
        <v/>
      </c>
      <c r="AN1156" s="14">
        <f>IF($AO1156="","",IF(SUMPRODUCT(MAX((職員マスタ!$A$6:$A$405=$B1156)*(((職員マスタ!$G$6:$G$405="")+(職員マスタ!$G$6:$G$405&lt;=EOMONTH($AO1156,0)))&gt;0)*(((職員マスタ!$H$6:$H$405="")+(職員マスタ!$H$6:$H$405&gt;=$AO1156))&gt;0)*(ROW(職員マスタ!$A$6:$A$405)-5)))&gt;0,SUMPRODUCT(MAX((職員マスタ!$A$6:$A$405=$B1156)*(((職員マスタ!$G$6:$G$405="")+(職員マスタ!$G$6:$G$405&lt;=EOMONTH($AO1156,0)))&gt;0)*(((職員マスタ!$H$6:$H$405="")+(職員マスタ!$H$6:$H$405&gt;=$AO1156))&gt;0)*(ROW(職員マスタ!$A$6:$A$405)-5))),IFERROR(MATCH($B1156,職員マスタ!$A$6:$A$405,0),"")))</f>
        <v/>
      </c>
      <c r="AO1156" s="16">
        <f>IF(OR($B1156="",$C1156="",$D1156=""),"",DATE($C1156+2018,$D1156,1))</f>
        <v/>
      </c>
    </row>
    <row r="1157">
      <c r="A1157" s="11" t="n"/>
      <c r="B1157" s="12" t="n"/>
      <c r="C1157" s="12" t="n"/>
      <c r="D1157" s="12" t="n"/>
      <c r="E1157" s="13" t="n"/>
      <c r="F1157" s="12" t="n"/>
      <c r="G1157" s="13" t="n"/>
      <c r="H1157" s="12" t="n"/>
      <c r="I1157" s="12" t="n"/>
      <c r="J1157" s="12" t="n"/>
      <c r="K1157" s="12" t="n"/>
      <c r="L1157" s="11" t="n"/>
      <c r="M1157" s="11" t="n"/>
      <c r="N1157" s="11" t="n"/>
      <c r="O1157" s="11" t="n"/>
      <c r="P1157" s="12" t="n"/>
      <c r="Q1157" s="11" t="n"/>
      <c r="R1157" s="12" t="n"/>
      <c r="S1157" s="11" t="n"/>
      <c r="T1157" s="12" t="n"/>
      <c r="U1157" s="12" t="n"/>
      <c r="V1157" s="14">
        <f>IF($AN1157="",IF($B1157="","",$H1157),IF(INDEX(職員マスタ!$B$6:$B$405,$AN1157)="",$H1157,INDEX(職員マスタ!$B$6:$B$405,$AN1157)))</f>
        <v/>
      </c>
      <c r="W1157" s="14">
        <f>IF($AN1157="",IF($B1157="","",$R1157),IF(INDEX(職員マスタ!$C$6:$C$405,$AN1157)="",$R1157,INDEX(職員マスタ!$C$6:$C$405,$AN1157)))</f>
        <v/>
      </c>
      <c r="X1157" s="14">
        <f>IF($AO1157="","","R"&amp;$C1157&amp;"."&amp;$D1157)</f>
        <v/>
      </c>
      <c r="Y1157" s="15">
        <f>IF($AN1157="","",IF(INDEX(職員マスタ!$K$6:$K$405,$AN1157)="","",INDEX(職員マスタ!$K$6:$K$405,$AN1157)))</f>
        <v/>
      </c>
      <c r="Z1157" s="14">
        <f>IF(OR($E1157="",$Y1157=""),"",IF($E1157&gt;=$Y1157,"×",IF($E1157&gt;=$Y1157*設定!$C$5,"△","○")))</f>
        <v/>
      </c>
      <c r="AA1157" s="15">
        <f>IF($Z1157="","",IF($Z1157="×",0,IF($Z1157="○",ROUNDDOWN($E1157*設定!$C$4,0),ROUNDDOWN($E1157*ROUND((9*$Y1157-9*$E1157)/(10*$E1157),4),0))))</f>
        <v/>
      </c>
      <c r="AB1157" s="13" t="n"/>
      <c r="AC1157" s="15">
        <f>IF($B1157="","",IF($AB1157&lt;&gt;"",$AB1157,IF($AA1157="","",IF($AA1157&lt;=設定!$C$3,0,$AA1157))))</f>
        <v/>
      </c>
      <c r="AD1157" s="14">
        <f>IF($B1157="","",IF(AND($AE1157&lt;&gt;"",$AG1157="",$AJ1157=""),"保留中",IF($AJ1157&lt;&gt;"",IF(N($AC1157)&gt;0,"支給済","不支給"),IF($AC1157="","要確認",IF($AC1157=0,"不支給","未処理")))))</f>
        <v/>
      </c>
      <c r="AE1157" s="12" t="n"/>
      <c r="AF1157" s="11" t="n"/>
      <c r="AG1157" s="11" t="n"/>
      <c r="AH1157" s="11" t="n"/>
      <c r="AI1157" s="14">
        <f>IF(AND($AD1157="保留中",$AF1157&lt;&gt;""),TODAY()-$AF1157,"")</f>
        <v/>
      </c>
      <c r="AJ1157" s="12" t="n"/>
      <c r="AK1157" s="14">
        <f>IF($B1157="","",IF($AO1157="","対象年月が未入力／","")&amp;IF($B1157="","",IF($AN1157="","職員マスタに未登録の職員番号／",IF($Y1157="","標準報酬月額が未登録／","")&amp;IF(AND($AO1157&lt;&gt;"",OR(AND(INDEX(職員マスタ!$G$6:$G$405,$AN1157)&lt;&gt;"",INDEX(職員マスタ!$G$6:$G$405,$AN1157)&gt;EOMONTH($AO1157,0)),AND(INDEX(職員マスタ!$H$6:$H$405,$AN1157)&lt;&gt;"",INDEX(職員マスタ!$H$6:$H$405,$AN1157)&lt;$AO1157))),"対象月が時短期間外／","")&amp;IF(AND(INDEX(職員マスタ!$F$6:$F$405,$AN1157)&lt;&gt;"",$AO1157&lt;&gt;"",INDEX(職員マスタ!$F$6:$F$405,$AN1157)&lt;$AO1157),"対象月に子が2歳到達済／","")&amp;IF(AND($H1157&lt;&gt;"",INDEX(職員マスタ!$B$6:$B$405,$AN1157)&lt;&gt;"",SUBSTITUTE(SUBSTITUTE($H1157," ","")," ","")&lt;&gt;SUBSTITUTE(SUBSTITUTE(INDEX(職員マスタ!$B$6:$B$405,$AN1157)," ","")," ","")),"氏名がマスタと相違／","")&amp;IF(AND($Q1157&lt;&gt;"",INDEX(職員マスタ!$E$6:$E$405,$AN1157)&lt;&gt;"",$Q1157&lt;&gt;INDEX(職員マスタ!$E$6:$E$405,$AN1157)),"子の生年月日がマスタと相違／","")&amp;IF(AND($L1157&lt;&gt;"",INDEX(職員マスタ!$G$6:$G$405,$AN1157)&lt;&gt;"",$L1157&lt;&gt;INDEX(職員マスタ!$G$6:$G$405,$AN1157)),"時短開始日がマスタと相違／","")&amp;IF(AND($M1157&lt;&gt;"",INDEX(職員マスタ!$H$6:$H$405,$AN1157)&lt;&gt;"",$M1157&lt;&gt;INDEX(職員マスタ!$H$6:$H$405,$AN1157)),"時短終了日がマスタと相違／","")))&amp;IF(AND($B1157&lt;&gt;"",$E1157=""),"報酬額が未入力／","")&amp;IF(N($U1157)&gt;0,"申請書に入力エラーが残っています／","")&amp;IF(AND($B1157&lt;&gt;"",$AO1157&lt;&gt;""),IF(COUNTIFS($B$6:$B$3005,$B1157,$C$6:$C$3005,$C1157,$D$6:$D$3005,$D1157)&gt;1,"同じ月の請求が重複しています／",""),"")&amp;IF(AND(N($E1157)&gt;0,$Z1157&lt;&gt;"",$Z1157&lt;&gt;"×",$AC1157=0,$AB1157=""),"計算額が下限以下のため不支給／",""))</f>
        <v/>
      </c>
      <c r="AL1157" s="12" t="n"/>
      <c r="AM1157" s="14">
        <f>IF($AD1157="保留中",COUNTIF($AD$6:$AD1157,"保留中"),"")</f>
        <v/>
      </c>
      <c r="AN1157" s="14">
        <f>IF($AO1157="","",IF(SUMPRODUCT(MAX((職員マスタ!$A$6:$A$405=$B1157)*(((職員マスタ!$G$6:$G$405="")+(職員マスタ!$G$6:$G$405&lt;=EOMONTH($AO1157,0)))&gt;0)*(((職員マスタ!$H$6:$H$405="")+(職員マスタ!$H$6:$H$405&gt;=$AO1157))&gt;0)*(ROW(職員マスタ!$A$6:$A$405)-5)))&gt;0,SUMPRODUCT(MAX((職員マスタ!$A$6:$A$405=$B1157)*(((職員マスタ!$G$6:$G$405="")+(職員マスタ!$G$6:$G$405&lt;=EOMONTH($AO1157,0)))&gt;0)*(((職員マスタ!$H$6:$H$405="")+(職員マスタ!$H$6:$H$405&gt;=$AO1157))&gt;0)*(ROW(職員マスタ!$A$6:$A$405)-5))),IFERROR(MATCH($B1157,職員マスタ!$A$6:$A$405,0),"")))</f>
        <v/>
      </c>
      <c r="AO1157" s="16">
        <f>IF(OR($B1157="",$C1157="",$D1157=""),"",DATE($C1157+2018,$D1157,1))</f>
        <v/>
      </c>
    </row>
    <row r="1158">
      <c r="A1158" s="11" t="n"/>
      <c r="B1158" s="12" t="n"/>
      <c r="C1158" s="12" t="n"/>
      <c r="D1158" s="12" t="n"/>
      <c r="E1158" s="13" t="n"/>
      <c r="F1158" s="12" t="n"/>
      <c r="G1158" s="13" t="n"/>
      <c r="H1158" s="12" t="n"/>
      <c r="I1158" s="12" t="n"/>
      <c r="J1158" s="12" t="n"/>
      <c r="K1158" s="12" t="n"/>
      <c r="L1158" s="11" t="n"/>
      <c r="M1158" s="11" t="n"/>
      <c r="N1158" s="11" t="n"/>
      <c r="O1158" s="11" t="n"/>
      <c r="P1158" s="12" t="n"/>
      <c r="Q1158" s="11" t="n"/>
      <c r="R1158" s="12" t="n"/>
      <c r="S1158" s="11" t="n"/>
      <c r="T1158" s="12" t="n"/>
      <c r="U1158" s="12" t="n"/>
      <c r="V1158" s="14">
        <f>IF($AN1158="",IF($B1158="","",$H1158),IF(INDEX(職員マスタ!$B$6:$B$405,$AN1158)="",$H1158,INDEX(職員マスタ!$B$6:$B$405,$AN1158)))</f>
        <v/>
      </c>
      <c r="W1158" s="14">
        <f>IF($AN1158="",IF($B1158="","",$R1158),IF(INDEX(職員マスタ!$C$6:$C$405,$AN1158)="",$R1158,INDEX(職員マスタ!$C$6:$C$405,$AN1158)))</f>
        <v/>
      </c>
      <c r="X1158" s="14">
        <f>IF($AO1158="","","R"&amp;$C1158&amp;"."&amp;$D1158)</f>
        <v/>
      </c>
      <c r="Y1158" s="15">
        <f>IF($AN1158="","",IF(INDEX(職員マスタ!$K$6:$K$405,$AN1158)="","",INDEX(職員マスタ!$K$6:$K$405,$AN1158)))</f>
        <v/>
      </c>
      <c r="Z1158" s="14">
        <f>IF(OR($E1158="",$Y1158=""),"",IF($E1158&gt;=$Y1158,"×",IF($E1158&gt;=$Y1158*設定!$C$5,"△","○")))</f>
        <v/>
      </c>
      <c r="AA1158" s="15">
        <f>IF($Z1158="","",IF($Z1158="×",0,IF($Z1158="○",ROUNDDOWN($E1158*設定!$C$4,0),ROUNDDOWN($E1158*ROUND((9*$Y1158-9*$E1158)/(10*$E1158),4),0))))</f>
        <v/>
      </c>
      <c r="AB1158" s="13" t="n"/>
      <c r="AC1158" s="15">
        <f>IF($B1158="","",IF($AB1158&lt;&gt;"",$AB1158,IF($AA1158="","",IF($AA1158&lt;=設定!$C$3,0,$AA1158))))</f>
        <v/>
      </c>
      <c r="AD1158" s="14">
        <f>IF($B1158="","",IF(AND($AE1158&lt;&gt;"",$AG1158="",$AJ1158=""),"保留中",IF($AJ1158&lt;&gt;"",IF(N($AC1158)&gt;0,"支給済","不支給"),IF($AC1158="","要確認",IF($AC1158=0,"不支給","未処理")))))</f>
        <v/>
      </c>
      <c r="AE1158" s="12" t="n"/>
      <c r="AF1158" s="11" t="n"/>
      <c r="AG1158" s="11" t="n"/>
      <c r="AH1158" s="11" t="n"/>
      <c r="AI1158" s="14">
        <f>IF(AND($AD1158="保留中",$AF1158&lt;&gt;""),TODAY()-$AF1158,"")</f>
        <v/>
      </c>
      <c r="AJ1158" s="12" t="n"/>
      <c r="AK1158" s="14">
        <f>IF($B1158="","",IF($AO1158="","対象年月が未入力／","")&amp;IF($B1158="","",IF($AN1158="","職員マスタに未登録の職員番号／",IF($Y1158="","標準報酬月額が未登録／","")&amp;IF(AND($AO1158&lt;&gt;"",OR(AND(INDEX(職員マスタ!$G$6:$G$405,$AN1158)&lt;&gt;"",INDEX(職員マスタ!$G$6:$G$405,$AN1158)&gt;EOMONTH($AO1158,0)),AND(INDEX(職員マスタ!$H$6:$H$405,$AN1158)&lt;&gt;"",INDEX(職員マスタ!$H$6:$H$405,$AN1158)&lt;$AO1158))),"対象月が時短期間外／","")&amp;IF(AND(INDEX(職員マスタ!$F$6:$F$405,$AN1158)&lt;&gt;"",$AO1158&lt;&gt;"",INDEX(職員マスタ!$F$6:$F$405,$AN1158)&lt;$AO1158),"対象月に子が2歳到達済／","")&amp;IF(AND($H1158&lt;&gt;"",INDEX(職員マスタ!$B$6:$B$405,$AN1158)&lt;&gt;"",SUBSTITUTE(SUBSTITUTE($H1158," ","")," ","")&lt;&gt;SUBSTITUTE(SUBSTITUTE(INDEX(職員マスタ!$B$6:$B$405,$AN1158)," ","")," ","")),"氏名がマスタと相違／","")&amp;IF(AND($Q1158&lt;&gt;"",INDEX(職員マスタ!$E$6:$E$405,$AN1158)&lt;&gt;"",$Q1158&lt;&gt;INDEX(職員マスタ!$E$6:$E$405,$AN1158)),"子の生年月日がマスタと相違／","")&amp;IF(AND($L1158&lt;&gt;"",INDEX(職員マスタ!$G$6:$G$405,$AN1158)&lt;&gt;"",$L1158&lt;&gt;INDEX(職員マスタ!$G$6:$G$405,$AN1158)),"時短開始日がマスタと相違／","")&amp;IF(AND($M1158&lt;&gt;"",INDEX(職員マスタ!$H$6:$H$405,$AN1158)&lt;&gt;"",$M1158&lt;&gt;INDEX(職員マスタ!$H$6:$H$405,$AN1158)),"時短終了日がマスタと相違／","")))&amp;IF(AND($B1158&lt;&gt;"",$E1158=""),"報酬額が未入力／","")&amp;IF(N($U1158)&gt;0,"申請書に入力エラーが残っています／","")&amp;IF(AND($B1158&lt;&gt;"",$AO1158&lt;&gt;""),IF(COUNTIFS($B$6:$B$3005,$B1158,$C$6:$C$3005,$C1158,$D$6:$D$3005,$D1158)&gt;1,"同じ月の請求が重複しています／",""),"")&amp;IF(AND(N($E1158)&gt;0,$Z1158&lt;&gt;"",$Z1158&lt;&gt;"×",$AC1158=0,$AB1158=""),"計算額が下限以下のため不支給／",""))</f>
        <v/>
      </c>
      <c r="AL1158" s="12" t="n"/>
      <c r="AM1158" s="14">
        <f>IF($AD1158="保留中",COUNTIF($AD$6:$AD1158,"保留中"),"")</f>
        <v/>
      </c>
      <c r="AN1158" s="14">
        <f>IF($AO1158="","",IF(SUMPRODUCT(MAX((職員マスタ!$A$6:$A$405=$B1158)*(((職員マスタ!$G$6:$G$405="")+(職員マスタ!$G$6:$G$405&lt;=EOMONTH($AO1158,0)))&gt;0)*(((職員マスタ!$H$6:$H$405="")+(職員マスタ!$H$6:$H$405&gt;=$AO1158))&gt;0)*(ROW(職員マスタ!$A$6:$A$405)-5)))&gt;0,SUMPRODUCT(MAX((職員マスタ!$A$6:$A$405=$B1158)*(((職員マスタ!$G$6:$G$405="")+(職員マスタ!$G$6:$G$405&lt;=EOMONTH($AO1158,0)))&gt;0)*(((職員マスタ!$H$6:$H$405="")+(職員マスタ!$H$6:$H$405&gt;=$AO1158))&gt;0)*(ROW(職員マスタ!$A$6:$A$405)-5))),IFERROR(MATCH($B1158,職員マスタ!$A$6:$A$405,0),"")))</f>
        <v/>
      </c>
      <c r="AO1158" s="16">
        <f>IF(OR($B1158="",$C1158="",$D1158=""),"",DATE($C1158+2018,$D1158,1))</f>
        <v/>
      </c>
    </row>
    <row r="1159">
      <c r="A1159" s="11" t="n"/>
      <c r="B1159" s="12" t="n"/>
      <c r="C1159" s="12" t="n"/>
      <c r="D1159" s="12" t="n"/>
      <c r="E1159" s="13" t="n"/>
      <c r="F1159" s="12" t="n"/>
      <c r="G1159" s="13" t="n"/>
      <c r="H1159" s="12" t="n"/>
      <c r="I1159" s="12" t="n"/>
      <c r="J1159" s="12" t="n"/>
      <c r="K1159" s="12" t="n"/>
      <c r="L1159" s="11" t="n"/>
      <c r="M1159" s="11" t="n"/>
      <c r="N1159" s="11" t="n"/>
      <c r="O1159" s="11" t="n"/>
      <c r="P1159" s="12" t="n"/>
      <c r="Q1159" s="11" t="n"/>
      <c r="R1159" s="12" t="n"/>
      <c r="S1159" s="11" t="n"/>
      <c r="T1159" s="12" t="n"/>
      <c r="U1159" s="12" t="n"/>
      <c r="V1159" s="14">
        <f>IF($AN1159="",IF($B1159="","",$H1159),IF(INDEX(職員マスタ!$B$6:$B$405,$AN1159)="",$H1159,INDEX(職員マスタ!$B$6:$B$405,$AN1159)))</f>
        <v/>
      </c>
      <c r="W1159" s="14">
        <f>IF($AN1159="",IF($B1159="","",$R1159),IF(INDEX(職員マスタ!$C$6:$C$405,$AN1159)="",$R1159,INDEX(職員マスタ!$C$6:$C$405,$AN1159)))</f>
        <v/>
      </c>
      <c r="X1159" s="14">
        <f>IF($AO1159="","","R"&amp;$C1159&amp;"."&amp;$D1159)</f>
        <v/>
      </c>
      <c r="Y1159" s="15">
        <f>IF($AN1159="","",IF(INDEX(職員マスタ!$K$6:$K$405,$AN1159)="","",INDEX(職員マスタ!$K$6:$K$405,$AN1159)))</f>
        <v/>
      </c>
      <c r="Z1159" s="14">
        <f>IF(OR($E1159="",$Y1159=""),"",IF($E1159&gt;=$Y1159,"×",IF($E1159&gt;=$Y1159*設定!$C$5,"△","○")))</f>
        <v/>
      </c>
      <c r="AA1159" s="15">
        <f>IF($Z1159="","",IF($Z1159="×",0,IF($Z1159="○",ROUNDDOWN($E1159*設定!$C$4,0),ROUNDDOWN($E1159*ROUND((9*$Y1159-9*$E1159)/(10*$E1159),4),0))))</f>
        <v/>
      </c>
      <c r="AB1159" s="13" t="n"/>
      <c r="AC1159" s="15">
        <f>IF($B1159="","",IF($AB1159&lt;&gt;"",$AB1159,IF($AA1159="","",IF($AA1159&lt;=設定!$C$3,0,$AA1159))))</f>
        <v/>
      </c>
      <c r="AD1159" s="14">
        <f>IF($B1159="","",IF(AND($AE1159&lt;&gt;"",$AG1159="",$AJ1159=""),"保留中",IF($AJ1159&lt;&gt;"",IF(N($AC1159)&gt;0,"支給済","不支給"),IF($AC1159="","要確認",IF($AC1159=0,"不支給","未処理")))))</f>
        <v/>
      </c>
      <c r="AE1159" s="12" t="n"/>
      <c r="AF1159" s="11" t="n"/>
      <c r="AG1159" s="11" t="n"/>
      <c r="AH1159" s="11" t="n"/>
      <c r="AI1159" s="14">
        <f>IF(AND($AD1159="保留中",$AF1159&lt;&gt;""),TODAY()-$AF1159,"")</f>
        <v/>
      </c>
      <c r="AJ1159" s="12" t="n"/>
      <c r="AK1159" s="14">
        <f>IF($B1159="","",IF($AO1159="","対象年月が未入力／","")&amp;IF($B1159="","",IF($AN1159="","職員マスタに未登録の職員番号／",IF($Y1159="","標準報酬月額が未登録／","")&amp;IF(AND($AO1159&lt;&gt;"",OR(AND(INDEX(職員マスタ!$G$6:$G$405,$AN1159)&lt;&gt;"",INDEX(職員マスタ!$G$6:$G$405,$AN1159)&gt;EOMONTH($AO1159,0)),AND(INDEX(職員マスタ!$H$6:$H$405,$AN1159)&lt;&gt;"",INDEX(職員マスタ!$H$6:$H$405,$AN1159)&lt;$AO1159))),"対象月が時短期間外／","")&amp;IF(AND(INDEX(職員マスタ!$F$6:$F$405,$AN1159)&lt;&gt;"",$AO1159&lt;&gt;"",INDEX(職員マスタ!$F$6:$F$405,$AN1159)&lt;$AO1159),"対象月に子が2歳到達済／","")&amp;IF(AND($H1159&lt;&gt;"",INDEX(職員マスタ!$B$6:$B$405,$AN1159)&lt;&gt;"",SUBSTITUTE(SUBSTITUTE($H1159," ","")," ","")&lt;&gt;SUBSTITUTE(SUBSTITUTE(INDEX(職員マスタ!$B$6:$B$405,$AN1159)," ","")," ","")),"氏名がマスタと相違／","")&amp;IF(AND($Q1159&lt;&gt;"",INDEX(職員マスタ!$E$6:$E$405,$AN1159)&lt;&gt;"",$Q1159&lt;&gt;INDEX(職員マスタ!$E$6:$E$405,$AN1159)),"子の生年月日がマスタと相違／","")&amp;IF(AND($L1159&lt;&gt;"",INDEX(職員マスタ!$G$6:$G$405,$AN1159)&lt;&gt;"",$L1159&lt;&gt;INDEX(職員マスタ!$G$6:$G$405,$AN1159)),"時短開始日がマスタと相違／","")&amp;IF(AND($M1159&lt;&gt;"",INDEX(職員マスタ!$H$6:$H$405,$AN1159)&lt;&gt;"",$M1159&lt;&gt;INDEX(職員マスタ!$H$6:$H$405,$AN1159)),"時短終了日がマスタと相違／","")))&amp;IF(AND($B1159&lt;&gt;"",$E1159=""),"報酬額が未入力／","")&amp;IF(N($U1159)&gt;0,"申請書に入力エラーが残っています／","")&amp;IF(AND($B1159&lt;&gt;"",$AO1159&lt;&gt;""),IF(COUNTIFS($B$6:$B$3005,$B1159,$C$6:$C$3005,$C1159,$D$6:$D$3005,$D1159)&gt;1,"同じ月の請求が重複しています／",""),"")&amp;IF(AND(N($E1159)&gt;0,$Z1159&lt;&gt;"",$Z1159&lt;&gt;"×",$AC1159=0,$AB1159=""),"計算額が下限以下のため不支給／",""))</f>
        <v/>
      </c>
      <c r="AL1159" s="12" t="n"/>
      <c r="AM1159" s="14">
        <f>IF($AD1159="保留中",COUNTIF($AD$6:$AD1159,"保留中"),"")</f>
        <v/>
      </c>
      <c r="AN1159" s="14">
        <f>IF($AO1159="","",IF(SUMPRODUCT(MAX((職員マスタ!$A$6:$A$405=$B1159)*(((職員マスタ!$G$6:$G$405="")+(職員マスタ!$G$6:$G$405&lt;=EOMONTH($AO1159,0)))&gt;0)*(((職員マスタ!$H$6:$H$405="")+(職員マスタ!$H$6:$H$405&gt;=$AO1159))&gt;0)*(ROW(職員マスタ!$A$6:$A$405)-5)))&gt;0,SUMPRODUCT(MAX((職員マスタ!$A$6:$A$405=$B1159)*(((職員マスタ!$G$6:$G$405="")+(職員マスタ!$G$6:$G$405&lt;=EOMONTH($AO1159,0)))&gt;0)*(((職員マスタ!$H$6:$H$405="")+(職員マスタ!$H$6:$H$405&gt;=$AO1159))&gt;0)*(ROW(職員マスタ!$A$6:$A$405)-5))),IFERROR(MATCH($B1159,職員マスタ!$A$6:$A$405,0),"")))</f>
        <v/>
      </c>
      <c r="AO1159" s="16">
        <f>IF(OR($B1159="",$C1159="",$D1159=""),"",DATE($C1159+2018,$D1159,1))</f>
        <v/>
      </c>
    </row>
    <row r="1160">
      <c r="A1160" s="11" t="n"/>
      <c r="B1160" s="12" t="n"/>
      <c r="C1160" s="12" t="n"/>
      <c r="D1160" s="12" t="n"/>
      <c r="E1160" s="13" t="n"/>
      <c r="F1160" s="12" t="n"/>
      <c r="G1160" s="13" t="n"/>
      <c r="H1160" s="12" t="n"/>
      <c r="I1160" s="12" t="n"/>
      <c r="J1160" s="12" t="n"/>
      <c r="K1160" s="12" t="n"/>
      <c r="L1160" s="11" t="n"/>
      <c r="M1160" s="11" t="n"/>
      <c r="N1160" s="11" t="n"/>
      <c r="O1160" s="11" t="n"/>
      <c r="P1160" s="12" t="n"/>
      <c r="Q1160" s="11" t="n"/>
      <c r="R1160" s="12" t="n"/>
      <c r="S1160" s="11" t="n"/>
      <c r="T1160" s="12" t="n"/>
      <c r="U1160" s="12" t="n"/>
      <c r="V1160" s="14">
        <f>IF($AN1160="",IF($B1160="","",$H1160),IF(INDEX(職員マスタ!$B$6:$B$405,$AN1160)="",$H1160,INDEX(職員マスタ!$B$6:$B$405,$AN1160)))</f>
        <v/>
      </c>
      <c r="W1160" s="14">
        <f>IF($AN1160="",IF($B1160="","",$R1160),IF(INDEX(職員マスタ!$C$6:$C$405,$AN1160)="",$R1160,INDEX(職員マスタ!$C$6:$C$405,$AN1160)))</f>
        <v/>
      </c>
      <c r="X1160" s="14">
        <f>IF($AO1160="","","R"&amp;$C1160&amp;"."&amp;$D1160)</f>
        <v/>
      </c>
      <c r="Y1160" s="15">
        <f>IF($AN1160="","",IF(INDEX(職員マスタ!$K$6:$K$405,$AN1160)="","",INDEX(職員マスタ!$K$6:$K$405,$AN1160)))</f>
        <v/>
      </c>
      <c r="Z1160" s="14">
        <f>IF(OR($E1160="",$Y1160=""),"",IF($E1160&gt;=$Y1160,"×",IF($E1160&gt;=$Y1160*設定!$C$5,"△","○")))</f>
        <v/>
      </c>
      <c r="AA1160" s="15">
        <f>IF($Z1160="","",IF($Z1160="×",0,IF($Z1160="○",ROUNDDOWN($E1160*設定!$C$4,0),ROUNDDOWN($E1160*ROUND((9*$Y1160-9*$E1160)/(10*$E1160),4),0))))</f>
        <v/>
      </c>
      <c r="AB1160" s="13" t="n"/>
      <c r="AC1160" s="15">
        <f>IF($B1160="","",IF($AB1160&lt;&gt;"",$AB1160,IF($AA1160="","",IF($AA1160&lt;=設定!$C$3,0,$AA1160))))</f>
        <v/>
      </c>
      <c r="AD1160" s="14">
        <f>IF($B1160="","",IF(AND($AE1160&lt;&gt;"",$AG1160="",$AJ1160=""),"保留中",IF($AJ1160&lt;&gt;"",IF(N($AC1160)&gt;0,"支給済","不支給"),IF($AC1160="","要確認",IF($AC1160=0,"不支給","未処理")))))</f>
        <v/>
      </c>
      <c r="AE1160" s="12" t="n"/>
      <c r="AF1160" s="11" t="n"/>
      <c r="AG1160" s="11" t="n"/>
      <c r="AH1160" s="11" t="n"/>
      <c r="AI1160" s="14">
        <f>IF(AND($AD1160="保留中",$AF1160&lt;&gt;""),TODAY()-$AF1160,"")</f>
        <v/>
      </c>
      <c r="AJ1160" s="12" t="n"/>
      <c r="AK1160" s="14">
        <f>IF($B1160="","",IF($AO1160="","対象年月が未入力／","")&amp;IF($B1160="","",IF($AN1160="","職員マスタに未登録の職員番号／",IF($Y1160="","標準報酬月額が未登録／","")&amp;IF(AND($AO1160&lt;&gt;"",OR(AND(INDEX(職員マスタ!$G$6:$G$405,$AN1160)&lt;&gt;"",INDEX(職員マスタ!$G$6:$G$405,$AN1160)&gt;EOMONTH($AO1160,0)),AND(INDEX(職員マスタ!$H$6:$H$405,$AN1160)&lt;&gt;"",INDEX(職員マスタ!$H$6:$H$405,$AN1160)&lt;$AO1160))),"対象月が時短期間外／","")&amp;IF(AND(INDEX(職員マスタ!$F$6:$F$405,$AN1160)&lt;&gt;"",$AO1160&lt;&gt;"",INDEX(職員マスタ!$F$6:$F$405,$AN1160)&lt;$AO1160),"対象月に子が2歳到達済／","")&amp;IF(AND($H1160&lt;&gt;"",INDEX(職員マスタ!$B$6:$B$405,$AN1160)&lt;&gt;"",SUBSTITUTE(SUBSTITUTE($H1160," ","")," ","")&lt;&gt;SUBSTITUTE(SUBSTITUTE(INDEX(職員マスタ!$B$6:$B$405,$AN1160)," ","")," ","")),"氏名がマスタと相違／","")&amp;IF(AND($Q1160&lt;&gt;"",INDEX(職員マスタ!$E$6:$E$405,$AN1160)&lt;&gt;"",$Q1160&lt;&gt;INDEX(職員マスタ!$E$6:$E$405,$AN1160)),"子の生年月日がマスタと相違／","")&amp;IF(AND($L1160&lt;&gt;"",INDEX(職員マスタ!$G$6:$G$405,$AN1160)&lt;&gt;"",$L1160&lt;&gt;INDEX(職員マスタ!$G$6:$G$405,$AN1160)),"時短開始日がマスタと相違／","")&amp;IF(AND($M1160&lt;&gt;"",INDEX(職員マスタ!$H$6:$H$405,$AN1160)&lt;&gt;"",$M1160&lt;&gt;INDEX(職員マスタ!$H$6:$H$405,$AN1160)),"時短終了日がマスタと相違／","")))&amp;IF(AND($B1160&lt;&gt;"",$E1160=""),"報酬額が未入力／","")&amp;IF(N($U1160)&gt;0,"申請書に入力エラーが残っています／","")&amp;IF(AND($B1160&lt;&gt;"",$AO1160&lt;&gt;""),IF(COUNTIFS($B$6:$B$3005,$B1160,$C$6:$C$3005,$C1160,$D$6:$D$3005,$D1160)&gt;1,"同じ月の請求が重複しています／",""),"")&amp;IF(AND(N($E1160)&gt;0,$Z1160&lt;&gt;"",$Z1160&lt;&gt;"×",$AC1160=0,$AB1160=""),"計算額が下限以下のため不支給／",""))</f>
        <v/>
      </c>
      <c r="AL1160" s="12" t="n"/>
      <c r="AM1160" s="14">
        <f>IF($AD1160="保留中",COUNTIF($AD$6:$AD1160,"保留中"),"")</f>
        <v/>
      </c>
      <c r="AN1160" s="14">
        <f>IF($AO1160="","",IF(SUMPRODUCT(MAX((職員マスタ!$A$6:$A$405=$B1160)*(((職員マスタ!$G$6:$G$405="")+(職員マスタ!$G$6:$G$405&lt;=EOMONTH($AO1160,0)))&gt;0)*(((職員マスタ!$H$6:$H$405="")+(職員マスタ!$H$6:$H$405&gt;=$AO1160))&gt;0)*(ROW(職員マスタ!$A$6:$A$405)-5)))&gt;0,SUMPRODUCT(MAX((職員マスタ!$A$6:$A$405=$B1160)*(((職員マスタ!$G$6:$G$405="")+(職員マスタ!$G$6:$G$405&lt;=EOMONTH($AO1160,0)))&gt;0)*(((職員マスタ!$H$6:$H$405="")+(職員マスタ!$H$6:$H$405&gt;=$AO1160))&gt;0)*(ROW(職員マスタ!$A$6:$A$405)-5))),IFERROR(MATCH($B1160,職員マスタ!$A$6:$A$405,0),"")))</f>
        <v/>
      </c>
      <c r="AO1160" s="16">
        <f>IF(OR($B1160="",$C1160="",$D1160=""),"",DATE($C1160+2018,$D1160,1))</f>
        <v/>
      </c>
    </row>
    <row r="1161">
      <c r="A1161" s="11" t="n"/>
      <c r="B1161" s="12" t="n"/>
      <c r="C1161" s="12" t="n"/>
      <c r="D1161" s="12" t="n"/>
      <c r="E1161" s="13" t="n"/>
      <c r="F1161" s="12" t="n"/>
      <c r="G1161" s="13" t="n"/>
      <c r="H1161" s="12" t="n"/>
      <c r="I1161" s="12" t="n"/>
      <c r="J1161" s="12" t="n"/>
      <c r="K1161" s="12" t="n"/>
      <c r="L1161" s="11" t="n"/>
      <c r="M1161" s="11" t="n"/>
      <c r="N1161" s="11" t="n"/>
      <c r="O1161" s="11" t="n"/>
      <c r="P1161" s="12" t="n"/>
      <c r="Q1161" s="11" t="n"/>
      <c r="R1161" s="12" t="n"/>
      <c r="S1161" s="11" t="n"/>
      <c r="T1161" s="12" t="n"/>
      <c r="U1161" s="12" t="n"/>
      <c r="V1161" s="14">
        <f>IF($AN1161="",IF($B1161="","",$H1161),IF(INDEX(職員マスタ!$B$6:$B$405,$AN1161)="",$H1161,INDEX(職員マスタ!$B$6:$B$405,$AN1161)))</f>
        <v/>
      </c>
      <c r="W1161" s="14">
        <f>IF($AN1161="",IF($B1161="","",$R1161),IF(INDEX(職員マスタ!$C$6:$C$405,$AN1161)="",$R1161,INDEX(職員マスタ!$C$6:$C$405,$AN1161)))</f>
        <v/>
      </c>
      <c r="X1161" s="14">
        <f>IF($AO1161="","","R"&amp;$C1161&amp;"."&amp;$D1161)</f>
        <v/>
      </c>
      <c r="Y1161" s="15">
        <f>IF($AN1161="","",IF(INDEX(職員マスタ!$K$6:$K$405,$AN1161)="","",INDEX(職員マスタ!$K$6:$K$405,$AN1161)))</f>
        <v/>
      </c>
      <c r="Z1161" s="14">
        <f>IF(OR($E1161="",$Y1161=""),"",IF($E1161&gt;=$Y1161,"×",IF($E1161&gt;=$Y1161*設定!$C$5,"△","○")))</f>
        <v/>
      </c>
      <c r="AA1161" s="15">
        <f>IF($Z1161="","",IF($Z1161="×",0,IF($Z1161="○",ROUNDDOWN($E1161*設定!$C$4,0),ROUNDDOWN($E1161*ROUND((9*$Y1161-9*$E1161)/(10*$E1161),4),0))))</f>
        <v/>
      </c>
      <c r="AB1161" s="13" t="n"/>
      <c r="AC1161" s="15">
        <f>IF($B1161="","",IF($AB1161&lt;&gt;"",$AB1161,IF($AA1161="","",IF($AA1161&lt;=設定!$C$3,0,$AA1161))))</f>
        <v/>
      </c>
      <c r="AD1161" s="14">
        <f>IF($B1161="","",IF(AND($AE1161&lt;&gt;"",$AG1161="",$AJ1161=""),"保留中",IF($AJ1161&lt;&gt;"",IF(N($AC1161)&gt;0,"支給済","不支給"),IF($AC1161="","要確認",IF($AC1161=0,"不支給","未処理")))))</f>
        <v/>
      </c>
      <c r="AE1161" s="12" t="n"/>
      <c r="AF1161" s="11" t="n"/>
      <c r="AG1161" s="11" t="n"/>
      <c r="AH1161" s="11" t="n"/>
      <c r="AI1161" s="14">
        <f>IF(AND($AD1161="保留中",$AF1161&lt;&gt;""),TODAY()-$AF1161,"")</f>
        <v/>
      </c>
      <c r="AJ1161" s="12" t="n"/>
      <c r="AK1161" s="14">
        <f>IF($B1161="","",IF($AO1161="","対象年月が未入力／","")&amp;IF($B1161="","",IF($AN1161="","職員マスタに未登録の職員番号／",IF($Y1161="","標準報酬月額が未登録／","")&amp;IF(AND($AO1161&lt;&gt;"",OR(AND(INDEX(職員マスタ!$G$6:$G$405,$AN1161)&lt;&gt;"",INDEX(職員マスタ!$G$6:$G$405,$AN1161)&gt;EOMONTH($AO1161,0)),AND(INDEX(職員マスタ!$H$6:$H$405,$AN1161)&lt;&gt;"",INDEX(職員マスタ!$H$6:$H$405,$AN1161)&lt;$AO1161))),"対象月が時短期間外／","")&amp;IF(AND(INDEX(職員マスタ!$F$6:$F$405,$AN1161)&lt;&gt;"",$AO1161&lt;&gt;"",INDEX(職員マスタ!$F$6:$F$405,$AN1161)&lt;$AO1161),"対象月に子が2歳到達済／","")&amp;IF(AND($H1161&lt;&gt;"",INDEX(職員マスタ!$B$6:$B$405,$AN1161)&lt;&gt;"",SUBSTITUTE(SUBSTITUTE($H1161," ","")," ","")&lt;&gt;SUBSTITUTE(SUBSTITUTE(INDEX(職員マスタ!$B$6:$B$405,$AN1161)," ","")," ","")),"氏名がマスタと相違／","")&amp;IF(AND($Q1161&lt;&gt;"",INDEX(職員マスタ!$E$6:$E$405,$AN1161)&lt;&gt;"",$Q1161&lt;&gt;INDEX(職員マスタ!$E$6:$E$405,$AN1161)),"子の生年月日がマスタと相違／","")&amp;IF(AND($L1161&lt;&gt;"",INDEX(職員マスタ!$G$6:$G$405,$AN1161)&lt;&gt;"",$L1161&lt;&gt;INDEX(職員マスタ!$G$6:$G$405,$AN1161)),"時短開始日がマスタと相違／","")&amp;IF(AND($M1161&lt;&gt;"",INDEX(職員マスタ!$H$6:$H$405,$AN1161)&lt;&gt;"",$M1161&lt;&gt;INDEX(職員マスタ!$H$6:$H$405,$AN1161)),"時短終了日がマスタと相違／","")))&amp;IF(AND($B1161&lt;&gt;"",$E1161=""),"報酬額が未入力／","")&amp;IF(N($U1161)&gt;0,"申請書に入力エラーが残っています／","")&amp;IF(AND($B1161&lt;&gt;"",$AO1161&lt;&gt;""),IF(COUNTIFS($B$6:$B$3005,$B1161,$C$6:$C$3005,$C1161,$D$6:$D$3005,$D1161)&gt;1,"同じ月の請求が重複しています／",""),"")&amp;IF(AND(N($E1161)&gt;0,$Z1161&lt;&gt;"",$Z1161&lt;&gt;"×",$AC1161=0,$AB1161=""),"計算額が下限以下のため不支給／",""))</f>
        <v/>
      </c>
      <c r="AL1161" s="12" t="n"/>
      <c r="AM1161" s="14">
        <f>IF($AD1161="保留中",COUNTIF($AD$6:$AD1161,"保留中"),"")</f>
        <v/>
      </c>
      <c r="AN1161" s="14">
        <f>IF($AO1161="","",IF(SUMPRODUCT(MAX((職員マスタ!$A$6:$A$405=$B1161)*(((職員マスタ!$G$6:$G$405="")+(職員マスタ!$G$6:$G$405&lt;=EOMONTH($AO1161,0)))&gt;0)*(((職員マスタ!$H$6:$H$405="")+(職員マスタ!$H$6:$H$405&gt;=$AO1161))&gt;0)*(ROW(職員マスタ!$A$6:$A$405)-5)))&gt;0,SUMPRODUCT(MAX((職員マスタ!$A$6:$A$405=$B1161)*(((職員マスタ!$G$6:$G$405="")+(職員マスタ!$G$6:$G$405&lt;=EOMONTH($AO1161,0)))&gt;0)*(((職員マスタ!$H$6:$H$405="")+(職員マスタ!$H$6:$H$405&gt;=$AO1161))&gt;0)*(ROW(職員マスタ!$A$6:$A$405)-5))),IFERROR(MATCH($B1161,職員マスタ!$A$6:$A$405,0),"")))</f>
        <v/>
      </c>
      <c r="AO1161" s="16">
        <f>IF(OR($B1161="",$C1161="",$D1161=""),"",DATE($C1161+2018,$D1161,1))</f>
        <v/>
      </c>
    </row>
    <row r="1162">
      <c r="A1162" s="11" t="n"/>
      <c r="B1162" s="12" t="n"/>
      <c r="C1162" s="12" t="n"/>
      <c r="D1162" s="12" t="n"/>
      <c r="E1162" s="13" t="n"/>
      <c r="F1162" s="12" t="n"/>
      <c r="G1162" s="13" t="n"/>
      <c r="H1162" s="12" t="n"/>
      <c r="I1162" s="12" t="n"/>
      <c r="J1162" s="12" t="n"/>
      <c r="K1162" s="12" t="n"/>
      <c r="L1162" s="11" t="n"/>
      <c r="M1162" s="11" t="n"/>
      <c r="N1162" s="11" t="n"/>
      <c r="O1162" s="11" t="n"/>
      <c r="P1162" s="12" t="n"/>
      <c r="Q1162" s="11" t="n"/>
      <c r="R1162" s="12" t="n"/>
      <c r="S1162" s="11" t="n"/>
      <c r="T1162" s="12" t="n"/>
      <c r="U1162" s="12" t="n"/>
      <c r="V1162" s="14">
        <f>IF($AN1162="",IF($B1162="","",$H1162),IF(INDEX(職員マスタ!$B$6:$B$405,$AN1162)="",$H1162,INDEX(職員マスタ!$B$6:$B$405,$AN1162)))</f>
        <v/>
      </c>
      <c r="W1162" s="14">
        <f>IF($AN1162="",IF($B1162="","",$R1162),IF(INDEX(職員マスタ!$C$6:$C$405,$AN1162)="",$R1162,INDEX(職員マスタ!$C$6:$C$405,$AN1162)))</f>
        <v/>
      </c>
      <c r="X1162" s="14">
        <f>IF($AO1162="","","R"&amp;$C1162&amp;"."&amp;$D1162)</f>
        <v/>
      </c>
      <c r="Y1162" s="15">
        <f>IF($AN1162="","",IF(INDEX(職員マスタ!$K$6:$K$405,$AN1162)="","",INDEX(職員マスタ!$K$6:$K$405,$AN1162)))</f>
        <v/>
      </c>
      <c r="Z1162" s="14">
        <f>IF(OR($E1162="",$Y1162=""),"",IF($E1162&gt;=$Y1162,"×",IF($E1162&gt;=$Y1162*設定!$C$5,"△","○")))</f>
        <v/>
      </c>
      <c r="AA1162" s="15">
        <f>IF($Z1162="","",IF($Z1162="×",0,IF($Z1162="○",ROUNDDOWN($E1162*設定!$C$4,0),ROUNDDOWN($E1162*ROUND((9*$Y1162-9*$E1162)/(10*$E1162),4),0))))</f>
        <v/>
      </c>
      <c r="AB1162" s="13" t="n"/>
      <c r="AC1162" s="15">
        <f>IF($B1162="","",IF($AB1162&lt;&gt;"",$AB1162,IF($AA1162="","",IF($AA1162&lt;=設定!$C$3,0,$AA1162))))</f>
        <v/>
      </c>
      <c r="AD1162" s="14">
        <f>IF($B1162="","",IF(AND($AE1162&lt;&gt;"",$AG1162="",$AJ1162=""),"保留中",IF($AJ1162&lt;&gt;"",IF(N($AC1162)&gt;0,"支給済","不支給"),IF($AC1162="","要確認",IF($AC1162=0,"不支給","未処理")))))</f>
        <v/>
      </c>
      <c r="AE1162" s="12" t="n"/>
      <c r="AF1162" s="11" t="n"/>
      <c r="AG1162" s="11" t="n"/>
      <c r="AH1162" s="11" t="n"/>
      <c r="AI1162" s="14">
        <f>IF(AND($AD1162="保留中",$AF1162&lt;&gt;""),TODAY()-$AF1162,"")</f>
        <v/>
      </c>
      <c r="AJ1162" s="12" t="n"/>
      <c r="AK1162" s="14">
        <f>IF($B1162="","",IF($AO1162="","対象年月が未入力／","")&amp;IF($B1162="","",IF($AN1162="","職員マスタに未登録の職員番号／",IF($Y1162="","標準報酬月額が未登録／","")&amp;IF(AND($AO1162&lt;&gt;"",OR(AND(INDEX(職員マスタ!$G$6:$G$405,$AN1162)&lt;&gt;"",INDEX(職員マスタ!$G$6:$G$405,$AN1162)&gt;EOMONTH($AO1162,0)),AND(INDEX(職員マスタ!$H$6:$H$405,$AN1162)&lt;&gt;"",INDEX(職員マスタ!$H$6:$H$405,$AN1162)&lt;$AO1162))),"対象月が時短期間外／","")&amp;IF(AND(INDEX(職員マスタ!$F$6:$F$405,$AN1162)&lt;&gt;"",$AO1162&lt;&gt;"",INDEX(職員マスタ!$F$6:$F$405,$AN1162)&lt;$AO1162),"対象月に子が2歳到達済／","")&amp;IF(AND($H1162&lt;&gt;"",INDEX(職員マスタ!$B$6:$B$405,$AN1162)&lt;&gt;"",SUBSTITUTE(SUBSTITUTE($H1162," ","")," ","")&lt;&gt;SUBSTITUTE(SUBSTITUTE(INDEX(職員マスタ!$B$6:$B$405,$AN1162)," ","")," ","")),"氏名がマスタと相違／","")&amp;IF(AND($Q1162&lt;&gt;"",INDEX(職員マスタ!$E$6:$E$405,$AN1162)&lt;&gt;"",$Q1162&lt;&gt;INDEX(職員マスタ!$E$6:$E$405,$AN1162)),"子の生年月日がマスタと相違／","")&amp;IF(AND($L1162&lt;&gt;"",INDEX(職員マスタ!$G$6:$G$405,$AN1162)&lt;&gt;"",$L1162&lt;&gt;INDEX(職員マスタ!$G$6:$G$405,$AN1162)),"時短開始日がマスタと相違／","")&amp;IF(AND($M1162&lt;&gt;"",INDEX(職員マスタ!$H$6:$H$405,$AN1162)&lt;&gt;"",$M1162&lt;&gt;INDEX(職員マスタ!$H$6:$H$405,$AN1162)),"時短終了日がマスタと相違／","")))&amp;IF(AND($B1162&lt;&gt;"",$E1162=""),"報酬額が未入力／","")&amp;IF(N($U1162)&gt;0,"申請書に入力エラーが残っています／","")&amp;IF(AND($B1162&lt;&gt;"",$AO1162&lt;&gt;""),IF(COUNTIFS($B$6:$B$3005,$B1162,$C$6:$C$3005,$C1162,$D$6:$D$3005,$D1162)&gt;1,"同じ月の請求が重複しています／",""),"")&amp;IF(AND(N($E1162)&gt;0,$Z1162&lt;&gt;"",$Z1162&lt;&gt;"×",$AC1162=0,$AB1162=""),"計算額が下限以下のため不支給／",""))</f>
        <v/>
      </c>
      <c r="AL1162" s="12" t="n"/>
      <c r="AM1162" s="14">
        <f>IF($AD1162="保留中",COUNTIF($AD$6:$AD1162,"保留中"),"")</f>
        <v/>
      </c>
      <c r="AN1162" s="14">
        <f>IF($AO1162="","",IF(SUMPRODUCT(MAX((職員マスタ!$A$6:$A$405=$B1162)*(((職員マスタ!$G$6:$G$405="")+(職員マスタ!$G$6:$G$405&lt;=EOMONTH($AO1162,0)))&gt;0)*(((職員マスタ!$H$6:$H$405="")+(職員マスタ!$H$6:$H$405&gt;=$AO1162))&gt;0)*(ROW(職員マスタ!$A$6:$A$405)-5)))&gt;0,SUMPRODUCT(MAX((職員マスタ!$A$6:$A$405=$B1162)*(((職員マスタ!$G$6:$G$405="")+(職員マスタ!$G$6:$G$405&lt;=EOMONTH($AO1162,0)))&gt;0)*(((職員マスタ!$H$6:$H$405="")+(職員マスタ!$H$6:$H$405&gt;=$AO1162))&gt;0)*(ROW(職員マスタ!$A$6:$A$405)-5))),IFERROR(MATCH($B1162,職員マスタ!$A$6:$A$405,0),"")))</f>
        <v/>
      </c>
      <c r="AO1162" s="16">
        <f>IF(OR($B1162="",$C1162="",$D1162=""),"",DATE($C1162+2018,$D1162,1))</f>
        <v/>
      </c>
    </row>
    <row r="1163">
      <c r="A1163" s="11" t="n"/>
      <c r="B1163" s="12" t="n"/>
      <c r="C1163" s="12" t="n"/>
      <c r="D1163" s="12" t="n"/>
      <c r="E1163" s="13" t="n"/>
      <c r="F1163" s="12" t="n"/>
      <c r="G1163" s="13" t="n"/>
      <c r="H1163" s="12" t="n"/>
      <c r="I1163" s="12" t="n"/>
      <c r="J1163" s="12" t="n"/>
      <c r="K1163" s="12" t="n"/>
      <c r="L1163" s="11" t="n"/>
      <c r="M1163" s="11" t="n"/>
      <c r="N1163" s="11" t="n"/>
      <c r="O1163" s="11" t="n"/>
      <c r="P1163" s="12" t="n"/>
      <c r="Q1163" s="11" t="n"/>
      <c r="R1163" s="12" t="n"/>
      <c r="S1163" s="11" t="n"/>
      <c r="T1163" s="12" t="n"/>
      <c r="U1163" s="12" t="n"/>
      <c r="V1163" s="14">
        <f>IF($AN1163="",IF($B1163="","",$H1163),IF(INDEX(職員マスタ!$B$6:$B$405,$AN1163)="",$H1163,INDEX(職員マスタ!$B$6:$B$405,$AN1163)))</f>
        <v/>
      </c>
      <c r="W1163" s="14">
        <f>IF($AN1163="",IF($B1163="","",$R1163),IF(INDEX(職員マスタ!$C$6:$C$405,$AN1163)="",$R1163,INDEX(職員マスタ!$C$6:$C$405,$AN1163)))</f>
        <v/>
      </c>
      <c r="X1163" s="14">
        <f>IF($AO1163="","","R"&amp;$C1163&amp;"."&amp;$D1163)</f>
        <v/>
      </c>
      <c r="Y1163" s="15">
        <f>IF($AN1163="","",IF(INDEX(職員マスタ!$K$6:$K$405,$AN1163)="","",INDEX(職員マスタ!$K$6:$K$405,$AN1163)))</f>
        <v/>
      </c>
      <c r="Z1163" s="14">
        <f>IF(OR($E1163="",$Y1163=""),"",IF($E1163&gt;=$Y1163,"×",IF($E1163&gt;=$Y1163*設定!$C$5,"△","○")))</f>
        <v/>
      </c>
      <c r="AA1163" s="15">
        <f>IF($Z1163="","",IF($Z1163="×",0,IF($Z1163="○",ROUNDDOWN($E1163*設定!$C$4,0),ROUNDDOWN($E1163*ROUND((9*$Y1163-9*$E1163)/(10*$E1163),4),0))))</f>
        <v/>
      </c>
      <c r="AB1163" s="13" t="n"/>
      <c r="AC1163" s="15">
        <f>IF($B1163="","",IF($AB1163&lt;&gt;"",$AB1163,IF($AA1163="","",IF($AA1163&lt;=設定!$C$3,0,$AA1163))))</f>
        <v/>
      </c>
      <c r="AD1163" s="14">
        <f>IF($B1163="","",IF(AND($AE1163&lt;&gt;"",$AG1163="",$AJ1163=""),"保留中",IF($AJ1163&lt;&gt;"",IF(N($AC1163)&gt;0,"支給済","不支給"),IF($AC1163="","要確認",IF($AC1163=0,"不支給","未処理")))))</f>
        <v/>
      </c>
      <c r="AE1163" s="12" t="n"/>
      <c r="AF1163" s="11" t="n"/>
      <c r="AG1163" s="11" t="n"/>
      <c r="AH1163" s="11" t="n"/>
      <c r="AI1163" s="14">
        <f>IF(AND($AD1163="保留中",$AF1163&lt;&gt;""),TODAY()-$AF1163,"")</f>
        <v/>
      </c>
      <c r="AJ1163" s="12" t="n"/>
      <c r="AK1163" s="14">
        <f>IF($B1163="","",IF($AO1163="","対象年月が未入力／","")&amp;IF($B1163="","",IF($AN1163="","職員マスタに未登録の職員番号／",IF($Y1163="","標準報酬月額が未登録／","")&amp;IF(AND($AO1163&lt;&gt;"",OR(AND(INDEX(職員マスタ!$G$6:$G$405,$AN1163)&lt;&gt;"",INDEX(職員マスタ!$G$6:$G$405,$AN1163)&gt;EOMONTH($AO1163,0)),AND(INDEX(職員マスタ!$H$6:$H$405,$AN1163)&lt;&gt;"",INDEX(職員マスタ!$H$6:$H$405,$AN1163)&lt;$AO1163))),"対象月が時短期間外／","")&amp;IF(AND(INDEX(職員マスタ!$F$6:$F$405,$AN1163)&lt;&gt;"",$AO1163&lt;&gt;"",INDEX(職員マスタ!$F$6:$F$405,$AN1163)&lt;$AO1163),"対象月に子が2歳到達済／","")&amp;IF(AND($H1163&lt;&gt;"",INDEX(職員マスタ!$B$6:$B$405,$AN1163)&lt;&gt;"",SUBSTITUTE(SUBSTITUTE($H1163," ","")," ","")&lt;&gt;SUBSTITUTE(SUBSTITUTE(INDEX(職員マスタ!$B$6:$B$405,$AN1163)," ","")," ","")),"氏名がマスタと相違／","")&amp;IF(AND($Q1163&lt;&gt;"",INDEX(職員マスタ!$E$6:$E$405,$AN1163)&lt;&gt;"",$Q1163&lt;&gt;INDEX(職員マスタ!$E$6:$E$405,$AN1163)),"子の生年月日がマスタと相違／","")&amp;IF(AND($L1163&lt;&gt;"",INDEX(職員マスタ!$G$6:$G$405,$AN1163)&lt;&gt;"",$L1163&lt;&gt;INDEX(職員マスタ!$G$6:$G$405,$AN1163)),"時短開始日がマスタと相違／","")&amp;IF(AND($M1163&lt;&gt;"",INDEX(職員マスタ!$H$6:$H$405,$AN1163)&lt;&gt;"",$M1163&lt;&gt;INDEX(職員マスタ!$H$6:$H$405,$AN1163)),"時短終了日がマスタと相違／","")))&amp;IF(AND($B1163&lt;&gt;"",$E1163=""),"報酬額が未入力／","")&amp;IF(N($U1163)&gt;0,"申請書に入力エラーが残っています／","")&amp;IF(AND($B1163&lt;&gt;"",$AO1163&lt;&gt;""),IF(COUNTIFS($B$6:$B$3005,$B1163,$C$6:$C$3005,$C1163,$D$6:$D$3005,$D1163)&gt;1,"同じ月の請求が重複しています／",""),"")&amp;IF(AND(N($E1163)&gt;0,$Z1163&lt;&gt;"",$Z1163&lt;&gt;"×",$AC1163=0,$AB1163=""),"計算額が下限以下のため不支給／",""))</f>
        <v/>
      </c>
      <c r="AL1163" s="12" t="n"/>
      <c r="AM1163" s="14">
        <f>IF($AD1163="保留中",COUNTIF($AD$6:$AD1163,"保留中"),"")</f>
        <v/>
      </c>
      <c r="AN1163" s="14">
        <f>IF($AO1163="","",IF(SUMPRODUCT(MAX((職員マスタ!$A$6:$A$405=$B1163)*(((職員マスタ!$G$6:$G$405="")+(職員マスタ!$G$6:$G$405&lt;=EOMONTH($AO1163,0)))&gt;0)*(((職員マスタ!$H$6:$H$405="")+(職員マスタ!$H$6:$H$405&gt;=$AO1163))&gt;0)*(ROW(職員マスタ!$A$6:$A$405)-5)))&gt;0,SUMPRODUCT(MAX((職員マスタ!$A$6:$A$405=$B1163)*(((職員マスタ!$G$6:$G$405="")+(職員マスタ!$G$6:$G$405&lt;=EOMONTH($AO1163,0)))&gt;0)*(((職員マスタ!$H$6:$H$405="")+(職員マスタ!$H$6:$H$405&gt;=$AO1163))&gt;0)*(ROW(職員マスタ!$A$6:$A$405)-5))),IFERROR(MATCH($B1163,職員マスタ!$A$6:$A$405,0),"")))</f>
        <v/>
      </c>
      <c r="AO1163" s="16">
        <f>IF(OR($B1163="",$C1163="",$D1163=""),"",DATE($C1163+2018,$D1163,1))</f>
        <v/>
      </c>
    </row>
    <row r="1164">
      <c r="A1164" s="11" t="n"/>
      <c r="B1164" s="12" t="n"/>
      <c r="C1164" s="12" t="n"/>
      <c r="D1164" s="12" t="n"/>
      <c r="E1164" s="13" t="n"/>
      <c r="F1164" s="12" t="n"/>
      <c r="G1164" s="13" t="n"/>
      <c r="H1164" s="12" t="n"/>
      <c r="I1164" s="12" t="n"/>
      <c r="J1164" s="12" t="n"/>
      <c r="K1164" s="12" t="n"/>
      <c r="L1164" s="11" t="n"/>
      <c r="M1164" s="11" t="n"/>
      <c r="N1164" s="11" t="n"/>
      <c r="O1164" s="11" t="n"/>
      <c r="P1164" s="12" t="n"/>
      <c r="Q1164" s="11" t="n"/>
      <c r="R1164" s="12" t="n"/>
      <c r="S1164" s="11" t="n"/>
      <c r="T1164" s="12" t="n"/>
      <c r="U1164" s="12" t="n"/>
      <c r="V1164" s="14">
        <f>IF($AN1164="",IF($B1164="","",$H1164),IF(INDEX(職員マスタ!$B$6:$B$405,$AN1164)="",$H1164,INDEX(職員マスタ!$B$6:$B$405,$AN1164)))</f>
        <v/>
      </c>
      <c r="W1164" s="14">
        <f>IF($AN1164="",IF($B1164="","",$R1164),IF(INDEX(職員マスタ!$C$6:$C$405,$AN1164)="",$R1164,INDEX(職員マスタ!$C$6:$C$405,$AN1164)))</f>
        <v/>
      </c>
      <c r="X1164" s="14">
        <f>IF($AO1164="","","R"&amp;$C1164&amp;"."&amp;$D1164)</f>
        <v/>
      </c>
      <c r="Y1164" s="15">
        <f>IF($AN1164="","",IF(INDEX(職員マスタ!$K$6:$K$405,$AN1164)="","",INDEX(職員マスタ!$K$6:$K$405,$AN1164)))</f>
        <v/>
      </c>
      <c r="Z1164" s="14">
        <f>IF(OR($E1164="",$Y1164=""),"",IF($E1164&gt;=$Y1164,"×",IF($E1164&gt;=$Y1164*設定!$C$5,"△","○")))</f>
        <v/>
      </c>
      <c r="AA1164" s="15">
        <f>IF($Z1164="","",IF($Z1164="×",0,IF($Z1164="○",ROUNDDOWN($E1164*設定!$C$4,0),ROUNDDOWN($E1164*ROUND((9*$Y1164-9*$E1164)/(10*$E1164),4),0))))</f>
        <v/>
      </c>
      <c r="AB1164" s="13" t="n"/>
      <c r="AC1164" s="15">
        <f>IF($B1164="","",IF($AB1164&lt;&gt;"",$AB1164,IF($AA1164="","",IF($AA1164&lt;=設定!$C$3,0,$AA1164))))</f>
        <v/>
      </c>
      <c r="AD1164" s="14">
        <f>IF($B1164="","",IF(AND($AE1164&lt;&gt;"",$AG1164="",$AJ1164=""),"保留中",IF($AJ1164&lt;&gt;"",IF(N($AC1164)&gt;0,"支給済","不支給"),IF($AC1164="","要確認",IF($AC1164=0,"不支給","未処理")))))</f>
        <v/>
      </c>
      <c r="AE1164" s="12" t="n"/>
      <c r="AF1164" s="11" t="n"/>
      <c r="AG1164" s="11" t="n"/>
      <c r="AH1164" s="11" t="n"/>
      <c r="AI1164" s="14">
        <f>IF(AND($AD1164="保留中",$AF1164&lt;&gt;""),TODAY()-$AF1164,"")</f>
        <v/>
      </c>
      <c r="AJ1164" s="12" t="n"/>
      <c r="AK1164" s="14">
        <f>IF($B1164="","",IF($AO1164="","対象年月が未入力／","")&amp;IF($B1164="","",IF($AN1164="","職員マスタに未登録の職員番号／",IF($Y1164="","標準報酬月額が未登録／","")&amp;IF(AND($AO1164&lt;&gt;"",OR(AND(INDEX(職員マスタ!$G$6:$G$405,$AN1164)&lt;&gt;"",INDEX(職員マスタ!$G$6:$G$405,$AN1164)&gt;EOMONTH($AO1164,0)),AND(INDEX(職員マスタ!$H$6:$H$405,$AN1164)&lt;&gt;"",INDEX(職員マスタ!$H$6:$H$405,$AN1164)&lt;$AO1164))),"対象月が時短期間外／","")&amp;IF(AND(INDEX(職員マスタ!$F$6:$F$405,$AN1164)&lt;&gt;"",$AO1164&lt;&gt;"",INDEX(職員マスタ!$F$6:$F$405,$AN1164)&lt;$AO1164),"対象月に子が2歳到達済／","")&amp;IF(AND($H1164&lt;&gt;"",INDEX(職員マスタ!$B$6:$B$405,$AN1164)&lt;&gt;"",SUBSTITUTE(SUBSTITUTE($H1164," ","")," ","")&lt;&gt;SUBSTITUTE(SUBSTITUTE(INDEX(職員マスタ!$B$6:$B$405,$AN1164)," ","")," ","")),"氏名がマスタと相違／","")&amp;IF(AND($Q1164&lt;&gt;"",INDEX(職員マスタ!$E$6:$E$405,$AN1164)&lt;&gt;"",$Q1164&lt;&gt;INDEX(職員マスタ!$E$6:$E$405,$AN1164)),"子の生年月日がマスタと相違／","")&amp;IF(AND($L1164&lt;&gt;"",INDEX(職員マスタ!$G$6:$G$405,$AN1164)&lt;&gt;"",$L1164&lt;&gt;INDEX(職員マスタ!$G$6:$G$405,$AN1164)),"時短開始日がマスタと相違／","")&amp;IF(AND($M1164&lt;&gt;"",INDEX(職員マスタ!$H$6:$H$405,$AN1164)&lt;&gt;"",$M1164&lt;&gt;INDEX(職員マスタ!$H$6:$H$405,$AN1164)),"時短終了日がマスタと相違／","")))&amp;IF(AND($B1164&lt;&gt;"",$E1164=""),"報酬額が未入力／","")&amp;IF(N($U1164)&gt;0,"申請書に入力エラーが残っています／","")&amp;IF(AND($B1164&lt;&gt;"",$AO1164&lt;&gt;""),IF(COUNTIFS($B$6:$B$3005,$B1164,$C$6:$C$3005,$C1164,$D$6:$D$3005,$D1164)&gt;1,"同じ月の請求が重複しています／",""),"")&amp;IF(AND(N($E1164)&gt;0,$Z1164&lt;&gt;"",$Z1164&lt;&gt;"×",$AC1164=0,$AB1164=""),"計算額が下限以下のため不支給／",""))</f>
        <v/>
      </c>
      <c r="AL1164" s="12" t="n"/>
      <c r="AM1164" s="14">
        <f>IF($AD1164="保留中",COUNTIF($AD$6:$AD1164,"保留中"),"")</f>
        <v/>
      </c>
      <c r="AN1164" s="14">
        <f>IF($AO1164="","",IF(SUMPRODUCT(MAX((職員マスタ!$A$6:$A$405=$B1164)*(((職員マスタ!$G$6:$G$405="")+(職員マスタ!$G$6:$G$405&lt;=EOMONTH($AO1164,0)))&gt;0)*(((職員マスタ!$H$6:$H$405="")+(職員マスタ!$H$6:$H$405&gt;=$AO1164))&gt;0)*(ROW(職員マスタ!$A$6:$A$405)-5)))&gt;0,SUMPRODUCT(MAX((職員マスタ!$A$6:$A$405=$B1164)*(((職員マスタ!$G$6:$G$405="")+(職員マスタ!$G$6:$G$405&lt;=EOMONTH($AO1164,0)))&gt;0)*(((職員マスタ!$H$6:$H$405="")+(職員マスタ!$H$6:$H$405&gt;=$AO1164))&gt;0)*(ROW(職員マスタ!$A$6:$A$405)-5))),IFERROR(MATCH($B1164,職員マスタ!$A$6:$A$405,0),"")))</f>
        <v/>
      </c>
      <c r="AO1164" s="16">
        <f>IF(OR($B1164="",$C1164="",$D1164=""),"",DATE($C1164+2018,$D1164,1))</f>
        <v/>
      </c>
    </row>
    <row r="1165">
      <c r="A1165" s="11" t="n"/>
      <c r="B1165" s="12" t="n"/>
      <c r="C1165" s="12" t="n"/>
      <c r="D1165" s="12" t="n"/>
      <c r="E1165" s="13" t="n"/>
      <c r="F1165" s="12" t="n"/>
      <c r="G1165" s="13" t="n"/>
      <c r="H1165" s="12" t="n"/>
      <c r="I1165" s="12" t="n"/>
      <c r="J1165" s="12" t="n"/>
      <c r="K1165" s="12" t="n"/>
      <c r="L1165" s="11" t="n"/>
      <c r="M1165" s="11" t="n"/>
      <c r="N1165" s="11" t="n"/>
      <c r="O1165" s="11" t="n"/>
      <c r="P1165" s="12" t="n"/>
      <c r="Q1165" s="11" t="n"/>
      <c r="R1165" s="12" t="n"/>
      <c r="S1165" s="11" t="n"/>
      <c r="T1165" s="12" t="n"/>
      <c r="U1165" s="12" t="n"/>
      <c r="V1165" s="14">
        <f>IF($AN1165="",IF($B1165="","",$H1165),IF(INDEX(職員マスタ!$B$6:$B$405,$AN1165)="",$H1165,INDEX(職員マスタ!$B$6:$B$405,$AN1165)))</f>
        <v/>
      </c>
      <c r="W1165" s="14">
        <f>IF($AN1165="",IF($B1165="","",$R1165),IF(INDEX(職員マスタ!$C$6:$C$405,$AN1165)="",$R1165,INDEX(職員マスタ!$C$6:$C$405,$AN1165)))</f>
        <v/>
      </c>
      <c r="X1165" s="14">
        <f>IF($AO1165="","","R"&amp;$C1165&amp;"."&amp;$D1165)</f>
        <v/>
      </c>
      <c r="Y1165" s="15">
        <f>IF($AN1165="","",IF(INDEX(職員マスタ!$K$6:$K$405,$AN1165)="","",INDEX(職員マスタ!$K$6:$K$405,$AN1165)))</f>
        <v/>
      </c>
      <c r="Z1165" s="14">
        <f>IF(OR($E1165="",$Y1165=""),"",IF($E1165&gt;=$Y1165,"×",IF($E1165&gt;=$Y1165*設定!$C$5,"△","○")))</f>
        <v/>
      </c>
      <c r="AA1165" s="15">
        <f>IF($Z1165="","",IF($Z1165="×",0,IF($Z1165="○",ROUNDDOWN($E1165*設定!$C$4,0),ROUNDDOWN($E1165*ROUND((9*$Y1165-9*$E1165)/(10*$E1165),4),0))))</f>
        <v/>
      </c>
      <c r="AB1165" s="13" t="n"/>
      <c r="AC1165" s="15">
        <f>IF($B1165="","",IF($AB1165&lt;&gt;"",$AB1165,IF($AA1165="","",IF($AA1165&lt;=設定!$C$3,0,$AA1165))))</f>
        <v/>
      </c>
      <c r="AD1165" s="14">
        <f>IF($B1165="","",IF(AND($AE1165&lt;&gt;"",$AG1165="",$AJ1165=""),"保留中",IF($AJ1165&lt;&gt;"",IF(N($AC1165)&gt;0,"支給済","不支給"),IF($AC1165="","要確認",IF($AC1165=0,"不支給","未処理")))))</f>
        <v/>
      </c>
      <c r="AE1165" s="12" t="n"/>
      <c r="AF1165" s="11" t="n"/>
      <c r="AG1165" s="11" t="n"/>
      <c r="AH1165" s="11" t="n"/>
      <c r="AI1165" s="14">
        <f>IF(AND($AD1165="保留中",$AF1165&lt;&gt;""),TODAY()-$AF1165,"")</f>
        <v/>
      </c>
      <c r="AJ1165" s="12" t="n"/>
      <c r="AK1165" s="14">
        <f>IF($B1165="","",IF($AO1165="","対象年月が未入力／","")&amp;IF($B1165="","",IF($AN1165="","職員マスタに未登録の職員番号／",IF($Y1165="","標準報酬月額が未登録／","")&amp;IF(AND($AO1165&lt;&gt;"",OR(AND(INDEX(職員マスタ!$G$6:$G$405,$AN1165)&lt;&gt;"",INDEX(職員マスタ!$G$6:$G$405,$AN1165)&gt;EOMONTH($AO1165,0)),AND(INDEX(職員マスタ!$H$6:$H$405,$AN1165)&lt;&gt;"",INDEX(職員マスタ!$H$6:$H$405,$AN1165)&lt;$AO1165))),"対象月が時短期間外／","")&amp;IF(AND(INDEX(職員マスタ!$F$6:$F$405,$AN1165)&lt;&gt;"",$AO1165&lt;&gt;"",INDEX(職員マスタ!$F$6:$F$405,$AN1165)&lt;$AO1165),"対象月に子が2歳到達済／","")&amp;IF(AND($H1165&lt;&gt;"",INDEX(職員マスタ!$B$6:$B$405,$AN1165)&lt;&gt;"",SUBSTITUTE(SUBSTITUTE($H1165," ","")," ","")&lt;&gt;SUBSTITUTE(SUBSTITUTE(INDEX(職員マスタ!$B$6:$B$405,$AN1165)," ","")," ","")),"氏名がマスタと相違／","")&amp;IF(AND($Q1165&lt;&gt;"",INDEX(職員マスタ!$E$6:$E$405,$AN1165)&lt;&gt;"",$Q1165&lt;&gt;INDEX(職員マスタ!$E$6:$E$405,$AN1165)),"子の生年月日がマスタと相違／","")&amp;IF(AND($L1165&lt;&gt;"",INDEX(職員マスタ!$G$6:$G$405,$AN1165)&lt;&gt;"",$L1165&lt;&gt;INDEX(職員マスタ!$G$6:$G$405,$AN1165)),"時短開始日がマスタと相違／","")&amp;IF(AND($M1165&lt;&gt;"",INDEX(職員マスタ!$H$6:$H$405,$AN1165)&lt;&gt;"",$M1165&lt;&gt;INDEX(職員マスタ!$H$6:$H$405,$AN1165)),"時短終了日がマスタと相違／","")))&amp;IF(AND($B1165&lt;&gt;"",$E1165=""),"報酬額が未入力／","")&amp;IF(N($U1165)&gt;0,"申請書に入力エラーが残っています／","")&amp;IF(AND($B1165&lt;&gt;"",$AO1165&lt;&gt;""),IF(COUNTIFS($B$6:$B$3005,$B1165,$C$6:$C$3005,$C1165,$D$6:$D$3005,$D1165)&gt;1,"同じ月の請求が重複しています／",""),"")&amp;IF(AND(N($E1165)&gt;0,$Z1165&lt;&gt;"",$Z1165&lt;&gt;"×",$AC1165=0,$AB1165=""),"計算額が下限以下のため不支給／",""))</f>
        <v/>
      </c>
      <c r="AL1165" s="12" t="n"/>
      <c r="AM1165" s="14">
        <f>IF($AD1165="保留中",COUNTIF($AD$6:$AD1165,"保留中"),"")</f>
        <v/>
      </c>
      <c r="AN1165" s="14">
        <f>IF($AO1165="","",IF(SUMPRODUCT(MAX((職員マスタ!$A$6:$A$405=$B1165)*(((職員マスタ!$G$6:$G$405="")+(職員マスタ!$G$6:$G$405&lt;=EOMONTH($AO1165,0)))&gt;0)*(((職員マスタ!$H$6:$H$405="")+(職員マスタ!$H$6:$H$405&gt;=$AO1165))&gt;0)*(ROW(職員マスタ!$A$6:$A$405)-5)))&gt;0,SUMPRODUCT(MAX((職員マスタ!$A$6:$A$405=$B1165)*(((職員マスタ!$G$6:$G$405="")+(職員マスタ!$G$6:$G$405&lt;=EOMONTH($AO1165,0)))&gt;0)*(((職員マスタ!$H$6:$H$405="")+(職員マスタ!$H$6:$H$405&gt;=$AO1165))&gt;0)*(ROW(職員マスタ!$A$6:$A$405)-5))),IFERROR(MATCH($B1165,職員マスタ!$A$6:$A$405,0),"")))</f>
        <v/>
      </c>
      <c r="AO1165" s="16">
        <f>IF(OR($B1165="",$C1165="",$D1165=""),"",DATE($C1165+2018,$D1165,1))</f>
        <v/>
      </c>
    </row>
    <row r="1166">
      <c r="A1166" s="11" t="n"/>
      <c r="B1166" s="12" t="n"/>
      <c r="C1166" s="12" t="n"/>
      <c r="D1166" s="12" t="n"/>
      <c r="E1166" s="13" t="n"/>
      <c r="F1166" s="12" t="n"/>
      <c r="G1166" s="13" t="n"/>
      <c r="H1166" s="12" t="n"/>
      <c r="I1166" s="12" t="n"/>
      <c r="J1166" s="12" t="n"/>
      <c r="K1166" s="12" t="n"/>
      <c r="L1166" s="11" t="n"/>
      <c r="M1166" s="11" t="n"/>
      <c r="N1166" s="11" t="n"/>
      <c r="O1166" s="11" t="n"/>
      <c r="P1166" s="12" t="n"/>
      <c r="Q1166" s="11" t="n"/>
      <c r="R1166" s="12" t="n"/>
      <c r="S1166" s="11" t="n"/>
      <c r="T1166" s="12" t="n"/>
      <c r="U1166" s="12" t="n"/>
      <c r="V1166" s="14">
        <f>IF($AN1166="",IF($B1166="","",$H1166),IF(INDEX(職員マスタ!$B$6:$B$405,$AN1166)="",$H1166,INDEX(職員マスタ!$B$6:$B$405,$AN1166)))</f>
        <v/>
      </c>
      <c r="W1166" s="14">
        <f>IF($AN1166="",IF($B1166="","",$R1166),IF(INDEX(職員マスタ!$C$6:$C$405,$AN1166)="",$R1166,INDEX(職員マスタ!$C$6:$C$405,$AN1166)))</f>
        <v/>
      </c>
      <c r="X1166" s="14">
        <f>IF($AO1166="","","R"&amp;$C1166&amp;"."&amp;$D1166)</f>
        <v/>
      </c>
      <c r="Y1166" s="15">
        <f>IF($AN1166="","",IF(INDEX(職員マスタ!$K$6:$K$405,$AN1166)="","",INDEX(職員マスタ!$K$6:$K$405,$AN1166)))</f>
        <v/>
      </c>
      <c r="Z1166" s="14">
        <f>IF(OR($E1166="",$Y1166=""),"",IF($E1166&gt;=$Y1166,"×",IF($E1166&gt;=$Y1166*設定!$C$5,"△","○")))</f>
        <v/>
      </c>
      <c r="AA1166" s="15">
        <f>IF($Z1166="","",IF($Z1166="×",0,IF($Z1166="○",ROUNDDOWN($E1166*設定!$C$4,0),ROUNDDOWN($E1166*ROUND((9*$Y1166-9*$E1166)/(10*$E1166),4),0))))</f>
        <v/>
      </c>
      <c r="AB1166" s="13" t="n"/>
      <c r="AC1166" s="15">
        <f>IF($B1166="","",IF($AB1166&lt;&gt;"",$AB1166,IF($AA1166="","",IF($AA1166&lt;=設定!$C$3,0,$AA1166))))</f>
        <v/>
      </c>
      <c r="AD1166" s="14">
        <f>IF($B1166="","",IF(AND($AE1166&lt;&gt;"",$AG1166="",$AJ1166=""),"保留中",IF($AJ1166&lt;&gt;"",IF(N($AC1166)&gt;0,"支給済","不支給"),IF($AC1166="","要確認",IF($AC1166=0,"不支給","未処理")))))</f>
        <v/>
      </c>
      <c r="AE1166" s="12" t="n"/>
      <c r="AF1166" s="11" t="n"/>
      <c r="AG1166" s="11" t="n"/>
      <c r="AH1166" s="11" t="n"/>
      <c r="AI1166" s="14">
        <f>IF(AND($AD1166="保留中",$AF1166&lt;&gt;""),TODAY()-$AF1166,"")</f>
        <v/>
      </c>
      <c r="AJ1166" s="12" t="n"/>
      <c r="AK1166" s="14">
        <f>IF($B1166="","",IF($AO1166="","対象年月が未入力／","")&amp;IF($B1166="","",IF($AN1166="","職員マスタに未登録の職員番号／",IF($Y1166="","標準報酬月額が未登録／","")&amp;IF(AND($AO1166&lt;&gt;"",OR(AND(INDEX(職員マスタ!$G$6:$G$405,$AN1166)&lt;&gt;"",INDEX(職員マスタ!$G$6:$G$405,$AN1166)&gt;EOMONTH($AO1166,0)),AND(INDEX(職員マスタ!$H$6:$H$405,$AN1166)&lt;&gt;"",INDEX(職員マスタ!$H$6:$H$405,$AN1166)&lt;$AO1166))),"対象月が時短期間外／","")&amp;IF(AND(INDEX(職員マスタ!$F$6:$F$405,$AN1166)&lt;&gt;"",$AO1166&lt;&gt;"",INDEX(職員マスタ!$F$6:$F$405,$AN1166)&lt;$AO1166),"対象月に子が2歳到達済／","")&amp;IF(AND($H1166&lt;&gt;"",INDEX(職員マスタ!$B$6:$B$405,$AN1166)&lt;&gt;"",SUBSTITUTE(SUBSTITUTE($H1166," ","")," ","")&lt;&gt;SUBSTITUTE(SUBSTITUTE(INDEX(職員マスタ!$B$6:$B$405,$AN1166)," ","")," ","")),"氏名がマスタと相違／","")&amp;IF(AND($Q1166&lt;&gt;"",INDEX(職員マスタ!$E$6:$E$405,$AN1166)&lt;&gt;"",$Q1166&lt;&gt;INDEX(職員マスタ!$E$6:$E$405,$AN1166)),"子の生年月日がマスタと相違／","")&amp;IF(AND($L1166&lt;&gt;"",INDEX(職員マスタ!$G$6:$G$405,$AN1166)&lt;&gt;"",$L1166&lt;&gt;INDEX(職員マスタ!$G$6:$G$405,$AN1166)),"時短開始日がマスタと相違／","")&amp;IF(AND($M1166&lt;&gt;"",INDEX(職員マスタ!$H$6:$H$405,$AN1166)&lt;&gt;"",$M1166&lt;&gt;INDEX(職員マスタ!$H$6:$H$405,$AN1166)),"時短終了日がマスタと相違／","")))&amp;IF(AND($B1166&lt;&gt;"",$E1166=""),"報酬額が未入力／","")&amp;IF(N($U1166)&gt;0,"申請書に入力エラーが残っています／","")&amp;IF(AND($B1166&lt;&gt;"",$AO1166&lt;&gt;""),IF(COUNTIFS($B$6:$B$3005,$B1166,$C$6:$C$3005,$C1166,$D$6:$D$3005,$D1166)&gt;1,"同じ月の請求が重複しています／",""),"")&amp;IF(AND(N($E1166)&gt;0,$Z1166&lt;&gt;"",$Z1166&lt;&gt;"×",$AC1166=0,$AB1166=""),"計算額が下限以下のため不支給／",""))</f>
        <v/>
      </c>
      <c r="AL1166" s="12" t="n"/>
      <c r="AM1166" s="14">
        <f>IF($AD1166="保留中",COUNTIF($AD$6:$AD1166,"保留中"),"")</f>
        <v/>
      </c>
      <c r="AN1166" s="14">
        <f>IF($AO1166="","",IF(SUMPRODUCT(MAX((職員マスタ!$A$6:$A$405=$B1166)*(((職員マスタ!$G$6:$G$405="")+(職員マスタ!$G$6:$G$405&lt;=EOMONTH($AO1166,0)))&gt;0)*(((職員マスタ!$H$6:$H$405="")+(職員マスタ!$H$6:$H$405&gt;=$AO1166))&gt;0)*(ROW(職員マスタ!$A$6:$A$405)-5)))&gt;0,SUMPRODUCT(MAX((職員マスタ!$A$6:$A$405=$B1166)*(((職員マスタ!$G$6:$G$405="")+(職員マスタ!$G$6:$G$405&lt;=EOMONTH($AO1166,0)))&gt;0)*(((職員マスタ!$H$6:$H$405="")+(職員マスタ!$H$6:$H$405&gt;=$AO1166))&gt;0)*(ROW(職員マスタ!$A$6:$A$405)-5))),IFERROR(MATCH($B1166,職員マスタ!$A$6:$A$405,0),"")))</f>
        <v/>
      </c>
      <c r="AO1166" s="16">
        <f>IF(OR($B1166="",$C1166="",$D1166=""),"",DATE($C1166+2018,$D1166,1))</f>
        <v/>
      </c>
    </row>
    <row r="1167">
      <c r="A1167" s="11" t="n"/>
      <c r="B1167" s="12" t="n"/>
      <c r="C1167" s="12" t="n"/>
      <c r="D1167" s="12" t="n"/>
      <c r="E1167" s="13" t="n"/>
      <c r="F1167" s="12" t="n"/>
      <c r="G1167" s="13" t="n"/>
      <c r="H1167" s="12" t="n"/>
      <c r="I1167" s="12" t="n"/>
      <c r="J1167" s="12" t="n"/>
      <c r="K1167" s="12" t="n"/>
      <c r="L1167" s="11" t="n"/>
      <c r="M1167" s="11" t="n"/>
      <c r="N1167" s="11" t="n"/>
      <c r="O1167" s="11" t="n"/>
      <c r="P1167" s="12" t="n"/>
      <c r="Q1167" s="11" t="n"/>
      <c r="R1167" s="12" t="n"/>
      <c r="S1167" s="11" t="n"/>
      <c r="T1167" s="12" t="n"/>
      <c r="U1167" s="12" t="n"/>
      <c r="V1167" s="14">
        <f>IF($AN1167="",IF($B1167="","",$H1167),IF(INDEX(職員マスタ!$B$6:$B$405,$AN1167)="",$H1167,INDEX(職員マスタ!$B$6:$B$405,$AN1167)))</f>
        <v/>
      </c>
      <c r="W1167" s="14">
        <f>IF($AN1167="",IF($B1167="","",$R1167),IF(INDEX(職員マスタ!$C$6:$C$405,$AN1167)="",$R1167,INDEX(職員マスタ!$C$6:$C$405,$AN1167)))</f>
        <v/>
      </c>
      <c r="X1167" s="14">
        <f>IF($AO1167="","","R"&amp;$C1167&amp;"."&amp;$D1167)</f>
        <v/>
      </c>
      <c r="Y1167" s="15">
        <f>IF($AN1167="","",IF(INDEX(職員マスタ!$K$6:$K$405,$AN1167)="","",INDEX(職員マスタ!$K$6:$K$405,$AN1167)))</f>
        <v/>
      </c>
      <c r="Z1167" s="14">
        <f>IF(OR($E1167="",$Y1167=""),"",IF($E1167&gt;=$Y1167,"×",IF($E1167&gt;=$Y1167*設定!$C$5,"△","○")))</f>
        <v/>
      </c>
      <c r="AA1167" s="15">
        <f>IF($Z1167="","",IF($Z1167="×",0,IF($Z1167="○",ROUNDDOWN($E1167*設定!$C$4,0),ROUNDDOWN($E1167*ROUND((9*$Y1167-9*$E1167)/(10*$E1167),4),0))))</f>
        <v/>
      </c>
      <c r="AB1167" s="13" t="n"/>
      <c r="AC1167" s="15">
        <f>IF($B1167="","",IF($AB1167&lt;&gt;"",$AB1167,IF($AA1167="","",IF($AA1167&lt;=設定!$C$3,0,$AA1167))))</f>
        <v/>
      </c>
      <c r="AD1167" s="14">
        <f>IF($B1167="","",IF(AND($AE1167&lt;&gt;"",$AG1167="",$AJ1167=""),"保留中",IF($AJ1167&lt;&gt;"",IF(N($AC1167)&gt;0,"支給済","不支給"),IF($AC1167="","要確認",IF($AC1167=0,"不支給","未処理")))))</f>
        <v/>
      </c>
      <c r="AE1167" s="12" t="n"/>
      <c r="AF1167" s="11" t="n"/>
      <c r="AG1167" s="11" t="n"/>
      <c r="AH1167" s="11" t="n"/>
      <c r="AI1167" s="14">
        <f>IF(AND($AD1167="保留中",$AF1167&lt;&gt;""),TODAY()-$AF1167,"")</f>
        <v/>
      </c>
      <c r="AJ1167" s="12" t="n"/>
      <c r="AK1167" s="14">
        <f>IF($B1167="","",IF($AO1167="","対象年月が未入力／","")&amp;IF($B1167="","",IF($AN1167="","職員マスタに未登録の職員番号／",IF($Y1167="","標準報酬月額が未登録／","")&amp;IF(AND($AO1167&lt;&gt;"",OR(AND(INDEX(職員マスタ!$G$6:$G$405,$AN1167)&lt;&gt;"",INDEX(職員マスタ!$G$6:$G$405,$AN1167)&gt;EOMONTH($AO1167,0)),AND(INDEX(職員マスタ!$H$6:$H$405,$AN1167)&lt;&gt;"",INDEX(職員マスタ!$H$6:$H$405,$AN1167)&lt;$AO1167))),"対象月が時短期間外／","")&amp;IF(AND(INDEX(職員マスタ!$F$6:$F$405,$AN1167)&lt;&gt;"",$AO1167&lt;&gt;"",INDEX(職員マスタ!$F$6:$F$405,$AN1167)&lt;$AO1167),"対象月に子が2歳到達済／","")&amp;IF(AND($H1167&lt;&gt;"",INDEX(職員マスタ!$B$6:$B$405,$AN1167)&lt;&gt;"",SUBSTITUTE(SUBSTITUTE($H1167," ","")," ","")&lt;&gt;SUBSTITUTE(SUBSTITUTE(INDEX(職員マスタ!$B$6:$B$405,$AN1167)," ","")," ","")),"氏名がマスタと相違／","")&amp;IF(AND($Q1167&lt;&gt;"",INDEX(職員マスタ!$E$6:$E$405,$AN1167)&lt;&gt;"",$Q1167&lt;&gt;INDEX(職員マスタ!$E$6:$E$405,$AN1167)),"子の生年月日がマスタと相違／","")&amp;IF(AND($L1167&lt;&gt;"",INDEX(職員マスタ!$G$6:$G$405,$AN1167)&lt;&gt;"",$L1167&lt;&gt;INDEX(職員マスタ!$G$6:$G$405,$AN1167)),"時短開始日がマスタと相違／","")&amp;IF(AND($M1167&lt;&gt;"",INDEX(職員マスタ!$H$6:$H$405,$AN1167)&lt;&gt;"",$M1167&lt;&gt;INDEX(職員マスタ!$H$6:$H$405,$AN1167)),"時短終了日がマスタと相違／","")))&amp;IF(AND($B1167&lt;&gt;"",$E1167=""),"報酬額が未入力／","")&amp;IF(N($U1167)&gt;0,"申請書に入力エラーが残っています／","")&amp;IF(AND($B1167&lt;&gt;"",$AO1167&lt;&gt;""),IF(COUNTIFS($B$6:$B$3005,$B1167,$C$6:$C$3005,$C1167,$D$6:$D$3005,$D1167)&gt;1,"同じ月の請求が重複しています／",""),"")&amp;IF(AND(N($E1167)&gt;0,$Z1167&lt;&gt;"",$Z1167&lt;&gt;"×",$AC1167=0,$AB1167=""),"計算額が下限以下のため不支給／",""))</f>
        <v/>
      </c>
      <c r="AL1167" s="12" t="n"/>
      <c r="AM1167" s="14">
        <f>IF($AD1167="保留中",COUNTIF($AD$6:$AD1167,"保留中"),"")</f>
        <v/>
      </c>
      <c r="AN1167" s="14">
        <f>IF($AO1167="","",IF(SUMPRODUCT(MAX((職員マスタ!$A$6:$A$405=$B1167)*(((職員マスタ!$G$6:$G$405="")+(職員マスタ!$G$6:$G$405&lt;=EOMONTH($AO1167,0)))&gt;0)*(((職員マスタ!$H$6:$H$405="")+(職員マスタ!$H$6:$H$405&gt;=$AO1167))&gt;0)*(ROW(職員マスタ!$A$6:$A$405)-5)))&gt;0,SUMPRODUCT(MAX((職員マスタ!$A$6:$A$405=$B1167)*(((職員マスタ!$G$6:$G$405="")+(職員マスタ!$G$6:$G$405&lt;=EOMONTH($AO1167,0)))&gt;0)*(((職員マスタ!$H$6:$H$405="")+(職員マスタ!$H$6:$H$405&gt;=$AO1167))&gt;0)*(ROW(職員マスタ!$A$6:$A$405)-5))),IFERROR(MATCH($B1167,職員マスタ!$A$6:$A$405,0),"")))</f>
        <v/>
      </c>
      <c r="AO1167" s="16">
        <f>IF(OR($B1167="",$C1167="",$D1167=""),"",DATE($C1167+2018,$D1167,1))</f>
        <v/>
      </c>
    </row>
    <row r="1168">
      <c r="A1168" s="11" t="n"/>
      <c r="B1168" s="12" t="n"/>
      <c r="C1168" s="12" t="n"/>
      <c r="D1168" s="12" t="n"/>
      <c r="E1168" s="13" t="n"/>
      <c r="F1168" s="12" t="n"/>
      <c r="G1168" s="13" t="n"/>
      <c r="H1168" s="12" t="n"/>
      <c r="I1168" s="12" t="n"/>
      <c r="J1168" s="12" t="n"/>
      <c r="K1168" s="12" t="n"/>
      <c r="L1168" s="11" t="n"/>
      <c r="M1168" s="11" t="n"/>
      <c r="N1168" s="11" t="n"/>
      <c r="O1168" s="11" t="n"/>
      <c r="P1168" s="12" t="n"/>
      <c r="Q1168" s="11" t="n"/>
      <c r="R1168" s="12" t="n"/>
      <c r="S1168" s="11" t="n"/>
      <c r="T1168" s="12" t="n"/>
      <c r="U1168" s="12" t="n"/>
      <c r="V1168" s="14">
        <f>IF($AN1168="",IF($B1168="","",$H1168),IF(INDEX(職員マスタ!$B$6:$B$405,$AN1168)="",$H1168,INDEX(職員マスタ!$B$6:$B$405,$AN1168)))</f>
        <v/>
      </c>
      <c r="W1168" s="14">
        <f>IF($AN1168="",IF($B1168="","",$R1168),IF(INDEX(職員マスタ!$C$6:$C$405,$AN1168)="",$R1168,INDEX(職員マスタ!$C$6:$C$405,$AN1168)))</f>
        <v/>
      </c>
      <c r="X1168" s="14">
        <f>IF($AO1168="","","R"&amp;$C1168&amp;"."&amp;$D1168)</f>
        <v/>
      </c>
      <c r="Y1168" s="15">
        <f>IF($AN1168="","",IF(INDEX(職員マスタ!$K$6:$K$405,$AN1168)="","",INDEX(職員マスタ!$K$6:$K$405,$AN1168)))</f>
        <v/>
      </c>
      <c r="Z1168" s="14">
        <f>IF(OR($E1168="",$Y1168=""),"",IF($E1168&gt;=$Y1168,"×",IF($E1168&gt;=$Y1168*設定!$C$5,"△","○")))</f>
        <v/>
      </c>
      <c r="AA1168" s="15">
        <f>IF($Z1168="","",IF($Z1168="×",0,IF($Z1168="○",ROUNDDOWN($E1168*設定!$C$4,0),ROUNDDOWN($E1168*ROUND((9*$Y1168-9*$E1168)/(10*$E1168),4),0))))</f>
        <v/>
      </c>
      <c r="AB1168" s="13" t="n"/>
      <c r="AC1168" s="15">
        <f>IF($B1168="","",IF($AB1168&lt;&gt;"",$AB1168,IF($AA1168="","",IF($AA1168&lt;=設定!$C$3,0,$AA1168))))</f>
        <v/>
      </c>
      <c r="AD1168" s="14">
        <f>IF($B1168="","",IF(AND($AE1168&lt;&gt;"",$AG1168="",$AJ1168=""),"保留中",IF($AJ1168&lt;&gt;"",IF(N($AC1168)&gt;0,"支給済","不支給"),IF($AC1168="","要確認",IF($AC1168=0,"不支給","未処理")))))</f>
        <v/>
      </c>
      <c r="AE1168" s="12" t="n"/>
      <c r="AF1168" s="11" t="n"/>
      <c r="AG1168" s="11" t="n"/>
      <c r="AH1168" s="11" t="n"/>
      <c r="AI1168" s="14">
        <f>IF(AND($AD1168="保留中",$AF1168&lt;&gt;""),TODAY()-$AF1168,"")</f>
        <v/>
      </c>
      <c r="AJ1168" s="12" t="n"/>
      <c r="AK1168" s="14">
        <f>IF($B1168="","",IF($AO1168="","対象年月が未入力／","")&amp;IF($B1168="","",IF($AN1168="","職員マスタに未登録の職員番号／",IF($Y1168="","標準報酬月額が未登録／","")&amp;IF(AND($AO1168&lt;&gt;"",OR(AND(INDEX(職員マスタ!$G$6:$G$405,$AN1168)&lt;&gt;"",INDEX(職員マスタ!$G$6:$G$405,$AN1168)&gt;EOMONTH($AO1168,0)),AND(INDEX(職員マスタ!$H$6:$H$405,$AN1168)&lt;&gt;"",INDEX(職員マスタ!$H$6:$H$405,$AN1168)&lt;$AO1168))),"対象月が時短期間外／","")&amp;IF(AND(INDEX(職員マスタ!$F$6:$F$405,$AN1168)&lt;&gt;"",$AO1168&lt;&gt;"",INDEX(職員マスタ!$F$6:$F$405,$AN1168)&lt;$AO1168),"対象月に子が2歳到達済／","")&amp;IF(AND($H1168&lt;&gt;"",INDEX(職員マスタ!$B$6:$B$405,$AN1168)&lt;&gt;"",SUBSTITUTE(SUBSTITUTE($H1168," ","")," ","")&lt;&gt;SUBSTITUTE(SUBSTITUTE(INDEX(職員マスタ!$B$6:$B$405,$AN1168)," ","")," ","")),"氏名がマスタと相違／","")&amp;IF(AND($Q1168&lt;&gt;"",INDEX(職員マスタ!$E$6:$E$405,$AN1168)&lt;&gt;"",$Q1168&lt;&gt;INDEX(職員マスタ!$E$6:$E$405,$AN1168)),"子の生年月日がマスタと相違／","")&amp;IF(AND($L1168&lt;&gt;"",INDEX(職員マスタ!$G$6:$G$405,$AN1168)&lt;&gt;"",$L1168&lt;&gt;INDEX(職員マスタ!$G$6:$G$405,$AN1168)),"時短開始日がマスタと相違／","")&amp;IF(AND($M1168&lt;&gt;"",INDEX(職員マスタ!$H$6:$H$405,$AN1168)&lt;&gt;"",$M1168&lt;&gt;INDEX(職員マスタ!$H$6:$H$405,$AN1168)),"時短終了日がマスタと相違／","")))&amp;IF(AND($B1168&lt;&gt;"",$E1168=""),"報酬額が未入力／","")&amp;IF(N($U1168)&gt;0,"申請書に入力エラーが残っています／","")&amp;IF(AND($B1168&lt;&gt;"",$AO1168&lt;&gt;""),IF(COUNTIFS($B$6:$B$3005,$B1168,$C$6:$C$3005,$C1168,$D$6:$D$3005,$D1168)&gt;1,"同じ月の請求が重複しています／",""),"")&amp;IF(AND(N($E1168)&gt;0,$Z1168&lt;&gt;"",$Z1168&lt;&gt;"×",$AC1168=0,$AB1168=""),"計算額が下限以下のため不支給／",""))</f>
        <v/>
      </c>
      <c r="AL1168" s="12" t="n"/>
      <c r="AM1168" s="14">
        <f>IF($AD1168="保留中",COUNTIF($AD$6:$AD1168,"保留中"),"")</f>
        <v/>
      </c>
      <c r="AN1168" s="14">
        <f>IF($AO1168="","",IF(SUMPRODUCT(MAX((職員マスタ!$A$6:$A$405=$B1168)*(((職員マスタ!$G$6:$G$405="")+(職員マスタ!$G$6:$G$405&lt;=EOMONTH($AO1168,0)))&gt;0)*(((職員マスタ!$H$6:$H$405="")+(職員マスタ!$H$6:$H$405&gt;=$AO1168))&gt;0)*(ROW(職員マスタ!$A$6:$A$405)-5)))&gt;0,SUMPRODUCT(MAX((職員マスタ!$A$6:$A$405=$B1168)*(((職員マスタ!$G$6:$G$405="")+(職員マスタ!$G$6:$G$405&lt;=EOMONTH($AO1168,0)))&gt;0)*(((職員マスタ!$H$6:$H$405="")+(職員マスタ!$H$6:$H$405&gt;=$AO1168))&gt;0)*(ROW(職員マスタ!$A$6:$A$405)-5))),IFERROR(MATCH($B1168,職員マスタ!$A$6:$A$405,0),"")))</f>
        <v/>
      </c>
      <c r="AO1168" s="16">
        <f>IF(OR($B1168="",$C1168="",$D1168=""),"",DATE($C1168+2018,$D1168,1))</f>
        <v/>
      </c>
    </row>
    <row r="1169">
      <c r="A1169" s="11" t="n"/>
      <c r="B1169" s="12" t="n"/>
      <c r="C1169" s="12" t="n"/>
      <c r="D1169" s="12" t="n"/>
      <c r="E1169" s="13" t="n"/>
      <c r="F1169" s="12" t="n"/>
      <c r="G1169" s="13" t="n"/>
      <c r="H1169" s="12" t="n"/>
      <c r="I1169" s="12" t="n"/>
      <c r="J1169" s="12" t="n"/>
      <c r="K1169" s="12" t="n"/>
      <c r="L1169" s="11" t="n"/>
      <c r="M1169" s="11" t="n"/>
      <c r="N1169" s="11" t="n"/>
      <c r="O1169" s="11" t="n"/>
      <c r="P1169" s="12" t="n"/>
      <c r="Q1169" s="11" t="n"/>
      <c r="R1169" s="12" t="n"/>
      <c r="S1169" s="11" t="n"/>
      <c r="T1169" s="12" t="n"/>
      <c r="U1169" s="12" t="n"/>
      <c r="V1169" s="14">
        <f>IF($AN1169="",IF($B1169="","",$H1169),IF(INDEX(職員マスタ!$B$6:$B$405,$AN1169)="",$H1169,INDEX(職員マスタ!$B$6:$B$405,$AN1169)))</f>
        <v/>
      </c>
      <c r="W1169" s="14">
        <f>IF($AN1169="",IF($B1169="","",$R1169),IF(INDEX(職員マスタ!$C$6:$C$405,$AN1169)="",$R1169,INDEX(職員マスタ!$C$6:$C$405,$AN1169)))</f>
        <v/>
      </c>
      <c r="X1169" s="14">
        <f>IF($AO1169="","","R"&amp;$C1169&amp;"."&amp;$D1169)</f>
        <v/>
      </c>
      <c r="Y1169" s="15">
        <f>IF($AN1169="","",IF(INDEX(職員マスタ!$K$6:$K$405,$AN1169)="","",INDEX(職員マスタ!$K$6:$K$405,$AN1169)))</f>
        <v/>
      </c>
      <c r="Z1169" s="14">
        <f>IF(OR($E1169="",$Y1169=""),"",IF($E1169&gt;=$Y1169,"×",IF($E1169&gt;=$Y1169*設定!$C$5,"△","○")))</f>
        <v/>
      </c>
      <c r="AA1169" s="15">
        <f>IF($Z1169="","",IF($Z1169="×",0,IF($Z1169="○",ROUNDDOWN($E1169*設定!$C$4,0),ROUNDDOWN($E1169*ROUND((9*$Y1169-9*$E1169)/(10*$E1169),4),0))))</f>
        <v/>
      </c>
      <c r="AB1169" s="13" t="n"/>
      <c r="AC1169" s="15">
        <f>IF($B1169="","",IF($AB1169&lt;&gt;"",$AB1169,IF($AA1169="","",IF($AA1169&lt;=設定!$C$3,0,$AA1169))))</f>
        <v/>
      </c>
      <c r="AD1169" s="14">
        <f>IF($B1169="","",IF(AND($AE1169&lt;&gt;"",$AG1169="",$AJ1169=""),"保留中",IF($AJ1169&lt;&gt;"",IF(N($AC1169)&gt;0,"支給済","不支給"),IF($AC1169="","要確認",IF($AC1169=0,"不支給","未処理")))))</f>
        <v/>
      </c>
      <c r="AE1169" s="12" t="n"/>
      <c r="AF1169" s="11" t="n"/>
      <c r="AG1169" s="11" t="n"/>
      <c r="AH1169" s="11" t="n"/>
      <c r="AI1169" s="14">
        <f>IF(AND($AD1169="保留中",$AF1169&lt;&gt;""),TODAY()-$AF1169,"")</f>
        <v/>
      </c>
      <c r="AJ1169" s="12" t="n"/>
      <c r="AK1169" s="14">
        <f>IF($B1169="","",IF($AO1169="","対象年月が未入力／","")&amp;IF($B1169="","",IF($AN1169="","職員マスタに未登録の職員番号／",IF($Y1169="","標準報酬月額が未登録／","")&amp;IF(AND($AO1169&lt;&gt;"",OR(AND(INDEX(職員マスタ!$G$6:$G$405,$AN1169)&lt;&gt;"",INDEX(職員マスタ!$G$6:$G$405,$AN1169)&gt;EOMONTH($AO1169,0)),AND(INDEX(職員マスタ!$H$6:$H$405,$AN1169)&lt;&gt;"",INDEX(職員マスタ!$H$6:$H$405,$AN1169)&lt;$AO1169))),"対象月が時短期間外／","")&amp;IF(AND(INDEX(職員マスタ!$F$6:$F$405,$AN1169)&lt;&gt;"",$AO1169&lt;&gt;"",INDEX(職員マスタ!$F$6:$F$405,$AN1169)&lt;$AO1169),"対象月に子が2歳到達済／","")&amp;IF(AND($H1169&lt;&gt;"",INDEX(職員マスタ!$B$6:$B$405,$AN1169)&lt;&gt;"",SUBSTITUTE(SUBSTITUTE($H1169," ","")," ","")&lt;&gt;SUBSTITUTE(SUBSTITUTE(INDEX(職員マスタ!$B$6:$B$405,$AN1169)," ","")," ","")),"氏名がマスタと相違／","")&amp;IF(AND($Q1169&lt;&gt;"",INDEX(職員マスタ!$E$6:$E$405,$AN1169)&lt;&gt;"",$Q1169&lt;&gt;INDEX(職員マスタ!$E$6:$E$405,$AN1169)),"子の生年月日がマスタと相違／","")&amp;IF(AND($L1169&lt;&gt;"",INDEX(職員マスタ!$G$6:$G$405,$AN1169)&lt;&gt;"",$L1169&lt;&gt;INDEX(職員マスタ!$G$6:$G$405,$AN1169)),"時短開始日がマスタと相違／","")&amp;IF(AND($M1169&lt;&gt;"",INDEX(職員マスタ!$H$6:$H$405,$AN1169)&lt;&gt;"",$M1169&lt;&gt;INDEX(職員マスタ!$H$6:$H$405,$AN1169)),"時短終了日がマスタと相違／","")))&amp;IF(AND($B1169&lt;&gt;"",$E1169=""),"報酬額が未入力／","")&amp;IF(N($U1169)&gt;0,"申請書に入力エラーが残っています／","")&amp;IF(AND($B1169&lt;&gt;"",$AO1169&lt;&gt;""),IF(COUNTIFS($B$6:$B$3005,$B1169,$C$6:$C$3005,$C1169,$D$6:$D$3005,$D1169)&gt;1,"同じ月の請求が重複しています／",""),"")&amp;IF(AND(N($E1169)&gt;0,$Z1169&lt;&gt;"",$Z1169&lt;&gt;"×",$AC1169=0,$AB1169=""),"計算額が下限以下のため不支給／",""))</f>
        <v/>
      </c>
      <c r="AL1169" s="12" t="n"/>
      <c r="AM1169" s="14">
        <f>IF($AD1169="保留中",COUNTIF($AD$6:$AD1169,"保留中"),"")</f>
        <v/>
      </c>
      <c r="AN1169" s="14">
        <f>IF($AO1169="","",IF(SUMPRODUCT(MAX((職員マスタ!$A$6:$A$405=$B1169)*(((職員マスタ!$G$6:$G$405="")+(職員マスタ!$G$6:$G$405&lt;=EOMONTH($AO1169,0)))&gt;0)*(((職員マスタ!$H$6:$H$405="")+(職員マスタ!$H$6:$H$405&gt;=$AO1169))&gt;0)*(ROW(職員マスタ!$A$6:$A$405)-5)))&gt;0,SUMPRODUCT(MAX((職員マスタ!$A$6:$A$405=$B1169)*(((職員マスタ!$G$6:$G$405="")+(職員マスタ!$G$6:$G$405&lt;=EOMONTH($AO1169,0)))&gt;0)*(((職員マスタ!$H$6:$H$405="")+(職員マスタ!$H$6:$H$405&gt;=$AO1169))&gt;0)*(ROW(職員マスタ!$A$6:$A$405)-5))),IFERROR(MATCH($B1169,職員マスタ!$A$6:$A$405,0),"")))</f>
        <v/>
      </c>
      <c r="AO1169" s="16">
        <f>IF(OR($B1169="",$C1169="",$D1169=""),"",DATE($C1169+2018,$D1169,1))</f>
        <v/>
      </c>
    </row>
    <row r="1170">
      <c r="A1170" s="11" t="n"/>
      <c r="B1170" s="12" t="n"/>
      <c r="C1170" s="12" t="n"/>
      <c r="D1170" s="12" t="n"/>
      <c r="E1170" s="13" t="n"/>
      <c r="F1170" s="12" t="n"/>
      <c r="G1170" s="13" t="n"/>
      <c r="H1170" s="12" t="n"/>
      <c r="I1170" s="12" t="n"/>
      <c r="J1170" s="12" t="n"/>
      <c r="K1170" s="12" t="n"/>
      <c r="L1170" s="11" t="n"/>
      <c r="M1170" s="11" t="n"/>
      <c r="N1170" s="11" t="n"/>
      <c r="O1170" s="11" t="n"/>
      <c r="P1170" s="12" t="n"/>
      <c r="Q1170" s="11" t="n"/>
      <c r="R1170" s="12" t="n"/>
      <c r="S1170" s="11" t="n"/>
      <c r="T1170" s="12" t="n"/>
      <c r="U1170" s="12" t="n"/>
      <c r="V1170" s="14">
        <f>IF($AN1170="",IF($B1170="","",$H1170),IF(INDEX(職員マスタ!$B$6:$B$405,$AN1170)="",$H1170,INDEX(職員マスタ!$B$6:$B$405,$AN1170)))</f>
        <v/>
      </c>
      <c r="W1170" s="14">
        <f>IF($AN1170="",IF($B1170="","",$R1170),IF(INDEX(職員マスタ!$C$6:$C$405,$AN1170)="",$R1170,INDEX(職員マスタ!$C$6:$C$405,$AN1170)))</f>
        <v/>
      </c>
      <c r="X1170" s="14">
        <f>IF($AO1170="","","R"&amp;$C1170&amp;"."&amp;$D1170)</f>
        <v/>
      </c>
      <c r="Y1170" s="15">
        <f>IF($AN1170="","",IF(INDEX(職員マスタ!$K$6:$K$405,$AN1170)="","",INDEX(職員マスタ!$K$6:$K$405,$AN1170)))</f>
        <v/>
      </c>
      <c r="Z1170" s="14">
        <f>IF(OR($E1170="",$Y1170=""),"",IF($E1170&gt;=$Y1170,"×",IF($E1170&gt;=$Y1170*設定!$C$5,"△","○")))</f>
        <v/>
      </c>
      <c r="AA1170" s="15">
        <f>IF($Z1170="","",IF($Z1170="×",0,IF($Z1170="○",ROUNDDOWN($E1170*設定!$C$4,0),ROUNDDOWN($E1170*ROUND((9*$Y1170-9*$E1170)/(10*$E1170),4),0))))</f>
        <v/>
      </c>
      <c r="AB1170" s="13" t="n"/>
      <c r="AC1170" s="15">
        <f>IF($B1170="","",IF($AB1170&lt;&gt;"",$AB1170,IF($AA1170="","",IF($AA1170&lt;=設定!$C$3,0,$AA1170))))</f>
        <v/>
      </c>
      <c r="AD1170" s="14">
        <f>IF($B1170="","",IF(AND($AE1170&lt;&gt;"",$AG1170="",$AJ1170=""),"保留中",IF($AJ1170&lt;&gt;"",IF(N($AC1170)&gt;0,"支給済","不支給"),IF($AC1170="","要確認",IF($AC1170=0,"不支給","未処理")))))</f>
        <v/>
      </c>
      <c r="AE1170" s="12" t="n"/>
      <c r="AF1170" s="11" t="n"/>
      <c r="AG1170" s="11" t="n"/>
      <c r="AH1170" s="11" t="n"/>
      <c r="AI1170" s="14">
        <f>IF(AND($AD1170="保留中",$AF1170&lt;&gt;""),TODAY()-$AF1170,"")</f>
        <v/>
      </c>
      <c r="AJ1170" s="12" t="n"/>
      <c r="AK1170" s="14">
        <f>IF($B1170="","",IF($AO1170="","対象年月が未入力／","")&amp;IF($B1170="","",IF($AN1170="","職員マスタに未登録の職員番号／",IF($Y1170="","標準報酬月額が未登録／","")&amp;IF(AND($AO1170&lt;&gt;"",OR(AND(INDEX(職員マスタ!$G$6:$G$405,$AN1170)&lt;&gt;"",INDEX(職員マスタ!$G$6:$G$405,$AN1170)&gt;EOMONTH($AO1170,0)),AND(INDEX(職員マスタ!$H$6:$H$405,$AN1170)&lt;&gt;"",INDEX(職員マスタ!$H$6:$H$405,$AN1170)&lt;$AO1170))),"対象月が時短期間外／","")&amp;IF(AND(INDEX(職員マスタ!$F$6:$F$405,$AN1170)&lt;&gt;"",$AO1170&lt;&gt;"",INDEX(職員マスタ!$F$6:$F$405,$AN1170)&lt;$AO1170),"対象月に子が2歳到達済／","")&amp;IF(AND($H1170&lt;&gt;"",INDEX(職員マスタ!$B$6:$B$405,$AN1170)&lt;&gt;"",SUBSTITUTE(SUBSTITUTE($H1170," ","")," ","")&lt;&gt;SUBSTITUTE(SUBSTITUTE(INDEX(職員マスタ!$B$6:$B$405,$AN1170)," ","")," ","")),"氏名がマスタと相違／","")&amp;IF(AND($Q1170&lt;&gt;"",INDEX(職員マスタ!$E$6:$E$405,$AN1170)&lt;&gt;"",$Q1170&lt;&gt;INDEX(職員マスタ!$E$6:$E$405,$AN1170)),"子の生年月日がマスタと相違／","")&amp;IF(AND($L1170&lt;&gt;"",INDEX(職員マスタ!$G$6:$G$405,$AN1170)&lt;&gt;"",$L1170&lt;&gt;INDEX(職員マスタ!$G$6:$G$405,$AN1170)),"時短開始日がマスタと相違／","")&amp;IF(AND($M1170&lt;&gt;"",INDEX(職員マスタ!$H$6:$H$405,$AN1170)&lt;&gt;"",$M1170&lt;&gt;INDEX(職員マスタ!$H$6:$H$405,$AN1170)),"時短終了日がマスタと相違／","")))&amp;IF(AND($B1170&lt;&gt;"",$E1170=""),"報酬額が未入力／","")&amp;IF(N($U1170)&gt;0,"申請書に入力エラーが残っています／","")&amp;IF(AND($B1170&lt;&gt;"",$AO1170&lt;&gt;""),IF(COUNTIFS($B$6:$B$3005,$B1170,$C$6:$C$3005,$C1170,$D$6:$D$3005,$D1170)&gt;1,"同じ月の請求が重複しています／",""),"")&amp;IF(AND(N($E1170)&gt;0,$Z1170&lt;&gt;"",$Z1170&lt;&gt;"×",$AC1170=0,$AB1170=""),"計算額が下限以下のため不支給／",""))</f>
        <v/>
      </c>
      <c r="AL1170" s="12" t="n"/>
      <c r="AM1170" s="14">
        <f>IF($AD1170="保留中",COUNTIF($AD$6:$AD1170,"保留中"),"")</f>
        <v/>
      </c>
      <c r="AN1170" s="14">
        <f>IF($AO1170="","",IF(SUMPRODUCT(MAX((職員マスタ!$A$6:$A$405=$B1170)*(((職員マスタ!$G$6:$G$405="")+(職員マスタ!$G$6:$G$405&lt;=EOMONTH($AO1170,0)))&gt;0)*(((職員マスタ!$H$6:$H$405="")+(職員マスタ!$H$6:$H$405&gt;=$AO1170))&gt;0)*(ROW(職員マスタ!$A$6:$A$405)-5)))&gt;0,SUMPRODUCT(MAX((職員マスタ!$A$6:$A$405=$B1170)*(((職員マスタ!$G$6:$G$405="")+(職員マスタ!$G$6:$G$405&lt;=EOMONTH($AO1170,0)))&gt;0)*(((職員マスタ!$H$6:$H$405="")+(職員マスタ!$H$6:$H$405&gt;=$AO1170))&gt;0)*(ROW(職員マスタ!$A$6:$A$405)-5))),IFERROR(MATCH($B1170,職員マスタ!$A$6:$A$405,0),"")))</f>
        <v/>
      </c>
      <c r="AO1170" s="16">
        <f>IF(OR($B1170="",$C1170="",$D1170=""),"",DATE($C1170+2018,$D1170,1))</f>
        <v/>
      </c>
    </row>
    <row r="1171">
      <c r="A1171" s="11" t="n"/>
      <c r="B1171" s="12" t="n"/>
      <c r="C1171" s="12" t="n"/>
      <c r="D1171" s="12" t="n"/>
      <c r="E1171" s="13" t="n"/>
      <c r="F1171" s="12" t="n"/>
      <c r="G1171" s="13" t="n"/>
      <c r="H1171" s="12" t="n"/>
      <c r="I1171" s="12" t="n"/>
      <c r="J1171" s="12" t="n"/>
      <c r="K1171" s="12" t="n"/>
      <c r="L1171" s="11" t="n"/>
      <c r="M1171" s="11" t="n"/>
      <c r="N1171" s="11" t="n"/>
      <c r="O1171" s="11" t="n"/>
      <c r="P1171" s="12" t="n"/>
      <c r="Q1171" s="11" t="n"/>
      <c r="R1171" s="12" t="n"/>
      <c r="S1171" s="11" t="n"/>
      <c r="T1171" s="12" t="n"/>
      <c r="U1171" s="12" t="n"/>
      <c r="V1171" s="14">
        <f>IF($AN1171="",IF($B1171="","",$H1171),IF(INDEX(職員マスタ!$B$6:$B$405,$AN1171)="",$H1171,INDEX(職員マスタ!$B$6:$B$405,$AN1171)))</f>
        <v/>
      </c>
      <c r="W1171" s="14">
        <f>IF($AN1171="",IF($B1171="","",$R1171),IF(INDEX(職員マスタ!$C$6:$C$405,$AN1171)="",$R1171,INDEX(職員マスタ!$C$6:$C$405,$AN1171)))</f>
        <v/>
      </c>
      <c r="X1171" s="14">
        <f>IF($AO1171="","","R"&amp;$C1171&amp;"."&amp;$D1171)</f>
        <v/>
      </c>
      <c r="Y1171" s="15">
        <f>IF($AN1171="","",IF(INDEX(職員マスタ!$K$6:$K$405,$AN1171)="","",INDEX(職員マスタ!$K$6:$K$405,$AN1171)))</f>
        <v/>
      </c>
      <c r="Z1171" s="14">
        <f>IF(OR($E1171="",$Y1171=""),"",IF($E1171&gt;=$Y1171,"×",IF($E1171&gt;=$Y1171*設定!$C$5,"△","○")))</f>
        <v/>
      </c>
      <c r="AA1171" s="15">
        <f>IF($Z1171="","",IF($Z1171="×",0,IF($Z1171="○",ROUNDDOWN($E1171*設定!$C$4,0),ROUNDDOWN($E1171*ROUND((9*$Y1171-9*$E1171)/(10*$E1171),4),0))))</f>
        <v/>
      </c>
      <c r="AB1171" s="13" t="n"/>
      <c r="AC1171" s="15">
        <f>IF($B1171="","",IF($AB1171&lt;&gt;"",$AB1171,IF($AA1171="","",IF($AA1171&lt;=設定!$C$3,0,$AA1171))))</f>
        <v/>
      </c>
      <c r="AD1171" s="14">
        <f>IF($B1171="","",IF(AND($AE1171&lt;&gt;"",$AG1171="",$AJ1171=""),"保留中",IF($AJ1171&lt;&gt;"",IF(N($AC1171)&gt;0,"支給済","不支給"),IF($AC1171="","要確認",IF($AC1171=0,"不支給","未処理")))))</f>
        <v/>
      </c>
      <c r="AE1171" s="12" t="n"/>
      <c r="AF1171" s="11" t="n"/>
      <c r="AG1171" s="11" t="n"/>
      <c r="AH1171" s="11" t="n"/>
      <c r="AI1171" s="14">
        <f>IF(AND($AD1171="保留中",$AF1171&lt;&gt;""),TODAY()-$AF1171,"")</f>
        <v/>
      </c>
      <c r="AJ1171" s="12" t="n"/>
      <c r="AK1171" s="14">
        <f>IF($B1171="","",IF($AO1171="","対象年月が未入力／","")&amp;IF($B1171="","",IF($AN1171="","職員マスタに未登録の職員番号／",IF($Y1171="","標準報酬月額が未登録／","")&amp;IF(AND($AO1171&lt;&gt;"",OR(AND(INDEX(職員マスタ!$G$6:$G$405,$AN1171)&lt;&gt;"",INDEX(職員マスタ!$G$6:$G$405,$AN1171)&gt;EOMONTH($AO1171,0)),AND(INDEX(職員マスタ!$H$6:$H$405,$AN1171)&lt;&gt;"",INDEX(職員マスタ!$H$6:$H$405,$AN1171)&lt;$AO1171))),"対象月が時短期間外／","")&amp;IF(AND(INDEX(職員マスタ!$F$6:$F$405,$AN1171)&lt;&gt;"",$AO1171&lt;&gt;"",INDEX(職員マスタ!$F$6:$F$405,$AN1171)&lt;$AO1171),"対象月に子が2歳到達済／","")&amp;IF(AND($H1171&lt;&gt;"",INDEX(職員マスタ!$B$6:$B$405,$AN1171)&lt;&gt;"",SUBSTITUTE(SUBSTITUTE($H1171," ","")," ","")&lt;&gt;SUBSTITUTE(SUBSTITUTE(INDEX(職員マスタ!$B$6:$B$405,$AN1171)," ","")," ","")),"氏名がマスタと相違／","")&amp;IF(AND($Q1171&lt;&gt;"",INDEX(職員マスタ!$E$6:$E$405,$AN1171)&lt;&gt;"",$Q1171&lt;&gt;INDEX(職員マスタ!$E$6:$E$405,$AN1171)),"子の生年月日がマスタと相違／","")&amp;IF(AND($L1171&lt;&gt;"",INDEX(職員マスタ!$G$6:$G$405,$AN1171)&lt;&gt;"",$L1171&lt;&gt;INDEX(職員マスタ!$G$6:$G$405,$AN1171)),"時短開始日がマスタと相違／","")&amp;IF(AND($M1171&lt;&gt;"",INDEX(職員マスタ!$H$6:$H$405,$AN1171)&lt;&gt;"",$M1171&lt;&gt;INDEX(職員マスタ!$H$6:$H$405,$AN1171)),"時短終了日がマスタと相違／","")))&amp;IF(AND($B1171&lt;&gt;"",$E1171=""),"報酬額が未入力／","")&amp;IF(N($U1171)&gt;0,"申請書に入力エラーが残っています／","")&amp;IF(AND($B1171&lt;&gt;"",$AO1171&lt;&gt;""),IF(COUNTIFS($B$6:$B$3005,$B1171,$C$6:$C$3005,$C1171,$D$6:$D$3005,$D1171)&gt;1,"同じ月の請求が重複しています／",""),"")&amp;IF(AND(N($E1171)&gt;0,$Z1171&lt;&gt;"",$Z1171&lt;&gt;"×",$AC1171=0,$AB1171=""),"計算額が下限以下のため不支給／",""))</f>
        <v/>
      </c>
      <c r="AL1171" s="12" t="n"/>
      <c r="AM1171" s="14">
        <f>IF($AD1171="保留中",COUNTIF($AD$6:$AD1171,"保留中"),"")</f>
        <v/>
      </c>
      <c r="AN1171" s="14">
        <f>IF($AO1171="","",IF(SUMPRODUCT(MAX((職員マスタ!$A$6:$A$405=$B1171)*(((職員マスタ!$G$6:$G$405="")+(職員マスタ!$G$6:$G$405&lt;=EOMONTH($AO1171,0)))&gt;0)*(((職員マスタ!$H$6:$H$405="")+(職員マスタ!$H$6:$H$405&gt;=$AO1171))&gt;0)*(ROW(職員マスタ!$A$6:$A$405)-5)))&gt;0,SUMPRODUCT(MAX((職員マスタ!$A$6:$A$405=$B1171)*(((職員マスタ!$G$6:$G$405="")+(職員マスタ!$G$6:$G$405&lt;=EOMONTH($AO1171,0)))&gt;0)*(((職員マスタ!$H$6:$H$405="")+(職員マスタ!$H$6:$H$405&gt;=$AO1171))&gt;0)*(ROW(職員マスタ!$A$6:$A$405)-5))),IFERROR(MATCH($B1171,職員マスタ!$A$6:$A$405,0),"")))</f>
        <v/>
      </c>
      <c r="AO1171" s="16">
        <f>IF(OR($B1171="",$C1171="",$D1171=""),"",DATE($C1171+2018,$D1171,1))</f>
        <v/>
      </c>
    </row>
    <row r="1172">
      <c r="A1172" s="11" t="n"/>
      <c r="B1172" s="12" t="n"/>
      <c r="C1172" s="12" t="n"/>
      <c r="D1172" s="12" t="n"/>
      <c r="E1172" s="13" t="n"/>
      <c r="F1172" s="12" t="n"/>
      <c r="G1172" s="13" t="n"/>
      <c r="H1172" s="12" t="n"/>
      <c r="I1172" s="12" t="n"/>
      <c r="J1172" s="12" t="n"/>
      <c r="K1172" s="12" t="n"/>
      <c r="L1172" s="11" t="n"/>
      <c r="M1172" s="11" t="n"/>
      <c r="N1172" s="11" t="n"/>
      <c r="O1172" s="11" t="n"/>
      <c r="P1172" s="12" t="n"/>
      <c r="Q1172" s="11" t="n"/>
      <c r="R1172" s="12" t="n"/>
      <c r="S1172" s="11" t="n"/>
      <c r="T1172" s="12" t="n"/>
      <c r="U1172" s="12" t="n"/>
      <c r="V1172" s="14">
        <f>IF($AN1172="",IF($B1172="","",$H1172),IF(INDEX(職員マスタ!$B$6:$B$405,$AN1172)="",$H1172,INDEX(職員マスタ!$B$6:$B$405,$AN1172)))</f>
        <v/>
      </c>
      <c r="W1172" s="14">
        <f>IF($AN1172="",IF($B1172="","",$R1172),IF(INDEX(職員マスタ!$C$6:$C$405,$AN1172)="",$R1172,INDEX(職員マスタ!$C$6:$C$405,$AN1172)))</f>
        <v/>
      </c>
      <c r="X1172" s="14">
        <f>IF($AO1172="","","R"&amp;$C1172&amp;"."&amp;$D1172)</f>
        <v/>
      </c>
      <c r="Y1172" s="15">
        <f>IF($AN1172="","",IF(INDEX(職員マスタ!$K$6:$K$405,$AN1172)="","",INDEX(職員マスタ!$K$6:$K$405,$AN1172)))</f>
        <v/>
      </c>
      <c r="Z1172" s="14">
        <f>IF(OR($E1172="",$Y1172=""),"",IF($E1172&gt;=$Y1172,"×",IF($E1172&gt;=$Y1172*設定!$C$5,"△","○")))</f>
        <v/>
      </c>
      <c r="AA1172" s="15">
        <f>IF($Z1172="","",IF($Z1172="×",0,IF($Z1172="○",ROUNDDOWN($E1172*設定!$C$4,0),ROUNDDOWN($E1172*ROUND((9*$Y1172-9*$E1172)/(10*$E1172),4),0))))</f>
        <v/>
      </c>
      <c r="AB1172" s="13" t="n"/>
      <c r="AC1172" s="15">
        <f>IF($B1172="","",IF($AB1172&lt;&gt;"",$AB1172,IF($AA1172="","",IF($AA1172&lt;=設定!$C$3,0,$AA1172))))</f>
        <v/>
      </c>
      <c r="AD1172" s="14">
        <f>IF($B1172="","",IF(AND($AE1172&lt;&gt;"",$AG1172="",$AJ1172=""),"保留中",IF($AJ1172&lt;&gt;"",IF(N($AC1172)&gt;0,"支給済","不支給"),IF($AC1172="","要確認",IF($AC1172=0,"不支給","未処理")))))</f>
        <v/>
      </c>
      <c r="AE1172" s="12" t="n"/>
      <c r="AF1172" s="11" t="n"/>
      <c r="AG1172" s="11" t="n"/>
      <c r="AH1172" s="11" t="n"/>
      <c r="AI1172" s="14">
        <f>IF(AND($AD1172="保留中",$AF1172&lt;&gt;""),TODAY()-$AF1172,"")</f>
        <v/>
      </c>
      <c r="AJ1172" s="12" t="n"/>
      <c r="AK1172" s="14">
        <f>IF($B1172="","",IF($AO1172="","対象年月が未入力／","")&amp;IF($B1172="","",IF($AN1172="","職員マスタに未登録の職員番号／",IF($Y1172="","標準報酬月額が未登録／","")&amp;IF(AND($AO1172&lt;&gt;"",OR(AND(INDEX(職員マスタ!$G$6:$G$405,$AN1172)&lt;&gt;"",INDEX(職員マスタ!$G$6:$G$405,$AN1172)&gt;EOMONTH($AO1172,0)),AND(INDEX(職員マスタ!$H$6:$H$405,$AN1172)&lt;&gt;"",INDEX(職員マスタ!$H$6:$H$405,$AN1172)&lt;$AO1172))),"対象月が時短期間外／","")&amp;IF(AND(INDEX(職員マスタ!$F$6:$F$405,$AN1172)&lt;&gt;"",$AO1172&lt;&gt;"",INDEX(職員マスタ!$F$6:$F$405,$AN1172)&lt;$AO1172),"対象月に子が2歳到達済／","")&amp;IF(AND($H1172&lt;&gt;"",INDEX(職員マスタ!$B$6:$B$405,$AN1172)&lt;&gt;"",SUBSTITUTE(SUBSTITUTE($H1172," ","")," ","")&lt;&gt;SUBSTITUTE(SUBSTITUTE(INDEX(職員マスタ!$B$6:$B$405,$AN1172)," ","")," ","")),"氏名がマスタと相違／","")&amp;IF(AND($Q1172&lt;&gt;"",INDEX(職員マスタ!$E$6:$E$405,$AN1172)&lt;&gt;"",$Q1172&lt;&gt;INDEX(職員マスタ!$E$6:$E$405,$AN1172)),"子の生年月日がマスタと相違／","")&amp;IF(AND($L1172&lt;&gt;"",INDEX(職員マスタ!$G$6:$G$405,$AN1172)&lt;&gt;"",$L1172&lt;&gt;INDEX(職員マスタ!$G$6:$G$405,$AN1172)),"時短開始日がマスタと相違／","")&amp;IF(AND($M1172&lt;&gt;"",INDEX(職員マスタ!$H$6:$H$405,$AN1172)&lt;&gt;"",$M1172&lt;&gt;INDEX(職員マスタ!$H$6:$H$405,$AN1172)),"時短終了日がマスタと相違／","")))&amp;IF(AND($B1172&lt;&gt;"",$E1172=""),"報酬額が未入力／","")&amp;IF(N($U1172)&gt;0,"申請書に入力エラーが残っています／","")&amp;IF(AND($B1172&lt;&gt;"",$AO1172&lt;&gt;""),IF(COUNTIFS($B$6:$B$3005,$B1172,$C$6:$C$3005,$C1172,$D$6:$D$3005,$D1172)&gt;1,"同じ月の請求が重複しています／",""),"")&amp;IF(AND(N($E1172)&gt;0,$Z1172&lt;&gt;"",$Z1172&lt;&gt;"×",$AC1172=0,$AB1172=""),"計算額が下限以下のため不支給／",""))</f>
        <v/>
      </c>
      <c r="AL1172" s="12" t="n"/>
      <c r="AM1172" s="14">
        <f>IF($AD1172="保留中",COUNTIF($AD$6:$AD1172,"保留中"),"")</f>
        <v/>
      </c>
      <c r="AN1172" s="14">
        <f>IF($AO1172="","",IF(SUMPRODUCT(MAX((職員マスタ!$A$6:$A$405=$B1172)*(((職員マスタ!$G$6:$G$405="")+(職員マスタ!$G$6:$G$405&lt;=EOMONTH($AO1172,0)))&gt;0)*(((職員マスタ!$H$6:$H$405="")+(職員マスタ!$H$6:$H$405&gt;=$AO1172))&gt;0)*(ROW(職員マスタ!$A$6:$A$405)-5)))&gt;0,SUMPRODUCT(MAX((職員マスタ!$A$6:$A$405=$B1172)*(((職員マスタ!$G$6:$G$405="")+(職員マスタ!$G$6:$G$405&lt;=EOMONTH($AO1172,0)))&gt;0)*(((職員マスタ!$H$6:$H$405="")+(職員マスタ!$H$6:$H$405&gt;=$AO1172))&gt;0)*(ROW(職員マスタ!$A$6:$A$405)-5))),IFERROR(MATCH($B1172,職員マスタ!$A$6:$A$405,0),"")))</f>
        <v/>
      </c>
      <c r="AO1172" s="16">
        <f>IF(OR($B1172="",$C1172="",$D1172=""),"",DATE($C1172+2018,$D1172,1))</f>
        <v/>
      </c>
    </row>
    <row r="1173">
      <c r="A1173" s="11" t="n"/>
      <c r="B1173" s="12" t="n"/>
      <c r="C1173" s="12" t="n"/>
      <c r="D1173" s="12" t="n"/>
      <c r="E1173" s="13" t="n"/>
      <c r="F1173" s="12" t="n"/>
      <c r="G1173" s="13" t="n"/>
      <c r="H1173" s="12" t="n"/>
      <c r="I1173" s="12" t="n"/>
      <c r="J1173" s="12" t="n"/>
      <c r="K1173" s="12" t="n"/>
      <c r="L1173" s="11" t="n"/>
      <c r="M1173" s="11" t="n"/>
      <c r="N1173" s="11" t="n"/>
      <c r="O1173" s="11" t="n"/>
      <c r="P1173" s="12" t="n"/>
      <c r="Q1173" s="11" t="n"/>
      <c r="R1173" s="12" t="n"/>
      <c r="S1173" s="11" t="n"/>
      <c r="T1173" s="12" t="n"/>
      <c r="U1173" s="12" t="n"/>
      <c r="V1173" s="14">
        <f>IF($AN1173="",IF($B1173="","",$H1173),IF(INDEX(職員マスタ!$B$6:$B$405,$AN1173)="",$H1173,INDEX(職員マスタ!$B$6:$B$405,$AN1173)))</f>
        <v/>
      </c>
      <c r="W1173" s="14">
        <f>IF($AN1173="",IF($B1173="","",$R1173),IF(INDEX(職員マスタ!$C$6:$C$405,$AN1173)="",$R1173,INDEX(職員マスタ!$C$6:$C$405,$AN1173)))</f>
        <v/>
      </c>
      <c r="X1173" s="14">
        <f>IF($AO1173="","","R"&amp;$C1173&amp;"."&amp;$D1173)</f>
        <v/>
      </c>
      <c r="Y1173" s="15">
        <f>IF($AN1173="","",IF(INDEX(職員マスタ!$K$6:$K$405,$AN1173)="","",INDEX(職員マスタ!$K$6:$K$405,$AN1173)))</f>
        <v/>
      </c>
      <c r="Z1173" s="14">
        <f>IF(OR($E1173="",$Y1173=""),"",IF($E1173&gt;=$Y1173,"×",IF($E1173&gt;=$Y1173*設定!$C$5,"△","○")))</f>
        <v/>
      </c>
      <c r="AA1173" s="15">
        <f>IF($Z1173="","",IF($Z1173="×",0,IF($Z1173="○",ROUNDDOWN($E1173*設定!$C$4,0),ROUNDDOWN($E1173*ROUND((9*$Y1173-9*$E1173)/(10*$E1173),4),0))))</f>
        <v/>
      </c>
      <c r="AB1173" s="13" t="n"/>
      <c r="AC1173" s="15">
        <f>IF($B1173="","",IF($AB1173&lt;&gt;"",$AB1173,IF($AA1173="","",IF($AA1173&lt;=設定!$C$3,0,$AA1173))))</f>
        <v/>
      </c>
      <c r="AD1173" s="14">
        <f>IF($B1173="","",IF(AND($AE1173&lt;&gt;"",$AG1173="",$AJ1173=""),"保留中",IF($AJ1173&lt;&gt;"",IF(N($AC1173)&gt;0,"支給済","不支給"),IF($AC1173="","要確認",IF($AC1173=0,"不支給","未処理")))))</f>
        <v/>
      </c>
      <c r="AE1173" s="12" t="n"/>
      <c r="AF1173" s="11" t="n"/>
      <c r="AG1173" s="11" t="n"/>
      <c r="AH1173" s="11" t="n"/>
      <c r="AI1173" s="14">
        <f>IF(AND($AD1173="保留中",$AF1173&lt;&gt;""),TODAY()-$AF1173,"")</f>
        <v/>
      </c>
      <c r="AJ1173" s="12" t="n"/>
      <c r="AK1173" s="14">
        <f>IF($B1173="","",IF($AO1173="","対象年月が未入力／","")&amp;IF($B1173="","",IF($AN1173="","職員マスタに未登録の職員番号／",IF($Y1173="","標準報酬月額が未登録／","")&amp;IF(AND($AO1173&lt;&gt;"",OR(AND(INDEX(職員マスタ!$G$6:$G$405,$AN1173)&lt;&gt;"",INDEX(職員マスタ!$G$6:$G$405,$AN1173)&gt;EOMONTH($AO1173,0)),AND(INDEX(職員マスタ!$H$6:$H$405,$AN1173)&lt;&gt;"",INDEX(職員マスタ!$H$6:$H$405,$AN1173)&lt;$AO1173))),"対象月が時短期間外／","")&amp;IF(AND(INDEX(職員マスタ!$F$6:$F$405,$AN1173)&lt;&gt;"",$AO1173&lt;&gt;"",INDEX(職員マスタ!$F$6:$F$405,$AN1173)&lt;$AO1173),"対象月に子が2歳到達済／","")&amp;IF(AND($H1173&lt;&gt;"",INDEX(職員マスタ!$B$6:$B$405,$AN1173)&lt;&gt;"",SUBSTITUTE(SUBSTITUTE($H1173," ","")," ","")&lt;&gt;SUBSTITUTE(SUBSTITUTE(INDEX(職員マスタ!$B$6:$B$405,$AN1173)," ","")," ","")),"氏名がマスタと相違／","")&amp;IF(AND($Q1173&lt;&gt;"",INDEX(職員マスタ!$E$6:$E$405,$AN1173)&lt;&gt;"",$Q1173&lt;&gt;INDEX(職員マスタ!$E$6:$E$405,$AN1173)),"子の生年月日がマスタと相違／","")&amp;IF(AND($L1173&lt;&gt;"",INDEX(職員マスタ!$G$6:$G$405,$AN1173)&lt;&gt;"",$L1173&lt;&gt;INDEX(職員マスタ!$G$6:$G$405,$AN1173)),"時短開始日がマスタと相違／","")&amp;IF(AND($M1173&lt;&gt;"",INDEX(職員マスタ!$H$6:$H$405,$AN1173)&lt;&gt;"",$M1173&lt;&gt;INDEX(職員マスタ!$H$6:$H$405,$AN1173)),"時短終了日がマスタと相違／","")))&amp;IF(AND($B1173&lt;&gt;"",$E1173=""),"報酬額が未入力／","")&amp;IF(N($U1173)&gt;0,"申請書に入力エラーが残っています／","")&amp;IF(AND($B1173&lt;&gt;"",$AO1173&lt;&gt;""),IF(COUNTIFS($B$6:$B$3005,$B1173,$C$6:$C$3005,$C1173,$D$6:$D$3005,$D1173)&gt;1,"同じ月の請求が重複しています／",""),"")&amp;IF(AND(N($E1173)&gt;0,$Z1173&lt;&gt;"",$Z1173&lt;&gt;"×",$AC1173=0,$AB1173=""),"計算額が下限以下のため不支給／",""))</f>
        <v/>
      </c>
      <c r="AL1173" s="12" t="n"/>
      <c r="AM1173" s="14">
        <f>IF($AD1173="保留中",COUNTIF($AD$6:$AD1173,"保留中"),"")</f>
        <v/>
      </c>
      <c r="AN1173" s="14">
        <f>IF($AO1173="","",IF(SUMPRODUCT(MAX((職員マスタ!$A$6:$A$405=$B1173)*(((職員マスタ!$G$6:$G$405="")+(職員マスタ!$G$6:$G$405&lt;=EOMONTH($AO1173,0)))&gt;0)*(((職員マスタ!$H$6:$H$405="")+(職員マスタ!$H$6:$H$405&gt;=$AO1173))&gt;0)*(ROW(職員マスタ!$A$6:$A$405)-5)))&gt;0,SUMPRODUCT(MAX((職員マスタ!$A$6:$A$405=$B1173)*(((職員マスタ!$G$6:$G$405="")+(職員マスタ!$G$6:$G$405&lt;=EOMONTH($AO1173,0)))&gt;0)*(((職員マスタ!$H$6:$H$405="")+(職員マスタ!$H$6:$H$405&gt;=$AO1173))&gt;0)*(ROW(職員マスタ!$A$6:$A$405)-5))),IFERROR(MATCH($B1173,職員マスタ!$A$6:$A$405,0),"")))</f>
        <v/>
      </c>
      <c r="AO1173" s="16">
        <f>IF(OR($B1173="",$C1173="",$D1173=""),"",DATE($C1173+2018,$D1173,1))</f>
        <v/>
      </c>
    </row>
    <row r="1174">
      <c r="A1174" s="11" t="n"/>
      <c r="B1174" s="12" t="n"/>
      <c r="C1174" s="12" t="n"/>
      <c r="D1174" s="12" t="n"/>
      <c r="E1174" s="13" t="n"/>
      <c r="F1174" s="12" t="n"/>
      <c r="G1174" s="13" t="n"/>
      <c r="H1174" s="12" t="n"/>
      <c r="I1174" s="12" t="n"/>
      <c r="J1174" s="12" t="n"/>
      <c r="K1174" s="12" t="n"/>
      <c r="L1174" s="11" t="n"/>
      <c r="M1174" s="11" t="n"/>
      <c r="N1174" s="11" t="n"/>
      <c r="O1174" s="11" t="n"/>
      <c r="P1174" s="12" t="n"/>
      <c r="Q1174" s="11" t="n"/>
      <c r="R1174" s="12" t="n"/>
      <c r="S1174" s="11" t="n"/>
      <c r="T1174" s="12" t="n"/>
      <c r="U1174" s="12" t="n"/>
      <c r="V1174" s="14">
        <f>IF($AN1174="",IF($B1174="","",$H1174),IF(INDEX(職員マスタ!$B$6:$B$405,$AN1174)="",$H1174,INDEX(職員マスタ!$B$6:$B$405,$AN1174)))</f>
        <v/>
      </c>
      <c r="W1174" s="14">
        <f>IF($AN1174="",IF($B1174="","",$R1174),IF(INDEX(職員マスタ!$C$6:$C$405,$AN1174)="",$R1174,INDEX(職員マスタ!$C$6:$C$405,$AN1174)))</f>
        <v/>
      </c>
      <c r="X1174" s="14">
        <f>IF($AO1174="","","R"&amp;$C1174&amp;"."&amp;$D1174)</f>
        <v/>
      </c>
      <c r="Y1174" s="15">
        <f>IF($AN1174="","",IF(INDEX(職員マスタ!$K$6:$K$405,$AN1174)="","",INDEX(職員マスタ!$K$6:$K$405,$AN1174)))</f>
        <v/>
      </c>
      <c r="Z1174" s="14">
        <f>IF(OR($E1174="",$Y1174=""),"",IF($E1174&gt;=$Y1174,"×",IF($E1174&gt;=$Y1174*設定!$C$5,"△","○")))</f>
        <v/>
      </c>
      <c r="AA1174" s="15">
        <f>IF($Z1174="","",IF($Z1174="×",0,IF($Z1174="○",ROUNDDOWN($E1174*設定!$C$4,0),ROUNDDOWN($E1174*ROUND((9*$Y1174-9*$E1174)/(10*$E1174),4),0))))</f>
        <v/>
      </c>
      <c r="AB1174" s="13" t="n"/>
      <c r="AC1174" s="15">
        <f>IF($B1174="","",IF($AB1174&lt;&gt;"",$AB1174,IF($AA1174="","",IF($AA1174&lt;=設定!$C$3,0,$AA1174))))</f>
        <v/>
      </c>
      <c r="AD1174" s="14">
        <f>IF($B1174="","",IF(AND($AE1174&lt;&gt;"",$AG1174="",$AJ1174=""),"保留中",IF($AJ1174&lt;&gt;"",IF(N($AC1174)&gt;0,"支給済","不支給"),IF($AC1174="","要確認",IF($AC1174=0,"不支給","未処理")))))</f>
        <v/>
      </c>
      <c r="AE1174" s="12" t="n"/>
      <c r="AF1174" s="11" t="n"/>
      <c r="AG1174" s="11" t="n"/>
      <c r="AH1174" s="11" t="n"/>
      <c r="AI1174" s="14">
        <f>IF(AND($AD1174="保留中",$AF1174&lt;&gt;""),TODAY()-$AF1174,"")</f>
        <v/>
      </c>
      <c r="AJ1174" s="12" t="n"/>
      <c r="AK1174" s="14">
        <f>IF($B1174="","",IF($AO1174="","対象年月が未入力／","")&amp;IF($B1174="","",IF($AN1174="","職員マスタに未登録の職員番号／",IF($Y1174="","標準報酬月額が未登録／","")&amp;IF(AND($AO1174&lt;&gt;"",OR(AND(INDEX(職員マスタ!$G$6:$G$405,$AN1174)&lt;&gt;"",INDEX(職員マスタ!$G$6:$G$405,$AN1174)&gt;EOMONTH($AO1174,0)),AND(INDEX(職員マスタ!$H$6:$H$405,$AN1174)&lt;&gt;"",INDEX(職員マスタ!$H$6:$H$405,$AN1174)&lt;$AO1174))),"対象月が時短期間外／","")&amp;IF(AND(INDEX(職員マスタ!$F$6:$F$405,$AN1174)&lt;&gt;"",$AO1174&lt;&gt;"",INDEX(職員マスタ!$F$6:$F$405,$AN1174)&lt;$AO1174),"対象月に子が2歳到達済／","")&amp;IF(AND($H1174&lt;&gt;"",INDEX(職員マスタ!$B$6:$B$405,$AN1174)&lt;&gt;"",SUBSTITUTE(SUBSTITUTE($H1174," ","")," ","")&lt;&gt;SUBSTITUTE(SUBSTITUTE(INDEX(職員マスタ!$B$6:$B$405,$AN1174)," ","")," ","")),"氏名がマスタと相違／","")&amp;IF(AND($Q1174&lt;&gt;"",INDEX(職員マスタ!$E$6:$E$405,$AN1174)&lt;&gt;"",$Q1174&lt;&gt;INDEX(職員マスタ!$E$6:$E$405,$AN1174)),"子の生年月日がマスタと相違／","")&amp;IF(AND($L1174&lt;&gt;"",INDEX(職員マスタ!$G$6:$G$405,$AN1174)&lt;&gt;"",$L1174&lt;&gt;INDEX(職員マスタ!$G$6:$G$405,$AN1174)),"時短開始日がマスタと相違／","")&amp;IF(AND($M1174&lt;&gt;"",INDEX(職員マスタ!$H$6:$H$405,$AN1174)&lt;&gt;"",$M1174&lt;&gt;INDEX(職員マスタ!$H$6:$H$405,$AN1174)),"時短終了日がマスタと相違／","")))&amp;IF(AND($B1174&lt;&gt;"",$E1174=""),"報酬額が未入力／","")&amp;IF(N($U1174)&gt;0,"申請書に入力エラーが残っています／","")&amp;IF(AND($B1174&lt;&gt;"",$AO1174&lt;&gt;""),IF(COUNTIFS($B$6:$B$3005,$B1174,$C$6:$C$3005,$C1174,$D$6:$D$3005,$D1174)&gt;1,"同じ月の請求が重複しています／",""),"")&amp;IF(AND(N($E1174)&gt;0,$Z1174&lt;&gt;"",$Z1174&lt;&gt;"×",$AC1174=0,$AB1174=""),"計算額が下限以下のため不支給／",""))</f>
        <v/>
      </c>
      <c r="AL1174" s="12" t="n"/>
      <c r="AM1174" s="14">
        <f>IF($AD1174="保留中",COUNTIF($AD$6:$AD1174,"保留中"),"")</f>
        <v/>
      </c>
      <c r="AN1174" s="14">
        <f>IF($AO1174="","",IF(SUMPRODUCT(MAX((職員マスタ!$A$6:$A$405=$B1174)*(((職員マスタ!$G$6:$G$405="")+(職員マスタ!$G$6:$G$405&lt;=EOMONTH($AO1174,0)))&gt;0)*(((職員マスタ!$H$6:$H$405="")+(職員マスタ!$H$6:$H$405&gt;=$AO1174))&gt;0)*(ROW(職員マスタ!$A$6:$A$405)-5)))&gt;0,SUMPRODUCT(MAX((職員マスタ!$A$6:$A$405=$B1174)*(((職員マスタ!$G$6:$G$405="")+(職員マスタ!$G$6:$G$405&lt;=EOMONTH($AO1174,0)))&gt;0)*(((職員マスタ!$H$6:$H$405="")+(職員マスタ!$H$6:$H$405&gt;=$AO1174))&gt;0)*(ROW(職員マスタ!$A$6:$A$405)-5))),IFERROR(MATCH($B1174,職員マスタ!$A$6:$A$405,0),"")))</f>
        <v/>
      </c>
      <c r="AO1174" s="16">
        <f>IF(OR($B1174="",$C1174="",$D1174=""),"",DATE($C1174+2018,$D1174,1))</f>
        <v/>
      </c>
    </row>
    <row r="1175">
      <c r="A1175" s="11" t="n"/>
      <c r="B1175" s="12" t="n"/>
      <c r="C1175" s="12" t="n"/>
      <c r="D1175" s="12" t="n"/>
      <c r="E1175" s="13" t="n"/>
      <c r="F1175" s="12" t="n"/>
      <c r="G1175" s="13" t="n"/>
      <c r="H1175" s="12" t="n"/>
      <c r="I1175" s="12" t="n"/>
      <c r="J1175" s="12" t="n"/>
      <c r="K1175" s="12" t="n"/>
      <c r="L1175" s="11" t="n"/>
      <c r="M1175" s="11" t="n"/>
      <c r="N1175" s="11" t="n"/>
      <c r="O1175" s="11" t="n"/>
      <c r="P1175" s="12" t="n"/>
      <c r="Q1175" s="11" t="n"/>
      <c r="R1175" s="12" t="n"/>
      <c r="S1175" s="11" t="n"/>
      <c r="T1175" s="12" t="n"/>
      <c r="U1175" s="12" t="n"/>
      <c r="V1175" s="14">
        <f>IF($AN1175="",IF($B1175="","",$H1175),IF(INDEX(職員マスタ!$B$6:$B$405,$AN1175)="",$H1175,INDEX(職員マスタ!$B$6:$B$405,$AN1175)))</f>
        <v/>
      </c>
      <c r="W1175" s="14">
        <f>IF($AN1175="",IF($B1175="","",$R1175),IF(INDEX(職員マスタ!$C$6:$C$405,$AN1175)="",$R1175,INDEX(職員マスタ!$C$6:$C$405,$AN1175)))</f>
        <v/>
      </c>
      <c r="X1175" s="14">
        <f>IF($AO1175="","","R"&amp;$C1175&amp;"."&amp;$D1175)</f>
        <v/>
      </c>
      <c r="Y1175" s="15">
        <f>IF($AN1175="","",IF(INDEX(職員マスタ!$K$6:$K$405,$AN1175)="","",INDEX(職員マスタ!$K$6:$K$405,$AN1175)))</f>
        <v/>
      </c>
      <c r="Z1175" s="14">
        <f>IF(OR($E1175="",$Y1175=""),"",IF($E1175&gt;=$Y1175,"×",IF($E1175&gt;=$Y1175*設定!$C$5,"△","○")))</f>
        <v/>
      </c>
      <c r="AA1175" s="15">
        <f>IF($Z1175="","",IF($Z1175="×",0,IF($Z1175="○",ROUNDDOWN($E1175*設定!$C$4,0),ROUNDDOWN($E1175*ROUND((9*$Y1175-9*$E1175)/(10*$E1175),4),0))))</f>
        <v/>
      </c>
      <c r="AB1175" s="13" t="n"/>
      <c r="AC1175" s="15">
        <f>IF($B1175="","",IF($AB1175&lt;&gt;"",$AB1175,IF($AA1175="","",IF($AA1175&lt;=設定!$C$3,0,$AA1175))))</f>
        <v/>
      </c>
      <c r="AD1175" s="14">
        <f>IF($B1175="","",IF(AND($AE1175&lt;&gt;"",$AG1175="",$AJ1175=""),"保留中",IF($AJ1175&lt;&gt;"",IF(N($AC1175)&gt;0,"支給済","不支給"),IF($AC1175="","要確認",IF($AC1175=0,"不支給","未処理")))))</f>
        <v/>
      </c>
      <c r="AE1175" s="12" t="n"/>
      <c r="AF1175" s="11" t="n"/>
      <c r="AG1175" s="11" t="n"/>
      <c r="AH1175" s="11" t="n"/>
      <c r="AI1175" s="14">
        <f>IF(AND($AD1175="保留中",$AF1175&lt;&gt;""),TODAY()-$AF1175,"")</f>
        <v/>
      </c>
      <c r="AJ1175" s="12" t="n"/>
      <c r="AK1175" s="14">
        <f>IF($B1175="","",IF($AO1175="","対象年月が未入力／","")&amp;IF($B1175="","",IF($AN1175="","職員マスタに未登録の職員番号／",IF($Y1175="","標準報酬月額が未登録／","")&amp;IF(AND($AO1175&lt;&gt;"",OR(AND(INDEX(職員マスタ!$G$6:$G$405,$AN1175)&lt;&gt;"",INDEX(職員マスタ!$G$6:$G$405,$AN1175)&gt;EOMONTH($AO1175,0)),AND(INDEX(職員マスタ!$H$6:$H$405,$AN1175)&lt;&gt;"",INDEX(職員マスタ!$H$6:$H$405,$AN1175)&lt;$AO1175))),"対象月が時短期間外／","")&amp;IF(AND(INDEX(職員マスタ!$F$6:$F$405,$AN1175)&lt;&gt;"",$AO1175&lt;&gt;"",INDEX(職員マスタ!$F$6:$F$405,$AN1175)&lt;$AO1175),"対象月に子が2歳到達済／","")&amp;IF(AND($H1175&lt;&gt;"",INDEX(職員マスタ!$B$6:$B$405,$AN1175)&lt;&gt;"",SUBSTITUTE(SUBSTITUTE($H1175," ","")," ","")&lt;&gt;SUBSTITUTE(SUBSTITUTE(INDEX(職員マスタ!$B$6:$B$405,$AN1175)," ","")," ","")),"氏名がマスタと相違／","")&amp;IF(AND($Q1175&lt;&gt;"",INDEX(職員マスタ!$E$6:$E$405,$AN1175)&lt;&gt;"",$Q1175&lt;&gt;INDEX(職員マスタ!$E$6:$E$405,$AN1175)),"子の生年月日がマスタと相違／","")&amp;IF(AND($L1175&lt;&gt;"",INDEX(職員マスタ!$G$6:$G$405,$AN1175)&lt;&gt;"",$L1175&lt;&gt;INDEX(職員マスタ!$G$6:$G$405,$AN1175)),"時短開始日がマスタと相違／","")&amp;IF(AND($M1175&lt;&gt;"",INDEX(職員マスタ!$H$6:$H$405,$AN1175)&lt;&gt;"",$M1175&lt;&gt;INDEX(職員マスタ!$H$6:$H$405,$AN1175)),"時短終了日がマスタと相違／","")))&amp;IF(AND($B1175&lt;&gt;"",$E1175=""),"報酬額が未入力／","")&amp;IF(N($U1175)&gt;0,"申請書に入力エラーが残っています／","")&amp;IF(AND($B1175&lt;&gt;"",$AO1175&lt;&gt;""),IF(COUNTIFS($B$6:$B$3005,$B1175,$C$6:$C$3005,$C1175,$D$6:$D$3005,$D1175)&gt;1,"同じ月の請求が重複しています／",""),"")&amp;IF(AND(N($E1175)&gt;0,$Z1175&lt;&gt;"",$Z1175&lt;&gt;"×",$AC1175=0,$AB1175=""),"計算額が下限以下のため不支給／",""))</f>
        <v/>
      </c>
      <c r="AL1175" s="12" t="n"/>
      <c r="AM1175" s="14">
        <f>IF($AD1175="保留中",COUNTIF($AD$6:$AD1175,"保留中"),"")</f>
        <v/>
      </c>
      <c r="AN1175" s="14">
        <f>IF($AO1175="","",IF(SUMPRODUCT(MAX((職員マスタ!$A$6:$A$405=$B1175)*(((職員マスタ!$G$6:$G$405="")+(職員マスタ!$G$6:$G$405&lt;=EOMONTH($AO1175,0)))&gt;0)*(((職員マスタ!$H$6:$H$405="")+(職員マスタ!$H$6:$H$405&gt;=$AO1175))&gt;0)*(ROW(職員マスタ!$A$6:$A$405)-5)))&gt;0,SUMPRODUCT(MAX((職員マスタ!$A$6:$A$405=$B1175)*(((職員マスタ!$G$6:$G$405="")+(職員マスタ!$G$6:$G$405&lt;=EOMONTH($AO1175,0)))&gt;0)*(((職員マスタ!$H$6:$H$405="")+(職員マスタ!$H$6:$H$405&gt;=$AO1175))&gt;0)*(ROW(職員マスタ!$A$6:$A$405)-5))),IFERROR(MATCH($B1175,職員マスタ!$A$6:$A$405,0),"")))</f>
        <v/>
      </c>
      <c r="AO1175" s="16">
        <f>IF(OR($B1175="",$C1175="",$D1175=""),"",DATE($C1175+2018,$D1175,1))</f>
        <v/>
      </c>
    </row>
    <row r="1176">
      <c r="A1176" s="11" t="n"/>
      <c r="B1176" s="12" t="n"/>
      <c r="C1176" s="12" t="n"/>
      <c r="D1176" s="12" t="n"/>
      <c r="E1176" s="13" t="n"/>
      <c r="F1176" s="12" t="n"/>
      <c r="G1176" s="13" t="n"/>
      <c r="H1176" s="12" t="n"/>
      <c r="I1176" s="12" t="n"/>
      <c r="J1176" s="12" t="n"/>
      <c r="K1176" s="12" t="n"/>
      <c r="L1176" s="11" t="n"/>
      <c r="M1176" s="11" t="n"/>
      <c r="N1176" s="11" t="n"/>
      <c r="O1176" s="11" t="n"/>
      <c r="P1176" s="12" t="n"/>
      <c r="Q1176" s="11" t="n"/>
      <c r="R1176" s="12" t="n"/>
      <c r="S1176" s="11" t="n"/>
      <c r="T1176" s="12" t="n"/>
      <c r="U1176" s="12" t="n"/>
      <c r="V1176" s="14">
        <f>IF($AN1176="",IF($B1176="","",$H1176),IF(INDEX(職員マスタ!$B$6:$B$405,$AN1176)="",$H1176,INDEX(職員マスタ!$B$6:$B$405,$AN1176)))</f>
        <v/>
      </c>
      <c r="W1176" s="14">
        <f>IF($AN1176="",IF($B1176="","",$R1176),IF(INDEX(職員マスタ!$C$6:$C$405,$AN1176)="",$R1176,INDEX(職員マスタ!$C$6:$C$405,$AN1176)))</f>
        <v/>
      </c>
      <c r="X1176" s="14">
        <f>IF($AO1176="","","R"&amp;$C1176&amp;"."&amp;$D1176)</f>
        <v/>
      </c>
      <c r="Y1176" s="15">
        <f>IF($AN1176="","",IF(INDEX(職員マスタ!$K$6:$K$405,$AN1176)="","",INDEX(職員マスタ!$K$6:$K$405,$AN1176)))</f>
        <v/>
      </c>
      <c r="Z1176" s="14">
        <f>IF(OR($E1176="",$Y1176=""),"",IF($E1176&gt;=$Y1176,"×",IF($E1176&gt;=$Y1176*設定!$C$5,"△","○")))</f>
        <v/>
      </c>
      <c r="AA1176" s="15">
        <f>IF($Z1176="","",IF($Z1176="×",0,IF($Z1176="○",ROUNDDOWN($E1176*設定!$C$4,0),ROUNDDOWN($E1176*ROUND((9*$Y1176-9*$E1176)/(10*$E1176),4),0))))</f>
        <v/>
      </c>
      <c r="AB1176" s="13" t="n"/>
      <c r="AC1176" s="15">
        <f>IF($B1176="","",IF($AB1176&lt;&gt;"",$AB1176,IF($AA1176="","",IF($AA1176&lt;=設定!$C$3,0,$AA1176))))</f>
        <v/>
      </c>
      <c r="AD1176" s="14">
        <f>IF($B1176="","",IF(AND($AE1176&lt;&gt;"",$AG1176="",$AJ1176=""),"保留中",IF($AJ1176&lt;&gt;"",IF(N($AC1176)&gt;0,"支給済","不支給"),IF($AC1176="","要確認",IF($AC1176=0,"不支給","未処理")))))</f>
        <v/>
      </c>
      <c r="AE1176" s="12" t="n"/>
      <c r="AF1176" s="11" t="n"/>
      <c r="AG1176" s="11" t="n"/>
      <c r="AH1176" s="11" t="n"/>
      <c r="AI1176" s="14">
        <f>IF(AND($AD1176="保留中",$AF1176&lt;&gt;""),TODAY()-$AF1176,"")</f>
        <v/>
      </c>
      <c r="AJ1176" s="12" t="n"/>
      <c r="AK1176" s="14">
        <f>IF($B1176="","",IF($AO1176="","対象年月が未入力／","")&amp;IF($B1176="","",IF($AN1176="","職員マスタに未登録の職員番号／",IF($Y1176="","標準報酬月額が未登録／","")&amp;IF(AND($AO1176&lt;&gt;"",OR(AND(INDEX(職員マスタ!$G$6:$G$405,$AN1176)&lt;&gt;"",INDEX(職員マスタ!$G$6:$G$405,$AN1176)&gt;EOMONTH($AO1176,0)),AND(INDEX(職員マスタ!$H$6:$H$405,$AN1176)&lt;&gt;"",INDEX(職員マスタ!$H$6:$H$405,$AN1176)&lt;$AO1176))),"対象月が時短期間外／","")&amp;IF(AND(INDEX(職員マスタ!$F$6:$F$405,$AN1176)&lt;&gt;"",$AO1176&lt;&gt;"",INDEX(職員マスタ!$F$6:$F$405,$AN1176)&lt;$AO1176),"対象月に子が2歳到達済／","")&amp;IF(AND($H1176&lt;&gt;"",INDEX(職員マスタ!$B$6:$B$405,$AN1176)&lt;&gt;"",SUBSTITUTE(SUBSTITUTE($H1176," ","")," ","")&lt;&gt;SUBSTITUTE(SUBSTITUTE(INDEX(職員マスタ!$B$6:$B$405,$AN1176)," ","")," ","")),"氏名がマスタと相違／","")&amp;IF(AND($Q1176&lt;&gt;"",INDEX(職員マスタ!$E$6:$E$405,$AN1176)&lt;&gt;"",$Q1176&lt;&gt;INDEX(職員マスタ!$E$6:$E$405,$AN1176)),"子の生年月日がマスタと相違／","")&amp;IF(AND($L1176&lt;&gt;"",INDEX(職員マスタ!$G$6:$G$405,$AN1176)&lt;&gt;"",$L1176&lt;&gt;INDEX(職員マスタ!$G$6:$G$405,$AN1176)),"時短開始日がマスタと相違／","")&amp;IF(AND($M1176&lt;&gt;"",INDEX(職員マスタ!$H$6:$H$405,$AN1176)&lt;&gt;"",$M1176&lt;&gt;INDEX(職員マスタ!$H$6:$H$405,$AN1176)),"時短終了日がマスタと相違／","")))&amp;IF(AND($B1176&lt;&gt;"",$E1176=""),"報酬額が未入力／","")&amp;IF(N($U1176)&gt;0,"申請書に入力エラーが残っています／","")&amp;IF(AND($B1176&lt;&gt;"",$AO1176&lt;&gt;""),IF(COUNTIFS($B$6:$B$3005,$B1176,$C$6:$C$3005,$C1176,$D$6:$D$3005,$D1176)&gt;1,"同じ月の請求が重複しています／",""),"")&amp;IF(AND(N($E1176)&gt;0,$Z1176&lt;&gt;"",$Z1176&lt;&gt;"×",$AC1176=0,$AB1176=""),"計算額が下限以下のため不支給／",""))</f>
        <v/>
      </c>
      <c r="AL1176" s="12" t="n"/>
      <c r="AM1176" s="14">
        <f>IF($AD1176="保留中",COUNTIF($AD$6:$AD1176,"保留中"),"")</f>
        <v/>
      </c>
      <c r="AN1176" s="14">
        <f>IF($AO1176="","",IF(SUMPRODUCT(MAX((職員マスタ!$A$6:$A$405=$B1176)*(((職員マスタ!$G$6:$G$405="")+(職員マスタ!$G$6:$G$405&lt;=EOMONTH($AO1176,0)))&gt;0)*(((職員マスタ!$H$6:$H$405="")+(職員マスタ!$H$6:$H$405&gt;=$AO1176))&gt;0)*(ROW(職員マスタ!$A$6:$A$405)-5)))&gt;0,SUMPRODUCT(MAX((職員マスタ!$A$6:$A$405=$B1176)*(((職員マスタ!$G$6:$G$405="")+(職員マスタ!$G$6:$G$405&lt;=EOMONTH($AO1176,0)))&gt;0)*(((職員マスタ!$H$6:$H$405="")+(職員マスタ!$H$6:$H$405&gt;=$AO1176))&gt;0)*(ROW(職員マスタ!$A$6:$A$405)-5))),IFERROR(MATCH($B1176,職員マスタ!$A$6:$A$405,0),"")))</f>
        <v/>
      </c>
      <c r="AO1176" s="16">
        <f>IF(OR($B1176="",$C1176="",$D1176=""),"",DATE($C1176+2018,$D1176,1))</f>
        <v/>
      </c>
    </row>
    <row r="1177">
      <c r="A1177" s="11" t="n"/>
      <c r="B1177" s="12" t="n"/>
      <c r="C1177" s="12" t="n"/>
      <c r="D1177" s="12" t="n"/>
      <c r="E1177" s="13" t="n"/>
      <c r="F1177" s="12" t="n"/>
      <c r="G1177" s="13" t="n"/>
      <c r="H1177" s="12" t="n"/>
      <c r="I1177" s="12" t="n"/>
      <c r="J1177" s="12" t="n"/>
      <c r="K1177" s="12" t="n"/>
      <c r="L1177" s="11" t="n"/>
      <c r="M1177" s="11" t="n"/>
      <c r="N1177" s="11" t="n"/>
      <c r="O1177" s="11" t="n"/>
      <c r="P1177" s="12" t="n"/>
      <c r="Q1177" s="11" t="n"/>
      <c r="R1177" s="12" t="n"/>
      <c r="S1177" s="11" t="n"/>
      <c r="T1177" s="12" t="n"/>
      <c r="U1177" s="12" t="n"/>
      <c r="V1177" s="14">
        <f>IF($AN1177="",IF($B1177="","",$H1177),IF(INDEX(職員マスタ!$B$6:$B$405,$AN1177)="",$H1177,INDEX(職員マスタ!$B$6:$B$405,$AN1177)))</f>
        <v/>
      </c>
      <c r="W1177" s="14">
        <f>IF($AN1177="",IF($B1177="","",$R1177),IF(INDEX(職員マスタ!$C$6:$C$405,$AN1177)="",$R1177,INDEX(職員マスタ!$C$6:$C$405,$AN1177)))</f>
        <v/>
      </c>
      <c r="X1177" s="14">
        <f>IF($AO1177="","","R"&amp;$C1177&amp;"."&amp;$D1177)</f>
        <v/>
      </c>
      <c r="Y1177" s="15">
        <f>IF($AN1177="","",IF(INDEX(職員マスタ!$K$6:$K$405,$AN1177)="","",INDEX(職員マスタ!$K$6:$K$405,$AN1177)))</f>
        <v/>
      </c>
      <c r="Z1177" s="14">
        <f>IF(OR($E1177="",$Y1177=""),"",IF($E1177&gt;=$Y1177,"×",IF($E1177&gt;=$Y1177*設定!$C$5,"△","○")))</f>
        <v/>
      </c>
      <c r="AA1177" s="15">
        <f>IF($Z1177="","",IF($Z1177="×",0,IF($Z1177="○",ROUNDDOWN($E1177*設定!$C$4,0),ROUNDDOWN($E1177*ROUND((9*$Y1177-9*$E1177)/(10*$E1177),4),0))))</f>
        <v/>
      </c>
      <c r="AB1177" s="13" t="n"/>
      <c r="AC1177" s="15">
        <f>IF($B1177="","",IF($AB1177&lt;&gt;"",$AB1177,IF($AA1177="","",IF($AA1177&lt;=設定!$C$3,0,$AA1177))))</f>
        <v/>
      </c>
      <c r="AD1177" s="14">
        <f>IF($B1177="","",IF(AND($AE1177&lt;&gt;"",$AG1177="",$AJ1177=""),"保留中",IF($AJ1177&lt;&gt;"",IF(N($AC1177)&gt;0,"支給済","不支給"),IF($AC1177="","要確認",IF($AC1177=0,"不支給","未処理")))))</f>
        <v/>
      </c>
      <c r="AE1177" s="12" t="n"/>
      <c r="AF1177" s="11" t="n"/>
      <c r="AG1177" s="11" t="n"/>
      <c r="AH1177" s="11" t="n"/>
      <c r="AI1177" s="14">
        <f>IF(AND($AD1177="保留中",$AF1177&lt;&gt;""),TODAY()-$AF1177,"")</f>
        <v/>
      </c>
      <c r="AJ1177" s="12" t="n"/>
      <c r="AK1177" s="14">
        <f>IF($B1177="","",IF($AO1177="","対象年月が未入力／","")&amp;IF($B1177="","",IF($AN1177="","職員マスタに未登録の職員番号／",IF($Y1177="","標準報酬月額が未登録／","")&amp;IF(AND($AO1177&lt;&gt;"",OR(AND(INDEX(職員マスタ!$G$6:$G$405,$AN1177)&lt;&gt;"",INDEX(職員マスタ!$G$6:$G$405,$AN1177)&gt;EOMONTH($AO1177,0)),AND(INDEX(職員マスタ!$H$6:$H$405,$AN1177)&lt;&gt;"",INDEX(職員マスタ!$H$6:$H$405,$AN1177)&lt;$AO1177))),"対象月が時短期間外／","")&amp;IF(AND(INDEX(職員マスタ!$F$6:$F$405,$AN1177)&lt;&gt;"",$AO1177&lt;&gt;"",INDEX(職員マスタ!$F$6:$F$405,$AN1177)&lt;$AO1177),"対象月に子が2歳到達済／","")&amp;IF(AND($H1177&lt;&gt;"",INDEX(職員マスタ!$B$6:$B$405,$AN1177)&lt;&gt;"",SUBSTITUTE(SUBSTITUTE($H1177," ","")," ","")&lt;&gt;SUBSTITUTE(SUBSTITUTE(INDEX(職員マスタ!$B$6:$B$405,$AN1177)," ","")," ","")),"氏名がマスタと相違／","")&amp;IF(AND($Q1177&lt;&gt;"",INDEX(職員マスタ!$E$6:$E$405,$AN1177)&lt;&gt;"",$Q1177&lt;&gt;INDEX(職員マスタ!$E$6:$E$405,$AN1177)),"子の生年月日がマスタと相違／","")&amp;IF(AND($L1177&lt;&gt;"",INDEX(職員マスタ!$G$6:$G$405,$AN1177)&lt;&gt;"",$L1177&lt;&gt;INDEX(職員マスタ!$G$6:$G$405,$AN1177)),"時短開始日がマスタと相違／","")&amp;IF(AND($M1177&lt;&gt;"",INDEX(職員マスタ!$H$6:$H$405,$AN1177)&lt;&gt;"",$M1177&lt;&gt;INDEX(職員マスタ!$H$6:$H$405,$AN1177)),"時短終了日がマスタと相違／","")))&amp;IF(AND($B1177&lt;&gt;"",$E1177=""),"報酬額が未入力／","")&amp;IF(N($U1177)&gt;0,"申請書に入力エラーが残っています／","")&amp;IF(AND($B1177&lt;&gt;"",$AO1177&lt;&gt;""),IF(COUNTIFS($B$6:$B$3005,$B1177,$C$6:$C$3005,$C1177,$D$6:$D$3005,$D1177)&gt;1,"同じ月の請求が重複しています／",""),"")&amp;IF(AND(N($E1177)&gt;0,$Z1177&lt;&gt;"",$Z1177&lt;&gt;"×",$AC1177=0,$AB1177=""),"計算額が下限以下のため不支給／",""))</f>
        <v/>
      </c>
      <c r="AL1177" s="12" t="n"/>
      <c r="AM1177" s="14">
        <f>IF($AD1177="保留中",COUNTIF($AD$6:$AD1177,"保留中"),"")</f>
        <v/>
      </c>
      <c r="AN1177" s="14">
        <f>IF($AO1177="","",IF(SUMPRODUCT(MAX((職員マスタ!$A$6:$A$405=$B1177)*(((職員マスタ!$G$6:$G$405="")+(職員マスタ!$G$6:$G$405&lt;=EOMONTH($AO1177,0)))&gt;0)*(((職員マスタ!$H$6:$H$405="")+(職員マスタ!$H$6:$H$405&gt;=$AO1177))&gt;0)*(ROW(職員マスタ!$A$6:$A$405)-5)))&gt;0,SUMPRODUCT(MAX((職員マスタ!$A$6:$A$405=$B1177)*(((職員マスタ!$G$6:$G$405="")+(職員マスタ!$G$6:$G$405&lt;=EOMONTH($AO1177,0)))&gt;0)*(((職員マスタ!$H$6:$H$405="")+(職員マスタ!$H$6:$H$405&gt;=$AO1177))&gt;0)*(ROW(職員マスタ!$A$6:$A$405)-5))),IFERROR(MATCH($B1177,職員マスタ!$A$6:$A$405,0),"")))</f>
        <v/>
      </c>
      <c r="AO1177" s="16">
        <f>IF(OR($B1177="",$C1177="",$D1177=""),"",DATE($C1177+2018,$D1177,1))</f>
        <v/>
      </c>
    </row>
    <row r="1178">
      <c r="A1178" s="11" t="n"/>
      <c r="B1178" s="12" t="n"/>
      <c r="C1178" s="12" t="n"/>
      <c r="D1178" s="12" t="n"/>
      <c r="E1178" s="13" t="n"/>
      <c r="F1178" s="12" t="n"/>
      <c r="G1178" s="13" t="n"/>
      <c r="H1178" s="12" t="n"/>
      <c r="I1178" s="12" t="n"/>
      <c r="J1178" s="12" t="n"/>
      <c r="K1178" s="12" t="n"/>
      <c r="L1178" s="11" t="n"/>
      <c r="M1178" s="11" t="n"/>
      <c r="N1178" s="11" t="n"/>
      <c r="O1178" s="11" t="n"/>
      <c r="P1178" s="12" t="n"/>
      <c r="Q1178" s="11" t="n"/>
      <c r="R1178" s="12" t="n"/>
      <c r="S1178" s="11" t="n"/>
      <c r="T1178" s="12" t="n"/>
      <c r="U1178" s="12" t="n"/>
      <c r="V1178" s="14">
        <f>IF($AN1178="",IF($B1178="","",$H1178),IF(INDEX(職員マスタ!$B$6:$B$405,$AN1178)="",$H1178,INDEX(職員マスタ!$B$6:$B$405,$AN1178)))</f>
        <v/>
      </c>
      <c r="W1178" s="14">
        <f>IF($AN1178="",IF($B1178="","",$R1178),IF(INDEX(職員マスタ!$C$6:$C$405,$AN1178)="",$R1178,INDEX(職員マスタ!$C$6:$C$405,$AN1178)))</f>
        <v/>
      </c>
      <c r="X1178" s="14">
        <f>IF($AO1178="","","R"&amp;$C1178&amp;"."&amp;$D1178)</f>
        <v/>
      </c>
      <c r="Y1178" s="15">
        <f>IF($AN1178="","",IF(INDEX(職員マスタ!$K$6:$K$405,$AN1178)="","",INDEX(職員マスタ!$K$6:$K$405,$AN1178)))</f>
        <v/>
      </c>
      <c r="Z1178" s="14">
        <f>IF(OR($E1178="",$Y1178=""),"",IF($E1178&gt;=$Y1178,"×",IF($E1178&gt;=$Y1178*設定!$C$5,"△","○")))</f>
        <v/>
      </c>
      <c r="AA1178" s="15">
        <f>IF($Z1178="","",IF($Z1178="×",0,IF($Z1178="○",ROUNDDOWN($E1178*設定!$C$4,0),ROUNDDOWN($E1178*ROUND((9*$Y1178-9*$E1178)/(10*$E1178),4),0))))</f>
        <v/>
      </c>
      <c r="AB1178" s="13" t="n"/>
      <c r="AC1178" s="15">
        <f>IF($B1178="","",IF($AB1178&lt;&gt;"",$AB1178,IF($AA1178="","",IF($AA1178&lt;=設定!$C$3,0,$AA1178))))</f>
        <v/>
      </c>
      <c r="AD1178" s="14">
        <f>IF($B1178="","",IF(AND($AE1178&lt;&gt;"",$AG1178="",$AJ1178=""),"保留中",IF($AJ1178&lt;&gt;"",IF(N($AC1178)&gt;0,"支給済","不支給"),IF($AC1178="","要確認",IF($AC1178=0,"不支給","未処理")))))</f>
        <v/>
      </c>
      <c r="AE1178" s="12" t="n"/>
      <c r="AF1178" s="11" t="n"/>
      <c r="AG1178" s="11" t="n"/>
      <c r="AH1178" s="11" t="n"/>
      <c r="AI1178" s="14">
        <f>IF(AND($AD1178="保留中",$AF1178&lt;&gt;""),TODAY()-$AF1178,"")</f>
        <v/>
      </c>
      <c r="AJ1178" s="12" t="n"/>
      <c r="AK1178" s="14">
        <f>IF($B1178="","",IF($AO1178="","対象年月が未入力／","")&amp;IF($B1178="","",IF($AN1178="","職員マスタに未登録の職員番号／",IF($Y1178="","標準報酬月額が未登録／","")&amp;IF(AND($AO1178&lt;&gt;"",OR(AND(INDEX(職員マスタ!$G$6:$G$405,$AN1178)&lt;&gt;"",INDEX(職員マスタ!$G$6:$G$405,$AN1178)&gt;EOMONTH($AO1178,0)),AND(INDEX(職員マスタ!$H$6:$H$405,$AN1178)&lt;&gt;"",INDEX(職員マスタ!$H$6:$H$405,$AN1178)&lt;$AO1178))),"対象月が時短期間外／","")&amp;IF(AND(INDEX(職員マスタ!$F$6:$F$405,$AN1178)&lt;&gt;"",$AO1178&lt;&gt;"",INDEX(職員マスタ!$F$6:$F$405,$AN1178)&lt;$AO1178),"対象月に子が2歳到達済／","")&amp;IF(AND($H1178&lt;&gt;"",INDEX(職員マスタ!$B$6:$B$405,$AN1178)&lt;&gt;"",SUBSTITUTE(SUBSTITUTE($H1178," ","")," ","")&lt;&gt;SUBSTITUTE(SUBSTITUTE(INDEX(職員マスタ!$B$6:$B$405,$AN1178)," ","")," ","")),"氏名がマスタと相違／","")&amp;IF(AND($Q1178&lt;&gt;"",INDEX(職員マスタ!$E$6:$E$405,$AN1178)&lt;&gt;"",$Q1178&lt;&gt;INDEX(職員マスタ!$E$6:$E$405,$AN1178)),"子の生年月日がマスタと相違／","")&amp;IF(AND($L1178&lt;&gt;"",INDEX(職員マスタ!$G$6:$G$405,$AN1178)&lt;&gt;"",$L1178&lt;&gt;INDEX(職員マスタ!$G$6:$G$405,$AN1178)),"時短開始日がマスタと相違／","")&amp;IF(AND($M1178&lt;&gt;"",INDEX(職員マスタ!$H$6:$H$405,$AN1178)&lt;&gt;"",$M1178&lt;&gt;INDEX(職員マスタ!$H$6:$H$405,$AN1178)),"時短終了日がマスタと相違／","")))&amp;IF(AND($B1178&lt;&gt;"",$E1178=""),"報酬額が未入力／","")&amp;IF(N($U1178)&gt;0,"申請書に入力エラーが残っています／","")&amp;IF(AND($B1178&lt;&gt;"",$AO1178&lt;&gt;""),IF(COUNTIFS($B$6:$B$3005,$B1178,$C$6:$C$3005,$C1178,$D$6:$D$3005,$D1178)&gt;1,"同じ月の請求が重複しています／",""),"")&amp;IF(AND(N($E1178)&gt;0,$Z1178&lt;&gt;"",$Z1178&lt;&gt;"×",$AC1178=0,$AB1178=""),"計算額が下限以下のため不支給／",""))</f>
        <v/>
      </c>
      <c r="AL1178" s="12" t="n"/>
      <c r="AM1178" s="14">
        <f>IF($AD1178="保留中",COUNTIF($AD$6:$AD1178,"保留中"),"")</f>
        <v/>
      </c>
      <c r="AN1178" s="14">
        <f>IF($AO1178="","",IF(SUMPRODUCT(MAX((職員マスタ!$A$6:$A$405=$B1178)*(((職員マスタ!$G$6:$G$405="")+(職員マスタ!$G$6:$G$405&lt;=EOMONTH($AO1178,0)))&gt;0)*(((職員マスタ!$H$6:$H$405="")+(職員マスタ!$H$6:$H$405&gt;=$AO1178))&gt;0)*(ROW(職員マスタ!$A$6:$A$405)-5)))&gt;0,SUMPRODUCT(MAX((職員マスタ!$A$6:$A$405=$B1178)*(((職員マスタ!$G$6:$G$405="")+(職員マスタ!$G$6:$G$405&lt;=EOMONTH($AO1178,0)))&gt;0)*(((職員マスタ!$H$6:$H$405="")+(職員マスタ!$H$6:$H$405&gt;=$AO1178))&gt;0)*(ROW(職員マスタ!$A$6:$A$405)-5))),IFERROR(MATCH($B1178,職員マスタ!$A$6:$A$405,0),"")))</f>
        <v/>
      </c>
      <c r="AO1178" s="16">
        <f>IF(OR($B1178="",$C1178="",$D1178=""),"",DATE($C1178+2018,$D1178,1))</f>
        <v/>
      </c>
    </row>
    <row r="1179">
      <c r="A1179" s="11" t="n"/>
      <c r="B1179" s="12" t="n"/>
      <c r="C1179" s="12" t="n"/>
      <c r="D1179" s="12" t="n"/>
      <c r="E1179" s="13" t="n"/>
      <c r="F1179" s="12" t="n"/>
      <c r="G1179" s="13" t="n"/>
      <c r="H1179" s="12" t="n"/>
      <c r="I1179" s="12" t="n"/>
      <c r="J1179" s="12" t="n"/>
      <c r="K1179" s="12" t="n"/>
      <c r="L1179" s="11" t="n"/>
      <c r="M1179" s="11" t="n"/>
      <c r="N1179" s="11" t="n"/>
      <c r="O1179" s="11" t="n"/>
      <c r="P1179" s="12" t="n"/>
      <c r="Q1179" s="11" t="n"/>
      <c r="R1179" s="12" t="n"/>
      <c r="S1179" s="11" t="n"/>
      <c r="T1179" s="12" t="n"/>
      <c r="U1179" s="12" t="n"/>
      <c r="V1179" s="14">
        <f>IF($AN1179="",IF($B1179="","",$H1179),IF(INDEX(職員マスタ!$B$6:$B$405,$AN1179)="",$H1179,INDEX(職員マスタ!$B$6:$B$405,$AN1179)))</f>
        <v/>
      </c>
      <c r="W1179" s="14">
        <f>IF($AN1179="",IF($B1179="","",$R1179),IF(INDEX(職員マスタ!$C$6:$C$405,$AN1179)="",$R1179,INDEX(職員マスタ!$C$6:$C$405,$AN1179)))</f>
        <v/>
      </c>
      <c r="X1179" s="14">
        <f>IF($AO1179="","","R"&amp;$C1179&amp;"."&amp;$D1179)</f>
        <v/>
      </c>
      <c r="Y1179" s="15">
        <f>IF($AN1179="","",IF(INDEX(職員マスタ!$K$6:$K$405,$AN1179)="","",INDEX(職員マスタ!$K$6:$K$405,$AN1179)))</f>
        <v/>
      </c>
      <c r="Z1179" s="14">
        <f>IF(OR($E1179="",$Y1179=""),"",IF($E1179&gt;=$Y1179,"×",IF($E1179&gt;=$Y1179*設定!$C$5,"△","○")))</f>
        <v/>
      </c>
      <c r="AA1179" s="15">
        <f>IF($Z1179="","",IF($Z1179="×",0,IF($Z1179="○",ROUNDDOWN($E1179*設定!$C$4,0),ROUNDDOWN($E1179*ROUND((9*$Y1179-9*$E1179)/(10*$E1179),4),0))))</f>
        <v/>
      </c>
      <c r="AB1179" s="13" t="n"/>
      <c r="AC1179" s="15">
        <f>IF($B1179="","",IF($AB1179&lt;&gt;"",$AB1179,IF($AA1179="","",IF($AA1179&lt;=設定!$C$3,0,$AA1179))))</f>
        <v/>
      </c>
      <c r="AD1179" s="14">
        <f>IF($B1179="","",IF(AND($AE1179&lt;&gt;"",$AG1179="",$AJ1179=""),"保留中",IF($AJ1179&lt;&gt;"",IF(N($AC1179)&gt;0,"支給済","不支給"),IF($AC1179="","要確認",IF($AC1179=0,"不支給","未処理")))))</f>
        <v/>
      </c>
      <c r="AE1179" s="12" t="n"/>
      <c r="AF1179" s="11" t="n"/>
      <c r="AG1179" s="11" t="n"/>
      <c r="AH1179" s="11" t="n"/>
      <c r="AI1179" s="14">
        <f>IF(AND($AD1179="保留中",$AF1179&lt;&gt;""),TODAY()-$AF1179,"")</f>
        <v/>
      </c>
      <c r="AJ1179" s="12" t="n"/>
      <c r="AK1179" s="14">
        <f>IF($B1179="","",IF($AO1179="","対象年月が未入力／","")&amp;IF($B1179="","",IF($AN1179="","職員マスタに未登録の職員番号／",IF($Y1179="","標準報酬月額が未登録／","")&amp;IF(AND($AO1179&lt;&gt;"",OR(AND(INDEX(職員マスタ!$G$6:$G$405,$AN1179)&lt;&gt;"",INDEX(職員マスタ!$G$6:$G$405,$AN1179)&gt;EOMONTH($AO1179,0)),AND(INDEX(職員マスタ!$H$6:$H$405,$AN1179)&lt;&gt;"",INDEX(職員マスタ!$H$6:$H$405,$AN1179)&lt;$AO1179))),"対象月が時短期間外／","")&amp;IF(AND(INDEX(職員マスタ!$F$6:$F$405,$AN1179)&lt;&gt;"",$AO1179&lt;&gt;"",INDEX(職員マスタ!$F$6:$F$405,$AN1179)&lt;$AO1179),"対象月に子が2歳到達済／","")&amp;IF(AND($H1179&lt;&gt;"",INDEX(職員マスタ!$B$6:$B$405,$AN1179)&lt;&gt;"",SUBSTITUTE(SUBSTITUTE($H1179," ","")," ","")&lt;&gt;SUBSTITUTE(SUBSTITUTE(INDEX(職員マスタ!$B$6:$B$405,$AN1179)," ","")," ","")),"氏名がマスタと相違／","")&amp;IF(AND($Q1179&lt;&gt;"",INDEX(職員マスタ!$E$6:$E$405,$AN1179)&lt;&gt;"",$Q1179&lt;&gt;INDEX(職員マスタ!$E$6:$E$405,$AN1179)),"子の生年月日がマスタと相違／","")&amp;IF(AND($L1179&lt;&gt;"",INDEX(職員マスタ!$G$6:$G$405,$AN1179)&lt;&gt;"",$L1179&lt;&gt;INDEX(職員マスタ!$G$6:$G$405,$AN1179)),"時短開始日がマスタと相違／","")&amp;IF(AND($M1179&lt;&gt;"",INDEX(職員マスタ!$H$6:$H$405,$AN1179)&lt;&gt;"",$M1179&lt;&gt;INDEX(職員マスタ!$H$6:$H$405,$AN1179)),"時短終了日がマスタと相違／","")))&amp;IF(AND($B1179&lt;&gt;"",$E1179=""),"報酬額が未入力／","")&amp;IF(N($U1179)&gt;0,"申請書に入力エラーが残っています／","")&amp;IF(AND($B1179&lt;&gt;"",$AO1179&lt;&gt;""),IF(COUNTIFS($B$6:$B$3005,$B1179,$C$6:$C$3005,$C1179,$D$6:$D$3005,$D1179)&gt;1,"同じ月の請求が重複しています／",""),"")&amp;IF(AND(N($E1179)&gt;0,$Z1179&lt;&gt;"",$Z1179&lt;&gt;"×",$AC1179=0,$AB1179=""),"計算額が下限以下のため不支給／",""))</f>
        <v/>
      </c>
      <c r="AL1179" s="12" t="n"/>
      <c r="AM1179" s="14">
        <f>IF($AD1179="保留中",COUNTIF($AD$6:$AD1179,"保留中"),"")</f>
        <v/>
      </c>
      <c r="AN1179" s="14">
        <f>IF($AO1179="","",IF(SUMPRODUCT(MAX((職員マスタ!$A$6:$A$405=$B1179)*(((職員マスタ!$G$6:$G$405="")+(職員マスタ!$G$6:$G$405&lt;=EOMONTH($AO1179,0)))&gt;0)*(((職員マスタ!$H$6:$H$405="")+(職員マスタ!$H$6:$H$405&gt;=$AO1179))&gt;0)*(ROW(職員マスタ!$A$6:$A$405)-5)))&gt;0,SUMPRODUCT(MAX((職員マスタ!$A$6:$A$405=$B1179)*(((職員マスタ!$G$6:$G$405="")+(職員マスタ!$G$6:$G$405&lt;=EOMONTH($AO1179,0)))&gt;0)*(((職員マスタ!$H$6:$H$405="")+(職員マスタ!$H$6:$H$405&gt;=$AO1179))&gt;0)*(ROW(職員マスタ!$A$6:$A$405)-5))),IFERROR(MATCH($B1179,職員マスタ!$A$6:$A$405,0),"")))</f>
        <v/>
      </c>
      <c r="AO1179" s="16">
        <f>IF(OR($B1179="",$C1179="",$D1179=""),"",DATE($C1179+2018,$D1179,1))</f>
        <v/>
      </c>
    </row>
    <row r="1180">
      <c r="A1180" s="11" t="n"/>
      <c r="B1180" s="12" t="n"/>
      <c r="C1180" s="12" t="n"/>
      <c r="D1180" s="12" t="n"/>
      <c r="E1180" s="13" t="n"/>
      <c r="F1180" s="12" t="n"/>
      <c r="G1180" s="13" t="n"/>
      <c r="H1180" s="12" t="n"/>
      <c r="I1180" s="12" t="n"/>
      <c r="J1180" s="12" t="n"/>
      <c r="K1180" s="12" t="n"/>
      <c r="L1180" s="11" t="n"/>
      <c r="M1180" s="11" t="n"/>
      <c r="N1180" s="11" t="n"/>
      <c r="O1180" s="11" t="n"/>
      <c r="P1180" s="12" t="n"/>
      <c r="Q1180" s="11" t="n"/>
      <c r="R1180" s="12" t="n"/>
      <c r="S1180" s="11" t="n"/>
      <c r="T1180" s="12" t="n"/>
      <c r="U1180" s="12" t="n"/>
      <c r="V1180" s="14">
        <f>IF($AN1180="",IF($B1180="","",$H1180),IF(INDEX(職員マスタ!$B$6:$B$405,$AN1180)="",$H1180,INDEX(職員マスタ!$B$6:$B$405,$AN1180)))</f>
        <v/>
      </c>
      <c r="W1180" s="14">
        <f>IF($AN1180="",IF($B1180="","",$R1180),IF(INDEX(職員マスタ!$C$6:$C$405,$AN1180)="",$R1180,INDEX(職員マスタ!$C$6:$C$405,$AN1180)))</f>
        <v/>
      </c>
      <c r="X1180" s="14">
        <f>IF($AO1180="","","R"&amp;$C1180&amp;"."&amp;$D1180)</f>
        <v/>
      </c>
      <c r="Y1180" s="15">
        <f>IF($AN1180="","",IF(INDEX(職員マスタ!$K$6:$K$405,$AN1180)="","",INDEX(職員マスタ!$K$6:$K$405,$AN1180)))</f>
        <v/>
      </c>
      <c r="Z1180" s="14">
        <f>IF(OR($E1180="",$Y1180=""),"",IF($E1180&gt;=$Y1180,"×",IF($E1180&gt;=$Y1180*設定!$C$5,"△","○")))</f>
        <v/>
      </c>
      <c r="AA1180" s="15">
        <f>IF($Z1180="","",IF($Z1180="×",0,IF($Z1180="○",ROUNDDOWN($E1180*設定!$C$4,0),ROUNDDOWN($E1180*ROUND((9*$Y1180-9*$E1180)/(10*$E1180),4),0))))</f>
        <v/>
      </c>
      <c r="AB1180" s="13" t="n"/>
      <c r="AC1180" s="15">
        <f>IF($B1180="","",IF($AB1180&lt;&gt;"",$AB1180,IF($AA1180="","",IF($AA1180&lt;=設定!$C$3,0,$AA1180))))</f>
        <v/>
      </c>
      <c r="AD1180" s="14">
        <f>IF($B1180="","",IF(AND($AE1180&lt;&gt;"",$AG1180="",$AJ1180=""),"保留中",IF($AJ1180&lt;&gt;"",IF(N($AC1180)&gt;0,"支給済","不支給"),IF($AC1180="","要確認",IF($AC1180=0,"不支給","未処理")))))</f>
        <v/>
      </c>
      <c r="AE1180" s="12" t="n"/>
      <c r="AF1180" s="11" t="n"/>
      <c r="AG1180" s="11" t="n"/>
      <c r="AH1180" s="11" t="n"/>
      <c r="AI1180" s="14">
        <f>IF(AND($AD1180="保留中",$AF1180&lt;&gt;""),TODAY()-$AF1180,"")</f>
        <v/>
      </c>
      <c r="AJ1180" s="12" t="n"/>
      <c r="AK1180" s="14">
        <f>IF($B1180="","",IF($AO1180="","対象年月が未入力／","")&amp;IF($B1180="","",IF($AN1180="","職員マスタに未登録の職員番号／",IF($Y1180="","標準報酬月額が未登録／","")&amp;IF(AND($AO1180&lt;&gt;"",OR(AND(INDEX(職員マスタ!$G$6:$G$405,$AN1180)&lt;&gt;"",INDEX(職員マスタ!$G$6:$G$405,$AN1180)&gt;EOMONTH($AO1180,0)),AND(INDEX(職員マスタ!$H$6:$H$405,$AN1180)&lt;&gt;"",INDEX(職員マスタ!$H$6:$H$405,$AN1180)&lt;$AO1180))),"対象月が時短期間外／","")&amp;IF(AND(INDEX(職員マスタ!$F$6:$F$405,$AN1180)&lt;&gt;"",$AO1180&lt;&gt;"",INDEX(職員マスタ!$F$6:$F$405,$AN1180)&lt;$AO1180),"対象月に子が2歳到達済／","")&amp;IF(AND($H1180&lt;&gt;"",INDEX(職員マスタ!$B$6:$B$405,$AN1180)&lt;&gt;"",SUBSTITUTE(SUBSTITUTE($H1180," ","")," ","")&lt;&gt;SUBSTITUTE(SUBSTITUTE(INDEX(職員マスタ!$B$6:$B$405,$AN1180)," ","")," ","")),"氏名がマスタと相違／","")&amp;IF(AND($Q1180&lt;&gt;"",INDEX(職員マスタ!$E$6:$E$405,$AN1180)&lt;&gt;"",$Q1180&lt;&gt;INDEX(職員マスタ!$E$6:$E$405,$AN1180)),"子の生年月日がマスタと相違／","")&amp;IF(AND($L1180&lt;&gt;"",INDEX(職員マスタ!$G$6:$G$405,$AN1180)&lt;&gt;"",$L1180&lt;&gt;INDEX(職員マスタ!$G$6:$G$405,$AN1180)),"時短開始日がマスタと相違／","")&amp;IF(AND($M1180&lt;&gt;"",INDEX(職員マスタ!$H$6:$H$405,$AN1180)&lt;&gt;"",$M1180&lt;&gt;INDEX(職員マスタ!$H$6:$H$405,$AN1180)),"時短終了日がマスタと相違／","")))&amp;IF(AND($B1180&lt;&gt;"",$E1180=""),"報酬額が未入力／","")&amp;IF(N($U1180)&gt;0,"申請書に入力エラーが残っています／","")&amp;IF(AND($B1180&lt;&gt;"",$AO1180&lt;&gt;""),IF(COUNTIFS($B$6:$B$3005,$B1180,$C$6:$C$3005,$C1180,$D$6:$D$3005,$D1180)&gt;1,"同じ月の請求が重複しています／",""),"")&amp;IF(AND(N($E1180)&gt;0,$Z1180&lt;&gt;"",$Z1180&lt;&gt;"×",$AC1180=0,$AB1180=""),"計算額が下限以下のため不支給／",""))</f>
        <v/>
      </c>
      <c r="AL1180" s="12" t="n"/>
      <c r="AM1180" s="14">
        <f>IF($AD1180="保留中",COUNTIF($AD$6:$AD1180,"保留中"),"")</f>
        <v/>
      </c>
      <c r="AN1180" s="14">
        <f>IF($AO1180="","",IF(SUMPRODUCT(MAX((職員マスタ!$A$6:$A$405=$B1180)*(((職員マスタ!$G$6:$G$405="")+(職員マスタ!$G$6:$G$405&lt;=EOMONTH($AO1180,0)))&gt;0)*(((職員マスタ!$H$6:$H$405="")+(職員マスタ!$H$6:$H$405&gt;=$AO1180))&gt;0)*(ROW(職員マスタ!$A$6:$A$405)-5)))&gt;0,SUMPRODUCT(MAX((職員マスタ!$A$6:$A$405=$B1180)*(((職員マスタ!$G$6:$G$405="")+(職員マスタ!$G$6:$G$405&lt;=EOMONTH($AO1180,0)))&gt;0)*(((職員マスタ!$H$6:$H$405="")+(職員マスタ!$H$6:$H$405&gt;=$AO1180))&gt;0)*(ROW(職員マスタ!$A$6:$A$405)-5))),IFERROR(MATCH($B1180,職員マスタ!$A$6:$A$405,0),"")))</f>
        <v/>
      </c>
      <c r="AO1180" s="16">
        <f>IF(OR($B1180="",$C1180="",$D1180=""),"",DATE($C1180+2018,$D1180,1))</f>
        <v/>
      </c>
    </row>
    <row r="1181">
      <c r="A1181" s="11" t="n"/>
      <c r="B1181" s="12" t="n"/>
      <c r="C1181" s="12" t="n"/>
      <c r="D1181" s="12" t="n"/>
      <c r="E1181" s="13" t="n"/>
      <c r="F1181" s="12" t="n"/>
      <c r="G1181" s="13" t="n"/>
      <c r="H1181" s="12" t="n"/>
      <c r="I1181" s="12" t="n"/>
      <c r="J1181" s="12" t="n"/>
      <c r="K1181" s="12" t="n"/>
      <c r="L1181" s="11" t="n"/>
      <c r="M1181" s="11" t="n"/>
      <c r="N1181" s="11" t="n"/>
      <c r="O1181" s="11" t="n"/>
      <c r="P1181" s="12" t="n"/>
      <c r="Q1181" s="11" t="n"/>
      <c r="R1181" s="12" t="n"/>
      <c r="S1181" s="11" t="n"/>
      <c r="T1181" s="12" t="n"/>
      <c r="U1181" s="12" t="n"/>
      <c r="V1181" s="14">
        <f>IF($AN1181="",IF($B1181="","",$H1181),IF(INDEX(職員マスタ!$B$6:$B$405,$AN1181)="",$H1181,INDEX(職員マスタ!$B$6:$B$405,$AN1181)))</f>
        <v/>
      </c>
      <c r="W1181" s="14">
        <f>IF($AN1181="",IF($B1181="","",$R1181),IF(INDEX(職員マスタ!$C$6:$C$405,$AN1181)="",$R1181,INDEX(職員マスタ!$C$6:$C$405,$AN1181)))</f>
        <v/>
      </c>
      <c r="X1181" s="14">
        <f>IF($AO1181="","","R"&amp;$C1181&amp;"."&amp;$D1181)</f>
        <v/>
      </c>
      <c r="Y1181" s="15">
        <f>IF($AN1181="","",IF(INDEX(職員マスタ!$K$6:$K$405,$AN1181)="","",INDEX(職員マスタ!$K$6:$K$405,$AN1181)))</f>
        <v/>
      </c>
      <c r="Z1181" s="14">
        <f>IF(OR($E1181="",$Y1181=""),"",IF($E1181&gt;=$Y1181,"×",IF($E1181&gt;=$Y1181*設定!$C$5,"△","○")))</f>
        <v/>
      </c>
      <c r="AA1181" s="15">
        <f>IF($Z1181="","",IF($Z1181="×",0,IF($Z1181="○",ROUNDDOWN($E1181*設定!$C$4,0),ROUNDDOWN($E1181*ROUND((9*$Y1181-9*$E1181)/(10*$E1181),4),0))))</f>
        <v/>
      </c>
      <c r="AB1181" s="13" t="n"/>
      <c r="AC1181" s="15">
        <f>IF($B1181="","",IF($AB1181&lt;&gt;"",$AB1181,IF($AA1181="","",IF($AA1181&lt;=設定!$C$3,0,$AA1181))))</f>
        <v/>
      </c>
      <c r="AD1181" s="14">
        <f>IF($B1181="","",IF(AND($AE1181&lt;&gt;"",$AG1181="",$AJ1181=""),"保留中",IF($AJ1181&lt;&gt;"",IF(N($AC1181)&gt;0,"支給済","不支給"),IF($AC1181="","要確認",IF($AC1181=0,"不支給","未処理")))))</f>
        <v/>
      </c>
      <c r="AE1181" s="12" t="n"/>
      <c r="AF1181" s="11" t="n"/>
      <c r="AG1181" s="11" t="n"/>
      <c r="AH1181" s="11" t="n"/>
      <c r="AI1181" s="14">
        <f>IF(AND($AD1181="保留中",$AF1181&lt;&gt;""),TODAY()-$AF1181,"")</f>
        <v/>
      </c>
      <c r="AJ1181" s="12" t="n"/>
      <c r="AK1181" s="14">
        <f>IF($B1181="","",IF($AO1181="","対象年月が未入力／","")&amp;IF($B1181="","",IF($AN1181="","職員マスタに未登録の職員番号／",IF($Y1181="","標準報酬月額が未登録／","")&amp;IF(AND($AO1181&lt;&gt;"",OR(AND(INDEX(職員マスタ!$G$6:$G$405,$AN1181)&lt;&gt;"",INDEX(職員マスタ!$G$6:$G$405,$AN1181)&gt;EOMONTH($AO1181,0)),AND(INDEX(職員マスタ!$H$6:$H$405,$AN1181)&lt;&gt;"",INDEX(職員マスタ!$H$6:$H$405,$AN1181)&lt;$AO1181))),"対象月が時短期間外／","")&amp;IF(AND(INDEX(職員マスタ!$F$6:$F$405,$AN1181)&lt;&gt;"",$AO1181&lt;&gt;"",INDEX(職員マスタ!$F$6:$F$405,$AN1181)&lt;$AO1181),"対象月に子が2歳到達済／","")&amp;IF(AND($H1181&lt;&gt;"",INDEX(職員マスタ!$B$6:$B$405,$AN1181)&lt;&gt;"",SUBSTITUTE(SUBSTITUTE($H1181," ","")," ","")&lt;&gt;SUBSTITUTE(SUBSTITUTE(INDEX(職員マスタ!$B$6:$B$405,$AN1181)," ","")," ","")),"氏名がマスタと相違／","")&amp;IF(AND($Q1181&lt;&gt;"",INDEX(職員マスタ!$E$6:$E$405,$AN1181)&lt;&gt;"",$Q1181&lt;&gt;INDEX(職員マスタ!$E$6:$E$405,$AN1181)),"子の生年月日がマスタと相違／","")&amp;IF(AND($L1181&lt;&gt;"",INDEX(職員マスタ!$G$6:$G$405,$AN1181)&lt;&gt;"",$L1181&lt;&gt;INDEX(職員マスタ!$G$6:$G$405,$AN1181)),"時短開始日がマスタと相違／","")&amp;IF(AND($M1181&lt;&gt;"",INDEX(職員マスタ!$H$6:$H$405,$AN1181)&lt;&gt;"",$M1181&lt;&gt;INDEX(職員マスタ!$H$6:$H$405,$AN1181)),"時短終了日がマスタと相違／","")))&amp;IF(AND($B1181&lt;&gt;"",$E1181=""),"報酬額が未入力／","")&amp;IF(N($U1181)&gt;0,"申請書に入力エラーが残っています／","")&amp;IF(AND($B1181&lt;&gt;"",$AO1181&lt;&gt;""),IF(COUNTIFS($B$6:$B$3005,$B1181,$C$6:$C$3005,$C1181,$D$6:$D$3005,$D1181)&gt;1,"同じ月の請求が重複しています／",""),"")&amp;IF(AND(N($E1181)&gt;0,$Z1181&lt;&gt;"",$Z1181&lt;&gt;"×",$AC1181=0,$AB1181=""),"計算額が下限以下のため不支給／",""))</f>
        <v/>
      </c>
      <c r="AL1181" s="12" t="n"/>
      <c r="AM1181" s="14">
        <f>IF($AD1181="保留中",COUNTIF($AD$6:$AD1181,"保留中"),"")</f>
        <v/>
      </c>
      <c r="AN1181" s="14">
        <f>IF($AO1181="","",IF(SUMPRODUCT(MAX((職員マスタ!$A$6:$A$405=$B1181)*(((職員マスタ!$G$6:$G$405="")+(職員マスタ!$G$6:$G$405&lt;=EOMONTH($AO1181,0)))&gt;0)*(((職員マスタ!$H$6:$H$405="")+(職員マスタ!$H$6:$H$405&gt;=$AO1181))&gt;0)*(ROW(職員マスタ!$A$6:$A$405)-5)))&gt;0,SUMPRODUCT(MAX((職員マスタ!$A$6:$A$405=$B1181)*(((職員マスタ!$G$6:$G$405="")+(職員マスタ!$G$6:$G$405&lt;=EOMONTH($AO1181,0)))&gt;0)*(((職員マスタ!$H$6:$H$405="")+(職員マスタ!$H$6:$H$405&gt;=$AO1181))&gt;0)*(ROW(職員マスタ!$A$6:$A$405)-5))),IFERROR(MATCH($B1181,職員マスタ!$A$6:$A$405,0),"")))</f>
        <v/>
      </c>
      <c r="AO1181" s="16">
        <f>IF(OR($B1181="",$C1181="",$D1181=""),"",DATE($C1181+2018,$D1181,1))</f>
        <v/>
      </c>
    </row>
    <row r="1182">
      <c r="A1182" s="11" t="n"/>
      <c r="B1182" s="12" t="n"/>
      <c r="C1182" s="12" t="n"/>
      <c r="D1182" s="12" t="n"/>
      <c r="E1182" s="13" t="n"/>
      <c r="F1182" s="12" t="n"/>
      <c r="G1182" s="13" t="n"/>
      <c r="H1182" s="12" t="n"/>
      <c r="I1182" s="12" t="n"/>
      <c r="J1182" s="12" t="n"/>
      <c r="K1182" s="12" t="n"/>
      <c r="L1182" s="11" t="n"/>
      <c r="M1182" s="11" t="n"/>
      <c r="N1182" s="11" t="n"/>
      <c r="O1182" s="11" t="n"/>
      <c r="P1182" s="12" t="n"/>
      <c r="Q1182" s="11" t="n"/>
      <c r="R1182" s="12" t="n"/>
      <c r="S1182" s="11" t="n"/>
      <c r="T1182" s="12" t="n"/>
      <c r="U1182" s="12" t="n"/>
      <c r="V1182" s="14">
        <f>IF($AN1182="",IF($B1182="","",$H1182),IF(INDEX(職員マスタ!$B$6:$B$405,$AN1182)="",$H1182,INDEX(職員マスタ!$B$6:$B$405,$AN1182)))</f>
        <v/>
      </c>
      <c r="W1182" s="14">
        <f>IF($AN1182="",IF($B1182="","",$R1182),IF(INDEX(職員マスタ!$C$6:$C$405,$AN1182)="",$R1182,INDEX(職員マスタ!$C$6:$C$405,$AN1182)))</f>
        <v/>
      </c>
      <c r="X1182" s="14">
        <f>IF($AO1182="","","R"&amp;$C1182&amp;"."&amp;$D1182)</f>
        <v/>
      </c>
      <c r="Y1182" s="15">
        <f>IF($AN1182="","",IF(INDEX(職員マスタ!$K$6:$K$405,$AN1182)="","",INDEX(職員マスタ!$K$6:$K$405,$AN1182)))</f>
        <v/>
      </c>
      <c r="Z1182" s="14">
        <f>IF(OR($E1182="",$Y1182=""),"",IF($E1182&gt;=$Y1182,"×",IF($E1182&gt;=$Y1182*設定!$C$5,"△","○")))</f>
        <v/>
      </c>
      <c r="AA1182" s="15">
        <f>IF($Z1182="","",IF($Z1182="×",0,IF($Z1182="○",ROUNDDOWN($E1182*設定!$C$4,0),ROUNDDOWN($E1182*ROUND((9*$Y1182-9*$E1182)/(10*$E1182),4),0))))</f>
        <v/>
      </c>
      <c r="AB1182" s="13" t="n"/>
      <c r="AC1182" s="15">
        <f>IF($B1182="","",IF($AB1182&lt;&gt;"",$AB1182,IF($AA1182="","",IF($AA1182&lt;=設定!$C$3,0,$AA1182))))</f>
        <v/>
      </c>
      <c r="AD1182" s="14">
        <f>IF($B1182="","",IF(AND($AE1182&lt;&gt;"",$AG1182="",$AJ1182=""),"保留中",IF($AJ1182&lt;&gt;"",IF(N($AC1182)&gt;0,"支給済","不支給"),IF($AC1182="","要確認",IF($AC1182=0,"不支給","未処理")))))</f>
        <v/>
      </c>
      <c r="AE1182" s="12" t="n"/>
      <c r="AF1182" s="11" t="n"/>
      <c r="AG1182" s="11" t="n"/>
      <c r="AH1182" s="11" t="n"/>
      <c r="AI1182" s="14">
        <f>IF(AND($AD1182="保留中",$AF1182&lt;&gt;""),TODAY()-$AF1182,"")</f>
        <v/>
      </c>
      <c r="AJ1182" s="12" t="n"/>
      <c r="AK1182" s="14">
        <f>IF($B1182="","",IF($AO1182="","対象年月が未入力／","")&amp;IF($B1182="","",IF($AN1182="","職員マスタに未登録の職員番号／",IF($Y1182="","標準報酬月額が未登録／","")&amp;IF(AND($AO1182&lt;&gt;"",OR(AND(INDEX(職員マスタ!$G$6:$G$405,$AN1182)&lt;&gt;"",INDEX(職員マスタ!$G$6:$G$405,$AN1182)&gt;EOMONTH($AO1182,0)),AND(INDEX(職員マスタ!$H$6:$H$405,$AN1182)&lt;&gt;"",INDEX(職員マスタ!$H$6:$H$405,$AN1182)&lt;$AO1182))),"対象月が時短期間外／","")&amp;IF(AND(INDEX(職員マスタ!$F$6:$F$405,$AN1182)&lt;&gt;"",$AO1182&lt;&gt;"",INDEX(職員マスタ!$F$6:$F$405,$AN1182)&lt;$AO1182),"対象月に子が2歳到達済／","")&amp;IF(AND($H1182&lt;&gt;"",INDEX(職員マスタ!$B$6:$B$405,$AN1182)&lt;&gt;"",SUBSTITUTE(SUBSTITUTE($H1182," ","")," ","")&lt;&gt;SUBSTITUTE(SUBSTITUTE(INDEX(職員マスタ!$B$6:$B$405,$AN1182)," ","")," ","")),"氏名がマスタと相違／","")&amp;IF(AND($Q1182&lt;&gt;"",INDEX(職員マスタ!$E$6:$E$405,$AN1182)&lt;&gt;"",$Q1182&lt;&gt;INDEX(職員マスタ!$E$6:$E$405,$AN1182)),"子の生年月日がマスタと相違／","")&amp;IF(AND($L1182&lt;&gt;"",INDEX(職員マスタ!$G$6:$G$405,$AN1182)&lt;&gt;"",$L1182&lt;&gt;INDEX(職員マスタ!$G$6:$G$405,$AN1182)),"時短開始日がマスタと相違／","")&amp;IF(AND($M1182&lt;&gt;"",INDEX(職員マスタ!$H$6:$H$405,$AN1182)&lt;&gt;"",$M1182&lt;&gt;INDEX(職員マスタ!$H$6:$H$405,$AN1182)),"時短終了日がマスタと相違／","")))&amp;IF(AND($B1182&lt;&gt;"",$E1182=""),"報酬額が未入力／","")&amp;IF(N($U1182)&gt;0,"申請書に入力エラーが残っています／","")&amp;IF(AND($B1182&lt;&gt;"",$AO1182&lt;&gt;""),IF(COUNTIFS($B$6:$B$3005,$B1182,$C$6:$C$3005,$C1182,$D$6:$D$3005,$D1182)&gt;1,"同じ月の請求が重複しています／",""),"")&amp;IF(AND(N($E1182)&gt;0,$Z1182&lt;&gt;"",$Z1182&lt;&gt;"×",$AC1182=0,$AB1182=""),"計算額が下限以下のため不支給／",""))</f>
        <v/>
      </c>
      <c r="AL1182" s="12" t="n"/>
      <c r="AM1182" s="14">
        <f>IF($AD1182="保留中",COUNTIF($AD$6:$AD1182,"保留中"),"")</f>
        <v/>
      </c>
      <c r="AN1182" s="14">
        <f>IF($AO1182="","",IF(SUMPRODUCT(MAX((職員マスタ!$A$6:$A$405=$B1182)*(((職員マスタ!$G$6:$G$405="")+(職員マスタ!$G$6:$G$405&lt;=EOMONTH($AO1182,0)))&gt;0)*(((職員マスタ!$H$6:$H$405="")+(職員マスタ!$H$6:$H$405&gt;=$AO1182))&gt;0)*(ROW(職員マスタ!$A$6:$A$405)-5)))&gt;0,SUMPRODUCT(MAX((職員マスタ!$A$6:$A$405=$B1182)*(((職員マスタ!$G$6:$G$405="")+(職員マスタ!$G$6:$G$405&lt;=EOMONTH($AO1182,0)))&gt;0)*(((職員マスタ!$H$6:$H$405="")+(職員マスタ!$H$6:$H$405&gt;=$AO1182))&gt;0)*(ROW(職員マスタ!$A$6:$A$405)-5))),IFERROR(MATCH($B1182,職員マスタ!$A$6:$A$405,0),"")))</f>
        <v/>
      </c>
      <c r="AO1182" s="16">
        <f>IF(OR($B1182="",$C1182="",$D1182=""),"",DATE($C1182+2018,$D1182,1))</f>
        <v/>
      </c>
    </row>
    <row r="1183">
      <c r="A1183" s="11" t="n"/>
      <c r="B1183" s="12" t="n"/>
      <c r="C1183" s="12" t="n"/>
      <c r="D1183" s="12" t="n"/>
      <c r="E1183" s="13" t="n"/>
      <c r="F1183" s="12" t="n"/>
      <c r="G1183" s="13" t="n"/>
      <c r="H1183" s="12" t="n"/>
      <c r="I1183" s="12" t="n"/>
      <c r="J1183" s="12" t="n"/>
      <c r="K1183" s="12" t="n"/>
      <c r="L1183" s="11" t="n"/>
      <c r="M1183" s="11" t="n"/>
      <c r="N1183" s="11" t="n"/>
      <c r="O1183" s="11" t="n"/>
      <c r="P1183" s="12" t="n"/>
      <c r="Q1183" s="11" t="n"/>
      <c r="R1183" s="12" t="n"/>
      <c r="S1183" s="11" t="n"/>
      <c r="T1183" s="12" t="n"/>
      <c r="U1183" s="12" t="n"/>
      <c r="V1183" s="14">
        <f>IF($AN1183="",IF($B1183="","",$H1183),IF(INDEX(職員マスタ!$B$6:$B$405,$AN1183)="",$H1183,INDEX(職員マスタ!$B$6:$B$405,$AN1183)))</f>
        <v/>
      </c>
      <c r="W1183" s="14">
        <f>IF($AN1183="",IF($B1183="","",$R1183),IF(INDEX(職員マスタ!$C$6:$C$405,$AN1183)="",$R1183,INDEX(職員マスタ!$C$6:$C$405,$AN1183)))</f>
        <v/>
      </c>
      <c r="X1183" s="14">
        <f>IF($AO1183="","","R"&amp;$C1183&amp;"."&amp;$D1183)</f>
        <v/>
      </c>
      <c r="Y1183" s="15">
        <f>IF($AN1183="","",IF(INDEX(職員マスタ!$K$6:$K$405,$AN1183)="","",INDEX(職員マスタ!$K$6:$K$405,$AN1183)))</f>
        <v/>
      </c>
      <c r="Z1183" s="14">
        <f>IF(OR($E1183="",$Y1183=""),"",IF($E1183&gt;=$Y1183,"×",IF($E1183&gt;=$Y1183*設定!$C$5,"△","○")))</f>
        <v/>
      </c>
      <c r="AA1183" s="15">
        <f>IF($Z1183="","",IF($Z1183="×",0,IF($Z1183="○",ROUNDDOWN($E1183*設定!$C$4,0),ROUNDDOWN($E1183*ROUND((9*$Y1183-9*$E1183)/(10*$E1183),4),0))))</f>
        <v/>
      </c>
      <c r="AB1183" s="13" t="n"/>
      <c r="AC1183" s="15">
        <f>IF($B1183="","",IF($AB1183&lt;&gt;"",$AB1183,IF($AA1183="","",IF($AA1183&lt;=設定!$C$3,0,$AA1183))))</f>
        <v/>
      </c>
      <c r="AD1183" s="14">
        <f>IF($B1183="","",IF(AND($AE1183&lt;&gt;"",$AG1183="",$AJ1183=""),"保留中",IF($AJ1183&lt;&gt;"",IF(N($AC1183)&gt;0,"支給済","不支給"),IF($AC1183="","要確認",IF($AC1183=0,"不支給","未処理")))))</f>
        <v/>
      </c>
      <c r="AE1183" s="12" t="n"/>
      <c r="AF1183" s="11" t="n"/>
      <c r="AG1183" s="11" t="n"/>
      <c r="AH1183" s="11" t="n"/>
      <c r="AI1183" s="14">
        <f>IF(AND($AD1183="保留中",$AF1183&lt;&gt;""),TODAY()-$AF1183,"")</f>
        <v/>
      </c>
      <c r="AJ1183" s="12" t="n"/>
      <c r="AK1183" s="14">
        <f>IF($B1183="","",IF($AO1183="","対象年月が未入力／","")&amp;IF($B1183="","",IF($AN1183="","職員マスタに未登録の職員番号／",IF($Y1183="","標準報酬月額が未登録／","")&amp;IF(AND($AO1183&lt;&gt;"",OR(AND(INDEX(職員マスタ!$G$6:$G$405,$AN1183)&lt;&gt;"",INDEX(職員マスタ!$G$6:$G$405,$AN1183)&gt;EOMONTH($AO1183,0)),AND(INDEX(職員マスタ!$H$6:$H$405,$AN1183)&lt;&gt;"",INDEX(職員マスタ!$H$6:$H$405,$AN1183)&lt;$AO1183))),"対象月が時短期間外／","")&amp;IF(AND(INDEX(職員マスタ!$F$6:$F$405,$AN1183)&lt;&gt;"",$AO1183&lt;&gt;"",INDEX(職員マスタ!$F$6:$F$405,$AN1183)&lt;$AO1183),"対象月に子が2歳到達済／","")&amp;IF(AND($H1183&lt;&gt;"",INDEX(職員マスタ!$B$6:$B$405,$AN1183)&lt;&gt;"",SUBSTITUTE(SUBSTITUTE($H1183," ","")," ","")&lt;&gt;SUBSTITUTE(SUBSTITUTE(INDEX(職員マスタ!$B$6:$B$405,$AN1183)," ","")," ","")),"氏名がマスタと相違／","")&amp;IF(AND($Q1183&lt;&gt;"",INDEX(職員マスタ!$E$6:$E$405,$AN1183)&lt;&gt;"",$Q1183&lt;&gt;INDEX(職員マスタ!$E$6:$E$405,$AN1183)),"子の生年月日がマスタと相違／","")&amp;IF(AND($L1183&lt;&gt;"",INDEX(職員マスタ!$G$6:$G$405,$AN1183)&lt;&gt;"",$L1183&lt;&gt;INDEX(職員マスタ!$G$6:$G$405,$AN1183)),"時短開始日がマスタと相違／","")&amp;IF(AND($M1183&lt;&gt;"",INDEX(職員マスタ!$H$6:$H$405,$AN1183)&lt;&gt;"",$M1183&lt;&gt;INDEX(職員マスタ!$H$6:$H$405,$AN1183)),"時短終了日がマスタと相違／","")))&amp;IF(AND($B1183&lt;&gt;"",$E1183=""),"報酬額が未入力／","")&amp;IF(N($U1183)&gt;0,"申請書に入力エラーが残っています／","")&amp;IF(AND($B1183&lt;&gt;"",$AO1183&lt;&gt;""),IF(COUNTIFS($B$6:$B$3005,$B1183,$C$6:$C$3005,$C1183,$D$6:$D$3005,$D1183)&gt;1,"同じ月の請求が重複しています／",""),"")&amp;IF(AND(N($E1183)&gt;0,$Z1183&lt;&gt;"",$Z1183&lt;&gt;"×",$AC1183=0,$AB1183=""),"計算額が下限以下のため不支給／",""))</f>
        <v/>
      </c>
      <c r="AL1183" s="12" t="n"/>
      <c r="AM1183" s="14">
        <f>IF($AD1183="保留中",COUNTIF($AD$6:$AD1183,"保留中"),"")</f>
        <v/>
      </c>
      <c r="AN1183" s="14">
        <f>IF($AO1183="","",IF(SUMPRODUCT(MAX((職員マスタ!$A$6:$A$405=$B1183)*(((職員マスタ!$G$6:$G$405="")+(職員マスタ!$G$6:$G$405&lt;=EOMONTH($AO1183,0)))&gt;0)*(((職員マスタ!$H$6:$H$405="")+(職員マスタ!$H$6:$H$405&gt;=$AO1183))&gt;0)*(ROW(職員マスタ!$A$6:$A$405)-5)))&gt;0,SUMPRODUCT(MAX((職員マスタ!$A$6:$A$405=$B1183)*(((職員マスタ!$G$6:$G$405="")+(職員マスタ!$G$6:$G$405&lt;=EOMONTH($AO1183,0)))&gt;0)*(((職員マスタ!$H$6:$H$405="")+(職員マスタ!$H$6:$H$405&gt;=$AO1183))&gt;0)*(ROW(職員マスタ!$A$6:$A$405)-5))),IFERROR(MATCH($B1183,職員マスタ!$A$6:$A$405,0),"")))</f>
        <v/>
      </c>
      <c r="AO1183" s="16">
        <f>IF(OR($B1183="",$C1183="",$D1183=""),"",DATE($C1183+2018,$D1183,1))</f>
        <v/>
      </c>
    </row>
    <row r="1184">
      <c r="A1184" s="11" t="n"/>
      <c r="B1184" s="12" t="n"/>
      <c r="C1184" s="12" t="n"/>
      <c r="D1184" s="12" t="n"/>
      <c r="E1184" s="13" t="n"/>
      <c r="F1184" s="12" t="n"/>
      <c r="G1184" s="13" t="n"/>
      <c r="H1184" s="12" t="n"/>
      <c r="I1184" s="12" t="n"/>
      <c r="J1184" s="12" t="n"/>
      <c r="K1184" s="12" t="n"/>
      <c r="L1184" s="11" t="n"/>
      <c r="M1184" s="11" t="n"/>
      <c r="N1184" s="11" t="n"/>
      <c r="O1184" s="11" t="n"/>
      <c r="P1184" s="12" t="n"/>
      <c r="Q1184" s="11" t="n"/>
      <c r="R1184" s="12" t="n"/>
      <c r="S1184" s="11" t="n"/>
      <c r="T1184" s="12" t="n"/>
      <c r="U1184" s="12" t="n"/>
      <c r="V1184" s="14">
        <f>IF($AN1184="",IF($B1184="","",$H1184),IF(INDEX(職員マスタ!$B$6:$B$405,$AN1184)="",$H1184,INDEX(職員マスタ!$B$6:$B$405,$AN1184)))</f>
        <v/>
      </c>
      <c r="W1184" s="14">
        <f>IF($AN1184="",IF($B1184="","",$R1184),IF(INDEX(職員マスタ!$C$6:$C$405,$AN1184)="",$R1184,INDEX(職員マスタ!$C$6:$C$405,$AN1184)))</f>
        <v/>
      </c>
      <c r="X1184" s="14">
        <f>IF($AO1184="","","R"&amp;$C1184&amp;"."&amp;$D1184)</f>
        <v/>
      </c>
      <c r="Y1184" s="15">
        <f>IF($AN1184="","",IF(INDEX(職員マスタ!$K$6:$K$405,$AN1184)="","",INDEX(職員マスタ!$K$6:$K$405,$AN1184)))</f>
        <v/>
      </c>
      <c r="Z1184" s="14">
        <f>IF(OR($E1184="",$Y1184=""),"",IF($E1184&gt;=$Y1184,"×",IF($E1184&gt;=$Y1184*設定!$C$5,"△","○")))</f>
        <v/>
      </c>
      <c r="AA1184" s="15">
        <f>IF($Z1184="","",IF($Z1184="×",0,IF($Z1184="○",ROUNDDOWN($E1184*設定!$C$4,0),ROUNDDOWN($E1184*ROUND((9*$Y1184-9*$E1184)/(10*$E1184),4),0))))</f>
        <v/>
      </c>
      <c r="AB1184" s="13" t="n"/>
      <c r="AC1184" s="15">
        <f>IF($B1184="","",IF($AB1184&lt;&gt;"",$AB1184,IF($AA1184="","",IF($AA1184&lt;=設定!$C$3,0,$AA1184))))</f>
        <v/>
      </c>
      <c r="AD1184" s="14">
        <f>IF($B1184="","",IF(AND($AE1184&lt;&gt;"",$AG1184="",$AJ1184=""),"保留中",IF($AJ1184&lt;&gt;"",IF(N($AC1184)&gt;0,"支給済","不支給"),IF($AC1184="","要確認",IF($AC1184=0,"不支給","未処理")))))</f>
        <v/>
      </c>
      <c r="AE1184" s="12" t="n"/>
      <c r="AF1184" s="11" t="n"/>
      <c r="AG1184" s="11" t="n"/>
      <c r="AH1184" s="11" t="n"/>
      <c r="AI1184" s="14">
        <f>IF(AND($AD1184="保留中",$AF1184&lt;&gt;""),TODAY()-$AF1184,"")</f>
        <v/>
      </c>
      <c r="AJ1184" s="12" t="n"/>
      <c r="AK1184" s="14">
        <f>IF($B1184="","",IF($AO1184="","対象年月が未入力／","")&amp;IF($B1184="","",IF($AN1184="","職員マスタに未登録の職員番号／",IF($Y1184="","標準報酬月額が未登録／","")&amp;IF(AND($AO1184&lt;&gt;"",OR(AND(INDEX(職員マスタ!$G$6:$G$405,$AN1184)&lt;&gt;"",INDEX(職員マスタ!$G$6:$G$405,$AN1184)&gt;EOMONTH($AO1184,0)),AND(INDEX(職員マスタ!$H$6:$H$405,$AN1184)&lt;&gt;"",INDEX(職員マスタ!$H$6:$H$405,$AN1184)&lt;$AO1184))),"対象月が時短期間外／","")&amp;IF(AND(INDEX(職員マスタ!$F$6:$F$405,$AN1184)&lt;&gt;"",$AO1184&lt;&gt;"",INDEX(職員マスタ!$F$6:$F$405,$AN1184)&lt;$AO1184),"対象月に子が2歳到達済／","")&amp;IF(AND($H1184&lt;&gt;"",INDEX(職員マスタ!$B$6:$B$405,$AN1184)&lt;&gt;"",SUBSTITUTE(SUBSTITUTE($H1184," ","")," ","")&lt;&gt;SUBSTITUTE(SUBSTITUTE(INDEX(職員マスタ!$B$6:$B$405,$AN1184)," ","")," ","")),"氏名がマスタと相違／","")&amp;IF(AND($Q1184&lt;&gt;"",INDEX(職員マスタ!$E$6:$E$405,$AN1184)&lt;&gt;"",$Q1184&lt;&gt;INDEX(職員マスタ!$E$6:$E$405,$AN1184)),"子の生年月日がマスタと相違／","")&amp;IF(AND($L1184&lt;&gt;"",INDEX(職員マスタ!$G$6:$G$405,$AN1184)&lt;&gt;"",$L1184&lt;&gt;INDEX(職員マスタ!$G$6:$G$405,$AN1184)),"時短開始日がマスタと相違／","")&amp;IF(AND($M1184&lt;&gt;"",INDEX(職員マスタ!$H$6:$H$405,$AN1184)&lt;&gt;"",$M1184&lt;&gt;INDEX(職員マスタ!$H$6:$H$405,$AN1184)),"時短終了日がマスタと相違／","")))&amp;IF(AND($B1184&lt;&gt;"",$E1184=""),"報酬額が未入力／","")&amp;IF(N($U1184)&gt;0,"申請書に入力エラーが残っています／","")&amp;IF(AND($B1184&lt;&gt;"",$AO1184&lt;&gt;""),IF(COUNTIFS($B$6:$B$3005,$B1184,$C$6:$C$3005,$C1184,$D$6:$D$3005,$D1184)&gt;1,"同じ月の請求が重複しています／",""),"")&amp;IF(AND(N($E1184)&gt;0,$Z1184&lt;&gt;"",$Z1184&lt;&gt;"×",$AC1184=0,$AB1184=""),"計算額が下限以下のため不支給／",""))</f>
        <v/>
      </c>
      <c r="AL1184" s="12" t="n"/>
      <c r="AM1184" s="14">
        <f>IF($AD1184="保留中",COUNTIF($AD$6:$AD1184,"保留中"),"")</f>
        <v/>
      </c>
      <c r="AN1184" s="14">
        <f>IF($AO1184="","",IF(SUMPRODUCT(MAX((職員マスタ!$A$6:$A$405=$B1184)*(((職員マスタ!$G$6:$G$405="")+(職員マスタ!$G$6:$G$405&lt;=EOMONTH($AO1184,0)))&gt;0)*(((職員マスタ!$H$6:$H$405="")+(職員マスタ!$H$6:$H$405&gt;=$AO1184))&gt;0)*(ROW(職員マスタ!$A$6:$A$405)-5)))&gt;0,SUMPRODUCT(MAX((職員マスタ!$A$6:$A$405=$B1184)*(((職員マスタ!$G$6:$G$405="")+(職員マスタ!$G$6:$G$405&lt;=EOMONTH($AO1184,0)))&gt;0)*(((職員マスタ!$H$6:$H$405="")+(職員マスタ!$H$6:$H$405&gt;=$AO1184))&gt;0)*(ROW(職員マスタ!$A$6:$A$405)-5))),IFERROR(MATCH($B1184,職員マスタ!$A$6:$A$405,0),"")))</f>
        <v/>
      </c>
      <c r="AO1184" s="16">
        <f>IF(OR($B1184="",$C1184="",$D1184=""),"",DATE($C1184+2018,$D1184,1))</f>
        <v/>
      </c>
    </row>
    <row r="1185">
      <c r="A1185" s="11" t="n"/>
      <c r="B1185" s="12" t="n"/>
      <c r="C1185" s="12" t="n"/>
      <c r="D1185" s="12" t="n"/>
      <c r="E1185" s="13" t="n"/>
      <c r="F1185" s="12" t="n"/>
      <c r="G1185" s="13" t="n"/>
      <c r="H1185" s="12" t="n"/>
      <c r="I1185" s="12" t="n"/>
      <c r="J1185" s="12" t="n"/>
      <c r="K1185" s="12" t="n"/>
      <c r="L1185" s="11" t="n"/>
      <c r="M1185" s="11" t="n"/>
      <c r="N1185" s="11" t="n"/>
      <c r="O1185" s="11" t="n"/>
      <c r="P1185" s="12" t="n"/>
      <c r="Q1185" s="11" t="n"/>
      <c r="R1185" s="12" t="n"/>
      <c r="S1185" s="11" t="n"/>
      <c r="T1185" s="12" t="n"/>
      <c r="U1185" s="12" t="n"/>
      <c r="V1185" s="14">
        <f>IF($AN1185="",IF($B1185="","",$H1185),IF(INDEX(職員マスタ!$B$6:$B$405,$AN1185)="",$H1185,INDEX(職員マスタ!$B$6:$B$405,$AN1185)))</f>
        <v/>
      </c>
      <c r="W1185" s="14">
        <f>IF($AN1185="",IF($B1185="","",$R1185),IF(INDEX(職員マスタ!$C$6:$C$405,$AN1185)="",$R1185,INDEX(職員マスタ!$C$6:$C$405,$AN1185)))</f>
        <v/>
      </c>
      <c r="X1185" s="14">
        <f>IF($AO1185="","","R"&amp;$C1185&amp;"."&amp;$D1185)</f>
        <v/>
      </c>
      <c r="Y1185" s="15">
        <f>IF($AN1185="","",IF(INDEX(職員マスタ!$K$6:$K$405,$AN1185)="","",INDEX(職員マスタ!$K$6:$K$405,$AN1185)))</f>
        <v/>
      </c>
      <c r="Z1185" s="14">
        <f>IF(OR($E1185="",$Y1185=""),"",IF($E1185&gt;=$Y1185,"×",IF($E1185&gt;=$Y1185*設定!$C$5,"△","○")))</f>
        <v/>
      </c>
      <c r="AA1185" s="15">
        <f>IF($Z1185="","",IF($Z1185="×",0,IF($Z1185="○",ROUNDDOWN($E1185*設定!$C$4,0),ROUNDDOWN($E1185*ROUND((9*$Y1185-9*$E1185)/(10*$E1185),4),0))))</f>
        <v/>
      </c>
      <c r="AB1185" s="13" t="n"/>
      <c r="AC1185" s="15">
        <f>IF($B1185="","",IF($AB1185&lt;&gt;"",$AB1185,IF($AA1185="","",IF($AA1185&lt;=設定!$C$3,0,$AA1185))))</f>
        <v/>
      </c>
      <c r="AD1185" s="14">
        <f>IF($B1185="","",IF(AND($AE1185&lt;&gt;"",$AG1185="",$AJ1185=""),"保留中",IF($AJ1185&lt;&gt;"",IF(N($AC1185)&gt;0,"支給済","不支給"),IF($AC1185="","要確認",IF($AC1185=0,"不支給","未処理")))))</f>
        <v/>
      </c>
      <c r="AE1185" s="12" t="n"/>
      <c r="AF1185" s="11" t="n"/>
      <c r="AG1185" s="11" t="n"/>
      <c r="AH1185" s="11" t="n"/>
      <c r="AI1185" s="14">
        <f>IF(AND($AD1185="保留中",$AF1185&lt;&gt;""),TODAY()-$AF1185,"")</f>
        <v/>
      </c>
      <c r="AJ1185" s="12" t="n"/>
      <c r="AK1185" s="14">
        <f>IF($B1185="","",IF($AO1185="","対象年月が未入力／","")&amp;IF($B1185="","",IF($AN1185="","職員マスタに未登録の職員番号／",IF($Y1185="","標準報酬月額が未登録／","")&amp;IF(AND($AO1185&lt;&gt;"",OR(AND(INDEX(職員マスタ!$G$6:$G$405,$AN1185)&lt;&gt;"",INDEX(職員マスタ!$G$6:$G$405,$AN1185)&gt;EOMONTH($AO1185,0)),AND(INDEX(職員マスタ!$H$6:$H$405,$AN1185)&lt;&gt;"",INDEX(職員マスタ!$H$6:$H$405,$AN1185)&lt;$AO1185))),"対象月が時短期間外／","")&amp;IF(AND(INDEX(職員マスタ!$F$6:$F$405,$AN1185)&lt;&gt;"",$AO1185&lt;&gt;"",INDEX(職員マスタ!$F$6:$F$405,$AN1185)&lt;$AO1185),"対象月に子が2歳到達済／","")&amp;IF(AND($H1185&lt;&gt;"",INDEX(職員マスタ!$B$6:$B$405,$AN1185)&lt;&gt;"",SUBSTITUTE(SUBSTITUTE($H1185," ","")," ","")&lt;&gt;SUBSTITUTE(SUBSTITUTE(INDEX(職員マスタ!$B$6:$B$405,$AN1185)," ","")," ","")),"氏名がマスタと相違／","")&amp;IF(AND($Q1185&lt;&gt;"",INDEX(職員マスタ!$E$6:$E$405,$AN1185)&lt;&gt;"",$Q1185&lt;&gt;INDEX(職員マスタ!$E$6:$E$405,$AN1185)),"子の生年月日がマスタと相違／","")&amp;IF(AND($L1185&lt;&gt;"",INDEX(職員マスタ!$G$6:$G$405,$AN1185)&lt;&gt;"",$L1185&lt;&gt;INDEX(職員マスタ!$G$6:$G$405,$AN1185)),"時短開始日がマスタと相違／","")&amp;IF(AND($M1185&lt;&gt;"",INDEX(職員マスタ!$H$6:$H$405,$AN1185)&lt;&gt;"",$M1185&lt;&gt;INDEX(職員マスタ!$H$6:$H$405,$AN1185)),"時短終了日がマスタと相違／","")))&amp;IF(AND($B1185&lt;&gt;"",$E1185=""),"報酬額が未入力／","")&amp;IF(N($U1185)&gt;0,"申請書に入力エラーが残っています／","")&amp;IF(AND($B1185&lt;&gt;"",$AO1185&lt;&gt;""),IF(COUNTIFS($B$6:$B$3005,$B1185,$C$6:$C$3005,$C1185,$D$6:$D$3005,$D1185)&gt;1,"同じ月の請求が重複しています／",""),"")&amp;IF(AND(N($E1185)&gt;0,$Z1185&lt;&gt;"",$Z1185&lt;&gt;"×",$AC1185=0,$AB1185=""),"計算額が下限以下のため不支給／",""))</f>
        <v/>
      </c>
      <c r="AL1185" s="12" t="n"/>
      <c r="AM1185" s="14">
        <f>IF($AD1185="保留中",COUNTIF($AD$6:$AD1185,"保留中"),"")</f>
        <v/>
      </c>
      <c r="AN1185" s="14">
        <f>IF($AO1185="","",IF(SUMPRODUCT(MAX((職員マスタ!$A$6:$A$405=$B1185)*(((職員マスタ!$G$6:$G$405="")+(職員マスタ!$G$6:$G$405&lt;=EOMONTH($AO1185,0)))&gt;0)*(((職員マスタ!$H$6:$H$405="")+(職員マスタ!$H$6:$H$405&gt;=$AO1185))&gt;0)*(ROW(職員マスタ!$A$6:$A$405)-5)))&gt;0,SUMPRODUCT(MAX((職員マスタ!$A$6:$A$405=$B1185)*(((職員マスタ!$G$6:$G$405="")+(職員マスタ!$G$6:$G$405&lt;=EOMONTH($AO1185,0)))&gt;0)*(((職員マスタ!$H$6:$H$405="")+(職員マスタ!$H$6:$H$405&gt;=$AO1185))&gt;0)*(ROW(職員マスタ!$A$6:$A$405)-5))),IFERROR(MATCH($B1185,職員マスタ!$A$6:$A$405,0),"")))</f>
        <v/>
      </c>
      <c r="AO1185" s="16">
        <f>IF(OR($B1185="",$C1185="",$D1185=""),"",DATE($C1185+2018,$D1185,1))</f>
        <v/>
      </c>
    </row>
    <row r="1186">
      <c r="A1186" s="11" t="n"/>
      <c r="B1186" s="12" t="n"/>
      <c r="C1186" s="12" t="n"/>
      <c r="D1186" s="12" t="n"/>
      <c r="E1186" s="13" t="n"/>
      <c r="F1186" s="12" t="n"/>
      <c r="G1186" s="13" t="n"/>
      <c r="H1186" s="12" t="n"/>
      <c r="I1186" s="12" t="n"/>
      <c r="J1186" s="12" t="n"/>
      <c r="K1186" s="12" t="n"/>
      <c r="L1186" s="11" t="n"/>
      <c r="M1186" s="11" t="n"/>
      <c r="N1186" s="11" t="n"/>
      <c r="O1186" s="11" t="n"/>
      <c r="P1186" s="12" t="n"/>
      <c r="Q1186" s="11" t="n"/>
      <c r="R1186" s="12" t="n"/>
      <c r="S1186" s="11" t="n"/>
      <c r="T1186" s="12" t="n"/>
      <c r="U1186" s="12" t="n"/>
      <c r="V1186" s="14">
        <f>IF($AN1186="",IF($B1186="","",$H1186),IF(INDEX(職員マスタ!$B$6:$B$405,$AN1186)="",$H1186,INDEX(職員マスタ!$B$6:$B$405,$AN1186)))</f>
        <v/>
      </c>
      <c r="W1186" s="14">
        <f>IF($AN1186="",IF($B1186="","",$R1186),IF(INDEX(職員マスタ!$C$6:$C$405,$AN1186)="",$R1186,INDEX(職員マスタ!$C$6:$C$405,$AN1186)))</f>
        <v/>
      </c>
      <c r="X1186" s="14">
        <f>IF($AO1186="","","R"&amp;$C1186&amp;"."&amp;$D1186)</f>
        <v/>
      </c>
      <c r="Y1186" s="15">
        <f>IF($AN1186="","",IF(INDEX(職員マスタ!$K$6:$K$405,$AN1186)="","",INDEX(職員マスタ!$K$6:$K$405,$AN1186)))</f>
        <v/>
      </c>
      <c r="Z1186" s="14">
        <f>IF(OR($E1186="",$Y1186=""),"",IF($E1186&gt;=$Y1186,"×",IF($E1186&gt;=$Y1186*設定!$C$5,"△","○")))</f>
        <v/>
      </c>
      <c r="AA1186" s="15">
        <f>IF($Z1186="","",IF($Z1186="×",0,IF($Z1186="○",ROUNDDOWN($E1186*設定!$C$4,0),ROUNDDOWN($E1186*ROUND((9*$Y1186-9*$E1186)/(10*$E1186),4),0))))</f>
        <v/>
      </c>
      <c r="AB1186" s="13" t="n"/>
      <c r="AC1186" s="15">
        <f>IF($B1186="","",IF($AB1186&lt;&gt;"",$AB1186,IF($AA1186="","",IF($AA1186&lt;=設定!$C$3,0,$AA1186))))</f>
        <v/>
      </c>
      <c r="AD1186" s="14">
        <f>IF($B1186="","",IF(AND($AE1186&lt;&gt;"",$AG1186="",$AJ1186=""),"保留中",IF($AJ1186&lt;&gt;"",IF(N($AC1186)&gt;0,"支給済","不支給"),IF($AC1186="","要確認",IF($AC1186=0,"不支給","未処理")))))</f>
        <v/>
      </c>
      <c r="AE1186" s="12" t="n"/>
      <c r="AF1186" s="11" t="n"/>
      <c r="AG1186" s="11" t="n"/>
      <c r="AH1186" s="11" t="n"/>
      <c r="AI1186" s="14">
        <f>IF(AND($AD1186="保留中",$AF1186&lt;&gt;""),TODAY()-$AF1186,"")</f>
        <v/>
      </c>
      <c r="AJ1186" s="12" t="n"/>
      <c r="AK1186" s="14">
        <f>IF($B1186="","",IF($AO1186="","対象年月が未入力／","")&amp;IF($B1186="","",IF($AN1186="","職員マスタに未登録の職員番号／",IF($Y1186="","標準報酬月額が未登録／","")&amp;IF(AND($AO1186&lt;&gt;"",OR(AND(INDEX(職員マスタ!$G$6:$G$405,$AN1186)&lt;&gt;"",INDEX(職員マスタ!$G$6:$G$405,$AN1186)&gt;EOMONTH($AO1186,0)),AND(INDEX(職員マスタ!$H$6:$H$405,$AN1186)&lt;&gt;"",INDEX(職員マスタ!$H$6:$H$405,$AN1186)&lt;$AO1186))),"対象月が時短期間外／","")&amp;IF(AND(INDEX(職員マスタ!$F$6:$F$405,$AN1186)&lt;&gt;"",$AO1186&lt;&gt;"",INDEX(職員マスタ!$F$6:$F$405,$AN1186)&lt;$AO1186),"対象月に子が2歳到達済／","")&amp;IF(AND($H1186&lt;&gt;"",INDEX(職員マスタ!$B$6:$B$405,$AN1186)&lt;&gt;"",SUBSTITUTE(SUBSTITUTE($H1186," ","")," ","")&lt;&gt;SUBSTITUTE(SUBSTITUTE(INDEX(職員マスタ!$B$6:$B$405,$AN1186)," ","")," ","")),"氏名がマスタと相違／","")&amp;IF(AND($Q1186&lt;&gt;"",INDEX(職員マスタ!$E$6:$E$405,$AN1186)&lt;&gt;"",$Q1186&lt;&gt;INDEX(職員マスタ!$E$6:$E$405,$AN1186)),"子の生年月日がマスタと相違／","")&amp;IF(AND($L1186&lt;&gt;"",INDEX(職員マスタ!$G$6:$G$405,$AN1186)&lt;&gt;"",$L1186&lt;&gt;INDEX(職員マスタ!$G$6:$G$405,$AN1186)),"時短開始日がマスタと相違／","")&amp;IF(AND($M1186&lt;&gt;"",INDEX(職員マスタ!$H$6:$H$405,$AN1186)&lt;&gt;"",$M1186&lt;&gt;INDEX(職員マスタ!$H$6:$H$405,$AN1186)),"時短終了日がマスタと相違／","")))&amp;IF(AND($B1186&lt;&gt;"",$E1186=""),"報酬額が未入力／","")&amp;IF(N($U1186)&gt;0,"申請書に入力エラーが残っています／","")&amp;IF(AND($B1186&lt;&gt;"",$AO1186&lt;&gt;""),IF(COUNTIFS($B$6:$B$3005,$B1186,$C$6:$C$3005,$C1186,$D$6:$D$3005,$D1186)&gt;1,"同じ月の請求が重複しています／",""),"")&amp;IF(AND(N($E1186)&gt;0,$Z1186&lt;&gt;"",$Z1186&lt;&gt;"×",$AC1186=0,$AB1186=""),"計算額が下限以下のため不支給／",""))</f>
        <v/>
      </c>
      <c r="AL1186" s="12" t="n"/>
      <c r="AM1186" s="14">
        <f>IF($AD1186="保留中",COUNTIF($AD$6:$AD1186,"保留中"),"")</f>
        <v/>
      </c>
      <c r="AN1186" s="14">
        <f>IF($AO1186="","",IF(SUMPRODUCT(MAX((職員マスタ!$A$6:$A$405=$B1186)*(((職員マスタ!$G$6:$G$405="")+(職員マスタ!$G$6:$G$405&lt;=EOMONTH($AO1186,0)))&gt;0)*(((職員マスタ!$H$6:$H$405="")+(職員マスタ!$H$6:$H$405&gt;=$AO1186))&gt;0)*(ROW(職員マスタ!$A$6:$A$405)-5)))&gt;0,SUMPRODUCT(MAX((職員マスタ!$A$6:$A$405=$B1186)*(((職員マスタ!$G$6:$G$405="")+(職員マスタ!$G$6:$G$405&lt;=EOMONTH($AO1186,0)))&gt;0)*(((職員マスタ!$H$6:$H$405="")+(職員マスタ!$H$6:$H$405&gt;=$AO1186))&gt;0)*(ROW(職員マスタ!$A$6:$A$405)-5))),IFERROR(MATCH($B1186,職員マスタ!$A$6:$A$405,0),"")))</f>
        <v/>
      </c>
      <c r="AO1186" s="16">
        <f>IF(OR($B1186="",$C1186="",$D1186=""),"",DATE($C1186+2018,$D1186,1))</f>
        <v/>
      </c>
    </row>
    <row r="1187">
      <c r="A1187" s="11" t="n"/>
      <c r="B1187" s="12" t="n"/>
      <c r="C1187" s="12" t="n"/>
      <c r="D1187" s="12" t="n"/>
      <c r="E1187" s="13" t="n"/>
      <c r="F1187" s="12" t="n"/>
      <c r="G1187" s="13" t="n"/>
      <c r="H1187" s="12" t="n"/>
      <c r="I1187" s="12" t="n"/>
      <c r="J1187" s="12" t="n"/>
      <c r="K1187" s="12" t="n"/>
      <c r="L1187" s="11" t="n"/>
      <c r="M1187" s="11" t="n"/>
      <c r="N1187" s="11" t="n"/>
      <c r="O1187" s="11" t="n"/>
      <c r="P1187" s="12" t="n"/>
      <c r="Q1187" s="11" t="n"/>
      <c r="R1187" s="12" t="n"/>
      <c r="S1187" s="11" t="n"/>
      <c r="T1187" s="12" t="n"/>
      <c r="U1187" s="12" t="n"/>
      <c r="V1187" s="14">
        <f>IF($AN1187="",IF($B1187="","",$H1187),IF(INDEX(職員マスタ!$B$6:$B$405,$AN1187)="",$H1187,INDEX(職員マスタ!$B$6:$B$405,$AN1187)))</f>
        <v/>
      </c>
      <c r="W1187" s="14">
        <f>IF($AN1187="",IF($B1187="","",$R1187),IF(INDEX(職員マスタ!$C$6:$C$405,$AN1187)="",$R1187,INDEX(職員マスタ!$C$6:$C$405,$AN1187)))</f>
        <v/>
      </c>
      <c r="X1187" s="14">
        <f>IF($AO1187="","","R"&amp;$C1187&amp;"."&amp;$D1187)</f>
        <v/>
      </c>
      <c r="Y1187" s="15">
        <f>IF($AN1187="","",IF(INDEX(職員マスタ!$K$6:$K$405,$AN1187)="","",INDEX(職員マスタ!$K$6:$K$405,$AN1187)))</f>
        <v/>
      </c>
      <c r="Z1187" s="14">
        <f>IF(OR($E1187="",$Y1187=""),"",IF($E1187&gt;=$Y1187,"×",IF($E1187&gt;=$Y1187*設定!$C$5,"△","○")))</f>
        <v/>
      </c>
      <c r="AA1187" s="15">
        <f>IF($Z1187="","",IF($Z1187="×",0,IF($Z1187="○",ROUNDDOWN($E1187*設定!$C$4,0),ROUNDDOWN($E1187*ROUND((9*$Y1187-9*$E1187)/(10*$E1187),4),0))))</f>
        <v/>
      </c>
      <c r="AB1187" s="13" t="n"/>
      <c r="AC1187" s="15">
        <f>IF($B1187="","",IF($AB1187&lt;&gt;"",$AB1187,IF($AA1187="","",IF($AA1187&lt;=設定!$C$3,0,$AA1187))))</f>
        <v/>
      </c>
      <c r="AD1187" s="14">
        <f>IF($B1187="","",IF(AND($AE1187&lt;&gt;"",$AG1187="",$AJ1187=""),"保留中",IF($AJ1187&lt;&gt;"",IF(N($AC1187)&gt;0,"支給済","不支給"),IF($AC1187="","要確認",IF($AC1187=0,"不支給","未処理")))))</f>
        <v/>
      </c>
      <c r="AE1187" s="12" t="n"/>
      <c r="AF1187" s="11" t="n"/>
      <c r="AG1187" s="11" t="n"/>
      <c r="AH1187" s="11" t="n"/>
      <c r="AI1187" s="14">
        <f>IF(AND($AD1187="保留中",$AF1187&lt;&gt;""),TODAY()-$AF1187,"")</f>
        <v/>
      </c>
      <c r="AJ1187" s="12" t="n"/>
      <c r="AK1187" s="14">
        <f>IF($B1187="","",IF($AO1187="","対象年月が未入力／","")&amp;IF($B1187="","",IF($AN1187="","職員マスタに未登録の職員番号／",IF($Y1187="","標準報酬月額が未登録／","")&amp;IF(AND($AO1187&lt;&gt;"",OR(AND(INDEX(職員マスタ!$G$6:$G$405,$AN1187)&lt;&gt;"",INDEX(職員マスタ!$G$6:$G$405,$AN1187)&gt;EOMONTH($AO1187,0)),AND(INDEX(職員マスタ!$H$6:$H$405,$AN1187)&lt;&gt;"",INDEX(職員マスタ!$H$6:$H$405,$AN1187)&lt;$AO1187))),"対象月が時短期間外／","")&amp;IF(AND(INDEX(職員マスタ!$F$6:$F$405,$AN1187)&lt;&gt;"",$AO1187&lt;&gt;"",INDEX(職員マスタ!$F$6:$F$405,$AN1187)&lt;$AO1187),"対象月に子が2歳到達済／","")&amp;IF(AND($H1187&lt;&gt;"",INDEX(職員マスタ!$B$6:$B$405,$AN1187)&lt;&gt;"",SUBSTITUTE(SUBSTITUTE($H1187," ","")," ","")&lt;&gt;SUBSTITUTE(SUBSTITUTE(INDEX(職員マスタ!$B$6:$B$405,$AN1187)," ","")," ","")),"氏名がマスタと相違／","")&amp;IF(AND($Q1187&lt;&gt;"",INDEX(職員マスタ!$E$6:$E$405,$AN1187)&lt;&gt;"",$Q1187&lt;&gt;INDEX(職員マスタ!$E$6:$E$405,$AN1187)),"子の生年月日がマスタと相違／","")&amp;IF(AND($L1187&lt;&gt;"",INDEX(職員マスタ!$G$6:$G$405,$AN1187)&lt;&gt;"",$L1187&lt;&gt;INDEX(職員マスタ!$G$6:$G$405,$AN1187)),"時短開始日がマスタと相違／","")&amp;IF(AND($M1187&lt;&gt;"",INDEX(職員マスタ!$H$6:$H$405,$AN1187)&lt;&gt;"",$M1187&lt;&gt;INDEX(職員マスタ!$H$6:$H$405,$AN1187)),"時短終了日がマスタと相違／","")))&amp;IF(AND($B1187&lt;&gt;"",$E1187=""),"報酬額が未入力／","")&amp;IF(N($U1187)&gt;0,"申請書に入力エラーが残っています／","")&amp;IF(AND($B1187&lt;&gt;"",$AO1187&lt;&gt;""),IF(COUNTIFS($B$6:$B$3005,$B1187,$C$6:$C$3005,$C1187,$D$6:$D$3005,$D1187)&gt;1,"同じ月の請求が重複しています／",""),"")&amp;IF(AND(N($E1187)&gt;0,$Z1187&lt;&gt;"",$Z1187&lt;&gt;"×",$AC1187=0,$AB1187=""),"計算額が下限以下のため不支給／",""))</f>
        <v/>
      </c>
      <c r="AL1187" s="12" t="n"/>
      <c r="AM1187" s="14">
        <f>IF($AD1187="保留中",COUNTIF($AD$6:$AD1187,"保留中"),"")</f>
        <v/>
      </c>
      <c r="AN1187" s="14">
        <f>IF($AO1187="","",IF(SUMPRODUCT(MAX((職員マスタ!$A$6:$A$405=$B1187)*(((職員マスタ!$G$6:$G$405="")+(職員マスタ!$G$6:$G$405&lt;=EOMONTH($AO1187,0)))&gt;0)*(((職員マスタ!$H$6:$H$405="")+(職員マスタ!$H$6:$H$405&gt;=$AO1187))&gt;0)*(ROW(職員マスタ!$A$6:$A$405)-5)))&gt;0,SUMPRODUCT(MAX((職員マスタ!$A$6:$A$405=$B1187)*(((職員マスタ!$G$6:$G$405="")+(職員マスタ!$G$6:$G$405&lt;=EOMONTH($AO1187,0)))&gt;0)*(((職員マスタ!$H$6:$H$405="")+(職員マスタ!$H$6:$H$405&gt;=$AO1187))&gt;0)*(ROW(職員マスタ!$A$6:$A$405)-5))),IFERROR(MATCH($B1187,職員マスタ!$A$6:$A$405,0),"")))</f>
        <v/>
      </c>
      <c r="AO1187" s="16">
        <f>IF(OR($B1187="",$C1187="",$D1187=""),"",DATE($C1187+2018,$D1187,1))</f>
        <v/>
      </c>
    </row>
    <row r="1188">
      <c r="A1188" s="11" t="n"/>
      <c r="B1188" s="12" t="n"/>
      <c r="C1188" s="12" t="n"/>
      <c r="D1188" s="12" t="n"/>
      <c r="E1188" s="13" t="n"/>
      <c r="F1188" s="12" t="n"/>
      <c r="G1188" s="13" t="n"/>
      <c r="H1188" s="12" t="n"/>
      <c r="I1188" s="12" t="n"/>
      <c r="J1188" s="12" t="n"/>
      <c r="K1188" s="12" t="n"/>
      <c r="L1188" s="11" t="n"/>
      <c r="M1188" s="11" t="n"/>
      <c r="N1188" s="11" t="n"/>
      <c r="O1188" s="11" t="n"/>
      <c r="P1188" s="12" t="n"/>
      <c r="Q1188" s="11" t="n"/>
      <c r="R1188" s="12" t="n"/>
      <c r="S1188" s="11" t="n"/>
      <c r="T1188" s="12" t="n"/>
      <c r="U1188" s="12" t="n"/>
      <c r="V1188" s="14">
        <f>IF($AN1188="",IF($B1188="","",$H1188),IF(INDEX(職員マスタ!$B$6:$B$405,$AN1188)="",$H1188,INDEX(職員マスタ!$B$6:$B$405,$AN1188)))</f>
        <v/>
      </c>
      <c r="W1188" s="14">
        <f>IF($AN1188="",IF($B1188="","",$R1188),IF(INDEX(職員マスタ!$C$6:$C$405,$AN1188)="",$R1188,INDEX(職員マスタ!$C$6:$C$405,$AN1188)))</f>
        <v/>
      </c>
      <c r="X1188" s="14">
        <f>IF($AO1188="","","R"&amp;$C1188&amp;"."&amp;$D1188)</f>
        <v/>
      </c>
      <c r="Y1188" s="15">
        <f>IF($AN1188="","",IF(INDEX(職員マスタ!$K$6:$K$405,$AN1188)="","",INDEX(職員マスタ!$K$6:$K$405,$AN1188)))</f>
        <v/>
      </c>
      <c r="Z1188" s="14">
        <f>IF(OR($E1188="",$Y1188=""),"",IF($E1188&gt;=$Y1188,"×",IF($E1188&gt;=$Y1188*設定!$C$5,"△","○")))</f>
        <v/>
      </c>
      <c r="AA1188" s="15">
        <f>IF($Z1188="","",IF($Z1188="×",0,IF($Z1188="○",ROUNDDOWN($E1188*設定!$C$4,0),ROUNDDOWN($E1188*ROUND((9*$Y1188-9*$E1188)/(10*$E1188),4),0))))</f>
        <v/>
      </c>
      <c r="AB1188" s="13" t="n"/>
      <c r="AC1188" s="15">
        <f>IF($B1188="","",IF($AB1188&lt;&gt;"",$AB1188,IF($AA1188="","",IF($AA1188&lt;=設定!$C$3,0,$AA1188))))</f>
        <v/>
      </c>
      <c r="AD1188" s="14">
        <f>IF($B1188="","",IF(AND($AE1188&lt;&gt;"",$AG1188="",$AJ1188=""),"保留中",IF($AJ1188&lt;&gt;"",IF(N($AC1188)&gt;0,"支給済","不支給"),IF($AC1188="","要確認",IF($AC1188=0,"不支給","未処理")))))</f>
        <v/>
      </c>
      <c r="AE1188" s="12" t="n"/>
      <c r="AF1188" s="11" t="n"/>
      <c r="AG1188" s="11" t="n"/>
      <c r="AH1188" s="11" t="n"/>
      <c r="AI1188" s="14">
        <f>IF(AND($AD1188="保留中",$AF1188&lt;&gt;""),TODAY()-$AF1188,"")</f>
        <v/>
      </c>
      <c r="AJ1188" s="12" t="n"/>
      <c r="AK1188" s="14">
        <f>IF($B1188="","",IF($AO1188="","対象年月が未入力／","")&amp;IF($B1188="","",IF($AN1188="","職員マスタに未登録の職員番号／",IF($Y1188="","標準報酬月額が未登録／","")&amp;IF(AND($AO1188&lt;&gt;"",OR(AND(INDEX(職員マスタ!$G$6:$G$405,$AN1188)&lt;&gt;"",INDEX(職員マスタ!$G$6:$G$405,$AN1188)&gt;EOMONTH($AO1188,0)),AND(INDEX(職員マスタ!$H$6:$H$405,$AN1188)&lt;&gt;"",INDEX(職員マスタ!$H$6:$H$405,$AN1188)&lt;$AO1188))),"対象月が時短期間外／","")&amp;IF(AND(INDEX(職員マスタ!$F$6:$F$405,$AN1188)&lt;&gt;"",$AO1188&lt;&gt;"",INDEX(職員マスタ!$F$6:$F$405,$AN1188)&lt;$AO1188),"対象月に子が2歳到達済／","")&amp;IF(AND($H1188&lt;&gt;"",INDEX(職員マスタ!$B$6:$B$405,$AN1188)&lt;&gt;"",SUBSTITUTE(SUBSTITUTE($H1188," ","")," ","")&lt;&gt;SUBSTITUTE(SUBSTITUTE(INDEX(職員マスタ!$B$6:$B$405,$AN1188)," ","")," ","")),"氏名がマスタと相違／","")&amp;IF(AND($Q1188&lt;&gt;"",INDEX(職員マスタ!$E$6:$E$405,$AN1188)&lt;&gt;"",$Q1188&lt;&gt;INDEX(職員マスタ!$E$6:$E$405,$AN1188)),"子の生年月日がマスタと相違／","")&amp;IF(AND($L1188&lt;&gt;"",INDEX(職員マスタ!$G$6:$G$405,$AN1188)&lt;&gt;"",$L1188&lt;&gt;INDEX(職員マスタ!$G$6:$G$405,$AN1188)),"時短開始日がマスタと相違／","")&amp;IF(AND($M1188&lt;&gt;"",INDEX(職員マスタ!$H$6:$H$405,$AN1188)&lt;&gt;"",$M1188&lt;&gt;INDEX(職員マスタ!$H$6:$H$405,$AN1188)),"時短終了日がマスタと相違／","")))&amp;IF(AND($B1188&lt;&gt;"",$E1188=""),"報酬額が未入力／","")&amp;IF(N($U1188)&gt;0,"申請書に入力エラーが残っています／","")&amp;IF(AND($B1188&lt;&gt;"",$AO1188&lt;&gt;""),IF(COUNTIFS($B$6:$B$3005,$B1188,$C$6:$C$3005,$C1188,$D$6:$D$3005,$D1188)&gt;1,"同じ月の請求が重複しています／",""),"")&amp;IF(AND(N($E1188)&gt;0,$Z1188&lt;&gt;"",$Z1188&lt;&gt;"×",$AC1188=0,$AB1188=""),"計算額が下限以下のため不支給／",""))</f>
        <v/>
      </c>
      <c r="AL1188" s="12" t="n"/>
      <c r="AM1188" s="14">
        <f>IF($AD1188="保留中",COUNTIF($AD$6:$AD1188,"保留中"),"")</f>
        <v/>
      </c>
      <c r="AN1188" s="14">
        <f>IF($AO1188="","",IF(SUMPRODUCT(MAX((職員マスタ!$A$6:$A$405=$B1188)*(((職員マスタ!$G$6:$G$405="")+(職員マスタ!$G$6:$G$405&lt;=EOMONTH($AO1188,0)))&gt;0)*(((職員マスタ!$H$6:$H$405="")+(職員マスタ!$H$6:$H$405&gt;=$AO1188))&gt;0)*(ROW(職員マスタ!$A$6:$A$405)-5)))&gt;0,SUMPRODUCT(MAX((職員マスタ!$A$6:$A$405=$B1188)*(((職員マスタ!$G$6:$G$405="")+(職員マスタ!$G$6:$G$405&lt;=EOMONTH($AO1188,0)))&gt;0)*(((職員マスタ!$H$6:$H$405="")+(職員マスタ!$H$6:$H$405&gt;=$AO1188))&gt;0)*(ROW(職員マスタ!$A$6:$A$405)-5))),IFERROR(MATCH($B1188,職員マスタ!$A$6:$A$405,0),"")))</f>
        <v/>
      </c>
      <c r="AO1188" s="16">
        <f>IF(OR($B1188="",$C1188="",$D1188=""),"",DATE($C1188+2018,$D1188,1))</f>
        <v/>
      </c>
    </row>
    <row r="1189">
      <c r="A1189" s="11" t="n"/>
      <c r="B1189" s="12" t="n"/>
      <c r="C1189" s="12" t="n"/>
      <c r="D1189" s="12" t="n"/>
      <c r="E1189" s="13" t="n"/>
      <c r="F1189" s="12" t="n"/>
      <c r="G1189" s="13" t="n"/>
      <c r="H1189" s="12" t="n"/>
      <c r="I1189" s="12" t="n"/>
      <c r="J1189" s="12" t="n"/>
      <c r="K1189" s="12" t="n"/>
      <c r="L1189" s="11" t="n"/>
      <c r="M1189" s="11" t="n"/>
      <c r="N1189" s="11" t="n"/>
      <c r="O1189" s="11" t="n"/>
      <c r="P1189" s="12" t="n"/>
      <c r="Q1189" s="11" t="n"/>
      <c r="R1189" s="12" t="n"/>
      <c r="S1189" s="11" t="n"/>
      <c r="T1189" s="12" t="n"/>
      <c r="U1189" s="12" t="n"/>
      <c r="V1189" s="14">
        <f>IF($AN1189="",IF($B1189="","",$H1189),IF(INDEX(職員マスタ!$B$6:$B$405,$AN1189)="",$H1189,INDEX(職員マスタ!$B$6:$B$405,$AN1189)))</f>
        <v/>
      </c>
      <c r="W1189" s="14">
        <f>IF($AN1189="",IF($B1189="","",$R1189),IF(INDEX(職員マスタ!$C$6:$C$405,$AN1189)="",$R1189,INDEX(職員マスタ!$C$6:$C$405,$AN1189)))</f>
        <v/>
      </c>
      <c r="X1189" s="14">
        <f>IF($AO1189="","","R"&amp;$C1189&amp;"."&amp;$D1189)</f>
        <v/>
      </c>
      <c r="Y1189" s="15">
        <f>IF($AN1189="","",IF(INDEX(職員マスタ!$K$6:$K$405,$AN1189)="","",INDEX(職員マスタ!$K$6:$K$405,$AN1189)))</f>
        <v/>
      </c>
      <c r="Z1189" s="14">
        <f>IF(OR($E1189="",$Y1189=""),"",IF($E1189&gt;=$Y1189,"×",IF($E1189&gt;=$Y1189*設定!$C$5,"△","○")))</f>
        <v/>
      </c>
      <c r="AA1189" s="15">
        <f>IF($Z1189="","",IF($Z1189="×",0,IF($Z1189="○",ROUNDDOWN($E1189*設定!$C$4,0),ROUNDDOWN($E1189*ROUND((9*$Y1189-9*$E1189)/(10*$E1189),4),0))))</f>
        <v/>
      </c>
      <c r="AB1189" s="13" t="n"/>
      <c r="AC1189" s="15">
        <f>IF($B1189="","",IF($AB1189&lt;&gt;"",$AB1189,IF($AA1189="","",IF($AA1189&lt;=設定!$C$3,0,$AA1189))))</f>
        <v/>
      </c>
      <c r="AD1189" s="14">
        <f>IF($B1189="","",IF(AND($AE1189&lt;&gt;"",$AG1189="",$AJ1189=""),"保留中",IF($AJ1189&lt;&gt;"",IF(N($AC1189)&gt;0,"支給済","不支給"),IF($AC1189="","要確認",IF($AC1189=0,"不支給","未処理")))))</f>
        <v/>
      </c>
      <c r="AE1189" s="12" t="n"/>
      <c r="AF1189" s="11" t="n"/>
      <c r="AG1189" s="11" t="n"/>
      <c r="AH1189" s="11" t="n"/>
      <c r="AI1189" s="14">
        <f>IF(AND($AD1189="保留中",$AF1189&lt;&gt;""),TODAY()-$AF1189,"")</f>
        <v/>
      </c>
      <c r="AJ1189" s="12" t="n"/>
      <c r="AK1189" s="14">
        <f>IF($B1189="","",IF($AO1189="","対象年月が未入力／","")&amp;IF($B1189="","",IF($AN1189="","職員マスタに未登録の職員番号／",IF($Y1189="","標準報酬月額が未登録／","")&amp;IF(AND($AO1189&lt;&gt;"",OR(AND(INDEX(職員マスタ!$G$6:$G$405,$AN1189)&lt;&gt;"",INDEX(職員マスタ!$G$6:$G$405,$AN1189)&gt;EOMONTH($AO1189,0)),AND(INDEX(職員マスタ!$H$6:$H$405,$AN1189)&lt;&gt;"",INDEX(職員マスタ!$H$6:$H$405,$AN1189)&lt;$AO1189))),"対象月が時短期間外／","")&amp;IF(AND(INDEX(職員マスタ!$F$6:$F$405,$AN1189)&lt;&gt;"",$AO1189&lt;&gt;"",INDEX(職員マスタ!$F$6:$F$405,$AN1189)&lt;$AO1189),"対象月に子が2歳到達済／","")&amp;IF(AND($H1189&lt;&gt;"",INDEX(職員マスタ!$B$6:$B$405,$AN1189)&lt;&gt;"",SUBSTITUTE(SUBSTITUTE($H1189," ","")," ","")&lt;&gt;SUBSTITUTE(SUBSTITUTE(INDEX(職員マスタ!$B$6:$B$405,$AN1189)," ","")," ","")),"氏名がマスタと相違／","")&amp;IF(AND($Q1189&lt;&gt;"",INDEX(職員マスタ!$E$6:$E$405,$AN1189)&lt;&gt;"",$Q1189&lt;&gt;INDEX(職員マスタ!$E$6:$E$405,$AN1189)),"子の生年月日がマスタと相違／","")&amp;IF(AND($L1189&lt;&gt;"",INDEX(職員マスタ!$G$6:$G$405,$AN1189)&lt;&gt;"",$L1189&lt;&gt;INDEX(職員マスタ!$G$6:$G$405,$AN1189)),"時短開始日がマスタと相違／","")&amp;IF(AND($M1189&lt;&gt;"",INDEX(職員マスタ!$H$6:$H$405,$AN1189)&lt;&gt;"",$M1189&lt;&gt;INDEX(職員マスタ!$H$6:$H$405,$AN1189)),"時短終了日がマスタと相違／","")))&amp;IF(AND($B1189&lt;&gt;"",$E1189=""),"報酬額が未入力／","")&amp;IF(N($U1189)&gt;0,"申請書に入力エラーが残っています／","")&amp;IF(AND($B1189&lt;&gt;"",$AO1189&lt;&gt;""),IF(COUNTIFS($B$6:$B$3005,$B1189,$C$6:$C$3005,$C1189,$D$6:$D$3005,$D1189)&gt;1,"同じ月の請求が重複しています／",""),"")&amp;IF(AND(N($E1189)&gt;0,$Z1189&lt;&gt;"",$Z1189&lt;&gt;"×",$AC1189=0,$AB1189=""),"計算額が下限以下のため不支給／",""))</f>
        <v/>
      </c>
      <c r="AL1189" s="12" t="n"/>
      <c r="AM1189" s="14">
        <f>IF($AD1189="保留中",COUNTIF($AD$6:$AD1189,"保留中"),"")</f>
        <v/>
      </c>
      <c r="AN1189" s="14">
        <f>IF($AO1189="","",IF(SUMPRODUCT(MAX((職員マスタ!$A$6:$A$405=$B1189)*(((職員マスタ!$G$6:$G$405="")+(職員マスタ!$G$6:$G$405&lt;=EOMONTH($AO1189,0)))&gt;0)*(((職員マスタ!$H$6:$H$405="")+(職員マスタ!$H$6:$H$405&gt;=$AO1189))&gt;0)*(ROW(職員マスタ!$A$6:$A$405)-5)))&gt;0,SUMPRODUCT(MAX((職員マスタ!$A$6:$A$405=$B1189)*(((職員マスタ!$G$6:$G$405="")+(職員マスタ!$G$6:$G$405&lt;=EOMONTH($AO1189,0)))&gt;0)*(((職員マスタ!$H$6:$H$405="")+(職員マスタ!$H$6:$H$405&gt;=$AO1189))&gt;0)*(ROW(職員マスタ!$A$6:$A$405)-5))),IFERROR(MATCH($B1189,職員マスタ!$A$6:$A$405,0),"")))</f>
        <v/>
      </c>
      <c r="AO1189" s="16">
        <f>IF(OR($B1189="",$C1189="",$D1189=""),"",DATE($C1189+2018,$D1189,1))</f>
        <v/>
      </c>
    </row>
    <row r="1190">
      <c r="A1190" s="11" t="n"/>
      <c r="B1190" s="12" t="n"/>
      <c r="C1190" s="12" t="n"/>
      <c r="D1190" s="12" t="n"/>
      <c r="E1190" s="13" t="n"/>
      <c r="F1190" s="12" t="n"/>
      <c r="G1190" s="13" t="n"/>
      <c r="H1190" s="12" t="n"/>
      <c r="I1190" s="12" t="n"/>
      <c r="J1190" s="12" t="n"/>
      <c r="K1190" s="12" t="n"/>
      <c r="L1190" s="11" t="n"/>
      <c r="M1190" s="11" t="n"/>
      <c r="N1190" s="11" t="n"/>
      <c r="O1190" s="11" t="n"/>
      <c r="P1190" s="12" t="n"/>
      <c r="Q1190" s="11" t="n"/>
      <c r="R1190" s="12" t="n"/>
      <c r="S1190" s="11" t="n"/>
      <c r="T1190" s="12" t="n"/>
      <c r="U1190" s="12" t="n"/>
      <c r="V1190" s="14">
        <f>IF($AN1190="",IF($B1190="","",$H1190),IF(INDEX(職員マスタ!$B$6:$B$405,$AN1190)="",$H1190,INDEX(職員マスタ!$B$6:$B$405,$AN1190)))</f>
        <v/>
      </c>
      <c r="W1190" s="14">
        <f>IF($AN1190="",IF($B1190="","",$R1190),IF(INDEX(職員マスタ!$C$6:$C$405,$AN1190)="",$R1190,INDEX(職員マスタ!$C$6:$C$405,$AN1190)))</f>
        <v/>
      </c>
      <c r="X1190" s="14">
        <f>IF($AO1190="","","R"&amp;$C1190&amp;"."&amp;$D1190)</f>
        <v/>
      </c>
      <c r="Y1190" s="15">
        <f>IF($AN1190="","",IF(INDEX(職員マスタ!$K$6:$K$405,$AN1190)="","",INDEX(職員マスタ!$K$6:$K$405,$AN1190)))</f>
        <v/>
      </c>
      <c r="Z1190" s="14">
        <f>IF(OR($E1190="",$Y1190=""),"",IF($E1190&gt;=$Y1190,"×",IF($E1190&gt;=$Y1190*設定!$C$5,"△","○")))</f>
        <v/>
      </c>
      <c r="AA1190" s="15">
        <f>IF($Z1190="","",IF($Z1190="×",0,IF($Z1190="○",ROUNDDOWN($E1190*設定!$C$4,0),ROUNDDOWN($E1190*ROUND((9*$Y1190-9*$E1190)/(10*$E1190),4),0))))</f>
        <v/>
      </c>
      <c r="AB1190" s="13" t="n"/>
      <c r="AC1190" s="15">
        <f>IF($B1190="","",IF($AB1190&lt;&gt;"",$AB1190,IF($AA1190="","",IF($AA1190&lt;=設定!$C$3,0,$AA1190))))</f>
        <v/>
      </c>
      <c r="AD1190" s="14">
        <f>IF($B1190="","",IF(AND($AE1190&lt;&gt;"",$AG1190="",$AJ1190=""),"保留中",IF($AJ1190&lt;&gt;"",IF(N($AC1190)&gt;0,"支給済","不支給"),IF($AC1190="","要確認",IF($AC1190=0,"不支給","未処理")))))</f>
        <v/>
      </c>
      <c r="AE1190" s="12" t="n"/>
      <c r="AF1190" s="11" t="n"/>
      <c r="AG1190" s="11" t="n"/>
      <c r="AH1190" s="11" t="n"/>
      <c r="AI1190" s="14">
        <f>IF(AND($AD1190="保留中",$AF1190&lt;&gt;""),TODAY()-$AF1190,"")</f>
        <v/>
      </c>
      <c r="AJ1190" s="12" t="n"/>
      <c r="AK1190" s="14">
        <f>IF($B1190="","",IF($AO1190="","対象年月が未入力／","")&amp;IF($B1190="","",IF($AN1190="","職員マスタに未登録の職員番号／",IF($Y1190="","標準報酬月額が未登録／","")&amp;IF(AND($AO1190&lt;&gt;"",OR(AND(INDEX(職員マスタ!$G$6:$G$405,$AN1190)&lt;&gt;"",INDEX(職員マスタ!$G$6:$G$405,$AN1190)&gt;EOMONTH($AO1190,0)),AND(INDEX(職員マスタ!$H$6:$H$405,$AN1190)&lt;&gt;"",INDEX(職員マスタ!$H$6:$H$405,$AN1190)&lt;$AO1190))),"対象月が時短期間外／","")&amp;IF(AND(INDEX(職員マスタ!$F$6:$F$405,$AN1190)&lt;&gt;"",$AO1190&lt;&gt;"",INDEX(職員マスタ!$F$6:$F$405,$AN1190)&lt;$AO1190),"対象月に子が2歳到達済／","")&amp;IF(AND($H1190&lt;&gt;"",INDEX(職員マスタ!$B$6:$B$405,$AN1190)&lt;&gt;"",SUBSTITUTE(SUBSTITUTE($H1190," ","")," ","")&lt;&gt;SUBSTITUTE(SUBSTITUTE(INDEX(職員マスタ!$B$6:$B$405,$AN1190)," ","")," ","")),"氏名がマスタと相違／","")&amp;IF(AND($Q1190&lt;&gt;"",INDEX(職員マスタ!$E$6:$E$405,$AN1190)&lt;&gt;"",$Q1190&lt;&gt;INDEX(職員マスタ!$E$6:$E$405,$AN1190)),"子の生年月日がマスタと相違／","")&amp;IF(AND($L1190&lt;&gt;"",INDEX(職員マスタ!$G$6:$G$405,$AN1190)&lt;&gt;"",$L1190&lt;&gt;INDEX(職員マスタ!$G$6:$G$405,$AN1190)),"時短開始日がマスタと相違／","")&amp;IF(AND($M1190&lt;&gt;"",INDEX(職員マスタ!$H$6:$H$405,$AN1190)&lt;&gt;"",$M1190&lt;&gt;INDEX(職員マスタ!$H$6:$H$405,$AN1190)),"時短終了日がマスタと相違／","")))&amp;IF(AND($B1190&lt;&gt;"",$E1190=""),"報酬額が未入力／","")&amp;IF(N($U1190)&gt;0,"申請書に入力エラーが残っています／","")&amp;IF(AND($B1190&lt;&gt;"",$AO1190&lt;&gt;""),IF(COUNTIFS($B$6:$B$3005,$B1190,$C$6:$C$3005,$C1190,$D$6:$D$3005,$D1190)&gt;1,"同じ月の請求が重複しています／",""),"")&amp;IF(AND(N($E1190)&gt;0,$Z1190&lt;&gt;"",$Z1190&lt;&gt;"×",$AC1190=0,$AB1190=""),"計算額が下限以下のため不支給／",""))</f>
        <v/>
      </c>
      <c r="AL1190" s="12" t="n"/>
      <c r="AM1190" s="14">
        <f>IF($AD1190="保留中",COUNTIF($AD$6:$AD1190,"保留中"),"")</f>
        <v/>
      </c>
      <c r="AN1190" s="14">
        <f>IF($AO1190="","",IF(SUMPRODUCT(MAX((職員マスタ!$A$6:$A$405=$B1190)*(((職員マスタ!$G$6:$G$405="")+(職員マスタ!$G$6:$G$405&lt;=EOMONTH($AO1190,0)))&gt;0)*(((職員マスタ!$H$6:$H$405="")+(職員マスタ!$H$6:$H$405&gt;=$AO1190))&gt;0)*(ROW(職員マスタ!$A$6:$A$405)-5)))&gt;0,SUMPRODUCT(MAX((職員マスタ!$A$6:$A$405=$B1190)*(((職員マスタ!$G$6:$G$405="")+(職員マスタ!$G$6:$G$405&lt;=EOMONTH($AO1190,0)))&gt;0)*(((職員マスタ!$H$6:$H$405="")+(職員マスタ!$H$6:$H$405&gt;=$AO1190))&gt;0)*(ROW(職員マスタ!$A$6:$A$405)-5))),IFERROR(MATCH($B1190,職員マスタ!$A$6:$A$405,0),"")))</f>
        <v/>
      </c>
      <c r="AO1190" s="16">
        <f>IF(OR($B1190="",$C1190="",$D1190=""),"",DATE($C1190+2018,$D1190,1))</f>
        <v/>
      </c>
    </row>
    <row r="1191">
      <c r="A1191" s="11" t="n"/>
      <c r="B1191" s="12" t="n"/>
      <c r="C1191" s="12" t="n"/>
      <c r="D1191" s="12" t="n"/>
      <c r="E1191" s="13" t="n"/>
      <c r="F1191" s="12" t="n"/>
      <c r="G1191" s="13" t="n"/>
      <c r="H1191" s="12" t="n"/>
      <c r="I1191" s="12" t="n"/>
      <c r="J1191" s="12" t="n"/>
      <c r="K1191" s="12" t="n"/>
      <c r="L1191" s="11" t="n"/>
      <c r="M1191" s="11" t="n"/>
      <c r="N1191" s="11" t="n"/>
      <c r="O1191" s="11" t="n"/>
      <c r="P1191" s="12" t="n"/>
      <c r="Q1191" s="11" t="n"/>
      <c r="R1191" s="12" t="n"/>
      <c r="S1191" s="11" t="n"/>
      <c r="T1191" s="12" t="n"/>
      <c r="U1191" s="12" t="n"/>
      <c r="V1191" s="14">
        <f>IF($AN1191="",IF($B1191="","",$H1191),IF(INDEX(職員マスタ!$B$6:$B$405,$AN1191)="",$H1191,INDEX(職員マスタ!$B$6:$B$405,$AN1191)))</f>
        <v/>
      </c>
      <c r="W1191" s="14">
        <f>IF($AN1191="",IF($B1191="","",$R1191),IF(INDEX(職員マスタ!$C$6:$C$405,$AN1191)="",$R1191,INDEX(職員マスタ!$C$6:$C$405,$AN1191)))</f>
        <v/>
      </c>
      <c r="X1191" s="14">
        <f>IF($AO1191="","","R"&amp;$C1191&amp;"."&amp;$D1191)</f>
        <v/>
      </c>
      <c r="Y1191" s="15">
        <f>IF($AN1191="","",IF(INDEX(職員マスタ!$K$6:$K$405,$AN1191)="","",INDEX(職員マスタ!$K$6:$K$405,$AN1191)))</f>
        <v/>
      </c>
      <c r="Z1191" s="14">
        <f>IF(OR($E1191="",$Y1191=""),"",IF($E1191&gt;=$Y1191,"×",IF($E1191&gt;=$Y1191*設定!$C$5,"△","○")))</f>
        <v/>
      </c>
      <c r="AA1191" s="15">
        <f>IF($Z1191="","",IF($Z1191="×",0,IF($Z1191="○",ROUNDDOWN($E1191*設定!$C$4,0),ROUNDDOWN($E1191*ROUND((9*$Y1191-9*$E1191)/(10*$E1191),4),0))))</f>
        <v/>
      </c>
      <c r="AB1191" s="13" t="n"/>
      <c r="AC1191" s="15">
        <f>IF($B1191="","",IF($AB1191&lt;&gt;"",$AB1191,IF($AA1191="","",IF($AA1191&lt;=設定!$C$3,0,$AA1191))))</f>
        <v/>
      </c>
      <c r="AD1191" s="14">
        <f>IF($B1191="","",IF(AND($AE1191&lt;&gt;"",$AG1191="",$AJ1191=""),"保留中",IF($AJ1191&lt;&gt;"",IF(N($AC1191)&gt;0,"支給済","不支給"),IF($AC1191="","要確認",IF($AC1191=0,"不支給","未処理")))))</f>
        <v/>
      </c>
      <c r="AE1191" s="12" t="n"/>
      <c r="AF1191" s="11" t="n"/>
      <c r="AG1191" s="11" t="n"/>
      <c r="AH1191" s="11" t="n"/>
      <c r="AI1191" s="14">
        <f>IF(AND($AD1191="保留中",$AF1191&lt;&gt;""),TODAY()-$AF1191,"")</f>
        <v/>
      </c>
      <c r="AJ1191" s="12" t="n"/>
      <c r="AK1191" s="14">
        <f>IF($B1191="","",IF($AO1191="","対象年月が未入力／","")&amp;IF($B1191="","",IF($AN1191="","職員マスタに未登録の職員番号／",IF($Y1191="","標準報酬月額が未登録／","")&amp;IF(AND($AO1191&lt;&gt;"",OR(AND(INDEX(職員マスタ!$G$6:$G$405,$AN1191)&lt;&gt;"",INDEX(職員マスタ!$G$6:$G$405,$AN1191)&gt;EOMONTH($AO1191,0)),AND(INDEX(職員マスタ!$H$6:$H$405,$AN1191)&lt;&gt;"",INDEX(職員マスタ!$H$6:$H$405,$AN1191)&lt;$AO1191))),"対象月が時短期間外／","")&amp;IF(AND(INDEX(職員マスタ!$F$6:$F$405,$AN1191)&lt;&gt;"",$AO1191&lt;&gt;"",INDEX(職員マスタ!$F$6:$F$405,$AN1191)&lt;$AO1191),"対象月に子が2歳到達済／","")&amp;IF(AND($H1191&lt;&gt;"",INDEX(職員マスタ!$B$6:$B$405,$AN1191)&lt;&gt;"",SUBSTITUTE(SUBSTITUTE($H1191," ","")," ","")&lt;&gt;SUBSTITUTE(SUBSTITUTE(INDEX(職員マスタ!$B$6:$B$405,$AN1191)," ","")," ","")),"氏名がマスタと相違／","")&amp;IF(AND($Q1191&lt;&gt;"",INDEX(職員マスタ!$E$6:$E$405,$AN1191)&lt;&gt;"",$Q1191&lt;&gt;INDEX(職員マスタ!$E$6:$E$405,$AN1191)),"子の生年月日がマスタと相違／","")&amp;IF(AND($L1191&lt;&gt;"",INDEX(職員マスタ!$G$6:$G$405,$AN1191)&lt;&gt;"",$L1191&lt;&gt;INDEX(職員マスタ!$G$6:$G$405,$AN1191)),"時短開始日がマスタと相違／","")&amp;IF(AND($M1191&lt;&gt;"",INDEX(職員マスタ!$H$6:$H$405,$AN1191)&lt;&gt;"",$M1191&lt;&gt;INDEX(職員マスタ!$H$6:$H$405,$AN1191)),"時短終了日がマスタと相違／","")))&amp;IF(AND($B1191&lt;&gt;"",$E1191=""),"報酬額が未入力／","")&amp;IF(N($U1191)&gt;0,"申請書に入力エラーが残っています／","")&amp;IF(AND($B1191&lt;&gt;"",$AO1191&lt;&gt;""),IF(COUNTIFS($B$6:$B$3005,$B1191,$C$6:$C$3005,$C1191,$D$6:$D$3005,$D1191)&gt;1,"同じ月の請求が重複しています／",""),"")&amp;IF(AND(N($E1191)&gt;0,$Z1191&lt;&gt;"",$Z1191&lt;&gt;"×",$AC1191=0,$AB1191=""),"計算額が下限以下のため不支給／",""))</f>
        <v/>
      </c>
      <c r="AL1191" s="12" t="n"/>
      <c r="AM1191" s="14">
        <f>IF($AD1191="保留中",COUNTIF($AD$6:$AD1191,"保留中"),"")</f>
        <v/>
      </c>
      <c r="AN1191" s="14">
        <f>IF($AO1191="","",IF(SUMPRODUCT(MAX((職員マスタ!$A$6:$A$405=$B1191)*(((職員マスタ!$G$6:$G$405="")+(職員マスタ!$G$6:$G$405&lt;=EOMONTH($AO1191,0)))&gt;0)*(((職員マスタ!$H$6:$H$405="")+(職員マスタ!$H$6:$H$405&gt;=$AO1191))&gt;0)*(ROW(職員マスタ!$A$6:$A$405)-5)))&gt;0,SUMPRODUCT(MAX((職員マスタ!$A$6:$A$405=$B1191)*(((職員マスタ!$G$6:$G$405="")+(職員マスタ!$G$6:$G$405&lt;=EOMONTH($AO1191,0)))&gt;0)*(((職員マスタ!$H$6:$H$405="")+(職員マスタ!$H$6:$H$405&gt;=$AO1191))&gt;0)*(ROW(職員マスタ!$A$6:$A$405)-5))),IFERROR(MATCH($B1191,職員マスタ!$A$6:$A$405,0),"")))</f>
        <v/>
      </c>
      <c r="AO1191" s="16">
        <f>IF(OR($B1191="",$C1191="",$D1191=""),"",DATE($C1191+2018,$D1191,1))</f>
        <v/>
      </c>
    </row>
    <row r="1192">
      <c r="A1192" s="11" t="n"/>
      <c r="B1192" s="12" t="n"/>
      <c r="C1192" s="12" t="n"/>
      <c r="D1192" s="12" t="n"/>
      <c r="E1192" s="13" t="n"/>
      <c r="F1192" s="12" t="n"/>
      <c r="G1192" s="13" t="n"/>
      <c r="H1192" s="12" t="n"/>
      <c r="I1192" s="12" t="n"/>
      <c r="J1192" s="12" t="n"/>
      <c r="K1192" s="12" t="n"/>
      <c r="L1192" s="11" t="n"/>
      <c r="M1192" s="11" t="n"/>
      <c r="N1192" s="11" t="n"/>
      <c r="O1192" s="11" t="n"/>
      <c r="P1192" s="12" t="n"/>
      <c r="Q1192" s="11" t="n"/>
      <c r="R1192" s="12" t="n"/>
      <c r="S1192" s="11" t="n"/>
      <c r="T1192" s="12" t="n"/>
      <c r="U1192" s="12" t="n"/>
      <c r="V1192" s="14">
        <f>IF($AN1192="",IF($B1192="","",$H1192),IF(INDEX(職員マスタ!$B$6:$B$405,$AN1192)="",$H1192,INDEX(職員マスタ!$B$6:$B$405,$AN1192)))</f>
        <v/>
      </c>
      <c r="W1192" s="14">
        <f>IF($AN1192="",IF($B1192="","",$R1192),IF(INDEX(職員マスタ!$C$6:$C$405,$AN1192)="",$R1192,INDEX(職員マスタ!$C$6:$C$405,$AN1192)))</f>
        <v/>
      </c>
      <c r="X1192" s="14">
        <f>IF($AO1192="","","R"&amp;$C1192&amp;"."&amp;$D1192)</f>
        <v/>
      </c>
      <c r="Y1192" s="15">
        <f>IF($AN1192="","",IF(INDEX(職員マスタ!$K$6:$K$405,$AN1192)="","",INDEX(職員マスタ!$K$6:$K$405,$AN1192)))</f>
        <v/>
      </c>
      <c r="Z1192" s="14">
        <f>IF(OR($E1192="",$Y1192=""),"",IF($E1192&gt;=$Y1192,"×",IF($E1192&gt;=$Y1192*設定!$C$5,"△","○")))</f>
        <v/>
      </c>
      <c r="AA1192" s="15">
        <f>IF($Z1192="","",IF($Z1192="×",0,IF($Z1192="○",ROUNDDOWN($E1192*設定!$C$4,0),ROUNDDOWN($E1192*ROUND((9*$Y1192-9*$E1192)/(10*$E1192),4),0))))</f>
        <v/>
      </c>
      <c r="AB1192" s="13" t="n"/>
      <c r="AC1192" s="15">
        <f>IF($B1192="","",IF($AB1192&lt;&gt;"",$AB1192,IF($AA1192="","",IF($AA1192&lt;=設定!$C$3,0,$AA1192))))</f>
        <v/>
      </c>
      <c r="AD1192" s="14">
        <f>IF($B1192="","",IF(AND($AE1192&lt;&gt;"",$AG1192="",$AJ1192=""),"保留中",IF($AJ1192&lt;&gt;"",IF(N($AC1192)&gt;0,"支給済","不支給"),IF($AC1192="","要確認",IF($AC1192=0,"不支給","未処理")))))</f>
        <v/>
      </c>
      <c r="AE1192" s="12" t="n"/>
      <c r="AF1192" s="11" t="n"/>
      <c r="AG1192" s="11" t="n"/>
      <c r="AH1192" s="11" t="n"/>
      <c r="AI1192" s="14">
        <f>IF(AND($AD1192="保留中",$AF1192&lt;&gt;""),TODAY()-$AF1192,"")</f>
        <v/>
      </c>
      <c r="AJ1192" s="12" t="n"/>
      <c r="AK1192" s="14">
        <f>IF($B1192="","",IF($AO1192="","対象年月が未入力／","")&amp;IF($B1192="","",IF($AN1192="","職員マスタに未登録の職員番号／",IF($Y1192="","標準報酬月額が未登録／","")&amp;IF(AND($AO1192&lt;&gt;"",OR(AND(INDEX(職員マスタ!$G$6:$G$405,$AN1192)&lt;&gt;"",INDEX(職員マスタ!$G$6:$G$405,$AN1192)&gt;EOMONTH($AO1192,0)),AND(INDEX(職員マスタ!$H$6:$H$405,$AN1192)&lt;&gt;"",INDEX(職員マスタ!$H$6:$H$405,$AN1192)&lt;$AO1192))),"対象月が時短期間外／","")&amp;IF(AND(INDEX(職員マスタ!$F$6:$F$405,$AN1192)&lt;&gt;"",$AO1192&lt;&gt;"",INDEX(職員マスタ!$F$6:$F$405,$AN1192)&lt;$AO1192),"対象月に子が2歳到達済／","")&amp;IF(AND($H1192&lt;&gt;"",INDEX(職員マスタ!$B$6:$B$405,$AN1192)&lt;&gt;"",SUBSTITUTE(SUBSTITUTE($H1192," ","")," ","")&lt;&gt;SUBSTITUTE(SUBSTITUTE(INDEX(職員マスタ!$B$6:$B$405,$AN1192)," ","")," ","")),"氏名がマスタと相違／","")&amp;IF(AND($Q1192&lt;&gt;"",INDEX(職員マスタ!$E$6:$E$405,$AN1192)&lt;&gt;"",$Q1192&lt;&gt;INDEX(職員マスタ!$E$6:$E$405,$AN1192)),"子の生年月日がマスタと相違／","")&amp;IF(AND($L1192&lt;&gt;"",INDEX(職員マスタ!$G$6:$G$405,$AN1192)&lt;&gt;"",$L1192&lt;&gt;INDEX(職員マスタ!$G$6:$G$405,$AN1192)),"時短開始日がマスタと相違／","")&amp;IF(AND($M1192&lt;&gt;"",INDEX(職員マスタ!$H$6:$H$405,$AN1192)&lt;&gt;"",$M1192&lt;&gt;INDEX(職員マスタ!$H$6:$H$405,$AN1192)),"時短終了日がマスタと相違／","")))&amp;IF(AND($B1192&lt;&gt;"",$E1192=""),"報酬額が未入力／","")&amp;IF(N($U1192)&gt;0,"申請書に入力エラーが残っています／","")&amp;IF(AND($B1192&lt;&gt;"",$AO1192&lt;&gt;""),IF(COUNTIFS($B$6:$B$3005,$B1192,$C$6:$C$3005,$C1192,$D$6:$D$3005,$D1192)&gt;1,"同じ月の請求が重複しています／",""),"")&amp;IF(AND(N($E1192)&gt;0,$Z1192&lt;&gt;"",$Z1192&lt;&gt;"×",$AC1192=0,$AB1192=""),"計算額が下限以下のため不支給／",""))</f>
        <v/>
      </c>
      <c r="AL1192" s="12" t="n"/>
      <c r="AM1192" s="14">
        <f>IF($AD1192="保留中",COUNTIF($AD$6:$AD1192,"保留中"),"")</f>
        <v/>
      </c>
      <c r="AN1192" s="14">
        <f>IF($AO1192="","",IF(SUMPRODUCT(MAX((職員マスタ!$A$6:$A$405=$B1192)*(((職員マスタ!$G$6:$G$405="")+(職員マスタ!$G$6:$G$405&lt;=EOMONTH($AO1192,0)))&gt;0)*(((職員マスタ!$H$6:$H$405="")+(職員マスタ!$H$6:$H$405&gt;=$AO1192))&gt;0)*(ROW(職員マスタ!$A$6:$A$405)-5)))&gt;0,SUMPRODUCT(MAX((職員マスタ!$A$6:$A$405=$B1192)*(((職員マスタ!$G$6:$G$405="")+(職員マスタ!$G$6:$G$405&lt;=EOMONTH($AO1192,0)))&gt;0)*(((職員マスタ!$H$6:$H$405="")+(職員マスタ!$H$6:$H$405&gt;=$AO1192))&gt;0)*(ROW(職員マスタ!$A$6:$A$405)-5))),IFERROR(MATCH($B1192,職員マスタ!$A$6:$A$405,0),"")))</f>
        <v/>
      </c>
      <c r="AO1192" s="16">
        <f>IF(OR($B1192="",$C1192="",$D1192=""),"",DATE($C1192+2018,$D1192,1))</f>
        <v/>
      </c>
    </row>
    <row r="1193">
      <c r="A1193" s="11" t="n"/>
      <c r="B1193" s="12" t="n"/>
      <c r="C1193" s="12" t="n"/>
      <c r="D1193" s="12" t="n"/>
      <c r="E1193" s="13" t="n"/>
      <c r="F1193" s="12" t="n"/>
      <c r="G1193" s="13" t="n"/>
      <c r="H1193" s="12" t="n"/>
      <c r="I1193" s="12" t="n"/>
      <c r="J1193" s="12" t="n"/>
      <c r="K1193" s="12" t="n"/>
      <c r="L1193" s="11" t="n"/>
      <c r="M1193" s="11" t="n"/>
      <c r="N1193" s="11" t="n"/>
      <c r="O1193" s="11" t="n"/>
      <c r="P1193" s="12" t="n"/>
      <c r="Q1193" s="11" t="n"/>
      <c r="R1193" s="12" t="n"/>
      <c r="S1193" s="11" t="n"/>
      <c r="T1193" s="12" t="n"/>
      <c r="U1193" s="12" t="n"/>
      <c r="V1193" s="14">
        <f>IF($AN1193="",IF($B1193="","",$H1193),IF(INDEX(職員マスタ!$B$6:$B$405,$AN1193)="",$H1193,INDEX(職員マスタ!$B$6:$B$405,$AN1193)))</f>
        <v/>
      </c>
      <c r="W1193" s="14">
        <f>IF($AN1193="",IF($B1193="","",$R1193),IF(INDEX(職員マスタ!$C$6:$C$405,$AN1193)="",$R1193,INDEX(職員マスタ!$C$6:$C$405,$AN1193)))</f>
        <v/>
      </c>
      <c r="X1193" s="14">
        <f>IF($AO1193="","","R"&amp;$C1193&amp;"."&amp;$D1193)</f>
        <v/>
      </c>
      <c r="Y1193" s="15">
        <f>IF($AN1193="","",IF(INDEX(職員マスタ!$K$6:$K$405,$AN1193)="","",INDEX(職員マスタ!$K$6:$K$405,$AN1193)))</f>
        <v/>
      </c>
      <c r="Z1193" s="14">
        <f>IF(OR($E1193="",$Y1193=""),"",IF($E1193&gt;=$Y1193,"×",IF($E1193&gt;=$Y1193*設定!$C$5,"△","○")))</f>
        <v/>
      </c>
      <c r="AA1193" s="15">
        <f>IF($Z1193="","",IF($Z1193="×",0,IF($Z1193="○",ROUNDDOWN($E1193*設定!$C$4,0),ROUNDDOWN($E1193*ROUND((9*$Y1193-9*$E1193)/(10*$E1193),4),0))))</f>
        <v/>
      </c>
      <c r="AB1193" s="13" t="n"/>
      <c r="AC1193" s="15">
        <f>IF($B1193="","",IF($AB1193&lt;&gt;"",$AB1193,IF($AA1193="","",IF($AA1193&lt;=設定!$C$3,0,$AA1193))))</f>
        <v/>
      </c>
      <c r="AD1193" s="14">
        <f>IF($B1193="","",IF(AND($AE1193&lt;&gt;"",$AG1193="",$AJ1193=""),"保留中",IF($AJ1193&lt;&gt;"",IF(N($AC1193)&gt;0,"支給済","不支給"),IF($AC1193="","要確認",IF($AC1193=0,"不支給","未処理")))))</f>
        <v/>
      </c>
      <c r="AE1193" s="12" t="n"/>
      <c r="AF1193" s="11" t="n"/>
      <c r="AG1193" s="11" t="n"/>
      <c r="AH1193" s="11" t="n"/>
      <c r="AI1193" s="14">
        <f>IF(AND($AD1193="保留中",$AF1193&lt;&gt;""),TODAY()-$AF1193,"")</f>
        <v/>
      </c>
      <c r="AJ1193" s="12" t="n"/>
      <c r="AK1193" s="14">
        <f>IF($B1193="","",IF($AO1193="","対象年月が未入力／","")&amp;IF($B1193="","",IF($AN1193="","職員マスタに未登録の職員番号／",IF($Y1193="","標準報酬月額が未登録／","")&amp;IF(AND($AO1193&lt;&gt;"",OR(AND(INDEX(職員マスタ!$G$6:$G$405,$AN1193)&lt;&gt;"",INDEX(職員マスタ!$G$6:$G$405,$AN1193)&gt;EOMONTH($AO1193,0)),AND(INDEX(職員マスタ!$H$6:$H$405,$AN1193)&lt;&gt;"",INDEX(職員マスタ!$H$6:$H$405,$AN1193)&lt;$AO1193))),"対象月が時短期間外／","")&amp;IF(AND(INDEX(職員マスタ!$F$6:$F$405,$AN1193)&lt;&gt;"",$AO1193&lt;&gt;"",INDEX(職員マスタ!$F$6:$F$405,$AN1193)&lt;$AO1193),"対象月に子が2歳到達済／","")&amp;IF(AND($H1193&lt;&gt;"",INDEX(職員マスタ!$B$6:$B$405,$AN1193)&lt;&gt;"",SUBSTITUTE(SUBSTITUTE($H1193," ","")," ","")&lt;&gt;SUBSTITUTE(SUBSTITUTE(INDEX(職員マスタ!$B$6:$B$405,$AN1193)," ","")," ","")),"氏名がマスタと相違／","")&amp;IF(AND($Q1193&lt;&gt;"",INDEX(職員マスタ!$E$6:$E$405,$AN1193)&lt;&gt;"",$Q1193&lt;&gt;INDEX(職員マスタ!$E$6:$E$405,$AN1193)),"子の生年月日がマスタと相違／","")&amp;IF(AND($L1193&lt;&gt;"",INDEX(職員マスタ!$G$6:$G$405,$AN1193)&lt;&gt;"",$L1193&lt;&gt;INDEX(職員マスタ!$G$6:$G$405,$AN1193)),"時短開始日がマスタと相違／","")&amp;IF(AND($M1193&lt;&gt;"",INDEX(職員マスタ!$H$6:$H$405,$AN1193)&lt;&gt;"",$M1193&lt;&gt;INDEX(職員マスタ!$H$6:$H$405,$AN1193)),"時短終了日がマスタと相違／","")))&amp;IF(AND($B1193&lt;&gt;"",$E1193=""),"報酬額が未入力／","")&amp;IF(N($U1193)&gt;0,"申請書に入力エラーが残っています／","")&amp;IF(AND($B1193&lt;&gt;"",$AO1193&lt;&gt;""),IF(COUNTIFS($B$6:$B$3005,$B1193,$C$6:$C$3005,$C1193,$D$6:$D$3005,$D1193)&gt;1,"同じ月の請求が重複しています／",""),"")&amp;IF(AND(N($E1193)&gt;0,$Z1193&lt;&gt;"",$Z1193&lt;&gt;"×",$AC1193=0,$AB1193=""),"計算額が下限以下のため不支給／",""))</f>
        <v/>
      </c>
      <c r="AL1193" s="12" t="n"/>
      <c r="AM1193" s="14">
        <f>IF($AD1193="保留中",COUNTIF($AD$6:$AD1193,"保留中"),"")</f>
        <v/>
      </c>
      <c r="AN1193" s="14">
        <f>IF($AO1193="","",IF(SUMPRODUCT(MAX((職員マスタ!$A$6:$A$405=$B1193)*(((職員マスタ!$G$6:$G$405="")+(職員マスタ!$G$6:$G$405&lt;=EOMONTH($AO1193,0)))&gt;0)*(((職員マスタ!$H$6:$H$405="")+(職員マスタ!$H$6:$H$405&gt;=$AO1193))&gt;0)*(ROW(職員マスタ!$A$6:$A$405)-5)))&gt;0,SUMPRODUCT(MAX((職員マスタ!$A$6:$A$405=$B1193)*(((職員マスタ!$G$6:$G$405="")+(職員マスタ!$G$6:$G$405&lt;=EOMONTH($AO1193,0)))&gt;0)*(((職員マスタ!$H$6:$H$405="")+(職員マスタ!$H$6:$H$405&gt;=$AO1193))&gt;0)*(ROW(職員マスタ!$A$6:$A$405)-5))),IFERROR(MATCH($B1193,職員マスタ!$A$6:$A$405,0),"")))</f>
        <v/>
      </c>
      <c r="AO1193" s="16">
        <f>IF(OR($B1193="",$C1193="",$D1193=""),"",DATE($C1193+2018,$D1193,1))</f>
        <v/>
      </c>
    </row>
    <row r="1194">
      <c r="A1194" s="11" t="n"/>
      <c r="B1194" s="12" t="n"/>
      <c r="C1194" s="12" t="n"/>
      <c r="D1194" s="12" t="n"/>
      <c r="E1194" s="13" t="n"/>
      <c r="F1194" s="12" t="n"/>
      <c r="G1194" s="13" t="n"/>
      <c r="H1194" s="12" t="n"/>
      <c r="I1194" s="12" t="n"/>
      <c r="J1194" s="12" t="n"/>
      <c r="K1194" s="12" t="n"/>
      <c r="L1194" s="11" t="n"/>
      <c r="M1194" s="11" t="n"/>
      <c r="N1194" s="11" t="n"/>
      <c r="O1194" s="11" t="n"/>
      <c r="P1194" s="12" t="n"/>
      <c r="Q1194" s="11" t="n"/>
      <c r="R1194" s="12" t="n"/>
      <c r="S1194" s="11" t="n"/>
      <c r="T1194" s="12" t="n"/>
      <c r="U1194" s="12" t="n"/>
      <c r="V1194" s="14">
        <f>IF($AN1194="",IF($B1194="","",$H1194),IF(INDEX(職員マスタ!$B$6:$B$405,$AN1194)="",$H1194,INDEX(職員マスタ!$B$6:$B$405,$AN1194)))</f>
        <v/>
      </c>
      <c r="W1194" s="14">
        <f>IF($AN1194="",IF($B1194="","",$R1194),IF(INDEX(職員マスタ!$C$6:$C$405,$AN1194)="",$R1194,INDEX(職員マスタ!$C$6:$C$405,$AN1194)))</f>
        <v/>
      </c>
      <c r="X1194" s="14">
        <f>IF($AO1194="","","R"&amp;$C1194&amp;"."&amp;$D1194)</f>
        <v/>
      </c>
      <c r="Y1194" s="15">
        <f>IF($AN1194="","",IF(INDEX(職員マスタ!$K$6:$K$405,$AN1194)="","",INDEX(職員マスタ!$K$6:$K$405,$AN1194)))</f>
        <v/>
      </c>
      <c r="Z1194" s="14">
        <f>IF(OR($E1194="",$Y1194=""),"",IF($E1194&gt;=$Y1194,"×",IF($E1194&gt;=$Y1194*設定!$C$5,"△","○")))</f>
        <v/>
      </c>
      <c r="AA1194" s="15">
        <f>IF($Z1194="","",IF($Z1194="×",0,IF($Z1194="○",ROUNDDOWN($E1194*設定!$C$4,0),ROUNDDOWN($E1194*ROUND((9*$Y1194-9*$E1194)/(10*$E1194),4),0))))</f>
        <v/>
      </c>
      <c r="AB1194" s="13" t="n"/>
      <c r="AC1194" s="15">
        <f>IF($B1194="","",IF($AB1194&lt;&gt;"",$AB1194,IF($AA1194="","",IF($AA1194&lt;=設定!$C$3,0,$AA1194))))</f>
        <v/>
      </c>
      <c r="AD1194" s="14">
        <f>IF($B1194="","",IF(AND($AE1194&lt;&gt;"",$AG1194="",$AJ1194=""),"保留中",IF($AJ1194&lt;&gt;"",IF(N($AC1194)&gt;0,"支給済","不支給"),IF($AC1194="","要確認",IF($AC1194=0,"不支給","未処理")))))</f>
        <v/>
      </c>
      <c r="AE1194" s="12" t="n"/>
      <c r="AF1194" s="11" t="n"/>
      <c r="AG1194" s="11" t="n"/>
      <c r="AH1194" s="11" t="n"/>
      <c r="AI1194" s="14">
        <f>IF(AND($AD1194="保留中",$AF1194&lt;&gt;""),TODAY()-$AF1194,"")</f>
        <v/>
      </c>
      <c r="AJ1194" s="12" t="n"/>
      <c r="AK1194" s="14">
        <f>IF($B1194="","",IF($AO1194="","対象年月が未入力／","")&amp;IF($B1194="","",IF($AN1194="","職員マスタに未登録の職員番号／",IF($Y1194="","標準報酬月額が未登録／","")&amp;IF(AND($AO1194&lt;&gt;"",OR(AND(INDEX(職員マスタ!$G$6:$G$405,$AN1194)&lt;&gt;"",INDEX(職員マスタ!$G$6:$G$405,$AN1194)&gt;EOMONTH($AO1194,0)),AND(INDEX(職員マスタ!$H$6:$H$405,$AN1194)&lt;&gt;"",INDEX(職員マスタ!$H$6:$H$405,$AN1194)&lt;$AO1194))),"対象月が時短期間外／","")&amp;IF(AND(INDEX(職員マスタ!$F$6:$F$405,$AN1194)&lt;&gt;"",$AO1194&lt;&gt;"",INDEX(職員マスタ!$F$6:$F$405,$AN1194)&lt;$AO1194),"対象月に子が2歳到達済／","")&amp;IF(AND($H1194&lt;&gt;"",INDEX(職員マスタ!$B$6:$B$405,$AN1194)&lt;&gt;"",SUBSTITUTE(SUBSTITUTE($H1194," ","")," ","")&lt;&gt;SUBSTITUTE(SUBSTITUTE(INDEX(職員マスタ!$B$6:$B$405,$AN1194)," ","")," ","")),"氏名がマスタと相違／","")&amp;IF(AND($Q1194&lt;&gt;"",INDEX(職員マスタ!$E$6:$E$405,$AN1194)&lt;&gt;"",$Q1194&lt;&gt;INDEX(職員マスタ!$E$6:$E$405,$AN1194)),"子の生年月日がマスタと相違／","")&amp;IF(AND($L1194&lt;&gt;"",INDEX(職員マスタ!$G$6:$G$405,$AN1194)&lt;&gt;"",$L1194&lt;&gt;INDEX(職員マスタ!$G$6:$G$405,$AN1194)),"時短開始日がマスタと相違／","")&amp;IF(AND($M1194&lt;&gt;"",INDEX(職員マスタ!$H$6:$H$405,$AN1194)&lt;&gt;"",$M1194&lt;&gt;INDEX(職員マスタ!$H$6:$H$405,$AN1194)),"時短終了日がマスタと相違／","")))&amp;IF(AND($B1194&lt;&gt;"",$E1194=""),"報酬額が未入力／","")&amp;IF(N($U1194)&gt;0,"申請書に入力エラーが残っています／","")&amp;IF(AND($B1194&lt;&gt;"",$AO1194&lt;&gt;""),IF(COUNTIFS($B$6:$B$3005,$B1194,$C$6:$C$3005,$C1194,$D$6:$D$3005,$D1194)&gt;1,"同じ月の請求が重複しています／",""),"")&amp;IF(AND(N($E1194)&gt;0,$Z1194&lt;&gt;"",$Z1194&lt;&gt;"×",$AC1194=0,$AB1194=""),"計算額が下限以下のため不支給／",""))</f>
        <v/>
      </c>
      <c r="AL1194" s="12" t="n"/>
      <c r="AM1194" s="14">
        <f>IF($AD1194="保留中",COUNTIF($AD$6:$AD1194,"保留中"),"")</f>
        <v/>
      </c>
      <c r="AN1194" s="14">
        <f>IF($AO1194="","",IF(SUMPRODUCT(MAX((職員マスタ!$A$6:$A$405=$B1194)*(((職員マスタ!$G$6:$G$405="")+(職員マスタ!$G$6:$G$405&lt;=EOMONTH($AO1194,0)))&gt;0)*(((職員マスタ!$H$6:$H$405="")+(職員マスタ!$H$6:$H$405&gt;=$AO1194))&gt;0)*(ROW(職員マスタ!$A$6:$A$405)-5)))&gt;0,SUMPRODUCT(MAX((職員マスタ!$A$6:$A$405=$B1194)*(((職員マスタ!$G$6:$G$405="")+(職員マスタ!$G$6:$G$405&lt;=EOMONTH($AO1194,0)))&gt;0)*(((職員マスタ!$H$6:$H$405="")+(職員マスタ!$H$6:$H$405&gt;=$AO1194))&gt;0)*(ROW(職員マスタ!$A$6:$A$405)-5))),IFERROR(MATCH($B1194,職員マスタ!$A$6:$A$405,0),"")))</f>
        <v/>
      </c>
      <c r="AO1194" s="16">
        <f>IF(OR($B1194="",$C1194="",$D1194=""),"",DATE($C1194+2018,$D1194,1))</f>
        <v/>
      </c>
    </row>
    <row r="1195">
      <c r="A1195" s="11" t="n"/>
      <c r="B1195" s="12" t="n"/>
      <c r="C1195" s="12" t="n"/>
      <c r="D1195" s="12" t="n"/>
      <c r="E1195" s="13" t="n"/>
      <c r="F1195" s="12" t="n"/>
      <c r="G1195" s="13" t="n"/>
      <c r="H1195" s="12" t="n"/>
      <c r="I1195" s="12" t="n"/>
      <c r="J1195" s="12" t="n"/>
      <c r="K1195" s="12" t="n"/>
      <c r="L1195" s="11" t="n"/>
      <c r="M1195" s="11" t="n"/>
      <c r="N1195" s="11" t="n"/>
      <c r="O1195" s="11" t="n"/>
      <c r="P1195" s="12" t="n"/>
      <c r="Q1195" s="11" t="n"/>
      <c r="R1195" s="12" t="n"/>
      <c r="S1195" s="11" t="n"/>
      <c r="T1195" s="12" t="n"/>
      <c r="U1195" s="12" t="n"/>
      <c r="V1195" s="14">
        <f>IF($AN1195="",IF($B1195="","",$H1195),IF(INDEX(職員マスタ!$B$6:$B$405,$AN1195)="",$H1195,INDEX(職員マスタ!$B$6:$B$405,$AN1195)))</f>
        <v/>
      </c>
      <c r="W1195" s="14">
        <f>IF($AN1195="",IF($B1195="","",$R1195),IF(INDEX(職員マスタ!$C$6:$C$405,$AN1195)="",$R1195,INDEX(職員マスタ!$C$6:$C$405,$AN1195)))</f>
        <v/>
      </c>
      <c r="X1195" s="14">
        <f>IF($AO1195="","","R"&amp;$C1195&amp;"."&amp;$D1195)</f>
        <v/>
      </c>
      <c r="Y1195" s="15">
        <f>IF($AN1195="","",IF(INDEX(職員マスタ!$K$6:$K$405,$AN1195)="","",INDEX(職員マスタ!$K$6:$K$405,$AN1195)))</f>
        <v/>
      </c>
      <c r="Z1195" s="14">
        <f>IF(OR($E1195="",$Y1195=""),"",IF($E1195&gt;=$Y1195,"×",IF($E1195&gt;=$Y1195*設定!$C$5,"△","○")))</f>
        <v/>
      </c>
      <c r="AA1195" s="15">
        <f>IF($Z1195="","",IF($Z1195="×",0,IF($Z1195="○",ROUNDDOWN($E1195*設定!$C$4,0),ROUNDDOWN($E1195*ROUND((9*$Y1195-9*$E1195)/(10*$E1195),4),0))))</f>
        <v/>
      </c>
      <c r="AB1195" s="13" t="n"/>
      <c r="AC1195" s="15">
        <f>IF($B1195="","",IF($AB1195&lt;&gt;"",$AB1195,IF($AA1195="","",IF($AA1195&lt;=設定!$C$3,0,$AA1195))))</f>
        <v/>
      </c>
      <c r="AD1195" s="14">
        <f>IF($B1195="","",IF(AND($AE1195&lt;&gt;"",$AG1195="",$AJ1195=""),"保留中",IF($AJ1195&lt;&gt;"",IF(N($AC1195)&gt;0,"支給済","不支給"),IF($AC1195="","要確認",IF($AC1195=0,"不支給","未処理")))))</f>
        <v/>
      </c>
      <c r="AE1195" s="12" t="n"/>
      <c r="AF1195" s="11" t="n"/>
      <c r="AG1195" s="11" t="n"/>
      <c r="AH1195" s="11" t="n"/>
      <c r="AI1195" s="14">
        <f>IF(AND($AD1195="保留中",$AF1195&lt;&gt;""),TODAY()-$AF1195,"")</f>
        <v/>
      </c>
      <c r="AJ1195" s="12" t="n"/>
      <c r="AK1195" s="14">
        <f>IF($B1195="","",IF($AO1195="","対象年月が未入力／","")&amp;IF($B1195="","",IF($AN1195="","職員マスタに未登録の職員番号／",IF($Y1195="","標準報酬月額が未登録／","")&amp;IF(AND($AO1195&lt;&gt;"",OR(AND(INDEX(職員マスタ!$G$6:$G$405,$AN1195)&lt;&gt;"",INDEX(職員マスタ!$G$6:$G$405,$AN1195)&gt;EOMONTH($AO1195,0)),AND(INDEX(職員マスタ!$H$6:$H$405,$AN1195)&lt;&gt;"",INDEX(職員マスタ!$H$6:$H$405,$AN1195)&lt;$AO1195))),"対象月が時短期間外／","")&amp;IF(AND(INDEX(職員マスタ!$F$6:$F$405,$AN1195)&lt;&gt;"",$AO1195&lt;&gt;"",INDEX(職員マスタ!$F$6:$F$405,$AN1195)&lt;$AO1195),"対象月に子が2歳到達済／","")&amp;IF(AND($H1195&lt;&gt;"",INDEX(職員マスタ!$B$6:$B$405,$AN1195)&lt;&gt;"",SUBSTITUTE(SUBSTITUTE($H1195," ","")," ","")&lt;&gt;SUBSTITUTE(SUBSTITUTE(INDEX(職員マスタ!$B$6:$B$405,$AN1195)," ","")," ","")),"氏名がマスタと相違／","")&amp;IF(AND($Q1195&lt;&gt;"",INDEX(職員マスタ!$E$6:$E$405,$AN1195)&lt;&gt;"",$Q1195&lt;&gt;INDEX(職員マスタ!$E$6:$E$405,$AN1195)),"子の生年月日がマスタと相違／","")&amp;IF(AND($L1195&lt;&gt;"",INDEX(職員マスタ!$G$6:$G$405,$AN1195)&lt;&gt;"",$L1195&lt;&gt;INDEX(職員マスタ!$G$6:$G$405,$AN1195)),"時短開始日がマスタと相違／","")&amp;IF(AND($M1195&lt;&gt;"",INDEX(職員マスタ!$H$6:$H$405,$AN1195)&lt;&gt;"",$M1195&lt;&gt;INDEX(職員マスタ!$H$6:$H$405,$AN1195)),"時短終了日がマスタと相違／","")))&amp;IF(AND($B1195&lt;&gt;"",$E1195=""),"報酬額が未入力／","")&amp;IF(N($U1195)&gt;0,"申請書に入力エラーが残っています／","")&amp;IF(AND($B1195&lt;&gt;"",$AO1195&lt;&gt;""),IF(COUNTIFS($B$6:$B$3005,$B1195,$C$6:$C$3005,$C1195,$D$6:$D$3005,$D1195)&gt;1,"同じ月の請求が重複しています／",""),"")&amp;IF(AND(N($E1195)&gt;0,$Z1195&lt;&gt;"",$Z1195&lt;&gt;"×",$AC1195=0,$AB1195=""),"計算額が下限以下のため不支給／",""))</f>
        <v/>
      </c>
      <c r="AL1195" s="12" t="n"/>
      <c r="AM1195" s="14">
        <f>IF($AD1195="保留中",COUNTIF($AD$6:$AD1195,"保留中"),"")</f>
        <v/>
      </c>
      <c r="AN1195" s="14">
        <f>IF($AO1195="","",IF(SUMPRODUCT(MAX((職員マスタ!$A$6:$A$405=$B1195)*(((職員マスタ!$G$6:$G$405="")+(職員マスタ!$G$6:$G$405&lt;=EOMONTH($AO1195,0)))&gt;0)*(((職員マスタ!$H$6:$H$405="")+(職員マスタ!$H$6:$H$405&gt;=$AO1195))&gt;0)*(ROW(職員マスタ!$A$6:$A$405)-5)))&gt;0,SUMPRODUCT(MAX((職員マスタ!$A$6:$A$405=$B1195)*(((職員マスタ!$G$6:$G$405="")+(職員マスタ!$G$6:$G$405&lt;=EOMONTH($AO1195,0)))&gt;0)*(((職員マスタ!$H$6:$H$405="")+(職員マスタ!$H$6:$H$405&gt;=$AO1195))&gt;0)*(ROW(職員マスタ!$A$6:$A$405)-5))),IFERROR(MATCH($B1195,職員マスタ!$A$6:$A$405,0),"")))</f>
        <v/>
      </c>
      <c r="AO1195" s="16">
        <f>IF(OR($B1195="",$C1195="",$D1195=""),"",DATE($C1195+2018,$D1195,1))</f>
        <v/>
      </c>
    </row>
    <row r="1196">
      <c r="A1196" s="11" t="n"/>
      <c r="B1196" s="12" t="n"/>
      <c r="C1196" s="12" t="n"/>
      <c r="D1196" s="12" t="n"/>
      <c r="E1196" s="13" t="n"/>
      <c r="F1196" s="12" t="n"/>
      <c r="G1196" s="13" t="n"/>
      <c r="H1196" s="12" t="n"/>
      <c r="I1196" s="12" t="n"/>
      <c r="J1196" s="12" t="n"/>
      <c r="K1196" s="12" t="n"/>
      <c r="L1196" s="11" t="n"/>
      <c r="M1196" s="11" t="n"/>
      <c r="N1196" s="11" t="n"/>
      <c r="O1196" s="11" t="n"/>
      <c r="P1196" s="12" t="n"/>
      <c r="Q1196" s="11" t="n"/>
      <c r="R1196" s="12" t="n"/>
      <c r="S1196" s="11" t="n"/>
      <c r="T1196" s="12" t="n"/>
      <c r="U1196" s="12" t="n"/>
      <c r="V1196" s="14">
        <f>IF($AN1196="",IF($B1196="","",$H1196),IF(INDEX(職員マスタ!$B$6:$B$405,$AN1196)="",$H1196,INDEX(職員マスタ!$B$6:$B$405,$AN1196)))</f>
        <v/>
      </c>
      <c r="W1196" s="14">
        <f>IF($AN1196="",IF($B1196="","",$R1196),IF(INDEX(職員マスタ!$C$6:$C$405,$AN1196)="",$R1196,INDEX(職員マスタ!$C$6:$C$405,$AN1196)))</f>
        <v/>
      </c>
      <c r="X1196" s="14">
        <f>IF($AO1196="","","R"&amp;$C1196&amp;"."&amp;$D1196)</f>
        <v/>
      </c>
      <c r="Y1196" s="15">
        <f>IF($AN1196="","",IF(INDEX(職員マスタ!$K$6:$K$405,$AN1196)="","",INDEX(職員マスタ!$K$6:$K$405,$AN1196)))</f>
        <v/>
      </c>
      <c r="Z1196" s="14">
        <f>IF(OR($E1196="",$Y1196=""),"",IF($E1196&gt;=$Y1196,"×",IF($E1196&gt;=$Y1196*設定!$C$5,"△","○")))</f>
        <v/>
      </c>
      <c r="AA1196" s="15">
        <f>IF($Z1196="","",IF($Z1196="×",0,IF($Z1196="○",ROUNDDOWN($E1196*設定!$C$4,0),ROUNDDOWN($E1196*ROUND((9*$Y1196-9*$E1196)/(10*$E1196),4),0))))</f>
        <v/>
      </c>
      <c r="AB1196" s="13" t="n"/>
      <c r="AC1196" s="15">
        <f>IF($B1196="","",IF($AB1196&lt;&gt;"",$AB1196,IF($AA1196="","",IF($AA1196&lt;=設定!$C$3,0,$AA1196))))</f>
        <v/>
      </c>
      <c r="AD1196" s="14">
        <f>IF($B1196="","",IF(AND($AE1196&lt;&gt;"",$AG1196="",$AJ1196=""),"保留中",IF($AJ1196&lt;&gt;"",IF(N($AC1196)&gt;0,"支給済","不支給"),IF($AC1196="","要確認",IF($AC1196=0,"不支給","未処理")))))</f>
        <v/>
      </c>
      <c r="AE1196" s="12" t="n"/>
      <c r="AF1196" s="11" t="n"/>
      <c r="AG1196" s="11" t="n"/>
      <c r="AH1196" s="11" t="n"/>
      <c r="AI1196" s="14">
        <f>IF(AND($AD1196="保留中",$AF1196&lt;&gt;""),TODAY()-$AF1196,"")</f>
        <v/>
      </c>
      <c r="AJ1196" s="12" t="n"/>
      <c r="AK1196" s="14">
        <f>IF($B1196="","",IF($AO1196="","対象年月が未入力／","")&amp;IF($B1196="","",IF($AN1196="","職員マスタに未登録の職員番号／",IF($Y1196="","標準報酬月額が未登録／","")&amp;IF(AND($AO1196&lt;&gt;"",OR(AND(INDEX(職員マスタ!$G$6:$G$405,$AN1196)&lt;&gt;"",INDEX(職員マスタ!$G$6:$G$405,$AN1196)&gt;EOMONTH($AO1196,0)),AND(INDEX(職員マスタ!$H$6:$H$405,$AN1196)&lt;&gt;"",INDEX(職員マスタ!$H$6:$H$405,$AN1196)&lt;$AO1196))),"対象月が時短期間外／","")&amp;IF(AND(INDEX(職員マスタ!$F$6:$F$405,$AN1196)&lt;&gt;"",$AO1196&lt;&gt;"",INDEX(職員マスタ!$F$6:$F$405,$AN1196)&lt;$AO1196),"対象月に子が2歳到達済／","")&amp;IF(AND($H1196&lt;&gt;"",INDEX(職員マスタ!$B$6:$B$405,$AN1196)&lt;&gt;"",SUBSTITUTE(SUBSTITUTE($H1196," ","")," ","")&lt;&gt;SUBSTITUTE(SUBSTITUTE(INDEX(職員マスタ!$B$6:$B$405,$AN1196)," ","")," ","")),"氏名がマスタと相違／","")&amp;IF(AND($Q1196&lt;&gt;"",INDEX(職員マスタ!$E$6:$E$405,$AN1196)&lt;&gt;"",$Q1196&lt;&gt;INDEX(職員マスタ!$E$6:$E$405,$AN1196)),"子の生年月日がマスタと相違／","")&amp;IF(AND($L1196&lt;&gt;"",INDEX(職員マスタ!$G$6:$G$405,$AN1196)&lt;&gt;"",$L1196&lt;&gt;INDEX(職員マスタ!$G$6:$G$405,$AN1196)),"時短開始日がマスタと相違／","")&amp;IF(AND($M1196&lt;&gt;"",INDEX(職員マスタ!$H$6:$H$405,$AN1196)&lt;&gt;"",$M1196&lt;&gt;INDEX(職員マスタ!$H$6:$H$405,$AN1196)),"時短終了日がマスタと相違／","")))&amp;IF(AND($B1196&lt;&gt;"",$E1196=""),"報酬額が未入力／","")&amp;IF(N($U1196)&gt;0,"申請書に入力エラーが残っています／","")&amp;IF(AND($B1196&lt;&gt;"",$AO1196&lt;&gt;""),IF(COUNTIFS($B$6:$B$3005,$B1196,$C$6:$C$3005,$C1196,$D$6:$D$3005,$D1196)&gt;1,"同じ月の請求が重複しています／",""),"")&amp;IF(AND(N($E1196)&gt;0,$Z1196&lt;&gt;"",$Z1196&lt;&gt;"×",$AC1196=0,$AB1196=""),"計算額が下限以下のため不支給／",""))</f>
        <v/>
      </c>
      <c r="AL1196" s="12" t="n"/>
      <c r="AM1196" s="14">
        <f>IF($AD1196="保留中",COUNTIF($AD$6:$AD1196,"保留中"),"")</f>
        <v/>
      </c>
      <c r="AN1196" s="14">
        <f>IF($AO1196="","",IF(SUMPRODUCT(MAX((職員マスタ!$A$6:$A$405=$B1196)*(((職員マスタ!$G$6:$G$405="")+(職員マスタ!$G$6:$G$405&lt;=EOMONTH($AO1196,0)))&gt;0)*(((職員マスタ!$H$6:$H$405="")+(職員マスタ!$H$6:$H$405&gt;=$AO1196))&gt;0)*(ROW(職員マスタ!$A$6:$A$405)-5)))&gt;0,SUMPRODUCT(MAX((職員マスタ!$A$6:$A$405=$B1196)*(((職員マスタ!$G$6:$G$405="")+(職員マスタ!$G$6:$G$405&lt;=EOMONTH($AO1196,0)))&gt;0)*(((職員マスタ!$H$6:$H$405="")+(職員マスタ!$H$6:$H$405&gt;=$AO1196))&gt;0)*(ROW(職員マスタ!$A$6:$A$405)-5))),IFERROR(MATCH($B1196,職員マスタ!$A$6:$A$405,0),"")))</f>
        <v/>
      </c>
      <c r="AO1196" s="16">
        <f>IF(OR($B1196="",$C1196="",$D1196=""),"",DATE($C1196+2018,$D1196,1))</f>
        <v/>
      </c>
    </row>
    <row r="1197">
      <c r="A1197" s="11" t="n"/>
      <c r="B1197" s="12" t="n"/>
      <c r="C1197" s="12" t="n"/>
      <c r="D1197" s="12" t="n"/>
      <c r="E1197" s="13" t="n"/>
      <c r="F1197" s="12" t="n"/>
      <c r="G1197" s="13" t="n"/>
      <c r="H1197" s="12" t="n"/>
      <c r="I1197" s="12" t="n"/>
      <c r="J1197" s="12" t="n"/>
      <c r="K1197" s="12" t="n"/>
      <c r="L1197" s="11" t="n"/>
      <c r="M1197" s="11" t="n"/>
      <c r="N1197" s="11" t="n"/>
      <c r="O1197" s="11" t="n"/>
      <c r="P1197" s="12" t="n"/>
      <c r="Q1197" s="11" t="n"/>
      <c r="R1197" s="12" t="n"/>
      <c r="S1197" s="11" t="n"/>
      <c r="T1197" s="12" t="n"/>
      <c r="U1197" s="12" t="n"/>
      <c r="V1197" s="14">
        <f>IF($AN1197="",IF($B1197="","",$H1197),IF(INDEX(職員マスタ!$B$6:$B$405,$AN1197)="",$H1197,INDEX(職員マスタ!$B$6:$B$405,$AN1197)))</f>
        <v/>
      </c>
      <c r="W1197" s="14">
        <f>IF($AN1197="",IF($B1197="","",$R1197),IF(INDEX(職員マスタ!$C$6:$C$405,$AN1197)="",$R1197,INDEX(職員マスタ!$C$6:$C$405,$AN1197)))</f>
        <v/>
      </c>
      <c r="X1197" s="14">
        <f>IF($AO1197="","","R"&amp;$C1197&amp;"."&amp;$D1197)</f>
        <v/>
      </c>
      <c r="Y1197" s="15">
        <f>IF($AN1197="","",IF(INDEX(職員マスタ!$K$6:$K$405,$AN1197)="","",INDEX(職員マスタ!$K$6:$K$405,$AN1197)))</f>
        <v/>
      </c>
      <c r="Z1197" s="14">
        <f>IF(OR($E1197="",$Y1197=""),"",IF($E1197&gt;=$Y1197,"×",IF($E1197&gt;=$Y1197*設定!$C$5,"△","○")))</f>
        <v/>
      </c>
      <c r="AA1197" s="15">
        <f>IF($Z1197="","",IF($Z1197="×",0,IF($Z1197="○",ROUNDDOWN($E1197*設定!$C$4,0),ROUNDDOWN($E1197*ROUND((9*$Y1197-9*$E1197)/(10*$E1197),4),0))))</f>
        <v/>
      </c>
      <c r="AB1197" s="13" t="n"/>
      <c r="AC1197" s="15">
        <f>IF($B1197="","",IF($AB1197&lt;&gt;"",$AB1197,IF($AA1197="","",IF($AA1197&lt;=設定!$C$3,0,$AA1197))))</f>
        <v/>
      </c>
      <c r="AD1197" s="14">
        <f>IF($B1197="","",IF(AND($AE1197&lt;&gt;"",$AG1197="",$AJ1197=""),"保留中",IF($AJ1197&lt;&gt;"",IF(N($AC1197)&gt;0,"支給済","不支給"),IF($AC1197="","要確認",IF($AC1197=0,"不支給","未処理")))))</f>
        <v/>
      </c>
      <c r="AE1197" s="12" t="n"/>
      <c r="AF1197" s="11" t="n"/>
      <c r="AG1197" s="11" t="n"/>
      <c r="AH1197" s="11" t="n"/>
      <c r="AI1197" s="14">
        <f>IF(AND($AD1197="保留中",$AF1197&lt;&gt;""),TODAY()-$AF1197,"")</f>
        <v/>
      </c>
      <c r="AJ1197" s="12" t="n"/>
      <c r="AK1197" s="14">
        <f>IF($B1197="","",IF($AO1197="","対象年月が未入力／","")&amp;IF($B1197="","",IF($AN1197="","職員マスタに未登録の職員番号／",IF($Y1197="","標準報酬月額が未登録／","")&amp;IF(AND($AO1197&lt;&gt;"",OR(AND(INDEX(職員マスタ!$G$6:$G$405,$AN1197)&lt;&gt;"",INDEX(職員マスタ!$G$6:$G$405,$AN1197)&gt;EOMONTH($AO1197,0)),AND(INDEX(職員マスタ!$H$6:$H$405,$AN1197)&lt;&gt;"",INDEX(職員マスタ!$H$6:$H$405,$AN1197)&lt;$AO1197))),"対象月が時短期間外／","")&amp;IF(AND(INDEX(職員マスタ!$F$6:$F$405,$AN1197)&lt;&gt;"",$AO1197&lt;&gt;"",INDEX(職員マスタ!$F$6:$F$405,$AN1197)&lt;$AO1197),"対象月に子が2歳到達済／","")&amp;IF(AND($H1197&lt;&gt;"",INDEX(職員マスタ!$B$6:$B$405,$AN1197)&lt;&gt;"",SUBSTITUTE(SUBSTITUTE($H1197," ","")," ","")&lt;&gt;SUBSTITUTE(SUBSTITUTE(INDEX(職員マスタ!$B$6:$B$405,$AN1197)," ","")," ","")),"氏名がマスタと相違／","")&amp;IF(AND($Q1197&lt;&gt;"",INDEX(職員マスタ!$E$6:$E$405,$AN1197)&lt;&gt;"",$Q1197&lt;&gt;INDEX(職員マスタ!$E$6:$E$405,$AN1197)),"子の生年月日がマスタと相違／","")&amp;IF(AND($L1197&lt;&gt;"",INDEX(職員マスタ!$G$6:$G$405,$AN1197)&lt;&gt;"",$L1197&lt;&gt;INDEX(職員マスタ!$G$6:$G$405,$AN1197)),"時短開始日がマスタと相違／","")&amp;IF(AND($M1197&lt;&gt;"",INDEX(職員マスタ!$H$6:$H$405,$AN1197)&lt;&gt;"",$M1197&lt;&gt;INDEX(職員マスタ!$H$6:$H$405,$AN1197)),"時短終了日がマスタと相違／","")))&amp;IF(AND($B1197&lt;&gt;"",$E1197=""),"報酬額が未入力／","")&amp;IF(N($U1197)&gt;0,"申請書に入力エラーが残っています／","")&amp;IF(AND($B1197&lt;&gt;"",$AO1197&lt;&gt;""),IF(COUNTIFS($B$6:$B$3005,$B1197,$C$6:$C$3005,$C1197,$D$6:$D$3005,$D1197)&gt;1,"同じ月の請求が重複しています／",""),"")&amp;IF(AND(N($E1197)&gt;0,$Z1197&lt;&gt;"",$Z1197&lt;&gt;"×",$AC1197=0,$AB1197=""),"計算額が下限以下のため不支給／",""))</f>
        <v/>
      </c>
      <c r="AL1197" s="12" t="n"/>
      <c r="AM1197" s="14">
        <f>IF($AD1197="保留中",COUNTIF($AD$6:$AD1197,"保留中"),"")</f>
        <v/>
      </c>
      <c r="AN1197" s="14">
        <f>IF($AO1197="","",IF(SUMPRODUCT(MAX((職員マスタ!$A$6:$A$405=$B1197)*(((職員マスタ!$G$6:$G$405="")+(職員マスタ!$G$6:$G$405&lt;=EOMONTH($AO1197,0)))&gt;0)*(((職員マスタ!$H$6:$H$405="")+(職員マスタ!$H$6:$H$405&gt;=$AO1197))&gt;0)*(ROW(職員マスタ!$A$6:$A$405)-5)))&gt;0,SUMPRODUCT(MAX((職員マスタ!$A$6:$A$405=$B1197)*(((職員マスタ!$G$6:$G$405="")+(職員マスタ!$G$6:$G$405&lt;=EOMONTH($AO1197,0)))&gt;0)*(((職員マスタ!$H$6:$H$405="")+(職員マスタ!$H$6:$H$405&gt;=$AO1197))&gt;0)*(ROW(職員マスタ!$A$6:$A$405)-5))),IFERROR(MATCH($B1197,職員マスタ!$A$6:$A$405,0),"")))</f>
        <v/>
      </c>
      <c r="AO1197" s="16">
        <f>IF(OR($B1197="",$C1197="",$D1197=""),"",DATE($C1197+2018,$D1197,1))</f>
        <v/>
      </c>
    </row>
    <row r="1198">
      <c r="A1198" s="11" t="n"/>
      <c r="B1198" s="12" t="n"/>
      <c r="C1198" s="12" t="n"/>
      <c r="D1198" s="12" t="n"/>
      <c r="E1198" s="13" t="n"/>
      <c r="F1198" s="12" t="n"/>
      <c r="G1198" s="13" t="n"/>
      <c r="H1198" s="12" t="n"/>
      <c r="I1198" s="12" t="n"/>
      <c r="J1198" s="12" t="n"/>
      <c r="K1198" s="12" t="n"/>
      <c r="L1198" s="11" t="n"/>
      <c r="M1198" s="11" t="n"/>
      <c r="N1198" s="11" t="n"/>
      <c r="O1198" s="11" t="n"/>
      <c r="P1198" s="12" t="n"/>
      <c r="Q1198" s="11" t="n"/>
      <c r="R1198" s="12" t="n"/>
      <c r="S1198" s="11" t="n"/>
      <c r="T1198" s="12" t="n"/>
      <c r="U1198" s="12" t="n"/>
      <c r="V1198" s="14">
        <f>IF($AN1198="",IF($B1198="","",$H1198),IF(INDEX(職員マスタ!$B$6:$B$405,$AN1198)="",$H1198,INDEX(職員マスタ!$B$6:$B$405,$AN1198)))</f>
        <v/>
      </c>
      <c r="W1198" s="14">
        <f>IF($AN1198="",IF($B1198="","",$R1198),IF(INDEX(職員マスタ!$C$6:$C$405,$AN1198)="",$R1198,INDEX(職員マスタ!$C$6:$C$405,$AN1198)))</f>
        <v/>
      </c>
      <c r="X1198" s="14">
        <f>IF($AO1198="","","R"&amp;$C1198&amp;"."&amp;$D1198)</f>
        <v/>
      </c>
      <c r="Y1198" s="15">
        <f>IF($AN1198="","",IF(INDEX(職員マスタ!$K$6:$K$405,$AN1198)="","",INDEX(職員マスタ!$K$6:$K$405,$AN1198)))</f>
        <v/>
      </c>
      <c r="Z1198" s="14">
        <f>IF(OR($E1198="",$Y1198=""),"",IF($E1198&gt;=$Y1198,"×",IF($E1198&gt;=$Y1198*設定!$C$5,"△","○")))</f>
        <v/>
      </c>
      <c r="AA1198" s="15">
        <f>IF($Z1198="","",IF($Z1198="×",0,IF($Z1198="○",ROUNDDOWN($E1198*設定!$C$4,0),ROUNDDOWN($E1198*ROUND((9*$Y1198-9*$E1198)/(10*$E1198),4),0))))</f>
        <v/>
      </c>
      <c r="AB1198" s="13" t="n"/>
      <c r="AC1198" s="15">
        <f>IF($B1198="","",IF($AB1198&lt;&gt;"",$AB1198,IF($AA1198="","",IF($AA1198&lt;=設定!$C$3,0,$AA1198))))</f>
        <v/>
      </c>
      <c r="AD1198" s="14">
        <f>IF($B1198="","",IF(AND($AE1198&lt;&gt;"",$AG1198="",$AJ1198=""),"保留中",IF($AJ1198&lt;&gt;"",IF(N($AC1198)&gt;0,"支給済","不支給"),IF($AC1198="","要確認",IF($AC1198=0,"不支給","未処理")))))</f>
        <v/>
      </c>
      <c r="AE1198" s="12" t="n"/>
      <c r="AF1198" s="11" t="n"/>
      <c r="AG1198" s="11" t="n"/>
      <c r="AH1198" s="11" t="n"/>
      <c r="AI1198" s="14">
        <f>IF(AND($AD1198="保留中",$AF1198&lt;&gt;""),TODAY()-$AF1198,"")</f>
        <v/>
      </c>
      <c r="AJ1198" s="12" t="n"/>
      <c r="AK1198" s="14">
        <f>IF($B1198="","",IF($AO1198="","対象年月が未入力／","")&amp;IF($B1198="","",IF($AN1198="","職員マスタに未登録の職員番号／",IF($Y1198="","標準報酬月額が未登録／","")&amp;IF(AND($AO1198&lt;&gt;"",OR(AND(INDEX(職員マスタ!$G$6:$G$405,$AN1198)&lt;&gt;"",INDEX(職員マスタ!$G$6:$G$405,$AN1198)&gt;EOMONTH($AO1198,0)),AND(INDEX(職員マスタ!$H$6:$H$405,$AN1198)&lt;&gt;"",INDEX(職員マスタ!$H$6:$H$405,$AN1198)&lt;$AO1198))),"対象月が時短期間外／","")&amp;IF(AND(INDEX(職員マスタ!$F$6:$F$405,$AN1198)&lt;&gt;"",$AO1198&lt;&gt;"",INDEX(職員マスタ!$F$6:$F$405,$AN1198)&lt;$AO1198),"対象月に子が2歳到達済／","")&amp;IF(AND($H1198&lt;&gt;"",INDEX(職員マスタ!$B$6:$B$405,$AN1198)&lt;&gt;"",SUBSTITUTE(SUBSTITUTE($H1198," ","")," ","")&lt;&gt;SUBSTITUTE(SUBSTITUTE(INDEX(職員マスタ!$B$6:$B$405,$AN1198)," ","")," ","")),"氏名がマスタと相違／","")&amp;IF(AND($Q1198&lt;&gt;"",INDEX(職員マスタ!$E$6:$E$405,$AN1198)&lt;&gt;"",$Q1198&lt;&gt;INDEX(職員マスタ!$E$6:$E$405,$AN1198)),"子の生年月日がマスタと相違／","")&amp;IF(AND($L1198&lt;&gt;"",INDEX(職員マスタ!$G$6:$G$405,$AN1198)&lt;&gt;"",$L1198&lt;&gt;INDEX(職員マスタ!$G$6:$G$405,$AN1198)),"時短開始日がマスタと相違／","")&amp;IF(AND($M1198&lt;&gt;"",INDEX(職員マスタ!$H$6:$H$405,$AN1198)&lt;&gt;"",$M1198&lt;&gt;INDEX(職員マスタ!$H$6:$H$405,$AN1198)),"時短終了日がマスタと相違／","")))&amp;IF(AND($B1198&lt;&gt;"",$E1198=""),"報酬額が未入力／","")&amp;IF(N($U1198)&gt;0,"申請書に入力エラーが残っています／","")&amp;IF(AND($B1198&lt;&gt;"",$AO1198&lt;&gt;""),IF(COUNTIFS($B$6:$B$3005,$B1198,$C$6:$C$3005,$C1198,$D$6:$D$3005,$D1198)&gt;1,"同じ月の請求が重複しています／",""),"")&amp;IF(AND(N($E1198)&gt;0,$Z1198&lt;&gt;"",$Z1198&lt;&gt;"×",$AC1198=0,$AB1198=""),"計算額が下限以下のため不支給／",""))</f>
        <v/>
      </c>
      <c r="AL1198" s="12" t="n"/>
      <c r="AM1198" s="14">
        <f>IF($AD1198="保留中",COUNTIF($AD$6:$AD1198,"保留中"),"")</f>
        <v/>
      </c>
      <c r="AN1198" s="14">
        <f>IF($AO1198="","",IF(SUMPRODUCT(MAX((職員マスタ!$A$6:$A$405=$B1198)*(((職員マスタ!$G$6:$G$405="")+(職員マスタ!$G$6:$G$405&lt;=EOMONTH($AO1198,0)))&gt;0)*(((職員マスタ!$H$6:$H$405="")+(職員マスタ!$H$6:$H$405&gt;=$AO1198))&gt;0)*(ROW(職員マスタ!$A$6:$A$405)-5)))&gt;0,SUMPRODUCT(MAX((職員マスタ!$A$6:$A$405=$B1198)*(((職員マスタ!$G$6:$G$405="")+(職員マスタ!$G$6:$G$405&lt;=EOMONTH($AO1198,0)))&gt;0)*(((職員マスタ!$H$6:$H$405="")+(職員マスタ!$H$6:$H$405&gt;=$AO1198))&gt;0)*(ROW(職員マスタ!$A$6:$A$405)-5))),IFERROR(MATCH($B1198,職員マスタ!$A$6:$A$405,0),"")))</f>
        <v/>
      </c>
      <c r="AO1198" s="16">
        <f>IF(OR($B1198="",$C1198="",$D1198=""),"",DATE($C1198+2018,$D1198,1))</f>
        <v/>
      </c>
    </row>
    <row r="1199">
      <c r="A1199" s="11" t="n"/>
      <c r="B1199" s="12" t="n"/>
      <c r="C1199" s="12" t="n"/>
      <c r="D1199" s="12" t="n"/>
      <c r="E1199" s="13" t="n"/>
      <c r="F1199" s="12" t="n"/>
      <c r="G1199" s="13" t="n"/>
      <c r="H1199" s="12" t="n"/>
      <c r="I1199" s="12" t="n"/>
      <c r="J1199" s="12" t="n"/>
      <c r="K1199" s="12" t="n"/>
      <c r="L1199" s="11" t="n"/>
      <c r="M1199" s="11" t="n"/>
      <c r="N1199" s="11" t="n"/>
      <c r="O1199" s="11" t="n"/>
      <c r="P1199" s="12" t="n"/>
      <c r="Q1199" s="11" t="n"/>
      <c r="R1199" s="12" t="n"/>
      <c r="S1199" s="11" t="n"/>
      <c r="T1199" s="12" t="n"/>
      <c r="U1199" s="12" t="n"/>
      <c r="V1199" s="14">
        <f>IF($AN1199="",IF($B1199="","",$H1199),IF(INDEX(職員マスタ!$B$6:$B$405,$AN1199)="",$H1199,INDEX(職員マスタ!$B$6:$B$405,$AN1199)))</f>
        <v/>
      </c>
      <c r="W1199" s="14">
        <f>IF($AN1199="",IF($B1199="","",$R1199),IF(INDEX(職員マスタ!$C$6:$C$405,$AN1199)="",$R1199,INDEX(職員マスタ!$C$6:$C$405,$AN1199)))</f>
        <v/>
      </c>
      <c r="X1199" s="14">
        <f>IF($AO1199="","","R"&amp;$C1199&amp;"."&amp;$D1199)</f>
        <v/>
      </c>
      <c r="Y1199" s="15">
        <f>IF($AN1199="","",IF(INDEX(職員マスタ!$K$6:$K$405,$AN1199)="","",INDEX(職員マスタ!$K$6:$K$405,$AN1199)))</f>
        <v/>
      </c>
      <c r="Z1199" s="14">
        <f>IF(OR($E1199="",$Y1199=""),"",IF($E1199&gt;=$Y1199,"×",IF($E1199&gt;=$Y1199*設定!$C$5,"△","○")))</f>
        <v/>
      </c>
      <c r="AA1199" s="15">
        <f>IF($Z1199="","",IF($Z1199="×",0,IF($Z1199="○",ROUNDDOWN($E1199*設定!$C$4,0),ROUNDDOWN($E1199*ROUND((9*$Y1199-9*$E1199)/(10*$E1199),4),0))))</f>
        <v/>
      </c>
      <c r="AB1199" s="13" t="n"/>
      <c r="AC1199" s="15">
        <f>IF($B1199="","",IF($AB1199&lt;&gt;"",$AB1199,IF($AA1199="","",IF($AA1199&lt;=設定!$C$3,0,$AA1199))))</f>
        <v/>
      </c>
      <c r="AD1199" s="14">
        <f>IF($B1199="","",IF(AND($AE1199&lt;&gt;"",$AG1199="",$AJ1199=""),"保留中",IF($AJ1199&lt;&gt;"",IF(N($AC1199)&gt;0,"支給済","不支給"),IF($AC1199="","要確認",IF($AC1199=0,"不支給","未処理")))))</f>
        <v/>
      </c>
      <c r="AE1199" s="12" t="n"/>
      <c r="AF1199" s="11" t="n"/>
      <c r="AG1199" s="11" t="n"/>
      <c r="AH1199" s="11" t="n"/>
      <c r="AI1199" s="14">
        <f>IF(AND($AD1199="保留中",$AF1199&lt;&gt;""),TODAY()-$AF1199,"")</f>
        <v/>
      </c>
      <c r="AJ1199" s="12" t="n"/>
      <c r="AK1199" s="14">
        <f>IF($B1199="","",IF($AO1199="","対象年月が未入力／","")&amp;IF($B1199="","",IF($AN1199="","職員マスタに未登録の職員番号／",IF($Y1199="","標準報酬月額が未登録／","")&amp;IF(AND($AO1199&lt;&gt;"",OR(AND(INDEX(職員マスタ!$G$6:$G$405,$AN1199)&lt;&gt;"",INDEX(職員マスタ!$G$6:$G$405,$AN1199)&gt;EOMONTH($AO1199,0)),AND(INDEX(職員マスタ!$H$6:$H$405,$AN1199)&lt;&gt;"",INDEX(職員マスタ!$H$6:$H$405,$AN1199)&lt;$AO1199))),"対象月が時短期間外／","")&amp;IF(AND(INDEX(職員マスタ!$F$6:$F$405,$AN1199)&lt;&gt;"",$AO1199&lt;&gt;"",INDEX(職員マスタ!$F$6:$F$405,$AN1199)&lt;$AO1199),"対象月に子が2歳到達済／","")&amp;IF(AND($H1199&lt;&gt;"",INDEX(職員マスタ!$B$6:$B$405,$AN1199)&lt;&gt;"",SUBSTITUTE(SUBSTITUTE($H1199," ","")," ","")&lt;&gt;SUBSTITUTE(SUBSTITUTE(INDEX(職員マスタ!$B$6:$B$405,$AN1199)," ","")," ","")),"氏名がマスタと相違／","")&amp;IF(AND($Q1199&lt;&gt;"",INDEX(職員マスタ!$E$6:$E$405,$AN1199)&lt;&gt;"",$Q1199&lt;&gt;INDEX(職員マスタ!$E$6:$E$405,$AN1199)),"子の生年月日がマスタと相違／","")&amp;IF(AND($L1199&lt;&gt;"",INDEX(職員マスタ!$G$6:$G$405,$AN1199)&lt;&gt;"",$L1199&lt;&gt;INDEX(職員マスタ!$G$6:$G$405,$AN1199)),"時短開始日がマスタと相違／","")&amp;IF(AND($M1199&lt;&gt;"",INDEX(職員マスタ!$H$6:$H$405,$AN1199)&lt;&gt;"",$M1199&lt;&gt;INDEX(職員マスタ!$H$6:$H$405,$AN1199)),"時短終了日がマスタと相違／","")))&amp;IF(AND($B1199&lt;&gt;"",$E1199=""),"報酬額が未入力／","")&amp;IF(N($U1199)&gt;0,"申請書に入力エラーが残っています／","")&amp;IF(AND($B1199&lt;&gt;"",$AO1199&lt;&gt;""),IF(COUNTIFS($B$6:$B$3005,$B1199,$C$6:$C$3005,$C1199,$D$6:$D$3005,$D1199)&gt;1,"同じ月の請求が重複しています／",""),"")&amp;IF(AND(N($E1199)&gt;0,$Z1199&lt;&gt;"",$Z1199&lt;&gt;"×",$AC1199=0,$AB1199=""),"計算額が下限以下のため不支給／",""))</f>
        <v/>
      </c>
      <c r="AL1199" s="12" t="n"/>
      <c r="AM1199" s="14">
        <f>IF($AD1199="保留中",COUNTIF($AD$6:$AD1199,"保留中"),"")</f>
        <v/>
      </c>
      <c r="AN1199" s="14">
        <f>IF($AO1199="","",IF(SUMPRODUCT(MAX((職員マスタ!$A$6:$A$405=$B1199)*(((職員マスタ!$G$6:$G$405="")+(職員マスタ!$G$6:$G$405&lt;=EOMONTH($AO1199,0)))&gt;0)*(((職員マスタ!$H$6:$H$405="")+(職員マスタ!$H$6:$H$405&gt;=$AO1199))&gt;0)*(ROW(職員マスタ!$A$6:$A$405)-5)))&gt;0,SUMPRODUCT(MAX((職員マスタ!$A$6:$A$405=$B1199)*(((職員マスタ!$G$6:$G$405="")+(職員マスタ!$G$6:$G$405&lt;=EOMONTH($AO1199,0)))&gt;0)*(((職員マスタ!$H$6:$H$405="")+(職員マスタ!$H$6:$H$405&gt;=$AO1199))&gt;0)*(ROW(職員マスタ!$A$6:$A$405)-5))),IFERROR(MATCH($B1199,職員マスタ!$A$6:$A$405,0),"")))</f>
        <v/>
      </c>
      <c r="AO1199" s="16">
        <f>IF(OR($B1199="",$C1199="",$D1199=""),"",DATE($C1199+2018,$D1199,1))</f>
        <v/>
      </c>
    </row>
    <row r="1200">
      <c r="A1200" s="11" t="n"/>
      <c r="B1200" s="12" t="n"/>
      <c r="C1200" s="12" t="n"/>
      <c r="D1200" s="12" t="n"/>
      <c r="E1200" s="13" t="n"/>
      <c r="F1200" s="12" t="n"/>
      <c r="G1200" s="13" t="n"/>
      <c r="H1200" s="12" t="n"/>
      <c r="I1200" s="12" t="n"/>
      <c r="J1200" s="12" t="n"/>
      <c r="K1200" s="12" t="n"/>
      <c r="L1200" s="11" t="n"/>
      <c r="M1200" s="11" t="n"/>
      <c r="N1200" s="11" t="n"/>
      <c r="O1200" s="11" t="n"/>
      <c r="P1200" s="12" t="n"/>
      <c r="Q1200" s="11" t="n"/>
      <c r="R1200" s="12" t="n"/>
      <c r="S1200" s="11" t="n"/>
      <c r="T1200" s="12" t="n"/>
      <c r="U1200" s="12" t="n"/>
      <c r="V1200" s="14">
        <f>IF($AN1200="",IF($B1200="","",$H1200),IF(INDEX(職員マスタ!$B$6:$B$405,$AN1200)="",$H1200,INDEX(職員マスタ!$B$6:$B$405,$AN1200)))</f>
        <v/>
      </c>
      <c r="W1200" s="14">
        <f>IF($AN1200="",IF($B1200="","",$R1200),IF(INDEX(職員マスタ!$C$6:$C$405,$AN1200)="",$R1200,INDEX(職員マスタ!$C$6:$C$405,$AN1200)))</f>
        <v/>
      </c>
      <c r="X1200" s="14">
        <f>IF($AO1200="","","R"&amp;$C1200&amp;"."&amp;$D1200)</f>
        <v/>
      </c>
      <c r="Y1200" s="15">
        <f>IF($AN1200="","",IF(INDEX(職員マスタ!$K$6:$K$405,$AN1200)="","",INDEX(職員マスタ!$K$6:$K$405,$AN1200)))</f>
        <v/>
      </c>
      <c r="Z1200" s="14">
        <f>IF(OR($E1200="",$Y1200=""),"",IF($E1200&gt;=$Y1200,"×",IF($E1200&gt;=$Y1200*設定!$C$5,"△","○")))</f>
        <v/>
      </c>
      <c r="AA1200" s="15">
        <f>IF($Z1200="","",IF($Z1200="×",0,IF($Z1200="○",ROUNDDOWN($E1200*設定!$C$4,0),ROUNDDOWN($E1200*ROUND((9*$Y1200-9*$E1200)/(10*$E1200),4),0))))</f>
        <v/>
      </c>
      <c r="AB1200" s="13" t="n"/>
      <c r="AC1200" s="15">
        <f>IF($B1200="","",IF($AB1200&lt;&gt;"",$AB1200,IF($AA1200="","",IF($AA1200&lt;=設定!$C$3,0,$AA1200))))</f>
        <v/>
      </c>
      <c r="AD1200" s="14">
        <f>IF($B1200="","",IF(AND($AE1200&lt;&gt;"",$AG1200="",$AJ1200=""),"保留中",IF($AJ1200&lt;&gt;"",IF(N($AC1200)&gt;0,"支給済","不支給"),IF($AC1200="","要確認",IF($AC1200=0,"不支給","未処理")))))</f>
        <v/>
      </c>
      <c r="AE1200" s="12" t="n"/>
      <c r="AF1200" s="11" t="n"/>
      <c r="AG1200" s="11" t="n"/>
      <c r="AH1200" s="11" t="n"/>
      <c r="AI1200" s="14">
        <f>IF(AND($AD1200="保留中",$AF1200&lt;&gt;""),TODAY()-$AF1200,"")</f>
        <v/>
      </c>
      <c r="AJ1200" s="12" t="n"/>
      <c r="AK1200" s="14">
        <f>IF($B1200="","",IF($AO1200="","対象年月が未入力／","")&amp;IF($B1200="","",IF($AN1200="","職員マスタに未登録の職員番号／",IF($Y1200="","標準報酬月額が未登録／","")&amp;IF(AND($AO1200&lt;&gt;"",OR(AND(INDEX(職員マスタ!$G$6:$G$405,$AN1200)&lt;&gt;"",INDEX(職員マスタ!$G$6:$G$405,$AN1200)&gt;EOMONTH($AO1200,0)),AND(INDEX(職員マスタ!$H$6:$H$405,$AN1200)&lt;&gt;"",INDEX(職員マスタ!$H$6:$H$405,$AN1200)&lt;$AO1200))),"対象月が時短期間外／","")&amp;IF(AND(INDEX(職員マスタ!$F$6:$F$405,$AN1200)&lt;&gt;"",$AO1200&lt;&gt;"",INDEX(職員マスタ!$F$6:$F$405,$AN1200)&lt;$AO1200),"対象月に子が2歳到達済／","")&amp;IF(AND($H1200&lt;&gt;"",INDEX(職員マスタ!$B$6:$B$405,$AN1200)&lt;&gt;"",SUBSTITUTE(SUBSTITUTE($H1200," ","")," ","")&lt;&gt;SUBSTITUTE(SUBSTITUTE(INDEX(職員マスタ!$B$6:$B$405,$AN1200)," ","")," ","")),"氏名がマスタと相違／","")&amp;IF(AND($Q1200&lt;&gt;"",INDEX(職員マスタ!$E$6:$E$405,$AN1200)&lt;&gt;"",$Q1200&lt;&gt;INDEX(職員マスタ!$E$6:$E$405,$AN1200)),"子の生年月日がマスタと相違／","")&amp;IF(AND($L1200&lt;&gt;"",INDEX(職員マスタ!$G$6:$G$405,$AN1200)&lt;&gt;"",$L1200&lt;&gt;INDEX(職員マスタ!$G$6:$G$405,$AN1200)),"時短開始日がマスタと相違／","")&amp;IF(AND($M1200&lt;&gt;"",INDEX(職員マスタ!$H$6:$H$405,$AN1200)&lt;&gt;"",$M1200&lt;&gt;INDEX(職員マスタ!$H$6:$H$405,$AN1200)),"時短終了日がマスタと相違／","")))&amp;IF(AND($B1200&lt;&gt;"",$E1200=""),"報酬額が未入力／","")&amp;IF(N($U1200)&gt;0,"申請書に入力エラーが残っています／","")&amp;IF(AND($B1200&lt;&gt;"",$AO1200&lt;&gt;""),IF(COUNTIFS($B$6:$B$3005,$B1200,$C$6:$C$3005,$C1200,$D$6:$D$3005,$D1200)&gt;1,"同じ月の請求が重複しています／",""),"")&amp;IF(AND(N($E1200)&gt;0,$Z1200&lt;&gt;"",$Z1200&lt;&gt;"×",$AC1200=0,$AB1200=""),"計算額が下限以下のため不支給／",""))</f>
        <v/>
      </c>
      <c r="AL1200" s="12" t="n"/>
      <c r="AM1200" s="14">
        <f>IF($AD1200="保留中",COUNTIF($AD$6:$AD1200,"保留中"),"")</f>
        <v/>
      </c>
      <c r="AN1200" s="14">
        <f>IF($AO1200="","",IF(SUMPRODUCT(MAX((職員マスタ!$A$6:$A$405=$B1200)*(((職員マスタ!$G$6:$G$405="")+(職員マスタ!$G$6:$G$405&lt;=EOMONTH($AO1200,0)))&gt;0)*(((職員マスタ!$H$6:$H$405="")+(職員マスタ!$H$6:$H$405&gt;=$AO1200))&gt;0)*(ROW(職員マスタ!$A$6:$A$405)-5)))&gt;0,SUMPRODUCT(MAX((職員マスタ!$A$6:$A$405=$B1200)*(((職員マスタ!$G$6:$G$405="")+(職員マスタ!$G$6:$G$405&lt;=EOMONTH($AO1200,0)))&gt;0)*(((職員マスタ!$H$6:$H$405="")+(職員マスタ!$H$6:$H$405&gt;=$AO1200))&gt;0)*(ROW(職員マスタ!$A$6:$A$405)-5))),IFERROR(MATCH($B1200,職員マスタ!$A$6:$A$405,0),"")))</f>
        <v/>
      </c>
      <c r="AO1200" s="16">
        <f>IF(OR($B1200="",$C1200="",$D1200=""),"",DATE($C1200+2018,$D1200,1))</f>
        <v/>
      </c>
    </row>
    <row r="1201">
      <c r="A1201" s="11" t="n"/>
      <c r="B1201" s="12" t="n"/>
      <c r="C1201" s="12" t="n"/>
      <c r="D1201" s="12" t="n"/>
      <c r="E1201" s="13" t="n"/>
      <c r="F1201" s="12" t="n"/>
      <c r="G1201" s="13" t="n"/>
      <c r="H1201" s="12" t="n"/>
      <c r="I1201" s="12" t="n"/>
      <c r="J1201" s="12" t="n"/>
      <c r="K1201" s="12" t="n"/>
      <c r="L1201" s="11" t="n"/>
      <c r="M1201" s="11" t="n"/>
      <c r="N1201" s="11" t="n"/>
      <c r="O1201" s="11" t="n"/>
      <c r="P1201" s="12" t="n"/>
      <c r="Q1201" s="11" t="n"/>
      <c r="R1201" s="12" t="n"/>
      <c r="S1201" s="11" t="n"/>
      <c r="T1201" s="12" t="n"/>
      <c r="U1201" s="12" t="n"/>
      <c r="V1201" s="14">
        <f>IF($AN1201="",IF($B1201="","",$H1201),IF(INDEX(職員マスタ!$B$6:$B$405,$AN1201)="",$H1201,INDEX(職員マスタ!$B$6:$B$405,$AN1201)))</f>
        <v/>
      </c>
      <c r="W1201" s="14">
        <f>IF($AN1201="",IF($B1201="","",$R1201),IF(INDEX(職員マスタ!$C$6:$C$405,$AN1201)="",$R1201,INDEX(職員マスタ!$C$6:$C$405,$AN1201)))</f>
        <v/>
      </c>
      <c r="X1201" s="14">
        <f>IF($AO1201="","","R"&amp;$C1201&amp;"."&amp;$D1201)</f>
        <v/>
      </c>
      <c r="Y1201" s="15">
        <f>IF($AN1201="","",IF(INDEX(職員マスタ!$K$6:$K$405,$AN1201)="","",INDEX(職員マスタ!$K$6:$K$405,$AN1201)))</f>
        <v/>
      </c>
      <c r="Z1201" s="14">
        <f>IF(OR($E1201="",$Y1201=""),"",IF($E1201&gt;=$Y1201,"×",IF($E1201&gt;=$Y1201*設定!$C$5,"△","○")))</f>
        <v/>
      </c>
      <c r="AA1201" s="15">
        <f>IF($Z1201="","",IF($Z1201="×",0,IF($Z1201="○",ROUNDDOWN($E1201*設定!$C$4,0),ROUNDDOWN($E1201*ROUND((9*$Y1201-9*$E1201)/(10*$E1201),4),0))))</f>
        <v/>
      </c>
      <c r="AB1201" s="13" t="n"/>
      <c r="AC1201" s="15">
        <f>IF($B1201="","",IF($AB1201&lt;&gt;"",$AB1201,IF($AA1201="","",IF($AA1201&lt;=設定!$C$3,0,$AA1201))))</f>
        <v/>
      </c>
      <c r="AD1201" s="14">
        <f>IF($B1201="","",IF(AND($AE1201&lt;&gt;"",$AG1201="",$AJ1201=""),"保留中",IF($AJ1201&lt;&gt;"",IF(N($AC1201)&gt;0,"支給済","不支給"),IF($AC1201="","要確認",IF($AC1201=0,"不支給","未処理")))))</f>
        <v/>
      </c>
      <c r="AE1201" s="12" t="n"/>
      <c r="AF1201" s="11" t="n"/>
      <c r="AG1201" s="11" t="n"/>
      <c r="AH1201" s="11" t="n"/>
      <c r="AI1201" s="14">
        <f>IF(AND($AD1201="保留中",$AF1201&lt;&gt;""),TODAY()-$AF1201,"")</f>
        <v/>
      </c>
      <c r="AJ1201" s="12" t="n"/>
      <c r="AK1201" s="14">
        <f>IF($B1201="","",IF($AO1201="","対象年月が未入力／","")&amp;IF($B1201="","",IF($AN1201="","職員マスタに未登録の職員番号／",IF($Y1201="","標準報酬月額が未登録／","")&amp;IF(AND($AO1201&lt;&gt;"",OR(AND(INDEX(職員マスタ!$G$6:$G$405,$AN1201)&lt;&gt;"",INDEX(職員マスタ!$G$6:$G$405,$AN1201)&gt;EOMONTH($AO1201,0)),AND(INDEX(職員マスタ!$H$6:$H$405,$AN1201)&lt;&gt;"",INDEX(職員マスタ!$H$6:$H$405,$AN1201)&lt;$AO1201))),"対象月が時短期間外／","")&amp;IF(AND(INDEX(職員マスタ!$F$6:$F$405,$AN1201)&lt;&gt;"",$AO1201&lt;&gt;"",INDEX(職員マスタ!$F$6:$F$405,$AN1201)&lt;$AO1201),"対象月に子が2歳到達済／","")&amp;IF(AND($H1201&lt;&gt;"",INDEX(職員マスタ!$B$6:$B$405,$AN1201)&lt;&gt;"",SUBSTITUTE(SUBSTITUTE($H1201," ","")," ","")&lt;&gt;SUBSTITUTE(SUBSTITUTE(INDEX(職員マスタ!$B$6:$B$405,$AN1201)," ","")," ","")),"氏名がマスタと相違／","")&amp;IF(AND($Q1201&lt;&gt;"",INDEX(職員マスタ!$E$6:$E$405,$AN1201)&lt;&gt;"",$Q1201&lt;&gt;INDEX(職員マスタ!$E$6:$E$405,$AN1201)),"子の生年月日がマスタと相違／","")&amp;IF(AND($L1201&lt;&gt;"",INDEX(職員マスタ!$G$6:$G$405,$AN1201)&lt;&gt;"",$L1201&lt;&gt;INDEX(職員マスタ!$G$6:$G$405,$AN1201)),"時短開始日がマスタと相違／","")&amp;IF(AND($M1201&lt;&gt;"",INDEX(職員マスタ!$H$6:$H$405,$AN1201)&lt;&gt;"",$M1201&lt;&gt;INDEX(職員マスタ!$H$6:$H$405,$AN1201)),"時短終了日がマスタと相違／","")))&amp;IF(AND($B1201&lt;&gt;"",$E1201=""),"報酬額が未入力／","")&amp;IF(N($U1201)&gt;0,"申請書に入力エラーが残っています／","")&amp;IF(AND($B1201&lt;&gt;"",$AO1201&lt;&gt;""),IF(COUNTIFS($B$6:$B$3005,$B1201,$C$6:$C$3005,$C1201,$D$6:$D$3005,$D1201)&gt;1,"同じ月の請求が重複しています／",""),"")&amp;IF(AND(N($E1201)&gt;0,$Z1201&lt;&gt;"",$Z1201&lt;&gt;"×",$AC1201=0,$AB1201=""),"計算額が下限以下のため不支給／",""))</f>
        <v/>
      </c>
      <c r="AL1201" s="12" t="n"/>
      <c r="AM1201" s="14">
        <f>IF($AD1201="保留中",COUNTIF($AD$6:$AD1201,"保留中"),"")</f>
        <v/>
      </c>
      <c r="AN1201" s="14">
        <f>IF($AO1201="","",IF(SUMPRODUCT(MAX((職員マスタ!$A$6:$A$405=$B1201)*(((職員マスタ!$G$6:$G$405="")+(職員マスタ!$G$6:$G$405&lt;=EOMONTH($AO1201,0)))&gt;0)*(((職員マスタ!$H$6:$H$405="")+(職員マスタ!$H$6:$H$405&gt;=$AO1201))&gt;0)*(ROW(職員マスタ!$A$6:$A$405)-5)))&gt;0,SUMPRODUCT(MAX((職員マスタ!$A$6:$A$405=$B1201)*(((職員マスタ!$G$6:$G$405="")+(職員マスタ!$G$6:$G$405&lt;=EOMONTH($AO1201,0)))&gt;0)*(((職員マスタ!$H$6:$H$405="")+(職員マスタ!$H$6:$H$405&gt;=$AO1201))&gt;0)*(ROW(職員マスタ!$A$6:$A$405)-5))),IFERROR(MATCH($B1201,職員マスタ!$A$6:$A$405,0),"")))</f>
        <v/>
      </c>
      <c r="AO1201" s="16">
        <f>IF(OR($B1201="",$C1201="",$D1201=""),"",DATE($C1201+2018,$D1201,1))</f>
        <v/>
      </c>
    </row>
    <row r="1202">
      <c r="A1202" s="11" t="n"/>
      <c r="B1202" s="12" t="n"/>
      <c r="C1202" s="12" t="n"/>
      <c r="D1202" s="12" t="n"/>
      <c r="E1202" s="13" t="n"/>
      <c r="F1202" s="12" t="n"/>
      <c r="G1202" s="13" t="n"/>
      <c r="H1202" s="12" t="n"/>
      <c r="I1202" s="12" t="n"/>
      <c r="J1202" s="12" t="n"/>
      <c r="K1202" s="12" t="n"/>
      <c r="L1202" s="11" t="n"/>
      <c r="M1202" s="11" t="n"/>
      <c r="N1202" s="11" t="n"/>
      <c r="O1202" s="11" t="n"/>
      <c r="P1202" s="12" t="n"/>
      <c r="Q1202" s="11" t="n"/>
      <c r="R1202" s="12" t="n"/>
      <c r="S1202" s="11" t="n"/>
      <c r="T1202" s="12" t="n"/>
      <c r="U1202" s="12" t="n"/>
      <c r="V1202" s="14">
        <f>IF($AN1202="",IF($B1202="","",$H1202),IF(INDEX(職員マスタ!$B$6:$B$405,$AN1202)="",$H1202,INDEX(職員マスタ!$B$6:$B$405,$AN1202)))</f>
        <v/>
      </c>
      <c r="W1202" s="14">
        <f>IF($AN1202="",IF($B1202="","",$R1202),IF(INDEX(職員マスタ!$C$6:$C$405,$AN1202)="",$R1202,INDEX(職員マスタ!$C$6:$C$405,$AN1202)))</f>
        <v/>
      </c>
      <c r="X1202" s="14">
        <f>IF($AO1202="","","R"&amp;$C1202&amp;"."&amp;$D1202)</f>
        <v/>
      </c>
      <c r="Y1202" s="15">
        <f>IF($AN1202="","",IF(INDEX(職員マスタ!$K$6:$K$405,$AN1202)="","",INDEX(職員マスタ!$K$6:$K$405,$AN1202)))</f>
        <v/>
      </c>
      <c r="Z1202" s="14">
        <f>IF(OR($E1202="",$Y1202=""),"",IF($E1202&gt;=$Y1202,"×",IF($E1202&gt;=$Y1202*設定!$C$5,"△","○")))</f>
        <v/>
      </c>
      <c r="AA1202" s="15">
        <f>IF($Z1202="","",IF($Z1202="×",0,IF($Z1202="○",ROUNDDOWN($E1202*設定!$C$4,0),ROUNDDOWN($E1202*ROUND((9*$Y1202-9*$E1202)/(10*$E1202),4),0))))</f>
        <v/>
      </c>
      <c r="AB1202" s="13" t="n"/>
      <c r="AC1202" s="15">
        <f>IF($B1202="","",IF($AB1202&lt;&gt;"",$AB1202,IF($AA1202="","",IF($AA1202&lt;=設定!$C$3,0,$AA1202))))</f>
        <v/>
      </c>
      <c r="AD1202" s="14">
        <f>IF($B1202="","",IF(AND($AE1202&lt;&gt;"",$AG1202="",$AJ1202=""),"保留中",IF($AJ1202&lt;&gt;"",IF(N($AC1202)&gt;0,"支給済","不支給"),IF($AC1202="","要確認",IF($AC1202=0,"不支給","未処理")))))</f>
        <v/>
      </c>
      <c r="AE1202" s="12" t="n"/>
      <c r="AF1202" s="11" t="n"/>
      <c r="AG1202" s="11" t="n"/>
      <c r="AH1202" s="11" t="n"/>
      <c r="AI1202" s="14">
        <f>IF(AND($AD1202="保留中",$AF1202&lt;&gt;""),TODAY()-$AF1202,"")</f>
        <v/>
      </c>
      <c r="AJ1202" s="12" t="n"/>
      <c r="AK1202" s="14">
        <f>IF($B1202="","",IF($AO1202="","対象年月が未入力／","")&amp;IF($B1202="","",IF($AN1202="","職員マスタに未登録の職員番号／",IF($Y1202="","標準報酬月額が未登録／","")&amp;IF(AND($AO1202&lt;&gt;"",OR(AND(INDEX(職員マスタ!$G$6:$G$405,$AN1202)&lt;&gt;"",INDEX(職員マスタ!$G$6:$G$405,$AN1202)&gt;EOMONTH($AO1202,0)),AND(INDEX(職員マスタ!$H$6:$H$405,$AN1202)&lt;&gt;"",INDEX(職員マスタ!$H$6:$H$405,$AN1202)&lt;$AO1202))),"対象月が時短期間外／","")&amp;IF(AND(INDEX(職員マスタ!$F$6:$F$405,$AN1202)&lt;&gt;"",$AO1202&lt;&gt;"",INDEX(職員マスタ!$F$6:$F$405,$AN1202)&lt;$AO1202),"対象月に子が2歳到達済／","")&amp;IF(AND($H1202&lt;&gt;"",INDEX(職員マスタ!$B$6:$B$405,$AN1202)&lt;&gt;"",SUBSTITUTE(SUBSTITUTE($H1202," ","")," ","")&lt;&gt;SUBSTITUTE(SUBSTITUTE(INDEX(職員マスタ!$B$6:$B$405,$AN1202)," ","")," ","")),"氏名がマスタと相違／","")&amp;IF(AND($Q1202&lt;&gt;"",INDEX(職員マスタ!$E$6:$E$405,$AN1202)&lt;&gt;"",$Q1202&lt;&gt;INDEX(職員マスタ!$E$6:$E$405,$AN1202)),"子の生年月日がマスタと相違／","")&amp;IF(AND($L1202&lt;&gt;"",INDEX(職員マスタ!$G$6:$G$405,$AN1202)&lt;&gt;"",$L1202&lt;&gt;INDEX(職員マスタ!$G$6:$G$405,$AN1202)),"時短開始日がマスタと相違／","")&amp;IF(AND($M1202&lt;&gt;"",INDEX(職員マスタ!$H$6:$H$405,$AN1202)&lt;&gt;"",$M1202&lt;&gt;INDEX(職員マスタ!$H$6:$H$405,$AN1202)),"時短終了日がマスタと相違／","")))&amp;IF(AND($B1202&lt;&gt;"",$E1202=""),"報酬額が未入力／","")&amp;IF(N($U1202)&gt;0,"申請書に入力エラーが残っています／","")&amp;IF(AND($B1202&lt;&gt;"",$AO1202&lt;&gt;""),IF(COUNTIFS($B$6:$B$3005,$B1202,$C$6:$C$3005,$C1202,$D$6:$D$3005,$D1202)&gt;1,"同じ月の請求が重複しています／",""),"")&amp;IF(AND(N($E1202)&gt;0,$Z1202&lt;&gt;"",$Z1202&lt;&gt;"×",$AC1202=0,$AB1202=""),"計算額が下限以下のため不支給／",""))</f>
        <v/>
      </c>
      <c r="AL1202" s="12" t="n"/>
      <c r="AM1202" s="14">
        <f>IF($AD1202="保留中",COUNTIF($AD$6:$AD1202,"保留中"),"")</f>
        <v/>
      </c>
      <c r="AN1202" s="14">
        <f>IF($AO1202="","",IF(SUMPRODUCT(MAX((職員マスタ!$A$6:$A$405=$B1202)*(((職員マスタ!$G$6:$G$405="")+(職員マスタ!$G$6:$G$405&lt;=EOMONTH($AO1202,0)))&gt;0)*(((職員マスタ!$H$6:$H$405="")+(職員マスタ!$H$6:$H$405&gt;=$AO1202))&gt;0)*(ROW(職員マスタ!$A$6:$A$405)-5)))&gt;0,SUMPRODUCT(MAX((職員マスタ!$A$6:$A$405=$B1202)*(((職員マスタ!$G$6:$G$405="")+(職員マスタ!$G$6:$G$405&lt;=EOMONTH($AO1202,0)))&gt;0)*(((職員マスタ!$H$6:$H$405="")+(職員マスタ!$H$6:$H$405&gt;=$AO1202))&gt;0)*(ROW(職員マスタ!$A$6:$A$405)-5))),IFERROR(MATCH($B1202,職員マスタ!$A$6:$A$405,0),"")))</f>
        <v/>
      </c>
      <c r="AO1202" s="16">
        <f>IF(OR($B1202="",$C1202="",$D1202=""),"",DATE($C1202+2018,$D1202,1))</f>
        <v/>
      </c>
    </row>
    <row r="1203">
      <c r="A1203" s="11" t="n"/>
      <c r="B1203" s="12" t="n"/>
      <c r="C1203" s="12" t="n"/>
      <c r="D1203" s="12" t="n"/>
      <c r="E1203" s="13" t="n"/>
      <c r="F1203" s="12" t="n"/>
      <c r="G1203" s="13" t="n"/>
      <c r="H1203" s="12" t="n"/>
      <c r="I1203" s="12" t="n"/>
      <c r="J1203" s="12" t="n"/>
      <c r="K1203" s="12" t="n"/>
      <c r="L1203" s="11" t="n"/>
      <c r="M1203" s="11" t="n"/>
      <c r="N1203" s="11" t="n"/>
      <c r="O1203" s="11" t="n"/>
      <c r="P1203" s="12" t="n"/>
      <c r="Q1203" s="11" t="n"/>
      <c r="R1203" s="12" t="n"/>
      <c r="S1203" s="11" t="n"/>
      <c r="T1203" s="12" t="n"/>
      <c r="U1203" s="12" t="n"/>
      <c r="V1203" s="14">
        <f>IF($AN1203="",IF($B1203="","",$H1203),IF(INDEX(職員マスタ!$B$6:$B$405,$AN1203)="",$H1203,INDEX(職員マスタ!$B$6:$B$405,$AN1203)))</f>
        <v/>
      </c>
      <c r="W1203" s="14">
        <f>IF($AN1203="",IF($B1203="","",$R1203),IF(INDEX(職員マスタ!$C$6:$C$405,$AN1203)="",$R1203,INDEX(職員マスタ!$C$6:$C$405,$AN1203)))</f>
        <v/>
      </c>
      <c r="X1203" s="14">
        <f>IF($AO1203="","","R"&amp;$C1203&amp;"."&amp;$D1203)</f>
        <v/>
      </c>
      <c r="Y1203" s="15">
        <f>IF($AN1203="","",IF(INDEX(職員マスタ!$K$6:$K$405,$AN1203)="","",INDEX(職員マスタ!$K$6:$K$405,$AN1203)))</f>
        <v/>
      </c>
      <c r="Z1203" s="14">
        <f>IF(OR($E1203="",$Y1203=""),"",IF($E1203&gt;=$Y1203,"×",IF($E1203&gt;=$Y1203*設定!$C$5,"△","○")))</f>
        <v/>
      </c>
      <c r="AA1203" s="15">
        <f>IF($Z1203="","",IF($Z1203="×",0,IF($Z1203="○",ROUNDDOWN($E1203*設定!$C$4,0),ROUNDDOWN($E1203*ROUND((9*$Y1203-9*$E1203)/(10*$E1203),4),0))))</f>
        <v/>
      </c>
      <c r="AB1203" s="13" t="n"/>
      <c r="AC1203" s="15">
        <f>IF($B1203="","",IF($AB1203&lt;&gt;"",$AB1203,IF($AA1203="","",IF($AA1203&lt;=設定!$C$3,0,$AA1203))))</f>
        <v/>
      </c>
      <c r="AD1203" s="14">
        <f>IF($B1203="","",IF(AND($AE1203&lt;&gt;"",$AG1203="",$AJ1203=""),"保留中",IF($AJ1203&lt;&gt;"",IF(N($AC1203)&gt;0,"支給済","不支給"),IF($AC1203="","要確認",IF($AC1203=0,"不支給","未処理")))))</f>
        <v/>
      </c>
      <c r="AE1203" s="12" t="n"/>
      <c r="AF1203" s="11" t="n"/>
      <c r="AG1203" s="11" t="n"/>
      <c r="AH1203" s="11" t="n"/>
      <c r="AI1203" s="14">
        <f>IF(AND($AD1203="保留中",$AF1203&lt;&gt;""),TODAY()-$AF1203,"")</f>
        <v/>
      </c>
      <c r="AJ1203" s="12" t="n"/>
      <c r="AK1203" s="14">
        <f>IF($B1203="","",IF($AO1203="","対象年月が未入力／","")&amp;IF($B1203="","",IF($AN1203="","職員マスタに未登録の職員番号／",IF($Y1203="","標準報酬月額が未登録／","")&amp;IF(AND($AO1203&lt;&gt;"",OR(AND(INDEX(職員マスタ!$G$6:$G$405,$AN1203)&lt;&gt;"",INDEX(職員マスタ!$G$6:$G$405,$AN1203)&gt;EOMONTH($AO1203,0)),AND(INDEX(職員マスタ!$H$6:$H$405,$AN1203)&lt;&gt;"",INDEX(職員マスタ!$H$6:$H$405,$AN1203)&lt;$AO1203))),"対象月が時短期間外／","")&amp;IF(AND(INDEX(職員マスタ!$F$6:$F$405,$AN1203)&lt;&gt;"",$AO1203&lt;&gt;"",INDEX(職員マスタ!$F$6:$F$405,$AN1203)&lt;$AO1203),"対象月に子が2歳到達済／","")&amp;IF(AND($H1203&lt;&gt;"",INDEX(職員マスタ!$B$6:$B$405,$AN1203)&lt;&gt;"",SUBSTITUTE(SUBSTITUTE($H1203," ","")," ","")&lt;&gt;SUBSTITUTE(SUBSTITUTE(INDEX(職員マスタ!$B$6:$B$405,$AN1203)," ","")," ","")),"氏名がマスタと相違／","")&amp;IF(AND($Q1203&lt;&gt;"",INDEX(職員マスタ!$E$6:$E$405,$AN1203)&lt;&gt;"",$Q1203&lt;&gt;INDEX(職員マスタ!$E$6:$E$405,$AN1203)),"子の生年月日がマスタと相違／","")&amp;IF(AND($L1203&lt;&gt;"",INDEX(職員マスタ!$G$6:$G$405,$AN1203)&lt;&gt;"",$L1203&lt;&gt;INDEX(職員マスタ!$G$6:$G$405,$AN1203)),"時短開始日がマスタと相違／","")&amp;IF(AND($M1203&lt;&gt;"",INDEX(職員マスタ!$H$6:$H$405,$AN1203)&lt;&gt;"",$M1203&lt;&gt;INDEX(職員マスタ!$H$6:$H$405,$AN1203)),"時短終了日がマスタと相違／","")))&amp;IF(AND($B1203&lt;&gt;"",$E1203=""),"報酬額が未入力／","")&amp;IF(N($U1203)&gt;0,"申請書に入力エラーが残っています／","")&amp;IF(AND($B1203&lt;&gt;"",$AO1203&lt;&gt;""),IF(COUNTIFS($B$6:$B$3005,$B1203,$C$6:$C$3005,$C1203,$D$6:$D$3005,$D1203)&gt;1,"同じ月の請求が重複しています／",""),"")&amp;IF(AND(N($E1203)&gt;0,$Z1203&lt;&gt;"",$Z1203&lt;&gt;"×",$AC1203=0,$AB1203=""),"計算額が下限以下のため不支給／",""))</f>
        <v/>
      </c>
      <c r="AL1203" s="12" t="n"/>
      <c r="AM1203" s="14">
        <f>IF($AD1203="保留中",COUNTIF($AD$6:$AD1203,"保留中"),"")</f>
        <v/>
      </c>
      <c r="AN1203" s="14">
        <f>IF($AO1203="","",IF(SUMPRODUCT(MAX((職員マスタ!$A$6:$A$405=$B1203)*(((職員マスタ!$G$6:$G$405="")+(職員マスタ!$G$6:$G$405&lt;=EOMONTH($AO1203,0)))&gt;0)*(((職員マスタ!$H$6:$H$405="")+(職員マスタ!$H$6:$H$405&gt;=$AO1203))&gt;0)*(ROW(職員マスタ!$A$6:$A$405)-5)))&gt;0,SUMPRODUCT(MAX((職員マスタ!$A$6:$A$405=$B1203)*(((職員マスタ!$G$6:$G$405="")+(職員マスタ!$G$6:$G$405&lt;=EOMONTH($AO1203,0)))&gt;0)*(((職員マスタ!$H$6:$H$405="")+(職員マスタ!$H$6:$H$405&gt;=$AO1203))&gt;0)*(ROW(職員マスタ!$A$6:$A$405)-5))),IFERROR(MATCH($B1203,職員マスタ!$A$6:$A$405,0),"")))</f>
        <v/>
      </c>
      <c r="AO1203" s="16">
        <f>IF(OR($B1203="",$C1203="",$D1203=""),"",DATE($C1203+2018,$D1203,1))</f>
        <v/>
      </c>
    </row>
    <row r="1204">
      <c r="A1204" s="11" t="n"/>
      <c r="B1204" s="12" t="n"/>
      <c r="C1204" s="12" t="n"/>
      <c r="D1204" s="12" t="n"/>
      <c r="E1204" s="13" t="n"/>
      <c r="F1204" s="12" t="n"/>
      <c r="G1204" s="13" t="n"/>
      <c r="H1204" s="12" t="n"/>
      <c r="I1204" s="12" t="n"/>
      <c r="J1204" s="12" t="n"/>
      <c r="K1204" s="12" t="n"/>
      <c r="L1204" s="11" t="n"/>
      <c r="M1204" s="11" t="n"/>
      <c r="N1204" s="11" t="n"/>
      <c r="O1204" s="11" t="n"/>
      <c r="P1204" s="12" t="n"/>
      <c r="Q1204" s="11" t="n"/>
      <c r="R1204" s="12" t="n"/>
      <c r="S1204" s="11" t="n"/>
      <c r="T1204" s="12" t="n"/>
      <c r="U1204" s="12" t="n"/>
      <c r="V1204" s="14">
        <f>IF($AN1204="",IF($B1204="","",$H1204),IF(INDEX(職員マスタ!$B$6:$B$405,$AN1204)="",$H1204,INDEX(職員マスタ!$B$6:$B$405,$AN1204)))</f>
        <v/>
      </c>
      <c r="W1204" s="14">
        <f>IF($AN1204="",IF($B1204="","",$R1204),IF(INDEX(職員マスタ!$C$6:$C$405,$AN1204)="",$R1204,INDEX(職員マスタ!$C$6:$C$405,$AN1204)))</f>
        <v/>
      </c>
      <c r="X1204" s="14">
        <f>IF($AO1204="","","R"&amp;$C1204&amp;"."&amp;$D1204)</f>
        <v/>
      </c>
      <c r="Y1204" s="15">
        <f>IF($AN1204="","",IF(INDEX(職員マスタ!$K$6:$K$405,$AN1204)="","",INDEX(職員マスタ!$K$6:$K$405,$AN1204)))</f>
        <v/>
      </c>
      <c r="Z1204" s="14">
        <f>IF(OR($E1204="",$Y1204=""),"",IF($E1204&gt;=$Y1204,"×",IF($E1204&gt;=$Y1204*設定!$C$5,"△","○")))</f>
        <v/>
      </c>
      <c r="AA1204" s="15">
        <f>IF($Z1204="","",IF($Z1204="×",0,IF($Z1204="○",ROUNDDOWN($E1204*設定!$C$4,0),ROUNDDOWN($E1204*ROUND((9*$Y1204-9*$E1204)/(10*$E1204),4),0))))</f>
        <v/>
      </c>
      <c r="AB1204" s="13" t="n"/>
      <c r="AC1204" s="15">
        <f>IF($B1204="","",IF($AB1204&lt;&gt;"",$AB1204,IF($AA1204="","",IF($AA1204&lt;=設定!$C$3,0,$AA1204))))</f>
        <v/>
      </c>
      <c r="AD1204" s="14">
        <f>IF($B1204="","",IF(AND($AE1204&lt;&gt;"",$AG1204="",$AJ1204=""),"保留中",IF($AJ1204&lt;&gt;"",IF(N($AC1204)&gt;0,"支給済","不支給"),IF($AC1204="","要確認",IF($AC1204=0,"不支給","未処理")))))</f>
        <v/>
      </c>
      <c r="AE1204" s="12" t="n"/>
      <c r="AF1204" s="11" t="n"/>
      <c r="AG1204" s="11" t="n"/>
      <c r="AH1204" s="11" t="n"/>
      <c r="AI1204" s="14">
        <f>IF(AND($AD1204="保留中",$AF1204&lt;&gt;""),TODAY()-$AF1204,"")</f>
        <v/>
      </c>
      <c r="AJ1204" s="12" t="n"/>
      <c r="AK1204" s="14">
        <f>IF($B1204="","",IF($AO1204="","対象年月が未入力／","")&amp;IF($B1204="","",IF($AN1204="","職員マスタに未登録の職員番号／",IF($Y1204="","標準報酬月額が未登録／","")&amp;IF(AND($AO1204&lt;&gt;"",OR(AND(INDEX(職員マスタ!$G$6:$G$405,$AN1204)&lt;&gt;"",INDEX(職員マスタ!$G$6:$G$405,$AN1204)&gt;EOMONTH($AO1204,0)),AND(INDEX(職員マスタ!$H$6:$H$405,$AN1204)&lt;&gt;"",INDEX(職員マスタ!$H$6:$H$405,$AN1204)&lt;$AO1204))),"対象月が時短期間外／","")&amp;IF(AND(INDEX(職員マスタ!$F$6:$F$405,$AN1204)&lt;&gt;"",$AO1204&lt;&gt;"",INDEX(職員マスタ!$F$6:$F$405,$AN1204)&lt;$AO1204),"対象月に子が2歳到達済／","")&amp;IF(AND($H1204&lt;&gt;"",INDEX(職員マスタ!$B$6:$B$405,$AN1204)&lt;&gt;"",SUBSTITUTE(SUBSTITUTE($H1204," ","")," ","")&lt;&gt;SUBSTITUTE(SUBSTITUTE(INDEX(職員マスタ!$B$6:$B$405,$AN1204)," ","")," ","")),"氏名がマスタと相違／","")&amp;IF(AND($Q1204&lt;&gt;"",INDEX(職員マスタ!$E$6:$E$405,$AN1204)&lt;&gt;"",$Q1204&lt;&gt;INDEX(職員マスタ!$E$6:$E$405,$AN1204)),"子の生年月日がマスタと相違／","")&amp;IF(AND($L1204&lt;&gt;"",INDEX(職員マスタ!$G$6:$G$405,$AN1204)&lt;&gt;"",$L1204&lt;&gt;INDEX(職員マスタ!$G$6:$G$405,$AN1204)),"時短開始日がマスタと相違／","")&amp;IF(AND($M1204&lt;&gt;"",INDEX(職員マスタ!$H$6:$H$405,$AN1204)&lt;&gt;"",$M1204&lt;&gt;INDEX(職員マスタ!$H$6:$H$405,$AN1204)),"時短終了日がマスタと相違／","")))&amp;IF(AND($B1204&lt;&gt;"",$E1204=""),"報酬額が未入力／","")&amp;IF(N($U1204)&gt;0,"申請書に入力エラーが残っています／","")&amp;IF(AND($B1204&lt;&gt;"",$AO1204&lt;&gt;""),IF(COUNTIFS($B$6:$B$3005,$B1204,$C$6:$C$3005,$C1204,$D$6:$D$3005,$D1204)&gt;1,"同じ月の請求が重複しています／",""),"")&amp;IF(AND(N($E1204)&gt;0,$Z1204&lt;&gt;"",$Z1204&lt;&gt;"×",$AC1204=0,$AB1204=""),"計算額が下限以下のため不支給／",""))</f>
        <v/>
      </c>
      <c r="AL1204" s="12" t="n"/>
      <c r="AM1204" s="14">
        <f>IF($AD1204="保留中",COUNTIF($AD$6:$AD1204,"保留中"),"")</f>
        <v/>
      </c>
      <c r="AN1204" s="14">
        <f>IF($AO1204="","",IF(SUMPRODUCT(MAX((職員マスタ!$A$6:$A$405=$B1204)*(((職員マスタ!$G$6:$G$405="")+(職員マスタ!$G$6:$G$405&lt;=EOMONTH($AO1204,0)))&gt;0)*(((職員マスタ!$H$6:$H$405="")+(職員マスタ!$H$6:$H$405&gt;=$AO1204))&gt;0)*(ROW(職員マスタ!$A$6:$A$405)-5)))&gt;0,SUMPRODUCT(MAX((職員マスタ!$A$6:$A$405=$B1204)*(((職員マスタ!$G$6:$G$405="")+(職員マスタ!$G$6:$G$405&lt;=EOMONTH($AO1204,0)))&gt;0)*(((職員マスタ!$H$6:$H$405="")+(職員マスタ!$H$6:$H$405&gt;=$AO1204))&gt;0)*(ROW(職員マスタ!$A$6:$A$405)-5))),IFERROR(MATCH($B1204,職員マスタ!$A$6:$A$405,0),"")))</f>
        <v/>
      </c>
      <c r="AO1204" s="16">
        <f>IF(OR($B1204="",$C1204="",$D1204=""),"",DATE($C1204+2018,$D1204,1))</f>
        <v/>
      </c>
    </row>
    <row r="1205">
      <c r="A1205" s="11" t="n"/>
      <c r="B1205" s="12" t="n"/>
      <c r="C1205" s="12" t="n"/>
      <c r="D1205" s="12" t="n"/>
      <c r="E1205" s="13" t="n"/>
      <c r="F1205" s="12" t="n"/>
      <c r="G1205" s="13" t="n"/>
      <c r="H1205" s="12" t="n"/>
      <c r="I1205" s="12" t="n"/>
      <c r="J1205" s="12" t="n"/>
      <c r="K1205" s="12" t="n"/>
      <c r="L1205" s="11" t="n"/>
      <c r="M1205" s="11" t="n"/>
      <c r="N1205" s="11" t="n"/>
      <c r="O1205" s="11" t="n"/>
      <c r="P1205" s="12" t="n"/>
      <c r="Q1205" s="11" t="n"/>
      <c r="R1205" s="12" t="n"/>
      <c r="S1205" s="11" t="n"/>
      <c r="T1205" s="12" t="n"/>
      <c r="U1205" s="12" t="n"/>
      <c r="V1205" s="14">
        <f>IF($AN1205="",IF($B1205="","",$H1205),IF(INDEX(職員マスタ!$B$6:$B$405,$AN1205)="",$H1205,INDEX(職員マスタ!$B$6:$B$405,$AN1205)))</f>
        <v/>
      </c>
      <c r="W1205" s="14">
        <f>IF($AN1205="",IF($B1205="","",$R1205),IF(INDEX(職員マスタ!$C$6:$C$405,$AN1205)="",$R1205,INDEX(職員マスタ!$C$6:$C$405,$AN1205)))</f>
        <v/>
      </c>
      <c r="X1205" s="14">
        <f>IF($AO1205="","","R"&amp;$C1205&amp;"."&amp;$D1205)</f>
        <v/>
      </c>
      <c r="Y1205" s="15">
        <f>IF($AN1205="","",IF(INDEX(職員マスタ!$K$6:$K$405,$AN1205)="","",INDEX(職員マスタ!$K$6:$K$405,$AN1205)))</f>
        <v/>
      </c>
      <c r="Z1205" s="14">
        <f>IF(OR($E1205="",$Y1205=""),"",IF($E1205&gt;=$Y1205,"×",IF($E1205&gt;=$Y1205*設定!$C$5,"△","○")))</f>
        <v/>
      </c>
      <c r="AA1205" s="15">
        <f>IF($Z1205="","",IF($Z1205="×",0,IF($Z1205="○",ROUNDDOWN($E1205*設定!$C$4,0),ROUNDDOWN($E1205*ROUND((9*$Y1205-9*$E1205)/(10*$E1205),4),0))))</f>
        <v/>
      </c>
      <c r="AB1205" s="13" t="n"/>
      <c r="AC1205" s="15">
        <f>IF($B1205="","",IF($AB1205&lt;&gt;"",$AB1205,IF($AA1205="","",IF($AA1205&lt;=設定!$C$3,0,$AA1205))))</f>
        <v/>
      </c>
      <c r="AD1205" s="14">
        <f>IF($B1205="","",IF(AND($AE1205&lt;&gt;"",$AG1205="",$AJ1205=""),"保留中",IF($AJ1205&lt;&gt;"",IF(N($AC1205)&gt;0,"支給済","不支給"),IF($AC1205="","要確認",IF($AC1205=0,"不支給","未処理")))))</f>
        <v/>
      </c>
      <c r="AE1205" s="12" t="n"/>
      <c r="AF1205" s="11" t="n"/>
      <c r="AG1205" s="11" t="n"/>
      <c r="AH1205" s="11" t="n"/>
      <c r="AI1205" s="14">
        <f>IF(AND($AD1205="保留中",$AF1205&lt;&gt;""),TODAY()-$AF1205,"")</f>
        <v/>
      </c>
      <c r="AJ1205" s="12" t="n"/>
      <c r="AK1205" s="14">
        <f>IF($B1205="","",IF($AO1205="","対象年月が未入力／","")&amp;IF($B1205="","",IF($AN1205="","職員マスタに未登録の職員番号／",IF($Y1205="","標準報酬月額が未登録／","")&amp;IF(AND($AO1205&lt;&gt;"",OR(AND(INDEX(職員マスタ!$G$6:$G$405,$AN1205)&lt;&gt;"",INDEX(職員マスタ!$G$6:$G$405,$AN1205)&gt;EOMONTH($AO1205,0)),AND(INDEX(職員マスタ!$H$6:$H$405,$AN1205)&lt;&gt;"",INDEX(職員マスタ!$H$6:$H$405,$AN1205)&lt;$AO1205))),"対象月が時短期間外／","")&amp;IF(AND(INDEX(職員マスタ!$F$6:$F$405,$AN1205)&lt;&gt;"",$AO1205&lt;&gt;"",INDEX(職員マスタ!$F$6:$F$405,$AN1205)&lt;$AO1205),"対象月に子が2歳到達済／","")&amp;IF(AND($H1205&lt;&gt;"",INDEX(職員マスタ!$B$6:$B$405,$AN1205)&lt;&gt;"",SUBSTITUTE(SUBSTITUTE($H1205," ","")," ","")&lt;&gt;SUBSTITUTE(SUBSTITUTE(INDEX(職員マスタ!$B$6:$B$405,$AN1205)," ","")," ","")),"氏名がマスタと相違／","")&amp;IF(AND($Q1205&lt;&gt;"",INDEX(職員マスタ!$E$6:$E$405,$AN1205)&lt;&gt;"",$Q1205&lt;&gt;INDEX(職員マスタ!$E$6:$E$405,$AN1205)),"子の生年月日がマスタと相違／","")&amp;IF(AND($L1205&lt;&gt;"",INDEX(職員マスタ!$G$6:$G$405,$AN1205)&lt;&gt;"",$L1205&lt;&gt;INDEX(職員マスタ!$G$6:$G$405,$AN1205)),"時短開始日がマスタと相違／","")&amp;IF(AND($M1205&lt;&gt;"",INDEX(職員マスタ!$H$6:$H$405,$AN1205)&lt;&gt;"",$M1205&lt;&gt;INDEX(職員マスタ!$H$6:$H$405,$AN1205)),"時短終了日がマスタと相違／","")))&amp;IF(AND($B1205&lt;&gt;"",$E1205=""),"報酬額が未入力／","")&amp;IF(N($U1205)&gt;0,"申請書に入力エラーが残っています／","")&amp;IF(AND($B1205&lt;&gt;"",$AO1205&lt;&gt;""),IF(COUNTIFS($B$6:$B$3005,$B1205,$C$6:$C$3005,$C1205,$D$6:$D$3005,$D1205)&gt;1,"同じ月の請求が重複しています／",""),"")&amp;IF(AND(N($E1205)&gt;0,$Z1205&lt;&gt;"",$Z1205&lt;&gt;"×",$AC1205=0,$AB1205=""),"計算額が下限以下のため不支給／",""))</f>
        <v/>
      </c>
      <c r="AL1205" s="12" t="n"/>
      <c r="AM1205" s="14">
        <f>IF($AD1205="保留中",COUNTIF($AD$6:$AD1205,"保留中"),"")</f>
        <v/>
      </c>
      <c r="AN1205" s="14">
        <f>IF($AO1205="","",IF(SUMPRODUCT(MAX((職員マスタ!$A$6:$A$405=$B1205)*(((職員マスタ!$G$6:$G$405="")+(職員マスタ!$G$6:$G$405&lt;=EOMONTH($AO1205,0)))&gt;0)*(((職員マスタ!$H$6:$H$405="")+(職員マスタ!$H$6:$H$405&gt;=$AO1205))&gt;0)*(ROW(職員マスタ!$A$6:$A$405)-5)))&gt;0,SUMPRODUCT(MAX((職員マスタ!$A$6:$A$405=$B1205)*(((職員マスタ!$G$6:$G$405="")+(職員マスタ!$G$6:$G$405&lt;=EOMONTH($AO1205,0)))&gt;0)*(((職員マスタ!$H$6:$H$405="")+(職員マスタ!$H$6:$H$405&gt;=$AO1205))&gt;0)*(ROW(職員マスタ!$A$6:$A$405)-5))),IFERROR(MATCH($B1205,職員マスタ!$A$6:$A$405,0),"")))</f>
        <v/>
      </c>
      <c r="AO1205" s="16">
        <f>IF(OR($B1205="",$C1205="",$D1205=""),"",DATE($C1205+2018,$D1205,1))</f>
        <v/>
      </c>
    </row>
    <row r="1206">
      <c r="A1206" s="11" t="n"/>
      <c r="B1206" s="12" t="n"/>
      <c r="C1206" s="12" t="n"/>
      <c r="D1206" s="12" t="n"/>
      <c r="E1206" s="13" t="n"/>
      <c r="F1206" s="12" t="n"/>
      <c r="G1206" s="13" t="n"/>
      <c r="H1206" s="12" t="n"/>
      <c r="I1206" s="12" t="n"/>
      <c r="J1206" s="12" t="n"/>
      <c r="K1206" s="12" t="n"/>
      <c r="L1206" s="11" t="n"/>
      <c r="M1206" s="11" t="n"/>
      <c r="N1206" s="11" t="n"/>
      <c r="O1206" s="11" t="n"/>
      <c r="P1206" s="12" t="n"/>
      <c r="Q1206" s="11" t="n"/>
      <c r="R1206" s="12" t="n"/>
      <c r="S1206" s="11" t="n"/>
      <c r="T1206" s="12" t="n"/>
      <c r="U1206" s="12" t="n"/>
      <c r="V1206" s="14">
        <f>IF($AN1206="",IF($B1206="","",$H1206),IF(INDEX(職員マスタ!$B$6:$B$405,$AN1206)="",$H1206,INDEX(職員マスタ!$B$6:$B$405,$AN1206)))</f>
        <v/>
      </c>
      <c r="W1206" s="14">
        <f>IF($AN1206="",IF($B1206="","",$R1206),IF(INDEX(職員マスタ!$C$6:$C$405,$AN1206)="",$R1206,INDEX(職員マスタ!$C$6:$C$405,$AN1206)))</f>
        <v/>
      </c>
      <c r="X1206" s="14">
        <f>IF($AO1206="","","R"&amp;$C1206&amp;"."&amp;$D1206)</f>
        <v/>
      </c>
      <c r="Y1206" s="15">
        <f>IF($AN1206="","",IF(INDEX(職員マスタ!$K$6:$K$405,$AN1206)="","",INDEX(職員マスタ!$K$6:$K$405,$AN1206)))</f>
        <v/>
      </c>
      <c r="Z1206" s="14">
        <f>IF(OR($E1206="",$Y1206=""),"",IF($E1206&gt;=$Y1206,"×",IF($E1206&gt;=$Y1206*設定!$C$5,"△","○")))</f>
        <v/>
      </c>
      <c r="AA1206" s="15">
        <f>IF($Z1206="","",IF($Z1206="×",0,IF($Z1206="○",ROUNDDOWN($E1206*設定!$C$4,0),ROUNDDOWN($E1206*ROUND((9*$Y1206-9*$E1206)/(10*$E1206),4),0))))</f>
        <v/>
      </c>
      <c r="AB1206" s="13" t="n"/>
      <c r="AC1206" s="15">
        <f>IF($B1206="","",IF($AB1206&lt;&gt;"",$AB1206,IF($AA1206="","",IF($AA1206&lt;=設定!$C$3,0,$AA1206))))</f>
        <v/>
      </c>
      <c r="AD1206" s="14">
        <f>IF($B1206="","",IF(AND($AE1206&lt;&gt;"",$AG1206="",$AJ1206=""),"保留中",IF($AJ1206&lt;&gt;"",IF(N($AC1206)&gt;0,"支給済","不支給"),IF($AC1206="","要確認",IF($AC1206=0,"不支給","未処理")))))</f>
        <v/>
      </c>
      <c r="AE1206" s="12" t="n"/>
      <c r="AF1206" s="11" t="n"/>
      <c r="AG1206" s="11" t="n"/>
      <c r="AH1206" s="11" t="n"/>
      <c r="AI1206" s="14">
        <f>IF(AND($AD1206="保留中",$AF1206&lt;&gt;""),TODAY()-$AF1206,"")</f>
        <v/>
      </c>
      <c r="AJ1206" s="12" t="n"/>
      <c r="AK1206" s="14">
        <f>IF($B1206="","",IF($AO1206="","対象年月が未入力／","")&amp;IF($B1206="","",IF($AN1206="","職員マスタに未登録の職員番号／",IF($Y1206="","標準報酬月額が未登録／","")&amp;IF(AND($AO1206&lt;&gt;"",OR(AND(INDEX(職員マスタ!$G$6:$G$405,$AN1206)&lt;&gt;"",INDEX(職員マスタ!$G$6:$G$405,$AN1206)&gt;EOMONTH($AO1206,0)),AND(INDEX(職員マスタ!$H$6:$H$405,$AN1206)&lt;&gt;"",INDEX(職員マスタ!$H$6:$H$405,$AN1206)&lt;$AO1206))),"対象月が時短期間外／","")&amp;IF(AND(INDEX(職員マスタ!$F$6:$F$405,$AN1206)&lt;&gt;"",$AO1206&lt;&gt;"",INDEX(職員マスタ!$F$6:$F$405,$AN1206)&lt;$AO1206),"対象月に子が2歳到達済／","")&amp;IF(AND($H1206&lt;&gt;"",INDEX(職員マスタ!$B$6:$B$405,$AN1206)&lt;&gt;"",SUBSTITUTE(SUBSTITUTE($H1206," ","")," ","")&lt;&gt;SUBSTITUTE(SUBSTITUTE(INDEX(職員マスタ!$B$6:$B$405,$AN1206)," ","")," ","")),"氏名がマスタと相違／","")&amp;IF(AND($Q1206&lt;&gt;"",INDEX(職員マスタ!$E$6:$E$405,$AN1206)&lt;&gt;"",$Q1206&lt;&gt;INDEX(職員マスタ!$E$6:$E$405,$AN1206)),"子の生年月日がマスタと相違／","")&amp;IF(AND($L1206&lt;&gt;"",INDEX(職員マスタ!$G$6:$G$405,$AN1206)&lt;&gt;"",$L1206&lt;&gt;INDEX(職員マスタ!$G$6:$G$405,$AN1206)),"時短開始日がマスタと相違／","")&amp;IF(AND($M1206&lt;&gt;"",INDEX(職員マスタ!$H$6:$H$405,$AN1206)&lt;&gt;"",$M1206&lt;&gt;INDEX(職員マスタ!$H$6:$H$405,$AN1206)),"時短終了日がマスタと相違／","")))&amp;IF(AND($B1206&lt;&gt;"",$E1206=""),"報酬額が未入力／","")&amp;IF(N($U1206)&gt;0,"申請書に入力エラーが残っています／","")&amp;IF(AND($B1206&lt;&gt;"",$AO1206&lt;&gt;""),IF(COUNTIFS($B$6:$B$3005,$B1206,$C$6:$C$3005,$C1206,$D$6:$D$3005,$D1206)&gt;1,"同じ月の請求が重複しています／",""),"")&amp;IF(AND(N($E1206)&gt;0,$Z1206&lt;&gt;"",$Z1206&lt;&gt;"×",$AC1206=0,$AB1206=""),"計算額が下限以下のため不支給／",""))</f>
        <v/>
      </c>
      <c r="AL1206" s="12" t="n"/>
      <c r="AM1206" s="14">
        <f>IF($AD1206="保留中",COUNTIF($AD$6:$AD1206,"保留中"),"")</f>
        <v/>
      </c>
      <c r="AN1206" s="14">
        <f>IF($AO1206="","",IF(SUMPRODUCT(MAX((職員マスタ!$A$6:$A$405=$B1206)*(((職員マスタ!$G$6:$G$405="")+(職員マスタ!$G$6:$G$405&lt;=EOMONTH($AO1206,0)))&gt;0)*(((職員マスタ!$H$6:$H$405="")+(職員マスタ!$H$6:$H$405&gt;=$AO1206))&gt;0)*(ROW(職員マスタ!$A$6:$A$405)-5)))&gt;0,SUMPRODUCT(MAX((職員マスタ!$A$6:$A$405=$B1206)*(((職員マスタ!$G$6:$G$405="")+(職員マスタ!$G$6:$G$405&lt;=EOMONTH($AO1206,0)))&gt;0)*(((職員マスタ!$H$6:$H$405="")+(職員マスタ!$H$6:$H$405&gt;=$AO1206))&gt;0)*(ROW(職員マスタ!$A$6:$A$405)-5))),IFERROR(MATCH($B1206,職員マスタ!$A$6:$A$405,0),"")))</f>
        <v/>
      </c>
      <c r="AO1206" s="16">
        <f>IF(OR($B1206="",$C1206="",$D1206=""),"",DATE($C1206+2018,$D1206,1))</f>
        <v/>
      </c>
    </row>
    <row r="1207">
      <c r="A1207" s="11" t="n"/>
      <c r="B1207" s="12" t="n"/>
      <c r="C1207" s="12" t="n"/>
      <c r="D1207" s="12" t="n"/>
      <c r="E1207" s="13" t="n"/>
      <c r="F1207" s="12" t="n"/>
      <c r="G1207" s="13" t="n"/>
      <c r="H1207" s="12" t="n"/>
      <c r="I1207" s="12" t="n"/>
      <c r="J1207" s="12" t="n"/>
      <c r="K1207" s="12" t="n"/>
      <c r="L1207" s="11" t="n"/>
      <c r="M1207" s="11" t="n"/>
      <c r="N1207" s="11" t="n"/>
      <c r="O1207" s="11" t="n"/>
      <c r="P1207" s="12" t="n"/>
      <c r="Q1207" s="11" t="n"/>
      <c r="R1207" s="12" t="n"/>
      <c r="S1207" s="11" t="n"/>
      <c r="T1207" s="12" t="n"/>
      <c r="U1207" s="12" t="n"/>
      <c r="V1207" s="14">
        <f>IF($AN1207="",IF($B1207="","",$H1207),IF(INDEX(職員マスタ!$B$6:$B$405,$AN1207)="",$H1207,INDEX(職員マスタ!$B$6:$B$405,$AN1207)))</f>
        <v/>
      </c>
      <c r="W1207" s="14">
        <f>IF($AN1207="",IF($B1207="","",$R1207),IF(INDEX(職員マスタ!$C$6:$C$405,$AN1207)="",$R1207,INDEX(職員マスタ!$C$6:$C$405,$AN1207)))</f>
        <v/>
      </c>
      <c r="X1207" s="14">
        <f>IF($AO1207="","","R"&amp;$C1207&amp;"."&amp;$D1207)</f>
        <v/>
      </c>
      <c r="Y1207" s="15">
        <f>IF($AN1207="","",IF(INDEX(職員マスタ!$K$6:$K$405,$AN1207)="","",INDEX(職員マスタ!$K$6:$K$405,$AN1207)))</f>
        <v/>
      </c>
      <c r="Z1207" s="14">
        <f>IF(OR($E1207="",$Y1207=""),"",IF($E1207&gt;=$Y1207,"×",IF($E1207&gt;=$Y1207*設定!$C$5,"△","○")))</f>
        <v/>
      </c>
      <c r="AA1207" s="15">
        <f>IF($Z1207="","",IF($Z1207="×",0,IF($Z1207="○",ROUNDDOWN($E1207*設定!$C$4,0),ROUNDDOWN($E1207*ROUND((9*$Y1207-9*$E1207)/(10*$E1207),4),0))))</f>
        <v/>
      </c>
      <c r="AB1207" s="13" t="n"/>
      <c r="AC1207" s="15">
        <f>IF($B1207="","",IF($AB1207&lt;&gt;"",$AB1207,IF($AA1207="","",IF($AA1207&lt;=設定!$C$3,0,$AA1207))))</f>
        <v/>
      </c>
      <c r="AD1207" s="14">
        <f>IF($B1207="","",IF(AND($AE1207&lt;&gt;"",$AG1207="",$AJ1207=""),"保留中",IF($AJ1207&lt;&gt;"",IF(N($AC1207)&gt;0,"支給済","不支給"),IF($AC1207="","要確認",IF($AC1207=0,"不支給","未処理")))))</f>
        <v/>
      </c>
      <c r="AE1207" s="12" t="n"/>
      <c r="AF1207" s="11" t="n"/>
      <c r="AG1207" s="11" t="n"/>
      <c r="AH1207" s="11" t="n"/>
      <c r="AI1207" s="14">
        <f>IF(AND($AD1207="保留中",$AF1207&lt;&gt;""),TODAY()-$AF1207,"")</f>
        <v/>
      </c>
      <c r="AJ1207" s="12" t="n"/>
      <c r="AK1207" s="14">
        <f>IF($B1207="","",IF($AO1207="","対象年月が未入力／","")&amp;IF($B1207="","",IF($AN1207="","職員マスタに未登録の職員番号／",IF($Y1207="","標準報酬月額が未登録／","")&amp;IF(AND($AO1207&lt;&gt;"",OR(AND(INDEX(職員マスタ!$G$6:$G$405,$AN1207)&lt;&gt;"",INDEX(職員マスタ!$G$6:$G$405,$AN1207)&gt;EOMONTH($AO1207,0)),AND(INDEX(職員マスタ!$H$6:$H$405,$AN1207)&lt;&gt;"",INDEX(職員マスタ!$H$6:$H$405,$AN1207)&lt;$AO1207))),"対象月が時短期間外／","")&amp;IF(AND(INDEX(職員マスタ!$F$6:$F$405,$AN1207)&lt;&gt;"",$AO1207&lt;&gt;"",INDEX(職員マスタ!$F$6:$F$405,$AN1207)&lt;$AO1207),"対象月に子が2歳到達済／","")&amp;IF(AND($H1207&lt;&gt;"",INDEX(職員マスタ!$B$6:$B$405,$AN1207)&lt;&gt;"",SUBSTITUTE(SUBSTITUTE($H1207," ","")," ","")&lt;&gt;SUBSTITUTE(SUBSTITUTE(INDEX(職員マスタ!$B$6:$B$405,$AN1207)," ","")," ","")),"氏名がマスタと相違／","")&amp;IF(AND($Q1207&lt;&gt;"",INDEX(職員マスタ!$E$6:$E$405,$AN1207)&lt;&gt;"",$Q1207&lt;&gt;INDEX(職員マスタ!$E$6:$E$405,$AN1207)),"子の生年月日がマスタと相違／","")&amp;IF(AND($L1207&lt;&gt;"",INDEX(職員マスタ!$G$6:$G$405,$AN1207)&lt;&gt;"",$L1207&lt;&gt;INDEX(職員マスタ!$G$6:$G$405,$AN1207)),"時短開始日がマスタと相違／","")&amp;IF(AND($M1207&lt;&gt;"",INDEX(職員マスタ!$H$6:$H$405,$AN1207)&lt;&gt;"",$M1207&lt;&gt;INDEX(職員マスタ!$H$6:$H$405,$AN1207)),"時短終了日がマスタと相違／","")))&amp;IF(AND($B1207&lt;&gt;"",$E1207=""),"報酬額が未入力／","")&amp;IF(N($U1207)&gt;0,"申請書に入力エラーが残っています／","")&amp;IF(AND($B1207&lt;&gt;"",$AO1207&lt;&gt;""),IF(COUNTIFS($B$6:$B$3005,$B1207,$C$6:$C$3005,$C1207,$D$6:$D$3005,$D1207)&gt;1,"同じ月の請求が重複しています／",""),"")&amp;IF(AND(N($E1207)&gt;0,$Z1207&lt;&gt;"",$Z1207&lt;&gt;"×",$AC1207=0,$AB1207=""),"計算額が下限以下のため不支給／",""))</f>
        <v/>
      </c>
      <c r="AL1207" s="12" t="n"/>
      <c r="AM1207" s="14">
        <f>IF($AD1207="保留中",COUNTIF($AD$6:$AD1207,"保留中"),"")</f>
        <v/>
      </c>
      <c r="AN1207" s="14">
        <f>IF($AO1207="","",IF(SUMPRODUCT(MAX((職員マスタ!$A$6:$A$405=$B1207)*(((職員マスタ!$G$6:$G$405="")+(職員マスタ!$G$6:$G$405&lt;=EOMONTH($AO1207,0)))&gt;0)*(((職員マスタ!$H$6:$H$405="")+(職員マスタ!$H$6:$H$405&gt;=$AO1207))&gt;0)*(ROW(職員マスタ!$A$6:$A$405)-5)))&gt;0,SUMPRODUCT(MAX((職員マスタ!$A$6:$A$405=$B1207)*(((職員マスタ!$G$6:$G$405="")+(職員マスタ!$G$6:$G$405&lt;=EOMONTH($AO1207,0)))&gt;0)*(((職員マスタ!$H$6:$H$405="")+(職員マスタ!$H$6:$H$405&gt;=$AO1207))&gt;0)*(ROW(職員マスタ!$A$6:$A$405)-5))),IFERROR(MATCH($B1207,職員マスタ!$A$6:$A$405,0),"")))</f>
        <v/>
      </c>
      <c r="AO1207" s="16">
        <f>IF(OR($B1207="",$C1207="",$D1207=""),"",DATE($C1207+2018,$D1207,1))</f>
        <v/>
      </c>
    </row>
    <row r="1208">
      <c r="A1208" s="11" t="n"/>
      <c r="B1208" s="12" t="n"/>
      <c r="C1208" s="12" t="n"/>
      <c r="D1208" s="12" t="n"/>
      <c r="E1208" s="13" t="n"/>
      <c r="F1208" s="12" t="n"/>
      <c r="G1208" s="13" t="n"/>
      <c r="H1208" s="12" t="n"/>
      <c r="I1208" s="12" t="n"/>
      <c r="J1208" s="12" t="n"/>
      <c r="K1208" s="12" t="n"/>
      <c r="L1208" s="11" t="n"/>
      <c r="M1208" s="11" t="n"/>
      <c r="N1208" s="11" t="n"/>
      <c r="O1208" s="11" t="n"/>
      <c r="P1208" s="12" t="n"/>
      <c r="Q1208" s="11" t="n"/>
      <c r="R1208" s="12" t="n"/>
      <c r="S1208" s="11" t="n"/>
      <c r="T1208" s="12" t="n"/>
      <c r="U1208" s="12" t="n"/>
      <c r="V1208" s="14">
        <f>IF($AN1208="",IF($B1208="","",$H1208),IF(INDEX(職員マスタ!$B$6:$B$405,$AN1208)="",$H1208,INDEX(職員マスタ!$B$6:$B$405,$AN1208)))</f>
        <v/>
      </c>
      <c r="W1208" s="14">
        <f>IF($AN1208="",IF($B1208="","",$R1208),IF(INDEX(職員マスタ!$C$6:$C$405,$AN1208)="",$R1208,INDEX(職員マスタ!$C$6:$C$405,$AN1208)))</f>
        <v/>
      </c>
      <c r="X1208" s="14">
        <f>IF($AO1208="","","R"&amp;$C1208&amp;"."&amp;$D1208)</f>
        <v/>
      </c>
      <c r="Y1208" s="15">
        <f>IF($AN1208="","",IF(INDEX(職員マスタ!$K$6:$K$405,$AN1208)="","",INDEX(職員マスタ!$K$6:$K$405,$AN1208)))</f>
        <v/>
      </c>
      <c r="Z1208" s="14">
        <f>IF(OR($E1208="",$Y1208=""),"",IF($E1208&gt;=$Y1208,"×",IF($E1208&gt;=$Y1208*設定!$C$5,"△","○")))</f>
        <v/>
      </c>
      <c r="AA1208" s="15">
        <f>IF($Z1208="","",IF($Z1208="×",0,IF($Z1208="○",ROUNDDOWN($E1208*設定!$C$4,0),ROUNDDOWN($E1208*ROUND((9*$Y1208-9*$E1208)/(10*$E1208),4),0))))</f>
        <v/>
      </c>
      <c r="AB1208" s="13" t="n"/>
      <c r="AC1208" s="15">
        <f>IF($B1208="","",IF($AB1208&lt;&gt;"",$AB1208,IF($AA1208="","",IF($AA1208&lt;=設定!$C$3,0,$AA1208))))</f>
        <v/>
      </c>
      <c r="AD1208" s="14">
        <f>IF($B1208="","",IF(AND($AE1208&lt;&gt;"",$AG1208="",$AJ1208=""),"保留中",IF($AJ1208&lt;&gt;"",IF(N($AC1208)&gt;0,"支給済","不支給"),IF($AC1208="","要確認",IF($AC1208=0,"不支給","未処理")))))</f>
        <v/>
      </c>
      <c r="AE1208" s="12" t="n"/>
      <c r="AF1208" s="11" t="n"/>
      <c r="AG1208" s="11" t="n"/>
      <c r="AH1208" s="11" t="n"/>
      <c r="AI1208" s="14">
        <f>IF(AND($AD1208="保留中",$AF1208&lt;&gt;""),TODAY()-$AF1208,"")</f>
        <v/>
      </c>
      <c r="AJ1208" s="12" t="n"/>
      <c r="AK1208" s="14">
        <f>IF($B1208="","",IF($AO1208="","対象年月が未入力／","")&amp;IF($B1208="","",IF($AN1208="","職員マスタに未登録の職員番号／",IF($Y1208="","標準報酬月額が未登録／","")&amp;IF(AND($AO1208&lt;&gt;"",OR(AND(INDEX(職員マスタ!$G$6:$G$405,$AN1208)&lt;&gt;"",INDEX(職員マスタ!$G$6:$G$405,$AN1208)&gt;EOMONTH($AO1208,0)),AND(INDEX(職員マスタ!$H$6:$H$405,$AN1208)&lt;&gt;"",INDEX(職員マスタ!$H$6:$H$405,$AN1208)&lt;$AO1208))),"対象月が時短期間外／","")&amp;IF(AND(INDEX(職員マスタ!$F$6:$F$405,$AN1208)&lt;&gt;"",$AO1208&lt;&gt;"",INDEX(職員マスタ!$F$6:$F$405,$AN1208)&lt;$AO1208),"対象月に子が2歳到達済／","")&amp;IF(AND($H1208&lt;&gt;"",INDEX(職員マスタ!$B$6:$B$405,$AN1208)&lt;&gt;"",SUBSTITUTE(SUBSTITUTE($H1208," ","")," ","")&lt;&gt;SUBSTITUTE(SUBSTITUTE(INDEX(職員マスタ!$B$6:$B$405,$AN1208)," ","")," ","")),"氏名がマスタと相違／","")&amp;IF(AND($Q1208&lt;&gt;"",INDEX(職員マスタ!$E$6:$E$405,$AN1208)&lt;&gt;"",$Q1208&lt;&gt;INDEX(職員マスタ!$E$6:$E$405,$AN1208)),"子の生年月日がマスタと相違／","")&amp;IF(AND($L1208&lt;&gt;"",INDEX(職員マスタ!$G$6:$G$405,$AN1208)&lt;&gt;"",$L1208&lt;&gt;INDEX(職員マスタ!$G$6:$G$405,$AN1208)),"時短開始日がマスタと相違／","")&amp;IF(AND($M1208&lt;&gt;"",INDEX(職員マスタ!$H$6:$H$405,$AN1208)&lt;&gt;"",$M1208&lt;&gt;INDEX(職員マスタ!$H$6:$H$405,$AN1208)),"時短終了日がマスタと相違／","")))&amp;IF(AND($B1208&lt;&gt;"",$E1208=""),"報酬額が未入力／","")&amp;IF(N($U1208)&gt;0,"申請書に入力エラーが残っています／","")&amp;IF(AND($B1208&lt;&gt;"",$AO1208&lt;&gt;""),IF(COUNTIFS($B$6:$B$3005,$B1208,$C$6:$C$3005,$C1208,$D$6:$D$3005,$D1208)&gt;1,"同じ月の請求が重複しています／",""),"")&amp;IF(AND(N($E1208)&gt;0,$Z1208&lt;&gt;"",$Z1208&lt;&gt;"×",$AC1208=0,$AB1208=""),"計算額が下限以下のため不支給／",""))</f>
        <v/>
      </c>
      <c r="AL1208" s="12" t="n"/>
      <c r="AM1208" s="14">
        <f>IF($AD1208="保留中",COUNTIF($AD$6:$AD1208,"保留中"),"")</f>
        <v/>
      </c>
      <c r="AN1208" s="14">
        <f>IF($AO1208="","",IF(SUMPRODUCT(MAX((職員マスタ!$A$6:$A$405=$B1208)*(((職員マスタ!$G$6:$G$405="")+(職員マスタ!$G$6:$G$405&lt;=EOMONTH($AO1208,0)))&gt;0)*(((職員マスタ!$H$6:$H$405="")+(職員マスタ!$H$6:$H$405&gt;=$AO1208))&gt;0)*(ROW(職員マスタ!$A$6:$A$405)-5)))&gt;0,SUMPRODUCT(MAX((職員マスタ!$A$6:$A$405=$B1208)*(((職員マスタ!$G$6:$G$405="")+(職員マスタ!$G$6:$G$405&lt;=EOMONTH($AO1208,0)))&gt;0)*(((職員マスタ!$H$6:$H$405="")+(職員マスタ!$H$6:$H$405&gt;=$AO1208))&gt;0)*(ROW(職員マスタ!$A$6:$A$405)-5))),IFERROR(MATCH($B1208,職員マスタ!$A$6:$A$405,0),"")))</f>
        <v/>
      </c>
      <c r="AO1208" s="16">
        <f>IF(OR($B1208="",$C1208="",$D1208=""),"",DATE($C1208+2018,$D1208,1))</f>
        <v/>
      </c>
    </row>
    <row r="1209">
      <c r="A1209" s="11" t="n"/>
      <c r="B1209" s="12" t="n"/>
      <c r="C1209" s="12" t="n"/>
      <c r="D1209" s="12" t="n"/>
      <c r="E1209" s="13" t="n"/>
      <c r="F1209" s="12" t="n"/>
      <c r="G1209" s="13" t="n"/>
      <c r="H1209" s="12" t="n"/>
      <c r="I1209" s="12" t="n"/>
      <c r="J1209" s="12" t="n"/>
      <c r="K1209" s="12" t="n"/>
      <c r="L1209" s="11" t="n"/>
      <c r="M1209" s="11" t="n"/>
      <c r="N1209" s="11" t="n"/>
      <c r="O1209" s="11" t="n"/>
      <c r="P1209" s="12" t="n"/>
      <c r="Q1209" s="11" t="n"/>
      <c r="R1209" s="12" t="n"/>
      <c r="S1209" s="11" t="n"/>
      <c r="T1209" s="12" t="n"/>
      <c r="U1209" s="12" t="n"/>
      <c r="V1209" s="14">
        <f>IF($AN1209="",IF($B1209="","",$H1209),IF(INDEX(職員マスタ!$B$6:$B$405,$AN1209)="",$H1209,INDEX(職員マスタ!$B$6:$B$405,$AN1209)))</f>
        <v/>
      </c>
      <c r="W1209" s="14">
        <f>IF($AN1209="",IF($B1209="","",$R1209),IF(INDEX(職員マスタ!$C$6:$C$405,$AN1209)="",$R1209,INDEX(職員マスタ!$C$6:$C$405,$AN1209)))</f>
        <v/>
      </c>
      <c r="X1209" s="14">
        <f>IF($AO1209="","","R"&amp;$C1209&amp;"."&amp;$D1209)</f>
        <v/>
      </c>
      <c r="Y1209" s="15">
        <f>IF($AN1209="","",IF(INDEX(職員マスタ!$K$6:$K$405,$AN1209)="","",INDEX(職員マスタ!$K$6:$K$405,$AN1209)))</f>
        <v/>
      </c>
      <c r="Z1209" s="14">
        <f>IF(OR($E1209="",$Y1209=""),"",IF($E1209&gt;=$Y1209,"×",IF($E1209&gt;=$Y1209*設定!$C$5,"△","○")))</f>
        <v/>
      </c>
      <c r="AA1209" s="15">
        <f>IF($Z1209="","",IF($Z1209="×",0,IF($Z1209="○",ROUNDDOWN($E1209*設定!$C$4,0),ROUNDDOWN($E1209*ROUND((9*$Y1209-9*$E1209)/(10*$E1209),4),0))))</f>
        <v/>
      </c>
      <c r="AB1209" s="13" t="n"/>
      <c r="AC1209" s="15">
        <f>IF($B1209="","",IF($AB1209&lt;&gt;"",$AB1209,IF($AA1209="","",IF($AA1209&lt;=設定!$C$3,0,$AA1209))))</f>
        <v/>
      </c>
      <c r="AD1209" s="14">
        <f>IF($B1209="","",IF(AND($AE1209&lt;&gt;"",$AG1209="",$AJ1209=""),"保留中",IF($AJ1209&lt;&gt;"",IF(N($AC1209)&gt;0,"支給済","不支給"),IF($AC1209="","要確認",IF($AC1209=0,"不支給","未処理")))))</f>
        <v/>
      </c>
      <c r="AE1209" s="12" t="n"/>
      <c r="AF1209" s="11" t="n"/>
      <c r="AG1209" s="11" t="n"/>
      <c r="AH1209" s="11" t="n"/>
      <c r="AI1209" s="14">
        <f>IF(AND($AD1209="保留中",$AF1209&lt;&gt;""),TODAY()-$AF1209,"")</f>
        <v/>
      </c>
      <c r="AJ1209" s="12" t="n"/>
      <c r="AK1209" s="14">
        <f>IF($B1209="","",IF($AO1209="","対象年月が未入力／","")&amp;IF($B1209="","",IF($AN1209="","職員マスタに未登録の職員番号／",IF($Y1209="","標準報酬月額が未登録／","")&amp;IF(AND($AO1209&lt;&gt;"",OR(AND(INDEX(職員マスタ!$G$6:$G$405,$AN1209)&lt;&gt;"",INDEX(職員マスタ!$G$6:$G$405,$AN1209)&gt;EOMONTH($AO1209,0)),AND(INDEX(職員マスタ!$H$6:$H$405,$AN1209)&lt;&gt;"",INDEX(職員マスタ!$H$6:$H$405,$AN1209)&lt;$AO1209))),"対象月が時短期間外／","")&amp;IF(AND(INDEX(職員マスタ!$F$6:$F$405,$AN1209)&lt;&gt;"",$AO1209&lt;&gt;"",INDEX(職員マスタ!$F$6:$F$405,$AN1209)&lt;$AO1209),"対象月に子が2歳到達済／","")&amp;IF(AND($H1209&lt;&gt;"",INDEX(職員マスタ!$B$6:$B$405,$AN1209)&lt;&gt;"",SUBSTITUTE(SUBSTITUTE($H1209," ","")," ","")&lt;&gt;SUBSTITUTE(SUBSTITUTE(INDEX(職員マスタ!$B$6:$B$405,$AN1209)," ","")," ","")),"氏名がマスタと相違／","")&amp;IF(AND($Q1209&lt;&gt;"",INDEX(職員マスタ!$E$6:$E$405,$AN1209)&lt;&gt;"",$Q1209&lt;&gt;INDEX(職員マスタ!$E$6:$E$405,$AN1209)),"子の生年月日がマスタと相違／","")&amp;IF(AND($L1209&lt;&gt;"",INDEX(職員マスタ!$G$6:$G$405,$AN1209)&lt;&gt;"",$L1209&lt;&gt;INDEX(職員マスタ!$G$6:$G$405,$AN1209)),"時短開始日がマスタと相違／","")&amp;IF(AND($M1209&lt;&gt;"",INDEX(職員マスタ!$H$6:$H$405,$AN1209)&lt;&gt;"",$M1209&lt;&gt;INDEX(職員マスタ!$H$6:$H$405,$AN1209)),"時短終了日がマスタと相違／","")))&amp;IF(AND($B1209&lt;&gt;"",$E1209=""),"報酬額が未入力／","")&amp;IF(N($U1209)&gt;0,"申請書に入力エラーが残っています／","")&amp;IF(AND($B1209&lt;&gt;"",$AO1209&lt;&gt;""),IF(COUNTIFS($B$6:$B$3005,$B1209,$C$6:$C$3005,$C1209,$D$6:$D$3005,$D1209)&gt;1,"同じ月の請求が重複しています／",""),"")&amp;IF(AND(N($E1209)&gt;0,$Z1209&lt;&gt;"",$Z1209&lt;&gt;"×",$AC1209=0,$AB1209=""),"計算額が下限以下のため不支給／",""))</f>
        <v/>
      </c>
      <c r="AL1209" s="12" t="n"/>
      <c r="AM1209" s="14">
        <f>IF($AD1209="保留中",COUNTIF($AD$6:$AD1209,"保留中"),"")</f>
        <v/>
      </c>
      <c r="AN1209" s="14">
        <f>IF($AO1209="","",IF(SUMPRODUCT(MAX((職員マスタ!$A$6:$A$405=$B1209)*(((職員マスタ!$G$6:$G$405="")+(職員マスタ!$G$6:$G$405&lt;=EOMONTH($AO1209,0)))&gt;0)*(((職員マスタ!$H$6:$H$405="")+(職員マスタ!$H$6:$H$405&gt;=$AO1209))&gt;0)*(ROW(職員マスタ!$A$6:$A$405)-5)))&gt;0,SUMPRODUCT(MAX((職員マスタ!$A$6:$A$405=$B1209)*(((職員マスタ!$G$6:$G$405="")+(職員マスタ!$G$6:$G$405&lt;=EOMONTH($AO1209,0)))&gt;0)*(((職員マスタ!$H$6:$H$405="")+(職員マスタ!$H$6:$H$405&gt;=$AO1209))&gt;0)*(ROW(職員マスタ!$A$6:$A$405)-5))),IFERROR(MATCH($B1209,職員マスタ!$A$6:$A$405,0),"")))</f>
        <v/>
      </c>
      <c r="AO1209" s="16">
        <f>IF(OR($B1209="",$C1209="",$D1209=""),"",DATE($C1209+2018,$D1209,1))</f>
        <v/>
      </c>
    </row>
    <row r="1210">
      <c r="A1210" s="11" t="n"/>
      <c r="B1210" s="12" t="n"/>
      <c r="C1210" s="12" t="n"/>
      <c r="D1210" s="12" t="n"/>
      <c r="E1210" s="13" t="n"/>
      <c r="F1210" s="12" t="n"/>
      <c r="G1210" s="13" t="n"/>
      <c r="H1210" s="12" t="n"/>
      <c r="I1210" s="12" t="n"/>
      <c r="J1210" s="12" t="n"/>
      <c r="K1210" s="12" t="n"/>
      <c r="L1210" s="11" t="n"/>
      <c r="M1210" s="11" t="n"/>
      <c r="N1210" s="11" t="n"/>
      <c r="O1210" s="11" t="n"/>
      <c r="P1210" s="12" t="n"/>
      <c r="Q1210" s="11" t="n"/>
      <c r="R1210" s="12" t="n"/>
      <c r="S1210" s="11" t="n"/>
      <c r="T1210" s="12" t="n"/>
      <c r="U1210" s="12" t="n"/>
      <c r="V1210" s="14">
        <f>IF($AN1210="",IF($B1210="","",$H1210),IF(INDEX(職員マスタ!$B$6:$B$405,$AN1210)="",$H1210,INDEX(職員マスタ!$B$6:$B$405,$AN1210)))</f>
        <v/>
      </c>
      <c r="W1210" s="14">
        <f>IF($AN1210="",IF($B1210="","",$R1210),IF(INDEX(職員マスタ!$C$6:$C$405,$AN1210)="",$R1210,INDEX(職員マスタ!$C$6:$C$405,$AN1210)))</f>
        <v/>
      </c>
      <c r="X1210" s="14">
        <f>IF($AO1210="","","R"&amp;$C1210&amp;"."&amp;$D1210)</f>
        <v/>
      </c>
      <c r="Y1210" s="15">
        <f>IF($AN1210="","",IF(INDEX(職員マスタ!$K$6:$K$405,$AN1210)="","",INDEX(職員マスタ!$K$6:$K$405,$AN1210)))</f>
        <v/>
      </c>
      <c r="Z1210" s="14">
        <f>IF(OR($E1210="",$Y1210=""),"",IF($E1210&gt;=$Y1210,"×",IF($E1210&gt;=$Y1210*設定!$C$5,"△","○")))</f>
        <v/>
      </c>
      <c r="AA1210" s="15">
        <f>IF($Z1210="","",IF($Z1210="×",0,IF($Z1210="○",ROUNDDOWN($E1210*設定!$C$4,0),ROUNDDOWN($E1210*ROUND((9*$Y1210-9*$E1210)/(10*$E1210),4),0))))</f>
        <v/>
      </c>
      <c r="AB1210" s="13" t="n"/>
      <c r="AC1210" s="15">
        <f>IF($B1210="","",IF($AB1210&lt;&gt;"",$AB1210,IF($AA1210="","",IF($AA1210&lt;=設定!$C$3,0,$AA1210))))</f>
        <v/>
      </c>
      <c r="AD1210" s="14">
        <f>IF($B1210="","",IF(AND($AE1210&lt;&gt;"",$AG1210="",$AJ1210=""),"保留中",IF($AJ1210&lt;&gt;"",IF(N($AC1210)&gt;0,"支給済","不支給"),IF($AC1210="","要確認",IF($AC1210=0,"不支給","未処理")))))</f>
        <v/>
      </c>
      <c r="AE1210" s="12" t="n"/>
      <c r="AF1210" s="11" t="n"/>
      <c r="AG1210" s="11" t="n"/>
      <c r="AH1210" s="11" t="n"/>
      <c r="AI1210" s="14">
        <f>IF(AND($AD1210="保留中",$AF1210&lt;&gt;""),TODAY()-$AF1210,"")</f>
        <v/>
      </c>
      <c r="AJ1210" s="12" t="n"/>
      <c r="AK1210" s="14">
        <f>IF($B1210="","",IF($AO1210="","対象年月が未入力／","")&amp;IF($B1210="","",IF($AN1210="","職員マスタに未登録の職員番号／",IF($Y1210="","標準報酬月額が未登録／","")&amp;IF(AND($AO1210&lt;&gt;"",OR(AND(INDEX(職員マスタ!$G$6:$G$405,$AN1210)&lt;&gt;"",INDEX(職員マスタ!$G$6:$G$405,$AN1210)&gt;EOMONTH($AO1210,0)),AND(INDEX(職員マスタ!$H$6:$H$405,$AN1210)&lt;&gt;"",INDEX(職員マスタ!$H$6:$H$405,$AN1210)&lt;$AO1210))),"対象月が時短期間外／","")&amp;IF(AND(INDEX(職員マスタ!$F$6:$F$405,$AN1210)&lt;&gt;"",$AO1210&lt;&gt;"",INDEX(職員マスタ!$F$6:$F$405,$AN1210)&lt;$AO1210),"対象月に子が2歳到達済／","")&amp;IF(AND($H1210&lt;&gt;"",INDEX(職員マスタ!$B$6:$B$405,$AN1210)&lt;&gt;"",SUBSTITUTE(SUBSTITUTE($H1210," ","")," ","")&lt;&gt;SUBSTITUTE(SUBSTITUTE(INDEX(職員マスタ!$B$6:$B$405,$AN1210)," ","")," ","")),"氏名がマスタと相違／","")&amp;IF(AND($Q1210&lt;&gt;"",INDEX(職員マスタ!$E$6:$E$405,$AN1210)&lt;&gt;"",$Q1210&lt;&gt;INDEX(職員マスタ!$E$6:$E$405,$AN1210)),"子の生年月日がマスタと相違／","")&amp;IF(AND($L1210&lt;&gt;"",INDEX(職員マスタ!$G$6:$G$405,$AN1210)&lt;&gt;"",$L1210&lt;&gt;INDEX(職員マスタ!$G$6:$G$405,$AN1210)),"時短開始日がマスタと相違／","")&amp;IF(AND($M1210&lt;&gt;"",INDEX(職員マスタ!$H$6:$H$405,$AN1210)&lt;&gt;"",$M1210&lt;&gt;INDEX(職員マスタ!$H$6:$H$405,$AN1210)),"時短終了日がマスタと相違／","")))&amp;IF(AND($B1210&lt;&gt;"",$E1210=""),"報酬額が未入力／","")&amp;IF(N($U1210)&gt;0,"申請書に入力エラーが残っています／","")&amp;IF(AND($B1210&lt;&gt;"",$AO1210&lt;&gt;""),IF(COUNTIFS($B$6:$B$3005,$B1210,$C$6:$C$3005,$C1210,$D$6:$D$3005,$D1210)&gt;1,"同じ月の請求が重複しています／",""),"")&amp;IF(AND(N($E1210)&gt;0,$Z1210&lt;&gt;"",$Z1210&lt;&gt;"×",$AC1210=0,$AB1210=""),"計算額が下限以下のため不支給／",""))</f>
        <v/>
      </c>
      <c r="AL1210" s="12" t="n"/>
      <c r="AM1210" s="14">
        <f>IF($AD1210="保留中",COUNTIF($AD$6:$AD1210,"保留中"),"")</f>
        <v/>
      </c>
      <c r="AN1210" s="14">
        <f>IF($AO1210="","",IF(SUMPRODUCT(MAX((職員マスタ!$A$6:$A$405=$B1210)*(((職員マスタ!$G$6:$G$405="")+(職員マスタ!$G$6:$G$405&lt;=EOMONTH($AO1210,0)))&gt;0)*(((職員マスタ!$H$6:$H$405="")+(職員マスタ!$H$6:$H$405&gt;=$AO1210))&gt;0)*(ROW(職員マスタ!$A$6:$A$405)-5)))&gt;0,SUMPRODUCT(MAX((職員マスタ!$A$6:$A$405=$B1210)*(((職員マスタ!$G$6:$G$405="")+(職員マスタ!$G$6:$G$405&lt;=EOMONTH($AO1210,0)))&gt;0)*(((職員マスタ!$H$6:$H$405="")+(職員マスタ!$H$6:$H$405&gt;=$AO1210))&gt;0)*(ROW(職員マスタ!$A$6:$A$405)-5))),IFERROR(MATCH($B1210,職員マスタ!$A$6:$A$405,0),"")))</f>
        <v/>
      </c>
      <c r="AO1210" s="16">
        <f>IF(OR($B1210="",$C1210="",$D1210=""),"",DATE($C1210+2018,$D1210,1))</f>
        <v/>
      </c>
    </row>
    <row r="1211">
      <c r="A1211" s="11" t="n"/>
      <c r="B1211" s="12" t="n"/>
      <c r="C1211" s="12" t="n"/>
      <c r="D1211" s="12" t="n"/>
      <c r="E1211" s="13" t="n"/>
      <c r="F1211" s="12" t="n"/>
      <c r="G1211" s="13" t="n"/>
      <c r="H1211" s="12" t="n"/>
      <c r="I1211" s="12" t="n"/>
      <c r="J1211" s="12" t="n"/>
      <c r="K1211" s="12" t="n"/>
      <c r="L1211" s="11" t="n"/>
      <c r="M1211" s="11" t="n"/>
      <c r="N1211" s="11" t="n"/>
      <c r="O1211" s="11" t="n"/>
      <c r="P1211" s="12" t="n"/>
      <c r="Q1211" s="11" t="n"/>
      <c r="R1211" s="12" t="n"/>
      <c r="S1211" s="11" t="n"/>
      <c r="T1211" s="12" t="n"/>
      <c r="U1211" s="12" t="n"/>
      <c r="V1211" s="14">
        <f>IF($AN1211="",IF($B1211="","",$H1211),IF(INDEX(職員マスタ!$B$6:$B$405,$AN1211)="",$H1211,INDEX(職員マスタ!$B$6:$B$405,$AN1211)))</f>
        <v/>
      </c>
      <c r="W1211" s="14">
        <f>IF($AN1211="",IF($B1211="","",$R1211),IF(INDEX(職員マスタ!$C$6:$C$405,$AN1211)="",$R1211,INDEX(職員マスタ!$C$6:$C$405,$AN1211)))</f>
        <v/>
      </c>
      <c r="X1211" s="14">
        <f>IF($AO1211="","","R"&amp;$C1211&amp;"."&amp;$D1211)</f>
        <v/>
      </c>
      <c r="Y1211" s="15">
        <f>IF($AN1211="","",IF(INDEX(職員マスタ!$K$6:$K$405,$AN1211)="","",INDEX(職員マスタ!$K$6:$K$405,$AN1211)))</f>
        <v/>
      </c>
      <c r="Z1211" s="14">
        <f>IF(OR($E1211="",$Y1211=""),"",IF($E1211&gt;=$Y1211,"×",IF($E1211&gt;=$Y1211*設定!$C$5,"△","○")))</f>
        <v/>
      </c>
      <c r="AA1211" s="15">
        <f>IF($Z1211="","",IF($Z1211="×",0,IF($Z1211="○",ROUNDDOWN($E1211*設定!$C$4,0),ROUNDDOWN($E1211*ROUND((9*$Y1211-9*$E1211)/(10*$E1211),4),0))))</f>
        <v/>
      </c>
      <c r="AB1211" s="13" t="n"/>
      <c r="AC1211" s="15">
        <f>IF($B1211="","",IF($AB1211&lt;&gt;"",$AB1211,IF($AA1211="","",IF($AA1211&lt;=設定!$C$3,0,$AA1211))))</f>
        <v/>
      </c>
      <c r="AD1211" s="14">
        <f>IF($B1211="","",IF(AND($AE1211&lt;&gt;"",$AG1211="",$AJ1211=""),"保留中",IF($AJ1211&lt;&gt;"",IF(N($AC1211)&gt;0,"支給済","不支給"),IF($AC1211="","要確認",IF($AC1211=0,"不支給","未処理")))))</f>
        <v/>
      </c>
      <c r="AE1211" s="12" t="n"/>
      <c r="AF1211" s="11" t="n"/>
      <c r="AG1211" s="11" t="n"/>
      <c r="AH1211" s="11" t="n"/>
      <c r="AI1211" s="14">
        <f>IF(AND($AD1211="保留中",$AF1211&lt;&gt;""),TODAY()-$AF1211,"")</f>
        <v/>
      </c>
      <c r="AJ1211" s="12" t="n"/>
      <c r="AK1211" s="14">
        <f>IF($B1211="","",IF($AO1211="","対象年月が未入力／","")&amp;IF($B1211="","",IF($AN1211="","職員マスタに未登録の職員番号／",IF($Y1211="","標準報酬月額が未登録／","")&amp;IF(AND($AO1211&lt;&gt;"",OR(AND(INDEX(職員マスタ!$G$6:$G$405,$AN1211)&lt;&gt;"",INDEX(職員マスタ!$G$6:$G$405,$AN1211)&gt;EOMONTH($AO1211,0)),AND(INDEX(職員マスタ!$H$6:$H$405,$AN1211)&lt;&gt;"",INDEX(職員マスタ!$H$6:$H$405,$AN1211)&lt;$AO1211))),"対象月が時短期間外／","")&amp;IF(AND(INDEX(職員マスタ!$F$6:$F$405,$AN1211)&lt;&gt;"",$AO1211&lt;&gt;"",INDEX(職員マスタ!$F$6:$F$405,$AN1211)&lt;$AO1211),"対象月に子が2歳到達済／","")&amp;IF(AND($H1211&lt;&gt;"",INDEX(職員マスタ!$B$6:$B$405,$AN1211)&lt;&gt;"",SUBSTITUTE(SUBSTITUTE($H1211," ","")," ","")&lt;&gt;SUBSTITUTE(SUBSTITUTE(INDEX(職員マスタ!$B$6:$B$405,$AN1211)," ","")," ","")),"氏名がマスタと相違／","")&amp;IF(AND($Q1211&lt;&gt;"",INDEX(職員マスタ!$E$6:$E$405,$AN1211)&lt;&gt;"",$Q1211&lt;&gt;INDEX(職員マスタ!$E$6:$E$405,$AN1211)),"子の生年月日がマスタと相違／","")&amp;IF(AND($L1211&lt;&gt;"",INDEX(職員マスタ!$G$6:$G$405,$AN1211)&lt;&gt;"",$L1211&lt;&gt;INDEX(職員マスタ!$G$6:$G$405,$AN1211)),"時短開始日がマスタと相違／","")&amp;IF(AND($M1211&lt;&gt;"",INDEX(職員マスタ!$H$6:$H$405,$AN1211)&lt;&gt;"",$M1211&lt;&gt;INDEX(職員マスタ!$H$6:$H$405,$AN1211)),"時短終了日がマスタと相違／","")))&amp;IF(AND($B1211&lt;&gt;"",$E1211=""),"報酬額が未入力／","")&amp;IF(N($U1211)&gt;0,"申請書に入力エラーが残っています／","")&amp;IF(AND($B1211&lt;&gt;"",$AO1211&lt;&gt;""),IF(COUNTIFS($B$6:$B$3005,$B1211,$C$6:$C$3005,$C1211,$D$6:$D$3005,$D1211)&gt;1,"同じ月の請求が重複しています／",""),"")&amp;IF(AND(N($E1211)&gt;0,$Z1211&lt;&gt;"",$Z1211&lt;&gt;"×",$AC1211=0,$AB1211=""),"計算額が下限以下のため不支給／",""))</f>
        <v/>
      </c>
      <c r="AL1211" s="12" t="n"/>
      <c r="AM1211" s="14">
        <f>IF($AD1211="保留中",COUNTIF($AD$6:$AD1211,"保留中"),"")</f>
        <v/>
      </c>
      <c r="AN1211" s="14">
        <f>IF($AO1211="","",IF(SUMPRODUCT(MAX((職員マスタ!$A$6:$A$405=$B1211)*(((職員マスタ!$G$6:$G$405="")+(職員マスタ!$G$6:$G$405&lt;=EOMONTH($AO1211,0)))&gt;0)*(((職員マスタ!$H$6:$H$405="")+(職員マスタ!$H$6:$H$405&gt;=$AO1211))&gt;0)*(ROW(職員マスタ!$A$6:$A$405)-5)))&gt;0,SUMPRODUCT(MAX((職員マスタ!$A$6:$A$405=$B1211)*(((職員マスタ!$G$6:$G$405="")+(職員マスタ!$G$6:$G$405&lt;=EOMONTH($AO1211,0)))&gt;0)*(((職員マスタ!$H$6:$H$405="")+(職員マスタ!$H$6:$H$405&gt;=$AO1211))&gt;0)*(ROW(職員マスタ!$A$6:$A$405)-5))),IFERROR(MATCH($B1211,職員マスタ!$A$6:$A$405,0),"")))</f>
        <v/>
      </c>
      <c r="AO1211" s="16">
        <f>IF(OR($B1211="",$C1211="",$D1211=""),"",DATE($C1211+2018,$D1211,1))</f>
        <v/>
      </c>
    </row>
    <row r="1212">
      <c r="A1212" s="11" t="n"/>
      <c r="B1212" s="12" t="n"/>
      <c r="C1212" s="12" t="n"/>
      <c r="D1212" s="12" t="n"/>
      <c r="E1212" s="13" t="n"/>
      <c r="F1212" s="12" t="n"/>
      <c r="G1212" s="13" t="n"/>
      <c r="H1212" s="12" t="n"/>
      <c r="I1212" s="12" t="n"/>
      <c r="J1212" s="12" t="n"/>
      <c r="K1212" s="12" t="n"/>
      <c r="L1212" s="11" t="n"/>
      <c r="M1212" s="11" t="n"/>
      <c r="N1212" s="11" t="n"/>
      <c r="O1212" s="11" t="n"/>
      <c r="P1212" s="12" t="n"/>
      <c r="Q1212" s="11" t="n"/>
      <c r="R1212" s="12" t="n"/>
      <c r="S1212" s="11" t="n"/>
      <c r="T1212" s="12" t="n"/>
      <c r="U1212" s="12" t="n"/>
      <c r="V1212" s="14">
        <f>IF($AN1212="",IF($B1212="","",$H1212),IF(INDEX(職員マスタ!$B$6:$B$405,$AN1212)="",$H1212,INDEX(職員マスタ!$B$6:$B$405,$AN1212)))</f>
        <v/>
      </c>
      <c r="W1212" s="14">
        <f>IF($AN1212="",IF($B1212="","",$R1212),IF(INDEX(職員マスタ!$C$6:$C$405,$AN1212)="",$R1212,INDEX(職員マスタ!$C$6:$C$405,$AN1212)))</f>
        <v/>
      </c>
      <c r="X1212" s="14">
        <f>IF($AO1212="","","R"&amp;$C1212&amp;"."&amp;$D1212)</f>
        <v/>
      </c>
      <c r="Y1212" s="15">
        <f>IF($AN1212="","",IF(INDEX(職員マスタ!$K$6:$K$405,$AN1212)="","",INDEX(職員マスタ!$K$6:$K$405,$AN1212)))</f>
        <v/>
      </c>
      <c r="Z1212" s="14">
        <f>IF(OR($E1212="",$Y1212=""),"",IF($E1212&gt;=$Y1212,"×",IF($E1212&gt;=$Y1212*設定!$C$5,"△","○")))</f>
        <v/>
      </c>
      <c r="AA1212" s="15">
        <f>IF($Z1212="","",IF($Z1212="×",0,IF($Z1212="○",ROUNDDOWN($E1212*設定!$C$4,0),ROUNDDOWN($E1212*ROUND((9*$Y1212-9*$E1212)/(10*$E1212),4),0))))</f>
        <v/>
      </c>
      <c r="AB1212" s="13" t="n"/>
      <c r="AC1212" s="15">
        <f>IF($B1212="","",IF($AB1212&lt;&gt;"",$AB1212,IF($AA1212="","",IF($AA1212&lt;=設定!$C$3,0,$AA1212))))</f>
        <v/>
      </c>
      <c r="AD1212" s="14">
        <f>IF($B1212="","",IF(AND($AE1212&lt;&gt;"",$AG1212="",$AJ1212=""),"保留中",IF($AJ1212&lt;&gt;"",IF(N($AC1212)&gt;0,"支給済","不支給"),IF($AC1212="","要確認",IF($AC1212=0,"不支給","未処理")))))</f>
        <v/>
      </c>
      <c r="AE1212" s="12" t="n"/>
      <c r="AF1212" s="11" t="n"/>
      <c r="AG1212" s="11" t="n"/>
      <c r="AH1212" s="11" t="n"/>
      <c r="AI1212" s="14">
        <f>IF(AND($AD1212="保留中",$AF1212&lt;&gt;""),TODAY()-$AF1212,"")</f>
        <v/>
      </c>
      <c r="AJ1212" s="12" t="n"/>
      <c r="AK1212" s="14">
        <f>IF($B1212="","",IF($AO1212="","対象年月が未入力／","")&amp;IF($B1212="","",IF($AN1212="","職員マスタに未登録の職員番号／",IF($Y1212="","標準報酬月額が未登録／","")&amp;IF(AND($AO1212&lt;&gt;"",OR(AND(INDEX(職員マスタ!$G$6:$G$405,$AN1212)&lt;&gt;"",INDEX(職員マスタ!$G$6:$G$405,$AN1212)&gt;EOMONTH($AO1212,0)),AND(INDEX(職員マスタ!$H$6:$H$405,$AN1212)&lt;&gt;"",INDEX(職員マスタ!$H$6:$H$405,$AN1212)&lt;$AO1212))),"対象月が時短期間外／","")&amp;IF(AND(INDEX(職員マスタ!$F$6:$F$405,$AN1212)&lt;&gt;"",$AO1212&lt;&gt;"",INDEX(職員マスタ!$F$6:$F$405,$AN1212)&lt;$AO1212),"対象月に子が2歳到達済／","")&amp;IF(AND($H1212&lt;&gt;"",INDEX(職員マスタ!$B$6:$B$405,$AN1212)&lt;&gt;"",SUBSTITUTE(SUBSTITUTE($H1212," ","")," ","")&lt;&gt;SUBSTITUTE(SUBSTITUTE(INDEX(職員マスタ!$B$6:$B$405,$AN1212)," ","")," ","")),"氏名がマスタと相違／","")&amp;IF(AND($Q1212&lt;&gt;"",INDEX(職員マスタ!$E$6:$E$405,$AN1212)&lt;&gt;"",$Q1212&lt;&gt;INDEX(職員マスタ!$E$6:$E$405,$AN1212)),"子の生年月日がマスタと相違／","")&amp;IF(AND($L1212&lt;&gt;"",INDEX(職員マスタ!$G$6:$G$405,$AN1212)&lt;&gt;"",$L1212&lt;&gt;INDEX(職員マスタ!$G$6:$G$405,$AN1212)),"時短開始日がマスタと相違／","")&amp;IF(AND($M1212&lt;&gt;"",INDEX(職員マスタ!$H$6:$H$405,$AN1212)&lt;&gt;"",$M1212&lt;&gt;INDEX(職員マスタ!$H$6:$H$405,$AN1212)),"時短終了日がマスタと相違／","")))&amp;IF(AND($B1212&lt;&gt;"",$E1212=""),"報酬額が未入力／","")&amp;IF(N($U1212)&gt;0,"申請書に入力エラーが残っています／","")&amp;IF(AND($B1212&lt;&gt;"",$AO1212&lt;&gt;""),IF(COUNTIFS($B$6:$B$3005,$B1212,$C$6:$C$3005,$C1212,$D$6:$D$3005,$D1212)&gt;1,"同じ月の請求が重複しています／",""),"")&amp;IF(AND(N($E1212)&gt;0,$Z1212&lt;&gt;"",$Z1212&lt;&gt;"×",$AC1212=0,$AB1212=""),"計算額が下限以下のため不支給／",""))</f>
        <v/>
      </c>
      <c r="AL1212" s="12" t="n"/>
      <c r="AM1212" s="14">
        <f>IF($AD1212="保留中",COUNTIF($AD$6:$AD1212,"保留中"),"")</f>
        <v/>
      </c>
      <c r="AN1212" s="14">
        <f>IF($AO1212="","",IF(SUMPRODUCT(MAX((職員マスタ!$A$6:$A$405=$B1212)*(((職員マスタ!$G$6:$G$405="")+(職員マスタ!$G$6:$G$405&lt;=EOMONTH($AO1212,0)))&gt;0)*(((職員マスタ!$H$6:$H$405="")+(職員マスタ!$H$6:$H$405&gt;=$AO1212))&gt;0)*(ROW(職員マスタ!$A$6:$A$405)-5)))&gt;0,SUMPRODUCT(MAX((職員マスタ!$A$6:$A$405=$B1212)*(((職員マスタ!$G$6:$G$405="")+(職員マスタ!$G$6:$G$405&lt;=EOMONTH($AO1212,0)))&gt;0)*(((職員マスタ!$H$6:$H$405="")+(職員マスタ!$H$6:$H$405&gt;=$AO1212))&gt;0)*(ROW(職員マスタ!$A$6:$A$405)-5))),IFERROR(MATCH($B1212,職員マスタ!$A$6:$A$405,0),"")))</f>
        <v/>
      </c>
      <c r="AO1212" s="16">
        <f>IF(OR($B1212="",$C1212="",$D1212=""),"",DATE($C1212+2018,$D1212,1))</f>
        <v/>
      </c>
    </row>
    <row r="1213">
      <c r="A1213" s="11" t="n"/>
      <c r="B1213" s="12" t="n"/>
      <c r="C1213" s="12" t="n"/>
      <c r="D1213" s="12" t="n"/>
      <c r="E1213" s="13" t="n"/>
      <c r="F1213" s="12" t="n"/>
      <c r="G1213" s="13" t="n"/>
      <c r="H1213" s="12" t="n"/>
      <c r="I1213" s="12" t="n"/>
      <c r="J1213" s="12" t="n"/>
      <c r="K1213" s="12" t="n"/>
      <c r="L1213" s="11" t="n"/>
      <c r="M1213" s="11" t="n"/>
      <c r="N1213" s="11" t="n"/>
      <c r="O1213" s="11" t="n"/>
      <c r="P1213" s="12" t="n"/>
      <c r="Q1213" s="11" t="n"/>
      <c r="R1213" s="12" t="n"/>
      <c r="S1213" s="11" t="n"/>
      <c r="T1213" s="12" t="n"/>
      <c r="U1213" s="12" t="n"/>
      <c r="V1213" s="14">
        <f>IF($AN1213="",IF($B1213="","",$H1213),IF(INDEX(職員マスタ!$B$6:$B$405,$AN1213)="",$H1213,INDEX(職員マスタ!$B$6:$B$405,$AN1213)))</f>
        <v/>
      </c>
      <c r="W1213" s="14">
        <f>IF($AN1213="",IF($B1213="","",$R1213),IF(INDEX(職員マスタ!$C$6:$C$405,$AN1213)="",$R1213,INDEX(職員マスタ!$C$6:$C$405,$AN1213)))</f>
        <v/>
      </c>
      <c r="X1213" s="14">
        <f>IF($AO1213="","","R"&amp;$C1213&amp;"."&amp;$D1213)</f>
        <v/>
      </c>
      <c r="Y1213" s="15">
        <f>IF($AN1213="","",IF(INDEX(職員マスタ!$K$6:$K$405,$AN1213)="","",INDEX(職員マスタ!$K$6:$K$405,$AN1213)))</f>
        <v/>
      </c>
      <c r="Z1213" s="14">
        <f>IF(OR($E1213="",$Y1213=""),"",IF($E1213&gt;=$Y1213,"×",IF($E1213&gt;=$Y1213*設定!$C$5,"△","○")))</f>
        <v/>
      </c>
      <c r="AA1213" s="15">
        <f>IF($Z1213="","",IF($Z1213="×",0,IF($Z1213="○",ROUNDDOWN($E1213*設定!$C$4,0),ROUNDDOWN($E1213*ROUND((9*$Y1213-9*$E1213)/(10*$E1213),4),0))))</f>
        <v/>
      </c>
      <c r="AB1213" s="13" t="n"/>
      <c r="AC1213" s="15">
        <f>IF($B1213="","",IF($AB1213&lt;&gt;"",$AB1213,IF($AA1213="","",IF($AA1213&lt;=設定!$C$3,0,$AA1213))))</f>
        <v/>
      </c>
      <c r="AD1213" s="14">
        <f>IF($B1213="","",IF(AND($AE1213&lt;&gt;"",$AG1213="",$AJ1213=""),"保留中",IF($AJ1213&lt;&gt;"",IF(N($AC1213)&gt;0,"支給済","不支給"),IF($AC1213="","要確認",IF($AC1213=0,"不支給","未処理")))))</f>
        <v/>
      </c>
      <c r="AE1213" s="12" t="n"/>
      <c r="AF1213" s="11" t="n"/>
      <c r="AG1213" s="11" t="n"/>
      <c r="AH1213" s="11" t="n"/>
      <c r="AI1213" s="14">
        <f>IF(AND($AD1213="保留中",$AF1213&lt;&gt;""),TODAY()-$AF1213,"")</f>
        <v/>
      </c>
      <c r="AJ1213" s="12" t="n"/>
      <c r="AK1213" s="14">
        <f>IF($B1213="","",IF($AO1213="","対象年月が未入力／","")&amp;IF($B1213="","",IF($AN1213="","職員マスタに未登録の職員番号／",IF($Y1213="","標準報酬月額が未登録／","")&amp;IF(AND($AO1213&lt;&gt;"",OR(AND(INDEX(職員マスタ!$G$6:$G$405,$AN1213)&lt;&gt;"",INDEX(職員マスタ!$G$6:$G$405,$AN1213)&gt;EOMONTH($AO1213,0)),AND(INDEX(職員マスタ!$H$6:$H$405,$AN1213)&lt;&gt;"",INDEX(職員マスタ!$H$6:$H$405,$AN1213)&lt;$AO1213))),"対象月が時短期間外／","")&amp;IF(AND(INDEX(職員マスタ!$F$6:$F$405,$AN1213)&lt;&gt;"",$AO1213&lt;&gt;"",INDEX(職員マスタ!$F$6:$F$405,$AN1213)&lt;$AO1213),"対象月に子が2歳到達済／","")&amp;IF(AND($H1213&lt;&gt;"",INDEX(職員マスタ!$B$6:$B$405,$AN1213)&lt;&gt;"",SUBSTITUTE(SUBSTITUTE($H1213," ","")," ","")&lt;&gt;SUBSTITUTE(SUBSTITUTE(INDEX(職員マスタ!$B$6:$B$405,$AN1213)," ","")," ","")),"氏名がマスタと相違／","")&amp;IF(AND($Q1213&lt;&gt;"",INDEX(職員マスタ!$E$6:$E$405,$AN1213)&lt;&gt;"",$Q1213&lt;&gt;INDEX(職員マスタ!$E$6:$E$405,$AN1213)),"子の生年月日がマスタと相違／","")&amp;IF(AND($L1213&lt;&gt;"",INDEX(職員マスタ!$G$6:$G$405,$AN1213)&lt;&gt;"",$L1213&lt;&gt;INDEX(職員マスタ!$G$6:$G$405,$AN1213)),"時短開始日がマスタと相違／","")&amp;IF(AND($M1213&lt;&gt;"",INDEX(職員マスタ!$H$6:$H$405,$AN1213)&lt;&gt;"",$M1213&lt;&gt;INDEX(職員マスタ!$H$6:$H$405,$AN1213)),"時短終了日がマスタと相違／","")))&amp;IF(AND($B1213&lt;&gt;"",$E1213=""),"報酬額が未入力／","")&amp;IF(N($U1213)&gt;0,"申請書に入力エラーが残っています／","")&amp;IF(AND($B1213&lt;&gt;"",$AO1213&lt;&gt;""),IF(COUNTIFS($B$6:$B$3005,$B1213,$C$6:$C$3005,$C1213,$D$6:$D$3005,$D1213)&gt;1,"同じ月の請求が重複しています／",""),"")&amp;IF(AND(N($E1213)&gt;0,$Z1213&lt;&gt;"",$Z1213&lt;&gt;"×",$AC1213=0,$AB1213=""),"計算額が下限以下のため不支給／",""))</f>
        <v/>
      </c>
      <c r="AL1213" s="12" t="n"/>
      <c r="AM1213" s="14">
        <f>IF($AD1213="保留中",COUNTIF($AD$6:$AD1213,"保留中"),"")</f>
        <v/>
      </c>
      <c r="AN1213" s="14">
        <f>IF($AO1213="","",IF(SUMPRODUCT(MAX((職員マスタ!$A$6:$A$405=$B1213)*(((職員マスタ!$G$6:$G$405="")+(職員マスタ!$G$6:$G$405&lt;=EOMONTH($AO1213,0)))&gt;0)*(((職員マスタ!$H$6:$H$405="")+(職員マスタ!$H$6:$H$405&gt;=$AO1213))&gt;0)*(ROW(職員マスタ!$A$6:$A$405)-5)))&gt;0,SUMPRODUCT(MAX((職員マスタ!$A$6:$A$405=$B1213)*(((職員マスタ!$G$6:$G$405="")+(職員マスタ!$G$6:$G$405&lt;=EOMONTH($AO1213,0)))&gt;0)*(((職員マスタ!$H$6:$H$405="")+(職員マスタ!$H$6:$H$405&gt;=$AO1213))&gt;0)*(ROW(職員マスタ!$A$6:$A$405)-5))),IFERROR(MATCH($B1213,職員マスタ!$A$6:$A$405,0),"")))</f>
        <v/>
      </c>
      <c r="AO1213" s="16">
        <f>IF(OR($B1213="",$C1213="",$D1213=""),"",DATE($C1213+2018,$D1213,1))</f>
        <v/>
      </c>
    </row>
    <row r="1214">
      <c r="A1214" s="11" t="n"/>
      <c r="B1214" s="12" t="n"/>
      <c r="C1214" s="12" t="n"/>
      <c r="D1214" s="12" t="n"/>
      <c r="E1214" s="13" t="n"/>
      <c r="F1214" s="12" t="n"/>
      <c r="G1214" s="13" t="n"/>
      <c r="H1214" s="12" t="n"/>
      <c r="I1214" s="12" t="n"/>
      <c r="J1214" s="12" t="n"/>
      <c r="K1214" s="12" t="n"/>
      <c r="L1214" s="11" t="n"/>
      <c r="M1214" s="11" t="n"/>
      <c r="N1214" s="11" t="n"/>
      <c r="O1214" s="11" t="n"/>
      <c r="P1214" s="12" t="n"/>
      <c r="Q1214" s="11" t="n"/>
      <c r="R1214" s="12" t="n"/>
      <c r="S1214" s="11" t="n"/>
      <c r="T1214" s="12" t="n"/>
      <c r="U1214" s="12" t="n"/>
      <c r="V1214" s="14">
        <f>IF($AN1214="",IF($B1214="","",$H1214),IF(INDEX(職員マスタ!$B$6:$B$405,$AN1214)="",$H1214,INDEX(職員マスタ!$B$6:$B$405,$AN1214)))</f>
        <v/>
      </c>
      <c r="W1214" s="14">
        <f>IF($AN1214="",IF($B1214="","",$R1214),IF(INDEX(職員マスタ!$C$6:$C$405,$AN1214)="",$R1214,INDEX(職員マスタ!$C$6:$C$405,$AN1214)))</f>
        <v/>
      </c>
      <c r="X1214" s="14">
        <f>IF($AO1214="","","R"&amp;$C1214&amp;"."&amp;$D1214)</f>
        <v/>
      </c>
      <c r="Y1214" s="15">
        <f>IF($AN1214="","",IF(INDEX(職員マスタ!$K$6:$K$405,$AN1214)="","",INDEX(職員マスタ!$K$6:$K$405,$AN1214)))</f>
        <v/>
      </c>
      <c r="Z1214" s="14">
        <f>IF(OR($E1214="",$Y1214=""),"",IF($E1214&gt;=$Y1214,"×",IF($E1214&gt;=$Y1214*設定!$C$5,"△","○")))</f>
        <v/>
      </c>
      <c r="AA1214" s="15">
        <f>IF($Z1214="","",IF($Z1214="×",0,IF($Z1214="○",ROUNDDOWN($E1214*設定!$C$4,0),ROUNDDOWN($E1214*ROUND((9*$Y1214-9*$E1214)/(10*$E1214),4),0))))</f>
        <v/>
      </c>
      <c r="AB1214" s="13" t="n"/>
      <c r="AC1214" s="15">
        <f>IF($B1214="","",IF($AB1214&lt;&gt;"",$AB1214,IF($AA1214="","",IF($AA1214&lt;=設定!$C$3,0,$AA1214))))</f>
        <v/>
      </c>
      <c r="AD1214" s="14">
        <f>IF($B1214="","",IF(AND($AE1214&lt;&gt;"",$AG1214="",$AJ1214=""),"保留中",IF($AJ1214&lt;&gt;"",IF(N($AC1214)&gt;0,"支給済","不支給"),IF($AC1214="","要確認",IF($AC1214=0,"不支給","未処理")))))</f>
        <v/>
      </c>
      <c r="AE1214" s="12" t="n"/>
      <c r="AF1214" s="11" t="n"/>
      <c r="AG1214" s="11" t="n"/>
      <c r="AH1214" s="11" t="n"/>
      <c r="AI1214" s="14">
        <f>IF(AND($AD1214="保留中",$AF1214&lt;&gt;""),TODAY()-$AF1214,"")</f>
        <v/>
      </c>
      <c r="AJ1214" s="12" t="n"/>
      <c r="AK1214" s="14">
        <f>IF($B1214="","",IF($AO1214="","対象年月が未入力／","")&amp;IF($B1214="","",IF($AN1214="","職員マスタに未登録の職員番号／",IF($Y1214="","標準報酬月額が未登録／","")&amp;IF(AND($AO1214&lt;&gt;"",OR(AND(INDEX(職員マスタ!$G$6:$G$405,$AN1214)&lt;&gt;"",INDEX(職員マスタ!$G$6:$G$405,$AN1214)&gt;EOMONTH($AO1214,0)),AND(INDEX(職員マスタ!$H$6:$H$405,$AN1214)&lt;&gt;"",INDEX(職員マスタ!$H$6:$H$405,$AN1214)&lt;$AO1214))),"対象月が時短期間外／","")&amp;IF(AND(INDEX(職員マスタ!$F$6:$F$405,$AN1214)&lt;&gt;"",$AO1214&lt;&gt;"",INDEX(職員マスタ!$F$6:$F$405,$AN1214)&lt;$AO1214),"対象月に子が2歳到達済／","")&amp;IF(AND($H1214&lt;&gt;"",INDEX(職員マスタ!$B$6:$B$405,$AN1214)&lt;&gt;"",SUBSTITUTE(SUBSTITUTE($H1214," ","")," ","")&lt;&gt;SUBSTITUTE(SUBSTITUTE(INDEX(職員マスタ!$B$6:$B$405,$AN1214)," ","")," ","")),"氏名がマスタと相違／","")&amp;IF(AND($Q1214&lt;&gt;"",INDEX(職員マスタ!$E$6:$E$405,$AN1214)&lt;&gt;"",$Q1214&lt;&gt;INDEX(職員マスタ!$E$6:$E$405,$AN1214)),"子の生年月日がマスタと相違／","")&amp;IF(AND($L1214&lt;&gt;"",INDEX(職員マスタ!$G$6:$G$405,$AN1214)&lt;&gt;"",$L1214&lt;&gt;INDEX(職員マスタ!$G$6:$G$405,$AN1214)),"時短開始日がマスタと相違／","")&amp;IF(AND($M1214&lt;&gt;"",INDEX(職員マスタ!$H$6:$H$405,$AN1214)&lt;&gt;"",$M1214&lt;&gt;INDEX(職員マスタ!$H$6:$H$405,$AN1214)),"時短終了日がマスタと相違／","")))&amp;IF(AND($B1214&lt;&gt;"",$E1214=""),"報酬額が未入力／","")&amp;IF(N($U1214)&gt;0,"申請書に入力エラーが残っています／","")&amp;IF(AND($B1214&lt;&gt;"",$AO1214&lt;&gt;""),IF(COUNTIFS($B$6:$B$3005,$B1214,$C$6:$C$3005,$C1214,$D$6:$D$3005,$D1214)&gt;1,"同じ月の請求が重複しています／",""),"")&amp;IF(AND(N($E1214)&gt;0,$Z1214&lt;&gt;"",$Z1214&lt;&gt;"×",$AC1214=0,$AB1214=""),"計算額が下限以下のため不支給／",""))</f>
        <v/>
      </c>
      <c r="AL1214" s="12" t="n"/>
      <c r="AM1214" s="14">
        <f>IF($AD1214="保留中",COUNTIF($AD$6:$AD1214,"保留中"),"")</f>
        <v/>
      </c>
      <c r="AN1214" s="14">
        <f>IF($AO1214="","",IF(SUMPRODUCT(MAX((職員マスタ!$A$6:$A$405=$B1214)*(((職員マスタ!$G$6:$G$405="")+(職員マスタ!$G$6:$G$405&lt;=EOMONTH($AO1214,0)))&gt;0)*(((職員マスタ!$H$6:$H$405="")+(職員マスタ!$H$6:$H$405&gt;=$AO1214))&gt;0)*(ROW(職員マスタ!$A$6:$A$405)-5)))&gt;0,SUMPRODUCT(MAX((職員マスタ!$A$6:$A$405=$B1214)*(((職員マスタ!$G$6:$G$405="")+(職員マスタ!$G$6:$G$405&lt;=EOMONTH($AO1214,0)))&gt;0)*(((職員マスタ!$H$6:$H$405="")+(職員マスタ!$H$6:$H$405&gt;=$AO1214))&gt;0)*(ROW(職員マスタ!$A$6:$A$405)-5))),IFERROR(MATCH($B1214,職員マスタ!$A$6:$A$405,0),"")))</f>
        <v/>
      </c>
      <c r="AO1214" s="16">
        <f>IF(OR($B1214="",$C1214="",$D1214=""),"",DATE($C1214+2018,$D1214,1))</f>
        <v/>
      </c>
    </row>
    <row r="1215">
      <c r="A1215" s="11" t="n"/>
      <c r="B1215" s="12" t="n"/>
      <c r="C1215" s="12" t="n"/>
      <c r="D1215" s="12" t="n"/>
      <c r="E1215" s="13" t="n"/>
      <c r="F1215" s="12" t="n"/>
      <c r="G1215" s="13" t="n"/>
      <c r="H1215" s="12" t="n"/>
      <c r="I1215" s="12" t="n"/>
      <c r="J1215" s="12" t="n"/>
      <c r="K1215" s="12" t="n"/>
      <c r="L1215" s="11" t="n"/>
      <c r="M1215" s="11" t="n"/>
      <c r="N1215" s="11" t="n"/>
      <c r="O1215" s="11" t="n"/>
      <c r="P1215" s="12" t="n"/>
      <c r="Q1215" s="11" t="n"/>
      <c r="R1215" s="12" t="n"/>
      <c r="S1215" s="11" t="n"/>
      <c r="T1215" s="12" t="n"/>
      <c r="U1215" s="12" t="n"/>
      <c r="V1215" s="14">
        <f>IF($AN1215="",IF($B1215="","",$H1215),IF(INDEX(職員マスタ!$B$6:$B$405,$AN1215)="",$H1215,INDEX(職員マスタ!$B$6:$B$405,$AN1215)))</f>
        <v/>
      </c>
      <c r="W1215" s="14">
        <f>IF($AN1215="",IF($B1215="","",$R1215),IF(INDEX(職員マスタ!$C$6:$C$405,$AN1215)="",$R1215,INDEX(職員マスタ!$C$6:$C$405,$AN1215)))</f>
        <v/>
      </c>
      <c r="X1215" s="14">
        <f>IF($AO1215="","","R"&amp;$C1215&amp;"."&amp;$D1215)</f>
        <v/>
      </c>
      <c r="Y1215" s="15">
        <f>IF($AN1215="","",IF(INDEX(職員マスタ!$K$6:$K$405,$AN1215)="","",INDEX(職員マスタ!$K$6:$K$405,$AN1215)))</f>
        <v/>
      </c>
      <c r="Z1215" s="14">
        <f>IF(OR($E1215="",$Y1215=""),"",IF($E1215&gt;=$Y1215,"×",IF($E1215&gt;=$Y1215*設定!$C$5,"△","○")))</f>
        <v/>
      </c>
      <c r="AA1215" s="15">
        <f>IF($Z1215="","",IF($Z1215="×",0,IF($Z1215="○",ROUNDDOWN($E1215*設定!$C$4,0),ROUNDDOWN($E1215*ROUND((9*$Y1215-9*$E1215)/(10*$E1215),4),0))))</f>
        <v/>
      </c>
      <c r="AB1215" s="13" t="n"/>
      <c r="AC1215" s="15">
        <f>IF($B1215="","",IF($AB1215&lt;&gt;"",$AB1215,IF($AA1215="","",IF($AA1215&lt;=設定!$C$3,0,$AA1215))))</f>
        <v/>
      </c>
      <c r="AD1215" s="14">
        <f>IF($B1215="","",IF(AND($AE1215&lt;&gt;"",$AG1215="",$AJ1215=""),"保留中",IF($AJ1215&lt;&gt;"",IF(N($AC1215)&gt;0,"支給済","不支給"),IF($AC1215="","要確認",IF($AC1215=0,"不支給","未処理")))))</f>
        <v/>
      </c>
      <c r="AE1215" s="12" t="n"/>
      <c r="AF1215" s="11" t="n"/>
      <c r="AG1215" s="11" t="n"/>
      <c r="AH1215" s="11" t="n"/>
      <c r="AI1215" s="14">
        <f>IF(AND($AD1215="保留中",$AF1215&lt;&gt;""),TODAY()-$AF1215,"")</f>
        <v/>
      </c>
      <c r="AJ1215" s="12" t="n"/>
      <c r="AK1215" s="14">
        <f>IF($B1215="","",IF($AO1215="","対象年月が未入力／","")&amp;IF($B1215="","",IF($AN1215="","職員マスタに未登録の職員番号／",IF($Y1215="","標準報酬月額が未登録／","")&amp;IF(AND($AO1215&lt;&gt;"",OR(AND(INDEX(職員マスタ!$G$6:$G$405,$AN1215)&lt;&gt;"",INDEX(職員マスタ!$G$6:$G$405,$AN1215)&gt;EOMONTH($AO1215,0)),AND(INDEX(職員マスタ!$H$6:$H$405,$AN1215)&lt;&gt;"",INDEX(職員マスタ!$H$6:$H$405,$AN1215)&lt;$AO1215))),"対象月が時短期間外／","")&amp;IF(AND(INDEX(職員マスタ!$F$6:$F$405,$AN1215)&lt;&gt;"",$AO1215&lt;&gt;"",INDEX(職員マスタ!$F$6:$F$405,$AN1215)&lt;$AO1215),"対象月に子が2歳到達済／","")&amp;IF(AND($H1215&lt;&gt;"",INDEX(職員マスタ!$B$6:$B$405,$AN1215)&lt;&gt;"",SUBSTITUTE(SUBSTITUTE($H1215," ","")," ","")&lt;&gt;SUBSTITUTE(SUBSTITUTE(INDEX(職員マスタ!$B$6:$B$405,$AN1215)," ","")," ","")),"氏名がマスタと相違／","")&amp;IF(AND($Q1215&lt;&gt;"",INDEX(職員マスタ!$E$6:$E$405,$AN1215)&lt;&gt;"",$Q1215&lt;&gt;INDEX(職員マスタ!$E$6:$E$405,$AN1215)),"子の生年月日がマスタと相違／","")&amp;IF(AND($L1215&lt;&gt;"",INDEX(職員マスタ!$G$6:$G$405,$AN1215)&lt;&gt;"",$L1215&lt;&gt;INDEX(職員マスタ!$G$6:$G$405,$AN1215)),"時短開始日がマスタと相違／","")&amp;IF(AND($M1215&lt;&gt;"",INDEX(職員マスタ!$H$6:$H$405,$AN1215)&lt;&gt;"",$M1215&lt;&gt;INDEX(職員マスタ!$H$6:$H$405,$AN1215)),"時短終了日がマスタと相違／","")))&amp;IF(AND($B1215&lt;&gt;"",$E1215=""),"報酬額が未入力／","")&amp;IF(N($U1215)&gt;0,"申請書に入力エラーが残っています／","")&amp;IF(AND($B1215&lt;&gt;"",$AO1215&lt;&gt;""),IF(COUNTIFS($B$6:$B$3005,$B1215,$C$6:$C$3005,$C1215,$D$6:$D$3005,$D1215)&gt;1,"同じ月の請求が重複しています／",""),"")&amp;IF(AND(N($E1215)&gt;0,$Z1215&lt;&gt;"",$Z1215&lt;&gt;"×",$AC1215=0,$AB1215=""),"計算額が下限以下のため不支給／",""))</f>
        <v/>
      </c>
      <c r="AL1215" s="12" t="n"/>
      <c r="AM1215" s="14">
        <f>IF($AD1215="保留中",COUNTIF($AD$6:$AD1215,"保留中"),"")</f>
        <v/>
      </c>
      <c r="AN1215" s="14">
        <f>IF($AO1215="","",IF(SUMPRODUCT(MAX((職員マスタ!$A$6:$A$405=$B1215)*(((職員マスタ!$G$6:$G$405="")+(職員マスタ!$G$6:$G$405&lt;=EOMONTH($AO1215,0)))&gt;0)*(((職員マスタ!$H$6:$H$405="")+(職員マスタ!$H$6:$H$405&gt;=$AO1215))&gt;0)*(ROW(職員マスタ!$A$6:$A$405)-5)))&gt;0,SUMPRODUCT(MAX((職員マスタ!$A$6:$A$405=$B1215)*(((職員マスタ!$G$6:$G$405="")+(職員マスタ!$G$6:$G$405&lt;=EOMONTH($AO1215,0)))&gt;0)*(((職員マスタ!$H$6:$H$405="")+(職員マスタ!$H$6:$H$405&gt;=$AO1215))&gt;0)*(ROW(職員マスタ!$A$6:$A$405)-5))),IFERROR(MATCH($B1215,職員マスタ!$A$6:$A$405,0),"")))</f>
        <v/>
      </c>
      <c r="AO1215" s="16">
        <f>IF(OR($B1215="",$C1215="",$D1215=""),"",DATE($C1215+2018,$D1215,1))</f>
        <v/>
      </c>
    </row>
    <row r="1216">
      <c r="A1216" s="11" t="n"/>
      <c r="B1216" s="12" t="n"/>
      <c r="C1216" s="12" t="n"/>
      <c r="D1216" s="12" t="n"/>
      <c r="E1216" s="13" t="n"/>
      <c r="F1216" s="12" t="n"/>
      <c r="G1216" s="13" t="n"/>
      <c r="H1216" s="12" t="n"/>
      <c r="I1216" s="12" t="n"/>
      <c r="J1216" s="12" t="n"/>
      <c r="K1216" s="12" t="n"/>
      <c r="L1216" s="11" t="n"/>
      <c r="M1216" s="11" t="n"/>
      <c r="N1216" s="11" t="n"/>
      <c r="O1216" s="11" t="n"/>
      <c r="P1216" s="12" t="n"/>
      <c r="Q1216" s="11" t="n"/>
      <c r="R1216" s="12" t="n"/>
      <c r="S1216" s="11" t="n"/>
      <c r="T1216" s="12" t="n"/>
      <c r="U1216" s="12" t="n"/>
      <c r="V1216" s="14">
        <f>IF($AN1216="",IF($B1216="","",$H1216),IF(INDEX(職員マスタ!$B$6:$B$405,$AN1216)="",$H1216,INDEX(職員マスタ!$B$6:$B$405,$AN1216)))</f>
        <v/>
      </c>
      <c r="W1216" s="14">
        <f>IF($AN1216="",IF($B1216="","",$R1216),IF(INDEX(職員マスタ!$C$6:$C$405,$AN1216)="",$R1216,INDEX(職員マスタ!$C$6:$C$405,$AN1216)))</f>
        <v/>
      </c>
      <c r="X1216" s="14">
        <f>IF($AO1216="","","R"&amp;$C1216&amp;"."&amp;$D1216)</f>
        <v/>
      </c>
      <c r="Y1216" s="15">
        <f>IF($AN1216="","",IF(INDEX(職員マスタ!$K$6:$K$405,$AN1216)="","",INDEX(職員マスタ!$K$6:$K$405,$AN1216)))</f>
        <v/>
      </c>
      <c r="Z1216" s="14">
        <f>IF(OR($E1216="",$Y1216=""),"",IF($E1216&gt;=$Y1216,"×",IF($E1216&gt;=$Y1216*設定!$C$5,"△","○")))</f>
        <v/>
      </c>
      <c r="AA1216" s="15">
        <f>IF($Z1216="","",IF($Z1216="×",0,IF($Z1216="○",ROUNDDOWN($E1216*設定!$C$4,0),ROUNDDOWN($E1216*ROUND((9*$Y1216-9*$E1216)/(10*$E1216),4),0))))</f>
        <v/>
      </c>
      <c r="AB1216" s="13" t="n"/>
      <c r="AC1216" s="15">
        <f>IF($B1216="","",IF($AB1216&lt;&gt;"",$AB1216,IF($AA1216="","",IF($AA1216&lt;=設定!$C$3,0,$AA1216))))</f>
        <v/>
      </c>
      <c r="AD1216" s="14">
        <f>IF($B1216="","",IF(AND($AE1216&lt;&gt;"",$AG1216="",$AJ1216=""),"保留中",IF($AJ1216&lt;&gt;"",IF(N($AC1216)&gt;0,"支給済","不支給"),IF($AC1216="","要確認",IF($AC1216=0,"不支給","未処理")))))</f>
        <v/>
      </c>
      <c r="AE1216" s="12" t="n"/>
      <c r="AF1216" s="11" t="n"/>
      <c r="AG1216" s="11" t="n"/>
      <c r="AH1216" s="11" t="n"/>
      <c r="AI1216" s="14">
        <f>IF(AND($AD1216="保留中",$AF1216&lt;&gt;""),TODAY()-$AF1216,"")</f>
        <v/>
      </c>
      <c r="AJ1216" s="12" t="n"/>
      <c r="AK1216" s="14">
        <f>IF($B1216="","",IF($AO1216="","対象年月が未入力／","")&amp;IF($B1216="","",IF($AN1216="","職員マスタに未登録の職員番号／",IF($Y1216="","標準報酬月額が未登録／","")&amp;IF(AND($AO1216&lt;&gt;"",OR(AND(INDEX(職員マスタ!$G$6:$G$405,$AN1216)&lt;&gt;"",INDEX(職員マスタ!$G$6:$G$405,$AN1216)&gt;EOMONTH($AO1216,0)),AND(INDEX(職員マスタ!$H$6:$H$405,$AN1216)&lt;&gt;"",INDEX(職員マスタ!$H$6:$H$405,$AN1216)&lt;$AO1216))),"対象月が時短期間外／","")&amp;IF(AND(INDEX(職員マスタ!$F$6:$F$405,$AN1216)&lt;&gt;"",$AO1216&lt;&gt;"",INDEX(職員マスタ!$F$6:$F$405,$AN1216)&lt;$AO1216),"対象月に子が2歳到達済／","")&amp;IF(AND($H1216&lt;&gt;"",INDEX(職員マスタ!$B$6:$B$405,$AN1216)&lt;&gt;"",SUBSTITUTE(SUBSTITUTE($H1216," ","")," ","")&lt;&gt;SUBSTITUTE(SUBSTITUTE(INDEX(職員マスタ!$B$6:$B$405,$AN1216)," ","")," ","")),"氏名がマスタと相違／","")&amp;IF(AND($Q1216&lt;&gt;"",INDEX(職員マスタ!$E$6:$E$405,$AN1216)&lt;&gt;"",$Q1216&lt;&gt;INDEX(職員マスタ!$E$6:$E$405,$AN1216)),"子の生年月日がマスタと相違／","")&amp;IF(AND($L1216&lt;&gt;"",INDEX(職員マスタ!$G$6:$G$405,$AN1216)&lt;&gt;"",$L1216&lt;&gt;INDEX(職員マスタ!$G$6:$G$405,$AN1216)),"時短開始日がマスタと相違／","")&amp;IF(AND($M1216&lt;&gt;"",INDEX(職員マスタ!$H$6:$H$405,$AN1216)&lt;&gt;"",$M1216&lt;&gt;INDEX(職員マスタ!$H$6:$H$405,$AN1216)),"時短終了日がマスタと相違／","")))&amp;IF(AND($B1216&lt;&gt;"",$E1216=""),"報酬額が未入力／","")&amp;IF(N($U1216)&gt;0,"申請書に入力エラーが残っています／","")&amp;IF(AND($B1216&lt;&gt;"",$AO1216&lt;&gt;""),IF(COUNTIFS($B$6:$B$3005,$B1216,$C$6:$C$3005,$C1216,$D$6:$D$3005,$D1216)&gt;1,"同じ月の請求が重複しています／",""),"")&amp;IF(AND(N($E1216)&gt;0,$Z1216&lt;&gt;"",$Z1216&lt;&gt;"×",$AC1216=0,$AB1216=""),"計算額が下限以下のため不支給／",""))</f>
        <v/>
      </c>
      <c r="AL1216" s="12" t="n"/>
      <c r="AM1216" s="14">
        <f>IF($AD1216="保留中",COUNTIF($AD$6:$AD1216,"保留中"),"")</f>
        <v/>
      </c>
      <c r="AN1216" s="14">
        <f>IF($AO1216="","",IF(SUMPRODUCT(MAX((職員マスタ!$A$6:$A$405=$B1216)*(((職員マスタ!$G$6:$G$405="")+(職員マスタ!$G$6:$G$405&lt;=EOMONTH($AO1216,0)))&gt;0)*(((職員マスタ!$H$6:$H$405="")+(職員マスタ!$H$6:$H$405&gt;=$AO1216))&gt;0)*(ROW(職員マスタ!$A$6:$A$405)-5)))&gt;0,SUMPRODUCT(MAX((職員マスタ!$A$6:$A$405=$B1216)*(((職員マスタ!$G$6:$G$405="")+(職員マスタ!$G$6:$G$405&lt;=EOMONTH($AO1216,0)))&gt;0)*(((職員マスタ!$H$6:$H$405="")+(職員マスタ!$H$6:$H$405&gt;=$AO1216))&gt;0)*(ROW(職員マスタ!$A$6:$A$405)-5))),IFERROR(MATCH($B1216,職員マスタ!$A$6:$A$405,0),"")))</f>
        <v/>
      </c>
      <c r="AO1216" s="16">
        <f>IF(OR($B1216="",$C1216="",$D1216=""),"",DATE($C1216+2018,$D1216,1))</f>
        <v/>
      </c>
    </row>
    <row r="1217">
      <c r="A1217" s="11" t="n"/>
      <c r="B1217" s="12" t="n"/>
      <c r="C1217" s="12" t="n"/>
      <c r="D1217" s="12" t="n"/>
      <c r="E1217" s="13" t="n"/>
      <c r="F1217" s="12" t="n"/>
      <c r="G1217" s="13" t="n"/>
      <c r="H1217" s="12" t="n"/>
      <c r="I1217" s="12" t="n"/>
      <c r="J1217" s="12" t="n"/>
      <c r="K1217" s="12" t="n"/>
      <c r="L1217" s="11" t="n"/>
      <c r="M1217" s="11" t="n"/>
      <c r="N1217" s="11" t="n"/>
      <c r="O1217" s="11" t="n"/>
      <c r="P1217" s="12" t="n"/>
      <c r="Q1217" s="11" t="n"/>
      <c r="R1217" s="12" t="n"/>
      <c r="S1217" s="11" t="n"/>
      <c r="T1217" s="12" t="n"/>
      <c r="U1217" s="12" t="n"/>
      <c r="V1217" s="14">
        <f>IF($AN1217="",IF($B1217="","",$H1217),IF(INDEX(職員マスタ!$B$6:$B$405,$AN1217)="",$H1217,INDEX(職員マスタ!$B$6:$B$405,$AN1217)))</f>
        <v/>
      </c>
      <c r="W1217" s="14">
        <f>IF($AN1217="",IF($B1217="","",$R1217),IF(INDEX(職員マスタ!$C$6:$C$405,$AN1217)="",$R1217,INDEX(職員マスタ!$C$6:$C$405,$AN1217)))</f>
        <v/>
      </c>
      <c r="X1217" s="14">
        <f>IF($AO1217="","","R"&amp;$C1217&amp;"."&amp;$D1217)</f>
        <v/>
      </c>
      <c r="Y1217" s="15">
        <f>IF($AN1217="","",IF(INDEX(職員マスタ!$K$6:$K$405,$AN1217)="","",INDEX(職員マスタ!$K$6:$K$405,$AN1217)))</f>
        <v/>
      </c>
      <c r="Z1217" s="14">
        <f>IF(OR($E1217="",$Y1217=""),"",IF($E1217&gt;=$Y1217,"×",IF($E1217&gt;=$Y1217*設定!$C$5,"△","○")))</f>
        <v/>
      </c>
      <c r="AA1217" s="15">
        <f>IF($Z1217="","",IF($Z1217="×",0,IF($Z1217="○",ROUNDDOWN($E1217*設定!$C$4,0),ROUNDDOWN($E1217*ROUND((9*$Y1217-9*$E1217)/(10*$E1217),4),0))))</f>
        <v/>
      </c>
      <c r="AB1217" s="13" t="n"/>
      <c r="AC1217" s="15">
        <f>IF($B1217="","",IF($AB1217&lt;&gt;"",$AB1217,IF($AA1217="","",IF($AA1217&lt;=設定!$C$3,0,$AA1217))))</f>
        <v/>
      </c>
      <c r="AD1217" s="14">
        <f>IF($B1217="","",IF(AND($AE1217&lt;&gt;"",$AG1217="",$AJ1217=""),"保留中",IF($AJ1217&lt;&gt;"",IF(N($AC1217)&gt;0,"支給済","不支給"),IF($AC1217="","要確認",IF($AC1217=0,"不支給","未処理")))))</f>
        <v/>
      </c>
      <c r="AE1217" s="12" t="n"/>
      <c r="AF1217" s="11" t="n"/>
      <c r="AG1217" s="11" t="n"/>
      <c r="AH1217" s="11" t="n"/>
      <c r="AI1217" s="14">
        <f>IF(AND($AD1217="保留中",$AF1217&lt;&gt;""),TODAY()-$AF1217,"")</f>
        <v/>
      </c>
      <c r="AJ1217" s="12" t="n"/>
      <c r="AK1217" s="14">
        <f>IF($B1217="","",IF($AO1217="","対象年月が未入力／","")&amp;IF($B1217="","",IF($AN1217="","職員マスタに未登録の職員番号／",IF($Y1217="","標準報酬月額が未登録／","")&amp;IF(AND($AO1217&lt;&gt;"",OR(AND(INDEX(職員マスタ!$G$6:$G$405,$AN1217)&lt;&gt;"",INDEX(職員マスタ!$G$6:$G$405,$AN1217)&gt;EOMONTH($AO1217,0)),AND(INDEX(職員マスタ!$H$6:$H$405,$AN1217)&lt;&gt;"",INDEX(職員マスタ!$H$6:$H$405,$AN1217)&lt;$AO1217))),"対象月が時短期間外／","")&amp;IF(AND(INDEX(職員マスタ!$F$6:$F$405,$AN1217)&lt;&gt;"",$AO1217&lt;&gt;"",INDEX(職員マスタ!$F$6:$F$405,$AN1217)&lt;$AO1217),"対象月に子が2歳到達済／","")&amp;IF(AND($H1217&lt;&gt;"",INDEX(職員マスタ!$B$6:$B$405,$AN1217)&lt;&gt;"",SUBSTITUTE(SUBSTITUTE($H1217," ","")," ","")&lt;&gt;SUBSTITUTE(SUBSTITUTE(INDEX(職員マスタ!$B$6:$B$405,$AN1217)," ","")," ","")),"氏名がマスタと相違／","")&amp;IF(AND($Q1217&lt;&gt;"",INDEX(職員マスタ!$E$6:$E$405,$AN1217)&lt;&gt;"",$Q1217&lt;&gt;INDEX(職員マスタ!$E$6:$E$405,$AN1217)),"子の生年月日がマスタと相違／","")&amp;IF(AND($L1217&lt;&gt;"",INDEX(職員マスタ!$G$6:$G$405,$AN1217)&lt;&gt;"",$L1217&lt;&gt;INDEX(職員マスタ!$G$6:$G$405,$AN1217)),"時短開始日がマスタと相違／","")&amp;IF(AND($M1217&lt;&gt;"",INDEX(職員マスタ!$H$6:$H$405,$AN1217)&lt;&gt;"",$M1217&lt;&gt;INDEX(職員マスタ!$H$6:$H$405,$AN1217)),"時短終了日がマスタと相違／","")))&amp;IF(AND($B1217&lt;&gt;"",$E1217=""),"報酬額が未入力／","")&amp;IF(N($U1217)&gt;0,"申請書に入力エラーが残っています／","")&amp;IF(AND($B1217&lt;&gt;"",$AO1217&lt;&gt;""),IF(COUNTIFS($B$6:$B$3005,$B1217,$C$6:$C$3005,$C1217,$D$6:$D$3005,$D1217)&gt;1,"同じ月の請求が重複しています／",""),"")&amp;IF(AND(N($E1217)&gt;0,$Z1217&lt;&gt;"",$Z1217&lt;&gt;"×",$AC1217=0,$AB1217=""),"計算額が下限以下のため不支給／",""))</f>
        <v/>
      </c>
      <c r="AL1217" s="12" t="n"/>
      <c r="AM1217" s="14">
        <f>IF($AD1217="保留中",COUNTIF($AD$6:$AD1217,"保留中"),"")</f>
        <v/>
      </c>
      <c r="AN1217" s="14">
        <f>IF($AO1217="","",IF(SUMPRODUCT(MAX((職員マスタ!$A$6:$A$405=$B1217)*(((職員マスタ!$G$6:$G$405="")+(職員マスタ!$G$6:$G$405&lt;=EOMONTH($AO1217,0)))&gt;0)*(((職員マスタ!$H$6:$H$405="")+(職員マスタ!$H$6:$H$405&gt;=$AO1217))&gt;0)*(ROW(職員マスタ!$A$6:$A$405)-5)))&gt;0,SUMPRODUCT(MAX((職員マスタ!$A$6:$A$405=$B1217)*(((職員マスタ!$G$6:$G$405="")+(職員マスタ!$G$6:$G$405&lt;=EOMONTH($AO1217,0)))&gt;0)*(((職員マスタ!$H$6:$H$405="")+(職員マスタ!$H$6:$H$405&gt;=$AO1217))&gt;0)*(ROW(職員マスタ!$A$6:$A$405)-5))),IFERROR(MATCH($B1217,職員マスタ!$A$6:$A$405,0),"")))</f>
        <v/>
      </c>
      <c r="AO1217" s="16">
        <f>IF(OR($B1217="",$C1217="",$D1217=""),"",DATE($C1217+2018,$D1217,1))</f>
        <v/>
      </c>
    </row>
    <row r="1218">
      <c r="A1218" s="11" t="n"/>
      <c r="B1218" s="12" t="n"/>
      <c r="C1218" s="12" t="n"/>
      <c r="D1218" s="12" t="n"/>
      <c r="E1218" s="13" t="n"/>
      <c r="F1218" s="12" t="n"/>
      <c r="G1218" s="13" t="n"/>
      <c r="H1218" s="12" t="n"/>
      <c r="I1218" s="12" t="n"/>
      <c r="J1218" s="12" t="n"/>
      <c r="K1218" s="12" t="n"/>
      <c r="L1218" s="11" t="n"/>
      <c r="M1218" s="11" t="n"/>
      <c r="N1218" s="11" t="n"/>
      <c r="O1218" s="11" t="n"/>
      <c r="P1218" s="12" t="n"/>
      <c r="Q1218" s="11" t="n"/>
      <c r="R1218" s="12" t="n"/>
      <c r="S1218" s="11" t="n"/>
      <c r="T1218" s="12" t="n"/>
      <c r="U1218" s="12" t="n"/>
      <c r="V1218" s="14">
        <f>IF($AN1218="",IF($B1218="","",$H1218),IF(INDEX(職員マスタ!$B$6:$B$405,$AN1218)="",$H1218,INDEX(職員マスタ!$B$6:$B$405,$AN1218)))</f>
        <v/>
      </c>
      <c r="W1218" s="14">
        <f>IF($AN1218="",IF($B1218="","",$R1218),IF(INDEX(職員マスタ!$C$6:$C$405,$AN1218)="",$R1218,INDEX(職員マスタ!$C$6:$C$405,$AN1218)))</f>
        <v/>
      </c>
      <c r="X1218" s="14">
        <f>IF($AO1218="","","R"&amp;$C1218&amp;"."&amp;$D1218)</f>
        <v/>
      </c>
      <c r="Y1218" s="15">
        <f>IF($AN1218="","",IF(INDEX(職員マスタ!$K$6:$K$405,$AN1218)="","",INDEX(職員マスタ!$K$6:$K$405,$AN1218)))</f>
        <v/>
      </c>
      <c r="Z1218" s="14">
        <f>IF(OR($E1218="",$Y1218=""),"",IF($E1218&gt;=$Y1218,"×",IF($E1218&gt;=$Y1218*設定!$C$5,"△","○")))</f>
        <v/>
      </c>
      <c r="AA1218" s="15">
        <f>IF($Z1218="","",IF($Z1218="×",0,IF($Z1218="○",ROUNDDOWN($E1218*設定!$C$4,0),ROUNDDOWN($E1218*ROUND((9*$Y1218-9*$E1218)/(10*$E1218),4),0))))</f>
        <v/>
      </c>
      <c r="AB1218" s="13" t="n"/>
      <c r="AC1218" s="15">
        <f>IF($B1218="","",IF($AB1218&lt;&gt;"",$AB1218,IF($AA1218="","",IF($AA1218&lt;=設定!$C$3,0,$AA1218))))</f>
        <v/>
      </c>
      <c r="AD1218" s="14">
        <f>IF($B1218="","",IF(AND($AE1218&lt;&gt;"",$AG1218="",$AJ1218=""),"保留中",IF($AJ1218&lt;&gt;"",IF(N($AC1218)&gt;0,"支給済","不支給"),IF($AC1218="","要確認",IF($AC1218=0,"不支給","未処理")))))</f>
        <v/>
      </c>
      <c r="AE1218" s="12" t="n"/>
      <c r="AF1218" s="11" t="n"/>
      <c r="AG1218" s="11" t="n"/>
      <c r="AH1218" s="11" t="n"/>
      <c r="AI1218" s="14">
        <f>IF(AND($AD1218="保留中",$AF1218&lt;&gt;""),TODAY()-$AF1218,"")</f>
        <v/>
      </c>
      <c r="AJ1218" s="12" t="n"/>
      <c r="AK1218" s="14">
        <f>IF($B1218="","",IF($AO1218="","対象年月が未入力／","")&amp;IF($B1218="","",IF($AN1218="","職員マスタに未登録の職員番号／",IF($Y1218="","標準報酬月額が未登録／","")&amp;IF(AND($AO1218&lt;&gt;"",OR(AND(INDEX(職員マスタ!$G$6:$G$405,$AN1218)&lt;&gt;"",INDEX(職員マスタ!$G$6:$G$405,$AN1218)&gt;EOMONTH($AO1218,0)),AND(INDEX(職員マスタ!$H$6:$H$405,$AN1218)&lt;&gt;"",INDEX(職員マスタ!$H$6:$H$405,$AN1218)&lt;$AO1218))),"対象月が時短期間外／","")&amp;IF(AND(INDEX(職員マスタ!$F$6:$F$405,$AN1218)&lt;&gt;"",$AO1218&lt;&gt;"",INDEX(職員マスタ!$F$6:$F$405,$AN1218)&lt;$AO1218),"対象月に子が2歳到達済／","")&amp;IF(AND($H1218&lt;&gt;"",INDEX(職員マスタ!$B$6:$B$405,$AN1218)&lt;&gt;"",SUBSTITUTE(SUBSTITUTE($H1218," ","")," ","")&lt;&gt;SUBSTITUTE(SUBSTITUTE(INDEX(職員マスタ!$B$6:$B$405,$AN1218)," ","")," ","")),"氏名がマスタと相違／","")&amp;IF(AND($Q1218&lt;&gt;"",INDEX(職員マスタ!$E$6:$E$405,$AN1218)&lt;&gt;"",$Q1218&lt;&gt;INDEX(職員マスタ!$E$6:$E$405,$AN1218)),"子の生年月日がマスタと相違／","")&amp;IF(AND($L1218&lt;&gt;"",INDEX(職員マスタ!$G$6:$G$405,$AN1218)&lt;&gt;"",$L1218&lt;&gt;INDEX(職員マスタ!$G$6:$G$405,$AN1218)),"時短開始日がマスタと相違／","")&amp;IF(AND($M1218&lt;&gt;"",INDEX(職員マスタ!$H$6:$H$405,$AN1218)&lt;&gt;"",$M1218&lt;&gt;INDEX(職員マスタ!$H$6:$H$405,$AN1218)),"時短終了日がマスタと相違／","")))&amp;IF(AND($B1218&lt;&gt;"",$E1218=""),"報酬額が未入力／","")&amp;IF(N($U1218)&gt;0,"申請書に入力エラーが残っています／","")&amp;IF(AND($B1218&lt;&gt;"",$AO1218&lt;&gt;""),IF(COUNTIFS($B$6:$B$3005,$B1218,$C$6:$C$3005,$C1218,$D$6:$D$3005,$D1218)&gt;1,"同じ月の請求が重複しています／",""),"")&amp;IF(AND(N($E1218)&gt;0,$Z1218&lt;&gt;"",$Z1218&lt;&gt;"×",$AC1218=0,$AB1218=""),"計算額が下限以下のため不支給／",""))</f>
        <v/>
      </c>
      <c r="AL1218" s="12" t="n"/>
      <c r="AM1218" s="14">
        <f>IF($AD1218="保留中",COUNTIF($AD$6:$AD1218,"保留中"),"")</f>
        <v/>
      </c>
      <c r="AN1218" s="14">
        <f>IF($AO1218="","",IF(SUMPRODUCT(MAX((職員マスタ!$A$6:$A$405=$B1218)*(((職員マスタ!$G$6:$G$405="")+(職員マスタ!$G$6:$G$405&lt;=EOMONTH($AO1218,0)))&gt;0)*(((職員マスタ!$H$6:$H$405="")+(職員マスタ!$H$6:$H$405&gt;=$AO1218))&gt;0)*(ROW(職員マスタ!$A$6:$A$405)-5)))&gt;0,SUMPRODUCT(MAX((職員マスタ!$A$6:$A$405=$B1218)*(((職員マスタ!$G$6:$G$405="")+(職員マスタ!$G$6:$G$405&lt;=EOMONTH($AO1218,0)))&gt;0)*(((職員マスタ!$H$6:$H$405="")+(職員マスタ!$H$6:$H$405&gt;=$AO1218))&gt;0)*(ROW(職員マスタ!$A$6:$A$405)-5))),IFERROR(MATCH($B1218,職員マスタ!$A$6:$A$405,0),"")))</f>
        <v/>
      </c>
      <c r="AO1218" s="16">
        <f>IF(OR($B1218="",$C1218="",$D1218=""),"",DATE($C1218+2018,$D1218,1))</f>
        <v/>
      </c>
    </row>
    <row r="1219">
      <c r="A1219" s="11" t="n"/>
      <c r="B1219" s="12" t="n"/>
      <c r="C1219" s="12" t="n"/>
      <c r="D1219" s="12" t="n"/>
      <c r="E1219" s="13" t="n"/>
      <c r="F1219" s="12" t="n"/>
      <c r="G1219" s="13" t="n"/>
      <c r="H1219" s="12" t="n"/>
      <c r="I1219" s="12" t="n"/>
      <c r="J1219" s="12" t="n"/>
      <c r="K1219" s="12" t="n"/>
      <c r="L1219" s="11" t="n"/>
      <c r="M1219" s="11" t="n"/>
      <c r="N1219" s="11" t="n"/>
      <c r="O1219" s="11" t="n"/>
      <c r="P1219" s="12" t="n"/>
      <c r="Q1219" s="11" t="n"/>
      <c r="R1219" s="12" t="n"/>
      <c r="S1219" s="11" t="n"/>
      <c r="T1219" s="12" t="n"/>
      <c r="U1219" s="12" t="n"/>
      <c r="V1219" s="14">
        <f>IF($AN1219="",IF($B1219="","",$H1219),IF(INDEX(職員マスタ!$B$6:$B$405,$AN1219)="",$H1219,INDEX(職員マスタ!$B$6:$B$405,$AN1219)))</f>
        <v/>
      </c>
      <c r="W1219" s="14">
        <f>IF($AN1219="",IF($B1219="","",$R1219),IF(INDEX(職員マスタ!$C$6:$C$405,$AN1219)="",$R1219,INDEX(職員マスタ!$C$6:$C$405,$AN1219)))</f>
        <v/>
      </c>
      <c r="X1219" s="14">
        <f>IF($AO1219="","","R"&amp;$C1219&amp;"."&amp;$D1219)</f>
        <v/>
      </c>
      <c r="Y1219" s="15">
        <f>IF($AN1219="","",IF(INDEX(職員マスタ!$K$6:$K$405,$AN1219)="","",INDEX(職員マスタ!$K$6:$K$405,$AN1219)))</f>
        <v/>
      </c>
      <c r="Z1219" s="14">
        <f>IF(OR($E1219="",$Y1219=""),"",IF($E1219&gt;=$Y1219,"×",IF($E1219&gt;=$Y1219*設定!$C$5,"△","○")))</f>
        <v/>
      </c>
      <c r="AA1219" s="15">
        <f>IF($Z1219="","",IF($Z1219="×",0,IF($Z1219="○",ROUNDDOWN($E1219*設定!$C$4,0),ROUNDDOWN($E1219*ROUND((9*$Y1219-9*$E1219)/(10*$E1219),4),0))))</f>
        <v/>
      </c>
      <c r="AB1219" s="13" t="n"/>
      <c r="AC1219" s="15">
        <f>IF($B1219="","",IF($AB1219&lt;&gt;"",$AB1219,IF($AA1219="","",IF($AA1219&lt;=設定!$C$3,0,$AA1219))))</f>
        <v/>
      </c>
      <c r="AD1219" s="14">
        <f>IF($B1219="","",IF(AND($AE1219&lt;&gt;"",$AG1219="",$AJ1219=""),"保留中",IF($AJ1219&lt;&gt;"",IF(N($AC1219)&gt;0,"支給済","不支給"),IF($AC1219="","要確認",IF($AC1219=0,"不支給","未処理")))))</f>
        <v/>
      </c>
      <c r="AE1219" s="12" t="n"/>
      <c r="AF1219" s="11" t="n"/>
      <c r="AG1219" s="11" t="n"/>
      <c r="AH1219" s="11" t="n"/>
      <c r="AI1219" s="14">
        <f>IF(AND($AD1219="保留中",$AF1219&lt;&gt;""),TODAY()-$AF1219,"")</f>
        <v/>
      </c>
      <c r="AJ1219" s="12" t="n"/>
      <c r="AK1219" s="14">
        <f>IF($B1219="","",IF($AO1219="","対象年月が未入力／","")&amp;IF($B1219="","",IF($AN1219="","職員マスタに未登録の職員番号／",IF($Y1219="","標準報酬月額が未登録／","")&amp;IF(AND($AO1219&lt;&gt;"",OR(AND(INDEX(職員マスタ!$G$6:$G$405,$AN1219)&lt;&gt;"",INDEX(職員マスタ!$G$6:$G$405,$AN1219)&gt;EOMONTH($AO1219,0)),AND(INDEX(職員マスタ!$H$6:$H$405,$AN1219)&lt;&gt;"",INDEX(職員マスタ!$H$6:$H$405,$AN1219)&lt;$AO1219))),"対象月が時短期間外／","")&amp;IF(AND(INDEX(職員マスタ!$F$6:$F$405,$AN1219)&lt;&gt;"",$AO1219&lt;&gt;"",INDEX(職員マスタ!$F$6:$F$405,$AN1219)&lt;$AO1219),"対象月に子が2歳到達済／","")&amp;IF(AND($H1219&lt;&gt;"",INDEX(職員マスタ!$B$6:$B$405,$AN1219)&lt;&gt;"",SUBSTITUTE(SUBSTITUTE($H1219," ","")," ","")&lt;&gt;SUBSTITUTE(SUBSTITUTE(INDEX(職員マスタ!$B$6:$B$405,$AN1219)," ","")," ","")),"氏名がマスタと相違／","")&amp;IF(AND($Q1219&lt;&gt;"",INDEX(職員マスタ!$E$6:$E$405,$AN1219)&lt;&gt;"",$Q1219&lt;&gt;INDEX(職員マスタ!$E$6:$E$405,$AN1219)),"子の生年月日がマスタと相違／","")&amp;IF(AND($L1219&lt;&gt;"",INDEX(職員マスタ!$G$6:$G$405,$AN1219)&lt;&gt;"",$L1219&lt;&gt;INDEX(職員マスタ!$G$6:$G$405,$AN1219)),"時短開始日がマスタと相違／","")&amp;IF(AND($M1219&lt;&gt;"",INDEX(職員マスタ!$H$6:$H$405,$AN1219)&lt;&gt;"",$M1219&lt;&gt;INDEX(職員マスタ!$H$6:$H$405,$AN1219)),"時短終了日がマスタと相違／","")))&amp;IF(AND($B1219&lt;&gt;"",$E1219=""),"報酬額が未入力／","")&amp;IF(N($U1219)&gt;0,"申請書に入力エラーが残っています／","")&amp;IF(AND($B1219&lt;&gt;"",$AO1219&lt;&gt;""),IF(COUNTIFS($B$6:$B$3005,$B1219,$C$6:$C$3005,$C1219,$D$6:$D$3005,$D1219)&gt;1,"同じ月の請求が重複しています／",""),"")&amp;IF(AND(N($E1219)&gt;0,$Z1219&lt;&gt;"",$Z1219&lt;&gt;"×",$AC1219=0,$AB1219=""),"計算額が下限以下のため不支給／",""))</f>
        <v/>
      </c>
      <c r="AL1219" s="12" t="n"/>
      <c r="AM1219" s="14">
        <f>IF($AD1219="保留中",COUNTIF($AD$6:$AD1219,"保留中"),"")</f>
        <v/>
      </c>
      <c r="AN1219" s="14">
        <f>IF($AO1219="","",IF(SUMPRODUCT(MAX((職員マスタ!$A$6:$A$405=$B1219)*(((職員マスタ!$G$6:$G$405="")+(職員マスタ!$G$6:$G$405&lt;=EOMONTH($AO1219,0)))&gt;0)*(((職員マスタ!$H$6:$H$405="")+(職員マスタ!$H$6:$H$405&gt;=$AO1219))&gt;0)*(ROW(職員マスタ!$A$6:$A$405)-5)))&gt;0,SUMPRODUCT(MAX((職員マスタ!$A$6:$A$405=$B1219)*(((職員マスタ!$G$6:$G$405="")+(職員マスタ!$G$6:$G$405&lt;=EOMONTH($AO1219,0)))&gt;0)*(((職員マスタ!$H$6:$H$405="")+(職員マスタ!$H$6:$H$405&gt;=$AO1219))&gt;0)*(ROW(職員マスタ!$A$6:$A$405)-5))),IFERROR(MATCH($B1219,職員マスタ!$A$6:$A$405,0),"")))</f>
        <v/>
      </c>
      <c r="AO1219" s="16">
        <f>IF(OR($B1219="",$C1219="",$D1219=""),"",DATE($C1219+2018,$D1219,1))</f>
        <v/>
      </c>
    </row>
    <row r="1220">
      <c r="A1220" s="11" t="n"/>
      <c r="B1220" s="12" t="n"/>
      <c r="C1220" s="12" t="n"/>
      <c r="D1220" s="12" t="n"/>
      <c r="E1220" s="13" t="n"/>
      <c r="F1220" s="12" t="n"/>
      <c r="G1220" s="13" t="n"/>
      <c r="H1220" s="12" t="n"/>
      <c r="I1220" s="12" t="n"/>
      <c r="J1220" s="12" t="n"/>
      <c r="K1220" s="12" t="n"/>
      <c r="L1220" s="11" t="n"/>
      <c r="M1220" s="11" t="n"/>
      <c r="N1220" s="11" t="n"/>
      <c r="O1220" s="11" t="n"/>
      <c r="P1220" s="12" t="n"/>
      <c r="Q1220" s="11" t="n"/>
      <c r="R1220" s="12" t="n"/>
      <c r="S1220" s="11" t="n"/>
      <c r="T1220" s="12" t="n"/>
      <c r="U1220" s="12" t="n"/>
      <c r="V1220" s="14">
        <f>IF($AN1220="",IF($B1220="","",$H1220),IF(INDEX(職員マスタ!$B$6:$B$405,$AN1220)="",$H1220,INDEX(職員マスタ!$B$6:$B$405,$AN1220)))</f>
        <v/>
      </c>
      <c r="W1220" s="14">
        <f>IF($AN1220="",IF($B1220="","",$R1220),IF(INDEX(職員マスタ!$C$6:$C$405,$AN1220)="",$R1220,INDEX(職員マスタ!$C$6:$C$405,$AN1220)))</f>
        <v/>
      </c>
      <c r="X1220" s="14">
        <f>IF($AO1220="","","R"&amp;$C1220&amp;"."&amp;$D1220)</f>
        <v/>
      </c>
      <c r="Y1220" s="15">
        <f>IF($AN1220="","",IF(INDEX(職員マスタ!$K$6:$K$405,$AN1220)="","",INDEX(職員マスタ!$K$6:$K$405,$AN1220)))</f>
        <v/>
      </c>
      <c r="Z1220" s="14">
        <f>IF(OR($E1220="",$Y1220=""),"",IF($E1220&gt;=$Y1220,"×",IF($E1220&gt;=$Y1220*設定!$C$5,"△","○")))</f>
        <v/>
      </c>
      <c r="AA1220" s="15">
        <f>IF($Z1220="","",IF($Z1220="×",0,IF($Z1220="○",ROUNDDOWN($E1220*設定!$C$4,0),ROUNDDOWN($E1220*ROUND((9*$Y1220-9*$E1220)/(10*$E1220),4),0))))</f>
        <v/>
      </c>
      <c r="AB1220" s="13" t="n"/>
      <c r="AC1220" s="15">
        <f>IF($B1220="","",IF($AB1220&lt;&gt;"",$AB1220,IF($AA1220="","",IF($AA1220&lt;=設定!$C$3,0,$AA1220))))</f>
        <v/>
      </c>
      <c r="AD1220" s="14">
        <f>IF($B1220="","",IF(AND($AE1220&lt;&gt;"",$AG1220="",$AJ1220=""),"保留中",IF($AJ1220&lt;&gt;"",IF(N($AC1220)&gt;0,"支給済","不支給"),IF($AC1220="","要確認",IF($AC1220=0,"不支給","未処理")))))</f>
        <v/>
      </c>
      <c r="AE1220" s="12" t="n"/>
      <c r="AF1220" s="11" t="n"/>
      <c r="AG1220" s="11" t="n"/>
      <c r="AH1220" s="11" t="n"/>
      <c r="AI1220" s="14">
        <f>IF(AND($AD1220="保留中",$AF1220&lt;&gt;""),TODAY()-$AF1220,"")</f>
        <v/>
      </c>
      <c r="AJ1220" s="12" t="n"/>
      <c r="AK1220" s="14">
        <f>IF($B1220="","",IF($AO1220="","対象年月が未入力／","")&amp;IF($B1220="","",IF($AN1220="","職員マスタに未登録の職員番号／",IF($Y1220="","標準報酬月額が未登録／","")&amp;IF(AND($AO1220&lt;&gt;"",OR(AND(INDEX(職員マスタ!$G$6:$G$405,$AN1220)&lt;&gt;"",INDEX(職員マスタ!$G$6:$G$405,$AN1220)&gt;EOMONTH($AO1220,0)),AND(INDEX(職員マスタ!$H$6:$H$405,$AN1220)&lt;&gt;"",INDEX(職員マスタ!$H$6:$H$405,$AN1220)&lt;$AO1220))),"対象月が時短期間外／","")&amp;IF(AND(INDEX(職員マスタ!$F$6:$F$405,$AN1220)&lt;&gt;"",$AO1220&lt;&gt;"",INDEX(職員マスタ!$F$6:$F$405,$AN1220)&lt;$AO1220),"対象月に子が2歳到達済／","")&amp;IF(AND($H1220&lt;&gt;"",INDEX(職員マスタ!$B$6:$B$405,$AN1220)&lt;&gt;"",SUBSTITUTE(SUBSTITUTE($H1220," ","")," ","")&lt;&gt;SUBSTITUTE(SUBSTITUTE(INDEX(職員マスタ!$B$6:$B$405,$AN1220)," ","")," ","")),"氏名がマスタと相違／","")&amp;IF(AND($Q1220&lt;&gt;"",INDEX(職員マスタ!$E$6:$E$405,$AN1220)&lt;&gt;"",$Q1220&lt;&gt;INDEX(職員マスタ!$E$6:$E$405,$AN1220)),"子の生年月日がマスタと相違／","")&amp;IF(AND($L1220&lt;&gt;"",INDEX(職員マスタ!$G$6:$G$405,$AN1220)&lt;&gt;"",$L1220&lt;&gt;INDEX(職員マスタ!$G$6:$G$405,$AN1220)),"時短開始日がマスタと相違／","")&amp;IF(AND($M1220&lt;&gt;"",INDEX(職員マスタ!$H$6:$H$405,$AN1220)&lt;&gt;"",$M1220&lt;&gt;INDEX(職員マスタ!$H$6:$H$405,$AN1220)),"時短終了日がマスタと相違／","")))&amp;IF(AND($B1220&lt;&gt;"",$E1220=""),"報酬額が未入力／","")&amp;IF(N($U1220)&gt;0,"申請書に入力エラーが残っています／","")&amp;IF(AND($B1220&lt;&gt;"",$AO1220&lt;&gt;""),IF(COUNTIFS($B$6:$B$3005,$B1220,$C$6:$C$3005,$C1220,$D$6:$D$3005,$D1220)&gt;1,"同じ月の請求が重複しています／",""),"")&amp;IF(AND(N($E1220)&gt;0,$Z1220&lt;&gt;"",$Z1220&lt;&gt;"×",$AC1220=0,$AB1220=""),"計算額が下限以下のため不支給／",""))</f>
        <v/>
      </c>
      <c r="AL1220" s="12" t="n"/>
      <c r="AM1220" s="14">
        <f>IF($AD1220="保留中",COUNTIF($AD$6:$AD1220,"保留中"),"")</f>
        <v/>
      </c>
      <c r="AN1220" s="14">
        <f>IF($AO1220="","",IF(SUMPRODUCT(MAX((職員マスタ!$A$6:$A$405=$B1220)*(((職員マスタ!$G$6:$G$405="")+(職員マスタ!$G$6:$G$405&lt;=EOMONTH($AO1220,0)))&gt;0)*(((職員マスタ!$H$6:$H$405="")+(職員マスタ!$H$6:$H$405&gt;=$AO1220))&gt;0)*(ROW(職員マスタ!$A$6:$A$405)-5)))&gt;0,SUMPRODUCT(MAX((職員マスタ!$A$6:$A$405=$B1220)*(((職員マスタ!$G$6:$G$405="")+(職員マスタ!$G$6:$G$405&lt;=EOMONTH($AO1220,0)))&gt;0)*(((職員マスタ!$H$6:$H$405="")+(職員マスタ!$H$6:$H$405&gt;=$AO1220))&gt;0)*(ROW(職員マスタ!$A$6:$A$405)-5))),IFERROR(MATCH($B1220,職員マスタ!$A$6:$A$405,0),"")))</f>
        <v/>
      </c>
      <c r="AO1220" s="16">
        <f>IF(OR($B1220="",$C1220="",$D1220=""),"",DATE($C1220+2018,$D1220,1))</f>
        <v/>
      </c>
    </row>
    <row r="1221">
      <c r="A1221" s="11" t="n"/>
      <c r="B1221" s="12" t="n"/>
      <c r="C1221" s="12" t="n"/>
      <c r="D1221" s="12" t="n"/>
      <c r="E1221" s="13" t="n"/>
      <c r="F1221" s="12" t="n"/>
      <c r="G1221" s="13" t="n"/>
      <c r="H1221" s="12" t="n"/>
      <c r="I1221" s="12" t="n"/>
      <c r="J1221" s="12" t="n"/>
      <c r="K1221" s="12" t="n"/>
      <c r="L1221" s="11" t="n"/>
      <c r="M1221" s="11" t="n"/>
      <c r="N1221" s="11" t="n"/>
      <c r="O1221" s="11" t="n"/>
      <c r="P1221" s="12" t="n"/>
      <c r="Q1221" s="11" t="n"/>
      <c r="R1221" s="12" t="n"/>
      <c r="S1221" s="11" t="n"/>
      <c r="T1221" s="12" t="n"/>
      <c r="U1221" s="12" t="n"/>
      <c r="V1221" s="14">
        <f>IF($AN1221="",IF($B1221="","",$H1221),IF(INDEX(職員マスタ!$B$6:$B$405,$AN1221)="",$H1221,INDEX(職員マスタ!$B$6:$B$405,$AN1221)))</f>
        <v/>
      </c>
      <c r="W1221" s="14">
        <f>IF($AN1221="",IF($B1221="","",$R1221),IF(INDEX(職員マスタ!$C$6:$C$405,$AN1221)="",$R1221,INDEX(職員マスタ!$C$6:$C$405,$AN1221)))</f>
        <v/>
      </c>
      <c r="X1221" s="14">
        <f>IF($AO1221="","","R"&amp;$C1221&amp;"."&amp;$D1221)</f>
        <v/>
      </c>
      <c r="Y1221" s="15">
        <f>IF($AN1221="","",IF(INDEX(職員マスタ!$K$6:$K$405,$AN1221)="","",INDEX(職員マスタ!$K$6:$K$405,$AN1221)))</f>
        <v/>
      </c>
      <c r="Z1221" s="14">
        <f>IF(OR($E1221="",$Y1221=""),"",IF($E1221&gt;=$Y1221,"×",IF($E1221&gt;=$Y1221*設定!$C$5,"△","○")))</f>
        <v/>
      </c>
      <c r="AA1221" s="15">
        <f>IF($Z1221="","",IF($Z1221="×",0,IF($Z1221="○",ROUNDDOWN($E1221*設定!$C$4,0),ROUNDDOWN($E1221*ROUND((9*$Y1221-9*$E1221)/(10*$E1221),4),0))))</f>
        <v/>
      </c>
      <c r="AB1221" s="13" t="n"/>
      <c r="AC1221" s="15">
        <f>IF($B1221="","",IF($AB1221&lt;&gt;"",$AB1221,IF($AA1221="","",IF($AA1221&lt;=設定!$C$3,0,$AA1221))))</f>
        <v/>
      </c>
      <c r="AD1221" s="14">
        <f>IF($B1221="","",IF(AND($AE1221&lt;&gt;"",$AG1221="",$AJ1221=""),"保留中",IF($AJ1221&lt;&gt;"",IF(N($AC1221)&gt;0,"支給済","不支給"),IF($AC1221="","要確認",IF($AC1221=0,"不支給","未処理")))))</f>
        <v/>
      </c>
      <c r="AE1221" s="12" t="n"/>
      <c r="AF1221" s="11" t="n"/>
      <c r="AG1221" s="11" t="n"/>
      <c r="AH1221" s="11" t="n"/>
      <c r="AI1221" s="14">
        <f>IF(AND($AD1221="保留中",$AF1221&lt;&gt;""),TODAY()-$AF1221,"")</f>
        <v/>
      </c>
      <c r="AJ1221" s="12" t="n"/>
      <c r="AK1221" s="14">
        <f>IF($B1221="","",IF($AO1221="","対象年月が未入力／","")&amp;IF($B1221="","",IF($AN1221="","職員マスタに未登録の職員番号／",IF($Y1221="","標準報酬月額が未登録／","")&amp;IF(AND($AO1221&lt;&gt;"",OR(AND(INDEX(職員マスタ!$G$6:$G$405,$AN1221)&lt;&gt;"",INDEX(職員マスタ!$G$6:$G$405,$AN1221)&gt;EOMONTH($AO1221,0)),AND(INDEX(職員マスタ!$H$6:$H$405,$AN1221)&lt;&gt;"",INDEX(職員マスタ!$H$6:$H$405,$AN1221)&lt;$AO1221))),"対象月が時短期間外／","")&amp;IF(AND(INDEX(職員マスタ!$F$6:$F$405,$AN1221)&lt;&gt;"",$AO1221&lt;&gt;"",INDEX(職員マスタ!$F$6:$F$405,$AN1221)&lt;$AO1221),"対象月に子が2歳到達済／","")&amp;IF(AND($H1221&lt;&gt;"",INDEX(職員マスタ!$B$6:$B$405,$AN1221)&lt;&gt;"",SUBSTITUTE(SUBSTITUTE($H1221," ","")," ","")&lt;&gt;SUBSTITUTE(SUBSTITUTE(INDEX(職員マスタ!$B$6:$B$405,$AN1221)," ","")," ","")),"氏名がマスタと相違／","")&amp;IF(AND($Q1221&lt;&gt;"",INDEX(職員マスタ!$E$6:$E$405,$AN1221)&lt;&gt;"",$Q1221&lt;&gt;INDEX(職員マスタ!$E$6:$E$405,$AN1221)),"子の生年月日がマスタと相違／","")&amp;IF(AND($L1221&lt;&gt;"",INDEX(職員マスタ!$G$6:$G$405,$AN1221)&lt;&gt;"",$L1221&lt;&gt;INDEX(職員マスタ!$G$6:$G$405,$AN1221)),"時短開始日がマスタと相違／","")&amp;IF(AND($M1221&lt;&gt;"",INDEX(職員マスタ!$H$6:$H$405,$AN1221)&lt;&gt;"",$M1221&lt;&gt;INDEX(職員マスタ!$H$6:$H$405,$AN1221)),"時短終了日がマスタと相違／","")))&amp;IF(AND($B1221&lt;&gt;"",$E1221=""),"報酬額が未入力／","")&amp;IF(N($U1221)&gt;0,"申請書に入力エラーが残っています／","")&amp;IF(AND($B1221&lt;&gt;"",$AO1221&lt;&gt;""),IF(COUNTIFS($B$6:$B$3005,$B1221,$C$6:$C$3005,$C1221,$D$6:$D$3005,$D1221)&gt;1,"同じ月の請求が重複しています／",""),"")&amp;IF(AND(N($E1221)&gt;0,$Z1221&lt;&gt;"",$Z1221&lt;&gt;"×",$AC1221=0,$AB1221=""),"計算額が下限以下のため不支給／",""))</f>
        <v/>
      </c>
      <c r="AL1221" s="12" t="n"/>
      <c r="AM1221" s="14">
        <f>IF($AD1221="保留中",COUNTIF($AD$6:$AD1221,"保留中"),"")</f>
        <v/>
      </c>
      <c r="AN1221" s="14">
        <f>IF($AO1221="","",IF(SUMPRODUCT(MAX((職員マスタ!$A$6:$A$405=$B1221)*(((職員マスタ!$G$6:$G$405="")+(職員マスタ!$G$6:$G$405&lt;=EOMONTH($AO1221,0)))&gt;0)*(((職員マスタ!$H$6:$H$405="")+(職員マスタ!$H$6:$H$405&gt;=$AO1221))&gt;0)*(ROW(職員マスタ!$A$6:$A$405)-5)))&gt;0,SUMPRODUCT(MAX((職員マスタ!$A$6:$A$405=$B1221)*(((職員マスタ!$G$6:$G$405="")+(職員マスタ!$G$6:$G$405&lt;=EOMONTH($AO1221,0)))&gt;0)*(((職員マスタ!$H$6:$H$405="")+(職員マスタ!$H$6:$H$405&gt;=$AO1221))&gt;0)*(ROW(職員マスタ!$A$6:$A$405)-5))),IFERROR(MATCH($B1221,職員マスタ!$A$6:$A$405,0),"")))</f>
        <v/>
      </c>
      <c r="AO1221" s="16">
        <f>IF(OR($B1221="",$C1221="",$D1221=""),"",DATE($C1221+2018,$D1221,1))</f>
        <v/>
      </c>
    </row>
    <row r="1222">
      <c r="A1222" s="11" t="n"/>
      <c r="B1222" s="12" t="n"/>
      <c r="C1222" s="12" t="n"/>
      <c r="D1222" s="12" t="n"/>
      <c r="E1222" s="13" t="n"/>
      <c r="F1222" s="12" t="n"/>
      <c r="G1222" s="13" t="n"/>
      <c r="H1222" s="12" t="n"/>
      <c r="I1222" s="12" t="n"/>
      <c r="J1222" s="12" t="n"/>
      <c r="K1222" s="12" t="n"/>
      <c r="L1222" s="11" t="n"/>
      <c r="M1222" s="11" t="n"/>
      <c r="N1222" s="11" t="n"/>
      <c r="O1222" s="11" t="n"/>
      <c r="P1222" s="12" t="n"/>
      <c r="Q1222" s="11" t="n"/>
      <c r="R1222" s="12" t="n"/>
      <c r="S1222" s="11" t="n"/>
      <c r="T1222" s="12" t="n"/>
      <c r="U1222" s="12" t="n"/>
      <c r="V1222" s="14">
        <f>IF($AN1222="",IF($B1222="","",$H1222),IF(INDEX(職員マスタ!$B$6:$B$405,$AN1222)="",$H1222,INDEX(職員マスタ!$B$6:$B$405,$AN1222)))</f>
        <v/>
      </c>
      <c r="W1222" s="14">
        <f>IF($AN1222="",IF($B1222="","",$R1222),IF(INDEX(職員マスタ!$C$6:$C$405,$AN1222)="",$R1222,INDEX(職員マスタ!$C$6:$C$405,$AN1222)))</f>
        <v/>
      </c>
      <c r="X1222" s="14">
        <f>IF($AO1222="","","R"&amp;$C1222&amp;"."&amp;$D1222)</f>
        <v/>
      </c>
      <c r="Y1222" s="15">
        <f>IF($AN1222="","",IF(INDEX(職員マスタ!$K$6:$K$405,$AN1222)="","",INDEX(職員マスタ!$K$6:$K$405,$AN1222)))</f>
        <v/>
      </c>
      <c r="Z1222" s="14">
        <f>IF(OR($E1222="",$Y1222=""),"",IF($E1222&gt;=$Y1222,"×",IF($E1222&gt;=$Y1222*設定!$C$5,"△","○")))</f>
        <v/>
      </c>
      <c r="AA1222" s="15">
        <f>IF($Z1222="","",IF($Z1222="×",0,IF($Z1222="○",ROUNDDOWN($E1222*設定!$C$4,0),ROUNDDOWN($E1222*ROUND((9*$Y1222-9*$E1222)/(10*$E1222),4),0))))</f>
        <v/>
      </c>
      <c r="AB1222" s="13" t="n"/>
      <c r="AC1222" s="15">
        <f>IF($B1222="","",IF($AB1222&lt;&gt;"",$AB1222,IF($AA1222="","",IF($AA1222&lt;=設定!$C$3,0,$AA1222))))</f>
        <v/>
      </c>
      <c r="AD1222" s="14">
        <f>IF($B1222="","",IF(AND($AE1222&lt;&gt;"",$AG1222="",$AJ1222=""),"保留中",IF($AJ1222&lt;&gt;"",IF(N($AC1222)&gt;0,"支給済","不支給"),IF($AC1222="","要確認",IF($AC1222=0,"不支給","未処理")))))</f>
        <v/>
      </c>
      <c r="AE1222" s="12" t="n"/>
      <c r="AF1222" s="11" t="n"/>
      <c r="AG1222" s="11" t="n"/>
      <c r="AH1222" s="11" t="n"/>
      <c r="AI1222" s="14">
        <f>IF(AND($AD1222="保留中",$AF1222&lt;&gt;""),TODAY()-$AF1222,"")</f>
        <v/>
      </c>
      <c r="AJ1222" s="12" t="n"/>
      <c r="AK1222" s="14">
        <f>IF($B1222="","",IF($AO1222="","対象年月が未入力／","")&amp;IF($B1222="","",IF($AN1222="","職員マスタに未登録の職員番号／",IF($Y1222="","標準報酬月額が未登録／","")&amp;IF(AND($AO1222&lt;&gt;"",OR(AND(INDEX(職員マスタ!$G$6:$G$405,$AN1222)&lt;&gt;"",INDEX(職員マスタ!$G$6:$G$405,$AN1222)&gt;EOMONTH($AO1222,0)),AND(INDEX(職員マスタ!$H$6:$H$405,$AN1222)&lt;&gt;"",INDEX(職員マスタ!$H$6:$H$405,$AN1222)&lt;$AO1222))),"対象月が時短期間外／","")&amp;IF(AND(INDEX(職員マスタ!$F$6:$F$405,$AN1222)&lt;&gt;"",$AO1222&lt;&gt;"",INDEX(職員マスタ!$F$6:$F$405,$AN1222)&lt;$AO1222),"対象月に子が2歳到達済／","")&amp;IF(AND($H1222&lt;&gt;"",INDEX(職員マスタ!$B$6:$B$405,$AN1222)&lt;&gt;"",SUBSTITUTE(SUBSTITUTE($H1222," ","")," ","")&lt;&gt;SUBSTITUTE(SUBSTITUTE(INDEX(職員マスタ!$B$6:$B$405,$AN1222)," ","")," ","")),"氏名がマスタと相違／","")&amp;IF(AND($Q1222&lt;&gt;"",INDEX(職員マスタ!$E$6:$E$405,$AN1222)&lt;&gt;"",$Q1222&lt;&gt;INDEX(職員マスタ!$E$6:$E$405,$AN1222)),"子の生年月日がマスタと相違／","")&amp;IF(AND($L1222&lt;&gt;"",INDEX(職員マスタ!$G$6:$G$405,$AN1222)&lt;&gt;"",$L1222&lt;&gt;INDEX(職員マスタ!$G$6:$G$405,$AN1222)),"時短開始日がマスタと相違／","")&amp;IF(AND($M1222&lt;&gt;"",INDEX(職員マスタ!$H$6:$H$405,$AN1222)&lt;&gt;"",$M1222&lt;&gt;INDEX(職員マスタ!$H$6:$H$405,$AN1222)),"時短終了日がマスタと相違／","")))&amp;IF(AND($B1222&lt;&gt;"",$E1222=""),"報酬額が未入力／","")&amp;IF(N($U1222)&gt;0,"申請書に入力エラーが残っています／","")&amp;IF(AND($B1222&lt;&gt;"",$AO1222&lt;&gt;""),IF(COUNTIFS($B$6:$B$3005,$B1222,$C$6:$C$3005,$C1222,$D$6:$D$3005,$D1222)&gt;1,"同じ月の請求が重複しています／",""),"")&amp;IF(AND(N($E1222)&gt;0,$Z1222&lt;&gt;"",$Z1222&lt;&gt;"×",$AC1222=0,$AB1222=""),"計算額が下限以下のため不支給／",""))</f>
        <v/>
      </c>
      <c r="AL1222" s="12" t="n"/>
      <c r="AM1222" s="14">
        <f>IF($AD1222="保留中",COUNTIF($AD$6:$AD1222,"保留中"),"")</f>
        <v/>
      </c>
      <c r="AN1222" s="14">
        <f>IF($AO1222="","",IF(SUMPRODUCT(MAX((職員マスタ!$A$6:$A$405=$B1222)*(((職員マスタ!$G$6:$G$405="")+(職員マスタ!$G$6:$G$405&lt;=EOMONTH($AO1222,0)))&gt;0)*(((職員マスタ!$H$6:$H$405="")+(職員マスタ!$H$6:$H$405&gt;=$AO1222))&gt;0)*(ROW(職員マスタ!$A$6:$A$405)-5)))&gt;0,SUMPRODUCT(MAX((職員マスタ!$A$6:$A$405=$B1222)*(((職員マスタ!$G$6:$G$405="")+(職員マスタ!$G$6:$G$405&lt;=EOMONTH($AO1222,0)))&gt;0)*(((職員マスタ!$H$6:$H$405="")+(職員マスタ!$H$6:$H$405&gt;=$AO1222))&gt;0)*(ROW(職員マスタ!$A$6:$A$405)-5))),IFERROR(MATCH($B1222,職員マスタ!$A$6:$A$405,0),"")))</f>
        <v/>
      </c>
      <c r="AO1222" s="16">
        <f>IF(OR($B1222="",$C1222="",$D1222=""),"",DATE($C1222+2018,$D1222,1))</f>
        <v/>
      </c>
    </row>
    <row r="1223">
      <c r="A1223" s="11" t="n"/>
      <c r="B1223" s="12" t="n"/>
      <c r="C1223" s="12" t="n"/>
      <c r="D1223" s="12" t="n"/>
      <c r="E1223" s="13" t="n"/>
      <c r="F1223" s="12" t="n"/>
      <c r="G1223" s="13" t="n"/>
      <c r="H1223" s="12" t="n"/>
      <c r="I1223" s="12" t="n"/>
      <c r="J1223" s="12" t="n"/>
      <c r="K1223" s="12" t="n"/>
      <c r="L1223" s="11" t="n"/>
      <c r="M1223" s="11" t="n"/>
      <c r="N1223" s="11" t="n"/>
      <c r="O1223" s="11" t="n"/>
      <c r="P1223" s="12" t="n"/>
      <c r="Q1223" s="11" t="n"/>
      <c r="R1223" s="12" t="n"/>
      <c r="S1223" s="11" t="n"/>
      <c r="T1223" s="12" t="n"/>
      <c r="U1223" s="12" t="n"/>
      <c r="V1223" s="14">
        <f>IF($AN1223="",IF($B1223="","",$H1223),IF(INDEX(職員マスタ!$B$6:$B$405,$AN1223)="",$H1223,INDEX(職員マスタ!$B$6:$B$405,$AN1223)))</f>
        <v/>
      </c>
      <c r="W1223" s="14">
        <f>IF($AN1223="",IF($B1223="","",$R1223),IF(INDEX(職員マスタ!$C$6:$C$405,$AN1223)="",$R1223,INDEX(職員マスタ!$C$6:$C$405,$AN1223)))</f>
        <v/>
      </c>
      <c r="X1223" s="14">
        <f>IF($AO1223="","","R"&amp;$C1223&amp;"."&amp;$D1223)</f>
        <v/>
      </c>
      <c r="Y1223" s="15">
        <f>IF($AN1223="","",IF(INDEX(職員マスタ!$K$6:$K$405,$AN1223)="","",INDEX(職員マスタ!$K$6:$K$405,$AN1223)))</f>
        <v/>
      </c>
      <c r="Z1223" s="14">
        <f>IF(OR($E1223="",$Y1223=""),"",IF($E1223&gt;=$Y1223,"×",IF($E1223&gt;=$Y1223*設定!$C$5,"△","○")))</f>
        <v/>
      </c>
      <c r="AA1223" s="15">
        <f>IF($Z1223="","",IF($Z1223="×",0,IF($Z1223="○",ROUNDDOWN($E1223*設定!$C$4,0),ROUNDDOWN($E1223*ROUND((9*$Y1223-9*$E1223)/(10*$E1223),4),0))))</f>
        <v/>
      </c>
      <c r="AB1223" s="13" t="n"/>
      <c r="AC1223" s="15">
        <f>IF($B1223="","",IF($AB1223&lt;&gt;"",$AB1223,IF($AA1223="","",IF($AA1223&lt;=設定!$C$3,0,$AA1223))))</f>
        <v/>
      </c>
      <c r="AD1223" s="14">
        <f>IF($B1223="","",IF(AND($AE1223&lt;&gt;"",$AG1223="",$AJ1223=""),"保留中",IF($AJ1223&lt;&gt;"",IF(N($AC1223)&gt;0,"支給済","不支給"),IF($AC1223="","要確認",IF($AC1223=0,"不支給","未処理")))))</f>
        <v/>
      </c>
      <c r="AE1223" s="12" t="n"/>
      <c r="AF1223" s="11" t="n"/>
      <c r="AG1223" s="11" t="n"/>
      <c r="AH1223" s="11" t="n"/>
      <c r="AI1223" s="14">
        <f>IF(AND($AD1223="保留中",$AF1223&lt;&gt;""),TODAY()-$AF1223,"")</f>
        <v/>
      </c>
      <c r="AJ1223" s="12" t="n"/>
      <c r="AK1223" s="14">
        <f>IF($B1223="","",IF($AO1223="","対象年月が未入力／","")&amp;IF($B1223="","",IF($AN1223="","職員マスタに未登録の職員番号／",IF($Y1223="","標準報酬月額が未登録／","")&amp;IF(AND($AO1223&lt;&gt;"",OR(AND(INDEX(職員マスタ!$G$6:$G$405,$AN1223)&lt;&gt;"",INDEX(職員マスタ!$G$6:$G$405,$AN1223)&gt;EOMONTH($AO1223,0)),AND(INDEX(職員マスタ!$H$6:$H$405,$AN1223)&lt;&gt;"",INDEX(職員マスタ!$H$6:$H$405,$AN1223)&lt;$AO1223))),"対象月が時短期間外／","")&amp;IF(AND(INDEX(職員マスタ!$F$6:$F$405,$AN1223)&lt;&gt;"",$AO1223&lt;&gt;"",INDEX(職員マスタ!$F$6:$F$405,$AN1223)&lt;$AO1223),"対象月に子が2歳到達済／","")&amp;IF(AND($H1223&lt;&gt;"",INDEX(職員マスタ!$B$6:$B$405,$AN1223)&lt;&gt;"",SUBSTITUTE(SUBSTITUTE($H1223," ","")," ","")&lt;&gt;SUBSTITUTE(SUBSTITUTE(INDEX(職員マスタ!$B$6:$B$405,$AN1223)," ","")," ","")),"氏名がマスタと相違／","")&amp;IF(AND($Q1223&lt;&gt;"",INDEX(職員マスタ!$E$6:$E$405,$AN1223)&lt;&gt;"",$Q1223&lt;&gt;INDEX(職員マスタ!$E$6:$E$405,$AN1223)),"子の生年月日がマスタと相違／","")&amp;IF(AND($L1223&lt;&gt;"",INDEX(職員マスタ!$G$6:$G$405,$AN1223)&lt;&gt;"",$L1223&lt;&gt;INDEX(職員マスタ!$G$6:$G$405,$AN1223)),"時短開始日がマスタと相違／","")&amp;IF(AND($M1223&lt;&gt;"",INDEX(職員マスタ!$H$6:$H$405,$AN1223)&lt;&gt;"",$M1223&lt;&gt;INDEX(職員マスタ!$H$6:$H$405,$AN1223)),"時短終了日がマスタと相違／","")))&amp;IF(AND($B1223&lt;&gt;"",$E1223=""),"報酬額が未入力／","")&amp;IF(N($U1223)&gt;0,"申請書に入力エラーが残っています／","")&amp;IF(AND($B1223&lt;&gt;"",$AO1223&lt;&gt;""),IF(COUNTIFS($B$6:$B$3005,$B1223,$C$6:$C$3005,$C1223,$D$6:$D$3005,$D1223)&gt;1,"同じ月の請求が重複しています／",""),"")&amp;IF(AND(N($E1223)&gt;0,$Z1223&lt;&gt;"",$Z1223&lt;&gt;"×",$AC1223=0,$AB1223=""),"計算額が下限以下のため不支給／",""))</f>
        <v/>
      </c>
      <c r="AL1223" s="12" t="n"/>
      <c r="AM1223" s="14">
        <f>IF($AD1223="保留中",COUNTIF($AD$6:$AD1223,"保留中"),"")</f>
        <v/>
      </c>
      <c r="AN1223" s="14">
        <f>IF($AO1223="","",IF(SUMPRODUCT(MAX((職員マスタ!$A$6:$A$405=$B1223)*(((職員マスタ!$G$6:$G$405="")+(職員マスタ!$G$6:$G$405&lt;=EOMONTH($AO1223,0)))&gt;0)*(((職員マスタ!$H$6:$H$405="")+(職員マスタ!$H$6:$H$405&gt;=$AO1223))&gt;0)*(ROW(職員マスタ!$A$6:$A$405)-5)))&gt;0,SUMPRODUCT(MAX((職員マスタ!$A$6:$A$405=$B1223)*(((職員マスタ!$G$6:$G$405="")+(職員マスタ!$G$6:$G$405&lt;=EOMONTH($AO1223,0)))&gt;0)*(((職員マスタ!$H$6:$H$405="")+(職員マスタ!$H$6:$H$405&gt;=$AO1223))&gt;0)*(ROW(職員マスタ!$A$6:$A$405)-5))),IFERROR(MATCH($B1223,職員マスタ!$A$6:$A$405,0),"")))</f>
        <v/>
      </c>
      <c r="AO1223" s="16">
        <f>IF(OR($B1223="",$C1223="",$D1223=""),"",DATE($C1223+2018,$D1223,1))</f>
        <v/>
      </c>
    </row>
    <row r="1224">
      <c r="A1224" s="11" t="n"/>
      <c r="B1224" s="12" t="n"/>
      <c r="C1224" s="12" t="n"/>
      <c r="D1224" s="12" t="n"/>
      <c r="E1224" s="13" t="n"/>
      <c r="F1224" s="12" t="n"/>
      <c r="G1224" s="13" t="n"/>
      <c r="H1224" s="12" t="n"/>
      <c r="I1224" s="12" t="n"/>
      <c r="J1224" s="12" t="n"/>
      <c r="K1224" s="12" t="n"/>
      <c r="L1224" s="11" t="n"/>
      <c r="M1224" s="11" t="n"/>
      <c r="N1224" s="11" t="n"/>
      <c r="O1224" s="11" t="n"/>
      <c r="P1224" s="12" t="n"/>
      <c r="Q1224" s="11" t="n"/>
      <c r="R1224" s="12" t="n"/>
      <c r="S1224" s="11" t="n"/>
      <c r="T1224" s="12" t="n"/>
      <c r="U1224" s="12" t="n"/>
      <c r="V1224" s="14">
        <f>IF($AN1224="",IF($B1224="","",$H1224),IF(INDEX(職員マスタ!$B$6:$B$405,$AN1224)="",$H1224,INDEX(職員マスタ!$B$6:$B$405,$AN1224)))</f>
        <v/>
      </c>
      <c r="W1224" s="14">
        <f>IF($AN1224="",IF($B1224="","",$R1224),IF(INDEX(職員マスタ!$C$6:$C$405,$AN1224)="",$R1224,INDEX(職員マスタ!$C$6:$C$405,$AN1224)))</f>
        <v/>
      </c>
      <c r="X1224" s="14">
        <f>IF($AO1224="","","R"&amp;$C1224&amp;"."&amp;$D1224)</f>
        <v/>
      </c>
      <c r="Y1224" s="15">
        <f>IF($AN1224="","",IF(INDEX(職員マスタ!$K$6:$K$405,$AN1224)="","",INDEX(職員マスタ!$K$6:$K$405,$AN1224)))</f>
        <v/>
      </c>
      <c r="Z1224" s="14">
        <f>IF(OR($E1224="",$Y1224=""),"",IF($E1224&gt;=$Y1224,"×",IF($E1224&gt;=$Y1224*設定!$C$5,"△","○")))</f>
        <v/>
      </c>
      <c r="AA1224" s="15">
        <f>IF($Z1224="","",IF($Z1224="×",0,IF($Z1224="○",ROUNDDOWN($E1224*設定!$C$4,0),ROUNDDOWN($E1224*ROUND((9*$Y1224-9*$E1224)/(10*$E1224),4),0))))</f>
        <v/>
      </c>
      <c r="AB1224" s="13" t="n"/>
      <c r="AC1224" s="15">
        <f>IF($B1224="","",IF($AB1224&lt;&gt;"",$AB1224,IF($AA1224="","",IF($AA1224&lt;=設定!$C$3,0,$AA1224))))</f>
        <v/>
      </c>
      <c r="AD1224" s="14">
        <f>IF($B1224="","",IF(AND($AE1224&lt;&gt;"",$AG1224="",$AJ1224=""),"保留中",IF($AJ1224&lt;&gt;"",IF(N($AC1224)&gt;0,"支給済","不支給"),IF($AC1224="","要確認",IF($AC1224=0,"不支給","未処理")))))</f>
        <v/>
      </c>
      <c r="AE1224" s="12" t="n"/>
      <c r="AF1224" s="11" t="n"/>
      <c r="AG1224" s="11" t="n"/>
      <c r="AH1224" s="11" t="n"/>
      <c r="AI1224" s="14">
        <f>IF(AND($AD1224="保留中",$AF1224&lt;&gt;""),TODAY()-$AF1224,"")</f>
        <v/>
      </c>
      <c r="AJ1224" s="12" t="n"/>
      <c r="AK1224" s="14">
        <f>IF($B1224="","",IF($AO1224="","対象年月が未入力／","")&amp;IF($B1224="","",IF($AN1224="","職員マスタに未登録の職員番号／",IF($Y1224="","標準報酬月額が未登録／","")&amp;IF(AND($AO1224&lt;&gt;"",OR(AND(INDEX(職員マスタ!$G$6:$G$405,$AN1224)&lt;&gt;"",INDEX(職員マスタ!$G$6:$G$405,$AN1224)&gt;EOMONTH($AO1224,0)),AND(INDEX(職員マスタ!$H$6:$H$405,$AN1224)&lt;&gt;"",INDEX(職員マスタ!$H$6:$H$405,$AN1224)&lt;$AO1224))),"対象月が時短期間外／","")&amp;IF(AND(INDEX(職員マスタ!$F$6:$F$405,$AN1224)&lt;&gt;"",$AO1224&lt;&gt;"",INDEX(職員マスタ!$F$6:$F$405,$AN1224)&lt;$AO1224),"対象月に子が2歳到達済／","")&amp;IF(AND($H1224&lt;&gt;"",INDEX(職員マスタ!$B$6:$B$405,$AN1224)&lt;&gt;"",SUBSTITUTE(SUBSTITUTE($H1224," ","")," ","")&lt;&gt;SUBSTITUTE(SUBSTITUTE(INDEX(職員マスタ!$B$6:$B$405,$AN1224)," ","")," ","")),"氏名がマスタと相違／","")&amp;IF(AND($Q1224&lt;&gt;"",INDEX(職員マスタ!$E$6:$E$405,$AN1224)&lt;&gt;"",$Q1224&lt;&gt;INDEX(職員マスタ!$E$6:$E$405,$AN1224)),"子の生年月日がマスタと相違／","")&amp;IF(AND($L1224&lt;&gt;"",INDEX(職員マスタ!$G$6:$G$405,$AN1224)&lt;&gt;"",$L1224&lt;&gt;INDEX(職員マスタ!$G$6:$G$405,$AN1224)),"時短開始日がマスタと相違／","")&amp;IF(AND($M1224&lt;&gt;"",INDEX(職員マスタ!$H$6:$H$405,$AN1224)&lt;&gt;"",$M1224&lt;&gt;INDEX(職員マスタ!$H$6:$H$405,$AN1224)),"時短終了日がマスタと相違／","")))&amp;IF(AND($B1224&lt;&gt;"",$E1224=""),"報酬額が未入力／","")&amp;IF(N($U1224)&gt;0,"申請書に入力エラーが残っています／","")&amp;IF(AND($B1224&lt;&gt;"",$AO1224&lt;&gt;""),IF(COUNTIFS($B$6:$B$3005,$B1224,$C$6:$C$3005,$C1224,$D$6:$D$3005,$D1224)&gt;1,"同じ月の請求が重複しています／",""),"")&amp;IF(AND(N($E1224)&gt;0,$Z1224&lt;&gt;"",$Z1224&lt;&gt;"×",$AC1224=0,$AB1224=""),"計算額が下限以下のため不支給／",""))</f>
        <v/>
      </c>
      <c r="AL1224" s="12" t="n"/>
      <c r="AM1224" s="14">
        <f>IF($AD1224="保留中",COUNTIF($AD$6:$AD1224,"保留中"),"")</f>
        <v/>
      </c>
      <c r="AN1224" s="14">
        <f>IF($AO1224="","",IF(SUMPRODUCT(MAX((職員マスタ!$A$6:$A$405=$B1224)*(((職員マスタ!$G$6:$G$405="")+(職員マスタ!$G$6:$G$405&lt;=EOMONTH($AO1224,0)))&gt;0)*(((職員マスタ!$H$6:$H$405="")+(職員マスタ!$H$6:$H$405&gt;=$AO1224))&gt;0)*(ROW(職員マスタ!$A$6:$A$405)-5)))&gt;0,SUMPRODUCT(MAX((職員マスタ!$A$6:$A$405=$B1224)*(((職員マスタ!$G$6:$G$405="")+(職員マスタ!$G$6:$G$405&lt;=EOMONTH($AO1224,0)))&gt;0)*(((職員マスタ!$H$6:$H$405="")+(職員マスタ!$H$6:$H$405&gt;=$AO1224))&gt;0)*(ROW(職員マスタ!$A$6:$A$405)-5))),IFERROR(MATCH($B1224,職員マスタ!$A$6:$A$405,0),"")))</f>
        <v/>
      </c>
      <c r="AO1224" s="16">
        <f>IF(OR($B1224="",$C1224="",$D1224=""),"",DATE($C1224+2018,$D1224,1))</f>
        <v/>
      </c>
    </row>
    <row r="1225">
      <c r="A1225" s="11" t="n"/>
      <c r="B1225" s="12" t="n"/>
      <c r="C1225" s="12" t="n"/>
      <c r="D1225" s="12" t="n"/>
      <c r="E1225" s="13" t="n"/>
      <c r="F1225" s="12" t="n"/>
      <c r="G1225" s="13" t="n"/>
      <c r="H1225" s="12" t="n"/>
      <c r="I1225" s="12" t="n"/>
      <c r="J1225" s="12" t="n"/>
      <c r="K1225" s="12" t="n"/>
      <c r="L1225" s="11" t="n"/>
      <c r="M1225" s="11" t="n"/>
      <c r="N1225" s="11" t="n"/>
      <c r="O1225" s="11" t="n"/>
      <c r="P1225" s="12" t="n"/>
      <c r="Q1225" s="11" t="n"/>
      <c r="R1225" s="12" t="n"/>
      <c r="S1225" s="11" t="n"/>
      <c r="T1225" s="12" t="n"/>
      <c r="U1225" s="12" t="n"/>
      <c r="V1225" s="14">
        <f>IF($AN1225="",IF($B1225="","",$H1225),IF(INDEX(職員マスタ!$B$6:$B$405,$AN1225)="",$H1225,INDEX(職員マスタ!$B$6:$B$405,$AN1225)))</f>
        <v/>
      </c>
      <c r="W1225" s="14">
        <f>IF($AN1225="",IF($B1225="","",$R1225),IF(INDEX(職員マスタ!$C$6:$C$405,$AN1225)="",$R1225,INDEX(職員マスタ!$C$6:$C$405,$AN1225)))</f>
        <v/>
      </c>
      <c r="X1225" s="14">
        <f>IF($AO1225="","","R"&amp;$C1225&amp;"."&amp;$D1225)</f>
        <v/>
      </c>
      <c r="Y1225" s="15">
        <f>IF($AN1225="","",IF(INDEX(職員マスタ!$K$6:$K$405,$AN1225)="","",INDEX(職員マスタ!$K$6:$K$405,$AN1225)))</f>
        <v/>
      </c>
      <c r="Z1225" s="14">
        <f>IF(OR($E1225="",$Y1225=""),"",IF($E1225&gt;=$Y1225,"×",IF($E1225&gt;=$Y1225*設定!$C$5,"△","○")))</f>
        <v/>
      </c>
      <c r="AA1225" s="15">
        <f>IF($Z1225="","",IF($Z1225="×",0,IF($Z1225="○",ROUNDDOWN($E1225*設定!$C$4,0),ROUNDDOWN($E1225*ROUND((9*$Y1225-9*$E1225)/(10*$E1225),4),0))))</f>
        <v/>
      </c>
      <c r="AB1225" s="13" t="n"/>
      <c r="AC1225" s="15">
        <f>IF($B1225="","",IF($AB1225&lt;&gt;"",$AB1225,IF($AA1225="","",IF($AA1225&lt;=設定!$C$3,0,$AA1225))))</f>
        <v/>
      </c>
      <c r="AD1225" s="14">
        <f>IF($B1225="","",IF(AND($AE1225&lt;&gt;"",$AG1225="",$AJ1225=""),"保留中",IF($AJ1225&lt;&gt;"",IF(N($AC1225)&gt;0,"支給済","不支給"),IF($AC1225="","要確認",IF($AC1225=0,"不支給","未処理")))))</f>
        <v/>
      </c>
      <c r="AE1225" s="12" t="n"/>
      <c r="AF1225" s="11" t="n"/>
      <c r="AG1225" s="11" t="n"/>
      <c r="AH1225" s="11" t="n"/>
      <c r="AI1225" s="14">
        <f>IF(AND($AD1225="保留中",$AF1225&lt;&gt;""),TODAY()-$AF1225,"")</f>
        <v/>
      </c>
      <c r="AJ1225" s="12" t="n"/>
      <c r="AK1225" s="14">
        <f>IF($B1225="","",IF($AO1225="","対象年月が未入力／","")&amp;IF($B1225="","",IF($AN1225="","職員マスタに未登録の職員番号／",IF($Y1225="","標準報酬月額が未登録／","")&amp;IF(AND($AO1225&lt;&gt;"",OR(AND(INDEX(職員マスタ!$G$6:$G$405,$AN1225)&lt;&gt;"",INDEX(職員マスタ!$G$6:$G$405,$AN1225)&gt;EOMONTH($AO1225,0)),AND(INDEX(職員マスタ!$H$6:$H$405,$AN1225)&lt;&gt;"",INDEX(職員マスタ!$H$6:$H$405,$AN1225)&lt;$AO1225))),"対象月が時短期間外／","")&amp;IF(AND(INDEX(職員マスタ!$F$6:$F$405,$AN1225)&lt;&gt;"",$AO1225&lt;&gt;"",INDEX(職員マスタ!$F$6:$F$405,$AN1225)&lt;$AO1225),"対象月に子が2歳到達済／","")&amp;IF(AND($H1225&lt;&gt;"",INDEX(職員マスタ!$B$6:$B$405,$AN1225)&lt;&gt;"",SUBSTITUTE(SUBSTITUTE($H1225," ","")," ","")&lt;&gt;SUBSTITUTE(SUBSTITUTE(INDEX(職員マスタ!$B$6:$B$405,$AN1225)," ","")," ","")),"氏名がマスタと相違／","")&amp;IF(AND($Q1225&lt;&gt;"",INDEX(職員マスタ!$E$6:$E$405,$AN1225)&lt;&gt;"",$Q1225&lt;&gt;INDEX(職員マスタ!$E$6:$E$405,$AN1225)),"子の生年月日がマスタと相違／","")&amp;IF(AND($L1225&lt;&gt;"",INDEX(職員マスタ!$G$6:$G$405,$AN1225)&lt;&gt;"",$L1225&lt;&gt;INDEX(職員マスタ!$G$6:$G$405,$AN1225)),"時短開始日がマスタと相違／","")&amp;IF(AND($M1225&lt;&gt;"",INDEX(職員マスタ!$H$6:$H$405,$AN1225)&lt;&gt;"",$M1225&lt;&gt;INDEX(職員マスタ!$H$6:$H$405,$AN1225)),"時短終了日がマスタと相違／","")))&amp;IF(AND($B1225&lt;&gt;"",$E1225=""),"報酬額が未入力／","")&amp;IF(N($U1225)&gt;0,"申請書に入力エラーが残っています／","")&amp;IF(AND($B1225&lt;&gt;"",$AO1225&lt;&gt;""),IF(COUNTIFS($B$6:$B$3005,$B1225,$C$6:$C$3005,$C1225,$D$6:$D$3005,$D1225)&gt;1,"同じ月の請求が重複しています／",""),"")&amp;IF(AND(N($E1225)&gt;0,$Z1225&lt;&gt;"",$Z1225&lt;&gt;"×",$AC1225=0,$AB1225=""),"計算額が下限以下のため不支給／",""))</f>
        <v/>
      </c>
      <c r="AL1225" s="12" t="n"/>
      <c r="AM1225" s="14">
        <f>IF($AD1225="保留中",COUNTIF($AD$6:$AD1225,"保留中"),"")</f>
        <v/>
      </c>
      <c r="AN1225" s="14">
        <f>IF($AO1225="","",IF(SUMPRODUCT(MAX((職員マスタ!$A$6:$A$405=$B1225)*(((職員マスタ!$G$6:$G$405="")+(職員マスタ!$G$6:$G$405&lt;=EOMONTH($AO1225,0)))&gt;0)*(((職員マスタ!$H$6:$H$405="")+(職員マスタ!$H$6:$H$405&gt;=$AO1225))&gt;0)*(ROW(職員マスタ!$A$6:$A$405)-5)))&gt;0,SUMPRODUCT(MAX((職員マスタ!$A$6:$A$405=$B1225)*(((職員マスタ!$G$6:$G$405="")+(職員マスタ!$G$6:$G$405&lt;=EOMONTH($AO1225,0)))&gt;0)*(((職員マスタ!$H$6:$H$405="")+(職員マスタ!$H$6:$H$405&gt;=$AO1225))&gt;0)*(ROW(職員マスタ!$A$6:$A$405)-5))),IFERROR(MATCH($B1225,職員マスタ!$A$6:$A$405,0),"")))</f>
        <v/>
      </c>
      <c r="AO1225" s="16">
        <f>IF(OR($B1225="",$C1225="",$D1225=""),"",DATE($C1225+2018,$D1225,1))</f>
        <v/>
      </c>
    </row>
    <row r="1226">
      <c r="A1226" s="11" t="n"/>
      <c r="B1226" s="12" t="n"/>
      <c r="C1226" s="12" t="n"/>
      <c r="D1226" s="12" t="n"/>
      <c r="E1226" s="13" t="n"/>
      <c r="F1226" s="12" t="n"/>
      <c r="G1226" s="13" t="n"/>
      <c r="H1226" s="12" t="n"/>
      <c r="I1226" s="12" t="n"/>
      <c r="J1226" s="12" t="n"/>
      <c r="K1226" s="12" t="n"/>
      <c r="L1226" s="11" t="n"/>
      <c r="M1226" s="11" t="n"/>
      <c r="N1226" s="11" t="n"/>
      <c r="O1226" s="11" t="n"/>
      <c r="P1226" s="12" t="n"/>
      <c r="Q1226" s="11" t="n"/>
      <c r="R1226" s="12" t="n"/>
      <c r="S1226" s="11" t="n"/>
      <c r="T1226" s="12" t="n"/>
      <c r="U1226" s="12" t="n"/>
      <c r="V1226" s="14">
        <f>IF($AN1226="",IF($B1226="","",$H1226),IF(INDEX(職員マスタ!$B$6:$B$405,$AN1226)="",$H1226,INDEX(職員マスタ!$B$6:$B$405,$AN1226)))</f>
        <v/>
      </c>
      <c r="W1226" s="14">
        <f>IF($AN1226="",IF($B1226="","",$R1226),IF(INDEX(職員マスタ!$C$6:$C$405,$AN1226)="",$R1226,INDEX(職員マスタ!$C$6:$C$405,$AN1226)))</f>
        <v/>
      </c>
      <c r="X1226" s="14">
        <f>IF($AO1226="","","R"&amp;$C1226&amp;"."&amp;$D1226)</f>
        <v/>
      </c>
      <c r="Y1226" s="15">
        <f>IF($AN1226="","",IF(INDEX(職員マスタ!$K$6:$K$405,$AN1226)="","",INDEX(職員マスタ!$K$6:$K$405,$AN1226)))</f>
        <v/>
      </c>
      <c r="Z1226" s="14">
        <f>IF(OR($E1226="",$Y1226=""),"",IF($E1226&gt;=$Y1226,"×",IF($E1226&gt;=$Y1226*設定!$C$5,"△","○")))</f>
        <v/>
      </c>
      <c r="AA1226" s="15">
        <f>IF($Z1226="","",IF($Z1226="×",0,IF($Z1226="○",ROUNDDOWN($E1226*設定!$C$4,0),ROUNDDOWN($E1226*ROUND((9*$Y1226-9*$E1226)/(10*$E1226),4),0))))</f>
        <v/>
      </c>
      <c r="AB1226" s="13" t="n"/>
      <c r="AC1226" s="15">
        <f>IF($B1226="","",IF($AB1226&lt;&gt;"",$AB1226,IF($AA1226="","",IF($AA1226&lt;=設定!$C$3,0,$AA1226))))</f>
        <v/>
      </c>
      <c r="AD1226" s="14">
        <f>IF($B1226="","",IF(AND($AE1226&lt;&gt;"",$AG1226="",$AJ1226=""),"保留中",IF($AJ1226&lt;&gt;"",IF(N($AC1226)&gt;0,"支給済","不支給"),IF($AC1226="","要確認",IF($AC1226=0,"不支給","未処理")))))</f>
        <v/>
      </c>
      <c r="AE1226" s="12" t="n"/>
      <c r="AF1226" s="11" t="n"/>
      <c r="AG1226" s="11" t="n"/>
      <c r="AH1226" s="11" t="n"/>
      <c r="AI1226" s="14">
        <f>IF(AND($AD1226="保留中",$AF1226&lt;&gt;""),TODAY()-$AF1226,"")</f>
        <v/>
      </c>
      <c r="AJ1226" s="12" t="n"/>
      <c r="AK1226" s="14">
        <f>IF($B1226="","",IF($AO1226="","対象年月が未入力／","")&amp;IF($B1226="","",IF($AN1226="","職員マスタに未登録の職員番号／",IF($Y1226="","標準報酬月額が未登録／","")&amp;IF(AND($AO1226&lt;&gt;"",OR(AND(INDEX(職員マスタ!$G$6:$G$405,$AN1226)&lt;&gt;"",INDEX(職員マスタ!$G$6:$G$405,$AN1226)&gt;EOMONTH($AO1226,0)),AND(INDEX(職員マスタ!$H$6:$H$405,$AN1226)&lt;&gt;"",INDEX(職員マスタ!$H$6:$H$405,$AN1226)&lt;$AO1226))),"対象月が時短期間外／","")&amp;IF(AND(INDEX(職員マスタ!$F$6:$F$405,$AN1226)&lt;&gt;"",$AO1226&lt;&gt;"",INDEX(職員マスタ!$F$6:$F$405,$AN1226)&lt;$AO1226),"対象月に子が2歳到達済／","")&amp;IF(AND($H1226&lt;&gt;"",INDEX(職員マスタ!$B$6:$B$405,$AN1226)&lt;&gt;"",SUBSTITUTE(SUBSTITUTE($H1226," ","")," ","")&lt;&gt;SUBSTITUTE(SUBSTITUTE(INDEX(職員マスタ!$B$6:$B$405,$AN1226)," ","")," ","")),"氏名がマスタと相違／","")&amp;IF(AND($Q1226&lt;&gt;"",INDEX(職員マスタ!$E$6:$E$405,$AN1226)&lt;&gt;"",$Q1226&lt;&gt;INDEX(職員マスタ!$E$6:$E$405,$AN1226)),"子の生年月日がマスタと相違／","")&amp;IF(AND($L1226&lt;&gt;"",INDEX(職員マスタ!$G$6:$G$405,$AN1226)&lt;&gt;"",$L1226&lt;&gt;INDEX(職員マスタ!$G$6:$G$405,$AN1226)),"時短開始日がマスタと相違／","")&amp;IF(AND($M1226&lt;&gt;"",INDEX(職員マスタ!$H$6:$H$405,$AN1226)&lt;&gt;"",$M1226&lt;&gt;INDEX(職員マスタ!$H$6:$H$405,$AN1226)),"時短終了日がマスタと相違／","")))&amp;IF(AND($B1226&lt;&gt;"",$E1226=""),"報酬額が未入力／","")&amp;IF(N($U1226)&gt;0,"申請書に入力エラーが残っています／","")&amp;IF(AND($B1226&lt;&gt;"",$AO1226&lt;&gt;""),IF(COUNTIFS($B$6:$B$3005,$B1226,$C$6:$C$3005,$C1226,$D$6:$D$3005,$D1226)&gt;1,"同じ月の請求が重複しています／",""),"")&amp;IF(AND(N($E1226)&gt;0,$Z1226&lt;&gt;"",$Z1226&lt;&gt;"×",$AC1226=0,$AB1226=""),"計算額が下限以下のため不支給／",""))</f>
        <v/>
      </c>
      <c r="AL1226" s="12" t="n"/>
      <c r="AM1226" s="14">
        <f>IF($AD1226="保留中",COUNTIF($AD$6:$AD1226,"保留中"),"")</f>
        <v/>
      </c>
      <c r="AN1226" s="14">
        <f>IF($AO1226="","",IF(SUMPRODUCT(MAX((職員マスタ!$A$6:$A$405=$B1226)*(((職員マスタ!$G$6:$G$405="")+(職員マスタ!$G$6:$G$405&lt;=EOMONTH($AO1226,0)))&gt;0)*(((職員マスタ!$H$6:$H$405="")+(職員マスタ!$H$6:$H$405&gt;=$AO1226))&gt;0)*(ROW(職員マスタ!$A$6:$A$405)-5)))&gt;0,SUMPRODUCT(MAX((職員マスタ!$A$6:$A$405=$B1226)*(((職員マスタ!$G$6:$G$405="")+(職員マスタ!$G$6:$G$405&lt;=EOMONTH($AO1226,0)))&gt;0)*(((職員マスタ!$H$6:$H$405="")+(職員マスタ!$H$6:$H$405&gt;=$AO1226))&gt;0)*(ROW(職員マスタ!$A$6:$A$405)-5))),IFERROR(MATCH($B1226,職員マスタ!$A$6:$A$405,0),"")))</f>
        <v/>
      </c>
      <c r="AO1226" s="16">
        <f>IF(OR($B1226="",$C1226="",$D1226=""),"",DATE($C1226+2018,$D1226,1))</f>
        <v/>
      </c>
    </row>
    <row r="1227">
      <c r="A1227" s="11" t="n"/>
      <c r="B1227" s="12" t="n"/>
      <c r="C1227" s="12" t="n"/>
      <c r="D1227" s="12" t="n"/>
      <c r="E1227" s="13" t="n"/>
      <c r="F1227" s="12" t="n"/>
      <c r="G1227" s="13" t="n"/>
      <c r="H1227" s="12" t="n"/>
      <c r="I1227" s="12" t="n"/>
      <c r="J1227" s="12" t="n"/>
      <c r="K1227" s="12" t="n"/>
      <c r="L1227" s="11" t="n"/>
      <c r="M1227" s="11" t="n"/>
      <c r="N1227" s="11" t="n"/>
      <c r="O1227" s="11" t="n"/>
      <c r="P1227" s="12" t="n"/>
      <c r="Q1227" s="11" t="n"/>
      <c r="R1227" s="12" t="n"/>
      <c r="S1227" s="11" t="n"/>
      <c r="T1227" s="12" t="n"/>
      <c r="U1227" s="12" t="n"/>
      <c r="V1227" s="14">
        <f>IF($AN1227="",IF($B1227="","",$H1227),IF(INDEX(職員マスタ!$B$6:$B$405,$AN1227)="",$H1227,INDEX(職員マスタ!$B$6:$B$405,$AN1227)))</f>
        <v/>
      </c>
      <c r="W1227" s="14">
        <f>IF($AN1227="",IF($B1227="","",$R1227),IF(INDEX(職員マスタ!$C$6:$C$405,$AN1227)="",$R1227,INDEX(職員マスタ!$C$6:$C$405,$AN1227)))</f>
        <v/>
      </c>
      <c r="X1227" s="14">
        <f>IF($AO1227="","","R"&amp;$C1227&amp;"."&amp;$D1227)</f>
        <v/>
      </c>
      <c r="Y1227" s="15">
        <f>IF($AN1227="","",IF(INDEX(職員マスタ!$K$6:$K$405,$AN1227)="","",INDEX(職員マスタ!$K$6:$K$405,$AN1227)))</f>
        <v/>
      </c>
      <c r="Z1227" s="14">
        <f>IF(OR($E1227="",$Y1227=""),"",IF($E1227&gt;=$Y1227,"×",IF($E1227&gt;=$Y1227*設定!$C$5,"△","○")))</f>
        <v/>
      </c>
      <c r="AA1227" s="15">
        <f>IF($Z1227="","",IF($Z1227="×",0,IF($Z1227="○",ROUNDDOWN($E1227*設定!$C$4,0),ROUNDDOWN($E1227*ROUND((9*$Y1227-9*$E1227)/(10*$E1227),4),0))))</f>
        <v/>
      </c>
      <c r="AB1227" s="13" t="n"/>
      <c r="AC1227" s="15">
        <f>IF($B1227="","",IF($AB1227&lt;&gt;"",$AB1227,IF($AA1227="","",IF($AA1227&lt;=設定!$C$3,0,$AA1227))))</f>
        <v/>
      </c>
      <c r="AD1227" s="14">
        <f>IF($B1227="","",IF(AND($AE1227&lt;&gt;"",$AG1227="",$AJ1227=""),"保留中",IF($AJ1227&lt;&gt;"",IF(N($AC1227)&gt;0,"支給済","不支給"),IF($AC1227="","要確認",IF($AC1227=0,"不支給","未処理")))))</f>
        <v/>
      </c>
      <c r="AE1227" s="12" t="n"/>
      <c r="AF1227" s="11" t="n"/>
      <c r="AG1227" s="11" t="n"/>
      <c r="AH1227" s="11" t="n"/>
      <c r="AI1227" s="14">
        <f>IF(AND($AD1227="保留中",$AF1227&lt;&gt;""),TODAY()-$AF1227,"")</f>
        <v/>
      </c>
      <c r="AJ1227" s="12" t="n"/>
      <c r="AK1227" s="14">
        <f>IF($B1227="","",IF($AO1227="","対象年月が未入力／","")&amp;IF($B1227="","",IF($AN1227="","職員マスタに未登録の職員番号／",IF($Y1227="","標準報酬月額が未登録／","")&amp;IF(AND($AO1227&lt;&gt;"",OR(AND(INDEX(職員マスタ!$G$6:$G$405,$AN1227)&lt;&gt;"",INDEX(職員マスタ!$G$6:$G$405,$AN1227)&gt;EOMONTH($AO1227,0)),AND(INDEX(職員マスタ!$H$6:$H$405,$AN1227)&lt;&gt;"",INDEX(職員マスタ!$H$6:$H$405,$AN1227)&lt;$AO1227))),"対象月が時短期間外／","")&amp;IF(AND(INDEX(職員マスタ!$F$6:$F$405,$AN1227)&lt;&gt;"",$AO1227&lt;&gt;"",INDEX(職員マスタ!$F$6:$F$405,$AN1227)&lt;$AO1227),"対象月に子が2歳到達済／","")&amp;IF(AND($H1227&lt;&gt;"",INDEX(職員マスタ!$B$6:$B$405,$AN1227)&lt;&gt;"",SUBSTITUTE(SUBSTITUTE($H1227," ","")," ","")&lt;&gt;SUBSTITUTE(SUBSTITUTE(INDEX(職員マスタ!$B$6:$B$405,$AN1227)," ","")," ","")),"氏名がマスタと相違／","")&amp;IF(AND($Q1227&lt;&gt;"",INDEX(職員マスタ!$E$6:$E$405,$AN1227)&lt;&gt;"",$Q1227&lt;&gt;INDEX(職員マスタ!$E$6:$E$405,$AN1227)),"子の生年月日がマスタと相違／","")&amp;IF(AND($L1227&lt;&gt;"",INDEX(職員マスタ!$G$6:$G$405,$AN1227)&lt;&gt;"",$L1227&lt;&gt;INDEX(職員マスタ!$G$6:$G$405,$AN1227)),"時短開始日がマスタと相違／","")&amp;IF(AND($M1227&lt;&gt;"",INDEX(職員マスタ!$H$6:$H$405,$AN1227)&lt;&gt;"",$M1227&lt;&gt;INDEX(職員マスタ!$H$6:$H$405,$AN1227)),"時短終了日がマスタと相違／","")))&amp;IF(AND($B1227&lt;&gt;"",$E1227=""),"報酬額が未入力／","")&amp;IF(N($U1227)&gt;0,"申請書に入力エラーが残っています／","")&amp;IF(AND($B1227&lt;&gt;"",$AO1227&lt;&gt;""),IF(COUNTIFS($B$6:$B$3005,$B1227,$C$6:$C$3005,$C1227,$D$6:$D$3005,$D1227)&gt;1,"同じ月の請求が重複しています／",""),"")&amp;IF(AND(N($E1227)&gt;0,$Z1227&lt;&gt;"",$Z1227&lt;&gt;"×",$AC1227=0,$AB1227=""),"計算額が下限以下のため不支給／",""))</f>
        <v/>
      </c>
      <c r="AL1227" s="12" t="n"/>
      <c r="AM1227" s="14">
        <f>IF($AD1227="保留中",COUNTIF($AD$6:$AD1227,"保留中"),"")</f>
        <v/>
      </c>
      <c r="AN1227" s="14">
        <f>IF($AO1227="","",IF(SUMPRODUCT(MAX((職員マスタ!$A$6:$A$405=$B1227)*(((職員マスタ!$G$6:$G$405="")+(職員マスタ!$G$6:$G$405&lt;=EOMONTH($AO1227,0)))&gt;0)*(((職員マスタ!$H$6:$H$405="")+(職員マスタ!$H$6:$H$405&gt;=$AO1227))&gt;0)*(ROW(職員マスタ!$A$6:$A$405)-5)))&gt;0,SUMPRODUCT(MAX((職員マスタ!$A$6:$A$405=$B1227)*(((職員マスタ!$G$6:$G$405="")+(職員マスタ!$G$6:$G$405&lt;=EOMONTH($AO1227,0)))&gt;0)*(((職員マスタ!$H$6:$H$405="")+(職員マスタ!$H$6:$H$405&gt;=$AO1227))&gt;0)*(ROW(職員マスタ!$A$6:$A$405)-5))),IFERROR(MATCH($B1227,職員マスタ!$A$6:$A$405,0),"")))</f>
        <v/>
      </c>
      <c r="AO1227" s="16">
        <f>IF(OR($B1227="",$C1227="",$D1227=""),"",DATE($C1227+2018,$D1227,1))</f>
        <v/>
      </c>
    </row>
    <row r="1228">
      <c r="A1228" s="11" t="n"/>
      <c r="B1228" s="12" t="n"/>
      <c r="C1228" s="12" t="n"/>
      <c r="D1228" s="12" t="n"/>
      <c r="E1228" s="13" t="n"/>
      <c r="F1228" s="12" t="n"/>
      <c r="G1228" s="13" t="n"/>
      <c r="H1228" s="12" t="n"/>
      <c r="I1228" s="12" t="n"/>
      <c r="J1228" s="12" t="n"/>
      <c r="K1228" s="12" t="n"/>
      <c r="L1228" s="11" t="n"/>
      <c r="M1228" s="11" t="n"/>
      <c r="N1228" s="11" t="n"/>
      <c r="O1228" s="11" t="n"/>
      <c r="P1228" s="12" t="n"/>
      <c r="Q1228" s="11" t="n"/>
      <c r="R1228" s="12" t="n"/>
      <c r="S1228" s="11" t="n"/>
      <c r="T1228" s="12" t="n"/>
      <c r="U1228" s="12" t="n"/>
      <c r="V1228" s="14">
        <f>IF($AN1228="",IF($B1228="","",$H1228),IF(INDEX(職員マスタ!$B$6:$B$405,$AN1228)="",$H1228,INDEX(職員マスタ!$B$6:$B$405,$AN1228)))</f>
        <v/>
      </c>
      <c r="W1228" s="14">
        <f>IF($AN1228="",IF($B1228="","",$R1228),IF(INDEX(職員マスタ!$C$6:$C$405,$AN1228)="",$R1228,INDEX(職員マスタ!$C$6:$C$405,$AN1228)))</f>
        <v/>
      </c>
      <c r="X1228" s="14">
        <f>IF($AO1228="","","R"&amp;$C1228&amp;"."&amp;$D1228)</f>
        <v/>
      </c>
      <c r="Y1228" s="15">
        <f>IF($AN1228="","",IF(INDEX(職員マスタ!$K$6:$K$405,$AN1228)="","",INDEX(職員マスタ!$K$6:$K$405,$AN1228)))</f>
        <v/>
      </c>
      <c r="Z1228" s="14">
        <f>IF(OR($E1228="",$Y1228=""),"",IF($E1228&gt;=$Y1228,"×",IF($E1228&gt;=$Y1228*設定!$C$5,"△","○")))</f>
        <v/>
      </c>
      <c r="AA1228" s="15">
        <f>IF($Z1228="","",IF($Z1228="×",0,IF($Z1228="○",ROUNDDOWN($E1228*設定!$C$4,0),ROUNDDOWN($E1228*ROUND((9*$Y1228-9*$E1228)/(10*$E1228),4),0))))</f>
        <v/>
      </c>
      <c r="AB1228" s="13" t="n"/>
      <c r="AC1228" s="15">
        <f>IF($B1228="","",IF($AB1228&lt;&gt;"",$AB1228,IF($AA1228="","",IF($AA1228&lt;=設定!$C$3,0,$AA1228))))</f>
        <v/>
      </c>
      <c r="AD1228" s="14">
        <f>IF($B1228="","",IF(AND($AE1228&lt;&gt;"",$AG1228="",$AJ1228=""),"保留中",IF($AJ1228&lt;&gt;"",IF(N($AC1228)&gt;0,"支給済","不支給"),IF($AC1228="","要確認",IF($AC1228=0,"不支給","未処理")))))</f>
        <v/>
      </c>
      <c r="AE1228" s="12" t="n"/>
      <c r="AF1228" s="11" t="n"/>
      <c r="AG1228" s="11" t="n"/>
      <c r="AH1228" s="11" t="n"/>
      <c r="AI1228" s="14">
        <f>IF(AND($AD1228="保留中",$AF1228&lt;&gt;""),TODAY()-$AF1228,"")</f>
        <v/>
      </c>
      <c r="AJ1228" s="12" t="n"/>
      <c r="AK1228" s="14">
        <f>IF($B1228="","",IF($AO1228="","対象年月が未入力／","")&amp;IF($B1228="","",IF($AN1228="","職員マスタに未登録の職員番号／",IF($Y1228="","標準報酬月額が未登録／","")&amp;IF(AND($AO1228&lt;&gt;"",OR(AND(INDEX(職員マスタ!$G$6:$G$405,$AN1228)&lt;&gt;"",INDEX(職員マスタ!$G$6:$G$405,$AN1228)&gt;EOMONTH($AO1228,0)),AND(INDEX(職員マスタ!$H$6:$H$405,$AN1228)&lt;&gt;"",INDEX(職員マスタ!$H$6:$H$405,$AN1228)&lt;$AO1228))),"対象月が時短期間外／","")&amp;IF(AND(INDEX(職員マスタ!$F$6:$F$405,$AN1228)&lt;&gt;"",$AO1228&lt;&gt;"",INDEX(職員マスタ!$F$6:$F$405,$AN1228)&lt;$AO1228),"対象月に子が2歳到達済／","")&amp;IF(AND($H1228&lt;&gt;"",INDEX(職員マスタ!$B$6:$B$405,$AN1228)&lt;&gt;"",SUBSTITUTE(SUBSTITUTE($H1228," ","")," ","")&lt;&gt;SUBSTITUTE(SUBSTITUTE(INDEX(職員マスタ!$B$6:$B$405,$AN1228)," ","")," ","")),"氏名がマスタと相違／","")&amp;IF(AND($Q1228&lt;&gt;"",INDEX(職員マスタ!$E$6:$E$405,$AN1228)&lt;&gt;"",$Q1228&lt;&gt;INDEX(職員マスタ!$E$6:$E$405,$AN1228)),"子の生年月日がマスタと相違／","")&amp;IF(AND($L1228&lt;&gt;"",INDEX(職員マスタ!$G$6:$G$405,$AN1228)&lt;&gt;"",$L1228&lt;&gt;INDEX(職員マスタ!$G$6:$G$405,$AN1228)),"時短開始日がマスタと相違／","")&amp;IF(AND($M1228&lt;&gt;"",INDEX(職員マスタ!$H$6:$H$405,$AN1228)&lt;&gt;"",$M1228&lt;&gt;INDEX(職員マスタ!$H$6:$H$405,$AN1228)),"時短終了日がマスタと相違／","")))&amp;IF(AND($B1228&lt;&gt;"",$E1228=""),"報酬額が未入力／","")&amp;IF(N($U1228)&gt;0,"申請書に入力エラーが残っています／","")&amp;IF(AND($B1228&lt;&gt;"",$AO1228&lt;&gt;""),IF(COUNTIFS($B$6:$B$3005,$B1228,$C$6:$C$3005,$C1228,$D$6:$D$3005,$D1228)&gt;1,"同じ月の請求が重複しています／",""),"")&amp;IF(AND(N($E1228)&gt;0,$Z1228&lt;&gt;"",$Z1228&lt;&gt;"×",$AC1228=0,$AB1228=""),"計算額が下限以下のため不支給／",""))</f>
        <v/>
      </c>
      <c r="AL1228" s="12" t="n"/>
      <c r="AM1228" s="14">
        <f>IF($AD1228="保留中",COUNTIF($AD$6:$AD1228,"保留中"),"")</f>
        <v/>
      </c>
      <c r="AN1228" s="14">
        <f>IF($AO1228="","",IF(SUMPRODUCT(MAX((職員マスタ!$A$6:$A$405=$B1228)*(((職員マスタ!$G$6:$G$405="")+(職員マスタ!$G$6:$G$405&lt;=EOMONTH($AO1228,0)))&gt;0)*(((職員マスタ!$H$6:$H$405="")+(職員マスタ!$H$6:$H$405&gt;=$AO1228))&gt;0)*(ROW(職員マスタ!$A$6:$A$405)-5)))&gt;0,SUMPRODUCT(MAX((職員マスタ!$A$6:$A$405=$B1228)*(((職員マスタ!$G$6:$G$405="")+(職員マスタ!$G$6:$G$405&lt;=EOMONTH($AO1228,0)))&gt;0)*(((職員マスタ!$H$6:$H$405="")+(職員マスタ!$H$6:$H$405&gt;=$AO1228))&gt;0)*(ROW(職員マスタ!$A$6:$A$405)-5))),IFERROR(MATCH($B1228,職員マスタ!$A$6:$A$405,0),"")))</f>
        <v/>
      </c>
      <c r="AO1228" s="16">
        <f>IF(OR($B1228="",$C1228="",$D1228=""),"",DATE($C1228+2018,$D1228,1))</f>
        <v/>
      </c>
    </row>
    <row r="1229">
      <c r="A1229" s="11" t="n"/>
      <c r="B1229" s="12" t="n"/>
      <c r="C1229" s="12" t="n"/>
      <c r="D1229" s="12" t="n"/>
      <c r="E1229" s="13" t="n"/>
      <c r="F1229" s="12" t="n"/>
      <c r="G1229" s="13" t="n"/>
      <c r="H1229" s="12" t="n"/>
      <c r="I1229" s="12" t="n"/>
      <c r="J1229" s="12" t="n"/>
      <c r="K1229" s="12" t="n"/>
      <c r="L1229" s="11" t="n"/>
      <c r="M1229" s="11" t="n"/>
      <c r="N1229" s="11" t="n"/>
      <c r="O1229" s="11" t="n"/>
      <c r="P1229" s="12" t="n"/>
      <c r="Q1229" s="11" t="n"/>
      <c r="R1229" s="12" t="n"/>
      <c r="S1229" s="11" t="n"/>
      <c r="T1229" s="12" t="n"/>
      <c r="U1229" s="12" t="n"/>
      <c r="V1229" s="14">
        <f>IF($AN1229="",IF($B1229="","",$H1229),IF(INDEX(職員マスタ!$B$6:$B$405,$AN1229)="",$H1229,INDEX(職員マスタ!$B$6:$B$405,$AN1229)))</f>
        <v/>
      </c>
      <c r="W1229" s="14">
        <f>IF($AN1229="",IF($B1229="","",$R1229),IF(INDEX(職員マスタ!$C$6:$C$405,$AN1229)="",$R1229,INDEX(職員マスタ!$C$6:$C$405,$AN1229)))</f>
        <v/>
      </c>
      <c r="X1229" s="14">
        <f>IF($AO1229="","","R"&amp;$C1229&amp;"."&amp;$D1229)</f>
        <v/>
      </c>
      <c r="Y1229" s="15">
        <f>IF($AN1229="","",IF(INDEX(職員マスタ!$K$6:$K$405,$AN1229)="","",INDEX(職員マスタ!$K$6:$K$405,$AN1229)))</f>
        <v/>
      </c>
      <c r="Z1229" s="14">
        <f>IF(OR($E1229="",$Y1229=""),"",IF($E1229&gt;=$Y1229,"×",IF($E1229&gt;=$Y1229*設定!$C$5,"△","○")))</f>
        <v/>
      </c>
      <c r="AA1229" s="15">
        <f>IF($Z1229="","",IF($Z1229="×",0,IF($Z1229="○",ROUNDDOWN($E1229*設定!$C$4,0),ROUNDDOWN($E1229*ROUND((9*$Y1229-9*$E1229)/(10*$E1229),4),0))))</f>
        <v/>
      </c>
      <c r="AB1229" s="13" t="n"/>
      <c r="AC1229" s="15">
        <f>IF($B1229="","",IF($AB1229&lt;&gt;"",$AB1229,IF($AA1229="","",IF($AA1229&lt;=設定!$C$3,0,$AA1229))))</f>
        <v/>
      </c>
      <c r="AD1229" s="14">
        <f>IF($B1229="","",IF(AND($AE1229&lt;&gt;"",$AG1229="",$AJ1229=""),"保留中",IF($AJ1229&lt;&gt;"",IF(N($AC1229)&gt;0,"支給済","不支給"),IF($AC1229="","要確認",IF($AC1229=0,"不支給","未処理")))))</f>
        <v/>
      </c>
      <c r="AE1229" s="12" t="n"/>
      <c r="AF1229" s="11" t="n"/>
      <c r="AG1229" s="11" t="n"/>
      <c r="AH1229" s="11" t="n"/>
      <c r="AI1229" s="14">
        <f>IF(AND($AD1229="保留中",$AF1229&lt;&gt;""),TODAY()-$AF1229,"")</f>
        <v/>
      </c>
      <c r="AJ1229" s="12" t="n"/>
      <c r="AK1229" s="14">
        <f>IF($B1229="","",IF($AO1229="","対象年月が未入力／","")&amp;IF($B1229="","",IF($AN1229="","職員マスタに未登録の職員番号／",IF($Y1229="","標準報酬月額が未登録／","")&amp;IF(AND($AO1229&lt;&gt;"",OR(AND(INDEX(職員マスタ!$G$6:$G$405,$AN1229)&lt;&gt;"",INDEX(職員マスタ!$G$6:$G$405,$AN1229)&gt;EOMONTH($AO1229,0)),AND(INDEX(職員マスタ!$H$6:$H$405,$AN1229)&lt;&gt;"",INDEX(職員マスタ!$H$6:$H$405,$AN1229)&lt;$AO1229))),"対象月が時短期間外／","")&amp;IF(AND(INDEX(職員マスタ!$F$6:$F$405,$AN1229)&lt;&gt;"",$AO1229&lt;&gt;"",INDEX(職員マスタ!$F$6:$F$405,$AN1229)&lt;$AO1229),"対象月に子が2歳到達済／","")&amp;IF(AND($H1229&lt;&gt;"",INDEX(職員マスタ!$B$6:$B$405,$AN1229)&lt;&gt;"",SUBSTITUTE(SUBSTITUTE($H1229," ","")," ","")&lt;&gt;SUBSTITUTE(SUBSTITUTE(INDEX(職員マスタ!$B$6:$B$405,$AN1229)," ","")," ","")),"氏名がマスタと相違／","")&amp;IF(AND($Q1229&lt;&gt;"",INDEX(職員マスタ!$E$6:$E$405,$AN1229)&lt;&gt;"",$Q1229&lt;&gt;INDEX(職員マスタ!$E$6:$E$405,$AN1229)),"子の生年月日がマスタと相違／","")&amp;IF(AND($L1229&lt;&gt;"",INDEX(職員マスタ!$G$6:$G$405,$AN1229)&lt;&gt;"",$L1229&lt;&gt;INDEX(職員マスタ!$G$6:$G$405,$AN1229)),"時短開始日がマスタと相違／","")&amp;IF(AND($M1229&lt;&gt;"",INDEX(職員マスタ!$H$6:$H$405,$AN1229)&lt;&gt;"",$M1229&lt;&gt;INDEX(職員マスタ!$H$6:$H$405,$AN1229)),"時短終了日がマスタと相違／","")))&amp;IF(AND($B1229&lt;&gt;"",$E1229=""),"報酬額が未入力／","")&amp;IF(N($U1229)&gt;0,"申請書に入力エラーが残っています／","")&amp;IF(AND($B1229&lt;&gt;"",$AO1229&lt;&gt;""),IF(COUNTIFS($B$6:$B$3005,$B1229,$C$6:$C$3005,$C1229,$D$6:$D$3005,$D1229)&gt;1,"同じ月の請求が重複しています／",""),"")&amp;IF(AND(N($E1229)&gt;0,$Z1229&lt;&gt;"",$Z1229&lt;&gt;"×",$AC1229=0,$AB1229=""),"計算額が下限以下のため不支給／",""))</f>
        <v/>
      </c>
      <c r="AL1229" s="12" t="n"/>
      <c r="AM1229" s="14">
        <f>IF($AD1229="保留中",COUNTIF($AD$6:$AD1229,"保留中"),"")</f>
        <v/>
      </c>
      <c r="AN1229" s="14">
        <f>IF($AO1229="","",IF(SUMPRODUCT(MAX((職員マスタ!$A$6:$A$405=$B1229)*(((職員マスタ!$G$6:$G$405="")+(職員マスタ!$G$6:$G$405&lt;=EOMONTH($AO1229,0)))&gt;0)*(((職員マスタ!$H$6:$H$405="")+(職員マスタ!$H$6:$H$405&gt;=$AO1229))&gt;0)*(ROW(職員マスタ!$A$6:$A$405)-5)))&gt;0,SUMPRODUCT(MAX((職員マスタ!$A$6:$A$405=$B1229)*(((職員マスタ!$G$6:$G$405="")+(職員マスタ!$G$6:$G$405&lt;=EOMONTH($AO1229,0)))&gt;0)*(((職員マスタ!$H$6:$H$405="")+(職員マスタ!$H$6:$H$405&gt;=$AO1229))&gt;0)*(ROW(職員マスタ!$A$6:$A$405)-5))),IFERROR(MATCH($B1229,職員マスタ!$A$6:$A$405,0),"")))</f>
        <v/>
      </c>
      <c r="AO1229" s="16">
        <f>IF(OR($B1229="",$C1229="",$D1229=""),"",DATE($C1229+2018,$D1229,1))</f>
        <v/>
      </c>
    </row>
    <row r="1230">
      <c r="A1230" s="11" t="n"/>
      <c r="B1230" s="12" t="n"/>
      <c r="C1230" s="12" t="n"/>
      <c r="D1230" s="12" t="n"/>
      <c r="E1230" s="13" t="n"/>
      <c r="F1230" s="12" t="n"/>
      <c r="G1230" s="13" t="n"/>
      <c r="H1230" s="12" t="n"/>
      <c r="I1230" s="12" t="n"/>
      <c r="J1230" s="12" t="n"/>
      <c r="K1230" s="12" t="n"/>
      <c r="L1230" s="11" t="n"/>
      <c r="M1230" s="11" t="n"/>
      <c r="N1230" s="11" t="n"/>
      <c r="O1230" s="11" t="n"/>
      <c r="P1230" s="12" t="n"/>
      <c r="Q1230" s="11" t="n"/>
      <c r="R1230" s="12" t="n"/>
      <c r="S1230" s="11" t="n"/>
      <c r="T1230" s="12" t="n"/>
      <c r="U1230" s="12" t="n"/>
      <c r="V1230" s="14">
        <f>IF($AN1230="",IF($B1230="","",$H1230),IF(INDEX(職員マスタ!$B$6:$B$405,$AN1230)="",$H1230,INDEX(職員マスタ!$B$6:$B$405,$AN1230)))</f>
        <v/>
      </c>
      <c r="W1230" s="14">
        <f>IF($AN1230="",IF($B1230="","",$R1230),IF(INDEX(職員マスタ!$C$6:$C$405,$AN1230)="",$R1230,INDEX(職員マスタ!$C$6:$C$405,$AN1230)))</f>
        <v/>
      </c>
      <c r="X1230" s="14">
        <f>IF($AO1230="","","R"&amp;$C1230&amp;"."&amp;$D1230)</f>
        <v/>
      </c>
      <c r="Y1230" s="15">
        <f>IF($AN1230="","",IF(INDEX(職員マスタ!$K$6:$K$405,$AN1230)="","",INDEX(職員マスタ!$K$6:$K$405,$AN1230)))</f>
        <v/>
      </c>
      <c r="Z1230" s="14">
        <f>IF(OR($E1230="",$Y1230=""),"",IF($E1230&gt;=$Y1230,"×",IF($E1230&gt;=$Y1230*設定!$C$5,"△","○")))</f>
        <v/>
      </c>
      <c r="AA1230" s="15">
        <f>IF($Z1230="","",IF($Z1230="×",0,IF($Z1230="○",ROUNDDOWN($E1230*設定!$C$4,0),ROUNDDOWN($E1230*ROUND((9*$Y1230-9*$E1230)/(10*$E1230),4),0))))</f>
        <v/>
      </c>
      <c r="AB1230" s="13" t="n"/>
      <c r="AC1230" s="15">
        <f>IF($B1230="","",IF($AB1230&lt;&gt;"",$AB1230,IF($AA1230="","",IF($AA1230&lt;=設定!$C$3,0,$AA1230))))</f>
        <v/>
      </c>
      <c r="AD1230" s="14">
        <f>IF($B1230="","",IF(AND($AE1230&lt;&gt;"",$AG1230="",$AJ1230=""),"保留中",IF($AJ1230&lt;&gt;"",IF(N($AC1230)&gt;0,"支給済","不支給"),IF($AC1230="","要確認",IF($AC1230=0,"不支給","未処理")))))</f>
        <v/>
      </c>
      <c r="AE1230" s="12" t="n"/>
      <c r="AF1230" s="11" t="n"/>
      <c r="AG1230" s="11" t="n"/>
      <c r="AH1230" s="11" t="n"/>
      <c r="AI1230" s="14">
        <f>IF(AND($AD1230="保留中",$AF1230&lt;&gt;""),TODAY()-$AF1230,"")</f>
        <v/>
      </c>
      <c r="AJ1230" s="12" t="n"/>
      <c r="AK1230" s="14">
        <f>IF($B1230="","",IF($AO1230="","対象年月が未入力／","")&amp;IF($B1230="","",IF($AN1230="","職員マスタに未登録の職員番号／",IF($Y1230="","標準報酬月額が未登録／","")&amp;IF(AND($AO1230&lt;&gt;"",OR(AND(INDEX(職員マスタ!$G$6:$G$405,$AN1230)&lt;&gt;"",INDEX(職員マスタ!$G$6:$G$405,$AN1230)&gt;EOMONTH($AO1230,0)),AND(INDEX(職員マスタ!$H$6:$H$405,$AN1230)&lt;&gt;"",INDEX(職員マスタ!$H$6:$H$405,$AN1230)&lt;$AO1230))),"対象月が時短期間外／","")&amp;IF(AND(INDEX(職員マスタ!$F$6:$F$405,$AN1230)&lt;&gt;"",$AO1230&lt;&gt;"",INDEX(職員マスタ!$F$6:$F$405,$AN1230)&lt;$AO1230),"対象月に子が2歳到達済／","")&amp;IF(AND($H1230&lt;&gt;"",INDEX(職員マスタ!$B$6:$B$405,$AN1230)&lt;&gt;"",SUBSTITUTE(SUBSTITUTE($H1230," ","")," ","")&lt;&gt;SUBSTITUTE(SUBSTITUTE(INDEX(職員マスタ!$B$6:$B$405,$AN1230)," ","")," ","")),"氏名がマスタと相違／","")&amp;IF(AND($Q1230&lt;&gt;"",INDEX(職員マスタ!$E$6:$E$405,$AN1230)&lt;&gt;"",$Q1230&lt;&gt;INDEX(職員マスタ!$E$6:$E$405,$AN1230)),"子の生年月日がマスタと相違／","")&amp;IF(AND($L1230&lt;&gt;"",INDEX(職員マスタ!$G$6:$G$405,$AN1230)&lt;&gt;"",$L1230&lt;&gt;INDEX(職員マスタ!$G$6:$G$405,$AN1230)),"時短開始日がマスタと相違／","")&amp;IF(AND($M1230&lt;&gt;"",INDEX(職員マスタ!$H$6:$H$405,$AN1230)&lt;&gt;"",$M1230&lt;&gt;INDEX(職員マスタ!$H$6:$H$405,$AN1230)),"時短終了日がマスタと相違／","")))&amp;IF(AND($B1230&lt;&gt;"",$E1230=""),"報酬額が未入力／","")&amp;IF(N($U1230)&gt;0,"申請書に入力エラーが残っています／","")&amp;IF(AND($B1230&lt;&gt;"",$AO1230&lt;&gt;""),IF(COUNTIFS($B$6:$B$3005,$B1230,$C$6:$C$3005,$C1230,$D$6:$D$3005,$D1230)&gt;1,"同じ月の請求が重複しています／",""),"")&amp;IF(AND(N($E1230)&gt;0,$Z1230&lt;&gt;"",$Z1230&lt;&gt;"×",$AC1230=0,$AB1230=""),"計算額が下限以下のため不支給／",""))</f>
        <v/>
      </c>
      <c r="AL1230" s="12" t="n"/>
      <c r="AM1230" s="14">
        <f>IF($AD1230="保留中",COUNTIF($AD$6:$AD1230,"保留中"),"")</f>
        <v/>
      </c>
      <c r="AN1230" s="14">
        <f>IF($AO1230="","",IF(SUMPRODUCT(MAX((職員マスタ!$A$6:$A$405=$B1230)*(((職員マスタ!$G$6:$G$405="")+(職員マスタ!$G$6:$G$405&lt;=EOMONTH($AO1230,0)))&gt;0)*(((職員マスタ!$H$6:$H$405="")+(職員マスタ!$H$6:$H$405&gt;=$AO1230))&gt;0)*(ROW(職員マスタ!$A$6:$A$405)-5)))&gt;0,SUMPRODUCT(MAX((職員マスタ!$A$6:$A$405=$B1230)*(((職員マスタ!$G$6:$G$405="")+(職員マスタ!$G$6:$G$405&lt;=EOMONTH($AO1230,0)))&gt;0)*(((職員マスタ!$H$6:$H$405="")+(職員マスタ!$H$6:$H$405&gt;=$AO1230))&gt;0)*(ROW(職員マスタ!$A$6:$A$405)-5))),IFERROR(MATCH($B1230,職員マスタ!$A$6:$A$405,0),"")))</f>
        <v/>
      </c>
      <c r="AO1230" s="16">
        <f>IF(OR($B1230="",$C1230="",$D1230=""),"",DATE($C1230+2018,$D1230,1))</f>
        <v/>
      </c>
    </row>
    <row r="1231">
      <c r="A1231" s="11" t="n"/>
      <c r="B1231" s="12" t="n"/>
      <c r="C1231" s="12" t="n"/>
      <c r="D1231" s="12" t="n"/>
      <c r="E1231" s="13" t="n"/>
      <c r="F1231" s="12" t="n"/>
      <c r="G1231" s="13" t="n"/>
      <c r="H1231" s="12" t="n"/>
      <c r="I1231" s="12" t="n"/>
      <c r="J1231" s="12" t="n"/>
      <c r="K1231" s="12" t="n"/>
      <c r="L1231" s="11" t="n"/>
      <c r="M1231" s="11" t="n"/>
      <c r="N1231" s="11" t="n"/>
      <c r="O1231" s="11" t="n"/>
      <c r="P1231" s="12" t="n"/>
      <c r="Q1231" s="11" t="n"/>
      <c r="R1231" s="12" t="n"/>
      <c r="S1231" s="11" t="n"/>
      <c r="T1231" s="12" t="n"/>
      <c r="U1231" s="12" t="n"/>
      <c r="V1231" s="14">
        <f>IF($AN1231="",IF($B1231="","",$H1231),IF(INDEX(職員マスタ!$B$6:$B$405,$AN1231)="",$H1231,INDEX(職員マスタ!$B$6:$B$405,$AN1231)))</f>
        <v/>
      </c>
      <c r="W1231" s="14">
        <f>IF($AN1231="",IF($B1231="","",$R1231),IF(INDEX(職員マスタ!$C$6:$C$405,$AN1231)="",$R1231,INDEX(職員マスタ!$C$6:$C$405,$AN1231)))</f>
        <v/>
      </c>
      <c r="X1231" s="14">
        <f>IF($AO1231="","","R"&amp;$C1231&amp;"."&amp;$D1231)</f>
        <v/>
      </c>
      <c r="Y1231" s="15">
        <f>IF($AN1231="","",IF(INDEX(職員マスタ!$K$6:$K$405,$AN1231)="","",INDEX(職員マスタ!$K$6:$K$405,$AN1231)))</f>
        <v/>
      </c>
      <c r="Z1231" s="14">
        <f>IF(OR($E1231="",$Y1231=""),"",IF($E1231&gt;=$Y1231,"×",IF($E1231&gt;=$Y1231*設定!$C$5,"△","○")))</f>
        <v/>
      </c>
      <c r="AA1231" s="15">
        <f>IF($Z1231="","",IF($Z1231="×",0,IF($Z1231="○",ROUNDDOWN($E1231*設定!$C$4,0),ROUNDDOWN($E1231*ROUND((9*$Y1231-9*$E1231)/(10*$E1231),4),0))))</f>
        <v/>
      </c>
      <c r="AB1231" s="13" t="n"/>
      <c r="AC1231" s="15">
        <f>IF($B1231="","",IF($AB1231&lt;&gt;"",$AB1231,IF($AA1231="","",IF($AA1231&lt;=設定!$C$3,0,$AA1231))))</f>
        <v/>
      </c>
      <c r="AD1231" s="14">
        <f>IF($B1231="","",IF(AND($AE1231&lt;&gt;"",$AG1231="",$AJ1231=""),"保留中",IF($AJ1231&lt;&gt;"",IF(N($AC1231)&gt;0,"支給済","不支給"),IF($AC1231="","要確認",IF($AC1231=0,"不支給","未処理")))))</f>
        <v/>
      </c>
      <c r="AE1231" s="12" t="n"/>
      <c r="AF1231" s="11" t="n"/>
      <c r="AG1231" s="11" t="n"/>
      <c r="AH1231" s="11" t="n"/>
      <c r="AI1231" s="14">
        <f>IF(AND($AD1231="保留中",$AF1231&lt;&gt;""),TODAY()-$AF1231,"")</f>
        <v/>
      </c>
      <c r="AJ1231" s="12" t="n"/>
      <c r="AK1231" s="14">
        <f>IF($B1231="","",IF($AO1231="","対象年月が未入力／","")&amp;IF($B1231="","",IF($AN1231="","職員マスタに未登録の職員番号／",IF($Y1231="","標準報酬月額が未登録／","")&amp;IF(AND($AO1231&lt;&gt;"",OR(AND(INDEX(職員マスタ!$G$6:$G$405,$AN1231)&lt;&gt;"",INDEX(職員マスタ!$G$6:$G$405,$AN1231)&gt;EOMONTH($AO1231,0)),AND(INDEX(職員マスタ!$H$6:$H$405,$AN1231)&lt;&gt;"",INDEX(職員マスタ!$H$6:$H$405,$AN1231)&lt;$AO1231))),"対象月が時短期間外／","")&amp;IF(AND(INDEX(職員マスタ!$F$6:$F$405,$AN1231)&lt;&gt;"",$AO1231&lt;&gt;"",INDEX(職員マスタ!$F$6:$F$405,$AN1231)&lt;$AO1231),"対象月に子が2歳到達済／","")&amp;IF(AND($H1231&lt;&gt;"",INDEX(職員マスタ!$B$6:$B$405,$AN1231)&lt;&gt;"",SUBSTITUTE(SUBSTITUTE($H1231," ","")," ","")&lt;&gt;SUBSTITUTE(SUBSTITUTE(INDEX(職員マスタ!$B$6:$B$405,$AN1231)," ","")," ","")),"氏名がマスタと相違／","")&amp;IF(AND($Q1231&lt;&gt;"",INDEX(職員マスタ!$E$6:$E$405,$AN1231)&lt;&gt;"",$Q1231&lt;&gt;INDEX(職員マスタ!$E$6:$E$405,$AN1231)),"子の生年月日がマスタと相違／","")&amp;IF(AND($L1231&lt;&gt;"",INDEX(職員マスタ!$G$6:$G$405,$AN1231)&lt;&gt;"",$L1231&lt;&gt;INDEX(職員マスタ!$G$6:$G$405,$AN1231)),"時短開始日がマスタと相違／","")&amp;IF(AND($M1231&lt;&gt;"",INDEX(職員マスタ!$H$6:$H$405,$AN1231)&lt;&gt;"",$M1231&lt;&gt;INDEX(職員マスタ!$H$6:$H$405,$AN1231)),"時短終了日がマスタと相違／","")))&amp;IF(AND($B1231&lt;&gt;"",$E1231=""),"報酬額が未入力／","")&amp;IF(N($U1231)&gt;0,"申請書に入力エラーが残っています／","")&amp;IF(AND($B1231&lt;&gt;"",$AO1231&lt;&gt;""),IF(COUNTIFS($B$6:$B$3005,$B1231,$C$6:$C$3005,$C1231,$D$6:$D$3005,$D1231)&gt;1,"同じ月の請求が重複しています／",""),"")&amp;IF(AND(N($E1231)&gt;0,$Z1231&lt;&gt;"",$Z1231&lt;&gt;"×",$AC1231=0,$AB1231=""),"計算額が下限以下のため不支給／",""))</f>
        <v/>
      </c>
      <c r="AL1231" s="12" t="n"/>
      <c r="AM1231" s="14">
        <f>IF($AD1231="保留中",COUNTIF($AD$6:$AD1231,"保留中"),"")</f>
        <v/>
      </c>
      <c r="AN1231" s="14">
        <f>IF($AO1231="","",IF(SUMPRODUCT(MAX((職員マスタ!$A$6:$A$405=$B1231)*(((職員マスタ!$G$6:$G$405="")+(職員マスタ!$G$6:$G$405&lt;=EOMONTH($AO1231,0)))&gt;0)*(((職員マスタ!$H$6:$H$405="")+(職員マスタ!$H$6:$H$405&gt;=$AO1231))&gt;0)*(ROW(職員マスタ!$A$6:$A$405)-5)))&gt;0,SUMPRODUCT(MAX((職員マスタ!$A$6:$A$405=$B1231)*(((職員マスタ!$G$6:$G$405="")+(職員マスタ!$G$6:$G$405&lt;=EOMONTH($AO1231,0)))&gt;0)*(((職員マスタ!$H$6:$H$405="")+(職員マスタ!$H$6:$H$405&gt;=$AO1231))&gt;0)*(ROW(職員マスタ!$A$6:$A$405)-5))),IFERROR(MATCH($B1231,職員マスタ!$A$6:$A$405,0),"")))</f>
        <v/>
      </c>
      <c r="AO1231" s="16">
        <f>IF(OR($B1231="",$C1231="",$D1231=""),"",DATE($C1231+2018,$D1231,1))</f>
        <v/>
      </c>
    </row>
    <row r="1232">
      <c r="A1232" s="11" t="n"/>
      <c r="B1232" s="12" t="n"/>
      <c r="C1232" s="12" t="n"/>
      <c r="D1232" s="12" t="n"/>
      <c r="E1232" s="13" t="n"/>
      <c r="F1232" s="12" t="n"/>
      <c r="G1232" s="13" t="n"/>
      <c r="H1232" s="12" t="n"/>
      <c r="I1232" s="12" t="n"/>
      <c r="J1232" s="12" t="n"/>
      <c r="K1232" s="12" t="n"/>
      <c r="L1232" s="11" t="n"/>
      <c r="M1232" s="11" t="n"/>
      <c r="N1232" s="11" t="n"/>
      <c r="O1232" s="11" t="n"/>
      <c r="P1232" s="12" t="n"/>
      <c r="Q1232" s="11" t="n"/>
      <c r="R1232" s="12" t="n"/>
      <c r="S1232" s="11" t="n"/>
      <c r="T1232" s="12" t="n"/>
      <c r="U1232" s="12" t="n"/>
      <c r="V1232" s="14">
        <f>IF($AN1232="",IF($B1232="","",$H1232),IF(INDEX(職員マスタ!$B$6:$B$405,$AN1232)="",$H1232,INDEX(職員マスタ!$B$6:$B$405,$AN1232)))</f>
        <v/>
      </c>
      <c r="W1232" s="14">
        <f>IF($AN1232="",IF($B1232="","",$R1232),IF(INDEX(職員マスタ!$C$6:$C$405,$AN1232)="",$R1232,INDEX(職員マスタ!$C$6:$C$405,$AN1232)))</f>
        <v/>
      </c>
      <c r="X1232" s="14">
        <f>IF($AO1232="","","R"&amp;$C1232&amp;"."&amp;$D1232)</f>
        <v/>
      </c>
      <c r="Y1232" s="15">
        <f>IF($AN1232="","",IF(INDEX(職員マスタ!$K$6:$K$405,$AN1232)="","",INDEX(職員マスタ!$K$6:$K$405,$AN1232)))</f>
        <v/>
      </c>
      <c r="Z1232" s="14">
        <f>IF(OR($E1232="",$Y1232=""),"",IF($E1232&gt;=$Y1232,"×",IF($E1232&gt;=$Y1232*設定!$C$5,"△","○")))</f>
        <v/>
      </c>
      <c r="AA1232" s="15">
        <f>IF($Z1232="","",IF($Z1232="×",0,IF($Z1232="○",ROUNDDOWN($E1232*設定!$C$4,0),ROUNDDOWN($E1232*ROUND((9*$Y1232-9*$E1232)/(10*$E1232),4),0))))</f>
        <v/>
      </c>
      <c r="AB1232" s="13" t="n"/>
      <c r="AC1232" s="15">
        <f>IF($B1232="","",IF($AB1232&lt;&gt;"",$AB1232,IF($AA1232="","",IF($AA1232&lt;=設定!$C$3,0,$AA1232))))</f>
        <v/>
      </c>
      <c r="AD1232" s="14">
        <f>IF($B1232="","",IF(AND($AE1232&lt;&gt;"",$AG1232="",$AJ1232=""),"保留中",IF($AJ1232&lt;&gt;"",IF(N($AC1232)&gt;0,"支給済","不支給"),IF($AC1232="","要確認",IF($AC1232=0,"不支給","未処理")))))</f>
        <v/>
      </c>
      <c r="AE1232" s="12" t="n"/>
      <c r="AF1232" s="11" t="n"/>
      <c r="AG1232" s="11" t="n"/>
      <c r="AH1232" s="11" t="n"/>
      <c r="AI1232" s="14">
        <f>IF(AND($AD1232="保留中",$AF1232&lt;&gt;""),TODAY()-$AF1232,"")</f>
        <v/>
      </c>
      <c r="AJ1232" s="12" t="n"/>
      <c r="AK1232" s="14">
        <f>IF($B1232="","",IF($AO1232="","対象年月が未入力／","")&amp;IF($B1232="","",IF($AN1232="","職員マスタに未登録の職員番号／",IF($Y1232="","標準報酬月額が未登録／","")&amp;IF(AND($AO1232&lt;&gt;"",OR(AND(INDEX(職員マスタ!$G$6:$G$405,$AN1232)&lt;&gt;"",INDEX(職員マスタ!$G$6:$G$405,$AN1232)&gt;EOMONTH($AO1232,0)),AND(INDEX(職員マスタ!$H$6:$H$405,$AN1232)&lt;&gt;"",INDEX(職員マスタ!$H$6:$H$405,$AN1232)&lt;$AO1232))),"対象月が時短期間外／","")&amp;IF(AND(INDEX(職員マスタ!$F$6:$F$405,$AN1232)&lt;&gt;"",$AO1232&lt;&gt;"",INDEX(職員マスタ!$F$6:$F$405,$AN1232)&lt;$AO1232),"対象月に子が2歳到達済／","")&amp;IF(AND($H1232&lt;&gt;"",INDEX(職員マスタ!$B$6:$B$405,$AN1232)&lt;&gt;"",SUBSTITUTE(SUBSTITUTE($H1232," ","")," ","")&lt;&gt;SUBSTITUTE(SUBSTITUTE(INDEX(職員マスタ!$B$6:$B$405,$AN1232)," ","")," ","")),"氏名がマスタと相違／","")&amp;IF(AND($Q1232&lt;&gt;"",INDEX(職員マスタ!$E$6:$E$405,$AN1232)&lt;&gt;"",$Q1232&lt;&gt;INDEX(職員マスタ!$E$6:$E$405,$AN1232)),"子の生年月日がマスタと相違／","")&amp;IF(AND($L1232&lt;&gt;"",INDEX(職員マスタ!$G$6:$G$405,$AN1232)&lt;&gt;"",$L1232&lt;&gt;INDEX(職員マスタ!$G$6:$G$405,$AN1232)),"時短開始日がマスタと相違／","")&amp;IF(AND($M1232&lt;&gt;"",INDEX(職員マスタ!$H$6:$H$405,$AN1232)&lt;&gt;"",$M1232&lt;&gt;INDEX(職員マスタ!$H$6:$H$405,$AN1232)),"時短終了日がマスタと相違／","")))&amp;IF(AND($B1232&lt;&gt;"",$E1232=""),"報酬額が未入力／","")&amp;IF(N($U1232)&gt;0,"申請書に入力エラーが残っています／","")&amp;IF(AND($B1232&lt;&gt;"",$AO1232&lt;&gt;""),IF(COUNTIFS($B$6:$B$3005,$B1232,$C$6:$C$3005,$C1232,$D$6:$D$3005,$D1232)&gt;1,"同じ月の請求が重複しています／",""),"")&amp;IF(AND(N($E1232)&gt;0,$Z1232&lt;&gt;"",$Z1232&lt;&gt;"×",$AC1232=0,$AB1232=""),"計算額が下限以下のため不支給／",""))</f>
        <v/>
      </c>
      <c r="AL1232" s="12" t="n"/>
      <c r="AM1232" s="14">
        <f>IF($AD1232="保留中",COUNTIF($AD$6:$AD1232,"保留中"),"")</f>
        <v/>
      </c>
      <c r="AN1232" s="14">
        <f>IF($AO1232="","",IF(SUMPRODUCT(MAX((職員マスタ!$A$6:$A$405=$B1232)*(((職員マスタ!$G$6:$G$405="")+(職員マスタ!$G$6:$G$405&lt;=EOMONTH($AO1232,0)))&gt;0)*(((職員マスタ!$H$6:$H$405="")+(職員マスタ!$H$6:$H$405&gt;=$AO1232))&gt;0)*(ROW(職員マスタ!$A$6:$A$405)-5)))&gt;0,SUMPRODUCT(MAX((職員マスタ!$A$6:$A$405=$B1232)*(((職員マスタ!$G$6:$G$405="")+(職員マスタ!$G$6:$G$405&lt;=EOMONTH($AO1232,0)))&gt;0)*(((職員マスタ!$H$6:$H$405="")+(職員マスタ!$H$6:$H$405&gt;=$AO1232))&gt;0)*(ROW(職員マスタ!$A$6:$A$405)-5))),IFERROR(MATCH($B1232,職員マスタ!$A$6:$A$405,0),"")))</f>
        <v/>
      </c>
      <c r="AO1232" s="16">
        <f>IF(OR($B1232="",$C1232="",$D1232=""),"",DATE($C1232+2018,$D1232,1))</f>
        <v/>
      </c>
    </row>
    <row r="1233">
      <c r="A1233" s="11" t="n"/>
      <c r="B1233" s="12" t="n"/>
      <c r="C1233" s="12" t="n"/>
      <c r="D1233" s="12" t="n"/>
      <c r="E1233" s="13" t="n"/>
      <c r="F1233" s="12" t="n"/>
      <c r="G1233" s="13" t="n"/>
      <c r="H1233" s="12" t="n"/>
      <c r="I1233" s="12" t="n"/>
      <c r="J1233" s="12" t="n"/>
      <c r="K1233" s="12" t="n"/>
      <c r="L1233" s="11" t="n"/>
      <c r="M1233" s="11" t="n"/>
      <c r="N1233" s="11" t="n"/>
      <c r="O1233" s="11" t="n"/>
      <c r="P1233" s="12" t="n"/>
      <c r="Q1233" s="11" t="n"/>
      <c r="R1233" s="12" t="n"/>
      <c r="S1233" s="11" t="n"/>
      <c r="T1233" s="12" t="n"/>
      <c r="U1233" s="12" t="n"/>
      <c r="V1233" s="14">
        <f>IF($AN1233="",IF($B1233="","",$H1233),IF(INDEX(職員マスタ!$B$6:$B$405,$AN1233)="",$H1233,INDEX(職員マスタ!$B$6:$B$405,$AN1233)))</f>
        <v/>
      </c>
      <c r="W1233" s="14">
        <f>IF($AN1233="",IF($B1233="","",$R1233),IF(INDEX(職員マスタ!$C$6:$C$405,$AN1233)="",$R1233,INDEX(職員マスタ!$C$6:$C$405,$AN1233)))</f>
        <v/>
      </c>
      <c r="X1233" s="14">
        <f>IF($AO1233="","","R"&amp;$C1233&amp;"."&amp;$D1233)</f>
        <v/>
      </c>
      <c r="Y1233" s="15">
        <f>IF($AN1233="","",IF(INDEX(職員マスタ!$K$6:$K$405,$AN1233)="","",INDEX(職員マスタ!$K$6:$K$405,$AN1233)))</f>
        <v/>
      </c>
      <c r="Z1233" s="14">
        <f>IF(OR($E1233="",$Y1233=""),"",IF($E1233&gt;=$Y1233,"×",IF($E1233&gt;=$Y1233*設定!$C$5,"△","○")))</f>
        <v/>
      </c>
      <c r="AA1233" s="15">
        <f>IF($Z1233="","",IF($Z1233="×",0,IF($Z1233="○",ROUNDDOWN($E1233*設定!$C$4,0),ROUNDDOWN($E1233*ROUND((9*$Y1233-9*$E1233)/(10*$E1233),4),0))))</f>
        <v/>
      </c>
      <c r="AB1233" s="13" t="n"/>
      <c r="AC1233" s="15">
        <f>IF($B1233="","",IF($AB1233&lt;&gt;"",$AB1233,IF($AA1233="","",IF($AA1233&lt;=設定!$C$3,0,$AA1233))))</f>
        <v/>
      </c>
      <c r="AD1233" s="14">
        <f>IF($B1233="","",IF(AND($AE1233&lt;&gt;"",$AG1233="",$AJ1233=""),"保留中",IF($AJ1233&lt;&gt;"",IF(N($AC1233)&gt;0,"支給済","不支給"),IF($AC1233="","要確認",IF($AC1233=0,"不支給","未処理")))))</f>
        <v/>
      </c>
      <c r="AE1233" s="12" t="n"/>
      <c r="AF1233" s="11" t="n"/>
      <c r="AG1233" s="11" t="n"/>
      <c r="AH1233" s="11" t="n"/>
      <c r="AI1233" s="14">
        <f>IF(AND($AD1233="保留中",$AF1233&lt;&gt;""),TODAY()-$AF1233,"")</f>
        <v/>
      </c>
      <c r="AJ1233" s="12" t="n"/>
      <c r="AK1233" s="14">
        <f>IF($B1233="","",IF($AO1233="","対象年月が未入力／","")&amp;IF($B1233="","",IF($AN1233="","職員マスタに未登録の職員番号／",IF($Y1233="","標準報酬月額が未登録／","")&amp;IF(AND($AO1233&lt;&gt;"",OR(AND(INDEX(職員マスタ!$G$6:$G$405,$AN1233)&lt;&gt;"",INDEX(職員マスタ!$G$6:$G$405,$AN1233)&gt;EOMONTH($AO1233,0)),AND(INDEX(職員マスタ!$H$6:$H$405,$AN1233)&lt;&gt;"",INDEX(職員マスタ!$H$6:$H$405,$AN1233)&lt;$AO1233))),"対象月が時短期間外／","")&amp;IF(AND(INDEX(職員マスタ!$F$6:$F$405,$AN1233)&lt;&gt;"",$AO1233&lt;&gt;"",INDEX(職員マスタ!$F$6:$F$405,$AN1233)&lt;$AO1233),"対象月に子が2歳到達済／","")&amp;IF(AND($H1233&lt;&gt;"",INDEX(職員マスタ!$B$6:$B$405,$AN1233)&lt;&gt;"",SUBSTITUTE(SUBSTITUTE($H1233," ","")," ","")&lt;&gt;SUBSTITUTE(SUBSTITUTE(INDEX(職員マスタ!$B$6:$B$405,$AN1233)," ","")," ","")),"氏名がマスタと相違／","")&amp;IF(AND($Q1233&lt;&gt;"",INDEX(職員マスタ!$E$6:$E$405,$AN1233)&lt;&gt;"",$Q1233&lt;&gt;INDEX(職員マスタ!$E$6:$E$405,$AN1233)),"子の生年月日がマスタと相違／","")&amp;IF(AND($L1233&lt;&gt;"",INDEX(職員マスタ!$G$6:$G$405,$AN1233)&lt;&gt;"",$L1233&lt;&gt;INDEX(職員マスタ!$G$6:$G$405,$AN1233)),"時短開始日がマスタと相違／","")&amp;IF(AND($M1233&lt;&gt;"",INDEX(職員マスタ!$H$6:$H$405,$AN1233)&lt;&gt;"",$M1233&lt;&gt;INDEX(職員マスタ!$H$6:$H$405,$AN1233)),"時短終了日がマスタと相違／","")))&amp;IF(AND($B1233&lt;&gt;"",$E1233=""),"報酬額が未入力／","")&amp;IF(N($U1233)&gt;0,"申請書に入力エラーが残っています／","")&amp;IF(AND($B1233&lt;&gt;"",$AO1233&lt;&gt;""),IF(COUNTIFS($B$6:$B$3005,$B1233,$C$6:$C$3005,$C1233,$D$6:$D$3005,$D1233)&gt;1,"同じ月の請求が重複しています／",""),"")&amp;IF(AND(N($E1233)&gt;0,$Z1233&lt;&gt;"",$Z1233&lt;&gt;"×",$AC1233=0,$AB1233=""),"計算額が下限以下のため不支給／",""))</f>
        <v/>
      </c>
      <c r="AL1233" s="12" t="n"/>
      <c r="AM1233" s="14">
        <f>IF($AD1233="保留中",COUNTIF($AD$6:$AD1233,"保留中"),"")</f>
        <v/>
      </c>
      <c r="AN1233" s="14">
        <f>IF($AO1233="","",IF(SUMPRODUCT(MAX((職員マスタ!$A$6:$A$405=$B1233)*(((職員マスタ!$G$6:$G$405="")+(職員マスタ!$G$6:$G$405&lt;=EOMONTH($AO1233,0)))&gt;0)*(((職員マスタ!$H$6:$H$405="")+(職員マスタ!$H$6:$H$405&gt;=$AO1233))&gt;0)*(ROW(職員マスタ!$A$6:$A$405)-5)))&gt;0,SUMPRODUCT(MAX((職員マスタ!$A$6:$A$405=$B1233)*(((職員マスタ!$G$6:$G$405="")+(職員マスタ!$G$6:$G$405&lt;=EOMONTH($AO1233,0)))&gt;0)*(((職員マスタ!$H$6:$H$405="")+(職員マスタ!$H$6:$H$405&gt;=$AO1233))&gt;0)*(ROW(職員マスタ!$A$6:$A$405)-5))),IFERROR(MATCH($B1233,職員マスタ!$A$6:$A$405,0),"")))</f>
        <v/>
      </c>
      <c r="AO1233" s="16">
        <f>IF(OR($B1233="",$C1233="",$D1233=""),"",DATE($C1233+2018,$D1233,1))</f>
        <v/>
      </c>
    </row>
    <row r="1234">
      <c r="A1234" s="11" t="n"/>
      <c r="B1234" s="12" t="n"/>
      <c r="C1234" s="12" t="n"/>
      <c r="D1234" s="12" t="n"/>
      <c r="E1234" s="13" t="n"/>
      <c r="F1234" s="12" t="n"/>
      <c r="G1234" s="13" t="n"/>
      <c r="H1234" s="12" t="n"/>
      <c r="I1234" s="12" t="n"/>
      <c r="J1234" s="12" t="n"/>
      <c r="K1234" s="12" t="n"/>
      <c r="L1234" s="11" t="n"/>
      <c r="M1234" s="11" t="n"/>
      <c r="N1234" s="11" t="n"/>
      <c r="O1234" s="11" t="n"/>
      <c r="P1234" s="12" t="n"/>
      <c r="Q1234" s="11" t="n"/>
      <c r="R1234" s="12" t="n"/>
      <c r="S1234" s="11" t="n"/>
      <c r="T1234" s="12" t="n"/>
      <c r="U1234" s="12" t="n"/>
      <c r="V1234" s="14">
        <f>IF($AN1234="",IF($B1234="","",$H1234),IF(INDEX(職員マスタ!$B$6:$B$405,$AN1234)="",$H1234,INDEX(職員マスタ!$B$6:$B$405,$AN1234)))</f>
        <v/>
      </c>
      <c r="W1234" s="14">
        <f>IF($AN1234="",IF($B1234="","",$R1234),IF(INDEX(職員マスタ!$C$6:$C$405,$AN1234)="",$R1234,INDEX(職員マスタ!$C$6:$C$405,$AN1234)))</f>
        <v/>
      </c>
      <c r="X1234" s="14">
        <f>IF($AO1234="","","R"&amp;$C1234&amp;"."&amp;$D1234)</f>
        <v/>
      </c>
      <c r="Y1234" s="15">
        <f>IF($AN1234="","",IF(INDEX(職員マスタ!$K$6:$K$405,$AN1234)="","",INDEX(職員マスタ!$K$6:$K$405,$AN1234)))</f>
        <v/>
      </c>
      <c r="Z1234" s="14">
        <f>IF(OR($E1234="",$Y1234=""),"",IF($E1234&gt;=$Y1234,"×",IF($E1234&gt;=$Y1234*設定!$C$5,"△","○")))</f>
        <v/>
      </c>
      <c r="AA1234" s="15">
        <f>IF($Z1234="","",IF($Z1234="×",0,IF($Z1234="○",ROUNDDOWN($E1234*設定!$C$4,0),ROUNDDOWN($E1234*ROUND((9*$Y1234-9*$E1234)/(10*$E1234),4),0))))</f>
        <v/>
      </c>
      <c r="AB1234" s="13" t="n"/>
      <c r="AC1234" s="15">
        <f>IF($B1234="","",IF($AB1234&lt;&gt;"",$AB1234,IF($AA1234="","",IF($AA1234&lt;=設定!$C$3,0,$AA1234))))</f>
        <v/>
      </c>
      <c r="AD1234" s="14">
        <f>IF($B1234="","",IF(AND($AE1234&lt;&gt;"",$AG1234="",$AJ1234=""),"保留中",IF($AJ1234&lt;&gt;"",IF(N($AC1234)&gt;0,"支給済","不支給"),IF($AC1234="","要確認",IF($AC1234=0,"不支給","未処理")))))</f>
        <v/>
      </c>
      <c r="AE1234" s="12" t="n"/>
      <c r="AF1234" s="11" t="n"/>
      <c r="AG1234" s="11" t="n"/>
      <c r="AH1234" s="11" t="n"/>
      <c r="AI1234" s="14">
        <f>IF(AND($AD1234="保留中",$AF1234&lt;&gt;""),TODAY()-$AF1234,"")</f>
        <v/>
      </c>
      <c r="AJ1234" s="12" t="n"/>
      <c r="AK1234" s="14">
        <f>IF($B1234="","",IF($AO1234="","対象年月が未入力／","")&amp;IF($B1234="","",IF($AN1234="","職員マスタに未登録の職員番号／",IF($Y1234="","標準報酬月額が未登録／","")&amp;IF(AND($AO1234&lt;&gt;"",OR(AND(INDEX(職員マスタ!$G$6:$G$405,$AN1234)&lt;&gt;"",INDEX(職員マスタ!$G$6:$G$405,$AN1234)&gt;EOMONTH($AO1234,0)),AND(INDEX(職員マスタ!$H$6:$H$405,$AN1234)&lt;&gt;"",INDEX(職員マスタ!$H$6:$H$405,$AN1234)&lt;$AO1234))),"対象月が時短期間外／","")&amp;IF(AND(INDEX(職員マスタ!$F$6:$F$405,$AN1234)&lt;&gt;"",$AO1234&lt;&gt;"",INDEX(職員マスタ!$F$6:$F$405,$AN1234)&lt;$AO1234),"対象月に子が2歳到達済／","")&amp;IF(AND($H1234&lt;&gt;"",INDEX(職員マスタ!$B$6:$B$405,$AN1234)&lt;&gt;"",SUBSTITUTE(SUBSTITUTE($H1234," ","")," ","")&lt;&gt;SUBSTITUTE(SUBSTITUTE(INDEX(職員マスタ!$B$6:$B$405,$AN1234)," ","")," ","")),"氏名がマスタと相違／","")&amp;IF(AND($Q1234&lt;&gt;"",INDEX(職員マスタ!$E$6:$E$405,$AN1234)&lt;&gt;"",$Q1234&lt;&gt;INDEX(職員マスタ!$E$6:$E$405,$AN1234)),"子の生年月日がマスタと相違／","")&amp;IF(AND($L1234&lt;&gt;"",INDEX(職員マスタ!$G$6:$G$405,$AN1234)&lt;&gt;"",$L1234&lt;&gt;INDEX(職員マスタ!$G$6:$G$405,$AN1234)),"時短開始日がマスタと相違／","")&amp;IF(AND($M1234&lt;&gt;"",INDEX(職員マスタ!$H$6:$H$405,$AN1234)&lt;&gt;"",$M1234&lt;&gt;INDEX(職員マスタ!$H$6:$H$405,$AN1234)),"時短終了日がマスタと相違／","")))&amp;IF(AND($B1234&lt;&gt;"",$E1234=""),"報酬額が未入力／","")&amp;IF(N($U1234)&gt;0,"申請書に入力エラーが残っています／","")&amp;IF(AND($B1234&lt;&gt;"",$AO1234&lt;&gt;""),IF(COUNTIFS($B$6:$B$3005,$B1234,$C$6:$C$3005,$C1234,$D$6:$D$3005,$D1234)&gt;1,"同じ月の請求が重複しています／",""),"")&amp;IF(AND(N($E1234)&gt;0,$Z1234&lt;&gt;"",$Z1234&lt;&gt;"×",$AC1234=0,$AB1234=""),"計算額が下限以下のため不支給／",""))</f>
        <v/>
      </c>
      <c r="AL1234" s="12" t="n"/>
      <c r="AM1234" s="14">
        <f>IF($AD1234="保留中",COUNTIF($AD$6:$AD1234,"保留中"),"")</f>
        <v/>
      </c>
      <c r="AN1234" s="14">
        <f>IF($AO1234="","",IF(SUMPRODUCT(MAX((職員マスタ!$A$6:$A$405=$B1234)*(((職員マスタ!$G$6:$G$405="")+(職員マスタ!$G$6:$G$405&lt;=EOMONTH($AO1234,0)))&gt;0)*(((職員マスタ!$H$6:$H$405="")+(職員マスタ!$H$6:$H$405&gt;=$AO1234))&gt;0)*(ROW(職員マスタ!$A$6:$A$405)-5)))&gt;0,SUMPRODUCT(MAX((職員マスタ!$A$6:$A$405=$B1234)*(((職員マスタ!$G$6:$G$405="")+(職員マスタ!$G$6:$G$405&lt;=EOMONTH($AO1234,0)))&gt;0)*(((職員マスタ!$H$6:$H$405="")+(職員マスタ!$H$6:$H$405&gt;=$AO1234))&gt;0)*(ROW(職員マスタ!$A$6:$A$405)-5))),IFERROR(MATCH($B1234,職員マスタ!$A$6:$A$405,0),"")))</f>
        <v/>
      </c>
      <c r="AO1234" s="16">
        <f>IF(OR($B1234="",$C1234="",$D1234=""),"",DATE($C1234+2018,$D1234,1))</f>
        <v/>
      </c>
    </row>
    <row r="1235">
      <c r="A1235" s="11" t="n"/>
      <c r="B1235" s="12" t="n"/>
      <c r="C1235" s="12" t="n"/>
      <c r="D1235" s="12" t="n"/>
      <c r="E1235" s="13" t="n"/>
      <c r="F1235" s="12" t="n"/>
      <c r="G1235" s="13" t="n"/>
      <c r="H1235" s="12" t="n"/>
      <c r="I1235" s="12" t="n"/>
      <c r="J1235" s="12" t="n"/>
      <c r="K1235" s="12" t="n"/>
      <c r="L1235" s="11" t="n"/>
      <c r="M1235" s="11" t="n"/>
      <c r="N1235" s="11" t="n"/>
      <c r="O1235" s="11" t="n"/>
      <c r="P1235" s="12" t="n"/>
      <c r="Q1235" s="11" t="n"/>
      <c r="R1235" s="12" t="n"/>
      <c r="S1235" s="11" t="n"/>
      <c r="T1235" s="12" t="n"/>
      <c r="U1235" s="12" t="n"/>
      <c r="V1235" s="14">
        <f>IF($AN1235="",IF($B1235="","",$H1235),IF(INDEX(職員マスタ!$B$6:$B$405,$AN1235)="",$H1235,INDEX(職員マスタ!$B$6:$B$405,$AN1235)))</f>
        <v/>
      </c>
      <c r="W1235" s="14">
        <f>IF($AN1235="",IF($B1235="","",$R1235),IF(INDEX(職員マスタ!$C$6:$C$405,$AN1235)="",$R1235,INDEX(職員マスタ!$C$6:$C$405,$AN1235)))</f>
        <v/>
      </c>
      <c r="X1235" s="14">
        <f>IF($AO1235="","","R"&amp;$C1235&amp;"."&amp;$D1235)</f>
        <v/>
      </c>
      <c r="Y1235" s="15">
        <f>IF($AN1235="","",IF(INDEX(職員マスタ!$K$6:$K$405,$AN1235)="","",INDEX(職員マスタ!$K$6:$K$405,$AN1235)))</f>
        <v/>
      </c>
      <c r="Z1235" s="14">
        <f>IF(OR($E1235="",$Y1235=""),"",IF($E1235&gt;=$Y1235,"×",IF($E1235&gt;=$Y1235*設定!$C$5,"△","○")))</f>
        <v/>
      </c>
      <c r="AA1235" s="15">
        <f>IF($Z1235="","",IF($Z1235="×",0,IF($Z1235="○",ROUNDDOWN($E1235*設定!$C$4,0),ROUNDDOWN($E1235*ROUND((9*$Y1235-9*$E1235)/(10*$E1235),4),0))))</f>
        <v/>
      </c>
      <c r="AB1235" s="13" t="n"/>
      <c r="AC1235" s="15">
        <f>IF($B1235="","",IF($AB1235&lt;&gt;"",$AB1235,IF($AA1235="","",IF($AA1235&lt;=設定!$C$3,0,$AA1235))))</f>
        <v/>
      </c>
      <c r="AD1235" s="14">
        <f>IF($B1235="","",IF(AND($AE1235&lt;&gt;"",$AG1235="",$AJ1235=""),"保留中",IF($AJ1235&lt;&gt;"",IF(N($AC1235)&gt;0,"支給済","不支給"),IF($AC1235="","要確認",IF($AC1235=0,"不支給","未処理")))))</f>
        <v/>
      </c>
      <c r="AE1235" s="12" t="n"/>
      <c r="AF1235" s="11" t="n"/>
      <c r="AG1235" s="11" t="n"/>
      <c r="AH1235" s="11" t="n"/>
      <c r="AI1235" s="14">
        <f>IF(AND($AD1235="保留中",$AF1235&lt;&gt;""),TODAY()-$AF1235,"")</f>
        <v/>
      </c>
      <c r="AJ1235" s="12" t="n"/>
      <c r="AK1235" s="14">
        <f>IF($B1235="","",IF($AO1235="","対象年月が未入力／","")&amp;IF($B1235="","",IF($AN1235="","職員マスタに未登録の職員番号／",IF($Y1235="","標準報酬月額が未登録／","")&amp;IF(AND($AO1235&lt;&gt;"",OR(AND(INDEX(職員マスタ!$G$6:$G$405,$AN1235)&lt;&gt;"",INDEX(職員マスタ!$G$6:$G$405,$AN1235)&gt;EOMONTH($AO1235,0)),AND(INDEX(職員マスタ!$H$6:$H$405,$AN1235)&lt;&gt;"",INDEX(職員マスタ!$H$6:$H$405,$AN1235)&lt;$AO1235))),"対象月が時短期間外／","")&amp;IF(AND(INDEX(職員マスタ!$F$6:$F$405,$AN1235)&lt;&gt;"",$AO1235&lt;&gt;"",INDEX(職員マスタ!$F$6:$F$405,$AN1235)&lt;$AO1235),"対象月に子が2歳到達済／","")&amp;IF(AND($H1235&lt;&gt;"",INDEX(職員マスタ!$B$6:$B$405,$AN1235)&lt;&gt;"",SUBSTITUTE(SUBSTITUTE($H1235," ","")," ","")&lt;&gt;SUBSTITUTE(SUBSTITUTE(INDEX(職員マスタ!$B$6:$B$405,$AN1235)," ","")," ","")),"氏名がマスタと相違／","")&amp;IF(AND($Q1235&lt;&gt;"",INDEX(職員マスタ!$E$6:$E$405,$AN1235)&lt;&gt;"",$Q1235&lt;&gt;INDEX(職員マスタ!$E$6:$E$405,$AN1235)),"子の生年月日がマスタと相違／","")&amp;IF(AND($L1235&lt;&gt;"",INDEX(職員マスタ!$G$6:$G$405,$AN1235)&lt;&gt;"",$L1235&lt;&gt;INDEX(職員マスタ!$G$6:$G$405,$AN1235)),"時短開始日がマスタと相違／","")&amp;IF(AND($M1235&lt;&gt;"",INDEX(職員マスタ!$H$6:$H$405,$AN1235)&lt;&gt;"",$M1235&lt;&gt;INDEX(職員マスタ!$H$6:$H$405,$AN1235)),"時短終了日がマスタと相違／","")))&amp;IF(AND($B1235&lt;&gt;"",$E1235=""),"報酬額が未入力／","")&amp;IF(N($U1235)&gt;0,"申請書に入力エラーが残っています／","")&amp;IF(AND($B1235&lt;&gt;"",$AO1235&lt;&gt;""),IF(COUNTIFS($B$6:$B$3005,$B1235,$C$6:$C$3005,$C1235,$D$6:$D$3005,$D1235)&gt;1,"同じ月の請求が重複しています／",""),"")&amp;IF(AND(N($E1235)&gt;0,$Z1235&lt;&gt;"",$Z1235&lt;&gt;"×",$AC1235=0,$AB1235=""),"計算額が下限以下のため不支給／",""))</f>
        <v/>
      </c>
      <c r="AL1235" s="12" t="n"/>
      <c r="AM1235" s="14">
        <f>IF($AD1235="保留中",COUNTIF($AD$6:$AD1235,"保留中"),"")</f>
        <v/>
      </c>
      <c r="AN1235" s="14">
        <f>IF($AO1235="","",IF(SUMPRODUCT(MAX((職員マスタ!$A$6:$A$405=$B1235)*(((職員マスタ!$G$6:$G$405="")+(職員マスタ!$G$6:$G$405&lt;=EOMONTH($AO1235,0)))&gt;0)*(((職員マスタ!$H$6:$H$405="")+(職員マスタ!$H$6:$H$405&gt;=$AO1235))&gt;0)*(ROW(職員マスタ!$A$6:$A$405)-5)))&gt;0,SUMPRODUCT(MAX((職員マスタ!$A$6:$A$405=$B1235)*(((職員マスタ!$G$6:$G$405="")+(職員マスタ!$G$6:$G$405&lt;=EOMONTH($AO1235,0)))&gt;0)*(((職員マスタ!$H$6:$H$405="")+(職員マスタ!$H$6:$H$405&gt;=$AO1235))&gt;0)*(ROW(職員マスタ!$A$6:$A$405)-5))),IFERROR(MATCH($B1235,職員マスタ!$A$6:$A$405,0),"")))</f>
        <v/>
      </c>
      <c r="AO1235" s="16">
        <f>IF(OR($B1235="",$C1235="",$D1235=""),"",DATE($C1235+2018,$D1235,1))</f>
        <v/>
      </c>
    </row>
    <row r="1236">
      <c r="A1236" s="11" t="n"/>
      <c r="B1236" s="12" t="n"/>
      <c r="C1236" s="12" t="n"/>
      <c r="D1236" s="12" t="n"/>
      <c r="E1236" s="13" t="n"/>
      <c r="F1236" s="12" t="n"/>
      <c r="G1236" s="13" t="n"/>
      <c r="H1236" s="12" t="n"/>
      <c r="I1236" s="12" t="n"/>
      <c r="J1236" s="12" t="n"/>
      <c r="K1236" s="12" t="n"/>
      <c r="L1236" s="11" t="n"/>
      <c r="M1236" s="11" t="n"/>
      <c r="N1236" s="11" t="n"/>
      <c r="O1236" s="11" t="n"/>
      <c r="P1236" s="12" t="n"/>
      <c r="Q1236" s="11" t="n"/>
      <c r="R1236" s="12" t="n"/>
      <c r="S1236" s="11" t="n"/>
      <c r="T1236" s="12" t="n"/>
      <c r="U1236" s="12" t="n"/>
      <c r="V1236" s="14">
        <f>IF($AN1236="",IF($B1236="","",$H1236),IF(INDEX(職員マスタ!$B$6:$B$405,$AN1236)="",$H1236,INDEX(職員マスタ!$B$6:$B$405,$AN1236)))</f>
        <v/>
      </c>
      <c r="W1236" s="14">
        <f>IF($AN1236="",IF($B1236="","",$R1236),IF(INDEX(職員マスタ!$C$6:$C$405,$AN1236)="",$R1236,INDEX(職員マスタ!$C$6:$C$405,$AN1236)))</f>
        <v/>
      </c>
      <c r="X1236" s="14">
        <f>IF($AO1236="","","R"&amp;$C1236&amp;"."&amp;$D1236)</f>
        <v/>
      </c>
      <c r="Y1236" s="15">
        <f>IF($AN1236="","",IF(INDEX(職員マスタ!$K$6:$K$405,$AN1236)="","",INDEX(職員マスタ!$K$6:$K$405,$AN1236)))</f>
        <v/>
      </c>
      <c r="Z1236" s="14">
        <f>IF(OR($E1236="",$Y1236=""),"",IF($E1236&gt;=$Y1236,"×",IF($E1236&gt;=$Y1236*設定!$C$5,"△","○")))</f>
        <v/>
      </c>
      <c r="AA1236" s="15">
        <f>IF($Z1236="","",IF($Z1236="×",0,IF($Z1236="○",ROUNDDOWN($E1236*設定!$C$4,0),ROUNDDOWN($E1236*ROUND((9*$Y1236-9*$E1236)/(10*$E1236),4),0))))</f>
        <v/>
      </c>
      <c r="AB1236" s="13" t="n"/>
      <c r="AC1236" s="15">
        <f>IF($B1236="","",IF($AB1236&lt;&gt;"",$AB1236,IF($AA1236="","",IF($AA1236&lt;=設定!$C$3,0,$AA1236))))</f>
        <v/>
      </c>
      <c r="AD1236" s="14">
        <f>IF($B1236="","",IF(AND($AE1236&lt;&gt;"",$AG1236="",$AJ1236=""),"保留中",IF($AJ1236&lt;&gt;"",IF(N($AC1236)&gt;0,"支給済","不支給"),IF($AC1236="","要確認",IF($AC1236=0,"不支給","未処理")))))</f>
        <v/>
      </c>
      <c r="AE1236" s="12" t="n"/>
      <c r="AF1236" s="11" t="n"/>
      <c r="AG1236" s="11" t="n"/>
      <c r="AH1236" s="11" t="n"/>
      <c r="AI1236" s="14">
        <f>IF(AND($AD1236="保留中",$AF1236&lt;&gt;""),TODAY()-$AF1236,"")</f>
        <v/>
      </c>
      <c r="AJ1236" s="12" t="n"/>
      <c r="AK1236" s="14">
        <f>IF($B1236="","",IF($AO1236="","対象年月が未入力／","")&amp;IF($B1236="","",IF($AN1236="","職員マスタに未登録の職員番号／",IF($Y1236="","標準報酬月額が未登録／","")&amp;IF(AND($AO1236&lt;&gt;"",OR(AND(INDEX(職員マスタ!$G$6:$G$405,$AN1236)&lt;&gt;"",INDEX(職員マスタ!$G$6:$G$405,$AN1236)&gt;EOMONTH($AO1236,0)),AND(INDEX(職員マスタ!$H$6:$H$405,$AN1236)&lt;&gt;"",INDEX(職員マスタ!$H$6:$H$405,$AN1236)&lt;$AO1236))),"対象月が時短期間外／","")&amp;IF(AND(INDEX(職員マスタ!$F$6:$F$405,$AN1236)&lt;&gt;"",$AO1236&lt;&gt;"",INDEX(職員マスタ!$F$6:$F$405,$AN1236)&lt;$AO1236),"対象月に子が2歳到達済／","")&amp;IF(AND($H1236&lt;&gt;"",INDEX(職員マスタ!$B$6:$B$405,$AN1236)&lt;&gt;"",SUBSTITUTE(SUBSTITUTE($H1236," ","")," ","")&lt;&gt;SUBSTITUTE(SUBSTITUTE(INDEX(職員マスタ!$B$6:$B$405,$AN1236)," ","")," ","")),"氏名がマスタと相違／","")&amp;IF(AND($Q1236&lt;&gt;"",INDEX(職員マスタ!$E$6:$E$405,$AN1236)&lt;&gt;"",$Q1236&lt;&gt;INDEX(職員マスタ!$E$6:$E$405,$AN1236)),"子の生年月日がマスタと相違／","")&amp;IF(AND($L1236&lt;&gt;"",INDEX(職員マスタ!$G$6:$G$405,$AN1236)&lt;&gt;"",$L1236&lt;&gt;INDEX(職員マスタ!$G$6:$G$405,$AN1236)),"時短開始日がマスタと相違／","")&amp;IF(AND($M1236&lt;&gt;"",INDEX(職員マスタ!$H$6:$H$405,$AN1236)&lt;&gt;"",$M1236&lt;&gt;INDEX(職員マスタ!$H$6:$H$405,$AN1236)),"時短終了日がマスタと相違／","")))&amp;IF(AND($B1236&lt;&gt;"",$E1236=""),"報酬額が未入力／","")&amp;IF(N($U1236)&gt;0,"申請書に入力エラーが残っています／","")&amp;IF(AND($B1236&lt;&gt;"",$AO1236&lt;&gt;""),IF(COUNTIFS($B$6:$B$3005,$B1236,$C$6:$C$3005,$C1236,$D$6:$D$3005,$D1236)&gt;1,"同じ月の請求が重複しています／",""),"")&amp;IF(AND(N($E1236)&gt;0,$Z1236&lt;&gt;"",$Z1236&lt;&gt;"×",$AC1236=0,$AB1236=""),"計算額が下限以下のため不支給／",""))</f>
        <v/>
      </c>
      <c r="AL1236" s="12" t="n"/>
      <c r="AM1236" s="14">
        <f>IF($AD1236="保留中",COUNTIF($AD$6:$AD1236,"保留中"),"")</f>
        <v/>
      </c>
      <c r="AN1236" s="14">
        <f>IF($AO1236="","",IF(SUMPRODUCT(MAX((職員マスタ!$A$6:$A$405=$B1236)*(((職員マスタ!$G$6:$G$405="")+(職員マスタ!$G$6:$G$405&lt;=EOMONTH($AO1236,0)))&gt;0)*(((職員マスタ!$H$6:$H$405="")+(職員マスタ!$H$6:$H$405&gt;=$AO1236))&gt;0)*(ROW(職員マスタ!$A$6:$A$405)-5)))&gt;0,SUMPRODUCT(MAX((職員マスタ!$A$6:$A$405=$B1236)*(((職員マスタ!$G$6:$G$405="")+(職員マスタ!$G$6:$G$405&lt;=EOMONTH($AO1236,0)))&gt;0)*(((職員マスタ!$H$6:$H$405="")+(職員マスタ!$H$6:$H$405&gt;=$AO1236))&gt;0)*(ROW(職員マスタ!$A$6:$A$405)-5))),IFERROR(MATCH($B1236,職員マスタ!$A$6:$A$405,0),"")))</f>
        <v/>
      </c>
      <c r="AO1236" s="16">
        <f>IF(OR($B1236="",$C1236="",$D1236=""),"",DATE($C1236+2018,$D1236,1))</f>
        <v/>
      </c>
    </row>
    <row r="1237">
      <c r="A1237" s="11" t="n"/>
      <c r="B1237" s="12" t="n"/>
      <c r="C1237" s="12" t="n"/>
      <c r="D1237" s="12" t="n"/>
      <c r="E1237" s="13" t="n"/>
      <c r="F1237" s="12" t="n"/>
      <c r="G1237" s="13" t="n"/>
      <c r="H1237" s="12" t="n"/>
      <c r="I1237" s="12" t="n"/>
      <c r="J1237" s="12" t="n"/>
      <c r="K1237" s="12" t="n"/>
      <c r="L1237" s="11" t="n"/>
      <c r="M1237" s="11" t="n"/>
      <c r="N1237" s="11" t="n"/>
      <c r="O1237" s="11" t="n"/>
      <c r="P1237" s="12" t="n"/>
      <c r="Q1237" s="11" t="n"/>
      <c r="R1237" s="12" t="n"/>
      <c r="S1237" s="11" t="n"/>
      <c r="T1237" s="12" t="n"/>
      <c r="U1237" s="12" t="n"/>
      <c r="V1237" s="14">
        <f>IF($AN1237="",IF($B1237="","",$H1237),IF(INDEX(職員マスタ!$B$6:$B$405,$AN1237)="",$H1237,INDEX(職員マスタ!$B$6:$B$405,$AN1237)))</f>
        <v/>
      </c>
      <c r="W1237" s="14">
        <f>IF($AN1237="",IF($B1237="","",$R1237),IF(INDEX(職員マスタ!$C$6:$C$405,$AN1237)="",$R1237,INDEX(職員マスタ!$C$6:$C$405,$AN1237)))</f>
        <v/>
      </c>
      <c r="X1237" s="14">
        <f>IF($AO1237="","","R"&amp;$C1237&amp;"."&amp;$D1237)</f>
        <v/>
      </c>
      <c r="Y1237" s="15">
        <f>IF($AN1237="","",IF(INDEX(職員マスタ!$K$6:$K$405,$AN1237)="","",INDEX(職員マスタ!$K$6:$K$405,$AN1237)))</f>
        <v/>
      </c>
      <c r="Z1237" s="14">
        <f>IF(OR($E1237="",$Y1237=""),"",IF($E1237&gt;=$Y1237,"×",IF($E1237&gt;=$Y1237*設定!$C$5,"△","○")))</f>
        <v/>
      </c>
      <c r="AA1237" s="15">
        <f>IF($Z1237="","",IF($Z1237="×",0,IF($Z1237="○",ROUNDDOWN($E1237*設定!$C$4,0),ROUNDDOWN($E1237*ROUND((9*$Y1237-9*$E1237)/(10*$E1237),4),0))))</f>
        <v/>
      </c>
      <c r="AB1237" s="13" t="n"/>
      <c r="AC1237" s="15">
        <f>IF($B1237="","",IF($AB1237&lt;&gt;"",$AB1237,IF($AA1237="","",IF($AA1237&lt;=設定!$C$3,0,$AA1237))))</f>
        <v/>
      </c>
      <c r="AD1237" s="14">
        <f>IF($B1237="","",IF(AND($AE1237&lt;&gt;"",$AG1237="",$AJ1237=""),"保留中",IF($AJ1237&lt;&gt;"",IF(N($AC1237)&gt;0,"支給済","不支給"),IF($AC1237="","要確認",IF($AC1237=0,"不支給","未処理")))))</f>
        <v/>
      </c>
      <c r="AE1237" s="12" t="n"/>
      <c r="AF1237" s="11" t="n"/>
      <c r="AG1237" s="11" t="n"/>
      <c r="AH1237" s="11" t="n"/>
      <c r="AI1237" s="14">
        <f>IF(AND($AD1237="保留中",$AF1237&lt;&gt;""),TODAY()-$AF1237,"")</f>
        <v/>
      </c>
      <c r="AJ1237" s="12" t="n"/>
      <c r="AK1237" s="14">
        <f>IF($B1237="","",IF($AO1237="","対象年月が未入力／","")&amp;IF($B1237="","",IF($AN1237="","職員マスタに未登録の職員番号／",IF($Y1237="","標準報酬月額が未登録／","")&amp;IF(AND($AO1237&lt;&gt;"",OR(AND(INDEX(職員マスタ!$G$6:$G$405,$AN1237)&lt;&gt;"",INDEX(職員マスタ!$G$6:$G$405,$AN1237)&gt;EOMONTH($AO1237,0)),AND(INDEX(職員マスタ!$H$6:$H$405,$AN1237)&lt;&gt;"",INDEX(職員マスタ!$H$6:$H$405,$AN1237)&lt;$AO1237))),"対象月が時短期間外／","")&amp;IF(AND(INDEX(職員マスタ!$F$6:$F$405,$AN1237)&lt;&gt;"",$AO1237&lt;&gt;"",INDEX(職員マスタ!$F$6:$F$405,$AN1237)&lt;$AO1237),"対象月に子が2歳到達済／","")&amp;IF(AND($H1237&lt;&gt;"",INDEX(職員マスタ!$B$6:$B$405,$AN1237)&lt;&gt;"",SUBSTITUTE(SUBSTITUTE($H1237," ","")," ","")&lt;&gt;SUBSTITUTE(SUBSTITUTE(INDEX(職員マスタ!$B$6:$B$405,$AN1237)," ","")," ","")),"氏名がマスタと相違／","")&amp;IF(AND($Q1237&lt;&gt;"",INDEX(職員マスタ!$E$6:$E$405,$AN1237)&lt;&gt;"",$Q1237&lt;&gt;INDEX(職員マスタ!$E$6:$E$405,$AN1237)),"子の生年月日がマスタと相違／","")&amp;IF(AND($L1237&lt;&gt;"",INDEX(職員マスタ!$G$6:$G$405,$AN1237)&lt;&gt;"",$L1237&lt;&gt;INDEX(職員マスタ!$G$6:$G$405,$AN1237)),"時短開始日がマスタと相違／","")&amp;IF(AND($M1237&lt;&gt;"",INDEX(職員マスタ!$H$6:$H$405,$AN1237)&lt;&gt;"",$M1237&lt;&gt;INDEX(職員マスタ!$H$6:$H$405,$AN1237)),"時短終了日がマスタと相違／","")))&amp;IF(AND($B1237&lt;&gt;"",$E1237=""),"報酬額が未入力／","")&amp;IF(N($U1237)&gt;0,"申請書に入力エラーが残っています／","")&amp;IF(AND($B1237&lt;&gt;"",$AO1237&lt;&gt;""),IF(COUNTIFS($B$6:$B$3005,$B1237,$C$6:$C$3005,$C1237,$D$6:$D$3005,$D1237)&gt;1,"同じ月の請求が重複しています／",""),"")&amp;IF(AND(N($E1237)&gt;0,$Z1237&lt;&gt;"",$Z1237&lt;&gt;"×",$AC1237=0,$AB1237=""),"計算額が下限以下のため不支給／",""))</f>
        <v/>
      </c>
      <c r="AL1237" s="12" t="n"/>
      <c r="AM1237" s="14">
        <f>IF($AD1237="保留中",COUNTIF($AD$6:$AD1237,"保留中"),"")</f>
        <v/>
      </c>
      <c r="AN1237" s="14">
        <f>IF($AO1237="","",IF(SUMPRODUCT(MAX((職員マスタ!$A$6:$A$405=$B1237)*(((職員マスタ!$G$6:$G$405="")+(職員マスタ!$G$6:$G$405&lt;=EOMONTH($AO1237,0)))&gt;0)*(((職員マスタ!$H$6:$H$405="")+(職員マスタ!$H$6:$H$405&gt;=$AO1237))&gt;0)*(ROW(職員マスタ!$A$6:$A$405)-5)))&gt;0,SUMPRODUCT(MAX((職員マスタ!$A$6:$A$405=$B1237)*(((職員マスタ!$G$6:$G$405="")+(職員マスタ!$G$6:$G$405&lt;=EOMONTH($AO1237,0)))&gt;0)*(((職員マスタ!$H$6:$H$405="")+(職員マスタ!$H$6:$H$405&gt;=$AO1237))&gt;0)*(ROW(職員マスタ!$A$6:$A$405)-5))),IFERROR(MATCH($B1237,職員マスタ!$A$6:$A$405,0),"")))</f>
        <v/>
      </c>
      <c r="AO1237" s="16">
        <f>IF(OR($B1237="",$C1237="",$D1237=""),"",DATE($C1237+2018,$D1237,1))</f>
        <v/>
      </c>
    </row>
    <row r="1238">
      <c r="A1238" s="11" t="n"/>
      <c r="B1238" s="12" t="n"/>
      <c r="C1238" s="12" t="n"/>
      <c r="D1238" s="12" t="n"/>
      <c r="E1238" s="13" t="n"/>
      <c r="F1238" s="12" t="n"/>
      <c r="G1238" s="13" t="n"/>
      <c r="H1238" s="12" t="n"/>
      <c r="I1238" s="12" t="n"/>
      <c r="J1238" s="12" t="n"/>
      <c r="K1238" s="12" t="n"/>
      <c r="L1238" s="11" t="n"/>
      <c r="M1238" s="11" t="n"/>
      <c r="N1238" s="11" t="n"/>
      <c r="O1238" s="11" t="n"/>
      <c r="P1238" s="12" t="n"/>
      <c r="Q1238" s="11" t="n"/>
      <c r="R1238" s="12" t="n"/>
      <c r="S1238" s="11" t="n"/>
      <c r="T1238" s="12" t="n"/>
      <c r="U1238" s="12" t="n"/>
      <c r="V1238" s="14">
        <f>IF($AN1238="",IF($B1238="","",$H1238),IF(INDEX(職員マスタ!$B$6:$B$405,$AN1238)="",$H1238,INDEX(職員マスタ!$B$6:$B$405,$AN1238)))</f>
        <v/>
      </c>
      <c r="W1238" s="14">
        <f>IF($AN1238="",IF($B1238="","",$R1238),IF(INDEX(職員マスタ!$C$6:$C$405,$AN1238)="",$R1238,INDEX(職員マスタ!$C$6:$C$405,$AN1238)))</f>
        <v/>
      </c>
      <c r="X1238" s="14">
        <f>IF($AO1238="","","R"&amp;$C1238&amp;"."&amp;$D1238)</f>
        <v/>
      </c>
      <c r="Y1238" s="15">
        <f>IF($AN1238="","",IF(INDEX(職員マスタ!$K$6:$K$405,$AN1238)="","",INDEX(職員マスタ!$K$6:$K$405,$AN1238)))</f>
        <v/>
      </c>
      <c r="Z1238" s="14">
        <f>IF(OR($E1238="",$Y1238=""),"",IF($E1238&gt;=$Y1238,"×",IF($E1238&gt;=$Y1238*設定!$C$5,"△","○")))</f>
        <v/>
      </c>
      <c r="AA1238" s="15">
        <f>IF($Z1238="","",IF($Z1238="×",0,IF($Z1238="○",ROUNDDOWN($E1238*設定!$C$4,0),ROUNDDOWN($E1238*ROUND((9*$Y1238-9*$E1238)/(10*$E1238),4),0))))</f>
        <v/>
      </c>
      <c r="AB1238" s="13" t="n"/>
      <c r="AC1238" s="15">
        <f>IF($B1238="","",IF($AB1238&lt;&gt;"",$AB1238,IF($AA1238="","",IF($AA1238&lt;=設定!$C$3,0,$AA1238))))</f>
        <v/>
      </c>
      <c r="AD1238" s="14">
        <f>IF($B1238="","",IF(AND($AE1238&lt;&gt;"",$AG1238="",$AJ1238=""),"保留中",IF($AJ1238&lt;&gt;"",IF(N($AC1238)&gt;0,"支給済","不支給"),IF($AC1238="","要確認",IF($AC1238=0,"不支給","未処理")))))</f>
        <v/>
      </c>
      <c r="AE1238" s="12" t="n"/>
      <c r="AF1238" s="11" t="n"/>
      <c r="AG1238" s="11" t="n"/>
      <c r="AH1238" s="11" t="n"/>
      <c r="AI1238" s="14">
        <f>IF(AND($AD1238="保留中",$AF1238&lt;&gt;""),TODAY()-$AF1238,"")</f>
        <v/>
      </c>
      <c r="AJ1238" s="12" t="n"/>
      <c r="AK1238" s="14">
        <f>IF($B1238="","",IF($AO1238="","対象年月が未入力／","")&amp;IF($B1238="","",IF($AN1238="","職員マスタに未登録の職員番号／",IF($Y1238="","標準報酬月額が未登録／","")&amp;IF(AND($AO1238&lt;&gt;"",OR(AND(INDEX(職員マスタ!$G$6:$G$405,$AN1238)&lt;&gt;"",INDEX(職員マスタ!$G$6:$G$405,$AN1238)&gt;EOMONTH($AO1238,0)),AND(INDEX(職員マスタ!$H$6:$H$405,$AN1238)&lt;&gt;"",INDEX(職員マスタ!$H$6:$H$405,$AN1238)&lt;$AO1238))),"対象月が時短期間外／","")&amp;IF(AND(INDEX(職員マスタ!$F$6:$F$405,$AN1238)&lt;&gt;"",$AO1238&lt;&gt;"",INDEX(職員マスタ!$F$6:$F$405,$AN1238)&lt;$AO1238),"対象月に子が2歳到達済／","")&amp;IF(AND($H1238&lt;&gt;"",INDEX(職員マスタ!$B$6:$B$405,$AN1238)&lt;&gt;"",SUBSTITUTE(SUBSTITUTE($H1238," ","")," ","")&lt;&gt;SUBSTITUTE(SUBSTITUTE(INDEX(職員マスタ!$B$6:$B$405,$AN1238)," ","")," ","")),"氏名がマスタと相違／","")&amp;IF(AND($Q1238&lt;&gt;"",INDEX(職員マスタ!$E$6:$E$405,$AN1238)&lt;&gt;"",$Q1238&lt;&gt;INDEX(職員マスタ!$E$6:$E$405,$AN1238)),"子の生年月日がマスタと相違／","")&amp;IF(AND($L1238&lt;&gt;"",INDEX(職員マスタ!$G$6:$G$405,$AN1238)&lt;&gt;"",$L1238&lt;&gt;INDEX(職員マスタ!$G$6:$G$405,$AN1238)),"時短開始日がマスタと相違／","")&amp;IF(AND($M1238&lt;&gt;"",INDEX(職員マスタ!$H$6:$H$405,$AN1238)&lt;&gt;"",$M1238&lt;&gt;INDEX(職員マスタ!$H$6:$H$405,$AN1238)),"時短終了日がマスタと相違／","")))&amp;IF(AND($B1238&lt;&gt;"",$E1238=""),"報酬額が未入力／","")&amp;IF(N($U1238)&gt;0,"申請書に入力エラーが残っています／","")&amp;IF(AND($B1238&lt;&gt;"",$AO1238&lt;&gt;""),IF(COUNTIFS($B$6:$B$3005,$B1238,$C$6:$C$3005,$C1238,$D$6:$D$3005,$D1238)&gt;1,"同じ月の請求が重複しています／",""),"")&amp;IF(AND(N($E1238)&gt;0,$Z1238&lt;&gt;"",$Z1238&lt;&gt;"×",$AC1238=0,$AB1238=""),"計算額が下限以下のため不支給／",""))</f>
        <v/>
      </c>
      <c r="AL1238" s="12" t="n"/>
      <c r="AM1238" s="14">
        <f>IF($AD1238="保留中",COUNTIF($AD$6:$AD1238,"保留中"),"")</f>
        <v/>
      </c>
      <c r="AN1238" s="14">
        <f>IF($AO1238="","",IF(SUMPRODUCT(MAX((職員マスタ!$A$6:$A$405=$B1238)*(((職員マスタ!$G$6:$G$405="")+(職員マスタ!$G$6:$G$405&lt;=EOMONTH($AO1238,0)))&gt;0)*(((職員マスタ!$H$6:$H$405="")+(職員マスタ!$H$6:$H$405&gt;=$AO1238))&gt;0)*(ROW(職員マスタ!$A$6:$A$405)-5)))&gt;0,SUMPRODUCT(MAX((職員マスタ!$A$6:$A$405=$B1238)*(((職員マスタ!$G$6:$G$405="")+(職員マスタ!$G$6:$G$405&lt;=EOMONTH($AO1238,0)))&gt;0)*(((職員マスタ!$H$6:$H$405="")+(職員マスタ!$H$6:$H$405&gt;=$AO1238))&gt;0)*(ROW(職員マスタ!$A$6:$A$405)-5))),IFERROR(MATCH($B1238,職員マスタ!$A$6:$A$405,0),"")))</f>
        <v/>
      </c>
      <c r="AO1238" s="16">
        <f>IF(OR($B1238="",$C1238="",$D1238=""),"",DATE($C1238+2018,$D1238,1))</f>
        <v/>
      </c>
    </row>
    <row r="1239">
      <c r="A1239" s="11" t="n"/>
      <c r="B1239" s="12" t="n"/>
      <c r="C1239" s="12" t="n"/>
      <c r="D1239" s="12" t="n"/>
      <c r="E1239" s="13" t="n"/>
      <c r="F1239" s="12" t="n"/>
      <c r="G1239" s="13" t="n"/>
      <c r="H1239" s="12" t="n"/>
      <c r="I1239" s="12" t="n"/>
      <c r="J1239" s="12" t="n"/>
      <c r="K1239" s="12" t="n"/>
      <c r="L1239" s="11" t="n"/>
      <c r="M1239" s="11" t="n"/>
      <c r="N1239" s="11" t="n"/>
      <c r="O1239" s="11" t="n"/>
      <c r="P1239" s="12" t="n"/>
      <c r="Q1239" s="11" t="n"/>
      <c r="R1239" s="12" t="n"/>
      <c r="S1239" s="11" t="n"/>
      <c r="T1239" s="12" t="n"/>
      <c r="U1239" s="12" t="n"/>
      <c r="V1239" s="14">
        <f>IF($AN1239="",IF($B1239="","",$H1239),IF(INDEX(職員マスタ!$B$6:$B$405,$AN1239)="",$H1239,INDEX(職員マスタ!$B$6:$B$405,$AN1239)))</f>
        <v/>
      </c>
      <c r="W1239" s="14">
        <f>IF($AN1239="",IF($B1239="","",$R1239),IF(INDEX(職員マスタ!$C$6:$C$405,$AN1239)="",$R1239,INDEX(職員マスタ!$C$6:$C$405,$AN1239)))</f>
        <v/>
      </c>
      <c r="X1239" s="14">
        <f>IF($AO1239="","","R"&amp;$C1239&amp;"."&amp;$D1239)</f>
        <v/>
      </c>
      <c r="Y1239" s="15">
        <f>IF($AN1239="","",IF(INDEX(職員マスタ!$K$6:$K$405,$AN1239)="","",INDEX(職員マスタ!$K$6:$K$405,$AN1239)))</f>
        <v/>
      </c>
      <c r="Z1239" s="14">
        <f>IF(OR($E1239="",$Y1239=""),"",IF($E1239&gt;=$Y1239,"×",IF($E1239&gt;=$Y1239*設定!$C$5,"△","○")))</f>
        <v/>
      </c>
      <c r="AA1239" s="15">
        <f>IF($Z1239="","",IF($Z1239="×",0,IF($Z1239="○",ROUNDDOWN($E1239*設定!$C$4,0),ROUNDDOWN($E1239*ROUND((9*$Y1239-9*$E1239)/(10*$E1239),4),0))))</f>
        <v/>
      </c>
      <c r="AB1239" s="13" t="n"/>
      <c r="AC1239" s="15">
        <f>IF($B1239="","",IF($AB1239&lt;&gt;"",$AB1239,IF($AA1239="","",IF($AA1239&lt;=設定!$C$3,0,$AA1239))))</f>
        <v/>
      </c>
      <c r="AD1239" s="14">
        <f>IF($B1239="","",IF(AND($AE1239&lt;&gt;"",$AG1239="",$AJ1239=""),"保留中",IF($AJ1239&lt;&gt;"",IF(N($AC1239)&gt;0,"支給済","不支給"),IF($AC1239="","要確認",IF($AC1239=0,"不支給","未処理")))))</f>
        <v/>
      </c>
      <c r="AE1239" s="12" t="n"/>
      <c r="AF1239" s="11" t="n"/>
      <c r="AG1239" s="11" t="n"/>
      <c r="AH1239" s="11" t="n"/>
      <c r="AI1239" s="14">
        <f>IF(AND($AD1239="保留中",$AF1239&lt;&gt;""),TODAY()-$AF1239,"")</f>
        <v/>
      </c>
      <c r="AJ1239" s="12" t="n"/>
      <c r="AK1239" s="14">
        <f>IF($B1239="","",IF($AO1239="","対象年月が未入力／","")&amp;IF($B1239="","",IF($AN1239="","職員マスタに未登録の職員番号／",IF($Y1239="","標準報酬月額が未登録／","")&amp;IF(AND($AO1239&lt;&gt;"",OR(AND(INDEX(職員マスタ!$G$6:$G$405,$AN1239)&lt;&gt;"",INDEX(職員マスタ!$G$6:$G$405,$AN1239)&gt;EOMONTH($AO1239,0)),AND(INDEX(職員マスタ!$H$6:$H$405,$AN1239)&lt;&gt;"",INDEX(職員マスタ!$H$6:$H$405,$AN1239)&lt;$AO1239))),"対象月が時短期間外／","")&amp;IF(AND(INDEX(職員マスタ!$F$6:$F$405,$AN1239)&lt;&gt;"",$AO1239&lt;&gt;"",INDEX(職員マスタ!$F$6:$F$405,$AN1239)&lt;$AO1239),"対象月に子が2歳到達済／","")&amp;IF(AND($H1239&lt;&gt;"",INDEX(職員マスタ!$B$6:$B$405,$AN1239)&lt;&gt;"",SUBSTITUTE(SUBSTITUTE($H1239," ","")," ","")&lt;&gt;SUBSTITUTE(SUBSTITUTE(INDEX(職員マスタ!$B$6:$B$405,$AN1239)," ","")," ","")),"氏名がマスタと相違／","")&amp;IF(AND($Q1239&lt;&gt;"",INDEX(職員マスタ!$E$6:$E$405,$AN1239)&lt;&gt;"",$Q1239&lt;&gt;INDEX(職員マスタ!$E$6:$E$405,$AN1239)),"子の生年月日がマスタと相違／","")&amp;IF(AND($L1239&lt;&gt;"",INDEX(職員マスタ!$G$6:$G$405,$AN1239)&lt;&gt;"",$L1239&lt;&gt;INDEX(職員マスタ!$G$6:$G$405,$AN1239)),"時短開始日がマスタと相違／","")&amp;IF(AND($M1239&lt;&gt;"",INDEX(職員マスタ!$H$6:$H$405,$AN1239)&lt;&gt;"",$M1239&lt;&gt;INDEX(職員マスタ!$H$6:$H$405,$AN1239)),"時短終了日がマスタと相違／","")))&amp;IF(AND($B1239&lt;&gt;"",$E1239=""),"報酬額が未入力／","")&amp;IF(N($U1239)&gt;0,"申請書に入力エラーが残っています／","")&amp;IF(AND($B1239&lt;&gt;"",$AO1239&lt;&gt;""),IF(COUNTIFS($B$6:$B$3005,$B1239,$C$6:$C$3005,$C1239,$D$6:$D$3005,$D1239)&gt;1,"同じ月の請求が重複しています／",""),"")&amp;IF(AND(N($E1239)&gt;0,$Z1239&lt;&gt;"",$Z1239&lt;&gt;"×",$AC1239=0,$AB1239=""),"計算額が下限以下のため不支給／",""))</f>
        <v/>
      </c>
      <c r="AL1239" s="12" t="n"/>
      <c r="AM1239" s="14">
        <f>IF($AD1239="保留中",COUNTIF($AD$6:$AD1239,"保留中"),"")</f>
        <v/>
      </c>
      <c r="AN1239" s="14">
        <f>IF($AO1239="","",IF(SUMPRODUCT(MAX((職員マスタ!$A$6:$A$405=$B1239)*(((職員マスタ!$G$6:$G$405="")+(職員マスタ!$G$6:$G$405&lt;=EOMONTH($AO1239,0)))&gt;0)*(((職員マスタ!$H$6:$H$405="")+(職員マスタ!$H$6:$H$405&gt;=$AO1239))&gt;0)*(ROW(職員マスタ!$A$6:$A$405)-5)))&gt;0,SUMPRODUCT(MAX((職員マスタ!$A$6:$A$405=$B1239)*(((職員マスタ!$G$6:$G$405="")+(職員マスタ!$G$6:$G$405&lt;=EOMONTH($AO1239,0)))&gt;0)*(((職員マスタ!$H$6:$H$405="")+(職員マスタ!$H$6:$H$405&gt;=$AO1239))&gt;0)*(ROW(職員マスタ!$A$6:$A$405)-5))),IFERROR(MATCH($B1239,職員マスタ!$A$6:$A$405,0),"")))</f>
        <v/>
      </c>
      <c r="AO1239" s="16">
        <f>IF(OR($B1239="",$C1239="",$D1239=""),"",DATE($C1239+2018,$D1239,1))</f>
        <v/>
      </c>
    </row>
    <row r="1240">
      <c r="A1240" s="11" t="n"/>
      <c r="B1240" s="12" t="n"/>
      <c r="C1240" s="12" t="n"/>
      <c r="D1240" s="12" t="n"/>
      <c r="E1240" s="13" t="n"/>
      <c r="F1240" s="12" t="n"/>
      <c r="G1240" s="13" t="n"/>
      <c r="H1240" s="12" t="n"/>
      <c r="I1240" s="12" t="n"/>
      <c r="J1240" s="12" t="n"/>
      <c r="K1240" s="12" t="n"/>
      <c r="L1240" s="11" t="n"/>
      <c r="M1240" s="11" t="n"/>
      <c r="N1240" s="11" t="n"/>
      <c r="O1240" s="11" t="n"/>
      <c r="P1240" s="12" t="n"/>
      <c r="Q1240" s="11" t="n"/>
      <c r="R1240" s="12" t="n"/>
      <c r="S1240" s="11" t="n"/>
      <c r="T1240" s="12" t="n"/>
      <c r="U1240" s="12" t="n"/>
      <c r="V1240" s="14">
        <f>IF($AN1240="",IF($B1240="","",$H1240),IF(INDEX(職員マスタ!$B$6:$B$405,$AN1240)="",$H1240,INDEX(職員マスタ!$B$6:$B$405,$AN1240)))</f>
        <v/>
      </c>
      <c r="W1240" s="14">
        <f>IF($AN1240="",IF($B1240="","",$R1240),IF(INDEX(職員マスタ!$C$6:$C$405,$AN1240)="",$R1240,INDEX(職員マスタ!$C$6:$C$405,$AN1240)))</f>
        <v/>
      </c>
      <c r="X1240" s="14">
        <f>IF($AO1240="","","R"&amp;$C1240&amp;"."&amp;$D1240)</f>
        <v/>
      </c>
      <c r="Y1240" s="15">
        <f>IF($AN1240="","",IF(INDEX(職員マスタ!$K$6:$K$405,$AN1240)="","",INDEX(職員マスタ!$K$6:$K$405,$AN1240)))</f>
        <v/>
      </c>
      <c r="Z1240" s="14">
        <f>IF(OR($E1240="",$Y1240=""),"",IF($E1240&gt;=$Y1240,"×",IF($E1240&gt;=$Y1240*設定!$C$5,"△","○")))</f>
        <v/>
      </c>
      <c r="AA1240" s="15">
        <f>IF($Z1240="","",IF($Z1240="×",0,IF($Z1240="○",ROUNDDOWN($E1240*設定!$C$4,0),ROUNDDOWN($E1240*ROUND((9*$Y1240-9*$E1240)/(10*$E1240),4),0))))</f>
        <v/>
      </c>
      <c r="AB1240" s="13" t="n"/>
      <c r="AC1240" s="15">
        <f>IF($B1240="","",IF($AB1240&lt;&gt;"",$AB1240,IF($AA1240="","",IF($AA1240&lt;=設定!$C$3,0,$AA1240))))</f>
        <v/>
      </c>
      <c r="AD1240" s="14">
        <f>IF($B1240="","",IF(AND($AE1240&lt;&gt;"",$AG1240="",$AJ1240=""),"保留中",IF($AJ1240&lt;&gt;"",IF(N($AC1240)&gt;0,"支給済","不支給"),IF($AC1240="","要確認",IF($AC1240=0,"不支給","未処理")))))</f>
        <v/>
      </c>
      <c r="AE1240" s="12" t="n"/>
      <c r="AF1240" s="11" t="n"/>
      <c r="AG1240" s="11" t="n"/>
      <c r="AH1240" s="11" t="n"/>
      <c r="AI1240" s="14">
        <f>IF(AND($AD1240="保留中",$AF1240&lt;&gt;""),TODAY()-$AF1240,"")</f>
        <v/>
      </c>
      <c r="AJ1240" s="12" t="n"/>
      <c r="AK1240" s="14">
        <f>IF($B1240="","",IF($AO1240="","対象年月が未入力／","")&amp;IF($B1240="","",IF($AN1240="","職員マスタに未登録の職員番号／",IF($Y1240="","標準報酬月額が未登録／","")&amp;IF(AND($AO1240&lt;&gt;"",OR(AND(INDEX(職員マスタ!$G$6:$G$405,$AN1240)&lt;&gt;"",INDEX(職員マスタ!$G$6:$G$405,$AN1240)&gt;EOMONTH($AO1240,0)),AND(INDEX(職員マスタ!$H$6:$H$405,$AN1240)&lt;&gt;"",INDEX(職員マスタ!$H$6:$H$405,$AN1240)&lt;$AO1240))),"対象月が時短期間外／","")&amp;IF(AND(INDEX(職員マスタ!$F$6:$F$405,$AN1240)&lt;&gt;"",$AO1240&lt;&gt;"",INDEX(職員マスタ!$F$6:$F$405,$AN1240)&lt;$AO1240),"対象月に子が2歳到達済／","")&amp;IF(AND($H1240&lt;&gt;"",INDEX(職員マスタ!$B$6:$B$405,$AN1240)&lt;&gt;"",SUBSTITUTE(SUBSTITUTE($H1240," ","")," ","")&lt;&gt;SUBSTITUTE(SUBSTITUTE(INDEX(職員マスタ!$B$6:$B$405,$AN1240)," ","")," ","")),"氏名がマスタと相違／","")&amp;IF(AND($Q1240&lt;&gt;"",INDEX(職員マスタ!$E$6:$E$405,$AN1240)&lt;&gt;"",$Q1240&lt;&gt;INDEX(職員マスタ!$E$6:$E$405,$AN1240)),"子の生年月日がマスタと相違／","")&amp;IF(AND($L1240&lt;&gt;"",INDEX(職員マスタ!$G$6:$G$405,$AN1240)&lt;&gt;"",$L1240&lt;&gt;INDEX(職員マスタ!$G$6:$G$405,$AN1240)),"時短開始日がマスタと相違／","")&amp;IF(AND($M1240&lt;&gt;"",INDEX(職員マスタ!$H$6:$H$405,$AN1240)&lt;&gt;"",$M1240&lt;&gt;INDEX(職員マスタ!$H$6:$H$405,$AN1240)),"時短終了日がマスタと相違／","")))&amp;IF(AND($B1240&lt;&gt;"",$E1240=""),"報酬額が未入力／","")&amp;IF(N($U1240)&gt;0,"申請書に入力エラーが残っています／","")&amp;IF(AND($B1240&lt;&gt;"",$AO1240&lt;&gt;""),IF(COUNTIFS($B$6:$B$3005,$B1240,$C$6:$C$3005,$C1240,$D$6:$D$3005,$D1240)&gt;1,"同じ月の請求が重複しています／",""),"")&amp;IF(AND(N($E1240)&gt;0,$Z1240&lt;&gt;"",$Z1240&lt;&gt;"×",$AC1240=0,$AB1240=""),"計算額が下限以下のため不支給／",""))</f>
        <v/>
      </c>
      <c r="AL1240" s="12" t="n"/>
      <c r="AM1240" s="14">
        <f>IF($AD1240="保留中",COUNTIF($AD$6:$AD1240,"保留中"),"")</f>
        <v/>
      </c>
      <c r="AN1240" s="14">
        <f>IF($AO1240="","",IF(SUMPRODUCT(MAX((職員マスタ!$A$6:$A$405=$B1240)*(((職員マスタ!$G$6:$G$405="")+(職員マスタ!$G$6:$G$405&lt;=EOMONTH($AO1240,0)))&gt;0)*(((職員マスタ!$H$6:$H$405="")+(職員マスタ!$H$6:$H$405&gt;=$AO1240))&gt;0)*(ROW(職員マスタ!$A$6:$A$405)-5)))&gt;0,SUMPRODUCT(MAX((職員マスタ!$A$6:$A$405=$B1240)*(((職員マスタ!$G$6:$G$405="")+(職員マスタ!$G$6:$G$405&lt;=EOMONTH($AO1240,0)))&gt;0)*(((職員マスタ!$H$6:$H$405="")+(職員マスタ!$H$6:$H$405&gt;=$AO1240))&gt;0)*(ROW(職員マスタ!$A$6:$A$405)-5))),IFERROR(MATCH($B1240,職員マスタ!$A$6:$A$405,0),"")))</f>
        <v/>
      </c>
      <c r="AO1240" s="16">
        <f>IF(OR($B1240="",$C1240="",$D1240=""),"",DATE($C1240+2018,$D1240,1))</f>
        <v/>
      </c>
    </row>
    <row r="1241">
      <c r="A1241" s="11" t="n"/>
      <c r="B1241" s="12" t="n"/>
      <c r="C1241" s="12" t="n"/>
      <c r="D1241" s="12" t="n"/>
      <c r="E1241" s="13" t="n"/>
      <c r="F1241" s="12" t="n"/>
      <c r="G1241" s="13" t="n"/>
      <c r="H1241" s="12" t="n"/>
      <c r="I1241" s="12" t="n"/>
      <c r="J1241" s="12" t="n"/>
      <c r="K1241" s="12" t="n"/>
      <c r="L1241" s="11" t="n"/>
      <c r="M1241" s="11" t="n"/>
      <c r="N1241" s="11" t="n"/>
      <c r="O1241" s="11" t="n"/>
      <c r="P1241" s="12" t="n"/>
      <c r="Q1241" s="11" t="n"/>
      <c r="R1241" s="12" t="n"/>
      <c r="S1241" s="11" t="n"/>
      <c r="T1241" s="12" t="n"/>
      <c r="U1241" s="12" t="n"/>
      <c r="V1241" s="14">
        <f>IF($AN1241="",IF($B1241="","",$H1241),IF(INDEX(職員マスタ!$B$6:$B$405,$AN1241)="",$H1241,INDEX(職員マスタ!$B$6:$B$405,$AN1241)))</f>
        <v/>
      </c>
      <c r="W1241" s="14">
        <f>IF($AN1241="",IF($B1241="","",$R1241),IF(INDEX(職員マスタ!$C$6:$C$405,$AN1241)="",$R1241,INDEX(職員マスタ!$C$6:$C$405,$AN1241)))</f>
        <v/>
      </c>
      <c r="X1241" s="14">
        <f>IF($AO1241="","","R"&amp;$C1241&amp;"."&amp;$D1241)</f>
        <v/>
      </c>
      <c r="Y1241" s="15">
        <f>IF($AN1241="","",IF(INDEX(職員マスタ!$K$6:$K$405,$AN1241)="","",INDEX(職員マスタ!$K$6:$K$405,$AN1241)))</f>
        <v/>
      </c>
      <c r="Z1241" s="14">
        <f>IF(OR($E1241="",$Y1241=""),"",IF($E1241&gt;=$Y1241,"×",IF($E1241&gt;=$Y1241*設定!$C$5,"△","○")))</f>
        <v/>
      </c>
      <c r="AA1241" s="15">
        <f>IF($Z1241="","",IF($Z1241="×",0,IF($Z1241="○",ROUNDDOWN($E1241*設定!$C$4,0),ROUNDDOWN($E1241*ROUND((9*$Y1241-9*$E1241)/(10*$E1241),4),0))))</f>
        <v/>
      </c>
      <c r="AB1241" s="13" t="n"/>
      <c r="AC1241" s="15">
        <f>IF($B1241="","",IF($AB1241&lt;&gt;"",$AB1241,IF($AA1241="","",IF($AA1241&lt;=設定!$C$3,0,$AA1241))))</f>
        <v/>
      </c>
      <c r="AD1241" s="14">
        <f>IF($B1241="","",IF(AND($AE1241&lt;&gt;"",$AG1241="",$AJ1241=""),"保留中",IF($AJ1241&lt;&gt;"",IF(N($AC1241)&gt;0,"支給済","不支給"),IF($AC1241="","要確認",IF($AC1241=0,"不支給","未処理")))))</f>
        <v/>
      </c>
      <c r="AE1241" s="12" t="n"/>
      <c r="AF1241" s="11" t="n"/>
      <c r="AG1241" s="11" t="n"/>
      <c r="AH1241" s="11" t="n"/>
      <c r="AI1241" s="14">
        <f>IF(AND($AD1241="保留中",$AF1241&lt;&gt;""),TODAY()-$AF1241,"")</f>
        <v/>
      </c>
      <c r="AJ1241" s="12" t="n"/>
      <c r="AK1241" s="14">
        <f>IF($B1241="","",IF($AO1241="","対象年月が未入力／","")&amp;IF($B1241="","",IF($AN1241="","職員マスタに未登録の職員番号／",IF($Y1241="","標準報酬月額が未登録／","")&amp;IF(AND($AO1241&lt;&gt;"",OR(AND(INDEX(職員マスタ!$G$6:$G$405,$AN1241)&lt;&gt;"",INDEX(職員マスタ!$G$6:$G$405,$AN1241)&gt;EOMONTH($AO1241,0)),AND(INDEX(職員マスタ!$H$6:$H$405,$AN1241)&lt;&gt;"",INDEX(職員マスタ!$H$6:$H$405,$AN1241)&lt;$AO1241))),"対象月が時短期間外／","")&amp;IF(AND(INDEX(職員マスタ!$F$6:$F$405,$AN1241)&lt;&gt;"",$AO1241&lt;&gt;"",INDEX(職員マスタ!$F$6:$F$405,$AN1241)&lt;$AO1241),"対象月に子が2歳到達済／","")&amp;IF(AND($H1241&lt;&gt;"",INDEX(職員マスタ!$B$6:$B$405,$AN1241)&lt;&gt;"",SUBSTITUTE(SUBSTITUTE($H1241," ","")," ","")&lt;&gt;SUBSTITUTE(SUBSTITUTE(INDEX(職員マスタ!$B$6:$B$405,$AN1241)," ","")," ","")),"氏名がマスタと相違／","")&amp;IF(AND($Q1241&lt;&gt;"",INDEX(職員マスタ!$E$6:$E$405,$AN1241)&lt;&gt;"",$Q1241&lt;&gt;INDEX(職員マスタ!$E$6:$E$405,$AN1241)),"子の生年月日がマスタと相違／","")&amp;IF(AND($L1241&lt;&gt;"",INDEX(職員マスタ!$G$6:$G$405,$AN1241)&lt;&gt;"",$L1241&lt;&gt;INDEX(職員マスタ!$G$6:$G$405,$AN1241)),"時短開始日がマスタと相違／","")&amp;IF(AND($M1241&lt;&gt;"",INDEX(職員マスタ!$H$6:$H$405,$AN1241)&lt;&gt;"",$M1241&lt;&gt;INDEX(職員マスタ!$H$6:$H$405,$AN1241)),"時短終了日がマスタと相違／","")))&amp;IF(AND($B1241&lt;&gt;"",$E1241=""),"報酬額が未入力／","")&amp;IF(N($U1241)&gt;0,"申請書に入力エラーが残っています／","")&amp;IF(AND($B1241&lt;&gt;"",$AO1241&lt;&gt;""),IF(COUNTIFS($B$6:$B$3005,$B1241,$C$6:$C$3005,$C1241,$D$6:$D$3005,$D1241)&gt;1,"同じ月の請求が重複しています／",""),"")&amp;IF(AND(N($E1241)&gt;0,$Z1241&lt;&gt;"",$Z1241&lt;&gt;"×",$AC1241=0,$AB1241=""),"計算額が下限以下のため不支給／",""))</f>
        <v/>
      </c>
      <c r="AL1241" s="12" t="n"/>
      <c r="AM1241" s="14">
        <f>IF($AD1241="保留中",COUNTIF($AD$6:$AD1241,"保留中"),"")</f>
        <v/>
      </c>
      <c r="AN1241" s="14">
        <f>IF($AO1241="","",IF(SUMPRODUCT(MAX((職員マスタ!$A$6:$A$405=$B1241)*(((職員マスタ!$G$6:$G$405="")+(職員マスタ!$G$6:$G$405&lt;=EOMONTH($AO1241,0)))&gt;0)*(((職員マスタ!$H$6:$H$405="")+(職員マスタ!$H$6:$H$405&gt;=$AO1241))&gt;0)*(ROW(職員マスタ!$A$6:$A$405)-5)))&gt;0,SUMPRODUCT(MAX((職員マスタ!$A$6:$A$405=$B1241)*(((職員マスタ!$G$6:$G$405="")+(職員マスタ!$G$6:$G$405&lt;=EOMONTH($AO1241,0)))&gt;0)*(((職員マスタ!$H$6:$H$405="")+(職員マスタ!$H$6:$H$405&gt;=$AO1241))&gt;0)*(ROW(職員マスタ!$A$6:$A$405)-5))),IFERROR(MATCH($B1241,職員マスタ!$A$6:$A$405,0),"")))</f>
        <v/>
      </c>
      <c r="AO1241" s="16">
        <f>IF(OR($B1241="",$C1241="",$D1241=""),"",DATE($C1241+2018,$D1241,1))</f>
        <v/>
      </c>
    </row>
    <row r="1242">
      <c r="A1242" s="11" t="n"/>
      <c r="B1242" s="12" t="n"/>
      <c r="C1242" s="12" t="n"/>
      <c r="D1242" s="12" t="n"/>
      <c r="E1242" s="13" t="n"/>
      <c r="F1242" s="12" t="n"/>
      <c r="G1242" s="13" t="n"/>
      <c r="H1242" s="12" t="n"/>
      <c r="I1242" s="12" t="n"/>
      <c r="J1242" s="12" t="n"/>
      <c r="K1242" s="12" t="n"/>
      <c r="L1242" s="11" t="n"/>
      <c r="M1242" s="11" t="n"/>
      <c r="N1242" s="11" t="n"/>
      <c r="O1242" s="11" t="n"/>
      <c r="P1242" s="12" t="n"/>
      <c r="Q1242" s="11" t="n"/>
      <c r="R1242" s="12" t="n"/>
      <c r="S1242" s="11" t="n"/>
      <c r="T1242" s="12" t="n"/>
      <c r="U1242" s="12" t="n"/>
      <c r="V1242" s="14">
        <f>IF($AN1242="",IF($B1242="","",$H1242),IF(INDEX(職員マスタ!$B$6:$B$405,$AN1242)="",$H1242,INDEX(職員マスタ!$B$6:$B$405,$AN1242)))</f>
        <v/>
      </c>
      <c r="W1242" s="14">
        <f>IF($AN1242="",IF($B1242="","",$R1242),IF(INDEX(職員マスタ!$C$6:$C$405,$AN1242)="",$R1242,INDEX(職員マスタ!$C$6:$C$405,$AN1242)))</f>
        <v/>
      </c>
      <c r="X1242" s="14">
        <f>IF($AO1242="","","R"&amp;$C1242&amp;"."&amp;$D1242)</f>
        <v/>
      </c>
      <c r="Y1242" s="15">
        <f>IF($AN1242="","",IF(INDEX(職員マスタ!$K$6:$K$405,$AN1242)="","",INDEX(職員マスタ!$K$6:$K$405,$AN1242)))</f>
        <v/>
      </c>
      <c r="Z1242" s="14">
        <f>IF(OR($E1242="",$Y1242=""),"",IF($E1242&gt;=$Y1242,"×",IF($E1242&gt;=$Y1242*設定!$C$5,"△","○")))</f>
        <v/>
      </c>
      <c r="AA1242" s="15">
        <f>IF($Z1242="","",IF($Z1242="×",0,IF($Z1242="○",ROUNDDOWN($E1242*設定!$C$4,0),ROUNDDOWN($E1242*ROUND((9*$Y1242-9*$E1242)/(10*$E1242),4),0))))</f>
        <v/>
      </c>
      <c r="AB1242" s="13" t="n"/>
      <c r="AC1242" s="15">
        <f>IF($B1242="","",IF($AB1242&lt;&gt;"",$AB1242,IF($AA1242="","",IF($AA1242&lt;=設定!$C$3,0,$AA1242))))</f>
        <v/>
      </c>
      <c r="AD1242" s="14">
        <f>IF($B1242="","",IF(AND($AE1242&lt;&gt;"",$AG1242="",$AJ1242=""),"保留中",IF($AJ1242&lt;&gt;"",IF(N($AC1242)&gt;0,"支給済","不支給"),IF($AC1242="","要確認",IF($AC1242=0,"不支給","未処理")))))</f>
        <v/>
      </c>
      <c r="AE1242" s="12" t="n"/>
      <c r="AF1242" s="11" t="n"/>
      <c r="AG1242" s="11" t="n"/>
      <c r="AH1242" s="11" t="n"/>
      <c r="AI1242" s="14">
        <f>IF(AND($AD1242="保留中",$AF1242&lt;&gt;""),TODAY()-$AF1242,"")</f>
        <v/>
      </c>
      <c r="AJ1242" s="12" t="n"/>
      <c r="AK1242" s="14">
        <f>IF($B1242="","",IF($AO1242="","対象年月が未入力／","")&amp;IF($B1242="","",IF($AN1242="","職員マスタに未登録の職員番号／",IF($Y1242="","標準報酬月額が未登録／","")&amp;IF(AND($AO1242&lt;&gt;"",OR(AND(INDEX(職員マスタ!$G$6:$G$405,$AN1242)&lt;&gt;"",INDEX(職員マスタ!$G$6:$G$405,$AN1242)&gt;EOMONTH($AO1242,0)),AND(INDEX(職員マスタ!$H$6:$H$405,$AN1242)&lt;&gt;"",INDEX(職員マスタ!$H$6:$H$405,$AN1242)&lt;$AO1242))),"対象月が時短期間外／","")&amp;IF(AND(INDEX(職員マスタ!$F$6:$F$405,$AN1242)&lt;&gt;"",$AO1242&lt;&gt;"",INDEX(職員マスタ!$F$6:$F$405,$AN1242)&lt;$AO1242),"対象月に子が2歳到達済／","")&amp;IF(AND($H1242&lt;&gt;"",INDEX(職員マスタ!$B$6:$B$405,$AN1242)&lt;&gt;"",SUBSTITUTE(SUBSTITUTE($H1242," ","")," ","")&lt;&gt;SUBSTITUTE(SUBSTITUTE(INDEX(職員マスタ!$B$6:$B$405,$AN1242)," ","")," ","")),"氏名がマスタと相違／","")&amp;IF(AND($Q1242&lt;&gt;"",INDEX(職員マスタ!$E$6:$E$405,$AN1242)&lt;&gt;"",$Q1242&lt;&gt;INDEX(職員マスタ!$E$6:$E$405,$AN1242)),"子の生年月日がマスタと相違／","")&amp;IF(AND($L1242&lt;&gt;"",INDEX(職員マスタ!$G$6:$G$405,$AN1242)&lt;&gt;"",$L1242&lt;&gt;INDEX(職員マスタ!$G$6:$G$405,$AN1242)),"時短開始日がマスタと相違／","")&amp;IF(AND($M1242&lt;&gt;"",INDEX(職員マスタ!$H$6:$H$405,$AN1242)&lt;&gt;"",$M1242&lt;&gt;INDEX(職員マスタ!$H$6:$H$405,$AN1242)),"時短終了日がマスタと相違／","")))&amp;IF(AND($B1242&lt;&gt;"",$E1242=""),"報酬額が未入力／","")&amp;IF(N($U1242)&gt;0,"申請書に入力エラーが残っています／","")&amp;IF(AND($B1242&lt;&gt;"",$AO1242&lt;&gt;""),IF(COUNTIFS($B$6:$B$3005,$B1242,$C$6:$C$3005,$C1242,$D$6:$D$3005,$D1242)&gt;1,"同じ月の請求が重複しています／",""),"")&amp;IF(AND(N($E1242)&gt;0,$Z1242&lt;&gt;"",$Z1242&lt;&gt;"×",$AC1242=0,$AB1242=""),"計算額が下限以下のため不支給／",""))</f>
        <v/>
      </c>
      <c r="AL1242" s="12" t="n"/>
      <c r="AM1242" s="14">
        <f>IF($AD1242="保留中",COUNTIF($AD$6:$AD1242,"保留中"),"")</f>
        <v/>
      </c>
      <c r="AN1242" s="14">
        <f>IF($AO1242="","",IF(SUMPRODUCT(MAX((職員マスタ!$A$6:$A$405=$B1242)*(((職員マスタ!$G$6:$G$405="")+(職員マスタ!$G$6:$G$405&lt;=EOMONTH($AO1242,0)))&gt;0)*(((職員マスタ!$H$6:$H$405="")+(職員マスタ!$H$6:$H$405&gt;=$AO1242))&gt;0)*(ROW(職員マスタ!$A$6:$A$405)-5)))&gt;0,SUMPRODUCT(MAX((職員マスタ!$A$6:$A$405=$B1242)*(((職員マスタ!$G$6:$G$405="")+(職員マスタ!$G$6:$G$405&lt;=EOMONTH($AO1242,0)))&gt;0)*(((職員マスタ!$H$6:$H$405="")+(職員マスタ!$H$6:$H$405&gt;=$AO1242))&gt;0)*(ROW(職員マスタ!$A$6:$A$405)-5))),IFERROR(MATCH($B1242,職員マスタ!$A$6:$A$405,0),"")))</f>
        <v/>
      </c>
      <c r="AO1242" s="16">
        <f>IF(OR($B1242="",$C1242="",$D1242=""),"",DATE($C1242+2018,$D1242,1))</f>
        <v/>
      </c>
    </row>
    <row r="1243">
      <c r="A1243" s="11" t="n"/>
      <c r="B1243" s="12" t="n"/>
      <c r="C1243" s="12" t="n"/>
      <c r="D1243" s="12" t="n"/>
      <c r="E1243" s="13" t="n"/>
      <c r="F1243" s="12" t="n"/>
      <c r="G1243" s="13" t="n"/>
      <c r="H1243" s="12" t="n"/>
      <c r="I1243" s="12" t="n"/>
      <c r="J1243" s="12" t="n"/>
      <c r="K1243" s="12" t="n"/>
      <c r="L1243" s="11" t="n"/>
      <c r="M1243" s="11" t="n"/>
      <c r="N1243" s="11" t="n"/>
      <c r="O1243" s="11" t="n"/>
      <c r="P1243" s="12" t="n"/>
      <c r="Q1243" s="11" t="n"/>
      <c r="R1243" s="12" t="n"/>
      <c r="S1243" s="11" t="n"/>
      <c r="T1243" s="12" t="n"/>
      <c r="U1243" s="12" t="n"/>
      <c r="V1243" s="14">
        <f>IF($AN1243="",IF($B1243="","",$H1243),IF(INDEX(職員マスタ!$B$6:$B$405,$AN1243)="",$H1243,INDEX(職員マスタ!$B$6:$B$405,$AN1243)))</f>
        <v/>
      </c>
      <c r="W1243" s="14">
        <f>IF($AN1243="",IF($B1243="","",$R1243),IF(INDEX(職員マスタ!$C$6:$C$405,$AN1243)="",$R1243,INDEX(職員マスタ!$C$6:$C$405,$AN1243)))</f>
        <v/>
      </c>
      <c r="X1243" s="14">
        <f>IF($AO1243="","","R"&amp;$C1243&amp;"."&amp;$D1243)</f>
        <v/>
      </c>
      <c r="Y1243" s="15">
        <f>IF($AN1243="","",IF(INDEX(職員マスタ!$K$6:$K$405,$AN1243)="","",INDEX(職員マスタ!$K$6:$K$405,$AN1243)))</f>
        <v/>
      </c>
      <c r="Z1243" s="14">
        <f>IF(OR($E1243="",$Y1243=""),"",IF($E1243&gt;=$Y1243,"×",IF($E1243&gt;=$Y1243*設定!$C$5,"△","○")))</f>
        <v/>
      </c>
      <c r="AA1243" s="15">
        <f>IF($Z1243="","",IF($Z1243="×",0,IF($Z1243="○",ROUNDDOWN($E1243*設定!$C$4,0),ROUNDDOWN($E1243*ROUND((9*$Y1243-9*$E1243)/(10*$E1243),4),0))))</f>
        <v/>
      </c>
      <c r="AB1243" s="13" t="n"/>
      <c r="AC1243" s="15">
        <f>IF($B1243="","",IF($AB1243&lt;&gt;"",$AB1243,IF($AA1243="","",IF($AA1243&lt;=設定!$C$3,0,$AA1243))))</f>
        <v/>
      </c>
      <c r="AD1243" s="14">
        <f>IF($B1243="","",IF(AND($AE1243&lt;&gt;"",$AG1243="",$AJ1243=""),"保留中",IF($AJ1243&lt;&gt;"",IF(N($AC1243)&gt;0,"支給済","不支給"),IF($AC1243="","要確認",IF($AC1243=0,"不支給","未処理")))))</f>
        <v/>
      </c>
      <c r="AE1243" s="12" t="n"/>
      <c r="AF1243" s="11" t="n"/>
      <c r="AG1243" s="11" t="n"/>
      <c r="AH1243" s="11" t="n"/>
      <c r="AI1243" s="14">
        <f>IF(AND($AD1243="保留中",$AF1243&lt;&gt;""),TODAY()-$AF1243,"")</f>
        <v/>
      </c>
      <c r="AJ1243" s="12" t="n"/>
      <c r="AK1243" s="14">
        <f>IF($B1243="","",IF($AO1243="","対象年月が未入力／","")&amp;IF($B1243="","",IF($AN1243="","職員マスタに未登録の職員番号／",IF($Y1243="","標準報酬月額が未登録／","")&amp;IF(AND($AO1243&lt;&gt;"",OR(AND(INDEX(職員マスタ!$G$6:$G$405,$AN1243)&lt;&gt;"",INDEX(職員マスタ!$G$6:$G$405,$AN1243)&gt;EOMONTH($AO1243,0)),AND(INDEX(職員マスタ!$H$6:$H$405,$AN1243)&lt;&gt;"",INDEX(職員マスタ!$H$6:$H$405,$AN1243)&lt;$AO1243))),"対象月が時短期間外／","")&amp;IF(AND(INDEX(職員マスタ!$F$6:$F$405,$AN1243)&lt;&gt;"",$AO1243&lt;&gt;"",INDEX(職員マスタ!$F$6:$F$405,$AN1243)&lt;$AO1243),"対象月に子が2歳到達済／","")&amp;IF(AND($H1243&lt;&gt;"",INDEX(職員マスタ!$B$6:$B$405,$AN1243)&lt;&gt;"",SUBSTITUTE(SUBSTITUTE($H1243," ","")," ","")&lt;&gt;SUBSTITUTE(SUBSTITUTE(INDEX(職員マスタ!$B$6:$B$405,$AN1243)," ","")," ","")),"氏名がマスタと相違／","")&amp;IF(AND($Q1243&lt;&gt;"",INDEX(職員マスタ!$E$6:$E$405,$AN1243)&lt;&gt;"",$Q1243&lt;&gt;INDEX(職員マスタ!$E$6:$E$405,$AN1243)),"子の生年月日がマスタと相違／","")&amp;IF(AND($L1243&lt;&gt;"",INDEX(職員マスタ!$G$6:$G$405,$AN1243)&lt;&gt;"",$L1243&lt;&gt;INDEX(職員マスタ!$G$6:$G$405,$AN1243)),"時短開始日がマスタと相違／","")&amp;IF(AND($M1243&lt;&gt;"",INDEX(職員マスタ!$H$6:$H$405,$AN1243)&lt;&gt;"",$M1243&lt;&gt;INDEX(職員マスタ!$H$6:$H$405,$AN1243)),"時短終了日がマスタと相違／","")))&amp;IF(AND($B1243&lt;&gt;"",$E1243=""),"報酬額が未入力／","")&amp;IF(N($U1243)&gt;0,"申請書に入力エラーが残っています／","")&amp;IF(AND($B1243&lt;&gt;"",$AO1243&lt;&gt;""),IF(COUNTIFS($B$6:$B$3005,$B1243,$C$6:$C$3005,$C1243,$D$6:$D$3005,$D1243)&gt;1,"同じ月の請求が重複しています／",""),"")&amp;IF(AND(N($E1243)&gt;0,$Z1243&lt;&gt;"",$Z1243&lt;&gt;"×",$AC1243=0,$AB1243=""),"計算額が下限以下のため不支給／",""))</f>
        <v/>
      </c>
      <c r="AL1243" s="12" t="n"/>
      <c r="AM1243" s="14">
        <f>IF($AD1243="保留中",COUNTIF($AD$6:$AD1243,"保留中"),"")</f>
        <v/>
      </c>
      <c r="AN1243" s="14">
        <f>IF($AO1243="","",IF(SUMPRODUCT(MAX((職員マスタ!$A$6:$A$405=$B1243)*(((職員マスタ!$G$6:$G$405="")+(職員マスタ!$G$6:$G$405&lt;=EOMONTH($AO1243,0)))&gt;0)*(((職員マスタ!$H$6:$H$405="")+(職員マスタ!$H$6:$H$405&gt;=$AO1243))&gt;0)*(ROW(職員マスタ!$A$6:$A$405)-5)))&gt;0,SUMPRODUCT(MAX((職員マスタ!$A$6:$A$405=$B1243)*(((職員マスタ!$G$6:$G$405="")+(職員マスタ!$G$6:$G$405&lt;=EOMONTH($AO1243,0)))&gt;0)*(((職員マスタ!$H$6:$H$405="")+(職員マスタ!$H$6:$H$405&gt;=$AO1243))&gt;0)*(ROW(職員マスタ!$A$6:$A$405)-5))),IFERROR(MATCH($B1243,職員マスタ!$A$6:$A$405,0),"")))</f>
        <v/>
      </c>
      <c r="AO1243" s="16">
        <f>IF(OR($B1243="",$C1243="",$D1243=""),"",DATE($C1243+2018,$D1243,1))</f>
        <v/>
      </c>
    </row>
    <row r="1244">
      <c r="A1244" s="11" t="n"/>
      <c r="B1244" s="12" t="n"/>
      <c r="C1244" s="12" t="n"/>
      <c r="D1244" s="12" t="n"/>
      <c r="E1244" s="13" t="n"/>
      <c r="F1244" s="12" t="n"/>
      <c r="G1244" s="13" t="n"/>
      <c r="H1244" s="12" t="n"/>
      <c r="I1244" s="12" t="n"/>
      <c r="J1244" s="12" t="n"/>
      <c r="K1244" s="12" t="n"/>
      <c r="L1244" s="11" t="n"/>
      <c r="M1244" s="11" t="n"/>
      <c r="N1244" s="11" t="n"/>
      <c r="O1244" s="11" t="n"/>
      <c r="P1244" s="12" t="n"/>
      <c r="Q1244" s="11" t="n"/>
      <c r="R1244" s="12" t="n"/>
      <c r="S1244" s="11" t="n"/>
      <c r="T1244" s="12" t="n"/>
      <c r="U1244" s="12" t="n"/>
      <c r="V1244" s="14">
        <f>IF($AN1244="",IF($B1244="","",$H1244),IF(INDEX(職員マスタ!$B$6:$B$405,$AN1244)="",$H1244,INDEX(職員マスタ!$B$6:$B$405,$AN1244)))</f>
        <v/>
      </c>
      <c r="W1244" s="14">
        <f>IF($AN1244="",IF($B1244="","",$R1244),IF(INDEX(職員マスタ!$C$6:$C$405,$AN1244)="",$R1244,INDEX(職員マスタ!$C$6:$C$405,$AN1244)))</f>
        <v/>
      </c>
      <c r="X1244" s="14">
        <f>IF($AO1244="","","R"&amp;$C1244&amp;"."&amp;$D1244)</f>
        <v/>
      </c>
      <c r="Y1244" s="15">
        <f>IF($AN1244="","",IF(INDEX(職員マスタ!$K$6:$K$405,$AN1244)="","",INDEX(職員マスタ!$K$6:$K$405,$AN1244)))</f>
        <v/>
      </c>
      <c r="Z1244" s="14">
        <f>IF(OR($E1244="",$Y1244=""),"",IF($E1244&gt;=$Y1244,"×",IF($E1244&gt;=$Y1244*設定!$C$5,"△","○")))</f>
        <v/>
      </c>
      <c r="AA1244" s="15">
        <f>IF($Z1244="","",IF($Z1244="×",0,IF($Z1244="○",ROUNDDOWN($E1244*設定!$C$4,0),ROUNDDOWN($E1244*ROUND((9*$Y1244-9*$E1244)/(10*$E1244),4),0))))</f>
        <v/>
      </c>
      <c r="AB1244" s="13" t="n"/>
      <c r="AC1244" s="15">
        <f>IF($B1244="","",IF($AB1244&lt;&gt;"",$AB1244,IF($AA1244="","",IF($AA1244&lt;=設定!$C$3,0,$AA1244))))</f>
        <v/>
      </c>
      <c r="AD1244" s="14">
        <f>IF($B1244="","",IF(AND($AE1244&lt;&gt;"",$AG1244="",$AJ1244=""),"保留中",IF($AJ1244&lt;&gt;"",IF(N($AC1244)&gt;0,"支給済","不支給"),IF($AC1244="","要確認",IF($AC1244=0,"不支給","未処理")))))</f>
        <v/>
      </c>
      <c r="AE1244" s="12" t="n"/>
      <c r="AF1244" s="11" t="n"/>
      <c r="AG1244" s="11" t="n"/>
      <c r="AH1244" s="11" t="n"/>
      <c r="AI1244" s="14">
        <f>IF(AND($AD1244="保留中",$AF1244&lt;&gt;""),TODAY()-$AF1244,"")</f>
        <v/>
      </c>
      <c r="AJ1244" s="12" t="n"/>
      <c r="AK1244" s="14">
        <f>IF($B1244="","",IF($AO1244="","対象年月が未入力／","")&amp;IF($B1244="","",IF($AN1244="","職員マスタに未登録の職員番号／",IF($Y1244="","標準報酬月額が未登録／","")&amp;IF(AND($AO1244&lt;&gt;"",OR(AND(INDEX(職員マスタ!$G$6:$G$405,$AN1244)&lt;&gt;"",INDEX(職員マスタ!$G$6:$G$405,$AN1244)&gt;EOMONTH($AO1244,0)),AND(INDEX(職員マスタ!$H$6:$H$405,$AN1244)&lt;&gt;"",INDEX(職員マスタ!$H$6:$H$405,$AN1244)&lt;$AO1244))),"対象月が時短期間外／","")&amp;IF(AND(INDEX(職員マスタ!$F$6:$F$405,$AN1244)&lt;&gt;"",$AO1244&lt;&gt;"",INDEX(職員マスタ!$F$6:$F$405,$AN1244)&lt;$AO1244),"対象月に子が2歳到達済／","")&amp;IF(AND($H1244&lt;&gt;"",INDEX(職員マスタ!$B$6:$B$405,$AN1244)&lt;&gt;"",SUBSTITUTE(SUBSTITUTE($H1244," ","")," ","")&lt;&gt;SUBSTITUTE(SUBSTITUTE(INDEX(職員マスタ!$B$6:$B$405,$AN1244)," ","")," ","")),"氏名がマスタと相違／","")&amp;IF(AND($Q1244&lt;&gt;"",INDEX(職員マスタ!$E$6:$E$405,$AN1244)&lt;&gt;"",$Q1244&lt;&gt;INDEX(職員マスタ!$E$6:$E$405,$AN1244)),"子の生年月日がマスタと相違／","")&amp;IF(AND($L1244&lt;&gt;"",INDEX(職員マスタ!$G$6:$G$405,$AN1244)&lt;&gt;"",$L1244&lt;&gt;INDEX(職員マスタ!$G$6:$G$405,$AN1244)),"時短開始日がマスタと相違／","")&amp;IF(AND($M1244&lt;&gt;"",INDEX(職員マスタ!$H$6:$H$405,$AN1244)&lt;&gt;"",$M1244&lt;&gt;INDEX(職員マスタ!$H$6:$H$405,$AN1244)),"時短終了日がマスタと相違／","")))&amp;IF(AND($B1244&lt;&gt;"",$E1244=""),"報酬額が未入力／","")&amp;IF(N($U1244)&gt;0,"申請書に入力エラーが残っています／","")&amp;IF(AND($B1244&lt;&gt;"",$AO1244&lt;&gt;""),IF(COUNTIFS($B$6:$B$3005,$B1244,$C$6:$C$3005,$C1244,$D$6:$D$3005,$D1244)&gt;1,"同じ月の請求が重複しています／",""),"")&amp;IF(AND(N($E1244)&gt;0,$Z1244&lt;&gt;"",$Z1244&lt;&gt;"×",$AC1244=0,$AB1244=""),"計算額が下限以下のため不支給／",""))</f>
        <v/>
      </c>
      <c r="AL1244" s="12" t="n"/>
      <c r="AM1244" s="14">
        <f>IF($AD1244="保留中",COUNTIF($AD$6:$AD1244,"保留中"),"")</f>
        <v/>
      </c>
      <c r="AN1244" s="14">
        <f>IF($AO1244="","",IF(SUMPRODUCT(MAX((職員マスタ!$A$6:$A$405=$B1244)*(((職員マスタ!$G$6:$G$405="")+(職員マスタ!$G$6:$G$405&lt;=EOMONTH($AO1244,0)))&gt;0)*(((職員マスタ!$H$6:$H$405="")+(職員マスタ!$H$6:$H$405&gt;=$AO1244))&gt;0)*(ROW(職員マスタ!$A$6:$A$405)-5)))&gt;0,SUMPRODUCT(MAX((職員マスタ!$A$6:$A$405=$B1244)*(((職員マスタ!$G$6:$G$405="")+(職員マスタ!$G$6:$G$405&lt;=EOMONTH($AO1244,0)))&gt;0)*(((職員マスタ!$H$6:$H$405="")+(職員マスタ!$H$6:$H$405&gt;=$AO1244))&gt;0)*(ROW(職員マスタ!$A$6:$A$405)-5))),IFERROR(MATCH($B1244,職員マスタ!$A$6:$A$405,0),"")))</f>
        <v/>
      </c>
      <c r="AO1244" s="16">
        <f>IF(OR($B1244="",$C1244="",$D1244=""),"",DATE($C1244+2018,$D1244,1))</f>
        <v/>
      </c>
    </row>
    <row r="1245">
      <c r="A1245" s="11" t="n"/>
      <c r="B1245" s="12" t="n"/>
      <c r="C1245" s="12" t="n"/>
      <c r="D1245" s="12" t="n"/>
      <c r="E1245" s="13" t="n"/>
      <c r="F1245" s="12" t="n"/>
      <c r="G1245" s="13" t="n"/>
      <c r="H1245" s="12" t="n"/>
      <c r="I1245" s="12" t="n"/>
      <c r="J1245" s="12" t="n"/>
      <c r="K1245" s="12" t="n"/>
      <c r="L1245" s="11" t="n"/>
      <c r="M1245" s="11" t="n"/>
      <c r="N1245" s="11" t="n"/>
      <c r="O1245" s="11" t="n"/>
      <c r="P1245" s="12" t="n"/>
      <c r="Q1245" s="11" t="n"/>
      <c r="R1245" s="12" t="n"/>
      <c r="S1245" s="11" t="n"/>
      <c r="T1245" s="12" t="n"/>
      <c r="U1245" s="12" t="n"/>
      <c r="V1245" s="14">
        <f>IF($AN1245="",IF($B1245="","",$H1245),IF(INDEX(職員マスタ!$B$6:$B$405,$AN1245)="",$H1245,INDEX(職員マスタ!$B$6:$B$405,$AN1245)))</f>
        <v/>
      </c>
      <c r="W1245" s="14">
        <f>IF($AN1245="",IF($B1245="","",$R1245),IF(INDEX(職員マスタ!$C$6:$C$405,$AN1245)="",$R1245,INDEX(職員マスタ!$C$6:$C$405,$AN1245)))</f>
        <v/>
      </c>
      <c r="X1245" s="14">
        <f>IF($AO1245="","","R"&amp;$C1245&amp;"."&amp;$D1245)</f>
        <v/>
      </c>
      <c r="Y1245" s="15">
        <f>IF($AN1245="","",IF(INDEX(職員マスタ!$K$6:$K$405,$AN1245)="","",INDEX(職員マスタ!$K$6:$K$405,$AN1245)))</f>
        <v/>
      </c>
      <c r="Z1245" s="14">
        <f>IF(OR($E1245="",$Y1245=""),"",IF($E1245&gt;=$Y1245,"×",IF($E1245&gt;=$Y1245*設定!$C$5,"△","○")))</f>
        <v/>
      </c>
      <c r="AA1245" s="15">
        <f>IF($Z1245="","",IF($Z1245="×",0,IF($Z1245="○",ROUNDDOWN($E1245*設定!$C$4,0),ROUNDDOWN($E1245*ROUND((9*$Y1245-9*$E1245)/(10*$E1245),4),0))))</f>
        <v/>
      </c>
      <c r="AB1245" s="13" t="n"/>
      <c r="AC1245" s="15">
        <f>IF($B1245="","",IF($AB1245&lt;&gt;"",$AB1245,IF($AA1245="","",IF($AA1245&lt;=設定!$C$3,0,$AA1245))))</f>
        <v/>
      </c>
      <c r="AD1245" s="14">
        <f>IF($B1245="","",IF(AND($AE1245&lt;&gt;"",$AG1245="",$AJ1245=""),"保留中",IF($AJ1245&lt;&gt;"",IF(N($AC1245)&gt;0,"支給済","不支給"),IF($AC1245="","要確認",IF($AC1245=0,"不支給","未処理")))))</f>
        <v/>
      </c>
      <c r="AE1245" s="12" t="n"/>
      <c r="AF1245" s="11" t="n"/>
      <c r="AG1245" s="11" t="n"/>
      <c r="AH1245" s="11" t="n"/>
      <c r="AI1245" s="14">
        <f>IF(AND($AD1245="保留中",$AF1245&lt;&gt;""),TODAY()-$AF1245,"")</f>
        <v/>
      </c>
      <c r="AJ1245" s="12" t="n"/>
      <c r="AK1245" s="14">
        <f>IF($B1245="","",IF($AO1245="","対象年月が未入力／","")&amp;IF($B1245="","",IF($AN1245="","職員マスタに未登録の職員番号／",IF($Y1245="","標準報酬月額が未登録／","")&amp;IF(AND($AO1245&lt;&gt;"",OR(AND(INDEX(職員マスタ!$G$6:$G$405,$AN1245)&lt;&gt;"",INDEX(職員マスタ!$G$6:$G$405,$AN1245)&gt;EOMONTH($AO1245,0)),AND(INDEX(職員マスタ!$H$6:$H$405,$AN1245)&lt;&gt;"",INDEX(職員マスタ!$H$6:$H$405,$AN1245)&lt;$AO1245))),"対象月が時短期間外／","")&amp;IF(AND(INDEX(職員マスタ!$F$6:$F$405,$AN1245)&lt;&gt;"",$AO1245&lt;&gt;"",INDEX(職員マスタ!$F$6:$F$405,$AN1245)&lt;$AO1245),"対象月に子が2歳到達済／","")&amp;IF(AND($H1245&lt;&gt;"",INDEX(職員マスタ!$B$6:$B$405,$AN1245)&lt;&gt;"",SUBSTITUTE(SUBSTITUTE($H1245," ","")," ","")&lt;&gt;SUBSTITUTE(SUBSTITUTE(INDEX(職員マスタ!$B$6:$B$405,$AN1245)," ","")," ","")),"氏名がマスタと相違／","")&amp;IF(AND($Q1245&lt;&gt;"",INDEX(職員マスタ!$E$6:$E$405,$AN1245)&lt;&gt;"",$Q1245&lt;&gt;INDEX(職員マスタ!$E$6:$E$405,$AN1245)),"子の生年月日がマスタと相違／","")&amp;IF(AND($L1245&lt;&gt;"",INDEX(職員マスタ!$G$6:$G$405,$AN1245)&lt;&gt;"",$L1245&lt;&gt;INDEX(職員マスタ!$G$6:$G$405,$AN1245)),"時短開始日がマスタと相違／","")&amp;IF(AND($M1245&lt;&gt;"",INDEX(職員マスタ!$H$6:$H$405,$AN1245)&lt;&gt;"",$M1245&lt;&gt;INDEX(職員マスタ!$H$6:$H$405,$AN1245)),"時短終了日がマスタと相違／","")))&amp;IF(AND($B1245&lt;&gt;"",$E1245=""),"報酬額が未入力／","")&amp;IF(N($U1245)&gt;0,"申請書に入力エラーが残っています／","")&amp;IF(AND($B1245&lt;&gt;"",$AO1245&lt;&gt;""),IF(COUNTIFS($B$6:$B$3005,$B1245,$C$6:$C$3005,$C1245,$D$6:$D$3005,$D1245)&gt;1,"同じ月の請求が重複しています／",""),"")&amp;IF(AND(N($E1245)&gt;0,$Z1245&lt;&gt;"",$Z1245&lt;&gt;"×",$AC1245=0,$AB1245=""),"計算額が下限以下のため不支給／",""))</f>
        <v/>
      </c>
      <c r="AL1245" s="12" t="n"/>
      <c r="AM1245" s="14">
        <f>IF($AD1245="保留中",COUNTIF($AD$6:$AD1245,"保留中"),"")</f>
        <v/>
      </c>
      <c r="AN1245" s="14">
        <f>IF($AO1245="","",IF(SUMPRODUCT(MAX((職員マスタ!$A$6:$A$405=$B1245)*(((職員マスタ!$G$6:$G$405="")+(職員マスタ!$G$6:$G$405&lt;=EOMONTH($AO1245,0)))&gt;0)*(((職員マスタ!$H$6:$H$405="")+(職員マスタ!$H$6:$H$405&gt;=$AO1245))&gt;0)*(ROW(職員マスタ!$A$6:$A$405)-5)))&gt;0,SUMPRODUCT(MAX((職員マスタ!$A$6:$A$405=$B1245)*(((職員マスタ!$G$6:$G$405="")+(職員マスタ!$G$6:$G$405&lt;=EOMONTH($AO1245,0)))&gt;0)*(((職員マスタ!$H$6:$H$405="")+(職員マスタ!$H$6:$H$405&gt;=$AO1245))&gt;0)*(ROW(職員マスタ!$A$6:$A$405)-5))),IFERROR(MATCH($B1245,職員マスタ!$A$6:$A$405,0),"")))</f>
        <v/>
      </c>
      <c r="AO1245" s="16">
        <f>IF(OR($B1245="",$C1245="",$D1245=""),"",DATE($C1245+2018,$D1245,1))</f>
        <v/>
      </c>
    </row>
    <row r="1246">
      <c r="A1246" s="11" t="n"/>
      <c r="B1246" s="12" t="n"/>
      <c r="C1246" s="12" t="n"/>
      <c r="D1246" s="12" t="n"/>
      <c r="E1246" s="13" t="n"/>
      <c r="F1246" s="12" t="n"/>
      <c r="G1246" s="13" t="n"/>
      <c r="H1246" s="12" t="n"/>
      <c r="I1246" s="12" t="n"/>
      <c r="J1246" s="12" t="n"/>
      <c r="K1246" s="12" t="n"/>
      <c r="L1246" s="11" t="n"/>
      <c r="M1246" s="11" t="n"/>
      <c r="N1246" s="11" t="n"/>
      <c r="O1246" s="11" t="n"/>
      <c r="P1246" s="12" t="n"/>
      <c r="Q1246" s="11" t="n"/>
      <c r="R1246" s="12" t="n"/>
      <c r="S1246" s="11" t="n"/>
      <c r="T1246" s="12" t="n"/>
      <c r="U1246" s="12" t="n"/>
      <c r="V1246" s="14">
        <f>IF($AN1246="",IF($B1246="","",$H1246),IF(INDEX(職員マスタ!$B$6:$B$405,$AN1246)="",$H1246,INDEX(職員マスタ!$B$6:$B$405,$AN1246)))</f>
        <v/>
      </c>
      <c r="W1246" s="14">
        <f>IF($AN1246="",IF($B1246="","",$R1246),IF(INDEX(職員マスタ!$C$6:$C$405,$AN1246)="",$R1246,INDEX(職員マスタ!$C$6:$C$405,$AN1246)))</f>
        <v/>
      </c>
      <c r="X1246" s="14">
        <f>IF($AO1246="","","R"&amp;$C1246&amp;"."&amp;$D1246)</f>
        <v/>
      </c>
      <c r="Y1246" s="15">
        <f>IF($AN1246="","",IF(INDEX(職員マスタ!$K$6:$K$405,$AN1246)="","",INDEX(職員マスタ!$K$6:$K$405,$AN1246)))</f>
        <v/>
      </c>
      <c r="Z1246" s="14">
        <f>IF(OR($E1246="",$Y1246=""),"",IF($E1246&gt;=$Y1246,"×",IF($E1246&gt;=$Y1246*設定!$C$5,"△","○")))</f>
        <v/>
      </c>
      <c r="AA1246" s="15">
        <f>IF($Z1246="","",IF($Z1246="×",0,IF($Z1246="○",ROUNDDOWN($E1246*設定!$C$4,0),ROUNDDOWN($E1246*ROUND((9*$Y1246-9*$E1246)/(10*$E1246),4),0))))</f>
        <v/>
      </c>
      <c r="AB1246" s="13" t="n"/>
      <c r="AC1246" s="15">
        <f>IF($B1246="","",IF($AB1246&lt;&gt;"",$AB1246,IF($AA1246="","",IF($AA1246&lt;=設定!$C$3,0,$AA1246))))</f>
        <v/>
      </c>
      <c r="AD1246" s="14">
        <f>IF($B1246="","",IF(AND($AE1246&lt;&gt;"",$AG1246="",$AJ1246=""),"保留中",IF($AJ1246&lt;&gt;"",IF(N($AC1246)&gt;0,"支給済","不支給"),IF($AC1246="","要確認",IF($AC1246=0,"不支給","未処理")))))</f>
        <v/>
      </c>
      <c r="AE1246" s="12" t="n"/>
      <c r="AF1246" s="11" t="n"/>
      <c r="AG1246" s="11" t="n"/>
      <c r="AH1246" s="11" t="n"/>
      <c r="AI1246" s="14">
        <f>IF(AND($AD1246="保留中",$AF1246&lt;&gt;""),TODAY()-$AF1246,"")</f>
        <v/>
      </c>
      <c r="AJ1246" s="12" t="n"/>
      <c r="AK1246" s="14">
        <f>IF($B1246="","",IF($AO1246="","対象年月が未入力／","")&amp;IF($B1246="","",IF($AN1246="","職員マスタに未登録の職員番号／",IF($Y1246="","標準報酬月額が未登録／","")&amp;IF(AND($AO1246&lt;&gt;"",OR(AND(INDEX(職員マスタ!$G$6:$G$405,$AN1246)&lt;&gt;"",INDEX(職員マスタ!$G$6:$G$405,$AN1246)&gt;EOMONTH($AO1246,0)),AND(INDEX(職員マスタ!$H$6:$H$405,$AN1246)&lt;&gt;"",INDEX(職員マスタ!$H$6:$H$405,$AN1246)&lt;$AO1246))),"対象月が時短期間外／","")&amp;IF(AND(INDEX(職員マスタ!$F$6:$F$405,$AN1246)&lt;&gt;"",$AO1246&lt;&gt;"",INDEX(職員マスタ!$F$6:$F$405,$AN1246)&lt;$AO1246),"対象月に子が2歳到達済／","")&amp;IF(AND($H1246&lt;&gt;"",INDEX(職員マスタ!$B$6:$B$405,$AN1246)&lt;&gt;"",SUBSTITUTE(SUBSTITUTE($H1246," ","")," ","")&lt;&gt;SUBSTITUTE(SUBSTITUTE(INDEX(職員マスタ!$B$6:$B$405,$AN1246)," ","")," ","")),"氏名がマスタと相違／","")&amp;IF(AND($Q1246&lt;&gt;"",INDEX(職員マスタ!$E$6:$E$405,$AN1246)&lt;&gt;"",$Q1246&lt;&gt;INDEX(職員マスタ!$E$6:$E$405,$AN1246)),"子の生年月日がマスタと相違／","")&amp;IF(AND($L1246&lt;&gt;"",INDEX(職員マスタ!$G$6:$G$405,$AN1246)&lt;&gt;"",$L1246&lt;&gt;INDEX(職員マスタ!$G$6:$G$405,$AN1246)),"時短開始日がマスタと相違／","")&amp;IF(AND($M1246&lt;&gt;"",INDEX(職員マスタ!$H$6:$H$405,$AN1246)&lt;&gt;"",$M1246&lt;&gt;INDEX(職員マスタ!$H$6:$H$405,$AN1246)),"時短終了日がマスタと相違／","")))&amp;IF(AND($B1246&lt;&gt;"",$E1246=""),"報酬額が未入力／","")&amp;IF(N($U1246)&gt;0,"申請書に入力エラーが残っています／","")&amp;IF(AND($B1246&lt;&gt;"",$AO1246&lt;&gt;""),IF(COUNTIFS($B$6:$B$3005,$B1246,$C$6:$C$3005,$C1246,$D$6:$D$3005,$D1246)&gt;1,"同じ月の請求が重複しています／",""),"")&amp;IF(AND(N($E1246)&gt;0,$Z1246&lt;&gt;"",$Z1246&lt;&gt;"×",$AC1246=0,$AB1246=""),"計算額が下限以下のため不支給／",""))</f>
        <v/>
      </c>
      <c r="AL1246" s="12" t="n"/>
      <c r="AM1246" s="14">
        <f>IF($AD1246="保留中",COUNTIF($AD$6:$AD1246,"保留中"),"")</f>
        <v/>
      </c>
      <c r="AN1246" s="14">
        <f>IF($AO1246="","",IF(SUMPRODUCT(MAX((職員マスタ!$A$6:$A$405=$B1246)*(((職員マスタ!$G$6:$G$405="")+(職員マスタ!$G$6:$G$405&lt;=EOMONTH($AO1246,0)))&gt;0)*(((職員マスタ!$H$6:$H$405="")+(職員マスタ!$H$6:$H$405&gt;=$AO1246))&gt;0)*(ROW(職員マスタ!$A$6:$A$405)-5)))&gt;0,SUMPRODUCT(MAX((職員マスタ!$A$6:$A$405=$B1246)*(((職員マスタ!$G$6:$G$405="")+(職員マスタ!$G$6:$G$405&lt;=EOMONTH($AO1246,0)))&gt;0)*(((職員マスタ!$H$6:$H$405="")+(職員マスタ!$H$6:$H$405&gt;=$AO1246))&gt;0)*(ROW(職員マスタ!$A$6:$A$405)-5))),IFERROR(MATCH($B1246,職員マスタ!$A$6:$A$405,0),"")))</f>
        <v/>
      </c>
      <c r="AO1246" s="16">
        <f>IF(OR($B1246="",$C1246="",$D1246=""),"",DATE($C1246+2018,$D1246,1))</f>
        <v/>
      </c>
    </row>
    <row r="1247">
      <c r="A1247" s="11" t="n"/>
      <c r="B1247" s="12" t="n"/>
      <c r="C1247" s="12" t="n"/>
      <c r="D1247" s="12" t="n"/>
      <c r="E1247" s="13" t="n"/>
      <c r="F1247" s="12" t="n"/>
      <c r="G1247" s="13" t="n"/>
      <c r="H1247" s="12" t="n"/>
      <c r="I1247" s="12" t="n"/>
      <c r="J1247" s="12" t="n"/>
      <c r="K1247" s="12" t="n"/>
      <c r="L1247" s="11" t="n"/>
      <c r="M1247" s="11" t="n"/>
      <c r="N1247" s="11" t="n"/>
      <c r="O1247" s="11" t="n"/>
      <c r="P1247" s="12" t="n"/>
      <c r="Q1247" s="11" t="n"/>
      <c r="R1247" s="12" t="n"/>
      <c r="S1247" s="11" t="n"/>
      <c r="T1247" s="12" t="n"/>
      <c r="U1247" s="12" t="n"/>
      <c r="V1247" s="14">
        <f>IF($AN1247="",IF($B1247="","",$H1247),IF(INDEX(職員マスタ!$B$6:$B$405,$AN1247)="",$H1247,INDEX(職員マスタ!$B$6:$B$405,$AN1247)))</f>
        <v/>
      </c>
      <c r="W1247" s="14">
        <f>IF($AN1247="",IF($B1247="","",$R1247),IF(INDEX(職員マスタ!$C$6:$C$405,$AN1247)="",$R1247,INDEX(職員マスタ!$C$6:$C$405,$AN1247)))</f>
        <v/>
      </c>
      <c r="X1247" s="14">
        <f>IF($AO1247="","","R"&amp;$C1247&amp;"."&amp;$D1247)</f>
        <v/>
      </c>
      <c r="Y1247" s="15">
        <f>IF($AN1247="","",IF(INDEX(職員マスタ!$K$6:$K$405,$AN1247)="","",INDEX(職員マスタ!$K$6:$K$405,$AN1247)))</f>
        <v/>
      </c>
      <c r="Z1247" s="14">
        <f>IF(OR($E1247="",$Y1247=""),"",IF($E1247&gt;=$Y1247,"×",IF($E1247&gt;=$Y1247*設定!$C$5,"△","○")))</f>
        <v/>
      </c>
      <c r="AA1247" s="15">
        <f>IF($Z1247="","",IF($Z1247="×",0,IF($Z1247="○",ROUNDDOWN($E1247*設定!$C$4,0),ROUNDDOWN($E1247*ROUND((9*$Y1247-9*$E1247)/(10*$E1247),4),0))))</f>
        <v/>
      </c>
      <c r="AB1247" s="13" t="n"/>
      <c r="AC1247" s="15">
        <f>IF($B1247="","",IF($AB1247&lt;&gt;"",$AB1247,IF($AA1247="","",IF($AA1247&lt;=設定!$C$3,0,$AA1247))))</f>
        <v/>
      </c>
      <c r="AD1247" s="14">
        <f>IF($B1247="","",IF(AND($AE1247&lt;&gt;"",$AG1247="",$AJ1247=""),"保留中",IF($AJ1247&lt;&gt;"",IF(N($AC1247)&gt;0,"支給済","不支給"),IF($AC1247="","要確認",IF($AC1247=0,"不支給","未処理")))))</f>
        <v/>
      </c>
      <c r="AE1247" s="12" t="n"/>
      <c r="AF1247" s="11" t="n"/>
      <c r="AG1247" s="11" t="n"/>
      <c r="AH1247" s="11" t="n"/>
      <c r="AI1247" s="14">
        <f>IF(AND($AD1247="保留中",$AF1247&lt;&gt;""),TODAY()-$AF1247,"")</f>
        <v/>
      </c>
      <c r="AJ1247" s="12" t="n"/>
      <c r="AK1247" s="14">
        <f>IF($B1247="","",IF($AO1247="","対象年月が未入力／","")&amp;IF($B1247="","",IF($AN1247="","職員マスタに未登録の職員番号／",IF($Y1247="","標準報酬月額が未登録／","")&amp;IF(AND($AO1247&lt;&gt;"",OR(AND(INDEX(職員マスタ!$G$6:$G$405,$AN1247)&lt;&gt;"",INDEX(職員マスタ!$G$6:$G$405,$AN1247)&gt;EOMONTH($AO1247,0)),AND(INDEX(職員マスタ!$H$6:$H$405,$AN1247)&lt;&gt;"",INDEX(職員マスタ!$H$6:$H$405,$AN1247)&lt;$AO1247))),"対象月が時短期間外／","")&amp;IF(AND(INDEX(職員マスタ!$F$6:$F$405,$AN1247)&lt;&gt;"",$AO1247&lt;&gt;"",INDEX(職員マスタ!$F$6:$F$405,$AN1247)&lt;$AO1247),"対象月に子が2歳到達済／","")&amp;IF(AND($H1247&lt;&gt;"",INDEX(職員マスタ!$B$6:$B$405,$AN1247)&lt;&gt;"",SUBSTITUTE(SUBSTITUTE($H1247," ","")," ","")&lt;&gt;SUBSTITUTE(SUBSTITUTE(INDEX(職員マスタ!$B$6:$B$405,$AN1247)," ","")," ","")),"氏名がマスタと相違／","")&amp;IF(AND($Q1247&lt;&gt;"",INDEX(職員マスタ!$E$6:$E$405,$AN1247)&lt;&gt;"",$Q1247&lt;&gt;INDEX(職員マスタ!$E$6:$E$405,$AN1247)),"子の生年月日がマスタと相違／","")&amp;IF(AND($L1247&lt;&gt;"",INDEX(職員マスタ!$G$6:$G$405,$AN1247)&lt;&gt;"",$L1247&lt;&gt;INDEX(職員マスタ!$G$6:$G$405,$AN1247)),"時短開始日がマスタと相違／","")&amp;IF(AND($M1247&lt;&gt;"",INDEX(職員マスタ!$H$6:$H$405,$AN1247)&lt;&gt;"",$M1247&lt;&gt;INDEX(職員マスタ!$H$6:$H$405,$AN1247)),"時短終了日がマスタと相違／","")))&amp;IF(AND($B1247&lt;&gt;"",$E1247=""),"報酬額が未入力／","")&amp;IF(N($U1247)&gt;0,"申請書に入力エラーが残っています／","")&amp;IF(AND($B1247&lt;&gt;"",$AO1247&lt;&gt;""),IF(COUNTIFS($B$6:$B$3005,$B1247,$C$6:$C$3005,$C1247,$D$6:$D$3005,$D1247)&gt;1,"同じ月の請求が重複しています／",""),"")&amp;IF(AND(N($E1247)&gt;0,$Z1247&lt;&gt;"",$Z1247&lt;&gt;"×",$AC1247=0,$AB1247=""),"計算額が下限以下のため不支給／",""))</f>
        <v/>
      </c>
      <c r="AL1247" s="12" t="n"/>
      <c r="AM1247" s="14">
        <f>IF($AD1247="保留中",COUNTIF($AD$6:$AD1247,"保留中"),"")</f>
        <v/>
      </c>
      <c r="AN1247" s="14">
        <f>IF($AO1247="","",IF(SUMPRODUCT(MAX((職員マスタ!$A$6:$A$405=$B1247)*(((職員マスタ!$G$6:$G$405="")+(職員マスタ!$G$6:$G$405&lt;=EOMONTH($AO1247,0)))&gt;0)*(((職員マスタ!$H$6:$H$405="")+(職員マスタ!$H$6:$H$405&gt;=$AO1247))&gt;0)*(ROW(職員マスタ!$A$6:$A$405)-5)))&gt;0,SUMPRODUCT(MAX((職員マスタ!$A$6:$A$405=$B1247)*(((職員マスタ!$G$6:$G$405="")+(職員マスタ!$G$6:$G$405&lt;=EOMONTH($AO1247,0)))&gt;0)*(((職員マスタ!$H$6:$H$405="")+(職員マスタ!$H$6:$H$405&gt;=$AO1247))&gt;0)*(ROW(職員マスタ!$A$6:$A$405)-5))),IFERROR(MATCH($B1247,職員マスタ!$A$6:$A$405,0),"")))</f>
        <v/>
      </c>
      <c r="AO1247" s="16">
        <f>IF(OR($B1247="",$C1247="",$D1247=""),"",DATE($C1247+2018,$D1247,1))</f>
        <v/>
      </c>
    </row>
    <row r="1248">
      <c r="A1248" s="11" t="n"/>
      <c r="B1248" s="12" t="n"/>
      <c r="C1248" s="12" t="n"/>
      <c r="D1248" s="12" t="n"/>
      <c r="E1248" s="13" t="n"/>
      <c r="F1248" s="12" t="n"/>
      <c r="G1248" s="13" t="n"/>
      <c r="H1248" s="12" t="n"/>
      <c r="I1248" s="12" t="n"/>
      <c r="J1248" s="12" t="n"/>
      <c r="K1248" s="12" t="n"/>
      <c r="L1248" s="11" t="n"/>
      <c r="M1248" s="11" t="n"/>
      <c r="N1248" s="11" t="n"/>
      <c r="O1248" s="11" t="n"/>
      <c r="P1248" s="12" t="n"/>
      <c r="Q1248" s="11" t="n"/>
      <c r="R1248" s="12" t="n"/>
      <c r="S1248" s="11" t="n"/>
      <c r="T1248" s="12" t="n"/>
      <c r="U1248" s="12" t="n"/>
      <c r="V1248" s="14">
        <f>IF($AN1248="",IF($B1248="","",$H1248),IF(INDEX(職員マスタ!$B$6:$B$405,$AN1248)="",$H1248,INDEX(職員マスタ!$B$6:$B$405,$AN1248)))</f>
        <v/>
      </c>
      <c r="W1248" s="14">
        <f>IF($AN1248="",IF($B1248="","",$R1248),IF(INDEX(職員マスタ!$C$6:$C$405,$AN1248)="",$R1248,INDEX(職員マスタ!$C$6:$C$405,$AN1248)))</f>
        <v/>
      </c>
      <c r="X1248" s="14">
        <f>IF($AO1248="","","R"&amp;$C1248&amp;"."&amp;$D1248)</f>
        <v/>
      </c>
      <c r="Y1248" s="15">
        <f>IF($AN1248="","",IF(INDEX(職員マスタ!$K$6:$K$405,$AN1248)="","",INDEX(職員マスタ!$K$6:$K$405,$AN1248)))</f>
        <v/>
      </c>
      <c r="Z1248" s="14">
        <f>IF(OR($E1248="",$Y1248=""),"",IF($E1248&gt;=$Y1248,"×",IF($E1248&gt;=$Y1248*設定!$C$5,"△","○")))</f>
        <v/>
      </c>
      <c r="AA1248" s="15">
        <f>IF($Z1248="","",IF($Z1248="×",0,IF($Z1248="○",ROUNDDOWN($E1248*設定!$C$4,0),ROUNDDOWN($E1248*ROUND((9*$Y1248-9*$E1248)/(10*$E1248),4),0))))</f>
        <v/>
      </c>
      <c r="AB1248" s="13" t="n"/>
      <c r="AC1248" s="15">
        <f>IF($B1248="","",IF($AB1248&lt;&gt;"",$AB1248,IF($AA1248="","",IF($AA1248&lt;=設定!$C$3,0,$AA1248))))</f>
        <v/>
      </c>
      <c r="AD1248" s="14">
        <f>IF($B1248="","",IF(AND($AE1248&lt;&gt;"",$AG1248="",$AJ1248=""),"保留中",IF($AJ1248&lt;&gt;"",IF(N($AC1248)&gt;0,"支給済","不支給"),IF($AC1248="","要確認",IF($AC1248=0,"不支給","未処理")))))</f>
        <v/>
      </c>
      <c r="AE1248" s="12" t="n"/>
      <c r="AF1248" s="11" t="n"/>
      <c r="AG1248" s="11" t="n"/>
      <c r="AH1248" s="11" t="n"/>
      <c r="AI1248" s="14">
        <f>IF(AND($AD1248="保留中",$AF1248&lt;&gt;""),TODAY()-$AF1248,"")</f>
        <v/>
      </c>
      <c r="AJ1248" s="12" t="n"/>
      <c r="AK1248" s="14">
        <f>IF($B1248="","",IF($AO1248="","対象年月が未入力／","")&amp;IF($B1248="","",IF($AN1248="","職員マスタに未登録の職員番号／",IF($Y1248="","標準報酬月額が未登録／","")&amp;IF(AND($AO1248&lt;&gt;"",OR(AND(INDEX(職員マスタ!$G$6:$G$405,$AN1248)&lt;&gt;"",INDEX(職員マスタ!$G$6:$G$405,$AN1248)&gt;EOMONTH($AO1248,0)),AND(INDEX(職員マスタ!$H$6:$H$405,$AN1248)&lt;&gt;"",INDEX(職員マスタ!$H$6:$H$405,$AN1248)&lt;$AO1248))),"対象月が時短期間外／","")&amp;IF(AND(INDEX(職員マスタ!$F$6:$F$405,$AN1248)&lt;&gt;"",$AO1248&lt;&gt;"",INDEX(職員マスタ!$F$6:$F$405,$AN1248)&lt;$AO1248),"対象月に子が2歳到達済／","")&amp;IF(AND($H1248&lt;&gt;"",INDEX(職員マスタ!$B$6:$B$405,$AN1248)&lt;&gt;"",SUBSTITUTE(SUBSTITUTE($H1248," ","")," ","")&lt;&gt;SUBSTITUTE(SUBSTITUTE(INDEX(職員マスタ!$B$6:$B$405,$AN1248)," ","")," ","")),"氏名がマスタと相違／","")&amp;IF(AND($Q1248&lt;&gt;"",INDEX(職員マスタ!$E$6:$E$405,$AN1248)&lt;&gt;"",$Q1248&lt;&gt;INDEX(職員マスタ!$E$6:$E$405,$AN1248)),"子の生年月日がマスタと相違／","")&amp;IF(AND($L1248&lt;&gt;"",INDEX(職員マスタ!$G$6:$G$405,$AN1248)&lt;&gt;"",$L1248&lt;&gt;INDEX(職員マスタ!$G$6:$G$405,$AN1248)),"時短開始日がマスタと相違／","")&amp;IF(AND($M1248&lt;&gt;"",INDEX(職員マスタ!$H$6:$H$405,$AN1248)&lt;&gt;"",$M1248&lt;&gt;INDEX(職員マスタ!$H$6:$H$405,$AN1248)),"時短終了日がマスタと相違／","")))&amp;IF(AND($B1248&lt;&gt;"",$E1248=""),"報酬額が未入力／","")&amp;IF(N($U1248)&gt;0,"申請書に入力エラーが残っています／","")&amp;IF(AND($B1248&lt;&gt;"",$AO1248&lt;&gt;""),IF(COUNTIFS($B$6:$B$3005,$B1248,$C$6:$C$3005,$C1248,$D$6:$D$3005,$D1248)&gt;1,"同じ月の請求が重複しています／",""),"")&amp;IF(AND(N($E1248)&gt;0,$Z1248&lt;&gt;"",$Z1248&lt;&gt;"×",$AC1248=0,$AB1248=""),"計算額が下限以下のため不支給／",""))</f>
        <v/>
      </c>
      <c r="AL1248" s="12" t="n"/>
      <c r="AM1248" s="14">
        <f>IF($AD1248="保留中",COUNTIF($AD$6:$AD1248,"保留中"),"")</f>
        <v/>
      </c>
      <c r="AN1248" s="14">
        <f>IF($AO1248="","",IF(SUMPRODUCT(MAX((職員マスタ!$A$6:$A$405=$B1248)*(((職員マスタ!$G$6:$G$405="")+(職員マスタ!$G$6:$G$405&lt;=EOMONTH($AO1248,0)))&gt;0)*(((職員マスタ!$H$6:$H$405="")+(職員マスタ!$H$6:$H$405&gt;=$AO1248))&gt;0)*(ROW(職員マスタ!$A$6:$A$405)-5)))&gt;0,SUMPRODUCT(MAX((職員マスタ!$A$6:$A$405=$B1248)*(((職員マスタ!$G$6:$G$405="")+(職員マスタ!$G$6:$G$405&lt;=EOMONTH($AO1248,0)))&gt;0)*(((職員マスタ!$H$6:$H$405="")+(職員マスタ!$H$6:$H$405&gt;=$AO1248))&gt;0)*(ROW(職員マスタ!$A$6:$A$405)-5))),IFERROR(MATCH($B1248,職員マスタ!$A$6:$A$405,0),"")))</f>
        <v/>
      </c>
      <c r="AO1248" s="16">
        <f>IF(OR($B1248="",$C1248="",$D1248=""),"",DATE($C1248+2018,$D1248,1))</f>
        <v/>
      </c>
    </row>
    <row r="1249">
      <c r="A1249" s="11" t="n"/>
      <c r="B1249" s="12" t="n"/>
      <c r="C1249" s="12" t="n"/>
      <c r="D1249" s="12" t="n"/>
      <c r="E1249" s="13" t="n"/>
      <c r="F1249" s="12" t="n"/>
      <c r="G1249" s="13" t="n"/>
      <c r="H1249" s="12" t="n"/>
      <c r="I1249" s="12" t="n"/>
      <c r="J1249" s="12" t="n"/>
      <c r="K1249" s="12" t="n"/>
      <c r="L1249" s="11" t="n"/>
      <c r="M1249" s="11" t="n"/>
      <c r="N1249" s="11" t="n"/>
      <c r="O1249" s="11" t="n"/>
      <c r="P1249" s="12" t="n"/>
      <c r="Q1249" s="11" t="n"/>
      <c r="R1249" s="12" t="n"/>
      <c r="S1249" s="11" t="n"/>
      <c r="T1249" s="12" t="n"/>
      <c r="U1249" s="12" t="n"/>
      <c r="V1249" s="14">
        <f>IF($AN1249="",IF($B1249="","",$H1249),IF(INDEX(職員マスタ!$B$6:$B$405,$AN1249)="",$H1249,INDEX(職員マスタ!$B$6:$B$405,$AN1249)))</f>
        <v/>
      </c>
      <c r="W1249" s="14">
        <f>IF($AN1249="",IF($B1249="","",$R1249),IF(INDEX(職員マスタ!$C$6:$C$405,$AN1249)="",$R1249,INDEX(職員マスタ!$C$6:$C$405,$AN1249)))</f>
        <v/>
      </c>
      <c r="X1249" s="14">
        <f>IF($AO1249="","","R"&amp;$C1249&amp;"."&amp;$D1249)</f>
        <v/>
      </c>
      <c r="Y1249" s="15">
        <f>IF($AN1249="","",IF(INDEX(職員マスタ!$K$6:$K$405,$AN1249)="","",INDEX(職員マスタ!$K$6:$K$405,$AN1249)))</f>
        <v/>
      </c>
      <c r="Z1249" s="14">
        <f>IF(OR($E1249="",$Y1249=""),"",IF($E1249&gt;=$Y1249,"×",IF($E1249&gt;=$Y1249*設定!$C$5,"△","○")))</f>
        <v/>
      </c>
      <c r="AA1249" s="15">
        <f>IF($Z1249="","",IF($Z1249="×",0,IF($Z1249="○",ROUNDDOWN($E1249*設定!$C$4,0),ROUNDDOWN($E1249*ROUND((9*$Y1249-9*$E1249)/(10*$E1249),4),0))))</f>
        <v/>
      </c>
      <c r="AB1249" s="13" t="n"/>
      <c r="AC1249" s="15">
        <f>IF($B1249="","",IF($AB1249&lt;&gt;"",$AB1249,IF($AA1249="","",IF($AA1249&lt;=設定!$C$3,0,$AA1249))))</f>
        <v/>
      </c>
      <c r="AD1249" s="14">
        <f>IF($B1249="","",IF(AND($AE1249&lt;&gt;"",$AG1249="",$AJ1249=""),"保留中",IF($AJ1249&lt;&gt;"",IF(N($AC1249)&gt;0,"支給済","不支給"),IF($AC1249="","要確認",IF($AC1249=0,"不支給","未処理")))))</f>
        <v/>
      </c>
      <c r="AE1249" s="12" t="n"/>
      <c r="AF1249" s="11" t="n"/>
      <c r="AG1249" s="11" t="n"/>
      <c r="AH1249" s="11" t="n"/>
      <c r="AI1249" s="14">
        <f>IF(AND($AD1249="保留中",$AF1249&lt;&gt;""),TODAY()-$AF1249,"")</f>
        <v/>
      </c>
      <c r="AJ1249" s="12" t="n"/>
      <c r="AK1249" s="14">
        <f>IF($B1249="","",IF($AO1249="","対象年月が未入力／","")&amp;IF($B1249="","",IF($AN1249="","職員マスタに未登録の職員番号／",IF($Y1249="","標準報酬月額が未登録／","")&amp;IF(AND($AO1249&lt;&gt;"",OR(AND(INDEX(職員マスタ!$G$6:$G$405,$AN1249)&lt;&gt;"",INDEX(職員マスタ!$G$6:$G$405,$AN1249)&gt;EOMONTH($AO1249,0)),AND(INDEX(職員マスタ!$H$6:$H$405,$AN1249)&lt;&gt;"",INDEX(職員マスタ!$H$6:$H$405,$AN1249)&lt;$AO1249))),"対象月が時短期間外／","")&amp;IF(AND(INDEX(職員マスタ!$F$6:$F$405,$AN1249)&lt;&gt;"",$AO1249&lt;&gt;"",INDEX(職員マスタ!$F$6:$F$405,$AN1249)&lt;$AO1249),"対象月に子が2歳到達済／","")&amp;IF(AND($H1249&lt;&gt;"",INDEX(職員マスタ!$B$6:$B$405,$AN1249)&lt;&gt;"",SUBSTITUTE(SUBSTITUTE($H1249," ","")," ","")&lt;&gt;SUBSTITUTE(SUBSTITUTE(INDEX(職員マスタ!$B$6:$B$405,$AN1249)," ","")," ","")),"氏名がマスタと相違／","")&amp;IF(AND($Q1249&lt;&gt;"",INDEX(職員マスタ!$E$6:$E$405,$AN1249)&lt;&gt;"",$Q1249&lt;&gt;INDEX(職員マスタ!$E$6:$E$405,$AN1249)),"子の生年月日がマスタと相違／","")&amp;IF(AND($L1249&lt;&gt;"",INDEX(職員マスタ!$G$6:$G$405,$AN1249)&lt;&gt;"",$L1249&lt;&gt;INDEX(職員マスタ!$G$6:$G$405,$AN1249)),"時短開始日がマスタと相違／","")&amp;IF(AND($M1249&lt;&gt;"",INDEX(職員マスタ!$H$6:$H$405,$AN1249)&lt;&gt;"",$M1249&lt;&gt;INDEX(職員マスタ!$H$6:$H$405,$AN1249)),"時短終了日がマスタと相違／","")))&amp;IF(AND($B1249&lt;&gt;"",$E1249=""),"報酬額が未入力／","")&amp;IF(N($U1249)&gt;0,"申請書に入力エラーが残っています／","")&amp;IF(AND($B1249&lt;&gt;"",$AO1249&lt;&gt;""),IF(COUNTIFS($B$6:$B$3005,$B1249,$C$6:$C$3005,$C1249,$D$6:$D$3005,$D1249)&gt;1,"同じ月の請求が重複しています／",""),"")&amp;IF(AND(N($E1249)&gt;0,$Z1249&lt;&gt;"",$Z1249&lt;&gt;"×",$AC1249=0,$AB1249=""),"計算額が下限以下のため不支給／",""))</f>
        <v/>
      </c>
      <c r="AL1249" s="12" t="n"/>
      <c r="AM1249" s="14">
        <f>IF($AD1249="保留中",COUNTIF($AD$6:$AD1249,"保留中"),"")</f>
        <v/>
      </c>
      <c r="AN1249" s="14">
        <f>IF($AO1249="","",IF(SUMPRODUCT(MAX((職員マスタ!$A$6:$A$405=$B1249)*(((職員マスタ!$G$6:$G$405="")+(職員マスタ!$G$6:$G$405&lt;=EOMONTH($AO1249,0)))&gt;0)*(((職員マスタ!$H$6:$H$405="")+(職員マスタ!$H$6:$H$405&gt;=$AO1249))&gt;0)*(ROW(職員マスタ!$A$6:$A$405)-5)))&gt;0,SUMPRODUCT(MAX((職員マスタ!$A$6:$A$405=$B1249)*(((職員マスタ!$G$6:$G$405="")+(職員マスタ!$G$6:$G$405&lt;=EOMONTH($AO1249,0)))&gt;0)*(((職員マスタ!$H$6:$H$405="")+(職員マスタ!$H$6:$H$405&gt;=$AO1249))&gt;0)*(ROW(職員マスタ!$A$6:$A$405)-5))),IFERROR(MATCH($B1249,職員マスタ!$A$6:$A$405,0),"")))</f>
        <v/>
      </c>
      <c r="AO1249" s="16">
        <f>IF(OR($B1249="",$C1249="",$D1249=""),"",DATE($C1249+2018,$D1249,1))</f>
        <v/>
      </c>
    </row>
    <row r="1250">
      <c r="A1250" s="11" t="n"/>
      <c r="B1250" s="12" t="n"/>
      <c r="C1250" s="12" t="n"/>
      <c r="D1250" s="12" t="n"/>
      <c r="E1250" s="13" t="n"/>
      <c r="F1250" s="12" t="n"/>
      <c r="G1250" s="13" t="n"/>
      <c r="H1250" s="12" t="n"/>
      <c r="I1250" s="12" t="n"/>
      <c r="J1250" s="12" t="n"/>
      <c r="K1250" s="12" t="n"/>
      <c r="L1250" s="11" t="n"/>
      <c r="M1250" s="11" t="n"/>
      <c r="N1250" s="11" t="n"/>
      <c r="O1250" s="11" t="n"/>
      <c r="P1250" s="12" t="n"/>
      <c r="Q1250" s="11" t="n"/>
      <c r="R1250" s="12" t="n"/>
      <c r="S1250" s="11" t="n"/>
      <c r="T1250" s="12" t="n"/>
      <c r="U1250" s="12" t="n"/>
      <c r="V1250" s="14">
        <f>IF($AN1250="",IF($B1250="","",$H1250),IF(INDEX(職員マスタ!$B$6:$B$405,$AN1250)="",$H1250,INDEX(職員マスタ!$B$6:$B$405,$AN1250)))</f>
        <v/>
      </c>
      <c r="W1250" s="14">
        <f>IF($AN1250="",IF($B1250="","",$R1250),IF(INDEX(職員マスタ!$C$6:$C$405,$AN1250)="",$R1250,INDEX(職員マスタ!$C$6:$C$405,$AN1250)))</f>
        <v/>
      </c>
      <c r="X1250" s="14">
        <f>IF($AO1250="","","R"&amp;$C1250&amp;"."&amp;$D1250)</f>
        <v/>
      </c>
      <c r="Y1250" s="15">
        <f>IF($AN1250="","",IF(INDEX(職員マスタ!$K$6:$K$405,$AN1250)="","",INDEX(職員マスタ!$K$6:$K$405,$AN1250)))</f>
        <v/>
      </c>
      <c r="Z1250" s="14">
        <f>IF(OR($E1250="",$Y1250=""),"",IF($E1250&gt;=$Y1250,"×",IF($E1250&gt;=$Y1250*設定!$C$5,"△","○")))</f>
        <v/>
      </c>
      <c r="AA1250" s="15">
        <f>IF($Z1250="","",IF($Z1250="×",0,IF($Z1250="○",ROUNDDOWN($E1250*設定!$C$4,0),ROUNDDOWN($E1250*ROUND((9*$Y1250-9*$E1250)/(10*$E1250),4),0))))</f>
        <v/>
      </c>
      <c r="AB1250" s="13" t="n"/>
      <c r="AC1250" s="15">
        <f>IF($B1250="","",IF($AB1250&lt;&gt;"",$AB1250,IF($AA1250="","",IF($AA1250&lt;=設定!$C$3,0,$AA1250))))</f>
        <v/>
      </c>
      <c r="AD1250" s="14">
        <f>IF($B1250="","",IF(AND($AE1250&lt;&gt;"",$AG1250="",$AJ1250=""),"保留中",IF($AJ1250&lt;&gt;"",IF(N($AC1250)&gt;0,"支給済","不支給"),IF($AC1250="","要確認",IF($AC1250=0,"不支給","未処理")))))</f>
        <v/>
      </c>
      <c r="AE1250" s="12" t="n"/>
      <c r="AF1250" s="11" t="n"/>
      <c r="AG1250" s="11" t="n"/>
      <c r="AH1250" s="11" t="n"/>
      <c r="AI1250" s="14">
        <f>IF(AND($AD1250="保留中",$AF1250&lt;&gt;""),TODAY()-$AF1250,"")</f>
        <v/>
      </c>
      <c r="AJ1250" s="12" t="n"/>
      <c r="AK1250" s="14">
        <f>IF($B1250="","",IF($AO1250="","対象年月が未入力／","")&amp;IF($B1250="","",IF($AN1250="","職員マスタに未登録の職員番号／",IF($Y1250="","標準報酬月額が未登録／","")&amp;IF(AND($AO1250&lt;&gt;"",OR(AND(INDEX(職員マスタ!$G$6:$G$405,$AN1250)&lt;&gt;"",INDEX(職員マスタ!$G$6:$G$405,$AN1250)&gt;EOMONTH($AO1250,0)),AND(INDEX(職員マスタ!$H$6:$H$405,$AN1250)&lt;&gt;"",INDEX(職員マスタ!$H$6:$H$405,$AN1250)&lt;$AO1250))),"対象月が時短期間外／","")&amp;IF(AND(INDEX(職員マスタ!$F$6:$F$405,$AN1250)&lt;&gt;"",$AO1250&lt;&gt;"",INDEX(職員マスタ!$F$6:$F$405,$AN1250)&lt;$AO1250),"対象月に子が2歳到達済／","")&amp;IF(AND($H1250&lt;&gt;"",INDEX(職員マスタ!$B$6:$B$405,$AN1250)&lt;&gt;"",SUBSTITUTE(SUBSTITUTE($H1250," ","")," ","")&lt;&gt;SUBSTITUTE(SUBSTITUTE(INDEX(職員マスタ!$B$6:$B$405,$AN1250)," ","")," ","")),"氏名がマスタと相違／","")&amp;IF(AND($Q1250&lt;&gt;"",INDEX(職員マスタ!$E$6:$E$405,$AN1250)&lt;&gt;"",$Q1250&lt;&gt;INDEX(職員マスタ!$E$6:$E$405,$AN1250)),"子の生年月日がマスタと相違／","")&amp;IF(AND($L1250&lt;&gt;"",INDEX(職員マスタ!$G$6:$G$405,$AN1250)&lt;&gt;"",$L1250&lt;&gt;INDEX(職員マスタ!$G$6:$G$405,$AN1250)),"時短開始日がマスタと相違／","")&amp;IF(AND($M1250&lt;&gt;"",INDEX(職員マスタ!$H$6:$H$405,$AN1250)&lt;&gt;"",$M1250&lt;&gt;INDEX(職員マスタ!$H$6:$H$405,$AN1250)),"時短終了日がマスタと相違／","")))&amp;IF(AND($B1250&lt;&gt;"",$E1250=""),"報酬額が未入力／","")&amp;IF(N($U1250)&gt;0,"申請書に入力エラーが残っています／","")&amp;IF(AND($B1250&lt;&gt;"",$AO1250&lt;&gt;""),IF(COUNTIFS($B$6:$B$3005,$B1250,$C$6:$C$3005,$C1250,$D$6:$D$3005,$D1250)&gt;1,"同じ月の請求が重複しています／",""),"")&amp;IF(AND(N($E1250)&gt;0,$Z1250&lt;&gt;"",$Z1250&lt;&gt;"×",$AC1250=0,$AB1250=""),"計算額が下限以下のため不支給／",""))</f>
        <v/>
      </c>
      <c r="AL1250" s="12" t="n"/>
      <c r="AM1250" s="14">
        <f>IF($AD1250="保留中",COUNTIF($AD$6:$AD1250,"保留中"),"")</f>
        <v/>
      </c>
      <c r="AN1250" s="14">
        <f>IF($AO1250="","",IF(SUMPRODUCT(MAX((職員マスタ!$A$6:$A$405=$B1250)*(((職員マスタ!$G$6:$G$405="")+(職員マスタ!$G$6:$G$405&lt;=EOMONTH($AO1250,0)))&gt;0)*(((職員マスタ!$H$6:$H$405="")+(職員マスタ!$H$6:$H$405&gt;=$AO1250))&gt;0)*(ROW(職員マスタ!$A$6:$A$405)-5)))&gt;0,SUMPRODUCT(MAX((職員マスタ!$A$6:$A$405=$B1250)*(((職員マスタ!$G$6:$G$405="")+(職員マスタ!$G$6:$G$405&lt;=EOMONTH($AO1250,0)))&gt;0)*(((職員マスタ!$H$6:$H$405="")+(職員マスタ!$H$6:$H$405&gt;=$AO1250))&gt;0)*(ROW(職員マスタ!$A$6:$A$405)-5))),IFERROR(MATCH($B1250,職員マスタ!$A$6:$A$405,0),"")))</f>
        <v/>
      </c>
      <c r="AO1250" s="16">
        <f>IF(OR($B1250="",$C1250="",$D1250=""),"",DATE($C1250+2018,$D1250,1))</f>
        <v/>
      </c>
    </row>
    <row r="1251">
      <c r="A1251" s="11" t="n"/>
      <c r="B1251" s="12" t="n"/>
      <c r="C1251" s="12" t="n"/>
      <c r="D1251" s="12" t="n"/>
      <c r="E1251" s="13" t="n"/>
      <c r="F1251" s="12" t="n"/>
      <c r="G1251" s="13" t="n"/>
      <c r="H1251" s="12" t="n"/>
      <c r="I1251" s="12" t="n"/>
      <c r="J1251" s="12" t="n"/>
      <c r="K1251" s="12" t="n"/>
      <c r="L1251" s="11" t="n"/>
      <c r="M1251" s="11" t="n"/>
      <c r="N1251" s="11" t="n"/>
      <c r="O1251" s="11" t="n"/>
      <c r="P1251" s="12" t="n"/>
      <c r="Q1251" s="11" t="n"/>
      <c r="R1251" s="12" t="n"/>
      <c r="S1251" s="11" t="n"/>
      <c r="T1251" s="12" t="n"/>
      <c r="U1251" s="12" t="n"/>
      <c r="V1251" s="14">
        <f>IF($AN1251="",IF($B1251="","",$H1251),IF(INDEX(職員マスタ!$B$6:$B$405,$AN1251)="",$H1251,INDEX(職員マスタ!$B$6:$B$405,$AN1251)))</f>
        <v/>
      </c>
      <c r="W1251" s="14">
        <f>IF($AN1251="",IF($B1251="","",$R1251),IF(INDEX(職員マスタ!$C$6:$C$405,$AN1251)="",$R1251,INDEX(職員マスタ!$C$6:$C$405,$AN1251)))</f>
        <v/>
      </c>
      <c r="X1251" s="14">
        <f>IF($AO1251="","","R"&amp;$C1251&amp;"."&amp;$D1251)</f>
        <v/>
      </c>
      <c r="Y1251" s="15">
        <f>IF($AN1251="","",IF(INDEX(職員マスタ!$K$6:$K$405,$AN1251)="","",INDEX(職員マスタ!$K$6:$K$405,$AN1251)))</f>
        <v/>
      </c>
      <c r="Z1251" s="14">
        <f>IF(OR($E1251="",$Y1251=""),"",IF($E1251&gt;=$Y1251,"×",IF($E1251&gt;=$Y1251*設定!$C$5,"△","○")))</f>
        <v/>
      </c>
      <c r="AA1251" s="15">
        <f>IF($Z1251="","",IF($Z1251="×",0,IF($Z1251="○",ROUNDDOWN($E1251*設定!$C$4,0),ROUNDDOWN($E1251*ROUND((9*$Y1251-9*$E1251)/(10*$E1251),4),0))))</f>
        <v/>
      </c>
      <c r="AB1251" s="13" t="n"/>
      <c r="AC1251" s="15">
        <f>IF($B1251="","",IF($AB1251&lt;&gt;"",$AB1251,IF($AA1251="","",IF($AA1251&lt;=設定!$C$3,0,$AA1251))))</f>
        <v/>
      </c>
      <c r="AD1251" s="14">
        <f>IF($B1251="","",IF(AND($AE1251&lt;&gt;"",$AG1251="",$AJ1251=""),"保留中",IF($AJ1251&lt;&gt;"",IF(N($AC1251)&gt;0,"支給済","不支給"),IF($AC1251="","要確認",IF($AC1251=0,"不支給","未処理")))))</f>
        <v/>
      </c>
      <c r="AE1251" s="12" t="n"/>
      <c r="AF1251" s="11" t="n"/>
      <c r="AG1251" s="11" t="n"/>
      <c r="AH1251" s="11" t="n"/>
      <c r="AI1251" s="14">
        <f>IF(AND($AD1251="保留中",$AF1251&lt;&gt;""),TODAY()-$AF1251,"")</f>
        <v/>
      </c>
      <c r="AJ1251" s="12" t="n"/>
      <c r="AK1251" s="14">
        <f>IF($B1251="","",IF($AO1251="","対象年月が未入力／","")&amp;IF($B1251="","",IF($AN1251="","職員マスタに未登録の職員番号／",IF($Y1251="","標準報酬月額が未登録／","")&amp;IF(AND($AO1251&lt;&gt;"",OR(AND(INDEX(職員マスタ!$G$6:$G$405,$AN1251)&lt;&gt;"",INDEX(職員マスタ!$G$6:$G$405,$AN1251)&gt;EOMONTH($AO1251,0)),AND(INDEX(職員マスタ!$H$6:$H$405,$AN1251)&lt;&gt;"",INDEX(職員マスタ!$H$6:$H$405,$AN1251)&lt;$AO1251))),"対象月が時短期間外／","")&amp;IF(AND(INDEX(職員マスタ!$F$6:$F$405,$AN1251)&lt;&gt;"",$AO1251&lt;&gt;"",INDEX(職員マスタ!$F$6:$F$405,$AN1251)&lt;$AO1251),"対象月に子が2歳到達済／","")&amp;IF(AND($H1251&lt;&gt;"",INDEX(職員マスタ!$B$6:$B$405,$AN1251)&lt;&gt;"",SUBSTITUTE(SUBSTITUTE($H1251," ","")," ","")&lt;&gt;SUBSTITUTE(SUBSTITUTE(INDEX(職員マスタ!$B$6:$B$405,$AN1251)," ","")," ","")),"氏名がマスタと相違／","")&amp;IF(AND($Q1251&lt;&gt;"",INDEX(職員マスタ!$E$6:$E$405,$AN1251)&lt;&gt;"",$Q1251&lt;&gt;INDEX(職員マスタ!$E$6:$E$405,$AN1251)),"子の生年月日がマスタと相違／","")&amp;IF(AND($L1251&lt;&gt;"",INDEX(職員マスタ!$G$6:$G$405,$AN1251)&lt;&gt;"",$L1251&lt;&gt;INDEX(職員マスタ!$G$6:$G$405,$AN1251)),"時短開始日がマスタと相違／","")&amp;IF(AND($M1251&lt;&gt;"",INDEX(職員マスタ!$H$6:$H$405,$AN1251)&lt;&gt;"",$M1251&lt;&gt;INDEX(職員マスタ!$H$6:$H$405,$AN1251)),"時短終了日がマスタと相違／","")))&amp;IF(AND($B1251&lt;&gt;"",$E1251=""),"報酬額が未入力／","")&amp;IF(N($U1251)&gt;0,"申請書に入力エラーが残っています／","")&amp;IF(AND($B1251&lt;&gt;"",$AO1251&lt;&gt;""),IF(COUNTIFS($B$6:$B$3005,$B1251,$C$6:$C$3005,$C1251,$D$6:$D$3005,$D1251)&gt;1,"同じ月の請求が重複しています／",""),"")&amp;IF(AND(N($E1251)&gt;0,$Z1251&lt;&gt;"",$Z1251&lt;&gt;"×",$AC1251=0,$AB1251=""),"計算額が下限以下のため不支給／",""))</f>
        <v/>
      </c>
      <c r="AL1251" s="12" t="n"/>
      <c r="AM1251" s="14">
        <f>IF($AD1251="保留中",COUNTIF($AD$6:$AD1251,"保留中"),"")</f>
        <v/>
      </c>
      <c r="AN1251" s="14">
        <f>IF($AO1251="","",IF(SUMPRODUCT(MAX((職員マスタ!$A$6:$A$405=$B1251)*(((職員マスタ!$G$6:$G$405="")+(職員マスタ!$G$6:$G$405&lt;=EOMONTH($AO1251,0)))&gt;0)*(((職員マスタ!$H$6:$H$405="")+(職員マスタ!$H$6:$H$405&gt;=$AO1251))&gt;0)*(ROW(職員マスタ!$A$6:$A$405)-5)))&gt;0,SUMPRODUCT(MAX((職員マスタ!$A$6:$A$405=$B1251)*(((職員マスタ!$G$6:$G$405="")+(職員マスタ!$G$6:$G$405&lt;=EOMONTH($AO1251,0)))&gt;0)*(((職員マスタ!$H$6:$H$405="")+(職員マスタ!$H$6:$H$405&gt;=$AO1251))&gt;0)*(ROW(職員マスタ!$A$6:$A$405)-5))),IFERROR(MATCH($B1251,職員マスタ!$A$6:$A$405,0),"")))</f>
        <v/>
      </c>
      <c r="AO1251" s="16">
        <f>IF(OR($B1251="",$C1251="",$D1251=""),"",DATE($C1251+2018,$D1251,1))</f>
        <v/>
      </c>
    </row>
    <row r="1252">
      <c r="A1252" s="11" t="n"/>
      <c r="B1252" s="12" t="n"/>
      <c r="C1252" s="12" t="n"/>
      <c r="D1252" s="12" t="n"/>
      <c r="E1252" s="13" t="n"/>
      <c r="F1252" s="12" t="n"/>
      <c r="G1252" s="13" t="n"/>
      <c r="H1252" s="12" t="n"/>
      <c r="I1252" s="12" t="n"/>
      <c r="J1252" s="12" t="n"/>
      <c r="K1252" s="12" t="n"/>
      <c r="L1252" s="11" t="n"/>
      <c r="M1252" s="11" t="n"/>
      <c r="N1252" s="11" t="n"/>
      <c r="O1252" s="11" t="n"/>
      <c r="P1252" s="12" t="n"/>
      <c r="Q1252" s="11" t="n"/>
      <c r="R1252" s="12" t="n"/>
      <c r="S1252" s="11" t="n"/>
      <c r="T1252" s="12" t="n"/>
      <c r="U1252" s="12" t="n"/>
      <c r="V1252" s="14">
        <f>IF($AN1252="",IF($B1252="","",$H1252),IF(INDEX(職員マスタ!$B$6:$B$405,$AN1252)="",$H1252,INDEX(職員マスタ!$B$6:$B$405,$AN1252)))</f>
        <v/>
      </c>
      <c r="W1252" s="14">
        <f>IF($AN1252="",IF($B1252="","",$R1252),IF(INDEX(職員マスタ!$C$6:$C$405,$AN1252)="",$R1252,INDEX(職員マスタ!$C$6:$C$405,$AN1252)))</f>
        <v/>
      </c>
      <c r="X1252" s="14">
        <f>IF($AO1252="","","R"&amp;$C1252&amp;"."&amp;$D1252)</f>
        <v/>
      </c>
      <c r="Y1252" s="15">
        <f>IF($AN1252="","",IF(INDEX(職員マスタ!$K$6:$K$405,$AN1252)="","",INDEX(職員マスタ!$K$6:$K$405,$AN1252)))</f>
        <v/>
      </c>
      <c r="Z1252" s="14">
        <f>IF(OR($E1252="",$Y1252=""),"",IF($E1252&gt;=$Y1252,"×",IF($E1252&gt;=$Y1252*設定!$C$5,"△","○")))</f>
        <v/>
      </c>
      <c r="AA1252" s="15">
        <f>IF($Z1252="","",IF($Z1252="×",0,IF($Z1252="○",ROUNDDOWN($E1252*設定!$C$4,0),ROUNDDOWN($E1252*ROUND((9*$Y1252-9*$E1252)/(10*$E1252),4),0))))</f>
        <v/>
      </c>
      <c r="AB1252" s="13" t="n"/>
      <c r="AC1252" s="15">
        <f>IF($B1252="","",IF($AB1252&lt;&gt;"",$AB1252,IF($AA1252="","",IF($AA1252&lt;=設定!$C$3,0,$AA1252))))</f>
        <v/>
      </c>
      <c r="AD1252" s="14">
        <f>IF($B1252="","",IF(AND($AE1252&lt;&gt;"",$AG1252="",$AJ1252=""),"保留中",IF($AJ1252&lt;&gt;"",IF(N($AC1252)&gt;0,"支給済","不支給"),IF($AC1252="","要確認",IF($AC1252=0,"不支給","未処理")))))</f>
        <v/>
      </c>
      <c r="AE1252" s="12" t="n"/>
      <c r="AF1252" s="11" t="n"/>
      <c r="AG1252" s="11" t="n"/>
      <c r="AH1252" s="11" t="n"/>
      <c r="AI1252" s="14">
        <f>IF(AND($AD1252="保留中",$AF1252&lt;&gt;""),TODAY()-$AF1252,"")</f>
        <v/>
      </c>
      <c r="AJ1252" s="12" t="n"/>
      <c r="AK1252" s="14">
        <f>IF($B1252="","",IF($AO1252="","対象年月が未入力／","")&amp;IF($B1252="","",IF($AN1252="","職員マスタに未登録の職員番号／",IF($Y1252="","標準報酬月額が未登録／","")&amp;IF(AND($AO1252&lt;&gt;"",OR(AND(INDEX(職員マスタ!$G$6:$G$405,$AN1252)&lt;&gt;"",INDEX(職員マスタ!$G$6:$G$405,$AN1252)&gt;EOMONTH($AO1252,0)),AND(INDEX(職員マスタ!$H$6:$H$405,$AN1252)&lt;&gt;"",INDEX(職員マスタ!$H$6:$H$405,$AN1252)&lt;$AO1252))),"対象月が時短期間外／","")&amp;IF(AND(INDEX(職員マスタ!$F$6:$F$405,$AN1252)&lt;&gt;"",$AO1252&lt;&gt;"",INDEX(職員マスタ!$F$6:$F$405,$AN1252)&lt;$AO1252),"対象月に子が2歳到達済／","")&amp;IF(AND($H1252&lt;&gt;"",INDEX(職員マスタ!$B$6:$B$405,$AN1252)&lt;&gt;"",SUBSTITUTE(SUBSTITUTE($H1252," ","")," ","")&lt;&gt;SUBSTITUTE(SUBSTITUTE(INDEX(職員マスタ!$B$6:$B$405,$AN1252)," ","")," ","")),"氏名がマスタと相違／","")&amp;IF(AND($Q1252&lt;&gt;"",INDEX(職員マスタ!$E$6:$E$405,$AN1252)&lt;&gt;"",$Q1252&lt;&gt;INDEX(職員マスタ!$E$6:$E$405,$AN1252)),"子の生年月日がマスタと相違／","")&amp;IF(AND($L1252&lt;&gt;"",INDEX(職員マスタ!$G$6:$G$405,$AN1252)&lt;&gt;"",$L1252&lt;&gt;INDEX(職員マスタ!$G$6:$G$405,$AN1252)),"時短開始日がマスタと相違／","")&amp;IF(AND($M1252&lt;&gt;"",INDEX(職員マスタ!$H$6:$H$405,$AN1252)&lt;&gt;"",$M1252&lt;&gt;INDEX(職員マスタ!$H$6:$H$405,$AN1252)),"時短終了日がマスタと相違／","")))&amp;IF(AND($B1252&lt;&gt;"",$E1252=""),"報酬額が未入力／","")&amp;IF(N($U1252)&gt;0,"申請書に入力エラーが残っています／","")&amp;IF(AND($B1252&lt;&gt;"",$AO1252&lt;&gt;""),IF(COUNTIFS($B$6:$B$3005,$B1252,$C$6:$C$3005,$C1252,$D$6:$D$3005,$D1252)&gt;1,"同じ月の請求が重複しています／",""),"")&amp;IF(AND(N($E1252)&gt;0,$Z1252&lt;&gt;"",$Z1252&lt;&gt;"×",$AC1252=0,$AB1252=""),"計算額が下限以下のため不支給／",""))</f>
        <v/>
      </c>
      <c r="AL1252" s="12" t="n"/>
      <c r="AM1252" s="14">
        <f>IF($AD1252="保留中",COUNTIF($AD$6:$AD1252,"保留中"),"")</f>
        <v/>
      </c>
      <c r="AN1252" s="14">
        <f>IF($AO1252="","",IF(SUMPRODUCT(MAX((職員マスタ!$A$6:$A$405=$B1252)*(((職員マスタ!$G$6:$G$405="")+(職員マスタ!$G$6:$G$405&lt;=EOMONTH($AO1252,0)))&gt;0)*(((職員マスタ!$H$6:$H$405="")+(職員マスタ!$H$6:$H$405&gt;=$AO1252))&gt;0)*(ROW(職員マスタ!$A$6:$A$405)-5)))&gt;0,SUMPRODUCT(MAX((職員マスタ!$A$6:$A$405=$B1252)*(((職員マスタ!$G$6:$G$405="")+(職員マスタ!$G$6:$G$405&lt;=EOMONTH($AO1252,0)))&gt;0)*(((職員マスタ!$H$6:$H$405="")+(職員マスタ!$H$6:$H$405&gt;=$AO1252))&gt;0)*(ROW(職員マスタ!$A$6:$A$405)-5))),IFERROR(MATCH($B1252,職員マスタ!$A$6:$A$405,0),"")))</f>
        <v/>
      </c>
      <c r="AO1252" s="16">
        <f>IF(OR($B1252="",$C1252="",$D1252=""),"",DATE($C1252+2018,$D1252,1))</f>
        <v/>
      </c>
    </row>
    <row r="1253">
      <c r="A1253" s="11" t="n"/>
      <c r="B1253" s="12" t="n"/>
      <c r="C1253" s="12" t="n"/>
      <c r="D1253" s="12" t="n"/>
      <c r="E1253" s="13" t="n"/>
      <c r="F1253" s="12" t="n"/>
      <c r="G1253" s="13" t="n"/>
      <c r="H1253" s="12" t="n"/>
      <c r="I1253" s="12" t="n"/>
      <c r="J1253" s="12" t="n"/>
      <c r="K1253" s="12" t="n"/>
      <c r="L1253" s="11" t="n"/>
      <c r="M1253" s="11" t="n"/>
      <c r="N1253" s="11" t="n"/>
      <c r="O1253" s="11" t="n"/>
      <c r="P1253" s="12" t="n"/>
      <c r="Q1253" s="11" t="n"/>
      <c r="R1253" s="12" t="n"/>
      <c r="S1253" s="11" t="n"/>
      <c r="T1253" s="12" t="n"/>
      <c r="U1253" s="12" t="n"/>
      <c r="V1253" s="14">
        <f>IF($AN1253="",IF($B1253="","",$H1253),IF(INDEX(職員マスタ!$B$6:$B$405,$AN1253)="",$H1253,INDEX(職員マスタ!$B$6:$B$405,$AN1253)))</f>
        <v/>
      </c>
      <c r="W1253" s="14">
        <f>IF($AN1253="",IF($B1253="","",$R1253),IF(INDEX(職員マスタ!$C$6:$C$405,$AN1253)="",$R1253,INDEX(職員マスタ!$C$6:$C$405,$AN1253)))</f>
        <v/>
      </c>
      <c r="X1253" s="14">
        <f>IF($AO1253="","","R"&amp;$C1253&amp;"."&amp;$D1253)</f>
        <v/>
      </c>
      <c r="Y1253" s="15">
        <f>IF($AN1253="","",IF(INDEX(職員マスタ!$K$6:$K$405,$AN1253)="","",INDEX(職員マスタ!$K$6:$K$405,$AN1253)))</f>
        <v/>
      </c>
      <c r="Z1253" s="14">
        <f>IF(OR($E1253="",$Y1253=""),"",IF($E1253&gt;=$Y1253,"×",IF($E1253&gt;=$Y1253*設定!$C$5,"△","○")))</f>
        <v/>
      </c>
      <c r="AA1253" s="15">
        <f>IF($Z1253="","",IF($Z1253="×",0,IF($Z1253="○",ROUNDDOWN($E1253*設定!$C$4,0),ROUNDDOWN($E1253*ROUND((9*$Y1253-9*$E1253)/(10*$E1253),4),0))))</f>
        <v/>
      </c>
      <c r="AB1253" s="13" t="n"/>
      <c r="AC1253" s="15">
        <f>IF($B1253="","",IF($AB1253&lt;&gt;"",$AB1253,IF($AA1253="","",IF($AA1253&lt;=設定!$C$3,0,$AA1253))))</f>
        <v/>
      </c>
      <c r="AD1253" s="14">
        <f>IF($B1253="","",IF(AND($AE1253&lt;&gt;"",$AG1253="",$AJ1253=""),"保留中",IF($AJ1253&lt;&gt;"",IF(N($AC1253)&gt;0,"支給済","不支給"),IF($AC1253="","要確認",IF($AC1253=0,"不支給","未処理")))))</f>
        <v/>
      </c>
      <c r="AE1253" s="12" t="n"/>
      <c r="AF1253" s="11" t="n"/>
      <c r="AG1253" s="11" t="n"/>
      <c r="AH1253" s="11" t="n"/>
      <c r="AI1253" s="14">
        <f>IF(AND($AD1253="保留中",$AF1253&lt;&gt;""),TODAY()-$AF1253,"")</f>
        <v/>
      </c>
      <c r="AJ1253" s="12" t="n"/>
      <c r="AK1253" s="14">
        <f>IF($B1253="","",IF($AO1253="","対象年月が未入力／","")&amp;IF($B1253="","",IF($AN1253="","職員マスタに未登録の職員番号／",IF($Y1253="","標準報酬月額が未登録／","")&amp;IF(AND($AO1253&lt;&gt;"",OR(AND(INDEX(職員マスタ!$G$6:$G$405,$AN1253)&lt;&gt;"",INDEX(職員マスタ!$G$6:$G$405,$AN1253)&gt;EOMONTH($AO1253,0)),AND(INDEX(職員マスタ!$H$6:$H$405,$AN1253)&lt;&gt;"",INDEX(職員マスタ!$H$6:$H$405,$AN1253)&lt;$AO1253))),"対象月が時短期間外／","")&amp;IF(AND(INDEX(職員マスタ!$F$6:$F$405,$AN1253)&lt;&gt;"",$AO1253&lt;&gt;"",INDEX(職員マスタ!$F$6:$F$405,$AN1253)&lt;$AO1253),"対象月に子が2歳到達済／","")&amp;IF(AND($H1253&lt;&gt;"",INDEX(職員マスタ!$B$6:$B$405,$AN1253)&lt;&gt;"",SUBSTITUTE(SUBSTITUTE($H1253," ","")," ","")&lt;&gt;SUBSTITUTE(SUBSTITUTE(INDEX(職員マスタ!$B$6:$B$405,$AN1253)," ","")," ","")),"氏名がマスタと相違／","")&amp;IF(AND($Q1253&lt;&gt;"",INDEX(職員マスタ!$E$6:$E$405,$AN1253)&lt;&gt;"",$Q1253&lt;&gt;INDEX(職員マスタ!$E$6:$E$405,$AN1253)),"子の生年月日がマスタと相違／","")&amp;IF(AND($L1253&lt;&gt;"",INDEX(職員マスタ!$G$6:$G$405,$AN1253)&lt;&gt;"",$L1253&lt;&gt;INDEX(職員マスタ!$G$6:$G$405,$AN1253)),"時短開始日がマスタと相違／","")&amp;IF(AND($M1253&lt;&gt;"",INDEX(職員マスタ!$H$6:$H$405,$AN1253)&lt;&gt;"",$M1253&lt;&gt;INDEX(職員マスタ!$H$6:$H$405,$AN1253)),"時短終了日がマスタと相違／","")))&amp;IF(AND($B1253&lt;&gt;"",$E1253=""),"報酬額が未入力／","")&amp;IF(N($U1253)&gt;0,"申請書に入力エラーが残っています／","")&amp;IF(AND($B1253&lt;&gt;"",$AO1253&lt;&gt;""),IF(COUNTIFS($B$6:$B$3005,$B1253,$C$6:$C$3005,$C1253,$D$6:$D$3005,$D1253)&gt;1,"同じ月の請求が重複しています／",""),"")&amp;IF(AND(N($E1253)&gt;0,$Z1253&lt;&gt;"",$Z1253&lt;&gt;"×",$AC1253=0,$AB1253=""),"計算額が下限以下のため不支給／",""))</f>
        <v/>
      </c>
      <c r="AL1253" s="12" t="n"/>
      <c r="AM1253" s="14">
        <f>IF($AD1253="保留中",COUNTIF($AD$6:$AD1253,"保留中"),"")</f>
        <v/>
      </c>
      <c r="AN1253" s="14">
        <f>IF($AO1253="","",IF(SUMPRODUCT(MAX((職員マスタ!$A$6:$A$405=$B1253)*(((職員マスタ!$G$6:$G$405="")+(職員マスタ!$G$6:$G$405&lt;=EOMONTH($AO1253,0)))&gt;0)*(((職員マスタ!$H$6:$H$405="")+(職員マスタ!$H$6:$H$405&gt;=$AO1253))&gt;0)*(ROW(職員マスタ!$A$6:$A$405)-5)))&gt;0,SUMPRODUCT(MAX((職員マスタ!$A$6:$A$405=$B1253)*(((職員マスタ!$G$6:$G$405="")+(職員マスタ!$G$6:$G$405&lt;=EOMONTH($AO1253,0)))&gt;0)*(((職員マスタ!$H$6:$H$405="")+(職員マスタ!$H$6:$H$405&gt;=$AO1253))&gt;0)*(ROW(職員マスタ!$A$6:$A$405)-5))),IFERROR(MATCH($B1253,職員マスタ!$A$6:$A$405,0),"")))</f>
        <v/>
      </c>
      <c r="AO1253" s="16">
        <f>IF(OR($B1253="",$C1253="",$D1253=""),"",DATE($C1253+2018,$D1253,1))</f>
        <v/>
      </c>
    </row>
    <row r="1254">
      <c r="A1254" s="11" t="n"/>
      <c r="B1254" s="12" t="n"/>
      <c r="C1254" s="12" t="n"/>
      <c r="D1254" s="12" t="n"/>
      <c r="E1254" s="13" t="n"/>
      <c r="F1254" s="12" t="n"/>
      <c r="G1254" s="13" t="n"/>
      <c r="H1254" s="12" t="n"/>
      <c r="I1254" s="12" t="n"/>
      <c r="J1254" s="12" t="n"/>
      <c r="K1254" s="12" t="n"/>
      <c r="L1254" s="11" t="n"/>
      <c r="M1254" s="11" t="n"/>
      <c r="N1254" s="11" t="n"/>
      <c r="O1254" s="11" t="n"/>
      <c r="P1254" s="12" t="n"/>
      <c r="Q1254" s="11" t="n"/>
      <c r="R1254" s="12" t="n"/>
      <c r="S1254" s="11" t="n"/>
      <c r="T1254" s="12" t="n"/>
      <c r="U1254" s="12" t="n"/>
      <c r="V1254" s="14">
        <f>IF($AN1254="",IF($B1254="","",$H1254),IF(INDEX(職員マスタ!$B$6:$B$405,$AN1254)="",$H1254,INDEX(職員マスタ!$B$6:$B$405,$AN1254)))</f>
        <v/>
      </c>
      <c r="W1254" s="14">
        <f>IF($AN1254="",IF($B1254="","",$R1254),IF(INDEX(職員マスタ!$C$6:$C$405,$AN1254)="",$R1254,INDEX(職員マスタ!$C$6:$C$405,$AN1254)))</f>
        <v/>
      </c>
      <c r="X1254" s="14">
        <f>IF($AO1254="","","R"&amp;$C1254&amp;"."&amp;$D1254)</f>
        <v/>
      </c>
      <c r="Y1254" s="15">
        <f>IF($AN1254="","",IF(INDEX(職員マスタ!$K$6:$K$405,$AN1254)="","",INDEX(職員マスタ!$K$6:$K$405,$AN1254)))</f>
        <v/>
      </c>
      <c r="Z1254" s="14">
        <f>IF(OR($E1254="",$Y1254=""),"",IF($E1254&gt;=$Y1254,"×",IF($E1254&gt;=$Y1254*設定!$C$5,"△","○")))</f>
        <v/>
      </c>
      <c r="AA1254" s="15">
        <f>IF($Z1254="","",IF($Z1254="×",0,IF($Z1254="○",ROUNDDOWN($E1254*設定!$C$4,0),ROUNDDOWN($E1254*ROUND((9*$Y1254-9*$E1254)/(10*$E1254),4),0))))</f>
        <v/>
      </c>
      <c r="AB1254" s="13" t="n"/>
      <c r="AC1254" s="15">
        <f>IF($B1254="","",IF($AB1254&lt;&gt;"",$AB1254,IF($AA1254="","",IF($AA1254&lt;=設定!$C$3,0,$AA1254))))</f>
        <v/>
      </c>
      <c r="AD1254" s="14">
        <f>IF($B1254="","",IF(AND($AE1254&lt;&gt;"",$AG1254="",$AJ1254=""),"保留中",IF($AJ1254&lt;&gt;"",IF(N($AC1254)&gt;0,"支給済","不支給"),IF($AC1254="","要確認",IF($AC1254=0,"不支給","未処理")))))</f>
        <v/>
      </c>
      <c r="AE1254" s="12" t="n"/>
      <c r="AF1254" s="11" t="n"/>
      <c r="AG1254" s="11" t="n"/>
      <c r="AH1254" s="11" t="n"/>
      <c r="AI1254" s="14">
        <f>IF(AND($AD1254="保留中",$AF1254&lt;&gt;""),TODAY()-$AF1254,"")</f>
        <v/>
      </c>
      <c r="AJ1254" s="12" t="n"/>
      <c r="AK1254" s="14">
        <f>IF($B1254="","",IF($AO1254="","対象年月が未入力／","")&amp;IF($B1254="","",IF($AN1254="","職員マスタに未登録の職員番号／",IF($Y1254="","標準報酬月額が未登録／","")&amp;IF(AND($AO1254&lt;&gt;"",OR(AND(INDEX(職員マスタ!$G$6:$G$405,$AN1254)&lt;&gt;"",INDEX(職員マスタ!$G$6:$G$405,$AN1254)&gt;EOMONTH($AO1254,0)),AND(INDEX(職員マスタ!$H$6:$H$405,$AN1254)&lt;&gt;"",INDEX(職員マスタ!$H$6:$H$405,$AN1254)&lt;$AO1254))),"対象月が時短期間外／","")&amp;IF(AND(INDEX(職員マスタ!$F$6:$F$405,$AN1254)&lt;&gt;"",$AO1254&lt;&gt;"",INDEX(職員マスタ!$F$6:$F$405,$AN1254)&lt;$AO1254),"対象月に子が2歳到達済／","")&amp;IF(AND($H1254&lt;&gt;"",INDEX(職員マスタ!$B$6:$B$405,$AN1254)&lt;&gt;"",SUBSTITUTE(SUBSTITUTE($H1254," ","")," ","")&lt;&gt;SUBSTITUTE(SUBSTITUTE(INDEX(職員マスタ!$B$6:$B$405,$AN1254)," ","")," ","")),"氏名がマスタと相違／","")&amp;IF(AND($Q1254&lt;&gt;"",INDEX(職員マスタ!$E$6:$E$405,$AN1254)&lt;&gt;"",$Q1254&lt;&gt;INDEX(職員マスタ!$E$6:$E$405,$AN1254)),"子の生年月日がマスタと相違／","")&amp;IF(AND($L1254&lt;&gt;"",INDEX(職員マスタ!$G$6:$G$405,$AN1254)&lt;&gt;"",$L1254&lt;&gt;INDEX(職員マスタ!$G$6:$G$405,$AN1254)),"時短開始日がマスタと相違／","")&amp;IF(AND($M1254&lt;&gt;"",INDEX(職員マスタ!$H$6:$H$405,$AN1254)&lt;&gt;"",$M1254&lt;&gt;INDEX(職員マスタ!$H$6:$H$405,$AN1254)),"時短終了日がマスタと相違／","")))&amp;IF(AND($B1254&lt;&gt;"",$E1254=""),"報酬額が未入力／","")&amp;IF(N($U1254)&gt;0,"申請書に入力エラーが残っています／","")&amp;IF(AND($B1254&lt;&gt;"",$AO1254&lt;&gt;""),IF(COUNTIFS($B$6:$B$3005,$B1254,$C$6:$C$3005,$C1254,$D$6:$D$3005,$D1254)&gt;1,"同じ月の請求が重複しています／",""),"")&amp;IF(AND(N($E1254)&gt;0,$Z1254&lt;&gt;"",$Z1254&lt;&gt;"×",$AC1254=0,$AB1254=""),"計算額が下限以下のため不支給／",""))</f>
        <v/>
      </c>
      <c r="AL1254" s="12" t="n"/>
      <c r="AM1254" s="14">
        <f>IF($AD1254="保留中",COUNTIF($AD$6:$AD1254,"保留中"),"")</f>
        <v/>
      </c>
      <c r="AN1254" s="14">
        <f>IF($AO1254="","",IF(SUMPRODUCT(MAX((職員マスタ!$A$6:$A$405=$B1254)*(((職員マスタ!$G$6:$G$405="")+(職員マスタ!$G$6:$G$405&lt;=EOMONTH($AO1254,0)))&gt;0)*(((職員マスタ!$H$6:$H$405="")+(職員マスタ!$H$6:$H$405&gt;=$AO1254))&gt;0)*(ROW(職員マスタ!$A$6:$A$405)-5)))&gt;0,SUMPRODUCT(MAX((職員マスタ!$A$6:$A$405=$B1254)*(((職員マスタ!$G$6:$G$405="")+(職員マスタ!$G$6:$G$405&lt;=EOMONTH($AO1254,0)))&gt;0)*(((職員マスタ!$H$6:$H$405="")+(職員マスタ!$H$6:$H$405&gt;=$AO1254))&gt;0)*(ROW(職員マスタ!$A$6:$A$405)-5))),IFERROR(MATCH($B1254,職員マスタ!$A$6:$A$405,0),"")))</f>
        <v/>
      </c>
      <c r="AO1254" s="16">
        <f>IF(OR($B1254="",$C1254="",$D1254=""),"",DATE($C1254+2018,$D1254,1))</f>
        <v/>
      </c>
    </row>
    <row r="1255">
      <c r="A1255" s="11" t="n"/>
      <c r="B1255" s="12" t="n"/>
      <c r="C1255" s="12" t="n"/>
      <c r="D1255" s="12" t="n"/>
      <c r="E1255" s="13" t="n"/>
      <c r="F1255" s="12" t="n"/>
      <c r="G1255" s="13" t="n"/>
      <c r="H1255" s="12" t="n"/>
      <c r="I1255" s="12" t="n"/>
      <c r="J1255" s="12" t="n"/>
      <c r="K1255" s="12" t="n"/>
      <c r="L1255" s="11" t="n"/>
      <c r="M1255" s="11" t="n"/>
      <c r="N1255" s="11" t="n"/>
      <c r="O1255" s="11" t="n"/>
      <c r="P1255" s="12" t="n"/>
      <c r="Q1255" s="11" t="n"/>
      <c r="R1255" s="12" t="n"/>
      <c r="S1255" s="11" t="n"/>
      <c r="T1255" s="12" t="n"/>
      <c r="U1255" s="12" t="n"/>
      <c r="V1255" s="14">
        <f>IF($AN1255="",IF($B1255="","",$H1255),IF(INDEX(職員マスタ!$B$6:$B$405,$AN1255)="",$H1255,INDEX(職員マスタ!$B$6:$B$405,$AN1255)))</f>
        <v/>
      </c>
      <c r="W1255" s="14">
        <f>IF($AN1255="",IF($B1255="","",$R1255),IF(INDEX(職員マスタ!$C$6:$C$405,$AN1255)="",$R1255,INDEX(職員マスタ!$C$6:$C$405,$AN1255)))</f>
        <v/>
      </c>
      <c r="X1255" s="14">
        <f>IF($AO1255="","","R"&amp;$C1255&amp;"."&amp;$D1255)</f>
        <v/>
      </c>
      <c r="Y1255" s="15">
        <f>IF($AN1255="","",IF(INDEX(職員マスタ!$K$6:$K$405,$AN1255)="","",INDEX(職員マスタ!$K$6:$K$405,$AN1255)))</f>
        <v/>
      </c>
      <c r="Z1255" s="14">
        <f>IF(OR($E1255="",$Y1255=""),"",IF($E1255&gt;=$Y1255,"×",IF($E1255&gt;=$Y1255*設定!$C$5,"△","○")))</f>
        <v/>
      </c>
      <c r="AA1255" s="15">
        <f>IF($Z1255="","",IF($Z1255="×",0,IF($Z1255="○",ROUNDDOWN($E1255*設定!$C$4,0),ROUNDDOWN($E1255*ROUND((9*$Y1255-9*$E1255)/(10*$E1255),4),0))))</f>
        <v/>
      </c>
      <c r="AB1255" s="13" t="n"/>
      <c r="AC1255" s="15">
        <f>IF($B1255="","",IF($AB1255&lt;&gt;"",$AB1255,IF($AA1255="","",IF($AA1255&lt;=設定!$C$3,0,$AA1255))))</f>
        <v/>
      </c>
      <c r="AD1255" s="14">
        <f>IF($B1255="","",IF(AND($AE1255&lt;&gt;"",$AG1255="",$AJ1255=""),"保留中",IF($AJ1255&lt;&gt;"",IF(N($AC1255)&gt;0,"支給済","不支給"),IF($AC1255="","要確認",IF($AC1255=0,"不支給","未処理")))))</f>
        <v/>
      </c>
      <c r="AE1255" s="12" t="n"/>
      <c r="AF1255" s="11" t="n"/>
      <c r="AG1255" s="11" t="n"/>
      <c r="AH1255" s="11" t="n"/>
      <c r="AI1255" s="14">
        <f>IF(AND($AD1255="保留中",$AF1255&lt;&gt;""),TODAY()-$AF1255,"")</f>
        <v/>
      </c>
      <c r="AJ1255" s="12" t="n"/>
      <c r="AK1255" s="14">
        <f>IF($B1255="","",IF($AO1255="","対象年月が未入力／","")&amp;IF($B1255="","",IF($AN1255="","職員マスタに未登録の職員番号／",IF($Y1255="","標準報酬月額が未登録／","")&amp;IF(AND($AO1255&lt;&gt;"",OR(AND(INDEX(職員マスタ!$G$6:$G$405,$AN1255)&lt;&gt;"",INDEX(職員マスタ!$G$6:$G$405,$AN1255)&gt;EOMONTH($AO1255,0)),AND(INDEX(職員マスタ!$H$6:$H$405,$AN1255)&lt;&gt;"",INDEX(職員マスタ!$H$6:$H$405,$AN1255)&lt;$AO1255))),"対象月が時短期間外／","")&amp;IF(AND(INDEX(職員マスタ!$F$6:$F$405,$AN1255)&lt;&gt;"",$AO1255&lt;&gt;"",INDEX(職員マスタ!$F$6:$F$405,$AN1255)&lt;$AO1255),"対象月に子が2歳到達済／","")&amp;IF(AND($H1255&lt;&gt;"",INDEX(職員マスタ!$B$6:$B$405,$AN1255)&lt;&gt;"",SUBSTITUTE(SUBSTITUTE($H1255," ","")," ","")&lt;&gt;SUBSTITUTE(SUBSTITUTE(INDEX(職員マスタ!$B$6:$B$405,$AN1255)," ","")," ","")),"氏名がマスタと相違／","")&amp;IF(AND($Q1255&lt;&gt;"",INDEX(職員マスタ!$E$6:$E$405,$AN1255)&lt;&gt;"",$Q1255&lt;&gt;INDEX(職員マスタ!$E$6:$E$405,$AN1255)),"子の生年月日がマスタと相違／","")&amp;IF(AND($L1255&lt;&gt;"",INDEX(職員マスタ!$G$6:$G$405,$AN1255)&lt;&gt;"",$L1255&lt;&gt;INDEX(職員マスタ!$G$6:$G$405,$AN1255)),"時短開始日がマスタと相違／","")&amp;IF(AND($M1255&lt;&gt;"",INDEX(職員マスタ!$H$6:$H$405,$AN1255)&lt;&gt;"",$M1255&lt;&gt;INDEX(職員マスタ!$H$6:$H$405,$AN1255)),"時短終了日がマスタと相違／","")))&amp;IF(AND($B1255&lt;&gt;"",$E1255=""),"報酬額が未入力／","")&amp;IF(N($U1255)&gt;0,"申請書に入力エラーが残っています／","")&amp;IF(AND($B1255&lt;&gt;"",$AO1255&lt;&gt;""),IF(COUNTIFS($B$6:$B$3005,$B1255,$C$6:$C$3005,$C1255,$D$6:$D$3005,$D1255)&gt;1,"同じ月の請求が重複しています／",""),"")&amp;IF(AND(N($E1255)&gt;0,$Z1255&lt;&gt;"",$Z1255&lt;&gt;"×",$AC1255=0,$AB1255=""),"計算額が下限以下のため不支給／",""))</f>
        <v/>
      </c>
      <c r="AL1255" s="12" t="n"/>
      <c r="AM1255" s="14">
        <f>IF($AD1255="保留中",COUNTIF($AD$6:$AD1255,"保留中"),"")</f>
        <v/>
      </c>
      <c r="AN1255" s="14">
        <f>IF($AO1255="","",IF(SUMPRODUCT(MAX((職員マスタ!$A$6:$A$405=$B1255)*(((職員マスタ!$G$6:$G$405="")+(職員マスタ!$G$6:$G$405&lt;=EOMONTH($AO1255,0)))&gt;0)*(((職員マスタ!$H$6:$H$405="")+(職員マスタ!$H$6:$H$405&gt;=$AO1255))&gt;0)*(ROW(職員マスタ!$A$6:$A$405)-5)))&gt;0,SUMPRODUCT(MAX((職員マスタ!$A$6:$A$405=$B1255)*(((職員マスタ!$G$6:$G$405="")+(職員マスタ!$G$6:$G$405&lt;=EOMONTH($AO1255,0)))&gt;0)*(((職員マスタ!$H$6:$H$405="")+(職員マスタ!$H$6:$H$405&gt;=$AO1255))&gt;0)*(ROW(職員マスタ!$A$6:$A$405)-5))),IFERROR(MATCH($B1255,職員マスタ!$A$6:$A$405,0),"")))</f>
        <v/>
      </c>
      <c r="AO1255" s="16">
        <f>IF(OR($B1255="",$C1255="",$D1255=""),"",DATE($C1255+2018,$D1255,1))</f>
        <v/>
      </c>
    </row>
    <row r="1256">
      <c r="A1256" s="11" t="n"/>
      <c r="B1256" s="12" t="n"/>
      <c r="C1256" s="12" t="n"/>
      <c r="D1256" s="12" t="n"/>
      <c r="E1256" s="13" t="n"/>
      <c r="F1256" s="12" t="n"/>
      <c r="G1256" s="13" t="n"/>
      <c r="H1256" s="12" t="n"/>
      <c r="I1256" s="12" t="n"/>
      <c r="J1256" s="12" t="n"/>
      <c r="K1256" s="12" t="n"/>
      <c r="L1256" s="11" t="n"/>
      <c r="M1256" s="11" t="n"/>
      <c r="N1256" s="11" t="n"/>
      <c r="O1256" s="11" t="n"/>
      <c r="P1256" s="12" t="n"/>
      <c r="Q1256" s="11" t="n"/>
      <c r="R1256" s="12" t="n"/>
      <c r="S1256" s="11" t="n"/>
      <c r="T1256" s="12" t="n"/>
      <c r="U1256" s="12" t="n"/>
      <c r="V1256" s="14">
        <f>IF($AN1256="",IF($B1256="","",$H1256),IF(INDEX(職員マスタ!$B$6:$B$405,$AN1256)="",$H1256,INDEX(職員マスタ!$B$6:$B$405,$AN1256)))</f>
        <v/>
      </c>
      <c r="W1256" s="14">
        <f>IF($AN1256="",IF($B1256="","",$R1256),IF(INDEX(職員マスタ!$C$6:$C$405,$AN1256)="",$R1256,INDEX(職員マスタ!$C$6:$C$405,$AN1256)))</f>
        <v/>
      </c>
      <c r="X1256" s="14">
        <f>IF($AO1256="","","R"&amp;$C1256&amp;"."&amp;$D1256)</f>
        <v/>
      </c>
      <c r="Y1256" s="15">
        <f>IF($AN1256="","",IF(INDEX(職員マスタ!$K$6:$K$405,$AN1256)="","",INDEX(職員マスタ!$K$6:$K$405,$AN1256)))</f>
        <v/>
      </c>
      <c r="Z1256" s="14">
        <f>IF(OR($E1256="",$Y1256=""),"",IF($E1256&gt;=$Y1256,"×",IF($E1256&gt;=$Y1256*設定!$C$5,"△","○")))</f>
        <v/>
      </c>
      <c r="AA1256" s="15">
        <f>IF($Z1256="","",IF($Z1256="×",0,IF($Z1256="○",ROUNDDOWN($E1256*設定!$C$4,0),ROUNDDOWN($E1256*ROUND((9*$Y1256-9*$E1256)/(10*$E1256),4),0))))</f>
        <v/>
      </c>
      <c r="AB1256" s="13" t="n"/>
      <c r="AC1256" s="15">
        <f>IF($B1256="","",IF($AB1256&lt;&gt;"",$AB1256,IF($AA1256="","",IF($AA1256&lt;=設定!$C$3,0,$AA1256))))</f>
        <v/>
      </c>
      <c r="AD1256" s="14">
        <f>IF($B1256="","",IF(AND($AE1256&lt;&gt;"",$AG1256="",$AJ1256=""),"保留中",IF($AJ1256&lt;&gt;"",IF(N($AC1256)&gt;0,"支給済","不支給"),IF($AC1256="","要確認",IF($AC1256=0,"不支給","未処理")))))</f>
        <v/>
      </c>
      <c r="AE1256" s="12" t="n"/>
      <c r="AF1256" s="11" t="n"/>
      <c r="AG1256" s="11" t="n"/>
      <c r="AH1256" s="11" t="n"/>
      <c r="AI1256" s="14">
        <f>IF(AND($AD1256="保留中",$AF1256&lt;&gt;""),TODAY()-$AF1256,"")</f>
        <v/>
      </c>
      <c r="AJ1256" s="12" t="n"/>
      <c r="AK1256" s="14">
        <f>IF($B1256="","",IF($AO1256="","対象年月が未入力／","")&amp;IF($B1256="","",IF($AN1256="","職員マスタに未登録の職員番号／",IF($Y1256="","標準報酬月額が未登録／","")&amp;IF(AND($AO1256&lt;&gt;"",OR(AND(INDEX(職員マスタ!$G$6:$G$405,$AN1256)&lt;&gt;"",INDEX(職員マスタ!$G$6:$G$405,$AN1256)&gt;EOMONTH($AO1256,0)),AND(INDEX(職員マスタ!$H$6:$H$405,$AN1256)&lt;&gt;"",INDEX(職員マスタ!$H$6:$H$405,$AN1256)&lt;$AO1256))),"対象月が時短期間外／","")&amp;IF(AND(INDEX(職員マスタ!$F$6:$F$405,$AN1256)&lt;&gt;"",$AO1256&lt;&gt;"",INDEX(職員マスタ!$F$6:$F$405,$AN1256)&lt;$AO1256),"対象月に子が2歳到達済／","")&amp;IF(AND($H1256&lt;&gt;"",INDEX(職員マスタ!$B$6:$B$405,$AN1256)&lt;&gt;"",SUBSTITUTE(SUBSTITUTE($H1256," ","")," ","")&lt;&gt;SUBSTITUTE(SUBSTITUTE(INDEX(職員マスタ!$B$6:$B$405,$AN1256)," ","")," ","")),"氏名がマスタと相違／","")&amp;IF(AND($Q1256&lt;&gt;"",INDEX(職員マスタ!$E$6:$E$405,$AN1256)&lt;&gt;"",$Q1256&lt;&gt;INDEX(職員マスタ!$E$6:$E$405,$AN1256)),"子の生年月日がマスタと相違／","")&amp;IF(AND($L1256&lt;&gt;"",INDEX(職員マスタ!$G$6:$G$405,$AN1256)&lt;&gt;"",$L1256&lt;&gt;INDEX(職員マスタ!$G$6:$G$405,$AN1256)),"時短開始日がマスタと相違／","")&amp;IF(AND($M1256&lt;&gt;"",INDEX(職員マスタ!$H$6:$H$405,$AN1256)&lt;&gt;"",$M1256&lt;&gt;INDEX(職員マスタ!$H$6:$H$405,$AN1256)),"時短終了日がマスタと相違／","")))&amp;IF(AND($B1256&lt;&gt;"",$E1256=""),"報酬額が未入力／","")&amp;IF(N($U1256)&gt;0,"申請書に入力エラーが残っています／","")&amp;IF(AND($B1256&lt;&gt;"",$AO1256&lt;&gt;""),IF(COUNTIFS($B$6:$B$3005,$B1256,$C$6:$C$3005,$C1256,$D$6:$D$3005,$D1256)&gt;1,"同じ月の請求が重複しています／",""),"")&amp;IF(AND(N($E1256)&gt;0,$Z1256&lt;&gt;"",$Z1256&lt;&gt;"×",$AC1256=0,$AB1256=""),"計算額が下限以下のため不支給／",""))</f>
        <v/>
      </c>
      <c r="AL1256" s="12" t="n"/>
      <c r="AM1256" s="14">
        <f>IF($AD1256="保留中",COUNTIF($AD$6:$AD1256,"保留中"),"")</f>
        <v/>
      </c>
      <c r="AN1256" s="14">
        <f>IF($AO1256="","",IF(SUMPRODUCT(MAX((職員マスタ!$A$6:$A$405=$B1256)*(((職員マスタ!$G$6:$G$405="")+(職員マスタ!$G$6:$G$405&lt;=EOMONTH($AO1256,0)))&gt;0)*(((職員マスタ!$H$6:$H$405="")+(職員マスタ!$H$6:$H$405&gt;=$AO1256))&gt;0)*(ROW(職員マスタ!$A$6:$A$405)-5)))&gt;0,SUMPRODUCT(MAX((職員マスタ!$A$6:$A$405=$B1256)*(((職員マスタ!$G$6:$G$405="")+(職員マスタ!$G$6:$G$405&lt;=EOMONTH($AO1256,0)))&gt;0)*(((職員マスタ!$H$6:$H$405="")+(職員マスタ!$H$6:$H$405&gt;=$AO1256))&gt;0)*(ROW(職員マスタ!$A$6:$A$405)-5))),IFERROR(MATCH($B1256,職員マスタ!$A$6:$A$405,0),"")))</f>
        <v/>
      </c>
      <c r="AO1256" s="16">
        <f>IF(OR($B1256="",$C1256="",$D1256=""),"",DATE($C1256+2018,$D1256,1))</f>
        <v/>
      </c>
    </row>
    <row r="1257">
      <c r="A1257" s="11" t="n"/>
      <c r="B1257" s="12" t="n"/>
      <c r="C1257" s="12" t="n"/>
      <c r="D1257" s="12" t="n"/>
      <c r="E1257" s="13" t="n"/>
      <c r="F1257" s="12" t="n"/>
      <c r="G1257" s="13" t="n"/>
      <c r="H1257" s="12" t="n"/>
      <c r="I1257" s="12" t="n"/>
      <c r="J1257" s="12" t="n"/>
      <c r="K1257" s="12" t="n"/>
      <c r="L1257" s="11" t="n"/>
      <c r="M1257" s="11" t="n"/>
      <c r="N1257" s="11" t="n"/>
      <c r="O1257" s="11" t="n"/>
      <c r="P1257" s="12" t="n"/>
      <c r="Q1257" s="11" t="n"/>
      <c r="R1257" s="12" t="n"/>
      <c r="S1257" s="11" t="n"/>
      <c r="T1257" s="12" t="n"/>
      <c r="U1257" s="12" t="n"/>
      <c r="V1257" s="14">
        <f>IF($AN1257="",IF($B1257="","",$H1257),IF(INDEX(職員マスタ!$B$6:$B$405,$AN1257)="",$H1257,INDEX(職員マスタ!$B$6:$B$405,$AN1257)))</f>
        <v/>
      </c>
      <c r="W1257" s="14">
        <f>IF($AN1257="",IF($B1257="","",$R1257),IF(INDEX(職員マスタ!$C$6:$C$405,$AN1257)="",$R1257,INDEX(職員マスタ!$C$6:$C$405,$AN1257)))</f>
        <v/>
      </c>
      <c r="X1257" s="14">
        <f>IF($AO1257="","","R"&amp;$C1257&amp;"."&amp;$D1257)</f>
        <v/>
      </c>
      <c r="Y1257" s="15">
        <f>IF($AN1257="","",IF(INDEX(職員マスタ!$K$6:$K$405,$AN1257)="","",INDEX(職員マスタ!$K$6:$K$405,$AN1257)))</f>
        <v/>
      </c>
      <c r="Z1257" s="14">
        <f>IF(OR($E1257="",$Y1257=""),"",IF($E1257&gt;=$Y1257,"×",IF($E1257&gt;=$Y1257*設定!$C$5,"△","○")))</f>
        <v/>
      </c>
      <c r="AA1257" s="15">
        <f>IF($Z1257="","",IF($Z1257="×",0,IF($Z1257="○",ROUNDDOWN($E1257*設定!$C$4,0),ROUNDDOWN($E1257*ROUND((9*$Y1257-9*$E1257)/(10*$E1257),4),0))))</f>
        <v/>
      </c>
      <c r="AB1257" s="13" t="n"/>
      <c r="AC1257" s="15">
        <f>IF($B1257="","",IF($AB1257&lt;&gt;"",$AB1257,IF($AA1257="","",IF($AA1257&lt;=設定!$C$3,0,$AA1257))))</f>
        <v/>
      </c>
      <c r="AD1257" s="14">
        <f>IF($B1257="","",IF(AND($AE1257&lt;&gt;"",$AG1257="",$AJ1257=""),"保留中",IF($AJ1257&lt;&gt;"",IF(N($AC1257)&gt;0,"支給済","不支給"),IF($AC1257="","要確認",IF($AC1257=0,"不支給","未処理")))))</f>
        <v/>
      </c>
      <c r="AE1257" s="12" t="n"/>
      <c r="AF1257" s="11" t="n"/>
      <c r="AG1257" s="11" t="n"/>
      <c r="AH1257" s="11" t="n"/>
      <c r="AI1257" s="14">
        <f>IF(AND($AD1257="保留中",$AF1257&lt;&gt;""),TODAY()-$AF1257,"")</f>
        <v/>
      </c>
      <c r="AJ1257" s="12" t="n"/>
      <c r="AK1257" s="14">
        <f>IF($B1257="","",IF($AO1257="","対象年月が未入力／","")&amp;IF($B1257="","",IF($AN1257="","職員マスタに未登録の職員番号／",IF($Y1257="","標準報酬月額が未登録／","")&amp;IF(AND($AO1257&lt;&gt;"",OR(AND(INDEX(職員マスタ!$G$6:$G$405,$AN1257)&lt;&gt;"",INDEX(職員マスタ!$G$6:$G$405,$AN1257)&gt;EOMONTH($AO1257,0)),AND(INDEX(職員マスタ!$H$6:$H$405,$AN1257)&lt;&gt;"",INDEX(職員マスタ!$H$6:$H$405,$AN1257)&lt;$AO1257))),"対象月が時短期間外／","")&amp;IF(AND(INDEX(職員マスタ!$F$6:$F$405,$AN1257)&lt;&gt;"",$AO1257&lt;&gt;"",INDEX(職員マスタ!$F$6:$F$405,$AN1257)&lt;$AO1257),"対象月に子が2歳到達済／","")&amp;IF(AND($H1257&lt;&gt;"",INDEX(職員マスタ!$B$6:$B$405,$AN1257)&lt;&gt;"",SUBSTITUTE(SUBSTITUTE($H1257," ","")," ","")&lt;&gt;SUBSTITUTE(SUBSTITUTE(INDEX(職員マスタ!$B$6:$B$405,$AN1257)," ","")," ","")),"氏名がマスタと相違／","")&amp;IF(AND($Q1257&lt;&gt;"",INDEX(職員マスタ!$E$6:$E$405,$AN1257)&lt;&gt;"",$Q1257&lt;&gt;INDEX(職員マスタ!$E$6:$E$405,$AN1257)),"子の生年月日がマスタと相違／","")&amp;IF(AND($L1257&lt;&gt;"",INDEX(職員マスタ!$G$6:$G$405,$AN1257)&lt;&gt;"",$L1257&lt;&gt;INDEX(職員マスタ!$G$6:$G$405,$AN1257)),"時短開始日がマスタと相違／","")&amp;IF(AND($M1257&lt;&gt;"",INDEX(職員マスタ!$H$6:$H$405,$AN1257)&lt;&gt;"",$M1257&lt;&gt;INDEX(職員マスタ!$H$6:$H$405,$AN1257)),"時短終了日がマスタと相違／","")))&amp;IF(AND($B1257&lt;&gt;"",$E1257=""),"報酬額が未入力／","")&amp;IF(N($U1257)&gt;0,"申請書に入力エラーが残っています／","")&amp;IF(AND($B1257&lt;&gt;"",$AO1257&lt;&gt;""),IF(COUNTIFS($B$6:$B$3005,$B1257,$C$6:$C$3005,$C1257,$D$6:$D$3005,$D1257)&gt;1,"同じ月の請求が重複しています／",""),"")&amp;IF(AND(N($E1257)&gt;0,$Z1257&lt;&gt;"",$Z1257&lt;&gt;"×",$AC1257=0,$AB1257=""),"計算額が下限以下のため不支給／",""))</f>
        <v/>
      </c>
      <c r="AL1257" s="12" t="n"/>
      <c r="AM1257" s="14">
        <f>IF($AD1257="保留中",COUNTIF($AD$6:$AD1257,"保留中"),"")</f>
        <v/>
      </c>
      <c r="AN1257" s="14">
        <f>IF($AO1257="","",IF(SUMPRODUCT(MAX((職員マスタ!$A$6:$A$405=$B1257)*(((職員マスタ!$G$6:$G$405="")+(職員マスタ!$G$6:$G$405&lt;=EOMONTH($AO1257,0)))&gt;0)*(((職員マスタ!$H$6:$H$405="")+(職員マスタ!$H$6:$H$405&gt;=$AO1257))&gt;0)*(ROW(職員マスタ!$A$6:$A$405)-5)))&gt;0,SUMPRODUCT(MAX((職員マスタ!$A$6:$A$405=$B1257)*(((職員マスタ!$G$6:$G$405="")+(職員マスタ!$G$6:$G$405&lt;=EOMONTH($AO1257,0)))&gt;0)*(((職員マスタ!$H$6:$H$405="")+(職員マスタ!$H$6:$H$405&gt;=$AO1257))&gt;0)*(ROW(職員マスタ!$A$6:$A$405)-5))),IFERROR(MATCH($B1257,職員マスタ!$A$6:$A$405,0),"")))</f>
        <v/>
      </c>
      <c r="AO1257" s="16">
        <f>IF(OR($B1257="",$C1257="",$D1257=""),"",DATE($C1257+2018,$D1257,1))</f>
        <v/>
      </c>
    </row>
    <row r="1258">
      <c r="A1258" s="11" t="n"/>
      <c r="B1258" s="12" t="n"/>
      <c r="C1258" s="12" t="n"/>
      <c r="D1258" s="12" t="n"/>
      <c r="E1258" s="13" t="n"/>
      <c r="F1258" s="12" t="n"/>
      <c r="G1258" s="13" t="n"/>
      <c r="H1258" s="12" t="n"/>
      <c r="I1258" s="12" t="n"/>
      <c r="J1258" s="12" t="n"/>
      <c r="K1258" s="12" t="n"/>
      <c r="L1258" s="11" t="n"/>
      <c r="M1258" s="11" t="n"/>
      <c r="N1258" s="11" t="n"/>
      <c r="O1258" s="11" t="n"/>
      <c r="P1258" s="12" t="n"/>
      <c r="Q1258" s="11" t="n"/>
      <c r="R1258" s="12" t="n"/>
      <c r="S1258" s="11" t="n"/>
      <c r="T1258" s="12" t="n"/>
      <c r="U1258" s="12" t="n"/>
      <c r="V1258" s="14">
        <f>IF($AN1258="",IF($B1258="","",$H1258),IF(INDEX(職員マスタ!$B$6:$B$405,$AN1258)="",$H1258,INDEX(職員マスタ!$B$6:$B$405,$AN1258)))</f>
        <v/>
      </c>
      <c r="W1258" s="14">
        <f>IF($AN1258="",IF($B1258="","",$R1258),IF(INDEX(職員マスタ!$C$6:$C$405,$AN1258)="",$R1258,INDEX(職員マスタ!$C$6:$C$405,$AN1258)))</f>
        <v/>
      </c>
      <c r="X1258" s="14">
        <f>IF($AO1258="","","R"&amp;$C1258&amp;"."&amp;$D1258)</f>
        <v/>
      </c>
      <c r="Y1258" s="15">
        <f>IF($AN1258="","",IF(INDEX(職員マスタ!$K$6:$K$405,$AN1258)="","",INDEX(職員マスタ!$K$6:$K$405,$AN1258)))</f>
        <v/>
      </c>
      <c r="Z1258" s="14">
        <f>IF(OR($E1258="",$Y1258=""),"",IF($E1258&gt;=$Y1258,"×",IF($E1258&gt;=$Y1258*設定!$C$5,"△","○")))</f>
        <v/>
      </c>
      <c r="AA1258" s="15">
        <f>IF($Z1258="","",IF($Z1258="×",0,IF($Z1258="○",ROUNDDOWN($E1258*設定!$C$4,0),ROUNDDOWN($E1258*ROUND((9*$Y1258-9*$E1258)/(10*$E1258),4),0))))</f>
        <v/>
      </c>
      <c r="AB1258" s="13" t="n"/>
      <c r="AC1258" s="15">
        <f>IF($B1258="","",IF($AB1258&lt;&gt;"",$AB1258,IF($AA1258="","",IF($AA1258&lt;=設定!$C$3,0,$AA1258))))</f>
        <v/>
      </c>
      <c r="AD1258" s="14">
        <f>IF($B1258="","",IF(AND($AE1258&lt;&gt;"",$AG1258="",$AJ1258=""),"保留中",IF($AJ1258&lt;&gt;"",IF(N($AC1258)&gt;0,"支給済","不支給"),IF($AC1258="","要確認",IF($AC1258=0,"不支給","未処理")))))</f>
        <v/>
      </c>
      <c r="AE1258" s="12" t="n"/>
      <c r="AF1258" s="11" t="n"/>
      <c r="AG1258" s="11" t="n"/>
      <c r="AH1258" s="11" t="n"/>
      <c r="AI1258" s="14">
        <f>IF(AND($AD1258="保留中",$AF1258&lt;&gt;""),TODAY()-$AF1258,"")</f>
        <v/>
      </c>
      <c r="AJ1258" s="12" t="n"/>
      <c r="AK1258" s="14">
        <f>IF($B1258="","",IF($AO1258="","対象年月が未入力／","")&amp;IF($B1258="","",IF($AN1258="","職員マスタに未登録の職員番号／",IF($Y1258="","標準報酬月額が未登録／","")&amp;IF(AND($AO1258&lt;&gt;"",OR(AND(INDEX(職員マスタ!$G$6:$G$405,$AN1258)&lt;&gt;"",INDEX(職員マスタ!$G$6:$G$405,$AN1258)&gt;EOMONTH($AO1258,0)),AND(INDEX(職員マスタ!$H$6:$H$405,$AN1258)&lt;&gt;"",INDEX(職員マスタ!$H$6:$H$405,$AN1258)&lt;$AO1258))),"対象月が時短期間外／","")&amp;IF(AND(INDEX(職員マスタ!$F$6:$F$405,$AN1258)&lt;&gt;"",$AO1258&lt;&gt;"",INDEX(職員マスタ!$F$6:$F$405,$AN1258)&lt;$AO1258),"対象月に子が2歳到達済／","")&amp;IF(AND($H1258&lt;&gt;"",INDEX(職員マスタ!$B$6:$B$405,$AN1258)&lt;&gt;"",SUBSTITUTE(SUBSTITUTE($H1258," ","")," ","")&lt;&gt;SUBSTITUTE(SUBSTITUTE(INDEX(職員マスタ!$B$6:$B$405,$AN1258)," ","")," ","")),"氏名がマスタと相違／","")&amp;IF(AND($Q1258&lt;&gt;"",INDEX(職員マスタ!$E$6:$E$405,$AN1258)&lt;&gt;"",$Q1258&lt;&gt;INDEX(職員マスタ!$E$6:$E$405,$AN1258)),"子の生年月日がマスタと相違／","")&amp;IF(AND($L1258&lt;&gt;"",INDEX(職員マスタ!$G$6:$G$405,$AN1258)&lt;&gt;"",$L1258&lt;&gt;INDEX(職員マスタ!$G$6:$G$405,$AN1258)),"時短開始日がマスタと相違／","")&amp;IF(AND($M1258&lt;&gt;"",INDEX(職員マスタ!$H$6:$H$405,$AN1258)&lt;&gt;"",$M1258&lt;&gt;INDEX(職員マスタ!$H$6:$H$405,$AN1258)),"時短終了日がマスタと相違／","")))&amp;IF(AND($B1258&lt;&gt;"",$E1258=""),"報酬額が未入力／","")&amp;IF(N($U1258)&gt;0,"申請書に入力エラーが残っています／","")&amp;IF(AND($B1258&lt;&gt;"",$AO1258&lt;&gt;""),IF(COUNTIFS($B$6:$B$3005,$B1258,$C$6:$C$3005,$C1258,$D$6:$D$3005,$D1258)&gt;1,"同じ月の請求が重複しています／",""),"")&amp;IF(AND(N($E1258)&gt;0,$Z1258&lt;&gt;"",$Z1258&lt;&gt;"×",$AC1258=0,$AB1258=""),"計算額が下限以下のため不支給／",""))</f>
        <v/>
      </c>
      <c r="AL1258" s="12" t="n"/>
      <c r="AM1258" s="14">
        <f>IF($AD1258="保留中",COUNTIF($AD$6:$AD1258,"保留中"),"")</f>
        <v/>
      </c>
      <c r="AN1258" s="14">
        <f>IF($AO1258="","",IF(SUMPRODUCT(MAX((職員マスタ!$A$6:$A$405=$B1258)*(((職員マスタ!$G$6:$G$405="")+(職員マスタ!$G$6:$G$405&lt;=EOMONTH($AO1258,0)))&gt;0)*(((職員マスタ!$H$6:$H$405="")+(職員マスタ!$H$6:$H$405&gt;=$AO1258))&gt;0)*(ROW(職員マスタ!$A$6:$A$405)-5)))&gt;0,SUMPRODUCT(MAX((職員マスタ!$A$6:$A$405=$B1258)*(((職員マスタ!$G$6:$G$405="")+(職員マスタ!$G$6:$G$405&lt;=EOMONTH($AO1258,0)))&gt;0)*(((職員マスタ!$H$6:$H$405="")+(職員マスタ!$H$6:$H$405&gt;=$AO1258))&gt;0)*(ROW(職員マスタ!$A$6:$A$405)-5))),IFERROR(MATCH($B1258,職員マスタ!$A$6:$A$405,0),"")))</f>
        <v/>
      </c>
      <c r="AO1258" s="16">
        <f>IF(OR($B1258="",$C1258="",$D1258=""),"",DATE($C1258+2018,$D1258,1))</f>
        <v/>
      </c>
    </row>
    <row r="1259">
      <c r="A1259" s="11" t="n"/>
      <c r="B1259" s="12" t="n"/>
      <c r="C1259" s="12" t="n"/>
      <c r="D1259" s="12" t="n"/>
      <c r="E1259" s="13" t="n"/>
      <c r="F1259" s="12" t="n"/>
      <c r="G1259" s="13" t="n"/>
      <c r="H1259" s="12" t="n"/>
      <c r="I1259" s="12" t="n"/>
      <c r="J1259" s="12" t="n"/>
      <c r="K1259" s="12" t="n"/>
      <c r="L1259" s="11" t="n"/>
      <c r="M1259" s="11" t="n"/>
      <c r="N1259" s="11" t="n"/>
      <c r="O1259" s="11" t="n"/>
      <c r="P1259" s="12" t="n"/>
      <c r="Q1259" s="11" t="n"/>
      <c r="R1259" s="12" t="n"/>
      <c r="S1259" s="11" t="n"/>
      <c r="T1259" s="12" t="n"/>
      <c r="U1259" s="12" t="n"/>
      <c r="V1259" s="14">
        <f>IF($AN1259="",IF($B1259="","",$H1259),IF(INDEX(職員マスタ!$B$6:$B$405,$AN1259)="",$H1259,INDEX(職員マスタ!$B$6:$B$405,$AN1259)))</f>
        <v/>
      </c>
      <c r="W1259" s="14">
        <f>IF($AN1259="",IF($B1259="","",$R1259),IF(INDEX(職員マスタ!$C$6:$C$405,$AN1259)="",$R1259,INDEX(職員マスタ!$C$6:$C$405,$AN1259)))</f>
        <v/>
      </c>
      <c r="X1259" s="14">
        <f>IF($AO1259="","","R"&amp;$C1259&amp;"."&amp;$D1259)</f>
        <v/>
      </c>
      <c r="Y1259" s="15">
        <f>IF($AN1259="","",IF(INDEX(職員マスタ!$K$6:$K$405,$AN1259)="","",INDEX(職員マスタ!$K$6:$K$405,$AN1259)))</f>
        <v/>
      </c>
      <c r="Z1259" s="14">
        <f>IF(OR($E1259="",$Y1259=""),"",IF($E1259&gt;=$Y1259,"×",IF($E1259&gt;=$Y1259*設定!$C$5,"△","○")))</f>
        <v/>
      </c>
      <c r="AA1259" s="15">
        <f>IF($Z1259="","",IF($Z1259="×",0,IF($Z1259="○",ROUNDDOWN($E1259*設定!$C$4,0),ROUNDDOWN($E1259*ROUND((9*$Y1259-9*$E1259)/(10*$E1259),4),0))))</f>
        <v/>
      </c>
      <c r="AB1259" s="13" t="n"/>
      <c r="AC1259" s="15">
        <f>IF($B1259="","",IF($AB1259&lt;&gt;"",$AB1259,IF($AA1259="","",IF($AA1259&lt;=設定!$C$3,0,$AA1259))))</f>
        <v/>
      </c>
      <c r="AD1259" s="14">
        <f>IF($B1259="","",IF(AND($AE1259&lt;&gt;"",$AG1259="",$AJ1259=""),"保留中",IF($AJ1259&lt;&gt;"",IF(N($AC1259)&gt;0,"支給済","不支給"),IF($AC1259="","要確認",IF($AC1259=0,"不支給","未処理")))))</f>
        <v/>
      </c>
      <c r="AE1259" s="12" t="n"/>
      <c r="AF1259" s="11" t="n"/>
      <c r="AG1259" s="11" t="n"/>
      <c r="AH1259" s="11" t="n"/>
      <c r="AI1259" s="14">
        <f>IF(AND($AD1259="保留中",$AF1259&lt;&gt;""),TODAY()-$AF1259,"")</f>
        <v/>
      </c>
      <c r="AJ1259" s="12" t="n"/>
      <c r="AK1259" s="14">
        <f>IF($B1259="","",IF($AO1259="","対象年月が未入力／","")&amp;IF($B1259="","",IF($AN1259="","職員マスタに未登録の職員番号／",IF($Y1259="","標準報酬月額が未登録／","")&amp;IF(AND($AO1259&lt;&gt;"",OR(AND(INDEX(職員マスタ!$G$6:$G$405,$AN1259)&lt;&gt;"",INDEX(職員マスタ!$G$6:$G$405,$AN1259)&gt;EOMONTH($AO1259,0)),AND(INDEX(職員マスタ!$H$6:$H$405,$AN1259)&lt;&gt;"",INDEX(職員マスタ!$H$6:$H$405,$AN1259)&lt;$AO1259))),"対象月が時短期間外／","")&amp;IF(AND(INDEX(職員マスタ!$F$6:$F$405,$AN1259)&lt;&gt;"",$AO1259&lt;&gt;"",INDEX(職員マスタ!$F$6:$F$405,$AN1259)&lt;$AO1259),"対象月に子が2歳到達済／","")&amp;IF(AND($H1259&lt;&gt;"",INDEX(職員マスタ!$B$6:$B$405,$AN1259)&lt;&gt;"",SUBSTITUTE(SUBSTITUTE($H1259," ","")," ","")&lt;&gt;SUBSTITUTE(SUBSTITUTE(INDEX(職員マスタ!$B$6:$B$405,$AN1259)," ","")," ","")),"氏名がマスタと相違／","")&amp;IF(AND($Q1259&lt;&gt;"",INDEX(職員マスタ!$E$6:$E$405,$AN1259)&lt;&gt;"",$Q1259&lt;&gt;INDEX(職員マスタ!$E$6:$E$405,$AN1259)),"子の生年月日がマスタと相違／","")&amp;IF(AND($L1259&lt;&gt;"",INDEX(職員マスタ!$G$6:$G$405,$AN1259)&lt;&gt;"",$L1259&lt;&gt;INDEX(職員マスタ!$G$6:$G$405,$AN1259)),"時短開始日がマスタと相違／","")&amp;IF(AND($M1259&lt;&gt;"",INDEX(職員マスタ!$H$6:$H$405,$AN1259)&lt;&gt;"",$M1259&lt;&gt;INDEX(職員マスタ!$H$6:$H$405,$AN1259)),"時短終了日がマスタと相違／","")))&amp;IF(AND($B1259&lt;&gt;"",$E1259=""),"報酬額が未入力／","")&amp;IF(N($U1259)&gt;0,"申請書に入力エラーが残っています／","")&amp;IF(AND($B1259&lt;&gt;"",$AO1259&lt;&gt;""),IF(COUNTIFS($B$6:$B$3005,$B1259,$C$6:$C$3005,$C1259,$D$6:$D$3005,$D1259)&gt;1,"同じ月の請求が重複しています／",""),"")&amp;IF(AND(N($E1259)&gt;0,$Z1259&lt;&gt;"",$Z1259&lt;&gt;"×",$AC1259=0,$AB1259=""),"計算額が下限以下のため不支給／",""))</f>
        <v/>
      </c>
      <c r="AL1259" s="12" t="n"/>
      <c r="AM1259" s="14">
        <f>IF($AD1259="保留中",COUNTIF($AD$6:$AD1259,"保留中"),"")</f>
        <v/>
      </c>
      <c r="AN1259" s="14">
        <f>IF($AO1259="","",IF(SUMPRODUCT(MAX((職員マスタ!$A$6:$A$405=$B1259)*(((職員マスタ!$G$6:$G$405="")+(職員マスタ!$G$6:$G$405&lt;=EOMONTH($AO1259,0)))&gt;0)*(((職員マスタ!$H$6:$H$405="")+(職員マスタ!$H$6:$H$405&gt;=$AO1259))&gt;0)*(ROW(職員マスタ!$A$6:$A$405)-5)))&gt;0,SUMPRODUCT(MAX((職員マスタ!$A$6:$A$405=$B1259)*(((職員マスタ!$G$6:$G$405="")+(職員マスタ!$G$6:$G$405&lt;=EOMONTH($AO1259,0)))&gt;0)*(((職員マスタ!$H$6:$H$405="")+(職員マスタ!$H$6:$H$405&gt;=$AO1259))&gt;0)*(ROW(職員マスタ!$A$6:$A$405)-5))),IFERROR(MATCH($B1259,職員マスタ!$A$6:$A$405,0),"")))</f>
        <v/>
      </c>
      <c r="AO1259" s="16">
        <f>IF(OR($B1259="",$C1259="",$D1259=""),"",DATE($C1259+2018,$D1259,1))</f>
        <v/>
      </c>
    </row>
    <row r="1260">
      <c r="A1260" s="11" t="n"/>
      <c r="B1260" s="12" t="n"/>
      <c r="C1260" s="12" t="n"/>
      <c r="D1260" s="12" t="n"/>
      <c r="E1260" s="13" t="n"/>
      <c r="F1260" s="12" t="n"/>
      <c r="G1260" s="13" t="n"/>
      <c r="H1260" s="12" t="n"/>
      <c r="I1260" s="12" t="n"/>
      <c r="J1260" s="12" t="n"/>
      <c r="K1260" s="12" t="n"/>
      <c r="L1260" s="11" t="n"/>
      <c r="M1260" s="11" t="n"/>
      <c r="N1260" s="11" t="n"/>
      <c r="O1260" s="11" t="n"/>
      <c r="P1260" s="12" t="n"/>
      <c r="Q1260" s="11" t="n"/>
      <c r="R1260" s="12" t="n"/>
      <c r="S1260" s="11" t="n"/>
      <c r="T1260" s="12" t="n"/>
      <c r="U1260" s="12" t="n"/>
      <c r="V1260" s="14">
        <f>IF($AN1260="",IF($B1260="","",$H1260),IF(INDEX(職員マスタ!$B$6:$B$405,$AN1260)="",$H1260,INDEX(職員マスタ!$B$6:$B$405,$AN1260)))</f>
        <v/>
      </c>
      <c r="W1260" s="14">
        <f>IF($AN1260="",IF($B1260="","",$R1260),IF(INDEX(職員マスタ!$C$6:$C$405,$AN1260)="",$R1260,INDEX(職員マスタ!$C$6:$C$405,$AN1260)))</f>
        <v/>
      </c>
      <c r="X1260" s="14">
        <f>IF($AO1260="","","R"&amp;$C1260&amp;"."&amp;$D1260)</f>
        <v/>
      </c>
      <c r="Y1260" s="15">
        <f>IF($AN1260="","",IF(INDEX(職員マスタ!$K$6:$K$405,$AN1260)="","",INDEX(職員マスタ!$K$6:$K$405,$AN1260)))</f>
        <v/>
      </c>
      <c r="Z1260" s="14">
        <f>IF(OR($E1260="",$Y1260=""),"",IF($E1260&gt;=$Y1260,"×",IF($E1260&gt;=$Y1260*設定!$C$5,"△","○")))</f>
        <v/>
      </c>
      <c r="AA1260" s="15">
        <f>IF($Z1260="","",IF($Z1260="×",0,IF($Z1260="○",ROUNDDOWN($E1260*設定!$C$4,0),ROUNDDOWN($E1260*ROUND((9*$Y1260-9*$E1260)/(10*$E1260),4),0))))</f>
        <v/>
      </c>
      <c r="AB1260" s="13" t="n"/>
      <c r="AC1260" s="15">
        <f>IF($B1260="","",IF($AB1260&lt;&gt;"",$AB1260,IF($AA1260="","",IF($AA1260&lt;=設定!$C$3,0,$AA1260))))</f>
        <v/>
      </c>
      <c r="AD1260" s="14">
        <f>IF($B1260="","",IF(AND($AE1260&lt;&gt;"",$AG1260="",$AJ1260=""),"保留中",IF($AJ1260&lt;&gt;"",IF(N($AC1260)&gt;0,"支給済","不支給"),IF($AC1260="","要確認",IF($AC1260=0,"不支給","未処理")))))</f>
        <v/>
      </c>
      <c r="AE1260" s="12" t="n"/>
      <c r="AF1260" s="11" t="n"/>
      <c r="AG1260" s="11" t="n"/>
      <c r="AH1260" s="11" t="n"/>
      <c r="AI1260" s="14">
        <f>IF(AND($AD1260="保留中",$AF1260&lt;&gt;""),TODAY()-$AF1260,"")</f>
        <v/>
      </c>
      <c r="AJ1260" s="12" t="n"/>
      <c r="AK1260" s="14">
        <f>IF($B1260="","",IF($AO1260="","対象年月が未入力／","")&amp;IF($B1260="","",IF($AN1260="","職員マスタに未登録の職員番号／",IF($Y1260="","標準報酬月額が未登録／","")&amp;IF(AND($AO1260&lt;&gt;"",OR(AND(INDEX(職員マスタ!$G$6:$G$405,$AN1260)&lt;&gt;"",INDEX(職員マスタ!$G$6:$G$405,$AN1260)&gt;EOMONTH($AO1260,0)),AND(INDEX(職員マスタ!$H$6:$H$405,$AN1260)&lt;&gt;"",INDEX(職員マスタ!$H$6:$H$405,$AN1260)&lt;$AO1260))),"対象月が時短期間外／","")&amp;IF(AND(INDEX(職員マスタ!$F$6:$F$405,$AN1260)&lt;&gt;"",$AO1260&lt;&gt;"",INDEX(職員マスタ!$F$6:$F$405,$AN1260)&lt;$AO1260),"対象月に子が2歳到達済／","")&amp;IF(AND($H1260&lt;&gt;"",INDEX(職員マスタ!$B$6:$B$405,$AN1260)&lt;&gt;"",SUBSTITUTE(SUBSTITUTE($H1260," ","")," ","")&lt;&gt;SUBSTITUTE(SUBSTITUTE(INDEX(職員マスタ!$B$6:$B$405,$AN1260)," ","")," ","")),"氏名がマスタと相違／","")&amp;IF(AND($Q1260&lt;&gt;"",INDEX(職員マスタ!$E$6:$E$405,$AN1260)&lt;&gt;"",$Q1260&lt;&gt;INDEX(職員マスタ!$E$6:$E$405,$AN1260)),"子の生年月日がマスタと相違／","")&amp;IF(AND($L1260&lt;&gt;"",INDEX(職員マスタ!$G$6:$G$405,$AN1260)&lt;&gt;"",$L1260&lt;&gt;INDEX(職員マスタ!$G$6:$G$405,$AN1260)),"時短開始日がマスタと相違／","")&amp;IF(AND($M1260&lt;&gt;"",INDEX(職員マスタ!$H$6:$H$405,$AN1260)&lt;&gt;"",$M1260&lt;&gt;INDEX(職員マスタ!$H$6:$H$405,$AN1260)),"時短終了日がマスタと相違／","")))&amp;IF(AND($B1260&lt;&gt;"",$E1260=""),"報酬額が未入力／","")&amp;IF(N($U1260)&gt;0,"申請書に入力エラーが残っています／","")&amp;IF(AND($B1260&lt;&gt;"",$AO1260&lt;&gt;""),IF(COUNTIFS($B$6:$B$3005,$B1260,$C$6:$C$3005,$C1260,$D$6:$D$3005,$D1260)&gt;1,"同じ月の請求が重複しています／",""),"")&amp;IF(AND(N($E1260)&gt;0,$Z1260&lt;&gt;"",$Z1260&lt;&gt;"×",$AC1260=0,$AB1260=""),"計算額が下限以下のため不支給／",""))</f>
        <v/>
      </c>
      <c r="AL1260" s="12" t="n"/>
      <c r="AM1260" s="14">
        <f>IF($AD1260="保留中",COUNTIF($AD$6:$AD1260,"保留中"),"")</f>
        <v/>
      </c>
      <c r="AN1260" s="14">
        <f>IF($AO1260="","",IF(SUMPRODUCT(MAX((職員マスタ!$A$6:$A$405=$B1260)*(((職員マスタ!$G$6:$G$405="")+(職員マスタ!$G$6:$G$405&lt;=EOMONTH($AO1260,0)))&gt;0)*(((職員マスタ!$H$6:$H$405="")+(職員マスタ!$H$6:$H$405&gt;=$AO1260))&gt;0)*(ROW(職員マスタ!$A$6:$A$405)-5)))&gt;0,SUMPRODUCT(MAX((職員マスタ!$A$6:$A$405=$B1260)*(((職員マスタ!$G$6:$G$405="")+(職員マスタ!$G$6:$G$405&lt;=EOMONTH($AO1260,0)))&gt;0)*(((職員マスタ!$H$6:$H$405="")+(職員マスタ!$H$6:$H$405&gt;=$AO1260))&gt;0)*(ROW(職員マスタ!$A$6:$A$405)-5))),IFERROR(MATCH($B1260,職員マスタ!$A$6:$A$405,0),"")))</f>
        <v/>
      </c>
      <c r="AO1260" s="16">
        <f>IF(OR($B1260="",$C1260="",$D1260=""),"",DATE($C1260+2018,$D1260,1))</f>
        <v/>
      </c>
    </row>
    <row r="1261">
      <c r="A1261" s="11" t="n"/>
      <c r="B1261" s="12" t="n"/>
      <c r="C1261" s="12" t="n"/>
      <c r="D1261" s="12" t="n"/>
      <c r="E1261" s="13" t="n"/>
      <c r="F1261" s="12" t="n"/>
      <c r="G1261" s="13" t="n"/>
      <c r="H1261" s="12" t="n"/>
      <c r="I1261" s="12" t="n"/>
      <c r="J1261" s="12" t="n"/>
      <c r="K1261" s="12" t="n"/>
      <c r="L1261" s="11" t="n"/>
      <c r="M1261" s="11" t="n"/>
      <c r="N1261" s="11" t="n"/>
      <c r="O1261" s="11" t="n"/>
      <c r="P1261" s="12" t="n"/>
      <c r="Q1261" s="11" t="n"/>
      <c r="R1261" s="12" t="n"/>
      <c r="S1261" s="11" t="n"/>
      <c r="T1261" s="12" t="n"/>
      <c r="U1261" s="12" t="n"/>
      <c r="V1261" s="14">
        <f>IF($AN1261="",IF($B1261="","",$H1261),IF(INDEX(職員マスタ!$B$6:$B$405,$AN1261)="",$H1261,INDEX(職員マスタ!$B$6:$B$405,$AN1261)))</f>
        <v/>
      </c>
      <c r="W1261" s="14">
        <f>IF($AN1261="",IF($B1261="","",$R1261),IF(INDEX(職員マスタ!$C$6:$C$405,$AN1261)="",$R1261,INDEX(職員マスタ!$C$6:$C$405,$AN1261)))</f>
        <v/>
      </c>
      <c r="X1261" s="14">
        <f>IF($AO1261="","","R"&amp;$C1261&amp;"."&amp;$D1261)</f>
        <v/>
      </c>
      <c r="Y1261" s="15">
        <f>IF($AN1261="","",IF(INDEX(職員マスタ!$K$6:$K$405,$AN1261)="","",INDEX(職員マスタ!$K$6:$K$405,$AN1261)))</f>
        <v/>
      </c>
      <c r="Z1261" s="14">
        <f>IF(OR($E1261="",$Y1261=""),"",IF($E1261&gt;=$Y1261,"×",IF($E1261&gt;=$Y1261*設定!$C$5,"△","○")))</f>
        <v/>
      </c>
      <c r="AA1261" s="15">
        <f>IF($Z1261="","",IF($Z1261="×",0,IF($Z1261="○",ROUNDDOWN($E1261*設定!$C$4,0),ROUNDDOWN($E1261*ROUND((9*$Y1261-9*$E1261)/(10*$E1261),4),0))))</f>
        <v/>
      </c>
      <c r="AB1261" s="13" t="n"/>
      <c r="AC1261" s="15">
        <f>IF($B1261="","",IF($AB1261&lt;&gt;"",$AB1261,IF($AA1261="","",IF($AA1261&lt;=設定!$C$3,0,$AA1261))))</f>
        <v/>
      </c>
      <c r="AD1261" s="14">
        <f>IF($B1261="","",IF(AND($AE1261&lt;&gt;"",$AG1261="",$AJ1261=""),"保留中",IF($AJ1261&lt;&gt;"",IF(N($AC1261)&gt;0,"支給済","不支給"),IF($AC1261="","要確認",IF($AC1261=0,"不支給","未処理")))))</f>
        <v/>
      </c>
      <c r="AE1261" s="12" t="n"/>
      <c r="AF1261" s="11" t="n"/>
      <c r="AG1261" s="11" t="n"/>
      <c r="AH1261" s="11" t="n"/>
      <c r="AI1261" s="14">
        <f>IF(AND($AD1261="保留中",$AF1261&lt;&gt;""),TODAY()-$AF1261,"")</f>
        <v/>
      </c>
      <c r="AJ1261" s="12" t="n"/>
      <c r="AK1261" s="14">
        <f>IF($B1261="","",IF($AO1261="","対象年月が未入力／","")&amp;IF($B1261="","",IF($AN1261="","職員マスタに未登録の職員番号／",IF($Y1261="","標準報酬月額が未登録／","")&amp;IF(AND($AO1261&lt;&gt;"",OR(AND(INDEX(職員マスタ!$G$6:$G$405,$AN1261)&lt;&gt;"",INDEX(職員マスタ!$G$6:$G$405,$AN1261)&gt;EOMONTH($AO1261,0)),AND(INDEX(職員マスタ!$H$6:$H$405,$AN1261)&lt;&gt;"",INDEX(職員マスタ!$H$6:$H$405,$AN1261)&lt;$AO1261))),"対象月が時短期間外／","")&amp;IF(AND(INDEX(職員マスタ!$F$6:$F$405,$AN1261)&lt;&gt;"",$AO1261&lt;&gt;"",INDEX(職員マスタ!$F$6:$F$405,$AN1261)&lt;$AO1261),"対象月に子が2歳到達済／","")&amp;IF(AND($H1261&lt;&gt;"",INDEX(職員マスタ!$B$6:$B$405,$AN1261)&lt;&gt;"",SUBSTITUTE(SUBSTITUTE($H1261," ","")," ","")&lt;&gt;SUBSTITUTE(SUBSTITUTE(INDEX(職員マスタ!$B$6:$B$405,$AN1261)," ","")," ","")),"氏名がマスタと相違／","")&amp;IF(AND($Q1261&lt;&gt;"",INDEX(職員マスタ!$E$6:$E$405,$AN1261)&lt;&gt;"",$Q1261&lt;&gt;INDEX(職員マスタ!$E$6:$E$405,$AN1261)),"子の生年月日がマスタと相違／","")&amp;IF(AND($L1261&lt;&gt;"",INDEX(職員マスタ!$G$6:$G$405,$AN1261)&lt;&gt;"",$L1261&lt;&gt;INDEX(職員マスタ!$G$6:$G$405,$AN1261)),"時短開始日がマスタと相違／","")&amp;IF(AND($M1261&lt;&gt;"",INDEX(職員マスタ!$H$6:$H$405,$AN1261)&lt;&gt;"",$M1261&lt;&gt;INDEX(職員マスタ!$H$6:$H$405,$AN1261)),"時短終了日がマスタと相違／","")))&amp;IF(AND($B1261&lt;&gt;"",$E1261=""),"報酬額が未入力／","")&amp;IF(N($U1261)&gt;0,"申請書に入力エラーが残っています／","")&amp;IF(AND($B1261&lt;&gt;"",$AO1261&lt;&gt;""),IF(COUNTIFS($B$6:$B$3005,$B1261,$C$6:$C$3005,$C1261,$D$6:$D$3005,$D1261)&gt;1,"同じ月の請求が重複しています／",""),"")&amp;IF(AND(N($E1261)&gt;0,$Z1261&lt;&gt;"",$Z1261&lt;&gt;"×",$AC1261=0,$AB1261=""),"計算額が下限以下のため不支給／",""))</f>
        <v/>
      </c>
      <c r="AL1261" s="12" t="n"/>
      <c r="AM1261" s="14">
        <f>IF($AD1261="保留中",COUNTIF($AD$6:$AD1261,"保留中"),"")</f>
        <v/>
      </c>
      <c r="AN1261" s="14">
        <f>IF($AO1261="","",IF(SUMPRODUCT(MAX((職員マスタ!$A$6:$A$405=$B1261)*(((職員マスタ!$G$6:$G$405="")+(職員マスタ!$G$6:$G$405&lt;=EOMONTH($AO1261,0)))&gt;0)*(((職員マスタ!$H$6:$H$405="")+(職員マスタ!$H$6:$H$405&gt;=$AO1261))&gt;0)*(ROW(職員マスタ!$A$6:$A$405)-5)))&gt;0,SUMPRODUCT(MAX((職員マスタ!$A$6:$A$405=$B1261)*(((職員マスタ!$G$6:$G$405="")+(職員マスタ!$G$6:$G$405&lt;=EOMONTH($AO1261,0)))&gt;0)*(((職員マスタ!$H$6:$H$405="")+(職員マスタ!$H$6:$H$405&gt;=$AO1261))&gt;0)*(ROW(職員マスタ!$A$6:$A$405)-5))),IFERROR(MATCH($B1261,職員マスタ!$A$6:$A$405,0),"")))</f>
        <v/>
      </c>
      <c r="AO1261" s="16">
        <f>IF(OR($B1261="",$C1261="",$D1261=""),"",DATE($C1261+2018,$D1261,1))</f>
        <v/>
      </c>
    </row>
    <row r="1262">
      <c r="A1262" s="11" t="n"/>
      <c r="B1262" s="12" t="n"/>
      <c r="C1262" s="12" t="n"/>
      <c r="D1262" s="12" t="n"/>
      <c r="E1262" s="13" t="n"/>
      <c r="F1262" s="12" t="n"/>
      <c r="G1262" s="13" t="n"/>
      <c r="H1262" s="12" t="n"/>
      <c r="I1262" s="12" t="n"/>
      <c r="J1262" s="12" t="n"/>
      <c r="K1262" s="12" t="n"/>
      <c r="L1262" s="11" t="n"/>
      <c r="M1262" s="11" t="n"/>
      <c r="N1262" s="11" t="n"/>
      <c r="O1262" s="11" t="n"/>
      <c r="P1262" s="12" t="n"/>
      <c r="Q1262" s="11" t="n"/>
      <c r="R1262" s="12" t="n"/>
      <c r="S1262" s="11" t="n"/>
      <c r="T1262" s="12" t="n"/>
      <c r="U1262" s="12" t="n"/>
      <c r="V1262" s="14">
        <f>IF($AN1262="",IF($B1262="","",$H1262),IF(INDEX(職員マスタ!$B$6:$B$405,$AN1262)="",$H1262,INDEX(職員マスタ!$B$6:$B$405,$AN1262)))</f>
        <v/>
      </c>
      <c r="W1262" s="14">
        <f>IF($AN1262="",IF($B1262="","",$R1262),IF(INDEX(職員マスタ!$C$6:$C$405,$AN1262)="",$R1262,INDEX(職員マスタ!$C$6:$C$405,$AN1262)))</f>
        <v/>
      </c>
      <c r="X1262" s="14">
        <f>IF($AO1262="","","R"&amp;$C1262&amp;"."&amp;$D1262)</f>
        <v/>
      </c>
      <c r="Y1262" s="15">
        <f>IF($AN1262="","",IF(INDEX(職員マスタ!$K$6:$K$405,$AN1262)="","",INDEX(職員マスタ!$K$6:$K$405,$AN1262)))</f>
        <v/>
      </c>
      <c r="Z1262" s="14">
        <f>IF(OR($E1262="",$Y1262=""),"",IF($E1262&gt;=$Y1262,"×",IF($E1262&gt;=$Y1262*設定!$C$5,"△","○")))</f>
        <v/>
      </c>
      <c r="AA1262" s="15">
        <f>IF($Z1262="","",IF($Z1262="×",0,IF($Z1262="○",ROUNDDOWN($E1262*設定!$C$4,0),ROUNDDOWN($E1262*ROUND((9*$Y1262-9*$E1262)/(10*$E1262),4),0))))</f>
        <v/>
      </c>
      <c r="AB1262" s="13" t="n"/>
      <c r="AC1262" s="15">
        <f>IF($B1262="","",IF($AB1262&lt;&gt;"",$AB1262,IF($AA1262="","",IF($AA1262&lt;=設定!$C$3,0,$AA1262))))</f>
        <v/>
      </c>
      <c r="AD1262" s="14">
        <f>IF($B1262="","",IF(AND($AE1262&lt;&gt;"",$AG1262="",$AJ1262=""),"保留中",IF($AJ1262&lt;&gt;"",IF(N($AC1262)&gt;0,"支給済","不支給"),IF($AC1262="","要確認",IF($AC1262=0,"不支給","未処理")))))</f>
        <v/>
      </c>
      <c r="AE1262" s="12" t="n"/>
      <c r="AF1262" s="11" t="n"/>
      <c r="AG1262" s="11" t="n"/>
      <c r="AH1262" s="11" t="n"/>
      <c r="AI1262" s="14">
        <f>IF(AND($AD1262="保留中",$AF1262&lt;&gt;""),TODAY()-$AF1262,"")</f>
        <v/>
      </c>
      <c r="AJ1262" s="12" t="n"/>
      <c r="AK1262" s="14">
        <f>IF($B1262="","",IF($AO1262="","対象年月が未入力／","")&amp;IF($B1262="","",IF($AN1262="","職員マスタに未登録の職員番号／",IF($Y1262="","標準報酬月額が未登録／","")&amp;IF(AND($AO1262&lt;&gt;"",OR(AND(INDEX(職員マスタ!$G$6:$G$405,$AN1262)&lt;&gt;"",INDEX(職員マスタ!$G$6:$G$405,$AN1262)&gt;EOMONTH($AO1262,0)),AND(INDEX(職員マスタ!$H$6:$H$405,$AN1262)&lt;&gt;"",INDEX(職員マスタ!$H$6:$H$405,$AN1262)&lt;$AO1262))),"対象月が時短期間外／","")&amp;IF(AND(INDEX(職員マスタ!$F$6:$F$405,$AN1262)&lt;&gt;"",$AO1262&lt;&gt;"",INDEX(職員マスタ!$F$6:$F$405,$AN1262)&lt;$AO1262),"対象月に子が2歳到達済／","")&amp;IF(AND($H1262&lt;&gt;"",INDEX(職員マスタ!$B$6:$B$405,$AN1262)&lt;&gt;"",SUBSTITUTE(SUBSTITUTE($H1262," ","")," ","")&lt;&gt;SUBSTITUTE(SUBSTITUTE(INDEX(職員マスタ!$B$6:$B$405,$AN1262)," ","")," ","")),"氏名がマスタと相違／","")&amp;IF(AND($Q1262&lt;&gt;"",INDEX(職員マスタ!$E$6:$E$405,$AN1262)&lt;&gt;"",$Q1262&lt;&gt;INDEX(職員マスタ!$E$6:$E$405,$AN1262)),"子の生年月日がマスタと相違／","")&amp;IF(AND($L1262&lt;&gt;"",INDEX(職員マスタ!$G$6:$G$405,$AN1262)&lt;&gt;"",$L1262&lt;&gt;INDEX(職員マスタ!$G$6:$G$405,$AN1262)),"時短開始日がマスタと相違／","")&amp;IF(AND($M1262&lt;&gt;"",INDEX(職員マスタ!$H$6:$H$405,$AN1262)&lt;&gt;"",$M1262&lt;&gt;INDEX(職員マスタ!$H$6:$H$405,$AN1262)),"時短終了日がマスタと相違／","")))&amp;IF(AND($B1262&lt;&gt;"",$E1262=""),"報酬額が未入力／","")&amp;IF(N($U1262)&gt;0,"申請書に入力エラーが残っています／","")&amp;IF(AND($B1262&lt;&gt;"",$AO1262&lt;&gt;""),IF(COUNTIFS($B$6:$B$3005,$B1262,$C$6:$C$3005,$C1262,$D$6:$D$3005,$D1262)&gt;1,"同じ月の請求が重複しています／",""),"")&amp;IF(AND(N($E1262)&gt;0,$Z1262&lt;&gt;"",$Z1262&lt;&gt;"×",$AC1262=0,$AB1262=""),"計算額が下限以下のため不支給／",""))</f>
        <v/>
      </c>
      <c r="AL1262" s="12" t="n"/>
      <c r="AM1262" s="14">
        <f>IF($AD1262="保留中",COUNTIF($AD$6:$AD1262,"保留中"),"")</f>
        <v/>
      </c>
      <c r="AN1262" s="14">
        <f>IF($AO1262="","",IF(SUMPRODUCT(MAX((職員マスタ!$A$6:$A$405=$B1262)*(((職員マスタ!$G$6:$G$405="")+(職員マスタ!$G$6:$G$405&lt;=EOMONTH($AO1262,0)))&gt;0)*(((職員マスタ!$H$6:$H$405="")+(職員マスタ!$H$6:$H$405&gt;=$AO1262))&gt;0)*(ROW(職員マスタ!$A$6:$A$405)-5)))&gt;0,SUMPRODUCT(MAX((職員マスタ!$A$6:$A$405=$B1262)*(((職員マスタ!$G$6:$G$405="")+(職員マスタ!$G$6:$G$405&lt;=EOMONTH($AO1262,0)))&gt;0)*(((職員マスタ!$H$6:$H$405="")+(職員マスタ!$H$6:$H$405&gt;=$AO1262))&gt;0)*(ROW(職員マスタ!$A$6:$A$405)-5))),IFERROR(MATCH($B1262,職員マスタ!$A$6:$A$405,0),"")))</f>
        <v/>
      </c>
      <c r="AO1262" s="16">
        <f>IF(OR($B1262="",$C1262="",$D1262=""),"",DATE($C1262+2018,$D1262,1))</f>
        <v/>
      </c>
    </row>
    <row r="1263">
      <c r="A1263" s="11" t="n"/>
      <c r="B1263" s="12" t="n"/>
      <c r="C1263" s="12" t="n"/>
      <c r="D1263" s="12" t="n"/>
      <c r="E1263" s="13" t="n"/>
      <c r="F1263" s="12" t="n"/>
      <c r="G1263" s="13" t="n"/>
      <c r="H1263" s="12" t="n"/>
      <c r="I1263" s="12" t="n"/>
      <c r="J1263" s="12" t="n"/>
      <c r="K1263" s="12" t="n"/>
      <c r="L1263" s="11" t="n"/>
      <c r="M1263" s="11" t="n"/>
      <c r="N1263" s="11" t="n"/>
      <c r="O1263" s="11" t="n"/>
      <c r="P1263" s="12" t="n"/>
      <c r="Q1263" s="11" t="n"/>
      <c r="R1263" s="12" t="n"/>
      <c r="S1263" s="11" t="n"/>
      <c r="T1263" s="12" t="n"/>
      <c r="U1263" s="12" t="n"/>
      <c r="V1263" s="14">
        <f>IF($AN1263="",IF($B1263="","",$H1263),IF(INDEX(職員マスタ!$B$6:$B$405,$AN1263)="",$H1263,INDEX(職員マスタ!$B$6:$B$405,$AN1263)))</f>
        <v/>
      </c>
      <c r="W1263" s="14">
        <f>IF($AN1263="",IF($B1263="","",$R1263),IF(INDEX(職員マスタ!$C$6:$C$405,$AN1263)="",$R1263,INDEX(職員マスタ!$C$6:$C$405,$AN1263)))</f>
        <v/>
      </c>
      <c r="X1263" s="14">
        <f>IF($AO1263="","","R"&amp;$C1263&amp;"."&amp;$D1263)</f>
        <v/>
      </c>
      <c r="Y1263" s="15">
        <f>IF($AN1263="","",IF(INDEX(職員マスタ!$K$6:$K$405,$AN1263)="","",INDEX(職員マスタ!$K$6:$K$405,$AN1263)))</f>
        <v/>
      </c>
      <c r="Z1263" s="14">
        <f>IF(OR($E1263="",$Y1263=""),"",IF($E1263&gt;=$Y1263,"×",IF($E1263&gt;=$Y1263*設定!$C$5,"△","○")))</f>
        <v/>
      </c>
      <c r="AA1263" s="15">
        <f>IF($Z1263="","",IF($Z1263="×",0,IF($Z1263="○",ROUNDDOWN($E1263*設定!$C$4,0),ROUNDDOWN($E1263*ROUND((9*$Y1263-9*$E1263)/(10*$E1263),4),0))))</f>
        <v/>
      </c>
      <c r="AB1263" s="13" t="n"/>
      <c r="AC1263" s="15">
        <f>IF($B1263="","",IF($AB1263&lt;&gt;"",$AB1263,IF($AA1263="","",IF($AA1263&lt;=設定!$C$3,0,$AA1263))))</f>
        <v/>
      </c>
      <c r="AD1263" s="14">
        <f>IF($B1263="","",IF(AND($AE1263&lt;&gt;"",$AG1263="",$AJ1263=""),"保留中",IF($AJ1263&lt;&gt;"",IF(N($AC1263)&gt;0,"支給済","不支給"),IF($AC1263="","要確認",IF($AC1263=0,"不支給","未処理")))))</f>
        <v/>
      </c>
      <c r="AE1263" s="12" t="n"/>
      <c r="AF1263" s="11" t="n"/>
      <c r="AG1263" s="11" t="n"/>
      <c r="AH1263" s="11" t="n"/>
      <c r="AI1263" s="14">
        <f>IF(AND($AD1263="保留中",$AF1263&lt;&gt;""),TODAY()-$AF1263,"")</f>
        <v/>
      </c>
      <c r="AJ1263" s="12" t="n"/>
      <c r="AK1263" s="14">
        <f>IF($B1263="","",IF($AO1263="","対象年月が未入力／","")&amp;IF($B1263="","",IF($AN1263="","職員マスタに未登録の職員番号／",IF($Y1263="","標準報酬月額が未登録／","")&amp;IF(AND($AO1263&lt;&gt;"",OR(AND(INDEX(職員マスタ!$G$6:$G$405,$AN1263)&lt;&gt;"",INDEX(職員マスタ!$G$6:$G$405,$AN1263)&gt;EOMONTH($AO1263,0)),AND(INDEX(職員マスタ!$H$6:$H$405,$AN1263)&lt;&gt;"",INDEX(職員マスタ!$H$6:$H$405,$AN1263)&lt;$AO1263))),"対象月が時短期間外／","")&amp;IF(AND(INDEX(職員マスタ!$F$6:$F$405,$AN1263)&lt;&gt;"",$AO1263&lt;&gt;"",INDEX(職員マスタ!$F$6:$F$405,$AN1263)&lt;$AO1263),"対象月に子が2歳到達済／","")&amp;IF(AND($H1263&lt;&gt;"",INDEX(職員マスタ!$B$6:$B$405,$AN1263)&lt;&gt;"",SUBSTITUTE(SUBSTITUTE($H1263," ","")," ","")&lt;&gt;SUBSTITUTE(SUBSTITUTE(INDEX(職員マスタ!$B$6:$B$405,$AN1263)," ","")," ","")),"氏名がマスタと相違／","")&amp;IF(AND($Q1263&lt;&gt;"",INDEX(職員マスタ!$E$6:$E$405,$AN1263)&lt;&gt;"",$Q1263&lt;&gt;INDEX(職員マスタ!$E$6:$E$405,$AN1263)),"子の生年月日がマスタと相違／","")&amp;IF(AND($L1263&lt;&gt;"",INDEX(職員マスタ!$G$6:$G$405,$AN1263)&lt;&gt;"",$L1263&lt;&gt;INDEX(職員マスタ!$G$6:$G$405,$AN1263)),"時短開始日がマスタと相違／","")&amp;IF(AND($M1263&lt;&gt;"",INDEX(職員マスタ!$H$6:$H$405,$AN1263)&lt;&gt;"",$M1263&lt;&gt;INDEX(職員マスタ!$H$6:$H$405,$AN1263)),"時短終了日がマスタと相違／","")))&amp;IF(AND($B1263&lt;&gt;"",$E1263=""),"報酬額が未入力／","")&amp;IF(N($U1263)&gt;0,"申請書に入力エラーが残っています／","")&amp;IF(AND($B1263&lt;&gt;"",$AO1263&lt;&gt;""),IF(COUNTIFS($B$6:$B$3005,$B1263,$C$6:$C$3005,$C1263,$D$6:$D$3005,$D1263)&gt;1,"同じ月の請求が重複しています／",""),"")&amp;IF(AND(N($E1263)&gt;0,$Z1263&lt;&gt;"",$Z1263&lt;&gt;"×",$AC1263=0,$AB1263=""),"計算額が下限以下のため不支給／",""))</f>
        <v/>
      </c>
      <c r="AL1263" s="12" t="n"/>
      <c r="AM1263" s="14">
        <f>IF($AD1263="保留中",COUNTIF($AD$6:$AD1263,"保留中"),"")</f>
        <v/>
      </c>
      <c r="AN1263" s="14">
        <f>IF($AO1263="","",IF(SUMPRODUCT(MAX((職員マスタ!$A$6:$A$405=$B1263)*(((職員マスタ!$G$6:$G$405="")+(職員マスタ!$G$6:$G$405&lt;=EOMONTH($AO1263,0)))&gt;0)*(((職員マスタ!$H$6:$H$405="")+(職員マスタ!$H$6:$H$405&gt;=$AO1263))&gt;0)*(ROW(職員マスタ!$A$6:$A$405)-5)))&gt;0,SUMPRODUCT(MAX((職員マスタ!$A$6:$A$405=$B1263)*(((職員マスタ!$G$6:$G$405="")+(職員マスタ!$G$6:$G$405&lt;=EOMONTH($AO1263,0)))&gt;0)*(((職員マスタ!$H$6:$H$405="")+(職員マスタ!$H$6:$H$405&gt;=$AO1263))&gt;0)*(ROW(職員マスタ!$A$6:$A$405)-5))),IFERROR(MATCH($B1263,職員マスタ!$A$6:$A$405,0),"")))</f>
        <v/>
      </c>
      <c r="AO1263" s="16">
        <f>IF(OR($B1263="",$C1263="",$D1263=""),"",DATE($C1263+2018,$D1263,1))</f>
        <v/>
      </c>
    </row>
    <row r="1264">
      <c r="A1264" s="11" t="n"/>
      <c r="B1264" s="12" t="n"/>
      <c r="C1264" s="12" t="n"/>
      <c r="D1264" s="12" t="n"/>
      <c r="E1264" s="13" t="n"/>
      <c r="F1264" s="12" t="n"/>
      <c r="G1264" s="13" t="n"/>
      <c r="H1264" s="12" t="n"/>
      <c r="I1264" s="12" t="n"/>
      <c r="J1264" s="12" t="n"/>
      <c r="K1264" s="12" t="n"/>
      <c r="L1264" s="11" t="n"/>
      <c r="M1264" s="11" t="n"/>
      <c r="N1264" s="11" t="n"/>
      <c r="O1264" s="11" t="n"/>
      <c r="P1264" s="12" t="n"/>
      <c r="Q1264" s="11" t="n"/>
      <c r="R1264" s="12" t="n"/>
      <c r="S1264" s="11" t="n"/>
      <c r="T1264" s="12" t="n"/>
      <c r="U1264" s="12" t="n"/>
      <c r="V1264" s="14">
        <f>IF($AN1264="",IF($B1264="","",$H1264),IF(INDEX(職員マスタ!$B$6:$B$405,$AN1264)="",$H1264,INDEX(職員マスタ!$B$6:$B$405,$AN1264)))</f>
        <v/>
      </c>
      <c r="W1264" s="14">
        <f>IF($AN1264="",IF($B1264="","",$R1264),IF(INDEX(職員マスタ!$C$6:$C$405,$AN1264)="",$R1264,INDEX(職員マスタ!$C$6:$C$405,$AN1264)))</f>
        <v/>
      </c>
      <c r="X1264" s="14">
        <f>IF($AO1264="","","R"&amp;$C1264&amp;"."&amp;$D1264)</f>
        <v/>
      </c>
      <c r="Y1264" s="15">
        <f>IF($AN1264="","",IF(INDEX(職員マスタ!$K$6:$K$405,$AN1264)="","",INDEX(職員マスタ!$K$6:$K$405,$AN1264)))</f>
        <v/>
      </c>
      <c r="Z1264" s="14">
        <f>IF(OR($E1264="",$Y1264=""),"",IF($E1264&gt;=$Y1264,"×",IF($E1264&gt;=$Y1264*設定!$C$5,"△","○")))</f>
        <v/>
      </c>
      <c r="AA1264" s="15">
        <f>IF($Z1264="","",IF($Z1264="×",0,IF($Z1264="○",ROUNDDOWN($E1264*設定!$C$4,0),ROUNDDOWN($E1264*ROUND((9*$Y1264-9*$E1264)/(10*$E1264),4),0))))</f>
        <v/>
      </c>
      <c r="AB1264" s="13" t="n"/>
      <c r="AC1264" s="15">
        <f>IF($B1264="","",IF($AB1264&lt;&gt;"",$AB1264,IF($AA1264="","",IF($AA1264&lt;=設定!$C$3,0,$AA1264))))</f>
        <v/>
      </c>
      <c r="AD1264" s="14">
        <f>IF($B1264="","",IF(AND($AE1264&lt;&gt;"",$AG1264="",$AJ1264=""),"保留中",IF($AJ1264&lt;&gt;"",IF(N($AC1264)&gt;0,"支給済","不支給"),IF($AC1264="","要確認",IF($AC1264=0,"不支給","未処理")))))</f>
        <v/>
      </c>
      <c r="AE1264" s="12" t="n"/>
      <c r="AF1264" s="11" t="n"/>
      <c r="AG1264" s="11" t="n"/>
      <c r="AH1264" s="11" t="n"/>
      <c r="AI1264" s="14">
        <f>IF(AND($AD1264="保留中",$AF1264&lt;&gt;""),TODAY()-$AF1264,"")</f>
        <v/>
      </c>
      <c r="AJ1264" s="12" t="n"/>
      <c r="AK1264" s="14">
        <f>IF($B1264="","",IF($AO1264="","対象年月が未入力／","")&amp;IF($B1264="","",IF($AN1264="","職員マスタに未登録の職員番号／",IF($Y1264="","標準報酬月額が未登録／","")&amp;IF(AND($AO1264&lt;&gt;"",OR(AND(INDEX(職員マスタ!$G$6:$G$405,$AN1264)&lt;&gt;"",INDEX(職員マスタ!$G$6:$G$405,$AN1264)&gt;EOMONTH($AO1264,0)),AND(INDEX(職員マスタ!$H$6:$H$405,$AN1264)&lt;&gt;"",INDEX(職員マスタ!$H$6:$H$405,$AN1264)&lt;$AO1264))),"対象月が時短期間外／","")&amp;IF(AND(INDEX(職員マスタ!$F$6:$F$405,$AN1264)&lt;&gt;"",$AO1264&lt;&gt;"",INDEX(職員マスタ!$F$6:$F$405,$AN1264)&lt;$AO1264),"対象月に子が2歳到達済／","")&amp;IF(AND($H1264&lt;&gt;"",INDEX(職員マスタ!$B$6:$B$405,$AN1264)&lt;&gt;"",SUBSTITUTE(SUBSTITUTE($H1264," ","")," ","")&lt;&gt;SUBSTITUTE(SUBSTITUTE(INDEX(職員マスタ!$B$6:$B$405,$AN1264)," ","")," ","")),"氏名がマスタと相違／","")&amp;IF(AND($Q1264&lt;&gt;"",INDEX(職員マスタ!$E$6:$E$405,$AN1264)&lt;&gt;"",$Q1264&lt;&gt;INDEX(職員マスタ!$E$6:$E$405,$AN1264)),"子の生年月日がマスタと相違／","")&amp;IF(AND($L1264&lt;&gt;"",INDEX(職員マスタ!$G$6:$G$405,$AN1264)&lt;&gt;"",$L1264&lt;&gt;INDEX(職員マスタ!$G$6:$G$405,$AN1264)),"時短開始日がマスタと相違／","")&amp;IF(AND($M1264&lt;&gt;"",INDEX(職員マスタ!$H$6:$H$405,$AN1264)&lt;&gt;"",$M1264&lt;&gt;INDEX(職員マスタ!$H$6:$H$405,$AN1264)),"時短終了日がマスタと相違／","")))&amp;IF(AND($B1264&lt;&gt;"",$E1264=""),"報酬額が未入力／","")&amp;IF(N($U1264)&gt;0,"申請書に入力エラーが残っています／","")&amp;IF(AND($B1264&lt;&gt;"",$AO1264&lt;&gt;""),IF(COUNTIFS($B$6:$B$3005,$B1264,$C$6:$C$3005,$C1264,$D$6:$D$3005,$D1264)&gt;1,"同じ月の請求が重複しています／",""),"")&amp;IF(AND(N($E1264)&gt;0,$Z1264&lt;&gt;"",$Z1264&lt;&gt;"×",$AC1264=0,$AB1264=""),"計算額が下限以下のため不支給／",""))</f>
        <v/>
      </c>
      <c r="AL1264" s="12" t="n"/>
      <c r="AM1264" s="14">
        <f>IF($AD1264="保留中",COUNTIF($AD$6:$AD1264,"保留中"),"")</f>
        <v/>
      </c>
      <c r="AN1264" s="14">
        <f>IF($AO1264="","",IF(SUMPRODUCT(MAX((職員マスタ!$A$6:$A$405=$B1264)*(((職員マスタ!$G$6:$G$405="")+(職員マスタ!$G$6:$G$405&lt;=EOMONTH($AO1264,0)))&gt;0)*(((職員マスタ!$H$6:$H$405="")+(職員マスタ!$H$6:$H$405&gt;=$AO1264))&gt;0)*(ROW(職員マスタ!$A$6:$A$405)-5)))&gt;0,SUMPRODUCT(MAX((職員マスタ!$A$6:$A$405=$B1264)*(((職員マスタ!$G$6:$G$405="")+(職員マスタ!$G$6:$G$405&lt;=EOMONTH($AO1264,0)))&gt;0)*(((職員マスタ!$H$6:$H$405="")+(職員マスタ!$H$6:$H$405&gt;=$AO1264))&gt;0)*(ROW(職員マスタ!$A$6:$A$405)-5))),IFERROR(MATCH($B1264,職員マスタ!$A$6:$A$405,0),"")))</f>
        <v/>
      </c>
      <c r="AO1264" s="16">
        <f>IF(OR($B1264="",$C1264="",$D1264=""),"",DATE($C1264+2018,$D1264,1))</f>
        <v/>
      </c>
    </row>
    <row r="1265">
      <c r="A1265" s="11" t="n"/>
      <c r="B1265" s="12" t="n"/>
      <c r="C1265" s="12" t="n"/>
      <c r="D1265" s="12" t="n"/>
      <c r="E1265" s="13" t="n"/>
      <c r="F1265" s="12" t="n"/>
      <c r="G1265" s="13" t="n"/>
      <c r="H1265" s="12" t="n"/>
      <c r="I1265" s="12" t="n"/>
      <c r="J1265" s="12" t="n"/>
      <c r="K1265" s="12" t="n"/>
      <c r="L1265" s="11" t="n"/>
      <c r="M1265" s="11" t="n"/>
      <c r="N1265" s="11" t="n"/>
      <c r="O1265" s="11" t="n"/>
      <c r="P1265" s="12" t="n"/>
      <c r="Q1265" s="11" t="n"/>
      <c r="R1265" s="12" t="n"/>
      <c r="S1265" s="11" t="n"/>
      <c r="T1265" s="12" t="n"/>
      <c r="U1265" s="12" t="n"/>
      <c r="V1265" s="14">
        <f>IF($AN1265="",IF($B1265="","",$H1265),IF(INDEX(職員マスタ!$B$6:$B$405,$AN1265)="",$H1265,INDEX(職員マスタ!$B$6:$B$405,$AN1265)))</f>
        <v/>
      </c>
      <c r="W1265" s="14">
        <f>IF($AN1265="",IF($B1265="","",$R1265),IF(INDEX(職員マスタ!$C$6:$C$405,$AN1265)="",$R1265,INDEX(職員マスタ!$C$6:$C$405,$AN1265)))</f>
        <v/>
      </c>
      <c r="X1265" s="14">
        <f>IF($AO1265="","","R"&amp;$C1265&amp;"."&amp;$D1265)</f>
        <v/>
      </c>
      <c r="Y1265" s="15">
        <f>IF($AN1265="","",IF(INDEX(職員マスタ!$K$6:$K$405,$AN1265)="","",INDEX(職員マスタ!$K$6:$K$405,$AN1265)))</f>
        <v/>
      </c>
      <c r="Z1265" s="14">
        <f>IF(OR($E1265="",$Y1265=""),"",IF($E1265&gt;=$Y1265,"×",IF($E1265&gt;=$Y1265*設定!$C$5,"△","○")))</f>
        <v/>
      </c>
      <c r="AA1265" s="15">
        <f>IF($Z1265="","",IF($Z1265="×",0,IF($Z1265="○",ROUNDDOWN($E1265*設定!$C$4,0),ROUNDDOWN($E1265*ROUND((9*$Y1265-9*$E1265)/(10*$E1265),4),0))))</f>
        <v/>
      </c>
      <c r="AB1265" s="13" t="n"/>
      <c r="AC1265" s="15">
        <f>IF($B1265="","",IF($AB1265&lt;&gt;"",$AB1265,IF($AA1265="","",IF($AA1265&lt;=設定!$C$3,0,$AA1265))))</f>
        <v/>
      </c>
      <c r="AD1265" s="14">
        <f>IF($B1265="","",IF(AND($AE1265&lt;&gt;"",$AG1265="",$AJ1265=""),"保留中",IF($AJ1265&lt;&gt;"",IF(N($AC1265)&gt;0,"支給済","不支給"),IF($AC1265="","要確認",IF($AC1265=0,"不支給","未処理")))))</f>
        <v/>
      </c>
      <c r="AE1265" s="12" t="n"/>
      <c r="AF1265" s="11" t="n"/>
      <c r="AG1265" s="11" t="n"/>
      <c r="AH1265" s="11" t="n"/>
      <c r="AI1265" s="14">
        <f>IF(AND($AD1265="保留中",$AF1265&lt;&gt;""),TODAY()-$AF1265,"")</f>
        <v/>
      </c>
      <c r="AJ1265" s="12" t="n"/>
      <c r="AK1265" s="14">
        <f>IF($B1265="","",IF($AO1265="","対象年月が未入力／","")&amp;IF($B1265="","",IF($AN1265="","職員マスタに未登録の職員番号／",IF($Y1265="","標準報酬月額が未登録／","")&amp;IF(AND($AO1265&lt;&gt;"",OR(AND(INDEX(職員マスタ!$G$6:$G$405,$AN1265)&lt;&gt;"",INDEX(職員マスタ!$G$6:$G$405,$AN1265)&gt;EOMONTH($AO1265,0)),AND(INDEX(職員マスタ!$H$6:$H$405,$AN1265)&lt;&gt;"",INDEX(職員マスタ!$H$6:$H$405,$AN1265)&lt;$AO1265))),"対象月が時短期間外／","")&amp;IF(AND(INDEX(職員マスタ!$F$6:$F$405,$AN1265)&lt;&gt;"",$AO1265&lt;&gt;"",INDEX(職員マスタ!$F$6:$F$405,$AN1265)&lt;$AO1265),"対象月に子が2歳到達済／","")&amp;IF(AND($H1265&lt;&gt;"",INDEX(職員マスタ!$B$6:$B$405,$AN1265)&lt;&gt;"",SUBSTITUTE(SUBSTITUTE($H1265," ","")," ","")&lt;&gt;SUBSTITUTE(SUBSTITUTE(INDEX(職員マスタ!$B$6:$B$405,$AN1265)," ","")," ","")),"氏名がマスタと相違／","")&amp;IF(AND($Q1265&lt;&gt;"",INDEX(職員マスタ!$E$6:$E$405,$AN1265)&lt;&gt;"",$Q1265&lt;&gt;INDEX(職員マスタ!$E$6:$E$405,$AN1265)),"子の生年月日がマスタと相違／","")&amp;IF(AND($L1265&lt;&gt;"",INDEX(職員マスタ!$G$6:$G$405,$AN1265)&lt;&gt;"",$L1265&lt;&gt;INDEX(職員マスタ!$G$6:$G$405,$AN1265)),"時短開始日がマスタと相違／","")&amp;IF(AND($M1265&lt;&gt;"",INDEX(職員マスタ!$H$6:$H$405,$AN1265)&lt;&gt;"",$M1265&lt;&gt;INDEX(職員マスタ!$H$6:$H$405,$AN1265)),"時短終了日がマスタと相違／","")))&amp;IF(AND($B1265&lt;&gt;"",$E1265=""),"報酬額が未入力／","")&amp;IF(N($U1265)&gt;0,"申請書に入力エラーが残っています／","")&amp;IF(AND($B1265&lt;&gt;"",$AO1265&lt;&gt;""),IF(COUNTIFS($B$6:$B$3005,$B1265,$C$6:$C$3005,$C1265,$D$6:$D$3005,$D1265)&gt;1,"同じ月の請求が重複しています／",""),"")&amp;IF(AND(N($E1265)&gt;0,$Z1265&lt;&gt;"",$Z1265&lt;&gt;"×",$AC1265=0,$AB1265=""),"計算額が下限以下のため不支給／",""))</f>
        <v/>
      </c>
      <c r="AL1265" s="12" t="n"/>
      <c r="AM1265" s="14">
        <f>IF($AD1265="保留中",COUNTIF($AD$6:$AD1265,"保留中"),"")</f>
        <v/>
      </c>
      <c r="AN1265" s="14">
        <f>IF($AO1265="","",IF(SUMPRODUCT(MAX((職員マスタ!$A$6:$A$405=$B1265)*(((職員マスタ!$G$6:$G$405="")+(職員マスタ!$G$6:$G$405&lt;=EOMONTH($AO1265,0)))&gt;0)*(((職員マスタ!$H$6:$H$405="")+(職員マスタ!$H$6:$H$405&gt;=$AO1265))&gt;0)*(ROW(職員マスタ!$A$6:$A$405)-5)))&gt;0,SUMPRODUCT(MAX((職員マスタ!$A$6:$A$405=$B1265)*(((職員マスタ!$G$6:$G$405="")+(職員マスタ!$G$6:$G$405&lt;=EOMONTH($AO1265,0)))&gt;0)*(((職員マスタ!$H$6:$H$405="")+(職員マスタ!$H$6:$H$405&gt;=$AO1265))&gt;0)*(ROW(職員マスタ!$A$6:$A$405)-5))),IFERROR(MATCH($B1265,職員マスタ!$A$6:$A$405,0),"")))</f>
        <v/>
      </c>
      <c r="AO1265" s="16">
        <f>IF(OR($B1265="",$C1265="",$D1265=""),"",DATE($C1265+2018,$D1265,1))</f>
        <v/>
      </c>
    </row>
    <row r="1266">
      <c r="A1266" s="11" t="n"/>
      <c r="B1266" s="12" t="n"/>
      <c r="C1266" s="12" t="n"/>
      <c r="D1266" s="12" t="n"/>
      <c r="E1266" s="13" t="n"/>
      <c r="F1266" s="12" t="n"/>
      <c r="G1266" s="13" t="n"/>
      <c r="H1266" s="12" t="n"/>
      <c r="I1266" s="12" t="n"/>
      <c r="J1266" s="12" t="n"/>
      <c r="K1266" s="12" t="n"/>
      <c r="L1266" s="11" t="n"/>
      <c r="M1266" s="11" t="n"/>
      <c r="N1266" s="11" t="n"/>
      <c r="O1266" s="11" t="n"/>
      <c r="P1266" s="12" t="n"/>
      <c r="Q1266" s="11" t="n"/>
      <c r="R1266" s="12" t="n"/>
      <c r="S1266" s="11" t="n"/>
      <c r="T1266" s="12" t="n"/>
      <c r="U1266" s="12" t="n"/>
      <c r="V1266" s="14">
        <f>IF($AN1266="",IF($B1266="","",$H1266),IF(INDEX(職員マスタ!$B$6:$B$405,$AN1266)="",$H1266,INDEX(職員マスタ!$B$6:$B$405,$AN1266)))</f>
        <v/>
      </c>
      <c r="W1266" s="14">
        <f>IF($AN1266="",IF($B1266="","",$R1266),IF(INDEX(職員マスタ!$C$6:$C$405,$AN1266)="",$R1266,INDEX(職員マスタ!$C$6:$C$405,$AN1266)))</f>
        <v/>
      </c>
      <c r="X1266" s="14">
        <f>IF($AO1266="","","R"&amp;$C1266&amp;"."&amp;$D1266)</f>
        <v/>
      </c>
      <c r="Y1266" s="15">
        <f>IF($AN1266="","",IF(INDEX(職員マスタ!$K$6:$K$405,$AN1266)="","",INDEX(職員マスタ!$K$6:$K$405,$AN1266)))</f>
        <v/>
      </c>
      <c r="Z1266" s="14">
        <f>IF(OR($E1266="",$Y1266=""),"",IF($E1266&gt;=$Y1266,"×",IF($E1266&gt;=$Y1266*設定!$C$5,"△","○")))</f>
        <v/>
      </c>
      <c r="AA1266" s="15">
        <f>IF($Z1266="","",IF($Z1266="×",0,IF($Z1266="○",ROUNDDOWN($E1266*設定!$C$4,0),ROUNDDOWN($E1266*ROUND((9*$Y1266-9*$E1266)/(10*$E1266),4),0))))</f>
        <v/>
      </c>
      <c r="AB1266" s="13" t="n"/>
      <c r="AC1266" s="15">
        <f>IF($B1266="","",IF($AB1266&lt;&gt;"",$AB1266,IF($AA1266="","",IF($AA1266&lt;=設定!$C$3,0,$AA1266))))</f>
        <v/>
      </c>
      <c r="AD1266" s="14">
        <f>IF($B1266="","",IF(AND($AE1266&lt;&gt;"",$AG1266="",$AJ1266=""),"保留中",IF($AJ1266&lt;&gt;"",IF(N($AC1266)&gt;0,"支給済","不支給"),IF($AC1266="","要確認",IF($AC1266=0,"不支給","未処理")))))</f>
        <v/>
      </c>
      <c r="AE1266" s="12" t="n"/>
      <c r="AF1266" s="11" t="n"/>
      <c r="AG1266" s="11" t="n"/>
      <c r="AH1266" s="11" t="n"/>
      <c r="AI1266" s="14">
        <f>IF(AND($AD1266="保留中",$AF1266&lt;&gt;""),TODAY()-$AF1266,"")</f>
        <v/>
      </c>
      <c r="AJ1266" s="12" t="n"/>
      <c r="AK1266" s="14">
        <f>IF($B1266="","",IF($AO1266="","対象年月が未入力／","")&amp;IF($B1266="","",IF($AN1266="","職員マスタに未登録の職員番号／",IF($Y1266="","標準報酬月額が未登録／","")&amp;IF(AND($AO1266&lt;&gt;"",OR(AND(INDEX(職員マスタ!$G$6:$G$405,$AN1266)&lt;&gt;"",INDEX(職員マスタ!$G$6:$G$405,$AN1266)&gt;EOMONTH($AO1266,0)),AND(INDEX(職員マスタ!$H$6:$H$405,$AN1266)&lt;&gt;"",INDEX(職員マスタ!$H$6:$H$405,$AN1266)&lt;$AO1266))),"対象月が時短期間外／","")&amp;IF(AND(INDEX(職員マスタ!$F$6:$F$405,$AN1266)&lt;&gt;"",$AO1266&lt;&gt;"",INDEX(職員マスタ!$F$6:$F$405,$AN1266)&lt;$AO1266),"対象月に子が2歳到達済／","")&amp;IF(AND($H1266&lt;&gt;"",INDEX(職員マスタ!$B$6:$B$405,$AN1266)&lt;&gt;"",SUBSTITUTE(SUBSTITUTE($H1266," ","")," ","")&lt;&gt;SUBSTITUTE(SUBSTITUTE(INDEX(職員マスタ!$B$6:$B$405,$AN1266)," ","")," ","")),"氏名がマスタと相違／","")&amp;IF(AND($Q1266&lt;&gt;"",INDEX(職員マスタ!$E$6:$E$405,$AN1266)&lt;&gt;"",$Q1266&lt;&gt;INDEX(職員マスタ!$E$6:$E$405,$AN1266)),"子の生年月日がマスタと相違／","")&amp;IF(AND($L1266&lt;&gt;"",INDEX(職員マスタ!$G$6:$G$405,$AN1266)&lt;&gt;"",$L1266&lt;&gt;INDEX(職員マスタ!$G$6:$G$405,$AN1266)),"時短開始日がマスタと相違／","")&amp;IF(AND($M1266&lt;&gt;"",INDEX(職員マスタ!$H$6:$H$405,$AN1266)&lt;&gt;"",$M1266&lt;&gt;INDEX(職員マスタ!$H$6:$H$405,$AN1266)),"時短終了日がマスタと相違／","")))&amp;IF(AND($B1266&lt;&gt;"",$E1266=""),"報酬額が未入力／","")&amp;IF(N($U1266)&gt;0,"申請書に入力エラーが残っています／","")&amp;IF(AND($B1266&lt;&gt;"",$AO1266&lt;&gt;""),IF(COUNTIFS($B$6:$B$3005,$B1266,$C$6:$C$3005,$C1266,$D$6:$D$3005,$D1266)&gt;1,"同じ月の請求が重複しています／",""),"")&amp;IF(AND(N($E1266)&gt;0,$Z1266&lt;&gt;"",$Z1266&lt;&gt;"×",$AC1266=0,$AB1266=""),"計算額が下限以下のため不支給／",""))</f>
        <v/>
      </c>
      <c r="AL1266" s="12" t="n"/>
      <c r="AM1266" s="14">
        <f>IF($AD1266="保留中",COUNTIF($AD$6:$AD1266,"保留中"),"")</f>
        <v/>
      </c>
      <c r="AN1266" s="14">
        <f>IF($AO1266="","",IF(SUMPRODUCT(MAX((職員マスタ!$A$6:$A$405=$B1266)*(((職員マスタ!$G$6:$G$405="")+(職員マスタ!$G$6:$G$405&lt;=EOMONTH($AO1266,0)))&gt;0)*(((職員マスタ!$H$6:$H$405="")+(職員マスタ!$H$6:$H$405&gt;=$AO1266))&gt;0)*(ROW(職員マスタ!$A$6:$A$405)-5)))&gt;0,SUMPRODUCT(MAX((職員マスタ!$A$6:$A$405=$B1266)*(((職員マスタ!$G$6:$G$405="")+(職員マスタ!$G$6:$G$405&lt;=EOMONTH($AO1266,0)))&gt;0)*(((職員マスタ!$H$6:$H$405="")+(職員マスタ!$H$6:$H$405&gt;=$AO1266))&gt;0)*(ROW(職員マスタ!$A$6:$A$405)-5))),IFERROR(MATCH($B1266,職員マスタ!$A$6:$A$405,0),"")))</f>
        <v/>
      </c>
      <c r="AO1266" s="16">
        <f>IF(OR($B1266="",$C1266="",$D1266=""),"",DATE($C1266+2018,$D1266,1))</f>
        <v/>
      </c>
    </row>
    <row r="1267">
      <c r="A1267" s="11" t="n"/>
      <c r="B1267" s="12" t="n"/>
      <c r="C1267" s="12" t="n"/>
      <c r="D1267" s="12" t="n"/>
      <c r="E1267" s="13" t="n"/>
      <c r="F1267" s="12" t="n"/>
      <c r="G1267" s="13" t="n"/>
      <c r="H1267" s="12" t="n"/>
      <c r="I1267" s="12" t="n"/>
      <c r="J1267" s="12" t="n"/>
      <c r="K1267" s="12" t="n"/>
      <c r="L1267" s="11" t="n"/>
      <c r="M1267" s="11" t="n"/>
      <c r="N1267" s="11" t="n"/>
      <c r="O1267" s="11" t="n"/>
      <c r="P1267" s="12" t="n"/>
      <c r="Q1267" s="11" t="n"/>
      <c r="R1267" s="12" t="n"/>
      <c r="S1267" s="11" t="n"/>
      <c r="T1267" s="12" t="n"/>
      <c r="U1267" s="12" t="n"/>
      <c r="V1267" s="14">
        <f>IF($AN1267="",IF($B1267="","",$H1267),IF(INDEX(職員マスタ!$B$6:$B$405,$AN1267)="",$H1267,INDEX(職員マスタ!$B$6:$B$405,$AN1267)))</f>
        <v/>
      </c>
      <c r="W1267" s="14">
        <f>IF($AN1267="",IF($B1267="","",$R1267),IF(INDEX(職員マスタ!$C$6:$C$405,$AN1267)="",$R1267,INDEX(職員マスタ!$C$6:$C$405,$AN1267)))</f>
        <v/>
      </c>
      <c r="X1267" s="14">
        <f>IF($AO1267="","","R"&amp;$C1267&amp;"."&amp;$D1267)</f>
        <v/>
      </c>
      <c r="Y1267" s="15">
        <f>IF($AN1267="","",IF(INDEX(職員マスタ!$K$6:$K$405,$AN1267)="","",INDEX(職員マスタ!$K$6:$K$405,$AN1267)))</f>
        <v/>
      </c>
      <c r="Z1267" s="14">
        <f>IF(OR($E1267="",$Y1267=""),"",IF($E1267&gt;=$Y1267,"×",IF($E1267&gt;=$Y1267*設定!$C$5,"△","○")))</f>
        <v/>
      </c>
      <c r="AA1267" s="15">
        <f>IF($Z1267="","",IF($Z1267="×",0,IF($Z1267="○",ROUNDDOWN($E1267*設定!$C$4,0),ROUNDDOWN($E1267*ROUND((9*$Y1267-9*$E1267)/(10*$E1267),4),0))))</f>
        <v/>
      </c>
      <c r="AB1267" s="13" t="n"/>
      <c r="AC1267" s="15">
        <f>IF($B1267="","",IF($AB1267&lt;&gt;"",$AB1267,IF($AA1267="","",IF($AA1267&lt;=設定!$C$3,0,$AA1267))))</f>
        <v/>
      </c>
      <c r="AD1267" s="14">
        <f>IF($B1267="","",IF(AND($AE1267&lt;&gt;"",$AG1267="",$AJ1267=""),"保留中",IF($AJ1267&lt;&gt;"",IF(N($AC1267)&gt;0,"支給済","不支給"),IF($AC1267="","要確認",IF($AC1267=0,"不支給","未処理")))))</f>
        <v/>
      </c>
      <c r="AE1267" s="12" t="n"/>
      <c r="AF1267" s="11" t="n"/>
      <c r="AG1267" s="11" t="n"/>
      <c r="AH1267" s="11" t="n"/>
      <c r="AI1267" s="14">
        <f>IF(AND($AD1267="保留中",$AF1267&lt;&gt;""),TODAY()-$AF1267,"")</f>
        <v/>
      </c>
      <c r="AJ1267" s="12" t="n"/>
      <c r="AK1267" s="14">
        <f>IF($B1267="","",IF($AO1267="","対象年月が未入力／","")&amp;IF($B1267="","",IF($AN1267="","職員マスタに未登録の職員番号／",IF($Y1267="","標準報酬月額が未登録／","")&amp;IF(AND($AO1267&lt;&gt;"",OR(AND(INDEX(職員マスタ!$G$6:$G$405,$AN1267)&lt;&gt;"",INDEX(職員マスタ!$G$6:$G$405,$AN1267)&gt;EOMONTH($AO1267,0)),AND(INDEX(職員マスタ!$H$6:$H$405,$AN1267)&lt;&gt;"",INDEX(職員マスタ!$H$6:$H$405,$AN1267)&lt;$AO1267))),"対象月が時短期間外／","")&amp;IF(AND(INDEX(職員マスタ!$F$6:$F$405,$AN1267)&lt;&gt;"",$AO1267&lt;&gt;"",INDEX(職員マスタ!$F$6:$F$405,$AN1267)&lt;$AO1267),"対象月に子が2歳到達済／","")&amp;IF(AND($H1267&lt;&gt;"",INDEX(職員マスタ!$B$6:$B$405,$AN1267)&lt;&gt;"",SUBSTITUTE(SUBSTITUTE($H1267," ","")," ","")&lt;&gt;SUBSTITUTE(SUBSTITUTE(INDEX(職員マスタ!$B$6:$B$405,$AN1267)," ","")," ","")),"氏名がマスタと相違／","")&amp;IF(AND($Q1267&lt;&gt;"",INDEX(職員マスタ!$E$6:$E$405,$AN1267)&lt;&gt;"",$Q1267&lt;&gt;INDEX(職員マスタ!$E$6:$E$405,$AN1267)),"子の生年月日がマスタと相違／","")&amp;IF(AND($L1267&lt;&gt;"",INDEX(職員マスタ!$G$6:$G$405,$AN1267)&lt;&gt;"",$L1267&lt;&gt;INDEX(職員マスタ!$G$6:$G$405,$AN1267)),"時短開始日がマスタと相違／","")&amp;IF(AND($M1267&lt;&gt;"",INDEX(職員マスタ!$H$6:$H$405,$AN1267)&lt;&gt;"",$M1267&lt;&gt;INDEX(職員マスタ!$H$6:$H$405,$AN1267)),"時短終了日がマスタと相違／","")))&amp;IF(AND($B1267&lt;&gt;"",$E1267=""),"報酬額が未入力／","")&amp;IF(N($U1267)&gt;0,"申請書に入力エラーが残っています／","")&amp;IF(AND($B1267&lt;&gt;"",$AO1267&lt;&gt;""),IF(COUNTIFS($B$6:$B$3005,$B1267,$C$6:$C$3005,$C1267,$D$6:$D$3005,$D1267)&gt;1,"同じ月の請求が重複しています／",""),"")&amp;IF(AND(N($E1267)&gt;0,$Z1267&lt;&gt;"",$Z1267&lt;&gt;"×",$AC1267=0,$AB1267=""),"計算額が下限以下のため不支給／",""))</f>
        <v/>
      </c>
      <c r="AL1267" s="12" t="n"/>
      <c r="AM1267" s="14">
        <f>IF($AD1267="保留中",COUNTIF($AD$6:$AD1267,"保留中"),"")</f>
        <v/>
      </c>
      <c r="AN1267" s="14">
        <f>IF($AO1267="","",IF(SUMPRODUCT(MAX((職員マスタ!$A$6:$A$405=$B1267)*(((職員マスタ!$G$6:$G$405="")+(職員マスタ!$G$6:$G$405&lt;=EOMONTH($AO1267,0)))&gt;0)*(((職員マスタ!$H$6:$H$405="")+(職員マスタ!$H$6:$H$405&gt;=$AO1267))&gt;0)*(ROW(職員マスタ!$A$6:$A$405)-5)))&gt;0,SUMPRODUCT(MAX((職員マスタ!$A$6:$A$405=$B1267)*(((職員マスタ!$G$6:$G$405="")+(職員マスタ!$G$6:$G$405&lt;=EOMONTH($AO1267,0)))&gt;0)*(((職員マスタ!$H$6:$H$405="")+(職員マスタ!$H$6:$H$405&gt;=$AO1267))&gt;0)*(ROW(職員マスタ!$A$6:$A$405)-5))),IFERROR(MATCH($B1267,職員マスタ!$A$6:$A$405,0),"")))</f>
        <v/>
      </c>
      <c r="AO1267" s="16">
        <f>IF(OR($B1267="",$C1267="",$D1267=""),"",DATE($C1267+2018,$D1267,1))</f>
        <v/>
      </c>
    </row>
    <row r="1268">
      <c r="A1268" s="11" t="n"/>
      <c r="B1268" s="12" t="n"/>
      <c r="C1268" s="12" t="n"/>
      <c r="D1268" s="12" t="n"/>
      <c r="E1268" s="13" t="n"/>
      <c r="F1268" s="12" t="n"/>
      <c r="G1268" s="13" t="n"/>
      <c r="H1268" s="12" t="n"/>
      <c r="I1268" s="12" t="n"/>
      <c r="J1268" s="12" t="n"/>
      <c r="K1268" s="12" t="n"/>
      <c r="L1268" s="11" t="n"/>
      <c r="M1268" s="11" t="n"/>
      <c r="N1268" s="11" t="n"/>
      <c r="O1268" s="11" t="n"/>
      <c r="P1268" s="12" t="n"/>
      <c r="Q1268" s="11" t="n"/>
      <c r="R1268" s="12" t="n"/>
      <c r="S1268" s="11" t="n"/>
      <c r="T1268" s="12" t="n"/>
      <c r="U1268" s="12" t="n"/>
      <c r="V1268" s="14">
        <f>IF($AN1268="",IF($B1268="","",$H1268),IF(INDEX(職員マスタ!$B$6:$B$405,$AN1268)="",$H1268,INDEX(職員マスタ!$B$6:$B$405,$AN1268)))</f>
        <v/>
      </c>
      <c r="W1268" s="14">
        <f>IF($AN1268="",IF($B1268="","",$R1268),IF(INDEX(職員マスタ!$C$6:$C$405,$AN1268)="",$R1268,INDEX(職員マスタ!$C$6:$C$405,$AN1268)))</f>
        <v/>
      </c>
      <c r="X1268" s="14">
        <f>IF($AO1268="","","R"&amp;$C1268&amp;"."&amp;$D1268)</f>
        <v/>
      </c>
      <c r="Y1268" s="15">
        <f>IF($AN1268="","",IF(INDEX(職員マスタ!$K$6:$K$405,$AN1268)="","",INDEX(職員マスタ!$K$6:$K$405,$AN1268)))</f>
        <v/>
      </c>
      <c r="Z1268" s="14">
        <f>IF(OR($E1268="",$Y1268=""),"",IF($E1268&gt;=$Y1268,"×",IF($E1268&gt;=$Y1268*設定!$C$5,"△","○")))</f>
        <v/>
      </c>
      <c r="AA1268" s="15">
        <f>IF($Z1268="","",IF($Z1268="×",0,IF($Z1268="○",ROUNDDOWN($E1268*設定!$C$4,0),ROUNDDOWN($E1268*ROUND((9*$Y1268-9*$E1268)/(10*$E1268),4),0))))</f>
        <v/>
      </c>
      <c r="AB1268" s="13" t="n"/>
      <c r="AC1268" s="15">
        <f>IF($B1268="","",IF($AB1268&lt;&gt;"",$AB1268,IF($AA1268="","",IF($AA1268&lt;=設定!$C$3,0,$AA1268))))</f>
        <v/>
      </c>
      <c r="AD1268" s="14">
        <f>IF($B1268="","",IF(AND($AE1268&lt;&gt;"",$AG1268="",$AJ1268=""),"保留中",IF($AJ1268&lt;&gt;"",IF(N($AC1268)&gt;0,"支給済","不支給"),IF($AC1268="","要確認",IF($AC1268=0,"不支給","未処理")))))</f>
        <v/>
      </c>
      <c r="AE1268" s="12" t="n"/>
      <c r="AF1268" s="11" t="n"/>
      <c r="AG1268" s="11" t="n"/>
      <c r="AH1268" s="11" t="n"/>
      <c r="AI1268" s="14">
        <f>IF(AND($AD1268="保留中",$AF1268&lt;&gt;""),TODAY()-$AF1268,"")</f>
        <v/>
      </c>
      <c r="AJ1268" s="12" t="n"/>
      <c r="AK1268" s="14">
        <f>IF($B1268="","",IF($AO1268="","対象年月が未入力／","")&amp;IF($B1268="","",IF($AN1268="","職員マスタに未登録の職員番号／",IF($Y1268="","標準報酬月額が未登録／","")&amp;IF(AND($AO1268&lt;&gt;"",OR(AND(INDEX(職員マスタ!$G$6:$G$405,$AN1268)&lt;&gt;"",INDEX(職員マスタ!$G$6:$G$405,$AN1268)&gt;EOMONTH($AO1268,0)),AND(INDEX(職員マスタ!$H$6:$H$405,$AN1268)&lt;&gt;"",INDEX(職員マスタ!$H$6:$H$405,$AN1268)&lt;$AO1268))),"対象月が時短期間外／","")&amp;IF(AND(INDEX(職員マスタ!$F$6:$F$405,$AN1268)&lt;&gt;"",$AO1268&lt;&gt;"",INDEX(職員マスタ!$F$6:$F$405,$AN1268)&lt;$AO1268),"対象月に子が2歳到達済／","")&amp;IF(AND($H1268&lt;&gt;"",INDEX(職員マスタ!$B$6:$B$405,$AN1268)&lt;&gt;"",SUBSTITUTE(SUBSTITUTE($H1268," ","")," ","")&lt;&gt;SUBSTITUTE(SUBSTITUTE(INDEX(職員マスタ!$B$6:$B$405,$AN1268)," ","")," ","")),"氏名がマスタと相違／","")&amp;IF(AND($Q1268&lt;&gt;"",INDEX(職員マスタ!$E$6:$E$405,$AN1268)&lt;&gt;"",$Q1268&lt;&gt;INDEX(職員マスタ!$E$6:$E$405,$AN1268)),"子の生年月日がマスタと相違／","")&amp;IF(AND($L1268&lt;&gt;"",INDEX(職員マスタ!$G$6:$G$405,$AN1268)&lt;&gt;"",$L1268&lt;&gt;INDEX(職員マスタ!$G$6:$G$405,$AN1268)),"時短開始日がマスタと相違／","")&amp;IF(AND($M1268&lt;&gt;"",INDEX(職員マスタ!$H$6:$H$405,$AN1268)&lt;&gt;"",$M1268&lt;&gt;INDEX(職員マスタ!$H$6:$H$405,$AN1268)),"時短終了日がマスタと相違／","")))&amp;IF(AND($B1268&lt;&gt;"",$E1268=""),"報酬額が未入力／","")&amp;IF(N($U1268)&gt;0,"申請書に入力エラーが残っています／","")&amp;IF(AND($B1268&lt;&gt;"",$AO1268&lt;&gt;""),IF(COUNTIFS($B$6:$B$3005,$B1268,$C$6:$C$3005,$C1268,$D$6:$D$3005,$D1268)&gt;1,"同じ月の請求が重複しています／",""),"")&amp;IF(AND(N($E1268)&gt;0,$Z1268&lt;&gt;"",$Z1268&lt;&gt;"×",$AC1268=0,$AB1268=""),"計算額が下限以下のため不支給／",""))</f>
        <v/>
      </c>
      <c r="AL1268" s="12" t="n"/>
      <c r="AM1268" s="14">
        <f>IF($AD1268="保留中",COUNTIF($AD$6:$AD1268,"保留中"),"")</f>
        <v/>
      </c>
      <c r="AN1268" s="14">
        <f>IF($AO1268="","",IF(SUMPRODUCT(MAX((職員マスタ!$A$6:$A$405=$B1268)*(((職員マスタ!$G$6:$G$405="")+(職員マスタ!$G$6:$G$405&lt;=EOMONTH($AO1268,0)))&gt;0)*(((職員マスタ!$H$6:$H$405="")+(職員マスタ!$H$6:$H$405&gt;=$AO1268))&gt;0)*(ROW(職員マスタ!$A$6:$A$405)-5)))&gt;0,SUMPRODUCT(MAX((職員マスタ!$A$6:$A$405=$B1268)*(((職員マスタ!$G$6:$G$405="")+(職員マスタ!$G$6:$G$405&lt;=EOMONTH($AO1268,0)))&gt;0)*(((職員マスタ!$H$6:$H$405="")+(職員マスタ!$H$6:$H$405&gt;=$AO1268))&gt;0)*(ROW(職員マスタ!$A$6:$A$405)-5))),IFERROR(MATCH($B1268,職員マスタ!$A$6:$A$405,0),"")))</f>
        <v/>
      </c>
      <c r="AO1268" s="16">
        <f>IF(OR($B1268="",$C1268="",$D1268=""),"",DATE($C1268+2018,$D1268,1))</f>
        <v/>
      </c>
    </row>
    <row r="1269">
      <c r="A1269" s="11" t="n"/>
      <c r="B1269" s="12" t="n"/>
      <c r="C1269" s="12" t="n"/>
      <c r="D1269" s="12" t="n"/>
      <c r="E1269" s="13" t="n"/>
      <c r="F1269" s="12" t="n"/>
      <c r="G1269" s="13" t="n"/>
      <c r="H1269" s="12" t="n"/>
      <c r="I1269" s="12" t="n"/>
      <c r="J1269" s="12" t="n"/>
      <c r="K1269" s="12" t="n"/>
      <c r="L1269" s="11" t="n"/>
      <c r="M1269" s="11" t="n"/>
      <c r="N1269" s="11" t="n"/>
      <c r="O1269" s="11" t="n"/>
      <c r="P1269" s="12" t="n"/>
      <c r="Q1269" s="11" t="n"/>
      <c r="R1269" s="12" t="n"/>
      <c r="S1269" s="11" t="n"/>
      <c r="T1269" s="12" t="n"/>
      <c r="U1269" s="12" t="n"/>
      <c r="V1269" s="14">
        <f>IF($AN1269="",IF($B1269="","",$H1269),IF(INDEX(職員マスタ!$B$6:$B$405,$AN1269)="",$H1269,INDEX(職員マスタ!$B$6:$B$405,$AN1269)))</f>
        <v/>
      </c>
      <c r="W1269" s="14">
        <f>IF($AN1269="",IF($B1269="","",$R1269),IF(INDEX(職員マスタ!$C$6:$C$405,$AN1269)="",$R1269,INDEX(職員マスタ!$C$6:$C$405,$AN1269)))</f>
        <v/>
      </c>
      <c r="X1269" s="14">
        <f>IF($AO1269="","","R"&amp;$C1269&amp;"."&amp;$D1269)</f>
        <v/>
      </c>
      <c r="Y1269" s="15">
        <f>IF($AN1269="","",IF(INDEX(職員マスタ!$K$6:$K$405,$AN1269)="","",INDEX(職員マスタ!$K$6:$K$405,$AN1269)))</f>
        <v/>
      </c>
      <c r="Z1269" s="14">
        <f>IF(OR($E1269="",$Y1269=""),"",IF($E1269&gt;=$Y1269,"×",IF($E1269&gt;=$Y1269*設定!$C$5,"△","○")))</f>
        <v/>
      </c>
      <c r="AA1269" s="15">
        <f>IF($Z1269="","",IF($Z1269="×",0,IF($Z1269="○",ROUNDDOWN($E1269*設定!$C$4,0),ROUNDDOWN($E1269*ROUND((9*$Y1269-9*$E1269)/(10*$E1269),4),0))))</f>
        <v/>
      </c>
      <c r="AB1269" s="13" t="n"/>
      <c r="AC1269" s="15">
        <f>IF($B1269="","",IF($AB1269&lt;&gt;"",$AB1269,IF($AA1269="","",IF($AA1269&lt;=設定!$C$3,0,$AA1269))))</f>
        <v/>
      </c>
      <c r="AD1269" s="14">
        <f>IF($B1269="","",IF(AND($AE1269&lt;&gt;"",$AG1269="",$AJ1269=""),"保留中",IF($AJ1269&lt;&gt;"",IF(N($AC1269)&gt;0,"支給済","不支給"),IF($AC1269="","要確認",IF($AC1269=0,"不支給","未処理")))))</f>
        <v/>
      </c>
      <c r="AE1269" s="12" t="n"/>
      <c r="AF1269" s="11" t="n"/>
      <c r="AG1269" s="11" t="n"/>
      <c r="AH1269" s="11" t="n"/>
      <c r="AI1269" s="14">
        <f>IF(AND($AD1269="保留中",$AF1269&lt;&gt;""),TODAY()-$AF1269,"")</f>
        <v/>
      </c>
      <c r="AJ1269" s="12" t="n"/>
      <c r="AK1269" s="14">
        <f>IF($B1269="","",IF($AO1269="","対象年月が未入力／","")&amp;IF($B1269="","",IF($AN1269="","職員マスタに未登録の職員番号／",IF($Y1269="","標準報酬月額が未登録／","")&amp;IF(AND($AO1269&lt;&gt;"",OR(AND(INDEX(職員マスタ!$G$6:$G$405,$AN1269)&lt;&gt;"",INDEX(職員マスタ!$G$6:$G$405,$AN1269)&gt;EOMONTH($AO1269,0)),AND(INDEX(職員マスタ!$H$6:$H$405,$AN1269)&lt;&gt;"",INDEX(職員マスタ!$H$6:$H$405,$AN1269)&lt;$AO1269))),"対象月が時短期間外／","")&amp;IF(AND(INDEX(職員マスタ!$F$6:$F$405,$AN1269)&lt;&gt;"",$AO1269&lt;&gt;"",INDEX(職員マスタ!$F$6:$F$405,$AN1269)&lt;$AO1269),"対象月に子が2歳到達済／","")&amp;IF(AND($H1269&lt;&gt;"",INDEX(職員マスタ!$B$6:$B$405,$AN1269)&lt;&gt;"",SUBSTITUTE(SUBSTITUTE($H1269," ","")," ","")&lt;&gt;SUBSTITUTE(SUBSTITUTE(INDEX(職員マスタ!$B$6:$B$405,$AN1269)," ","")," ","")),"氏名がマスタと相違／","")&amp;IF(AND($Q1269&lt;&gt;"",INDEX(職員マスタ!$E$6:$E$405,$AN1269)&lt;&gt;"",$Q1269&lt;&gt;INDEX(職員マスタ!$E$6:$E$405,$AN1269)),"子の生年月日がマスタと相違／","")&amp;IF(AND($L1269&lt;&gt;"",INDEX(職員マスタ!$G$6:$G$405,$AN1269)&lt;&gt;"",$L1269&lt;&gt;INDEX(職員マスタ!$G$6:$G$405,$AN1269)),"時短開始日がマスタと相違／","")&amp;IF(AND($M1269&lt;&gt;"",INDEX(職員マスタ!$H$6:$H$405,$AN1269)&lt;&gt;"",$M1269&lt;&gt;INDEX(職員マスタ!$H$6:$H$405,$AN1269)),"時短終了日がマスタと相違／","")))&amp;IF(AND($B1269&lt;&gt;"",$E1269=""),"報酬額が未入力／","")&amp;IF(N($U1269)&gt;0,"申請書に入力エラーが残っています／","")&amp;IF(AND($B1269&lt;&gt;"",$AO1269&lt;&gt;""),IF(COUNTIFS($B$6:$B$3005,$B1269,$C$6:$C$3005,$C1269,$D$6:$D$3005,$D1269)&gt;1,"同じ月の請求が重複しています／",""),"")&amp;IF(AND(N($E1269)&gt;0,$Z1269&lt;&gt;"",$Z1269&lt;&gt;"×",$AC1269=0,$AB1269=""),"計算額が下限以下のため不支給／",""))</f>
        <v/>
      </c>
      <c r="AL1269" s="12" t="n"/>
      <c r="AM1269" s="14">
        <f>IF($AD1269="保留中",COUNTIF($AD$6:$AD1269,"保留中"),"")</f>
        <v/>
      </c>
      <c r="AN1269" s="14">
        <f>IF($AO1269="","",IF(SUMPRODUCT(MAX((職員マスタ!$A$6:$A$405=$B1269)*(((職員マスタ!$G$6:$G$405="")+(職員マスタ!$G$6:$G$405&lt;=EOMONTH($AO1269,0)))&gt;0)*(((職員マスタ!$H$6:$H$405="")+(職員マスタ!$H$6:$H$405&gt;=$AO1269))&gt;0)*(ROW(職員マスタ!$A$6:$A$405)-5)))&gt;0,SUMPRODUCT(MAX((職員マスタ!$A$6:$A$405=$B1269)*(((職員マスタ!$G$6:$G$405="")+(職員マスタ!$G$6:$G$405&lt;=EOMONTH($AO1269,0)))&gt;0)*(((職員マスタ!$H$6:$H$405="")+(職員マスタ!$H$6:$H$405&gt;=$AO1269))&gt;0)*(ROW(職員マスタ!$A$6:$A$405)-5))),IFERROR(MATCH($B1269,職員マスタ!$A$6:$A$405,0),"")))</f>
        <v/>
      </c>
      <c r="AO1269" s="16">
        <f>IF(OR($B1269="",$C1269="",$D1269=""),"",DATE($C1269+2018,$D1269,1))</f>
        <v/>
      </c>
    </row>
    <row r="1270">
      <c r="A1270" s="11" t="n"/>
      <c r="B1270" s="12" t="n"/>
      <c r="C1270" s="12" t="n"/>
      <c r="D1270" s="12" t="n"/>
      <c r="E1270" s="13" t="n"/>
      <c r="F1270" s="12" t="n"/>
      <c r="G1270" s="13" t="n"/>
      <c r="H1270" s="12" t="n"/>
      <c r="I1270" s="12" t="n"/>
      <c r="J1270" s="12" t="n"/>
      <c r="K1270" s="12" t="n"/>
      <c r="L1270" s="11" t="n"/>
      <c r="M1270" s="11" t="n"/>
      <c r="N1270" s="11" t="n"/>
      <c r="O1270" s="11" t="n"/>
      <c r="P1270" s="12" t="n"/>
      <c r="Q1270" s="11" t="n"/>
      <c r="R1270" s="12" t="n"/>
      <c r="S1270" s="11" t="n"/>
      <c r="T1270" s="12" t="n"/>
      <c r="U1270" s="12" t="n"/>
      <c r="V1270" s="14">
        <f>IF($AN1270="",IF($B1270="","",$H1270),IF(INDEX(職員マスタ!$B$6:$B$405,$AN1270)="",$H1270,INDEX(職員マスタ!$B$6:$B$405,$AN1270)))</f>
        <v/>
      </c>
      <c r="W1270" s="14">
        <f>IF($AN1270="",IF($B1270="","",$R1270),IF(INDEX(職員マスタ!$C$6:$C$405,$AN1270)="",$R1270,INDEX(職員マスタ!$C$6:$C$405,$AN1270)))</f>
        <v/>
      </c>
      <c r="X1270" s="14">
        <f>IF($AO1270="","","R"&amp;$C1270&amp;"."&amp;$D1270)</f>
        <v/>
      </c>
      <c r="Y1270" s="15">
        <f>IF($AN1270="","",IF(INDEX(職員マスタ!$K$6:$K$405,$AN1270)="","",INDEX(職員マスタ!$K$6:$K$405,$AN1270)))</f>
        <v/>
      </c>
      <c r="Z1270" s="14">
        <f>IF(OR($E1270="",$Y1270=""),"",IF($E1270&gt;=$Y1270,"×",IF($E1270&gt;=$Y1270*設定!$C$5,"△","○")))</f>
        <v/>
      </c>
      <c r="AA1270" s="15">
        <f>IF($Z1270="","",IF($Z1270="×",0,IF($Z1270="○",ROUNDDOWN($E1270*設定!$C$4,0),ROUNDDOWN($E1270*ROUND((9*$Y1270-9*$E1270)/(10*$E1270),4),0))))</f>
        <v/>
      </c>
      <c r="AB1270" s="13" t="n"/>
      <c r="AC1270" s="15">
        <f>IF($B1270="","",IF($AB1270&lt;&gt;"",$AB1270,IF($AA1270="","",IF($AA1270&lt;=設定!$C$3,0,$AA1270))))</f>
        <v/>
      </c>
      <c r="AD1270" s="14">
        <f>IF($B1270="","",IF(AND($AE1270&lt;&gt;"",$AG1270="",$AJ1270=""),"保留中",IF($AJ1270&lt;&gt;"",IF(N($AC1270)&gt;0,"支給済","不支給"),IF($AC1270="","要確認",IF($AC1270=0,"不支給","未処理")))))</f>
        <v/>
      </c>
      <c r="AE1270" s="12" t="n"/>
      <c r="AF1270" s="11" t="n"/>
      <c r="AG1270" s="11" t="n"/>
      <c r="AH1270" s="11" t="n"/>
      <c r="AI1270" s="14">
        <f>IF(AND($AD1270="保留中",$AF1270&lt;&gt;""),TODAY()-$AF1270,"")</f>
        <v/>
      </c>
      <c r="AJ1270" s="12" t="n"/>
      <c r="AK1270" s="14">
        <f>IF($B1270="","",IF($AO1270="","対象年月が未入力／","")&amp;IF($B1270="","",IF($AN1270="","職員マスタに未登録の職員番号／",IF($Y1270="","標準報酬月額が未登録／","")&amp;IF(AND($AO1270&lt;&gt;"",OR(AND(INDEX(職員マスタ!$G$6:$G$405,$AN1270)&lt;&gt;"",INDEX(職員マスタ!$G$6:$G$405,$AN1270)&gt;EOMONTH($AO1270,0)),AND(INDEX(職員マスタ!$H$6:$H$405,$AN1270)&lt;&gt;"",INDEX(職員マスタ!$H$6:$H$405,$AN1270)&lt;$AO1270))),"対象月が時短期間外／","")&amp;IF(AND(INDEX(職員マスタ!$F$6:$F$405,$AN1270)&lt;&gt;"",$AO1270&lt;&gt;"",INDEX(職員マスタ!$F$6:$F$405,$AN1270)&lt;$AO1270),"対象月に子が2歳到達済／","")&amp;IF(AND($H1270&lt;&gt;"",INDEX(職員マスタ!$B$6:$B$405,$AN1270)&lt;&gt;"",SUBSTITUTE(SUBSTITUTE($H1270," ","")," ","")&lt;&gt;SUBSTITUTE(SUBSTITUTE(INDEX(職員マスタ!$B$6:$B$405,$AN1270)," ","")," ","")),"氏名がマスタと相違／","")&amp;IF(AND($Q1270&lt;&gt;"",INDEX(職員マスタ!$E$6:$E$405,$AN1270)&lt;&gt;"",$Q1270&lt;&gt;INDEX(職員マスタ!$E$6:$E$405,$AN1270)),"子の生年月日がマスタと相違／","")&amp;IF(AND($L1270&lt;&gt;"",INDEX(職員マスタ!$G$6:$G$405,$AN1270)&lt;&gt;"",$L1270&lt;&gt;INDEX(職員マスタ!$G$6:$G$405,$AN1270)),"時短開始日がマスタと相違／","")&amp;IF(AND($M1270&lt;&gt;"",INDEX(職員マスタ!$H$6:$H$405,$AN1270)&lt;&gt;"",$M1270&lt;&gt;INDEX(職員マスタ!$H$6:$H$405,$AN1270)),"時短終了日がマスタと相違／","")))&amp;IF(AND($B1270&lt;&gt;"",$E1270=""),"報酬額が未入力／","")&amp;IF(N($U1270)&gt;0,"申請書に入力エラーが残っています／","")&amp;IF(AND($B1270&lt;&gt;"",$AO1270&lt;&gt;""),IF(COUNTIFS($B$6:$B$3005,$B1270,$C$6:$C$3005,$C1270,$D$6:$D$3005,$D1270)&gt;1,"同じ月の請求が重複しています／",""),"")&amp;IF(AND(N($E1270)&gt;0,$Z1270&lt;&gt;"",$Z1270&lt;&gt;"×",$AC1270=0,$AB1270=""),"計算額が下限以下のため不支給／",""))</f>
        <v/>
      </c>
      <c r="AL1270" s="12" t="n"/>
      <c r="AM1270" s="14">
        <f>IF($AD1270="保留中",COUNTIF($AD$6:$AD1270,"保留中"),"")</f>
        <v/>
      </c>
      <c r="AN1270" s="14">
        <f>IF($AO1270="","",IF(SUMPRODUCT(MAX((職員マスタ!$A$6:$A$405=$B1270)*(((職員マスタ!$G$6:$G$405="")+(職員マスタ!$G$6:$G$405&lt;=EOMONTH($AO1270,0)))&gt;0)*(((職員マスタ!$H$6:$H$405="")+(職員マスタ!$H$6:$H$405&gt;=$AO1270))&gt;0)*(ROW(職員マスタ!$A$6:$A$405)-5)))&gt;0,SUMPRODUCT(MAX((職員マスタ!$A$6:$A$405=$B1270)*(((職員マスタ!$G$6:$G$405="")+(職員マスタ!$G$6:$G$405&lt;=EOMONTH($AO1270,0)))&gt;0)*(((職員マスタ!$H$6:$H$405="")+(職員マスタ!$H$6:$H$405&gt;=$AO1270))&gt;0)*(ROW(職員マスタ!$A$6:$A$405)-5))),IFERROR(MATCH($B1270,職員マスタ!$A$6:$A$405,0),"")))</f>
        <v/>
      </c>
      <c r="AO1270" s="16">
        <f>IF(OR($B1270="",$C1270="",$D1270=""),"",DATE($C1270+2018,$D1270,1))</f>
        <v/>
      </c>
    </row>
    <row r="1271">
      <c r="A1271" s="11" t="n"/>
      <c r="B1271" s="12" t="n"/>
      <c r="C1271" s="12" t="n"/>
      <c r="D1271" s="12" t="n"/>
      <c r="E1271" s="13" t="n"/>
      <c r="F1271" s="12" t="n"/>
      <c r="G1271" s="13" t="n"/>
      <c r="H1271" s="12" t="n"/>
      <c r="I1271" s="12" t="n"/>
      <c r="J1271" s="12" t="n"/>
      <c r="K1271" s="12" t="n"/>
      <c r="L1271" s="11" t="n"/>
      <c r="M1271" s="11" t="n"/>
      <c r="N1271" s="11" t="n"/>
      <c r="O1271" s="11" t="n"/>
      <c r="P1271" s="12" t="n"/>
      <c r="Q1271" s="11" t="n"/>
      <c r="R1271" s="12" t="n"/>
      <c r="S1271" s="11" t="n"/>
      <c r="T1271" s="12" t="n"/>
      <c r="U1271" s="12" t="n"/>
      <c r="V1271" s="14">
        <f>IF($AN1271="",IF($B1271="","",$H1271),IF(INDEX(職員マスタ!$B$6:$B$405,$AN1271)="",$H1271,INDEX(職員マスタ!$B$6:$B$405,$AN1271)))</f>
        <v/>
      </c>
      <c r="W1271" s="14">
        <f>IF($AN1271="",IF($B1271="","",$R1271),IF(INDEX(職員マスタ!$C$6:$C$405,$AN1271)="",$R1271,INDEX(職員マスタ!$C$6:$C$405,$AN1271)))</f>
        <v/>
      </c>
      <c r="X1271" s="14">
        <f>IF($AO1271="","","R"&amp;$C1271&amp;"."&amp;$D1271)</f>
        <v/>
      </c>
      <c r="Y1271" s="15">
        <f>IF($AN1271="","",IF(INDEX(職員マスタ!$K$6:$K$405,$AN1271)="","",INDEX(職員マスタ!$K$6:$K$405,$AN1271)))</f>
        <v/>
      </c>
      <c r="Z1271" s="14">
        <f>IF(OR($E1271="",$Y1271=""),"",IF($E1271&gt;=$Y1271,"×",IF($E1271&gt;=$Y1271*設定!$C$5,"△","○")))</f>
        <v/>
      </c>
      <c r="AA1271" s="15">
        <f>IF($Z1271="","",IF($Z1271="×",0,IF($Z1271="○",ROUNDDOWN($E1271*設定!$C$4,0),ROUNDDOWN($E1271*ROUND((9*$Y1271-9*$E1271)/(10*$E1271),4),0))))</f>
        <v/>
      </c>
      <c r="AB1271" s="13" t="n"/>
      <c r="AC1271" s="15">
        <f>IF($B1271="","",IF($AB1271&lt;&gt;"",$AB1271,IF($AA1271="","",IF($AA1271&lt;=設定!$C$3,0,$AA1271))))</f>
        <v/>
      </c>
      <c r="AD1271" s="14">
        <f>IF($B1271="","",IF(AND($AE1271&lt;&gt;"",$AG1271="",$AJ1271=""),"保留中",IF($AJ1271&lt;&gt;"",IF(N($AC1271)&gt;0,"支給済","不支給"),IF($AC1271="","要確認",IF($AC1271=0,"不支給","未処理")))))</f>
        <v/>
      </c>
      <c r="AE1271" s="12" t="n"/>
      <c r="AF1271" s="11" t="n"/>
      <c r="AG1271" s="11" t="n"/>
      <c r="AH1271" s="11" t="n"/>
      <c r="AI1271" s="14">
        <f>IF(AND($AD1271="保留中",$AF1271&lt;&gt;""),TODAY()-$AF1271,"")</f>
        <v/>
      </c>
      <c r="AJ1271" s="12" t="n"/>
      <c r="AK1271" s="14">
        <f>IF($B1271="","",IF($AO1271="","対象年月が未入力／","")&amp;IF($B1271="","",IF($AN1271="","職員マスタに未登録の職員番号／",IF($Y1271="","標準報酬月額が未登録／","")&amp;IF(AND($AO1271&lt;&gt;"",OR(AND(INDEX(職員マスタ!$G$6:$G$405,$AN1271)&lt;&gt;"",INDEX(職員マスタ!$G$6:$G$405,$AN1271)&gt;EOMONTH($AO1271,0)),AND(INDEX(職員マスタ!$H$6:$H$405,$AN1271)&lt;&gt;"",INDEX(職員マスタ!$H$6:$H$405,$AN1271)&lt;$AO1271))),"対象月が時短期間外／","")&amp;IF(AND(INDEX(職員マスタ!$F$6:$F$405,$AN1271)&lt;&gt;"",$AO1271&lt;&gt;"",INDEX(職員マスタ!$F$6:$F$405,$AN1271)&lt;$AO1271),"対象月に子が2歳到達済／","")&amp;IF(AND($H1271&lt;&gt;"",INDEX(職員マスタ!$B$6:$B$405,$AN1271)&lt;&gt;"",SUBSTITUTE(SUBSTITUTE($H1271," ","")," ","")&lt;&gt;SUBSTITUTE(SUBSTITUTE(INDEX(職員マスタ!$B$6:$B$405,$AN1271)," ","")," ","")),"氏名がマスタと相違／","")&amp;IF(AND($Q1271&lt;&gt;"",INDEX(職員マスタ!$E$6:$E$405,$AN1271)&lt;&gt;"",$Q1271&lt;&gt;INDEX(職員マスタ!$E$6:$E$405,$AN1271)),"子の生年月日がマスタと相違／","")&amp;IF(AND($L1271&lt;&gt;"",INDEX(職員マスタ!$G$6:$G$405,$AN1271)&lt;&gt;"",$L1271&lt;&gt;INDEX(職員マスタ!$G$6:$G$405,$AN1271)),"時短開始日がマスタと相違／","")&amp;IF(AND($M1271&lt;&gt;"",INDEX(職員マスタ!$H$6:$H$405,$AN1271)&lt;&gt;"",$M1271&lt;&gt;INDEX(職員マスタ!$H$6:$H$405,$AN1271)),"時短終了日がマスタと相違／","")))&amp;IF(AND($B1271&lt;&gt;"",$E1271=""),"報酬額が未入力／","")&amp;IF(N($U1271)&gt;0,"申請書に入力エラーが残っています／","")&amp;IF(AND($B1271&lt;&gt;"",$AO1271&lt;&gt;""),IF(COUNTIFS($B$6:$B$3005,$B1271,$C$6:$C$3005,$C1271,$D$6:$D$3005,$D1271)&gt;1,"同じ月の請求が重複しています／",""),"")&amp;IF(AND(N($E1271)&gt;0,$Z1271&lt;&gt;"",$Z1271&lt;&gt;"×",$AC1271=0,$AB1271=""),"計算額が下限以下のため不支給／",""))</f>
        <v/>
      </c>
      <c r="AL1271" s="12" t="n"/>
      <c r="AM1271" s="14">
        <f>IF($AD1271="保留中",COUNTIF($AD$6:$AD1271,"保留中"),"")</f>
        <v/>
      </c>
      <c r="AN1271" s="14">
        <f>IF($AO1271="","",IF(SUMPRODUCT(MAX((職員マスタ!$A$6:$A$405=$B1271)*(((職員マスタ!$G$6:$G$405="")+(職員マスタ!$G$6:$G$405&lt;=EOMONTH($AO1271,0)))&gt;0)*(((職員マスタ!$H$6:$H$405="")+(職員マスタ!$H$6:$H$405&gt;=$AO1271))&gt;0)*(ROW(職員マスタ!$A$6:$A$405)-5)))&gt;0,SUMPRODUCT(MAX((職員マスタ!$A$6:$A$405=$B1271)*(((職員マスタ!$G$6:$G$405="")+(職員マスタ!$G$6:$G$405&lt;=EOMONTH($AO1271,0)))&gt;0)*(((職員マスタ!$H$6:$H$405="")+(職員マスタ!$H$6:$H$405&gt;=$AO1271))&gt;0)*(ROW(職員マスタ!$A$6:$A$405)-5))),IFERROR(MATCH($B1271,職員マスタ!$A$6:$A$405,0),"")))</f>
        <v/>
      </c>
      <c r="AO1271" s="16">
        <f>IF(OR($B1271="",$C1271="",$D1271=""),"",DATE($C1271+2018,$D1271,1))</f>
        <v/>
      </c>
    </row>
    <row r="1272">
      <c r="A1272" s="11" t="n"/>
      <c r="B1272" s="12" t="n"/>
      <c r="C1272" s="12" t="n"/>
      <c r="D1272" s="12" t="n"/>
      <c r="E1272" s="13" t="n"/>
      <c r="F1272" s="12" t="n"/>
      <c r="G1272" s="13" t="n"/>
      <c r="H1272" s="12" t="n"/>
      <c r="I1272" s="12" t="n"/>
      <c r="J1272" s="12" t="n"/>
      <c r="K1272" s="12" t="n"/>
      <c r="L1272" s="11" t="n"/>
      <c r="M1272" s="11" t="n"/>
      <c r="N1272" s="11" t="n"/>
      <c r="O1272" s="11" t="n"/>
      <c r="P1272" s="12" t="n"/>
      <c r="Q1272" s="11" t="n"/>
      <c r="R1272" s="12" t="n"/>
      <c r="S1272" s="11" t="n"/>
      <c r="T1272" s="12" t="n"/>
      <c r="U1272" s="12" t="n"/>
      <c r="V1272" s="14">
        <f>IF($AN1272="",IF($B1272="","",$H1272),IF(INDEX(職員マスタ!$B$6:$B$405,$AN1272)="",$H1272,INDEX(職員マスタ!$B$6:$B$405,$AN1272)))</f>
        <v/>
      </c>
      <c r="W1272" s="14">
        <f>IF($AN1272="",IF($B1272="","",$R1272),IF(INDEX(職員マスタ!$C$6:$C$405,$AN1272)="",$R1272,INDEX(職員マスタ!$C$6:$C$405,$AN1272)))</f>
        <v/>
      </c>
      <c r="X1272" s="14">
        <f>IF($AO1272="","","R"&amp;$C1272&amp;"."&amp;$D1272)</f>
        <v/>
      </c>
      <c r="Y1272" s="15">
        <f>IF($AN1272="","",IF(INDEX(職員マスタ!$K$6:$K$405,$AN1272)="","",INDEX(職員マスタ!$K$6:$K$405,$AN1272)))</f>
        <v/>
      </c>
      <c r="Z1272" s="14">
        <f>IF(OR($E1272="",$Y1272=""),"",IF($E1272&gt;=$Y1272,"×",IF($E1272&gt;=$Y1272*設定!$C$5,"△","○")))</f>
        <v/>
      </c>
      <c r="AA1272" s="15">
        <f>IF($Z1272="","",IF($Z1272="×",0,IF($Z1272="○",ROUNDDOWN($E1272*設定!$C$4,0),ROUNDDOWN($E1272*ROUND((9*$Y1272-9*$E1272)/(10*$E1272),4),0))))</f>
        <v/>
      </c>
      <c r="AB1272" s="13" t="n"/>
      <c r="AC1272" s="15">
        <f>IF($B1272="","",IF($AB1272&lt;&gt;"",$AB1272,IF($AA1272="","",IF($AA1272&lt;=設定!$C$3,0,$AA1272))))</f>
        <v/>
      </c>
      <c r="AD1272" s="14">
        <f>IF($B1272="","",IF(AND($AE1272&lt;&gt;"",$AG1272="",$AJ1272=""),"保留中",IF($AJ1272&lt;&gt;"",IF(N($AC1272)&gt;0,"支給済","不支給"),IF($AC1272="","要確認",IF($AC1272=0,"不支給","未処理")))))</f>
        <v/>
      </c>
      <c r="AE1272" s="12" t="n"/>
      <c r="AF1272" s="11" t="n"/>
      <c r="AG1272" s="11" t="n"/>
      <c r="AH1272" s="11" t="n"/>
      <c r="AI1272" s="14">
        <f>IF(AND($AD1272="保留中",$AF1272&lt;&gt;""),TODAY()-$AF1272,"")</f>
        <v/>
      </c>
      <c r="AJ1272" s="12" t="n"/>
      <c r="AK1272" s="14">
        <f>IF($B1272="","",IF($AO1272="","対象年月が未入力／","")&amp;IF($B1272="","",IF($AN1272="","職員マスタに未登録の職員番号／",IF($Y1272="","標準報酬月額が未登録／","")&amp;IF(AND($AO1272&lt;&gt;"",OR(AND(INDEX(職員マスタ!$G$6:$G$405,$AN1272)&lt;&gt;"",INDEX(職員マスタ!$G$6:$G$405,$AN1272)&gt;EOMONTH($AO1272,0)),AND(INDEX(職員マスタ!$H$6:$H$405,$AN1272)&lt;&gt;"",INDEX(職員マスタ!$H$6:$H$405,$AN1272)&lt;$AO1272))),"対象月が時短期間外／","")&amp;IF(AND(INDEX(職員マスタ!$F$6:$F$405,$AN1272)&lt;&gt;"",$AO1272&lt;&gt;"",INDEX(職員マスタ!$F$6:$F$405,$AN1272)&lt;$AO1272),"対象月に子が2歳到達済／","")&amp;IF(AND($H1272&lt;&gt;"",INDEX(職員マスタ!$B$6:$B$405,$AN1272)&lt;&gt;"",SUBSTITUTE(SUBSTITUTE($H1272," ","")," ","")&lt;&gt;SUBSTITUTE(SUBSTITUTE(INDEX(職員マスタ!$B$6:$B$405,$AN1272)," ","")," ","")),"氏名がマスタと相違／","")&amp;IF(AND($Q1272&lt;&gt;"",INDEX(職員マスタ!$E$6:$E$405,$AN1272)&lt;&gt;"",$Q1272&lt;&gt;INDEX(職員マスタ!$E$6:$E$405,$AN1272)),"子の生年月日がマスタと相違／","")&amp;IF(AND($L1272&lt;&gt;"",INDEX(職員マスタ!$G$6:$G$405,$AN1272)&lt;&gt;"",$L1272&lt;&gt;INDEX(職員マスタ!$G$6:$G$405,$AN1272)),"時短開始日がマスタと相違／","")&amp;IF(AND($M1272&lt;&gt;"",INDEX(職員マスタ!$H$6:$H$405,$AN1272)&lt;&gt;"",$M1272&lt;&gt;INDEX(職員マスタ!$H$6:$H$405,$AN1272)),"時短終了日がマスタと相違／","")))&amp;IF(AND($B1272&lt;&gt;"",$E1272=""),"報酬額が未入力／","")&amp;IF(N($U1272)&gt;0,"申請書に入力エラーが残っています／","")&amp;IF(AND($B1272&lt;&gt;"",$AO1272&lt;&gt;""),IF(COUNTIFS($B$6:$B$3005,$B1272,$C$6:$C$3005,$C1272,$D$6:$D$3005,$D1272)&gt;1,"同じ月の請求が重複しています／",""),"")&amp;IF(AND(N($E1272)&gt;0,$Z1272&lt;&gt;"",$Z1272&lt;&gt;"×",$AC1272=0,$AB1272=""),"計算額が下限以下のため不支給／",""))</f>
        <v/>
      </c>
      <c r="AL1272" s="12" t="n"/>
      <c r="AM1272" s="14">
        <f>IF($AD1272="保留中",COUNTIF($AD$6:$AD1272,"保留中"),"")</f>
        <v/>
      </c>
      <c r="AN1272" s="14">
        <f>IF($AO1272="","",IF(SUMPRODUCT(MAX((職員マスタ!$A$6:$A$405=$B1272)*(((職員マスタ!$G$6:$G$405="")+(職員マスタ!$G$6:$G$405&lt;=EOMONTH($AO1272,0)))&gt;0)*(((職員マスタ!$H$6:$H$405="")+(職員マスタ!$H$6:$H$405&gt;=$AO1272))&gt;0)*(ROW(職員マスタ!$A$6:$A$405)-5)))&gt;0,SUMPRODUCT(MAX((職員マスタ!$A$6:$A$405=$B1272)*(((職員マスタ!$G$6:$G$405="")+(職員マスタ!$G$6:$G$405&lt;=EOMONTH($AO1272,0)))&gt;0)*(((職員マスタ!$H$6:$H$405="")+(職員マスタ!$H$6:$H$405&gt;=$AO1272))&gt;0)*(ROW(職員マスタ!$A$6:$A$405)-5))),IFERROR(MATCH($B1272,職員マスタ!$A$6:$A$405,0),"")))</f>
        <v/>
      </c>
      <c r="AO1272" s="16">
        <f>IF(OR($B1272="",$C1272="",$D1272=""),"",DATE($C1272+2018,$D1272,1))</f>
        <v/>
      </c>
    </row>
    <row r="1273">
      <c r="A1273" s="11" t="n"/>
      <c r="B1273" s="12" t="n"/>
      <c r="C1273" s="12" t="n"/>
      <c r="D1273" s="12" t="n"/>
      <c r="E1273" s="13" t="n"/>
      <c r="F1273" s="12" t="n"/>
      <c r="G1273" s="13" t="n"/>
      <c r="H1273" s="12" t="n"/>
      <c r="I1273" s="12" t="n"/>
      <c r="J1273" s="12" t="n"/>
      <c r="K1273" s="12" t="n"/>
      <c r="L1273" s="11" t="n"/>
      <c r="M1273" s="11" t="n"/>
      <c r="N1273" s="11" t="n"/>
      <c r="O1273" s="11" t="n"/>
      <c r="P1273" s="12" t="n"/>
      <c r="Q1273" s="11" t="n"/>
      <c r="R1273" s="12" t="n"/>
      <c r="S1273" s="11" t="n"/>
      <c r="T1273" s="12" t="n"/>
      <c r="U1273" s="12" t="n"/>
      <c r="V1273" s="14">
        <f>IF($AN1273="",IF($B1273="","",$H1273),IF(INDEX(職員マスタ!$B$6:$B$405,$AN1273)="",$H1273,INDEX(職員マスタ!$B$6:$B$405,$AN1273)))</f>
        <v/>
      </c>
      <c r="W1273" s="14">
        <f>IF($AN1273="",IF($B1273="","",$R1273),IF(INDEX(職員マスタ!$C$6:$C$405,$AN1273)="",$R1273,INDEX(職員マスタ!$C$6:$C$405,$AN1273)))</f>
        <v/>
      </c>
      <c r="X1273" s="14">
        <f>IF($AO1273="","","R"&amp;$C1273&amp;"."&amp;$D1273)</f>
        <v/>
      </c>
      <c r="Y1273" s="15">
        <f>IF($AN1273="","",IF(INDEX(職員マスタ!$K$6:$K$405,$AN1273)="","",INDEX(職員マスタ!$K$6:$K$405,$AN1273)))</f>
        <v/>
      </c>
      <c r="Z1273" s="14">
        <f>IF(OR($E1273="",$Y1273=""),"",IF($E1273&gt;=$Y1273,"×",IF($E1273&gt;=$Y1273*設定!$C$5,"△","○")))</f>
        <v/>
      </c>
      <c r="AA1273" s="15">
        <f>IF($Z1273="","",IF($Z1273="×",0,IF($Z1273="○",ROUNDDOWN($E1273*設定!$C$4,0),ROUNDDOWN($E1273*ROUND((9*$Y1273-9*$E1273)/(10*$E1273),4),0))))</f>
        <v/>
      </c>
      <c r="AB1273" s="13" t="n"/>
      <c r="AC1273" s="15">
        <f>IF($B1273="","",IF($AB1273&lt;&gt;"",$AB1273,IF($AA1273="","",IF($AA1273&lt;=設定!$C$3,0,$AA1273))))</f>
        <v/>
      </c>
      <c r="AD1273" s="14">
        <f>IF($B1273="","",IF(AND($AE1273&lt;&gt;"",$AG1273="",$AJ1273=""),"保留中",IF($AJ1273&lt;&gt;"",IF(N($AC1273)&gt;0,"支給済","不支給"),IF($AC1273="","要確認",IF($AC1273=0,"不支給","未処理")))))</f>
        <v/>
      </c>
      <c r="AE1273" s="12" t="n"/>
      <c r="AF1273" s="11" t="n"/>
      <c r="AG1273" s="11" t="n"/>
      <c r="AH1273" s="11" t="n"/>
      <c r="AI1273" s="14">
        <f>IF(AND($AD1273="保留中",$AF1273&lt;&gt;""),TODAY()-$AF1273,"")</f>
        <v/>
      </c>
      <c r="AJ1273" s="12" t="n"/>
      <c r="AK1273" s="14">
        <f>IF($B1273="","",IF($AO1273="","対象年月が未入力／","")&amp;IF($B1273="","",IF($AN1273="","職員マスタに未登録の職員番号／",IF($Y1273="","標準報酬月額が未登録／","")&amp;IF(AND($AO1273&lt;&gt;"",OR(AND(INDEX(職員マスタ!$G$6:$G$405,$AN1273)&lt;&gt;"",INDEX(職員マスタ!$G$6:$G$405,$AN1273)&gt;EOMONTH($AO1273,0)),AND(INDEX(職員マスタ!$H$6:$H$405,$AN1273)&lt;&gt;"",INDEX(職員マスタ!$H$6:$H$405,$AN1273)&lt;$AO1273))),"対象月が時短期間外／","")&amp;IF(AND(INDEX(職員マスタ!$F$6:$F$405,$AN1273)&lt;&gt;"",$AO1273&lt;&gt;"",INDEX(職員マスタ!$F$6:$F$405,$AN1273)&lt;$AO1273),"対象月に子が2歳到達済／","")&amp;IF(AND($H1273&lt;&gt;"",INDEX(職員マスタ!$B$6:$B$405,$AN1273)&lt;&gt;"",SUBSTITUTE(SUBSTITUTE($H1273," ","")," ","")&lt;&gt;SUBSTITUTE(SUBSTITUTE(INDEX(職員マスタ!$B$6:$B$405,$AN1273)," ","")," ","")),"氏名がマスタと相違／","")&amp;IF(AND($Q1273&lt;&gt;"",INDEX(職員マスタ!$E$6:$E$405,$AN1273)&lt;&gt;"",$Q1273&lt;&gt;INDEX(職員マスタ!$E$6:$E$405,$AN1273)),"子の生年月日がマスタと相違／","")&amp;IF(AND($L1273&lt;&gt;"",INDEX(職員マスタ!$G$6:$G$405,$AN1273)&lt;&gt;"",$L1273&lt;&gt;INDEX(職員マスタ!$G$6:$G$405,$AN1273)),"時短開始日がマスタと相違／","")&amp;IF(AND($M1273&lt;&gt;"",INDEX(職員マスタ!$H$6:$H$405,$AN1273)&lt;&gt;"",$M1273&lt;&gt;INDEX(職員マスタ!$H$6:$H$405,$AN1273)),"時短終了日がマスタと相違／","")))&amp;IF(AND($B1273&lt;&gt;"",$E1273=""),"報酬額が未入力／","")&amp;IF(N($U1273)&gt;0,"申請書に入力エラーが残っています／","")&amp;IF(AND($B1273&lt;&gt;"",$AO1273&lt;&gt;""),IF(COUNTIFS($B$6:$B$3005,$B1273,$C$6:$C$3005,$C1273,$D$6:$D$3005,$D1273)&gt;1,"同じ月の請求が重複しています／",""),"")&amp;IF(AND(N($E1273)&gt;0,$Z1273&lt;&gt;"",$Z1273&lt;&gt;"×",$AC1273=0,$AB1273=""),"計算額が下限以下のため不支給／",""))</f>
        <v/>
      </c>
      <c r="AL1273" s="12" t="n"/>
      <c r="AM1273" s="14">
        <f>IF($AD1273="保留中",COUNTIF($AD$6:$AD1273,"保留中"),"")</f>
        <v/>
      </c>
      <c r="AN1273" s="14">
        <f>IF($AO1273="","",IF(SUMPRODUCT(MAX((職員マスタ!$A$6:$A$405=$B1273)*(((職員マスタ!$G$6:$G$405="")+(職員マスタ!$G$6:$G$405&lt;=EOMONTH($AO1273,0)))&gt;0)*(((職員マスタ!$H$6:$H$405="")+(職員マスタ!$H$6:$H$405&gt;=$AO1273))&gt;0)*(ROW(職員マスタ!$A$6:$A$405)-5)))&gt;0,SUMPRODUCT(MAX((職員マスタ!$A$6:$A$405=$B1273)*(((職員マスタ!$G$6:$G$405="")+(職員マスタ!$G$6:$G$405&lt;=EOMONTH($AO1273,0)))&gt;0)*(((職員マスタ!$H$6:$H$405="")+(職員マスタ!$H$6:$H$405&gt;=$AO1273))&gt;0)*(ROW(職員マスタ!$A$6:$A$405)-5))),IFERROR(MATCH($B1273,職員マスタ!$A$6:$A$405,0),"")))</f>
        <v/>
      </c>
      <c r="AO1273" s="16">
        <f>IF(OR($B1273="",$C1273="",$D1273=""),"",DATE($C1273+2018,$D1273,1))</f>
        <v/>
      </c>
    </row>
    <row r="1274">
      <c r="A1274" s="11" t="n"/>
      <c r="B1274" s="12" t="n"/>
      <c r="C1274" s="12" t="n"/>
      <c r="D1274" s="12" t="n"/>
      <c r="E1274" s="13" t="n"/>
      <c r="F1274" s="12" t="n"/>
      <c r="G1274" s="13" t="n"/>
      <c r="H1274" s="12" t="n"/>
      <c r="I1274" s="12" t="n"/>
      <c r="J1274" s="12" t="n"/>
      <c r="K1274" s="12" t="n"/>
      <c r="L1274" s="11" t="n"/>
      <c r="M1274" s="11" t="n"/>
      <c r="N1274" s="11" t="n"/>
      <c r="O1274" s="11" t="n"/>
      <c r="P1274" s="12" t="n"/>
      <c r="Q1274" s="11" t="n"/>
      <c r="R1274" s="12" t="n"/>
      <c r="S1274" s="11" t="n"/>
      <c r="T1274" s="12" t="n"/>
      <c r="U1274" s="12" t="n"/>
      <c r="V1274" s="14">
        <f>IF($AN1274="",IF($B1274="","",$H1274),IF(INDEX(職員マスタ!$B$6:$B$405,$AN1274)="",$H1274,INDEX(職員マスタ!$B$6:$B$405,$AN1274)))</f>
        <v/>
      </c>
      <c r="W1274" s="14">
        <f>IF($AN1274="",IF($B1274="","",$R1274),IF(INDEX(職員マスタ!$C$6:$C$405,$AN1274)="",$R1274,INDEX(職員マスタ!$C$6:$C$405,$AN1274)))</f>
        <v/>
      </c>
      <c r="X1274" s="14">
        <f>IF($AO1274="","","R"&amp;$C1274&amp;"."&amp;$D1274)</f>
        <v/>
      </c>
      <c r="Y1274" s="15">
        <f>IF($AN1274="","",IF(INDEX(職員マスタ!$K$6:$K$405,$AN1274)="","",INDEX(職員マスタ!$K$6:$K$405,$AN1274)))</f>
        <v/>
      </c>
      <c r="Z1274" s="14">
        <f>IF(OR($E1274="",$Y1274=""),"",IF($E1274&gt;=$Y1274,"×",IF($E1274&gt;=$Y1274*設定!$C$5,"△","○")))</f>
        <v/>
      </c>
      <c r="AA1274" s="15">
        <f>IF($Z1274="","",IF($Z1274="×",0,IF($Z1274="○",ROUNDDOWN($E1274*設定!$C$4,0),ROUNDDOWN($E1274*ROUND((9*$Y1274-9*$E1274)/(10*$E1274),4),0))))</f>
        <v/>
      </c>
      <c r="AB1274" s="13" t="n"/>
      <c r="AC1274" s="15">
        <f>IF($B1274="","",IF($AB1274&lt;&gt;"",$AB1274,IF($AA1274="","",IF($AA1274&lt;=設定!$C$3,0,$AA1274))))</f>
        <v/>
      </c>
      <c r="AD1274" s="14">
        <f>IF($B1274="","",IF(AND($AE1274&lt;&gt;"",$AG1274="",$AJ1274=""),"保留中",IF($AJ1274&lt;&gt;"",IF(N($AC1274)&gt;0,"支給済","不支給"),IF($AC1274="","要確認",IF($AC1274=0,"不支給","未処理")))))</f>
        <v/>
      </c>
      <c r="AE1274" s="12" t="n"/>
      <c r="AF1274" s="11" t="n"/>
      <c r="AG1274" s="11" t="n"/>
      <c r="AH1274" s="11" t="n"/>
      <c r="AI1274" s="14">
        <f>IF(AND($AD1274="保留中",$AF1274&lt;&gt;""),TODAY()-$AF1274,"")</f>
        <v/>
      </c>
      <c r="AJ1274" s="12" t="n"/>
      <c r="AK1274" s="14">
        <f>IF($B1274="","",IF($AO1274="","対象年月が未入力／","")&amp;IF($B1274="","",IF($AN1274="","職員マスタに未登録の職員番号／",IF($Y1274="","標準報酬月額が未登録／","")&amp;IF(AND($AO1274&lt;&gt;"",OR(AND(INDEX(職員マスタ!$G$6:$G$405,$AN1274)&lt;&gt;"",INDEX(職員マスタ!$G$6:$G$405,$AN1274)&gt;EOMONTH($AO1274,0)),AND(INDEX(職員マスタ!$H$6:$H$405,$AN1274)&lt;&gt;"",INDEX(職員マスタ!$H$6:$H$405,$AN1274)&lt;$AO1274))),"対象月が時短期間外／","")&amp;IF(AND(INDEX(職員マスタ!$F$6:$F$405,$AN1274)&lt;&gt;"",$AO1274&lt;&gt;"",INDEX(職員マスタ!$F$6:$F$405,$AN1274)&lt;$AO1274),"対象月に子が2歳到達済／","")&amp;IF(AND($H1274&lt;&gt;"",INDEX(職員マスタ!$B$6:$B$405,$AN1274)&lt;&gt;"",SUBSTITUTE(SUBSTITUTE($H1274," ","")," ","")&lt;&gt;SUBSTITUTE(SUBSTITUTE(INDEX(職員マスタ!$B$6:$B$405,$AN1274)," ","")," ","")),"氏名がマスタと相違／","")&amp;IF(AND($Q1274&lt;&gt;"",INDEX(職員マスタ!$E$6:$E$405,$AN1274)&lt;&gt;"",$Q1274&lt;&gt;INDEX(職員マスタ!$E$6:$E$405,$AN1274)),"子の生年月日がマスタと相違／","")&amp;IF(AND($L1274&lt;&gt;"",INDEX(職員マスタ!$G$6:$G$405,$AN1274)&lt;&gt;"",$L1274&lt;&gt;INDEX(職員マスタ!$G$6:$G$405,$AN1274)),"時短開始日がマスタと相違／","")&amp;IF(AND($M1274&lt;&gt;"",INDEX(職員マスタ!$H$6:$H$405,$AN1274)&lt;&gt;"",$M1274&lt;&gt;INDEX(職員マスタ!$H$6:$H$405,$AN1274)),"時短終了日がマスタと相違／","")))&amp;IF(AND($B1274&lt;&gt;"",$E1274=""),"報酬額が未入力／","")&amp;IF(N($U1274)&gt;0,"申請書に入力エラーが残っています／","")&amp;IF(AND($B1274&lt;&gt;"",$AO1274&lt;&gt;""),IF(COUNTIFS($B$6:$B$3005,$B1274,$C$6:$C$3005,$C1274,$D$6:$D$3005,$D1274)&gt;1,"同じ月の請求が重複しています／",""),"")&amp;IF(AND(N($E1274)&gt;0,$Z1274&lt;&gt;"",$Z1274&lt;&gt;"×",$AC1274=0,$AB1274=""),"計算額が下限以下のため不支給／",""))</f>
        <v/>
      </c>
      <c r="AL1274" s="12" t="n"/>
      <c r="AM1274" s="14">
        <f>IF($AD1274="保留中",COUNTIF($AD$6:$AD1274,"保留中"),"")</f>
        <v/>
      </c>
      <c r="AN1274" s="14">
        <f>IF($AO1274="","",IF(SUMPRODUCT(MAX((職員マスタ!$A$6:$A$405=$B1274)*(((職員マスタ!$G$6:$G$405="")+(職員マスタ!$G$6:$G$405&lt;=EOMONTH($AO1274,0)))&gt;0)*(((職員マスタ!$H$6:$H$405="")+(職員マスタ!$H$6:$H$405&gt;=$AO1274))&gt;0)*(ROW(職員マスタ!$A$6:$A$405)-5)))&gt;0,SUMPRODUCT(MAX((職員マスタ!$A$6:$A$405=$B1274)*(((職員マスタ!$G$6:$G$405="")+(職員マスタ!$G$6:$G$405&lt;=EOMONTH($AO1274,0)))&gt;0)*(((職員マスタ!$H$6:$H$405="")+(職員マスタ!$H$6:$H$405&gt;=$AO1274))&gt;0)*(ROW(職員マスタ!$A$6:$A$405)-5))),IFERROR(MATCH($B1274,職員マスタ!$A$6:$A$405,0),"")))</f>
        <v/>
      </c>
      <c r="AO1274" s="16">
        <f>IF(OR($B1274="",$C1274="",$D1274=""),"",DATE($C1274+2018,$D1274,1))</f>
        <v/>
      </c>
    </row>
    <row r="1275">
      <c r="A1275" s="11" t="n"/>
      <c r="B1275" s="12" t="n"/>
      <c r="C1275" s="12" t="n"/>
      <c r="D1275" s="12" t="n"/>
      <c r="E1275" s="13" t="n"/>
      <c r="F1275" s="12" t="n"/>
      <c r="G1275" s="13" t="n"/>
      <c r="H1275" s="12" t="n"/>
      <c r="I1275" s="12" t="n"/>
      <c r="J1275" s="12" t="n"/>
      <c r="K1275" s="12" t="n"/>
      <c r="L1275" s="11" t="n"/>
      <c r="M1275" s="11" t="n"/>
      <c r="N1275" s="11" t="n"/>
      <c r="O1275" s="11" t="n"/>
      <c r="P1275" s="12" t="n"/>
      <c r="Q1275" s="11" t="n"/>
      <c r="R1275" s="12" t="n"/>
      <c r="S1275" s="11" t="n"/>
      <c r="T1275" s="12" t="n"/>
      <c r="U1275" s="12" t="n"/>
      <c r="V1275" s="14">
        <f>IF($AN1275="",IF($B1275="","",$H1275),IF(INDEX(職員マスタ!$B$6:$B$405,$AN1275)="",$H1275,INDEX(職員マスタ!$B$6:$B$405,$AN1275)))</f>
        <v/>
      </c>
      <c r="W1275" s="14">
        <f>IF($AN1275="",IF($B1275="","",$R1275),IF(INDEX(職員マスタ!$C$6:$C$405,$AN1275)="",$R1275,INDEX(職員マスタ!$C$6:$C$405,$AN1275)))</f>
        <v/>
      </c>
      <c r="X1275" s="14">
        <f>IF($AO1275="","","R"&amp;$C1275&amp;"."&amp;$D1275)</f>
        <v/>
      </c>
      <c r="Y1275" s="15">
        <f>IF($AN1275="","",IF(INDEX(職員マスタ!$K$6:$K$405,$AN1275)="","",INDEX(職員マスタ!$K$6:$K$405,$AN1275)))</f>
        <v/>
      </c>
      <c r="Z1275" s="14">
        <f>IF(OR($E1275="",$Y1275=""),"",IF($E1275&gt;=$Y1275,"×",IF($E1275&gt;=$Y1275*設定!$C$5,"△","○")))</f>
        <v/>
      </c>
      <c r="AA1275" s="15">
        <f>IF($Z1275="","",IF($Z1275="×",0,IF($Z1275="○",ROUNDDOWN($E1275*設定!$C$4,0),ROUNDDOWN($E1275*ROUND((9*$Y1275-9*$E1275)/(10*$E1275),4),0))))</f>
        <v/>
      </c>
      <c r="AB1275" s="13" t="n"/>
      <c r="AC1275" s="15">
        <f>IF($B1275="","",IF($AB1275&lt;&gt;"",$AB1275,IF($AA1275="","",IF($AA1275&lt;=設定!$C$3,0,$AA1275))))</f>
        <v/>
      </c>
      <c r="AD1275" s="14">
        <f>IF($B1275="","",IF(AND($AE1275&lt;&gt;"",$AG1275="",$AJ1275=""),"保留中",IF($AJ1275&lt;&gt;"",IF(N($AC1275)&gt;0,"支給済","不支給"),IF($AC1275="","要確認",IF($AC1275=0,"不支給","未処理")))))</f>
        <v/>
      </c>
      <c r="AE1275" s="12" t="n"/>
      <c r="AF1275" s="11" t="n"/>
      <c r="AG1275" s="11" t="n"/>
      <c r="AH1275" s="11" t="n"/>
      <c r="AI1275" s="14">
        <f>IF(AND($AD1275="保留中",$AF1275&lt;&gt;""),TODAY()-$AF1275,"")</f>
        <v/>
      </c>
      <c r="AJ1275" s="12" t="n"/>
      <c r="AK1275" s="14">
        <f>IF($B1275="","",IF($AO1275="","対象年月が未入力／","")&amp;IF($B1275="","",IF($AN1275="","職員マスタに未登録の職員番号／",IF($Y1275="","標準報酬月額が未登録／","")&amp;IF(AND($AO1275&lt;&gt;"",OR(AND(INDEX(職員マスタ!$G$6:$G$405,$AN1275)&lt;&gt;"",INDEX(職員マスタ!$G$6:$G$405,$AN1275)&gt;EOMONTH($AO1275,0)),AND(INDEX(職員マスタ!$H$6:$H$405,$AN1275)&lt;&gt;"",INDEX(職員マスタ!$H$6:$H$405,$AN1275)&lt;$AO1275))),"対象月が時短期間外／","")&amp;IF(AND(INDEX(職員マスタ!$F$6:$F$405,$AN1275)&lt;&gt;"",$AO1275&lt;&gt;"",INDEX(職員マスタ!$F$6:$F$405,$AN1275)&lt;$AO1275),"対象月に子が2歳到達済／","")&amp;IF(AND($H1275&lt;&gt;"",INDEX(職員マスタ!$B$6:$B$405,$AN1275)&lt;&gt;"",SUBSTITUTE(SUBSTITUTE($H1275," ","")," ","")&lt;&gt;SUBSTITUTE(SUBSTITUTE(INDEX(職員マスタ!$B$6:$B$405,$AN1275)," ","")," ","")),"氏名がマスタと相違／","")&amp;IF(AND($Q1275&lt;&gt;"",INDEX(職員マスタ!$E$6:$E$405,$AN1275)&lt;&gt;"",$Q1275&lt;&gt;INDEX(職員マスタ!$E$6:$E$405,$AN1275)),"子の生年月日がマスタと相違／","")&amp;IF(AND($L1275&lt;&gt;"",INDEX(職員マスタ!$G$6:$G$405,$AN1275)&lt;&gt;"",$L1275&lt;&gt;INDEX(職員マスタ!$G$6:$G$405,$AN1275)),"時短開始日がマスタと相違／","")&amp;IF(AND($M1275&lt;&gt;"",INDEX(職員マスタ!$H$6:$H$405,$AN1275)&lt;&gt;"",$M1275&lt;&gt;INDEX(職員マスタ!$H$6:$H$405,$AN1275)),"時短終了日がマスタと相違／","")))&amp;IF(AND($B1275&lt;&gt;"",$E1275=""),"報酬額が未入力／","")&amp;IF(N($U1275)&gt;0,"申請書に入力エラーが残っています／","")&amp;IF(AND($B1275&lt;&gt;"",$AO1275&lt;&gt;""),IF(COUNTIFS($B$6:$B$3005,$B1275,$C$6:$C$3005,$C1275,$D$6:$D$3005,$D1275)&gt;1,"同じ月の請求が重複しています／",""),"")&amp;IF(AND(N($E1275)&gt;0,$Z1275&lt;&gt;"",$Z1275&lt;&gt;"×",$AC1275=0,$AB1275=""),"計算額が下限以下のため不支給／",""))</f>
        <v/>
      </c>
      <c r="AL1275" s="12" t="n"/>
      <c r="AM1275" s="14">
        <f>IF($AD1275="保留中",COUNTIF($AD$6:$AD1275,"保留中"),"")</f>
        <v/>
      </c>
      <c r="AN1275" s="14">
        <f>IF($AO1275="","",IF(SUMPRODUCT(MAX((職員マスタ!$A$6:$A$405=$B1275)*(((職員マスタ!$G$6:$G$405="")+(職員マスタ!$G$6:$G$405&lt;=EOMONTH($AO1275,0)))&gt;0)*(((職員マスタ!$H$6:$H$405="")+(職員マスタ!$H$6:$H$405&gt;=$AO1275))&gt;0)*(ROW(職員マスタ!$A$6:$A$405)-5)))&gt;0,SUMPRODUCT(MAX((職員マスタ!$A$6:$A$405=$B1275)*(((職員マスタ!$G$6:$G$405="")+(職員マスタ!$G$6:$G$405&lt;=EOMONTH($AO1275,0)))&gt;0)*(((職員マスタ!$H$6:$H$405="")+(職員マスタ!$H$6:$H$405&gt;=$AO1275))&gt;0)*(ROW(職員マスタ!$A$6:$A$405)-5))),IFERROR(MATCH($B1275,職員マスタ!$A$6:$A$405,0),"")))</f>
        <v/>
      </c>
      <c r="AO1275" s="16">
        <f>IF(OR($B1275="",$C1275="",$D1275=""),"",DATE($C1275+2018,$D1275,1))</f>
        <v/>
      </c>
    </row>
    <row r="1276">
      <c r="A1276" s="11" t="n"/>
      <c r="B1276" s="12" t="n"/>
      <c r="C1276" s="12" t="n"/>
      <c r="D1276" s="12" t="n"/>
      <c r="E1276" s="13" t="n"/>
      <c r="F1276" s="12" t="n"/>
      <c r="G1276" s="13" t="n"/>
      <c r="H1276" s="12" t="n"/>
      <c r="I1276" s="12" t="n"/>
      <c r="J1276" s="12" t="n"/>
      <c r="K1276" s="12" t="n"/>
      <c r="L1276" s="11" t="n"/>
      <c r="M1276" s="11" t="n"/>
      <c r="N1276" s="11" t="n"/>
      <c r="O1276" s="11" t="n"/>
      <c r="P1276" s="12" t="n"/>
      <c r="Q1276" s="11" t="n"/>
      <c r="R1276" s="12" t="n"/>
      <c r="S1276" s="11" t="n"/>
      <c r="T1276" s="12" t="n"/>
      <c r="U1276" s="12" t="n"/>
      <c r="V1276" s="14">
        <f>IF($AN1276="",IF($B1276="","",$H1276),IF(INDEX(職員マスタ!$B$6:$B$405,$AN1276)="",$H1276,INDEX(職員マスタ!$B$6:$B$405,$AN1276)))</f>
        <v/>
      </c>
      <c r="W1276" s="14">
        <f>IF($AN1276="",IF($B1276="","",$R1276),IF(INDEX(職員マスタ!$C$6:$C$405,$AN1276)="",$R1276,INDEX(職員マスタ!$C$6:$C$405,$AN1276)))</f>
        <v/>
      </c>
      <c r="X1276" s="14">
        <f>IF($AO1276="","","R"&amp;$C1276&amp;"."&amp;$D1276)</f>
        <v/>
      </c>
      <c r="Y1276" s="15">
        <f>IF($AN1276="","",IF(INDEX(職員マスタ!$K$6:$K$405,$AN1276)="","",INDEX(職員マスタ!$K$6:$K$405,$AN1276)))</f>
        <v/>
      </c>
      <c r="Z1276" s="14">
        <f>IF(OR($E1276="",$Y1276=""),"",IF($E1276&gt;=$Y1276,"×",IF($E1276&gt;=$Y1276*設定!$C$5,"△","○")))</f>
        <v/>
      </c>
      <c r="AA1276" s="15">
        <f>IF($Z1276="","",IF($Z1276="×",0,IF($Z1276="○",ROUNDDOWN($E1276*設定!$C$4,0),ROUNDDOWN($E1276*ROUND((9*$Y1276-9*$E1276)/(10*$E1276),4),0))))</f>
        <v/>
      </c>
      <c r="AB1276" s="13" t="n"/>
      <c r="AC1276" s="15">
        <f>IF($B1276="","",IF($AB1276&lt;&gt;"",$AB1276,IF($AA1276="","",IF($AA1276&lt;=設定!$C$3,0,$AA1276))))</f>
        <v/>
      </c>
      <c r="AD1276" s="14">
        <f>IF($B1276="","",IF(AND($AE1276&lt;&gt;"",$AG1276="",$AJ1276=""),"保留中",IF($AJ1276&lt;&gt;"",IF(N($AC1276)&gt;0,"支給済","不支給"),IF($AC1276="","要確認",IF($AC1276=0,"不支給","未処理")))))</f>
        <v/>
      </c>
      <c r="AE1276" s="12" t="n"/>
      <c r="AF1276" s="11" t="n"/>
      <c r="AG1276" s="11" t="n"/>
      <c r="AH1276" s="11" t="n"/>
      <c r="AI1276" s="14">
        <f>IF(AND($AD1276="保留中",$AF1276&lt;&gt;""),TODAY()-$AF1276,"")</f>
        <v/>
      </c>
      <c r="AJ1276" s="12" t="n"/>
      <c r="AK1276" s="14">
        <f>IF($B1276="","",IF($AO1276="","対象年月が未入力／","")&amp;IF($B1276="","",IF($AN1276="","職員マスタに未登録の職員番号／",IF($Y1276="","標準報酬月額が未登録／","")&amp;IF(AND($AO1276&lt;&gt;"",OR(AND(INDEX(職員マスタ!$G$6:$G$405,$AN1276)&lt;&gt;"",INDEX(職員マスタ!$G$6:$G$405,$AN1276)&gt;EOMONTH($AO1276,0)),AND(INDEX(職員マスタ!$H$6:$H$405,$AN1276)&lt;&gt;"",INDEX(職員マスタ!$H$6:$H$405,$AN1276)&lt;$AO1276))),"対象月が時短期間外／","")&amp;IF(AND(INDEX(職員マスタ!$F$6:$F$405,$AN1276)&lt;&gt;"",$AO1276&lt;&gt;"",INDEX(職員マスタ!$F$6:$F$405,$AN1276)&lt;$AO1276),"対象月に子が2歳到達済／","")&amp;IF(AND($H1276&lt;&gt;"",INDEX(職員マスタ!$B$6:$B$405,$AN1276)&lt;&gt;"",SUBSTITUTE(SUBSTITUTE($H1276," ","")," ","")&lt;&gt;SUBSTITUTE(SUBSTITUTE(INDEX(職員マスタ!$B$6:$B$405,$AN1276)," ","")," ","")),"氏名がマスタと相違／","")&amp;IF(AND($Q1276&lt;&gt;"",INDEX(職員マスタ!$E$6:$E$405,$AN1276)&lt;&gt;"",$Q1276&lt;&gt;INDEX(職員マスタ!$E$6:$E$405,$AN1276)),"子の生年月日がマスタと相違／","")&amp;IF(AND($L1276&lt;&gt;"",INDEX(職員マスタ!$G$6:$G$405,$AN1276)&lt;&gt;"",$L1276&lt;&gt;INDEX(職員マスタ!$G$6:$G$405,$AN1276)),"時短開始日がマスタと相違／","")&amp;IF(AND($M1276&lt;&gt;"",INDEX(職員マスタ!$H$6:$H$405,$AN1276)&lt;&gt;"",$M1276&lt;&gt;INDEX(職員マスタ!$H$6:$H$405,$AN1276)),"時短終了日がマスタと相違／","")))&amp;IF(AND($B1276&lt;&gt;"",$E1276=""),"報酬額が未入力／","")&amp;IF(N($U1276)&gt;0,"申請書に入力エラーが残っています／","")&amp;IF(AND($B1276&lt;&gt;"",$AO1276&lt;&gt;""),IF(COUNTIFS($B$6:$B$3005,$B1276,$C$6:$C$3005,$C1276,$D$6:$D$3005,$D1276)&gt;1,"同じ月の請求が重複しています／",""),"")&amp;IF(AND(N($E1276)&gt;0,$Z1276&lt;&gt;"",$Z1276&lt;&gt;"×",$AC1276=0,$AB1276=""),"計算額が下限以下のため不支給／",""))</f>
        <v/>
      </c>
      <c r="AL1276" s="12" t="n"/>
      <c r="AM1276" s="14">
        <f>IF($AD1276="保留中",COUNTIF($AD$6:$AD1276,"保留中"),"")</f>
        <v/>
      </c>
      <c r="AN1276" s="14">
        <f>IF($AO1276="","",IF(SUMPRODUCT(MAX((職員マスタ!$A$6:$A$405=$B1276)*(((職員マスタ!$G$6:$G$405="")+(職員マスタ!$G$6:$G$405&lt;=EOMONTH($AO1276,0)))&gt;0)*(((職員マスタ!$H$6:$H$405="")+(職員マスタ!$H$6:$H$405&gt;=$AO1276))&gt;0)*(ROW(職員マスタ!$A$6:$A$405)-5)))&gt;0,SUMPRODUCT(MAX((職員マスタ!$A$6:$A$405=$B1276)*(((職員マスタ!$G$6:$G$405="")+(職員マスタ!$G$6:$G$405&lt;=EOMONTH($AO1276,0)))&gt;0)*(((職員マスタ!$H$6:$H$405="")+(職員マスタ!$H$6:$H$405&gt;=$AO1276))&gt;0)*(ROW(職員マスタ!$A$6:$A$405)-5))),IFERROR(MATCH($B1276,職員マスタ!$A$6:$A$405,0),"")))</f>
        <v/>
      </c>
      <c r="AO1276" s="16">
        <f>IF(OR($B1276="",$C1276="",$D1276=""),"",DATE($C1276+2018,$D1276,1))</f>
        <v/>
      </c>
    </row>
    <row r="1277">
      <c r="A1277" s="11" t="n"/>
      <c r="B1277" s="12" t="n"/>
      <c r="C1277" s="12" t="n"/>
      <c r="D1277" s="12" t="n"/>
      <c r="E1277" s="13" t="n"/>
      <c r="F1277" s="12" t="n"/>
      <c r="G1277" s="13" t="n"/>
      <c r="H1277" s="12" t="n"/>
      <c r="I1277" s="12" t="n"/>
      <c r="J1277" s="12" t="n"/>
      <c r="K1277" s="12" t="n"/>
      <c r="L1277" s="11" t="n"/>
      <c r="M1277" s="11" t="n"/>
      <c r="N1277" s="11" t="n"/>
      <c r="O1277" s="11" t="n"/>
      <c r="P1277" s="12" t="n"/>
      <c r="Q1277" s="11" t="n"/>
      <c r="R1277" s="12" t="n"/>
      <c r="S1277" s="11" t="n"/>
      <c r="T1277" s="12" t="n"/>
      <c r="U1277" s="12" t="n"/>
      <c r="V1277" s="14">
        <f>IF($AN1277="",IF($B1277="","",$H1277),IF(INDEX(職員マスタ!$B$6:$B$405,$AN1277)="",$H1277,INDEX(職員マスタ!$B$6:$B$405,$AN1277)))</f>
        <v/>
      </c>
      <c r="W1277" s="14">
        <f>IF($AN1277="",IF($B1277="","",$R1277),IF(INDEX(職員マスタ!$C$6:$C$405,$AN1277)="",$R1277,INDEX(職員マスタ!$C$6:$C$405,$AN1277)))</f>
        <v/>
      </c>
      <c r="X1277" s="14">
        <f>IF($AO1277="","","R"&amp;$C1277&amp;"."&amp;$D1277)</f>
        <v/>
      </c>
      <c r="Y1277" s="15">
        <f>IF($AN1277="","",IF(INDEX(職員マスタ!$K$6:$K$405,$AN1277)="","",INDEX(職員マスタ!$K$6:$K$405,$AN1277)))</f>
        <v/>
      </c>
      <c r="Z1277" s="14">
        <f>IF(OR($E1277="",$Y1277=""),"",IF($E1277&gt;=$Y1277,"×",IF($E1277&gt;=$Y1277*設定!$C$5,"△","○")))</f>
        <v/>
      </c>
      <c r="AA1277" s="15">
        <f>IF($Z1277="","",IF($Z1277="×",0,IF($Z1277="○",ROUNDDOWN($E1277*設定!$C$4,0),ROUNDDOWN($E1277*ROUND((9*$Y1277-9*$E1277)/(10*$E1277),4),0))))</f>
        <v/>
      </c>
      <c r="AB1277" s="13" t="n"/>
      <c r="AC1277" s="15">
        <f>IF($B1277="","",IF($AB1277&lt;&gt;"",$AB1277,IF($AA1277="","",IF($AA1277&lt;=設定!$C$3,0,$AA1277))))</f>
        <v/>
      </c>
      <c r="AD1277" s="14">
        <f>IF($B1277="","",IF(AND($AE1277&lt;&gt;"",$AG1277="",$AJ1277=""),"保留中",IF($AJ1277&lt;&gt;"",IF(N($AC1277)&gt;0,"支給済","不支給"),IF($AC1277="","要確認",IF($AC1277=0,"不支給","未処理")))))</f>
        <v/>
      </c>
      <c r="AE1277" s="12" t="n"/>
      <c r="AF1277" s="11" t="n"/>
      <c r="AG1277" s="11" t="n"/>
      <c r="AH1277" s="11" t="n"/>
      <c r="AI1277" s="14">
        <f>IF(AND($AD1277="保留中",$AF1277&lt;&gt;""),TODAY()-$AF1277,"")</f>
        <v/>
      </c>
      <c r="AJ1277" s="12" t="n"/>
      <c r="AK1277" s="14">
        <f>IF($B1277="","",IF($AO1277="","対象年月が未入力／","")&amp;IF($B1277="","",IF($AN1277="","職員マスタに未登録の職員番号／",IF($Y1277="","標準報酬月額が未登録／","")&amp;IF(AND($AO1277&lt;&gt;"",OR(AND(INDEX(職員マスタ!$G$6:$G$405,$AN1277)&lt;&gt;"",INDEX(職員マスタ!$G$6:$G$405,$AN1277)&gt;EOMONTH($AO1277,0)),AND(INDEX(職員マスタ!$H$6:$H$405,$AN1277)&lt;&gt;"",INDEX(職員マスタ!$H$6:$H$405,$AN1277)&lt;$AO1277))),"対象月が時短期間外／","")&amp;IF(AND(INDEX(職員マスタ!$F$6:$F$405,$AN1277)&lt;&gt;"",$AO1277&lt;&gt;"",INDEX(職員マスタ!$F$6:$F$405,$AN1277)&lt;$AO1277),"対象月に子が2歳到達済／","")&amp;IF(AND($H1277&lt;&gt;"",INDEX(職員マスタ!$B$6:$B$405,$AN1277)&lt;&gt;"",SUBSTITUTE(SUBSTITUTE($H1277," ","")," ","")&lt;&gt;SUBSTITUTE(SUBSTITUTE(INDEX(職員マスタ!$B$6:$B$405,$AN1277)," ","")," ","")),"氏名がマスタと相違／","")&amp;IF(AND($Q1277&lt;&gt;"",INDEX(職員マスタ!$E$6:$E$405,$AN1277)&lt;&gt;"",$Q1277&lt;&gt;INDEX(職員マスタ!$E$6:$E$405,$AN1277)),"子の生年月日がマスタと相違／","")&amp;IF(AND($L1277&lt;&gt;"",INDEX(職員マスタ!$G$6:$G$405,$AN1277)&lt;&gt;"",$L1277&lt;&gt;INDEX(職員マスタ!$G$6:$G$405,$AN1277)),"時短開始日がマスタと相違／","")&amp;IF(AND($M1277&lt;&gt;"",INDEX(職員マスタ!$H$6:$H$405,$AN1277)&lt;&gt;"",$M1277&lt;&gt;INDEX(職員マスタ!$H$6:$H$405,$AN1277)),"時短終了日がマスタと相違／","")))&amp;IF(AND($B1277&lt;&gt;"",$E1277=""),"報酬額が未入力／","")&amp;IF(N($U1277)&gt;0,"申請書に入力エラーが残っています／","")&amp;IF(AND($B1277&lt;&gt;"",$AO1277&lt;&gt;""),IF(COUNTIFS($B$6:$B$3005,$B1277,$C$6:$C$3005,$C1277,$D$6:$D$3005,$D1277)&gt;1,"同じ月の請求が重複しています／",""),"")&amp;IF(AND(N($E1277)&gt;0,$Z1277&lt;&gt;"",$Z1277&lt;&gt;"×",$AC1277=0,$AB1277=""),"計算額が下限以下のため不支給／",""))</f>
        <v/>
      </c>
      <c r="AL1277" s="12" t="n"/>
      <c r="AM1277" s="14">
        <f>IF($AD1277="保留中",COUNTIF($AD$6:$AD1277,"保留中"),"")</f>
        <v/>
      </c>
      <c r="AN1277" s="14">
        <f>IF($AO1277="","",IF(SUMPRODUCT(MAX((職員マスタ!$A$6:$A$405=$B1277)*(((職員マスタ!$G$6:$G$405="")+(職員マスタ!$G$6:$G$405&lt;=EOMONTH($AO1277,0)))&gt;0)*(((職員マスタ!$H$6:$H$405="")+(職員マスタ!$H$6:$H$405&gt;=$AO1277))&gt;0)*(ROW(職員マスタ!$A$6:$A$405)-5)))&gt;0,SUMPRODUCT(MAX((職員マスタ!$A$6:$A$405=$B1277)*(((職員マスタ!$G$6:$G$405="")+(職員マスタ!$G$6:$G$405&lt;=EOMONTH($AO1277,0)))&gt;0)*(((職員マスタ!$H$6:$H$405="")+(職員マスタ!$H$6:$H$405&gt;=$AO1277))&gt;0)*(ROW(職員マスタ!$A$6:$A$405)-5))),IFERROR(MATCH($B1277,職員マスタ!$A$6:$A$405,0),"")))</f>
        <v/>
      </c>
      <c r="AO1277" s="16">
        <f>IF(OR($B1277="",$C1277="",$D1277=""),"",DATE($C1277+2018,$D1277,1))</f>
        <v/>
      </c>
    </row>
    <row r="1278">
      <c r="A1278" s="11" t="n"/>
      <c r="B1278" s="12" t="n"/>
      <c r="C1278" s="12" t="n"/>
      <c r="D1278" s="12" t="n"/>
      <c r="E1278" s="13" t="n"/>
      <c r="F1278" s="12" t="n"/>
      <c r="G1278" s="13" t="n"/>
      <c r="H1278" s="12" t="n"/>
      <c r="I1278" s="12" t="n"/>
      <c r="J1278" s="12" t="n"/>
      <c r="K1278" s="12" t="n"/>
      <c r="L1278" s="11" t="n"/>
      <c r="M1278" s="11" t="n"/>
      <c r="N1278" s="11" t="n"/>
      <c r="O1278" s="11" t="n"/>
      <c r="P1278" s="12" t="n"/>
      <c r="Q1278" s="11" t="n"/>
      <c r="R1278" s="12" t="n"/>
      <c r="S1278" s="11" t="n"/>
      <c r="T1278" s="12" t="n"/>
      <c r="U1278" s="12" t="n"/>
      <c r="V1278" s="14">
        <f>IF($AN1278="",IF($B1278="","",$H1278),IF(INDEX(職員マスタ!$B$6:$B$405,$AN1278)="",$H1278,INDEX(職員マスタ!$B$6:$B$405,$AN1278)))</f>
        <v/>
      </c>
      <c r="W1278" s="14">
        <f>IF($AN1278="",IF($B1278="","",$R1278),IF(INDEX(職員マスタ!$C$6:$C$405,$AN1278)="",$R1278,INDEX(職員マスタ!$C$6:$C$405,$AN1278)))</f>
        <v/>
      </c>
      <c r="X1278" s="14">
        <f>IF($AO1278="","","R"&amp;$C1278&amp;"."&amp;$D1278)</f>
        <v/>
      </c>
      <c r="Y1278" s="15">
        <f>IF($AN1278="","",IF(INDEX(職員マスタ!$K$6:$K$405,$AN1278)="","",INDEX(職員マスタ!$K$6:$K$405,$AN1278)))</f>
        <v/>
      </c>
      <c r="Z1278" s="14">
        <f>IF(OR($E1278="",$Y1278=""),"",IF($E1278&gt;=$Y1278,"×",IF($E1278&gt;=$Y1278*設定!$C$5,"△","○")))</f>
        <v/>
      </c>
      <c r="AA1278" s="15">
        <f>IF($Z1278="","",IF($Z1278="×",0,IF($Z1278="○",ROUNDDOWN($E1278*設定!$C$4,0),ROUNDDOWN($E1278*ROUND((9*$Y1278-9*$E1278)/(10*$E1278),4),0))))</f>
        <v/>
      </c>
      <c r="AB1278" s="13" t="n"/>
      <c r="AC1278" s="15">
        <f>IF($B1278="","",IF($AB1278&lt;&gt;"",$AB1278,IF($AA1278="","",IF($AA1278&lt;=設定!$C$3,0,$AA1278))))</f>
        <v/>
      </c>
      <c r="AD1278" s="14">
        <f>IF($B1278="","",IF(AND($AE1278&lt;&gt;"",$AG1278="",$AJ1278=""),"保留中",IF($AJ1278&lt;&gt;"",IF(N($AC1278)&gt;0,"支給済","不支給"),IF($AC1278="","要確認",IF($AC1278=0,"不支給","未処理")))))</f>
        <v/>
      </c>
      <c r="AE1278" s="12" t="n"/>
      <c r="AF1278" s="11" t="n"/>
      <c r="AG1278" s="11" t="n"/>
      <c r="AH1278" s="11" t="n"/>
      <c r="AI1278" s="14">
        <f>IF(AND($AD1278="保留中",$AF1278&lt;&gt;""),TODAY()-$AF1278,"")</f>
        <v/>
      </c>
      <c r="AJ1278" s="12" t="n"/>
      <c r="AK1278" s="14">
        <f>IF($B1278="","",IF($AO1278="","対象年月が未入力／","")&amp;IF($B1278="","",IF($AN1278="","職員マスタに未登録の職員番号／",IF($Y1278="","標準報酬月額が未登録／","")&amp;IF(AND($AO1278&lt;&gt;"",OR(AND(INDEX(職員マスタ!$G$6:$G$405,$AN1278)&lt;&gt;"",INDEX(職員マスタ!$G$6:$G$405,$AN1278)&gt;EOMONTH($AO1278,0)),AND(INDEX(職員マスタ!$H$6:$H$405,$AN1278)&lt;&gt;"",INDEX(職員マスタ!$H$6:$H$405,$AN1278)&lt;$AO1278))),"対象月が時短期間外／","")&amp;IF(AND(INDEX(職員マスタ!$F$6:$F$405,$AN1278)&lt;&gt;"",$AO1278&lt;&gt;"",INDEX(職員マスタ!$F$6:$F$405,$AN1278)&lt;$AO1278),"対象月に子が2歳到達済／","")&amp;IF(AND($H1278&lt;&gt;"",INDEX(職員マスタ!$B$6:$B$405,$AN1278)&lt;&gt;"",SUBSTITUTE(SUBSTITUTE($H1278," ","")," ","")&lt;&gt;SUBSTITUTE(SUBSTITUTE(INDEX(職員マスタ!$B$6:$B$405,$AN1278)," ","")," ","")),"氏名がマスタと相違／","")&amp;IF(AND($Q1278&lt;&gt;"",INDEX(職員マスタ!$E$6:$E$405,$AN1278)&lt;&gt;"",$Q1278&lt;&gt;INDEX(職員マスタ!$E$6:$E$405,$AN1278)),"子の生年月日がマスタと相違／","")&amp;IF(AND($L1278&lt;&gt;"",INDEX(職員マスタ!$G$6:$G$405,$AN1278)&lt;&gt;"",$L1278&lt;&gt;INDEX(職員マスタ!$G$6:$G$405,$AN1278)),"時短開始日がマスタと相違／","")&amp;IF(AND($M1278&lt;&gt;"",INDEX(職員マスタ!$H$6:$H$405,$AN1278)&lt;&gt;"",$M1278&lt;&gt;INDEX(職員マスタ!$H$6:$H$405,$AN1278)),"時短終了日がマスタと相違／","")))&amp;IF(AND($B1278&lt;&gt;"",$E1278=""),"報酬額が未入力／","")&amp;IF(N($U1278)&gt;0,"申請書に入力エラーが残っています／","")&amp;IF(AND($B1278&lt;&gt;"",$AO1278&lt;&gt;""),IF(COUNTIFS($B$6:$B$3005,$B1278,$C$6:$C$3005,$C1278,$D$6:$D$3005,$D1278)&gt;1,"同じ月の請求が重複しています／",""),"")&amp;IF(AND(N($E1278)&gt;0,$Z1278&lt;&gt;"",$Z1278&lt;&gt;"×",$AC1278=0,$AB1278=""),"計算額が下限以下のため不支給／",""))</f>
        <v/>
      </c>
      <c r="AL1278" s="12" t="n"/>
      <c r="AM1278" s="14">
        <f>IF($AD1278="保留中",COUNTIF($AD$6:$AD1278,"保留中"),"")</f>
        <v/>
      </c>
      <c r="AN1278" s="14">
        <f>IF($AO1278="","",IF(SUMPRODUCT(MAX((職員マスタ!$A$6:$A$405=$B1278)*(((職員マスタ!$G$6:$G$405="")+(職員マスタ!$G$6:$G$405&lt;=EOMONTH($AO1278,0)))&gt;0)*(((職員マスタ!$H$6:$H$405="")+(職員マスタ!$H$6:$H$405&gt;=$AO1278))&gt;0)*(ROW(職員マスタ!$A$6:$A$405)-5)))&gt;0,SUMPRODUCT(MAX((職員マスタ!$A$6:$A$405=$B1278)*(((職員マスタ!$G$6:$G$405="")+(職員マスタ!$G$6:$G$405&lt;=EOMONTH($AO1278,0)))&gt;0)*(((職員マスタ!$H$6:$H$405="")+(職員マスタ!$H$6:$H$405&gt;=$AO1278))&gt;0)*(ROW(職員マスタ!$A$6:$A$405)-5))),IFERROR(MATCH($B1278,職員マスタ!$A$6:$A$405,0),"")))</f>
        <v/>
      </c>
      <c r="AO1278" s="16">
        <f>IF(OR($B1278="",$C1278="",$D1278=""),"",DATE($C1278+2018,$D1278,1))</f>
        <v/>
      </c>
    </row>
    <row r="1279">
      <c r="A1279" s="11" t="n"/>
      <c r="B1279" s="12" t="n"/>
      <c r="C1279" s="12" t="n"/>
      <c r="D1279" s="12" t="n"/>
      <c r="E1279" s="13" t="n"/>
      <c r="F1279" s="12" t="n"/>
      <c r="G1279" s="13" t="n"/>
      <c r="H1279" s="12" t="n"/>
      <c r="I1279" s="12" t="n"/>
      <c r="J1279" s="12" t="n"/>
      <c r="K1279" s="12" t="n"/>
      <c r="L1279" s="11" t="n"/>
      <c r="M1279" s="11" t="n"/>
      <c r="N1279" s="11" t="n"/>
      <c r="O1279" s="11" t="n"/>
      <c r="P1279" s="12" t="n"/>
      <c r="Q1279" s="11" t="n"/>
      <c r="R1279" s="12" t="n"/>
      <c r="S1279" s="11" t="n"/>
      <c r="T1279" s="12" t="n"/>
      <c r="U1279" s="12" t="n"/>
      <c r="V1279" s="14">
        <f>IF($AN1279="",IF($B1279="","",$H1279),IF(INDEX(職員マスタ!$B$6:$B$405,$AN1279)="",$H1279,INDEX(職員マスタ!$B$6:$B$405,$AN1279)))</f>
        <v/>
      </c>
      <c r="W1279" s="14">
        <f>IF($AN1279="",IF($B1279="","",$R1279),IF(INDEX(職員マスタ!$C$6:$C$405,$AN1279)="",$R1279,INDEX(職員マスタ!$C$6:$C$405,$AN1279)))</f>
        <v/>
      </c>
      <c r="X1279" s="14">
        <f>IF($AO1279="","","R"&amp;$C1279&amp;"."&amp;$D1279)</f>
        <v/>
      </c>
      <c r="Y1279" s="15">
        <f>IF($AN1279="","",IF(INDEX(職員マスタ!$K$6:$K$405,$AN1279)="","",INDEX(職員マスタ!$K$6:$K$405,$AN1279)))</f>
        <v/>
      </c>
      <c r="Z1279" s="14">
        <f>IF(OR($E1279="",$Y1279=""),"",IF($E1279&gt;=$Y1279,"×",IF($E1279&gt;=$Y1279*設定!$C$5,"△","○")))</f>
        <v/>
      </c>
      <c r="AA1279" s="15">
        <f>IF($Z1279="","",IF($Z1279="×",0,IF($Z1279="○",ROUNDDOWN($E1279*設定!$C$4,0),ROUNDDOWN($E1279*ROUND((9*$Y1279-9*$E1279)/(10*$E1279),4),0))))</f>
        <v/>
      </c>
      <c r="AB1279" s="13" t="n"/>
      <c r="AC1279" s="15">
        <f>IF($B1279="","",IF($AB1279&lt;&gt;"",$AB1279,IF($AA1279="","",IF($AA1279&lt;=設定!$C$3,0,$AA1279))))</f>
        <v/>
      </c>
      <c r="AD1279" s="14">
        <f>IF($B1279="","",IF(AND($AE1279&lt;&gt;"",$AG1279="",$AJ1279=""),"保留中",IF($AJ1279&lt;&gt;"",IF(N($AC1279)&gt;0,"支給済","不支給"),IF($AC1279="","要確認",IF($AC1279=0,"不支給","未処理")))))</f>
        <v/>
      </c>
      <c r="AE1279" s="12" t="n"/>
      <c r="AF1279" s="11" t="n"/>
      <c r="AG1279" s="11" t="n"/>
      <c r="AH1279" s="11" t="n"/>
      <c r="AI1279" s="14">
        <f>IF(AND($AD1279="保留中",$AF1279&lt;&gt;""),TODAY()-$AF1279,"")</f>
        <v/>
      </c>
      <c r="AJ1279" s="12" t="n"/>
      <c r="AK1279" s="14">
        <f>IF($B1279="","",IF($AO1279="","対象年月が未入力／","")&amp;IF($B1279="","",IF($AN1279="","職員マスタに未登録の職員番号／",IF($Y1279="","標準報酬月額が未登録／","")&amp;IF(AND($AO1279&lt;&gt;"",OR(AND(INDEX(職員マスタ!$G$6:$G$405,$AN1279)&lt;&gt;"",INDEX(職員マスタ!$G$6:$G$405,$AN1279)&gt;EOMONTH($AO1279,0)),AND(INDEX(職員マスタ!$H$6:$H$405,$AN1279)&lt;&gt;"",INDEX(職員マスタ!$H$6:$H$405,$AN1279)&lt;$AO1279))),"対象月が時短期間外／","")&amp;IF(AND(INDEX(職員マスタ!$F$6:$F$405,$AN1279)&lt;&gt;"",$AO1279&lt;&gt;"",INDEX(職員マスタ!$F$6:$F$405,$AN1279)&lt;$AO1279),"対象月に子が2歳到達済／","")&amp;IF(AND($H1279&lt;&gt;"",INDEX(職員マスタ!$B$6:$B$405,$AN1279)&lt;&gt;"",SUBSTITUTE(SUBSTITUTE($H1279," ","")," ","")&lt;&gt;SUBSTITUTE(SUBSTITUTE(INDEX(職員マスタ!$B$6:$B$405,$AN1279)," ","")," ","")),"氏名がマスタと相違／","")&amp;IF(AND($Q1279&lt;&gt;"",INDEX(職員マスタ!$E$6:$E$405,$AN1279)&lt;&gt;"",$Q1279&lt;&gt;INDEX(職員マスタ!$E$6:$E$405,$AN1279)),"子の生年月日がマスタと相違／","")&amp;IF(AND($L1279&lt;&gt;"",INDEX(職員マスタ!$G$6:$G$405,$AN1279)&lt;&gt;"",$L1279&lt;&gt;INDEX(職員マスタ!$G$6:$G$405,$AN1279)),"時短開始日がマスタと相違／","")&amp;IF(AND($M1279&lt;&gt;"",INDEX(職員マスタ!$H$6:$H$405,$AN1279)&lt;&gt;"",$M1279&lt;&gt;INDEX(職員マスタ!$H$6:$H$405,$AN1279)),"時短終了日がマスタと相違／","")))&amp;IF(AND($B1279&lt;&gt;"",$E1279=""),"報酬額が未入力／","")&amp;IF(N($U1279)&gt;0,"申請書に入力エラーが残っています／","")&amp;IF(AND($B1279&lt;&gt;"",$AO1279&lt;&gt;""),IF(COUNTIFS($B$6:$B$3005,$B1279,$C$6:$C$3005,$C1279,$D$6:$D$3005,$D1279)&gt;1,"同じ月の請求が重複しています／",""),"")&amp;IF(AND(N($E1279)&gt;0,$Z1279&lt;&gt;"",$Z1279&lt;&gt;"×",$AC1279=0,$AB1279=""),"計算額が下限以下のため不支給／",""))</f>
        <v/>
      </c>
      <c r="AL1279" s="12" t="n"/>
      <c r="AM1279" s="14">
        <f>IF($AD1279="保留中",COUNTIF($AD$6:$AD1279,"保留中"),"")</f>
        <v/>
      </c>
      <c r="AN1279" s="14">
        <f>IF($AO1279="","",IF(SUMPRODUCT(MAX((職員マスタ!$A$6:$A$405=$B1279)*(((職員マスタ!$G$6:$G$405="")+(職員マスタ!$G$6:$G$405&lt;=EOMONTH($AO1279,0)))&gt;0)*(((職員マスタ!$H$6:$H$405="")+(職員マスタ!$H$6:$H$405&gt;=$AO1279))&gt;0)*(ROW(職員マスタ!$A$6:$A$405)-5)))&gt;0,SUMPRODUCT(MAX((職員マスタ!$A$6:$A$405=$B1279)*(((職員マスタ!$G$6:$G$405="")+(職員マスタ!$G$6:$G$405&lt;=EOMONTH($AO1279,0)))&gt;0)*(((職員マスタ!$H$6:$H$405="")+(職員マスタ!$H$6:$H$405&gt;=$AO1279))&gt;0)*(ROW(職員マスタ!$A$6:$A$405)-5))),IFERROR(MATCH($B1279,職員マスタ!$A$6:$A$405,0),"")))</f>
        <v/>
      </c>
      <c r="AO1279" s="16">
        <f>IF(OR($B1279="",$C1279="",$D1279=""),"",DATE($C1279+2018,$D1279,1))</f>
        <v/>
      </c>
    </row>
    <row r="1280">
      <c r="A1280" s="11" t="n"/>
      <c r="B1280" s="12" t="n"/>
      <c r="C1280" s="12" t="n"/>
      <c r="D1280" s="12" t="n"/>
      <c r="E1280" s="13" t="n"/>
      <c r="F1280" s="12" t="n"/>
      <c r="G1280" s="13" t="n"/>
      <c r="H1280" s="12" t="n"/>
      <c r="I1280" s="12" t="n"/>
      <c r="J1280" s="12" t="n"/>
      <c r="K1280" s="12" t="n"/>
      <c r="L1280" s="11" t="n"/>
      <c r="M1280" s="11" t="n"/>
      <c r="N1280" s="11" t="n"/>
      <c r="O1280" s="11" t="n"/>
      <c r="P1280" s="12" t="n"/>
      <c r="Q1280" s="11" t="n"/>
      <c r="R1280" s="12" t="n"/>
      <c r="S1280" s="11" t="n"/>
      <c r="T1280" s="12" t="n"/>
      <c r="U1280" s="12" t="n"/>
      <c r="V1280" s="14">
        <f>IF($AN1280="",IF($B1280="","",$H1280),IF(INDEX(職員マスタ!$B$6:$B$405,$AN1280)="",$H1280,INDEX(職員マスタ!$B$6:$B$405,$AN1280)))</f>
        <v/>
      </c>
      <c r="W1280" s="14">
        <f>IF($AN1280="",IF($B1280="","",$R1280),IF(INDEX(職員マスタ!$C$6:$C$405,$AN1280)="",$R1280,INDEX(職員マスタ!$C$6:$C$405,$AN1280)))</f>
        <v/>
      </c>
      <c r="X1280" s="14">
        <f>IF($AO1280="","","R"&amp;$C1280&amp;"."&amp;$D1280)</f>
        <v/>
      </c>
      <c r="Y1280" s="15">
        <f>IF($AN1280="","",IF(INDEX(職員マスタ!$K$6:$K$405,$AN1280)="","",INDEX(職員マスタ!$K$6:$K$405,$AN1280)))</f>
        <v/>
      </c>
      <c r="Z1280" s="14">
        <f>IF(OR($E1280="",$Y1280=""),"",IF($E1280&gt;=$Y1280,"×",IF($E1280&gt;=$Y1280*設定!$C$5,"△","○")))</f>
        <v/>
      </c>
      <c r="AA1280" s="15">
        <f>IF($Z1280="","",IF($Z1280="×",0,IF($Z1280="○",ROUNDDOWN($E1280*設定!$C$4,0),ROUNDDOWN($E1280*ROUND((9*$Y1280-9*$E1280)/(10*$E1280),4),0))))</f>
        <v/>
      </c>
      <c r="AB1280" s="13" t="n"/>
      <c r="AC1280" s="15">
        <f>IF($B1280="","",IF($AB1280&lt;&gt;"",$AB1280,IF($AA1280="","",IF($AA1280&lt;=設定!$C$3,0,$AA1280))))</f>
        <v/>
      </c>
      <c r="AD1280" s="14">
        <f>IF($B1280="","",IF(AND($AE1280&lt;&gt;"",$AG1280="",$AJ1280=""),"保留中",IF($AJ1280&lt;&gt;"",IF(N($AC1280)&gt;0,"支給済","不支給"),IF($AC1280="","要確認",IF($AC1280=0,"不支給","未処理")))))</f>
        <v/>
      </c>
      <c r="AE1280" s="12" t="n"/>
      <c r="AF1280" s="11" t="n"/>
      <c r="AG1280" s="11" t="n"/>
      <c r="AH1280" s="11" t="n"/>
      <c r="AI1280" s="14">
        <f>IF(AND($AD1280="保留中",$AF1280&lt;&gt;""),TODAY()-$AF1280,"")</f>
        <v/>
      </c>
      <c r="AJ1280" s="12" t="n"/>
      <c r="AK1280" s="14">
        <f>IF($B1280="","",IF($AO1280="","対象年月が未入力／","")&amp;IF($B1280="","",IF($AN1280="","職員マスタに未登録の職員番号／",IF($Y1280="","標準報酬月額が未登録／","")&amp;IF(AND($AO1280&lt;&gt;"",OR(AND(INDEX(職員マスタ!$G$6:$G$405,$AN1280)&lt;&gt;"",INDEX(職員マスタ!$G$6:$G$405,$AN1280)&gt;EOMONTH($AO1280,0)),AND(INDEX(職員マスタ!$H$6:$H$405,$AN1280)&lt;&gt;"",INDEX(職員マスタ!$H$6:$H$405,$AN1280)&lt;$AO1280))),"対象月が時短期間外／","")&amp;IF(AND(INDEX(職員マスタ!$F$6:$F$405,$AN1280)&lt;&gt;"",$AO1280&lt;&gt;"",INDEX(職員マスタ!$F$6:$F$405,$AN1280)&lt;$AO1280),"対象月に子が2歳到達済／","")&amp;IF(AND($H1280&lt;&gt;"",INDEX(職員マスタ!$B$6:$B$405,$AN1280)&lt;&gt;"",SUBSTITUTE(SUBSTITUTE($H1280," ","")," ","")&lt;&gt;SUBSTITUTE(SUBSTITUTE(INDEX(職員マスタ!$B$6:$B$405,$AN1280)," ","")," ","")),"氏名がマスタと相違／","")&amp;IF(AND($Q1280&lt;&gt;"",INDEX(職員マスタ!$E$6:$E$405,$AN1280)&lt;&gt;"",$Q1280&lt;&gt;INDEX(職員マスタ!$E$6:$E$405,$AN1280)),"子の生年月日がマスタと相違／","")&amp;IF(AND($L1280&lt;&gt;"",INDEX(職員マスタ!$G$6:$G$405,$AN1280)&lt;&gt;"",$L1280&lt;&gt;INDEX(職員マスタ!$G$6:$G$405,$AN1280)),"時短開始日がマスタと相違／","")&amp;IF(AND($M1280&lt;&gt;"",INDEX(職員マスタ!$H$6:$H$405,$AN1280)&lt;&gt;"",$M1280&lt;&gt;INDEX(職員マスタ!$H$6:$H$405,$AN1280)),"時短終了日がマスタと相違／","")))&amp;IF(AND($B1280&lt;&gt;"",$E1280=""),"報酬額が未入力／","")&amp;IF(N($U1280)&gt;0,"申請書に入力エラーが残っています／","")&amp;IF(AND($B1280&lt;&gt;"",$AO1280&lt;&gt;""),IF(COUNTIFS($B$6:$B$3005,$B1280,$C$6:$C$3005,$C1280,$D$6:$D$3005,$D1280)&gt;1,"同じ月の請求が重複しています／",""),"")&amp;IF(AND(N($E1280)&gt;0,$Z1280&lt;&gt;"",$Z1280&lt;&gt;"×",$AC1280=0,$AB1280=""),"計算額が下限以下のため不支給／",""))</f>
        <v/>
      </c>
      <c r="AL1280" s="12" t="n"/>
      <c r="AM1280" s="14">
        <f>IF($AD1280="保留中",COUNTIF($AD$6:$AD1280,"保留中"),"")</f>
        <v/>
      </c>
      <c r="AN1280" s="14">
        <f>IF($AO1280="","",IF(SUMPRODUCT(MAX((職員マスタ!$A$6:$A$405=$B1280)*(((職員マスタ!$G$6:$G$405="")+(職員マスタ!$G$6:$G$405&lt;=EOMONTH($AO1280,0)))&gt;0)*(((職員マスタ!$H$6:$H$405="")+(職員マスタ!$H$6:$H$405&gt;=$AO1280))&gt;0)*(ROW(職員マスタ!$A$6:$A$405)-5)))&gt;0,SUMPRODUCT(MAX((職員マスタ!$A$6:$A$405=$B1280)*(((職員マスタ!$G$6:$G$405="")+(職員マスタ!$G$6:$G$405&lt;=EOMONTH($AO1280,0)))&gt;0)*(((職員マスタ!$H$6:$H$405="")+(職員マスタ!$H$6:$H$405&gt;=$AO1280))&gt;0)*(ROW(職員マスタ!$A$6:$A$405)-5))),IFERROR(MATCH($B1280,職員マスタ!$A$6:$A$405,0),"")))</f>
        <v/>
      </c>
      <c r="AO1280" s="16">
        <f>IF(OR($B1280="",$C1280="",$D1280=""),"",DATE($C1280+2018,$D1280,1))</f>
        <v/>
      </c>
    </row>
    <row r="1281">
      <c r="A1281" s="11" t="n"/>
      <c r="B1281" s="12" t="n"/>
      <c r="C1281" s="12" t="n"/>
      <c r="D1281" s="12" t="n"/>
      <c r="E1281" s="13" t="n"/>
      <c r="F1281" s="12" t="n"/>
      <c r="G1281" s="13" t="n"/>
      <c r="H1281" s="12" t="n"/>
      <c r="I1281" s="12" t="n"/>
      <c r="J1281" s="12" t="n"/>
      <c r="K1281" s="12" t="n"/>
      <c r="L1281" s="11" t="n"/>
      <c r="M1281" s="11" t="n"/>
      <c r="N1281" s="11" t="n"/>
      <c r="O1281" s="11" t="n"/>
      <c r="P1281" s="12" t="n"/>
      <c r="Q1281" s="11" t="n"/>
      <c r="R1281" s="12" t="n"/>
      <c r="S1281" s="11" t="n"/>
      <c r="T1281" s="12" t="n"/>
      <c r="U1281" s="12" t="n"/>
      <c r="V1281" s="14">
        <f>IF($AN1281="",IF($B1281="","",$H1281),IF(INDEX(職員マスタ!$B$6:$B$405,$AN1281)="",$H1281,INDEX(職員マスタ!$B$6:$B$405,$AN1281)))</f>
        <v/>
      </c>
      <c r="W1281" s="14">
        <f>IF($AN1281="",IF($B1281="","",$R1281),IF(INDEX(職員マスタ!$C$6:$C$405,$AN1281)="",$R1281,INDEX(職員マスタ!$C$6:$C$405,$AN1281)))</f>
        <v/>
      </c>
      <c r="X1281" s="14">
        <f>IF($AO1281="","","R"&amp;$C1281&amp;"."&amp;$D1281)</f>
        <v/>
      </c>
      <c r="Y1281" s="15">
        <f>IF($AN1281="","",IF(INDEX(職員マスタ!$K$6:$K$405,$AN1281)="","",INDEX(職員マスタ!$K$6:$K$405,$AN1281)))</f>
        <v/>
      </c>
      <c r="Z1281" s="14">
        <f>IF(OR($E1281="",$Y1281=""),"",IF($E1281&gt;=$Y1281,"×",IF($E1281&gt;=$Y1281*設定!$C$5,"△","○")))</f>
        <v/>
      </c>
      <c r="AA1281" s="15">
        <f>IF($Z1281="","",IF($Z1281="×",0,IF($Z1281="○",ROUNDDOWN($E1281*設定!$C$4,0),ROUNDDOWN($E1281*ROUND((9*$Y1281-9*$E1281)/(10*$E1281),4),0))))</f>
        <v/>
      </c>
      <c r="AB1281" s="13" t="n"/>
      <c r="AC1281" s="15">
        <f>IF($B1281="","",IF($AB1281&lt;&gt;"",$AB1281,IF($AA1281="","",IF($AA1281&lt;=設定!$C$3,0,$AA1281))))</f>
        <v/>
      </c>
      <c r="AD1281" s="14">
        <f>IF($B1281="","",IF(AND($AE1281&lt;&gt;"",$AG1281="",$AJ1281=""),"保留中",IF($AJ1281&lt;&gt;"",IF(N($AC1281)&gt;0,"支給済","不支給"),IF($AC1281="","要確認",IF($AC1281=0,"不支給","未処理")))))</f>
        <v/>
      </c>
      <c r="AE1281" s="12" t="n"/>
      <c r="AF1281" s="11" t="n"/>
      <c r="AG1281" s="11" t="n"/>
      <c r="AH1281" s="11" t="n"/>
      <c r="AI1281" s="14">
        <f>IF(AND($AD1281="保留中",$AF1281&lt;&gt;""),TODAY()-$AF1281,"")</f>
        <v/>
      </c>
      <c r="AJ1281" s="12" t="n"/>
      <c r="AK1281" s="14">
        <f>IF($B1281="","",IF($AO1281="","対象年月が未入力／","")&amp;IF($B1281="","",IF($AN1281="","職員マスタに未登録の職員番号／",IF($Y1281="","標準報酬月額が未登録／","")&amp;IF(AND($AO1281&lt;&gt;"",OR(AND(INDEX(職員マスタ!$G$6:$G$405,$AN1281)&lt;&gt;"",INDEX(職員マスタ!$G$6:$G$405,$AN1281)&gt;EOMONTH($AO1281,0)),AND(INDEX(職員マスタ!$H$6:$H$405,$AN1281)&lt;&gt;"",INDEX(職員マスタ!$H$6:$H$405,$AN1281)&lt;$AO1281))),"対象月が時短期間外／","")&amp;IF(AND(INDEX(職員マスタ!$F$6:$F$405,$AN1281)&lt;&gt;"",$AO1281&lt;&gt;"",INDEX(職員マスタ!$F$6:$F$405,$AN1281)&lt;$AO1281),"対象月に子が2歳到達済／","")&amp;IF(AND($H1281&lt;&gt;"",INDEX(職員マスタ!$B$6:$B$405,$AN1281)&lt;&gt;"",SUBSTITUTE(SUBSTITUTE($H1281," ","")," ","")&lt;&gt;SUBSTITUTE(SUBSTITUTE(INDEX(職員マスタ!$B$6:$B$405,$AN1281)," ","")," ","")),"氏名がマスタと相違／","")&amp;IF(AND($Q1281&lt;&gt;"",INDEX(職員マスタ!$E$6:$E$405,$AN1281)&lt;&gt;"",$Q1281&lt;&gt;INDEX(職員マスタ!$E$6:$E$405,$AN1281)),"子の生年月日がマスタと相違／","")&amp;IF(AND($L1281&lt;&gt;"",INDEX(職員マスタ!$G$6:$G$405,$AN1281)&lt;&gt;"",$L1281&lt;&gt;INDEX(職員マスタ!$G$6:$G$405,$AN1281)),"時短開始日がマスタと相違／","")&amp;IF(AND($M1281&lt;&gt;"",INDEX(職員マスタ!$H$6:$H$405,$AN1281)&lt;&gt;"",$M1281&lt;&gt;INDEX(職員マスタ!$H$6:$H$405,$AN1281)),"時短終了日がマスタと相違／","")))&amp;IF(AND($B1281&lt;&gt;"",$E1281=""),"報酬額が未入力／","")&amp;IF(N($U1281)&gt;0,"申請書に入力エラーが残っています／","")&amp;IF(AND($B1281&lt;&gt;"",$AO1281&lt;&gt;""),IF(COUNTIFS($B$6:$B$3005,$B1281,$C$6:$C$3005,$C1281,$D$6:$D$3005,$D1281)&gt;1,"同じ月の請求が重複しています／",""),"")&amp;IF(AND(N($E1281)&gt;0,$Z1281&lt;&gt;"",$Z1281&lt;&gt;"×",$AC1281=0,$AB1281=""),"計算額が下限以下のため不支給／",""))</f>
        <v/>
      </c>
      <c r="AL1281" s="12" t="n"/>
      <c r="AM1281" s="14">
        <f>IF($AD1281="保留中",COUNTIF($AD$6:$AD1281,"保留中"),"")</f>
        <v/>
      </c>
      <c r="AN1281" s="14">
        <f>IF($AO1281="","",IF(SUMPRODUCT(MAX((職員マスタ!$A$6:$A$405=$B1281)*(((職員マスタ!$G$6:$G$405="")+(職員マスタ!$G$6:$G$405&lt;=EOMONTH($AO1281,0)))&gt;0)*(((職員マスタ!$H$6:$H$405="")+(職員マスタ!$H$6:$H$405&gt;=$AO1281))&gt;0)*(ROW(職員マスタ!$A$6:$A$405)-5)))&gt;0,SUMPRODUCT(MAX((職員マスタ!$A$6:$A$405=$B1281)*(((職員マスタ!$G$6:$G$405="")+(職員マスタ!$G$6:$G$405&lt;=EOMONTH($AO1281,0)))&gt;0)*(((職員マスタ!$H$6:$H$405="")+(職員マスタ!$H$6:$H$405&gt;=$AO1281))&gt;0)*(ROW(職員マスタ!$A$6:$A$405)-5))),IFERROR(MATCH($B1281,職員マスタ!$A$6:$A$405,0),"")))</f>
        <v/>
      </c>
      <c r="AO1281" s="16">
        <f>IF(OR($B1281="",$C1281="",$D1281=""),"",DATE($C1281+2018,$D1281,1))</f>
        <v/>
      </c>
    </row>
    <row r="1282">
      <c r="A1282" s="11" t="n"/>
      <c r="B1282" s="12" t="n"/>
      <c r="C1282" s="12" t="n"/>
      <c r="D1282" s="12" t="n"/>
      <c r="E1282" s="13" t="n"/>
      <c r="F1282" s="12" t="n"/>
      <c r="G1282" s="13" t="n"/>
      <c r="H1282" s="12" t="n"/>
      <c r="I1282" s="12" t="n"/>
      <c r="J1282" s="12" t="n"/>
      <c r="K1282" s="12" t="n"/>
      <c r="L1282" s="11" t="n"/>
      <c r="M1282" s="11" t="n"/>
      <c r="N1282" s="11" t="n"/>
      <c r="O1282" s="11" t="n"/>
      <c r="P1282" s="12" t="n"/>
      <c r="Q1282" s="11" t="n"/>
      <c r="R1282" s="12" t="n"/>
      <c r="S1282" s="11" t="n"/>
      <c r="T1282" s="12" t="n"/>
      <c r="U1282" s="12" t="n"/>
      <c r="V1282" s="14">
        <f>IF($AN1282="",IF($B1282="","",$H1282),IF(INDEX(職員マスタ!$B$6:$B$405,$AN1282)="",$H1282,INDEX(職員マスタ!$B$6:$B$405,$AN1282)))</f>
        <v/>
      </c>
      <c r="W1282" s="14">
        <f>IF($AN1282="",IF($B1282="","",$R1282),IF(INDEX(職員マスタ!$C$6:$C$405,$AN1282)="",$R1282,INDEX(職員マスタ!$C$6:$C$405,$AN1282)))</f>
        <v/>
      </c>
      <c r="X1282" s="14">
        <f>IF($AO1282="","","R"&amp;$C1282&amp;"."&amp;$D1282)</f>
        <v/>
      </c>
      <c r="Y1282" s="15">
        <f>IF($AN1282="","",IF(INDEX(職員マスタ!$K$6:$K$405,$AN1282)="","",INDEX(職員マスタ!$K$6:$K$405,$AN1282)))</f>
        <v/>
      </c>
      <c r="Z1282" s="14">
        <f>IF(OR($E1282="",$Y1282=""),"",IF($E1282&gt;=$Y1282,"×",IF($E1282&gt;=$Y1282*設定!$C$5,"△","○")))</f>
        <v/>
      </c>
      <c r="AA1282" s="15">
        <f>IF($Z1282="","",IF($Z1282="×",0,IF($Z1282="○",ROUNDDOWN($E1282*設定!$C$4,0),ROUNDDOWN($E1282*ROUND((9*$Y1282-9*$E1282)/(10*$E1282),4),0))))</f>
        <v/>
      </c>
      <c r="AB1282" s="13" t="n"/>
      <c r="AC1282" s="15">
        <f>IF($B1282="","",IF($AB1282&lt;&gt;"",$AB1282,IF($AA1282="","",IF($AA1282&lt;=設定!$C$3,0,$AA1282))))</f>
        <v/>
      </c>
      <c r="AD1282" s="14">
        <f>IF($B1282="","",IF(AND($AE1282&lt;&gt;"",$AG1282="",$AJ1282=""),"保留中",IF($AJ1282&lt;&gt;"",IF(N($AC1282)&gt;0,"支給済","不支給"),IF($AC1282="","要確認",IF($AC1282=0,"不支給","未処理")))))</f>
        <v/>
      </c>
      <c r="AE1282" s="12" t="n"/>
      <c r="AF1282" s="11" t="n"/>
      <c r="AG1282" s="11" t="n"/>
      <c r="AH1282" s="11" t="n"/>
      <c r="AI1282" s="14">
        <f>IF(AND($AD1282="保留中",$AF1282&lt;&gt;""),TODAY()-$AF1282,"")</f>
        <v/>
      </c>
      <c r="AJ1282" s="12" t="n"/>
      <c r="AK1282" s="14">
        <f>IF($B1282="","",IF($AO1282="","対象年月が未入力／","")&amp;IF($B1282="","",IF($AN1282="","職員マスタに未登録の職員番号／",IF($Y1282="","標準報酬月額が未登録／","")&amp;IF(AND($AO1282&lt;&gt;"",OR(AND(INDEX(職員マスタ!$G$6:$G$405,$AN1282)&lt;&gt;"",INDEX(職員マスタ!$G$6:$G$405,$AN1282)&gt;EOMONTH($AO1282,0)),AND(INDEX(職員マスタ!$H$6:$H$405,$AN1282)&lt;&gt;"",INDEX(職員マスタ!$H$6:$H$405,$AN1282)&lt;$AO1282))),"対象月が時短期間外／","")&amp;IF(AND(INDEX(職員マスタ!$F$6:$F$405,$AN1282)&lt;&gt;"",$AO1282&lt;&gt;"",INDEX(職員マスタ!$F$6:$F$405,$AN1282)&lt;$AO1282),"対象月に子が2歳到達済／","")&amp;IF(AND($H1282&lt;&gt;"",INDEX(職員マスタ!$B$6:$B$405,$AN1282)&lt;&gt;"",SUBSTITUTE(SUBSTITUTE($H1282," ","")," ","")&lt;&gt;SUBSTITUTE(SUBSTITUTE(INDEX(職員マスタ!$B$6:$B$405,$AN1282)," ","")," ","")),"氏名がマスタと相違／","")&amp;IF(AND($Q1282&lt;&gt;"",INDEX(職員マスタ!$E$6:$E$405,$AN1282)&lt;&gt;"",$Q1282&lt;&gt;INDEX(職員マスタ!$E$6:$E$405,$AN1282)),"子の生年月日がマスタと相違／","")&amp;IF(AND($L1282&lt;&gt;"",INDEX(職員マスタ!$G$6:$G$405,$AN1282)&lt;&gt;"",$L1282&lt;&gt;INDEX(職員マスタ!$G$6:$G$405,$AN1282)),"時短開始日がマスタと相違／","")&amp;IF(AND($M1282&lt;&gt;"",INDEX(職員マスタ!$H$6:$H$405,$AN1282)&lt;&gt;"",$M1282&lt;&gt;INDEX(職員マスタ!$H$6:$H$405,$AN1282)),"時短終了日がマスタと相違／","")))&amp;IF(AND($B1282&lt;&gt;"",$E1282=""),"報酬額が未入力／","")&amp;IF(N($U1282)&gt;0,"申請書に入力エラーが残っています／","")&amp;IF(AND($B1282&lt;&gt;"",$AO1282&lt;&gt;""),IF(COUNTIFS($B$6:$B$3005,$B1282,$C$6:$C$3005,$C1282,$D$6:$D$3005,$D1282)&gt;1,"同じ月の請求が重複しています／",""),"")&amp;IF(AND(N($E1282)&gt;0,$Z1282&lt;&gt;"",$Z1282&lt;&gt;"×",$AC1282=0,$AB1282=""),"計算額が下限以下のため不支給／",""))</f>
        <v/>
      </c>
      <c r="AL1282" s="12" t="n"/>
      <c r="AM1282" s="14">
        <f>IF($AD1282="保留中",COUNTIF($AD$6:$AD1282,"保留中"),"")</f>
        <v/>
      </c>
      <c r="AN1282" s="14">
        <f>IF($AO1282="","",IF(SUMPRODUCT(MAX((職員マスタ!$A$6:$A$405=$B1282)*(((職員マスタ!$G$6:$G$405="")+(職員マスタ!$G$6:$G$405&lt;=EOMONTH($AO1282,0)))&gt;0)*(((職員マスタ!$H$6:$H$405="")+(職員マスタ!$H$6:$H$405&gt;=$AO1282))&gt;0)*(ROW(職員マスタ!$A$6:$A$405)-5)))&gt;0,SUMPRODUCT(MAX((職員マスタ!$A$6:$A$405=$B1282)*(((職員マスタ!$G$6:$G$405="")+(職員マスタ!$G$6:$G$405&lt;=EOMONTH($AO1282,0)))&gt;0)*(((職員マスタ!$H$6:$H$405="")+(職員マスタ!$H$6:$H$405&gt;=$AO1282))&gt;0)*(ROW(職員マスタ!$A$6:$A$405)-5))),IFERROR(MATCH($B1282,職員マスタ!$A$6:$A$405,0),"")))</f>
        <v/>
      </c>
      <c r="AO1282" s="16">
        <f>IF(OR($B1282="",$C1282="",$D1282=""),"",DATE($C1282+2018,$D1282,1))</f>
        <v/>
      </c>
    </row>
    <row r="1283">
      <c r="A1283" s="11" t="n"/>
      <c r="B1283" s="12" t="n"/>
      <c r="C1283" s="12" t="n"/>
      <c r="D1283" s="12" t="n"/>
      <c r="E1283" s="13" t="n"/>
      <c r="F1283" s="12" t="n"/>
      <c r="G1283" s="13" t="n"/>
      <c r="H1283" s="12" t="n"/>
      <c r="I1283" s="12" t="n"/>
      <c r="J1283" s="12" t="n"/>
      <c r="K1283" s="12" t="n"/>
      <c r="L1283" s="11" t="n"/>
      <c r="M1283" s="11" t="n"/>
      <c r="N1283" s="11" t="n"/>
      <c r="O1283" s="11" t="n"/>
      <c r="P1283" s="12" t="n"/>
      <c r="Q1283" s="11" t="n"/>
      <c r="R1283" s="12" t="n"/>
      <c r="S1283" s="11" t="n"/>
      <c r="T1283" s="12" t="n"/>
      <c r="U1283" s="12" t="n"/>
      <c r="V1283" s="14">
        <f>IF($AN1283="",IF($B1283="","",$H1283),IF(INDEX(職員マスタ!$B$6:$B$405,$AN1283)="",$H1283,INDEX(職員マスタ!$B$6:$B$405,$AN1283)))</f>
        <v/>
      </c>
      <c r="W1283" s="14">
        <f>IF($AN1283="",IF($B1283="","",$R1283),IF(INDEX(職員マスタ!$C$6:$C$405,$AN1283)="",$R1283,INDEX(職員マスタ!$C$6:$C$405,$AN1283)))</f>
        <v/>
      </c>
      <c r="X1283" s="14">
        <f>IF($AO1283="","","R"&amp;$C1283&amp;"."&amp;$D1283)</f>
        <v/>
      </c>
      <c r="Y1283" s="15">
        <f>IF($AN1283="","",IF(INDEX(職員マスタ!$K$6:$K$405,$AN1283)="","",INDEX(職員マスタ!$K$6:$K$405,$AN1283)))</f>
        <v/>
      </c>
      <c r="Z1283" s="14">
        <f>IF(OR($E1283="",$Y1283=""),"",IF($E1283&gt;=$Y1283,"×",IF($E1283&gt;=$Y1283*設定!$C$5,"△","○")))</f>
        <v/>
      </c>
      <c r="AA1283" s="15">
        <f>IF($Z1283="","",IF($Z1283="×",0,IF($Z1283="○",ROUNDDOWN($E1283*設定!$C$4,0),ROUNDDOWN($E1283*ROUND((9*$Y1283-9*$E1283)/(10*$E1283),4),0))))</f>
        <v/>
      </c>
      <c r="AB1283" s="13" t="n"/>
      <c r="AC1283" s="15">
        <f>IF($B1283="","",IF($AB1283&lt;&gt;"",$AB1283,IF($AA1283="","",IF($AA1283&lt;=設定!$C$3,0,$AA1283))))</f>
        <v/>
      </c>
      <c r="AD1283" s="14">
        <f>IF($B1283="","",IF(AND($AE1283&lt;&gt;"",$AG1283="",$AJ1283=""),"保留中",IF($AJ1283&lt;&gt;"",IF(N($AC1283)&gt;0,"支給済","不支給"),IF($AC1283="","要確認",IF($AC1283=0,"不支給","未処理")))))</f>
        <v/>
      </c>
      <c r="AE1283" s="12" t="n"/>
      <c r="AF1283" s="11" t="n"/>
      <c r="AG1283" s="11" t="n"/>
      <c r="AH1283" s="11" t="n"/>
      <c r="AI1283" s="14">
        <f>IF(AND($AD1283="保留中",$AF1283&lt;&gt;""),TODAY()-$AF1283,"")</f>
        <v/>
      </c>
      <c r="AJ1283" s="12" t="n"/>
      <c r="AK1283" s="14">
        <f>IF($B1283="","",IF($AO1283="","対象年月が未入力／","")&amp;IF($B1283="","",IF($AN1283="","職員マスタに未登録の職員番号／",IF($Y1283="","標準報酬月額が未登録／","")&amp;IF(AND($AO1283&lt;&gt;"",OR(AND(INDEX(職員マスタ!$G$6:$G$405,$AN1283)&lt;&gt;"",INDEX(職員マスタ!$G$6:$G$405,$AN1283)&gt;EOMONTH($AO1283,0)),AND(INDEX(職員マスタ!$H$6:$H$405,$AN1283)&lt;&gt;"",INDEX(職員マスタ!$H$6:$H$405,$AN1283)&lt;$AO1283))),"対象月が時短期間外／","")&amp;IF(AND(INDEX(職員マスタ!$F$6:$F$405,$AN1283)&lt;&gt;"",$AO1283&lt;&gt;"",INDEX(職員マスタ!$F$6:$F$405,$AN1283)&lt;$AO1283),"対象月に子が2歳到達済／","")&amp;IF(AND($H1283&lt;&gt;"",INDEX(職員マスタ!$B$6:$B$405,$AN1283)&lt;&gt;"",SUBSTITUTE(SUBSTITUTE($H1283," ","")," ","")&lt;&gt;SUBSTITUTE(SUBSTITUTE(INDEX(職員マスタ!$B$6:$B$405,$AN1283)," ","")," ","")),"氏名がマスタと相違／","")&amp;IF(AND($Q1283&lt;&gt;"",INDEX(職員マスタ!$E$6:$E$405,$AN1283)&lt;&gt;"",$Q1283&lt;&gt;INDEX(職員マスタ!$E$6:$E$405,$AN1283)),"子の生年月日がマスタと相違／","")&amp;IF(AND($L1283&lt;&gt;"",INDEX(職員マスタ!$G$6:$G$405,$AN1283)&lt;&gt;"",$L1283&lt;&gt;INDEX(職員マスタ!$G$6:$G$405,$AN1283)),"時短開始日がマスタと相違／","")&amp;IF(AND($M1283&lt;&gt;"",INDEX(職員マスタ!$H$6:$H$405,$AN1283)&lt;&gt;"",$M1283&lt;&gt;INDEX(職員マスタ!$H$6:$H$405,$AN1283)),"時短終了日がマスタと相違／","")))&amp;IF(AND($B1283&lt;&gt;"",$E1283=""),"報酬額が未入力／","")&amp;IF(N($U1283)&gt;0,"申請書に入力エラーが残っています／","")&amp;IF(AND($B1283&lt;&gt;"",$AO1283&lt;&gt;""),IF(COUNTIFS($B$6:$B$3005,$B1283,$C$6:$C$3005,$C1283,$D$6:$D$3005,$D1283)&gt;1,"同じ月の請求が重複しています／",""),"")&amp;IF(AND(N($E1283)&gt;0,$Z1283&lt;&gt;"",$Z1283&lt;&gt;"×",$AC1283=0,$AB1283=""),"計算額が下限以下のため不支給／",""))</f>
        <v/>
      </c>
      <c r="AL1283" s="12" t="n"/>
      <c r="AM1283" s="14">
        <f>IF($AD1283="保留中",COUNTIF($AD$6:$AD1283,"保留中"),"")</f>
        <v/>
      </c>
      <c r="AN1283" s="14">
        <f>IF($AO1283="","",IF(SUMPRODUCT(MAX((職員マスタ!$A$6:$A$405=$B1283)*(((職員マスタ!$G$6:$G$405="")+(職員マスタ!$G$6:$G$405&lt;=EOMONTH($AO1283,0)))&gt;0)*(((職員マスタ!$H$6:$H$405="")+(職員マスタ!$H$6:$H$405&gt;=$AO1283))&gt;0)*(ROW(職員マスタ!$A$6:$A$405)-5)))&gt;0,SUMPRODUCT(MAX((職員マスタ!$A$6:$A$405=$B1283)*(((職員マスタ!$G$6:$G$405="")+(職員マスタ!$G$6:$G$405&lt;=EOMONTH($AO1283,0)))&gt;0)*(((職員マスタ!$H$6:$H$405="")+(職員マスタ!$H$6:$H$405&gt;=$AO1283))&gt;0)*(ROW(職員マスタ!$A$6:$A$405)-5))),IFERROR(MATCH($B1283,職員マスタ!$A$6:$A$405,0),"")))</f>
        <v/>
      </c>
      <c r="AO1283" s="16">
        <f>IF(OR($B1283="",$C1283="",$D1283=""),"",DATE($C1283+2018,$D1283,1))</f>
        <v/>
      </c>
    </row>
    <row r="1284">
      <c r="A1284" s="11" t="n"/>
      <c r="B1284" s="12" t="n"/>
      <c r="C1284" s="12" t="n"/>
      <c r="D1284" s="12" t="n"/>
      <c r="E1284" s="13" t="n"/>
      <c r="F1284" s="12" t="n"/>
      <c r="G1284" s="13" t="n"/>
      <c r="H1284" s="12" t="n"/>
      <c r="I1284" s="12" t="n"/>
      <c r="J1284" s="12" t="n"/>
      <c r="K1284" s="12" t="n"/>
      <c r="L1284" s="11" t="n"/>
      <c r="M1284" s="11" t="n"/>
      <c r="N1284" s="11" t="n"/>
      <c r="O1284" s="11" t="n"/>
      <c r="P1284" s="12" t="n"/>
      <c r="Q1284" s="11" t="n"/>
      <c r="R1284" s="12" t="n"/>
      <c r="S1284" s="11" t="n"/>
      <c r="T1284" s="12" t="n"/>
      <c r="U1284" s="12" t="n"/>
      <c r="V1284" s="14">
        <f>IF($AN1284="",IF($B1284="","",$H1284),IF(INDEX(職員マスタ!$B$6:$B$405,$AN1284)="",$H1284,INDEX(職員マスタ!$B$6:$B$405,$AN1284)))</f>
        <v/>
      </c>
      <c r="W1284" s="14">
        <f>IF($AN1284="",IF($B1284="","",$R1284),IF(INDEX(職員マスタ!$C$6:$C$405,$AN1284)="",$R1284,INDEX(職員マスタ!$C$6:$C$405,$AN1284)))</f>
        <v/>
      </c>
      <c r="X1284" s="14">
        <f>IF($AO1284="","","R"&amp;$C1284&amp;"."&amp;$D1284)</f>
        <v/>
      </c>
      <c r="Y1284" s="15">
        <f>IF($AN1284="","",IF(INDEX(職員マスタ!$K$6:$K$405,$AN1284)="","",INDEX(職員マスタ!$K$6:$K$405,$AN1284)))</f>
        <v/>
      </c>
      <c r="Z1284" s="14">
        <f>IF(OR($E1284="",$Y1284=""),"",IF($E1284&gt;=$Y1284,"×",IF($E1284&gt;=$Y1284*設定!$C$5,"△","○")))</f>
        <v/>
      </c>
      <c r="AA1284" s="15">
        <f>IF($Z1284="","",IF($Z1284="×",0,IF($Z1284="○",ROUNDDOWN($E1284*設定!$C$4,0),ROUNDDOWN($E1284*ROUND((9*$Y1284-9*$E1284)/(10*$E1284),4),0))))</f>
        <v/>
      </c>
      <c r="AB1284" s="13" t="n"/>
      <c r="AC1284" s="15">
        <f>IF($B1284="","",IF($AB1284&lt;&gt;"",$AB1284,IF($AA1284="","",IF($AA1284&lt;=設定!$C$3,0,$AA1284))))</f>
        <v/>
      </c>
      <c r="AD1284" s="14">
        <f>IF($B1284="","",IF(AND($AE1284&lt;&gt;"",$AG1284="",$AJ1284=""),"保留中",IF($AJ1284&lt;&gt;"",IF(N($AC1284)&gt;0,"支給済","不支給"),IF($AC1284="","要確認",IF($AC1284=0,"不支給","未処理")))))</f>
        <v/>
      </c>
      <c r="AE1284" s="12" t="n"/>
      <c r="AF1284" s="11" t="n"/>
      <c r="AG1284" s="11" t="n"/>
      <c r="AH1284" s="11" t="n"/>
      <c r="AI1284" s="14">
        <f>IF(AND($AD1284="保留中",$AF1284&lt;&gt;""),TODAY()-$AF1284,"")</f>
        <v/>
      </c>
      <c r="AJ1284" s="12" t="n"/>
      <c r="AK1284" s="14">
        <f>IF($B1284="","",IF($AO1284="","対象年月が未入力／","")&amp;IF($B1284="","",IF($AN1284="","職員マスタに未登録の職員番号／",IF($Y1284="","標準報酬月額が未登録／","")&amp;IF(AND($AO1284&lt;&gt;"",OR(AND(INDEX(職員マスタ!$G$6:$G$405,$AN1284)&lt;&gt;"",INDEX(職員マスタ!$G$6:$G$405,$AN1284)&gt;EOMONTH($AO1284,0)),AND(INDEX(職員マスタ!$H$6:$H$405,$AN1284)&lt;&gt;"",INDEX(職員マスタ!$H$6:$H$405,$AN1284)&lt;$AO1284))),"対象月が時短期間外／","")&amp;IF(AND(INDEX(職員マスタ!$F$6:$F$405,$AN1284)&lt;&gt;"",$AO1284&lt;&gt;"",INDEX(職員マスタ!$F$6:$F$405,$AN1284)&lt;$AO1284),"対象月に子が2歳到達済／","")&amp;IF(AND($H1284&lt;&gt;"",INDEX(職員マスタ!$B$6:$B$405,$AN1284)&lt;&gt;"",SUBSTITUTE(SUBSTITUTE($H1284," ","")," ","")&lt;&gt;SUBSTITUTE(SUBSTITUTE(INDEX(職員マスタ!$B$6:$B$405,$AN1284)," ","")," ","")),"氏名がマスタと相違／","")&amp;IF(AND($Q1284&lt;&gt;"",INDEX(職員マスタ!$E$6:$E$405,$AN1284)&lt;&gt;"",$Q1284&lt;&gt;INDEX(職員マスタ!$E$6:$E$405,$AN1284)),"子の生年月日がマスタと相違／","")&amp;IF(AND($L1284&lt;&gt;"",INDEX(職員マスタ!$G$6:$G$405,$AN1284)&lt;&gt;"",$L1284&lt;&gt;INDEX(職員マスタ!$G$6:$G$405,$AN1284)),"時短開始日がマスタと相違／","")&amp;IF(AND($M1284&lt;&gt;"",INDEX(職員マスタ!$H$6:$H$405,$AN1284)&lt;&gt;"",$M1284&lt;&gt;INDEX(職員マスタ!$H$6:$H$405,$AN1284)),"時短終了日がマスタと相違／","")))&amp;IF(AND($B1284&lt;&gt;"",$E1284=""),"報酬額が未入力／","")&amp;IF(N($U1284)&gt;0,"申請書に入力エラーが残っています／","")&amp;IF(AND($B1284&lt;&gt;"",$AO1284&lt;&gt;""),IF(COUNTIFS($B$6:$B$3005,$B1284,$C$6:$C$3005,$C1284,$D$6:$D$3005,$D1284)&gt;1,"同じ月の請求が重複しています／",""),"")&amp;IF(AND(N($E1284)&gt;0,$Z1284&lt;&gt;"",$Z1284&lt;&gt;"×",$AC1284=0,$AB1284=""),"計算額が下限以下のため不支給／",""))</f>
        <v/>
      </c>
      <c r="AL1284" s="12" t="n"/>
      <c r="AM1284" s="14">
        <f>IF($AD1284="保留中",COUNTIF($AD$6:$AD1284,"保留中"),"")</f>
        <v/>
      </c>
      <c r="AN1284" s="14">
        <f>IF($AO1284="","",IF(SUMPRODUCT(MAX((職員マスタ!$A$6:$A$405=$B1284)*(((職員マスタ!$G$6:$G$405="")+(職員マスタ!$G$6:$G$405&lt;=EOMONTH($AO1284,0)))&gt;0)*(((職員マスタ!$H$6:$H$405="")+(職員マスタ!$H$6:$H$405&gt;=$AO1284))&gt;0)*(ROW(職員マスタ!$A$6:$A$405)-5)))&gt;0,SUMPRODUCT(MAX((職員マスタ!$A$6:$A$405=$B1284)*(((職員マスタ!$G$6:$G$405="")+(職員マスタ!$G$6:$G$405&lt;=EOMONTH($AO1284,0)))&gt;0)*(((職員マスタ!$H$6:$H$405="")+(職員マスタ!$H$6:$H$405&gt;=$AO1284))&gt;0)*(ROW(職員マスタ!$A$6:$A$405)-5))),IFERROR(MATCH($B1284,職員マスタ!$A$6:$A$405,0),"")))</f>
        <v/>
      </c>
      <c r="AO1284" s="16">
        <f>IF(OR($B1284="",$C1284="",$D1284=""),"",DATE($C1284+2018,$D1284,1))</f>
        <v/>
      </c>
    </row>
    <row r="1285">
      <c r="A1285" s="11" t="n"/>
      <c r="B1285" s="12" t="n"/>
      <c r="C1285" s="12" t="n"/>
      <c r="D1285" s="12" t="n"/>
      <c r="E1285" s="13" t="n"/>
      <c r="F1285" s="12" t="n"/>
      <c r="G1285" s="13" t="n"/>
      <c r="H1285" s="12" t="n"/>
      <c r="I1285" s="12" t="n"/>
      <c r="J1285" s="12" t="n"/>
      <c r="K1285" s="12" t="n"/>
      <c r="L1285" s="11" t="n"/>
      <c r="M1285" s="11" t="n"/>
      <c r="N1285" s="11" t="n"/>
      <c r="O1285" s="11" t="n"/>
      <c r="P1285" s="12" t="n"/>
      <c r="Q1285" s="11" t="n"/>
      <c r="R1285" s="12" t="n"/>
      <c r="S1285" s="11" t="n"/>
      <c r="T1285" s="12" t="n"/>
      <c r="U1285" s="12" t="n"/>
      <c r="V1285" s="14">
        <f>IF($AN1285="",IF($B1285="","",$H1285),IF(INDEX(職員マスタ!$B$6:$B$405,$AN1285)="",$H1285,INDEX(職員マスタ!$B$6:$B$405,$AN1285)))</f>
        <v/>
      </c>
      <c r="W1285" s="14">
        <f>IF($AN1285="",IF($B1285="","",$R1285),IF(INDEX(職員マスタ!$C$6:$C$405,$AN1285)="",$R1285,INDEX(職員マスタ!$C$6:$C$405,$AN1285)))</f>
        <v/>
      </c>
      <c r="X1285" s="14">
        <f>IF($AO1285="","","R"&amp;$C1285&amp;"."&amp;$D1285)</f>
        <v/>
      </c>
      <c r="Y1285" s="15">
        <f>IF($AN1285="","",IF(INDEX(職員マスタ!$K$6:$K$405,$AN1285)="","",INDEX(職員マスタ!$K$6:$K$405,$AN1285)))</f>
        <v/>
      </c>
      <c r="Z1285" s="14">
        <f>IF(OR($E1285="",$Y1285=""),"",IF($E1285&gt;=$Y1285,"×",IF($E1285&gt;=$Y1285*設定!$C$5,"△","○")))</f>
        <v/>
      </c>
      <c r="AA1285" s="15">
        <f>IF($Z1285="","",IF($Z1285="×",0,IF($Z1285="○",ROUNDDOWN($E1285*設定!$C$4,0),ROUNDDOWN($E1285*ROUND((9*$Y1285-9*$E1285)/(10*$E1285),4),0))))</f>
        <v/>
      </c>
      <c r="AB1285" s="13" t="n"/>
      <c r="AC1285" s="15">
        <f>IF($B1285="","",IF($AB1285&lt;&gt;"",$AB1285,IF($AA1285="","",IF($AA1285&lt;=設定!$C$3,0,$AA1285))))</f>
        <v/>
      </c>
      <c r="AD1285" s="14">
        <f>IF($B1285="","",IF(AND($AE1285&lt;&gt;"",$AG1285="",$AJ1285=""),"保留中",IF($AJ1285&lt;&gt;"",IF(N($AC1285)&gt;0,"支給済","不支給"),IF($AC1285="","要確認",IF($AC1285=0,"不支給","未処理")))))</f>
        <v/>
      </c>
      <c r="AE1285" s="12" t="n"/>
      <c r="AF1285" s="11" t="n"/>
      <c r="AG1285" s="11" t="n"/>
      <c r="AH1285" s="11" t="n"/>
      <c r="AI1285" s="14">
        <f>IF(AND($AD1285="保留中",$AF1285&lt;&gt;""),TODAY()-$AF1285,"")</f>
        <v/>
      </c>
      <c r="AJ1285" s="12" t="n"/>
      <c r="AK1285" s="14">
        <f>IF($B1285="","",IF($AO1285="","対象年月が未入力／","")&amp;IF($B1285="","",IF($AN1285="","職員マスタに未登録の職員番号／",IF($Y1285="","標準報酬月額が未登録／","")&amp;IF(AND($AO1285&lt;&gt;"",OR(AND(INDEX(職員マスタ!$G$6:$G$405,$AN1285)&lt;&gt;"",INDEX(職員マスタ!$G$6:$G$405,$AN1285)&gt;EOMONTH($AO1285,0)),AND(INDEX(職員マスタ!$H$6:$H$405,$AN1285)&lt;&gt;"",INDEX(職員マスタ!$H$6:$H$405,$AN1285)&lt;$AO1285))),"対象月が時短期間外／","")&amp;IF(AND(INDEX(職員マスタ!$F$6:$F$405,$AN1285)&lt;&gt;"",$AO1285&lt;&gt;"",INDEX(職員マスタ!$F$6:$F$405,$AN1285)&lt;$AO1285),"対象月に子が2歳到達済／","")&amp;IF(AND($H1285&lt;&gt;"",INDEX(職員マスタ!$B$6:$B$405,$AN1285)&lt;&gt;"",SUBSTITUTE(SUBSTITUTE($H1285," ","")," ","")&lt;&gt;SUBSTITUTE(SUBSTITUTE(INDEX(職員マスタ!$B$6:$B$405,$AN1285)," ","")," ","")),"氏名がマスタと相違／","")&amp;IF(AND($Q1285&lt;&gt;"",INDEX(職員マスタ!$E$6:$E$405,$AN1285)&lt;&gt;"",$Q1285&lt;&gt;INDEX(職員マスタ!$E$6:$E$405,$AN1285)),"子の生年月日がマスタと相違／","")&amp;IF(AND($L1285&lt;&gt;"",INDEX(職員マスタ!$G$6:$G$405,$AN1285)&lt;&gt;"",$L1285&lt;&gt;INDEX(職員マスタ!$G$6:$G$405,$AN1285)),"時短開始日がマスタと相違／","")&amp;IF(AND($M1285&lt;&gt;"",INDEX(職員マスタ!$H$6:$H$405,$AN1285)&lt;&gt;"",$M1285&lt;&gt;INDEX(職員マスタ!$H$6:$H$405,$AN1285)),"時短終了日がマスタと相違／","")))&amp;IF(AND($B1285&lt;&gt;"",$E1285=""),"報酬額が未入力／","")&amp;IF(N($U1285)&gt;0,"申請書に入力エラーが残っています／","")&amp;IF(AND($B1285&lt;&gt;"",$AO1285&lt;&gt;""),IF(COUNTIFS($B$6:$B$3005,$B1285,$C$6:$C$3005,$C1285,$D$6:$D$3005,$D1285)&gt;1,"同じ月の請求が重複しています／",""),"")&amp;IF(AND(N($E1285)&gt;0,$Z1285&lt;&gt;"",$Z1285&lt;&gt;"×",$AC1285=0,$AB1285=""),"計算額が下限以下のため不支給／",""))</f>
        <v/>
      </c>
      <c r="AL1285" s="12" t="n"/>
      <c r="AM1285" s="14">
        <f>IF($AD1285="保留中",COUNTIF($AD$6:$AD1285,"保留中"),"")</f>
        <v/>
      </c>
      <c r="AN1285" s="14">
        <f>IF($AO1285="","",IF(SUMPRODUCT(MAX((職員マスタ!$A$6:$A$405=$B1285)*(((職員マスタ!$G$6:$G$405="")+(職員マスタ!$G$6:$G$405&lt;=EOMONTH($AO1285,0)))&gt;0)*(((職員マスタ!$H$6:$H$405="")+(職員マスタ!$H$6:$H$405&gt;=$AO1285))&gt;0)*(ROW(職員マスタ!$A$6:$A$405)-5)))&gt;0,SUMPRODUCT(MAX((職員マスタ!$A$6:$A$405=$B1285)*(((職員マスタ!$G$6:$G$405="")+(職員マスタ!$G$6:$G$405&lt;=EOMONTH($AO1285,0)))&gt;0)*(((職員マスタ!$H$6:$H$405="")+(職員マスタ!$H$6:$H$405&gt;=$AO1285))&gt;0)*(ROW(職員マスタ!$A$6:$A$405)-5))),IFERROR(MATCH($B1285,職員マスタ!$A$6:$A$405,0),"")))</f>
        <v/>
      </c>
      <c r="AO1285" s="16">
        <f>IF(OR($B1285="",$C1285="",$D1285=""),"",DATE($C1285+2018,$D1285,1))</f>
        <v/>
      </c>
    </row>
    <row r="1286">
      <c r="A1286" s="11" t="n"/>
      <c r="B1286" s="12" t="n"/>
      <c r="C1286" s="12" t="n"/>
      <c r="D1286" s="12" t="n"/>
      <c r="E1286" s="13" t="n"/>
      <c r="F1286" s="12" t="n"/>
      <c r="G1286" s="13" t="n"/>
      <c r="H1286" s="12" t="n"/>
      <c r="I1286" s="12" t="n"/>
      <c r="J1286" s="12" t="n"/>
      <c r="K1286" s="12" t="n"/>
      <c r="L1286" s="11" t="n"/>
      <c r="M1286" s="11" t="n"/>
      <c r="N1286" s="11" t="n"/>
      <c r="O1286" s="11" t="n"/>
      <c r="P1286" s="12" t="n"/>
      <c r="Q1286" s="11" t="n"/>
      <c r="R1286" s="12" t="n"/>
      <c r="S1286" s="11" t="n"/>
      <c r="T1286" s="12" t="n"/>
      <c r="U1286" s="12" t="n"/>
      <c r="V1286" s="14">
        <f>IF($AN1286="",IF($B1286="","",$H1286),IF(INDEX(職員マスタ!$B$6:$B$405,$AN1286)="",$H1286,INDEX(職員マスタ!$B$6:$B$405,$AN1286)))</f>
        <v/>
      </c>
      <c r="W1286" s="14">
        <f>IF($AN1286="",IF($B1286="","",$R1286),IF(INDEX(職員マスタ!$C$6:$C$405,$AN1286)="",$R1286,INDEX(職員マスタ!$C$6:$C$405,$AN1286)))</f>
        <v/>
      </c>
      <c r="X1286" s="14">
        <f>IF($AO1286="","","R"&amp;$C1286&amp;"."&amp;$D1286)</f>
        <v/>
      </c>
      <c r="Y1286" s="15">
        <f>IF($AN1286="","",IF(INDEX(職員マスタ!$K$6:$K$405,$AN1286)="","",INDEX(職員マスタ!$K$6:$K$405,$AN1286)))</f>
        <v/>
      </c>
      <c r="Z1286" s="14">
        <f>IF(OR($E1286="",$Y1286=""),"",IF($E1286&gt;=$Y1286,"×",IF($E1286&gt;=$Y1286*設定!$C$5,"△","○")))</f>
        <v/>
      </c>
      <c r="AA1286" s="15">
        <f>IF($Z1286="","",IF($Z1286="×",0,IF($Z1286="○",ROUNDDOWN($E1286*設定!$C$4,0),ROUNDDOWN($E1286*ROUND((9*$Y1286-9*$E1286)/(10*$E1286),4),0))))</f>
        <v/>
      </c>
      <c r="AB1286" s="13" t="n"/>
      <c r="AC1286" s="15">
        <f>IF($B1286="","",IF($AB1286&lt;&gt;"",$AB1286,IF($AA1286="","",IF($AA1286&lt;=設定!$C$3,0,$AA1286))))</f>
        <v/>
      </c>
      <c r="AD1286" s="14">
        <f>IF($B1286="","",IF(AND($AE1286&lt;&gt;"",$AG1286="",$AJ1286=""),"保留中",IF($AJ1286&lt;&gt;"",IF(N($AC1286)&gt;0,"支給済","不支給"),IF($AC1286="","要確認",IF($AC1286=0,"不支給","未処理")))))</f>
        <v/>
      </c>
      <c r="AE1286" s="12" t="n"/>
      <c r="AF1286" s="11" t="n"/>
      <c r="AG1286" s="11" t="n"/>
      <c r="AH1286" s="11" t="n"/>
      <c r="AI1286" s="14">
        <f>IF(AND($AD1286="保留中",$AF1286&lt;&gt;""),TODAY()-$AF1286,"")</f>
        <v/>
      </c>
      <c r="AJ1286" s="12" t="n"/>
      <c r="AK1286" s="14">
        <f>IF($B1286="","",IF($AO1286="","対象年月が未入力／","")&amp;IF($B1286="","",IF($AN1286="","職員マスタに未登録の職員番号／",IF($Y1286="","標準報酬月額が未登録／","")&amp;IF(AND($AO1286&lt;&gt;"",OR(AND(INDEX(職員マスタ!$G$6:$G$405,$AN1286)&lt;&gt;"",INDEX(職員マスタ!$G$6:$G$405,$AN1286)&gt;EOMONTH($AO1286,0)),AND(INDEX(職員マスタ!$H$6:$H$405,$AN1286)&lt;&gt;"",INDEX(職員マスタ!$H$6:$H$405,$AN1286)&lt;$AO1286))),"対象月が時短期間外／","")&amp;IF(AND(INDEX(職員マスタ!$F$6:$F$405,$AN1286)&lt;&gt;"",$AO1286&lt;&gt;"",INDEX(職員マスタ!$F$6:$F$405,$AN1286)&lt;$AO1286),"対象月に子が2歳到達済／","")&amp;IF(AND($H1286&lt;&gt;"",INDEX(職員マスタ!$B$6:$B$405,$AN1286)&lt;&gt;"",SUBSTITUTE(SUBSTITUTE($H1286," ","")," ","")&lt;&gt;SUBSTITUTE(SUBSTITUTE(INDEX(職員マスタ!$B$6:$B$405,$AN1286)," ","")," ","")),"氏名がマスタと相違／","")&amp;IF(AND($Q1286&lt;&gt;"",INDEX(職員マスタ!$E$6:$E$405,$AN1286)&lt;&gt;"",$Q1286&lt;&gt;INDEX(職員マスタ!$E$6:$E$405,$AN1286)),"子の生年月日がマスタと相違／","")&amp;IF(AND($L1286&lt;&gt;"",INDEX(職員マスタ!$G$6:$G$405,$AN1286)&lt;&gt;"",$L1286&lt;&gt;INDEX(職員マスタ!$G$6:$G$405,$AN1286)),"時短開始日がマスタと相違／","")&amp;IF(AND($M1286&lt;&gt;"",INDEX(職員マスタ!$H$6:$H$405,$AN1286)&lt;&gt;"",$M1286&lt;&gt;INDEX(職員マスタ!$H$6:$H$405,$AN1286)),"時短終了日がマスタと相違／","")))&amp;IF(AND($B1286&lt;&gt;"",$E1286=""),"報酬額が未入力／","")&amp;IF(N($U1286)&gt;0,"申請書に入力エラーが残っています／","")&amp;IF(AND($B1286&lt;&gt;"",$AO1286&lt;&gt;""),IF(COUNTIFS($B$6:$B$3005,$B1286,$C$6:$C$3005,$C1286,$D$6:$D$3005,$D1286)&gt;1,"同じ月の請求が重複しています／",""),"")&amp;IF(AND(N($E1286)&gt;0,$Z1286&lt;&gt;"",$Z1286&lt;&gt;"×",$AC1286=0,$AB1286=""),"計算額が下限以下のため不支給／",""))</f>
        <v/>
      </c>
      <c r="AL1286" s="12" t="n"/>
      <c r="AM1286" s="14">
        <f>IF($AD1286="保留中",COUNTIF($AD$6:$AD1286,"保留中"),"")</f>
        <v/>
      </c>
      <c r="AN1286" s="14">
        <f>IF($AO1286="","",IF(SUMPRODUCT(MAX((職員マスタ!$A$6:$A$405=$B1286)*(((職員マスタ!$G$6:$G$405="")+(職員マスタ!$G$6:$G$405&lt;=EOMONTH($AO1286,0)))&gt;0)*(((職員マスタ!$H$6:$H$405="")+(職員マスタ!$H$6:$H$405&gt;=$AO1286))&gt;0)*(ROW(職員マスタ!$A$6:$A$405)-5)))&gt;0,SUMPRODUCT(MAX((職員マスタ!$A$6:$A$405=$B1286)*(((職員マスタ!$G$6:$G$405="")+(職員マスタ!$G$6:$G$405&lt;=EOMONTH($AO1286,0)))&gt;0)*(((職員マスタ!$H$6:$H$405="")+(職員マスタ!$H$6:$H$405&gt;=$AO1286))&gt;0)*(ROW(職員マスタ!$A$6:$A$405)-5))),IFERROR(MATCH($B1286,職員マスタ!$A$6:$A$405,0),"")))</f>
        <v/>
      </c>
      <c r="AO1286" s="16">
        <f>IF(OR($B1286="",$C1286="",$D1286=""),"",DATE($C1286+2018,$D1286,1))</f>
        <v/>
      </c>
    </row>
    <row r="1287">
      <c r="A1287" s="11" t="n"/>
      <c r="B1287" s="12" t="n"/>
      <c r="C1287" s="12" t="n"/>
      <c r="D1287" s="12" t="n"/>
      <c r="E1287" s="13" t="n"/>
      <c r="F1287" s="12" t="n"/>
      <c r="G1287" s="13" t="n"/>
      <c r="H1287" s="12" t="n"/>
      <c r="I1287" s="12" t="n"/>
      <c r="J1287" s="12" t="n"/>
      <c r="K1287" s="12" t="n"/>
      <c r="L1287" s="11" t="n"/>
      <c r="M1287" s="11" t="n"/>
      <c r="N1287" s="11" t="n"/>
      <c r="O1287" s="11" t="n"/>
      <c r="P1287" s="12" t="n"/>
      <c r="Q1287" s="11" t="n"/>
      <c r="R1287" s="12" t="n"/>
      <c r="S1287" s="11" t="n"/>
      <c r="T1287" s="12" t="n"/>
      <c r="U1287" s="12" t="n"/>
      <c r="V1287" s="14">
        <f>IF($AN1287="",IF($B1287="","",$H1287),IF(INDEX(職員マスタ!$B$6:$B$405,$AN1287)="",$H1287,INDEX(職員マスタ!$B$6:$B$405,$AN1287)))</f>
        <v/>
      </c>
      <c r="W1287" s="14">
        <f>IF($AN1287="",IF($B1287="","",$R1287),IF(INDEX(職員マスタ!$C$6:$C$405,$AN1287)="",$R1287,INDEX(職員マスタ!$C$6:$C$405,$AN1287)))</f>
        <v/>
      </c>
      <c r="X1287" s="14">
        <f>IF($AO1287="","","R"&amp;$C1287&amp;"."&amp;$D1287)</f>
        <v/>
      </c>
      <c r="Y1287" s="15">
        <f>IF($AN1287="","",IF(INDEX(職員マスタ!$K$6:$K$405,$AN1287)="","",INDEX(職員マスタ!$K$6:$K$405,$AN1287)))</f>
        <v/>
      </c>
      <c r="Z1287" s="14">
        <f>IF(OR($E1287="",$Y1287=""),"",IF($E1287&gt;=$Y1287,"×",IF($E1287&gt;=$Y1287*設定!$C$5,"△","○")))</f>
        <v/>
      </c>
      <c r="AA1287" s="15">
        <f>IF($Z1287="","",IF($Z1287="×",0,IF($Z1287="○",ROUNDDOWN($E1287*設定!$C$4,0),ROUNDDOWN($E1287*ROUND((9*$Y1287-9*$E1287)/(10*$E1287),4),0))))</f>
        <v/>
      </c>
      <c r="AB1287" s="13" t="n"/>
      <c r="AC1287" s="15">
        <f>IF($B1287="","",IF($AB1287&lt;&gt;"",$AB1287,IF($AA1287="","",IF($AA1287&lt;=設定!$C$3,0,$AA1287))))</f>
        <v/>
      </c>
      <c r="AD1287" s="14">
        <f>IF($B1287="","",IF(AND($AE1287&lt;&gt;"",$AG1287="",$AJ1287=""),"保留中",IF($AJ1287&lt;&gt;"",IF(N($AC1287)&gt;0,"支給済","不支給"),IF($AC1287="","要確認",IF($AC1287=0,"不支給","未処理")))))</f>
        <v/>
      </c>
      <c r="AE1287" s="12" t="n"/>
      <c r="AF1287" s="11" t="n"/>
      <c r="AG1287" s="11" t="n"/>
      <c r="AH1287" s="11" t="n"/>
      <c r="AI1287" s="14">
        <f>IF(AND($AD1287="保留中",$AF1287&lt;&gt;""),TODAY()-$AF1287,"")</f>
        <v/>
      </c>
      <c r="AJ1287" s="12" t="n"/>
      <c r="AK1287" s="14">
        <f>IF($B1287="","",IF($AO1287="","対象年月が未入力／","")&amp;IF($B1287="","",IF($AN1287="","職員マスタに未登録の職員番号／",IF($Y1287="","標準報酬月額が未登録／","")&amp;IF(AND($AO1287&lt;&gt;"",OR(AND(INDEX(職員マスタ!$G$6:$G$405,$AN1287)&lt;&gt;"",INDEX(職員マスタ!$G$6:$G$405,$AN1287)&gt;EOMONTH($AO1287,0)),AND(INDEX(職員マスタ!$H$6:$H$405,$AN1287)&lt;&gt;"",INDEX(職員マスタ!$H$6:$H$405,$AN1287)&lt;$AO1287))),"対象月が時短期間外／","")&amp;IF(AND(INDEX(職員マスタ!$F$6:$F$405,$AN1287)&lt;&gt;"",$AO1287&lt;&gt;"",INDEX(職員マスタ!$F$6:$F$405,$AN1287)&lt;$AO1287),"対象月に子が2歳到達済／","")&amp;IF(AND($H1287&lt;&gt;"",INDEX(職員マスタ!$B$6:$B$405,$AN1287)&lt;&gt;"",SUBSTITUTE(SUBSTITUTE($H1287," ","")," ","")&lt;&gt;SUBSTITUTE(SUBSTITUTE(INDEX(職員マスタ!$B$6:$B$405,$AN1287)," ","")," ","")),"氏名がマスタと相違／","")&amp;IF(AND($Q1287&lt;&gt;"",INDEX(職員マスタ!$E$6:$E$405,$AN1287)&lt;&gt;"",$Q1287&lt;&gt;INDEX(職員マスタ!$E$6:$E$405,$AN1287)),"子の生年月日がマスタと相違／","")&amp;IF(AND($L1287&lt;&gt;"",INDEX(職員マスタ!$G$6:$G$405,$AN1287)&lt;&gt;"",$L1287&lt;&gt;INDEX(職員マスタ!$G$6:$G$405,$AN1287)),"時短開始日がマスタと相違／","")&amp;IF(AND($M1287&lt;&gt;"",INDEX(職員マスタ!$H$6:$H$405,$AN1287)&lt;&gt;"",$M1287&lt;&gt;INDEX(職員マスタ!$H$6:$H$405,$AN1287)),"時短終了日がマスタと相違／","")))&amp;IF(AND($B1287&lt;&gt;"",$E1287=""),"報酬額が未入力／","")&amp;IF(N($U1287)&gt;0,"申請書に入力エラーが残っています／","")&amp;IF(AND($B1287&lt;&gt;"",$AO1287&lt;&gt;""),IF(COUNTIFS($B$6:$B$3005,$B1287,$C$6:$C$3005,$C1287,$D$6:$D$3005,$D1287)&gt;1,"同じ月の請求が重複しています／",""),"")&amp;IF(AND(N($E1287)&gt;0,$Z1287&lt;&gt;"",$Z1287&lt;&gt;"×",$AC1287=0,$AB1287=""),"計算額が下限以下のため不支給／",""))</f>
        <v/>
      </c>
      <c r="AL1287" s="12" t="n"/>
      <c r="AM1287" s="14">
        <f>IF($AD1287="保留中",COUNTIF($AD$6:$AD1287,"保留中"),"")</f>
        <v/>
      </c>
      <c r="AN1287" s="14">
        <f>IF($AO1287="","",IF(SUMPRODUCT(MAX((職員マスタ!$A$6:$A$405=$B1287)*(((職員マスタ!$G$6:$G$405="")+(職員マスタ!$G$6:$G$405&lt;=EOMONTH($AO1287,0)))&gt;0)*(((職員マスタ!$H$6:$H$405="")+(職員マスタ!$H$6:$H$405&gt;=$AO1287))&gt;0)*(ROW(職員マスタ!$A$6:$A$405)-5)))&gt;0,SUMPRODUCT(MAX((職員マスタ!$A$6:$A$405=$B1287)*(((職員マスタ!$G$6:$G$405="")+(職員マスタ!$G$6:$G$405&lt;=EOMONTH($AO1287,0)))&gt;0)*(((職員マスタ!$H$6:$H$405="")+(職員マスタ!$H$6:$H$405&gt;=$AO1287))&gt;0)*(ROW(職員マスタ!$A$6:$A$405)-5))),IFERROR(MATCH($B1287,職員マスタ!$A$6:$A$405,0),"")))</f>
        <v/>
      </c>
      <c r="AO1287" s="16">
        <f>IF(OR($B1287="",$C1287="",$D1287=""),"",DATE($C1287+2018,$D1287,1))</f>
        <v/>
      </c>
    </row>
    <row r="1288">
      <c r="A1288" s="11" t="n"/>
      <c r="B1288" s="12" t="n"/>
      <c r="C1288" s="12" t="n"/>
      <c r="D1288" s="12" t="n"/>
      <c r="E1288" s="13" t="n"/>
      <c r="F1288" s="12" t="n"/>
      <c r="G1288" s="13" t="n"/>
      <c r="H1288" s="12" t="n"/>
      <c r="I1288" s="12" t="n"/>
      <c r="J1288" s="12" t="n"/>
      <c r="K1288" s="12" t="n"/>
      <c r="L1288" s="11" t="n"/>
      <c r="M1288" s="11" t="n"/>
      <c r="N1288" s="11" t="n"/>
      <c r="O1288" s="11" t="n"/>
      <c r="P1288" s="12" t="n"/>
      <c r="Q1288" s="11" t="n"/>
      <c r="R1288" s="12" t="n"/>
      <c r="S1288" s="11" t="n"/>
      <c r="T1288" s="12" t="n"/>
      <c r="U1288" s="12" t="n"/>
      <c r="V1288" s="14">
        <f>IF($AN1288="",IF($B1288="","",$H1288),IF(INDEX(職員マスタ!$B$6:$B$405,$AN1288)="",$H1288,INDEX(職員マスタ!$B$6:$B$405,$AN1288)))</f>
        <v/>
      </c>
      <c r="W1288" s="14">
        <f>IF($AN1288="",IF($B1288="","",$R1288),IF(INDEX(職員マスタ!$C$6:$C$405,$AN1288)="",$R1288,INDEX(職員マスタ!$C$6:$C$405,$AN1288)))</f>
        <v/>
      </c>
      <c r="X1288" s="14">
        <f>IF($AO1288="","","R"&amp;$C1288&amp;"."&amp;$D1288)</f>
        <v/>
      </c>
      <c r="Y1288" s="15">
        <f>IF($AN1288="","",IF(INDEX(職員マスタ!$K$6:$K$405,$AN1288)="","",INDEX(職員マスタ!$K$6:$K$405,$AN1288)))</f>
        <v/>
      </c>
      <c r="Z1288" s="14">
        <f>IF(OR($E1288="",$Y1288=""),"",IF($E1288&gt;=$Y1288,"×",IF($E1288&gt;=$Y1288*設定!$C$5,"△","○")))</f>
        <v/>
      </c>
      <c r="AA1288" s="15">
        <f>IF($Z1288="","",IF($Z1288="×",0,IF($Z1288="○",ROUNDDOWN($E1288*設定!$C$4,0),ROUNDDOWN($E1288*ROUND((9*$Y1288-9*$E1288)/(10*$E1288),4),0))))</f>
        <v/>
      </c>
      <c r="AB1288" s="13" t="n"/>
      <c r="AC1288" s="15">
        <f>IF($B1288="","",IF($AB1288&lt;&gt;"",$AB1288,IF($AA1288="","",IF($AA1288&lt;=設定!$C$3,0,$AA1288))))</f>
        <v/>
      </c>
      <c r="AD1288" s="14">
        <f>IF($B1288="","",IF(AND($AE1288&lt;&gt;"",$AG1288="",$AJ1288=""),"保留中",IF($AJ1288&lt;&gt;"",IF(N($AC1288)&gt;0,"支給済","不支給"),IF($AC1288="","要確認",IF($AC1288=0,"不支給","未処理")))))</f>
        <v/>
      </c>
      <c r="AE1288" s="12" t="n"/>
      <c r="AF1288" s="11" t="n"/>
      <c r="AG1288" s="11" t="n"/>
      <c r="AH1288" s="11" t="n"/>
      <c r="AI1288" s="14">
        <f>IF(AND($AD1288="保留中",$AF1288&lt;&gt;""),TODAY()-$AF1288,"")</f>
        <v/>
      </c>
      <c r="AJ1288" s="12" t="n"/>
      <c r="AK1288" s="14">
        <f>IF($B1288="","",IF($AO1288="","対象年月が未入力／","")&amp;IF($B1288="","",IF($AN1288="","職員マスタに未登録の職員番号／",IF($Y1288="","標準報酬月額が未登録／","")&amp;IF(AND($AO1288&lt;&gt;"",OR(AND(INDEX(職員マスタ!$G$6:$G$405,$AN1288)&lt;&gt;"",INDEX(職員マスタ!$G$6:$G$405,$AN1288)&gt;EOMONTH($AO1288,0)),AND(INDEX(職員マスタ!$H$6:$H$405,$AN1288)&lt;&gt;"",INDEX(職員マスタ!$H$6:$H$405,$AN1288)&lt;$AO1288))),"対象月が時短期間外／","")&amp;IF(AND(INDEX(職員マスタ!$F$6:$F$405,$AN1288)&lt;&gt;"",$AO1288&lt;&gt;"",INDEX(職員マスタ!$F$6:$F$405,$AN1288)&lt;$AO1288),"対象月に子が2歳到達済／","")&amp;IF(AND($H1288&lt;&gt;"",INDEX(職員マスタ!$B$6:$B$405,$AN1288)&lt;&gt;"",SUBSTITUTE(SUBSTITUTE($H1288," ","")," ","")&lt;&gt;SUBSTITUTE(SUBSTITUTE(INDEX(職員マスタ!$B$6:$B$405,$AN1288)," ","")," ","")),"氏名がマスタと相違／","")&amp;IF(AND($Q1288&lt;&gt;"",INDEX(職員マスタ!$E$6:$E$405,$AN1288)&lt;&gt;"",$Q1288&lt;&gt;INDEX(職員マスタ!$E$6:$E$405,$AN1288)),"子の生年月日がマスタと相違／","")&amp;IF(AND($L1288&lt;&gt;"",INDEX(職員マスタ!$G$6:$G$405,$AN1288)&lt;&gt;"",$L1288&lt;&gt;INDEX(職員マスタ!$G$6:$G$405,$AN1288)),"時短開始日がマスタと相違／","")&amp;IF(AND($M1288&lt;&gt;"",INDEX(職員マスタ!$H$6:$H$405,$AN1288)&lt;&gt;"",$M1288&lt;&gt;INDEX(職員マスタ!$H$6:$H$405,$AN1288)),"時短終了日がマスタと相違／","")))&amp;IF(AND($B1288&lt;&gt;"",$E1288=""),"報酬額が未入力／","")&amp;IF(N($U1288)&gt;0,"申請書に入力エラーが残っています／","")&amp;IF(AND($B1288&lt;&gt;"",$AO1288&lt;&gt;""),IF(COUNTIFS($B$6:$B$3005,$B1288,$C$6:$C$3005,$C1288,$D$6:$D$3005,$D1288)&gt;1,"同じ月の請求が重複しています／",""),"")&amp;IF(AND(N($E1288)&gt;0,$Z1288&lt;&gt;"",$Z1288&lt;&gt;"×",$AC1288=0,$AB1288=""),"計算額が下限以下のため不支給／",""))</f>
        <v/>
      </c>
      <c r="AL1288" s="12" t="n"/>
      <c r="AM1288" s="14">
        <f>IF($AD1288="保留中",COUNTIF($AD$6:$AD1288,"保留中"),"")</f>
        <v/>
      </c>
      <c r="AN1288" s="14">
        <f>IF($AO1288="","",IF(SUMPRODUCT(MAX((職員マスタ!$A$6:$A$405=$B1288)*(((職員マスタ!$G$6:$G$405="")+(職員マスタ!$G$6:$G$405&lt;=EOMONTH($AO1288,0)))&gt;0)*(((職員マスタ!$H$6:$H$405="")+(職員マスタ!$H$6:$H$405&gt;=$AO1288))&gt;0)*(ROW(職員マスタ!$A$6:$A$405)-5)))&gt;0,SUMPRODUCT(MAX((職員マスタ!$A$6:$A$405=$B1288)*(((職員マスタ!$G$6:$G$405="")+(職員マスタ!$G$6:$G$405&lt;=EOMONTH($AO1288,0)))&gt;0)*(((職員マスタ!$H$6:$H$405="")+(職員マスタ!$H$6:$H$405&gt;=$AO1288))&gt;0)*(ROW(職員マスタ!$A$6:$A$405)-5))),IFERROR(MATCH($B1288,職員マスタ!$A$6:$A$405,0),"")))</f>
        <v/>
      </c>
      <c r="AO1288" s="16">
        <f>IF(OR($B1288="",$C1288="",$D1288=""),"",DATE($C1288+2018,$D1288,1))</f>
        <v/>
      </c>
    </row>
    <row r="1289">
      <c r="A1289" s="11" t="n"/>
      <c r="B1289" s="12" t="n"/>
      <c r="C1289" s="12" t="n"/>
      <c r="D1289" s="12" t="n"/>
      <c r="E1289" s="13" t="n"/>
      <c r="F1289" s="12" t="n"/>
      <c r="G1289" s="13" t="n"/>
      <c r="H1289" s="12" t="n"/>
      <c r="I1289" s="12" t="n"/>
      <c r="J1289" s="12" t="n"/>
      <c r="K1289" s="12" t="n"/>
      <c r="L1289" s="11" t="n"/>
      <c r="M1289" s="11" t="n"/>
      <c r="N1289" s="11" t="n"/>
      <c r="O1289" s="11" t="n"/>
      <c r="P1289" s="12" t="n"/>
      <c r="Q1289" s="11" t="n"/>
      <c r="R1289" s="12" t="n"/>
      <c r="S1289" s="11" t="n"/>
      <c r="T1289" s="12" t="n"/>
      <c r="U1289" s="12" t="n"/>
      <c r="V1289" s="14">
        <f>IF($AN1289="",IF($B1289="","",$H1289),IF(INDEX(職員マスタ!$B$6:$B$405,$AN1289)="",$H1289,INDEX(職員マスタ!$B$6:$B$405,$AN1289)))</f>
        <v/>
      </c>
      <c r="W1289" s="14">
        <f>IF($AN1289="",IF($B1289="","",$R1289),IF(INDEX(職員マスタ!$C$6:$C$405,$AN1289)="",$R1289,INDEX(職員マスタ!$C$6:$C$405,$AN1289)))</f>
        <v/>
      </c>
      <c r="X1289" s="14">
        <f>IF($AO1289="","","R"&amp;$C1289&amp;"."&amp;$D1289)</f>
        <v/>
      </c>
      <c r="Y1289" s="15">
        <f>IF($AN1289="","",IF(INDEX(職員マスタ!$K$6:$K$405,$AN1289)="","",INDEX(職員マスタ!$K$6:$K$405,$AN1289)))</f>
        <v/>
      </c>
      <c r="Z1289" s="14">
        <f>IF(OR($E1289="",$Y1289=""),"",IF($E1289&gt;=$Y1289,"×",IF($E1289&gt;=$Y1289*設定!$C$5,"△","○")))</f>
        <v/>
      </c>
      <c r="AA1289" s="15">
        <f>IF($Z1289="","",IF($Z1289="×",0,IF($Z1289="○",ROUNDDOWN($E1289*設定!$C$4,0),ROUNDDOWN($E1289*ROUND((9*$Y1289-9*$E1289)/(10*$E1289),4),0))))</f>
        <v/>
      </c>
      <c r="AB1289" s="13" t="n"/>
      <c r="AC1289" s="15">
        <f>IF($B1289="","",IF($AB1289&lt;&gt;"",$AB1289,IF($AA1289="","",IF($AA1289&lt;=設定!$C$3,0,$AA1289))))</f>
        <v/>
      </c>
      <c r="AD1289" s="14">
        <f>IF($B1289="","",IF(AND($AE1289&lt;&gt;"",$AG1289="",$AJ1289=""),"保留中",IF($AJ1289&lt;&gt;"",IF(N($AC1289)&gt;0,"支給済","不支給"),IF($AC1289="","要確認",IF($AC1289=0,"不支給","未処理")))))</f>
        <v/>
      </c>
      <c r="AE1289" s="12" t="n"/>
      <c r="AF1289" s="11" t="n"/>
      <c r="AG1289" s="11" t="n"/>
      <c r="AH1289" s="11" t="n"/>
      <c r="AI1289" s="14">
        <f>IF(AND($AD1289="保留中",$AF1289&lt;&gt;""),TODAY()-$AF1289,"")</f>
        <v/>
      </c>
      <c r="AJ1289" s="12" t="n"/>
      <c r="AK1289" s="14">
        <f>IF($B1289="","",IF($AO1289="","対象年月が未入力／","")&amp;IF($B1289="","",IF($AN1289="","職員マスタに未登録の職員番号／",IF($Y1289="","標準報酬月額が未登録／","")&amp;IF(AND($AO1289&lt;&gt;"",OR(AND(INDEX(職員マスタ!$G$6:$G$405,$AN1289)&lt;&gt;"",INDEX(職員マスタ!$G$6:$G$405,$AN1289)&gt;EOMONTH($AO1289,0)),AND(INDEX(職員マスタ!$H$6:$H$405,$AN1289)&lt;&gt;"",INDEX(職員マスタ!$H$6:$H$405,$AN1289)&lt;$AO1289))),"対象月が時短期間外／","")&amp;IF(AND(INDEX(職員マスタ!$F$6:$F$405,$AN1289)&lt;&gt;"",$AO1289&lt;&gt;"",INDEX(職員マスタ!$F$6:$F$405,$AN1289)&lt;$AO1289),"対象月に子が2歳到達済／","")&amp;IF(AND($H1289&lt;&gt;"",INDEX(職員マスタ!$B$6:$B$405,$AN1289)&lt;&gt;"",SUBSTITUTE(SUBSTITUTE($H1289," ","")," ","")&lt;&gt;SUBSTITUTE(SUBSTITUTE(INDEX(職員マスタ!$B$6:$B$405,$AN1289)," ","")," ","")),"氏名がマスタと相違／","")&amp;IF(AND($Q1289&lt;&gt;"",INDEX(職員マスタ!$E$6:$E$405,$AN1289)&lt;&gt;"",$Q1289&lt;&gt;INDEX(職員マスタ!$E$6:$E$405,$AN1289)),"子の生年月日がマスタと相違／","")&amp;IF(AND($L1289&lt;&gt;"",INDEX(職員マスタ!$G$6:$G$405,$AN1289)&lt;&gt;"",$L1289&lt;&gt;INDEX(職員マスタ!$G$6:$G$405,$AN1289)),"時短開始日がマスタと相違／","")&amp;IF(AND($M1289&lt;&gt;"",INDEX(職員マスタ!$H$6:$H$405,$AN1289)&lt;&gt;"",$M1289&lt;&gt;INDEX(職員マスタ!$H$6:$H$405,$AN1289)),"時短終了日がマスタと相違／","")))&amp;IF(AND($B1289&lt;&gt;"",$E1289=""),"報酬額が未入力／","")&amp;IF(N($U1289)&gt;0,"申請書に入力エラーが残っています／","")&amp;IF(AND($B1289&lt;&gt;"",$AO1289&lt;&gt;""),IF(COUNTIFS($B$6:$B$3005,$B1289,$C$6:$C$3005,$C1289,$D$6:$D$3005,$D1289)&gt;1,"同じ月の請求が重複しています／",""),"")&amp;IF(AND(N($E1289)&gt;0,$Z1289&lt;&gt;"",$Z1289&lt;&gt;"×",$AC1289=0,$AB1289=""),"計算額が下限以下のため不支給／",""))</f>
        <v/>
      </c>
      <c r="AL1289" s="12" t="n"/>
      <c r="AM1289" s="14">
        <f>IF($AD1289="保留中",COUNTIF($AD$6:$AD1289,"保留中"),"")</f>
        <v/>
      </c>
      <c r="AN1289" s="14">
        <f>IF($AO1289="","",IF(SUMPRODUCT(MAX((職員マスタ!$A$6:$A$405=$B1289)*(((職員マスタ!$G$6:$G$405="")+(職員マスタ!$G$6:$G$405&lt;=EOMONTH($AO1289,0)))&gt;0)*(((職員マスタ!$H$6:$H$405="")+(職員マスタ!$H$6:$H$405&gt;=$AO1289))&gt;0)*(ROW(職員マスタ!$A$6:$A$405)-5)))&gt;0,SUMPRODUCT(MAX((職員マスタ!$A$6:$A$405=$B1289)*(((職員マスタ!$G$6:$G$405="")+(職員マスタ!$G$6:$G$405&lt;=EOMONTH($AO1289,0)))&gt;0)*(((職員マスタ!$H$6:$H$405="")+(職員マスタ!$H$6:$H$405&gt;=$AO1289))&gt;0)*(ROW(職員マスタ!$A$6:$A$405)-5))),IFERROR(MATCH($B1289,職員マスタ!$A$6:$A$405,0),"")))</f>
        <v/>
      </c>
      <c r="AO1289" s="16">
        <f>IF(OR($B1289="",$C1289="",$D1289=""),"",DATE($C1289+2018,$D1289,1))</f>
        <v/>
      </c>
    </row>
    <row r="1290">
      <c r="A1290" s="11" t="n"/>
      <c r="B1290" s="12" t="n"/>
      <c r="C1290" s="12" t="n"/>
      <c r="D1290" s="12" t="n"/>
      <c r="E1290" s="13" t="n"/>
      <c r="F1290" s="12" t="n"/>
      <c r="G1290" s="13" t="n"/>
      <c r="H1290" s="12" t="n"/>
      <c r="I1290" s="12" t="n"/>
      <c r="J1290" s="12" t="n"/>
      <c r="K1290" s="12" t="n"/>
      <c r="L1290" s="11" t="n"/>
      <c r="M1290" s="11" t="n"/>
      <c r="N1290" s="11" t="n"/>
      <c r="O1290" s="11" t="n"/>
      <c r="P1290" s="12" t="n"/>
      <c r="Q1290" s="11" t="n"/>
      <c r="R1290" s="12" t="n"/>
      <c r="S1290" s="11" t="n"/>
      <c r="T1290" s="12" t="n"/>
      <c r="U1290" s="12" t="n"/>
      <c r="V1290" s="14">
        <f>IF($AN1290="",IF($B1290="","",$H1290),IF(INDEX(職員マスタ!$B$6:$B$405,$AN1290)="",$H1290,INDEX(職員マスタ!$B$6:$B$405,$AN1290)))</f>
        <v/>
      </c>
      <c r="W1290" s="14">
        <f>IF($AN1290="",IF($B1290="","",$R1290),IF(INDEX(職員マスタ!$C$6:$C$405,$AN1290)="",$R1290,INDEX(職員マスタ!$C$6:$C$405,$AN1290)))</f>
        <v/>
      </c>
      <c r="X1290" s="14">
        <f>IF($AO1290="","","R"&amp;$C1290&amp;"."&amp;$D1290)</f>
        <v/>
      </c>
      <c r="Y1290" s="15">
        <f>IF($AN1290="","",IF(INDEX(職員マスタ!$K$6:$K$405,$AN1290)="","",INDEX(職員マスタ!$K$6:$K$405,$AN1290)))</f>
        <v/>
      </c>
      <c r="Z1290" s="14">
        <f>IF(OR($E1290="",$Y1290=""),"",IF($E1290&gt;=$Y1290,"×",IF($E1290&gt;=$Y1290*設定!$C$5,"△","○")))</f>
        <v/>
      </c>
      <c r="AA1290" s="15">
        <f>IF($Z1290="","",IF($Z1290="×",0,IF($Z1290="○",ROUNDDOWN($E1290*設定!$C$4,0),ROUNDDOWN($E1290*ROUND((9*$Y1290-9*$E1290)/(10*$E1290),4),0))))</f>
        <v/>
      </c>
      <c r="AB1290" s="13" t="n"/>
      <c r="AC1290" s="15">
        <f>IF($B1290="","",IF($AB1290&lt;&gt;"",$AB1290,IF($AA1290="","",IF($AA1290&lt;=設定!$C$3,0,$AA1290))))</f>
        <v/>
      </c>
      <c r="AD1290" s="14">
        <f>IF($B1290="","",IF(AND($AE1290&lt;&gt;"",$AG1290="",$AJ1290=""),"保留中",IF($AJ1290&lt;&gt;"",IF(N($AC1290)&gt;0,"支給済","不支給"),IF($AC1290="","要確認",IF($AC1290=0,"不支給","未処理")))))</f>
        <v/>
      </c>
      <c r="AE1290" s="12" t="n"/>
      <c r="AF1290" s="11" t="n"/>
      <c r="AG1290" s="11" t="n"/>
      <c r="AH1290" s="11" t="n"/>
      <c r="AI1290" s="14">
        <f>IF(AND($AD1290="保留中",$AF1290&lt;&gt;""),TODAY()-$AF1290,"")</f>
        <v/>
      </c>
      <c r="AJ1290" s="12" t="n"/>
      <c r="AK1290" s="14">
        <f>IF($B1290="","",IF($AO1290="","対象年月が未入力／","")&amp;IF($B1290="","",IF($AN1290="","職員マスタに未登録の職員番号／",IF($Y1290="","標準報酬月額が未登録／","")&amp;IF(AND($AO1290&lt;&gt;"",OR(AND(INDEX(職員マスタ!$G$6:$G$405,$AN1290)&lt;&gt;"",INDEX(職員マスタ!$G$6:$G$405,$AN1290)&gt;EOMONTH($AO1290,0)),AND(INDEX(職員マスタ!$H$6:$H$405,$AN1290)&lt;&gt;"",INDEX(職員マスタ!$H$6:$H$405,$AN1290)&lt;$AO1290))),"対象月が時短期間外／","")&amp;IF(AND(INDEX(職員マスタ!$F$6:$F$405,$AN1290)&lt;&gt;"",$AO1290&lt;&gt;"",INDEX(職員マスタ!$F$6:$F$405,$AN1290)&lt;$AO1290),"対象月に子が2歳到達済／","")&amp;IF(AND($H1290&lt;&gt;"",INDEX(職員マスタ!$B$6:$B$405,$AN1290)&lt;&gt;"",SUBSTITUTE(SUBSTITUTE($H1290," ","")," ","")&lt;&gt;SUBSTITUTE(SUBSTITUTE(INDEX(職員マスタ!$B$6:$B$405,$AN1290)," ","")," ","")),"氏名がマスタと相違／","")&amp;IF(AND($Q1290&lt;&gt;"",INDEX(職員マスタ!$E$6:$E$405,$AN1290)&lt;&gt;"",$Q1290&lt;&gt;INDEX(職員マスタ!$E$6:$E$405,$AN1290)),"子の生年月日がマスタと相違／","")&amp;IF(AND($L1290&lt;&gt;"",INDEX(職員マスタ!$G$6:$G$405,$AN1290)&lt;&gt;"",$L1290&lt;&gt;INDEX(職員マスタ!$G$6:$G$405,$AN1290)),"時短開始日がマスタと相違／","")&amp;IF(AND($M1290&lt;&gt;"",INDEX(職員マスタ!$H$6:$H$405,$AN1290)&lt;&gt;"",$M1290&lt;&gt;INDEX(職員マスタ!$H$6:$H$405,$AN1290)),"時短終了日がマスタと相違／","")))&amp;IF(AND($B1290&lt;&gt;"",$E1290=""),"報酬額が未入力／","")&amp;IF(N($U1290)&gt;0,"申請書に入力エラーが残っています／","")&amp;IF(AND($B1290&lt;&gt;"",$AO1290&lt;&gt;""),IF(COUNTIFS($B$6:$B$3005,$B1290,$C$6:$C$3005,$C1290,$D$6:$D$3005,$D1290)&gt;1,"同じ月の請求が重複しています／",""),"")&amp;IF(AND(N($E1290)&gt;0,$Z1290&lt;&gt;"",$Z1290&lt;&gt;"×",$AC1290=0,$AB1290=""),"計算額が下限以下のため不支給／",""))</f>
        <v/>
      </c>
      <c r="AL1290" s="12" t="n"/>
      <c r="AM1290" s="14">
        <f>IF($AD1290="保留中",COUNTIF($AD$6:$AD1290,"保留中"),"")</f>
        <v/>
      </c>
      <c r="AN1290" s="14">
        <f>IF($AO1290="","",IF(SUMPRODUCT(MAX((職員マスタ!$A$6:$A$405=$B1290)*(((職員マスタ!$G$6:$G$405="")+(職員マスタ!$G$6:$G$405&lt;=EOMONTH($AO1290,0)))&gt;0)*(((職員マスタ!$H$6:$H$405="")+(職員マスタ!$H$6:$H$405&gt;=$AO1290))&gt;0)*(ROW(職員マスタ!$A$6:$A$405)-5)))&gt;0,SUMPRODUCT(MAX((職員マスタ!$A$6:$A$405=$B1290)*(((職員マスタ!$G$6:$G$405="")+(職員マスタ!$G$6:$G$405&lt;=EOMONTH($AO1290,0)))&gt;0)*(((職員マスタ!$H$6:$H$405="")+(職員マスタ!$H$6:$H$405&gt;=$AO1290))&gt;0)*(ROW(職員マスタ!$A$6:$A$405)-5))),IFERROR(MATCH($B1290,職員マスタ!$A$6:$A$405,0),"")))</f>
        <v/>
      </c>
      <c r="AO1290" s="16">
        <f>IF(OR($B1290="",$C1290="",$D1290=""),"",DATE($C1290+2018,$D1290,1))</f>
        <v/>
      </c>
    </row>
    <row r="1291">
      <c r="A1291" s="11" t="n"/>
      <c r="B1291" s="12" t="n"/>
      <c r="C1291" s="12" t="n"/>
      <c r="D1291" s="12" t="n"/>
      <c r="E1291" s="13" t="n"/>
      <c r="F1291" s="12" t="n"/>
      <c r="G1291" s="13" t="n"/>
      <c r="H1291" s="12" t="n"/>
      <c r="I1291" s="12" t="n"/>
      <c r="J1291" s="12" t="n"/>
      <c r="K1291" s="12" t="n"/>
      <c r="L1291" s="11" t="n"/>
      <c r="M1291" s="11" t="n"/>
      <c r="N1291" s="11" t="n"/>
      <c r="O1291" s="11" t="n"/>
      <c r="P1291" s="12" t="n"/>
      <c r="Q1291" s="11" t="n"/>
      <c r="R1291" s="12" t="n"/>
      <c r="S1291" s="11" t="n"/>
      <c r="T1291" s="12" t="n"/>
      <c r="U1291" s="12" t="n"/>
      <c r="V1291" s="14">
        <f>IF($AN1291="",IF($B1291="","",$H1291),IF(INDEX(職員マスタ!$B$6:$B$405,$AN1291)="",$H1291,INDEX(職員マスタ!$B$6:$B$405,$AN1291)))</f>
        <v/>
      </c>
      <c r="W1291" s="14">
        <f>IF($AN1291="",IF($B1291="","",$R1291),IF(INDEX(職員マスタ!$C$6:$C$405,$AN1291)="",$R1291,INDEX(職員マスタ!$C$6:$C$405,$AN1291)))</f>
        <v/>
      </c>
      <c r="X1291" s="14">
        <f>IF($AO1291="","","R"&amp;$C1291&amp;"."&amp;$D1291)</f>
        <v/>
      </c>
      <c r="Y1291" s="15">
        <f>IF($AN1291="","",IF(INDEX(職員マスタ!$K$6:$K$405,$AN1291)="","",INDEX(職員マスタ!$K$6:$K$405,$AN1291)))</f>
        <v/>
      </c>
      <c r="Z1291" s="14">
        <f>IF(OR($E1291="",$Y1291=""),"",IF($E1291&gt;=$Y1291,"×",IF($E1291&gt;=$Y1291*設定!$C$5,"△","○")))</f>
        <v/>
      </c>
      <c r="AA1291" s="15">
        <f>IF($Z1291="","",IF($Z1291="×",0,IF($Z1291="○",ROUNDDOWN($E1291*設定!$C$4,0),ROUNDDOWN($E1291*ROUND((9*$Y1291-9*$E1291)/(10*$E1291),4),0))))</f>
        <v/>
      </c>
      <c r="AB1291" s="13" t="n"/>
      <c r="AC1291" s="15">
        <f>IF($B1291="","",IF($AB1291&lt;&gt;"",$AB1291,IF($AA1291="","",IF($AA1291&lt;=設定!$C$3,0,$AA1291))))</f>
        <v/>
      </c>
      <c r="AD1291" s="14">
        <f>IF($B1291="","",IF(AND($AE1291&lt;&gt;"",$AG1291="",$AJ1291=""),"保留中",IF($AJ1291&lt;&gt;"",IF(N($AC1291)&gt;0,"支給済","不支給"),IF($AC1291="","要確認",IF($AC1291=0,"不支給","未処理")))))</f>
        <v/>
      </c>
      <c r="AE1291" s="12" t="n"/>
      <c r="AF1291" s="11" t="n"/>
      <c r="AG1291" s="11" t="n"/>
      <c r="AH1291" s="11" t="n"/>
      <c r="AI1291" s="14">
        <f>IF(AND($AD1291="保留中",$AF1291&lt;&gt;""),TODAY()-$AF1291,"")</f>
        <v/>
      </c>
      <c r="AJ1291" s="12" t="n"/>
      <c r="AK1291" s="14">
        <f>IF($B1291="","",IF($AO1291="","対象年月が未入力／","")&amp;IF($B1291="","",IF($AN1291="","職員マスタに未登録の職員番号／",IF($Y1291="","標準報酬月額が未登録／","")&amp;IF(AND($AO1291&lt;&gt;"",OR(AND(INDEX(職員マスタ!$G$6:$G$405,$AN1291)&lt;&gt;"",INDEX(職員マスタ!$G$6:$G$405,$AN1291)&gt;EOMONTH($AO1291,0)),AND(INDEX(職員マスタ!$H$6:$H$405,$AN1291)&lt;&gt;"",INDEX(職員マスタ!$H$6:$H$405,$AN1291)&lt;$AO1291))),"対象月が時短期間外／","")&amp;IF(AND(INDEX(職員マスタ!$F$6:$F$405,$AN1291)&lt;&gt;"",$AO1291&lt;&gt;"",INDEX(職員マスタ!$F$6:$F$405,$AN1291)&lt;$AO1291),"対象月に子が2歳到達済／","")&amp;IF(AND($H1291&lt;&gt;"",INDEX(職員マスタ!$B$6:$B$405,$AN1291)&lt;&gt;"",SUBSTITUTE(SUBSTITUTE($H1291," ","")," ","")&lt;&gt;SUBSTITUTE(SUBSTITUTE(INDEX(職員マスタ!$B$6:$B$405,$AN1291)," ","")," ","")),"氏名がマスタと相違／","")&amp;IF(AND($Q1291&lt;&gt;"",INDEX(職員マスタ!$E$6:$E$405,$AN1291)&lt;&gt;"",$Q1291&lt;&gt;INDEX(職員マスタ!$E$6:$E$405,$AN1291)),"子の生年月日がマスタと相違／","")&amp;IF(AND($L1291&lt;&gt;"",INDEX(職員マスタ!$G$6:$G$405,$AN1291)&lt;&gt;"",$L1291&lt;&gt;INDEX(職員マスタ!$G$6:$G$405,$AN1291)),"時短開始日がマスタと相違／","")&amp;IF(AND($M1291&lt;&gt;"",INDEX(職員マスタ!$H$6:$H$405,$AN1291)&lt;&gt;"",$M1291&lt;&gt;INDEX(職員マスタ!$H$6:$H$405,$AN1291)),"時短終了日がマスタと相違／","")))&amp;IF(AND($B1291&lt;&gt;"",$E1291=""),"報酬額が未入力／","")&amp;IF(N($U1291)&gt;0,"申請書に入力エラーが残っています／","")&amp;IF(AND($B1291&lt;&gt;"",$AO1291&lt;&gt;""),IF(COUNTIFS($B$6:$B$3005,$B1291,$C$6:$C$3005,$C1291,$D$6:$D$3005,$D1291)&gt;1,"同じ月の請求が重複しています／",""),"")&amp;IF(AND(N($E1291)&gt;0,$Z1291&lt;&gt;"",$Z1291&lt;&gt;"×",$AC1291=0,$AB1291=""),"計算額が下限以下のため不支給／",""))</f>
        <v/>
      </c>
      <c r="AL1291" s="12" t="n"/>
      <c r="AM1291" s="14">
        <f>IF($AD1291="保留中",COUNTIF($AD$6:$AD1291,"保留中"),"")</f>
        <v/>
      </c>
      <c r="AN1291" s="14">
        <f>IF($AO1291="","",IF(SUMPRODUCT(MAX((職員マスタ!$A$6:$A$405=$B1291)*(((職員マスタ!$G$6:$G$405="")+(職員マスタ!$G$6:$G$405&lt;=EOMONTH($AO1291,0)))&gt;0)*(((職員マスタ!$H$6:$H$405="")+(職員マスタ!$H$6:$H$405&gt;=$AO1291))&gt;0)*(ROW(職員マスタ!$A$6:$A$405)-5)))&gt;0,SUMPRODUCT(MAX((職員マスタ!$A$6:$A$405=$B1291)*(((職員マスタ!$G$6:$G$405="")+(職員マスタ!$G$6:$G$405&lt;=EOMONTH($AO1291,0)))&gt;0)*(((職員マスタ!$H$6:$H$405="")+(職員マスタ!$H$6:$H$405&gt;=$AO1291))&gt;0)*(ROW(職員マスタ!$A$6:$A$405)-5))),IFERROR(MATCH($B1291,職員マスタ!$A$6:$A$405,0),"")))</f>
        <v/>
      </c>
      <c r="AO1291" s="16">
        <f>IF(OR($B1291="",$C1291="",$D1291=""),"",DATE($C1291+2018,$D1291,1))</f>
        <v/>
      </c>
    </row>
    <row r="1292">
      <c r="A1292" s="11" t="n"/>
      <c r="B1292" s="12" t="n"/>
      <c r="C1292" s="12" t="n"/>
      <c r="D1292" s="12" t="n"/>
      <c r="E1292" s="13" t="n"/>
      <c r="F1292" s="12" t="n"/>
      <c r="G1292" s="13" t="n"/>
      <c r="H1292" s="12" t="n"/>
      <c r="I1292" s="12" t="n"/>
      <c r="J1292" s="12" t="n"/>
      <c r="K1292" s="12" t="n"/>
      <c r="L1292" s="11" t="n"/>
      <c r="M1292" s="11" t="n"/>
      <c r="N1292" s="11" t="n"/>
      <c r="O1292" s="11" t="n"/>
      <c r="P1292" s="12" t="n"/>
      <c r="Q1292" s="11" t="n"/>
      <c r="R1292" s="12" t="n"/>
      <c r="S1292" s="11" t="n"/>
      <c r="T1292" s="12" t="n"/>
      <c r="U1292" s="12" t="n"/>
      <c r="V1292" s="14">
        <f>IF($AN1292="",IF($B1292="","",$H1292),IF(INDEX(職員マスタ!$B$6:$B$405,$AN1292)="",$H1292,INDEX(職員マスタ!$B$6:$B$405,$AN1292)))</f>
        <v/>
      </c>
      <c r="W1292" s="14">
        <f>IF($AN1292="",IF($B1292="","",$R1292),IF(INDEX(職員マスタ!$C$6:$C$405,$AN1292)="",$R1292,INDEX(職員マスタ!$C$6:$C$405,$AN1292)))</f>
        <v/>
      </c>
      <c r="X1292" s="14">
        <f>IF($AO1292="","","R"&amp;$C1292&amp;"."&amp;$D1292)</f>
        <v/>
      </c>
      <c r="Y1292" s="15">
        <f>IF($AN1292="","",IF(INDEX(職員マスタ!$K$6:$K$405,$AN1292)="","",INDEX(職員マスタ!$K$6:$K$405,$AN1292)))</f>
        <v/>
      </c>
      <c r="Z1292" s="14">
        <f>IF(OR($E1292="",$Y1292=""),"",IF($E1292&gt;=$Y1292,"×",IF($E1292&gt;=$Y1292*設定!$C$5,"△","○")))</f>
        <v/>
      </c>
      <c r="AA1292" s="15">
        <f>IF($Z1292="","",IF($Z1292="×",0,IF($Z1292="○",ROUNDDOWN($E1292*設定!$C$4,0),ROUNDDOWN($E1292*ROUND((9*$Y1292-9*$E1292)/(10*$E1292),4),0))))</f>
        <v/>
      </c>
      <c r="AB1292" s="13" t="n"/>
      <c r="AC1292" s="15">
        <f>IF($B1292="","",IF($AB1292&lt;&gt;"",$AB1292,IF($AA1292="","",IF($AA1292&lt;=設定!$C$3,0,$AA1292))))</f>
        <v/>
      </c>
      <c r="AD1292" s="14">
        <f>IF($B1292="","",IF(AND($AE1292&lt;&gt;"",$AG1292="",$AJ1292=""),"保留中",IF($AJ1292&lt;&gt;"",IF(N($AC1292)&gt;0,"支給済","不支給"),IF($AC1292="","要確認",IF($AC1292=0,"不支給","未処理")))))</f>
        <v/>
      </c>
      <c r="AE1292" s="12" t="n"/>
      <c r="AF1292" s="11" t="n"/>
      <c r="AG1292" s="11" t="n"/>
      <c r="AH1292" s="11" t="n"/>
      <c r="AI1292" s="14">
        <f>IF(AND($AD1292="保留中",$AF1292&lt;&gt;""),TODAY()-$AF1292,"")</f>
        <v/>
      </c>
      <c r="AJ1292" s="12" t="n"/>
      <c r="AK1292" s="14">
        <f>IF($B1292="","",IF($AO1292="","対象年月が未入力／","")&amp;IF($B1292="","",IF($AN1292="","職員マスタに未登録の職員番号／",IF($Y1292="","標準報酬月額が未登録／","")&amp;IF(AND($AO1292&lt;&gt;"",OR(AND(INDEX(職員マスタ!$G$6:$G$405,$AN1292)&lt;&gt;"",INDEX(職員マスタ!$G$6:$G$405,$AN1292)&gt;EOMONTH($AO1292,0)),AND(INDEX(職員マスタ!$H$6:$H$405,$AN1292)&lt;&gt;"",INDEX(職員マスタ!$H$6:$H$405,$AN1292)&lt;$AO1292))),"対象月が時短期間外／","")&amp;IF(AND(INDEX(職員マスタ!$F$6:$F$405,$AN1292)&lt;&gt;"",$AO1292&lt;&gt;"",INDEX(職員マスタ!$F$6:$F$405,$AN1292)&lt;$AO1292),"対象月に子が2歳到達済／","")&amp;IF(AND($H1292&lt;&gt;"",INDEX(職員マスタ!$B$6:$B$405,$AN1292)&lt;&gt;"",SUBSTITUTE(SUBSTITUTE($H1292," ","")," ","")&lt;&gt;SUBSTITUTE(SUBSTITUTE(INDEX(職員マスタ!$B$6:$B$405,$AN1292)," ","")," ","")),"氏名がマスタと相違／","")&amp;IF(AND($Q1292&lt;&gt;"",INDEX(職員マスタ!$E$6:$E$405,$AN1292)&lt;&gt;"",$Q1292&lt;&gt;INDEX(職員マスタ!$E$6:$E$405,$AN1292)),"子の生年月日がマスタと相違／","")&amp;IF(AND($L1292&lt;&gt;"",INDEX(職員マスタ!$G$6:$G$405,$AN1292)&lt;&gt;"",$L1292&lt;&gt;INDEX(職員マスタ!$G$6:$G$405,$AN1292)),"時短開始日がマスタと相違／","")&amp;IF(AND($M1292&lt;&gt;"",INDEX(職員マスタ!$H$6:$H$405,$AN1292)&lt;&gt;"",$M1292&lt;&gt;INDEX(職員マスタ!$H$6:$H$405,$AN1292)),"時短終了日がマスタと相違／","")))&amp;IF(AND($B1292&lt;&gt;"",$E1292=""),"報酬額が未入力／","")&amp;IF(N($U1292)&gt;0,"申請書に入力エラーが残っています／","")&amp;IF(AND($B1292&lt;&gt;"",$AO1292&lt;&gt;""),IF(COUNTIFS($B$6:$B$3005,$B1292,$C$6:$C$3005,$C1292,$D$6:$D$3005,$D1292)&gt;1,"同じ月の請求が重複しています／",""),"")&amp;IF(AND(N($E1292)&gt;0,$Z1292&lt;&gt;"",$Z1292&lt;&gt;"×",$AC1292=0,$AB1292=""),"計算額が下限以下のため不支給／",""))</f>
        <v/>
      </c>
      <c r="AL1292" s="12" t="n"/>
      <c r="AM1292" s="14">
        <f>IF($AD1292="保留中",COUNTIF($AD$6:$AD1292,"保留中"),"")</f>
        <v/>
      </c>
      <c r="AN1292" s="14">
        <f>IF($AO1292="","",IF(SUMPRODUCT(MAX((職員マスタ!$A$6:$A$405=$B1292)*(((職員マスタ!$G$6:$G$405="")+(職員マスタ!$G$6:$G$405&lt;=EOMONTH($AO1292,0)))&gt;0)*(((職員マスタ!$H$6:$H$405="")+(職員マスタ!$H$6:$H$405&gt;=$AO1292))&gt;0)*(ROW(職員マスタ!$A$6:$A$405)-5)))&gt;0,SUMPRODUCT(MAX((職員マスタ!$A$6:$A$405=$B1292)*(((職員マスタ!$G$6:$G$405="")+(職員マスタ!$G$6:$G$405&lt;=EOMONTH($AO1292,0)))&gt;0)*(((職員マスタ!$H$6:$H$405="")+(職員マスタ!$H$6:$H$405&gt;=$AO1292))&gt;0)*(ROW(職員マスタ!$A$6:$A$405)-5))),IFERROR(MATCH($B1292,職員マスタ!$A$6:$A$405,0),"")))</f>
        <v/>
      </c>
      <c r="AO1292" s="16">
        <f>IF(OR($B1292="",$C1292="",$D1292=""),"",DATE($C1292+2018,$D1292,1))</f>
        <v/>
      </c>
    </row>
    <row r="1293">
      <c r="A1293" s="11" t="n"/>
      <c r="B1293" s="12" t="n"/>
      <c r="C1293" s="12" t="n"/>
      <c r="D1293" s="12" t="n"/>
      <c r="E1293" s="13" t="n"/>
      <c r="F1293" s="12" t="n"/>
      <c r="G1293" s="13" t="n"/>
      <c r="H1293" s="12" t="n"/>
      <c r="I1293" s="12" t="n"/>
      <c r="J1293" s="12" t="n"/>
      <c r="K1293" s="12" t="n"/>
      <c r="L1293" s="11" t="n"/>
      <c r="M1293" s="11" t="n"/>
      <c r="N1293" s="11" t="n"/>
      <c r="O1293" s="11" t="n"/>
      <c r="P1293" s="12" t="n"/>
      <c r="Q1293" s="11" t="n"/>
      <c r="R1293" s="12" t="n"/>
      <c r="S1293" s="11" t="n"/>
      <c r="T1293" s="12" t="n"/>
      <c r="U1293" s="12" t="n"/>
      <c r="V1293" s="14">
        <f>IF($AN1293="",IF($B1293="","",$H1293),IF(INDEX(職員マスタ!$B$6:$B$405,$AN1293)="",$H1293,INDEX(職員マスタ!$B$6:$B$405,$AN1293)))</f>
        <v/>
      </c>
      <c r="W1293" s="14">
        <f>IF($AN1293="",IF($B1293="","",$R1293),IF(INDEX(職員マスタ!$C$6:$C$405,$AN1293)="",$R1293,INDEX(職員マスタ!$C$6:$C$405,$AN1293)))</f>
        <v/>
      </c>
      <c r="X1293" s="14">
        <f>IF($AO1293="","","R"&amp;$C1293&amp;"."&amp;$D1293)</f>
        <v/>
      </c>
      <c r="Y1293" s="15">
        <f>IF($AN1293="","",IF(INDEX(職員マスタ!$K$6:$K$405,$AN1293)="","",INDEX(職員マスタ!$K$6:$K$405,$AN1293)))</f>
        <v/>
      </c>
      <c r="Z1293" s="14">
        <f>IF(OR($E1293="",$Y1293=""),"",IF($E1293&gt;=$Y1293,"×",IF($E1293&gt;=$Y1293*設定!$C$5,"△","○")))</f>
        <v/>
      </c>
      <c r="AA1293" s="15">
        <f>IF($Z1293="","",IF($Z1293="×",0,IF($Z1293="○",ROUNDDOWN($E1293*設定!$C$4,0),ROUNDDOWN($E1293*ROUND((9*$Y1293-9*$E1293)/(10*$E1293),4),0))))</f>
        <v/>
      </c>
      <c r="AB1293" s="13" t="n"/>
      <c r="AC1293" s="15">
        <f>IF($B1293="","",IF($AB1293&lt;&gt;"",$AB1293,IF($AA1293="","",IF($AA1293&lt;=設定!$C$3,0,$AA1293))))</f>
        <v/>
      </c>
      <c r="AD1293" s="14">
        <f>IF($B1293="","",IF(AND($AE1293&lt;&gt;"",$AG1293="",$AJ1293=""),"保留中",IF($AJ1293&lt;&gt;"",IF(N($AC1293)&gt;0,"支給済","不支給"),IF($AC1293="","要確認",IF($AC1293=0,"不支給","未処理")))))</f>
        <v/>
      </c>
      <c r="AE1293" s="12" t="n"/>
      <c r="AF1293" s="11" t="n"/>
      <c r="AG1293" s="11" t="n"/>
      <c r="AH1293" s="11" t="n"/>
      <c r="AI1293" s="14">
        <f>IF(AND($AD1293="保留中",$AF1293&lt;&gt;""),TODAY()-$AF1293,"")</f>
        <v/>
      </c>
      <c r="AJ1293" s="12" t="n"/>
      <c r="AK1293" s="14">
        <f>IF($B1293="","",IF($AO1293="","対象年月が未入力／","")&amp;IF($B1293="","",IF($AN1293="","職員マスタに未登録の職員番号／",IF($Y1293="","標準報酬月額が未登録／","")&amp;IF(AND($AO1293&lt;&gt;"",OR(AND(INDEX(職員マスタ!$G$6:$G$405,$AN1293)&lt;&gt;"",INDEX(職員マスタ!$G$6:$G$405,$AN1293)&gt;EOMONTH($AO1293,0)),AND(INDEX(職員マスタ!$H$6:$H$405,$AN1293)&lt;&gt;"",INDEX(職員マスタ!$H$6:$H$405,$AN1293)&lt;$AO1293))),"対象月が時短期間外／","")&amp;IF(AND(INDEX(職員マスタ!$F$6:$F$405,$AN1293)&lt;&gt;"",$AO1293&lt;&gt;"",INDEX(職員マスタ!$F$6:$F$405,$AN1293)&lt;$AO1293),"対象月に子が2歳到達済／","")&amp;IF(AND($H1293&lt;&gt;"",INDEX(職員マスタ!$B$6:$B$405,$AN1293)&lt;&gt;"",SUBSTITUTE(SUBSTITUTE($H1293," ","")," ","")&lt;&gt;SUBSTITUTE(SUBSTITUTE(INDEX(職員マスタ!$B$6:$B$405,$AN1293)," ","")," ","")),"氏名がマスタと相違／","")&amp;IF(AND($Q1293&lt;&gt;"",INDEX(職員マスタ!$E$6:$E$405,$AN1293)&lt;&gt;"",$Q1293&lt;&gt;INDEX(職員マスタ!$E$6:$E$405,$AN1293)),"子の生年月日がマスタと相違／","")&amp;IF(AND($L1293&lt;&gt;"",INDEX(職員マスタ!$G$6:$G$405,$AN1293)&lt;&gt;"",$L1293&lt;&gt;INDEX(職員マスタ!$G$6:$G$405,$AN1293)),"時短開始日がマスタと相違／","")&amp;IF(AND($M1293&lt;&gt;"",INDEX(職員マスタ!$H$6:$H$405,$AN1293)&lt;&gt;"",$M1293&lt;&gt;INDEX(職員マスタ!$H$6:$H$405,$AN1293)),"時短終了日がマスタと相違／","")))&amp;IF(AND($B1293&lt;&gt;"",$E1293=""),"報酬額が未入力／","")&amp;IF(N($U1293)&gt;0,"申請書に入力エラーが残っています／","")&amp;IF(AND($B1293&lt;&gt;"",$AO1293&lt;&gt;""),IF(COUNTIFS($B$6:$B$3005,$B1293,$C$6:$C$3005,$C1293,$D$6:$D$3005,$D1293)&gt;1,"同じ月の請求が重複しています／",""),"")&amp;IF(AND(N($E1293)&gt;0,$Z1293&lt;&gt;"",$Z1293&lt;&gt;"×",$AC1293=0,$AB1293=""),"計算額が下限以下のため不支給／",""))</f>
        <v/>
      </c>
      <c r="AL1293" s="12" t="n"/>
      <c r="AM1293" s="14">
        <f>IF($AD1293="保留中",COUNTIF($AD$6:$AD1293,"保留中"),"")</f>
        <v/>
      </c>
      <c r="AN1293" s="14">
        <f>IF($AO1293="","",IF(SUMPRODUCT(MAX((職員マスタ!$A$6:$A$405=$B1293)*(((職員マスタ!$G$6:$G$405="")+(職員マスタ!$G$6:$G$405&lt;=EOMONTH($AO1293,0)))&gt;0)*(((職員マスタ!$H$6:$H$405="")+(職員マスタ!$H$6:$H$405&gt;=$AO1293))&gt;0)*(ROW(職員マスタ!$A$6:$A$405)-5)))&gt;0,SUMPRODUCT(MAX((職員マスタ!$A$6:$A$405=$B1293)*(((職員マスタ!$G$6:$G$405="")+(職員マスタ!$G$6:$G$405&lt;=EOMONTH($AO1293,0)))&gt;0)*(((職員マスタ!$H$6:$H$405="")+(職員マスタ!$H$6:$H$405&gt;=$AO1293))&gt;0)*(ROW(職員マスタ!$A$6:$A$405)-5))),IFERROR(MATCH($B1293,職員マスタ!$A$6:$A$405,0),"")))</f>
        <v/>
      </c>
      <c r="AO1293" s="16">
        <f>IF(OR($B1293="",$C1293="",$D1293=""),"",DATE($C1293+2018,$D1293,1))</f>
        <v/>
      </c>
    </row>
    <row r="1294">
      <c r="A1294" s="11" t="n"/>
      <c r="B1294" s="12" t="n"/>
      <c r="C1294" s="12" t="n"/>
      <c r="D1294" s="12" t="n"/>
      <c r="E1294" s="13" t="n"/>
      <c r="F1294" s="12" t="n"/>
      <c r="G1294" s="13" t="n"/>
      <c r="H1294" s="12" t="n"/>
      <c r="I1294" s="12" t="n"/>
      <c r="J1294" s="12" t="n"/>
      <c r="K1294" s="12" t="n"/>
      <c r="L1294" s="11" t="n"/>
      <c r="M1294" s="11" t="n"/>
      <c r="N1294" s="11" t="n"/>
      <c r="O1294" s="11" t="n"/>
      <c r="P1294" s="12" t="n"/>
      <c r="Q1294" s="11" t="n"/>
      <c r="R1294" s="12" t="n"/>
      <c r="S1294" s="11" t="n"/>
      <c r="T1294" s="12" t="n"/>
      <c r="U1294" s="12" t="n"/>
      <c r="V1294" s="14">
        <f>IF($AN1294="",IF($B1294="","",$H1294),IF(INDEX(職員マスタ!$B$6:$B$405,$AN1294)="",$H1294,INDEX(職員マスタ!$B$6:$B$405,$AN1294)))</f>
        <v/>
      </c>
      <c r="W1294" s="14">
        <f>IF($AN1294="",IF($B1294="","",$R1294),IF(INDEX(職員マスタ!$C$6:$C$405,$AN1294)="",$R1294,INDEX(職員マスタ!$C$6:$C$405,$AN1294)))</f>
        <v/>
      </c>
      <c r="X1294" s="14">
        <f>IF($AO1294="","","R"&amp;$C1294&amp;"."&amp;$D1294)</f>
        <v/>
      </c>
      <c r="Y1294" s="15">
        <f>IF($AN1294="","",IF(INDEX(職員マスタ!$K$6:$K$405,$AN1294)="","",INDEX(職員マスタ!$K$6:$K$405,$AN1294)))</f>
        <v/>
      </c>
      <c r="Z1294" s="14">
        <f>IF(OR($E1294="",$Y1294=""),"",IF($E1294&gt;=$Y1294,"×",IF($E1294&gt;=$Y1294*設定!$C$5,"△","○")))</f>
        <v/>
      </c>
      <c r="AA1294" s="15">
        <f>IF($Z1294="","",IF($Z1294="×",0,IF($Z1294="○",ROUNDDOWN($E1294*設定!$C$4,0),ROUNDDOWN($E1294*ROUND((9*$Y1294-9*$E1294)/(10*$E1294),4),0))))</f>
        <v/>
      </c>
      <c r="AB1294" s="13" t="n"/>
      <c r="AC1294" s="15">
        <f>IF($B1294="","",IF($AB1294&lt;&gt;"",$AB1294,IF($AA1294="","",IF($AA1294&lt;=設定!$C$3,0,$AA1294))))</f>
        <v/>
      </c>
      <c r="AD1294" s="14">
        <f>IF($B1294="","",IF(AND($AE1294&lt;&gt;"",$AG1294="",$AJ1294=""),"保留中",IF($AJ1294&lt;&gt;"",IF(N($AC1294)&gt;0,"支給済","不支給"),IF($AC1294="","要確認",IF($AC1294=0,"不支給","未処理")))))</f>
        <v/>
      </c>
      <c r="AE1294" s="12" t="n"/>
      <c r="AF1294" s="11" t="n"/>
      <c r="AG1294" s="11" t="n"/>
      <c r="AH1294" s="11" t="n"/>
      <c r="AI1294" s="14">
        <f>IF(AND($AD1294="保留中",$AF1294&lt;&gt;""),TODAY()-$AF1294,"")</f>
        <v/>
      </c>
      <c r="AJ1294" s="12" t="n"/>
      <c r="AK1294" s="14">
        <f>IF($B1294="","",IF($AO1294="","対象年月が未入力／","")&amp;IF($B1294="","",IF($AN1294="","職員マスタに未登録の職員番号／",IF($Y1294="","標準報酬月額が未登録／","")&amp;IF(AND($AO1294&lt;&gt;"",OR(AND(INDEX(職員マスタ!$G$6:$G$405,$AN1294)&lt;&gt;"",INDEX(職員マスタ!$G$6:$G$405,$AN1294)&gt;EOMONTH($AO1294,0)),AND(INDEX(職員マスタ!$H$6:$H$405,$AN1294)&lt;&gt;"",INDEX(職員マスタ!$H$6:$H$405,$AN1294)&lt;$AO1294))),"対象月が時短期間外／","")&amp;IF(AND(INDEX(職員マスタ!$F$6:$F$405,$AN1294)&lt;&gt;"",$AO1294&lt;&gt;"",INDEX(職員マスタ!$F$6:$F$405,$AN1294)&lt;$AO1294),"対象月に子が2歳到達済／","")&amp;IF(AND($H1294&lt;&gt;"",INDEX(職員マスタ!$B$6:$B$405,$AN1294)&lt;&gt;"",SUBSTITUTE(SUBSTITUTE($H1294," ","")," ","")&lt;&gt;SUBSTITUTE(SUBSTITUTE(INDEX(職員マスタ!$B$6:$B$405,$AN1294)," ","")," ","")),"氏名がマスタと相違／","")&amp;IF(AND($Q1294&lt;&gt;"",INDEX(職員マスタ!$E$6:$E$405,$AN1294)&lt;&gt;"",$Q1294&lt;&gt;INDEX(職員マスタ!$E$6:$E$405,$AN1294)),"子の生年月日がマスタと相違／","")&amp;IF(AND($L1294&lt;&gt;"",INDEX(職員マスタ!$G$6:$G$405,$AN1294)&lt;&gt;"",$L1294&lt;&gt;INDEX(職員マスタ!$G$6:$G$405,$AN1294)),"時短開始日がマスタと相違／","")&amp;IF(AND($M1294&lt;&gt;"",INDEX(職員マスタ!$H$6:$H$405,$AN1294)&lt;&gt;"",$M1294&lt;&gt;INDEX(職員マスタ!$H$6:$H$405,$AN1294)),"時短終了日がマスタと相違／","")))&amp;IF(AND($B1294&lt;&gt;"",$E1294=""),"報酬額が未入力／","")&amp;IF(N($U1294)&gt;0,"申請書に入力エラーが残っています／","")&amp;IF(AND($B1294&lt;&gt;"",$AO1294&lt;&gt;""),IF(COUNTIFS($B$6:$B$3005,$B1294,$C$6:$C$3005,$C1294,$D$6:$D$3005,$D1294)&gt;1,"同じ月の請求が重複しています／",""),"")&amp;IF(AND(N($E1294)&gt;0,$Z1294&lt;&gt;"",$Z1294&lt;&gt;"×",$AC1294=0,$AB1294=""),"計算額が下限以下のため不支給／",""))</f>
        <v/>
      </c>
      <c r="AL1294" s="12" t="n"/>
      <c r="AM1294" s="14">
        <f>IF($AD1294="保留中",COUNTIF($AD$6:$AD1294,"保留中"),"")</f>
        <v/>
      </c>
      <c r="AN1294" s="14">
        <f>IF($AO1294="","",IF(SUMPRODUCT(MAX((職員マスタ!$A$6:$A$405=$B1294)*(((職員マスタ!$G$6:$G$405="")+(職員マスタ!$G$6:$G$405&lt;=EOMONTH($AO1294,0)))&gt;0)*(((職員マスタ!$H$6:$H$405="")+(職員マスタ!$H$6:$H$405&gt;=$AO1294))&gt;0)*(ROW(職員マスタ!$A$6:$A$405)-5)))&gt;0,SUMPRODUCT(MAX((職員マスタ!$A$6:$A$405=$B1294)*(((職員マスタ!$G$6:$G$405="")+(職員マスタ!$G$6:$G$405&lt;=EOMONTH($AO1294,0)))&gt;0)*(((職員マスタ!$H$6:$H$405="")+(職員マスタ!$H$6:$H$405&gt;=$AO1294))&gt;0)*(ROW(職員マスタ!$A$6:$A$405)-5))),IFERROR(MATCH($B1294,職員マスタ!$A$6:$A$405,0),"")))</f>
        <v/>
      </c>
      <c r="AO1294" s="16">
        <f>IF(OR($B1294="",$C1294="",$D1294=""),"",DATE($C1294+2018,$D1294,1))</f>
        <v/>
      </c>
    </row>
    <row r="1295">
      <c r="A1295" s="11" t="n"/>
      <c r="B1295" s="12" t="n"/>
      <c r="C1295" s="12" t="n"/>
      <c r="D1295" s="12" t="n"/>
      <c r="E1295" s="13" t="n"/>
      <c r="F1295" s="12" t="n"/>
      <c r="G1295" s="13" t="n"/>
      <c r="H1295" s="12" t="n"/>
      <c r="I1295" s="12" t="n"/>
      <c r="J1295" s="12" t="n"/>
      <c r="K1295" s="12" t="n"/>
      <c r="L1295" s="11" t="n"/>
      <c r="M1295" s="11" t="n"/>
      <c r="N1295" s="11" t="n"/>
      <c r="O1295" s="11" t="n"/>
      <c r="P1295" s="12" t="n"/>
      <c r="Q1295" s="11" t="n"/>
      <c r="R1295" s="12" t="n"/>
      <c r="S1295" s="11" t="n"/>
      <c r="T1295" s="12" t="n"/>
      <c r="U1295" s="12" t="n"/>
      <c r="V1295" s="14">
        <f>IF($AN1295="",IF($B1295="","",$H1295),IF(INDEX(職員マスタ!$B$6:$B$405,$AN1295)="",$H1295,INDEX(職員マスタ!$B$6:$B$405,$AN1295)))</f>
        <v/>
      </c>
      <c r="W1295" s="14">
        <f>IF($AN1295="",IF($B1295="","",$R1295),IF(INDEX(職員マスタ!$C$6:$C$405,$AN1295)="",$R1295,INDEX(職員マスタ!$C$6:$C$405,$AN1295)))</f>
        <v/>
      </c>
      <c r="X1295" s="14">
        <f>IF($AO1295="","","R"&amp;$C1295&amp;"."&amp;$D1295)</f>
        <v/>
      </c>
      <c r="Y1295" s="15">
        <f>IF($AN1295="","",IF(INDEX(職員マスタ!$K$6:$K$405,$AN1295)="","",INDEX(職員マスタ!$K$6:$K$405,$AN1295)))</f>
        <v/>
      </c>
      <c r="Z1295" s="14">
        <f>IF(OR($E1295="",$Y1295=""),"",IF($E1295&gt;=$Y1295,"×",IF($E1295&gt;=$Y1295*設定!$C$5,"△","○")))</f>
        <v/>
      </c>
      <c r="AA1295" s="15">
        <f>IF($Z1295="","",IF($Z1295="×",0,IF($Z1295="○",ROUNDDOWN($E1295*設定!$C$4,0),ROUNDDOWN($E1295*ROUND((9*$Y1295-9*$E1295)/(10*$E1295),4),0))))</f>
        <v/>
      </c>
      <c r="AB1295" s="13" t="n"/>
      <c r="AC1295" s="15">
        <f>IF($B1295="","",IF($AB1295&lt;&gt;"",$AB1295,IF($AA1295="","",IF($AA1295&lt;=設定!$C$3,0,$AA1295))))</f>
        <v/>
      </c>
      <c r="AD1295" s="14">
        <f>IF($B1295="","",IF(AND($AE1295&lt;&gt;"",$AG1295="",$AJ1295=""),"保留中",IF($AJ1295&lt;&gt;"",IF(N($AC1295)&gt;0,"支給済","不支給"),IF($AC1295="","要確認",IF($AC1295=0,"不支給","未処理")))))</f>
        <v/>
      </c>
      <c r="AE1295" s="12" t="n"/>
      <c r="AF1295" s="11" t="n"/>
      <c r="AG1295" s="11" t="n"/>
      <c r="AH1295" s="11" t="n"/>
      <c r="AI1295" s="14">
        <f>IF(AND($AD1295="保留中",$AF1295&lt;&gt;""),TODAY()-$AF1295,"")</f>
        <v/>
      </c>
      <c r="AJ1295" s="12" t="n"/>
      <c r="AK1295" s="14">
        <f>IF($B1295="","",IF($AO1295="","対象年月が未入力／","")&amp;IF($B1295="","",IF($AN1295="","職員マスタに未登録の職員番号／",IF($Y1295="","標準報酬月額が未登録／","")&amp;IF(AND($AO1295&lt;&gt;"",OR(AND(INDEX(職員マスタ!$G$6:$G$405,$AN1295)&lt;&gt;"",INDEX(職員マスタ!$G$6:$G$405,$AN1295)&gt;EOMONTH($AO1295,0)),AND(INDEX(職員マスタ!$H$6:$H$405,$AN1295)&lt;&gt;"",INDEX(職員マスタ!$H$6:$H$405,$AN1295)&lt;$AO1295))),"対象月が時短期間外／","")&amp;IF(AND(INDEX(職員マスタ!$F$6:$F$405,$AN1295)&lt;&gt;"",$AO1295&lt;&gt;"",INDEX(職員マスタ!$F$6:$F$405,$AN1295)&lt;$AO1295),"対象月に子が2歳到達済／","")&amp;IF(AND($H1295&lt;&gt;"",INDEX(職員マスタ!$B$6:$B$405,$AN1295)&lt;&gt;"",SUBSTITUTE(SUBSTITUTE($H1295," ","")," ","")&lt;&gt;SUBSTITUTE(SUBSTITUTE(INDEX(職員マスタ!$B$6:$B$405,$AN1295)," ","")," ","")),"氏名がマスタと相違／","")&amp;IF(AND($Q1295&lt;&gt;"",INDEX(職員マスタ!$E$6:$E$405,$AN1295)&lt;&gt;"",$Q1295&lt;&gt;INDEX(職員マスタ!$E$6:$E$405,$AN1295)),"子の生年月日がマスタと相違／","")&amp;IF(AND($L1295&lt;&gt;"",INDEX(職員マスタ!$G$6:$G$405,$AN1295)&lt;&gt;"",$L1295&lt;&gt;INDEX(職員マスタ!$G$6:$G$405,$AN1295)),"時短開始日がマスタと相違／","")&amp;IF(AND($M1295&lt;&gt;"",INDEX(職員マスタ!$H$6:$H$405,$AN1295)&lt;&gt;"",$M1295&lt;&gt;INDEX(職員マスタ!$H$6:$H$405,$AN1295)),"時短終了日がマスタと相違／","")))&amp;IF(AND($B1295&lt;&gt;"",$E1295=""),"報酬額が未入力／","")&amp;IF(N($U1295)&gt;0,"申請書に入力エラーが残っています／","")&amp;IF(AND($B1295&lt;&gt;"",$AO1295&lt;&gt;""),IF(COUNTIFS($B$6:$B$3005,$B1295,$C$6:$C$3005,$C1295,$D$6:$D$3005,$D1295)&gt;1,"同じ月の請求が重複しています／",""),"")&amp;IF(AND(N($E1295)&gt;0,$Z1295&lt;&gt;"",$Z1295&lt;&gt;"×",$AC1295=0,$AB1295=""),"計算額が下限以下のため不支給／",""))</f>
        <v/>
      </c>
      <c r="AL1295" s="12" t="n"/>
      <c r="AM1295" s="14">
        <f>IF($AD1295="保留中",COUNTIF($AD$6:$AD1295,"保留中"),"")</f>
        <v/>
      </c>
      <c r="AN1295" s="14">
        <f>IF($AO1295="","",IF(SUMPRODUCT(MAX((職員マスタ!$A$6:$A$405=$B1295)*(((職員マスタ!$G$6:$G$405="")+(職員マスタ!$G$6:$G$405&lt;=EOMONTH($AO1295,0)))&gt;0)*(((職員マスタ!$H$6:$H$405="")+(職員マスタ!$H$6:$H$405&gt;=$AO1295))&gt;0)*(ROW(職員マスタ!$A$6:$A$405)-5)))&gt;0,SUMPRODUCT(MAX((職員マスタ!$A$6:$A$405=$B1295)*(((職員マスタ!$G$6:$G$405="")+(職員マスタ!$G$6:$G$405&lt;=EOMONTH($AO1295,0)))&gt;0)*(((職員マスタ!$H$6:$H$405="")+(職員マスタ!$H$6:$H$405&gt;=$AO1295))&gt;0)*(ROW(職員マスタ!$A$6:$A$405)-5))),IFERROR(MATCH($B1295,職員マスタ!$A$6:$A$405,0),"")))</f>
        <v/>
      </c>
      <c r="AO1295" s="16">
        <f>IF(OR($B1295="",$C1295="",$D1295=""),"",DATE($C1295+2018,$D1295,1))</f>
        <v/>
      </c>
    </row>
    <row r="1296">
      <c r="A1296" s="11" t="n"/>
      <c r="B1296" s="12" t="n"/>
      <c r="C1296" s="12" t="n"/>
      <c r="D1296" s="12" t="n"/>
      <c r="E1296" s="13" t="n"/>
      <c r="F1296" s="12" t="n"/>
      <c r="G1296" s="13" t="n"/>
      <c r="H1296" s="12" t="n"/>
      <c r="I1296" s="12" t="n"/>
      <c r="J1296" s="12" t="n"/>
      <c r="K1296" s="12" t="n"/>
      <c r="L1296" s="11" t="n"/>
      <c r="M1296" s="11" t="n"/>
      <c r="N1296" s="11" t="n"/>
      <c r="O1296" s="11" t="n"/>
      <c r="P1296" s="12" t="n"/>
      <c r="Q1296" s="11" t="n"/>
      <c r="R1296" s="12" t="n"/>
      <c r="S1296" s="11" t="n"/>
      <c r="T1296" s="12" t="n"/>
      <c r="U1296" s="12" t="n"/>
      <c r="V1296" s="14">
        <f>IF($AN1296="",IF($B1296="","",$H1296),IF(INDEX(職員マスタ!$B$6:$B$405,$AN1296)="",$H1296,INDEX(職員マスタ!$B$6:$B$405,$AN1296)))</f>
        <v/>
      </c>
      <c r="W1296" s="14">
        <f>IF($AN1296="",IF($B1296="","",$R1296),IF(INDEX(職員マスタ!$C$6:$C$405,$AN1296)="",$R1296,INDEX(職員マスタ!$C$6:$C$405,$AN1296)))</f>
        <v/>
      </c>
      <c r="X1296" s="14">
        <f>IF($AO1296="","","R"&amp;$C1296&amp;"."&amp;$D1296)</f>
        <v/>
      </c>
      <c r="Y1296" s="15">
        <f>IF($AN1296="","",IF(INDEX(職員マスタ!$K$6:$K$405,$AN1296)="","",INDEX(職員マスタ!$K$6:$K$405,$AN1296)))</f>
        <v/>
      </c>
      <c r="Z1296" s="14">
        <f>IF(OR($E1296="",$Y1296=""),"",IF($E1296&gt;=$Y1296,"×",IF($E1296&gt;=$Y1296*設定!$C$5,"△","○")))</f>
        <v/>
      </c>
      <c r="AA1296" s="15">
        <f>IF($Z1296="","",IF($Z1296="×",0,IF($Z1296="○",ROUNDDOWN($E1296*設定!$C$4,0),ROUNDDOWN($E1296*ROUND((9*$Y1296-9*$E1296)/(10*$E1296),4),0))))</f>
        <v/>
      </c>
      <c r="AB1296" s="13" t="n"/>
      <c r="AC1296" s="15">
        <f>IF($B1296="","",IF($AB1296&lt;&gt;"",$AB1296,IF($AA1296="","",IF($AA1296&lt;=設定!$C$3,0,$AA1296))))</f>
        <v/>
      </c>
      <c r="AD1296" s="14">
        <f>IF($B1296="","",IF(AND($AE1296&lt;&gt;"",$AG1296="",$AJ1296=""),"保留中",IF($AJ1296&lt;&gt;"",IF(N($AC1296)&gt;0,"支給済","不支給"),IF($AC1296="","要確認",IF($AC1296=0,"不支給","未処理")))))</f>
        <v/>
      </c>
      <c r="AE1296" s="12" t="n"/>
      <c r="AF1296" s="11" t="n"/>
      <c r="AG1296" s="11" t="n"/>
      <c r="AH1296" s="11" t="n"/>
      <c r="AI1296" s="14">
        <f>IF(AND($AD1296="保留中",$AF1296&lt;&gt;""),TODAY()-$AF1296,"")</f>
        <v/>
      </c>
      <c r="AJ1296" s="12" t="n"/>
      <c r="AK1296" s="14">
        <f>IF($B1296="","",IF($AO1296="","対象年月が未入力／","")&amp;IF($B1296="","",IF($AN1296="","職員マスタに未登録の職員番号／",IF($Y1296="","標準報酬月額が未登録／","")&amp;IF(AND($AO1296&lt;&gt;"",OR(AND(INDEX(職員マスタ!$G$6:$G$405,$AN1296)&lt;&gt;"",INDEX(職員マスタ!$G$6:$G$405,$AN1296)&gt;EOMONTH($AO1296,0)),AND(INDEX(職員マスタ!$H$6:$H$405,$AN1296)&lt;&gt;"",INDEX(職員マスタ!$H$6:$H$405,$AN1296)&lt;$AO1296))),"対象月が時短期間外／","")&amp;IF(AND(INDEX(職員マスタ!$F$6:$F$405,$AN1296)&lt;&gt;"",$AO1296&lt;&gt;"",INDEX(職員マスタ!$F$6:$F$405,$AN1296)&lt;$AO1296),"対象月に子が2歳到達済／","")&amp;IF(AND($H1296&lt;&gt;"",INDEX(職員マスタ!$B$6:$B$405,$AN1296)&lt;&gt;"",SUBSTITUTE(SUBSTITUTE($H1296," ","")," ","")&lt;&gt;SUBSTITUTE(SUBSTITUTE(INDEX(職員マスタ!$B$6:$B$405,$AN1296)," ","")," ","")),"氏名がマスタと相違／","")&amp;IF(AND($Q1296&lt;&gt;"",INDEX(職員マスタ!$E$6:$E$405,$AN1296)&lt;&gt;"",$Q1296&lt;&gt;INDEX(職員マスタ!$E$6:$E$405,$AN1296)),"子の生年月日がマスタと相違／","")&amp;IF(AND($L1296&lt;&gt;"",INDEX(職員マスタ!$G$6:$G$405,$AN1296)&lt;&gt;"",$L1296&lt;&gt;INDEX(職員マスタ!$G$6:$G$405,$AN1296)),"時短開始日がマスタと相違／","")&amp;IF(AND($M1296&lt;&gt;"",INDEX(職員マスタ!$H$6:$H$405,$AN1296)&lt;&gt;"",$M1296&lt;&gt;INDEX(職員マスタ!$H$6:$H$405,$AN1296)),"時短終了日がマスタと相違／","")))&amp;IF(AND($B1296&lt;&gt;"",$E1296=""),"報酬額が未入力／","")&amp;IF(N($U1296)&gt;0,"申請書に入力エラーが残っています／","")&amp;IF(AND($B1296&lt;&gt;"",$AO1296&lt;&gt;""),IF(COUNTIFS($B$6:$B$3005,$B1296,$C$6:$C$3005,$C1296,$D$6:$D$3005,$D1296)&gt;1,"同じ月の請求が重複しています／",""),"")&amp;IF(AND(N($E1296)&gt;0,$Z1296&lt;&gt;"",$Z1296&lt;&gt;"×",$AC1296=0,$AB1296=""),"計算額が下限以下のため不支給／",""))</f>
        <v/>
      </c>
      <c r="AL1296" s="12" t="n"/>
      <c r="AM1296" s="14">
        <f>IF($AD1296="保留中",COUNTIF($AD$6:$AD1296,"保留中"),"")</f>
        <v/>
      </c>
      <c r="AN1296" s="14">
        <f>IF($AO1296="","",IF(SUMPRODUCT(MAX((職員マスタ!$A$6:$A$405=$B1296)*(((職員マスタ!$G$6:$G$405="")+(職員マスタ!$G$6:$G$405&lt;=EOMONTH($AO1296,0)))&gt;0)*(((職員マスタ!$H$6:$H$405="")+(職員マスタ!$H$6:$H$405&gt;=$AO1296))&gt;0)*(ROW(職員マスタ!$A$6:$A$405)-5)))&gt;0,SUMPRODUCT(MAX((職員マスタ!$A$6:$A$405=$B1296)*(((職員マスタ!$G$6:$G$405="")+(職員マスタ!$G$6:$G$405&lt;=EOMONTH($AO1296,0)))&gt;0)*(((職員マスタ!$H$6:$H$405="")+(職員マスタ!$H$6:$H$405&gt;=$AO1296))&gt;0)*(ROW(職員マスタ!$A$6:$A$405)-5))),IFERROR(MATCH($B1296,職員マスタ!$A$6:$A$405,0),"")))</f>
        <v/>
      </c>
      <c r="AO1296" s="16">
        <f>IF(OR($B1296="",$C1296="",$D1296=""),"",DATE($C1296+2018,$D1296,1))</f>
        <v/>
      </c>
    </row>
    <row r="1297">
      <c r="A1297" s="11" t="n"/>
      <c r="B1297" s="12" t="n"/>
      <c r="C1297" s="12" t="n"/>
      <c r="D1297" s="12" t="n"/>
      <c r="E1297" s="13" t="n"/>
      <c r="F1297" s="12" t="n"/>
      <c r="G1297" s="13" t="n"/>
      <c r="H1297" s="12" t="n"/>
      <c r="I1297" s="12" t="n"/>
      <c r="J1297" s="12" t="n"/>
      <c r="K1297" s="12" t="n"/>
      <c r="L1297" s="11" t="n"/>
      <c r="M1297" s="11" t="n"/>
      <c r="N1297" s="11" t="n"/>
      <c r="O1297" s="11" t="n"/>
      <c r="P1297" s="12" t="n"/>
      <c r="Q1297" s="11" t="n"/>
      <c r="R1297" s="12" t="n"/>
      <c r="S1297" s="11" t="n"/>
      <c r="T1297" s="12" t="n"/>
      <c r="U1297" s="12" t="n"/>
      <c r="V1297" s="14">
        <f>IF($AN1297="",IF($B1297="","",$H1297),IF(INDEX(職員マスタ!$B$6:$B$405,$AN1297)="",$H1297,INDEX(職員マスタ!$B$6:$B$405,$AN1297)))</f>
        <v/>
      </c>
      <c r="W1297" s="14">
        <f>IF($AN1297="",IF($B1297="","",$R1297),IF(INDEX(職員マスタ!$C$6:$C$405,$AN1297)="",$R1297,INDEX(職員マスタ!$C$6:$C$405,$AN1297)))</f>
        <v/>
      </c>
      <c r="X1297" s="14">
        <f>IF($AO1297="","","R"&amp;$C1297&amp;"."&amp;$D1297)</f>
        <v/>
      </c>
      <c r="Y1297" s="15">
        <f>IF($AN1297="","",IF(INDEX(職員マスタ!$K$6:$K$405,$AN1297)="","",INDEX(職員マスタ!$K$6:$K$405,$AN1297)))</f>
        <v/>
      </c>
      <c r="Z1297" s="14">
        <f>IF(OR($E1297="",$Y1297=""),"",IF($E1297&gt;=$Y1297,"×",IF($E1297&gt;=$Y1297*設定!$C$5,"△","○")))</f>
        <v/>
      </c>
      <c r="AA1297" s="15">
        <f>IF($Z1297="","",IF($Z1297="×",0,IF($Z1297="○",ROUNDDOWN($E1297*設定!$C$4,0),ROUNDDOWN($E1297*ROUND((9*$Y1297-9*$E1297)/(10*$E1297),4),0))))</f>
        <v/>
      </c>
      <c r="AB1297" s="13" t="n"/>
      <c r="AC1297" s="15">
        <f>IF($B1297="","",IF($AB1297&lt;&gt;"",$AB1297,IF($AA1297="","",IF($AA1297&lt;=設定!$C$3,0,$AA1297))))</f>
        <v/>
      </c>
      <c r="AD1297" s="14">
        <f>IF($B1297="","",IF(AND($AE1297&lt;&gt;"",$AG1297="",$AJ1297=""),"保留中",IF($AJ1297&lt;&gt;"",IF(N($AC1297)&gt;0,"支給済","不支給"),IF($AC1297="","要確認",IF($AC1297=0,"不支給","未処理")))))</f>
        <v/>
      </c>
      <c r="AE1297" s="12" t="n"/>
      <c r="AF1297" s="11" t="n"/>
      <c r="AG1297" s="11" t="n"/>
      <c r="AH1297" s="11" t="n"/>
      <c r="AI1297" s="14">
        <f>IF(AND($AD1297="保留中",$AF1297&lt;&gt;""),TODAY()-$AF1297,"")</f>
        <v/>
      </c>
      <c r="AJ1297" s="12" t="n"/>
      <c r="AK1297" s="14">
        <f>IF($B1297="","",IF($AO1297="","対象年月が未入力／","")&amp;IF($B1297="","",IF($AN1297="","職員マスタに未登録の職員番号／",IF($Y1297="","標準報酬月額が未登録／","")&amp;IF(AND($AO1297&lt;&gt;"",OR(AND(INDEX(職員マスタ!$G$6:$G$405,$AN1297)&lt;&gt;"",INDEX(職員マスタ!$G$6:$G$405,$AN1297)&gt;EOMONTH($AO1297,0)),AND(INDEX(職員マスタ!$H$6:$H$405,$AN1297)&lt;&gt;"",INDEX(職員マスタ!$H$6:$H$405,$AN1297)&lt;$AO1297))),"対象月が時短期間外／","")&amp;IF(AND(INDEX(職員マスタ!$F$6:$F$405,$AN1297)&lt;&gt;"",$AO1297&lt;&gt;"",INDEX(職員マスタ!$F$6:$F$405,$AN1297)&lt;$AO1297),"対象月に子が2歳到達済／","")&amp;IF(AND($H1297&lt;&gt;"",INDEX(職員マスタ!$B$6:$B$405,$AN1297)&lt;&gt;"",SUBSTITUTE(SUBSTITUTE($H1297," ","")," ","")&lt;&gt;SUBSTITUTE(SUBSTITUTE(INDEX(職員マスタ!$B$6:$B$405,$AN1297)," ","")," ","")),"氏名がマスタと相違／","")&amp;IF(AND($Q1297&lt;&gt;"",INDEX(職員マスタ!$E$6:$E$405,$AN1297)&lt;&gt;"",$Q1297&lt;&gt;INDEX(職員マスタ!$E$6:$E$405,$AN1297)),"子の生年月日がマスタと相違／","")&amp;IF(AND($L1297&lt;&gt;"",INDEX(職員マスタ!$G$6:$G$405,$AN1297)&lt;&gt;"",$L1297&lt;&gt;INDEX(職員マスタ!$G$6:$G$405,$AN1297)),"時短開始日がマスタと相違／","")&amp;IF(AND($M1297&lt;&gt;"",INDEX(職員マスタ!$H$6:$H$405,$AN1297)&lt;&gt;"",$M1297&lt;&gt;INDEX(職員マスタ!$H$6:$H$405,$AN1297)),"時短終了日がマスタと相違／","")))&amp;IF(AND($B1297&lt;&gt;"",$E1297=""),"報酬額が未入力／","")&amp;IF(N($U1297)&gt;0,"申請書に入力エラーが残っています／","")&amp;IF(AND($B1297&lt;&gt;"",$AO1297&lt;&gt;""),IF(COUNTIFS($B$6:$B$3005,$B1297,$C$6:$C$3005,$C1297,$D$6:$D$3005,$D1297)&gt;1,"同じ月の請求が重複しています／",""),"")&amp;IF(AND(N($E1297)&gt;0,$Z1297&lt;&gt;"",$Z1297&lt;&gt;"×",$AC1297=0,$AB1297=""),"計算額が下限以下のため不支給／",""))</f>
        <v/>
      </c>
      <c r="AL1297" s="12" t="n"/>
      <c r="AM1297" s="14">
        <f>IF($AD1297="保留中",COUNTIF($AD$6:$AD1297,"保留中"),"")</f>
        <v/>
      </c>
      <c r="AN1297" s="14">
        <f>IF($AO1297="","",IF(SUMPRODUCT(MAX((職員マスタ!$A$6:$A$405=$B1297)*(((職員マスタ!$G$6:$G$405="")+(職員マスタ!$G$6:$G$405&lt;=EOMONTH($AO1297,0)))&gt;0)*(((職員マスタ!$H$6:$H$405="")+(職員マスタ!$H$6:$H$405&gt;=$AO1297))&gt;0)*(ROW(職員マスタ!$A$6:$A$405)-5)))&gt;0,SUMPRODUCT(MAX((職員マスタ!$A$6:$A$405=$B1297)*(((職員マスタ!$G$6:$G$405="")+(職員マスタ!$G$6:$G$405&lt;=EOMONTH($AO1297,0)))&gt;0)*(((職員マスタ!$H$6:$H$405="")+(職員マスタ!$H$6:$H$405&gt;=$AO1297))&gt;0)*(ROW(職員マスタ!$A$6:$A$405)-5))),IFERROR(MATCH($B1297,職員マスタ!$A$6:$A$405,0),"")))</f>
        <v/>
      </c>
      <c r="AO1297" s="16">
        <f>IF(OR($B1297="",$C1297="",$D1297=""),"",DATE($C1297+2018,$D1297,1))</f>
        <v/>
      </c>
    </row>
    <row r="1298">
      <c r="A1298" s="11" t="n"/>
      <c r="B1298" s="12" t="n"/>
      <c r="C1298" s="12" t="n"/>
      <c r="D1298" s="12" t="n"/>
      <c r="E1298" s="13" t="n"/>
      <c r="F1298" s="12" t="n"/>
      <c r="G1298" s="13" t="n"/>
      <c r="H1298" s="12" t="n"/>
      <c r="I1298" s="12" t="n"/>
      <c r="J1298" s="12" t="n"/>
      <c r="K1298" s="12" t="n"/>
      <c r="L1298" s="11" t="n"/>
      <c r="M1298" s="11" t="n"/>
      <c r="N1298" s="11" t="n"/>
      <c r="O1298" s="11" t="n"/>
      <c r="P1298" s="12" t="n"/>
      <c r="Q1298" s="11" t="n"/>
      <c r="R1298" s="12" t="n"/>
      <c r="S1298" s="11" t="n"/>
      <c r="T1298" s="12" t="n"/>
      <c r="U1298" s="12" t="n"/>
      <c r="V1298" s="14">
        <f>IF($AN1298="",IF($B1298="","",$H1298),IF(INDEX(職員マスタ!$B$6:$B$405,$AN1298)="",$H1298,INDEX(職員マスタ!$B$6:$B$405,$AN1298)))</f>
        <v/>
      </c>
      <c r="W1298" s="14">
        <f>IF($AN1298="",IF($B1298="","",$R1298),IF(INDEX(職員マスタ!$C$6:$C$405,$AN1298)="",$R1298,INDEX(職員マスタ!$C$6:$C$405,$AN1298)))</f>
        <v/>
      </c>
      <c r="X1298" s="14">
        <f>IF($AO1298="","","R"&amp;$C1298&amp;"."&amp;$D1298)</f>
        <v/>
      </c>
      <c r="Y1298" s="15">
        <f>IF($AN1298="","",IF(INDEX(職員マスタ!$K$6:$K$405,$AN1298)="","",INDEX(職員マスタ!$K$6:$K$405,$AN1298)))</f>
        <v/>
      </c>
      <c r="Z1298" s="14">
        <f>IF(OR($E1298="",$Y1298=""),"",IF($E1298&gt;=$Y1298,"×",IF($E1298&gt;=$Y1298*設定!$C$5,"△","○")))</f>
        <v/>
      </c>
      <c r="AA1298" s="15">
        <f>IF($Z1298="","",IF($Z1298="×",0,IF($Z1298="○",ROUNDDOWN($E1298*設定!$C$4,0),ROUNDDOWN($E1298*ROUND((9*$Y1298-9*$E1298)/(10*$E1298),4),0))))</f>
        <v/>
      </c>
      <c r="AB1298" s="13" t="n"/>
      <c r="AC1298" s="15">
        <f>IF($B1298="","",IF($AB1298&lt;&gt;"",$AB1298,IF($AA1298="","",IF($AA1298&lt;=設定!$C$3,0,$AA1298))))</f>
        <v/>
      </c>
      <c r="AD1298" s="14">
        <f>IF($B1298="","",IF(AND($AE1298&lt;&gt;"",$AG1298="",$AJ1298=""),"保留中",IF($AJ1298&lt;&gt;"",IF(N($AC1298)&gt;0,"支給済","不支給"),IF($AC1298="","要確認",IF($AC1298=0,"不支給","未処理")))))</f>
        <v/>
      </c>
      <c r="AE1298" s="12" t="n"/>
      <c r="AF1298" s="11" t="n"/>
      <c r="AG1298" s="11" t="n"/>
      <c r="AH1298" s="11" t="n"/>
      <c r="AI1298" s="14">
        <f>IF(AND($AD1298="保留中",$AF1298&lt;&gt;""),TODAY()-$AF1298,"")</f>
        <v/>
      </c>
      <c r="AJ1298" s="12" t="n"/>
      <c r="AK1298" s="14">
        <f>IF($B1298="","",IF($AO1298="","対象年月が未入力／","")&amp;IF($B1298="","",IF($AN1298="","職員マスタに未登録の職員番号／",IF($Y1298="","標準報酬月額が未登録／","")&amp;IF(AND($AO1298&lt;&gt;"",OR(AND(INDEX(職員マスタ!$G$6:$G$405,$AN1298)&lt;&gt;"",INDEX(職員マスタ!$G$6:$G$405,$AN1298)&gt;EOMONTH($AO1298,0)),AND(INDEX(職員マスタ!$H$6:$H$405,$AN1298)&lt;&gt;"",INDEX(職員マスタ!$H$6:$H$405,$AN1298)&lt;$AO1298))),"対象月が時短期間外／","")&amp;IF(AND(INDEX(職員マスタ!$F$6:$F$405,$AN1298)&lt;&gt;"",$AO1298&lt;&gt;"",INDEX(職員マスタ!$F$6:$F$405,$AN1298)&lt;$AO1298),"対象月に子が2歳到達済／","")&amp;IF(AND($H1298&lt;&gt;"",INDEX(職員マスタ!$B$6:$B$405,$AN1298)&lt;&gt;"",SUBSTITUTE(SUBSTITUTE($H1298," ","")," ","")&lt;&gt;SUBSTITUTE(SUBSTITUTE(INDEX(職員マスタ!$B$6:$B$405,$AN1298)," ","")," ","")),"氏名がマスタと相違／","")&amp;IF(AND($Q1298&lt;&gt;"",INDEX(職員マスタ!$E$6:$E$405,$AN1298)&lt;&gt;"",$Q1298&lt;&gt;INDEX(職員マスタ!$E$6:$E$405,$AN1298)),"子の生年月日がマスタと相違／","")&amp;IF(AND($L1298&lt;&gt;"",INDEX(職員マスタ!$G$6:$G$405,$AN1298)&lt;&gt;"",$L1298&lt;&gt;INDEX(職員マスタ!$G$6:$G$405,$AN1298)),"時短開始日がマスタと相違／","")&amp;IF(AND($M1298&lt;&gt;"",INDEX(職員マスタ!$H$6:$H$405,$AN1298)&lt;&gt;"",$M1298&lt;&gt;INDEX(職員マスタ!$H$6:$H$405,$AN1298)),"時短終了日がマスタと相違／","")))&amp;IF(AND($B1298&lt;&gt;"",$E1298=""),"報酬額が未入力／","")&amp;IF(N($U1298)&gt;0,"申請書に入力エラーが残っています／","")&amp;IF(AND($B1298&lt;&gt;"",$AO1298&lt;&gt;""),IF(COUNTIFS($B$6:$B$3005,$B1298,$C$6:$C$3005,$C1298,$D$6:$D$3005,$D1298)&gt;1,"同じ月の請求が重複しています／",""),"")&amp;IF(AND(N($E1298)&gt;0,$Z1298&lt;&gt;"",$Z1298&lt;&gt;"×",$AC1298=0,$AB1298=""),"計算額が下限以下のため不支給／",""))</f>
        <v/>
      </c>
      <c r="AL1298" s="12" t="n"/>
      <c r="AM1298" s="14">
        <f>IF($AD1298="保留中",COUNTIF($AD$6:$AD1298,"保留中"),"")</f>
        <v/>
      </c>
      <c r="AN1298" s="14">
        <f>IF($AO1298="","",IF(SUMPRODUCT(MAX((職員マスタ!$A$6:$A$405=$B1298)*(((職員マスタ!$G$6:$G$405="")+(職員マスタ!$G$6:$G$405&lt;=EOMONTH($AO1298,0)))&gt;0)*(((職員マスタ!$H$6:$H$405="")+(職員マスタ!$H$6:$H$405&gt;=$AO1298))&gt;0)*(ROW(職員マスタ!$A$6:$A$405)-5)))&gt;0,SUMPRODUCT(MAX((職員マスタ!$A$6:$A$405=$B1298)*(((職員マスタ!$G$6:$G$405="")+(職員マスタ!$G$6:$G$405&lt;=EOMONTH($AO1298,0)))&gt;0)*(((職員マスタ!$H$6:$H$405="")+(職員マスタ!$H$6:$H$405&gt;=$AO1298))&gt;0)*(ROW(職員マスタ!$A$6:$A$405)-5))),IFERROR(MATCH($B1298,職員マスタ!$A$6:$A$405,0),"")))</f>
        <v/>
      </c>
      <c r="AO1298" s="16">
        <f>IF(OR($B1298="",$C1298="",$D1298=""),"",DATE($C1298+2018,$D1298,1))</f>
        <v/>
      </c>
    </row>
    <row r="1299">
      <c r="A1299" s="11" t="n"/>
      <c r="B1299" s="12" t="n"/>
      <c r="C1299" s="12" t="n"/>
      <c r="D1299" s="12" t="n"/>
      <c r="E1299" s="13" t="n"/>
      <c r="F1299" s="12" t="n"/>
      <c r="G1299" s="13" t="n"/>
      <c r="H1299" s="12" t="n"/>
      <c r="I1299" s="12" t="n"/>
      <c r="J1299" s="12" t="n"/>
      <c r="K1299" s="12" t="n"/>
      <c r="L1299" s="11" t="n"/>
      <c r="M1299" s="11" t="n"/>
      <c r="N1299" s="11" t="n"/>
      <c r="O1299" s="11" t="n"/>
      <c r="P1299" s="12" t="n"/>
      <c r="Q1299" s="11" t="n"/>
      <c r="R1299" s="12" t="n"/>
      <c r="S1299" s="11" t="n"/>
      <c r="T1299" s="12" t="n"/>
      <c r="U1299" s="12" t="n"/>
      <c r="V1299" s="14">
        <f>IF($AN1299="",IF($B1299="","",$H1299),IF(INDEX(職員マスタ!$B$6:$B$405,$AN1299)="",$H1299,INDEX(職員マスタ!$B$6:$B$405,$AN1299)))</f>
        <v/>
      </c>
      <c r="W1299" s="14">
        <f>IF($AN1299="",IF($B1299="","",$R1299),IF(INDEX(職員マスタ!$C$6:$C$405,$AN1299)="",$R1299,INDEX(職員マスタ!$C$6:$C$405,$AN1299)))</f>
        <v/>
      </c>
      <c r="X1299" s="14">
        <f>IF($AO1299="","","R"&amp;$C1299&amp;"."&amp;$D1299)</f>
        <v/>
      </c>
      <c r="Y1299" s="15">
        <f>IF($AN1299="","",IF(INDEX(職員マスタ!$K$6:$K$405,$AN1299)="","",INDEX(職員マスタ!$K$6:$K$405,$AN1299)))</f>
        <v/>
      </c>
      <c r="Z1299" s="14">
        <f>IF(OR($E1299="",$Y1299=""),"",IF($E1299&gt;=$Y1299,"×",IF($E1299&gt;=$Y1299*設定!$C$5,"△","○")))</f>
        <v/>
      </c>
      <c r="AA1299" s="15">
        <f>IF($Z1299="","",IF($Z1299="×",0,IF($Z1299="○",ROUNDDOWN($E1299*設定!$C$4,0),ROUNDDOWN($E1299*ROUND((9*$Y1299-9*$E1299)/(10*$E1299),4),0))))</f>
        <v/>
      </c>
      <c r="AB1299" s="13" t="n"/>
      <c r="AC1299" s="15">
        <f>IF($B1299="","",IF($AB1299&lt;&gt;"",$AB1299,IF($AA1299="","",IF($AA1299&lt;=設定!$C$3,0,$AA1299))))</f>
        <v/>
      </c>
      <c r="AD1299" s="14">
        <f>IF($B1299="","",IF(AND($AE1299&lt;&gt;"",$AG1299="",$AJ1299=""),"保留中",IF($AJ1299&lt;&gt;"",IF(N($AC1299)&gt;0,"支給済","不支給"),IF($AC1299="","要確認",IF($AC1299=0,"不支給","未処理")))))</f>
        <v/>
      </c>
      <c r="AE1299" s="12" t="n"/>
      <c r="AF1299" s="11" t="n"/>
      <c r="AG1299" s="11" t="n"/>
      <c r="AH1299" s="11" t="n"/>
      <c r="AI1299" s="14">
        <f>IF(AND($AD1299="保留中",$AF1299&lt;&gt;""),TODAY()-$AF1299,"")</f>
        <v/>
      </c>
      <c r="AJ1299" s="12" t="n"/>
      <c r="AK1299" s="14">
        <f>IF($B1299="","",IF($AO1299="","対象年月が未入力／","")&amp;IF($B1299="","",IF($AN1299="","職員マスタに未登録の職員番号／",IF($Y1299="","標準報酬月額が未登録／","")&amp;IF(AND($AO1299&lt;&gt;"",OR(AND(INDEX(職員マスタ!$G$6:$G$405,$AN1299)&lt;&gt;"",INDEX(職員マスタ!$G$6:$G$405,$AN1299)&gt;EOMONTH($AO1299,0)),AND(INDEX(職員マスタ!$H$6:$H$405,$AN1299)&lt;&gt;"",INDEX(職員マスタ!$H$6:$H$405,$AN1299)&lt;$AO1299))),"対象月が時短期間外／","")&amp;IF(AND(INDEX(職員マスタ!$F$6:$F$405,$AN1299)&lt;&gt;"",$AO1299&lt;&gt;"",INDEX(職員マスタ!$F$6:$F$405,$AN1299)&lt;$AO1299),"対象月に子が2歳到達済／","")&amp;IF(AND($H1299&lt;&gt;"",INDEX(職員マスタ!$B$6:$B$405,$AN1299)&lt;&gt;"",SUBSTITUTE(SUBSTITUTE($H1299," ","")," ","")&lt;&gt;SUBSTITUTE(SUBSTITUTE(INDEX(職員マスタ!$B$6:$B$405,$AN1299)," ","")," ","")),"氏名がマスタと相違／","")&amp;IF(AND($Q1299&lt;&gt;"",INDEX(職員マスタ!$E$6:$E$405,$AN1299)&lt;&gt;"",$Q1299&lt;&gt;INDEX(職員マスタ!$E$6:$E$405,$AN1299)),"子の生年月日がマスタと相違／","")&amp;IF(AND($L1299&lt;&gt;"",INDEX(職員マスタ!$G$6:$G$405,$AN1299)&lt;&gt;"",$L1299&lt;&gt;INDEX(職員マスタ!$G$6:$G$405,$AN1299)),"時短開始日がマスタと相違／","")&amp;IF(AND($M1299&lt;&gt;"",INDEX(職員マスタ!$H$6:$H$405,$AN1299)&lt;&gt;"",$M1299&lt;&gt;INDEX(職員マスタ!$H$6:$H$405,$AN1299)),"時短終了日がマスタと相違／","")))&amp;IF(AND($B1299&lt;&gt;"",$E1299=""),"報酬額が未入力／","")&amp;IF(N($U1299)&gt;0,"申請書に入力エラーが残っています／","")&amp;IF(AND($B1299&lt;&gt;"",$AO1299&lt;&gt;""),IF(COUNTIFS($B$6:$B$3005,$B1299,$C$6:$C$3005,$C1299,$D$6:$D$3005,$D1299)&gt;1,"同じ月の請求が重複しています／",""),"")&amp;IF(AND(N($E1299)&gt;0,$Z1299&lt;&gt;"",$Z1299&lt;&gt;"×",$AC1299=0,$AB1299=""),"計算額が下限以下のため不支給／",""))</f>
        <v/>
      </c>
      <c r="AL1299" s="12" t="n"/>
      <c r="AM1299" s="14">
        <f>IF($AD1299="保留中",COUNTIF($AD$6:$AD1299,"保留中"),"")</f>
        <v/>
      </c>
      <c r="AN1299" s="14">
        <f>IF($AO1299="","",IF(SUMPRODUCT(MAX((職員マスタ!$A$6:$A$405=$B1299)*(((職員マスタ!$G$6:$G$405="")+(職員マスタ!$G$6:$G$405&lt;=EOMONTH($AO1299,0)))&gt;0)*(((職員マスタ!$H$6:$H$405="")+(職員マスタ!$H$6:$H$405&gt;=$AO1299))&gt;0)*(ROW(職員マスタ!$A$6:$A$405)-5)))&gt;0,SUMPRODUCT(MAX((職員マスタ!$A$6:$A$405=$B1299)*(((職員マスタ!$G$6:$G$405="")+(職員マスタ!$G$6:$G$405&lt;=EOMONTH($AO1299,0)))&gt;0)*(((職員マスタ!$H$6:$H$405="")+(職員マスタ!$H$6:$H$405&gt;=$AO1299))&gt;0)*(ROW(職員マスタ!$A$6:$A$405)-5))),IFERROR(MATCH($B1299,職員マスタ!$A$6:$A$405,0),"")))</f>
        <v/>
      </c>
      <c r="AO1299" s="16">
        <f>IF(OR($B1299="",$C1299="",$D1299=""),"",DATE($C1299+2018,$D1299,1))</f>
        <v/>
      </c>
    </row>
    <row r="1300">
      <c r="A1300" s="11" t="n"/>
      <c r="B1300" s="12" t="n"/>
      <c r="C1300" s="12" t="n"/>
      <c r="D1300" s="12" t="n"/>
      <c r="E1300" s="13" t="n"/>
      <c r="F1300" s="12" t="n"/>
      <c r="G1300" s="13" t="n"/>
      <c r="H1300" s="12" t="n"/>
      <c r="I1300" s="12" t="n"/>
      <c r="J1300" s="12" t="n"/>
      <c r="K1300" s="12" t="n"/>
      <c r="L1300" s="11" t="n"/>
      <c r="M1300" s="11" t="n"/>
      <c r="N1300" s="11" t="n"/>
      <c r="O1300" s="11" t="n"/>
      <c r="P1300" s="12" t="n"/>
      <c r="Q1300" s="11" t="n"/>
      <c r="R1300" s="12" t="n"/>
      <c r="S1300" s="11" t="n"/>
      <c r="T1300" s="12" t="n"/>
      <c r="U1300" s="12" t="n"/>
      <c r="V1300" s="14">
        <f>IF($AN1300="",IF($B1300="","",$H1300),IF(INDEX(職員マスタ!$B$6:$B$405,$AN1300)="",$H1300,INDEX(職員マスタ!$B$6:$B$405,$AN1300)))</f>
        <v/>
      </c>
      <c r="W1300" s="14">
        <f>IF($AN1300="",IF($B1300="","",$R1300),IF(INDEX(職員マスタ!$C$6:$C$405,$AN1300)="",$R1300,INDEX(職員マスタ!$C$6:$C$405,$AN1300)))</f>
        <v/>
      </c>
      <c r="X1300" s="14">
        <f>IF($AO1300="","","R"&amp;$C1300&amp;"."&amp;$D1300)</f>
        <v/>
      </c>
      <c r="Y1300" s="15">
        <f>IF($AN1300="","",IF(INDEX(職員マスタ!$K$6:$K$405,$AN1300)="","",INDEX(職員マスタ!$K$6:$K$405,$AN1300)))</f>
        <v/>
      </c>
      <c r="Z1300" s="14">
        <f>IF(OR($E1300="",$Y1300=""),"",IF($E1300&gt;=$Y1300,"×",IF($E1300&gt;=$Y1300*設定!$C$5,"△","○")))</f>
        <v/>
      </c>
      <c r="AA1300" s="15">
        <f>IF($Z1300="","",IF($Z1300="×",0,IF($Z1300="○",ROUNDDOWN($E1300*設定!$C$4,0),ROUNDDOWN($E1300*ROUND((9*$Y1300-9*$E1300)/(10*$E1300),4),0))))</f>
        <v/>
      </c>
      <c r="AB1300" s="13" t="n"/>
      <c r="AC1300" s="15">
        <f>IF($B1300="","",IF($AB1300&lt;&gt;"",$AB1300,IF($AA1300="","",IF($AA1300&lt;=設定!$C$3,0,$AA1300))))</f>
        <v/>
      </c>
      <c r="AD1300" s="14">
        <f>IF($B1300="","",IF(AND($AE1300&lt;&gt;"",$AG1300="",$AJ1300=""),"保留中",IF($AJ1300&lt;&gt;"",IF(N($AC1300)&gt;0,"支給済","不支給"),IF($AC1300="","要確認",IF($AC1300=0,"不支給","未処理")))))</f>
        <v/>
      </c>
      <c r="AE1300" s="12" t="n"/>
      <c r="AF1300" s="11" t="n"/>
      <c r="AG1300" s="11" t="n"/>
      <c r="AH1300" s="11" t="n"/>
      <c r="AI1300" s="14">
        <f>IF(AND($AD1300="保留中",$AF1300&lt;&gt;""),TODAY()-$AF1300,"")</f>
        <v/>
      </c>
      <c r="AJ1300" s="12" t="n"/>
      <c r="AK1300" s="14">
        <f>IF($B1300="","",IF($AO1300="","対象年月が未入力／","")&amp;IF($B1300="","",IF($AN1300="","職員マスタに未登録の職員番号／",IF($Y1300="","標準報酬月額が未登録／","")&amp;IF(AND($AO1300&lt;&gt;"",OR(AND(INDEX(職員マスタ!$G$6:$G$405,$AN1300)&lt;&gt;"",INDEX(職員マスタ!$G$6:$G$405,$AN1300)&gt;EOMONTH($AO1300,0)),AND(INDEX(職員マスタ!$H$6:$H$405,$AN1300)&lt;&gt;"",INDEX(職員マスタ!$H$6:$H$405,$AN1300)&lt;$AO1300))),"対象月が時短期間外／","")&amp;IF(AND(INDEX(職員マスタ!$F$6:$F$405,$AN1300)&lt;&gt;"",$AO1300&lt;&gt;"",INDEX(職員マスタ!$F$6:$F$405,$AN1300)&lt;$AO1300),"対象月に子が2歳到達済／","")&amp;IF(AND($H1300&lt;&gt;"",INDEX(職員マスタ!$B$6:$B$405,$AN1300)&lt;&gt;"",SUBSTITUTE(SUBSTITUTE($H1300," ","")," ","")&lt;&gt;SUBSTITUTE(SUBSTITUTE(INDEX(職員マスタ!$B$6:$B$405,$AN1300)," ","")," ","")),"氏名がマスタと相違／","")&amp;IF(AND($Q1300&lt;&gt;"",INDEX(職員マスタ!$E$6:$E$405,$AN1300)&lt;&gt;"",$Q1300&lt;&gt;INDEX(職員マスタ!$E$6:$E$405,$AN1300)),"子の生年月日がマスタと相違／","")&amp;IF(AND($L1300&lt;&gt;"",INDEX(職員マスタ!$G$6:$G$405,$AN1300)&lt;&gt;"",$L1300&lt;&gt;INDEX(職員マスタ!$G$6:$G$405,$AN1300)),"時短開始日がマスタと相違／","")&amp;IF(AND($M1300&lt;&gt;"",INDEX(職員マスタ!$H$6:$H$405,$AN1300)&lt;&gt;"",$M1300&lt;&gt;INDEX(職員マスタ!$H$6:$H$405,$AN1300)),"時短終了日がマスタと相違／","")))&amp;IF(AND($B1300&lt;&gt;"",$E1300=""),"報酬額が未入力／","")&amp;IF(N($U1300)&gt;0,"申請書に入力エラーが残っています／","")&amp;IF(AND($B1300&lt;&gt;"",$AO1300&lt;&gt;""),IF(COUNTIFS($B$6:$B$3005,$B1300,$C$6:$C$3005,$C1300,$D$6:$D$3005,$D1300)&gt;1,"同じ月の請求が重複しています／",""),"")&amp;IF(AND(N($E1300)&gt;0,$Z1300&lt;&gt;"",$Z1300&lt;&gt;"×",$AC1300=0,$AB1300=""),"計算額が下限以下のため不支給／",""))</f>
        <v/>
      </c>
      <c r="AL1300" s="12" t="n"/>
      <c r="AM1300" s="14">
        <f>IF($AD1300="保留中",COUNTIF($AD$6:$AD1300,"保留中"),"")</f>
        <v/>
      </c>
      <c r="AN1300" s="14">
        <f>IF($AO1300="","",IF(SUMPRODUCT(MAX((職員マスタ!$A$6:$A$405=$B1300)*(((職員マスタ!$G$6:$G$405="")+(職員マスタ!$G$6:$G$405&lt;=EOMONTH($AO1300,0)))&gt;0)*(((職員マスタ!$H$6:$H$405="")+(職員マスタ!$H$6:$H$405&gt;=$AO1300))&gt;0)*(ROW(職員マスタ!$A$6:$A$405)-5)))&gt;0,SUMPRODUCT(MAX((職員マスタ!$A$6:$A$405=$B1300)*(((職員マスタ!$G$6:$G$405="")+(職員マスタ!$G$6:$G$405&lt;=EOMONTH($AO1300,0)))&gt;0)*(((職員マスタ!$H$6:$H$405="")+(職員マスタ!$H$6:$H$405&gt;=$AO1300))&gt;0)*(ROW(職員マスタ!$A$6:$A$405)-5))),IFERROR(MATCH($B1300,職員マスタ!$A$6:$A$405,0),"")))</f>
        <v/>
      </c>
      <c r="AO1300" s="16">
        <f>IF(OR($B1300="",$C1300="",$D1300=""),"",DATE($C1300+2018,$D1300,1))</f>
        <v/>
      </c>
    </row>
    <row r="1301">
      <c r="A1301" s="11" t="n"/>
      <c r="B1301" s="12" t="n"/>
      <c r="C1301" s="12" t="n"/>
      <c r="D1301" s="12" t="n"/>
      <c r="E1301" s="13" t="n"/>
      <c r="F1301" s="12" t="n"/>
      <c r="G1301" s="13" t="n"/>
      <c r="H1301" s="12" t="n"/>
      <c r="I1301" s="12" t="n"/>
      <c r="J1301" s="12" t="n"/>
      <c r="K1301" s="12" t="n"/>
      <c r="L1301" s="11" t="n"/>
      <c r="M1301" s="11" t="n"/>
      <c r="N1301" s="11" t="n"/>
      <c r="O1301" s="11" t="n"/>
      <c r="P1301" s="12" t="n"/>
      <c r="Q1301" s="11" t="n"/>
      <c r="R1301" s="12" t="n"/>
      <c r="S1301" s="11" t="n"/>
      <c r="T1301" s="12" t="n"/>
      <c r="U1301" s="12" t="n"/>
      <c r="V1301" s="14">
        <f>IF($AN1301="",IF($B1301="","",$H1301),IF(INDEX(職員マスタ!$B$6:$B$405,$AN1301)="",$H1301,INDEX(職員マスタ!$B$6:$B$405,$AN1301)))</f>
        <v/>
      </c>
      <c r="W1301" s="14">
        <f>IF($AN1301="",IF($B1301="","",$R1301),IF(INDEX(職員マスタ!$C$6:$C$405,$AN1301)="",$R1301,INDEX(職員マスタ!$C$6:$C$405,$AN1301)))</f>
        <v/>
      </c>
      <c r="X1301" s="14">
        <f>IF($AO1301="","","R"&amp;$C1301&amp;"."&amp;$D1301)</f>
        <v/>
      </c>
      <c r="Y1301" s="15">
        <f>IF($AN1301="","",IF(INDEX(職員マスタ!$K$6:$K$405,$AN1301)="","",INDEX(職員マスタ!$K$6:$K$405,$AN1301)))</f>
        <v/>
      </c>
      <c r="Z1301" s="14">
        <f>IF(OR($E1301="",$Y1301=""),"",IF($E1301&gt;=$Y1301,"×",IF($E1301&gt;=$Y1301*設定!$C$5,"△","○")))</f>
        <v/>
      </c>
      <c r="AA1301" s="15">
        <f>IF($Z1301="","",IF($Z1301="×",0,IF($Z1301="○",ROUNDDOWN($E1301*設定!$C$4,0),ROUNDDOWN($E1301*ROUND((9*$Y1301-9*$E1301)/(10*$E1301),4),0))))</f>
        <v/>
      </c>
      <c r="AB1301" s="13" t="n"/>
      <c r="AC1301" s="15">
        <f>IF($B1301="","",IF($AB1301&lt;&gt;"",$AB1301,IF($AA1301="","",IF($AA1301&lt;=設定!$C$3,0,$AA1301))))</f>
        <v/>
      </c>
      <c r="AD1301" s="14">
        <f>IF($B1301="","",IF(AND($AE1301&lt;&gt;"",$AG1301="",$AJ1301=""),"保留中",IF($AJ1301&lt;&gt;"",IF(N($AC1301)&gt;0,"支給済","不支給"),IF($AC1301="","要確認",IF($AC1301=0,"不支給","未処理")))))</f>
        <v/>
      </c>
      <c r="AE1301" s="12" t="n"/>
      <c r="AF1301" s="11" t="n"/>
      <c r="AG1301" s="11" t="n"/>
      <c r="AH1301" s="11" t="n"/>
      <c r="AI1301" s="14">
        <f>IF(AND($AD1301="保留中",$AF1301&lt;&gt;""),TODAY()-$AF1301,"")</f>
        <v/>
      </c>
      <c r="AJ1301" s="12" t="n"/>
      <c r="AK1301" s="14">
        <f>IF($B1301="","",IF($AO1301="","対象年月が未入力／","")&amp;IF($B1301="","",IF($AN1301="","職員マスタに未登録の職員番号／",IF($Y1301="","標準報酬月額が未登録／","")&amp;IF(AND($AO1301&lt;&gt;"",OR(AND(INDEX(職員マスタ!$G$6:$G$405,$AN1301)&lt;&gt;"",INDEX(職員マスタ!$G$6:$G$405,$AN1301)&gt;EOMONTH($AO1301,0)),AND(INDEX(職員マスタ!$H$6:$H$405,$AN1301)&lt;&gt;"",INDEX(職員マスタ!$H$6:$H$405,$AN1301)&lt;$AO1301))),"対象月が時短期間外／","")&amp;IF(AND(INDEX(職員マスタ!$F$6:$F$405,$AN1301)&lt;&gt;"",$AO1301&lt;&gt;"",INDEX(職員マスタ!$F$6:$F$405,$AN1301)&lt;$AO1301),"対象月に子が2歳到達済／","")&amp;IF(AND($H1301&lt;&gt;"",INDEX(職員マスタ!$B$6:$B$405,$AN1301)&lt;&gt;"",SUBSTITUTE(SUBSTITUTE($H1301," ","")," ","")&lt;&gt;SUBSTITUTE(SUBSTITUTE(INDEX(職員マスタ!$B$6:$B$405,$AN1301)," ","")," ","")),"氏名がマスタと相違／","")&amp;IF(AND($Q1301&lt;&gt;"",INDEX(職員マスタ!$E$6:$E$405,$AN1301)&lt;&gt;"",$Q1301&lt;&gt;INDEX(職員マスタ!$E$6:$E$405,$AN1301)),"子の生年月日がマスタと相違／","")&amp;IF(AND($L1301&lt;&gt;"",INDEX(職員マスタ!$G$6:$G$405,$AN1301)&lt;&gt;"",$L1301&lt;&gt;INDEX(職員マスタ!$G$6:$G$405,$AN1301)),"時短開始日がマスタと相違／","")&amp;IF(AND($M1301&lt;&gt;"",INDEX(職員マスタ!$H$6:$H$405,$AN1301)&lt;&gt;"",$M1301&lt;&gt;INDEX(職員マスタ!$H$6:$H$405,$AN1301)),"時短終了日がマスタと相違／","")))&amp;IF(AND($B1301&lt;&gt;"",$E1301=""),"報酬額が未入力／","")&amp;IF(N($U1301)&gt;0,"申請書に入力エラーが残っています／","")&amp;IF(AND($B1301&lt;&gt;"",$AO1301&lt;&gt;""),IF(COUNTIFS($B$6:$B$3005,$B1301,$C$6:$C$3005,$C1301,$D$6:$D$3005,$D1301)&gt;1,"同じ月の請求が重複しています／",""),"")&amp;IF(AND(N($E1301)&gt;0,$Z1301&lt;&gt;"",$Z1301&lt;&gt;"×",$AC1301=0,$AB1301=""),"計算額が下限以下のため不支給／",""))</f>
        <v/>
      </c>
      <c r="AL1301" s="12" t="n"/>
      <c r="AM1301" s="14">
        <f>IF($AD1301="保留中",COUNTIF($AD$6:$AD1301,"保留中"),"")</f>
        <v/>
      </c>
      <c r="AN1301" s="14">
        <f>IF($AO1301="","",IF(SUMPRODUCT(MAX((職員マスタ!$A$6:$A$405=$B1301)*(((職員マスタ!$G$6:$G$405="")+(職員マスタ!$G$6:$G$405&lt;=EOMONTH($AO1301,0)))&gt;0)*(((職員マスタ!$H$6:$H$405="")+(職員マスタ!$H$6:$H$405&gt;=$AO1301))&gt;0)*(ROW(職員マスタ!$A$6:$A$405)-5)))&gt;0,SUMPRODUCT(MAX((職員マスタ!$A$6:$A$405=$B1301)*(((職員マスタ!$G$6:$G$405="")+(職員マスタ!$G$6:$G$405&lt;=EOMONTH($AO1301,0)))&gt;0)*(((職員マスタ!$H$6:$H$405="")+(職員マスタ!$H$6:$H$405&gt;=$AO1301))&gt;0)*(ROW(職員マスタ!$A$6:$A$405)-5))),IFERROR(MATCH($B1301,職員マスタ!$A$6:$A$405,0),"")))</f>
        <v/>
      </c>
      <c r="AO1301" s="16">
        <f>IF(OR($B1301="",$C1301="",$D1301=""),"",DATE($C1301+2018,$D1301,1))</f>
        <v/>
      </c>
    </row>
    <row r="1302">
      <c r="A1302" s="11" t="n"/>
      <c r="B1302" s="12" t="n"/>
      <c r="C1302" s="12" t="n"/>
      <c r="D1302" s="12" t="n"/>
      <c r="E1302" s="13" t="n"/>
      <c r="F1302" s="12" t="n"/>
      <c r="G1302" s="13" t="n"/>
      <c r="H1302" s="12" t="n"/>
      <c r="I1302" s="12" t="n"/>
      <c r="J1302" s="12" t="n"/>
      <c r="K1302" s="12" t="n"/>
      <c r="L1302" s="11" t="n"/>
      <c r="M1302" s="11" t="n"/>
      <c r="N1302" s="11" t="n"/>
      <c r="O1302" s="11" t="n"/>
      <c r="P1302" s="12" t="n"/>
      <c r="Q1302" s="11" t="n"/>
      <c r="R1302" s="12" t="n"/>
      <c r="S1302" s="11" t="n"/>
      <c r="T1302" s="12" t="n"/>
      <c r="U1302" s="12" t="n"/>
      <c r="V1302" s="14">
        <f>IF($AN1302="",IF($B1302="","",$H1302),IF(INDEX(職員マスタ!$B$6:$B$405,$AN1302)="",$H1302,INDEX(職員マスタ!$B$6:$B$405,$AN1302)))</f>
        <v/>
      </c>
      <c r="W1302" s="14">
        <f>IF($AN1302="",IF($B1302="","",$R1302),IF(INDEX(職員マスタ!$C$6:$C$405,$AN1302)="",$R1302,INDEX(職員マスタ!$C$6:$C$405,$AN1302)))</f>
        <v/>
      </c>
      <c r="X1302" s="14">
        <f>IF($AO1302="","","R"&amp;$C1302&amp;"."&amp;$D1302)</f>
        <v/>
      </c>
      <c r="Y1302" s="15">
        <f>IF($AN1302="","",IF(INDEX(職員マスタ!$K$6:$K$405,$AN1302)="","",INDEX(職員マスタ!$K$6:$K$405,$AN1302)))</f>
        <v/>
      </c>
      <c r="Z1302" s="14">
        <f>IF(OR($E1302="",$Y1302=""),"",IF($E1302&gt;=$Y1302,"×",IF($E1302&gt;=$Y1302*設定!$C$5,"△","○")))</f>
        <v/>
      </c>
      <c r="AA1302" s="15">
        <f>IF($Z1302="","",IF($Z1302="×",0,IF($Z1302="○",ROUNDDOWN($E1302*設定!$C$4,0),ROUNDDOWN($E1302*ROUND((9*$Y1302-9*$E1302)/(10*$E1302),4),0))))</f>
        <v/>
      </c>
      <c r="AB1302" s="13" t="n"/>
      <c r="AC1302" s="15">
        <f>IF($B1302="","",IF($AB1302&lt;&gt;"",$AB1302,IF($AA1302="","",IF($AA1302&lt;=設定!$C$3,0,$AA1302))))</f>
        <v/>
      </c>
      <c r="AD1302" s="14">
        <f>IF($B1302="","",IF(AND($AE1302&lt;&gt;"",$AG1302="",$AJ1302=""),"保留中",IF($AJ1302&lt;&gt;"",IF(N($AC1302)&gt;0,"支給済","不支給"),IF($AC1302="","要確認",IF($AC1302=0,"不支給","未処理")))))</f>
        <v/>
      </c>
      <c r="AE1302" s="12" t="n"/>
      <c r="AF1302" s="11" t="n"/>
      <c r="AG1302" s="11" t="n"/>
      <c r="AH1302" s="11" t="n"/>
      <c r="AI1302" s="14">
        <f>IF(AND($AD1302="保留中",$AF1302&lt;&gt;""),TODAY()-$AF1302,"")</f>
        <v/>
      </c>
      <c r="AJ1302" s="12" t="n"/>
      <c r="AK1302" s="14">
        <f>IF($B1302="","",IF($AO1302="","対象年月が未入力／","")&amp;IF($B1302="","",IF($AN1302="","職員マスタに未登録の職員番号／",IF($Y1302="","標準報酬月額が未登録／","")&amp;IF(AND($AO1302&lt;&gt;"",OR(AND(INDEX(職員マスタ!$G$6:$G$405,$AN1302)&lt;&gt;"",INDEX(職員マスタ!$G$6:$G$405,$AN1302)&gt;EOMONTH($AO1302,0)),AND(INDEX(職員マスタ!$H$6:$H$405,$AN1302)&lt;&gt;"",INDEX(職員マスタ!$H$6:$H$405,$AN1302)&lt;$AO1302))),"対象月が時短期間外／","")&amp;IF(AND(INDEX(職員マスタ!$F$6:$F$405,$AN1302)&lt;&gt;"",$AO1302&lt;&gt;"",INDEX(職員マスタ!$F$6:$F$405,$AN1302)&lt;$AO1302),"対象月に子が2歳到達済／","")&amp;IF(AND($H1302&lt;&gt;"",INDEX(職員マスタ!$B$6:$B$405,$AN1302)&lt;&gt;"",SUBSTITUTE(SUBSTITUTE($H1302," ","")," ","")&lt;&gt;SUBSTITUTE(SUBSTITUTE(INDEX(職員マスタ!$B$6:$B$405,$AN1302)," ","")," ","")),"氏名がマスタと相違／","")&amp;IF(AND($Q1302&lt;&gt;"",INDEX(職員マスタ!$E$6:$E$405,$AN1302)&lt;&gt;"",$Q1302&lt;&gt;INDEX(職員マスタ!$E$6:$E$405,$AN1302)),"子の生年月日がマスタと相違／","")&amp;IF(AND($L1302&lt;&gt;"",INDEX(職員マスタ!$G$6:$G$405,$AN1302)&lt;&gt;"",$L1302&lt;&gt;INDEX(職員マスタ!$G$6:$G$405,$AN1302)),"時短開始日がマスタと相違／","")&amp;IF(AND($M1302&lt;&gt;"",INDEX(職員マスタ!$H$6:$H$405,$AN1302)&lt;&gt;"",$M1302&lt;&gt;INDEX(職員マスタ!$H$6:$H$405,$AN1302)),"時短終了日がマスタと相違／","")))&amp;IF(AND($B1302&lt;&gt;"",$E1302=""),"報酬額が未入力／","")&amp;IF(N($U1302)&gt;0,"申請書に入力エラーが残っています／","")&amp;IF(AND($B1302&lt;&gt;"",$AO1302&lt;&gt;""),IF(COUNTIFS($B$6:$B$3005,$B1302,$C$6:$C$3005,$C1302,$D$6:$D$3005,$D1302)&gt;1,"同じ月の請求が重複しています／",""),"")&amp;IF(AND(N($E1302)&gt;0,$Z1302&lt;&gt;"",$Z1302&lt;&gt;"×",$AC1302=0,$AB1302=""),"計算額が下限以下のため不支給／",""))</f>
        <v/>
      </c>
      <c r="AL1302" s="12" t="n"/>
      <c r="AM1302" s="14">
        <f>IF($AD1302="保留中",COUNTIF($AD$6:$AD1302,"保留中"),"")</f>
        <v/>
      </c>
      <c r="AN1302" s="14">
        <f>IF($AO1302="","",IF(SUMPRODUCT(MAX((職員マスタ!$A$6:$A$405=$B1302)*(((職員マスタ!$G$6:$G$405="")+(職員マスタ!$G$6:$G$405&lt;=EOMONTH($AO1302,0)))&gt;0)*(((職員マスタ!$H$6:$H$405="")+(職員マスタ!$H$6:$H$405&gt;=$AO1302))&gt;0)*(ROW(職員マスタ!$A$6:$A$405)-5)))&gt;0,SUMPRODUCT(MAX((職員マスタ!$A$6:$A$405=$B1302)*(((職員マスタ!$G$6:$G$405="")+(職員マスタ!$G$6:$G$405&lt;=EOMONTH($AO1302,0)))&gt;0)*(((職員マスタ!$H$6:$H$405="")+(職員マスタ!$H$6:$H$405&gt;=$AO1302))&gt;0)*(ROW(職員マスタ!$A$6:$A$405)-5))),IFERROR(MATCH($B1302,職員マスタ!$A$6:$A$405,0),"")))</f>
        <v/>
      </c>
      <c r="AO1302" s="16">
        <f>IF(OR($B1302="",$C1302="",$D1302=""),"",DATE($C1302+2018,$D1302,1))</f>
        <v/>
      </c>
    </row>
    <row r="1303">
      <c r="A1303" s="11" t="n"/>
      <c r="B1303" s="12" t="n"/>
      <c r="C1303" s="12" t="n"/>
      <c r="D1303" s="12" t="n"/>
      <c r="E1303" s="13" t="n"/>
      <c r="F1303" s="12" t="n"/>
      <c r="G1303" s="13" t="n"/>
      <c r="H1303" s="12" t="n"/>
      <c r="I1303" s="12" t="n"/>
      <c r="J1303" s="12" t="n"/>
      <c r="K1303" s="12" t="n"/>
      <c r="L1303" s="11" t="n"/>
      <c r="M1303" s="11" t="n"/>
      <c r="N1303" s="11" t="n"/>
      <c r="O1303" s="11" t="n"/>
      <c r="P1303" s="12" t="n"/>
      <c r="Q1303" s="11" t="n"/>
      <c r="R1303" s="12" t="n"/>
      <c r="S1303" s="11" t="n"/>
      <c r="T1303" s="12" t="n"/>
      <c r="U1303" s="12" t="n"/>
      <c r="V1303" s="14">
        <f>IF($AN1303="",IF($B1303="","",$H1303),IF(INDEX(職員マスタ!$B$6:$B$405,$AN1303)="",$H1303,INDEX(職員マスタ!$B$6:$B$405,$AN1303)))</f>
        <v/>
      </c>
      <c r="W1303" s="14">
        <f>IF($AN1303="",IF($B1303="","",$R1303),IF(INDEX(職員マスタ!$C$6:$C$405,$AN1303)="",$R1303,INDEX(職員マスタ!$C$6:$C$405,$AN1303)))</f>
        <v/>
      </c>
      <c r="X1303" s="14">
        <f>IF($AO1303="","","R"&amp;$C1303&amp;"."&amp;$D1303)</f>
        <v/>
      </c>
      <c r="Y1303" s="15">
        <f>IF($AN1303="","",IF(INDEX(職員マスタ!$K$6:$K$405,$AN1303)="","",INDEX(職員マスタ!$K$6:$K$405,$AN1303)))</f>
        <v/>
      </c>
      <c r="Z1303" s="14">
        <f>IF(OR($E1303="",$Y1303=""),"",IF($E1303&gt;=$Y1303,"×",IF($E1303&gt;=$Y1303*設定!$C$5,"△","○")))</f>
        <v/>
      </c>
      <c r="AA1303" s="15">
        <f>IF($Z1303="","",IF($Z1303="×",0,IF($Z1303="○",ROUNDDOWN($E1303*設定!$C$4,0),ROUNDDOWN($E1303*ROUND((9*$Y1303-9*$E1303)/(10*$E1303),4),0))))</f>
        <v/>
      </c>
      <c r="AB1303" s="13" t="n"/>
      <c r="AC1303" s="15">
        <f>IF($B1303="","",IF($AB1303&lt;&gt;"",$AB1303,IF($AA1303="","",IF($AA1303&lt;=設定!$C$3,0,$AA1303))))</f>
        <v/>
      </c>
      <c r="AD1303" s="14">
        <f>IF($B1303="","",IF(AND($AE1303&lt;&gt;"",$AG1303="",$AJ1303=""),"保留中",IF($AJ1303&lt;&gt;"",IF(N($AC1303)&gt;0,"支給済","不支給"),IF($AC1303="","要確認",IF($AC1303=0,"不支給","未処理")))))</f>
        <v/>
      </c>
      <c r="AE1303" s="12" t="n"/>
      <c r="AF1303" s="11" t="n"/>
      <c r="AG1303" s="11" t="n"/>
      <c r="AH1303" s="11" t="n"/>
      <c r="AI1303" s="14">
        <f>IF(AND($AD1303="保留中",$AF1303&lt;&gt;""),TODAY()-$AF1303,"")</f>
        <v/>
      </c>
      <c r="AJ1303" s="12" t="n"/>
      <c r="AK1303" s="14">
        <f>IF($B1303="","",IF($AO1303="","対象年月が未入力／","")&amp;IF($B1303="","",IF($AN1303="","職員マスタに未登録の職員番号／",IF($Y1303="","標準報酬月額が未登録／","")&amp;IF(AND($AO1303&lt;&gt;"",OR(AND(INDEX(職員マスタ!$G$6:$G$405,$AN1303)&lt;&gt;"",INDEX(職員マスタ!$G$6:$G$405,$AN1303)&gt;EOMONTH($AO1303,0)),AND(INDEX(職員マスタ!$H$6:$H$405,$AN1303)&lt;&gt;"",INDEX(職員マスタ!$H$6:$H$405,$AN1303)&lt;$AO1303))),"対象月が時短期間外／","")&amp;IF(AND(INDEX(職員マスタ!$F$6:$F$405,$AN1303)&lt;&gt;"",$AO1303&lt;&gt;"",INDEX(職員マスタ!$F$6:$F$405,$AN1303)&lt;$AO1303),"対象月に子が2歳到達済／","")&amp;IF(AND($H1303&lt;&gt;"",INDEX(職員マスタ!$B$6:$B$405,$AN1303)&lt;&gt;"",SUBSTITUTE(SUBSTITUTE($H1303," ","")," ","")&lt;&gt;SUBSTITUTE(SUBSTITUTE(INDEX(職員マスタ!$B$6:$B$405,$AN1303)," ","")," ","")),"氏名がマスタと相違／","")&amp;IF(AND($Q1303&lt;&gt;"",INDEX(職員マスタ!$E$6:$E$405,$AN1303)&lt;&gt;"",$Q1303&lt;&gt;INDEX(職員マスタ!$E$6:$E$405,$AN1303)),"子の生年月日がマスタと相違／","")&amp;IF(AND($L1303&lt;&gt;"",INDEX(職員マスタ!$G$6:$G$405,$AN1303)&lt;&gt;"",$L1303&lt;&gt;INDEX(職員マスタ!$G$6:$G$405,$AN1303)),"時短開始日がマスタと相違／","")&amp;IF(AND($M1303&lt;&gt;"",INDEX(職員マスタ!$H$6:$H$405,$AN1303)&lt;&gt;"",$M1303&lt;&gt;INDEX(職員マスタ!$H$6:$H$405,$AN1303)),"時短終了日がマスタと相違／","")))&amp;IF(AND($B1303&lt;&gt;"",$E1303=""),"報酬額が未入力／","")&amp;IF(N($U1303)&gt;0,"申請書に入力エラーが残っています／","")&amp;IF(AND($B1303&lt;&gt;"",$AO1303&lt;&gt;""),IF(COUNTIFS($B$6:$B$3005,$B1303,$C$6:$C$3005,$C1303,$D$6:$D$3005,$D1303)&gt;1,"同じ月の請求が重複しています／",""),"")&amp;IF(AND(N($E1303)&gt;0,$Z1303&lt;&gt;"",$Z1303&lt;&gt;"×",$AC1303=0,$AB1303=""),"計算額が下限以下のため不支給／",""))</f>
        <v/>
      </c>
      <c r="AL1303" s="12" t="n"/>
      <c r="AM1303" s="14">
        <f>IF($AD1303="保留中",COUNTIF($AD$6:$AD1303,"保留中"),"")</f>
        <v/>
      </c>
      <c r="AN1303" s="14">
        <f>IF($AO1303="","",IF(SUMPRODUCT(MAX((職員マスタ!$A$6:$A$405=$B1303)*(((職員マスタ!$G$6:$G$405="")+(職員マスタ!$G$6:$G$405&lt;=EOMONTH($AO1303,0)))&gt;0)*(((職員マスタ!$H$6:$H$405="")+(職員マスタ!$H$6:$H$405&gt;=$AO1303))&gt;0)*(ROW(職員マスタ!$A$6:$A$405)-5)))&gt;0,SUMPRODUCT(MAX((職員マスタ!$A$6:$A$405=$B1303)*(((職員マスタ!$G$6:$G$405="")+(職員マスタ!$G$6:$G$405&lt;=EOMONTH($AO1303,0)))&gt;0)*(((職員マスタ!$H$6:$H$405="")+(職員マスタ!$H$6:$H$405&gt;=$AO1303))&gt;0)*(ROW(職員マスタ!$A$6:$A$405)-5))),IFERROR(MATCH($B1303,職員マスタ!$A$6:$A$405,0),"")))</f>
        <v/>
      </c>
      <c r="AO1303" s="16">
        <f>IF(OR($B1303="",$C1303="",$D1303=""),"",DATE($C1303+2018,$D1303,1))</f>
        <v/>
      </c>
    </row>
    <row r="1304">
      <c r="A1304" s="11" t="n"/>
      <c r="B1304" s="12" t="n"/>
      <c r="C1304" s="12" t="n"/>
      <c r="D1304" s="12" t="n"/>
      <c r="E1304" s="13" t="n"/>
      <c r="F1304" s="12" t="n"/>
      <c r="G1304" s="13" t="n"/>
      <c r="H1304" s="12" t="n"/>
      <c r="I1304" s="12" t="n"/>
      <c r="J1304" s="12" t="n"/>
      <c r="K1304" s="12" t="n"/>
      <c r="L1304" s="11" t="n"/>
      <c r="M1304" s="11" t="n"/>
      <c r="N1304" s="11" t="n"/>
      <c r="O1304" s="11" t="n"/>
      <c r="P1304" s="12" t="n"/>
      <c r="Q1304" s="11" t="n"/>
      <c r="R1304" s="12" t="n"/>
      <c r="S1304" s="11" t="n"/>
      <c r="T1304" s="12" t="n"/>
      <c r="U1304" s="12" t="n"/>
      <c r="V1304" s="14">
        <f>IF($AN1304="",IF($B1304="","",$H1304),IF(INDEX(職員マスタ!$B$6:$B$405,$AN1304)="",$H1304,INDEX(職員マスタ!$B$6:$B$405,$AN1304)))</f>
        <v/>
      </c>
      <c r="W1304" s="14">
        <f>IF($AN1304="",IF($B1304="","",$R1304),IF(INDEX(職員マスタ!$C$6:$C$405,$AN1304)="",$R1304,INDEX(職員マスタ!$C$6:$C$405,$AN1304)))</f>
        <v/>
      </c>
      <c r="X1304" s="14">
        <f>IF($AO1304="","","R"&amp;$C1304&amp;"."&amp;$D1304)</f>
        <v/>
      </c>
      <c r="Y1304" s="15">
        <f>IF($AN1304="","",IF(INDEX(職員マスタ!$K$6:$K$405,$AN1304)="","",INDEX(職員マスタ!$K$6:$K$405,$AN1304)))</f>
        <v/>
      </c>
      <c r="Z1304" s="14">
        <f>IF(OR($E1304="",$Y1304=""),"",IF($E1304&gt;=$Y1304,"×",IF($E1304&gt;=$Y1304*設定!$C$5,"△","○")))</f>
        <v/>
      </c>
      <c r="AA1304" s="15">
        <f>IF($Z1304="","",IF($Z1304="×",0,IF($Z1304="○",ROUNDDOWN($E1304*設定!$C$4,0),ROUNDDOWN($E1304*ROUND((9*$Y1304-9*$E1304)/(10*$E1304),4),0))))</f>
        <v/>
      </c>
      <c r="AB1304" s="13" t="n"/>
      <c r="AC1304" s="15">
        <f>IF($B1304="","",IF($AB1304&lt;&gt;"",$AB1304,IF($AA1304="","",IF($AA1304&lt;=設定!$C$3,0,$AA1304))))</f>
        <v/>
      </c>
      <c r="AD1304" s="14">
        <f>IF($B1304="","",IF(AND($AE1304&lt;&gt;"",$AG1304="",$AJ1304=""),"保留中",IF($AJ1304&lt;&gt;"",IF(N($AC1304)&gt;0,"支給済","不支給"),IF($AC1304="","要確認",IF($AC1304=0,"不支給","未処理")))))</f>
        <v/>
      </c>
      <c r="AE1304" s="12" t="n"/>
      <c r="AF1304" s="11" t="n"/>
      <c r="AG1304" s="11" t="n"/>
      <c r="AH1304" s="11" t="n"/>
      <c r="AI1304" s="14">
        <f>IF(AND($AD1304="保留中",$AF1304&lt;&gt;""),TODAY()-$AF1304,"")</f>
        <v/>
      </c>
      <c r="AJ1304" s="12" t="n"/>
      <c r="AK1304" s="14">
        <f>IF($B1304="","",IF($AO1304="","対象年月が未入力／","")&amp;IF($B1304="","",IF($AN1304="","職員マスタに未登録の職員番号／",IF($Y1304="","標準報酬月額が未登録／","")&amp;IF(AND($AO1304&lt;&gt;"",OR(AND(INDEX(職員マスタ!$G$6:$G$405,$AN1304)&lt;&gt;"",INDEX(職員マスタ!$G$6:$G$405,$AN1304)&gt;EOMONTH($AO1304,0)),AND(INDEX(職員マスタ!$H$6:$H$405,$AN1304)&lt;&gt;"",INDEX(職員マスタ!$H$6:$H$405,$AN1304)&lt;$AO1304))),"対象月が時短期間外／","")&amp;IF(AND(INDEX(職員マスタ!$F$6:$F$405,$AN1304)&lt;&gt;"",$AO1304&lt;&gt;"",INDEX(職員マスタ!$F$6:$F$405,$AN1304)&lt;$AO1304),"対象月に子が2歳到達済／","")&amp;IF(AND($H1304&lt;&gt;"",INDEX(職員マスタ!$B$6:$B$405,$AN1304)&lt;&gt;"",SUBSTITUTE(SUBSTITUTE($H1304," ","")," ","")&lt;&gt;SUBSTITUTE(SUBSTITUTE(INDEX(職員マスタ!$B$6:$B$405,$AN1304)," ","")," ","")),"氏名がマスタと相違／","")&amp;IF(AND($Q1304&lt;&gt;"",INDEX(職員マスタ!$E$6:$E$405,$AN1304)&lt;&gt;"",$Q1304&lt;&gt;INDEX(職員マスタ!$E$6:$E$405,$AN1304)),"子の生年月日がマスタと相違／","")&amp;IF(AND($L1304&lt;&gt;"",INDEX(職員マスタ!$G$6:$G$405,$AN1304)&lt;&gt;"",$L1304&lt;&gt;INDEX(職員マスタ!$G$6:$G$405,$AN1304)),"時短開始日がマスタと相違／","")&amp;IF(AND($M1304&lt;&gt;"",INDEX(職員マスタ!$H$6:$H$405,$AN1304)&lt;&gt;"",$M1304&lt;&gt;INDEX(職員マスタ!$H$6:$H$405,$AN1304)),"時短終了日がマスタと相違／","")))&amp;IF(AND($B1304&lt;&gt;"",$E1304=""),"報酬額が未入力／","")&amp;IF(N($U1304)&gt;0,"申請書に入力エラーが残っています／","")&amp;IF(AND($B1304&lt;&gt;"",$AO1304&lt;&gt;""),IF(COUNTIFS($B$6:$B$3005,$B1304,$C$6:$C$3005,$C1304,$D$6:$D$3005,$D1304)&gt;1,"同じ月の請求が重複しています／",""),"")&amp;IF(AND(N($E1304)&gt;0,$Z1304&lt;&gt;"",$Z1304&lt;&gt;"×",$AC1304=0,$AB1304=""),"計算額が下限以下のため不支給／",""))</f>
        <v/>
      </c>
      <c r="AL1304" s="12" t="n"/>
      <c r="AM1304" s="14">
        <f>IF($AD1304="保留中",COUNTIF($AD$6:$AD1304,"保留中"),"")</f>
        <v/>
      </c>
      <c r="AN1304" s="14">
        <f>IF($AO1304="","",IF(SUMPRODUCT(MAX((職員マスタ!$A$6:$A$405=$B1304)*(((職員マスタ!$G$6:$G$405="")+(職員マスタ!$G$6:$G$405&lt;=EOMONTH($AO1304,0)))&gt;0)*(((職員マスタ!$H$6:$H$405="")+(職員マスタ!$H$6:$H$405&gt;=$AO1304))&gt;0)*(ROW(職員マスタ!$A$6:$A$405)-5)))&gt;0,SUMPRODUCT(MAX((職員マスタ!$A$6:$A$405=$B1304)*(((職員マスタ!$G$6:$G$405="")+(職員マスタ!$G$6:$G$405&lt;=EOMONTH($AO1304,0)))&gt;0)*(((職員マスタ!$H$6:$H$405="")+(職員マスタ!$H$6:$H$405&gt;=$AO1304))&gt;0)*(ROW(職員マスタ!$A$6:$A$405)-5))),IFERROR(MATCH($B1304,職員マスタ!$A$6:$A$405,0),"")))</f>
        <v/>
      </c>
      <c r="AO1304" s="16">
        <f>IF(OR($B1304="",$C1304="",$D1304=""),"",DATE($C1304+2018,$D1304,1))</f>
        <v/>
      </c>
    </row>
    <row r="1305">
      <c r="A1305" s="11" t="n"/>
      <c r="B1305" s="12" t="n"/>
      <c r="C1305" s="12" t="n"/>
      <c r="D1305" s="12" t="n"/>
      <c r="E1305" s="13" t="n"/>
      <c r="F1305" s="12" t="n"/>
      <c r="G1305" s="13" t="n"/>
      <c r="H1305" s="12" t="n"/>
      <c r="I1305" s="12" t="n"/>
      <c r="J1305" s="12" t="n"/>
      <c r="K1305" s="12" t="n"/>
      <c r="L1305" s="11" t="n"/>
      <c r="M1305" s="11" t="n"/>
      <c r="N1305" s="11" t="n"/>
      <c r="O1305" s="11" t="n"/>
      <c r="P1305" s="12" t="n"/>
      <c r="Q1305" s="11" t="n"/>
      <c r="R1305" s="12" t="n"/>
      <c r="S1305" s="11" t="n"/>
      <c r="T1305" s="12" t="n"/>
      <c r="U1305" s="12" t="n"/>
      <c r="V1305" s="14">
        <f>IF($AN1305="",IF($B1305="","",$H1305),IF(INDEX(職員マスタ!$B$6:$B$405,$AN1305)="",$H1305,INDEX(職員マスタ!$B$6:$B$405,$AN1305)))</f>
        <v/>
      </c>
      <c r="W1305" s="14">
        <f>IF($AN1305="",IF($B1305="","",$R1305),IF(INDEX(職員マスタ!$C$6:$C$405,$AN1305)="",$R1305,INDEX(職員マスタ!$C$6:$C$405,$AN1305)))</f>
        <v/>
      </c>
      <c r="X1305" s="14">
        <f>IF($AO1305="","","R"&amp;$C1305&amp;"."&amp;$D1305)</f>
        <v/>
      </c>
      <c r="Y1305" s="15">
        <f>IF($AN1305="","",IF(INDEX(職員マスタ!$K$6:$K$405,$AN1305)="","",INDEX(職員マスタ!$K$6:$K$405,$AN1305)))</f>
        <v/>
      </c>
      <c r="Z1305" s="14">
        <f>IF(OR($E1305="",$Y1305=""),"",IF($E1305&gt;=$Y1305,"×",IF($E1305&gt;=$Y1305*設定!$C$5,"△","○")))</f>
        <v/>
      </c>
      <c r="AA1305" s="15">
        <f>IF($Z1305="","",IF($Z1305="×",0,IF($Z1305="○",ROUNDDOWN($E1305*設定!$C$4,0),ROUNDDOWN($E1305*ROUND((9*$Y1305-9*$E1305)/(10*$E1305),4),0))))</f>
        <v/>
      </c>
      <c r="AB1305" s="13" t="n"/>
      <c r="AC1305" s="15">
        <f>IF($B1305="","",IF($AB1305&lt;&gt;"",$AB1305,IF($AA1305="","",IF($AA1305&lt;=設定!$C$3,0,$AA1305))))</f>
        <v/>
      </c>
      <c r="AD1305" s="14">
        <f>IF($B1305="","",IF(AND($AE1305&lt;&gt;"",$AG1305="",$AJ1305=""),"保留中",IF($AJ1305&lt;&gt;"",IF(N($AC1305)&gt;0,"支給済","不支給"),IF($AC1305="","要確認",IF($AC1305=0,"不支給","未処理")))))</f>
        <v/>
      </c>
      <c r="AE1305" s="12" t="n"/>
      <c r="AF1305" s="11" t="n"/>
      <c r="AG1305" s="11" t="n"/>
      <c r="AH1305" s="11" t="n"/>
      <c r="AI1305" s="14">
        <f>IF(AND($AD1305="保留中",$AF1305&lt;&gt;""),TODAY()-$AF1305,"")</f>
        <v/>
      </c>
      <c r="AJ1305" s="12" t="n"/>
      <c r="AK1305" s="14">
        <f>IF($B1305="","",IF($AO1305="","対象年月が未入力／","")&amp;IF($B1305="","",IF($AN1305="","職員マスタに未登録の職員番号／",IF($Y1305="","標準報酬月額が未登録／","")&amp;IF(AND($AO1305&lt;&gt;"",OR(AND(INDEX(職員マスタ!$G$6:$G$405,$AN1305)&lt;&gt;"",INDEX(職員マスタ!$G$6:$G$405,$AN1305)&gt;EOMONTH($AO1305,0)),AND(INDEX(職員マスタ!$H$6:$H$405,$AN1305)&lt;&gt;"",INDEX(職員マスタ!$H$6:$H$405,$AN1305)&lt;$AO1305))),"対象月が時短期間外／","")&amp;IF(AND(INDEX(職員マスタ!$F$6:$F$405,$AN1305)&lt;&gt;"",$AO1305&lt;&gt;"",INDEX(職員マスタ!$F$6:$F$405,$AN1305)&lt;$AO1305),"対象月に子が2歳到達済／","")&amp;IF(AND($H1305&lt;&gt;"",INDEX(職員マスタ!$B$6:$B$405,$AN1305)&lt;&gt;"",SUBSTITUTE(SUBSTITUTE($H1305," ","")," ","")&lt;&gt;SUBSTITUTE(SUBSTITUTE(INDEX(職員マスタ!$B$6:$B$405,$AN1305)," ","")," ","")),"氏名がマスタと相違／","")&amp;IF(AND($Q1305&lt;&gt;"",INDEX(職員マスタ!$E$6:$E$405,$AN1305)&lt;&gt;"",$Q1305&lt;&gt;INDEX(職員マスタ!$E$6:$E$405,$AN1305)),"子の生年月日がマスタと相違／","")&amp;IF(AND($L1305&lt;&gt;"",INDEX(職員マスタ!$G$6:$G$405,$AN1305)&lt;&gt;"",$L1305&lt;&gt;INDEX(職員マスタ!$G$6:$G$405,$AN1305)),"時短開始日がマスタと相違／","")&amp;IF(AND($M1305&lt;&gt;"",INDEX(職員マスタ!$H$6:$H$405,$AN1305)&lt;&gt;"",$M1305&lt;&gt;INDEX(職員マスタ!$H$6:$H$405,$AN1305)),"時短終了日がマスタと相違／","")))&amp;IF(AND($B1305&lt;&gt;"",$E1305=""),"報酬額が未入力／","")&amp;IF(N($U1305)&gt;0,"申請書に入力エラーが残っています／","")&amp;IF(AND($B1305&lt;&gt;"",$AO1305&lt;&gt;""),IF(COUNTIFS($B$6:$B$3005,$B1305,$C$6:$C$3005,$C1305,$D$6:$D$3005,$D1305)&gt;1,"同じ月の請求が重複しています／",""),"")&amp;IF(AND(N($E1305)&gt;0,$Z1305&lt;&gt;"",$Z1305&lt;&gt;"×",$AC1305=0,$AB1305=""),"計算額が下限以下のため不支給／",""))</f>
        <v/>
      </c>
      <c r="AL1305" s="12" t="n"/>
      <c r="AM1305" s="14">
        <f>IF($AD1305="保留中",COUNTIF($AD$6:$AD1305,"保留中"),"")</f>
        <v/>
      </c>
      <c r="AN1305" s="14">
        <f>IF($AO1305="","",IF(SUMPRODUCT(MAX((職員マスタ!$A$6:$A$405=$B1305)*(((職員マスタ!$G$6:$G$405="")+(職員マスタ!$G$6:$G$405&lt;=EOMONTH($AO1305,0)))&gt;0)*(((職員マスタ!$H$6:$H$405="")+(職員マスタ!$H$6:$H$405&gt;=$AO1305))&gt;0)*(ROW(職員マスタ!$A$6:$A$405)-5)))&gt;0,SUMPRODUCT(MAX((職員マスタ!$A$6:$A$405=$B1305)*(((職員マスタ!$G$6:$G$405="")+(職員マスタ!$G$6:$G$405&lt;=EOMONTH($AO1305,0)))&gt;0)*(((職員マスタ!$H$6:$H$405="")+(職員マスタ!$H$6:$H$405&gt;=$AO1305))&gt;0)*(ROW(職員マスタ!$A$6:$A$405)-5))),IFERROR(MATCH($B1305,職員マスタ!$A$6:$A$405,0),"")))</f>
        <v/>
      </c>
      <c r="AO1305" s="16">
        <f>IF(OR($B1305="",$C1305="",$D1305=""),"",DATE($C1305+2018,$D1305,1))</f>
        <v/>
      </c>
    </row>
    <row r="1306">
      <c r="A1306" s="11" t="n"/>
      <c r="B1306" s="12" t="n"/>
      <c r="C1306" s="12" t="n"/>
      <c r="D1306" s="12" t="n"/>
      <c r="E1306" s="13" t="n"/>
      <c r="F1306" s="12" t="n"/>
      <c r="G1306" s="13" t="n"/>
      <c r="H1306" s="12" t="n"/>
      <c r="I1306" s="12" t="n"/>
      <c r="J1306" s="12" t="n"/>
      <c r="K1306" s="12" t="n"/>
      <c r="L1306" s="11" t="n"/>
      <c r="M1306" s="11" t="n"/>
      <c r="N1306" s="11" t="n"/>
      <c r="O1306" s="11" t="n"/>
      <c r="P1306" s="12" t="n"/>
      <c r="Q1306" s="11" t="n"/>
      <c r="R1306" s="12" t="n"/>
      <c r="S1306" s="11" t="n"/>
      <c r="T1306" s="12" t="n"/>
      <c r="U1306" s="12" t="n"/>
      <c r="V1306" s="14">
        <f>IF($AN1306="",IF($B1306="","",$H1306),IF(INDEX(職員マスタ!$B$6:$B$405,$AN1306)="",$H1306,INDEX(職員マスタ!$B$6:$B$405,$AN1306)))</f>
        <v/>
      </c>
      <c r="W1306" s="14">
        <f>IF($AN1306="",IF($B1306="","",$R1306),IF(INDEX(職員マスタ!$C$6:$C$405,$AN1306)="",$R1306,INDEX(職員マスタ!$C$6:$C$405,$AN1306)))</f>
        <v/>
      </c>
      <c r="X1306" s="14">
        <f>IF($AO1306="","","R"&amp;$C1306&amp;"."&amp;$D1306)</f>
        <v/>
      </c>
      <c r="Y1306" s="15">
        <f>IF($AN1306="","",IF(INDEX(職員マスタ!$K$6:$K$405,$AN1306)="","",INDEX(職員マスタ!$K$6:$K$405,$AN1306)))</f>
        <v/>
      </c>
      <c r="Z1306" s="14">
        <f>IF(OR($E1306="",$Y1306=""),"",IF($E1306&gt;=$Y1306,"×",IF($E1306&gt;=$Y1306*設定!$C$5,"△","○")))</f>
        <v/>
      </c>
      <c r="AA1306" s="15">
        <f>IF($Z1306="","",IF($Z1306="×",0,IF($Z1306="○",ROUNDDOWN($E1306*設定!$C$4,0),ROUNDDOWN($E1306*ROUND((9*$Y1306-9*$E1306)/(10*$E1306),4),0))))</f>
        <v/>
      </c>
      <c r="AB1306" s="13" t="n"/>
      <c r="AC1306" s="15">
        <f>IF($B1306="","",IF($AB1306&lt;&gt;"",$AB1306,IF($AA1306="","",IF($AA1306&lt;=設定!$C$3,0,$AA1306))))</f>
        <v/>
      </c>
      <c r="AD1306" s="14">
        <f>IF($B1306="","",IF(AND($AE1306&lt;&gt;"",$AG1306="",$AJ1306=""),"保留中",IF($AJ1306&lt;&gt;"",IF(N($AC1306)&gt;0,"支給済","不支給"),IF($AC1306="","要確認",IF($AC1306=0,"不支給","未処理")))))</f>
        <v/>
      </c>
      <c r="AE1306" s="12" t="n"/>
      <c r="AF1306" s="11" t="n"/>
      <c r="AG1306" s="11" t="n"/>
      <c r="AH1306" s="11" t="n"/>
      <c r="AI1306" s="14">
        <f>IF(AND($AD1306="保留中",$AF1306&lt;&gt;""),TODAY()-$AF1306,"")</f>
        <v/>
      </c>
      <c r="AJ1306" s="12" t="n"/>
      <c r="AK1306" s="14">
        <f>IF($B1306="","",IF($AO1306="","対象年月が未入力／","")&amp;IF($B1306="","",IF($AN1306="","職員マスタに未登録の職員番号／",IF($Y1306="","標準報酬月額が未登録／","")&amp;IF(AND($AO1306&lt;&gt;"",OR(AND(INDEX(職員マスタ!$G$6:$G$405,$AN1306)&lt;&gt;"",INDEX(職員マスタ!$G$6:$G$405,$AN1306)&gt;EOMONTH($AO1306,0)),AND(INDEX(職員マスタ!$H$6:$H$405,$AN1306)&lt;&gt;"",INDEX(職員マスタ!$H$6:$H$405,$AN1306)&lt;$AO1306))),"対象月が時短期間外／","")&amp;IF(AND(INDEX(職員マスタ!$F$6:$F$405,$AN1306)&lt;&gt;"",$AO1306&lt;&gt;"",INDEX(職員マスタ!$F$6:$F$405,$AN1306)&lt;$AO1306),"対象月に子が2歳到達済／","")&amp;IF(AND($H1306&lt;&gt;"",INDEX(職員マスタ!$B$6:$B$405,$AN1306)&lt;&gt;"",SUBSTITUTE(SUBSTITUTE($H1306," ","")," ","")&lt;&gt;SUBSTITUTE(SUBSTITUTE(INDEX(職員マスタ!$B$6:$B$405,$AN1306)," ","")," ","")),"氏名がマスタと相違／","")&amp;IF(AND($Q1306&lt;&gt;"",INDEX(職員マスタ!$E$6:$E$405,$AN1306)&lt;&gt;"",$Q1306&lt;&gt;INDEX(職員マスタ!$E$6:$E$405,$AN1306)),"子の生年月日がマスタと相違／","")&amp;IF(AND($L1306&lt;&gt;"",INDEX(職員マスタ!$G$6:$G$405,$AN1306)&lt;&gt;"",$L1306&lt;&gt;INDEX(職員マスタ!$G$6:$G$405,$AN1306)),"時短開始日がマスタと相違／","")&amp;IF(AND($M1306&lt;&gt;"",INDEX(職員マスタ!$H$6:$H$405,$AN1306)&lt;&gt;"",$M1306&lt;&gt;INDEX(職員マスタ!$H$6:$H$405,$AN1306)),"時短終了日がマスタと相違／","")))&amp;IF(AND($B1306&lt;&gt;"",$E1306=""),"報酬額が未入力／","")&amp;IF(N($U1306)&gt;0,"申請書に入力エラーが残っています／","")&amp;IF(AND($B1306&lt;&gt;"",$AO1306&lt;&gt;""),IF(COUNTIFS($B$6:$B$3005,$B1306,$C$6:$C$3005,$C1306,$D$6:$D$3005,$D1306)&gt;1,"同じ月の請求が重複しています／",""),"")&amp;IF(AND(N($E1306)&gt;0,$Z1306&lt;&gt;"",$Z1306&lt;&gt;"×",$AC1306=0,$AB1306=""),"計算額が下限以下のため不支給／",""))</f>
        <v/>
      </c>
      <c r="AL1306" s="12" t="n"/>
      <c r="AM1306" s="14">
        <f>IF($AD1306="保留中",COUNTIF($AD$6:$AD1306,"保留中"),"")</f>
        <v/>
      </c>
      <c r="AN1306" s="14">
        <f>IF($AO1306="","",IF(SUMPRODUCT(MAX((職員マスタ!$A$6:$A$405=$B1306)*(((職員マスタ!$G$6:$G$405="")+(職員マスタ!$G$6:$G$405&lt;=EOMONTH($AO1306,0)))&gt;0)*(((職員マスタ!$H$6:$H$405="")+(職員マスタ!$H$6:$H$405&gt;=$AO1306))&gt;0)*(ROW(職員マスタ!$A$6:$A$405)-5)))&gt;0,SUMPRODUCT(MAX((職員マスタ!$A$6:$A$405=$B1306)*(((職員マスタ!$G$6:$G$405="")+(職員マスタ!$G$6:$G$405&lt;=EOMONTH($AO1306,0)))&gt;0)*(((職員マスタ!$H$6:$H$405="")+(職員マスタ!$H$6:$H$405&gt;=$AO1306))&gt;0)*(ROW(職員マスタ!$A$6:$A$405)-5))),IFERROR(MATCH($B1306,職員マスタ!$A$6:$A$405,0),"")))</f>
        <v/>
      </c>
      <c r="AO1306" s="16">
        <f>IF(OR($B1306="",$C1306="",$D1306=""),"",DATE($C1306+2018,$D1306,1))</f>
        <v/>
      </c>
    </row>
    <row r="1307">
      <c r="A1307" s="11" t="n"/>
      <c r="B1307" s="12" t="n"/>
      <c r="C1307" s="12" t="n"/>
      <c r="D1307" s="12" t="n"/>
      <c r="E1307" s="13" t="n"/>
      <c r="F1307" s="12" t="n"/>
      <c r="G1307" s="13" t="n"/>
      <c r="H1307" s="12" t="n"/>
      <c r="I1307" s="12" t="n"/>
      <c r="J1307" s="12" t="n"/>
      <c r="K1307" s="12" t="n"/>
      <c r="L1307" s="11" t="n"/>
      <c r="M1307" s="11" t="n"/>
      <c r="N1307" s="11" t="n"/>
      <c r="O1307" s="11" t="n"/>
      <c r="P1307" s="12" t="n"/>
      <c r="Q1307" s="11" t="n"/>
      <c r="R1307" s="12" t="n"/>
      <c r="S1307" s="11" t="n"/>
      <c r="T1307" s="12" t="n"/>
      <c r="U1307" s="12" t="n"/>
      <c r="V1307" s="14">
        <f>IF($AN1307="",IF($B1307="","",$H1307),IF(INDEX(職員マスタ!$B$6:$B$405,$AN1307)="",$H1307,INDEX(職員マスタ!$B$6:$B$405,$AN1307)))</f>
        <v/>
      </c>
      <c r="W1307" s="14">
        <f>IF($AN1307="",IF($B1307="","",$R1307),IF(INDEX(職員マスタ!$C$6:$C$405,$AN1307)="",$R1307,INDEX(職員マスタ!$C$6:$C$405,$AN1307)))</f>
        <v/>
      </c>
      <c r="X1307" s="14">
        <f>IF($AO1307="","","R"&amp;$C1307&amp;"."&amp;$D1307)</f>
        <v/>
      </c>
      <c r="Y1307" s="15">
        <f>IF($AN1307="","",IF(INDEX(職員マスタ!$K$6:$K$405,$AN1307)="","",INDEX(職員マスタ!$K$6:$K$405,$AN1307)))</f>
        <v/>
      </c>
      <c r="Z1307" s="14">
        <f>IF(OR($E1307="",$Y1307=""),"",IF($E1307&gt;=$Y1307,"×",IF($E1307&gt;=$Y1307*設定!$C$5,"△","○")))</f>
        <v/>
      </c>
      <c r="AA1307" s="15">
        <f>IF($Z1307="","",IF($Z1307="×",0,IF($Z1307="○",ROUNDDOWN($E1307*設定!$C$4,0),ROUNDDOWN($E1307*ROUND((9*$Y1307-9*$E1307)/(10*$E1307),4),0))))</f>
        <v/>
      </c>
      <c r="AB1307" s="13" t="n"/>
      <c r="AC1307" s="15">
        <f>IF($B1307="","",IF($AB1307&lt;&gt;"",$AB1307,IF($AA1307="","",IF($AA1307&lt;=設定!$C$3,0,$AA1307))))</f>
        <v/>
      </c>
      <c r="AD1307" s="14">
        <f>IF($B1307="","",IF(AND($AE1307&lt;&gt;"",$AG1307="",$AJ1307=""),"保留中",IF($AJ1307&lt;&gt;"",IF(N($AC1307)&gt;0,"支給済","不支給"),IF($AC1307="","要確認",IF($AC1307=0,"不支給","未処理")))))</f>
        <v/>
      </c>
      <c r="AE1307" s="12" t="n"/>
      <c r="AF1307" s="11" t="n"/>
      <c r="AG1307" s="11" t="n"/>
      <c r="AH1307" s="11" t="n"/>
      <c r="AI1307" s="14">
        <f>IF(AND($AD1307="保留中",$AF1307&lt;&gt;""),TODAY()-$AF1307,"")</f>
        <v/>
      </c>
      <c r="AJ1307" s="12" t="n"/>
      <c r="AK1307" s="14">
        <f>IF($B1307="","",IF($AO1307="","対象年月が未入力／","")&amp;IF($B1307="","",IF($AN1307="","職員マスタに未登録の職員番号／",IF($Y1307="","標準報酬月額が未登録／","")&amp;IF(AND($AO1307&lt;&gt;"",OR(AND(INDEX(職員マスタ!$G$6:$G$405,$AN1307)&lt;&gt;"",INDEX(職員マスタ!$G$6:$G$405,$AN1307)&gt;EOMONTH($AO1307,0)),AND(INDEX(職員マスタ!$H$6:$H$405,$AN1307)&lt;&gt;"",INDEX(職員マスタ!$H$6:$H$405,$AN1307)&lt;$AO1307))),"対象月が時短期間外／","")&amp;IF(AND(INDEX(職員マスタ!$F$6:$F$405,$AN1307)&lt;&gt;"",$AO1307&lt;&gt;"",INDEX(職員マスタ!$F$6:$F$405,$AN1307)&lt;$AO1307),"対象月に子が2歳到達済／","")&amp;IF(AND($H1307&lt;&gt;"",INDEX(職員マスタ!$B$6:$B$405,$AN1307)&lt;&gt;"",SUBSTITUTE(SUBSTITUTE($H1307," ","")," ","")&lt;&gt;SUBSTITUTE(SUBSTITUTE(INDEX(職員マスタ!$B$6:$B$405,$AN1307)," ","")," ","")),"氏名がマスタと相違／","")&amp;IF(AND($Q1307&lt;&gt;"",INDEX(職員マスタ!$E$6:$E$405,$AN1307)&lt;&gt;"",$Q1307&lt;&gt;INDEX(職員マスタ!$E$6:$E$405,$AN1307)),"子の生年月日がマスタと相違／","")&amp;IF(AND($L1307&lt;&gt;"",INDEX(職員マスタ!$G$6:$G$405,$AN1307)&lt;&gt;"",$L1307&lt;&gt;INDEX(職員マスタ!$G$6:$G$405,$AN1307)),"時短開始日がマスタと相違／","")&amp;IF(AND($M1307&lt;&gt;"",INDEX(職員マスタ!$H$6:$H$405,$AN1307)&lt;&gt;"",$M1307&lt;&gt;INDEX(職員マスタ!$H$6:$H$405,$AN1307)),"時短終了日がマスタと相違／","")))&amp;IF(AND($B1307&lt;&gt;"",$E1307=""),"報酬額が未入力／","")&amp;IF(N($U1307)&gt;0,"申請書に入力エラーが残っています／","")&amp;IF(AND($B1307&lt;&gt;"",$AO1307&lt;&gt;""),IF(COUNTIFS($B$6:$B$3005,$B1307,$C$6:$C$3005,$C1307,$D$6:$D$3005,$D1307)&gt;1,"同じ月の請求が重複しています／",""),"")&amp;IF(AND(N($E1307)&gt;0,$Z1307&lt;&gt;"",$Z1307&lt;&gt;"×",$AC1307=0,$AB1307=""),"計算額が下限以下のため不支給／",""))</f>
        <v/>
      </c>
      <c r="AL1307" s="12" t="n"/>
      <c r="AM1307" s="14">
        <f>IF($AD1307="保留中",COUNTIF($AD$6:$AD1307,"保留中"),"")</f>
        <v/>
      </c>
      <c r="AN1307" s="14">
        <f>IF($AO1307="","",IF(SUMPRODUCT(MAX((職員マスタ!$A$6:$A$405=$B1307)*(((職員マスタ!$G$6:$G$405="")+(職員マスタ!$G$6:$G$405&lt;=EOMONTH($AO1307,0)))&gt;0)*(((職員マスタ!$H$6:$H$405="")+(職員マスタ!$H$6:$H$405&gt;=$AO1307))&gt;0)*(ROW(職員マスタ!$A$6:$A$405)-5)))&gt;0,SUMPRODUCT(MAX((職員マスタ!$A$6:$A$405=$B1307)*(((職員マスタ!$G$6:$G$405="")+(職員マスタ!$G$6:$G$405&lt;=EOMONTH($AO1307,0)))&gt;0)*(((職員マスタ!$H$6:$H$405="")+(職員マスタ!$H$6:$H$405&gt;=$AO1307))&gt;0)*(ROW(職員マスタ!$A$6:$A$405)-5))),IFERROR(MATCH($B1307,職員マスタ!$A$6:$A$405,0),"")))</f>
        <v/>
      </c>
      <c r="AO1307" s="16">
        <f>IF(OR($B1307="",$C1307="",$D1307=""),"",DATE($C1307+2018,$D1307,1))</f>
        <v/>
      </c>
    </row>
    <row r="1308">
      <c r="A1308" s="11" t="n"/>
      <c r="B1308" s="12" t="n"/>
      <c r="C1308" s="12" t="n"/>
      <c r="D1308" s="12" t="n"/>
      <c r="E1308" s="13" t="n"/>
      <c r="F1308" s="12" t="n"/>
      <c r="G1308" s="13" t="n"/>
      <c r="H1308" s="12" t="n"/>
      <c r="I1308" s="12" t="n"/>
      <c r="J1308" s="12" t="n"/>
      <c r="K1308" s="12" t="n"/>
      <c r="L1308" s="11" t="n"/>
      <c r="M1308" s="11" t="n"/>
      <c r="N1308" s="11" t="n"/>
      <c r="O1308" s="11" t="n"/>
      <c r="P1308" s="12" t="n"/>
      <c r="Q1308" s="11" t="n"/>
      <c r="R1308" s="12" t="n"/>
      <c r="S1308" s="11" t="n"/>
      <c r="T1308" s="12" t="n"/>
      <c r="U1308" s="12" t="n"/>
      <c r="V1308" s="14">
        <f>IF($AN1308="",IF($B1308="","",$H1308),IF(INDEX(職員マスタ!$B$6:$B$405,$AN1308)="",$H1308,INDEX(職員マスタ!$B$6:$B$405,$AN1308)))</f>
        <v/>
      </c>
      <c r="W1308" s="14">
        <f>IF($AN1308="",IF($B1308="","",$R1308),IF(INDEX(職員マスタ!$C$6:$C$405,$AN1308)="",$R1308,INDEX(職員マスタ!$C$6:$C$405,$AN1308)))</f>
        <v/>
      </c>
      <c r="X1308" s="14">
        <f>IF($AO1308="","","R"&amp;$C1308&amp;"."&amp;$D1308)</f>
        <v/>
      </c>
      <c r="Y1308" s="15">
        <f>IF($AN1308="","",IF(INDEX(職員マスタ!$K$6:$K$405,$AN1308)="","",INDEX(職員マスタ!$K$6:$K$405,$AN1308)))</f>
        <v/>
      </c>
      <c r="Z1308" s="14">
        <f>IF(OR($E1308="",$Y1308=""),"",IF($E1308&gt;=$Y1308,"×",IF($E1308&gt;=$Y1308*設定!$C$5,"△","○")))</f>
        <v/>
      </c>
      <c r="AA1308" s="15">
        <f>IF($Z1308="","",IF($Z1308="×",0,IF($Z1308="○",ROUNDDOWN($E1308*設定!$C$4,0),ROUNDDOWN($E1308*ROUND((9*$Y1308-9*$E1308)/(10*$E1308),4),0))))</f>
        <v/>
      </c>
      <c r="AB1308" s="13" t="n"/>
      <c r="AC1308" s="15">
        <f>IF($B1308="","",IF($AB1308&lt;&gt;"",$AB1308,IF($AA1308="","",IF($AA1308&lt;=設定!$C$3,0,$AA1308))))</f>
        <v/>
      </c>
      <c r="AD1308" s="14">
        <f>IF($B1308="","",IF(AND($AE1308&lt;&gt;"",$AG1308="",$AJ1308=""),"保留中",IF($AJ1308&lt;&gt;"",IF(N($AC1308)&gt;0,"支給済","不支給"),IF($AC1308="","要確認",IF($AC1308=0,"不支給","未処理")))))</f>
        <v/>
      </c>
      <c r="AE1308" s="12" t="n"/>
      <c r="AF1308" s="11" t="n"/>
      <c r="AG1308" s="11" t="n"/>
      <c r="AH1308" s="11" t="n"/>
      <c r="AI1308" s="14">
        <f>IF(AND($AD1308="保留中",$AF1308&lt;&gt;""),TODAY()-$AF1308,"")</f>
        <v/>
      </c>
      <c r="AJ1308" s="12" t="n"/>
      <c r="AK1308" s="14">
        <f>IF($B1308="","",IF($AO1308="","対象年月が未入力／","")&amp;IF($B1308="","",IF($AN1308="","職員マスタに未登録の職員番号／",IF($Y1308="","標準報酬月額が未登録／","")&amp;IF(AND($AO1308&lt;&gt;"",OR(AND(INDEX(職員マスタ!$G$6:$G$405,$AN1308)&lt;&gt;"",INDEX(職員マスタ!$G$6:$G$405,$AN1308)&gt;EOMONTH($AO1308,0)),AND(INDEX(職員マスタ!$H$6:$H$405,$AN1308)&lt;&gt;"",INDEX(職員マスタ!$H$6:$H$405,$AN1308)&lt;$AO1308))),"対象月が時短期間外／","")&amp;IF(AND(INDEX(職員マスタ!$F$6:$F$405,$AN1308)&lt;&gt;"",$AO1308&lt;&gt;"",INDEX(職員マスタ!$F$6:$F$405,$AN1308)&lt;$AO1308),"対象月に子が2歳到達済／","")&amp;IF(AND($H1308&lt;&gt;"",INDEX(職員マスタ!$B$6:$B$405,$AN1308)&lt;&gt;"",SUBSTITUTE(SUBSTITUTE($H1308," ","")," ","")&lt;&gt;SUBSTITUTE(SUBSTITUTE(INDEX(職員マスタ!$B$6:$B$405,$AN1308)," ","")," ","")),"氏名がマスタと相違／","")&amp;IF(AND($Q1308&lt;&gt;"",INDEX(職員マスタ!$E$6:$E$405,$AN1308)&lt;&gt;"",$Q1308&lt;&gt;INDEX(職員マスタ!$E$6:$E$405,$AN1308)),"子の生年月日がマスタと相違／","")&amp;IF(AND($L1308&lt;&gt;"",INDEX(職員マスタ!$G$6:$G$405,$AN1308)&lt;&gt;"",$L1308&lt;&gt;INDEX(職員マスタ!$G$6:$G$405,$AN1308)),"時短開始日がマスタと相違／","")&amp;IF(AND($M1308&lt;&gt;"",INDEX(職員マスタ!$H$6:$H$405,$AN1308)&lt;&gt;"",$M1308&lt;&gt;INDEX(職員マスタ!$H$6:$H$405,$AN1308)),"時短終了日がマスタと相違／","")))&amp;IF(AND($B1308&lt;&gt;"",$E1308=""),"報酬額が未入力／","")&amp;IF(N($U1308)&gt;0,"申請書に入力エラーが残っています／","")&amp;IF(AND($B1308&lt;&gt;"",$AO1308&lt;&gt;""),IF(COUNTIFS($B$6:$B$3005,$B1308,$C$6:$C$3005,$C1308,$D$6:$D$3005,$D1308)&gt;1,"同じ月の請求が重複しています／",""),"")&amp;IF(AND(N($E1308)&gt;0,$Z1308&lt;&gt;"",$Z1308&lt;&gt;"×",$AC1308=0,$AB1308=""),"計算額が下限以下のため不支給／",""))</f>
        <v/>
      </c>
      <c r="AL1308" s="12" t="n"/>
      <c r="AM1308" s="14">
        <f>IF($AD1308="保留中",COUNTIF($AD$6:$AD1308,"保留中"),"")</f>
        <v/>
      </c>
      <c r="AN1308" s="14">
        <f>IF($AO1308="","",IF(SUMPRODUCT(MAX((職員マスタ!$A$6:$A$405=$B1308)*(((職員マスタ!$G$6:$G$405="")+(職員マスタ!$G$6:$G$405&lt;=EOMONTH($AO1308,0)))&gt;0)*(((職員マスタ!$H$6:$H$405="")+(職員マスタ!$H$6:$H$405&gt;=$AO1308))&gt;0)*(ROW(職員マスタ!$A$6:$A$405)-5)))&gt;0,SUMPRODUCT(MAX((職員マスタ!$A$6:$A$405=$B1308)*(((職員マスタ!$G$6:$G$405="")+(職員マスタ!$G$6:$G$405&lt;=EOMONTH($AO1308,0)))&gt;0)*(((職員マスタ!$H$6:$H$405="")+(職員マスタ!$H$6:$H$405&gt;=$AO1308))&gt;0)*(ROW(職員マスタ!$A$6:$A$405)-5))),IFERROR(MATCH($B1308,職員マスタ!$A$6:$A$405,0),"")))</f>
        <v/>
      </c>
      <c r="AO1308" s="16">
        <f>IF(OR($B1308="",$C1308="",$D1308=""),"",DATE($C1308+2018,$D1308,1))</f>
        <v/>
      </c>
    </row>
    <row r="1309">
      <c r="A1309" s="11" t="n"/>
      <c r="B1309" s="12" t="n"/>
      <c r="C1309" s="12" t="n"/>
      <c r="D1309" s="12" t="n"/>
      <c r="E1309" s="13" t="n"/>
      <c r="F1309" s="12" t="n"/>
      <c r="G1309" s="13" t="n"/>
      <c r="H1309" s="12" t="n"/>
      <c r="I1309" s="12" t="n"/>
      <c r="J1309" s="12" t="n"/>
      <c r="K1309" s="12" t="n"/>
      <c r="L1309" s="11" t="n"/>
      <c r="M1309" s="11" t="n"/>
      <c r="N1309" s="11" t="n"/>
      <c r="O1309" s="11" t="n"/>
      <c r="P1309" s="12" t="n"/>
      <c r="Q1309" s="11" t="n"/>
      <c r="R1309" s="12" t="n"/>
      <c r="S1309" s="11" t="n"/>
      <c r="T1309" s="12" t="n"/>
      <c r="U1309" s="12" t="n"/>
      <c r="V1309" s="14">
        <f>IF($AN1309="",IF($B1309="","",$H1309),IF(INDEX(職員マスタ!$B$6:$B$405,$AN1309)="",$H1309,INDEX(職員マスタ!$B$6:$B$405,$AN1309)))</f>
        <v/>
      </c>
      <c r="W1309" s="14">
        <f>IF($AN1309="",IF($B1309="","",$R1309),IF(INDEX(職員マスタ!$C$6:$C$405,$AN1309)="",$R1309,INDEX(職員マスタ!$C$6:$C$405,$AN1309)))</f>
        <v/>
      </c>
      <c r="X1309" s="14">
        <f>IF($AO1309="","","R"&amp;$C1309&amp;"."&amp;$D1309)</f>
        <v/>
      </c>
      <c r="Y1309" s="15">
        <f>IF($AN1309="","",IF(INDEX(職員マスタ!$K$6:$K$405,$AN1309)="","",INDEX(職員マスタ!$K$6:$K$405,$AN1309)))</f>
        <v/>
      </c>
      <c r="Z1309" s="14">
        <f>IF(OR($E1309="",$Y1309=""),"",IF($E1309&gt;=$Y1309,"×",IF($E1309&gt;=$Y1309*設定!$C$5,"△","○")))</f>
        <v/>
      </c>
      <c r="AA1309" s="15">
        <f>IF($Z1309="","",IF($Z1309="×",0,IF($Z1309="○",ROUNDDOWN($E1309*設定!$C$4,0),ROUNDDOWN($E1309*ROUND((9*$Y1309-9*$E1309)/(10*$E1309),4),0))))</f>
        <v/>
      </c>
      <c r="AB1309" s="13" t="n"/>
      <c r="AC1309" s="15">
        <f>IF($B1309="","",IF($AB1309&lt;&gt;"",$AB1309,IF($AA1309="","",IF($AA1309&lt;=設定!$C$3,0,$AA1309))))</f>
        <v/>
      </c>
      <c r="AD1309" s="14">
        <f>IF($B1309="","",IF(AND($AE1309&lt;&gt;"",$AG1309="",$AJ1309=""),"保留中",IF($AJ1309&lt;&gt;"",IF(N($AC1309)&gt;0,"支給済","不支給"),IF($AC1309="","要確認",IF($AC1309=0,"不支給","未処理")))))</f>
        <v/>
      </c>
      <c r="AE1309" s="12" t="n"/>
      <c r="AF1309" s="11" t="n"/>
      <c r="AG1309" s="11" t="n"/>
      <c r="AH1309" s="11" t="n"/>
      <c r="AI1309" s="14">
        <f>IF(AND($AD1309="保留中",$AF1309&lt;&gt;""),TODAY()-$AF1309,"")</f>
        <v/>
      </c>
      <c r="AJ1309" s="12" t="n"/>
      <c r="AK1309" s="14">
        <f>IF($B1309="","",IF($AO1309="","対象年月が未入力／","")&amp;IF($B1309="","",IF($AN1309="","職員マスタに未登録の職員番号／",IF($Y1309="","標準報酬月額が未登録／","")&amp;IF(AND($AO1309&lt;&gt;"",OR(AND(INDEX(職員マスタ!$G$6:$G$405,$AN1309)&lt;&gt;"",INDEX(職員マスタ!$G$6:$G$405,$AN1309)&gt;EOMONTH($AO1309,0)),AND(INDEX(職員マスタ!$H$6:$H$405,$AN1309)&lt;&gt;"",INDEX(職員マスタ!$H$6:$H$405,$AN1309)&lt;$AO1309))),"対象月が時短期間外／","")&amp;IF(AND(INDEX(職員マスタ!$F$6:$F$405,$AN1309)&lt;&gt;"",$AO1309&lt;&gt;"",INDEX(職員マスタ!$F$6:$F$405,$AN1309)&lt;$AO1309),"対象月に子が2歳到達済／","")&amp;IF(AND($H1309&lt;&gt;"",INDEX(職員マスタ!$B$6:$B$405,$AN1309)&lt;&gt;"",SUBSTITUTE(SUBSTITUTE($H1309," ","")," ","")&lt;&gt;SUBSTITUTE(SUBSTITUTE(INDEX(職員マスタ!$B$6:$B$405,$AN1309)," ","")," ","")),"氏名がマスタと相違／","")&amp;IF(AND($Q1309&lt;&gt;"",INDEX(職員マスタ!$E$6:$E$405,$AN1309)&lt;&gt;"",$Q1309&lt;&gt;INDEX(職員マスタ!$E$6:$E$405,$AN1309)),"子の生年月日がマスタと相違／","")&amp;IF(AND($L1309&lt;&gt;"",INDEX(職員マスタ!$G$6:$G$405,$AN1309)&lt;&gt;"",$L1309&lt;&gt;INDEX(職員マスタ!$G$6:$G$405,$AN1309)),"時短開始日がマスタと相違／","")&amp;IF(AND($M1309&lt;&gt;"",INDEX(職員マスタ!$H$6:$H$405,$AN1309)&lt;&gt;"",$M1309&lt;&gt;INDEX(職員マスタ!$H$6:$H$405,$AN1309)),"時短終了日がマスタと相違／","")))&amp;IF(AND($B1309&lt;&gt;"",$E1309=""),"報酬額が未入力／","")&amp;IF(N($U1309)&gt;0,"申請書に入力エラーが残っています／","")&amp;IF(AND($B1309&lt;&gt;"",$AO1309&lt;&gt;""),IF(COUNTIFS($B$6:$B$3005,$B1309,$C$6:$C$3005,$C1309,$D$6:$D$3005,$D1309)&gt;1,"同じ月の請求が重複しています／",""),"")&amp;IF(AND(N($E1309)&gt;0,$Z1309&lt;&gt;"",$Z1309&lt;&gt;"×",$AC1309=0,$AB1309=""),"計算額が下限以下のため不支給／",""))</f>
        <v/>
      </c>
      <c r="AL1309" s="12" t="n"/>
      <c r="AM1309" s="14">
        <f>IF($AD1309="保留中",COUNTIF($AD$6:$AD1309,"保留中"),"")</f>
        <v/>
      </c>
      <c r="AN1309" s="14">
        <f>IF($AO1309="","",IF(SUMPRODUCT(MAX((職員マスタ!$A$6:$A$405=$B1309)*(((職員マスタ!$G$6:$G$405="")+(職員マスタ!$G$6:$G$405&lt;=EOMONTH($AO1309,0)))&gt;0)*(((職員マスタ!$H$6:$H$405="")+(職員マスタ!$H$6:$H$405&gt;=$AO1309))&gt;0)*(ROW(職員マスタ!$A$6:$A$405)-5)))&gt;0,SUMPRODUCT(MAX((職員マスタ!$A$6:$A$405=$B1309)*(((職員マスタ!$G$6:$G$405="")+(職員マスタ!$G$6:$G$405&lt;=EOMONTH($AO1309,0)))&gt;0)*(((職員マスタ!$H$6:$H$405="")+(職員マスタ!$H$6:$H$405&gt;=$AO1309))&gt;0)*(ROW(職員マスタ!$A$6:$A$405)-5))),IFERROR(MATCH($B1309,職員マスタ!$A$6:$A$405,0),"")))</f>
        <v/>
      </c>
      <c r="AO1309" s="16">
        <f>IF(OR($B1309="",$C1309="",$D1309=""),"",DATE($C1309+2018,$D1309,1))</f>
        <v/>
      </c>
    </row>
    <row r="1310">
      <c r="A1310" s="11" t="n"/>
      <c r="B1310" s="12" t="n"/>
      <c r="C1310" s="12" t="n"/>
      <c r="D1310" s="12" t="n"/>
      <c r="E1310" s="13" t="n"/>
      <c r="F1310" s="12" t="n"/>
      <c r="G1310" s="13" t="n"/>
      <c r="H1310" s="12" t="n"/>
      <c r="I1310" s="12" t="n"/>
      <c r="J1310" s="12" t="n"/>
      <c r="K1310" s="12" t="n"/>
      <c r="L1310" s="11" t="n"/>
      <c r="M1310" s="11" t="n"/>
      <c r="N1310" s="11" t="n"/>
      <c r="O1310" s="11" t="n"/>
      <c r="P1310" s="12" t="n"/>
      <c r="Q1310" s="11" t="n"/>
      <c r="R1310" s="12" t="n"/>
      <c r="S1310" s="11" t="n"/>
      <c r="T1310" s="12" t="n"/>
      <c r="U1310" s="12" t="n"/>
      <c r="V1310" s="14">
        <f>IF($AN1310="",IF($B1310="","",$H1310),IF(INDEX(職員マスタ!$B$6:$B$405,$AN1310)="",$H1310,INDEX(職員マスタ!$B$6:$B$405,$AN1310)))</f>
        <v/>
      </c>
      <c r="W1310" s="14">
        <f>IF($AN1310="",IF($B1310="","",$R1310),IF(INDEX(職員マスタ!$C$6:$C$405,$AN1310)="",$R1310,INDEX(職員マスタ!$C$6:$C$405,$AN1310)))</f>
        <v/>
      </c>
      <c r="X1310" s="14">
        <f>IF($AO1310="","","R"&amp;$C1310&amp;"."&amp;$D1310)</f>
        <v/>
      </c>
      <c r="Y1310" s="15">
        <f>IF($AN1310="","",IF(INDEX(職員マスタ!$K$6:$K$405,$AN1310)="","",INDEX(職員マスタ!$K$6:$K$405,$AN1310)))</f>
        <v/>
      </c>
      <c r="Z1310" s="14">
        <f>IF(OR($E1310="",$Y1310=""),"",IF($E1310&gt;=$Y1310,"×",IF($E1310&gt;=$Y1310*設定!$C$5,"△","○")))</f>
        <v/>
      </c>
      <c r="AA1310" s="15">
        <f>IF($Z1310="","",IF($Z1310="×",0,IF($Z1310="○",ROUNDDOWN($E1310*設定!$C$4,0),ROUNDDOWN($E1310*ROUND((9*$Y1310-9*$E1310)/(10*$E1310),4),0))))</f>
        <v/>
      </c>
      <c r="AB1310" s="13" t="n"/>
      <c r="AC1310" s="15">
        <f>IF($B1310="","",IF($AB1310&lt;&gt;"",$AB1310,IF($AA1310="","",IF($AA1310&lt;=設定!$C$3,0,$AA1310))))</f>
        <v/>
      </c>
      <c r="AD1310" s="14">
        <f>IF($B1310="","",IF(AND($AE1310&lt;&gt;"",$AG1310="",$AJ1310=""),"保留中",IF($AJ1310&lt;&gt;"",IF(N($AC1310)&gt;0,"支給済","不支給"),IF($AC1310="","要確認",IF($AC1310=0,"不支給","未処理")))))</f>
        <v/>
      </c>
      <c r="AE1310" s="12" t="n"/>
      <c r="AF1310" s="11" t="n"/>
      <c r="AG1310" s="11" t="n"/>
      <c r="AH1310" s="11" t="n"/>
      <c r="AI1310" s="14">
        <f>IF(AND($AD1310="保留中",$AF1310&lt;&gt;""),TODAY()-$AF1310,"")</f>
        <v/>
      </c>
      <c r="AJ1310" s="12" t="n"/>
      <c r="AK1310" s="14">
        <f>IF($B1310="","",IF($AO1310="","対象年月が未入力／","")&amp;IF($B1310="","",IF($AN1310="","職員マスタに未登録の職員番号／",IF($Y1310="","標準報酬月額が未登録／","")&amp;IF(AND($AO1310&lt;&gt;"",OR(AND(INDEX(職員マスタ!$G$6:$G$405,$AN1310)&lt;&gt;"",INDEX(職員マスタ!$G$6:$G$405,$AN1310)&gt;EOMONTH($AO1310,0)),AND(INDEX(職員マスタ!$H$6:$H$405,$AN1310)&lt;&gt;"",INDEX(職員マスタ!$H$6:$H$405,$AN1310)&lt;$AO1310))),"対象月が時短期間外／","")&amp;IF(AND(INDEX(職員マスタ!$F$6:$F$405,$AN1310)&lt;&gt;"",$AO1310&lt;&gt;"",INDEX(職員マスタ!$F$6:$F$405,$AN1310)&lt;$AO1310),"対象月に子が2歳到達済／","")&amp;IF(AND($H1310&lt;&gt;"",INDEX(職員マスタ!$B$6:$B$405,$AN1310)&lt;&gt;"",SUBSTITUTE(SUBSTITUTE($H1310," ","")," ","")&lt;&gt;SUBSTITUTE(SUBSTITUTE(INDEX(職員マスタ!$B$6:$B$405,$AN1310)," ","")," ","")),"氏名がマスタと相違／","")&amp;IF(AND($Q1310&lt;&gt;"",INDEX(職員マスタ!$E$6:$E$405,$AN1310)&lt;&gt;"",$Q1310&lt;&gt;INDEX(職員マスタ!$E$6:$E$405,$AN1310)),"子の生年月日がマスタと相違／","")&amp;IF(AND($L1310&lt;&gt;"",INDEX(職員マスタ!$G$6:$G$405,$AN1310)&lt;&gt;"",$L1310&lt;&gt;INDEX(職員マスタ!$G$6:$G$405,$AN1310)),"時短開始日がマスタと相違／","")&amp;IF(AND($M1310&lt;&gt;"",INDEX(職員マスタ!$H$6:$H$405,$AN1310)&lt;&gt;"",$M1310&lt;&gt;INDEX(職員マスタ!$H$6:$H$405,$AN1310)),"時短終了日がマスタと相違／","")))&amp;IF(AND($B1310&lt;&gt;"",$E1310=""),"報酬額が未入力／","")&amp;IF(N($U1310)&gt;0,"申請書に入力エラーが残っています／","")&amp;IF(AND($B1310&lt;&gt;"",$AO1310&lt;&gt;""),IF(COUNTIFS($B$6:$B$3005,$B1310,$C$6:$C$3005,$C1310,$D$6:$D$3005,$D1310)&gt;1,"同じ月の請求が重複しています／",""),"")&amp;IF(AND(N($E1310)&gt;0,$Z1310&lt;&gt;"",$Z1310&lt;&gt;"×",$AC1310=0,$AB1310=""),"計算額が下限以下のため不支給／",""))</f>
        <v/>
      </c>
      <c r="AL1310" s="12" t="n"/>
      <c r="AM1310" s="14">
        <f>IF($AD1310="保留中",COUNTIF($AD$6:$AD1310,"保留中"),"")</f>
        <v/>
      </c>
      <c r="AN1310" s="14">
        <f>IF($AO1310="","",IF(SUMPRODUCT(MAX((職員マスタ!$A$6:$A$405=$B1310)*(((職員マスタ!$G$6:$G$405="")+(職員マスタ!$G$6:$G$405&lt;=EOMONTH($AO1310,0)))&gt;0)*(((職員マスタ!$H$6:$H$405="")+(職員マスタ!$H$6:$H$405&gt;=$AO1310))&gt;0)*(ROW(職員マスタ!$A$6:$A$405)-5)))&gt;0,SUMPRODUCT(MAX((職員マスタ!$A$6:$A$405=$B1310)*(((職員マスタ!$G$6:$G$405="")+(職員マスタ!$G$6:$G$405&lt;=EOMONTH($AO1310,0)))&gt;0)*(((職員マスタ!$H$6:$H$405="")+(職員マスタ!$H$6:$H$405&gt;=$AO1310))&gt;0)*(ROW(職員マスタ!$A$6:$A$405)-5))),IFERROR(MATCH($B1310,職員マスタ!$A$6:$A$405,0),"")))</f>
        <v/>
      </c>
      <c r="AO1310" s="16">
        <f>IF(OR($B1310="",$C1310="",$D1310=""),"",DATE($C1310+2018,$D1310,1))</f>
        <v/>
      </c>
    </row>
    <row r="1311">
      <c r="A1311" s="11" t="n"/>
      <c r="B1311" s="12" t="n"/>
      <c r="C1311" s="12" t="n"/>
      <c r="D1311" s="12" t="n"/>
      <c r="E1311" s="13" t="n"/>
      <c r="F1311" s="12" t="n"/>
      <c r="G1311" s="13" t="n"/>
      <c r="H1311" s="12" t="n"/>
      <c r="I1311" s="12" t="n"/>
      <c r="J1311" s="12" t="n"/>
      <c r="K1311" s="12" t="n"/>
      <c r="L1311" s="11" t="n"/>
      <c r="M1311" s="11" t="n"/>
      <c r="N1311" s="11" t="n"/>
      <c r="O1311" s="11" t="n"/>
      <c r="P1311" s="12" t="n"/>
      <c r="Q1311" s="11" t="n"/>
      <c r="R1311" s="12" t="n"/>
      <c r="S1311" s="11" t="n"/>
      <c r="T1311" s="12" t="n"/>
      <c r="U1311" s="12" t="n"/>
      <c r="V1311" s="14">
        <f>IF($AN1311="",IF($B1311="","",$H1311),IF(INDEX(職員マスタ!$B$6:$B$405,$AN1311)="",$H1311,INDEX(職員マスタ!$B$6:$B$405,$AN1311)))</f>
        <v/>
      </c>
      <c r="W1311" s="14">
        <f>IF($AN1311="",IF($B1311="","",$R1311),IF(INDEX(職員マスタ!$C$6:$C$405,$AN1311)="",$R1311,INDEX(職員マスタ!$C$6:$C$405,$AN1311)))</f>
        <v/>
      </c>
      <c r="X1311" s="14">
        <f>IF($AO1311="","","R"&amp;$C1311&amp;"."&amp;$D1311)</f>
        <v/>
      </c>
      <c r="Y1311" s="15">
        <f>IF($AN1311="","",IF(INDEX(職員マスタ!$K$6:$K$405,$AN1311)="","",INDEX(職員マスタ!$K$6:$K$405,$AN1311)))</f>
        <v/>
      </c>
      <c r="Z1311" s="14">
        <f>IF(OR($E1311="",$Y1311=""),"",IF($E1311&gt;=$Y1311,"×",IF($E1311&gt;=$Y1311*設定!$C$5,"△","○")))</f>
        <v/>
      </c>
      <c r="AA1311" s="15">
        <f>IF($Z1311="","",IF($Z1311="×",0,IF($Z1311="○",ROUNDDOWN($E1311*設定!$C$4,0),ROUNDDOWN($E1311*ROUND((9*$Y1311-9*$E1311)/(10*$E1311),4),0))))</f>
        <v/>
      </c>
      <c r="AB1311" s="13" t="n"/>
      <c r="AC1311" s="15">
        <f>IF($B1311="","",IF($AB1311&lt;&gt;"",$AB1311,IF($AA1311="","",IF($AA1311&lt;=設定!$C$3,0,$AA1311))))</f>
        <v/>
      </c>
      <c r="AD1311" s="14">
        <f>IF($B1311="","",IF(AND($AE1311&lt;&gt;"",$AG1311="",$AJ1311=""),"保留中",IF($AJ1311&lt;&gt;"",IF(N($AC1311)&gt;0,"支給済","不支給"),IF($AC1311="","要確認",IF($AC1311=0,"不支給","未処理")))))</f>
        <v/>
      </c>
      <c r="AE1311" s="12" t="n"/>
      <c r="AF1311" s="11" t="n"/>
      <c r="AG1311" s="11" t="n"/>
      <c r="AH1311" s="11" t="n"/>
      <c r="AI1311" s="14">
        <f>IF(AND($AD1311="保留中",$AF1311&lt;&gt;""),TODAY()-$AF1311,"")</f>
        <v/>
      </c>
      <c r="AJ1311" s="12" t="n"/>
      <c r="AK1311" s="14">
        <f>IF($B1311="","",IF($AO1311="","対象年月が未入力／","")&amp;IF($B1311="","",IF($AN1311="","職員マスタに未登録の職員番号／",IF($Y1311="","標準報酬月額が未登録／","")&amp;IF(AND($AO1311&lt;&gt;"",OR(AND(INDEX(職員マスタ!$G$6:$G$405,$AN1311)&lt;&gt;"",INDEX(職員マスタ!$G$6:$G$405,$AN1311)&gt;EOMONTH($AO1311,0)),AND(INDEX(職員マスタ!$H$6:$H$405,$AN1311)&lt;&gt;"",INDEX(職員マスタ!$H$6:$H$405,$AN1311)&lt;$AO1311))),"対象月が時短期間外／","")&amp;IF(AND(INDEX(職員マスタ!$F$6:$F$405,$AN1311)&lt;&gt;"",$AO1311&lt;&gt;"",INDEX(職員マスタ!$F$6:$F$405,$AN1311)&lt;$AO1311),"対象月に子が2歳到達済／","")&amp;IF(AND($H1311&lt;&gt;"",INDEX(職員マスタ!$B$6:$B$405,$AN1311)&lt;&gt;"",SUBSTITUTE(SUBSTITUTE($H1311," ","")," ","")&lt;&gt;SUBSTITUTE(SUBSTITUTE(INDEX(職員マスタ!$B$6:$B$405,$AN1311)," ","")," ","")),"氏名がマスタと相違／","")&amp;IF(AND($Q1311&lt;&gt;"",INDEX(職員マスタ!$E$6:$E$405,$AN1311)&lt;&gt;"",$Q1311&lt;&gt;INDEX(職員マスタ!$E$6:$E$405,$AN1311)),"子の生年月日がマスタと相違／","")&amp;IF(AND($L1311&lt;&gt;"",INDEX(職員マスタ!$G$6:$G$405,$AN1311)&lt;&gt;"",$L1311&lt;&gt;INDEX(職員マスタ!$G$6:$G$405,$AN1311)),"時短開始日がマスタと相違／","")&amp;IF(AND($M1311&lt;&gt;"",INDEX(職員マスタ!$H$6:$H$405,$AN1311)&lt;&gt;"",$M1311&lt;&gt;INDEX(職員マスタ!$H$6:$H$405,$AN1311)),"時短終了日がマスタと相違／","")))&amp;IF(AND($B1311&lt;&gt;"",$E1311=""),"報酬額が未入力／","")&amp;IF(N($U1311)&gt;0,"申請書に入力エラーが残っています／","")&amp;IF(AND($B1311&lt;&gt;"",$AO1311&lt;&gt;""),IF(COUNTIFS($B$6:$B$3005,$B1311,$C$6:$C$3005,$C1311,$D$6:$D$3005,$D1311)&gt;1,"同じ月の請求が重複しています／",""),"")&amp;IF(AND(N($E1311)&gt;0,$Z1311&lt;&gt;"",$Z1311&lt;&gt;"×",$AC1311=0,$AB1311=""),"計算額が下限以下のため不支給／",""))</f>
        <v/>
      </c>
      <c r="AL1311" s="12" t="n"/>
      <c r="AM1311" s="14">
        <f>IF($AD1311="保留中",COUNTIF($AD$6:$AD1311,"保留中"),"")</f>
        <v/>
      </c>
      <c r="AN1311" s="14">
        <f>IF($AO1311="","",IF(SUMPRODUCT(MAX((職員マスタ!$A$6:$A$405=$B1311)*(((職員マスタ!$G$6:$G$405="")+(職員マスタ!$G$6:$G$405&lt;=EOMONTH($AO1311,0)))&gt;0)*(((職員マスタ!$H$6:$H$405="")+(職員マスタ!$H$6:$H$405&gt;=$AO1311))&gt;0)*(ROW(職員マスタ!$A$6:$A$405)-5)))&gt;0,SUMPRODUCT(MAX((職員マスタ!$A$6:$A$405=$B1311)*(((職員マスタ!$G$6:$G$405="")+(職員マスタ!$G$6:$G$405&lt;=EOMONTH($AO1311,0)))&gt;0)*(((職員マスタ!$H$6:$H$405="")+(職員マスタ!$H$6:$H$405&gt;=$AO1311))&gt;0)*(ROW(職員マスタ!$A$6:$A$405)-5))),IFERROR(MATCH($B1311,職員マスタ!$A$6:$A$405,0),"")))</f>
        <v/>
      </c>
      <c r="AO1311" s="16">
        <f>IF(OR($B1311="",$C1311="",$D1311=""),"",DATE($C1311+2018,$D1311,1))</f>
        <v/>
      </c>
    </row>
    <row r="1312">
      <c r="A1312" s="11" t="n"/>
      <c r="B1312" s="12" t="n"/>
      <c r="C1312" s="12" t="n"/>
      <c r="D1312" s="12" t="n"/>
      <c r="E1312" s="13" t="n"/>
      <c r="F1312" s="12" t="n"/>
      <c r="G1312" s="13" t="n"/>
      <c r="H1312" s="12" t="n"/>
      <c r="I1312" s="12" t="n"/>
      <c r="J1312" s="12" t="n"/>
      <c r="K1312" s="12" t="n"/>
      <c r="L1312" s="11" t="n"/>
      <c r="M1312" s="11" t="n"/>
      <c r="N1312" s="11" t="n"/>
      <c r="O1312" s="11" t="n"/>
      <c r="P1312" s="12" t="n"/>
      <c r="Q1312" s="11" t="n"/>
      <c r="R1312" s="12" t="n"/>
      <c r="S1312" s="11" t="n"/>
      <c r="T1312" s="12" t="n"/>
      <c r="U1312" s="12" t="n"/>
      <c r="V1312" s="14">
        <f>IF($AN1312="",IF($B1312="","",$H1312),IF(INDEX(職員マスタ!$B$6:$B$405,$AN1312)="",$H1312,INDEX(職員マスタ!$B$6:$B$405,$AN1312)))</f>
        <v/>
      </c>
      <c r="W1312" s="14">
        <f>IF($AN1312="",IF($B1312="","",$R1312),IF(INDEX(職員マスタ!$C$6:$C$405,$AN1312)="",$R1312,INDEX(職員マスタ!$C$6:$C$405,$AN1312)))</f>
        <v/>
      </c>
      <c r="X1312" s="14">
        <f>IF($AO1312="","","R"&amp;$C1312&amp;"."&amp;$D1312)</f>
        <v/>
      </c>
      <c r="Y1312" s="15">
        <f>IF($AN1312="","",IF(INDEX(職員マスタ!$K$6:$K$405,$AN1312)="","",INDEX(職員マスタ!$K$6:$K$405,$AN1312)))</f>
        <v/>
      </c>
      <c r="Z1312" s="14">
        <f>IF(OR($E1312="",$Y1312=""),"",IF($E1312&gt;=$Y1312,"×",IF($E1312&gt;=$Y1312*設定!$C$5,"△","○")))</f>
        <v/>
      </c>
      <c r="AA1312" s="15">
        <f>IF($Z1312="","",IF($Z1312="×",0,IF($Z1312="○",ROUNDDOWN($E1312*設定!$C$4,0),ROUNDDOWN($E1312*ROUND((9*$Y1312-9*$E1312)/(10*$E1312),4),0))))</f>
        <v/>
      </c>
      <c r="AB1312" s="13" t="n"/>
      <c r="AC1312" s="15">
        <f>IF($B1312="","",IF($AB1312&lt;&gt;"",$AB1312,IF($AA1312="","",IF($AA1312&lt;=設定!$C$3,0,$AA1312))))</f>
        <v/>
      </c>
      <c r="AD1312" s="14">
        <f>IF($B1312="","",IF(AND($AE1312&lt;&gt;"",$AG1312="",$AJ1312=""),"保留中",IF($AJ1312&lt;&gt;"",IF(N($AC1312)&gt;0,"支給済","不支給"),IF($AC1312="","要確認",IF($AC1312=0,"不支給","未処理")))))</f>
        <v/>
      </c>
      <c r="AE1312" s="12" t="n"/>
      <c r="AF1312" s="11" t="n"/>
      <c r="AG1312" s="11" t="n"/>
      <c r="AH1312" s="11" t="n"/>
      <c r="AI1312" s="14">
        <f>IF(AND($AD1312="保留中",$AF1312&lt;&gt;""),TODAY()-$AF1312,"")</f>
        <v/>
      </c>
      <c r="AJ1312" s="12" t="n"/>
      <c r="AK1312" s="14">
        <f>IF($B1312="","",IF($AO1312="","対象年月が未入力／","")&amp;IF($B1312="","",IF($AN1312="","職員マスタに未登録の職員番号／",IF($Y1312="","標準報酬月額が未登録／","")&amp;IF(AND($AO1312&lt;&gt;"",OR(AND(INDEX(職員マスタ!$G$6:$G$405,$AN1312)&lt;&gt;"",INDEX(職員マスタ!$G$6:$G$405,$AN1312)&gt;EOMONTH($AO1312,0)),AND(INDEX(職員マスタ!$H$6:$H$405,$AN1312)&lt;&gt;"",INDEX(職員マスタ!$H$6:$H$405,$AN1312)&lt;$AO1312))),"対象月が時短期間外／","")&amp;IF(AND(INDEX(職員マスタ!$F$6:$F$405,$AN1312)&lt;&gt;"",$AO1312&lt;&gt;"",INDEX(職員マスタ!$F$6:$F$405,$AN1312)&lt;$AO1312),"対象月に子が2歳到達済／","")&amp;IF(AND($H1312&lt;&gt;"",INDEX(職員マスタ!$B$6:$B$405,$AN1312)&lt;&gt;"",SUBSTITUTE(SUBSTITUTE($H1312," ","")," ","")&lt;&gt;SUBSTITUTE(SUBSTITUTE(INDEX(職員マスタ!$B$6:$B$405,$AN1312)," ","")," ","")),"氏名がマスタと相違／","")&amp;IF(AND($Q1312&lt;&gt;"",INDEX(職員マスタ!$E$6:$E$405,$AN1312)&lt;&gt;"",$Q1312&lt;&gt;INDEX(職員マスタ!$E$6:$E$405,$AN1312)),"子の生年月日がマスタと相違／","")&amp;IF(AND($L1312&lt;&gt;"",INDEX(職員マスタ!$G$6:$G$405,$AN1312)&lt;&gt;"",$L1312&lt;&gt;INDEX(職員マスタ!$G$6:$G$405,$AN1312)),"時短開始日がマスタと相違／","")&amp;IF(AND($M1312&lt;&gt;"",INDEX(職員マスタ!$H$6:$H$405,$AN1312)&lt;&gt;"",$M1312&lt;&gt;INDEX(職員マスタ!$H$6:$H$405,$AN1312)),"時短終了日がマスタと相違／","")))&amp;IF(AND($B1312&lt;&gt;"",$E1312=""),"報酬額が未入力／","")&amp;IF(N($U1312)&gt;0,"申請書に入力エラーが残っています／","")&amp;IF(AND($B1312&lt;&gt;"",$AO1312&lt;&gt;""),IF(COUNTIFS($B$6:$B$3005,$B1312,$C$6:$C$3005,$C1312,$D$6:$D$3005,$D1312)&gt;1,"同じ月の請求が重複しています／",""),"")&amp;IF(AND(N($E1312)&gt;0,$Z1312&lt;&gt;"",$Z1312&lt;&gt;"×",$AC1312=0,$AB1312=""),"計算額が下限以下のため不支給／",""))</f>
        <v/>
      </c>
      <c r="AL1312" s="12" t="n"/>
      <c r="AM1312" s="14">
        <f>IF($AD1312="保留中",COUNTIF($AD$6:$AD1312,"保留中"),"")</f>
        <v/>
      </c>
      <c r="AN1312" s="14">
        <f>IF($AO1312="","",IF(SUMPRODUCT(MAX((職員マスタ!$A$6:$A$405=$B1312)*(((職員マスタ!$G$6:$G$405="")+(職員マスタ!$G$6:$G$405&lt;=EOMONTH($AO1312,0)))&gt;0)*(((職員マスタ!$H$6:$H$405="")+(職員マスタ!$H$6:$H$405&gt;=$AO1312))&gt;0)*(ROW(職員マスタ!$A$6:$A$405)-5)))&gt;0,SUMPRODUCT(MAX((職員マスタ!$A$6:$A$405=$B1312)*(((職員マスタ!$G$6:$G$405="")+(職員マスタ!$G$6:$G$405&lt;=EOMONTH($AO1312,0)))&gt;0)*(((職員マスタ!$H$6:$H$405="")+(職員マスタ!$H$6:$H$405&gt;=$AO1312))&gt;0)*(ROW(職員マスタ!$A$6:$A$405)-5))),IFERROR(MATCH($B1312,職員マスタ!$A$6:$A$405,0),"")))</f>
        <v/>
      </c>
      <c r="AO1312" s="16">
        <f>IF(OR($B1312="",$C1312="",$D1312=""),"",DATE($C1312+2018,$D1312,1))</f>
        <v/>
      </c>
    </row>
    <row r="1313">
      <c r="A1313" s="11" t="n"/>
      <c r="B1313" s="12" t="n"/>
      <c r="C1313" s="12" t="n"/>
      <c r="D1313" s="12" t="n"/>
      <c r="E1313" s="13" t="n"/>
      <c r="F1313" s="12" t="n"/>
      <c r="G1313" s="13" t="n"/>
      <c r="H1313" s="12" t="n"/>
      <c r="I1313" s="12" t="n"/>
      <c r="J1313" s="12" t="n"/>
      <c r="K1313" s="12" t="n"/>
      <c r="L1313" s="11" t="n"/>
      <c r="M1313" s="11" t="n"/>
      <c r="N1313" s="11" t="n"/>
      <c r="O1313" s="11" t="n"/>
      <c r="P1313" s="12" t="n"/>
      <c r="Q1313" s="11" t="n"/>
      <c r="R1313" s="12" t="n"/>
      <c r="S1313" s="11" t="n"/>
      <c r="T1313" s="12" t="n"/>
      <c r="U1313" s="12" t="n"/>
      <c r="V1313" s="14">
        <f>IF($AN1313="",IF($B1313="","",$H1313),IF(INDEX(職員マスタ!$B$6:$B$405,$AN1313)="",$H1313,INDEX(職員マスタ!$B$6:$B$405,$AN1313)))</f>
        <v/>
      </c>
      <c r="W1313" s="14">
        <f>IF($AN1313="",IF($B1313="","",$R1313),IF(INDEX(職員マスタ!$C$6:$C$405,$AN1313)="",$R1313,INDEX(職員マスタ!$C$6:$C$405,$AN1313)))</f>
        <v/>
      </c>
      <c r="X1313" s="14">
        <f>IF($AO1313="","","R"&amp;$C1313&amp;"."&amp;$D1313)</f>
        <v/>
      </c>
      <c r="Y1313" s="15">
        <f>IF($AN1313="","",IF(INDEX(職員マスタ!$K$6:$K$405,$AN1313)="","",INDEX(職員マスタ!$K$6:$K$405,$AN1313)))</f>
        <v/>
      </c>
      <c r="Z1313" s="14">
        <f>IF(OR($E1313="",$Y1313=""),"",IF($E1313&gt;=$Y1313,"×",IF($E1313&gt;=$Y1313*設定!$C$5,"△","○")))</f>
        <v/>
      </c>
      <c r="AA1313" s="15">
        <f>IF($Z1313="","",IF($Z1313="×",0,IF($Z1313="○",ROUNDDOWN($E1313*設定!$C$4,0),ROUNDDOWN($E1313*ROUND((9*$Y1313-9*$E1313)/(10*$E1313),4),0))))</f>
        <v/>
      </c>
      <c r="AB1313" s="13" t="n"/>
      <c r="AC1313" s="15">
        <f>IF($B1313="","",IF($AB1313&lt;&gt;"",$AB1313,IF($AA1313="","",IF($AA1313&lt;=設定!$C$3,0,$AA1313))))</f>
        <v/>
      </c>
      <c r="AD1313" s="14">
        <f>IF($B1313="","",IF(AND($AE1313&lt;&gt;"",$AG1313="",$AJ1313=""),"保留中",IF($AJ1313&lt;&gt;"",IF(N($AC1313)&gt;0,"支給済","不支給"),IF($AC1313="","要確認",IF($AC1313=0,"不支給","未処理")))))</f>
        <v/>
      </c>
      <c r="AE1313" s="12" t="n"/>
      <c r="AF1313" s="11" t="n"/>
      <c r="AG1313" s="11" t="n"/>
      <c r="AH1313" s="11" t="n"/>
      <c r="AI1313" s="14">
        <f>IF(AND($AD1313="保留中",$AF1313&lt;&gt;""),TODAY()-$AF1313,"")</f>
        <v/>
      </c>
      <c r="AJ1313" s="12" t="n"/>
      <c r="AK1313" s="14">
        <f>IF($B1313="","",IF($AO1313="","対象年月が未入力／","")&amp;IF($B1313="","",IF($AN1313="","職員マスタに未登録の職員番号／",IF($Y1313="","標準報酬月額が未登録／","")&amp;IF(AND($AO1313&lt;&gt;"",OR(AND(INDEX(職員マスタ!$G$6:$G$405,$AN1313)&lt;&gt;"",INDEX(職員マスタ!$G$6:$G$405,$AN1313)&gt;EOMONTH($AO1313,0)),AND(INDEX(職員マスタ!$H$6:$H$405,$AN1313)&lt;&gt;"",INDEX(職員マスタ!$H$6:$H$405,$AN1313)&lt;$AO1313))),"対象月が時短期間外／","")&amp;IF(AND(INDEX(職員マスタ!$F$6:$F$405,$AN1313)&lt;&gt;"",$AO1313&lt;&gt;"",INDEX(職員マスタ!$F$6:$F$405,$AN1313)&lt;$AO1313),"対象月に子が2歳到達済／","")&amp;IF(AND($H1313&lt;&gt;"",INDEX(職員マスタ!$B$6:$B$405,$AN1313)&lt;&gt;"",SUBSTITUTE(SUBSTITUTE($H1313," ","")," ","")&lt;&gt;SUBSTITUTE(SUBSTITUTE(INDEX(職員マスタ!$B$6:$B$405,$AN1313)," ","")," ","")),"氏名がマスタと相違／","")&amp;IF(AND($Q1313&lt;&gt;"",INDEX(職員マスタ!$E$6:$E$405,$AN1313)&lt;&gt;"",$Q1313&lt;&gt;INDEX(職員マスタ!$E$6:$E$405,$AN1313)),"子の生年月日がマスタと相違／","")&amp;IF(AND($L1313&lt;&gt;"",INDEX(職員マスタ!$G$6:$G$405,$AN1313)&lt;&gt;"",$L1313&lt;&gt;INDEX(職員マスタ!$G$6:$G$405,$AN1313)),"時短開始日がマスタと相違／","")&amp;IF(AND($M1313&lt;&gt;"",INDEX(職員マスタ!$H$6:$H$405,$AN1313)&lt;&gt;"",$M1313&lt;&gt;INDEX(職員マスタ!$H$6:$H$405,$AN1313)),"時短終了日がマスタと相違／","")))&amp;IF(AND($B1313&lt;&gt;"",$E1313=""),"報酬額が未入力／","")&amp;IF(N($U1313)&gt;0,"申請書に入力エラーが残っています／","")&amp;IF(AND($B1313&lt;&gt;"",$AO1313&lt;&gt;""),IF(COUNTIFS($B$6:$B$3005,$B1313,$C$6:$C$3005,$C1313,$D$6:$D$3005,$D1313)&gt;1,"同じ月の請求が重複しています／",""),"")&amp;IF(AND(N($E1313)&gt;0,$Z1313&lt;&gt;"",$Z1313&lt;&gt;"×",$AC1313=0,$AB1313=""),"計算額が下限以下のため不支給／",""))</f>
        <v/>
      </c>
      <c r="AL1313" s="12" t="n"/>
      <c r="AM1313" s="14">
        <f>IF($AD1313="保留中",COUNTIF($AD$6:$AD1313,"保留中"),"")</f>
        <v/>
      </c>
      <c r="AN1313" s="14">
        <f>IF($AO1313="","",IF(SUMPRODUCT(MAX((職員マスタ!$A$6:$A$405=$B1313)*(((職員マスタ!$G$6:$G$405="")+(職員マスタ!$G$6:$G$405&lt;=EOMONTH($AO1313,0)))&gt;0)*(((職員マスタ!$H$6:$H$405="")+(職員マスタ!$H$6:$H$405&gt;=$AO1313))&gt;0)*(ROW(職員マスタ!$A$6:$A$405)-5)))&gt;0,SUMPRODUCT(MAX((職員マスタ!$A$6:$A$405=$B1313)*(((職員マスタ!$G$6:$G$405="")+(職員マスタ!$G$6:$G$405&lt;=EOMONTH($AO1313,0)))&gt;0)*(((職員マスタ!$H$6:$H$405="")+(職員マスタ!$H$6:$H$405&gt;=$AO1313))&gt;0)*(ROW(職員マスタ!$A$6:$A$405)-5))),IFERROR(MATCH($B1313,職員マスタ!$A$6:$A$405,0),"")))</f>
        <v/>
      </c>
      <c r="AO1313" s="16">
        <f>IF(OR($B1313="",$C1313="",$D1313=""),"",DATE($C1313+2018,$D1313,1))</f>
        <v/>
      </c>
    </row>
    <row r="1314">
      <c r="A1314" s="11" t="n"/>
      <c r="B1314" s="12" t="n"/>
      <c r="C1314" s="12" t="n"/>
      <c r="D1314" s="12" t="n"/>
      <c r="E1314" s="13" t="n"/>
      <c r="F1314" s="12" t="n"/>
      <c r="G1314" s="13" t="n"/>
      <c r="H1314" s="12" t="n"/>
      <c r="I1314" s="12" t="n"/>
      <c r="J1314" s="12" t="n"/>
      <c r="K1314" s="12" t="n"/>
      <c r="L1314" s="11" t="n"/>
      <c r="M1314" s="11" t="n"/>
      <c r="N1314" s="11" t="n"/>
      <c r="O1314" s="11" t="n"/>
      <c r="P1314" s="12" t="n"/>
      <c r="Q1314" s="11" t="n"/>
      <c r="R1314" s="12" t="n"/>
      <c r="S1314" s="11" t="n"/>
      <c r="T1314" s="12" t="n"/>
      <c r="U1314" s="12" t="n"/>
      <c r="V1314" s="14">
        <f>IF($AN1314="",IF($B1314="","",$H1314),IF(INDEX(職員マスタ!$B$6:$B$405,$AN1314)="",$H1314,INDEX(職員マスタ!$B$6:$B$405,$AN1314)))</f>
        <v/>
      </c>
      <c r="W1314" s="14">
        <f>IF($AN1314="",IF($B1314="","",$R1314),IF(INDEX(職員マスタ!$C$6:$C$405,$AN1314)="",$R1314,INDEX(職員マスタ!$C$6:$C$405,$AN1314)))</f>
        <v/>
      </c>
      <c r="X1314" s="14">
        <f>IF($AO1314="","","R"&amp;$C1314&amp;"."&amp;$D1314)</f>
        <v/>
      </c>
      <c r="Y1314" s="15">
        <f>IF($AN1314="","",IF(INDEX(職員マスタ!$K$6:$K$405,$AN1314)="","",INDEX(職員マスタ!$K$6:$K$405,$AN1314)))</f>
        <v/>
      </c>
      <c r="Z1314" s="14">
        <f>IF(OR($E1314="",$Y1314=""),"",IF($E1314&gt;=$Y1314,"×",IF($E1314&gt;=$Y1314*設定!$C$5,"△","○")))</f>
        <v/>
      </c>
      <c r="AA1314" s="15">
        <f>IF($Z1314="","",IF($Z1314="×",0,IF($Z1314="○",ROUNDDOWN($E1314*設定!$C$4,0),ROUNDDOWN($E1314*ROUND((9*$Y1314-9*$E1314)/(10*$E1314),4),0))))</f>
        <v/>
      </c>
      <c r="AB1314" s="13" t="n"/>
      <c r="AC1314" s="15">
        <f>IF($B1314="","",IF($AB1314&lt;&gt;"",$AB1314,IF($AA1314="","",IF($AA1314&lt;=設定!$C$3,0,$AA1314))))</f>
        <v/>
      </c>
      <c r="AD1314" s="14">
        <f>IF($B1314="","",IF(AND($AE1314&lt;&gt;"",$AG1314="",$AJ1314=""),"保留中",IF($AJ1314&lt;&gt;"",IF(N($AC1314)&gt;0,"支給済","不支給"),IF($AC1314="","要確認",IF($AC1314=0,"不支給","未処理")))))</f>
        <v/>
      </c>
      <c r="AE1314" s="12" t="n"/>
      <c r="AF1314" s="11" t="n"/>
      <c r="AG1314" s="11" t="n"/>
      <c r="AH1314" s="11" t="n"/>
      <c r="AI1314" s="14">
        <f>IF(AND($AD1314="保留中",$AF1314&lt;&gt;""),TODAY()-$AF1314,"")</f>
        <v/>
      </c>
      <c r="AJ1314" s="12" t="n"/>
      <c r="AK1314" s="14">
        <f>IF($B1314="","",IF($AO1314="","対象年月が未入力／","")&amp;IF($B1314="","",IF($AN1314="","職員マスタに未登録の職員番号／",IF($Y1314="","標準報酬月額が未登録／","")&amp;IF(AND($AO1314&lt;&gt;"",OR(AND(INDEX(職員マスタ!$G$6:$G$405,$AN1314)&lt;&gt;"",INDEX(職員マスタ!$G$6:$G$405,$AN1314)&gt;EOMONTH($AO1314,0)),AND(INDEX(職員マスタ!$H$6:$H$405,$AN1314)&lt;&gt;"",INDEX(職員マスタ!$H$6:$H$405,$AN1314)&lt;$AO1314))),"対象月が時短期間外／","")&amp;IF(AND(INDEX(職員マスタ!$F$6:$F$405,$AN1314)&lt;&gt;"",$AO1314&lt;&gt;"",INDEX(職員マスタ!$F$6:$F$405,$AN1314)&lt;$AO1314),"対象月に子が2歳到達済／","")&amp;IF(AND($H1314&lt;&gt;"",INDEX(職員マスタ!$B$6:$B$405,$AN1314)&lt;&gt;"",SUBSTITUTE(SUBSTITUTE($H1314," ","")," ","")&lt;&gt;SUBSTITUTE(SUBSTITUTE(INDEX(職員マスタ!$B$6:$B$405,$AN1314)," ","")," ","")),"氏名がマスタと相違／","")&amp;IF(AND($Q1314&lt;&gt;"",INDEX(職員マスタ!$E$6:$E$405,$AN1314)&lt;&gt;"",$Q1314&lt;&gt;INDEX(職員マスタ!$E$6:$E$405,$AN1314)),"子の生年月日がマスタと相違／","")&amp;IF(AND($L1314&lt;&gt;"",INDEX(職員マスタ!$G$6:$G$405,$AN1314)&lt;&gt;"",$L1314&lt;&gt;INDEX(職員マスタ!$G$6:$G$405,$AN1314)),"時短開始日がマスタと相違／","")&amp;IF(AND($M1314&lt;&gt;"",INDEX(職員マスタ!$H$6:$H$405,$AN1314)&lt;&gt;"",$M1314&lt;&gt;INDEX(職員マスタ!$H$6:$H$405,$AN1314)),"時短終了日がマスタと相違／","")))&amp;IF(AND($B1314&lt;&gt;"",$E1314=""),"報酬額が未入力／","")&amp;IF(N($U1314)&gt;0,"申請書に入力エラーが残っています／","")&amp;IF(AND($B1314&lt;&gt;"",$AO1314&lt;&gt;""),IF(COUNTIFS($B$6:$B$3005,$B1314,$C$6:$C$3005,$C1314,$D$6:$D$3005,$D1314)&gt;1,"同じ月の請求が重複しています／",""),"")&amp;IF(AND(N($E1314)&gt;0,$Z1314&lt;&gt;"",$Z1314&lt;&gt;"×",$AC1314=0,$AB1314=""),"計算額が下限以下のため不支給／",""))</f>
        <v/>
      </c>
      <c r="AL1314" s="12" t="n"/>
      <c r="AM1314" s="14">
        <f>IF($AD1314="保留中",COUNTIF($AD$6:$AD1314,"保留中"),"")</f>
        <v/>
      </c>
      <c r="AN1314" s="14">
        <f>IF($AO1314="","",IF(SUMPRODUCT(MAX((職員マスタ!$A$6:$A$405=$B1314)*(((職員マスタ!$G$6:$G$405="")+(職員マスタ!$G$6:$G$405&lt;=EOMONTH($AO1314,0)))&gt;0)*(((職員マスタ!$H$6:$H$405="")+(職員マスタ!$H$6:$H$405&gt;=$AO1314))&gt;0)*(ROW(職員マスタ!$A$6:$A$405)-5)))&gt;0,SUMPRODUCT(MAX((職員マスタ!$A$6:$A$405=$B1314)*(((職員マスタ!$G$6:$G$405="")+(職員マスタ!$G$6:$G$405&lt;=EOMONTH($AO1314,0)))&gt;0)*(((職員マスタ!$H$6:$H$405="")+(職員マスタ!$H$6:$H$405&gt;=$AO1314))&gt;0)*(ROW(職員マスタ!$A$6:$A$405)-5))),IFERROR(MATCH($B1314,職員マスタ!$A$6:$A$405,0),"")))</f>
        <v/>
      </c>
      <c r="AO1314" s="16">
        <f>IF(OR($B1314="",$C1314="",$D1314=""),"",DATE($C1314+2018,$D1314,1))</f>
        <v/>
      </c>
    </row>
    <row r="1315">
      <c r="A1315" s="11" t="n"/>
      <c r="B1315" s="12" t="n"/>
      <c r="C1315" s="12" t="n"/>
      <c r="D1315" s="12" t="n"/>
      <c r="E1315" s="13" t="n"/>
      <c r="F1315" s="12" t="n"/>
      <c r="G1315" s="13" t="n"/>
      <c r="H1315" s="12" t="n"/>
      <c r="I1315" s="12" t="n"/>
      <c r="J1315" s="12" t="n"/>
      <c r="K1315" s="12" t="n"/>
      <c r="L1315" s="11" t="n"/>
      <c r="M1315" s="11" t="n"/>
      <c r="N1315" s="11" t="n"/>
      <c r="O1315" s="11" t="n"/>
      <c r="P1315" s="12" t="n"/>
      <c r="Q1315" s="11" t="n"/>
      <c r="R1315" s="12" t="n"/>
      <c r="S1315" s="11" t="n"/>
      <c r="T1315" s="12" t="n"/>
      <c r="U1315" s="12" t="n"/>
      <c r="V1315" s="14">
        <f>IF($AN1315="",IF($B1315="","",$H1315),IF(INDEX(職員マスタ!$B$6:$B$405,$AN1315)="",$H1315,INDEX(職員マスタ!$B$6:$B$405,$AN1315)))</f>
        <v/>
      </c>
      <c r="W1315" s="14">
        <f>IF($AN1315="",IF($B1315="","",$R1315),IF(INDEX(職員マスタ!$C$6:$C$405,$AN1315)="",$R1315,INDEX(職員マスタ!$C$6:$C$405,$AN1315)))</f>
        <v/>
      </c>
      <c r="X1315" s="14">
        <f>IF($AO1315="","","R"&amp;$C1315&amp;"."&amp;$D1315)</f>
        <v/>
      </c>
      <c r="Y1315" s="15">
        <f>IF($AN1315="","",IF(INDEX(職員マスタ!$K$6:$K$405,$AN1315)="","",INDEX(職員マスタ!$K$6:$K$405,$AN1315)))</f>
        <v/>
      </c>
      <c r="Z1315" s="14">
        <f>IF(OR($E1315="",$Y1315=""),"",IF($E1315&gt;=$Y1315,"×",IF($E1315&gt;=$Y1315*設定!$C$5,"△","○")))</f>
        <v/>
      </c>
      <c r="AA1315" s="15">
        <f>IF($Z1315="","",IF($Z1315="×",0,IF($Z1315="○",ROUNDDOWN($E1315*設定!$C$4,0),ROUNDDOWN($E1315*ROUND((9*$Y1315-9*$E1315)/(10*$E1315),4),0))))</f>
        <v/>
      </c>
      <c r="AB1315" s="13" t="n"/>
      <c r="AC1315" s="15">
        <f>IF($B1315="","",IF($AB1315&lt;&gt;"",$AB1315,IF($AA1315="","",IF($AA1315&lt;=設定!$C$3,0,$AA1315))))</f>
        <v/>
      </c>
      <c r="AD1315" s="14">
        <f>IF($B1315="","",IF(AND($AE1315&lt;&gt;"",$AG1315="",$AJ1315=""),"保留中",IF($AJ1315&lt;&gt;"",IF(N($AC1315)&gt;0,"支給済","不支給"),IF($AC1315="","要確認",IF($AC1315=0,"不支給","未処理")))))</f>
        <v/>
      </c>
      <c r="AE1315" s="12" t="n"/>
      <c r="AF1315" s="11" t="n"/>
      <c r="AG1315" s="11" t="n"/>
      <c r="AH1315" s="11" t="n"/>
      <c r="AI1315" s="14">
        <f>IF(AND($AD1315="保留中",$AF1315&lt;&gt;""),TODAY()-$AF1315,"")</f>
        <v/>
      </c>
      <c r="AJ1315" s="12" t="n"/>
      <c r="AK1315" s="14">
        <f>IF($B1315="","",IF($AO1315="","対象年月が未入力／","")&amp;IF($B1315="","",IF($AN1315="","職員マスタに未登録の職員番号／",IF($Y1315="","標準報酬月額が未登録／","")&amp;IF(AND($AO1315&lt;&gt;"",OR(AND(INDEX(職員マスタ!$G$6:$G$405,$AN1315)&lt;&gt;"",INDEX(職員マスタ!$G$6:$G$405,$AN1315)&gt;EOMONTH($AO1315,0)),AND(INDEX(職員マスタ!$H$6:$H$405,$AN1315)&lt;&gt;"",INDEX(職員マスタ!$H$6:$H$405,$AN1315)&lt;$AO1315))),"対象月が時短期間外／","")&amp;IF(AND(INDEX(職員マスタ!$F$6:$F$405,$AN1315)&lt;&gt;"",$AO1315&lt;&gt;"",INDEX(職員マスタ!$F$6:$F$405,$AN1315)&lt;$AO1315),"対象月に子が2歳到達済／","")&amp;IF(AND($H1315&lt;&gt;"",INDEX(職員マスタ!$B$6:$B$405,$AN1315)&lt;&gt;"",SUBSTITUTE(SUBSTITUTE($H1315," ","")," ","")&lt;&gt;SUBSTITUTE(SUBSTITUTE(INDEX(職員マスタ!$B$6:$B$405,$AN1315)," ","")," ","")),"氏名がマスタと相違／","")&amp;IF(AND($Q1315&lt;&gt;"",INDEX(職員マスタ!$E$6:$E$405,$AN1315)&lt;&gt;"",$Q1315&lt;&gt;INDEX(職員マスタ!$E$6:$E$405,$AN1315)),"子の生年月日がマスタと相違／","")&amp;IF(AND($L1315&lt;&gt;"",INDEX(職員マスタ!$G$6:$G$405,$AN1315)&lt;&gt;"",$L1315&lt;&gt;INDEX(職員マスタ!$G$6:$G$405,$AN1315)),"時短開始日がマスタと相違／","")&amp;IF(AND($M1315&lt;&gt;"",INDEX(職員マスタ!$H$6:$H$405,$AN1315)&lt;&gt;"",$M1315&lt;&gt;INDEX(職員マスタ!$H$6:$H$405,$AN1315)),"時短終了日がマスタと相違／","")))&amp;IF(AND($B1315&lt;&gt;"",$E1315=""),"報酬額が未入力／","")&amp;IF(N($U1315)&gt;0,"申請書に入力エラーが残っています／","")&amp;IF(AND($B1315&lt;&gt;"",$AO1315&lt;&gt;""),IF(COUNTIFS($B$6:$B$3005,$B1315,$C$6:$C$3005,$C1315,$D$6:$D$3005,$D1315)&gt;1,"同じ月の請求が重複しています／",""),"")&amp;IF(AND(N($E1315)&gt;0,$Z1315&lt;&gt;"",$Z1315&lt;&gt;"×",$AC1315=0,$AB1315=""),"計算額が下限以下のため不支給／",""))</f>
        <v/>
      </c>
      <c r="AL1315" s="12" t="n"/>
      <c r="AM1315" s="14">
        <f>IF($AD1315="保留中",COUNTIF($AD$6:$AD1315,"保留中"),"")</f>
        <v/>
      </c>
      <c r="AN1315" s="14">
        <f>IF($AO1315="","",IF(SUMPRODUCT(MAX((職員マスタ!$A$6:$A$405=$B1315)*(((職員マスタ!$G$6:$G$405="")+(職員マスタ!$G$6:$G$405&lt;=EOMONTH($AO1315,0)))&gt;0)*(((職員マスタ!$H$6:$H$405="")+(職員マスタ!$H$6:$H$405&gt;=$AO1315))&gt;0)*(ROW(職員マスタ!$A$6:$A$405)-5)))&gt;0,SUMPRODUCT(MAX((職員マスタ!$A$6:$A$405=$B1315)*(((職員マスタ!$G$6:$G$405="")+(職員マスタ!$G$6:$G$405&lt;=EOMONTH($AO1315,0)))&gt;0)*(((職員マスタ!$H$6:$H$405="")+(職員マスタ!$H$6:$H$405&gt;=$AO1315))&gt;0)*(ROW(職員マスタ!$A$6:$A$405)-5))),IFERROR(MATCH($B1315,職員マスタ!$A$6:$A$405,0),"")))</f>
        <v/>
      </c>
      <c r="AO1315" s="16">
        <f>IF(OR($B1315="",$C1315="",$D1315=""),"",DATE($C1315+2018,$D1315,1))</f>
        <v/>
      </c>
    </row>
    <row r="1316">
      <c r="A1316" s="11" t="n"/>
      <c r="B1316" s="12" t="n"/>
      <c r="C1316" s="12" t="n"/>
      <c r="D1316" s="12" t="n"/>
      <c r="E1316" s="13" t="n"/>
      <c r="F1316" s="12" t="n"/>
      <c r="G1316" s="13" t="n"/>
      <c r="H1316" s="12" t="n"/>
      <c r="I1316" s="12" t="n"/>
      <c r="J1316" s="12" t="n"/>
      <c r="K1316" s="12" t="n"/>
      <c r="L1316" s="11" t="n"/>
      <c r="M1316" s="11" t="n"/>
      <c r="N1316" s="11" t="n"/>
      <c r="O1316" s="11" t="n"/>
      <c r="P1316" s="12" t="n"/>
      <c r="Q1316" s="11" t="n"/>
      <c r="R1316" s="12" t="n"/>
      <c r="S1316" s="11" t="n"/>
      <c r="T1316" s="12" t="n"/>
      <c r="U1316" s="12" t="n"/>
      <c r="V1316" s="14">
        <f>IF($AN1316="",IF($B1316="","",$H1316),IF(INDEX(職員マスタ!$B$6:$B$405,$AN1316)="",$H1316,INDEX(職員マスタ!$B$6:$B$405,$AN1316)))</f>
        <v/>
      </c>
      <c r="W1316" s="14">
        <f>IF($AN1316="",IF($B1316="","",$R1316),IF(INDEX(職員マスタ!$C$6:$C$405,$AN1316)="",$R1316,INDEX(職員マスタ!$C$6:$C$405,$AN1316)))</f>
        <v/>
      </c>
      <c r="X1316" s="14">
        <f>IF($AO1316="","","R"&amp;$C1316&amp;"."&amp;$D1316)</f>
        <v/>
      </c>
      <c r="Y1316" s="15">
        <f>IF($AN1316="","",IF(INDEX(職員マスタ!$K$6:$K$405,$AN1316)="","",INDEX(職員マスタ!$K$6:$K$405,$AN1316)))</f>
        <v/>
      </c>
      <c r="Z1316" s="14">
        <f>IF(OR($E1316="",$Y1316=""),"",IF($E1316&gt;=$Y1316,"×",IF($E1316&gt;=$Y1316*設定!$C$5,"△","○")))</f>
        <v/>
      </c>
      <c r="AA1316" s="15">
        <f>IF($Z1316="","",IF($Z1316="×",0,IF($Z1316="○",ROUNDDOWN($E1316*設定!$C$4,0),ROUNDDOWN($E1316*ROUND((9*$Y1316-9*$E1316)/(10*$E1316),4),0))))</f>
        <v/>
      </c>
      <c r="AB1316" s="13" t="n"/>
      <c r="AC1316" s="15">
        <f>IF($B1316="","",IF($AB1316&lt;&gt;"",$AB1316,IF($AA1316="","",IF($AA1316&lt;=設定!$C$3,0,$AA1316))))</f>
        <v/>
      </c>
      <c r="AD1316" s="14">
        <f>IF($B1316="","",IF(AND($AE1316&lt;&gt;"",$AG1316="",$AJ1316=""),"保留中",IF($AJ1316&lt;&gt;"",IF(N($AC1316)&gt;0,"支給済","不支給"),IF($AC1316="","要確認",IF($AC1316=0,"不支給","未処理")))))</f>
        <v/>
      </c>
      <c r="AE1316" s="12" t="n"/>
      <c r="AF1316" s="11" t="n"/>
      <c r="AG1316" s="11" t="n"/>
      <c r="AH1316" s="11" t="n"/>
      <c r="AI1316" s="14">
        <f>IF(AND($AD1316="保留中",$AF1316&lt;&gt;""),TODAY()-$AF1316,"")</f>
        <v/>
      </c>
      <c r="AJ1316" s="12" t="n"/>
      <c r="AK1316" s="14">
        <f>IF($B1316="","",IF($AO1316="","対象年月が未入力／","")&amp;IF($B1316="","",IF($AN1316="","職員マスタに未登録の職員番号／",IF($Y1316="","標準報酬月額が未登録／","")&amp;IF(AND($AO1316&lt;&gt;"",OR(AND(INDEX(職員マスタ!$G$6:$G$405,$AN1316)&lt;&gt;"",INDEX(職員マスタ!$G$6:$G$405,$AN1316)&gt;EOMONTH($AO1316,0)),AND(INDEX(職員マスタ!$H$6:$H$405,$AN1316)&lt;&gt;"",INDEX(職員マスタ!$H$6:$H$405,$AN1316)&lt;$AO1316))),"対象月が時短期間外／","")&amp;IF(AND(INDEX(職員マスタ!$F$6:$F$405,$AN1316)&lt;&gt;"",$AO1316&lt;&gt;"",INDEX(職員マスタ!$F$6:$F$405,$AN1316)&lt;$AO1316),"対象月に子が2歳到達済／","")&amp;IF(AND($H1316&lt;&gt;"",INDEX(職員マスタ!$B$6:$B$405,$AN1316)&lt;&gt;"",SUBSTITUTE(SUBSTITUTE($H1316," ","")," ","")&lt;&gt;SUBSTITUTE(SUBSTITUTE(INDEX(職員マスタ!$B$6:$B$405,$AN1316)," ","")," ","")),"氏名がマスタと相違／","")&amp;IF(AND($Q1316&lt;&gt;"",INDEX(職員マスタ!$E$6:$E$405,$AN1316)&lt;&gt;"",$Q1316&lt;&gt;INDEX(職員マスタ!$E$6:$E$405,$AN1316)),"子の生年月日がマスタと相違／","")&amp;IF(AND($L1316&lt;&gt;"",INDEX(職員マスタ!$G$6:$G$405,$AN1316)&lt;&gt;"",$L1316&lt;&gt;INDEX(職員マスタ!$G$6:$G$405,$AN1316)),"時短開始日がマスタと相違／","")&amp;IF(AND($M1316&lt;&gt;"",INDEX(職員マスタ!$H$6:$H$405,$AN1316)&lt;&gt;"",$M1316&lt;&gt;INDEX(職員マスタ!$H$6:$H$405,$AN1316)),"時短終了日がマスタと相違／","")))&amp;IF(AND($B1316&lt;&gt;"",$E1316=""),"報酬額が未入力／","")&amp;IF(N($U1316)&gt;0,"申請書に入力エラーが残っています／","")&amp;IF(AND($B1316&lt;&gt;"",$AO1316&lt;&gt;""),IF(COUNTIFS($B$6:$B$3005,$B1316,$C$6:$C$3005,$C1316,$D$6:$D$3005,$D1316)&gt;1,"同じ月の請求が重複しています／",""),"")&amp;IF(AND(N($E1316)&gt;0,$Z1316&lt;&gt;"",$Z1316&lt;&gt;"×",$AC1316=0,$AB1316=""),"計算額が下限以下のため不支給／",""))</f>
        <v/>
      </c>
      <c r="AL1316" s="12" t="n"/>
      <c r="AM1316" s="14">
        <f>IF($AD1316="保留中",COUNTIF($AD$6:$AD1316,"保留中"),"")</f>
        <v/>
      </c>
      <c r="AN1316" s="14">
        <f>IF($AO1316="","",IF(SUMPRODUCT(MAX((職員マスタ!$A$6:$A$405=$B1316)*(((職員マスタ!$G$6:$G$405="")+(職員マスタ!$G$6:$G$405&lt;=EOMONTH($AO1316,0)))&gt;0)*(((職員マスタ!$H$6:$H$405="")+(職員マスタ!$H$6:$H$405&gt;=$AO1316))&gt;0)*(ROW(職員マスタ!$A$6:$A$405)-5)))&gt;0,SUMPRODUCT(MAX((職員マスタ!$A$6:$A$405=$B1316)*(((職員マスタ!$G$6:$G$405="")+(職員マスタ!$G$6:$G$405&lt;=EOMONTH($AO1316,0)))&gt;0)*(((職員マスタ!$H$6:$H$405="")+(職員マスタ!$H$6:$H$405&gt;=$AO1316))&gt;0)*(ROW(職員マスタ!$A$6:$A$405)-5))),IFERROR(MATCH($B1316,職員マスタ!$A$6:$A$405,0),"")))</f>
        <v/>
      </c>
      <c r="AO1316" s="16">
        <f>IF(OR($B1316="",$C1316="",$D1316=""),"",DATE($C1316+2018,$D1316,1))</f>
        <v/>
      </c>
    </row>
    <row r="1317">
      <c r="A1317" s="11" t="n"/>
      <c r="B1317" s="12" t="n"/>
      <c r="C1317" s="12" t="n"/>
      <c r="D1317" s="12" t="n"/>
      <c r="E1317" s="13" t="n"/>
      <c r="F1317" s="12" t="n"/>
      <c r="G1317" s="13" t="n"/>
      <c r="H1317" s="12" t="n"/>
      <c r="I1317" s="12" t="n"/>
      <c r="J1317" s="12" t="n"/>
      <c r="K1317" s="12" t="n"/>
      <c r="L1317" s="11" t="n"/>
      <c r="M1317" s="11" t="n"/>
      <c r="N1317" s="11" t="n"/>
      <c r="O1317" s="11" t="n"/>
      <c r="P1317" s="12" t="n"/>
      <c r="Q1317" s="11" t="n"/>
      <c r="R1317" s="12" t="n"/>
      <c r="S1317" s="11" t="n"/>
      <c r="T1317" s="12" t="n"/>
      <c r="U1317" s="12" t="n"/>
      <c r="V1317" s="14">
        <f>IF($AN1317="",IF($B1317="","",$H1317),IF(INDEX(職員マスタ!$B$6:$B$405,$AN1317)="",$H1317,INDEX(職員マスタ!$B$6:$B$405,$AN1317)))</f>
        <v/>
      </c>
      <c r="W1317" s="14">
        <f>IF($AN1317="",IF($B1317="","",$R1317),IF(INDEX(職員マスタ!$C$6:$C$405,$AN1317)="",$R1317,INDEX(職員マスタ!$C$6:$C$405,$AN1317)))</f>
        <v/>
      </c>
      <c r="X1317" s="14">
        <f>IF($AO1317="","","R"&amp;$C1317&amp;"."&amp;$D1317)</f>
        <v/>
      </c>
      <c r="Y1317" s="15">
        <f>IF($AN1317="","",IF(INDEX(職員マスタ!$K$6:$K$405,$AN1317)="","",INDEX(職員マスタ!$K$6:$K$405,$AN1317)))</f>
        <v/>
      </c>
      <c r="Z1317" s="14">
        <f>IF(OR($E1317="",$Y1317=""),"",IF($E1317&gt;=$Y1317,"×",IF($E1317&gt;=$Y1317*設定!$C$5,"△","○")))</f>
        <v/>
      </c>
      <c r="AA1317" s="15">
        <f>IF($Z1317="","",IF($Z1317="×",0,IF($Z1317="○",ROUNDDOWN($E1317*設定!$C$4,0),ROUNDDOWN($E1317*ROUND((9*$Y1317-9*$E1317)/(10*$E1317),4),0))))</f>
        <v/>
      </c>
      <c r="AB1317" s="13" t="n"/>
      <c r="AC1317" s="15">
        <f>IF($B1317="","",IF($AB1317&lt;&gt;"",$AB1317,IF($AA1317="","",IF($AA1317&lt;=設定!$C$3,0,$AA1317))))</f>
        <v/>
      </c>
      <c r="AD1317" s="14">
        <f>IF($B1317="","",IF(AND($AE1317&lt;&gt;"",$AG1317="",$AJ1317=""),"保留中",IF($AJ1317&lt;&gt;"",IF(N($AC1317)&gt;0,"支給済","不支給"),IF($AC1317="","要確認",IF($AC1317=0,"不支給","未処理")))))</f>
        <v/>
      </c>
      <c r="AE1317" s="12" t="n"/>
      <c r="AF1317" s="11" t="n"/>
      <c r="AG1317" s="11" t="n"/>
      <c r="AH1317" s="11" t="n"/>
      <c r="AI1317" s="14">
        <f>IF(AND($AD1317="保留中",$AF1317&lt;&gt;""),TODAY()-$AF1317,"")</f>
        <v/>
      </c>
      <c r="AJ1317" s="12" t="n"/>
      <c r="AK1317" s="14">
        <f>IF($B1317="","",IF($AO1317="","対象年月が未入力／","")&amp;IF($B1317="","",IF($AN1317="","職員マスタに未登録の職員番号／",IF($Y1317="","標準報酬月額が未登録／","")&amp;IF(AND($AO1317&lt;&gt;"",OR(AND(INDEX(職員マスタ!$G$6:$G$405,$AN1317)&lt;&gt;"",INDEX(職員マスタ!$G$6:$G$405,$AN1317)&gt;EOMONTH($AO1317,0)),AND(INDEX(職員マスタ!$H$6:$H$405,$AN1317)&lt;&gt;"",INDEX(職員マスタ!$H$6:$H$405,$AN1317)&lt;$AO1317))),"対象月が時短期間外／","")&amp;IF(AND(INDEX(職員マスタ!$F$6:$F$405,$AN1317)&lt;&gt;"",$AO1317&lt;&gt;"",INDEX(職員マスタ!$F$6:$F$405,$AN1317)&lt;$AO1317),"対象月に子が2歳到達済／","")&amp;IF(AND($H1317&lt;&gt;"",INDEX(職員マスタ!$B$6:$B$405,$AN1317)&lt;&gt;"",SUBSTITUTE(SUBSTITUTE($H1317," ","")," ","")&lt;&gt;SUBSTITUTE(SUBSTITUTE(INDEX(職員マスタ!$B$6:$B$405,$AN1317)," ","")," ","")),"氏名がマスタと相違／","")&amp;IF(AND($Q1317&lt;&gt;"",INDEX(職員マスタ!$E$6:$E$405,$AN1317)&lt;&gt;"",$Q1317&lt;&gt;INDEX(職員マスタ!$E$6:$E$405,$AN1317)),"子の生年月日がマスタと相違／","")&amp;IF(AND($L1317&lt;&gt;"",INDEX(職員マスタ!$G$6:$G$405,$AN1317)&lt;&gt;"",$L1317&lt;&gt;INDEX(職員マスタ!$G$6:$G$405,$AN1317)),"時短開始日がマスタと相違／","")&amp;IF(AND($M1317&lt;&gt;"",INDEX(職員マスタ!$H$6:$H$405,$AN1317)&lt;&gt;"",$M1317&lt;&gt;INDEX(職員マスタ!$H$6:$H$405,$AN1317)),"時短終了日がマスタと相違／","")))&amp;IF(AND($B1317&lt;&gt;"",$E1317=""),"報酬額が未入力／","")&amp;IF(N($U1317)&gt;0,"申請書に入力エラーが残っています／","")&amp;IF(AND($B1317&lt;&gt;"",$AO1317&lt;&gt;""),IF(COUNTIFS($B$6:$B$3005,$B1317,$C$6:$C$3005,$C1317,$D$6:$D$3005,$D1317)&gt;1,"同じ月の請求が重複しています／",""),"")&amp;IF(AND(N($E1317)&gt;0,$Z1317&lt;&gt;"",$Z1317&lt;&gt;"×",$AC1317=0,$AB1317=""),"計算額が下限以下のため不支給／",""))</f>
        <v/>
      </c>
      <c r="AL1317" s="12" t="n"/>
      <c r="AM1317" s="14">
        <f>IF($AD1317="保留中",COUNTIF($AD$6:$AD1317,"保留中"),"")</f>
        <v/>
      </c>
      <c r="AN1317" s="14">
        <f>IF($AO1317="","",IF(SUMPRODUCT(MAX((職員マスタ!$A$6:$A$405=$B1317)*(((職員マスタ!$G$6:$G$405="")+(職員マスタ!$G$6:$G$405&lt;=EOMONTH($AO1317,0)))&gt;0)*(((職員マスタ!$H$6:$H$405="")+(職員マスタ!$H$6:$H$405&gt;=$AO1317))&gt;0)*(ROW(職員マスタ!$A$6:$A$405)-5)))&gt;0,SUMPRODUCT(MAX((職員マスタ!$A$6:$A$405=$B1317)*(((職員マスタ!$G$6:$G$405="")+(職員マスタ!$G$6:$G$405&lt;=EOMONTH($AO1317,0)))&gt;0)*(((職員マスタ!$H$6:$H$405="")+(職員マスタ!$H$6:$H$405&gt;=$AO1317))&gt;0)*(ROW(職員マスタ!$A$6:$A$405)-5))),IFERROR(MATCH($B1317,職員マスタ!$A$6:$A$405,0),"")))</f>
        <v/>
      </c>
      <c r="AO1317" s="16">
        <f>IF(OR($B1317="",$C1317="",$D1317=""),"",DATE($C1317+2018,$D1317,1))</f>
        <v/>
      </c>
    </row>
    <row r="1318">
      <c r="A1318" s="11" t="n"/>
      <c r="B1318" s="12" t="n"/>
      <c r="C1318" s="12" t="n"/>
      <c r="D1318" s="12" t="n"/>
      <c r="E1318" s="13" t="n"/>
      <c r="F1318" s="12" t="n"/>
      <c r="G1318" s="13" t="n"/>
      <c r="H1318" s="12" t="n"/>
      <c r="I1318" s="12" t="n"/>
      <c r="J1318" s="12" t="n"/>
      <c r="K1318" s="12" t="n"/>
      <c r="L1318" s="11" t="n"/>
      <c r="M1318" s="11" t="n"/>
      <c r="N1318" s="11" t="n"/>
      <c r="O1318" s="11" t="n"/>
      <c r="P1318" s="12" t="n"/>
      <c r="Q1318" s="11" t="n"/>
      <c r="R1318" s="12" t="n"/>
      <c r="S1318" s="11" t="n"/>
      <c r="T1318" s="12" t="n"/>
      <c r="U1318" s="12" t="n"/>
      <c r="V1318" s="14">
        <f>IF($AN1318="",IF($B1318="","",$H1318),IF(INDEX(職員マスタ!$B$6:$B$405,$AN1318)="",$H1318,INDEX(職員マスタ!$B$6:$B$405,$AN1318)))</f>
        <v/>
      </c>
      <c r="W1318" s="14">
        <f>IF($AN1318="",IF($B1318="","",$R1318),IF(INDEX(職員マスタ!$C$6:$C$405,$AN1318)="",$R1318,INDEX(職員マスタ!$C$6:$C$405,$AN1318)))</f>
        <v/>
      </c>
      <c r="X1318" s="14">
        <f>IF($AO1318="","","R"&amp;$C1318&amp;"."&amp;$D1318)</f>
        <v/>
      </c>
      <c r="Y1318" s="15">
        <f>IF($AN1318="","",IF(INDEX(職員マスタ!$K$6:$K$405,$AN1318)="","",INDEX(職員マスタ!$K$6:$K$405,$AN1318)))</f>
        <v/>
      </c>
      <c r="Z1318" s="14">
        <f>IF(OR($E1318="",$Y1318=""),"",IF($E1318&gt;=$Y1318,"×",IF($E1318&gt;=$Y1318*設定!$C$5,"△","○")))</f>
        <v/>
      </c>
      <c r="AA1318" s="15">
        <f>IF($Z1318="","",IF($Z1318="×",0,IF($Z1318="○",ROUNDDOWN($E1318*設定!$C$4,0),ROUNDDOWN($E1318*ROUND((9*$Y1318-9*$E1318)/(10*$E1318),4),0))))</f>
        <v/>
      </c>
      <c r="AB1318" s="13" t="n"/>
      <c r="AC1318" s="15">
        <f>IF($B1318="","",IF($AB1318&lt;&gt;"",$AB1318,IF($AA1318="","",IF($AA1318&lt;=設定!$C$3,0,$AA1318))))</f>
        <v/>
      </c>
      <c r="AD1318" s="14">
        <f>IF($B1318="","",IF(AND($AE1318&lt;&gt;"",$AG1318="",$AJ1318=""),"保留中",IF($AJ1318&lt;&gt;"",IF(N($AC1318)&gt;0,"支給済","不支給"),IF($AC1318="","要確認",IF($AC1318=0,"不支給","未処理")))))</f>
        <v/>
      </c>
      <c r="AE1318" s="12" t="n"/>
      <c r="AF1318" s="11" t="n"/>
      <c r="AG1318" s="11" t="n"/>
      <c r="AH1318" s="11" t="n"/>
      <c r="AI1318" s="14">
        <f>IF(AND($AD1318="保留中",$AF1318&lt;&gt;""),TODAY()-$AF1318,"")</f>
        <v/>
      </c>
      <c r="AJ1318" s="12" t="n"/>
      <c r="AK1318" s="14">
        <f>IF($B1318="","",IF($AO1318="","対象年月が未入力／","")&amp;IF($B1318="","",IF($AN1318="","職員マスタに未登録の職員番号／",IF($Y1318="","標準報酬月額が未登録／","")&amp;IF(AND($AO1318&lt;&gt;"",OR(AND(INDEX(職員マスタ!$G$6:$G$405,$AN1318)&lt;&gt;"",INDEX(職員マスタ!$G$6:$G$405,$AN1318)&gt;EOMONTH($AO1318,0)),AND(INDEX(職員マスタ!$H$6:$H$405,$AN1318)&lt;&gt;"",INDEX(職員マスタ!$H$6:$H$405,$AN1318)&lt;$AO1318))),"対象月が時短期間外／","")&amp;IF(AND(INDEX(職員マスタ!$F$6:$F$405,$AN1318)&lt;&gt;"",$AO1318&lt;&gt;"",INDEX(職員マスタ!$F$6:$F$405,$AN1318)&lt;$AO1318),"対象月に子が2歳到達済／","")&amp;IF(AND($H1318&lt;&gt;"",INDEX(職員マスタ!$B$6:$B$405,$AN1318)&lt;&gt;"",SUBSTITUTE(SUBSTITUTE($H1318," ","")," ","")&lt;&gt;SUBSTITUTE(SUBSTITUTE(INDEX(職員マスタ!$B$6:$B$405,$AN1318)," ","")," ","")),"氏名がマスタと相違／","")&amp;IF(AND($Q1318&lt;&gt;"",INDEX(職員マスタ!$E$6:$E$405,$AN1318)&lt;&gt;"",$Q1318&lt;&gt;INDEX(職員マスタ!$E$6:$E$405,$AN1318)),"子の生年月日がマスタと相違／","")&amp;IF(AND($L1318&lt;&gt;"",INDEX(職員マスタ!$G$6:$G$405,$AN1318)&lt;&gt;"",$L1318&lt;&gt;INDEX(職員マスタ!$G$6:$G$405,$AN1318)),"時短開始日がマスタと相違／","")&amp;IF(AND($M1318&lt;&gt;"",INDEX(職員マスタ!$H$6:$H$405,$AN1318)&lt;&gt;"",$M1318&lt;&gt;INDEX(職員マスタ!$H$6:$H$405,$AN1318)),"時短終了日がマスタと相違／","")))&amp;IF(AND($B1318&lt;&gt;"",$E1318=""),"報酬額が未入力／","")&amp;IF(N($U1318)&gt;0,"申請書に入力エラーが残っています／","")&amp;IF(AND($B1318&lt;&gt;"",$AO1318&lt;&gt;""),IF(COUNTIFS($B$6:$B$3005,$B1318,$C$6:$C$3005,$C1318,$D$6:$D$3005,$D1318)&gt;1,"同じ月の請求が重複しています／",""),"")&amp;IF(AND(N($E1318)&gt;0,$Z1318&lt;&gt;"",$Z1318&lt;&gt;"×",$AC1318=0,$AB1318=""),"計算額が下限以下のため不支給／",""))</f>
        <v/>
      </c>
      <c r="AL1318" s="12" t="n"/>
      <c r="AM1318" s="14">
        <f>IF($AD1318="保留中",COUNTIF($AD$6:$AD1318,"保留中"),"")</f>
        <v/>
      </c>
      <c r="AN1318" s="14">
        <f>IF($AO1318="","",IF(SUMPRODUCT(MAX((職員マスタ!$A$6:$A$405=$B1318)*(((職員マスタ!$G$6:$G$405="")+(職員マスタ!$G$6:$G$405&lt;=EOMONTH($AO1318,0)))&gt;0)*(((職員マスタ!$H$6:$H$405="")+(職員マスタ!$H$6:$H$405&gt;=$AO1318))&gt;0)*(ROW(職員マスタ!$A$6:$A$405)-5)))&gt;0,SUMPRODUCT(MAX((職員マスタ!$A$6:$A$405=$B1318)*(((職員マスタ!$G$6:$G$405="")+(職員マスタ!$G$6:$G$405&lt;=EOMONTH($AO1318,0)))&gt;0)*(((職員マスタ!$H$6:$H$405="")+(職員マスタ!$H$6:$H$405&gt;=$AO1318))&gt;0)*(ROW(職員マスタ!$A$6:$A$405)-5))),IFERROR(MATCH($B1318,職員マスタ!$A$6:$A$405,0),"")))</f>
        <v/>
      </c>
      <c r="AO1318" s="16">
        <f>IF(OR($B1318="",$C1318="",$D1318=""),"",DATE($C1318+2018,$D1318,1))</f>
        <v/>
      </c>
    </row>
    <row r="1319">
      <c r="A1319" s="11" t="n"/>
      <c r="B1319" s="12" t="n"/>
      <c r="C1319" s="12" t="n"/>
      <c r="D1319" s="12" t="n"/>
      <c r="E1319" s="13" t="n"/>
      <c r="F1319" s="12" t="n"/>
      <c r="G1319" s="13" t="n"/>
      <c r="H1319" s="12" t="n"/>
      <c r="I1319" s="12" t="n"/>
      <c r="J1319" s="12" t="n"/>
      <c r="K1319" s="12" t="n"/>
      <c r="L1319" s="11" t="n"/>
      <c r="M1319" s="11" t="n"/>
      <c r="N1319" s="11" t="n"/>
      <c r="O1319" s="11" t="n"/>
      <c r="P1319" s="12" t="n"/>
      <c r="Q1319" s="11" t="n"/>
      <c r="R1319" s="12" t="n"/>
      <c r="S1319" s="11" t="n"/>
      <c r="T1319" s="12" t="n"/>
      <c r="U1319" s="12" t="n"/>
      <c r="V1319" s="14">
        <f>IF($AN1319="",IF($B1319="","",$H1319),IF(INDEX(職員マスタ!$B$6:$B$405,$AN1319)="",$H1319,INDEX(職員マスタ!$B$6:$B$405,$AN1319)))</f>
        <v/>
      </c>
      <c r="W1319" s="14">
        <f>IF($AN1319="",IF($B1319="","",$R1319),IF(INDEX(職員マスタ!$C$6:$C$405,$AN1319)="",$R1319,INDEX(職員マスタ!$C$6:$C$405,$AN1319)))</f>
        <v/>
      </c>
      <c r="X1319" s="14">
        <f>IF($AO1319="","","R"&amp;$C1319&amp;"."&amp;$D1319)</f>
        <v/>
      </c>
      <c r="Y1319" s="15">
        <f>IF($AN1319="","",IF(INDEX(職員マスタ!$K$6:$K$405,$AN1319)="","",INDEX(職員マスタ!$K$6:$K$405,$AN1319)))</f>
        <v/>
      </c>
      <c r="Z1319" s="14">
        <f>IF(OR($E1319="",$Y1319=""),"",IF($E1319&gt;=$Y1319,"×",IF($E1319&gt;=$Y1319*設定!$C$5,"△","○")))</f>
        <v/>
      </c>
      <c r="AA1319" s="15">
        <f>IF($Z1319="","",IF($Z1319="×",0,IF($Z1319="○",ROUNDDOWN($E1319*設定!$C$4,0),ROUNDDOWN($E1319*ROUND((9*$Y1319-9*$E1319)/(10*$E1319),4),0))))</f>
        <v/>
      </c>
      <c r="AB1319" s="13" t="n"/>
      <c r="AC1319" s="15">
        <f>IF($B1319="","",IF($AB1319&lt;&gt;"",$AB1319,IF($AA1319="","",IF($AA1319&lt;=設定!$C$3,0,$AA1319))))</f>
        <v/>
      </c>
      <c r="AD1319" s="14">
        <f>IF($B1319="","",IF(AND($AE1319&lt;&gt;"",$AG1319="",$AJ1319=""),"保留中",IF($AJ1319&lt;&gt;"",IF(N($AC1319)&gt;0,"支給済","不支給"),IF($AC1319="","要確認",IF($AC1319=0,"不支給","未処理")))))</f>
        <v/>
      </c>
      <c r="AE1319" s="12" t="n"/>
      <c r="AF1319" s="11" t="n"/>
      <c r="AG1319" s="11" t="n"/>
      <c r="AH1319" s="11" t="n"/>
      <c r="AI1319" s="14">
        <f>IF(AND($AD1319="保留中",$AF1319&lt;&gt;""),TODAY()-$AF1319,"")</f>
        <v/>
      </c>
      <c r="AJ1319" s="12" t="n"/>
      <c r="AK1319" s="14">
        <f>IF($B1319="","",IF($AO1319="","対象年月が未入力／","")&amp;IF($B1319="","",IF($AN1319="","職員マスタに未登録の職員番号／",IF($Y1319="","標準報酬月額が未登録／","")&amp;IF(AND($AO1319&lt;&gt;"",OR(AND(INDEX(職員マスタ!$G$6:$G$405,$AN1319)&lt;&gt;"",INDEX(職員マスタ!$G$6:$G$405,$AN1319)&gt;EOMONTH($AO1319,0)),AND(INDEX(職員マスタ!$H$6:$H$405,$AN1319)&lt;&gt;"",INDEX(職員マスタ!$H$6:$H$405,$AN1319)&lt;$AO1319))),"対象月が時短期間外／","")&amp;IF(AND(INDEX(職員マスタ!$F$6:$F$405,$AN1319)&lt;&gt;"",$AO1319&lt;&gt;"",INDEX(職員マスタ!$F$6:$F$405,$AN1319)&lt;$AO1319),"対象月に子が2歳到達済／","")&amp;IF(AND($H1319&lt;&gt;"",INDEX(職員マスタ!$B$6:$B$405,$AN1319)&lt;&gt;"",SUBSTITUTE(SUBSTITUTE($H1319," ","")," ","")&lt;&gt;SUBSTITUTE(SUBSTITUTE(INDEX(職員マスタ!$B$6:$B$405,$AN1319)," ","")," ","")),"氏名がマスタと相違／","")&amp;IF(AND($Q1319&lt;&gt;"",INDEX(職員マスタ!$E$6:$E$405,$AN1319)&lt;&gt;"",$Q1319&lt;&gt;INDEX(職員マスタ!$E$6:$E$405,$AN1319)),"子の生年月日がマスタと相違／","")&amp;IF(AND($L1319&lt;&gt;"",INDEX(職員マスタ!$G$6:$G$405,$AN1319)&lt;&gt;"",$L1319&lt;&gt;INDEX(職員マスタ!$G$6:$G$405,$AN1319)),"時短開始日がマスタと相違／","")&amp;IF(AND($M1319&lt;&gt;"",INDEX(職員マスタ!$H$6:$H$405,$AN1319)&lt;&gt;"",$M1319&lt;&gt;INDEX(職員マスタ!$H$6:$H$405,$AN1319)),"時短終了日がマスタと相違／","")))&amp;IF(AND($B1319&lt;&gt;"",$E1319=""),"報酬額が未入力／","")&amp;IF(N($U1319)&gt;0,"申請書に入力エラーが残っています／","")&amp;IF(AND($B1319&lt;&gt;"",$AO1319&lt;&gt;""),IF(COUNTIFS($B$6:$B$3005,$B1319,$C$6:$C$3005,$C1319,$D$6:$D$3005,$D1319)&gt;1,"同じ月の請求が重複しています／",""),"")&amp;IF(AND(N($E1319)&gt;0,$Z1319&lt;&gt;"",$Z1319&lt;&gt;"×",$AC1319=0,$AB1319=""),"計算額が下限以下のため不支給／",""))</f>
        <v/>
      </c>
      <c r="AL1319" s="12" t="n"/>
      <c r="AM1319" s="14">
        <f>IF($AD1319="保留中",COUNTIF($AD$6:$AD1319,"保留中"),"")</f>
        <v/>
      </c>
      <c r="AN1319" s="14">
        <f>IF($AO1319="","",IF(SUMPRODUCT(MAX((職員マスタ!$A$6:$A$405=$B1319)*(((職員マスタ!$G$6:$G$405="")+(職員マスタ!$G$6:$G$405&lt;=EOMONTH($AO1319,0)))&gt;0)*(((職員マスタ!$H$6:$H$405="")+(職員マスタ!$H$6:$H$405&gt;=$AO1319))&gt;0)*(ROW(職員マスタ!$A$6:$A$405)-5)))&gt;0,SUMPRODUCT(MAX((職員マスタ!$A$6:$A$405=$B1319)*(((職員マスタ!$G$6:$G$405="")+(職員マスタ!$G$6:$G$405&lt;=EOMONTH($AO1319,0)))&gt;0)*(((職員マスタ!$H$6:$H$405="")+(職員マスタ!$H$6:$H$405&gt;=$AO1319))&gt;0)*(ROW(職員マスタ!$A$6:$A$405)-5))),IFERROR(MATCH($B1319,職員マスタ!$A$6:$A$405,0),"")))</f>
        <v/>
      </c>
      <c r="AO1319" s="16">
        <f>IF(OR($B1319="",$C1319="",$D1319=""),"",DATE($C1319+2018,$D1319,1))</f>
        <v/>
      </c>
    </row>
    <row r="1320">
      <c r="A1320" s="11" t="n"/>
      <c r="B1320" s="12" t="n"/>
      <c r="C1320" s="12" t="n"/>
      <c r="D1320" s="12" t="n"/>
      <c r="E1320" s="13" t="n"/>
      <c r="F1320" s="12" t="n"/>
      <c r="G1320" s="13" t="n"/>
      <c r="H1320" s="12" t="n"/>
      <c r="I1320" s="12" t="n"/>
      <c r="J1320" s="12" t="n"/>
      <c r="K1320" s="12" t="n"/>
      <c r="L1320" s="11" t="n"/>
      <c r="M1320" s="11" t="n"/>
      <c r="N1320" s="11" t="n"/>
      <c r="O1320" s="11" t="n"/>
      <c r="P1320" s="12" t="n"/>
      <c r="Q1320" s="11" t="n"/>
      <c r="R1320" s="12" t="n"/>
      <c r="S1320" s="11" t="n"/>
      <c r="T1320" s="12" t="n"/>
      <c r="U1320" s="12" t="n"/>
      <c r="V1320" s="14">
        <f>IF($AN1320="",IF($B1320="","",$H1320),IF(INDEX(職員マスタ!$B$6:$B$405,$AN1320)="",$H1320,INDEX(職員マスタ!$B$6:$B$405,$AN1320)))</f>
        <v/>
      </c>
      <c r="W1320" s="14">
        <f>IF($AN1320="",IF($B1320="","",$R1320),IF(INDEX(職員マスタ!$C$6:$C$405,$AN1320)="",$R1320,INDEX(職員マスタ!$C$6:$C$405,$AN1320)))</f>
        <v/>
      </c>
      <c r="X1320" s="14">
        <f>IF($AO1320="","","R"&amp;$C1320&amp;"."&amp;$D1320)</f>
        <v/>
      </c>
      <c r="Y1320" s="15">
        <f>IF($AN1320="","",IF(INDEX(職員マスタ!$K$6:$K$405,$AN1320)="","",INDEX(職員マスタ!$K$6:$K$405,$AN1320)))</f>
        <v/>
      </c>
      <c r="Z1320" s="14">
        <f>IF(OR($E1320="",$Y1320=""),"",IF($E1320&gt;=$Y1320,"×",IF($E1320&gt;=$Y1320*設定!$C$5,"△","○")))</f>
        <v/>
      </c>
      <c r="AA1320" s="15">
        <f>IF($Z1320="","",IF($Z1320="×",0,IF($Z1320="○",ROUNDDOWN($E1320*設定!$C$4,0),ROUNDDOWN($E1320*ROUND((9*$Y1320-9*$E1320)/(10*$E1320),4),0))))</f>
        <v/>
      </c>
      <c r="AB1320" s="13" t="n"/>
      <c r="AC1320" s="15">
        <f>IF($B1320="","",IF($AB1320&lt;&gt;"",$AB1320,IF($AA1320="","",IF($AA1320&lt;=設定!$C$3,0,$AA1320))))</f>
        <v/>
      </c>
      <c r="AD1320" s="14">
        <f>IF($B1320="","",IF(AND($AE1320&lt;&gt;"",$AG1320="",$AJ1320=""),"保留中",IF($AJ1320&lt;&gt;"",IF(N($AC1320)&gt;0,"支給済","不支給"),IF($AC1320="","要確認",IF($AC1320=0,"不支給","未処理")))))</f>
        <v/>
      </c>
      <c r="AE1320" s="12" t="n"/>
      <c r="AF1320" s="11" t="n"/>
      <c r="AG1320" s="11" t="n"/>
      <c r="AH1320" s="11" t="n"/>
      <c r="AI1320" s="14">
        <f>IF(AND($AD1320="保留中",$AF1320&lt;&gt;""),TODAY()-$AF1320,"")</f>
        <v/>
      </c>
      <c r="AJ1320" s="12" t="n"/>
      <c r="AK1320" s="14">
        <f>IF($B1320="","",IF($AO1320="","対象年月が未入力／","")&amp;IF($B1320="","",IF($AN1320="","職員マスタに未登録の職員番号／",IF($Y1320="","標準報酬月額が未登録／","")&amp;IF(AND($AO1320&lt;&gt;"",OR(AND(INDEX(職員マスタ!$G$6:$G$405,$AN1320)&lt;&gt;"",INDEX(職員マスタ!$G$6:$G$405,$AN1320)&gt;EOMONTH($AO1320,0)),AND(INDEX(職員マスタ!$H$6:$H$405,$AN1320)&lt;&gt;"",INDEX(職員マスタ!$H$6:$H$405,$AN1320)&lt;$AO1320))),"対象月が時短期間外／","")&amp;IF(AND(INDEX(職員マスタ!$F$6:$F$405,$AN1320)&lt;&gt;"",$AO1320&lt;&gt;"",INDEX(職員マスタ!$F$6:$F$405,$AN1320)&lt;$AO1320),"対象月に子が2歳到達済／","")&amp;IF(AND($H1320&lt;&gt;"",INDEX(職員マスタ!$B$6:$B$405,$AN1320)&lt;&gt;"",SUBSTITUTE(SUBSTITUTE($H1320," ","")," ","")&lt;&gt;SUBSTITUTE(SUBSTITUTE(INDEX(職員マスタ!$B$6:$B$405,$AN1320)," ","")," ","")),"氏名がマスタと相違／","")&amp;IF(AND($Q1320&lt;&gt;"",INDEX(職員マスタ!$E$6:$E$405,$AN1320)&lt;&gt;"",$Q1320&lt;&gt;INDEX(職員マスタ!$E$6:$E$405,$AN1320)),"子の生年月日がマスタと相違／","")&amp;IF(AND($L1320&lt;&gt;"",INDEX(職員マスタ!$G$6:$G$405,$AN1320)&lt;&gt;"",$L1320&lt;&gt;INDEX(職員マスタ!$G$6:$G$405,$AN1320)),"時短開始日がマスタと相違／","")&amp;IF(AND($M1320&lt;&gt;"",INDEX(職員マスタ!$H$6:$H$405,$AN1320)&lt;&gt;"",$M1320&lt;&gt;INDEX(職員マスタ!$H$6:$H$405,$AN1320)),"時短終了日がマスタと相違／","")))&amp;IF(AND($B1320&lt;&gt;"",$E1320=""),"報酬額が未入力／","")&amp;IF(N($U1320)&gt;0,"申請書に入力エラーが残っています／","")&amp;IF(AND($B1320&lt;&gt;"",$AO1320&lt;&gt;""),IF(COUNTIFS($B$6:$B$3005,$B1320,$C$6:$C$3005,$C1320,$D$6:$D$3005,$D1320)&gt;1,"同じ月の請求が重複しています／",""),"")&amp;IF(AND(N($E1320)&gt;0,$Z1320&lt;&gt;"",$Z1320&lt;&gt;"×",$AC1320=0,$AB1320=""),"計算額が下限以下のため不支給／",""))</f>
        <v/>
      </c>
      <c r="AL1320" s="12" t="n"/>
      <c r="AM1320" s="14">
        <f>IF($AD1320="保留中",COUNTIF($AD$6:$AD1320,"保留中"),"")</f>
        <v/>
      </c>
      <c r="AN1320" s="14">
        <f>IF($AO1320="","",IF(SUMPRODUCT(MAX((職員マスタ!$A$6:$A$405=$B1320)*(((職員マスタ!$G$6:$G$405="")+(職員マスタ!$G$6:$G$405&lt;=EOMONTH($AO1320,0)))&gt;0)*(((職員マスタ!$H$6:$H$405="")+(職員マスタ!$H$6:$H$405&gt;=$AO1320))&gt;0)*(ROW(職員マスタ!$A$6:$A$405)-5)))&gt;0,SUMPRODUCT(MAX((職員マスタ!$A$6:$A$405=$B1320)*(((職員マスタ!$G$6:$G$405="")+(職員マスタ!$G$6:$G$405&lt;=EOMONTH($AO1320,0)))&gt;0)*(((職員マスタ!$H$6:$H$405="")+(職員マスタ!$H$6:$H$405&gt;=$AO1320))&gt;0)*(ROW(職員マスタ!$A$6:$A$405)-5))),IFERROR(MATCH($B1320,職員マスタ!$A$6:$A$405,0),"")))</f>
        <v/>
      </c>
      <c r="AO1320" s="16">
        <f>IF(OR($B1320="",$C1320="",$D1320=""),"",DATE($C1320+2018,$D1320,1))</f>
        <v/>
      </c>
    </row>
    <row r="1321">
      <c r="A1321" s="11" t="n"/>
      <c r="B1321" s="12" t="n"/>
      <c r="C1321" s="12" t="n"/>
      <c r="D1321" s="12" t="n"/>
      <c r="E1321" s="13" t="n"/>
      <c r="F1321" s="12" t="n"/>
      <c r="G1321" s="13" t="n"/>
      <c r="H1321" s="12" t="n"/>
      <c r="I1321" s="12" t="n"/>
      <c r="J1321" s="12" t="n"/>
      <c r="K1321" s="12" t="n"/>
      <c r="L1321" s="11" t="n"/>
      <c r="M1321" s="11" t="n"/>
      <c r="N1321" s="11" t="n"/>
      <c r="O1321" s="11" t="n"/>
      <c r="P1321" s="12" t="n"/>
      <c r="Q1321" s="11" t="n"/>
      <c r="R1321" s="12" t="n"/>
      <c r="S1321" s="11" t="n"/>
      <c r="T1321" s="12" t="n"/>
      <c r="U1321" s="12" t="n"/>
      <c r="V1321" s="14">
        <f>IF($AN1321="",IF($B1321="","",$H1321),IF(INDEX(職員マスタ!$B$6:$B$405,$AN1321)="",$H1321,INDEX(職員マスタ!$B$6:$B$405,$AN1321)))</f>
        <v/>
      </c>
      <c r="W1321" s="14">
        <f>IF($AN1321="",IF($B1321="","",$R1321),IF(INDEX(職員マスタ!$C$6:$C$405,$AN1321)="",$R1321,INDEX(職員マスタ!$C$6:$C$405,$AN1321)))</f>
        <v/>
      </c>
      <c r="X1321" s="14">
        <f>IF($AO1321="","","R"&amp;$C1321&amp;"."&amp;$D1321)</f>
        <v/>
      </c>
      <c r="Y1321" s="15">
        <f>IF($AN1321="","",IF(INDEX(職員マスタ!$K$6:$K$405,$AN1321)="","",INDEX(職員マスタ!$K$6:$K$405,$AN1321)))</f>
        <v/>
      </c>
      <c r="Z1321" s="14">
        <f>IF(OR($E1321="",$Y1321=""),"",IF($E1321&gt;=$Y1321,"×",IF($E1321&gt;=$Y1321*設定!$C$5,"△","○")))</f>
        <v/>
      </c>
      <c r="AA1321" s="15">
        <f>IF($Z1321="","",IF($Z1321="×",0,IF($Z1321="○",ROUNDDOWN($E1321*設定!$C$4,0),ROUNDDOWN($E1321*ROUND((9*$Y1321-9*$E1321)/(10*$E1321),4),0))))</f>
        <v/>
      </c>
      <c r="AB1321" s="13" t="n"/>
      <c r="AC1321" s="15">
        <f>IF($B1321="","",IF($AB1321&lt;&gt;"",$AB1321,IF($AA1321="","",IF($AA1321&lt;=設定!$C$3,0,$AA1321))))</f>
        <v/>
      </c>
      <c r="AD1321" s="14">
        <f>IF($B1321="","",IF(AND($AE1321&lt;&gt;"",$AG1321="",$AJ1321=""),"保留中",IF($AJ1321&lt;&gt;"",IF(N($AC1321)&gt;0,"支給済","不支給"),IF($AC1321="","要確認",IF($AC1321=0,"不支給","未処理")))))</f>
        <v/>
      </c>
      <c r="AE1321" s="12" t="n"/>
      <c r="AF1321" s="11" t="n"/>
      <c r="AG1321" s="11" t="n"/>
      <c r="AH1321" s="11" t="n"/>
      <c r="AI1321" s="14">
        <f>IF(AND($AD1321="保留中",$AF1321&lt;&gt;""),TODAY()-$AF1321,"")</f>
        <v/>
      </c>
      <c r="AJ1321" s="12" t="n"/>
      <c r="AK1321" s="14">
        <f>IF($B1321="","",IF($AO1321="","対象年月が未入力／","")&amp;IF($B1321="","",IF($AN1321="","職員マスタに未登録の職員番号／",IF($Y1321="","標準報酬月額が未登録／","")&amp;IF(AND($AO1321&lt;&gt;"",OR(AND(INDEX(職員マスタ!$G$6:$G$405,$AN1321)&lt;&gt;"",INDEX(職員マスタ!$G$6:$G$405,$AN1321)&gt;EOMONTH($AO1321,0)),AND(INDEX(職員マスタ!$H$6:$H$405,$AN1321)&lt;&gt;"",INDEX(職員マスタ!$H$6:$H$405,$AN1321)&lt;$AO1321))),"対象月が時短期間外／","")&amp;IF(AND(INDEX(職員マスタ!$F$6:$F$405,$AN1321)&lt;&gt;"",$AO1321&lt;&gt;"",INDEX(職員マスタ!$F$6:$F$405,$AN1321)&lt;$AO1321),"対象月に子が2歳到達済／","")&amp;IF(AND($H1321&lt;&gt;"",INDEX(職員マスタ!$B$6:$B$405,$AN1321)&lt;&gt;"",SUBSTITUTE(SUBSTITUTE($H1321," ","")," ","")&lt;&gt;SUBSTITUTE(SUBSTITUTE(INDEX(職員マスタ!$B$6:$B$405,$AN1321)," ","")," ","")),"氏名がマスタと相違／","")&amp;IF(AND($Q1321&lt;&gt;"",INDEX(職員マスタ!$E$6:$E$405,$AN1321)&lt;&gt;"",$Q1321&lt;&gt;INDEX(職員マスタ!$E$6:$E$405,$AN1321)),"子の生年月日がマスタと相違／","")&amp;IF(AND($L1321&lt;&gt;"",INDEX(職員マスタ!$G$6:$G$405,$AN1321)&lt;&gt;"",$L1321&lt;&gt;INDEX(職員マスタ!$G$6:$G$405,$AN1321)),"時短開始日がマスタと相違／","")&amp;IF(AND($M1321&lt;&gt;"",INDEX(職員マスタ!$H$6:$H$405,$AN1321)&lt;&gt;"",$M1321&lt;&gt;INDEX(職員マスタ!$H$6:$H$405,$AN1321)),"時短終了日がマスタと相違／","")))&amp;IF(AND($B1321&lt;&gt;"",$E1321=""),"報酬額が未入力／","")&amp;IF(N($U1321)&gt;0,"申請書に入力エラーが残っています／","")&amp;IF(AND($B1321&lt;&gt;"",$AO1321&lt;&gt;""),IF(COUNTIFS($B$6:$B$3005,$B1321,$C$6:$C$3005,$C1321,$D$6:$D$3005,$D1321)&gt;1,"同じ月の請求が重複しています／",""),"")&amp;IF(AND(N($E1321)&gt;0,$Z1321&lt;&gt;"",$Z1321&lt;&gt;"×",$AC1321=0,$AB1321=""),"計算額が下限以下のため不支給／",""))</f>
        <v/>
      </c>
      <c r="AL1321" s="12" t="n"/>
      <c r="AM1321" s="14">
        <f>IF($AD1321="保留中",COUNTIF($AD$6:$AD1321,"保留中"),"")</f>
        <v/>
      </c>
      <c r="AN1321" s="14">
        <f>IF($AO1321="","",IF(SUMPRODUCT(MAX((職員マスタ!$A$6:$A$405=$B1321)*(((職員マスタ!$G$6:$G$405="")+(職員マスタ!$G$6:$G$405&lt;=EOMONTH($AO1321,0)))&gt;0)*(((職員マスタ!$H$6:$H$405="")+(職員マスタ!$H$6:$H$405&gt;=$AO1321))&gt;0)*(ROW(職員マスタ!$A$6:$A$405)-5)))&gt;0,SUMPRODUCT(MAX((職員マスタ!$A$6:$A$405=$B1321)*(((職員マスタ!$G$6:$G$405="")+(職員マスタ!$G$6:$G$405&lt;=EOMONTH($AO1321,0)))&gt;0)*(((職員マスタ!$H$6:$H$405="")+(職員マスタ!$H$6:$H$405&gt;=$AO1321))&gt;0)*(ROW(職員マスタ!$A$6:$A$405)-5))),IFERROR(MATCH($B1321,職員マスタ!$A$6:$A$405,0),"")))</f>
        <v/>
      </c>
      <c r="AO1321" s="16">
        <f>IF(OR($B1321="",$C1321="",$D1321=""),"",DATE($C1321+2018,$D1321,1))</f>
        <v/>
      </c>
    </row>
    <row r="1322">
      <c r="A1322" s="11" t="n"/>
      <c r="B1322" s="12" t="n"/>
      <c r="C1322" s="12" t="n"/>
      <c r="D1322" s="12" t="n"/>
      <c r="E1322" s="13" t="n"/>
      <c r="F1322" s="12" t="n"/>
      <c r="G1322" s="13" t="n"/>
      <c r="H1322" s="12" t="n"/>
      <c r="I1322" s="12" t="n"/>
      <c r="J1322" s="12" t="n"/>
      <c r="K1322" s="12" t="n"/>
      <c r="L1322" s="11" t="n"/>
      <c r="M1322" s="11" t="n"/>
      <c r="N1322" s="11" t="n"/>
      <c r="O1322" s="11" t="n"/>
      <c r="P1322" s="12" t="n"/>
      <c r="Q1322" s="11" t="n"/>
      <c r="R1322" s="12" t="n"/>
      <c r="S1322" s="11" t="n"/>
      <c r="T1322" s="12" t="n"/>
      <c r="U1322" s="12" t="n"/>
      <c r="V1322" s="14">
        <f>IF($AN1322="",IF($B1322="","",$H1322),IF(INDEX(職員マスタ!$B$6:$B$405,$AN1322)="",$H1322,INDEX(職員マスタ!$B$6:$B$405,$AN1322)))</f>
        <v/>
      </c>
      <c r="W1322" s="14">
        <f>IF($AN1322="",IF($B1322="","",$R1322),IF(INDEX(職員マスタ!$C$6:$C$405,$AN1322)="",$R1322,INDEX(職員マスタ!$C$6:$C$405,$AN1322)))</f>
        <v/>
      </c>
      <c r="X1322" s="14">
        <f>IF($AO1322="","","R"&amp;$C1322&amp;"."&amp;$D1322)</f>
        <v/>
      </c>
      <c r="Y1322" s="15">
        <f>IF($AN1322="","",IF(INDEX(職員マスタ!$K$6:$K$405,$AN1322)="","",INDEX(職員マスタ!$K$6:$K$405,$AN1322)))</f>
        <v/>
      </c>
      <c r="Z1322" s="14">
        <f>IF(OR($E1322="",$Y1322=""),"",IF($E1322&gt;=$Y1322,"×",IF($E1322&gt;=$Y1322*設定!$C$5,"△","○")))</f>
        <v/>
      </c>
      <c r="AA1322" s="15">
        <f>IF($Z1322="","",IF($Z1322="×",0,IF($Z1322="○",ROUNDDOWN($E1322*設定!$C$4,0),ROUNDDOWN($E1322*ROUND((9*$Y1322-9*$E1322)/(10*$E1322),4),0))))</f>
        <v/>
      </c>
      <c r="AB1322" s="13" t="n"/>
      <c r="AC1322" s="15">
        <f>IF($B1322="","",IF($AB1322&lt;&gt;"",$AB1322,IF($AA1322="","",IF($AA1322&lt;=設定!$C$3,0,$AA1322))))</f>
        <v/>
      </c>
      <c r="AD1322" s="14">
        <f>IF($B1322="","",IF(AND($AE1322&lt;&gt;"",$AG1322="",$AJ1322=""),"保留中",IF($AJ1322&lt;&gt;"",IF(N($AC1322)&gt;0,"支給済","不支給"),IF($AC1322="","要確認",IF($AC1322=0,"不支給","未処理")))))</f>
        <v/>
      </c>
      <c r="AE1322" s="12" t="n"/>
      <c r="AF1322" s="11" t="n"/>
      <c r="AG1322" s="11" t="n"/>
      <c r="AH1322" s="11" t="n"/>
      <c r="AI1322" s="14">
        <f>IF(AND($AD1322="保留中",$AF1322&lt;&gt;""),TODAY()-$AF1322,"")</f>
        <v/>
      </c>
      <c r="AJ1322" s="12" t="n"/>
      <c r="AK1322" s="14">
        <f>IF($B1322="","",IF($AO1322="","対象年月が未入力／","")&amp;IF($B1322="","",IF($AN1322="","職員マスタに未登録の職員番号／",IF($Y1322="","標準報酬月額が未登録／","")&amp;IF(AND($AO1322&lt;&gt;"",OR(AND(INDEX(職員マスタ!$G$6:$G$405,$AN1322)&lt;&gt;"",INDEX(職員マスタ!$G$6:$G$405,$AN1322)&gt;EOMONTH($AO1322,0)),AND(INDEX(職員マスタ!$H$6:$H$405,$AN1322)&lt;&gt;"",INDEX(職員マスタ!$H$6:$H$405,$AN1322)&lt;$AO1322))),"対象月が時短期間外／","")&amp;IF(AND(INDEX(職員マスタ!$F$6:$F$405,$AN1322)&lt;&gt;"",$AO1322&lt;&gt;"",INDEX(職員マスタ!$F$6:$F$405,$AN1322)&lt;$AO1322),"対象月に子が2歳到達済／","")&amp;IF(AND($H1322&lt;&gt;"",INDEX(職員マスタ!$B$6:$B$405,$AN1322)&lt;&gt;"",SUBSTITUTE(SUBSTITUTE($H1322," ","")," ","")&lt;&gt;SUBSTITUTE(SUBSTITUTE(INDEX(職員マスタ!$B$6:$B$405,$AN1322)," ","")," ","")),"氏名がマスタと相違／","")&amp;IF(AND($Q1322&lt;&gt;"",INDEX(職員マスタ!$E$6:$E$405,$AN1322)&lt;&gt;"",$Q1322&lt;&gt;INDEX(職員マスタ!$E$6:$E$405,$AN1322)),"子の生年月日がマスタと相違／","")&amp;IF(AND($L1322&lt;&gt;"",INDEX(職員マスタ!$G$6:$G$405,$AN1322)&lt;&gt;"",$L1322&lt;&gt;INDEX(職員マスタ!$G$6:$G$405,$AN1322)),"時短開始日がマスタと相違／","")&amp;IF(AND($M1322&lt;&gt;"",INDEX(職員マスタ!$H$6:$H$405,$AN1322)&lt;&gt;"",$M1322&lt;&gt;INDEX(職員マスタ!$H$6:$H$405,$AN1322)),"時短終了日がマスタと相違／","")))&amp;IF(AND($B1322&lt;&gt;"",$E1322=""),"報酬額が未入力／","")&amp;IF(N($U1322)&gt;0,"申請書に入力エラーが残っています／","")&amp;IF(AND($B1322&lt;&gt;"",$AO1322&lt;&gt;""),IF(COUNTIFS($B$6:$B$3005,$B1322,$C$6:$C$3005,$C1322,$D$6:$D$3005,$D1322)&gt;1,"同じ月の請求が重複しています／",""),"")&amp;IF(AND(N($E1322)&gt;0,$Z1322&lt;&gt;"",$Z1322&lt;&gt;"×",$AC1322=0,$AB1322=""),"計算額が下限以下のため不支給／",""))</f>
        <v/>
      </c>
      <c r="AL1322" s="12" t="n"/>
      <c r="AM1322" s="14">
        <f>IF($AD1322="保留中",COUNTIF($AD$6:$AD1322,"保留中"),"")</f>
        <v/>
      </c>
      <c r="AN1322" s="14">
        <f>IF($AO1322="","",IF(SUMPRODUCT(MAX((職員マスタ!$A$6:$A$405=$B1322)*(((職員マスタ!$G$6:$G$405="")+(職員マスタ!$G$6:$G$405&lt;=EOMONTH($AO1322,0)))&gt;0)*(((職員マスタ!$H$6:$H$405="")+(職員マスタ!$H$6:$H$405&gt;=$AO1322))&gt;0)*(ROW(職員マスタ!$A$6:$A$405)-5)))&gt;0,SUMPRODUCT(MAX((職員マスタ!$A$6:$A$405=$B1322)*(((職員マスタ!$G$6:$G$405="")+(職員マスタ!$G$6:$G$405&lt;=EOMONTH($AO1322,0)))&gt;0)*(((職員マスタ!$H$6:$H$405="")+(職員マスタ!$H$6:$H$405&gt;=$AO1322))&gt;0)*(ROW(職員マスタ!$A$6:$A$405)-5))),IFERROR(MATCH($B1322,職員マスタ!$A$6:$A$405,0),"")))</f>
        <v/>
      </c>
      <c r="AO1322" s="16">
        <f>IF(OR($B1322="",$C1322="",$D1322=""),"",DATE($C1322+2018,$D1322,1))</f>
        <v/>
      </c>
    </row>
    <row r="1323">
      <c r="A1323" s="11" t="n"/>
      <c r="B1323" s="12" t="n"/>
      <c r="C1323" s="12" t="n"/>
      <c r="D1323" s="12" t="n"/>
      <c r="E1323" s="13" t="n"/>
      <c r="F1323" s="12" t="n"/>
      <c r="G1323" s="13" t="n"/>
      <c r="H1323" s="12" t="n"/>
      <c r="I1323" s="12" t="n"/>
      <c r="J1323" s="12" t="n"/>
      <c r="K1323" s="12" t="n"/>
      <c r="L1323" s="11" t="n"/>
      <c r="M1323" s="11" t="n"/>
      <c r="N1323" s="11" t="n"/>
      <c r="O1323" s="11" t="n"/>
      <c r="P1323" s="12" t="n"/>
      <c r="Q1323" s="11" t="n"/>
      <c r="R1323" s="12" t="n"/>
      <c r="S1323" s="11" t="n"/>
      <c r="T1323" s="12" t="n"/>
      <c r="U1323" s="12" t="n"/>
      <c r="V1323" s="14">
        <f>IF($AN1323="",IF($B1323="","",$H1323),IF(INDEX(職員マスタ!$B$6:$B$405,$AN1323)="",$H1323,INDEX(職員マスタ!$B$6:$B$405,$AN1323)))</f>
        <v/>
      </c>
      <c r="W1323" s="14">
        <f>IF($AN1323="",IF($B1323="","",$R1323),IF(INDEX(職員マスタ!$C$6:$C$405,$AN1323)="",$R1323,INDEX(職員マスタ!$C$6:$C$405,$AN1323)))</f>
        <v/>
      </c>
      <c r="X1323" s="14">
        <f>IF($AO1323="","","R"&amp;$C1323&amp;"."&amp;$D1323)</f>
        <v/>
      </c>
      <c r="Y1323" s="15">
        <f>IF($AN1323="","",IF(INDEX(職員マスタ!$K$6:$K$405,$AN1323)="","",INDEX(職員マスタ!$K$6:$K$405,$AN1323)))</f>
        <v/>
      </c>
      <c r="Z1323" s="14">
        <f>IF(OR($E1323="",$Y1323=""),"",IF($E1323&gt;=$Y1323,"×",IF($E1323&gt;=$Y1323*設定!$C$5,"△","○")))</f>
        <v/>
      </c>
      <c r="AA1323" s="15">
        <f>IF($Z1323="","",IF($Z1323="×",0,IF($Z1323="○",ROUNDDOWN($E1323*設定!$C$4,0),ROUNDDOWN($E1323*ROUND((9*$Y1323-9*$E1323)/(10*$E1323),4),0))))</f>
        <v/>
      </c>
      <c r="AB1323" s="13" t="n"/>
      <c r="AC1323" s="15">
        <f>IF($B1323="","",IF($AB1323&lt;&gt;"",$AB1323,IF($AA1323="","",IF($AA1323&lt;=設定!$C$3,0,$AA1323))))</f>
        <v/>
      </c>
      <c r="AD1323" s="14">
        <f>IF($B1323="","",IF(AND($AE1323&lt;&gt;"",$AG1323="",$AJ1323=""),"保留中",IF($AJ1323&lt;&gt;"",IF(N($AC1323)&gt;0,"支給済","不支給"),IF($AC1323="","要確認",IF($AC1323=0,"不支給","未処理")))))</f>
        <v/>
      </c>
      <c r="AE1323" s="12" t="n"/>
      <c r="AF1323" s="11" t="n"/>
      <c r="AG1323" s="11" t="n"/>
      <c r="AH1323" s="11" t="n"/>
      <c r="AI1323" s="14">
        <f>IF(AND($AD1323="保留中",$AF1323&lt;&gt;""),TODAY()-$AF1323,"")</f>
        <v/>
      </c>
      <c r="AJ1323" s="12" t="n"/>
      <c r="AK1323" s="14">
        <f>IF($B1323="","",IF($AO1323="","対象年月が未入力／","")&amp;IF($B1323="","",IF($AN1323="","職員マスタに未登録の職員番号／",IF($Y1323="","標準報酬月額が未登録／","")&amp;IF(AND($AO1323&lt;&gt;"",OR(AND(INDEX(職員マスタ!$G$6:$G$405,$AN1323)&lt;&gt;"",INDEX(職員マスタ!$G$6:$G$405,$AN1323)&gt;EOMONTH($AO1323,0)),AND(INDEX(職員マスタ!$H$6:$H$405,$AN1323)&lt;&gt;"",INDEX(職員マスタ!$H$6:$H$405,$AN1323)&lt;$AO1323))),"対象月が時短期間外／","")&amp;IF(AND(INDEX(職員マスタ!$F$6:$F$405,$AN1323)&lt;&gt;"",$AO1323&lt;&gt;"",INDEX(職員マスタ!$F$6:$F$405,$AN1323)&lt;$AO1323),"対象月に子が2歳到達済／","")&amp;IF(AND($H1323&lt;&gt;"",INDEX(職員マスタ!$B$6:$B$405,$AN1323)&lt;&gt;"",SUBSTITUTE(SUBSTITUTE($H1323," ","")," ","")&lt;&gt;SUBSTITUTE(SUBSTITUTE(INDEX(職員マスタ!$B$6:$B$405,$AN1323)," ","")," ","")),"氏名がマスタと相違／","")&amp;IF(AND($Q1323&lt;&gt;"",INDEX(職員マスタ!$E$6:$E$405,$AN1323)&lt;&gt;"",$Q1323&lt;&gt;INDEX(職員マスタ!$E$6:$E$405,$AN1323)),"子の生年月日がマスタと相違／","")&amp;IF(AND($L1323&lt;&gt;"",INDEX(職員マスタ!$G$6:$G$405,$AN1323)&lt;&gt;"",$L1323&lt;&gt;INDEX(職員マスタ!$G$6:$G$405,$AN1323)),"時短開始日がマスタと相違／","")&amp;IF(AND($M1323&lt;&gt;"",INDEX(職員マスタ!$H$6:$H$405,$AN1323)&lt;&gt;"",$M1323&lt;&gt;INDEX(職員マスタ!$H$6:$H$405,$AN1323)),"時短終了日がマスタと相違／","")))&amp;IF(AND($B1323&lt;&gt;"",$E1323=""),"報酬額が未入力／","")&amp;IF(N($U1323)&gt;0,"申請書に入力エラーが残っています／","")&amp;IF(AND($B1323&lt;&gt;"",$AO1323&lt;&gt;""),IF(COUNTIFS($B$6:$B$3005,$B1323,$C$6:$C$3005,$C1323,$D$6:$D$3005,$D1323)&gt;1,"同じ月の請求が重複しています／",""),"")&amp;IF(AND(N($E1323)&gt;0,$Z1323&lt;&gt;"",$Z1323&lt;&gt;"×",$AC1323=0,$AB1323=""),"計算額が下限以下のため不支給／",""))</f>
        <v/>
      </c>
      <c r="AL1323" s="12" t="n"/>
      <c r="AM1323" s="14">
        <f>IF($AD1323="保留中",COUNTIF($AD$6:$AD1323,"保留中"),"")</f>
        <v/>
      </c>
      <c r="AN1323" s="14">
        <f>IF($AO1323="","",IF(SUMPRODUCT(MAX((職員マスタ!$A$6:$A$405=$B1323)*(((職員マスタ!$G$6:$G$405="")+(職員マスタ!$G$6:$G$405&lt;=EOMONTH($AO1323,0)))&gt;0)*(((職員マスタ!$H$6:$H$405="")+(職員マスタ!$H$6:$H$405&gt;=$AO1323))&gt;0)*(ROW(職員マスタ!$A$6:$A$405)-5)))&gt;0,SUMPRODUCT(MAX((職員マスタ!$A$6:$A$405=$B1323)*(((職員マスタ!$G$6:$G$405="")+(職員マスタ!$G$6:$G$405&lt;=EOMONTH($AO1323,0)))&gt;0)*(((職員マスタ!$H$6:$H$405="")+(職員マスタ!$H$6:$H$405&gt;=$AO1323))&gt;0)*(ROW(職員マスタ!$A$6:$A$405)-5))),IFERROR(MATCH($B1323,職員マスタ!$A$6:$A$405,0),"")))</f>
        <v/>
      </c>
      <c r="AO1323" s="16">
        <f>IF(OR($B1323="",$C1323="",$D1323=""),"",DATE($C1323+2018,$D1323,1))</f>
        <v/>
      </c>
    </row>
    <row r="1324">
      <c r="A1324" s="11" t="n"/>
      <c r="B1324" s="12" t="n"/>
      <c r="C1324" s="12" t="n"/>
      <c r="D1324" s="12" t="n"/>
      <c r="E1324" s="13" t="n"/>
      <c r="F1324" s="12" t="n"/>
      <c r="G1324" s="13" t="n"/>
      <c r="H1324" s="12" t="n"/>
      <c r="I1324" s="12" t="n"/>
      <c r="J1324" s="12" t="n"/>
      <c r="K1324" s="12" t="n"/>
      <c r="L1324" s="11" t="n"/>
      <c r="M1324" s="11" t="n"/>
      <c r="N1324" s="11" t="n"/>
      <c r="O1324" s="11" t="n"/>
      <c r="P1324" s="12" t="n"/>
      <c r="Q1324" s="11" t="n"/>
      <c r="R1324" s="12" t="n"/>
      <c r="S1324" s="11" t="n"/>
      <c r="T1324" s="12" t="n"/>
      <c r="U1324" s="12" t="n"/>
      <c r="V1324" s="14">
        <f>IF($AN1324="",IF($B1324="","",$H1324),IF(INDEX(職員マスタ!$B$6:$B$405,$AN1324)="",$H1324,INDEX(職員マスタ!$B$6:$B$405,$AN1324)))</f>
        <v/>
      </c>
      <c r="W1324" s="14">
        <f>IF($AN1324="",IF($B1324="","",$R1324),IF(INDEX(職員マスタ!$C$6:$C$405,$AN1324)="",$R1324,INDEX(職員マスタ!$C$6:$C$405,$AN1324)))</f>
        <v/>
      </c>
      <c r="X1324" s="14">
        <f>IF($AO1324="","","R"&amp;$C1324&amp;"."&amp;$D1324)</f>
        <v/>
      </c>
      <c r="Y1324" s="15">
        <f>IF($AN1324="","",IF(INDEX(職員マスタ!$K$6:$K$405,$AN1324)="","",INDEX(職員マスタ!$K$6:$K$405,$AN1324)))</f>
        <v/>
      </c>
      <c r="Z1324" s="14">
        <f>IF(OR($E1324="",$Y1324=""),"",IF($E1324&gt;=$Y1324,"×",IF($E1324&gt;=$Y1324*設定!$C$5,"△","○")))</f>
        <v/>
      </c>
      <c r="AA1324" s="15">
        <f>IF($Z1324="","",IF($Z1324="×",0,IF($Z1324="○",ROUNDDOWN($E1324*設定!$C$4,0),ROUNDDOWN($E1324*ROUND((9*$Y1324-9*$E1324)/(10*$E1324),4),0))))</f>
        <v/>
      </c>
      <c r="AB1324" s="13" t="n"/>
      <c r="AC1324" s="15">
        <f>IF($B1324="","",IF($AB1324&lt;&gt;"",$AB1324,IF($AA1324="","",IF($AA1324&lt;=設定!$C$3,0,$AA1324))))</f>
        <v/>
      </c>
      <c r="AD1324" s="14">
        <f>IF($B1324="","",IF(AND($AE1324&lt;&gt;"",$AG1324="",$AJ1324=""),"保留中",IF($AJ1324&lt;&gt;"",IF(N($AC1324)&gt;0,"支給済","不支給"),IF($AC1324="","要確認",IF($AC1324=0,"不支給","未処理")))))</f>
        <v/>
      </c>
      <c r="AE1324" s="12" t="n"/>
      <c r="AF1324" s="11" t="n"/>
      <c r="AG1324" s="11" t="n"/>
      <c r="AH1324" s="11" t="n"/>
      <c r="AI1324" s="14">
        <f>IF(AND($AD1324="保留中",$AF1324&lt;&gt;""),TODAY()-$AF1324,"")</f>
        <v/>
      </c>
      <c r="AJ1324" s="12" t="n"/>
      <c r="AK1324" s="14">
        <f>IF($B1324="","",IF($AO1324="","対象年月が未入力／","")&amp;IF($B1324="","",IF($AN1324="","職員マスタに未登録の職員番号／",IF($Y1324="","標準報酬月額が未登録／","")&amp;IF(AND($AO1324&lt;&gt;"",OR(AND(INDEX(職員マスタ!$G$6:$G$405,$AN1324)&lt;&gt;"",INDEX(職員マスタ!$G$6:$G$405,$AN1324)&gt;EOMONTH($AO1324,0)),AND(INDEX(職員マスタ!$H$6:$H$405,$AN1324)&lt;&gt;"",INDEX(職員マスタ!$H$6:$H$405,$AN1324)&lt;$AO1324))),"対象月が時短期間外／","")&amp;IF(AND(INDEX(職員マスタ!$F$6:$F$405,$AN1324)&lt;&gt;"",$AO1324&lt;&gt;"",INDEX(職員マスタ!$F$6:$F$405,$AN1324)&lt;$AO1324),"対象月に子が2歳到達済／","")&amp;IF(AND($H1324&lt;&gt;"",INDEX(職員マスタ!$B$6:$B$405,$AN1324)&lt;&gt;"",SUBSTITUTE(SUBSTITUTE($H1324," ","")," ","")&lt;&gt;SUBSTITUTE(SUBSTITUTE(INDEX(職員マスタ!$B$6:$B$405,$AN1324)," ","")," ","")),"氏名がマスタと相違／","")&amp;IF(AND($Q1324&lt;&gt;"",INDEX(職員マスタ!$E$6:$E$405,$AN1324)&lt;&gt;"",$Q1324&lt;&gt;INDEX(職員マスタ!$E$6:$E$405,$AN1324)),"子の生年月日がマスタと相違／","")&amp;IF(AND($L1324&lt;&gt;"",INDEX(職員マスタ!$G$6:$G$405,$AN1324)&lt;&gt;"",$L1324&lt;&gt;INDEX(職員マスタ!$G$6:$G$405,$AN1324)),"時短開始日がマスタと相違／","")&amp;IF(AND($M1324&lt;&gt;"",INDEX(職員マスタ!$H$6:$H$405,$AN1324)&lt;&gt;"",$M1324&lt;&gt;INDEX(職員マスタ!$H$6:$H$405,$AN1324)),"時短終了日がマスタと相違／","")))&amp;IF(AND($B1324&lt;&gt;"",$E1324=""),"報酬額が未入力／","")&amp;IF(N($U1324)&gt;0,"申請書に入力エラーが残っています／","")&amp;IF(AND($B1324&lt;&gt;"",$AO1324&lt;&gt;""),IF(COUNTIFS($B$6:$B$3005,$B1324,$C$6:$C$3005,$C1324,$D$6:$D$3005,$D1324)&gt;1,"同じ月の請求が重複しています／",""),"")&amp;IF(AND(N($E1324)&gt;0,$Z1324&lt;&gt;"",$Z1324&lt;&gt;"×",$AC1324=0,$AB1324=""),"計算額が下限以下のため不支給／",""))</f>
        <v/>
      </c>
      <c r="AL1324" s="12" t="n"/>
      <c r="AM1324" s="14">
        <f>IF($AD1324="保留中",COUNTIF($AD$6:$AD1324,"保留中"),"")</f>
        <v/>
      </c>
      <c r="AN1324" s="14">
        <f>IF($AO1324="","",IF(SUMPRODUCT(MAX((職員マスタ!$A$6:$A$405=$B1324)*(((職員マスタ!$G$6:$G$405="")+(職員マスタ!$G$6:$G$405&lt;=EOMONTH($AO1324,0)))&gt;0)*(((職員マスタ!$H$6:$H$405="")+(職員マスタ!$H$6:$H$405&gt;=$AO1324))&gt;0)*(ROW(職員マスタ!$A$6:$A$405)-5)))&gt;0,SUMPRODUCT(MAX((職員マスタ!$A$6:$A$405=$B1324)*(((職員マスタ!$G$6:$G$405="")+(職員マスタ!$G$6:$G$405&lt;=EOMONTH($AO1324,0)))&gt;0)*(((職員マスタ!$H$6:$H$405="")+(職員マスタ!$H$6:$H$405&gt;=$AO1324))&gt;0)*(ROW(職員マスタ!$A$6:$A$405)-5))),IFERROR(MATCH($B1324,職員マスタ!$A$6:$A$405,0),"")))</f>
        <v/>
      </c>
      <c r="AO1324" s="16">
        <f>IF(OR($B1324="",$C1324="",$D1324=""),"",DATE($C1324+2018,$D1324,1))</f>
        <v/>
      </c>
    </row>
    <row r="1325">
      <c r="A1325" s="11" t="n"/>
      <c r="B1325" s="12" t="n"/>
      <c r="C1325" s="12" t="n"/>
      <c r="D1325" s="12" t="n"/>
      <c r="E1325" s="13" t="n"/>
      <c r="F1325" s="12" t="n"/>
      <c r="G1325" s="13" t="n"/>
      <c r="H1325" s="12" t="n"/>
      <c r="I1325" s="12" t="n"/>
      <c r="J1325" s="12" t="n"/>
      <c r="K1325" s="12" t="n"/>
      <c r="L1325" s="11" t="n"/>
      <c r="M1325" s="11" t="n"/>
      <c r="N1325" s="11" t="n"/>
      <c r="O1325" s="11" t="n"/>
      <c r="P1325" s="12" t="n"/>
      <c r="Q1325" s="11" t="n"/>
      <c r="R1325" s="12" t="n"/>
      <c r="S1325" s="11" t="n"/>
      <c r="T1325" s="12" t="n"/>
      <c r="U1325" s="12" t="n"/>
      <c r="V1325" s="14">
        <f>IF($AN1325="",IF($B1325="","",$H1325),IF(INDEX(職員マスタ!$B$6:$B$405,$AN1325)="",$H1325,INDEX(職員マスタ!$B$6:$B$405,$AN1325)))</f>
        <v/>
      </c>
      <c r="W1325" s="14">
        <f>IF($AN1325="",IF($B1325="","",$R1325),IF(INDEX(職員マスタ!$C$6:$C$405,$AN1325)="",$R1325,INDEX(職員マスタ!$C$6:$C$405,$AN1325)))</f>
        <v/>
      </c>
      <c r="X1325" s="14">
        <f>IF($AO1325="","","R"&amp;$C1325&amp;"."&amp;$D1325)</f>
        <v/>
      </c>
      <c r="Y1325" s="15">
        <f>IF($AN1325="","",IF(INDEX(職員マスタ!$K$6:$K$405,$AN1325)="","",INDEX(職員マスタ!$K$6:$K$405,$AN1325)))</f>
        <v/>
      </c>
      <c r="Z1325" s="14">
        <f>IF(OR($E1325="",$Y1325=""),"",IF($E1325&gt;=$Y1325,"×",IF($E1325&gt;=$Y1325*設定!$C$5,"△","○")))</f>
        <v/>
      </c>
      <c r="AA1325" s="15">
        <f>IF($Z1325="","",IF($Z1325="×",0,IF($Z1325="○",ROUNDDOWN($E1325*設定!$C$4,0),ROUNDDOWN($E1325*ROUND((9*$Y1325-9*$E1325)/(10*$E1325),4),0))))</f>
        <v/>
      </c>
      <c r="AB1325" s="13" t="n"/>
      <c r="AC1325" s="15">
        <f>IF($B1325="","",IF($AB1325&lt;&gt;"",$AB1325,IF($AA1325="","",IF($AA1325&lt;=設定!$C$3,0,$AA1325))))</f>
        <v/>
      </c>
      <c r="AD1325" s="14">
        <f>IF($B1325="","",IF(AND($AE1325&lt;&gt;"",$AG1325="",$AJ1325=""),"保留中",IF($AJ1325&lt;&gt;"",IF(N($AC1325)&gt;0,"支給済","不支給"),IF($AC1325="","要確認",IF($AC1325=0,"不支給","未処理")))))</f>
        <v/>
      </c>
      <c r="AE1325" s="12" t="n"/>
      <c r="AF1325" s="11" t="n"/>
      <c r="AG1325" s="11" t="n"/>
      <c r="AH1325" s="11" t="n"/>
      <c r="AI1325" s="14">
        <f>IF(AND($AD1325="保留中",$AF1325&lt;&gt;""),TODAY()-$AF1325,"")</f>
        <v/>
      </c>
      <c r="AJ1325" s="12" t="n"/>
      <c r="AK1325" s="14">
        <f>IF($B1325="","",IF($AO1325="","対象年月が未入力／","")&amp;IF($B1325="","",IF($AN1325="","職員マスタに未登録の職員番号／",IF($Y1325="","標準報酬月額が未登録／","")&amp;IF(AND($AO1325&lt;&gt;"",OR(AND(INDEX(職員マスタ!$G$6:$G$405,$AN1325)&lt;&gt;"",INDEX(職員マスタ!$G$6:$G$405,$AN1325)&gt;EOMONTH($AO1325,0)),AND(INDEX(職員マスタ!$H$6:$H$405,$AN1325)&lt;&gt;"",INDEX(職員マスタ!$H$6:$H$405,$AN1325)&lt;$AO1325))),"対象月が時短期間外／","")&amp;IF(AND(INDEX(職員マスタ!$F$6:$F$405,$AN1325)&lt;&gt;"",$AO1325&lt;&gt;"",INDEX(職員マスタ!$F$6:$F$405,$AN1325)&lt;$AO1325),"対象月に子が2歳到達済／","")&amp;IF(AND($H1325&lt;&gt;"",INDEX(職員マスタ!$B$6:$B$405,$AN1325)&lt;&gt;"",SUBSTITUTE(SUBSTITUTE($H1325," ","")," ","")&lt;&gt;SUBSTITUTE(SUBSTITUTE(INDEX(職員マスタ!$B$6:$B$405,$AN1325)," ","")," ","")),"氏名がマスタと相違／","")&amp;IF(AND($Q1325&lt;&gt;"",INDEX(職員マスタ!$E$6:$E$405,$AN1325)&lt;&gt;"",$Q1325&lt;&gt;INDEX(職員マスタ!$E$6:$E$405,$AN1325)),"子の生年月日がマスタと相違／","")&amp;IF(AND($L1325&lt;&gt;"",INDEX(職員マスタ!$G$6:$G$405,$AN1325)&lt;&gt;"",$L1325&lt;&gt;INDEX(職員マスタ!$G$6:$G$405,$AN1325)),"時短開始日がマスタと相違／","")&amp;IF(AND($M1325&lt;&gt;"",INDEX(職員マスタ!$H$6:$H$405,$AN1325)&lt;&gt;"",$M1325&lt;&gt;INDEX(職員マスタ!$H$6:$H$405,$AN1325)),"時短終了日がマスタと相違／","")))&amp;IF(AND($B1325&lt;&gt;"",$E1325=""),"報酬額が未入力／","")&amp;IF(N($U1325)&gt;0,"申請書に入力エラーが残っています／","")&amp;IF(AND($B1325&lt;&gt;"",$AO1325&lt;&gt;""),IF(COUNTIFS($B$6:$B$3005,$B1325,$C$6:$C$3005,$C1325,$D$6:$D$3005,$D1325)&gt;1,"同じ月の請求が重複しています／",""),"")&amp;IF(AND(N($E1325)&gt;0,$Z1325&lt;&gt;"",$Z1325&lt;&gt;"×",$AC1325=0,$AB1325=""),"計算額が下限以下のため不支給／",""))</f>
        <v/>
      </c>
      <c r="AL1325" s="12" t="n"/>
      <c r="AM1325" s="14">
        <f>IF($AD1325="保留中",COUNTIF($AD$6:$AD1325,"保留中"),"")</f>
        <v/>
      </c>
      <c r="AN1325" s="14">
        <f>IF($AO1325="","",IF(SUMPRODUCT(MAX((職員マスタ!$A$6:$A$405=$B1325)*(((職員マスタ!$G$6:$G$405="")+(職員マスタ!$G$6:$G$405&lt;=EOMONTH($AO1325,0)))&gt;0)*(((職員マスタ!$H$6:$H$405="")+(職員マスタ!$H$6:$H$405&gt;=$AO1325))&gt;0)*(ROW(職員マスタ!$A$6:$A$405)-5)))&gt;0,SUMPRODUCT(MAX((職員マスタ!$A$6:$A$405=$B1325)*(((職員マスタ!$G$6:$G$405="")+(職員マスタ!$G$6:$G$405&lt;=EOMONTH($AO1325,0)))&gt;0)*(((職員マスタ!$H$6:$H$405="")+(職員マスタ!$H$6:$H$405&gt;=$AO1325))&gt;0)*(ROW(職員マスタ!$A$6:$A$405)-5))),IFERROR(MATCH($B1325,職員マスタ!$A$6:$A$405,0),"")))</f>
        <v/>
      </c>
      <c r="AO1325" s="16">
        <f>IF(OR($B1325="",$C1325="",$D1325=""),"",DATE($C1325+2018,$D1325,1))</f>
        <v/>
      </c>
    </row>
    <row r="1326">
      <c r="A1326" s="11" t="n"/>
      <c r="B1326" s="12" t="n"/>
      <c r="C1326" s="12" t="n"/>
      <c r="D1326" s="12" t="n"/>
      <c r="E1326" s="13" t="n"/>
      <c r="F1326" s="12" t="n"/>
      <c r="G1326" s="13" t="n"/>
      <c r="H1326" s="12" t="n"/>
      <c r="I1326" s="12" t="n"/>
      <c r="J1326" s="12" t="n"/>
      <c r="K1326" s="12" t="n"/>
      <c r="L1326" s="11" t="n"/>
      <c r="M1326" s="11" t="n"/>
      <c r="N1326" s="11" t="n"/>
      <c r="O1326" s="11" t="n"/>
      <c r="P1326" s="12" t="n"/>
      <c r="Q1326" s="11" t="n"/>
      <c r="R1326" s="12" t="n"/>
      <c r="S1326" s="11" t="n"/>
      <c r="T1326" s="12" t="n"/>
      <c r="U1326" s="12" t="n"/>
      <c r="V1326" s="14">
        <f>IF($AN1326="",IF($B1326="","",$H1326),IF(INDEX(職員マスタ!$B$6:$B$405,$AN1326)="",$H1326,INDEX(職員マスタ!$B$6:$B$405,$AN1326)))</f>
        <v/>
      </c>
      <c r="W1326" s="14">
        <f>IF($AN1326="",IF($B1326="","",$R1326),IF(INDEX(職員マスタ!$C$6:$C$405,$AN1326)="",$R1326,INDEX(職員マスタ!$C$6:$C$405,$AN1326)))</f>
        <v/>
      </c>
      <c r="X1326" s="14">
        <f>IF($AO1326="","","R"&amp;$C1326&amp;"."&amp;$D1326)</f>
        <v/>
      </c>
      <c r="Y1326" s="15">
        <f>IF($AN1326="","",IF(INDEX(職員マスタ!$K$6:$K$405,$AN1326)="","",INDEX(職員マスタ!$K$6:$K$405,$AN1326)))</f>
        <v/>
      </c>
      <c r="Z1326" s="14">
        <f>IF(OR($E1326="",$Y1326=""),"",IF($E1326&gt;=$Y1326,"×",IF($E1326&gt;=$Y1326*設定!$C$5,"△","○")))</f>
        <v/>
      </c>
      <c r="AA1326" s="15">
        <f>IF($Z1326="","",IF($Z1326="×",0,IF($Z1326="○",ROUNDDOWN($E1326*設定!$C$4,0),ROUNDDOWN($E1326*ROUND((9*$Y1326-9*$E1326)/(10*$E1326),4),0))))</f>
        <v/>
      </c>
      <c r="AB1326" s="13" t="n"/>
      <c r="AC1326" s="15">
        <f>IF($B1326="","",IF($AB1326&lt;&gt;"",$AB1326,IF($AA1326="","",IF($AA1326&lt;=設定!$C$3,0,$AA1326))))</f>
        <v/>
      </c>
      <c r="AD1326" s="14">
        <f>IF($B1326="","",IF(AND($AE1326&lt;&gt;"",$AG1326="",$AJ1326=""),"保留中",IF($AJ1326&lt;&gt;"",IF(N($AC1326)&gt;0,"支給済","不支給"),IF($AC1326="","要確認",IF($AC1326=0,"不支給","未処理")))))</f>
        <v/>
      </c>
      <c r="AE1326" s="12" t="n"/>
      <c r="AF1326" s="11" t="n"/>
      <c r="AG1326" s="11" t="n"/>
      <c r="AH1326" s="11" t="n"/>
      <c r="AI1326" s="14">
        <f>IF(AND($AD1326="保留中",$AF1326&lt;&gt;""),TODAY()-$AF1326,"")</f>
        <v/>
      </c>
      <c r="AJ1326" s="12" t="n"/>
      <c r="AK1326" s="14">
        <f>IF($B1326="","",IF($AO1326="","対象年月が未入力／","")&amp;IF($B1326="","",IF($AN1326="","職員マスタに未登録の職員番号／",IF($Y1326="","標準報酬月額が未登録／","")&amp;IF(AND($AO1326&lt;&gt;"",OR(AND(INDEX(職員マスタ!$G$6:$G$405,$AN1326)&lt;&gt;"",INDEX(職員マスタ!$G$6:$G$405,$AN1326)&gt;EOMONTH($AO1326,0)),AND(INDEX(職員マスタ!$H$6:$H$405,$AN1326)&lt;&gt;"",INDEX(職員マスタ!$H$6:$H$405,$AN1326)&lt;$AO1326))),"対象月が時短期間外／","")&amp;IF(AND(INDEX(職員マスタ!$F$6:$F$405,$AN1326)&lt;&gt;"",$AO1326&lt;&gt;"",INDEX(職員マスタ!$F$6:$F$405,$AN1326)&lt;$AO1326),"対象月に子が2歳到達済／","")&amp;IF(AND($H1326&lt;&gt;"",INDEX(職員マスタ!$B$6:$B$405,$AN1326)&lt;&gt;"",SUBSTITUTE(SUBSTITUTE($H1326," ","")," ","")&lt;&gt;SUBSTITUTE(SUBSTITUTE(INDEX(職員マスタ!$B$6:$B$405,$AN1326)," ","")," ","")),"氏名がマスタと相違／","")&amp;IF(AND($Q1326&lt;&gt;"",INDEX(職員マスタ!$E$6:$E$405,$AN1326)&lt;&gt;"",$Q1326&lt;&gt;INDEX(職員マスタ!$E$6:$E$405,$AN1326)),"子の生年月日がマスタと相違／","")&amp;IF(AND($L1326&lt;&gt;"",INDEX(職員マスタ!$G$6:$G$405,$AN1326)&lt;&gt;"",$L1326&lt;&gt;INDEX(職員マスタ!$G$6:$G$405,$AN1326)),"時短開始日がマスタと相違／","")&amp;IF(AND($M1326&lt;&gt;"",INDEX(職員マスタ!$H$6:$H$405,$AN1326)&lt;&gt;"",$M1326&lt;&gt;INDEX(職員マスタ!$H$6:$H$405,$AN1326)),"時短終了日がマスタと相違／","")))&amp;IF(AND($B1326&lt;&gt;"",$E1326=""),"報酬額が未入力／","")&amp;IF(N($U1326)&gt;0,"申請書に入力エラーが残っています／","")&amp;IF(AND($B1326&lt;&gt;"",$AO1326&lt;&gt;""),IF(COUNTIFS($B$6:$B$3005,$B1326,$C$6:$C$3005,$C1326,$D$6:$D$3005,$D1326)&gt;1,"同じ月の請求が重複しています／",""),"")&amp;IF(AND(N($E1326)&gt;0,$Z1326&lt;&gt;"",$Z1326&lt;&gt;"×",$AC1326=0,$AB1326=""),"計算額が下限以下のため不支給／",""))</f>
        <v/>
      </c>
      <c r="AL1326" s="12" t="n"/>
      <c r="AM1326" s="14">
        <f>IF($AD1326="保留中",COUNTIF($AD$6:$AD1326,"保留中"),"")</f>
        <v/>
      </c>
      <c r="AN1326" s="14">
        <f>IF($AO1326="","",IF(SUMPRODUCT(MAX((職員マスタ!$A$6:$A$405=$B1326)*(((職員マスタ!$G$6:$G$405="")+(職員マスタ!$G$6:$G$405&lt;=EOMONTH($AO1326,0)))&gt;0)*(((職員マスタ!$H$6:$H$405="")+(職員マスタ!$H$6:$H$405&gt;=$AO1326))&gt;0)*(ROW(職員マスタ!$A$6:$A$405)-5)))&gt;0,SUMPRODUCT(MAX((職員マスタ!$A$6:$A$405=$B1326)*(((職員マスタ!$G$6:$G$405="")+(職員マスタ!$G$6:$G$405&lt;=EOMONTH($AO1326,0)))&gt;0)*(((職員マスタ!$H$6:$H$405="")+(職員マスタ!$H$6:$H$405&gt;=$AO1326))&gt;0)*(ROW(職員マスタ!$A$6:$A$405)-5))),IFERROR(MATCH($B1326,職員マスタ!$A$6:$A$405,0),"")))</f>
        <v/>
      </c>
      <c r="AO1326" s="16">
        <f>IF(OR($B1326="",$C1326="",$D1326=""),"",DATE($C1326+2018,$D1326,1))</f>
        <v/>
      </c>
    </row>
    <row r="1327">
      <c r="A1327" s="11" t="n"/>
      <c r="B1327" s="12" t="n"/>
      <c r="C1327" s="12" t="n"/>
      <c r="D1327" s="12" t="n"/>
      <c r="E1327" s="13" t="n"/>
      <c r="F1327" s="12" t="n"/>
      <c r="G1327" s="13" t="n"/>
      <c r="H1327" s="12" t="n"/>
      <c r="I1327" s="12" t="n"/>
      <c r="J1327" s="12" t="n"/>
      <c r="K1327" s="12" t="n"/>
      <c r="L1327" s="11" t="n"/>
      <c r="M1327" s="11" t="n"/>
      <c r="N1327" s="11" t="n"/>
      <c r="O1327" s="11" t="n"/>
      <c r="P1327" s="12" t="n"/>
      <c r="Q1327" s="11" t="n"/>
      <c r="R1327" s="12" t="n"/>
      <c r="S1327" s="11" t="n"/>
      <c r="T1327" s="12" t="n"/>
      <c r="U1327" s="12" t="n"/>
      <c r="V1327" s="14">
        <f>IF($AN1327="",IF($B1327="","",$H1327),IF(INDEX(職員マスタ!$B$6:$B$405,$AN1327)="",$H1327,INDEX(職員マスタ!$B$6:$B$405,$AN1327)))</f>
        <v/>
      </c>
      <c r="W1327" s="14">
        <f>IF($AN1327="",IF($B1327="","",$R1327),IF(INDEX(職員マスタ!$C$6:$C$405,$AN1327)="",$R1327,INDEX(職員マスタ!$C$6:$C$405,$AN1327)))</f>
        <v/>
      </c>
      <c r="X1327" s="14">
        <f>IF($AO1327="","","R"&amp;$C1327&amp;"."&amp;$D1327)</f>
        <v/>
      </c>
      <c r="Y1327" s="15">
        <f>IF($AN1327="","",IF(INDEX(職員マスタ!$K$6:$K$405,$AN1327)="","",INDEX(職員マスタ!$K$6:$K$405,$AN1327)))</f>
        <v/>
      </c>
      <c r="Z1327" s="14">
        <f>IF(OR($E1327="",$Y1327=""),"",IF($E1327&gt;=$Y1327,"×",IF($E1327&gt;=$Y1327*設定!$C$5,"△","○")))</f>
        <v/>
      </c>
      <c r="AA1327" s="15">
        <f>IF($Z1327="","",IF($Z1327="×",0,IF($Z1327="○",ROUNDDOWN($E1327*設定!$C$4,0),ROUNDDOWN($E1327*ROUND((9*$Y1327-9*$E1327)/(10*$E1327),4),0))))</f>
        <v/>
      </c>
      <c r="AB1327" s="13" t="n"/>
      <c r="AC1327" s="15">
        <f>IF($B1327="","",IF($AB1327&lt;&gt;"",$AB1327,IF($AA1327="","",IF($AA1327&lt;=設定!$C$3,0,$AA1327))))</f>
        <v/>
      </c>
      <c r="AD1327" s="14">
        <f>IF($B1327="","",IF(AND($AE1327&lt;&gt;"",$AG1327="",$AJ1327=""),"保留中",IF($AJ1327&lt;&gt;"",IF(N($AC1327)&gt;0,"支給済","不支給"),IF($AC1327="","要確認",IF($AC1327=0,"不支給","未処理")))))</f>
        <v/>
      </c>
      <c r="AE1327" s="12" t="n"/>
      <c r="AF1327" s="11" t="n"/>
      <c r="AG1327" s="11" t="n"/>
      <c r="AH1327" s="11" t="n"/>
      <c r="AI1327" s="14">
        <f>IF(AND($AD1327="保留中",$AF1327&lt;&gt;""),TODAY()-$AF1327,"")</f>
        <v/>
      </c>
      <c r="AJ1327" s="12" t="n"/>
      <c r="AK1327" s="14">
        <f>IF($B1327="","",IF($AO1327="","対象年月が未入力／","")&amp;IF($B1327="","",IF($AN1327="","職員マスタに未登録の職員番号／",IF($Y1327="","標準報酬月額が未登録／","")&amp;IF(AND($AO1327&lt;&gt;"",OR(AND(INDEX(職員マスタ!$G$6:$G$405,$AN1327)&lt;&gt;"",INDEX(職員マスタ!$G$6:$G$405,$AN1327)&gt;EOMONTH($AO1327,0)),AND(INDEX(職員マスタ!$H$6:$H$405,$AN1327)&lt;&gt;"",INDEX(職員マスタ!$H$6:$H$405,$AN1327)&lt;$AO1327))),"対象月が時短期間外／","")&amp;IF(AND(INDEX(職員マスタ!$F$6:$F$405,$AN1327)&lt;&gt;"",$AO1327&lt;&gt;"",INDEX(職員マスタ!$F$6:$F$405,$AN1327)&lt;$AO1327),"対象月に子が2歳到達済／","")&amp;IF(AND($H1327&lt;&gt;"",INDEX(職員マスタ!$B$6:$B$405,$AN1327)&lt;&gt;"",SUBSTITUTE(SUBSTITUTE($H1327," ","")," ","")&lt;&gt;SUBSTITUTE(SUBSTITUTE(INDEX(職員マスタ!$B$6:$B$405,$AN1327)," ","")," ","")),"氏名がマスタと相違／","")&amp;IF(AND($Q1327&lt;&gt;"",INDEX(職員マスタ!$E$6:$E$405,$AN1327)&lt;&gt;"",$Q1327&lt;&gt;INDEX(職員マスタ!$E$6:$E$405,$AN1327)),"子の生年月日がマスタと相違／","")&amp;IF(AND($L1327&lt;&gt;"",INDEX(職員マスタ!$G$6:$G$405,$AN1327)&lt;&gt;"",$L1327&lt;&gt;INDEX(職員マスタ!$G$6:$G$405,$AN1327)),"時短開始日がマスタと相違／","")&amp;IF(AND($M1327&lt;&gt;"",INDEX(職員マスタ!$H$6:$H$405,$AN1327)&lt;&gt;"",$M1327&lt;&gt;INDEX(職員マスタ!$H$6:$H$405,$AN1327)),"時短終了日がマスタと相違／","")))&amp;IF(AND($B1327&lt;&gt;"",$E1327=""),"報酬額が未入力／","")&amp;IF(N($U1327)&gt;0,"申請書に入力エラーが残っています／","")&amp;IF(AND($B1327&lt;&gt;"",$AO1327&lt;&gt;""),IF(COUNTIFS($B$6:$B$3005,$B1327,$C$6:$C$3005,$C1327,$D$6:$D$3005,$D1327)&gt;1,"同じ月の請求が重複しています／",""),"")&amp;IF(AND(N($E1327)&gt;0,$Z1327&lt;&gt;"",$Z1327&lt;&gt;"×",$AC1327=0,$AB1327=""),"計算額が下限以下のため不支給／",""))</f>
        <v/>
      </c>
      <c r="AL1327" s="12" t="n"/>
      <c r="AM1327" s="14">
        <f>IF($AD1327="保留中",COUNTIF($AD$6:$AD1327,"保留中"),"")</f>
        <v/>
      </c>
      <c r="AN1327" s="14">
        <f>IF($AO1327="","",IF(SUMPRODUCT(MAX((職員マスタ!$A$6:$A$405=$B1327)*(((職員マスタ!$G$6:$G$405="")+(職員マスタ!$G$6:$G$405&lt;=EOMONTH($AO1327,0)))&gt;0)*(((職員マスタ!$H$6:$H$405="")+(職員マスタ!$H$6:$H$405&gt;=$AO1327))&gt;0)*(ROW(職員マスタ!$A$6:$A$405)-5)))&gt;0,SUMPRODUCT(MAX((職員マスタ!$A$6:$A$405=$B1327)*(((職員マスタ!$G$6:$G$405="")+(職員マスタ!$G$6:$G$405&lt;=EOMONTH($AO1327,0)))&gt;0)*(((職員マスタ!$H$6:$H$405="")+(職員マスタ!$H$6:$H$405&gt;=$AO1327))&gt;0)*(ROW(職員マスタ!$A$6:$A$405)-5))),IFERROR(MATCH($B1327,職員マスタ!$A$6:$A$405,0),"")))</f>
        <v/>
      </c>
      <c r="AO1327" s="16">
        <f>IF(OR($B1327="",$C1327="",$D1327=""),"",DATE($C1327+2018,$D1327,1))</f>
        <v/>
      </c>
    </row>
    <row r="1328">
      <c r="A1328" s="11" t="n"/>
      <c r="B1328" s="12" t="n"/>
      <c r="C1328" s="12" t="n"/>
      <c r="D1328" s="12" t="n"/>
      <c r="E1328" s="13" t="n"/>
      <c r="F1328" s="12" t="n"/>
      <c r="G1328" s="13" t="n"/>
      <c r="H1328" s="12" t="n"/>
      <c r="I1328" s="12" t="n"/>
      <c r="J1328" s="12" t="n"/>
      <c r="K1328" s="12" t="n"/>
      <c r="L1328" s="11" t="n"/>
      <c r="M1328" s="11" t="n"/>
      <c r="N1328" s="11" t="n"/>
      <c r="O1328" s="11" t="n"/>
      <c r="P1328" s="12" t="n"/>
      <c r="Q1328" s="11" t="n"/>
      <c r="R1328" s="12" t="n"/>
      <c r="S1328" s="11" t="n"/>
      <c r="T1328" s="12" t="n"/>
      <c r="U1328" s="12" t="n"/>
      <c r="V1328" s="14">
        <f>IF($AN1328="",IF($B1328="","",$H1328),IF(INDEX(職員マスタ!$B$6:$B$405,$AN1328)="",$H1328,INDEX(職員マスタ!$B$6:$B$405,$AN1328)))</f>
        <v/>
      </c>
      <c r="W1328" s="14">
        <f>IF($AN1328="",IF($B1328="","",$R1328),IF(INDEX(職員マスタ!$C$6:$C$405,$AN1328)="",$R1328,INDEX(職員マスタ!$C$6:$C$405,$AN1328)))</f>
        <v/>
      </c>
      <c r="X1328" s="14">
        <f>IF($AO1328="","","R"&amp;$C1328&amp;"."&amp;$D1328)</f>
        <v/>
      </c>
      <c r="Y1328" s="15">
        <f>IF($AN1328="","",IF(INDEX(職員マスタ!$K$6:$K$405,$AN1328)="","",INDEX(職員マスタ!$K$6:$K$405,$AN1328)))</f>
        <v/>
      </c>
      <c r="Z1328" s="14">
        <f>IF(OR($E1328="",$Y1328=""),"",IF($E1328&gt;=$Y1328,"×",IF($E1328&gt;=$Y1328*設定!$C$5,"△","○")))</f>
        <v/>
      </c>
      <c r="AA1328" s="15">
        <f>IF($Z1328="","",IF($Z1328="×",0,IF($Z1328="○",ROUNDDOWN($E1328*設定!$C$4,0),ROUNDDOWN($E1328*ROUND((9*$Y1328-9*$E1328)/(10*$E1328),4),0))))</f>
        <v/>
      </c>
      <c r="AB1328" s="13" t="n"/>
      <c r="AC1328" s="15">
        <f>IF($B1328="","",IF($AB1328&lt;&gt;"",$AB1328,IF($AA1328="","",IF($AA1328&lt;=設定!$C$3,0,$AA1328))))</f>
        <v/>
      </c>
      <c r="AD1328" s="14">
        <f>IF($B1328="","",IF(AND($AE1328&lt;&gt;"",$AG1328="",$AJ1328=""),"保留中",IF($AJ1328&lt;&gt;"",IF(N($AC1328)&gt;0,"支給済","不支給"),IF($AC1328="","要確認",IF($AC1328=0,"不支給","未処理")))))</f>
        <v/>
      </c>
      <c r="AE1328" s="12" t="n"/>
      <c r="AF1328" s="11" t="n"/>
      <c r="AG1328" s="11" t="n"/>
      <c r="AH1328" s="11" t="n"/>
      <c r="AI1328" s="14">
        <f>IF(AND($AD1328="保留中",$AF1328&lt;&gt;""),TODAY()-$AF1328,"")</f>
        <v/>
      </c>
      <c r="AJ1328" s="12" t="n"/>
      <c r="AK1328" s="14">
        <f>IF($B1328="","",IF($AO1328="","対象年月が未入力／","")&amp;IF($B1328="","",IF($AN1328="","職員マスタに未登録の職員番号／",IF($Y1328="","標準報酬月額が未登録／","")&amp;IF(AND($AO1328&lt;&gt;"",OR(AND(INDEX(職員マスタ!$G$6:$G$405,$AN1328)&lt;&gt;"",INDEX(職員マスタ!$G$6:$G$405,$AN1328)&gt;EOMONTH($AO1328,0)),AND(INDEX(職員マスタ!$H$6:$H$405,$AN1328)&lt;&gt;"",INDEX(職員マスタ!$H$6:$H$405,$AN1328)&lt;$AO1328))),"対象月が時短期間外／","")&amp;IF(AND(INDEX(職員マスタ!$F$6:$F$405,$AN1328)&lt;&gt;"",$AO1328&lt;&gt;"",INDEX(職員マスタ!$F$6:$F$405,$AN1328)&lt;$AO1328),"対象月に子が2歳到達済／","")&amp;IF(AND($H1328&lt;&gt;"",INDEX(職員マスタ!$B$6:$B$405,$AN1328)&lt;&gt;"",SUBSTITUTE(SUBSTITUTE($H1328," ","")," ","")&lt;&gt;SUBSTITUTE(SUBSTITUTE(INDEX(職員マスタ!$B$6:$B$405,$AN1328)," ","")," ","")),"氏名がマスタと相違／","")&amp;IF(AND($Q1328&lt;&gt;"",INDEX(職員マスタ!$E$6:$E$405,$AN1328)&lt;&gt;"",$Q1328&lt;&gt;INDEX(職員マスタ!$E$6:$E$405,$AN1328)),"子の生年月日がマスタと相違／","")&amp;IF(AND($L1328&lt;&gt;"",INDEX(職員マスタ!$G$6:$G$405,$AN1328)&lt;&gt;"",$L1328&lt;&gt;INDEX(職員マスタ!$G$6:$G$405,$AN1328)),"時短開始日がマスタと相違／","")&amp;IF(AND($M1328&lt;&gt;"",INDEX(職員マスタ!$H$6:$H$405,$AN1328)&lt;&gt;"",$M1328&lt;&gt;INDEX(職員マスタ!$H$6:$H$405,$AN1328)),"時短終了日がマスタと相違／","")))&amp;IF(AND($B1328&lt;&gt;"",$E1328=""),"報酬額が未入力／","")&amp;IF(N($U1328)&gt;0,"申請書に入力エラーが残っています／","")&amp;IF(AND($B1328&lt;&gt;"",$AO1328&lt;&gt;""),IF(COUNTIFS($B$6:$B$3005,$B1328,$C$6:$C$3005,$C1328,$D$6:$D$3005,$D1328)&gt;1,"同じ月の請求が重複しています／",""),"")&amp;IF(AND(N($E1328)&gt;0,$Z1328&lt;&gt;"",$Z1328&lt;&gt;"×",$AC1328=0,$AB1328=""),"計算額が下限以下のため不支給／",""))</f>
        <v/>
      </c>
      <c r="AL1328" s="12" t="n"/>
      <c r="AM1328" s="14">
        <f>IF($AD1328="保留中",COUNTIF($AD$6:$AD1328,"保留中"),"")</f>
        <v/>
      </c>
      <c r="AN1328" s="14">
        <f>IF($AO1328="","",IF(SUMPRODUCT(MAX((職員マスタ!$A$6:$A$405=$B1328)*(((職員マスタ!$G$6:$G$405="")+(職員マスタ!$G$6:$G$405&lt;=EOMONTH($AO1328,0)))&gt;0)*(((職員マスタ!$H$6:$H$405="")+(職員マスタ!$H$6:$H$405&gt;=$AO1328))&gt;0)*(ROW(職員マスタ!$A$6:$A$405)-5)))&gt;0,SUMPRODUCT(MAX((職員マスタ!$A$6:$A$405=$B1328)*(((職員マスタ!$G$6:$G$405="")+(職員マスタ!$G$6:$G$405&lt;=EOMONTH($AO1328,0)))&gt;0)*(((職員マスタ!$H$6:$H$405="")+(職員マスタ!$H$6:$H$405&gt;=$AO1328))&gt;0)*(ROW(職員マスタ!$A$6:$A$405)-5))),IFERROR(MATCH($B1328,職員マスタ!$A$6:$A$405,0),"")))</f>
        <v/>
      </c>
      <c r="AO1328" s="16">
        <f>IF(OR($B1328="",$C1328="",$D1328=""),"",DATE($C1328+2018,$D1328,1))</f>
        <v/>
      </c>
    </row>
    <row r="1329">
      <c r="A1329" s="11" t="n"/>
      <c r="B1329" s="12" t="n"/>
      <c r="C1329" s="12" t="n"/>
      <c r="D1329" s="12" t="n"/>
      <c r="E1329" s="13" t="n"/>
      <c r="F1329" s="12" t="n"/>
      <c r="G1329" s="13" t="n"/>
      <c r="H1329" s="12" t="n"/>
      <c r="I1329" s="12" t="n"/>
      <c r="J1329" s="12" t="n"/>
      <c r="K1329" s="12" t="n"/>
      <c r="L1329" s="11" t="n"/>
      <c r="M1329" s="11" t="n"/>
      <c r="N1329" s="11" t="n"/>
      <c r="O1329" s="11" t="n"/>
      <c r="P1329" s="12" t="n"/>
      <c r="Q1329" s="11" t="n"/>
      <c r="R1329" s="12" t="n"/>
      <c r="S1329" s="11" t="n"/>
      <c r="T1329" s="12" t="n"/>
      <c r="U1329" s="12" t="n"/>
      <c r="V1329" s="14">
        <f>IF($AN1329="",IF($B1329="","",$H1329),IF(INDEX(職員マスタ!$B$6:$B$405,$AN1329)="",$H1329,INDEX(職員マスタ!$B$6:$B$405,$AN1329)))</f>
        <v/>
      </c>
      <c r="W1329" s="14">
        <f>IF($AN1329="",IF($B1329="","",$R1329),IF(INDEX(職員マスタ!$C$6:$C$405,$AN1329)="",$R1329,INDEX(職員マスタ!$C$6:$C$405,$AN1329)))</f>
        <v/>
      </c>
      <c r="X1329" s="14">
        <f>IF($AO1329="","","R"&amp;$C1329&amp;"."&amp;$D1329)</f>
        <v/>
      </c>
      <c r="Y1329" s="15">
        <f>IF($AN1329="","",IF(INDEX(職員マスタ!$K$6:$K$405,$AN1329)="","",INDEX(職員マスタ!$K$6:$K$405,$AN1329)))</f>
        <v/>
      </c>
      <c r="Z1329" s="14">
        <f>IF(OR($E1329="",$Y1329=""),"",IF($E1329&gt;=$Y1329,"×",IF($E1329&gt;=$Y1329*設定!$C$5,"△","○")))</f>
        <v/>
      </c>
      <c r="AA1329" s="15">
        <f>IF($Z1329="","",IF($Z1329="×",0,IF($Z1329="○",ROUNDDOWN($E1329*設定!$C$4,0),ROUNDDOWN($E1329*ROUND((9*$Y1329-9*$E1329)/(10*$E1329),4),0))))</f>
        <v/>
      </c>
      <c r="AB1329" s="13" t="n"/>
      <c r="AC1329" s="15">
        <f>IF($B1329="","",IF($AB1329&lt;&gt;"",$AB1329,IF($AA1329="","",IF($AA1329&lt;=設定!$C$3,0,$AA1329))))</f>
        <v/>
      </c>
      <c r="AD1329" s="14">
        <f>IF($B1329="","",IF(AND($AE1329&lt;&gt;"",$AG1329="",$AJ1329=""),"保留中",IF($AJ1329&lt;&gt;"",IF(N($AC1329)&gt;0,"支給済","不支給"),IF($AC1329="","要確認",IF($AC1329=0,"不支給","未処理")))))</f>
        <v/>
      </c>
      <c r="AE1329" s="12" t="n"/>
      <c r="AF1329" s="11" t="n"/>
      <c r="AG1329" s="11" t="n"/>
      <c r="AH1329" s="11" t="n"/>
      <c r="AI1329" s="14">
        <f>IF(AND($AD1329="保留中",$AF1329&lt;&gt;""),TODAY()-$AF1329,"")</f>
        <v/>
      </c>
      <c r="AJ1329" s="12" t="n"/>
      <c r="AK1329" s="14">
        <f>IF($B1329="","",IF($AO1329="","対象年月が未入力／","")&amp;IF($B1329="","",IF($AN1329="","職員マスタに未登録の職員番号／",IF($Y1329="","標準報酬月額が未登録／","")&amp;IF(AND($AO1329&lt;&gt;"",OR(AND(INDEX(職員マスタ!$G$6:$G$405,$AN1329)&lt;&gt;"",INDEX(職員マスタ!$G$6:$G$405,$AN1329)&gt;EOMONTH($AO1329,0)),AND(INDEX(職員マスタ!$H$6:$H$405,$AN1329)&lt;&gt;"",INDEX(職員マスタ!$H$6:$H$405,$AN1329)&lt;$AO1329))),"対象月が時短期間外／","")&amp;IF(AND(INDEX(職員マスタ!$F$6:$F$405,$AN1329)&lt;&gt;"",$AO1329&lt;&gt;"",INDEX(職員マスタ!$F$6:$F$405,$AN1329)&lt;$AO1329),"対象月に子が2歳到達済／","")&amp;IF(AND($H1329&lt;&gt;"",INDEX(職員マスタ!$B$6:$B$405,$AN1329)&lt;&gt;"",SUBSTITUTE(SUBSTITUTE($H1329," ","")," ","")&lt;&gt;SUBSTITUTE(SUBSTITUTE(INDEX(職員マスタ!$B$6:$B$405,$AN1329)," ","")," ","")),"氏名がマスタと相違／","")&amp;IF(AND($Q1329&lt;&gt;"",INDEX(職員マスタ!$E$6:$E$405,$AN1329)&lt;&gt;"",$Q1329&lt;&gt;INDEX(職員マスタ!$E$6:$E$405,$AN1329)),"子の生年月日がマスタと相違／","")&amp;IF(AND($L1329&lt;&gt;"",INDEX(職員マスタ!$G$6:$G$405,$AN1329)&lt;&gt;"",$L1329&lt;&gt;INDEX(職員マスタ!$G$6:$G$405,$AN1329)),"時短開始日がマスタと相違／","")&amp;IF(AND($M1329&lt;&gt;"",INDEX(職員マスタ!$H$6:$H$405,$AN1329)&lt;&gt;"",$M1329&lt;&gt;INDEX(職員マスタ!$H$6:$H$405,$AN1329)),"時短終了日がマスタと相違／","")))&amp;IF(AND($B1329&lt;&gt;"",$E1329=""),"報酬額が未入力／","")&amp;IF(N($U1329)&gt;0,"申請書に入力エラーが残っています／","")&amp;IF(AND($B1329&lt;&gt;"",$AO1329&lt;&gt;""),IF(COUNTIFS($B$6:$B$3005,$B1329,$C$6:$C$3005,$C1329,$D$6:$D$3005,$D1329)&gt;1,"同じ月の請求が重複しています／",""),"")&amp;IF(AND(N($E1329)&gt;0,$Z1329&lt;&gt;"",$Z1329&lt;&gt;"×",$AC1329=0,$AB1329=""),"計算額が下限以下のため不支給／",""))</f>
        <v/>
      </c>
      <c r="AL1329" s="12" t="n"/>
      <c r="AM1329" s="14">
        <f>IF($AD1329="保留中",COUNTIF($AD$6:$AD1329,"保留中"),"")</f>
        <v/>
      </c>
      <c r="AN1329" s="14">
        <f>IF($AO1329="","",IF(SUMPRODUCT(MAX((職員マスタ!$A$6:$A$405=$B1329)*(((職員マスタ!$G$6:$G$405="")+(職員マスタ!$G$6:$G$405&lt;=EOMONTH($AO1329,0)))&gt;0)*(((職員マスタ!$H$6:$H$405="")+(職員マスタ!$H$6:$H$405&gt;=$AO1329))&gt;0)*(ROW(職員マスタ!$A$6:$A$405)-5)))&gt;0,SUMPRODUCT(MAX((職員マスタ!$A$6:$A$405=$B1329)*(((職員マスタ!$G$6:$G$405="")+(職員マスタ!$G$6:$G$405&lt;=EOMONTH($AO1329,0)))&gt;0)*(((職員マスタ!$H$6:$H$405="")+(職員マスタ!$H$6:$H$405&gt;=$AO1329))&gt;0)*(ROW(職員マスタ!$A$6:$A$405)-5))),IFERROR(MATCH($B1329,職員マスタ!$A$6:$A$405,0),"")))</f>
        <v/>
      </c>
      <c r="AO1329" s="16">
        <f>IF(OR($B1329="",$C1329="",$D1329=""),"",DATE($C1329+2018,$D1329,1))</f>
        <v/>
      </c>
    </row>
    <row r="1330">
      <c r="A1330" s="11" t="n"/>
      <c r="B1330" s="12" t="n"/>
      <c r="C1330" s="12" t="n"/>
      <c r="D1330" s="12" t="n"/>
      <c r="E1330" s="13" t="n"/>
      <c r="F1330" s="12" t="n"/>
      <c r="G1330" s="13" t="n"/>
      <c r="H1330" s="12" t="n"/>
      <c r="I1330" s="12" t="n"/>
      <c r="J1330" s="12" t="n"/>
      <c r="K1330" s="12" t="n"/>
      <c r="L1330" s="11" t="n"/>
      <c r="M1330" s="11" t="n"/>
      <c r="N1330" s="11" t="n"/>
      <c r="O1330" s="11" t="n"/>
      <c r="P1330" s="12" t="n"/>
      <c r="Q1330" s="11" t="n"/>
      <c r="R1330" s="12" t="n"/>
      <c r="S1330" s="11" t="n"/>
      <c r="T1330" s="12" t="n"/>
      <c r="U1330" s="12" t="n"/>
      <c r="V1330" s="14">
        <f>IF($AN1330="",IF($B1330="","",$H1330),IF(INDEX(職員マスタ!$B$6:$B$405,$AN1330)="",$H1330,INDEX(職員マスタ!$B$6:$B$405,$AN1330)))</f>
        <v/>
      </c>
      <c r="W1330" s="14">
        <f>IF($AN1330="",IF($B1330="","",$R1330),IF(INDEX(職員マスタ!$C$6:$C$405,$AN1330)="",$R1330,INDEX(職員マスタ!$C$6:$C$405,$AN1330)))</f>
        <v/>
      </c>
      <c r="X1330" s="14">
        <f>IF($AO1330="","","R"&amp;$C1330&amp;"."&amp;$D1330)</f>
        <v/>
      </c>
      <c r="Y1330" s="15">
        <f>IF($AN1330="","",IF(INDEX(職員マスタ!$K$6:$K$405,$AN1330)="","",INDEX(職員マスタ!$K$6:$K$405,$AN1330)))</f>
        <v/>
      </c>
      <c r="Z1330" s="14">
        <f>IF(OR($E1330="",$Y1330=""),"",IF($E1330&gt;=$Y1330,"×",IF($E1330&gt;=$Y1330*設定!$C$5,"△","○")))</f>
        <v/>
      </c>
      <c r="AA1330" s="15">
        <f>IF($Z1330="","",IF($Z1330="×",0,IF($Z1330="○",ROUNDDOWN($E1330*設定!$C$4,0),ROUNDDOWN($E1330*ROUND((9*$Y1330-9*$E1330)/(10*$E1330),4),0))))</f>
        <v/>
      </c>
      <c r="AB1330" s="13" t="n"/>
      <c r="AC1330" s="15">
        <f>IF($B1330="","",IF($AB1330&lt;&gt;"",$AB1330,IF($AA1330="","",IF($AA1330&lt;=設定!$C$3,0,$AA1330))))</f>
        <v/>
      </c>
      <c r="AD1330" s="14">
        <f>IF($B1330="","",IF(AND($AE1330&lt;&gt;"",$AG1330="",$AJ1330=""),"保留中",IF($AJ1330&lt;&gt;"",IF(N($AC1330)&gt;0,"支給済","不支給"),IF($AC1330="","要確認",IF($AC1330=0,"不支給","未処理")))))</f>
        <v/>
      </c>
      <c r="AE1330" s="12" t="n"/>
      <c r="AF1330" s="11" t="n"/>
      <c r="AG1330" s="11" t="n"/>
      <c r="AH1330" s="11" t="n"/>
      <c r="AI1330" s="14">
        <f>IF(AND($AD1330="保留中",$AF1330&lt;&gt;""),TODAY()-$AF1330,"")</f>
        <v/>
      </c>
      <c r="AJ1330" s="12" t="n"/>
      <c r="AK1330" s="14">
        <f>IF($B1330="","",IF($AO1330="","対象年月が未入力／","")&amp;IF($B1330="","",IF($AN1330="","職員マスタに未登録の職員番号／",IF($Y1330="","標準報酬月額が未登録／","")&amp;IF(AND($AO1330&lt;&gt;"",OR(AND(INDEX(職員マスタ!$G$6:$G$405,$AN1330)&lt;&gt;"",INDEX(職員マスタ!$G$6:$G$405,$AN1330)&gt;EOMONTH($AO1330,0)),AND(INDEX(職員マスタ!$H$6:$H$405,$AN1330)&lt;&gt;"",INDEX(職員マスタ!$H$6:$H$405,$AN1330)&lt;$AO1330))),"対象月が時短期間外／","")&amp;IF(AND(INDEX(職員マスタ!$F$6:$F$405,$AN1330)&lt;&gt;"",$AO1330&lt;&gt;"",INDEX(職員マスタ!$F$6:$F$405,$AN1330)&lt;$AO1330),"対象月に子が2歳到達済／","")&amp;IF(AND($H1330&lt;&gt;"",INDEX(職員マスタ!$B$6:$B$405,$AN1330)&lt;&gt;"",SUBSTITUTE(SUBSTITUTE($H1330," ","")," ","")&lt;&gt;SUBSTITUTE(SUBSTITUTE(INDEX(職員マスタ!$B$6:$B$405,$AN1330)," ","")," ","")),"氏名がマスタと相違／","")&amp;IF(AND($Q1330&lt;&gt;"",INDEX(職員マスタ!$E$6:$E$405,$AN1330)&lt;&gt;"",$Q1330&lt;&gt;INDEX(職員マスタ!$E$6:$E$405,$AN1330)),"子の生年月日がマスタと相違／","")&amp;IF(AND($L1330&lt;&gt;"",INDEX(職員マスタ!$G$6:$G$405,$AN1330)&lt;&gt;"",$L1330&lt;&gt;INDEX(職員マスタ!$G$6:$G$405,$AN1330)),"時短開始日がマスタと相違／","")&amp;IF(AND($M1330&lt;&gt;"",INDEX(職員マスタ!$H$6:$H$405,$AN1330)&lt;&gt;"",$M1330&lt;&gt;INDEX(職員マスタ!$H$6:$H$405,$AN1330)),"時短終了日がマスタと相違／","")))&amp;IF(AND($B1330&lt;&gt;"",$E1330=""),"報酬額が未入力／","")&amp;IF(N($U1330)&gt;0,"申請書に入力エラーが残っています／","")&amp;IF(AND($B1330&lt;&gt;"",$AO1330&lt;&gt;""),IF(COUNTIFS($B$6:$B$3005,$B1330,$C$6:$C$3005,$C1330,$D$6:$D$3005,$D1330)&gt;1,"同じ月の請求が重複しています／",""),"")&amp;IF(AND(N($E1330)&gt;0,$Z1330&lt;&gt;"",$Z1330&lt;&gt;"×",$AC1330=0,$AB1330=""),"計算額が下限以下のため不支給／",""))</f>
        <v/>
      </c>
      <c r="AL1330" s="12" t="n"/>
      <c r="AM1330" s="14">
        <f>IF($AD1330="保留中",COUNTIF($AD$6:$AD1330,"保留中"),"")</f>
        <v/>
      </c>
      <c r="AN1330" s="14">
        <f>IF($AO1330="","",IF(SUMPRODUCT(MAX((職員マスタ!$A$6:$A$405=$B1330)*(((職員マスタ!$G$6:$G$405="")+(職員マスタ!$G$6:$G$405&lt;=EOMONTH($AO1330,0)))&gt;0)*(((職員マスタ!$H$6:$H$405="")+(職員マスタ!$H$6:$H$405&gt;=$AO1330))&gt;0)*(ROW(職員マスタ!$A$6:$A$405)-5)))&gt;0,SUMPRODUCT(MAX((職員マスタ!$A$6:$A$405=$B1330)*(((職員マスタ!$G$6:$G$405="")+(職員マスタ!$G$6:$G$405&lt;=EOMONTH($AO1330,0)))&gt;0)*(((職員マスタ!$H$6:$H$405="")+(職員マスタ!$H$6:$H$405&gt;=$AO1330))&gt;0)*(ROW(職員マスタ!$A$6:$A$405)-5))),IFERROR(MATCH($B1330,職員マスタ!$A$6:$A$405,0),"")))</f>
        <v/>
      </c>
      <c r="AO1330" s="16">
        <f>IF(OR($B1330="",$C1330="",$D1330=""),"",DATE($C1330+2018,$D1330,1))</f>
        <v/>
      </c>
    </row>
    <row r="1331">
      <c r="A1331" s="11" t="n"/>
      <c r="B1331" s="12" t="n"/>
      <c r="C1331" s="12" t="n"/>
      <c r="D1331" s="12" t="n"/>
      <c r="E1331" s="13" t="n"/>
      <c r="F1331" s="12" t="n"/>
      <c r="G1331" s="13" t="n"/>
      <c r="H1331" s="12" t="n"/>
      <c r="I1331" s="12" t="n"/>
      <c r="J1331" s="12" t="n"/>
      <c r="K1331" s="12" t="n"/>
      <c r="L1331" s="11" t="n"/>
      <c r="M1331" s="11" t="n"/>
      <c r="N1331" s="11" t="n"/>
      <c r="O1331" s="11" t="n"/>
      <c r="P1331" s="12" t="n"/>
      <c r="Q1331" s="11" t="n"/>
      <c r="R1331" s="12" t="n"/>
      <c r="S1331" s="11" t="n"/>
      <c r="T1331" s="12" t="n"/>
      <c r="U1331" s="12" t="n"/>
      <c r="V1331" s="14">
        <f>IF($AN1331="",IF($B1331="","",$H1331),IF(INDEX(職員マスタ!$B$6:$B$405,$AN1331)="",$H1331,INDEX(職員マスタ!$B$6:$B$405,$AN1331)))</f>
        <v/>
      </c>
      <c r="W1331" s="14">
        <f>IF($AN1331="",IF($B1331="","",$R1331),IF(INDEX(職員マスタ!$C$6:$C$405,$AN1331)="",$R1331,INDEX(職員マスタ!$C$6:$C$405,$AN1331)))</f>
        <v/>
      </c>
      <c r="X1331" s="14">
        <f>IF($AO1331="","","R"&amp;$C1331&amp;"."&amp;$D1331)</f>
        <v/>
      </c>
      <c r="Y1331" s="15">
        <f>IF($AN1331="","",IF(INDEX(職員マスタ!$K$6:$K$405,$AN1331)="","",INDEX(職員マスタ!$K$6:$K$405,$AN1331)))</f>
        <v/>
      </c>
      <c r="Z1331" s="14">
        <f>IF(OR($E1331="",$Y1331=""),"",IF($E1331&gt;=$Y1331,"×",IF($E1331&gt;=$Y1331*設定!$C$5,"△","○")))</f>
        <v/>
      </c>
      <c r="AA1331" s="15">
        <f>IF($Z1331="","",IF($Z1331="×",0,IF($Z1331="○",ROUNDDOWN($E1331*設定!$C$4,0),ROUNDDOWN($E1331*ROUND((9*$Y1331-9*$E1331)/(10*$E1331),4),0))))</f>
        <v/>
      </c>
      <c r="AB1331" s="13" t="n"/>
      <c r="AC1331" s="15">
        <f>IF($B1331="","",IF($AB1331&lt;&gt;"",$AB1331,IF($AA1331="","",IF($AA1331&lt;=設定!$C$3,0,$AA1331))))</f>
        <v/>
      </c>
      <c r="AD1331" s="14">
        <f>IF($B1331="","",IF(AND($AE1331&lt;&gt;"",$AG1331="",$AJ1331=""),"保留中",IF($AJ1331&lt;&gt;"",IF(N($AC1331)&gt;0,"支給済","不支給"),IF($AC1331="","要確認",IF($AC1331=0,"不支給","未処理")))))</f>
        <v/>
      </c>
      <c r="AE1331" s="12" t="n"/>
      <c r="AF1331" s="11" t="n"/>
      <c r="AG1331" s="11" t="n"/>
      <c r="AH1331" s="11" t="n"/>
      <c r="AI1331" s="14">
        <f>IF(AND($AD1331="保留中",$AF1331&lt;&gt;""),TODAY()-$AF1331,"")</f>
        <v/>
      </c>
      <c r="AJ1331" s="12" t="n"/>
      <c r="AK1331" s="14">
        <f>IF($B1331="","",IF($AO1331="","対象年月が未入力／","")&amp;IF($B1331="","",IF($AN1331="","職員マスタに未登録の職員番号／",IF($Y1331="","標準報酬月額が未登録／","")&amp;IF(AND($AO1331&lt;&gt;"",OR(AND(INDEX(職員マスタ!$G$6:$G$405,$AN1331)&lt;&gt;"",INDEX(職員マスタ!$G$6:$G$405,$AN1331)&gt;EOMONTH($AO1331,0)),AND(INDEX(職員マスタ!$H$6:$H$405,$AN1331)&lt;&gt;"",INDEX(職員マスタ!$H$6:$H$405,$AN1331)&lt;$AO1331))),"対象月が時短期間外／","")&amp;IF(AND(INDEX(職員マスタ!$F$6:$F$405,$AN1331)&lt;&gt;"",$AO1331&lt;&gt;"",INDEX(職員マスタ!$F$6:$F$405,$AN1331)&lt;$AO1331),"対象月に子が2歳到達済／","")&amp;IF(AND($H1331&lt;&gt;"",INDEX(職員マスタ!$B$6:$B$405,$AN1331)&lt;&gt;"",SUBSTITUTE(SUBSTITUTE($H1331," ","")," ","")&lt;&gt;SUBSTITUTE(SUBSTITUTE(INDEX(職員マスタ!$B$6:$B$405,$AN1331)," ","")," ","")),"氏名がマスタと相違／","")&amp;IF(AND($Q1331&lt;&gt;"",INDEX(職員マスタ!$E$6:$E$405,$AN1331)&lt;&gt;"",$Q1331&lt;&gt;INDEX(職員マスタ!$E$6:$E$405,$AN1331)),"子の生年月日がマスタと相違／","")&amp;IF(AND($L1331&lt;&gt;"",INDEX(職員マスタ!$G$6:$G$405,$AN1331)&lt;&gt;"",$L1331&lt;&gt;INDEX(職員マスタ!$G$6:$G$405,$AN1331)),"時短開始日がマスタと相違／","")&amp;IF(AND($M1331&lt;&gt;"",INDEX(職員マスタ!$H$6:$H$405,$AN1331)&lt;&gt;"",$M1331&lt;&gt;INDEX(職員マスタ!$H$6:$H$405,$AN1331)),"時短終了日がマスタと相違／","")))&amp;IF(AND($B1331&lt;&gt;"",$E1331=""),"報酬額が未入力／","")&amp;IF(N($U1331)&gt;0,"申請書に入力エラーが残っています／","")&amp;IF(AND($B1331&lt;&gt;"",$AO1331&lt;&gt;""),IF(COUNTIFS($B$6:$B$3005,$B1331,$C$6:$C$3005,$C1331,$D$6:$D$3005,$D1331)&gt;1,"同じ月の請求が重複しています／",""),"")&amp;IF(AND(N($E1331)&gt;0,$Z1331&lt;&gt;"",$Z1331&lt;&gt;"×",$AC1331=0,$AB1331=""),"計算額が下限以下のため不支給／",""))</f>
        <v/>
      </c>
      <c r="AL1331" s="12" t="n"/>
      <c r="AM1331" s="14">
        <f>IF($AD1331="保留中",COUNTIF($AD$6:$AD1331,"保留中"),"")</f>
        <v/>
      </c>
      <c r="AN1331" s="14">
        <f>IF($AO1331="","",IF(SUMPRODUCT(MAX((職員マスタ!$A$6:$A$405=$B1331)*(((職員マスタ!$G$6:$G$405="")+(職員マスタ!$G$6:$G$405&lt;=EOMONTH($AO1331,0)))&gt;0)*(((職員マスタ!$H$6:$H$405="")+(職員マスタ!$H$6:$H$405&gt;=$AO1331))&gt;0)*(ROW(職員マスタ!$A$6:$A$405)-5)))&gt;0,SUMPRODUCT(MAX((職員マスタ!$A$6:$A$405=$B1331)*(((職員マスタ!$G$6:$G$405="")+(職員マスタ!$G$6:$G$405&lt;=EOMONTH($AO1331,0)))&gt;0)*(((職員マスタ!$H$6:$H$405="")+(職員マスタ!$H$6:$H$405&gt;=$AO1331))&gt;0)*(ROW(職員マスタ!$A$6:$A$405)-5))),IFERROR(MATCH($B1331,職員マスタ!$A$6:$A$405,0),"")))</f>
        <v/>
      </c>
      <c r="AO1331" s="16">
        <f>IF(OR($B1331="",$C1331="",$D1331=""),"",DATE($C1331+2018,$D1331,1))</f>
        <v/>
      </c>
    </row>
    <row r="1332">
      <c r="A1332" s="11" t="n"/>
      <c r="B1332" s="12" t="n"/>
      <c r="C1332" s="12" t="n"/>
      <c r="D1332" s="12" t="n"/>
      <c r="E1332" s="13" t="n"/>
      <c r="F1332" s="12" t="n"/>
      <c r="G1332" s="13" t="n"/>
      <c r="H1332" s="12" t="n"/>
      <c r="I1332" s="12" t="n"/>
      <c r="J1332" s="12" t="n"/>
      <c r="K1332" s="12" t="n"/>
      <c r="L1332" s="11" t="n"/>
      <c r="M1332" s="11" t="n"/>
      <c r="N1332" s="11" t="n"/>
      <c r="O1332" s="11" t="n"/>
      <c r="P1332" s="12" t="n"/>
      <c r="Q1332" s="11" t="n"/>
      <c r="R1332" s="12" t="n"/>
      <c r="S1332" s="11" t="n"/>
      <c r="T1332" s="12" t="n"/>
      <c r="U1332" s="12" t="n"/>
      <c r="V1332" s="14">
        <f>IF($AN1332="",IF($B1332="","",$H1332),IF(INDEX(職員マスタ!$B$6:$B$405,$AN1332)="",$H1332,INDEX(職員マスタ!$B$6:$B$405,$AN1332)))</f>
        <v/>
      </c>
      <c r="W1332" s="14">
        <f>IF($AN1332="",IF($B1332="","",$R1332),IF(INDEX(職員マスタ!$C$6:$C$405,$AN1332)="",$R1332,INDEX(職員マスタ!$C$6:$C$405,$AN1332)))</f>
        <v/>
      </c>
      <c r="X1332" s="14">
        <f>IF($AO1332="","","R"&amp;$C1332&amp;"."&amp;$D1332)</f>
        <v/>
      </c>
      <c r="Y1332" s="15">
        <f>IF($AN1332="","",IF(INDEX(職員マスタ!$K$6:$K$405,$AN1332)="","",INDEX(職員マスタ!$K$6:$K$405,$AN1332)))</f>
        <v/>
      </c>
      <c r="Z1332" s="14">
        <f>IF(OR($E1332="",$Y1332=""),"",IF($E1332&gt;=$Y1332,"×",IF($E1332&gt;=$Y1332*設定!$C$5,"△","○")))</f>
        <v/>
      </c>
      <c r="AA1332" s="15">
        <f>IF($Z1332="","",IF($Z1332="×",0,IF($Z1332="○",ROUNDDOWN($E1332*設定!$C$4,0),ROUNDDOWN($E1332*ROUND((9*$Y1332-9*$E1332)/(10*$E1332),4),0))))</f>
        <v/>
      </c>
      <c r="AB1332" s="13" t="n"/>
      <c r="AC1332" s="15">
        <f>IF($B1332="","",IF($AB1332&lt;&gt;"",$AB1332,IF($AA1332="","",IF($AA1332&lt;=設定!$C$3,0,$AA1332))))</f>
        <v/>
      </c>
      <c r="AD1332" s="14">
        <f>IF($B1332="","",IF(AND($AE1332&lt;&gt;"",$AG1332="",$AJ1332=""),"保留中",IF($AJ1332&lt;&gt;"",IF(N($AC1332)&gt;0,"支給済","不支給"),IF($AC1332="","要確認",IF($AC1332=0,"不支給","未処理")))))</f>
        <v/>
      </c>
      <c r="AE1332" s="12" t="n"/>
      <c r="AF1332" s="11" t="n"/>
      <c r="AG1332" s="11" t="n"/>
      <c r="AH1332" s="11" t="n"/>
      <c r="AI1332" s="14">
        <f>IF(AND($AD1332="保留中",$AF1332&lt;&gt;""),TODAY()-$AF1332,"")</f>
        <v/>
      </c>
      <c r="AJ1332" s="12" t="n"/>
      <c r="AK1332" s="14">
        <f>IF($B1332="","",IF($AO1332="","対象年月が未入力／","")&amp;IF($B1332="","",IF($AN1332="","職員マスタに未登録の職員番号／",IF($Y1332="","標準報酬月額が未登録／","")&amp;IF(AND($AO1332&lt;&gt;"",OR(AND(INDEX(職員マスタ!$G$6:$G$405,$AN1332)&lt;&gt;"",INDEX(職員マスタ!$G$6:$G$405,$AN1332)&gt;EOMONTH($AO1332,0)),AND(INDEX(職員マスタ!$H$6:$H$405,$AN1332)&lt;&gt;"",INDEX(職員マスタ!$H$6:$H$405,$AN1332)&lt;$AO1332))),"対象月が時短期間外／","")&amp;IF(AND(INDEX(職員マスタ!$F$6:$F$405,$AN1332)&lt;&gt;"",$AO1332&lt;&gt;"",INDEX(職員マスタ!$F$6:$F$405,$AN1332)&lt;$AO1332),"対象月に子が2歳到達済／","")&amp;IF(AND($H1332&lt;&gt;"",INDEX(職員マスタ!$B$6:$B$405,$AN1332)&lt;&gt;"",SUBSTITUTE(SUBSTITUTE($H1332," ","")," ","")&lt;&gt;SUBSTITUTE(SUBSTITUTE(INDEX(職員マスタ!$B$6:$B$405,$AN1332)," ","")," ","")),"氏名がマスタと相違／","")&amp;IF(AND($Q1332&lt;&gt;"",INDEX(職員マスタ!$E$6:$E$405,$AN1332)&lt;&gt;"",$Q1332&lt;&gt;INDEX(職員マスタ!$E$6:$E$405,$AN1332)),"子の生年月日がマスタと相違／","")&amp;IF(AND($L1332&lt;&gt;"",INDEX(職員マスタ!$G$6:$G$405,$AN1332)&lt;&gt;"",$L1332&lt;&gt;INDEX(職員マスタ!$G$6:$G$405,$AN1332)),"時短開始日がマスタと相違／","")&amp;IF(AND($M1332&lt;&gt;"",INDEX(職員マスタ!$H$6:$H$405,$AN1332)&lt;&gt;"",$M1332&lt;&gt;INDEX(職員マスタ!$H$6:$H$405,$AN1332)),"時短終了日がマスタと相違／","")))&amp;IF(AND($B1332&lt;&gt;"",$E1332=""),"報酬額が未入力／","")&amp;IF(N($U1332)&gt;0,"申請書に入力エラーが残っています／","")&amp;IF(AND($B1332&lt;&gt;"",$AO1332&lt;&gt;""),IF(COUNTIFS($B$6:$B$3005,$B1332,$C$6:$C$3005,$C1332,$D$6:$D$3005,$D1332)&gt;1,"同じ月の請求が重複しています／",""),"")&amp;IF(AND(N($E1332)&gt;0,$Z1332&lt;&gt;"",$Z1332&lt;&gt;"×",$AC1332=0,$AB1332=""),"計算額が下限以下のため不支給／",""))</f>
        <v/>
      </c>
      <c r="AL1332" s="12" t="n"/>
      <c r="AM1332" s="14">
        <f>IF($AD1332="保留中",COUNTIF($AD$6:$AD1332,"保留中"),"")</f>
        <v/>
      </c>
      <c r="AN1332" s="14">
        <f>IF($AO1332="","",IF(SUMPRODUCT(MAX((職員マスタ!$A$6:$A$405=$B1332)*(((職員マスタ!$G$6:$G$405="")+(職員マスタ!$G$6:$G$405&lt;=EOMONTH($AO1332,0)))&gt;0)*(((職員マスタ!$H$6:$H$405="")+(職員マスタ!$H$6:$H$405&gt;=$AO1332))&gt;0)*(ROW(職員マスタ!$A$6:$A$405)-5)))&gt;0,SUMPRODUCT(MAX((職員マスタ!$A$6:$A$405=$B1332)*(((職員マスタ!$G$6:$G$405="")+(職員マスタ!$G$6:$G$405&lt;=EOMONTH($AO1332,0)))&gt;0)*(((職員マスタ!$H$6:$H$405="")+(職員マスタ!$H$6:$H$405&gt;=$AO1332))&gt;0)*(ROW(職員マスタ!$A$6:$A$405)-5))),IFERROR(MATCH($B1332,職員マスタ!$A$6:$A$405,0),"")))</f>
        <v/>
      </c>
      <c r="AO1332" s="16">
        <f>IF(OR($B1332="",$C1332="",$D1332=""),"",DATE($C1332+2018,$D1332,1))</f>
        <v/>
      </c>
    </row>
    <row r="1333">
      <c r="A1333" s="11" t="n"/>
      <c r="B1333" s="12" t="n"/>
      <c r="C1333" s="12" t="n"/>
      <c r="D1333" s="12" t="n"/>
      <c r="E1333" s="13" t="n"/>
      <c r="F1333" s="12" t="n"/>
      <c r="G1333" s="13" t="n"/>
      <c r="H1333" s="12" t="n"/>
      <c r="I1333" s="12" t="n"/>
      <c r="J1333" s="12" t="n"/>
      <c r="K1333" s="12" t="n"/>
      <c r="L1333" s="11" t="n"/>
      <c r="M1333" s="11" t="n"/>
      <c r="N1333" s="11" t="n"/>
      <c r="O1333" s="11" t="n"/>
      <c r="P1333" s="12" t="n"/>
      <c r="Q1333" s="11" t="n"/>
      <c r="R1333" s="12" t="n"/>
      <c r="S1333" s="11" t="n"/>
      <c r="T1333" s="12" t="n"/>
      <c r="U1333" s="12" t="n"/>
      <c r="V1333" s="14">
        <f>IF($AN1333="",IF($B1333="","",$H1333),IF(INDEX(職員マスタ!$B$6:$B$405,$AN1333)="",$H1333,INDEX(職員マスタ!$B$6:$B$405,$AN1333)))</f>
        <v/>
      </c>
      <c r="W1333" s="14">
        <f>IF($AN1333="",IF($B1333="","",$R1333),IF(INDEX(職員マスタ!$C$6:$C$405,$AN1333)="",$R1333,INDEX(職員マスタ!$C$6:$C$405,$AN1333)))</f>
        <v/>
      </c>
      <c r="X1333" s="14">
        <f>IF($AO1333="","","R"&amp;$C1333&amp;"."&amp;$D1333)</f>
        <v/>
      </c>
      <c r="Y1333" s="15">
        <f>IF($AN1333="","",IF(INDEX(職員マスタ!$K$6:$K$405,$AN1333)="","",INDEX(職員マスタ!$K$6:$K$405,$AN1333)))</f>
        <v/>
      </c>
      <c r="Z1333" s="14">
        <f>IF(OR($E1333="",$Y1333=""),"",IF($E1333&gt;=$Y1333,"×",IF($E1333&gt;=$Y1333*設定!$C$5,"△","○")))</f>
        <v/>
      </c>
      <c r="AA1333" s="15">
        <f>IF($Z1333="","",IF($Z1333="×",0,IF($Z1333="○",ROUNDDOWN($E1333*設定!$C$4,0),ROUNDDOWN($E1333*ROUND((9*$Y1333-9*$E1333)/(10*$E1333),4),0))))</f>
        <v/>
      </c>
      <c r="AB1333" s="13" t="n"/>
      <c r="AC1333" s="15">
        <f>IF($B1333="","",IF($AB1333&lt;&gt;"",$AB1333,IF($AA1333="","",IF($AA1333&lt;=設定!$C$3,0,$AA1333))))</f>
        <v/>
      </c>
      <c r="AD1333" s="14">
        <f>IF($B1333="","",IF(AND($AE1333&lt;&gt;"",$AG1333="",$AJ1333=""),"保留中",IF($AJ1333&lt;&gt;"",IF(N($AC1333)&gt;0,"支給済","不支給"),IF($AC1333="","要確認",IF($AC1333=0,"不支給","未処理")))))</f>
        <v/>
      </c>
      <c r="AE1333" s="12" t="n"/>
      <c r="AF1333" s="11" t="n"/>
      <c r="AG1333" s="11" t="n"/>
      <c r="AH1333" s="11" t="n"/>
      <c r="AI1333" s="14">
        <f>IF(AND($AD1333="保留中",$AF1333&lt;&gt;""),TODAY()-$AF1333,"")</f>
        <v/>
      </c>
      <c r="AJ1333" s="12" t="n"/>
      <c r="AK1333" s="14">
        <f>IF($B1333="","",IF($AO1333="","対象年月が未入力／","")&amp;IF($B1333="","",IF($AN1333="","職員マスタに未登録の職員番号／",IF($Y1333="","標準報酬月額が未登録／","")&amp;IF(AND($AO1333&lt;&gt;"",OR(AND(INDEX(職員マスタ!$G$6:$G$405,$AN1333)&lt;&gt;"",INDEX(職員マスタ!$G$6:$G$405,$AN1333)&gt;EOMONTH($AO1333,0)),AND(INDEX(職員マスタ!$H$6:$H$405,$AN1333)&lt;&gt;"",INDEX(職員マスタ!$H$6:$H$405,$AN1333)&lt;$AO1333))),"対象月が時短期間外／","")&amp;IF(AND(INDEX(職員マスタ!$F$6:$F$405,$AN1333)&lt;&gt;"",$AO1333&lt;&gt;"",INDEX(職員マスタ!$F$6:$F$405,$AN1333)&lt;$AO1333),"対象月に子が2歳到達済／","")&amp;IF(AND($H1333&lt;&gt;"",INDEX(職員マスタ!$B$6:$B$405,$AN1333)&lt;&gt;"",SUBSTITUTE(SUBSTITUTE($H1333," ","")," ","")&lt;&gt;SUBSTITUTE(SUBSTITUTE(INDEX(職員マスタ!$B$6:$B$405,$AN1333)," ","")," ","")),"氏名がマスタと相違／","")&amp;IF(AND($Q1333&lt;&gt;"",INDEX(職員マスタ!$E$6:$E$405,$AN1333)&lt;&gt;"",$Q1333&lt;&gt;INDEX(職員マスタ!$E$6:$E$405,$AN1333)),"子の生年月日がマスタと相違／","")&amp;IF(AND($L1333&lt;&gt;"",INDEX(職員マスタ!$G$6:$G$405,$AN1333)&lt;&gt;"",$L1333&lt;&gt;INDEX(職員マスタ!$G$6:$G$405,$AN1333)),"時短開始日がマスタと相違／","")&amp;IF(AND($M1333&lt;&gt;"",INDEX(職員マスタ!$H$6:$H$405,$AN1333)&lt;&gt;"",$M1333&lt;&gt;INDEX(職員マスタ!$H$6:$H$405,$AN1333)),"時短終了日がマスタと相違／","")))&amp;IF(AND($B1333&lt;&gt;"",$E1333=""),"報酬額が未入力／","")&amp;IF(N($U1333)&gt;0,"申請書に入力エラーが残っています／","")&amp;IF(AND($B1333&lt;&gt;"",$AO1333&lt;&gt;""),IF(COUNTIFS($B$6:$B$3005,$B1333,$C$6:$C$3005,$C1333,$D$6:$D$3005,$D1333)&gt;1,"同じ月の請求が重複しています／",""),"")&amp;IF(AND(N($E1333)&gt;0,$Z1333&lt;&gt;"",$Z1333&lt;&gt;"×",$AC1333=0,$AB1333=""),"計算額が下限以下のため不支給／",""))</f>
        <v/>
      </c>
      <c r="AL1333" s="12" t="n"/>
      <c r="AM1333" s="14">
        <f>IF($AD1333="保留中",COUNTIF($AD$6:$AD1333,"保留中"),"")</f>
        <v/>
      </c>
      <c r="AN1333" s="14">
        <f>IF($AO1333="","",IF(SUMPRODUCT(MAX((職員マスタ!$A$6:$A$405=$B1333)*(((職員マスタ!$G$6:$G$405="")+(職員マスタ!$G$6:$G$405&lt;=EOMONTH($AO1333,0)))&gt;0)*(((職員マスタ!$H$6:$H$405="")+(職員マスタ!$H$6:$H$405&gt;=$AO1333))&gt;0)*(ROW(職員マスタ!$A$6:$A$405)-5)))&gt;0,SUMPRODUCT(MAX((職員マスタ!$A$6:$A$405=$B1333)*(((職員マスタ!$G$6:$G$405="")+(職員マスタ!$G$6:$G$405&lt;=EOMONTH($AO1333,0)))&gt;0)*(((職員マスタ!$H$6:$H$405="")+(職員マスタ!$H$6:$H$405&gt;=$AO1333))&gt;0)*(ROW(職員マスタ!$A$6:$A$405)-5))),IFERROR(MATCH($B1333,職員マスタ!$A$6:$A$405,0),"")))</f>
        <v/>
      </c>
      <c r="AO1333" s="16">
        <f>IF(OR($B1333="",$C1333="",$D1333=""),"",DATE($C1333+2018,$D1333,1))</f>
        <v/>
      </c>
    </row>
    <row r="1334">
      <c r="A1334" s="11" t="n"/>
      <c r="B1334" s="12" t="n"/>
      <c r="C1334" s="12" t="n"/>
      <c r="D1334" s="12" t="n"/>
      <c r="E1334" s="13" t="n"/>
      <c r="F1334" s="12" t="n"/>
      <c r="G1334" s="13" t="n"/>
      <c r="H1334" s="12" t="n"/>
      <c r="I1334" s="12" t="n"/>
      <c r="J1334" s="12" t="n"/>
      <c r="K1334" s="12" t="n"/>
      <c r="L1334" s="11" t="n"/>
      <c r="M1334" s="11" t="n"/>
      <c r="N1334" s="11" t="n"/>
      <c r="O1334" s="11" t="n"/>
      <c r="P1334" s="12" t="n"/>
      <c r="Q1334" s="11" t="n"/>
      <c r="R1334" s="12" t="n"/>
      <c r="S1334" s="11" t="n"/>
      <c r="T1334" s="12" t="n"/>
      <c r="U1334" s="12" t="n"/>
      <c r="V1334" s="14">
        <f>IF($AN1334="",IF($B1334="","",$H1334),IF(INDEX(職員マスタ!$B$6:$B$405,$AN1334)="",$H1334,INDEX(職員マスタ!$B$6:$B$405,$AN1334)))</f>
        <v/>
      </c>
      <c r="W1334" s="14">
        <f>IF($AN1334="",IF($B1334="","",$R1334),IF(INDEX(職員マスタ!$C$6:$C$405,$AN1334)="",$R1334,INDEX(職員マスタ!$C$6:$C$405,$AN1334)))</f>
        <v/>
      </c>
      <c r="X1334" s="14">
        <f>IF($AO1334="","","R"&amp;$C1334&amp;"."&amp;$D1334)</f>
        <v/>
      </c>
      <c r="Y1334" s="15">
        <f>IF($AN1334="","",IF(INDEX(職員マスタ!$K$6:$K$405,$AN1334)="","",INDEX(職員マスタ!$K$6:$K$405,$AN1334)))</f>
        <v/>
      </c>
      <c r="Z1334" s="14">
        <f>IF(OR($E1334="",$Y1334=""),"",IF($E1334&gt;=$Y1334,"×",IF($E1334&gt;=$Y1334*設定!$C$5,"△","○")))</f>
        <v/>
      </c>
      <c r="AA1334" s="15">
        <f>IF($Z1334="","",IF($Z1334="×",0,IF($Z1334="○",ROUNDDOWN($E1334*設定!$C$4,0),ROUNDDOWN($E1334*ROUND((9*$Y1334-9*$E1334)/(10*$E1334),4),0))))</f>
        <v/>
      </c>
      <c r="AB1334" s="13" t="n"/>
      <c r="AC1334" s="15">
        <f>IF($B1334="","",IF($AB1334&lt;&gt;"",$AB1334,IF($AA1334="","",IF($AA1334&lt;=設定!$C$3,0,$AA1334))))</f>
        <v/>
      </c>
      <c r="AD1334" s="14">
        <f>IF($B1334="","",IF(AND($AE1334&lt;&gt;"",$AG1334="",$AJ1334=""),"保留中",IF($AJ1334&lt;&gt;"",IF(N($AC1334)&gt;0,"支給済","不支給"),IF($AC1334="","要確認",IF($AC1334=0,"不支給","未処理")))))</f>
        <v/>
      </c>
      <c r="AE1334" s="12" t="n"/>
      <c r="AF1334" s="11" t="n"/>
      <c r="AG1334" s="11" t="n"/>
      <c r="AH1334" s="11" t="n"/>
      <c r="AI1334" s="14">
        <f>IF(AND($AD1334="保留中",$AF1334&lt;&gt;""),TODAY()-$AF1334,"")</f>
        <v/>
      </c>
      <c r="AJ1334" s="12" t="n"/>
      <c r="AK1334" s="14">
        <f>IF($B1334="","",IF($AO1334="","対象年月が未入力／","")&amp;IF($B1334="","",IF($AN1334="","職員マスタに未登録の職員番号／",IF($Y1334="","標準報酬月額が未登録／","")&amp;IF(AND($AO1334&lt;&gt;"",OR(AND(INDEX(職員マスタ!$G$6:$G$405,$AN1334)&lt;&gt;"",INDEX(職員マスタ!$G$6:$G$405,$AN1334)&gt;EOMONTH($AO1334,0)),AND(INDEX(職員マスタ!$H$6:$H$405,$AN1334)&lt;&gt;"",INDEX(職員マスタ!$H$6:$H$405,$AN1334)&lt;$AO1334))),"対象月が時短期間外／","")&amp;IF(AND(INDEX(職員マスタ!$F$6:$F$405,$AN1334)&lt;&gt;"",$AO1334&lt;&gt;"",INDEX(職員マスタ!$F$6:$F$405,$AN1334)&lt;$AO1334),"対象月に子が2歳到達済／","")&amp;IF(AND($H1334&lt;&gt;"",INDEX(職員マスタ!$B$6:$B$405,$AN1334)&lt;&gt;"",SUBSTITUTE(SUBSTITUTE($H1334," ","")," ","")&lt;&gt;SUBSTITUTE(SUBSTITUTE(INDEX(職員マスタ!$B$6:$B$405,$AN1334)," ","")," ","")),"氏名がマスタと相違／","")&amp;IF(AND($Q1334&lt;&gt;"",INDEX(職員マスタ!$E$6:$E$405,$AN1334)&lt;&gt;"",$Q1334&lt;&gt;INDEX(職員マスタ!$E$6:$E$405,$AN1334)),"子の生年月日がマスタと相違／","")&amp;IF(AND($L1334&lt;&gt;"",INDEX(職員マスタ!$G$6:$G$405,$AN1334)&lt;&gt;"",$L1334&lt;&gt;INDEX(職員マスタ!$G$6:$G$405,$AN1334)),"時短開始日がマスタと相違／","")&amp;IF(AND($M1334&lt;&gt;"",INDEX(職員マスタ!$H$6:$H$405,$AN1334)&lt;&gt;"",$M1334&lt;&gt;INDEX(職員マスタ!$H$6:$H$405,$AN1334)),"時短終了日がマスタと相違／","")))&amp;IF(AND($B1334&lt;&gt;"",$E1334=""),"報酬額が未入力／","")&amp;IF(N($U1334)&gt;0,"申請書に入力エラーが残っています／","")&amp;IF(AND($B1334&lt;&gt;"",$AO1334&lt;&gt;""),IF(COUNTIFS($B$6:$B$3005,$B1334,$C$6:$C$3005,$C1334,$D$6:$D$3005,$D1334)&gt;1,"同じ月の請求が重複しています／",""),"")&amp;IF(AND(N($E1334)&gt;0,$Z1334&lt;&gt;"",$Z1334&lt;&gt;"×",$AC1334=0,$AB1334=""),"計算額が下限以下のため不支給／",""))</f>
        <v/>
      </c>
      <c r="AL1334" s="12" t="n"/>
      <c r="AM1334" s="14">
        <f>IF($AD1334="保留中",COUNTIF($AD$6:$AD1334,"保留中"),"")</f>
        <v/>
      </c>
      <c r="AN1334" s="14">
        <f>IF($AO1334="","",IF(SUMPRODUCT(MAX((職員マスタ!$A$6:$A$405=$B1334)*(((職員マスタ!$G$6:$G$405="")+(職員マスタ!$G$6:$G$405&lt;=EOMONTH($AO1334,0)))&gt;0)*(((職員マスタ!$H$6:$H$405="")+(職員マスタ!$H$6:$H$405&gt;=$AO1334))&gt;0)*(ROW(職員マスタ!$A$6:$A$405)-5)))&gt;0,SUMPRODUCT(MAX((職員マスタ!$A$6:$A$405=$B1334)*(((職員マスタ!$G$6:$G$405="")+(職員マスタ!$G$6:$G$405&lt;=EOMONTH($AO1334,0)))&gt;0)*(((職員マスタ!$H$6:$H$405="")+(職員マスタ!$H$6:$H$405&gt;=$AO1334))&gt;0)*(ROW(職員マスタ!$A$6:$A$405)-5))),IFERROR(MATCH($B1334,職員マスタ!$A$6:$A$405,0),"")))</f>
        <v/>
      </c>
      <c r="AO1334" s="16">
        <f>IF(OR($B1334="",$C1334="",$D1334=""),"",DATE($C1334+2018,$D1334,1))</f>
        <v/>
      </c>
    </row>
    <row r="1335">
      <c r="A1335" s="11" t="n"/>
      <c r="B1335" s="12" t="n"/>
      <c r="C1335" s="12" t="n"/>
      <c r="D1335" s="12" t="n"/>
      <c r="E1335" s="13" t="n"/>
      <c r="F1335" s="12" t="n"/>
      <c r="G1335" s="13" t="n"/>
      <c r="H1335" s="12" t="n"/>
      <c r="I1335" s="12" t="n"/>
      <c r="J1335" s="12" t="n"/>
      <c r="K1335" s="12" t="n"/>
      <c r="L1335" s="11" t="n"/>
      <c r="M1335" s="11" t="n"/>
      <c r="N1335" s="11" t="n"/>
      <c r="O1335" s="11" t="n"/>
      <c r="P1335" s="12" t="n"/>
      <c r="Q1335" s="11" t="n"/>
      <c r="R1335" s="12" t="n"/>
      <c r="S1335" s="11" t="n"/>
      <c r="T1335" s="12" t="n"/>
      <c r="U1335" s="12" t="n"/>
      <c r="V1335" s="14">
        <f>IF($AN1335="",IF($B1335="","",$H1335),IF(INDEX(職員マスタ!$B$6:$B$405,$AN1335)="",$H1335,INDEX(職員マスタ!$B$6:$B$405,$AN1335)))</f>
        <v/>
      </c>
      <c r="W1335" s="14">
        <f>IF($AN1335="",IF($B1335="","",$R1335),IF(INDEX(職員マスタ!$C$6:$C$405,$AN1335)="",$R1335,INDEX(職員マスタ!$C$6:$C$405,$AN1335)))</f>
        <v/>
      </c>
      <c r="X1335" s="14">
        <f>IF($AO1335="","","R"&amp;$C1335&amp;"."&amp;$D1335)</f>
        <v/>
      </c>
      <c r="Y1335" s="15">
        <f>IF($AN1335="","",IF(INDEX(職員マスタ!$K$6:$K$405,$AN1335)="","",INDEX(職員マスタ!$K$6:$K$405,$AN1335)))</f>
        <v/>
      </c>
      <c r="Z1335" s="14">
        <f>IF(OR($E1335="",$Y1335=""),"",IF($E1335&gt;=$Y1335,"×",IF($E1335&gt;=$Y1335*設定!$C$5,"△","○")))</f>
        <v/>
      </c>
      <c r="AA1335" s="15">
        <f>IF($Z1335="","",IF($Z1335="×",0,IF($Z1335="○",ROUNDDOWN($E1335*設定!$C$4,0),ROUNDDOWN($E1335*ROUND((9*$Y1335-9*$E1335)/(10*$E1335),4),0))))</f>
        <v/>
      </c>
      <c r="AB1335" s="13" t="n"/>
      <c r="AC1335" s="15">
        <f>IF($B1335="","",IF($AB1335&lt;&gt;"",$AB1335,IF($AA1335="","",IF($AA1335&lt;=設定!$C$3,0,$AA1335))))</f>
        <v/>
      </c>
      <c r="AD1335" s="14">
        <f>IF($B1335="","",IF(AND($AE1335&lt;&gt;"",$AG1335="",$AJ1335=""),"保留中",IF($AJ1335&lt;&gt;"",IF(N($AC1335)&gt;0,"支給済","不支給"),IF($AC1335="","要確認",IF($AC1335=0,"不支給","未処理")))))</f>
        <v/>
      </c>
      <c r="AE1335" s="12" t="n"/>
      <c r="AF1335" s="11" t="n"/>
      <c r="AG1335" s="11" t="n"/>
      <c r="AH1335" s="11" t="n"/>
      <c r="AI1335" s="14">
        <f>IF(AND($AD1335="保留中",$AF1335&lt;&gt;""),TODAY()-$AF1335,"")</f>
        <v/>
      </c>
      <c r="AJ1335" s="12" t="n"/>
      <c r="AK1335" s="14">
        <f>IF($B1335="","",IF($AO1335="","対象年月が未入力／","")&amp;IF($B1335="","",IF($AN1335="","職員マスタに未登録の職員番号／",IF($Y1335="","標準報酬月額が未登録／","")&amp;IF(AND($AO1335&lt;&gt;"",OR(AND(INDEX(職員マスタ!$G$6:$G$405,$AN1335)&lt;&gt;"",INDEX(職員マスタ!$G$6:$G$405,$AN1335)&gt;EOMONTH($AO1335,0)),AND(INDEX(職員マスタ!$H$6:$H$405,$AN1335)&lt;&gt;"",INDEX(職員マスタ!$H$6:$H$405,$AN1335)&lt;$AO1335))),"対象月が時短期間外／","")&amp;IF(AND(INDEX(職員マスタ!$F$6:$F$405,$AN1335)&lt;&gt;"",$AO1335&lt;&gt;"",INDEX(職員マスタ!$F$6:$F$405,$AN1335)&lt;$AO1335),"対象月に子が2歳到達済／","")&amp;IF(AND($H1335&lt;&gt;"",INDEX(職員マスタ!$B$6:$B$405,$AN1335)&lt;&gt;"",SUBSTITUTE(SUBSTITUTE($H1335," ","")," ","")&lt;&gt;SUBSTITUTE(SUBSTITUTE(INDEX(職員マスタ!$B$6:$B$405,$AN1335)," ","")," ","")),"氏名がマスタと相違／","")&amp;IF(AND($Q1335&lt;&gt;"",INDEX(職員マスタ!$E$6:$E$405,$AN1335)&lt;&gt;"",$Q1335&lt;&gt;INDEX(職員マスタ!$E$6:$E$405,$AN1335)),"子の生年月日がマスタと相違／","")&amp;IF(AND($L1335&lt;&gt;"",INDEX(職員マスタ!$G$6:$G$405,$AN1335)&lt;&gt;"",$L1335&lt;&gt;INDEX(職員マスタ!$G$6:$G$405,$AN1335)),"時短開始日がマスタと相違／","")&amp;IF(AND($M1335&lt;&gt;"",INDEX(職員マスタ!$H$6:$H$405,$AN1335)&lt;&gt;"",$M1335&lt;&gt;INDEX(職員マスタ!$H$6:$H$405,$AN1335)),"時短終了日がマスタと相違／","")))&amp;IF(AND($B1335&lt;&gt;"",$E1335=""),"報酬額が未入力／","")&amp;IF(N($U1335)&gt;0,"申請書に入力エラーが残っています／","")&amp;IF(AND($B1335&lt;&gt;"",$AO1335&lt;&gt;""),IF(COUNTIFS($B$6:$B$3005,$B1335,$C$6:$C$3005,$C1335,$D$6:$D$3005,$D1335)&gt;1,"同じ月の請求が重複しています／",""),"")&amp;IF(AND(N($E1335)&gt;0,$Z1335&lt;&gt;"",$Z1335&lt;&gt;"×",$AC1335=0,$AB1335=""),"計算額が下限以下のため不支給／",""))</f>
        <v/>
      </c>
      <c r="AL1335" s="12" t="n"/>
      <c r="AM1335" s="14">
        <f>IF($AD1335="保留中",COUNTIF($AD$6:$AD1335,"保留中"),"")</f>
        <v/>
      </c>
      <c r="AN1335" s="14">
        <f>IF($AO1335="","",IF(SUMPRODUCT(MAX((職員マスタ!$A$6:$A$405=$B1335)*(((職員マスタ!$G$6:$G$405="")+(職員マスタ!$G$6:$G$405&lt;=EOMONTH($AO1335,0)))&gt;0)*(((職員マスタ!$H$6:$H$405="")+(職員マスタ!$H$6:$H$405&gt;=$AO1335))&gt;0)*(ROW(職員マスタ!$A$6:$A$405)-5)))&gt;0,SUMPRODUCT(MAX((職員マスタ!$A$6:$A$405=$B1335)*(((職員マスタ!$G$6:$G$405="")+(職員マスタ!$G$6:$G$405&lt;=EOMONTH($AO1335,0)))&gt;0)*(((職員マスタ!$H$6:$H$405="")+(職員マスタ!$H$6:$H$405&gt;=$AO1335))&gt;0)*(ROW(職員マスタ!$A$6:$A$405)-5))),IFERROR(MATCH($B1335,職員マスタ!$A$6:$A$405,0),"")))</f>
        <v/>
      </c>
      <c r="AO1335" s="16">
        <f>IF(OR($B1335="",$C1335="",$D1335=""),"",DATE($C1335+2018,$D1335,1))</f>
        <v/>
      </c>
    </row>
    <row r="1336">
      <c r="A1336" s="11" t="n"/>
      <c r="B1336" s="12" t="n"/>
      <c r="C1336" s="12" t="n"/>
      <c r="D1336" s="12" t="n"/>
      <c r="E1336" s="13" t="n"/>
      <c r="F1336" s="12" t="n"/>
      <c r="G1336" s="13" t="n"/>
      <c r="H1336" s="12" t="n"/>
      <c r="I1336" s="12" t="n"/>
      <c r="J1336" s="12" t="n"/>
      <c r="K1336" s="12" t="n"/>
      <c r="L1336" s="11" t="n"/>
      <c r="M1336" s="11" t="n"/>
      <c r="N1336" s="11" t="n"/>
      <c r="O1336" s="11" t="n"/>
      <c r="P1336" s="12" t="n"/>
      <c r="Q1336" s="11" t="n"/>
      <c r="R1336" s="12" t="n"/>
      <c r="S1336" s="11" t="n"/>
      <c r="T1336" s="12" t="n"/>
      <c r="U1336" s="12" t="n"/>
      <c r="V1336" s="14">
        <f>IF($AN1336="",IF($B1336="","",$H1336),IF(INDEX(職員マスタ!$B$6:$B$405,$AN1336)="",$H1336,INDEX(職員マスタ!$B$6:$B$405,$AN1336)))</f>
        <v/>
      </c>
      <c r="W1336" s="14">
        <f>IF($AN1336="",IF($B1336="","",$R1336),IF(INDEX(職員マスタ!$C$6:$C$405,$AN1336)="",$R1336,INDEX(職員マスタ!$C$6:$C$405,$AN1336)))</f>
        <v/>
      </c>
      <c r="X1336" s="14">
        <f>IF($AO1336="","","R"&amp;$C1336&amp;"."&amp;$D1336)</f>
        <v/>
      </c>
      <c r="Y1336" s="15">
        <f>IF($AN1336="","",IF(INDEX(職員マスタ!$K$6:$K$405,$AN1336)="","",INDEX(職員マスタ!$K$6:$K$405,$AN1336)))</f>
        <v/>
      </c>
      <c r="Z1336" s="14">
        <f>IF(OR($E1336="",$Y1336=""),"",IF($E1336&gt;=$Y1336,"×",IF($E1336&gt;=$Y1336*設定!$C$5,"△","○")))</f>
        <v/>
      </c>
      <c r="AA1336" s="15">
        <f>IF($Z1336="","",IF($Z1336="×",0,IF($Z1336="○",ROUNDDOWN($E1336*設定!$C$4,0),ROUNDDOWN($E1336*ROUND((9*$Y1336-9*$E1336)/(10*$E1336),4),0))))</f>
        <v/>
      </c>
      <c r="AB1336" s="13" t="n"/>
      <c r="AC1336" s="15">
        <f>IF($B1336="","",IF($AB1336&lt;&gt;"",$AB1336,IF($AA1336="","",IF($AA1336&lt;=設定!$C$3,0,$AA1336))))</f>
        <v/>
      </c>
      <c r="AD1336" s="14">
        <f>IF($B1336="","",IF(AND($AE1336&lt;&gt;"",$AG1336="",$AJ1336=""),"保留中",IF($AJ1336&lt;&gt;"",IF(N($AC1336)&gt;0,"支給済","不支給"),IF($AC1336="","要確認",IF($AC1336=0,"不支給","未処理")))))</f>
        <v/>
      </c>
      <c r="AE1336" s="12" t="n"/>
      <c r="AF1336" s="11" t="n"/>
      <c r="AG1336" s="11" t="n"/>
      <c r="AH1336" s="11" t="n"/>
      <c r="AI1336" s="14">
        <f>IF(AND($AD1336="保留中",$AF1336&lt;&gt;""),TODAY()-$AF1336,"")</f>
        <v/>
      </c>
      <c r="AJ1336" s="12" t="n"/>
      <c r="AK1336" s="14">
        <f>IF($B1336="","",IF($AO1336="","対象年月が未入力／","")&amp;IF($B1336="","",IF($AN1336="","職員マスタに未登録の職員番号／",IF($Y1336="","標準報酬月額が未登録／","")&amp;IF(AND($AO1336&lt;&gt;"",OR(AND(INDEX(職員マスタ!$G$6:$G$405,$AN1336)&lt;&gt;"",INDEX(職員マスタ!$G$6:$G$405,$AN1336)&gt;EOMONTH($AO1336,0)),AND(INDEX(職員マスタ!$H$6:$H$405,$AN1336)&lt;&gt;"",INDEX(職員マスタ!$H$6:$H$405,$AN1336)&lt;$AO1336))),"対象月が時短期間外／","")&amp;IF(AND(INDEX(職員マスタ!$F$6:$F$405,$AN1336)&lt;&gt;"",$AO1336&lt;&gt;"",INDEX(職員マスタ!$F$6:$F$405,$AN1336)&lt;$AO1336),"対象月に子が2歳到達済／","")&amp;IF(AND($H1336&lt;&gt;"",INDEX(職員マスタ!$B$6:$B$405,$AN1336)&lt;&gt;"",SUBSTITUTE(SUBSTITUTE($H1336," ","")," ","")&lt;&gt;SUBSTITUTE(SUBSTITUTE(INDEX(職員マスタ!$B$6:$B$405,$AN1336)," ","")," ","")),"氏名がマスタと相違／","")&amp;IF(AND($Q1336&lt;&gt;"",INDEX(職員マスタ!$E$6:$E$405,$AN1336)&lt;&gt;"",$Q1336&lt;&gt;INDEX(職員マスタ!$E$6:$E$405,$AN1336)),"子の生年月日がマスタと相違／","")&amp;IF(AND($L1336&lt;&gt;"",INDEX(職員マスタ!$G$6:$G$405,$AN1336)&lt;&gt;"",$L1336&lt;&gt;INDEX(職員マスタ!$G$6:$G$405,$AN1336)),"時短開始日がマスタと相違／","")&amp;IF(AND($M1336&lt;&gt;"",INDEX(職員マスタ!$H$6:$H$405,$AN1336)&lt;&gt;"",$M1336&lt;&gt;INDEX(職員マスタ!$H$6:$H$405,$AN1336)),"時短終了日がマスタと相違／","")))&amp;IF(AND($B1336&lt;&gt;"",$E1336=""),"報酬額が未入力／","")&amp;IF(N($U1336)&gt;0,"申請書に入力エラーが残っています／","")&amp;IF(AND($B1336&lt;&gt;"",$AO1336&lt;&gt;""),IF(COUNTIFS($B$6:$B$3005,$B1336,$C$6:$C$3005,$C1336,$D$6:$D$3005,$D1336)&gt;1,"同じ月の請求が重複しています／",""),"")&amp;IF(AND(N($E1336)&gt;0,$Z1336&lt;&gt;"",$Z1336&lt;&gt;"×",$AC1336=0,$AB1336=""),"計算額が下限以下のため不支給／",""))</f>
        <v/>
      </c>
      <c r="AL1336" s="12" t="n"/>
      <c r="AM1336" s="14">
        <f>IF($AD1336="保留中",COUNTIF($AD$6:$AD1336,"保留中"),"")</f>
        <v/>
      </c>
      <c r="AN1336" s="14">
        <f>IF($AO1336="","",IF(SUMPRODUCT(MAX((職員マスタ!$A$6:$A$405=$B1336)*(((職員マスタ!$G$6:$G$405="")+(職員マスタ!$G$6:$G$405&lt;=EOMONTH($AO1336,0)))&gt;0)*(((職員マスタ!$H$6:$H$405="")+(職員マスタ!$H$6:$H$405&gt;=$AO1336))&gt;0)*(ROW(職員マスタ!$A$6:$A$405)-5)))&gt;0,SUMPRODUCT(MAX((職員マスタ!$A$6:$A$405=$B1336)*(((職員マスタ!$G$6:$G$405="")+(職員マスタ!$G$6:$G$405&lt;=EOMONTH($AO1336,0)))&gt;0)*(((職員マスタ!$H$6:$H$405="")+(職員マスタ!$H$6:$H$405&gt;=$AO1336))&gt;0)*(ROW(職員マスタ!$A$6:$A$405)-5))),IFERROR(MATCH($B1336,職員マスタ!$A$6:$A$405,0),"")))</f>
        <v/>
      </c>
      <c r="AO1336" s="16">
        <f>IF(OR($B1336="",$C1336="",$D1336=""),"",DATE($C1336+2018,$D1336,1))</f>
        <v/>
      </c>
    </row>
    <row r="1337">
      <c r="A1337" s="11" t="n"/>
      <c r="B1337" s="12" t="n"/>
      <c r="C1337" s="12" t="n"/>
      <c r="D1337" s="12" t="n"/>
      <c r="E1337" s="13" t="n"/>
      <c r="F1337" s="12" t="n"/>
      <c r="G1337" s="13" t="n"/>
      <c r="H1337" s="12" t="n"/>
      <c r="I1337" s="12" t="n"/>
      <c r="J1337" s="12" t="n"/>
      <c r="K1337" s="12" t="n"/>
      <c r="L1337" s="11" t="n"/>
      <c r="M1337" s="11" t="n"/>
      <c r="N1337" s="11" t="n"/>
      <c r="O1337" s="11" t="n"/>
      <c r="P1337" s="12" t="n"/>
      <c r="Q1337" s="11" t="n"/>
      <c r="R1337" s="12" t="n"/>
      <c r="S1337" s="11" t="n"/>
      <c r="T1337" s="12" t="n"/>
      <c r="U1337" s="12" t="n"/>
      <c r="V1337" s="14">
        <f>IF($AN1337="",IF($B1337="","",$H1337),IF(INDEX(職員マスタ!$B$6:$B$405,$AN1337)="",$H1337,INDEX(職員マスタ!$B$6:$B$405,$AN1337)))</f>
        <v/>
      </c>
      <c r="W1337" s="14">
        <f>IF($AN1337="",IF($B1337="","",$R1337),IF(INDEX(職員マスタ!$C$6:$C$405,$AN1337)="",$R1337,INDEX(職員マスタ!$C$6:$C$405,$AN1337)))</f>
        <v/>
      </c>
      <c r="X1337" s="14">
        <f>IF($AO1337="","","R"&amp;$C1337&amp;"."&amp;$D1337)</f>
        <v/>
      </c>
      <c r="Y1337" s="15">
        <f>IF($AN1337="","",IF(INDEX(職員マスタ!$K$6:$K$405,$AN1337)="","",INDEX(職員マスタ!$K$6:$K$405,$AN1337)))</f>
        <v/>
      </c>
      <c r="Z1337" s="14">
        <f>IF(OR($E1337="",$Y1337=""),"",IF($E1337&gt;=$Y1337,"×",IF($E1337&gt;=$Y1337*設定!$C$5,"△","○")))</f>
        <v/>
      </c>
      <c r="AA1337" s="15">
        <f>IF($Z1337="","",IF($Z1337="×",0,IF($Z1337="○",ROUNDDOWN($E1337*設定!$C$4,0),ROUNDDOWN($E1337*ROUND((9*$Y1337-9*$E1337)/(10*$E1337),4),0))))</f>
        <v/>
      </c>
      <c r="AB1337" s="13" t="n"/>
      <c r="AC1337" s="15">
        <f>IF($B1337="","",IF($AB1337&lt;&gt;"",$AB1337,IF($AA1337="","",IF($AA1337&lt;=設定!$C$3,0,$AA1337))))</f>
        <v/>
      </c>
      <c r="AD1337" s="14">
        <f>IF($B1337="","",IF(AND($AE1337&lt;&gt;"",$AG1337="",$AJ1337=""),"保留中",IF($AJ1337&lt;&gt;"",IF(N($AC1337)&gt;0,"支給済","不支給"),IF($AC1337="","要確認",IF($AC1337=0,"不支給","未処理")))))</f>
        <v/>
      </c>
      <c r="AE1337" s="12" t="n"/>
      <c r="AF1337" s="11" t="n"/>
      <c r="AG1337" s="11" t="n"/>
      <c r="AH1337" s="11" t="n"/>
      <c r="AI1337" s="14">
        <f>IF(AND($AD1337="保留中",$AF1337&lt;&gt;""),TODAY()-$AF1337,"")</f>
        <v/>
      </c>
      <c r="AJ1337" s="12" t="n"/>
      <c r="AK1337" s="14">
        <f>IF($B1337="","",IF($AO1337="","対象年月が未入力／","")&amp;IF($B1337="","",IF($AN1337="","職員マスタに未登録の職員番号／",IF($Y1337="","標準報酬月額が未登録／","")&amp;IF(AND($AO1337&lt;&gt;"",OR(AND(INDEX(職員マスタ!$G$6:$G$405,$AN1337)&lt;&gt;"",INDEX(職員マスタ!$G$6:$G$405,$AN1337)&gt;EOMONTH($AO1337,0)),AND(INDEX(職員マスタ!$H$6:$H$405,$AN1337)&lt;&gt;"",INDEX(職員マスタ!$H$6:$H$405,$AN1337)&lt;$AO1337))),"対象月が時短期間外／","")&amp;IF(AND(INDEX(職員マスタ!$F$6:$F$405,$AN1337)&lt;&gt;"",$AO1337&lt;&gt;"",INDEX(職員マスタ!$F$6:$F$405,$AN1337)&lt;$AO1337),"対象月に子が2歳到達済／","")&amp;IF(AND($H1337&lt;&gt;"",INDEX(職員マスタ!$B$6:$B$405,$AN1337)&lt;&gt;"",SUBSTITUTE(SUBSTITUTE($H1337," ","")," ","")&lt;&gt;SUBSTITUTE(SUBSTITUTE(INDEX(職員マスタ!$B$6:$B$405,$AN1337)," ","")," ","")),"氏名がマスタと相違／","")&amp;IF(AND($Q1337&lt;&gt;"",INDEX(職員マスタ!$E$6:$E$405,$AN1337)&lt;&gt;"",$Q1337&lt;&gt;INDEX(職員マスタ!$E$6:$E$405,$AN1337)),"子の生年月日がマスタと相違／","")&amp;IF(AND($L1337&lt;&gt;"",INDEX(職員マスタ!$G$6:$G$405,$AN1337)&lt;&gt;"",$L1337&lt;&gt;INDEX(職員マスタ!$G$6:$G$405,$AN1337)),"時短開始日がマスタと相違／","")&amp;IF(AND($M1337&lt;&gt;"",INDEX(職員マスタ!$H$6:$H$405,$AN1337)&lt;&gt;"",$M1337&lt;&gt;INDEX(職員マスタ!$H$6:$H$405,$AN1337)),"時短終了日がマスタと相違／","")))&amp;IF(AND($B1337&lt;&gt;"",$E1337=""),"報酬額が未入力／","")&amp;IF(N($U1337)&gt;0,"申請書に入力エラーが残っています／","")&amp;IF(AND($B1337&lt;&gt;"",$AO1337&lt;&gt;""),IF(COUNTIFS($B$6:$B$3005,$B1337,$C$6:$C$3005,$C1337,$D$6:$D$3005,$D1337)&gt;1,"同じ月の請求が重複しています／",""),"")&amp;IF(AND(N($E1337)&gt;0,$Z1337&lt;&gt;"",$Z1337&lt;&gt;"×",$AC1337=0,$AB1337=""),"計算額が下限以下のため不支給／",""))</f>
        <v/>
      </c>
      <c r="AL1337" s="12" t="n"/>
      <c r="AM1337" s="14">
        <f>IF($AD1337="保留中",COUNTIF($AD$6:$AD1337,"保留中"),"")</f>
        <v/>
      </c>
      <c r="AN1337" s="14">
        <f>IF($AO1337="","",IF(SUMPRODUCT(MAX((職員マスタ!$A$6:$A$405=$B1337)*(((職員マスタ!$G$6:$G$405="")+(職員マスタ!$G$6:$G$405&lt;=EOMONTH($AO1337,0)))&gt;0)*(((職員マスタ!$H$6:$H$405="")+(職員マスタ!$H$6:$H$405&gt;=$AO1337))&gt;0)*(ROW(職員マスタ!$A$6:$A$405)-5)))&gt;0,SUMPRODUCT(MAX((職員マスタ!$A$6:$A$405=$B1337)*(((職員マスタ!$G$6:$G$405="")+(職員マスタ!$G$6:$G$405&lt;=EOMONTH($AO1337,0)))&gt;0)*(((職員マスタ!$H$6:$H$405="")+(職員マスタ!$H$6:$H$405&gt;=$AO1337))&gt;0)*(ROW(職員マスタ!$A$6:$A$405)-5))),IFERROR(MATCH($B1337,職員マスタ!$A$6:$A$405,0),"")))</f>
        <v/>
      </c>
      <c r="AO1337" s="16">
        <f>IF(OR($B1337="",$C1337="",$D1337=""),"",DATE($C1337+2018,$D1337,1))</f>
        <v/>
      </c>
    </row>
    <row r="1338">
      <c r="A1338" s="11" t="n"/>
      <c r="B1338" s="12" t="n"/>
      <c r="C1338" s="12" t="n"/>
      <c r="D1338" s="12" t="n"/>
      <c r="E1338" s="13" t="n"/>
      <c r="F1338" s="12" t="n"/>
      <c r="G1338" s="13" t="n"/>
      <c r="H1338" s="12" t="n"/>
      <c r="I1338" s="12" t="n"/>
      <c r="J1338" s="12" t="n"/>
      <c r="K1338" s="12" t="n"/>
      <c r="L1338" s="11" t="n"/>
      <c r="M1338" s="11" t="n"/>
      <c r="N1338" s="11" t="n"/>
      <c r="O1338" s="11" t="n"/>
      <c r="P1338" s="12" t="n"/>
      <c r="Q1338" s="11" t="n"/>
      <c r="R1338" s="12" t="n"/>
      <c r="S1338" s="11" t="n"/>
      <c r="T1338" s="12" t="n"/>
      <c r="U1338" s="12" t="n"/>
      <c r="V1338" s="14">
        <f>IF($AN1338="",IF($B1338="","",$H1338),IF(INDEX(職員マスタ!$B$6:$B$405,$AN1338)="",$H1338,INDEX(職員マスタ!$B$6:$B$405,$AN1338)))</f>
        <v/>
      </c>
      <c r="W1338" s="14">
        <f>IF($AN1338="",IF($B1338="","",$R1338),IF(INDEX(職員マスタ!$C$6:$C$405,$AN1338)="",$R1338,INDEX(職員マスタ!$C$6:$C$405,$AN1338)))</f>
        <v/>
      </c>
      <c r="X1338" s="14">
        <f>IF($AO1338="","","R"&amp;$C1338&amp;"."&amp;$D1338)</f>
        <v/>
      </c>
      <c r="Y1338" s="15">
        <f>IF($AN1338="","",IF(INDEX(職員マスタ!$K$6:$K$405,$AN1338)="","",INDEX(職員マスタ!$K$6:$K$405,$AN1338)))</f>
        <v/>
      </c>
      <c r="Z1338" s="14">
        <f>IF(OR($E1338="",$Y1338=""),"",IF($E1338&gt;=$Y1338,"×",IF($E1338&gt;=$Y1338*設定!$C$5,"△","○")))</f>
        <v/>
      </c>
      <c r="AA1338" s="15">
        <f>IF($Z1338="","",IF($Z1338="×",0,IF($Z1338="○",ROUNDDOWN($E1338*設定!$C$4,0),ROUNDDOWN($E1338*ROUND((9*$Y1338-9*$E1338)/(10*$E1338),4),0))))</f>
        <v/>
      </c>
      <c r="AB1338" s="13" t="n"/>
      <c r="AC1338" s="15">
        <f>IF($B1338="","",IF($AB1338&lt;&gt;"",$AB1338,IF($AA1338="","",IF($AA1338&lt;=設定!$C$3,0,$AA1338))))</f>
        <v/>
      </c>
      <c r="AD1338" s="14">
        <f>IF($B1338="","",IF(AND($AE1338&lt;&gt;"",$AG1338="",$AJ1338=""),"保留中",IF($AJ1338&lt;&gt;"",IF(N($AC1338)&gt;0,"支給済","不支給"),IF($AC1338="","要確認",IF($AC1338=0,"不支給","未処理")))))</f>
        <v/>
      </c>
      <c r="AE1338" s="12" t="n"/>
      <c r="AF1338" s="11" t="n"/>
      <c r="AG1338" s="11" t="n"/>
      <c r="AH1338" s="11" t="n"/>
      <c r="AI1338" s="14">
        <f>IF(AND($AD1338="保留中",$AF1338&lt;&gt;""),TODAY()-$AF1338,"")</f>
        <v/>
      </c>
      <c r="AJ1338" s="12" t="n"/>
      <c r="AK1338" s="14">
        <f>IF($B1338="","",IF($AO1338="","対象年月が未入力／","")&amp;IF($B1338="","",IF($AN1338="","職員マスタに未登録の職員番号／",IF($Y1338="","標準報酬月額が未登録／","")&amp;IF(AND($AO1338&lt;&gt;"",OR(AND(INDEX(職員マスタ!$G$6:$G$405,$AN1338)&lt;&gt;"",INDEX(職員マスタ!$G$6:$G$405,$AN1338)&gt;EOMONTH($AO1338,0)),AND(INDEX(職員マスタ!$H$6:$H$405,$AN1338)&lt;&gt;"",INDEX(職員マスタ!$H$6:$H$405,$AN1338)&lt;$AO1338))),"対象月が時短期間外／","")&amp;IF(AND(INDEX(職員マスタ!$F$6:$F$405,$AN1338)&lt;&gt;"",$AO1338&lt;&gt;"",INDEX(職員マスタ!$F$6:$F$405,$AN1338)&lt;$AO1338),"対象月に子が2歳到達済／","")&amp;IF(AND($H1338&lt;&gt;"",INDEX(職員マスタ!$B$6:$B$405,$AN1338)&lt;&gt;"",SUBSTITUTE(SUBSTITUTE($H1338," ","")," ","")&lt;&gt;SUBSTITUTE(SUBSTITUTE(INDEX(職員マスタ!$B$6:$B$405,$AN1338)," ","")," ","")),"氏名がマスタと相違／","")&amp;IF(AND($Q1338&lt;&gt;"",INDEX(職員マスタ!$E$6:$E$405,$AN1338)&lt;&gt;"",$Q1338&lt;&gt;INDEX(職員マスタ!$E$6:$E$405,$AN1338)),"子の生年月日がマスタと相違／","")&amp;IF(AND($L1338&lt;&gt;"",INDEX(職員マスタ!$G$6:$G$405,$AN1338)&lt;&gt;"",$L1338&lt;&gt;INDEX(職員マスタ!$G$6:$G$405,$AN1338)),"時短開始日がマスタと相違／","")&amp;IF(AND($M1338&lt;&gt;"",INDEX(職員マスタ!$H$6:$H$405,$AN1338)&lt;&gt;"",$M1338&lt;&gt;INDEX(職員マスタ!$H$6:$H$405,$AN1338)),"時短終了日がマスタと相違／","")))&amp;IF(AND($B1338&lt;&gt;"",$E1338=""),"報酬額が未入力／","")&amp;IF(N($U1338)&gt;0,"申請書に入力エラーが残っています／","")&amp;IF(AND($B1338&lt;&gt;"",$AO1338&lt;&gt;""),IF(COUNTIFS($B$6:$B$3005,$B1338,$C$6:$C$3005,$C1338,$D$6:$D$3005,$D1338)&gt;1,"同じ月の請求が重複しています／",""),"")&amp;IF(AND(N($E1338)&gt;0,$Z1338&lt;&gt;"",$Z1338&lt;&gt;"×",$AC1338=0,$AB1338=""),"計算額が下限以下のため不支給／",""))</f>
        <v/>
      </c>
      <c r="AL1338" s="12" t="n"/>
      <c r="AM1338" s="14">
        <f>IF($AD1338="保留中",COUNTIF($AD$6:$AD1338,"保留中"),"")</f>
        <v/>
      </c>
      <c r="AN1338" s="14">
        <f>IF($AO1338="","",IF(SUMPRODUCT(MAX((職員マスタ!$A$6:$A$405=$B1338)*(((職員マスタ!$G$6:$G$405="")+(職員マスタ!$G$6:$G$405&lt;=EOMONTH($AO1338,0)))&gt;0)*(((職員マスタ!$H$6:$H$405="")+(職員マスタ!$H$6:$H$405&gt;=$AO1338))&gt;0)*(ROW(職員マスタ!$A$6:$A$405)-5)))&gt;0,SUMPRODUCT(MAX((職員マスタ!$A$6:$A$405=$B1338)*(((職員マスタ!$G$6:$G$405="")+(職員マスタ!$G$6:$G$405&lt;=EOMONTH($AO1338,0)))&gt;0)*(((職員マスタ!$H$6:$H$405="")+(職員マスタ!$H$6:$H$405&gt;=$AO1338))&gt;0)*(ROW(職員マスタ!$A$6:$A$405)-5))),IFERROR(MATCH($B1338,職員マスタ!$A$6:$A$405,0),"")))</f>
        <v/>
      </c>
      <c r="AO1338" s="16">
        <f>IF(OR($B1338="",$C1338="",$D1338=""),"",DATE($C1338+2018,$D1338,1))</f>
        <v/>
      </c>
    </row>
    <row r="1339">
      <c r="A1339" s="11" t="n"/>
      <c r="B1339" s="12" t="n"/>
      <c r="C1339" s="12" t="n"/>
      <c r="D1339" s="12" t="n"/>
      <c r="E1339" s="13" t="n"/>
      <c r="F1339" s="12" t="n"/>
      <c r="G1339" s="13" t="n"/>
      <c r="H1339" s="12" t="n"/>
      <c r="I1339" s="12" t="n"/>
      <c r="J1339" s="12" t="n"/>
      <c r="K1339" s="12" t="n"/>
      <c r="L1339" s="11" t="n"/>
      <c r="M1339" s="11" t="n"/>
      <c r="N1339" s="11" t="n"/>
      <c r="O1339" s="11" t="n"/>
      <c r="P1339" s="12" t="n"/>
      <c r="Q1339" s="11" t="n"/>
      <c r="R1339" s="12" t="n"/>
      <c r="S1339" s="11" t="n"/>
      <c r="T1339" s="12" t="n"/>
      <c r="U1339" s="12" t="n"/>
      <c r="V1339" s="14">
        <f>IF($AN1339="",IF($B1339="","",$H1339),IF(INDEX(職員マスタ!$B$6:$B$405,$AN1339)="",$H1339,INDEX(職員マスタ!$B$6:$B$405,$AN1339)))</f>
        <v/>
      </c>
      <c r="W1339" s="14">
        <f>IF($AN1339="",IF($B1339="","",$R1339),IF(INDEX(職員マスタ!$C$6:$C$405,$AN1339)="",$R1339,INDEX(職員マスタ!$C$6:$C$405,$AN1339)))</f>
        <v/>
      </c>
      <c r="X1339" s="14">
        <f>IF($AO1339="","","R"&amp;$C1339&amp;"."&amp;$D1339)</f>
        <v/>
      </c>
      <c r="Y1339" s="15">
        <f>IF($AN1339="","",IF(INDEX(職員マスタ!$K$6:$K$405,$AN1339)="","",INDEX(職員マスタ!$K$6:$K$405,$AN1339)))</f>
        <v/>
      </c>
      <c r="Z1339" s="14">
        <f>IF(OR($E1339="",$Y1339=""),"",IF($E1339&gt;=$Y1339,"×",IF($E1339&gt;=$Y1339*設定!$C$5,"△","○")))</f>
        <v/>
      </c>
      <c r="AA1339" s="15">
        <f>IF($Z1339="","",IF($Z1339="×",0,IF($Z1339="○",ROUNDDOWN($E1339*設定!$C$4,0),ROUNDDOWN($E1339*ROUND((9*$Y1339-9*$E1339)/(10*$E1339),4),0))))</f>
        <v/>
      </c>
      <c r="AB1339" s="13" t="n"/>
      <c r="AC1339" s="15">
        <f>IF($B1339="","",IF($AB1339&lt;&gt;"",$AB1339,IF($AA1339="","",IF($AA1339&lt;=設定!$C$3,0,$AA1339))))</f>
        <v/>
      </c>
      <c r="AD1339" s="14">
        <f>IF($B1339="","",IF(AND($AE1339&lt;&gt;"",$AG1339="",$AJ1339=""),"保留中",IF($AJ1339&lt;&gt;"",IF(N($AC1339)&gt;0,"支給済","不支給"),IF($AC1339="","要確認",IF($AC1339=0,"不支給","未処理")))))</f>
        <v/>
      </c>
      <c r="AE1339" s="12" t="n"/>
      <c r="AF1339" s="11" t="n"/>
      <c r="AG1339" s="11" t="n"/>
      <c r="AH1339" s="11" t="n"/>
      <c r="AI1339" s="14">
        <f>IF(AND($AD1339="保留中",$AF1339&lt;&gt;""),TODAY()-$AF1339,"")</f>
        <v/>
      </c>
      <c r="AJ1339" s="12" t="n"/>
      <c r="AK1339" s="14">
        <f>IF($B1339="","",IF($AO1339="","対象年月が未入力／","")&amp;IF($B1339="","",IF($AN1339="","職員マスタに未登録の職員番号／",IF($Y1339="","標準報酬月額が未登録／","")&amp;IF(AND($AO1339&lt;&gt;"",OR(AND(INDEX(職員マスタ!$G$6:$G$405,$AN1339)&lt;&gt;"",INDEX(職員マスタ!$G$6:$G$405,$AN1339)&gt;EOMONTH($AO1339,0)),AND(INDEX(職員マスタ!$H$6:$H$405,$AN1339)&lt;&gt;"",INDEX(職員マスタ!$H$6:$H$405,$AN1339)&lt;$AO1339))),"対象月が時短期間外／","")&amp;IF(AND(INDEX(職員マスタ!$F$6:$F$405,$AN1339)&lt;&gt;"",$AO1339&lt;&gt;"",INDEX(職員マスタ!$F$6:$F$405,$AN1339)&lt;$AO1339),"対象月に子が2歳到達済／","")&amp;IF(AND($H1339&lt;&gt;"",INDEX(職員マスタ!$B$6:$B$405,$AN1339)&lt;&gt;"",SUBSTITUTE(SUBSTITUTE($H1339," ","")," ","")&lt;&gt;SUBSTITUTE(SUBSTITUTE(INDEX(職員マスタ!$B$6:$B$405,$AN1339)," ","")," ","")),"氏名がマスタと相違／","")&amp;IF(AND($Q1339&lt;&gt;"",INDEX(職員マスタ!$E$6:$E$405,$AN1339)&lt;&gt;"",$Q1339&lt;&gt;INDEX(職員マスタ!$E$6:$E$405,$AN1339)),"子の生年月日がマスタと相違／","")&amp;IF(AND($L1339&lt;&gt;"",INDEX(職員マスタ!$G$6:$G$405,$AN1339)&lt;&gt;"",$L1339&lt;&gt;INDEX(職員マスタ!$G$6:$G$405,$AN1339)),"時短開始日がマスタと相違／","")&amp;IF(AND($M1339&lt;&gt;"",INDEX(職員マスタ!$H$6:$H$405,$AN1339)&lt;&gt;"",$M1339&lt;&gt;INDEX(職員マスタ!$H$6:$H$405,$AN1339)),"時短終了日がマスタと相違／","")))&amp;IF(AND($B1339&lt;&gt;"",$E1339=""),"報酬額が未入力／","")&amp;IF(N($U1339)&gt;0,"申請書に入力エラーが残っています／","")&amp;IF(AND($B1339&lt;&gt;"",$AO1339&lt;&gt;""),IF(COUNTIFS($B$6:$B$3005,$B1339,$C$6:$C$3005,$C1339,$D$6:$D$3005,$D1339)&gt;1,"同じ月の請求が重複しています／",""),"")&amp;IF(AND(N($E1339)&gt;0,$Z1339&lt;&gt;"",$Z1339&lt;&gt;"×",$AC1339=0,$AB1339=""),"計算額が下限以下のため不支給／",""))</f>
        <v/>
      </c>
      <c r="AL1339" s="12" t="n"/>
      <c r="AM1339" s="14">
        <f>IF($AD1339="保留中",COUNTIF($AD$6:$AD1339,"保留中"),"")</f>
        <v/>
      </c>
      <c r="AN1339" s="14">
        <f>IF($AO1339="","",IF(SUMPRODUCT(MAX((職員マスタ!$A$6:$A$405=$B1339)*(((職員マスタ!$G$6:$G$405="")+(職員マスタ!$G$6:$G$405&lt;=EOMONTH($AO1339,0)))&gt;0)*(((職員マスタ!$H$6:$H$405="")+(職員マスタ!$H$6:$H$405&gt;=$AO1339))&gt;0)*(ROW(職員マスタ!$A$6:$A$405)-5)))&gt;0,SUMPRODUCT(MAX((職員マスタ!$A$6:$A$405=$B1339)*(((職員マスタ!$G$6:$G$405="")+(職員マスタ!$G$6:$G$405&lt;=EOMONTH($AO1339,0)))&gt;0)*(((職員マスタ!$H$6:$H$405="")+(職員マスタ!$H$6:$H$405&gt;=$AO1339))&gt;0)*(ROW(職員マスタ!$A$6:$A$405)-5))),IFERROR(MATCH($B1339,職員マスタ!$A$6:$A$405,0),"")))</f>
        <v/>
      </c>
      <c r="AO1339" s="16">
        <f>IF(OR($B1339="",$C1339="",$D1339=""),"",DATE($C1339+2018,$D1339,1))</f>
        <v/>
      </c>
    </row>
    <row r="1340">
      <c r="A1340" s="11" t="n"/>
      <c r="B1340" s="12" t="n"/>
      <c r="C1340" s="12" t="n"/>
      <c r="D1340" s="12" t="n"/>
      <c r="E1340" s="13" t="n"/>
      <c r="F1340" s="12" t="n"/>
      <c r="G1340" s="13" t="n"/>
      <c r="H1340" s="12" t="n"/>
      <c r="I1340" s="12" t="n"/>
      <c r="J1340" s="12" t="n"/>
      <c r="K1340" s="12" t="n"/>
      <c r="L1340" s="11" t="n"/>
      <c r="M1340" s="11" t="n"/>
      <c r="N1340" s="11" t="n"/>
      <c r="O1340" s="11" t="n"/>
      <c r="P1340" s="12" t="n"/>
      <c r="Q1340" s="11" t="n"/>
      <c r="R1340" s="12" t="n"/>
      <c r="S1340" s="11" t="n"/>
      <c r="T1340" s="12" t="n"/>
      <c r="U1340" s="12" t="n"/>
      <c r="V1340" s="14">
        <f>IF($AN1340="",IF($B1340="","",$H1340),IF(INDEX(職員マスタ!$B$6:$B$405,$AN1340)="",$H1340,INDEX(職員マスタ!$B$6:$B$405,$AN1340)))</f>
        <v/>
      </c>
      <c r="W1340" s="14">
        <f>IF($AN1340="",IF($B1340="","",$R1340),IF(INDEX(職員マスタ!$C$6:$C$405,$AN1340)="",$R1340,INDEX(職員マスタ!$C$6:$C$405,$AN1340)))</f>
        <v/>
      </c>
      <c r="X1340" s="14">
        <f>IF($AO1340="","","R"&amp;$C1340&amp;"."&amp;$D1340)</f>
        <v/>
      </c>
      <c r="Y1340" s="15">
        <f>IF($AN1340="","",IF(INDEX(職員マスタ!$K$6:$K$405,$AN1340)="","",INDEX(職員マスタ!$K$6:$K$405,$AN1340)))</f>
        <v/>
      </c>
      <c r="Z1340" s="14">
        <f>IF(OR($E1340="",$Y1340=""),"",IF($E1340&gt;=$Y1340,"×",IF($E1340&gt;=$Y1340*設定!$C$5,"△","○")))</f>
        <v/>
      </c>
      <c r="AA1340" s="15">
        <f>IF($Z1340="","",IF($Z1340="×",0,IF($Z1340="○",ROUNDDOWN($E1340*設定!$C$4,0),ROUNDDOWN($E1340*ROUND((9*$Y1340-9*$E1340)/(10*$E1340),4),0))))</f>
        <v/>
      </c>
      <c r="AB1340" s="13" t="n"/>
      <c r="AC1340" s="15">
        <f>IF($B1340="","",IF($AB1340&lt;&gt;"",$AB1340,IF($AA1340="","",IF($AA1340&lt;=設定!$C$3,0,$AA1340))))</f>
        <v/>
      </c>
      <c r="AD1340" s="14">
        <f>IF($B1340="","",IF(AND($AE1340&lt;&gt;"",$AG1340="",$AJ1340=""),"保留中",IF($AJ1340&lt;&gt;"",IF(N($AC1340)&gt;0,"支給済","不支給"),IF($AC1340="","要確認",IF($AC1340=0,"不支給","未処理")))))</f>
        <v/>
      </c>
      <c r="AE1340" s="12" t="n"/>
      <c r="AF1340" s="11" t="n"/>
      <c r="AG1340" s="11" t="n"/>
      <c r="AH1340" s="11" t="n"/>
      <c r="AI1340" s="14">
        <f>IF(AND($AD1340="保留中",$AF1340&lt;&gt;""),TODAY()-$AF1340,"")</f>
        <v/>
      </c>
      <c r="AJ1340" s="12" t="n"/>
      <c r="AK1340" s="14">
        <f>IF($B1340="","",IF($AO1340="","対象年月が未入力／","")&amp;IF($B1340="","",IF($AN1340="","職員マスタに未登録の職員番号／",IF($Y1340="","標準報酬月額が未登録／","")&amp;IF(AND($AO1340&lt;&gt;"",OR(AND(INDEX(職員マスタ!$G$6:$G$405,$AN1340)&lt;&gt;"",INDEX(職員マスタ!$G$6:$G$405,$AN1340)&gt;EOMONTH($AO1340,0)),AND(INDEX(職員マスタ!$H$6:$H$405,$AN1340)&lt;&gt;"",INDEX(職員マスタ!$H$6:$H$405,$AN1340)&lt;$AO1340))),"対象月が時短期間外／","")&amp;IF(AND(INDEX(職員マスタ!$F$6:$F$405,$AN1340)&lt;&gt;"",$AO1340&lt;&gt;"",INDEX(職員マスタ!$F$6:$F$405,$AN1340)&lt;$AO1340),"対象月に子が2歳到達済／","")&amp;IF(AND($H1340&lt;&gt;"",INDEX(職員マスタ!$B$6:$B$405,$AN1340)&lt;&gt;"",SUBSTITUTE(SUBSTITUTE($H1340," ","")," ","")&lt;&gt;SUBSTITUTE(SUBSTITUTE(INDEX(職員マスタ!$B$6:$B$405,$AN1340)," ","")," ","")),"氏名がマスタと相違／","")&amp;IF(AND($Q1340&lt;&gt;"",INDEX(職員マスタ!$E$6:$E$405,$AN1340)&lt;&gt;"",$Q1340&lt;&gt;INDEX(職員マスタ!$E$6:$E$405,$AN1340)),"子の生年月日がマスタと相違／","")&amp;IF(AND($L1340&lt;&gt;"",INDEX(職員マスタ!$G$6:$G$405,$AN1340)&lt;&gt;"",$L1340&lt;&gt;INDEX(職員マスタ!$G$6:$G$405,$AN1340)),"時短開始日がマスタと相違／","")&amp;IF(AND($M1340&lt;&gt;"",INDEX(職員マスタ!$H$6:$H$405,$AN1340)&lt;&gt;"",$M1340&lt;&gt;INDEX(職員マスタ!$H$6:$H$405,$AN1340)),"時短終了日がマスタと相違／","")))&amp;IF(AND($B1340&lt;&gt;"",$E1340=""),"報酬額が未入力／","")&amp;IF(N($U1340)&gt;0,"申請書に入力エラーが残っています／","")&amp;IF(AND($B1340&lt;&gt;"",$AO1340&lt;&gt;""),IF(COUNTIFS($B$6:$B$3005,$B1340,$C$6:$C$3005,$C1340,$D$6:$D$3005,$D1340)&gt;1,"同じ月の請求が重複しています／",""),"")&amp;IF(AND(N($E1340)&gt;0,$Z1340&lt;&gt;"",$Z1340&lt;&gt;"×",$AC1340=0,$AB1340=""),"計算額が下限以下のため不支給／",""))</f>
        <v/>
      </c>
      <c r="AL1340" s="12" t="n"/>
      <c r="AM1340" s="14">
        <f>IF($AD1340="保留中",COUNTIF($AD$6:$AD1340,"保留中"),"")</f>
        <v/>
      </c>
      <c r="AN1340" s="14">
        <f>IF($AO1340="","",IF(SUMPRODUCT(MAX((職員マスタ!$A$6:$A$405=$B1340)*(((職員マスタ!$G$6:$G$405="")+(職員マスタ!$G$6:$G$405&lt;=EOMONTH($AO1340,0)))&gt;0)*(((職員マスタ!$H$6:$H$405="")+(職員マスタ!$H$6:$H$405&gt;=$AO1340))&gt;0)*(ROW(職員マスタ!$A$6:$A$405)-5)))&gt;0,SUMPRODUCT(MAX((職員マスタ!$A$6:$A$405=$B1340)*(((職員マスタ!$G$6:$G$405="")+(職員マスタ!$G$6:$G$405&lt;=EOMONTH($AO1340,0)))&gt;0)*(((職員マスタ!$H$6:$H$405="")+(職員マスタ!$H$6:$H$405&gt;=$AO1340))&gt;0)*(ROW(職員マスタ!$A$6:$A$405)-5))),IFERROR(MATCH($B1340,職員マスタ!$A$6:$A$405,0),"")))</f>
        <v/>
      </c>
      <c r="AO1340" s="16">
        <f>IF(OR($B1340="",$C1340="",$D1340=""),"",DATE($C1340+2018,$D1340,1))</f>
        <v/>
      </c>
    </row>
    <row r="1341">
      <c r="A1341" s="11" t="n"/>
      <c r="B1341" s="12" t="n"/>
      <c r="C1341" s="12" t="n"/>
      <c r="D1341" s="12" t="n"/>
      <c r="E1341" s="13" t="n"/>
      <c r="F1341" s="12" t="n"/>
      <c r="G1341" s="13" t="n"/>
      <c r="H1341" s="12" t="n"/>
      <c r="I1341" s="12" t="n"/>
      <c r="J1341" s="12" t="n"/>
      <c r="K1341" s="12" t="n"/>
      <c r="L1341" s="11" t="n"/>
      <c r="M1341" s="11" t="n"/>
      <c r="N1341" s="11" t="n"/>
      <c r="O1341" s="11" t="n"/>
      <c r="P1341" s="12" t="n"/>
      <c r="Q1341" s="11" t="n"/>
      <c r="R1341" s="12" t="n"/>
      <c r="S1341" s="11" t="n"/>
      <c r="T1341" s="12" t="n"/>
      <c r="U1341" s="12" t="n"/>
      <c r="V1341" s="14">
        <f>IF($AN1341="",IF($B1341="","",$H1341),IF(INDEX(職員マスタ!$B$6:$B$405,$AN1341)="",$H1341,INDEX(職員マスタ!$B$6:$B$405,$AN1341)))</f>
        <v/>
      </c>
      <c r="W1341" s="14">
        <f>IF($AN1341="",IF($B1341="","",$R1341),IF(INDEX(職員マスタ!$C$6:$C$405,$AN1341)="",$R1341,INDEX(職員マスタ!$C$6:$C$405,$AN1341)))</f>
        <v/>
      </c>
      <c r="X1341" s="14">
        <f>IF($AO1341="","","R"&amp;$C1341&amp;"."&amp;$D1341)</f>
        <v/>
      </c>
      <c r="Y1341" s="15">
        <f>IF($AN1341="","",IF(INDEX(職員マスタ!$K$6:$K$405,$AN1341)="","",INDEX(職員マスタ!$K$6:$K$405,$AN1341)))</f>
        <v/>
      </c>
      <c r="Z1341" s="14">
        <f>IF(OR($E1341="",$Y1341=""),"",IF($E1341&gt;=$Y1341,"×",IF($E1341&gt;=$Y1341*設定!$C$5,"△","○")))</f>
        <v/>
      </c>
      <c r="AA1341" s="15">
        <f>IF($Z1341="","",IF($Z1341="×",0,IF($Z1341="○",ROUNDDOWN($E1341*設定!$C$4,0),ROUNDDOWN($E1341*ROUND((9*$Y1341-9*$E1341)/(10*$E1341),4),0))))</f>
        <v/>
      </c>
      <c r="AB1341" s="13" t="n"/>
      <c r="AC1341" s="15">
        <f>IF($B1341="","",IF($AB1341&lt;&gt;"",$AB1341,IF($AA1341="","",IF($AA1341&lt;=設定!$C$3,0,$AA1341))))</f>
        <v/>
      </c>
      <c r="AD1341" s="14">
        <f>IF($B1341="","",IF(AND($AE1341&lt;&gt;"",$AG1341="",$AJ1341=""),"保留中",IF($AJ1341&lt;&gt;"",IF(N($AC1341)&gt;0,"支給済","不支給"),IF($AC1341="","要確認",IF($AC1341=0,"不支給","未処理")))))</f>
        <v/>
      </c>
      <c r="AE1341" s="12" t="n"/>
      <c r="AF1341" s="11" t="n"/>
      <c r="AG1341" s="11" t="n"/>
      <c r="AH1341" s="11" t="n"/>
      <c r="AI1341" s="14">
        <f>IF(AND($AD1341="保留中",$AF1341&lt;&gt;""),TODAY()-$AF1341,"")</f>
        <v/>
      </c>
      <c r="AJ1341" s="12" t="n"/>
      <c r="AK1341" s="14">
        <f>IF($B1341="","",IF($AO1341="","対象年月が未入力／","")&amp;IF($B1341="","",IF($AN1341="","職員マスタに未登録の職員番号／",IF($Y1341="","標準報酬月額が未登録／","")&amp;IF(AND($AO1341&lt;&gt;"",OR(AND(INDEX(職員マスタ!$G$6:$G$405,$AN1341)&lt;&gt;"",INDEX(職員マスタ!$G$6:$G$405,$AN1341)&gt;EOMONTH($AO1341,0)),AND(INDEX(職員マスタ!$H$6:$H$405,$AN1341)&lt;&gt;"",INDEX(職員マスタ!$H$6:$H$405,$AN1341)&lt;$AO1341))),"対象月が時短期間外／","")&amp;IF(AND(INDEX(職員マスタ!$F$6:$F$405,$AN1341)&lt;&gt;"",$AO1341&lt;&gt;"",INDEX(職員マスタ!$F$6:$F$405,$AN1341)&lt;$AO1341),"対象月に子が2歳到達済／","")&amp;IF(AND($H1341&lt;&gt;"",INDEX(職員マスタ!$B$6:$B$405,$AN1341)&lt;&gt;"",SUBSTITUTE(SUBSTITUTE($H1341," ","")," ","")&lt;&gt;SUBSTITUTE(SUBSTITUTE(INDEX(職員マスタ!$B$6:$B$405,$AN1341)," ","")," ","")),"氏名がマスタと相違／","")&amp;IF(AND($Q1341&lt;&gt;"",INDEX(職員マスタ!$E$6:$E$405,$AN1341)&lt;&gt;"",$Q1341&lt;&gt;INDEX(職員マスタ!$E$6:$E$405,$AN1341)),"子の生年月日がマスタと相違／","")&amp;IF(AND($L1341&lt;&gt;"",INDEX(職員マスタ!$G$6:$G$405,$AN1341)&lt;&gt;"",$L1341&lt;&gt;INDEX(職員マスタ!$G$6:$G$405,$AN1341)),"時短開始日がマスタと相違／","")&amp;IF(AND($M1341&lt;&gt;"",INDEX(職員マスタ!$H$6:$H$405,$AN1341)&lt;&gt;"",$M1341&lt;&gt;INDEX(職員マスタ!$H$6:$H$405,$AN1341)),"時短終了日がマスタと相違／","")))&amp;IF(AND($B1341&lt;&gt;"",$E1341=""),"報酬額が未入力／","")&amp;IF(N($U1341)&gt;0,"申請書に入力エラーが残っています／","")&amp;IF(AND($B1341&lt;&gt;"",$AO1341&lt;&gt;""),IF(COUNTIFS($B$6:$B$3005,$B1341,$C$6:$C$3005,$C1341,$D$6:$D$3005,$D1341)&gt;1,"同じ月の請求が重複しています／",""),"")&amp;IF(AND(N($E1341)&gt;0,$Z1341&lt;&gt;"",$Z1341&lt;&gt;"×",$AC1341=0,$AB1341=""),"計算額が下限以下のため不支給／",""))</f>
        <v/>
      </c>
      <c r="AL1341" s="12" t="n"/>
      <c r="AM1341" s="14">
        <f>IF($AD1341="保留中",COUNTIF($AD$6:$AD1341,"保留中"),"")</f>
        <v/>
      </c>
      <c r="AN1341" s="14">
        <f>IF($AO1341="","",IF(SUMPRODUCT(MAX((職員マスタ!$A$6:$A$405=$B1341)*(((職員マスタ!$G$6:$G$405="")+(職員マスタ!$G$6:$G$405&lt;=EOMONTH($AO1341,0)))&gt;0)*(((職員マスタ!$H$6:$H$405="")+(職員マスタ!$H$6:$H$405&gt;=$AO1341))&gt;0)*(ROW(職員マスタ!$A$6:$A$405)-5)))&gt;0,SUMPRODUCT(MAX((職員マスタ!$A$6:$A$405=$B1341)*(((職員マスタ!$G$6:$G$405="")+(職員マスタ!$G$6:$G$405&lt;=EOMONTH($AO1341,0)))&gt;0)*(((職員マスタ!$H$6:$H$405="")+(職員マスタ!$H$6:$H$405&gt;=$AO1341))&gt;0)*(ROW(職員マスタ!$A$6:$A$405)-5))),IFERROR(MATCH($B1341,職員マスタ!$A$6:$A$405,0),"")))</f>
        <v/>
      </c>
      <c r="AO1341" s="16">
        <f>IF(OR($B1341="",$C1341="",$D1341=""),"",DATE($C1341+2018,$D1341,1))</f>
        <v/>
      </c>
    </row>
    <row r="1342">
      <c r="A1342" s="11" t="n"/>
      <c r="B1342" s="12" t="n"/>
      <c r="C1342" s="12" t="n"/>
      <c r="D1342" s="12" t="n"/>
      <c r="E1342" s="13" t="n"/>
      <c r="F1342" s="12" t="n"/>
      <c r="G1342" s="13" t="n"/>
      <c r="H1342" s="12" t="n"/>
      <c r="I1342" s="12" t="n"/>
      <c r="J1342" s="12" t="n"/>
      <c r="K1342" s="12" t="n"/>
      <c r="L1342" s="11" t="n"/>
      <c r="M1342" s="11" t="n"/>
      <c r="N1342" s="11" t="n"/>
      <c r="O1342" s="11" t="n"/>
      <c r="P1342" s="12" t="n"/>
      <c r="Q1342" s="11" t="n"/>
      <c r="R1342" s="12" t="n"/>
      <c r="S1342" s="11" t="n"/>
      <c r="T1342" s="12" t="n"/>
      <c r="U1342" s="12" t="n"/>
      <c r="V1342" s="14">
        <f>IF($AN1342="",IF($B1342="","",$H1342),IF(INDEX(職員マスタ!$B$6:$B$405,$AN1342)="",$H1342,INDEX(職員マスタ!$B$6:$B$405,$AN1342)))</f>
        <v/>
      </c>
      <c r="W1342" s="14">
        <f>IF($AN1342="",IF($B1342="","",$R1342),IF(INDEX(職員マスタ!$C$6:$C$405,$AN1342)="",$R1342,INDEX(職員マスタ!$C$6:$C$405,$AN1342)))</f>
        <v/>
      </c>
      <c r="X1342" s="14">
        <f>IF($AO1342="","","R"&amp;$C1342&amp;"."&amp;$D1342)</f>
        <v/>
      </c>
      <c r="Y1342" s="15">
        <f>IF($AN1342="","",IF(INDEX(職員マスタ!$K$6:$K$405,$AN1342)="","",INDEX(職員マスタ!$K$6:$K$405,$AN1342)))</f>
        <v/>
      </c>
      <c r="Z1342" s="14">
        <f>IF(OR($E1342="",$Y1342=""),"",IF($E1342&gt;=$Y1342,"×",IF($E1342&gt;=$Y1342*設定!$C$5,"△","○")))</f>
        <v/>
      </c>
      <c r="AA1342" s="15">
        <f>IF($Z1342="","",IF($Z1342="×",0,IF($Z1342="○",ROUNDDOWN($E1342*設定!$C$4,0),ROUNDDOWN($E1342*ROUND((9*$Y1342-9*$E1342)/(10*$E1342),4),0))))</f>
        <v/>
      </c>
      <c r="AB1342" s="13" t="n"/>
      <c r="AC1342" s="15">
        <f>IF($B1342="","",IF($AB1342&lt;&gt;"",$AB1342,IF($AA1342="","",IF($AA1342&lt;=設定!$C$3,0,$AA1342))))</f>
        <v/>
      </c>
      <c r="AD1342" s="14">
        <f>IF($B1342="","",IF(AND($AE1342&lt;&gt;"",$AG1342="",$AJ1342=""),"保留中",IF($AJ1342&lt;&gt;"",IF(N($AC1342)&gt;0,"支給済","不支給"),IF($AC1342="","要確認",IF($AC1342=0,"不支給","未処理")))))</f>
        <v/>
      </c>
      <c r="AE1342" s="12" t="n"/>
      <c r="AF1342" s="11" t="n"/>
      <c r="AG1342" s="11" t="n"/>
      <c r="AH1342" s="11" t="n"/>
      <c r="AI1342" s="14">
        <f>IF(AND($AD1342="保留中",$AF1342&lt;&gt;""),TODAY()-$AF1342,"")</f>
        <v/>
      </c>
      <c r="AJ1342" s="12" t="n"/>
      <c r="AK1342" s="14">
        <f>IF($B1342="","",IF($AO1342="","対象年月が未入力／","")&amp;IF($B1342="","",IF($AN1342="","職員マスタに未登録の職員番号／",IF($Y1342="","標準報酬月額が未登録／","")&amp;IF(AND($AO1342&lt;&gt;"",OR(AND(INDEX(職員マスタ!$G$6:$G$405,$AN1342)&lt;&gt;"",INDEX(職員マスタ!$G$6:$G$405,$AN1342)&gt;EOMONTH($AO1342,0)),AND(INDEX(職員マスタ!$H$6:$H$405,$AN1342)&lt;&gt;"",INDEX(職員マスタ!$H$6:$H$405,$AN1342)&lt;$AO1342))),"対象月が時短期間外／","")&amp;IF(AND(INDEX(職員マスタ!$F$6:$F$405,$AN1342)&lt;&gt;"",$AO1342&lt;&gt;"",INDEX(職員マスタ!$F$6:$F$405,$AN1342)&lt;$AO1342),"対象月に子が2歳到達済／","")&amp;IF(AND($H1342&lt;&gt;"",INDEX(職員マスタ!$B$6:$B$405,$AN1342)&lt;&gt;"",SUBSTITUTE(SUBSTITUTE($H1342," ","")," ","")&lt;&gt;SUBSTITUTE(SUBSTITUTE(INDEX(職員マスタ!$B$6:$B$405,$AN1342)," ","")," ","")),"氏名がマスタと相違／","")&amp;IF(AND($Q1342&lt;&gt;"",INDEX(職員マスタ!$E$6:$E$405,$AN1342)&lt;&gt;"",$Q1342&lt;&gt;INDEX(職員マスタ!$E$6:$E$405,$AN1342)),"子の生年月日がマスタと相違／","")&amp;IF(AND($L1342&lt;&gt;"",INDEX(職員マスタ!$G$6:$G$405,$AN1342)&lt;&gt;"",$L1342&lt;&gt;INDEX(職員マスタ!$G$6:$G$405,$AN1342)),"時短開始日がマスタと相違／","")&amp;IF(AND($M1342&lt;&gt;"",INDEX(職員マスタ!$H$6:$H$405,$AN1342)&lt;&gt;"",$M1342&lt;&gt;INDEX(職員マスタ!$H$6:$H$405,$AN1342)),"時短終了日がマスタと相違／","")))&amp;IF(AND($B1342&lt;&gt;"",$E1342=""),"報酬額が未入力／","")&amp;IF(N($U1342)&gt;0,"申請書に入力エラーが残っています／","")&amp;IF(AND($B1342&lt;&gt;"",$AO1342&lt;&gt;""),IF(COUNTIFS($B$6:$B$3005,$B1342,$C$6:$C$3005,$C1342,$D$6:$D$3005,$D1342)&gt;1,"同じ月の請求が重複しています／",""),"")&amp;IF(AND(N($E1342)&gt;0,$Z1342&lt;&gt;"",$Z1342&lt;&gt;"×",$AC1342=0,$AB1342=""),"計算額が下限以下のため不支給／",""))</f>
        <v/>
      </c>
      <c r="AL1342" s="12" t="n"/>
      <c r="AM1342" s="14">
        <f>IF($AD1342="保留中",COUNTIF($AD$6:$AD1342,"保留中"),"")</f>
        <v/>
      </c>
      <c r="AN1342" s="14">
        <f>IF($AO1342="","",IF(SUMPRODUCT(MAX((職員マスタ!$A$6:$A$405=$B1342)*(((職員マスタ!$G$6:$G$405="")+(職員マスタ!$G$6:$G$405&lt;=EOMONTH($AO1342,0)))&gt;0)*(((職員マスタ!$H$6:$H$405="")+(職員マスタ!$H$6:$H$405&gt;=$AO1342))&gt;0)*(ROW(職員マスタ!$A$6:$A$405)-5)))&gt;0,SUMPRODUCT(MAX((職員マスタ!$A$6:$A$405=$B1342)*(((職員マスタ!$G$6:$G$405="")+(職員マスタ!$G$6:$G$405&lt;=EOMONTH($AO1342,0)))&gt;0)*(((職員マスタ!$H$6:$H$405="")+(職員マスタ!$H$6:$H$405&gt;=$AO1342))&gt;0)*(ROW(職員マスタ!$A$6:$A$405)-5))),IFERROR(MATCH($B1342,職員マスタ!$A$6:$A$405,0),"")))</f>
        <v/>
      </c>
      <c r="AO1342" s="16">
        <f>IF(OR($B1342="",$C1342="",$D1342=""),"",DATE($C1342+2018,$D1342,1))</f>
        <v/>
      </c>
    </row>
    <row r="1343">
      <c r="A1343" s="11" t="n"/>
      <c r="B1343" s="12" t="n"/>
      <c r="C1343" s="12" t="n"/>
      <c r="D1343" s="12" t="n"/>
      <c r="E1343" s="13" t="n"/>
      <c r="F1343" s="12" t="n"/>
      <c r="G1343" s="13" t="n"/>
      <c r="H1343" s="12" t="n"/>
      <c r="I1343" s="12" t="n"/>
      <c r="J1343" s="12" t="n"/>
      <c r="K1343" s="12" t="n"/>
      <c r="L1343" s="11" t="n"/>
      <c r="M1343" s="11" t="n"/>
      <c r="N1343" s="11" t="n"/>
      <c r="O1343" s="11" t="n"/>
      <c r="P1343" s="12" t="n"/>
      <c r="Q1343" s="11" t="n"/>
      <c r="R1343" s="12" t="n"/>
      <c r="S1343" s="11" t="n"/>
      <c r="T1343" s="12" t="n"/>
      <c r="U1343" s="12" t="n"/>
      <c r="V1343" s="14">
        <f>IF($AN1343="",IF($B1343="","",$H1343),IF(INDEX(職員マスタ!$B$6:$B$405,$AN1343)="",$H1343,INDEX(職員マスタ!$B$6:$B$405,$AN1343)))</f>
        <v/>
      </c>
      <c r="W1343" s="14">
        <f>IF($AN1343="",IF($B1343="","",$R1343),IF(INDEX(職員マスタ!$C$6:$C$405,$AN1343)="",$R1343,INDEX(職員マスタ!$C$6:$C$405,$AN1343)))</f>
        <v/>
      </c>
      <c r="X1343" s="14">
        <f>IF($AO1343="","","R"&amp;$C1343&amp;"."&amp;$D1343)</f>
        <v/>
      </c>
      <c r="Y1343" s="15">
        <f>IF($AN1343="","",IF(INDEX(職員マスタ!$K$6:$K$405,$AN1343)="","",INDEX(職員マスタ!$K$6:$K$405,$AN1343)))</f>
        <v/>
      </c>
      <c r="Z1343" s="14">
        <f>IF(OR($E1343="",$Y1343=""),"",IF($E1343&gt;=$Y1343,"×",IF($E1343&gt;=$Y1343*設定!$C$5,"△","○")))</f>
        <v/>
      </c>
      <c r="AA1343" s="15">
        <f>IF($Z1343="","",IF($Z1343="×",0,IF($Z1343="○",ROUNDDOWN($E1343*設定!$C$4,0),ROUNDDOWN($E1343*ROUND((9*$Y1343-9*$E1343)/(10*$E1343),4),0))))</f>
        <v/>
      </c>
      <c r="AB1343" s="13" t="n"/>
      <c r="AC1343" s="15">
        <f>IF($B1343="","",IF($AB1343&lt;&gt;"",$AB1343,IF($AA1343="","",IF($AA1343&lt;=設定!$C$3,0,$AA1343))))</f>
        <v/>
      </c>
      <c r="AD1343" s="14">
        <f>IF($B1343="","",IF(AND($AE1343&lt;&gt;"",$AG1343="",$AJ1343=""),"保留中",IF($AJ1343&lt;&gt;"",IF(N($AC1343)&gt;0,"支給済","不支給"),IF($AC1343="","要確認",IF($AC1343=0,"不支給","未処理")))))</f>
        <v/>
      </c>
      <c r="AE1343" s="12" t="n"/>
      <c r="AF1343" s="11" t="n"/>
      <c r="AG1343" s="11" t="n"/>
      <c r="AH1343" s="11" t="n"/>
      <c r="AI1343" s="14">
        <f>IF(AND($AD1343="保留中",$AF1343&lt;&gt;""),TODAY()-$AF1343,"")</f>
        <v/>
      </c>
      <c r="AJ1343" s="12" t="n"/>
      <c r="AK1343" s="14">
        <f>IF($B1343="","",IF($AO1343="","対象年月が未入力／","")&amp;IF($B1343="","",IF($AN1343="","職員マスタに未登録の職員番号／",IF($Y1343="","標準報酬月額が未登録／","")&amp;IF(AND($AO1343&lt;&gt;"",OR(AND(INDEX(職員マスタ!$G$6:$G$405,$AN1343)&lt;&gt;"",INDEX(職員マスタ!$G$6:$G$405,$AN1343)&gt;EOMONTH($AO1343,0)),AND(INDEX(職員マスタ!$H$6:$H$405,$AN1343)&lt;&gt;"",INDEX(職員マスタ!$H$6:$H$405,$AN1343)&lt;$AO1343))),"対象月が時短期間外／","")&amp;IF(AND(INDEX(職員マスタ!$F$6:$F$405,$AN1343)&lt;&gt;"",$AO1343&lt;&gt;"",INDEX(職員マスタ!$F$6:$F$405,$AN1343)&lt;$AO1343),"対象月に子が2歳到達済／","")&amp;IF(AND($H1343&lt;&gt;"",INDEX(職員マスタ!$B$6:$B$405,$AN1343)&lt;&gt;"",SUBSTITUTE(SUBSTITUTE($H1343," ","")," ","")&lt;&gt;SUBSTITUTE(SUBSTITUTE(INDEX(職員マスタ!$B$6:$B$405,$AN1343)," ","")," ","")),"氏名がマスタと相違／","")&amp;IF(AND($Q1343&lt;&gt;"",INDEX(職員マスタ!$E$6:$E$405,$AN1343)&lt;&gt;"",$Q1343&lt;&gt;INDEX(職員マスタ!$E$6:$E$405,$AN1343)),"子の生年月日がマスタと相違／","")&amp;IF(AND($L1343&lt;&gt;"",INDEX(職員マスタ!$G$6:$G$405,$AN1343)&lt;&gt;"",$L1343&lt;&gt;INDEX(職員マスタ!$G$6:$G$405,$AN1343)),"時短開始日がマスタと相違／","")&amp;IF(AND($M1343&lt;&gt;"",INDEX(職員マスタ!$H$6:$H$405,$AN1343)&lt;&gt;"",$M1343&lt;&gt;INDEX(職員マスタ!$H$6:$H$405,$AN1343)),"時短終了日がマスタと相違／","")))&amp;IF(AND($B1343&lt;&gt;"",$E1343=""),"報酬額が未入力／","")&amp;IF(N($U1343)&gt;0,"申請書に入力エラーが残っています／","")&amp;IF(AND($B1343&lt;&gt;"",$AO1343&lt;&gt;""),IF(COUNTIFS($B$6:$B$3005,$B1343,$C$6:$C$3005,$C1343,$D$6:$D$3005,$D1343)&gt;1,"同じ月の請求が重複しています／",""),"")&amp;IF(AND(N($E1343)&gt;0,$Z1343&lt;&gt;"",$Z1343&lt;&gt;"×",$AC1343=0,$AB1343=""),"計算額が下限以下のため不支給／",""))</f>
        <v/>
      </c>
      <c r="AL1343" s="12" t="n"/>
      <c r="AM1343" s="14">
        <f>IF($AD1343="保留中",COUNTIF($AD$6:$AD1343,"保留中"),"")</f>
        <v/>
      </c>
      <c r="AN1343" s="14">
        <f>IF($AO1343="","",IF(SUMPRODUCT(MAX((職員マスタ!$A$6:$A$405=$B1343)*(((職員マスタ!$G$6:$G$405="")+(職員マスタ!$G$6:$G$405&lt;=EOMONTH($AO1343,0)))&gt;0)*(((職員マスタ!$H$6:$H$405="")+(職員マスタ!$H$6:$H$405&gt;=$AO1343))&gt;0)*(ROW(職員マスタ!$A$6:$A$405)-5)))&gt;0,SUMPRODUCT(MAX((職員マスタ!$A$6:$A$405=$B1343)*(((職員マスタ!$G$6:$G$405="")+(職員マスタ!$G$6:$G$405&lt;=EOMONTH($AO1343,0)))&gt;0)*(((職員マスタ!$H$6:$H$405="")+(職員マスタ!$H$6:$H$405&gt;=$AO1343))&gt;0)*(ROW(職員マスタ!$A$6:$A$405)-5))),IFERROR(MATCH($B1343,職員マスタ!$A$6:$A$405,0),"")))</f>
        <v/>
      </c>
      <c r="AO1343" s="16">
        <f>IF(OR($B1343="",$C1343="",$D1343=""),"",DATE($C1343+2018,$D1343,1))</f>
        <v/>
      </c>
    </row>
    <row r="1344">
      <c r="A1344" s="11" t="n"/>
      <c r="B1344" s="12" t="n"/>
      <c r="C1344" s="12" t="n"/>
      <c r="D1344" s="12" t="n"/>
      <c r="E1344" s="13" t="n"/>
      <c r="F1344" s="12" t="n"/>
      <c r="G1344" s="13" t="n"/>
      <c r="H1344" s="12" t="n"/>
      <c r="I1344" s="12" t="n"/>
      <c r="J1344" s="12" t="n"/>
      <c r="K1344" s="12" t="n"/>
      <c r="L1344" s="11" t="n"/>
      <c r="M1344" s="11" t="n"/>
      <c r="N1344" s="11" t="n"/>
      <c r="O1344" s="11" t="n"/>
      <c r="P1344" s="12" t="n"/>
      <c r="Q1344" s="11" t="n"/>
      <c r="R1344" s="12" t="n"/>
      <c r="S1344" s="11" t="n"/>
      <c r="T1344" s="12" t="n"/>
      <c r="U1344" s="12" t="n"/>
      <c r="V1344" s="14">
        <f>IF($AN1344="",IF($B1344="","",$H1344),IF(INDEX(職員マスタ!$B$6:$B$405,$AN1344)="",$H1344,INDEX(職員マスタ!$B$6:$B$405,$AN1344)))</f>
        <v/>
      </c>
      <c r="W1344" s="14">
        <f>IF($AN1344="",IF($B1344="","",$R1344),IF(INDEX(職員マスタ!$C$6:$C$405,$AN1344)="",$R1344,INDEX(職員マスタ!$C$6:$C$405,$AN1344)))</f>
        <v/>
      </c>
      <c r="X1344" s="14">
        <f>IF($AO1344="","","R"&amp;$C1344&amp;"."&amp;$D1344)</f>
        <v/>
      </c>
      <c r="Y1344" s="15">
        <f>IF($AN1344="","",IF(INDEX(職員マスタ!$K$6:$K$405,$AN1344)="","",INDEX(職員マスタ!$K$6:$K$405,$AN1344)))</f>
        <v/>
      </c>
      <c r="Z1344" s="14">
        <f>IF(OR($E1344="",$Y1344=""),"",IF($E1344&gt;=$Y1344,"×",IF($E1344&gt;=$Y1344*設定!$C$5,"△","○")))</f>
        <v/>
      </c>
      <c r="AA1344" s="15">
        <f>IF($Z1344="","",IF($Z1344="×",0,IF($Z1344="○",ROUNDDOWN($E1344*設定!$C$4,0),ROUNDDOWN($E1344*ROUND((9*$Y1344-9*$E1344)/(10*$E1344),4),0))))</f>
        <v/>
      </c>
      <c r="AB1344" s="13" t="n"/>
      <c r="AC1344" s="15">
        <f>IF($B1344="","",IF($AB1344&lt;&gt;"",$AB1344,IF($AA1344="","",IF($AA1344&lt;=設定!$C$3,0,$AA1344))))</f>
        <v/>
      </c>
      <c r="AD1344" s="14">
        <f>IF($B1344="","",IF(AND($AE1344&lt;&gt;"",$AG1344="",$AJ1344=""),"保留中",IF($AJ1344&lt;&gt;"",IF(N($AC1344)&gt;0,"支給済","不支給"),IF($AC1344="","要確認",IF($AC1344=0,"不支給","未処理")))))</f>
        <v/>
      </c>
      <c r="AE1344" s="12" t="n"/>
      <c r="AF1344" s="11" t="n"/>
      <c r="AG1344" s="11" t="n"/>
      <c r="AH1344" s="11" t="n"/>
      <c r="AI1344" s="14">
        <f>IF(AND($AD1344="保留中",$AF1344&lt;&gt;""),TODAY()-$AF1344,"")</f>
        <v/>
      </c>
      <c r="AJ1344" s="12" t="n"/>
      <c r="AK1344" s="14">
        <f>IF($B1344="","",IF($AO1344="","対象年月が未入力／","")&amp;IF($B1344="","",IF($AN1344="","職員マスタに未登録の職員番号／",IF($Y1344="","標準報酬月額が未登録／","")&amp;IF(AND($AO1344&lt;&gt;"",OR(AND(INDEX(職員マスタ!$G$6:$G$405,$AN1344)&lt;&gt;"",INDEX(職員マスタ!$G$6:$G$405,$AN1344)&gt;EOMONTH($AO1344,0)),AND(INDEX(職員マスタ!$H$6:$H$405,$AN1344)&lt;&gt;"",INDEX(職員マスタ!$H$6:$H$405,$AN1344)&lt;$AO1344))),"対象月が時短期間外／","")&amp;IF(AND(INDEX(職員マスタ!$F$6:$F$405,$AN1344)&lt;&gt;"",$AO1344&lt;&gt;"",INDEX(職員マスタ!$F$6:$F$405,$AN1344)&lt;$AO1344),"対象月に子が2歳到達済／","")&amp;IF(AND($H1344&lt;&gt;"",INDEX(職員マスタ!$B$6:$B$405,$AN1344)&lt;&gt;"",SUBSTITUTE(SUBSTITUTE($H1344," ","")," ","")&lt;&gt;SUBSTITUTE(SUBSTITUTE(INDEX(職員マスタ!$B$6:$B$405,$AN1344)," ","")," ","")),"氏名がマスタと相違／","")&amp;IF(AND($Q1344&lt;&gt;"",INDEX(職員マスタ!$E$6:$E$405,$AN1344)&lt;&gt;"",$Q1344&lt;&gt;INDEX(職員マスタ!$E$6:$E$405,$AN1344)),"子の生年月日がマスタと相違／","")&amp;IF(AND($L1344&lt;&gt;"",INDEX(職員マスタ!$G$6:$G$405,$AN1344)&lt;&gt;"",$L1344&lt;&gt;INDEX(職員マスタ!$G$6:$G$405,$AN1344)),"時短開始日がマスタと相違／","")&amp;IF(AND($M1344&lt;&gt;"",INDEX(職員マスタ!$H$6:$H$405,$AN1344)&lt;&gt;"",$M1344&lt;&gt;INDEX(職員マスタ!$H$6:$H$405,$AN1344)),"時短終了日がマスタと相違／","")))&amp;IF(AND($B1344&lt;&gt;"",$E1344=""),"報酬額が未入力／","")&amp;IF(N($U1344)&gt;0,"申請書に入力エラーが残っています／","")&amp;IF(AND($B1344&lt;&gt;"",$AO1344&lt;&gt;""),IF(COUNTIFS($B$6:$B$3005,$B1344,$C$6:$C$3005,$C1344,$D$6:$D$3005,$D1344)&gt;1,"同じ月の請求が重複しています／",""),"")&amp;IF(AND(N($E1344)&gt;0,$Z1344&lt;&gt;"",$Z1344&lt;&gt;"×",$AC1344=0,$AB1344=""),"計算額が下限以下のため不支給／",""))</f>
        <v/>
      </c>
      <c r="AL1344" s="12" t="n"/>
      <c r="AM1344" s="14">
        <f>IF($AD1344="保留中",COUNTIF($AD$6:$AD1344,"保留中"),"")</f>
        <v/>
      </c>
      <c r="AN1344" s="14">
        <f>IF($AO1344="","",IF(SUMPRODUCT(MAX((職員マスタ!$A$6:$A$405=$B1344)*(((職員マスタ!$G$6:$G$405="")+(職員マスタ!$G$6:$G$405&lt;=EOMONTH($AO1344,0)))&gt;0)*(((職員マスタ!$H$6:$H$405="")+(職員マスタ!$H$6:$H$405&gt;=$AO1344))&gt;0)*(ROW(職員マスタ!$A$6:$A$405)-5)))&gt;0,SUMPRODUCT(MAX((職員マスタ!$A$6:$A$405=$B1344)*(((職員マスタ!$G$6:$G$405="")+(職員マスタ!$G$6:$G$405&lt;=EOMONTH($AO1344,0)))&gt;0)*(((職員マスタ!$H$6:$H$405="")+(職員マスタ!$H$6:$H$405&gt;=$AO1344))&gt;0)*(ROW(職員マスタ!$A$6:$A$405)-5))),IFERROR(MATCH($B1344,職員マスタ!$A$6:$A$405,0),"")))</f>
        <v/>
      </c>
      <c r="AO1344" s="16">
        <f>IF(OR($B1344="",$C1344="",$D1344=""),"",DATE($C1344+2018,$D1344,1))</f>
        <v/>
      </c>
    </row>
    <row r="1345">
      <c r="A1345" s="11" t="n"/>
      <c r="B1345" s="12" t="n"/>
      <c r="C1345" s="12" t="n"/>
      <c r="D1345" s="12" t="n"/>
      <c r="E1345" s="13" t="n"/>
      <c r="F1345" s="12" t="n"/>
      <c r="G1345" s="13" t="n"/>
      <c r="H1345" s="12" t="n"/>
      <c r="I1345" s="12" t="n"/>
      <c r="J1345" s="12" t="n"/>
      <c r="K1345" s="12" t="n"/>
      <c r="L1345" s="11" t="n"/>
      <c r="M1345" s="11" t="n"/>
      <c r="N1345" s="11" t="n"/>
      <c r="O1345" s="11" t="n"/>
      <c r="P1345" s="12" t="n"/>
      <c r="Q1345" s="11" t="n"/>
      <c r="R1345" s="12" t="n"/>
      <c r="S1345" s="11" t="n"/>
      <c r="T1345" s="12" t="n"/>
      <c r="U1345" s="12" t="n"/>
      <c r="V1345" s="14">
        <f>IF($AN1345="",IF($B1345="","",$H1345),IF(INDEX(職員マスタ!$B$6:$B$405,$AN1345)="",$H1345,INDEX(職員マスタ!$B$6:$B$405,$AN1345)))</f>
        <v/>
      </c>
      <c r="W1345" s="14">
        <f>IF($AN1345="",IF($B1345="","",$R1345),IF(INDEX(職員マスタ!$C$6:$C$405,$AN1345)="",$R1345,INDEX(職員マスタ!$C$6:$C$405,$AN1345)))</f>
        <v/>
      </c>
      <c r="X1345" s="14">
        <f>IF($AO1345="","","R"&amp;$C1345&amp;"."&amp;$D1345)</f>
        <v/>
      </c>
      <c r="Y1345" s="15">
        <f>IF($AN1345="","",IF(INDEX(職員マスタ!$K$6:$K$405,$AN1345)="","",INDEX(職員マスタ!$K$6:$K$405,$AN1345)))</f>
        <v/>
      </c>
      <c r="Z1345" s="14">
        <f>IF(OR($E1345="",$Y1345=""),"",IF($E1345&gt;=$Y1345,"×",IF($E1345&gt;=$Y1345*設定!$C$5,"△","○")))</f>
        <v/>
      </c>
      <c r="AA1345" s="15">
        <f>IF($Z1345="","",IF($Z1345="×",0,IF($Z1345="○",ROUNDDOWN($E1345*設定!$C$4,0),ROUNDDOWN($E1345*ROUND((9*$Y1345-9*$E1345)/(10*$E1345),4),0))))</f>
        <v/>
      </c>
      <c r="AB1345" s="13" t="n"/>
      <c r="AC1345" s="15">
        <f>IF($B1345="","",IF($AB1345&lt;&gt;"",$AB1345,IF($AA1345="","",IF($AA1345&lt;=設定!$C$3,0,$AA1345))))</f>
        <v/>
      </c>
      <c r="AD1345" s="14">
        <f>IF($B1345="","",IF(AND($AE1345&lt;&gt;"",$AG1345="",$AJ1345=""),"保留中",IF($AJ1345&lt;&gt;"",IF(N($AC1345)&gt;0,"支給済","不支給"),IF($AC1345="","要確認",IF($AC1345=0,"不支給","未処理")))))</f>
        <v/>
      </c>
      <c r="AE1345" s="12" t="n"/>
      <c r="AF1345" s="11" t="n"/>
      <c r="AG1345" s="11" t="n"/>
      <c r="AH1345" s="11" t="n"/>
      <c r="AI1345" s="14">
        <f>IF(AND($AD1345="保留中",$AF1345&lt;&gt;""),TODAY()-$AF1345,"")</f>
        <v/>
      </c>
      <c r="AJ1345" s="12" t="n"/>
      <c r="AK1345" s="14">
        <f>IF($B1345="","",IF($AO1345="","対象年月が未入力／","")&amp;IF($B1345="","",IF($AN1345="","職員マスタに未登録の職員番号／",IF($Y1345="","標準報酬月額が未登録／","")&amp;IF(AND($AO1345&lt;&gt;"",OR(AND(INDEX(職員マスタ!$G$6:$G$405,$AN1345)&lt;&gt;"",INDEX(職員マスタ!$G$6:$G$405,$AN1345)&gt;EOMONTH($AO1345,0)),AND(INDEX(職員マスタ!$H$6:$H$405,$AN1345)&lt;&gt;"",INDEX(職員マスタ!$H$6:$H$405,$AN1345)&lt;$AO1345))),"対象月が時短期間外／","")&amp;IF(AND(INDEX(職員マスタ!$F$6:$F$405,$AN1345)&lt;&gt;"",$AO1345&lt;&gt;"",INDEX(職員マスタ!$F$6:$F$405,$AN1345)&lt;$AO1345),"対象月に子が2歳到達済／","")&amp;IF(AND($H1345&lt;&gt;"",INDEX(職員マスタ!$B$6:$B$405,$AN1345)&lt;&gt;"",SUBSTITUTE(SUBSTITUTE($H1345," ","")," ","")&lt;&gt;SUBSTITUTE(SUBSTITUTE(INDEX(職員マスタ!$B$6:$B$405,$AN1345)," ","")," ","")),"氏名がマスタと相違／","")&amp;IF(AND($Q1345&lt;&gt;"",INDEX(職員マスタ!$E$6:$E$405,$AN1345)&lt;&gt;"",$Q1345&lt;&gt;INDEX(職員マスタ!$E$6:$E$405,$AN1345)),"子の生年月日がマスタと相違／","")&amp;IF(AND($L1345&lt;&gt;"",INDEX(職員マスタ!$G$6:$G$405,$AN1345)&lt;&gt;"",$L1345&lt;&gt;INDEX(職員マスタ!$G$6:$G$405,$AN1345)),"時短開始日がマスタと相違／","")&amp;IF(AND($M1345&lt;&gt;"",INDEX(職員マスタ!$H$6:$H$405,$AN1345)&lt;&gt;"",$M1345&lt;&gt;INDEX(職員マスタ!$H$6:$H$405,$AN1345)),"時短終了日がマスタと相違／","")))&amp;IF(AND($B1345&lt;&gt;"",$E1345=""),"報酬額が未入力／","")&amp;IF(N($U1345)&gt;0,"申請書に入力エラーが残っています／","")&amp;IF(AND($B1345&lt;&gt;"",$AO1345&lt;&gt;""),IF(COUNTIFS($B$6:$B$3005,$B1345,$C$6:$C$3005,$C1345,$D$6:$D$3005,$D1345)&gt;1,"同じ月の請求が重複しています／",""),"")&amp;IF(AND(N($E1345)&gt;0,$Z1345&lt;&gt;"",$Z1345&lt;&gt;"×",$AC1345=0,$AB1345=""),"計算額が下限以下のため不支給／",""))</f>
        <v/>
      </c>
      <c r="AL1345" s="12" t="n"/>
      <c r="AM1345" s="14">
        <f>IF($AD1345="保留中",COUNTIF($AD$6:$AD1345,"保留中"),"")</f>
        <v/>
      </c>
      <c r="AN1345" s="14">
        <f>IF($AO1345="","",IF(SUMPRODUCT(MAX((職員マスタ!$A$6:$A$405=$B1345)*(((職員マスタ!$G$6:$G$405="")+(職員マスタ!$G$6:$G$405&lt;=EOMONTH($AO1345,0)))&gt;0)*(((職員マスタ!$H$6:$H$405="")+(職員マスタ!$H$6:$H$405&gt;=$AO1345))&gt;0)*(ROW(職員マスタ!$A$6:$A$405)-5)))&gt;0,SUMPRODUCT(MAX((職員マスタ!$A$6:$A$405=$B1345)*(((職員マスタ!$G$6:$G$405="")+(職員マスタ!$G$6:$G$405&lt;=EOMONTH($AO1345,0)))&gt;0)*(((職員マスタ!$H$6:$H$405="")+(職員マスタ!$H$6:$H$405&gt;=$AO1345))&gt;0)*(ROW(職員マスタ!$A$6:$A$405)-5))),IFERROR(MATCH($B1345,職員マスタ!$A$6:$A$405,0),"")))</f>
        <v/>
      </c>
      <c r="AO1345" s="16">
        <f>IF(OR($B1345="",$C1345="",$D1345=""),"",DATE($C1345+2018,$D1345,1))</f>
        <v/>
      </c>
    </row>
    <row r="1346">
      <c r="A1346" s="11" t="n"/>
      <c r="B1346" s="12" t="n"/>
      <c r="C1346" s="12" t="n"/>
      <c r="D1346" s="12" t="n"/>
      <c r="E1346" s="13" t="n"/>
      <c r="F1346" s="12" t="n"/>
      <c r="G1346" s="13" t="n"/>
      <c r="H1346" s="12" t="n"/>
      <c r="I1346" s="12" t="n"/>
      <c r="J1346" s="12" t="n"/>
      <c r="K1346" s="12" t="n"/>
      <c r="L1346" s="11" t="n"/>
      <c r="M1346" s="11" t="n"/>
      <c r="N1346" s="11" t="n"/>
      <c r="O1346" s="11" t="n"/>
      <c r="P1346" s="12" t="n"/>
      <c r="Q1346" s="11" t="n"/>
      <c r="R1346" s="12" t="n"/>
      <c r="S1346" s="11" t="n"/>
      <c r="T1346" s="12" t="n"/>
      <c r="U1346" s="12" t="n"/>
      <c r="V1346" s="14">
        <f>IF($AN1346="",IF($B1346="","",$H1346),IF(INDEX(職員マスタ!$B$6:$B$405,$AN1346)="",$H1346,INDEX(職員マスタ!$B$6:$B$405,$AN1346)))</f>
        <v/>
      </c>
      <c r="W1346" s="14">
        <f>IF($AN1346="",IF($B1346="","",$R1346),IF(INDEX(職員マスタ!$C$6:$C$405,$AN1346)="",$R1346,INDEX(職員マスタ!$C$6:$C$405,$AN1346)))</f>
        <v/>
      </c>
      <c r="X1346" s="14">
        <f>IF($AO1346="","","R"&amp;$C1346&amp;"."&amp;$D1346)</f>
        <v/>
      </c>
      <c r="Y1346" s="15">
        <f>IF($AN1346="","",IF(INDEX(職員マスタ!$K$6:$K$405,$AN1346)="","",INDEX(職員マスタ!$K$6:$K$405,$AN1346)))</f>
        <v/>
      </c>
      <c r="Z1346" s="14">
        <f>IF(OR($E1346="",$Y1346=""),"",IF($E1346&gt;=$Y1346,"×",IF($E1346&gt;=$Y1346*設定!$C$5,"△","○")))</f>
        <v/>
      </c>
      <c r="AA1346" s="15">
        <f>IF($Z1346="","",IF($Z1346="×",0,IF($Z1346="○",ROUNDDOWN($E1346*設定!$C$4,0),ROUNDDOWN($E1346*ROUND((9*$Y1346-9*$E1346)/(10*$E1346),4),0))))</f>
        <v/>
      </c>
      <c r="AB1346" s="13" t="n"/>
      <c r="AC1346" s="15">
        <f>IF($B1346="","",IF($AB1346&lt;&gt;"",$AB1346,IF($AA1346="","",IF($AA1346&lt;=設定!$C$3,0,$AA1346))))</f>
        <v/>
      </c>
      <c r="AD1346" s="14">
        <f>IF($B1346="","",IF(AND($AE1346&lt;&gt;"",$AG1346="",$AJ1346=""),"保留中",IF($AJ1346&lt;&gt;"",IF(N($AC1346)&gt;0,"支給済","不支給"),IF($AC1346="","要確認",IF($AC1346=0,"不支給","未処理")))))</f>
        <v/>
      </c>
      <c r="AE1346" s="12" t="n"/>
      <c r="AF1346" s="11" t="n"/>
      <c r="AG1346" s="11" t="n"/>
      <c r="AH1346" s="11" t="n"/>
      <c r="AI1346" s="14">
        <f>IF(AND($AD1346="保留中",$AF1346&lt;&gt;""),TODAY()-$AF1346,"")</f>
        <v/>
      </c>
      <c r="AJ1346" s="12" t="n"/>
      <c r="AK1346" s="14">
        <f>IF($B1346="","",IF($AO1346="","対象年月が未入力／","")&amp;IF($B1346="","",IF($AN1346="","職員マスタに未登録の職員番号／",IF($Y1346="","標準報酬月額が未登録／","")&amp;IF(AND($AO1346&lt;&gt;"",OR(AND(INDEX(職員マスタ!$G$6:$G$405,$AN1346)&lt;&gt;"",INDEX(職員マスタ!$G$6:$G$405,$AN1346)&gt;EOMONTH($AO1346,0)),AND(INDEX(職員マスタ!$H$6:$H$405,$AN1346)&lt;&gt;"",INDEX(職員マスタ!$H$6:$H$405,$AN1346)&lt;$AO1346))),"対象月が時短期間外／","")&amp;IF(AND(INDEX(職員マスタ!$F$6:$F$405,$AN1346)&lt;&gt;"",$AO1346&lt;&gt;"",INDEX(職員マスタ!$F$6:$F$405,$AN1346)&lt;$AO1346),"対象月に子が2歳到達済／","")&amp;IF(AND($H1346&lt;&gt;"",INDEX(職員マスタ!$B$6:$B$405,$AN1346)&lt;&gt;"",SUBSTITUTE(SUBSTITUTE($H1346," ","")," ","")&lt;&gt;SUBSTITUTE(SUBSTITUTE(INDEX(職員マスタ!$B$6:$B$405,$AN1346)," ","")," ","")),"氏名がマスタと相違／","")&amp;IF(AND($Q1346&lt;&gt;"",INDEX(職員マスタ!$E$6:$E$405,$AN1346)&lt;&gt;"",$Q1346&lt;&gt;INDEX(職員マスタ!$E$6:$E$405,$AN1346)),"子の生年月日がマスタと相違／","")&amp;IF(AND($L1346&lt;&gt;"",INDEX(職員マスタ!$G$6:$G$405,$AN1346)&lt;&gt;"",$L1346&lt;&gt;INDEX(職員マスタ!$G$6:$G$405,$AN1346)),"時短開始日がマスタと相違／","")&amp;IF(AND($M1346&lt;&gt;"",INDEX(職員マスタ!$H$6:$H$405,$AN1346)&lt;&gt;"",$M1346&lt;&gt;INDEX(職員マスタ!$H$6:$H$405,$AN1346)),"時短終了日がマスタと相違／","")))&amp;IF(AND($B1346&lt;&gt;"",$E1346=""),"報酬額が未入力／","")&amp;IF(N($U1346)&gt;0,"申請書に入力エラーが残っています／","")&amp;IF(AND($B1346&lt;&gt;"",$AO1346&lt;&gt;""),IF(COUNTIFS($B$6:$B$3005,$B1346,$C$6:$C$3005,$C1346,$D$6:$D$3005,$D1346)&gt;1,"同じ月の請求が重複しています／",""),"")&amp;IF(AND(N($E1346)&gt;0,$Z1346&lt;&gt;"",$Z1346&lt;&gt;"×",$AC1346=0,$AB1346=""),"計算額が下限以下のため不支給／",""))</f>
        <v/>
      </c>
      <c r="AL1346" s="12" t="n"/>
      <c r="AM1346" s="14">
        <f>IF($AD1346="保留中",COUNTIF($AD$6:$AD1346,"保留中"),"")</f>
        <v/>
      </c>
      <c r="AN1346" s="14">
        <f>IF($AO1346="","",IF(SUMPRODUCT(MAX((職員マスタ!$A$6:$A$405=$B1346)*(((職員マスタ!$G$6:$G$405="")+(職員マスタ!$G$6:$G$405&lt;=EOMONTH($AO1346,0)))&gt;0)*(((職員マスタ!$H$6:$H$405="")+(職員マスタ!$H$6:$H$405&gt;=$AO1346))&gt;0)*(ROW(職員マスタ!$A$6:$A$405)-5)))&gt;0,SUMPRODUCT(MAX((職員マスタ!$A$6:$A$405=$B1346)*(((職員マスタ!$G$6:$G$405="")+(職員マスタ!$G$6:$G$405&lt;=EOMONTH($AO1346,0)))&gt;0)*(((職員マスタ!$H$6:$H$405="")+(職員マスタ!$H$6:$H$405&gt;=$AO1346))&gt;0)*(ROW(職員マスタ!$A$6:$A$405)-5))),IFERROR(MATCH($B1346,職員マスタ!$A$6:$A$405,0),"")))</f>
        <v/>
      </c>
      <c r="AO1346" s="16">
        <f>IF(OR($B1346="",$C1346="",$D1346=""),"",DATE($C1346+2018,$D1346,1))</f>
        <v/>
      </c>
    </row>
    <row r="1347">
      <c r="A1347" s="11" t="n"/>
      <c r="B1347" s="12" t="n"/>
      <c r="C1347" s="12" t="n"/>
      <c r="D1347" s="12" t="n"/>
      <c r="E1347" s="13" t="n"/>
      <c r="F1347" s="12" t="n"/>
      <c r="G1347" s="13" t="n"/>
      <c r="H1347" s="12" t="n"/>
      <c r="I1347" s="12" t="n"/>
      <c r="J1347" s="12" t="n"/>
      <c r="K1347" s="12" t="n"/>
      <c r="L1347" s="11" t="n"/>
      <c r="M1347" s="11" t="n"/>
      <c r="N1347" s="11" t="n"/>
      <c r="O1347" s="11" t="n"/>
      <c r="P1347" s="12" t="n"/>
      <c r="Q1347" s="11" t="n"/>
      <c r="R1347" s="12" t="n"/>
      <c r="S1347" s="11" t="n"/>
      <c r="T1347" s="12" t="n"/>
      <c r="U1347" s="12" t="n"/>
      <c r="V1347" s="14">
        <f>IF($AN1347="",IF($B1347="","",$H1347),IF(INDEX(職員マスタ!$B$6:$B$405,$AN1347)="",$H1347,INDEX(職員マスタ!$B$6:$B$405,$AN1347)))</f>
        <v/>
      </c>
      <c r="W1347" s="14">
        <f>IF($AN1347="",IF($B1347="","",$R1347),IF(INDEX(職員マスタ!$C$6:$C$405,$AN1347)="",$R1347,INDEX(職員マスタ!$C$6:$C$405,$AN1347)))</f>
        <v/>
      </c>
      <c r="X1347" s="14">
        <f>IF($AO1347="","","R"&amp;$C1347&amp;"."&amp;$D1347)</f>
        <v/>
      </c>
      <c r="Y1347" s="15">
        <f>IF($AN1347="","",IF(INDEX(職員マスタ!$K$6:$K$405,$AN1347)="","",INDEX(職員マスタ!$K$6:$K$405,$AN1347)))</f>
        <v/>
      </c>
      <c r="Z1347" s="14">
        <f>IF(OR($E1347="",$Y1347=""),"",IF($E1347&gt;=$Y1347,"×",IF($E1347&gt;=$Y1347*設定!$C$5,"△","○")))</f>
        <v/>
      </c>
      <c r="AA1347" s="15">
        <f>IF($Z1347="","",IF($Z1347="×",0,IF($Z1347="○",ROUNDDOWN($E1347*設定!$C$4,0),ROUNDDOWN($E1347*ROUND((9*$Y1347-9*$E1347)/(10*$E1347),4),0))))</f>
        <v/>
      </c>
      <c r="AB1347" s="13" t="n"/>
      <c r="AC1347" s="15">
        <f>IF($B1347="","",IF($AB1347&lt;&gt;"",$AB1347,IF($AA1347="","",IF($AA1347&lt;=設定!$C$3,0,$AA1347))))</f>
        <v/>
      </c>
      <c r="AD1347" s="14">
        <f>IF($B1347="","",IF(AND($AE1347&lt;&gt;"",$AG1347="",$AJ1347=""),"保留中",IF($AJ1347&lt;&gt;"",IF(N($AC1347)&gt;0,"支給済","不支給"),IF($AC1347="","要確認",IF($AC1347=0,"不支給","未処理")))))</f>
        <v/>
      </c>
      <c r="AE1347" s="12" t="n"/>
      <c r="AF1347" s="11" t="n"/>
      <c r="AG1347" s="11" t="n"/>
      <c r="AH1347" s="11" t="n"/>
      <c r="AI1347" s="14">
        <f>IF(AND($AD1347="保留中",$AF1347&lt;&gt;""),TODAY()-$AF1347,"")</f>
        <v/>
      </c>
      <c r="AJ1347" s="12" t="n"/>
      <c r="AK1347" s="14">
        <f>IF($B1347="","",IF($AO1347="","対象年月が未入力／","")&amp;IF($B1347="","",IF($AN1347="","職員マスタに未登録の職員番号／",IF($Y1347="","標準報酬月額が未登録／","")&amp;IF(AND($AO1347&lt;&gt;"",OR(AND(INDEX(職員マスタ!$G$6:$G$405,$AN1347)&lt;&gt;"",INDEX(職員マスタ!$G$6:$G$405,$AN1347)&gt;EOMONTH($AO1347,0)),AND(INDEX(職員マスタ!$H$6:$H$405,$AN1347)&lt;&gt;"",INDEX(職員マスタ!$H$6:$H$405,$AN1347)&lt;$AO1347))),"対象月が時短期間外／","")&amp;IF(AND(INDEX(職員マスタ!$F$6:$F$405,$AN1347)&lt;&gt;"",$AO1347&lt;&gt;"",INDEX(職員マスタ!$F$6:$F$405,$AN1347)&lt;$AO1347),"対象月に子が2歳到達済／","")&amp;IF(AND($H1347&lt;&gt;"",INDEX(職員マスタ!$B$6:$B$405,$AN1347)&lt;&gt;"",SUBSTITUTE(SUBSTITUTE($H1347," ","")," ","")&lt;&gt;SUBSTITUTE(SUBSTITUTE(INDEX(職員マスタ!$B$6:$B$405,$AN1347)," ","")," ","")),"氏名がマスタと相違／","")&amp;IF(AND($Q1347&lt;&gt;"",INDEX(職員マスタ!$E$6:$E$405,$AN1347)&lt;&gt;"",$Q1347&lt;&gt;INDEX(職員マスタ!$E$6:$E$405,$AN1347)),"子の生年月日がマスタと相違／","")&amp;IF(AND($L1347&lt;&gt;"",INDEX(職員マスタ!$G$6:$G$405,$AN1347)&lt;&gt;"",$L1347&lt;&gt;INDEX(職員マスタ!$G$6:$G$405,$AN1347)),"時短開始日がマスタと相違／","")&amp;IF(AND($M1347&lt;&gt;"",INDEX(職員マスタ!$H$6:$H$405,$AN1347)&lt;&gt;"",$M1347&lt;&gt;INDEX(職員マスタ!$H$6:$H$405,$AN1347)),"時短終了日がマスタと相違／","")))&amp;IF(AND($B1347&lt;&gt;"",$E1347=""),"報酬額が未入力／","")&amp;IF(N($U1347)&gt;0,"申請書に入力エラーが残っています／","")&amp;IF(AND($B1347&lt;&gt;"",$AO1347&lt;&gt;""),IF(COUNTIFS($B$6:$B$3005,$B1347,$C$6:$C$3005,$C1347,$D$6:$D$3005,$D1347)&gt;1,"同じ月の請求が重複しています／",""),"")&amp;IF(AND(N($E1347)&gt;0,$Z1347&lt;&gt;"",$Z1347&lt;&gt;"×",$AC1347=0,$AB1347=""),"計算額が下限以下のため不支給／",""))</f>
        <v/>
      </c>
      <c r="AL1347" s="12" t="n"/>
      <c r="AM1347" s="14">
        <f>IF($AD1347="保留中",COUNTIF($AD$6:$AD1347,"保留中"),"")</f>
        <v/>
      </c>
      <c r="AN1347" s="14">
        <f>IF($AO1347="","",IF(SUMPRODUCT(MAX((職員マスタ!$A$6:$A$405=$B1347)*(((職員マスタ!$G$6:$G$405="")+(職員マスタ!$G$6:$G$405&lt;=EOMONTH($AO1347,0)))&gt;0)*(((職員マスタ!$H$6:$H$405="")+(職員マスタ!$H$6:$H$405&gt;=$AO1347))&gt;0)*(ROW(職員マスタ!$A$6:$A$405)-5)))&gt;0,SUMPRODUCT(MAX((職員マスタ!$A$6:$A$405=$B1347)*(((職員マスタ!$G$6:$G$405="")+(職員マスタ!$G$6:$G$405&lt;=EOMONTH($AO1347,0)))&gt;0)*(((職員マスタ!$H$6:$H$405="")+(職員マスタ!$H$6:$H$405&gt;=$AO1347))&gt;0)*(ROW(職員マスタ!$A$6:$A$405)-5))),IFERROR(MATCH($B1347,職員マスタ!$A$6:$A$405,0),"")))</f>
        <v/>
      </c>
      <c r="AO1347" s="16">
        <f>IF(OR($B1347="",$C1347="",$D1347=""),"",DATE($C1347+2018,$D1347,1))</f>
        <v/>
      </c>
    </row>
    <row r="1348">
      <c r="A1348" s="11" t="n"/>
      <c r="B1348" s="12" t="n"/>
      <c r="C1348" s="12" t="n"/>
      <c r="D1348" s="12" t="n"/>
      <c r="E1348" s="13" t="n"/>
      <c r="F1348" s="12" t="n"/>
      <c r="G1348" s="13" t="n"/>
      <c r="H1348" s="12" t="n"/>
      <c r="I1348" s="12" t="n"/>
      <c r="J1348" s="12" t="n"/>
      <c r="K1348" s="12" t="n"/>
      <c r="L1348" s="11" t="n"/>
      <c r="M1348" s="11" t="n"/>
      <c r="N1348" s="11" t="n"/>
      <c r="O1348" s="11" t="n"/>
      <c r="P1348" s="12" t="n"/>
      <c r="Q1348" s="11" t="n"/>
      <c r="R1348" s="12" t="n"/>
      <c r="S1348" s="11" t="n"/>
      <c r="T1348" s="12" t="n"/>
      <c r="U1348" s="12" t="n"/>
      <c r="V1348" s="14">
        <f>IF($AN1348="",IF($B1348="","",$H1348),IF(INDEX(職員マスタ!$B$6:$B$405,$AN1348)="",$H1348,INDEX(職員マスタ!$B$6:$B$405,$AN1348)))</f>
        <v/>
      </c>
      <c r="W1348" s="14">
        <f>IF($AN1348="",IF($B1348="","",$R1348),IF(INDEX(職員マスタ!$C$6:$C$405,$AN1348)="",$R1348,INDEX(職員マスタ!$C$6:$C$405,$AN1348)))</f>
        <v/>
      </c>
      <c r="X1348" s="14">
        <f>IF($AO1348="","","R"&amp;$C1348&amp;"."&amp;$D1348)</f>
        <v/>
      </c>
      <c r="Y1348" s="15">
        <f>IF($AN1348="","",IF(INDEX(職員マスタ!$K$6:$K$405,$AN1348)="","",INDEX(職員マスタ!$K$6:$K$405,$AN1348)))</f>
        <v/>
      </c>
      <c r="Z1348" s="14">
        <f>IF(OR($E1348="",$Y1348=""),"",IF($E1348&gt;=$Y1348,"×",IF($E1348&gt;=$Y1348*設定!$C$5,"△","○")))</f>
        <v/>
      </c>
      <c r="AA1348" s="15">
        <f>IF($Z1348="","",IF($Z1348="×",0,IF($Z1348="○",ROUNDDOWN($E1348*設定!$C$4,0),ROUNDDOWN($E1348*ROUND((9*$Y1348-9*$E1348)/(10*$E1348),4),0))))</f>
        <v/>
      </c>
      <c r="AB1348" s="13" t="n"/>
      <c r="AC1348" s="15">
        <f>IF($B1348="","",IF($AB1348&lt;&gt;"",$AB1348,IF($AA1348="","",IF($AA1348&lt;=設定!$C$3,0,$AA1348))))</f>
        <v/>
      </c>
      <c r="AD1348" s="14">
        <f>IF($B1348="","",IF(AND($AE1348&lt;&gt;"",$AG1348="",$AJ1348=""),"保留中",IF($AJ1348&lt;&gt;"",IF(N($AC1348)&gt;0,"支給済","不支給"),IF($AC1348="","要確認",IF($AC1348=0,"不支給","未処理")))))</f>
        <v/>
      </c>
      <c r="AE1348" s="12" t="n"/>
      <c r="AF1348" s="11" t="n"/>
      <c r="AG1348" s="11" t="n"/>
      <c r="AH1348" s="11" t="n"/>
      <c r="AI1348" s="14">
        <f>IF(AND($AD1348="保留中",$AF1348&lt;&gt;""),TODAY()-$AF1348,"")</f>
        <v/>
      </c>
      <c r="AJ1348" s="12" t="n"/>
      <c r="AK1348" s="14">
        <f>IF($B1348="","",IF($AO1348="","対象年月が未入力／","")&amp;IF($B1348="","",IF($AN1348="","職員マスタに未登録の職員番号／",IF($Y1348="","標準報酬月額が未登録／","")&amp;IF(AND($AO1348&lt;&gt;"",OR(AND(INDEX(職員マスタ!$G$6:$G$405,$AN1348)&lt;&gt;"",INDEX(職員マスタ!$G$6:$G$405,$AN1348)&gt;EOMONTH($AO1348,0)),AND(INDEX(職員マスタ!$H$6:$H$405,$AN1348)&lt;&gt;"",INDEX(職員マスタ!$H$6:$H$405,$AN1348)&lt;$AO1348))),"対象月が時短期間外／","")&amp;IF(AND(INDEX(職員マスタ!$F$6:$F$405,$AN1348)&lt;&gt;"",$AO1348&lt;&gt;"",INDEX(職員マスタ!$F$6:$F$405,$AN1348)&lt;$AO1348),"対象月に子が2歳到達済／","")&amp;IF(AND($H1348&lt;&gt;"",INDEX(職員マスタ!$B$6:$B$405,$AN1348)&lt;&gt;"",SUBSTITUTE(SUBSTITUTE($H1348," ","")," ","")&lt;&gt;SUBSTITUTE(SUBSTITUTE(INDEX(職員マスタ!$B$6:$B$405,$AN1348)," ","")," ","")),"氏名がマスタと相違／","")&amp;IF(AND($Q1348&lt;&gt;"",INDEX(職員マスタ!$E$6:$E$405,$AN1348)&lt;&gt;"",$Q1348&lt;&gt;INDEX(職員マスタ!$E$6:$E$405,$AN1348)),"子の生年月日がマスタと相違／","")&amp;IF(AND($L1348&lt;&gt;"",INDEX(職員マスタ!$G$6:$G$405,$AN1348)&lt;&gt;"",$L1348&lt;&gt;INDEX(職員マスタ!$G$6:$G$405,$AN1348)),"時短開始日がマスタと相違／","")&amp;IF(AND($M1348&lt;&gt;"",INDEX(職員マスタ!$H$6:$H$405,$AN1348)&lt;&gt;"",$M1348&lt;&gt;INDEX(職員マスタ!$H$6:$H$405,$AN1348)),"時短終了日がマスタと相違／","")))&amp;IF(AND($B1348&lt;&gt;"",$E1348=""),"報酬額が未入力／","")&amp;IF(N($U1348)&gt;0,"申請書に入力エラーが残っています／","")&amp;IF(AND($B1348&lt;&gt;"",$AO1348&lt;&gt;""),IF(COUNTIFS($B$6:$B$3005,$B1348,$C$6:$C$3005,$C1348,$D$6:$D$3005,$D1348)&gt;1,"同じ月の請求が重複しています／",""),"")&amp;IF(AND(N($E1348)&gt;0,$Z1348&lt;&gt;"",$Z1348&lt;&gt;"×",$AC1348=0,$AB1348=""),"計算額が下限以下のため不支給／",""))</f>
        <v/>
      </c>
      <c r="AL1348" s="12" t="n"/>
      <c r="AM1348" s="14">
        <f>IF($AD1348="保留中",COUNTIF($AD$6:$AD1348,"保留中"),"")</f>
        <v/>
      </c>
      <c r="AN1348" s="14">
        <f>IF($AO1348="","",IF(SUMPRODUCT(MAX((職員マスタ!$A$6:$A$405=$B1348)*(((職員マスタ!$G$6:$G$405="")+(職員マスタ!$G$6:$G$405&lt;=EOMONTH($AO1348,0)))&gt;0)*(((職員マスタ!$H$6:$H$405="")+(職員マスタ!$H$6:$H$405&gt;=$AO1348))&gt;0)*(ROW(職員マスタ!$A$6:$A$405)-5)))&gt;0,SUMPRODUCT(MAX((職員マスタ!$A$6:$A$405=$B1348)*(((職員マスタ!$G$6:$G$405="")+(職員マスタ!$G$6:$G$405&lt;=EOMONTH($AO1348,0)))&gt;0)*(((職員マスタ!$H$6:$H$405="")+(職員マスタ!$H$6:$H$405&gt;=$AO1348))&gt;0)*(ROW(職員マスタ!$A$6:$A$405)-5))),IFERROR(MATCH($B1348,職員マスタ!$A$6:$A$405,0),"")))</f>
        <v/>
      </c>
      <c r="AO1348" s="16">
        <f>IF(OR($B1348="",$C1348="",$D1348=""),"",DATE($C1348+2018,$D1348,1))</f>
        <v/>
      </c>
    </row>
    <row r="1349">
      <c r="A1349" s="11" t="n"/>
      <c r="B1349" s="12" t="n"/>
      <c r="C1349" s="12" t="n"/>
      <c r="D1349" s="12" t="n"/>
      <c r="E1349" s="13" t="n"/>
      <c r="F1349" s="12" t="n"/>
      <c r="G1349" s="13" t="n"/>
      <c r="H1349" s="12" t="n"/>
      <c r="I1349" s="12" t="n"/>
      <c r="J1349" s="12" t="n"/>
      <c r="K1349" s="12" t="n"/>
      <c r="L1349" s="11" t="n"/>
      <c r="M1349" s="11" t="n"/>
      <c r="N1349" s="11" t="n"/>
      <c r="O1349" s="11" t="n"/>
      <c r="P1349" s="12" t="n"/>
      <c r="Q1349" s="11" t="n"/>
      <c r="R1349" s="12" t="n"/>
      <c r="S1349" s="11" t="n"/>
      <c r="T1349" s="12" t="n"/>
      <c r="U1349" s="12" t="n"/>
      <c r="V1349" s="14">
        <f>IF($AN1349="",IF($B1349="","",$H1349),IF(INDEX(職員マスタ!$B$6:$B$405,$AN1349)="",$H1349,INDEX(職員マスタ!$B$6:$B$405,$AN1349)))</f>
        <v/>
      </c>
      <c r="W1349" s="14">
        <f>IF($AN1349="",IF($B1349="","",$R1349),IF(INDEX(職員マスタ!$C$6:$C$405,$AN1349)="",$R1349,INDEX(職員マスタ!$C$6:$C$405,$AN1349)))</f>
        <v/>
      </c>
      <c r="X1349" s="14">
        <f>IF($AO1349="","","R"&amp;$C1349&amp;"."&amp;$D1349)</f>
        <v/>
      </c>
      <c r="Y1349" s="15">
        <f>IF($AN1349="","",IF(INDEX(職員マスタ!$K$6:$K$405,$AN1349)="","",INDEX(職員マスタ!$K$6:$K$405,$AN1349)))</f>
        <v/>
      </c>
      <c r="Z1349" s="14">
        <f>IF(OR($E1349="",$Y1349=""),"",IF($E1349&gt;=$Y1349,"×",IF($E1349&gt;=$Y1349*設定!$C$5,"△","○")))</f>
        <v/>
      </c>
      <c r="AA1349" s="15">
        <f>IF($Z1349="","",IF($Z1349="×",0,IF($Z1349="○",ROUNDDOWN($E1349*設定!$C$4,0),ROUNDDOWN($E1349*ROUND((9*$Y1349-9*$E1349)/(10*$E1349),4),0))))</f>
        <v/>
      </c>
      <c r="AB1349" s="13" t="n"/>
      <c r="AC1349" s="15">
        <f>IF($B1349="","",IF($AB1349&lt;&gt;"",$AB1349,IF($AA1349="","",IF($AA1349&lt;=設定!$C$3,0,$AA1349))))</f>
        <v/>
      </c>
      <c r="AD1349" s="14">
        <f>IF($B1349="","",IF(AND($AE1349&lt;&gt;"",$AG1349="",$AJ1349=""),"保留中",IF($AJ1349&lt;&gt;"",IF(N($AC1349)&gt;0,"支給済","不支給"),IF($AC1349="","要確認",IF($AC1349=0,"不支給","未処理")))))</f>
        <v/>
      </c>
      <c r="AE1349" s="12" t="n"/>
      <c r="AF1349" s="11" t="n"/>
      <c r="AG1349" s="11" t="n"/>
      <c r="AH1349" s="11" t="n"/>
      <c r="AI1349" s="14">
        <f>IF(AND($AD1349="保留中",$AF1349&lt;&gt;""),TODAY()-$AF1349,"")</f>
        <v/>
      </c>
      <c r="AJ1349" s="12" t="n"/>
      <c r="AK1349" s="14">
        <f>IF($B1349="","",IF($AO1349="","対象年月が未入力／","")&amp;IF($B1349="","",IF($AN1349="","職員マスタに未登録の職員番号／",IF($Y1349="","標準報酬月額が未登録／","")&amp;IF(AND($AO1349&lt;&gt;"",OR(AND(INDEX(職員マスタ!$G$6:$G$405,$AN1349)&lt;&gt;"",INDEX(職員マスタ!$G$6:$G$405,$AN1349)&gt;EOMONTH($AO1349,0)),AND(INDEX(職員マスタ!$H$6:$H$405,$AN1349)&lt;&gt;"",INDEX(職員マスタ!$H$6:$H$405,$AN1349)&lt;$AO1349))),"対象月が時短期間外／","")&amp;IF(AND(INDEX(職員マスタ!$F$6:$F$405,$AN1349)&lt;&gt;"",$AO1349&lt;&gt;"",INDEX(職員マスタ!$F$6:$F$405,$AN1349)&lt;$AO1349),"対象月に子が2歳到達済／","")&amp;IF(AND($H1349&lt;&gt;"",INDEX(職員マスタ!$B$6:$B$405,$AN1349)&lt;&gt;"",SUBSTITUTE(SUBSTITUTE($H1349," ","")," ","")&lt;&gt;SUBSTITUTE(SUBSTITUTE(INDEX(職員マスタ!$B$6:$B$405,$AN1349)," ","")," ","")),"氏名がマスタと相違／","")&amp;IF(AND($Q1349&lt;&gt;"",INDEX(職員マスタ!$E$6:$E$405,$AN1349)&lt;&gt;"",$Q1349&lt;&gt;INDEX(職員マスタ!$E$6:$E$405,$AN1349)),"子の生年月日がマスタと相違／","")&amp;IF(AND($L1349&lt;&gt;"",INDEX(職員マスタ!$G$6:$G$405,$AN1349)&lt;&gt;"",$L1349&lt;&gt;INDEX(職員マスタ!$G$6:$G$405,$AN1349)),"時短開始日がマスタと相違／","")&amp;IF(AND($M1349&lt;&gt;"",INDEX(職員マスタ!$H$6:$H$405,$AN1349)&lt;&gt;"",$M1349&lt;&gt;INDEX(職員マスタ!$H$6:$H$405,$AN1349)),"時短終了日がマスタと相違／","")))&amp;IF(AND($B1349&lt;&gt;"",$E1349=""),"報酬額が未入力／","")&amp;IF(N($U1349)&gt;0,"申請書に入力エラーが残っています／","")&amp;IF(AND($B1349&lt;&gt;"",$AO1349&lt;&gt;""),IF(COUNTIFS($B$6:$B$3005,$B1349,$C$6:$C$3005,$C1349,$D$6:$D$3005,$D1349)&gt;1,"同じ月の請求が重複しています／",""),"")&amp;IF(AND(N($E1349)&gt;0,$Z1349&lt;&gt;"",$Z1349&lt;&gt;"×",$AC1349=0,$AB1349=""),"計算額が下限以下のため不支給／",""))</f>
        <v/>
      </c>
      <c r="AL1349" s="12" t="n"/>
      <c r="AM1349" s="14">
        <f>IF($AD1349="保留中",COUNTIF($AD$6:$AD1349,"保留中"),"")</f>
        <v/>
      </c>
      <c r="AN1349" s="14">
        <f>IF($AO1349="","",IF(SUMPRODUCT(MAX((職員マスタ!$A$6:$A$405=$B1349)*(((職員マスタ!$G$6:$G$405="")+(職員マスタ!$G$6:$G$405&lt;=EOMONTH($AO1349,0)))&gt;0)*(((職員マスタ!$H$6:$H$405="")+(職員マスタ!$H$6:$H$405&gt;=$AO1349))&gt;0)*(ROW(職員マスタ!$A$6:$A$405)-5)))&gt;0,SUMPRODUCT(MAX((職員マスタ!$A$6:$A$405=$B1349)*(((職員マスタ!$G$6:$G$405="")+(職員マスタ!$G$6:$G$405&lt;=EOMONTH($AO1349,0)))&gt;0)*(((職員マスタ!$H$6:$H$405="")+(職員マスタ!$H$6:$H$405&gt;=$AO1349))&gt;0)*(ROW(職員マスタ!$A$6:$A$405)-5))),IFERROR(MATCH($B1349,職員マスタ!$A$6:$A$405,0),"")))</f>
        <v/>
      </c>
      <c r="AO1349" s="16">
        <f>IF(OR($B1349="",$C1349="",$D1349=""),"",DATE($C1349+2018,$D1349,1))</f>
        <v/>
      </c>
    </row>
    <row r="1350">
      <c r="A1350" s="11" t="n"/>
      <c r="B1350" s="12" t="n"/>
      <c r="C1350" s="12" t="n"/>
      <c r="D1350" s="12" t="n"/>
      <c r="E1350" s="13" t="n"/>
      <c r="F1350" s="12" t="n"/>
      <c r="G1350" s="13" t="n"/>
      <c r="H1350" s="12" t="n"/>
      <c r="I1350" s="12" t="n"/>
      <c r="J1350" s="12" t="n"/>
      <c r="K1350" s="12" t="n"/>
      <c r="L1350" s="11" t="n"/>
      <c r="M1350" s="11" t="n"/>
      <c r="N1350" s="11" t="n"/>
      <c r="O1350" s="11" t="n"/>
      <c r="P1350" s="12" t="n"/>
      <c r="Q1350" s="11" t="n"/>
      <c r="R1350" s="12" t="n"/>
      <c r="S1350" s="11" t="n"/>
      <c r="T1350" s="12" t="n"/>
      <c r="U1350" s="12" t="n"/>
      <c r="V1350" s="14">
        <f>IF($AN1350="",IF($B1350="","",$H1350),IF(INDEX(職員マスタ!$B$6:$B$405,$AN1350)="",$H1350,INDEX(職員マスタ!$B$6:$B$405,$AN1350)))</f>
        <v/>
      </c>
      <c r="W1350" s="14">
        <f>IF($AN1350="",IF($B1350="","",$R1350),IF(INDEX(職員マスタ!$C$6:$C$405,$AN1350)="",$R1350,INDEX(職員マスタ!$C$6:$C$405,$AN1350)))</f>
        <v/>
      </c>
      <c r="X1350" s="14">
        <f>IF($AO1350="","","R"&amp;$C1350&amp;"."&amp;$D1350)</f>
        <v/>
      </c>
      <c r="Y1350" s="15">
        <f>IF($AN1350="","",IF(INDEX(職員マスタ!$K$6:$K$405,$AN1350)="","",INDEX(職員マスタ!$K$6:$K$405,$AN1350)))</f>
        <v/>
      </c>
      <c r="Z1350" s="14">
        <f>IF(OR($E1350="",$Y1350=""),"",IF($E1350&gt;=$Y1350,"×",IF($E1350&gt;=$Y1350*設定!$C$5,"△","○")))</f>
        <v/>
      </c>
      <c r="AA1350" s="15">
        <f>IF($Z1350="","",IF($Z1350="×",0,IF($Z1350="○",ROUNDDOWN($E1350*設定!$C$4,0),ROUNDDOWN($E1350*ROUND((9*$Y1350-9*$E1350)/(10*$E1350),4),0))))</f>
        <v/>
      </c>
      <c r="AB1350" s="13" t="n"/>
      <c r="AC1350" s="15">
        <f>IF($B1350="","",IF($AB1350&lt;&gt;"",$AB1350,IF($AA1350="","",IF($AA1350&lt;=設定!$C$3,0,$AA1350))))</f>
        <v/>
      </c>
      <c r="AD1350" s="14">
        <f>IF($B1350="","",IF(AND($AE1350&lt;&gt;"",$AG1350="",$AJ1350=""),"保留中",IF($AJ1350&lt;&gt;"",IF(N($AC1350)&gt;0,"支給済","不支給"),IF($AC1350="","要確認",IF($AC1350=0,"不支給","未処理")))))</f>
        <v/>
      </c>
      <c r="AE1350" s="12" t="n"/>
      <c r="AF1350" s="11" t="n"/>
      <c r="AG1350" s="11" t="n"/>
      <c r="AH1350" s="11" t="n"/>
      <c r="AI1350" s="14">
        <f>IF(AND($AD1350="保留中",$AF1350&lt;&gt;""),TODAY()-$AF1350,"")</f>
        <v/>
      </c>
      <c r="AJ1350" s="12" t="n"/>
      <c r="AK1350" s="14">
        <f>IF($B1350="","",IF($AO1350="","対象年月が未入力／","")&amp;IF($B1350="","",IF($AN1350="","職員マスタに未登録の職員番号／",IF($Y1350="","標準報酬月額が未登録／","")&amp;IF(AND($AO1350&lt;&gt;"",OR(AND(INDEX(職員マスタ!$G$6:$G$405,$AN1350)&lt;&gt;"",INDEX(職員マスタ!$G$6:$G$405,$AN1350)&gt;EOMONTH($AO1350,0)),AND(INDEX(職員マスタ!$H$6:$H$405,$AN1350)&lt;&gt;"",INDEX(職員マスタ!$H$6:$H$405,$AN1350)&lt;$AO1350))),"対象月が時短期間外／","")&amp;IF(AND(INDEX(職員マスタ!$F$6:$F$405,$AN1350)&lt;&gt;"",$AO1350&lt;&gt;"",INDEX(職員マスタ!$F$6:$F$405,$AN1350)&lt;$AO1350),"対象月に子が2歳到達済／","")&amp;IF(AND($H1350&lt;&gt;"",INDEX(職員マスタ!$B$6:$B$405,$AN1350)&lt;&gt;"",SUBSTITUTE(SUBSTITUTE($H1350," ","")," ","")&lt;&gt;SUBSTITUTE(SUBSTITUTE(INDEX(職員マスタ!$B$6:$B$405,$AN1350)," ","")," ","")),"氏名がマスタと相違／","")&amp;IF(AND($Q1350&lt;&gt;"",INDEX(職員マスタ!$E$6:$E$405,$AN1350)&lt;&gt;"",$Q1350&lt;&gt;INDEX(職員マスタ!$E$6:$E$405,$AN1350)),"子の生年月日がマスタと相違／","")&amp;IF(AND($L1350&lt;&gt;"",INDEX(職員マスタ!$G$6:$G$405,$AN1350)&lt;&gt;"",$L1350&lt;&gt;INDEX(職員マスタ!$G$6:$G$405,$AN1350)),"時短開始日がマスタと相違／","")&amp;IF(AND($M1350&lt;&gt;"",INDEX(職員マスタ!$H$6:$H$405,$AN1350)&lt;&gt;"",$M1350&lt;&gt;INDEX(職員マスタ!$H$6:$H$405,$AN1350)),"時短終了日がマスタと相違／","")))&amp;IF(AND($B1350&lt;&gt;"",$E1350=""),"報酬額が未入力／","")&amp;IF(N($U1350)&gt;0,"申請書に入力エラーが残っています／","")&amp;IF(AND($B1350&lt;&gt;"",$AO1350&lt;&gt;""),IF(COUNTIFS($B$6:$B$3005,$B1350,$C$6:$C$3005,$C1350,$D$6:$D$3005,$D1350)&gt;1,"同じ月の請求が重複しています／",""),"")&amp;IF(AND(N($E1350)&gt;0,$Z1350&lt;&gt;"",$Z1350&lt;&gt;"×",$AC1350=0,$AB1350=""),"計算額が下限以下のため不支給／",""))</f>
        <v/>
      </c>
      <c r="AL1350" s="12" t="n"/>
      <c r="AM1350" s="14">
        <f>IF($AD1350="保留中",COUNTIF($AD$6:$AD1350,"保留中"),"")</f>
        <v/>
      </c>
      <c r="AN1350" s="14">
        <f>IF($AO1350="","",IF(SUMPRODUCT(MAX((職員マスタ!$A$6:$A$405=$B1350)*(((職員マスタ!$G$6:$G$405="")+(職員マスタ!$G$6:$G$405&lt;=EOMONTH($AO1350,0)))&gt;0)*(((職員マスタ!$H$6:$H$405="")+(職員マスタ!$H$6:$H$405&gt;=$AO1350))&gt;0)*(ROW(職員マスタ!$A$6:$A$405)-5)))&gt;0,SUMPRODUCT(MAX((職員マスタ!$A$6:$A$405=$B1350)*(((職員マスタ!$G$6:$G$405="")+(職員マスタ!$G$6:$G$405&lt;=EOMONTH($AO1350,0)))&gt;0)*(((職員マスタ!$H$6:$H$405="")+(職員マスタ!$H$6:$H$405&gt;=$AO1350))&gt;0)*(ROW(職員マスタ!$A$6:$A$405)-5))),IFERROR(MATCH($B1350,職員マスタ!$A$6:$A$405,0),"")))</f>
        <v/>
      </c>
      <c r="AO1350" s="16">
        <f>IF(OR($B1350="",$C1350="",$D1350=""),"",DATE($C1350+2018,$D1350,1))</f>
        <v/>
      </c>
    </row>
    <row r="1351">
      <c r="A1351" s="11" t="n"/>
      <c r="B1351" s="12" t="n"/>
      <c r="C1351" s="12" t="n"/>
      <c r="D1351" s="12" t="n"/>
      <c r="E1351" s="13" t="n"/>
      <c r="F1351" s="12" t="n"/>
      <c r="G1351" s="13" t="n"/>
      <c r="H1351" s="12" t="n"/>
      <c r="I1351" s="12" t="n"/>
      <c r="J1351" s="12" t="n"/>
      <c r="K1351" s="12" t="n"/>
      <c r="L1351" s="11" t="n"/>
      <c r="M1351" s="11" t="n"/>
      <c r="N1351" s="11" t="n"/>
      <c r="O1351" s="11" t="n"/>
      <c r="P1351" s="12" t="n"/>
      <c r="Q1351" s="11" t="n"/>
      <c r="R1351" s="12" t="n"/>
      <c r="S1351" s="11" t="n"/>
      <c r="T1351" s="12" t="n"/>
      <c r="U1351" s="12" t="n"/>
      <c r="V1351" s="14">
        <f>IF($AN1351="",IF($B1351="","",$H1351),IF(INDEX(職員マスタ!$B$6:$B$405,$AN1351)="",$H1351,INDEX(職員マスタ!$B$6:$B$405,$AN1351)))</f>
        <v/>
      </c>
      <c r="W1351" s="14">
        <f>IF($AN1351="",IF($B1351="","",$R1351),IF(INDEX(職員マスタ!$C$6:$C$405,$AN1351)="",$R1351,INDEX(職員マスタ!$C$6:$C$405,$AN1351)))</f>
        <v/>
      </c>
      <c r="X1351" s="14">
        <f>IF($AO1351="","","R"&amp;$C1351&amp;"."&amp;$D1351)</f>
        <v/>
      </c>
      <c r="Y1351" s="15">
        <f>IF($AN1351="","",IF(INDEX(職員マスタ!$K$6:$K$405,$AN1351)="","",INDEX(職員マスタ!$K$6:$K$405,$AN1351)))</f>
        <v/>
      </c>
      <c r="Z1351" s="14">
        <f>IF(OR($E1351="",$Y1351=""),"",IF($E1351&gt;=$Y1351,"×",IF($E1351&gt;=$Y1351*設定!$C$5,"△","○")))</f>
        <v/>
      </c>
      <c r="AA1351" s="15">
        <f>IF($Z1351="","",IF($Z1351="×",0,IF($Z1351="○",ROUNDDOWN($E1351*設定!$C$4,0),ROUNDDOWN($E1351*ROUND((9*$Y1351-9*$E1351)/(10*$E1351),4),0))))</f>
        <v/>
      </c>
      <c r="AB1351" s="13" t="n"/>
      <c r="AC1351" s="15">
        <f>IF($B1351="","",IF($AB1351&lt;&gt;"",$AB1351,IF($AA1351="","",IF($AA1351&lt;=設定!$C$3,0,$AA1351))))</f>
        <v/>
      </c>
      <c r="AD1351" s="14">
        <f>IF($B1351="","",IF(AND($AE1351&lt;&gt;"",$AG1351="",$AJ1351=""),"保留中",IF($AJ1351&lt;&gt;"",IF(N($AC1351)&gt;0,"支給済","不支給"),IF($AC1351="","要確認",IF($AC1351=0,"不支給","未処理")))))</f>
        <v/>
      </c>
      <c r="AE1351" s="12" t="n"/>
      <c r="AF1351" s="11" t="n"/>
      <c r="AG1351" s="11" t="n"/>
      <c r="AH1351" s="11" t="n"/>
      <c r="AI1351" s="14">
        <f>IF(AND($AD1351="保留中",$AF1351&lt;&gt;""),TODAY()-$AF1351,"")</f>
        <v/>
      </c>
      <c r="AJ1351" s="12" t="n"/>
      <c r="AK1351" s="14">
        <f>IF($B1351="","",IF($AO1351="","対象年月が未入力／","")&amp;IF($B1351="","",IF($AN1351="","職員マスタに未登録の職員番号／",IF($Y1351="","標準報酬月額が未登録／","")&amp;IF(AND($AO1351&lt;&gt;"",OR(AND(INDEX(職員マスタ!$G$6:$G$405,$AN1351)&lt;&gt;"",INDEX(職員マスタ!$G$6:$G$405,$AN1351)&gt;EOMONTH($AO1351,0)),AND(INDEX(職員マスタ!$H$6:$H$405,$AN1351)&lt;&gt;"",INDEX(職員マスタ!$H$6:$H$405,$AN1351)&lt;$AO1351))),"対象月が時短期間外／","")&amp;IF(AND(INDEX(職員マスタ!$F$6:$F$405,$AN1351)&lt;&gt;"",$AO1351&lt;&gt;"",INDEX(職員マスタ!$F$6:$F$405,$AN1351)&lt;$AO1351),"対象月に子が2歳到達済／","")&amp;IF(AND($H1351&lt;&gt;"",INDEX(職員マスタ!$B$6:$B$405,$AN1351)&lt;&gt;"",SUBSTITUTE(SUBSTITUTE($H1351," ","")," ","")&lt;&gt;SUBSTITUTE(SUBSTITUTE(INDEX(職員マスタ!$B$6:$B$405,$AN1351)," ","")," ","")),"氏名がマスタと相違／","")&amp;IF(AND($Q1351&lt;&gt;"",INDEX(職員マスタ!$E$6:$E$405,$AN1351)&lt;&gt;"",$Q1351&lt;&gt;INDEX(職員マスタ!$E$6:$E$405,$AN1351)),"子の生年月日がマスタと相違／","")&amp;IF(AND($L1351&lt;&gt;"",INDEX(職員マスタ!$G$6:$G$405,$AN1351)&lt;&gt;"",$L1351&lt;&gt;INDEX(職員マスタ!$G$6:$G$405,$AN1351)),"時短開始日がマスタと相違／","")&amp;IF(AND($M1351&lt;&gt;"",INDEX(職員マスタ!$H$6:$H$405,$AN1351)&lt;&gt;"",$M1351&lt;&gt;INDEX(職員マスタ!$H$6:$H$405,$AN1351)),"時短終了日がマスタと相違／","")))&amp;IF(AND($B1351&lt;&gt;"",$E1351=""),"報酬額が未入力／","")&amp;IF(N($U1351)&gt;0,"申請書に入力エラーが残っています／","")&amp;IF(AND($B1351&lt;&gt;"",$AO1351&lt;&gt;""),IF(COUNTIFS($B$6:$B$3005,$B1351,$C$6:$C$3005,$C1351,$D$6:$D$3005,$D1351)&gt;1,"同じ月の請求が重複しています／",""),"")&amp;IF(AND(N($E1351)&gt;0,$Z1351&lt;&gt;"",$Z1351&lt;&gt;"×",$AC1351=0,$AB1351=""),"計算額が下限以下のため不支給／",""))</f>
        <v/>
      </c>
      <c r="AL1351" s="12" t="n"/>
      <c r="AM1351" s="14">
        <f>IF($AD1351="保留中",COUNTIF($AD$6:$AD1351,"保留中"),"")</f>
        <v/>
      </c>
      <c r="AN1351" s="14">
        <f>IF($AO1351="","",IF(SUMPRODUCT(MAX((職員マスタ!$A$6:$A$405=$B1351)*(((職員マスタ!$G$6:$G$405="")+(職員マスタ!$G$6:$G$405&lt;=EOMONTH($AO1351,0)))&gt;0)*(((職員マスタ!$H$6:$H$405="")+(職員マスタ!$H$6:$H$405&gt;=$AO1351))&gt;0)*(ROW(職員マスタ!$A$6:$A$405)-5)))&gt;0,SUMPRODUCT(MAX((職員マスタ!$A$6:$A$405=$B1351)*(((職員マスタ!$G$6:$G$405="")+(職員マスタ!$G$6:$G$405&lt;=EOMONTH($AO1351,0)))&gt;0)*(((職員マスタ!$H$6:$H$405="")+(職員マスタ!$H$6:$H$405&gt;=$AO1351))&gt;0)*(ROW(職員マスタ!$A$6:$A$405)-5))),IFERROR(MATCH($B1351,職員マスタ!$A$6:$A$405,0),"")))</f>
        <v/>
      </c>
      <c r="AO1351" s="16">
        <f>IF(OR($B1351="",$C1351="",$D1351=""),"",DATE($C1351+2018,$D1351,1))</f>
        <v/>
      </c>
    </row>
    <row r="1352">
      <c r="A1352" s="11" t="n"/>
      <c r="B1352" s="12" t="n"/>
      <c r="C1352" s="12" t="n"/>
      <c r="D1352" s="12" t="n"/>
      <c r="E1352" s="13" t="n"/>
      <c r="F1352" s="12" t="n"/>
      <c r="G1352" s="13" t="n"/>
      <c r="H1352" s="12" t="n"/>
      <c r="I1352" s="12" t="n"/>
      <c r="J1352" s="12" t="n"/>
      <c r="K1352" s="12" t="n"/>
      <c r="L1352" s="11" t="n"/>
      <c r="M1352" s="11" t="n"/>
      <c r="N1352" s="11" t="n"/>
      <c r="O1352" s="11" t="n"/>
      <c r="P1352" s="12" t="n"/>
      <c r="Q1352" s="11" t="n"/>
      <c r="R1352" s="12" t="n"/>
      <c r="S1352" s="11" t="n"/>
      <c r="T1352" s="12" t="n"/>
      <c r="U1352" s="12" t="n"/>
      <c r="V1352" s="14">
        <f>IF($AN1352="",IF($B1352="","",$H1352),IF(INDEX(職員マスタ!$B$6:$B$405,$AN1352)="",$H1352,INDEX(職員マスタ!$B$6:$B$405,$AN1352)))</f>
        <v/>
      </c>
      <c r="W1352" s="14">
        <f>IF($AN1352="",IF($B1352="","",$R1352),IF(INDEX(職員マスタ!$C$6:$C$405,$AN1352)="",$R1352,INDEX(職員マスタ!$C$6:$C$405,$AN1352)))</f>
        <v/>
      </c>
      <c r="X1352" s="14">
        <f>IF($AO1352="","","R"&amp;$C1352&amp;"."&amp;$D1352)</f>
        <v/>
      </c>
      <c r="Y1352" s="15">
        <f>IF($AN1352="","",IF(INDEX(職員マスタ!$K$6:$K$405,$AN1352)="","",INDEX(職員マスタ!$K$6:$K$405,$AN1352)))</f>
        <v/>
      </c>
      <c r="Z1352" s="14">
        <f>IF(OR($E1352="",$Y1352=""),"",IF($E1352&gt;=$Y1352,"×",IF($E1352&gt;=$Y1352*設定!$C$5,"△","○")))</f>
        <v/>
      </c>
      <c r="AA1352" s="15">
        <f>IF($Z1352="","",IF($Z1352="×",0,IF($Z1352="○",ROUNDDOWN($E1352*設定!$C$4,0),ROUNDDOWN($E1352*ROUND((9*$Y1352-9*$E1352)/(10*$E1352),4),0))))</f>
        <v/>
      </c>
      <c r="AB1352" s="13" t="n"/>
      <c r="AC1352" s="15">
        <f>IF($B1352="","",IF($AB1352&lt;&gt;"",$AB1352,IF($AA1352="","",IF($AA1352&lt;=設定!$C$3,0,$AA1352))))</f>
        <v/>
      </c>
      <c r="AD1352" s="14">
        <f>IF($B1352="","",IF(AND($AE1352&lt;&gt;"",$AG1352="",$AJ1352=""),"保留中",IF($AJ1352&lt;&gt;"",IF(N($AC1352)&gt;0,"支給済","不支給"),IF($AC1352="","要確認",IF($AC1352=0,"不支給","未処理")))))</f>
        <v/>
      </c>
      <c r="AE1352" s="12" t="n"/>
      <c r="AF1352" s="11" t="n"/>
      <c r="AG1352" s="11" t="n"/>
      <c r="AH1352" s="11" t="n"/>
      <c r="AI1352" s="14">
        <f>IF(AND($AD1352="保留中",$AF1352&lt;&gt;""),TODAY()-$AF1352,"")</f>
        <v/>
      </c>
      <c r="AJ1352" s="12" t="n"/>
      <c r="AK1352" s="14">
        <f>IF($B1352="","",IF($AO1352="","対象年月が未入力／","")&amp;IF($B1352="","",IF($AN1352="","職員マスタに未登録の職員番号／",IF($Y1352="","標準報酬月額が未登録／","")&amp;IF(AND($AO1352&lt;&gt;"",OR(AND(INDEX(職員マスタ!$G$6:$G$405,$AN1352)&lt;&gt;"",INDEX(職員マスタ!$G$6:$G$405,$AN1352)&gt;EOMONTH($AO1352,0)),AND(INDEX(職員マスタ!$H$6:$H$405,$AN1352)&lt;&gt;"",INDEX(職員マスタ!$H$6:$H$405,$AN1352)&lt;$AO1352))),"対象月が時短期間外／","")&amp;IF(AND(INDEX(職員マスタ!$F$6:$F$405,$AN1352)&lt;&gt;"",$AO1352&lt;&gt;"",INDEX(職員マスタ!$F$6:$F$405,$AN1352)&lt;$AO1352),"対象月に子が2歳到達済／","")&amp;IF(AND($H1352&lt;&gt;"",INDEX(職員マスタ!$B$6:$B$405,$AN1352)&lt;&gt;"",SUBSTITUTE(SUBSTITUTE($H1352," ","")," ","")&lt;&gt;SUBSTITUTE(SUBSTITUTE(INDEX(職員マスタ!$B$6:$B$405,$AN1352)," ","")," ","")),"氏名がマスタと相違／","")&amp;IF(AND($Q1352&lt;&gt;"",INDEX(職員マスタ!$E$6:$E$405,$AN1352)&lt;&gt;"",$Q1352&lt;&gt;INDEX(職員マスタ!$E$6:$E$405,$AN1352)),"子の生年月日がマスタと相違／","")&amp;IF(AND($L1352&lt;&gt;"",INDEX(職員マスタ!$G$6:$G$405,$AN1352)&lt;&gt;"",$L1352&lt;&gt;INDEX(職員マスタ!$G$6:$G$405,$AN1352)),"時短開始日がマスタと相違／","")&amp;IF(AND($M1352&lt;&gt;"",INDEX(職員マスタ!$H$6:$H$405,$AN1352)&lt;&gt;"",$M1352&lt;&gt;INDEX(職員マスタ!$H$6:$H$405,$AN1352)),"時短終了日がマスタと相違／","")))&amp;IF(AND($B1352&lt;&gt;"",$E1352=""),"報酬額が未入力／","")&amp;IF(N($U1352)&gt;0,"申請書に入力エラーが残っています／","")&amp;IF(AND($B1352&lt;&gt;"",$AO1352&lt;&gt;""),IF(COUNTIFS($B$6:$B$3005,$B1352,$C$6:$C$3005,$C1352,$D$6:$D$3005,$D1352)&gt;1,"同じ月の請求が重複しています／",""),"")&amp;IF(AND(N($E1352)&gt;0,$Z1352&lt;&gt;"",$Z1352&lt;&gt;"×",$AC1352=0,$AB1352=""),"計算額が下限以下のため不支給／",""))</f>
        <v/>
      </c>
      <c r="AL1352" s="12" t="n"/>
      <c r="AM1352" s="14">
        <f>IF($AD1352="保留中",COUNTIF($AD$6:$AD1352,"保留中"),"")</f>
        <v/>
      </c>
      <c r="AN1352" s="14">
        <f>IF($AO1352="","",IF(SUMPRODUCT(MAX((職員マスタ!$A$6:$A$405=$B1352)*(((職員マスタ!$G$6:$G$405="")+(職員マスタ!$G$6:$G$405&lt;=EOMONTH($AO1352,0)))&gt;0)*(((職員マスタ!$H$6:$H$405="")+(職員マスタ!$H$6:$H$405&gt;=$AO1352))&gt;0)*(ROW(職員マスタ!$A$6:$A$405)-5)))&gt;0,SUMPRODUCT(MAX((職員マスタ!$A$6:$A$405=$B1352)*(((職員マスタ!$G$6:$G$405="")+(職員マスタ!$G$6:$G$405&lt;=EOMONTH($AO1352,0)))&gt;0)*(((職員マスタ!$H$6:$H$405="")+(職員マスタ!$H$6:$H$405&gt;=$AO1352))&gt;0)*(ROW(職員マスタ!$A$6:$A$405)-5))),IFERROR(MATCH($B1352,職員マスタ!$A$6:$A$405,0),"")))</f>
        <v/>
      </c>
      <c r="AO1352" s="16">
        <f>IF(OR($B1352="",$C1352="",$D1352=""),"",DATE($C1352+2018,$D1352,1))</f>
        <v/>
      </c>
    </row>
    <row r="1353">
      <c r="A1353" s="11" t="n"/>
      <c r="B1353" s="12" t="n"/>
      <c r="C1353" s="12" t="n"/>
      <c r="D1353" s="12" t="n"/>
      <c r="E1353" s="13" t="n"/>
      <c r="F1353" s="12" t="n"/>
      <c r="G1353" s="13" t="n"/>
      <c r="H1353" s="12" t="n"/>
      <c r="I1353" s="12" t="n"/>
      <c r="J1353" s="12" t="n"/>
      <c r="K1353" s="12" t="n"/>
      <c r="L1353" s="11" t="n"/>
      <c r="M1353" s="11" t="n"/>
      <c r="N1353" s="11" t="n"/>
      <c r="O1353" s="11" t="n"/>
      <c r="P1353" s="12" t="n"/>
      <c r="Q1353" s="11" t="n"/>
      <c r="R1353" s="12" t="n"/>
      <c r="S1353" s="11" t="n"/>
      <c r="T1353" s="12" t="n"/>
      <c r="U1353" s="12" t="n"/>
      <c r="V1353" s="14">
        <f>IF($AN1353="",IF($B1353="","",$H1353),IF(INDEX(職員マスタ!$B$6:$B$405,$AN1353)="",$H1353,INDEX(職員マスタ!$B$6:$B$405,$AN1353)))</f>
        <v/>
      </c>
      <c r="W1353" s="14">
        <f>IF($AN1353="",IF($B1353="","",$R1353),IF(INDEX(職員マスタ!$C$6:$C$405,$AN1353)="",$R1353,INDEX(職員マスタ!$C$6:$C$405,$AN1353)))</f>
        <v/>
      </c>
      <c r="X1353" s="14">
        <f>IF($AO1353="","","R"&amp;$C1353&amp;"."&amp;$D1353)</f>
        <v/>
      </c>
      <c r="Y1353" s="15">
        <f>IF($AN1353="","",IF(INDEX(職員マスタ!$K$6:$K$405,$AN1353)="","",INDEX(職員マスタ!$K$6:$K$405,$AN1353)))</f>
        <v/>
      </c>
      <c r="Z1353" s="14">
        <f>IF(OR($E1353="",$Y1353=""),"",IF($E1353&gt;=$Y1353,"×",IF($E1353&gt;=$Y1353*設定!$C$5,"△","○")))</f>
        <v/>
      </c>
      <c r="AA1353" s="15">
        <f>IF($Z1353="","",IF($Z1353="×",0,IF($Z1353="○",ROUNDDOWN($E1353*設定!$C$4,0),ROUNDDOWN($E1353*ROUND((9*$Y1353-9*$E1353)/(10*$E1353),4),0))))</f>
        <v/>
      </c>
      <c r="AB1353" s="13" t="n"/>
      <c r="AC1353" s="15">
        <f>IF($B1353="","",IF($AB1353&lt;&gt;"",$AB1353,IF($AA1353="","",IF($AA1353&lt;=設定!$C$3,0,$AA1353))))</f>
        <v/>
      </c>
      <c r="AD1353" s="14">
        <f>IF($B1353="","",IF(AND($AE1353&lt;&gt;"",$AG1353="",$AJ1353=""),"保留中",IF($AJ1353&lt;&gt;"",IF(N($AC1353)&gt;0,"支給済","不支給"),IF($AC1353="","要確認",IF($AC1353=0,"不支給","未処理")))))</f>
        <v/>
      </c>
      <c r="AE1353" s="12" t="n"/>
      <c r="AF1353" s="11" t="n"/>
      <c r="AG1353" s="11" t="n"/>
      <c r="AH1353" s="11" t="n"/>
      <c r="AI1353" s="14">
        <f>IF(AND($AD1353="保留中",$AF1353&lt;&gt;""),TODAY()-$AF1353,"")</f>
        <v/>
      </c>
      <c r="AJ1353" s="12" t="n"/>
      <c r="AK1353" s="14">
        <f>IF($B1353="","",IF($AO1353="","対象年月が未入力／","")&amp;IF($B1353="","",IF($AN1353="","職員マスタに未登録の職員番号／",IF($Y1353="","標準報酬月額が未登録／","")&amp;IF(AND($AO1353&lt;&gt;"",OR(AND(INDEX(職員マスタ!$G$6:$G$405,$AN1353)&lt;&gt;"",INDEX(職員マスタ!$G$6:$G$405,$AN1353)&gt;EOMONTH($AO1353,0)),AND(INDEX(職員マスタ!$H$6:$H$405,$AN1353)&lt;&gt;"",INDEX(職員マスタ!$H$6:$H$405,$AN1353)&lt;$AO1353))),"対象月が時短期間外／","")&amp;IF(AND(INDEX(職員マスタ!$F$6:$F$405,$AN1353)&lt;&gt;"",$AO1353&lt;&gt;"",INDEX(職員マスタ!$F$6:$F$405,$AN1353)&lt;$AO1353),"対象月に子が2歳到達済／","")&amp;IF(AND($H1353&lt;&gt;"",INDEX(職員マスタ!$B$6:$B$405,$AN1353)&lt;&gt;"",SUBSTITUTE(SUBSTITUTE($H1353," ","")," ","")&lt;&gt;SUBSTITUTE(SUBSTITUTE(INDEX(職員マスタ!$B$6:$B$405,$AN1353)," ","")," ","")),"氏名がマスタと相違／","")&amp;IF(AND($Q1353&lt;&gt;"",INDEX(職員マスタ!$E$6:$E$405,$AN1353)&lt;&gt;"",$Q1353&lt;&gt;INDEX(職員マスタ!$E$6:$E$405,$AN1353)),"子の生年月日がマスタと相違／","")&amp;IF(AND($L1353&lt;&gt;"",INDEX(職員マスタ!$G$6:$G$405,$AN1353)&lt;&gt;"",$L1353&lt;&gt;INDEX(職員マスタ!$G$6:$G$405,$AN1353)),"時短開始日がマスタと相違／","")&amp;IF(AND($M1353&lt;&gt;"",INDEX(職員マスタ!$H$6:$H$405,$AN1353)&lt;&gt;"",$M1353&lt;&gt;INDEX(職員マスタ!$H$6:$H$405,$AN1353)),"時短終了日がマスタと相違／","")))&amp;IF(AND($B1353&lt;&gt;"",$E1353=""),"報酬額が未入力／","")&amp;IF(N($U1353)&gt;0,"申請書に入力エラーが残っています／","")&amp;IF(AND($B1353&lt;&gt;"",$AO1353&lt;&gt;""),IF(COUNTIFS($B$6:$B$3005,$B1353,$C$6:$C$3005,$C1353,$D$6:$D$3005,$D1353)&gt;1,"同じ月の請求が重複しています／",""),"")&amp;IF(AND(N($E1353)&gt;0,$Z1353&lt;&gt;"",$Z1353&lt;&gt;"×",$AC1353=0,$AB1353=""),"計算額が下限以下のため不支給／",""))</f>
        <v/>
      </c>
      <c r="AL1353" s="12" t="n"/>
      <c r="AM1353" s="14">
        <f>IF($AD1353="保留中",COUNTIF($AD$6:$AD1353,"保留中"),"")</f>
        <v/>
      </c>
      <c r="AN1353" s="14">
        <f>IF($AO1353="","",IF(SUMPRODUCT(MAX((職員マスタ!$A$6:$A$405=$B1353)*(((職員マスタ!$G$6:$G$405="")+(職員マスタ!$G$6:$G$405&lt;=EOMONTH($AO1353,0)))&gt;0)*(((職員マスタ!$H$6:$H$405="")+(職員マスタ!$H$6:$H$405&gt;=$AO1353))&gt;0)*(ROW(職員マスタ!$A$6:$A$405)-5)))&gt;0,SUMPRODUCT(MAX((職員マスタ!$A$6:$A$405=$B1353)*(((職員マスタ!$G$6:$G$405="")+(職員マスタ!$G$6:$G$405&lt;=EOMONTH($AO1353,0)))&gt;0)*(((職員マスタ!$H$6:$H$405="")+(職員マスタ!$H$6:$H$405&gt;=$AO1353))&gt;0)*(ROW(職員マスタ!$A$6:$A$405)-5))),IFERROR(MATCH($B1353,職員マスタ!$A$6:$A$405,0),"")))</f>
        <v/>
      </c>
      <c r="AO1353" s="16">
        <f>IF(OR($B1353="",$C1353="",$D1353=""),"",DATE($C1353+2018,$D1353,1))</f>
        <v/>
      </c>
    </row>
    <row r="1354">
      <c r="A1354" s="11" t="n"/>
      <c r="B1354" s="12" t="n"/>
      <c r="C1354" s="12" t="n"/>
      <c r="D1354" s="12" t="n"/>
      <c r="E1354" s="13" t="n"/>
      <c r="F1354" s="12" t="n"/>
      <c r="G1354" s="13" t="n"/>
      <c r="H1354" s="12" t="n"/>
      <c r="I1354" s="12" t="n"/>
      <c r="J1354" s="12" t="n"/>
      <c r="K1354" s="12" t="n"/>
      <c r="L1354" s="11" t="n"/>
      <c r="M1354" s="11" t="n"/>
      <c r="N1354" s="11" t="n"/>
      <c r="O1354" s="11" t="n"/>
      <c r="P1354" s="12" t="n"/>
      <c r="Q1354" s="11" t="n"/>
      <c r="R1354" s="12" t="n"/>
      <c r="S1354" s="11" t="n"/>
      <c r="T1354" s="12" t="n"/>
      <c r="U1354" s="12" t="n"/>
      <c r="V1354" s="14">
        <f>IF($AN1354="",IF($B1354="","",$H1354),IF(INDEX(職員マスタ!$B$6:$B$405,$AN1354)="",$H1354,INDEX(職員マスタ!$B$6:$B$405,$AN1354)))</f>
        <v/>
      </c>
      <c r="W1354" s="14">
        <f>IF($AN1354="",IF($B1354="","",$R1354),IF(INDEX(職員マスタ!$C$6:$C$405,$AN1354)="",$R1354,INDEX(職員マスタ!$C$6:$C$405,$AN1354)))</f>
        <v/>
      </c>
      <c r="X1354" s="14">
        <f>IF($AO1354="","","R"&amp;$C1354&amp;"."&amp;$D1354)</f>
        <v/>
      </c>
      <c r="Y1354" s="15">
        <f>IF($AN1354="","",IF(INDEX(職員マスタ!$K$6:$K$405,$AN1354)="","",INDEX(職員マスタ!$K$6:$K$405,$AN1354)))</f>
        <v/>
      </c>
      <c r="Z1354" s="14">
        <f>IF(OR($E1354="",$Y1354=""),"",IF($E1354&gt;=$Y1354,"×",IF($E1354&gt;=$Y1354*設定!$C$5,"△","○")))</f>
        <v/>
      </c>
      <c r="AA1354" s="15">
        <f>IF($Z1354="","",IF($Z1354="×",0,IF($Z1354="○",ROUNDDOWN($E1354*設定!$C$4,0),ROUNDDOWN($E1354*ROUND((9*$Y1354-9*$E1354)/(10*$E1354),4),0))))</f>
        <v/>
      </c>
      <c r="AB1354" s="13" t="n"/>
      <c r="AC1354" s="15">
        <f>IF($B1354="","",IF($AB1354&lt;&gt;"",$AB1354,IF($AA1354="","",IF($AA1354&lt;=設定!$C$3,0,$AA1354))))</f>
        <v/>
      </c>
      <c r="AD1354" s="14">
        <f>IF($B1354="","",IF(AND($AE1354&lt;&gt;"",$AG1354="",$AJ1354=""),"保留中",IF($AJ1354&lt;&gt;"",IF(N($AC1354)&gt;0,"支給済","不支給"),IF($AC1354="","要確認",IF($AC1354=0,"不支給","未処理")))))</f>
        <v/>
      </c>
      <c r="AE1354" s="12" t="n"/>
      <c r="AF1354" s="11" t="n"/>
      <c r="AG1354" s="11" t="n"/>
      <c r="AH1354" s="11" t="n"/>
      <c r="AI1354" s="14">
        <f>IF(AND($AD1354="保留中",$AF1354&lt;&gt;""),TODAY()-$AF1354,"")</f>
        <v/>
      </c>
      <c r="AJ1354" s="12" t="n"/>
      <c r="AK1354" s="14">
        <f>IF($B1354="","",IF($AO1354="","対象年月が未入力／","")&amp;IF($B1354="","",IF($AN1354="","職員マスタに未登録の職員番号／",IF($Y1354="","標準報酬月額が未登録／","")&amp;IF(AND($AO1354&lt;&gt;"",OR(AND(INDEX(職員マスタ!$G$6:$G$405,$AN1354)&lt;&gt;"",INDEX(職員マスタ!$G$6:$G$405,$AN1354)&gt;EOMONTH($AO1354,0)),AND(INDEX(職員マスタ!$H$6:$H$405,$AN1354)&lt;&gt;"",INDEX(職員マスタ!$H$6:$H$405,$AN1354)&lt;$AO1354))),"対象月が時短期間外／","")&amp;IF(AND(INDEX(職員マスタ!$F$6:$F$405,$AN1354)&lt;&gt;"",$AO1354&lt;&gt;"",INDEX(職員マスタ!$F$6:$F$405,$AN1354)&lt;$AO1354),"対象月に子が2歳到達済／","")&amp;IF(AND($H1354&lt;&gt;"",INDEX(職員マスタ!$B$6:$B$405,$AN1354)&lt;&gt;"",SUBSTITUTE(SUBSTITUTE($H1354," ","")," ","")&lt;&gt;SUBSTITUTE(SUBSTITUTE(INDEX(職員マスタ!$B$6:$B$405,$AN1354)," ","")," ","")),"氏名がマスタと相違／","")&amp;IF(AND($Q1354&lt;&gt;"",INDEX(職員マスタ!$E$6:$E$405,$AN1354)&lt;&gt;"",$Q1354&lt;&gt;INDEX(職員マスタ!$E$6:$E$405,$AN1354)),"子の生年月日がマスタと相違／","")&amp;IF(AND($L1354&lt;&gt;"",INDEX(職員マスタ!$G$6:$G$405,$AN1354)&lt;&gt;"",$L1354&lt;&gt;INDEX(職員マスタ!$G$6:$G$405,$AN1354)),"時短開始日がマスタと相違／","")&amp;IF(AND($M1354&lt;&gt;"",INDEX(職員マスタ!$H$6:$H$405,$AN1354)&lt;&gt;"",$M1354&lt;&gt;INDEX(職員マスタ!$H$6:$H$405,$AN1354)),"時短終了日がマスタと相違／","")))&amp;IF(AND($B1354&lt;&gt;"",$E1354=""),"報酬額が未入力／","")&amp;IF(N($U1354)&gt;0,"申請書に入力エラーが残っています／","")&amp;IF(AND($B1354&lt;&gt;"",$AO1354&lt;&gt;""),IF(COUNTIFS($B$6:$B$3005,$B1354,$C$6:$C$3005,$C1354,$D$6:$D$3005,$D1354)&gt;1,"同じ月の請求が重複しています／",""),"")&amp;IF(AND(N($E1354)&gt;0,$Z1354&lt;&gt;"",$Z1354&lt;&gt;"×",$AC1354=0,$AB1354=""),"計算額が下限以下のため不支給／",""))</f>
        <v/>
      </c>
      <c r="AL1354" s="12" t="n"/>
      <c r="AM1354" s="14">
        <f>IF($AD1354="保留中",COUNTIF($AD$6:$AD1354,"保留中"),"")</f>
        <v/>
      </c>
      <c r="AN1354" s="14">
        <f>IF($AO1354="","",IF(SUMPRODUCT(MAX((職員マスタ!$A$6:$A$405=$B1354)*(((職員マスタ!$G$6:$G$405="")+(職員マスタ!$G$6:$G$405&lt;=EOMONTH($AO1354,0)))&gt;0)*(((職員マスタ!$H$6:$H$405="")+(職員マスタ!$H$6:$H$405&gt;=$AO1354))&gt;0)*(ROW(職員マスタ!$A$6:$A$405)-5)))&gt;0,SUMPRODUCT(MAX((職員マスタ!$A$6:$A$405=$B1354)*(((職員マスタ!$G$6:$G$405="")+(職員マスタ!$G$6:$G$405&lt;=EOMONTH($AO1354,0)))&gt;0)*(((職員マスタ!$H$6:$H$405="")+(職員マスタ!$H$6:$H$405&gt;=$AO1354))&gt;0)*(ROW(職員マスタ!$A$6:$A$405)-5))),IFERROR(MATCH($B1354,職員マスタ!$A$6:$A$405,0),"")))</f>
        <v/>
      </c>
      <c r="AO1354" s="16">
        <f>IF(OR($B1354="",$C1354="",$D1354=""),"",DATE($C1354+2018,$D1354,1))</f>
        <v/>
      </c>
    </row>
    <row r="1355">
      <c r="A1355" s="11" t="n"/>
      <c r="B1355" s="12" t="n"/>
      <c r="C1355" s="12" t="n"/>
      <c r="D1355" s="12" t="n"/>
      <c r="E1355" s="13" t="n"/>
      <c r="F1355" s="12" t="n"/>
      <c r="G1355" s="13" t="n"/>
      <c r="H1355" s="12" t="n"/>
      <c r="I1355" s="12" t="n"/>
      <c r="J1355" s="12" t="n"/>
      <c r="K1355" s="12" t="n"/>
      <c r="L1355" s="11" t="n"/>
      <c r="M1355" s="11" t="n"/>
      <c r="N1355" s="11" t="n"/>
      <c r="O1355" s="11" t="n"/>
      <c r="P1355" s="12" t="n"/>
      <c r="Q1355" s="11" t="n"/>
      <c r="R1355" s="12" t="n"/>
      <c r="S1355" s="11" t="n"/>
      <c r="T1355" s="12" t="n"/>
      <c r="U1355" s="12" t="n"/>
      <c r="V1355" s="14">
        <f>IF($AN1355="",IF($B1355="","",$H1355),IF(INDEX(職員マスタ!$B$6:$B$405,$AN1355)="",$H1355,INDEX(職員マスタ!$B$6:$B$405,$AN1355)))</f>
        <v/>
      </c>
      <c r="W1355" s="14">
        <f>IF($AN1355="",IF($B1355="","",$R1355),IF(INDEX(職員マスタ!$C$6:$C$405,$AN1355)="",$R1355,INDEX(職員マスタ!$C$6:$C$405,$AN1355)))</f>
        <v/>
      </c>
      <c r="X1355" s="14">
        <f>IF($AO1355="","","R"&amp;$C1355&amp;"."&amp;$D1355)</f>
        <v/>
      </c>
      <c r="Y1355" s="15">
        <f>IF($AN1355="","",IF(INDEX(職員マスタ!$K$6:$K$405,$AN1355)="","",INDEX(職員マスタ!$K$6:$K$405,$AN1355)))</f>
        <v/>
      </c>
      <c r="Z1355" s="14">
        <f>IF(OR($E1355="",$Y1355=""),"",IF($E1355&gt;=$Y1355,"×",IF($E1355&gt;=$Y1355*設定!$C$5,"△","○")))</f>
        <v/>
      </c>
      <c r="AA1355" s="15">
        <f>IF($Z1355="","",IF($Z1355="×",0,IF($Z1355="○",ROUNDDOWN($E1355*設定!$C$4,0),ROUNDDOWN($E1355*ROUND((9*$Y1355-9*$E1355)/(10*$E1355),4),0))))</f>
        <v/>
      </c>
      <c r="AB1355" s="13" t="n"/>
      <c r="AC1355" s="15">
        <f>IF($B1355="","",IF($AB1355&lt;&gt;"",$AB1355,IF($AA1355="","",IF($AA1355&lt;=設定!$C$3,0,$AA1355))))</f>
        <v/>
      </c>
      <c r="AD1355" s="14">
        <f>IF($B1355="","",IF(AND($AE1355&lt;&gt;"",$AG1355="",$AJ1355=""),"保留中",IF($AJ1355&lt;&gt;"",IF(N($AC1355)&gt;0,"支給済","不支給"),IF($AC1355="","要確認",IF($AC1355=0,"不支給","未処理")))))</f>
        <v/>
      </c>
      <c r="AE1355" s="12" t="n"/>
      <c r="AF1355" s="11" t="n"/>
      <c r="AG1355" s="11" t="n"/>
      <c r="AH1355" s="11" t="n"/>
      <c r="AI1355" s="14">
        <f>IF(AND($AD1355="保留中",$AF1355&lt;&gt;""),TODAY()-$AF1355,"")</f>
        <v/>
      </c>
      <c r="AJ1355" s="12" t="n"/>
      <c r="AK1355" s="14">
        <f>IF($B1355="","",IF($AO1355="","対象年月が未入力／","")&amp;IF($B1355="","",IF($AN1355="","職員マスタに未登録の職員番号／",IF($Y1355="","標準報酬月額が未登録／","")&amp;IF(AND($AO1355&lt;&gt;"",OR(AND(INDEX(職員マスタ!$G$6:$G$405,$AN1355)&lt;&gt;"",INDEX(職員マスタ!$G$6:$G$405,$AN1355)&gt;EOMONTH($AO1355,0)),AND(INDEX(職員マスタ!$H$6:$H$405,$AN1355)&lt;&gt;"",INDEX(職員マスタ!$H$6:$H$405,$AN1355)&lt;$AO1355))),"対象月が時短期間外／","")&amp;IF(AND(INDEX(職員マスタ!$F$6:$F$405,$AN1355)&lt;&gt;"",$AO1355&lt;&gt;"",INDEX(職員マスタ!$F$6:$F$405,$AN1355)&lt;$AO1355),"対象月に子が2歳到達済／","")&amp;IF(AND($H1355&lt;&gt;"",INDEX(職員マスタ!$B$6:$B$405,$AN1355)&lt;&gt;"",SUBSTITUTE(SUBSTITUTE($H1355," ","")," ","")&lt;&gt;SUBSTITUTE(SUBSTITUTE(INDEX(職員マスタ!$B$6:$B$405,$AN1355)," ","")," ","")),"氏名がマスタと相違／","")&amp;IF(AND($Q1355&lt;&gt;"",INDEX(職員マスタ!$E$6:$E$405,$AN1355)&lt;&gt;"",$Q1355&lt;&gt;INDEX(職員マスタ!$E$6:$E$405,$AN1355)),"子の生年月日がマスタと相違／","")&amp;IF(AND($L1355&lt;&gt;"",INDEX(職員マスタ!$G$6:$G$405,$AN1355)&lt;&gt;"",$L1355&lt;&gt;INDEX(職員マスタ!$G$6:$G$405,$AN1355)),"時短開始日がマスタと相違／","")&amp;IF(AND($M1355&lt;&gt;"",INDEX(職員マスタ!$H$6:$H$405,$AN1355)&lt;&gt;"",$M1355&lt;&gt;INDEX(職員マスタ!$H$6:$H$405,$AN1355)),"時短終了日がマスタと相違／","")))&amp;IF(AND($B1355&lt;&gt;"",$E1355=""),"報酬額が未入力／","")&amp;IF(N($U1355)&gt;0,"申請書に入力エラーが残っています／","")&amp;IF(AND($B1355&lt;&gt;"",$AO1355&lt;&gt;""),IF(COUNTIFS($B$6:$B$3005,$B1355,$C$6:$C$3005,$C1355,$D$6:$D$3005,$D1355)&gt;1,"同じ月の請求が重複しています／",""),"")&amp;IF(AND(N($E1355)&gt;0,$Z1355&lt;&gt;"",$Z1355&lt;&gt;"×",$AC1355=0,$AB1355=""),"計算額が下限以下のため不支給／",""))</f>
        <v/>
      </c>
      <c r="AL1355" s="12" t="n"/>
      <c r="AM1355" s="14">
        <f>IF($AD1355="保留中",COUNTIF($AD$6:$AD1355,"保留中"),"")</f>
        <v/>
      </c>
      <c r="AN1355" s="14">
        <f>IF($AO1355="","",IF(SUMPRODUCT(MAX((職員マスタ!$A$6:$A$405=$B1355)*(((職員マスタ!$G$6:$G$405="")+(職員マスタ!$G$6:$G$405&lt;=EOMONTH($AO1355,0)))&gt;0)*(((職員マスタ!$H$6:$H$405="")+(職員マスタ!$H$6:$H$405&gt;=$AO1355))&gt;0)*(ROW(職員マスタ!$A$6:$A$405)-5)))&gt;0,SUMPRODUCT(MAX((職員マスタ!$A$6:$A$405=$B1355)*(((職員マスタ!$G$6:$G$405="")+(職員マスタ!$G$6:$G$405&lt;=EOMONTH($AO1355,0)))&gt;0)*(((職員マスタ!$H$6:$H$405="")+(職員マスタ!$H$6:$H$405&gt;=$AO1355))&gt;0)*(ROW(職員マスタ!$A$6:$A$405)-5))),IFERROR(MATCH($B1355,職員マスタ!$A$6:$A$405,0),"")))</f>
        <v/>
      </c>
      <c r="AO1355" s="16">
        <f>IF(OR($B1355="",$C1355="",$D1355=""),"",DATE($C1355+2018,$D1355,1))</f>
        <v/>
      </c>
    </row>
    <row r="1356">
      <c r="A1356" s="11" t="n"/>
      <c r="B1356" s="12" t="n"/>
      <c r="C1356" s="12" t="n"/>
      <c r="D1356" s="12" t="n"/>
      <c r="E1356" s="13" t="n"/>
      <c r="F1356" s="12" t="n"/>
      <c r="G1356" s="13" t="n"/>
      <c r="H1356" s="12" t="n"/>
      <c r="I1356" s="12" t="n"/>
      <c r="J1356" s="12" t="n"/>
      <c r="K1356" s="12" t="n"/>
      <c r="L1356" s="11" t="n"/>
      <c r="M1356" s="11" t="n"/>
      <c r="N1356" s="11" t="n"/>
      <c r="O1356" s="11" t="n"/>
      <c r="P1356" s="12" t="n"/>
      <c r="Q1356" s="11" t="n"/>
      <c r="R1356" s="12" t="n"/>
      <c r="S1356" s="11" t="n"/>
      <c r="T1356" s="12" t="n"/>
      <c r="U1356" s="12" t="n"/>
      <c r="V1356" s="14">
        <f>IF($AN1356="",IF($B1356="","",$H1356),IF(INDEX(職員マスタ!$B$6:$B$405,$AN1356)="",$H1356,INDEX(職員マスタ!$B$6:$B$405,$AN1356)))</f>
        <v/>
      </c>
      <c r="W1356" s="14">
        <f>IF($AN1356="",IF($B1356="","",$R1356),IF(INDEX(職員マスタ!$C$6:$C$405,$AN1356)="",$R1356,INDEX(職員マスタ!$C$6:$C$405,$AN1356)))</f>
        <v/>
      </c>
      <c r="X1356" s="14">
        <f>IF($AO1356="","","R"&amp;$C1356&amp;"."&amp;$D1356)</f>
        <v/>
      </c>
      <c r="Y1356" s="15">
        <f>IF($AN1356="","",IF(INDEX(職員マスタ!$K$6:$K$405,$AN1356)="","",INDEX(職員マスタ!$K$6:$K$405,$AN1356)))</f>
        <v/>
      </c>
      <c r="Z1356" s="14">
        <f>IF(OR($E1356="",$Y1356=""),"",IF($E1356&gt;=$Y1356,"×",IF($E1356&gt;=$Y1356*設定!$C$5,"△","○")))</f>
        <v/>
      </c>
      <c r="AA1356" s="15">
        <f>IF($Z1356="","",IF($Z1356="×",0,IF($Z1356="○",ROUNDDOWN($E1356*設定!$C$4,0),ROUNDDOWN($E1356*ROUND((9*$Y1356-9*$E1356)/(10*$E1356),4),0))))</f>
        <v/>
      </c>
      <c r="AB1356" s="13" t="n"/>
      <c r="AC1356" s="15">
        <f>IF($B1356="","",IF($AB1356&lt;&gt;"",$AB1356,IF($AA1356="","",IF($AA1356&lt;=設定!$C$3,0,$AA1356))))</f>
        <v/>
      </c>
      <c r="AD1356" s="14">
        <f>IF($B1356="","",IF(AND($AE1356&lt;&gt;"",$AG1356="",$AJ1356=""),"保留中",IF($AJ1356&lt;&gt;"",IF(N($AC1356)&gt;0,"支給済","不支給"),IF($AC1356="","要確認",IF($AC1356=0,"不支給","未処理")))))</f>
        <v/>
      </c>
      <c r="AE1356" s="12" t="n"/>
      <c r="AF1356" s="11" t="n"/>
      <c r="AG1356" s="11" t="n"/>
      <c r="AH1356" s="11" t="n"/>
      <c r="AI1356" s="14">
        <f>IF(AND($AD1356="保留中",$AF1356&lt;&gt;""),TODAY()-$AF1356,"")</f>
        <v/>
      </c>
      <c r="AJ1356" s="12" t="n"/>
      <c r="AK1356" s="14">
        <f>IF($B1356="","",IF($AO1356="","対象年月が未入力／","")&amp;IF($B1356="","",IF($AN1356="","職員マスタに未登録の職員番号／",IF($Y1356="","標準報酬月額が未登録／","")&amp;IF(AND($AO1356&lt;&gt;"",OR(AND(INDEX(職員マスタ!$G$6:$G$405,$AN1356)&lt;&gt;"",INDEX(職員マスタ!$G$6:$G$405,$AN1356)&gt;EOMONTH($AO1356,0)),AND(INDEX(職員マスタ!$H$6:$H$405,$AN1356)&lt;&gt;"",INDEX(職員マスタ!$H$6:$H$405,$AN1356)&lt;$AO1356))),"対象月が時短期間外／","")&amp;IF(AND(INDEX(職員マスタ!$F$6:$F$405,$AN1356)&lt;&gt;"",$AO1356&lt;&gt;"",INDEX(職員マスタ!$F$6:$F$405,$AN1356)&lt;$AO1356),"対象月に子が2歳到達済／","")&amp;IF(AND($H1356&lt;&gt;"",INDEX(職員マスタ!$B$6:$B$405,$AN1356)&lt;&gt;"",SUBSTITUTE(SUBSTITUTE($H1356," ","")," ","")&lt;&gt;SUBSTITUTE(SUBSTITUTE(INDEX(職員マスタ!$B$6:$B$405,$AN1356)," ","")," ","")),"氏名がマスタと相違／","")&amp;IF(AND($Q1356&lt;&gt;"",INDEX(職員マスタ!$E$6:$E$405,$AN1356)&lt;&gt;"",$Q1356&lt;&gt;INDEX(職員マスタ!$E$6:$E$405,$AN1356)),"子の生年月日がマスタと相違／","")&amp;IF(AND($L1356&lt;&gt;"",INDEX(職員マスタ!$G$6:$G$405,$AN1356)&lt;&gt;"",$L1356&lt;&gt;INDEX(職員マスタ!$G$6:$G$405,$AN1356)),"時短開始日がマスタと相違／","")&amp;IF(AND($M1356&lt;&gt;"",INDEX(職員マスタ!$H$6:$H$405,$AN1356)&lt;&gt;"",$M1356&lt;&gt;INDEX(職員マスタ!$H$6:$H$405,$AN1356)),"時短終了日がマスタと相違／","")))&amp;IF(AND($B1356&lt;&gt;"",$E1356=""),"報酬額が未入力／","")&amp;IF(N($U1356)&gt;0,"申請書に入力エラーが残っています／","")&amp;IF(AND($B1356&lt;&gt;"",$AO1356&lt;&gt;""),IF(COUNTIFS($B$6:$B$3005,$B1356,$C$6:$C$3005,$C1356,$D$6:$D$3005,$D1356)&gt;1,"同じ月の請求が重複しています／",""),"")&amp;IF(AND(N($E1356)&gt;0,$Z1356&lt;&gt;"",$Z1356&lt;&gt;"×",$AC1356=0,$AB1356=""),"計算額が下限以下のため不支給／",""))</f>
        <v/>
      </c>
      <c r="AL1356" s="12" t="n"/>
      <c r="AM1356" s="14">
        <f>IF($AD1356="保留中",COUNTIF($AD$6:$AD1356,"保留中"),"")</f>
        <v/>
      </c>
      <c r="AN1356" s="14">
        <f>IF($AO1356="","",IF(SUMPRODUCT(MAX((職員マスタ!$A$6:$A$405=$B1356)*(((職員マスタ!$G$6:$G$405="")+(職員マスタ!$G$6:$G$405&lt;=EOMONTH($AO1356,0)))&gt;0)*(((職員マスタ!$H$6:$H$405="")+(職員マスタ!$H$6:$H$405&gt;=$AO1356))&gt;0)*(ROW(職員マスタ!$A$6:$A$405)-5)))&gt;0,SUMPRODUCT(MAX((職員マスタ!$A$6:$A$405=$B1356)*(((職員マスタ!$G$6:$G$405="")+(職員マスタ!$G$6:$G$405&lt;=EOMONTH($AO1356,0)))&gt;0)*(((職員マスタ!$H$6:$H$405="")+(職員マスタ!$H$6:$H$405&gt;=$AO1356))&gt;0)*(ROW(職員マスタ!$A$6:$A$405)-5))),IFERROR(MATCH($B1356,職員マスタ!$A$6:$A$405,0),"")))</f>
        <v/>
      </c>
      <c r="AO1356" s="16">
        <f>IF(OR($B1356="",$C1356="",$D1356=""),"",DATE($C1356+2018,$D1356,1))</f>
        <v/>
      </c>
    </row>
    <row r="1357">
      <c r="A1357" s="11" t="n"/>
      <c r="B1357" s="12" t="n"/>
      <c r="C1357" s="12" t="n"/>
      <c r="D1357" s="12" t="n"/>
      <c r="E1357" s="13" t="n"/>
      <c r="F1357" s="12" t="n"/>
      <c r="G1357" s="13" t="n"/>
      <c r="H1357" s="12" t="n"/>
      <c r="I1357" s="12" t="n"/>
      <c r="J1357" s="12" t="n"/>
      <c r="K1357" s="12" t="n"/>
      <c r="L1357" s="11" t="n"/>
      <c r="M1357" s="11" t="n"/>
      <c r="N1357" s="11" t="n"/>
      <c r="O1357" s="11" t="n"/>
      <c r="P1357" s="12" t="n"/>
      <c r="Q1357" s="11" t="n"/>
      <c r="R1357" s="12" t="n"/>
      <c r="S1357" s="11" t="n"/>
      <c r="T1357" s="12" t="n"/>
      <c r="U1357" s="12" t="n"/>
      <c r="V1357" s="14">
        <f>IF($AN1357="",IF($B1357="","",$H1357),IF(INDEX(職員マスタ!$B$6:$B$405,$AN1357)="",$H1357,INDEX(職員マスタ!$B$6:$B$405,$AN1357)))</f>
        <v/>
      </c>
      <c r="W1357" s="14">
        <f>IF($AN1357="",IF($B1357="","",$R1357),IF(INDEX(職員マスタ!$C$6:$C$405,$AN1357)="",$R1357,INDEX(職員マスタ!$C$6:$C$405,$AN1357)))</f>
        <v/>
      </c>
      <c r="X1357" s="14">
        <f>IF($AO1357="","","R"&amp;$C1357&amp;"."&amp;$D1357)</f>
        <v/>
      </c>
      <c r="Y1357" s="15">
        <f>IF($AN1357="","",IF(INDEX(職員マスタ!$K$6:$K$405,$AN1357)="","",INDEX(職員マスタ!$K$6:$K$405,$AN1357)))</f>
        <v/>
      </c>
      <c r="Z1357" s="14">
        <f>IF(OR($E1357="",$Y1357=""),"",IF($E1357&gt;=$Y1357,"×",IF($E1357&gt;=$Y1357*設定!$C$5,"△","○")))</f>
        <v/>
      </c>
      <c r="AA1357" s="15">
        <f>IF($Z1357="","",IF($Z1357="×",0,IF($Z1357="○",ROUNDDOWN($E1357*設定!$C$4,0),ROUNDDOWN($E1357*ROUND((9*$Y1357-9*$E1357)/(10*$E1357),4),0))))</f>
        <v/>
      </c>
      <c r="AB1357" s="13" t="n"/>
      <c r="AC1357" s="15">
        <f>IF($B1357="","",IF($AB1357&lt;&gt;"",$AB1357,IF($AA1357="","",IF($AA1357&lt;=設定!$C$3,0,$AA1357))))</f>
        <v/>
      </c>
      <c r="AD1357" s="14">
        <f>IF($B1357="","",IF(AND($AE1357&lt;&gt;"",$AG1357="",$AJ1357=""),"保留中",IF($AJ1357&lt;&gt;"",IF(N($AC1357)&gt;0,"支給済","不支給"),IF($AC1357="","要確認",IF($AC1357=0,"不支給","未処理")))))</f>
        <v/>
      </c>
      <c r="AE1357" s="12" t="n"/>
      <c r="AF1357" s="11" t="n"/>
      <c r="AG1357" s="11" t="n"/>
      <c r="AH1357" s="11" t="n"/>
      <c r="AI1357" s="14">
        <f>IF(AND($AD1357="保留中",$AF1357&lt;&gt;""),TODAY()-$AF1357,"")</f>
        <v/>
      </c>
      <c r="AJ1357" s="12" t="n"/>
      <c r="AK1357" s="14">
        <f>IF($B1357="","",IF($AO1357="","対象年月が未入力／","")&amp;IF($B1357="","",IF($AN1357="","職員マスタに未登録の職員番号／",IF($Y1357="","標準報酬月額が未登録／","")&amp;IF(AND($AO1357&lt;&gt;"",OR(AND(INDEX(職員マスタ!$G$6:$G$405,$AN1357)&lt;&gt;"",INDEX(職員マスタ!$G$6:$G$405,$AN1357)&gt;EOMONTH($AO1357,0)),AND(INDEX(職員マスタ!$H$6:$H$405,$AN1357)&lt;&gt;"",INDEX(職員マスタ!$H$6:$H$405,$AN1357)&lt;$AO1357))),"対象月が時短期間外／","")&amp;IF(AND(INDEX(職員マスタ!$F$6:$F$405,$AN1357)&lt;&gt;"",$AO1357&lt;&gt;"",INDEX(職員マスタ!$F$6:$F$405,$AN1357)&lt;$AO1357),"対象月に子が2歳到達済／","")&amp;IF(AND($H1357&lt;&gt;"",INDEX(職員マスタ!$B$6:$B$405,$AN1357)&lt;&gt;"",SUBSTITUTE(SUBSTITUTE($H1357," ","")," ","")&lt;&gt;SUBSTITUTE(SUBSTITUTE(INDEX(職員マスタ!$B$6:$B$405,$AN1357)," ","")," ","")),"氏名がマスタと相違／","")&amp;IF(AND($Q1357&lt;&gt;"",INDEX(職員マスタ!$E$6:$E$405,$AN1357)&lt;&gt;"",$Q1357&lt;&gt;INDEX(職員マスタ!$E$6:$E$405,$AN1357)),"子の生年月日がマスタと相違／","")&amp;IF(AND($L1357&lt;&gt;"",INDEX(職員マスタ!$G$6:$G$405,$AN1357)&lt;&gt;"",$L1357&lt;&gt;INDEX(職員マスタ!$G$6:$G$405,$AN1357)),"時短開始日がマスタと相違／","")&amp;IF(AND($M1357&lt;&gt;"",INDEX(職員マスタ!$H$6:$H$405,$AN1357)&lt;&gt;"",$M1357&lt;&gt;INDEX(職員マスタ!$H$6:$H$405,$AN1357)),"時短終了日がマスタと相違／","")))&amp;IF(AND($B1357&lt;&gt;"",$E1357=""),"報酬額が未入力／","")&amp;IF(N($U1357)&gt;0,"申請書に入力エラーが残っています／","")&amp;IF(AND($B1357&lt;&gt;"",$AO1357&lt;&gt;""),IF(COUNTIFS($B$6:$B$3005,$B1357,$C$6:$C$3005,$C1357,$D$6:$D$3005,$D1357)&gt;1,"同じ月の請求が重複しています／",""),"")&amp;IF(AND(N($E1357)&gt;0,$Z1357&lt;&gt;"",$Z1357&lt;&gt;"×",$AC1357=0,$AB1357=""),"計算額が下限以下のため不支給／",""))</f>
        <v/>
      </c>
      <c r="AL1357" s="12" t="n"/>
      <c r="AM1357" s="14">
        <f>IF($AD1357="保留中",COUNTIF($AD$6:$AD1357,"保留中"),"")</f>
        <v/>
      </c>
      <c r="AN1357" s="14">
        <f>IF($AO1357="","",IF(SUMPRODUCT(MAX((職員マスタ!$A$6:$A$405=$B1357)*(((職員マスタ!$G$6:$G$405="")+(職員マスタ!$G$6:$G$405&lt;=EOMONTH($AO1357,0)))&gt;0)*(((職員マスタ!$H$6:$H$405="")+(職員マスタ!$H$6:$H$405&gt;=$AO1357))&gt;0)*(ROW(職員マスタ!$A$6:$A$405)-5)))&gt;0,SUMPRODUCT(MAX((職員マスタ!$A$6:$A$405=$B1357)*(((職員マスタ!$G$6:$G$405="")+(職員マスタ!$G$6:$G$405&lt;=EOMONTH($AO1357,0)))&gt;0)*(((職員マスタ!$H$6:$H$405="")+(職員マスタ!$H$6:$H$405&gt;=$AO1357))&gt;0)*(ROW(職員マスタ!$A$6:$A$405)-5))),IFERROR(MATCH($B1357,職員マスタ!$A$6:$A$405,0),"")))</f>
        <v/>
      </c>
      <c r="AO1357" s="16">
        <f>IF(OR($B1357="",$C1357="",$D1357=""),"",DATE($C1357+2018,$D1357,1))</f>
        <v/>
      </c>
    </row>
    <row r="1358">
      <c r="A1358" s="11" t="n"/>
      <c r="B1358" s="12" t="n"/>
      <c r="C1358" s="12" t="n"/>
      <c r="D1358" s="12" t="n"/>
      <c r="E1358" s="13" t="n"/>
      <c r="F1358" s="12" t="n"/>
      <c r="G1358" s="13" t="n"/>
      <c r="H1358" s="12" t="n"/>
      <c r="I1358" s="12" t="n"/>
      <c r="J1358" s="12" t="n"/>
      <c r="K1358" s="12" t="n"/>
      <c r="L1358" s="11" t="n"/>
      <c r="M1358" s="11" t="n"/>
      <c r="N1358" s="11" t="n"/>
      <c r="O1358" s="11" t="n"/>
      <c r="P1358" s="12" t="n"/>
      <c r="Q1358" s="11" t="n"/>
      <c r="R1358" s="12" t="n"/>
      <c r="S1358" s="11" t="n"/>
      <c r="T1358" s="12" t="n"/>
      <c r="U1358" s="12" t="n"/>
      <c r="V1358" s="14">
        <f>IF($AN1358="",IF($B1358="","",$H1358),IF(INDEX(職員マスタ!$B$6:$B$405,$AN1358)="",$H1358,INDEX(職員マスタ!$B$6:$B$405,$AN1358)))</f>
        <v/>
      </c>
      <c r="W1358" s="14">
        <f>IF($AN1358="",IF($B1358="","",$R1358),IF(INDEX(職員マスタ!$C$6:$C$405,$AN1358)="",$R1358,INDEX(職員マスタ!$C$6:$C$405,$AN1358)))</f>
        <v/>
      </c>
      <c r="X1358" s="14">
        <f>IF($AO1358="","","R"&amp;$C1358&amp;"."&amp;$D1358)</f>
        <v/>
      </c>
      <c r="Y1358" s="15">
        <f>IF($AN1358="","",IF(INDEX(職員マスタ!$K$6:$K$405,$AN1358)="","",INDEX(職員マスタ!$K$6:$K$405,$AN1358)))</f>
        <v/>
      </c>
      <c r="Z1358" s="14">
        <f>IF(OR($E1358="",$Y1358=""),"",IF($E1358&gt;=$Y1358,"×",IF($E1358&gt;=$Y1358*設定!$C$5,"△","○")))</f>
        <v/>
      </c>
      <c r="AA1358" s="15">
        <f>IF($Z1358="","",IF($Z1358="×",0,IF($Z1358="○",ROUNDDOWN($E1358*設定!$C$4,0),ROUNDDOWN($E1358*ROUND((9*$Y1358-9*$E1358)/(10*$E1358),4),0))))</f>
        <v/>
      </c>
      <c r="AB1358" s="13" t="n"/>
      <c r="AC1358" s="15">
        <f>IF($B1358="","",IF($AB1358&lt;&gt;"",$AB1358,IF($AA1358="","",IF($AA1358&lt;=設定!$C$3,0,$AA1358))))</f>
        <v/>
      </c>
      <c r="AD1358" s="14">
        <f>IF($B1358="","",IF(AND($AE1358&lt;&gt;"",$AG1358="",$AJ1358=""),"保留中",IF($AJ1358&lt;&gt;"",IF(N($AC1358)&gt;0,"支給済","不支給"),IF($AC1358="","要確認",IF($AC1358=0,"不支給","未処理")))))</f>
        <v/>
      </c>
      <c r="AE1358" s="12" t="n"/>
      <c r="AF1358" s="11" t="n"/>
      <c r="AG1358" s="11" t="n"/>
      <c r="AH1358" s="11" t="n"/>
      <c r="AI1358" s="14">
        <f>IF(AND($AD1358="保留中",$AF1358&lt;&gt;""),TODAY()-$AF1358,"")</f>
        <v/>
      </c>
      <c r="AJ1358" s="12" t="n"/>
      <c r="AK1358" s="14">
        <f>IF($B1358="","",IF($AO1358="","対象年月が未入力／","")&amp;IF($B1358="","",IF($AN1358="","職員マスタに未登録の職員番号／",IF($Y1358="","標準報酬月額が未登録／","")&amp;IF(AND($AO1358&lt;&gt;"",OR(AND(INDEX(職員マスタ!$G$6:$G$405,$AN1358)&lt;&gt;"",INDEX(職員マスタ!$G$6:$G$405,$AN1358)&gt;EOMONTH($AO1358,0)),AND(INDEX(職員マスタ!$H$6:$H$405,$AN1358)&lt;&gt;"",INDEX(職員マスタ!$H$6:$H$405,$AN1358)&lt;$AO1358))),"対象月が時短期間外／","")&amp;IF(AND(INDEX(職員マスタ!$F$6:$F$405,$AN1358)&lt;&gt;"",$AO1358&lt;&gt;"",INDEX(職員マスタ!$F$6:$F$405,$AN1358)&lt;$AO1358),"対象月に子が2歳到達済／","")&amp;IF(AND($H1358&lt;&gt;"",INDEX(職員マスタ!$B$6:$B$405,$AN1358)&lt;&gt;"",SUBSTITUTE(SUBSTITUTE($H1358," ","")," ","")&lt;&gt;SUBSTITUTE(SUBSTITUTE(INDEX(職員マスタ!$B$6:$B$405,$AN1358)," ","")," ","")),"氏名がマスタと相違／","")&amp;IF(AND($Q1358&lt;&gt;"",INDEX(職員マスタ!$E$6:$E$405,$AN1358)&lt;&gt;"",$Q1358&lt;&gt;INDEX(職員マスタ!$E$6:$E$405,$AN1358)),"子の生年月日がマスタと相違／","")&amp;IF(AND($L1358&lt;&gt;"",INDEX(職員マスタ!$G$6:$G$405,$AN1358)&lt;&gt;"",$L1358&lt;&gt;INDEX(職員マスタ!$G$6:$G$405,$AN1358)),"時短開始日がマスタと相違／","")&amp;IF(AND($M1358&lt;&gt;"",INDEX(職員マスタ!$H$6:$H$405,$AN1358)&lt;&gt;"",$M1358&lt;&gt;INDEX(職員マスタ!$H$6:$H$405,$AN1358)),"時短終了日がマスタと相違／","")))&amp;IF(AND($B1358&lt;&gt;"",$E1358=""),"報酬額が未入力／","")&amp;IF(N($U1358)&gt;0,"申請書に入力エラーが残っています／","")&amp;IF(AND($B1358&lt;&gt;"",$AO1358&lt;&gt;""),IF(COUNTIFS($B$6:$B$3005,$B1358,$C$6:$C$3005,$C1358,$D$6:$D$3005,$D1358)&gt;1,"同じ月の請求が重複しています／",""),"")&amp;IF(AND(N($E1358)&gt;0,$Z1358&lt;&gt;"",$Z1358&lt;&gt;"×",$AC1358=0,$AB1358=""),"計算額が下限以下のため不支給／",""))</f>
        <v/>
      </c>
      <c r="AL1358" s="12" t="n"/>
      <c r="AM1358" s="14">
        <f>IF($AD1358="保留中",COUNTIF($AD$6:$AD1358,"保留中"),"")</f>
        <v/>
      </c>
      <c r="AN1358" s="14">
        <f>IF($AO1358="","",IF(SUMPRODUCT(MAX((職員マスタ!$A$6:$A$405=$B1358)*(((職員マスタ!$G$6:$G$405="")+(職員マスタ!$G$6:$G$405&lt;=EOMONTH($AO1358,0)))&gt;0)*(((職員マスタ!$H$6:$H$405="")+(職員マスタ!$H$6:$H$405&gt;=$AO1358))&gt;0)*(ROW(職員マスタ!$A$6:$A$405)-5)))&gt;0,SUMPRODUCT(MAX((職員マスタ!$A$6:$A$405=$B1358)*(((職員マスタ!$G$6:$G$405="")+(職員マスタ!$G$6:$G$405&lt;=EOMONTH($AO1358,0)))&gt;0)*(((職員マスタ!$H$6:$H$405="")+(職員マスタ!$H$6:$H$405&gt;=$AO1358))&gt;0)*(ROW(職員マスタ!$A$6:$A$405)-5))),IFERROR(MATCH($B1358,職員マスタ!$A$6:$A$405,0),"")))</f>
        <v/>
      </c>
      <c r="AO1358" s="16">
        <f>IF(OR($B1358="",$C1358="",$D1358=""),"",DATE($C1358+2018,$D1358,1))</f>
        <v/>
      </c>
    </row>
    <row r="1359">
      <c r="A1359" s="11" t="n"/>
      <c r="B1359" s="12" t="n"/>
      <c r="C1359" s="12" t="n"/>
      <c r="D1359" s="12" t="n"/>
      <c r="E1359" s="13" t="n"/>
      <c r="F1359" s="12" t="n"/>
      <c r="G1359" s="13" t="n"/>
      <c r="H1359" s="12" t="n"/>
      <c r="I1359" s="12" t="n"/>
      <c r="J1359" s="12" t="n"/>
      <c r="K1359" s="12" t="n"/>
      <c r="L1359" s="11" t="n"/>
      <c r="M1359" s="11" t="n"/>
      <c r="N1359" s="11" t="n"/>
      <c r="O1359" s="11" t="n"/>
      <c r="P1359" s="12" t="n"/>
      <c r="Q1359" s="11" t="n"/>
      <c r="R1359" s="12" t="n"/>
      <c r="S1359" s="11" t="n"/>
      <c r="T1359" s="12" t="n"/>
      <c r="U1359" s="12" t="n"/>
      <c r="V1359" s="14">
        <f>IF($AN1359="",IF($B1359="","",$H1359),IF(INDEX(職員マスタ!$B$6:$B$405,$AN1359)="",$H1359,INDEX(職員マスタ!$B$6:$B$405,$AN1359)))</f>
        <v/>
      </c>
      <c r="W1359" s="14">
        <f>IF($AN1359="",IF($B1359="","",$R1359),IF(INDEX(職員マスタ!$C$6:$C$405,$AN1359)="",$R1359,INDEX(職員マスタ!$C$6:$C$405,$AN1359)))</f>
        <v/>
      </c>
      <c r="X1359" s="14">
        <f>IF($AO1359="","","R"&amp;$C1359&amp;"."&amp;$D1359)</f>
        <v/>
      </c>
      <c r="Y1359" s="15">
        <f>IF($AN1359="","",IF(INDEX(職員マスタ!$K$6:$K$405,$AN1359)="","",INDEX(職員マスタ!$K$6:$K$405,$AN1359)))</f>
        <v/>
      </c>
      <c r="Z1359" s="14">
        <f>IF(OR($E1359="",$Y1359=""),"",IF($E1359&gt;=$Y1359,"×",IF($E1359&gt;=$Y1359*設定!$C$5,"△","○")))</f>
        <v/>
      </c>
      <c r="AA1359" s="15">
        <f>IF($Z1359="","",IF($Z1359="×",0,IF($Z1359="○",ROUNDDOWN($E1359*設定!$C$4,0),ROUNDDOWN($E1359*ROUND((9*$Y1359-9*$E1359)/(10*$E1359),4),0))))</f>
        <v/>
      </c>
      <c r="AB1359" s="13" t="n"/>
      <c r="AC1359" s="15">
        <f>IF($B1359="","",IF($AB1359&lt;&gt;"",$AB1359,IF($AA1359="","",IF($AA1359&lt;=設定!$C$3,0,$AA1359))))</f>
        <v/>
      </c>
      <c r="AD1359" s="14">
        <f>IF($B1359="","",IF(AND($AE1359&lt;&gt;"",$AG1359="",$AJ1359=""),"保留中",IF($AJ1359&lt;&gt;"",IF(N($AC1359)&gt;0,"支給済","不支給"),IF($AC1359="","要確認",IF($AC1359=0,"不支給","未処理")))))</f>
        <v/>
      </c>
      <c r="AE1359" s="12" t="n"/>
      <c r="AF1359" s="11" t="n"/>
      <c r="AG1359" s="11" t="n"/>
      <c r="AH1359" s="11" t="n"/>
      <c r="AI1359" s="14">
        <f>IF(AND($AD1359="保留中",$AF1359&lt;&gt;""),TODAY()-$AF1359,"")</f>
        <v/>
      </c>
      <c r="AJ1359" s="12" t="n"/>
      <c r="AK1359" s="14">
        <f>IF($B1359="","",IF($AO1359="","対象年月が未入力／","")&amp;IF($B1359="","",IF($AN1359="","職員マスタに未登録の職員番号／",IF($Y1359="","標準報酬月額が未登録／","")&amp;IF(AND($AO1359&lt;&gt;"",OR(AND(INDEX(職員マスタ!$G$6:$G$405,$AN1359)&lt;&gt;"",INDEX(職員マスタ!$G$6:$G$405,$AN1359)&gt;EOMONTH($AO1359,0)),AND(INDEX(職員マスタ!$H$6:$H$405,$AN1359)&lt;&gt;"",INDEX(職員マスタ!$H$6:$H$405,$AN1359)&lt;$AO1359))),"対象月が時短期間外／","")&amp;IF(AND(INDEX(職員マスタ!$F$6:$F$405,$AN1359)&lt;&gt;"",$AO1359&lt;&gt;"",INDEX(職員マスタ!$F$6:$F$405,$AN1359)&lt;$AO1359),"対象月に子が2歳到達済／","")&amp;IF(AND($H1359&lt;&gt;"",INDEX(職員マスタ!$B$6:$B$405,$AN1359)&lt;&gt;"",SUBSTITUTE(SUBSTITUTE($H1359," ","")," ","")&lt;&gt;SUBSTITUTE(SUBSTITUTE(INDEX(職員マスタ!$B$6:$B$405,$AN1359)," ","")," ","")),"氏名がマスタと相違／","")&amp;IF(AND($Q1359&lt;&gt;"",INDEX(職員マスタ!$E$6:$E$405,$AN1359)&lt;&gt;"",$Q1359&lt;&gt;INDEX(職員マスタ!$E$6:$E$405,$AN1359)),"子の生年月日がマスタと相違／","")&amp;IF(AND($L1359&lt;&gt;"",INDEX(職員マスタ!$G$6:$G$405,$AN1359)&lt;&gt;"",$L1359&lt;&gt;INDEX(職員マスタ!$G$6:$G$405,$AN1359)),"時短開始日がマスタと相違／","")&amp;IF(AND($M1359&lt;&gt;"",INDEX(職員マスタ!$H$6:$H$405,$AN1359)&lt;&gt;"",$M1359&lt;&gt;INDEX(職員マスタ!$H$6:$H$405,$AN1359)),"時短終了日がマスタと相違／","")))&amp;IF(AND($B1359&lt;&gt;"",$E1359=""),"報酬額が未入力／","")&amp;IF(N($U1359)&gt;0,"申請書に入力エラーが残っています／","")&amp;IF(AND($B1359&lt;&gt;"",$AO1359&lt;&gt;""),IF(COUNTIFS($B$6:$B$3005,$B1359,$C$6:$C$3005,$C1359,$D$6:$D$3005,$D1359)&gt;1,"同じ月の請求が重複しています／",""),"")&amp;IF(AND(N($E1359)&gt;0,$Z1359&lt;&gt;"",$Z1359&lt;&gt;"×",$AC1359=0,$AB1359=""),"計算額が下限以下のため不支給／",""))</f>
        <v/>
      </c>
      <c r="AL1359" s="12" t="n"/>
      <c r="AM1359" s="14">
        <f>IF($AD1359="保留中",COUNTIF($AD$6:$AD1359,"保留中"),"")</f>
        <v/>
      </c>
      <c r="AN1359" s="14">
        <f>IF($AO1359="","",IF(SUMPRODUCT(MAX((職員マスタ!$A$6:$A$405=$B1359)*(((職員マスタ!$G$6:$G$405="")+(職員マスタ!$G$6:$G$405&lt;=EOMONTH($AO1359,0)))&gt;0)*(((職員マスタ!$H$6:$H$405="")+(職員マスタ!$H$6:$H$405&gt;=$AO1359))&gt;0)*(ROW(職員マスタ!$A$6:$A$405)-5)))&gt;0,SUMPRODUCT(MAX((職員マスタ!$A$6:$A$405=$B1359)*(((職員マスタ!$G$6:$G$405="")+(職員マスタ!$G$6:$G$405&lt;=EOMONTH($AO1359,0)))&gt;0)*(((職員マスタ!$H$6:$H$405="")+(職員マスタ!$H$6:$H$405&gt;=$AO1359))&gt;0)*(ROW(職員マスタ!$A$6:$A$405)-5))),IFERROR(MATCH($B1359,職員マスタ!$A$6:$A$405,0),"")))</f>
        <v/>
      </c>
      <c r="AO1359" s="16">
        <f>IF(OR($B1359="",$C1359="",$D1359=""),"",DATE($C1359+2018,$D1359,1))</f>
        <v/>
      </c>
    </row>
    <row r="1360">
      <c r="A1360" s="11" t="n"/>
      <c r="B1360" s="12" t="n"/>
      <c r="C1360" s="12" t="n"/>
      <c r="D1360" s="12" t="n"/>
      <c r="E1360" s="13" t="n"/>
      <c r="F1360" s="12" t="n"/>
      <c r="G1360" s="13" t="n"/>
      <c r="H1360" s="12" t="n"/>
      <c r="I1360" s="12" t="n"/>
      <c r="J1360" s="12" t="n"/>
      <c r="K1360" s="12" t="n"/>
      <c r="L1360" s="11" t="n"/>
      <c r="M1360" s="11" t="n"/>
      <c r="N1360" s="11" t="n"/>
      <c r="O1360" s="11" t="n"/>
      <c r="P1360" s="12" t="n"/>
      <c r="Q1360" s="11" t="n"/>
      <c r="R1360" s="12" t="n"/>
      <c r="S1360" s="11" t="n"/>
      <c r="T1360" s="12" t="n"/>
      <c r="U1360" s="12" t="n"/>
      <c r="V1360" s="14">
        <f>IF($AN1360="",IF($B1360="","",$H1360),IF(INDEX(職員マスタ!$B$6:$B$405,$AN1360)="",$H1360,INDEX(職員マスタ!$B$6:$B$405,$AN1360)))</f>
        <v/>
      </c>
      <c r="W1360" s="14">
        <f>IF($AN1360="",IF($B1360="","",$R1360),IF(INDEX(職員マスタ!$C$6:$C$405,$AN1360)="",$R1360,INDEX(職員マスタ!$C$6:$C$405,$AN1360)))</f>
        <v/>
      </c>
      <c r="X1360" s="14">
        <f>IF($AO1360="","","R"&amp;$C1360&amp;"."&amp;$D1360)</f>
        <v/>
      </c>
      <c r="Y1360" s="15">
        <f>IF($AN1360="","",IF(INDEX(職員マスタ!$K$6:$K$405,$AN1360)="","",INDEX(職員マスタ!$K$6:$K$405,$AN1360)))</f>
        <v/>
      </c>
      <c r="Z1360" s="14">
        <f>IF(OR($E1360="",$Y1360=""),"",IF($E1360&gt;=$Y1360,"×",IF($E1360&gt;=$Y1360*設定!$C$5,"△","○")))</f>
        <v/>
      </c>
      <c r="AA1360" s="15">
        <f>IF($Z1360="","",IF($Z1360="×",0,IF($Z1360="○",ROUNDDOWN($E1360*設定!$C$4,0),ROUNDDOWN($E1360*ROUND((9*$Y1360-9*$E1360)/(10*$E1360),4),0))))</f>
        <v/>
      </c>
      <c r="AB1360" s="13" t="n"/>
      <c r="AC1360" s="15">
        <f>IF($B1360="","",IF($AB1360&lt;&gt;"",$AB1360,IF($AA1360="","",IF($AA1360&lt;=設定!$C$3,0,$AA1360))))</f>
        <v/>
      </c>
      <c r="AD1360" s="14">
        <f>IF($B1360="","",IF(AND($AE1360&lt;&gt;"",$AG1360="",$AJ1360=""),"保留中",IF($AJ1360&lt;&gt;"",IF(N($AC1360)&gt;0,"支給済","不支給"),IF($AC1360="","要確認",IF($AC1360=0,"不支給","未処理")))))</f>
        <v/>
      </c>
      <c r="AE1360" s="12" t="n"/>
      <c r="AF1360" s="11" t="n"/>
      <c r="AG1360" s="11" t="n"/>
      <c r="AH1360" s="11" t="n"/>
      <c r="AI1360" s="14">
        <f>IF(AND($AD1360="保留中",$AF1360&lt;&gt;""),TODAY()-$AF1360,"")</f>
        <v/>
      </c>
      <c r="AJ1360" s="12" t="n"/>
      <c r="AK1360" s="14">
        <f>IF($B1360="","",IF($AO1360="","対象年月が未入力／","")&amp;IF($B1360="","",IF($AN1360="","職員マスタに未登録の職員番号／",IF($Y1360="","標準報酬月額が未登録／","")&amp;IF(AND($AO1360&lt;&gt;"",OR(AND(INDEX(職員マスタ!$G$6:$G$405,$AN1360)&lt;&gt;"",INDEX(職員マスタ!$G$6:$G$405,$AN1360)&gt;EOMONTH($AO1360,0)),AND(INDEX(職員マスタ!$H$6:$H$405,$AN1360)&lt;&gt;"",INDEX(職員マスタ!$H$6:$H$405,$AN1360)&lt;$AO1360))),"対象月が時短期間外／","")&amp;IF(AND(INDEX(職員マスタ!$F$6:$F$405,$AN1360)&lt;&gt;"",$AO1360&lt;&gt;"",INDEX(職員マスタ!$F$6:$F$405,$AN1360)&lt;$AO1360),"対象月に子が2歳到達済／","")&amp;IF(AND($H1360&lt;&gt;"",INDEX(職員マスタ!$B$6:$B$405,$AN1360)&lt;&gt;"",SUBSTITUTE(SUBSTITUTE($H1360," ","")," ","")&lt;&gt;SUBSTITUTE(SUBSTITUTE(INDEX(職員マスタ!$B$6:$B$405,$AN1360)," ","")," ","")),"氏名がマスタと相違／","")&amp;IF(AND($Q1360&lt;&gt;"",INDEX(職員マスタ!$E$6:$E$405,$AN1360)&lt;&gt;"",$Q1360&lt;&gt;INDEX(職員マスタ!$E$6:$E$405,$AN1360)),"子の生年月日がマスタと相違／","")&amp;IF(AND($L1360&lt;&gt;"",INDEX(職員マスタ!$G$6:$G$405,$AN1360)&lt;&gt;"",$L1360&lt;&gt;INDEX(職員マスタ!$G$6:$G$405,$AN1360)),"時短開始日がマスタと相違／","")&amp;IF(AND($M1360&lt;&gt;"",INDEX(職員マスタ!$H$6:$H$405,$AN1360)&lt;&gt;"",$M1360&lt;&gt;INDEX(職員マスタ!$H$6:$H$405,$AN1360)),"時短終了日がマスタと相違／","")))&amp;IF(AND($B1360&lt;&gt;"",$E1360=""),"報酬額が未入力／","")&amp;IF(N($U1360)&gt;0,"申請書に入力エラーが残っています／","")&amp;IF(AND($B1360&lt;&gt;"",$AO1360&lt;&gt;""),IF(COUNTIFS($B$6:$B$3005,$B1360,$C$6:$C$3005,$C1360,$D$6:$D$3005,$D1360)&gt;1,"同じ月の請求が重複しています／",""),"")&amp;IF(AND(N($E1360)&gt;0,$Z1360&lt;&gt;"",$Z1360&lt;&gt;"×",$AC1360=0,$AB1360=""),"計算額が下限以下のため不支給／",""))</f>
        <v/>
      </c>
      <c r="AL1360" s="12" t="n"/>
      <c r="AM1360" s="14">
        <f>IF($AD1360="保留中",COUNTIF($AD$6:$AD1360,"保留中"),"")</f>
        <v/>
      </c>
      <c r="AN1360" s="14">
        <f>IF($AO1360="","",IF(SUMPRODUCT(MAX((職員マスタ!$A$6:$A$405=$B1360)*(((職員マスタ!$G$6:$G$405="")+(職員マスタ!$G$6:$G$405&lt;=EOMONTH($AO1360,0)))&gt;0)*(((職員マスタ!$H$6:$H$405="")+(職員マスタ!$H$6:$H$405&gt;=$AO1360))&gt;0)*(ROW(職員マスタ!$A$6:$A$405)-5)))&gt;0,SUMPRODUCT(MAX((職員マスタ!$A$6:$A$405=$B1360)*(((職員マスタ!$G$6:$G$405="")+(職員マスタ!$G$6:$G$405&lt;=EOMONTH($AO1360,0)))&gt;0)*(((職員マスタ!$H$6:$H$405="")+(職員マスタ!$H$6:$H$405&gt;=$AO1360))&gt;0)*(ROW(職員マスタ!$A$6:$A$405)-5))),IFERROR(MATCH($B1360,職員マスタ!$A$6:$A$405,0),"")))</f>
        <v/>
      </c>
      <c r="AO1360" s="16">
        <f>IF(OR($B1360="",$C1360="",$D1360=""),"",DATE($C1360+2018,$D1360,1))</f>
        <v/>
      </c>
    </row>
    <row r="1361">
      <c r="A1361" s="11" t="n"/>
      <c r="B1361" s="12" t="n"/>
      <c r="C1361" s="12" t="n"/>
      <c r="D1361" s="12" t="n"/>
      <c r="E1361" s="13" t="n"/>
      <c r="F1361" s="12" t="n"/>
      <c r="G1361" s="13" t="n"/>
      <c r="H1361" s="12" t="n"/>
      <c r="I1361" s="12" t="n"/>
      <c r="J1361" s="12" t="n"/>
      <c r="K1361" s="12" t="n"/>
      <c r="L1361" s="11" t="n"/>
      <c r="M1361" s="11" t="n"/>
      <c r="N1361" s="11" t="n"/>
      <c r="O1361" s="11" t="n"/>
      <c r="P1361" s="12" t="n"/>
      <c r="Q1361" s="11" t="n"/>
      <c r="R1361" s="12" t="n"/>
      <c r="S1361" s="11" t="n"/>
      <c r="T1361" s="12" t="n"/>
      <c r="U1361" s="12" t="n"/>
      <c r="V1361" s="14">
        <f>IF($AN1361="",IF($B1361="","",$H1361),IF(INDEX(職員マスタ!$B$6:$B$405,$AN1361)="",$H1361,INDEX(職員マスタ!$B$6:$B$405,$AN1361)))</f>
        <v/>
      </c>
      <c r="W1361" s="14">
        <f>IF($AN1361="",IF($B1361="","",$R1361),IF(INDEX(職員マスタ!$C$6:$C$405,$AN1361)="",$R1361,INDEX(職員マスタ!$C$6:$C$405,$AN1361)))</f>
        <v/>
      </c>
      <c r="X1361" s="14">
        <f>IF($AO1361="","","R"&amp;$C1361&amp;"."&amp;$D1361)</f>
        <v/>
      </c>
      <c r="Y1361" s="15">
        <f>IF($AN1361="","",IF(INDEX(職員マスタ!$K$6:$K$405,$AN1361)="","",INDEX(職員マスタ!$K$6:$K$405,$AN1361)))</f>
        <v/>
      </c>
      <c r="Z1361" s="14">
        <f>IF(OR($E1361="",$Y1361=""),"",IF($E1361&gt;=$Y1361,"×",IF($E1361&gt;=$Y1361*設定!$C$5,"△","○")))</f>
        <v/>
      </c>
      <c r="AA1361" s="15">
        <f>IF($Z1361="","",IF($Z1361="×",0,IF($Z1361="○",ROUNDDOWN($E1361*設定!$C$4,0),ROUNDDOWN($E1361*ROUND((9*$Y1361-9*$E1361)/(10*$E1361),4),0))))</f>
        <v/>
      </c>
      <c r="AB1361" s="13" t="n"/>
      <c r="AC1361" s="15">
        <f>IF($B1361="","",IF($AB1361&lt;&gt;"",$AB1361,IF($AA1361="","",IF($AA1361&lt;=設定!$C$3,0,$AA1361))))</f>
        <v/>
      </c>
      <c r="AD1361" s="14">
        <f>IF($B1361="","",IF(AND($AE1361&lt;&gt;"",$AG1361="",$AJ1361=""),"保留中",IF($AJ1361&lt;&gt;"",IF(N($AC1361)&gt;0,"支給済","不支給"),IF($AC1361="","要確認",IF($AC1361=0,"不支給","未処理")))))</f>
        <v/>
      </c>
      <c r="AE1361" s="12" t="n"/>
      <c r="AF1361" s="11" t="n"/>
      <c r="AG1361" s="11" t="n"/>
      <c r="AH1361" s="11" t="n"/>
      <c r="AI1361" s="14">
        <f>IF(AND($AD1361="保留中",$AF1361&lt;&gt;""),TODAY()-$AF1361,"")</f>
        <v/>
      </c>
      <c r="AJ1361" s="12" t="n"/>
      <c r="AK1361" s="14">
        <f>IF($B1361="","",IF($AO1361="","対象年月が未入力／","")&amp;IF($B1361="","",IF($AN1361="","職員マスタに未登録の職員番号／",IF($Y1361="","標準報酬月額が未登録／","")&amp;IF(AND($AO1361&lt;&gt;"",OR(AND(INDEX(職員マスタ!$G$6:$G$405,$AN1361)&lt;&gt;"",INDEX(職員マスタ!$G$6:$G$405,$AN1361)&gt;EOMONTH($AO1361,0)),AND(INDEX(職員マスタ!$H$6:$H$405,$AN1361)&lt;&gt;"",INDEX(職員マスタ!$H$6:$H$405,$AN1361)&lt;$AO1361))),"対象月が時短期間外／","")&amp;IF(AND(INDEX(職員マスタ!$F$6:$F$405,$AN1361)&lt;&gt;"",$AO1361&lt;&gt;"",INDEX(職員マスタ!$F$6:$F$405,$AN1361)&lt;$AO1361),"対象月に子が2歳到達済／","")&amp;IF(AND($H1361&lt;&gt;"",INDEX(職員マスタ!$B$6:$B$405,$AN1361)&lt;&gt;"",SUBSTITUTE(SUBSTITUTE($H1361," ","")," ","")&lt;&gt;SUBSTITUTE(SUBSTITUTE(INDEX(職員マスタ!$B$6:$B$405,$AN1361)," ","")," ","")),"氏名がマスタと相違／","")&amp;IF(AND($Q1361&lt;&gt;"",INDEX(職員マスタ!$E$6:$E$405,$AN1361)&lt;&gt;"",$Q1361&lt;&gt;INDEX(職員マスタ!$E$6:$E$405,$AN1361)),"子の生年月日がマスタと相違／","")&amp;IF(AND($L1361&lt;&gt;"",INDEX(職員マスタ!$G$6:$G$405,$AN1361)&lt;&gt;"",$L1361&lt;&gt;INDEX(職員マスタ!$G$6:$G$405,$AN1361)),"時短開始日がマスタと相違／","")&amp;IF(AND($M1361&lt;&gt;"",INDEX(職員マスタ!$H$6:$H$405,$AN1361)&lt;&gt;"",$M1361&lt;&gt;INDEX(職員マスタ!$H$6:$H$405,$AN1361)),"時短終了日がマスタと相違／","")))&amp;IF(AND($B1361&lt;&gt;"",$E1361=""),"報酬額が未入力／","")&amp;IF(N($U1361)&gt;0,"申請書に入力エラーが残っています／","")&amp;IF(AND($B1361&lt;&gt;"",$AO1361&lt;&gt;""),IF(COUNTIFS($B$6:$B$3005,$B1361,$C$6:$C$3005,$C1361,$D$6:$D$3005,$D1361)&gt;1,"同じ月の請求が重複しています／",""),"")&amp;IF(AND(N($E1361)&gt;0,$Z1361&lt;&gt;"",$Z1361&lt;&gt;"×",$AC1361=0,$AB1361=""),"計算額が下限以下のため不支給／",""))</f>
        <v/>
      </c>
      <c r="AL1361" s="12" t="n"/>
      <c r="AM1361" s="14">
        <f>IF($AD1361="保留中",COUNTIF($AD$6:$AD1361,"保留中"),"")</f>
        <v/>
      </c>
      <c r="AN1361" s="14">
        <f>IF($AO1361="","",IF(SUMPRODUCT(MAX((職員マスタ!$A$6:$A$405=$B1361)*(((職員マスタ!$G$6:$G$405="")+(職員マスタ!$G$6:$G$405&lt;=EOMONTH($AO1361,0)))&gt;0)*(((職員マスタ!$H$6:$H$405="")+(職員マスタ!$H$6:$H$405&gt;=$AO1361))&gt;0)*(ROW(職員マスタ!$A$6:$A$405)-5)))&gt;0,SUMPRODUCT(MAX((職員マスタ!$A$6:$A$405=$B1361)*(((職員マスタ!$G$6:$G$405="")+(職員マスタ!$G$6:$G$405&lt;=EOMONTH($AO1361,0)))&gt;0)*(((職員マスタ!$H$6:$H$405="")+(職員マスタ!$H$6:$H$405&gt;=$AO1361))&gt;0)*(ROW(職員マスタ!$A$6:$A$405)-5))),IFERROR(MATCH($B1361,職員マスタ!$A$6:$A$405,0),"")))</f>
        <v/>
      </c>
      <c r="AO1361" s="16">
        <f>IF(OR($B1361="",$C1361="",$D1361=""),"",DATE($C1361+2018,$D1361,1))</f>
        <v/>
      </c>
    </row>
    <row r="1362">
      <c r="A1362" s="11" t="n"/>
      <c r="B1362" s="12" t="n"/>
      <c r="C1362" s="12" t="n"/>
      <c r="D1362" s="12" t="n"/>
      <c r="E1362" s="13" t="n"/>
      <c r="F1362" s="12" t="n"/>
      <c r="G1362" s="13" t="n"/>
      <c r="H1362" s="12" t="n"/>
      <c r="I1362" s="12" t="n"/>
      <c r="J1362" s="12" t="n"/>
      <c r="K1362" s="12" t="n"/>
      <c r="L1362" s="11" t="n"/>
      <c r="M1362" s="11" t="n"/>
      <c r="N1362" s="11" t="n"/>
      <c r="O1362" s="11" t="n"/>
      <c r="P1362" s="12" t="n"/>
      <c r="Q1362" s="11" t="n"/>
      <c r="R1362" s="12" t="n"/>
      <c r="S1362" s="11" t="n"/>
      <c r="T1362" s="12" t="n"/>
      <c r="U1362" s="12" t="n"/>
      <c r="V1362" s="14">
        <f>IF($AN1362="",IF($B1362="","",$H1362),IF(INDEX(職員マスタ!$B$6:$B$405,$AN1362)="",$H1362,INDEX(職員マスタ!$B$6:$B$405,$AN1362)))</f>
        <v/>
      </c>
      <c r="W1362" s="14">
        <f>IF($AN1362="",IF($B1362="","",$R1362),IF(INDEX(職員マスタ!$C$6:$C$405,$AN1362)="",$R1362,INDEX(職員マスタ!$C$6:$C$405,$AN1362)))</f>
        <v/>
      </c>
      <c r="X1362" s="14">
        <f>IF($AO1362="","","R"&amp;$C1362&amp;"."&amp;$D1362)</f>
        <v/>
      </c>
      <c r="Y1362" s="15">
        <f>IF($AN1362="","",IF(INDEX(職員マスタ!$K$6:$K$405,$AN1362)="","",INDEX(職員マスタ!$K$6:$K$405,$AN1362)))</f>
        <v/>
      </c>
      <c r="Z1362" s="14">
        <f>IF(OR($E1362="",$Y1362=""),"",IF($E1362&gt;=$Y1362,"×",IF($E1362&gt;=$Y1362*設定!$C$5,"△","○")))</f>
        <v/>
      </c>
      <c r="AA1362" s="15">
        <f>IF($Z1362="","",IF($Z1362="×",0,IF($Z1362="○",ROUNDDOWN($E1362*設定!$C$4,0),ROUNDDOWN($E1362*ROUND((9*$Y1362-9*$E1362)/(10*$E1362),4),0))))</f>
        <v/>
      </c>
      <c r="AB1362" s="13" t="n"/>
      <c r="AC1362" s="15">
        <f>IF($B1362="","",IF($AB1362&lt;&gt;"",$AB1362,IF($AA1362="","",IF($AA1362&lt;=設定!$C$3,0,$AA1362))))</f>
        <v/>
      </c>
      <c r="AD1362" s="14">
        <f>IF($B1362="","",IF(AND($AE1362&lt;&gt;"",$AG1362="",$AJ1362=""),"保留中",IF($AJ1362&lt;&gt;"",IF(N($AC1362)&gt;0,"支給済","不支給"),IF($AC1362="","要確認",IF($AC1362=0,"不支給","未処理")))))</f>
        <v/>
      </c>
      <c r="AE1362" s="12" t="n"/>
      <c r="AF1362" s="11" t="n"/>
      <c r="AG1362" s="11" t="n"/>
      <c r="AH1362" s="11" t="n"/>
      <c r="AI1362" s="14">
        <f>IF(AND($AD1362="保留中",$AF1362&lt;&gt;""),TODAY()-$AF1362,"")</f>
        <v/>
      </c>
      <c r="AJ1362" s="12" t="n"/>
      <c r="AK1362" s="14">
        <f>IF($B1362="","",IF($AO1362="","対象年月が未入力／","")&amp;IF($B1362="","",IF($AN1362="","職員マスタに未登録の職員番号／",IF($Y1362="","標準報酬月額が未登録／","")&amp;IF(AND($AO1362&lt;&gt;"",OR(AND(INDEX(職員マスタ!$G$6:$G$405,$AN1362)&lt;&gt;"",INDEX(職員マスタ!$G$6:$G$405,$AN1362)&gt;EOMONTH($AO1362,0)),AND(INDEX(職員マスタ!$H$6:$H$405,$AN1362)&lt;&gt;"",INDEX(職員マスタ!$H$6:$H$405,$AN1362)&lt;$AO1362))),"対象月が時短期間外／","")&amp;IF(AND(INDEX(職員マスタ!$F$6:$F$405,$AN1362)&lt;&gt;"",$AO1362&lt;&gt;"",INDEX(職員マスタ!$F$6:$F$405,$AN1362)&lt;$AO1362),"対象月に子が2歳到達済／","")&amp;IF(AND($H1362&lt;&gt;"",INDEX(職員マスタ!$B$6:$B$405,$AN1362)&lt;&gt;"",SUBSTITUTE(SUBSTITUTE($H1362," ","")," ","")&lt;&gt;SUBSTITUTE(SUBSTITUTE(INDEX(職員マスタ!$B$6:$B$405,$AN1362)," ","")," ","")),"氏名がマスタと相違／","")&amp;IF(AND($Q1362&lt;&gt;"",INDEX(職員マスタ!$E$6:$E$405,$AN1362)&lt;&gt;"",$Q1362&lt;&gt;INDEX(職員マスタ!$E$6:$E$405,$AN1362)),"子の生年月日がマスタと相違／","")&amp;IF(AND($L1362&lt;&gt;"",INDEX(職員マスタ!$G$6:$G$405,$AN1362)&lt;&gt;"",$L1362&lt;&gt;INDEX(職員マスタ!$G$6:$G$405,$AN1362)),"時短開始日がマスタと相違／","")&amp;IF(AND($M1362&lt;&gt;"",INDEX(職員マスタ!$H$6:$H$405,$AN1362)&lt;&gt;"",$M1362&lt;&gt;INDEX(職員マスタ!$H$6:$H$405,$AN1362)),"時短終了日がマスタと相違／","")))&amp;IF(AND($B1362&lt;&gt;"",$E1362=""),"報酬額が未入力／","")&amp;IF(N($U1362)&gt;0,"申請書に入力エラーが残っています／","")&amp;IF(AND($B1362&lt;&gt;"",$AO1362&lt;&gt;""),IF(COUNTIFS($B$6:$B$3005,$B1362,$C$6:$C$3005,$C1362,$D$6:$D$3005,$D1362)&gt;1,"同じ月の請求が重複しています／",""),"")&amp;IF(AND(N($E1362)&gt;0,$Z1362&lt;&gt;"",$Z1362&lt;&gt;"×",$AC1362=0,$AB1362=""),"計算額が下限以下のため不支給／",""))</f>
        <v/>
      </c>
      <c r="AL1362" s="12" t="n"/>
      <c r="AM1362" s="14">
        <f>IF($AD1362="保留中",COUNTIF($AD$6:$AD1362,"保留中"),"")</f>
        <v/>
      </c>
      <c r="AN1362" s="14">
        <f>IF($AO1362="","",IF(SUMPRODUCT(MAX((職員マスタ!$A$6:$A$405=$B1362)*(((職員マスタ!$G$6:$G$405="")+(職員マスタ!$G$6:$G$405&lt;=EOMONTH($AO1362,0)))&gt;0)*(((職員マスタ!$H$6:$H$405="")+(職員マスタ!$H$6:$H$405&gt;=$AO1362))&gt;0)*(ROW(職員マスタ!$A$6:$A$405)-5)))&gt;0,SUMPRODUCT(MAX((職員マスタ!$A$6:$A$405=$B1362)*(((職員マスタ!$G$6:$G$405="")+(職員マスタ!$G$6:$G$405&lt;=EOMONTH($AO1362,0)))&gt;0)*(((職員マスタ!$H$6:$H$405="")+(職員マスタ!$H$6:$H$405&gt;=$AO1362))&gt;0)*(ROW(職員マスタ!$A$6:$A$405)-5))),IFERROR(MATCH($B1362,職員マスタ!$A$6:$A$405,0),"")))</f>
        <v/>
      </c>
      <c r="AO1362" s="16">
        <f>IF(OR($B1362="",$C1362="",$D1362=""),"",DATE($C1362+2018,$D1362,1))</f>
        <v/>
      </c>
    </row>
    <row r="1363">
      <c r="A1363" s="11" t="n"/>
      <c r="B1363" s="12" t="n"/>
      <c r="C1363" s="12" t="n"/>
      <c r="D1363" s="12" t="n"/>
      <c r="E1363" s="13" t="n"/>
      <c r="F1363" s="12" t="n"/>
      <c r="G1363" s="13" t="n"/>
      <c r="H1363" s="12" t="n"/>
      <c r="I1363" s="12" t="n"/>
      <c r="J1363" s="12" t="n"/>
      <c r="K1363" s="12" t="n"/>
      <c r="L1363" s="11" t="n"/>
      <c r="M1363" s="11" t="n"/>
      <c r="N1363" s="11" t="n"/>
      <c r="O1363" s="11" t="n"/>
      <c r="P1363" s="12" t="n"/>
      <c r="Q1363" s="11" t="n"/>
      <c r="R1363" s="12" t="n"/>
      <c r="S1363" s="11" t="n"/>
      <c r="T1363" s="12" t="n"/>
      <c r="U1363" s="12" t="n"/>
      <c r="V1363" s="14">
        <f>IF($AN1363="",IF($B1363="","",$H1363),IF(INDEX(職員マスタ!$B$6:$B$405,$AN1363)="",$H1363,INDEX(職員マスタ!$B$6:$B$405,$AN1363)))</f>
        <v/>
      </c>
      <c r="W1363" s="14">
        <f>IF($AN1363="",IF($B1363="","",$R1363),IF(INDEX(職員マスタ!$C$6:$C$405,$AN1363)="",$R1363,INDEX(職員マスタ!$C$6:$C$405,$AN1363)))</f>
        <v/>
      </c>
      <c r="X1363" s="14">
        <f>IF($AO1363="","","R"&amp;$C1363&amp;"."&amp;$D1363)</f>
        <v/>
      </c>
      <c r="Y1363" s="15">
        <f>IF($AN1363="","",IF(INDEX(職員マスタ!$K$6:$K$405,$AN1363)="","",INDEX(職員マスタ!$K$6:$K$405,$AN1363)))</f>
        <v/>
      </c>
      <c r="Z1363" s="14">
        <f>IF(OR($E1363="",$Y1363=""),"",IF($E1363&gt;=$Y1363,"×",IF($E1363&gt;=$Y1363*設定!$C$5,"△","○")))</f>
        <v/>
      </c>
      <c r="AA1363" s="15">
        <f>IF($Z1363="","",IF($Z1363="×",0,IF($Z1363="○",ROUNDDOWN($E1363*設定!$C$4,0),ROUNDDOWN($E1363*ROUND((9*$Y1363-9*$E1363)/(10*$E1363),4),0))))</f>
        <v/>
      </c>
      <c r="AB1363" s="13" t="n"/>
      <c r="AC1363" s="15">
        <f>IF($B1363="","",IF($AB1363&lt;&gt;"",$AB1363,IF($AA1363="","",IF($AA1363&lt;=設定!$C$3,0,$AA1363))))</f>
        <v/>
      </c>
      <c r="AD1363" s="14">
        <f>IF($B1363="","",IF(AND($AE1363&lt;&gt;"",$AG1363="",$AJ1363=""),"保留中",IF($AJ1363&lt;&gt;"",IF(N($AC1363)&gt;0,"支給済","不支給"),IF($AC1363="","要確認",IF($AC1363=0,"不支給","未処理")))))</f>
        <v/>
      </c>
      <c r="AE1363" s="12" t="n"/>
      <c r="AF1363" s="11" t="n"/>
      <c r="AG1363" s="11" t="n"/>
      <c r="AH1363" s="11" t="n"/>
      <c r="AI1363" s="14">
        <f>IF(AND($AD1363="保留中",$AF1363&lt;&gt;""),TODAY()-$AF1363,"")</f>
        <v/>
      </c>
      <c r="AJ1363" s="12" t="n"/>
      <c r="AK1363" s="14">
        <f>IF($B1363="","",IF($AO1363="","対象年月が未入力／","")&amp;IF($B1363="","",IF($AN1363="","職員マスタに未登録の職員番号／",IF($Y1363="","標準報酬月額が未登録／","")&amp;IF(AND($AO1363&lt;&gt;"",OR(AND(INDEX(職員マスタ!$G$6:$G$405,$AN1363)&lt;&gt;"",INDEX(職員マスタ!$G$6:$G$405,$AN1363)&gt;EOMONTH($AO1363,0)),AND(INDEX(職員マスタ!$H$6:$H$405,$AN1363)&lt;&gt;"",INDEX(職員マスタ!$H$6:$H$405,$AN1363)&lt;$AO1363))),"対象月が時短期間外／","")&amp;IF(AND(INDEX(職員マスタ!$F$6:$F$405,$AN1363)&lt;&gt;"",$AO1363&lt;&gt;"",INDEX(職員マスタ!$F$6:$F$405,$AN1363)&lt;$AO1363),"対象月に子が2歳到達済／","")&amp;IF(AND($H1363&lt;&gt;"",INDEX(職員マスタ!$B$6:$B$405,$AN1363)&lt;&gt;"",SUBSTITUTE(SUBSTITUTE($H1363," ","")," ","")&lt;&gt;SUBSTITUTE(SUBSTITUTE(INDEX(職員マスタ!$B$6:$B$405,$AN1363)," ","")," ","")),"氏名がマスタと相違／","")&amp;IF(AND($Q1363&lt;&gt;"",INDEX(職員マスタ!$E$6:$E$405,$AN1363)&lt;&gt;"",$Q1363&lt;&gt;INDEX(職員マスタ!$E$6:$E$405,$AN1363)),"子の生年月日がマスタと相違／","")&amp;IF(AND($L1363&lt;&gt;"",INDEX(職員マスタ!$G$6:$G$405,$AN1363)&lt;&gt;"",$L1363&lt;&gt;INDEX(職員マスタ!$G$6:$G$405,$AN1363)),"時短開始日がマスタと相違／","")&amp;IF(AND($M1363&lt;&gt;"",INDEX(職員マスタ!$H$6:$H$405,$AN1363)&lt;&gt;"",$M1363&lt;&gt;INDEX(職員マスタ!$H$6:$H$405,$AN1363)),"時短終了日がマスタと相違／","")))&amp;IF(AND($B1363&lt;&gt;"",$E1363=""),"報酬額が未入力／","")&amp;IF(N($U1363)&gt;0,"申請書に入力エラーが残っています／","")&amp;IF(AND($B1363&lt;&gt;"",$AO1363&lt;&gt;""),IF(COUNTIFS($B$6:$B$3005,$B1363,$C$6:$C$3005,$C1363,$D$6:$D$3005,$D1363)&gt;1,"同じ月の請求が重複しています／",""),"")&amp;IF(AND(N($E1363)&gt;0,$Z1363&lt;&gt;"",$Z1363&lt;&gt;"×",$AC1363=0,$AB1363=""),"計算額が下限以下のため不支給／",""))</f>
        <v/>
      </c>
      <c r="AL1363" s="12" t="n"/>
      <c r="AM1363" s="14">
        <f>IF($AD1363="保留中",COUNTIF($AD$6:$AD1363,"保留中"),"")</f>
        <v/>
      </c>
      <c r="AN1363" s="14">
        <f>IF($AO1363="","",IF(SUMPRODUCT(MAX((職員マスタ!$A$6:$A$405=$B1363)*(((職員マスタ!$G$6:$G$405="")+(職員マスタ!$G$6:$G$405&lt;=EOMONTH($AO1363,0)))&gt;0)*(((職員マスタ!$H$6:$H$405="")+(職員マスタ!$H$6:$H$405&gt;=$AO1363))&gt;0)*(ROW(職員マスタ!$A$6:$A$405)-5)))&gt;0,SUMPRODUCT(MAX((職員マスタ!$A$6:$A$405=$B1363)*(((職員マスタ!$G$6:$G$405="")+(職員マスタ!$G$6:$G$405&lt;=EOMONTH($AO1363,0)))&gt;0)*(((職員マスタ!$H$6:$H$405="")+(職員マスタ!$H$6:$H$405&gt;=$AO1363))&gt;0)*(ROW(職員マスタ!$A$6:$A$405)-5))),IFERROR(MATCH($B1363,職員マスタ!$A$6:$A$405,0),"")))</f>
        <v/>
      </c>
      <c r="AO1363" s="16">
        <f>IF(OR($B1363="",$C1363="",$D1363=""),"",DATE($C1363+2018,$D1363,1))</f>
        <v/>
      </c>
    </row>
    <row r="1364">
      <c r="A1364" s="11" t="n"/>
      <c r="B1364" s="12" t="n"/>
      <c r="C1364" s="12" t="n"/>
      <c r="D1364" s="12" t="n"/>
      <c r="E1364" s="13" t="n"/>
      <c r="F1364" s="12" t="n"/>
      <c r="G1364" s="13" t="n"/>
      <c r="H1364" s="12" t="n"/>
      <c r="I1364" s="12" t="n"/>
      <c r="J1364" s="12" t="n"/>
      <c r="K1364" s="12" t="n"/>
      <c r="L1364" s="11" t="n"/>
      <c r="M1364" s="11" t="n"/>
      <c r="N1364" s="11" t="n"/>
      <c r="O1364" s="11" t="n"/>
      <c r="P1364" s="12" t="n"/>
      <c r="Q1364" s="11" t="n"/>
      <c r="R1364" s="12" t="n"/>
      <c r="S1364" s="11" t="n"/>
      <c r="T1364" s="12" t="n"/>
      <c r="U1364" s="12" t="n"/>
      <c r="V1364" s="14">
        <f>IF($AN1364="",IF($B1364="","",$H1364),IF(INDEX(職員マスタ!$B$6:$B$405,$AN1364)="",$H1364,INDEX(職員マスタ!$B$6:$B$405,$AN1364)))</f>
        <v/>
      </c>
      <c r="W1364" s="14">
        <f>IF($AN1364="",IF($B1364="","",$R1364),IF(INDEX(職員マスタ!$C$6:$C$405,$AN1364)="",$R1364,INDEX(職員マスタ!$C$6:$C$405,$AN1364)))</f>
        <v/>
      </c>
      <c r="X1364" s="14">
        <f>IF($AO1364="","","R"&amp;$C1364&amp;"."&amp;$D1364)</f>
        <v/>
      </c>
      <c r="Y1364" s="15">
        <f>IF($AN1364="","",IF(INDEX(職員マスタ!$K$6:$K$405,$AN1364)="","",INDEX(職員マスタ!$K$6:$K$405,$AN1364)))</f>
        <v/>
      </c>
      <c r="Z1364" s="14">
        <f>IF(OR($E1364="",$Y1364=""),"",IF($E1364&gt;=$Y1364,"×",IF($E1364&gt;=$Y1364*設定!$C$5,"△","○")))</f>
        <v/>
      </c>
      <c r="AA1364" s="15">
        <f>IF($Z1364="","",IF($Z1364="×",0,IF($Z1364="○",ROUNDDOWN($E1364*設定!$C$4,0),ROUNDDOWN($E1364*ROUND((9*$Y1364-9*$E1364)/(10*$E1364),4),0))))</f>
        <v/>
      </c>
      <c r="AB1364" s="13" t="n"/>
      <c r="AC1364" s="15">
        <f>IF($B1364="","",IF($AB1364&lt;&gt;"",$AB1364,IF($AA1364="","",IF($AA1364&lt;=設定!$C$3,0,$AA1364))))</f>
        <v/>
      </c>
      <c r="AD1364" s="14">
        <f>IF($B1364="","",IF(AND($AE1364&lt;&gt;"",$AG1364="",$AJ1364=""),"保留中",IF($AJ1364&lt;&gt;"",IF(N($AC1364)&gt;0,"支給済","不支給"),IF($AC1364="","要確認",IF($AC1364=0,"不支給","未処理")))))</f>
        <v/>
      </c>
      <c r="AE1364" s="12" t="n"/>
      <c r="AF1364" s="11" t="n"/>
      <c r="AG1364" s="11" t="n"/>
      <c r="AH1364" s="11" t="n"/>
      <c r="AI1364" s="14">
        <f>IF(AND($AD1364="保留中",$AF1364&lt;&gt;""),TODAY()-$AF1364,"")</f>
        <v/>
      </c>
      <c r="AJ1364" s="12" t="n"/>
      <c r="AK1364" s="14">
        <f>IF($B1364="","",IF($AO1364="","対象年月が未入力／","")&amp;IF($B1364="","",IF($AN1364="","職員マスタに未登録の職員番号／",IF($Y1364="","標準報酬月額が未登録／","")&amp;IF(AND($AO1364&lt;&gt;"",OR(AND(INDEX(職員マスタ!$G$6:$G$405,$AN1364)&lt;&gt;"",INDEX(職員マスタ!$G$6:$G$405,$AN1364)&gt;EOMONTH($AO1364,0)),AND(INDEX(職員マスタ!$H$6:$H$405,$AN1364)&lt;&gt;"",INDEX(職員マスタ!$H$6:$H$405,$AN1364)&lt;$AO1364))),"対象月が時短期間外／","")&amp;IF(AND(INDEX(職員マスタ!$F$6:$F$405,$AN1364)&lt;&gt;"",$AO1364&lt;&gt;"",INDEX(職員マスタ!$F$6:$F$405,$AN1364)&lt;$AO1364),"対象月に子が2歳到達済／","")&amp;IF(AND($H1364&lt;&gt;"",INDEX(職員マスタ!$B$6:$B$405,$AN1364)&lt;&gt;"",SUBSTITUTE(SUBSTITUTE($H1364," ","")," ","")&lt;&gt;SUBSTITUTE(SUBSTITUTE(INDEX(職員マスタ!$B$6:$B$405,$AN1364)," ","")," ","")),"氏名がマスタと相違／","")&amp;IF(AND($Q1364&lt;&gt;"",INDEX(職員マスタ!$E$6:$E$405,$AN1364)&lt;&gt;"",$Q1364&lt;&gt;INDEX(職員マスタ!$E$6:$E$405,$AN1364)),"子の生年月日がマスタと相違／","")&amp;IF(AND($L1364&lt;&gt;"",INDEX(職員マスタ!$G$6:$G$405,$AN1364)&lt;&gt;"",$L1364&lt;&gt;INDEX(職員マスタ!$G$6:$G$405,$AN1364)),"時短開始日がマスタと相違／","")&amp;IF(AND($M1364&lt;&gt;"",INDEX(職員マスタ!$H$6:$H$405,$AN1364)&lt;&gt;"",$M1364&lt;&gt;INDEX(職員マスタ!$H$6:$H$405,$AN1364)),"時短終了日がマスタと相違／","")))&amp;IF(AND($B1364&lt;&gt;"",$E1364=""),"報酬額が未入力／","")&amp;IF(N($U1364)&gt;0,"申請書に入力エラーが残っています／","")&amp;IF(AND($B1364&lt;&gt;"",$AO1364&lt;&gt;""),IF(COUNTIFS($B$6:$B$3005,$B1364,$C$6:$C$3005,$C1364,$D$6:$D$3005,$D1364)&gt;1,"同じ月の請求が重複しています／",""),"")&amp;IF(AND(N($E1364)&gt;0,$Z1364&lt;&gt;"",$Z1364&lt;&gt;"×",$AC1364=0,$AB1364=""),"計算額が下限以下のため不支給／",""))</f>
        <v/>
      </c>
      <c r="AL1364" s="12" t="n"/>
      <c r="AM1364" s="14">
        <f>IF($AD1364="保留中",COUNTIF($AD$6:$AD1364,"保留中"),"")</f>
        <v/>
      </c>
      <c r="AN1364" s="14">
        <f>IF($AO1364="","",IF(SUMPRODUCT(MAX((職員マスタ!$A$6:$A$405=$B1364)*(((職員マスタ!$G$6:$G$405="")+(職員マスタ!$G$6:$G$405&lt;=EOMONTH($AO1364,0)))&gt;0)*(((職員マスタ!$H$6:$H$405="")+(職員マスタ!$H$6:$H$405&gt;=$AO1364))&gt;0)*(ROW(職員マスタ!$A$6:$A$405)-5)))&gt;0,SUMPRODUCT(MAX((職員マスタ!$A$6:$A$405=$B1364)*(((職員マスタ!$G$6:$G$405="")+(職員マスタ!$G$6:$G$405&lt;=EOMONTH($AO1364,0)))&gt;0)*(((職員マスタ!$H$6:$H$405="")+(職員マスタ!$H$6:$H$405&gt;=$AO1364))&gt;0)*(ROW(職員マスタ!$A$6:$A$405)-5))),IFERROR(MATCH($B1364,職員マスタ!$A$6:$A$405,0),"")))</f>
        <v/>
      </c>
      <c r="AO1364" s="16">
        <f>IF(OR($B1364="",$C1364="",$D1364=""),"",DATE($C1364+2018,$D1364,1))</f>
        <v/>
      </c>
    </row>
    <row r="1365">
      <c r="A1365" s="11" t="n"/>
      <c r="B1365" s="12" t="n"/>
      <c r="C1365" s="12" t="n"/>
      <c r="D1365" s="12" t="n"/>
      <c r="E1365" s="13" t="n"/>
      <c r="F1365" s="12" t="n"/>
      <c r="G1365" s="13" t="n"/>
      <c r="H1365" s="12" t="n"/>
      <c r="I1365" s="12" t="n"/>
      <c r="J1365" s="12" t="n"/>
      <c r="K1365" s="12" t="n"/>
      <c r="L1365" s="11" t="n"/>
      <c r="M1365" s="11" t="n"/>
      <c r="N1365" s="11" t="n"/>
      <c r="O1365" s="11" t="n"/>
      <c r="P1365" s="12" t="n"/>
      <c r="Q1365" s="11" t="n"/>
      <c r="R1365" s="12" t="n"/>
      <c r="S1365" s="11" t="n"/>
      <c r="T1365" s="12" t="n"/>
      <c r="U1365" s="12" t="n"/>
      <c r="V1365" s="14">
        <f>IF($AN1365="",IF($B1365="","",$H1365),IF(INDEX(職員マスタ!$B$6:$B$405,$AN1365)="",$H1365,INDEX(職員マスタ!$B$6:$B$405,$AN1365)))</f>
        <v/>
      </c>
      <c r="W1365" s="14">
        <f>IF($AN1365="",IF($B1365="","",$R1365),IF(INDEX(職員マスタ!$C$6:$C$405,$AN1365)="",$R1365,INDEX(職員マスタ!$C$6:$C$405,$AN1365)))</f>
        <v/>
      </c>
      <c r="X1365" s="14">
        <f>IF($AO1365="","","R"&amp;$C1365&amp;"."&amp;$D1365)</f>
        <v/>
      </c>
      <c r="Y1365" s="15">
        <f>IF($AN1365="","",IF(INDEX(職員マスタ!$K$6:$K$405,$AN1365)="","",INDEX(職員マスタ!$K$6:$K$405,$AN1365)))</f>
        <v/>
      </c>
      <c r="Z1365" s="14">
        <f>IF(OR($E1365="",$Y1365=""),"",IF($E1365&gt;=$Y1365,"×",IF($E1365&gt;=$Y1365*設定!$C$5,"△","○")))</f>
        <v/>
      </c>
      <c r="AA1365" s="15">
        <f>IF($Z1365="","",IF($Z1365="×",0,IF($Z1365="○",ROUNDDOWN($E1365*設定!$C$4,0),ROUNDDOWN($E1365*ROUND((9*$Y1365-9*$E1365)/(10*$E1365),4),0))))</f>
        <v/>
      </c>
      <c r="AB1365" s="13" t="n"/>
      <c r="AC1365" s="15">
        <f>IF($B1365="","",IF($AB1365&lt;&gt;"",$AB1365,IF($AA1365="","",IF($AA1365&lt;=設定!$C$3,0,$AA1365))))</f>
        <v/>
      </c>
      <c r="AD1365" s="14">
        <f>IF($B1365="","",IF(AND($AE1365&lt;&gt;"",$AG1365="",$AJ1365=""),"保留中",IF($AJ1365&lt;&gt;"",IF(N($AC1365)&gt;0,"支給済","不支給"),IF($AC1365="","要確認",IF($AC1365=0,"不支給","未処理")))))</f>
        <v/>
      </c>
      <c r="AE1365" s="12" t="n"/>
      <c r="AF1365" s="11" t="n"/>
      <c r="AG1365" s="11" t="n"/>
      <c r="AH1365" s="11" t="n"/>
      <c r="AI1365" s="14">
        <f>IF(AND($AD1365="保留中",$AF1365&lt;&gt;""),TODAY()-$AF1365,"")</f>
        <v/>
      </c>
      <c r="AJ1365" s="12" t="n"/>
      <c r="AK1365" s="14">
        <f>IF($B1365="","",IF($AO1365="","対象年月が未入力／","")&amp;IF($B1365="","",IF($AN1365="","職員マスタに未登録の職員番号／",IF($Y1365="","標準報酬月額が未登録／","")&amp;IF(AND($AO1365&lt;&gt;"",OR(AND(INDEX(職員マスタ!$G$6:$G$405,$AN1365)&lt;&gt;"",INDEX(職員マスタ!$G$6:$G$405,$AN1365)&gt;EOMONTH($AO1365,0)),AND(INDEX(職員マスタ!$H$6:$H$405,$AN1365)&lt;&gt;"",INDEX(職員マスタ!$H$6:$H$405,$AN1365)&lt;$AO1365))),"対象月が時短期間外／","")&amp;IF(AND(INDEX(職員マスタ!$F$6:$F$405,$AN1365)&lt;&gt;"",$AO1365&lt;&gt;"",INDEX(職員マスタ!$F$6:$F$405,$AN1365)&lt;$AO1365),"対象月に子が2歳到達済／","")&amp;IF(AND($H1365&lt;&gt;"",INDEX(職員マスタ!$B$6:$B$405,$AN1365)&lt;&gt;"",SUBSTITUTE(SUBSTITUTE($H1365," ","")," ","")&lt;&gt;SUBSTITUTE(SUBSTITUTE(INDEX(職員マスタ!$B$6:$B$405,$AN1365)," ","")," ","")),"氏名がマスタと相違／","")&amp;IF(AND($Q1365&lt;&gt;"",INDEX(職員マスタ!$E$6:$E$405,$AN1365)&lt;&gt;"",$Q1365&lt;&gt;INDEX(職員マスタ!$E$6:$E$405,$AN1365)),"子の生年月日がマスタと相違／","")&amp;IF(AND($L1365&lt;&gt;"",INDEX(職員マスタ!$G$6:$G$405,$AN1365)&lt;&gt;"",$L1365&lt;&gt;INDEX(職員マスタ!$G$6:$G$405,$AN1365)),"時短開始日がマスタと相違／","")&amp;IF(AND($M1365&lt;&gt;"",INDEX(職員マスタ!$H$6:$H$405,$AN1365)&lt;&gt;"",$M1365&lt;&gt;INDEX(職員マスタ!$H$6:$H$405,$AN1365)),"時短終了日がマスタと相違／","")))&amp;IF(AND($B1365&lt;&gt;"",$E1365=""),"報酬額が未入力／","")&amp;IF(N($U1365)&gt;0,"申請書に入力エラーが残っています／","")&amp;IF(AND($B1365&lt;&gt;"",$AO1365&lt;&gt;""),IF(COUNTIFS($B$6:$B$3005,$B1365,$C$6:$C$3005,$C1365,$D$6:$D$3005,$D1365)&gt;1,"同じ月の請求が重複しています／",""),"")&amp;IF(AND(N($E1365)&gt;0,$Z1365&lt;&gt;"",$Z1365&lt;&gt;"×",$AC1365=0,$AB1365=""),"計算額が下限以下のため不支給／",""))</f>
        <v/>
      </c>
      <c r="AL1365" s="12" t="n"/>
      <c r="AM1365" s="14">
        <f>IF($AD1365="保留中",COUNTIF($AD$6:$AD1365,"保留中"),"")</f>
        <v/>
      </c>
      <c r="AN1365" s="14">
        <f>IF($AO1365="","",IF(SUMPRODUCT(MAX((職員マスタ!$A$6:$A$405=$B1365)*(((職員マスタ!$G$6:$G$405="")+(職員マスタ!$G$6:$G$405&lt;=EOMONTH($AO1365,0)))&gt;0)*(((職員マスタ!$H$6:$H$405="")+(職員マスタ!$H$6:$H$405&gt;=$AO1365))&gt;0)*(ROW(職員マスタ!$A$6:$A$405)-5)))&gt;0,SUMPRODUCT(MAX((職員マスタ!$A$6:$A$405=$B1365)*(((職員マスタ!$G$6:$G$405="")+(職員マスタ!$G$6:$G$405&lt;=EOMONTH($AO1365,0)))&gt;0)*(((職員マスタ!$H$6:$H$405="")+(職員マスタ!$H$6:$H$405&gt;=$AO1365))&gt;0)*(ROW(職員マスタ!$A$6:$A$405)-5))),IFERROR(MATCH($B1365,職員マスタ!$A$6:$A$405,0),"")))</f>
        <v/>
      </c>
      <c r="AO1365" s="16">
        <f>IF(OR($B1365="",$C1365="",$D1365=""),"",DATE($C1365+2018,$D1365,1))</f>
        <v/>
      </c>
    </row>
    <row r="1366">
      <c r="A1366" s="11" t="n"/>
      <c r="B1366" s="12" t="n"/>
      <c r="C1366" s="12" t="n"/>
      <c r="D1366" s="12" t="n"/>
      <c r="E1366" s="13" t="n"/>
      <c r="F1366" s="12" t="n"/>
      <c r="G1366" s="13" t="n"/>
      <c r="H1366" s="12" t="n"/>
      <c r="I1366" s="12" t="n"/>
      <c r="J1366" s="12" t="n"/>
      <c r="K1366" s="12" t="n"/>
      <c r="L1366" s="11" t="n"/>
      <c r="M1366" s="11" t="n"/>
      <c r="N1366" s="11" t="n"/>
      <c r="O1366" s="11" t="n"/>
      <c r="P1366" s="12" t="n"/>
      <c r="Q1366" s="11" t="n"/>
      <c r="R1366" s="12" t="n"/>
      <c r="S1366" s="11" t="n"/>
      <c r="T1366" s="12" t="n"/>
      <c r="U1366" s="12" t="n"/>
      <c r="V1366" s="14">
        <f>IF($AN1366="",IF($B1366="","",$H1366),IF(INDEX(職員マスタ!$B$6:$B$405,$AN1366)="",$H1366,INDEX(職員マスタ!$B$6:$B$405,$AN1366)))</f>
        <v/>
      </c>
      <c r="W1366" s="14">
        <f>IF($AN1366="",IF($B1366="","",$R1366),IF(INDEX(職員マスタ!$C$6:$C$405,$AN1366)="",$R1366,INDEX(職員マスタ!$C$6:$C$405,$AN1366)))</f>
        <v/>
      </c>
      <c r="X1366" s="14">
        <f>IF($AO1366="","","R"&amp;$C1366&amp;"."&amp;$D1366)</f>
        <v/>
      </c>
      <c r="Y1366" s="15">
        <f>IF($AN1366="","",IF(INDEX(職員マスタ!$K$6:$K$405,$AN1366)="","",INDEX(職員マスタ!$K$6:$K$405,$AN1366)))</f>
        <v/>
      </c>
      <c r="Z1366" s="14">
        <f>IF(OR($E1366="",$Y1366=""),"",IF($E1366&gt;=$Y1366,"×",IF($E1366&gt;=$Y1366*設定!$C$5,"△","○")))</f>
        <v/>
      </c>
      <c r="AA1366" s="15">
        <f>IF($Z1366="","",IF($Z1366="×",0,IF($Z1366="○",ROUNDDOWN($E1366*設定!$C$4,0),ROUNDDOWN($E1366*ROUND((9*$Y1366-9*$E1366)/(10*$E1366),4),0))))</f>
        <v/>
      </c>
      <c r="AB1366" s="13" t="n"/>
      <c r="AC1366" s="15">
        <f>IF($B1366="","",IF($AB1366&lt;&gt;"",$AB1366,IF($AA1366="","",IF($AA1366&lt;=設定!$C$3,0,$AA1366))))</f>
        <v/>
      </c>
      <c r="AD1366" s="14">
        <f>IF($B1366="","",IF(AND($AE1366&lt;&gt;"",$AG1366="",$AJ1366=""),"保留中",IF($AJ1366&lt;&gt;"",IF(N($AC1366)&gt;0,"支給済","不支給"),IF($AC1366="","要確認",IF($AC1366=0,"不支給","未処理")))))</f>
        <v/>
      </c>
      <c r="AE1366" s="12" t="n"/>
      <c r="AF1366" s="11" t="n"/>
      <c r="AG1366" s="11" t="n"/>
      <c r="AH1366" s="11" t="n"/>
      <c r="AI1366" s="14">
        <f>IF(AND($AD1366="保留中",$AF1366&lt;&gt;""),TODAY()-$AF1366,"")</f>
        <v/>
      </c>
      <c r="AJ1366" s="12" t="n"/>
      <c r="AK1366" s="14">
        <f>IF($B1366="","",IF($AO1366="","対象年月が未入力／","")&amp;IF($B1366="","",IF($AN1366="","職員マスタに未登録の職員番号／",IF($Y1366="","標準報酬月額が未登録／","")&amp;IF(AND($AO1366&lt;&gt;"",OR(AND(INDEX(職員マスタ!$G$6:$G$405,$AN1366)&lt;&gt;"",INDEX(職員マスタ!$G$6:$G$405,$AN1366)&gt;EOMONTH($AO1366,0)),AND(INDEX(職員マスタ!$H$6:$H$405,$AN1366)&lt;&gt;"",INDEX(職員マスタ!$H$6:$H$405,$AN1366)&lt;$AO1366))),"対象月が時短期間外／","")&amp;IF(AND(INDEX(職員マスタ!$F$6:$F$405,$AN1366)&lt;&gt;"",$AO1366&lt;&gt;"",INDEX(職員マスタ!$F$6:$F$405,$AN1366)&lt;$AO1366),"対象月に子が2歳到達済／","")&amp;IF(AND($H1366&lt;&gt;"",INDEX(職員マスタ!$B$6:$B$405,$AN1366)&lt;&gt;"",SUBSTITUTE(SUBSTITUTE($H1366," ","")," ","")&lt;&gt;SUBSTITUTE(SUBSTITUTE(INDEX(職員マスタ!$B$6:$B$405,$AN1366)," ","")," ","")),"氏名がマスタと相違／","")&amp;IF(AND($Q1366&lt;&gt;"",INDEX(職員マスタ!$E$6:$E$405,$AN1366)&lt;&gt;"",$Q1366&lt;&gt;INDEX(職員マスタ!$E$6:$E$405,$AN1366)),"子の生年月日がマスタと相違／","")&amp;IF(AND($L1366&lt;&gt;"",INDEX(職員マスタ!$G$6:$G$405,$AN1366)&lt;&gt;"",$L1366&lt;&gt;INDEX(職員マスタ!$G$6:$G$405,$AN1366)),"時短開始日がマスタと相違／","")&amp;IF(AND($M1366&lt;&gt;"",INDEX(職員マスタ!$H$6:$H$405,$AN1366)&lt;&gt;"",$M1366&lt;&gt;INDEX(職員マスタ!$H$6:$H$405,$AN1366)),"時短終了日がマスタと相違／","")))&amp;IF(AND($B1366&lt;&gt;"",$E1366=""),"報酬額が未入力／","")&amp;IF(N($U1366)&gt;0,"申請書に入力エラーが残っています／","")&amp;IF(AND($B1366&lt;&gt;"",$AO1366&lt;&gt;""),IF(COUNTIFS($B$6:$B$3005,$B1366,$C$6:$C$3005,$C1366,$D$6:$D$3005,$D1366)&gt;1,"同じ月の請求が重複しています／",""),"")&amp;IF(AND(N($E1366)&gt;0,$Z1366&lt;&gt;"",$Z1366&lt;&gt;"×",$AC1366=0,$AB1366=""),"計算額が下限以下のため不支給／",""))</f>
        <v/>
      </c>
      <c r="AL1366" s="12" t="n"/>
      <c r="AM1366" s="14">
        <f>IF($AD1366="保留中",COUNTIF($AD$6:$AD1366,"保留中"),"")</f>
        <v/>
      </c>
      <c r="AN1366" s="14">
        <f>IF($AO1366="","",IF(SUMPRODUCT(MAX((職員マスタ!$A$6:$A$405=$B1366)*(((職員マスタ!$G$6:$G$405="")+(職員マスタ!$G$6:$G$405&lt;=EOMONTH($AO1366,0)))&gt;0)*(((職員マスタ!$H$6:$H$405="")+(職員マスタ!$H$6:$H$405&gt;=$AO1366))&gt;0)*(ROW(職員マスタ!$A$6:$A$405)-5)))&gt;0,SUMPRODUCT(MAX((職員マスタ!$A$6:$A$405=$B1366)*(((職員マスタ!$G$6:$G$405="")+(職員マスタ!$G$6:$G$405&lt;=EOMONTH($AO1366,0)))&gt;0)*(((職員マスタ!$H$6:$H$405="")+(職員マスタ!$H$6:$H$405&gt;=$AO1366))&gt;0)*(ROW(職員マスタ!$A$6:$A$405)-5))),IFERROR(MATCH($B1366,職員マスタ!$A$6:$A$405,0),"")))</f>
        <v/>
      </c>
      <c r="AO1366" s="16">
        <f>IF(OR($B1366="",$C1366="",$D1366=""),"",DATE($C1366+2018,$D1366,1))</f>
        <v/>
      </c>
    </row>
    <row r="1367">
      <c r="A1367" s="11" t="n"/>
      <c r="B1367" s="12" t="n"/>
      <c r="C1367" s="12" t="n"/>
      <c r="D1367" s="12" t="n"/>
      <c r="E1367" s="13" t="n"/>
      <c r="F1367" s="12" t="n"/>
      <c r="G1367" s="13" t="n"/>
      <c r="H1367" s="12" t="n"/>
      <c r="I1367" s="12" t="n"/>
      <c r="J1367" s="12" t="n"/>
      <c r="K1367" s="12" t="n"/>
      <c r="L1367" s="11" t="n"/>
      <c r="M1367" s="11" t="n"/>
      <c r="N1367" s="11" t="n"/>
      <c r="O1367" s="11" t="n"/>
      <c r="P1367" s="12" t="n"/>
      <c r="Q1367" s="11" t="n"/>
      <c r="R1367" s="12" t="n"/>
      <c r="S1367" s="11" t="n"/>
      <c r="T1367" s="12" t="n"/>
      <c r="U1367" s="12" t="n"/>
      <c r="V1367" s="14">
        <f>IF($AN1367="",IF($B1367="","",$H1367),IF(INDEX(職員マスタ!$B$6:$B$405,$AN1367)="",$H1367,INDEX(職員マスタ!$B$6:$B$405,$AN1367)))</f>
        <v/>
      </c>
      <c r="W1367" s="14">
        <f>IF($AN1367="",IF($B1367="","",$R1367),IF(INDEX(職員マスタ!$C$6:$C$405,$AN1367)="",$R1367,INDEX(職員マスタ!$C$6:$C$405,$AN1367)))</f>
        <v/>
      </c>
      <c r="X1367" s="14">
        <f>IF($AO1367="","","R"&amp;$C1367&amp;"."&amp;$D1367)</f>
        <v/>
      </c>
      <c r="Y1367" s="15">
        <f>IF($AN1367="","",IF(INDEX(職員マスタ!$K$6:$K$405,$AN1367)="","",INDEX(職員マスタ!$K$6:$K$405,$AN1367)))</f>
        <v/>
      </c>
      <c r="Z1367" s="14">
        <f>IF(OR($E1367="",$Y1367=""),"",IF($E1367&gt;=$Y1367,"×",IF($E1367&gt;=$Y1367*設定!$C$5,"△","○")))</f>
        <v/>
      </c>
      <c r="AA1367" s="15">
        <f>IF($Z1367="","",IF($Z1367="×",0,IF($Z1367="○",ROUNDDOWN($E1367*設定!$C$4,0),ROUNDDOWN($E1367*ROUND((9*$Y1367-9*$E1367)/(10*$E1367),4),0))))</f>
        <v/>
      </c>
      <c r="AB1367" s="13" t="n"/>
      <c r="AC1367" s="15">
        <f>IF($B1367="","",IF($AB1367&lt;&gt;"",$AB1367,IF($AA1367="","",IF($AA1367&lt;=設定!$C$3,0,$AA1367))))</f>
        <v/>
      </c>
      <c r="AD1367" s="14">
        <f>IF($B1367="","",IF(AND($AE1367&lt;&gt;"",$AG1367="",$AJ1367=""),"保留中",IF($AJ1367&lt;&gt;"",IF(N($AC1367)&gt;0,"支給済","不支給"),IF($AC1367="","要確認",IF($AC1367=0,"不支給","未処理")))))</f>
        <v/>
      </c>
      <c r="AE1367" s="12" t="n"/>
      <c r="AF1367" s="11" t="n"/>
      <c r="AG1367" s="11" t="n"/>
      <c r="AH1367" s="11" t="n"/>
      <c r="AI1367" s="14">
        <f>IF(AND($AD1367="保留中",$AF1367&lt;&gt;""),TODAY()-$AF1367,"")</f>
        <v/>
      </c>
      <c r="AJ1367" s="12" t="n"/>
      <c r="AK1367" s="14">
        <f>IF($B1367="","",IF($AO1367="","対象年月が未入力／","")&amp;IF($B1367="","",IF($AN1367="","職員マスタに未登録の職員番号／",IF($Y1367="","標準報酬月額が未登録／","")&amp;IF(AND($AO1367&lt;&gt;"",OR(AND(INDEX(職員マスタ!$G$6:$G$405,$AN1367)&lt;&gt;"",INDEX(職員マスタ!$G$6:$G$405,$AN1367)&gt;EOMONTH($AO1367,0)),AND(INDEX(職員マスタ!$H$6:$H$405,$AN1367)&lt;&gt;"",INDEX(職員マスタ!$H$6:$H$405,$AN1367)&lt;$AO1367))),"対象月が時短期間外／","")&amp;IF(AND(INDEX(職員マスタ!$F$6:$F$405,$AN1367)&lt;&gt;"",$AO1367&lt;&gt;"",INDEX(職員マスタ!$F$6:$F$405,$AN1367)&lt;$AO1367),"対象月に子が2歳到達済／","")&amp;IF(AND($H1367&lt;&gt;"",INDEX(職員マスタ!$B$6:$B$405,$AN1367)&lt;&gt;"",SUBSTITUTE(SUBSTITUTE($H1367," ","")," ","")&lt;&gt;SUBSTITUTE(SUBSTITUTE(INDEX(職員マスタ!$B$6:$B$405,$AN1367)," ","")," ","")),"氏名がマスタと相違／","")&amp;IF(AND($Q1367&lt;&gt;"",INDEX(職員マスタ!$E$6:$E$405,$AN1367)&lt;&gt;"",$Q1367&lt;&gt;INDEX(職員マスタ!$E$6:$E$405,$AN1367)),"子の生年月日がマスタと相違／","")&amp;IF(AND($L1367&lt;&gt;"",INDEX(職員マスタ!$G$6:$G$405,$AN1367)&lt;&gt;"",$L1367&lt;&gt;INDEX(職員マスタ!$G$6:$G$405,$AN1367)),"時短開始日がマスタと相違／","")&amp;IF(AND($M1367&lt;&gt;"",INDEX(職員マスタ!$H$6:$H$405,$AN1367)&lt;&gt;"",$M1367&lt;&gt;INDEX(職員マスタ!$H$6:$H$405,$AN1367)),"時短終了日がマスタと相違／","")))&amp;IF(AND($B1367&lt;&gt;"",$E1367=""),"報酬額が未入力／","")&amp;IF(N($U1367)&gt;0,"申請書に入力エラーが残っています／","")&amp;IF(AND($B1367&lt;&gt;"",$AO1367&lt;&gt;""),IF(COUNTIFS($B$6:$B$3005,$B1367,$C$6:$C$3005,$C1367,$D$6:$D$3005,$D1367)&gt;1,"同じ月の請求が重複しています／",""),"")&amp;IF(AND(N($E1367)&gt;0,$Z1367&lt;&gt;"",$Z1367&lt;&gt;"×",$AC1367=0,$AB1367=""),"計算額が下限以下のため不支給／",""))</f>
        <v/>
      </c>
      <c r="AL1367" s="12" t="n"/>
      <c r="AM1367" s="14">
        <f>IF($AD1367="保留中",COUNTIF($AD$6:$AD1367,"保留中"),"")</f>
        <v/>
      </c>
      <c r="AN1367" s="14">
        <f>IF($AO1367="","",IF(SUMPRODUCT(MAX((職員マスタ!$A$6:$A$405=$B1367)*(((職員マスタ!$G$6:$G$405="")+(職員マスタ!$G$6:$G$405&lt;=EOMONTH($AO1367,0)))&gt;0)*(((職員マスタ!$H$6:$H$405="")+(職員マスタ!$H$6:$H$405&gt;=$AO1367))&gt;0)*(ROW(職員マスタ!$A$6:$A$405)-5)))&gt;0,SUMPRODUCT(MAX((職員マスタ!$A$6:$A$405=$B1367)*(((職員マスタ!$G$6:$G$405="")+(職員マスタ!$G$6:$G$405&lt;=EOMONTH($AO1367,0)))&gt;0)*(((職員マスタ!$H$6:$H$405="")+(職員マスタ!$H$6:$H$405&gt;=$AO1367))&gt;0)*(ROW(職員マスタ!$A$6:$A$405)-5))),IFERROR(MATCH($B1367,職員マスタ!$A$6:$A$405,0),"")))</f>
        <v/>
      </c>
      <c r="AO1367" s="16">
        <f>IF(OR($B1367="",$C1367="",$D1367=""),"",DATE($C1367+2018,$D1367,1))</f>
        <v/>
      </c>
    </row>
    <row r="1368">
      <c r="A1368" s="11" t="n"/>
      <c r="B1368" s="12" t="n"/>
      <c r="C1368" s="12" t="n"/>
      <c r="D1368" s="12" t="n"/>
      <c r="E1368" s="13" t="n"/>
      <c r="F1368" s="12" t="n"/>
      <c r="G1368" s="13" t="n"/>
      <c r="H1368" s="12" t="n"/>
      <c r="I1368" s="12" t="n"/>
      <c r="J1368" s="12" t="n"/>
      <c r="K1368" s="12" t="n"/>
      <c r="L1368" s="11" t="n"/>
      <c r="M1368" s="11" t="n"/>
      <c r="N1368" s="11" t="n"/>
      <c r="O1368" s="11" t="n"/>
      <c r="P1368" s="12" t="n"/>
      <c r="Q1368" s="11" t="n"/>
      <c r="R1368" s="12" t="n"/>
      <c r="S1368" s="11" t="n"/>
      <c r="T1368" s="12" t="n"/>
      <c r="U1368" s="12" t="n"/>
      <c r="V1368" s="14">
        <f>IF($AN1368="",IF($B1368="","",$H1368),IF(INDEX(職員マスタ!$B$6:$B$405,$AN1368)="",$H1368,INDEX(職員マスタ!$B$6:$B$405,$AN1368)))</f>
        <v/>
      </c>
      <c r="W1368" s="14">
        <f>IF($AN1368="",IF($B1368="","",$R1368),IF(INDEX(職員マスタ!$C$6:$C$405,$AN1368)="",$R1368,INDEX(職員マスタ!$C$6:$C$405,$AN1368)))</f>
        <v/>
      </c>
      <c r="X1368" s="14">
        <f>IF($AO1368="","","R"&amp;$C1368&amp;"."&amp;$D1368)</f>
        <v/>
      </c>
      <c r="Y1368" s="15">
        <f>IF($AN1368="","",IF(INDEX(職員マスタ!$K$6:$K$405,$AN1368)="","",INDEX(職員マスタ!$K$6:$K$405,$AN1368)))</f>
        <v/>
      </c>
      <c r="Z1368" s="14">
        <f>IF(OR($E1368="",$Y1368=""),"",IF($E1368&gt;=$Y1368,"×",IF($E1368&gt;=$Y1368*設定!$C$5,"△","○")))</f>
        <v/>
      </c>
      <c r="AA1368" s="15">
        <f>IF($Z1368="","",IF($Z1368="×",0,IF($Z1368="○",ROUNDDOWN($E1368*設定!$C$4,0),ROUNDDOWN($E1368*ROUND((9*$Y1368-9*$E1368)/(10*$E1368),4),0))))</f>
        <v/>
      </c>
      <c r="AB1368" s="13" t="n"/>
      <c r="AC1368" s="15">
        <f>IF($B1368="","",IF($AB1368&lt;&gt;"",$AB1368,IF($AA1368="","",IF($AA1368&lt;=設定!$C$3,0,$AA1368))))</f>
        <v/>
      </c>
      <c r="AD1368" s="14">
        <f>IF($B1368="","",IF(AND($AE1368&lt;&gt;"",$AG1368="",$AJ1368=""),"保留中",IF($AJ1368&lt;&gt;"",IF(N($AC1368)&gt;0,"支給済","不支給"),IF($AC1368="","要確認",IF($AC1368=0,"不支給","未処理")))))</f>
        <v/>
      </c>
      <c r="AE1368" s="12" t="n"/>
      <c r="AF1368" s="11" t="n"/>
      <c r="AG1368" s="11" t="n"/>
      <c r="AH1368" s="11" t="n"/>
      <c r="AI1368" s="14">
        <f>IF(AND($AD1368="保留中",$AF1368&lt;&gt;""),TODAY()-$AF1368,"")</f>
        <v/>
      </c>
      <c r="AJ1368" s="12" t="n"/>
      <c r="AK1368" s="14">
        <f>IF($B1368="","",IF($AO1368="","対象年月が未入力／","")&amp;IF($B1368="","",IF($AN1368="","職員マスタに未登録の職員番号／",IF($Y1368="","標準報酬月額が未登録／","")&amp;IF(AND($AO1368&lt;&gt;"",OR(AND(INDEX(職員マスタ!$G$6:$G$405,$AN1368)&lt;&gt;"",INDEX(職員マスタ!$G$6:$G$405,$AN1368)&gt;EOMONTH($AO1368,0)),AND(INDEX(職員マスタ!$H$6:$H$405,$AN1368)&lt;&gt;"",INDEX(職員マスタ!$H$6:$H$405,$AN1368)&lt;$AO1368))),"対象月が時短期間外／","")&amp;IF(AND(INDEX(職員マスタ!$F$6:$F$405,$AN1368)&lt;&gt;"",$AO1368&lt;&gt;"",INDEX(職員マスタ!$F$6:$F$405,$AN1368)&lt;$AO1368),"対象月に子が2歳到達済／","")&amp;IF(AND($H1368&lt;&gt;"",INDEX(職員マスタ!$B$6:$B$405,$AN1368)&lt;&gt;"",SUBSTITUTE(SUBSTITUTE($H1368," ","")," ","")&lt;&gt;SUBSTITUTE(SUBSTITUTE(INDEX(職員マスタ!$B$6:$B$405,$AN1368)," ","")," ","")),"氏名がマスタと相違／","")&amp;IF(AND($Q1368&lt;&gt;"",INDEX(職員マスタ!$E$6:$E$405,$AN1368)&lt;&gt;"",$Q1368&lt;&gt;INDEX(職員マスタ!$E$6:$E$405,$AN1368)),"子の生年月日がマスタと相違／","")&amp;IF(AND($L1368&lt;&gt;"",INDEX(職員マスタ!$G$6:$G$405,$AN1368)&lt;&gt;"",$L1368&lt;&gt;INDEX(職員マスタ!$G$6:$G$405,$AN1368)),"時短開始日がマスタと相違／","")&amp;IF(AND($M1368&lt;&gt;"",INDEX(職員マスタ!$H$6:$H$405,$AN1368)&lt;&gt;"",$M1368&lt;&gt;INDEX(職員マスタ!$H$6:$H$405,$AN1368)),"時短終了日がマスタと相違／","")))&amp;IF(AND($B1368&lt;&gt;"",$E1368=""),"報酬額が未入力／","")&amp;IF(N($U1368)&gt;0,"申請書に入力エラーが残っています／","")&amp;IF(AND($B1368&lt;&gt;"",$AO1368&lt;&gt;""),IF(COUNTIFS($B$6:$B$3005,$B1368,$C$6:$C$3005,$C1368,$D$6:$D$3005,$D1368)&gt;1,"同じ月の請求が重複しています／",""),"")&amp;IF(AND(N($E1368)&gt;0,$Z1368&lt;&gt;"",$Z1368&lt;&gt;"×",$AC1368=0,$AB1368=""),"計算額が下限以下のため不支給／",""))</f>
        <v/>
      </c>
      <c r="AL1368" s="12" t="n"/>
      <c r="AM1368" s="14">
        <f>IF($AD1368="保留中",COUNTIF($AD$6:$AD1368,"保留中"),"")</f>
        <v/>
      </c>
      <c r="AN1368" s="14">
        <f>IF($AO1368="","",IF(SUMPRODUCT(MAX((職員マスタ!$A$6:$A$405=$B1368)*(((職員マスタ!$G$6:$G$405="")+(職員マスタ!$G$6:$G$405&lt;=EOMONTH($AO1368,0)))&gt;0)*(((職員マスタ!$H$6:$H$405="")+(職員マスタ!$H$6:$H$405&gt;=$AO1368))&gt;0)*(ROW(職員マスタ!$A$6:$A$405)-5)))&gt;0,SUMPRODUCT(MAX((職員マスタ!$A$6:$A$405=$B1368)*(((職員マスタ!$G$6:$G$405="")+(職員マスタ!$G$6:$G$405&lt;=EOMONTH($AO1368,0)))&gt;0)*(((職員マスタ!$H$6:$H$405="")+(職員マスタ!$H$6:$H$405&gt;=$AO1368))&gt;0)*(ROW(職員マスタ!$A$6:$A$405)-5))),IFERROR(MATCH($B1368,職員マスタ!$A$6:$A$405,0),"")))</f>
        <v/>
      </c>
      <c r="AO1368" s="16">
        <f>IF(OR($B1368="",$C1368="",$D1368=""),"",DATE($C1368+2018,$D1368,1))</f>
        <v/>
      </c>
    </row>
    <row r="1369">
      <c r="A1369" s="11" t="n"/>
      <c r="B1369" s="12" t="n"/>
      <c r="C1369" s="12" t="n"/>
      <c r="D1369" s="12" t="n"/>
      <c r="E1369" s="13" t="n"/>
      <c r="F1369" s="12" t="n"/>
      <c r="G1369" s="13" t="n"/>
      <c r="H1369" s="12" t="n"/>
      <c r="I1369" s="12" t="n"/>
      <c r="J1369" s="12" t="n"/>
      <c r="K1369" s="12" t="n"/>
      <c r="L1369" s="11" t="n"/>
      <c r="M1369" s="11" t="n"/>
      <c r="N1369" s="11" t="n"/>
      <c r="O1369" s="11" t="n"/>
      <c r="P1369" s="12" t="n"/>
      <c r="Q1369" s="11" t="n"/>
      <c r="R1369" s="12" t="n"/>
      <c r="S1369" s="11" t="n"/>
      <c r="T1369" s="12" t="n"/>
      <c r="U1369" s="12" t="n"/>
      <c r="V1369" s="14">
        <f>IF($AN1369="",IF($B1369="","",$H1369),IF(INDEX(職員マスタ!$B$6:$B$405,$AN1369)="",$H1369,INDEX(職員マスタ!$B$6:$B$405,$AN1369)))</f>
        <v/>
      </c>
      <c r="W1369" s="14">
        <f>IF($AN1369="",IF($B1369="","",$R1369),IF(INDEX(職員マスタ!$C$6:$C$405,$AN1369)="",$R1369,INDEX(職員マスタ!$C$6:$C$405,$AN1369)))</f>
        <v/>
      </c>
      <c r="X1369" s="14">
        <f>IF($AO1369="","","R"&amp;$C1369&amp;"."&amp;$D1369)</f>
        <v/>
      </c>
      <c r="Y1369" s="15">
        <f>IF($AN1369="","",IF(INDEX(職員マスタ!$K$6:$K$405,$AN1369)="","",INDEX(職員マスタ!$K$6:$K$405,$AN1369)))</f>
        <v/>
      </c>
      <c r="Z1369" s="14">
        <f>IF(OR($E1369="",$Y1369=""),"",IF($E1369&gt;=$Y1369,"×",IF($E1369&gt;=$Y1369*設定!$C$5,"△","○")))</f>
        <v/>
      </c>
      <c r="AA1369" s="15">
        <f>IF($Z1369="","",IF($Z1369="×",0,IF($Z1369="○",ROUNDDOWN($E1369*設定!$C$4,0),ROUNDDOWN($E1369*ROUND((9*$Y1369-9*$E1369)/(10*$E1369),4),0))))</f>
        <v/>
      </c>
      <c r="AB1369" s="13" t="n"/>
      <c r="AC1369" s="15">
        <f>IF($B1369="","",IF($AB1369&lt;&gt;"",$AB1369,IF($AA1369="","",IF($AA1369&lt;=設定!$C$3,0,$AA1369))))</f>
        <v/>
      </c>
      <c r="AD1369" s="14">
        <f>IF($B1369="","",IF(AND($AE1369&lt;&gt;"",$AG1369="",$AJ1369=""),"保留中",IF($AJ1369&lt;&gt;"",IF(N($AC1369)&gt;0,"支給済","不支給"),IF($AC1369="","要確認",IF($AC1369=0,"不支給","未処理")))))</f>
        <v/>
      </c>
      <c r="AE1369" s="12" t="n"/>
      <c r="AF1369" s="11" t="n"/>
      <c r="AG1369" s="11" t="n"/>
      <c r="AH1369" s="11" t="n"/>
      <c r="AI1369" s="14">
        <f>IF(AND($AD1369="保留中",$AF1369&lt;&gt;""),TODAY()-$AF1369,"")</f>
        <v/>
      </c>
      <c r="AJ1369" s="12" t="n"/>
      <c r="AK1369" s="14">
        <f>IF($B1369="","",IF($AO1369="","対象年月が未入力／","")&amp;IF($B1369="","",IF($AN1369="","職員マスタに未登録の職員番号／",IF($Y1369="","標準報酬月額が未登録／","")&amp;IF(AND($AO1369&lt;&gt;"",OR(AND(INDEX(職員マスタ!$G$6:$G$405,$AN1369)&lt;&gt;"",INDEX(職員マスタ!$G$6:$G$405,$AN1369)&gt;EOMONTH($AO1369,0)),AND(INDEX(職員マスタ!$H$6:$H$405,$AN1369)&lt;&gt;"",INDEX(職員マスタ!$H$6:$H$405,$AN1369)&lt;$AO1369))),"対象月が時短期間外／","")&amp;IF(AND(INDEX(職員マスタ!$F$6:$F$405,$AN1369)&lt;&gt;"",$AO1369&lt;&gt;"",INDEX(職員マスタ!$F$6:$F$405,$AN1369)&lt;$AO1369),"対象月に子が2歳到達済／","")&amp;IF(AND($H1369&lt;&gt;"",INDEX(職員マスタ!$B$6:$B$405,$AN1369)&lt;&gt;"",SUBSTITUTE(SUBSTITUTE($H1369," ","")," ","")&lt;&gt;SUBSTITUTE(SUBSTITUTE(INDEX(職員マスタ!$B$6:$B$405,$AN1369)," ","")," ","")),"氏名がマスタと相違／","")&amp;IF(AND($Q1369&lt;&gt;"",INDEX(職員マスタ!$E$6:$E$405,$AN1369)&lt;&gt;"",$Q1369&lt;&gt;INDEX(職員マスタ!$E$6:$E$405,$AN1369)),"子の生年月日がマスタと相違／","")&amp;IF(AND($L1369&lt;&gt;"",INDEX(職員マスタ!$G$6:$G$405,$AN1369)&lt;&gt;"",$L1369&lt;&gt;INDEX(職員マスタ!$G$6:$G$405,$AN1369)),"時短開始日がマスタと相違／","")&amp;IF(AND($M1369&lt;&gt;"",INDEX(職員マスタ!$H$6:$H$405,$AN1369)&lt;&gt;"",$M1369&lt;&gt;INDEX(職員マスタ!$H$6:$H$405,$AN1369)),"時短終了日がマスタと相違／","")))&amp;IF(AND($B1369&lt;&gt;"",$E1369=""),"報酬額が未入力／","")&amp;IF(N($U1369)&gt;0,"申請書に入力エラーが残っています／","")&amp;IF(AND($B1369&lt;&gt;"",$AO1369&lt;&gt;""),IF(COUNTIFS($B$6:$B$3005,$B1369,$C$6:$C$3005,$C1369,$D$6:$D$3005,$D1369)&gt;1,"同じ月の請求が重複しています／",""),"")&amp;IF(AND(N($E1369)&gt;0,$Z1369&lt;&gt;"",$Z1369&lt;&gt;"×",$AC1369=0,$AB1369=""),"計算額が下限以下のため不支給／",""))</f>
        <v/>
      </c>
      <c r="AL1369" s="12" t="n"/>
      <c r="AM1369" s="14">
        <f>IF($AD1369="保留中",COUNTIF($AD$6:$AD1369,"保留中"),"")</f>
        <v/>
      </c>
      <c r="AN1369" s="14">
        <f>IF($AO1369="","",IF(SUMPRODUCT(MAX((職員マスタ!$A$6:$A$405=$B1369)*(((職員マスタ!$G$6:$G$405="")+(職員マスタ!$G$6:$G$405&lt;=EOMONTH($AO1369,0)))&gt;0)*(((職員マスタ!$H$6:$H$405="")+(職員マスタ!$H$6:$H$405&gt;=$AO1369))&gt;0)*(ROW(職員マスタ!$A$6:$A$405)-5)))&gt;0,SUMPRODUCT(MAX((職員マスタ!$A$6:$A$405=$B1369)*(((職員マスタ!$G$6:$G$405="")+(職員マスタ!$G$6:$G$405&lt;=EOMONTH($AO1369,0)))&gt;0)*(((職員マスタ!$H$6:$H$405="")+(職員マスタ!$H$6:$H$405&gt;=$AO1369))&gt;0)*(ROW(職員マスタ!$A$6:$A$405)-5))),IFERROR(MATCH($B1369,職員マスタ!$A$6:$A$405,0),"")))</f>
        <v/>
      </c>
      <c r="AO1369" s="16">
        <f>IF(OR($B1369="",$C1369="",$D1369=""),"",DATE($C1369+2018,$D1369,1))</f>
        <v/>
      </c>
    </row>
    <row r="1370">
      <c r="A1370" s="11" t="n"/>
      <c r="B1370" s="12" t="n"/>
      <c r="C1370" s="12" t="n"/>
      <c r="D1370" s="12" t="n"/>
      <c r="E1370" s="13" t="n"/>
      <c r="F1370" s="12" t="n"/>
      <c r="G1370" s="13" t="n"/>
      <c r="H1370" s="12" t="n"/>
      <c r="I1370" s="12" t="n"/>
      <c r="J1370" s="12" t="n"/>
      <c r="K1370" s="12" t="n"/>
      <c r="L1370" s="11" t="n"/>
      <c r="M1370" s="11" t="n"/>
      <c r="N1370" s="11" t="n"/>
      <c r="O1370" s="11" t="n"/>
      <c r="P1370" s="12" t="n"/>
      <c r="Q1370" s="11" t="n"/>
      <c r="R1370" s="12" t="n"/>
      <c r="S1370" s="11" t="n"/>
      <c r="T1370" s="12" t="n"/>
      <c r="U1370" s="12" t="n"/>
      <c r="V1370" s="14">
        <f>IF($AN1370="",IF($B1370="","",$H1370),IF(INDEX(職員マスタ!$B$6:$B$405,$AN1370)="",$H1370,INDEX(職員マスタ!$B$6:$B$405,$AN1370)))</f>
        <v/>
      </c>
      <c r="W1370" s="14">
        <f>IF($AN1370="",IF($B1370="","",$R1370),IF(INDEX(職員マスタ!$C$6:$C$405,$AN1370)="",$R1370,INDEX(職員マスタ!$C$6:$C$405,$AN1370)))</f>
        <v/>
      </c>
      <c r="X1370" s="14">
        <f>IF($AO1370="","","R"&amp;$C1370&amp;"."&amp;$D1370)</f>
        <v/>
      </c>
      <c r="Y1370" s="15">
        <f>IF($AN1370="","",IF(INDEX(職員マスタ!$K$6:$K$405,$AN1370)="","",INDEX(職員マスタ!$K$6:$K$405,$AN1370)))</f>
        <v/>
      </c>
      <c r="Z1370" s="14">
        <f>IF(OR($E1370="",$Y1370=""),"",IF($E1370&gt;=$Y1370,"×",IF($E1370&gt;=$Y1370*設定!$C$5,"△","○")))</f>
        <v/>
      </c>
      <c r="AA1370" s="15">
        <f>IF($Z1370="","",IF($Z1370="×",0,IF($Z1370="○",ROUNDDOWN($E1370*設定!$C$4,0),ROUNDDOWN($E1370*ROUND((9*$Y1370-9*$E1370)/(10*$E1370),4),0))))</f>
        <v/>
      </c>
      <c r="AB1370" s="13" t="n"/>
      <c r="AC1370" s="15">
        <f>IF($B1370="","",IF($AB1370&lt;&gt;"",$AB1370,IF($AA1370="","",IF($AA1370&lt;=設定!$C$3,0,$AA1370))))</f>
        <v/>
      </c>
      <c r="AD1370" s="14">
        <f>IF($B1370="","",IF(AND($AE1370&lt;&gt;"",$AG1370="",$AJ1370=""),"保留中",IF($AJ1370&lt;&gt;"",IF(N($AC1370)&gt;0,"支給済","不支給"),IF($AC1370="","要確認",IF($AC1370=0,"不支給","未処理")))))</f>
        <v/>
      </c>
      <c r="AE1370" s="12" t="n"/>
      <c r="AF1370" s="11" t="n"/>
      <c r="AG1370" s="11" t="n"/>
      <c r="AH1370" s="11" t="n"/>
      <c r="AI1370" s="14">
        <f>IF(AND($AD1370="保留中",$AF1370&lt;&gt;""),TODAY()-$AF1370,"")</f>
        <v/>
      </c>
      <c r="AJ1370" s="12" t="n"/>
      <c r="AK1370" s="14">
        <f>IF($B1370="","",IF($AO1370="","対象年月が未入力／","")&amp;IF($B1370="","",IF($AN1370="","職員マスタに未登録の職員番号／",IF($Y1370="","標準報酬月額が未登録／","")&amp;IF(AND($AO1370&lt;&gt;"",OR(AND(INDEX(職員マスタ!$G$6:$G$405,$AN1370)&lt;&gt;"",INDEX(職員マスタ!$G$6:$G$405,$AN1370)&gt;EOMONTH($AO1370,0)),AND(INDEX(職員マスタ!$H$6:$H$405,$AN1370)&lt;&gt;"",INDEX(職員マスタ!$H$6:$H$405,$AN1370)&lt;$AO1370))),"対象月が時短期間外／","")&amp;IF(AND(INDEX(職員マスタ!$F$6:$F$405,$AN1370)&lt;&gt;"",$AO1370&lt;&gt;"",INDEX(職員マスタ!$F$6:$F$405,$AN1370)&lt;$AO1370),"対象月に子が2歳到達済／","")&amp;IF(AND($H1370&lt;&gt;"",INDEX(職員マスタ!$B$6:$B$405,$AN1370)&lt;&gt;"",SUBSTITUTE(SUBSTITUTE($H1370," ","")," ","")&lt;&gt;SUBSTITUTE(SUBSTITUTE(INDEX(職員マスタ!$B$6:$B$405,$AN1370)," ","")," ","")),"氏名がマスタと相違／","")&amp;IF(AND($Q1370&lt;&gt;"",INDEX(職員マスタ!$E$6:$E$405,$AN1370)&lt;&gt;"",$Q1370&lt;&gt;INDEX(職員マスタ!$E$6:$E$405,$AN1370)),"子の生年月日がマスタと相違／","")&amp;IF(AND($L1370&lt;&gt;"",INDEX(職員マスタ!$G$6:$G$405,$AN1370)&lt;&gt;"",$L1370&lt;&gt;INDEX(職員マスタ!$G$6:$G$405,$AN1370)),"時短開始日がマスタと相違／","")&amp;IF(AND($M1370&lt;&gt;"",INDEX(職員マスタ!$H$6:$H$405,$AN1370)&lt;&gt;"",$M1370&lt;&gt;INDEX(職員マスタ!$H$6:$H$405,$AN1370)),"時短終了日がマスタと相違／","")))&amp;IF(AND($B1370&lt;&gt;"",$E1370=""),"報酬額が未入力／","")&amp;IF(N($U1370)&gt;0,"申請書に入力エラーが残っています／","")&amp;IF(AND($B1370&lt;&gt;"",$AO1370&lt;&gt;""),IF(COUNTIFS($B$6:$B$3005,$B1370,$C$6:$C$3005,$C1370,$D$6:$D$3005,$D1370)&gt;1,"同じ月の請求が重複しています／",""),"")&amp;IF(AND(N($E1370)&gt;0,$Z1370&lt;&gt;"",$Z1370&lt;&gt;"×",$AC1370=0,$AB1370=""),"計算額が下限以下のため不支給／",""))</f>
        <v/>
      </c>
      <c r="AL1370" s="12" t="n"/>
      <c r="AM1370" s="14">
        <f>IF($AD1370="保留中",COUNTIF($AD$6:$AD1370,"保留中"),"")</f>
        <v/>
      </c>
      <c r="AN1370" s="14">
        <f>IF($AO1370="","",IF(SUMPRODUCT(MAX((職員マスタ!$A$6:$A$405=$B1370)*(((職員マスタ!$G$6:$G$405="")+(職員マスタ!$G$6:$G$405&lt;=EOMONTH($AO1370,0)))&gt;0)*(((職員マスタ!$H$6:$H$405="")+(職員マスタ!$H$6:$H$405&gt;=$AO1370))&gt;0)*(ROW(職員マスタ!$A$6:$A$405)-5)))&gt;0,SUMPRODUCT(MAX((職員マスタ!$A$6:$A$405=$B1370)*(((職員マスタ!$G$6:$G$405="")+(職員マスタ!$G$6:$G$405&lt;=EOMONTH($AO1370,0)))&gt;0)*(((職員マスタ!$H$6:$H$405="")+(職員マスタ!$H$6:$H$405&gt;=$AO1370))&gt;0)*(ROW(職員マスタ!$A$6:$A$405)-5))),IFERROR(MATCH($B1370,職員マスタ!$A$6:$A$405,0),"")))</f>
        <v/>
      </c>
      <c r="AO1370" s="16">
        <f>IF(OR($B1370="",$C1370="",$D1370=""),"",DATE($C1370+2018,$D1370,1))</f>
        <v/>
      </c>
    </row>
    <row r="1371">
      <c r="A1371" s="11" t="n"/>
      <c r="B1371" s="12" t="n"/>
      <c r="C1371" s="12" t="n"/>
      <c r="D1371" s="12" t="n"/>
      <c r="E1371" s="13" t="n"/>
      <c r="F1371" s="12" t="n"/>
      <c r="G1371" s="13" t="n"/>
      <c r="H1371" s="12" t="n"/>
      <c r="I1371" s="12" t="n"/>
      <c r="J1371" s="12" t="n"/>
      <c r="K1371" s="12" t="n"/>
      <c r="L1371" s="11" t="n"/>
      <c r="M1371" s="11" t="n"/>
      <c r="N1371" s="11" t="n"/>
      <c r="O1371" s="11" t="n"/>
      <c r="P1371" s="12" t="n"/>
      <c r="Q1371" s="11" t="n"/>
      <c r="R1371" s="12" t="n"/>
      <c r="S1371" s="11" t="n"/>
      <c r="T1371" s="12" t="n"/>
      <c r="U1371" s="12" t="n"/>
      <c r="V1371" s="14">
        <f>IF($AN1371="",IF($B1371="","",$H1371),IF(INDEX(職員マスタ!$B$6:$B$405,$AN1371)="",$H1371,INDEX(職員マスタ!$B$6:$B$405,$AN1371)))</f>
        <v/>
      </c>
      <c r="W1371" s="14">
        <f>IF($AN1371="",IF($B1371="","",$R1371),IF(INDEX(職員マスタ!$C$6:$C$405,$AN1371)="",$R1371,INDEX(職員マスタ!$C$6:$C$405,$AN1371)))</f>
        <v/>
      </c>
      <c r="X1371" s="14">
        <f>IF($AO1371="","","R"&amp;$C1371&amp;"."&amp;$D1371)</f>
        <v/>
      </c>
      <c r="Y1371" s="15">
        <f>IF($AN1371="","",IF(INDEX(職員マスタ!$K$6:$K$405,$AN1371)="","",INDEX(職員マスタ!$K$6:$K$405,$AN1371)))</f>
        <v/>
      </c>
      <c r="Z1371" s="14">
        <f>IF(OR($E1371="",$Y1371=""),"",IF($E1371&gt;=$Y1371,"×",IF($E1371&gt;=$Y1371*設定!$C$5,"△","○")))</f>
        <v/>
      </c>
      <c r="AA1371" s="15">
        <f>IF($Z1371="","",IF($Z1371="×",0,IF($Z1371="○",ROUNDDOWN($E1371*設定!$C$4,0),ROUNDDOWN($E1371*ROUND((9*$Y1371-9*$E1371)/(10*$E1371),4),0))))</f>
        <v/>
      </c>
      <c r="AB1371" s="13" t="n"/>
      <c r="AC1371" s="15">
        <f>IF($B1371="","",IF($AB1371&lt;&gt;"",$AB1371,IF($AA1371="","",IF($AA1371&lt;=設定!$C$3,0,$AA1371))))</f>
        <v/>
      </c>
      <c r="AD1371" s="14">
        <f>IF($B1371="","",IF(AND($AE1371&lt;&gt;"",$AG1371="",$AJ1371=""),"保留中",IF($AJ1371&lt;&gt;"",IF(N($AC1371)&gt;0,"支給済","不支給"),IF($AC1371="","要確認",IF($AC1371=0,"不支給","未処理")))))</f>
        <v/>
      </c>
      <c r="AE1371" s="12" t="n"/>
      <c r="AF1371" s="11" t="n"/>
      <c r="AG1371" s="11" t="n"/>
      <c r="AH1371" s="11" t="n"/>
      <c r="AI1371" s="14">
        <f>IF(AND($AD1371="保留中",$AF1371&lt;&gt;""),TODAY()-$AF1371,"")</f>
        <v/>
      </c>
      <c r="AJ1371" s="12" t="n"/>
      <c r="AK1371" s="14">
        <f>IF($B1371="","",IF($AO1371="","対象年月が未入力／","")&amp;IF($B1371="","",IF($AN1371="","職員マスタに未登録の職員番号／",IF($Y1371="","標準報酬月額が未登録／","")&amp;IF(AND($AO1371&lt;&gt;"",OR(AND(INDEX(職員マスタ!$G$6:$G$405,$AN1371)&lt;&gt;"",INDEX(職員マスタ!$G$6:$G$405,$AN1371)&gt;EOMONTH($AO1371,0)),AND(INDEX(職員マスタ!$H$6:$H$405,$AN1371)&lt;&gt;"",INDEX(職員マスタ!$H$6:$H$405,$AN1371)&lt;$AO1371))),"対象月が時短期間外／","")&amp;IF(AND(INDEX(職員マスタ!$F$6:$F$405,$AN1371)&lt;&gt;"",$AO1371&lt;&gt;"",INDEX(職員マスタ!$F$6:$F$405,$AN1371)&lt;$AO1371),"対象月に子が2歳到達済／","")&amp;IF(AND($H1371&lt;&gt;"",INDEX(職員マスタ!$B$6:$B$405,$AN1371)&lt;&gt;"",SUBSTITUTE(SUBSTITUTE($H1371," ","")," ","")&lt;&gt;SUBSTITUTE(SUBSTITUTE(INDEX(職員マスタ!$B$6:$B$405,$AN1371)," ","")," ","")),"氏名がマスタと相違／","")&amp;IF(AND($Q1371&lt;&gt;"",INDEX(職員マスタ!$E$6:$E$405,$AN1371)&lt;&gt;"",$Q1371&lt;&gt;INDEX(職員マスタ!$E$6:$E$405,$AN1371)),"子の生年月日がマスタと相違／","")&amp;IF(AND($L1371&lt;&gt;"",INDEX(職員マスタ!$G$6:$G$405,$AN1371)&lt;&gt;"",$L1371&lt;&gt;INDEX(職員マスタ!$G$6:$G$405,$AN1371)),"時短開始日がマスタと相違／","")&amp;IF(AND($M1371&lt;&gt;"",INDEX(職員マスタ!$H$6:$H$405,$AN1371)&lt;&gt;"",$M1371&lt;&gt;INDEX(職員マスタ!$H$6:$H$405,$AN1371)),"時短終了日がマスタと相違／","")))&amp;IF(AND($B1371&lt;&gt;"",$E1371=""),"報酬額が未入力／","")&amp;IF(N($U1371)&gt;0,"申請書に入力エラーが残っています／","")&amp;IF(AND($B1371&lt;&gt;"",$AO1371&lt;&gt;""),IF(COUNTIFS($B$6:$B$3005,$B1371,$C$6:$C$3005,$C1371,$D$6:$D$3005,$D1371)&gt;1,"同じ月の請求が重複しています／",""),"")&amp;IF(AND(N($E1371)&gt;0,$Z1371&lt;&gt;"",$Z1371&lt;&gt;"×",$AC1371=0,$AB1371=""),"計算額が下限以下のため不支給／",""))</f>
        <v/>
      </c>
      <c r="AL1371" s="12" t="n"/>
      <c r="AM1371" s="14">
        <f>IF($AD1371="保留中",COUNTIF($AD$6:$AD1371,"保留中"),"")</f>
        <v/>
      </c>
      <c r="AN1371" s="14">
        <f>IF($AO1371="","",IF(SUMPRODUCT(MAX((職員マスタ!$A$6:$A$405=$B1371)*(((職員マスタ!$G$6:$G$405="")+(職員マスタ!$G$6:$G$405&lt;=EOMONTH($AO1371,0)))&gt;0)*(((職員マスタ!$H$6:$H$405="")+(職員マスタ!$H$6:$H$405&gt;=$AO1371))&gt;0)*(ROW(職員マスタ!$A$6:$A$405)-5)))&gt;0,SUMPRODUCT(MAX((職員マスタ!$A$6:$A$405=$B1371)*(((職員マスタ!$G$6:$G$405="")+(職員マスタ!$G$6:$G$405&lt;=EOMONTH($AO1371,0)))&gt;0)*(((職員マスタ!$H$6:$H$405="")+(職員マスタ!$H$6:$H$405&gt;=$AO1371))&gt;0)*(ROW(職員マスタ!$A$6:$A$405)-5))),IFERROR(MATCH($B1371,職員マスタ!$A$6:$A$405,0),"")))</f>
        <v/>
      </c>
      <c r="AO1371" s="16">
        <f>IF(OR($B1371="",$C1371="",$D1371=""),"",DATE($C1371+2018,$D1371,1))</f>
        <v/>
      </c>
    </row>
    <row r="1372">
      <c r="A1372" s="11" t="n"/>
      <c r="B1372" s="12" t="n"/>
      <c r="C1372" s="12" t="n"/>
      <c r="D1372" s="12" t="n"/>
      <c r="E1372" s="13" t="n"/>
      <c r="F1372" s="12" t="n"/>
      <c r="G1372" s="13" t="n"/>
      <c r="H1372" s="12" t="n"/>
      <c r="I1372" s="12" t="n"/>
      <c r="J1372" s="12" t="n"/>
      <c r="K1372" s="12" t="n"/>
      <c r="L1372" s="11" t="n"/>
      <c r="M1372" s="11" t="n"/>
      <c r="N1372" s="11" t="n"/>
      <c r="O1372" s="11" t="n"/>
      <c r="P1372" s="12" t="n"/>
      <c r="Q1372" s="11" t="n"/>
      <c r="R1372" s="12" t="n"/>
      <c r="S1372" s="11" t="n"/>
      <c r="T1372" s="12" t="n"/>
      <c r="U1372" s="12" t="n"/>
      <c r="V1372" s="14">
        <f>IF($AN1372="",IF($B1372="","",$H1372),IF(INDEX(職員マスタ!$B$6:$B$405,$AN1372)="",$H1372,INDEX(職員マスタ!$B$6:$B$405,$AN1372)))</f>
        <v/>
      </c>
      <c r="W1372" s="14">
        <f>IF($AN1372="",IF($B1372="","",$R1372),IF(INDEX(職員マスタ!$C$6:$C$405,$AN1372)="",$R1372,INDEX(職員マスタ!$C$6:$C$405,$AN1372)))</f>
        <v/>
      </c>
      <c r="X1372" s="14">
        <f>IF($AO1372="","","R"&amp;$C1372&amp;"."&amp;$D1372)</f>
        <v/>
      </c>
      <c r="Y1372" s="15">
        <f>IF($AN1372="","",IF(INDEX(職員マスタ!$K$6:$K$405,$AN1372)="","",INDEX(職員マスタ!$K$6:$K$405,$AN1372)))</f>
        <v/>
      </c>
      <c r="Z1372" s="14">
        <f>IF(OR($E1372="",$Y1372=""),"",IF($E1372&gt;=$Y1372,"×",IF($E1372&gt;=$Y1372*設定!$C$5,"△","○")))</f>
        <v/>
      </c>
      <c r="AA1372" s="15">
        <f>IF($Z1372="","",IF($Z1372="×",0,IF($Z1372="○",ROUNDDOWN($E1372*設定!$C$4,0),ROUNDDOWN($E1372*ROUND((9*$Y1372-9*$E1372)/(10*$E1372),4),0))))</f>
        <v/>
      </c>
      <c r="AB1372" s="13" t="n"/>
      <c r="AC1372" s="15">
        <f>IF($B1372="","",IF($AB1372&lt;&gt;"",$AB1372,IF($AA1372="","",IF($AA1372&lt;=設定!$C$3,0,$AA1372))))</f>
        <v/>
      </c>
      <c r="AD1372" s="14">
        <f>IF($B1372="","",IF(AND($AE1372&lt;&gt;"",$AG1372="",$AJ1372=""),"保留中",IF($AJ1372&lt;&gt;"",IF(N($AC1372)&gt;0,"支給済","不支給"),IF($AC1372="","要確認",IF($AC1372=0,"不支給","未処理")))))</f>
        <v/>
      </c>
      <c r="AE1372" s="12" t="n"/>
      <c r="AF1372" s="11" t="n"/>
      <c r="AG1372" s="11" t="n"/>
      <c r="AH1372" s="11" t="n"/>
      <c r="AI1372" s="14">
        <f>IF(AND($AD1372="保留中",$AF1372&lt;&gt;""),TODAY()-$AF1372,"")</f>
        <v/>
      </c>
      <c r="AJ1372" s="12" t="n"/>
      <c r="AK1372" s="14">
        <f>IF($B1372="","",IF($AO1372="","対象年月が未入力／","")&amp;IF($B1372="","",IF($AN1372="","職員マスタに未登録の職員番号／",IF($Y1372="","標準報酬月額が未登録／","")&amp;IF(AND($AO1372&lt;&gt;"",OR(AND(INDEX(職員マスタ!$G$6:$G$405,$AN1372)&lt;&gt;"",INDEX(職員マスタ!$G$6:$G$405,$AN1372)&gt;EOMONTH($AO1372,0)),AND(INDEX(職員マスタ!$H$6:$H$405,$AN1372)&lt;&gt;"",INDEX(職員マスタ!$H$6:$H$405,$AN1372)&lt;$AO1372))),"対象月が時短期間外／","")&amp;IF(AND(INDEX(職員マスタ!$F$6:$F$405,$AN1372)&lt;&gt;"",$AO1372&lt;&gt;"",INDEX(職員マスタ!$F$6:$F$405,$AN1372)&lt;$AO1372),"対象月に子が2歳到達済／","")&amp;IF(AND($H1372&lt;&gt;"",INDEX(職員マスタ!$B$6:$B$405,$AN1372)&lt;&gt;"",SUBSTITUTE(SUBSTITUTE($H1372," ","")," ","")&lt;&gt;SUBSTITUTE(SUBSTITUTE(INDEX(職員マスタ!$B$6:$B$405,$AN1372)," ","")," ","")),"氏名がマスタと相違／","")&amp;IF(AND($Q1372&lt;&gt;"",INDEX(職員マスタ!$E$6:$E$405,$AN1372)&lt;&gt;"",$Q1372&lt;&gt;INDEX(職員マスタ!$E$6:$E$405,$AN1372)),"子の生年月日がマスタと相違／","")&amp;IF(AND($L1372&lt;&gt;"",INDEX(職員マスタ!$G$6:$G$405,$AN1372)&lt;&gt;"",$L1372&lt;&gt;INDEX(職員マスタ!$G$6:$G$405,$AN1372)),"時短開始日がマスタと相違／","")&amp;IF(AND($M1372&lt;&gt;"",INDEX(職員マスタ!$H$6:$H$405,$AN1372)&lt;&gt;"",$M1372&lt;&gt;INDEX(職員マスタ!$H$6:$H$405,$AN1372)),"時短終了日がマスタと相違／","")))&amp;IF(AND($B1372&lt;&gt;"",$E1372=""),"報酬額が未入力／","")&amp;IF(N($U1372)&gt;0,"申請書に入力エラーが残っています／","")&amp;IF(AND($B1372&lt;&gt;"",$AO1372&lt;&gt;""),IF(COUNTIFS($B$6:$B$3005,$B1372,$C$6:$C$3005,$C1372,$D$6:$D$3005,$D1372)&gt;1,"同じ月の請求が重複しています／",""),"")&amp;IF(AND(N($E1372)&gt;0,$Z1372&lt;&gt;"",$Z1372&lt;&gt;"×",$AC1372=0,$AB1372=""),"計算額が下限以下のため不支給／",""))</f>
        <v/>
      </c>
      <c r="AL1372" s="12" t="n"/>
      <c r="AM1372" s="14">
        <f>IF($AD1372="保留中",COUNTIF($AD$6:$AD1372,"保留中"),"")</f>
        <v/>
      </c>
      <c r="AN1372" s="14">
        <f>IF($AO1372="","",IF(SUMPRODUCT(MAX((職員マスタ!$A$6:$A$405=$B1372)*(((職員マスタ!$G$6:$G$405="")+(職員マスタ!$G$6:$G$405&lt;=EOMONTH($AO1372,0)))&gt;0)*(((職員マスタ!$H$6:$H$405="")+(職員マスタ!$H$6:$H$405&gt;=$AO1372))&gt;0)*(ROW(職員マスタ!$A$6:$A$405)-5)))&gt;0,SUMPRODUCT(MAX((職員マスタ!$A$6:$A$405=$B1372)*(((職員マスタ!$G$6:$G$405="")+(職員マスタ!$G$6:$G$405&lt;=EOMONTH($AO1372,0)))&gt;0)*(((職員マスタ!$H$6:$H$405="")+(職員マスタ!$H$6:$H$405&gt;=$AO1372))&gt;0)*(ROW(職員マスタ!$A$6:$A$405)-5))),IFERROR(MATCH($B1372,職員マスタ!$A$6:$A$405,0),"")))</f>
        <v/>
      </c>
      <c r="AO1372" s="16">
        <f>IF(OR($B1372="",$C1372="",$D1372=""),"",DATE($C1372+2018,$D1372,1))</f>
        <v/>
      </c>
    </row>
    <row r="1373">
      <c r="A1373" s="11" t="n"/>
      <c r="B1373" s="12" t="n"/>
      <c r="C1373" s="12" t="n"/>
      <c r="D1373" s="12" t="n"/>
      <c r="E1373" s="13" t="n"/>
      <c r="F1373" s="12" t="n"/>
      <c r="G1373" s="13" t="n"/>
      <c r="H1373" s="12" t="n"/>
      <c r="I1373" s="12" t="n"/>
      <c r="J1373" s="12" t="n"/>
      <c r="K1373" s="12" t="n"/>
      <c r="L1373" s="11" t="n"/>
      <c r="M1373" s="11" t="n"/>
      <c r="N1373" s="11" t="n"/>
      <c r="O1373" s="11" t="n"/>
      <c r="P1373" s="12" t="n"/>
      <c r="Q1373" s="11" t="n"/>
      <c r="R1373" s="12" t="n"/>
      <c r="S1373" s="11" t="n"/>
      <c r="T1373" s="12" t="n"/>
      <c r="U1373" s="12" t="n"/>
      <c r="V1373" s="14">
        <f>IF($AN1373="",IF($B1373="","",$H1373),IF(INDEX(職員マスタ!$B$6:$B$405,$AN1373)="",$H1373,INDEX(職員マスタ!$B$6:$B$405,$AN1373)))</f>
        <v/>
      </c>
      <c r="W1373" s="14">
        <f>IF($AN1373="",IF($B1373="","",$R1373),IF(INDEX(職員マスタ!$C$6:$C$405,$AN1373)="",$R1373,INDEX(職員マスタ!$C$6:$C$405,$AN1373)))</f>
        <v/>
      </c>
      <c r="X1373" s="14">
        <f>IF($AO1373="","","R"&amp;$C1373&amp;"."&amp;$D1373)</f>
        <v/>
      </c>
      <c r="Y1373" s="15">
        <f>IF($AN1373="","",IF(INDEX(職員マスタ!$K$6:$K$405,$AN1373)="","",INDEX(職員マスタ!$K$6:$K$405,$AN1373)))</f>
        <v/>
      </c>
      <c r="Z1373" s="14">
        <f>IF(OR($E1373="",$Y1373=""),"",IF($E1373&gt;=$Y1373,"×",IF($E1373&gt;=$Y1373*設定!$C$5,"△","○")))</f>
        <v/>
      </c>
      <c r="AA1373" s="15">
        <f>IF($Z1373="","",IF($Z1373="×",0,IF($Z1373="○",ROUNDDOWN($E1373*設定!$C$4,0),ROUNDDOWN($E1373*ROUND((9*$Y1373-9*$E1373)/(10*$E1373),4),0))))</f>
        <v/>
      </c>
      <c r="AB1373" s="13" t="n"/>
      <c r="AC1373" s="15">
        <f>IF($B1373="","",IF($AB1373&lt;&gt;"",$AB1373,IF($AA1373="","",IF($AA1373&lt;=設定!$C$3,0,$AA1373))))</f>
        <v/>
      </c>
      <c r="AD1373" s="14">
        <f>IF($B1373="","",IF(AND($AE1373&lt;&gt;"",$AG1373="",$AJ1373=""),"保留中",IF($AJ1373&lt;&gt;"",IF(N($AC1373)&gt;0,"支給済","不支給"),IF($AC1373="","要確認",IF($AC1373=0,"不支給","未処理")))))</f>
        <v/>
      </c>
      <c r="AE1373" s="12" t="n"/>
      <c r="AF1373" s="11" t="n"/>
      <c r="AG1373" s="11" t="n"/>
      <c r="AH1373" s="11" t="n"/>
      <c r="AI1373" s="14">
        <f>IF(AND($AD1373="保留中",$AF1373&lt;&gt;""),TODAY()-$AF1373,"")</f>
        <v/>
      </c>
      <c r="AJ1373" s="12" t="n"/>
      <c r="AK1373" s="14">
        <f>IF($B1373="","",IF($AO1373="","対象年月が未入力／","")&amp;IF($B1373="","",IF($AN1373="","職員マスタに未登録の職員番号／",IF($Y1373="","標準報酬月額が未登録／","")&amp;IF(AND($AO1373&lt;&gt;"",OR(AND(INDEX(職員マスタ!$G$6:$G$405,$AN1373)&lt;&gt;"",INDEX(職員マスタ!$G$6:$G$405,$AN1373)&gt;EOMONTH($AO1373,0)),AND(INDEX(職員マスタ!$H$6:$H$405,$AN1373)&lt;&gt;"",INDEX(職員マスタ!$H$6:$H$405,$AN1373)&lt;$AO1373))),"対象月が時短期間外／","")&amp;IF(AND(INDEX(職員マスタ!$F$6:$F$405,$AN1373)&lt;&gt;"",$AO1373&lt;&gt;"",INDEX(職員マスタ!$F$6:$F$405,$AN1373)&lt;$AO1373),"対象月に子が2歳到達済／","")&amp;IF(AND($H1373&lt;&gt;"",INDEX(職員マスタ!$B$6:$B$405,$AN1373)&lt;&gt;"",SUBSTITUTE(SUBSTITUTE($H1373," ","")," ","")&lt;&gt;SUBSTITUTE(SUBSTITUTE(INDEX(職員マスタ!$B$6:$B$405,$AN1373)," ","")," ","")),"氏名がマスタと相違／","")&amp;IF(AND($Q1373&lt;&gt;"",INDEX(職員マスタ!$E$6:$E$405,$AN1373)&lt;&gt;"",$Q1373&lt;&gt;INDEX(職員マスタ!$E$6:$E$405,$AN1373)),"子の生年月日がマスタと相違／","")&amp;IF(AND($L1373&lt;&gt;"",INDEX(職員マスタ!$G$6:$G$405,$AN1373)&lt;&gt;"",$L1373&lt;&gt;INDEX(職員マスタ!$G$6:$G$405,$AN1373)),"時短開始日がマスタと相違／","")&amp;IF(AND($M1373&lt;&gt;"",INDEX(職員マスタ!$H$6:$H$405,$AN1373)&lt;&gt;"",$M1373&lt;&gt;INDEX(職員マスタ!$H$6:$H$405,$AN1373)),"時短終了日がマスタと相違／","")))&amp;IF(AND($B1373&lt;&gt;"",$E1373=""),"報酬額が未入力／","")&amp;IF(N($U1373)&gt;0,"申請書に入力エラーが残っています／","")&amp;IF(AND($B1373&lt;&gt;"",$AO1373&lt;&gt;""),IF(COUNTIFS($B$6:$B$3005,$B1373,$C$6:$C$3005,$C1373,$D$6:$D$3005,$D1373)&gt;1,"同じ月の請求が重複しています／",""),"")&amp;IF(AND(N($E1373)&gt;0,$Z1373&lt;&gt;"",$Z1373&lt;&gt;"×",$AC1373=0,$AB1373=""),"計算額が下限以下のため不支給／",""))</f>
        <v/>
      </c>
      <c r="AL1373" s="12" t="n"/>
      <c r="AM1373" s="14">
        <f>IF($AD1373="保留中",COUNTIF($AD$6:$AD1373,"保留中"),"")</f>
        <v/>
      </c>
      <c r="AN1373" s="14">
        <f>IF($AO1373="","",IF(SUMPRODUCT(MAX((職員マスタ!$A$6:$A$405=$B1373)*(((職員マスタ!$G$6:$G$405="")+(職員マスタ!$G$6:$G$405&lt;=EOMONTH($AO1373,0)))&gt;0)*(((職員マスタ!$H$6:$H$405="")+(職員マスタ!$H$6:$H$405&gt;=$AO1373))&gt;0)*(ROW(職員マスタ!$A$6:$A$405)-5)))&gt;0,SUMPRODUCT(MAX((職員マスタ!$A$6:$A$405=$B1373)*(((職員マスタ!$G$6:$G$405="")+(職員マスタ!$G$6:$G$405&lt;=EOMONTH($AO1373,0)))&gt;0)*(((職員マスタ!$H$6:$H$405="")+(職員マスタ!$H$6:$H$405&gt;=$AO1373))&gt;0)*(ROW(職員マスタ!$A$6:$A$405)-5))),IFERROR(MATCH($B1373,職員マスタ!$A$6:$A$405,0),"")))</f>
        <v/>
      </c>
      <c r="AO1373" s="16">
        <f>IF(OR($B1373="",$C1373="",$D1373=""),"",DATE($C1373+2018,$D1373,1))</f>
        <v/>
      </c>
    </row>
    <row r="1374">
      <c r="A1374" s="11" t="n"/>
      <c r="B1374" s="12" t="n"/>
      <c r="C1374" s="12" t="n"/>
      <c r="D1374" s="12" t="n"/>
      <c r="E1374" s="13" t="n"/>
      <c r="F1374" s="12" t="n"/>
      <c r="G1374" s="13" t="n"/>
      <c r="H1374" s="12" t="n"/>
      <c r="I1374" s="12" t="n"/>
      <c r="J1374" s="12" t="n"/>
      <c r="K1374" s="12" t="n"/>
      <c r="L1374" s="11" t="n"/>
      <c r="M1374" s="11" t="n"/>
      <c r="N1374" s="11" t="n"/>
      <c r="O1374" s="11" t="n"/>
      <c r="P1374" s="12" t="n"/>
      <c r="Q1374" s="11" t="n"/>
      <c r="R1374" s="12" t="n"/>
      <c r="S1374" s="11" t="n"/>
      <c r="T1374" s="12" t="n"/>
      <c r="U1374" s="12" t="n"/>
      <c r="V1374" s="14">
        <f>IF($AN1374="",IF($B1374="","",$H1374),IF(INDEX(職員マスタ!$B$6:$B$405,$AN1374)="",$H1374,INDEX(職員マスタ!$B$6:$B$405,$AN1374)))</f>
        <v/>
      </c>
      <c r="W1374" s="14">
        <f>IF($AN1374="",IF($B1374="","",$R1374),IF(INDEX(職員マスタ!$C$6:$C$405,$AN1374)="",$R1374,INDEX(職員マスタ!$C$6:$C$405,$AN1374)))</f>
        <v/>
      </c>
      <c r="X1374" s="14">
        <f>IF($AO1374="","","R"&amp;$C1374&amp;"."&amp;$D1374)</f>
        <v/>
      </c>
      <c r="Y1374" s="15">
        <f>IF($AN1374="","",IF(INDEX(職員マスタ!$K$6:$K$405,$AN1374)="","",INDEX(職員マスタ!$K$6:$K$405,$AN1374)))</f>
        <v/>
      </c>
      <c r="Z1374" s="14">
        <f>IF(OR($E1374="",$Y1374=""),"",IF($E1374&gt;=$Y1374,"×",IF($E1374&gt;=$Y1374*設定!$C$5,"△","○")))</f>
        <v/>
      </c>
      <c r="AA1374" s="15">
        <f>IF($Z1374="","",IF($Z1374="×",0,IF($Z1374="○",ROUNDDOWN($E1374*設定!$C$4,0),ROUNDDOWN($E1374*ROUND((9*$Y1374-9*$E1374)/(10*$E1374),4),0))))</f>
        <v/>
      </c>
      <c r="AB1374" s="13" t="n"/>
      <c r="AC1374" s="15">
        <f>IF($B1374="","",IF($AB1374&lt;&gt;"",$AB1374,IF($AA1374="","",IF($AA1374&lt;=設定!$C$3,0,$AA1374))))</f>
        <v/>
      </c>
      <c r="AD1374" s="14">
        <f>IF($B1374="","",IF(AND($AE1374&lt;&gt;"",$AG1374="",$AJ1374=""),"保留中",IF($AJ1374&lt;&gt;"",IF(N($AC1374)&gt;0,"支給済","不支給"),IF($AC1374="","要確認",IF($AC1374=0,"不支給","未処理")))))</f>
        <v/>
      </c>
      <c r="AE1374" s="12" t="n"/>
      <c r="AF1374" s="11" t="n"/>
      <c r="AG1374" s="11" t="n"/>
      <c r="AH1374" s="11" t="n"/>
      <c r="AI1374" s="14">
        <f>IF(AND($AD1374="保留中",$AF1374&lt;&gt;""),TODAY()-$AF1374,"")</f>
        <v/>
      </c>
      <c r="AJ1374" s="12" t="n"/>
      <c r="AK1374" s="14">
        <f>IF($B1374="","",IF($AO1374="","対象年月が未入力／","")&amp;IF($B1374="","",IF($AN1374="","職員マスタに未登録の職員番号／",IF($Y1374="","標準報酬月額が未登録／","")&amp;IF(AND($AO1374&lt;&gt;"",OR(AND(INDEX(職員マスタ!$G$6:$G$405,$AN1374)&lt;&gt;"",INDEX(職員マスタ!$G$6:$G$405,$AN1374)&gt;EOMONTH($AO1374,0)),AND(INDEX(職員マスタ!$H$6:$H$405,$AN1374)&lt;&gt;"",INDEX(職員マスタ!$H$6:$H$405,$AN1374)&lt;$AO1374))),"対象月が時短期間外／","")&amp;IF(AND(INDEX(職員マスタ!$F$6:$F$405,$AN1374)&lt;&gt;"",$AO1374&lt;&gt;"",INDEX(職員マスタ!$F$6:$F$405,$AN1374)&lt;$AO1374),"対象月に子が2歳到達済／","")&amp;IF(AND($H1374&lt;&gt;"",INDEX(職員マスタ!$B$6:$B$405,$AN1374)&lt;&gt;"",SUBSTITUTE(SUBSTITUTE($H1374," ","")," ","")&lt;&gt;SUBSTITUTE(SUBSTITUTE(INDEX(職員マスタ!$B$6:$B$405,$AN1374)," ","")," ","")),"氏名がマスタと相違／","")&amp;IF(AND($Q1374&lt;&gt;"",INDEX(職員マスタ!$E$6:$E$405,$AN1374)&lt;&gt;"",$Q1374&lt;&gt;INDEX(職員マスタ!$E$6:$E$405,$AN1374)),"子の生年月日がマスタと相違／","")&amp;IF(AND($L1374&lt;&gt;"",INDEX(職員マスタ!$G$6:$G$405,$AN1374)&lt;&gt;"",$L1374&lt;&gt;INDEX(職員マスタ!$G$6:$G$405,$AN1374)),"時短開始日がマスタと相違／","")&amp;IF(AND($M1374&lt;&gt;"",INDEX(職員マスタ!$H$6:$H$405,$AN1374)&lt;&gt;"",$M1374&lt;&gt;INDEX(職員マスタ!$H$6:$H$405,$AN1374)),"時短終了日がマスタと相違／","")))&amp;IF(AND($B1374&lt;&gt;"",$E1374=""),"報酬額が未入力／","")&amp;IF(N($U1374)&gt;0,"申請書に入力エラーが残っています／","")&amp;IF(AND($B1374&lt;&gt;"",$AO1374&lt;&gt;""),IF(COUNTIFS($B$6:$B$3005,$B1374,$C$6:$C$3005,$C1374,$D$6:$D$3005,$D1374)&gt;1,"同じ月の請求が重複しています／",""),"")&amp;IF(AND(N($E1374)&gt;0,$Z1374&lt;&gt;"",$Z1374&lt;&gt;"×",$AC1374=0,$AB1374=""),"計算額が下限以下のため不支給／",""))</f>
        <v/>
      </c>
      <c r="AL1374" s="12" t="n"/>
      <c r="AM1374" s="14">
        <f>IF($AD1374="保留中",COUNTIF($AD$6:$AD1374,"保留中"),"")</f>
        <v/>
      </c>
      <c r="AN1374" s="14">
        <f>IF($AO1374="","",IF(SUMPRODUCT(MAX((職員マスタ!$A$6:$A$405=$B1374)*(((職員マスタ!$G$6:$G$405="")+(職員マスタ!$G$6:$G$405&lt;=EOMONTH($AO1374,0)))&gt;0)*(((職員マスタ!$H$6:$H$405="")+(職員マスタ!$H$6:$H$405&gt;=$AO1374))&gt;0)*(ROW(職員マスタ!$A$6:$A$405)-5)))&gt;0,SUMPRODUCT(MAX((職員マスタ!$A$6:$A$405=$B1374)*(((職員マスタ!$G$6:$G$405="")+(職員マスタ!$G$6:$G$405&lt;=EOMONTH($AO1374,0)))&gt;0)*(((職員マスタ!$H$6:$H$405="")+(職員マスタ!$H$6:$H$405&gt;=$AO1374))&gt;0)*(ROW(職員マスタ!$A$6:$A$405)-5))),IFERROR(MATCH($B1374,職員マスタ!$A$6:$A$405,0),"")))</f>
        <v/>
      </c>
      <c r="AO1374" s="16">
        <f>IF(OR($B1374="",$C1374="",$D1374=""),"",DATE($C1374+2018,$D1374,1))</f>
        <v/>
      </c>
    </row>
    <row r="1375">
      <c r="A1375" s="11" t="n"/>
      <c r="B1375" s="12" t="n"/>
      <c r="C1375" s="12" t="n"/>
      <c r="D1375" s="12" t="n"/>
      <c r="E1375" s="13" t="n"/>
      <c r="F1375" s="12" t="n"/>
      <c r="G1375" s="13" t="n"/>
      <c r="H1375" s="12" t="n"/>
      <c r="I1375" s="12" t="n"/>
      <c r="J1375" s="12" t="n"/>
      <c r="K1375" s="12" t="n"/>
      <c r="L1375" s="11" t="n"/>
      <c r="M1375" s="11" t="n"/>
      <c r="N1375" s="11" t="n"/>
      <c r="O1375" s="11" t="n"/>
      <c r="P1375" s="12" t="n"/>
      <c r="Q1375" s="11" t="n"/>
      <c r="R1375" s="12" t="n"/>
      <c r="S1375" s="11" t="n"/>
      <c r="T1375" s="12" t="n"/>
      <c r="U1375" s="12" t="n"/>
      <c r="V1375" s="14">
        <f>IF($AN1375="",IF($B1375="","",$H1375),IF(INDEX(職員マスタ!$B$6:$B$405,$AN1375)="",$H1375,INDEX(職員マスタ!$B$6:$B$405,$AN1375)))</f>
        <v/>
      </c>
      <c r="W1375" s="14">
        <f>IF($AN1375="",IF($B1375="","",$R1375),IF(INDEX(職員マスタ!$C$6:$C$405,$AN1375)="",$R1375,INDEX(職員マスタ!$C$6:$C$405,$AN1375)))</f>
        <v/>
      </c>
      <c r="X1375" s="14">
        <f>IF($AO1375="","","R"&amp;$C1375&amp;"."&amp;$D1375)</f>
        <v/>
      </c>
      <c r="Y1375" s="15">
        <f>IF($AN1375="","",IF(INDEX(職員マスタ!$K$6:$K$405,$AN1375)="","",INDEX(職員マスタ!$K$6:$K$405,$AN1375)))</f>
        <v/>
      </c>
      <c r="Z1375" s="14">
        <f>IF(OR($E1375="",$Y1375=""),"",IF($E1375&gt;=$Y1375,"×",IF($E1375&gt;=$Y1375*設定!$C$5,"△","○")))</f>
        <v/>
      </c>
      <c r="AA1375" s="15">
        <f>IF($Z1375="","",IF($Z1375="×",0,IF($Z1375="○",ROUNDDOWN($E1375*設定!$C$4,0),ROUNDDOWN($E1375*ROUND((9*$Y1375-9*$E1375)/(10*$E1375),4),0))))</f>
        <v/>
      </c>
      <c r="AB1375" s="13" t="n"/>
      <c r="AC1375" s="15">
        <f>IF($B1375="","",IF($AB1375&lt;&gt;"",$AB1375,IF($AA1375="","",IF($AA1375&lt;=設定!$C$3,0,$AA1375))))</f>
        <v/>
      </c>
      <c r="AD1375" s="14">
        <f>IF($B1375="","",IF(AND($AE1375&lt;&gt;"",$AG1375="",$AJ1375=""),"保留中",IF($AJ1375&lt;&gt;"",IF(N($AC1375)&gt;0,"支給済","不支給"),IF($AC1375="","要確認",IF($AC1375=0,"不支給","未処理")))))</f>
        <v/>
      </c>
      <c r="AE1375" s="12" t="n"/>
      <c r="AF1375" s="11" t="n"/>
      <c r="AG1375" s="11" t="n"/>
      <c r="AH1375" s="11" t="n"/>
      <c r="AI1375" s="14">
        <f>IF(AND($AD1375="保留中",$AF1375&lt;&gt;""),TODAY()-$AF1375,"")</f>
        <v/>
      </c>
      <c r="AJ1375" s="12" t="n"/>
      <c r="AK1375" s="14">
        <f>IF($B1375="","",IF($AO1375="","対象年月が未入力／","")&amp;IF($B1375="","",IF($AN1375="","職員マスタに未登録の職員番号／",IF($Y1375="","標準報酬月額が未登録／","")&amp;IF(AND($AO1375&lt;&gt;"",OR(AND(INDEX(職員マスタ!$G$6:$G$405,$AN1375)&lt;&gt;"",INDEX(職員マスタ!$G$6:$G$405,$AN1375)&gt;EOMONTH($AO1375,0)),AND(INDEX(職員マスタ!$H$6:$H$405,$AN1375)&lt;&gt;"",INDEX(職員マスタ!$H$6:$H$405,$AN1375)&lt;$AO1375))),"対象月が時短期間外／","")&amp;IF(AND(INDEX(職員マスタ!$F$6:$F$405,$AN1375)&lt;&gt;"",$AO1375&lt;&gt;"",INDEX(職員マスタ!$F$6:$F$405,$AN1375)&lt;$AO1375),"対象月に子が2歳到達済／","")&amp;IF(AND($H1375&lt;&gt;"",INDEX(職員マスタ!$B$6:$B$405,$AN1375)&lt;&gt;"",SUBSTITUTE(SUBSTITUTE($H1375," ","")," ","")&lt;&gt;SUBSTITUTE(SUBSTITUTE(INDEX(職員マスタ!$B$6:$B$405,$AN1375)," ","")," ","")),"氏名がマスタと相違／","")&amp;IF(AND($Q1375&lt;&gt;"",INDEX(職員マスタ!$E$6:$E$405,$AN1375)&lt;&gt;"",$Q1375&lt;&gt;INDEX(職員マスタ!$E$6:$E$405,$AN1375)),"子の生年月日がマスタと相違／","")&amp;IF(AND($L1375&lt;&gt;"",INDEX(職員マスタ!$G$6:$G$405,$AN1375)&lt;&gt;"",$L1375&lt;&gt;INDEX(職員マスタ!$G$6:$G$405,$AN1375)),"時短開始日がマスタと相違／","")&amp;IF(AND($M1375&lt;&gt;"",INDEX(職員マスタ!$H$6:$H$405,$AN1375)&lt;&gt;"",$M1375&lt;&gt;INDEX(職員マスタ!$H$6:$H$405,$AN1375)),"時短終了日がマスタと相違／","")))&amp;IF(AND($B1375&lt;&gt;"",$E1375=""),"報酬額が未入力／","")&amp;IF(N($U1375)&gt;0,"申請書に入力エラーが残っています／","")&amp;IF(AND($B1375&lt;&gt;"",$AO1375&lt;&gt;""),IF(COUNTIFS($B$6:$B$3005,$B1375,$C$6:$C$3005,$C1375,$D$6:$D$3005,$D1375)&gt;1,"同じ月の請求が重複しています／",""),"")&amp;IF(AND(N($E1375)&gt;0,$Z1375&lt;&gt;"",$Z1375&lt;&gt;"×",$AC1375=0,$AB1375=""),"計算額が下限以下のため不支給／",""))</f>
        <v/>
      </c>
      <c r="AL1375" s="12" t="n"/>
      <c r="AM1375" s="14">
        <f>IF($AD1375="保留中",COUNTIF($AD$6:$AD1375,"保留中"),"")</f>
        <v/>
      </c>
      <c r="AN1375" s="14">
        <f>IF($AO1375="","",IF(SUMPRODUCT(MAX((職員マスタ!$A$6:$A$405=$B1375)*(((職員マスタ!$G$6:$G$405="")+(職員マスタ!$G$6:$G$405&lt;=EOMONTH($AO1375,0)))&gt;0)*(((職員マスタ!$H$6:$H$405="")+(職員マスタ!$H$6:$H$405&gt;=$AO1375))&gt;0)*(ROW(職員マスタ!$A$6:$A$405)-5)))&gt;0,SUMPRODUCT(MAX((職員マスタ!$A$6:$A$405=$B1375)*(((職員マスタ!$G$6:$G$405="")+(職員マスタ!$G$6:$G$405&lt;=EOMONTH($AO1375,0)))&gt;0)*(((職員マスタ!$H$6:$H$405="")+(職員マスタ!$H$6:$H$405&gt;=$AO1375))&gt;0)*(ROW(職員マスタ!$A$6:$A$405)-5))),IFERROR(MATCH($B1375,職員マスタ!$A$6:$A$405,0),"")))</f>
        <v/>
      </c>
      <c r="AO1375" s="16">
        <f>IF(OR($B1375="",$C1375="",$D1375=""),"",DATE($C1375+2018,$D1375,1))</f>
        <v/>
      </c>
    </row>
    <row r="1376">
      <c r="A1376" s="11" t="n"/>
      <c r="B1376" s="12" t="n"/>
      <c r="C1376" s="12" t="n"/>
      <c r="D1376" s="12" t="n"/>
      <c r="E1376" s="13" t="n"/>
      <c r="F1376" s="12" t="n"/>
      <c r="G1376" s="13" t="n"/>
      <c r="H1376" s="12" t="n"/>
      <c r="I1376" s="12" t="n"/>
      <c r="J1376" s="12" t="n"/>
      <c r="K1376" s="12" t="n"/>
      <c r="L1376" s="11" t="n"/>
      <c r="M1376" s="11" t="n"/>
      <c r="N1376" s="11" t="n"/>
      <c r="O1376" s="11" t="n"/>
      <c r="P1376" s="12" t="n"/>
      <c r="Q1376" s="11" t="n"/>
      <c r="R1376" s="12" t="n"/>
      <c r="S1376" s="11" t="n"/>
      <c r="T1376" s="12" t="n"/>
      <c r="U1376" s="12" t="n"/>
      <c r="V1376" s="14">
        <f>IF($AN1376="",IF($B1376="","",$H1376),IF(INDEX(職員マスタ!$B$6:$B$405,$AN1376)="",$H1376,INDEX(職員マスタ!$B$6:$B$405,$AN1376)))</f>
        <v/>
      </c>
      <c r="W1376" s="14">
        <f>IF($AN1376="",IF($B1376="","",$R1376),IF(INDEX(職員マスタ!$C$6:$C$405,$AN1376)="",$R1376,INDEX(職員マスタ!$C$6:$C$405,$AN1376)))</f>
        <v/>
      </c>
      <c r="X1376" s="14">
        <f>IF($AO1376="","","R"&amp;$C1376&amp;"."&amp;$D1376)</f>
        <v/>
      </c>
      <c r="Y1376" s="15">
        <f>IF($AN1376="","",IF(INDEX(職員マスタ!$K$6:$K$405,$AN1376)="","",INDEX(職員マスタ!$K$6:$K$405,$AN1376)))</f>
        <v/>
      </c>
      <c r="Z1376" s="14">
        <f>IF(OR($E1376="",$Y1376=""),"",IF($E1376&gt;=$Y1376,"×",IF($E1376&gt;=$Y1376*設定!$C$5,"△","○")))</f>
        <v/>
      </c>
      <c r="AA1376" s="15">
        <f>IF($Z1376="","",IF($Z1376="×",0,IF($Z1376="○",ROUNDDOWN($E1376*設定!$C$4,0),ROUNDDOWN($E1376*ROUND((9*$Y1376-9*$E1376)/(10*$E1376),4),0))))</f>
        <v/>
      </c>
      <c r="AB1376" s="13" t="n"/>
      <c r="AC1376" s="15">
        <f>IF($B1376="","",IF($AB1376&lt;&gt;"",$AB1376,IF($AA1376="","",IF($AA1376&lt;=設定!$C$3,0,$AA1376))))</f>
        <v/>
      </c>
      <c r="AD1376" s="14">
        <f>IF($B1376="","",IF(AND($AE1376&lt;&gt;"",$AG1376="",$AJ1376=""),"保留中",IF($AJ1376&lt;&gt;"",IF(N($AC1376)&gt;0,"支給済","不支給"),IF($AC1376="","要確認",IF($AC1376=0,"不支給","未処理")))))</f>
        <v/>
      </c>
      <c r="AE1376" s="12" t="n"/>
      <c r="AF1376" s="11" t="n"/>
      <c r="AG1376" s="11" t="n"/>
      <c r="AH1376" s="11" t="n"/>
      <c r="AI1376" s="14">
        <f>IF(AND($AD1376="保留中",$AF1376&lt;&gt;""),TODAY()-$AF1376,"")</f>
        <v/>
      </c>
      <c r="AJ1376" s="12" t="n"/>
      <c r="AK1376" s="14">
        <f>IF($B1376="","",IF($AO1376="","対象年月が未入力／","")&amp;IF($B1376="","",IF($AN1376="","職員マスタに未登録の職員番号／",IF($Y1376="","標準報酬月額が未登録／","")&amp;IF(AND($AO1376&lt;&gt;"",OR(AND(INDEX(職員マスタ!$G$6:$G$405,$AN1376)&lt;&gt;"",INDEX(職員マスタ!$G$6:$G$405,$AN1376)&gt;EOMONTH($AO1376,0)),AND(INDEX(職員マスタ!$H$6:$H$405,$AN1376)&lt;&gt;"",INDEX(職員マスタ!$H$6:$H$405,$AN1376)&lt;$AO1376))),"対象月が時短期間外／","")&amp;IF(AND(INDEX(職員マスタ!$F$6:$F$405,$AN1376)&lt;&gt;"",$AO1376&lt;&gt;"",INDEX(職員マスタ!$F$6:$F$405,$AN1376)&lt;$AO1376),"対象月に子が2歳到達済／","")&amp;IF(AND($H1376&lt;&gt;"",INDEX(職員マスタ!$B$6:$B$405,$AN1376)&lt;&gt;"",SUBSTITUTE(SUBSTITUTE($H1376," ","")," ","")&lt;&gt;SUBSTITUTE(SUBSTITUTE(INDEX(職員マスタ!$B$6:$B$405,$AN1376)," ","")," ","")),"氏名がマスタと相違／","")&amp;IF(AND($Q1376&lt;&gt;"",INDEX(職員マスタ!$E$6:$E$405,$AN1376)&lt;&gt;"",$Q1376&lt;&gt;INDEX(職員マスタ!$E$6:$E$405,$AN1376)),"子の生年月日がマスタと相違／","")&amp;IF(AND($L1376&lt;&gt;"",INDEX(職員マスタ!$G$6:$G$405,$AN1376)&lt;&gt;"",$L1376&lt;&gt;INDEX(職員マスタ!$G$6:$G$405,$AN1376)),"時短開始日がマスタと相違／","")&amp;IF(AND($M1376&lt;&gt;"",INDEX(職員マスタ!$H$6:$H$405,$AN1376)&lt;&gt;"",$M1376&lt;&gt;INDEX(職員マスタ!$H$6:$H$405,$AN1376)),"時短終了日がマスタと相違／","")))&amp;IF(AND($B1376&lt;&gt;"",$E1376=""),"報酬額が未入力／","")&amp;IF(N($U1376)&gt;0,"申請書に入力エラーが残っています／","")&amp;IF(AND($B1376&lt;&gt;"",$AO1376&lt;&gt;""),IF(COUNTIFS($B$6:$B$3005,$B1376,$C$6:$C$3005,$C1376,$D$6:$D$3005,$D1376)&gt;1,"同じ月の請求が重複しています／",""),"")&amp;IF(AND(N($E1376)&gt;0,$Z1376&lt;&gt;"",$Z1376&lt;&gt;"×",$AC1376=0,$AB1376=""),"計算額が下限以下のため不支給／",""))</f>
        <v/>
      </c>
      <c r="AL1376" s="12" t="n"/>
      <c r="AM1376" s="14">
        <f>IF($AD1376="保留中",COUNTIF($AD$6:$AD1376,"保留中"),"")</f>
        <v/>
      </c>
      <c r="AN1376" s="14">
        <f>IF($AO1376="","",IF(SUMPRODUCT(MAX((職員マスタ!$A$6:$A$405=$B1376)*(((職員マスタ!$G$6:$G$405="")+(職員マスタ!$G$6:$G$405&lt;=EOMONTH($AO1376,0)))&gt;0)*(((職員マスタ!$H$6:$H$405="")+(職員マスタ!$H$6:$H$405&gt;=$AO1376))&gt;0)*(ROW(職員マスタ!$A$6:$A$405)-5)))&gt;0,SUMPRODUCT(MAX((職員マスタ!$A$6:$A$405=$B1376)*(((職員マスタ!$G$6:$G$405="")+(職員マスタ!$G$6:$G$405&lt;=EOMONTH($AO1376,0)))&gt;0)*(((職員マスタ!$H$6:$H$405="")+(職員マスタ!$H$6:$H$405&gt;=$AO1376))&gt;0)*(ROW(職員マスタ!$A$6:$A$405)-5))),IFERROR(MATCH($B1376,職員マスタ!$A$6:$A$405,0),"")))</f>
        <v/>
      </c>
      <c r="AO1376" s="16">
        <f>IF(OR($B1376="",$C1376="",$D1376=""),"",DATE($C1376+2018,$D1376,1))</f>
        <v/>
      </c>
    </row>
    <row r="1377">
      <c r="A1377" s="11" t="n"/>
      <c r="B1377" s="12" t="n"/>
      <c r="C1377" s="12" t="n"/>
      <c r="D1377" s="12" t="n"/>
      <c r="E1377" s="13" t="n"/>
      <c r="F1377" s="12" t="n"/>
      <c r="G1377" s="13" t="n"/>
      <c r="H1377" s="12" t="n"/>
      <c r="I1377" s="12" t="n"/>
      <c r="J1377" s="12" t="n"/>
      <c r="K1377" s="12" t="n"/>
      <c r="L1377" s="11" t="n"/>
      <c r="M1377" s="11" t="n"/>
      <c r="N1377" s="11" t="n"/>
      <c r="O1377" s="11" t="n"/>
      <c r="P1377" s="12" t="n"/>
      <c r="Q1377" s="11" t="n"/>
      <c r="R1377" s="12" t="n"/>
      <c r="S1377" s="11" t="n"/>
      <c r="T1377" s="12" t="n"/>
      <c r="U1377" s="12" t="n"/>
      <c r="V1377" s="14">
        <f>IF($AN1377="",IF($B1377="","",$H1377),IF(INDEX(職員マスタ!$B$6:$B$405,$AN1377)="",$H1377,INDEX(職員マスタ!$B$6:$B$405,$AN1377)))</f>
        <v/>
      </c>
      <c r="W1377" s="14">
        <f>IF($AN1377="",IF($B1377="","",$R1377),IF(INDEX(職員マスタ!$C$6:$C$405,$AN1377)="",$R1377,INDEX(職員マスタ!$C$6:$C$405,$AN1377)))</f>
        <v/>
      </c>
      <c r="X1377" s="14">
        <f>IF($AO1377="","","R"&amp;$C1377&amp;"."&amp;$D1377)</f>
        <v/>
      </c>
      <c r="Y1377" s="15">
        <f>IF($AN1377="","",IF(INDEX(職員マスタ!$K$6:$K$405,$AN1377)="","",INDEX(職員マスタ!$K$6:$K$405,$AN1377)))</f>
        <v/>
      </c>
      <c r="Z1377" s="14">
        <f>IF(OR($E1377="",$Y1377=""),"",IF($E1377&gt;=$Y1377,"×",IF($E1377&gt;=$Y1377*設定!$C$5,"△","○")))</f>
        <v/>
      </c>
      <c r="AA1377" s="15">
        <f>IF($Z1377="","",IF($Z1377="×",0,IF($Z1377="○",ROUNDDOWN($E1377*設定!$C$4,0),ROUNDDOWN($E1377*ROUND((9*$Y1377-9*$E1377)/(10*$E1377),4),0))))</f>
        <v/>
      </c>
      <c r="AB1377" s="13" t="n"/>
      <c r="AC1377" s="15">
        <f>IF($B1377="","",IF($AB1377&lt;&gt;"",$AB1377,IF($AA1377="","",IF($AA1377&lt;=設定!$C$3,0,$AA1377))))</f>
        <v/>
      </c>
      <c r="AD1377" s="14">
        <f>IF($B1377="","",IF(AND($AE1377&lt;&gt;"",$AG1377="",$AJ1377=""),"保留中",IF($AJ1377&lt;&gt;"",IF(N($AC1377)&gt;0,"支給済","不支給"),IF($AC1377="","要確認",IF($AC1377=0,"不支給","未処理")))))</f>
        <v/>
      </c>
      <c r="AE1377" s="12" t="n"/>
      <c r="AF1377" s="11" t="n"/>
      <c r="AG1377" s="11" t="n"/>
      <c r="AH1377" s="11" t="n"/>
      <c r="AI1377" s="14">
        <f>IF(AND($AD1377="保留中",$AF1377&lt;&gt;""),TODAY()-$AF1377,"")</f>
        <v/>
      </c>
      <c r="AJ1377" s="12" t="n"/>
      <c r="AK1377" s="14">
        <f>IF($B1377="","",IF($AO1377="","対象年月が未入力／","")&amp;IF($B1377="","",IF($AN1377="","職員マスタに未登録の職員番号／",IF($Y1377="","標準報酬月額が未登録／","")&amp;IF(AND($AO1377&lt;&gt;"",OR(AND(INDEX(職員マスタ!$G$6:$G$405,$AN1377)&lt;&gt;"",INDEX(職員マスタ!$G$6:$G$405,$AN1377)&gt;EOMONTH($AO1377,0)),AND(INDEX(職員マスタ!$H$6:$H$405,$AN1377)&lt;&gt;"",INDEX(職員マスタ!$H$6:$H$405,$AN1377)&lt;$AO1377))),"対象月が時短期間外／","")&amp;IF(AND(INDEX(職員マスタ!$F$6:$F$405,$AN1377)&lt;&gt;"",$AO1377&lt;&gt;"",INDEX(職員マスタ!$F$6:$F$405,$AN1377)&lt;$AO1377),"対象月に子が2歳到達済／","")&amp;IF(AND($H1377&lt;&gt;"",INDEX(職員マスタ!$B$6:$B$405,$AN1377)&lt;&gt;"",SUBSTITUTE(SUBSTITUTE($H1377," ","")," ","")&lt;&gt;SUBSTITUTE(SUBSTITUTE(INDEX(職員マスタ!$B$6:$B$405,$AN1377)," ","")," ","")),"氏名がマスタと相違／","")&amp;IF(AND($Q1377&lt;&gt;"",INDEX(職員マスタ!$E$6:$E$405,$AN1377)&lt;&gt;"",$Q1377&lt;&gt;INDEX(職員マスタ!$E$6:$E$405,$AN1377)),"子の生年月日がマスタと相違／","")&amp;IF(AND($L1377&lt;&gt;"",INDEX(職員マスタ!$G$6:$G$405,$AN1377)&lt;&gt;"",$L1377&lt;&gt;INDEX(職員マスタ!$G$6:$G$405,$AN1377)),"時短開始日がマスタと相違／","")&amp;IF(AND($M1377&lt;&gt;"",INDEX(職員マスタ!$H$6:$H$405,$AN1377)&lt;&gt;"",$M1377&lt;&gt;INDEX(職員マスタ!$H$6:$H$405,$AN1377)),"時短終了日がマスタと相違／","")))&amp;IF(AND($B1377&lt;&gt;"",$E1377=""),"報酬額が未入力／","")&amp;IF(N($U1377)&gt;0,"申請書に入力エラーが残っています／","")&amp;IF(AND($B1377&lt;&gt;"",$AO1377&lt;&gt;""),IF(COUNTIFS($B$6:$B$3005,$B1377,$C$6:$C$3005,$C1377,$D$6:$D$3005,$D1377)&gt;1,"同じ月の請求が重複しています／",""),"")&amp;IF(AND(N($E1377)&gt;0,$Z1377&lt;&gt;"",$Z1377&lt;&gt;"×",$AC1377=0,$AB1377=""),"計算額が下限以下のため不支給／",""))</f>
        <v/>
      </c>
      <c r="AL1377" s="12" t="n"/>
      <c r="AM1377" s="14">
        <f>IF($AD1377="保留中",COUNTIF($AD$6:$AD1377,"保留中"),"")</f>
        <v/>
      </c>
      <c r="AN1377" s="14">
        <f>IF($AO1377="","",IF(SUMPRODUCT(MAX((職員マスタ!$A$6:$A$405=$B1377)*(((職員マスタ!$G$6:$G$405="")+(職員マスタ!$G$6:$G$405&lt;=EOMONTH($AO1377,0)))&gt;0)*(((職員マスタ!$H$6:$H$405="")+(職員マスタ!$H$6:$H$405&gt;=$AO1377))&gt;0)*(ROW(職員マスタ!$A$6:$A$405)-5)))&gt;0,SUMPRODUCT(MAX((職員マスタ!$A$6:$A$405=$B1377)*(((職員マスタ!$G$6:$G$405="")+(職員マスタ!$G$6:$G$405&lt;=EOMONTH($AO1377,0)))&gt;0)*(((職員マスタ!$H$6:$H$405="")+(職員マスタ!$H$6:$H$405&gt;=$AO1377))&gt;0)*(ROW(職員マスタ!$A$6:$A$405)-5))),IFERROR(MATCH($B1377,職員マスタ!$A$6:$A$405,0),"")))</f>
        <v/>
      </c>
      <c r="AO1377" s="16">
        <f>IF(OR($B1377="",$C1377="",$D1377=""),"",DATE($C1377+2018,$D1377,1))</f>
        <v/>
      </c>
    </row>
    <row r="1378">
      <c r="A1378" s="11" t="n"/>
      <c r="B1378" s="12" t="n"/>
      <c r="C1378" s="12" t="n"/>
      <c r="D1378" s="12" t="n"/>
      <c r="E1378" s="13" t="n"/>
      <c r="F1378" s="12" t="n"/>
      <c r="G1378" s="13" t="n"/>
      <c r="H1378" s="12" t="n"/>
      <c r="I1378" s="12" t="n"/>
      <c r="J1378" s="12" t="n"/>
      <c r="K1378" s="12" t="n"/>
      <c r="L1378" s="11" t="n"/>
      <c r="M1378" s="11" t="n"/>
      <c r="N1378" s="11" t="n"/>
      <c r="O1378" s="11" t="n"/>
      <c r="P1378" s="12" t="n"/>
      <c r="Q1378" s="11" t="n"/>
      <c r="R1378" s="12" t="n"/>
      <c r="S1378" s="11" t="n"/>
      <c r="T1378" s="12" t="n"/>
      <c r="U1378" s="12" t="n"/>
      <c r="V1378" s="14">
        <f>IF($AN1378="",IF($B1378="","",$H1378),IF(INDEX(職員マスタ!$B$6:$B$405,$AN1378)="",$H1378,INDEX(職員マスタ!$B$6:$B$405,$AN1378)))</f>
        <v/>
      </c>
      <c r="W1378" s="14">
        <f>IF($AN1378="",IF($B1378="","",$R1378),IF(INDEX(職員マスタ!$C$6:$C$405,$AN1378)="",$R1378,INDEX(職員マスタ!$C$6:$C$405,$AN1378)))</f>
        <v/>
      </c>
      <c r="X1378" s="14">
        <f>IF($AO1378="","","R"&amp;$C1378&amp;"."&amp;$D1378)</f>
        <v/>
      </c>
      <c r="Y1378" s="15">
        <f>IF($AN1378="","",IF(INDEX(職員マスタ!$K$6:$K$405,$AN1378)="","",INDEX(職員マスタ!$K$6:$K$405,$AN1378)))</f>
        <v/>
      </c>
      <c r="Z1378" s="14">
        <f>IF(OR($E1378="",$Y1378=""),"",IF($E1378&gt;=$Y1378,"×",IF($E1378&gt;=$Y1378*設定!$C$5,"△","○")))</f>
        <v/>
      </c>
      <c r="AA1378" s="15">
        <f>IF($Z1378="","",IF($Z1378="×",0,IF($Z1378="○",ROUNDDOWN($E1378*設定!$C$4,0),ROUNDDOWN($E1378*ROUND((9*$Y1378-9*$E1378)/(10*$E1378),4),0))))</f>
        <v/>
      </c>
      <c r="AB1378" s="13" t="n"/>
      <c r="AC1378" s="15">
        <f>IF($B1378="","",IF($AB1378&lt;&gt;"",$AB1378,IF($AA1378="","",IF($AA1378&lt;=設定!$C$3,0,$AA1378))))</f>
        <v/>
      </c>
      <c r="AD1378" s="14">
        <f>IF($B1378="","",IF(AND($AE1378&lt;&gt;"",$AG1378="",$AJ1378=""),"保留中",IF($AJ1378&lt;&gt;"",IF(N($AC1378)&gt;0,"支給済","不支給"),IF($AC1378="","要確認",IF($AC1378=0,"不支給","未処理")))))</f>
        <v/>
      </c>
      <c r="AE1378" s="12" t="n"/>
      <c r="AF1378" s="11" t="n"/>
      <c r="AG1378" s="11" t="n"/>
      <c r="AH1378" s="11" t="n"/>
      <c r="AI1378" s="14">
        <f>IF(AND($AD1378="保留中",$AF1378&lt;&gt;""),TODAY()-$AF1378,"")</f>
        <v/>
      </c>
      <c r="AJ1378" s="12" t="n"/>
      <c r="AK1378" s="14">
        <f>IF($B1378="","",IF($AO1378="","対象年月が未入力／","")&amp;IF($B1378="","",IF($AN1378="","職員マスタに未登録の職員番号／",IF($Y1378="","標準報酬月額が未登録／","")&amp;IF(AND($AO1378&lt;&gt;"",OR(AND(INDEX(職員マスタ!$G$6:$G$405,$AN1378)&lt;&gt;"",INDEX(職員マスタ!$G$6:$G$405,$AN1378)&gt;EOMONTH($AO1378,0)),AND(INDEX(職員マスタ!$H$6:$H$405,$AN1378)&lt;&gt;"",INDEX(職員マスタ!$H$6:$H$405,$AN1378)&lt;$AO1378))),"対象月が時短期間外／","")&amp;IF(AND(INDEX(職員マスタ!$F$6:$F$405,$AN1378)&lt;&gt;"",$AO1378&lt;&gt;"",INDEX(職員マスタ!$F$6:$F$405,$AN1378)&lt;$AO1378),"対象月に子が2歳到達済／","")&amp;IF(AND($H1378&lt;&gt;"",INDEX(職員マスタ!$B$6:$B$405,$AN1378)&lt;&gt;"",SUBSTITUTE(SUBSTITUTE($H1378," ","")," ","")&lt;&gt;SUBSTITUTE(SUBSTITUTE(INDEX(職員マスタ!$B$6:$B$405,$AN1378)," ","")," ","")),"氏名がマスタと相違／","")&amp;IF(AND($Q1378&lt;&gt;"",INDEX(職員マスタ!$E$6:$E$405,$AN1378)&lt;&gt;"",$Q1378&lt;&gt;INDEX(職員マスタ!$E$6:$E$405,$AN1378)),"子の生年月日がマスタと相違／","")&amp;IF(AND($L1378&lt;&gt;"",INDEX(職員マスタ!$G$6:$G$405,$AN1378)&lt;&gt;"",$L1378&lt;&gt;INDEX(職員マスタ!$G$6:$G$405,$AN1378)),"時短開始日がマスタと相違／","")&amp;IF(AND($M1378&lt;&gt;"",INDEX(職員マスタ!$H$6:$H$405,$AN1378)&lt;&gt;"",$M1378&lt;&gt;INDEX(職員マスタ!$H$6:$H$405,$AN1378)),"時短終了日がマスタと相違／","")))&amp;IF(AND($B1378&lt;&gt;"",$E1378=""),"報酬額が未入力／","")&amp;IF(N($U1378)&gt;0,"申請書に入力エラーが残っています／","")&amp;IF(AND($B1378&lt;&gt;"",$AO1378&lt;&gt;""),IF(COUNTIFS($B$6:$B$3005,$B1378,$C$6:$C$3005,$C1378,$D$6:$D$3005,$D1378)&gt;1,"同じ月の請求が重複しています／",""),"")&amp;IF(AND(N($E1378)&gt;0,$Z1378&lt;&gt;"",$Z1378&lt;&gt;"×",$AC1378=0,$AB1378=""),"計算額が下限以下のため不支給／",""))</f>
        <v/>
      </c>
      <c r="AL1378" s="12" t="n"/>
      <c r="AM1378" s="14">
        <f>IF($AD1378="保留中",COUNTIF($AD$6:$AD1378,"保留中"),"")</f>
        <v/>
      </c>
      <c r="AN1378" s="14">
        <f>IF($AO1378="","",IF(SUMPRODUCT(MAX((職員マスタ!$A$6:$A$405=$B1378)*(((職員マスタ!$G$6:$G$405="")+(職員マスタ!$G$6:$G$405&lt;=EOMONTH($AO1378,0)))&gt;0)*(((職員マスタ!$H$6:$H$405="")+(職員マスタ!$H$6:$H$405&gt;=$AO1378))&gt;0)*(ROW(職員マスタ!$A$6:$A$405)-5)))&gt;0,SUMPRODUCT(MAX((職員マスタ!$A$6:$A$405=$B1378)*(((職員マスタ!$G$6:$G$405="")+(職員マスタ!$G$6:$G$405&lt;=EOMONTH($AO1378,0)))&gt;0)*(((職員マスタ!$H$6:$H$405="")+(職員マスタ!$H$6:$H$405&gt;=$AO1378))&gt;0)*(ROW(職員マスタ!$A$6:$A$405)-5))),IFERROR(MATCH($B1378,職員マスタ!$A$6:$A$405,0),"")))</f>
        <v/>
      </c>
      <c r="AO1378" s="16">
        <f>IF(OR($B1378="",$C1378="",$D1378=""),"",DATE($C1378+2018,$D1378,1))</f>
        <v/>
      </c>
    </row>
    <row r="1379">
      <c r="A1379" s="11" t="n"/>
      <c r="B1379" s="12" t="n"/>
      <c r="C1379" s="12" t="n"/>
      <c r="D1379" s="12" t="n"/>
      <c r="E1379" s="13" t="n"/>
      <c r="F1379" s="12" t="n"/>
      <c r="G1379" s="13" t="n"/>
      <c r="H1379" s="12" t="n"/>
      <c r="I1379" s="12" t="n"/>
      <c r="J1379" s="12" t="n"/>
      <c r="K1379" s="12" t="n"/>
      <c r="L1379" s="11" t="n"/>
      <c r="M1379" s="11" t="n"/>
      <c r="N1379" s="11" t="n"/>
      <c r="O1379" s="11" t="n"/>
      <c r="P1379" s="12" t="n"/>
      <c r="Q1379" s="11" t="n"/>
      <c r="R1379" s="12" t="n"/>
      <c r="S1379" s="11" t="n"/>
      <c r="T1379" s="12" t="n"/>
      <c r="U1379" s="12" t="n"/>
      <c r="V1379" s="14">
        <f>IF($AN1379="",IF($B1379="","",$H1379),IF(INDEX(職員マスタ!$B$6:$B$405,$AN1379)="",$H1379,INDEX(職員マスタ!$B$6:$B$405,$AN1379)))</f>
        <v/>
      </c>
      <c r="W1379" s="14">
        <f>IF($AN1379="",IF($B1379="","",$R1379),IF(INDEX(職員マスタ!$C$6:$C$405,$AN1379)="",$R1379,INDEX(職員マスタ!$C$6:$C$405,$AN1379)))</f>
        <v/>
      </c>
      <c r="X1379" s="14">
        <f>IF($AO1379="","","R"&amp;$C1379&amp;"."&amp;$D1379)</f>
        <v/>
      </c>
      <c r="Y1379" s="15">
        <f>IF($AN1379="","",IF(INDEX(職員マスタ!$K$6:$K$405,$AN1379)="","",INDEX(職員マスタ!$K$6:$K$405,$AN1379)))</f>
        <v/>
      </c>
      <c r="Z1379" s="14">
        <f>IF(OR($E1379="",$Y1379=""),"",IF($E1379&gt;=$Y1379,"×",IF($E1379&gt;=$Y1379*設定!$C$5,"△","○")))</f>
        <v/>
      </c>
      <c r="AA1379" s="15">
        <f>IF($Z1379="","",IF($Z1379="×",0,IF($Z1379="○",ROUNDDOWN($E1379*設定!$C$4,0),ROUNDDOWN($E1379*ROUND((9*$Y1379-9*$E1379)/(10*$E1379),4),0))))</f>
        <v/>
      </c>
      <c r="AB1379" s="13" t="n"/>
      <c r="AC1379" s="15">
        <f>IF($B1379="","",IF($AB1379&lt;&gt;"",$AB1379,IF($AA1379="","",IF($AA1379&lt;=設定!$C$3,0,$AA1379))))</f>
        <v/>
      </c>
      <c r="AD1379" s="14">
        <f>IF($B1379="","",IF(AND($AE1379&lt;&gt;"",$AG1379="",$AJ1379=""),"保留中",IF($AJ1379&lt;&gt;"",IF(N($AC1379)&gt;0,"支給済","不支給"),IF($AC1379="","要確認",IF($AC1379=0,"不支給","未処理")))))</f>
        <v/>
      </c>
      <c r="AE1379" s="12" t="n"/>
      <c r="AF1379" s="11" t="n"/>
      <c r="AG1379" s="11" t="n"/>
      <c r="AH1379" s="11" t="n"/>
      <c r="AI1379" s="14">
        <f>IF(AND($AD1379="保留中",$AF1379&lt;&gt;""),TODAY()-$AF1379,"")</f>
        <v/>
      </c>
      <c r="AJ1379" s="12" t="n"/>
      <c r="AK1379" s="14">
        <f>IF($B1379="","",IF($AO1379="","対象年月が未入力／","")&amp;IF($B1379="","",IF($AN1379="","職員マスタに未登録の職員番号／",IF($Y1379="","標準報酬月額が未登録／","")&amp;IF(AND($AO1379&lt;&gt;"",OR(AND(INDEX(職員マスタ!$G$6:$G$405,$AN1379)&lt;&gt;"",INDEX(職員マスタ!$G$6:$G$405,$AN1379)&gt;EOMONTH($AO1379,0)),AND(INDEX(職員マスタ!$H$6:$H$405,$AN1379)&lt;&gt;"",INDEX(職員マスタ!$H$6:$H$405,$AN1379)&lt;$AO1379))),"対象月が時短期間外／","")&amp;IF(AND(INDEX(職員マスタ!$F$6:$F$405,$AN1379)&lt;&gt;"",$AO1379&lt;&gt;"",INDEX(職員マスタ!$F$6:$F$405,$AN1379)&lt;$AO1379),"対象月に子が2歳到達済／","")&amp;IF(AND($H1379&lt;&gt;"",INDEX(職員マスタ!$B$6:$B$405,$AN1379)&lt;&gt;"",SUBSTITUTE(SUBSTITUTE($H1379," ","")," ","")&lt;&gt;SUBSTITUTE(SUBSTITUTE(INDEX(職員マスタ!$B$6:$B$405,$AN1379)," ","")," ","")),"氏名がマスタと相違／","")&amp;IF(AND($Q1379&lt;&gt;"",INDEX(職員マスタ!$E$6:$E$405,$AN1379)&lt;&gt;"",$Q1379&lt;&gt;INDEX(職員マスタ!$E$6:$E$405,$AN1379)),"子の生年月日がマスタと相違／","")&amp;IF(AND($L1379&lt;&gt;"",INDEX(職員マスタ!$G$6:$G$405,$AN1379)&lt;&gt;"",$L1379&lt;&gt;INDEX(職員マスタ!$G$6:$G$405,$AN1379)),"時短開始日がマスタと相違／","")&amp;IF(AND($M1379&lt;&gt;"",INDEX(職員マスタ!$H$6:$H$405,$AN1379)&lt;&gt;"",$M1379&lt;&gt;INDEX(職員マスタ!$H$6:$H$405,$AN1379)),"時短終了日がマスタと相違／","")))&amp;IF(AND($B1379&lt;&gt;"",$E1379=""),"報酬額が未入力／","")&amp;IF(N($U1379)&gt;0,"申請書に入力エラーが残っています／","")&amp;IF(AND($B1379&lt;&gt;"",$AO1379&lt;&gt;""),IF(COUNTIFS($B$6:$B$3005,$B1379,$C$6:$C$3005,$C1379,$D$6:$D$3005,$D1379)&gt;1,"同じ月の請求が重複しています／",""),"")&amp;IF(AND(N($E1379)&gt;0,$Z1379&lt;&gt;"",$Z1379&lt;&gt;"×",$AC1379=0,$AB1379=""),"計算額が下限以下のため不支給／",""))</f>
        <v/>
      </c>
      <c r="AL1379" s="12" t="n"/>
      <c r="AM1379" s="14">
        <f>IF($AD1379="保留中",COUNTIF($AD$6:$AD1379,"保留中"),"")</f>
        <v/>
      </c>
      <c r="AN1379" s="14">
        <f>IF($AO1379="","",IF(SUMPRODUCT(MAX((職員マスタ!$A$6:$A$405=$B1379)*(((職員マスタ!$G$6:$G$405="")+(職員マスタ!$G$6:$G$405&lt;=EOMONTH($AO1379,0)))&gt;0)*(((職員マスタ!$H$6:$H$405="")+(職員マスタ!$H$6:$H$405&gt;=$AO1379))&gt;0)*(ROW(職員マスタ!$A$6:$A$405)-5)))&gt;0,SUMPRODUCT(MAX((職員マスタ!$A$6:$A$405=$B1379)*(((職員マスタ!$G$6:$G$405="")+(職員マスタ!$G$6:$G$405&lt;=EOMONTH($AO1379,0)))&gt;0)*(((職員マスタ!$H$6:$H$405="")+(職員マスタ!$H$6:$H$405&gt;=$AO1379))&gt;0)*(ROW(職員マスタ!$A$6:$A$405)-5))),IFERROR(MATCH($B1379,職員マスタ!$A$6:$A$405,0),"")))</f>
        <v/>
      </c>
      <c r="AO1379" s="16">
        <f>IF(OR($B1379="",$C1379="",$D1379=""),"",DATE($C1379+2018,$D1379,1))</f>
        <v/>
      </c>
    </row>
    <row r="1380">
      <c r="A1380" s="11" t="n"/>
      <c r="B1380" s="12" t="n"/>
      <c r="C1380" s="12" t="n"/>
      <c r="D1380" s="12" t="n"/>
      <c r="E1380" s="13" t="n"/>
      <c r="F1380" s="12" t="n"/>
      <c r="G1380" s="13" t="n"/>
      <c r="H1380" s="12" t="n"/>
      <c r="I1380" s="12" t="n"/>
      <c r="J1380" s="12" t="n"/>
      <c r="K1380" s="12" t="n"/>
      <c r="L1380" s="11" t="n"/>
      <c r="M1380" s="11" t="n"/>
      <c r="N1380" s="11" t="n"/>
      <c r="O1380" s="11" t="n"/>
      <c r="P1380" s="12" t="n"/>
      <c r="Q1380" s="11" t="n"/>
      <c r="R1380" s="12" t="n"/>
      <c r="S1380" s="11" t="n"/>
      <c r="T1380" s="12" t="n"/>
      <c r="U1380" s="12" t="n"/>
      <c r="V1380" s="14">
        <f>IF($AN1380="",IF($B1380="","",$H1380),IF(INDEX(職員マスタ!$B$6:$B$405,$AN1380)="",$H1380,INDEX(職員マスタ!$B$6:$B$405,$AN1380)))</f>
        <v/>
      </c>
      <c r="W1380" s="14">
        <f>IF($AN1380="",IF($B1380="","",$R1380),IF(INDEX(職員マスタ!$C$6:$C$405,$AN1380)="",$R1380,INDEX(職員マスタ!$C$6:$C$405,$AN1380)))</f>
        <v/>
      </c>
      <c r="X1380" s="14">
        <f>IF($AO1380="","","R"&amp;$C1380&amp;"."&amp;$D1380)</f>
        <v/>
      </c>
      <c r="Y1380" s="15">
        <f>IF($AN1380="","",IF(INDEX(職員マスタ!$K$6:$K$405,$AN1380)="","",INDEX(職員マスタ!$K$6:$K$405,$AN1380)))</f>
        <v/>
      </c>
      <c r="Z1380" s="14">
        <f>IF(OR($E1380="",$Y1380=""),"",IF($E1380&gt;=$Y1380,"×",IF($E1380&gt;=$Y1380*設定!$C$5,"△","○")))</f>
        <v/>
      </c>
      <c r="AA1380" s="15">
        <f>IF($Z1380="","",IF($Z1380="×",0,IF($Z1380="○",ROUNDDOWN($E1380*設定!$C$4,0),ROUNDDOWN($E1380*ROUND((9*$Y1380-9*$E1380)/(10*$E1380),4),0))))</f>
        <v/>
      </c>
      <c r="AB1380" s="13" t="n"/>
      <c r="AC1380" s="15">
        <f>IF($B1380="","",IF($AB1380&lt;&gt;"",$AB1380,IF($AA1380="","",IF($AA1380&lt;=設定!$C$3,0,$AA1380))))</f>
        <v/>
      </c>
      <c r="AD1380" s="14">
        <f>IF($B1380="","",IF(AND($AE1380&lt;&gt;"",$AG1380="",$AJ1380=""),"保留中",IF($AJ1380&lt;&gt;"",IF(N($AC1380)&gt;0,"支給済","不支給"),IF($AC1380="","要確認",IF($AC1380=0,"不支給","未処理")))))</f>
        <v/>
      </c>
      <c r="AE1380" s="12" t="n"/>
      <c r="AF1380" s="11" t="n"/>
      <c r="AG1380" s="11" t="n"/>
      <c r="AH1380" s="11" t="n"/>
      <c r="AI1380" s="14">
        <f>IF(AND($AD1380="保留中",$AF1380&lt;&gt;""),TODAY()-$AF1380,"")</f>
        <v/>
      </c>
      <c r="AJ1380" s="12" t="n"/>
      <c r="AK1380" s="14">
        <f>IF($B1380="","",IF($AO1380="","対象年月が未入力／","")&amp;IF($B1380="","",IF($AN1380="","職員マスタに未登録の職員番号／",IF($Y1380="","標準報酬月額が未登録／","")&amp;IF(AND($AO1380&lt;&gt;"",OR(AND(INDEX(職員マスタ!$G$6:$G$405,$AN1380)&lt;&gt;"",INDEX(職員マスタ!$G$6:$G$405,$AN1380)&gt;EOMONTH($AO1380,0)),AND(INDEX(職員マスタ!$H$6:$H$405,$AN1380)&lt;&gt;"",INDEX(職員マスタ!$H$6:$H$405,$AN1380)&lt;$AO1380))),"対象月が時短期間外／","")&amp;IF(AND(INDEX(職員マスタ!$F$6:$F$405,$AN1380)&lt;&gt;"",$AO1380&lt;&gt;"",INDEX(職員マスタ!$F$6:$F$405,$AN1380)&lt;$AO1380),"対象月に子が2歳到達済／","")&amp;IF(AND($H1380&lt;&gt;"",INDEX(職員マスタ!$B$6:$B$405,$AN1380)&lt;&gt;"",SUBSTITUTE(SUBSTITUTE($H1380," ","")," ","")&lt;&gt;SUBSTITUTE(SUBSTITUTE(INDEX(職員マスタ!$B$6:$B$405,$AN1380)," ","")," ","")),"氏名がマスタと相違／","")&amp;IF(AND($Q1380&lt;&gt;"",INDEX(職員マスタ!$E$6:$E$405,$AN1380)&lt;&gt;"",$Q1380&lt;&gt;INDEX(職員マスタ!$E$6:$E$405,$AN1380)),"子の生年月日がマスタと相違／","")&amp;IF(AND($L1380&lt;&gt;"",INDEX(職員マスタ!$G$6:$G$405,$AN1380)&lt;&gt;"",$L1380&lt;&gt;INDEX(職員マスタ!$G$6:$G$405,$AN1380)),"時短開始日がマスタと相違／","")&amp;IF(AND($M1380&lt;&gt;"",INDEX(職員マスタ!$H$6:$H$405,$AN1380)&lt;&gt;"",$M1380&lt;&gt;INDEX(職員マスタ!$H$6:$H$405,$AN1380)),"時短終了日がマスタと相違／","")))&amp;IF(AND($B1380&lt;&gt;"",$E1380=""),"報酬額が未入力／","")&amp;IF(N($U1380)&gt;0,"申請書に入力エラーが残っています／","")&amp;IF(AND($B1380&lt;&gt;"",$AO1380&lt;&gt;""),IF(COUNTIFS($B$6:$B$3005,$B1380,$C$6:$C$3005,$C1380,$D$6:$D$3005,$D1380)&gt;1,"同じ月の請求が重複しています／",""),"")&amp;IF(AND(N($E1380)&gt;0,$Z1380&lt;&gt;"",$Z1380&lt;&gt;"×",$AC1380=0,$AB1380=""),"計算額が下限以下のため不支給／",""))</f>
        <v/>
      </c>
      <c r="AL1380" s="12" t="n"/>
      <c r="AM1380" s="14">
        <f>IF($AD1380="保留中",COUNTIF($AD$6:$AD1380,"保留中"),"")</f>
        <v/>
      </c>
      <c r="AN1380" s="14">
        <f>IF($AO1380="","",IF(SUMPRODUCT(MAX((職員マスタ!$A$6:$A$405=$B1380)*(((職員マスタ!$G$6:$G$405="")+(職員マスタ!$G$6:$G$405&lt;=EOMONTH($AO1380,0)))&gt;0)*(((職員マスタ!$H$6:$H$405="")+(職員マスタ!$H$6:$H$405&gt;=$AO1380))&gt;0)*(ROW(職員マスタ!$A$6:$A$405)-5)))&gt;0,SUMPRODUCT(MAX((職員マスタ!$A$6:$A$405=$B1380)*(((職員マスタ!$G$6:$G$405="")+(職員マスタ!$G$6:$G$405&lt;=EOMONTH($AO1380,0)))&gt;0)*(((職員マスタ!$H$6:$H$405="")+(職員マスタ!$H$6:$H$405&gt;=$AO1380))&gt;0)*(ROW(職員マスタ!$A$6:$A$405)-5))),IFERROR(MATCH($B1380,職員マスタ!$A$6:$A$405,0),"")))</f>
        <v/>
      </c>
      <c r="AO1380" s="16">
        <f>IF(OR($B1380="",$C1380="",$D1380=""),"",DATE($C1380+2018,$D1380,1))</f>
        <v/>
      </c>
    </row>
    <row r="1381">
      <c r="A1381" s="11" t="n"/>
      <c r="B1381" s="12" t="n"/>
      <c r="C1381" s="12" t="n"/>
      <c r="D1381" s="12" t="n"/>
      <c r="E1381" s="13" t="n"/>
      <c r="F1381" s="12" t="n"/>
      <c r="G1381" s="13" t="n"/>
      <c r="H1381" s="12" t="n"/>
      <c r="I1381" s="12" t="n"/>
      <c r="J1381" s="12" t="n"/>
      <c r="K1381" s="12" t="n"/>
      <c r="L1381" s="11" t="n"/>
      <c r="M1381" s="11" t="n"/>
      <c r="N1381" s="11" t="n"/>
      <c r="O1381" s="11" t="n"/>
      <c r="P1381" s="12" t="n"/>
      <c r="Q1381" s="11" t="n"/>
      <c r="R1381" s="12" t="n"/>
      <c r="S1381" s="11" t="n"/>
      <c r="T1381" s="12" t="n"/>
      <c r="U1381" s="12" t="n"/>
      <c r="V1381" s="14">
        <f>IF($AN1381="",IF($B1381="","",$H1381),IF(INDEX(職員マスタ!$B$6:$B$405,$AN1381)="",$H1381,INDEX(職員マスタ!$B$6:$B$405,$AN1381)))</f>
        <v/>
      </c>
      <c r="W1381" s="14">
        <f>IF($AN1381="",IF($B1381="","",$R1381),IF(INDEX(職員マスタ!$C$6:$C$405,$AN1381)="",$R1381,INDEX(職員マスタ!$C$6:$C$405,$AN1381)))</f>
        <v/>
      </c>
      <c r="X1381" s="14">
        <f>IF($AO1381="","","R"&amp;$C1381&amp;"."&amp;$D1381)</f>
        <v/>
      </c>
      <c r="Y1381" s="15">
        <f>IF($AN1381="","",IF(INDEX(職員マスタ!$K$6:$K$405,$AN1381)="","",INDEX(職員マスタ!$K$6:$K$405,$AN1381)))</f>
        <v/>
      </c>
      <c r="Z1381" s="14">
        <f>IF(OR($E1381="",$Y1381=""),"",IF($E1381&gt;=$Y1381,"×",IF($E1381&gt;=$Y1381*設定!$C$5,"△","○")))</f>
        <v/>
      </c>
      <c r="AA1381" s="15">
        <f>IF($Z1381="","",IF($Z1381="×",0,IF($Z1381="○",ROUNDDOWN($E1381*設定!$C$4,0),ROUNDDOWN($E1381*ROUND((9*$Y1381-9*$E1381)/(10*$E1381),4),0))))</f>
        <v/>
      </c>
      <c r="AB1381" s="13" t="n"/>
      <c r="AC1381" s="15">
        <f>IF($B1381="","",IF($AB1381&lt;&gt;"",$AB1381,IF($AA1381="","",IF($AA1381&lt;=設定!$C$3,0,$AA1381))))</f>
        <v/>
      </c>
      <c r="AD1381" s="14">
        <f>IF($B1381="","",IF(AND($AE1381&lt;&gt;"",$AG1381="",$AJ1381=""),"保留中",IF($AJ1381&lt;&gt;"",IF(N($AC1381)&gt;0,"支給済","不支給"),IF($AC1381="","要確認",IF($AC1381=0,"不支給","未処理")))))</f>
        <v/>
      </c>
      <c r="AE1381" s="12" t="n"/>
      <c r="AF1381" s="11" t="n"/>
      <c r="AG1381" s="11" t="n"/>
      <c r="AH1381" s="11" t="n"/>
      <c r="AI1381" s="14">
        <f>IF(AND($AD1381="保留中",$AF1381&lt;&gt;""),TODAY()-$AF1381,"")</f>
        <v/>
      </c>
      <c r="AJ1381" s="12" t="n"/>
      <c r="AK1381" s="14">
        <f>IF($B1381="","",IF($AO1381="","対象年月が未入力／","")&amp;IF($B1381="","",IF($AN1381="","職員マスタに未登録の職員番号／",IF($Y1381="","標準報酬月額が未登録／","")&amp;IF(AND($AO1381&lt;&gt;"",OR(AND(INDEX(職員マスタ!$G$6:$G$405,$AN1381)&lt;&gt;"",INDEX(職員マスタ!$G$6:$G$405,$AN1381)&gt;EOMONTH($AO1381,0)),AND(INDEX(職員マスタ!$H$6:$H$405,$AN1381)&lt;&gt;"",INDEX(職員マスタ!$H$6:$H$405,$AN1381)&lt;$AO1381))),"対象月が時短期間外／","")&amp;IF(AND(INDEX(職員マスタ!$F$6:$F$405,$AN1381)&lt;&gt;"",$AO1381&lt;&gt;"",INDEX(職員マスタ!$F$6:$F$405,$AN1381)&lt;$AO1381),"対象月に子が2歳到達済／","")&amp;IF(AND($H1381&lt;&gt;"",INDEX(職員マスタ!$B$6:$B$405,$AN1381)&lt;&gt;"",SUBSTITUTE(SUBSTITUTE($H1381," ","")," ","")&lt;&gt;SUBSTITUTE(SUBSTITUTE(INDEX(職員マスタ!$B$6:$B$405,$AN1381)," ","")," ","")),"氏名がマスタと相違／","")&amp;IF(AND($Q1381&lt;&gt;"",INDEX(職員マスタ!$E$6:$E$405,$AN1381)&lt;&gt;"",$Q1381&lt;&gt;INDEX(職員マスタ!$E$6:$E$405,$AN1381)),"子の生年月日がマスタと相違／","")&amp;IF(AND($L1381&lt;&gt;"",INDEX(職員マスタ!$G$6:$G$405,$AN1381)&lt;&gt;"",$L1381&lt;&gt;INDEX(職員マスタ!$G$6:$G$405,$AN1381)),"時短開始日がマスタと相違／","")&amp;IF(AND($M1381&lt;&gt;"",INDEX(職員マスタ!$H$6:$H$405,$AN1381)&lt;&gt;"",$M1381&lt;&gt;INDEX(職員マスタ!$H$6:$H$405,$AN1381)),"時短終了日がマスタと相違／","")))&amp;IF(AND($B1381&lt;&gt;"",$E1381=""),"報酬額が未入力／","")&amp;IF(N($U1381)&gt;0,"申請書に入力エラーが残っています／","")&amp;IF(AND($B1381&lt;&gt;"",$AO1381&lt;&gt;""),IF(COUNTIFS($B$6:$B$3005,$B1381,$C$6:$C$3005,$C1381,$D$6:$D$3005,$D1381)&gt;1,"同じ月の請求が重複しています／",""),"")&amp;IF(AND(N($E1381)&gt;0,$Z1381&lt;&gt;"",$Z1381&lt;&gt;"×",$AC1381=0,$AB1381=""),"計算額が下限以下のため不支給／",""))</f>
        <v/>
      </c>
      <c r="AL1381" s="12" t="n"/>
      <c r="AM1381" s="14">
        <f>IF($AD1381="保留中",COUNTIF($AD$6:$AD1381,"保留中"),"")</f>
        <v/>
      </c>
      <c r="AN1381" s="14">
        <f>IF($AO1381="","",IF(SUMPRODUCT(MAX((職員マスタ!$A$6:$A$405=$B1381)*(((職員マスタ!$G$6:$G$405="")+(職員マスタ!$G$6:$G$405&lt;=EOMONTH($AO1381,0)))&gt;0)*(((職員マスタ!$H$6:$H$405="")+(職員マスタ!$H$6:$H$405&gt;=$AO1381))&gt;0)*(ROW(職員マスタ!$A$6:$A$405)-5)))&gt;0,SUMPRODUCT(MAX((職員マスタ!$A$6:$A$405=$B1381)*(((職員マスタ!$G$6:$G$405="")+(職員マスタ!$G$6:$G$405&lt;=EOMONTH($AO1381,0)))&gt;0)*(((職員マスタ!$H$6:$H$405="")+(職員マスタ!$H$6:$H$405&gt;=$AO1381))&gt;0)*(ROW(職員マスタ!$A$6:$A$405)-5))),IFERROR(MATCH($B1381,職員マスタ!$A$6:$A$405,0),"")))</f>
        <v/>
      </c>
      <c r="AO1381" s="16">
        <f>IF(OR($B1381="",$C1381="",$D1381=""),"",DATE($C1381+2018,$D1381,1))</f>
        <v/>
      </c>
    </row>
    <row r="1382">
      <c r="A1382" s="11" t="n"/>
      <c r="B1382" s="12" t="n"/>
      <c r="C1382" s="12" t="n"/>
      <c r="D1382" s="12" t="n"/>
      <c r="E1382" s="13" t="n"/>
      <c r="F1382" s="12" t="n"/>
      <c r="G1382" s="13" t="n"/>
      <c r="H1382" s="12" t="n"/>
      <c r="I1382" s="12" t="n"/>
      <c r="J1382" s="12" t="n"/>
      <c r="K1382" s="12" t="n"/>
      <c r="L1382" s="11" t="n"/>
      <c r="M1382" s="11" t="n"/>
      <c r="N1382" s="11" t="n"/>
      <c r="O1382" s="11" t="n"/>
      <c r="P1382" s="12" t="n"/>
      <c r="Q1382" s="11" t="n"/>
      <c r="R1382" s="12" t="n"/>
      <c r="S1382" s="11" t="n"/>
      <c r="T1382" s="12" t="n"/>
      <c r="U1382" s="12" t="n"/>
      <c r="V1382" s="14">
        <f>IF($AN1382="",IF($B1382="","",$H1382),IF(INDEX(職員マスタ!$B$6:$B$405,$AN1382)="",$H1382,INDEX(職員マスタ!$B$6:$B$405,$AN1382)))</f>
        <v/>
      </c>
      <c r="W1382" s="14">
        <f>IF($AN1382="",IF($B1382="","",$R1382),IF(INDEX(職員マスタ!$C$6:$C$405,$AN1382)="",$R1382,INDEX(職員マスタ!$C$6:$C$405,$AN1382)))</f>
        <v/>
      </c>
      <c r="X1382" s="14">
        <f>IF($AO1382="","","R"&amp;$C1382&amp;"."&amp;$D1382)</f>
        <v/>
      </c>
      <c r="Y1382" s="15">
        <f>IF($AN1382="","",IF(INDEX(職員マスタ!$K$6:$K$405,$AN1382)="","",INDEX(職員マスタ!$K$6:$K$405,$AN1382)))</f>
        <v/>
      </c>
      <c r="Z1382" s="14">
        <f>IF(OR($E1382="",$Y1382=""),"",IF($E1382&gt;=$Y1382,"×",IF($E1382&gt;=$Y1382*設定!$C$5,"△","○")))</f>
        <v/>
      </c>
      <c r="AA1382" s="15">
        <f>IF($Z1382="","",IF($Z1382="×",0,IF($Z1382="○",ROUNDDOWN($E1382*設定!$C$4,0),ROUNDDOWN($E1382*ROUND((9*$Y1382-9*$E1382)/(10*$E1382),4),0))))</f>
        <v/>
      </c>
      <c r="AB1382" s="13" t="n"/>
      <c r="AC1382" s="15">
        <f>IF($B1382="","",IF($AB1382&lt;&gt;"",$AB1382,IF($AA1382="","",IF($AA1382&lt;=設定!$C$3,0,$AA1382))))</f>
        <v/>
      </c>
      <c r="AD1382" s="14">
        <f>IF($B1382="","",IF(AND($AE1382&lt;&gt;"",$AG1382="",$AJ1382=""),"保留中",IF($AJ1382&lt;&gt;"",IF(N($AC1382)&gt;0,"支給済","不支給"),IF($AC1382="","要確認",IF($AC1382=0,"不支給","未処理")))))</f>
        <v/>
      </c>
      <c r="AE1382" s="12" t="n"/>
      <c r="AF1382" s="11" t="n"/>
      <c r="AG1382" s="11" t="n"/>
      <c r="AH1382" s="11" t="n"/>
      <c r="AI1382" s="14">
        <f>IF(AND($AD1382="保留中",$AF1382&lt;&gt;""),TODAY()-$AF1382,"")</f>
        <v/>
      </c>
      <c r="AJ1382" s="12" t="n"/>
      <c r="AK1382" s="14">
        <f>IF($B1382="","",IF($AO1382="","対象年月が未入力／","")&amp;IF($B1382="","",IF($AN1382="","職員マスタに未登録の職員番号／",IF($Y1382="","標準報酬月額が未登録／","")&amp;IF(AND($AO1382&lt;&gt;"",OR(AND(INDEX(職員マスタ!$G$6:$G$405,$AN1382)&lt;&gt;"",INDEX(職員マスタ!$G$6:$G$405,$AN1382)&gt;EOMONTH($AO1382,0)),AND(INDEX(職員マスタ!$H$6:$H$405,$AN1382)&lt;&gt;"",INDEX(職員マスタ!$H$6:$H$405,$AN1382)&lt;$AO1382))),"対象月が時短期間外／","")&amp;IF(AND(INDEX(職員マスタ!$F$6:$F$405,$AN1382)&lt;&gt;"",$AO1382&lt;&gt;"",INDEX(職員マスタ!$F$6:$F$405,$AN1382)&lt;$AO1382),"対象月に子が2歳到達済／","")&amp;IF(AND($H1382&lt;&gt;"",INDEX(職員マスタ!$B$6:$B$405,$AN1382)&lt;&gt;"",SUBSTITUTE(SUBSTITUTE($H1382," ","")," ","")&lt;&gt;SUBSTITUTE(SUBSTITUTE(INDEX(職員マスタ!$B$6:$B$405,$AN1382)," ","")," ","")),"氏名がマスタと相違／","")&amp;IF(AND($Q1382&lt;&gt;"",INDEX(職員マスタ!$E$6:$E$405,$AN1382)&lt;&gt;"",$Q1382&lt;&gt;INDEX(職員マスタ!$E$6:$E$405,$AN1382)),"子の生年月日がマスタと相違／","")&amp;IF(AND($L1382&lt;&gt;"",INDEX(職員マスタ!$G$6:$G$405,$AN1382)&lt;&gt;"",$L1382&lt;&gt;INDEX(職員マスタ!$G$6:$G$405,$AN1382)),"時短開始日がマスタと相違／","")&amp;IF(AND($M1382&lt;&gt;"",INDEX(職員マスタ!$H$6:$H$405,$AN1382)&lt;&gt;"",$M1382&lt;&gt;INDEX(職員マスタ!$H$6:$H$405,$AN1382)),"時短終了日がマスタと相違／","")))&amp;IF(AND($B1382&lt;&gt;"",$E1382=""),"報酬額が未入力／","")&amp;IF(N($U1382)&gt;0,"申請書に入力エラーが残っています／","")&amp;IF(AND($B1382&lt;&gt;"",$AO1382&lt;&gt;""),IF(COUNTIFS($B$6:$B$3005,$B1382,$C$6:$C$3005,$C1382,$D$6:$D$3005,$D1382)&gt;1,"同じ月の請求が重複しています／",""),"")&amp;IF(AND(N($E1382)&gt;0,$Z1382&lt;&gt;"",$Z1382&lt;&gt;"×",$AC1382=0,$AB1382=""),"計算額が下限以下のため不支給／",""))</f>
        <v/>
      </c>
      <c r="AL1382" s="12" t="n"/>
      <c r="AM1382" s="14">
        <f>IF($AD1382="保留中",COUNTIF($AD$6:$AD1382,"保留中"),"")</f>
        <v/>
      </c>
      <c r="AN1382" s="14">
        <f>IF($AO1382="","",IF(SUMPRODUCT(MAX((職員マスタ!$A$6:$A$405=$B1382)*(((職員マスタ!$G$6:$G$405="")+(職員マスタ!$G$6:$G$405&lt;=EOMONTH($AO1382,0)))&gt;0)*(((職員マスタ!$H$6:$H$405="")+(職員マスタ!$H$6:$H$405&gt;=$AO1382))&gt;0)*(ROW(職員マスタ!$A$6:$A$405)-5)))&gt;0,SUMPRODUCT(MAX((職員マスタ!$A$6:$A$405=$B1382)*(((職員マスタ!$G$6:$G$405="")+(職員マスタ!$G$6:$G$405&lt;=EOMONTH($AO1382,0)))&gt;0)*(((職員マスタ!$H$6:$H$405="")+(職員マスタ!$H$6:$H$405&gt;=$AO1382))&gt;0)*(ROW(職員マスタ!$A$6:$A$405)-5))),IFERROR(MATCH($B1382,職員マスタ!$A$6:$A$405,0),"")))</f>
        <v/>
      </c>
      <c r="AO1382" s="16">
        <f>IF(OR($B1382="",$C1382="",$D1382=""),"",DATE($C1382+2018,$D1382,1))</f>
        <v/>
      </c>
    </row>
    <row r="1383">
      <c r="A1383" s="11" t="n"/>
      <c r="B1383" s="12" t="n"/>
      <c r="C1383" s="12" t="n"/>
      <c r="D1383" s="12" t="n"/>
      <c r="E1383" s="13" t="n"/>
      <c r="F1383" s="12" t="n"/>
      <c r="G1383" s="13" t="n"/>
      <c r="H1383" s="12" t="n"/>
      <c r="I1383" s="12" t="n"/>
      <c r="J1383" s="12" t="n"/>
      <c r="K1383" s="12" t="n"/>
      <c r="L1383" s="11" t="n"/>
      <c r="M1383" s="11" t="n"/>
      <c r="N1383" s="11" t="n"/>
      <c r="O1383" s="11" t="n"/>
      <c r="P1383" s="12" t="n"/>
      <c r="Q1383" s="11" t="n"/>
      <c r="R1383" s="12" t="n"/>
      <c r="S1383" s="11" t="n"/>
      <c r="T1383" s="12" t="n"/>
      <c r="U1383" s="12" t="n"/>
      <c r="V1383" s="14">
        <f>IF($AN1383="",IF($B1383="","",$H1383),IF(INDEX(職員マスタ!$B$6:$B$405,$AN1383)="",$H1383,INDEX(職員マスタ!$B$6:$B$405,$AN1383)))</f>
        <v/>
      </c>
      <c r="W1383" s="14">
        <f>IF($AN1383="",IF($B1383="","",$R1383),IF(INDEX(職員マスタ!$C$6:$C$405,$AN1383)="",$R1383,INDEX(職員マスタ!$C$6:$C$405,$AN1383)))</f>
        <v/>
      </c>
      <c r="X1383" s="14">
        <f>IF($AO1383="","","R"&amp;$C1383&amp;"."&amp;$D1383)</f>
        <v/>
      </c>
      <c r="Y1383" s="15">
        <f>IF($AN1383="","",IF(INDEX(職員マスタ!$K$6:$K$405,$AN1383)="","",INDEX(職員マスタ!$K$6:$K$405,$AN1383)))</f>
        <v/>
      </c>
      <c r="Z1383" s="14">
        <f>IF(OR($E1383="",$Y1383=""),"",IF($E1383&gt;=$Y1383,"×",IF($E1383&gt;=$Y1383*設定!$C$5,"△","○")))</f>
        <v/>
      </c>
      <c r="AA1383" s="15">
        <f>IF($Z1383="","",IF($Z1383="×",0,IF($Z1383="○",ROUNDDOWN($E1383*設定!$C$4,0),ROUNDDOWN($E1383*ROUND((9*$Y1383-9*$E1383)/(10*$E1383),4),0))))</f>
        <v/>
      </c>
      <c r="AB1383" s="13" t="n"/>
      <c r="AC1383" s="15">
        <f>IF($B1383="","",IF($AB1383&lt;&gt;"",$AB1383,IF($AA1383="","",IF($AA1383&lt;=設定!$C$3,0,$AA1383))))</f>
        <v/>
      </c>
      <c r="AD1383" s="14">
        <f>IF($B1383="","",IF(AND($AE1383&lt;&gt;"",$AG1383="",$AJ1383=""),"保留中",IF($AJ1383&lt;&gt;"",IF(N($AC1383)&gt;0,"支給済","不支給"),IF($AC1383="","要確認",IF($AC1383=0,"不支給","未処理")))))</f>
        <v/>
      </c>
      <c r="AE1383" s="12" t="n"/>
      <c r="AF1383" s="11" t="n"/>
      <c r="AG1383" s="11" t="n"/>
      <c r="AH1383" s="11" t="n"/>
      <c r="AI1383" s="14">
        <f>IF(AND($AD1383="保留中",$AF1383&lt;&gt;""),TODAY()-$AF1383,"")</f>
        <v/>
      </c>
      <c r="AJ1383" s="12" t="n"/>
      <c r="AK1383" s="14">
        <f>IF($B1383="","",IF($AO1383="","対象年月が未入力／","")&amp;IF($B1383="","",IF($AN1383="","職員マスタに未登録の職員番号／",IF($Y1383="","標準報酬月額が未登録／","")&amp;IF(AND($AO1383&lt;&gt;"",OR(AND(INDEX(職員マスタ!$G$6:$G$405,$AN1383)&lt;&gt;"",INDEX(職員マスタ!$G$6:$G$405,$AN1383)&gt;EOMONTH($AO1383,0)),AND(INDEX(職員マスタ!$H$6:$H$405,$AN1383)&lt;&gt;"",INDEX(職員マスタ!$H$6:$H$405,$AN1383)&lt;$AO1383))),"対象月が時短期間外／","")&amp;IF(AND(INDEX(職員マスタ!$F$6:$F$405,$AN1383)&lt;&gt;"",$AO1383&lt;&gt;"",INDEX(職員マスタ!$F$6:$F$405,$AN1383)&lt;$AO1383),"対象月に子が2歳到達済／","")&amp;IF(AND($H1383&lt;&gt;"",INDEX(職員マスタ!$B$6:$B$405,$AN1383)&lt;&gt;"",SUBSTITUTE(SUBSTITUTE($H1383," ","")," ","")&lt;&gt;SUBSTITUTE(SUBSTITUTE(INDEX(職員マスタ!$B$6:$B$405,$AN1383)," ","")," ","")),"氏名がマスタと相違／","")&amp;IF(AND($Q1383&lt;&gt;"",INDEX(職員マスタ!$E$6:$E$405,$AN1383)&lt;&gt;"",$Q1383&lt;&gt;INDEX(職員マスタ!$E$6:$E$405,$AN1383)),"子の生年月日がマスタと相違／","")&amp;IF(AND($L1383&lt;&gt;"",INDEX(職員マスタ!$G$6:$G$405,$AN1383)&lt;&gt;"",$L1383&lt;&gt;INDEX(職員マスタ!$G$6:$G$405,$AN1383)),"時短開始日がマスタと相違／","")&amp;IF(AND($M1383&lt;&gt;"",INDEX(職員マスタ!$H$6:$H$405,$AN1383)&lt;&gt;"",$M1383&lt;&gt;INDEX(職員マスタ!$H$6:$H$405,$AN1383)),"時短終了日がマスタと相違／","")))&amp;IF(AND($B1383&lt;&gt;"",$E1383=""),"報酬額が未入力／","")&amp;IF(N($U1383)&gt;0,"申請書に入力エラーが残っています／","")&amp;IF(AND($B1383&lt;&gt;"",$AO1383&lt;&gt;""),IF(COUNTIFS($B$6:$B$3005,$B1383,$C$6:$C$3005,$C1383,$D$6:$D$3005,$D1383)&gt;1,"同じ月の請求が重複しています／",""),"")&amp;IF(AND(N($E1383)&gt;0,$Z1383&lt;&gt;"",$Z1383&lt;&gt;"×",$AC1383=0,$AB1383=""),"計算額が下限以下のため不支給／",""))</f>
        <v/>
      </c>
      <c r="AL1383" s="12" t="n"/>
      <c r="AM1383" s="14">
        <f>IF($AD1383="保留中",COUNTIF($AD$6:$AD1383,"保留中"),"")</f>
        <v/>
      </c>
      <c r="AN1383" s="14">
        <f>IF($AO1383="","",IF(SUMPRODUCT(MAX((職員マスタ!$A$6:$A$405=$B1383)*(((職員マスタ!$G$6:$G$405="")+(職員マスタ!$G$6:$G$405&lt;=EOMONTH($AO1383,0)))&gt;0)*(((職員マスタ!$H$6:$H$405="")+(職員マスタ!$H$6:$H$405&gt;=$AO1383))&gt;0)*(ROW(職員マスタ!$A$6:$A$405)-5)))&gt;0,SUMPRODUCT(MAX((職員マスタ!$A$6:$A$405=$B1383)*(((職員マスタ!$G$6:$G$405="")+(職員マスタ!$G$6:$G$405&lt;=EOMONTH($AO1383,0)))&gt;0)*(((職員マスタ!$H$6:$H$405="")+(職員マスタ!$H$6:$H$405&gt;=$AO1383))&gt;0)*(ROW(職員マスタ!$A$6:$A$405)-5))),IFERROR(MATCH($B1383,職員マスタ!$A$6:$A$405,0),"")))</f>
        <v/>
      </c>
      <c r="AO1383" s="16">
        <f>IF(OR($B1383="",$C1383="",$D1383=""),"",DATE($C1383+2018,$D1383,1))</f>
        <v/>
      </c>
    </row>
    <row r="1384">
      <c r="A1384" s="11" t="n"/>
      <c r="B1384" s="12" t="n"/>
      <c r="C1384" s="12" t="n"/>
      <c r="D1384" s="12" t="n"/>
      <c r="E1384" s="13" t="n"/>
      <c r="F1384" s="12" t="n"/>
      <c r="G1384" s="13" t="n"/>
      <c r="H1384" s="12" t="n"/>
      <c r="I1384" s="12" t="n"/>
      <c r="J1384" s="12" t="n"/>
      <c r="K1384" s="12" t="n"/>
      <c r="L1384" s="11" t="n"/>
      <c r="M1384" s="11" t="n"/>
      <c r="N1384" s="11" t="n"/>
      <c r="O1384" s="11" t="n"/>
      <c r="P1384" s="12" t="n"/>
      <c r="Q1384" s="11" t="n"/>
      <c r="R1384" s="12" t="n"/>
      <c r="S1384" s="11" t="n"/>
      <c r="T1384" s="12" t="n"/>
      <c r="U1384" s="12" t="n"/>
      <c r="V1384" s="14">
        <f>IF($AN1384="",IF($B1384="","",$H1384),IF(INDEX(職員マスタ!$B$6:$B$405,$AN1384)="",$H1384,INDEX(職員マスタ!$B$6:$B$405,$AN1384)))</f>
        <v/>
      </c>
      <c r="W1384" s="14">
        <f>IF($AN1384="",IF($B1384="","",$R1384),IF(INDEX(職員マスタ!$C$6:$C$405,$AN1384)="",$R1384,INDEX(職員マスタ!$C$6:$C$405,$AN1384)))</f>
        <v/>
      </c>
      <c r="X1384" s="14">
        <f>IF($AO1384="","","R"&amp;$C1384&amp;"."&amp;$D1384)</f>
        <v/>
      </c>
      <c r="Y1384" s="15">
        <f>IF($AN1384="","",IF(INDEX(職員マスタ!$K$6:$K$405,$AN1384)="","",INDEX(職員マスタ!$K$6:$K$405,$AN1384)))</f>
        <v/>
      </c>
      <c r="Z1384" s="14">
        <f>IF(OR($E1384="",$Y1384=""),"",IF($E1384&gt;=$Y1384,"×",IF($E1384&gt;=$Y1384*設定!$C$5,"△","○")))</f>
        <v/>
      </c>
      <c r="AA1384" s="15">
        <f>IF($Z1384="","",IF($Z1384="×",0,IF($Z1384="○",ROUNDDOWN($E1384*設定!$C$4,0),ROUNDDOWN($E1384*ROUND((9*$Y1384-9*$E1384)/(10*$E1384),4),0))))</f>
        <v/>
      </c>
      <c r="AB1384" s="13" t="n"/>
      <c r="AC1384" s="15">
        <f>IF($B1384="","",IF($AB1384&lt;&gt;"",$AB1384,IF($AA1384="","",IF($AA1384&lt;=設定!$C$3,0,$AA1384))))</f>
        <v/>
      </c>
      <c r="AD1384" s="14">
        <f>IF($B1384="","",IF(AND($AE1384&lt;&gt;"",$AG1384="",$AJ1384=""),"保留中",IF($AJ1384&lt;&gt;"",IF(N($AC1384)&gt;0,"支給済","不支給"),IF($AC1384="","要確認",IF($AC1384=0,"不支給","未処理")))))</f>
        <v/>
      </c>
      <c r="AE1384" s="12" t="n"/>
      <c r="AF1384" s="11" t="n"/>
      <c r="AG1384" s="11" t="n"/>
      <c r="AH1384" s="11" t="n"/>
      <c r="AI1384" s="14">
        <f>IF(AND($AD1384="保留中",$AF1384&lt;&gt;""),TODAY()-$AF1384,"")</f>
        <v/>
      </c>
      <c r="AJ1384" s="12" t="n"/>
      <c r="AK1384" s="14">
        <f>IF($B1384="","",IF($AO1384="","対象年月が未入力／","")&amp;IF($B1384="","",IF($AN1384="","職員マスタに未登録の職員番号／",IF($Y1384="","標準報酬月額が未登録／","")&amp;IF(AND($AO1384&lt;&gt;"",OR(AND(INDEX(職員マスタ!$G$6:$G$405,$AN1384)&lt;&gt;"",INDEX(職員マスタ!$G$6:$G$405,$AN1384)&gt;EOMONTH($AO1384,0)),AND(INDEX(職員マスタ!$H$6:$H$405,$AN1384)&lt;&gt;"",INDEX(職員マスタ!$H$6:$H$405,$AN1384)&lt;$AO1384))),"対象月が時短期間外／","")&amp;IF(AND(INDEX(職員マスタ!$F$6:$F$405,$AN1384)&lt;&gt;"",$AO1384&lt;&gt;"",INDEX(職員マスタ!$F$6:$F$405,$AN1384)&lt;$AO1384),"対象月に子が2歳到達済／","")&amp;IF(AND($H1384&lt;&gt;"",INDEX(職員マスタ!$B$6:$B$405,$AN1384)&lt;&gt;"",SUBSTITUTE(SUBSTITUTE($H1384," ","")," ","")&lt;&gt;SUBSTITUTE(SUBSTITUTE(INDEX(職員マスタ!$B$6:$B$405,$AN1384)," ","")," ","")),"氏名がマスタと相違／","")&amp;IF(AND($Q1384&lt;&gt;"",INDEX(職員マスタ!$E$6:$E$405,$AN1384)&lt;&gt;"",$Q1384&lt;&gt;INDEX(職員マスタ!$E$6:$E$405,$AN1384)),"子の生年月日がマスタと相違／","")&amp;IF(AND($L1384&lt;&gt;"",INDEX(職員マスタ!$G$6:$G$405,$AN1384)&lt;&gt;"",$L1384&lt;&gt;INDEX(職員マスタ!$G$6:$G$405,$AN1384)),"時短開始日がマスタと相違／","")&amp;IF(AND($M1384&lt;&gt;"",INDEX(職員マスタ!$H$6:$H$405,$AN1384)&lt;&gt;"",$M1384&lt;&gt;INDEX(職員マスタ!$H$6:$H$405,$AN1384)),"時短終了日がマスタと相違／","")))&amp;IF(AND($B1384&lt;&gt;"",$E1384=""),"報酬額が未入力／","")&amp;IF(N($U1384)&gt;0,"申請書に入力エラーが残っています／","")&amp;IF(AND($B1384&lt;&gt;"",$AO1384&lt;&gt;""),IF(COUNTIFS($B$6:$B$3005,$B1384,$C$6:$C$3005,$C1384,$D$6:$D$3005,$D1384)&gt;1,"同じ月の請求が重複しています／",""),"")&amp;IF(AND(N($E1384)&gt;0,$Z1384&lt;&gt;"",$Z1384&lt;&gt;"×",$AC1384=0,$AB1384=""),"計算額が下限以下のため不支給／",""))</f>
        <v/>
      </c>
      <c r="AL1384" s="12" t="n"/>
      <c r="AM1384" s="14">
        <f>IF($AD1384="保留中",COUNTIF($AD$6:$AD1384,"保留中"),"")</f>
        <v/>
      </c>
      <c r="AN1384" s="14">
        <f>IF($AO1384="","",IF(SUMPRODUCT(MAX((職員マスタ!$A$6:$A$405=$B1384)*(((職員マスタ!$G$6:$G$405="")+(職員マスタ!$G$6:$G$405&lt;=EOMONTH($AO1384,0)))&gt;0)*(((職員マスタ!$H$6:$H$405="")+(職員マスタ!$H$6:$H$405&gt;=$AO1384))&gt;0)*(ROW(職員マスタ!$A$6:$A$405)-5)))&gt;0,SUMPRODUCT(MAX((職員マスタ!$A$6:$A$405=$B1384)*(((職員マスタ!$G$6:$G$405="")+(職員マスタ!$G$6:$G$405&lt;=EOMONTH($AO1384,0)))&gt;0)*(((職員マスタ!$H$6:$H$405="")+(職員マスタ!$H$6:$H$405&gt;=$AO1384))&gt;0)*(ROW(職員マスタ!$A$6:$A$405)-5))),IFERROR(MATCH($B1384,職員マスタ!$A$6:$A$405,0),"")))</f>
        <v/>
      </c>
      <c r="AO1384" s="16">
        <f>IF(OR($B1384="",$C1384="",$D1384=""),"",DATE($C1384+2018,$D1384,1))</f>
        <v/>
      </c>
    </row>
    <row r="1385">
      <c r="A1385" s="11" t="n"/>
      <c r="B1385" s="12" t="n"/>
      <c r="C1385" s="12" t="n"/>
      <c r="D1385" s="12" t="n"/>
      <c r="E1385" s="13" t="n"/>
      <c r="F1385" s="12" t="n"/>
      <c r="G1385" s="13" t="n"/>
      <c r="H1385" s="12" t="n"/>
      <c r="I1385" s="12" t="n"/>
      <c r="J1385" s="12" t="n"/>
      <c r="K1385" s="12" t="n"/>
      <c r="L1385" s="11" t="n"/>
      <c r="M1385" s="11" t="n"/>
      <c r="N1385" s="11" t="n"/>
      <c r="O1385" s="11" t="n"/>
      <c r="P1385" s="12" t="n"/>
      <c r="Q1385" s="11" t="n"/>
      <c r="R1385" s="12" t="n"/>
      <c r="S1385" s="11" t="n"/>
      <c r="T1385" s="12" t="n"/>
      <c r="U1385" s="12" t="n"/>
      <c r="V1385" s="14">
        <f>IF($AN1385="",IF($B1385="","",$H1385),IF(INDEX(職員マスタ!$B$6:$B$405,$AN1385)="",$H1385,INDEX(職員マスタ!$B$6:$B$405,$AN1385)))</f>
        <v/>
      </c>
      <c r="W1385" s="14">
        <f>IF($AN1385="",IF($B1385="","",$R1385),IF(INDEX(職員マスタ!$C$6:$C$405,$AN1385)="",$R1385,INDEX(職員マスタ!$C$6:$C$405,$AN1385)))</f>
        <v/>
      </c>
      <c r="X1385" s="14">
        <f>IF($AO1385="","","R"&amp;$C1385&amp;"."&amp;$D1385)</f>
        <v/>
      </c>
      <c r="Y1385" s="15">
        <f>IF($AN1385="","",IF(INDEX(職員マスタ!$K$6:$K$405,$AN1385)="","",INDEX(職員マスタ!$K$6:$K$405,$AN1385)))</f>
        <v/>
      </c>
      <c r="Z1385" s="14">
        <f>IF(OR($E1385="",$Y1385=""),"",IF($E1385&gt;=$Y1385,"×",IF($E1385&gt;=$Y1385*設定!$C$5,"△","○")))</f>
        <v/>
      </c>
      <c r="AA1385" s="15">
        <f>IF($Z1385="","",IF($Z1385="×",0,IF($Z1385="○",ROUNDDOWN($E1385*設定!$C$4,0),ROUNDDOWN($E1385*ROUND((9*$Y1385-9*$E1385)/(10*$E1385),4),0))))</f>
        <v/>
      </c>
      <c r="AB1385" s="13" t="n"/>
      <c r="AC1385" s="15">
        <f>IF($B1385="","",IF($AB1385&lt;&gt;"",$AB1385,IF($AA1385="","",IF($AA1385&lt;=設定!$C$3,0,$AA1385))))</f>
        <v/>
      </c>
      <c r="AD1385" s="14">
        <f>IF($B1385="","",IF(AND($AE1385&lt;&gt;"",$AG1385="",$AJ1385=""),"保留中",IF($AJ1385&lt;&gt;"",IF(N($AC1385)&gt;0,"支給済","不支給"),IF($AC1385="","要確認",IF($AC1385=0,"不支給","未処理")))))</f>
        <v/>
      </c>
      <c r="AE1385" s="12" t="n"/>
      <c r="AF1385" s="11" t="n"/>
      <c r="AG1385" s="11" t="n"/>
      <c r="AH1385" s="11" t="n"/>
      <c r="AI1385" s="14">
        <f>IF(AND($AD1385="保留中",$AF1385&lt;&gt;""),TODAY()-$AF1385,"")</f>
        <v/>
      </c>
      <c r="AJ1385" s="12" t="n"/>
      <c r="AK1385" s="14">
        <f>IF($B1385="","",IF($AO1385="","対象年月が未入力／","")&amp;IF($B1385="","",IF($AN1385="","職員マスタに未登録の職員番号／",IF($Y1385="","標準報酬月額が未登録／","")&amp;IF(AND($AO1385&lt;&gt;"",OR(AND(INDEX(職員マスタ!$G$6:$G$405,$AN1385)&lt;&gt;"",INDEX(職員マスタ!$G$6:$G$405,$AN1385)&gt;EOMONTH($AO1385,0)),AND(INDEX(職員マスタ!$H$6:$H$405,$AN1385)&lt;&gt;"",INDEX(職員マスタ!$H$6:$H$405,$AN1385)&lt;$AO1385))),"対象月が時短期間外／","")&amp;IF(AND(INDEX(職員マスタ!$F$6:$F$405,$AN1385)&lt;&gt;"",$AO1385&lt;&gt;"",INDEX(職員マスタ!$F$6:$F$405,$AN1385)&lt;$AO1385),"対象月に子が2歳到達済／","")&amp;IF(AND($H1385&lt;&gt;"",INDEX(職員マスタ!$B$6:$B$405,$AN1385)&lt;&gt;"",SUBSTITUTE(SUBSTITUTE($H1385," ","")," ","")&lt;&gt;SUBSTITUTE(SUBSTITUTE(INDEX(職員マスタ!$B$6:$B$405,$AN1385)," ","")," ","")),"氏名がマスタと相違／","")&amp;IF(AND($Q1385&lt;&gt;"",INDEX(職員マスタ!$E$6:$E$405,$AN1385)&lt;&gt;"",$Q1385&lt;&gt;INDEX(職員マスタ!$E$6:$E$405,$AN1385)),"子の生年月日がマスタと相違／","")&amp;IF(AND($L1385&lt;&gt;"",INDEX(職員マスタ!$G$6:$G$405,$AN1385)&lt;&gt;"",$L1385&lt;&gt;INDEX(職員マスタ!$G$6:$G$405,$AN1385)),"時短開始日がマスタと相違／","")&amp;IF(AND($M1385&lt;&gt;"",INDEX(職員マスタ!$H$6:$H$405,$AN1385)&lt;&gt;"",$M1385&lt;&gt;INDEX(職員マスタ!$H$6:$H$405,$AN1385)),"時短終了日がマスタと相違／","")))&amp;IF(AND($B1385&lt;&gt;"",$E1385=""),"報酬額が未入力／","")&amp;IF(N($U1385)&gt;0,"申請書に入力エラーが残っています／","")&amp;IF(AND($B1385&lt;&gt;"",$AO1385&lt;&gt;""),IF(COUNTIFS($B$6:$B$3005,$B1385,$C$6:$C$3005,$C1385,$D$6:$D$3005,$D1385)&gt;1,"同じ月の請求が重複しています／",""),"")&amp;IF(AND(N($E1385)&gt;0,$Z1385&lt;&gt;"",$Z1385&lt;&gt;"×",$AC1385=0,$AB1385=""),"計算額が下限以下のため不支給／",""))</f>
        <v/>
      </c>
      <c r="AL1385" s="12" t="n"/>
      <c r="AM1385" s="14">
        <f>IF($AD1385="保留中",COUNTIF($AD$6:$AD1385,"保留中"),"")</f>
        <v/>
      </c>
      <c r="AN1385" s="14">
        <f>IF($AO1385="","",IF(SUMPRODUCT(MAX((職員マスタ!$A$6:$A$405=$B1385)*(((職員マスタ!$G$6:$G$405="")+(職員マスタ!$G$6:$G$405&lt;=EOMONTH($AO1385,0)))&gt;0)*(((職員マスタ!$H$6:$H$405="")+(職員マスタ!$H$6:$H$405&gt;=$AO1385))&gt;0)*(ROW(職員マスタ!$A$6:$A$405)-5)))&gt;0,SUMPRODUCT(MAX((職員マスタ!$A$6:$A$405=$B1385)*(((職員マスタ!$G$6:$G$405="")+(職員マスタ!$G$6:$G$405&lt;=EOMONTH($AO1385,0)))&gt;0)*(((職員マスタ!$H$6:$H$405="")+(職員マスタ!$H$6:$H$405&gt;=$AO1385))&gt;0)*(ROW(職員マスタ!$A$6:$A$405)-5))),IFERROR(MATCH($B1385,職員マスタ!$A$6:$A$405,0),"")))</f>
        <v/>
      </c>
      <c r="AO1385" s="16">
        <f>IF(OR($B1385="",$C1385="",$D1385=""),"",DATE($C1385+2018,$D1385,1))</f>
        <v/>
      </c>
    </row>
    <row r="1386">
      <c r="A1386" s="11" t="n"/>
      <c r="B1386" s="12" t="n"/>
      <c r="C1386" s="12" t="n"/>
      <c r="D1386" s="12" t="n"/>
      <c r="E1386" s="13" t="n"/>
      <c r="F1386" s="12" t="n"/>
      <c r="G1386" s="13" t="n"/>
      <c r="H1386" s="12" t="n"/>
      <c r="I1386" s="12" t="n"/>
      <c r="J1386" s="12" t="n"/>
      <c r="K1386" s="12" t="n"/>
      <c r="L1386" s="11" t="n"/>
      <c r="M1386" s="11" t="n"/>
      <c r="N1386" s="11" t="n"/>
      <c r="O1386" s="11" t="n"/>
      <c r="P1386" s="12" t="n"/>
      <c r="Q1386" s="11" t="n"/>
      <c r="R1386" s="12" t="n"/>
      <c r="S1386" s="11" t="n"/>
      <c r="T1386" s="12" t="n"/>
      <c r="U1386" s="12" t="n"/>
      <c r="V1386" s="14">
        <f>IF($AN1386="",IF($B1386="","",$H1386),IF(INDEX(職員マスタ!$B$6:$B$405,$AN1386)="",$H1386,INDEX(職員マスタ!$B$6:$B$405,$AN1386)))</f>
        <v/>
      </c>
      <c r="W1386" s="14">
        <f>IF($AN1386="",IF($B1386="","",$R1386),IF(INDEX(職員マスタ!$C$6:$C$405,$AN1386)="",$R1386,INDEX(職員マスタ!$C$6:$C$405,$AN1386)))</f>
        <v/>
      </c>
      <c r="X1386" s="14">
        <f>IF($AO1386="","","R"&amp;$C1386&amp;"."&amp;$D1386)</f>
        <v/>
      </c>
      <c r="Y1386" s="15">
        <f>IF($AN1386="","",IF(INDEX(職員マスタ!$K$6:$K$405,$AN1386)="","",INDEX(職員マスタ!$K$6:$K$405,$AN1386)))</f>
        <v/>
      </c>
      <c r="Z1386" s="14">
        <f>IF(OR($E1386="",$Y1386=""),"",IF($E1386&gt;=$Y1386,"×",IF($E1386&gt;=$Y1386*設定!$C$5,"△","○")))</f>
        <v/>
      </c>
      <c r="AA1386" s="15">
        <f>IF($Z1386="","",IF($Z1386="×",0,IF($Z1386="○",ROUNDDOWN($E1386*設定!$C$4,0),ROUNDDOWN($E1386*ROUND((9*$Y1386-9*$E1386)/(10*$E1386),4),0))))</f>
        <v/>
      </c>
      <c r="AB1386" s="13" t="n"/>
      <c r="AC1386" s="15">
        <f>IF($B1386="","",IF($AB1386&lt;&gt;"",$AB1386,IF($AA1386="","",IF($AA1386&lt;=設定!$C$3,0,$AA1386))))</f>
        <v/>
      </c>
      <c r="AD1386" s="14">
        <f>IF($B1386="","",IF(AND($AE1386&lt;&gt;"",$AG1386="",$AJ1386=""),"保留中",IF($AJ1386&lt;&gt;"",IF(N($AC1386)&gt;0,"支給済","不支給"),IF($AC1386="","要確認",IF($AC1386=0,"不支給","未処理")))))</f>
        <v/>
      </c>
      <c r="AE1386" s="12" t="n"/>
      <c r="AF1386" s="11" t="n"/>
      <c r="AG1386" s="11" t="n"/>
      <c r="AH1386" s="11" t="n"/>
      <c r="AI1386" s="14">
        <f>IF(AND($AD1386="保留中",$AF1386&lt;&gt;""),TODAY()-$AF1386,"")</f>
        <v/>
      </c>
      <c r="AJ1386" s="12" t="n"/>
      <c r="AK1386" s="14">
        <f>IF($B1386="","",IF($AO1386="","対象年月が未入力／","")&amp;IF($B1386="","",IF($AN1386="","職員マスタに未登録の職員番号／",IF($Y1386="","標準報酬月額が未登録／","")&amp;IF(AND($AO1386&lt;&gt;"",OR(AND(INDEX(職員マスタ!$G$6:$G$405,$AN1386)&lt;&gt;"",INDEX(職員マスタ!$G$6:$G$405,$AN1386)&gt;EOMONTH($AO1386,0)),AND(INDEX(職員マスタ!$H$6:$H$405,$AN1386)&lt;&gt;"",INDEX(職員マスタ!$H$6:$H$405,$AN1386)&lt;$AO1386))),"対象月が時短期間外／","")&amp;IF(AND(INDEX(職員マスタ!$F$6:$F$405,$AN1386)&lt;&gt;"",$AO1386&lt;&gt;"",INDEX(職員マスタ!$F$6:$F$405,$AN1386)&lt;$AO1386),"対象月に子が2歳到達済／","")&amp;IF(AND($H1386&lt;&gt;"",INDEX(職員マスタ!$B$6:$B$405,$AN1386)&lt;&gt;"",SUBSTITUTE(SUBSTITUTE($H1386," ","")," ","")&lt;&gt;SUBSTITUTE(SUBSTITUTE(INDEX(職員マスタ!$B$6:$B$405,$AN1386)," ","")," ","")),"氏名がマスタと相違／","")&amp;IF(AND($Q1386&lt;&gt;"",INDEX(職員マスタ!$E$6:$E$405,$AN1386)&lt;&gt;"",$Q1386&lt;&gt;INDEX(職員マスタ!$E$6:$E$405,$AN1386)),"子の生年月日がマスタと相違／","")&amp;IF(AND($L1386&lt;&gt;"",INDEX(職員マスタ!$G$6:$G$405,$AN1386)&lt;&gt;"",$L1386&lt;&gt;INDEX(職員マスタ!$G$6:$G$405,$AN1386)),"時短開始日がマスタと相違／","")&amp;IF(AND($M1386&lt;&gt;"",INDEX(職員マスタ!$H$6:$H$405,$AN1386)&lt;&gt;"",$M1386&lt;&gt;INDEX(職員マスタ!$H$6:$H$405,$AN1386)),"時短終了日がマスタと相違／","")))&amp;IF(AND($B1386&lt;&gt;"",$E1386=""),"報酬額が未入力／","")&amp;IF(N($U1386)&gt;0,"申請書に入力エラーが残っています／","")&amp;IF(AND($B1386&lt;&gt;"",$AO1386&lt;&gt;""),IF(COUNTIFS($B$6:$B$3005,$B1386,$C$6:$C$3005,$C1386,$D$6:$D$3005,$D1386)&gt;1,"同じ月の請求が重複しています／",""),"")&amp;IF(AND(N($E1386)&gt;0,$Z1386&lt;&gt;"",$Z1386&lt;&gt;"×",$AC1386=0,$AB1386=""),"計算額が下限以下のため不支給／",""))</f>
        <v/>
      </c>
      <c r="AL1386" s="12" t="n"/>
      <c r="AM1386" s="14">
        <f>IF($AD1386="保留中",COUNTIF($AD$6:$AD1386,"保留中"),"")</f>
        <v/>
      </c>
      <c r="AN1386" s="14">
        <f>IF($AO1386="","",IF(SUMPRODUCT(MAX((職員マスタ!$A$6:$A$405=$B1386)*(((職員マスタ!$G$6:$G$405="")+(職員マスタ!$G$6:$G$405&lt;=EOMONTH($AO1386,0)))&gt;0)*(((職員マスタ!$H$6:$H$405="")+(職員マスタ!$H$6:$H$405&gt;=$AO1386))&gt;0)*(ROW(職員マスタ!$A$6:$A$405)-5)))&gt;0,SUMPRODUCT(MAX((職員マスタ!$A$6:$A$405=$B1386)*(((職員マスタ!$G$6:$G$405="")+(職員マスタ!$G$6:$G$405&lt;=EOMONTH($AO1386,0)))&gt;0)*(((職員マスタ!$H$6:$H$405="")+(職員マスタ!$H$6:$H$405&gt;=$AO1386))&gt;0)*(ROW(職員マスタ!$A$6:$A$405)-5))),IFERROR(MATCH($B1386,職員マスタ!$A$6:$A$405,0),"")))</f>
        <v/>
      </c>
      <c r="AO1386" s="16">
        <f>IF(OR($B1386="",$C1386="",$D1386=""),"",DATE($C1386+2018,$D1386,1))</f>
        <v/>
      </c>
    </row>
    <row r="1387">
      <c r="A1387" s="11" t="n"/>
      <c r="B1387" s="12" t="n"/>
      <c r="C1387" s="12" t="n"/>
      <c r="D1387" s="12" t="n"/>
      <c r="E1387" s="13" t="n"/>
      <c r="F1387" s="12" t="n"/>
      <c r="G1387" s="13" t="n"/>
      <c r="H1387" s="12" t="n"/>
      <c r="I1387" s="12" t="n"/>
      <c r="J1387" s="12" t="n"/>
      <c r="K1387" s="12" t="n"/>
      <c r="L1387" s="11" t="n"/>
      <c r="M1387" s="11" t="n"/>
      <c r="N1387" s="11" t="n"/>
      <c r="O1387" s="11" t="n"/>
      <c r="P1387" s="12" t="n"/>
      <c r="Q1387" s="11" t="n"/>
      <c r="R1387" s="12" t="n"/>
      <c r="S1387" s="11" t="n"/>
      <c r="T1387" s="12" t="n"/>
      <c r="U1387" s="12" t="n"/>
      <c r="V1387" s="14">
        <f>IF($AN1387="",IF($B1387="","",$H1387),IF(INDEX(職員マスタ!$B$6:$B$405,$AN1387)="",$H1387,INDEX(職員マスタ!$B$6:$B$405,$AN1387)))</f>
        <v/>
      </c>
      <c r="W1387" s="14">
        <f>IF($AN1387="",IF($B1387="","",$R1387),IF(INDEX(職員マスタ!$C$6:$C$405,$AN1387)="",$R1387,INDEX(職員マスタ!$C$6:$C$405,$AN1387)))</f>
        <v/>
      </c>
      <c r="X1387" s="14">
        <f>IF($AO1387="","","R"&amp;$C1387&amp;"."&amp;$D1387)</f>
        <v/>
      </c>
      <c r="Y1387" s="15">
        <f>IF($AN1387="","",IF(INDEX(職員マスタ!$K$6:$K$405,$AN1387)="","",INDEX(職員マスタ!$K$6:$K$405,$AN1387)))</f>
        <v/>
      </c>
      <c r="Z1387" s="14">
        <f>IF(OR($E1387="",$Y1387=""),"",IF($E1387&gt;=$Y1387,"×",IF($E1387&gt;=$Y1387*設定!$C$5,"△","○")))</f>
        <v/>
      </c>
      <c r="AA1387" s="15">
        <f>IF($Z1387="","",IF($Z1387="×",0,IF($Z1387="○",ROUNDDOWN($E1387*設定!$C$4,0),ROUNDDOWN($E1387*ROUND((9*$Y1387-9*$E1387)/(10*$E1387),4),0))))</f>
        <v/>
      </c>
      <c r="AB1387" s="13" t="n"/>
      <c r="AC1387" s="15">
        <f>IF($B1387="","",IF($AB1387&lt;&gt;"",$AB1387,IF($AA1387="","",IF($AA1387&lt;=設定!$C$3,0,$AA1387))))</f>
        <v/>
      </c>
      <c r="AD1387" s="14">
        <f>IF($B1387="","",IF(AND($AE1387&lt;&gt;"",$AG1387="",$AJ1387=""),"保留中",IF($AJ1387&lt;&gt;"",IF(N($AC1387)&gt;0,"支給済","不支給"),IF($AC1387="","要確認",IF($AC1387=0,"不支給","未処理")))))</f>
        <v/>
      </c>
      <c r="AE1387" s="12" t="n"/>
      <c r="AF1387" s="11" t="n"/>
      <c r="AG1387" s="11" t="n"/>
      <c r="AH1387" s="11" t="n"/>
      <c r="AI1387" s="14">
        <f>IF(AND($AD1387="保留中",$AF1387&lt;&gt;""),TODAY()-$AF1387,"")</f>
        <v/>
      </c>
      <c r="AJ1387" s="12" t="n"/>
      <c r="AK1387" s="14">
        <f>IF($B1387="","",IF($AO1387="","対象年月が未入力／","")&amp;IF($B1387="","",IF($AN1387="","職員マスタに未登録の職員番号／",IF($Y1387="","標準報酬月額が未登録／","")&amp;IF(AND($AO1387&lt;&gt;"",OR(AND(INDEX(職員マスタ!$G$6:$G$405,$AN1387)&lt;&gt;"",INDEX(職員マスタ!$G$6:$G$405,$AN1387)&gt;EOMONTH($AO1387,0)),AND(INDEX(職員マスタ!$H$6:$H$405,$AN1387)&lt;&gt;"",INDEX(職員マスタ!$H$6:$H$405,$AN1387)&lt;$AO1387))),"対象月が時短期間外／","")&amp;IF(AND(INDEX(職員マスタ!$F$6:$F$405,$AN1387)&lt;&gt;"",$AO1387&lt;&gt;"",INDEX(職員マスタ!$F$6:$F$405,$AN1387)&lt;$AO1387),"対象月に子が2歳到達済／","")&amp;IF(AND($H1387&lt;&gt;"",INDEX(職員マスタ!$B$6:$B$405,$AN1387)&lt;&gt;"",SUBSTITUTE(SUBSTITUTE($H1387," ","")," ","")&lt;&gt;SUBSTITUTE(SUBSTITUTE(INDEX(職員マスタ!$B$6:$B$405,$AN1387)," ","")," ","")),"氏名がマスタと相違／","")&amp;IF(AND($Q1387&lt;&gt;"",INDEX(職員マスタ!$E$6:$E$405,$AN1387)&lt;&gt;"",$Q1387&lt;&gt;INDEX(職員マスタ!$E$6:$E$405,$AN1387)),"子の生年月日がマスタと相違／","")&amp;IF(AND($L1387&lt;&gt;"",INDEX(職員マスタ!$G$6:$G$405,$AN1387)&lt;&gt;"",$L1387&lt;&gt;INDEX(職員マスタ!$G$6:$G$405,$AN1387)),"時短開始日がマスタと相違／","")&amp;IF(AND($M1387&lt;&gt;"",INDEX(職員マスタ!$H$6:$H$405,$AN1387)&lt;&gt;"",$M1387&lt;&gt;INDEX(職員マスタ!$H$6:$H$405,$AN1387)),"時短終了日がマスタと相違／","")))&amp;IF(AND($B1387&lt;&gt;"",$E1387=""),"報酬額が未入力／","")&amp;IF(N($U1387)&gt;0,"申請書に入力エラーが残っています／","")&amp;IF(AND($B1387&lt;&gt;"",$AO1387&lt;&gt;""),IF(COUNTIFS($B$6:$B$3005,$B1387,$C$6:$C$3005,$C1387,$D$6:$D$3005,$D1387)&gt;1,"同じ月の請求が重複しています／",""),"")&amp;IF(AND(N($E1387)&gt;0,$Z1387&lt;&gt;"",$Z1387&lt;&gt;"×",$AC1387=0,$AB1387=""),"計算額が下限以下のため不支給／",""))</f>
        <v/>
      </c>
      <c r="AL1387" s="12" t="n"/>
      <c r="AM1387" s="14">
        <f>IF($AD1387="保留中",COUNTIF($AD$6:$AD1387,"保留中"),"")</f>
        <v/>
      </c>
      <c r="AN1387" s="14">
        <f>IF($AO1387="","",IF(SUMPRODUCT(MAX((職員マスタ!$A$6:$A$405=$B1387)*(((職員マスタ!$G$6:$G$405="")+(職員マスタ!$G$6:$G$405&lt;=EOMONTH($AO1387,0)))&gt;0)*(((職員マスタ!$H$6:$H$405="")+(職員マスタ!$H$6:$H$405&gt;=$AO1387))&gt;0)*(ROW(職員マスタ!$A$6:$A$405)-5)))&gt;0,SUMPRODUCT(MAX((職員マスタ!$A$6:$A$405=$B1387)*(((職員マスタ!$G$6:$G$405="")+(職員マスタ!$G$6:$G$405&lt;=EOMONTH($AO1387,0)))&gt;0)*(((職員マスタ!$H$6:$H$405="")+(職員マスタ!$H$6:$H$405&gt;=$AO1387))&gt;0)*(ROW(職員マスタ!$A$6:$A$405)-5))),IFERROR(MATCH($B1387,職員マスタ!$A$6:$A$405,0),"")))</f>
        <v/>
      </c>
      <c r="AO1387" s="16">
        <f>IF(OR($B1387="",$C1387="",$D1387=""),"",DATE($C1387+2018,$D1387,1))</f>
        <v/>
      </c>
    </row>
    <row r="1388">
      <c r="A1388" s="11" t="n"/>
      <c r="B1388" s="12" t="n"/>
      <c r="C1388" s="12" t="n"/>
      <c r="D1388" s="12" t="n"/>
      <c r="E1388" s="13" t="n"/>
      <c r="F1388" s="12" t="n"/>
      <c r="G1388" s="13" t="n"/>
      <c r="H1388" s="12" t="n"/>
      <c r="I1388" s="12" t="n"/>
      <c r="J1388" s="12" t="n"/>
      <c r="K1388" s="12" t="n"/>
      <c r="L1388" s="11" t="n"/>
      <c r="M1388" s="11" t="n"/>
      <c r="N1388" s="11" t="n"/>
      <c r="O1388" s="11" t="n"/>
      <c r="P1388" s="12" t="n"/>
      <c r="Q1388" s="11" t="n"/>
      <c r="R1388" s="12" t="n"/>
      <c r="S1388" s="11" t="n"/>
      <c r="T1388" s="12" t="n"/>
      <c r="U1388" s="12" t="n"/>
      <c r="V1388" s="14">
        <f>IF($AN1388="",IF($B1388="","",$H1388),IF(INDEX(職員マスタ!$B$6:$B$405,$AN1388)="",$H1388,INDEX(職員マスタ!$B$6:$B$405,$AN1388)))</f>
        <v/>
      </c>
      <c r="W1388" s="14">
        <f>IF($AN1388="",IF($B1388="","",$R1388),IF(INDEX(職員マスタ!$C$6:$C$405,$AN1388)="",$R1388,INDEX(職員マスタ!$C$6:$C$405,$AN1388)))</f>
        <v/>
      </c>
      <c r="X1388" s="14">
        <f>IF($AO1388="","","R"&amp;$C1388&amp;"."&amp;$D1388)</f>
        <v/>
      </c>
      <c r="Y1388" s="15">
        <f>IF($AN1388="","",IF(INDEX(職員マスタ!$K$6:$K$405,$AN1388)="","",INDEX(職員マスタ!$K$6:$K$405,$AN1388)))</f>
        <v/>
      </c>
      <c r="Z1388" s="14">
        <f>IF(OR($E1388="",$Y1388=""),"",IF($E1388&gt;=$Y1388,"×",IF($E1388&gt;=$Y1388*設定!$C$5,"△","○")))</f>
        <v/>
      </c>
      <c r="AA1388" s="15">
        <f>IF($Z1388="","",IF($Z1388="×",0,IF($Z1388="○",ROUNDDOWN($E1388*設定!$C$4,0),ROUNDDOWN($E1388*ROUND((9*$Y1388-9*$E1388)/(10*$E1388),4),0))))</f>
        <v/>
      </c>
      <c r="AB1388" s="13" t="n"/>
      <c r="AC1388" s="15">
        <f>IF($B1388="","",IF($AB1388&lt;&gt;"",$AB1388,IF($AA1388="","",IF($AA1388&lt;=設定!$C$3,0,$AA1388))))</f>
        <v/>
      </c>
      <c r="AD1388" s="14">
        <f>IF($B1388="","",IF(AND($AE1388&lt;&gt;"",$AG1388="",$AJ1388=""),"保留中",IF($AJ1388&lt;&gt;"",IF(N($AC1388)&gt;0,"支給済","不支給"),IF($AC1388="","要確認",IF($AC1388=0,"不支給","未処理")))))</f>
        <v/>
      </c>
      <c r="AE1388" s="12" t="n"/>
      <c r="AF1388" s="11" t="n"/>
      <c r="AG1388" s="11" t="n"/>
      <c r="AH1388" s="11" t="n"/>
      <c r="AI1388" s="14">
        <f>IF(AND($AD1388="保留中",$AF1388&lt;&gt;""),TODAY()-$AF1388,"")</f>
        <v/>
      </c>
      <c r="AJ1388" s="12" t="n"/>
      <c r="AK1388" s="14">
        <f>IF($B1388="","",IF($AO1388="","対象年月が未入力／","")&amp;IF($B1388="","",IF($AN1388="","職員マスタに未登録の職員番号／",IF($Y1388="","標準報酬月額が未登録／","")&amp;IF(AND($AO1388&lt;&gt;"",OR(AND(INDEX(職員マスタ!$G$6:$G$405,$AN1388)&lt;&gt;"",INDEX(職員マスタ!$G$6:$G$405,$AN1388)&gt;EOMONTH($AO1388,0)),AND(INDEX(職員マスタ!$H$6:$H$405,$AN1388)&lt;&gt;"",INDEX(職員マスタ!$H$6:$H$405,$AN1388)&lt;$AO1388))),"対象月が時短期間外／","")&amp;IF(AND(INDEX(職員マスタ!$F$6:$F$405,$AN1388)&lt;&gt;"",$AO1388&lt;&gt;"",INDEX(職員マスタ!$F$6:$F$405,$AN1388)&lt;$AO1388),"対象月に子が2歳到達済／","")&amp;IF(AND($H1388&lt;&gt;"",INDEX(職員マスタ!$B$6:$B$405,$AN1388)&lt;&gt;"",SUBSTITUTE(SUBSTITUTE($H1388," ","")," ","")&lt;&gt;SUBSTITUTE(SUBSTITUTE(INDEX(職員マスタ!$B$6:$B$405,$AN1388)," ","")," ","")),"氏名がマスタと相違／","")&amp;IF(AND($Q1388&lt;&gt;"",INDEX(職員マスタ!$E$6:$E$405,$AN1388)&lt;&gt;"",$Q1388&lt;&gt;INDEX(職員マスタ!$E$6:$E$405,$AN1388)),"子の生年月日がマスタと相違／","")&amp;IF(AND($L1388&lt;&gt;"",INDEX(職員マスタ!$G$6:$G$405,$AN1388)&lt;&gt;"",$L1388&lt;&gt;INDEX(職員マスタ!$G$6:$G$405,$AN1388)),"時短開始日がマスタと相違／","")&amp;IF(AND($M1388&lt;&gt;"",INDEX(職員マスタ!$H$6:$H$405,$AN1388)&lt;&gt;"",$M1388&lt;&gt;INDEX(職員マスタ!$H$6:$H$405,$AN1388)),"時短終了日がマスタと相違／","")))&amp;IF(AND($B1388&lt;&gt;"",$E1388=""),"報酬額が未入力／","")&amp;IF(N($U1388)&gt;0,"申請書に入力エラーが残っています／","")&amp;IF(AND($B1388&lt;&gt;"",$AO1388&lt;&gt;""),IF(COUNTIFS($B$6:$B$3005,$B1388,$C$6:$C$3005,$C1388,$D$6:$D$3005,$D1388)&gt;1,"同じ月の請求が重複しています／",""),"")&amp;IF(AND(N($E1388)&gt;0,$Z1388&lt;&gt;"",$Z1388&lt;&gt;"×",$AC1388=0,$AB1388=""),"計算額が下限以下のため不支給／",""))</f>
        <v/>
      </c>
      <c r="AL1388" s="12" t="n"/>
      <c r="AM1388" s="14">
        <f>IF($AD1388="保留中",COUNTIF($AD$6:$AD1388,"保留中"),"")</f>
        <v/>
      </c>
      <c r="AN1388" s="14">
        <f>IF($AO1388="","",IF(SUMPRODUCT(MAX((職員マスタ!$A$6:$A$405=$B1388)*(((職員マスタ!$G$6:$G$405="")+(職員マスタ!$G$6:$G$405&lt;=EOMONTH($AO1388,0)))&gt;0)*(((職員マスタ!$H$6:$H$405="")+(職員マスタ!$H$6:$H$405&gt;=$AO1388))&gt;0)*(ROW(職員マスタ!$A$6:$A$405)-5)))&gt;0,SUMPRODUCT(MAX((職員マスタ!$A$6:$A$405=$B1388)*(((職員マスタ!$G$6:$G$405="")+(職員マスタ!$G$6:$G$405&lt;=EOMONTH($AO1388,0)))&gt;0)*(((職員マスタ!$H$6:$H$405="")+(職員マスタ!$H$6:$H$405&gt;=$AO1388))&gt;0)*(ROW(職員マスタ!$A$6:$A$405)-5))),IFERROR(MATCH($B1388,職員マスタ!$A$6:$A$405,0),"")))</f>
        <v/>
      </c>
      <c r="AO1388" s="16">
        <f>IF(OR($B1388="",$C1388="",$D1388=""),"",DATE($C1388+2018,$D1388,1))</f>
        <v/>
      </c>
    </row>
    <row r="1389">
      <c r="A1389" s="11" t="n"/>
      <c r="B1389" s="12" t="n"/>
      <c r="C1389" s="12" t="n"/>
      <c r="D1389" s="12" t="n"/>
      <c r="E1389" s="13" t="n"/>
      <c r="F1389" s="12" t="n"/>
      <c r="G1389" s="13" t="n"/>
      <c r="H1389" s="12" t="n"/>
      <c r="I1389" s="12" t="n"/>
      <c r="J1389" s="12" t="n"/>
      <c r="K1389" s="12" t="n"/>
      <c r="L1389" s="11" t="n"/>
      <c r="M1389" s="11" t="n"/>
      <c r="N1389" s="11" t="n"/>
      <c r="O1389" s="11" t="n"/>
      <c r="P1389" s="12" t="n"/>
      <c r="Q1389" s="11" t="n"/>
      <c r="R1389" s="12" t="n"/>
      <c r="S1389" s="11" t="n"/>
      <c r="T1389" s="12" t="n"/>
      <c r="U1389" s="12" t="n"/>
      <c r="V1389" s="14">
        <f>IF($AN1389="",IF($B1389="","",$H1389),IF(INDEX(職員マスタ!$B$6:$B$405,$AN1389)="",$H1389,INDEX(職員マスタ!$B$6:$B$405,$AN1389)))</f>
        <v/>
      </c>
      <c r="W1389" s="14">
        <f>IF($AN1389="",IF($B1389="","",$R1389),IF(INDEX(職員マスタ!$C$6:$C$405,$AN1389)="",$R1389,INDEX(職員マスタ!$C$6:$C$405,$AN1389)))</f>
        <v/>
      </c>
      <c r="X1389" s="14">
        <f>IF($AO1389="","","R"&amp;$C1389&amp;"."&amp;$D1389)</f>
        <v/>
      </c>
      <c r="Y1389" s="15">
        <f>IF($AN1389="","",IF(INDEX(職員マスタ!$K$6:$K$405,$AN1389)="","",INDEX(職員マスタ!$K$6:$K$405,$AN1389)))</f>
        <v/>
      </c>
      <c r="Z1389" s="14">
        <f>IF(OR($E1389="",$Y1389=""),"",IF($E1389&gt;=$Y1389,"×",IF($E1389&gt;=$Y1389*設定!$C$5,"△","○")))</f>
        <v/>
      </c>
      <c r="AA1389" s="15">
        <f>IF($Z1389="","",IF($Z1389="×",0,IF($Z1389="○",ROUNDDOWN($E1389*設定!$C$4,0),ROUNDDOWN($E1389*ROUND((9*$Y1389-9*$E1389)/(10*$E1389),4),0))))</f>
        <v/>
      </c>
      <c r="AB1389" s="13" t="n"/>
      <c r="AC1389" s="15">
        <f>IF($B1389="","",IF($AB1389&lt;&gt;"",$AB1389,IF($AA1389="","",IF($AA1389&lt;=設定!$C$3,0,$AA1389))))</f>
        <v/>
      </c>
      <c r="AD1389" s="14">
        <f>IF($B1389="","",IF(AND($AE1389&lt;&gt;"",$AG1389="",$AJ1389=""),"保留中",IF($AJ1389&lt;&gt;"",IF(N($AC1389)&gt;0,"支給済","不支給"),IF($AC1389="","要確認",IF($AC1389=0,"不支給","未処理")))))</f>
        <v/>
      </c>
      <c r="AE1389" s="12" t="n"/>
      <c r="AF1389" s="11" t="n"/>
      <c r="AG1389" s="11" t="n"/>
      <c r="AH1389" s="11" t="n"/>
      <c r="AI1389" s="14">
        <f>IF(AND($AD1389="保留中",$AF1389&lt;&gt;""),TODAY()-$AF1389,"")</f>
        <v/>
      </c>
      <c r="AJ1389" s="12" t="n"/>
      <c r="AK1389" s="14">
        <f>IF($B1389="","",IF($AO1389="","対象年月が未入力／","")&amp;IF($B1389="","",IF($AN1389="","職員マスタに未登録の職員番号／",IF($Y1389="","標準報酬月額が未登録／","")&amp;IF(AND($AO1389&lt;&gt;"",OR(AND(INDEX(職員マスタ!$G$6:$G$405,$AN1389)&lt;&gt;"",INDEX(職員マスタ!$G$6:$G$405,$AN1389)&gt;EOMONTH($AO1389,0)),AND(INDEX(職員マスタ!$H$6:$H$405,$AN1389)&lt;&gt;"",INDEX(職員マスタ!$H$6:$H$405,$AN1389)&lt;$AO1389))),"対象月が時短期間外／","")&amp;IF(AND(INDEX(職員マスタ!$F$6:$F$405,$AN1389)&lt;&gt;"",$AO1389&lt;&gt;"",INDEX(職員マスタ!$F$6:$F$405,$AN1389)&lt;$AO1389),"対象月に子が2歳到達済／","")&amp;IF(AND($H1389&lt;&gt;"",INDEX(職員マスタ!$B$6:$B$405,$AN1389)&lt;&gt;"",SUBSTITUTE(SUBSTITUTE($H1389," ","")," ","")&lt;&gt;SUBSTITUTE(SUBSTITUTE(INDEX(職員マスタ!$B$6:$B$405,$AN1389)," ","")," ","")),"氏名がマスタと相違／","")&amp;IF(AND($Q1389&lt;&gt;"",INDEX(職員マスタ!$E$6:$E$405,$AN1389)&lt;&gt;"",$Q1389&lt;&gt;INDEX(職員マスタ!$E$6:$E$405,$AN1389)),"子の生年月日がマスタと相違／","")&amp;IF(AND($L1389&lt;&gt;"",INDEX(職員マスタ!$G$6:$G$405,$AN1389)&lt;&gt;"",$L1389&lt;&gt;INDEX(職員マスタ!$G$6:$G$405,$AN1389)),"時短開始日がマスタと相違／","")&amp;IF(AND($M1389&lt;&gt;"",INDEX(職員マスタ!$H$6:$H$405,$AN1389)&lt;&gt;"",$M1389&lt;&gt;INDEX(職員マスタ!$H$6:$H$405,$AN1389)),"時短終了日がマスタと相違／","")))&amp;IF(AND($B1389&lt;&gt;"",$E1389=""),"報酬額が未入力／","")&amp;IF(N($U1389)&gt;0,"申請書に入力エラーが残っています／","")&amp;IF(AND($B1389&lt;&gt;"",$AO1389&lt;&gt;""),IF(COUNTIFS($B$6:$B$3005,$B1389,$C$6:$C$3005,$C1389,$D$6:$D$3005,$D1389)&gt;1,"同じ月の請求が重複しています／",""),"")&amp;IF(AND(N($E1389)&gt;0,$Z1389&lt;&gt;"",$Z1389&lt;&gt;"×",$AC1389=0,$AB1389=""),"計算額が下限以下のため不支給／",""))</f>
        <v/>
      </c>
      <c r="AL1389" s="12" t="n"/>
      <c r="AM1389" s="14">
        <f>IF($AD1389="保留中",COUNTIF($AD$6:$AD1389,"保留中"),"")</f>
        <v/>
      </c>
      <c r="AN1389" s="14">
        <f>IF($AO1389="","",IF(SUMPRODUCT(MAX((職員マスタ!$A$6:$A$405=$B1389)*(((職員マスタ!$G$6:$G$405="")+(職員マスタ!$G$6:$G$405&lt;=EOMONTH($AO1389,0)))&gt;0)*(((職員マスタ!$H$6:$H$405="")+(職員マスタ!$H$6:$H$405&gt;=$AO1389))&gt;0)*(ROW(職員マスタ!$A$6:$A$405)-5)))&gt;0,SUMPRODUCT(MAX((職員マスタ!$A$6:$A$405=$B1389)*(((職員マスタ!$G$6:$G$405="")+(職員マスタ!$G$6:$G$405&lt;=EOMONTH($AO1389,0)))&gt;0)*(((職員マスタ!$H$6:$H$405="")+(職員マスタ!$H$6:$H$405&gt;=$AO1389))&gt;0)*(ROW(職員マスタ!$A$6:$A$405)-5))),IFERROR(MATCH($B1389,職員マスタ!$A$6:$A$405,0),"")))</f>
        <v/>
      </c>
      <c r="AO1389" s="16">
        <f>IF(OR($B1389="",$C1389="",$D1389=""),"",DATE($C1389+2018,$D1389,1))</f>
        <v/>
      </c>
    </row>
    <row r="1390">
      <c r="A1390" s="11" t="n"/>
      <c r="B1390" s="12" t="n"/>
      <c r="C1390" s="12" t="n"/>
      <c r="D1390" s="12" t="n"/>
      <c r="E1390" s="13" t="n"/>
      <c r="F1390" s="12" t="n"/>
      <c r="G1390" s="13" t="n"/>
      <c r="H1390" s="12" t="n"/>
      <c r="I1390" s="12" t="n"/>
      <c r="J1390" s="12" t="n"/>
      <c r="K1390" s="12" t="n"/>
      <c r="L1390" s="11" t="n"/>
      <c r="M1390" s="11" t="n"/>
      <c r="N1390" s="11" t="n"/>
      <c r="O1390" s="11" t="n"/>
      <c r="P1390" s="12" t="n"/>
      <c r="Q1390" s="11" t="n"/>
      <c r="R1390" s="12" t="n"/>
      <c r="S1390" s="11" t="n"/>
      <c r="T1390" s="12" t="n"/>
      <c r="U1390" s="12" t="n"/>
      <c r="V1390" s="14">
        <f>IF($AN1390="",IF($B1390="","",$H1390),IF(INDEX(職員マスタ!$B$6:$B$405,$AN1390)="",$H1390,INDEX(職員マスタ!$B$6:$B$405,$AN1390)))</f>
        <v/>
      </c>
      <c r="W1390" s="14">
        <f>IF($AN1390="",IF($B1390="","",$R1390),IF(INDEX(職員マスタ!$C$6:$C$405,$AN1390)="",$R1390,INDEX(職員マスタ!$C$6:$C$405,$AN1390)))</f>
        <v/>
      </c>
      <c r="X1390" s="14">
        <f>IF($AO1390="","","R"&amp;$C1390&amp;"."&amp;$D1390)</f>
        <v/>
      </c>
      <c r="Y1390" s="15">
        <f>IF($AN1390="","",IF(INDEX(職員マスタ!$K$6:$K$405,$AN1390)="","",INDEX(職員マスタ!$K$6:$K$405,$AN1390)))</f>
        <v/>
      </c>
      <c r="Z1390" s="14">
        <f>IF(OR($E1390="",$Y1390=""),"",IF($E1390&gt;=$Y1390,"×",IF($E1390&gt;=$Y1390*設定!$C$5,"△","○")))</f>
        <v/>
      </c>
      <c r="AA1390" s="15">
        <f>IF($Z1390="","",IF($Z1390="×",0,IF($Z1390="○",ROUNDDOWN($E1390*設定!$C$4,0),ROUNDDOWN($E1390*ROUND((9*$Y1390-9*$E1390)/(10*$E1390),4),0))))</f>
        <v/>
      </c>
      <c r="AB1390" s="13" t="n"/>
      <c r="AC1390" s="15">
        <f>IF($B1390="","",IF($AB1390&lt;&gt;"",$AB1390,IF($AA1390="","",IF($AA1390&lt;=設定!$C$3,0,$AA1390))))</f>
        <v/>
      </c>
      <c r="AD1390" s="14">
        <f>IF($B1390="","",IF(AND($AE1390&lt;&gt;"",$AG1390="",$AJ1390=""),"保留中",IF($AJ1390&lt;&gt;"",IF(N($AC1390)&gt;0,"支給済","不支給"),IF($AC1390="","要確認",IF($AC1390=0,"不支給","未処理")))))</f>
        <v/>
      </c>
      <c r="AE1390" s="12" t="n"/>
      <c r="AF1390" s="11" t="n"/>
      <c r="AG1390" s="11" t="n"/>
      <c r="AH1390" s="11" t="n"/>
      <c r="AI1390" s="14">
        <f>IF(AND($AD1390="保留中",$AF1390&lt;&gt;""),TODAY()-$AF1390,"")</f>
        <v/>
      </c>
      <c r="AJ1390" s="12" t="n"/>
      <c r="AK1390" s="14">
        <f>IF($B1390="","",IF($AO1390="","対象年月が未入力／","")&amp;IF($B1390="","",IF($AN1390="","職員マスタに未登録の職員番号／",IF($Y1390="","標準報酬月額が未登録／","")&amp;IF(AND($AO1390&lt;&gt;"",OR(AND(INDEX(職員マスタ!$G$6:$G$405,$AN1390)&lt;&gt;"",INDEX(職員マスタ!$G$6:$G$405,$AN1390)&gt;EOMONTH($AO1390,0)),AND(INDEX(職員マスタ!$H$6:$H$405,$AN1390)&lt;&gt;"",INDEX(職員マスタ!$H$6:$H$405,$AN1390)&lt;$AO1390))),"対象月が時短期間外／","")&amp;IF(AND(INDEX(職員マスタ!$F$6:$F$405,$AN1390)&lt;&gt;"",$AO1390&lt;&gt;"",INDEX(職員マスタ!$F$6:$F$405,$AN1390)&lt;$AO1390),"対象月に子が2歳到達済／","")&amp;IF(AND($H1390&lt;&gt;"",INDEX(職員マスタ!$B$6:$B$405,$AN1390)&lt;&gt;"",SUBSTITUTE(SUBSTITUTE($H1390," ","")," ","")&lt;&gt;SUBSTITUTE(SUBSTITUTE(INDEX(職員マスタ!$B$6:$B$405,$AN1390)," ","")," ","")),"氏名がマスタと相違／","")&amp;IF(AND($Q1390&lt;&gt;"",INDEX(職員マスタ!$E$6:$E$405,$AN1390)&lt;&gt;"",$Q1390&lt;&gt;INDEX(職員マスタ!$E$6:$E$405,$AN1390)),"子の生年月日がマスタと相違／","")&amp;IF(AND($L1390&lt;&gt;"",INDEX(職員マスタ!$G$6:$G$405,$AN1390)&lt;&gt;"",$L1390&lt;&gt;INDEX(職員マスタ!$G$6:$G$405,$AN1390)),"時短開始日がマスタと相違／","")&amp;IF(AND($M1390&lt;&gt;"",INDEX(職員マスタ!$H$6:$H$405,$AN1390)&lt;&gt;"",$M1390&lt;&gt;INDEX(職員マスタ!$H$6:$H$405,$AN1390)),"時短終了日がマスタと相違／","")))&amp;IF(AND($B1390&lt;&gt;"",$E1390=""),"報酬額が未入力／","")&amp;IF(N($U1390)&gt;0,"申請書に入力エラーが残っています／","")&amp;IF(AND($B1390&lt;&gt;"",$AO1390&lt;&gt;""),IF(COUNTIFS($B$6:$B$3005,$B1390,$C$6:$C$3005,$C1390,$D$6:$D$3005,$D1390)&gt;1,"同じ月の請求が重複しています／",""),"")&amp;IF(AND(N($E1390)&gt;0,$Z1390&lt;&gt;"",$Z1390&lt;&gt;"×",$AC1390=0,$AB1390=""),"計算額が下限以下のため不支給／",""))</f>
        <v/>
      </c>
      <c r="AL1390" s="12" t="n"/>
      <c r="AM1390" s="14">
        <f>IF($AD1390="保留中",COUNTIF($AD$6:$AD1390,"保留中"),"")</f>
        <v/>
      </c>
      <c r="AN1390" s="14">
        <f>IF($AO1390="","",IF(SUMPRODUCT(MAX((職員マスタ!$A$6:$A$405=$B1390)*(((職員マスタ!$G$6:$G$405="")+(職員マスタ!$G$6:$G$405&lt;=EOMONTH($AO1390,0)))&gt;0)*(((職員マスタ!$H$6:$H$405="")+(職員マスタ!$H$6:$H$405&gt;=$AO1390))&gt;0)*(ROW(職員マスタ!$A$6:$A$405)-5)))&gt;0,SUMPRODUCT(MAX((職員マスタ!$A$6:$A$405=$B1390)*(((職員マスタ!$G$6:$G$405="")+(職員マスタ!$G$6:$G$405&lt;=EOMONTH($AO1390,0)))&gt;0)*(((職員マスタ!$H$6:$H$405="")+(職員マスタ!$H$6:$H$405&gt;=$AO1390))&gt;0)*(ROW(職員マスタ!$A$6:$A$405)-5))),IFERROR(MATCH($B1390,職員マスタ!$A$6:$A$405,0),"")))</f>
        <v/>
      </c>
      <c r="AO1390" s="16">
        <f>IF(OR($B1390="",$C1390="",$D1390=""),"",DATE($C1390+2018,$D1390,1))</f>
        <v/>
      </c>
    </row>
    <row r="1391">
      <c r="A1391" s="11" t="n"/>
      <c r="B1391" s="12" t="n"/>
      <c r="C1391" s="12" t="n"/>
      <c r="D1391" s="12" t="n"/>
      <c r="E1391" s="13" t="n"/>
      <c r="F1391" s="12" t="n"/>
      <c r="G1391" s="13" t="n"/>
      <c r="H1391" s="12" t="n"/>
      <c r="I1391" s="12" t="n"/>
      <c r="J1391" s="12" t="n"/>
      <c r="K1391" s="12" t="n"/>
      <c r="L1391" s="11" t="n"/>
      <c r="M1391" s="11" t="n"/>
      <c r="N1391" s="11" t="n"/>
      <c r="O1391" s="11" t="n"/>
      <c r="P1391" s="12" t="n"/>
      <c r="Q1391" s="11" t="n"/>
      <c r="R1391" s="12" t="n"/>
      <c r="S1391" s="11" t="n"/>
      <c r="T1391" s="12" t="n"/>
      <c r="U1391" s="12" t="n"/>
      <c r="V1391" s="14">
        <f>IF($AN1391="",IF($B1391="","",$H1391),IF(INDEX(職員マスタ!$B$6:$B$405,$AN1391)="",$H1391,INDEX(職員マスタ!$B$6:$B$405,$AN1391)))</f>
        <v/>
      </c>
      <c r="W1391" s="14">
        <f>IF($AN1391="",IF($B1391="","",$R1391),IF(INDEX(職員マスタ!$C$6:$C$405,$AN1391)="",$R1391,INDEX(職員マスタ!$C$6:$C$405,$AN1391)))</f>
        <v/>
      </c>
      <c r="X1391" s="14">
        <f>IF($AO1391="","","R"&amp;$C1391&amp;"."&amp;$D1391)</f>
        <v/>
      </c>
      <c r="Y1391" s="15">
        <f>IF($AN1391="","",IF(INDEX(職員マスタ!$K$6:$K$405,$AN1391)="","",INDEX(職員マスタ!$K$6:$K$405,$AN1391)))</f>
        <v/>
      </c>
      <c r="Z1391" s="14">
        <f>IF(OR($E1391="",$Y1391=""),"",IF($E1391&gt;=$Y1391,"×",IF($E1391&gt;=$Y1391*設定!$C$5,"△","○")))</f>
        <v/>
      </c>
      <c r="AA1391" s="15">
        <f>IF($Z1391="","",IF($Z1391="×",0,IF($Z1391="○",ROUNDDOWN($E1391*設定!$C$4,0),ROUNDDOWN($E1391*ROUND((9*$Y1391-9*$E1391)/(10*$E1391),4),0))))</f>
        <v/>
      </c>
      <c r="AB1391" s="13" t="n"/>
      <c r="AC1391" s="15">
        <f>IF($B1391="","",IF($AB1391&lt;&gt;"",$AB1391,IF($AA1391="","",IF($AA1391&lt;=設定!$C$3,0,$AA1391))))</f>
        <v/>
      </c>
      <c r="AD1391" s="14">
        <f>IF($B1391="","",IF(AND($AE1391&lt;&gt;"",$AG1391="",$AJ1391=""),"保留中",IF($AJ1391&lt;&gt;"",IF(N($AC1391)&gt;0,"支給済","不支給"),IF($AC1391="","要確認",IF($AC1391=0,"不支給","未処理")))))</f>
        <v/>
      </c>
      <c r="AE1391" s="12" t="n"/>
      <c r="AF1391" s="11" t="n"/>
      <c r="AG1391" s="11" t="n"/>
      <c r="AH1391" s="11" t="n"/>
      <c r="AI1391" s="14">
        <f>IF(AND($AD1391="保留中",$AF1391&lt;&gt;""),TODAY()-$AF1391,"")</f>
        <v/>
      </c>
      <c r="AJ1391" s="12" t="n"/>
      <c r="AK1391" s="14">
        <f>IF($B1391="","",IF($AO1391="","対象年月が未入力／","")&amp;IF($B1391="","",IF($AN1391="","職員マスタに未登録の職員番号／",IF($Y1391="","標準報酬月額が未登録／","")&amp;IF(AND($AO1391&lt;&gt;"",OR(AND(INDEX(職員マスタ!$G$6:$G$405,$AN1391)&lt;&gt;"",INDEX(職員マスタ!$G$6:$G$405,$AN1391)&gt;EOMONTH($AO1391,0)),AND(INDEX(職員マスタ!$H$6:$H$405,$AN1391)&lt;&gt;"",INDEX(職員マスタ!$H$6:$H$405,$AN1391)&lt;$AO1391))),"対象月が時短期間外／","")&amp;IF(AND(INDEX(職員マスタ!$F$6:$F$405,$AN1391)&lt;&gt;"",$AO1391&lt;&gt;"",INDEX(職員マスタ!$F$6:$F$405,$AN1391)&lt;$AO1391),"対象月に子が2歳到達済／","")&amp;IF(AND($H1391&lt;&gt;"",INDEX(職員マスタ!$B$6:$B$405,$AN1391)&lt;&gt;"",SUBSTITUTE(SUBSTITUTE($H1391," ","")," ","")&lt;&gt;SUBSTITUTE(SUBSTITUTE(INDEX(職員マスタ!$B$6:$B$405,$AN1391)," ","")," ","")),"氏名がマスタと相違／","")&amp;IF(AND($Q1391&lt;&gt;"",INDEX(職員マスタ!$E$6:$E$405,$AN1391)&lt;&gt;"",$Q1391&lt;&gt;INDEX(職員マスタ!$E$6:$E$405,$AN1391)),"子の生年月日がマスタと相違／","")&amp;IF(AND($L1391&lt;&gt;"",INDEX(職員マスタ!$G$6:$G$405,$AN1391)&lt;&gt;"",$L1391&lt;&gt;INDEX(職員マスタ!$G$6:$G$405,$AN1391)),"時短開始日がマスタと相違／","")&amp;IF(AND($M1391&lt;&gt;"",INDEX(職員マスタ!$H$6:$H$405,$AN1391)&lt;&gt;"",$M1391&lt;&gt;INDEX(職員マスタ!$H$6:$H$405,$AN1391)),"時短終了日がマスタと相違／","")))&amp;IF(AND($B1391&lt;&gt;"",$E1391=""),"報酬額が未入力／","")&amp;IF(N($U1391)&gt;0,"申請書に入力エラーが残っています／","")&amp;IF(AND($B1391&lt;&gt;"",$AO1391&lt;&gt;""),IF(COUNTIFS($B$6:$B$3005,$B1391,$C$6:$C$3005,$C1391,$D$6:$D$3005,$D1391)&gt;1,"同じ月の請求が重複しています／",""),"")&amp;IF(AND(N($E1391)&gt;0,$Z1391&lt;&gt;"",$Z1391&lt;&gt;"×",$AC1391=0,$AB1391=""),"計算額が下限以下のため不支給／",""))</f>
        <v/>
      </c>
      <c r="AL1391" s="12" t="n"/>
      <c r="AM1391" s="14">
        <f>IF($AD1391="保留中",COUNTIF($AD$6:$AD1391,"保留中"),"")</f>
        <v/>
      </c>
      <c r="AN1391" s="14">
        <f>IF($AO1391="","",IF(SUMPRODUCT(MAX((職員マスタ!$A$6:$A$405=$B1391)*(((職員マスタ!$G$6:$G$405="")+(職員マスタ!$G$6:$G$405&lt;=EOMONTH($AO1391,0)))&gt;0)*(((職員マスタ!$H$6:$H$405="")+(職員マスタ!$H$6:$H$405&gt;=$AO1391))&gt;0)*(ROW(職員マスタ!$A$6:$A$405)-5)))&gt;0,SUMPRODUCT(MAX((職員マスタ!$A$6:$A$405=$B1391)*(((職員マスタ!$G$6:$G$405="")+(職員マスタ!$G$6:$G$405&lt;=EOMONTH($AO1391,0)))&gt;0)*(((職員マスタ!$H$6:$H$405="")+(職員マスタ!$H$6:$H$405&gt;=$AO1391))&gt;0)*(ROW(職員マスタ!$A$6:$A$405)-5))),IFERROR(MATCH($B1391,職員マスタ!$A$6:$A$405,0),"")))</f>
        <v/>
      </c>
      <c r="AO1391" s="16">
        <f>IF(OR($B1391="",$C1391="",$D1391=""),"",DATE($C1391+2018,$D1391,1))</f>
        <v/>
      </c>
    </row>
    <row r="1392">
      <c r="A1392" s="11" t="n"/>
      <c r="B1392" s="12" t="n"/>
      <c r="C1392" s="12" t="n"/>
      <c r="D1392" s="12" t="n"/>
      <c r="E1392" s="13" t="n"/>
      <c r="F1392" s="12" t="n"/>
      <c r="G1392" s="13" t="n"/>
      <c r="H1392" s="12" t="n"/>
      <c r="I1392" s="12" t="n"/>
      <c r="J1392" s="12" t="n"/>
      <c r="K1392" s="12" t="n"/>
      <c r="L1392" s="11" t="n"/>
      <c r="M1392" s="11" t="n"/>
      <c r="N1392" s="11" t="n"/>
      <c r="O1392" s="11" t="n"/>
      <c r="P1392" s="12" t="n"/>
      <c r="Q1392" s="11" t="n"/>
      <c r="R1392" s="12" t="n"/>
      <c r="S1392" s="11" t="n"/>
      <c r="T1392" s="12" t="n"/>
      <c r="U1392" s="12" t="n"/>
      <c r="V1392" s="14">
        <f>IF($AN1392="",IF($B1392="","",$H1392),IF(INDEX(職員マスタ!$B$6:$B$405,$AN1392)="",$H1392,INDEX(職員マスタ!$B$6:$B$405,$AN1392)))</f>
        <v/>
      </c>
      <c r="W1392" s="14">
        <f>IF($AN1392="",IF($B1392="","",$R1392),IF(INDEX(職員マスタ!$C$6:$C$405,$AN1392)="",$R1392,INDEX(職員マスタ!$C$6:$C$405,$AN1392)))</f>
        <v/>
      </c>
      <c r="X1392" s="14">
        <f>IF($AO1392="","","R"&amp;$C1392&amp;"."&amp;$D1392)</f>
        <v/>
      </c>
      <c r="Y1392" s="15">
        <f>IF($AN1392="","",IF(INDEX(職員マスタ!$K$6:$K$405,$AN1392)="","",INDEX(職員マスタ!$K$6:$K$405,$AN1392)))</f>
        <v/>
      </c>
      <c r="Z1392" s="14">
        <f>IF(OR($E1392="",$Y1392=""),"",IF($E1392&gt;=$Y1392,"×",IF($E1392&gt;=$Y1392*設定!$C$5,"△","○")))</f>
        <v/>
      </c>
      <c r="AA1392" s="15">
        <f>IF($Z1392="","",IF($Z1392="×",0,IF($Z1392="○",ROUNDDOWN($E1392*設定!$C$4,0),ROUNDDOWN($E1392*ROUND((9*$Y1392-9*$E1392)/(10*$E1392),4),0))))</f>
        <v/>
      </c>
      <c r="AB1392" s="13" t="n"/>
      <c r="AC1392" s="15">
        <f>IF($B1392="","",IF($AB1392&lt;&gt;"",$AB1392,IF($AA1392="","",IF($AA1392&lt;=設定!$C$3,0,$AA1392))))</f>
        <v/>
      </c>
      <c r="AD1392" s="14">
        <f>IF($B1392="","",IF(AND($AE1392&lt;&gt;"",$AG1392="",$AJ1392=""),"保留中",IF($AJ1392&lt;&gt;"",IF(N($AC1392)&gt;0,"支給済","不支給"),IF($AC1392="","要確認",IF($AC1392=0,"不支給","未処理")))))</f>
        <v/>
      </c>
      <c r="AE1392" s="12" t="n"/>
      <c r="AF1392" s="11" t="n"/>
      <c r="AG1392" s="11" t="n"/>
      <c r="AH1392" s="11" t="n"/>
      <c r="AI1392" s="14">
        <f>IF(AND($AD1392="保留中",$AF1392&lt;&gt;""),TODAY()-$AF1392,"")</f>
        <v/>
      </c>
      <c r="AJ1392" s="12" t="n"/>
      <c r="AK1392" s="14">
        <f>IF($B1392="","",IF($AO1392="","対象年月が未入力／","")&amp;IF($B1392="","",IF($AN1392="","職員マスタに未登録の職員番号／",IF($Y1392="","標準報酬月額が未登録／","")&amp;IF(AND($AO1392&lt;&gt;"",OR(AND(INDEX(職員マスタ!$G$6:$G$405,$AN1392)&lt;&gt;"",INDEX(職員マスタ!$G$6:$G$405,$AN1392)&gt;EOMONTH($AO1392,0)),AND(INDEX(職員マスタ!$H$6:$H$405,$AN1392)&lt;&gt;"",INDEX(職員マスタ!$H$6:$H$405,$AN1392)&lt;$AO1392))),"対象月が時短期間外／","")&amp;IF(AND(INDEX(職員マスタ!$F$6:$F$405,$AN1392)&lt;&gt;"",$AO1392&lt;&gt;"",INDEX(職員マスタ!$F$6:$F$405,$AN1392)&lt;$AO1392),"対象月に子が2歳到達済／","")&amp;IF(AND($H1392&lt;&gt;"",INDEX(職員マスタ!$B$6:$B$405,$AN1392)&lt;&gt;"",SUBSTITUTE(SUBSTITUTE($H1392," ","")," ","")&lt;&gt;SUBSTITUTE(SUBSTITUTE(INDEX(職員マスタ!$B$6:$B$405,$AN1392)," ","")," ","")),"氏名がマスタと相違／","")&amp;IF(AND($Q1392&lt;&gt;"",INDEX(職員マスタ!$E$6:$E$405,$AN1392)&lt;&gt;"",$Q1392&lt;&gt;INDEX(職員マスタ!$E$6:$E$405,$AN1392)),"子の生年月日がマスタと相違／","")&amp;IF(AND($L1392&lt;&gt;"",INDEX(職員マスタ!$G$6:$G$405,$AN1392)&lt;&gt;"",$L1392&lt;&gt;INDEX(職員マスタ!$G$6:$G$405,$AN1392)),"時短開始日がマスタと相違／","")&amp;IF(AND($M1392&lt;&gt;"",INDEX(職員マスタ!$H$6:$H$405,$AN1392)&lt;&gt;"",$M1392&lt;&gt;INDEX(職員マスタ!$H$6:$H$405,$AN1392)),"時短終了日がマスタと相違／","")))&amp;IF(AND($B1392&lt;&gt;"",$E1392=""),"報酬額が未入力／","")&amp;IF(N($U1392)&gt;0,"申請書に入力エラーが残っています／","")&amp;IF(AND($B1392&lt;&gt;"",$AO1392&lt;&gt;""),IF(COUNTIFS($B$6:$B$3005,$B1392,$C$6:$C$3005,$C1392,$D$6:$D$3005,$D1392)&gt;1,"同じ月の請求が重複しています／",""),"")&amp;IF(AND(N($E1392)&gt;0,$Z1392&lt;&gt;"",$Z1392&lt;&gt;"×",$AC1392=0,$AB1392=""),"計算額が下限以下のため不支給／",""))</f>
        <v/>
      </c>
      <c r="AL1392" s="12" t="n"/>
      <c r="AM1392" s="14">
        <f>IF($AD1392="保留中",COUNTIF($AD$6:$AD1392,"保留中"),"")</f>
        <v/>
      </c>
      <c r="AN1392" s="14">
        <f>IF($AO1392="","",IF(SUMPRODUCT(MAX((職員マスタ!$A$6:$A$405=$B1392)*(((職員マスタ!$G$6:$G$405="")+(職員マスタ!$G$6:$G$405&lt;=EOMONTH($AO1392,0)))&gt;0)*(((職員マスタ!$H$6:$H$405="")+(職員マスタ!$H$6:$H$405&gt;=$AO1392))&gt;0)*(ROW(職員マスタ!$A$6:$A$405)-5)))&gt;0,SUMPRODUCT(MAX((職員マスタ!$A$6:$A$405=$B1392)*(((職員マスタ!$G$6:$G$405="")+(職員マスタ!$G$6:$G$405&lt;=EOMONTH($AO1392,0)))&gt;0)*(((職員マスタ!$H$6:$H$405="")+(職員マスタ!$H$6:$H$405&gt;=$AO1392))&gt;0)*(ROW(職員マスタ!$A$6:$A$405)-5))),IFERROR(MATCH($B1392,職員マスタ!$A$6:$A$405,0),"")))</f>
        <v/>
      </c>
      <c r="AO1392" s="16">
        <f>IF(OR($B1392="",$C1392="",$D1392=""),"",DATE($C1392+2018,$D1392,1))</f>
        <v/>
      </c>
    </row>
    <row r="1393">
      <c r="A1393" s="11" t="n"/>
      <c r="B1393" s="12" t="n"/>
      <c r="C1393" s="12" t="n"/>
      <c r="D1393" s="12" t="n"/>
      <c r="E1393" s="13" t="n"/>
      <c r="F1393" s="12" t="n"/>
      <c r="G1393" s="13" t="n"/>
      <c r="H1393" s="12" t="n"/>
      <c r="I1393" s="12" t="n"/>
      <c r="J1393" s="12" t="n"/>
      <c r="K1393" s="12" t="n"/>
      <c r="L1393" s="11" t="n"/>
      <c r="M1393" s="11" t="n"/>
      <c r="N1393" s="11" t="n"/>
      <c r="O1393" s="11" t="n"/>
      <c r="P1393" s="12" t="n"/>
      <c r="Q1393" s="11" t="n"/>
      <c r="R1393" s="12" t="n"/>
      <c r="S1393" s="11" t="n"/>
      <c r="T1393" s="12" t="n"/>
      <c r="U1393" s="12" t="n"/>
      <c r="V1393" s="14">
        <f>IF($AN1393="",IF($B1393="","",$H1393),IF(INDEX(職員マスタ!$B$6:$B$405,$AN1393)="",$H1393,INDEX(職員マスタ!$B$6:$B$405,$AN1393)))</f>
        <v/>
      </c>
      <c r="W1393" s="14">
        <f>IF($AN1393="",IF($B1393="","",$R1393),IF(INDEX(職員マスタ!$C$6:$C$405,$AN1393)="",$R1393,INDEX(職員マスタ!$C$6:$C$405,$AN1393)))</f>
        <v/>
      </c>
      <c r="X1393" s="14">
        <f>IF($AO1393="","","R"&amp;$C1393&amp;"."&amp;$D1393)</f>
        <v/>
      </c>
      <c r="Y1393" s="15">
        <f>IF($AN1393="","",IF(INDEX(職員マスタ!$K$6:$K$405,$AN1393)="","",INDEX(職員マスタ!$K$6:$K$405,$AN1393)))</f>
        <v/>
      </c>
      <c r="Z1393" s="14">
        <f>IF(OR($E1393="",$Y1393=""),"",IF($E1393&gt;=$Y1393,"×",IF($E1393&gt;=$Y1393*設定!$C$5,"△","○")))</f>
        <v/>
      </c>
      <c r="AA1393" s="15">
        <f>IF($Z1393="","",IF($Z1393="×",0,IF($Z1393="○",ROUNDDOWN($E1393*設定!$C$4,0),ROUNDDOWN($E1393*ROUND((9*$Y1393-9*$E1393)/(10*$E1393),4),0))))</f>
        <v/>
      </c>
      <c r="AB1393" s="13" t="n"/>
      <c r="AC1393" s="15">
        <f>IF($B1393="","",IF($AB1393&lt;&gt;"",$AB1393,IF($AA1393="","",IF($AA1393&lt;=設定!$C$3,0,$AA1393))))</f>
        <v/>
      </c>
      <c r="AD1393" s="14">
        <f>IF($B1393="","",IF(AND($AE1393&lt;&gt;"",$AG1393="",$AJ1393=""),"保留中",IF($AJ1393&lt;&gt;"",IF(N($AC1393)&gt;0,"支給済","不支給"),IF($AC1393="","要確認",IF($AC1393=0,"不支給","未処理")))))</f>
        <v/>
      </c>
      <c r="AE1393" s="12" t="n"/>
      <c r="AF1393" s="11" t="n"/>
      <c r="AG1393" s="11" t="n"/>
      <c r="AH1393" s="11" t="n"/>
      <c r="AI1393" s="14">
        <f>IF(AND($AD1393="保留中",$AF1393&lt;&gt;""),TODAY()-$AF1393,"")</f>
        <v/>
      </c>
      <c r="AJ1393" s="12" t="n"/>
      <c r="AK1393" s="14">
        <f>IF($B1393="","",IF($AO1393="","対象年月が未入力／","")&amp;IF($B1393="","",IF($AN1393="","職員マスタに未登録の職員番号／",IF($Y1393="","標準報酬月額が未登録／","")&amp;IF(AND($AO1393&lt;&gt;"",OR(AND(INDEX(職員マスタ!$G$6:$G$405,$AN1393)&lt;&gt;"",INDEX(職員マスタ!$G$6:$G$405,$AN1393)&gt;EOMONTH($AO1393,0)),AND(INDEX(職員マスタ!$H$6:$H$405,$AN1393)&lt;&gt;"",INDEX(職員マスタ!$H$6:$H$405,$AN1393)&lt;$AO1393))),"対象月が時短期間外／","")&amp;IF(AND(INDEX(職員マスタ!$F$6:$F$405,$AN1393)&lt;&gt;"",$AO1393&lt;&gt;"",INDEX(職員マスタ!$F$6:$F$405,$AN1393)&lt;$AO1393),"対象月に子が2歳到達済／","")&amp;IF(AND($H1393&lt;&gt;"",INDEX(職員マスタ!$B$6:$B$405,$AN1393)&lt;&gt;"",SUBSTITUTE(SUBSTITUTE($H1393," ","")," ","")&lt;&gt;SUBSTITUTE(SUBSTITUTE(INDEX(職員マスタ!$B$6:$B$405,$AN1393)," ","")," ","")),"氏名がマスタと相違／","")&amp;IF(AND($Q1393&lt;&gt;"",INDEX(職員マスタ!$E$6:$E$405,$AN1393)&lt;&gt;"",$Q1393&lt;&gt;INDEX(職員マスタ!$E$6:$E$405,$AN1393)),"子の生年月日がマスタと相違／","")&amp;IF(AND($L1393&lt;&gt;"",INDEX(職員マスタ!$G$6:$G$405,$AN1393)&lt;&gt;"",$L1393&lt;&gt;INDEX(職員マスタ!$G$6:$G$405,$AN1393)),"時短開始日がマスタと相違／","")&amp;IF(AND($M1393&lt;&gt;"",INDEX(職員マスタ!$H$6:$H$405,$AN1393)&lt;&gt;"",$M1393&lt;&gt;INDEX(職員マスタ!$H$6:$H$405,$AN1393)),"時短終了日がマスタと相違／","")))&amp;IF(AND($B1393&lt;&gt;"",$E1393=""),"報酬額が未入力／","")&amp;IF(N($U1393)&gt;0,"申請書に入力エラーが残っています／","")&amp;IF(AND($B1393&lt;&gt;"",$AO1393&lt;&gt;""),IF(COUNTIFS($B$6:$B$3005,$B1393,$C$6:$C$3005,$C1393,$D$6:$D$3005,$D1393)&gt;1,"同じ月の請求が重複しています／",""),"")&amp;IF(AND(N($E1393)&gt;0,$Z1393&lt;&gt;"",$Z1393&lt;&gt;"×",$AC1393=0,$AB1393=""),"計算額が下限以下のため不支給／",""))</f>
        <v/>
      </c>
      <c r="AL1393" s="12" t="n"/>
      <c r="AM1393" s="14">
        <f>IF($AD1393="保留中",COUNTIF($AD$6:$AD1393,"保留中"),"")</f>
        <v/>
      </c>
      <c r="AN1393" s="14">
        <f>IF($AO1393="","",IF(SUMPRODUCT(MAX((職員マスタ!$A$6:$A$405=$B1393)*(((職員マスタ!$G$6:$G$405="")+(職員マスタ!$G$6:$G$405&lt;=EOMONTH($AO1393,0)))&gt;0)*(((職員マスタ!$H$6:$H$405="")+(職員マスタ!$H$6:$H$405&gt;=$AO1393))&gt;0)*(ROW(職員マスタ!$A$6:$A$405)-5)))&gt;0,SUMPRODUCT(MAX((職員マスタ!$A$6:$A$405=$B1393)*(((職員マスタ!$G$6:$G$405="")+(職員マスタ!$G$6:$G$405&lt;=EOMONTH($AO1393,0)))&gt;0)*(((職員マスタ!$H$6:$H$405="")+(職員マスタ!$H$6:$H$405&gt;=$AO1393))&gt;0)*(ROW(職員マスタ!$A$6:$A$405)-5))),IFERROR(MATCH($B1393,職員マスタ!$A$6:$A$405,0),"")))</f>
        <v/>
      </c>
      <c r="AO1393" s="16">
        <f>IF(OR($B1393="",$C1393="",$D1393=""),"",DATE($C1393+2018,$D1393,1))</f>
        <v/>
      </c>
    </row>
    <row r="1394">
      <c r="A1394" s="11" t="n"/>
      <c r="B1394" s="12" t="n"/>
      <c r="C1394" s="12" t="n"/>
      <c r="D1394" s="12" t="n"/>
      <c r="E1394" s="13" t="n"/>
      <c r="F1394" s="12" t="n"/>
      <c r="G1394" s="13" t="n"/>
      <c r="H1394" s="12" t="n"/>
      <c r="I1394" s="12" t="n"/>
      <c r="J1394" s="12" t="n"/>
      <c r="K1394" s="12" t="n"/>
      <c r="L1394" s="11" t="n"/>
      <c r="M1394" s="11" t="n"/>
      <c r="N1394" s="11" t="n"/>
      <c r="O1394" s="11" t="n"/>
      <c r="P1394" s="12" t="n"/>
      <c r="Q1394" s="11" t="n"/>
      <c r="R1394" s="12" t="n"/>
      <c r="S1394" s="11" t="n"/>
      <c r="T1394" s="12" t="n"/>
      <c r="U1394" s="12" t="n"/>
      <c r="V1394" s="14">
        <f>IF($AN1394="",IF($B1394="","",$H1394),IF(INDEX(職員マスタ!$B$6:$B$405,$AN1394)="",$H1394,INDEX(職員マスタ!$B$6:$B$405,$AN1394)))</f>
        <v/>
      </c>
      <c r="W1394" s="14">
        <f>IF($AN1394="",IF($B1394="","",$R1394),IF(INDEX(職員マスタ!$C$6:$C$405,$AN1394)="",$R1394,INDEX(職員マスタ!$C$6:$C$405,$AN1394)))</f>
        <v/>
      </c>
      <c r="X1394" s="14">
        <f>IF($AO1394="","","R"&amp;$C1394&amp;"."&amp;$D1394)</f>
        <v/>
      </c>
      <c r="Y1394" s="15">
        <f>IF($AN1394="","",IF(INDEX(職員マスタ!$K$6:$K$405,$AN1394)="","",INDEX(職員マスタ!$K$6:$K$405,$AN1394)))</f>
        <v/>
      </c>
      <c r="Z1394" s="14">
        <f>IF(OR($E1394="",$Y1394=""),"",IF($E1394&gt;=$Y1394,"×",IF($E1394&gt;=$Y1394*設定!$C$5,"△","○")))</f>
        <v/>
      </c>
      <c r="AA1394" s="15">
        <f>IF($Z1394="","",IF($Z1394="×",0,IF($Z1394="○",ROUNDDOWN($E1394*設定!$C$4,0),ROUNDDOWN($E1394*ROUND((9*$Y1394-9*$E1394)/(10*$E1394),4),0))))</f>
        <v/>
      </c>
      <c r="AB1394" s="13" t="n"/>
      <c r="AC1394" s="15">
        <f>IF($B1394="","",IF($AB1394&lt;&gt;"",$AB1394,IF($AA1394="","",IF($AA1394&lt;=設定!$C$3,0,$AA1394))))</f>
        <v/>
      </c>
      <c r="AD1394" s="14">
        <f>IF($B1394="","",IF(AND($AE1394&lt;&gt;"",$AG1394="",$AJ1394=""),"保留中",IF($AJ1394&lt;&gt;"",IF(N($AC1394)&gt;0,"支給済","不支給"),IF($AC1394="","要確認",IF($AC1394=0,"不支給","未処理")))))</f>
        <v/>
      </c>
      <c r="AE1394" s="12" t="n"/>
      <c r="AF1394" s="11" t="n"/>
      <c r="AG1394" s="11" t="n"/>
      <c r="AH1394" s="11" t="n"/>
      <c r="AI1394" s="14">
        <f>IF(AND($AD1394="保留中",$AF1394&lt;&gt;""),TODAY()-$AF1394,"")</f>
        <v/>
      </c>
      <c r="AJ1394" s="12" t="n"/>
      <c r="AK1394" s="14">
        <f>IF($B1394="","",IF($AO1394="","対象年月が未入力／","")&amp;IF($B1394="","",IF($AN1394="","職員マスタに未登録の職員番号／",IF($Y1394="","標準報酬月額が未登録／","")&amp;IF(AND($AO1394&lt;&gt;"",OR(AND(INDEX(職員マスタ!$G$6:$G$405,$AN1394)&lt;&gt;"",INDEX(職員マスタ!$G$6:$G$405,$AN1394)&gt;EOMONTH($AO1394,0)),AND(INDEX(職員マスタ!$H$6:$H$405,$AN1394)&lt;&gt;"",INDEX(職員マスタ!$H$6:$H$405,$AN1394)&lt;$AO1394))),"対象月が時短期間外／","")&amp;IF(AND(INDEX(職員マスタ!$F$6:$F$405,$AN1394)&lt;&gt;"",$AO1394&lt;&gt;"",INDEX(職員マスタ!$F$6:$F$405,$AN1394)&lt;$AO1394),"対象月に子が2歳到達済／","")&amp;IF(AND($H1394&lt;&gt;"",INDEX(職員マスタ!$B$6:$B$405,$AN1394)&lt;&gt;"",SUBSTITUTE(SUBSTITUTE($H1394," ","")," ","")&lt;&gt;SUBSTITUTE(SUBSTITUTE(INDEX(職員マスタ!$B$6:$B$405,$AN1394)," ","")," ","")),"氏名がマスタと相違／","")&amp;IF(AND($Q1394&lt;&gt;"",INDEX(職員マスタ!$E$6:$E$405,$AN1394)&lt;&gt;"",$Q1394&lt;&gt;INDEX(職員マスタ!$E$6:$E$405,$AN1394)),"子の生年月日がマスタと相違／","")&amp;IF(AND($L1394&lt;&gt;"",INDEX(職員マスタ!$G$6:$G$405,$AN1394)&lt;&gt;"",$L1394&lt;&gt;INDEX(職員マスタ!$G$6:$G$405,$AN1394)),"時短開始日がマスタと相違／","")&amp;IF(AND($M1394&lt;&gt;"",INDEX(職員マスタ!$H$6:$H$405,$AN1394)&lt;&gt;"",$M1394&lt;&gt;INDEX(職員マスタ!$H$6:$H$405,$AN1394)),"時短終了日がマスタと相違／","")))&amp;IF(AND($B1394&lt;&gt;"",$E1394=""),"報酬額が未入力／","")&amp;IF(N($U1394)&gt;0,"申請書に入力エラーが残っています／","")&amp;IF(AND($B1394&lt;&gt;"",$AO1394&lt;&gt;""),IF(COUNTIFS($B$6:$B$3005,$B1394,$C$6:$C$3005,$C1394,$D$6:$D$3005,$D1394)&gt;1,"同じ月の請求が重複しています／",""),"")&amp;IF(AND(N($E1394)&gt;0,$Z1394&lt;&gt;"",$Z1394&lt;&gt;"×",$AC1394=0,$AB1394=""),"計算額が下限以下のため不支給／",""))</f>
        <v/>
      </c>
      <c r="AL1394" s="12" t="n"/>
      <c r="AM1394" s="14">
        <f>IF($AD1394="保留中",COUNTIF($AD$6:$AD1394,"保留中"),"")</f>
        <v/>
      </c>
      <c r="AN1394" s="14">
        <f>IF($AO1394="","",IF(SUMPRODUCT(MAX((職員マスタ!$A$6:$A$405=$B1394)*(((職員マスタ!$G$6:$G$405="")+(職員マスタ!$G$6:$G$405&lt;=EOMONTH($AO1394,0)))&gt;0)*(((職員マスタ!$H$6:$H$405="")+(職員マスタ!$H$6:$H$405&gt;=$AO1394))&gt;0)*(ROW(職員マスタ!$A$6:$A$405)-5)))&gt;0,SUMPRODUCT(MAX((職員マスタ!$A$6:$A$405=$B1394)*(((職員マスタ!$G$6:$G$405="")+(職員マスタ!$G$6:$G$405&lt;=EOMONTH($AO1394,0)))&gt;0)*(((職員マスタ!$H$6:$H$405="")+(職員マスタ!$H$6:$H$405&gt;=$AO1394))&gt;0)*(ROW(職員マスタ!$A$6:$A$405)-5))),IFERROR(MATCH($B1394,職員マスタ!$A$6:$A$405,0),"")))</f>
        <v/>
      </c>
      <c r="AO1394" s="16">
        <f>IF(OR($B1394="",$C1394="",$D1394=""),"",DATE($C1394+2018,$D1394,1))</f>
        <v/>
      </c>
    </row>
    <row r="1395">
      <c r="A1395" s="11" t="n"/>
      <c r="B1395" s="12" t="n"/>
      <c r="C1395" s="12" t="n"/>
      <c r="D1395" s="12" t="n"/>
      <c r="E1395" s="13" t="n"/>
      <c r="F1395" s="12" t="n"/>
      <c r="G1395" s="13" t="n"/>
      <c r="H1395" s="12" t="n"/>
      <c r="I1395" s="12" t="n"/>
      <c r="J1395" s="12" t="n"/>
      <c r="K1395" s="12" t="n"/>
      <c r="L1395" s="11" t="n"/>
      <c r="M1395" s="11" t="n"/>
      <c r="N1395" s="11" t="n"/>
      <c r="O1395" s="11" t="n"/>
      <c r="P1395" s="12" t="n"/>
      <c r="Q1395" s="11" t="n"/>
      <c r="R1395" s="12" t="n"/>
      <c r="S1395" s="11" t="n"/>
      <c r="T1395" s="12" t="n"/>
      <c r="U1395" s="12" t="n"/>
      <c r="V1395" s="14">
        <f>IF($AN1395="",IF($B1395="","",$H1395),IF(INDEX(職員マスタ!$B$6:$B$405,$AN1395)="",$H1395,INDEX(職員マスタ!$B$6:$B$405,$AN1395)))</f>
        <v/>
      </c>
      <c r="W1395" s="14">
        <f>IF($AN1395="",IF($B1395="","",$R1395),IF(INDEX(職員マスタ!$C$6:$C$405,$AN1395)="",$R1395,INDEX(職員マスタ!$C$6:$C$405,$AN1395)))</f>
        <v/>
      </c>
      <c r="X1395" s="14">
        <f>IF($AO1395="","","R"&amp;$C1395&amp;"."&amp;$D1395)</f>
        <v/>
      </c>
      <c r="Y1395" s="15">
        <f>IF($AN1395="","",IF(INDEX(職員マスタ!$K$6:$K$405,$AN1395)="","",INDEX(職員マスタ!$K$6:$K$405,$AN1395)))</f>
        <v/>
      </c>
      <c r="Z1395" s="14">
        <f>IF(OR($E1395="",$Y1395=""),"",IF($E1395&gt;=$Y1395,"×",IF($E1395&gt;=$Y1395*設定!$C$5,"△","○")))</f>
        <v/>
      </c>
      <c r="AA1395" s="15">
        <f>IF($Z1395="","",IF($Z1395="×",0,IF($Z1395="○",ROUNDDOWN($E1395*設定!$C$4,0),ROUNDDOWN($E1395*ROUND((9*$Y1395-9*$E1395)/(10*$E1395),4),0))))</f>
        <v/>
      </c>
      <c r="AB1395" s="13" t="n"/>
      <c r="AC1395" s="15">
        <f>IF($B1395="","",IF($AB1395&lt;&gt;"",$AB1395,IF($AA1395="","",IF($AA1395&lt;=設定!$C$3,0,$AA1395))))</f>
        <v/>
      </c>
      <c r="AD1395" s="14">
        <f>IF($B1395="","",IF(AND($AE1395&lt;&gt;"",$AG1395="",$AJ1395=""),"保留中",IF($AJ1395&lt;&gt;"",IF(N($AC1395)&gt;0,"支給済","不支給"),IF($AC1395="","要確認",IF($AC1395=0,"不支給","未処理")))))</f>
        <v/>
      </c>
      <c r="AE1395" s="12" t="n"/>
      <c r="AF1395" s="11" t="n"/>
      <c r="AG1395" s="11" t="n"/>
      <c r="AH1395" s="11" t="n"/>
      <c r="AI1395" s="14">
        <f>IF(AND($AD1395="保留中",$AF1395&lt;&gt;""),TODAY()-$AF1395,"")</f>
        <v/>
      </c>
      <c r="AJ1395" s="12" t="n"/>
      <c r="AK1395" s="14">
        <f>IF($B1395="","",IF($AO1395="","対象年月が未入力／","")&amp;IF($B1395="","",IF($AN1395="","職員マスタに未登録の職員番号／",IF($Y1395="","標準報酬月額が未登録／","")&amp;IF(AND($AO1395&lt;&gt;"",OR(AND(INDEX(職員マスタ!$G$6:$G$405,$AN1395)&lt;&gt;"",INDEX(職員マスタ!$G$6:$G$405,$AN1395)&gt;EOMONTH($AO1395,0)),AND(INDEX(職員マスタ!$H$6:$H$405,$AN1395)&lt;&gt;"",INDEX(職員マスタ!$H$6:$H$405,$AN1395)&lt;$AO1395))),"対象月が時短期間外／","")&amp;IF(AND(INDEX(職員マスタ!$F$6:$F$405,$AN1395)&lt;&gt;"",$AO1395&lt;&gt;"",INDEX(職員マスタ!$F$6:$F$405,$AN1395)&lt;$AO1395),"対象月に子が2歳到達済／","")&amp;IF(AND($H1395&lt;&gt;"",INDEX(職員マスタ!$B$6:$B$405,$AN1395)&lt;&gt;"",SUBSTITUTE(SUBSTITUTE($H1395," ","")," ","")&lt;&gt;SUBSTITUTE(SUBSTITUTE(INDEX(職員マスタ!$B$6:$B$405,$AN1395)," ","")," ","")),"氏名がマスタと相違／","")&amp;IF(AND($Q1395&lt;&gt;"",INDEX(職員マスタ!$E$6:$E$405,$AN1395)&lt;&gt;"",$Q1395&lt;&gt;INDEX(職員マスタ!$E$6:$E$405,$AN1395)),"子の生年月日がマスタと相違／","")&amp;IF(AND($L1395&lt;&gt;"",INDEX(職員マスタ!$G$6:$G$405,$AN1395)&lt;&gt;"",$L1395&lt;&gt;INDEX(職員マスタ!$G$6:$G$405,$AN1395)),"時短開始日がマスタと相違／","")&amp;IF(AND($M1395&lt;&gt;"",INDEX(職員マスタ!$H$6:$H$405,$AN1395)&lt;&gt;"",$M1395&lt;&gt;INDEX(職員マスタ!$H$6:$H$405,$AN1395)),"時短終了日がマスタと相違／","")))&amp;IF(AND($B1395&lt;&gt;"",$E1395=""),"報酬額が未入力／","")&amp;IF(N($U1395)&gt;0,"申請書に入力エラーが残っています／","")&amp;IF(AND($B1395&lt;&gt;"",$AO1395&lt;&gt;""),IF(COUNTIFS($B$6:$B$3005,$B1395,$C$6:$C$3005,$C1395,$D$6:$D$3005,$D1395)&gt;1,"同じ月の請求が重複しています／",""),"")&amp;IF(AND(N($E1395)&gt;0,$Z1395&lt;&gt;"",$Z1395&lt;&gt;"×",$AC1395=0,$AB1395=""),"計算額が下限以下のため不支給／",""))</f>
        <v/>
      </c>
      <c r="AL1395" s="12" t="n"/>
      <c r="AM1395" s="14">
        <f>IF($AD1395="保留中",COUNTIF($AD$6:$AD1395,"保留中"),"")</f>
        <v/>
      </c>
      <c r="AN1395" s="14">
        <f>IF($AO1395="","",IF(SUMPRODUCT(MAX((職員マスタ!$A$6:$A$405=$B1395)*(((職員マスタ!$G$6:$G$405="")+(職員マスタ!$G$6:$G$405&lt;=EOMONTH($AO1395,0)))&gt;0)*(((職員マスタ!$H$6:$H$405="")+(職員マスタ!$H$6:$H$405&gt;=$AO1395))&gt;0)*(ROW(職員マスタ!$A$6:$A$405)-5)))&gt;0,SUMPRODUCT(MAX((職員マスタ!$A$6:$A$405=$B1395)*(((職員マスタ!$G$6:$G$405="")+(職員マスタ!$G$6:$G$405&lt;=EOMONTH($AO1395,0)))&gt;0)*(((職員マスタ!$H$6:$H$405="")+(職員マスタ!$H$6:$H$405&gt;=$AO1395))&gt;0)*(ROW(職員マスタ!$A$6:$A$405)-5))),IFERROR(MATCH($B1395,職員マスタ!$A$6:$A$405,0),"")))</f>
        <v/>
      </c>
      <c r="AO1395" s="16">
        <f>IF(OR($B1395="",$C1395="",$D1395=""),"",DATE($C1395+2018,$D1395,1))</f>
        <v/>
      </c>
    </row>
    <row r="1396">
      <c r="A1396" s="11" t="n"/>
      <c r="B1396" s="12" t="n"/>
      <c r="C1396" s="12" t="n"/>
      <c r="D1396" s="12" t="n"/>
      <c r="E1396" s="13" t="n"/>
      <c r="F1396" s="12" t="n"/>
      <c r="G1396" s="13" t="n"/>
      <c r="H1396" s="12" t="n"/>
      <c r="I1396" s="12" t="n"/>
      <c r="J1396" s="12" t="n"/>
      <c r="K1396" s="12" t="n"/>
      <c r="L1396" s="11" t="n"/>
      <c r="M1396" s="11" t="n"/>
      <c r="N1396" s="11" t="n"/>
      <c r="O1396" s="11" t="n"/>
      <c r="P1396" s="12" t="n"/>
      <c r="Q1396" s="11" t="n"/>
      <c r="R1396" s="12" t="n"/>
      <c r="S1396" s="11" t="n"/>
      <c r="T1396" s="12" t="n"/>
      <c r="U1396" s="12" t="n"/>
      <c r="V1396" s="14">
        <f>IF($AN1396="",IF($B1396="","",$H1396),IF(INDEX(職員マスタ!$B$6:$B$405,$AN1396)="",$H1396,INDEX(職員マスタ!$B$6:$B$405,$AN1396)))</f>
        <v/>
      </c>
      <c r="W1396" s="14">
        <f>IF($AN1396="",IF($B1396="","",$R1396),IF(INDEX(職員マスタ!$C$6:$C$405,$AN1396)="",$R1396,INDEX(職員マスタ!$C$6:$C$405,$AN1396)))</f>
        <v/>
      </c>
      <c r="X1396" s="14">
        <f>IF($AO1396="","","R"&amp;$C1396&amp;"."&amp;$D1396)</f>
        <v/>
      </c>
      <c r="Y1396" s="15">
        <f>IF($AN1396="","",IF(INDEX(職員マスタ!$K$6:$K$405,$AN1396)="","",INDEX(職員マスタ!$K$6:$K$405,$AN1396)))</f>
        <v/>
      </c>
      <c r="Z1396" s="14">
        <f>IF(OR($E1396="",$Y1396=""),"",IF($E1396&gt;=$Y1396,"×",IF($E1396&gt;=$Y1396*設定!$C$5,"△","○")))</f>
        <v/>
      </c>
      <c r="AA1396" s="15">
        <f>IF($Z1396="","",IF($Z1396="×",0,IF($Z1396="○",ROUNDDOWN($E1396*設定!$C$4,0),ROUNDDOWN($E1396*ROUND((9*$Y1396-9*$E1396)/(10*$E1396),4),0))))</f>
        <v/>
      </c>
      <c r="AB1396" s="13" t="n"/>
      <c r="AC1396" s="15">
        <f>IF($B1396="","",IF($AB1396&lt;&gt;"",$AB1396,IF($AA1396="","",IF($AA1396&lt;=設定!$C$3,0,$AA1396))))</f>
        <v/>
      </c>
      <c r="AD1396" s="14">
        <f>IF($B1396="","",IF(AND($AE1396&lt;&gt;"",$AG1396="",$AJ1396=""),"保留中",IF($AJ1396&lt;&gt;"",IF(N($AC1396)&gt;0,"支給済","不支給"),IF($AC1396="","要確認",IF($AC1396=0,"不支給","未処理")))))</f>
        <v/>
      </c>
      <c r="AE1396" s="12" t="n"/>
      <c r="AF1396" s="11" t="n"/>
      <c r="AG1396" s="11" t="n"/>
      <c r="AH1396" s="11" t="n"/>
      <c r="AI1396" s="14">
        <f>IF(AND($AD1396="保留中",$AF1396&lt;&gt;""),TODAY()-$AF1396,"")</f>
        <v/>
      </c>
      <c r="AJ1396" s="12" t="n"/>
      <c r="AK1396" s="14">
        <f>IF($B1396="","",IF($AO1396="","対象年月が未入力／","")&amp;IF($B1396="","",IF($AN1396="","職員マスタに未登録の職員番号／",IF($Y1396="","標準報酬月額が未登録／","")&amp;IF(AND($AO1396&lt;&gt;"",OR(AND(INDEX(職員マスタ!$G$6:$G$405,$AN1396)&lt;&gt;"",INDEX(職員マスタ!$G$6:$G$405,$AN1396)&gt;EOMONTH($AO1396,0)),AND(INDEX(職員マスタ!$H$6:$H$405,$AN1396)&lt;&gt;"",INDEX(職員マスタ!$H$6:$H$405,$AN1396)&lt;$AO1396))),"対象月が時短期間外／","")&amp;IF(AND(INDEX(職員マスタ!$F$6:$F$405,$AN1396)&lt;&gt;"",$AO1396&lt;&gt;"",INDEX(職員マスタ!$F$6:$F$405,$AN1396)&lt;$AO1396),"対象月に子が2歳到達済／","")&amp;IF(AND($H1396&lt;&gt;"",INDEX(職員マスタ!$B$6:$B$405,$AN1396)&lt;&gt;"",SUBSTITUTE(SUBSTITUTE($H1396," ","")," ","")&lt;&gt;SUBSTITUTE(SUBSTITUTE(INDEX(職員マスタ!$B$6:$B$405,$AN1396)," ","")," ","")),"氏名がマスタと相違／","")&amp;IF(AND($Q1396&lt;&gt;"",INDEX(職員マスタ!$E$6:$E$405,$AN1396)&lt;&gt;"",$Q1396&lt;&gt;INDEX(職員マスタ!$E$6:$E$405,$AN1396)),"子の生年月日がマスタと相違／","")&amp;IF(AND($L1396&lt;&gt;"",INDEX(職員マスタ!$G$6:$G$405,$AN1396)&lt;&gt;"",$L1396&lt;&gt;INDEX(職員マスタ!$G$6:$G$405,$AN1396)),"時短開始日がマスタと相違／","")&amp;IF(AND($M1396&lt;&gt;"",INDEX(職員マスタ!$H$6:$H$405,$AN1396)&lt;&gt;"",$M1396&lt;&gt;INDEX(職員マスタ!$H$6:$H$405,$AN1396)),"時短終了日がマスタと相違／","")))&amp;IF(AND($B1396&lt;&gt;"",$E1396=""),"報酬額が未入力／","")&amp;IF(N($U1396)&gt;0,"申請書に入力エラーが残っています／","")&amp;IF(AND($B1396&lt;&gt;"",$AO1396&lt;&gt;""),IF(COUNTIFS($B$6:$B$3005,$B1396,$C$6:$C$3005,$C1396,$D$6:$D$3005,$D1396)&gt;1,"同じ月の請求が重複しています／",""),"")&amp;IF(AND(N($E1396)&gt;0,$Z1396&lt;&gt;"",$Z1396&lt;&gt;"×",$AC1396=0,$AB1396=""),"計算額が下限以下のため不支給／",""))</f>
        <v/>
      </c>
      <c r="AL1396" s="12" t="n"/>
      <c r="AM1396" s="14">
        <f>IF($AD1396="保留中",COUNTIF($AD$6:$AD1396,"保留中"),"")</f>
        <v/>
      </c>
      <c r="AN1396" s="14">
        <f>IF($AO1396="","",IF(SUMPRODUCT(MAX((職員マスタ!$A$6:$A$405=$B1396)*(((職員マスタ!$G$6:$G$405="")+(職員マスタ!$G$6:$G$405&lt;=EOMONTH($AO1396,0)))&gt;0)*(((職員マスタ!$H$6:$H$405="")+(職員マスタ!$H$6:$H$405&gt;=$AO1396))&gt;0)*(ROW(職員マスタ!$A$6:$A$405)-5)))&gt;0,SUMPRODUCT(MAX((職員マスタ!$A$6:$A$405=$B1396)*(((職員マスタ!$G$6:$G$405="")+(職員マスタ!$G$6:$G$405&lt;=EOMONTH($AO1396,0)))&gt;0)*(((職員マスタ!$H$6:$H$405="")+(職員マスタ!$H$6:$H$405&gt;=$AO1396))&gt;0)*(ROW(職員マスタ!$A$6:$A$405)-5))),IFERROR(MATCH($B1396,職員マスタ!$A$6:$A$405,0),"")))</f>
        <v/>
      </c>
      <c r="AO1396" s="16">
        <f>IF(OR($B1396="",$C1396="",$D1396=""),"",DATE($C1396+2018,$D1396,1))</f>
        <v/>
      </c>
    </row>
    <row r="1397">
      <c r="A1397" s="11" t="n"/>
      <c r="B1397" s="12" t="n"/>
      <c r="C1397" s="12" t="n"/>
      <c r="D1397" s="12" t="n"/>
      <c r="E1397" s="13" t="n"/>
      <c r="F1397" s="12" t="n"/>
      <c r="G1397" s="13" t="n"/>
      <c r="H1397" s="12" t="n"/>
      <c r="I1397" s="12" t="n"/>
      <c r="J1397" s="12" t="n"/>
      <c r="K1397" s="12" t="n"/>
      <c r="L1397" s="11" t="n"/>
      <c r="M1397" s="11" t="n"/>
      <c r="N1397" s="11" t="n"/>
      <c r="O1397" s="11" t="n"/>
      <c r="P1397" s="12" t="n"/>
      <c r="Q1397" s="11" t="n"/>
      <c r="R1397" s="12" t="n"/>
      <c r="S1397" s="11" t="n"/>
      <c r="T1397" s="12" t="n"/>
      <c r="U1397" s="12" t="n"/>
      <c r="V1397" s="14">
        <f>IF($AN1397="",IF($B1397="","",$H1397),IF(INDEX(職員マスタ!$B$6:$B$405,$AN1397)="",$H1397,INDEX(職員マスタ!$B$6:$B$405,$AN1397)))</f>
        <v/>
      </c>
      <c r="W1397" s="14">
        <f>IF($AN1397="",IF($B1397="","",$R1397),IF(INDEX(職員マスタ!$C$6:$C$405,$AN1397)="",$R1397,INDEX(職員マスタ!$C$6:$C$405,$AN1397)))</f>
        <v/>
      </c>
      <c r="X1397" s="14">
        <f>IF($AO1397="","","R"&amp;$C1397&amp;"."&amp;$D1397)</f>
        <v/>
      </c>
      <c r="Y1397" s="15">
        <f>IF($AN1397="","",IF(INDEX(職員マスタ!$K$6:$K$405,$AN1397)="","",INDEX(職員マスタ!$K$6:$K$405,$AN1397)))</f>
        <v/>
      </c>
      <c r="Z1397" s="14">
        <f>IF(OR($E1397="",$Y1397=""),"",IF($E1397&gt;=$Y1397,"×",IF($E1397&gt;=$Y1397*設定!$C$5,"△","○")))</f>
        <v/>
      </c>
      <c r="AA1397" s="15">
        <f>IF($Z1397="","",IF($Z1397="×",0,IF($Z1397="○",ROUNDDOWN($E1397*設定!$C$4,0),ROUNDDOWN($E1397*ROUND((9*$Y1397-9*$E1397)/(10*$E1397),4),0))))</f>
        <v/>
      </c>
      <c r="AB1397" s="13" t="n"/>
      <c r="AC1397" s="15">
        <f>IF($B1397="","",IF($AB1397&lt;&gt;"",$AB1397,IF($AA1397="","",IF($AA1397&lt;=設定!$C$3,0,$AA1397))))</f>
        <v/>
      </c>
      <c r="AD1397" s="14">
        <f>IF($B1397="","",IF(AND($AE1397&lt;&gt;"",$AG1397="",$AJ1397=""),"保留中",IF($AJ1397&lt;&gt;"",IF(N($AC1397)&gt;0,"支給済","不支給"),IF($AC1397="","要確認",IF($AC1397=0,"不支給","未処理")))))</f>
        <v/>
      </c>
      <c r="AE1397" s="12" t="n"/>
      <c r="AF1397" s="11" t="n"/>
      <c r="AG1397" s="11" t="n"/>
      <c r="AH1397" s="11" t="n"/>
      <c r="AI1397" s="14">
        <f>IF(AND($AD1397="保留中",$AF1397&lt;&gt;""),TODAY()-$AF1397,"")</f>
        <v/>
      </c>
      <c r="AJ1397" s="12" t="n"/>
      <c r="AK1397" s="14">
        <f>IF($B1397="","",IF($AO1397="","対象年月が未入力／","")&amp;IF($B1397="","",IF($AN1397="","職員マスタに未登録の職員番号／",IF($Y1397="","標準報酬月額が未登録／","")&amp;IF(AND($AO1397&lt;&gt;"",OR(AND(INDEX(職員マスタ!$G$6:$G$405,$AN1397)&lt;&gt;"",INDEX(職員マスタ!$G$6:$G$405,$AN1397)&gt;EOMONTH($AO1397,0)),AND(INDEX(職員マスタ!$H$6:$H$405,$AN1397)&lt;&gt;"",INDEX(職員マスタ!$H$6:$H$405,$AN1397)&lt;$AO1397))),"対象月が時短期間外／","")&amp;IF(AND(INDEX(職員マスタ!$F$6:$F$405,$AN1397)&lt;&gt;"",$AO1397&lt;&gt;"",INDEX(職員マスタ!$F$6:$F$405,$AN1397)&lt;$AO1397),"対象月に子が2歳到達済／","")&amp;IF(AND($H1397&lt;&gt;"",INDEX(職員マスタ!$B$6:$B$405,$AN1397)&lt;&gt;"",SUBSTITUTE(SUBSTITUTE($H1397," ","")," ","")&lt;&gt;SUBSTITUTE(SUBSTITUTE(INDEX(職員マスタ!$B$6:$B$405,$AN1397)," ","")," ","")),"氏名がマスタと相違／","")&amp;IF(AND($Q1397&lt;&gt;"",INDEX(職員マスタ!$E$6:$E$405,$AN1397)&lt;&gt;"",$Q1397&lt;&gt;INDEX(職員マスタ!$E$6:$E$405,$AN1397)),"子の生年月日がマスタと相違／","")&amp;IF(AND($L1397&lt;&gt;"",INDEX(職員マスタ!$G$6:$G$405,$AN1397)&lt;&gt;"",$L1397&lt;&gt;INDEX(職員マスタ!$G$6:$G$405,$AN1397)),"時短開始日がマスタと相違／","")&amp;IF(AND($M1397&lt;&gt;"",INDEX(職員マスタ!$H$6:$H$405,$AN1397)&lt;&gt;"",$M1397&lt;&gt;INDEX(職員マスタ!$H$6:$H$405,$AN1397)),"時短終了日がマスタと相違／","")))&amp;IF(AND($B1397&lt;&gt;"",$E1397=""),"報酬額が未入力／","")&amp;IF(N($U1397)&gt;0,"申請書に入力エラーが残っています／","")&amp;IF(AND($B1397&lt;&gt;"",$AO1397&lt;&gt;""),IF(COUNTIFS($B$6:$B$3005,$B1397,$C$6:$C$3005,$C1397,$D$6:$D$3005,$D1397)&gt;1,"同じ月の請求が重複しています／",""),"")&amp;IF(AND(N($E1397)&gt;0,$Z1397&lt;&gt;"",$Z1397&lt;&gt;"×",$AC1397=0,$AB1397=""),"計算額が下限以下のため不支給／",""))</f>
        <v/>
      </c>
      <c r="AL1397" s="12" t="n"/>
      <c r="AM1397" s="14">
        <f>IF($AD1397="保留中",COUNTIF($AD$6:$AD1397,"保留中"),"")</f>
        <v/>
      </c>
      <c r="AN1397" s="14">
        <f>IF($AO1397="","",IF(SUMPRODUCT(MAX((職員マスタ!$A$6:$A$405=$B1397)*(((職員マスタ!$G$6:$G$405="")+(職員マスタ!$G$6:$G$405&lt;=EOMONTH($AO1397,0)))&gt;0)*(((職員マスタ!$H$6:$H$405="")+(職員マスタ!$H$6:$H$405&gt;=$AO1397))&gt;0)*(ROW(職員マスタ!$A$6:$A$405)-5)))&gt;0,SUMPRODUCT(MAX((職員マスタ!$A$6:$A$405=$B1397)*(((職員マスタ!$G$6:$G$405="")+(職員マスタ!$G$6:$G$405&lt;=EOMONTH($AO1397,0)))&gt;0)*(((職員マスタ!$H$6:$H$405="")+(職員マスタ!$H$6:$H$405&gt;=$AO1397))&gt;0)*(ROW(職員マスタ!$A$6:$A$405)-5))),IFERROR(MATCH($B1397,職員マスタ!$A$6:$A$405,0),"")))</f>
        <v/>
      </c>
      <c r="AO1397" s="16">
        <f>IF(OR($B1397="",$C1397="",$D1397=""),"",DATE($C1397+2018,$D1397,1))</f>
        <v/>
      </c>
    </row>
    <row r="1398">
      <c r="A1398" s="11" t="n"/>
      <c r="B1398" s="12" t="n"/>
      <c r="C1398" s="12" t="n"/>
      <c r="D1398" s="12" t="n"/>
      <c r="E1398" s="13" t="n"/>
      <c r="F1398" s="12" t="n"/>
      <c r="G1398" s="13" t="n"/>
      <c r="H1398" s="12" t="n"/>
      <c r="I1398" s="12" t="n"/>
      <c r="J1398" s="12" t="n"/>
      <c r="K1398" s="12" t="n"/>
      <c r="L1398" s="11" t="n"/>
      <c r="M1398" s="11" t="n"/>
      <c r="N1398" s="11" t="n"/>
      <c r="O1398" s="11" t="n"/>
      <c r="P1398" s="12" t="n"/>
      <c r="Q1398" s="11" t="n"/>
      <c r="R1398" s="12" t="n"/>
      <c r="S1398" s="11" t="n"/>
      <c r="T1398" s="12" t="n"/>
      <c r="U1398" s="12" t="n"/>
      <c r="V1398" s="14">
        <f>IF($AN1398="",IF($B1398="","",$H1398),IF(INDEX(職員マスタ!$B$6:$B$405,$AN1398)="",$H1398,INDEX(職員マスタ!$B$6:$B$405,$AN1398)))</f>
        <v/>
      </c>
      <c r="W1398" s="14">
        <f>IF($AN1398="",IF($B1398="","",$R1398),IF(INDEX(職員マスタ!$C$6:$C$405,$AN1398)="",$R1398,INDEX(職員マスタ!$C$6:$C$405,$AN1398)))</f>
        <v/>
      </c>
      <c r="X1398" s="14">
        <f>IF($AO1398="","","R"&amp;$C1398&amp;"."&amp;$D1398)</f>
        <v/>
      </c>
      <c r="Y1398" s="15">
        <f>IF($AN1398="","",IF(INDEX(職員マスタ!$K$6:$K$405,$AN1398)="","",INDEX(職員マスタ!$K$6:$K$405,$AN1398)))</f>
        <v/>
      </c>
      <c r="Z1398" s="14">
        <f>IF(OR($E1398="",$Y1398=""),"",IF($E1398&gt;=$Y1398,"×",IF($E1398&gt;=$Y1398*設定!$C$5,"△","○")))</f>
        <v/>
      </c>
      <c r="AA1398" s="15">
        <f>IF($Z1398="","",IF($Z1398="×",0,IF($Z1398="○",ROUNDDOWN($E1398*設定!$C$4,0),ROUNDDOWN($E1398*ROUND((9*$Y1398-9*$E1398)/(10*$E1398),4),0))))</f>
        <v/>
      </c>
      <c r="AB1398" s="13" t="n"/>
      <c r="AC1398" s="15">
        <f>IF($B1398="","",IF($AB1398&lt;&gt;"",$AB1398,IF($AA1398="","",IF($AA1398&lt;=設定!$C$3,0,$AA1398))))</f>
        <v/>
      </c>
      <c r="AD1398" s="14">
        <f>IF($B1398="","",IF(AND($AE1398&lt;&gt;"",$AG1398="",$AJ1398=""),"保留中",IF($AJ1398&lt;&gt;"",IF(N($AC1398)&gt;0,"支給済","不支給"),IF($AC1398="","要確認",IF($AC1398=0,"不支給","未処理")))))</f>
        <v/>
      </c>
      <c r="AE1398" s="12" t="n"/>
      <c r="AF1398" s="11" t="n"/>
      <c r="AG1398" s="11" t="n"/>
      <c r="AH1398" s="11" t="n"/>
      <c r="AI1398" s="14">
        <f>IF(AND($AD1398="保留中",$AF1398&lt;&gt;""),TODAY()-$AF1398,"")</f>
        <v/>
      </c>
      <c r="AJ1398" s="12" t="n"/>
      <c r="AK1398" s="14">
        <f>IF($B1398="","",IF($AO1398="","対象年月が未入力／","")&amp;IF($B1398="","",IF($AN1398="","職員マスタに未登録の職員番号／",IF($Y1398="","標準報酬月額が未登録／","")&amp;IF(AND($AO1398&lt;&gt;"",OR(AND(INDEX(職員マスタ!$G$6:$G$405,$AN1398)&lt;&gt;"",INDEX(職員マスタ!$G$6:$G$405,$AN1398)&gt;EOMONTH($AO1398,0)),AND(INDEX(職員マスタ!$H$6:$H$405,$AN1398)&lt;&gt;"",INDEX(職員マスタ!$H$6:$H$405,$AN1398)&lt;$AO1398))),"対象月が時短期間外／","")&amp;IF(AND(INDEX(職員マスタ!$F$6:$F$405,$AN1398)&lt;&gt;"",$AO1398&lt;&gt;"",INDEX(職員マスタ!$F$6:$F$405,$AN1398)&lt;$AO1398),"対象月に子が2歳到達済／","")&amp;IF(AND($H1398&lt;&gt;"",INDEX(職員マスタ!$B$6:$B$405,$AN1398)&lt;&gt;"",SUBSTITUTE(SUBSTITUTE($H1398," ","")," ","")&lt;&gt;SUBSTITUTE(SUBSTITUTE(INDEX(職員マスタ!$B$6:$B$405,$AN1398)," ","")," ","")),"氏名がマスタと相違／","")&amp;IF(AND($Q1398&lt;&gt;"",INDEX(職員マスタ!$E$6:$E$405,$AN1398)&lt;&gt;"",$Q1398&lt;&gt;INDEX(職員マスタ!$E$6:$E$405,$AN1398)),"子の生年月日がマスタと相違／","")&amp;IF(AND($L1398&lt;&gt;"",INDEX(職員マスタ!$G$6:$G$405,$AN1398)&lt;&gt;"",$L1398&lt;&gt;INDEX(職員マスタ!$G$6:$G$405,$AN1398)),"時短開始日がマスタと相違／","")&amp;IF(AND($M1398&lt;&gt;"",INDEX(職員マスタ!$H$6:$H$405,$AN1398)&lt;&gt;"",$M1398&lt;&gt;INDEX(職員マスタ!$H$6:$H$405,$AN1398)),"時短終了日がマスタと相違／","")))&amp;IF(AND($B1398&lt;&gt;"",$E1398=""),"報酬額が未入力／","")&amp;IF(N($U1398)&gt;0,"申請書に入力エラーが残っています／","")&amp;IF(AND($B1398&lt;&gt;"",$AO1398&lt;&gt;""),IF(COUNTIFS($B$6:$B$3005,$B1398,$C$6:$C$3005,$C1398,$D$6:$D$3005,$D1398)&gt;1,"同じ月の請求が重複しています／",""),"")&amp;IF(AND(N($E1398)&gt;0,$Z1398&lt;&gt;"",$Z1398&lt;&gt;"×",$AC1398=0,$AB1398=""),"計算額が下限以下のため不支給／",""))</f>
        <v/>
      </c>
      <c r="AL1398" s="12" t="n"/>
      <c r="AM1398" s="14">
        <f>IF($AD1398="保留中",COUNTIF($AD$6:$AD1398,"保留中"),"")</f>
        <v/>
      </c>
      <c r="AN1398" s="14">
        <f>IF($AO1398="","",IF(SUMPRODUCT(MAX((職員マスタ!$A$6:$A$405=$B1398)*(((職員マスタ!$G$6:$G$405="")+(職員マスタ!$G$6:$G$405&lt;=EOMONTH($AO1398,0)))&gt;0)*(((職員マスタ!$H$6:$H$405="")+(職員マスタ!$H$6:$H$405&gt;=$AO1398))&gt;0)*(ROW(職員マスタ!$A$6:$A$405)-5)))&gt;0,SUMPRODUCT(MAX((職員マスタ!$A$6:$A$405=$B1398)*(((職員マスタ!$G$6:$G$405="")+(職員マスタ!$G$6:$G$405&lt;=EOMONTH($AO1398,0)))&gt;0)*(((職員マスタ!$H$6:$H$405="")+(職員マスタ!$H$6:$H$405&gt;=$AO1398))&gt;0)*(ROW(職員マスタ!$A$6:$A$405)-5))),IFERROR(MATCH($B1398,職員マスタ!$A$6:$A$405,0),"")))</f>
        <v/>
      </c>
      <c r="AO1398" s="16">
        <f>IF(OR($B1398="",$C1398="",$D1398=""),"",DATE($C1398+2018,$D1398,1))</f>
        <v/>
      </c>
    </row>
    <row r="1399">
      <c r="A1399" s="11" t="n"/>
      <c r="B1399" s="12" t="n"/>
      <c r="C1399" s="12" t="n"/>
      <c r="D1399" s="12" t="n"/>
      <c r="E1399" s="13" t="n"/>
      <c r="F1399" s="12" t="n"/>
      <c r="G1399" s="13" t="n"/>
      <c r="H1399" s="12" t="n"/>
      <c r="I1399" s="12" t="n"/>
      <c r="J1399" s="12" t="n"/>
      <c r="K1399" s="12" t="n"/>
      <c r="L1399" s="11" t="n"/>
      <c r="M1399" s="11" t="n"/>
      <c r="N1399" s="11" t="n"/>
      <c r="O1399" s="11" t="n"/>
      <c r="P1399" s="12" t="n"/>
      <c r="Q1399" s="11" t="n"/>
      <c r="R1399" s="12" t="n"/>
      <c r="S1399" s="11" t="n"/>
      <c r="T1399" s="12" t="n"/>
      <c r="U1399" s="12" t="n"/>
      <c r="V1399" s="14">
        <f>IF($AN1399="",IF($B1399="","",$H1399),IF(INDEX(職員マスタ!$B$6:$B$405,$AN1399)="",$H1399,INDEX(職員マスタ!$B$6:$B$405,$AN1399)))</f>
        <v/>
      </c>
      <c r="W1399" s="14">
        <f>IF($AN1399="",IF($B1399="","",$R1399),IF(INDEX(職員マスタ!$C$6:$C$405,$AN1399)="",$R1399,INDEX(職員マスタ!$C$6:$C$405,$AN1399)))</f>
        <v/>
      </c>
      <c r="X1399" s="14">
        <f>IF($AO1399="","","R"&amp;$C1399&amp;"."&amp;$D1399)</f>
        <v/>
      </c>
      <c r="Y1399" s="15">
        <f>IF($AN1399="","",IF(INDEX(職員マスタ!$K$6:$K$405,$AN1399)="","",INDEX(職員マスタ!$K$6:$K$405,$AN1399)))</f>
        <v/>
      </c>
      <c r="Z1399" s="14">
        <f>IF(OR($E1399="",$Y1399=""),"",IF($E1399&gt;=$Y1399,"×",IF($E1399&gt;=$Y1399*設定!$C$5,"△","○")))</f>
        <v/>
      </c>
      <c r="AA1399" s="15">
        <f>IF($Z1399="","",IF($Z1399="×",0,IF($Z1399="○",ROUNDDOWN($E1399*設定!$C$4,0),ROUNDDOWN($E1399*ROUND((9*$Y1399-9*$E1399)/(10*$E1399),4),0))))</f>
        <v/>
      </c>
      <c r="AB1399" s="13" t="n"/>
      <c r="AC1399" s="15">
        <f>IF($B1399="","",IF($AB1399&lt;&gt;"",$AB1399,IF($AA1399="","",IF($AA1399&lt;=設定!$C$3,0,$AA1399))))</f>
        <v/>
      </c>
      <c r="AD1399" s="14">
        <f>IF($B1399="","",IF(AND($AE1399&lt;&gt;"",$AG1399="",$AJ1399=""),"保留中",IF($AJ1399&lt;&gt;"",IF(N($AC1399)&gt;0,"支給済","不支給"),IF($AC1399="","要確認",IF($AC1399=0,"不支給","未処理")))))</f>
        <v/>
      </c>
      <c r="AE1399" s="12" t="n"/>
      <c r="AF1399" s="11" t="n"/>
      <c r="AG1399" s="11" t="n"/>
      <c r="AH1399" s="11" t="n"/>
      <c r="AI1399" s="14">
        <f>IF(AND($AD1399="保留中",$AF1399&lt;&gt;""),TODAY()-$AF1399,"")</f>
        <v/>
      </c>
      <c r="AJ1399" s="12" t="n"/>
      <c r="AK1399" s="14">
        <f>IF($B1399="","",IF($AO1399="","対象年月が未入力／","")&amp;IF($B1399="","",IF($AN1399="","職員マスタに未登録の職員番号／",IF($Y1399="","標準報酬月額が未登録／","")&amp;IF(AND($AO1399&lt;&gt;"",OR(AND(INDEX(職員マスタ!$G$6:$G$405,$AN1399)&lt;&gt;"",INDEX(職員マスタ!$G$6:$G$405,$AN1399)&gt;EOMONTH($AO1399,0)),AND(INDEX(職員マスタ!$H$6:$H$405,$AN1399)&lt;&gt;"",INDEX(職員マスタ!$H$6:$H$405,$AN1399)&lt;$AO1399))),"対象月が時短期間外／","")&amp;IF(AND(INDEX(職員マスタ!$F$6:$F$405,$AN1399)&lt;&gt;"",$AO1399&lt;&gt;"",INDEX(職員マスタ!$F$6:$F$405,$AN1399)&lt;$AO1399),"対象月に子が2歳到達済／","")&amp;IF(AND($H1399&lt;&gt;"",INDEX(職員マスタ!$B$6:$B$405,$AN1399)&lt;&gt;"",SUBSTITUTE(SUBSTITUTE($H1399," ","")," ","")&lt;&gt;SUBSTITUTE(SUBSTITUTE(INDEX(職員マスタ!$B$6:$B$405,$AN1399)," ","")," ","")),"氏名がマスタと相違／","")&amp;IF(AND($Q1399&lt;&gt;"",INDEX(職員マスタ!$E$6:$E$405,$AN1399)&lt;&gt;"",$Q1399&lt;&gt;INDEX(職員マスタ!$E$6:$E$405,$AN1399)),"子の生年月日がマスタと相違／","")&amp;IF(AND($L1399&lt;&gt;"",INDEX(職員マスタ!$G$6:$G$405,$AN1399)&lt;&gt;"",$L1399&lt;&gt;INDEX(職員マスタ!$G$6:$G$405,$AN1399)),"時短開始日がマスタと相違／","")&amp;IF(AND($M1399&lt;&gt;"",INDEX(職員マスタ!$H$6:$H$405,$AN1399)&lt;&gt;"",$M1399&lt;&gt;INDEX(職員マスタ!$H$6:$H$405,$AN1399)),"時短終了日がマスタと相違／","")))&amp;IF(AND($B1399&lt;&gt;"",$E1399=""),"報酬額が未入力／","")&amp;IF(N($U1399)&gt;0,"申請書に入力エラーが残っています／","")&amp;IF(AND($B1399&lt;&gt;"",$AO1399&lt;&gt;""),IF(COUNTIFS($B$6:$B$3005,$B1399,$C$6:$C$3005,$C1399,$D$6:$D$3005,$D1399)&gt;1,"同じ月の請求が重複しています／",""),"")&amp;IF(AND(N($E1399)&gt;0,$Z1399&lt;&gt;"",$Z1399&lt;&gt;"×",$AC1399=0,$AB1399=""),"計算額が下限以下のため不支給／",""))</f>
        <v/>
      </c>
      <c r="AL1399" s="12" t="n"/>
      <c r="AM1399" s="14">
        <f>IF($AD1399="保留中",COUNTIF($AD$6:$AD1399,"保留中"),"")</f>
        <v/>
      </c>
      <c r="AN1399" s="14">
        <f>IF($AO1399="","",IF(SUMPRODUCT(MAX((職員マスタ!$A$6:$A$405=$B1399)*(((職員マスタ!$G$6:$G$405="")+(職員マスタ!$G$6:$G$405&lt;=EOMONTH($AO1399,0)))&gt;0)*(((職員マスタ!$H$6:$H$405="")+(職員マスタ!$H$6:$H$405&gt;=$AO1399))&gt;0)*(ROW(職員マスタ!$A$6:$A$405)-5)))&gt;0,SUMPRODUCT(MAX((職員マスタ!$A$6:$A$405=$B1399)*(((職員マスタ!$G$6:$G$405="")+(職員マスタ!$G$6:$G$405&lt;=EOMONTH($AO1399,0)))&gt;0)*(((職員マスタ!$H$6:$H$405="")+(職員マスタ!$H$6:$H$405&gt;=$AO1399))&gt;0)*(ROW(職員マスタ!$A$6:$A$405)-5))),IFERROR(MATCH($B1399,職員マスタ!$A$6:$A$405,0),"")))</f>
        <v/>
      </c>
      <c r="AO1399" s="16">
        <f>IF(OR($B1399="",$C1399="",$D1399=""),"",DATE($C1399+2018,$D1399,1))</f>
        <v/>
      </c>
    </row>
    <row r="1400">
      <c r="A1400" s="11" t="n"/>
      <c r="B1400" s="12" t="n"/>
      <c r="C1400" s="12" t="n"/>
      <c r="D1400" s="12" t="n"/>
      <c r="E1400" s="13" t="n"/>
      <c r="F1400" s="12" t="n"/>
      <c r="G1400" s="13" t="n"/>
      <c r="H1400" s="12" t="n"/>
      <c r="I1400" s="12" t="n"/>
      <c r="J1400" s="12" t="n"/>
      <c r="K1400" s="12" t="n"/>
      <c r="L1400" s="11" t="n"/>
      <c r="M1400" s="11" t="n"/>
      <c r="N1400" s="11" t="n"/>
      <c r="O1400" s="11" t="n"/>
      <c r="P1400" s="12" t="n"/>
      <c r="Q1400" s="11" t="n"/>
      <c r="R1400" s="12" t="n"/>
      <c r="S1400" s="11" t="n"/>
      <c r="T1400" s="12" t="n"/>
      <c r="U1400" s="12" t="n"/>
      <c r="V1400" s="14">
        <f>IF($AN1400="",IF($B1400="","",$H1400),IF(INDEX(職員マスタ!$B$6:$B$405,$AN1400)="",$H1400,INDEX(職員マスタ!$B$6:$B$405,$AN1400)))</f>
        <v/>
      </c>
      <c r="W1400" s="14">
        <f>IF($AN1400="",IF($B1400="","",$R1400),IF(INDEX(職員マスタ!$C$6:$C$405,$AN1400)="",$R1400,INDEX(職員マスタ!$C$6:$C$405,$AN1400)))</f>
        <v/>
      </c>
      <c r="X1400" s="14">
        <f>IF($AO1400="","","R"&amp;$C1400&amp;"."&amp;$D1400)</f>
        <v/>
      </c>
      <c r="Y1400" s="15">
        <f>IF($AN1400="","",IF(INDEX(職員マスタ!$K$6:$K$405,$AN1400)="","",INDEX(職員マスタ!$K$6:$K$405,$AN1400)))</f>
        <v/>
      </c>
      <c r="Z1400" s="14">
        <f>IF(OR($E1400="",$Y1400=""),"",IF($E1400&gt;=$Y1400,"×",IF($E1400&gt;=$Y1400*設定!$C$5,"△","○")))</f>
        <v/>
      </c>
      <c r="AA1400" s="15">
        <f>IF($Z1400="","",IF($Z1400="×",0,IF($Z1400="○",ROUNDDOWN($E1400*設定!$C$4,0),ROUNDDOWN($E1400*ROUND((9*$Y1400-9*$E1400)/(10*$E1400),4),0))))</f>
        <v/>
      </c>
      <c r="AB1400" s="13" t="n"/>
      <c r="AC1400" s="15">
        <f>IF($B1400="","",IF($AB1400&lt;&gt;"",$AB1400,IF($AA1400="","",IF($AA1400&lt;=設定!$C$3,0,$AA1400))))</f>
        <v/>
      </c>
      <c r="AD1400" s="14">
        <f>IF($B1400="","",IF(AND($AE1400&lt;&gt;"",$AG1400="",$AJ1400=""),"保留中",IF($AJ1400&lt;&gt;"",IF(N($AC1400)&gt;0,"支給済","不支給"),IF($AC1400="","要確認",IF($AC1400=0,"不支給","未処理")))))</f>
        <v/>
      </c>
      <c r="AE1400" s="12" t="n"/>
      <c r="AF1400" s="11" t="n"/>
      <c r="AG1400" s="11" t="n"/>
      <c r="AH1400" s="11" t="n"/>
      <c r="AI1400" s="14">
        <f>IF(AND($AD1400="保留中",$AF1400&lt;&gt;""),TODAY()-$AF1400,"")</f>
        <v/>
      </c>
      <c r="AJ1400" s="12" t="n"/>
      <c r="AK1400" s="14">
        <f>IF($B1400="","",IF($AO1400="","対象年月が未入力／","")&amp;IF($B1400="","",IF($AN1400="","職員マスタに未登録の職員番号／",IF($Y1400="","標準報酬月額が未登録／","")&amp;IF(AND($AO1400&lt;&gt;"",OR(AND(INDEX(職員マスタ!$G$6:$G$405,$AN1400)&lt;&gt;"",INDEX(職員マスタ!$G$6:$G$405,$AN1400)&gt;EOMONTH($AO1400,0)),AND(INDEX(職員マスタ!$H$6:$H$405,$AN1400)&lt;&gt;"",INDEX(職員マスタ!$H$6:$H$405,$AN1400)&lt;$AO1400))),"対象月が時短期間外／","")&amp;IF(AND(INDEX(職員マスタ!$F$6:$F$405,$AN1400)&lt;&gt;"",$AO1400&lt;&gt;"",INDEX(職員マスタ!$F$6:$F$405,$AN1400)&lt;$AO1400),"対象月に子が2歳到達済／","")&amp;IF(AND($H1400&lt;&gt;"",INDEX(職員マスタ!$B$6:$B$405,$AN1400)&lt;&gt;"",SUBSTITUTE(SUBSTITUTE($H1400," ","")," ","")&lt;&gt;SUBSTITUTE(SUBSTITUTE(INDEX(職員マスタ!$B$6:$B$405,$AN1400)," ","")," ","")),"氏名がマスタと相違／","")&amp;IF(AND($Q1400&lt;&gt;"",INDEX(職員マスタ!$E$6:$E$405,$AN1400)&lt;&gt;"",$Q1400&lt;&gt;INDEX(職員マスタ!$E$6:$E$405,$AN1400)),"子の生年月日がマスタと相違／","")&amp;IF(AND($L1400&lt;&gt;"",INDEX(職員マスタ!$G$6:$G$405,$AN1400)&lt;&gt;"",$L1400&lt;&gt;INDEX(職員マスタ!$G$6:$G$405,$AN1400)),"時短開始日がマスタと相違／","")&amp;IF(AND($M1400&lt;&gt;"",INDEX(職員マスタ!$H$6:$H$405,$AN1400)&lt;&gt;"",$M1400&lt;&gt;INDEX(職員マスタ!$H$6:$H$405,$AN1400)),"時短終了日がマスタと相違／","")))&amp;IF(AND($B1400&lt;&gt;"",$E1400=""),"報酬額が未入力／","")&amp;IF(N($U1400)&gt;0,"申請書に入力エラーが残っています／","")&amp;IF(AND($B1400&lt;&gt;"",$AO1400&lt;&gt;""),IF(COUNTIFS($B$6:$B$3005,$B1400,$C$6:$C$3005,$C1400,$D$6:$D$3005,$D1400)&gt;1,"同じ月の請求が重複しています／",""),"")&amp;IF(AND(N($E1400)&gt;0,$Z1400&lt;&gt;"",$Z1400&lt;&gt;"×",$AC1400=0,$AB1400=""),"計算額が下限以下のため不支給／",""))</f>
        <v/>
      </c>
      <c r="AL1400" s="12" t="n"/>
      <c r="AM1400" s="14">
        <f>IF($AD1400="保留中",COUNTIF($AD$6:$AD1400,"保留中"),"")</f>
        <v/>
      </c>
      <c r="AN1400" s="14">
        <f>IF($AO1400="","",IF(SUMPRODUCT(MAX((職員マスタ!$A$6:$A$405=$B1400)*(((職員マスタ!$G$6:$G$405="")+(職員マスタ!$G$6:$G$405&lt;=EOMONTH($AO1400,0)))&gt;0)*(((職員マスタ!$H$6:$H$405="")+(職員マスタ!$H$6:$H$405&gt;=$AO1400))&gt;0)*(ROW(職員マスタ!$A$6:$A$405)-5)))&gt;0,SUMPRODUCT(MAX((職員マスタ!$A$6:$A$405=$B1400)*(((職員マスタ!$G$6:$G$405="")+(職員マスタ!$G$6:$G$405&lt;=EOMONTH($AO1400,0)))&gt;0)*(((職員マスタ!$H$6:$H$405="")+(職員マスタ!$H$6:$H$405&gt;=$AO1400))&gt;0)*(ROW(職員マスタ!$A$6:$A$405)-5))),IFERROR(MATCH($B1400,職員マスタ!$A$6:$A$405,0),"")))</f>
        <v/>
      </c>
      <c r="AO1400" s="16">
        <f>IF(OR($B1400="",$C1400="",$D1400=""),"",DATE($C1400+2018,$D1400,1))</f>
        <v/>
      </c>
    </row>
    <row r="1401">
      <c r="A1401" s="11" t="n"/>
      <c r="B1401" s="12" t="n"/>
      <c r="C1401" s="12" t="n"/>
      <c r="D1401" s="12" t="n"/>
      <c r="E1401" s="13" t="n"/>
      <c r="F1401" s="12" t="n"/>
      <c r="G1401" s="13" t="n"/>
      <c r="H1401" s="12" t="n"/>
      <c r="I1401" s="12" t="n"/>
      <c r="J1401" s="12" t="n"/>
      <c r="K1401" s="12" t="n"/>
      <c r="L1401" s="11" t="n"/>
      <c r="M1401" s="11" t="n"/>
      <c r="N1401" s="11" t="n"/>
      <c r="O1401" s="11" t="n"/>
      <c r="P1401" s="12" t="n"/>
      <c r="Q1401" s="11" t="n"/>
      <c r="R1401" s="12" t="n"/>
      <c r="S1401" s="11" t="n"/>
      <c r="T1401" s="12" t="n"/>
      <c r="U1401" s="12" t="n"/>
      <c r="V1401" s="14">
        <f>IF($AN1401="",IF($B1401="","",$H1401),IF(INDEX(職員マスタ!$B$6:$B$405,$AN1401)="",$H1401,INDEX(職員マスタ!$B$6:$B$405,$AN1401)))</f>
        <v/>
      </c>
      <c r="W1401" s="14">
        <f>IF($AN1401="",IF($B1401="","",$R1401),IF(INDEX(職員マスタ!$C$6:$C$405,$AN1401)="",$R1401,INDEX(職員マスタ!$C$6:$C$405,$AN1401)))</f>
        <v/>
      </c>
      <c r="X1401" s="14">
        <f>IF($AO1401="","","R"&amp;$C1401&amp;"."&amp;$D1401)</f>
        <v/>
      </c>
      <c r="Y1401" s="15">
        <f>IF($AN1401="","",IF(INDEX(職員マスタ!$K$6:$K$405,$AN1401)="","",INDEX(職員マスタ!$K$6:$K$405,$AN1401)))</f>
        <v/>
      </c>
      <c r="Z1401" s="14">
        <f>IF(OR($E1401="",$Y1401=""),"",IF($E1401&gt;=$Y1401,"×",IF($E1401&gt;=$Y1401*設定!$C$5,"△","○")))</f>
        <v/>
      </c>
      <c r="AA1401" s="15">
        <f>IF($Z1401="","",IF($Z1401="×",0,IF($Z1401="○",ROUNDDOWN($E1401*設定!$C$4,0),ROUNDDOWN($E1401*ROUND((9*$Y1401-9*$E1401)/(10*$E1401),4),0))))</f>
        <v/>
      </c>
      <c r="AB1401" s="13" t="n"/>
      <c r="AC1401" s="15">
        <f>IF($B1401="","",IF($AB1401&lt;&gt;"",$AB1401,IF($AA1401="","",IF($AA1401&lt;=設定!$C$3,0,$AA1401))))</f>
        <v/>
      </c>
      <c r="AD1401" s="14">
        <f>IF($B1401="","",IF(AND($AE1401&lt;&gt;"",$AG1401="",$AJ1401=""),"保留中",IF($AJ1401&lt;&gt;"",IF(N($AC1401)&gt;0,"支給済","不支給"),IF($AC1401="","要確認",IF($AC1401=0,"不支給","未処理")))))</f>
        <v/>
      </c>
      <c r="AE1401" s="12" t="n"/>
      <c r="AF1401" s="11" t="n"/>
      <c r="AG1401" s="11" t="n"/>
      <c r="AH1401" s="11" t="n"/>
      <c r="AI1401" s="14">
        <f>IF(AND($AD1401="保留中",$AF1401&lt;&gt;""),TODAY()-$AF1401,"")</f>
        <v/>
      </c>
      <c r="AJ1401" s="12" t="n"/>
      <c r="AK1401" s="14">
        <f>IF($B1401="","",IF($AO1401="","対象年月が未入力／","")&amp;IF($B1401="","",IF($AN1401="","職員マスタに未登録の職員番号／",IF($Y1401="","標準報酬月額が未登録／","")&amp;IF(AND($AO1401&lt;&gt;"",OR(AND(INDEX(職員マスタ!$G$6:$G$405,$AN1401)&lt;&gt;"",INDEX(職員マスタ!$G$6:$G$405,$AN1401)&gt;EOMONTH($AO1401,0)),AND(INDEX(職員マスタ!$H$6:$H$405,$AN1401)&lt;&gt;"",INDEX(職員マスタ!$H$6:$H$405,$AN1401)&lt;$AO1401))),"対象月が時短期間外／","")&amp;IF(AND(INDEX(職員マスタ!$F$6:$F$405,$AN1401)&lt;&gt;"",$AO1401&lt;&gt;"",INDEX(職員マスタ!$F$6:$F$405,$AN1401)&lt;$AO1401),"対象月に子が2歳到達済／","")&amp;IF(AND($H1401&lt;&gt;"",INDEX(職員マスタ!$B$6:$B$405,$AN1401)&lt;&gt;"",SUBSTITUTE(SUBSTITUTE($H1401," ","")," ","")&lt;&gt;SUBSTITUTE(SUBSTITUTE(INDEX(職員マスタ!$B$6:$B$405,$AN1401)," ","")," ","")),"氏名がマスタと相違／","")&amp;IF(AND($Q1401&lt;&gt;"",INDEX(職員マスタ!$E$6:$E$405,$AN1401)&lt;&gt;"",$Q1401&lt;&gt;INDEX(職員マスタ!$E$6:$E$405,$AN1401)),"子の生年月日がマスタと相違／","")&amp;IF(AND($L1401&lt;&gt;"",INDEX(職員マスタ!$G$6:$G$405,$AN1401)&lt;&gt;"",$L1401&lt;&gt;INDEX(職員マスタ!$G$6:$G$405,$AN1401)),"時短開始日がマスタと相違／","")&amp;IF(AND($M1401&lt;&gt;"",INDEX(職員マスタ!$H$6:$H$405,$AN1401)&lt;&gt;"",$M1401&lt;&gt;INDEX(職員マスタ!$H$6:$H$405,$AN1401)),"時短終了日がマスタと相違／","")))&amp;IF(AND($B1401&lt;&gt;"",$E1401=""),"報酬額が未入力／","")&amp;IF(N($U1401)&gt;0,"申請書に入力エラーが残っています／","")&amp;IF(AND($B1401&lt;&gt;"",$AO1401&lt;&gt;""),IF(COUNTIFS($B$6:$B$3005,$B1401,$C$6:$C$3005,$C1401,$D$6:$D$3005,$D1401)&gt;1,"同じ月の請求が重複しています／",""),"")&amp;IF(AND(N($E1401)&gt;0,$Z1401&lt;&gt;"",$Z1401&lt;&gt;"×",$AC1401=0,$AB1401=""),"計算額が下限以下のため不支給／",""))</f>
        <v/>
      </c>
      <c r="AL1401" s="12" t="n"/>
      <c r="AM1401" s="14">
        <f>IF($AD1401="保留中",COUNTIF($AD$6:$AD1401,"保留中"),"")</f>
        <v/>
      </c>
      <c r="AN1401" s="14">
        <f>IF($AO1401="","",IF(SUMPRODUCT(MAX((職員マスタ!$A$6:$A$405=$B1401)*(((職員マスタ!$G$6:$G$405="")+(職員マスタ!$G$6:$G$405&lt;=EOMONTH($AO1401,0)))&gt;0)*(((職員マスタ!$H$6:$H$405="")+(職員マスタ!$H$6:$H$405&gt;=$AO1401))&gt;0)*(ROW(職員マスタ!$A$6:$A$405)-5)))&gt;0,SUMPRODUCT(MAX((職員マスタ!$A$6:$A$405=$B1401)*(((職員マスタ!$G$6:$G$405="")+(職員マスタ!$G$6:$G$405&lt;=EOMONTH($AO1401,0)))&gt;0)*(((職員マスタ!$H$6:$H$405="")+(職員マスタ!$H$6:$H$405&gt;=$AO1401))&gt;0)*(ROW(職員マスタ!$A$6:$A$405)-5))),IFERROR(MATCH($B1401,職員マスタ!$A$6:$A$405,0),"")))</f>
        <v/>
      </c>
      <c r="AO1401" s="16">
        <f>IF(OR($B1401="",$C1401="",$D1401=""),"",DATE($C1401+2018,$D1401,1))</f>
        <v/>
      </c>
    </row>
    <row r="1402">
      <c r="A1402" s="11" t="n"/>
      <c r="B1402" s="12" t="n"/>
      <c r="C1402" s="12" t="n"/>
      <c r="D1402" s="12" t="n"/>
      <c r="E1402" s="13" t="n"/>
      <c r="F1402" s="12" t="n"/>
      <c r="G1402" s="13" t="n"/>
      <c r="H1402" s="12" t="n"/>
      <c r="I1402" s="12" t="n"/>
      <c r="J1402" s="12" t="n"/>
      <c r="K1402" s="12" t="n"/>
      <c r="L1402" s="11" t="n"/>
      <c r="M1402" s="11" t="n"/>
      <c r="N1402" s="11" t="n"/>
      <c r="O1402" s="11" t="n"/>
      <c r="P1402" s="12" t="n"/>
      <c r="Q1402" s="11" t="n"/>
      <c r="R1402" s="12" t="n"/>
      <c r="S1402" s="11" t="n"/>
      <c r="T1402" s="12" t="n"/>
      <c r="U1402" s="12" t="n"/>
      <c r="V1402" s="14">
        <f>IF($AN1402="",IF($B1402="","",$H1402),IF(INDEX(職員マスタ!$B$6:$B$405,$AN1402)="",$H1402,INDEX(職員マスタ!$B$6:$B$405,$AN1402)))</f>
        <v/>
      </c>
      <c r="W1402" s="14">
        <f>IF($AN1402="",IF($B1402="","",$R1402),IF(INDEX(職員マスタ!$C$6:$C$405,$AN1402)="",$R1402,INDEX(職員マスタ!$C$6:$C$405,$AN1402)))</f>
        <v/>
      </c>
      <c r="X1402" s="14">
        <f>IF($AO1402="","","R"&amp;$C1402&amp;"."&amp;$D1402)</f>
        <v/>
      </c>
      <c r="Y1402" s="15">
        <f>IF($AN1402="","",IF(INDEX(職員マスタ!$K$6:$K$405,$AN1402)="","",INDEX(職員マスタ!$K$6:$K$405,$AN1402)))</f>
        <v/>
      </c>
      <c r="Z1402" s="14">
        <f>IF(OR($E1402="",$Y1402=""),"",IF($E1402&gt;=$Y1402,"×",IF($E1402&gt;=$Y1402*設定!$C$5,"△","○")))</f>
        <v/>
      </c>
      <c r="AA1402" s="15">
        <f>IF($Z1402="","",IF($Z1402="×",0,IF($Z1402="○",ROUNDDOWN($E1402*設定!$C$4,0),ROUNDDOWN($E1402*ROUND((9*$Y1402-9*$E1402)/(10*$E1402),4),0))))</f>
        <v/>
      </c>
      <c r="AB1402" s="13" t="n"/>
      <c r="AC1402" s="15">
        <f>IF($B1402="","",IF($AB1402&lt;&gt;"",$AB1402,IF($AA1402="","",IF($AA1402&lt;=設定!$C$3,0,$AA1402))))</f>
        <v/>
      </c>
      <c r="AD1402" s="14">
        <f>IF($B1402="","",IF(AND($AE1402&lt;&gt;"",$AG1402="",$AJ1402=""),"保留中",IF($AJ1402&lt;&gt;"",IF(N($AC1402)&gt;0,"支給済","不支給"),IF($AC1402="","要確認",IF($AC1402=0,"不支給","未処理")))))</f>
        <v/>
      </c>
      <c r="AE1402" s="12" t="n"/>
      <c r="AF1402" s="11" t="n"/>
      <c r="AG1402" s="11" t="n"/>
      <c r="AH1402" s="11" t="n"/>
      <c r="AI1402" s="14">
        <f>IF(AND($AD1402="保留中",$AF1402&lt;&gt;""),TODAY()-$AF1402,"")</f>
        <v/>
      </c>
      <c r="AJ1402" s="12" t="n"/>
      <c r="AK1402" s="14">
        <f>IF($B1402="","",IF($AO1402="","対象年月が未入力／","")&amp;IF($B1402="","",IF($AN1402="","職員マスタに未登録の職員番号／",IF($Y1402="","標準報酬月額が未登録／","")&amp;IF(AND($AO1402&lt;&gt;"",OR(AND(INDEX(職員マスタ!$G$6:$G$405,$AN1402)&lt;&gt;"",INDEX(職員マスタ!$G$6:$G$405,$AN1402)&gt;EOMONTH($AO1402,0)),AND(INDEX(職員マスタ!$H$6:$H$405,$AN1402)&lt;&gt;"",INDEX(職員マスタ!$H$6:$H$405,$AN1402)&lt;$AO1402))),"対象月が時短期間外／","")&amp;IF(AND(INDEX(職員マスタ!$F$6:$F$405,$AN1402)&lt;&gt;"",$AO1402&lt;&gt;"",INDEX(職員マスタ!$F$6:$F$405,$AN1402)&lt;$AO1402),"対象月に子が2歳到達済／","")&amp;IF(AND($H1402&lt;&gt;"",INDEX(職員マスタ!$B$6:$B$405,$AN1402)&lt;&gt;"",SUBSTITUTE(SUBSTITUTE($H1402," ","")," ","")&lt;&gt;SUBSTITUTE(SUBSTITUTE(INDEX(職員マスタ!$B$6:$B$405,$AN1402)," ","")," ","")),"氏名がマスタと相違／","")&amp;IF(AND($Q1402&lt;&gt;"",INDEX(職員マスタ!$E$6:$E$405,$AN1402)&lt;&gt;"",$Q1402&lt;&gt;INDEX(職員マスタ!$E$6:$E$405,$AN1402)),"子の生年月日がマスタと相違／","")&amp;IF(AND($L1402&lt;&gt;"",INDEX(職員マスタ!$G$6:$G$405,$AN1402)&lt;&gt;"",$L1402&lt;&gt;INDEX(職員マスタ!$G$6:$G$405,$AN1402)),"時短開始日がマスタと相違／","")&amp;IF(AND($M1402&lt;&gt;"",INDEX(職員マスタ!$H$6:$H$405,$AN1402)&lt;&gt;"",$M1402&lt;&gt;INDEX(職員マスタ!$H$6:$H$405,$AN1402)),"時短終了日がマスタと相違／","")))&amp;IF(AND($B1402&lt;&gt;"",$E1402=""),"報酬額が未入力／","")&amp;IF(N($U1402)&gt;0,"申請書に入力エラーが残っています／","")&amp;IF(AND($B1402&lt;&gt;"",$AO1402&lt;&gt;""),IF(COUNTIFS($B$6:$B$3005,$B1402,$C$6:$C$3005,$C1402,$D$6:$D$3005,$D1402)&gt;1,"同じ月の請求が重複しています／",""),"")&amp;IF(AND(N($E1402)&gt;0,$Z1402&lt;&gt;"",$Z1402&lt;&gt;"×",$AC1402=0,$AB1402=""),"計算額が下限以下のため不支給／",""))</f>
        <v/>
      </c>
      <c r="AL1402" s="12" t="n"/>
      <c r="AM1402" s="14">
        <f>IF($AD1402="保留中",COUNTIF($AD$6:$AD1402,"保留中"),"")</f>
        <v/>
      </c>
      <c r="AN1402" s="14">
        <f>IF($AO1402="","",IF(SUMPRODUCT(MAX((職員マスタ!$A$6:$A$405=$B1402)*(((職員マスタ!$G$6:$G$405="")+(職員マスタ!$G$6:$G$405&lt;=EOMONTH($AO1402,0)))&gt;0)*(((職員マスタ!$H$6:$H$405="")+(職員マスタ!$H$6:$H$405&gt;=$AO1402))&gt;0)*(ROW(職員マスタ!$A$6:$A$405)-5)))&gt;0,SUMPRODUCT(MAX((職員マスタ!$A$6:$A$405=$B1402)*(((職員マスタ!$G$6:$G$405="")+(職員マスタ!$G$6:$G$405&lt;=EOMONTH($AO1402,0)))&gt;0)*(((職員マスタ!$H$6:$H$405="")+(職員マスタ!$H$6:$H$405&gt;=$AO1402))&gt;0)*(ROW(職員マスタ!$A$6:$A$405)-5))),IFERROR(MATCH($B1402,職員マスタ!$A$6:$A$405,0),"")))</f>
        <v/>
      </c>
      <c r="AO1402" s="16">
        <f>IF(OR($B1402="",$C1402="",$D1402=""),"",DATE($C1402+2018,$D1402,1))</f>
        <v/>
      </c>
    </row>
    <row r="1403">
      <c r="A1403" s="11" t="n"/>
      <c r="B1403" s="12" t="n"/>
      <c r="C1403" s="12" t="n"/>
      <c r="D1403" s="12" t="n"/>
      <c r="E1403" s="13" t="n"/>
      <c r="F1403" s="12" t="n"/>
      <c r="G1403" s="13" t="n"/>
      <c r="H1403" s="12" t="n"/>
      <c r="I1403" s="12" t="n"/>
      <c r="J1403" s="12" t="n"/>
      <c r="K1403" s="12" t="n"/>
      <c r="L1403" s="11" t="n"/>
      <c r="M1403" s="11" t="n"/>
      <c r="N1403" s="11" t="n"/>
      <c r="O1403" s="11" t="n"/>
      <c r="P1403" s="12" t="n"/>
      <c r="Q1403" s="11" t="n"/>
      <c r="R1403" s="12" t="n"/>
      <c r="S1403" s="11" t="n"/>
      <c r="T1403" s="12" t="n"/>
      <c r="U1403" s="12" t="n"/>
      <c r="V1403" s="14">
        <f>IF($AN1403="",IF($B1403="","",$H1403),IF(INDEX(職員マスタ!$B$6:$B$405,$AN1403)="",$H1403,INDEX(職員マスタ!$B$6:$B$405,$AN1403)))</f>
        <v/>
      </c>
      <c r="W1403" s="14">
        <f>IF($AN1403="",IF($B1403="","",$R1403),IF(INDEX(職員マスタ!$C$6:$C$405,$AN1403)="",$R1403,INDEX(職員マスタ!$C$6:$C$405,$AN1403)))</f>
        <v/>
      </c>
      <c r="X1403" s="14">
        <f>IF($AO1403="","","R"&amp;$C1403&amp;"."&amp;$D1403)</f>
        <v/>
      </c>
      <c r="Y1403" s="15">
        <f>IF($AN1403="","",IF(INDEX(職員マスタ!$K$6:$K$405,$AN1403)="","",INDEX(職員マスタ!$K$6:$K$405,$AN1403)))</f>
        <v/>
      </c>
      <c r="Z1403" s="14">
        <f>IF(OR($E1403="",$Y1403=""),"",IF($E1403&gt;=$Y1403,"×",IF($E1403&gt;=$Y1403*設定!$C$5,"△","○")))</f>
        <v/>
      </c>
      <c r="AA1403" s="15">
        <f>IF($Z1403="","",IF($Z1403="×",0,IF($Z1403="○",ROUNDDOWN($E1403*設定!$C$4,0),ROUNDDOWN($E1403*ROUND((9*$Y1403-9*$E1403)/(10*$E1403),4),0))))</f>
        <v/>
      </c>
      <c r="AB1403" s="13" t="n"/>
      <c r="AC1403" s="15">
        <f>IF($B1403="","",IF($AB1403&lt;&gt;"",$AB1403,IF($AA1403="","",IF($AA1403&lt;=設定!$C$3,0,$AA1403))))</f>
        <v/>
      </c>
      <c r="AD1403" s="14">
        <f>IF($B1403="","",IF(AND($AE1403&lt;&gt;"",$AG1403="",$AJ1403=""),"保留中",IF($AJ1403&lt;&gt;"",IF(N($AC1403)&gt;0,"支給済","不支給"),IF($AC1403="","要確認",IF($AC1403=0,"不支給","未処理")))))</f>
        <v/>
      </c>
      <c r="AE1403" s="12" t="n"/>
      <c r="AF1403" s="11" t="n"/>
      <c r="AG1403" s="11" t="n"/>
      <c r="AH1403" s="11" t="n"/>
      <c r="AI1403" s="14">
        <f>IF(AND($AD1403="保留中",$AF1403&lt;&gt;""),TODAY()-$AF1403,"")</f>
        <v/>
      </c>
      <c r="AJ1403" s="12" t="n"/>
      <c r="AK1403" s="14">
        <f>IF($B1403="","",IF($AO1403="","対象年月が未入力／","")&amp;IF($B1403="","",IF($AN1403="","職員マスタに未登録の職員番号／",IF($Y1403="","標準報酬月額が未登録／","")&amp;IF(AND($AO1403&lt;&gt;"",OR(AND(INDEX(職員マスタ!$G$6:$G$405,$AN1403)&lt;&gt;"",INDEX(職員マスタ!$G$6:$G$405,$AN1403)&gt;EOMONTH($AO1403,0)),AND(INDEX(職員マスタ!$H$6:$H$405,$AN1403)&lt;&gt;"",INDEX(職員マスタ!$H$6:$H$405,$AN1403)&lt;$AO1403))),"対象月が時短期間外／","")&amp;IF(AND(INDEX(職員マスタ!$F$6:$F$405,$AN1403)&lt;&gt;"",$AO1403&lt;&gt;"",INDEX(職員マスタ!$F$6:$F$405,$AN1403)&lt;$AO1403),"対象月に子が2歳到達済／","")&amp;IF(AND($H1403&lt;&gt;"",INDEX(職員マスタ!$B$6:$B$405,$AN1403)&lt;&gt;"",SUBSTITUTE(SUBSTITUTE($H1403," ","")," ","")&lt;&gt;SUBSTITUTE(SUBSTITUTE(INDEX(職員マスタ!$B$6:$B$405,$AN1403)," ","")," ","")),"氏名がマスタと相違／","")&amp;IF(AND($Q1403&lt;&gt;"",INDEX(職員マスタ!$E$6:$E$405,$AN1403)&lt;&gt;"",$Q1403&lt;&gt;INDEX(職員マスタ!$E$6:$E$405,$AN1403)),"子の生年月日がマスタと相違／","")&amp;IF(AND($L1403&lt;&gt;"",INDEX(職員マスタ!$G$6:$G$405,$AN1403)&lt;&gt;"",$L1403&lt;&gt;INDEX(職員マスタ!$G$6:$G$405,$AN1403)),"時短開始日がマスタと相違／","")&amp;IF(AND($M1403&lt;&gt;"",INDEX(職員マスタ!$H$6:$H$405,$AN1403)&lt;&gt;"",$M1403&lt;&gt;INDEX(職員マスタ!$H$6:$H$405,$AN1403)),"時短終了日がマスタと相違／","")))&amp;IF(AND($B1403&lt;&gt;"",$E1403=""),"報酬額が未入力／","")&amp;IF(N($U1403)&gt;0,"申請書に入力エラーが残っています／","")&amp;IF(AND($B1403&lt;&gt;"",$AO1403&lt;&gt;""),IF(COUNTIFS($B$6:$B$3005,$B1403,$C$6:$C$3005,$C1403,$D$6:$D$3005,$D1403)&gt;1,"同じ月の請求が重複しています／",""),"")&amp;IF(AND(N($E1403)&gt;0,$Z1403&lt;&gt;"",$Z1403&lt;&gt;"×",$AC1403=0,$AB1403=""),"計算額が下限以下のため不支給／",""))</f>
        <v/>
      </c>
      <c r="AL1403" s="12" t="n"/>
      <c r="AM1403" s="14">
        <f>IF($AD1403="保留中",COUNTIF($AD$6:$AD1403,"保留中"),"")</f>
        <v/>
      </c>
      <c r="AN1403" s="14">
        <f>IF($AO1403="","",IF(SUMPRODUCT(MAX((職員マスタ!$A$6:$A$405=$B1403)*(((職員マスタ!$G$6:$G$405="")+(職員マスタ!$G$6:$G$405&lt;=EOMONTH($AO1403,0)))&gt;0)*(((職員マスタ!$H$6:$H$405="")+(職員マスタ!$H$6:$H$405&gt;=$AO1403))&gt;0)*(ROW(職員マスタ!$A$6:$A$405)-5)))&gt;0,SUMPRODUCT(MAX((職員マスタ!$A$6:$A$405=$B1403)*(((職員マスタ!$G$6:$G$405="")+(職員マスタ!$G$6:$G$405&lt;=EOMONTH($AO1403,0)))&gt;0)*(((職員マスタ!$H$6:$H$405="")+(職員マスタ!$H$6:$H$405&gt;=$AO1403))&gt;0)*(ROW(職員マスタ!$A$6:$A$405)-5))),IFERROR(MATCH($B1403,職員マスタ!$A$6:$A$405,0),"")))</f>
        <v/>
      </c>
      <c r="AO1403" s="16">
        <f>IF(OR($B1403="",$C1403="",$D1403=""),"",DATE($C1403+2018,$D1403,1))</f>
        <v/>
      </c>
    </row>
    <row r="1404">
      <c r="A1404" s="11" t="n"/>
      <c r="B1404" s="12" t="n"/>
      <c r="C1404" s="12" t="n"/>
      <c r="D1404" s="12" t="n"/>
      <c r="E1404" s="13" t="n"/>
      <c r="F1404" s="12" t="n"/>
      <c r="G1404" s="13" t="n"/>
      <c r="H1404" s="12" t="n"/>
      <c r="I1404" s="12" t="n"/>
      <c r="J1404" s="12" t="n"/>
      <c r="K1404" s="12" t="n"/>
      <c r="L1404" s="11" t="n"/>
      <c r="M1404" s="11" t="n"/>
      <c r="N1404" s="11" t="n"/>
      <c r="O1404" s="11" t="n"/>
      <c r="P1404" s="12" t="n"/>
      <c r="Q1404" s="11" t="n"/>
      <c r="R1404" s="12" t="n"/>
      <c r="S1404" s="11" t="n"/>
      <c r="T1404" s="12" t="n"/>
      <c r="U1404" s="12" t="n"/>
      <c r="V1404" s="14">
        <f>IF($AN1404="",IF($B1404="","",$H1404),IF(INDEX(職員マスタ!$B$6:$B$405,$AN1404)="",$H1404,INDEX(職員マスタ!$B$6:$B$405,$AN1404)))</f>
        <v/>
      </c>
      <c r="W1404" s="14">
        <f>IF($AN1404="",IF($B1404="","",$R1404),IF(INDEX(職員マスタ!$C$6:$C$405,$AN1404)="",$R1404,INDEX(職員マスタ!$C$6:$C$405,$AN1404)))</f>
        <v/>
      </c>
      <c r="X1404" s="14">
        <f>IF($AO1404="","","R"&amp;$C1404&amp;"."&amp;$D1404)</f>
        <v/>
      </c>
      <c r="Y1404" s="15">
        <f>IF($AN1404="","",IF(INDEX(職員マスタ!$K$6:$K$405,$AN1404)="","",INDEX(職員マスタ!$K$6:$K$405,$AN1404)))</f>
        <v/>
      </c>
      <c r="Z1404" s="14">
        <f>IF(OR($E1404="",$Y1404=""),"",IF($E1404&gt;=$Y1404,"×",IF($E1404&gt;=$Y1404*設定!$C$5,"△","○")))</f>
        <v/>
      </c>
      <c r="AA1404" s="15">
        <f>IF($Z1404="","",IF($Z1404="×",0,IF($Z1404="○",ROUNDDOWN($E1404*設定!$C$4,0),ROUNDDOWN($E1404*ROUND((9*$Y1404-9*$E1404)/(10*$E1404),4),0))))</f>
        <v/>
      </c>
      <c r="AB1404" s="13" t="n"/>
      <c r="AC1404" s="15">
        <f>IF($B1404="","",IF($AB1404&lt;&gt;"",$AB1404,IF($AA1404="","",IF($AA1404&lt;=設定!$C$3,0,$AA1404))))</f>
        <v/>
      </c>
      <c r="AD1404" s="14">
        <f>IF($B1404="","",IF(AND($AE1404&lt;&gt;"",$AG1404="",$AJ1404=""),"保留中",IF($AJ1404&lt;&gt;"",IF(N($AC1404)&gt;0,"支給済","不支給"),IF($AC1404="","要確認",IF($AC1404=0,"不支給","未処理")))))</f>
        <v/>
      </c>
      <c r="AE1404" s="12" t="n"/>
      <c r="AF1404" s="11" t="n"/>
      <c r="AG1404" s="11" t="n"/>
      <c r="AH1404" s="11" t="n"/>
      <c r="AI1404" s="14">
        <f>IF(AND($AD1404="保留中",$AF1404&lt;&gt;""),TODAY()-$AF1404,"")</f>
        <v/>
      </c>
      <c r="AJ1404" s="12" t="n"/>
      <c r="AK1404" s="14">
        <f>IF($B1404="","",IF($AO1404="","対象年月が未入力／","")&amp;IF($B1404="","",IF($AN1404="","職員マスタに未登録の職員番号／",IF($Y1404="","標準報酬月額が未登録／","")&amp;IF(AND($AO1404&lt;&gt;"",OR(AND(INDEX(職員マスタ!$G$6:$G$405,$AN1404)&lt;&gt;"",INDEX(職員マスタ!$G$6:$G$405,$AN1404)&gt;EOMONTH($AO1404,0)),AND(INDEX(職員マスタ!$H$6:$H$405,$AN1404)&lt;&gt;"",INDEX(職員マスタ!$H$6:$H$405,$AN1404)&lt;$AO1404))),"対象月が時短期間外／","")&amp;IF(AND(INDEX(職員マスタ!$F$6:$F$405,$AN1404)&lt;&gt;"",$AO1404&lt;&gt;"",INDEX(職員マスタ!$F$6:$F$405,$AN1404)&lt;$AO1404),"対象月に子が2歳到達済／","")&amp;IF(AND($H1404&lt;&gt;"",INDEX(職員マスタ!$B$6:$B$405,$AN1404)&lt;&gt;"",SUBSTITUTE(SUBSTITUTE($H1404," ","")," ","")&lt;&gt;SUBSTITUTE(SUBSTITUTE(INDEX(職員マスタ!$B$6:$B$405,$AN1404)," ","")," ","")),"氏名がマスタと相違／","")&amp;IF(AND($Q1404&lt;&gt;"",INDEX(職員マスタ!$E$6:$E$405,$AN1404)&lt;&gt;"",$Q1404&lt;&gt;INDEX(職員マスタ!$E$6:$E$405,$AN1404)),"子の生年月日がマスタと相違／","")&amp;IF(AND($L1404&lt;&gt;"",INDEX(職員マスタ!$G$6:$G$405,$AN1404)&lt;&gt;"",$L1404&lt;&gt;INDEX(職員マスタ!$G$6:$G$405,$AN1404)),"時短開始日がマスタと相違／","")&amp;IF(AND($M1404&lt;&gt;"",INDEX(職員マスタ!$H$6:$H$405,$AN1404)&lt;&gt;"",$M1404&lt;&gt;INDEX(職員マスタ!$H$6:$H$405,$AN1404)),"時短終了日がマスタと相違／","")))&amp;IF(AND($B1404&lt;&gt;"",$E1404=""),"報酬額が未入力／","")&amp;IF(N($U1404)&gt;0,"申請書に入力エラーが残っています／","")&amp;IF(AND($B1404&lt;&gt;"",$AO1404&lt;&gt;""),IF(COUNTIFS($B$6:$B$3005,$B1404,$C$6:$C$3005,$C1404,$D$6:$D$3005,$D1404)&gt;1,"同じ月の請求が重複しています／",""),"")&amp;IF(AND(N($E1404)&gt;0,$Z1404&lt;&gt;"",$Z1404&lt;&gt;"×",$AC1404=0,$AB1404=""),"計算額が下限以下のため不支給／",""))</f>
        <v/>
      </c>
      <c r="AL1404" s="12" t="n"/>
      <c r="AM1404" s="14">
        <f>IF($AD1404="保留中",COUNTIF($AD$6:$AD1404,"保留中"),"")</f>
        <v/>
      </c>
      <c r="AN1404" s="14">
        <f>IF($AO1404="","",IF(SUMPRODUCT(MAX((職員マスタ!$A$6:$A$405=$B1404)*(((職員マスタ!$G$6:$G$405="")+(職員マスタ!$G$6:$G$405&lt;=EOMONTH($AO1404,0)))&gt;0)*(((職員マスタ!$H$6:$H$405="")+(職員マスタ!$H$6:$H$405&gt;=$AO1404))&gt;0)*(ROW(職員マスタ!$A$6:$A$405)-5)))&gt;0,SUMPRODUCT(MAX((職員マスタ!$A$6:$A$405=$B1404)*(((職員マスタ!$G$6:$G$405="")+(職員マスタ!$G$6:$G$405&lt;=EOMONTH($AO1404,0)))&gt;0)*(((職員マスタ!$H$6:$H$405="")+(職員マスタ!$H$6:$H$405&gt;=$AO1404))&gt;0)*(ROW(職員マスタ!$A$6:$A$405)-5))),IFERROR(MATCH($B1404,職員マスタ!$A$6:$A$405,0),"")))</f>
        <v/>
      </c>
      <c r="AO1404" s="16">
        <f>IF(OR($B1404="",$C1404="",$D1404=""),"",DATE($C1404+2018,$D1404,1))</f>
        <v/>
      </c>
    </row>
    <row r="1405">
      <c r="A1405" s="11" t="n"/>
      <c r="B1405" s="12" t="n"/>
      <c r="C1405" s="12" t="n"/>
      <c r="D1405" s="12" t="n"/>
      <c r="E1405" s="13" t="n"/>
      <c r="F1405" s="12" t="n"/>
      <c r="G1405" s="13" t="n"/>
      <c r="H1405" s="12" t="n"/>
      <c r="I1405" s="12" t="n"/>
      <c r="J1405" s="12" t="n"/>
      <c r="K1405" s="12" t="n"/>
      <c r="L1405" s="11" t="n"/>
      <c r="M1405" s="11" t="n"/>
      <c r="N1405" s="11" t="n"/>
      <c r="O1405" s="11" t="n"/>
      <c r="P1405" s="12" t="n"/>
      <c r="Q1405" s="11" t="n"/>
      <c r="R1405" s="12" t="n"/>
      <c r="S1405" s="11" t="n"/>
      <c r="T1405" s="12" t="n"/>
      <c r="U1405" s="12" t="n"/>
      <c r="V1405" s="14">
        <f>IF($AN1405="",IF($B1405="","",$H1405),IF(INDEX(職員マスタ!$B$6:$B$405,$AN1405)="",$H1405,INDEX(職員マスタ!$B$6:$B$405,$AN1405)))</f>
        <v/>
      </c>
      <c r="W1405" s="14">
        <f>IF($AN1405="",IF($B1405="","",$R1405),IF(INDEX(職員マスタ!$C$6:$C$405,$AN1405)="",$R1405,INDEX(職員マスタ!$C$6:$C$405,$AN1405)))</f>
        <v/>
      </c>
      <c r="X1405" s="14">
        <f>IF($AO1405="","","R"&amp;$C1405&amp;"."&amp;$D1405)</f>
        <v/>
      </c>
      <c r="Y1405" s="15">
        <f>IF($AN1405="","",IF(INDEX(職員マスタ!$K$6:$K$405,$AN1405)="","",INDEX(職員マスタ!$K$6:$K$405,$AN1405)))</f>
        <v/>
      </c>
      <c r="Z1405" s="14">
        <f>IF(OR($E1405="",$Y1405=""),"",IF($E1405&gt;=$Y1405,"×",IF($E1405&gt;=$Y1405*設定!$C$5,"△","○")))</f>
        <v/>
      </c>
      <c r="AA1405" s="15">
        <f>IF($Z1405="","",IF($Z1405="×",0,IF($Z1405="○",ROUNDDOWN($E1405*設定!$C$4,0),ROUNDDOWN($E1405*ROUND((9*$Y1405-9*$E1405)/(10*$E1405),4),0))))</f>
        <v/>
      </c>
      <c r="AB1405" s="13" t="n"/>
      <c r="AC1405" s="15">
        <f>IF($B1405="","",IF($AB1405&lt;&gt;"",$AB1405,IF($AA1405="","",IF($AA1405&lt;=設定!$C$3,0,$AA1405))))</f>
        <v/>
      </c>
      <c r="AD1405" s="14">
        <f>IF($B1405="","",IF(AND($AE1405&lt;&gt;"",$AG1405="",$AJ1405=""),"保留中",IF($AJ1405&lt;&gt;"",IF(N($AC1405)&gt;0,"支給済","不支給"),IF($AC1405="","要確認",IF($AC1405=0,"不支給","未処理")))))</f>
        <v/>
      </c>
      <c r="AE1405" s="12" t="n"/>
      <c r="AF1405" s="11" t="n"/>
      <c r="AG1405" s="11" t="n"/>
      <c r="AH1405" s="11" t="n"/>
      <c r="AI1405" s="14">
        <f>IF(AND($AD1405="保留中",$AF1405&lt;&gt;""),TODAY()-$AF1405,"")</f>
        <v/>
      </c>
      <c r="AJ1405" s="12" t="n"/>
      <c r="AK1405" s="14">
        <f>IF($B1405="","",IF($AO1405="","対象年月が未入力／","")&amp;IF($B1405="","",IF($AN1405="","職員マスタに未登録の職員番号／",IF($Y1405="","標準報酬月額が未登録／","")&amp;IF(AND($AO1405&lt;&gt;"",OR(AND(INDEX(職員マスタ!$G$6:$G$405,$AN1405)&lt;&gt;"",INDEX(職員マスタ!$G$6:$G$405,$AN1405)&gt;EOMONTH($AO1405,0)),AND(INDEX(職員マスタ!$H$6:$H$405,$AN1405)&lt;&gt;"",INDEX(職員マスタ!$H$6:$H$405,$AN1405)&lt;$AO1405))),"対象月が時短期間外／","")&amp;IF(AND(INDEX(職員マスタ!$F$6:$F$405,$AN1405)&lt;&gt;"",$AO1405&lt;&gt;"",INDEX(職員マスタ!$F$6:$F$405,$AN1405)&lt;$AO1405),"対象月に子が2歳到達済／","")&amp;IF(AND($H1405&lt;&gt;"",INDEX(職員マスタ!$B$6:$B$405,$AN1405)&lt;&gt;"",SUBSTITUTE(SUBSTITUTE($H1405," ","")," ","")&lt;&gt;SUBSTITUTE(SUBSTITUTE(INDEX(職員マスタ!$B$6:$B$405,$AN1405)," ","")," ","")),"氏名がマスタと相違／","")&amp;IF(AND($Q1405&lt;&gt;"",INDEX(職員マスタ!$E$6:$E$405,$AN1405)&lt;&gt;"",$Q1405&lt;&gt;INDEX(職員マスタ!$E$6:$E$405,$AN1405)),"子の生年月日がマスタと相違／","")&amp;IF(AND($L1405&lt;&gt;"",INDEX(職員マスタ!$G$6:$G$405,$AN1405)&lt;&gt;"",$L1405&lt;&gt;INDEX(職員マスタ!$G$6:$G$405,$AN1405)),"時短開始日がマスタと相違／","")&amp;IF(AND($M1405&lt;&gt;"",INDEX(職員マスタ!$H$6:$H$405,$AN1405)&lt;&gt;"",$M1405&lt;&gt;INDEX(職員マスタ!$H$6:$H$405,$AN1405)),"時短終了日がマスタと相違／","")))&amp;IF(AND($B1405&lt;&gt;"",$E1405=""),"報酬額が未入力／","")&amp;IF(N($U1405)&gt;0,"申請書に入力エラーが残っています／","")&amp;IF(AND($B1405&lt;&gt;"",$AO1405&lt;&gt;""),IF(COUNTIFS($B$6:$B$3005,$B1405,$C$6:$C$3005,$C1405,$D$6:$D$3005,$D1405)&gt;1,"同じ月の請求が重複しています／",""),"")&amp;IF(AND(N($E1405)&gt;0,$Z1405&lt;&gt;"",$Z1405&lt;&gt;"×",$AC1405=0,$AB1405=""),"計算額が下限以下のため不支給／",""))</f>
        <v/>
      </c>
      <c r="AL1405" s="12" t="n"/>
      <c r="AM1405" s="14">
        <f>IF($AD1405="保留中",COUNTIF($AD$6:$AD1405,"保留中"),"")</f>
        <v/>
      </c>
      <c r="AN1405" s="14">
        <f>IF($AO1405="","",IF(SUMPRODUCT(MAX((職員マスタ!$A$6:$A$405=$B1405)*(((職員マスタ!$G$6:$G$405="")+(職員マスタ!$G$6:$G$405&lt;=EOMONTH($AO1405,0)))&gt;0)*(((職員マスタ!$H$6:$H$405="")+(職員マスタ!$H$6:$H$405&gt;=$AO1405))&gt;0)*(ROW(職員マスタ!$A$6:$A$405)-5)))&gt;0,SUMPRODUCT(MAX((職員マスタ!$A$6:$A$405=$B1405)*(((職員マスタ!$G$6:$G$405="")+(職員マスタ!$G$6:$G$405&lt;=EOMONTH($AO1405,0)))&gt;0)*(((職員マスタ!$H$6:$H$405="")+(職員マスタ!$H$6:$H$405&gt;=$AO1405))&gt;0)*(ROW(職員マスタ!$A$6:$A$405)-5))),IFERROR(MATCH($B1405,職員マスタ!$A$6:$A$405,0),"")))</f>
        <v/>
      </c>
      <c r="AO1405" s="16">
        <f>IF(OR($B1405="",$C1405="",$D1405=""),"",DATE($C1405+2018,$D1405,1))</f>
        <v/>
      </c>
    </row>
    <row r="1406">
      <c r="A1406" s="11" t="n"/>
      <c r="B1406" s="12" t="n"/>
      <c r="C1406" s="12" t="n"/>
      <c r="D1406" s="12" t="n"/>
      <c r="E1406" s="13" t="n"/>
      <c r="F1406" s="12" t="n"/>
      <c r="G1406" s="13" t="n"/>
      <c r="H1406" s="12" t="n"/>
      <c r="I1406" s="12" t="n"/>
      <c r="J1406" s="12" t="n"/>
      <c r="K1406" s="12" t="n"/>
      <c r="L1406" s="11" t="n"/>
      <c r="M1406" s="11" t="n"/>
      <c r="N1406" s="11" t="n"/>
      <c r="O1406" s="11" t="n"/>
      <c r="P1406" s="12" t="n"/>
      <c r="Q1406" s="11" t="n"/>
      <c r="R1406" s="12" t="n"/>
      <c r="S1406" s="11" t="n"/>
      <c r="T1406" s="12" t="n"/>
      <c r="U1406" s="12" t="n"/>
      <c r="V1406" s="14">
        <f>IF($AN1406="",IF($B1406="","",$H1406),IF(INDEX(職員マスタ!$B$6:$B$405,$AN1406)="",$H1406,INDEX(職員マスタ!$B$6:$B$405,$AN1406)))</f>
        <v/>
      </c>
      <c r="W1406" s="14">
        <f>IF($AN1406="",IF($B1406="","",$R1406),IF(INDEX(職員マスタ!$C$6:$C$405,$AN1406)="",$R1406,INDEX(職員マスタ!$C$6:$C$405,$AN1406)))</f>
        <v/>
      </c>
      <c r="X1406" s="14">
        <f>IF($AO1406="","","R"&amp;$C1406&amp;"."&amp;$D1406)</f>
        <v/>
      </c>
      <c r="Y1406" s="15">
        <f>IF($AN1406="","",IF(INDEX(職員マスタ!$K$6:$K$405,$AN1406)="","",INDEX(職員マスタ!$K$6:$K$405,$AN1406)))</f>
        <v/>
      </c>
      <c r="Z1406" s="14">
        <f>IF(OR($E1406="",$Y1406=""),"",IF($E1406&gt;=$Y1406,"×",IF($E1406&gt;=$Y1406*設定!$C$5,"△","○")))</f>
        <v/>
      </c>
      <c r="AA1406" s="15">
        <f>IF($Z1406="","",IF($Z1406="×",0,IF($Z1406="○",ROUNDDOWN($E1406*設定!$C$4,0),ROUNDDOWN($E1406*ROUND((9*$Y1406-9*$E1406)/(10*$E1406),4),0))))</f>
        <v/>
      </c>
      <c r="AB1406" s="13" t="n"/>
      <c r="AC1406" s="15">
        <f>IF($B1406="","",IF($AB1406&lt;&gt;"",$AB1406,IF($AA1406="","",IF($AA1406&lt;=設定!$C$3,0,$AA1406))))</f>
        <v/>
      </c>
      <c r="AD1406" s="14">
        <f>IF($B1406="","",IF(AND($AE1406&lt;&gt;"",$AG1406="",$AJ1406=""),"保留中",IF($AJ1406&lt;&gt;"",IF(N($AC1406)&gt;0,"支給済","不支給"),IF($AC1406="","要確認",IF($AC1406=0,"不支給","未処理")))))</f>
        <v/>
      </c>
      <c r="AE1406" s="12" t="n"/>
      <c r="AF1406" s="11" t="n"/>
      <c r="AG1406" s="11" t="n"/>
      <c r="AH1406" s="11" t="n"/>
      <c r="AI1406" s="14">
        <f>IF(AND($AD1406="保留中",$AF1406&lt;&gt;""),TODAY()-$AF1406,"")</f>
        <v/>
      </c>
      <c r="AJ1406" s="12" t="n"/>
      <c r="AK1406" s="14">
        <f>IF($B1406="","",IF($AO1406="","対象年月が未入力／","")&amp;IF($B1406="","",IF($AN1406="","職員マスタに未登録の職員番号／",IF($Y1406="","標準報酬月額が未登録／","")&amp;IF(AND($AO1406&lt;&gt;"",OR(AND(INDEX(職員マスタ!$G$6:$G$405,$AN1406)&lt;&gt;"",INDEX(職員マスタ!$G$6:$G$405,$AN1406)&gt;EOMONTH($AO1406,0)),AND(INDEX(職員マスタ!$H$6:$H$405,$AN1406)&lt;&gt;"",INDEX(職員マスタ!$H$6:$H$405,$AN1406)&lt;$AO1406))),"対象月が時短期間外／","")&amp;IF(AND(INDEX(職員マスタ!$F$6:$F$405,$AN1406)&lt;&gt;"",$AO1406&lt;&gt;"",INDEX(職員マスタ!$F$6:$F$405,$AN1406)&lt;$AO1406),"対象月に子が2歳到達済／","")&amp;IF(AND($H1406&lt;&gt;"",INDEX(職員マスタ!$B$6:$B$405,$AN1406)&lt;&gt;"",SUBSTITUTE(SUBSTITUTE($H1406," ","")," ","")&lt;&gt;SUBSTITUTE(SUBSTITUTE(INDEX(職員マスタ!$B$6:$B$405,$AN1406)," ","")," ","")),"氏名がマスタと相違／","")&amp;IF(AND($Q1406&lt;&gt;"",INDEX(職員マスタ!$E$6:$E$405,$AN1406)&lt;&gt;"",$Q1406&lt;&gt;INDEX(職員マスタ!$E$6:$E$405,$AN1406)),"子の生年月日がマスタと相違／","")&amp;IF(AND($L1406&lt;&gt;"",INDEX(職員マスタ!$G$6:$G$405,$AN1406)&lt;&gt;"",$L1406&lt;&gt;INDEX(職員マスタ!$G$6:$G$405,$AN1406)),"時短開始日がマスタと相違／","")&amp;IF(AND($M1406&lt;&gt;"",INDEX(職員マスタ!$H$6:$H$405,$AN1406)&lt;&gt;"",$M1406&lt;&gt;INDEX(職員マスタ!$H$6:$H$405,$AN1406)),"時短終了日がマスタと相違／","")))&amp;IF(AND($B1406&lt;&gt;"",$E1406=""),"報酬額が未入力／","")&amp;IF(N($U1406)&gt;0,"申請書に入力エラーが残っています／","")&amp;IF(AND($B1406&lt;&gt;"",$AO1406&lt;&gt;""),IF(COUNTIFS($B$6:$B$3005,$B1406,$C$6:$C$3005,$C1406,$D$6:$D$3005,$D1406)&gt;1,"同じ月の請求が重複しています／",""),"")&amp;IF(AND(N($E1406)&gt;0,$Z1406&lt;&gt;"",$Z1406&lt;&gt;"×",$AC1406=0,$AB1406=""),"計算額が下限以下のため不支給／",""))</f>
        <v/>
      </c>
      <c r="AL1406" s="12" t="n"/>
      <c r="AM1406" s="14">
        <f>IF($AD1406="保留中",COUNTIF($AD$6:$AD1406,"保留中"),"")</f>
        <v/>
      </c>
      <c r="AN1406" s="14">
        <f>IF($AO1406="","",IF(SUMPRODUCT(MAX((職員マスタ!$A$6:$A$405=$B1406)*(((職員マスタ!$G$6:$G$405="")+(職員マスタ!$G$6:$G$405&lt;=EOMONTH($AO1406,0)))&gt;0)*(((職員マスタ!$H$6:$H$405="")+(職員マスタ!$H$6:$H$405&gt;=$AO1406))&gt;0)*(ROW(職員マスタ!$A$6:$A$405)-5)))&gt;0,SUMPRODUCT(MAX((職員マスタ!$A$6:$A$405=$B1406)*(((職員マスタ!$G$6:$G$405="")+(職員マスタ!$G$6:$G$405&lt;=EOMONTH($AO1406,0)))&gt;0)*(((職員マスタ!$H$6:$H$405="")+(職員マスタ!$H$6:$H$405&gt;=$AO1406))&gt;0)*(ROW(職員マスタ!$A$6:$A$405)-5))),IFERROR(MATCH($B1406,職員マスタ!$A$6:$A$405,0),"")))</f>
        <v/>
      </c>
      <c r="AO1406" s="16">
        <f>IF(OR($B1406="",$C1406="",$D1406=""),"",DATE($C1406+2018,$D1406,1))</f>
        <v/>
      </c>
    </row>
    <row r="1407">
      <c r="A1407" s="11" t="n"/>
      <c r="B1407" s="12" t="n"/>
      <c r="C1407" s="12" t="n"/>
      <c r="D1407" s="12" t="n"/>
      <c r="E1407" s="13" t="n"/>
      <c r="F1407" s="12" t="n"/>
      <c r="G1407" s="13" t="n"/>
      <c r="H1407" s="12" t="n"/>
      <c r="I1407" s="12" t="n"/>
      <c r="J1407" s="12" t="n"/>
      <c r="K1407" s="12" t="n"/>
      <c r="L1407" s="11" t="n"/>
      <c r="M1407" s="11" t="n"/>
      <c r="N1407" s="11" t="n"/>
      <c r="O1407" s="11" t="n"/>
      <c r="P1407" s="12" t="n"/>
      <c r="Q1407" s="11" t="n"/>
      <c r="R1407" s="12" t="n"/>
      <c r="S1407" s="11" t="n"/>
      <c r="T1407" s="12" t="n"/>
      <c r="U1407" s="12" t="n"/>
      <c r="V1407" s="14">
        <f>IF($AN1407="",IF($B1407="","",$H1407),IF(INDEX(職員マスタ!$B$6:$B$405,$AN1407)="",$H1407,INDEX(職員マスタ!$B$6:$B$405,$AN1407)))</f>
        <v/>
      </c>
      <c r="W1407" s="14">
        <f>IF($AN1407="",IF($B1407="","",$R1407),IF(INDEX(職員マスタ!$C$6:$C$405,$AN1407)="",$R1407,INDEX(職員マスタ!$C$6:$C$405,$AN1407)))</f>
        <v/>
      </c>
      <c r="X1407" s="14">
        <f>IF($AO1407="","","R"&amp;$C1407&amp;"."&amp;$D1407)</f>
        <v/>
      </c>
      <c r="Y1407" s="15">
        <f>IF($AN1407="","",IF(INDEX(職員マスタ!$K$6:$K$405,$AN1407)="","",INDEX(職員マスタ!$K$6:$K$405,$AN1407)))</f>
        <v/>
      </c>
      <c r="Z1407" s="14">
        <f>IF(OR($E1407="",$Y1407=""),"",IF($E1407&gt;=$Y1407,"×",IF($E1407&gt;=$Y1407*設定!$C$5,"△","○")))</f>
        <v/>
      </c>
      <c r="AA1407" s="15">
        <f>IF($Z1407="","",IF($Z1407="×",0,IF($Z1407="○",ROUNDDOWN($E1407*設定!$C$4,0),ROUNDDOWN($E1407*ROUND((9*$Y1407-9*$E1407)/(10*$E1407),4),0))))</f>
        <v/>
      </c>
      <c r="AB1407" s="13" t="n"/>
      <c r="AC1407" s="15">
        <f>IF($B1407="","",IF($AB1407&lt;&gt;"",$AB1407,IF($AA1407="","",IF($AA1407&lt;=設定!$C$3,0,$AA1407))))</f>
        <v/>
      </c>
      <c r="AD1407" s="14">
        <f>IF($B1407="","",IF(AND($AE1407&lt;&gt;"",$AG1407="",$AJ1407=""),"保留中",IF($AJ1407&lt;&gt;"",IF(N($AC1407)&gt;0,"支給済","不支給"),IF($AC1407="","要確認",IF($AC1407=0,"不支給","未処理")))))</f>
        <v/>
      </c>
      <c r="AE1407" s="12" t="n"/>
      <c r="AF1407" s="11" t="n"/>
      <c r="AG1407" s="11" t="n"/>
      <c r="AH1407" s="11" t="n"/>
      <c r="AI1407" s="14">
        <f>IF(AND($AD1407="保留中",$AF1407&lt;&gt;""),TODAY()-$AF1407,"")</f>
        <v/>
      </c>
      <c r="AJ1407" s="12" t="n"/>
      <c r="AK1407" s="14">
        <f>IF($B1407="","",IF($AO1407="","対象年月が未入力／","")&amp;IF($B1407="","",IF($AN1407="","職員マスタに未登録の職員番号／",IF($Y1407="","標準報酬月額が未登録／","")&amp;IF(AND($AO1407&lt;&gt;"",OR(AND(INDEX(職員マスタ!$G$6:$G$405,$AN1407)&lt;&gt;"",INDEX(職員マスタ!$G$6:$G$405,$AN1407)&gt;EOMONTH($AO1407,0)),AND(INDEX(職員マスタ!$H$6:$H$405,$AN1407)&lt;&gt;"",INDEX(職員マスタ!$H$6:$H$405,$AN1407)&lt;$AO1407))),"対象月が時短期間外／","")&amp;IF(AND(INDEX(職員マスタ!$F$6:$F$405,$AN1407)&lt;&gt;"",$AO1407&lt;&gt;"",INDEX(職員マスタ!$F$6:$F$405,$AN1407)&lt;$AO1407),"対象月に子が2歳到達済／","")&amp;IF(AND($H1407&lt;&gt;"",INDEX(職員マスタ!$B$6:$B$405,$AN1407)&lt;&gt;"",SUBSTITUTE(SUBSTITUTE($H1407," ","")," ","")&lt;&gt;SUBSTITUTE(SUBSTITUTE(INDEX(職員マスタ!$B$6:$B$405,$AN1407)," ","")," ","")),"氏名がマスタと相違／","")&amp;IF(AND($Q1407&lt;&gt;"",INDEX(職員マスタ!$E$6:$E$405,$AN1407)&lt;&gt;"",$Q1407&lt;&gt;INDEX(職員マスタ!$E$6:$E$405,$AN1407)),"子の生年月日がマスタと相違／","")&amp;IF(AND($L1407&lt;&gt;"",INDEX(職員マスタ!$G$6:$G$405,$AN1407)&lt;&gt;"",$L1407&lt;&gt;INDEX(職員マスタ!$G$6:$G$405,$AN1407)),"時短開始日がマスタと相違／","")&amp;IF(AND($M1407&lt;&gt;"",INDEX(職員マスタ!$H$6:$H$405,$AN1407)&lt;&gt;"",$M1407&lt;&gt;INDEX(職員マスタ!$H$6:$H$405,$AN1407)),"時短終了日がマスタと相違／","")))&amp;IF(AND($B1407&lt;&gt;"",$E1407=""),"報酬額が未入力／","")&amp;IF(N($U1407)&gt;0,"申請書に入力エラーが残っています／","")&amp;IF(AND($B1407&lt;&gt;"",$AO1407&lt;&gt;""),IF(COUNTIFS($B$6:$B$3005,$B1407,$C$6:$C$3005,$C1407,$D$6:$D$3005,$D1407)&gt;1,"同じ月の請求が重複しています／",""),"")&amp;IF(AND(N($E1407)&gt;0,$Z1407&lt;&gt;"",$Z1407&lt;&gt;"×",$AC1407=0,$AB1407=""),"計算額が下限以下のため不支給／",""))</f>
        <v/>
      </c>
      <c r="AL1407" s="12" t="n"/>
      <c r="AM1407" s="14">
        <f>IF($AD1407="保留中",COUNTIF($AD$6:$AD1407,"保留中"),"")</f>
        <v/>
      </c>
      <c r="AN1407" s="14">
        <f>IF($AO1407="","",IF(SUMPRODUCT(MAX((職員マスタ!$A$6:$A$405=$B1407)*(((職員マスタ!$G$6:$G$405="")+(職員マスタ!$G$6:$G$405&lt;=EOMONTH($AO1407,0)))&gt;0)*(((職員マスタ!$H$6:$H$405="")+(職員マスタ!$H$6:$H$405&gt;=$AO1407))&gt;0)*(ROW(職員マスタ!$A$6:$A$405)-5)))&gt;0,SUMPRODUCT(MAX((職員マスタ!$A$6:$A$405=$B1407)*(((職員マスタ!$G$6:$G$405="")+(職員マスタ!$G$6:$G$405&lt;=EOMONTH($AO1407,0)))&gt;0)*(((職員マスタ!$H$6:$H$405="")+(職員マスタ!$H$6:$H$405&gt;=$AO1407))&gt;0)*(ROW(職員マスタ!$A$6:$A$405)-5))),IFERROR(MATCH($B1407,職員マスタ!$A$6:$A$405,0),"")))</f>
        <v/>
      </c>
      <c r="AO1407" s="16">
        <f>IF(OR($B1407="",$C1407="",$D1407=""),"",DATE($C1407+2018,$D1407,1))</f>
        <v/>
      </c>
    </row>
    <row r="1408">
      <c r="A1408" s="11" t="n"/>
      <c r="B1408" s="12" t="n"/>
      <c r="C1408" s="12" t="n"/>
      <c r="D1408" s="12" t="n"/>
      <c r="E1408" s="13" t="n"/>
      <c r="F1408" s="12" t="n"/>
      <c r="G1408" s="13" t="n"/>
      <c r="H1408" s="12" t="n"/>
      <c r="I1408" s="12" t="n"/>
      <c r="J1408" s="12" t="n"/>
      <c r="K1408" s="12" t="n"/>
      <c r="L1408" s="11" t="n"/>
      <c r="M1408" s="11" t="n"/>
      <c r="N1408" s="11" t="n"/>
      <c r="O1408" s="11" t="n"/>
      <c r="P1408" s="12" t="n"/>
      <c r="Q1408" s="11" t="n"/>
      <c r="R1408" s="12" t="n"/>
      <c r="S1408" s="11" t="n"/>
      <c r="T1408" s="12" t="n"/>
      <c r="U1408" s="12" t="n"/>
      <c r="V1408" s="14">
        <f>IF($AN1408="",IF($B1408="","",$H1408),IF(INDEX(職員マスタ!$B$6:$B$405,$AN1408)="",$H1408,INDEX(職員マスタ!$B$6:$B$405,$AN1408)))</f>
        <v/>
      </c>
      <c r="W1408" s="14">
        <f>IF($AN1408="",IF($B1408="","",$R1408),IF(INDEX(職員マスタ!$C$6:$C$405,$AN1408)="",$R1408,INDEX(職員マスタ!$C$6:$C$405,$AN1408)))</f>
        <v/>
      </c>
      <c r="X1408" s="14">
        <f>IF($AO1408="","","R"&amp;$C1408&amp;"."&amp;$D1408)</f>
        <v/>
      </c>
      <c r="Y1408" s="15">
        <f>IF($AN1408="","",IF(INDEX(職員マスタ!$K$6:$K$405,$AN1408)="","",INDEX(職員マスタ!$K$6:$K$405,$AN1408)))</f>
        <v/>
      </c>
      <c r="Z1408" s="14">
        <f>IF(OR($E1408="",$Y1408=""),"",IF($E1408&gt;=$Y1408,"×",IF($E1408&gt;=$Y1408*設定!$C$5,"△","○")))</f>
        <v/>
      </c>
      <c r="AA1408" s="15">
        <f>IF($Z1408="","",IF($Z1408="×",0,IF($Z1408="○",ROUNDDOWN($E1408*設定!$C$4,0),ROUNDDOWN($E1408*ROUND((9*$Y1408-9*$E1408)/(10*$E1408),4),0))))</f>
        <v/>
      </c>
      <c r="AB1408" s="13" t="n"/>
      <c r="AC1408" s="15">
        <f>IF($B1408="","",IF($AB1408&lt;&gt;"",$AB1408,IF($AA1408="","",IF($AA1408&lt;=設定!$C$3,0,$AA1408))))</f>
        <v/>
      </c>
      <c r="AD1408" s="14">
        <f>IF($B1408="","",IF(AND($AE1408&lt;&gt;"",$AG1408="",$AJ1408=""),"保留中",IF($AJ1408&lt;&gt;"",IF(N($AC1408)&gt;0,"支給済","不支給"),IF($AC1408="","要確認",IF($AC1408=0,"不支給","未処理")))))</f>
        <v/>
      </c>
      <c r="AE1408" s="12" t="n"/>
      <c r="AF1408" s="11" t="n"/>
      <c r="AG1408" s="11" t="n"/>
      <c r="AH1408" s="11" t="n"/>
      <c r="AI1408" s="14">
        <f>IF(AND($AD1408="保留中",$AF1408&lt;&gt;""),TODAY()-$AF1408,"")</f>
        <v/>
      </c>
      <c r="AJ1408" s="12" t="n"/>
      <c r="AK1408" s="14">
        <f>IF($B1408="","",IF($AO1408="","対象年月が未入力／","")&amp;IF($B1408="","",IF($AN1408="","職員マスタに未登録の職員番号／",IF($Y1408="","標準報酬月額が未登録／","")&amp;IF(AND($AO1408&lt;&gt;"",OR(AND(INDEX(職員マスタ!$G$6:$G$405,$AN1408)&lt;&gt;"",INDEX(職員マスタ!$G$6:$G$405,$AN1408)&gt;EOMONTH($AO1408,0)),AND(INDEX(職員マスタ!$H$6:$H$405,$AN1408)&lt;&gt;"",INDEX(職員マスタ!$H$6:$H$405,$AN1408)&lt;$AO1408))),"対象月が時短期間外／","")&amp;IF(AND(INDEX(職員マスタ!$F$6:$F$405,$AN1408)&lt;&gt;"",$AO1408&lt;&gt;"",INDEX(職員マスタ!$F$6:$F$405,$AN1408)&lt;$AO1408),"対象月に子が2歳到達済／","")&amp;IF(AND($H1408&lt;&gt;"",INDEX(職員マスタ!$B$6:$B$405,$AN1408)&lt;&gt;"",SUBSTITUTE(SUBSTITUTE($H1408," ","")," ","")&lt;&gt;SUBSTITUTE(SUBSTITUTE(INDEX(職員マスタ!$B$6:$B$405,$AN1408)," ","")," ","")),"氏名がマスタと相違／","")&amp;IF(AND($Q1408&lt;&gt;"",INDEX(職員マスタ!$E$6:$E$405,$AN1408)&lt;&gt;"",$Q1408&lt;&gt;INDEX(職員マスタ!$E$6:$E$405,$AN1408)),"子の生年月日がマスタと相違／","")&amp;IF(AND($L1408&lt;&gt;"",INDEX(職員マスタ!$G$6:$G$405,$AN1408)&lt;&gt;"",$L1408&lt;&gt;INDEX(職員マスタ!$G$6:$G$405,$AN1408)),"時短開始日がマスタと相違／","")&amp;IF(AND($M1408&lt;&gt;"",INDEX(職員マスタ!$H$6:$H$405,$AN1408)&lt;&gt;"",$M1408&lt;&gt;INDEX(職員マスタ!$H$6:$H$405,$AN1408)),"時短終了日がマスタと相違／","")))&amp;IF(AND($B1408&lt;&gt;"",$E1408=""),"報酬額が未入力／","")&amp;IF(N($U1408)&gt;0,"申請書に入力エラーが残っています／","")&amp;IF(AND($B1408&lt;&gt;"",$AO1408&lt;&gt;""),IF(COUNTIFS($B$6:$B$3005,$B1408,$C$6:$C$3005,$C1408,$D$6:$D$3005,$D1408)&gt;1,"同じ月の請求が重複しています／",""),"")&amp;IF(AND(N($E1408)&gt;0,$Z1408&lt;&gt;"",$Z1408&lt;&gt;"×",$AC1408=0,$AB1408=""),"計算額が下限以下のため不支給／",""))</f>
        <v/>
      </c>
      <c r="AL1408" s="12" t="n"/>
      <c r="AM1408" s="14">
        <f>IF($AD1408="保留中",COUNTIF($AD$6:$AD1408,"保留中"),"")</f>
        <v/>
      </c>
      <c r="AN1408" s="14">
        <f>IF($AO1408="","",IF(SUMPRODUCT(MAX((職員マスタ!$A$6:$A$405=$B1408)*(((職員マスタ!$G$6:$G$405="")+(職員マスタ!$G$6:$G$405&lt;=EOMONTH($AO1408,0)))&gt;0)*(((職員マスタ!$H$6:$H$405="")+(職員マスタ!$H$6:$H$405&gt;=$AO1408))&gt;0)*(ROW(職員マスタ!$A$6:$A$405)-5)))&gt;0,SUMPRODUCT(MAX((職員マスタ!$A$6:$A$405=$B1408)*(((職員マスタ!$G$6:$G$405="")+(職員マスタ!$G$6:$G$405&lt;=EOMONTH($AO1408,0)))&gt;0)*(((職員マスタ!$H$6:$H$405="")+(職員マスタ!$H$6:$H$405&gt;=$AO1408))&gt;0)*(ROW(職員マスタ!$A$6:$A$405)-5))),IFERROR(MATCH($B1408,職員マスタ!$A$6:$A$405,0),"")))</f>
        <v/>
      </c>
      <c r="AO1408" s="16">
        <f>IF(OR($B1408="",$C1408="",$D1408=""),"",DATE($C1408+2018,$D1408,1))</f>
        <v/>
      </c>
    </row>
    <row r="1409">
      <c r="A1409" s="11" t="n"/>
      <c r="B1409" s="12" t="n"/>
      <c r="C1409" s="12" t="n"/>
      <c r="D1409" s="12" t="n"/>
      <c r="E1409" s="13" t="n"/>
      <c r="F1409" s="12" t="n"/>
      <c r="G1409" s="13" t="n"/>
      <c r="H1409" s="12" t="n"/>
      <c r="I1409" s="12" t="n"/>
      <c r="J1409" s="12" t="n"/>
      <c r="K1409" s="12" t="n"/>
      <c r="L1409" s="11" t="n"/>
      <c r="M1409" s="11" t="n"/>
      <c r="N1409" s="11" t="n"/>
      <c r="O1409" s="11" t="n"/>
      <c r="P1409" s="12" t="n"/>
      <c r="Q1409" s="11" t="n"/>
      <c r="R1409" s="12" t="n"/>
      <c r="S1409" s="11" t="n"/>
      <c r="T1409" s="12" t="n"/>
      <c r="U1409" s="12" t="n"/>
      <c r="V1409" s="14">
        <f>IF($AN1409="",IF($B1409="","",$H1409),IF(INDEX(職員マスタ!$B$6:$B$405,$AN1409)="",$H1409,INDEX(職員マスタ!$B$6:$B$405,$AN1409)))</f>
        <v/>
      </c>
      <c r="W1409" s="14">
        <f>IF($AN1409="",IF($B1409="","",$R1409),IF(INDEX(職員マスタ!$C$6:$C$405,$AN1409)="",$R1409,INDEX(職員マスタ!$C$6:$C$405,$AN1409)))</f>
        <v/>
      </c>
      <c r="X1409" s="14">
        <f>IF($AO1409="","","R"&amp;$C1409&amp;"."&amp;$D1409)</f>
        <v/>
      </c>
      <c r="Y1409" s="15">
        <f>IF($AN1409="","",IF(INDEX(職員マスタ!$K$6:$K$405,$AN1409)="","",INDEX(職員マスタ!$K$6:$K$405,$AN1409)))</f>
        <v/>
      </c>
      <c r="Z1409" s="14">
        <f>IF(OR($E1409="",$Y1409=""),"",IF($E1409&gt;=$Y1409,"×",IF($E1409&gt;=$Y1409*設定!$C$5,"△","○")))</f>
        <v/>
      </c>
      <c r="AA1409" s="15">
        <f>IF($Z1409="","",IF($Z1409="×",0,IF($Z1409="○",ROUNDDOWN($E1409*設定!$C$4,0),ROUNDDOWN($E1409*ROUND((9*$Y1409-9*$E1409)/(10*$E1409),4),0))))</f>
        <v/>
      </c>
      <c r="AB1409" s="13" t="n"/>
      <c r="AC1409" s="15">
        <f>IF($B1409="","",IF($AB1409&lt;&gt;"",$AB1409,IF($AA1409="","",IF($AA1409&lt;=設定!$C$3,0,$AA1409))))</f>
        <v/>
      </c>
      <c r="AD1409" s="14">
        <f>IF($B1409="","",IF(AND($AE1409&lt;&gt;"",$AG1409="",$AJ1409=""),"保留中",IF($AJ1409&lt;&gt;"",IF(N($AC1409)&gt;0,"支給済","不支給"),IF($AC1409="","要確認",IF($AC1409=0,"不支給","未処理")))))</f>
        <v/>
      </c>
      <c r="AE1409" s="12" t="n"/>
      <c r="AF1409" s="11" t="n"/>
      <c r="AG1409" s="11" t="n"/>
      <c r="AH1409" s="11" t="n"/>
      <c r="AI1409" s="14">
        <f>IF(AND($AD1409="保留中",$AF1409&lt;&gt;""),TODAY()-$AF1409,"")</f>
        <v/>
      </c>
      <c r="AJ1409" s="12" t="n"/>
      <c r="AK1409" s="14">
        <f>IF($B1409="","",IF($AO1409="","対象年月が未入力／","")&amp;IF($B1409="","",IF($AN1409="","職員マスタに未登録の職員番号／",IF($Y1409="","標準報酬月額が未登録／","")&amp;IF(AND($AO1409&lt;&gt;"",OR(AND(INDEX(職員マスタ!$G$6:$G$405,$AN1409)&lt;&gt;"",INDEX(職員マスタ!$G$6:$G$405,$AN1409)&gt;EOMONTH($AO1409,0)),AND(INDEX(職員マスタ!$H$6:$H$405,$AN1409)&lt;&gt;"",INDEX(職員マスタ!$H$6:$H$405,$AN1409)&lt;$AO1409))),"対象月が時短期間外／","")&amp;IF(AND(INDEX(職員マスタ!$F$6:$F$405,$AN1409)&lt;&gt;"",$AO1409&lt;&gt;"",INDEX(職員マスタ!$F$6:$F$405,$AN1409)&lt;$AO1409),"対象月に子が2歳到達済／","")&amp;IF(AND($H1409&lt;&gt;"",INDEX(職員マスタ!$B$6:$B$405,$AN1409)&lt;&gt;"",SUBSTITUTE(SUBSTITUTE($H1409," ","")," ","")&lt;&gt;SUBSTITUTE(SUBSTITUTE(INDEX(職員マスタ!$B$6:$B$405,$AN1409)," ","")," ","")),"氏名がマスタと相違／","")&amp;IF(AND($Q1409&lt;&gt;"",INDEX(職員マスタ!$E$6:$E$405,$AN1409)&lt;&gt;"",$Q1409&lt;&gt;INDEX(職員マスタ!$E$6:$E$405,$AN1409)),"子の生年月日がマスタと相違／","")&amp;IF(AND($L1409&lt;&gt;"",INDEX(職員マスタ!$G$6:$G$405,$AN1409)&lt;&gt;"",$L1409&lt;&gt;INDEX(職員マスタ!$G$6:$G$405,$AN1409)),"時短開始日がマスタと相違／","")&amp;IF(AND($M1409&lt;&gt;"",INDEX(職員マスタ!$H$6:$H$405,$AN1409)&lt;&gt;"",$M1409&lt;&gt;INDEX(職員マスタ!$H$6:$H$405,$AN1409)),"時短終了日がマスタと相違／","")))&amp;IF(AND($B1409&lt;&gt;"",$E1409=""),"報酬額が未入力／","")&amp;IF(N($U1409)&gt;0,"申請書に入力エラーが残っています／","")&amp;IF(AND($B1409&lt;&gt;"",$AO1409&lt;&gt;""),IF(COUNTIFS($B$6:$B$3005,$B1409,$C$6:$C$3005,$C1409,$D$6:$D$3005,$D1409)&gt;1,"同じ月の請求が重複しています／",""),"")&amp;IF(AND(N($E1409)&gt;0,$Z1409&lt;&gt;"",$Z1409&lt;&gt;"×",$AC1409=0,$AB1409=""),"計算額が下限以下のため不支給／",""))</f>
        <v/>
      </c>
      <c r="AL1409" s="12" t="n"/>
      <c r="AM1409" s="14">
        <f>IF($AD1409="保留中",COUNTIF($AD$6:$AD1409,"保留中"),"")</f>
        <v/>
      </c>
      <c r="AN1409" s="14">
        <f>IF($AO1409="","",IF(SUMPRODUCT(MAX((職員マスタ!$A$6:$A$405=$B1409)*(((職員マスタ!$G$6:$G$405="")+(職員マスタ!$G$6:$G$405&lt;=EOMONTH($AO1409,0)))&gt;0)*(((職員マスタ!$H$6:$H$405="")+(職員マスタ!$H$6:$H$405&gt;=$AO1409))&gt;0)*(ROW(職員マスタ!$A$6:$A$405)-5)))&gt;0,SUMPRODUCT(MAX((職員マスタ!$A$6:$A$405=$B1409)*(((職員マスタ!$G$6:$G$405="")+(職員マスタ!$G$6:$G$405&lt;=EOMONTH($AO1409,0)))&gt;0)*(((職員マスタ!$H$6:$H$405="")+(職員マスタ!$H$6:$H$405&gt;=$AO1409))&gt;0)*(ROW(職員マスタ!$A$6:$A$405)-5))),IFERROR(MATCH($B1409,職員マスタ!$A$6:$A$405,0),"")))</f>
        <v/>
      </c>
      <c r="AO1409" s="16">
        <f>IF(OR($B1409="",$C1409="",$D1409=""),"",DATE($C1409+2018,$D1409,1))</f>
        <v/>
      </c>
    </row>
    <row r="1410">
      <c r="A1410" s="11" t="n"/>
      <c r="B1410" s="12" t="n"/>
      <c r="C1410" s="12" t="n"/>
      <c r="D1410" s="12" t="n"/>
      <c r="E1410" s="13" t="n"/>
      <c r="F1410" s="12" t="n"/>
      <c r="G1410" s="13" t="n"/>
      <c r="H1410" s="12" t="n"/>
      <c r="I1410" s="12" t="n"/>
      <c r="J1410" s="12" t="n"/>
      <c r="K1410" s="12" t="n"/>
      <c r="L1410" s="11" t="n"/>
      <c r="M1410" s="11" t="n"/>
      <c r="N1410" s="11" t="n"/>
      <c r="O1410" s="11" t="n"/>
      <c r="P1410" s="12" t="n"/>
      <c r="Q1410" s="11" t="n"/>
      <c r="R1410" s="12" t="n"/>
      <c r="S1410" s="11" t="n"/>
      <c r="T1410" s="12" t="n"/>
      <c r="U1410" s="12" t="n"/>
      <c r="V1410" s="14">
        <f>IF($AN1410="",IF($B1410="","",$H1410),IF(INDEX(職員マスタ!$B$6:$B$405,$AN1410)="",$H1410,INDEX(職員マスタ!$B$6:$B$405,$AN1410)))</f>
        <v/>
      </c>
      <c r="W1410" s="14">
        <f>IF($AN1410="",IF($B1410="","",$R1410),IF(INDEX(職員マスタ!$C$6:$C$405,$AN1410)="",$R1410,INDEX(職員マスタ!$C$6:$C$405,$AN1410)))</f>
        <v/>
      </c>
      <c r="X1410" s="14">
        <f>IF($AO1410="","","R"&amp;$C1410&amp;"."&amp;$D1410)</f>
        <v/>
      </c>
      <c r="Y1410" s="15">
        <f>IF($AN1410="","",IF(INDEX(職員マスタ!$K$6:$K$405,$AN1410)="","",INDEX(職員マスタ!$K$6:$K$405,$AN1410)))</f>
        <v/>
      </c>
      <c r="Z1410" s="14">
        <f>IF(OR($E1410="",$Y1410=""),"",IF($E1410&gt;=$Y1410,"×",IF($E1410&gt;=$Y1410*設定!$C$5,"△","○")))</f>
        <v/>
      </c>
      <c r="AA1410" s="15">
        <f>IF($Z1410="","",IF($Z1410="×",0,IF($Z1410="○",ROUNDDOWN($E1410*設定!$C$4,0),ROUNDDOWN($E1410*ROUND((9*$Y1410-9*$E1410)/(10*$E1410),4),0))))</f>
        <v/>
      </c>
      <c r="AB1410" s="13" t="n"/>
      <c r="AC1410" s="15">
        <f>IF($B1410="","",IF($AB1410&lt;&gt;"",$AB1410,IF($AA1410="","",IF($AA1410&lt;=設定!$C$3,0,$AA1410))))</f>
        <v/>
      </c>
      <c r="AD1410" s="14">
        <f>IF($B1410="","",IF(AND($AE1410&lt;&gt;"",$AG1410="",$AJ1410=""),"保留中",IF($AJ1410&lt;&gt;"",IF(N($AC1410)&gt;0,"支給済","不支給"),IF($AC1410="","要確認",IF($AC1410=0,"不支給","未処理")))))</f>
        <v/>
      </c>
      <c r="AE1410" s="12" t="n"/>
      <c r="AF1410" s="11" t="n"/>
      <c r="AG1410" s="11" t="n"/>
      <c r="AH1410" s="11" t="n"/>
      <c r="AI1410" s="14">
        <f>IF(AND($AD1410="保留中",$AF1410&lt;&gt;""),TODAY()-$AF1410,"")</f>
        <v/>
      </c>
      <c r="AJ1410" s="12" t="n"/>
      <c r="AK1410" s="14">
        <f>IF($B1410="","",IF($AO1410="","対象年月が未入力／","")&amp;IF($B1410="","",IF($AN1410="","職員マスタに未登録の職員番号／",IF($Y1410="","標準報酬月額が未登録／","")&amp;IF(AND($AO1410&lt;&gt;"",OR(AND(INDEX(職員マスタ!$G$6:$G$405,$AN1410)&lt;&gt;"",INDEX(職員マスタ!$G$6:$G$405,$AN1410)&gt;EOMONTH($AO1410,0)),AND(INDEX(職員マスタ!$H$6:$H$405,$AN1410)&lt;&gt;"",INDEX(職員マスタ!$H$6:$H$405,$AN1410)&lt;$AO1410))),"対象月が時短期間外／","")&amp;IF(AND(INDEX(職員マスタ!$F$6:$F$405,$AN1410)&lt;&gt;"",$AO1410&lt;&gt;"",INDEX(職員マスタ!$F$6:$F$405,$AN1410)&lt;$AO1410),"対象月に子が2歳到達済／","")&amp;IF(AND($H1410&lt;&gt;"",INDEX(職員マスタ!$B$6:$B$405,$AN1410)&lt;&gt;"",SUBSTITUTE(SUBSTITUTE($H1410," ","")," ","")&lt;&gt;SUBSTITUTE(SUBSTITUTE(INDEX(職員マスタ!$B$6:$B$405,$AN1410)," ","")," ","")),"氏名がマスタと相違／","")&amp;IF(AND($Q1410&lt;&gt;"",INDEX(職員マスタ!$E$6:$E$405,$AN1410)&lt;&gt;"",$Q1410&lt;&gt;INDEX(職員マスタ!$E$6:$E$405,$AN1410)),"子の生年月日がマスタと相違／","")&amp;IF(AND($L1410&lt;&gt;"",INDEX(職員マスタ!$G$6:$G$405,$AN1410)&lt;&gt;"",$L1410&lt;&gt;INDEX(職員マスタ!$G$6:$G$405,$AN1410)),"時短開始日がマスタと相違／","")&amp;IF(AND($M1410&lt;&gt;"",INDEX(職員マスタ!$H$6:$H$405,$AN1410)&lt;&gt;"",$M1410&lt;&gt;INDEX(職員マスタ!$H$6:$H$405,$AN1410)),"時短終了日がマスタと相違／","")))&amp;IF(AND($B1410&lt;&gt;"",$E1410=""),"報酬額が未入力／","")&amp;IF(N($U1410)&gt;0,"申請書に入力エラーが残っています／","")&amp;IF(AND($B1410&lt;&gt;"",$AO1410&lt;&gt;""),IF(COUNTIFS($B$6:$B$3005,$B1410,$C$6:$C$3005,$C1410,$D$6:$D$3005,$D1410)&gt;1,"同じ月の請求が重複しています／",""),"")&amp;IF(AND(N($E1410)&gt;0,$Z1410&lt;&gt;"",$Z1410&lt;&gt;"×",$AC1410=0,$AB1410=""),"計算額が下限以下のため不支給／",""))</f>
        <v/>
      </c>
      <c r="AL1410" s="12" t="n"/>
      <c r="AM1410" s="14">
        <f>IF($AD1410="保留中",COUNTIF($AD$6:$AD1410,"保留中"),"")</f>
        <v/>
      </c>
      <c r="AN1410" s="14">
        <f>IF($AO1410="","",IF(SUMPRODUCT(MAX((職員マスタ!$A$6:$A$405=$B1410)*(((職員マスタ!$G$6:$G$405="")+(職員マスタ!$G$6:$G$405&lt;=EOMONTH($AO1410,0)))&gt;0)*(((職員マスタ!$H$6:$H$405="")+(職員マスタ!$H$6:$H$405&gt;=$AO1410))&gt;0)*(ROW(職員マスタ!$A$6:$A$405)-5)))&gt;0,SUMPRODUCT(MAX((職員マスタ!$A$6:$A$405=$B1410)*(((職員マスタ!$G$6:$G$405="")+(職員マスタ!$G$6:$G$405&lt;=EOMONTH($AO1410,0)))&gt;0)*(((職員マスタ!$H$6:$H$405="")+(職員マスタ!$H$6:$H$405&gt;=$AO1410))&gt;0)*(ROW(職員マスタ!$A$6:$A$405)-5))),IFERROR(MATCH($B1410,職員マスタ!$A$6:$A$405,0),"")))</f>
        <v/>
      </c>
      <c r="AO1410" s="16">
        <f>IF(OR($B1410="",$C1410="",$D1410=""),"",DATE($C1410+2018,$D1410,1))</f>
        <v/>
      </c>
    </row>
    <row r="1411">
      <c r="A1411" s="11" t="n"/>
      <c r="B1411" s="12" t="n"/>
      <c r="C1411" s="12" t="n"/>
      <c r="D1411" s="12" t="n"/>
      <c r="E1411" s="13" t="n"/>
      <c r="F1411" s="12" t="n"/>
      <c r="G1411" s="13" t="n"/>
      <c r="H1411" s="12" t="n"/>
      <c r="I1411" s="12" t="n"/>
      <c r="J1411" s="12" t="n"/>
      <c r="K1411" s="12" t="n"/>
      <c r="L1411" s="11" t="n"/>
      <c r="M1411" s="11" t="n"/>
      <c r="N1411" s="11" t="n"/>
      <c r="O1411" s="11" t="n"/>
      <c r="P1411" s="12" t="n"/>
      <c r="Q1411" s="11" t="n"/>
      <c r="R1411" s="12" t="n"/>
      <c r="S1411" s="11" t="n"/>
      <c r="T1411" s="12" t="n"/>
      <c r="U1411" s="12" t="n"/>
      <c r="V1411" s="14">
        <f>IF($AN1411="",IF($B1411="","",$H1411),IF(INDEX(職員マスタ!$B$6:$B$405,$AN1411)="",$H1411,INDEX(職員マスタ!$B$6:$B$405,$AN1411)))</f>
        <v/>
      </c>
      <c r="W1411" s="14">
        <f>IF($AN1411="",IF($B1411="","",$R1411),IF(INDEX(職員マスタ!$C$6:$C$405,$AN1411)="",$R1411,INDEX(職員マスタ!$C$6:$C$405,$AN1411)))</f>
        <v/>
      </c>
      <c r="X1411" s="14">
        <f>IF($AO1411="","","R"&amp;$C1411&amp;"."&amp;$D1411)</f>
        <v/>
      </c>
      <c r="Y1411" s="15">
        <f>IF($AN1411="","",IF(INDEX(職員マスタ!$K$6:$K$405,$AN1411)="","",INDEX(職員マスタ!$K$6:$K$405,$AN1411)))</f>
        <v/>
      </c>
      <c r="Z1411" s="14">
        <f>IF(OR($E1411="",$Y1411=""),"",IF($E1411&gt;=$Y1411,"×",IF($E1411&gt;=$Y1411*設定!$C$5,"△","○")))</f>
        <v/>
      </c>
      <c r="AA1411" s="15">
        <f>IF($Z1411="","",IF($Z1411="×",0,IF($Z1411="○",ROUNDDOWN($E1411*設定!$C$4,0),ROUNDDOWN($E1411*ROUND((9*$Y1411-9*$E1411)/(10*$E1411),4),0))))</f>
        <v/>
      </c>
      <c r="AB1411" s="13" t="n"/>
      <c r="AC1411" s="15">
        <f>IF($B1411="","",IF($AB1411&lt;&gt;"",$AB1411,IF($AA1411="","",IF($AA1411&lt;=設定!$C$3,0,$AA1411))))</f>
        <v/>
      </c>
      <c r="AD1411" s="14">
        <f>IF($B1411="","",IF(AND($AE1411&lt;&gt;"",$AG1411="",$AJ1411=""),"保留中",IF($AJ1411&lt;&gt;"",IF(N($AC1411)&gt;0,"支給済","不支給"),IF($AC1411="","要確認",IF($AC1411=0,"不支給","未処理")))))</f>
        <v/>
      </c>
      <c r="AE1411" s="12" t="n"/>
      <c r="AF1411" s="11" t="n"/>
      <c r="AG1411" s="11" t="n"/>
      <c r="AH1411" s="11" t="n"/>
      <c r="AI1411" s="14">
        <f>IF(AND($AD1411="保留中",$AF1411&lt;&gt;""),TODAY()-$AF1411,"")</f>
        <v/>
      </c>
      <c r="AJ1411" s="12" t="n"/>
      <c r="AK1411" s="14">
        <f>IF($B1411="","",IF($AO1411="","対象年月が未入力／","")&amp;IF($B1411="","",IF($AN1411="","職員マスタに未登録の職員番号／",IF($Y1411="","標準報酬月額が未登録／","")&amp;IF(AND($AO1411&lt;&gt;"",OR(AND(INDEX(職員マスタ!$G$6:$G$405,$AN1411)&lt;&gt;"",INDEX(職員マスタ!$G$6:$G$405,$AN1411)&gt;EOMONTH($AO1411,0)),AND(INDEX(職員マスタ!$H$6:$H$405,$AN1411)&lt;&gt;"",INDEX(職員マスタ!$H$6:$H$405,$AN1411)&lt;$AO1411))),"対象月が時短期間外／","")&amp;IF(AND(INDEX(職員マスタ!$F$6:$F$405,$AN1411)&lt;&gt;"",$AO1411&lt;&gt;"",INDEX(職員マスタ!$F$6:$F$405,$AN1411)&lt;$AO1411),"対象月に子が2歳到達済／","")&amp;IF(AND($H1411&lt;&gt;"",INDEX(職員マスタ!$B$6:$B$405,$AN1411)&lt;&gt;"",SUBSTITUTE(SUBSTITUTE($H1411," ","")," ","")&lt;&gt;SUBSTITUTE(SUBSTITUTE(INDEX(職員マスタ!$B$6:$B$405,$AN1411)," ","")," ","")),"氏名がマスタと相違／","")&amp;IF(AND($Q1411&lt;&gt;"",INDEX(職員マスタ!$E$6:$E$405,$AN1411)&lt;&gt;"",$Q1411&lt;&gt;INDEX(職員マスタ!$E$6:$E$405,$AN1411)),"子の生年月日がマスタと相違／","")&amp;IF(AND($L1411&lt;&gt;"",INDEX(職員マスタ!$G$6:$G$405,$AN1411)&lt;&gt;"",$L1411&lt;&gt;INDEX(職員マスタ!$G$6:$G$405,$AN1411)),"時短開始日がマスタと相違／","")&amp;IF(AND($M1411&lt;&gt;"",INDEX(職員マスタ!$H$6:$H$405,$AN1411)&lt;&gt;"",$M1411&lt;&gt;INDEX(職員マスタ!$H$6:$H$405,$AN1411)),"時短終了日がマスタと相違／","")))&amp;IF(AND($B1411&lt;&gt;"",$E1411=""),"報酬額が未入力／","")&amp;IF(N($U1411)&gt;0,"申請書に入力エラーが残っています／","")&amp;IF(AND($B1411&lt;&gt;"",$AO1411&lt;&gt;""),IF(COUNTIFS($B$6:$B$3005,$B1411,$C$6:$C$3005,$C1411,$D$6:$D$3005,$D1411)&gt;1,"同じ月の請求が重複しています／",""),"")&amp;IF(AND(N($E1411)&gt;0,$Z1411&lt;&gt;"",$Z1411&lt;&gt;"×",$AC1411=0,$AB1411=""),"計算額が下限以下のため不支給／",""))</f>
        <v/>
      </c>
      <c r="AL1411" s="12" t="n"/>
      <c r="AM1411" s="14">
        <f>IF($AD1411="保留中",COUNTIF($AD$6:$AD1411,"保留中"),"")</f>
        <v/>
      </c>
      <c r="AN1411" s="14">
        <f>IF($AO1411="","",IF(SUMPRODUCT(MAX((職員マスタ!$A$6:$A$405=$B1411)*(((職員マスタ!$G$6:$G$405="")+(職員マスタ!$G$6:$G$405&lt;=EOMONTH($AO1411,0)))&gt;0)*(((職員マスタ!$H$6:$H$405="")+(職員マスタ!$H$6:$H$405&gt;=$AO1411))&gt;0)*(ROW(職員マスタ!$A$6:$A$405)-5)))&gt;0,SUMPRODUCT(MAX((職員マスタ!$A$6:$A$405=$B1411)*(((職員マスタ!$G$6:$G$405="")+(職員マスタ!$G$6:$G$405&lt;=EOMONTH($AO1411,0)))&gt;0)*(((職員マスタ!$H$6:$H$405="")+(職員マスタ!$H$6:$H$405&gt;=$AO1411))&gt;0)*(ROW(職員マスタ!$A$6:$A$405)-5))),IFERROR(MATCH($B1411,職員マスタ!$A$6:$A$405,0),"")))</f>
        <v/>
      </c>
      <c r="AO1411" s="16">
        <f>IF(OR($B1411="",$C1411="",$D1411=""),"",DATE($C1411+2018,$D1411,1))</f>
        <v/>
      </c>
    </row>
    <row r="1412">
      <c r="A1412" s="11" t="n"/>
      <c r="B1412" s="12" t="n"/>
      <c r="C1412" s="12" t="n"/>
      <c r="D1412" s="12" t="n"/>
      <c r="E1412" s="13" t="n"/>
      <c r="F1412" s="12" t="n"/>
      <c r="G1412" s="13" t="n"/>
      <c r="H1412" s="12" t="n"/>
      <c r="I1412" s="12" t="n"/>
      <c r="J1412" s="12" t="n"/>
      <c r="K1412" s="12" t="n"/>
      <c r="L1412" s="11" t="n"/>
      <c r="M1412" s="11" t="n"/>
      <c r="N1412" s="11" t="n"/>
      <c r="O1412" s="11" t="n"/>
      <c r="P1412" s="12" t="n"/>
      <c r="Q1412" s="11" t="n"/>
      <c r="R1412" s="12" t="n"/>
      <c r="S1412" s="11" t="n"/>
      <c r="T1412" s="12" t="n"/>
      <c r="U1412" s="12" t="n"/>
      <c r="V1412" s="14">
        <f>IF($AN1412="",IF($B1412="","",$H1412),IF(INDEX(職員マスタ!$B$6:$B$405,$AN1412)="",$H1412,INDEX(職員マスタ!$B$6:$B$405,$AN1412)))</f>
        <v/>
      </c>
      <c r="W1412" s="14">
        <f>IF($AN1412="",IF($B1412="","",$R1412),IF(INDEX(職員マスタ!$C$6:$C$405,$AN1412)="",$R1412,INDEX(職員マスタ!$C$6:$C$405,$AN1412)))</f>
        <v/>
      </c>
      <c r="X1412" s="14">
        <f>IF($AO1412="","","R"&amp;$C1412&amp;"."&amp;$D1412)</f>
        <v/>
      </c>
      <c r="Y1412" s="15">
        <f>IF($AN1412="","",IF(INDEX(職員マスタ!$K$6:$K$405,$AN1412)="","",INDEX(職員マスタ!$K$6:$K$405,$AN1412)))</f>
        <v/>
      </c>
      <c r="Z1412" s="14">
        <f>IF(OR($E1412="",$Y1412=""),"",IF($E1412&gt;=$Y1412,"×",IF($E1412&gt;=$Y1412*設定!$C$5,"△","○")))</f>
        <v/>
      </c>
      <c r="AA1412" s="15">
        <f>IF($Z1412="","",IF($Z1412="×",0,IF($Z1412="○",ROUNDDOWN($E1412*設定!$C$4,0),ROUNDDOWN($E1412*ROUND((9*$Y1412-9*$E1412)/(10*$E1412),4),0))))</f>
        <v/>
      </c>
      <c r="AB1412" s="13" t="n"/>
      <c r="AC1412" s="15">
        <f>IF($B1412="","",IF($AB1412&lt;&gt;"",$AB1412,IF($AA1412="","",IF($AA1412&lt;=設定!$C$3,0,$AA1412))))</f>
        <v/>
      </c>
      <c r="AD1412" s="14">
        <f>IF($B1412="","",IF(AND($AE1412&lt;&gt;"",$AG1412="",$AJ1412=""),"保留中",IF($AJ1412&lt;&gt;"",IF(N($AC1412)&gt;0,"支給済","不支給"),IF($AC1412="","要確認",IF($AC1412=0,"不支給","未処理")))))</f>
        <v/>
      </c>
      <c r="AE1412" s="12" t="n"/>
      <c r="AF1412" s="11" t="n"/>
      <c r="AG1412" s="11" t="n"/>
      <c r="AH1412" s="11" t="n"/>
      <c r="AI1412" s="14">
        <f>IF(AND($AD1412="保留中",$AF1412&lt;&gt;""),TODAY()-$AF1412,"")</f>
        <v/>
      </c>
      <c r="AJ1412" s="12" t="n"/>
      <c r="AK1412" s="14">
        <f>IF($B1412="","",IF($AO1412="","対象年月が未入力／","")&amp;IF($B1412="","",IF($AN1412="","職員マスタに未登録の職員番号／",IF($Y1412="","標準報酬月額が未登録／","")&amp;IF(AND($AO1412&lt;&gt;"",OR(AND(INDEX(職員マスタ!$G$6:$G$405,$AN1412)&lt;&gt;"",INDEX(職員マスタ!$G$6:$G$405,$AN1412)&gt;EOMONTH($AO1412,0)),AND(INDEX(職員マスタ!$H$6:$H$405,$AN1412)&lt;&gt;"",INDEX(職員マスタ!$H$6:$H$405,$AN1412)&lt;$AO1412))),"対象月が時短期間外／","")&amp;IF(AND(INDEX(職員マスタ!$F$6:$F$405,$AN1412)&lt;&gt;"",$AO1412&lt;&gt;"",INDEX(職員マスタ!$F$6:$F$405,$AN1412)&lt;$AO1412),"対象月に子が2歳到達済／","")&amp;IF(AND($H1412&lt;&gt;"",INDEX(職員マスタ!$B$6:$B$405,$AN1412)&lt;&gt;"",SUBSTITUTE(SUBSTITUTE($H1412," ","")," ","")&lt;&gt;SUBSTITUTE(SUBSTITUTE(INDEX(職員マスタ!$B$6:$B$405,$AN1412)," ","")," ","")),"氏名がマスタと相違／","")&amp;IF(AND($Q1412&lt;&gt;"",INDEX(職員マスタ!$E$6:$E$405,$AN1412)&lt;&gt;"",$Q1412&lt;&gt;INDEX(職員マスタ!$E$6:$E$405,$AN1412)),"子の生年月日がマスタと相違／","")&amp;IF(AND($L1412&lt;&gt;"",INDEX(職員マスタ!$G$6:$G$405,$AN1412)&lt;&gt;"",$L1412&lt;&gt;INDEX(職員マスタ!$G$6:$G$405,$AN1412)),"時短開始日がマスタと相違／","")&amp;IF(AND($M1412&lt;&gt;"",INDEX(職員マスタ!$H$6:$H$405,$AN1412)&lt;&gt;"",$M1412&lt;&gt;INDEX(職員マスタ!$H$6:$H$405,$AN1412)),"時短終了日がマスタと相違／","")))&amp;IF(AND($B1412&lt;&gt;"",$E1412=""),"報酬額が未入力／","")&amp;IF(N($U1412)&gt;0,"申請書に入力エラーが残っています／","")&amp;IF(AND($B1412&lt;&gt;"",$AO1412&lt;&gt;""),IF(COUNTIFS($B$6:$B$3005,$B1412,$C$6:$C$3005,$C1412,$D$6:$D$3005,$D1412)&gt;1,"同じ月の請求が重複しています／",""),"")&amp;IF(AND(N($E1412)&gt;0,$Z1412&lt;&gt;"",$Z1412&lt;&gt;"×",$AC1412=0,$AB1412=""),"計算額が下限以下のため不支給／",""))</f>
        <v/>
      </c>
      <c r="AL1412" s="12" t="n"/>
      <c r="AM1412" s="14">
        <f>IF($AD1412="保留中",COUNTIF($AD$6:$AD1412,"保留中"),"")</f>
        <v/>
      </c>
      <c r="AN1412" s="14">
        <f>IF($AO1412="","",IF(SUMPRODUCT(MAX((職員マスタ!$A$6:$A$405=$B1412)*(((職員マスタ!$G$6:$G$405="")+(職員マスタ!$G$6:$G$405&lt;=EOMONTH($AO1412,0)))&gt;0)*(((職員マスタ!$H$6:$H$405="")+(職員マスタ!$H$6:$H$405&gt;=$AO1412))&gt;0)*(ROW(職員マスタ!$A$6:$A$405)-5)))&gt;0,SUMPRODUCT(MAX((職員マスタ!$A$6:$A$405=$B1412)*(((職員マスタ!$G$6:$G$405="")+(職員マスタ!$G$6:$G$405&lt;=EOMONTH($AO1412,0)))&gt;0)*(((職員マスタ!$H$6:$H$405="")+(職員マスタ!$H$6:$H$405&gt;=$AO1412))&gt;0)*(ROW(職員マスタ!$A$6:$A$405)-5))),IFERROR(MATCH($B1412,職員マスタ!$A$6:$A$405,0),"")))</f>
        <v/>
      </c>
      <c r="AO1412" s="16">
        <f>IF(OR($B1412="",$C1412="",$D1412=""),"",DATE($C1412+2018,$D1412,1))</f>
        <v/>
      </c>
    </row>
    <row r="1413">
      <c r="A1413" s="11" t="n"/>
      <c r="B1413" s="12" t="n"/>
      <c r="C1413" s="12" t="n"/>
      <c r="D1413" s="12" t="n"/>
      <c r="E1413" s="13" t="n"/>
      <c r="F1413" s="12" t="n"/>
      <c r="G1413" s="13" t="n"/>
      <c r="H1413" s="12" t="n"/>
      <c r="I1413" s="12" t="n"/>
      <c r="J1413" s="12" t="n"/>
      <c r="K1413" s="12" t="n"/>
      <c r="L1413" s="11" t="n"/>
      <c r="M1413" s="11" t="n"/>
      <c r="N1413" s="11" t="n"/>
      <c r="O1413" s="11" t="n"/>
      <c r="P1413" s="12" t="n"/>
      <c r="Q1413" s="11" t="n"/>
      <c r="R1413" s="12" t="n"/>
      <c r="S1413" s="11" t="n"/>
      <c r="T1413" s="12" t="n"/>
      <c r="U1413" s="12" t="n"/>
      <c r="V1413" s="14">
        <f>IF($AN1413="",IF($B1413="","",$H1413),IF(INDEX(職員マスタ!$B$6:$B$405,$AN1413)="",$H1413,INDEX(職員マスタ!$B$6:$B$405,$AN1413)))</f>
        <v/>
      </c>
      <c r="W1413" s="14">
        <f>IF($AN1413="",IF($B1413="","",$R1413),IF(INDEX(職員マスタ!$C$6:$C$405,$AN1413)="",$R1413,INDEX(職員マスタ!$C$6:$C$405,$AN1413)))</f>
        <v/>
      </c>
      <c r="X1413" s="14">
        <f>IF($AO1413="","","R"&amp;$C1413&amp;"."&amp;$D1413)</f>
        <v/>
      </c>
      <c r="Y1413" s="15">
        <f>IF($AN1413="","",IF(INDEX(職員マスタ!$K$6:$K$405,$AN1413)="","",INDEX(職員マスタ!$K$6:$K$405,$AN1413)))</f>
        <v/>
      </c>
      <c r="Z1413" s="14">
        <f>IF(OR($E1413="",$Y1413=""),"",IF($E1413&gt;=$Y1413,"×",IF($E1413&gt;=$Y1413*設定!$C$5,"△","○")))</f>
        <v/>
      </c>
      <c r="AA1413" s="15">
        <f>IF($Z1413="","",IF($Z1413="×",0,IF($Z1413="○",ROUNDDOWN($E1413*設定!$C$4,0),ROUNDDOWN($E1413*ROUND((9*$Y1413-9*$E1413)/(10*$E1413),4),0))))</f>
        <v/>
      </c>
      <c r="AB1413" s="13" t="n"/>
      <c r="AC1413" s="15">
        <f>IF($B1413="","",IF($AB1413&lt;&gt;"",$AB1413,IF($AA1413="","",IF($AA1413&lt;=設定!$C$3,0,$AA1413))))</f>
        <v/>
      </c>
      <c r="AD1413" s="14">
        <f>IF($B1413="","",IF(AND($AE1413&lt;&gt;"",$AG1413="",$AJ1413=""),"保留中",IF($AJ1413&lt;&gt;"",IF(N($AC1413)&gt;0,"支給済","不支給"),IF($AC1413="","要確認",IF($AC1413=0,"不支給","未処理")))))</f>
        <v/>
      </c>
      <c r="AE1413" s="12" t="n"/>
      <c r="AF1413" s="11" t="n"/>
      <c r="AG1413" s="11" t="n"/>
      <c r="AH1413" s="11" t="n"/>
      <c r="AI1413" s="14">
        <f>IF(AND($AD1413="保留中",$AF1413&lt;&gt;""),TODAY()-$AF1413,"")</f>
        <v/>
      </c>
      <c r="AJ1413" s="12" t="n"/>
      <c r="AK1413" s="14">
        <f>IF($B1413="","",IF($AO1413="","対象年月が未入力／","")&amp;IF($B1413="","",IF($AN1413="","職員マスタに未登録の職員番号／",IF($Y1413="","標準報酬月額が未登録／","")&amp;IF(AND($AO1413&lt;&gt;"",OR(AND(INDEX(職員マスタ!$G$6:$G$405,$AN1413)&lt;&gt;"",INDEX(職員マスタ!$G$6:$G$405,$AN1413)&gt;EOMONTH($AO1413,0)),AND(INDEX(職員マスタ!$H$6:$H$405,$AN1413)&lt;&gt;"",INDEX(職員マスタ!$H$6:$H$405,$AN1413)&lt;$AO1413))),"対象月が時短期間外／","")&amp;IF(AND(INDEX(職員マスタ!$F$6:$F$405,$AN1413)&lt;&gt;"",$AO1413&lt;&gt;"",INDEX(職員マスタ!$F$6:$F$405,$AN1413)&lt;$AO1413),"対象月に子が2歳到達済／","")&amp;IF(AND($H1413&lt;&gt;"",INDEX(職員マスタ!$B$6:$B$405,$AN1413)&lt;&gt;"",SUBSTITUTE(SUBSTITUTE($H1413," ","")," ","")&lt;&gt;SUBSTITUTE(SUBSTITUTE(INDEX(職員マスタ!$B$6:$B$405,$AN1413)," ","")," ","")),"氏名がマスタと相違／","")&amp;IF(AND($Q1413&lt;&gt;"",INDEX(職員マスタ!$E$6:$E$405,$AN1413)&lt;&gt;"",$Q1413&lt;&gt;INDEX(職員マスタ!$E$6:$E$405,$AN1413)),"子の生年月日がマスタと相違／","")&amp;IF(AND($L1413&lt;&gt;"",INDEX(職員マスタ!$G$6:$G$405,$AN1413)&lt;&gt;"",$L1413&lt;&gt;INDEX(職員マスタ!$G$6:$G$405,$AN1413)),"時短開始日がマスタと相違／","")&amp;IF(AND($M1413&lt;&gt;"",INDEX(職員マスタ!$H$6:$H$405,$AN1413)&lt;&gt;"",$M1413&lt;&gt;INDEX(職員マスタ!$H$6:$H$405,$AN1413)),"時短終了日がマスタと相違／","")))&amp;IF(AND($B1413&lt;&gt;"",$E1413=""),"報酬額が未入力／","")&amp;IF(N($U1413)&gt;0,"申請書に入力エラーが残っています／","")&amp;IF(AND($B1413&lt;&gt;"",$AO1413&lt;&gt;""),IF(COUNTIFS($B$6:$B$3005,$B1413,$C$6:$C$3005,$C1413,$D$6:$D$3005,$D1413)&gt;1,"同じ月の請求が重複しています／",""),"")&amp;IF(AND(N($E1413)&gt;0,$Z1413&lt;&gt;"",$Z1413&lt;&gt;"×",$AC1413=0,$AB1413=""),"計算額が下限以下のため不支給／",""))</f>
        <v/>
      </c>
      <c r="AL1413" s="12" t="n"/>
      <c r="AM1413" s="14">
        <f>IF($AD1413="保留中",COUNTIF($AD$6:$AD1413,"保留中"),"")</f>
        <v/>
      </c>
      <c r="AN1413" s="14">
        <f>IF($AO1413="","",IF(SUMPRODUCT(MAX((職員マスタ!$A$6:$A$405=$B1413)*(((職員マスタ!$G$6:$G$405="")+(職員マスタ!$G$6:$G$405&lt;=EOMONTH($AO1413,0)))&gt;0)*(((職員マスタ!$H$6:$H$405="")+(職員マスタ!$H$6:$H$405&gt;=$AO1413))&gt;0)*(ROW(職員マスタ!$A$6:$A$405)-5)))&gt;0,SUMPRODUCT(MAX((職員マスタ!$A$6:$A$405=$B1413)*(((職員マスタ!$G$6:$G$405="")+(職員マスタ!$G$6:$G$405&lt;=EOMONTH($AO1413,0)))&gt;0)*(((職員マスタ!$H$6:$H$405="")+(職員マスタ!$H$6:$H$405&gt;=$AO1413))&gt;0)*(ROW(職員マスタ!$A$6:$A$405)-5))),IFERROR(MATCH($B1413,職員マスタ!$A$6:$A$405,0),"")))</f>
        <v/>
      </c>
      <c r="AO1413" s="16">
        <f>IF(OR($B1413="",$C1413="",$D1413=""),"",DATE($C1413+2018,$D1413,1))</f>
        <v/>
      </c>
    </row>
    <row r="1414">
      <c r="A1414" s="11" t="n"/>
      <c r="B1414" s="12" t="n"/>
      <c r="C1414" s="12" t="n"/>
      <c r="D1414" s="12" t="n"/>
      <c r="E1414" s="13" t="n"/>
      <c r="F1414" s="12" t="n"/>
      <c r="G1414" s="13" t="n"/>
      <c r="H1414" s="12" t="n"/>
      <c r="I1414" s="12" t="n"/>
      <c r="J1414" s="12" t="n"/>
      <c r="K1414" s="12" t="n"/>
      <c r="L1414" s="11" t="n"/>
      <c r="M1414" s="11" t="n"/>
      <c r="N1414" s="11" t="n"/>
      <c r="O1414" s="11" t="n"/>
      <c r="P1414" s="12" t="n"/>
      <c r="Q1414" s="11" t="n"/>
      <c r="R1414" s="12" t="n"/>
      <c r="S1414" s="11" t="n"/>
      <c r="T1414" s="12" t="n"/>
      <c r="U1414" s="12" t="n"/>
      <c r="V1414" s="14">
        <f>IF($AN1414="",IF($B1414="","",$H1414),IF(INDEX(職員マスタ!$B$6:$B$405,$AN1414)="",$H1414,INDEX(職員マスタ!$B$6:$B$405,$AN1414)))</f>
        <v/>
      </c>
      <c r="W1414" s="14">
        <f>IF($AN1414="",IF($B1414="","",$R1414),IF(INDEX(職員マスタ!$C$6:$C$405,$AN1414)="",$R1414,INDEX(職員マスタ!$C$6:$C$405,$AN1414)))</f>
        <v/>
      </c>
      <c r="X1414" s="14">
        <f>IF($AO1414="","","R"&amp;$C1414&amp;"."&amp;$D1414)</f>
        <v/>
      </c>
      <c r="Y1414" s="15">
        <f>IF($AN1414="","",IF(INDEX(職員マスタ!$K$6:$K$405,$AN1414)="","",INDEX(職員マスタ!$K$6:$K$405,$AN1414)))</f>
        <v/>
      </c>
      <c r="Z1414" s="14">
        <f>IF(OR($E1414="",$Y1414=""),"",IF($E1414&gt;=$Y1414,"×",IF($E1414&gt;=$Y1414*設定!$C$5,"△","○")))</f>
        <v/>
      </c>
      <c r="AA1414" s="15">
        <f>IF($Z1414="","",IF($Z1414="×",0,IF($Z1414="○",ROUNDDOWN($E1414*設定!$C$4,0),ROUNDDOWN($E1414*ROUND((9*$Y1414-9*$E1414)/(10*$E1414),4),0))))</f>
        <v/>
      </c>
      <c r="AB1414" s="13" t="n"/>
      <c r="AC1414" s="15">
        <f>IF($B1414="","",IF($AB1414&lt;&gt;"",$AB1414,IF($AA1414="","",IF($AA1414&lt;=設定!$C$3,0,$AA1414))))</f>
        <v/>
      </c>
      <c r="AD1414" s="14">
        <f>IF($B1414="","",IF(AND($AE1414&lt;&gt;"",$AG1414="",$AJ1414=""),"保留中",IF($AJ1414&lt;&gt;"",IF(N($AC1414)&gt;0,"支給済","不支給"),IF($AC1414="","要確認",IF($AC1414=0,"不支給","未処理")))))</f>
        <v/>
      </c>
      <c r="AE1414" s="12" t="n"/>
      <c r="AF1414" s="11" t="n"/>
      <c r="AG1414" s="11" t="n"/>
      <c r="AH1414" s="11" t="n"/>
      <c r="AI1414" s="14">
        <f>IF(AND($AD1414="保留中",$AF1414&lt;&gt;""),TODAY()-$AF1414,"")</f>
        <v/>
      </c>
      <c r="AJ1414" s="12" t="n"/>
      <c r="AK1414" s="14">
        <f>IF($B1414="","",IF($AO1414="","対象年月が未入力／","")&amp;IF($B1414="","",IF($AN1414="","職員マスタに未登録の職員番号／",IF($Y1414="","標準報酬月額が未登録／","")&amp;IF(AND($AO1414&lt;&gt;"",OR(AND(INDEX(職員マスタ!$G$6:$G$405,$AN1414)&lt;&gt;"",INDEX(職員マスタ!$G$6:$G$405,$AN1414)&gt;EOMONTH($AO1414,0)),AND(INDEX(職員マスタ!$H$6:$H$405,$AN1414)&lt;&gt;"",INDEX(職員マスタ!$H$6:$H$405,$AN1414)&lt;$AO1414))),"対象月が時短期間外／","")&amp;IF(AND(INDEX(職員マスタ!$F$6:$F$405,$AN1414)&lt;&gt;"",$AO1414&lt;&gt;"",INDEX(職員マスタ!$F$6:$F$405,$AN1414)&lt;$AO1414),"対象月に子が2歳到達済／","")&amp;IF(AND($H1414&lt;&gt;"",INDEX(職員マスタ!$B$6:$B$405,$AN1414)&lt;&gt;"",SUBSTITUTE(SUBSTITUTE($H1414," ","")," ","")&lt;&gt;SUBSTITUTE(SUBSTITUTE(INDEX(職員マスタ!$B$6:$B$405,$AN1414)," ","")," ","")),"氏名がマスタと相違／","")&amp;IF(AND($Q1414&lt;&gt;"",INDEX(職員マスタ!$E$6:$E$405,$AN1414)&lt;&gt;"",$Q1414&lt;&gt;INDEX(職員マスタ!$E$6:$E$405,$AN1414)),"子の生年月日がマスタと相違／","")&amp;IF(AND($L1414&lt;&gt;"",INDEX(職員マスタ!$G$6:$G$405,$AN1414)&lt;&gt;"",$L1414&lt;&gt;INDEX(職員マスタ!$G$6:$G$405,$AN1414)),"時短開始日がマスタと相違／","")&amp;IF(AND($M1414&lt;&gt;"",INDEX(職員マスタ!$H$6:$H$405,$AN1414)&lt;&gt;"",$M1414&lt;&gt;INDEX(職員マスタ!$H$6:$H$405,$AN1414)),"時短終了日がマスタと相違／","")))&amp;IF(AND($B1414&lt;&gt;"",$E1414=""),"報酬額が未入力／","")&amp;IF(N($U1414)&gt;0,"申請書に入力エラーが残っています／","")&amp;IF(AND($B1414&lt;&gt;"",$AO1414&lt;&gt;""),IF(COUNTIFS($B$6:$B$3005,$B1414,$C$6:$C$3005,$C1414,$D$6:$D$3005,$D1414)&gt;1,"同じ月の請求が重複しています／",""),"")&amp;IF(AND(N($E1414)&gt;0,$Z1414&lt;&gt;"",$Z1414&lt;&gt;"×",$AC1414=0,$AB1414=""),"計算額が下限以下のため不支給／",""))</f>
        <v/>
      </c>
      <c r="AL1414" s="12" t="n"/>
      <c r="AM1414" s="14">
        <f>IF($AD1414="保留中",COUNTIF($AD$6:$AD1414,"保留中"),"")</f>
        <v/>
      </c>
      <c r="AN1414" s="14">
        <f>IF($AO1414="","",IF(SUMPRODUCT(MAX((職員マスタ!$A$6:$A$405=$B1414)*(((職員マスタ!$G$6:$G$405="")+(職員マスタ!$G$6:$G$405&lt;=EOMONTH($AO1414,0)))&gt;0)*(((職員マスタ!$H$6:$H$405="")+(職員マスタ!$H$6:$H$405&gt;=$AO1414))&gt;0)*(ROW(職員マスタ!$A$6:$A$405)-5)))&gt;0,SUMPRODUCT(MAX((職員マスタ!$A$6:$A$405=$B1414)*(((職員マスタ!$G$6:$G$405="")+(職員マスタ!$G$6:$G$405&lt;=EOMONTH($AO1414,0)))&gt;0)*(((職員マスタ!$H$6:$H$405="")+(職員マスタ!$H$6:$H$405&gt;=$AO1414))&gt;0)*(ROW(職員マスタ!$A$6:$A$405)-5))),IFERROR(MATCH($B1414,職員マスタ!$A$6:$A$405,0),"")))</f>
        <v/>
      </c>
      <c r="AO1414" s="16">
        <f>IF(OR($B1414="",$C1414="",$D1414=""),"",DATE($C1414+2018,$D1414,1))</f>
        <v/>
      </c>
    </row>
    <row r="1415">
      <c r="A1415" s="11" t="n"/>
      <c r="B1415" s="12" t="n"/>
      <c r="C1415" s="12" t="n"/>
      <c r="D1415" s="12" t="n"/>
      <c r="E1415" s="13" t="n"/>
      <c r="F1415" s="12" t="n"/>
      <c r="G1415" s="13" t="n"/>
      <c r="H1415" s="12" t="n"/>
      <c r="I1415" s="12" t="n"/>
      <c r="J1415" s="12" t="n"/>
      <c r="K1415" s="12" t="n"/>
      <c r="L1415" s="11" t="n"/>
      <c r="M1415" s="11" t="n"/>
      <c r="N1415" s="11" t="n"/>
      <c r="O1415" s="11" t="n"/>
      <c r="P1415" s="12" t="n"/>
      <c r="Q1415" s="11" t="n"/>
      <c r="R1415" s="12" t="n"/>
      <c r="S1415" s="11" t="n"/>
      <c r="T1415" s="12" t="n"/>
      <c r="U1415" s="12" t="n"/>
      <c r="V1415" s="14">
        <f>IF($AN1415="",IF($B1415="","",$H1415),IF(INDEX(職員マスタ!$B$6:$B$405,$AN1415)="",$H1415,INDEX(職員マスタ!$B$6:$B$405,$AN1415)))</f>
        <v/>
      </c>
      <c r="W1415" s="14">
        <f>IF($AN1415="",IF($B1415="","",$R1415),IF(INDEX(職員マスタ!$C$6:$C$405,$AN1415)="",$R1415,INDEX(職員マスタ!$C$6:$C$405,$AN1415)))</f>
        <v/>
      </c>
      <c r="X1415" s="14">
        <f>IF($AO1415="","","R"&amp;$C1415&amp;"."&amp;$D1415)</f>
        <v/>
      </c>
      <c r="Y1415" s="15">
        <f>IF($AN1415="","",IF(INDEX(職員マスタ!$K$6:$K$405,$AN1415)="","",INDEX(職員マスタ!$K$6:$K$405,$AN1415)))</f>
        <v/>
      </c>
      <c r="Z1415" s="14">
        <f>IF(OR($E1415="",$Y1415=""),"",IF($E1415&gt;=$Y1415,"×",IF($E1415&gt;=$Y1415*設定!$C$5,"△","○")))</f>
        <v/>
      </c>
      <c r="AA1415" s="15">
        <f>IF($Z1415="","",IF($Z1415="×",0,IF($Z1415="○",ROUNDDOWN($E1415*設定!$C$4,0),ROUNDDOWN($E1415*ROUND((9*$Y1415-9*$E1415)/(10*$E1415),4),0))))</f>
        <v/>
      </c>
      <c r="AB1415" s="13" t="n"/>
      <c r="AC1415" s="15">
        <f>IF($B1415="","",IF($AB1415&lt;&gt;"",$AB1415,IF($AA1415="","",IF($AA1415&lt;=設定!$C$3,0,$AA1415))))</f>
        <v/>
      </c>
      <c r="AD1415" s="14">
        <f>IF($B1415="","",IF(AND($AE1415&lt;&gt;"",$AG1415="",$AJ1415=""),"保留中",IF($AJ1415&lt;&gt;"",IF(N($AC1415)&gt;0,"支給済","不支給"),IF($AC1415="","要確認",IF($AC1415=0,"不支給","未処理")))))</f>
        <v/>
      </c>
      <c r="AE1415" s="12" t="n"/>
      <c r="AF1415" s="11" t="n"/>
      <c r="AG1415" s="11" t="n"/>
      <c r="AH1415" s="11" t="n"/>
      <c r="AI1415" s="14">
        <f>IF(AND($AD1415="保留中",$AF1415&lt;&gt;""),TODAY()-$AF1415,"")</f>
        <v/>
      </c>
      <c r="AJ1415" s="12" t="n"/>
      <c r="AK1415" s="14">
        <f>IF($B1415="","",IF($AO1415="","対象年月が未入力／","")&amp;IF($B1415="","",IF($AN1415="","職員マスタに未登録の職員番号／",IF($Y1415="","標準報酬月額が未登録／","")&amp;IF(AND($AO1415&lt;&gt;"",OR(AND(INDEX(職員マスタ!$G$6:$G$405,$AN1415)&lt;&gt;"",INDEX(職員マスタ!$G$6:$G$405,$AN1415)&gt;EOMONTH($AO1415,0)),AND(INDEX(職員マスタ!$H$6:$H$405,$AN1415)&lt;&gt;"",INDEX(職員マスタ!$H$6:$H$405,$AN1415)&lt;$AO1415))),"対象月が時短期間外／","")&amp;IF(AND(INDEX(職員マスタ!$F$6:$F$405,$AN1415)&lt;&gt;"",$AO1415&lt;&gt;"",INDEX(職員マスタ!$F$6:$F$405,$AN1415)&lt;$AO1415),"対象月に子が2歳到達済／","")&amp;IF(AND($H1415&lt;&gt;"",INDEX(職員マスタ!$B$6:$B$405,$AN1415)&lt;&gt;"",SUBSTITUTE(SUBSTITUTE($H1415," ","")," ","")&lt;&gt;SUBSTITUTE(SUBSTITUTE(INDEX(職員マスタ!$B$6:$B$405,$AN1415)," ","")," ","")),"氏名がマスタと相違／","")&amp;IF(AND($Q1415&lt;&gt;"",INDEX(職員マスタ!$E$6:$E$405,$AN1415)&lt;&gt;"",$Q1415&lt;&gt;INDEX(職員マスタ!$E$6:$E$405,$AN1415)),"子の生年月日がマスタと相違／","")&amp;IF(AND($L1415&lt;&gt;"",INDEX(職員マスタ!$G$6:$G$405,$AN1415)&lt;&gt;"",$L1415&lt;&gt;INDEX(職員マスタ!$G$6:$G$405,$AN1415)),"時短開始日がマスタと相違／","")&amp;IF(AND($M1415&lt;&gt;"",INDEX(職員マスタ!$H$6:$H$405,$AN1415)&lt;&gt;"",$M1415&lt;&gt;INDEX(職員マスタ!$H$6:$H$405,$AN1415)),"時短終了日がマスタと相違／","")))&amp;IF(AND($B1415&lt;&gt;"",$E1415=""),"報酬額が未入力／","")&amp;IF(N($U1415)&gt;0,"申請書に入力エラーが残っています／","")&amp;IF(AND($B1415&lt;&gt;"",$AO1415&lt;&gt;""),IF(COUNTIFS($B$6:$B$3005,$B1415,$C$6:$C$3005,$C1415,$D$6:$D$3005,$D1415)&gt;1,"同じ月の請求が重複しています／",""),"")&amp;IF(AND(N($E1415)&gt;0,$Z1415&lt;&gt;"",$Z1415&lt;&gt;"×",$AC1415=0,$AB1415=""),"計算額が下限以下のため不支給／",""))</f>
        <v/>
      </c>
      <c r="AL1415" s="12" t="n"/>
      <c r="AM1415" s="14">
        <f>IF($AD1415="保留中",COUNTIF($AD$6:$AD1415,"保留中"),"")</f>
        <v/>
      </c>
      <c r="AN1415" s="14">
        <f>IF($AO1415="","",IF(SUMPRODUCT(MAX((職員マスタ!$A$6:$A$405=$B1415)*(((職員マスタ!$G$6:$G$405="")+(職員マスタ!$G$6:$G$405&lt;=EOMONTH($AO1415,0)))&gt;0)*(((職員マスタ!$H$6:$H$405="")+(職員マスタ!$H$6:$H$405&gt;=$AO1415))&gt;0)*(ROW(職員マスタ!$A$6:$A$405)-5)))&gt;0,SUMPRODUCT(MAX((職員マスタ!$A$6:$A$405=$B1415)*(((職員マスタ!$G$6:$G$405="")+(職員マスタ!$G$6:$G$405&lt;=EOMONTH($AO1415,0)))&gt;0)*(((職員マスタ!$H$6:$H$405="")+(職員マスタ!$H$6:$H$405&gt;=$AO1415))&gt;0)*(ROW(職員マスタ!$A$6:$A$405)-5))),IFERROR(MATCH($B1415,職員マスタ!$A$6:$A$405,0),"")))</f>
        <v/>
      </c>
      <c r="AO1415" s="16">
        <f>IF(OR($B1415="",$C1415="",$D1415=""),"",DATE($C1415+2018,$D1415,1))</f>
        <v/>
      </c>
    </row>
    <row r="1416">
      <c r="A1416" s="11" t="n"/>
      <c r="B1416" s="12" t="n"/>
      <c r="C1416" s="12" t="n"/>
      <c r="D1416" s="12" t="n"/>
      <c r="E1416" s="13" t="n"/>
      <c r="F1416" s="12" t="n"/>
      <c r="G1416" s="13" t="n"/>
      <c r="H1416" s="12" t="n"/>
      <c r="I1416" s="12" t="n"/>
      <c r="J1416" s="12" t="n"/>
      <c r="K1416" s="12" t="n"/>
      <c r="L1416" s="11" t="n"/>
      <c r="M1416" s="11" t="n"/>
      <c r="N1416" s="11" t="n"/>
      <c r="O1416" s="11" t="n"/>
      <c r="P1416" s="12" t="n"/>
      <c r="Q1416" s="11" t="n"/>
      <c r="R1416" s="12" t="n"/>
      <c r="S1416" s="11" t="n"/>
      <c r="T1416" s="12" t="n"/>
      <c r="U1416" s="12" t="n"/>
      <c r="V1416" s="14">
        <f>IF($AN1416="",IF($B1416="","",$H1416),IF(INDEX(職員マスタ!$B$6:$B$405,$AN1416)="",$H1416,INDEX(職員マスタ!$B$6:$B$405,$AN1416)))</f>
        <v/>
      </c>
      <c r="W1416" s="14">
        <f>IF($AN1416="",IF($B1416="","",$R1416),IF(INDEX(職員マスタ!$C$6:$C$405,$AN1416)="",$R1416,INDEX(職員マスタ!$C$6:$C$405,$AN1416)))</f>
        <v/>
      </c>
      <c r="X1416" s="14">
        <f>IF($AO1416="","","R"&amp;$C1416&amp;"."&amp;$D1416)</f>
        <v/>
      </c>
      <c r="Y1416" s="15">
        <f>IF($AN1416="","",IF(INDEX(職員マスタ!$K$6:$K$405,$AN1416)="","",INDEX(職員マスタ!$K$6:$K$405,$AN1416)))</f>
        <v/>
      </c>
      <c r="Z1416" s="14">
        <f>IF(OR($E1416="",$Y1416=""),"",IF($E1416&gt;=$Y1416,"×",IF($E1416&gt;=$Y1416*設定!$C$5,"△","○")))</f>
        <v/>
      </c>
      <c r="AA1416" s="15">
        <f>IF($Z1416="","",IF($Z1416="×",0,IF($Z1416="○",ROUNDDOWN($E1416*設定!$C$4,0),ROUNDDOWN($E1416*ROUND((9*$Y1416-9*$E1416)/(10*$E1416),4),0))))</f>
        <v/>
      </c>
      <c r="AB1416" s="13" t="n"/>
      <c r="AC1416" s="15">
        <f>IF($B1416="","",IF($AB1416&lt;&gt;"",$AB1416,IF($AA1416="","",IF($AA1416&lt;=設定!$C$3,0,$AA1416))))</f>
        <v/>
      </c>
      <c r="AD1416" s="14">
        <f>IF($B1416="","",IF(AND($AE1416&lt;&gt;"",$AG1416="",$AJ1416=""),"保留中",IF($AJ1416&lt;&gt;"",IF(N($AC1416)&gt;0,"支給済","不支給"),IF($AC1416="","要確認",IF($AC1416=0,"不支給","未処理")))))</f>
        <v/>
      </c>
      <c r="AE1416" s="12" t="n"/>
      <c r="AF1416" s="11" t="n"/>
      <c r="AG1416" s="11" t="n"/>
      <c r="AH1416" s="11" t="n"/>
      <c r="AI1416" s="14">
        <f>IF(AND($AD1416="保留中",$AF1416&lt;&gt;""),TODAY()-$AF1416,"")</f>
        <v/>
      </c>
      <c r="AJ1416" s="12" t="n"/>
      <c r="AK1416" s="14">
        <f>IF($B1416="","",IF($AO1416="","対象年月が未入力／","")&amp;IF($B1416="","",IF($AN1416="","職員マスタに未登録の職員番号／",IF($Y1416="","標準報酬月額が未登録／","")&amp;IF(AND($AO1416&lt;&gt;"",OR(AND(INDEX(職員マスタ!$G$6:$G$405,$AN1416)&lt;&gt;"",INDEX(職員マスタ!$G$6:$G$405,$AN1416)&gt;EOMONTH($AO1416,0)),AND(INDEX(職員マスタ!$H$6:$H$405,$AN1416)&lt;&gt;"",INDEX(職員マスタ!$H$6:$H$405,$AN1416)&lt;$AO1416))),"対象月が時短期間外／","")&amp;IF(AND(INDEX(職員マスタ!$F$6:$F$405,$AN1416)&lt;&gt;"",$AO1416&lt;&gt;"",INDEX(職員マスタ!$F$6:$F$405,$AN1416)&lt;$AO1416),"対象月に子が2歳到達済／","")&amp;IF(AND($H1416&lt;&gt;"",INDEX(職員マスタ!$B$6:$B$405,$AN1416)&lt;&gt;"",SUBSTITUTE(SUBSTITUTE($H1416," ","")," ","")&lt;&gt;SUBSTITUTE(SUBSTITUTE(INDEX(職員マスタ!$B$6:$B$405,$AN1416)," ","")," ","")),"氏名がマスタと相違／","")&amp;IF(AND($Q1416&lt;&gt;"",INDEX(職員マスタ!$E$6:$E$405,$AN1416)&lt;&gt;"",$Q1416&lt;&gt;INDEX(職員マスタ!$E$6:$E$405,$AN1416)),"子の生年月日がマスタと相違／","")&amp;IF(AND($L1416&lt;&gt;"",INDEX(職員マスタ!$G$6:$G$405,$AN1416)&lt;&gt;"",$L1416&lt;&gt;INDEX(職員マスタ!$G$6:$G$405,$AN1416)),"時短開始日がマスタと相違／","")&amp;IF(AND($M1416&lt;&gt;"",INDEX(職員マスタ!$H$6:$H$405,$AN1416)&lt;&gt;"",$M1416&lt;&gt;INDEX(職員マスタ!$H$6:$H$405,$AN1416)),"時短終了日がマスタと相違／","")))&amp;IF(AND($B1416&lt;&gt;"",$E1416=""),"報酬額が未入力／","")&amp;IF(N($U1416)&gt;0,"申請書に入力エラーが残っています／","")&amp;IF(AND($B1416&lt;&gt;"",$AO1416&lt;&gt;""),IF(COUNTIFS($B$6:$B$3005,$B1416,$C$6:$C$3005,$C1416,$D$6:$D$3005,$D1416)&gt;1,"同じ月の請求が重複しています／",""),"")&amp;IF(AND(N($E1416)&gt;0,$Z1416&lt;&gt;"",$Z1416&lt;&gt;"×",$AC1416=0,$AB1416=""),"計算額が下限以下のため不支給／",""))</f>
        <v/>
      </c>
      <c r="AL1416" s="12" t="n"/>
      <c r="AM1416" s="14">
        <f>IF($AD1416="保留中",COUNTIF($AD$6:$AD1416,"保留中"),"")</f>
        <v/>
      </c>
      <c r="AN1416" s="14">
        <f>IF($AO1416="","",IF(SUMPRODUCT(MAX((職員マスタ!$A$6:$A$405=$B1416)*(((職員マスタ!$G$6:$G$405="")+(職員マスタ!$G$6:$G$405&lt;=EOMONTH($AO1416,0)))&gt;0)*(((職員マスタ!$H$6:$H$405="")+(職員マスタ!$H$6:$H$405&gt;=$AO1416))&gt;0)*(ROW(職員マスタ!$A$6:$A$405)-5)))&gt;0,SUMPRODUCT(MAX((職員マスタ!$A$6:$A$405=$B1416)*(((職員マスタ!$G$6:$G$405="")+(職員マスタ!$G$6:$G$405&lt;=EOMONTH($AO1416,0)))&gt;0)*(((職員マスタ!$H$6:$H$405="")+(職員マスタ!$H$6:$H$405&gt;=$AO1416))&gt;0)*(ROW(職員マスタ!$A$6:$A$405)-5))),IFERROR(MATCH($B1416,職員マスタ!$A$6:$A$405,0),"")))</f>
        <v/>
      </c>
      <c r="AO1416" s="16">
        <f>IF(OR($B1416="",$C1416="",$D1416=""),"",DATE($C1416+2018,$D1416,1))</f>
        <v/>
      </c>
    </row>
    <row r="1417">
      <c r="A1417" s="11" t="n"/>
      <c r="B1417" s="12" t="n"/>
      <c r="C1417" s="12" t="n"/>
      <c r="D1417" s="12" t="n"/>
      <c r="E1417" s="13" t="n"/>
      <c r="F1417" s="12" t="n"/>
      <c r="G1417" s="13" t="n"/>
      <c r="H1417" s="12" t="n"/>
      <c r="I1417" s="12" t="n"/>
      <c r="J1417" s="12" t="n"/>
      <c r="K1417" s="12" t="n"/>
      <c r="L1417" s="11" t="n"/>
      <c r="M1417" s="11" t="n"/>
      <c r="N1417" s="11" t="n"/>
      <c r="O1417" s="11" t="n"/>
      <c r="P1417" s="12" t="n"/>
      <c r="Q1417" s="11" t="n"/>
      <c r="R1417" s="12" t="n"/>
      <c r="S1417" s="11" t="n"/>
      <c r="T1417" s="12" t="n"/>
      <c r="U1417" s="12" t="n"/>
      <c r="V1417" s="14">
        <f>IF($AN1417="",IF($B1417="","",$H1417),IF(INDEX(職員マスタ!$B$6:$B$405,$AN1417)="",$H1417,INDEX(職員マスタ!$B$6:$B$405,$AN1417)))</f>
        <v/>
      </c>
      <c r="W1417" s="14">
        <f>IF($AN1417="",IF($B1417="","",$R1417),IF(INDEX(職員マスタ!$C$6:$C$405,$AN1417)="",$R1417,INDEX(職員マスタ!$C$6:$C$405,$AN1417)))</f>
        <v/>
      </c>
      <c r="X1417" s="14">
        <f>IF($AO1417="","","R"&amp;$C1417&amp;"."&amp;$D1417)</f>
        <v/>
      </c>
      <c r="Y1417" s="15">
        <f>IF($AN1417="","",IF(INDEX(職員マスタ!$K$6:$K$405,$AN1417)="","",INDEX(職員マスタ!$K$6:$K$405,$AN1417)))</f>
        <v/>
      </c>
      <c r="Z1417" s="14">
        <f>IF(OR($E1417="",$Y1417=""),"",IF($E1417&gt;=$Y1417,"×",IF($E1417&gt;=$Y1417*設定!$C$5,"△","○")))</f>
        <v/>
      </c>
      <c r="AA1417" s="15">
        <f>IF($Z1417="","",IF($Z1417="×",0,IF($Z1417="○",ROUNDDOWN($E1417*設定!$C$4,0),ROUNDDOWN($E1417*ROUND((9*$Y1417-9*$E1417)/(10*$E1417),4),0))))</f>
        <v/>
      </c>
      <c r="AB1417" s="13" t="n"/>
      <c r="AC1417" s="15">
        <f>IF($B1417="","",IF($AB1417&lt;&gt;"",$AB1417,IF($AA1417="","",IF($AA1417&lt;=設定!$C$3,0,$AA1417))))</f>
        <v/>
      </c>
      <c r="AD1417" s="14">
        <f>IF($B1417="","",IF(AND($AE1417&lt;&gt;"",$AG1417="",$AJ1417=""),"保留中",IF($AJ1417&lt;&gt;"",IF(N($AC1417)&gt;0,"支給済","不支給"),IF($AC1417="","要確認",IF($AC1417=0,"不支給","未処理")))))</f>
        <v/>
      </c>
      <c r="AE1417" s="12" t="n"/>
      <c r="AF1417" s="11" t="n"/>
      <c r="AG1417" s="11" t="n"/>
      <c r="AH1417" s="11" t="n"/>
      <c r="AI1417" s="14">
        <f>IF(AND($AD1417="保留中",$AF1417&lt;&gt;""),TODAY()-$AF1417,"")</f>
        <v/>
      </c>
      <c r="AJ1417" s="12" t="n"/>
      <c r="AK1417" s="14">
        <f>IF($B1417="","",IF($AO1417="","対象年月が未入力／","")&amp;IF($B1417="","",IF($AN1417="","職員マスタに未登録の職員番号／",IF($Y1417="","標準報酬月額が未登録／","")&amp;IF(AND($AO1417&lt;&gt;"",OR(AND(INDEX(職員マスタ!$G$6:$G$405,$AN1417)&lt;&gt;"",INDEX(職員マスタ!$G$6:$G$405,$AN1417)&gt;EOMONTH($AO1417,0)),AND(INDEX(職員マスタ!$H$6:$H$405,$AN1417)&lt;&gt;"",INDEX(職員マスタ!$H$6:$H$405,$AN1417)&lt;$AO1417))),"対象月が時短期間外／","")&amp;IF(AND(INDEX(職員マスタ!$F$6:$F$405,$AN1417)&lt;&gt;"",$AO1417&lt;&gt;"",INDEX(職員マスタ!$F$6:$F$405,$AN1417)&lt;$AO1417),"対象月に子が2歳到達済／","")&amp;IF(AND($H1417&lt;&gt;"",INDEX(職員マスタ!$B$6:$B$405,$AN1417)&lt;&gt;"",SUBSTITUTE(SUBSTITUTE($H1417," ","")," ","")&lt;&gt;SUBSTITUTE(SUBSTITUTE(INDEX(職員マスタ!$B$6:$B$405,$AN1417)," ","")," ","")),"氏名がマスタと相違／","")&amp;IF(AND($Q1417&lt;&gt;"",INDEX(職員マスタ!$E$6:$E$405,$AN1417)&lt;&gt;"",$Q1417&lt;&gt;INDEX(職員マスタ!$E$6:$E$405,$AN1417)),"子の生年月日がマスタと相違／","")&amp;IF(AND($L1417&lt;&gt;"",INDEX(職員マスタ!$G$6:$G$405,$AN1417)&lt;&gt;"",$L1417&lt;&gt;INDEX(職員マスタ!$G$6:$G$405,$AN1417)),"時短開始日がマスタと相違／","")&amp;IF(AND($M1417&lt;&gt;"",INDEX(職員マスタ!$H$6:$H$405,$AN1417)&lt;&gt;"",$M1417&lt;&gt;INDEX(職員マスタ!$H$6:$H$405,$AN1417)),"時短終了日がマスタと相違／","")))&amp;IF(AND($B1417&lt;&gt;"",$E1417=""),"報酬額が未入力／","")&amp;IF(N($U1417)&gt;0,"申請書に入力エラーが残っています／","")&amp;IF(AND($B1417&lt;&gt;"",$AO1417&lt;&gt;""),IF(COUNTIFS($B$6:$B$3005,$B1417,$C$6:$C$3005,$C1417,$D$6:$D$3005,$D1417)&gt;1,"同じ月の請求が重複しています／",""),"")&amp;IF(AND(N($E1417)&gt;0,$Z1417&lt;&gt;"",$Z1417&lt;&gt;"×",$AC1417=0,$AB1417=""),"計算額が下限以下のため不支給／",""))</f>
        <v/>
      </c>
      <c r="AL1417" s="12" t="n"/>
      <c r="AM1417" s="14">
        <f>IF($AD1417="保留中",COUNTIF($AD$6:$AD1417,"保留中"),"")</f>
        <v/>
      </c>
      <c r="AN1417" s="14">
        <f>IF($AO1417="","",IF(SUMPRODUCT(MAX((職員マスタ!$A$6:$A$405=$B1417)*(((職員マスタ!$G$6:$G$405="")+(職員マスタ!$G$6:$G$405&lt;=EOMONTH($AO1417,0)))&gt;0)*(((職員マスタ!$H$6:$H$405="")+(職員マスタ!$H$6:$H$405&gt;=$AO1417))&gt;0)*(ROW(職員マスタ!$A$6:$A$405)-5)))&gt;0,SUMPRODUCT(MAX((職員マスタ!$A$6:$A$405=$B1417)*(((職員マスタ!$G$6:$G$405="")+(職員マスタ!$G$6:$G$405&lt;=EOMONTH($AO1417,0)))&gt;0)*(((職員マスタ!$H$6:$H$405="")+(職員マスタ!$H$6:$H$405&gt;=$AO1417))&gt;0)*(ROW(職員マスタ!$A$6:$A$405)-5))),IFERROR(MATCH($B1417,職員マスタ!$A$6:$A$405,0),"")))</f>
        <v/>
      </c>
      <c r="AO1417" s="16">
        <f>IF(OR($B1417="",$C1417="",$D1417=""),"",DATE($C1417+2018,$D1417,1))</f>
        <v/>
      </c>
    </row>
    <row r="1418">
      <c r="A1418" s="11" t="n"/>
      <c r="B1418" s="12" t="n"/>
      <c r="C1418" s="12" t="n"/>
      <c r="D1418" s="12" t="n"/>
      <c r="E1418" s="13" t="n"/>
      <c r="F1418" s="12" t="n"/>
      <c r="G1418" s="13" t="n"/>
      <c r="H1418" s="12" t="n"/>
      <c r="I1418" s="12" t="n"/>
      <c r="J1418" s="12" t="n"/>
      <c r="K1418" s="12" t="n"/>
      <c r="L1418" s="11" t="n"/>
      <c r="M1418" s="11" t="n"/>
      <c r="N1418" s="11" t="n"/>
      <c r="O1418" s="11" t="n"/>
      <c r="P1418" s="12" t="n"/>
      <c r="Q1418" s="11" t="n"/>
      <c r="R1418" s="12" t="n"/>
      <c r="S1418" s="11" t="n"/>
      <c r="T1418" s="12" t="n"/>
      <c r="U1418" s="12" t="n"/>
      <c r="V1418" s="14">
        <f>IF($AN1418="",IF($B1418="","",$H1418),IF(INDEX(職員マスタ!$B$6:$B$405,$AN1418)="",$H1418,INDEX(職員マスタ!$B$6:$B$405,$AN1418)))</f>
        <v/>
      </c>
      <c r="W1418" s="14">
        <f>IF($AN1418="",IF($B1418="","",$R1418),IF(INDEX(職員マスタ!$C$6:$C$405,$AN1418)="",$R1418,INDEX(職員マスタ!$C$6:$C$405,$AN1418)))</f>
        <v/>
      </c>
      <c r="X1418" s="14">
        <f>IF($AO1418="","","R"&amp;$C1418&amp;"."&amp;$D1418)</f>
        <v/>
      </c>
      <c r="Y1418" s="15">
        <f>IF($AN1418="","",IF(INDEX(職員マスタ!$K$6:$K$405,$AN1418)="","",INDEX(職員マスタ!$K$6:$K$405,$AN1418)))</f>
        <v/>
      </c>
      <c r="Z1418" s="14">
        <f>IF(OR($E1418="",$Y1418=""),"",IF($E1418&gt;=$Y1418,"×",IF($E1418&gt;=$Y1418*設定!$C$5,"△","○")))</f>
        <v/>
      </c>
      <c r="AA1418" s="15">
        <f>IF($Z1418="","",IF($Z1418="×",0,IF($Z1418="○",ROUNDDOWN($E1418*設定!$C$4,0),ROUNDDOWN($E1418*ROUND((9*$Y1418-9*$E1418)/(10*$E1418),4),0))))</f>
        <v/>
      </c>
      <c r="AB1418" s="13" t="n"/>
      <c r="AC1418" s="15">
        <f>IF($B1418="","",IF($AB1418&lt;&gt;"",$AB1418,IF($AA1418="","",IF($AA1418&lt;=設定!$C$3,0,$AA1418))))</f>
        <v/>
      </c>
      <c r="AD1418" s="14">
        <f>IF($B1418="","",IF(AND($AE1418&lt;&gt;"",$AG1418="",$AJ1418=""),"保留中",IF($AJ1418&lt;&gt;"",IF(N($AC1418)&gt;0,"支給済","不支給"),IF($AC1418="","要確認",IF($AC1418=0,"不支給","未処理")))))</f>
        <v/>
      </c>
      <c r="AE1418" s="12" t="n"/>
      <c r="AF1418" s="11" t="n"/>
      <c r="AG1418" s="11" t="n"/>
      <c r="AH1418" s="11" t="n"/>
      <c r="AI1418" s="14">
        <f>IF(AND($AD1418="保留中",$AF1418&lt;&gt;""),TODAY()-$AF1418,"")</f>
        <v/>
      </c>
      <c r="AJ1418" s="12" t="n"/>
      <c r="AK1418" s="14">
        <f>IF($B1418="","",IF($AO1418="","対象年月が未入力／","")&amp;IF($B1418="","",IF($AN1418="","職員マスタに未登録の職員番号／",IF($Y1418="","標準報酬月額が未登録／","")&amp;IF(AND($AO1418&lt;&gt;"",OR(AND(INDEX(職員マスタ!$G$6:$G$405,$AN1418)&lt;&gt;"",INDEX(職員マスタ!$G$6:$G$405,$AN1418)&gt;EOMONTH($AO1418,0)),AND(INDEX(職員マスタ!$H$6:$H$405,$AN1418)&lt;&gt;"",INDEX(職員マスタ!$H$6:$H$405,$AN1418)&lt;$AO1418))),"対象月が時短期間外／","")&amp;IF(AND(INDEX(職員マスタ!$F$6:$F$405,$AN1418)&lt;&gt;"",$AO1418&lt;&gt;"",INDEX(職員マスタ!$F$6:$F$405,$AN1418)&lt;$AO1418),"対象月に子が2歳到達済／","")&amp;IF(AND($H1418&lt;&gt;"",INDEX(職員マスタ!$B$6:$B$405,$AN1418)&lt;&gt;"",SUBSTITUTE(SUBSTITUTE($H1418," ","")," ","")&lt;&gt;SUBSTITUTE(SUBSTITUTE(INDEX(職員マスタ!$B$6:$B$405,$AN1418)," ","")," ","")),"氏名がマスタと相違／","")&amp;IF(AND($Q1418&lt;&gt;"",INDEX(職員マスタ!$E$6:$E$405,$AN1418)&lt;&gt;"",$Q1418&lt;&gt;INDEX(職員マスタ!$E$6:$E$405,$AN1418)),"子の生年月日がマスタと相違／","")&amp;IF(AND($L1418&lt;&gt;"",INDEX(職員マスタ!$G$6:$G$405,$AN1418)&lt;&gt;"",$L1418&lt;&gt;INDEX(職員マスタ!$G$6:$G$405,$AN1418)),"時短開始日がマスタと相違／","")&amp;IF(AND($M1418&lt;&gt;"",INDEX(職員マスタ!$H$6:$H$405,$AN1418)&lt;&gt;"",$M1418&lt;&gt;INDEX(職員マスタ!$H$6:$H$405,$AN1418)),"時短終了日がマスタと相違／","")))&amp;IF(AND($B1418&lt;&gt;"",$E1418=""),"報酬額が未入力／","")&amp;IF(N($U1418)&gt;0,"申請書に入力エラーが残っています／","")&amp;IF(AND($B1418&lt;&gt;"",$AO1418&lt;&gt;""),IF(COUNTIFS($B$6:$B$3005,$B1418,$C$6:$C$3005,$C1418,$D$6:$D$3005,$D1418)&gt;1,"同じ月の請求が重複しています／",""),"")&amp;IF(AND(N($E1418)&gt;0,$Z1418&lt;&gt;"",$Z1418&lt;&gt;"×",$AC1418=0,$AB1418=""),"計算額が下限以下のため不支給／",""))</f>
        <v/>
      </c>
      <c r="AL1418" s="12" t="n"/>
      <c r="AM1418" s="14">
        <f>IF($AD1418="保留中",COUNTIF($AD$6:$AD1418,"保留中"),"")</f>
        <v/>
      </c>
      <c r="AN1418" s="14">
        <f>IF($AO1418="","",IF(SUMPRODUCT(MAX((職員マスタ!$A$6:$A$405=$B1418)*(((職員マスタ!$G$6:$G$405="")+(職員マスタ!$G$6:$G$405&lt;=EOMONTH($AO1418,0)))&gt;0)*(((職員マスタ!$H$6:$H$405="")+(職員マスタ!$H$6:$H$405&gt;=$AO1418))&gt;0)*(ROW(職員マスタ!$A$6:$A$405)-5)))&gt;0,SUMPRODUCT(MAX((職員マスタ!$A$6:$A$405=$B1418)*(((職員マスタ!$G$6:$G$405="")+(職員マスタ!$G$6:$G$405&lt;=EOMONTH($AO1418,0)))&gt;0)*(((職員マスタ!$H$6:$H$405="")+(職員マスタ!$H$6:$H$405&gt;=$AO1418))&gt;0)*(ROW(職員マスタ!$A$6:$A$405)-5))),IFERROR(MATCH($B1418,職員マスタ!$A$6:$A$405,0),"")))</f>
        <v/>
      </c>
      <c r="AO1418" s="16">
        <f>IF(OR($B1418="",$C1418="",$D1418=""),"",DATE($C1418+2018,$D1418,1))</f>
        <v/>
      </c>
    </row>
    <row r="1419">
      <c r="A1419" s="11" t="n"/>
      <c r="B1419" s="12" t="n"/>
      <c r="C1419" s="12" t="n"/>
      <c r="D1419" s="12" t="n"/>
      <c r="E1419" s="13" t="n"/>
      <c r="F1419" s="12" t="n"/>
      <c r="G1419" s="13" t="n"/>
      <c r="H1419" s="12" t="n"/>
      <c r="I1419" s="12" t="n"/>
      <c r="J1419" s="12" t="n"/>
      <c r="K1419" s="12" t="n"/>
      <c r="L1419" s="11" t="n"/>
      <c r="M1419" s="11" t="n"/>
      <c r="N1419" s="11" t="n"/>
      <c r="O1419" s="11" t="n"/>
      <c r="P1419" s="12" t="n"/>
      <c r="Q1419" s="11" t="n"/>
      <c r="R1419" s="12" t="n"/>
      <c r="S1419" s="11" t="n"/>
      <c r="T1419" s="12" t="n"/>
      <c r="U1419" s="12" t="n"/>
      <c r="V1419" s="14">
        <f>IF($AN1419="",IF($B1419="","",$H1419),IF(INDEX(職員マスタ!$B$6:$B$405,$AN1419)="",$H1419,INDEX(職員マスタ!$B$6:$B$405,$AN1419)))</f>
        <v/>
      </c>
      <c r="W1419" s="14">
        <f>IF($AN1419="",IF($B1419="","",$R1419),IF(INDEX(職員マスタ!$C$6:$C$405,$AN1419)="",$R1419,INDEX(職員マスタ!$C$6:$C$405,$AN1419)))</f>
        <v/>
      </c>
      <c r="X1419" s="14">
        <f>IF($AO1419="","","R"&amp;$C1419&amp;"."&amp;$D1419)</f>
        <v/>
      </c>
      <c r="Y1419" s="15">
        <f>IF($AN1419="","",IF(INDEX(職員マスタ!$K$6:$K$405,$AN1419)="","",INDEX(職員マスタ!$K$6:$K$405,$AN1419)))</f>
        <v/>
      </c>
      <c r="Z1419" s="14">
        <f>IF(OR($E1419="",$Y1419=""),"",IF($E1419&gt;=$Y1419,"×",IF($E1419&gt;=$Y1419*設定!$C$5,"△","○")))</f>
        <v/>
      </c>
      <c r="AA1419" s="15">
        <f>IF($Z1419="","",IF($Z1419="×",0,IF($Z1419="○",ROUNDDOWN($E1419*設定!$C$4,0),ROUNDDOWN($E1419*ROUND((9*$Y1419-9*$E1419)/(10*$E1419),4),0))))</f>
        <v/>
      </c>
      <c r="AB1419" s="13" t="n"/>
      <c r="AC1419" s="15">
        <f>IF($B1419="","",IF($AB1419&lt;&gt;"",$AB1419,IF($AA1419="","",IF($AA1419&lt;=設定!$C$3,0,$AA1419))))</f>
        <v/>
      </c>
      <c r="AD1419" s="14">
        <f>IF($B1419="","",IF(AND($AE1419&lt;&gt;"",$AG1419="",$AJ1419=""),"保留中",IF($AJ1419&lt;&gt;"",IF(N($AC1419)&gt;0,"支給済","不支給"),IF($AC1419="","要確認",IF($AC1419=0,"不支給","未処理")))))</f>
        <v/>
      </c>
      <c r="AE1419" s="12" t="n"/>
      <c r="AF1419" s="11" t="n"/>
      <c r="AG1419" s="11" t="n"/>
      <c r="AH1419" s="11" t="n"/>
      <c r="AI1419" s="14">
        <f>IF(AND($AD1419="保留中",$AF1419&lt;&gt;""),TODAY()-$AF1419,"")</f>
        <v/>
      </c>
      <c r="AJ1419" s="12" t="n"/>
      <c r="AK1419" s="14">
        <f>IF($B1419="","",IF($AO1419="","対象年月が未入力／","")&amp;IF($B1419="","",IF($AN1419="","職員マスタに未登録の職員番号／",IF($Y1419="","標準報酬月額が未登録／","")&amp;IF(AND($AO1419&lt;&gt;"",OR(AND(INDEX(職員マスタ!$G$6:$G$405,$AN1419)&lt;&gt;"",INDEX(職員マスタ!$G$6:$G$405,$AN1419)&gt;EOMONTH($AO1419,0)),AND(INDEX(職員マスタ!$H$6:$H$405,$AN1419)&lt;&gt;"",INDEX(職員マスタ!$H$6:$H$405,$AN1419)&lt;$AO1419))),"対象月が時短期間外／","")&amp;IF(AND(INDEX(職員マスタ!$F$6:$F$405,$AN1419)&lt;&gt;"",$AO1419&lt;&gt;"",INDEX(職員マスタ!$F$6:$F$405,$AN1419)&lt;$AO1419),"対象月に子が2歳到達済／","")&amp;IF(AND($H1419&lt;&gt;"",INDEX(職員マスタ!$B$6:$B$405,$AN1419)&lt;&gt;"",SUBSTITUTE(SUBSTITUTE($H1419," ","")," ","")&lt;&gt;SUBSTITUTE(SUBSTITUTE(INDEX(職員マスタ!$B$6:$B$405,$AN1419)," ","")," ","")),"氏名がマスタと相違／","")&amp;IF(AND($Q1419&lt;&gt;"",INDEX(職員マスタ!$E$6:$E$405,$AN1419)&lt;&gt;"",$Q1419&lt;&gt;INDEX(職員マスタ!$E$6:$E$405,$AN1419)),"子の生年月日がマスタと相違／","")&amp;IF(AND($L1419&lt;&gt;"",INDEX(職員マスタ!$G$6:$G$405,$AN1419)&lt;&gt;"",$L1419&lt;&gt;INDEX(職員マスタ!$G$6:$G$405,$AN1419)),"時短開始日がマスタと相違／","")&amp;IF(AND($M1419&lt;&gt;"",INDEX(職員マスタ!$H$6:$H$405,$AN1419)&lt;&gt;"",$M1419&lt;&gt;INDEX(職員マスタ!$H$6:$H$405,$AN1419)),"時短終了日がマスタと相違／","")))&amp;IF(AND($B1419&lt;&gt;"",$E1419=""),"報酬額が未入力／","")&amp;IF(N($U1419)&gt;0,"申請書に入力エラーが残っています／","")&amp;IF(AND($B1419&lt;&gt;"",$AO1419&lt;&gt;""),IF(COUNTIFS($B$6:$B$3005,$B1419,$C$6:$C$3005,$C1419,$D$6:$D$3005,$D1419)&gt;1,"同じ月の請求が重複しています／",""),"")&amp;IF(AND(N($E1419)&gt;0,$Z1419&lt;&gt;"",$Z1419&lt;&gt;"×",$AC1419=0,$AB1419=""),"計算額が下限以下のため不支給／",""))</f>
        <v/>
      </c>
      <c r="AL1419" s="12" t="n"/>
      <c r="AM1419" s="14">
        <f>IF($AD1419="保留中",COUNTIF($AD$6:$AD1419,"保留中"),"")</f>
        <v/>
      </c>
      <c r="AN1419" s="14">
        <f>IF($AO1419="","",IF(SUMPRODUCT(MAX((職員マスタ!$A$6:$A$405=$B1419)*(((職員マスタ!$G$6:$G$405="")+(職員マスタ!$G$6:$G$405&lt;=EOMONTH($AO1419,0)))&gt;0)*(((職員マスタ!$H$6:$H$405="")+(職員マスタ!$H$6:$H$405&gt;=$AO1419))&gt;0)*(ROW(職員マスタ!$A$6:$A$405)-5)))&gt;0,SUMPRODUCT(MAX((職員マスタ!$A$6:$A$405=$B1419)*(((職員マスタ!$G$6:$G$405="")+(職員マスタ!$G$6:$G$405&lt;=EOMONTH($AO1419,0)))&gt;0)*(((職員マスタ!$H$6:$H$405="")+(職員マスタ!$H$6:$H$405&gt;=$AO1419))&gt;0)*(ROW(職員マスタ!$A$6:$A$405)-5))),IFERROR(MATCH($B1419,職員マスタ!$A$6:$A$405,0),"")))</f>
        <v/>
      </c>
      <c r="AO1419" s="16">
        <f>IF(OR($B1419="",$C1419="",$D1419=""),"",DATE($C1419+2018,$D1419,1))</f>
        <v/>
      </c>
    </row>
    <row r="1420">
      <c r="A1420" s="11" t="n"/>
      <c r="B1420" s="12" t="n"/>
      <c r="C1420" s="12" t="n"/>
      <c r="D1420" s="12" t="n"/>
      <c r="E1420" s="13" t="n"/>
      <c r="F1420" s="12" t="n"/>
      <c r="G1420" s="13" t="n"/>
      <c r="H1420" s="12" t="n"/>
      <c r="I1420" s="12" t="n"/>
      <c r="J1420" s="12" t="n"/>
      <c r="K1420" s="12" t="n"/>
      <c r="L1420" s="11" t="n"/>
      <c r="M1420" s="11" t="n"/>
      <c r="N1420" s="11" t="n"/>
      <c r="O1420" s="11" t="n"/>
      <c r="P1420" s="12" t="n"/>
      <c r="Q1420" s="11" t="n"/>
      <c r="R1420" s="12" t="n"/>
      <c r="S1420" s="11" t="n"/>
      <c r="T1420" s="12" t="n"/>
      <c r="U1420" s="12" t="n"/>
      <c r="V1420" s="14">
        <f>IF($AN1420="",IF($B1420="","",$H1420),IF(INDEX(職員マスタ!$B$6:$B$405,$AN1420)="",$H1420,INDEX(職員マスタ!$B$6:$B$405,$AN1420)))</f>
        <v/>
      </c>
      <c r="W1420" s="14">
        <f>IF($AN1420="",IF($B1420="","",$R1420),IF(INDEX(職員マスタ!$C$6:$C$405,$AN1420)="",$R1420,INDEX(職員マスタ!$C$6:$C$405,$AN1420)))</f>
        <v/>
      </c>
      <c r="X1420" s="14">
        <f>IF($AO1420="","","R"&amp;$C1420&amp;"."&amp;$D1420)</f>
        <v/>
      </c>
      <c r="Y1420" s="15">
        <f>IF($AN1420="","",IF(INDEX(職員マスタ!$K$6:$K$405,$AN1420)="","",INDEX(職員マスタ!$K$6:$K$405,$AN1420)))</f>
        <v/>
      </c>
      <c r="Z1420" s="14">
        <f>IF(OR($E1420="",$Y1420=""),"",IF($E1420&gt;=$Y1420,"×",IF($E1420&gt;=$Y1420*設定!$C$5,"△","○")))</f>
        <v/>
      </c>
      <c r="AA1420" s="15">
        <f>IF($Z1420="","",IF($Z1420="×",0,IF($Z1420="○",ROUNDDOWN($E1420*設定!$C$4,0),ROUNDDOWN($E1420*ROUND((9*$Y1420-9*$E1420)/(10*$E1420),4),0))))</f>
        <v/>
      </c>
      <c r="AB1420" s="13" t="n"/>
      <c r="AC1420" s="15">
        <f>IF($B1420="","",IF($AB1420&lt;&gt;"",$AB1420,IF($AA1420="","",IF($AA1420&lt;=設定!$C$3,0,$AA1420))))</f>
        <v/>
      </c>
      <c r="AD1420" s="14">
        <f>IF($B1420="","",IF(AND($AE1420&lt;&gt;"",$AG1420="",$AJ1420=""),"保留中",IF($AJ1420&lt;&gt;"",IF(N($AC1420)&gt;0,"支給済","不支給"),IF($AC1420="","要確認",IF($AC1420=0,"不支給","未処理")))))</f>
        <v/>
      </c>
      <c r="AE1420" s="12" t="n"/>
      <c r="AF1420" s="11" t="n"/>
      <c r="AG1420" s="11" t="n"/>
      <c r="AH1420" s="11" t="n"/>
      <c r="AI1420" s="14">
        <f>IF(AND($AD1420="保留中",$AF1420&lt;&gt;""),TODAY()-$AF1420,"")</f>
        <v/>
      </c>
      <c r="AJ1420" s="12" t="n"/>
      <c r="AK1420" s="14">
        <f>IF($B1420="","",IF($AO1420="","対象年月が未入力／","")&amp;IF($B1420="","",IF($AN1420="","職員マスタに未登録の職員番号／",IF($Y1420="","標準報酬月額が未登録／","")&amp;IF(AND($AO1420&lt;&gt;"",OR(AND(INDEX(職員マスタ!$G$6:$G$405,$AN1420)&lt;&gt;"",INDEX(職員マスタ!$G$6:$G$405,$AN1420)&gt;EOMONTH($AO1420,0)),AND(INDEX(職員マスタ!$H$6:$H$405,$AN1420)&lt;&gt;"",INDEX(職員マスタ!$H$6:$H$405,$AN1420)&lt;$AO1420))),"対象月が時短期間外／","")&amp;IF(AND(INDEX(職員マスタ!$F$6:$F$405,$AN1420)&lt;&gt;"",$AO1420&lt;&gt;"",INDEX(職員マスタ!$F$6:$F$405,$AN1420)&lt;$AO1420),"対象月に子が2歳到達済／","")&amp;IF(AND($H1420&lt;&gt;"",INDEX(職員マスタ!$B$6:$B$405,$AN1420)&lt;&gt;"",SUBSTITUTE(SUBSTITUTE($H1420," ","")," ","")&lt;&gt;SUBSTITUTE(SUBSTITUTE(INDEX(職員マスタ!$B$6:$B$405,$AN1420)," ","")," ","")),"氏名がマスタと相違／","")&amp;IF(AND($Q1420&lt;&gt;"",INDEX(職員マスタ!$E$6:$E$405,$AN1420)&lt;&gt;"",$Q1420&lt;&gt;INDEX(職員マスタ!$E$6:$E$405,$AN1420)),"子の生年月日がマスタと相違／","")&amp;IF(AND($L1420&lt;&gt;"",INDEX(職員マスタ!$G$6:$G$405,$AN1420)&lt;&gt;"",$L1420&lt;&gt;INDEX(職員マスタ!$G$6:$G$405,$AN1420)),"時短開始日がマスタと相違／","")&amp;IF(AND($M1420&lt;&gt;"",INDEX(職員マスタ!$H$6:$H$405,$AN1420)&lt;&gt;"",$M1420&lt;&gt;INDEX(職員マスタ!$H$6:$H$405,$AN1420)),"時短終了日がマスタと相違／","")))&amp;IF(AND($B1420&lt;&gt;"",$E1420=""),"報酬額が未入力／","")&amp;IF(N($U1420)&gt;0,"申請書に入力エラーが残っています／","")&amp;IF(AND($B1420&lt;&gt;"",$AO1420&lt;&gt;""),IF(COUNTIFS($B$6:$B$3005,$B1420,$C$6:$C$3005,$C1420,$D$6:$D$3005,$D1420)&gt;1,"同じ月の請求が重複しています／",""),"")&amp;IF(AND(N($E1420)&gt;0,$Z1420&lt;&gt;"",$Z1420&lt;&gt;"×",$AC1420=0,$AB1420=""),"計算額が下限以下のため不支給／",""))</f>
        <v/>
      </c>
      <c r="AL1420" s="12" t="n"/>
      <c r="AM1420" s="14">
        <f>IF($AD1420="保留中",COUNTIF($AD$6:$AD1420,"保留中"),"")</f>
        <v/>
      </c>
      <c r="AN1420" s="14">
        <f>IF($AO1420="","",IF(SUMPRODUCT(MAX((職員マスタ!$A$6:$A$405=$B1420)*(((職員マスタ!$G$6:$G$405="")+(職員マスタ!$G$6:$G$405&lt;=EOMONTH($AO1420,0)))&gt;0)*(((職員マスタ!$H$6:$H$405="")+(職員マスタ!$H$6:$H$405&gt;=$AO1420))&gt;0)*(ROW(職員マスタ!$A$6:$A$405)-5)))&gt;0,SUMPRODUCT(MAX((職員マスタ!$A$6:$A$405=$B1420)*(((職員マスタ!$G$6:$G$405="")+(職員マスタ!$G$6:$G$405&lt;=EOMONTH($AO1420,0)))&gt;0)*(((職員マスタ!$H$6:$H$405="")+(職員マスタ!$H$6:$H$405&gt;=$AO1420))&gt;0)*(ROW(職員マスタ!$A$6:$A$405)-5))),IFERROR(MATCH($B1420,職員マスタ!$A$6:$A$405,0),"")))</f>
        <v/>
      </c>
      <c r="AO1420" s="16">
        <f>IF(OR($B1420="",$C1420="",$D1420=""),"",DATE($C1420+2018,$D1420,1))</f>
        <v/>
      </c>
    </row>
    <row r="1421">
      <c r="A1421" s="11" t="n"/>
      <c r="B1421" s="12" t="n"/>
      <c r="C1421" s="12" t="n"/>
      <c r="D1421" s="12" t="n"/>
      <c r="E1421" s="13" t="n"/>
      <c r="F1421" s="12" t="n"/>
      <c r="G1421" s="13" t="n"/>
      <c r="H1421" s="12" t="n"/>
      <c r="I1421" s="12" t="n"/>
      <c r="J1421" s="12" t="n"/>
      <c r="K1421" s="12" t="n"/>
      <c r="L1421" s="11" t="n"/>
      <c r="M1421" s="11" t="n"/>
      <c r="N1421" s="11" t="n"/>
      <c r="O1421" s="11" t="n"/>
      <c r="P1421" s="12" t="n"/>
      <c r="Q1421" s="11" t="n"/>
      <c r="R1421" s="12" t="n"/>
      <c r="S1421" s="11" t="n"/>
      <c r="T1421" s="12" t="n"/>
      <c r="U1421" s="12" t="n"/>
      <c r="V1421" s="14">
        <f>IF($AN1421="",IF($B1421="","",$H1421),IF(INDEX(職員マスタ!$B$6:$B$405,$AN1421)="",$H1421,INDEX(職員マスタ!$B$6:$B$405,$AN1421)))</f>
        <v/>
      </c>
      <c r="W1421" s="14">
        <f>IF($AN1421="",IF($B1421="","",$R1421),IF(INDEX(職員マスタ!$C$6:$C$405,$AN1421)="",$R1421,INDEX(職員マスタ!$C$6:$C$405,$AN1421)))</f>
        <v/>
      </c>
      <c r="X1421" s="14">
        <f>IF($AO1421="","","R"&amp;$C1421&amp;"."&amp;$D1421)</f>
        <v/>
      </c>
      <c r="Y1421" s="15">
        <f>IF($AN1421="","",IF(INDEX(職員マスタ!$K$6:$K$405,$AN1421)="","",INDEX(職員マスタ!$K$6:$K$405,$AN1421)))</f>
        <v/>
      </c>
      <c r="Z1421" s="14">
        <f>IF(OR($E1421="",$Y1421=""),"",IF($E1421&gt;=$Y1421,"×",IF($E1421&gt;=$Y1421*設定!$C$5,"△","○")))</f>
        <v/>
      </c>
      <c r="AA1421" s="15">
        <f>IF($Z1421="","",IF($Z1421="×",0,IF($Z1421="○",ROUNDDOWN($E1421*設定!$C$4,0),ROUNDDOWN($E1421*ROUND((9*$Y1421-9*$E1421)/(10*$E1421),4),0))))</f>
        <v/>
      </c>
      <c r="AB1421" s="13" t="n"/>
      <c r="AC1421" s="15">
        <f>IF($B1421="","",IF($AB1421&lt;&gt;"",$AB1421,IF($AA1421="","",IF($AA1421&lt;=設定!$C$3,0,$AA1421))))</f>
        <v/>
      </c>
      <c r="AD1421" s="14">
        <f>IF($B1421="","",IF(AND($AE1421&lt;&gt;"",$AG1421="",$AJ1421=""),"保留中",IF($AJ1421&lt;&gt;"",IF(N($AC1421)&gt;0,"支給済","不支給"),IF($AC1421="","要確認",IF($AC1421=0,"不支給","未処理")))))</f>
        <v/>
      </c>
      <c r="AE1421" s="12" t="n"/>
      <c r="AF1421" s="11" t="n"/>
      <c r="AG1421" s="11" t="n"/>
      <c r="AH1421" s="11" t="n"/>
      <c r="AI1421" s="14">
        <f>IF(AND($AD1421="保留中",$AF1421&lt;&gt;""),TODAY()-$AF1421,"")</f>
        <v/>
      </c>
      <c r="AJ1421" s="12" t="n"/>
      <c r="AK1421" s="14">
        <f>IF($B1421="","",IF($AO1421="","対象年月が未入力／","")&amp;IF($B1421="","",IF($AN1421="","職員マスタに未登録の職員番号／",IF($Y1421="","標準報酬月額が未登録／","")&amp;IF(AND($AO1421&lt;&gt;"",OR(AND(INDEX(職員マスタ!$G$6:$G$405,$AN1421)&lt;&gt;"",INDEX(職員マスタ!$G$6:$G$405,$AN1421)&gt;EOMONTH($AO1421,0)),AND(INDEX(職員マスタ!$H$6:$H$405,$AN1421)&lt;&gt;"",INDEX(職員マスタ!$H$6:$H$405,$AN1421)&lt;$AO1421))),"対象月が時短期間外／","")&amp;IF(AND(INDEX(職員マスタ!$F$6:$F$405,$AN1421)&lt;&gt;"",$AO1421&lt;&gt;"",INDEX(職員マスタ!$F$6:$F$405,$AN1421)&lt;$AO1421),"対象月に子が2歳到達済／","")&amp;IF(AND($H1421&lt;&gt;"",INDEX(職員マスタ!$B$6:$B$405,$AN1421)&lt;&gt;"",SUBSTITUTE(SUBSTITUTE($H1421," ","")," ","")&lt;&gt;SUBSTITUTE(SUBSTITUTE(INDEX(職員マスタ!$B$6:$B$405,$AN1421)," ","")," ","")),"氏名がマスタと相違／","")&amp;IF(AND($Q1421&lt;&gt;"",INDEX(職員マスタ!$E$6:$E$405,$AN1421)&lt;&gt;"",$Q1421&lt;&gt;INDEX(職員マスタ!$E$6:$E$405,$AN1421)),"子の生年月日がマスタと相違／","")&amp;IF(AND($L1421&lt;&gt;"",INDEX(職員マスタ!$G$6:$G$405,$AN1421)&lt;&gt;"",$L1421&lt;&gt;INDEX(職員マスタ!$G$6:$G$405,$AN1421)),"時短開始日がマスタと相違／","")&amp;IF(AND($M1421&lt;&gt;"",INDEX(職員マスタ!$H$6:$H$405,$AN1421)&lt;&gt;"",$M1421&lt;&gt;INDEX(職員マスタ!$H$6:$H$405,$AN1421)),"時短終了日がマスタと相違／","")))&amp;IF(AND($B1421&lt;&gt;"",$E1421=""),"報酬額が未入力／","")&amp;IF(N($U1421)&gt;0,"申請書に入力エラーが残っています／","")&amp;IF(AND($B1421&lt;&gt;"",$AO1421&lt;&gt;""),IF(COUNTIFS($B$6:$B$3005,$B1421,$C$6:$C$3005,$C1421,$D$6:$D$3005,$D1421)&gt;1,"同じ月の請求が重複しています／",""),"")&amp;IF(AND(N($E1421)&gt;0,$Z1421&lt;&gt;"",$Z1421&lt;&gt;"×",$AC1421=0,$AB1421=""),"計算額が下限以下のため不支給／",""))</f>
        <v/>
      </c>
      <c r="AL1421" s="12" t="n"/>
      <c r="AM1421" s="14">
        <f>IF($AD1421="保留中",COUNTIF($AD$6:$AD1421,"保留中"),"")</f>
        <v/>
      </c>
      <c r="AN1421" s="14">
        <f>IF($AO1421="","",IF(SUMPRODUCT(MAX((職員マスタ!$A$6:$A$405=$B1421)*(((職員マスタ!$G$6:$G$405="")+(職員マスタ!$G$6:$G$405&lt;=EOMONTH($AO1421,0)))&gt;0)*(((職員マスタ!$H$6:$H$405="")+(職員マスタ!$H$6:$H$405&gt;=$AO1421))&gt;0)*(ROW(職員マスタ!$A$6:$A$405)-5)))&gt;0,SUMPRODUCT(MAX((職員マスタ!$A$6:$A$405=$B1421)*(((職員マスタ!$G$6:$G$405="")+(職員マスタ!$G$6:$G$405&lt;=EOMONTH($AO1421,0)))&gt;0)*(((職員マスタ!$H$6:$H$405="")+(職員マスタ!$H$6:$H$405&gt;=$AO1421))&gt;0)*(ROW(職員マスタ!$A$6:$A$405)-5))),IFERROR(MATCH($B1421,職員マスタ!$A$6:$A$405,0),"")))</f>
        <v/>
      </c>
      <c r="AO1421" s="16">
        <f>IF(OR($B1421="",$C1421="",$D1421=""),"",DATE($C1421+2018,$D1421,1))</f>
        <v/>
      </c>
    </row>
    <row r="1422">
      <c r="A1422" s="11" t="n"/>
      <c r="B1422" s="12" t="n"/>
      <c r="C1422" s="12" t="n"/>
      <c r="D1422" s="12" t="n"/>
      <c r="E1422" s="13" t="n"/>
      <c r="F1422" s="12" t="n"/>
      <c r="G1422" s="13" t="n"/>
      <c r="H1422" s="12" t="n"/>
      <c r="I1422" s="12" t="n"/>
      <c r="J1422" s="12" t="n"/>
      <c r="K1422" s="12" t="n"/>
      <c r="L1422" s="11" t="n"/>
      <c r="M1422" s="11" t="n"/>
      <c r="N1422" s="11" t="n"/>
      <c r="O1422" s="11" t="n"/>
      <c r="P1422" s="12" t="n"/>
      <c r="Q1422" s="11" t="n"/>
      <c r="R1422" s="12" t="n"/>
      <c r="S1422" s="11" t="n"/>
      <c r="T1422" s="12" t="n"/>
      <c r="U1422" s="12" t="n"/>
      <c r="V1422" s="14">
        <f>IF($AN1422="",IF($B1422="","",$H1422),IF(INDEX(職員マスタ!$B$6:$B$405,$AN1422)="",$H1422,INDEX(職員マスタ!$B$6:$B$405,$AN1422)))</f>
        <v/>
      </c>
      <c r="W1422" s="14">
        <f>IF($AN1422="",IF($B1422="","",$R1422),IF(INDEX(職員マスタ!$C$6:$C$405,$AN1422)="",$R1422,INDEX(職員マスタ!$C$6:$C$405,$AN1422)))</f>
        <v/>
      </c>
      <c r="X1422" s="14">
        <f>IF($AO1422="","","R"&amp;$C1422&amp;"."&amp;$D1422)</f>
        <v/>
      </c>
      <c r="Y1422" s="15">
        <f>IF($AN1422="","",IF(INDEX(職員マスタ!$K$6:$K$405,$AN1422)="","",INDEX(職員マスタ!$K$6:$K$405,$AN1422)))</f>
        <v/>
      </c>
      <c r="Z1422" s="14">
        <f>IF(OR($E1422="",$Y1422=""),"",IF($E1422&gt;=$Y1422,"×",IF($E1422&gt;=$Y1422*設定!$C$5,"△","○")))</f>
        <v/>
      </c>
      <c r="AA1422" s="15">
        <f>IF($Z1422="","",IF($Z1422="×",0,IF($Z1422="○",ROUNDDOWN($E1422*設定!$C$4,0),ROUNDDOWN($E1422*ROUND((9*$Y1422-9*$E1422)/(10*$E1422),4),0))))</f>
        <v/>
      </c>
      <c r="AB1422" s="13" t="n"/>
      <c r="AC1422" s="15">
        <f>IF($B1422="","",IF($AB1422&lt;&gt;"",$AB1422,IF($AA1422="","",IF($AA1422&lt;=設定!$C$3,0,$AA1422))))</f>
        <v/>
      </c>
      <c r="AD1422" s="14">
        <f>IF($B1422="","",IF(AND($AE1422&lt;&gt;"",$AG1422="",$AJ1422=""),"保留中",IF($AJ1422&lt;&gt;"",IF(N($AC1422)&gt;0,"支給済","不支給"),IF($AC1422="","要確認",IF($AC1422=0,"不支給","未処理")))))</f>
        <v/>
      </c>
      <c r="AE1422" s="12" t="n"/>
      <c r="AF1422" s="11" t="n"/>
      <c r="AG1422" s="11" t="n"/>
      <c r="AH1422" s="11" t="n"/>
      <c r="AI1422" s="14">
        <f>IF(AND($AD1422="保留中",$AF1422&lt;&gt;""),TODAY()-$AF1422,"")</f>
        <v/>
      </c>
      <c r="AJ1422" s="12" t="n"/>
      <c r="AK1422" s="14">
        <f>IF($B1422="","",IF($AO1422="","対象年月が未入力／","")&amp;IF($B1422="","",IF($AN1422="","職員マスタに未登録の職員番号／",IF($Y1422="","標準報酬月額が未登録／","")&amp;IF(AND($AO1422&lt;&gt;"",OR(AND(INDEX(職員マスタ!$G$6:$G$405,$AN1422)&lt;&gt;"",INDEX(職員マスタ!$G$6:$G$405,$AN1422)&gt;EOMONTH($AO1422,0)),AND(INDEX(職員マスタ!$H$6:$H$405,$AN1422)&lt;&gt;"",INDEX(職員マスタ!$H$6:$H$405,$AN1422)&lt;$AO1422))),"対象月が時短期間外／","")&amp;IF(AND(INDEX(職員マスタ!$F$6:$F$405,$AN1422)&lt;&gt;"",$AO1422&lt;&gt;"",INDEX(職員マスタ!$F$6:$F$405,$AN1422)&lt;$AO1422),"対象月に子が2歳到達済／","")&amp;IF(AND($H1422&lt;&gt;"",INDEX(職員マスタ!$B$6:$B$405,$AN1422)&lt;&gt;"",SUBSTITUTE(SUBSTITUTE($H1422," ","")," ","")&lt;&gt;SUBSTITUTE(SUBSTITUTE(INDEX(職員マスタ!$B$6:$B$405,$AN1422)," ","")," ","")),"氏名がマスタと相違／","")&amp;IF(AND($Q1422&lt;&gt;"",INDEX(職員マスタ!$E$6:$E$405,$AN1422)&lt;&gt;"",$Q1422&lt;&gt;INDEX(職員マスタ!$E$6:$E$405,$AN1422)),"子の生年月日がマスタと相違／","")&amp;IF(AND($L1422&lt;&gt;"",INDEX(職員マスタ!$G$6:$G$405,$AN1422)&lt;&gt;"",$L1422&lt;&gt;INDEX(職員マスタ!$G$6:$G$405,$AN1422)),"時短開始日がマスタと相違／","")&amp;IF(AND($M1422&lt;&gt;"",INDEX(職員マスタ!$H$6:$H$405,$AN1422)&lt;&gt;"",$M1422&lt;&gt;INDEX(職員マスタ!$H$6:$H$405,$AN1422)),"時短終了日がマスタと相違／","")))&amp;IF(AND($B1422&lt;&gt;"",$E1422=""),"報酬額が未入力／","")&amp;IF(N($U1422)&gt;0,"申請書に入力エラーが残っています／","")&amp;IF(AND($B1422&lt;&gt;"",$AO1422&lt;&gt;""),IF(COUNTIFS($B$6:$B$3005,$B1422,$C$6:$C$3005,$C1422,$D$6:$D$3005,$D1422)&gt;1,"同じ月の請求が重複しています／",""),"")&amp;IF(AND(N($E1422)&gt;0,$Z1422&lt;&gt;"",$Z1422&lt;&gt;"×",$AC1422=0,$AB1422=""),"計算額が下限以下のため不支給／",""))</f>
        <v/>
      </c>
      <c r="AL1422" s="12" t="n"/>
      <c r="AM1422" s="14">
        <f>IF($AD1422="保留中",COUNTIF($AD$6:$AD1422,"保留中"),"")</f>
        <v/>
      </c>
      <c r="AN1422" s="14">
        <f>IF($AO1422="","",IF(SUMPRODUCT(MAX((職員マスタ!$A$6:$A$405=$B1422)*(((職員マスタ!$G$6:$G$405="")+(職員マスタ!$G$6:$G$405&lt;=EOMONTH($AO1422,0)))&gt;0)*(((職員マスタ!$H$6:$H$405="")+(職員マスタ!$H$6:$H$405&gt;=$AO1422))&gt;0)*(ROW(職員マスタ!$A$6:$A$405)-5)))&gt;0,SUMPRODUCT(MAX((職員マスタ!$A$6:$A$405=$B1422)*(((職員マスタ!$G$6:$G$405="")+(職員マスタ!$G$6:$G$405&lt;=EOMONTH($AO1422,0)))&gt;0)*(((職員マスタ!$H$6:$H$405="")+(職員マスタ!$H$6:$H$405&gt;=$AO1422))&gt;0)*(ROW(職員マスタ!$A$6:$A$405)-5))),IFERROR(MATCH($B1422,職員マスタ!$A$6:$A$405,0),"")))</f>
        <v/>
      </c>
      <c r="AO1422" s="16">
        <f>IF(OR($B1422="",$C1422="",$D1422=""),"",DATE($C1422+2018,$D1422,1))</f>
        <v/>
      </c>
    </row>
    <row r="1423">
      <c r="A1423" s="11" t="n"/>
      <c r="B1423" s="12" t="n"/>
      <c r="C1423" s="12" t="n"/>
      <c r="D1423" s="12" t="n"/>
      <c r="E1423" s="13" t="n"/>
      <c r="F1423" s="12" t="n"/>
      <c r="G1423" s="13" t="n"/>
      <c r="H1423" s="12" t="n"/>
      <c r="I1423" s="12" t="n"/>
      <c r="J1423" s="12" t="n"/>
      <c r="K1423" s="12" t="n"/>
      <c r="L1423" s="11" t="n"/>
      <c r="M1423" s="11" t="n"/>
      <c r="N1423" s="11" t="n"/>
      <c r="O1423" s="11" t="n"/>
      <c r="P1423" s="12" t="n"/>
      <c r="Q1423" s="11" t="n"/>
      <c r="R1423" s="12" t="n"/>
      <c r="S1423" s="11" t="n"/>
      <c r="T1423" s="12" t="n"/>
      <c r="U1423" s="12" t="n"/>
      <c r="V1423" s="14">
        <f>IF($AN1423="",IF($B1423="","",$H1423),IF(INDEX(職員マスタ!$B$6:$B$405,$AN1423)="",$H1423,INDEX(職員マスタ!$B$6:$B$405,$AN1423)))</f>
        <v/>
      </c>
      <c r="W1423" s="14">
        <f>IF($AN1423="",IF($B1423="","",$R1423),IF(INDEX(職員マスタ!$C$6:$C$405,$AN1423)="",$R1423,INDEX(職員マスタ!$C$6:$C$405,$AN1423)))</f>
        <v/>
      </c>
      <c r="X1423" s="14">
        <f>IF($AO1423="","","R"&amp;$C1423&amp;"."&amp;$D1423)</f>
        <v/>
      </c>
      <c r="Y1423" s="15">
        <f>IF($AN1423="","",IF(INDEX(職員マスタ!$K$6:$K$405,$AN1423)="","",INDEX(職員マスタ!$K$6:$K$405,$AN1423)))</f>
        <v/>
      </c>
      <c r="Z1423" s="14">
        <f>IF(OR($E1423="",$Y1423=""),"",IF($E1423&gt;=$Y1423,"×",IF($E1423&gt;=$Y1423*設定!$C$5,"△","○")))</f>
        <v/>
      </c>
      <c r="AA1423" s="15">
        <f>IF($Z1423="","",IF($Z1423="×",0,IF($Z1423="○",ROUNDDOWN($E1423*設定!$C$4,0),ROUNDDOWN($E1423*ROUND((9*$Y1423-9*$E1423)/(10*$E1423),4),0))))</f>
        <v/>
      </c>
      <c r="AB1423" s="13" t="n"/>
      <c r="AC1423" s="15">
        <f>IF($B1423="","",IF($AB1423&lt;&gt;"",$AB1423,IF($AA1423="","",IF($AA1423&lt;=設定!$C$3,0,$AA1423))))</f>
        <v/>
      </c>
      <c r="AD1423" s="14">
        <f>IF($B1423="","",IF(AND($AE1423&lt;&gt;"",$AG1423="",$AJ1423=""),"保留中",IF($AJ1423&lt;&gt;"",IF(N($AC1423)&gt;0,"支給済","不支給"),IF($AC1423="","要確認",IF($AC1423=0,"不支給","未処理")))))</f>
        <v/>
      </c>
      <c r="AE1423" s="12" t="n"/>
      <c r="AF1423" s="11" t="n"/>
      <c r="AG1423" s="11" t="n"/>
      <c r="AH1423" s="11" t="n"/>
      <c r="AI1423" s="14">
        <f>IF(AND($AD1423="保留中",$AF1423&lt;&gt;""),TODAY()-$AF1423,"")</f>
        <v/>
      </c>
      <c r="AJ1423" s="12" t="n"/>
      <c r="AK1423" s="14">
        <f>IF($B1423="","",IF($AO1423="","対象年月が未入力／","")&amp;IF($B1423="","",IF($AN1423="","職員マスタに未登録の職員番号／",IF($Y1423="","標準報酬月額が未登録／","")&amp;IF(AND($AO1423&lt;&gt;"",OR(AND(INDEX(職員マスタ!$G$6:$G$405,$AN1423)&lt;&gt;"",INDEX(職員マスタ!$G$6:$G$405,$AN1423)&gt;EOMONTH($AO1423,0)),AND(INDEX(職員マスタ!$H$6:$H$405,$AN1423)&lt;&gt;"",INDEX(職員マスタ!$H$6:$H$405,$AN1423)&lt;$AO1423))),"対象月が時短期間外／","")&amp;IF(AND(INDEX(職員マスタ!$F$6:$F$405,$AN1423)&lt;&gt;"",$AO1423&lt;&gt;"",INDEX(職員マスタ!$F$6:$F$405,$AN1423)&lt;$AO1423),"対象月に子が2歳到達済／","")&amp;IF(AND($H1423&lt;&gt;"",INDEX(職員マスタ!$B$6:$B$405,$AN1423)&lt;&gt;"",SUBSTITUTE(SUBSTITUTE($H1423," ","")," ","")&lt;&gt;SUBSTITUTE(SUBSTITUTE(INDEX(職員マスタ!$B$6:$B$405,$AN1423)," ","")," ","")),"氏名がマスタと相違／","")&amp;IF(AND($Q1423&lt;&gt;"",INDEX(職員マスタ!$E$6:$E$405,$AN1423)&lt;&gt;"",$Q1423&lt;&gt;INDEX(職員マスタ!$E$6:$E$405,$AN1423)),"子の生年月日がマスタと相違／","")&amp;IF(AND($L1423&lt;&gt;"",INDEX(職員マスタ!$G$6:$G$405,$AN1423)&lt;&gt;"",$L1423&lt;&gt;INDEX(職員マスタ!$G$6:$G$405,$AN1423)),"時短開始日がマスタと相違／","")&amp;IF(AND($M1423&lt;&gt;"",INDEX(職員マスタ!$H$6:$H$405,$AN1423)&lt;&gt;"",$M1423&lt;&gt;INDEX(職員マスタ!$H$6:$H$405,$AN1423)),"時短終了日がマスタと相違／","")))&amp;IF(AND($B1423&lt;&gt;"",$E1423=""),"報酬額が未入力／","")&amp;IF(N($U1423)&gt;0,"申請書に入力エラーが残っています／","")&amp;IF(AND($B1423&lt;&gt;"",$AO1423&lt;&gt;""),IF(COUNTIFS($B$6:$B$3005,$B1423,$C$6:$C$3005,$C1423,$D$6:$D$3005,$D1423)&gt;1,"同じ月の請求が重複しています／",""),"")&amp;IF(AND(N($E1423)&gt;0,$Z1423&lt;&gt;"",$Z1423&lt;&gt;"×",$AC1423=0,$AB1423=""),"計算額が下限以下のため不支給／",""))</f>
        <v/>
      </c>
      <c r="AL1423" s="12" t="n"/>
      <c r="AM1423" s="14">
        <f>IF($AD1423="保留中",COUNTIF($AD$6:$AD1423,"保留中"),"")</f>
        <v/>
      </c>
      <c r="AN1423" s="14">
        <f>IF($AO1423="","",IF(SUMPRODUCT(MAX((職員マスタ!$A$6:$A$405=$B1423)*(((職員マスタ!$G$6:$G$405="")+(職員マスタ!$G$6:$G$405&lt;=EOMONTH($AO1423,0)))&gt;0)*(((職員マスタ!$H$6:$H$405="")+(職員マスタ!$H$6:$H$405&gt;=$AO1423))&gt;0)*(ROW(職員マスタ!$A$6:$A$405)-5)))&gt;0,SUMPRODUCT(MAX((職員マスタ!$A$6:$A$405=$B1423)*(((職員マスタ!$G$6:$G$405="")+(職員マスタ!$G$6:$G$405&lt;=EOMONTH($AO1423,0)))&gt;0)*(((職員マスタ!$H$6:$H$405="")+(職員マスタ!$H$6:$H$405&gt;=$AO1423))&gt;0)*(ROW(職員マスタ!$A$6:$A$405)-5))),IFERROR(MATCH($B1423,職員マスタ!$A$6:$A$405,0),"")))</f>
        <v/>
      </c>
      <c r="AO1423" s="16">
        <f>IF(OR($B1423="",$C1423="",$D1423=""),"",DATE($C1423+2018,$D1423,1))</f>
        <v/>
      </c>
    </row>
    <row r="1424">
      <c r="A1424" s="11" t="n"/>
      <c r="B1424" s="12" t="n"/>
      <c r="C1424" s="12" t="n"/>
      <c r="D1424" s="12" t="n"/>
      <c r="E1424" s="13" t="n"/>
      <c r="F1424" s="12" t="n"/>
      <c r="G1424" s="13" t="n"/>
      <c r="H1424" s="12" t="n"/>
      <c r="I1424" s="12" t="n"/>
      <c r="J1424" s="12" t="n"/>
      <c r="K1424" s="12" t="n"/>
      <c r="L1424" s="11" t="n"/>
      <c r="M1424" s="11" t="n"/>
      <c r="N1424" s="11" t="n"/>
      <c r="O1424" s="11" t="n"/>
      <c r="P1424" s="12" t="n"/>
      <c r="Q1424" s="11" t="n"/>
      <c r="R1424" s="12" t="n"/>
      <c r="S1424" s="11" t="n"/>
      <c r="T1424" s="12" t="n"/>
      <c r="U1424" s="12" t="n"/>
      <c r="V1424" s="14">
        <f>IF($AN1424="",IF($B1424="","",$H1424),IF(INDEX(職員マスタ!$B$6:$B$405,$AN1424)="",$H1424,INDEX(職員マスタ!$B$6:$B$405,$AN1424)))</f>
        <v/>
      </c>
      <c r="W1424" s="14">
        <f>IF($AN1424="",IF($B1424="","",$R1424),IF(INDEX(職員マスタ!$C$6:$C$405,$AN1424)="",$R1424,INDEX(職員マスタ!$C$6:$C$405,$AN1424)))</f>
        <v/>
      </c>
      <c r="X1424" s="14">
        <f>IF($AO1424="","","R"&amp;$C1424&amp;"."&amp;$D1424)</f>
        <v/>
      </c>
      <c r="Y1424" s="15">
        <f>IF($AN1424="","",IF(INDEX(職員マスタ!$K$6:$K$405,$AN1424)="","",INDEX(職員マスタ!$K$6:$K$405,$AN1424)))</f>
        <v/>
      </c>
      <c r="Z1424" s="14">
        <f>IF(OR($E1424="",$Y1424=""),"",IF($E1424&gt;=$Y1424,"×",IF($E1424&gt;=$Y1424*設定!$C$5,"△","○")))</f>
        <v/>
      </c>
      <c r="AA1424" s="15">
        <f>IF($Z1424="","",IF($Z1424="×",0,IF($Z1424="○",ROUNDDOWN($E1424*設定!$C$4,0),ROUNDDOWN($E1424*ROUND((9*$Y1424-9*$E1424)/(10*$E1424),4),0))))</f>
        <v/>
      </c>
      <c r="AB1424" s="13" t="n"/>
      <c r="AC1424" s="15">
        <f>IF($B1424="","",IF($AB1424&lt;&gt;"",$AB1424,IF($AA1424="","",IF($AA1424&lt;=設定!$C$3,0,$AA1424))))</f>
        <v/>
      </c>
      <c r="AD1424" s="14">
        <f>IF($B1424="","",IF(AND($AE1424&lt;&gt;"",$AG1424="",$AJ1424=""),"保留中",IF($AJ1424&lt;&gt;"",IF(N($AC1424)&gt;0,"支給済","不支給"),IF($AC1424="","要確認",IF($AC1424=0,"不支給","未処理")))))</f>
        <v/>
      </c>
      <c r="AE1424" s="12" t="n"/>
      <c r="AF1424" s="11" t="n"/>
      <c r="AG1424" s="11" t="n"/>
      <c r="AH1424" s="11" t="n"/>
      <c r="AI1424" s="14">
        <f>IF(AND($AD1424="保留中",$AF1424&lt;&gt;""),TODAY()-$AF1424,"")</f>
        <v/>
      </c>
      <c r="AJ1424" s="12" t="n"/>
      <c r="AK1424" s="14">
        <f>IF($B1424="","",IF($AO1424="","対象年月が未入力／","")&amp;IF($B1424="","",IF($AN1424="","職員マスタに未登録の職員番号／",IF($Y1424="","標準報酬月額が未登録／","")&amp;IF(AND($AO1424&lt;&gt;"",OR(AND(INDEX(職員マスタ!$G$6:$G$405,$AN1424)&lt;&gt;"",INDEX(職員マスタ!$G$6:$G$405,$AN1424)&gt;EOMONTH($AO1424,0)),AND(INDEX(職員マスタ!$H$6:$H$405,$AN1424)&lt;&gt;"",INDEX(職員マスタ!$H$6:$H$405,$AN1424)&lt;$AO1424))),"対象月が時短期間外／","")&amp;IF(AND(INDEX(職員マスタ!$F$6:$F$405,$AN1424)&lt;&gt;"",$AO1424&lt;&gt;"",INDEX(職員マスタ!$F$6:$F$405,$AN1424)&lt;$AO1424),"対象月に子が2歳到達済／","")&amp;IF(AND($H1424&lt;&gt;"",INDEX(職員マスタ!$B$6:$B$405,$AN1424)&lt;&gt;"",SUBSTITUTE(SUBSTITUTE($H1424," ","")," ","")&lt;&gt;SUBSTITUTE(SUBSTITUTE(INDEX(職員マスタ!$B$6:$B$405,$AN1424)," ","")," ","")),"氏名がマスタと相違／","")&amp;IF(AND($Q1424&lt;&gt;"",INDEX(職員マスタ!$E$6:$E$405,$AN1424)&lt;&gt;"",$Q1424&lt;&gt;INDEX(職員マスタ!$E$6:$E$405,$AN1424)),"子の生年月日がマスタと相違／","")&amp;IF(AND($L1424&lt;&gt;"",INDEX(職員マスタ!$G$6:$G$405,$AN1424)&lt;&gt;"",$L1424&lt;&gt;INDEX(職員マスタ!$G$6:$G$405,$AN1424)),"時短開始日がマスタと相違／","")&amp;IF(AND($M1424&lt;&gt;"",INDEX(職員マスタ!$H$6:$H$405,$AN1424)&lt;&gt;"",$M1424&lt;&gt;INDEX(職員マスタ!$H$6:$H$405,$AN1424)),"時短終了日がマスタと相違／","")))&amp;IF(AND($B1424&lt;&gt;"",$E1424=""),"報酬額が未入力／","")&amp;IF(N($U1424)&gt;0,"申請書に入力エラーが残っています／","")&amp;IF(AND($B1424&lt;&gt;"",$AO1424&lt;&gt;""),IF(COUNTIFS($B$6:$B$3005,$B1424,$C$6:$C$3005,$C1424,$D$6:$D$3005,$D1424)&gt;1,"同じ月の請求が重複しています／",""),"")&amp;IF(AND(N($E1424)&gt;0,$Z1424&lt;&gt;"",$Z1424&lt;&gt;"×",$AC1424=0,$AB1424=""),"計算額が下限以下のため不支給／",""))</f>
        <v/>
      </c>
      <c r="AL1424" s="12" t="n"/>
      <c r="AM1424" s="14">
        <f>IF($AD1424="保留中",COUNTIF($AD$6:$AD1424,"保留中"),"")</f>
        <v/>
      </c>
      <c r="AN1424" s="14">
        <f>IF($AO1424="","",IF(SUMPRODUCT(MAX((職員マスタ!$A$6:$A$405=$B1424)*(((職員マスタ!$G$6:$G$405="")+(職員マスタ!$G$6:$G$405&lt;=EOMONTH($AO1424,0)))&gt;0)*(((職員マスタ!$H$6:$H$405="")+(職員マスタ!$H$6:$H$405&gt;=$AO1424))&gt;0)*(ROW(職員マスタ!$A$6:$A$405)-5)))&gt;0,SUMPRODUCT(MAX((職員マスタ!$A$6:$A$405=$B1424)*(((職員マスタ!$G$6:$G$405="")+(職員マスタ!$G$6:$G$405&lt;=EOMONTH($AO1424,0)))&gt;0)*(((職員マスタ!$H$6:$H$405="")+(職員マスタ!$H$6:$H$405&gt;=$AO1424))&gt;0)*(ROW(職員マスタ!$A$6:$A$405)-5))),IFERROR(MATCH($B1424,職員マスタ!$A$6:$A$405,0),"")))</f>
        <v/>
      </c>
      <c r="AO1424" s="16">
        <f>IF(OR($B1424="",$C1424="",$D1424=""),"",DATE($C1424+2018,$D1424,1))</f>
        <v/>
      </c>
    </row>
    <row r="1425">
      <c r="A1425" s="11" t="n"/>
      <c r="B1425" s="12" t="n"/>
      <c r="C1425" s="12" t="n"/>
      <c r="D1425" s="12" t="n"/>
      <c r="E1425" s="13" t="n"/>
      <c r="F1425" s="12" t="n"/>
      <c r="G1425" s="13" t="n"/>
      <c r="H1425" s="12" t="n"/>
      <c r="I1425" s="12" t="n"/>
      <c r="J1425" s="12" t="n"/>
      <c r="K1425" s="12" t="n"/>
      <c r="L1425" s="11" t="n"/>
      <c r="M1425" s="11" t="n"/>
      <c r="N1425" s="11" t="n"/>
      <c r="O1425" s="11" t="n"/>
      <c r="P1425" s="12" t="n"/>
      <c r="Q1425" s="11" t="n"/>
      <c r="R1425" s="12" t="n"/>
      <c r="S1425" s="11" t="n"/>
      <c r="T1425" s="12" t="n"/>
      <c r="U1425" s="12" t="n"/>
      <c r="V1425" s="14">
        <f>IF($AN1425="",IF($B1425="","",$H1425),IF(INDEX(職員マスタ!$B$6:$B$405,$AN1425)="",$H1425,INDEX(職員マスタ!$B$6:$B$405,$AN1425)))</f>
        <v/>
      </c>
      <c r="W1425" s="14">
        <f>IF($AN1425="",IF($B1425="","",$R1425),IF(INDEX(職員マスタ!$C$6:$C$405,$AN1425)="",$R1425,INDEX(職員マスタ!$C$6:$C$405,$AN1425)))</f>
        <v/>
      </c>
      <c r="X1425" s="14">
        <f>IF($AO1425="","","R"&amp;$C1425&amp;"."&amp;$D1425)</f>
        <v/>
      </c>
      <c r="Y1425" s="15">
        <f>IF($AN1425="","",IF(INDEX(職員マスタ!$K$6:$K$405,$AN1425)="","",INDEX(職員マスタ!$K$6:$K$405,$AN1425)))</f>
        <v/>
      </c>
      <c r="Z1425" s="14">
        <f>IF(OR($E1425="",$Y1425=""),"",IF($E1425&gt;=$Y1425,"×",IF($E1425&gt;=$Y1425*設定!$C$5,"△","○")))</f>
        <v/>
      </c>
      <c r="AA1425" s="15">
        <f>IF($Z1425="","",IF($Z1425="×",0,IF($Z1425="○",ROUNDDOWN($E1425*設定!$C$4,0),ROUNDDOWN($E1425*ROUND((9*$Y1425-9*$E1425)/(10*$E1425),4),0))))</f>
        <v/>
      </c>
      <c r="AB1425" s="13" t="n"/>
      <c r="AC1425" s="15">
        <f>IF($B1425="","",IF($AB1425&lt;&gt;"",$AB1425,IF($AA1425="","",IF($AA1425&lt;=設定!$C$3,0,$AA1425))))</f>
        <v/>
      </c>
      <c r="AD1425" s="14">
        <f>IF($B1425="","",IF(AND($AE1425&lt;&gt;"",$AG1425="",$AJ1425=""),"保留中",IF($AJ1425&lt;&gt;"",IF(N($AC1425)&gt;0,"支給済","不支給"),IF($AC1425="","要確認",IF($AC1425=0,"不支給","未処理")))))</f>
        <v/>
      </c>
      <c r="AE1425" s="12" t="n"/>
      <c r="AF1425" s="11" t="n"/>
      <c r="AG1425" s="11" t="n"/>
      <c r="AH1425" s="11" t="n"/>
      <c r="AI1425" s="14">
        <f>IF(AND($AD1425="保留中",$AF1425&lt;&gt;""),TODAY()-$AF1425,"")</f>
        <v/>
      </c>
      <c r="AJ1425" s="12" t="n"/>
      <c r="AK1425" s="14">
        <f>IF($B1425="","",IF($AO1425="","対象年月が未入力／","")&amp;IF($B1425="","",IF($AN1425="","職員マスタに未登録の職員番号／",IF($Y1425="","標準報酬月額が未登録／","")&amp;IF(AND($AO1425&lt;&gt;"",OR(AND(INDEX(職員マスタ!$G$6:$G$405,$AN1425)&lt;&gt;"",INDEX(職員マスタ!$G$6:$G$405,$AN1425)&gt;EOMONTH($AO1425,0)),AND(INDEX(職員マスタ!$H$6:$H$405,$AN1425)&lt;&gt;"",INDEX(職員マスタ!$H$6:$H$405,$AN1425)&lt;$AO1425))),"対象月が時短期間外／","")&amp;IF(AND(INDEX(職員マスタ!$F$6:$F$405,$AN1425)&lt;&gt;"",$AO1425&lt;&gt;"",INDEX(職員マスタ!$F$6:$F$405,$AN1425)&lt;$AO1425),"対象月に子が2歳到達済／","")&amp;IF(AND($H1425&lt;&gt;"",INDEX(職員マスタ!$B$6:$B$405,$AN1425)&lt;&gt;"",SUBSTITUTE(SUBSTITUTE($H1425," ","")," ","")&lt;&gt;SUBSTITUTE(SUBSTITUTE(INDEX(職員マスタ!$B$6:$B$405,$AN1425)," ","")," ","")),"氏名がマスタと相違／","")&amp;IF(AND($Q1425&lt;&gt;"",INDEX(職員マスタ!$E$6:$E$405,$AN1425)&lt;&gt;"",$Q1425&lt;&gt;INDEX(職員マスタ!$E$6:$E$405,$AN1425)),"子の生年月日がマスタと相違／","")&amp;IF(AND($L1425&lt;&gt;"",INDEX(職員マスタ!$G$6:$G$405,$AN1425)&lt;&gt;"",$L1425&lt;&gt;INDEX(職員マスタ!$G$6:$G$405,$AN1425)),"時短開始日がマスタと相違／","")&amp;IF(AND($M1425&lt;&gt;"",INDEX(職員マスタ!$H$6:$H$405,$AN1425)&lt;&gt;"",$M1425&lt;&gt;INDEX(職員マスタ!$H$6:$H$405,$AN1425)),"時短終了日がマスタと相違／","")))&amp;IF(AND($B1425&lt;&gt;"",$E1425=""),"報酬額が未入力／","")&amp;IF(N($U1425)&gt;0,"申請書に入力エラーが残っています／","")&amp;IF(AND($B1425&lt;&gt;"",$AO1425&lt;&gt;""),IF(COUNTIFS($B$6:$B$3005,$B1425,$C$6:$C$3005,$C1425,$D$6:$D$3005,$D1425)&gt;1,"同じ月の請求が重複しています／",""),"")&amp;IF(AND(N($E1425)&gt;0,$Z1425&lt;&gt;"",$Z1425&lt;&gt;"×",$AC1425=0,$AB1425=""),"計算額が下限以下のため不支給／",""))</f>
        <v/>
      </c>
      <c r="AL1425" s="12" t="n"/>
      <c r="AM1425" s="14">
        <f>IF($AD1425="保留中",COUNTIF($AD$6:$AD1425,"保留中"),"")</f>
        <v/>
      </c>
      <c r="AN1425" s="14">
        <f>IF($AO1425="","",IF(SUMPRODUCT(MAX((職員マスタ!$A$6:$A$405=$B1425)*(((職員マスタ!$G$6:$G$405="")+(職員マスタ!$G$6:$G$405&lt;=EOMONTH($AO1425,0)))&gt;0)*(((職員マスタ!$H$6:$H$405="")+(職員マスタ!$H$6:$H$405&gt;=$AO1425))&gt;0)*(ROW(職員マスタ!$A$6:$A$405)-5)))&gt;0,SUMPRODUCT(MAX((職員マスタ!$A$6:$A$405=$B1425)*(((職員マスタ!$G$6:$G$405="")+(職員マスタ!$G$6:$G$405&lt;=EOMONTH($AO1425,0)))&gt;0)*(((職員マスタ!$H$6:$H$405="")+(職員マスタ!$H$6:$H$405&gt;=$AO1425))&gt;0)*(ROW(職員マスタ!$A$6:$A$405)-5))),IFERROR(MATCH($B1425,職員マスタ!$A$6:$A$405,0),"")))</f>
        <v/>
      </c>
      <c r="AO1425" s="16">
        <f>IF(OR($B1425="",$C1425="",$D1425=""),"",DATE($C1425+2018,$D1425,1))</f>
        <v/>
      </c>
    </row>
    <row r="1426">
      <c r="A1426" s="11" t="n"/>
      <c r="B1426" s="12" t="n"/>
      <c r="C1426" s="12" t="n"/>
      <c r="D1426" s="12" t="n"/>
      <c r="E1426" s="13" t="n"/>
      <c r="F1426" s="12" t="n"/>
      <c r="G1426" s="13" t="n"/>
      <c r="H1426" s="12" t="n"/>
      <c r="I1426" s="12" t="n"/>
      <c r="J1426" s="12" t="n"/>
      <c r="K1426" s="12" t="n"/>
      <c r="L1426" s="11" t="n"/>
      <c r="M1426" s="11" t="n"/>
      <c r="N1426" s="11" t="n"/>
      <c r="O1426" s="11" t="n"/>
      <c r="P1426" s="12" t="n"/>
      <c r="Q1426" s="11" t="n"/>
      <c r="R1426" s="12" t="n"/>
      <c r="S1426" s="11" t="n"/>
      <c r="T1426" s="12" t="n"/>
      <c r="U1426" s="12" t="n"/>
      <c r="V1426" s="14">
        <f>IF($AN1426="",IF($B1426="","",$H1426),IF(INDEX(職員マスタ!$B$6:$B$405,$AN1426)="",$H1426,INDEX(職員マスタ!$B$6:$B$405,$AN1426)))</f>
        <v/>
      </c>
      <c r="W1426" s="14">
        <f>IF($AN1426="",IF($B1426="","",$R1426),IF(INDEX(職員マスタ!$C$6:$C$405,$AN1426)="",$R1426,INDEX(職員マスタ!$C$6:$C$405,$AN1426)))</f>
        <v/>
      </c>
      <c r="X1426" s="14">
        <f>IF($AO1426="","","R"&amp;$C1426&amp;"."&amp;$D1426)</f>
        <v/>
      </c>
      <c r="Y1426" s="15">
        <f>IF($AN1426="","",IF(INDEX(職員マスタ!$K$6:$K$405,$AN1426)="","",INDEX(職員マスタ!$K$6:$K$405,$AN1426)))</f>
        <v/>
      </c>
      <c r="Z1426" s="14">
        <f>IF(OR($E1426="",$Y1426=""),"",IF($E1426&gt;=$Y1426,"×",IF($E1426&gt;=$Y1426*設定!$C$5,"△","○")))</f>
        <v/>
      </c>
      <c r="AA1426" s="15">
        <f>IF($Z1426="","",IF($Z1426="×",0,IF($Z1426="○",ROUNDDOWN($E1426*設定!$C$4,0),ROUNDDOWN($E1426*ROUND((9*$Y1426-9*$E1426)/(10*$E1426),4),0))))</f>
        <v/>
      </c>
      <c r="AB1426" s="13" t="n"/>
      <c r="AC1426" s="15">
        <f>IF($B1426="","",IF($AB1426&lt;&gt;"",$AB1426,IF($AA1426="","",IF($AA1426&lt;=設定!$C$3,0,$AA1426))))</f>
        <v/>
      </c>
      <c r="AD1426" s="14">
        <f>IF($B1426="","",IF(AND($AE1426&lt;&gt;"",$AG1426="",$AJ1426=""),"保留中",IF($AJ1426&lt;&gt;"",IF(N($AC1426)&gt;0,"支給済","不支給"),IF($AC1426="","要確認",IF($AC1426=0,"不支給","未処理")))))</f>
        <v/>
      </c>
      <c r="AE1426" s="12" t="n"/>
      <c r="AF1426" s="11" t="n"/>
      <c r="AG1426" s="11" t="n"/>
      <c r="AH1426" s="11" t="n"/>
      <c r="AI1426" s="14">
        <f>IF(AND($AD1426="保留中",$AF1426&lt;&gt;""),TODAY()-$AF1426,"")</f>
        <v/>
      </c>
      <c r="AJ1426" s="12" t="n"/>
      <c r="AK1426" s="14">
        <f>IF($B1426="","",IF($AO1426="","対象年月が未入力／","")&amp;IF($B1426="","",IF($AN1426="","職員マスタに未登録の職員番号／",IF($Y1426="","標準報酬月額が未登録／","")&amp;IF(AND($AO1426&lt;&gt;"",OR(AND(INDEX(職員マスタ!$G$6:$G$405,$AN1426)&lt;&gt;"",INDEX(職員マスタ!$G$6:$G$405,$AN1426)&gt;EOMONTH($AO1426,0)),AND(INDEX(職員マスタ!$H$6:$H$405,$AN1426)&lt;&gt;"",INDEX(職員マスタ!$H$6:$H$405,$AN1426)&lt;$AO1426))),"対象月が時短期間外／","")&amp;IF(AND(INDEX(職員マスタ!$F$6:$F$405,$AN1426)&lt;&gt;"",$AO1426&lt;&gt;"",INDEX(職員マスタ!$F$6:$F$405,$AN1426)&lt;$AO1426),"対象月に子が2歳到達済／","")&amp;IF(AND($H1426&lt;&gt;"",INDEX(職員マスタ!$B$6:$B$405,$AN1426)&lt;&gt;"",SUBSTITUTE(SUBSTITUTE($H1426," ","")," ","")&lt;&gt;SUBSTITUTE(SUBSTITUTE(INDEX(職員マスタ!$B$6:$B$405,$AN1426)," ","")," ","")),"氏名がマスタと相違／","")&amp;IF(AND($Q1426&lt;&gt;"",INDEX(職員マスタ!$E$6:$E$405,$AN1426)&lt;&gt;"",$Q1426&lt;&gt;INDEX(職員マスタ!$E$6:$E$405,$AN1426)),"子の生年月日がマスタと相違／","")&amp;IF(AND($L1426&lt;&gt;"",INDEX(職員マスタ!$G$6:$G$405,$AN1426)&lt;&gt;"",$L1426&lt;&gt;INDEX(職員マスタ!$G$6:$G$405,$AN1426)),"時短開始日がマスタと相違／","")&amp;IF(AND($M1426&lt;&gt;"",INDEX(職員マスタ!$H$6:$H$405,$AN1426)&lt;&gt;"",$M1426&lt;&gt;INDEX(職員マスタ!$H$6:$H$405,$AN1426)),"時短終了日がマスタと相違／","")))&amp;IF(AND($B1426&lt;&gt;"",$E1426=""),"報酬額が未入力／","")&amp;IF(N($U1426)&gt;0,"申請書に入力エラーが残っています／","")&amp;IF(AND($B1426&lt;&gt;"",$AO1426&lt;&gt;""),IF(COUNTIFS($B$6:$B$3005,$B1426,$C$6:$C$3005,$C1426,$D$6:$D$3005,$D1426)&gt;1,"同じ月の請求が重複しています／",""),"")&amp;IF(AND(N($E1426)&gt;0,$Z1426&lt;&gt;"",$Z1426&lt;&gt;"×",$AC1426=0,$AB1426=""),"計算額が下限以下のため不支給／",""))</f>
        <v/>
      </c>
      <c r="AL1426" s="12" t="n"/>
      <c r="AM1426" s="14">
        <f>IF($AD1426="保留中",COUNTIF($AD$6:$AD1426,"保留中"),"")</f>
        <v/>
      </c>
      <c r="AN1426" s="14">
        <f>IF($AO1426="","",IF(SUMPRODUCT(MAX((職員マスタ!$A$6:$A$405=$B1426)*(((職員マスタ!$G$6:$G$405="")+(職員マスタ!$G$6:$G$405&lt;=EOMONTH($AO1426,0)))&gt;0)*(((職員マスタ!$H$6:$H$405="")+(職員マスタ!$H$6:$H$405&gt;=$AO1426))&gt;0)*(ROW(職員マスタ!$A$6:$A$405)-5)))&gt;0,SUMPRODUCT(MAX((職員マスタ!$A$6:$A$405=$B1426)*(((職員マスタ!$G$6:$G$405="")+(職員マスタ!$G$6:$G$405&lt;=EOMONTH($AO1426,0)))&gt;0)*(((職員マスタ!$H$6:$H$405="")+(職員マスタ!$H$6:$H$405&gt;=$AO1426))&gt;0)*(ROW(職員マスタ!$A$6:$A$405)-5))),IFERROR(MATCH($B1426,職員マスタ!$A$6:$A$405,0),"")))</f>
        <v/>
      </c>
      <c r="AO1426" s="16">
        <f>IF(OR($B1426="",$C1426="",$D1426=""),"",DATE($C1426+2018,$D1426,1))</f>
        <v/>
      </c>
    </row>
    <row r="1427">
      <c r="A1427" s="11" t="n"/>
      <c r="B1427" s="12" t="n"/>
      <c r="C1427" s="12" t="n"/>
      <c r="D1427" s="12" t="n"/>
      <c r="E1427" s="13" t="n"/>
      <c r="F1427" s="12" t="n"/>
      <c r="G1427" s="13" t="n"/>
      <c r="H1427" s="12" t="n"/>
      <c r="I1427" s="12" t="n"/>
      <c r="J1427" s="12" t="n"/>
      <c r="K1427" s="12" t="n"/>
      <c r="L1427" s="11" t="n"/>
      <c r="M1427" s="11" t="n"/>
      <c r="N1427" s="11" t="n"/>
      <c r="O1427" s="11" t="n"/>
      <c r="P1427" s="12" t="n"/>
      <c r="Q1427" s="11" t="n"/>
      <c r="R1427" s="12" t="n"/>
      <c r="S1427" s="11" t="n"/>
      <c r="T1427" s="12" t="n"/>
      <c r="U1427" s="12" t="n"/>
      <c r="V1427" s="14">
        <f>IF($AN1427="",IF($B1427="","",$H1427),IF(INDEX(職員マスタ!$B$6:$B$405,$AN1427)="",$H1427,INDEX(職員マスタ!$B$6:$B$405,$AN1427)))</f>
        <v/>
      </c>
      <c r="W1427" s="14">
        <f>IF($AN1427="",IF($B1427="","",$R1427),IF(INDEX(職員マスタ!$C$6:$C$405,$AN1427)="",$R1427,INDEX(職員マスタ!$C$6:$C$405,$AN1427)))</f>
        <v/>
      </c>
      <c r="X1427" s="14">
        <f>IF($AO1427="","","R"&amp;$C1427&amp;"."&amp;$D1427)</f>
        <v/>
      </c>
      <c r="Y1427" s="15">
        <f>IF($AN1427="","",IF(INDEX(職員マスタ!$K$6:$K$405,$AN1427)="","",INDEX(職員マスタ!$K$6:$K$405,$AN1427)))</f>
        <v/>
      </c>
      <c r="Z1427" s="14">
        <f>IF(OR($E1427="",$Y1427=""),"",IF($E1427&gt;=$Y1427,"×",IF($E1427&gt;=$Y1427*設定!$C$5,"△","○")))</f>
        <v/>
      </c>
      <c r="AA1427" s="15">
        <f>IF($Z1427="","",IF($Z1427="×",0,IF($Z1427="○",ROUNDDOWN($E1427*設定!$C$4,0),ROUNDDOWN($E1427*ROUND((9*$Y1427-9*$E1427)/(10*$E1427),4),0))))</f>
        <v/>
      </c>
      <c r="AB1427" s="13" t="n"/>
      <c r="AC1427" s="15">
        <f>IF($B1427="","",IF($AB1427&lt;&gt;"",$AB1427,IF($AA1427="","",IF($AA1427&lt;=設定!$C$3,0,$AA1427))))</f>
        <v/>
      </c>
      <c r="AD1427" s="14">
        <f>IF($B1427="","",IF(AND($AE1427&lt;&gt;"",$AG1427="",$AJ1427=""),"保留中",IF($AJ1427&lt;&gt;"",IF(N($AC1427)&gt;0,"支給済","不支給"),IF($AC1427="","要確認",IF($AC1427=0,"不支給","未処理")))))</f>
        <v/>
      </c>
      <c r="AE1427" s="12" t="n"/>
      <c r="AF1427" s="11" t="n"/>
      <c r="AG1427" s="11" t="n"/>
      <c r="AH1427" s="11" t="n"/>
      <c r="AI1427" s="14">
        <f>IF(AND($AD1427="保留中",$AF1427&lt;&gt;""),TODAY()-$AF1427,"")</f>
        <v/>
      </c>
      <c r="AJ1427" s="12" t="n"/>
      <c r="AK1427" s="14">
        <f>IF($B1427="","",IF($AO1427="","対象年月が未入力／","")&amp;IF($B1427="","",IF($AN1427="","職員マスタに未登録の職員番号／",IF($Y1427="","標準報酬月額が未登録／","")&amp;IF(AND($AO1427&lt;&gt;"",OR(AND(INDEX(職員マスタ!$G$6:$G$405,$AN1427)&lt;&gt;"",INDEX(職員マスタ!$G$6:$G$405,$AN1427)&gt;EOMONTH($AO1427,0)),AND(INDEX(職員マスタ!$H$6:$H$405,$AN1427)&lt;&gt;"",INDEX(職員マスタ!$H$6:$H$405,$AN1427)&lt;$AO1427))),"対象月が時短期間外／","")&amp;IF(AND(INDEX(職員マスタ!$F$6:$F$405,$AN1427)&lt;&gt;"",$AO1427&lt;&gt;"",INDEX(職員マスタ!$F$6:$F$405,$AN1427)&lt;$AO1427),"対象月に子が2歳到達済／","")&amp;IF(AND($H1427&lt;&gt;"",INDEX(職員マスタ!$B$6:$B$405,$AN1427)&lt;&gt;"",SUBSTITUTE(SUBSTITUTE($H1427," ","")," ","")&lt;&gt;SUBSTITUTE(SUBSTITUTE(INDEX(職員マスタ!$B$6:$B$405,$AN1427)," ","")," ","")),"氏名がマスタと相違／","")&amp;IF(AND($Q1427&lt;&gt;"",INDEX(職員マスタ!$E$6:$E$405,$AN1427)&lt;&gt;"",$Q1427&lt;&gt;INDEX(職員マスタ!$E$6:$E$405,$AN1427)),"子の生年月日がマスタと相違／","")&amp;IF(AND($L1427&lt;&gt;"",INDEX(職員マスタ!$G$6:$G$405,$AN1427)&lt;&gt;"",$L1427&lt;&gt;INDEX(職員マスタ!$G$6:$G$405,$AN1427)),"時短開始日がマスタと相違／","")&amp;IF(AND($M1427&lt;&gt;"",INDEX(職員マスタ!$H$6:$H$405,$AN1427)&lt;&gt;"",$M1427&lt;&gt;INDEX(職員マスタ!$H$6:$H$405,$AN1427)),"時短終了日がマスタと相違／","")))&amp;IF(AND($B1427&lt;&gt;"",$E1427=""),"報酬額が未入力／","")&amp;IF(N($U1427)&gt;0,"申請書に入力エラーが残っています／","")&amp;IF(AND($B1427&lt;&gt;"",$AO1427&lt;&gt;""),IF(COUNTIFS($B$6:$B$3005,$B1427,$C$6:$C$3005,$C1427,$D$6:$D$3005,$D1427)&gt;1,"同じ月の請求が重複しています／",""),"")&amp;IF(AND(N($E1427)&gt;0,$Z1427&lt;&gt;"",$Z1427&lt;&gt;"×",$AC1427=0,$AB1427=""),"計算額が下限以下のため不支給／",""))</f>
        <v/>
      </c>
      <c r="AL1427" s="12" t="n"/>
      <c r="AM1427" s="14">
        <f>IF($AD1427="保留中",COUNTIF($AD$6:$AD1427,"保留中"),"")</f>
        <v/>
      </c>
      <c r="AN1427" s="14">
        <f>IF($AO1427="","",IF(SUMPRODUCT(MAX((職員マスタ!$A$6:$A$405=$B1427)*(((職員マスタ!$G$6:$G$405="")+(職員マスタ!$G$6:$G$405&lt;=EOMONTH($AO1427,0)))&gt;0)*(((職員マスタ!$H$6:$H$405="")+(職員マスタ!$H$6:$H$405&gt;=$AO1427))&gt;0)*(ROW(職員マスタ!$A$6:$A$405)-5)))&gt;0,SUMPRODUCT(MAX((職員マスタ!$A$6:$A$405=$B1427)*(((職員マスタ!$G$6:$G$405="")+(職員マスタ!$G$6:$G$405&lt;=EOMONTH($AO1427,0)))&gt;0)*(((職員マスタ!$H$6:$H$405="")+(職員マスタ!$H$6:$H$405&gt;=$AO1427))&gt;0)*(ROW(職員マスタ!$A$6:$A$405)-5))),IFERROR(MATCH($B1427,職員マスタ!$A$6:$A$405,0),"")))</f>
        <v/>
      </c>
      <c r="AO1427" s="16">
        <f>IF(OR($B1427="",$C1427="",$D1427=""),"",DATE($C1427+2018,$D1427,1))</f>
        <v/>
      </c>
    </row>
    <row r="1428">
      <c r="A1428" s="11" t="n"/>
      <c r="B1428" s="12" t="n"/>
      <c r="C1428" s="12" t="n"/>
      <c r="D1428" s="12" t="n"/>
      <c r="E1428" s="13" t="n"/>
      <c r="F1428" s="12" t="n"/>
      <c r="G1428" s="13" t="n"/>
      <c r="H1428" s="12" t="n"/>
      <c r="I1428" s="12" t="n"/>
      <c r="J1428" s="12" t="n"/>
      <c r="K1428" s="12" t="n"/>
      <c r="L1428" s="11" t="n"/>
      <c r="M1428" s="11" t="n"/>
      <c r="N1428" s="11" t="n"/>
      <c r="O1428" s="11" t="n"/>
      <c r="P1428" s="12" t="n"/>
      <c r="Q1428" s="11" t="n"/>
      <c r="R1428" s="12" t="n"/>
      <c r="S1428" s="11" t="n"/>
      <c r="T1428" s="12" t="n"/>
      <c r="U1428" s="12" t="n"/>
      <c r="V1428" s="14">
        <f>IF($AN1428="",IF($B1428="","",$H1428),IF(INDEX(職員マスタ!$B$6:$B$405,$AN1428)="",$H1428,INDEX(職員マスタ!$B$6:$B$405,$AN1428)))</f>
        <v/>
      </c>
      <c r="W1428" s="14">
        <f>IF($AN1428="",IF($B1428="","",$R1428),IF(INDEX(職員マスタ!$C$6:$C$405,$AN1428)="",$R1428,INDEX(職員マスタ!$C$6:$C$405,$AN1428)))</f>
        <v/>
      </c>
      <c r="X1428" s="14">
        <f>IF($AO1428="","","R"&amp;$C1428&amp;"."&amp;$D1428)</f>
        <v/>
      </c>
      <c r="Y1428" s="15">
        <f>IF($AN1428="","",IF(INDEX(職員マスタ!$K$6:$K$405,$AN1428)="","",INDEX(職員マスタ!$K$6:$K$405,$AN1428)))</f>
        <v/>
      </c>
      <c r="Z1428" s="14">
        <f>IF(OR($E1428="",$Y1428=""),"",IF($E1428&gt;=$Y1428,"×",IF($E1428&gt;=$Y1428*設定!$C$5,"△","○")))</f>
        <v/>
      </c>
      <c r="AA1428" s="15">
        <f>IF($Z1428="","",IF($Z1428="×",0,IF($Z1428="○",ROUNDDOWN($E1428*設定!$C$4,0),ROUNDDOWN($E1428*ROUND((9*$Y1428-9*$E1428)/(10*$E1428),4),0))))</f>
        <v/>
      </c>
      <c r="AB1428" s="13" t="n"/>
      <c r="AC1428" s="15">
        <f>IF($B1428="","",IF($AB1428&lt;&gt;"",$AB1428,IF($AA1428="","",IF($AA1428&lt;=設定!$C$3,0,$AA1428))))</f>
        <v/>
      </c>
      <c r="AD1428" s="14">
        <f>IF($B1428="","",IF(AND($AE1428&lt;&gt;"",$AG1428="",$AJ1428=""),"保留中",IF($AJ1428&lt;&gt;"",IF(N($AC1428)&gt;0,"支給済","不支給"),IF($AC1428="","要確認",IF($AC1428=0,"不支給","未処理")))))</f>
        <v/>
      </c>
      <c r="AE1428" s="12" t="n"/>
      <c r="AF1428" s="11" t="n"/>
      <c r="AG1428" s="11" t="n"/>
      <c r="AH1428" s="11" t="n"/>
      <c r="AI1428" s="14">
        <f>IF(AND($AD1428="保留中",$AF1428&lt;&gt;""),TODAY()-$AF1428,"")</f>
        <v/>
      </c>
      <c r="AJ1428" s="12" t="n"/>
      <c r="AK1428" s="14">
        <f>IF($B1428="","",IF($AO1428="","対象年月が未入力／","")&amp;IF($B1428="","",IF($AN1428="","職員マスタに未登録の職員番号／",IF($Y1428="","標準報酬月額が未登録／","")&amp;IF(AND($AO1428&lt;&gt;"",OR(AND(INDEX(職員マスタ!$G$6:$G$405,$AN1428)&lt;&gt;"",INDEX(職員マスタ!$G$6:$G$405,$AN1428)&gt;EOMONTH($AO1428,0)),AND(INDEX(職員マスタ!$H$6:$H$405,$AN1428)&lt;&gt;"",INDEX(職員マスタ!$H$6:$H$405,$AN1428)&lt;$AO1428))),"対象月が時短期間外／","")&amp;IF(AND(INDEX(職員マスタ!$F$6:$F$405,$AN1428)&lt;&gt;"",$AO1428&lt;&gt;"",INDEX(職員マスタ!$F$6:$F$405,$AN1428)&lt;$AO1428),"対象月に子が2歳到達済／","")&amp;IF(AND($H1428&lt;&gt;"",INDEX(職員マスタ!$B$6:$B$405,$AN1428)&lt;&gt;"",SUBSTITUTE(SUBSTITUTE($H1428," ","")," ","")&lt;&gt;SUBSTITUTE(SUBSTITUTE(INDEX(職員マスタ!$B$6:$B$405,$AN1428)," ","")," ","")),"氏名がマスタと相違／","")&amp;IF(AND($Q1428&lt;&gt;"",INDEX(職員マスタ!$E$6:$E$405,$AN1428)&lt;&gt;"",$Q1428&lt;&gt;INDEX(職員マスタ!$E$6:$E$405,$AN1428)),"子の生年月日がマスタと相違／","")&amp;IF(AND($L1428&lt;&gt;"",INDEX(職員マスタ!$G$6:$G$405,$AN1428)&lt;&gt;"",$L1428&lt;&gt;INDEX(職員マスタ!$G$6:$G$405,$AN1428)),"時短開始日がマスタと相違／","")&amp;IF(AND($M1428&lt;&gt;"",INDEX(職員マスタ!$H$6:$H$405,$AN1428)&lt;&gt;"",$M1428&lt;&gt;INDEX(職員マスタ!$H$6:$H$405,$AN1428)),"時短終了日がマスタと相違／","")))&amp;IF(AND($B1428&lt;&gt;"",$E1428=""),"報酬額が未入力／","")&amp;IF(N($U1428)&gt;0,"申請書に入力エラーが残っています／","")&amp;IF(AND($B1428&lt;&gt;"",$AO1428&lt;&gt;""),IF(COUNTIFS($B$6:$B$3005,$B1428,$C$6:$C$3005,$C1428,$D$6:$D$3005,$D1428)&gt;1,"同じ月の請求が重複しています／",""),"")&amp;IF(AND(N($E1428)&gt;0,$Z1428&lt;&gt;"",$Z1428&lt;&gt;"×",$AC1428=0,$AB1428=""),"計算額が下限以下のため不支給／",""))</f>
        <v/>
      </c>
      <c r="AL1428" s="12" t="n"/>
      <c r="AM1428" s="14">
        <f>IF($AD1428="保留中",COUNTIF($AD$6:$AD1428,"保留中"),"")</f>
        <v/>
      </c>
      <c r="AN1428" s="14">
        <f>IF($AO1428="","",IF(SUMPRODUCT(MAX((職員マスタ!$A$6:$A$405=$B1428)*(((職員マスタ!$G$6:$G$405="")+(職員マスタ!$G$6:$G$405&lt;=EOMONTH($AO1428,0)))&gt;0)*(((職員マスタ!$H$6:$H$405="")+(職員マスタ!$H$6:$H$405&gt;=$AO1428))&gt;0)*(ROW(職員マスタ!$A$6:$A$405)-5)))&gt;0,SUMPRODUCT(MAX((職員マスタ!$A$6:$A$405=$B1428)*(((職員マスタ!$G$6:$G$405="")+(職員マスタ!$G$6:$G$405&lt;=EOMONTH($AO1428,0)))&gt;0)*(((職員マスタ!$H$6:$H$405="")+(職員マスタ!$H$6:$H$405&gt;=$AO1428))&gt;0)*(ROW(職員マスタ!$A$6:$A$405)-5))),IFERROR(MATCH($B1428,職員マスタ!$A$6:$A$405,0),"")))</f>
        <v/>
      </c>
      <c r="AO1428" s="16">
        <f>IF(OR($B1428="",$C1428="",$D1428=""),"",DATE($C1428+2018,$D1428,1))</f>
        <v/>
      </c>
    </row>
    <row r="1429">
      <c r="A1429" s="11" t="n"/>
      <c r="B1429" s="12" t="n"/>
      <c r="C1429" s="12" t="n"/>
      <c r="D1429" s="12" t="n"/>
      <c r="E1429" s="13" t="n"/>
      <c r="F1429" s="12" t="n"/>
      <c r="G1429" s="13" t="n"/>
      <c r="H1429" s="12" t="n"/>
      <c r="I1429" s="12" t="n"/>
      <c r="J1429" s="12" t="n"/>
      <c r="K1429" s="12" t="n"/>
      <c r="L1429" s="11" t="n"/>
      <c r="M1429" s="11" t="n"/>
      <c r="N1429" s="11" t="n"/>
      <c r="O1429" s="11" t="n"/>
      <c r="P1429" s="12" t="n"/>
      <c r="Q1429" s="11" t="n"/>
      <c r="R1429" s="12" t="n"/>
      <c r="S1429" s="11" t="n"/>
      <c r="T1429" s="12" t="n"/>
      <c r="U1429" s="12" t="n"/>
      <c r="V1429" s="14">
        <f>IF($AN1429="",IF($B1429="","",$H1429),IF(INDEX(職員マスタ!$B$6:$B$405,$AN1429)="",$H1429,INDEX(職員マスタ!$B$6:$B$405,$AN1429)))</f>
        <v/>
      </c>
      <c r="W1429" s="14">
        <f>IF($AN1429="",IF($B1429="","",$R1429),IF(INDEX(職員マスタ!$C$6:$C$405,$AN1429)="",$R1429,INDEX(職員マスタ!$C$6:$C$405,$AN1429)))</f>
        <v/>
      </c>
      <c r="X1429" s="14">
        <f>IF($AO1429="","","R"&amp;$C1429&amp;"."&amp;$D1429)</f>
        <v/>
      </c>
      <c r="Y1429" s="15">
        <f>IF($AN1429="","",IF(INDEX(職員マスタ!$K$6:$K$405,$AN1429)="","",INDEX(職員マスタ!$K$6:$K$405,$AN1429)))</f>
        <v/>
      </c>
      <c r="Z1429" s="14">
        <f>IF(OR($E1429="",$Y1429=""),"",IF($E1429&gt;=$Y1429,"×",IF($E1429&gt;=$Y1429*設定!$C$5,"△","○")))</f>
        <v/>
      </c>
      <c r="AA1429" s="15">
        <f>IF($Z1429="","",IF($Z1429="×",0,IF($Z1429="○",ROUNDDOWN($E1429*設定!$C$4,0),ROUNDDOWN($E1429*ROUND((9*$Y1429-9*$E1429)/(10*$E1429),4),0))))</f>
        <v/>
      </c>
      <c r="AB1429" s="13" t="n"/>
      <c r="AC1429" s="15">
        <f>IF($B1429="","",IF($AB1429&lt;&gt;"",$AB1429,IF($AA1429="","",IF($AA1429&lt;=設定!$C$3,0,$AA1429))))</f>
        <v/>
      </c>
      <c r="AD1429" s="14">
        <f>IF($B1429="","",IF(AND($AE1429&lt;&gt;"",$AG1429="",$AJ1429=""),"保留中",IF($AJ1429&lt;&gt;"",IF(N($AC1429)&gt;0,"支給済","不支給"),IF($AC1429="","要確認",IF($AC1429=0,"不支給","未処理")))))</f>
        <v/>
      </c>
      <c r="AE1429" s="12" t="n"/>
      <c r="AF1429" s="11" t="n"/>
      <c r="AG1429" s="11" t="n"/>
      <c r="AH1429" s="11" t="n"/>
      <c r="AI1429" s="14">
        <f>IF(AND($AD1429="保留中",$AF1429&lt;&gt;""),TODAY()-$AF1429,"")</f>
        <v/>
      </c>
      <c r="AJ1429" s="12" t="n"/>
      <c r="AK1429" s="14">
        <f>IF($B1429="","",IF($AO1429="","対象年月が未入力／","")&amp;IF($B1429="","",IF($AN1429="","職員マスタに未登録の職員番号／",IF($Y1429="","標準報酬月額が未登録／","")&amp;IF(AND($AO1429&lt;&gt;"",OR(AND(INDEX(職員マスタ!$G$6:$G$405,$AN1429)&lt;&gt;"",INDEX(職員マスタ!$G$6:$G$405,$AN1429)&gt;EOMONTH($AO1429,0)),AND(INDEX(職員マスタ!$H$6:$H$405,$AN1429)&lt;&gt;"",INDEX(職員マスタ!$H$6:$H$405,$AN1429)&lt;$AO1429))),"対象月が時短期間外／","")&amp;IF(AND(INDEX(職員マスタ!$F$6:$F$405,$AN1429)&lt;&gt;"",$AO1429&lt;&gt;"",INDEX(職員マスタ!$F$6:$F$405,$AN1429)&lt;$AO1429),"対象月に子が2歳到達済／","")&amp;IF(AND($H1429&lt;&gt;"",INDEX(職員マスタ!$B$6:$B$405,$AN1429)&lt;&gt;"",SUBSTITUTE(SUBSTITUTE($H1429," ","")," ","")&lt;&gt;SUBSTITUTE(SUBSTITUTE(INDEX(職員マスタ!$B$6:$B$405,$AN1429)," ","")," ","")),"氏名がマスタと相違／","")&amp;IF(AND($Q1429&lt;&gt;"",INDEX(職員マスタ!$E$6:$E$405,$AN1429)&lt;&gt;"",$Q1429&lt;&gt;INDEX(職員マスタ!$E$6:$E$405,$AN1429)),"子の生年月日がマスタと相違／","")&amp;IF(AND($L1429&lt;&gt;"",INDEX(職員マスタ!$G$6:$G$405,$AN1429)&lt;&gt;"",$L1429&lt;&gt;INDEX(職員マスタ!$G$6:$G$405,$AN1429)),"時短開始日がマスタと相違／","")&amp;IF(AND($M1429&lt;&gt;"",INDEX(職員マスタ!$H$6:$H$405,$AN1429)&lt;&gt;"",$M1429&lt;&gt;INDEX(職員マスタ!$H$6:$H$405,$AN1429)),"時短終了日がマスタと相違／","")))&amp;IF(AND($B1429&lt;&gt;"",$E1429=""),"報酬額が未入力／","")&amp;IF(N($U1429)&gt;0,"申請書に入力エラーが残っています／","")&amp;IF(AND($B1429&lt;&gt;"",$AO1429&lt;&gt;""),IF(COUNTIFS($B$6:$B$3005,$B1429,$C$6:$C$3005,$C1429,$D$6:$D$3005,$D1429)&gt;1,"同じ月の請求が重複しています／",""),"")&amp;IF(AND(N($E1429)&gt;0,$Z1429&lt;&gt;"",$Z1429&lt;&gt;"×",$AC1429=0,$AB1429=""),"計算額が下限以下のため不支給／",""))</f>
        <v/>
      </c>
      <c r="AL1429" s="12" t="n"/>
      <c r="AM1429" s="14">
        <f>IF($AD1429="保留中",COUNTIF($AD$6:$AD1429,"保留中"),"")</f>
        <v/>
      </c>
      <c r="AN1429" s="14">
        <f>IF($AO1429="","",IF(SUMPRODUCT(MAX((職員マスタ!$A$6:$A$405=$B1429)*(((職員マスタ!$G$6:$G$405="")+(職員マスタ!$G$6:$G$405&lt;=EOMONTH($AO1429,0)))&gt;0)*(((職員マスタ!$H$6:$H$405="")+(職員マスタ!$H$6:$H$405&gt;=$AO1429))&gt;0)*(ROW(職員マスタ!$A$6:$A$405)-5)))&gt;0,SUMPRODUCT(MAX((職員マスタ!$A$6:$A$405=$B1429)*(((職員マスタ!$G$6:$G$405="")+(職員マスタ!$G$6:$G$405&lt;=EOMONTH($AO1429,0)))&gt;0)*(((職員マスタ!$H$6:$H$405="")+(職員マスタ!$H$6:$H$405&gt;=$AO1429))&gt;0)*(ROW(職員マスタ!$A$6:$A$405)-5))),IFERROR(MATCH($B1429,職員マスタ!$A$6:$A$405,0),"")))</f>
        <v/>
      </c>
      <c r="AO1429" s="16">
        <f>IF(OR($B1429="",$C1429="",$D1429=""),"",DATE($C1429+2018,$D1429,1))</f>
        <v/>
      </c>
    </row>
    <row r="1430">
      <c r="A1430" s="11" t="n"/>
      <c r="B1430" s="12" t="n"/>
      <c r="C1430" s="12" t="n"/>
      <c r="D1430" s="12" t="n"/>
      <c r="E1430" s="13" t="n"/>
      <c r="F1430" s="12" t="n"/>
      <c r="G1430" s="13" t="n"/>
      <c r="H1430" s="12" t="n"/>
      <c r="I1430" s="12" t="n"/>
      <c r="J1430" s="12" t="n"/>
      <c r="K1430" s="12" t="n"/>
      <c r="L1430" s="11" t="n"/>
      <c r="M1430" s="11" t="n"/>
      <c r="N1430" s="11" t="n"/>
      <c r="O1430" s="11" t="n"/>
      <c r="P1430" s="12" t="n"/>
      <c r="Q1430" s="11" t="n"/>
      <c r="R1430" s="12" t="n"/>
      <c r="S1430" s="11" t="n"/>
      <c r="T1430" s="12" t="n"/>
      <c r="U1430" s="12" t="n"/>
      <c r="V1430" s="14">
        <f>IF($AN1430="",IF($B1430="","",$H1430),IF(INDEX(職員マスタ!$B$6:$B$405,$AN1430)="",$H1430,INDEX(職員マスタ!$B$6:$B$405,$AN1430)))</f>
        <v/>
      </c>
      <c r="W1430" s="14">
        <f>IF($AN1430="",IF($B1430="","",$R1430),IF(INDEX(職員マスタ!$C$6:$C$405,$AN1430)="",$R1430,INDEX(職員マスタ!$C$6:$C$405,$AN1430)))</f>
        <v/>
      </c>
      <c r="X1430" s="14">
        <f>IF($AO1430="","","R"&amp;$C1430&amp;"."&amp;$D1430)</f>
        <v/>
      </c>
      <c r="Y1430" s="15">
        <f>IF($AN1430="","",IF(INDEX(職員マスタ!$K$6:$K$405,$AN1430)="","",INDEX(職員マスタ!$K$6:$K$405,$AN1430)))</f>
        <v/>
      </c>
      <c r="Z1430" s="14">
        <f>IF(OR($E1430="",$Y1430=""),"",IF($E1430&gt;=$Y1430,"×",IF($E1430&gt;=$Y1430*設定!$C$5,"△","○")))</f>
        <v/>
      </c>
      <c r="AA1430" s="15">
        <f>IF($Z1430="","",IF($Z1430="×",0,IF($Z1430="○",ROUNDDOWN($E1430*設定!$C$4,0),ROUNDDOWN($E1430*ROUND((9*$Y1430-9*$E1430)/(10*$E1430),4),0))))</f>
        <v/>
      </c>
      <c r="AB1430" s="13" t="n"/>
      <c r="AC1430" s="15">
        <f>IF($B1430="","",IF($AB1430&lt;&gt;"",$AB1430,IF($AA1430="","",IF($AA1430&lt;=設定!$C$3,0,$AA1430))))</f>
        <v/>
      </c>
      <c r="AD1430" s="14">
        <f>IF($B1430="","",IF(AND($AE1430&lt;&gt;"",$AG1430="",$AJ1430=""),"保留中",IF($AJ1430&lt;&gt;"",IF(N($AC1430)&gt;0,"支給済","不支給"),IF($AC1430="","要確認",IF($AC1430=0,"不支給","未処理")))))</f>
        <v/>
      </c>
      <c r="AE1430" s="12" t="n"/>
      <c r="AF1430" s="11" t="n"/>
      <c r="AG1430" s="11" t="n"/>
      <c r="AH1430" s="11" t="n"/>
      <c r="AI1430" s="14">
        <f>IF(AND($AD1430="保留中",$AF1430&lt;&gt;""),TODAY()-$AF1430,"")</f>
        <v/>
      </c>
      <c r="AJ1430" s="12" t="n"/>
      <c r="AK1430" s="14">
        <f>IF($B1430="","",IF($AO1430="","対象年月が未入力／","")&amp;IF($B1430="","",IF($AN1430="","職員マスタに未登録の職員番号／",IF($Y1430="","標準報酬月額が未登録／","")&amp;IF(AND($AO1430&lt;&gt;"",OR(AND(INDEX(職員マスタ!$G$6:$G$405,$AN1430)&lt;&gt;"",INDEX(職員マスタ!$G$6:$G$405,$AN1430)&gt;EOMONTH($AO1430,0)),AND(INDEX(職員マスタ!$H$6:$H$405,$AN1430)&lt;&gt;"",INDEX(職員マスタ!$H$6:$H$405,$AN1430)&lt;$AO1430))),"対象月が時短期間外／","")&amp;IF(AND(INDEX(職員マスタ!$F$6:$F$405,$AN1430)&lt;&gt;"",$AO1430&lt;&gt;"",INDEX(職員マスタ!$F$6:$F$405,$AN1430)&lt;$AO1430),"対象月に子が2歳到達済／","")&amp;IF(AND($H1430&lt;&gt;"",INDEX(職員マスタ!$B$6:$B$405,$AN1430)&lt;&gt;"",SUBSTITUTE(SUBSTITUTE($H1430," ","")," ","")&lt;&gt;SUBSTITUTE(SUBSTITUTE(INDEX(職員マスタ!$B$6:$B$405,$AN1430)," ","")," ","")),"氏名がマスタと相違／","")&amp;IF(AND($Q1430&lt;&gt;"",INDEX(職員マスタ!$E$6:$E$405,$AN1430)&lt;&gt;"",$Q1430&lt;&gt;INDEX(職員マスタ!$E$6:$E$405,$AN1430)),"子の生年月日がマスタと相違／","")&amp;IF(AND($L1430&lt;&gt;"",INDEX(職員マスタ!$G$6:$G$405,$AN1430)&lt;&gt;"",$L1430&lt;&gt;INDEX(職員マスタ!$G$6:$G$405,$AN1430)),"時短開始日がマスタと相違／","")&amp;IF(AND($M1430&lt;&gt;"",INDEX(職員マスタ!$H$6:$H$405,$AN1430)&lt;&gt;"",$M1430&lt;&gt;INDEX(職員マスタ!$H$6:$H$405,$AN1430)),"時短終了日がマスタと相違／","")))&amp;IF(AND($B1430&lt;&gt;"",$E1430=""),"報酬額が未入力／","")&amp;IF(N($U1430)&gt;0,"申請書に入力エラーが残っています／","")&amp;IF(AND($B1430&lt;&gt;"",$AO1430&lt;&gt;""),IF(COUNTIFS($B$6:$B$3005,$B1430,$C$6:$C$3005,$C1430,$D$6:$D$3005,$D1430)&gt;1,"同じ月の請求が重複しています／",""),"")&amp;IF(AND(N($E1430)&gt;0,$Z1430&lt;&gt;"",$Z1430&lt;&gt;"×",$AC1430=0,$AB1430=""),"計算額が下限以下のため不支給／",""))</f>
        <v/>
      </c>
      <c r="AL1430" s="12" t="n"/>
      <c r="AM1430" s="14">
        <f>IF($AD1430="保留中",COUNTIF($AD$6:$AD1430,"保留中"),"")</f>
        <v/>
      </c>
      <c r="AN1430" s="14">
        <f>IF($AO1430="","",IF(SUMPRODUCT(MAX((職員マスタ!$A$6:$A$405=$B1430)*(((職員マスタ!$G$6:$G$405="")+(職員マスタ!$G$6:$G$405&lt;=EOMONTH($AO1430,0)))&gt;0)*(((職員マスタ!$H$6:$H$405="")+(職員マスタ!$H$6:$H$405&gt;=$AO1430))&gt;0)*(ROW(職員マスタ!$A$6:$A$405)-5)))&gt;0,SUMPRODUCT(MAX((職員マスタ!$A$6:$A$405=$B1430)*(((職員マスタ!$G$6:$G$405="")+(職員マスタ!$G$6:$G$405&lt;=EOMONTH($AO1430,0)))&gt;0)*(((職員マスタ!$H$6:$H$405="")+(職員マスタ!$H$6:$H$405&gt;=$AO1430))&gt;0)*(ROW(職員マスタ!$A$6:$A$405)-5))),IFERROR(MATCH($B1430,職員マスタ!$A$6:$A$405,0),"")))</f>
        <v/>
      </c>
      <c r="AO1430" s="16">
        <f>IF(OR($B1430="",$C1430="",$D1430=""),"",DATE($C1430+2018,$D1430,1))</f>
        <v/>
      </c>
    </row>
    <row r="1431">
      <c r="A1431" s="11" t="n"/>
      <c r="B1431" s="12" t="n"/>
      <c r="C1431" s="12" t="n"/>
      <c r="D1431" s="12" t="n"/>
      <c r="E1431" s="13" t="n"/>
      <c r="F1431" s="12" t="n"/>
      <c r="G1431" s="13" t="n"/>
      <c r="H1431" s="12" t="n"/>
      <c r="I1431" s="12" t="n"/>
      <c r="J1431" s="12" t="n"/>
      <c r="K1431" s="12" t="n"/>
      <c r="L1431" s="11" t="n"/>
      <c r="M1431" s="11" t="n"/>
      <c r="N1431" s="11" t="n"/>
      <c r="O1431" s="11" t="n"/>
      <c r="P1431" s="12" t="n"/>
      <c r="Q1431" s="11" t="n"/>
      <c r="R1431" s="12" t="n"/>
      <c r="S1431" s="11" t="n"/>
      <c r="T1431" s="12" t="n"/>
      <c r="U1431" s="12" t="n"/>
      <c r="V1431" s="14">
        <f>IF($AN1431="",IF($B1431="","",$H1431),IF(INDEX(職員マスタ!$B$6:$B$405,$AN1431)="",$H1431,INDEX(職員マスタ!$B$6:$B$405,$AN1431)))</f>
        <v/>
      </c>
      <c r="W1431" s="14">
        <f>IF($AN1431="",IF($B1431="","",$R1431),IF(INDEX(職員マスタ!$C$6:$C$405,$AN1431)="",$R1431,INDEX(職員マスタ!$C$6:$C$405,$AN1431)))</f>
        <v/>
      </c>
      <c r="X1431" s="14">
        <f>IF($AO1431="","","R"&amp;$C1431&amp;"."&amp;$D1431)</f>
        <v/>
      </c>
      <c r="Y1431" s="15">
        <f>IF($AN1431="","",IF(INDEX(職員マスタ!$K$6:$K$405,$AN1431)="","",INDEX(職員マスタ!$K$6:$K$405,$AN1431)))</f>
        <v/>
      </c>
      <c r="Z1431" s="14">
        <f>IF(OR($E1431="",$Y1431=""),"",IF($E1431&gt;=$Y1431,"×",IF($E1431&gt;=$Y1431*設定!$C$5,"△","○")))</f>
        <v/>
      </c>
      <c r="AA1431" s="15">
        <f>IF($Z1431="","",IF($Z1431="×",0,IF($Z1431="○",ROUNDDOWN($E1431*設定!$C$4,0),ROUNDDOWN($E1431*ROUND((9*$Y1431-9*$E1431)/(10*$E1431),4),0))))</f>
        <v/>
      </c>
      <c r="AB1431" s="13" t="n"/>
      <c r="AC1431" s="15">
        <f>IF($B1431="","",IF($AB1431&lt;&gt;"",$AB1431,IF($AA1431="","",IF($AA1431&lt;=設定!$C$3,0,$AA1431))))</f>
        <v/>
      </c>
      <c r="AD1431" s="14">
        <f>IF($B1431="","",IF(AND($AE1431&lt;&gt;"",$AG1431="",$AJ1431=""),"保留中",IF($AJ1431&lt;&gt;"",IF(N($AC1431)&gt;0,"支給済","不支給"),IF($AC1431="","要確認",IF($AC1431=0,"不支給","未処理")))))</f>
        <v/>
      </c>
      <c r="AE1431" s="12" t="n"/>
      <c r="AF1431" s="11" t="n"/>
      <c r="AG1431" s="11" t="n"/>
      <c r="AH1431" s="11" t="n"/>
      <c r="AI1431" s="14">
        <f>IF(AND($AD1431="保留中",$AF1431&lt;&gt;""),TODAY()-$AF1431,"")</f>
        <v/>
      </c>
      <c r="AJ1431" s="12" t="n"/>
      <c r="AK1431" s="14">
        <f>IF($B1431="","",IF($AO1431="","対象年月が未入力／","")&amp;IF($B1431="","",IF($AN1431="","職員マスタに未登録の職員番号／",IF($Y1431="","標準報酬月額が未登録／","")&amp;IF(AND($AO1431&lt;&gt;"",OR(AND(INDEX(職員マスタ!$G$6:$G$405,$AN1431)&lt;&gt;"",INDEX(職員マスタ!$G$6:$G$405,$AN1431)&gt;EOMONTH($AO1431,0)),AND(INDEX(職員マスタ!$H$6:$H$405,$AN1431)&lt;&gt;"",INDEX(職員マスタ!$H$6:$H$405,$AN1431)&lt;$AO1431))),"対象月が時短期間外／","")&amp;IF(AND(INDEX(職員マスタ!$F$6:$F$405,$AN1431)&lt;&gt;"",$AO1431&lt;&gt;"",INDEX(職員マスタ!$F$6:$F$405,$AN1431)&lt;$AO1431),"対象月に子が2歳到達済／","")&amp;IF(AND($H1431&lt;&gt;"",INDEX(職員マスタ!$B$6:$B$405,$AN1431)&lt;&gt;"",SUBSTITUTE(SUBSTITUTE($H1431," ","")," ","")&lt;&gt;SUBSTITUTE(SUBSTITUTE(INDEX(職員マスタ!$B$6:$B$405,$AN1431)," ","")," ","")),"氏名がマスタと相違／","")&amp;IF(AND($Q1431&lt;&gt;"",INDEX(職員マスタ!$E$6:$E$405,$AN1431)&lt;&gt;"",$Q1431&lt;&gt;INDEX(職員マスタ!$E$6:$E$405,$AN1431)),"子の生年月日がマスタと相違／","")&amp;IF(AND($L1431&lt;&gt;"",INDEX(職員マスタ!$G$6:$G$405,$AN1431)&lt;&gt;"",$L1431&lt;&gt;INDEX(職員マスタ!$G$6:$G$405,$AN1431)),"時短開始日がマスタと相違／","")&amp;IF(AND($M1431&lt;&gt;"",INDEX(職員マスタ!$H$6:$H$405,$AN1431)&lt;&gt;"",$M1431&lt;&gt;INDEX(職員マスタ!$H$6:$H$405,$AN1431)),"時短終了日がマスタと相違／","")))&amp;IF(AND($B1431&lt;&gt;"",$E1431=""),"報酬額が未入力／","")&amp;IF(N($U1431)&gt;0,"申請書に入力エラーが残っています／","")&amp;IF(AND($B1431&lt;&gt;"",$AO1431&lt;&gt;""),IF(COUNTIFS($B$6:$B$3005,$B1431,$C$6:$C$3005,$C1431,$D$6:$D$3005,$D1431)&gt;1,"同じ月の請求が重複しています／",""),"")&amp;IF(AND(N($E1431)&gt;0,$Z1431&lt;&gt;"",$Z1431&lt;&gt;"×",$AC1431=0,$AB1431=""),"計算額が下限以下のため不支給／",""))</f>
        <v/>
      </c>
      <c r="AL1431" s="12" t="n"/>
      <c r="AM1431" s="14">
        <f>IF($AD1431="保留中",COUNTIF($AD$6:$AD1431,"保留中"),"")</f>
        <v/>
      </c>
      <c r="AN1431" s="14">
        <f>IF($AO1431="","",IF(SUMPRODUCT(MAX((職員マスタ!$A$6:$A$405=$B1431)*(((職員マスタ!$G$6:$G$405="")+(職員マスタ!$G$6:$G$405&lt;=EOMONTH($AO1431,0)))&gt;0)*(((職員マスタ!$H$6:$H$405="")+(職員マスタ!$H$6:$H$405&gt;=$AO1431))&gt;0)*(ROW(職員マスタ!$A$6:$A$405)-5)))&gt;0,SUMPRODUCT(MAX((職員マスタ!$A$6:$A$405=$B1431)*(((職員マスタ!$G$6:$G$405="")+(職員マスタ!$G$6:$G$405&lt;=EOMONTH($AO1431,0)))&gt;0)*(((職員マスタ!$H$6:$H$405="")+(職員マスタ!$H$6:$H$405&gt;=$AO1431))&gt;0)*(ROW(職員マスタ!$A$6:$A$405)-5))),IFERROR(MATCH($B1431,職員マスタ!$A$6:$A$405,0),"")))</f>
        <v/>
      </c>
      <c r="AO1431" s="16">
        <f>IF(OR($B1431="",$C1431="",$D1431=""),"",DATE($C1431+2018,$D1431,1))</f>
        <v/>
      </c>
    </row>
    <row r="1432">
      <c r="A1432" s="11" t="n"/>
      <c r="B1432" s="12" t="n"/>
      <c r="C1432" s="12" t="n"/>
      <c r="D1432" s="12" t="n"/>
      <c r="E1432" s="13" t="n"/>
      <c r="F1432" s="12" t="n"/>
      <c r="G1432" s="13" t="n"/>
      <c r="H1432" s="12" t="n"/>
      <c r="I1432" s="12" t="n"/>
      <c r="J1432" s="12" t="n"/>
      <c r="K1432" s="12" t="n"/>
      <c r="L1432" s="11" t="n"/>
      <c r="M1432" s="11" t="n"/>
      <c r="N1432" s="11" t="n"/>
      <c r="O1432" s="11" t="n"/>
      <c r="P1432" s="12" t="n"/>
      <c r="Q1432" s="11" t="n"/>
      <c r="R1432" s="12" t="n"/>
      <c r="S1432" s="11" t="n"/>
      <c r="T1432" s="12" t="n"/>
      <c r="U1432" s="12" t="n"/>
      <c r="V1432" s="14">
        <f>IF($AN1432="",IF($B1432="","",$H1432),IF(INDEX(職員マスタ!$B$6:$B$405,$AN1432)="",$H1432,INDEX(職員マスタ!$B$6:$B$405,$AN1432)))</f>
        <v/>
      </c>
      <c r="W1432" s="14">
        <f>IF($AN1432="",IF($B1432="","",$R1432),IF(INDEX(職員マスタ!$C$6:$C$405,$AN1432)="",$R1432,INDEX(職員マスタ!$C$6:$C$405,$AN1432)))</f>
        <v/>
      </c>
      <c r="X1432" s="14">
        <f>IF($AO1432="","","R"&amp;$C1432&amp;"."&amp;$D1432)</f>
        <v/>
      </c>
      <c r="Y1432" s="15">
        <f>IF($AN1432="","",IF(INDEX(職員マスタ!$K$6:$K$405,$AN1432)="","",INDEX(職員マスタ!$K$6:$K$405,$AN1432)))</f>
        <v/>
      </c>
      <c r="Z1432" s="14">
        <f>IF(OR($E1432="",$Y1432=""),"",IF($E1432&gt;=$Y1432,"×",IF($E1432&gt;=$Y1432*設定!$C$5,"△","○")))</f>
        <v/>
      </c>
      <c r="AA1432" s="15">
        <f>IF($Z1432="","",IF($Z1432="×",0,IF($Z1432="○",ROUNDDOWN($E1432*設定!$C$4,0),ROUNDDOWN($E1432*ROUND((9*$Y1432-9*$E1432)/(10*$E1432),4),0))))</f>
        <v/>
      </c>
      <c r="AB1432" s="13" t="n"/>
      <c r="AC1432" s="15">
        <f>IF($B1432="","",IF($AB1432&lt;&gt;"",$AB1432,IF($AA1432="","",IF($AA1432&lt;=設定!$C$3,0,$AA1432))))</f>
        <v/>
      </c>
      <c r="AD1432" s="14">
        <f>IF($B1432="","",IF(AND($AE1432&lt;&gt;"",$AG1432="",$AJ1432=""),"保留中",IF($AJ1432&lt;&gt;"",IF(N($AC1432)&gt;0,"支給済","不支給"),IF($AC1432="","要確認",IF($AC1432=0,"不支給","未処理")))))</f>
        <v/>
      </c>
      <c r="AE1432" s="12" t="n"/>
      <c r="AF1432" s="11" t="n"/>
      <c r="AG1432" s="11" t="n"/>
      <c r="AH1432" s="11" t="n"/>
      <c r="AI1432" s="14">
        <f>IF(AND($AD1432="保留中",$AF1432&lt;&gt;""),TODAY()-$AF1432,"")</f>
        <v/>
      </c>
      <c r="AJ1432" s="12" t="n"/>
      <c r="AK1432" s="14">
        <f>IF($B1432="","",IF($AO1432="","対象年月が未入力／","")&amp;IF($B1432="","",IF($AN1432="","職員マスタに未登録の職員番号／",IF($Y1432="","標準報酬月額が未登録／","")&amp;IF(AND($AO1432&lt;&gt;"",OR(AND(INDEX(職員マスタ!$G$6:$G$405,$AN1432)&lt;&gt;"",INDEX(職員マスタ!$G$6:$G$405,$AN1432)&gt;EOMONTH($AO1432,0)),AND(INDEX(職員マスタ!$H$6:$H$405,$AN1432)&lt;&gt;"",INDEX(職員マスタ!$H$6:$H$405,$AN1432)&lt;$AO1432))),"対象月が時短期間外／","")&amp;IF(AND(INDEX(職員マスタ!$F$6:$F$405,$AN1432)&lt;&gt;"",$AO1432&lt;&gt;"",INDEX(職員マスタ!$F$6:$F$405,$AN1432)&lt;$AO1432),"対象月に子が2歳到達済／","")&amp;IF(AND($H1432&lt;&gt;"",INDEX(職員マスタ!$B$6:$B$405,$AN1432)&lt;&gt;"",SUBSTITUTE(SUBSTITUTE($H1432," ","")," ","")&lt;&gt;SUBSTITUTE(SUBSTITUTE(INDEX(職員マスタ!$B$6:$B$405,$AN1432)," ","")," ","")),"氏名がマスタと相違／","")&amp;IF(AND($Q1432&lt;&gt;"",INDEX(職員マスタ!$E$6:$E$405,$AN1432)&lt;&gt;"",$Q1432&lt;&gt;INDEX(職員マスタ!$E$6:$E$405,$AN1432)),"子の生年月日がマスタと相違／","")&amp;IF(AND($L1432&lt;&gt;"",INDEX(職員マスタ!$G$6:$G$405,$AN1432)&lt;&gt;"",$L1432&lt;&gt;INDEX(職員マスタ!$G$6:$G$405,$AN1432)),"時短開始日がマスタと相違／","")&amp;IF(AND($M1432&lt;&gt;"",INDEX(職員マスタ!$H$6:$H$405,$AN1432)&lt;&gt;"",$M1432&lt;&gt;INDEX(職員マスタ!$H$6:$H$405,$AN1432)),"時短終了日がマスタと相違／","")))&amp;IF(AND($B1432&lt;&gt;"",$E1432=""),"報酬額が未入力／","")&amp;IF(N($U1432)&gt;0,"申請書に入力エラーが残っています／","")&amp;IF(AND($B1432&lt;&gt;"",$AO1432&lt;&gt;""),IF(COUNTIFS($B$6:$B$3005,$B1432,$C$6:$C$3005,$C1432,$D$6:$D$3005,$D1432)&gt;1,"同じ月の請求が重複しています／",""),"")&amp;IF(AND(N($E1432)&gt;0,$Z1432&lt;&gt;"",$Z1432&lt;&gt;"×",$AC1432=0,$AB1432=""),"計算額が下限以下のため不支給／",""))</f>
        <v/>
      </c>
      <c r="AL1432" s="12" t="n"/>
      <c r="AM1432" s="14">
        <f>IF($AD1432="保留中",COUNTIF($AD$6:$AD1432,"保留中"),"")</f>
        <v/>
      </c>
      <c r="AN1432" s="14">
        <f>IF($AO1432="","",IF(SUMPRODUCT(MAX((職員マスタ!$A$6:$A$405=$B1432)*(((職員マスタ!$G$6:$G$405="")+(職員マスタ!$G$6:$G$405&lt;=EOMONTH($AO1432,0)))&gt;0)*(((職員マスタ!$H$6:$H$405="")+(職員マスタ!$H$6:$H$405&gt;=$AO1432))&gt;0)*(ROW(職員マスタ!$A$6:$A$405)-5)))&gt;0,SUMPRODUCT(MAX((職員マスタ!$A$6:$A$405=$B1432)*(((職員マスタ!$G$6:$G$405="")+(職員マスタ!$G$6:$G$405&lt;=EOMONTH($AO1432,0)))&gt;0)*(((職員マスタ!$H$6:$H$405="")+(職員マスタ!$H$6:$H$405&gt;=$AO1432))&gt;0)*(ROW(職員マスタ!$A$6:$A$405)-5))),IFERROR(MATCH($B1432,職員マスタ!$A$6:$A$405,0),"")))</f>
        <v/>
      </c>
      <c r="AO1432" s="16">
        <f>IF(OR($B1432="",$C1432="",$D1432=""),"",DATE($C1432+2018,$D1432,1))</f>
        <v/>
      </c>
    </row>
    <row r="1433">
      <c r="A1433" s="11" t="n"/>
      <c r="B1433" s="12" t="n"/>
      <c r="C1433" s="12" t="n"/>
      <c r="D1433" s="12" t="n"/>
      <c r="E1433" s="13" t="n"/>
      <c r="F1433" s="12" t="n"/>
      <c r="G1433" s="13" t="n"/>
      <c r="H1433" s="12" t="n"/>
      <c r="I1433" s="12" t="n"/>
      <c r="J1433" s="12" t="n"/>
      <c r="K1433" s="12" t="n"/>
      <c r="L1433" s="11" t="n"/>
      <c r="M1433" s="11" t="n"/>
      <c r="N1433" s="11" t="n"/>
      <c r="O1433" s="11" t="n"/>
      <c r="P1433" s="12" t="n"/>
      <c r="Q1433" s="11" t="n"/>
      <c r="R1433" s="12" t="n"/>
      <c r="S1433" s="11" t="n"/>
      <c r="T1433" s="12" t="n"/>
      <c r="U1433" s="12" t="n"/>
      <c r="V1433" s="14">
        <f>IF($AN1433="",IF($B1433="","",$H1433),IF(INDEX(職員マスタ!$B$6:$B$405,$AN1433)="",$H1433,INDEX(職員マスタ!$B$6:$B$405,$AN1433)))</f>
        <v/>
      </c>
      <c r="W1433" s="14">
        <f>IF($AN1433="",IF($B1433="","",$R1433),IF(INDEX(職員マスタ!$C$6:$C$405,$AN1433)="",$R1433,INDEX(職員マスタ!$C$6:$C$405,$AN1433)))</f>
        <v/>
      </c>
      <c r="X1433" s="14">
        <f>IF($AO1433="","","R"&amp;$C1433&amp;"."&amp;$D1433)</f>
        <v/>
      </c>
      <c r="Y1433" s="15">
        <f>IF($AN1433="","",IF(INDEX(職員マスタ!$K$6:$K$405,$AN1433)="","",INDEX(職員マスタ!$K$6:$K$405,$AN1433)))</f>
        <v/>
      </c>
      <c r="Z1433" s="14">
        <f>IF(OR($E1433="",$Y1433=""),"",IF($E1433&gt;=$Y1433,"×",IF($E1433&gt;=$Y1433*設定!$C$5,"△","○")))</f>
        <v/>
      </c>
      <c r="AA1433" s="15">
        <f>IF($Z1433="","",IF($Z1433="×",0,IF($Z1433="○",ROUNDDOWN($E1433*設定!$C$4,0),ROUNDDOWN($E1433*ROUND((9*$Y1433-9*$E1433)/(10*$E1433),4),0))))</f>
        <v/>
      </c>
      <c r="AB1433" s="13" t="n"/>
      <c r="AC1433" s="15">
        <f>IF($B1433="","",IF($AB1433&lt;&gt;"",$AB1433,IF($AA1433="","",IF($AA1433&lt;=設定!$C$3,0,$AA1433))))</f>
        <v/>
      </c>
      <c r="AD1433" s="14">
        <f>IF($B1433="","",IF(AND($AE1433&lt;&gt;"",$AG1433="",$AJ1433=""),"保留中",IF($AJ1433&lt;&gt;"",IF(N($AC1433)&gt;0,"支給済","不支給"),IF($AC1433="","要確認",IF($AC1433=0,"不支給","未処理")))))</f>
        <v/>
      </c>
      <c r="AE1433" s="12" t="n"/>
      <c r="AF1433" s="11" t="n"/>
      <c r="AG1433" s="11" t="n"/>
      <c r="AH1433" s="11" t="n"/>
      <c r="AI1433" s="14">
        <f>IF(AND($AD1433="保留中",$AF1433&lt;&gt;""),TODAY()-$AF1433,"")</f>
        <v/>
      </c>
      <c r="AJ1433" s="12" t="n"/>
      <c r="AK1433" s="14">
        <f>IF($B1433="","",IF($AO1433="","対象年月が未入力／","")&amp;IF($B1433="","",IF($AN1433="","職員マスタに未登録の職員番号／",IF($Y1433="","標準報酬月額が未登録／","")&amp;IF(AND($AO1433&lt;&gt;"",OR(AND(INDEX(職員マスタ!$G$6:$G$405,$AN1433)&lt;&gt;"",INDEX(職員マスタ!$G$6:$G$405,$AN1433)&gt;EOMONTH($AO1433,0)),AND(INDEX(職員マスタ!$H$6:$H$405,$AN1433)&lt;&gt;"",INDEX(職員マスタ!$H$6:$H$405,$AN1433)&lt;$AO1433))),"対象月が時短期間外／","")&amp;IF(AND(INDEX(職員マスタ!$F$6:$F$405,$AN1433)&lt;&gt;"",$AO1433&lt;&gt;"",INDEX(職員マスタ!$F$6:$F$405,$AN1433)&lt;$AO1433),"対象月に子が2歳到達済／","")&amp;IF(AND($H1433&lt;&gt;"",INDEX(職員マスタ!$B$6:$B$405,$AN1433)&lt;&gt;"",SUBSTITUTE(SUBSTITUTE($H1433," ","")," ","")&lt;&gt;SUBSTITUTE(SUBSTITUTE(INDEX(職員マスタ!$B$6:$B$405,$AN1433)," ","")," ","")),"氏名がマスタと相違／","")&amp;IF(AND($Q1433&lt;&gt;"",INDEX(職員マスタ!$E$6:$E$405,$AN1433)&lt;&gt;"",$Q1433&lt;&gt;INDEX(職員マスタ!$E$6:$E$405,$AN1433)),"子の生年月日がマスタと相違／","")&amp;IF(AND($L1433&lt;&gt;"",INDEX(職員マスタ!$G$6:$G$405,$AN1433)&lt;&gt;"",$L1433&lt;&gt;INDEX(職員マスタ!$G$6:$G$405,$AN1433)),"時短開始日がマスタと相違／","")&amp;IF(AND($M1433&lt;&gt;"",INDEX(職員マスタ!$H$6:$H$405,$AN1433)&lt;&gt;"",$M1433&lt;&gt;INDEX(職員マスタ!$H$6:$H$405,$AN1433)),"時短終了日がマスタと相違／","")))&amp;IF(AND($B1433&lt;&gt;"",$E1433=""),"報酬額が未入力／","")&amp;IF(N($U1433)&gt;0,"申請書に入力エラーが残っています／","")&amp;IF(AND($B1433&lt;&gt;"",$AO1433&lt;&gt;""),IF(COUNTIFS($B$6:$B$3005,$B1433,$C$6:$C$3005,$C1433,$D$6:$D$3005,$D1433)&gt;1,"同じ月の請求が重複しています／",""),"")&amp;IF(AND(N($E1433)&gt;0,$Z1433&lt;&gt;"",$Z1433&lt;&gt;"×",$AC1433=0,$AB1433=""),"計算額が下限以下のため不支給／",""))</f>
        <v/>
      </c>
      <c r="AL1433" s="12" t="n"/>
      <c r="AM1433" s="14">
        <f>IF($AD1433="保留中",COUNTIF($AD$6:$AD1433,"保留中"),"")</f>
        <v/>
      </c>
      <c r="AN1433" s="14">
        <f>IF($AO1433="","",IF(SUMPRODUCT(MAX((職員マスタ!$A$6:$A$405=$B1433)*(((職員マスタ!$G$6:$G$405="")+(職員マスタ!$G$6:$G$405&lt;=EOMONTH($AO1433,0)))&gt;0)*(((職員マスタ!$H$6:$H$405="")+(職員マスタ!$H$6:$H$405&gt;=$AO1433))&gt;0)*(ROW(職員マスタ!$A$6:$A$405)-5)))&gt;0,SUMPRODUCT(MAX((職員マスタ!$A$6:$A$405=$B1433)*(((職員マスタ!$G$6:$G$405="")+(職員マスタ!$G$6:$G$405&lt;=EOMONTH($AO1433,0)))&gt;0)*(((職員マスタ!$H$6:$H$405="")+(職員マスタ!$H$6:$H$405&gt;=$AO1433))&gt;0)*(ROW(職員マスタ!$A$6:$A$405)-5))),IFERROR(MATCH($B1433,職員マスタ!$A$6:$A$405,0),"")))</f>
        <v/>
      </c>
      <c r="AO1433" s="16">
        <f>IF(OR($B1433="",$C1433="",$D1433=""),"",DATE($C1433+2018,$D1433,1))</f>
        <v/>
      </c>
    </row>
    <row r="1434">
      <c r="A1434" s="11" t="n"/>
      <c r="B1434" s="12" t="n"/>
      <c r="C1434" s="12" t="n"/>
      <c r="D1434" s="12" t="n"/>
      <c r="E1434" s="13" t="n"/>
      <c r="F1434" s="12" t="n"/>
      <c r="G1434" s="13" t="n"/>
      <c r="H1434" s="12" t="n"/>
      <c r="I1434" s="12" t="n"/>
      <c r="J1434" s="12" t="n"/>
      <c r="K1434" s="12" t="n"/>
      <c r="L1434" s="11" t="n"/>
      <c r="M1434" s="11" t="n"/>
      <c r="N1434" s="11" t="n"/>
      <c r="O1434" s="11" t="n"/>
      <c r="P1434" s="12" t="n"/>
      <c r="Q1434" s="11" t="n"/>
      <c r="R1434" s="12" t="n"/>
      <c r="S1434" s="11" t="n"/>
      <c r="T1434" s="12" t="n"/>
      <c r="U1434" s="12" t="n"/>
      <c r="V1434" s="14">
        <f>IF($AN1434="",IF($B1434="","",$H1434),IF(INDEX(職員マスタ!$B$6:$B$405,$AN1434)="",$H1434,INDEX(職員マスタ!$B$6:$B$405,$AN1434)))</f>
        <v/>
      </c>
      <c r="W1434" s="14">
        <f>IF($AN1434="",IF($B1434="","",$R1434),IF(INDEX(職員マスタ!$C$6:$C$405,$AN1434)="",$R1434,INDEX(職員マスタ!$C$6:$C$405,$AN1434)))</f>
        <v/>
      </c>
      <c r="X1434" s="14">
        <f>IF($AO1434="","","R"&amp;$C1434&amp;"."&amp;$D1434)</f>
        <v/>
      </c>
      <c r="Y1434" s="15">
        <f>IF($AN1434="","",IF(INDEX(職員マスタ!$K$6:$K$405,$AN1434)="","",INDEX(職員マスタ!$K$6:$K$405,$AN1434)))</f>
        <v/>
      </c>
      <c r="Z1434" s="14">
        <f>IF(OR($E1434="",$Y1434=""),"",IF($E1434&gt;=$Y1434,"×",IF($E1434&gt;=$Y1434*設定!$C$5,"△","○")))</f>
        <v/>
      </c>
      <c r="AA1434" s="15">
        <f>IF($Z1434="","",IF($Z1434="×",0,IF($Z1434="○",ROUNDDOWN($E1434*設定!$C$4,0),ROUNDDOWN($E1434*ROUND((9*$Y1434-9*$E1434)/(10*$E1434),4),0))))</f>
        <v/>
      </c>
      <c r="AB1434" s="13" t="n"/>
      <c r="AC1434" s="15">
        <f>IF($B1434="","",IF($AB1434&lt;&gt;"",$AB1434,IF($AA1434="","",IF($AA1434&lt;=設定!$C$3,0,$AA1434))))</f>
        <v/>
      </c>
      <c r="AD1434" s="14">
        <f>IF($B1434="","",IF(AND($AE1434&lt;&gt;"",$AG1434="",$AJ1434=""),"保留中",IF($AJ1434&lt;&gt;"",IF(N($AC1434)&gt;0,"支給済","不支給"),IF($AC1434="","要確認",IF($AC1434=0,"不支給","未処理")))))</f>
        <v/>
      </c>
      <c r="AE1434" s="12" t="n"/>
      <c r="AF1434" s="11" t="n"/>
      <c r="AG1434" s="11" t="n"/>
      <c r="AH1434" s="11" t="n"/>
      <c r="AI1434" s="14">
        <f>IF(AND($AD1434="保留中",$AF1434&lt;&gt;""),TODAY()-$AF1434,"")</f>
        <v/>
      </c>
      <c r="AJ1434" s="12" t="n"/>
      <c r="AK1434" s="14">
        <f>IF($B1434="","",IF($AO1434="","対象年月が未入力／","")&amp;IF($B1434="","",IF($AN1434="","職員マスタに未登録の職員番号／",IF($Y1434="","標準報酬月額が未登録／","")&amp;IF(AND($AO1434&lt;&gt;"",OR(AND(INDEX(職員マスタ!$G$6:$G$405,$AN1434)&lt;&gt;"",INDEX(職員マスタ!$G$6:$G$405,$AN1434)&gt;EOMONTH($AO1434,0)),AND(INDEX(職員マスタ!$H$6:$H$405,$AN1434)&lt;&gt;"",INDEX(職員マスタ!$H$6:$H$405,$AN1434)&lt;$AO1434))),"対象月が時短期間外／","")&amp;IF(AND(INDEX(職員マスタ!$F$6:$F$405,$AN1434)&lt;&gt;"",$AO1434&lt;&gt;"",INDEX(職員マスタ!$F$6:$F$405,$AN1434)&lt;$AO1434),"対象月に子が2歳到達済／","")&amp;IF(AND($H1434&lt;&gt;"",INDEX(職員マスタ!$B$6:$B$405,$AN1434)&lt;&gt;"",SUBSTITUTE(SUBSTITUTE($H1434," ","")," ","")&lt;&gt;SUBSTITUTE(SUBSTITUTE(INDEX(職員マスタ!$B$6:$B$405,$AN1434)," ","")," ","")),"氏名がマスタと相違／","")&amp;IF(AND($Q1434&lt;&gt;"",INDEX(職員マスタ!$E$6:$E$405,$AN1434)&lt;&gt;"",$Q1434&lt;&gt;INDEX(職員マスタ!$E$6:$E$405,$AN1434)),"子の生年月日がマスタと相違／","")&amp;IF(AND($L1434&lt;&gt;"",INDEX(職員マスタ!$G$6:$G$405,$AN1434)&lt;&gt;"",$L1434&lt;&gt;INDEX(職員マスタ!$G$6:$G$405,$AN1434)),"時短開始日がマスタと相違／","")&amp;IF(AND($M1434&lt;&gt;"",INDEX(職員マスタ!$H$6:$H$405,$AN1434)&lt;&gt;"",$M1434&lt;&gt;INDEX(職員マスタ!$H$6:$H$405,$AN1434)),"時短終了日がマスタと相違／","")))&amp;IF(AND($B1434&lt;&gt;"",$E1434=""),"報酬額が未入力／","")&amp;IF(N($U1434)&gt;0,"申請書に入力エラーが残っています／","")&amp;IF(AND($B1434&lt;&gt;"",$AO1434&lt;&gt;""),IF(COUNTIFS($B$6:$B$3005,$B1434,$C$6:$C$3005,$C1434,$D$6:$D$3005,$D1434)&gt;1,"同じ月の請求が重複しています／",""),"")&amp;IF(AND(N($E1434)&gt;0,$Z1434&lt;&gt;"",$Z1434&lt;&gt;"×",$AC1434=0,$AB1434=""),"計算額が下限以下のため不支給／",""))</f>
        <v/>
      </c>
      <c r="AL1434" s="12" t="n"/>
      <c r="AM1434" s="14">
        <f>IF($AD1434="保留中",COUNTIF($AD$6:$AD1434,"保留中"),"")</f>
        <v/>
      </c>
      <c r="AN1434" s="14">
        <f>IF($AO1434="","",IF(SUMPRODUCT(MAX((職員マスタ!$A$6:$A$405=$B1434)*(((職員マスタ!$G$6:$G$405="")+(職員マスタ!$G$6:$G$405&lt;=EOMONTH($AO1434,0)))&gt;0)*(((職員マスタ!$H$6:$H$405="")+(職員マスタ!$H$6:$H$405&gt;=$AO1434))&gt;0)*(ROW(職員マスタ!$A$6:$A$405)-5)))&gt;0,SUMPRODUCT(MAX((職員マスタ!$A$6:$A$405=$B1434)*(((職員マスタ!$G$6:$G$405="")+(職員マスタ!$G$6:$G$405&lt;=EOMONTH($AO1434,0)))&gt;0)*(((職員マスタ!$H$6:$H$405="")+(職員マスタ!$H$6:$H$405&gt;=$AO1434))&gt;0)*(ROW(職員マスタ!$A$6:$A$405)-5))),IFERROR(MATCH($B1434,職員マスタ!$A$6:$A$405,0),"")))</f>
        <v/>
      </c>
      <c r="AO1434" s="16">
        <f>IF(OR($B1434="",$C1434="",$D1434=""),"",DATE($C1434+2018,$D1434,1))</f>
        <v/>
      </c>
    </row>
    <row r="1435">
      <c r="A1435" s="11" t="n"/>
      <c r="B1435" s="12" t="n"/>
      <c r="C1435" s="12" t="n"/>
      <c r="D1435" s="12" t="n"/>
      <c r="E1435" s="13" t="n"/>
      <c r="F1435" s="12" t="n"/>
      <c r="G1435" s="13" t="n"/>
      <c r="H1435" s="12" t="n"/>
      <c r="I1435" s="12" t="n"/>
      <c r="J1435" s="12" t="n"/>
      <c r="K1435" s="12" t="n"/>
      <c r="L1435" s="11" t="n"/>
      <c r="M1435" s="11" t="n"/>
      <c r="N1435" s="11" t="n"/>
      <c r="O1435" s="11" t="n"/>
      <c r="P1435" s="12" t="n"/>
      <c r="Q1435" s="11" t="n"/>
      <c r="R1435" s="12" t="n"/>
      <c r="S1435" s="11" t="n"/>
      <c r="T1435" s="12" t="n"/>
      <c r="U1435" s="12" t="n"/>
      <c r="V1435" s="14">
        <f>IF($AN1435="",IF($B1435="","",$H1435),IF(INDEX(職員マスタ!$B$6:$B$405,$AN1435)="",$H1435,INDEX(職員マスタ!$B$6:$B$405,$AN1435)))</f>
        <v/>
      </c>
      <c r="W1435" s="14">
        <f>IF($AN1435="",IF($B1435="","",$R1435),IF(INDEX(職員マスタ!$C$6:$C$405,$AN1435)="",$R1435,INDEX(職員マスタ!$C$6:$C$405,$AN1435)))</f>
        <v/>
      </c>
      <c r="X1435" s="14">
        <f>IF($AO1435="","","R"&amp;$C1435&amp;"."&amp;$D1435)</f>
        <v/>
      </c>
      <c r="Y1435" s="15">
        <f>IF($AN1435="","",IF(INDEX(職員マスタ!$K$6:$K$405,$AN1435)="","",INDEX(職員マスタ!$K$6:$K$405,$AN1435)))</f>
        <v/>
      </c>
      <c r="Z1435" s="14">
        <f>IF(OR($E1435="",$Y1435=""),"",IF($E1435&gt;=$Y1435,"×",IF($E1435&gt;=$Y1435*設定!$C$5,"△","○")))</f>
        <v/>
      </c>
      <c r="AA1435" s="15">
        <f>IF($Z1435="","",IF($Z1435="×",0,IF($Z1435="○",ROUNDDOWN($E1435*設定!$C$4,0),ROUNDDOWN($E1435*ROUND((9*$Y1435-9*$E1435)/(10*$E1435),4),0))))</f>
        <v/>
      </c>
      <c r="AB1435" s="13" t="n"/>
      <c r="AC1435" s="15">
        <f>IF($B1435="","",IF($AB1435&lt;&gt;"",$AB1435,IF($AA1435="","",IF($AA1435&lt;=設定!$C$3,0,$AA1435))))</f>
        <v/>
      </c>
      <c r="AD1435" s="14">
        <f>IF($B1435="","",IF(AND($AE1435&lt;&gt;"",$AG1435="",$AJ1435=""),"保留中",IF($AJ1435&lt;&gt;"",IF(N($AC1435)&gt;0,"支給済","不支給"),IF($AC1435="","要確認",IF($AC1435=0,"不支給","未処理")))))</f>
        <v/>
      </c>
      <c r="AE1435" s="12" t="n"/>
      <c r="AF1435" s="11" t="n"/>
      <c r="AG1435" s="11" t="n"/>
      <c r="AH1435" s="11" t="n"/>
      <c r="AI1435" s="14">
        <f>IF(AND($AD1435="保留中",$AF1435&lt;&gt;""),TODAY()-$AF1435,"")</f>
        <v/>
      </c>
      <c r="AJ1435" s="12" t="n"/>
      <c r="AK1435" s="14">
        <f>IF($B1435="","",IF($AO1435="","対象年月が未入力／","")&amp;IF($B1435="","",IF($AN1435="","職員マスタに未登録の職員番号／",IF($Y1435="","標準報酬月額が未登録／","")&amp;IF(AND($AO1435&lt;&gt;"",OR(AND(INDEX(職員マスタ!$G$6:$G$405,$AN1435)&lt;&gt;"",INDEX(職員マスタ!$G$6:$G$405,$AN1435)&gt;EOMONTH($AO1435,0)),AND(INDEX(職員マスタ!$H$6:$H$405,$AN1435)&lt;&gt;"",INDEX(職員マスタ!$H$6:$H$405,$AN1435)&lt;$AO1435))),"対象月が時短期間外／","")&amp;IF(AND(INDEX(職員マスタ!$F$6:$F$405,$AN1435)&lt;&gt;"",$AO1435&lt;&gt;"",INDEX(職員マスタ!$F$6:$F$405,$AN1435)&lt;$AO1435),"対象月に子が2歳到達済／","")&amp;IF(AND($H1435&lt;&gt;"",INDEX(職員マスタ!$B$6:$B$405,$AN1435)&lt;&gt;"",SUBSTITUTE(SUBSTITUTE($H1435," ","")," ","")&lt;&gt;SUBSTITUTE(SUBSTITUTE(INDEX(職員マスタ!$B$6:$B$405,$AN1435)," ","")," ","")),"氏名がマスタと相違／","")&amp;IF(AND($Q1435&lt;&gt;"",INDEX(職員マスタ!$E$6:$E$405,$AN1435)&lt;&gt;"",$Q1435&lt;&gt;INDEX(職員マスタ!$E$6:$E$405,$AN1435)),"子の生年月日がマスタと相違／","")&amp;IF(AND($L1435&lt;&gt;"",INDEX(職員マスタ!$G$6:$G$405,$AN1435)&lt;&gt;"",$L1435&lt;&gt;INDEX(職員マスタ!$G$6:$G$405,$AN1435)),"時短開始日がマスタと相違／","")&amp;IF(AND($M1435&lt;&gt;"",INDEX(職員マスタ!$H$6:$H$405,$AN1435)&lt;&gt;"",$M1435&lt;&gt;INDEX(職員マスタ!$H$6:$H$405,$AN1435)),"時短終了日がマスタと相違／","")))&amp;IF(AND($B1435&lt;&gt;"",$E1435=""),"報酬額が未入力／","")&amp;IF(N($U1435)&gt;0,"申請書に入力エラーが残っています／","")&amp;IF(AND($B1435&lt;&gt;"",$AO1435&lt;&gt;""),IF(COUNTIFS($B$6:$B$3005,$B1435,$C$6:$C$3005,$C1435,$D$6:$D$3005,$D1435)&gt;1,"同じ月の請求が重複しています／",""),"")&amp;IF(AND(N($E1435)&gt;0,$Z1435&lt;&gt;"",$Z1435&lt;&gt;"×",$AC1435=0,$AB1435=""),"計算額が下限以下のため不支給／",""))</f>
        <v/>
      </c>
      <c r="AL1435" s="12" t="n"/>
      <c r="AM1435" s="14">
        <f>IF($AD1435="保留中",COUNTIF($AD$6:$AD1435,"保留中"),"")</f>
        <v/>
      </c>
      <c r="AN1435" s="14">
        <f>IF($AO1435="","",IF(SUMPRODUCT(MAX((職員マスタ!$A$6:$A$405=$B1435)*(((職員マスタ!$G$6:$G$405="")+(職員マスタ!$G$6:$G$405&lt;=EOMONTH($AO1435,0)))&gt;0)*(((職員マスタ!$H$6:$H$405="")+(職員マスタ!$H$6:$H$405&gt;=$AO1435))&gt;0)*(ROW(職員マスタ!$A$6:$A$405)-5)))&gt;0,SUMPRODUCT(MAX((職員マスタ!$A$6:$A$405=$B1435)*(((職員マスタ!$G$6:$G$405="")+(職員マスタ!$G$6:$G$405&lt;=EOMONTH($AO1435,0)))&gt;0)*(((職員マスタ!$H$6:$H$405="")+(職員マスタ!$H$6:$H$405&gt;=$AO1435))&gt;0)*(ROW(職員マスタ!$A$6:$A$405)-5))),IFERROR(MATCH($B1435,職員マスタ!$A$6:$A$405,0),"")))</f>
        <v/>
      </c>
      <c r="AO1435" s="16">
        <f>IF(OR($B1435="",$C1435="",$D1435=""),"",DATE($C1435+2018,$D1435,1))</f>
        <v/>
      </c>
    </row>
    <row r="1436">
      <c r="A1436" s="11" t="n"/>
      <c r="B1436" s="12" t="n"/>
      <c r="C1436" s="12" t="n"/>
      <c r="D1436" s="12" t="n"/>
      <c r="E1436" s="13" t="n"/>
      <c r="F1436" s="12" t="n"/>
      <c r="G1436" s="13" t="n"/>
      <c r="H1436" s="12" t="n"/>
      <c r="I1436" s="12" t="n"/>
      <c r="J1436" s="12" t="n"/>
      <c r="K1436" s="12" t="n"/>
      <c r="L1436" s="11" t="n"/>
      <c r="M1436" s="11" t="n"/>
      <c r="N1436" s="11" t="n"/>
      <c r="O1436" s="11" t="n"/>
      <c r="P1436" s="12" t="n"/>
      <c r="Q1436" s="11" t="n"/>
      <c r="R1436" s="12" t="n"/>
      <c r="S1436" s="11" t="n"/>
      <c r="T1436" s="12" t="n"/>
      <c r="U1436" s="12" t="n"/>
      <c r="V1436" s="14">
        <f>IF($AN1436="",IF($B1436="","",$H1436),IF(INDEX(職員マスタ!$B$6:$B$405,$AN1436)="",$H1436,INDEX(職員マスタ!$B$6:$B$405,$AN1436)))</f>
        <v/>
      </c>
      <c r="W1436" s="14">
        <f>IF($AN1436="",IF($B1436="","",$R1436),IF(INDEX(職員マスタ!$C$6:$C$405,$AN1436)="",$R1436,INDEX(職員マスタ!$C$6:$C$405,$AN1436)))</f>
        <v/>
      </c>
      <c r="X1436" s="14">
        <f>IF($AO1436="","","R"&amp;$C1436&amp;"."&amp;$D1436)</f>
        <v/>
      </c>
      <c r="Y1436" s="15">
        <f>IF($AN1436="","",IF(INDEX(職員マスタ!$K$6:$K$405,$AN1436)="","",INDEX(職員マスタ!$K$6:$K$405,$AN1436)))</f>
        <v/>
      </c>
      <c r="Z1436" s="14">
        <f>IF(OR($E1436="",$Y1436=""),"",IF($E1436&gt;=$Y1436,"×",IF($E1436&gt;=$Y1436*設定!$C$5,"△","○")))</f>
        <v/>
      </c>
      <c r="AA1436" s="15">
        <f>IF($Z1436="","",IF($Z1436="×",0,IF($Z1436="○",ROUNDDOWN($E1436*設定!$C$4,0),ROUNDDOWN($E1436*ROUND((9*$Y1436-9*$E1436)/(10*$E1436),4),0))))</f>
        <v/>
      </c>
      <c r="AB1436" s="13" t="n"/>
      <c r="AC1436" s="15">
        <f>IF($B1436="","",IF($AB1436&lt;&gt;"",$AB1436,IF($AA1436="","",IF($AA1436&lt;=設定!$C$3,0,$AA1436))))</f>
        <v/>
      </c>
      <c r="AD1436" s="14">
        <f>IF($B1436="","",IF(AND($AE1436&lt;&gt;"",$AG1436="",$AJ1436=""),"保留中",IF($AJ1436&lt;&gt;"",IF(N($AC1436)&gt;0,"支給済","不支給"),IF($AC1436="","要確認",IF($AC1436=0,"不支給","未処理")))))</f>
        <v/>
      </c>
      <c r="AE1436" s="12" t="n"/>
      <c r="AF1436" s="11" t="n"/>
      <c r="AG1436" s="11" t="n"/>
      <c r="AH1436" s="11" t="n"/>
      <c r="AI1436" s="14">
        <f>IF(AND($AD1436="保留中",$AF1436&lt;&gt;""),TODAY()-$AF1436,"")</f>
        <v/>
      </c>
      <c r="AJ1436" s="12" t="n"/>
      <c r="AK1436" s="14">
        <f>IF($B1436="","",IF($AO1436="","対象年月が未入力／","")&amp;IF($B1436="","",IF($AN1436="","職員マスタに未登録の職員番号／",IF($Y1436="","標準報酬月額が未登録／","")&amp;IF(AND($AO1436&lt;&gt;"",OR(AND(INDEX(職員マスタ!$G$6:$G$405,$AN1436)&lt;&gt;"",INDEX(職員マスタ!$G$6:$G$405,$AN1436)&gt;EOMONTH($AO1436,0)),AND(INDEX(職員マスタ!$H$6:$H$405,$AN1436)&lt;&gt;"",INDEX(職員マスタ!$H$6:$H$405,$AN1436)&lt;$AO1436))),"対象月が時短期間外／","")&amp;IF(AND(INDEX(職員マスタ!$F$6:$F$405,$AN1436)&lt;&gt;"",$AO1436&lt;&gt;"",INDEX(職員マスタ!$F$6:$F$405,$AN1436)&lt;$AO1436),"対象月に子が2歳到達済／","")&amp;IF(AND($H1436&lt;&gt;"",INDEX(職員マスタ!$B$6:$B$405,$AN1436)&lt;&gt;"",SUBSTITUTE(SUBSTITUTE($H1436," ","")," ","")&lt;&gt;SUBSTITUTE(SUBSTITUTE(INDEX(職員マスタ!$B$6:$B$405,$AN1436)," ","")," ","")),"氏名がマスタと相違／","")&amp;IF(AND($Q1436&lt;&gt;"",INDEX(職員マスタ!$E$6:$E$405,$AN1436)&lt;&gt;"",$Q1436&lt;&gt;INDEX(職員マスタ!$E$6:$E$405,$AN1436)),"子の生年月日がマスタと相違／","")&amp;IF(AND($L1436&lt;&gt;"",INDEX(職員マスタ!$G$6:$G$405,$AN1436)&lt;&gt;"",$L1436&lt;&gt;INDEX(職員マスタ!$G$6:$G$405,$AN1436)),"時短開始日がマスタと相違／","")&amp;IF(AND($M1436&lt;&gt;"",INDEX(職員マスタ!$H$6:$H$405,$AN1436)&lt;&gt;"",$M1436&lt;&gt;INDEX(職員マスタ!$H$6:$H$405,$AN1436)),"時短終了日がマスタと相違／","")))&amp;IF(AND($B1436&lt;&gt;"",$E1436=""),"報酬額が未入力／","")&amp;IF(N($U1436)&gt;0,"申請書に入力エラーが残っています／","")&amp;IF(AND($B1436&lt;&gt;"",$AO1436&lt;&gt;""),IF(COUNTIFS($B$6:$B$3005,$B1436,$C$6:$C$3005,$C1436,$D$6:$D$3005,$D1436)&gt;1,"同じ月の請求が重複しています／",""),"")&amp;IF(AND(N($E1436)&gt;0,$Z1436&lt;&gt;"",$Z1436&lt;&gt;"×",$AC1436=0,$AB1436=""),"計算額が下限以下のため不支給／",""))</f>
        <v/>
      </c>
      <c r="AL1436" s="12" t="n"/>
      <c r="AM1436" s="14">
        <f>IF($AD1436="保留中",COUNTIF($AD$6:$AD1436,"保留中"),"")</f>
        <v/>
      </c>
      <c r="AN1436" s="14">
        <f>IF($AO1436="","",IF(SUMPRODUCT(MAX((職員マスタ!$A$6:$A$405=$B1436)*(((職員マスタ!$G$6:$G$405="")+(職員マスタ!$G$6:$G$405&lt;=EOMONTH($AO1436,0)))&gt;0)*(((職員マスタ!$H$6:$H$405="")+(職員マスタ!$H$6:$H$405&gt;=$AO1436))&gt;0)*(ROW(職員マスタ!$A$6:$A$405)-5)))&gt;0,SUMPRODUCT(MAX((職員マスタ!$A$6:$A$405=$B1436)*(((職員マスタ!$G$6:$G$405="")+(職員マスタ!$G$6:$G$405&lt;=EOMONTH($AO1436,0)))&gt;0)*(((職員マスタ!$H$6:$H$405="")+(職員マスタ!$H$6:$H$405&gt;=$AO1436))&gt;0)*(ROW(職員マスタ!$A$6:$A$405)-5))),IFERROR(MATCH($B1436,職員マスタ!$A$6:$A$405,0),"")))</f>
        <v/>
      </c>
      <c r="AO1436" s="16">
        <f>IF(OR($B1436="",$C1436="",$D1436=""),"",DATE($C1436+2018,$D1436,1))</f>
        <v/>
      </c>
    </row>
    <row r="1437">
      <c r="A1437" s="11" t="n"/>
      <c r="B1437" s="12" t="n"/>
      <c r="C1437" s="12" t="n"/>
      <c r="D1437" s="12" t="n"/>
      <c r="E1437" s="13" t="n"/>
      <c r="F1437" s="12" t="n"/>
      <c r="G1437" s="13" t="n"/>
      <c r="H1437" s="12" t="n"/>
      <c r="I1437" s="12" t="n"/>
      <c r="J1437" s="12" t="n"/>
      <c r="K1437" s="12" t="n"/>
      <c r="L1437" s="11" t="n"/>
      <c r="M1437" s="11" t="n"/>
      <c r="N1437" s="11" t="n"/>
      <c r="O1437" s="11" t="n"/>
      <c r="P1437" s="12" t="n"/>
      <c r="Q1437" s="11" t="n"/>
      <c r="R1437" s="12" t="n"/>
      <c r="S1437" s="11" t="n"/>
      <c r="T1437" s="12" t="n"/>
      <c r="U1437" s="12" t="n"/>
      <c r="V1437" s="14">
        <f>IF($AN1437="",IF($B1437="","",$H1437),IF(INDEX(職員マスタ!$B$6:$B$405,$AN1437)="",$H1437,INDEX(職員マスタ!$B$6:$B$405,$AN1437)))</f>
        <v/>
      </c>
      <c r="W1437" s="14">
        <f>IF($AN1437="",IF($B1437="","",$R1437),IF(INDEX(職員マスタ!$C$6:$C$405,$AN1437)="",$R1437,INDEX(職員マスタ!$C$6:$C$405,$AN1437)))</f>
        <v/>
      </c>
      <c r="X1437" s="14">
        <f>IF($AO1437="","","R"&amp;$C1437&amp;"."&amp;$D1437)</f>
        <v/>
      </c>
      <c r="Y1437" s="15">
        <f>IF($AN1437="","",IF(INDEX(職員マスタ!$K$6:$K$405,$AN1437)="","",INDEX(職員マスタ!$K$6:$K$405,$AN1437)))</f>
        <v/>
      </c>
      <c r="Z1437" s="14">
        <f>IF(OR($E1437="",$Y1437=""),"",IF($E1437&gt;=$Y1437,"×",IF($E1437&gt;=$Y1437*設定!$C$5,"△","○")))</f>
        <v/>
      </c>
      <c r="AA1437" s="15">
        <f>IF($Z1437="","",IF($Z1437="×",0,IF($Z1437="○",ROUNDDOWN($E1437*設定!$C$4,0),ROUNDDOWN($E1437*ROUND((9*$Y1437-9*$E1437)/(10*$E1437),4),0))))</f>
        <v/>
      </c>
      <c r="AB1437" s="13" t="n"/>
      <c r="AC1437" s="15">
        <f>IF($B1437="","",IF($AB1437&lt;&gt;"",$AB1437,IF($AA1437="","",IF($AA1437&lt;=設定!$C$3,0,$AA1437))))</f>
        <v/>
      </c>
      <c r="AD1437" s="14">
        <f>IF($B1437="","",IF(AND($AE1437&lt;&gt;"",$AG1437="",$AJ1437=""),"保留中",IF($AJ1437&lt;&gt;"",IF(N($AC1437)&gt;0,"支給済","不支給"),IF($AC1437="","要確認",IF($AC1437=0,"不支給","未処理")))))</f>
        <v/>
      </c>
      <c r="AE1437" s="12" t="n"/>
      <c r="AF1437" s="11" t="n"/>
      <c r="AG1437" s="11" t="n"/>
      <c r="AH1437" s="11" t="n"/>
      <c r="AI1437" s="14">
        <f>IF(AND($AD1437="保留中",$AF1437&lt;&gt;""),TODAY()-$AF1437,"")</f>
        <v/>
      </c>
      <c r="AJ1437" s="12" t="n"/>
      <c r="AK1437" s="14">
        <f>IF($B1437="","",IF($AO1437="","対象年月が未入力／","")&amp;IF($B1437="","",IF($AN1437="","職員マスタに未登録の職員番号／",IF($Y1437="","標準報酬月額が未登録／","")&amp;IF(AND($AO1437&lt;&gt;"",OR(AND(INDEX(職員マスタ!$G$6:$G$405,$AN1437)&lt;&gt;"",INDEX(職員マスタ!$G$6:$G$405,$AN1437)&gt;EOMONTH($AO1437,0)),AND(INDEX(職員マスタ!$H$6:$H$405,$AN1437)&lt;&gt;"",INDEX(職員マスタ!$H$6:$H$405,$AN1437)&lt;$AO1437))),"対象月が時短期間外／","")&amp;IF(AND(INDEX(職員マスタ!$F$6:$F$405,$AN1437)&lt;&gt;"",$AO1437&lt;&gt;"",INDEX(職員マスタ!$F$6:$F$405,$AN1437)&lt;$AO1437),"対象月に子が2歳到達済／","")&amp;IF(AND($H1437&lt;&gt;"",INDEX(職員マスタ!$B$6:$B$405,$AN1437)&lt;&gt;"",SUBSTITUTE(SUBSTITUTE($H1437," ","")," ","")&lt;&gt;SUBSTITUTE(SUBSTITUTE(INDEX(職員マスタ!$B$6:$B$405,$AN1437)," ","")," ","")),"氏名がマスタと相違／","")&amp;IF(AND($Q1437&lt;&gt;"",INDEX(職員マスタ!$E$6:$E$405,$AN1437)&lt;&gt;"",$Q1437&lt;&gt;INDEX(職員マスタ!$E$6:$E$405,$AN1437)),"子の生年月日がマスタと相違／","")&amp;IF(AND($L1437&lt;&gt;"",INDEX(職員マスタ!$G$6:$G$405,$AN1437)&lt;&gt;"",$L1437&lt;&gt;INDEX(職員マスタ!$G$6:$G$405,$AN1437)),"時短開始日がマスタと相違／","")&amp;IF(AND($M1437&lt;&gt;"",INDEX(職員マスタ!$H$6:$H$405,$AN1437)&lt;&gt;"",$M1437&lt;&gt;INDEX(職員マスタ!$H$6:$H$405,$AN1437)),"時短終了日がマスタと相違／","")))&amp;IF(AND($B1437&lt;&gt;"",$E1437=""),"報酬額が未入力／","")&amp;IF(N($U1437)&gt;0,"申請書に入力エラーが残っています／","")&amp;IF(AND($B1437&lt;&gt;"",$AO1437&lt;&gt;""),IF(COUNTIFS($B$6:$B$3005,$B1437,$C$6:$C$3005,$C1437,$D$6:$D$3005,$D1437)&gt;1,"同じ月の請求が重複しています／",""),"")&amp;IF(AND(N($E1437)&gt;0,$Z1437&lt;&gt;"",$Z1437&lt;&gt;"×",$AC1437=0,$AB1437=""),"計算額が下限以下のため不支給／",""))</f>
        <v/>
      </c>
      <c r="AL1437" s="12" t="n"/>
      <c r="AM1437" s="14">
        <f>IF($AD1437="保留中",COUNTIF($AD$6:$AD1437,"保留中"),"")</f>
        <v/>
      </c>
      <c r="AN1437" s="14">
        <f>IF($AO1437="","",IF(SUMPRODUCT(MAX((職員マスタ!$A$6:$A$405=$B1437)*(((職員マスタ!$G$6:$G$405="")+(職員マスタ!$G$6:$G$405&lt;=EOMONTH($AO1437,0)))&gt;0)*(((職員マスタ!$H$6:$H$405="")+(職員マスタ!$H$6:$H$405&gt;=$AO1437))&gt;0)*(ROW(職員マスタ!$A$6:$A$405)-5)))&gt;0,SUMPRODUCT(MAX((職員マスタ!$A$6:$A$405=$B1437)*(((職員マスタ!$G$6:$G$405="")+(職員マスタ!$G$6:$G$405&lt;=EOMONTH($AO1437,0)))&gt;0)*(((職員マスタ!$H$6:$H$405="")+(職員マスタ!$H$6:$H$405&gt;=$AO1437))&gt;0)*(ROW(職員マスタ!$A$6:$A$405)-5))),IFERROR(MATCH($B1437,職員マスタ!$A$6:$A$405,0),"")))</f>
        <v/>
      </c>
      <c r="AO1437" s="16">
        <f>IF(OR($B1437="",$C1437="",$D1437=""),"",DATE($C1437+2018,$D1437,1))</f>
        <v/>
      </c>
    </row>
    <row r="1438">
      <c r="A1438" s="11" t="n"/>
      <c r="B1438" s="12" t="n"/>
      <c r="C1438" s="12" t="n"/>
      <c r="D1438" s="12" t="n"/>
      <c r="E1438" s="13" t="n"/>
      <c r="F1438" s="12" t="n"/>
      <c r="G1438" s="13" t="n"/>
      <c r="H1438" s="12" t="n"/>
      <c r="I1438" s="12" t="n"/>
      <c r="J1438" s="12" t="n"/>
      <c r="K1438" s="12" t="n"/>
      <c r="L1438" s="11" t="n"/>
      <c r="M1438" s="11" t="n"/>
      <c r="N1438" s="11" t="n"/>
      <c r="O1438" s="11" t="n"/>
      <c r="P1438" s="12" t="n"/>
      <c r="Q1438" s="11" t="n"/>
      <c r="R1438" s="12" t="n"/>
      <c r="S1438" s="11" t="n"/>
      <c r="T1438" s="12" t="n"/>
      <c r="U1438" s="12" t="n"/>
      <c r="V1438" s="14">
        <f>IF($AN1438="",IF($B1438="","",$H1438),IF(INDEX(職員マスタ!$B$6:$B$405,$AN1438)="",$H1438,INDEX(職員マスタ!$B$6:$B$405,$AN1438)))</f>
        <v/>
      </c>
      <c r="W1438" s="14">
        <f>IF($AN1438="",IF($B1438="","",$R1438),IF(INDEX(職員マスタ!$C$6:$C$405,$AN1438)="",$R1438,INDEX(職員マスタ!$C$6:$C$405,$AN1438)))</f>
        <v/>
      </c>
      <c r="X1438" s="14">
        <f>IF($AO1438="","","R"&amp;$C1438&amp;"."&amp;$D1438)</f>
        <v/>
      </c>
      <c r="Y1438" s="15">
        <f>IF($AN1438="","",IF(INDEX(職員マスタ!$K$6:$K$405,$AN1438)="","",INDEX(職員マスタ!$K$6:$K$405,$AN1438)))</f>
        <v/>
      </c>
      <c r="Z1438" s="14">
        <f>IF(OR($E1438="",$Y1438=""),"",IF($E1438&gt;=$Y1438,"×",IF($E1438&gt;=$Y1438*設定!$C$5,"△","○")))</f>
        <v/>
      </c>
      <c r="AA1438" s="15">
        <f>IF($Z1438="","",IF($Z1438="×",0,IF($Z1438="○",ROUNDDOWN($E1438*設定!$C$4,0),ROUNDDOWN($E1438*ROUND((9*$Y1438-9*$E1438)/(10*$E1438),4),0))))</f>
        <v/>
      </c>
      <c r="AB1438" s="13" t="n"/>
      <c r="AC1438" s="15">
        <f>IF($B1438="","",IF($AB1438&lt;&gt;"",$AB1438,IF($AA1438="","",IF($AA1438&lt;=設定!$C$3,0,$AA1438))))</f>
        <v/>
      </c>
      <c r="AD1438" s="14">
        <f>IF($B1438="","",IF(AND($AE1438&lt;&gt;"",$AG1438="",$AJ1438=""),"保留中",IF($AJ1438&lt;&gt;"",IF(N($AC1438)&gt;0,"支給済","不支給"),IF($AC1438="","要確認",IF($AC1438=0,"不支給","未処理")))))</f>
        <v/>
      </c>
      <c r="AE1438" s="12" t="n"/>
      <c r="AF1438" s="11" t="n"/>
      <c r="AG1438" s="11" t="n"/>
      <c r="AH1438" s="11" t="n"/>
      <c r="AI1438" s="14">
        <f>IF(AND($AD1438="保留中",$AF1438&lt;&gt;""),TODAY()-$AF1438,"")</f>
        <v/>
      </c>
      <c r="AJ1438" s="12" t="n"/>
      <c r="AK1438" s="14">
        <f>IF($B1438="","",IF($AO1438="","対象年月が未入力／","")&amp;IF($B1438="","",IF($AN1438="","職員マスタに未登録の職員番号／",IF($Y1438="","標準報酬月額が未登録／","")&amp;IF(AND($AO1438&lt;&gt;"",OR(AND(INDEX(職員マスタ!$G$6:$G$405,$AN1438)&lt;&gt;"",INDEX(職員マスタ!$G$6:$G$405,$AN1438)&gt;EOMONTH($AO1438,0)),AND(INDEX(職員マスタ!$H$6:$H$405,$AN1438)&lt;&gt;"",INDEX(職員マスタ!$H$6:$H$405,$AN1438)&lt;$AO1438))),"対象月が時短期間外／","")&amp;IF(AND(INDEX(職員マスタ!$F$6:$F$405,$AN1438)&lt;&gt;"",$AO1438&lt;&gt;"",INDEX(職員マスタ!$F$6:$F$405,$AN1438)&lt;$AO1438),"対象月に子が2歳到達済／","")&amp;IF(AND($H1438&lt;&gt;"",INDEX(職員マスタ!$B$6:$B$405,$AN1438)&lt;&gt;"",SUBSTITUTE(SUBSTITUTE($H1438," ","")," ","")&lt;&gt;SUBSTITUTE(SUBSTITUTE(INDEX(職員マスタ!$B$6:$B$405,$AN1438)," ","")," ","")),"氏名がマスタと相違／","")&amp;IF(AND($Q1438&lt;&gt;"",INDEX(職員マスタ!$E$6:$E$405,$AN1438)&lt;&gt;"",$Q1438&lt;&gt;INDEX(職員マスタ!$E$6:$E$405,$AN1438)),"子の生年月日がマスタと相違／","")&amp;IF(AND($L1438&lt;&gt;"",INDEX(職員マスタ!$G$6:$G$405,$AN1438)&lt;&gt;"",$L1438&lt;&gt;INDEX(職員マスタ!$G$6:$G$405,$AN1438)),"時短開始日がマスタと相違／","")&amp;IF(AND($M1438&lt;&gt;"",INDEX(職員マスタ!$H$6:$H$405,$AN1438)&lt;&gt;"",$M1438&lt;&gt;INDEX(職員マスタ!$H$6:$H$405,$AN1438)),"時短終了日がマスタと相違／","")))&amp;IF(AND($B1438&lt;&gt;"",$E1438=""),"報酬額が未入力／","")&amp;IF(N($U1438)&gt;0,"申請書に入力エラーが残っています／","")&amp;IF(AND($B1438&lt;&gt;"",$AO1438&lt;&gt;""),IF(COUNTIFS($B$6:$B$3005,$B1438,$C$6:$C$3005,$C1438,$D$6:$D$3005,$D1438)&gt;1,"同じ月の請求が重複しています／",""),"")&amp;IF(AND(N($E1438)&gt;0,$Z1438&lt;&gt;"",$Z1438&lt;&gt;"×",$AC1438=0,$AB1438=""),"計算額が下限以下のため不支給／",""))</f>
        <v/>
      </c>
      <c r="AL1438" s="12" t="n"/>
      <c r="AM1438" s="14">
        <f>IF($AD1438="保留中",COUNTIF($AD$6:$AD1438,"保留中"),"")</f>
        <v/>
      </c>
      <c r="AN1438" s="14">
        <f>IF($AO1438="","",IF(SUMPRODUCT(MAX((職員マスタ!$A$6:$A$405=$B1438)*(((職員マスタ!$G$6:$G$405="")+(職員マスタ!$G$6:$G$405&lt;=EOMONTH($AO1438,0)))&gt;0)*(((職員マスタ!$H$6:$H$405="")+(職員マスタ!$H$6:$H$405&gt;=$AO1438))&gt;0)*(ROW(職員マスタ!$A$6:$A$405)-5)))&gt;0,SUMPRODUCT(MAX((職員マスタ!$A$6:$A$405=$B1438)*(((職員マスタ!$G$6:$G$405="")+(職員マスタ!$G$6:$G$405&lt;=EOMONTH($AO1438,0)))&gt;0)*(((職員マスタ!$H$6:$H$405="")+(職員マスタ!$H$6:$H$405&gt;=$AO1438))&gt;0)*(ROW(職員マスタ!$A$6:$A$405)-5))),IFERROR(MATCH($B1438,職員マスタ!$A$6:$A$405,0),"")))</f>
        <v/>
      </c>
      <c r="AO1438" s="16">
        <f>IF(OR($B1438="",$C1438="",$D1438=""),"",DATE($C1438+2018,$D1438,1))</f>
        <v/>
      </c>
    </row>
    <row r="1439">
      <c r="A1439" s="11" t="n"/>
      <c r="B1439" s="12" t="n"/>
      <c r="C1439" s="12" t="n"/>
      <c r="D1439" s="12" t="n"/>
      <c r="E1439" s="13" t="n"/>
      <c r="F1439" s="12" t="n"/>
      <c r="G1439" s="13" t="n"/>
      <c r="H1439" s="12" t="n"/>
      <c r="I1439" s="12" t="n"/>
      <c r="J1439" s="12" t="n"/>
      <c r="K1439" s="12" t="n"/>
      <c r="L1439" s="11" t="n"/>
      <c r="M1439" s="11" t="n"/>
      <c r="N1439" s="11" t="n"/>
      <c r="O1439" s="11" t="n"/>
      <c r="P1439" s="12" t="n"/>
      <c r="Q1439" s="11" t="n"/>
      <c r="R1439" s="12" t="n"/>
      <c r="S1439" s="11" t="n"/>
      <c r="T1439" s="12" t="n"/>
      <c r="U1439" s="12" t="n"/>
      <c r="V1439" s="14">
        <f>IF($AN1439="",IF($B1439="","",$H1439),IF(INDEX(職員マスタ!$B$6:$B$405,$AN1439)="",$H1439,INDEX(職員マスタ!$B$6:$B$405,$AN1439)))</f>
        <v/>
      </c>
      <c r="W1439" s="14">
        <f>IF($AN1439="",IF($B1439="","",$R1439),IF(INDEX(職員マスタ!$C$6:$C$405,$AN1439)="",$R1439,INDEX(職員マスタ!$C$6:$C$405,$AN1439)))</f>
        <v/>
      </c>
      <c r="X1439" s="14">
        <f>IF($AO1439="","","R"&amp;$C1439&amp;"."&amp;$D1439)</f>
        <v/>
      </c>
      <c r="Y1439" s="15">
        <f>IF($AN1439="","",IF(INDEX(職員マスタ!$K$6:$K$405,$AN1439)="","",INDEX(職員マスタ!$K$6:$K$405,$AN1439)))</f>
        <v/>
      </c>
      <c r="Z1439" s="14">
        <f>IF(OR($E1439="",$Y1439=""),"",IF($E1439&gt;=$Y1439,"×",IF($E1439&gt;=$Y1439*設定!$C$5,"△","○")))</f>
        <v/>
      </c>
      <c r="AA1439" s="15">
        <f>IF($Z1439="","",IF($Z1439="×",0,IF($Z1439="○",ROUNDDOWN($E1439*設定!$C$4,0),ROUNDDOWN($E1439*ROUND((9*$Y1439-9*$E1439)/(10*$E1439),4),0))))</f>
        <v/>
      </c>
      <c r="AB1439" s="13" t="n"/>
      <c r="AC1439" s="15">
        <f>IF($B1439="","",IF($AB1439&lt;&gt;"",$AB1439,IF($AA1439="","",IF($AA1439&lt;=設定!$C$3,0,$AA1439))))</f>
        <v/>
      </c>
      <c r="AD1439" s="14">
        <f>IF($B1439="","",IF(AND($AE1439&lt;&gt;"",$AG1439="",$AJ1439=""),"保留中",IF($AJ1439&lt;&gt;"",IF(N($AC1439)&gt;0,"支給済","不支給"),IF($AC1439="","要確認",IF($AC1439=0,"不支給","未処理")))))</f>
        <v/>
      </c>
      <c r="AE1439" s="12" t="n"/>
      <c r="AF1439" s="11" t="n"/>
      <c r="AG1439" s="11" t="n"/>
      <c r="AH1439" s="11" t="n"/>
      <c r="AI1439" s="14">
        <f>IF(AND($AD1439="保留中",$AF1439&lt;&gt;""),TODAY()-$AF1439,"")</f>
        <v/>
      </c>
      <c r="AJ1439" s="12" t="n"/>
      <c r="AK1439" s="14">
        <f>IF($B1439="","",IF($AO1439="","対象年月が未入力／","")&amp;IF($B1439="","",IF($AN1439="","職員マスタに未登録の職員番号／",IF($Y1439="","標準報酬月額が未登録／","")&amp;IF(AND($AO1439&lt;&gt;"",OR(AND(INDEX(職員マスタ!$G$6:$G$405,$AN1439)&lt;&gt;"",INDEX(職員マスタ!$G$6:$G$405,$AN1439)&gt;EOMONTH($AO1439,0)),AND(INDEX(職員マスタ!$H$6:$H$405,$AN1439)&lt;&gt;"",INDEX(職員マスタ!$H$6:$H$405,$AN1439)&lt;$AO1439))),"対象月が時短期間外／","")&amp;IF(AND(INDEX(職員マスタ!$F$6:$F$405,$AN1439)&lt;&gt;"",$AO1439&lt;&gt;"",INDEX(職員マスタ!$F$6:$F$405,$AN1439)&lt;$AO1439),"対象月に子が2歳到達済／","")&amp;IF(AND($H1439&lt;&gt;"",INDEX(職員マスタ!$B$6:$B$405,$AN1439)&lt;&gt;"",SUBSTITUTE(SUBSTITUTE($H1439," ","")," ","")&lt;&gt;SUBSTITUTE(SUBSTITUTE(INDEX(職員マスタ!$B$6:$B$405,$AN1439)," ","")," ","")),"氏名がマスタと相違／","")&amp;IF(AND($Q1439&lt;&gt;"",INDEX(職員マスタ!$E$6:$E$405,$AN1439)&lt;&gt;"",$Q1439&lt;&gt;INDEX(職員マスタ!$E$6:$E$405,$AN1439)),"子の生年月日がマスタと相違／","")&amp;IF(AND($L1439&lt;&gt;"",INDEX(職員マスタ!$G$6:$G$405,$AN1439)&lt;&gt;"",$L1439&lt;&gt;INDEX(職員マスタ!$G$6:$G$405,$AN1439)),"時短開始日がマスタと相違／","")&amp;IF(AND($M1439&lt;&gt;"",INDEX(職員マスタ!$H$6:$H$405,$AN1439)&lt;&gt;"",$M1439&lt;&gt;INDEX(職員マスタ!$H$6:$H$405,$AN1439)),"時短終了日がマスタと相違／","")))&amp;IF(AND($B1439&lt;&gt;"",$E1439=""),"報酬額が未入力／","")&amp;IF(N($U1439)&gt;0,"申請書に入力エラーが残っています／","")&amp;IF(AND($B1439&lt;&gt;"",$AO1439&lt;&gt;""),IF(COUNTIFS($B$6:$B$3005,$B1439,$C$6:$C$3005,$C1439,$D$6:$D$3005,$D1439)&gt;1,"同じ月の請求が重複しています／",""),"")&amp;IF(AND(N($E1439)&gt;0,$Z1439&lt;&gt;"",$Z1439&lt;&gt;"×",$AC1439=0,$AB1439=""),"計算額が下限以下のため不支給／",""))</f>
        <v/>
      </c>
      <c r="AL1439" s="12" t="n"/>
      <c r="AM1439" s="14">
        <f>IF($AD1439="保留中",COUNTIF($AD$6:$AD1439,"保留中"),"")</f>
        <v/>
      </c>
      <c r="AN1439" s="14">
        <f>IF($AO1439="","",IF(SUMPRODUCT(MAX((職員マスタ!$A$6:$A$405=$B1439)*(((職員マスタ!$G$6:$G$405="")+(職員マスタ!$G$6:$G$405&lt;=EOMONTH($AO1439,0)))&gt;0)*(((職員マスタ!$H$6:$H$405="")+(職員マスタ!$H$6:$H$405&gt;=$AO1439))&gt;0)*(ROW(職員マスタ!$A$6:$A$405)-5)))&gt;0,SUMPRODUCT(MAX((職員マスタ!$A$6:$A$405=$B1439)*(((職員マスタ!$G$6:$G$405="")+(職員マスタ!$G$6:$G$405&lt;=EOMONTH($AO1439,0)))&gt;0)*(((職員マスタ!$H$6:$H$405="")+(職員マスタ!$H$6:$H$405&gt;=$AO1439))&gt;0)*(ROW(職員マスタ!$A$6:$A$405)-5))),IFERROR(MATCH($B1439,職員マスタ!$A$6:$A$405,0),"")))</f>
        <v/>
      </c>
      <c r="AO1439" s="16">
        <f>IF(OR($B1439="",$C1439="",$D1439=""),"",DATE($C1439+2018,$D1439,1))</f>
        <v/>
      </c>
    </row>
    <row r="1440">
      <c r="A1440" s="11" t="n"/>
      <c r="B1440" s="12" t="n"/>
      <c r="C1440" s="12" t="n"/>
      <c r="D1440" s="12" t="n"/>
      <c r="E1440" s="13" t="n"/>
      <c r="F1440" s="12" t="n"/>
      <c r="G1440" s="13" t="n"/>
      <c r="H1440" s="12" t="n"/>
      <c r="I1440" s="12" t="n"/>
      <c r="J1440" s="12" t="n"/>
      <c r="K1440" s="12" t="n"/>
      <c r="L1440" s="11" t="n"/>
      <c r="M1440" s="11" t="n"/>
      <c r="N1440" s="11" t="n"/>
      <c r="O1440" s="11" t="n"/>
      <c r="P1440" s="12" t="n"/>
      <c r="Q1440" s="11" t="n"/>
      <c r="R1440" s="12" t="n"/>
      <c r="S1440" s="11" t="n"/>
      <c r="T1440" s="12" t="n"/>
      <c r="U1440" s="12" t="n"/>
      <c r="V1440" s="14">
        <f>IF($AN1440="",IF($B1440="","",$H1440),IF(INDEX(職員マスタ!$B$6:$B$405,$AN1440)="",$H1440,INDEX(職員マスタ!$B$6:$B$405,$AN1440)))</f>
        <v/>
      </c>
      <c r="W1440" s="14">
        <f>IF($AN1440="",IF($B1440="","",$R1440),IF(INDEX(職員マスタ!$C$6:$C$405,$AN1440)="",$R1440,INDEX(職員マスタ!$C$6:$C$405,$AN1440)))</f>
        <v/>
      </c>
      <c r="X1440" s="14">
        <f>IF($AO1440="","","R"&amp;$C1440&amp;"."&amp;$D1440)</f>
        <v/>
      </c>
      <c r="Y1440" s="15">
        <f>IF($AN1440="","",IF(INDEX(職員マスタ!$K$6:$K$405,$AN1440)="","",INDEX(職員マスタ!$K$6:$K$405,$AN1440)))</f>
        <v/>
      </c>
      <c r="Z1440" s="14">
        <f>IF(OR($E1440="",$Y1440=""),"",IF($E1440&gt;=$Y1440,"×",IF($E1440&gt;=$Y1440*設定!$C$5,"△","○")))</f>
        <v/>
      </c>
      <c r="AA1440" s="15">
        <f>IF($Z1440="","",IF($Z1440="×",0,IF($Z1440="○",ROUNDDOWN($E1440*設定!$C$4,0),ROUNDDOWN($E1440*ROUND((9*$Y1440-9*$E1440)/(10*$E1440),4),0))))</f>
        <v/>
      </c>
      <c r="AB1440" s="13" t="n"/>
      <c r="AC1440" s="15">
        <f>IF($B1440="","",IF($AB1440&lt;&gt;"",$AB1440,IF($AA1440="","",IF($AA1440&lt;=設定!$C$3,0,$AA1440))))</f>
        <v/>
      </c>
      <c r="AD1440" s="14">
        <f>IF($B1440="","",IF(AND($AE1440&lt;&gt;"",$AG1440="",$AJ1440=""),"保留中",IF($AJ1440&lt;&gt;"",IF(N($AC1440)&gt;0,"支給済","不支給"),IF($AC1440="","要確認",IF($AC1440=0,"不支給","未処理")))))</f>
        <v/>
      </c>
      <c r="AE1440" s="12" t="n"/>
      <c r="AF1440" s="11" t="n"/>
      <c r="AG1440" s="11" t="n"/>
      <c r="AH1440" s="11" t="n"/>
      <c r="AI1440" s="14">
        <f>IF(AND($AD1440="保留中",$AF1440&lt;&gt;""),TODAY()-$AF1440,"")</f>
        <v/>
      </c>
      <c r="AJ1440" s="12" t="n"/>
      <c r="AK1440" s="14">
        <f>IF($B1440="","",IF($AO1440="","対象年月が未入力／","")&amp;IF($B1440="","",IF($AN1440="","職員マスタに未登録の職員番号／",IF($Y1440="","標準報酬月額が未登録／","")&amp;IF(AND($AO1440&lt;&gt;"",OR(AND(INDEX(職員マスタ!$G$6:$G$405,$AN1440)&lt;&gt;"",INDEX(職員マスタ!$G$6:$G$405,$AN1440)&gt;EOMONTH($AO1440,0)),AND(INDEX(職員マスタ!$H$6:$H$405,$AN1440)&lt;&gt;"",INDEX(職員マスタ!$H$6:$H$405,$AN1440)&lt;$AO1440))),"対象月が時短期間外／","")&amp;IF(AND(INDEX(職員マスタ!$F$6:$F$405,$AN1440)&lt;&gt;"",$AO1440&lt;&gt;"",INDEX(職員マスタ!$F$6:$F$405,$AN1440)&lt;$AO1440),"対象月に子が2歳到達済／","")&amp;IF(AND($H1440&lt;&gt;"",INDEX(職員マスタ!$B$6:$B$405,$AN1440)&lt;&gt;"",SUBSTITUTE(SUBSTITUTE($H1440," ","")," ","")&lt;&gt;SUBSTITUTE(SUBSTITUTE(INDEX(職員マスタ!$B$6:$B$405,$AN1440)," ","")," ","")),"氏名がマスタと相違／","")&amp;IF(AND($Q1440&lt;&gt;"",INDEX(職員マスタ!$E$6:$E$405,$AN1440)&lt;&gt;"",$Q1440&lt;&gt;INDEX(職員マスタ!$E$6:$E$405,$AN1440)),"子の生年月日がマスタと相違／","")&amp;IF(AND($L1440&lt;&gt;"",INDEX(職員マスタ!$G$6:$G$405,$AN1440)&lt;&gt;"",$L1440&lt;&gt;INDEX(職員マスタ!$G$6:$G$405,$AN1440)),"時短開始日がマスタと相違／","")&amp;IF(AND($M1440&lt;&gt;"",INDEX(職員マスタ!$H$6:$H$405,$AN1440)&lt;&gt;"",$M1440&lt;&gt;INDEX(職員マスタ!$H$6:$H$405,$AN1440)),"時短終了日がマスタと相違／","")))&amp;IF(AND($B1440&lt;&gt;"",$E1440=""),"報酬額が未入力／","")&amp;IF(N($U1440)&gt;0,"申請書に入力エラーが残っています／","")&amp;IF(AND($B1440&lt;&gt;"",$AO1440&lt;&gt;""),IF(COUNTIFS($B$6:$B$3005,$B1440,$C$6:$C$3005,$C1440,$D$6:$D$3005,$D1440)&gt;1,"同じ月の請求が重複しています／",""),"")&amp;IF(AND(N($E1440)&gt;0,$Z1440&lt;&gt;"",$Z1440&lt;&gt;"×",$AC1440=0,$AB1440=""),"計算額が下限以下のため不支給／",""))</f>
        <v/>
      </c>
      <c r="AL1440" s="12" t="n"/>
      <c r="AM1440" s="14">
        <f>IF($AD1440="保留中",COUNTIF($AD$6:$AD1440,"保留中"),"")</f>
        <v/>
      </c>
      <c r="AN1440" s="14">
        <f>IF($AO1440="","",IF(SUMPRODUCT(MAX((職員マスタ!$A$6:$A$405=$B1440)*(((職員マスタ!$G$6:$G$405="")+(職員マスタ!$G$6:$G$405&lt;=EOMONTH($AO1440,0)))&gt;0)*(((職員マスタ!$H$6:$H$405="")+(職員マスタ!$H$6:$H$405&gt;=$AO1440))&gt;0)*(ROW(職員マスタ!$A$6:$A$405)-5)))&gt;0,SUMPRODUCT(MAX((職員マスタ!$A$6:$A$405=$B1440)*(((職員マスタ!$G$6:$G$405="")+(職員マスタ!$G$6:$G$405&lt;=EOMONTH($AO1440,0)))&gt;0)*(((職員マスタ!$H$6:$H$405="")+(職員マスタ!$H$6:$H$405&gt;=$AO1440))&gt;0)*(ROW(職員マスタ!$A$6:$A$405)-5))),IFERROR(MATCH($B1440,職員マスタ!$A$6:$A$405,0),"")))</f>
        <v/>
      </c>
      <c r="AO1440" s="16">
        <f>IF(OR($B1440="",$C1440="",$D1440=""),"",DATE($C1440+2018,$D1440,1))</f>
        <v/>
      </c>
    </row>
    <row r="1441">
      <c r="A1441" s="11" t="n"/>
      <c r="B1441" s="12" t="n"/>
      <c r="C1441" s="12" t="n"/>
      <c r="D1441" s="12" t="n"/>
      <c r="E1441" s="13" t="n"/>
      <c r="F1441" s="12" t="n"/>
      <c r="G1441" s="13" t="n"/>
      <c r="H1441" s="12" t="n"/>
      <c r="I1441" s="12" t="n"/>
      <c r="J1441" s="12" t="n"/>
      <c r="K1441" s="12" t="n"/>
      <c r="L1441" s="11" t="n"/>
      <c r="M1441" s="11" t="n"/>
      <c r="N1441" s="11" t="n"/>
      <c r="O1441" s="11" t="n"/>
      <c r="P1441" s="12" t="n"/>
      <c r="Q1441" s="11" t="n"/>
      <c r="R1441" s="12" t="n"/>
      <c r="S1441" s="11" t="n"/>
      <c r="T1441" s="12" t="n"/>
      <c r="U1441" s="12" t="n"/>
      <c r="V1441" s="14">
        <f>IF($AN1441="",IF($B1441="","",$H1441),IF(INDEX(職員マスタ!$B$6:$B$405,$AN1441)="",$H1441,INDEX(職員マスタ!$B$6:$B$405,$AN1441)))</f>
        <v/>
      </c>
      <c r="W1441" s="14">
        <f>IF($AN1441="",IF($B1441="","",$R1441),IF(INDEX(職員マスタ!$C$6:$C$405,$AN1441)="",$R1441,INDEX(職員マスタ!$C$6:$C$405,$AN1441)))</f>
        <v/>
      </c>
      <c r="X1441" s="14">
        <f>IF($AO1441="","","R"&amp;$C1441&amp;"."&amp;$D1441)</f>
        <v/>
      </c>
      <c r="Y1441" s="15">
        <f>IF($AN1441="","",IF(INDEX(職員マスタ!$K$6:$K$405,$AN1441)="","",INDEX(職員マスタ!$K$6:$K$405,$AN1441)))</f>
        <v/>
      </c>
      <c r="Z1441" s="14">
        <f>IF(OR($E1441="",$Y1441=""),"",IF($E1441&gt;=$Y1441,"×",IF($E1441&gt;=$Y1441*設定!$C$5,"△","○")))</f>
        <v/>
      </c>
      <c r="AA1441" s="15">
        <f>IF($Z1441="","",IF($Z1441="×",0,IF($Z1441="○",ROUNDDOWN($E1441*設定!$C$4,0),ROUNDDOWN($E1441*ROUND((9*$Y1441-9*$E1441)/(10*$E1441),4),0))))</f>
        <v/>
      </c>
      <c r="AB1441" s="13" t="n"/>
      <c r="AC1441" s="15">
        <f>IF($B1441="","",IF($AB1441&lt;&gt;"",$AB1441,IF($AA1441="","",IF($AA1441&lt;=設定!$C$3,0,$AA1441))))</f>
        <v/>
      </c>
      <c r="AD1441" s="14">
        <f>IF($B1441="","",IF(AND($AE1441&lt;&gt;"",$AG1441="",$AJ1441=""),"保留中",IF($AJ1441&lt;&gt;"",IF(N($AC1441)&gt;0,"支給済","不支給"),IF($AC1441="","要確認",IF($AC1441=0,"不支給","未処理")))))</f>
        <v/>
      </c>
      <c r="AE1441" s="12" t="n"/>
      <c r="AF1441" s="11" t="n"/>
      <c r="AG1441" s="11" t="n"/>
      <c r="AH1441" s="11" t="n"/>
      <c r="AI1441" s="14">
        <f>IF(AND($AD1441="保留中",$AF1441&lt;&gt;""),TODAY()-$AF1441,"")</f>
        <v/>
      </c>
      <c r="AJ1441" s="12" t="n"/>
      <c r="AK1441" s="14">
        <f>IF($B1441="","",IF($AO1441="","対象年月が未入力／","")&amp;IF($B1441="","",IF($AN1441="","職員マスタに未登録の職員番号／",IF($Y1441="","標準報酬月額が未登録／","")&amp;IF(AND($AO1441&lt;&gt;"",OR(AND(INDEX(職員マスタ!$G$6:$G$405,$AN1441)&lt;&gt;"",INDEX(職員マスタ!$G$6:$G$405,$AN1441)&gt;EOMONTH($AO1441,0)),AND(INDEX(職員マスタ!$H$6:$H$405,$AN1441)&lt;&gt;"",INDEX(職員マスタ!$H$6:$H$405,$AN1441)&lt;$AO1441))),"対象月が時短期間外／","")&amp;IF(AND(INDEX(職員マスタ!$F$6:$F$405,$AN1441)&lt;&gt;"",$AO1441&lt;&gt;"",INDEX(職員マスタ!$F$6:$F$405,$AN1441)&lt;$AO1441),"対象月に子が2歳到達済／","")&amp;IF(AND($H1441&lt;&gt;"",INDEX(職員マスタ!$B$6:$B$405,$AN1441)&lt;&gt;"",SUBSTITUTE(SUBSTITUTE($H1441," ","")," ","")&lt;&gt;SUBSTITUTE(SUBSTITUTE(INDEX(職員マスタ!$B$6:$B$405,$AN1441)," ","")," ","")),"氏名がマスタと相違／","")&amp;IF(AND($Q1441&lt;&gt;"",INDEX(職員マスタ!$E$6:$E$405,$AN1441)&lt;&gt;"",$Q1441&lt;&gt;INDEX(職員マスタ!$E$6:$E$405,$AN1441)),"子の生年月日がマスタと相違／","")&amp;IF(AND($L1441&lt;&gt;"",INDEX(職員マスタ!$G$6:$G$405,$AN1441)&lt;&gt;"",$L1441&lt;&gt;INDEX(職員マスタ!$G$6:$G$405,$AN1441)),"時短開始日がマスタと相違／","")&amp;IF(AND($M1441&lt;&gt;"",INDEX(職員マスタ!$H$6:$H$405,$AN1441)&lt;&gt;"",$M1441&lt;&gt;INDEX(職員マスタ!$H$6:$H$405,$AN1441)),"時短終了日がマスタと相違／","")))&amp;IF(AND($B1441&lt;&gt;"",$E1441=""),"報酬額が未入力／","")&amp;IF(N($U1441)&gt;0,"申請書に入力エラーが残っています／","")&amp;IF(AND($B1441&lt;&gt;"",$AO1441&lt;&gt;""),IF(COUNTIFS($B$6:$B$3005,$B1441,$C$6:$C$3005,$C1441,$D$6:$D$3005,$D1441)&gt;1,"同じ月の請求が重複しています／",""),"")&amp;IF(AND(N($E1441)&gt;0,$Z1441&lt;&gt;"",$Z1441&lt;&gt;"×",$AC1441=0,$AB1441=""),"計算額が下限以下のため不支給／",""))</f>
        <v/>
      </c>
      <c r="AL1441" s="12" t="n"/>
      <c r="AM1441" s="14">
        <f>IF($AD1441="保留中",COUNTIF($AD$6:$AD1441,"保留中"),"")</f>
        <v/>
      </c>
      <c r="AN1441" s="14">
        <f>IF($AO1441="","",IF(SUMPRODUCT(MAX((職員マスタ!$A$6:$A$405=$B1441)*(((職員マスタ!$G$6:$G$405="")+(職員マスタ!$G$6:$G$405&lt;=EOMONTH($AO1441,0)))&gt;0)*(((職員マスタ!$H$6:$H$405="")+(職員マスタ!$H$6:$H$405&gt;=$AO1441))&gt;0)*(ROW(職員マスタ!$A$6:$A$405)-5)))&gt;0,SUMPRODUCT(MAX((職員マスタ!$A$6:$A$405=$B1441)*(((職員マスタ!$G$6:$G$405="")+(職員マスタ!$G$6:$G$405&lt;=EOMONTH($AO1441,0)))&gt;0)*(((職員マスタ!$H$6:$H$405="")+(職員マスタ!$H$6:$H$405&gt;=$AO1441))&gt;0)*(ROW(職員マスタ!$A$6:$A$405)-5))),IFERROR(MATCH($B1441,職員マスタ!$A$6:$A$405,0),"")))</f>
        <v/>
      </c>
      <c r="AO1441" s="16">
        <f>IF(OR($B1441="",$C1441="",$D1441=""),"",DATE($C1441+2018,$D1441,1))</f>
        <v/>
      </c>
    </row>
    <row r="1442">
      <c r="A1442" s="11" t="n"/>
      <c r="B1442" s="12" t="n"/>
      <c r="C1442" s="12" t="n"/>
      <c r="D1442" s="12" t="n"/>
      <c r="E1442" s="13" t="n"/>
      <c r="F1442" s="12" t="n"/>
      <c r="G1442" s="13" t="n"/>
      <c r="H1442" s="12" t="n"/>
      <c r="I1442" s="12" t="n"/>
      <c r="J1442" s="12" t="n"/>
      <c r="K1442" s="12" t="n"/>
      <c r="L1442" s="11" t="n"/>
      <c r="M1442" s="11" t="n"/>
      <c r="N1442" s="11" t="n"/>
      <c r="O1442" s="11" t="n"/>
      <c r="P1442" s="12" t="n"/>
      <c r="Q1442" s="11" t="n"/>
      <c r="R1442" s="12" t="n"/>
      <c r="S1442" s="11" t="n"/>
      <c r="T1442" s="12" t="n"/>
      <c r="U1442" s="12" t="n"/>
      <c r="V1442" s="14">
        <f>IF($AN1442="",IF($B1442="","",$H1442),IF(INDEX(職員マスタ!$B$6:$B$405,$AN1442)="",$H1442,INDEX(職員マスタ!$B$6:$B$405,$AN1442)))</f>
        <v/>
      </c>
      <c r="W1442" s="14">
        <f>IF($AN1442="",IF($B1442="","",$R1442),IF(INDEX(職員マスタ!$C$6:$C$405,$AN1442)="",$R1442,INDEX(職員マスタ!$C$6:$C$405,$AN1442)))</f>
        <v/>
      </c>
      <c r="X1442" s="14">
        <f>IF($AO1442="","","R"&amp;$C1442&amp;"."&amp;$D1442)</f>
        <v/>
      </c>
      <c r="Y1442" s="15">
        <f>IF($AN1442="","",IF(INDEX(職員マスタ!$K$6:$K$405,$AN1442)="","",INDEX(職員マスタ!$K$6:$K$405,$AN1442)))</f>
        <v/>
      </c>
      <c r="Z1442" s="14">
        <f>IF(OR($E1442="",$Y1442=""),"",IF($E1442&gt;=$Y1442,"×",IF($E1442&gt;=$Y1442*設定!$C$5,"△","○")))</f>
        <v/>
      </c>
      <c r="AA1442" s="15">
        <f>IF($Z1442="","",IF($Z1442="×",0,IF($Z1442="○",ROUNDDOWN($E1442*設定!$C$4,0),ROUNDDOWN($E1442*ROUND((9*$Y1442-9*$E1442)/(10*$E1442),4),0))))</f>
        <v/>
      </c>
      <c r="AB1442" s="13" t="n"/>
      <c r="AC1442" s="15">
        <f>IF($B1442="","",IF($AB1442&lt;&gt;"",$AB1442,IF($AA1442="","",IF($AA1442&lt;=設定!$C$3,0,$AA1442))))</f>
        <v/>
      </c>
      <c r="AD1442" s="14">
        <f>IF($B1442="","",IF(AND($AE1442&lt;&gt;"",$AG1442="",$AJ1442=""),"保留中",IF($AJ1442&lt;&gt;"",IF(N($AC1442)&gt;0,"支給済","不支給"),IF($AC1442="","要確認",IF($AC1442=0,"不支給","未処理")))))</f>
        <v/>
      </c>
      <c r="AE1442" s="12" t="n"/>
      <c r="AF1442" s="11" t="n"/>
      <c r="AG1442" s="11" t="n"/>
      <c r="AH1442" s="11" t="n"/>
      <c r="AI1442" s="14">
        <f>IF(AND($AD1442="保留中",$AF1442&lt;&gt;""),TODAY()-$AF1442,"")</f>
        <v/>
      </c>
      <c r="AJ1442" s="12" t="n"/>
      <c r="AK1442" s="14">
        <f>IF($B1442="","",IF($AO1442="","対象年月が未入力／","")&amp;IF($B1442="","",IF($AN1442="","職員マスタに未登録の職員番号／",IF($Y1442="","標準報酬月額が未登録／","")&amp;IF(AND($AO1442&lt;&gt;"",OR(AND(INDEX(職員マスタ!$G$6:$G$405,$AN1442)&lt;&gt;"",INDEX(職員マスタ!$G$6:$G$405,$AN1442)&gt;EOMONTH($AO1442,0)),AND(INDEX(職員マスタ!$H$6:$H$405,$AN1442)&lt;&gt;"",INDEX(職員マスタ!$H$6:$H$405,$AN1442)&lt;$AO1442))),"対象月が時短期間外／","")&amp;IF(AND(INDEX(職員マスタ!$F$6:$F$405,$AN1442)&lt;&gt;"",$AO1442&lt;&gt;"",INDEX(職員マスタ!$F$6:$F$405,$AN1442)&lt;$AO1442),"対象月に子が2歳到達済／","")&amp;IF(AND($H1442&lt;&gt;"",INDEX(職員マスタ!$B$6:$B$405,$AN1442)&lt;&gt;"",SUBSTITUTE(SUBSTITUTE($H1442," ","")," ","")&lt;&gt;SUBSTITUTE(SUBSTITUTE(INDEX(職員マスタ!$B$6:$B$405,$AN1442)," ","")," ","")),"氏名がマスタと相違／","")&amp;IF(AND($Q1442&lt;&gt;"",INDEX(職員マスタ!$E$6:$E$405,$AN1442)&lt;&gt;"",$Q1442&lt;&gt;INDEX(職員マスタ!$E$6:$E$405,$AN1442)),"子の生年月日がマスタと相違／","")&amp;IF(AND($L1442&lt;&gt;"",INDEX(職員マスタ!$G$6:$G$405,$AN1442)&lt;&gt;"",$L1442&lt;&gt;INDEX(職員マスタ!$G$6:$G$405,$AN1442)),"時短開始日がマスタと相違／","")&amp;IF(AND($M1442&lt;&gt;"",INDEX(職員マスタ!$H$6:$H$405,$AN1442)&lt;&gt;"",$M1442&lt;&gt;INDEX(職員マスタ!$H$6:$H$405,$AN1442)),"時短終了日がマスタと相違／","")))&amp;IF(AND($B1442&lt;&gt;"",$E1442=""),"報酬額が未入力／","")&amp;IF(N($U1442)&gt;0,"申請書に入力エラーが残っています／","")&amp;IF(AND($B1442&lt;&gt;"",$AO1442&lt;&gt;""),IF(COUNTIFS($B$6:$B$3005,$B1442,$C$6:$C$3005,$C1442,$D$6:$D$3005,$D1442)&gt;1,"同じ月の請求が重複しています／",""),"")&amp;IF(AND(N($E1442)&gt;0,$Z1442&lt;&gt;"",$Z1442&lt;&gt;"×",$AC1442=0,$AB1442=""),"計算額が下限以下のため不支給／",""))</f>
        <v/>
      </c>
      <c r="AL1442" s="12" t="n"/>
      <c r="AM1442" s="14">
        <f>IF($AD1442="保留中",COUNTIF($AD$6:$AD1442,"保留中"),"")</f>
        <v/>
      </c>
      <c r="AN1442" s="14">
        <f>IF($AO1442="","",IF(SUMPRODUCT(MAX((職員マスタ!$A$6:$A$405=$B1442)*(((職員マスタ!$G$6:$G$405="")+(職員マスタ!$G$6:$G$405&lt;=EOMONTH($AO1442,0)))&gt;0)*(((職員マスタ!$H$6:$H$405="")+(職員マスタ!$H$6:$H$405&gt;=$AO1442))&gt;0)*(ROW(職員マスタ!$A$6:$A$405)-5)))&gt;0,SUMPRODUCT(MAX((職員マスタ!$A$6:$A$405=$B1442)*(((職員マスタ!$G$6:$G$405="")+(職員マスタ!$G$6:$G$405&lt;=EOMONTH($AO1442,0)))&gt;0)*(((職員マスタ!$H$6:$H$405="")+(職員マスタ!$H$6:$H$405&gt;=$AO1442))&gt;0)*(ROW(職員マスタ!$A$6:$A$405)-5))),IFERROR(MATCH($B1442,職員マスタ!$A$6:$A$405,0),"")))</f>
        <v/>
      </c>
      <c r="AO1442" s="16">
        <f>IF(OR($B1442="",$C1442="",$D1442=""),"",DATE($C1442+2018,$D1442,1))</f>
        <v/>
      </c>
    </row>
    <row r="1443">
      <c r="A1443" s="11" t="n"/>
      <c r="B1443" s="12" t="n"/>
      <c r="C1443" s="12" t="n"/>
      <c r="D1443" s="12" t="n"/>
      <c r="E1443" s="13" t="n"/>
      <c r="F1443" s="12" t="n"/>
      <c r="G1443" s="13" t="n"/>
      <c r="H1443" s="12" t="n"/>
      <c r="I1443" s="12" t="n"/>
      <c r="J1443" s="12" t="n"/>
      <c r="K1443" s="12" t="n"/>
      <c r="L1443" s="11" t="n"/>
      <c r="M1443" s="11" t="n"/>
      <c r="N1443" s="11" t="n"/>
      <c r="O1443" s="11" t="n"/>
      <c r="P1443" s="12" t="n"/>
      <c r="Q1443" s="11" t="n"/>
      <c r="R1443" s="12" t="n"/>
      <c r="S1443" s="11" t="n"/>
      <c r="T1443" s="12" t="n"/>
      <c r="U1443" s="12" t="n"/>
      <c r="V1443" s="14">
        <f>IF($AN1443="",IF($B1443="","",$H1443),IF(INDEX(職員マスタ!$B$6:$B$405,$AN1443)="",$H1443,INDEX(職員マスタ!$B$6:$B$405,$AN1443)))</f>
        <v/>
      </c>
      <c r="W1443" s="14">
        <f>IF($AN1443="",IF($B1443="","",$R1443),IF(INDEX(職員マスタ!$C$6:$C$405,$AN1443)="",$R1443,INDEX(職員マスタ!$C$6:$C$405,$AN1443)))</f>
        <v/>
      </c>
      <c r="X1443" s="14">
        <f>IF($AO1443="","","R"&amp;$C1443&amp;"."&amp;$D1443)</f>
        <v/>
      </c>
      <c r="Y1443" s="15">
        <f>IF($AN1443="","",IF(INDEX(職員マスタ!$K$6:$K$405,$AN1443)="","",INDEX(職員マスタ!$K$6:$K$405,$AN1443)))</f>
        <v/>
      </c>
      <c r="Z1443" s="14">
        <f>IF(OR($E1443="",$Y1443=""),"",IF($E1443&gt;=$Y1443,"×",IF($E1443&gt;=$Y1443*設定!$C$5,"△","○")))</f>
        <v/>
      </c>
      <c r="AA1443" s="15">
        <f>IF($Z1443="","",IF($Z1443="×",0,IF($Z1443="○",ROUNDDOWN($E1443*設定!$C$4,0),ROUNDDOWN($E1443*ROUND((9*$Y1443-9*$E1443)/(10*$E1443),4),0))))</f>
        <v/>
      </c>
      <c r="AB1443" s="13" t="n"/>
      <c r="AC1443" s="15">
        <f>IF($B1443="","",IF($AB1443&lt;&gt;"",$AB1443,IF($AA1443="","",IF($AA1443&lt;=設定!$C$3,0,$AA1443))))</f>
        <v/>
      </c>
      <c r="AD1443" s="14">
        <f>IF($B1443="","",IF(AND($AE1443&lt;&gt;"",$AG1443="",$AJ1443=""),"保留中",IF($AJ1443&lt;&gt;"",IF(N($AC1443)&gt;0,"支給済","不支給"),IF($AC1443="","要確認",IF($AC1443=0,"不支給","未処理")))))</f>
        <v/>
      </c>
      <c r="AE1443" s="12" t="n"/>
      <c r="AF1443" s="11" t="n"/>
      <c r="AG1443" s="11" t="n"/>
      <c r="AH1443" s="11" t="n"/>
      <c r="AI1443" s="14">
        <f>IF(AND($AD1443="保留中",$AF1443&lt;&gt;""),TODAY()-$AF1443,"")</f>
        <v/>
      </c>
      <c r="AJ1443" s="12" t="n"/>
      <c r="AK1443" s="14">
        <f>IF($B1443="","",IF($AO1443="","対象年月が未入力／","")&amp;IF($B1443="","",IF($AN1443="","職員マスタに未登録の職員番号／",IF($Y1443="","標準報酬月額が未登録／","")&amp;IF(AND($AO1443&lt;&gt;"",OR(AND(INDEX(職員マスタ!$G$6:$G$405,$AN1443)&lt;&gt;"",INDEX(職員マスタ!$G$6:$G$405,$AN1443)&gt;EOMONTH($AO1443,0)),AND(INDEX(職員マスタ!$H$6:$H$405,$AN1443)&lt;&gt;"",INDEX(職員マスタ!$H$6:$H$405,$AN1443)&lt;$AO1443))),"対象月が時短期間外／","")&amp;IF(AND(INDEX(職員マスタ!$F$6:$F$405,$AN1443)&lt;&gt;"",$AO1443&lt;&gt;"",INDEX(職員マスタ!$F$6:$F$405,$AN1443)&lt;$AO1443),"対象月に子が2歳到達済／","")&amp;IF(AND($H1443&lt;&gt;"",INDEX(職員マスタ!$B$6:$B$405,$AN1443)&lt;&gt;"",SUBSTITUTE(SUBSTITUTE($H1443," ","")," ","")&lt;&gt;SUBSTITUTE(SUBSTITUTE(INDEX(職員マスタ!$B$6:$B$405,$AN1443)," ","")," ","")),"氏名がマスタと相違／","")&amp;IF(AND($Q1443&lt;&gt;"",INDEX(職員マスタ!$E$6:$E$405,$AN1443)&lt;&gt;"",$Q1443&lt;&gt;INDEX(職員マスタ!$E$6:$E$405,$AN1443)),"子の生年月日がマスタと相違／","")&amp;IF(AND($L1443&lt;&gt;"",INDEX(職員マスタ!$G$6:$G$405,$AN1443)&lt;&gt;"",$L1443&lt;&gt;INDEX(職員マスタ!$G$6:$G$405,$AN1443)),"時短開始日がマスタと相違／","")&amp;IF(AND($M1443&lt;&gt;"",INDEX(職員マスタ!$H$6:$H$405,$AN1443)&lt;&gt;"",$M1443&lt;&gt;INDEX(職員マスタ!$H$6:$H$405,$AN1443)),"時短終了日がマスタと相違／","")))&amp;IF(AND($B1443&lt;&gt;"",$E1443=""),"報酬額が未入力／","")&amp;IF(N($U1443)&gt;0,"申請書に入力エラーが残っています／","")&amp;IF(AND($B1443&lt;&gt;"",$AO1443&lt;&gt;""),IF(COUNTIFS($B$6:$B$3005,$B1443,$C$6:$C$3005,$C1443,$D$6:$D$3005,$D1443)&gt;1,"同じ月の請求が重複しています／",""),"")&amp;IF(AND(N($E1443)&gt;0,$Z1443&lt;&gt;"",$Z1443&lt;&gt;"×",$AC1443=0,$AB1443=""),"計算額が下限以下のため不支給／",""))</f>
        <v/>
      </c>
      <c r="AL1443" s="12" t="n"/>
      <c r="AM1443" s="14">
        <f>IF($AD1443="保留中",COUNTIF($AD$6:$AD1443,"保留中"),"")</f>
        <v/>
      </c>
      <c r="AN1443" s="14">
        <f>IF($AO1443="","",IF(SUMPRODUCT(MAX((職員マスタ!$A$6:$A$405=$B1443)*(((職員マスタ!$G$6:$G$405="")+(職員マスタ!$G$6:$G$405&lt;=EOMONTH($AO1443,0)))&gt;0)*(((職員マスタ!$H$6:$H$405="")+(職員マスタ!$H$6:$H$405&gt;=$AO1443))&gt;0)*(ROW(職員マスタ!$A$6:$A$405)-5)))&gt;0,SUMPRODUCT(MAX((職員マスタ!$A$6:$A$405=$B1443)*(((職員マスタ!$G$6:$G$405="")+(職員マスタ!$G$6:$G$405&lt;=EOMONTH($AO1443,0)))&gt;0)*(((職員マスタ!$H$6:$H$405="")+(職員マスタ!$H$6:$H$405&gt;=$AO1443))&gt;0)*(ROW(職員マスタ!$A$6:$A$405)-5))),IFERROR(MATCH($B1443,職員マスタ!$A$6:$A$405,0),"")))</f>
        <v/>
      </c>
      <c r="AO1443" s="16">
        <f>IF(OR($B1443="",$C1443="",$D1443=""),"",DATE($C1443+2018,$D1443,1))</f>
        <v/>
      </c>
    </row>
    <row r="1444">
      <c r="A1444" s="11" t="n"/>
      <c r="B1444" s="12" t="n"/>
      <c r="C1444" s="12" t="n"/>
      <c r="D1444" s="12" t="n"/>
      <c r="E1444" s="13" t="n"/>
      <c r="F1444" s="12" t="n"/>
      <c r="G1444" s="13" t="n"/>
      <c r="H1444" s="12" t="n"/>
      <c r="I1444" s="12" t="n"/>
      <c r="J1444" s="12" t="n"/>
      <c r="K1444" s="12" t="n"/>
      <c r="L1444" s="11" t="n"/>
      <c r="M1444" s="11" t="n"/>
      <c r="N1444" s="11" t="n"/>
      <c r="O1444" s="11" t="n"/>
      <c r="P1444" s="12" t="n"/>
      <c r="Q1444" s="11" t="n"/>
      <c r="R1444" s="12" t="n"/>
      <c r="S1444" s="11" t="n"/>
      <c r="T1444" s="12" t="n"/>
      <c r="U1444" s="12" t="n"/>
      <c r="V1444" s="14">
        <f>IF($AN1444="",IF($B1444="","",$H1444),IF(INDEX(職員マスタ!$B$6:$B$405,$AN1444)="",$H1444,INDEX(職員マスタ!$B$6:$B$405,$AN1444)))</f>
        <v/>
      </c>
      <c r="W1444" s="14">
        <f>IF($AN1444="",IF($B1444="","",$R1444),IF(INDEX(職員マスタ!$C$6:$C$405,$AN1444)="",$R1444,INDEX(職員マスタ!$C$6:$C$405,$AN1444)))</f>
        <v/>
      </c>
      <c r="X1444" s="14">
        <f>IF($AO1444="","","R"&amp;$C1444&amp;"."&amp;$D1444)</f>
        <v/>
      </c>
      <c r="Y1444" s="15">
        <f>IF($AN1444="","",IF(INDEX(職員マスタ!$K$6:$K$405,$AN1444)="","",INDEX(職員マスタ!$K$6:$K$405,$AN1444)))</f>
        <v/>
      </c>
      <c r="Z1444" s="14">
        <f>IF(OR($E1444="",$Y1444=""),"",IF($E1444&gt;=$Y1444,"×",IF($E1444&gt;=$Y1444*設定!$C$5,"△","○")))</f>
        <v/>
      </c>
      <c r="AA1444" s="15">
        <f>IF($Z1444="","",IF($Z1444="×",0,IF($Z1444="○",ROUNDDOWN($E1444*設定!$C$4,0),ROUNDDOWN($E1444*ROUND((9*$Y1444-9*$E1444)/(10*$E1444),4),0))))</f>
        <v/>
      </c>
      <c r="AB1444" s="13" t="n"/>
      <c r="AC1444" s="15">
        <f>IF($B1444="","",IF($AB1444&lt;&gt;"",$AB1444,IF($AA1444="","",IF($AA1444&lt;=設定!$C$3,0,$AA1444))))</f>
        <v/>
      </c>
      <c r="AD1444" s="14">
        <f>IF($B1444="","",IF(AND($AE1444&lt;&gt;"",$AG1444="",$AJ1444=""),"保留中",IF($AJ1444&lt;&gt;"",IF(N($AC1444)&gt;0,"支給済","不支給"),IF($AC1444="","要確認",IF($AC1444=0,"不支給","未処理")))))</f>
        <v/>
      </c>
      <c r="AE1444" s="12" t="n"/>
      <c r="AF1444" s="11" t="n"/>
      <c r="AG1444" s="11" t="n"/>
      <c r="AH1444" s="11" t="n"/>
      <c r="AI1444" s="14">
        <f>IF(AND($AD1444="保留中",$AF1444&lt;&gt;""),TODAY()-$AF1444,"")</f>
        <v/>
      </c>
      <c r="AJ1444" s="12" t="n"/>
      <c r="AK1444" s="14">
        <f>IF($B1444="","",IF($AO1444="","対象年月が未入力／","")&amp;IF($B1444="","",IF($AN1444="","職員マスタに未登録の職員番号／",IF($Y1444="","標準報酬月額が未登録／","")&amp;IF(AND($AO1444&lt;&gt;"",OR(AND(INDEX(職員マスタ!$G$6:$G$405,$AN1444)&lt;&gt;"",INDEX(職員マスタ!$G$6:$G$405,$AN1444)&gt;EOMONTH($AO1444,0)),AND(INDEX(職員マスタ!$H$6:$H$405,$AN1444)&lt;&gt;"",INDEX(職員マスタ!$H$6:$H$405,$AN1444)&lt;$AO1444))),"対象月が時短期間外／","")&amp;IF(AND(INDEX(職員マスタ!$F$6:$F$405,$AN1444)&lt;&gt;"",$AO1444&lt;&gt;"",INDEX(職員マスタ!$F$6:$F$405,$AN1444)&lt;$AO1444),"対象月に子が2歳到達済／","")&amp;IF(AND($H1444&lt;&gt;"",INDEX(職員マスタ!$B$6:$B$405,$AN1444)&lt;&gt;"",SUBSTITUTE(SUBSTITUTE($H1444," ","")," ","")&lt;&gt;SUBSTITUTE(SUBSTITUTE(INDEX(職員マスタ!$B$6:$B$405,$AN1444)," ","")," ","")),"氏名がマスタと相違／","")&amp;IF(AND($Q1444&lt;&gt;"",INDEX(職員マスタ!$E$6:$E$405,$AN1444)&lt;&gt;"",$Q1444&lt;&gt;INDEX(職員マスタ!$E$6:$E$405,$AN1444)),"子の生年月日がマスタと相違／","")&amp;IF(AND($L1444&lt;&gt;"",INDEX(職員マスタ!$G$6:$G$405,$AN1444)&lt;&gt;"",$L1444&lt;&gt;INDEX(職員マスタ!$G$6:$G$405,$AN1444)),"時短開始日がマスタと相違／","")&amp;IF(AND($M1444&lt;&gt;"",INDEX(職員マスタ!$H$6:$H$405,$AN1444)&lt;&gt;"",$M1444&lt;&gt;INDEX(職員マスタ!$H$6:$H$405,$AN1444)),"時短終了日がマスタと相違／","")))&amp;IF(AND($B1444&lt;&gt;"",$E1444=""),"報酬額が未入力／","")&amp;IF(N($U1444)&gt;0,"申請書に入力エラーが残っています／","")&amp;IF(AND($B1444&lt;&gt;"",$AO1444&lt;&gt;""),IF(COUNTIFS($B$6:$B$3005,$B1444,$C$6:$C$3005,$C1444,$D$6:$D$3005,$D1444)&gt;1,"同じ月の請求が重複しています／",""),"")&amp;IF(AND(N($E1444)&gt;0,$Z1444&lt;&gt;"",$Z1444&lt;&gt;"×",$AC1444=0,$AB1444=""),"計算額が下限以下のため不支給／",""))</f>
        <v/>
      </c>
      <c r="AL1444" s="12" t="n"/>
      <c r="AM1444" s="14">
        <f>IF($AD1444="保留中",COUNTIF($AD$6:$AD1444,"保留中"),"")</f>
        <v/>
      </c>
      <c r="AN1444" s="14">
        <f>IF($AO1444="","",IF(SUMPRODUCT(MAX((職員マスタ!$A$6:$A$405=$B1444)*(((職員マスタ!$G$6:$G$405="")+(職員マスタ!$G$6:$G$405&lt;=EOMONTH($AO1444,0)))&gt;0)*(((職員マスタ!$H$6:$H$405="")+(職員マスタ!$H$6:$H$405&gt;=$AO1444))&gt;0)*(ROW(職員マスタ!$A$6:$A$405)-5)))&gt;0,SUMPRODUCT(MAX((職員マスタ!$A$6:$A$405=$B1444)*(((職員マスタ!$G$6:$G$405="")+(職員マスタ!$G$6:$G$405&lt;=EOMONTH($AO1444,0)))&gt;0)*(((職員マスタ!$H$6:$H$405="")+(職員マスタ!$H$6:$H$405&gt;=$AO1444))&gt;0)*(ROW(職員マスタ!$A$6:$A$405)-5))),IFERROR(MATCH($B1444,職員マスタ!$A$6:$A$405,0),"")))</f>
        <v/>
      </c>
      <c r="AO1444" s="16">
        <f>IF(OR($B1444="",$C1444="",$D1444=""),"",DATE($C1444+2018,$D1444,1))</f>
        <v/>
      </c>
    </row>
    <row r="1445">
      <c r="A1445" s="11" t="n"/>
      <c r="B1445" s="12" t="n"/>
      <c r="C1445" s="12" t="n"/>
      <c r="D1445" s="12" t="n"/>
      <c r="E1445" s="13" t="n"/>
      <c r="F1445" s="12" t="n"/>
      <c r="G1445" s="13" t="n"/>
      <c r="H1445" s="12" t="n"/>
      <c r="I1445" s="12" t="n"/>
      <c r="J1445" s="12" t="n"/>
      <c r="K1445" s="12" t="n"/>
      <c r="L1445" s="11" t="n"/>
      <c r="M1445" s="11" t="n"/>
      <c r="N1445" s="11" t="n"/>
      <c r="O1445" s="11" t="n"/>
      <c r="P1445" s="12" t="n"/>
      <c r="Q1445" s="11" t="n"/>
      <c r="R1445" s="12" t="n"/>
      <c r="S1445" s="11" t="n"/>
      <c r="T1445" s="12" t="n"/>
      <c r="U1445" s="12" t="n"/>
      <c r="V1445" s="14">
        <f>IF($AN1445="",IF($B1445="","",$H1445),IF(INDEX(職員マスタ!$B$6:$B$405,$AN1445)="",$H1445,INDEX(職員マスタ!$B$6:$B$405,$AN1445)))</f>
        <v/>
      </c>
      <c r="W1445" s="14">
        <f>IF($AN1445="",IF($B1445="","",$R1445),IF(INDEX(職員マスタ!$C$6:$C$405,$AN1445)="",$R1445,INDEX(職員マスタ!$C$6:$C$405,$AN1445)))</f>
        <v/>
      </c>
      <c r="X1445" s="14">
        <f>IF($AO1445="","","R"&amp;$C1445&amp;"."&amp;$D1445)</f>
        <v/>
      </c>
      <c r="Y1445" s="15">
        <f>IF($AN1445="","",IF(INDEX(職員マスタ!$K$6:$K$405,$AN1445)="","",INDEX(職員マスタ!$K$6:$K$405,$AN1445)))</f>
        <v/>
      </c>
      <c r="Z1445" s="14">
        <f>IF(OR($E1445="",$Y1445=""),"",IF($E1445&gt;=$Y1445,"×",IF($E1445&gt;=$Y1445*設定!$C$5,"△","○")))</f>
        <v/>
      </c>
      <c r="AA1445" s="15">
        <f>IF($Z1445="","",IF($Z1445="×",0,IF($Z1445="○",ROUNDDOWN($E1445*設定!$C$4,0),ROUNDDOWN($E1445*ROUND((9*$Y1445-9*$E1445)/(10*$E1445),4),0))))</f>
        <v/>
      </c>
      <c r="AB1445" s="13" t="n"/>
      <c r="AC1445" s="15">
        <f>IF($B1445="","",IF($AB1445&lt;&gt;"",$AB1445,IF($AA1445="","",IF($AA1445&lt;=設定!$C$3,0,$AA1445))))</f>
        <v/>
      </c>
      <c r="AD1445" s="14">
        <f>IF($B1445="","",IF(AND($AE1445&lt;&gt;"",$AG1445="",$AJ1445=""),"保留中",IF($AJ1445&lt;&gt;"",IF(N($AC1445)&gt;0,"支給済","不支給"),IF($AC1445="","要確認",IF($AC1445=0,"不支給","未処理")))))</f>
        <v/>
      </c>
      <c r="AE1445" s="12" t="n"/>
      <c r="AF1445" s="11" t="n"/>
      <c r="AG1445" s="11" t="n"/>
      <c r="AH1445" s="11" t="n"/>
      <c r="AI1445" s="14">
        <f>IF(AND($AD1445="保留中",$AF1445&lt;&gt;""),TODAY()-$AF1445,"")</f>
        <v/>
      </c>
      <c r="AJ1445" s="12" t="n"/>
      <c r="AK1445" s="14">
        <f>IF($B1445="","",IF($AO1445="","対象年月が未入力／","")&amp;IF($B1445="","",IF($AN1445="","職員マスタに未登録の職員番号／",IF($Y1445="","標準報酬月額が未登録／","")&amp;IF(AND($AO1445&lt;&gt;"",OR(AND(INDEX(職員マスタ!$G$6:$G$405,$AN1445)&lt;&gt;"",INDEX(職員マスタ!$G$6:$G$405,$AN1445)&gt;EOMONTH($AO1445,0)),AND(INDEX(職員マスタ!$H$6:$H$405,$AN1445)&lt;&gt;"",INDEX(職員マスタ!$H$6:$H$405,$AN1445)&lt;$AO1445))),"対象月が時短期間外／","")&amp;IF(AND(INDEX(職員マスタ!$F$6:$F$405,$AN1445)&lt;&gt;"",$AO1445&lt;&gt;"",INDEX(職員マスタ!$F$6:$F$405,$AN1445)&lt;$AO1445),"対象月に子が2歳到達済／","")&amp;IF(AND($H1445&lt;&gt;"",INDEX(職員マスタ!$B$6:$B$405,$AN1445)&lt;&gt;"",SUBSTITUTE(SUBSTITUTE($H1445," ","")," ","")&lt;&gt;SUBSTITUTE(SUBSTITUTE(INDEX(職員マスタ!$B$6:$B$405,$AN1445)," ","")," ","")),"氏名がマスタと相違／","")&amp;IF(AND($Q1445&lt;&gt;"",INDEX(職員マスタ!$E$6:$E$405,$AN1445)&lt;&gt;"",$Q1445&lt;&gt;INDEX(職員マスタ!$E$6:$E$405,$AN1445)),"子の生年月日がマスタと相違／","")&amp;IF(AND($L1445&lt;&gt;"",INDEX(職員マスタ!$G$6:$G$405,$AN1445)&lt;&gt;"",$L1445&lt;&gt;INDEX(職員マスタ!$G$6:$G$405,$AN1445)),"時短開始日がマスタと相違／","")&amp;IF(AND($M1445&lt;&gt;"",INDEX(職員マスタ!$H$6:$H$405,$AN1445)&lt;&gt;"",$M1445&lt;&gt;INDEX(職員マスタ!$H$6:$H$405,$AN1445)),"時短終了日がマスタと相違／","")))&amp;IF(AND($B1445&lt;&gt;"",$E1445=""),"報酬額が未入力／","")&amp;IF(N($U1445)&gt;0,"申請書に入力エラーが残っています／","")&amp;IF(AND($B1445&lt;&gt;"",$AO1445&lt;&gt;""),IF(COUNTIFS($B$6:$B$3005,$B1445,$C$6:$C$3005,$C1445,$D$6:$D$3005,$D1445)&gt;1,"同じ月の請求が重複しています／",""),"")&amp;IF(AND(N($E1445)&gt;0,$Z1445&lt;&gt;"",$Z1445&lt;&gt;"×",$AC1445=0,$AB1445=""),"計算額が下限以下のため不支給／",""))</f>
        <v/>
      </c>
      <c r="AL1445" s="12" t="n"/>
      <c r="AM1445" s="14">
        <f>IF($AD1445="保留中",COUNTIF($AD$6:$AD1445,"保留中"),"")</f>
        <v/>
      </c>
      <c r="AN1445" s="14">
        <f>IF($AO1445="","",IF(SUMPRODUCT(MAX((職員マスタ!$A$6:$A$405=$B1445)*(((職員マスタ!$G$6:$G$405="")+(職員マスタ!$G$6:$G$405&lt;=EOMONTH($AO1445,0)))&gt;0)*(((職員マスタ!$H$6:$H$405="")+(職員マスタ!$H$6:$H$405&gt;=$AO1445))&gt;0)*(ROW(職員マスタ!$A$6:$A$405)-5)))&gt;0,SUMPRODUCT(MAX((職員マスタ!$A$6:$A$405=$B1445)*(((職員マスタ!$G$6:$G$405="")+(職員マスタ!$G$6:$G$405&lt;=EOMONTH($AO1445,0)))&gt;0)*(((職員マスタ!$H$6:$H$405="")+(職員マスタ!$H$6:$H$405&gt;=$AO1445))&gt;0)*(ROW(職員マスタ!$A$6:$A$405)-5))),IFERROR(MATCH($B1445,職員マスタ!$A$6:$A$405,0),"")))</f>
        <v/>
      </c>
      <c r="AO1445" s="16">
        <f>IF(OR($B1445="",$C1445="",$D1445=""),"",DATE($C1445+2018,$D1445,1))</f>
        <v/>
      </c>
    </row>
    <row r="1446">
      <c r="A1446" s="11" t="n"/>
      <c r="B1446" s="12" t="n"/>
      <c r="C1446" s="12" t="n"/>
      <c r="D1446" s="12" t="n"/>
      <c r="E1446" s="13" t="n"/>
      <c r="F1446" s="12" t="n"/>
      <c r="G1446" s="13" t="n"/>
      <c r="H1446" s="12" t="n"/>
      <c r="I1446" s="12" t="n"/>
      <c r="J1446" s="12" t="n"/>
      <c r="K1446" s="12" t="n"/>
      <c r="L1446" s="11" t="n"/>
      <c r="M1446" s="11" t="n"/>
      <c r="N1446" s="11" t="n"/>
      <c r="O1446" s="11" t="n"/>
      <c r="P1446" s="12" t="n"/>
      <c r="Q1446" s="11" t="n"/>
      <c r="R1446" s="12" t="n"/>
      <c r="S1446" s="11" t="n"/>
      <c r="T1446" s="12" t="n"/>
      <c r="U1446" s="12" t="n"/>
      <c r="V1446" s="14">
        <f>IF($AN1446="",IF($B1446="","",$H1446),IF(INDEX(職員マスタ!$B$6:$B$405,$AN1446)="",$H1446,INDEX(職員マスタ!$B$6:$B$405,$AN1446)))</f>
        <v/>
      </c>
      <c r="W1446" s="14">
        <f>IF($AN1446="",IF($B1446="","",$R1446),IF(INDEX(職員マスタ!$C$6:$C$405,$AN1446)="",$R1446,INDEX(職員マスタ!$C$6:$C$405,$AN1446)))</f>
        <v/>
      </c>
      <c r="X1446" s="14">
        <f>IF($AO1446="","","R"&amp;$C1446&amp;"."&amp;$D1446)</f>
        <v/>
      </c>
      <c r="Y1446" s="15">
        <f>IF($AN1446="","",IF(INDEX(職員マスタ!$K$6:$K$405,$AN1446)="","",INDEX(職員マスタ!$K$6:$K$405,$AN1446)))</f>
        <v/>
      </c>
      <c r="Z1446" s="14">
        <f>IF(OR($E1446="",$Y1446=""),"",IF($E1446&gt;=$Y1446,"×",IF($E1446&gt;=$Y1446*設定!$C$5,"△","○")))</f>
        <v/>
      </c>
      <c r="AA1446" s="15">
        <f>IF($Z1446="","",IF($Z1446="×",0,IF($Z1446="○",ROUNDDOWN($E1446*設定!$C$4,0),ROUNDDOWN($E1446*ROUND((9*$Y1446-9*$E1446)/(10*$E1446),4),0))))</f>
        <v/>
      </c>
      <c r="AB1446" s="13" t="n"/>
      <c r="AC1446" s="15">
        <f>IF($B1446="","",IF($AB1446&lt;&gt;"",$AB1446,IF($AA1446="","",IF($AA1446&lt;=設定!$C$3,0,$AA1446))))</f>
        <v/>
      </c>
      <c r="AD1446" s="14">
        <f>IF($B1446="","",IF(AND($AE1446&lt;&gt;"",$AG1446="",$AJ1446=""),"保留中",IF($AJ1446&lt;&gt;"",IF(N($AC1446)&gt;0,"支給済","不支給"),IF($AC1446="","要確認",IF($AC1446=0,"不支給","未処理")))))</f>
        <v/>
      </c>
      <c r="AE1446" s="12" t="n"/>
      <c r="AF1446" s="11" t="n"/>
      <c r="AG1446" s="11" t="n"/>
      <c r="AH1446" s="11" t="n"/>
      <c r="AI1446" s="14">
        <f>IF(AND($AD1446="保留中",$AF1446&lt;&gt;""),TODAY()-$AF1446,"")</f>
        <v/>
      </c>
      <c r="AJ1446" s="12" t="n"/>
      <c r="AK1446" s="14">
        <f>IF($B1446="","",IF($AO1446="","対象年月が未入力／","")&amp;IF($B1446="","",IF($AN1446="","職員マスタに未登録の職員番号／",IF($Y1446="","標準報酬月額が未登録／","")&amp;IF(AND($AO1446&lt;&gt;"",OR(AND(INDEX(職員マスタ!$G$6:$G$405,$AN1446)&lt;&gt;"",INDEX(職員マスタ!$G$6:$G$405,$AN1446)&gt;EOMONTH($AO1446,0)),AND(INDEX(職員マスタ!$H$6:$H$405,$AN1446)&lt;&gt;"",INDEX(職員マスタ!$H$6:$H$405,$AN1446)&lt;$AO1446))),"対象月が時短期間外／","")&amp;IF(AND(INDEX(職員マスタ!$F$6:$F$405,$AN1446)&lt;&gt;"",$AO1446&lt;&gt;"",INDEX(職員マスタ!$F$6:$F$405,$AN1446)&lt;$AO1446),"対象月に子が2歳到達済／","")&amp;IF(AND($H1446&lt;&gt;"",INDEX(職員マスタ!$B$6:$B$405,$AN1446)&lt;&gt;"",SUBSTITUTE(SUBSTITUTE($H1446," ","")," ","")&lt;&gt;SUBSTITUTE(SUBSTITUTE(INDEX(職員マスタ!$B$6:$B$405,$AN1446)," ","")," ","")),"氏名がマスタと相違／","")&amp;IF(AND($Q1446&lt;&gt;"",INDEX(職員マスタ!$E$6:$E$405,$AN1446)&lt;&gt;"",$Q1446&lt;&gt;INDEX(職員マスタ!$E$6:$E$405,$AN1446)),"子の生年月日がマスタと相違／","")&amp;IF(AND($L1446&lt;&gt;"",INDEX(職員マスタ!$G$6:$G$405,$AN1446)&lt;&gt;"",$L1446&lt;&gt;INDEX(職員マスタ!$G$6:$G$405,$AN1446)),"時短開始日がマスタと相違／","")&amp;IF(AND($M1446&lt;&gt;"",INDEX(職員マスタ!$H$6:$H$405,$AN1446)&lt;&gt;"",$M1446&lt;&gt;INDEX(職員マスタ!$H$6:$H$405,$AN1446)),"時短終了日がマスタと相違／","")))&amp;IF(AND($B1446&lt;&gt;"",$E1446=""),"報酬額が未入力／","")&amp;IF(N($U1446)&gt;0,"申請書に入力エラーが残っています／","")&amp;IF(AND($B1446&lt;&gt;"",$AO1446&lt;&gt;""),IF(COUNTIFS($B$6:$B$3005,$B1446,$C$6:$C$3005,$C1446,$D$6:$D$3005,$D1446)&gt;1,"同じ月の請求が重複しています／",""),"")&amp;IF(AND(N($E1446)&gt;0,$Z1446&lt;&gt;"",$Z1446&lt;&gt;"×",$AC1446=0,$AB1446=""),"計算額が下限以下のため不支給／",""))</f>
        <v/>
      </c>
      <c r="AL1446" s="12" t="n"/>
      <c r="AM1446" s="14">
        <f>IF($AD1446="保留中",COUNTIF($AD$6:$AD1446,"保留中"),"")</f>
        <v/>
      </c>
      <c r="AN1446" s="14">
        <f>IF($AO1446="","",IF(SUMPRODUCT(MAX((職員マスタ!$A$6:$A$405=$B1446)*(((職員マスタ!$G$6:$G$405="")+(職員マスタ!$G$6:$G$405&lt;=EOMONTH($AO1446,0)))&gt;0)*(((職員マスタ!$H$6:$H$405="")+(職員マスタ!$H$6:$H$405&gt;=$AO1446))&gt;0)*(ROW(職員マスタ!$A$6:$A$405)-5)))&gt;0,SUMPRODUCT(MAX((職員マスタ!$A$6:$A$405=$B1446)*(((職員マスタ!$G$6:$G$405="")+(職員マスタ!$G$6:$G$405&lt;=EOMONTH($AO1446,0)))&gt;0)*(((職員マスタ!$H$6:$H$405="")+(職員マスタ!$H$6:$H$405&gt;=$AO1446))&gt;0)*(ROW(職員マスタ!$A$6:$A$405)-5))),IFERROR(MATCH($B1446,職員マスタ!$A$6:$A$405,0),"")))</f>
        <v/>
      </c>
      <c r="AO1446" s="16">
        <f>IF(OR($B1446="",$C1446="",$D1446=""),"",DATE($C1446+2018,$D1446,1))</f>
        <v/>
      </c>
    </row>
    <row r="1447">
      <c r="A1447" s="11" t="n"/>
      <c r="B1447" s="12" t="n"/>
      <c r="C1447" s="12" t="n"/>
      <c r="D1447" s="12" t="n"/>
      <c r="E1447" s="13" t="n"/>
      <c r="F1447" s="12" t="n"/>
      <c r="G1447" s="13" t="n"/>
      <c r="H1447" s="12" t="n"/>
      <c r="I1447" s="12" t="n"/>
      <c r="J1447" s="12" t="n"/>
      <c r="K1447" s="12" t="n"/>
      <c r="L1447" s="11" t="n"/>
      <c r="M1447" s="11" t="n"/>
      <c r="N1447" s="11" t="n"/>
      <c r="O1447" s="11" t="n"/>
      <c r="P1447" s="12" t="n"/>
      <c r="Q1447" s="11" t="n"/>
      <c r="R1447" s="12" t="n"/>
      <c r="S1447" s="11" t="n"/>
      <c r="T1447" s="12" t="n"/>
      <c r="U1447" s="12" t="n"/>
      <c r="V1447" s="14">
        <f>IF($AN1447="",IF($B1447="","",$H1447),IF(INDEX(職員マスタ!$B$6:$B$405,$AN1447)="",$H1447,INDEX(職員マスタ!$B$6:$B$405,$AN1447)))</f>
        <v/>
      </c>
      <c r="W1447" s="14">
        <f>IF($AN1447="",IF($B1447="","",$R1447),IF(INDEX(職員マスタ!$C$6:$C$405,$AN1447)="",$R1447,INDEX(職員マスタ!$C$6:$C$405,$AN1447)))</f>
        <v/>
      </c>
      <c r="X1447" s="14">
        <f>IF($AO1447="","","R"&amp;$C1447&amp;"."&amp;$D1447)</f>
        <v/>
      </c>
      <c r="Y1447" s="15">
        <f>IF($AN1447="","",IF(INDEX(職員マスタ!$K$6:$K$405,$AN1447)="","",INDEX(職員マスタ!$K$6:$K$405,$AN1447)))</f>
        <v/>
      </c>
      <c r="Z1447" s="14">
        <f>IF(OR($E1447="",$Y1447=""),"",IF($E1447&gt;=$Y1447,"×",IF($E1447&gt;=$Y1447*設定!$C$5,"△","○")))</f>
        <v/>
      </c>
      <c r="AA1447" s="15">
        <f>IF($Z1447="","",IF($Z1447="×",0,IF($Z1447="○",ROUNDDOWN($E1447*設定!$C$4,0),ROUNDDOWN($E1447*ROUND((9*$Y1447-9*$E1447)/(10*$E1447),4),0))))</f>
        <v/>
      </c>
      <c r="AB1447" s="13" t="n"/>
      <c r="AC1447" s="15">
        <f>IF($B1447="","",IF($AB1447&lt;&gt;"",$AB1447,IF($AA1447="","",IF($AA1447&lt;=設定!$C$3,0,$AA1447))))</f>
        <v/>
      </c>
      <c r="AD1447" s="14">
        <f>IF($B1447="","",IF(AND($AE1447&lt;&gt;"",$AG1447="",$AJ1447=""),"保留中",IF($AJ1447&lt;&gt;"",IF(N($AC1447)&gt;0,"支給済","不支給"),IF($AC1447="","要確認",IF($AC1447=0,"不支給","未処理")))))</f>
        <v/>
      </c>
      <c r="AE1447" s="12" t="n"/>
      <c r="AF1447" s="11" t="n"/>
      <c r="AG1447" s="11" t="n"/>
      <c r="AH1447" s="11" t="n"/>
      <c r="AI1447" s="14">
        <f>IF(AND($AD1447="保留中",$AF1447&lt;&gt;""),TODAY()-$AF1447,"")</f>
        <v/>
      </c>
      <c r="AJ1447" s="12" t="n"/>
      <c r="AK1447" s="14">
        <f>IF($B1447="","",IF($AO1447="","対象年月が未入力／","")&amp;IF($B1447="","",IF($AN1447="","職員マスタに未登録の職員番号／",IF($Y1447="","標準報酬月額が未登録／","")&amp;IF(AND($AO1447&lt;&gt;"",OR(AND(INDEX(職員マスタ!$G$6:$G$405,$AN1447)&lt;&gt;"",INDEX(職員マスタ!$G$6:$G$405,$AN1447)&gt;EOMONTH($AO1447,0)),AND(INDEX(職員マスタ!$H$6:$H$405,$AN1447)&lt;&gt;"",INDEX(職員マスタ!$H$6:$H$405,$AN1447)&lt;$AO1447))),"対象月が時短期間外／","")&amp;IF(AND(INDEX(職員マスタ!$F$6:$F$405,$AN1447)&lt;&gt;"",$AO1447&lt;&gt;"",INDEX(職員マスタ!$F$6:$F$405,$AN1447)&lt;$AO1447),"対象月に子が2歳到達済／","")&amp;IF(AND($H1447&lt;&gt;"",INDEX(職員マスタ!$B$6:$B$405,$AN1447)&lt;&gt;"",SUBSTITUTE(SUBSTITUTE($H1447," ","")," ","")&lt;&gt;SUBSTITUTE(SUBSTITUTE(INDEX(職員マスタ!$B$6:$B$405,$AN1447)," ","")," ","")),"氏名がマスタと相違／","")&amp;IF(AND($Q1447&lt;&gt;"",INDEX(職員マスタ!$E$6:$E$405,$AN1447)&lt;&gt;"",$Q1447&lt;&gt;INDEX(職員マスタ!$E$6:$E$405,$AN1447)),"子の生年月日がマスタと相違／","")&amp;IF(AND($L1447&lt;&gt;"",INDEX(職員マスタ!$G$6:$G$405,$AN1447)&lt;&gt;"",$L1447&lt;&gt;INDEX(職員マスタ!$G$6:$G$405,$AN1447)),"時短開始日がマスタと相違／","")&amp;IF(AND($M1447&lt;&gt;"",INDEX(職員マスタ!$H$6:$H$405,$AN1447)&lt;&gt;"",$M1447&lt;&gt;INDEX(職員マスタ!$H$6:$H$405,$AN1447)),"時短終了日がマスタと相違／","")))&amp;IF(AND($B1447&lt;&gt;"",$E1447=""),"報酬額が未入力／","")&amp;IF(N($U1447)&gt;0,"申請書に入力エラーが残っています／","")&amp;IF(AND($B1447&lt;&gt;"",$AO1447&lt;&gt;""),IF(COUNTIFS($B$6:$B$3005,$B1447,$C$6:$C$3005,$C1447,$D$6:$D$3005,$D1447)&gt;1,"同じ月の請求が重複しています／",""),"")&amp;IF(AND(N($E1447)&gt;0,$Z1447&lt;&gt;"",$Z1447&lt;&gt;"×",$AC1447=0,$AB1447=""),"計算額が下限以下のため不支給／",""))</f>
        <v/>
      </c>
      <c r="AL1447" s="12" t="n"/>
      <c r="AM1447" s="14">
        <f>IF($AD1447="保留中",COUNTIF($AD$6:$AD1447,"保留中"),"")</f>
        <v/>
      </c>
      <c r="AN1447" s="14">
        <f>IF($AO1447="","",IF(SUMPRODUCT(MAX((職員マスタ!$A$6:$A$405=$B1447)*(((職員マスタ!$G$6:$G$405="")+(職員マスタ!$G$6:$G$405&lt;=EOMONTH($AO1447,0)))&gt;0)*(((職員マスタ!$H$6:$H$405="")+(職員マスタ!$H$6:$H$405&gt;=$AO1447))&gt;0)*(ROW(職員マスタ!$A$6:$A$405)-5)))&gt;0,SUMPRODUCT(MAX((職員マスタ!$A$6:$A$405=$B1447)*(((職員マスタ!$G$6:$G$405="")+(職員マスタ!$G$6:$G$405&lt;=EOMONTH($AO1447,0)))&gt;0)*(((職員マスタ!$H$6:$H$405="")+(職員マスタ!$H$6:$H$405&gt;=$AO1447))&gt;0)*(ROW(職員マスタ!$A$6:$A$405)-5))),IFERROR(MATCH($B1447,職員マスタ!$A$6:$A$405,0),"")))</f>
        <v/>
      </c>
      <c r="AO1447" s="16">
        <f>IF(OR($B1447="",$C1447="",$D1447=""),"",DATE($C1447+2018,$D1447,1))</f>
        <v/>
      </c>
    </row>
    <row r="1448">
      <c r="A1448" s="11" t="n"/>
      <c r="B1448" s="12" t="n"/>
      <c r="C1448" s="12" t="n"/>
      <c r="D1448" s="12" t="n"/>
      <c r="E1448" s="13" t="n"/>
      <c r="F1448" s="12" t="n"/>
      <c r="G1448" s="13" t="n"/>
      <c r="H1448" s="12" t="n"/>
      <c r="I1448" s="12" t="n"/>
      <c r="J1448" s="12" t="n"/>
      <c r="K1448" s="12" t="n"/>
      <c r="L1448" s="11" t="n"/>
      <c r="M1448" s="11" t="n"/>
      <c r="N1448" s="11" t="n"/>
      <c r="O1448" s="11" t="n"/>
      <c r="P1448" s="12" t="n"/>
      <c r="Q1448" s="11" t="n"/>
      <c r="R1448" s="12" t="n"/>
      <c r="S1448" s="11" t="n"/>
      <c r="T1448" s="12" t="n"/>
      <c r="U1448" s="12" t="n"/>
      <c r="V1448" s="14">
        <f>IF($AN1448="",IF($B1448="","",$H1448),IF(INDEX(職員マスタ!$B$6:$B$405,$AN1448)="",$H1448,INDEX(職員マスタ!$B$6:$B$405,$AN1448)))</f>
        <v/>
      </c>
      <c r="W1448" s="14">
        <f>IF($AN1448="",IF($B1448="","",$R1448),IF(INDEX(職員マスタ!$C$6:$C$405,$AN1448)="",$R1448,INDEX(職員マスタ!$C$6:$C$405,$AN1448)))</f>
        <v/>
      </c>
      <c r="X1448" s="14">
        <f>IF($AO1448="","","R"&amp;$C1448&amp;"."&amp;$D1448)</f>
        <v/>
      </c>
      <c r="Y1448" s="15">
        <f>IF($AN1448="","",IF(INDEX(職員マスタ!$K$6:$K$405,$AN1448)="","",INDEX(職員マスタ!$K$6:$K$405,$AN1448)))</f>
        <v/>
      </c>
      <c r="Z1448" s="14">
        <f>IF(OR($E1448="",$Y1448=""),"",IF($E1448&gt;=$Y1448,"×",IF($E1448&gt;=$Y1448*設定!$C$5,"△","○")))</f>
        <v/>
      </c>
      <c r="AA1448" s="15">
        <f>IF($Z1448="","",IF($Z1448="×",0,IF($Z1448="○",ROUNDDOWN($E1448*設定!$C$4,0),ROUNDDOWN($E1448*ROUND((9*$Y1448-9*$E1448)/(10*$E1448),4),0))))</f>
        <v/>
      </c>
      <c r="AB1448" s="13" t="n"/>
      <c r="AC1448" s="15">
        <f>IF($B1448="","",IF($AB1448&lt;&gt;"",$AB1448,IF($AA1448="","",IF($AA1448&lt;=設定!$C$3,0,$AA1448))))</f>
        <v/>
      </c>
      <c r="AD1448" s="14">
        <f>IF($B1448="","",IF(AND($AE1448&lt;&gt;"",$AG1448="",$AJ1448=""),"保留中",IF($AJ1448&lt;&gt;"",IF(N($AC1448)&gt;0,"支給済","不支給"),IF($AC1448="","要確認",IF($AC1448=0,"不支給","未処理")))))</f>
        <v/>
      </c>
      <c r="AE1448" s="12" t="n"/>
      <c r="AF1448" s="11" t="n"/>
      <c r="AG1448" s="11" t="n"/>
      <c r="AH1448" s="11" t="n"/>
      <c r="AI1448" s="14">
        <f>IF(AND($AD1448="保留中",$AF1448&lt;&gt;""),TODAY()-$AF1448,"")</f>
        <v/>
      </c>
      <c r="AJ1448" s="12" t="n"/>
      <c r="AK1448" s="14">
        <f>IF($B1448="","",IF($AO1448="","対象年月が未入力／","")&amp;IF($B1448="","",IF($AN1448="","職員マスタに未登録の職員番号／",IF($Y1448="","標準報酬月額が未登録／","")&amp;IF(AND($AO1448&lt;&gt;"",OR(AND(INDEX(職員マスタ!$G$6:$G$405,$AN1448)&lt;&gt;"",INDEX(職員マスタ!$G$6:$G$405,$AN1448)&gt;EOMONTH($AO1448,0)),AND(INDEX(職員マスタ!$H$6:$H$405,$AN1448)&lt;&gt;"",INDEX(職員マスタ!$H$6:$H$405,$AN1448)&lt;$AO1448))),"対象月が時短期間外／","")&amp;IF(AND(INDEX(職員マスタ!$F$6:$F$405,$AN1448)&lt;&gt;"",$AO1448&lt;&gt;"",INDEX(職員マスタ!$F$6:$F$405,$AN1448)&lt;$AO1448),"対象月に子が2歳到達済／","")&amp;IF(AND($H1448&lt;&gt;"",INDEX(職員マスタ!$B$6:$B$405,$AN1448)&lt;&gt;"",SUBSTITUTE(SUBSTITUTE($H1448," ","")," ","")&lt;&gt;SUBSTITUTE(SUBSTITUTE(INDEX(職員マスタ!$B$6:$B$405,$AN1448)," ","")," ","")),"氏名がマスタと相違／","")&amp;IF(AND($Q1448&lt;&gt;"",INDEX(職員マスタ!$E$6:$E$405,$AN1448)&lt;&gt;"",$Q1448&lt;&gt;INDEX(職員マスタ!$E$6:$E$405,$AN1448)),"子の生年月日がマスタと相違／","")&amp;IF(AND($L1448&lt;&gt;"",INDEX(職員マスタ!$G$6:$G$405,$AN1448)&lt;&gt;"",$L1448&lt;&gt;INDEX(職員マスタ!$G$6:$G$405,$AN1448)),"時短開始日がマスタと相違／","")&amp;IF(AND($M1448&lt;&gt;"",INDEX(職員マスタ!$H$6:$H$405,$AN1448)&lt;&gt;"",$M1448&lt;&gt;INDEX(職員マスタ!$H$6:$H$405,$AN1448)),"時短終了日がマスタと相違／","")))&amp;IF(AND($B1448&lt;&gt;"",$E1448=""),"報酬額が未入力／","")&amp;IF(N($U1448)&gt;0,"申請書に入力エラーが残っています／","")&amp;IF(AND($B1448&lt;&gt;"",$AO1448&lt;&gt;""),IF(COUNTIFS($B$6:$B$3005,$B1448,$C$6:$C$3005,$C1448,$D$6:$D$3005,$D1448)&gt;1,"同じ月の請求が重複しています／",""),"")&amp;IF(AND(N($E1448)&gt;0,$Z1448&lt;&gt;"",$Z1448&lt;&gt;"×",$AC1448=0,$AB1448=""),"計算額が下限以下のため不支給／",""))</f>
        <v/>
      </c>
      <c r="AL1448" s="12" t="n"/>
      <c r="AM1448" s="14">
        <f>IF($AD1448="保留中",COUNTIF($AD$6:$AD1448,"保留中"),"")</f>
        <v/>
      </c>
      <c r="AN1448" s="14">
        <f>IF($AO1448="","",IF(SUMPRODUCT(MAX((職員マスタ!$A$6:$A$405=$B1448)*(((職員マスタ!$G$6:$G$405="")+(職員マスタ!$G$6:$G$405&lt;=EOMONTH($AO1448,0)))&gt;0)*(((職員マスタ!$H$6:$H$405="")+(職員マスタ!$H$6:$H$405&gt;=$AO1448))&gt;0)*(ROW(職員マスタ!$A$6:$A$405)-5)))&gt;0,SUMPRODUCT(MAX((職員マスタ!$A$6:$A$405=$B1448)*(((職員マスタ!$G$6:$G$405="")+(職員マスタ!$G$6:$G$405&lt;=EOMONTH($AO1448,0)))&gt;0)*(((職員マスタ!$H$6:$H$405="")+(職員マスタ!$H$6:$H$405&gt;=$AO1448))&gt;0)*(ROW(職員マスタ!$A$6:$A$405)-5))),IFERROR(MATCH($B1448,職員マスタ!$A$6:$A$405,0),"")))</f>
        <v/>
      </c>
      <c r="AO1448" s="16">
        <f>IF(OR($B1448="",$C1448="",$D1448=""),"",DATE($C1448+2018,$D1448,1))</f>
        <v/>
      </c>
    </row>
    <row r="1449">
      <c r="A1449" s="11" t="n"/>
      <c r="B1449" s="12" t="n"/>
      <c r="C1449" s="12" t="n"/>
      <c r="D1449" s="12" t="n"/>
      <c r="E1449" s="13" t="n"/>
      <c r="F1449" s="12" t="n"/>
      <c r="G1449" s="13" t="n"/>
      <c r="H1449" s="12" t="n"/>
      <c r="I1449" s="12" t="n"/>
      <c r="J1449" s="12" t="n"/>
      <c r="K1449" s="12" t="n"/>
      <c r="L1449" s="11" t="n"/>
      <c r="M1449" s="11" t="n"/>
      <c r="N1449" s="11" t="n"/>
      <c r="O1449" s="11" t="n"/>
      <c r="P1449" s="12" t="n"/>
      <c r="Q1449" s="11" t="n"/>
      <c r="R1449" s="12" t="n"/>
      <c r="S1449" s="11" t="n"/>
      <c r="T1449" s="12" t="n"/>
      <c r="U1449" s="12" t="n"/>
      <c r="V1449" s="14">
        <f>IF($AN1449="",IF($B1449="","",$H1449),IF(INDEX(職員マスタ!$B$6:$B$405,$AN1449)="",$H1449,INDEX(職員マスタ!$B$6:$B$405,$AN1449)))</f>
        <v/>
      </c>
      <c r="W1449" s="14">
        <f>IF($AN1449="",IF($B1449="","",$R1449),IF(INDEX(職員マスタ!$C$6:$C$405,$AN1449)="",$R1449,INDEX(職員マスタ!$C$6:$C$405,$AN1449)))</f>
        <v/>
      </c>
      <c r="X1449" s="14">
        <f>IF($AO1449="","","R"&amp;$C1449&amp;"."&amp;$D1449)</f>
        <v/>
      </c>
      <c r="Y1449" s="15">
        <f>IF($AN1449="","",IF(INDEX(職員マスタ!$K$6:$K$405,$AN1449)="","",INDEX(職員マスタ!$K$6:$K$405,$AN1449)))</f>
        <v/>
      </c>
      <c r="Z1449" s="14">
        <f>IF(OR($E1449="",$Y1449=""),"",IF($E1449&gt;=$Y1449,"×",IF($E1449&gt;=$Y1449*設定!$C$5,"△","○")))</f>
        <v/>
      </c>
      <c r="AA1449" s="15">
        <f>IF($Z1449="","",IF($Z1449="×",0,IF($Z1449="○",ROUNDDOWN($E1449*設定!$C$4,0),ROUNDDOWN($E1449*ROUND((9*$Y1449-9*$E1449)/(10*$E1449),4),0))))</f>
        <v/>
      </c>
      <c r="AB1449" s="13" t="n"/>
      <c r="AC1449" s="15">
        <f>IF($B1449="","",IF($AB1449&lt;&gt;"",$AB1449,IF($AA1449="","",IF($AA1449&lt;=設定!$C$3,0,$AA1449))))</f>
        <v/>
      </c>
      <c r="AD1449" s="14">
        <f>IF($B1449="","",IF(AND($AE1449&lt;&gt;"",$AG1449="",$AJ1449=""),"保留中",IF($AJ1449&lt;&gt;"",IF(N($AC1449)&gt;0,"支給済","不支給"),IF($AC1449="","要確認",IF($AC1449=0,"不支給","未処理")))))</f>
        <v/>
      </c>
      <c r="AE1449" s="12" t="n"/>
      <c r="AF1449" s="11" t="n"/>
      <c r="AG1449" s="11" t="n"/>
      <c r="AH1449" s="11" t="n"/>
      <c r="AI1449" s="14">
        <f>IF(AND($AD1449="保留中",$AF1449&lt;&gt;""),TODAY()-$AF1449,"")</f>
        <v/>
      </c>
      <c r="AJ1449" s="12" t="n"/>
      <c r="AK1449" s="14">
        <f>IF($B1449="","",IF($AO1449="","対象年月が未入力／","")&amp;IF($B1449="","",IF($AN1449="","職員マスタに未登録の職員番号／",IF($Y1449="","標準報酬月額が未登録／","")&amp;IF(AND($AO1449&lt;&gt;"",OR(AND(INDEX(職員マスタ!$G$6:$G$405,$AN1449)&lt;&gt;"",INDEX(職員マスタ!$G$6:$G$405,$AN1449)&gt;EOMONTH($AO1449,0)),AND(INDEX(職員マスタ!$H$6:$H$405,$AN1449)&lt;&gt;"",INDEX(職員マスタ!$H$6:$H$405,$AN1449)&lt;$AO1449))),"対象月が時短期間外／","")&amp;IF(AND(INDEX(職員マスタ!$F$6:$F$405,$AN1449)&lt;&gt;"",$AO1449&lt;&gt;"",INDEX(職員マスタ!$F$6:$F$405,$AN1449)&lt;$AO1449),"対象月に子が2歳到達済／","")&amp;IF(AND($H1449&lt;&gt;"",INDEX(職員マスタ!$B$6:$B$405,$AN1449)&lt;&gt;"",SUBSTITUTE(SUBSTITUTE($H1449," ","")," ","")&lt;&gt;SUBSTITUTE(SUBSTITUTE(INDEX(職員マスタ!$B$6:$B$405,$AN1449)," ","")," ","")),"氏名がマスタと相違／","")&amp;IF(AND($Q1449&lt;&gt;"",INDEX(職員マスタ!$E$6:$E$405,$AN1449)&lt;&gt;"",$Q1449&lt;&gt;INDEX(職員マスタ!$E$6:$E$405,$AN1449)),"子の生年月日がマスタと相違／","")&amp;IF(AND($L1449&lt;&gt;"",INDEX(職員マスタ!$G$6:$G$405,$AN1449)&lt;&gt;"",$L1449&lt;&gt;INDEX(職員マスタ!$G$6:$G$405,$AN1449)),"時短開始日がマスタと相違／","")&amp;IF(AND($M1449&lt;&gt;"",INDEX(職員マスタ!$H$6:$H$405,$AN1449)&lt;&gt;"",$M1449&lt;&gt;INDEX(職員マスタ!$H$6:$H$405,$AN1449)),"時短終了日がマスタと相違／","")))&amp;IF(AND($B1449&lt;&gt;"",$E1449=""),"報酬額が未入力／","")&amp;IF(N($U1449)&gt;0,"申請書に入力エラーが残っています／","")&amp;IF(AND($B1449&lt;&gt;"",$AO1449&lt;&gt;""),IF(COUNTIFS($B$6:$B$3005,$B1449,$C$6:$C$3005,$C1449,$D$6:$D$3005,$D1449)&gt;1,"同じ月の請求が重複しています／",""),"")&amp;IF(AND(N($E1449)&gt;0,$Z1449&lt;&gt;"",$Z1449&lt;&gt;"×",$AC1449=0,$AB1449=""),"計算額が下限以下のため不支給／",""))</f>
        <v/>
      </c>
      <c r="AL1449" s="12" t="n"/>
      <c r="AM1449" s="14">
        <f>IF($AD1449="保留中",COUNTIF($AD$6:$AD1449,"保留中"),"")</f>
        <v/>
      </c>
      <c r="AN1449" s="14">
        <f>IF($AO1449="","",IF(SUMPRODUCT(MAX((職員マスタ!$A$6:$A$405=$B1449)*(((職員マスタ!$G$6:$G$405="")+(職員マスタ!$G$6:$G$405&lt;=EOMONTH($AO1449,0)))&gt;0)*(((職員マスタ!$H$6:$H$405="")+(職員マスタ!$H$6:$H$405&gt;=$AO1449))&gt;0)*(ROW(職員マスタ!$A$6:$A$405)-5)))&gt;0,SUMPRODUCT(MAX((職員マスタ!$A$6:$A$405=$B1449)*(((職員マスタ!$G$6:$G$405="")+(職員マスタ!$G$6:$G$405&lt;=EOMONTH($AO1449,0)))&gt;0)*(((職員マスタ!$H$6:$H$405="")+(職員マスタ!$H$6:$H$405&gt;=$AO1449))&gt;0)*(ROW(職員マスタ!$A$6:$A$405)-5))),IFERROR(MATCH($B1449,職員マスタ!$A$6:$A$405,0),"")))</f>
        <v/>
      </c>
      <c r="AO1449" s="16">
        <f>IF(OR($B1449="",$C1449="",$D1449=""),"",DATE($C1449+2018,$D1449,1))</f>
        <v/>
      </c>
    </row>
    <row r="1450">
      <c r="A1450" s="11" t="n"/>
      <c r="B1450" s="12" t="n"/>
      <c r="C1450" s="12" t="n"/>
      <c r="D1450" s="12" t="n"/>
      <c r="E1450" s="13" t="n"/>
      <c r="F1450" s="12" t="n"/>
      <c r="G1450" s="13" t="n"/>
      <c r="H1450" s="12" t="n"/>
      <c r="I1450" s="12" t="n"/>
      <c r="J1450" s="12" t="n"/>
      <c r="K1450" s="12" t="n"/>
      <c r="L1450" s="11" t="n"/>
      <c r="M1450" s="11" t="n"/>
      <c r="N1450" s="11" t="n"/>
      <c r="O1450" s="11" t="n"/>
      <c r="P1450" s="12" t="n"/>
      <c r="Q1450" s="11" t="n"/>
      <c r="R1450" s="12" t="n"/>
      <c r="S1450" s="11" t="n"/>
      <c r="T1450" s="12" t="n"/>
      <c r="U1450" s="12" t="n"/>
      <c r="V1450" s="14">
        <f>IF($AN1450="",IF($B1450="","",$H1450),IF(INDEX(職員マスタ!$B$6:$B$405,$AN1450)="",$H1450,INDEX(職員マスタ!$B$6:$B$405,$AN1450)))</f>
        <v/>
      </c>
      <c r="W1450" s="14">
        <f>IF($AN1450="",IF($B1450="","",$R1450),IF(INDEX(職員マスタ!$C$6:$C$405,$AN1450)="",$R1450,INDEX(職員マスタ!$C$6:$C$405,$AN1450)))</f>
        <v/>
      </c>
      <c r="X1450" s="14">
        <f>IF($AO1450="","","R"&amp;$C1450&amp;"."&amp;$D1450)</f>
        <v/>
      </c>
      <c r="Y1450" s="15">
        <f>IF($AN1450="","",IF(INDEX(職員マスタ!$K$6:$K$405,$AN1450)="","",INDEX(職員マスタ!$K$6:$K$405,$AN1450)))</f>
        <v/>
      </c>
      <c r="Z1450" s="14">
        <f>IF(OR($E1450="",$Y1450=""),"",IF($E1450&gt;=$Y1450,"×",IF($E1450&gt;=$Y1450*設定!$C$5,"△","○")))</f>
        <v/>
      </c>
      <c r="AA1450" s="15">
        <f>IF($Z1450="","",IF($Z1450="×",0,IF($Z1450="○",ROUNDDOWN($E1450*設定!$C$4,0),ROUNDDOWN($E1450*ROUND((9*$Y1450-9*$E1450)/(10*$E1450),4),0))))</f>
        <v/>
      </c>
      <c r="AB1450" s="13" t="n"/>
      <c r="AC1450" s="15">
        <f>IF($B1450="","",IF($AB1450&lt;&gt;"",$AB1450,IF($AA1450="","",IF($AA1450&lt;=設定!$C$3,0,$AA1450))))</f>
        <v/>
      </c>
      <c r="AD1450" s="14">
        <f>IF($B1450="","",IF(AND($AE1450&lt;&gt;"",$AG1450="",$AJ1450=""),"保留中",IF($AJ1450&lt;&gt;"",IF(N($AC1450)&gt;0,"支給済","不支給"),IF($AC1450="","要確認",IF($AC1450=0,"不支給","未処理")))))</f>
        <v/>
      </c>
      <c r="AE1450" s="12" t="n"/>
      <c r="AF1450" s="11" t="n"/>
      <c r="AG1450" s="11" t="n"/>
      <c r="AH1450" s="11" t="n"/>
      <c r="AI1450" s="14">
        <f>IF(AND($AD1450="保留中",$AF1450&lt;&gt;""),TODAY()-$AF1450,"")</f>
        <v/>
      </c>
      <c r="AJ1450" s="12" t="n"/>
      <c r="AK1450" s="14">
        <f>IF($B1450="","",IF($AO1450="","対象年月が未入力／","")&amp;IF($B1450="","",IF($AN1450="","職員マスタに未登録の職員番号／",IF($Y1450="","標準報酬月額が未登録／","")&amp;IF(AND($AO1450&lt;&gt;"",OR(AND(INDEX(職員マスタ!$G$6:$G$405,$AN1450)&lt;&gt;"",INDEX(職員マスタ!$G$6:$G$405,$AN1450)&gt;EOMONTH($AO1450,0)),AND(INDEX(職員マスタ!$H$6:$H$405,$AN1450)&lt;&gt;"",INDEX(職員マスタ!$H$6:$H$405,$AN1450)&lt;$AO1450))),"対象月が時短期間外／","")&amp;IF(AND(INDEX(職員マスタ!$F$6:$F$405,$AN1450)&lt;&gt;"",$AO1450&lt;&gt;"",INDEX(職員マスタ!$F$6:$F$405,$AN1450)&lt;$AO1450),"対象月に子が2歳到達済／","")&amp;IF(AND($H1450&lt;&gt;"",INDEX(職員マスタ!$B$6:$B$405,$AN1450)&lt;&gt;"",SUBSTITUTE(SUBSTITUTE($H1450," ","")," ","")&lt;&gt;SUBSTITUTE(SUBSTITUTE(INDEX(職員マスタ!$B$6:$B$405,$AN1450)," ","")," ","")),"氏名がマスタと相違／","")&amp;IF(AND($Q1450&lt;&gt;"",INDEX(職員マスタ!$E$6:$E$405,$AN1450)&lt;&gt;"",$Q1450&lt;&gt;INDEX(職員マスタ!$E$6:$E$405,$AN1450)),"子の生年月日がマスタと相違／","")&amp;IF(AND($L1450&lt;&gt;"",INDEX(職員マスタ!$G$6:$G$405,$AN1450)&lt;&gt;"",$L1450&lt;&gt;INDEX(職員マスタ!$G$6:$G$405,$AN1450)),"時短開始日がマスタと相違／","")&amp;IF(AND($M1450&lt;&gt;"",INDEX(職員マスタ!$H$6:$H$405,$AN1450)&lt;&gt;"",$M1450&lt;&gt;INDEX(職員マスタ!$H$6:$H$405,$AN1450)),"時短終了日がマスタと相違／","")))&amp;IF(AND($B1450&lt;&gt;"",$E1450=""),"報酬額が未入力／","")&amp;IF(N($U1450)&gt;0,"申請書に入力エラーが残っています／","")&amp;IF(AND($B1450&lt;&gt;"",$AO1450&lt;&gt;""),IF(COUNTIFS($B$6:$B$3005,$B1450,$C$6:$C$3005,$C1450,$D$6:$D$3005,$D1450)&gt;1,"同じ月の請求が重複しています／",""),"")&amp;IF(AND(N($E1450)&gt;0,$Z1450&lt;&gt;"",$Z1450&lt;&gt;"×",$AC1450=0,$AB1450=""),"計算額が下限以下のため不支給／",""))</f>
        <v/>
      </c>
      <c r="AL1450" s="12" t="n"/>
      <c r="AM1450" s="14">
        <f>IF($AD1450="保留中",COUNTIF($AD$6:$AD1450,"保留中"),"")</f>
        <v/>
      </c>
      <c r="AN1450" s="14">
        <f>IF($AO1450="","",IF(SUMPRODUCT(MAX((職員マスタ!$A$6:$A$405=$B1450)*(((職員マスタ!$G$6:$G$405="")+(職員マスタ!$G$6:$G$405&lt;=EOMONTH($AO1450,0)))&gt;0)*(((職員マスタ!$H$6:$H$405="")+(職員マスタ!$H$6:$H$405&gt;=$AO1450))&gt;0)*(ROW(職員マスタ!$A$6:$A$405)-5)))&gt;0,SUMPRODUCT(MAX((職員マスタ!$A$6:$A$405=$B1450)*(((職員マスタ!$G$6:$G$405="")+(職員マスタ!$G$6:$G$405&lt;=EOMONTH($AO1450,0)))&gt;0)*(((職員マスタ!$H$6:$H$405="")+(職員マスタ!$H$6:$H$405&gt;=$AO1450))&gt;0)*(ROW(職員マスタ!$A$6:$A$405)-5))),IFERROR(MATCH($B1450,職員マスタ!$A$6:$A$405,0),"")))</f>
        <v/>
      </c>
      <c r="AO1450" s="16">
        <f>IF(OR($B1450="",$C1450="",$D1450=""),"",DATE($C1450+2018,$D1450,1))</f>
        <v/>
      </c>
    </row>
    <row r="1451">
      <c r="A1451" s="11" t="n"/>
      <c r="B1451" s="12" t="n"/>
      <c r="C1451" s="12" t="n"/>
      <c r="D1451" s="12" t="n"/>
      <c r="E1451" s="13" t="n"/>
      <c r="F1451" s="12" t="n"/>
      <c r="G1451" s="13" t="n"/>
      <c r="H1451" s="12" t="n"/>
      <c r="I1451" s="12" t="n"/>
      <c r="J1451" s="12" t="n"/>
      <c r="K1451" s="12" t="n"/>
      <c r="L1451" s="11" t="n"/>
      <c r="M1451" s="11" t="n"/>
      <c r="N1451" s="11" t="n"/>
      <c r="O1451" s="11" t="n"/>
      <c r="P1451" s="12" t="n"/>
      <c r="Q1451" s="11" t="n"/>
      <c r="R1451" s="12" t="n"/>
      <c r="S1451" s="11" t="n"/>
      <c r="T1451" s="12" t="n"/>
      <c r="U1451" s="12" t="n"/>
      <c r="V1451" s="14">
        <f>IF($AN1451="",IF($B1451="","",$H1451),IF(INDEX(職員マスタ!$B$6:$B$405,$AN1451)="",$H1451,INDEX(職員マスタ!$B$6:$B$405,$AN1451)))</f>
        <v/>
      </c>
      <c r="W1451" s="14">
        <f>IF($AN1451="",IF($B1451="","",$R1451),IF(INDEX(職員マスタ!$C$6:$C$405,$AN1451)="",$R1451,INDEX(職員マスタ!$C$6:$C$405,$AN1451)))</f>
        <v/>
      </c>
      <c r="X1451" s="14">
        <f>IF($AO1451="","","R"&amp;$C1451&amp;"."&amp;$D1451)</f>
        <v/>
      </c>
      <c r="Y1451" s="15">
        <f>IF($AN1451="","",IF(INDEX(職員マスタ!$K$6:$K$405,$AN1451)="","",INDEX(職員マスタ!$K$6:$K$405,$AN1451)))</f>
        <v/>
      </c>
      <c r="Z1451" s="14">
        <f>IF(OR($E1451="",$Y1451=""),"",IF($E1451&gt;=$Y1451,"×",IF($E1451&gt;=$Y1451*設定!$C$5,"△","○")))</f>
        <v/>
      </c>
      <c r="AA1451" s="15">
        <f>IF($Z1451="","",IF($Z1451="×",0,IF($Z1451="○",ROUNDDOWN($E1451*設定!$C$4,0),ROUNDDOWN($E1451*ROUND((9*$Y1451-9*$E1451)/(10*$E1451),4),0))))</f>
        <v/>
      </c>
      <c r="AB1451" s="13" t="n"/>
      <c r="AC1451" s="15">
        <f>IF($B1451="","",IF($AB1451&lt;&gt;"",$AB1451,IF($AA1451="","",IF($AA1451&lt;=設定!$C$3,0,$AA1451))))</f>
        <v/>
      </c>
      <c r="AD1451" s="14">
        <f>IF($B1451="","",IF(AND($AE1451&lt;&gt;"",$AG1451="",$AJ1451=""),"保留中",IF($AJ1451&lt;&gt;"",IF(N($AC1451)&gt;0,"支給済","不支給"),IF($AC1451="","要確認",IF($AC1451=0,"不支給","未処理")))))</f>
        <v/>
      </c>
      <c r="AE1451" s="12" t="n"/>
      <c r="AF1451" s="11" t="n"/>
      <c r="AG1451" s="11" t="n"/>
      <c r="AH1451" s="11" t="n"/>
      <c r="AI1451" s="14">
        <f>IF(AND($AD1451="保留中",$AF1451&lt;&gt;""),TODAY()-$AF1451,"")</f>
        <v/>
      </c>
      <c r="AJ1451" s="12" t="n"/>
      <c r="AK1451" s="14">
        <f>IF($B1451="","",IF($AO1451="","対象年月が未入力／","")&amp;IF($B1451="","",IF($AN1451="","職員マスタに未登録の職員番号／",IF($Y1451="","標準報酬月額が未登録／","")&amp;IF(AND($AO1451&lt;&gt;"",OR(AND(INDEX(職員マスタ!$G$6:$G$405,$AN1451)&lt;&gt;"",INDEX(職員マスタ!$G$6:$G$405,$AN1451)&gt;EOMONTH($AO1451,0)),AND(INDEX(職員マスタ!$H$6:$H$405,$AN1451)&lt;&gt;"",INDEX(職員マスタ!$H$6:$H$405,$AN1451)&lt;$AO1451))),"対象月が時短期間外／","")&amp;IF(AND(INDEX(職員マスタ!$F$6:$F$405,$AN1451)&lt;&gt;"",$AO1451&lt;&gt;"",INDEX(職員マスタ!$F$6:$F$405,$AN1451)&lt;$AO1451),"対象月に子が2歳到達済／","")&amp;IF(AND($H1451&lt;&gt;"",INDEX(職員マスタ!$B$6:$B$405,$AN1451)&lt;&gt;"",SUBSTITUTE(SUBSTITUTE($H1451," ","")," ","")&lt;&gt;SUBSTITUTE(SUBSTITUTE(INDEX(職員マスタ!$B$6:$B$405,$AN1451)," ","")," ","")),"氏名がマスタと相違／","")&amp;IF(AND($Q1451&lt;&gt;"",INDEX(職員マスタ!$E$6:$E$405,$AN1451)&lt;&gt;"",$Q1451&lt;&gt;INDEX(職員マスタ!$E$6:$E$405,$AN1451)),"子の生年月日がマスタと相違／","")&amp;IF(AND($L1451&lt;&gt;"",INDEX(職員マスタ!$G$6:$G$405,$AN1451)&lt;&gt;"",$L1451&lt;&gt;INDEX(職員マスタ!$G$6:$G$405,$AN1451)),"時短開始日がマスタと相違／","")&amp;IF(AND($M1451&lt;&gt;"",INDEX(職員マスタ!$H$6:$H$405,$AN1451)&lt;&gt;"",$M1451&lt;&gt;INDEX(職員マスタ!$H$6:$H$405,$AN1451)),"時短終了日がマスタと相違／","")))&amp;IF(AND($B1451&lt;&gt;"",$E1451=""),"報酬額が未入力／","")&amp;IF(N($U1451)&gt;0,"申請書に入力エラーが残っています／","")&amp;IF(AND($B1451&lt;&gt;"",$AO1451&lt;&gt;""),IF(COUNTIFS($B$6:$B$3005,$B1451,$C$6:$C$3005,$C1451,$D$6:$D$3005,$D1451)&gt;1,"同じ月の請求が重複しています／",""),"")&amp;IF(AND(N($E1451)&gt;0,$Z1451&lt;&gt;"",$Z1451&lt;&gt;"×",$AC1451=0,$AB1451=""),"計算額が下限以下のため不支給／",""))</f>
        <v/>
      </c>
      <c r="AL1451" s="12" t="n"/>
      <c r="AM1451" s="14">
        <f>IF($AD1451="保留中",COUNTIF($AD$6:$AD1451,"保留中"),"")</f>
        <v/>
      </c>
      <c r="AN1451" s="14">
        <f>IF($AO1451="","",IF(SUMPRODUCT(MAX((職員マスタ!$A$6:$A$405=$B1451)*(((職員マスタ!$G$6:$G$405="")+(職員マスタ!$G$6:$G$405&lt;=EOMONTH($AO1451,0)))&gt;0)*(((職員マスタ!$H$6:$H$405="")+(職員マスタ!$H$6:$H$405&gt;=$AO1451))&gt;0)*(ROW(職員マスタ!$A$6:$A$405)-5)))&gt;0,SUMPRODUCT(MAX((職員マスタ!$A$6:$A$405=$B1451)*(((職員マスタ!$G$6:$G$405="")+(職員マスタ!$G$6:$G$405&lt;=EOMONTH($AO1451,0)))&gt;0)*(((職員マスタ!$H$6:$H$405="")+(職員マスタ!$H$6:$H$405&gt;=$AO1451))&gt;0)*(ROW(職員マスタ!$A$6:$A$405)-5))),IFERROR(MATCH($B1451,職員マスタ!$A$6:$A$405,0),"")))</f>
        <v/>
      </c>
      <c r="AO1451" s="16">
        <f>IF(OR($B1451="",$C1451="",$D1451=""),"",DATE($C1451+2018,$D1451,1))</f>
        <v/>
      </c>
    </row>
    <row r="1452">
      <c r="A1452" s="11" t="n"/>
      <c r="B1452" s="12" t="n"/>
      <c r="C1452" s="12" t="n"/>
      <c r="D1452" s="12" t="n"/>
      <c r="E1452" s="13" t="n"/>
      <c r="F1452" s="12" t="n"/>
      <c r="G1452" s="13" t="n"/>
      <c r="H1452" s="12" t="n"/>
      <c r="I1452" s="12" t="n"/>
      <c r="J1452" s="12" t="n"/>
      <c r="K1452" s="12" t="n"/>
      <c r="L1452" s="11" t="n"/>
      <c r="M1452" s="11" t="n"/>
      <c r="N1452" s="11" t="n"/>
      <c r="O1452" s="11" t="n"/>
      <c r="P1452" s="12" t="n"/>
      <c r="Q1452" s="11" t="n"/>
      <c r="R1452" s="12" t="n"/>
      <c r="S1452" s="11" t="n"/>
      <c r="T1452" s="12" t="n"/>
      <c r="U1452" s="12" t="n"/>
      <c r="V1452" s="14">
        <f>IF($AN1452="",IF($B1452="","",$H1452),IF(INDEX(職員マスタ!$B$6:$B$405,$AN1452)="",$H1452,INDEX(職員マスタ!$B$6:$B$405,$AN1452)))</f>
        <v/>
      </c>
      <c r="W1452" s="14">
        <f>IF($AN1452="",IF($B1452="","",$R1452),IF(INDEX(職員マスタ!$C$6:$C$405,$AN1452)="",$R1452,INDEX(職員マスタ!$C$6:$C$405,$AN1452)))</f>
        <v/>
      </c>
      <c r="X1452" s="14">
        <f>IF($AO1452="","","R"&amp;$C1452&amp;"."&amp;$D1452)</f>
        <v/>
      </c>
      <c r="Y1452" s="15">
        <f>IF($AN1452="","",IF(INDEX(職員マスタ!$K$6:$K$405,$AN1452)="","",INDEX(職員マスタ!$K$6:$K$405,$AN1452)))</f>
        <v/>
      </c>
      <c r="Z1452" s="14">
        <f>IF(OR($E1452="",$Y1452=""),"",IF($E1452&gt;=$Y1452,"×",IF($E1452&gt;=$Y1452*設定!$C$5,"△","○")))</f>
        <v/>
      </c>
      <c r="AA1452" s="15">
        <f>IF($Z1452="","",IF($Z1452="×",0,IF($Z1452="○",ROUNDDOWN($E1452*設定!$C$4,0),ROUNDDOWN($E1452*ROUND((9*$Y1452-9*$E1452)/(10*$E1452),4),0))))</f>
        <v/>
      </c>
      <c r="AB1452" s="13" t="n"/>
      <c r="AC1452" s="15">
        <f>IF($B1452="","",IF($AB1452&lt;&gt;"",$AB1452,IF($AA1452="","",IF($AA1452&lt;=設定!$C$3,0,$AA1452))))</f>
        <v/>
      </c>
      <c r="AD1452" s="14">
        <f>IF($B1452="","",IF(AND($AE1452&lt;&gt;"",$AG1452="",$AJ1452=""),"保留中",IF($AJ1452&lt;&gt;"",IF(N($AC1452)&gt;0,"支給済","不支給"),IF($AC1452="","要確認",IF($AC1452=0,"不支給","未処理")))))</f>
        <v/>
      </c>
      <c r="AE1452" s="12" t="n"/>
      <c r="AF1452" s="11" t="n"/>
      <c r="AG1452" s="11" t="n"/>
      <c r="AH1452" s="11" t="n"/>
      <c r="AI1452" s="14">
        <f>IF(AND($AD1452="保留中",$AF1452&lt;&gt;""),TODAY()-$AF1452,"")</f>
        <v/>
      </c>
      <c r="AJ1452" s="12" t="n"/>
      <c r="AK1452" s="14">
        <f>IF($B1452="","",IF($AO1452="","対象年月が未入力／","")&amp;IF($B1452="","",IF($AN1452="","職員マスタに未登録の職員番号／",IF($Y1452="","標準報酬月額が未登録／","")&amp;IF(AND($AO1452&lt;&gt;"",OR(AND(INDEX(職員マスタ!$G$6:$G$405,$AN1452)&lt;&gt;"",INDEX(職員マスタ!$G$6:$G$405,$AN1452)&gt;EOMONTH($AO1452,0)),AND(INDEX(職員マスタ!$H$6:$H$405,$AN1452)&lt;&gt;"",INDEX(職員マスタ!$H$6:$H$405,$AN1452)&lt;$AO1452))),"対象月が時短期間外／","")&amp;IF(AND(INDEX(職員マスタ!$F$6:$F$405,$AN1452)&lt;&gt;"",$AO1452&lt;&gt;"",INDEX(職員マスタ!$F$6:$F$405,$AN1452)&lt;$AO1452),"対象月に子が2歳到達済／","")&amp;IF(AND($H1452&lt;&gt;"",INDEX(職員マスタ!$B$6:$B$405,$AN1452)&lt;&gt;"",SUBSTITUTE(SUBSTITUTE($H1452," ","")," ","")&lt;&gt;SUBSTITUTE(SUBSTITUTE(INDEX(職員マスタ!$B$6:$B$405,$AN1452)," ","")," ","")),"氏名がマスタと相違／","")&amp;IF(AND($Q1452&lt;&gt;"",INDEX(職員マスタ!$E$6:$E$405,$AN1452)&lt;&gt;"",$Q1452&lt;&gt;INDEX(職員マスタ!$E$6:$E$405,$AN1452)),"子の生年月日がマスタと相違／","")&amp;IF(AND($L1452&lt;&gt;"",INDEX(職員マスタ!$G$6:$G$405,$AN1452)&lt;&gt;"",$L1452&lt;&gt;INDEX(職員マスタ!$G$6:$G$405,$AN1452)),"時短開始日がマスタと相違／","")&amp;IF(AND($M1452&lt;&gt;"",INDEX(職員マスタ!$H$6:$H$405,$AN1452)&lt;&gt;"",$M1452&lt;&gt;INDEX(職員マスタ!$H$6:$H$405,$AN1452)),"時短終了日がマスタと相違／","")))&amp;IF(AND($B1452&lt;&gt;"",$E1452=""),"報酬額が未入力／","")&amp;IF(N($U1452)&gt;0,"申請書に入力エラーが残っています／","")&amp;IF(AND($B1452&lt;&gt;"",$AO1452&lt;&gt;""),IF(COUNTIFS($B$6:$B$3005,$B1452,$C$6:$C$3005,$C1452,$D$6:$D$3005,$D1452)&gt;1,"同じ月の請求が重複しています／",""),"")&amp;IF(AND(N($E1452)&gt;0,$Z1452&lt;&gt;"",$Z1452&lt;&gt;"×",$AC1452=0,$AB1452=""),"計算額が下限以下のため不支給／",""))</f>
        <v/>
      </c>
      <c r="AL1452" s="12" t="n"/>
      <c r="AM1452" s="14">
        <f>IF($AD1452="保留中",COUNTIF($AD$6:$AD1452,"保留中"),"")</f>
        <v/>
      </c>
      <c r="AN1452" s="14">
        <f>IF($AO1452="","",IF(SUMPRODUCT(MAX((職員マスタ!$A$6:$A$405=$B1452)*(((職員マスタ!$G$6:$G$405="")+(職員マスタ!$G$6:$G$405&lt;=EOMONTH($AO1452,0)))&gt;0)*(((職員マスタ!$H$6:$H$405="")+(職員マスタ!$H$6:$H$405&gt;=$AO1452))&gt;0)*(ROW(職員マスタ!$A$6:$A$405)-5)))&gt;0,SUMPRODUCT(MAX((職員マスタ!$A$6:$A$405=$B1452)*(((職員マスタ!$G$6:$G$405="")+(職員マスタ!$G$6:$G$405&lt;=EOMONTH($AO1452,0)))&gt;0)*(((職員マスタ!$H$6:$H$405="")+(職員マスタ!$H$6:$H$405&gt;=$AO1452))&gt;0)*(ROW(職員マスタ!$A$6:$A$405)-5))),IFERROR(MATCH($B1452,職員マスタ!$A$6:$A$405,0),"")))</f>
        <v/>
      </c>
      <c r="AO1452" s="16">
        <f>IF(OR($B1452="",$C1452="",$D1452=""),"",DATE($C1452+2018,$D1452,1))</f>
        <v/>
      </c>
    </row>
    <row r="1453">
      <c r="A1453" s="11" t="n"/>
      <c r="B1453" s="12" t="n"/>
      <c r="C1453" s="12" t="n"/>
      <c r="D1453" s="12" t="n"/>
      <c r="E1453" s="13" t="n"/>
      <c r="F1453" s="12" t="n"/>
      <c r="G1453" s="13" t="n"/>
      <c r="H1453" s="12" t="n"/>
      <c r="I1453" s="12" t="n"/>
      <c r="J1453" s="12" t="n"/>
      <c r="K1453" s="12" t="n"/>
      <c r="L1453" s="11" t="n"/>
      <c r="M1453" s="11" t="n"/>
      <c r="N1453" s="11" t="n"/>
      <c r="O1453" s="11" t="n"/>
      <c r="P1453" s="12" t="n"/>
      <c r="Q1453" s="11" t="n"/>
      <c r="R1453" s="12" t="n"/>
      <c r="S1453" s="11" t="n"/>
      <c r="T1453" s="12" t="n"/>
      <c r="U1453" s="12" t="n"/>
      <c r="V1453" s="14">
        <f>IF($AN1453="",IF($B1453="","",$H1453),IF(INDEX(職員マスタ!$B$6:$B$405,$AN1453)="",$H1453,INDEX(職員マスタ!$B$6:$B$405,$AN1453)))</f>
        <v/>
      </c>
      <c r="W1453" s="14">
        <f>IF($AN1453="",IF($B1453="","",$R1453),IF(INDEX(職員マスタ!$C$6:$C$405,$AN1453)="",$R1453,INDEX(職員マスタ!$C$6:$C$405,$AN1453)))</f>
        <v/>
      </c>
      <c r="X1453" s="14">
        <f>IF($AO1453="","","R"&amp;$C1453&amp;"."&amp;$D1453)</f>
        <v/>
      </c>
      <c r="Y1453" s="15">
        <f>IF($AN1453="","",IF(INDEX(職員マスタ!$K$6:$K$405,$AN1453)="","",INDEX(職員マスタ!$K$6:$K$405,$AN1453)))</f>
        <v/>
      </c>
      <c r="Z1453" s="14">
        <f>IF(OR($E1453="",$Y1453=""),"",IF($E1453&gt;=$Y1453,"×",IF($E1453&gt;=$Y1453*設定!$C$5,"△","○")))</f>
        <v/>
      </c>
      <c r="AA1453" s="15">
        <f>IF($Z1453="","",IF($Z1453="×",0,IF($Z1453="○",ROUNDDOWN($E1453*設定!$C$4,0),ROUNDDOWN($E1453*ROUND((9*$Y1453-9*$E1453)/(10*$E1453),4),0))))</f>
        <v/>
      </c>
      <c r="AB1453" s="13" t="n"/>
      <c r="AC1453" s="15">
        <f>IF($B1453="","",IF($AB1453&lt;&gt;"",$AB1453,IF($AA1453="","",IF($AA1453&lt;=設定!$C$3,0,$AA1453))))</f>
        <v/>
      </c>
      <c r="AD1453" s="14">
        <f>IF($B1453="","",IF(AND($AE1453&lt;&gt;"",$AG1453="",$AJ1453=""),"保留中",IF($AJ1453&lt;&gt;"",IF(N($AC1453)&gt;0,"支給済","不支給"),IF($AC1453="","要確認",IF($AC1453=0,"不支給","未処理")))))</f>
        <v/>
      </c>
      <c r="AE1453" s="12" t="n"/>
      <c r="AF1453" s="11" t="n"/>
      <c r="AG1453" s="11" t="n"/>
      <c r="AH1453" s="11" t="n"/>
      <c r="AI1453" s="14">
        <f>IF(AND($AD1453="保留中",$AF1453&lt;&gt;""),TODAY()-$AF1453,"")</f>
        <v/>
      </c>
      <c r="AJ1453" s="12" t="n"/>
      <c r="AK1453" s="14">
        <f>IF($B1453="","",IF($AO1453="","対象年月が未入力／","")&amp;IF($B1453="","",IF($AN1453="","職員マスタに未登録の職員番号／",IF($Y1453="","標準報酬月額が未登録／","")&amp;IF(AND($AO1453&lt;&gt;"",OR(AND(INDEX(職員マスタ!$G$6:$G$405,$AN1453)&lt;&gt;"",INDEX(職員マスタ!$G$6:$G$405,$AN1453)&gt;EOMONTH($AO1453,0)),AND(INDEX(職員マスタ!$H$6:$H$405,$AN1453)&lt;&gt;"",INDEX(職員マスタ!$H$6:$H$405,$AN1453)&lt;$AO1453))),"対象月が時短期間外／","")&amp;IF(AND(INDEX(職員マスタ!$F$6:$F$405,$AN1453)&lt;&gt;"",$AO1453&lt;&gt;"",INDEX(職員マスタ!$F$6:$F$405,$AN1453)&lt;$AO1453),"対象月に子が2歳到達済／","")&amp;IF(AND($H1453&lt;&gt;"",INDEX(職員マスタ!$B$6:$B$405,$AN1453)&lt;&gt;"",SUBSTITUTE(SUBSTITUTE($H1453," ","")," ","")&lt;&gt;SUBSTITUTE(SUBSTITUTE(INDEX(職員マスタ!$B$6:$B$405,$AN1453)," ","")," ","")),"氏名がマスタと相違／","")&amp;IF(AND($Q1453&lt;&gt;"",INDEX(職員マスタ!$E$6:$E$405,$AN1453)&lt;&gt;"",$Q1453&lt;&gt;INDEX(職員マスタ!$E$6:$E$405,$AN1453)),"子の生年月日がマスタと相違／","")&amp;IF(AND($L1453&lt;&gt;"",INDEX(職員マスタ!$G$6:$G$405,$AN1453)&lt;&gt;"",$L1453&lt;&gt;INDEX(職員マスタ!$G$6:$G$405,$AN1453)),"時短開始日がマスタと相違／","")&amp;IF(AND($M1453&lt;&gt;"",INDEX(職員マスタ!$H$6:$H$405,$AN1453)&lt;&gt;"",$M1453&lt;&gt;INDEX(職員マスタ!$H$6:$H$405,$AN1453)),"時短終了日がマスタと相違／","")))&amp;IF(AND($B1453&lt;&gt;"",$E1453=""),"報酬額が未入力／","")&amp;IF(N($U1453)&gt;0,"申請書に入力エラーが残っています／","")&amp;IF(AND($B1453&lt;&gt;"",$AO1453&lt;&gt;""),IF(COUNTIFS($B$6:$B$3005,$B1453,$C$6:$C$3005,$C1453,$D$6:$D$3005,$D1453)&gt;1,"同じ月の請求が重複しています／",""),"")&amp;IF(AND(N($E1453)&gt;0,$Z1453&lt;&gt;"",$Z1453&lt;&gt;"×",$AC1453=0,$AB1453=""),"計算額が下限以下のため不支給／",""))</f>
        <v/>
      </c>
      <c r="AL1453" s="12" t="n"/>
      <c r="AM1453" s="14">
        <f>IF($AD1453="保留中",COUNTIF($AD$6:$AD1453,"保留中"),"")</f>
        <v/>
      </c>
      <c r="AN1453" s="14">
        <f>IF($AO1453="","",IF(SUMPRODUCT(MAX((職員マスタ!$A$6:$A$405=$B1453)*(((職員マスタ!$G$6:$G$405="")+(職員マスタ!$G$6:$G$405&lt;=EOMONTH($AO1453,0)))&gt;0)*(((職員マスタ!$H$6:$H$405="")+(職員マスタ!$H$6:$H$405&gt;=$AO1453))&gt;0)*(ROW(職員マスタ!$A$6:$A$405)-5)))&gt;0,SUMPRODUCT(MAX((職員マスタ!$A$6:$A$405=$B1453)*(((職員マスタ!$G$6:$G$405="")+(職員マスタ!$G$6:$G$405&lt;=EOMONTH($AO1453,0)))&gt;0)*(((職員マスタ!$H$6:$H$405="")+(職員マスタ!$H$6:$H$405&gt;=$AO1453))&gt;0)*(ROW(職員マスタ!$A$6:$A$405)-5))),IFERROR(MATCH($B1453,職員マスタ!$A$6:$A$405,0),"")))</f>
        <v/>
      </c>
      <c r="AO1453" s="16">
        <f>IF(OR($B1453="",$C1453="",$D1453=""),"",DATE($C1453+2018,$D1453,1))</f>
        <v/>
      </c>
    </row>
    <row r="1454">
      <c r="A1454" s="11" t="n"/>
      <c r="B1454" s="12" t="n"/>
      <c r="C1454" s="12" t="n"/>
      <c r="D1454" s="12" t="n"/>
      <c r="E1454" s="13" t="n"/>
      <c r="F1454" s="12" t="n"/>
      <c r="G1454" s="13" t="n"/>
      <c r="H1454" s="12" t="n"/>
      <c r="I1454" s="12" t="n"/>
      <c r="J1454" s="12" t="n"/>
      <c r="K1454" s="12" t="n"/>
      <c r="L1454" s="11" t="n"/>
      <c r="M1454" s="11" t="n"/>
      <c r="N1454" s="11" t="n"/>
      <c r="O1454" s="11" t="n"/>
      <c r="P1454" s="12" t="n"/>
      <c r="Q1454" s="11" t="n"/>
      <c r="R1454" s="12" t="n"/>
      <c r="S1454" s="11" t="n"/>
      <c r="T1454" s="12" t="n"/>
      <c r="U1454" s="12" t="n"/>
      <c r="V1454" s="14">
        <f>IF($AN1454="",IF($B1454="","",$H1454),IF(INDEX(職員マスタ!$B$6:$B$405,$AN1454)="",$H1454,INDEX(職員マスタ!$B$6:$B$405,$AN1454)))</f>
        <v/>
      </c>
      <c r="W1454" s="14">
        <f>IF($AN1454="",IF($B1454="","",$R1454),IF(INDEX(職員マスタ!$C$6:$C$405,$AN1454)="",$R1454,INDEX(職員マスタ!$C$6:$C$405,$AN1454)))</f>
        <v/>
      </c>
      <c r="X1454" s="14">
        <f>IF($AO1454="","","R"&amp;$C1454&amp;"."&amp;$D1454)</f>
        <v/>
      </c>
      <c r="Y1454" s="15">
        <f>IF($AN1454="","",IF(INDEX(職員マスタ!$K$6:$K$405,$AN1454)="","",INDEX(職員マスタ!$K$6:$K$405,$AN1454)))</f>
        <v/>
      </c>
      <c r="Z1454" s="14">
        <f>IF(OR($E1454="",$Y1454=""),"",IF($E1454&gt;=$Y1454,"×",IF($E1454&gt;=$Y1454*設定!$C$5,"△","○")))</f>
        <v/>
      </c>
      <c r="AA1454" s="15">
        <f>IF($Z1454="","",IF($Z1454="×",0,IF($Z1454="○",ROUNDDOWN($E1454*設定!$C$4,0),ROUNDDOWN($E1454*ROUND((9*$Y1454-9*$E1454)/(10*$E1454),4),0))))</f>
        <v/>
      </c>
      <c r="AB1454" s="13" t="n"/>
      <c r="AC1454" s="15">
        <f>IF($B1454="","",IF($AB1454&lt;&gt;"",$AB1454,IF($AA1454="","",IF($AA1454&lt;=設定!$C$3,0,$AA1454))))</f>
        <v/>
      </c>
      <c r="AD1454" s="14">
        <f>IF($B1454="","",IF(AND($AE1454&lt;&gt;"",$AG1454="",$AJ1454=""),"保留中",IF($AJ1454&lt;&gt;"",IF(N($AC1454)&gt;0,"支給済","不支給"),IF($AC1454="","要確認",IF($AC1454=0,"不支給","未処理")))))</f>
        <v/>
      </c>
      <c r="AE1454" s="12" t="n"/>
      <c r="AF1454" s="11" t="n"/>
      <c r="AG1454" s="11" t="n"/>
      <c r="AH1454" s="11" t="n"/>
      <c r="AI1454" s="14">
        <f>IF(AND($AD1454="保留中",$AF1454&lt;&gt;""),TODAY()-$AF1454,"")</f>
        <v/>
      </c>
      <c r="AJ1454" s="12" t="n"/>
      <c r="AK1454" s="14">
        <f>IF($B1454="","",IF($AO1454="","対象年月が未入力／","")&amp;IF($B1454="","",IF($AN1454="","職員マスタに未登録の職員番号／",IF($Y1454="","標準報酬月額が未登録／","")&amp;IF(AND($AO1454&lt;&gt;"",OR(AND(INDEX(職員マスタ!$G$6:$G$405,$AN1454)&lt;&gt;"",INDEX(職員マスタ!$G$6:$G$405,$AN1454)&gt;EOMONTH($AO1454,0)),AND(INDEX(職員マスタ!$H$6:$H$405,$AN1454)&lt;&gt;"",INDEX(職員マスタ!$H$6:$H$405,$AN1454)&lt;$AO1454))),"対象月が時短期間外／","")&amp;IF(AND(INDEX(職員マスタ!$F$6:$F$405,$AN1454)&lt;&gt;"",$AO1454&lt;&gt;"",INDEX(職員マスタ!$F$6:$F$405,$AN1454)&lt;$AO1454),"対象月に子が2歳到達済／","")&amp;IF(AND($H1454&lt;&gt;"",INDEX(職員マスタ!$B$6:$B$405,$AN1454)&lt;&gt;"",SUBSTITUTE(SUBSTITUTE($H1454," ","")," ","")&lt;&gt;SUBSTITUTE(SUBSTITUTE(INDEX(職員マスタ!$B$6:$B$405,$AN1454)," ","")," ","")),"氏名がマスタと相違／","")&amp;IF(AND($Q1454&lt;&gt;"",INDEX(職員マスタ!$E$6:$E$405,$AN1454)&lt;&gt;"",$Q1454&lt;&gt;INDEX(職員マスタ!$E$6:$E$405,$AN1454)),"子の生年月日がマスタと相違／","")&amp;IF(AND($L1454&lt;&gt;"",INDEX(職員マスタ!$G$6:$G$405,$AN1454)&lt;&gt;"",$L1454&lt;&gt;INDEX(職員マスタ!$G$6:$G$405,$AN1454)),"時短開始日がマスタと相違／","")&amp;IF(AND($M1454&lt;&gt;"",INDEX(職員マスタ!$H$6:$H$405,$AN1454)&lt;&gt;"",$M1454&lt;&gt;INDEX(職員マスタ!$H$6:$H$405,$AN1454)),"時短終了日がマスタと相違／","")))&amp;IF(AND($B1454&lt;&gt;"",$E1454=""),"報酬額が未入力／","")&amp;IF(N($U1454)&gt;0,"申請書に入力エラーが残っています／","")&amp;IF(AND($B1454&lt;&gt;"",$AO1454&lt;&gt;""),IF(COUNTIFS($B$6:$B$3005,$B1454,$C$6:$C$3005,$C1454,$D$6:$D$3005,$D1454)&gt;1,"同じ月の請求が重複しています／",""),"")&amp;IF(AND(N($E1454)&gt;0,$Z1454&lt;&gt;"",$Z1454&lt;&gt;"×",$AC1454=0,$AB1454=""),"計算額が下限以下のため不支給／",""))</f>
        <v/>
      </c>
      <c r="AL1454" s="12" t="n"/>
      <c r="AM1454" s="14">
        <f>IF($AD1454="保留中",COUNTIF($AD$6:$AD1454,"保留中"),"")</f>
        <v/>
      </c>
      <c r="AN1454" s="14">
        <f>IF($AO1454="","",IF(SUMPRODUCT(MAX((職員マスタ!$A$6:$A$405=$B1454)*(((職員マスタ!$G$6:$G$405="")+(職員マスタ!$G$6:$G$405&lt;=EOMONTH($AO1454,0)))&gt;0)*(((職員マスタ!$H$6:$H$405="")+(職員マスタ!$H$6:$H$405&gt;=$AO1454))&gt;0)*(ROW(職員マスタ!$A$6:$A$405)-5)))&gt;0,SUMPRODUCT(MAX((職員マスタ!$A$6:$A$405=$B1454)*(((職員マスタ!$G$6:$G$405="")+(職員マスタ!$G$6:$G$405&lt;=EOMONTH($AO1454,0)))&gt;0)*(((職員マスタ!$H$6:$H$405="")+(職員マスタ!$H$6:$H$405&gt;=$AO1454))&gt;0)*(ROW(職員マスタ!$A$6:$A$405)-5))),IFERROR(MATCH($B1454,職員マスタ!$A$6:$A$405,0),"")))</f>
        <v/>
      </c>
      <c r="AO1454" s="16">
        <f>IF(OR($B1454="",$C1454="",$D1454=""),"",DATE($C1454+2018,$D1454,1))</f>
        <v/>
      </c>
    </row>
    <row r="1455">
      <c r="A1455" s="11" t="n"/>
      <c r="B1455" s="12" t="n"/>
      <c r="C1455" s="12" t="n"/>
      <c r="D1455" s="12" t="n"/>
      <c r="E1455" s="13" t="n"/>
      <c r="F1455" s="12" t="n"/>
      <c r="G1455" s="13" t="n"/>
      <c r="H1455" s="12" t="n"/>
      <c r="I1455" s="12" t="n"/>
      <c r="J1455" s="12" t="n"/>
      <c r="K1455" s="12" t="n"/>
      <c r="L1455" s="11" t="n"/>
      <c r="M1455" s="11" t="n"/>
      <c r="N1455" s="11" t="n"/>
      <c r="O1455" s="11" t="n"/>
      <c r="P1455" s="12" t="n"/>
      <c r="Q1455" s="11" t="n"/>
      <c r="R1455" s="12" t="n"/>
      <c r="S1455" s="11" t="n"/>
      <c r="T1455" s="12" t="n"/>
      <c r="U1455" s="12" t="n"/>
      <c r="V1455" s="14">
        <f>IF($AN1455="",IF($B1455="","",$H1455),IF(INDEX(職員マスタ!$B$6:$B$405,$AN1455)="",$H1455,INDEX(職員マスタ!$B$6:$B$405,$AN1455)))</f>
        <v/>
      </c>
      <c r="W1455" s="14">
        <f>IF($AN1455="",IF($B1455="","",$R1455),IF(INDEX(職員マスタ!$C$6:$C$405,$AN1455)="",$R1455,INDEX(職員マスタ!$C$6:$C$405,$AN1455)))</f>
        <v/>
      </c>
      <c r="X1455" s="14">
        <f>IF($AO1455="","","R"&amp;$C1455&amp;"."&amp;$D1455)</f>
        <v/>
      </c>
      <c r="Y1455" s="15">
        <f>IF($AN1455="","",IF(INDEX(職員マスタ!$K$6:$K$405,$AN1455)="","",INDEX(職員マスタ!$K$6:$K$405,$AN1455)))</f>
        <v/>
      </c>
      <c r="Z1455" s="14">
        <f>IF(OR($E1455="",$Y1455=""),"",IF($E1455&gt;=$Y1455,"×",IF($E1455&gt;=$Y1455*設定!$C$5,"△","○")))</f>
        <v/>
      </c>
      <c r="AA1455" s="15">
        <f>IF($Z1455="","",IF($Z1455="×",0,IF($Z1455="○",ROUNDDOWN($E1455*設定!$C$4,0),ROUNDDOWN($E1455*ROUND((9*$Y1455-9*$E1455)/(10*$E1455),4),0))))</f>
        <v/>
      </c>
      <c r="AB1455" s="13" t="n"/>
      <c r="AC1455" s="15">
        <f>IF($B1455="","",IF($AB1455&lt;&gt;"",$AB1455,IF($AA1455="","",IF($AA1455&lt;=設定!$C$3,0,$AA1455))))</f>
        <v/>
      </c>
      <c r="AD1455" s="14">
        <f>IF($B1455="","",IF(AND($AE1455&lt;&gt;"",$AG1455="",$AJ1455=""),"保留中",IF($AJ1455&lt;&gt;"",IF(N($AC1455)&gt;0,"支給済","不支給"),IF($AC1455="","要確認",IF($AC1455=0,"不支給","未処理")))))</f>
        <v/>
      </c>
      <c r="AE1455" s="12" t="n"/>
      <c r="AF1455" s="11" t="n"/>
      <c r="AG1455" s="11" t="n"/>
      <c r="AH1455" s="11" t="n"/>
      <c r="AI1455" s="14">
        <f>IF(AND($AD1455="保留中",$AF1455&lt;&gt;""),TODAY()-$AF1455,"")</f>
        <v/>
      </c>
      <c r="AJ1455" s="12" t="n"/>
      <c r="AK1455" s="14">
        <f>IF($B1455="","",IF($AO1455="","対象年月が未入力／","")&amp;IF($B1455="","",IF($AN1455="","職員マスタに未登録の職員番号／",IF($Y1455="","標準報酬月額が未登録／","")&amp;IF(AND($AO1455&lt;&gt;"",OR(AND(INDEX(職員マスタ!$G$6:$G$405,$AN1455)&lt;&gt;"",INDEX(職員マスタ!$G$6:$G$405,$AN1455)&gt;EOMONTH($AO1455,0)),AND(INDEX(職員マスタ!$H$6:$H$405,$AN1455)&lt;&gt;"",INDEX(職員マスタ!$H$6:$H$405,$AN1455)&lt;$AO1455))),"対象月が時短期間外／","")&amp;IF(AND(INDEX(職員マスタ!$F$6:$F$405,$AN1455)&lt;&gt;"",$AO1455&lt;&gt;"",INDEX(職員マスタ!$F$6:$F$405,$AN1455)&lt;$AO1455),"対象月に子が2歳到達済／","")&amp;IF(AND($H1455&lt;&gt;"",INDEX(職員マスタ!$B$6:$B$405,$AN1455)&lt;&gt;"",SUBSTITUTE(SUBSTITUTE($H1455," ","")," ","")&lt;&gt;SUBSTITUTE(SUBSTITUTE(INDEX(職員マスタ!$B$6:$B$405,$AN1455)," ","")," ","")),"氏名がマスタと相違／","")&amp;IF(AND($Q1455&lt;&gt;"",INDEX(職員マスタ!$E$6:$E$405,$AN1455)&lt;&gt;"",$Q1455&lt;&gt;INDEX(職員マスタ!$E$6:$E$405,$AN1455)),"子の生年月日がマスタと相違／","")&amp;IF(AND($L1455&lt;&gt;"",INDEX(職員マスタ!$G$6:$G$405,$AN1455)&lt;&gt;"",$L1455&lt;&gt;INDEX(職員マスタ!$G$6:$G$405,$AN1455)),"時短開始日がマスタと相違／","")&amp;IF(AND($M1455&lt;&gt;"",INDEX(職員マスタ!$H$6:$H$405,$AN1455)&lt;&gt;"",$M1455&lt;&gt;INDEX(職員マスタ!$H$6:$H$405,$AN1455)),"時短終了日がマスタと相違／","")))&amp;IF(AND($B1455&lt;&gt;"",$E1455=""),"報酬額が未入力／","")&amp;IF(N($U1455)&gt;0,"申請書に入力エラーが残っています／","")&amp;IF(AND($B1455&lt;&gt;"",$AO1455&lt;&gt;""),IF(COUNTIFS($B$6:$B$3005,$B1455,$C$6:$C$3005,$C1455,$D$6:$D$3005,$D1455)&gt;1,"同じ月の請求が重複しています／",""),"")&amp;IF(AND(N($E1455)&gt;0,$Z1455&lt;&gt;"",$Z1455&lt;&gt;"×",$AC1455=0,$AB1455=""),"計算額が下限以下のため不支給／",""))</f>
        <v/>
      </c>
      <c r="AL1455" s="12" t="n"/>
      <c r="AM1455" s="14">
        <f>IF($AD1455="保留中",COUNTIF($AD$6:$AD1455,"保留中"),"")</f>
        <v/>
      </c>
      <c r="AN1455" s="14">
        <f>IF($AO1455="","",IF(SUMPRODUCT(MAX((職員マスタ!$A$6:$A$405=$B1455)*(((職員マスタ!$G$6:$G$405="")+(職員マスタ!$G$6:$G$405&lt;=EOMONTH($AO1455,0)))&gt;0)*(((職員マスタ!$H$6:$H$405="")+(職員マスタ!$H$6:$H$405&gt;=$AO1455))&gt;0)*(ROW(職員マスタ!$A$6:$A$405)-5)))&gt;0,SUMPRODUCT(MAX((職員マスタ!$A$6:$A$405=$B1455)*(((職員マスタ!$G$6:$G$405="")+(職員マスタ!$G$6:$G$405&lt;=EOMONTH($AO1455,0)))&gt;0)*(((職員マスタ!$H$6:$H$405="")+(職員マスタ!$H$6:$H$405&gt;=$AO1455))&gt;0)*(ROW(職員マスタ!$A$6:$A$405)-5))),IFERROR(MATCH($B1455,職員マスタ!$A$6:$A$405,0),"")))</f>
        <v/>
      </c>
      <c r="AO1455" s="16">
        <f>IF(OR($B1455="",$C1455="",$D1455=""),"",DATE($C1455+2018,$D1455,1))</f>
        <v/>
      </c>
    </row>
    <row r="1456">
      <c r="A1456" s="11" t="n"/>
      <c r="B1456" s="12" t="n"/>
      <c r="C1456" s="12" t="n"/>
      <c r="D1456" s="12" t="n"/>
      <c r="E1456" s="13" t="n"/>
      <c r="F1456" s="12" t="n"/>
      <c r="G1456" s="13" t="n"/>
      <c r="H1456" s="12" t="n"/>
      <c r="I1456" s="12" t="n"/>
      <c r="J1456" s="12" t="n"/>
      <c r="K1456" s="12" t="n"/>
      <c r="L1456" s="11" t="n"/>
      <c r="M1456" s="11" t="n"/>
      <c r="N1456" s="11" t="n"/>
      <c r="O1456" s="11" t="n"/>
      <c r="P1456" s="12" t="n"/>
      <c r="Q1456" s="11" t="n"/>
      <c r="R1456" s="12" t="n"/>
      <c r="S1456" s="11" t="n"/>
      <c r="T1456" s="12" t="n"/>
      <c r="U1456" s="12" t="n"/>
      <c r="V1456" s="14">
        <f>IF($AN1456="",IF($B1456="","",$H1456),IF(INDEX(職員マスタ!$B$6:$B$405,$AN1456)="",$H1456,INDEX(職員マスタ!$B$6:$B$405,$AN1456)))</f>
        <v/>
      </c>
      <c r="W1456" s="14">
        <f>IF($AN1456="",IF($B1456="","",$R1456),IF(INDEX(職員マスタ!$C$6:$C$405,$AN1456)="",$R1456,INDEX(職員マスタ!$C$6:$C$405,$AN1456)))</f>
        <v/>
      </c>
      <c r="X1456" s="14">
        <f>IF($AO1456="","","R"&amp;$C1456&amp;"."&amp;$D1456)</f>
        <v/>
      </c>
      <c r="Y1456" s="15">
        <f>IF($AN1456="","",IF(INDEX(職員マスタ!$K$6:$K$405,$AN1456)="","",INDEX(職員マスタ!$K$6:$K$405,$AN1456)))</f>
        <v/>
      </c>
      <c r="Z1456" s="14">
        <f>IF(OR($E1456="",$Y1456=""),"",IF($E1456&gt;=$Y1456,"×",IF($E1456&gt;=$Y1456*設定!$C$5,"△","○")))</f>
        <v/>
      </c>
      <c r="AA1456" s="15">
        <f>IF($Z1456="","",IF($Z1456="×",0,IF($Z1456="○",ROUNDDOWN($E1456*設定!$C$4,0),ROUNDDOWN($E1456*ROUND((9*$Y1456-9*$E1456)/(10*$E1456),4),0))))</f>
        <v/>
      </c>
      <c r="AB1456" s="13" t="n"/>
      <c r="AC1456" s="15">
        <f>IF($B1456="","",IF($AB1456&lt;&gt;"",$AB1456,IF($AA1456="","",IF($AA1456&lt;=設定!$C$3,0,$AA1456))))</f>
        <v/>
      </c>
      <c r="AD1456" s="14">
        <f>IF($B1456="","",IF(AND($AE1456&lt;&gt;"",$AG1456="",$AJ1456=""),"保留中",IF($AJ1456&lt;&gt;"",IF(N($AC1456)&gt;0,"支給済","不支給"),IF($AC1456="","要確認",IF($AC1456=0,"不支給","未処理")))))</f>
        <v/>
      </c>
      <c r="AE1456" s="12" t="n"/>
      <c r="AF1456" s="11" t="n"/>
      <c r="AG1456" s="11" t="n"/>
      <c r="AH1456" s="11" t="n"/>
      <c r="AI1456" s="14">
        <f>IF(AND($AD1456="保留中",$AF1456&lt;&gt;""),TODAY()-$AF1456,"")</f>
        <v/>
      </c>
      <c r="AJ1456" s="12" t="n"/>
      <c r="AK1456" s="14">
        <f>IF($B1456="","",IF($AO1456="","対象年月が未入力／","")&amp;IF($B1456="","",IF($AN1456="","職員マスタに未登録の職員番号／",IF($Y1456="","標準報酬月額が未登録／","")&amp;IF(AND($AO1456&lt;&gt;"",OR(AND(INDEX(職員マスタ!$G$6:$G$405,$AN1456)&lt;&gt;"",INDEX(職員マスタ!$G$6:$G$405,$AN1456)&gt;EOMONTH($AO1456,0)),AND(INDEX(職員マスタ!$H$6:$H$405,$AN1456)&lt;&gt;"",INDEX(職員マスタ!$H$6:$H$405,$AN1456)&lt;$AO1456))),"対象月が時短期間外／","")&amp;IF(AND(INDEX(職員マスタ!$F$6:$F$405,$AN1456)&lt;&gt;"",$AO1456&lt;&gt;"",INDEX(職員マスタ!$F$6:$F$405,$AN1456)&lt;$AO1456),"対象月に子が2歳到達済／","")&amp;IF(AND($H1456&lt;&gt;"",INDEX(職員マスタ!$B$6:$B$405,$AN1456)&lt;&gt;"",SUBSTITUTE(SUBSTITUTE($H1456," ","")," ","")&lt;&gt;SUBSTITUTE(SUBSTITUTE(INDEX(職員マスタ!$B$6:$B$405,$AN1456)," ","")," ","")),"氏名がマスタと相違／","")&amp;IF(AND($Q1456&lt;&gt;"",INDEX(職員マスタ!$E$6:$E$405,$AN1456)&lt;&gt;"",$Q1456&lt;&gt;INDEX(職員マスタ!$E$6:$E$405,$AN1456)),"子の生年月日がマスタと相違／","")&amp;IF(AND($L1456&lt;&gt;"",INDEX(職員マスタ!$G$6:$G$405,$AN1456)&lt;&gt;"",$L1456&lt;&gt;INDEX(職員マスタ!$G$6:$G$405,$AN1456)),"時短開始日がマスタと相違／","")&amp;IF(AND($M1456&lt;&gt;"",INDEX(職員マスタ!$H$6:$H$405,$AN1456)&lt;&gt;"",$M1456&lt;&gt;INDEX(職員マスタ!$H$6:$H$405,$AN1456)),"時短終了日がマスタと相違／","")))&amp;IF(AND($B1456&lt;&gt;"",$E1456=""),"報酬額が未入力／","")&amp;IF(N($U1456)&gt;0,"申請書に入力エラーが残っています／","")&amp;IF(AND($B1456&lt;&gt;"",$AO1456&lt;&gt;""),IF(COUNTIFS($B$6:$B$3005,$B1456,$C$6:$C$3005,$C1456,$D$6:$D$3005,$D1456)&gt;1,"同じ月の請求が重複しています／",""),"")&amp;IF(AND(N($E1456)&gt;0,$Z1456&lt;&gt;"",$Z1456&lt;&gt;"×",$AC1456=0,$AB1456=""),"計算額が下限以下のため不支給／",""))</f>
        <v/>
      </c>
      <c r="AL1456" s="12" t="n"/>
      <c r="AM1456" s="14">
        <f>IF($AD1456="保留中",COUNTIF($AD$6:$AD1456,"保留中"),"")</f>
        <v/>
      </c>
      <c r="AN1456" s="14">
        <f>IF($AO1456="","",IF(SUMPRODUCT(MAX((職員マスタ!$A$6:$A$405=$B1456)*(((職員マスタ!$G$6:$G$405="")+(職員マスタ!$G$6:$G$405&lt;=EOMONTH($AO1456,0)))&gt;0)*(((職員マスタ!$H$6:$H$405="")+(職員マスタ!$H$6:$H$405&gt;=$AO1456))&gt;0)*(ROW(職員マスタ!$A$6:$A$405)-5)))&gt;0,SUMPRODUCT(MAX((職員マスタ!$A$6:$A$405=$B1456)*(((職員マスタ!$G$6:$G$405="")+(職員マスタ!$G$6:$G$405&lt;=EOMONTH($AO1456,0)))&gt;0)*(((職員マスタ!$H$6:$H$405="")+(職員マスタ!$H$6:$H$405&gt;=$AO1456))&gt;0)*(ROW(職員マスタ!$A$6:$A$405)-5))),IFERROR(MATCH($B1456,職員マスタ!$A$6:$A$405,0),"")))</f>
        <v/>
      </c>
      <c r="AO1456" s="16">
        <f>IF(OR($B1456="",$C1456="",$D1456=""),"",DATE($C1456+2018,$D1456,1))</f>
        <v/>
      </c>
    </row>
    <row r="1457">
      <c r="A1457" s="11" t="n"/>
      <c r="B1457" s="12" t="n"/>
      <c r="C1457" s="12" t="n"/>
      <c r="D1457" s="12" t="n"/>
      <c r="E1457" s="13" t="n"/>
      <c r="F1457" s="12" t="n"/>
      <c r="G1457" s="13" t="n"/>
      <c r="H1457" s="12" t="n"/>
      <c r="I1457" s="12" t="n"/>
      <c r="J1457" s="12" t="n"/>
      <c r="K1457" s="12" t="n"/>
      <c r="L1457" s="11" t="n"/>
      <c r="M1457" s="11" t="n"/>
      <c r="N1457" s="11" t="n"/>
      <c r="O1457" s="11" t="n"/>
      <c r="P1457" s="12" t="n"/>
      <c r="Q1457" s="11" t="n"/>
      <c r="R1457" s="12" t="n"/>
      <c r="S1457" s="11" t="n"/>
      <c r="T1457" s="12" t="n"/>
      <c r="U1457" s="12" t="n"/>
      <c r="V1457" s="14">
        <f>IF($AN1457="",IF($B1457="","",$H1457),IF(INDEX(職員マスタ!$B$6:$B$405,$AN1457)="",$H1457,INDEX(職員マスタ!$B$6:$B$405,$AN1457)))</f>
        <v/>
      </c>
      <c r="W1457" s="14">
        <f>IF($AN1457="",IF($B1457="","",$R1457),IF(INDEX(職員マスタ!$C$6:$C$405,$AN1457)="",$R1457,INDEX(職員マスタ!$C$6:$C$405,$AN1457)))</f>
        <v/>
      </c>
      <c r="X1457" s="14">
        <f>IF($AO1457="","","R"&amp;$C1457&amp;"."&amp;$D1457)</f>
        <v/>
      </c>
      <c r="Y1457" s="15">
        <f>IF($AN1457="","",IF(INDEX(職員マスタ!$K$6:$K$405,$AN1457)="","",INDEX(職員マスタ!$K$6:$K$405,$AN1457)))</f>
        <v/>
      </c>
      <c r="Z1457" s="14">
        <f>IF(OR($E1457="",$Y1457=""),"",IF($E1457&gt;=$Y1457,"×",IF($E1457&gt;=$Y1457*設定!$C$5,"△","○")))</f>
        <v/>
      </c>
      <c r="AA1457" s="15">
        <f>IF($Z1457="","",IF($Z1457="×",0,IF($Z1457="○",ROUNDDOWN($E1457*設定!$C$4,0),ROUNDDOWN($E1457*ROUND((9*$Y1457-9*$E1457)/(10*$E1457),4),0))))</f>
        <v/>
      </c>
      <c r="AB1457" s="13" t="n"/>
      <c r="AC1457" s="15">
        <f>IF($B1457="","",IF($AB1457&lt;&gt;"",$AB1457,IF($AA1457="","",IF($AA1457&lt;=設定!$C$3,0,$AA1457))))</f>
        <v/>
      </c>
      <c r="AD1457" s="14">
        <f>IF($B1457="","",IF(AND($AE1457&lt;&gt;"",$AG1457="",$AJ1457=""),"保留中",IF($AJ1457&lt;&gt;"",IF(N($AC1457)&gt;0,"支給済","不支給"),IF($AC1457="","要確認",IF($AC1457=0,"不支給","未処理")))))</f>
        <v/>
      </c>
      <c r="AE1457" s="12" t="n"/>
      <c r="AF1457" s="11" t="n"/>
      <c r="AG1457" s="11" t="n"/>
      <c r="AH1457" s="11" t="n"/>
      <c r="AI1457" s="14">
        <f>IF(AND($AD1457="保留中",$AF1457&lt;&gt;""),TODAY()-$AF1457,"")</f>
        <v/>
      </c>
      <c r="AJ1457" s="12" t="n"/>
      <c r="AK1457" s="14">
        <f>IF($B1457="","",IF($AO1457="","対象年月が未入力／","")&amp;IF($B1457="","",IF($AN1457="","職員マスタに未登録の職員番号／",IF($Y1457="","標準報酬月額が未登録／","")&amp;IF(AND($AO1457&lt;&gt;"",OR(AND(INDEX(職員マスタ!$G$6:$G$405,$AN1457)&lt;&gt;"",INDEX(職員マスタ!$G$6:$G$405,$AN1457)&gt;EOMONTH($AO1457,0)),AND(INDEX(職員マスタ!$H$6:$H$405,$AN1457)&lt;&gt;"",INDEX(職員マスタ!$H$6:$H$405,$AN1457)&lt;$AO1457))),"対象月が時短期間外／","")&amp;IF(AND(INDEX(職員マスタ!$F$6:$F$405,$AN1457)&lt;&gt;"",$AO1457&lt;&gt;"",INDEX(職員マスタ!$F$6:$F$405,$AN1457)&lt;$AO1457),"対象月に子が2歳到達済／","")&amp;IF(AND($H1457&lt;&gt;"",INDEX(職員マスタ!$B$6:$B$405,$AN1457)&lt;&gt;"",SUBSTITUTE(SUBSTITUTE($H1457," ","")," ","")&lt;&gt;SUBSTITUTE(SUBSTITUTE(INDEX(職員マスタ!$B$6:$B$405,$AN1457)," ","")," ","")),"氏名がマスタと相違／","")&amp;IF(AND($Q1457&lt;&gt;"",INDEX(職員マスタ!$E$6:$E$405,$AN1457)&lt;&gt;"",$Q1457&lt;&gt;INDEX(職員マスタ!$E$6:$E$405,$AN1457)),"子の生年月日がマスタと相違／","")&amp;IF(AND($L1457&lt;&gt;"",INDEX(職員マスタ!$G$6:$G$405,$AN1457)&lt;&gt;"",$L1457&lt;&gt;INDEX(職員マスタ!$G$6:$G$405,$AN1457)),"時短開始日がマスタと相違／","")&amp;IF(AND($M1457&lt;&gt;"",INDEX(職員マスタ!$H$6:$H$405,$AN1457)&lt;&gt;"",$M1457&lt;&gt;INDEX(職員マスタ!$H$6:$H$405,$AN1457)),"時短終了日がマスタと相違／","")))&amp;IF(AND($B1457&lt;&gt;"",$E1457=""),"報酬額が未入力／","")&amp;IF(N($U1457)&gt;0,"申請書に入力エラーが残っています／","")&amp;IF(AND($B1457&lt;&gt;"",$AO1457&lt;&gt;""),IF(COUNTIFS($B$6:$B$3005,$B1457,$C$6:$C$3005,$C1457,$D$6:$D$3005,$D1457)&gt;1,"同じ月の請求が重複しています／",""),"")&amp;IF(AND(N($E1457)&gt;0,$Z1457&lt;&gt;"",$Z1457&lt;&gt;"×",$AC1457=0,$AB1457=""),"計算額が下限以下のため不支給／",""))</f>
        <v/>
      </c>
      <c r="AL1457" s="12" t="n"/>
      <c r="AM1457" s="14">
        <f>IF($AD1457="保留中",COUNTIF($AD$6:$AD1457,"保留中"),"")</f>
        <v/>
      </c>
      <c r="AN1457" s="14">
        <f>IF($AO1457="","",IF(SUMPRODUCT(MAX((職員マスタ!$A$6:$A$405=$B1457)*(((職員マスタ!$G$6:$G$405="")+(職員マスタ!$G$6:$G$405&lt;=EOMONTH($AO1457,0)))&gt;0)*(((職員マスタ!$H$6:$H$405="")+(職員マスタ!$H$6:$H$405&gt;=$AO1457))&gt;0)*(ROW(職員マスタ!$A$6:$A$405)-5)))&gt;0,SUMPRODUCT(MAX((職員マスタ!$A$6:$A$405=$B1457)*(((職員マスタ!$G$6:$G$405="")+(職員マスタ!$G$6:$G$405&lt;=EOMONTH($AO1457,0)))&gt;0)*(((職員マスタ!$H$6:$H$405="")+(職員マスタ!$H$6:$H$405&gt;=$AO1457))&gt;0)*(ROW(職員マスタ!$A$6:$A$405)-5))),IFERROR(MATCH($B1457,職員マスタ!$A$6:$A$405,0),"")))</f>
        <v/>
      </c>
      <c r="AO1457" s="16">
        <f>IF(OR($B1457="",$C1457="",$D1457=""),"",DATE($C1457+2018,$D1457,1))</f>
        <v/>
      </c>
    </row>
    <row r="1458">
      <c r="A1458" s="11" t="n"/>
      <c r="B1458" s="12" t="n"/>
      <c r="C1458" s="12" t="n"/>
      <c r="D1458" s="12" t="n"/>
      <c r="E1458" s="13" t="n"/>
      <c r="F1458" s="12" t="n"/>
      <c r="G1458" s="13" t="n"/>
      <c r="H1458" s="12" t="n"/>
      <c r="I1458" s="12" t="n"/>
      <c r="J1458" s="12" t="n"/>
      <c r="K1458" s="12" t="n"/>
      <c r="L1458" s="11" t="n"/>
      <c r="M1458" s="11" t="n"/>
      <c r="N1458" s="11" t="n"/>
      <c r="O1458" s="11" t="n"/>
      <c r="P1458" s="12" t="n"/>
      <c r="Q1458" s="11" t="n"/>
      <c r="R1458" s="12" t="n"/>
      <c r="S1458" s="11" t="n"/>
      <c r="T1458" s="12" t="n"/>
      <c r="U1458" s="12" t="n"/>
      <c r="V1458" s="14">
        <f>IF($AN1458="",IF($B1458="","",$H1458),IF(INDEX(職員マスタ!$B$6:$B$405,$AN1458)="",$H1458,INDEX(職員マスタ!$B$6:$B$405,$AN1458)))</f>
        <v/>
      </c>
      <c r="W1458" s="14">
        <f>IF($AN1458="",IF($B1458="","",$R1458),IF(INDEX(職員マスタ!$C$6:$C$405,$AN1458)="",$R1458,INDEX(職員マスタ!$C$6:$C$405,$AN1458)))</f>
        <v/>
      </c>
      <c r="X1458" s="14">
        <f>IF($AO1458="","","R"&amp;$C1458&amp;"."&amp;$D1458)</f>
        <v/>
      </c>
      <c r="Y1458" s="15">
        <f>IF($AN1458="","",IF(INDEX(職員マスタ!$K$6:$K$405,$AN1458)="","",INDEX(職員マスタ!$K$6:$K$405,$AN1458)))</f>
        <v/>
      </c>
      <c r="Z1458" s="14">
        <f>IF(OR($E1458="",$Y1458=""),"",IF($E1458&gt;=$Y1458,"×",IF($E1458&gt;=$Y1458*設定!$C$5,"△","○")))</f>
        <v/>
      </c>
      <c r="AA1458" s="15">
        <f>IF($Z1458="","",IF($Z1458="×",0,IF($Z1458="○",ROUNDDOWN($E1458*設定!$C$4,0),ROUNDDOWN($E1458*ROUND((9*$Y1458-9*$E1458)/(10*$E1458),4),0))))</f>
        <v/>
      </c>
      <c r="AB1458" s="13" t="n"/>
      <c r="AC1458" s="15">
        <f>IF($B1458="","",IF($AB1458&lt;&gt;"",$AB1458,IF($AA1458="","",IF($AA1458&lt;=設定!$C$3,0,$AA1458))))</f>
        <v/>
      </c>
      <c r="AD1458" s="14">
        <f>IF($B1458="","",IF(AND($AE1458&lt;&gt;"",$AG1458="",$AJ1458=""),"保留中",IF($AJ1458&lt;&gt;"",IF(N($AC1458)&gt;0,"支給済","不支給"),IF($AC1458="","要確認",IF($AC1458=0,"不支給","未処理")))))</f>
        <v/>
      </c>
      <c r="AE1458" s="12" t="n"/>
      <c r="AF1458" s="11" t="n"/>
      <c r="AG1458" s="11" t="n"/>
      <c r="AH1458" s="11" t="n"/>
      <c r="AI1458" s="14">
        <f>IF(AND($AD1458="保留中",$AF1458&lt;&gt;""),TODAY()-$AF1458,"")</f>
        <v/>
      </c>
      <c r="AJ1458" s="12" t="n"/>
      <c r="AK1458" s="14">
        <f>IF($B1458="","",IF($AO1458="","対象年月が未入力／","")&amp;IF($B1458="","",IF($AN1458="","職員マスタに未登録の職員番号／",IF($Y1458="","標準報酬月額が未登録／","")&amp;IF(AND($AO1458&lt;&gt;"",OR(AND(INDEX(職員マスタ!$G$6:$G$405,$AN1458)&lt;&gt;"",INDEX(職員マスタ!$G$6:$G$405,$AN1458)&gt;EOMONTH($AO1458,0)),AND(INDEX(職員マスタ!$H$6:$H$405,$AN1458)&lt;&gt;"",INDEX(職員マスタ!$H$6:$H$405,$AN1458)&lt;$AO1458))),"対象月が時短期間外／","")&amp;IF(AND(INDEX(職員マスタ!$F$6:$F$405,$AN1458)&lt;&gt;"",$AO1458&lt;&gt;"",INDEX(職員マスタ!$F$6:$F$405,$AN1458)&lt;$AO1458),"対象月に子が2歳到達済／","")&amp;IF(AND($H1458&lt;&gt;"",INDEX(職員マスタ!$B$6:$B$405,$AN1458)&lt;&gt;"",SUBSTITUTE(SUBSTITUTE($H1458," ","")," ","")&lt;&gt;SUBSTITUTE(SUBSTITUTE(INDEX(職員マスタ!$B$6:$B$405,$AN1458)," ","")," ","")),"氏名がマスタと相違／","")&amp;IF(AND($Q1458&lt;&gt;"",INDEX(職員マスタ!$E$6:$E$405,$AN1458)&lt;&gt;"",$Q1458&lt;&gt;INDEX(職員マスタ!$E$6:$E$405,$AN1458)),"子の生年月日がマスタと相違／","")&amp;IF(AND($L1458&lt;&gt;"",INDEX(職員マスタ!$G$6:$G$405,$AN1458)&lt;&gt;"",$L1458&lt;&gt;INDEX(職員マスタ!$G$6:$G$405,$AN1458)),"時短開始日がマスタと相違／","")&amp;IF(AND($M1458&lt;&gt;"",INDEX(職員マスタ!$H$6:$H$405,$AN1458)&lt;&gt;"",$M1458&lt;&gt;INDEX(職員マスタ!$H$6:$H$405,$AN1458)),"時短終了日がマスタと相違／","")))&amp;IF(AND($B1458&lt;&gt;"",$E1458=""),"報酬額が未入力／","")&amp;IF(N($U1458)&gt;0,"申請書に入力エラーが残っています／","")&amp;IF(AND($B1458&lt;&gt;"",$AO1458&lt;&gt;""),IF(COUNTIFS($B$6:$B$3005,$B1458,$C$6:$C$3005,$C1458,$D$6:$D$3005,$D1458)&gt;1,"同じ月の請求が重複しています／",""),"")&amp;IF(AND(N($E1458)&gt;0,$Z1458&lt;&gt;"",$Z1458&lt;&gt;"×",$AC1458=0,$AB1458=""),"計算額が下限以下のため不支給／",""))</f>
        <v/>
      </c>
      <c r="AL1458" s="12" t="n"/>
      <c r="AM1458" s="14">
        <f>IF($AD1458="保留中",COUNTIF($AD$6:$AD1458,"保留中"),"")</f>
        <v/>
      </c>
      <c r="AN1458" s="14">
        <f>IF($AO1458="","",IF(SUMPRODUCT(MAX((職員マスタ!$A$6:$A$405=$B1458)*(((職員マスタ!$G$6:$G$405="")+(職員マスタ!$G$6:$G$405&lt;=EOMONTH($AO1458,0)))&gt;0)*(((職員マスタ!$H$6:$H$405="")+(職員マスタ!$H$6:$H$405&gt;=$AO1458))&gt;0)*(ROW(職員マスタ!$A$6:$A$405)-5)))&gt;0,SUMPRODUCT(MAX((職員マスタ!$A$6:$A$405=$B1458)*(((職員マスタ!$G$6:$G$405="")+(職員マスタ!$G$6:$G$405&lt;=EOMONTH($AO1458,0)))&gt;0)*(((職員マスタ!$H$6:$H$405="")+(職員マスタ!$H$6:$H$405&gt;=$AO1458))&gt;0)*(ROW(職員マスタ!$A$6:$A$405)-5))),IFERROR(MATCH($B1458,職員マスタ!$A$6:$A$405,0),"")))</f>
        <v/>
      </c>
      <c r="AO1458" s="16">
        <f>IF(OR($B1458="",$C1458="",$D1458=""),"",DATE($C1458+2018,$D1458,1))</f>
        <v/>
      </c>
    </row>
    <row r="1459">
      <c r="A1459" s="11" t="n"/>
      <c r="B1459" s="12" t="n"/>
      <c r="C1459" s="12" t="n"/>
      <c r="D1459" s="12" t="n"/>
      <c r="E1459" s="13" t="n"/>
      <c r="F1459" s="12" t="n"/>
      <c r="G1459" s="13" t="n"/>
      <c r="H1459" s="12" t="n"/>
      <c r="I1459" s="12" t="n"/>
      <c r="J1459" s="12" t="n"/>
      <c r="K1459" s="12" t="n"/>
      <c r="L1459" s="11" t="n"/>
      <c r="M1459" s="11" t="n"/>
      <c r="N1459" s="11" t="n"/>
      <c r="O1459" s="11" t="n"/>
      <c r="P1459" s="12" t="n"/>
      <c r="Q1459" s="11" t="n"/>
      <c r="R1459" s="12" t="n"/>
      <c r="S1459" s="11" t="n"/>
      <c r="T1459" s="12" t="n"/>
      <c r="U1459" s="12" t="n"/>
      <c r="V1459" s="14">
        <f>IF($AN1459="",IF($B1459="","",$H1459),IF(INDEX(職員マスタ!$B$6:$B$405,$AN1459)="",$H1459,INDEX(職員マスタ!$B$6:$B$405,$AN1459)))</f>
        <v/>
      </c>
      <c r="W1459" s="14">
        <f>IF($AN1459="",IF($B1459="","",$R1459),IF(INDEX(職員マスタ!$C$6:$C$405,$AN1459)="",$R1459,INDEX(職員マスタ!$C$6:$C$405,$AN1459)))</f>
        <v/>
      </c>
      <c r="X1459" s="14">
        <f>IF($AO1459="","","R"&amp;$C1459&amp;"."&amp;$D1459)</f>
        <v/>
      </c>
      <c r="Y1459" s="15">
        <f>IF($AN1459="","",IF(INDEX(職員マスタ!$K$6:$K$405,$AN1459)="","",INDEX(職員マスタ!$K$6:$K$405,$AN1459)))</f>
        <v/>
      </c>
      <c r="Z1459" s="14">
        <f>IF(OR($E1459="",$Y1459=""),"",IF($E1459&gt;=$Y1459,"×",IF($E1459&gt;=$Y1459*設定!$C$5,"△","○")))</f>
        <v/>
      </c>
      <c r="AA1459" s="15">
        <f>IF($Z1459="","",IF($Z1459="×",0,IF($Z1459="○",ROUNDDOWN($E1459*設定!$C$4,0),ROUNDDOWN($E1459*ROUND((9*$Y1459-9*$E1459)/(10*$E1459),4),0))))</f>
        <v/>
      </c>
      <c r="AB1459" s="13" t="n"/>
      <c r="AC1459" s="15">
        <f>IF($B1459="","",IF($AB1459&lt;&gt;"",$AB1459,IF($AA1459="","",IF($AA1459&lt;=設定!$C$3,0,$AA1459))))</f>
        <v/>
      </c>
      <c r="AD1459" s="14">
        <f>IF($B1459="","",IF(AND($AE1459&lt;&gt;"",$AG1459="",$AJ1459=""),"保留中",IF($AJ1459&lt;&gt;"",IF(N($AC1459)&gt;0,"支給済","不支給"),IF($AC1459="","要確認",IF($AC1459=0,"不支給","未処理")))))</f>
        <v/>
      </c>
      <c r="AE1459" s="12" t="n"/>
      <c r="AF1459" s="11" t="n"/>
      <c r="AG1459" s="11" t="n"/>
      <c r="AH1459" s="11" t="n"/>
      <c r="AI1459" s="14">
        <f>IF(AND($AD1459="保留中",$AF1459&lt;&gt;""),TODAY()-$AF1459,"")</f>
        <v/>
      </c>
      <c r="AJ1459" s="12" t="n"/>
      <c r="AK1459" s="14">
        <f>IF($B1459="","",IF($AO1459="","対象年月が未入力／","")&amp;IF($B1459="","",IF($AN1459="","職員マスタに未登録の職員番号／",IF($Y1459="","標準報酬月額が未登録／","")&amp;IF(AND($AO1459&lt;&gt;"",OR(AND(INDEX(職員マスタ!$G$6:$G$405,$AN1459)&lt;&gt;"",INDEX(職員マスタ!$G$6:$G$405,$AN1459)&gt;EOMONTH($AO1459,0)),AND(INDEX(職員マスタ!$H$6:$H$405,$AN1459)&lt;&gt;"",INDEX(職員マスタ!$H$6:$H$405,$AN1459)&lt;$AO1459))),"対象月が時短期間外／","")&amp;IF(AND(INDEX(職員マスタ!$F$6:$F$405,$AN1459)&lt;&gt;"",$AO1459&lt;&gt;"",INDEX(職員マスタ!$F$6:$F$405,$AN1459)&lt;$AO1459),"対象月に子が2歳到達済／","")&amp;IF(AND($H1459&lt;&gt;"",INDEX(職員マスタ!$B$6:$B$405,$AN1459)&lt;&gt;"",SUBSTITUTE(SUBSTITUTE($H1459," ","")," ","")&lt;&gt;SUBSTITUTE(SUBSTITUTE(INDEX(職員マスタ!$B$6:$B$405,$AN1459)," ","")," ","")),"氏名がマスタと相違／","")&amp;IF(AND($Q1459&lt;&gt;"",INDEX(職員マスタ!$E$6:$E$405,$AN1459)&lt;&gt;"",$Q1459&lt;&gt;INDEX(職員マスタ!$E$6:$E$405,$AN1459)),"子の生年月日がマスタと相違／","")&amp;IF(AND($L1459&lt;&gt;"",INDEX(職員マスタ!$G$6:$G$405,$AN1459)&lt;&gt;"",$L1459&lt;&gt;INDEX(職員マスタ!$G$6:$G$405,$AN1459)),"時短開始日がマスタと相違／","")&amp;IF(AND($M1459&lt;&gt;"",INDEX(職員マスタ!$H$6:$H$405,$AN1459)&lt;&gt;"",$M1459&lt;&gt;INDEX(職員マスタ!$H$6:$H$405,$AN1459)),"時短終了日がマスタと相違／","")))&amp;IF(AND($B1459&lt;&gt;"",$E1459=""),"報酬額が未入力／","")&amp;IF(N($U1459)&gt;0,"申請書に入力エラーが残っています／","")&amp;IF(AND($B1459&lt;&gt;"",$AO1459&lt;&gt;""),IF(COUNTIFS($B$6:$B$3005,$B1459,$C$6:$C$3005,$C1459,$D$6:$D$3005,$D1459)&gt;1,"同じ月の請求が重複しています／",""),"")&amp;IF(AND(N($E1459)&gt;0,$Z1459&lt;&gt;"",$Z1459&lt;&gt;"×",$AC1459=0,$AB1459=""),"計算額が下限以下のため不支給／",""))</f>
        <v/>
      </c>
      <c r="AL1459" s="12" t="n"/>
      <c r="AM1459" s="14">
        <f>IF($AD1459="保留中",COUNTIF($AD$6:$AD1459,"保留中"),"")</f>
        <v/>
      </c>
      <c r="AN1459" s="14">
        <f>IF($AO1459="","",IF(SUMPRODUCT(MAX((職員マスタ!$A$6:$A$405=$B1459)*(((職員マスタ!$G$6:$G$405="")+(職員マスタ!$G$6:$G$405&lt;=EOMONTH($AO1459,0)))&gt;0)*(((職員マスタ!$H$6:$H$405="")+(職員マスタ!$H$6:$H$405&gt;=$AO1459))&gt;0)*(ROW(職員マスタ!$A$6:$A$405)-5)))&gt;0,SUMPRODUCT(MAX((職員マスタ!$A$6:$A$405=$B1459)*(((職員マスタ!$G$6:$G$405="")+(職員マスタ!$G$6:$G$405&lt;=EOMONTH($AO1459,0)))&gt;0)*(((職員マスタ!$H$6:$H$405="")+(職員マスタ!$H$6:$H$405&gt;=$AO1459))&gt;0)*(ROW(職員マスタ!$A$6:$A$405)-5))),IFERROR(MATCH($B1459,職員マスタ!$A$6:$A$405,0),"")))</f>
        <v/>
      </c>
      <c r="AO1459" s="16">
        <f>IF(OR($B1459="",$C1459="",$D1459=""),"",DATE($C1459+2018,$D1459,1))</f>
        <v/>
      </c>
    </row>
    <row r="1460">
      <c r="A1460" s="11" t="n"/>
      <c r="B1460" s="12" t="n"/>
      <c r="C1460" s="12" t="n"/>
      <c r="D1460" s="12" t="n"/>
      <c r="E1460" s="13" t="n"/>
      <c r="F1460" s="12" t="n"/>
      <c r="G1460" s="13" t="n"/>
      <c r="H1460" s="12" t="n"/>
      <c r="I1460" s="12" t="n"/>
      <c r="J1460" s="12" t="n"/>
      <c r="K1460" s="12" t="n"/>
      <c r="L1460" s="11" t="n"/>
      <c r="M1460" s="11" t="n"/>
      <c r="N1460" s="11" t="n"/>
      <c r="O1460" s="11" t="n"/>
      <c r="P1460" s="12" t="n"/>
      <c r="Q1460" s="11" t="n"/>
      <c r="R1460" s="12" t="n"/>
      <c r="S1460" s="11" t="n"/>
      <c r="T1460" s="12" t="n"/>
      <c r="U1460" s="12" t="n"/>
      <c r="V1460" s="14">
        <f>IF($AN1460="",IF($B1460="","",$H1460),IF(INDEX(職員マスタ!$B$6:$B$405,$AN1460)="",$H1460,INDEX(職員マスタ!$B$6:$B$405,$AN1460)))</f>
        <v/>
      </c>
      <c r="W1460" s="14">
        <f>IF($AN1460="",IF($B1460="","",$R1460),IF(INDEX(職員マスタ!$C$6:$C$405,$AN1460)="",$R1460,INDEX(職員マスタ!$C$6:$C$405,$AN1460)))</f>
        <v/>
      </c>
      <c r="X1460" s="14">
        <f>IF($AO1460="","","R"&amp;$C1460&amp;"."&amp;$D1460)</f>
        <v/>
      </c>
      <c r="Y1460" s="15">
        <f>IF($AN1460="","",IF(INDEX(職員マスタ!$K$6:$K$405,$AN1460)="","",INDEX(職員マスタ!$K$6:$K$405,$AN1460)))</f>
        <v/>
      </c>
      <c r="Z1460" s="14">
        <f>IF(OR($E1460="",$Y1460=""),"",IF($E1460&gt;=$Y1460,"×",IF($E1460&gt;=$Y1460*設定!$C$5,"△","○")))</f>
        <v/>
      </c>
      <c r="AA1460" s="15">
        <f>IF($Z1460="","",IF($Z1460="×",0,IF($Z1460="○",ROUNDDOWN($E1460*設定!$C$4,0),ROUNDDOWN($E1460*ROUND((9*$Y1460-9*$E1460)/(10*$E1460),4),0))))</f>
        <v/>
      </c>
      <c r="AB1460" s="13" t="n"/>
      <c r="AC1460" s="15">
        <f>IF($B1460="","",IF($AB1460&lt;&gt;"",$AB1460,IF($AA1460="","",IF($AA1460&lt;=設定!$C$3,0,$AA1460))))</f>
        <v/>
      </c>
      <c r="AD1460" s="14">
        <f>IF($B1460="","",IF(AND($AE1460&lt;&gt;"",$AG1460="",$AJ1460=""),"保留中",IF($AJ1460&lt;&gt;"",IF(N($AC1460)&gt;0,"支給済","不支給"),IF($AC1460="","要確認",IF($AC1460=0,"不支給","未処理")))))</f>
        <v/>
      </c>
      <c r="AE1460" s="12" t="n"/>
      <c r="AF1460" s="11" t="n"/>
      <c r="AG1460" s="11" t="n"/>
      <c r="AH1460" s="11" t="n"/>
      <c r="AI1460" s="14">
        <f>IF(AND($AD1460="保留中",$AF1460&lt;&gt;""),TODAY()-$AF1460,"")</f>
        <v/>
      </c>
      <c r="AJ1460" s="12" t="n"/>
      <c r="AK1460" s="14">
        <f>IF($B1460="","",IF($AO1460="","対象年月が未入力／","")&amp;IF($B1460="","",IF($AN1460="","職員マスタに未登録の職員番号／",IF($Y1460="","標準報酬月額が未登録／","")&amp;IF(AND($AO1460&lt;&gt;"",OR(AND(INDEX(職員マスタ!$G$6:$G$405,$AN1460)&lt;&gt;"",INDEX(職員マスタ!$G$6:$G$405,$AN1460)&gt;EOMONTH($AO1460,0)),AND(INDEX(職員マスタ!$H$6:$H$405,$AN1460)&lt;&gt;"",INDEX(職員マスタ!$H$6:$H$405,$AN1460)&lt;$AO1460))),"対象月が時短期間外／","")&amp;IF(AND(INDEX(職員マスタ!$F$6:$F$405,$AN1460)&lt;&gt;"",$AO1460&lt;&gt;"",INDEX(職員マスタ!$F$6:$F$405,$AN1460)&lt;$AO1460),"対象月に子が2歳到達済／","")&amp;IF(AND($H1460&lt;&gt;"",INDEX(職員マスタ!$B$6:$B$405,$AN1460)&lt;&gt;"",SUBSTITUTE(SUBSTITUTE($H1460," ","")," ","")&lt;&gt;SUBSTITUTE(SUBSTITUTE(INDEX(職員マスタ!$B$6:$B$405,$AN1460)," ","")," ","")),"氏名がマスタと相違／","")&amp;IF(AND($Q1460&lt;&gt;"",INDEX(職員マスタ!$E$6:$E$405,$AN1460)&lt;&gt;"",$Q1460&lt;&gt;INDEX(職員マスタ!$E$6:$E$405,$AN1460)),"子の生年月日がマスタと相違／","")&amp;IF(AND($L1460&lt;&gt;"",INDEX(職員マスタ!$G$6:$G$405,$AN1460)&lt;&gt;"",$L1460&lt;&gt;INDEX(職員マスタ!$G$6:$G$405,$AN1460)),"時短開始日がマスタと相違／","")&amp;IF(AND($M1460&lt;&gt;"",INDEX(職員マスタ!$H$6:$H$405,$AN1460)&lt;&gt;"",$M1460&lt;&gt;INDEX(職員マスタ!$H$6:$H$405,$AN1460)),"時短終了日がマスタと相違／","")))&amp;IF(AND($B1460&lt;&gt;"",$E1460=""),"報酬額が未入力／","")&amp;IF(N($U1460)&gt;0,"申請書に入力エラーが残っています／","")&amp;IF(AND($B1460&lt;&gt;"",$AO1460&lt;&gt;""),IF(COUNTIFS($B$6:$B$3005,$B1460,$C$6:$C$3005,$C1460,$D$6:$D$3005,$D1460)&gt;1,"同じ月の請求が重複しています／",""),"")&amp;IF(AND(N($E1460)&gt;0,$Z1460&lt;&gt;"",$Z1460&lt;&gt;"×",$AC1460=0,$AB1460=""),"計算額が下限以下のため不支給／",""))</f>
        <v/>
      </c>
      <c r="AL1460" s="12" t="n"/>
      <c r="AM1460" s="14">
        <f>IF($AD1460="保留中",COUNTIF($AD$6:$AD1460,"保留中"),"")</f>
        <v/>
      </c>
      <c r="AN1460" s="14">
        <f>IF($AO1460="","",IF(SUMPRODUCT(MAX((職員マスタ!$A$6:$A$405=$B1460)*(((職員マスタ!$G$6:$G$405="")+(職員マスタ!$G$6:$G$405&lt;=EOMONTH($AO1460,0)))&gt;0)*(((職員マスタ!$H$6:$H$405="")+(職員マスタ!$H$6:$H$405&gt;=$AO1460))&gt;0)*(ROW(職員マスタ!$A$6:$A$405)-5)))&gt;0,SUMPRODUCT(MAX((職員マスタ!$A$6:$A$405=$B1460)*(((職員マスタ!$G$6:$G$405="")+(職員マスタ!$G$6:$G$405&lt;=EOMONTH($AO1460,0)))&gt;0)*(((職員マスタ!$H$6:$H$405="")+(職員マスタ!$H$6:$H$405&gt;=$AO1460))&gt;0)*(ROW(職員マスタ!$A$6:$A$405)-5))),IFERROR(MATCH($B1460,職員マスタ!$A$6:$A$405,0),"")))</f>
        <v/>
      </c>
      <c r="AO1460" s="16">
        <f>IF(OR($B1460="",$C1460="",$D1460=""),"",DATE($C1460+2018,$D1460,1))</f>
        <v/>
      </c>
    </row>
    <row r="1461">
      <c r="A1461" s="11" t="n"/>
      <c r="B1461" s="12" t="n"/>
      <c r="C1461" s="12" t="n"/>
      <c r="D1461" s="12" t="n"/>
      <c r="E1461" s="13" t="n"/>
      <c r="F1461" s="12" t="n"/>
      <c r="G1461" s="13" t="n"/>
      <c r="H1461" s="12" t="n"/>
      <c r="I1461" s="12" t="n"/>
      <c r="J1461" s="12" t="n"/>
      <c r="K1461" s="12" t="n"/>
      <c r="L1461" s="11" t="n"/>
      <c r="M1461" s="11" t="n"/>
      <c r="N1461" s="11" t="n"/>
      <c r="O1461" s="11" t="n"/>
      <c r="P1461" s="12" t="n"/>
      <c r="Q1461" s="11" t="n"/>
      <c r="R1461" s="12" t="n"/>
      <c r="S1461" s="11" t="n"/>
      <c r="T1461" s="12" t="n"/>
      <c r="U1461" s="12" t="n"/>
      <c r="V1461" s="14">
        <f>IF($AN1461="",IF($B1461="","",$H1461),IF(INDEX(職員マスタ!$B$6:$B$405,$AN1461)="",$H1461,INDEX(職員マスタ!$B$6:$B$405,$AN1461)))</f>
        <v/>
      </c>
      <c r="W1461" s="14">
        <f>IF($AN1461="",IF($B1461="","",$R1461),IF(INDEX(職員マスタ!$C$6:$C$405,$AN1461)="",$R1461,INDEX(職員マスタ!$C$6:$C$405,$AN1461)))</f>
        <v/>
      </c>
      <c r="X1461" s="14">
        <f>IF($AO1461="","","R"&amp;$C1461&amp;"."&amp;$D1461)</f>
        <v/>
      </c>
      <c r="Y1461" s="15">
        <f>IF($AN1461="","",IF(INDEX(職員マスタ!$K$6:$K$405,$AN1461)="","",INDEX(職員マスタ!$K$6:$K$405,$AN1461)))</f>
        <v/>
      </c>
      <c r="Z1461" s="14">
        <f>IF(OR($E1461="",$Y1461=""),"",IF($E1461&gt;=$Y1461,"×",IF($E1461&gt;=$Y1461*設定!$C$5,"△","○")))</f>
        <v/>
      </c>
      <c r="AA1461" s="15">
        <f>IF($Z1461="","",IF($Z1461="×",0,IF($Z1461="○",ROUNDDOWN($E1461*設定!$C$4,0),ROUNDDOWN($E1461*ROUND((9*$Y1461-9*$E1461)/(10*$E1461),4),0))))</f>
        <v/>
      </c>
      <c r="AB1461" s="13" t="n"/>
      <c r="AC1461" s="15">
        <f>IF($B1461="","",IF($AB1461&lt;&gt;"",$AB1461,IF($AA1461="","",IF($AA1461&lt;=設定!$C$3,0,$AA1461))))</f>
        <v/>
      </c>
      <c r="AD1461" s="14">
        <f>IF($B1461="","",IF(AND($AE1461&lt;&gt;"",$AG1461="",$AJ1461=""),"保留中",IF($AJ1461&lt;&gt;"",IF(N($AC1461)&gt;0,"支給済","不支給"),IF($AC1461="","要確認",IF($AC1461=0,"不支給","未処理")))))</f>
        <v/>
      </c>
      <c r="AE1461" s="12" t="n"/>
      <c r="AF1461" s="11" t="n"/>
      <c r="AG1461" s="11" t="n"/>
      <c r="AH1461" s="11" t="n"/>
      <c r="AI1461" s="14">
        <f>IF(AND($AD1461="保留中",$AF1461&lt;&gt;""),TODAY()-$AF1461,"")</f>
        <v/>
      </c>
      <c r="AJ1461" s="12" t="n"/>
      <c r="AK1461" s="14">
        <f>IF($B1461="","",IF($AO1461="","対象年月が未入力／","")&amp;IF($B1461="","",IF($AN1461="","職員マスタに未登録の職員番号／",IF($Y1461="","標準報酬月額が未登録／","")&amp;IF(AND($AO1461&lt;&gt;"",OR(AND(INDEX(職員マスタ!$G$6:$G$405,$AN1461)&lt;&gt;"",INDEX(職員マスタ!$G$6:$G$405,$AN1461)&gt;EOMONTH($AO1461,0)),AND(INDEX(職員マスタ!$H$6:$H$405,$AN1461)&lt;&gt;"",INDEX(職員マスタ!$H$6:$H$405,$AN1461)&lt;$AO1461))),"対象月が時短期間外／","")&amp;IF(AND(INDEX(職員マスタ!$F$6:$F$405,$AN1461)&lt;&gt;"",$AO1461&lt;&gt;"",INDEX(職員マスタ!$F$6:$F$405,$AN1461)&lt;$AO1461),"対象月に子が2歳到達済／","")&amp;IF(AND($H1461&lt;&gt;"",INDEX(職員マスタ!$B$6:$B$405,$AN1461)&lt;&gt;"",SUBSTITUTE(SUBSTITUTE($H1461," ","")," ","")&lt;&gt;SUBSTITUTE(SUBSTITUTE(INDEX(職員マスタ!$B$6:$B$405,$AN1461)," ","")," ","")),"氏名がマスタと相違／","")&amp;IF(AND($Q1461&lt;&gt;"",INDEX(職員マスタ!$E$6:$E$405,$AN1461)&lt;&gt;"",$Q1461&lt;&gt;INDEX(職員マスタ!$E$6:$E$405,$AN1461)),"子の生年月日がマスタと相違／","")&amp;IF(AND($L1461&lt;&gt;"",INDEX(職員マスタ!$G$6:$G$405,$AN1461)&lt;&gt;"",$L1461&lt;&gt;INDEX(職員マスタ!$G$6:$G$405,$AN1461)),"時短開始日がマスタと相違／","")&amp;IF(AND($M1461&lt;&gt;"",INDEX(職員マスタ!$H$6:$H$405,$AN1461)&lt;&gt;"",$M1461&lt;&gt;INDEX(職員マスタ!$H$6:$H$405,$AN1461)),"時短終了日がマスタと相違／","")))&amp;IF(AND($B1461&lt;&gt;"",$E1461=""),"報酬額が未入力／","")&amp;IF(N($U1461)&gt;0,"申請書に入力エラーが残っています／","")&amp;IF(AND($B1461&lt;&gt;"",$AO1461&lt;&gt;""),IF(COUNTIFS($B$6:$B$3005,$B1461,$C$6:$C$3005,$C1461,$D$6:$D$3005,$D1461)&gt;1,"同じ月の請求が重複しています／",""),"")&amp;IF(AND(N($E1461)&gt;0,$Z1461&lt;&gt;"",$Z1461&lt;&gt;"×",$AC1461=0,$AB1461=""),"計算額が下限以下のため不支給／",""))</f>
        <v/>
      </c>
      <c r="AL1461" s="12" t="n"/>
      <c r="AM1461" s="14">
        <f>IF($AD1461="保留中",COUNTIF($AD$6:$AD1461,"保留中"),"")</f>
        <v/>
      </c>
      <c r="AN1461" s="14">
        <f>IF($AO1461="","",IF(SUMPRODUCT(MAX((職員マスタ!$A$6:$A$405=$B1461)*(((職員マスタ!$G$6:$G$405="")+(職員マスタ!$G$6:$G$405&lt;=EOMONTH($AO1461,0)))&gt;0)*(((職員マスタ!$H$6:$H$405="")+(職員マスタ!$H$6:$H$405&gt;=$AO1461))&gt;0)*(ROW(職員マスタ!$A$6:$A$405)-5)))&gt;0,SUMPRODUCT(MAX((職員マスタ!$A$6:$A$405=$B1461)*(((職員マスタ!$G$6:$G$405="")+(職員マスタ!$G$6:$G$405&lt;=EOMONTH($AO1461,0)))&gt;0)*(((職員マスタ!$H$6:$H$405="")+(職員マスタ!$H$6:$H$405&gt;=$AO1461))&gt;0)*(ROW(職員マスタ!$A$6:$A$405)-5))),IFERROR(MATCH($B1461,職員マスタ!$A$6:$A$405,0),"")))</f>
        <v/>
      </c>
      <c r="AO1461" s="16">
        <f>IF(OR($B1461="",$C1461="",$D1461=""),"",DATE($C1461+2018,$D1461,1))</f>
        <v/>
      </c>
    </row>
    <row r="1462">
      <c r="A1462" s="11" t="n"/>
      <c r="B1462" s="12" t="n"/>
      <c r="C1462" s="12" t="n"/>
      <c r="D1462" s="12" t="n"/>
      <c r="E1462" s="13" t="n"/>
      <c r="F1462" s="12" t="n"/>
      <c r="G1462" s="13" t="n"/>
      <c r="H1462" s="12" t="n"/>
      <c r="I1462" s="12" t="n"/>
      <c r="J1462" s="12" t="n"/>
      <c r="K1462" s="12" t="n"/>
      <c r="L1462" s="11" t="n"/>
      <c r="M1462" s="11" t="n"/>
      <c r="N1462" s="11" t="n"/>
      <c r="O1462" s="11" t="n"/>
      <c r="P1462" s="12" t="n"/>
      <c r="Q1462" s="11" t="n"/>
      <c r="R1462" s="12" t="n"/>
      <c r="S1462" s="11" t="n"/>
      <c r="T1462" s="12" t="n"/>
      <c r="U1462" s="12" t="n"/>
      <c r="V1462" s="14">
        <f>IF($AN1462="",IF($B1462="","",$H1462),IF(INDEX(職員マスタ!$B$6:$B$405,$AN1462)="",$H1462,INDEX(職員マスタ!$B$6:$B$405,$AN1462)))</f>
        <v/>
      </c>
      <c r="W1462" s="14">
        <f>IF($AN1462="",IF($B1462="","",$R1462),IF(INDEX(職員マスタ!$C$6:$C$405,$AN1462)="",$R1462,INDEX(職員マスタ!$C$6:$C$405,$AN1462)))</f>
        <v/>
      </c>
      <c r="X1462" s="14">
        <f>IF($AO1462="","","R"&amp;$C1462&amp;"."&amp;$D1462)</f>
        <v/>
      </c>
      <c r="Y1462" s="15">
        <f>IF($AN1462="","",IF(INDEX(職員マスタ!$K$6:$K$405,$AN1462)="","",INDEX(職員マスタ!$K$6:$K$405,$AN1462)))</f>
        <v/>
      </c>
      <c r="Z1462" s="14">
        <f>IF(OR($E1462="",$Y1462=""),"",IF($E1462&gt;=$Y1462,"×",IF($E1462&gt;=$Y1462*設定!$C$5,"△","○")))</f>
        <v/>
      </c>
      <c r="AA1462" s="15">
        <f>IF($Z1462="","",IF($Z1462="×",0,IF($Z1462="○",ROUNDDOWN($E1462*設定!$C$4,0),ROUNDDOWN($E1462*ROUND((9*$Y1462-9*$E1462)/(10*$E1462),4),0))))</f>
        <v/>
      </c>
      <c r="AB1462" s="13" t="n"/>
      <c r="AC1462" s="15">
        <f>IF($B1462="","",IF($AB1462&lt;&gt;"",$AB1462,IF($AA1462="","",IF($AA1462&lt;=設定!$C$3,0,$AA1462))))</f>
        <v/>
      </c>
      <c r="AD1462" s="14">
        <f>IF($B1462="","",IF(AND($AE1462&lt;&gt;"",$AG1462="",$AJ1462=""),"保留中",IF($AJ1462&lt;&gt;"",IF(N($AC1462)&gt;0,"支給済","不支給"),IF($AC1462="","要確認",IF($AC1462=0,"不支給","未処理")))))</f>
        <v/>
      </c>
      <c r="AE1462" s="12" t="n"/>
      <c r="AF1462" s="11" t="n"/>
      <c r="AG1462" s="11" t="n"/>
      <c r="AH1462" s="11" t="n"/>
      <c r="AI1462" s="14">
        <f>IF(AND($AD1462="保留中",$AF1462&lt;&gt;""),TODAY()-$AF1462,"")</f>
        <v/>
      </c>
      <c r="AJ1462" s="12" t="n"/>
      <c r="AK1462" s="14">
        <f>IF($B1462="","",IF($AO1462="","対象年月が未入力／","")&amp;IF($B1462="","",IF($AN1462="","職員マスタに未登録の職員番号／",IF($Y1462="","標準報酬月額が未登録／","")&amp;IF(AND($AO1462&lt;&gt;"",OR(AND(INDEX(職員マスタ!$G$6:$G$405,$AN1462)&lt;&gt;"",INDEX(職員マスタ!$G$6:$G$405,$AN1462)&gt;EOMONTH($AO1462,0)),AND(INDEX(職員マスタ!$H$6:$H$405,$AN1462)&lt;&gt;"",INDEX(職員マスタ!$H$6:$H$405,$AN1462)&lt;$AO1462))),"対象月が時短期間外／","")&amp;IF(AND(INDEX(職員マスタ!$F$6:$F$405,$AN1462)&lt;&gt;"",$AO1462&lt;&gt;"",INDEX(職員マスタ!$F$6:$F$405,$AN1462)&lt;$AO1462),"対象月に子が2歳到達済／","")&amp;IF(AND($H1462&lt;&gt;"",INDEX(職員マスタ!$B$6:$B$405,$AN1462)&lt;&gt;"",SUBSTITUTE(SUBSTITUTE($H1462," ","")," ","")&lt;&gt;SUBSTITUTE(SUBSTITUTE(INDEX(職員マスタ!$B$6:$B$405,$AN1462)," ","")," ","")),"氏名がマスタと相違／","")&amp;IF(AND($Q1462&lt;&gt;"",INDEX(職員マスタ!$E$6:$E$405,$AN1462)&lt;&gt;"",$Q1462&lt;&gt;INDEX(職員マスタ!$E$6:$E$405,$AN1462)),"子の生年月日がマスタと相違／","")&amp;IF(AND($L1462&lt;&gt;"",INDEX(職員マスタ!$G$6:$G$405,$AN1462)&lt;&gt;"",$L1462&lt;&gt;INDEX(職員マスタ!$G$6:$G$405,$AN1462)),"時短開始日がマスタと相違／","")&amp;IF(AND($M1462&lt;&gt;"",INDEX(職員マスタ!$H$6:$H$405,$AN1462)&lt;&gt;"",$M1462&lt;&gt;INDEX(職員マスタ!$H$6:$H$405,$AN1462)),"時短終了日がマスタと相違／","")))&amp;IF(AND($B1462&lt;&gt;"",$E1462=""),"報酬額が未入力／","")&amp;IF(N($U1462)&gt;0,"申請書に入力エラーが残っています／","")&amp;IF(AND($B1462&lt;&gt;"",$AO1462&lt;&gt;""),IF(COUNTIFS($B$6:$B$3005,$B1462,$C$6:$C$3005,$C1462,$D$6:$D$3005,$D1462)&gt;1,"同じ月の請求が重複しています／",""),"")&amp;IF(AND(N($E1462)&gt;0,$Z1462&lt;&gt;"",$Z1462&lt;&gt;"×",$AC1462=0,$AB1462=""),"計算額が下限以下のため不支給／",""))</f>
        <v/>
      </c>
      <c r="AL1462" s="12" t="n"/>
      <c r="AM1462" s="14">
        <f>IF($AD1462="保留中",COUNTIF($AD$6:$AD1462,"保留中"),"")</f>
        <v/>
      </c>
      <c r="AN1462" s="14">
        <f>IF($AO1462="","",IF(SUMPRODUCT(MAX((職員マスタ!$A$6:$A$405=$B1462)*(((職員マスタ!$G$6:$G$405="")+(職員マスタ!$G$6:$G$405&lt;=EOMONTH($AO1462,0)))&gt;0)*(((職員マスタ!$H$6:$H$405="")+(職員マスタ!$H$6:$H$405&gt;=$AO1462))&gt;0)*(ROW(職員マスタ!$A$6:$A$405)-5)))&gt;0,SUMPRODUCT(MAX((職員マスタ!$A$6:$A$405=$B1462)*(((職員マスタ!$G$6:$G$405="")+(職員マスタ!$G$6:$G$405&lt;=EOMONTH($AO1462,0)))&gt;0)*(((職員マスタ!$H$6:$H$405="")+(職員マスタ!$H$6:$H$405&gt;=$AO1462))&gt;0)*(ROW(職員マスタ!$A$6:$A$405)-5))),IFERROR(MATCH($B1462,職員マスタ!$A$6:$A$405,0),"")))</f>
        <v/>
      </c>
      <c r="AO1462" s="16">
        <f>IF(OR($B1462="",$C1462="",$D1462=""),"",DATE($C1462+2018,$D1462,1))</f>
        <v/>
      </c>
    </row>
    <row r="1463">
      <c r="A1463" s="11" t="n"/>
      <c r="B1463" s="12" t="n"/>
      <c r="C1463" s="12" t="n"/>
      <c r="D1463" s="12" t="n"/>
      <c r="E1463" s="13" t="n"/>
      <c r="F1463" s="12" t="n"/>
      <c r="G1463" s="13" t="n"/>
      <c r="H1463" s="12" t="n"/>
      <c r="I1463" s="12" t="n"/>
      <c r="J1463" s="12" t="n"/>
      <c r="K1463" s="12" t="n"/>
      <c r="L1463" s="11" t="n"/>
      <c r="M1463" s="11" t="n"/>
      <c r="N1463" s="11" t="n"/>
      <c r="O1463" s="11" t="n"/>
      <c r="P1463" s="12" t="n"/>
      <c r="Q1463" s="11" t="n"/>
      <c r="R1463" s="12" t="n"/>
      <c r="S1463" s="11" t="n"/>
      <c r="T1463" s="12" t="n"/>
      <c r="U1463" s="12" t="n"/>
      <c r="V1463" s="14">
        <f>IF($AN1463="",IF($B1463="","",$H1463),IF(INDEX(職員マスタ!$B$6:$B$405,$AN1463)="",$H1463,INDEX(職員マスタ!$B$6:$B$405,$AN1463)))</f>
        <v/>
      </c>
      <c r="W1463" s="14">
        <f>IF($AN1463="",IF($B1463="","",$R1463),IF(INDEX(職員マスタ!$C$6:$C$405,$AN1463)="",$R1463,INDEX(職員マスタ!$C$6:$C$405,$AN1463)))</f>
        <v/>
      </c>
      <c r="X1463" s="14">
        <f>IF($AO1463="","","R"&amp;$C1463&amp;"."&amp;$D1463)</f>
        <v/>
      </c>
      <c r="Y1463" s="15">
        <f>IF($AN1463="","",IF(INDEX(職員マスタ!$K$6:$K$405,$AN1463)="","",INDEX(職員マスタ!$K$6:$K$405,$AN1463)))</f>
        <v/>
      </c>
      <c r="Z1463" s="14">
        <f>IF(OR($E1463="",$Y1463=""),"",IF($E1463&gt;=$Y1463,"×",IF($E1463&gt;=$Y1463*設定!$C$5,"△","○")))</f>
        <v/>
      </c>
      <c r="AA1463" s="15">
        <f>IF($Z1463="","",IF($Z1463="×",0,IF($Z1463="○",ROUNDDOWN($E1463*設定!$C$4,0),ROUNDDOWN($E1463*ROUND((9*$Y1463-9*$E1463)/(10*$E1463),4),0))))</f>
        <v/>
      </c>
      <c r="AB1463" s="13" t="n"/>
      <c r="AC1463" s="15">
        <f>IF($B1463="","",IF($AB1463&lt;&gt;"",$AB1463,IF($AA1463="","",IF($AA1463&lt;=設定!$C$3,0,$AA1463))))</f>
        <v/>
      </c>
      <c r="AD1463" s="14">
        <f>IF($B1463="","",IF(AND($AE1463&lt;&gt;"",$AG1463="",$AJ1463=""),"保留中",IF($AJ1463&lt;&gt;"",IF(N($AC1463)&gt;0,"支給済","不支給"),IF($AC1463="","要確認",IF($AC1463=0,"不支給","未処理")))))</f>
        <v/>
      </c>
      <c r="AE1463" s="12" t="n"/>
      <c r="AF1463" s="11" t="n"/>
      <c r="AG1463" s="11" t="n"/>
      <c r="AH1463" s="11" t="n"/>
      <c r="AI1463" s="14">
        <f>IF(AND($AD1463="保留中",$AF1463&lt;&gt;""),TODAY()-$AF1463,"")</f>
        <v/>
      </c>
      <c r="AJ1463" s="12" t="n"/>
      <c r="AK1463" s="14">
        <f>IF($B1463="","",IF($AO1463="","対象年月が未入力／","")&amp;IF($B1463="","",IF($AN1463="","職員マスタに未登録の職員番号／",IF($Y1463="","標準報酬月額が未登録／","")&amp;IF(AND($AO1463&lt;&gt;"",OR(AND(INDEX(職員マスタ!$G$6:$G$405,$AN1463)&lt;&gt;"",INDEX(職員マスタ!$G$6:$G$405,$AN1463)&gt;EOMONTH($AO1463,0)),AND(INDEX(職員マスタ!$H$6:$H$405,$AN1463)&lt;&gt;"",INDEX(職員マスタ!$H$6:$H$405,$AN1463)&lt;$AO1463))),"対象月が時短期間外／","")&amp;IF(AND(INDEX(職員マスタ!$F$6:$F$405,$AN1463)&lt;&gt;"",$AO1463&lt;&gt;"",INDEX(職員マスタ!$F$6:$F$405,$AN1463)&lt;$AO1463),"対象月に子が2歳到達済／","")&amp;IF(AND($H1463&lt;&gt;"",INDEX(職員マスタ!$B$6:$B$405,$AN1463)&lt;&gt;"",SUBSTITUTE(SUBSTITUTE($H1463," ","")," ","")&lt;&gt;SUBSTITUTE(SUBSTITUTE(INDEX(職員マスタ!$B$6:$B$405,$AN1463)," ","")," ","")),"氏名がマスタと相違／","")&amp;IF(AND($Q1463&lt;&gt;"",INDEX(職員マスタ!$E$6:$E$405,$AN1463)&lt;&gt;"",$Q1463&lt;&gt;INDEX(職員マスタ!$E$6:$E$405,$AN1463)),"子の生年月日がマスタと相違／","")&amp;IF(AND($L1463&lt;&gt;"",INDEX(職員マスタ!$G$6:$G$405,$AN1463)&lt;&gt;"",$L1463&lt;&gt;INDEX(職員マスタ!$G$6:$G$405,$AN1463)),"時短開始日がマスタと相違／","")&amp;IF(AND($M1463&lt;&gt;"",INDEX(職員マスタ!$H$6:$H$405,$AN1463)&lt;&gt;"",$M1463&lt;&gt;INDEX(職員マスタ!$H$6:$H$405,$AN1463)),"時短終了日がマスタと相違／","")))&amp;IF(AND($B1463&lt;&gt;"",$E1463=""),"報酬額が未入力／","")&amp;IF(N($U1463)&gt;0,"申請書に入力エラーが残っています／","")&amp;IF(AND($B1463&lt;&gt;"",$AO1463&lt;&gt;""),IF(COUNTIFS($B$6:$B$3005,$B1463,$C$6:$C$3005,$C1463,$D$6:$D$3005,$D1463)&gt;1,"同じ月の請求が重複しています／",""),"")&amp;IF(AND(N($E1463)&gt;0,$Z1463&lt;&gt;"",$Z1463&lt;&gt;"×",$AC1463=0,$AB1463=""),"計算額が下限以下のため不支給／",""))</f>
        <v/>
      </c>
      <c r="AL1463" s="12" t="n"/>
      <c r="AM1463" s="14">
        <f>IF($AD1463="保留中",COUNTIF($AD$6:$AD1463,"保留中"),"")</f>
        <v/>
      </c>
      <c r="AN1463" s="14">
        <f>IF($AO1463="","",IF(SUMPRODUCT(MAX((職員マスタ!$A$6:$A$405=$B1463)*(((職員マスタ!$G$6:$G$405="")+(職員マスタ!$G$6:$G$405&lt;=EOMONTH($AO1463,0)))&gt;0)*(((職員マスタ!$H$6:$H$405="")+(職員マスタ!$H$6:$H$405&gt;=$AO1463))&gt;0)*(ROW(職員マスタ!$A$6:$A$405)-5)))&gt;0,SUMPRODUCT(MAX((職員マスタ!$A$6:$A$405=$B1463)*(((職員マスタ!$G$6:$G$405="")+(職員マスタ!$G$6:$G$405&lt;=EOMONTH($AO1463,0)))&gt;0)*(((職員マスタ!$H$6:$H$405="")+(職員マスタ!$H$6:$H$405&gt;=$AO1463))&gt;0)*(ROW(職員マスタ!$A$6:$A$405)-5))),IFERROR(MATCH($B1463,職員マスタ!$A$6:$A$405,0),"")))</f>
        <v/>
      </c>
      <c r="AO1463" s="16">
        <f>IF(OR($B1463="",$C1463="",$D1463=""),"",DATE($C1463+2018,$D1463,1))</f>
        <v/>
      </c>
    </row>
    <row r="1464">
      <c r="A1464" s="11" t="n"/>
      <c r="B1464" s="12" t="n"/>
      <c r="C1464" s="12" t="n"/>
      <c r="D1464" s="12" t="n"/>
      <c r="E1464" s="13" t="n"/>
      <c r="F1464" s="12" t="n"/>
      <c r="G1464" s="13" t="n"/>
      <c r="H1464" s="12" t="n"/>
      <c r="I1464" s="12" t="n"/>
      <c r="J1464" s="12" t="n"/>
      <c r="K1464" s="12" t="n"/>
      <c r="L1464" s="11" t="n"/>
      <c r="M1464" s="11" t="n"/>
      <c r="N1464" s="11" t="n"/>
      <c r="O1464" s="11" t="n"/>
      <c r="P1464" s="12" t="n"/>
      <c r="Q1464" s="11" t="n"/>
      <c r="R1464" s="12" t="n"/>
      <c r="S1464" s="11" t="n"/>
      <c r="T1464" s="12" t="n"/>
      <c r="U1464" s="12" t="n"/>
      <c r="V1464" s="14">
        <f>IF($AN1464="",IF($B1464="","",$H1464),IF(INDEX(職員マスタ!$B$6:$B$405,$AN1464)="",$H1464,INDEX(職員マスタ!$B$6:$B$405,$AN1464)))</f>
        <v/>
      </c>
      <c r="W1464" s="14">
        <f>IF($AN1464="",IF($B1464="","",$R1464),IF(INDEX(職員マスタ!$C$6:$C$405,$AN1464)="",$R1464,INDEX(職員マスタ!$C$6:$C$405,$AN1464)))</f>
        <v/>
      </c>
      <c r="X1464" s="14">
        <f>IF($AO1464="","","R"&amp;$C1464&amp;"."&amp;$D1464)</f>
        <v/>
      </c>
      <c r="Y1464" s="15">
        <f>IF($AN1464="","",IF(INDEX(職員マスタ!$K$6:$K$405,$AN1464)="","",INDEX(職員マスタ!$K$6:$K$405,$AN1464)))</f>
        <v/>
      </c>
      <c r="Z1464" s="14">
        <f>IF(OR($E1464="",$Y1464=""),"",IF($E1464&gt;=$Y1464,"×",IF($E1464&gt;=$Y1464*設定!$C$5,"△","○")))</f>
        <v/>
      </c>
      <c r="AA1464" s="15">
        <f>IF($Z1464="","",IF($Z1464="×",0,IF($Z1464="○",ROUNDDOWN($E1464*設定!$C$4,0),ROUNDDOWN($E1464*ROUND((9*$Y1464-9*$E1464)/(10*$E1464),4),0))))</f>
        <v/>
      </c>
      <c r="AB1464" s="13" t="n"/>
      <c r="AC1464" s="15">
        <f>IF($B1464="","",IF($AB1464&lt;&gt;"",$AB1464,IF($AA1464="","",IF($AA1464&lt;=設定!$C$3,0,$AA1464))))</f>
        <v/>
      </c>
      <c r="AD1464" s="14">
        <f>IF($B1464="","",IF(AND($AE1464&lt;&gt;"",$AG1464="",$AJ1464=""),"保留中",IF($AJ1464&lt;&gt;"",IF(N($AC1464)&gt;0,"支給済","不支給"),IF($AC1464="","要確認",IF($AC1464=0,"不支給","未処理")))))</f>
        <v/>
      </c>
      <c r="AE1464" s="12" t="n"/>
      <c r="AF1464" s="11" t="n"/>
      <c r="AG1464" s="11" t="n"/>
      <c r="AH1464" s="11" t="n"/>
      <c r="AI1464" s="14">
        <f>IF(AND($AD1464="保留中",$AF1464&lt;&gt;""),TODAY()-$AF1464,"")</f>
        <v/>
      </c>
      <c r="AJ1464" s="12" t="n"/>
      <c r="AK1464" s="14">
        <f>IF($B1464="","",IF($AO1464="","対象年月が未入力／","")&amp;IF($B1464="","",IF($AN1464="","職員マスタに未登録の職員番号／",IF($Y1464="","標準報酬月額が未登録／","")&amp;IF(AND($AO1464&lt;&gt;"",OR(AND(INDEX(職員マスタ!$G$6:$G$405,$AN1464)&lt;&gt;"",INDEX(職員マスタ!$G$6:$G$405,$AN1464)&gt;EOMONTH($AO1464,0)),AND(INDEX(職員マスタ!$H$6:$H$405,$AN1464)&lt;&gt;"",INDEX(職員マスタ!$H$6:$H$405,$AN1464)&lt;$AO1464))),"対象月が時短期間外／","")&amp;IF(AND(INDEX(職員マスタ!$F$6:$F$405,$AN1464)&lt;&gt;"",$AO1464&lt;&gt;"",INDEX(職員マスタ!$F$6:$F$405,$AN1464)&lt;$AO1464),"対象月に子が2歳到達済／","")&amp;IF(AND($H1464&lt;&gt;"",INDEX(職員マスタ!$B$6:$B$405,$AN1464)&lt;&gt;"",SUBSTITUTE(SUBSTITUTE($H1464," ","")," ","")&lt;&gt;SUBSTITUTE(SUBSTITUTE(INDEX(職員マスタ!$B$6:$B$405,$AN1464)," ","")," ","")),"氏名がマスタと相違／","")&amp;IF(AND($Q1464&lt;&gt;"",INDEX(職員マスタ!$E$6:$E$405,$AN1464)&lt;&gt;"",$Q1464&lt;&gt;INDEX(職員マスタ!$E$6:$E$405,$AN1464)),"子の生年月日がマスタと相違／","")&amp;IF(AND($L1464&lt;&gt;"",INDEX(職員マスタ!$G$6:$G$405,$AN1464)&lt;&gt;"",$L1464&lt;&gt;INDEX(職員マスタ!$G$6:$G$405,$AN1464)),"時短開始日がマスタと相違／","")&amp;IF(AND($M1464&lt;&gt;"",INDEX(職員マスタ!$H$6:$H$405,$AN1464)&lt;&gt;"",$M1464&lt;&gt;INDEX(職員マスタ!$H$6:$H$405,$AN1464)),"時短終了日がマスタと相違／","")))&amp;IF(AND($B1464&lt;&gt;"",$E1464=""),"報酬額が未入力／","")&amp;IF(N($U1464)&gt;0,"申請書に入力エラーが残っています／","")&amp;IF(AND($B1464&lt;&gt;"",$AO1464&lt;&gt;""),IF(COUNTIFS($B$6:$B$3005,$B1464,$C$6:$C$3005,$C1464,$D$6:$D$3005,$D1464)&gt;1,"同じ月の請求が重複しています／",""),"")&amp;IF(AND(N($E1464)&gt;0,$Z1464&lt;&gt;"",$Z1464&lt;&gt;"×",$AC1464=0,$AB1464=""),"計算額が下限以下のため不支給／",""))</f>
        <v/>
      </c>
      <c r="AL1464" s="12" t="n"/>
      <c r="AM1464" s="14">
        <f>IF($AD1464="保留中",COUNTIF($AD$6:$AD1464,"保留中"),"")</f>
        <v/>
      </c>
      <c r="AN1464" s="14">
        <f>IF($AO1464="","",IF(SUMPRODUCT(MAX((職員マスタ!$A$6:$A$405=$B1464)*(((職員マスタ!$G$6:$G$405="")+(職員マスタ!$G$6:$G$405&lt;=EOMONTH($AO1464,0)))&gt;0)*(((職員マスタ!$H$6:$H$405="")+(職員マスタ!$H$6:$H$405&gt;=$AO1464))&gt;0)*(ROW(職員マスタ!$A$6:$A$405)-5)))&gt;0,SUMPRODUCT(MAX((職員マスタ!$A$6:$A$405=$B1464)*(((職員マスタ!$G$6:$G$405="")+(職員マスタ!$G$6:$G$405&lt;=EOMONTH($AO1464,0)))&gt;0)*(((職員マスタ!$H$6:$H$405="")+(職員マスタ!$H$6:$H$405&gt;=$AO1464))&gt;0)*(ROW(職員マスタ!$A$6:$A$405)-5))),IFERROR(MATCH($B1464,職員マスタ!$A$6:$A$405,0),"")))</f>
        <v/>
      </c>
      <c r="AO1464" s="16">
        <f>IF(OR($B1464="",$C1464="",$D1464=""),"",DATE($C1464+2018,$D1464,1))</f>
        <v/>
      </c>
    </row>
    <row r="1465">
      <c r="A1465" s="11" t="n"/>
      <c r="B1465" s="12" t="n"/>
      <c r="C1465" s="12" t="n"/>
      <c r="D1465" s="12" t="n"/>
      <c r="E1465" s="13" t="n"/>
      <c r="F1465" s="12" t="n"/>
      <c r="G1465" s="13" t="n"/>
      <c r="H1465" s="12" t="n"/>
      <c r="I1465" s="12" t="n"/>
      <c r="J1465" s="12" t="n"/>
      <c r="K1465" s="12" t="n"/>
      <c r="L1465" s="11" t="n"/>
      <c r="M1465" s="11" t="n"/>
      <c r="N1465" s="11" t="n"/>
      <c r="O1465" s="11" t="n"/>
      <c r="P1465" s="12" t="n"/>
      <c r="Q1465" s="11" t="n"/>
      <c r="R1465" s="12" t="n"/>
      <c r="S1465" s="11" t="n"/>
      <c r="T1465" s="12" t="n"/>
      <c r="U1465" s="12" t="n"/>
      <c r="V1465" s="14">
        <f>IF($AN1465="",IF($B1465="","",$H1465),IF(INDEX(職員マスタ!$B$6:$B$405,$AN1465)="",$H1465,INDEX(職員マスタ!$B$6:$B$405,$AN1465)))</f>
        <v/>
      </c>
      <c r="W1465" s="14">
        <f>IF($AN1465="",IF($B1465="","",$R1465),IF(INDEX(職員マスタ!$C$6:$C$405,$AN1465)="",$R1465,INDEX(職員マスタ!$C$6:$C$405,$AN1465)))</f>
        <v/>
      </c>
      <c r="X1465" s="14">
        <f>IF($AO1465="","","R"&amp;$C1465&amp;"."&amp;$D1465)</f>
        <v/>
      </c>
      <c r="Y1465" s="15">
        <f>IF($AN1465="","",IF(INDEX(職員マスタ!$K$6:$K$405,$AN1465)="","",INDEX(職員マスタ!$K$6:$K$405,$AN1465)))</f>
        <v/>
      </c>
      <c r="Z1465" s="14">
        <f>IF(OR($E1465="",$Y1465=""),"",IF($E1465&gt;=$Y1465,"×",IF($E1465&gt;=$Y1465*設定!$C$5,"△","○")))</f>
        <v/>
      </c>
      <c r="AA1465" s="15">
        <f>IF($Z1465="","",IF($Z1465="×",0,IF($Z1465="○",ROUNDDOWN($E1465*設定!$C$4,0),ROUNDDOWN($E1465*ROUND((9*$Y1465-9*$E1465)/(10*$E1465),4),0))))</f>
        <v/>
      </c>
      <c r="AB1465" s="13" t="n"/>
      <c r="AC1465" s="15">
        <f>IF($B1465="","",IF($AB1465&lt;&gt;"",$AB1465,IF($AA1465="","",IF($AA1465&lt;=設定!$C$3,0,$AA1465))))</f>
        <v/>
      </c>
      <c r="AD1465" s="14">
        <f>IF($B1465="","",IF(AND($AE1465&lt;&gt;"",$AG1465="",$AJ1465=""),"保留中",IF($AJ1465&lt;&gt;"",IF(N($AC1465)&gt;0,"支給済","不支給"),IF($AC1465="","要確認",IF($AC1465=0,"不支給","未処理")))))</f>
        <v/>
      </c>
      <c r="AE1465" s="12" t="n"/>
      <c r="AF1465" s="11" t="n"/>
      <c r="AG1465" s="11" t="n"/>
      <c r="AH1465" s="11" t="n"/>
      <c r="AI1465" s="14">
        <f>IF(AND($AD1465="保留中",$AF1465&lt;&gt;""),TODAY()-$AF1465,"")</f>
        <v/>
      </c>
      <c r="AJ1465" s="12" t="n"/>
      <c r="AK1465" s="14">
        <f>IF($B1465="","",IF($AO1465="","対象年月が未入力／","")&amp;IF($B1465="","",IF($AN1465="","職員マスタに未登録の職員番号／",IF($Y1465="","標準報酬月額が未登録／","")&amp;IF(AND($AO1465&lt;&gt;"",OR(AND(INDEX(職員マスタ!$G$6:$G$405,$AN1465)&lt;&gt;"",INDEX(職員マスタ!$G$6:$G$405,$AN1465)&gt;EOMONTH($AO1465,0)),AND(INDEX(職員マスタ!$H$6:$H$405,$AN1465)&lt;&gt;"",INDEX(職員マスタ!$H$6:$H$405,$AN1465)&lt;$AO1465))),"対象月が時短期間外／","")&amp;IF(AND(INDEX(職員マスタ!$F$6:$F$405,$AN1465)&lt;&gt;"",$AO1465&lt;&gt;"",INDEX(職員マスタ!$F$6:$F$405,$AN1465)&lt;$AO1465),"対象月に子が2歳到達済／","")&amp;IF(AND($H1465&lt;&gt;"",INDEX(職員マスタ!$B$6:$B$405,$AN1465)&lt;&gt;"",SUBSTITUTE(SUBSTITUTE($H1465," ","")," ","")&lt;&gt;SUBSTITUTE(SUBSTITUTE(INDEX(職員マスタ!$B$6:$B$405,$AN1465)," ","")," ","")),"氏名がマスタと相違／","")&amp;IF(AND($Q1465&lt;&gt;"",INDEX(職員マスタ!$E$6:$E$405,$AN1465)&lt;&gt;"",$Q1465&lt;&gt;INDEX(職員マスタ!$E$6:$E$405,$AN1465)),"子の生年月日がマスタと相違／","")&amp;IF(AND($L1465&lt;&gt;"",INDEX(職員マスタ!$G$6:$G$405,$AN1465)&lt;&gt;"",$L1465&lt;&gt;INDEX(職員マスタ!$G$6:$G$405,$AN1465)),"時短開始日がマスタと相違／","")&amp;IF(AND($M1465&lt;&gt;"",INDEX(職員マスタ!$H$6:$H$405,$AN1465)&lt;&gt;"",$M1465&lt;&gt;INDEX(職員マスタ!$H$6:$H$405,$AN1465)),"時短終了日がマスタと相違／","")))&amp;IF(AND($B1465&lt;&gt;"",$E1465=""),"報酬額が未入力／","")&amp;IF(N($U1465)&gt;0,"申請書に入力エラーが残っています／","")&amp;IF(AND($B1465&lt;&gt;"",$AO1465&lt;&gt;""),IF(COUNTIFS($B$6:$B$3005,$B1465,$C$6:$C$3005,$C1465,$D$6:$D$3005,$D1465)&gt;1,"同じ月の請求が重複しています／",""),"")&amp;IF(AND(N($E1465)&gt;0,$Z1465&lt;&gt;"",$Z1465&lt;&gt;"×",$AC1465=0,$AB1465=""),"計算額が下限以下のため不支給／",""))</f>
        <v/>
      </c>
      <c r="AL1465" s="12" t="n"/>
      <c r="AM1465" s="14">
        <f>IF($AD1465="保留中",COUNTIF($AD$6:$AD1465,"保留中"),"")</f>
        <v/>
      </c>
      <c r="AN1465" s="14">
        <f>IF($AO1465="","",IF(SUMPRODUCT(MAX((職員マスタ!$A$6:$A$405=$B1465)*(((職員マスタ!$G$6:$G$405="")+(職員マスタ!$G$6:$G$405&lt;=EOMONTH($AO1465,0)))&gt;0)*(((職員マスタ!$H$6:$H$405="")+(職員マスタ!$H$6:$H$405&gt;=$AO1465))&gt;0)*(ROW(職員マスタ!$A$6:$A$405)-5)))&gt;0,SUMPRODUCT(MAX((職員マスタ!$A$6:$A$405=$B1465)*(((職員マスタ!$G$6:$G$405="")+(職員マスタ!$G$6:$G$405&lt;=EOMONTH($AO1465,0)))&gt;0)*(((職員マスタ!$H$6:$H$405="")+(職員マスタ!$H$6:$H$405&gt;=$AO1465))&gt;0)*(ROW(職員マスタ!$A$6:$A$405)-5))),IFERROR(MATCH($B1465,職員マスタ!$A$6:$A$405,0),"")))</f>
        <v/>
      </c>
      <c r="AO1465" s="16">
        <f>IF(OR($B1465="",$C1465="",$D1465=""),"",DATE($C1465+2018,$D1465,1))</f>
        <v/>
      </c>
    </row>
    <row r="1466">
      <c r="A1466" s="11" t="n"/>
      <c r="B1466" s="12" t="n"/>
      <c r="C1466" s="12" t="n"/>
      <c r="D1466" s="12" t="n"/>
      <c r="E1466" s="13" t="n"/>
      <c r="F1466" s="12" t="n"/>
      <c r="G1466" s="13" t="n"/>
      <c r="H1466" s="12" t="n"/>
      <c r="I1466" s="12" t="n"/>
      <c r="J1466" s="12" t="n"/>
      <c r="K1466" s="12" t="n"/>
      <c r="L1466" s="11" t="n"/>
      <c r="M1466" s="11" t="n"/>
      <c r="N1466" s="11" t="n"/>
      <c r="O1466" s="11" t="n"/>
      <c r="P1466" s="12" t="n"/>
      <c r="Q1466" s="11" t="n"/>
      <c r="R1466" s="12" t="n"/>
      <c r="S1466" s="11" t="n"/>
      <c r="T1466" s="12" t="n"/>
      <c r="U1466" s="12" t="n"/>
      <c r="V1466" s="14">
        <f>IF($AN1466="",IF($B1466="","",$H1466),IF(INDEX(職員マスタ!$B$6:$B$405,$AN1466)="",$H1466,INDEX(職員マスタ!$B$6:$B$405,$AN1466)))</f>
        <v/>
      </c>
      <c r="W1466" s="14">
        <f>IF($AN1466="",IF($B1466="","",$R1466),IF(INDEX(職員マスタ!$C$6:$C$405,$AN1466)="",$R1466,INDEX(職員マスタ!$C$6:$C$405,$AN1466)))</f>
        <v/>
      </c>
      <c r="X1466" s="14">
        <f>IF($AO1466="","","R"&amp;$C1466&amp;"."&amp;$D1466)</f>
        <v/>
      </c>
      <c r="Y1466" s="15">
        <f>IF($AN1466="","",IF(INDEX(職員マスタ!$K$6:$K$405,$AN1466)="","",INDEX(職員マスタ!$K$6:$K$405,$AN1466)))</f>
        <v/>
      </c>
      <c r="Z1466" s="14">
        <f>IF(OR($E1466="",$Y1466=""),"",IF($E1466&gt;=$Y1466,"×",IF($E1466&gt;=$Y1466*設定!$C$5,"△","○")))</f>
        <v/>
      </c>
      <c r="AA1466" s="15">
        <f>IF($Z1466="","",IF($Z1466="×",0,IF($Z1466="○",ROUNDDOWN($E1466*設定!$C$4,0),ROUNDDOWN($E1466*ROUND((9*$Y1466-9*$E1466)/(10*$E1466),4),0))))</f>
        <v/>
      </c>
      <c r="AB1466" s="13" t="n"/>
      <c r="AC1466" s="15">
        <f>IF($B1466="","",IF($AB1466&lt;&gt;"",$AB1466,IF($AA1466="","",IF($AA1466&lt;=設定!$C$3,0,$AA1466))))</f>
        <v/>
      </c>
      <c r="AD1466" s="14">
        <f>IF($B1466="","",IF(AND($AE1466&lt;&gt;"",$AG1466="",$AJ1466=""),"保留中",IF($AJ1466&lt;&gt;"",IF(N($AC1466)&gt;0,"支給済","不支給"),IF($AC1466="","要確認",IF($AC1466=0,"不支給","未処理")))))</f>
        <v/>
      </c>
      <c r="AE1466" s="12" t="n"/>
      <c r="AF1466" s="11" t="n"/>
      <c r="AG1466" s="11" t="n"/>
      <c r="AH1466" s="11" t="n"/>
      <c r="AI1466" s="14">
        <f>IF(AND($AD1466="保留中",$AF1466&lt;&gt;""),TODAY()-$AF1466,"")</f>
        <v/>
      </c>
      <c r="AJ1466" s="12" t="n"/>
      <c r="AK1466" s="14">
        <f>IF($B1466="","",IF($AO1466="","対象年月が未入力／","")&amp;IF($B1466="","",IF($AN1466="","職員マスタに未登録の職員番号／",IF($Y1466="","標準報酬月額が未登録／","")&amp;IF(AND($AO1466&lt;&gt;"",OR(AND(INDEX(職員マスタ!$G$6:$G$405,$AN1466)&lt;&gt;"",INDEX(職員マスタ!$G$6:$G$405,$AN1466)&gt;EOMONTH($AO1466,0)),AND(INDEX(職員マスタ!$H$6:$H$405,$AN1466)&lt;&gt;"",INDEX(職員マスタ!$H$6:$H$405,$AN1466)&lt;$AO1466))),"対象月が時短期間外／","")&amp;IF(AND(INDEX(職員マスタ!$F$6:$F$405,$AN1466)&lt;&gt;"",$AO1466&lt;&gt;"",INDEX(職員マスタ!$F$6:$F$405,$AN1466)&lt;$AO1466),"対象月に子が2歳到達済／","")&amp;IF(AND($H1466&lt;&gt;"",INDEX(職員マスタ!$B$6:$B$405,$AN1466)&lt;&gt;"",SUBSTITUTE(SUBSTITUTE($H1466," ","")," ","")&lt;&gt;SUBSTITUTE(SUBSTITUTE(INDEX(職員マスタ!$B$6:$B$405,$AN1466)," ","")," ","")),"氏名がマスタと相違／","")&amp;IF(AND($Q1466&lt;&gt;"",INDEX(職員マスタ!$E$6:$E$405,$AN1466)&lt;&gt;"",$Q1466&lt;&gt;INDEX(職員マスタ!$E$6:$E$405,$AN1466)),"子の生年月日がマスタと相違／","")&amp;IF(AND($L1466&lt;&gt;"",INDEX(職員マスタ!$G$6:$G$405,$AN1466)&lt;&gt;"",$L1466&lt;&gt;INDEX(職員マスタ!$G$6:$G$405,$AN1466)),"時短開始日がマスタと相違／","")&amp;IF(AND($M1466&lt;&gt;"",INDEX(職員マスタ!$H$6:$H$405,$AN1466)&lt;&gt;"",$M1466&lt;&gt;INDEX(職員マスタ!$H$6:$H$405,$AN1466)),"時短終了日がマスタと相違／","")))&amp;IF(AND($B1466&lt;&gt;"",$E1466=""),"報酬額が未入力／","")&amp;IF(N($U1466)&gt;0,"申請書に入力エラーが残っています／","")&amp;IF(AND($B1466&lt;&gt;"",$AO1466&lt;&gt;""),IF(COUNTIFS($B$6:$B$3005,$B1466,$C$6:$C$3005,$C1466,$D$6:$D$3005,$D1466)&gt;1,"同じ月の請求が重複しています／",""),"")&amp;IF(AND(N($E1466)&gt;0,$Z1466&lt;&gt;"",$Z1466&lt;&gt;"×",$AC1466=0,$AB1466=""),"計算額が下限以下のため不支給／",""))</f>
        <v/>
      </c>
      <c r="AL1466" s="12" t="n"/>
      <c r="AM1466" s="14">
        <f>IF($AD1466="保留中",COUNTIF($AD$6:$AD1466,"保留中"),"")</f>
        <v/>
      </c>
      <c r="AN1466" s="14">
        <f>IF($AO1466="","",IF(SUMPRODUCT(MAX((職員マスタ!$A$6:$A$405=$B1466)*(((職員マスタ!$G$6:$G$405="")+(職員マスタ!$G$6:$G$405&lt;=EOMONTH($AO1466,0)))&gt;0)*(((職員マスタ!$H$6:$H$405="")+(職員マスタ!$H$6:$H$405&gt;=$AO1466))&gt;0)*(ROW(職員マスタ!$A$6:$A$405)-5)))&gt;0,SUMPRODUCT(MAX((職員マスタ!$A$6:$A$405=$B1466)*(((職員マスタ!$G$6:$G$405="")+(職員マスタ!$G$6:$G$405&lt;=EOMONTH($AO1466,0)))&gt;0)*(((職員マスタ!$H$6:$H$405="")+(職員マスタ!$H$6:$H$405&gt;=$AO1466))&gt;0)*(ROW(職員マスタ!$A$6:$A$405)-5))),IFERROR(MATCH($B1466,職員マスタ!$A$6:$A$405,0),"")))</f>
        <v/>
      </c>
      <c r="AO1466" s="16">
        <f>IF(OR($B1466="",$C1466="",$D1466=""),"",DATE($C1466+2018,$D1466,1))</f>
        <v/>
      </c>
    </row>
    <row r="1467">
      <c r="A1467" s="11" t="n"/>
      <c r="B1467" s="12" t="n"/>
      <c r="C1467" s="12" t="n"/>
      <c r="D1467" s="12" t="n"/>
      <c r="E1467" s="13" t="n"/>
      <c r="F1467" s="12" t="n"/>
      <c r="G1467" s="13" t="n"/>
      <c r="H1467" s="12" t="n"/>
      <c r="I1467" s="12" t="n"/>
      <c r="J1467" s="12" t="n"/>
      <c r="K1467" s="12" t="n"/>
      <c r="L1467" s="11" t="n"/>
      <c r="M1467" s="11" t="n"/>
      <c r="N1467" s="11" t="n"/>
      <c r="O1467" s="11" t="n"/>
      <c r="P1467" s="12" t="n"/>
      <c r="Q1467" s="11" t="n"/>
      <c r="R1467" s="12" t="n"/>
      <c r="S1467" s="11" t="n"/>
      <c r="T1467" s="12" t="n"/>
      <c r="U1467" s="12" t="n"/>
      <c r="V1467" s="14">
        <f>IF($AN1467="",IF($B1467="","",$H1467),IF(INDEX(職員マスタ!$B$6:$B$405,$AN1467)="",$H1467,INDEX(職員マスタ!$B$6:$B$405,$AN1467)))</f>
        <v/>
      </c>
      <c r="W1467" s="14">
        <f>IF($AN1467="",IF($B1467="","",$R1467),IF(INDEX(職員マスタ!$C$6:$C$405,$AN1467)="",$R1467,INDEX(職員マスタ!$C$6:$C$405,$AN1467)))</f>
        <v/>
      </c>
      <c r="X1467" s="14">
        <f>IF($AO1467="","","R"&amp;$C1467&amp;"."&amp;$D1467)</f>
        <v/>
      </c>
      <c r="Y1467" s="15">
        <f>IF($AN1467="","",IF(INDEX(職員マスタ!$K$6:$K$405,$AN1467)="","",INDEX(職員マスタ!$K$6:$K$405,$AN1467)))</f>
        <v/>
      </c>
      <c r="Z1467" s="14">
        <f>IF(OR($E1467="",$Y1467=""),"",IF($E1467&gt;=$Y1467,"×",IF($E1467&gt;=$Y1467*設定!$C$5,"△","○")))</f>
        <v/>
      </c>
      <c r="AA1467" s="15">
        <f>IF($Z1467="","",IF($Z1467="×",0,IF($Z1467="○",ROUNDDOWN($E1467*設定!$C$4,0),ROUNDDOWN($E1467*ROUND((9*$Y1467-9*$E1467)/(10*$E1467),4),0))))</f>
        <v/>
      </c>
      <c r="AB1467" s="13" t="n"/>
      <c r="AC1467" s="15">
        <f>IF($B1467="","",IF($AB1467&lt;&gt;"",$AB1467,IF($AA1467="","",IF($AA1467&lt;=設定!$C$3,0,$AA1467))))</f>
        <v/>
      </c>
      <c r="AD1467" s="14">
        <f>IF($B1467="","",IF(AND($AE1467&lt;&gt;"",$AG1467="",$AJ1467=""),"保留中",IF($AJ1467&lt;&gt;"",IF(N($AC1467)&gt;0,"支給済","不支給"),IF($AC1467="","要確認",IF($AC1467=0,"不支給","未処理")))))</f>
        <v/>
      </c>
      <c r="AE1467" s="12" t="n"/>
      <c r="AF1467" s="11" t="n"/>
      <c r="AG1467" s="11" t="n"/>
      <c r="AH1467" s="11" t="n"/>
      <c r="AI1467" s="14">
        <f>IF(AND($AD1467="保留中",$AF1467&lt;&gt;""),TODAY()-$AF1467,"")</f>
        <v/>
      </c>
      <c r="AJ1467" s="12" t="n"/>
      <c r="AK1467" s="14">
        <f>IF($B1467="","",IF($AO1467="","対象年月が未入力／","")&amp;IF($B1467="","",IF($AN1467="","職員マスタに未登録の職員番号／",IF($Y1467="","標準報酬月額が未登録／","")&amp;IF(AND($AO1467&lt;&gt;"",OR(AND(INDEX(職員マスタ!$G$6:$G$405,$AN1467)&lt;&gt;"",INDEX(職員マスタ!$G$6:$G$405,$AN1467)&gt;EOMONTH($AO1467,0)),AND(INDEX(職員マスタ!$H$6:$H$405,$AN1467)&lt;&gt;"",INDEX(職員マスタ!$H$6:$H$405,$AN1467)&lt;$AO1467))),"対象月が時短期間外／","")&amp;IF(AND(INDEX(職員マスタ!$F$6:$F$405,$AN1467)&lt;&gt;"",$AO1467&lt;&gt;"",INDEX(職員マスタ!$F$6:$F$405,$AN1467)&lt;$AO1467),"対象月に子が2歳到達済／","")&amp;IF(AND($H1467&lt;&gt;"",INDEX(職員マスタ!$B$6:$B$405,$AN1467)&lt;&gt;"",SUBSTITUTE(SUBSTITUTE($H1467," ","")," ","")&lt;&gt;SUBSTITUTE(SUBSTITUTE(INDEX(職員マスタ!$B$6:$B$405,$AN1467)," ","")," ","")),"氏名がマスタと相違／","")&amp;IF(AND($Q1467&lt;&gt;"",INDEX(職員マスタ!$E$6:$E$405,$AN1467)&lt;&gt;"",$Q1467&lt;&gt;INDEX(職員マスタ!$E$6:$E$405,$AN1467)),"子の生年月日がマスタと相違／","")&amp;IF(AND($L1467&lt;&gt;"",INDEX(職員マスタ!$G$6:$G$405,$AN1467)&lt;&gt;"",$L1467&lt;&gt;INDEX(職員マスタ!$G$6:$G$405,$AN1467)),"時短開始日がマスタと相違／","")&amp;IF(AND($M1467&lt;&gt;"",INDEX(職員マスタ!$H$6:$H$405,$AN1467)&lt;&gt;"",$M1467&lt;&gt;INDEX(職員マスタ!$H$6:$H$405,$AN1467)),"時短終了日がマスタと相違／","")))&amp;IF(AND($B1467&lt;&gt;"",$E1467=""),"報酬額が未入力／","")&amp;IF(N($U1467)&gt;0,"申請書に入力エラーが残っています／","")&amp;IF(AND($B1467&lt;&gt;"",$AO1467&lt;&gt;""),IF(COUNTIFS($B$6:$B$3005,$B1467,$C$6:$C$3005,$C1467,$D$6:$D$3005,$D1467)&gt;1,"同じ月の請求が重複しています／",""),"")&amp;IF(AND(N($E1467)&gt;0,$Z1467&lt;&gt;"",$Z1467&lt;&gt;"×",$AC1467=0,$AB1467=""),"計算額が下限以下のため不支給／",""))</f>
        <v/>
      </c>
      <c r="AL1467" s="12" t="n"/>
      <c r="AM1467" s="14">
        <f>IF($AD1467="保留中",COUNTIF($AD$6:$AD1467,"保留中"),"")</f>
        <v/>
      </c>
      <c r="AN1467" s="14">
        <f>IF($AO1467="","",IF(SUMPRODUCT(MAX((職員マスタ!$A$6:$A$405=$B1467)*(((職員マスタ!$G$6:$G$405="")+(職員マスタ!$G$6:$G$405&lt;=EOMONTH($AO1467,0)))&gt;0)*(((職員マスタ!$H$6:$H$405="")+(職員マスタ!$H$6:$H$405&gt;=$AO1467))&gt;0)*(ROW(職員マスタ!$A$6:$A$405)-5)))&gt;0,SUMPRODUCT(MAX((職員マスタ!$A$6:$A$405=$B1467)*(((職員マスタ!$G$6:$G$405="")+(職員マスタ!$G$6:$G$405&lt;=EOMONTH($AO1467,0)))&gt;0)*(((職員マスタ!$H$6:$H$405="")+(職員マスタ!$H$6:$H$405&gt;=$AO1467))&gt;0)*(ROW(職員マスタ!$A$6:$A$405)-5))),IFERROR(MATCH($B1467,職員マスタ!$A$6:$A$405,0),"")))</f>
        <v/>
      </c>
      <c r="AO1467" s="16">
        <f>IF(OR($B1467="",$C1467="",$D1467=""),"",DATE($C1467+2018,$D1467,1))</f>
        <v/>
      </c>
    </row>
    <row r="1468">
      <c r="A1468" s="11" t="n"/>
      <c r="B1468" s="12" t="n"/>
      <c r="C1468" s="12" t="n"/>
      <c r="D1468" s="12" t="n"/>
      <c r="E1468" s="13" t="n"/>
      <c r="F1468" s="12" t="n"/>
      <c r="G1468" s="13" t="n"/>
      <c r="H1468" s="12" t="n"/>
      <c r="I1468" s="12" t="n"/>
      <c r="J1468" s="12" t="n"/>
      <c r="K1468" s="12" t="n"/>
      <c r="L1468" s="11" t="n"/>
      <c r="M1468" s="11" t="n"/>
      <c r="N1468" s="11" t="n"/>
      <c r="O1468" s="11" t="n"/>
      <c r="P1468" s="12" t="n"/>
      <c r="Q1468" s="11" t="n"/>
      <c r="R1468" s="12" t="n"/>
      <c r="S1468" s="11" t="n"/>
      <c r="T1468" s="12" t="n"/>
      <c r="U1468" s="12" t="n"/>
      <c r="V1468" s="14">
        <f>IF($AN1468="",IF($B1468="","",$H1468),IF(INDEX(職員マスタ!$B$6:$B$405,$AN1468)="",$H1468,INDEX(職員マスタ!$B$6:$B$405,$AN1468)))</f>
        <v/>
      </c>
      <c r="W1468" s="14">
        <f>IF($AN1468="",IF($B1468="","",$R1468),IF(INDEX(職員マスタ!$C$6:$C$405,$AN1468)="",$R1468,INDEX(職員マスタ!$C$6:$C$405,$AN1468)))</f>
        <v/>
      </c>
      <c r="X1468" s="14">
        <f>IF($AO1468="","","R"&amp;$C1468&amp;"."&amp;$D1468)</f>
        <v/>
      </c>
      <c r="Y1468" s="15">
        <f>IF($AN1468="","",IF(INDEX(職員マスタ!$K$6:$K$405,$AN1468)="","",INDEX(職員マスタ!$K$6:$K$405,$AN1468)))</f>
        <v/>
      </c>
      <c r="Z1468" s="14">
        <f>IF(OR($E1468="",$Y1468=""),"",IF($E1468&gt;=$Y1468,"×",IF($E1468&gt;=$Y1468*設定!$C$5,"△","○")))</f>
        <v/>
      </c>
      <c r="AA1468" s="15">
        <f>IF($Z1468="","",IF($Z1468="×",0,IF($Z1468="○",ROUNDDOWN($E1468*設定!$C$4,0),ROUNDDOWN($E1468*ROUND((9*$Y1468-9*$E1468)/(10*$E1468),4),0))))</f>
        <v/>
      </c>
      <c r="AB1468" s="13" t="n"/>
      <c r="AC1468" s="15">
        <f>IF($B1468="","",IF($AB1468&lt;&gt;"",$AB1468,IF($AA1468="","",IF($AA1468&lt;=設定!$C$3,0,$AA1468))))</f>
        <v/>
      </c>
      <c r="AD1468" s="14">
        <f>IF($B1468="","",IF(AND($AE1468&lt;&gt;"",$AG1468="",$AJ1468=""),"保留中",IF($AJ1468&lt;&gt;"",IF(N($AC1468)&gt;0,"支給済","不支給"),IF($AC1468="","要確認",IF($AC1468=0,"不支給","未処理")))))</f>
        <v/>
      </c>
      <c r="AE1468" s="12" t="n"/>
      <c r="AF1468" s="11" t="n"/>
      <c r="AG1468" s="11" t="n"/>
      <c r="AH1468" s="11" t="n"/>
      <c r="AI1468" s="14">
        <f>IF(AND($AD1468="保留中",$AF1468&lt;&gt;""),TODAY()-$AF1468,"")</f>
        <v/>
      </c>
      <c r="AJ1468" s="12" t="n"/>
      <c r="AK1468" s="14">
        <f>IF($B1468="","",IF($AO1468="","対象年月が未入力／","")&amp;IF($B1468="","",IF($AN1468="","職員マスタに未登録の職員番号／",IF($Y1468="","標準報酬月額が未登録／","")&amp;IF(AND($AO1468&lt;&gt;"",OR(AND(INDEX(職員マスタ!$G$6:$G$405,$AN1468)&lt;&gt;"",INDEX(職員マスタ!$G$6:$G$405,$AN1468)&gt;EOMONTH($AO1468,0)),AND(INDEX(職員マスタ!$H$6:$H$405,$AN1468)&lt;&gt;"",INDEX(職員マスタ!$H$6:$H$405,$AN1468)&lt;$AO1468))),"対象月が時短期間外／","")&amp;IF(AND(INDEX(職員マスタ!$F$6:$F$405,$AN1468)&lt;&gt;"",$AO1468&lt;&gt;"",INDEX(職員マスタ!$F$6:$F$405,$AN1468)&lt;$AO1468),"対象月に子が2歳到達済／","")&amp;IF(AND($H1468&lt;&gt;"",INDEX(職員マスタ!$B$6:$B$405,$AN1468)&lt;&gt;"",SUBSTITUTE(SUBSTITUTE($H1468," ","")," ","")&lt;&gt;SUBSTITUTE(SUBSTITUTE(INDEX(職員マスタ!$B$6:$B$405,$AN1468)," ","")," ","")),"氏名がマスタと相違／","")&amp;IF(AND($Q1468&lt;&gt;"",INDEX(職員マスタ!$E$6:$E$405,$AN1468)&lt;&gt;"",$Q1468&lt;&gt;INDEX(職員マスタ!$E$6:$E$405,$AN1468)),"子の生年月日がマスタと相違／","")&amp;IF(AND($L1468&lt;&gt;"",INDEX(職員マスタ!$G$6:$G$405,$AN1468)&lt;&gt;"",$L1468&lt;&gt;INDEX(職員マスタ!$G$6:$G$405,$AN1468)),"時短開始日がマスタと相違／","")&amp;IF(AND($M1468&lt;&gt;"",INDEX(職員マスタ!$H$6:$H$405,$AN1468)&lt;&gt;"",$M1468&lt;&gt;INDEX(職員マスタ!$H$6:$H$405,$AN1468)),"時短終了日がマスタと相違／","")))&amp;IF(AND($B1468&lt;&gt;"",$E1468=""),"報酬額が未入力／","")&amp;IF(N($U1468)&gt;0,"申請書に入力エラーが残っています／","")&amp;IF(AND($B1468&lt;&gt;"",$AO1468&lt;&gt;""),IF(COUNTIFS($B$6:$B$3005,$B1468,$C$6:$C$3005,$C1468,$D$6:$D$3005,$D1468)&gt;1,"同じ月の請求が重複しています／",""),"")&amp;IF(AND(N($E1468)&gt;0,$Z1468&lt;&gt;"",$Z1468&lt;&gt;"×",$AC1468=0,$AB1468=""),"計算額が下限以下のため不支給／",""))</f>
        <v/>
      </c>
      <c r="AL1468" s="12" t="n"/>
      <c r="AM1468" s="14">
        <f>IF($AD1468="保留中",COUNTIF($AD$6:$AD1468,"保留中"),"")</f>
        <v/>
      </c>
      <c r="AN1468" s="14">
        <f>IF($AO1468="","",IF(SUMPRODUCT(MAX((職員マスタ!$A$6:$A$405=$B1468)*(((職員マスタ!$G$6:$G$405="")+(職員マスタ!$G$6:$G$405&lt;=EOMONTH($AO1468,0)))&gt;0)*(((職員マスタ!$H$6:$H$405="")+(職員マスタ!$H$6:$H$405&gt;=$AO1468))&gt;0)*(ROW(職員マスタ!$A$6:$A$405)-5)))&gt;0,SUMPRODUCT(MAX((職員マスタ!$A$6:$A$405=$B1468)*(((職員マスタ!$G$6:$G$405="")+(職員マスタ!$G$6:$G$405&lt;=EOMONTH($AO1468,0)))&gt;0)*(((職員マスタ!$H$6:$H$405="")+(職員マスタ!$H$6:$H$405&gt;=$AO1468))&gt;0)*(ROW(職員マスタ!$A$6:$A$405)-5))),IFERROR(MATCH($B1468,職員マスタ!$A$6:$A$405,0),"")))</f>
        <v/>
      </c>
      <c r="AO1468" s="16">
        <f>IF(OR($B1468="",$C1468="",$D1468=""),"",DATE($C1468+2018,$D1468,1))</f>
        <v/>
      </c>
    </row>
    <row r="1469">
      <c r="A1469" s="11" t="n"/>
      <c r="B1469" s="12" t="n"/>
      <c r="C1469" s="12" t="n"/>
      <c r="D1469" s="12" t="n"/>
      <c r="E1469" s="13" t="n"/>
      <c r="F1469" s="12" t="n"/>
      <c r="G1469" s="13" t="n"/>
      <c r="H1469" s="12" t="n"/>
      <c r="I1469" s="12" t="n"/>
      <c r="J1469" s="12" t="n"/>
      <c r="K1469" s="12" t="n"/>
      <c r="L1469" s="11" t="n"/>
      <c r="M1469" s="11" t="n"/>
      <c r="N1469" s="11" t="n"/>
      <c r="O1469" s="11" t="n"/>
      <c r="P1469" s="12" t="n"/>
      <c r="Q1469" s="11" t="n"/>
      <c r="R1469" s="12" t="n"/>
      <c r="S1469" s="11" t="n"/>
      <c r="T1469" s="12" t="n"/>
      <c r="U1469" s="12" t="n"/>
      <c r="V1469" s="14">
        <f>IF($AN1469="",IF($B1469="","",$H1469),IF(INDEX(職員マスタ!$B$6:$B$405,$AN1469)="",$H1469,INDEX(職員マスタ!$B$6:$B$405,$AN1469)))</f>
        <v/>
      </c>
      <c r="W1469" s="14">
        <f>IF($AN1469="",IF($B1469="","",$R1469),IF(INDEX(職員マスタ!$C$6:$C$405,$AN1469)="",$R1469,INDEX(職員マスタ!$C$6:$C$405,$AN1469)))</f>
        <v/>
      </c>
      <c r="X1469" s="14">
        <f>IF($AO1469="","","R"&amp;$C1469&amp;"."&amp;$D1469)</f>
        <v/>
      </c>
      <c r="Y1469" s="15">
        <f>IF($AN1469="","",IF(INDEX(職員マスタ!$K$6:$K$405,$AN1469)="","",INDEX(職員マスタ!$K$6:$K$405,$AN1469)))</f>
        <v/>
      </c>
      <c r="Z1469" s="14">
        <f>IF(OR($E1469="",$Y1469=""),"",IF($E1469&gt;=$Y1469,"×",IF($E1469&gt;=$Y1469*設定!$C$5,"△","○")))</f>
        <v/>
      </c>
      <c r="AA1469" s="15">
        <f>IF($Z1469="","",IF($Z1469="×",0,IF($Z1469="○",ROUNDDOWN($E1469*設定!$C$4,0),ROUNDDOWN($E1469*ROUND((9*$Y1469-9*$E1469)/(10*$E1469),4),0))))</f>
        <v/>
      </c>
      <c r="AB1469" s="13" t="n"/>
      <c r="AC1469" s="15">
        <f>IF($B1469="","",IF($AB1469&lt;&gt;"",$AB1469,IF($AA1469="","",IF($AA1469&lt;=設定!$C$3,0,$AA1469))))</f>
        <v/>
      </c>
      <c r="AD1469" s="14">
        <f>IF($B1469="","",IF(AND($AE1469&lt;&gt;"",$AG1469="",$AJ1469=""),"保留中",IF($AJ1469&lt;&gt;"",IF(N($AC1469)&gt;0,"支給済","不支給"),IF($AC1469="","要確認",IF($AC1469=0,"不支給","未処理")))))</f>
        <v/>
      </c>
      <c r="AE1469" s="12" t="n"/>
      <c r="AF1469" s="11" t="n"/>
      <c r="AG1469" s="11" t="n"/>
      <c r="AH1469" s="11" t="n"/>
      <c r="AI1469" s="14">
        <f>IF(AND($AD1469="保留中",$AF1469&lt;&gt;""),TODAY()-$AF1469,"")</f>
        <v/>
      </c>
      <c r="AJ1469" s="12" t="n"/>
      <c r="AK1469" s="14">
        <f>IF($B1469="","",IF($AO1469="","対象年月が未入力／","")&amp;IF($B1469="","",IF($AN1469="","職員マスタに未登録の職員番号／",IF($Y1469="","標準報酬月額が未登録／","")&amp;IF(AND($AO1469&lt;&gt;"",OR(AND(INDEX(職員マスタ!$G$6:$G$405,$AN1469)&lt;&gt;"",INDEX(職員マスタ!$G$6:$G$405,$AN1469)&gt;EOMONTH($AO1469,0)),AND(INDEX(職員マスタ!$H$6:$H$405,$AN1469)&lt;&gt;"",INDEX(職員マスタ!$H$6:$H$405,$AN1469)&lt;$AO1469))),"対象月が時短期間外／","")&amp;IF(AND(INDEX(職員マスタ!$F$6:$F$405,$AN1469)&lt;&gt;"",$AO1469&lt;&gt;"",INDEX(職員マスタ!$F$6:$F$405,$AN1469)&lt;$AO1469),"対象月に子が2歳到達済／","")&amp;IF(AND($H1469&lt;&gt;"",INDEX(職員マスタ!$B$6:$B$405,$AN1469)&lt;&gt;"",SUBSTITUTE(SUBSTITUTE($H1469," ","")," ","")&lt;&gt;SUBSTITUTE(SUBSTITUTE(INDEX(職員マスタ!$B$6:$B$405,$AN1469)," ","")," ","")),"氏名がマスタと相違／","")&amp;IF(AND($Q1469&lt;&gt;"",INDEX(職員マスタ!$E$6:$E$405,$AN1469)&lt;&gt;"",$Q1469&lt;&gt;INDEX(職員マスタ!$E$6:$E$405,$AN1469)),"子の生年月日がマスタと相違／","")&amp;IF(AND($L1469&lt;&gt;"",INDEX(職員マスタ!$G$6:$G$405,$AN1469)&lt;&gt;"",$L1469&lt;&gt;INDEX(職員マスタ!$G$6:$G$405,$AN1469)),"時短開始日がマスタと相違／","")&amp;IF(AND($M1469&lt;&gt;"",INDEX(職員マスタ!$H$6:$H$405,$AN1469)&lt;&gt;"",$M1469&lt;&gt;INDEX(職員マスタ!$H$6:$H$405,$AN1469)),"時短終了日がマスタと相違／","")))&amp;IF(AND($B1469&lt;&gt;"",$E1469=""),"報酬額が未入力／","")&amp;IF(N($U1469)&gt;0,"申請書に入力エラーが残っています／","")&amp;IF(AND($B1469&lt;&gt;"",$AO1469&lt;&gt;""),IF(COUNTIFS($B$6:$B$3005,$B1469,$C$6:$C$3005,$C1469,$D$6:$D$3005,$D1469)&gt;1,"同じ月の請求が重複しています／",""),"")&amp;IF(AND(N($E1469)&gt;0,$Z1469&lt;&gt;"",$Z1469&lt;&gt;"×",$AC1469=0,$AB1469=""),"計算額が下限以下のため不支給／",""))</f>
        <v/>
      </c>
      <c r="AL1469" s="12" t="n"/>
      <c r="AM1469" s="14">
        <f>IF($AD1469="保留中",COUNTIF($AD$6:$AD1469,"保留中"),"")</f>
        <v/>
      </c>
      <c r="AN1469" s="14">
        <f>IF($AO1469="","",IF(SUMPRODUCT(MAX((職員マスタ!$A$6:$A$405=$B1469)*(((職員マスタ!$G$6:$G$405="")+(職員マスタ!$G$6:$G$405&lt;=EOMONTH($AO1469,0)))&gt;0)*(((職員マスタ!$H$6:$H$405="")+(職員マスタ!$H$6:$H$405&gt;=$AO1469))&gt;0)*(ROW(職員マスタ!$A$6:$A$405)-5)))&gt;0,SUMPRODUCT(MAX((職員マスタ!$A$6:$A$405=$B1469)*(((職員マスタ!$G$6:$G$405="")+(職員マスタ!$G$6:$G$405&lt;=EOMONTH($AO1469,0)))&gt;0)*(((職員マスタ!$H$6:$H$405="")+(職員マスタ!$H$6:$H$405&gt;=$AO1469))&gt;0)*(ROW(職員マスタ!$A$6:$A$405)-5))),IFERROR(MATCH($B1469,職員マスタ!$A$6:$A$405,0),"")))</f>
        <v/>
      </c>
      <c r="AO1469" s="16">
        <f>IF(OR($B1469="",$C1469="",$D1469=""),"",DATE($C1469+2018,$D1469,1))</f>
        <v/>
      </c>
    </row>
    <row r="1470">
      <c r="A1470" s="11" t="n"/>
      <c r="B1470" s="12" t="n"/>
      <c r="C1470" s="12" t="n"/>
      <c r="D1470" s="12" t="n"/>
      <c r="E1470" s="13" t="n"/>
      <c r="F1470" s="12" t="n"/>
      <c r="G1470" s="13" t="n"/>
      <c r="H1470" s="12" t="n"/>
      <c r="I1470" s="12" t="n"/>
      <c r="J1470" s="12" t="n"/>
      <c r="K1470" s="12" t="n"/>
      <c r="L1470" s="11" t="n"/>
      <c r="M1470" s="11" t="n"/>
      <c r="N1470" s="11" t="n"/>
      <c r="O1470" s="11" t="n"/>
      <c r="P1470" s="12" t="n"/>
      <c r="Q1470" s="11" t="n"/>
      <c r="R1470" s="12" t="n"/>
      <c r="S1470" s="11" t="n"/>
      <c r="T1470" s="12" t="n"/>
      <c r="U1470" s="12" t="n"/>
      <c r="V1470" s="14">
        <f>IF($AN1470="",IF($B1470="","",$H1470),IF(INDEX(職員マスタ!$B$6:$B$405,$AN1470)="",$H1470,INDEX(職員マスタ!$B$6:$B$405,$AN1470)))</f>
        <v/>
      </c>
      <c r="W1470" s="14">
        <f>IF($AN1470="",IF($B1470="","",$R1470),IF(INDEX(職員マスタ!$C$6:$C$405,$AN1470)="",$R1470,INDEX(職員マスタ!$C$6:$C$405,$AN1470)))</f>
        <v/>
      </c>
      <c r="X1470" s="14">
        <f>IF($AO1470="","","R"&amp;$C1470&amp;"."&amp;$D1470)</f>
        <v/>
      </c>
      <c r="Y1470" s="15">
        <f>IF($AN1470="","",IF(INDEX(職員マスタ!$K$6:$K$405,$AN1470)="","",INDEX(職員マスタ!$K$6:$K$405,$AN1470)))</f>
        <v/>
      </c>
      <c r="Z1470" s="14">
        <f>IF(OR($E1470="",$Y1470=""),"",IF($E1470&gt;=$Y1470,"×",IF($E1470&gt;=$Y1470*設定!$C$5,"△","○")))</f>
        <v/>
      </c>
      <c r="AA1470" s="15">
        <f>IF($Z1470="","",IF($Z1470="×",0,IF($Z1470="○",ROUNDDOWN($E1470*設定!$C$4,0),ROUNDDOWN($E1470*ROUND((9*$Y1470-9*$E1470)/(10*$E1470),4),0))))</f>
        <v/>
      </c>
      <c r="AB1470" s="13" t="n"/>
      <c r="AC1470" s="15">
        <f>IF($B1470="","",IF($AB1470&lt;&gt;"",$AB1470,IF($AA1470="","",IF($AA1470&lt;=設定!$C$3,0,$AA1470))))</f>
        <v/>
      </c>
      <c r="AD1470" s="14">
        <f>IF($B1470="","",IF(AND($AE1470&lt;&gt;"",$AG1470="",$AJ1470=""),"保留中",IF($AJ1470&lt;&gt;"",IF(N($AC1470)&gt;0,"支給済","不支給"),IF($AC1470="","要確認",IF($AC1470=0,"不支給","未処理")))))</f>
        <v/>
      </c>
      <c r="AE1470" s="12" t="n"/>
      <c r="AF1470" s="11" t="n"/>
      <c r="AG1470" s="11" t="n"/>
      <c r="AH1470" s="11" t="n"/>
      <c r="AI1470" s="14">
        <f>IF(AND($AD1470="保留中",$AF1470&lt;&gt;""),TODAY()-$AF1470,"")</f>
        <v/>
      </c>
      <c r="AJ1470" s="12" t="n"/>
      <c r="AK1470" s="14">
        <f>IF($B1470="","",IF($AO1470="","対象年月が未入力／","")&amp;IF($B1470="","",IF($AN1470="","職員マスタに未登録の職員番号／",IF($Y1470="","標準報酬月額が未登録／","")&amp;IF(AND($AO1470&lt;&gt;"",OR(AND(INDEX(職員マスタ!$G$6:$G$405,$AN1470)&lt;&gt;"",INDEX(職員マスタ!$G$6:$G$405,$AN1470)&gt;EOMONTH($AO1470,0)),AND(INDEX(職員マスタ!$H$6:$H$405,$AN1470)&lt;&gt;"",INDEX(職員マスタ!$H$6:$H$405,$AN1470)&lt;$AO1470))),"対象月が時短期間外／","")&amp;IF(AND(INDEX(職員マスタ!$F$6:$F$405,$AN1470)&lt;&gt;"",$AO1470&lt;&gt;"",INDEX(職員マスタ!$F$6:$F$405,$AN1470)&lt;$AO1470),"対象月に子が2歳到達済／","")&amp;IF(AND($H1470&lt;&gt;"",INDEX(職員マスタ!$B$6:$B$405,$AN1470)&lt;&gt;"",SUBSTITUTE(SUBSTITUTE($H1470," ","")," ","")&lt;&gt;SUBSTITUTE(SUBSTITUTE(INDEX(職員マスタ!$B$6:$B$405,$AN1470)," ","")," ","")),"氏名がマスタと相違／","")&amp;IF(AND($Q1470&lt;&gt;"",INDEX(職員マスタ!$E$6:$E$405,$AN1470)&lt;&gt;"",$Q1470&lt;&gt;INDEX(職員マスタ!$E$6:$E$405,$AN1470)),"子の生年月日がマスタと相違／","")&amp;IF(AND($L1470&lt;&gt;"",INDEX(職員マスタ!$G$6:$G$405,$AN1470)&lt;&gt;"",$L1470&lt;&gt;INDEX(職員マスタ!$G$6:$G$405,$AN1470)),"時短開始日がマスタと相違／","")&amp;IF(AND($M1470&lt;&gt;"",INDEX(職員マスタ!$H$6:$H$405,$AN1470)&lt;&gt;"",$M1470&lt;&gt;INDEX(職員マスタ!$H$6:$H$405,$AN1470)),"時短終了日がマスタと相違／","")))&amp;IF(AND($B1470&lt;&gt;"",$E1470=""),"報酬額が未入力／","")&amp;IF(N($U1470)&gt;0,"申請書に入力エラーが残っています／","")&amp;IF(AND($B1470&lt;&gt;"",$AO1470&lt;&gt;""),IF(COUNTIFS($B$6:$B$3005,$B1470,$C$6:$C$3005,$C1470,$D$6:$D$3005,$D1470)&gt;1,"同じ月の請求が重複しています／",""),"")&amp;IF(AND(N($E1470)&gt;0,$Z1470&lt;&gt;"",$Z1470&lt;&gt;"×",$AC1470=0,$AB1470=""),"計算額が下限以下のため不支給／",""))</f>
        <v/>
      </c>
      <c r="AL1470" s="12" t="n"/>
      <c r="AM1470" s="14">
        <f>IF($AD1470="保留中",COUNTIF($AD$6:$AD1470,"保留中"),"")</f>
        <v/>
      </c>
      <c r="AN1470" s="14">
        <f>IF($AO1470="","",IF(SUMPRODUCT(MAX((職員マスタ!$A$6:$A$405=$B1470)*(((職員マスタ!$G$6:$G$405="")+(職員マスタ!$G$6:$G$405&lt;=EOMONTH($AO1470,0)))&gt;0)*(((職員マスタ!$H$6:$H$405="")+(職員マスタ!$H$6:$H$405&gt;=$AO1470))&gt;0)*(ROW(職員マスタ!$A$6:$A$405)-5)))&gt;0,SUMPRODUCT(MAX((職員マスタ!$A$6:$A$405=$B1470)*(((職員マスタ!$G$6:$G$405="")+(職員マスタ!$G$6:$G$405&lt;=EOMONTH($AO1470,0)))&gt;0)*(((職員マスタ!$H$6:$H$405="")+(職員マスタ!$H$6:$H$405&gt;=$AO1470))&gt;0)*(ROW(職員マスタ!$A$6:$A$405)-5))),IFERROR(MATCH($B1470,職員マスタ!$A$6:$A$405,0),"")))</f>
        <v/>
      </c>
      <c r="AO1470" s="16">
        <f>IF(OR($B1470="",$C1470="",$D1470=""),"",DATE($C1470+2018,$D1470,1))</f>
        <v/>
      </c>
    </row>
    <row r="1471">
      <c r="A1471" s="11" t="n"/>
      <c r="B1471" s="12" t="n"/>
      <c r="C1471" s="12" t="n"/>
      <c r="D1471" s="12" t="n"/>
      <c r="E1471" s="13" t="n"/>
      <c r="F1471" s="12" t="n"/>
      <c r="G1471" s="13" t="n"/>
      <c r="H1471" s="12" t="n"/>
      <c r="I1471" s="12" t="n"/>
      <c r="J1471" s="12" t="n"/>
      <c r="K1471" s="12" t="n"/>
      <c r="L1471" s="11" t="n"/>
      <c r="M1471" s="11" t="n"/>
      <c r="N1471" s="11" t="n"/>
      <c r="O1471" s="11" t="n"/>
      <c r="P1471" s="12" t="n"/>
      <c r="Q1471" s="11" t="n"/>
      <c r="R1471" s="12" t="n"/>
      <c r="S1471" s="11" t="n"/>
      <c r="T1471" s="12" t="n"/>
      <c r="U1471" s="12" t="n"/>
      <c r="V1471" s="14">
        <f>IF($AN1471="",IF($B1471="","",$H1471),IF(INDEX(職員マスタ!$B$6:$B$405,$AN1471)="",$H1471,INDEX(職員マスタ!$B$6:$B$405,$AN1471)))</f>
        <v/>
      </c>
      <c r="W1471" s="14">
        <f>IF($AN1471="",IF($B1471="","",$R1471),IF(INDEX(職員マスタ!$C$6:$C$405,$AN1471)="",$R1471,INDEX(職員マスタ!$C$6:$C$405,$AN1471)))</f>
        <v/>
      </c>
      <c r="X1471" s="14">
        <f>IF($AO1471="","","R"&amp;$C1471&amp;"."&amp;$D1471)</f>
        <v/>
      </c>
      <c r="Y1471" s="15">
        <f>IF($AN1471="","",IF(INDEX(職員マスタ!$K$6:$K$405,$AN1471)="","",INDEX(職員マスタ!$K$6:$K$405,$AN1471)))</f>
        <v/>
      </c>
      <c r="Z1471" s="14">
        <f>IF(OR($E1471="",$Y1471=""),"",IF($E1471&gt;=$Y1471,"×",IF($E1471&gt;=$Y1471*設定!$C$5,"△","○")))</f>
        <v/>
      </c>
      <c r="AA1471" s="15">
        <f>IF($Z1471="","",IF($Z1471="×",0,IF($Z1471="○",ROUNDDOWN($E1471*設定!$C$4,0),ROUNDDOWN($E1471*ROUND((9*$Y1471-9*$E1471)/(10*$E1471),4),0))))</f>
        <v/>
      </c>
      <c r="AB1471" s="13" t="n"/>
      <c r="AC1471" s="15">
        <f>IF($B1471="","",IF($AB1471&lt;&gt;"",$AB1471,IF($AA1471="","",IF($AA1471&lt;=設定!$C$3,0,$AA1471))))</f>
        <v/>
      </c>
      <c r="AD1471" s="14">
        <f>IF($B1471="","",IF(AND($AE1471&lt;&gt;"",$AG1471="",$AJ1471=""),"保留中",IF($AJ1471&lt;&gt;"",IF(N($AC1471)&gt;0,"支給済","不支給"),IF($AC1471="","要確認",IF($AC1471=0,"不支給","未処理")))))</f>
        <v/>
      </c>
      <c r="AE1471" s="12" t="n"/>
      <c r="AF1471" s="11" t="n"/>
      <c r="AG1471" s="11" t="n"/>
      <c r="AH1471" s="11" t="n"/>
      <c r="AI1471" s="14">
        <f>IF(AND($AD1471="保留中",$AF1471&lt;&gt;""),TODAY()-$AF1471,"")</f>
        <v/>
      </c>
      <c r="AJ1471" s="12" t="n"/>
      <c r="AK1471" s="14">
        <f>IF($B1471="","",IF($AO1471="","対象年月が未入力／","")&amp;IF($B1471="","",IF($AN1471="","職員マスタに未登録の職員番号／",IF($Y1471="","標準報酬月額が未登録／","")&amp;IF(AND($AO1471&lt;&gt;"",OR(AND(INDEX(職員マスタ!$G$6:$G$405,$AN1471)&lt;&gt;"",INDEX(職員マスタ!$G$6:$G$405,$AN1471)&gt;EOMONTH($AO1471,0)),AND(INDEX(職員マスタ!$H$6:$H$405,$AN1471)&lt;&gt;"",INDEX(職員マスタ!$H$6:$H$405,$AN1471)&lt;$AO1471))),"対象月が時短期間外／","")&amp;IF(AND(INDEX(職員マスタ!$F$6:$F$405,$AN1471)&lt;&gt;"",$AO1471&lt;&gt;"",INDEX(職員マスタ!$F$6:$F$405,$AN1471)&lt;$AO1471),"対象月に子が2歳到達済／","")&amp;IF(AND($H1471&lt;&gt;"",INDEX(職員マスタ!$B$6:$B$405,$AN1471)&lt;&gt;"",SUBSTITUTE(SUBSTITUTE($H1471," ","")," ","")&lt;&gt;SUBSTITUTE(SUBSTITUTE(INDEX(職員マスタ!$B$6:$B$405,$AN1471)," ","")," ","")),"氏名がマスタと相違／","")&amp;IF(AND($Q1471&lt;&gt;"",INDEX(職員マスタ!$E$6:$E$405,$AN1471)&lt;&gt;"",$Q1471&lt;&gt;INDEX(職員マスタ!$E$6:$E$405,$AN1471)),"子の生年月日がマスタと相違／","")&amp;IF(AND($L1471&lt;&gt;"",INDEX(職員マスタ!$G$6:$G$405,$AN1471)&lt;&gt;"",$L1471&lt;&gt;INDEX(職員マスタ!$G$6:$G$405,$AN1471)),"時短開始日がマスタと相違／","")&amp;IF(AND($M1471&lt;&gt;"",INDEX(職員マスタ!$H$6:$H$405,$AN1471)&lt;&gt;"",$M1471&lt;&gt;INDEX(職員マスタ!$H$6:$H$405,$AN1471)),"時短終了日がマスタと相違／","")))&amp;IF(AND($B1471&lt;&gt;"",$E1471=""),"報酬額が未入力／","")&amp;IF(N($U1471)&gt;0,"申請書に入力エラーが残っています／","")&amp;IF(AND($B1471&lt;&gt;"",$AO1471&lt;&gt;""),IF(COUNTIFS($B$6:$B$3005,$B1471,$C$6:$C$3005,$C1471,$D$6:$D$3005,$D1471)&gt;1,"同じ月の請求が重複しています／",""),"")&amp;IF(AND(N($E1471)&gt;0,$Z1471&lt;&gt;"",$Z1471&lt;&gt;"×",$AC1471=0,$AB1471=""),"計算額が下限以下のため不支給／",""))</f>
        <v/>
      </c>
      <c r="AL1471" s="12" t="n"/>
      <c r="AM1471" s="14">
        <f>IF($AD1471="保留中",COUNTIF($AD$6:$AD1471,"保留中"),"")</f>
        <v/>
      </c>
      <c r="AN1471" s="14">
        <f>IF($AO1471="","",IF(SUMPRODUCT(MAX((職員マスタ!$A$6:$A$405=$B1471)*(((職員マスタ!$G$6:$G$405="")+(職員マスタ!$G$6:$G$405&lt;=EOMONTH($AO1471,0)))&gt;0)*(((職員マスタ!$H$6:$H$405="")+(職員マスタ!$H$6:$H$405&gt;=$AO1471))&gt;0)*(ROW(職員マスタ!$A$6:$A$405)-5)))&gt;0,SUMPRODUCT(MAX((職員マスタ!$A$6:$A$405=$B1471)*(((職員マスタ!$G$6:$G$405="")+(職員マスタ!$G$6:$G$405&lt;=EOMONTH($AO1471,0)))&gt;0)*(((職員マスタ!$H$6:$H$405="")+(職員マスタ!$H$6:$H$405&gt;=$AO1471))&gt;0)*(ROW(職員マスタ!$A$6:$A$405)-5))),IFERROR(MATCH($B1471,職員マスタ!$A$6:$A$405,0),"")))</f>
        <v/>
      </c>
      <c r="AO1471" s="16">
        <f>IF(OR($B1471="",$C1471="",$D1471=""),"",DATE($C1471+2018,$D1471,1))</f>
        <v/>
      </c>
    </row>
    <row r="1472">
      <c r="A1472" s="11" t="n"/>
      <c r="B1472" s="12" t="n"/>
      <c r="C1472" s="12" t="n"/>
      <c r="D1472" s="12" t="n"/>
      <c r="E1472" s="13" t="n"/>
      <c r="F1472" s="12" t="n"/>
      <c r="G1472" s="13" t="n"/>
      <c r="H1472" s="12" t="n"/>
      <c r="I1472" s="12" t="n"/>
      <c r="J1472" s="12" t="n"/>
      <c r="K1472" s="12" t="n"/>
      <c r="L1472" s="11" t="n"/>
      <c r="M1472" s="11" t="n"/>
      <c r="N1472" s="11" t="n"/>
      <c r="O1472" s="11" t="n"/>
      <c r="P1472" s="12" t="n"/>
      <c r="Q1472" s="11" t="n"/>
      <c r="R1472" s="12" t="n"/>
      <c r="S1472" s="11" t="n"/>
      <c r="T1472" s="12" t="n"/>
      <c r="U1472" s="12" t="n"/>
      <c r="V1472" s="14">
        <f>IF($AN1472="",IF($B1472="","",$H1472),IF(INDEX(職員マスタ!$B$6:$B$405,$AN1472)="",$H1472,INDEX(職員マスタ!$B$6:$B$405,$AN1472)))</f>
        <v/>
      </c>
      <c r="W1472" s="14">
        <f>IF($AN1472="",IF($B1472="","",$R1472),IF(INDEX(職員マスタ!$C$6:$C$405,$AN1472)="",$R1472,INDEX(職員マスタ!$C$6:$C$405,$AN1472)))</f>
        <v/>
      </c>
      <c r="X1472" s="14">
        <f>IF($AO1472="","","R"&amp;$C1472&amp;"."&amp;$D1472)</f>
        <v/>
      </c>
      <c r="Y1472" s="15">
        <f>IF($AN1472="","",IF(INDEX(職員マスタ!$K$6:$K$405,$AN1472)="","",INDEX(職員マスタ!$K$6:$K$405,$AN1472)))</f>
        <v/>
      </c>
      <c r="Z1472" s="14">
        <f>IF(OR($E1472="",$Y1472=""),"",IF($E1472&gt;=$Y1472,"×",IF($E1472&gt;=$Y1472*設定!$C$5,"△","○")))</f>
        <v/>
      </c>
      <c r="AA1472" s="15">
        <f>IF($Z1472="","",IF($Z1472="×",0,IF($Z1472="○",ROUNDDOWN($E1472*設定!$C$4,0),ROUNDDOWN($E1472*ROUND((9*$Y1472-9*$E1472)/(10*$E1472),4),0))))</f>
        <v/>
      </c>
      <c r="AB1472" s="13" t="n"/>
      <c r="AC1472" s="15">
        <f>IF($B1472="","",IF($AB1472&lt;&gt;"",$AB1472,IF($AA1472="","",IF($AA1472&lt;=設定!$C$3,0,$AA1472))))</f>
        <v/>
      </c>
      <c r="AD1472" s="14">
        <f>IF($B1472="","",IF(AND($AE1472&lt;&gt;"",$AG1472="",$AJ1472=""),"保留中",IF($AJ1472&lt;&gt;"",IF(N($AC1472)&gt;0,"支給済","不支給"),IF($AC1472="","要確認",IF($AC1472=0,"不支給","未処理")))))</f>
        <v/>
      </c>
      <c r="AE1472" s="12" t="n"/>
      <c r="AF1472" s="11" t="n"/>
      <c r="AG1472" s="11" t="n"/>
      <c r="AH1472" s="11" t="n"/>
      <c r="AI1472" s="14">
        <f>IF(AND($AD1472="保留中",$AF1472&lt;&gt;""),TODAY()-$AF1472,"")</f>
        <v/>
      </c>
      <c r="AJ1472" s="12" t="n"/>
      <c r="AK1472" s="14">
        <f>IF($B1472="","",IF($AO1472="","対象年月が未入力／","")&amp;IF($B1472="","",IF($AN1472="","職員マスタに未登録の職員番号／",IF($Y1472="","標準報酬月額が未登録／","")&amp;IF(AND($AO1472&lt;&gt;"",OR(AND(INDEX(職員マスタ!$G$6:$G$405,$AN1472)&lt;&gt;"",INDEX(職員マスタ!$G$6:$G$405,$AN1472)&gt;EOMONTH($AO1472,0)),AND(INDEX(職員マスタ!$H$6:$H$405,$AN1472)&lt;&gt;"",INDEX(職員マスタ!$H$6:$H$405,$AN1472)&lt;$AO1472))),"対象月が時短期間外／","")&amp;IF(AND(INDEX(職員マスタ!$F$6:$F$405,$AN1472)&lt;&gt;"",$AO1472&lt;&gt;"",INDEX(職員マスタ!$F$6:$F$405,$AN1472)&lt;$AO1472),"対象月に子が2歳到達済／","")&amp;IF(AND($H1472&lt;&gt;"",INDEX(職員マスタ!$B$6:$B$405,$AN1472)&lt;&gt;"",SUBSTITUTE(SUBSTITUTE($H1472," ","")," ","")&lt;&gt;SUBSTITUTE(SUBSTITUTE(INDEX(職員マスタ!$B$6:$B$405,$AN1472)," ","")," ","")),"氏名がマスタと相違／","")&amp;IF(AND($Q1472&lt;&gt;"",INDEX(職員マスタ!$E$6:$E$405,$AN1472)&lt;&gt;"",$Q1472&lt;&gt;INDEX(職員マスタ!$E$6:$E$405,$AN1472)),"子の生年月日がマスタと相違／","")&amp;IF(AND($L1472&lt;&gt;"",INDEX(職員マスタ!$G$6:$G$405,$AN1472)&lt;&gt;"",$L1472&lt;&gt;INDEX(職員マスタ!$G$6:$G$405,$AN1472)),"時短開始日がマスタと相違／","")&amp;IF(AND($M1472&lt;&gt;"",INDEX(職員マスタ!$H$6:$H$405,$AN1472)&lt;&gt;"",$M1472&lt;&gt;INDEX(職員マスタ!$H$6:$H$405,$AN1472)),"時短終了日がマスタと相違／","")))&amp;IF(AND($B1472&lt;&gt;"",$E1472=""),"報酬額が未入力／","")&amp;IF(N($U1472)&gt;0,"申請書に入力エラーが残っています／","")&amp;IF(AND($B1472&lt;&gt;"",$AO1472&lt;&gt;""),IF(COUNTIFS($B$6:$B$3005,$B1472,$C$6:$C$3005,$C1472,$D$6:$D$3005,$D1472)&gt;1,"同じ月の請求が重複しています／",""),"")&amp;IF(AND(N($E1472)&gt;0,$Z1472&lt;&gt;"",$Z1472&lt;&gt;"×",$AC1472=0,$AB1472=""),"計算額が下限以下のため不支給／",""))</f>
        <v/>
      </c>
      <c r="AL1472" s="12" t="n"/>
      <c r="AM1472" s="14">
        <f>IF($AD1472="保留中",COUNTIF($AD$6:$AD1472,"保留中"),"")</f>
        <v/>
      </c>
      <c r="AN1472" s="14">
        <f>IF($AO1472="","",IF(SUMPRODUCT(MAX((職員マスタ!$A$6:$A$405=$B1472)*(((職員マスタ!$G$6:$G$405="")+(職員マスタ!$G$6:$G$405&lt;=EOMONTH($AO1472,0)))&gt;0)*(((職員マスタ!$H$6:$H$405="")+(職員マスタ!$H$6:$H$405&gt;=$AO1472))&gt;0)*(ROW(職員マスタ!$A$6:$A$405)-5)))&gt;0,SUMPRODUCT(MAX((職員マスタ!$A$6:$A$405=$B1472)*(((職員マスタ!$G$6:$G$405="")+(職員マスタ!$G$6:$G$405&lt;=EOMONTH($AO1472,0)))&gt;0)*(((職員マスタ!$H$6:$H$405="")+(職員マスタ!$H$6:$H$405&gt;=$AO1472))&gt;0)*(ROW(職員マスタ!$A$6:$A$405)-5))),IFERROR(MATCH($B1472,職員マスタ!$A$6:$A$405,0),"")))</f>
        <v/>
      </c>
      <c r="AO1472" s="16">
        <f>IF(OR($B1472="",$C1472="",$D1472=""),"",DATE($C1472+2018,$D1472,1))</f>
        <v/>
      </c>
    </row>
    <row r="1473">
      <c r="A1473" s="11" t="n"/>
      <c r="B1473" s="12" t="n"/>
      <c r="C1473" s="12" t="n"/>
      <c r="D1473" s="12" t="n"/>
      <c r="E1473" s="13" t="n"/>
      <c r="F1473" s="12" t="n"/>
      <c r="G1473" s="13" t="n"/>
      <c r="H1473" s="12" t="n"/>
      <c r="I1473" s="12" t="n"/>
      <c r="J1473" s="12" t="n"/>
      <c r="K1473" s="12" t="n"/>
      <c r="L1473" s="11" t="n"/>
      <c r="M1473" s="11" t="n"/>
      <c r="N1473" s="11" t="n"/>
      <c r="O1473" s="11" t="n"/>
      <c r="P1473" s="12" t="n"/>
      <c r="Q1473" s="11" t="n"/>
      <c r="R1473" s="12" t="n"/>
      <c r="S1473" s="11" t="n"/>
      <c r="T1473" s="12" t="n"/>
      <c r="U1473" s="12" t="n"/>
      <c r="V1473" s="14">
        <f>IF($AN1473="",IF($B1473="","",$H1473),IF(INDEX(職員マスタ!$B$6:$B$405,$AN1473)="",$H1473,INDEX(職員マスタ!$B$6:$B$405,$AN1473)))</f>
        <v/>
      </c>
      <c r="W1473" s="14">
        <f>IF($AN1473="",IF($B1473="","",$R1473),IF(INDEX(職員マスタ!$C$6:$C$405,$AN1473)="",$R1473,INDEX(職員マスタ!$C$6:$C$405,$AN1473)))</f>
        <v/>
      </c>
      <c r="X1473" s="14">
        <f>IF($AO1473="","","R"&amp;$C1473&amp;"."&amp;$D1473)</f>
        <v/>
      </c>
      <c r="Y1473" s="15">
        <f>IF($AN1473="","",IF(INDEX(職員マスタ!$K$6:$K$405,$AN1473)="","",INDEX(職員マスタ!$K$6:$K$405,$AN1473)))</f>
        <v/>
      </c>
      <c r="Z1473" s="14">
        <f>IF(OR($E1473="",$Y1473=""),"",IF($E1473&gt;=$Y1473,"×",IF($E1473&gt;=$Y1473*設定!$C$5,"△","○")))</f>
        <v/>
      </c>
      <c r="AA1473" s="15">
        <f>IF($Z1473="","",IF($Z1473="×",0,IF($Z1473="○",ROUNDDOWN($E1473*設定!$C$4,0),ROUNDDOWN($E1473*ROUND((9*$Y1473-9*$E1473)/(10*$E1473),4),0))))</f>
        <v/>
      </c>
      <c r="AB1473" s="13" t="n"/>
      <c r="AC1473" s="15">
        <f>IF($B1473="","",IF($AB1473&lt;&gt;"",$AB1473,IF($AA1473="","",IF($AA1473&lt;=設定!$C$3,0,$AA1473))))</f>
        <v/>
      </c>
      <c r="AD1473" s="14">
        <f>IF($B1473="","",IF(AND($AE1473&lt;&gt;"",$AG1473="",$AJ1473=""),"保留中",IF($AJ1473&lt;&gt;"",IF(N($AC1473)&gt;0,"支給済","不支給"),IF($AC1473="","要確認",IF($AC1473=0,"不支給","未処理")))))</f>
        <v/>
      </c>
      <c r="AE1473" s="12" t="n"/>
      <c r="AF1473" s="11" t="n"/>
      <c r="AG1473" s="11" t="n"/>
      <c r="AH1473" s="11" t="n"/>
      <c r="AI1473" s="14">
        <f>IF(AND($AD1473="保留中",$AF1473&lt;&gt;""),TODAY()-$AF1473,"")</f>
        <v/>
      </c>
      <c r="AJ1473" s="12" t="n"/>
      <c r="AK1473" s="14">
        <f>IF($B1473="","",IF($AO1473="","対象年月が未入力／","")&amp;IF($B1473="","",IF($AN1473="","職員マスタに未登録の職員番号／",IF($Y1473="","標準報酬月額が未登録／","")&amp;IF(AND($AO1473&lt;&gt;"",OR(AND(INDEX(職員マスタ!$G$6:$G$405,$AN1473)&lt;&gt;"",INDEX(職員マスタ!$G$6:$G$405,$AN1473)&gt;EOMONTH($AO1473,0)),AND(INDEX(職員マスタ!$H$6:$H$405,$AN1473)&lt;&gt;"",INDEX(職員マスタ!$H$6:$H$405,$AN1473)&lt;$AO1473))),"対象月が時短期間外／","")&amp;IF(AND(INDEX(職員マスタ!$F$6:$F$405,$AN1473)&lt;&gt;"",$AO1473&lt;&gt;"",INDEX(職員マスタ!$F$6:$F$405,$AN1473)&lt;$AO1473),"対象月に子が2歳到達済／","")&amp;IF(AND($H1473&lt;&gt;"",INDEX(職員マスタ!$B$6:$B$405,$AN1473)&lt;&gt;"",SUBSTITUTE(SUBSTITUTE($H1473," ","")," ","")&lt;&gt;SUBSTITUTE(SUBSTITUTE(INDEX(職員マスタ!$B$6:$B$405,$AN1473)," ","")," ","")),"氏名がマスタと相違／","")&amp;IF(AND($Q1473&lt;&gt;"",INDEX(職員マスタ!$E$6:$E$405,$AN1473)&lt;&gt;"",$Q1473&lt;&gt;INDEX(職員マスタ!$E$6:$E$405,$AN1473)),"子の生年月日がマスタと相違／","")&amp;IF(AND($L1473&lt;&gt;"",INDEX(職員マスタ!$G$6:$G$405,$AN1473)&lt;&gt;"",$L1473&lt;&gt;INDEX(職員マスタ!$G$6:$G$405,$AN1473)),"時短開始日がマスタと相違／","")&amp;IF(AND($M1473&lt;&gt;"",INDEX(職員マスタ!$H$6:$H$405,$AN1473)&lt;&gt;"",$M1473&lt;&gt;INDEX(職員マスタ!$H$6:$H$405,$AN1473)),"時短終了日がマスタと相違／","")))&amp;IF(AND($B1473&lt;&gt;"",$E1473=""),"報酬額が未入力／","")&amp;IF(N($U1473)&gt;0,"申請書に入力エラーが残っています／","")&amp;IF(AND($B1473&lt;&gt;"",$AO1473&lt;&gt;""),IF(COUNTIFS($B$6:$B$3005,$B1473,$C$6:$C$3005,$C1473,$D$6:$D$3005,$D1473)&gt;1,"同じ月の請求が重複しています／",""),"")&amp;IF(AND(N($E1473)&gt;0,$Z1473&lt;&gt;"",$Z1473&lt;&gt;"×",$AC1473=0,$AB1473=""),"計算額が下限以下のため不支給／",""))</f>
        <v/>
      </c>
      <c r="AL1473" s="12" t="n"/>
      <c r="AM1473" s="14">
        <f>IF($AD1473="保留中",COUNTIF($AD$6:$AD1473,"保留中"),"")</f>
        <v/>
      </c>
      <c r="AN1473" s="14">
        <f>IF($AO1473="","",IF(SUMPRODUCT(MAX((職員マスタ!$A$6:$A$405=$B1473)*(((職員マスタ!$G$6:$G$405="")+(職員マスタ!$G$6:$G$405&lt;=EOMONTH($AO1473,0)))&gt;0)*(((職員マスタ!$H$6:$H$405="")+(職員マスタ!$H$6:$H$405&gt;=$AO1473))&gt;0)*(ROW(職員マスタ!$A$6:$A$405)-5)))&gt;0,SUMPRODUCT(MAX((職員マスタ!$A$6:$A$405=$B1473)*(((職員マスタ!$G$6:$G$405="")+(職員マスタ!$G$6:$G$405&lt;=EOMONTH($AO1473,0)))&gt;0)*(((職員マスタ!$H$6:$H$405="")+(職員マスタ!$H$6:$H$405&gt;=$AO1473))&gt;0)*(ROW(職員マスタ!$A$6:$A$405)-5))),IFERROR(MATCH($B1473,職員マスタ!$A$6:$A$405,0),"")))</f>
        <v/>
      </c>
      <c r="AO1473" s="16">
        <f>IF(OR($B1473="",$C1473="",$D1473=""),"",DATE($C1473+2018,$D1473,1))</f>
        <v/>
      </c>
    </row>
    <row r="1474">
      <c r="A1474" s="11" t="n"/>
      <c r="B1474" s="12" t="n"/>
      <c r="C1474" s="12" t="n"/>
      <c r="D1474" s="12" t="n"/>
      <c r="E1474" s="13" t="n"/>
      <c r="F1474" s="12" t="n"/>
      <c r="G1474" s="13" t="n"/>
      <c r="H1474" s="12" t="n"/>
      <c r="I1474" s="12" t="n"/>
      <c r="J1474" s="12" t="n"/>
      <c r="K1474" s="12" t="n"/>
      <c r="L1474" s="11" t="n"/>
      <c r="M1474" s="11" t="n"/>
      <c r="N1474" s="11" t="n"/>
      <c r="O1474" s="11" t="n"/>
      <c r="P1474" s="12" t="n"/>
      <c r="Q1474" s="11" t="n"/>
      <c r="R1474" s="12" t="n"/>
      <c r="S1474" s="11" t="n"/>
      <c r="T1474" s="12" t="n"/>
      <c r="U1474" s="12" t="n"/>
      <c r="V1474" s="14">
        <f>IF($AN1474="",IF($B1474="","",$H1474),IF(INDEX(職員マスタ!$B$6:$B$405,$AN1474)="",$H1474,INDEX(職員マスタ!$B$6:$B$405,$AN1474)))</f>
        <v/>
      </c>
      <c r="W1474" s="14">
        <f>IF($AN1474="",IF($B1474="","",$R1474),IF(INDEX(職員マスタ!$C$6:$C$405,$AN1474)="",$R1474,INDEX(職員マスタ!$C$6:$C$405,$AN1474)))</f>
        <v/>
      </c>
      <c r="X1474" s="14">
        <f>IF($AO1474="","","R"&amp;$C1474&amp;"."&amp;$D1474)</f>
        <v/>
      </c>
      <c r="Y1474" s="15">
        <f>IF($AN1474="","",IF(INDEX(職員マスタ!$K$6:$K$405,$AN1474)="","",INDEX(職員マスタ!$K$6:$K$405,$AN1474)))</f>
        <v/>
      </c>
      <c r="Z1474" s="14">
        <f>IF(OR($E1474="",$Y1474=""),"",IF($E1474&gt;=$Y1474,"×",IF($E1474&gt;=$Y1474*設定!$C$5,"△","○")))</f>
        <v/>
      </c>
      <c r="AA1474" s="15">
        <f>IF($Z1474="","",IF($Z1474="×",0,IF($Z1474="○",ROUNDDOWN($E1474*設定!$C$4,0),ROUNDDOWN($E1474*ROUND((9*$Y1474-9*$E1474)/(10*$E1474),4),0))))</f>
        <v/>
      </c>
      <c r="AB1474" s="13" t="n"/>
      <c r="AC1474" s="15">
        <f>IF($B1474="","",IF($AB1474&lt;&gt;"",$AB1474,IF($AA1474="","",IF($AA1474&lt;=設定!$C$3,0,$AA1474))))</f>
        <v/>
      </c>
      <c r="AD1474" s="14">
        <f>IF($B1474="","",IF(AND($AE1474&lt;&gt;"",$AG1474="",$AJ1474=""),"保留中",IF($AJ1474&lt;&gt;"",IF(N($AC1474)&gt;0,"支給済","不支給"),IF($AC1474="","要確認",IF($AC1474=0,"不支給","未処理")))))</f>
        <v/>
      </c>
      <c r="AE1474" s="12" t="n"/>
      <c r="AF1474" s="11" t="n"/>
      <c r="AG1474" s="11" t="n"/>
      <c r="AH1474" s="11" t="n"/>
      <c r="AI1474" s="14">
        <f>IF(AND($AD1474="保留中",$AF1474&lt;&gt;""),TODAY()-$AF1474,"")</f>
        <v/>
      </c>
      <c r="AJ1474" s="12" t="n"/>
      <c r="AK1474" s="14">
        <f>IF($B1474="","",IF($AO1474="","対象年月が未入力／","")&amp;IF($B1474="","",IF($AN1474="","職員マスタに未登録の職員番号／",IF($Y1474="","標準報酬月額が未登録／","")&amp;IF(AND($AO1474&lt;&gt;"",OR(AND(INDEX(職員マスタ!$G$6:$G$405,$AN1474)&lt;&gt;"",INDEX(職員マスタ!$G$6:$G$405,$AN1474)&gt;EOMONTH($AO1474,0)),AND(INDEX(職員マスタ!$H$6:$H$405,$AN1474)&lt;&gt;"",INDEX(職員マスタ!$H$6:$H$405,$AN1474)&lt;$AO1474))),"対象月が時短期間外／","")&amp;IF(AND(INDEX(職員マスタ!$F$6:$F$405,$AN1474)&lt;&gt;"",$AO1474&lt;&gt;"",INDEX(職員マスタ!$F$6:$F$405,$AN1474)&lt;$AO1474),"対象月に子が2歳到達済／","")&amp;IF(AND($H1474&lt;&gt;"",INDEX(職員マスタ!$B$6:$B$405,$AN1474)&lt;&gt;"",SUBSTITUTE(SUBSTITUTE($H1474," ","")," ","")&lt;&gt;SUBSTITUTE(SUBSTITUTE(INDEX(職員マスタ!$B$6:$B$405,$AN1474)," ","")," ","")),"氏名がマスタと相違／","")&amp;IF(AND($Q1474&lt;&gt;"",INDEX(職員マスタ!$E$6:$E$405,$AN1474)&lt;&gt;"",$Q1474&lt;&gt;INDEX(職員マスタ!$E$6:$E$405,$AN1474)),"子の生年月日がマスタと相違／","")&amp;IF(AND($L1474&lt;&gt;"",INDEX(職員マスタ!$G$6:$G$405,$AN1474)&lt;&gt;"",$L1474&lt;&gt;INDEX(職員マスタ!$G$6:$G$405,$AN1474)),"時短開始日がマスタと相違／","")&amp;IF(AND($M1474&lt;&gt;"",INDEX(職員マスタ!$H$6:$H$405,$AN1474)&lt;&gt;"",$M1474&lt;&gt;INDEX(職員マスタ!$H$6:$H$405,$AN1474)),"時短終了日がマスタと相違／","")))&amp;IF(AND($B1474&lt;&gt;"",$E1474=""),"報酬額が未入力／","")&amp;IF(N($U1474)&gt;0,"申請書に入力エラーが残っています／","")&amp;IF(AND($B1474&lt;&gt;"",$AO1474&lt;&gt;""),IF(COUNTIFS($B$6:$B$3005,$B1474,$C$6:$C$3005,$C1474,$D$6:$D$3005,$D1474)&gt;1,"同じ月の請求が重複しています／",""),"")&amp;IF(AND(N($E1474)&gt;0,$Z1474&lt;&gt;"",$Z1474&lt;&gt;"×",$AC1474=0,$AB1474=""),"計算額が下限以下のため不支給／",""))</f>
        <v/>
      </c>
      <c r="AL1474" s="12" t="n"/>
      <c r="AM1474" s="14">
        <f>IF($AD1474="保留中",COUNTIF($AD$6:$AD1474,"保留中"),"")</f>
        <v/>
      </c>
      <c r="AN1474" s="14">
        <f>IF($AO1474="","",IF(SUMPRODUCT(MAX((職員マスタ!$A$6:$A$405=$B1474)*(((職員マスタ!$G$6:$G$405="")+(職員マスタ!$G$6:$G$405&lt;=EOMONTH($AO1474,0)))&gt;0)*(((職員マスタ!$H$6:$H$405="")+(職員マスタ!$H$6:$H$405&gt;=$AO1474))&gt;0)*(ROW(職員マスタ!$A$6:$A$405)-5)))&gt;0,SUMPRODUCT(MAX((職員マスタ!$A$6:$A$405=$B1474)*(((職員マスタ!$G$6:$G$405="")+(職員マスタ!$G$6:$G$405&lt;=EOMONTH($AO1474,0)))&gt;0)*(((職員マスタ!$H$6:$H$405="")+(職員マスタ!$H$6:$H$405&gt;=$AO1474))&gt;0)*(ROW(職員マスタ!$A$6:$A$405)-5))),IFERROR(MATCH($B1474,職員マスタ!$A$6:$A$405,0),"")))</f>
        <v/>
      </c>
      <c r="AO1474" s="16">
        <f>IF(OR($B1474="",$C1474="",$D1474=""),"",DATE($C1474+2018,$D1474,1))</f>
        <v/>
      </c>
    </row>
    <row r="1475">
      <c r="A1475" s="11" t="n"/>
      <c r="B1475" s="12" t="n"/>
      <c r="C1475" s="12" t="n"/>
      <c r="D1475" s="12" t="n"/>
      <c r="E1475" s="13" t="n"/>
      <c r="F1475" s="12" t="n"/>
      <c r="G1475" s="13" t="n"/>
      <c r="H1475" s="12" t="n"/>
      <c r="I1475" s="12" t="n"/>
      <c r="J1475" s="12" t="n"/>
      <c r="K1475" s="12" t="n"/>
      <c r="L1475" s="11" t="n"/>
      <c r="M1475" s="11" t="n"/>
      <c r="N1475" s="11" t="n"/>
      <c r="O1475" s="11" t="n"/>
      <c r="P1475" s="12" t="n"/>
      <c r="Q1475" s="11" t="n"/>
      <c r="R1475" s="12" t="n"/>
      <c r="S1475" s="11" t="n"/>
      <c r="T1475" s="12" t="n"/>
      <c r="U1475" s="12" t="n"/>
      <c r="V1475" s="14">
        <f>IF($AN1475="",IF($B1475="","",$H1475),IF(INDEX(職員マスタ!$B$6:$B$405,$AN1475)="",$H1475,INDEX(職員マスタ!$B$6:$B$405,$AN1475)))</f>
        <v/>
      </c>
      <c r="W1475" s="14">
        <f>IF($AN1475="",IF($B1475="","",$R1475),IF(INDEX(職員マスタ!$C$6:$C$405,$AN1475)="",$R1475,INDEX(職員マスタ!$C$6:$C$405,$AN1475)))</f>
        <v/>
      </c>
      <c r="X1475" s="14">
        <f>IF($AO1475="","","R"&amp;$C1475&amp;"."&amp;$D1475)</f>
        <v/>
      </c>
      <c r="Y1475" s="15">
        <f>IF($AN1475="","",IF(INDEX(職員マスタ!$K$6:$K$405,$AN1475)="","",INDEX(職員マスタ!$K$6:$K$405,$AN1475)))</f>
        <v/>
      </c>
      <c r="Z1475" s="14">
        <f>IF(OR($E1475="",$Y1475=""),"",IF($E1475&gt;=$Y1475,"×",IF($E1475&gt;=$Y1475*設定!$C$5,"△","○")))</f>
        <v/>
      </c>
      <c r="AA1475" s="15">
        <f>IF($Z1475="","",IF($Z1475="×",0,IF($Z1475="○",ROUNDDOWN($E1475*設定!$C$4,0),ROUNDDOWN($E1475*ROUND((9*$Y1475-9*$E1475)/(10*$E1475),4),0))))</f>
        <v/>
      </c>
      <c r="AB1475" s="13" t="n"/>
      <c r="AC1475" s="15">
        <f>IF($B1475="","",IF($AB1475&lt;&gt;"",$AB1475,IF($AA1475="","",IF($AA1475&lt;=設定!$C$3,0,$AA1475))))</f>
        <v/>
      </c>
      <c r="AD1475" s="14">
        <f>IF($B1475="","",IF(AND($AE1475&lt;&gt;"",$AG1475="",$AJ1475=""),"保留中",IF($AJ1475&lt;&gt;"",IF(N($AC1475)&gt;0,"支給済","不支給"),IF($AC1475="","要確認",IF($AC1475=0,"不支給","未処理")))))</f>
        <v/>
      </c>
      <c r="AE1475" s="12" t="n"/>
      <c r="AF1475" s="11" t="n"/>
      <c r="AG1475" s="11" t="n"/>
      <c r="AH1475" s="11" t="n"/>
      <c r="AI1475" s="14">
        <f>IF(AND($AD1475="保留中",$AF1475&lt;&gt;""),TODAY()-$AF1475,"")</f>
        <v/>
      </c>
      <c r="AJ1475" s="12" t="n"/>
      <c r="AK1475" s="14">
        <f>IF($B1475="","",IF($AO1475="","対象年月が未入力／","")&amp;IF($B1475="","",IF($AN1475="","職員マスタに未登録の職員番号／",IF($Y1475="","標準報酬月額が未登録／","")&amp;IF(AND($AO1475&lt;&gt;"",OR(AND(INDEX(職員マスタ!$G$6:$G$405,$AN1475)&lt;&gt;"",INDEX(職員マスタ!$G$6:$G$405,$AN1475)&gt;EOMONTH($AO1475,0)),AND(INDEX(職員マスタ!$H$6:$H$405,$AN1475)&lt;&gt;"",INDEX(職員マスタ!$H$6:$H$405,$AN1475)&lt;$AO1475))),"対象月が時短期間外／","")&amp;IF(AND(INDEX(職員マスタ!$F$6:$F$405,$AN1475)&lt;&gt;"",$AO1475&lt;&gt;"",INDEX(職員マスタ!$F$6:$F$405,$AN1475)&lt;$AO1475),"対象月に子が2歳到達済／","")&amp;IF(AND($H1475&lt;&gt;"",INDEX(職員マスタ!$B$6:$B$405,$AN1475)&lt;&gt;"",SUBSTITUTE(SUBSTITUTE($H1475," ","")," ","")&lt;&gt;SUBSTITUTE(SUBSTITUTE(INDEX(職員マスタ!$B$6:$B$405,$AN1475)," ","")," ","")),"氏名がマスタと相違／","")&amp;IF(AND($Q1475&lt;&gt;"",INDEX(職員マスタ!$E$6:$E$405,$AN1475)&lt;&gt;"",$Q1475&lt;&gt;INDEX(職員マスタ!$E$6:$E$405,$AN1475)),"子の生年月日がマスタと相違／","")&amp;IF(AND($L1475&lt;&gt;"",INDEX(職員マスタ!$G$6:$G$405,$AN1475)&lt;&gt;"",$L1475&lt;&gt;INDEX(職員マスタ!$G$6:$G$405,$AN1475)),"時短開始日がマスタと相違／","")&amp;IF(AND($M1475&lt;&gt;"",INDEX(職員マスタ!$H$6:$H$405,$AN1475)&lt;&gt;"",$M1475&lt;&gt;INDEX(職員マスタ!$H$6:$H$405,$AN1475)),"時短終了日がマスタと相違／","")))&amp;IF(AND($B1475&lt;&gt;"",$E1475=""),"報酬額が未入力／","")&amp;IF(N($U1475)&gt;0,"申請書に入力エラーが残っています／","")&amp;IF(AND($B1475&lt;&gt;"",$AO1475&lt;&gt;""),IF(COUNTIFS($B$6:$B$3005,$B1475,$C$6:$C$3005,$C1475,$D$6:$D$3005,$D1475)&gt;1,"同じ月の請求が重複しています／",""),"")&amp;IF(AND(N($E1475)&gt;0,$Z1475&lt;&gt;"",$Z1475&lt;&gt;"×",$AC1475=0,$AB1475=""),"計算額が下限以下のため不支給／",""))</f>
        <v/>
      </c>
      <c r="AL1475" s="12" t="n"/>
      <c r="AM1475" s="14">
        <f>IF($AD1475="保留中",COUNTIF($AD$6:$AD1475,"保留中"),"")</f>
        <v/>
      </c>
      <c r="AN1475" s="14">
        <f>IF($AO1475="","",IF(SUMPRODUCT(MAX((職員マスタ!$A$6:$A$405=$B1475)*(((職員マスタ!$G$6:$G$405="")+(職員マスタ!$G$6:$G$405&lt;=EOMONTH($AO1475,0)))&gt;0)*(((職員マスタ!$H$6:$H$405="")+(職員マスタ!$H$6:$H$405&gt;=$AO1475))&gt;0)*(ROW(職員マスタ!$A$6:$A$405)-5)))&gt;0,SUMPRODUCT(MAX((職員マスタ!$A$6:$A$405=$B1475)*(((職員マスタ!$G$6:$G$405="")+(職員マスタ!$G$6:$G$405&lt;=EOMONTH($AO1475,0)))&gt;0)*(((職員マスタ!$H$6:$H$405="")+(職員マスタ!$H$6:$H$405&gt;=$AO1475))&gt;0)*(ROW(職員マスタ!$A$6:$A$405)-5))),IFERROR(MATCH($B1475,職員マスタ!$A$6:$A$405,0),"")))</f>
        <v/>
      </c>
      <c r="AO1475" s="16">
        <f>IF(OR($B1475="",$C1475="",$D1475=""),"",DATE($C1475+2018,$D1475,1))</f>
        <v/>
      </c>
    </row>
    <row r="1476">
      <c r="A1476" s="11" t="n"/>
      <c r="B1476" s="12" t="n"/>
      <c r="C1476" s="12" t="n"/>
      <c r="D1476" s="12" t="n"/>
      <c r="E1476" s="13" t="n"/>
      <c r="F1476" s="12" t="n"/>
      <c r="G1476" s="13" t="n"/>
      <c r="H1476" s="12" t="n"/>
      <c r="I1476" s="12" t="n"/>
      <c r="J1476" s="12" t="n"/>
      <c r="K1476" s="12" t="n"/>
      <c r="L1476" s="11" t="n"/>
      <c r="M1476" s="11" t="n"/>
      <c r="N1476" s="11" t="n"/>
      <c r="O1476" s="11" t="n"/>
      <c r="P1476" s="12" t="n"/>
      <c r="Q1476" s="11" t="n"/>
      <c r="R1476" s="12" t="n"/>
      <c r="S1476" s="11" t="n"/>
      <c r="T1476" s="12" t="n"/>
      <c r="U1476" s="12" t="n"/>
      <c r="V1476" s="14">
        <f>IF($AN1476="",IF($B1476="","",$H1476),IF(INDEX(職員マスタ!$B$6:$B$405,$AN1476)="",$H1476,INDEX(職員マスタ!$B$6:$B$405,$AN1476)))</f>
        <v/>
      </c>
      <c r="W1476" s="14">
        <f>IF($AN1476="",IF($B1476="","",$R1476),IF(INDEX(職員マスタ!$C$6:$C$405,$AN1476)="",$R1476,INDEX(職員マスタ!$C$6:$C$405,$AN1476)))</f>
        <v/>
      </c>
      <c r="X1476" s="14">
        <f>IF($AO1476="","","R"&amp;$C1476&amp;"."&amp;$D1476)</f>
        <v/>
      </c>
      <c r="Y1476" s="15">
        <f>IF($AN1476="","",IF(INDEX(職員マスタ!$K$6:$K$405,$AN1476)="","",INDEX(職員マスタ!$K$6:$K$405,$AN1476)))</f>
        <v/>
      </c>
      <c r="Z1476" s="14">
        <f>IF(OR($E1476="",$Y1476=""),"",IF($E1476&gt;=$Y1476,"×",IF($E1476&gt;=$Y1476*設定!$C$5,"△","○")))</f>
        <v/>
      </c>
      <c r="AA1476" s="15">
        <f>IF($Z1476="","",IF($Z1476="×",0,IF($Z1476="○",ROUNDDOWN($E1476*設定!$C$4,0),ROUNDDOWN($E1476*ROUND((9*$Y1476-9*$E1476)/(10*$E1476),4),0))))</f>
        <v/>
      </c>
      <c r="AB1476" s="13" t="n"/>
      <c r="AC1476" s="15">
        <f>IF($B1476="","",IF($AB1476&lt;&gt;"",$AB1476,IF($AA1476="","",IF($AA1476&lt;=設定!$C$3,0,$AA1476))))</f>
        <v/>
      </c>
      <c r="AD1476" s="14">
        <f>IF($B1476="","",IF(AND($AE1476&lt;&gt;"",$AG1476="",$AJ1476=""),"保留中",IF($AJ1476&lt;&gt;"",IF(N($AC1476)&gt;0,"支給済","不支給"),IF($AC1476="","要確認",IF($AC1476=0,"不支給","未処理")))))</f>
        <v/>
      </c>
      <c r="AE1476" s="12" t="n"/>
      <c r="AF1476" s="11" t="n"/>
      <c r="AG1476" s="11" t="n"/>
      <c r="AH1476" s="11" t="n"/>
      <c r="AI1476" s="14">
        <f>IF(AND($AD1476="保留中",$AF1476&lt;&gt;""),TODAY()-$AF1476,"")</f>
        <v/>
      </c>
      <c r="AJ1476" s="12" t="n"/>
      <c r="AK1476" s="14">
        <f>IF($B1476="","",IF($AO1476="","対象年月が未入力／","")&amp;IF($B1476="","",IF($AN1476="","職員マスタに未登録の職員番号／",IF($Y1476="","標準報酬月額が未登録／","")&amp;IF(AND($AO1476&lt;&gt;"",OR(AND(INDEX(職員マスタ!$G$6:$G$405,$AN1476)&lt;&gt;"",INDEX(職員マスタ!$G$6:$G$405,$AN1476)&gt;EOMONTH($AO1476,0)),AND(INDEX(職員マスタ!$H$6:$H$405,$AN1476)&lt;&gt;"",INDEX(職員マスタ!$H$6:$H$405,$AN1476)&lt;$AO1476))),"対象月が時短期間外／","")&amp;IF(AND(INDEX(職員マスタ!$F$6:$F$405,$AN1476)&lt;&gt;"",$AO1476&lt;&gt;"",INDEX(職員マスタ!$F$6:$F$405,$AN1476)&lt;$AO1476),"対象月に子が2歳到達済／","")&amp;IF(AND($H1476&lt;&gt;"",INDEX(職員マスタ!$B$6:$B$405,$AN1476)&lt;&gt;"",SUBSTITUTE(SUBSTITUTE($H1476," ","")," ","")&lt;&gt;SUBSTITUTE(SUBSTITUTE(INDEX(職員マスタ!$B$6:$B$405,$AN1476)," ","")," ","")),"氏名がマスタと相違／","")&amp;IF(AND($Q1476&lt;&gt;"",INDEX(職員マスタ!$E$6:$E$405,$AN1476)&lt;&gt;"",$Q1476&lt;&gt;INDEX(職員マスタ!$E$6:$E$405,$AN1476)),"子の生年月日がマスタと相違／","")&amp;IF(AND($L1476&lt;&gt;"",INDEX(職員マスタ!$G$6:$G$405,$AN1476)&lt;&gt;"",$L1476&lt;&gt;INDEX(職員マスタ!$G$6:$G$405,$AN1476)),"時短開始日がマスタと相違／","")&amp;IF(AND($M1476&lt;&gt;"",INDEX(職員マスタ!$H$6:$H$405,$AN1476)&lt;&gt;"",$M1476&lt;&gt;INDEX(職員マスタ!$H$6:$H$405,$AN1476)),"時短終了日がマスタと相違／","")))&amp;IF(AND($B1476&lt;&gt;"",$E1476=""),"報酬額が未入力／","")&amp;IF(N($U1476)&gt;0,"申請書に入力エラーが残っています／","")&amp;IF(AND($B1476&lt;&gt;"",$AO1476&lt;&gt;""),IF(COUNTIFS($B$6:$B$3005,$B1476,$C$6:$C$3005,$C1476,$D$6:$D$3005,$D1476)&gt;1,"同じ月の請求が重複しています／",""),"")&amp;IF(AND(N($E1476)&gt;0,$Z1476&lt;&gt;"",$Z1476&lt;&gt;"×",$AC1476=0,$AB1476=""),"計算額が下限以下のため不支給／",""))</f>
        <v/>
      </c>
      <c r="AL1476" s="12" t="n"/>
      <c r="AM1476" s="14">
        <f>IF($AD1476="保留中",COUNTIF($AD$6:$AD1476,"保留中"),"")</f>
        <v/>
      </c>
      <c r="AN1476" s="14">
        <f>IF($AO1476="","",IF(SUMPRODUCT(MAX((職員マスタ!$A$6:$A$405=$B1476)*(((職員マスタ!$G$6:$G$405="")+(職員マスタ!$G$6:$G$405&lt;=EOMONTH($AO1476,0)))&gt;0)*(((職員マスタ!$H$6:$H$405="")+(職員マスタ!$H$6:$H$405&gt;=$AO1476))&gt;0)*(ROW(職員マスタ!$A$6:$A$405)-5)))&gt;0,SUMPRODUCT(MAX((職員マスタ!$A$6:$A$405=$B1476)*(((職員マスタ!$G$6:$G$405="")+(職員マスタ!$G$6:$G$405&lt;=EOMONTH($AO1476,0)))&gt;0)*(((職員マスタ!$H$6:$H$405="")+(職員マスタ!$H$6:$H$405&gt;=$AO1476))&gt;0)*(ROW(職員マスタ!$A$6:$A$405)-5))),IFERROR(MATCH($B1476,職員マスタ!$A$6:$A$405,0),"")))</f>
        <v/>
      </c>
      <c r="AO1476" s="16">
        <f>IF(OR($B1476="",$C1476="",$D1476=""),"",DATE($C1476+2018,$D1476,1))</f>
        <v/>
      </c>
    </row>
    <row r="1477">
      <c r="A1477" s="11" t="n"/>
      <c r="B1477" s="12" t="n"/>
      <c r="C1477" s="12" t="n"/>
      <c r="D1477" s="12" t="n"/>
      <c r="E1477" s="13" t="n"/>
      <c r="F1477" s="12" t="n"/>
      <c r="G1477" s="13" t="n"/>
      <c r="H1477" s="12" t="n"/>
      <c r="I1477" s="12" t="n"/>
      <c r="J1477" s="12" t="n"/>
      <c r="K1477" s="12" t="n"/>
      <c r="L1477" s="11" t="n"/>
      <c r="M1477" s="11" t="n"/>
      <c r="N1477" s="11" t="n"/>
      <c r="O1477" s="11" t="n"/>
      <c r="P1477" s="12" t="n"/>
      <c r="Q1477" s="11" t="n"/>
      <c r="R1477" s="12" t="n"/>
      <c r="S1477" s="11" t="n"/>
      <c r="T1477" s="12" t="n"/>
      <c r="U1477" s="12" t="n"/>
      <c r="V1477" s="14">
        <f>IF($AN1477="",IF($B1477="","",$H1477),IF(INDEX(職員マスタ!$B$6:$B$405,$AN1477)="",$H1477,INDEX(職員マスタ!$B$6:$B$405,$AN1477)))</f>
        <v/>
      </c>
      <c r="W1477" s="14">
        <f>IF($AN1477="",IF($B1477="","",$R1477),IF(INDEX(職員マスタ!$C$6:$C$405,$AN1477)="",$R1477,INDEX(職員マスタ!$C$6:$C$405,$AN1477)))</f>
        <v/>
      </c>
      <c r="X1477" s="14">
        <f>IF($AO1477="","","R"&amp;$C1477&amp;"."&amp;$D1477)</f>
        <v/>
      </c>
      <c r="Y1477" s="15">
        <f>IF($AN1477="","",IF(INDEX(職員マスタ!$K$6:$K$405,$AN1477)="","",INDEX(職員マスタ!$K$6:$K$405,$AN1477)))</f>
        <v/>
      </c>
      <c r="Z1477" s="14">
        <f>IF(OR($E1477="",$Y1477=""),"",IF($E1477&gt;=$Y1477,"×",IF($E1477&gt;=$Y1477*設定!$C$5,"△","○")))</f>
        <v/>
      </c>
      <c r="AA1477" s="15">
        <f>IF($Z1477="","",IF($Z1477="×",0,IF($Z1477="○",ROUNDDOWN($E1477*設定!$C$4,0),ROUNDDOWN($E1477*ROUND((9*$Y1477-9*$E1477)/(10*$E1477),4),0))))</f>
        <v/>
      </c>
      <c r="AB1477" s="13" t="n"/>
      <c r="AC1477" s="15">
        <f>IF($B1477="","",IF($AB1477&lt;&gt;"",$AB1477,IF($AA1477="","",IF($AA1477&lt;=設定!$C$3,0,$AA1477))))</f>
        <v/>
      </c>
      <c r="AD1477" s="14">
        <f>IF($B1477="","",IF(AND($AE1477&lt;&gt;"",$AG1477="",$AJ1477=""),"保留中",IF($AJ1477&lt;&gt;"",IF(N($AC1477)&gt;0,"支給済","不支給"),IF($AC1477="","要確認",IF($AC1477=0,"不支給","未処理")))))</f>
        <v/>
      </c>
      <c r="AE1477" s="12" t="n"/>
      <c r="AF1477" s="11" t="n"/>
      <c r="AG1477" s="11" t="n"/>
      <c r="AH1477" s="11" t="n"/>
      <c r="AI1477" s="14">
        <f>IF(AND($AD1477="保留中",$AF1477&lt;&gt;""),TODAY()-$AF1477,"")</f>
        <v/>
      </c>
      <c r="AJ1477" s="12" t="n"/>
      <c r="AK1477" s="14">
        <f>IF($B1477="","",IF($AO1477="","対象年月が未入力／","")&amp;IF($B1477="","",IF($AN1477="","職員マスタに未登録の職員番号／",IF($Y1477="","標準報酬月額が未登録／","")&amp;IF(AND($AO1477&lt;&gt;"",OR(AND(INDEX(職員マスタ!$G$6:$G$405,$AN1477)&lt;&gt;"",INDEX(職員マスタ!$G$6:$G$405,$AN1477)&gt;EOMONTH($AO1477,0)),AND(INDEX(職員マスタ!$H$6:$H$405,$AN1477)&lt;&gt;"",INDEX(職員マスタ!$H$6:$H$405,$AN1477)&lt;$AO1477))),"対象月が時短期間外／","")&amp;IF(AND(INDEX(職員マスタ!$F$6:$F$405,$AN1477)&lt;&gt;"",$AO1477&lt;&gt;"",INDEX(職員マスタ!$F$6:$F$405,$AN1477)&lt;$AO1477),"対象月に子が2歳到達済／","")&amp;IF(AND($H1477&lt;&gt;"",INDEX(職員マスタ!$B$6:$B$405,$AN1477)&lt;&gt;"",SUBSTITUTE(SUBSTITUTE($H1477," ","")," ","")&lt;&gt;SUBSTITUTE(SUBSTITUTE(INDEX(職員マスタ!$B$6:$B$405,$AN1477)," ","")," ","")),"氏名がマスタと相違／","")&amp;IF(AND($Q1477&lt;&gt;"",INDEX(職員マスタ!$E$6:$E$405,$AN1477)&lt;&gt;"",$Q1477&lt;&gt;INDEX(職員マスタ!$E$6:$E$405,$AN1477)),"子の生年月日がマスタと相違／","")&amp;IF(AND($L1477&lt;&gt;"",INDEX(職員マスタ!$G$6:$G$405,$AN1477)&lt;&gt;"",$L1477&lt;&gt;INDEX(職員マスタ!$G$6:$G$405,$AN1477)),"時短開始日がマスタと相違／","")&amp;IF(AND($M1477&lt;&gt;"",INDEX(職員マスタ!$H$6:$H$405,$AN1477)&lt;&gt;"",$M1477&lt;&gt;INDEX(職員マスタ!$H$6:$H$405,$AN1477)),"時短終了日がマスタと相違／","")))&amp;IF(AND($B1477&lt;&gt;"",$E1477=""),"報酬額が未入力／","")&amp;IF(N($U1477)&gt;0,"申請書に入力エラーが残っています／","")&amp;IF(AND($B1477&lt;&gt;"",$AO1477&lt;&gt;""),IF(COUNTIFS($B$6:$B$3005,$B1477,$C$6:$C$3005,$C1477,$D$6:$D$3005,$D1477)&gt;1,"同じ月の請求が重複しています／",""),"")&amp;IF(AND(N($E1477)&gt;0,$Z1477&lt;&gt;"",$Z1477&lt;&gt;"×",$AC1477=0,$AB1477=""),"計算額が下限以下のため不支給／",""))</f>
        <v/>
      </c>
      <c r="AL1477" s="12" t="n"/>
      <c r="AM1477" s="14">
        <f>IF($AD1477="保留中",COUNTIF($AD$6:$AD1477,"保留中"),"")</f>
        <v/>
      </c>
      <c r="AN1477" s="14">
        <f>IF($AO1477="","",IF(SUMPRODUCT(MAX((職員マスタ!$A$6:$A$405=$B1477)*(((職員マスタ!$G$6:$G$405="")+(職員マスタ!$G$6:$G$405&lt;=EOMONTH($AO1477,0)))&gt;0)*(((職員マスタ!$H$6:$H$405="")+(職員マスタ!$H$6:$H$405&gt;=$AO1477))&gt;0)*(ROW(職員マスタ!$A$6:$A$405)-5)))&gt;0,SUMPRODUCT(MAX((職員マスタ!$A$6:$A$405=$B1477)*(((職員マスタ!$G$6:$G$405="")+(職員マスタ!$G$6:$G$405&lt;=EOMONTH($AO1477,0)))&gt;0)*(((職員マスタ!$H$6:$H$405="")+(職員マスタ!$H$6:$H$405&gt;=$AO1477))&gt;0)*(ROW(職員マスタ!$A$6:$A$405)-5))),IFERROR(MATCH($B1477,職員マスタ!$A$6:$A$405,0),"")))</f>
        <v/>
      </c>
      <c r="AO1477" s="16">
        <f>IF(OR($B1477="",$C1477="",$D1477=""),"",DATE($C1477+2018,$D1477,1))</f>
        <v/>
      </c>
    </row>
    <row r="1478">
      <c r="A1478" s="11" t="n"/>
      <c r="B1478" s="12" t="n"/>
      <c r="C1478" s="12" t="n"/>
      <c r="D1478" s="12" t="n"/>
      <c r="E1478" s="13" t="n"/>
      <c r="F1478" s="12" t="n"/>
      <c r="G1478" s="13" t="n"/>
      <c r="H1478" s="12" t="n"/>
      <c r="I1478" s="12" t="n"/>
      <c r="J1478" s="12" t="n"/>
      <c r="K1478" s="12" t="n"/>
      <c r="L1478" s="11" t="n"/>
      <c r="M1478" s="11" t="n"/>
      <c r="N1478" s="11" t="n"/>
      <c r="O1478" s="11" t="n"/>
      <c r="P1478" s="12" t="n"/>
      <c r="Q1478" s="11" t="n"/>
      <c r="R1478" s="12" t="n"/>
      <c r="S1478" s="11" t="n"/>
      <c r="T1478" s="12" t="n"/>
      <c r="U1478" s="12" t="n"/>
      <c r="V1478" s="14">
        <f>IF($AN1478="",IF($B1478="","",$H1478),IF(INDEX(職員マスタ!$B$6:$B$405,$AN1478)="",$H1478,INDEX(職員マスタ!$B$6:$B$405,$AN1478)))</f>
        <v/>
      </c>
      <c r="W1478" s="14">
        <f>IF($AN1478="",IF($B1478="","",$R1478),IF(INDEX(職員マスタ!$C$6:$C$405,$AN1478)="",$R1478,INDEX(職員マスタ!$C$6:$C$405,$AN1478)))</f>
        <v/>
      </c>
      <c r="X1478" s="14">
        <f>IF($AO1478="","","R"&amp;$C1478&amp;"."&amp;$D1478)</f>
        <v/>
      </c>
      <c r="Y1478" s="15">
        <f>IF($AN1478="","",IF(INDEX(職員マスタ!$K$6:$K$405,$AN1478)="","",INDEX(職員マスタ!$K$6:$K$405,$AN1478)))</f>
        <v/>
      </c>
      <c r="Z1478" s="14">
        <f>IF(OR($E1478="",$Y1478=""),"",IF($E1478&gt;=$Y1478,"×",IF($E1478&gt;=$Y1478*設定!$C$5,"△","○")))</f>
        <v/>
      </c>
      <c r="AA1478" s="15">
        <f>IF($Z1478="","",IF($Z1478="×",0,IF($Z1478="○",ROUNDDOWN($E1478*設定!$C$4,0),ROUNDDOWN($E1478*ROUND((9*$Y1478-9*$E1478)/(10*$E1478),4),0))))</f>
        <v/>
      </c>
      <c r="AB1478" s="13" t="n"/>
      <c r="AC1478" s="15">
        <f>IF($B1478="","",IF($AB1478&lt;&gt;"",$AB1478,IF($AA1478="","",IF($AA1478&lt;=設定!$C$3,0,$AA1478))))</f>
        <v/>
      </c>
      <c r="AD1478" s="14">
        <f>IF($B1478="","",IF(AND($AE1478&lt;&gt;"",$AG1478="",$AJ1478=""),"保留中",IF($AJ1478&lt;&gt;"",IF(N($AC1478)&gt;0,"支給済","不支給"),IF($AC1478="","要確認",IF($AC1478=0,"不支給","未処理")))))</f>
        <v/>
      </c>
      <c r="AE1478" s="12" t="n"/>
      <c r="AF1478" s="11" t="n"/>
      <c r="AG1478" s="11" t="n"/>
      <c r="AH1478" s="11" t="n"/>
      <c r="AI1478" s="14">
        <f>IF(AND($AD1478="保留中",$AF1478&lt;&gt;""),TODAY()-$AF1478,"")</f>
        <v/>
      </c>
      <c r="AJ1478" s="12" t="n"/>
      <c r="AK1478" s="14">
        <f>IF($B1478="","",IF($AO1478="","対象年月が未入力／","")&amp;IF($B1478="","",IF($AN1478="","職員マスタに未登録の職員番号／",IF($Y1478="","標準報酬月額が未登録／","")&amp;IF(AND($AO1478&lt;&gt;"",OR(AND(INDEX(職員マスタ!$G$6:$G$405,$AN1478)&lt;&gt;"",INDEX(職員マスタ!$G$6:$G$405,$AN1478)&gt;EOMONTH($AO1478,0)),AND(INDEX(職員マスタ!$H$6:$H$405,$AN1478)&lt;&gt;"",INDEX(職員マスタ!$H$6:$H$405,$AN1478)&lt;$AO1478))),"対象月が時短期間外／","")&amp;IF(AND(INDEX(職員マスタ!$F$6:$F$405,$AN1478)&lt;&gt;"",$AO1478&lt;&gt;"",INDEX(職員マスタ!$F$6:$F$405,$AN1478)&lt;$AO1478),"対象月に子が2歳到達済／","")&amp;IF(AND($H1478&lt;&gt;"",INDEX(職員マスタ!$B$6:$B$405,$AN1478)&lt;&gt;"",SUBSTITUTE(SUBSTITUTE($H1478," ","")," ","")&lt;&gt;SUBSTITUTE(SUBSTITUTE(INDEX(職員マスタ!$B$6:$B$405,$AN1478)," ","")," ","")),"氏名がマスタと相違／","")&amp;IF(AND($Q1478&lt;&gt;"",INDEX(職員マスタ!$E$6:$E$405,$AN1478)&lt;&gt;"",$Q1478&lt;&gt;INDEX(職員マスタ!$E$6:$E$405,$AN1478)),"子の生年月日がマスタと相違／","")&amp;IF(AND($L1478&lt;&gt;"",INDEX(職員マスタ!$G$6:$G$405,$AN1478)&lt;&gt;"",$L1478&lt;&gt;INDEX(職員マスタ!$G$6:$G$405,$AN1478)),"時短開始日がマスタと相違／","")&amp;IF(AND($M1478&lt;&gt;"",INDEX(職員マスタ!$H$6:$H$405,$AN1478)&lt;&gt;"",$M1478&lt;&gt;INDEX(職員マスタ!$H$6:$H$405,$AN1478)),"時短終了日がマスタと相違／","")))&amp;IF(AND($B1478&lt;&gt;"",$E1478=""),"報酬額が未入力／","")&amp;IF(N($U1478)&gt;0,"申請書に入力エラーが残っています／","")&amp;IF(AND($B1478&lt;&gt;"",$AO1478&lt;&gt;""),IF(COUNTIFS($B$6:$B$3005,$B1478,$C$6:$C$3005,$C1478,$D$6:$D$3005,$D1478)&gt;1,"同じ月の請求が重複しています／",""),"")&amp;IF(AND(N($E1478)&gt;0,$Z1478&lt;&gt;"",$Z1478&lt;&gt;"×",$AC1478=0,$AB1478=""),"計算額が下限以下のため不支給／",""))</f>
        <v/>
      </c>
      <c r="AL1478" s="12" t="n"/>
      <c r="AM1478" s="14">
        <f>IF($AD1478="保留中",COUNTIF($AD$6:$AD1478,"保留中"),"")</f>
        <v/>
      </c>
      <c r="AN1478" s="14">
        <f>IF($AO1478="","",IF(SUMPRODUCT(MAX((職員マスタ!$A$6:$A$405=$B1478)*(((職員マスタ!$G$6:$G$405="")+(職員マスタ!$G$6:$G$405&lt;=EOMONTH($AO1478,0)))&gt;0)*(((職員マスタ!$H$6:$H$405="")+(職員マスタ!$H$6:$H$405&gt;=$AO1478))&gt;0)*(ROW(職員マスタ!$A$6:$A$405)-5)))&gt;0,SUMPRODUCT(MAX((職員マスタ!$A$6:$A$405=$B1478)*(((職員マスタ!$G$6:$G$405="")+(職員マスタ!$G$6:$G$405&lt;=EOMONTH($AO1478,0)))&gt;0)*(((職員マスタ!$H$6:$H$405="")+(職員マスタ!$H$6:$H$405&gt;=$AO1478))&gt;0)*(ROW(職員マスタ!$A$6:$A$405)-5))),IFERROR(MATCH($B1478,職員マスタ!$A$6:$A$405,0),"")))</f>
        <v/>
      </c>
      <c r="AO1478" s="16">
        <f>IF(OR($B1478="",$C1478="",$D1478=""),"",DATE($C1478+2018,$D1478,1))</f>
        <v/>
      </c>
    </row>
    <row r="1479">
      <c r="A1479" s="11" t="n"/>
      <c r="B1479" s="12" t="n"/>
      <c r="C1479" s="12" t="n"/>
      <c r="D1479" s="12" t="n"/>
      <c r="E1479" s="13" t="n"/>
      <c r="F1479" s="12" t="n"/>
      <c r="G1479" s="13" t="n"/>
      <c r="H1479" s="12" t="n"/>
      <c r="I1479" s="12" t="n"/>
      <c r="J1479" s="12" t="n"/>
      <c r="K1479" s="12" t="n"/>
      <c r="L1479" s="11" t="n"/>
      <c r="M1479" s="11" t="n"/>
      <c r="N1479" s="11" t="n"/>
      <c r="O1479" s="11" t="n"/>
      <c r="P1479" s="12" t="n"/>
      <c r="Q1479" s="11" t="n"/>
      <c r="R1479" s="12" t="n"/>
      <c r="S1479" s="11" t="n"/>
      <c r="T1479" s="12" t="n"/>
      <c r="U1479" s="12" t="n"/>
      <c r="V1479" s="14">
        <f>IF($AN1479="",IF($B1479="","",$H1479),IF(INDEX(職員マスタ!$B$6:$B$405,$AN1479)="",$H1479,INDEX(職員マスタ!$B$6:$B$405,$AN1479)))</f>
        <v/>
      </c>
      <c r="W1479" s="14">
        <f>IF($AN1479="",IF($B1479="","",$R1479),IF(INDEX(職員マスタ!$C$6:$C$405,$AN1479)="",$R1479,INDEX(職員マスタ!$C$6:$C$405,$AN1479)))</f>
        <v/>
      </c>
      <c r="X1479" s="14">
        <f>IF($AO1479="","","R"&amp;$C1479&amp;"."&amp;$D1479)</f>
        <v/>
      </c>
      <c r="Y1479" s="15">
        <f>IF($AN1479="","",IF(INDEX(職員マスタ!$K$6:$K$405,$AN1479)="","",INDEX(職員マスタ!$K$6:$K$405,$AN1479)))</f>
        <v/>
      </c>
      <c r="Z1479" s="14">
        <f>IF(OR($E1479="",$Y1479=""),"",IF($E1479&gt;=$Y1479,"×",IF($E1479&gt;=$Y1479*設定!$C$5,"△","○")))</f>
        <v/>
      </c>
      <c r="AA1479" s="15">
        <f>IF($Z1479="","",IF($Z1479="×",0,IF($Z1479="○",ROUNDDOWN($E1479*設定!$C$4,0),ROUNDDOWN($E1479*ROUND((9*$Y1479-9*$E1479)/(10*$E1479),4),0))))</f>
        <v/>
      </c>
      <c r="AB1479" s="13" t="n"/>
      <c r="AC1479" s="15">
        <f>IF($B1479="","",IF($AB1479&lt;&gt;"",$AB1479,IF($AA1479="","",IF($AA1479&lt;=設定!$C$3,0,$AA1479))))</f>
        <v/>
      </c>
      <c r="AD1479" s="14">
        <f>IF($B1479="","",IF(AND($AE1479&lt;&gt;"",$AG1479="",$AJ1479=""),"保留中",IF($AJ1479&lt;&gt;"",IF(N($AC1479)&gt;0,"支給済","不支給"),IF($AC1479="","要確認",IF($AC1479=0,"不支給","未処理")))))</f>
        <v/>
      </c>
      <c r="AE1479" s="12" t="n"/>
      <c r="AF1479" s="11" t="n"/>
      <c r="AG1479" s="11" t="n"/>
      <c r="AH1479" s="11" t="n"/>
      <c r="AI1479" s="14">
        <f>IF(AND($AD1479="保留中",$AF1479&lt;&gt;""),TODAY()-$AF1479,"")</f>
        <v/>
      </c>
      <c r="AJ1479" s="12" t="n"/>
      <c r="AK1479" s="14">
        <f>IF($B1479="","",IF($AO1479="","対象年月が未入力／","")&amp;IF($B1479="","",IF($AN1479="","職員マスタに未登録の職員番号／",IF($Y1479="","標準報酬月額が未登録／","")&amp;IF(AND($AO1479&lt;&gt;"",OR(AND(INDEX(職員マスタ!$G$6:$G$405,$AN1479)&lt;&gt;"",INDEX(職員マスタ!$G$6:$G$405,$AN1479)&gt;EOMONTH($AO1479,0)),AND(INDEX(職員マスタ!$H$6:$H$405,$AN1479)&lt;&gt;"",INDEX(職員マスタ!$H$6:$H$405,$AN1479)&lt;$AO1479))),"対象月が時短期間外／","")&amp;IF(AND(INDEX(職員マスタ!$F$6:$F$405,$AN1479)&lt;&gt;"",$AO1479&lt;&gt;"",INDEX(職員マスタ!$F$6:$F$405,$AN1479)&lt;$AO1479),"対象月に子が2歳到達済／","")&amp;IF(AND($H1479&lt;&gt;"",INDEX(職員マスタ!$B$6:$B$405,$AN1479)&lt;&gt;"",SUBSTITUTE(SUBSTITUTE($H1479," ","")," ","")&lt;&gt;SUBSTITUTE(SUBSTITUTE(INDEX(職員マスタ!$B$6:$B$405,$AN1479)," ","")," ","")),"氏名がマスタと相違／","")&amp;IF(AND($Q1479&lt;&gt;"",INDEX(職員マスタ!$E$6:$E$405,$AN1479)&lt;&gt;"",$Q1479&lt;&gt;INDEX(職員マスタ!$E$6:$E$405,$AN1479)),"子の生年月日がマスタと相違／","")&amp;IF(AND($L1479&lt;&gt;"",INDEX(職員マスタ!$G$6:$G$405,$AN1479)&lt;&gt;"",$L1479&lt;&gt;INDEX(職員マスタ!$G$6:$G$405,$AN1479)),"時短開始日がマスタと相違／","")&amp;IF(AND($M1479&lt;&gt;"",INDEX(職員マスタ!$H$6:$H$405,$AN1479)&lt;&gt;"",$M1479&lt;&gt;INDEX(職員マスタ!$H$6:$H$405,$AN1479)),"時短終了日がマスタと相違／","")))&amp;IF(AND($B1479&lt;&gt;"",$E1479=""),"報酬額が未入力／","")&amp;IF(N($U1479)&gt;0,"申請書に入力エラーが残っています／","")&amp;IF(AND($B1479&lt;&gt;"",$AO1479&lt;&gt;""),IF(COUNTIFS($B$6:$B$3005,$B1479,$C$6:$C$3005,$C1479,$D$6:$D$3005,$D1479)&gt;1,"同じ月の請求が重複しています／",""),"")&amp;IF(AND(N($E1479)&gt;0,$Z1479&lt;&gt;"",$Z1479&lt;&gt;"×",$AC1479=0,$AB1479=""),"計算額が下限以下のため不支給／",""))</f>
        <v/>
      </c>
      <c r="AL1479" s="12" t="n"/>
      <c r="AM1479" s="14">
        <f>IF($AD1479="保留中",COUNTIF($AD$6:$AD1479,"保留中"),"")</f>
        <v/>
      </c>
      <c r="AN1479" s="14">
        <f>IF($AO1479="","",IF(SUMPRODUCT(MAX((職員マスタ!$A$6:$A$405=$B1479)*(((職員マスタ!$G$6:$G$405="")+(職員マスタ!$G$6:$G$405&lt;=EOMONTH($AO1479,0)))&gt;0)*(((職員マスタ!$H$6:$H$405="")+(職員マスタ!$H$6:$H$405&gt;=$AO1479))&gt;0)*(ROW(職員マスタ!$A$6:$A$405)-5)))&gt;0,SUMPRODUCT(MAX((職員マスタ!$A$6:$A$405=$B1479)*(((職員マスタ!$G$6:$G$405="")+(職員マスタ!$G$6:$G$405&lt;=EOMONTH($AO1479,0)))&gt;0)*(((職員マスタ!$H$6:$H$405="")+(職員マスタ!$H$6:$H$405&gt;=$AO1479))&gt;0)*(ROW(職員マスタ!$A$6:$A$405)-5))),IFERROR(MATCH($B1479,職員マスタ!$A$6:$A$405,0),"")))</f>
        <v/>
      </c>
      <c r="AO1479" s="16">
        <f>IF(OR($B1479="",$C1479="",$D1479=""),"",DATE($C1479+2018,$D1479,1))</f>
        <v/>
      </c>
    </row>
    <row r="1480">
      <c r="A1480" s="11" t="n"/>
      <c r="B1480" s="12" t="n"/>
      <c r="C1480" s="12" t="n"/>
      <c r="D1480" s="12" t="n"/>
      <c r="E1480" s="13" t="n"/>
      <c r="F1480" s="12" t="n"/>
      <c r="G1480" s="13" t="n"/>
      <c r="H1480" s="12" t="n"/>
      <c r="I1480" s="12" t="n"/>
      <c r="J1480" s="12" t="n"/>
      <c r="K1480" s="12" t="n"/>
      <c r="L1480" s="11" t="n"/>
      <c r="M1480" s="11" t="n"/>
      <c r="N1480" s="11" t="n"/>
      <c r="O1480" s="11" t="n"/>
      <c r="P1480" s="12" t="n"/>
      <c r="Q1480" s="11" t="n"/>
      <c r="R1480" s="12" t="n"/>
      <c r="S1480" s="11" t="n"/>
      <c r="T1480" s="12" t="n"/>
      <c r="U1480" s="12" t="n"/>
      <c r="V1480" s="14">
        <f>IF($AN1480="",IF($B1480="","",$H1480),IF(INDEX(職員マスタ!$B$6:$B$405,$AN1480)="",$H1480,INDEX(職員マスタ!$B$6:$B$405,$AN1480)))</f>
        <v/>
      </c>
      <c r="W1480" s="14">
        <f>IF($AN1480="",IF($B1480="","",$R1480),IF(INDEX(職員マスタ!$C$6:$C$405,$AN1480)="",$R1480,INDEX(職員マスタ!$C$6:$C$405,$AN1480)))</f>
        <v/>
      </c>
      <c r="X1480" s="14">
        <f>IF($AO1480="","","R"&amp;$C1480&amp;"."&amp;$D1480)</f>
        <v/>
      </c>
      <c r="Y1480" s="15">
        <f>IF($AN1480="","",IF(INDEX(職員マスタ!$K$6:$K$405,$AN1480)="","",INDEX(職員マスタ!$K$6:$K$405,$AN1480)))</f>
        <v/>
      </c>
      <c r="Z1480" s="14">
        <f>IF(OR($E1480="",$Y1480=""),"",IF($E1480&gt;=$Y1480,"×",IF($E1480&gt;=$Y1480*設定!$C$5,"△","○")))</f>
        <v/>
      </c>
      <c r="AA1480" s="15">
        <f>IF($Z1480="","",IF($Z1480="×",0,IF($Z1480="○",ROUNDDOWN($E1480*設定!$C$4,0),ROUNDDOWN($E1480*ROUND((9*$Y1480-9*$E1480)/(10*$E1480),4),0))))</f>
        <v/>
      </c>
      <c r="AB1480" s="13" t="n"/>
      <c r="AC1480" s="15">
        <f>IF($B1480="","",IF($AB1480&lt;&gt;"",$AB1480,IF($AA1480="","",IF($AA1480&lt;=設定!$C$3,0,$AA1480))))</f>
        <v/>
      </c>
      <c r="AD1480" s="14">
        <f>IF($B1480="","",IF(AND($AE1480&lt;&gt;"",$AG1480="",$AJ1480=""),"保留中",IF($AJ1480&lt;&gt;"",IF(N($AC1480)&gt;0,"支給済","不支給"),IF($AC1480="","要確認",IF($AC1480=0,"不支給","未処理")))))</f>
        <v/>
      </c>
      <c r="AE1480" s="12" t="n"/>
      <c r="AF1480" s="11" t="n"/>
      <c r="AG1480" s="11" t="n"/>
      <c r="AH1480" s="11" t="n"/>
      <c r="AI1480" s="14">
        <f>IF(AND($AD1480="保留中",$AF1480&lt;&gt;""),TODAY()-$AF1480,"")</f>
        <v/>
      </c>
      <c r="AJ1480" s="12" t="n"/>
      <c r="AK1480" s="14">
        <f>IF($B1480="","",IF($AO1480="","対象年月が未入力／","")&amp;IF($B1480="","",IF($AN1480="","職員マスタに未登録の職員番号／",IF($Y1480="","標準報酬月額が未登録／","")&amp;IF(AND($AO1480&lt;&gt;"",OR(AND(INDEX(職員マスタ!$G$6:$G$405,$AN1480)&lt;&gt;"",INDEX(職員マスタ!$G$6:$G$405,$AN1480)&gt;EOMONTH($AO1480,0)),AND(INDEX(職員マスタ!$H$6:$H$405,$AN1480)&lt;&gt;"",INDEX(職員マスタ!$H$6:$H$405,$AN1480)&lt;$AO1480))),"対象月が時短期間外／","")&amp;IF(AND(INDEX(職員マスタ!$F$6:$F$405,$AN1480)&lt;&gt;"",$AO1480&lt;&gt;"",INDEX(職員マスタ!$F$6:$F$405,$AN1480)&lt;$AO1480),"対象月に子が2歳到達済／","")&amp;IF(AND($H1480&lt;&gt;"",INDEX(職員マスタ!$B$6:$B$405,$AN1480)&lt;&gt;"",SUBSTITUTE(SUBSTITUTE($H1480," ","")," ","")&lt;&gt;SUBSTITUTE(SUBSTITUTE(INDEX(職員マスタ!$B$6:$B$405,$AN1480)," ","")," ","")),"氏名がマスタと相違／","")&amp;IF(AND($Q1480&lt;&gt;"",INDEX(職員マスタ!$E$6:$E$405,$AN1480)&lt;&gt;"",$Q1480&lt;&gt;INDEX(職員マスタ!$E$6:$E$405,$AN1480)),"子の生年月日がマスタと相違／","")&amp;IF(AND($L1480&lt;&gt;"",INDEX(職員マスタ!$G$6:$G$405,$AN1480)&lt;&gt;"",$L1480&lt;&gt;INDEX(職員マスタ!$G$6:$G$405,$AN1480)),"時短開始日がマスタと相違／","")&amp;IF(AND($M1480&lt;&gt;"",INDEX(職員マスタ!$H$6:$H$405,$AN1480)&lt;&gt;"",$M1480&lt;&gt;INDEX(職員マスタ!$H$6:$H$405,$AN1480)),"時短終了日がマスタと相違／","")))&amp;IF(AND($B1480&lt;&gt;"",$E1480=""),"報酬額が未入力／","")&amp;IF(N($U1480)&gt;0,"申請書に入力エラーが残っています／","")&amp;IF(AND($B1480&lt;&gt;"",$AO1480&lt;&gt;""),IF(COUNTIFS($B$6:$B$3005,$B1480,$C$6:$C$3005,$C1480,$D$6:$D$3005,$D1480)&gt;1,"同じ月の請求が重複しています／",""),"")&amp;IF(AND(N($E1480)&gt;0,$Z1480&lt;&gt;"",$Z1480&lt;&gt;"×",$AC1480=0,$AB1480=""),"計算額が下限以下のため不支給／",""))</f>
        <v/>
      </c>
      <c r="AL1480" s="12" t="n"/>
      <c r="AM1480" s="14">
        <f>IF($AD1480="保留中",COUNTIF($AD$6:$AD1480,"保留中"),"")</f>
        <v/>
      </c>
      <c r="AN1480" s="14">
        <f>IF($AO1480="","",IF(SUMPRODUCT(MAX((職員マスタ!$A$6:$A$405=$B1480)*(((職員マスタ!$G$6:$G$405="")+(職員マスタ!$G$6:$G$405&lt;=EOMONTH($AO1480,0)))&gt;0)*(((職員マスタ!$H$6:$H$405="")+(職員マスタ!$H$6:$H$405&gt;=$AO1480))&gt;0)*(ROW(職員マスタ!$A$6:$A$405)-5)))&gt;0,SUMPRODUCT(MAX((職員マスタ!$A$6:$A$405=$B1480)*(((職員マスタ!$G$6:$G$405="")+(職員マスタ!$G$6:$G$405&lt;=EOMONTH($AO1480,0)))&gt;0)*(((職員マスタ!$H$6:$H$405="")+(職員マスタ!$H$6:$H$405&gt;=$AO1480))&gt;0)*(ROW(職員マスタ!$A$6:$A$405)-5))),IFERROR(MATCH($B1480,職員マスタ!$A$6:$A$405,0),"")))</f>
        <v/>
      </c>
      <c r="AO1480" s="16">
        <f>IF(OR($B1480="",$C1480="",$D1480=""),"",DATE($C1480+2018,$D1480,1))</f>
        <v/>
      </c>
    </row>
    <row r="1481">
      <c r="A1481" s="11" t="n"/>
      <c r="B1481" s="12" t="n"/>
      <c r="C1481" s="12" t="n"/>
      <c r="D1481" s="12" t="n"/>
      <c r="E1481" s="13" t="n"/>
      <c r="F1481" s="12" t="n"/>
      <c r="G1481" s="13" t="n"/>
      <c r="H1481" s="12" t="n"/>
      <c r="I1481" s="12" t="n"/>
      <c r="J1481" s="12" t="n"/>
      <c r="K1481" s="12" t="n"/>
      <c r="L1481" s="11" t="n"/>
      <c r="M1481" s="11" t="n"/>
      <c r="N1481" s="11" t="n"/>
      <c r="O1481" s="11" t="n"/>
      <c r="P1481" s="12" t="n"/>
      <c r="Q1481" s="11" t="n"/>
      <c r="R1481" s="12" t="n"/>
      <c r="S1481" s="11" t="n"/>
      <c r="T1481" s="12" t="n"/>
      <c r="U1481" s="12" t="n"/>
      <c r="V1481" s="14">
        <f>IF($AN1481="",IF($B1481="","",$H1481),IF(INDEX(職員マスタ!$B$6:$B$405,$AN1481)="",$H1481,INDEX(職員マスタ!$B$6:$B$405,$AN1481)))</f>
        <v/>
      </c>
      <c r="W1481" s="14">
        <f>IF($AN1481="",IF($B1481="","",$R1481),IF(INDEX(職員マスタ!$C$6:$C$405,$AN1481)="",$R1481,INDEX(職員マスタ!$C$6:$C$405,$AN1481)))</f>
        <v/>
      </c>
      <c r="X1481" s="14">
        <f>IF($AO1481="","","R"&amp;$C1481&amp;"."&amp;$D1481)</f>
        <v/>
      </c>
      <c r="Y1481" s="15">
        <f>IF($AN1481="","",IF(INDEX(職員マスタ!$K$6:$K$405,$AN1481)="","",INDEX(職員マスタ!$K$6:$K$405,$AN1481)))</f>
        <v/>
      </c>
      <c r="Z1481" s="14">
        <f>IF(OR($E1481="",$Y1481=""),"",IF($E1481&gt;=$Y1481,"×",IF($E1481&gt;=$Y1481*設定!$C$5,"△","○")))</f>
        <v/>
      </c>
      <c r="AA1481" s="15">
        <f>IF($Z1481="","",IF($Z1481="×",0,IF($Z1481="○",ROUNDDOWN($E1481*設定!$C$4,0),ROUNDDOWN($E1481*ROUND((9*$Y1481-9*$E1481)/(10*$E1481),4),0))))</f>
        <v/>
      </c>
      <c r="AB1481" s="13" t="n"/>
      <c r="AC1481" s="15">
        <f>IF($B1481="","",IF($AB1481&lt;&gt;"",$AB1481,IF($AA1481="","",IF($AA1481&lt;=設定!$C$3,0,$AA1481))))</f>
        <v/>
      </c>
      <c r="AD1481" s="14">
        <f>IF($B1481="","",IF(AND($AE1481&lt;&gt;"",$AG1481="",$AJ1481=""),"保留中",IF($AJ1481&lt;&gt;"",IF(N($AC1481)&gt;0,"支給済","不支給"),IF($AC1481="","要確認",IF($AC1481=0,"不支給","未処理")))))</f>
        <v/>
      </c>
      <c r="AE1481" s="12" t="n"/>
      <c r="AF1481" s="11" t="n"/>
      <c r="AG1481" s="11" t="n"/>
      <c r="AH1481" s="11" t="n"/>
      <c r="AI1481" s="14">
        <f>IF(AND($AD1481="保留中",$AF1481&lt;&gt;""),TODAY()-$AF1481,"")</f>
        <v/>
      </c>
      <c r="AJ1481" s="12" t="n"/>
      <c r="AK1481" s="14">
        <f>IF($B1481="","",IF($AO1481="","対象年月が未入力／","")&amp;IF($B1481="","",IF($AN1481="","職員マスタに未登録の職員番号／",IF($Y1481="","標準報酬月額が未登録／","")&amp;IF(AND($AO1481&lt;&gt;"",OR(AND(INDEX(職員マスタ!$G$6:$G$405,$AN1481)&lt;&gt;"",INDEX(職員マスタ!$G$6:$G$405,$AN1481)&gt;EOMONTH($AO1481,0)),AND(INDEX(職員マスタ!$H$6:$H$405,$AN1481)&lt;&gt;"",INDEX(職員マスタ!$H$6:$H$405,$AN1481)&lt;$AO1481))),"対象月が時短期間外／","")&amp;IF(AND(INDEX(職員マスタ!$F$6:$F$405,$AN1481)&lt;&gt;"",$AO1481&lt;&gt;"",INDEX(職員マスタ!$F$6:$F$405,$AN1481)&lt;$AO1481),"対象月に子が2歳到達済／","")&amp;IF(AND($H1481&lt;&gt;"",INDEX(職員マスタ!$B$6:$B$405,$AN1481)&lt;&gt;"",SUBSTITUTE(SUBSTITUTE($H1481," ","")," ","")&lt;&gt;SUBSTITUTE(SUBSTITUTE(INDEX(職員マスタ!$B$6:$B$405,$AN1481)," ","")," ","")),"氏名がマスタと相違／","")&amp;IF(AND($Q1481&lt;&gt;"",INDEX(職員マスタ!$E$6:$E$405,$AN1481)&lt;&gt;"",$Q1481&lt;&gt;INDEX(職員マスタ!$E$6:$E$405,$AN1481)),"子の生年月日がマスタと相違／","")&amp;IF(AND($L1481&lt;&gt;"",INDEX(職員マスタ!$G$6:$G$405,$AN1481)&lt;&gt;"",$L1481&lt;&gt;INDEX(職員マスタ!$G$6:$G$405,$AN1481)),"時短開始日がマスタと相違／","")&amp;IF(AND($M1481&lt;&gt;"",INDEX(職員マスタ!$H$6:$H$405,$AN1481)&lt;&gt;"",$M1481&lt;&gt;INDEX(職員マスタ!$H$6:$H$405,$AN1481)),"時短終了日がマスタと相違／","")))&amp;IF(AND($B1481&lt;&gt;"",$E1481=""),"報酬額が未入力／","")&amp;IF(N($U1481)&gt;0,"申請書に入力エラーが残っています／","")&amp;IF(AND($B1481&lt;&gt;"",$AO1481&lt;&gt;""),IF(COUNTIFS($B$6:$B$3005,$B1481,$C$6:$C$3005,$C1481,$D$6:$D$3005,$D1481)&gt;1,"同じ月の請求が重複しています／",""),"")&amp;IF(AND(N($E1481)&gt;0,$Z1481&lt;&gt;"",$Z1481&lt;&gt;"×",$AC1481=0,$AB1481=""),"計算額が下限以下のため不支給／",""))</f>
        <v/>
      </c>
      <c r="AL1481" s="12" t="n"/>
      <c r="AM1481" s="14">
        <f>IF($AD1481="保留中",COUNTIF($AD$6:$AD1481,"保留中"),"")</f>
        <v/>
      </c>
      <c r="AN1481" s="14">
        <f>IF($AO1481="","",IF(SUMPRODUCT(MAX((職員マスタ!$A$6:$A$405=$B1481)*(((職員マスタ!$G$6:$G$405="")+(職員マスタ!$G$6:$G$405&lt;=EOMONTH($AO1481,0)))&gt;0)*(((職員マスタ!$H$6:$H$405="")+(職員マスタ!$H$6:$H$405&gt;=$AO1481))&gt;0)*(ROW(職員マスタ!$A$6:$A$405)-5)))&gt;0,SUMPRODUCT(MAX((職員マスタ!$A$6:$A$405=$B1481)*(((職員マスタ!$G$6:$G$405="")+(職員マスタ!$G$6:$G$405&lt;=EOMONTH($AO1481,0)))&gt;0)*(((職員マスタ!$H$6:$H$405="")+(職員マスタ!$H$6:$H$405&gt;=$AO1481))&gt;0)*(ROW(職員マスタ!$A$6:$A$405)-5))),IFERROR(MATCH($B1481,職員マスタ!$A$6:$A$405,0),"")))</f>
        <v/>
      </c>
      <c r="AO1481" s="16">
        <f>IF(OR($B1481="",$C1481="",$D1481=""),"",DATE($C1481+2018,$D1481,1))</f>
        <v/>
      </c>
    </row>
    <row r="1482">
      <c r="A1482" s="11" t="n"/>
      <c r="B1482" s="12" t="n"/>
      <c r="C1482" s="12" t="n"/>
      <c r="D1482" s="12" t="n"/>
      <c r="E1482" s="13" t="n"/>
      <c r="F1482" s="12" t="n"/>
      <c r="G1482" s="13" t="n"/>
      <c r="H1482" s="12" t="n"/>
      <c r="I1482" s="12" t="n"/>
      <c r="J1482" s="12" t="n"/>
      <c r="K1482" s="12" t="n"/>
      <c r="L1482" s="11" t="n"/>
      <c r="M1482" s="11" t="n"/>
      <c r="N1482" s="11" t="n"/>
      <c r="O1482" s="11" t="n"/>
      <c r="P1482" s="12" t="n"/>
      <c r="Q1482" s="11" t="n"/>
      <c r="R1482" s="12" t="n"/>
      <c r="S1482" s="11" t="n"/>
      <c r="T1482" s="12" t="n"/>
      <c r="U1482" s="12" t="n"/>
      <c r="V1482" s="14">
        <f>IF($AN1482="",IF($B1482="","",$H1482),IF(INDEX(職員マスタ!$B$6:$B$405,$AN1482)="",$H1482,INDEX(職員マスタ!$B$6:$B$405,$AN1482)))</f>
        <v/>
      </c>
      <c r="W1482" s="14">
        <f>IF($AN1482="",IF($B1482="","",$R1482),IF(INDEX(職員マスタ!$C$6:$C$405,$AN1482)="",$R1482,INDEX(職員マスタ!$C$6:$C$405,$AN1482)))</f>
        <v/>
      </c>
      <c r="X1482" s="14">
        <f>IF($AO1482="","","R"&amp;$C1482&amp;"."&amp;$D1482)</f>
        <v/>
      </c>
      <c r="Y1482" s="15">
        <f>IF($AN1482="","",IF(INDEX(職員マスタ!$K$6:$K$405,$AN1482)="","",INDEX(職員マスタ!$K$6:$K$405,$AN1482)))</f>
        <v/>
      </c>
      <c r="Z1482" s="14">
        <f>IF(OR($E1482="",$Y1482=""),"",IF($E1482&gt;=$Y1482,"×",IF($E1482&gt;=$Y1482*設定!$C$5,"△","○")))</f>
        <v/>
      </c>
      <c r="AA1482" s="15">
        <f>IF($Z1482="","",IF($Z1482="×",0,IF($Z1482="○",ROUNDDOWN($E1482*設定!$C$4,0),ROUNDDOWN($E1482*ROUND((9*$Y1482-9*$E1482)/(10*$E1482),4),0))))</f>
        <v/>
      </c>
      <c r="AB1482" s="13" t="n"/>
      <c r="AC1482" s="15">
        <f>IF($B1482="","",IF($AB1482&lt;&gt;"",$AB1482,IF($AA1482="","",IF($AA1482&lt;=設定!$C$3,0,$AA1482))))</f>
        <v/>
      </c>
      <c r="AD1482" s="14">
        <f>IF($B1482="","",IF(AND($AE1482&lt;&gt;"",$AG1482="",$AJ1482=""),"保留中",IF($AJ1482&lt;&gt;"",IF(N($AC1482)&gt;0,"支給済","不支給"),IF($AC1482="","要確認",IF($AC1482=0,"不支給","未処理")))))</f>
        <v/>
      </c>
      <c r="AE1482" s="12" t="n"/>
      <c r="AF1482" s="11" t="n"/>
      <c r="AG1482" s="11" t="n"/>
      <c r="AH1482" s="11" t="n"/>
      <c r="AI1482" s="14">
        <f>IF(AND($AD1482="保留中",$AF1482&lt;&gt;""),TODAY()-$AF1482,"")</f>
        <v/>
      </c>
      <c r="AJ1482" s="12" t="n"/>
      <c r="AK1482" s="14">
        <f>IF($B1482="","",IF($AO1482="","対象年月が未入力／","")&amp;IF($B1482="","",IF($AN1482="","職員マスタに未登録の職員番号／",IF($Y1482="","標準報酬月額が未登録／","")&amp;IF(AND($AO1482&lt;&gt;"",OR(AND(INDEX(職員マスタ!$G$6:$G$405,$AN1482)&lt;&gt;"",INDEX(職員マスタ!$G$6:$G$405,$AN1482)&gt;EOMONTH($AO1482,0)),AND(INDEX(職員マスタ!$H$6:$H$405,$AN1482)&lt;&gt;"",INDEX(職員マスタ!$H$6:$H$405,$AN1482)&lt;$AO1482))),"対象月が時短期間外／","")&amp;IF(AND(INDEX(職員マスタ!$F$6:$F$405,$AN1482)&lt;&gt;"",$AO1482&lt;&gt;"",INDEX(職員マスタ!$F$6:$F$405,$AN1482)&lt;$AO1482),"対象月に子が2歳到達済／","")&amp;IF(AND($H1482&lt;&gt;"",INDEX(職員マスタ!$B$6:$B$405,$AN1482)&lt;&gt;"",SUBSTITUTE(SUBSTITUTE($H1482," ","")," ","")&lt;&gt;SUBSTITUTE(SUBSTITUTE(INDEX(職員マスタ!$B$6:$B$405,$AN1482)," ","")," ","")),"氏名がマスタと相違／","")&amp;IF(AND($Q1482&lt;&gt;"",INDEX(職員マスタ!$E$6:$E$405,$AN1482)&lt;&gt;"",$Q1482&lt;&gt;INDEX(職員マスタ!$E$6:$E$405,$AN1482)),"子の生年月日がマスタと相違／","")&amp;IF(AND($L1482&lt;&gt;"",INDEX(職員マスタ!$G$6:$G$405,$AN1482)&lt;&gt;"",$L1482&lt;&gt;INDEX(職員マスタ!$G$6:$G$405,$AN1482)),"時短開始日がマスタと相違／","")&amp;IF(AND($M1482&lt;&gt;"",INDEX(職員マスタ!$H$6:$H$405,$AN1482)&lt;&gt;"",$M1482&lt;&gt;INDEX(職員マスタ!$H$6:$H$405,$AN1482)),"時短終了日がマスタと相違／","")))&amp;IF(AND($B1482&lt;&gt;"",$E1482=""),"報酬額が未入力／","")&amp;IF(N($U1482)&gt;0,"申請書に入力エラーが残っています／","")&amp;IF(AND($B1482&lt;&gt;"",$AO1482&lt;&gt;""),IF(COUNTIFS($B$6:$B$3005,$B1482,$C$6:$C$3005,$C1482,$D$6:$D$3005,$D1482)&gt;1,"同じ月の請求が重複しています／",""),"")&amp;IF(AND(N($E1482)&gt;0,$Z1482&lt;&gt;"",$Z1482&lt;&gt;"×",$AC1482=0,$AB1482=""),"計算額が下限以下のため不支給／",""))</f>
        <v/>
      </c>
      <c r="AL1482" s="12" t="n"/>
      <c r="AM1482" s="14">
        <f>IF($AD1482="保留中",COUNTIF($AD$6:$AD1482,"保留中"),"")</f>
        <v/>
      </c>
      <c r="AN1482" s="14">
        <f>IF($AO1482="","",IF(SUMPRODUCT(MAX((職員マスタ!$A$6:$A$405=$B1482)*(((職員マスタ!$G$6:$G$405="")+(職員マスタ!$G$6:$G$405&lt;=EOMONTH($AO1482,0)))&gt;0)*(((職員マスタ!$H$6:$H$405="")+(職員マスタ!$H$6:$H$405&gt;=$AO1482))&gt;0)*(ROW(職員マスタ!$A$6:$A$405)-5)))&gt;0,SUMPRODUCT(MAX((職員マスタ!$A$6:$A$405=$B1482)*(((職員マスタ!$G$6:$G$405="")+(職員マスタ!$G$6:$G$405&lt;=EOMONTH($AO1482,0)))&gt;0)*(((職員マスタ!$H$6:$H$405="")+(職員マスタ!$H$6:$H$405&gt;=$AO1482))&gt;0)*(ROW(職員マスタ!$A$6:$A$405)-5))),IFERROR(MATCH($B1482,職員マスタ!$A$6:$A$405,0),"")))</f>
        <v/>
      </c>
      <c r="AO1482" s="16">
        <f>IF(OR($B1482="",$C1482="",$D1482=""),"",DATE($C1482+2018,$D1482,1))</f>
        <v/>
      </c>
    </row>
    <row r="1483">
      <c r="A1483" s="11" t="n"/>
      <c r="B1483" s="12" t="n"/>
      <c r="C1483" s="12" t="n"/>
      <c r="D1483" s="12" t="n"/>
      <c r="E1483" s="13" t="n"/>
      <c r="F1483" s="12" t="n"/>
      <c r="G1483" s="13" t="n"/>
      <c r="H1483" s="12" t="n"/>
      <c r="I1483" s="12" t="n"/>
      <c r="J1483" s="12" t="n"/>
      <c r="K1483" s="12" t="n"/>
      <c r="L1483" s="11" t="n"/>
      <c r="M1483" s="11" t="n"/>
      <c r="N1483" s="11" t="n"/>
      <c r="O1483" s="11" t="n"/>
      <c r="P1483" s="12" t="n"/>
      <c r="Q1483" s="11" t="n"/>
      <c r="R1483" s="12" t="n"/>
      <c r="S1483" s="11" t="n"/>
      <c r="T1483" s="12" t="n"/>
      <c r="U1483" s="12" t="n"/>
      <c r="V1483" s="14">
        <f>IF($AN1483="",IF($B1483="","",$H1483),IF(INDEX(職員マスタ!$B$6:$B$405,$AN1483)="",$H1483,INDEX(職員マスタ!$B$6:$B$405,$AN1483)))</f>
        <v/>
      </c>
      <c r="W1483" s="14">
        <f>IF($AN1483="",IF($B1483="","",$R1483),IF(INDEX(職員マスタ!$C$6:$C$405,$AN1483)="",$R1483,INDEX(職員マスタ!$C$6:$C$405,$AN1483)))</f>
        <v/>
      </c>
      <c r="X1483" s="14">
        <f>IF($AO1483="","","R"&amp;$C1483&amp;"."&amp;$D1483)</f>
        <v/>
      </c>
      <c r="Y1483" s="15">
        <f>IF($AN1483="","",IF(INDEX(職員マスタ!$K$6:$K$405,$AN1483)="","",INDEX(職員マスタ!$K$6:$K$405,$AN1483)))</f>
        <v/>
      </c>
      <c r="Z1483" s="14">
        <f>IF(OR($E1483="",$Y1483=""),"",IF($E1483&gt;=$Y1483,"×",IF($E1483&gt;=$Y1483*設定!$C$5,"△","○")))</f>
        <v/>
      </c>
      <c r="AA1483" s="15">
        <f>IF($Z1483="","",IF($Z1483="×",0,IF($Z1483="○",ROUNDDOWN($E1483*設定!$C$4,0),ROUNDDOWN($E1483*ROUND((9*$Y1483-9*$E1483)/(10*$E1483),4),0))))</f>
        <v/>
      </c>
      <c r="AB1483" s="13" t="n"/>
      <c r="AC1483" s="15">
        <f>IF($B1483="","",IF($AB1483&lt;&gt;"",$AB1483,IF($AA1483="","",IF($AA1483&lt;=設定!$C$3,0,$AA1483))))</f>
        <v/>
      </c>
      <c r="AD1483" s="14">
        <f>IF($B1483="","",IF(AND($AE1483&lt;&gt;"",$AG1483="",$AJ1483=""),"保留中",IF($AJ1483&lt;&gt;"",IF(N($AC1483)&gt;0,"支給済","不支給"),IF($AC1483="","要確認",IF($AC1483=0,"不支給","未処理")))))</f>
        <v/>
      </c>
      <c r="AE1483" s="12" t="n"/>
      <c r="AF1483" s="11" t="n"/>
      <c r="AG1483" s="11" t="n"/>
      <c r="AH1483" s="11" t="n"/>
      <c r="AI1483" s="14">
        <f>IF(AND($AD1483="保留中",$AF1483&lt;&gt;""),TODAY()-$AF1483,"")</f>
        <v/>
      </c>
      <c r="AJ1483" s="12" t="n"/>
      <c r="AK1483" s="14">
        <f>IF($B1483="","",IF($AO1483="","対象年月が未入力／","")&amp;IF($B1483="","",IF($AN1483="","職員マスタに未登録の職員番号／",IF($Y1483="","標準報酬月額が未登録／","")&amp;IF(AND($AO1483&lt;&gt;"",OR(AND(INDEX(職員マスタ!$G$6:$G$405,$AN1483)&lt;&gt;"",INDEX(職員マスタ!$G$6:$G$405,$AN1483)&gt;EOMONTH($AO1483,0)),AND(INDEX(職員マスタ!$H$6:$H$405,$AN1483)&lt;&gt;"",INDEX(職員マスタ!$H$6:$H$405,$AN1483)&lt;$AO1483))),"対象月が時短期間外／","")&amp;IF(AND(INDEX(職員マスタ!$F$6:$F$405,$AN1483)&lt;&gt;"",$AO1483&lt;&gt;"",INDEX(職員マスタ!$F$6:$F$405,$AN1483)&lt;$AO1483),"対象月に子が2歳到達済／","")&amp;IF(AND($H1483&lt;&gt;"",INDEX(職員マスタ!$B$6:$B$405,$AN1483)&lt;&gt;"",SUBSTITUTE(SUBSTITUTE($H1483," ","")," ","")&lt;&gt;SUBSTITUTE(SUBSTITUTE(INDEX(職員マスタ!$B$6:$B$405,$AN1483)," ","")," ","")),"氏名がマスタと相違／","")&amp;IF(AND($Q1483&lt;&gt;"",INDEX(職員マスタ!$E$6:$E$405,$AN1483)&lt;&gt;"",$Q1483&lt;&gt;INDEX(職員マスタ!$E$6:$E$405,$AN1483)),"子の生年月日がマスタと相違／","")&amp;IF(AND($L1483&lt;&gt;"",INDEX(職員マスタ!$G$6:$G$405,$AN1483)&lt;&gt;"",$L1483&lt;&gt;INDEX(職員マスタ!$G$6:$G$405,$AN1483)),"時短開始日がマスタと相違／","")&amp;IF(AND($M1483&lt;&gt;"",INDEX(職員マスタ!$H$6:$H$405,$AN1483)&lt;&gt;"",$M1483&lt;&gt;INDEX(職員マスタ!$H$6:$H$405,$AN1483)),"時短終了日がマスタと相違／","")))&amp;IF(AND($B1483&lt;&gt;"",$E1483=""),"報酬額が未入力／","")&amp;IF(N($U1483)&gt;0,"申請書に入力エラーが残っています／","")&amp;IF(AND($B1483&lt;&gt;"",$AO1483&lt;&gt;""),IF(COUNTIFS($B$6:$B$3005,$B1483,$C$6:$C$3005,$C1483,$D$6:$D$3005,$D1483)&gt;1,"同じ月の請求が重複しています／",""),"")&amp;IF(AND(N($E1483)&gt;0,$Z1483&lt;&gt;"",$Z1483&lt;&gt;"×",$AC1483=0,$AB1483=""),"計算額が下限以下のため不支給／",""))</f>
        <v/>
      </c>
      <c r="AL1483" s="12" t="n"/>
      <c r="AM1483" s="14">
        <f>IF($AD1483="保留中",COUNTIF($AD$6:$AD1483,"保留中"),"")</f>
        <v/>
      </c>
      <c r="AN1483" s="14">
        <f>IF($AO1483="","",IF(SUMPRODUCT(MAX((職員マスタ!$A$6:$A$405=$B1483)*(((職員マスタ!$G$6:$G$405="")+(職員マスタ!$G$6:$G$405&lt;=EOMONTH($AO1483,0)))&gt;0)*(((職員マスタ!$H$6:$H$405="")+(職員マスタ!$H$6:$H$405&gt;=$AO1483))&gt;0)*(ROW(職員マスタ!$A$6:$A$405)-5)))&gt;0,SUMPRODUCT(MAX((職員マスタ!$A$6:$A$405=$B1483)*(((職員マスタ!$G$6:$G$405="")+(職員マスタ!$G$6:$G$405&lt;=EOMONTH($AO1483,0)))&gt;0)*(((職員マスタ!$H$6:$H$405="")+(職員マスタ!$H$6:$H$405&gt;=$AO1483))&gt;0)*(ROW(職員マスタ!$A$6:$A$405)-5))),IFERROR(MATCH($B1483,職員マスタ!$A$6:$A$405,0),"")))</f>
        <v/>
      </c>
      <c r="AO1483" s="16">
        <f>IF(OR($B1483="",$C1483="",$D1483=""),"",DATE($C1483+2018,$D1483,1))</f>
        <v/>
      </c>
    </row>
    <row r="1484">
      <c r="A1484" s="11" t="n"/>
      <c r="B1484" s="12" t="n"/>
      <c r="C1484" s="12" t="n"/>
      <c r="D1484" s="12" t="n"/>
      <c r="E1484" s="13" t="n"/>
      <c r="F1484" s="12" t="n"/>
      <c r="G1484" s="13" t="n"/>
      <c r="H1484" s="12" t="n"/>
      <c r="I1484" s="12" t="n"/>
      <c r="J1484" s="12" t="n"/>
      <c r="K1484" s="12" t="n"/>
      <c r="L1484" s="11" t="n"/>
      <c r="M1484" s="11" t="n"/>
      <c r="N1484" s="11" t="n"/>
      <c r="O1484" s="11" t="n"/>
      <c r="P1484" s="12" t="n"/>
      <c r="Q1484" s="11" t="n"/>
      <c r="R1484" s="12" t="n"/>
      <c r="S1484" s="11" t="n"/>
      <c r="T1484" s="12" t="n"/>
      <c r="U1484" s="12" t="n"/>
      <c r="V1484" s="14">
        <f>IF($AN1484="",IF($B1484="","",$H1484),IF(INDEX(職員マスタ!$B$6:$B$405,$AN1484)="",$H1484,INDEX(職員マスタ!$B$6:$B$405,$AN1484)))</f>
        <v/>
      </c>
      <c r="W1484" s="14">
        <f>IF($AN1484="",IF($B1484="","",$R1484),IF(INDEX(職員マスタ!$C$6:$C$405,$AN1484)="",$R1484,INDEX(職員マスタ!$C$6:$C$405,$AN1484)))</f>
        <v/>
      </c>
      <c r="X1484" s="14">
        <f>IF($AO1484="","","R"&amp;$C1484&amp;"."&amp;$D1484)</f>
        <v/>
      </c>
      <c r="Y1484" s="15">
        <f>IF($AN1484="","",IF(INDEX(職員マスタ!$K$6:$K$405,$AN1484)="","",INDEX(職員マスタ!$K$6:$K$405,$AN1484)))</f>
        <v/>
      </c>
      <c r="Z1484" s="14">
        <f>IF(OR($E1484="",$Y1484=""),"",IF($E1484&gt;=$Y1484,"×",IF($E1484&gt;=$Y1484*設定!$C$5,"△","○")))</f>
        <v/>
      </c>
      <c r="AA1484" s="15">
        <f>IF($Z1484="","",IF($Z1484="×",0,IF($Z1484="○",ROUNDDOWN($E1484*設定!$C$4,0),ROUNDDOWN($E1484*ROUND((9*$Y1484-9*$E1484)/(10*$E1484),4),0))))</f>
        <v/>
      </c>
      <c r="AB1484" s="13" t="n"/>
      <c r="AC1484" s="15">
        <f>IF($B1484="","",IF($AB1484&lt;&gt;"",$AB1484,IF($AA1484="","",IF($AA1484&lt;=設定!$C$3,0,$AA1484))))</f>
        <v/>
      </c>
      <c r="AD1484" s="14">
        <f>IF($B1484="","",IF(AND($AE1484&lt;&gt;"",$AG1484="",$AJ1484=""),"保留中",IF($AJ1484&lt;&gt;"",IF(N($AC1484)&gt;0,"支給済","不支給"),IF($AC1484="","要確認",IF($AC1484=0,"不支給","未処理")))))</f>
        <v/>
      </c>
      <c r="AE1484" s="12" t="n"/>
      <c r="AF1484" s="11" t="n"/>
      <c r="AG1484" s="11" t="n"/>
      <c r="AH1484" s="11" t="n"/>
      <c r="AI1484" s="14">
        <f>IF(AND($AD1484="保留中",$AF1484&lt;&gt;""),TODAY()-$AF1484,"")</f>
        <v/>
      </c>
      <c r="AJ1484" s="12" t="n"/>
      <c r="AK1484" s="14">
        <f>IF($B1484="","",IF($AO1484="","対象年月が未入力／","")&amp;IF($B1484="","",IF($AN1484="","職員マスタに未登録の職員番号／",IF($Y1484="","標準報酬月額が未登録／","")&amp;IF(AND($AO1484&lt;&gt;"",OR(AND(INDEX(職員マスタ!$G$6:$G$405,$AN1484)&lt;&gt;"",INDEX(職員マスタ!$G$6:$G$405,$AN1484)&gt;EOMONTH($AO1484,0)),AND(INDEX(職員マスタ!$H$6:$H$405,$AN1484)&lt;&gt;"",INDEX(職員マスタ!$H$6:$H$405,$AN1484)&lt;$AO1484))),"対象月が時短期間外／","")&amp;IF(AND(INDEX(職員マスタ!$F$6:$F$405,$AN1484)&lt;&gt;"",$AO1484&lt;&gt;"",INDEX(職員マスタ!$F$6:$F$405,$AN1484)&lt;$AO1484),"対象月に子が2歳到達済／","")&amp;IF(AND($H1484&lt;&gt;"",INDEX(職員マスタ!$B$6:$B$405,$AN1484)&lt;&gt;"",SUBSTITUTE(SUBSTITUTE($H1484," ","")," ","")&lt;&gt;SUBSTITUTE(SUBSTITUTE(INDEX(職員マスタ!$B$6:$B$405,$AN1484)," ","")," ","")),"氏名がマスタと相違／","")&amp;IF(AND($Q1484&lt;&gt;"",INDEX(職員マスタ!$E$6:$E$405,$AN1484)&lt;&gt;"",$Q1484&lt;&gt;INDEX(職員マスタ!$E$6:$E$405,$AN1484)),"子の生年月日がマスタと相違／","")&amp;IF(AND($L1484&lt;&gt;"",INDEX(職員マスタ!$G$6:$G$405,$AN1484)&lt;&gt;"",$L1484&lt;&gt;INDEX(職員マスタ!$G$6:$G$405,$AN1484)),"時短開始日がマスタと相違／","")&amp;IF(AND($M1484&lt;&gt;"",INDEX(職員マスタ!$H$6:$H$405,$AN1484)&lt;&gt;"",$M1484&lt;&gt;INDEX(職員マスタ!$H$6:$H$405,$AN1484)),"時短終了日がマスタと相違／","")))&amp;IF(AND($B1484&lt;&gt;"",$E1484=""),"報酬額が未入力／","")&amp;IF(N($U1484)&gt;0,"申請書に入力エラーが残っています／","")&amp;IF(AND($B1484&lt;&gt;"",$AO1484&lt;&gt;""),IF(COUNTIFS($B$6:$B$3005,$B1484,$C$6:$C$3005,$C1484,$D$6:$D$3005,$D1484)&gt;1,"同じ月の請求が重複しています／",""),"")&amp;IF(AND(N($E1484)&gt;0,$Z1484&lt;&gt;"",$Z1484&lt;&gt;"×",$AC1484=0,$AB1484=""),"計算額が下限以下のため不支給／",""))</f>
        <v/>
      </c>
      <c r="AL1484" s="12" t="n"/>
      <c r="AM1484" s="14">
        <f>IF($AD1484="保留中",COUNTIF($AD$6:$AD1484,"保留中"),"")</f>
        <v/>
      </c>
      <c r="AN1484" s="14">
        <f>IF($AO1484="","",IF(SUMPRODUCT(MAX((職員マスタ!$A$6:$A$405=$B1484)*(((職員マスタ!$G$6:$G$405="")+(職員マスタ!$G$6:$G$405&lt;=EOMONTH($AO1484,0)))&gt;0)*(((職員マスタ!$H$6:$H$405="")+(職員マスタ!$H$6:$H$405&gt;=$AO1484))&gt;0)*(ROW(職員マスタ!$A$6:$A$405)-5)))&gt;0,SUMPRODUCT(MAX((職員マスタ!$A$6:$A$405=$B1484)*(((職員マスタ!$G$6:$G$405="")+(職員マスタ!$G$6:$G$405&lt;=EOMONTH($AO1484,0)))&gt;0)*(((職員マスタ!$H$6:$H$405="")+(職員マスタ!$H$6:$H$405&gt;=$AO1484))&gt;0)*(ROW(職員マスタ!$A$6:$A$405)-5))),IFERROR(MATCH($B1484,職員マスタ!$A$6:$A$405,0),"")))</f>
        <v/>
      </c>
      <c r="AO1484" s="16">
        <f>IF(OR($B1484="",$C1484="",$D1484=""),"",DATE($C1484+2018,$D1484,1))</f>
        <v/>
      </c>
    </row>
    <row r="1485">
      <c r="A1485" s="11" t="n"/>
      <c r="B1485" s="12" t="n"/>
      <c r="C1485" s="12" t="n"/>
      <c r="D1485" s="12" t="n"/>
      <c r="E1485" s="13" t="n"/>
      <c r="F1485" s="12" t="n"/>
      <c r="G1485" s="13" t="n"/>
      <c r="H1485" s="12" t="n"/>
      <c r="I1485" s="12" t="n"/>
      <c r="J1485" s="12" t="n"/>
      <c r="K1485" s="12" t="n"/>
      <c r="L1485" s="11" t="n"/>
      <c r="M1485" s="11" t="n"/>
      <c r="N1485" s="11" t="n"/>
      <c r="O1485" s="11" t="n"/>
      <c r="P1485" s="12" t="n"/>
      <c r="Q1485" s="11" t="n"/>
      <c r="R1485" s="12" t="n"/>
      <c r="S1485" s="11" t="n"/>
      <c r="T1485" s="12" t="n"/>
      <c r="U1485" s="12" t="n"/>
      <c r="V1485" s="14">
        <f>IF($AN1485="",IF($B1485="","",$H1485),IF(INDEX(職員マスタ!$B$6:$B$405,$AN1485)="",$H1485,INDEX(職員マスタ!$B$6:$B$405,$AN1485)))</f>
        <v/>
      </c>
      <c r="W1485" s="14">
        <f>IF($AN1485="",IF($B1485="","",$R1485),IF(INDEX(職員マスタ!$C$6:$C$405,$AN1485)="",$R1485,INDEX(職員マスタ!$C$6:$C$405,$AN1485)))</f>
        <v/>
      </c>
      <c r="X1485" s="14">
        <f>IF($AO1485="","","R"&amp;$C1485&amp;"."&amp;$D1485)</f>
        <v/>
      </c>
      <c r="Y1485" s="15">
        <f>IF($AN1485="","",IF(INDEX(職員マスタ!$K$6:$K$405,$AN1485)="","",INDEX(職員マスタ!$K$6:$K$405,$AN1485)))</f>
        <v/>
      </c>
      <c r="Z1485" s="14">
        <f>IF(OR($E1485="",$Y1485=""),"",IF($E1485&gt;=$Y1485,"×",IF($E1485&gt;=$Y1485*設定!$C$5,"△","○")))</f>
        <v/>
      </c>
      <c r="AA1485" s="15">
        <f>IF($Z1485="","",IF($Z1485="×",0,IF($Z1485="○",ROUNDDOWN($E1485*設定!$C$4,0),ROUNDDOWN($E1485*ROUND((9*$Y1485-9*$E1485)/(10*$E1485),4),0))))</f>
        <v/>
      </c>
      <c r="AB1485" s="13" t="n"/>
      <c r="AC1485" s="15">
        <f>IF($B1485="","",IF($AB1485&lt;&gt;"",$AB1485,IF($AA1485="","",IF($AA1485&lt;=設定!$C$3,0,$AA1485))))</f>
        <v/>
      </c>
      <c r="AD1485" s="14">
        <f>IF($B1485="","",IF(AND($AE1485&lt;&gt;"",$AG1485="",$AJ1485=""),"保留中",IF($AJ1485&lt;&gt;"",IF(N($AC1485)&gt;0,"支給済","不支給"),IF($AC1485="","要確認",IF($AC1485=0,"不支給","未処理")))))</f>
        <v/>
      </c>
      <c r="AE1485" s="12" t="n"/>
      <c r="AF1485" s="11" t="n"/>
      <c r="AG1485" s="11" t="n"/>
      <c r="AH1485" s="11" t="n"/>
      <c r="AI1485" s="14">
        <f>IF(AND($AD1485="保留中",$AF1485&lt;&gt;""),TODAY()-$AF1485,"")</f>
        <v/>
      </c>
      <c r="AJ1485" s="12" t="n"/>
      <c r="AK1485" s="14">
        <f>IF($B1485="","",IF($AO1485="","対象年月が未入力／","")&amp;IF($B1485="","",IF($AN1485="","職員マスタに未登録の職員番号／",IF($Y1485="","標準報酬月額が未登録／","")&amp;IF(AND($AO1485&lt;&gt;"",OR(AND(INDEX(職員マスタ!$G$6:$G$405,$AN1485)&lt;&gt;"",INDEX(職員マスタ!$G$6:$G$405,$AN1485)&gt;EOMONTH($AO1485,0)),AND(INDEX(職員マスタ!$H$6:$H$405,$AN1485)&lt;&gt;"",INDEX(職員マスタ!$H$6:$H$405,$AN1485)&lt;$AO1485))),"対象月が時短期間外／","")&amp;IF(AND(INDEX(職員マスタ!$F$6:$F$405,$AN1485)&lt;&gt;"",$AO1485&lt;&gt;"",INDEX(職員マスタ!$F$6:$F$405,$AN1485)&lt;$AO1485),"対象月に子が2歳到達済／","")&amp;IF(AND($H1485&lt;&gt;"",INDEX(職員マスタ!$B$6:$B$405,$AN1485)&lt;&gt;"",SUBSTITUTE(SUBSTITUTE($H1485," ","")," ","")&lt;&gt;SUBSTITUTE(SUBSTITUTE(INDEX(職員マスタ!$B$6:$B$405,$AN1485)," ","")," ","")),"氏名がマスタと相違／","")&amp;IF(AND($Q1485&lt;&gt;"",INDEX(職員マスタ!$E$6:$E$405,$AN1485)&lt;&gt;"",$Q1485&lt;&gt;INDEX(職員マスタ!$E$6:$E$405,$AN1485)),"子の生年月日がマスタと相違／","")&amp;IF(AND($L1485&lt;&gt;"",INDEX(職員マスタ!$G$6:$G$405,$AN1485)&lt;&gt;"",$L1485&lt;&gt;INDEX(職員マスタ!$G$6:$G$405,$AN1485)),"時短開始日がマスタと相違／","")&amp;IF(AND($M1485&lt;&gt;"",INDEX(職員マスタ!$H$6:$H$405,$AN1485)&lt;&gt;"",$M1485&lt;&gt;INDEX(職員マスタ!$H$6:$H$405,$AN1485)),"時短終了日がマスタと相違／","")))&amp;IF(AND($B1485&lt;&gt;"",$E1485=""),"報酬額が未入力／","")&amp;IF(N($U1485)&gt;0,"申請書に入力エラーが残っています／","")&amp;IF(AND($B1485&lt;&gt;"",$AO1485&lt;&gt;""),IF(COUNTIFS($B$6:$B$3005,$B1485,$C$6:$C$3005,$C1485,$D$6:$D$3005,$D1485)&gt;1,"同じ月の請求が重複しています／",""),"")&amp;IF(AND(N($E1485)&gt;0,$Z1485&lt;&gt;"",$Z1485&lt;&gt;"×",$AC1485=0,$AB1485=""),"計算額が下限以下のため不支給／",""))</f>
        <v/>
      </c>
      <c r="AL1485" s="12" t="n"/>
      <c r="AM1485" s="14">
        <f>IF($AD1485="保留中",COUNTIF($AD$6:$AD1485,"保留中"),"")</f>
        <v/>
      </c>
      <c r="AN1485" s="14">
        <f>IF($AO1485="","",IF(SUMPRODUCT(MAX((職員マスタ!$A$6:$A$405=$B1485)*(((職員マスタ!$G$6:$G$405="")+(職員マスタ!$G$6:$G$405&lt;=EOMONTH($AO1485,0)))&gt;0)*(((職員マスタ!$H$6:$H$405="")+(職員マスタ!$H$6:$H$405&gt;=$AO1485))&gt;0)*(ROW(職員マスタ!$A$6:$A$405)-5)))&gt;0,SUMPRODUCT(MAX((職員マスタ!$A$6:$A$405=$B1485)*(((職員マスタ!$G$6:$G$405="")+(職員マスタ!$G$6:$G$405&lt;=EOMONTH($AO1485,0)))&gt;0)*(((職員マスタ!$H$6:$H$405="")+(職員マスタ!$H$6:$H$405&gt;=$AO1485))&gt;0)*(ROW(職員マスタ!$A$6:$A$405)-5))),IFERROR(MATCH($B1485,職員マスタ!$A$6:$A$405,0),"")))</f>
        <v/>
      </c>
      <c r="AO1485" s="16">
        <f>IF(OR($B1485="",$C1485="",$D1485=""),"",DATE($C1485+2018,$D1485,1))</f>
        <v/>
      </c>
    </row>
    <row r="1486">
      <c r="A1486" s="11" t="n"/>
      <c r="B1486" s="12" t="n"/>
      <c r="C1486" s="12" t="n"/>
      <c r="D1486" s="12" t="n"/>
      <c r="E1486" s="13" t="n"/>
      <c r="F1486" s="12" t="n"/>
      <c r="G1486" s="13" t="n"/>
      <c r="H1486" s="12" t="n"/>
      <c r="I1486" s="12" t="n"/>
      <c r="J1486" s="12" t="n"/>
      <c r="K1486" s="12" t="n"/>
      <c r="L1486" s="11" t="n"/>
      <c r="M1486" s="11" t="n"/>
      <c r="N1486" s="11" t="n"/>
      <c r="O1486" s="11" t="n"/>
      <c r="P1486" s="12" t="n"/>
      <c r="Q1486" s="11" t="n"/>
      <c r="R1486" s="12" t="n"/>
      <c r="S1486" s="11" t="n"/>
      <c r="T1486" s="12" t="n"/>
      <c r="U1486" s="12" t="n"/>
      <c r="V1486" s="14">
        <f>IF($AN1486="",IF($B1486="","",$H1486),IF(INDEX(職員マスタ!$B$6:$B$405,$AN1486)="",$H1486,INDEX(職員マスタ!$B$6:$B$405,$AN1486)))</f>
        <v/>
      </c>
      <c r="W1486" s="14">
        <f>IF($AN1486="",IF($B1486="","",$R1486),IF(INDEX(職員マスタ!$C$6:$C$405,$AN1486)="",$R1486,INDEX(職員マスタ!$C$6:$C$405,$AN1486)))</f>
        <v/>
      </c>
      <c r="X1486" s="14">
        <f>IF($AO1486="","","R"&amp;$C1486&amp;"."&amp;$D1486)</f>
        <v/>
      </c>
      <c r="Y1486" s="15">
        <f>IF($AN1486="","",IF(INDEX(職員マスタ!$K$6:$K$405,$AN1486)="","",INDEX(職員マスタ!$K$6:$K$405,$AN1486)))</f>
        <v/>
      </c>
      <c r="Z1486" s="14">
        <f>IF(OR($E1486="",$Y1486=""),"",IF($E1486&gt;=$Y1486,"×",IF($E1486&gt;=$Y1486*設定!$C$5,"△","○")))</f>
        <v/>
      </c>
      <c r="AA1486" s="15">
        <f>IF($Z1486="","",IF($Z1486="×",0,IF($Z1486="○",ROUNDDOWN($E1486*設定!$C$4,0),ROUNDDOWN($E1486*ROUND((9*$Y1486-9*$E1486)/(10*$E1486),4),0))))</f>
        <v/>
      </c>
      <c r="AB1486" s="13" t="n"/>
      <c r="AC1486" s="15">
        <f>IF($B1486="","",IF($AB1486&lt;&gt;"",$AB1486,IF($AA1486="","",IF($AA1486&lt;=設定!$C$3,0,$AA1486))))</f>
        <v/>
      </c>
      <c r="AD1486" s="14">
        <f>IF($B1486="","",IF(AND($AE1486&lt;&gt;"",$AG1486="",$AJ1486=""),"保留中",IF($AJ1486&lt;&gt;"",IF(N($AC1486)&gt;0,"支給済","不支給"),IF($AC1486="","要確認",IF($AC1486=0,"不支給","未処理")))))</f>
        <v/>
      </c>
      <c r="AE1486" s="12" t="n"/>
      <c r="AF1486" s="11" t="n"/>
      <c r="AG1486" s="11" t="n"/>
      <c r="AH1486" s="11" t="n"/>
      <c r="AI1486" s="14">
        <f>IF(AND($AD1486="保留中",$AF1486&lt;&gt;""),TODAY()-$AF1486,"")</f>
        <v/>
      </c>
      <c r="AJ1486" s="12" t="n"/>
      <c r="AK1486" s="14">
        <f>IF($B1486="","",IF($AO1486="","対象年月が未入力／","")&amp;IF($B1486="","",IF($AN1486="","職員マスタに未登録の職員番号／",IF($Y1486="","標準報酬月額が未登録／","")&amp;IF(AND($AO1486&lt;&gt;"",OR(AND(INDEX(職員マスタ!$G$6:$G$405,$AN1486)&lt;&gt;"",INDEX(職員マスタ!$G$6:$G$405,$AN1486)&gt;EOMONTH($AO1486,0)),AND(INDEX(職員マスタ!$H$6:$H$405,$AN1486)&lt;&gt;"",INDEX(職員マスタ!$H$6:$H$405,$AN1486)&lt;$AO1486))),"対象月が時短期間外／","")&amp;IF(AND(INDEX(職員マスタ!$F$6:$F$405,$AN1486)&lt;&gt;"",$AO1486&lt;&gt;"",INDEX(職員マスタ!$F$6:$F$405,$AN1486)&lt;$AO1486),"対象月に子が2歳到達済／","")&amp;IF(AND($H1486&lt;&gt;"",INDEX(職員マスタ!$B$6:$B$405,$AN1486)&lt;&gt;"",SUBSTITUTE(SUBSTITUTE($H1486," ","")," ","")&lt;&gt;SUBSTITUTE(SUBSTITUTE(INDEX(職員マスタ!$B$6:$B$405,$AN1486)," ","")," ","")),"氏名がマスタと相違／","")&amp;IF(AND($Q1486&lt;&gt;"",INDEX(職員マスタ!$E$6:$E$405,$AN1486)&lt;&gt;"",$Q1486&lt;&gt;INDEX(職員マスタ!$E$6:$E$405,$AN1486)),"子の生年月日がマスタと相違／","")&amp;IF(AND($L1486&lt;&gt;"",INDEX(職員マスタ!$G$6:$G$405,$AN1486)&lt;&gt;"",$L1486&lt;&gt;INDEX(職員マスタ!$G$6:$G$405,$AN1486)),"時短開始日がマスタと相違／","")&amp;IF(AND($M1486&lt;&gt;"",INDEX(職員マスタ!$H$6:$H$405,$AN1486)&lt;&gt;"",$M1486&lt;&gt;INDEX(職員マスタ!$H$6:$H$405,$AN1486)),"時短終了日がマスタと相違／","")))&amp;IF(AND($B1486&lt;&gt;"",$E1486=""),"報酬額が未入力／","")&amp;IF(N($U1486)&gt;0,"申請書に入力エラーが残っています／","")&amp;IF(AND($B1486&lt;&gt;"",$AO1486&lt;&gt;""),IF(COUNTIFS($B$6:$B$3005,$B1486,$C$6:$C$3005,$C1486,$D$6:$D$3005,$D1486)&gt;1,"同じ月の請求が重複しています／",""),"")&amp;IF(AND(N($E1486)&gt;0,$Z1486&lt;&gt;"",$Z1486&lt;&gt;"×",$AC1486=0,$AB1486=""),"計算額が下限以下のため不支給／",""))</f>
        <v/>
      </c>
      <c r="AL1486" s="12" t="n"/>
      <c r="AM1486" s="14">
        <f>IF($AD1486="保留中",COUNTIF($AD$6:$AD1486,"保留中"),"")</f>
        <v/>
      </c>
      <c r="AN1486" s="14">
        <f>IF($AO1486="","",IF(SUMPRODUCT(MAX((職員マスタ!$A$6:$A$405=$B1486)*(((職員マスタ!$G$6:$G$405="")+(職員マスタ!$G$6:$G$405&lt;=EOMONTH($AO1486,0)))&gt;0)*(((職員マスタ!$H$6:$H$405="")+(職員マスタ!$H$6:$H$405&gt;=$AO1486))&gt;0)*(ROW(職員マスタ!$A$6:$A$405)-5)))&gt;0,SUMPRODUCT(MAX((職員マスタ!$A$6:$A$405=$B1486)*(((職員マスタ!$G$6:$G$405="")+(職員マスタ!$G$6:$G$405&lt;=EOMONTH($AO1486,0)))&gt;0)*(((職員マスタ!$H$6:$H$405="")+(職員マスタ!$H$6:$H$405&gt;=$AO1486))&gt;0)*(ROW(職員マスタ!$A$6:$A$405)-5))),IFERROR(MATCH($B1486,職員マスタ!$A$6:$A$405,0),"")))</f>
        <v/>
      </c>
      <c r="AO1486" s="16">
        <f>IF(OR($B1486="",$C1486="",$D1486=""),"",DATE($C1486+2018,$D1486,1))</f>
        <v/>
      </c>
    </row>
    <row r="1487">
      <c r="A1487" s="11" t="n"/>
      <c r="B1487" s="12" t="n"/>
      <c r="C1487" s="12" t="n"/>
      <c r="D1487" s="12" t="n"/>
      <c r="E1487" s="13" t="n"/>
      <c r="F1487" s="12" t="n"/>
      <c r="G1487" s="13" t="n"/>
      <c r="H1487" s="12" t="n"/>
      <c r="I1487" s="12" t="n"/>
      <c r="J1487" s="12" t="n"/>
      <c r="K1487" s="12" t="n"/>
      <c r="L1487" s="11" t="n"/>
      <c r="M1487" s="11" t="n"/>
      <c r="N1487" s="11" t="n"/>
      <c r="O1487" s="11" t="n"/>
      <c r="P1487" s="12" t="n"/>
      <c r="Q1487" s="11" t="n"/>
      <c r="R1487" s="12" t="n"/>
      <c r="S1487" s="11" t="n"/>
      <c r="T1487" s="12" t="n"/>
      <c r="U1487" s="12" t="n"/>
      <c r="V1487" s="14">
        <f>IF($AN1487="",IF($B1487="","",$H1487),IF(INDEX(職員マスタ!$B$6:$B$405,$AN1487)="",$H1487,INDEX(職員マスタ!$B$6:$B$405,$AN1487)))</f>
        <v/>
      </c>
      <c r="W1487" s="14">
        <f>IF($AN1487="",IF($B1487="","",$R1487),IF(INDEX(職員マスタ!$C$6:$C$405,$AN1487)="",$R1487,INDEX(職員マスタ!$C$6:$C$405,$AN1487)))</f>
        <v/>
      </c>
      <c r="X1487" s="14">
        <f>IF($AO1487="","","R"&amp;$C1487&amp;"."&amp;$D1487)</f>
        <v/>
      </c>
      <c r="Y1487" s="15">
        <f>IF($AN1487="","",IF(INDEX(職員マスタ!$K$6:$K$405,$AN1487)="","",INDEX(職員マスタ!$K$6:$K$405,$AN1487)))</f>
        <v/>
      </c>
      <c r="Z1487" s="14">
        <f>IF(OR($E1487="",$Y1487=""),"",IF($E1487&gt;=$Y1487,"×",IF($E1487&gt;=$Y1487*設定!$C$5,"△","○")))</f>
        <v/>
      </c>
      <c r="AA1487" s="15">
        <f>IF($Z1487="","",IF($Z1487="×",0,IF($Z1487="○",ROUNDDOWN($E1487*設定!$C$4,0),ROUNDDOWN($E1487*ROUND((9*$Y1487-9*$E1487)/(10*$E1487),4),0))))</f>
        <v/>
      </c>
      <c r="AB1487" s="13" t="n"/>
      <c r="AC1487" s="15">
        <f>IF($B1487="","",IF($AB1487&lt;&gt;"",$AB1487,IF($AA1487="","",IF($AA1487&lt;=設定!$C$3,0,$AA1487))))</f>
        <v/>
      </c>
      <c r="AD1487" s="14">
        <f>IF($B1487="","",IF(AND($AE1487&lt;&gt;"",$AG1487="",$AJ1487=""),"保留中",IF($AJ1487&lt;&gt;"",IF(N($AC1487)&gt;0,"支給済","不支給"),IF($AC1487="","要確認",IF($AC1487=0,"不支給","未処理")))))</f>
        <v/>
      </c>
      <c r="AE1487" s="12" t="n"/>
      <c r="AF1487" s="11" t="n"/>
      <c r="AG1487" s="11" t="n"/>
      <c r="AH1487" s="11" t="n"/>
      <c r="AI1487" s="14">
        <f>IF(AND($AD1487="保留中",$AF1487&lt;&gt;""),TODAY()-$AF1487,"")</f>
        <v/>
      </c>
      <c r="AJ1487" s="12" t="n"/>
      <c r="AK1487" s="14">
        <f>IF($B1487="","",IF($AO1487="","対象年月が未入力／","")&amp;IF($B1487="","",IF($AN1487="","職員マスタに未登録の職員番号／",IF($Y1487="","標準報酬月額が未登録／","")&amp;IF(AND($AO1487&lt;&gt;"",OR(AND(INDEX(職員マスタ!$G$6:$G$405,$AN1487)&lt;&gt;"",INDEX(職員マスタ!$G$6:$G$405,$AN1487)&gt;EOMONTH($AO1487,0)),AND(INDEX(職員マスタ!$H$6:$H$405,$AN1487)&lt;&gt;"",INDEX(職員マスタ!$H$6:$H$405,$AN1487)&lt;$AO1487))),"対象月が時短期間外／","")&amp;IF(AND(INDEX(職員マスタ!$F$6:$F$405,$AN1487)&lt;&gt;"",$AO1487&lt;&gt;"",INDEX(職員マスタ!$F$6:$F$405,$AN1487)&lt;$AO1487),"対象月に子が2歳到達済／","")&amp;IF(AND($H1487&lt;&gt;"",INDEX(職員マスタ!$B$6:$B$405,$AN1487)&lt;&gt;"",SUBSTITUTE(SUBSTITUTE($H1487," ","")," ","")&lt;&gt;SUBSTITUTE(SUBSTITUTE(INDEX(職員マスタ!$B$6:$B$405,$AN1487)," ","")," ","")),"氏名がマスタと相違／","")&amp;IF(AND($Q1487&lt;&gt;"",INDEX(職員マスタ!$E$6:$E$405,$AN1487)&lt;&gt;"",$Q1487&lt;&gt;INDEX(職員マスタ!$E$6:$E$405,$AN1487)),"子の生年月日がマスタと相違／","")&amp;IF(AND($L1487&lt;&gt;"",INDEX(職員マスタ!$G$6:$G$405,$AN1487)&lt;&gt;"",$L1487&lt;&gt;INDEX(職員マスタ!$G$6:$G$405,$AN1487)),"時短開始日がマスタと相違／","")&amp;IF(AND($M1487&lt;&gt;"",INDEX(職員マスタ!$H$6:$H$405,$AN1487)&lt;&gt;"",$M1487&lt;&gt;INDEX(職員マスタ!$H$6:$H$405,$AN1487)),"時短終了日がマスタと相違／","")))&amp;IF(AND($B1487&lt;&gt;"",$E1487=""),"報酬額が未入力／","")&amp;IF(N($U1487)&gt;0,"申請書に入力エラーが残っています／","")&amp;IF(AND($B1487&lt;&gt;"",$AO1487&lt;&gt;""),IF(COUNTIFS($B$6:$B$3005,$B1487,$C$6:$C$3005,$C1487,$D$6:$D$3005,$D1487)&gt;1,"同じ月の請求が重複しています／",""),"")&amp;IF(AND(N($E1487)&gt;0,$Z1487&lt;&gt;"",$Z1487&lt;&gt;"×",$AC1487=0,$AB1487=""),"計算額が下限以下のため不支給／",""))</f>
        <v/>
      </c>
      <c r="AL1487" s="12" t="n"/>
      <c r="AM1487" s="14">
        <f>IF($AD1487="保留中",COUNTIF($AD$6:$AD1487,"保留中"),"")</f>
        <v/>
      </c>
      <c r="AN1487" s="14">
        <f>IF($AO1487="","",IF(SUMPRODUCT(MAX((職員マスタ!$A$6:$A$405=$B1487)*(((職員マスタ!$G$6:$G$405="")+(職員マスタ!$G$6:$G$405&lt;=EOMONTH($AO1487,0)))&gt;0)*(((職員マスタ!$H$6:$H$405="")+(職員マスタ!$H$6:$H$405&gt;=$AO1487))&gt;0)*(ROW(職員マスタ!$A$6:$A$405)-5)))&gt;0,SUMPRODUCT(MAX((職員マスタ!$A$6:$A$405=$B1487)*(((職員マスタ!$G$6:$G$405="")+(職員マスタ!$G$6:$G$405&lt;=EOMONTH($AO1487,0)))&gt;0)*(((職員マスタ!$H$6:$H$405="")+(職員マスタ!$H$6:$H$405&gt;=$AO1487))&gt;0)*(ROW(職員マスタ!$A$6:$A$405)-5))),IFERROR(MATCH($B1487,職員マスタ!$A$6:$A$405,0),"")))</f>
        <v/>
      </c>
      <c r="AO1487" s="16">
        <f>IF(OR($B1487="",$C1487="",$D1487=""),"",DATE($C1487+2018,$D1487,1))</f>
        <v/>
      </c>
    </row>
    <row r="1488">
      <c r="A1488" s="11" t="n"/>
      <c r="B1488" s="12" t="n"/>
      <c r="C1488" s="12" t="n"/>
      <c r="D1488" s="12" t="n"/>
      <c r="E1488" s="13" t="n"/>
      <c r="F1488" s="12" t="n"/>
      <c r="G1488" s="13" t="n"/>
      <c r="H1488" s="12" t="n"/>
      <c r="I1488" s="12" t="n"/>
      <c r="J1488" s="12" t="n"/>
      <c r="K1488" s="12" t="n"/>
      <c r="L1488" s="11" t="n"/>
      <c r="M1488" s="11" t="n"/>
      <c r="N1488" s="11" t="n"/>
      <c r="O1488" s="11" t="n"/>
      <c r="P1488" s="12" t="n"/>
      <c r="Q1488" s="11" t="n"/>
      <c r="R1488" s="12" t="n"/>
      <c r="S1488" s="11" t="n"/>
      <c r="T1488" s="12" t="n"/>
      <c r="U1488" s="12" t="n"/>
      <c r="V1488" s="14">
        <f>IF($AN1488="",IF($B1488="","",$H1488),IF(INDEX(職員マスタ!$B$6:$B$405,$AN1488)="",$H1488,INDEX(職員マスタ!$B$6:$B$405,$AN1488)))</f>
        <v/>
      </c>
      <c r="W1488" s="14">
        <f>IF($AN1488="",IF($B1488="","",$R1488),IF(INDEX(職員マスタ!$C$6:$C$405,$AN1488)="",$R1488,INDEX(職員マスタ!$C$6:$C$405,$AN1488)))</f>
        <v/>
      </c>
      <c r="X1488" s="14">
        <f>IF($AO1488="","","R"&amp;$C1488&amp;"."&amp;$D1488)</f>
        <v/>
      </c>
      <c r="Y1488" s="15">
        <f>IF($AN1488="","",IF(INDEX(職員マスタ!$K$6:$K$405,$AN1488)="","",INDEX(職員マスタ!$K$6:$K$405,$AN1488)))</f>
        <v/>
      </c>
      <c r="Z1488" s="14">
        <f>IF(OR($E1488="",$Y1488=""),"",IF($E1488&gt;=$Y1488,"×",IF($E1488&gt;=$Y1488*設定!$C$5,"△","○")))</f>
        <v/>
      </c>
      <c r="AA1488" s="15">
        <f>IF($Z1488="","",IF($Z1488="×",0,IF($Z1488="○",ROUNDDOWN($E1488*設定!$C$4,0),ROUNDDOWN($E1488*ROUND((9*$Y1488-9*$E1488)/(10*$E1488),4),0))))</f>
        <v/>
      </c>
      <c r="AB1488" s="13" t="n"/>
      <c r="AC1488" s="15">
        <f>IF($B1488="","",IF($AB1488&lt;&gt;"",$AB1488,IF($AA1488="","",IF($AA1488&lt;=設定!$C$3,0,$AA1488))))</f>
        <v/>
      </c>
      <c r="AD1488" s="14">
        <f>IF($B1488="","",IF(AND($AE1488&lt;&gt;"",$AG1488="",$AJ1488=""),"保留中",IF($AJ1488&lt;&gt;"",IF(N($AC1488)&gt;0,"支給済","不支給"),IF($AC1488="","要確認",IF($AC1488=0,"不支給","未処理")))))</f>
        <v/>
      </c>
      <c r="AE1488" s="12" t="n"/>
      <c r="AF1488" s="11" t="n"/>
      <c r="AG1488" s="11" t="n"/>
      <c r="AH1488" s="11" t="n"/>
      <c r="AI1488" s="14">
        <f>IF(AND($AD1488="保留中",$AF1488&lt;&gt;""),TODAY()-$AF1488,"")</f>
        <v/>
      </c>
      <c r="AJ1488" s="12" t="n"/>
      <c r="AK1488" s="14">
        <f>IF($B1488="","",IF($AO1488="","対象年月が未入力／","")&amp;IF($B1488="","",IF($AN1488="","職員マスタに未登録の職員番号／",IF($Y1488="","標準報酬月額が未登録／","")&amp;IF(AND($AO1488&lt;&gt;"",OR(AND(INDEX(職員マスタ!$G$6:$G$405,$AN1488)&lt;&gt;"",INDEX(職員マスタ!$G$6:$G$405,$AN1488)&gt;EOMONTH($AO1488,0)),AND(INDEX(職員マスタ!$H$6:$H$405,$AN1488)&lt;&gt;"",INDEX(職員マスタ!$H$6:$H$405,$AN1488)&lt;$AO1488))),"対象月が時短期間外／","")&amp;IF(AND(INDEX(職員マスタ!$F$6:$F$405,$AN1488)&lt;&gt;"",$AO1488&lt;&gt;"",INDEX(職員マスタ!$F$6:$F$405,$AN1488)&lt;$AO1488),"対象月に子が2歳到達済／","")&amp;IF(AND($H1488&lt;&gt;"",INDEX(職員マスタ!$B$6:$B$405,$AN1488)&lt;&gt;"",SUBSTITUTE(SUBSTITUTE($H1488," ","")," ","")&lt;&gt;SUBSTITUTE(SUBSTITUTE(INDEX(職員マスタ!$B$6:$B$405,$AN1488)," ","")," ","")),"氏名がマスタと相違／","")&amp;IF(AND($Q1488&lt;&gt;"",INDEX(職員マスタ!$E$6:$E$405,$AN1488)&lt;&gt;"",$Q1488&lt;&gt;INDEX(職員マスタ!$E$6:$E$405,$AN1488)),"子の生年月日がマスタと相違／","")&amp;IF(AND($L1488&lt;&gt;"",INDEX(職員マスタ!$G$6:$G$405,$AN1488)&lt;&gt;"",$L1488&lt;&gt;INDEX(職員マスタ!$G$6:$G$405,$AN1488)),"時短開始日がマスタと相違／","")&amp;IF(AND($M1488&lt;&gt;"",INDEX(職員マスタ!$H$6:$H$405,$AN1488)&lt;&gt;"",$M1488&lt;&gt;INDEX(職員マスタ!$H$6:$H$405,$AN1488)),"時短終了日がマスタと相違／","")))&amp;IF(AND($B1488&lt;&gt;"",$E1488=""),"報酬額が未入力／","")&amp;IF(N($U1488)&gt;0,"申請書に入力エラーが残っています／","")&amp;IF(AND($B1488&lt;&gt;"",$AO1488&lt;&gt;""),IF(COUNTIFS($B$6:$B$3005,$B1488,$C$6:$C$3005,$C1488,$D$6:$D$3005,$D1488)&gt;1,"同じ月の請求が重複しています／",""),"")&amp;IF(AND(N($E1488)&gt;0,$Z1488&lt;&gt;"",$Z1488&lt;&gt;"×",$AC1488=0,$AB1488=""),"計算額が下限以下のため不支給／",""))</f>
        <v/>
      </c>
      <c r="AL1488" s="12" t="n"/>
      <c r="AM1488" s="14">
        <f>IF($AD1488="保留中",COUNTIF($AD$6:$AD1488,"保留中"),"")</f>
        <v/>
      </c>
      <c r="AN1488" s="14">
        <f>IF($AO1488="","",IF(SUMPRODUCT(MAX((職員マスタ!$A$6:$A$405=$B1488)*(((職員マスタ!$G$6:$G$405="")+(職員マスタ!$G$6:$G$405&lt;=EOMONTH($AO1488,0)))&gt;0)*(((職員マスタ!$H$6:$H$405="")+(職員マスタ!$H$6:$H$405&gt;=$AO1488))&gt;0)*(ROW(職員マスタ!$A$6:$A$405)-5)))&gt;0,SUMPRODUCT(MAX((職員マスタ!$A$6:$A$405=$B1488)*(((職員マスタ!$G$6:$G$405="")+(職員マスタ!$G$6:$G$405&lt;=EOMONTH($AO1488,0)))&gt;0)*(((職員マスタ!$H$6:$H$405="")+(職員マスタ!$H$6:$H$405&gt;=$AO1488))&gt;0)*(ROW(職員マスタ!$A$6:$A$405)-5))),IFERROR(MATCH($B1488,職員マスタ!$A$6:$A$405,0),"")))</f>
        <v/>
      </c>
      <c r="AO1488" s="16">
        <f>IF(OR($B1488="",$C1488="",$D1488=""),"",DATE($C1488+2018,$D1488,1))</f>
        <v/>
      </c>
    </row>
    <row r="1489">
      <c r="A1489" s="11" t="n"/>
      <c r="B1489" s="12" t="n"/>
      <c r="C1489" s="12" t="n"/>
      <c r="D1489" s="12" t="n"/>
      <c r="E1489" s="13" t="n"/>
      <c r="F1489" s="12" t="n"/>
      <c r="G1489" s="13" t="n"/>
      <c r="H1489" s="12" t="n"/>
      <c r="I1489" s="12" t="n"/>
      <c r="J1489" s="12" t="n"/>
      <c r="K1489" s="12" t="n"/>
      <c r="L1489" s="11" t="n"/>
      <c r="M1489" s="11" t="n"/>
      <c r="N1489" s="11" t="n"/>
      <c r="O1489" s="11" t="n"/>
      <c r="P1489" s="12" t="n"/>
      <c r="Q1489" s="11" t="n"/>
      <c r="R1489" s="12" t="n"/>
      <c r="S1489" s="11" t="n"/>
      <c r="T1489" s="12" t="n"/>
      <c r="U1489" s="12" t="n"/>
      <c r="V1489" s="14">
        <f>IF($AN1489="",IF($B1489="","",$H1489),IF(INDEX(職員マスタ!$B$6:$B$405,$AN1489)="",$H1489,INDEX(職員マスタ!$B$6:$B$405,$AN1489)))</f>
        <v/>
      </c>
      <c r="W1489" s="14">
        <f>IF($AN1489="",IF($B1489="","",$R1489),IF(INDEX(職員マスタ!$C$6:$C$405,$AN1489)="",$R1489,INDEX(職員マスタ!$C$6:$C$405,$AN1489)))</f>
        <v/>
      </c>
      <c r="X1489" s="14">
        <f>IF($AO1489="","","R"&amp;$C1489&amp;"."&amp;$D1489)</f>
        <v/>
      </c>
      <c r="Y1489" s="15">
        <f>IF($AN1489="","",IF(INDEX(職員マスタ!$K$6:$K$405,$AN1489)="","",INDEX(職員マスタ!$K$6:$K$405,$AN1489)))</f>
        <v/>
      </c>
      <c r="Z1489" s="14">
        <f>IF(OR($E1489="",$Y1489=""),"",IF($E1489&gt;=$Y1489,"×",IF($E1489&gt;=$Y1489*設定!$C$5,"△","○")))</f>
        <v/>
      </c>
      <c r="AA1489" s="15">
        <f>IF($Z1489="","",IF($Z1489="×",0,IF($Z1489="○",ROUNDDOWN($E1489*設定!$C$4,0),ROUNDDOWN($E1489*ROUND((9*$Y1489-9*$E1489)/(10*$E1489),4),0))))</f>
        <v/>
      </c>
      <c r="AB1489" s="13" t="n"/>
      <c r="AC1489" s="15">
        <f>IF($B1489="","",IF($AB1489&lt;&gt;"",$AB1489,IF($AA1489="","",IF($AA1489&lt;=設定!$C$3,0,$AA1489))))</f>
        <v/>
      </c>
      <c r="AD1489" s="14">
        <f>IF($B1489="","",IF(AND($AE1489&lt;&gt;"",$AG1489="",$AJ1489=""),"保留中",IF($AJ1489&lt;&gt;"",IF(N($AC1489)&gt;0,"支給済","不支給"),IF($AC1489="","要確認",IF($AC1489=0,"不支給","未処理")))))</f>
        <v/>
      </c>
      <c r="AE1489" s="12" t="n"/>
      <c r="AF1489" s="11" t="n"/>
      <c r="AG1489" s="11" t="n"/>
      <c r="AH1489" s="11" t="n"/>
      <c r="AI1489" s="14">
        <f>IF(AND($AD1489="保留中",$AF1489&lt;&gt;""),TODAY()-$AF1489,"")</f>
        <v/>
      </c>
      <c r="AJ1489" s="12" t="n"/>
      <c r="AK1489" s="14">
        <f>IF($B1489="","",IF($AO1489="","対象年月が未入力／","")&amp;IF($B1489="","",IF($AN1489="","職員マスタに未登録の職員番号／",IF($Y1489="","標準報酬月額が未登録／","")&amp;IF(AND($AO1489&lt;&gt;"",OR(AND(INDEX(職員マスタ!$G$6:$G$405,$AN1489)&lt;&gt;"",INDEX(職員マスタ!$G$6:$G$405,$AN1489)&gt;EOMONTH($AO1489,0)),AND(INDEX(職員マスタ!$H$6:$H$405,$AN1489)&lt;&gt;"",INDEX(職員マスタ!$H$6:$H$405,$AN1489)&lt;$AO1489))),"対象月が時短期間外／","")&amp;IF(AND(INDEX(職員マスタ!$F$6:$F$405,$AN1489)&lt;&gt;"",$AO1489&lt;&gt;"",INDEX(職員マスタ!$F$6:$F$405,$AN1489)&lt;$AO1489),"対象月に子が2歳到達済／","")&amp;IF(AND($H1489&lt;&gt;"",INDEX(職員マスタ!$B$6:$B$405,$AN1489)&lt;&gt;"",SUBSTITUTE(SUBSTITUTE($H1489," ","")," ","")&lt;&gt;SUBSTITUTE(SUBSTITUTE(INDEX(職員マスタ!$B$6:$B$405,$AN1489)," ","")," ","")),"氏名がマスタと相違／","")&amp;IF(AND($Q1489&lt;&gt;"",INDEX(職員マスタ!$E$6:$E$405,$AN1489)&lt;&gt;"",$Q1489&lt;&gt;INDEX(職員マスタ!$E$6:$E$405,$AN1489)),"子の生年月日がマスタと相違／","")&amp;IF(AND($L1489&lt;&gt;"",INDEX(職員マスタ!$G$6:$G$405,$AN1489)&lt;&gt;"",$L1489&lt;&gt;INDEX(職員マスタ!$G$6:$G$405,$AN1489)),"時短開始日がマスタと相違／","")&amp;IF(AND($M1489&lt;&gt;"",INDEX(職員マスタ!$H$6:$H$405,$AN1489)&lt;&gt;"",$M1489&lt;&gt;INDEX(職員マスタ!$H$6:$H$405,$AN1489)),"時短終了日がマスタと相違／","")))&amp;IF(AND($B1489&lt;&gt;"",$E1489=""),"報酬額が未入力／","")&amp;IF(N($U1489)&gt;0,"申請書に入力エラーが残っています／","")&amp;IF(AND($B1489&lt;&gt;"",$AO1489&lt;&gt;""),IF(COUNTIFS($B$6:$B$3005,$B1489,$C$6:$C$3005,$C1489,$D$6:$D$3005,$D1489)&gt;1,"同じ月の請求が重複しています／",""),"")&amp;IF(AND(N($E1489)&gt;0,$Z1489&lt;&gt;"",$Z1489&lt;&gt;"×",$AC1489=0,$AB1489=""),"計算額が下限以下のため不支給／",""))</f>
        <v/>
      </c>
      <c r="AL1489" s="12" t="n"/>
      <c r="AM1489" s="14">
        <f>IF($AD1489="保留中",COUNTIF($AD$6:$AD1489,"保留中"),"")</f>
        <v/>
      </c>
      <c r="AN1489" s="14">
        <f>IF($AO1489="","",IF(SUMPRODUCT(MAX((職員マスタ!$A$6:$A$405=$B1489)*(((職員マスタ!$G$6:$G$405="")+(職員マスタ!$G$6:$G$405&lt;=EOMONTH($AO1489,0)))&gt;0)*(((職員マスタ!$H$6:$H$405="")+(職員マスタ!$H$6:$H$405&gt;=$AO1489))&gt;0)*(ROW(職員マスタ!$A$6:$A$405)-5)))&gt;0,SUMPRODUCT(MAX((職員マスタ!$A$6:$A$405=$B1489)*(((職員マスタ!$G$6:$G$405="")+(職員マスタ!$G$6:$G$405&lt;=EOMONTH($AO1489,0)))&gt;0)*(((職員マスタ!$H$6:$H$405="")+(職員マスタ!$H$6:$H$405&gt;=$AO1489))&gt;0)*(ROW(職員マスタ!$A$6:$A$405)-5))),IFERROR(MATCH($B1489,職員マスタ!$A$6:$A$405,0),"")))</f>
        <v/>
      </c>
      <c r="AO1489" s="16">
        <f>IF(OR($B1489="",$C1489="",$D1489=""),"",DATE($C1489+2018,$D1489,1))</f>
        <v/>
      </c>
    </row>
    <row r="1490">
      <c r="A1490" s="11" t="n"/>
      <c r="B1490" s="12" t="n"/>
      <c r="C1490" s="12" t="n"/>
      <c r="D1490" s="12" t="n"/>
      <c r="E1490" s="13" t="n"/>
      <c r="F1490" s="12" t="n"/>
      <c r="G1490" s="13" t="n"/>
      <c r="H1490" s="12" t="n"/>
      <c r="I1490" s="12" t="n"/>
      <c r="J1490" s="12" t="n"/>
      <c r="K1490" s="12" t="n"/>
      <c r="L1490" s="11" t="n"/>
      <c r="M1490" s="11" t="n"/>
      <c r="N1490" s="11" t="n"/>
      <c r="O1490" s="11" t="n"/>
      <c r="P1490" s="12" t="n"/>
      <c r="Q1490" s="11" t="n"/>
      <c r="R1490" s="12" t="n"/>
      <c r="S1490" s="11" t="n"/>
      <c r="T1490" s="12" t="n"/>
      <c r="U1490" s="12" t="n"/>
      <c r="V1490" s="14">
        <f>IF($AN1490="",IF($B1490="","",$H1490),IF(INDEX(職員マスタ!$B$6:$B$405,$AN1490)="",$H1490,INDEX(職員マスタ!$B$6:$B$405,$AN1490)))</f>
        <v/>
      </c>
      <c r="W1490" s="14">
        <f>IF($AN1490="",IF($B1490="","",$R1490),IF(INDEX(職員マスタ!$C$6:$C$405,$AN1490)="",$R1490,INDEX(職員マスタ!$C$6:$C$405,$AN1490)))</f>
        <v/>
      </c>
      <c r="X1490" s="14">
        <f>IF($AO1490="","","R"&amp;$C1490&amp;"."&amp;$D1490)</f>
        <v/>
      </c>
      <c r="Y1490" s="15">
        <f>IF($AN1490="","",IF(INDEX(職員マスタ!$K$6:$K$405,$AN1490)="","",INDEX(職員マスタ!$K$6:$K$405,$AN1490)))</f>
        <v/>
      </c>
      <c r="Z1490" s="14">
        <f>IF(OR($E1490="",$Y1490=""),"",IF($E1490&gt;=$Y1490,"×",IF($E1490&gt;=$Y1490*設定!$C$5,"△","○")))</f>
        <v/>
      </c>
      <c r="AA1490" s="15">
        <f>IF($Z1490="","",IF($Z1490="×",0,IF($Z1490="○",ROUNDDOWN($E1490*設定!$C$4,0),ROUNDDOWN($E1490*ROUND((9*$Y1490-9*$E1490)/(10*$E1490),4),0))))</f>
        <v/>
      </c>
      <c r="AB1490" s="13" t="n"/>
      <c r="AC1490" s="15">
        <f>IF($B1490="","",IF($AB1490&lt;&gt;"",$AB1490,IF($AA1490="","",IF($AA1490&lt;=設定!$C$3,0,$AA1490))))</f>
        <v/>
      </c>
      <c r="AD1490" s="14">
        <f>IF($B1490="","",IF(AND($AE1490&lt;&gt;"",$AG1490="",$AJ1490=""),"保留中",IF($AJ1490&lt;&gt;"",IF(N($AC1490)&gt;0,"支給済","不支給"),IF($AC1490="","要確認",IF($AC1490=0,"不支給","未処理")))))</f>
        <v/>
      </c>
      <c r="AE1490" s="12" t="n"/>
      <c r="AF1490" s="11" t="n"/>
      <c r="AG1490" s="11" t="n"/>
      <c r="AH1490" s="11" t="n"/>
      <c r="AI1490" s="14">
        <f>IF(AND($AD1490="保留中",$AF1490&lt;&gt;""),TODAY()-$AF1490,"")</f>
        <v/>
      </c>
      <c r="AJ1490" s="12" t="n"/>
      <c r="AK1490" s="14">
        <f>IF($B1490="","",IF($AO1490="","対象年月が未入力／","")&amp;IF($B1490="","",IF($AN1490="","職員マスタに未登録の職員番号／",IF($Y1490="","標準報酬月額が未登録／","")&amp;IF(AND($AO1490&lt;&gt;"",OR(AND(INDEX(職員マスタ!$G$6:$G$405,$AN1490)&lt;&gt;"",INDEX(職員マスタ!$G$6:$G$405,$AN1490)&gt;EOMONTH($AO1490,0)),AND(INDEX(職員マスタ!$H$6:$H$405,$AN1490)&lt;&gt;"",INDEX(職員マスタ!$H$6:$H$405,$AN1490)&lt;$AO1490))),"対象月が時短期間外／","")&amp;IF(AND(INDEX(職員マスタ!$F$6:$F$405,$AN1490)&lt;&gt;"",$AO1490&lt;&gt;"",INDEX(職員マスタ!$F$6:$F$405,$AN1490)&lt;$AO1490),"対象月に子が2歳到達済／","")&amp;IF(AND($H1490&lt;&gt;"",INDEX(職員マスタ!$B$6:$B$405,$AN1490)&lt;&gt;"",SUBSTITUTE(SUBSTITUTE($H1490," ","")," ","")&lt;&gt;SUBSTITUTE(SUBSTITUTE(INDEX(職員マスタ!$B$6:$B$405,$AN1490)," ","")," ","")),"氏名がマスタと相違／","")&amp;IF(AND($Q1490&lt;&gt;"",INDEX(職員マスタ!$E$6:$E$405,$AN1490)&lt;&gt;"",$Q1490&lt;&gt;INDEX(職員マスタ!$E$6:$E$405,$AN1490)),"子の生年月日がマスタと相違／","")&amp;IF(AND($L1490&lt;&gt;"",INDEX(職員マスタ!$G$6:$G$405,$AN1490)&lt;&gt;"",$L1490&lt;&gt;INDEX(職員マスタ!$G$6:$G$405,$AN1490)),"時短開始日がマスタと相違／","")&amp;IF(AND($M1490&lt;&gt;"",INDEX(職員マスタ!$H$6:$H$405,$AN1490)&lt;&gt;"",$M1490&lt;&gt;INDEX(職員マスタ!$H$6:$H$405,$AN1490)),"時短終了日がマスタと相違／","")))&amp;IF(AND($B1490&lt;&gt;"",$E1490=""),"報酬額が未入力／","")&amp;IF(N($U1490)&gt;0,"申請書に入力エラーが残っています／","")&amp;IF(AND($B1490&lt;&gt;"",$AO1490&lt;&gt;""),IF(COUNTIFS($B$6:$B$3005,$B1490,$C$6:$C$3005,$C1490,$D$6:$D$3005,$D1490)&gt;1,"同じ月の請求が重複しています／",""),"")&amp;IF(AND(N($E1490)&gt;0,$Z1490&lt;&gt;"",$Z1490&lt;&gt;"×",$AC1490=0,$AB1490=""),"計算額が下限以下のため不支給／",""))</f>
        <v/>
      </c>
      <c r="AL1490" s="12" t="n"/>
      <c r="AM1490" s="14">
        <f>IF($AD1490="保留中",COUNTIF($AD$6:$AD1490,"保留中"),"")</f>
        <v/>
      </c>
      <c r="AN1490" s="14">
        <f>IF($AO1490="","",IF(SUMPRODUCT(MAX((職員マスタ!$A$6:$A$405=$B1490)*(((職員マスタ!$G$6:$G$405="")+(職員マスタ!$G$6:$G$405&lt;=EOMONTH($AO1490,0)))&gt;0)*(((職員マスタ!$H$6:$H$405="")+(職員マスタ!$H$6:$H$405&gt;=$AO1490))&gt;0)*(ROW(職員マスタ!$A$6:$A$405)-5)))&gt;0,SUMPRODUCT(MAX((職員マスタ!$A$6:$A$405=$B1490)*(((職員マスタ!$G$6:$G$405="")+(職員マスタ!$G$6:$G$405&lt;=EOMONTH($AO1490,0)))&gt;0)*(((職員マスタ!$H$6:$H$405="")+(職員マスタ!$H$6:$H$405&gt;=$AO1490))&gt;0)*(ROW(職員マスタ!$A$6:$A$405)-5))),IFERROR(MATCH($B1490,職員マスタ!$A$6:$A$405,0),"")))</f>
        <v/>
      </c>
      <c r="AO1490" s="16">
        <f>IF(OR($B1490="",$C1490="",$D1490=""),"",DATE($C1490+2018,$D1490,1))</f>
        <v/>
      </c>
    </row>
    <row r="1491">
      <c r="A1491" s="11" t="n"/>
      <c r="B1491" s="12" t="n"/>
      <c r="C1491" s="12" t="n"/>
      <c r="D1491" s="12" t="n"/>
      <c r="E1491" s="13" t="n"/>
      <c r="F1491" s="12" t="n"/>
      <c r="G1491" s="13" t="n"/>
      <c r="H1491" s="12" t="n"/>
      <c r="I1491" s="12" t="n"/>
      <c r="J1491" s="12" t="n"/>
      <c r="K1491" s="12" t="n"/>
      <c r="L1491" s="11" t="n"/>
      <c r="M1491" s="11" t="n"/>
      <c r="N1491" s="11" t="n"/>
      <c r="O1491" s="11" t="n"/>
      <c r="P1491" s="12" t="n"/>
      <c r="Q1491" s="11" t="n"/>
      <c r="R1491" s="12" t="n"/>
      <c r="S1491" s="11" t="n"/>
      <c r="T1491" s="12" t="n"/>
      <c r="U1491" s="12" t="n"/>
      <c r="V1491" s="14">
        <f>IF($AN1491="",IF($B1491="","",$H1491),IF(INDEX(職員マスタ!$B$6:$B$405,$AN1491)="",$H1491,INDEX(職員マスタ!$B$6:$B$405,$AN1491)))</f>
        <v/>
      </c>
      <c r="W1491" s="14">
        <f>IF($AN1491="",IF($B1491="","",$R1491),IF(INDEX(職員マスタ!$C$6:$C$405,$AN1491)="",$R1491,INDEX(職員マスタ!$C$6:$C$405,$AN1491)))</f>
        <v/>
      </c>
      <c r="X1491" s="14">
        <f>IF($AO1491="","","R"&amp;$C1491&amp;"."&amp;$D1491)</f>
        <v/>
      </c>
      <c r="Y1491" s="15">
        <f>IF($AN1491="","",IF(INDEX(職員マスタ!$K$6:$K$405,$AN1491)="","",INDEX(職員マスタ!$K$6:$K$405,$AN1491)))</f>
        <v/>
      </c>
      <c r="Z1491" s="14">
        <f>IF(OR($E1491="",$Y1491=""),"",IF($E1491&gt;=$Y1491,"×",IF($E1491&gt;=$Y1491*設定!$C$5,"△","○")))</f>
        <v/>
      </c>
      <c r="AA1491" s="15">
        <f>IF($Z1491="","",IF($Z1491="×",0,IF($Z1491="○",ROUNDDOWN($E1491*設定!$C$4,0),ROUNDDOWN($E1491*ROUND((9*$Y1491-9*$E1491)/(10*$E1491),4),0))))</f>
        <v/>
      </c>
      <c r="AB1491" s="13" t="n"/>
      <c r="AC1491" s="15">
        <f>IF($B1491="","",IF($AB1491&lt;&gt;"",$AB1491,IF($AA1491="","",IF($AA1491&lt;=設定!$C$3,0,$AA1491))))</f>
        <v/>
      </c>
      <c r="AD1491" s="14">
        <f>IF($B1491="","",IF(AND($AE1491&lt;&gt;"",$AG1491="",$AJ1491=""),"保留中",IF($AJ1491&lt;&gt;"",IF(N($AC1491)&gt;0,"支給済","不支給"),IF($AC1491="","要確認",IF($AC1491=0,"不支給","未処理")))))</f>
        <v/>
      </c>
      <c r="AE1491" s="12" t="n"/>
      <c r="AF1491" s="11" t="n"/>
      <c r="AG1491" s="11" t="n"/>
      <c r="AH1491" s="11" t="n"/>
      <c r="AI1491" s="14">
        <f>IF(AND($AD1491="保留中",$AF1491&lt;&gt;""),TODAY()-$AF1491,"")</f>
        <v/>
      </c>
      <c r="AJ1491" s="12" t="n"/>
      <c r="AK1491" s="14">
        <f>IF($B1491="","",IF($AO1491="","対象年月が未入力／","")&amp;IF($B1491="","",IF($AN1491="","職員マスタに未登録の職員番号／",IF($Y1491="","標準報酬月額が未登録／","")&amp;IF(AND($AO1491&lt;&gt;"",OR(AND(INDEX(職員マスタ!$G$6:$G$405,$AN1491)&lt;&gt;"",INDEX(職員マスタ!$G$6:$G$405,$AN1491)&gt;EOMONTH($AO1491,0)),AND(INDEX(職員マスタ!$H$6:$H$405,$AN1491)&lt;&gt;"",INDEX(職員マスタ!$H$6:$H$405,$AN1491)&lt;$AO1491))),"対象月が時短期間外／","")&amp;IF(AND(INDEX(職員マスタ!$F$6:$F$405,$AN1491)&lt;&gt;"",$AO1491&lt;&gt;"",INDEX(職員マスタ!$F$6:$F$405,$AN1491)&lt;$AO1491),"対象月に子が2歳到達済／","")&amp;IF(AND($H1491&lt;&gt;"",INDEX(職員マスタ!$B$6:$B$405,$AN1491)&lt;&gt;"",SUBSTITUTE(SUBSTITUTE($H1491," ","")," ","")&lt;&gt;SUBSTITUTE(SUBSTITUTE(INDEX(職員マスタ!$B$6:$B$405,$AN1491)," ","")," ","")),"氏名がマスタと相違／","")&amp;IF(AND($Q1491&lt;&gt;"",INDEX(職員マスタ!$E$6:$E$405,$AN1491)&lt;&gt;"",$Q1491&lt;&gt;INDEX(職員マスタ!$E$6:$E$405,$AN1491)),"子の生年月日がマスタと相違／","")&amp;IF(AND($L1491&lt;&gt;"",INDEX(職員マスタ!$G$6:$G$405,$AN1491)&lt;&gt;"",$L1491&lt;&gt;INDEX(職員マスタ!$G$6:$G$405,$AN1491)),"時短開始日がマスタと相違／","")&amp;IF(AND($M1491&lt;&gt;"",INDEX(職員マスタ!$H$6:$H$405,$AN1491)&lt;&gt;"",$M1491&lt;&gt;INDEX(職員マスタ!$H$6:$H$405,$AN1491)),"時短終了日がマスタと相違／","")))&amp;IF(AND($B1491&lt;&gt;"",$E1491=""),"報酬額が未入力／","")&amp;IF(N($U1491)&gt;0,"申請書に入力エラーが残っています／","")&amp;IF(AND($B1491&lt;&gt;"",$AO1491&lt;&gt;""),IF(COUNTIFS($B$6:$B$3005,$B1491,$C$6:$C$3005,$C1491,$D$6:$D$3005,$D1491)&gt;1,"同じ月の請求が重複しています／",""),"")&amp;IF(AND(N($E1491)&gt;0,$Z1491&lt;&gt;"",$Z1491&lt;&gt;"×",$AC1491=0,$AB1491=""),"計算額が下限以下のため不支給／",""))</f>
        <v/>
      </c>
      <c r="AL1491" s="12" t="n"/>
      <c r="AM1491" s="14">
        <f>IF($AD1491="保留中",COUNTIF($AD$6:$AD1491,"保留中"),"")</f>
        <v/>
      </c>
      <c r="AN1491" s="14">
        <f>IF($AO1491="","",IF(SUMPRODUCT(MAX((職員マスタ!$A$6:$A$405=$B1491)*(((職員マスタ!$G$6:$G$405="")+(職員マスタ!$G$6:$G$405&lt;=EOMONTH($AO1491,0)))&gt;0)*(((職員マスタ!$H$6:$H$405="")+(職員マスタ!$H$6:$H$405&gt;=$AO1491))&gt;0)*(ROW(職員マスタ!$A$6:$A$405)-5)))&gt;0,SUMPRODUCT(MAX((職員マスタ!$A$6:$A$405=$B1491)*(((職員マスタ!$G$6:$G$405="")+(職員マスタ!$G$6:$G$405&lt;=EOMONTH($AO1491,0)))&gt;0)*(((職員マスタ!$H$6:$H$405="")+(職員マスタ!$H$6:$H$405&gt;=$AO1491))&gt;0)*(ROW(職員マスタ!$A$6:$A$405)-5))),IFERROR(MATCH($B1491,職員マスタ!$A$6:$A$405,0),"")))</f>
        <v/>
      </c>
      <c r="AO1491" s="16">
        <f>IF(OR($B1491="",$C1491="",$D1491=""),"",DATE($C1491+2018,$D1491,1))</f>
        <v/>
      </c>
    </row>
    <row r="1492">
      <c r="A1492" s="11" t="n"/>
      <c r="B1492" s="12" t="n"/>
      <c r="C1492" s="12" t="n"/>
      <c r="D1492" s="12" t="n"/>
      <c r="E1492" s="13" t="n"/>
      <c r="F1492" s="12" t="n"/>
      <c r="G1492" s="13" t="n"/>
      <c r="H1492" s="12" t="n"/>
      <c r="I1492" s="12" t="n"/>
      <c r="J1492" s="12" t="n"/>
      <c r="K1492" s="12" t="n"/>
      <c r="L1492" s="11" t="n"/>
      <c r="M1492" s="11" t="n"/>
      <c r="N1492" s="11" t="n"/>
      <c r="O1492" s="11" t="n"/>
      <c r="P1492" s="12" t="n"/>
      <c r="Q1492" s="11" t="n"/>
      <c r="R1492" s="12" t="n"/>
      <c r="S1492" s="11" t="n"/>
      <c r="T1492" s="12" t="n"/>
      <c r="U1492" s="12" t="n"/>
      <c r="V1492" s="14">
        <f>IF($AN1492="",IF($B1492="","",$H1492),IF(INDEX(職員マスタ!$B$6:$B$405,$AN1492)="",$H1492,INDEX(職員マスタ!$B$6:$B$405,$AN1492)))</f>
        <v/>
      </c>
      <c r="W1492" s="14">
        <f>IF($AN1492="",IF($B1492="","",$R1492),IF(INDEX(職員マスタ!$C$6:$C$405,$AN1492)="",$R1492,INDEX(職員マスタ!$C$6:$C$405,$AN1492)))</f>
        <v/>
      </c>
      <c r="X1492" s="14">
        <f>IF($AO1492="","","R"&amp;$C1492&amp;"."&amp;$D1492)</f>
        <v/>
      </c>
      <c r="Y1492" s="15">
        <f>IF($AN1492="","",IF(INDEX(職員マスタ!$K$6:$K$405,$AN1492)="","",INDEX(職員マスタ!$K$6:$K$405,$AN1492)))</f>
        <v/>
      </c>
      <c r="Z1492" s="14">
        <f>IF(OR($E1492="",$Y1492=""),"",IF($E1492&gt;=$Y1492,"×",IF($E1492&gt;=$Y1492*設定!$C$5,"△","○")))</f>
        <v/>
      </c>
      <c r="AA1492" s="15">
        <f>IF($Z1492="","",IF($Z1492="×",0,IF($Z1492="○",ROUNDDOWN($E1492*設定!$C$4,0),ROUNDDOWN($E1492*ROUND((9*$Y1492-9*$E1492)/(10*$E1492),4),0))))</f>
        <v/>
      </c>
      <c r="AB1492" s="13" t="n"/>
      <c r="AC1492" s="15">
        <f>IF($B1492="","",IF($AB1492&lt;&gt;"",$AB1492,IF($AA1492="","",IF($AA1492&lt;=設定!$C$3,0,$AA1492))))</f>
        <v/>
      </c>
      <c r="AD1492" s="14">
        <f>IF($B1492="","",IF(AND($AE1492&lt;&gt;"",$AG1492="",$AJ1492=""),"保留中",IF($AJ1492&lt;&gt;"",IF(N($AC1492)&gt;0,"支給済","不支給"),IF($AC1492="","要確認",IF($AC1492=0,"不支給","未処理")))))</f>
        <v/>
      </c>
      <c r="AE1492" s="12" t="n"/>
      <c r="AF1492" s="11" t="n"/>
      <c r="AG1492" s="11" t="n"/>
      <c r="AH1492" s="11" t="n"/>
      <c r="AI1492" s="14">
        <f>IF(AND($AD1492="保留中",$AF1492&lt;&gt;""),TODAY()-$AF1492,"")</f>
        <v/>
      </c>
      <c r="AJ1492" s="12" t="n"/>
      <c r="AK1492" s="14">
        <f>IF($B1492="","",IF($AO1492="","対象年月が未入力／","")&amp;IF($B1492="","",IF($AN1492="","職員マスタに未登録の職員番号／",IF($Y1492="","標準報酬月額が未登録／","")&amp;IF(AND($AO1492&lt;&gt;"",OR(AND(INDEX(職員マスタ!$G$6:$G$405,$AN1492)&lt;&gt;"",INDEX(職員マスタ!$G$6:$G$405,$AN1492)&gt;EOMONTH($AO1492,0)),AND(INDEX(職員マスタ!$H$6:$H$405,$AN1492)&lt;&gt;"",INDEX(職員マスタ!$H$6:$H$405,$AN1492)&lt;$AO1492))),"対象月が時短期間外／","")&amp;IF(AND(INDEX(職員マスタ!$F$6:$F$405,$AN1492)&lt;&gt;"",$AO1492&lt;&gt;"",INDEX(職員マスタ!$F$6:$F$405,$AN1492)&lt;$AO1492),"対象月に子が2歳到達済／","")&amp;IF(AND($H1492&lt;&gt;"",INDEX(職員マスタ!$B$6:$B$405,$AN1492)&lt;&gt;"",SUBSTITUTE(SUBSTITUTE($H1492," ","")," ","")&lt;&gt;SUBSTITUTE(SUBSTITUTE(INDEX(職員マスタ!$B$6:$B$405,$AN1492)," ","")," ","")),"氏名がマスタと相違／","")&amp;IF(AND($Q1492&lt;&gt;"",INDEX(職員マスタ!$E$6:$E$405,$AN1492)&lt;&gt;"",$Q1492&lt;&gt;INDEX(職員マスタ!$E$6:$E$405,$AN1492)),"子の生年月日がマスタと相違／","")&amp;IF(AND($L1492&lt;&gt;"",INDEX(職員マスタ!$G$6:$G$405,$AN1492)&lt;&gt;"",$L1492&lt;&gt;INDEX(職員マスタ!$G$6:$G$405,$AN1492)),"時短開始日がマスタと相違／","")&amp;IF(AND($M1492&lt;&gt;"",INDEX(職員マスタ!$H$6:$H$405,$AN1492)&lt;&gt;"",$M1492&lt;&gt;INDEX(職員マスタ!$H$6:$H$405,$AN1492)),"時短終了日がマスタと相違／","")))&amp;IF(AND($B1492&lt;&gt;"",$E1492=""),"報酬額が未入力／","")&amp;IF(N($U1492)&gt;0,"申請書に入力エラーが残っています／","")&amp;IF(AND($B1492&lt;&gt;"",$AO1492&lt;&gt;""),IF(COUNTIFS($B$6:$B$3005,$B1492,$C$6:$C$3005,$C1492,$D$6:$D$3005,$D1492)&gt;1,"同じ月の請求が重複しています／",""),"")&amp;IF(AND(N($E1492)&gt;0,$Z1492&lt;&gt;"",$Z1492&lt;&gt;"×",$AC1492=0,$AB1492=""),"計算額が下限以下のため不支給／",""))</f>
        <v/>
      </c>
      <c r="AL1492" s="12" t="n"/>
      <c r="AM1492" s="14">
        <f>IF($AD1492="保留中",COUNTIF($AD$6:$AD1492,"保留中"),"")</f>
        <v/>
      </c>
      <c r="AN1492" s="14">
        <f>IF($AO1492="","",IF(SUMPRODUCT(MAX((職員マスタ!$A$6:$A$405=$B1492)*(((職員マスタ!$G$6:$G$405="")+(職員マスタ!$G$6:$G$405&lt;=EOMONTH($AO1492,0)))&gt;0)*(((職員マスタ!$H$6:$H$405="")+(職員マスタ!$H$6:$H$405&gt;=$AO1492))&gt;0)*(ROW(職員マスタ!$A$6:$A$405)-5)))&gt;0,SUMPRODUCT(MAX((職員マスタ!$A$6:$A$405=$B1492)*(((職員マスタ!$G$6:$G$405="")+(職員マスタ!$G$6:$G$405&lt;=EOMONTH($AO1492,0)))&gt;0)*(((職員マスタ!$H$6:$H$405="")+(職員マスタ!$H$6:$H$405&gt;=$AO1492))&gt;0)*(ROW(職員マスタ!$A$6:$A$405)-5))),IFERROR(MATCH($B1492,職員マスタ!$A$6:$A$405,0),"")))</f>
        <v/>
      </c>
      <c r="AO1492" s="16">
        <f>IF(OR($B1492="",$C1492="",$D1492=""),"",DATE($C1492+2018,$D1492,1))</f>
        <v/>
      </c>
    </row>
    <row r="1493">
      <c r="A1493" s="11" t="n"/>
      <c r="B1493" s="12" t="n"/>
      <c r="C1493" s="12" t="n"/>
      <c r="D1493" s="12" t="n"/>
      <c r="E1493" s="13" t="n"/>
      <c r="F1493" s="12" t="n"/>
      <c r="G1493" s="13" t="n"/>
      <c r="H1493" s="12" t="n"/>
      <c r="I1493" s="12" t="n"/>
      <c r="J1493" s="12" t="n"/>
      <c r="K1493" s="12" t="n"/>
      <c r="L1493" s="11" t="n"/>
      <c r="M1493" s="11" t="n"/>
      <c r="N1493" s="11" t="n"/>
      <c r="O1493" s="11" t="n"/>
      <c r="P1493" s="12" t="n"/>
      <c r="Q1493" s="11" t="n"/>
      <c r="R1493" s="12" t="n"/>
      <c r="S1493" s="11" t="n"/>
      <c r="T1493" s="12" t="n"/>
      <c r="U1493" s="12" t="n"/>
      <c r="V1493" s="14">
        <f>IF($AN1493="",IF($B1493="","",$H1493),IF(INDEX(職員マスタ!$B$6:$B$405,$AN1493)="",$H1493,INDEX(職員マスタ!$B$6:$B$405,$AN1493)))</f>
        <v/>
      </c>
      <c r="W1493" s="14">
        <f>IF($AN1493="",IF($B1493="","",$R1493),IF(INDEX(職員マスタ!$C$6:$C$405,$AN1493)="",$R1493,INDEX(職員マスタ!$C$6:$C$405,$AN1493)))</f>
        <v/>
      </c>
      <c r="X1493" s="14">
        <f>IF($AO1493="","","R"&amp;$C1493&amp;"."&amp;$D1493)</f>
        <v/>
      </c>
      <c r="Y1493" s="15">
        <f>IF($AN1493="","",IF(INDEX(職員マスタ!$K$6:$K$405,$AN1493)="","",INDEX(職員マスタ!$K$6:$K$405,$AN1493)))</f>
        <v/>
      </c>
      <c r="Z1493" s="14">
        <f>IF(OR($E1493="",$Y1493=""),"",IF($E1493&gt;=$Y1493,"×",IF($E1493&gt;=$Y1493*設定!$C$5,"△","○")))</f>
        <v/>
      </c>
      <c r="AA1493" s="15">
        <f>IF($Z1493="","",IF($Z1493="×",0,IF($Z1493="○",ROUNDDOWN($E1493*設定!$C$4,0),ROUNDDOWN($E1493*ROUND((9*$Y1493-9*$E1493)/(10*$E1493),4),0))))</f>
        <v/>
      </c>
      <c r="AB1493" s="13" t="n"/>
      <c r="AC1493" s="15">
        <f>IF($B1493="","",IF($AB1493&lt;&gt;"",$AB1493,IF($AA1493="","",IF($AA1493&lt;=設定!$C$3,0,$AA1493))))</f>
        <v/>
      </c>
      <c r="AD1493" s="14">
        <f>IF($B1493="","",IF(AND($AE1493&lt;&gt;"",$AG1493="",$AJ1493=""),"保留中",IF($AJ1493&lt;&gt;"",IF(N($AC1493)&gt;0,"支給済","不支給"),IF($AC1493="","要確認",IF($AC1493=0,"不支給","未処理")))))</f>
        <v/>
      </c>
      <c r="AE1493" s="12" t="n"/>
      <c r="AF1493" s="11" t="n"/>
      <c r="AG1493" s="11" t="n"/>
      <c r="AH1493" s="11" t="n"/>
      <c r="AI1493" s="14">
        <f>IF(AND($AD1493="保留中",$AF1493&lt;&gt;""),TODAY()-$AF1493,"")</f>
        <v/>
      </c>
      <c r="AJ1493" s="12" t="n"/>
      <c r="AK1493" s="14">
        <f>IF($B1493="","",IF($AO1493="","対象年月が未入力／","")&amp;IF($B1493="","",IF($AN1493="","職員マスタに未登録の職員番号／",IF($Y1493="","標準報酬月額が未登録／","")&amp;IF(AND($AO1493&lt;&gt;"",OR(AND(INDEX(職員マスタ!$G$6:$G$405,$AN1493)&lt;&gt;"",INDEX(職員マスタ!$G$6:$G$405,$AN1493)&gt;EOMONTH($AO1493,0)),AND(INDEX(職員マスタ!$H$6:$H$405,$AN1493)&lt;&gt;"",INDEX(職員マスタ!$H$6:$H$405,$AN1493)&lt;$AO1493))),"対象月が時短期間外／","")&amp;IF(AND(INDEX(職員マスタ!$F$6:$F$405,$AN1493)&lt;&gt;"",$AO1493&lt;&gt;"",INDEX(職員マスタ!$F$6:$F$405,$AN1493)&lt;$AO1493),"対象月に子が2歳到達済／","")&amp;IF(AND($H1493&lt;&gt;"",INDEX(職員マスタ!$B$6:$B$405,$AN1493)&lt;&gt;"",SUBSTITUTE(SUBSTITUTE($H1493," ","")," ","")&lt;&gt;SUBSTITUTE(SUBSTITUTE(INDEX(職員マスタ!$B$6:$B$405,$AN1493)," ","")," ","")),"氏名がマスタと相違／","")&amp;IF(AND($Q1493&lt;&gt;"",INDEX(職員マスタ!$E$6:$E$405,$AN1493)&lt;&gt;"",$Q1493&lt;&gt;INDEX(職員マスタ!$E$6:$E$405,$AN1493)),"子の生年月日がマスタと相違／","")&amp;IF(AND($L1493&lt;&gt;"",INDEX(職員マスタ!$G$6:$G$405,$AN1493)&lt;&gt;"",$L1493&lt;&gt;INDEX(職員マスタ!$G$6:$G$405,$AN1493)),"時短開始日がマスタと相違／","")&amp;IF(AND($M1493&lt;&gt;"",INDEX(職員マスタ!$H$6:$H$405,$AN1493)&lt;&gt;"",$M1493&lt;&gt;INDEX(職員マスタ!$H$6:$H$405,$AN1493)),"時短終了日がマスタと相違／","")))&amp;IF(AND($B1493&lt;&gt;"",$E1493=""),"報酬額が未入力／","")&amp;IF(N($U1493)&gt;0,"申請書に入力エラーが残っています／","")&amp;IF(AND($B1493&lt;&gt;"",$AO1493&lt;&gt;""),IF(COUNTIFS($B$6:$B$3005,$B1493,$C$6:$C$3005,$C1493,$D$6:$D$3005,$D1493)&gt;1,"同じ月の請求が重複しています／",""),"")&amp;IF(AND(N($E1493)&gt;0,$Z1493&lt;&gt;"",$Z1493&lt;&gt;"×",$AC1493=0,$AB1493=""),"計算額が下限以下のため不支給／",""))</f>
        <v/>
      </c>
      <c r="AL1493" s="12" t="n"/>
      <c r="AM1493" s="14">
        <f>IF($AD1493="保留中",COUNTIF($AD$6:$AD1493,"保留中"),"")</f>
        <v/>
      </c>
      <c r="AN1493" s="14">
        <f>IF($AO1493="","",IF(SUMPRODUCT(MAX((職員マスタ!$A$6:$A$405=$B1493)*(((職員マスタ!$G$6:$G$405="")+(職員マスタ!$G$6:$G$405&lt;=EOMONTH($AO1493,0)))&gt;0)*(((職員マスタ!$H$6:$H$405="")+(職員マスタ!$H$6:$H$405&gt;=$AO1493))&gt;0)*(ROW(職員マスタ!$A$6:$A$405)-5)))&gt;0,SUMPRODUCT(MAX((職員マスタ!$A$6:$A$405=$B1493)*(((職員マスタ!$G$6:$G$405="")+(職員マスタ!$G$6:$G$405&lt;=EOMONTH($AO1493,0)))&gt;0)*(((職員マスタ!$H$6:$H$405="")+(職員マスタ!$H$6:$H$405&gt;=$AO1493))&gt;0)*(ROW(職員マスタ!$A$6:$A$405)-5))),IFERROR(MATCH($B1493,職員マスタ!$A$6:$A$405,0),"")))</f>
        <v/>
      </c>
      <c r="AO1493" s="16">
        <f>IF(OR($B1493="",$C1493="",$D1493=""),"",DATE($C1493+2018,$D1493,1))</f>
        <v/>
      </c>
    </row>
    <row r="1494">
      <c r="A1494" s="11" t="n"/>
      <c r="B1494" s="12" t="n"/>
      <c r="C1494" s="12" t="n"/>
      <c r="D1494" s="12" t="n"/>
      <c r="E1494" s="13" t="n"/>
      <c r="F1494" s="12" t="n"/>
      <c r="G1494" s="13" t="n"/>
      <c r="H1494" s="12" t="n"/>
      <c r="I1494" s="12" t="n"/>
      <c r="J1494" s="12" t="n"/>
      <c r="K1494" s="12" t="n"/>
      <c r="L1494" s="11" t="n"/>
      <c r="M1494" s="11" t="n"/>
      <c r="N1494" s="11" t="n"/>
      <c r="O1494" s="11" t="n"/>
      <c r="P1494" s="12" t="n"/>
      <c r="Q1494" s="11" t="n"/>
      <c r="R1494" s="12" t="n"/>
      <c r="S1494" s="11" t="n"/>
      <c r="T1494" s="12" t="n"/>
      <c r="U1494" s="12" t="n"/>
      <c r="V1494" s="14">
        <f>IF($AN1494="",IF($B1494="","",$H1494),IF(INDEX(職員マスタ!$B$6:$B$405,$AN1494)="",$H1494,INDEX(職員マスタ!$B$6:$B$405,$AN1494)))</f>
        <v/>
      </c>
      <c r="W1494" s="14">
        <f>IF($AN1494="",IF($B1494="","",$R1494),IF(INDEX(職員マスタ!$C$6:$C$405,$AN1494)="",$R1494,INDEX(職員マスタ!$C$6:$C$405,$AN1494)))</f>
        <v/>
      </c>
      <c r="X1494" s="14">
        <f>IF($AO1494="","","R"&amp;$C1494&amp;"."&amp;$D1494)</f>
        <v/>
      </c>
      <c r="Y1494" s="15">
        <f>IF($AN1494="","",IF(INDEX(職員マスタ!$K$6:$K$405,$AN1494)="","",INDEX(職員マスタ!$K$6:$K$405,$AN1494)))</f>
        <v/>
      </c>
      <c r="Z1494" s="14">
        <f>IF(OR($E1494="",$Y1494=""),"",IF($E1494&gt;=$Y1494,"×",IF($E1494&gt;=$Y1494*設定!$C$5,"△","○")))</f>
        <v/>
      </c>
      <c r="AA1494" s="15">
        <f>IF($Z1494="","",IF($Z1494="×",0,IF($Z1494="○",ROUNDDOWN($E1494*設定!$C$4,0),ROUNDDOWN($E1494*ROUND((9*$Y1494-9*$E1494)/(10*$E1494),4),0))))</f>
        <v/>
      </c>
      <c r="AB1494" s="13" t="n"/>
      <c r="AC1494" s="15">
        <f>IF($B1494="","",IF($AB1494&lt;&gt;"",$AB1494,IF($AA1494="","",IF($AA1494&lt;=設定!$C$3,0,$AA1494))))</f>
        <v/>
      </c>
      <c r="AD1494" s="14">
        <f>IF($B1494="","",IF(AND($AE1494&lt;&gt;"",$AG1494="",$AJ1494=""),"保留中",IF($AJ1494&lt;&gt;"",IF(N($AC1494)&gt;0,"支給済","不支給"),IF($AC1494="","要確認",IF($AC1494=0,"不支給","未処理")))))</f>
        <v/>
      </c>
      <c r="AE1494" s="12" t="n"/>
      <c r="AF1494" s="11" t="n"/>
      <c r="AG1494" s="11" t="n"/>
      <c r="AH1494" s="11" t="n"/>
      <c r="AI1494" s="14">
        <f>IF(AND($AD1494="保留中",$AF1494&lt;&gt;""),TODAY()-$AF1494,"")</f>
        <v/>
      </c>
      <c r="AJ1494" s="12" t="n"/>
      <c r="AK1494" s="14">
        <f>IF($B1494="","",IF($AO1494="","対象年月が未入力／","")&amp;IF($B1494="","",IF($AN1494="","職員マスタに未登録の職員番号／",IF($Y1494="","標準報酬月額が未登録／","")&amp;IF(AND($AO1494&lt;&gt;"",OR(AND(INDEX(職員マスタ!$G$6:$G$405,$AN1494)&lt;&gt;"",INDEX(職員マスタ!$G$6:$G$405,$AN1494)&gt;EOMONTH($AO1494,0)),AND(INDEX(職員マスタ!$H$6:$H$405,$AN1494)&lt;&gt;"",INDEX(職員マスタ!$H$6:$H$405,$AN1494)&lt;$AO1494))),"対象月が時短期間外／","")&amp;IF(AND(INDEX(職員マスタ!$F$6:$F$405,$AN1494)&lt;&gt;"",$AO1494&lt;&gt;"",INDEX(職員マスタ!$F$6:$F$405,$AN1494)&lt;$AO1494),"対象月に子が2歳到達済／","")&amp;IF(AND($H1494&lt;&gt;"",INDEX(職員マスタ!$B$6:$B$405,$AN1494)&lt;&gt;"",SUBSTITUTE(SUBSTITUTE($H1494," ","")," ","")&lt;&gt;SUBSTITUTE(SUBSTITUTE(INDEX(職員マスタ!$B$6:$B$405,$AN1494)," ","")," ","")),"氏名がマスタと相違／","")&amp;IF(AND($Q1494&lt;&gt;"",INDEX(職員マスタ!$E$6:$E$405,$AN1494)&lt;&gt;"",$Q1494&lt;&gt;INDEX(職員マスタ!$E$6:$E$405,$AN1494)),"子の生年月日がマスタと相違／","")&amp;IF(AND($L1494&lt;&gt;"",INDEX(職員マスタ!$G$6:$G$405,$AN1494)&lt;&gt;"",$L1494&lt;&gt;INDEX(職員マスタ!$G$6:$G$405,$AN1494)),"時短開始日がマスタと相違／","")&amp;IF(AND($M1494&lt;&gt;"",INDEX(職員マスタ!$H$6:$H$405,$AN1494)&lt;&gt;"",$M1494&lt;&gt;INDEX(職員マスタ!$H$6:$H$405,$AN1494)),"時短終了日がマスタと相違／","")))&amp;IF(AND($B1494&lt;&gt;"",$E1494=""),"報酬額が未入力／","")&amp;IF(N($U1494)&gt;0,"申請書に入力エラーが残っています／","")&amp;IF(AND($B1494&lt;&gt;"",$AO1494&lt;&gt;""),IF(COUNTIFS($B$6:$B$3005,$B1494,$C$6:$C$3005,$C1494,$D$6:$D$3005,$D1494)&gt;1,"同じ月の請求が重複しています／",""),"")&amp;IF(AND(N($E1494)&gt;0,$Z1494&lt;&gt;"",$Z1494&lt;&gt;"×",$AC1494=0,$AB1494=""),"計算額が下限以下のため不支給／",""))</f>
        <v/>
      </c>
      <c r="AL1494" s="12" t="n"/>
      <c r="AM1494" s="14">
        <f>IF($AD1494="保留中",COUNTIF($AD$6:$AD1494,"保留中"),"")</f>
        <v/>
      </c>
      <c r="AN1494" s="14">
        <f>IF($AO1494="","",IF(SUMPRODUCT(MAX((職員マスタ!$A$6:$A$405=$B1494)*(((職員マスタ!$G$6:$G$405="")+(職員マスタ!$G$6:$G$405&lt;=EOMONTH($AO1494,0)))&gt;0)*(((職員マスタ!$H$6:$H$405="")+(職員マスタ!$H$6:$H$405&gt;=$AO1494))&gt;0)*(ROW(職員マスタ!$A$6:$A$405)-5)))&gt;0,SUMPRODUCT(MAX((職員マスタ!$A$6:$A$405=$B1494)*(((職員マスタ!$G$6:$G$405="")+(職員マスタ!$G$6:$G$405&lt;=EOMONTH($AO1494,0)))&gt;0)*(((職員マスタ!$H$6:$H$405="")+(職員マスタ!$H$6:$H$405&gt;=$AO1494))&gt;0)*(ROW(職員マスタ!$A$6:$A$405)-5))),IFERROR(MATCH($B1494,職員マスタ!$A$6:$A$405,0),"")))</f>
        <v/>
      </c>
      <c r="AO1494" s="16">
        <f>IF(OR($B1494="",$C1494="",$D1494=""),"",DATE($C1494+2018,$D1494,1))</f>
        <v/>
      </c>
    </row>
    <row r="1495">
      <c r="A1495" s="11" t="n"/>
      <c r="B1495" s="12" t="n"/>
      <c r="C1495" s="12" t="n"/>
      <c r="D1495" s="12" t="n"/>
      <c r="E1495" s="13" t="n"/>
      <c r="F1495" s="12" t="n"/>
      <c r="G1495" s="13" t="n"/>
      <c r="H1495" s="12" t="n"/>
      <c r="I1495" s="12" t="n"/>
      <c r="J1495" s="12" t="n"/>
      <c r="K1495" s="12" t="n"/>
      <c r="L1495" s="11" t="n"/>
      <c r="M1495" s="11" t="n"/>
      <c r="N1495" s="11" t="n"/>
      <c r="O1495" s="11" t="n"/>
      <c r="P1495" s="12" t="n"/>
      <c r="Q1495" s="11" t="n"/>
      <c r="R1495" s="12" t="n"/>
      <c r="S1495" s="11" t="n"/>
      <c r="T1495" s="12" t="n"/>
      <c r="U1495" s="12" t="n"/>
      <c r="V1495" s="14">
        <f>IF($AN1495="",IF($B1495="","",$H1495),IF(INDEX(職員マスタ!$B$6:$B$405,$AN1495)="",$H1495,INDEX(職員マスタ!$B$6:$B$405,$AN1495)))</f>
        <v/>
      </c>
      <c r="W1495" s="14">
        <f>IF($AN1495="",IF($B1495="","",$R1495),IF(INDEX(職員マスタ!$C$6:$C$405,$AN1495)="",$R1495,INDEX(職員マスタ!$C$6:$C$405,$AN1495)))</f>
        <v/>
      </c>
      <c r="X1495" s="14">
        <f>IF($AO1495="","","R"&amp;$C1495&amp;"."&amp;$D1495)</f>
        <v/>
      </c>
      <c r="Y1495" s="15">
        <f>IF($AN1495="","",IF(INDEX(職員マスタ!$K$6:$K$405,$AN1495)="","",INDEX(職員マスタ!$K$6:$K$405,$AN1495)))</f>
        <v/>
      </c>
      <c r="Z1495" s="14">
        <f>IF(OR($E1495="",$Y1495=""),"",IF($E1495&gt;=$Y1495,"×",IF($E1495&gt;=$Y1495*設定!$C$5,"△","○")))</f>
        <v/>
      </c>
      <c r="AA1495" s="15">
        <f>IF($Z1495="","",IF($Z1495="×",0,IF($Z1495="○",ROUNDDOWN($E1495*設定!$C$4,0),ROUNDDOWN($E1495*ROUND((9*$Y1495-9*$E1495)/(10*$E1495),4),0))))</f>
        <v/>
      </c>
      <c r="AB1495" s="13" t="n"/>
      <c r="AC1495" s="15">
        <f>IF($B1495="","",IF($AB1495&lt;&gt;"",$AB1495,IF($AA1495="","",IF($AA1495&lt;=設定!$C$3,0,$AA1495))))</f>
        <v/>
      </c>
      <c r="AD1495" s="14">
        <f>IF($B1495="","",IF(AND($AE1495&lt;&gt;"",$AG1495="",$AJ1495=""),"保留中",IF($AJ1495&lt;&gt;"",IF(N($AC1495)&gt;0,"支給済","不支給"),IF($AC1495="","要確認",IF($AC1495=0,"不支給","未処理")))))</f>
        <v/>
      </c>
      <c r="AE1495" s="12" t="n"/>
      <c r="AF1495" s="11" t="n"/>
      <c r="AG1495" s="11" t="n"/>
      <c r="AH1495" s="11" t="n"/>
      <c r="AI1495" s="14">
        <f>IF(AND($AD1495="保留中",$AF1495&lt;&gt;""),TODAY()-$AF1495,"")</f>
        <v/>
      </c>
      <c r="AJ1495" s="12" t="n"/>
      <c r="AK1495" s="14">
        <f>IF($B1495="","",IF($AO1495="","対象年月が未入力／","")&amp;IF($B1495="","",IF($AN1495="","職員マスタに未登録の職員番号／",IF($Y1495="","標準報酬月額が未登録／","")&amp;IF(AND($AO1495&lt;&gt;"",OR(AND(INDEX(職員マスタ!$G$6:$G$405,$AN1495)&lt;&gt;"",INDEX(職員マスタ!$G$6:$G$405,$AN1495)&gt;EOMONTH($AO1495,0)),AND(INDEX(職員マスタ!$H$6:$H$405,$AN1495)&lt;&gt;"",INDEX(職員マスタ!$H$6:$H$405,$AN1495)&lt;$AO1495))),"対象月が時短期間外／","")&amp;IF(AND(INDEX(職員マスタ!$F$6:$F$405,$AN1495)&lt;&gt;"",$AO1495&lt;&gt;"",INDEX(職員マスタ!$F$6:$F$405,$AN1495)&lt;$AO1495),"対象月に子が2歳到達済／","")&amp;IF(AND($H1495&lt;&gt;"",INDEX(職員マスタ!$B$6:$B$405,$AN1495)&lt;&gt;"",SUBSTITUTE(SUBSTITUTE($H1495," ","")," ","")&lt;&gt;SUBSTITUTE(SUBSTITUTE(INDEX(職員マスタ!$B$6:$B$405,$AN1495)," ","")," ","")),"氏名がマスタと相違／","")&amp;IF(AND($Q1495&lt;&gt;"",INDEX(職員マスタ!$E$6:$E$405,$AN1495)&lt;&gt;"",$Q1495&lt;&gt;INDEX(職員マスタ!$E$6:$E$405,$AN1495)),"子の生年月日がマスタと相違／","")&amp;IF(AND($L1495&lt;&gt;"",INDEX(職員マスタ!$G$6:$G$405,$AN1495)&lt;&gt;"",$L1495&lt;&gt;INDEX(職員マスタ!$G$6:$G$405,$AN1495)),"時短開始日がマスタと相違／","")&amp;IF(AND($M1495&lt;&gt;"",INDEX(職員マスタ!$H$6:$H$405,$AN1495)&lt;&gt;"",$M1495&lt;&gt;INDEX(職員マスタ!$H$6:$H$405,$AN1495)),"時短終了日がマスタと相違／","")))&amp;IF(AND($B1495&lt;&gt;"",$E1495=""),"報酬額が未入力／","")&amp;IF(N($U1495)&gt;0,"申請書に入力エラーが残っています／","")&amp;IF(AND($B1495&lt;&gt;"",$AO1495&lt;&gt;""),IF(COUNTIFS($B$6:$B$3005,$B1495,$C$6:$C$3005,$C1495,$D$6:$D$3005,$D1495)&gt;1,"同じ月の請求が重複しています／",""),"")&amp;IF(AND(N($E1495)&gt;0,$Z1495&lt;&gt;"",$Z1495&lt;&gt;"×",$AC1495=0,$AB1495=""),"計算額が下限以下のため不支給／",""))</f>
        <v/>
      </c>
      <c r="AL1495" s="12" t="n"/>
      <c r="AM1495" s="14">
        <f>IF($AD1495="保留中",COUNTIF($AD$6:$AD1495,"保留中"),"")</f>
        <v/>
      </c>
      <c r="AN1495" s="14">
        <f>IF($AO1495="","",IF(SUMPRODUCT(MAX((職員マスタ!$A$6:$A$405=$B1495)*(((職員マスタ!$G$6:$G$405="")+(職員マスタ!$G$6:$G$405&lt;=EOMONTH($AO1495,0)))&gt;0)*(((職員マスタ!$H$6:$H$405="")+(職員マスタ!$H$6:$H$405&gt;=$AO1495))&gt;0)*(ROW(職員マスタ!$A$6:$A$405)-5)))&gt;0,SUMPRODUCT(MAX((職員マスタ!$A$6:$A$405=$B1495)*(((職員マスタ!$G$6:$G$405="")+(職員マスタ!$G$6:$G$405&lt;=EOMONTH($AO1495,0)))&gt;0)*(((職員マスタ!$H$6:$H$405="")+(職員マスタ!$H$6:$H$405&gt;=$AO1495))&gt;0)*(ROW(職員マスタ!$A$6:$A$405)-5))),IFERROR(MATCH($B1495,職員マスタ!$A$6:$A$405,0),"")))</f>
        <v/>
      </c>
      <c r="AO1495" s="16">
        <f>IF(OR($B1495="",$C1495="",$D1495=""),"",DATE($C1495+2018,$D1495,1))</f>
        <v/>
      </c>
    </row>
    <row r="1496">
      <c r="A1496" s="11" t="n"/>
      <c r="B1496" s="12" t="n"/>
      <c r="C1496" s="12" t="n"/>
      <c r="D1496" s="12" t="n"/>
      <c r="E1496" s="13" t="n"/>
      <c r="F1496" s="12" t="n"/>
      <c r="G1496" s="13" t="n"/>
      <c r="H1496" s="12" t="n"/>
      <c r="I1496" s="12" t="n"/>
      <c r="J1496" s="12" t="n"/>
      <c r="K1496" s="12" t="n"/>
      <c r="L1496" s="11" t="n"/>
      <c r="M1496" s="11" t="n"/>
      <c r="N1496" s="11" t="n"/>
      <c r="O1496" s="11" t="n"/>
      <c r="P1496" s="12" t="n"/>
      <c r="Q1496" s="11" t="n"/>
      <c r="R1496" s="12" t="n"/>
      <c r="S1496" s="11" t="n"/>
      <c r="T1496" s="12" t="n"/>
      <c r="U1496" s="12" t="n"/>
      <c r="V1496" s="14">
        <f>IF($AN1496="",IF($B1496="","",$H1496),IF(INDEX(職員マスタ!$B$6:$B$405,$AN1496)="",$H1496,INDEX(職員マスタ!$B$6:$B$405,$AN1496)))</f>
        <v/>
      </c>
      <c r="W1496" s="14">
        <f>IF($AN1496="",IF($B1496="","",$R1496),IF(INDEX(職員マスタ!$C$6:$C$405,$AN1496)="",$R1496,INDEX(職員マスタ!$C$6:$C$405,$AN1496)))</f>
        <v/>
      </c>
      <c r="X1496" s="14">
        <f>IF($AO1496="","","R"&amp;$C1496&amp;"."&amp;$D1496)</f>
        <v/>
      </c>
      <c r="Y1496" s="15">
        <f>IF($AN1496="","",IF(INDEX(職員マスタ!$K$6:$K$405,$AN1496)="","",INDEX(職員マスタ!$K$6:$K$405,$AN1496)))</f>
        <v/>
      </c>
      <c r="Z1496" s="14">
        <f>IF(OR($E1496="",$Y1496=""),"",IF($E1496&gt;=$Y1496,"×",IF($E1496&gt;=$Y1496*設定!$C$5,"△","○")))</f>
        <v/>
      </c>
      <c r="AA1496" s="15">
        <f>IF($Z1496="","",IF($Z1496="×",0,IF($Z1496="○",ROUNDDOWN($E1496*設定!$C$4,0),ROUNDDOWN($E1496*ROUND((9*$Y1496-9*$E1496)/(10*$E1496),4),0))))</f>
        <v/>
      </c>
      <c r="AB1496" s="13" t="n"/>
      <c r="AC1496" s="15">
        <f>IF($B1496="","",IF($AB1496&lt;&gt;"",$AB1496,IF($AA1496="","",IF($AA1496&lt;=設定!$C$3,0,$AA1496))))</f>
        <v/>
      </c>
      <c r="AD1496" s="14">
        <f>IF($B1496="","",IF(AND($AE1496&lt;&gt;"",$AG1496="",$AJ1496=""),"保留中",IF($AJ1496&lt;&gt;"",IF(N($AC1496)&gt;0,"支給済","不支給"),IF($AC1496="","要確認",IF($AC1496=0,"不支給","未処理")))))</f>
        <v/>
      </c>
      <c r="AE1496" s="12" t="n"/>
      <c r="AF1496" s="11" t="n"/>
      <c r="AG1496" s="11" t="n"/>
      <c r="AH1496" s="11" t="n"/>
      <c r="AI1496" s="14">
        <f>IF(AND($AD1496="保留中",$AF1496&lt;&gt;""),TODAY()-$AF1496,"")</f>
        <v/>
      </c>
      <c r="AJ1496" s="12" t="n"/>
      <c r="AK1496" s="14">
        <f>IF($B1496="","",IF($AO1496="","対象年月が未入力／","")&amp;IF($B1496="","",IF($AN1496="","職員マスタに未登録の職員番号／",IF($Y1496="","標準報酬月額が未登録／","")&amp;IF(AND($AO1496&lt;&gt;"",OR(AND(INDEX(職員マスタ!$G$6:$G$405,$AN1496)&lt;&gt;"",INDEX(職員マスタ!$G$6:$G$405,$AN1496)&gt;EOMONTH($AO1496,0)),AND(INDEX(職員マスタ!$H$6:$H$405,$AN1496)&lt;&gt;"",INDEX(職員マスタ!$H$6:$H$405,$AN1496)&lt;$AO1496))),"対象月が時短期間外／","")&amp;IF(AND(INDEX(職員マスタ!$F$6:$F$405,$AN1496)&lt;&gt;"",$AO1496&lt;&gt;"",INDEX(職員マスタ!$F$6:$F$405,$AN1496)&lt;$AO1496),"対象月に子が2歳到達済／","")&amp;IF(AND($H1496&lt;&gt;"",INDEX(職員マスタ!$B$6:$B$405,$AN1496)&lt;&gt;"",SUBSTITUTE(SUBSTITUTE($H1496," ","")," ","")&lt;&gt;SUBSTITUTE(SUBSTITUTE(INDEX(職員マスタ!$B$6:$B$405,$AN1496)," ","")," ","")),"氏名がマスタと相違／","")&amp;IF(AND($Q1496&lt;&gt;"",INDEX(職員マスタ!$E$6:$E$405,$AN1496)&lt;&gt;"",$Q1496&lt;&gt;INDEX(職員マスタ!$E$6:$E$405,$AN1496)),"子の生年月日がマスタと相違／","")&amp;IF(AND($L1496&lt;&gt;"",INDEX(職員マスタ!$G$6:$G$405,$AN1496)&lt;&gt;"",$L1496&lt;&gt;INDEX(職員マスタ!$G$6:$G$405,$AN1496)),"時短開始日がマスタと相違／","")&amp;IF(AND($M1496&lt;&gt;"",INDEX(職員マスタ!$H$6:$H$405,$AN1496)&lt;&gt;"",$M1496&lt;&gt;INDEX(職員マスタ!$H$6:$H$405,$AN1496)),"時短終了日がマスタと相違／","")))&amp;IF(AND($B1496&lt;&gt;"",$E1496=""),"報酬額が未入力／","")&amp;IF(N($U1496)&gt;0,"申請書に入力エラーが残っています／","")&amp;IF(AND($B1496&lt;&gt;"",$AO1496&lt;&gt;""),IF(COUNTIFS($B$6:$B$3005,$B1496,$C$6:$C$3005,$C1496,$D$6:$D$3005,$D1496)&gt;1,"同じ月の請求が重複しています／",""),"")&amp;IF(AND(N($E1496)&gt;0,$Z1496&lt;&gt;"",$Z1496&lt;&gt;"×",$AC1496=0,$AB1496=""),"計算額が下限以下のため不支給／",""))</f>
        <v/>
      </c>
      <c r="AL1496" s="12" t="n"/>
      <c r="AM1496" s="14">
        <f>IF($AD1496="保留中",COUNTIF($AD$6:$AD1496,"保留中"),"")</f>
        <v/>
      </c>
      <c r="AN1496" s="14">
        <f>IF($AO1496="","",IF(SUMPRODUCT(MAX((職員マスタ!$A$6:$A$405=$B1496)*(((職員マスタ!$G$6:$G$405="")+(職員マスタ!$G$6:$G$405&lt;=EOMONTH($AO1496,0)))&gt;0)*(((職員マスタ!$H$6:$H$405="")+(職員マスタ!$H$6:$H$405&gt;=$AO1496))&gt;0)*(ROW(職員マスタ!$A$6:$A$405)-5)))&gt;0,SUMPRODUCT(MAX((職員マスタ!$A$6:$A$405=$B1496)*(((職員マスタ!$G$6:$G$405="")+(職員マスタ!$G$6:$G$405&lt;=EOMONTH($AO1496,0)))&gt;0)*(((職員マスタ!$H$6:$H$405="")+(職員マスタ!$H$6:$H$405&gt;=$AO1496))&gt;0)*(ROW(職員マスタ!$A$6:$A$405)-5))),IFERROR(MATCH($B1496,職員マスタ!$A$6:$A$405,0),"")))</f>
        <v/>
      </c>
      <c r="AO1496" s="16">
        <f>IF(OR($B1496="",$C1496="",$D1496=""),"",DATE($C1496+2018,$D1496,1))</f>
        <v/>
      </c>
    </row>
    <row r="1497">
      <c r="A1497" s="11" t="n"/>
      <c r="B1497" s="12" t="n"/>
      <c r="C1497" s="12" t="n"/>
      <c r="D1497" s="12" t="n"/>
      <c r="E1497" s="13" t="n"/>
      <c r="F1497" s="12" t="n"/>
      <c r="G1497" s="13" t="n"/>
      <c r="H1497" s="12" t="n"/>
      <c r="I1497" s="12" t="n"/>
      <c r="J1497" s="12" t="n"/>
      <c r="K1497" s="12" t="n"/>
      <c r="L1497" s="11" t="n"/>
      <c r="M1497" s="11" t="n"/>
      <c r="N1497" s="11" t="n"/>
      <c r="O1497" s="11" t="n"/>
      <c r="P1497" s="12" t="n"/>
      <c r="Q1497" s="11" t="n"/>
      <c r="R1497" s="12" t="n"/>
      <c r="S1497" s="11" t="n"/>
      <c r="T1497" s="12" t="n"/>
      <c r="U1497" s="12" t="n"/>
      <c r="V1497" s="14">
        <f>IF($AN1497="",IF($B1497="","",$H1497),IF(INDEX(職員マスタ!$B$6:$B$405,$AN1497)="",$H1497,INDEX(職員マスタ!$B$6:$B$405,$AN1497)))</f>
        <v/>
      </c>
      <c r="W1497" s="14">
        <f>IF($AN1497="",IF($B1497="","",$R1497),IF(INDEX(職員マスタ!$C$6:$C$405,$AN1497)="",$R1497,INDEX(職員マスタ!$C$6:$C$405,$AN1497)))</f>
        <v/>
      </c>
      <c r="X1497" s="14">
        <f>IF($AO1497="","","R"&amp;$C1497&amp;"."&amp;$D1497)</f>
        <v/>
      </c>
      <c r="Y1497" s="15">
        <f>IF($AN1497="","",IF(INDEX(職員マスタ!$K$6:$K$405,$AN1497)="","",INDEX(職員マスタ!$K$6:$K$405,$AN1497)))</f>
        <v/>
      </c>
      <c r="Z1497" s="14">
        <f>IF(OR($E1497="",$Y1497=""),"",IF($E1497&gt;=$Y1497,"×",IF($E1497&gt;=$Y1497*設定!$C$5,"△","○")))</f>
        <v/>
      </c>
      <c r="AA1497" s="15">
        <f>IF($Z1497="","",IF($Z1497="×",0,IF($Z1497="○",ROUNDDOWN($E1497*設定!$C$4,0),ROUNDDOWN($E1497*ROUND((9*$Y1497-9*$E1497)/(10*$E1497),4),0))))</f>
        <v/>
      </c>
      <c r="AB1497" s="13" t="n"/>
      <c r="AC1497" s="15">
        <f>IF($B1497="","",IF($AB1497&lt;&gt;"",$AB1497,IF($AA1497="","",IF($AA1497&lt;=設定!$C$3,0,$AA1497))))</f>
        <v/>
      </c>
      <c r="AD1497" s="14">
        <f>IF($B1497="","",IF(AND($AE1497&lt;&gt;"",$AG1497="",$AJ1497=""),"保留中",IF($AJ1497&lt;&gt;"",IF(N($AC1497)&gt;0,"支給済","不支給"),IF($AC1497="","要確認",IF($AC1497=0,"不支給","未処理")))))</f>
        <v/>
      </c>
      <c r="AE1497" s="12" t="n"/>
      <c r="AF1497" s="11" t="n"/>
      <c r="AG1497" s="11" t="n"/>
      <c r="AH1497" s="11" t="n"/>
      <c r="AI1497" s="14">
        <f>IF(AND($AD1497="保留中",$AF1497&lt;&gt;""),TODAY()-$AF1497,"")</f>
        <v/>
      </c>
      <c r="AJ1497" s="12" t="n"/>
      <c r="AK1497" s="14">
        <f>IF($B1497="","",IF($AO1497="","対象年月が未入力／","")&amp;IF($B1497="","",IF($AN1497="","職員マスタに未登録の職員番号／",IF($Y1497="","標準報酬月額が未登録／","")&amp;IF(AND($AO1497&lt;&gt;"",OR(AND(INDEX(職員マスタ!$G$6:$G$405,$AN1497)&lt;&gt;"",INDEX(職員マスタ!$G$6:$G$405,$AN1497)&gt;EOMONTH($AO1497,0)),AND(INDEX(職員マスタ!$H$6:$H$405,$AN1497)&lt;&gt;"",INDEX(職員マスタ!$H$6:$H$405,$AN1497)&lt;$AO1497))),"対象月が時短期間外／","")&amp;IF(AND(INDEX(職員マスタ!$F$6:$F$405,$AN1497)&lt;&gt;"",$AO1497&lt;&gt;"",INDEX(職員マスタ!$F$6:$F$405,$AN1497)&lt;$AO1497),"対象月に子が2歳到達済／","")&amp;IF(AND($H1497&lt;&gt;"",INDEX(職員マスタ!$B$6:$B$405,$AN1497)&lt;&gt;"",SUBSTITUTE(SUBSTITUTE($H1497," ","")," ","")&lt;&gt;SUBSTITUTE(SUBSTITUTE(INDEX(職員マスタ!$B$6:$B$405,$AN1497)," ","")," ","")),"氏名がマスタと相違／","")&amp;IF(AND($Q1497&lt;&gt;"",INDEX(職員マスタ!$E$6:$E$405,$AN1497)&lt;&gt;"",$Q1497&lt;&gt;INDEX(職員マスタ!$E$6:$E$405,$AN1497)),"子の生年月日がマスタと相違／","")&amp;IF(AND($L1497&lt;&gt;"",INDEX(職員マスタ!$G$6:$G$405,$AN1497)&lt;&gt;"",$L1497&lt;&gt;INDEX(職員マスタ!$G$6:$G$405,$AN1497)),"時短開始日がマスタと相違／","")&amp;IF(AND($M1497&lt;&gt;"",INDEX(職員マスタ!$H$6:$H$405,$AN1497)&lt;&gt;"",$M1497&lt;&gt;INDEX(職員マスタ!$H$6:$H$405,$AN1497)),"時短終了日がマスタと相違／","")))&amp;IF(AND($B1497&lt;&gt;"",$E1497=""),"報酬額が未入力／","")&amp;IF(N($U1497)&gt;0,"申請書に入力エラーが残っています／","")&amp;IF(AND($B1497&lt;&gt;"",$AO1497&lt;&gt;""),IF(COUNTIFS($B$6:$B$3005,$B1497,$C$6:$C$3005,$C1497,$D$6:$D$3005,$D1497)&gt;1,"同じ月の請求が重複しています／",""),"")&amp;IF(AND(N($E1497)&gt;0,$Z1497&lt;&gt;"",$Z1497&lt;&gt;"×",$AC1497=0,$AB1497=""),"計算額が下限以下のため不支給／",""))</f>
        <v/>
      </c>
      <c r="AL1497" s="12" t="n"/>
      <c r="AM1497" s="14">
        <f>IF($AD1497="保留中",COUNTIF($AD$6:$AD1497,"保留中"),"")</f>
        <v/>
      </c>
      <c r="AN1497" s="14">
        <f>IF($AO1497="","",IF(SUMPRODUCT(MAX((職員マスタ!$A$6:$A$405=$B1497)*(((職員マスタ!$G$6:$G$405="")+(職員マスタ!$G$6:$G$405&lt;=EOMONTH($AO1497,0)))&gt;0)*(((職員マスタ!$H$6:$H$405="")+(職員マスタ!$H$6:$H$405&gt;=$AO1497))&gt;0)*(ROW(職員マスタ!$A$6:$A$405)-5)))&gt;0,SUMPRODUCT(MAX((職員マスタ!$A$6:$A$405=$B1497)*(((職員マスタ!$G$6:$G$405="")+(職員マスタ!$G$6:$G$405&lt;=EOMONTH($AO1497,0)))&gt;0)*(((職員マスタ!$H$6:$H$405="")+(職員マスタ!$H$6:$H$405&gt;=$AO1497))&gt;0)*(ROW(職員マスタ!$A$6:$A$405)-5))),IFERROR(MATCH($B1497,職員マスタ!$A$6:$A$405,0),"")))</f>
        <v/>
      </c>
      <c r="AO1497" s="16">
        <f>IF(OR($B1497="",$C1497="",$D1497=""),"",DATE($C1497+2018,$D1497,1))</f>
        <v/>
      </c>
    </row>
    <row r="1498">
      <c r="A1498" s="11" t="n"/>
      <c r="B1498" s="12" t="n"/>
      <c r="C1498" s="12" t="n"/>
      <c r="D1498" s="12" t="n"/>
      <c r="E1498" s="13" t="n"/>
      <c r="F1498" s="12" t="n"/>
      <c r="G1498" s="13" t="n"/>
      <c r="H1498" s="12" t="n"/>
      <c r="I1498" s="12" t="n"/>
      <c r="J1498" s="12" t="n"/>
      <c r="K1498" s="12" t="n"/>
      <c r="L1498" s="11" t="n"/>
      <c r="M1498" s="11" t="n"/>
      <c r="N1498" s="11" t="n"/>
      <c r="O1498" s="11" t="n"/>
      <c r="P1498" s="12" t="n"/>
      <c r="Q1498" s="11" t="n"/>
      <c r="R1498" s="12" t="n"/>
      <c r="S1498" s="11" t="n"/>
      <c r="T1498" s="12" t="n"/>
      <c r="U1498" s="12" t="n"/>
      <c r="V1498" s="14">
        <f>IF($AN1498="",IF($B1498="","",$H1498),IF(INDEX(職員マスタ!$B$6:$B$405,$AN1498)="",$H1498,INDEX(職員マスタ!$B$6:$B$405,$AN1498)))</f>
        <v/>
      </c>
      <c r="W1498" s="14">
        <f>IF($AN1498="",IF($B1498="","",$R1498),IF(INDEX(職員マスタ!$C$6:$C$405,$AN1498)="",$R1498,INDEX(職員マスタ!$C$6:$C$405,$AN1498)))</f>
        <v/>
      </c>
      <c r="X1498" s="14">
        <f>IF($AO1498="","","R"&amp;$C1498&amp;"."&amp;$D1498)</f>
        <v/>
      </c>
      <c r="Y1498" s="15">
        <f>IF($AN1498="","",IF(INDEX(職員マスタ!$K$6:$K$405,$AN1498)="","",INDEX(職員マスタ!$K$6:$K$405,$AN1498)))</f>
        <v/>
      </c>
      <c r="Z1498" s="14">
        <f>IF(OR($E1498="",$Y1498=""),"",IF($E1498&gt;=$Y1498,"×",IF($E1498&gt;=$Y1498*設定!$C$5,"△","○")))</f>
        <v/>
      </c>
      <c r="AA1498" s="15">
        <f>IF($Z1498="","",IF($Z1498="×",0,IF($Z1498="○",ROUNDDOWN($E1498*設定!$C$4,0),ROUNDDOWN($E1498*ROUND((9*$Y1498-9*$E1498)/(10*$E1498),4),0))))</f>
        <v/>
      </c>
      <c r="AB1498" s="13" t="n"/>
      <c r="AC1498" s="15">
        <f>IF($B1498="","",IF($AB1498&lt;&gt;"",$AB1498,IF($AA1498="","",IF($AA1498&lt;=設定!$C$3,0,$AA1498))))</f>
        <v/>
      </c>
      <c r="AD1498" s="14">
        <f>IF($B1498="","",IF(AND($AE1498&lt;&gt;"",$AG1498="",$AJ1498=""),"保留中",IF($AJ1498&lt;&gt;"",IF(N($AC1498)&gt;0,"支給済","不支給"),IF($AC1498="","要確認",IF($AC1498=0,"不支給","未処理")))))</f>
        <v/>
      </c>
      <c r="AE1498" s="12" t="n"/>
      <c r="AF1498" s="11" t="n"/>
      <c r="AG1498" s="11" t="n"/>
      <c r="AH1498" s="11" t="n"/>
      <c r="AI1498" s="14">
        <f>IF(AND($AD1498="保留中",$AF1498&lt;&gt;""),TODAY()-$AF1498,"")</f>
        <v/>
      </c>
      <c r="AJ1498" s="12" t="n"/>
      <c r="AK1498" s="14">
        <f>IF($B1498="","",IF($AO1498="","対象年月が未入力／","")&amp;IF($B1498="","",IF($AN1498="","職員マスタに未登録の職員番号／",IF($Y1498="","標準報酬月額が未登録／","")&amp;IF(AND($AO1498&lt;&gt;"",OR(AND(INDEX(職員マスタ!$G$6:$G$405,$AN1498)&lt;&gt;"",INDEX(職員マスタ!$G$6:$G$405,$AN1498)&gt;EOMONTH($AO1498,0)),AND(INDEX(職員マスタ!$H$6:$H$405,$AN1498)&lt;&gt;"",INDEX(職員マスタ!$H$6:$H$405,$AN1498)&lt;$AO1498))),"対象月が時短期間外／","")&amp;IF(AND(INDEX(職員マスタ!$F$6:$F$405,$AN1498)&lt;&gt;"",$AO1498&lt;&gt;"",INDEX(職員マスタ!$F$6:$F$405,$AN1498)&lt;$AO1498),"対象月に子が2歳到達済／","")&amp;IF(AND($H1498&lt;&gt;"",INDEX(職員マスタ!$B$6:$B$405,$AN1498)&lt;&gt;"",SUBSTITUTE(SUBSTITUTE($H1498," ","")," ","")&lt;&gt;SUBSTITUTE(SUBSTITUTE(INDEX(職員マスタ!$B$6:$B$405,$AN1498)," ","")," ","")),"氏名がマスタと相違／","")&amp;IF(AND($Q1498&lt;&gt;"",INDEX(職員マスタ!$E$6:$E$405,$AN1498)&lt;&gt;"",$Q1498&lt;&gt;INDEX(職員マスタ!$E$6:$E$405,$AN1498)),"子の生年月日がマスタと相違／","")&amp;IF(AND($L1498&lt;&gt;"",INDEX(職員マスタ!$G$6:$G$405,$AN1498)&lt;&gt;"",$L1498&lt;&gt;INDEX(職員マスタ!$G$6:$G$405,$AN1498)),"時短開始日がマスタと相違／","")&amp;IF(AND($M1498&lt;&gt;"",INDEX(職員マスタ!$H$6:$H$405,$AN1498)&lt;&gt;"",$M1498&lt;&gt;INDEX(職員マスタ!$H$6:$H$405,$AN1498)),"時短終了日がマスタと相違／","")))&amp;IF(AND($B1498&lt;&gt;"",$E1498=""),"報酬額が未入力／","")&amp;IF(N($U1498)&gt;0,"申請書に入力エラーが残っています／","")&amp;IF(AND($B1498&lt;&gt;"",$AO1498&lt;&gt;""),IF(COUNTIFS($B$6:$B$3005,$B1498,$C$6:$C$3005,$C1498,$D$6:$D$3005,$D1498)&gt;1,"同じ月の請求が重複しています／",""),"")&amp;IF(AND(N($E1498)&gt;0,$Z1498&lt;&gt;"",$Z1498&lt;&gt;"×",$AC1498=0,$AB1498=""),"計算額が下限以下のため不支給／",""))</f>
        <v/>
      </c>
      <c r="AL1498" s="12" t="n"/>
      <c r="AM1498" s="14">
        <f>IF($AD1498="保留中",COUNTIF($AD$6:$AD1498,"保留中"),"")</f>
        <v/>
      </c>
      <c r="AN1498" s="14">
        <f>IF($AO1498="","",IF(SUMPRODUCT(MAX((職員マスタ!$A$6:$A$405=$B1498)*(((職員マスタ!$G$6:$G$405="")+(職員マスタ!$G$6:$G$405&lt;=EOMONTH($AO1498,0)))&gt;0)*(((職員マスタ!$H$6:$H$405="")+(職員マスタ!$H$6:$H$405&gt;=$AO1498))&gt;0)*(ROW(職員マスタ!$A$6:$A$405)-5)))&gt;0,SUMPRODUCT(MAX((職員マスタ!$A$6:$A$405=$B1498)*(((職員マスタ!$G$6:$G$405="")+(職員マスタ!$G$6:$G$405&lt;=EOMONTH($AO1498,0)))&gt;0)*(((職員マスタ!$H$6:$H$405="")+(職員マスタ!$H$6:$H$405&gt;=$AO1498))&gt;0)*(ROW(職員マスタ!$A$6:$A$405)-5))),IFERROR(MATCH($B1498,職員マスタ!$A$6:$A$405,0),"")))</f>
        <v/>
      </c>
      <c r="AO1498" s="16">
        <f>IF(OR($B1498="",$C1498="",$D1498=""),"",DATE($C1498+2018,$D1498,1))</f>
        <v/>
      </c>
    </row>
    <row r="1499">
      <c r="A1499" s="11" t="n"/>
      <c r="B1499" s="12" t="n"/>
      <c r="C1499" s="12" t="n"/>
      <c r="D1499" s="12" t="n"/>
      <c r="E1499" s="13" t="n"/>
      <c r="F1499" s="12" t="n"/>
      <c r="G1499" s="13" t="n"/>
      <c r="H1499" s="12" t="n"/>
      <c r="I1499" s="12" t="n"/>
      <c r="J1499" s="12" t="n"/>
      <c r="K1499" s="12" t="n"/>
      <c r="L1499" s="11" t="n"/>
      <c r="M1499" s="11" t="n"/>
      <c r="N1499" s="11" t="n"/>
      <c r="O1499" s="11" t="n"/>
      <c r="P1499" s="12" t="n"/>
      <c r="Q1499" s="11" t="n"/>
      <c r="R1499" s="12" t="n"/>
      <c r="S1499" s="11" t="n"/>
      <c r="T1499" s="12" t="n"/>
      <c r="U1499" s="12" t="n"/>
      <c r="V1499" s="14">
        <f>IF($AN1499="",IF($B1499="","",$H1499),IF(INDEX(職員マスタ!$B$6:$B$405,$AN1499)="",$H1499,INDEX(職員マスタ!$B$6:$B$405,$AN1499)))</f>
        <v/>
      </c>
      <c r="W1499" s="14">
        <f>IF($AN1499="",IF($B1499="","",$R1499),IF(INDEX(職員マスタ!$C$6:$C$405,$AN1499)="",$R1499,INDEX(職員マスタ!$C$6:$C$405,$AN1499)))</f>
        <v/>
      </c>
      <c r="X1499" s="14">
        <f>IF($AO1499="","","R"&amp;$C1499&amp;"."&amp;$D1499)</f>
        <v/>
      </c>
      <c r="Y1499" s="15">
        <f>IF($AN1499="","",IF(INDEX(職員マスタ!$K$6:$K$405,$AN1499)="","",INDEX(職員マスタ!$K$6:$K$405,$AN1499)))</f>
        <v/>
      </c>
      <c r="Z1499" s="14">
        <f>IF(OR($E1499="",$Y1499=""),"",IF($E1499&gt;=$Y1499,"×",IF($E1499&gt;=$Y1499*設定!$C$5,"△","○")))</f>
        <v/>
      </c>
      <c r="AA1499" s="15">
        <f>IF($Z1499="","",IF($Z1499="×",0,IF($Z1499="○",ROUNDDOWN($E1499*設定!$C$4,0),ROUNDDOWN($E1499*ROUND((9*$Y1499-9*$E1499)/(10*$E1499),4),0))))</f>
        <v/>
      </c>
      <c r="AB1499" s="13" t="n"/>
      <c r="AC1499" s="15">
        <f>IF($B1499="","",IF($AB1499&lt;&gt;"",$AB1499,IF($AA1499="","",IF($AA1499&lt;=設定!$C$3,0,$AA1499))))</f>
        <v/>
      </c>
      <c r="AD1499" s="14">
        <f>IF($B1499="","",IF(AND($AE1499&lt;&gt;"",$AG1499="",$AJ1499=""),"保留中",IF($AJ1499&lt;&gt;"",IF(N($AC1499)&gt;0,"支給済","不支給"),IF($AC1499="","要確認",IF($AC1499=0,"不支給","未処理")))))</f>
        <v/>
      </c>
      <c r="AE1499" s="12" t="n"/>
      <c r="AF1499" s="11" t="n"/>
      <c r="AG1499" s="11" t="n"/>
      <c r="AH1499" s="11" t="n"/>
      <c r="AI1499" s="14">
        <f>IF(AND($AD1499="保留中",$AF1499&lt;&gt;""),TODAY()-$AF1499,"")</f>
        <v/>
      </c>
      <c r="AJ1499" s="12" t="n"/>
      <c r="AK1499" s="14">
        <f>IF($B1499="","",IF($AO1499="","対象年月が未入力／","")&amp;IF($B1499="","",IF($AN1499="","職員マスタに未登録の職員番号／",IF($Y1499="","標準報酬月額が未登録／","")&amp;IF(AND($AO1499&lt;&gt;"",OR(AND(INDEX(職員マスタ!$G$6:$G$405,$AN1499)&lt;&gt;"",INDEX(職員マスタ!$G$6:$G$405,$AN1499)&gt;EOMONTH($AO1499,0)),AND(INDEX(職員マスタ!$H$6:$H$405,$AN1499)&lt;&gt;"",INDEX(職員マスタ!$H$6:$H$405,$AN1499)&lt;$AO1499))),"対象月が時短期間外／","")&amp;IF(AND(INDEX(職員マスタ!$F$6:$F$405,$AN1499)&lt;&gt;"",$AO1499&lt;&gt;"",INDEX(職員マスタ!$F$6:$F$405,$AN1499)&lt;$AO1499),"対象月に子が2歳到達済／","")&amp;IF(AND($H1499&lt;&gt;"",INDEX(職員マスタ!$B$6:$B$405,$AN1499)&lt;&gt;"",SUBSTITUTE(SUBSTITUTE($H1499," ","")," ","")&lt;&gt;SUBSTITUTE(SUBSTITUTE(INDEX(職員マスタ!$B$6:$B$405,$AN1499)," ","")," ","")),"氏名がマスタと相違／","")&amp;IF(AND($Q1499&lt;&gt;"",INDEX(職員マスタ!$E$6:$E$405,$AN1499)&lt;&gt;"",$Q1499&lt;&gt;INDEX(職員マスタ!$E$6:$E$405,$AN1499)),"子の生年月日がマスタと相違／","")&amp;IF(AND($L1499&lt;&gt;"",INDEX(職員マスタ!$G$6:$G$405,$AN1499)&lt;&gt;"",$L1499&lt;&gt;INDEX(職員マスタ!$G$6:$G$405,$AN1499)),"時短開始日がマスタと相違／","")&amp;IF(AND($M1499&lt;&gt;"",INDEX(職員マスタ!$H$6:$H$405,$AN1499)&lt;&gt;"",$M1499&lt;&gt;INDEX(職員マスタ!$H$6:$H$405,$AN1499)),"時短終了日がマスタと相違／","")))&amp;IF(AND($B1499&lt;&gt;"",$E1499=""),"報酬額が未入力／","")&amp;IF(N($U1499)&gt;0,"申請書に入力エラーが残っています／","")&amp;IF(AND($B1499&lt;&gt;"",$AO1499&lt;&gt;""),IF(COUNTIFS($B$6:$B$3005,$B1499,$C$6:$C$3005,$C1499,$D$6:$D$3005,$D1499)&gt;1,"同じ月の請求が重複しています／",""),"")&amp;IF(AND(N($E1499)&gt;0,$Z1499&lt;&gt;"",$Z1499&lt;&gt;"×",$AC1499=0,$AB1499=""),"計算額が下限以下のため不支給／",""))</f>
        <v/>
      </c>
      <c r="AL1499" s="12" t="n"/>
      <c r="AM1499" s="14">
        <f>IF($AD1499="保留中",COUNTIF($AD$6:$AD1499,"保留中"),"")</f>
        <v/>
      </c>
      <c r="AN1499" s="14">
        <f>IF($AO1499="","",IF(SUMPRODUCT(MAX((職員マスタ!$A$6:$A$405=$B1499)*(((職員マスタ!$G$6:$G$405="")+(職員マスタ!$G$6:$G$405&lt;=EOMONTH($AO1499,0)))&gt;0)*(((職員マスタ!$H$6:$H$405="")+(職員マスタ!$H$6:$H$405&gt;=$AO1499))&gt;0)*(ROW(職員マスタ!$A$6:$A$405)-5)))&gt;0,SUMPRODUCT(MAX((職員マスタ!$A$6:$A$405=$B1499)*(((職員マスタ!$G$6:$G$405="")+(職員マスタ!$G$6:$G$405&lt;=EOMONTH($AO1499,0)))&gt;0)*(((職員マスタ!$H$6:$H$405="")+(職員マスタ!$H$6:$H$405&gt;=$AO1499))&gt;0)*(ROW(職員マスタ!$A$6:$A$405)-5))),IFERROR(MATCH($B1499,職員マスタ!$A$6:$A$405,0),"")))</f>
        <v/>
      </c>
      <c r="AO1499" s="16">
        <f>IF(OR($B1499="",$C1499="",$D1499=""),"",DATE($C1499+2018,$D1499,1))</f>
        <v/>
      </c>
    </row>
    <row r="1500">
      <c r="A1500" s="11" t="n"/>
      <c r="B1500" s="12" t="n"/>
      <c r="C1500" s="12" t="n"/>
      <c r="D1500" s="12" t="n"/>
      <c r="E1500" s="13" t="n"/>
      <c r="F1500" s="12" t="n"/>
      <c r="G1500" s="13" t="n"/>
      <c r="H1500" s="12" t="n"/>
      <c r="I1500" s="12" t="n"/>
      <c r="J1500" s="12" t="n"/>
      <c r="K1500" s="12" t="n"/>
      <c r="L1500" s="11" t="n"/>
      <c r="M1500" s="11" t="n"/>
      <c r="N1500" s="11" t="n"/>
      <c r="O1500" s="11" t="n"/>
      <c r="P1500" s="12" t="n"/>
      <c r="Q1500" s="11" t="n"/>
      <c r="R1500" s="12" t="n"/>
      <c r="S1500" s="11" t="n"/>
      <c r="T1500" s="12" t="n"/>
      <c r="U1500" s="12" t="n"/>
      <c r="V1500" s="14">
        <f>IF($AN1500="",IF($B1500="","",$H1500),IF(INDEX(職員マスタ!$B$6:$B$405,$AN1500)="",$H1500,INDEX(職員マスタ!$B$6:$B$405,$AN1500)))</f>
        <v/>
      </c>
      <c r="W1500" s="14">
        <f>IF($AN1500="",IF($B1500="","",$R1500),IF(INDEX(職員マスタ!$C$6:$C$405,$AN1500)="",$R1500,INDEX(職員マスタ!$C$6:$C$405,$AN1500)))</f>
        <v/>
      </c>
      <c r="X1500" s="14">
        <f>IF($AO1500="","","R"&amp;$C1500&amp;"."&amp;$D1500)</f>
        <v/>
      </c>
      <c r="Y1500" s="15">
        <f>IF($AN1500="","",IF(INDEX(職員マスタ!$K$6:$K$405,$AN1500)="","",INDEX(職員マスタ!$K$6:$K$405,$AN1500)))</f>
        <v/>
      </c>
      <c r="Z1500" s="14">
        <f>IF(OR($E1500="",$Y1500=""),"",IF($E1500&gt;=$Y1500,"×",IF($E1500&gt;=$Y1500*設定!$C$5,"△","○")))</f>
        <v/>
      </c>
      <c r="AA1500" s="15">
        <f>IF($Z1500="","",IF($Z1500="×",0,IF($Z1500="○",ROUNDDOWN($E1500*設定!$C$4,0),ROUNDDOWN($E1500*ROUND((9*$Y1500-9*$E1500)/(10*$E1500),4),0))))</f>
        <v/>
      </c>
      <c r="AB1500" s="13" t="n"/>
      <c r="AC1500" s="15">
        <f>IF($B1500="","",IF($AB1500&lt;&gt;"",$AB1500,IF($AA1500="","",IF($AA1500&lt;=設定!$C$3,0,$AA1500))))</f>
        <v/>
      </c>
      <c r="AD1500" s="14">
        <f>IF($B1500="","",IF(AND($AE1500&lt;&gt;"",$AG1500="",$AJ1500=""),"保留中",IF($AJ1500&lt;&gt;"",IF(N($AC1500)&gt;0,"支給済","不支給"),IF($AC1500="","要確認",IF($AC1500=0,"不支給","未処理")))))</f>
        <v/>
      </c>
      <c r="AE1500" s="12" t="n"/>
      <c r="AF1500" s="11" t="n"/>
      <c r="AG1500" s="11" t="n"/>
      <c r="AH1500" s="11" t="n"/>
      <c r="AI1500" s="14">
        <f>IF(AND($AD1500="保留中",$AF1500&lt;&gt;""),TODAY()-$AF1500,"")</f>
        <v/>
      </c>
      <c r="AJ1500" s="12" t="n"/>
      <c r="AK1500" s="14">
        <f>IF($B1500="","",IF($AO1500="","対象年月が未入力／","")&amp;IF($B1500="","",IF($AN1500="","職員マスタに未登録の職員番号／",IF($Y1500="","標準報酬月額が未登録／","")&amp;IF(AND($AO1500&lt;&gt;"",OR(AND(INDEX(職員マスタ!$G$6:$G$405,$AN1500)&lt;&gt;"",INDEX(職員マスタ!$G$6:$G$405,$AN1500)&gt;EOMONTH($AO1500,0)),AND(INDEX(職員マスタ!$H$6:$H$405,$AN1500)&lt;&gt;"",INDEX(職員マスタ!$H$6:$H$405,$AN1500)&lt;$AO1500))),"対象月が時短期間外／","")&amp;IF(AND(INDEX(職員マスタ!$F$6:$F$405,$AN1500)&lt;&gt;"",$AO1500&lt;&gt;"",INDEX(職員マスタ!$F$6:$F$405,$AN1500)&lt;$AO1500),"対象月に子が2歳到達済／","")&amp;IF(AND($H1500&lt;&gt;"",INDEX(職員マスタ!$B$6:$B$405,$AN1500)&lt;&gt;"",SUBSTITUTE(SUBSTITUTE($H1500," ","")," ","")&lt;&gt;SUBSTITUTE(SUBSTITUTE(INDEX(職員マスタ!$B$6:$B$405,$AN1500)," ","")," ","")),"氏名がマスタと相違／","")&amp;IF(AND($Q1500&lt;&gt;"",INDEX(職員マスタ!$E$6:$E$405,$AN1500)&lt;&gt;"",$Q1500&lt;&gt;INDEX(職員マスタ!$E$6:$E$405,$AN1500)),"子の生年月日がマスタと相違／","")&amp;IF(AND($L1500&lt;&gt;"",INDEX(職員マスタ!$G$6:$G$405,$AN1500)&lt;&gt;"",$L1500&lt;&gt;INDEX(職員マスタ!$G$6:$G$405,$AN1500)),"時短開始日がマスタと相違／","")&amp;IF(AND($M1500&lt;&gt;"",INDEX(職員マスタ!$H$6:$H$405,$AN1500)&lt;&gt;"",$M1500&lt;&gt;INDEX(職員マスタ!$H$6:$H$405,$AN1500)),"時短終了日がマスタと相違／","")))&amp;IF(AND($B1500&lt;&gt;"",$E1500=""),"報酬額が未入力／","")&amp;IF(N($U1500)&gt;0,"申請書に入力エラーが残っています／","")&amp;IF(AND($B1500&lt;&gt;"",$AO1500&lt;&gt;""),IF(COUNTIFS($B$6:$B$3005,$B1500,$C$6:$C$3005,$C1500,$D$6:$D$3005,$D1500)&gt;1,"同じ月の請求が重複しています／",""),"")&amp;IF(AND(N($E1500)&gt;0,$Z1500&lt;&gt;"",$Z1500&lt;&gt;"×",$AC1500=0,$AB1500=""),"計算額が下限以下のため不支給／",""))</f>
        <v/>
      </c>
      <c r="AL1500" s="12" t="n"/>
      <c r="AM1500" s="14">
        <f>IF($AD1500="保留中",COUNTIF($AD$6:$AD1500,"保留中"),"")</f>
        <v/>
      </c>
      <c r="AN1500" s="14">
        <f>IF($AO1500="","",IF(SUMPRODUCT(MAX((職員マスタ!$A$6:$A$405=$B1500)*(((職員マスタ!$G$6:$G$405="")+(職員マスタ!$G$6:$G$405&lt;=EOMONTH($AO1500,0)))&gt;0)*(((職員マスタ!$H$6:$H$405="")+(職員マスタ!$H$6:$H$405&gt;=$AO1500))&gt;0)*(ROW(職員マスタ!$A$6:$A$405)-5)))&gt;0,SUMPRODUCT(MAX((職員マスタ!$A$6:$A$405=$B1500)*(((職員マスタ!$G$6:$G$405="")+(職員マスタ!$G$6:$G$405&lt;=EOMONTH($AO1500,0)))&gt;0)*(((職員マスタ!$H$6:$H$405="")+(職員マスタ!$H$6:$H$405&gt;=$AO1500))&gt;0)*(ROW(職員マスタ!$A$6:$A$405)-5))),IFERROR(MATCH($B1500,職員マスタ!$A$6:$A$405,0),"")))</f>
        <v/>
      </c>
      <c r="AO1500" s="16">
        <f>IF(OR($B1500="",$C1500="",$D1500=""),"",DATE($C1500+2018,$D1500,1))</f>
        <v/>
      </c>
    </row>
    <row r="1501">
      <c r="A1501" s="11" t="n"/>
      <c r="B1501" s="12" t="n"/>
      <c r="C1501" s="12" t="n"/>
      <c r="D1501" s="12" t="n"/>
      <c r="E1501" s="13" t="n"/>
      <c r="F1501" s="12" t="n"/>
      <c r="G1501" s="13" t="n"/>
      <c r="H1501" s="12" t="n"/>
      <c r="I1501" s="12" t="n"/>
      <c r="J1501" s="12" t="n"/>
      <c r="K1501" s="12" t="n"/>
      <c r="L1501" s="11" t="n"/>
      <c r="M1501" s="11" t="n"/>
      <c r="N1501" s="11" t="n"/>
      <c r="O1501" s="11" t="n"/>
      <c r="P1501" s="12" t="n"/>
      <c r="Q1501" s="11" t="n"/>
      <c r="R1501" s="12" t="n"/>
      <c r="S1501" s="11" t="n"/>
      <c r="T1501" s="12" t="n"/>
      <c r="U1501" s="12" t="n"/>
      <c r="V1501" s="14">
        <f>IF($AN1501="",IF($B1501="","",$H1501),IF(INDEX(職員マスタ!$B$6:$B$405,$AN1501)="",$H1501,INDEX(職員マスタ!$B$6:$B$405,$AN1501)))</f>
        <v/>
      </c>
      <c r="W1501" s="14">
        <f>IF($AN1501="",IF($B1501="","",$R1501),IF(INDEX(職員マスタ!$C$6:$C$405,$AN1501)="",$R1501,INDEX(職員マスタ!$C$6:$C$405,$AN1501)))</f>
        <v/>
      </c>
      <c r="X1501" s="14">
        <f>IF($AO1501="","","R"&amp;$C1501&amp;"."&amp;$D1501)</f>
        <v/>
      </c>
      <c r="Y1501" s="15">
        <f>IF($AN1501="","",IF(INDEX(職員マスタ!$K$6:$K$405,$AN1501)="","",INDEX(職員マスタ!$K$6:$K$405,$AN1501)))</f>
        <v/>
      </c>
      <c r="Z1501" s="14">
        <f>IF(OR($E1501="",$Y1501=""),"",IF($E1501&gt;=$Y1501,"×",IF($E1501&gt;=$Y1501*設定!$C$5,"△","○")))</f>
        <v/>
      </c>
      <c r="AA1501" s="15">
        <f>IF($Z1501="","",IF($Z1501="×",0,IF($Z1501="○",ROUNDDOWN($E1501*設定!$C$4,0),ROUNDDOWN($E1501*ROUND((9*$Y1501-9*$E1501)/(10*$E1501),4),0))))</f>
        <v/>
      </c>
      <c r="AB1501" s="13" t="n"/>
      <c r="AC1501" s="15">
        <f>IF($B1501="","",IF($AB1501&lt;&gt;"",$AB1501,IF($AA1501="","",IF($AA1501&lt;=設定!$C$3,0,$AA1501))))</f>
        <v/>
      </c>
      <c r="AD1501" s="14">
        <f>IF($B1501="","",IF(AND($AE1501&lt;&gt;"",$AG1501="",$AJ1501=""),"保留中",IF($AJ1501&lt;&gt;"",IF(N($AC1501)&gt;0,"支給済","不支給"),IF($AC1501="","要確認",IF($AC1501=0,"不支給","未処理")))))</f>
        <v/>
      </c>
      <c r="AE1501" s="12" t="n"/>
      <c r="AF1501" s="11" t="n"/>
      <c r="AG1501" s="11" t="n"/>
      <c r="AH1501" s="11" t="n"/>
      <c r="AI1501" s="14">
        <f>IF(AND($AD1501="保留中",$AF1501&lt;&gt;""),TODAY()-$AF1501,"")</f>
        <v/>
      </c>
      <c r="AJ1501" s="12" t="n"/>
      <c r="AK1501" s="14">
        <f>IF($B1501="","",IF($AO1501="","対象年月が未入力／","")&amp;IF($B1501="","",IF($AN1501="","職員マスタに未登録の職員番号／",IF($Y1501="","標準報酬月額が未登録／","")&amp;IF(AND($AO1501&lt;&gt;"",OR(AND(INDEX(職員マスタ!$G$6:$G$405,$AN1501)&lt;&gt;"",INDEX(職員マスタ!$G$6:$G$405,$AN1501)&gt;EOMONTH($AO1501,0)),AND(INDEX(職員マスタ!$H$6:$H$405,$AN1501)&lt;&gt;"",INDEX(職員マスタ!$H$6:$H$405,$AN1501)&lt;$AO1501))),"対象月が時短期間外／","")&amp;IF(AND(INDEX(職員マスタ!$F$6:$F$405,$AN1501)&lt;&gt;"",$AO1501&lt;&gt;"",INDEX(職員マスタ!$F$6:$F$405,$AN1501)&lt;$AO1501),"対象月に子が2歳到達済／","")&amp;IF(AND($H1501&lt;&gt;"",INDEX(職員マスタ!$B$6:$B$405,$AN1501)&lt;&gt;"",SUBSTITUTE(SUBSTITUTE($H1501," ","")," ","")&lt;&gt;SUBSTITUTE(SUBSTITUTE(INDEX(職員マスタ!$B$6:$B$405,$AN1501)," ","")," ","")),"氏名がマスタと相違／","")&amp;IF(AND($Q1501&lt;&gt;"",INDEX(職員マスタ!$E$6:$E$405,$AN1501)&lt;&gt;"",$Q1501&lt;&gt;INDEX(職員マスタ!$E$6:$E$405,$AN1501)),"子の生年月日がマスタと相違／","")&amp;IF(AND($L1501&lt;&gt;"",INDEX(職員マスタ!$G$6:$G$405,$AN1501)&lt;&gt;"",$L1501&lt;&gt;INDEX(職員マスタ!$G$6:$G$405,$AN1501)),"時短開始日がマスタと相違／","")&amp;IF(AND($M1501&lt;&gt;"",INDEX(職員マスタ!$H$6:$H$405,$AN1501)&lt;&gt;"",$M1501&lt;&gt;INDEX(職員マスタ!$H$6:$H$405,$AN1501)),"時短終了日がマスタと相違／","")))&amp;IF(AND($B1501&lt;&gt;"",$E1501=""),"報酬額が未入力／","")&amp;IF(N($U1501)&gt;0,"申請書に入力エラーが残っています／","")&amp;IF(AND($B1501&lt;&gt;"",$AO1501&lt;&gt;""),IF(COUNTIFS($B$6:$B$3005,$B1501,$C$6:$C$3005,$C1501,$D$6:$D$3005,$D1501)&gt;1,"同じ月の請求が重複しています／",""),"")&amp;IF(AND(N($E1501)&gt;0,$Z1501&lt;&gt;"",$Z1501&lt;&gt;"×",$AC1501=0,$AB1501=""),"計算額が下限以下のため不支給／",""))</f>
        <v/>
      </c>
      <c r="AL1501" s="12" t="n"/>
      <c r="AM1501" s="14">
        <f>IF($AD1501="保留中",COUNTIF($AD$6:$AD1501,"保留中"),"")</f>
        <v/>
      </c>
      <c r="AN1501" s="14">
        <f>IF($AO1501="","",IF(SUMPRODUCT(MAX((職員マスタ!$A$6:$A$405=$B1501)*(((職員マスタ!$G$6:$G$405="")+(職員マスタ!$G$6:$G$405&lt;=EOMONTH($AO1501,0)))&gt;0)*(((職員マスタ!$H$6:$H$405="")+(職員マスタ!$H$6:$H$405&gt;=$AO1501))&gt;0)*(ROW(職員マスタ!$A$6:$A$405)-5)))&gt;0,SUMPRODUCT(MAX((職員マスタ!$A$6:$A$405=$B1501)*(((職員マスタ!$G$6:$G$405="")+(職員マスタ!$G$6:$G$405&lt;=EOMONTH($AO1501,0)))&gt;0)*(((職員マスタ!$H$6:$H$405="")+(職員マスタ!$H$6:$H$405&gt;=$AO1501))&gt;0)*(ROW(職員マスタ!$A$6:$A$405)-5))),IFERROR(MATCH($B1501,職員マスタ!$A$6:$A$405,0),"")))</f>
        <v/>
      </c>
      <c r="AO1501" s="16">
        <f>IF(OR($B1501="",$C1501="",$D1501=""),"",DATE($C1501+2018,$D1501,1))</f>
        <v/>
      </c>
    </row>
    <row r="1502">
      <c r="A1502" s="11" t="n"/>
      <c r="B1502" s="12" t="n"/>
      <c r="C1502" s="12" t="n"/>
      <c r="D1502" s="12" t="n"/>
      <c r="E1502" s="13" t="n"/>
      <c r="F1502" s="12" t="n"/>
      <c r="G1502" s="13" t="n"/>
      <c r="H1502" s="12" t="n"/>
      <c r="I1502" s="12" t="n"/>
      <c r="J1502" s="12" t="n"/>
      <c r="K1502" s="12" t="n"/>
      <c r="L1502" s="11" t="n"/>
      <c r="M1502" s="11" t="n"/>
      <c r="N1502" s="11" t="n"/>
      <c r="O1502" s="11" t="n"/>
      <c r="P1502" s="12" t="n"/>
      <c r="Q1502" s="11" t="n"/>
      <c r="R1502" s="12" t="n"/>
      <c r="S1502" s="11" t="n"/>
      <c r="T1502" s="12" t="n"/>
      <c r="U1502" s="12" t="n"/>
      <c r="V1502" s="14">
        <f>IF($AN1502="",IF($B1502="","",$H1502),IF(INDEX(職員マスタ!$B$6:$B$405,$AN1502)="",$H1502,INDEX(職員マスタ!$B$6:$B$405,$AN1502)))</f>
        <v/>
      </c>
      <c r="W1502" s="14">
        <f>IF($AN1502="",IF($B1502="","",$R1502),IF(INDEX(職員マスタ!$C$6:$C$405,$AN1502)="",$R1502,INDEX(職員マスタ!$C$6:$C$405,$AN1502)))</f>
        <v/>
      </c>
      <c r="X1502" s="14">
        <f>IF($AO1502="","","R"&amp;$C1502&amp;"."&amp;$D1502)</f>
        <v/>
      </c>
      <c r="Y1502" s="15">
        <f>IF($AN1502="","",IF(INDEX(職員マスタ!$K$6:$K$405,$AN1502)="","",INDEX(職員マスタ!$K$6:$K$405,$AN1502)))</f>
        <v/>
      </c>
      <c r="Z1502" s="14">
        <f>IF(OR($E1502="",$Y1502=""),"",IF($E1502&gt;=$Y1502,"×",IF($E1502&gt;=$Y1502*設定!$C$5,"△","○")))</f>
        <v/>
      </c>
      <c r="AA1502" s="15">
        <f>IF($Z1502="","",IF($Z1502="×",0,IF($Z1502="○",ROUNDDOWN($E1502*設定!$C$4,0),ROUNDDOWN($E1502*ROUND((9*$Y1502-9*$E1502)/(10*$E1502),4),0))))</f>
        <v/>
      </c>
      <c r="AB1502" s="13" t="n"/>
      <c r="AC1502" s="15">
        <f>IF($B1502="","",IF($AB1502&lt;&gt;"",$AB1502,IF($AA1502="","",IF($AA1502&lt;=設定!$C$3,0,$AA1502))))</f>
        <v/>
      </c>
      <c r="AD1502" s="14">
        <f>IF($B1502="","",IF(AND($AE1502&lt;&gt;"",$AG1502="",$AJ1502=""),"保留中",IF($AJ1502&lt;&gt;"",IF(N($AC1502)&gt;0,"支給済","不支給"),IF($AC1502="","要確認",IF($AC1502=0,"不支給","未処理")))))</f>
        <v/>
      </c>
      <c r="AE1502" s="12" t="n"/>
      <c r="AF1502" s="11" t="n"/>
      <c r="AG1502" s="11" t="n"/>
      <c r="AH1502" s="11" t="n"/>
      <c r="AI1502" s="14">
        <f>IF(AND($AD1502="保留中",$AF1502&lt;&gt;""),TODAY()-$AF1502,"")</f>
        <v/>
      </c>
      <c r="AJ1502" s="12" t="n"/>
      <c r="AK1502" s="14">
        <f>IF($B1502="","",IF($AO1502="","対象年月が未入力／","")&amp;IF($B1502="","",IF($AN1502="","職員マスタに未登録の職員番号／",IF($Y1502="","標準報酬月額が未登録／","")&amp;IF(AND($AO1502&lt;&gt;"",OR(AND(INDEX(職員マスタ!$G$6:$G$405,$AN1502)&lt;&gt;"",INDEX(職員マスタ!$G$6:$G$405,$AN1502)&gt;EOMONTH($AO1502,0)),AND(INDEX(職員マスタ!$H$6:$H$405,$AN1502)&lt;&gt;"",INDEX(職員マスタ!$H$6:$H$405,$AN1502)&lt;$AO1502))),"対象月が時短期間外／","")&amp;IF(AND(INDEX(職員マスタ!$F$6:$F$405,$AN1502)&lt;&gt;"",$AO1502&lt;&gt;"",INDEX(職員マスタ!$F$6:$F$405,$AN1502)&lt;$AO1502),"対象月に子が2歳到達済／","")&amp;IF(AND($H1502&lt;&gt;"",INDEX(職員マスタ!$B$6:$B$405,$AN1502)&lt;&gt;"",SUBSTITUTE(SUBSTITUTE($H1502," ","")," ","")&lt;&gt;SUBSTITUTE(SUBSTITUTE(INDEX(職員マスタ!$B$6:$B$405,$AN1502)," ","")," ","")),"氏名がマスタと相違／","")&amp;IF(AND($Q1502&lt;&gt;"",INDEX(職員マスタ!$E$6:$E$405,$AN1502)&lt;&gt;"",$Q1502&lt;&gt;INDEX(職員マスタ!$E$6:$E$405,$AN1502)),"子の生年月日がマスタと相違／","")&amp;IF(AND($L1502&lt;&gt;"",INDEX(職員マスタ!$G$6:$G$405,$AN1502)&lt;&gt;"",$L1502&lt;&gt;INDEX(職員マスタ!$G$6:$G$405,$AN1502)),"時短開始日がマスタと相違／","")&amp;IF(AND($M1502&lt;&gt;"",INDEX(職員マスタ!$H$6:$H$405,$AN1502)&lt;&gt;"",$M1502&lt;&gt;INDEX(職員マスタ!$H$6:$H$405,$AN1502)),"時短終了日がマスタと相違／","")))&amp;IF(AND($B1502&lt;&gt;"",$E1502=""),"報酬額が未入力／","")&amp;IF(N($U1502)&gt;0,"申請書に入力エラーが残っています／","")&amp;IF(AND($B1502&lt;&gt;"",$AO1502&lt;&gt;""),IF(COUNTIFS($B$6:$B$3005,$B1502,$C$6:$C$3005,$C1502,$D$6:$D$3005,$D1502)&gt;1,"同じ月の請求が重複しています／",""),"")&amp;IF(AND(N($E1502)&gt;0,$Z1502&lt;&gt;"",$Z1502&lt;&gt;"×",$AC1502=0,$AB1502=""),"計算額が下限以下のため不支給／",""))</f>
        <v/>
      </c>
      <c r="AL1502" s="12" t="n"/>
      <c r="AM1502" s="14">
        <f>IF($AD1502="保留中",COUNTIF($AD$6:$AD1502,"保留中"),"")</f>
        <v/>
      </c>
      <c r="AN1502" s="14">
        <f>IF($AO1502="","",IF(SUMPRODUCT(MAX((職員マスタ!$A$6:$A$405=$B1502)*(((職員マスタ!$G$6:$G$405="")+(職員マスタ!$G$6:$G$405&lt;=EOMONTH($AO1502,0)))&gt;0)*(((職員マスタ!$H$6:$H$405="")+(職員マスタ!$H$6:$H$405&gt;=$AO1502))&gt;0)*(ROW(職員マスタ!$A$6:$A$405)-5)))&gt;0,SUMPRODUCT(MAX((職員マスタ!$A$6:$A$405=$B1502)*(((職員マスタ!$G$6:$G$405="")+(職員マスタ!$G$6:$G$405&lt;=EOMONTH($AO1502,0)))&gt;0)*(((職員マスタ!$H$6:$H$405="")+(職員マスタ!$H$6:$H$405&gt;=$AO1502))&gt;0)*(ROW(職員マスタ!$A$6:$A$405)-5))),IFERROR(MATCH($B1502,職員マスタ!$A$6:$A$405,0),"")))</f>
        <v/>
      </c>
      <c r="AO1502" s="16">
        <f>IF(OR($B1502="",$C1502="",$D1502=""),"",DATE($C1502+2018,$D1502,1))</f>
        <v/>
      </c>
    </row>
    <row r="1503">
      <c r="A1503" s="11" t="n"/>
      <c r="B1503" s="12" t="n"/>
      <c r="C1503" s="12" t="n"/>
      <c r="D1503" s="12" t="n"/>
      <c r="E1503" s="13" t="n"/>
      <c r="F1503" s="12" t="n"/>
      <c r="G1503" s="13" t="n"/>
      <c r="H1503" s="12" t="n"/>
      <c r="I1503" s="12" t="n"/>
      <c r="J1503" s="12" t="n"/>
      <c r="K1503" s="12" t="n"/>
      <c r="L1503" s="11" t="n"/>
      <c r="M1503" s="11" t="n"/>
      <c r="N1503" s="11" t="n"/>
      <c r="O1503" s="11" t="n"/>
      <c r="P1503" s="12" t="n"/>
      <c r="Q1503" s="11" t="n"/>
      <c r="R1503" s="12" t="n"/>
      <c r="S1503" s="11" t="n"/>
      <c r="T1503" s="12" t="n"/>
      <c r="U1503" s="12" t="n"/>
      <c r="V1503" s="14">
        <f>IF($AN1503="",IF($B1503="","",$H1503),IF(INDEX(職員マスタ!$B$6:$B$405,$AN1503)="",$H1503,INDEX(職員マスタ!$B$6:$B$405,$AN1503)))</f>
        <v/>
      </c>
      <c r="W1503" s="14">
        <f>IF($AN1503="",IF($B1503="","",$R1503),IF(INDEX(職員マスタ!$C$6:$C$405,$AN1503)="",$R1503,INDEX(職員マスタ!$C$6:$C$405,$AN1503)))</f>
        <v/>
      </c>
      <c r="X1503" s="14">
        <f>IF($AO1503="","","R"&amp;$C1503&amp;"."&amp;$D1503)</f>
        <v/>
      </c>
      <c r="Y1503" s="15">
        <f>IF($AN1503="","",IF(INDEX(職員マスタ!$K$6:$K$405,$AN1503)="","",INDEX(職員マスタ!$K$6:$K$405,$AN1503)))</f>
        <v/>
      </c>
      <c r="Z1503" s="14">
        <f>IF(OR($E1503="",$Y1503=""),"",IF($E1503&gt;=$Y1503,"×",IF($E1503&gt;=$Y1503*設定!$C$5,"△","○")))</f>
        <v/>
      </c>
      <c r="AA1503" s="15">
        <f>IF($Z1503="","",IF($Z1503="×",0,IF($Z1503="○",ROUNDDOWN($E1503*設定!$C$4,0),ROUNDDOWN($E1503*ROUND((9*$Y1503-9*$E1503)/(10*$E1503),4),0))))</f>
        <v/>
      </c>
      <c r="AB1503" s="13" t="n"/>
      <c r="AC1503" s="15">
        <f>IF($B1503="","",IF($AB1503&lt;&gt;"",$AB1503,IF($AA1503="","",IF($AA1503&lt;=設定!$C$3,0,$AA1503))))</f>
        <v/>
      </c>
      <c r="AD1503" s="14">
        <f>IF($B1503="","",IF(AND($AE1503&lt;&gt;"",$AG1503="",$AJ1503=""),"保留中",IF($AJ1503&lt;&gt;"",IF(N($AC1503)&gt;0,"支給済","不支給"),IF($AC1503="","要確認",IF($AC1503=0,"不支給","未処理")))))</f>
        <v/>
      </c>
      <c r="AE1503" s="12" t="n"/>
      <c r="AF1503" s="11" t="n"/>
      <c r="AG1503" s="11" t="n"/>
      <c r="AH1503" s="11" t="n"/>
      <c r="AI1503" s="14">
        <f>IF(AND($AD1503="保留中",$AF1503&lt;&gt;""),TODAY()-$AF1503,"")</f>
        <v/>
      </c>
      <c r="AJ1503" s="12" t="n"/>
      <c r="AK1503" s="14">
        <f>IF($B1503="","",IF($AO1503="","対象年月が未入力／","")&amp;IF($B1503="","",IF($AN1503="","職員マスタに未登録の職員番号／",IF($Y1503="","標準報酬月額が未登録／","")&amp;IF(AND($AO1503&lt;&gt;"",OR(AND(INDEX(職員マスタ!$G$6:$G$405,$AN1503)&lt;&gt;"",INDEX(職員マスタ!$G$6:$G$405,$AN1503)&gt;EOMONTH($AO1503,0)),AND(INDEX(職員マスタ!$H$6:$H$405,$AN1503)&lt;&gt;"",INDEX(職員マスタ!$H$6:$H$405,$AN1503)&lt;$AO1503))),"対象月が時短期間外／","")&amp;IF(AND(INDEX(職員マスタ!$F$6:$F$405,$AN1503)&lt;&gt;"",$AO1503&lt;&gt;"",INDEX(職員マスタ!$F$6:$F$405,$AN1503)&lt;$AO1503),"対象月に子が2歳到達済／","")&amp;IF(AND($H1503&lt;&gt;"",INDEX(職員マスタ!$B$6:$B$405,$AN1503)&lt;&gt;"",SUBSTITUTE(SUBSTITUTE($H1503," ","")," ","")&lt;&gt;SUBSTITUTE(SUBSTITUTE(INDEX(職員マスタ!$B$6:$B$405,$AN1503)," ","")," ","")),"氏名がマスタと相違／","")&amp;IF(AND($Q1503&lt;&gt;"",INDEX(職員マスタ!$E$6:$E$405,$AN1503)&lt;&gt;"",$Q1503&lt;&gt;INDEX(職員マスタ!$E$6:$E$405,$AN1503)),"子の生年月日がマスタと相違／","")&amp;IF(AND($L1503&lt;&gt;"",INDEX(職員マスタ!$G$6:$G$405,$AN1503)&lt;&gt;"",$L1503&lt;&gt;INDEX(職員マスタ!$G$6:$G$405,$AN1503)),"時短開始日がマスタと相違／","")&amp;IF(AND($M1503&lt;&gt;"",INDEX(職員マスタ!$H$6:$H$405,$AN1503)&lt;&gt;"",$M1503&lt;&gt;INDEX(職員マスタ!$H$6:$H$405,$AN1503)),"時短終了日がマスタと相違／","")))&amp;IF(AND($B1503&lt;&gt;"",$E1503=""),"報酬額が未入力／","")&amp;IF(N($U1503)&gt;0,"申請書に入力エラーが残っています／","")&amp;IF(AND($B1503&lt;&gt;"",$AO1503&lt;&gt;""),IF(COUNTIFS($B$6:$B$3005,$B1503,$C$6:$C$3005,$C1503,$D$6:$D$3005,$D1503)&gt;1,"同じ月の請求が重複しています／",""),"")&amp;IF(AND(N($E1503)&gt;0,$Z1503&lt;&gt;"",$Z1503&lt;&gt;"×",$AC1503=0,$AB1503=""),"計算額が下限以下のため不支給／",""))</f>
        <v/>
      </c>
      <c r="AL1503" s="12" t="n"/>
      <c r="AM1503" s="14">
        <f>IF($AD1503="保留中",COUNTIF($AD$6:$AD1503,"保留中"),"")</f>
        <v/>
      </c>
      <c r="AN1503" s="14">
        <f>IF($AO1503="","",IF(SUMPRODUCT(MAX((職員マスタ!$A$6:$A$405=$B1503)*(((職員マスタ!$G$6:$G$405="")+(職員マスタ!$G$6:$G$405&lt;=EOMONTH($AO1503,0)))&gt;0)*(((職員マスタ!$H$6:$H$405="")+(職員マスタ!$H$6:$H$405&gt;=$AO1503))&gt;0)*(ROW(職員マスタ!$A$6:$A$405)-5)))&gt;0,SUMPRODUCT(MAX((職員マスタ!$A$6:$A$405=$B1503)*(((職員マスタ!$G$6:$G$405="")+(職員マスタ!$G$6:$G$405&lt;=EOMONTH($AO1503,0)))&gt;0)*(((職員マスタ!$H$6:$H$405="")+(職員マスタ!$H$6:$H$405&gt;=$AO1503))&gt;0)*(ROW(職員マスタ!$A$6:$A$405)-5))),IFERROR(MATCH($B1503,職員マスタ!$A$6:$A$405,0),"")))</f>
        <v/>
      </c>
      <c r="AO1503" s="16">
        <f>IF(OR($B1503="",$C1503="",$D1503=""),"",DATE($C1503+2018,$D1503,1))</f>
        <v/>
      </c>
    </row>
    <row r="1504">
      <c r="A1504" s="11" t="n"/>
      <c r="B1504" s="12" t="n"/>
      <c r="C1504" s="12" t="n"/>
      <c r="D1504" s="12" t="n"/>
      <c r="E1504" s="13" t="n"/>
      <c r="F1504" s="12" t="n"/>
      <c r="G1504" s="13" t="n"/>
      <c r="H1504" s="12" t="n"/>
      <c r="I1504" s="12" t="n"/>
      <c r="J1504" s="12" t="n"/>
      <c r="K1504" s="12" t="n"/>
      <c r="L1504" s="11" t="n"/>
      <c r="M1504" s="11" t="n"/>
      <c r="N1504" s="11" t="n"/>
      <c r="O1504" s="11" t="n"/>
      <c r="P1504" s="12" t="n"/>
      <c r="Q1504" s="11" t="n"/>
      <c r="R1504" s="12" t="n"/>
      <c r="S1504" s="11" t="n"/>
      <c r="T1504" s="12" t="n"/>
      <c r="U1504" s="12" t="n"/>
      <c r="V1504" s="14">
        <f>IF($AN1504="",IF($B1504="","",$H1504),IF(INDEX(職員マスタ!$B$6:$B$405,$AN1504)="",$H1504,INDEX(職員マスタ!$B$6:$B$405,$AN1504)))</f>
        <v/>
      </c>
      <c r="W1504" s="14">
        <f>IF($AN1504="",IF($B1504="","",$R1504),IF(INDEX(職員マスタ!$C$6:$C$405,$AN1504)="",$R1504,INDEX(職員マスタ!$C$6:$C$405,$AN1504)))</f>
        <v/>
      </c>
      <c r="X1504" s="14">
        <f>IF($AO1504="","","R"&amp;$C1504&amp;"."&amp;$D1504)</f>
        <v/>
      </c>
      <c r="Y1504" s="15">
        <f>IF($AN1504="","",IF(INDEX(職員マスタ!$K$6:$K$405,$AN1504)="","",INDEX(職員マスタ!$K$6:$K$405,$AN1504)))</f>
        <v/>
      </c>
      <c r="Z1504" s="14">
        <f>IF(OR($E1504="",$Y1504=""),"",IF($E1504&gt;=$Y1504,"×",IF($E1504&gt;=$Y1504*設定!$C$5,"△","○")))</f>
        <v/>
      </c>
      <c r="AA1504" s="15">
        <f>IF($Z1504="","",IF($Z1504="×",0,IF($Z1504="○",ROUNDDOWN($E1504*設定!$C$4,0),ROUNDDOWN($E1504*ROUND((9*$Y1504-9*$E1504)/(10*$E1504),4),0))))</f>
        <v/>
      </c>
      <c r="AB1504" s="13" t="n"/>
      <c r="AC1504" s="15">
        <f>IF($B1504="","",IF($AB1504&lt;&gt;"",$AB1504,IF($AA1504="","",IF($AA1504&lt;=設定!$C$3,0,$AA1504))))</f>
        <v/>
      </c>
      <c r="AD1504" s="14">
        <f>IF($B1504="","",IF(AND($AE1504&lt;&gt;"",$AG1504="",$AJ1504=""),"保留中",IF($AJ1504&lt;&gt;"",IF(N($AC1504)&gt;0,"支給済","不支給"),IF($AC1504="","要確認",IF($AC1504=0,"不支給","未処理")))))</f>
        <v/>
      </c>
      <c r="AE1504" s="12" t="n"/>
      <c r="AF1504" s="11" t="n"/>
      <c r="AG1504" s="11" t="n"/>
      <c r="AH1504" s="11" t="n"/>
      <c r="AI1504" s="14">
        <f>IF(AND($AD1504="保留中",$AF1504&lt;&gt;""),TODAY()-$AF1504,"")</f>
        <v/>
      </c>
      <c r="AJ1504" s="12" t="n"/>
      <c r="AK1504" s="14">
        <f>IF($B1504="","",IF($AO1504="","対象年月が未入力／","")&amp;IF($B1504="","",IF($AN1504="","職員マスタに未登録の職員番号／",IF($Y1504="","標準報酬月額が未登録／","")&amp;IF(AND($AO1504&lt;&gt;"",OR(AND(INDEX(職員マスタ!$G$6:$G$405,$AN1504)&lt;&gt;"",INDEX(職員マスタ!$G$6:$G$405,$AN1504)&gt;EOMONTH($AO1504,0)),AND(INDEX(職員マスタ!$H$6:$H$405,$AN1504)&lt;&gt;"",INDEX(職員マスタ!$H$6:$H$405,$AN1504)&lt;$AO1504))),"対象月が時短期間外／","")&amp;IF(AND(INDEX(職員マスタ!$F$6:$F$405,$AN1504)&lt;&gt;"",$AO1504&lt;&gt;"",INDEX(職員マスタ!$F$6:$F$405,$AN1504)&lt;$AO1504),"対象月に子が2歳到達済／","")&amp;IF(AND($H1504&lt;&gt;"",INDEX(職員マスタ!$B$6:$B$405,$AN1504)&lt;&gt;"",SUBSTITUTE(SUBSTITUTE($H1504," ","")," ","")&lt;&gt;SUBSTITUTE(SUBSTITUTE(INDEX(職員マスタ!$B$6:$B$405,$AN1504)," ","")," ","")),"氏名がマスタと相違／","")&amp;IF(AND($Q1504&lt;&gt;"",INDEX(職員マスタ!$E$6:$E$405,$AN1504)&lt;&gt;"",$Q1504&lt;&gt;INDEX(職員マスタ!$E$6:$E$405,$AN1504)),"子の生年月日がマスタと相違／","")&amp;IF(AND($L1504&lt;&gt;"",INDEX(職員マスタ!$G$6:$G$405,$AN1504)&lt;&gt;"",$L1504&lt;&gt;INDEX(職員マスタ!$G$6:$G$405,$AN1504)),"時短開始日がマスタと相違／","")&amp;IF(AND($M1504&lt;&gt;"",INDEX(職員マスタ!$H$6:$H$405,$AN1504)&lt;&gt;"",$M1504&lt;&gt;INDEX(職員マスタ!$H$6:$H$405,$AN1504)),"時短終了日がマスタと相違／","")))&amp;IF(AND($B1504&lt;&gt;"",$E1504=""),"報酬額が未入力／","")&amp;IF(N($U1504)&gt;0,"申請書に入力エラーが残っています／","")&amp;IF(AND($B1504&lt;&gt;"",$AO1504&lt;&gt;""),IF(COUNTIFS($B$6:$B$3005,$B1504,$C$6:$C$3005,$C1504,$D$6:$D$3005,$D1504)&gt;1,"同じ月の請求が重複しています／",""),"")&amp;IF(AND(N($E1504)&gt;0,$Z1504&lt;&gt;"",$Z1504&lt;&gt;"×",$AC1504=0,$AB1504=""),"計算額が下限以下のため不支給／",""))</f>
        <v/>
      </c>
      <c r="AL1504" s="12" t="n"/>
      <c r="AM1504" s="14">
        <f>IF($AD1504="保留中",COUNTIF($AD$6:$AD1504,"保留中"),"")</f>
        <v/>
      </c>
      <c r="AN1504" s="14">
        <f>IF($AO1504="","",IF(SUMPRODUCT(MAX((職員マスタ!$A$6:$A$405=$B1504)*(((職員マスタ!$G$6:$G$405="")+(職員マスタ!$G$6:$G$405&lt;=EOMONTH($AO1504,0)))&gt;0)*(((職員マスタ!$H$6:$H$405="")+(職員マスタ!$H$6:$H$405&gt;=$AO1504))&gt;0)*(ROW(職員マスタ!$A$6:$A$405)-5)))&gt;0,SUMPRODUCT(MAX((職員マスタ!$A$6:$A$405=$B1504)*(((職員マスタ!$G$6:$G$405="")+(職員マスタ!$G$6:$G$405&lt;=EOMONTH($AO1504,0)))&gt;0)*(((職員マスタ!$H$6:$H$405="")+(職員マスタ!$H$6:$H$405&gt;=$AO1504))&gt;0)*(ROW(職員マスタ!$A$6:$A$405)-5))),IFERROR(MATCH($B1504,職員マスタ!$A$6:$A$405,0),"")))</f>
        <v/>
      </c>
      <c r="AO1504" s="16">
        <f>IF(OR($B1504="",$C1504="",$D1504=""),"",DATE($C1504+2018,$D1504,1))</f>
        <v/>
      </c>
    </row>
    <row r="1505">
      <c r="A1505" s="11" t="n"/>
      <c r="B1505" s="12" t="n"/>
      <c r="C1505" s="12" t="n"/>
      <c r="D1505" s="12" t="n"/>
      <c r="E1505" s="13" t="n"/>
      <c r="F1505" s="12" t="n"/>
      <c r="G1505" s="13" t="n"/>
      <c r="H1505" s="12" t="n"/>
      <c r="I1505" s="12" t="n"/>
      <c r="J1505" s="12" t="n"/>
      <c r="K1505" s="12" t="n"/>
      <c r="L1505" s="11" t="n"/>
      <c r="M1505" s="11" t="n"/>
      <c r="N1505" s="11" t="n"/>
      <c r="O1505" s="11" t="n"/>
      <c r="P1505" s="12" t="n"/>
      <c r="Q1505" s="11" t="n"/>
      <c r="R1505" s="12" t="n"/>
      <c r="S1505" s="11" t="n"/>
      <c r="T1505" s="12" t="n"/>
      <c r="U1505" s="12" t="n"/>
      <c r="V1505" s="14">
        <f>IF($AN1505="",IF($B1505="","",$H1505),IF(INDEX(職員マスタ!$B$6:$B$405,$AN1505)="",$H1505,INDEX(職員マスタ!$B$6:$B$405,$AN1505)))</f>
        <v/>
      </c>
      <c r="W1505" s="14">
        <f>IF($AN1505="",IF($B1505="","",$R1505),IF(INDEX(職員マスタ!$C$6:$C$405,$AN1505)="",$R1505,INDEX(職員マスタ!$C$6:$C$405,$AN1505)))</f>
        <v/>
      </c>
      <c r="X1505" s="14">
        <f>IF($AO1505="","","R"&amp;$C1505&amp;"."&amp;$D1505)</f>
        <v/>
      </c>
      <c r="Y1505" s="15">
        <f>IF($AN1505="","",IF(INDEX(職員マスタ!$K$6:$K$405,$AN1505)="","",INDEX(職員マスタ!$K$6:$K$405,$AN1505)))</f>
        <v/>
      </c>
      <c r="Z1505" s="14">
        <f>IF(OR($E1505="",$Y1505=""),"",IF($E1505&gt;=$Y1505,"×",IF($E1505&gt;=$Y1505*設定!$C$5,"△","○")))</f>
        <v/>
      </c>
      <c r="AA1505" s="15">
        <f>IF($Z1505="","",IF($Z1505="×",0,IF($Z1505="○",ROUNDDOWN($E1505*設定!$C$4,0),ROUNDDOWN($E1505*ROUND((9*$Y1505-9*$E1505)/(10*$E1505),4),0))))</f>
        <v/>
      </c>
      <c r="AB1505" s="13" t="n"/>
      <c r="AC1505" s="15">
        <f>IF($B1505="","",IF($AB1505&lt;&gt;"",$AB1505,IF($AA1505="","",IF($AA1505&lt;=設定!$C$3,0,$AA1505))))</f>
        <v/>
      </c>
      <c r="AD1505" s="14">
        <f>IF($B1505="","",IF(AND($AE1505&lt;&gt;"",$AG1505="",$AJ1505=""),"保留中",IF($AJ1505&lt;&gt;"",IF(N($AC1505)&gt;0,"支給済","不支給"),IF($AC1505="","要確認",IF($AC1505=0,"不支給","未処理")))))</f>
        <v/>
      </c>
      <c r="AE1505" s="12" t="n"/>
      <c r="AF1505" s="11" t="n"/>
      <c r="AG1505" s="11" t="n"/>
      <c r="AH1505" s="11" t="n"/>
      <c r="AI1505" s="14">
        <f>IF(AND($AD1505="保留中",$AF1505&lt;&gt;""),TODAY()-$AF1505,"")</f>
        <v/>
      </c>
      <c r="AJ1505" s="12" t="n"/>
      <c r="AK1505" s="14">
        <f>IF($B1505="","",IF($AO1505="","対象年月が未入力／","")&amp;IF($B1505="","",IF($AN1505="","職員マスタに未登録の職員番号／",IF($Y1505="","標準報酬月額が未登録／","")&amp;IF(AND($AO1505&lt;&gt;"",OR(AND(INDEX(職員マスタ!$G$6:$G$405,$AN1505)&lt;&gt;"",INDEX(職員マスタ!$G$6:$G$405,$AN1505)&gt;EOMONTH($AO1505,0)),AND(INDEX(職員マスタ!$H$6:$H$405,$AN1505)&lt;&gt;"",INDEX(職員マスタ!$H$6:$H$405,$AN1505)&lt;$AO1505))),"対象月が時短期間外／","")&amp;IF(AND(INDEX(職員マスタ!$F$6:$F$405,$AN1505)&lt;&gt;"",$AO1505&lt;&gt;"",INDEX(職員マスタ!$F$6:$F$405,$AN1505)&lt;$AO1505),"対象月に子が2歳到達済／","")&amp;IF(AND($H1505&lt;&gt;"",INDEX(職員マスタ!$B$6:$B$405,$AN1505)&lt;&gt;"",SUBSTITUTE(SUBSTITUTE($H1505," ","")," ","")&lt;&gt;SUBSTITUTE(SUBSTITUTE(INDEX(職員マスタ!$B$6:$B$405,$AN1505)," ","")," ","")),"氏名がマスタと相違／","")&amp;IF(AND($Q1505&lt;&gt;"",INDEX(職員マスタ!$E$6:$E$405,$AN1505)&lt;&gt;"",$Q1505&lt;&gt;INDEX(職員マスタ!$E$6:$E$405,$AN1505)),"子の生年月日がマスタと相違／","")&amp;IF(AND($L1505&lt;&gt;"",INDEX(職員マスタ!$G$6:$G$405,$AN1505)&lt;&gt;"",$L1505&lt;&gt;INDEX(職員マスタ!$G$6:$G$405,$AN1505)),"時短開始日がマスタと相違／","")&amp;IF(AND($M1505&lt;&gt;"",INDEX(職員マスタ!$H$6:$H$405,$AN1505)&lt;&gt;"",$M1505&lt;&gt;INDEX(職員マスタ!$H$6:$H$405,$AN1505)),"時短終了日がマスタと相違／","")))&amp;IF(AND($B1505&lt;&gt;"",$E1505=""),"報酬額が未入力／","")&amp;IF(N($U1505)&gt;0,"申請書に入力エラーが残っています／","")&amp;IF(AND($B1505&lt;&gt;"",$AO1505&lt;&gt;""),IF(COUNTIFS($B$6:$B$3005,$B1505,$C$6:$C$3005,$C1505,$D$6:$D$3005,$D1505)&gt;1,"同じ月の請求が重複しています／",""),"")&amp;IF(AND(N($E1505)&gt;0,$Z1505&lt;&gt;"",$Z1505&lt;&gt;"×",$AC1505=0,$AB1505=""),"計算額が下限以下のため不支給／",""))</f>
        <v/>
      </c>
      <c r="AL1505" s="12" t="n"/>
      <c r="AM1505" s="14">
        <f>IF($AD1505="保留中",COUNTIF($AD$6:$AD1505,"保留中"),"")</f>
        <v/>
      </c>
      <c r="AN1505" s="14">
        <f>IF($AO1505="","",IF(SUMPRODUCT(MAX((職員マスタ!$A$6:$A$405=$B1505)*(((職員マスタ!$G$6:$G$405="")+(職員マスタ!$G$6:$G$405&lt;=EOMONTH($AO1505,0)))&gt;0)*(((職員マスタ!$H$6:$H$405="")+(職員マスタ!$H$6:$H$405&gt;=$AO1505))&gt;0)*(ROW(職員マスタ!$A$6:$A$405)-5)))&gt;0,SUMPRODUCT(MAX((職員マスタ!$A$6:$A$405=$B1505)*(((職員マスタ!$G$6:$G$405="")+(職員マスタ!$G$6:$G$405&lt;=EOMONTH($AO1505,0)))&gt;0)*(((職員マスタ!$H$6:$H$405="")+(職員マスタ!$H$6:$H$405&gt;=$AO1505))&gt;0)*(ROW(職員マスタ!$A$6:$A$405)-5))),IFERROR(MATCH($B1505,職員マスタ!$A$6:$A$405,0),"")))</f>
        <v/>
      </c>
      <c r="AO1505" s="16">
        <f>IF(OR($B1505="",$C1505="",$D1505=""),"",DATE($C1505+2018,$D1505,1))</f>
        <v/>
      </c>
    </row>
    <row r="1506">
      <c r="A1506" s="11" t="n"/>
      <c r="B1506" s="12" t="n"/>
      <c r="C1506" s="12" t="n"/>
      <c r="D1506" s="12" t="n"/>
      <c r="E1506" s="13" t="n"/>
      <c r="F1506" s="12" t="n"/>
      <c r="G1506" s="13" t="n"/>
      <c r="H1506" s="12" t="n"/>
      <c r="I1506" s="12" t="n"/>
      <c r="J1506" s="12" t="n"/>
      <c r="K1506" s="12" t="n"/>
      <c r="L1506" s="11" t="n"/>
      <c r="M1506" s="11" t="n"/>
      <c r="N1506" s="11" t="n"/>
      <c r="O1506" s="11" t="n"/>
      <c r="P1506" s="12" t="n"/>
      <c r="Q1506" s="11" t="n"/>
      <c r="R1506" s="12" t="n"/>
      <c r="S1506" s="11" t="n"/>
      <c r="T1506" s="12" t="n"/>
      <c r="U1506" s="12" t="n"/>
      <c r="V1506" s="14">
        <f>IF($AN1506="",IF($B1506="","",$H1506),IF(INDEX(職員マスタ!$B$6:$B$405,$AN1506)="",$H1506,INDEX(職員マスタ!$B$6:$B$405,$AN1506)))</f>
        <v/>
      </c>
      <c r="W1506" s="14">
        <f>IF($AN1506="",IF($B1506="","",$R1506),IF(INDEX(職員マスタ!$C$6:$C$405,$AN1506)="",$R1506,INDEX(職員マスタ!$C$6:$C$405,$AN1506)))</f>
        <v/>
      </c>
      <c r="X1506" s="14">
        <f>IF($AO1506="","","R"&amp;$C1506&amp;"."&amp;$D1506)</f>
        <v/>
      </c>
      <c r="Y1506" s="15">
        <f>IF($AN1506="","",IF(INDEX(職員マスタ!$K$6:$K$405,$AN1506)="","",INDEX(職員マスタ!$K$6:$K$405,$AN1506)))</f>
        <v/>
      </c>
      <c r="Z1506" s="14">
        <f>IF(OR($E1506="",$Y1506=""),"",IF($E1506&gt;=$Y1506,"×",IF($E1506&gt;=$Y1506*設定!$C$5,"△","○")))</f>
        <v/>
      </c>
      <c r="AA1506" s="15">
        <f>IF($Z1506="","",IF($Z1506="×",0,IF($Z1506="○",ROUNDDOWN($E1506*設定!$C$4,0),ROUNDDOWN($E1506*ROUND((9*$Y1506-9*$E1506)/(10*$E1506),4),0))))</f>
        <v/>
      </c>
      <c r="AB1506" s="13" t="n"/>
      <c r="AC1506" s="15">
        <f>IF($B1506="","",IF($AB1506&lt;&gt;"",$AB1506,IF($AA1506="","",IF($AA1506&lt;=設定!$C$3,0,$AA1506))))</f>
        <v/>
      </c>
      <c r="AD1506" s="14">
        <f>IF($B1506="","",IF(AND($AE1506&lt;&gt;"",$AG1506="",$AJ1506=""),"保留中",IF($AJ1506&lt;&gt;"",IF(N($AC1506)&gt;0,"支給済","不支給"),IF($AC1506="","要確認",IF($AC1506=0,"不支給","未処理")))))</f>
        <v/>
      </c>
      <c r="AE1506" s="12" t="n"/>
      <c r="AF1506" s="11" t="n"/>
      <c r="AG1506" s="11" t="n"/>
      <c r="AH1506" s="11" t="n"/>
      <c r="AI1506" s="14">
        <f>IF(AND($AD1506="保留中",$AF1506&lt;&gt;""),TODAY()-$AF1506,"")</f>
        <v/>
      </c>
      <c r="AJ1506" s="12" t="n"/>
      <c r="AK1506" s="14">
        <f>IF($B1506="","",IF($AO1506="","対象年月が未入力／","")&amp;IF($B1506="","",IF($AN1506="","職員マスタに未登録の職員番号／",IF($Y1506="","標準報酬月額が未登録／","")&amp;IF(AND($AO1506&lt;&gt;"",OR(AND(INDEX(職員マスタ!$G$6:$G$405,$AN1506)&lt;&gt;"",INDEX(職員マスタ!$G$6:$G$405,$AN1506)&gt;EOMONTH($AO1506,0)),AND(INDEX(職員マスタ!$H$6:$H$405,$AN1506)&lt;&gt;"",INDEX(職員マスタ!$H$6:$H$405,$AN1506)&lt;$AO1506))),"対象月が時短期間外／","")&amp;IF(AND(INDEX(職員マスタ!$F$6:$F$405,$AN1506)&lt;&gt;"",$AO1506&lt;&gt;"",INDEX(職員マスタ!$F$6:$F$405,$AN1506)&lt;$AO1506),"対象月に子が2歳到達済／","")&amp;IF(AND($H1506&lt;&gt;"",INDEX(職員マスタ!$B$6:$B$405,$AN1506)&lt;&gt;"",SUBSTITUTE(SUBSTITUTE($H1506," ","")," ","")&lt;&gt;SUBSTITUTE(SUBSTITUTE(INDEX(職員マスタ!$B$6:$B$405,$AN1506)," ","")," ","")),"氏名がマスタと相違／","")&amp;IF(AND($Q1506&lt;&gt;"",INDEX(職員マスタ!$E$6:$E$405,$AN1506)&lt;&gt;"",$Q1506&lt;&gt;INDEX(職員マスタ!$E$6:$E$405,$AN1506)),"子の生年月日がマスタと相違／","")&amp;IF(AND($L1506&lt;&gt;"",INDEX(職員マスタ!$G$6:$G$405,$AN1506)&lt;&gt;"",$L1506&lt;&gt;INDEX(職員マスタ!$G$6:$G$405,$AN1506)),"時短開始日がマスタと相違／","")&amp;IF(AND($M1506&lt;&gt;"",INDEX(職員マスタ!$H$6:$H$405,$AN1506)&lt;&gt;"",$M1506&lt;&gt;INDEX(職員マスタ!$H$6:$H$405,$AN1506)),"時短終了日がマスタと相違／","")))&amp;IF(AND($B1506&lt;&gt;"",$E1506=""),"報酬額が未入力／","")&amp;IF(N($U1506)&gt;0,"申請書に入力エラーが残っています／","")&amp;IF(AND($B1506&lt;&gt;"",$AO1506&lt;&gt;""),IF(COUNTIFS($B$6:$B$3005,$B1506,$C$6:$C$3005,$C1506,$D$6:$D$3005,$D1506)&gt;1,"同じ月の請求が重複しています／",""),"")&amp;IF(AND(N($E1506)&gt;0,$Z1506&lt;&gt;"",$Z1506&lt;&gt;"×",$AC1506=0,$AB1506=""),"計算額が下限以下のため不支給／",""))</f>
        <v/>
      </c>
      <c r="AL1506" s="12" t="n"/>
      <c r="AM1506" s="14">
        <f>IF($AD1506="保留中",COUNTIF($AD$6:$AD1506,"保留中"),"")</f>
        <v/>
      </c>
      <c r="AN1506" s="14">
        <f>IF($AO1506="","",IF(SUMPRODUCT(MAX((職員マスタ!$A$6:$A$405=$B1506)*(((職員マスタ!$G$6:$G$405="")+(職員マスタ!$G$6:$G$405&lt;=EOMONTH($AO1506,0)))&gt;0)*(((職員マスタ!$H$6:$H$405="")+(職員マスタ!$H$6:$H$405&gt;=$AO1506))&gt;0)*(ROW(職員マスタ!$A$6:$A$405)-5)))&gt;0,SUMPRODUCT(MAX((職員マスタ!$A$6:$A$405=$B1506)*(((職員マスタ!$G$6:$G$405="")+(職員マスタ!$G$6:$G$405&lt;=EOMONTH($AO1506,0)))&gt;0)*(((職員マスタ!$H$6:$H$405="")+(職員マスタ!$H$6:$H$405&gt;=$AO1506))&gt;0)*(ROW(職員マスタ!$A$6:$A$405)-5))),IFERROR(MATCH($B1506,職員マスタ!$A$6:$A$405,0),"")))</f>
        <v/>
      </c>
      <c r="AO1506" s="16">
        <f>IF(OR($B1506="",$C1506="",$D1506=""),"",DATE($C1506+2018,$D1506,1))</f>
        <v/>
      </c>
    </row>
    <row r="1507">
      <c r="A1507" s="11" t="n"/>
      <c r="B1507" s="12" t="n"/>
      <c r="C1507" s="12" t="n"/>
      <c r="D1507" s="12" t="n"/>
      <c r="E1507" s="13" t="n"/>
      <c r="F1507" s="12" t="n"/>
      <c r="G1507" s="13" t="n"/>
      <c r="H1507" s="12" t="n"/>
      <c r="I1507" s="12" t="n"/>
      <c r="J1507" s="12" t="n"/>
      <c r="K1507" s="12" t="n"/>
      <c r="L1507" s="11" t="n"/>
      <c r="M1507" s="11" t="n"/>
      <c r="N1507" s="11" t="n"/>
      <c r="O1507" s="11" t="n"/>
      <c r="P1507" s="12" t="n"/>
      <c r="Q1507" s="11" t="n"/>
      <c r="R1507" s="12" t="n"/>
      <c r="S1507" s="11" t="n"/>
      <c r="T1507" s="12" t="n"/>
      <c r="U1507" s="12" t="n"/>
      <c r="V1507" s="14">
        <f>IF($AN1507="",IF($B1507="","",$H1507),IF(INDEX(職員マスタ!$B$6:$B$405,$AN1507)="",$H1507,INDEX(職員マスタ!$B$6:$B$405,$AN1507)))</f>
        <v/>
      </c>
      <c r="W1507" s="14">
        <f>IF($AN1507="",IF($B1507="","",$R1507),IF(INDEX(職員マスタ!$C$6:$C$405,$AN1507)="",$R1507,INDEX(職員マスタ!$C$6:$C$405,$AN1507)))</f>
        <v/>
      </c>
      <c r="X1507" s="14">
        <f>IF($AO1507="","","R"&amp;$C1507&amp;"."&amp;$D1507)</f>
        <v/>
      </c>
      <c r="Y1507" s="15">
        <f>IF($AN1507="","",IF(INDEX(職員マスタ!$K$6:$K$405,$AN1507)="","",INDEX(職員マスタ!$K$6:$K$405,$AN1507)))</f>
        <v/>
      </c>
      <c r="Z1507" s="14">
        <f>IF(OR($E1507="",$Y1507=""),"",IF($E1507&gt;=$Y1507,"×",IF($E1507&gt;=$Y1507*設定!$C$5,"△","○")))</f>
        <v/>
      </c>
      <c r="AA1507" s="15">
        <f>IF($Z1507="","",IF($Z1507="×",0,IF($Z1507="○",ROUNDDOWN($E1507*設定!$C$4,0),ROUNDDOWN($E1507*ROUND((9*$Y1507-9*$E1507)/(10*$E1507),4),0))))</f>
        <v/>
      </c>
      <c r="AB1507" s="13" t="n"/>
      <c r="AC1507" s="15">
        <f>IF($B1507="","",IF($AB1507&lt;&gt;"",$AB1507,IF($AA1507="","",IF($AA1507&lt;=設定!$C$3,0,$AA1507))))</f>
        <v/>
      </c>
      <c r="AD1507" s="14">
        <f>IF($B1507="","",IF(AND($AE1507&lt;&gt;"",$AG1507="",$AJ1507=""),"保留中",IF($AJ1507&lt;&gt;"",IF(N($AC1507)&gt;0,"支給済","不支給"),IF($AC1507="","要確認",IF($AC1507=0,"不支給","未処理")))))</f>
        <v/>
      </c>
      <c r="AE1507" s="12" t="n"/>
      <c r="AF1507" s="11" t="n"/>
      <c r="AG1507" s="11" t="n"/>
      <c r="AH1507" s="11" t="n"/>
      <c r="AI1507" s="14">
        <f>IF(AND($AD1507="保留中",$AF1507&lt;&gt;""),TODAY()-$AF1507,"")</f>
        <v/>
      </c>
      <c r="AJ1507" s="12" t="n"/>
      <c r="AK1507" s="14">
        <f>IF($B1507="","",IF($AO1507="","対象年月が未入力／","")&amp;IF($B1507="","",IF($AN1507="","職員マスタに未登録の職員番号／",IF($Y1507="","標準報酬月額が未登録／","")&amp;IF(AND($AO1507&lt;&gt;"",OR(AND(INDEX(職員マスタ!$G$6:$G$405,$AN1507)&lt;&gt;"",INDEX(職員マスタ!$G$6:$G$405,$AN1507)&gt;EOMONTH($AO1507,0)),AND(INDEX(職員マスタ!$H$6:$H$405,$AN1507)&lt;&gt;"",INDEX(職員マスタ!$H$6:$H$405,$AN1507)&lt;$AO1507))),"対象月が時短期間外／","")&amp;IF(AND(INDEX(職員マスタ!$F$6:$F$405,$AN1507)&lt;&gt;"",$AO1507&lt;&gt;"",INDEX(職員マスタ!$F$6:$F$405,$AN1507)&lt;$AO1507),"対象月に子が2歳到達済／","")&amp;IF(AND($H1507&lt;&gt;"",INDEX(職員マスタ!$B$6:$B$405,$AN1507)&lt;&gt;"",SUBSTITUTE(SUBSTITUTE($H1507," ","")," ","")&lt;&gt;SUBSTITUTE(SUBSTITUTE(INDEX(職員マスタ!$B$6:$B$405,$AN1507)," ","")," ","")),"氏名がマスタと相違／","")&amp;IF(AND($Q1507&lt;&gt;"",INDEX(職員マスタ!$E$6:$E$405,$AN1507)&lt;&gt;"",$Q1507&lt;&gt;INDEX(職員マスタ!$E$6:$E$405,$AN1507)),"子の生年月日がマスタと相違／","")&amp;IF(AND($L1507&lt;&gt;"",INDEX(職員マスタ!$G$6:$G$405,$AN1507)&lt;&gt;"",$L1507&lt;&gt;INDEX(職員マスタ!$G$6:$G$405,$AN1507)),"時短開始日がマスタと相違／","")&amp;IF(AND($M1507&lt;&gt;"",INDEX(職員マスタ!$H$6:$H$405,$AN1507)&lt;&gt;"",$M1507&lt;&gt;INDEX(職員マスタ!$H$6:$H$405,$AN1507)),"時短終了日がマスタと相違／","")))&amp;IF(AND($B1507&lt;&gt;"",$E1507=""),"報酬額が未入力／","")&amp;IF(N($U1507)&gt;0,"申請書に入力エラーが残っています／","")&amp;IF(AND($B1507&lt;&gt;"",$AO1507&lt;&gt;""),IF(COUNTIFS($B$6:$B$3005,$B1507,$C$6:$C$3005,$C1507,$D$6:$D$3005,$D1507)&gt;1,"同じ月の請求が重複しています／",""),"")&amp;IF(AND(N($E1507)&gt;0,$Z1507&lt;&gt;"",$Z1507&lt;&gt;"×",$AC1507=0,$AB1507=""),"計算額が下限以下のため不支給／",""))</f>
        <v/>
      </c>
      <c r="AL1507" s="12" t="n"/>
      <c r="AM1507" s="14">
        <f>IF($AD1507="保留中",COUNTIF($AD$6:$AD1507,"保留中"),"")</f>
        <v/>
      </c>
      <c r="AN1507" s="14">
        <f>IF($AO1507="","",IF(SUMPRODUCT(MAX((職員マスタ!$A$6:$A$405=$B1507)*(((職員マスタ!$G$6:$G$405="")+(職員マスタ!$G$6:$G$405&lt;=EOMONTH($AO1507,0)))&gt;0)*(((職員マスタ!$H$6:$H$405="")+(職員マスタ!$H$6:$H$405&gt;=$AO1507))&gt;0)*(ROW(職員マスタ!$A$6:$A$405)-5)))&gt;0,SUMPRODUCT(MAX((職員マスタ!$A$6:$A$405=$B1507)*(((職員マスタ!$G$6:$G$405="")+(職員マスタ!$G$6:$G$405&lt;=EOMONTH($AO1507,0)))&gt;0)*(((職員マスタ!$H$6:$H$405="")+(職員マスタ!$H$6:$H$405&gt;=$AO1507))&gt;0)*(ROW(職員マスタ!$A$6:$A$405)-5))),IFERROR(MATCH($B1507,職員マスタ!$A$6:$A$405,0),"")))</f>
        <v/>
      </c>
      <c r="AO1507" s="16">
        <f>IF(OR($B1507="",$C1507="",$D1507=""),"",DATE($C1507+2018,$D1507,1))</f>
        <v/>
      </c>
    </row>
    <row r="1508">
      <c r="A1508" s="11" t="n"/>
      <c r="B1508" s="12" t="n"/>
      <c r="C1508" s="12" t="n"/>
      <c r="D1508" s="12" t="n"/>
      <c r="E1508" s="13" t="n"/>
      <c r="F1508" s="12" t="n"/>
      <c r="G1508" s="13" t="n"/>
      <c r="H1508" s="12" t="n"/>
      <c r="I1508" s="12" t="n"/>
      <c r="J1508" s="12" t="n"/>
      <c r="K1508" s="12" t="n"/>
      <c r="L1508" s="11" t="n"/>
      <c r="M1508" s="11" t="n"/>
      <c r="N1508" s="11" t="n"/>
      <c r="O1508" s="11" t="n"/>
      <c r="P1508" s="12" t="n"/>
      <c r="Q1508" s="11" t="n"/>
      <c r="R1508" s="12" t="n"/>
      <c r="S1508" s="11" t="n"/>
      <c r="T1508" s="12" t="n"/>
      <c r="U1508" s="12" t="n"/>
      <c r="V1508" s="14">
        <f>IF($AN1508="",IF($B1508="","",$H1508),IF(INDEX(職員マスタ!$B$6:$B$405,$AN1508)="",$H1508,INDEX(職員マスタ!$B$6:$B$405,$AN1508)))</f>
        <v/>
      </c>
      <c r="W1508" s="14">
        <f>IF($AN1508="",IF($B1508="","",$R1508),IF(INDEX(職員マスタ!$C$6:$C$405,$AN1508)="",$R1508,INDEX(職員マスタ!$C$6:$C$405,$AN1508)))</f>
        <v/>
      </c>
      <c r="X1508" s="14">
        <f>IF($AO1508="","","R"&amp;$C1508&amp;"."&amp;$D1508)</f>
        <v/>
      </c>
      <c r="Y1508" s="15">
        <f>IF($AN1508="","",IF(INDEX(職員マスタ!$K$6:$K$405,$AN1508)="","",INDEX(職員マスタ!$K$6:$K$405,$AN1508)))</f>
        <v/>
      </c>
      <c r="Z1508" s="14">
        <f>IF(OR($E1508="",$Y1508=""),"",IF($E1508&gt;=$Y1508,"×",IF($E1508&gt;=$Y1508*設定!$C$5,"△","○")))</f>
        <v/>
      </c>
      <c r="AA1508" s="15">
        <f>IF($Z1508="","",IF($Z1508="×",0,IF($Z1508="○",ROUNDDOWN($E1508*設定!$C$4,0),ROUNDDOWN($E1508*ROUND((9*$Y1508-9*$E1508)/(10*$E1508),4),0))))</f>
        <v/>
      </c>
      <c r="AB1508" s="13" t="n"/>
      <c r="AC1508" s="15">
        <f>IF($B1508="","",IF($AB1508&lt;&gt;"",$AB1508,IF($AA1508="","",IF($AA1508&lt;=設定!$C$3,0,$AA1508))))</f>
        <v/>
      </c>
      <c r="AD1508" s="14">
        <f>IF($B1508="","",IF(AND($AE1508&lt;&gt;"",$AG1508="",$AJ1508=""),"保留中",IF($AJ1508&lt;&gt;"",IF(N($AC1508)&gt;0,"支給済","不支給"),IF($AC1508="","要確認",IF($AC1508=0,"不支給","未処理")))))</f>
        <v/>
      </c>
      <c r="AE1508" s="12" t="n"/>
      <c r="AF1508" s="11" t="n"/>
      <c r="AG1508" s="11" t="n"/>
      <c r="AH1508" s="11" t="n"/>
      <c r="AI1508" s="14">
        <f>IF(AND($AD1508="保留中",$AF1508&lt;&gt;""),TODAY()-$AF1508,"")</f>
        <v/>
      </c>
      <c r="AJ1508" s="12" t="n"/>
      <c r="AK1508" s="14">
        <f>IF($B1508="","",IF($AO1508="","対象年月が未入力／","")&amp;IF($B1508="","",IF($AN1508="","職員マスタに未登録の職員番号／",IF($Y1508="","標準報酬月額が未登録／","")&amp;IF(AND($AO1508&lt;&gt;"",OR(AND(INDEX(職員マスタ!$G$6:$G$405,$AN1508)&lt;&gt;"",INDEX(職員マスタ!$G$6:$G$405,$AN1508)&gt;EOMONTH($AO1508,0)),AND(INDEX(職員マスタ!$H$6:$H$405,$AN1508)&lt;&gt;"",INDEX(職員マスタ!$H$6:$H$405,$AN1508)&lt;$AO1508))),"対象月が時短期間外／","")&amp;IF(AND(INDEX(職員マスタ!$F$6:$F$405,$AN1508)&lt;&gt;"",$AO1508&lt;&gt;"",INDEX(職員マスタ!$F$6:$F$405,$AN1508)&lt;$AO1508),"対象月に子が2歳到達済／","")&amp;IF(AND($H1508&lt;&gt;"",INDEX(職員マスタ!$B$6:$B$405,$AN1508)&lt;&gt;"",SUBSTITUTE(SUBSTITUTE($H1508," ","")," ","")&lt;&gt;SUBSTITUTE(SUBSTITUTE(INDEX(職員マスタ!$B$6:$B$405,$AN1508)," ","")," ","")),"氏名がマスタと相違／","")&amp;IF(AND($Q1508&lt;&gt;"",INDEX(職員マスタ!$E$6:$E$405,$AN1508)&lt;&gt;"",$Q1508&lt;&gt;INDEX(職員マスタ!$E$6:$E$405,$AN1508)),"子の生年月日がマスタと相違／","")&amp;IF(AND($L1508&lt;&gt;"",INDEX(職員マスタ!$G$6:$G$405,$AN1508)&lt;&gt;"",$L1508&lt;&gt;INDEX(職員マスタ!$G$6:$G$405,$AN1508)),"時短開始日がマスタと相違／","")&amp;IF(AND($M1508&lt;&gt;"",INDEX(職員マスタ!$H$6:$H$405,$AN1508)&lt;&gt;"",$M1508&lt;&gt;INDEX(職員マスタ!$H$6:$H$405,$AN1508)),"時短終了日がマスタと相違／","")))&amp;IF(AND($B1508&lt;&gt;"",$E1508=""),"報酬額が未入力／","")&amp;IF(N($U1508)&gt;0,"申請書に入力エラーが残っています／","")&amp;IF(AND($B1508&lt;&gt;"",$AO1508&lt;&gt;""),IF(COUNTIFS($B$6:$B$3005,$B1508,$C$6:$C$3005,$C1508,$D$6:$D$3005,$D1508)&gt;1,"同じ月の請求が重複しています／",""),"")&amp;IF(AND(N($E1508)&gt;0,$Z1508&lt;&gt;"",$Z1508&lt;&gt;"×",$AC1508=0,$AB1508=""),"計算額が下限以下のため不支給／",""))</f>
        <v/>
      </c>
      <c r="AL1508" s="12" t="n"/>
      <c r="AM1508" s="14">
        <f>IF($AD1508="保留中",COUNTIF($AD$6:$AD1508,"保留中"),"")</f>
        <v/>
      </c>
      <c r="AN1508" s="14">
        <f>IF($AO1508="","",IF(SUMPRODUCT(MAX((職員マスタ!$A$6:$A$405=$B1508)*(((職員マスタ!$G$6:$G$405="")+(職員マスタ!$G$6:$G$405&lt;=EOMONTH($AO1508,0)))&gt;0)*(((職員マスタ!$H$6:$H$405="")+(職員マスタ!$H$6:$H$405&gt;=$AO1508))&gt;0)*(ROW(職員マスタ!$A$6:$A$405)-5)))&gt;0,SUMPRODUCT(MAX((職員マスタ!$A$6:$A$405=$B1508)*(((職員マスタ!$G$6:$G$405="")+(職員マスタ!$G$6:$G$405&lt;=EOMONTH($AO1508,0)))&gt;0)*(((職員マスタ!$H$6:$H$405="")+(職員マスタ!$H$6:$H$405&gt;=$AO1508))&gt;0)*(ROW(職員マスタ!$A$6:$A$405)-5))),IFERROR(MATCH($B1508,職員マスタ!$A$6:$A$405,0),"")))</f>
        <v/>
      </c>
      <c r="AO1508" s="16">
        <f>IF(OR($B1508="",$C1508="",$D1508=""),"",DATE($C1508+2018,$D1508,1))</f>
        <v/>
      </c>
    </row>
    <row r="1509">
      <c r="A1509" s="11" t="n"/>
      <c r="B1509" s="12" t="n"/>
      <c r="C1509" s="12" t="n"/>
      <c r="D1509" s="12" t="n"/>
      <c r="E1509" s="13" t="n"/>
      <c r="F1509" s="12" t="n"/>
      <c r="G1509" s="13" t="n"/>
      <c r="H1509" s="12" t="n"/>
      <c r="I1509" s="12" t="n"/>
      <c r="J1509" s="12" t="n"/>
      <c r="K1509" s="12" t="n"/>
      <c r="L1509" s="11" t="n"/>
      <c r="M1509" s="11" t="n"/>
      <c r="N1509" s="11" t="n"/>
      <c r="O1509" s="11" t="n"/>
      <c r="P1509" s="12" t="n"/>
      <c r="Q1509" s="11" t="n"/>
      <c r="R1509" s="12" t="n"/>
      <c r="S1509" s="11" t="n"/>
      <c r="T1509" s="12" t="n"/>
      <c r="U1509" s="12" t="n"/>
      <c r="V1509" s="14">
        <f>IF($AN1509="",IF($B1509="","",$H1509),IF(INDEX(職員マスタ!$B$6:$B$405,$AN1509)="",$H1509,INDEX(職員マスタ!$B$6:$B$405,$AN1509)))</f>
        <v/>
      </c>
      <c r="W1509" s="14">
        <f>IF($AN1509="",IF($B1509="","",$R1509),IF(INDEX(職員マスタ!$C$6:$C$405,$AN1509)="",$R1509,INDEX(職員マスタ!$C$6:$C$405,$AN1509)))</f>
        <v/>
      </c>
      <c r="X1509" s="14">
        <f>IF($AO1509="","","R"&amp;$C1509&amp;"."&amp;$D1509)</f>
        <v/>
      </c>
      <c r="Y1509" s="15">
        <f>IF($AN1509="","",IF(INDEX(職員マスタ!$K$6:$K$405,$AN1509)="","",INDEX(職員マスタ!$K$6:$K$405,$AN1509)))</f>
        <v/>
      </c>
      <c r="Z1509" s="14">
        <f>IF(OR($E1509="",$Y1509=""),"",IF($E1509&gt;=$Y1509,"×",IF($E1509&gt;=$Y1509*設定!$C$5,"△","○")))</f>
        <v/>
      </c>
      <c r="AA1509" s="15">
        <f>IF($Z1509="","",IF($Z1509="×",0,IF($Z1509="○",ROUNDDOWN($E1509*設定!$C$4,0),ROUNDDOWN($E1509*ROUND((9*$Y1509-9*$E1509)/(10*$E1509),4),0))))</f>
        <v/>
      </c>
      <c r="AB1509" s="13" t="n"/>
      <c r="AC1509" s="15">
        <f>IF($B1509="","",IF($AB1509&lt;&gt;"",$AB1509,IF($AA1509="","",IF($AA1509&lt;=設定!$C$3,0,$AA1509))))</f>
        <v/>
      </c>
      <c r="AD1509" s="14">
        <f>IF($B1509="","",IF(AND($AE1509&lt;&gt;"",$AG1509="",$AJ1509=""),"保留中",IF($AJ1509&lt;&gt;"",IF(N($AC1509)&gt;0,"支給済","不支給"),IF($AC1509="","要確認",IF($AC1509=0,"不支給","未処理")))))</f>
        <v/>
      </c>
      <c r="AE1509" s="12" t="n"/>
      <c r="AF1509" s="11" t="n"/>
      <c r="AG1509" s="11" t="n"/>
      <c r="AH1509" s="11" t="n"/>
      <c r="AI1509" s="14">
        <f>IF(AND($AD1509="保留中",$AF1509&lt;&gt;""),TODAY()-$AF1509,"")</f>
        <v/>
      </c>
      <c r="AJ1509" s="12" t="n"/>
      <c r="AK1509" s="14">
        <f>IF($B1509="","",IF($AO1509="","対象年月が未入力／","")&amp;IF($B1509="","",IF($AN1509="","職員マスタに未登録の職員番号／",IF($Y1509="","標準報酬月額が未登録／","")&amp;IF(AND($AO1509&lt;&gt;"",OR(AND(INDEX(職員マスタ!$G$6:$G$405,$AN1509)&lt;&gt;"",INDEX(職員マスタ!$G$6:$G$405,$AN1509)&gt;EOMONTH($AO1509,0)),AND(INDEX(職員マスタ!$H$6:$H$405,$AN1509)&lt;&gt;"",INDEX(職員マスタ!$H$6:$H$405,$AN1509)&lt;$AO1509))),"対象月が時短期間外／","")&amp;IF(AND(INDEX(職員マスタ!$F$6:$F$405,$AN1509)&lt;&gt;"",$AO1509&lt;&gt;"",INDEX(職員マスタ!$F$6:$F$405,$AN1509)&lt;$AO1509),"対象月に子が2歳到達済／","")&amp;IF(AND($H1509&lt;&gt;"",INDEX(職員マスタ!$B$6:$B$405,$AN1509)&lt;&gt;"",SUBSTITUTE(SUBSTITUTE($H1509," ","")," ","")&lt;&gt;SUBSTITUTE(SUBSTITUTE(INDEX(職員マスタ!$B$6:$B$405,$AN1509)," ","")," ","")),"氏名がマスタと相違／","")&amp;IF(AND($Q1509&lt;&gt;"",INDEX(職員マスタ!$E$6:$E$405,$AN1509)&lt;&gt;"",$Q1509&lt;&gt;INDEX(職員マスタ!$E$6:$E$405,$AN1509)),"子の生年月日がマスタと相違／","")&amp;IF(AND($L1509&lt;&gt;"",INDEX(職員マスタ!$G$6:$G$405,$AN1509)&lt;&gt;"",$L1509&lt;&gt;INDEX(職員マスタ!$G$6:$G$405,$AN1509)),"時短開始日がマスタと相違／","")&amp;IF(AND($M1509&lt;&gt;"",INDEX(職員マスタ!$H$6:$H$405,$AN1509)&lt;&gt;"",$M1509&lt;&gt;INDEX(職員マスタ!$H$6:$H$405,$AN1509)),"時短終了日がマスタと相違／","")))&amp;IF(AND($B1509&lt;&gt;"",$E1509=""),"報酬額が未入力／","")&amp;IF(N($U1509)&gt;0,"申請書に入力エラーが残っています／","")&amp;IF(AND($B1509&lt;&gt;"",$AO1509&lt;&gt;""),IF(COUNTIFS($B$6:$B$3005,$B1509,$C$6:$C$3005,$C1509,$D$6:$D$3005,$D1509)&gt;1,"同じ月の請求が重複しています／",""),"")&amp;IF(AND(N($E1509)&gt;0,$Z1509&lt;&gt;"",$Z1509&lt;&gt;"×",$AC1509=0,$AB1509=""),"計算額が下限以下のため不支給／",""))</f>
        <v/>
      </c>
      <c r="AL1509" s="12" t="n"/>
      <c r="AM1509" s="14">
        <f>IF($AD1509="保留中",COUNTIF($AD$6:$AD1509,"保留中"),"")</f>
        <v/>
      </c>
      <c r="AN1509" s="14">
        <f>IF($AO1509="","",IF(SUMPRODUCT(MAX((職員マスタ!$A$6:$A$405=$B1509)*(((職員マスタ!$G$6:$G$405="")+(職員マスタ!$G$6:$G$405&lt;=EOMONTH($AO1509,0)))&gt;0)*(((職員マスタ!$H$6:$H$405="")+(職員マスタ!$H$6:$H$405&gt;=$AO1509))&gt;0)*(ROW(職員マスタ!$A$6:$A$405)-5)))&gt;0,SUMPRODUCT(MAX((職員マスタ!$A$6:$A$405=$B1509)*(((職員マスタ!$G$6:$G$405="")+(職員マスタ!$G$6:$G$405&lt;=EOMONTH($AO1509,0)))&gt;0)*(((職員マスタ!$H$6:$H$405="")+(職員マスタ!$H$6:$H$405&gt;=$AO1509))&gt;0)*(ROW(職員マスタ!$A$6:$A$405)-5))),IFERROR(MATCH($B1509,職員マスタ!$A$6:$A$405,0),"")))</f>
        <v/>
      </c>
      <c r="AO1509" s="16">
        <f>IF(OR($B1509="",$C1509="",$D1509=""),"",DATE($C1509+2018,$D1509,1))</f>
        <v/>
      </c>
    </row>
    <row r="1510">
      <c r="A1510" s="11" t="n"/>
      <c r="B1510" s="12" t="n"/>
      <c r="C1510" s="12" t="n"/>
      <c r="D1510" s="12" t="n"/>
      <c r="E1510" s="13" t="n"/>
      <c r="F1510" s="12" t="n"/>
      <c r="G1510" s="13" t="n"/>
      <c r="H1510" s="12" t="n"/>
      <c r="I1510" s="12" t="n"/>
      <c r="J1510" s="12" t="n"/>
      <c r="K1510" s="12" t="n"/>
      <c r="L1510" s="11" t="n"/>
      <c r="M1510" s="11" t="n"/>
      <c r="N1510" s="11" t="n"/>
      <c r="O1510" s="11" t="n"/>
      <c r="P1510" s="12" t="n"/>
      <c r="Q1510" s="11" t="n"/>
      <c r="R1510" s="12" t="n"/>
      <c r="S1510" s="11" t="n"/>
      <c r="T1510" s="12" t="n"/>
      <c r="U1510" s="12" t="n"/>
      <c r="V1510" s="14">
        <f>IF($AN1510="",IF($B1510="","",$H1510),IF(INDEX(職員マスタ!$B$6:$B$405,$AN1510)="",$H1510,INDEX(職員マスタ!$B$6:$B$405,$AN1510)))</f>
        <v/>
      </c>
      <c r="W1510" s="14">
        <f>IF($AN1510="",IF($B1510="","",$R1510),IF(INDEX(職員マスタ!$C$6:$C$405,$AN1510)="",$R1510,INDEX(職員マスタ!$C$6:$C$405,$AN1510)))</f>
        <v/>
      </c>
      <c r="X1510" s="14">
        <f>IF($AO1510="","","R"&amp;$C1510&amp;"."&amp;$D1510)</f>
        <v/>
      </c>
      <c r="Y1510" s="15">
        <f>IF($AN1510="","",IF(INDEX(職員マスタ!$K$6:$K$405,$AN1510)="","",INDEX(職員マスタ!$K$6:$K$405,$AN1510)))</f>
        <v/>
      </c>
      <c r="Z1510" s="14">
        <f>IF(OR($E1510="",$Y1510=""),"",IF($E1510&gt;=$Y1510,"×",IF($E1510&gt;=$Y1510*設定!$C$5,"△","○")))</f>
        <v/>
      </c>
      <c r="AA1510" s="15">
        <f>IF($Z1510="","",IF($Z1510="×",0,IF($Z1510="○",ROUNDDOWN($E1510*設定!$C$4,0),ROUNDDOWN($E1510*ROUND((9*$Y1510-9*$E1510)/(10*$E1510),4),0))))</f>
        <v/>
      </c>
      <c r="AB1510" s="13" t="n"/>
      <c r="AC1510" s="15">
        <f>IF($B1510="","",IF($AB1510&lt;&gt;"",$AB1510,IF($AA1510="","",IF($AA1510&lt;=設定!$C$3,0,$AA1510))))</f>
        <v/>
      </c>
      <c r="AD1510" s="14">
        <f>IF($B1510="","",IF(AND($AE1510&lt;&gt;"",$AG1510="",$AJ1510=""),"保留中",IF($AJ1510&lt;&gt;"",IF(N($AC1510)&gt;0,"支給済","不支給"),IF($AC1510="","要確認",IF($AC1510=0,"不支給","未処理")))))</f>
        <v/>
      </c>
      <c r="AE1510" s="12" t="n"/>
      <c r="AF1510" s="11" t="n"/>
      <c r="AG1510" s="11" t="n"/>
      <c r="AH1510" s="11" t="n"/>
      <c r="AI1510" s="14">
        <f>IF(AND($AD1510="保留中",$AF1510&lt;&gt;""),TODAY()-$AF1510,"")</f>
        <v/>
      </c>
      <c r="AJ1510" s="12" t="n"/>
      <c r="AK1510" s="14">
        <f>IF($B1510="","",IF($AO1510="","対象年月が未入力／","")&amp;IF($B1510="","",IF($AN1510="","職員マスタに未登録の職員番号／",IF($Y1510="","標準報酬月額が未登録／","")&amp;IF(AND($AO1510&lt;&gt;"",OR(AND(INDEX(職員マスタ!$G$6:$G$405,$AN1510)&lt;&gt;"",INDEX(職員マスタ!$G$6:$G$405,$AN1510)&gt;EOMONTH($AO1510,0)),AND(INDEX(職員マスタ!$H$6:$H$405,$AN1510)&lt;&gt;"",INDEX(職員マスタ!$H$6:$H$405,$AN1510)&lt;$AO1510))),"対象月が時短期間外／","")&amp;IF(AND(INDEX(職員マスタ!$F$6:$F$405,$AN1510)&lt;&gt;"",$AO1510&lt;&gt;"",INDEX(職員マスタ!$F$6:$F$405,$AN1510)&lt;$AO1510),"対象月に子が2歳到達済／","")&amp;IF(AND($H1510&lt;&gt;"",INDEX(職員マスタ!$B$6:$B$405,$AN1510)&lt;&gt;"",SUBSTITUTE(SUBSTITUTE($H1510," ","")," ","")&lt;&gt;SUBSTITUTE(SUBSTITUTE(INDEX(職員マスタ!$B$6:$B$405,$AN1510)," ","")," ","")),"氏名がマスタと相違／","")&amp;IF(AND($Q1510&lt;&gt;"",INDEX(職員マスタ!$E$6:$E$405,$AN1510)&lt;&gt;"",$Q1510&lt;&gt;INDEX(職員マスタ!$E$6:$E$405,$AN1510)),"子の生年月日がマスタと相違／","")&amp;IF(AND($L1510&lt;&gt;"",INDEX(職員マスタ!$G$6:$G$405,$AN1510)&lt;&gt;"",$L1510&lt;&gt;INDEX(職員マスタ!$G$6:$G$405,$AN1510)),"時短開始日がマスタと相違／","")&amp;IF(AND($M1510&lt;&gt;"",INDEX(職員マスタ!$H$6:$H$405,$AN1510)&lt;&gt;"",$M1510&lt;&gt;INDEX(職員マスタ!$H$6:$H$405,$AN1510)),"時短終了日がマスタと相違／","")))&amp;IF(AND($B1510&lt;&gt;"",$E1510=""),"報酬額が未入力／","")&amp;IF(N($U1510)&gt;0,"申請書に入力エラーが残っています／","")&amp;IF(AND($B1510&lt;&gt;"",$AO1510&lt;&gt;""),IF(COUNTIFS($B$6:$B$3005,$B1510,$C$6:$C$3005,$C1510,$D$6:$D$3005,$D1510)&gt;1,"同じ月の請求が重複しています／",""),"")&amp;IF(AND(N($E1510)&gt;0,$Z1510&lt;&gt;"",$Z1510&lt;&gt;"×",$AC1510=0,$AB1510=""),"計算額が下限以下のため不支給／",""))</f>
        <v/>
      </c>
      <c r="AL1510" s="12" t="n"/>
      <c r="AM1510" s="14">
        <f>IF($AD1510="保留中",COUNTIF($AD$6:$AD1510,"保留中"),"")</f>
        <v/>
      </c>
      <c r="AN1510" s="14">
        <f>IF($AO1510="","",IF(SUMPRODUCT(MAX((職員マスタ!$A$6:$A$405=$B1510)*(((職員マスタ!$G$6:$G$405="")+(職員マスタ!$G$6:$G$405&lt;=EOMONTH($AO1510,0)))&gt;0)*(((職員マスタ!$H$6:$H$405="")+(職員マスタ!$H$6:$H$405&gt;=$AO1510))&gt;0)*(ROW(職員マスタ!$A$6:$A$405)-5)))&gt;0,SUMPRODUCT(MAX((職員マスタ!$A$6:$A$405=$B1510)*(((職員マスタ!$G$6:$G$405="")+(職員マスタ!$G$6:$G$405&lt;=EOMONTH($AO1510,0)))&gt;0)*(((職員マスタ!$H$6:$H$405="")+(職員マスタ!$H$6:$H$405&gt;=$AO1510))&gt;0)*(ROW(職員マスタ!$A$6:$A$405)-5))),IFERROR(MATCH($B1510,職員マスタ!$A$6:$A$405,0),"")))</f>
        <v/>
      </c>
      <c r="AO1510" s="16">
        <f>IF(OR($B1510="",$C1510="",$D1510=""),"",DATE($C1510+2018,$D1510,1))</f>
        <v/>
      </c>
    </row>
    <row r="1511">
      <c r="A1511" s="11" t="n"/>
      <c r="B1511" s="12" t="n"/>
      <c r="C1511" s="12" t="n"/>
      <c r="D1511" s="12" t="n"/>
      <c r="E1511" s="13" t="n"/>
      <c r="F1511" s="12" t="n"/>
      <c r="G1511" s="13" t="n"/>
      <c r="H1511" s="12" t="n"/>
      <c r="I1511" s="12" t="n"/>
      <c r="J1511" s="12" t="n"/>
      <c r="K1511" s="12" t="n"/>
      <c r="L1511" s="11" t="n"/>
      <c r="M1511" s="11" t="n"/>
      <c r="N1511" s="11" t="n"/>
      <c r="O1511" s="11" t="n"/>
      <c r="P1511" s="12" t="n"/>
      <c r="Q1511" s="11" t="n"/>
      <c r="R1511" s="12" t="n"/>
      <c r="S1511" s="11" t="n"/>
      <c r="T1511" s="12" t="n"/>
      <c r="U1511" s="12" t="n"/>
      <c r="V1511" s="14">
        <f>IF($AN1511="",IF($B1511="","",$H1511),IF(INDEX(職員マスタ!$B$6:$B$405,$AN1511)="",$H1511,INDEX(職員マスタ!$B$6:$B$405,$AN1511)))</f>
        <v/>
      </c>
      <c r="W1511" s="14">
        <f>IF($AN1511="",IF($B1511="","",$R1511),IF(INDEX(職員マスタ!$C$6:$C$405,$AN1511)="",$R1511,INDEX(職員マスタ!$C$6:$C$405,$AN1511)))</f>
        <v/>
      </c>
      <c r="X1511" s="14">
        <f>IF($AO1511="","","R"&amp;$C1511&amp;"."&amp;$D1511)</f>
        <v/>
      </c>
      <c r="Y1511" s="15">
        <f>IF($AN1511="","",IF(INDEX(職員マスタ!$K$6:$K$405,$AN1511)="","",INDEX(職員マスタ!$K$6:$K$405,$AN1511)))</f>
        <v/>
      </c>
      <c r="Z1511" s="14">
        <f>IF(OR($E1511="",$Y1511=""),"",IF($E1511&gt;=$Y1511,"×",IF($E1511&gt;=$Y1511*設定!$C$5,"△","○")))</f>
        <v/>
      </c>
      <c r="AA1511" s="15">
        <f>IF($Z1511="","",IF($Z1511="×",0,IF($Z1511="○",ROUNDDOWN($E1511*設定!$C$4,0),ROUNDDOWN($E1511*ROUND((9*$Y1511-9*$E1511)/(10*$E1511),4),0))))</f>
        <v/>
      </c>
      <c r="AB1511" s="13" t="n"/>
      <c r="AC1511" s="15">
        <f>IF($B1511="","",IF($AB1511&lt;&gt;"",$AB1511,IF($AA1511="","",IF($AA1511&lt;=設定!$C$3,0,$AA1511))))</f>
        <v/>
      </c>
      <c r="AD1511" s="14">
        <f>IF($B1511="","",IF(AND($AE1511&lt;&gt;"",$AG1511="",$AJ1511=""),"保留中",IF($AJ1511&lt;&gt;"",IF(N($AC1511)&gt;0,"支給済","不支給"),IF($AC1511="","要確認",IF($AC1511=0,"不支給","未処理")))))</f>
        <v/>
      </c>
      <c r="AE1511" s="12" t="n"/>
      <c r="AF1511" s="11" t="n"/>
      <c r="AG1511" s="11" t="n"/>
      <c r="AH1511" s="11" t="n"/>
      <c r="AI1511" s="14">
        <f>IF(AND($AD1511="保留中",$AF1511&lt;&gt;""),TODAY()-$AF1511,"")</f>
        <v/>
      </c>
      <c r="AJ1511" s="12" t="n"/>
      <c r="AK1511" s="14">
        <f>IF($B1511="","",IF($AO1511="","対象年月が未入力／","")&amp;IF($B1511="","",IF($AN1511="","職員マスタに未登録の職員番号／",IF($Y1511="","標準報酬月額が未登録／","")&amp;IF(AND($AO1511&lt;&gt;"",OR(AND(INDEX(職員マスタ!$G$6:$G$405,$AN1511)&lt;&gt;"",INDEX(職員マスタ!$G$6:$G$405,$AN1511)&gt;EOMONTH($AO1511,0)),AND(INDEX(職員マスタ!$H$6:$H$405,$AN1511)&lt;&gt;"",INDEX(職員マスタ!$H$6:$H$405,$AN1511)&lt;$AO1511))),"対象月が時短期間外／","")&amp;IF(AND(INDEX(職員マスタ!$F$6:$F$405,$AN1511)&lt;&gt;"",$AO1511&lt;&gt;"",INDEX(職員マスタ!$F$6:$F$405,$AN1511)&lt;$AO1511),"対象月に子が2歳到達済／","")&amp;IF(AND($H1511&lt;&gt;"",INDEX(職員マスタ!$B$6:$B$405,$AN1511)&lt;&gt;"",SUBSTITUTE(SUBSTITUTE($H1511," ","")," ","")&lt;&gt;SUBSTITUTE(SUBSTITUTE(INDEX(職員マスタ!$B$6:$B$405,$AN1511)," ","")," ","")),"氏名がマスタと相違／","")&amp;IF(AND($Q1511&lt;&gt;"",INDEX(職員マスタ!$E$6:$E$405,$AN1511)&lt;&gt;"",$Q1511&lt;&gt;INDEX(職員マスタ!$E$6:$E$405,$AN1511)),"子の生年月日がマスタと相違／","")&amp;IF(AND($L1511&lt;&gt;"",INDEX(職員マスタ!$G$6:$G$405,$AN1511)&lt;&gt;"",$L1511&lt;&gt;INDEX(職員マスタ!$G$6:$G$405,$AN1511)),"時短開始日がマスタと相違／","")&amp;IF(AND($M1511&lt;&gt;"",INDEX(職員マスタ!$H$6:$H$405,$AN1511)&lt;&gt;"",$M1511&lt;&gt;INDEX(職員マスタ!$H$6:$H$405,$AN1511)),"時短終了日がマスタと相違／","")))&amp;IF(AND($B1511&lt;&gt;"",$E1511=""),"報酬額が未入力／","")&amp;IF(N($U1511)&gt;0,"申請書に入力エラーが残っています／","")&amp;IF(AND($B1511&lt;&gt;"",$AO1511&lt;&gt;""),IF(COUNTIFS($B$6:$B$3005,$B1511,$C$6:$C$3005,$C1511,$D$6:$D$3005,$D1511)&gt;1,"同じ月の請求が重複しています／",""),"")&amp;IF(AND(N($E1511)&gt;0,$Z1511&lt;&gt;"",$Z1511&lt;&gt;"×",$AC1511=0,$AB1511=""),"計算額が下限以下のため不支給／",""))</f>
        <v/>
      </c>
      <c r="AL1511" s="12" t="n"/>
      <c r="AM1511" s="14">
        <f>IF($AD1511="保留中",COUNTIF($AD$6:$AD1511,"保留中"),"")</f>
        <v/>
      </c>
      <c r="AN1511" s="14">
        <f>IF($AO1511="","",IF(SUMPRODUCT(MAX((職員マスタ!$A$6:$A$405=$B1511)*(((職員マスタ!$G$6:$G$405="")+(職員マスタ!$G$6:$G$405&lt;=EOMONTH($AO1511,0)))&gt;0)*(((職員マスタ!$H$6:$H$405="")+(職員マスタ!$H$6:$H$405&gt;=$AO1511))&gt;0)*(ROW(職員マスタ!$A$6:$A$405)-5)))&gt;0,SUMPRODUCT(MAX((職員マスタ!$A$6:$A$405=$B1511)*(((職員マスタ!$G$6:$G$405="")+(職員マスタ!$G$6:$G$405&lt;=EOMONTH($AO1511,0)))&gt;0)*(((職員マスタ!$H$6:$H$405="")+(職員マスタ!$H$6:$H$405&gt;=$AO1511))&gt;0)*(ROW(職員マスタ!$A$6:$A$405)-5))),IFERROR(MATCH($B1511,職員マスタ!$A$6:$A$405,0),"")))</f>
        <v/>
      </c>
      <c r="AO1511" s="16">
        <f>IF(OR($B1511="",$C1511="",$D1511=""),"",DATE($C1511+2018,$D1511,1))</f>
        <v/>
      </c>
    </row>
    <row r="1512">
      <c r="A1512" s="11" t="n"/>
      <c r="B1512" s="12" t="n"/>
      <c r="C1512" s="12" t="n"/>
      <c r="D1512" s="12" t="n"/>
      <c r="E1512" s="13" t="n"/>
      <c r="F1512" s="12" t="n"/>
      <c r="G1512" s="13" t="n"/>
      <c r="H1512" s="12" t="n"/>
      <c r="I1512" s="12" t="n"/>
      <c r="J1512" s="12" t="n"/>
      <c r="K1512" s="12" t="n"/>
      <c r="L1512" s="11" t="n"/>
      <c r="M1512" s="11" t="n"/>
      <c r="N1512" s="11" t="n"/>
      <c r="O1512" s="11" t="n"/>
      <c r="P1512" s="12" t="n"/>
      <c r="Q1512" s="11" t="n"/>
      <c r="R1512" s="12" t="n"/>
      <c r="S1512" s="11" t="n"/>
      <c r="T1512" s="12" t="n"/>
      <c r="U1512" s="12" t="n"/>
      <c r="V1512" s="14">
        <f>IF($AN1512="",IF($B1512="","",$H1512),IF(INDEX(職員マスタ!$B$6:$B$405,$AN1512)="",$H1512,INDEX(職員マスタ!$B$6:$B$405,$AN1512)))</f>
        <v/>
      </c>
      <c r="W1512" s="14">
        <f>IF($AN1512="",IF($B1512="","",$R1512),IF(INDEX(職員マスタ!$C$6:$C$405,$AN1512)="",$R1512,INDEX(職員マスタ!$C$6:$C$405,$AN1512)))</f>
        <v/>
      </c>
      <c r="X1512" s="14">
        <f>IF($AO1512="","","R"&amp;$C1512&amp;"."&amp;$D1512)</f>
        <v/>
      </c>
      <c r="Y1512" s="15">
        <f>IF($AN1512="","",IF(INDEX(職員マスタ!$K$6:$K$405,$AN1512)="","",INDEX(職員マスタ!$K$6:$K$405,$AN1512)))</f>
        <v/>
      </c>
      <c r="Z1512" s="14">
        <f>IF(OR($E1512="",$Y1512=""),"",IF($E1512&gt;=$Y1512,"×",IF($E1512&gt;=$Y1512*設定!$C$5,"△","○")))</f>
        <v/>
      </c>
      <c r="AA1512" s="15">
        <f>IF($Z1512="","",IF($Z1512="×",0,IF($Z1512="○",ROUNDDOWN($E1512*設定!$C$4,0),ROUNDDOWN($E1512*ROUND((9*$Y1512-9*$E1512)/(10*$E1512),4),0))))</f>
        <v/>
      </c>
      <c r="AB1512" s="13" t="n"/>
      <c r="AC1512" s="15">
        <f>IF($B1512="","",IF($AB1512&lt;&gt;"",$AB1512,IF($AA1512="","",IF($AA1512&lt;=設定!$C$3,0,$AA1512))))</f>
        <v/>
      </c>
      <c r="AD1512" s="14">
        <f>IF($B1512="","",IF(AND($AE1512&lt;&gt;"",$AG1512="",$AJ1512=""),"保留中",IF($AJ1512&lt;&gt;"",IF(N($AC1512)&gt;0,"支給済","不支給"),IF($AC1512="","要確認",IF($AC1512=0,"不支給","未処理")))))</f>
        <v/>
      </c>
      <c r="AE1512" s="12" t="n"/>
      <c r="AF1512" s="11" t="n"/>
      <c r="AG1512" s="11" t="n"/>
      <c r="AH1512" s="11" t="n"/>
      <c r="AI1512" s="14">
        <f>IF(AND($AD1512="保留中",$AF1512&lt;&gt;""),TODAY()-$AF1512,"")</f>
        <v/>
      </c>
      <c r="AJ1512" s="12" t="n"/>
      <c r="AK1512" s="14">
        <f>IF($B1512="","",IF($AO1512="","対象年月が未入力／","")&amp;IF($B1512="","",IF($AN1512="","職員マスタに未登録の職員番号／",IF($Y1512="","標準報酬月額が未登録／","")&amp;IF(AND($AO1512&lt;&gt;"",OR(AND(INDEX(職員マスタ!$G$6:$G$405,$AN1512)&lt;&gt;"",INDEX(職員マスタ!$G$6:$G$405,$AN1512)&gt;EOMONTH($AO1512,0)),AND(INDEX(職員マスタ!$H$6:$H$405,$AN1512)&lt;&gt;"",INDEX(職員マスタ!$H$6:$H$405,$AN1512)&lt;$AO1512))),"対象月が時短期間外／","")&amp;IF(AND(INDEX(職員マスタ!$F$6:$F$405,$AN1512)&lt;&gt;"",$AO1512&lt;&gt;"",INDEX(職員マスタ!$F$6:$F$405,$AN1512)&lt;$AO1512),"対象月に子が2歳到達済／","")&amp;IF(AND($H1512&lt;&gt;"",INDEX(職員マスタ!$B$6:$B$405,$AN1512)&lt;&gt;"",SUBSTITUTE(SUBSTITUTE($H1512," ","")," ","")&lt;&gt;SUBSTITUTE(SUBSTITUTE(INDEX(職員マスタ!$B$6:$B$405,$AN1512)," ","")," ","")),"氏名がマスタと相違／","")&amp;IF(AND($Q1512&lt;&gt;"",INDEX(職員マスタ!$E$6:$E$405,$AN1512)&lt;&gt;"",$Q1512&lt;&gt;INDEX(職員マスタ!$E$6:$E$405,$AN1512)),"子の生年月日がマスタと相違／","")&amp;IF(AND($L1512&lt;&gt;"",INDEX(職員マスタ!$G$6:$G$405,$AN1512)&lt;&gt;"",$L1512&lt;&gt;INDEX(職員マスタ!$G$6:$G$405,$AN1512)),"時短開始日がマスタと相違／","")&amp;IF(AND($M1512&lt;&gt;"",INDEX(職員マスタ!$H$6:$H$405,$AN1512)&lt;&gt;"",$M1512&lt;&gt;INDEX(職員マスタ!$H$6:$H$405,$AN1512)),"時短終了日がマスタと相違／","")))&amp;IF(AND($B1512&lt;&gt;"",$E1512=""),"報酬額が未入力／","")&amp;IF(N($U1512)&gt;0,"申請書に入力エラーが残っています／","")&amp;IF(AND($B1512&lt;&gt;"",$AO1512&lt;&gt;""),IF(COUNTIFS($B$6:$B$3005,$B1512,$C$6:$C$3005,$C1512,$D$6:$D$3005,$D1512)&gt;1,"同じ月の請求が重複しています／",""),"")&amp;IF(AND(N($E1512)&gt;0,$Z1512&lt;&gt;"",$Z1512&lt;&gt;"×",$AC1512=0,$AB1512=""),"計算額が下限以下のため不支給／",""))</f>
        <v/>
      </c>
      <c r="AL1512" s="12" t="n"/>
      <c r="AM1512" s="14">
        <f>IF($AD1512="保留中",COUNTIF($AD$6:$AD1512,"保留中"),"")</f>
        <v/>
      </c>
      <c r="AN1512" s="14">
        <f>IF($AO1512="","",IF(SUMPRODUCT(MAX((職員マスタ!$A$6:$A$405=$B1512)*(((職員マスタ!$G$6:$G$405="")+(職員マスタ!$G$6:$G$405&lt;=EOMONTH($AO1512,0)))&gt;0)*(((職員マスタ!$H$6:$H$405="")+(職員マスタ!$H$6:$H$405&gt;=$AO1512))&gt;0)*(ROW(職員マスタ!$A$6:$A$405)-5)))&gt;0,SUMPRODUCT(MAX((職員マスタ!$A$6:$A$405=$B1512)*(((職員マスタ!$G$6:$G$405="")+(職員マスタ!$G$6:$G$405&lt;=EOMONTH($AO1512,0)))&gt;0)*(((職員マスタ!$H$6:$H$405="")+(職員マスタ!$H$6:$H$405&gt;=$AO1512))&gt;0)*(ROW(職員マスタ!$A$6:$A$405)-5))),IFERROR(MATCH($B1512,職員マスタ!$A$6:$A$405,0),"")))</f>
        <v/>
      </c>
      <c r="AO1512" s="16">
        <f>IF(OR($B1512="",$C1512="",$D1512=""),"",DATE($C1512+2018,$D1512,1))</f>
        <v/>
      </c>
    </row>
    <row r="1513">
      <c r="A1513" s="11" t="n"/>
      <c r="B1513" s="12" t="n"/>
      <c r="C1513" s="12" t="n"/>
      <c r="D1513" s="12" t="n"/>
      <c r="E1513" s="13" t="n"/>
      <c r="F1513" s="12" t="n"/>
      <c r="G1513" s="13" t="n"/>
      <c r="H1513" s="12" t="n"/>
      <c r="I1513" s="12" t="n"/>
      <c r="J1513" s="12" t="n"/>
      <c r="K1513" s="12" t="n"/>
      <c r="L1513" s="11" t="n"/>
      <c r="M1513" s="11" t="n"/>
      <c r="N1513" s="11" t="n"/>
      <c r="O1513" s="11" t="n"/>
      <c r="P1513" s="12" t="n"/>
      <c r="Q1513" s="11" t="n"/>
      <c r="R1513" s="12" t="n"/>
      <c r="S1513" s="11" t="n"/>
      <c r="T1513" s="12" t="n"/>
      <c r="U1513" s="12" t="n"/>
      <c r="V1513" s="14">
        <f>IF($AN1513="",IF($B1513="","",$H1513),IF(INDEX(職員マスタ!$B$6:$B$405,$AN1513)="",$H1513,INDEX(職員マスタ!$B$6:$B$405,$AN1513)))</f>
        <v/>
      </c>
      <c r="W1513" s="14">
        <f>IF($AN1513="",IF($B1513="","",$R1513),IF(INDEX(職員マスタ!$C$6:$C$405,$AN1513)="",$R1513,INDEX(職員マスタ!$C$6:$C$405,$AN1513)))</f>
        <v/>
      </c>
      <c r="X1513" s="14">
        <f>IF($AO1513="","","R"&amp;$C1513&amp;"."&amp;$D1513)</f>
        <v/>
      </c>
      <c r="Y1513" s="15">
        <f>IF($AN1513="","",IF(INDEX(職員マスタ!$K$6:$K$405,$AN1513)="","",INDEX(職員マスタ!$K$6:$K$405,$AN1513)))</f>
        <v/>
      </c>
      <c r="Z1513" s="14">
        <f>IF(OR($E1513="",$Y1513=""),"",IF($E1513&gt;=$Y1513,"×",IF($E1513&gt;=$Y1513*設定!$C$5,"△","○")))</f>
        <v/>
      </c>
      <c r="AA1513" s="15">
        <f>IF($Z1513="","",IF($Z1513="×",0,IF($Z1513="○",ROUNDDOWN($E1513*設定!$C$4,0),ROUNDDOWN($E1513*ROUND((9*$Y1513-9*$E1513)/(10*$E1513),4),0))))</f>
        <v/>
      </c>
      <c r="AB1513" s="13" t="n"/>
      <c r="AC1513" s="15">
        <f>IF($B1513="","",IF($AB1513&lt;&gt;"",$AB1513,IF($AA1513="","",IF($AA1513&lt;=設定!$C$3,0,$AA1513))))</f>
        <v/>
      </c>
      <c r="AD1513" s="14">
        <f>IF($B1513="","",IF(AND($AE1513&lt;&gt;"",$AG1513="",$AJ1513=""),"保留中",IF($AJ1513&lt;&gt;"",IF(N($AC1513)&gt;0,"支給済","不支給"),IF($AC1513="","要確認",IF($AC1513=0,"不支給","未処理")))))</f>
        <v/>
      </c>
      <c r="AE1513" s="12" t="n"/>
      <c r="AF1513" s="11" t="n"/>
      <c r="AG1513" s="11" t="n"/>
      <c r="AH1513" s="11" t="n"/>
      <c r="AI1513" s="14">
        <f>IF(AND($AD1513="保留中",$AF1513&lt;&gt;""),TODAY()-$AF1513,"")</f>
        <v/>
      </c>
      <c r="AJ1513" s="12" t="n"/>
      <c r="AK1513" s="14">
        <f>IF($B1513="","",IF($AO1513="","対象年月が未入力／","")&amp;IF($B1513="","",IF($AN1513="","職員マスタに未登録の職員番号／",IF($Y1513="","標準報酬月額が未登録／","")&amp;IF(AND($AO1513&lt;&gt;"",OR(AND(INDEX(職員マスタ!$G$6:$G$405,$AN1513)&lt;&gt;"",INDEX(職員マスタ!$G$6:$G$405,$AN1513)&gt;EOMONTH($AO1513,0)),AND(INDEX(職員マスタ!$H$6:$H$405,$AN1513)&lt;&gt;"",INDEX(職員マスタ!$H$6:$H$405,$AN1513)&lt;$AO1513))),"対象月が時短期間外／","")&amp;IF(AND(INDEX(職員マスタ!$F$6:$F$405,$AN1513)&lt;&gt;"",$AO1513&lt;&gt;"",INDEX(職員マスタ!$F$6:$F$405,$AN1513)&lt;$AO1513),"対象月に子が2歳到達済／","")&amp;IF(AND($H1513&lt;&gt;"",INDEX(職員マスタ!$B$6:$B$405,$AN1513)&lt;&gt;"",SUBSTITUTE(SUBSTITUTE($H1513," ","")," ","")&lt;&gt;SUBSTITUTE(SUBSTITUTE(INDEX(職員マスタ!$B$6:$B$405,$AN1513)," ","")," ","")),"氏名がマスタと相違／","")&amp;IF(AND($Q1513&lt;&gt;"",INDEX(職員マスタ!$E$6:$E$405,$AN1513)&lt;&gt;"",$Q1513&lt;&gt;INDEX(職員マスタ!$E$6:$E$405,$AN1513)),"子の生年月日がマスタと相違／","")&amp;IF(AND($L1513&lt;&gt;"",INDEX(職員マスタ!$G$6:$G$405,$AN1513)&lt;&gt;"",$L1513&lt;&gt;INDEX(職員マスタ!$G$6:$G$405,$AN1513)),"時短開始日がマスタと相違／","")&amp;IF(AND($M1513&lt;&gt;"",INDEX(職員マスタ!$H$6:$H$405,$AN1513)&lt;&gt;"",$M1513&lt;&gt;INDEX(職員マスタ!$H$6:$H$405,$AN1513)),"時短終了日がマスタと相違／","")))&amp;IF(AND($B1513&lt;&gt;"",$E1513=""),"報酬額が未入力／","")&amp;IF(N($U1513)&gt;0,"申請書に入力エラーが残っています／","")&amp;IF(AND($B1513&lt;&gt;"",$AO1513&lt;&gt;""),IF(COUNTIFS($B$6:$B$3005,$B1513,$C$6:$C$3005,$C1513,$D$6:$D$3005,$D1513)&gt;1,"同じ月の請求が重複しています／",""),"")&amp;IF(AND(N($E1513)&gt;0,$Z1513&lt;&gt;"",$Z1513&lt;&gt;"×",$AC1513=0,$AB1513=""),"計算額が下限以下のため不支給／",""))</f>
        <v/>
      </c>
      <c r="AL1513" s="12" t="n"/>
      <c r="AM1513" s="14">
        <f>IF($AD1513="保留中",COUNTIF($AD$6:$AD1513,"保留中"),"")</f>
        <v/>
      </c>
      <c r="AN1513" s="14">
        <f>IF($AO1513="","",IF(SUMPRODUCT(MAX((職員マスタ!$A$6:$A$405=$B1513)*(((職員マスタ!$G$6:$G$405="")+(職員マスタ!$G$6:$G$405&lt;=EOMONTH($AO1513,0)))&gt;0)*(((職員マスタ!$H$6:$H$405="")+(職員マスタ!$H$6:$H$405&gt;=$AO1513))&gt;0)*(ROW(職員マスタ!$A$6:$A$405)-5)))&gt;0,SUMPRODUCT(MAX((職員マスタ!$A$6:$A$405=$B1513)*(((職員マスタ!$G$6:$G$405="")+(職員マスタ!$G$6:$G$405&lt;=EOMONTH($AO1513,0)))&gt;0)*(((職員マスタ!$H$6:$H$405="")+(職員マスタ!$H$6:$H$405&gt;=$AO1513))&gt;0)*(ROW(職員マスタ!$A$6:$A$405)-5))),IFERROR(MATCH($B1513,職員マスタ!$A$6:$A$405,0),"")))</f>
        <v/>
      </c>
      <c r="AO1513" s="16">
        <f>IF(OR($B1513="",$C1513="",$D1513=""),"",DATE($C1513+2018,$D1513,1))</f>
        <v/>
      </c>
    </row>
    <row r="1514">
      <c r="A1514" s="11" t="n"/>
      <c r="B1514" s="12" t="n"/>
      <c r="C1514" s="12" t="n"/>
      <c r="D1514" s="12" t="n"/>
      <c r="E1514" s="13" t="n"/>
      <c r="F1514" s="12" t="n"/>
      <c r="G1514" s="13" t="n"/>
      <c r="H1514" s="12" t="n"/>
      <c r="I1514" s="12" t="n"/>
      <c r="J1514" s="12" t="n"/>
      <c r="K1514" s="12" t="n"/>
      <c r="L1514" s="11" t="n"/>
      <c r="M1514" s="11" t="n"/>
      <c r="N1514" s="11" t="n"/>
      <c r="O1514" s="11" t="n"/>
      <c r="P1514" s="12" t="n"/>
      <c r="Q1514" s="11" t="n"/>
      <c r="R1514" s="12" t="n"/>
      <c r="S1514" s="11" t="n"/>
      <c r="T1514" s="12" t="n"/>
      <c r="U1514" s="12" t="n"/>
      <c r="V1514" s="14">
        <f>IF($AN1514="",IF($B1514="","",$H1514),IF(INDEX(職員マスタ!$B$6:$B$405,$AN1514)="",$H1514,INDEX(職員マスタ!$B$6:$B$405,$AN1514)))</f>
        <v/>
      </c>
      <c r="W1514" s="14">
        <f>IF($AN1514="",IF($B1514="","",$R1514),IF(INDEX(職員マスタ!$C$6:$C$405,$AN1514)="",$R1514,INDEX(職員マスタ!$C$6:$C$405,$AN1514)))</f>
        <v/>
      </c>
      <c r="X1514" s="14">
        <f>IF($AO1514="","","R"&amp;$C1514&amp;"."&amp;$D1514)</f>
        <v/>
      </c>
      <c r="Y1514" s="15">
        <f>IF($AN1514="","",IF(INDEX(職員マスタ!$K$6:$K$405,$AN1514)="","",INDEX(職員マスタ!$K$6:$K$405,$AN1514)))</f>
        <v/>
      </c>
      <c r="Z1514" s="14">
        <f>IF(OR($E1514="",$Y1514=""),"",IF($E1514&gt;=$Y1514,"×",IF($E1514&gt;=$Y1514*設定!$C$5,"△","○")))</f>
        <v/>
      </c>
      <c r="AA1514" s="15">
        <f>IF($Z1514="","",IF($Z1514="×",0,IF($Z1514="○",ROUNDDOWN($E1514*設定!$C$4,0),ROUNDDOWN($E1514*ROUND((9*$Y1514-9*$E1514)/(10*$E1514),4),0))))</f>
        <v/>
      </c>
      <c r="AB1514" s="13" t="n"/>
      <c r="AC1514" s="15">
        <f>IF($B1514="","",IF($AB1514&lt;&gt;"",$AB1514,IF($AA1514="","",IF($AA1514&lt;=設定!$C$3,0,$AA1514))))</f>
        <v/>
      </c>
      <c r="AD1514" s="14">
        <f>IF($B1514="","",IF(AND($AE1514&lt;&gt;"",$AG1514="",$AJ1514=""),"保留中",IF($AJ1514&lt;&gt;"",IF(N($AC1514)&gt;0,"支給済","不支給"),IF($AC1514="","要確認",IF($AC1514=0,"不支給","未処理")))))</f>
        <v/>
      </c>
      <c r="AE1514" s="12" t="n"/>
      <c r="AF1514" s="11" t="n"/>
      <c r="AG1514" s="11" t="n"/>
      <c r="AH1514" s="11" t="n"/>
      <c r="AI1514" s="14">
        <f>IF(AND($AD1514="保留中",$AF1514&lt;&gt;""),TODAY()-$AF1514,"")</f>
        <v/>
      </c>
      <c r="AJ1514" s="12" t="n"/>
      <c r="AK1514" s="14">
        <f>IF($B1514="","",IF($AO1514="","対象年月が未入力／","")&amp;IF($B1514="","",IF($AN1514="","職員マスタに未登録の職員番号／",IF($Y1514="","標準報酬月額が未登録／","")&amp;IF(AND($AO1514&lt;&gt;"",OR(AND(INDEX(職員マスタ!$G$6:$G$405,$AN1514)&lt;&gt;"",INDEX(職員マスタ!$G$6:$G$405,$AN1514)&gt;EOMONTH($AO1514,0)),AND(INDEX(職員マスタ!$H$6:$H$405,$AN1514)&lt;&gt;"",INDEX(職員マスタ!$H$6:$H$405,$AN1514)&lt;$AO1514))),"対象月が時短期間外／","")&amp;IF(AND(INDEX(職員マスタ!$F$6:$F$405,$AN1514)&lt;&gt;"",$AO1514&lt;&gt;"",INDEX(職員マスタ!$F$6:$F$405,$AN1514)&lt;$AO1514),"対象月に子が2歳到達済／","")&amp;IF(AND($H1514&lt;&gt;"",INDEX(職員マスタ!$B$6:$B$405,$AN1514)&lt;&gt;"",SUBSTITUTE(SUBSTITUTE($H1514," ","")," ","")&lt;&gt;SUBSTITUTE(SUBSTITUTE(INDEX(職員マスタ!$B$6:$B$405,$AN1514)," ","")," ","")),"氏名がマスタと相違／","")&amp;IF(AND($Q1514&lt;&gt;"",INDEX(職員マスタ!$E$6:$E$405,$AN1514)&lt;&gt;"",$Q1514&lt;&gt;INDEX(職員マスタ!$E$6:$E$405,$AN1514)),"子の生年月日がマスタと相違／","")&amp;IF(AND($L1514&lt;&gt;"",INDEX(職員マスタ!$G$6:$G$405,$AN1514)&lt;&gt;"",$L1514&lt;&gt;INDEX(職員マスタ!$G$6:$G$405,$AN1514)),"時短開始日がマスタと相違／","")&amp;IF(AND($M1514&lt;&gt;"",INDEX(職員マスタ!$H$6:$H$405,$AN1514)&lt;&gt;"",$M1514&lt;&gt;INDEX(職員マスタ!$H$6:$H$405,$AN1514)),"時短終了日がマスタと相違／","")))&amp;IF(AND($B1514&lt;&gt;"",$E1514=""),"報酬額が未入力／","")&amp;IF(N($U1514)&gt;0,"申請書に入力エラーが残っています／","")&amp;IF(AND($B1514&lt;&gt;"",$AO1514&lt;&gt;""),IF(COUNTIFS($B$6:$B$3005,$B1514,$C$6:$C$3005,$C1514,$D$6:$D$3005,$D1514)&gt;1,"同じ月の請求が重複しています／",""),"")&amp;IF(AND(N($E1514)&gt;0,$Z1514&lt;&gt;"",$Z1514&lt;&gt;"×",$AC1514=0,$AB1514=""),"計算額が下限以下のため不支給／",""))</f>
        <v/>
      </c>
      <c r="AL1514" s="12" t="n"/>
      <c r="AM1514" s="14">
        <f>IF($AD1514="保留中",COUNTIF($AD$6:$AD1514,"保留中"),"")</f>
        <v/>
      </c>
      <c r="AN1514" s="14">
        <f>IF($AO1514="","",IF(SUMPRODUCT(MAX((職員マスタ!$A$6:$A$405=$B1514)*(((職員マスタ!$G$6:$G$405="")+(職員マスタ!$G$6:$G$405&lt;=EOMONTH($AO1514,0)))&gt;0)*(((職員マスタ!$H$6:$H$405="")+(職員マスタ!$H$6:$H$405&gt;=$AO1514))&gt;0)*(ROW(職員マスタ!$A$6:$A$405)-5)))&gt;0,SUMPRODUCT(MAX((職員マスタ!$A$6:$A$405=$B1514)*(((職員マスタ!$G$6:$G$405="")+(職員マスタ!$G$6:$G$405&lt;=EOMONTH($AO1514,0)))&gt;0)*(((職員マスタ!$H$6:$H$405="")+(職員マスタ!$H$6:$H$405&gt;=$AO1514))&gt;0)*(ROW(職員マスタ!$A$6:$A$405)-5))),IFERROR(MATCH($B1514,職員マスタ!$A$6:$A$405,0),"")))</f>
        <v/>
      </c>
      <c r="AO1514" s="16">
        <f>IF(OR($B1514="",$C1514="",$D1514=""),"",DATE($C1514+2018,$D1514,1))</f>
        <v/>
      </c>
    </row>
    <row r="1515">
      <c r="A1515" s="11" t="n"/>
      <c r="B1515" s="12" t="n"/>
      <c r="C1515" s="12" t="n"/>
      <c r="D1515" s="12" t="n"/>
      <c r="E1515" s="13" t="n"/>
      <c r="F1515" s="12" t="n"/>
      <c r="G1515" s="13" t="n"/>
      <c r="H1515" s="12" t="n"/>
      <c r="I1515" s="12" t="n"/>
      <c r="J1515" s="12" t="n"/>
      <c r="K1515" s="12" t="n"/>
      <c r="L1515" s="11" t="n"/>
      <c r="M1515" s="11" t="n"/>
      <c r="N1515" s="11" t="n"/>
      <c r="O1515" s="11" t="n"/>
      <c r="P1515" s="12" t="n"/>
      <c r="Q1515" s="11" t="n"/>
      <c r="R1515" s="12" t="n"/>
      <c r="S1515" s="11" t="n"/>
      <c r="T1515" s="12" t="n"/>
      <c r="U1515" s="12" t="n"/>
      <c r="V1515" s="14">
        <f>IF($AN1515="",IF($B1515="","",$H1515),IF(INDEX(職員マスタ!$B$6:$B$405,$AN1515)="",$H1515,INDEX(職員マスタ!$B$6:$B$405,$AN1515)))</f>
        <v/>
      </c>
      <c r="W1515" s="14">
        <f>IF($AN1515="",IF($B1515="","",$R1515),IF(INDEX(職員マスタ!$C$6:$C$405,$AN1515)="",$R1515,INDEX(職員マスタ!$C$6:$C$405,$AN1515)))</f>
        <v/>
      </c>
      <c r="X1515" s="14">
        <f>IF($AO1515="","","R"&amp;$C1515&amp;"."&amp;$D1515)</f>
        <v/>
      </c>
      <c r="Y1515" s="15">
        <f>IF($AN1515="","",IF(INDEX(職員マスタ!$K$6:$K$405,$AN1515)="","",INDEX(職員マスタ!$K$6:$K$405,$AN1515)))</f>
        <v/>
      </c>
      <c r="Z1515" s="14">
        <f>IF(OR($E1515="",$Y1515=""),"",IF($E1515&gt;=$Y1515,"×",IF($E1515&gt;=$Y1515*設定!$C$5,"△","○")))</f>
        <v/>
      </c>
      <c r="AA1515" s="15">
        <f>IF($Z1515="","",IF($Z1515="×",0,IF($Z1515="○",ROUNDDOWN($E1515*設定!$C$4,0),ROUNDDOWN($E1515*ROUND((9*$Y1515-9*$E1515)/(10*$E1515),4),0))))</f>
        <v/>
      </c>
      <c r="AB1515" s="13" t="n"/>
      <c r="AC1515" s="15">
        <f>IF($B1515="","",IF($AB1515&lt;&gt;"",$AB1515,IF($AA1515="","",IF($AA1515&lt;=設定!$C$3,0,$AA1515))))</f>
        <v/>
      </c>
      <c r="AD1515" s="14">
        <f>IF($B1515="","",IF(AND($AE1515&lt;&gt;"",$AG1515="",$AJ1515=""),"保留中",IF($AJ1515&lt;&gt;"",IF(N($AC1515)&gt;0,"支給済","不支給"),IF($AC1515="","要確認",IF($AC1515=0,"不支給","未処理")))))</f>
        <v/>
      </c>
      <c r="AE1515" s="12" t="n"/>
      <c r="AF1515" s="11" t="n"/>
      <c r="AG1515" s="11" t="n"/>
      <c r="AH1515" s="11" t="n"/>
      <c r="AI1515" s="14">
        <f>IF(AND($AD1515="保留中",$AF1515&lt;&gt;""),TODAY()-$AF1515,"")</f>
        <v/>
      </c>
      <c r="AJ1515" s="12" t="n"/>
      <c r="AK1515" s="14">
        <f>IF($B1515="","",IF($AO1515="","対象年月が未入力／","")&amp;IF($B1515="","",IF($AN1515="","職員マスタに未登録の職員番号／",IF($Y1515="","標準報酬月額が未登録／","")&amp;IF(AND($AO1515&lt;&gt;"",OR(AND(INDEX(職員マスタ!$G$6:$G$405,$AN1515)&lt;&gt;"",INDEX(職員マスタ!$G$6:$G$405,$AN1515)&gt;EOMONTH($AO1515,0)),AND(INDEX(職員マスタ!$H$6:$H$405,$AN1515)&lt;&gt;"",INDEX(職員マスタ!$H$6:$H$405,$AN1515)&lt;$AO1515))),"対象月が時短期間外／","")&amp;IF(AND(INDEX(職員マスタ!$F$6:$F$405,$AN1515)&lt;&gt;"",$AO1515&lt;&gt;"",INDEX(職員マスタ!$F$6:$F$405,$AN1515)&lt;$AO1515),"対象月に子が2歳到達済／","")&amp;IF(AND($H1515&lt;&gt;"",INDEX(職員マスタ!$B$6:$B$405,$AN1515)&lt;&gt;"",SUBSTITUTE(SUBSTITUTE($H1515," ","")," ","")&lt;&gt;SUBSTITUTE(SUBSTITUTE(INDEX(職員マスタ!$B$6:$B$405,$AN1515)," ","")," ","")),"氏名がマスタと相違／","")&amp;IF(AND($Q1515&lt;&gt;"",INDEX(職員マスタ!$E$6:$E$405,$AN1515)&lt;&gt;"",$Q1515&lt;&gt;INDEX(職員マスタ!$E$6:$E$405,$AN1515)),"子の生年月日がマスタと相違／","")&amp;IF(AND($L1515&lt;&gt;"",INDEX(職員マスタ!$G$6:$G$405,$AN1515)&lt;&gt;"",$L1515&lt;&gt;INDEX(職員マスタ!$G$6:$G$405,$AN1515)),"時短開始日がマスタと相違／","")&amp;IF(AND($M1515&lt;&gt;"",INDEX(職員マスタ!$H$6:$H$405,$AN1515)&lt;&gt;"",$M1515&lt;&gt;INDEX(職員マスタ!$H$6:$H$405,$AN1515)),"時短終了日がマスタと相違／","")))&amp;IF(AND($B1515&lt;&gt;"",$E1515=""),"報酬額が未入力／","")&amp;IF(N($U1515)&gt;0,"申請書に入力エラーが残っています／","")&amp;IF(AND($B1515&lt;&gt;"",$AO1515&lt;&gt;""),IF(COUNTIFS($B$6:$B$3005,$B1515,$C$6:$C$3005,$C1515,$D$6:$D$3005,$D1515)&gt;1,"同じ月の請求が重複しています／",""),"")&amp;IF(AND(N($E1515)&gt;0,$Z1515&lt;&gt;"",$Z1515&lt;&gt;"×",$AC1515=0,$AB1515=""),"計算額が下限以下のため不支給／",""))</f>
        <v/>
      </c>
      <c r="AL1515" s="12" t="n"/>
      <c r="AM1515" s="14">
        <f>IF($AD1515="保留中",COUNTIF($AD$6:$AD1515,"保留中"),"")</f>
        <v/>
      </c>
      <c r="AN1515" s="14">
        <f>IF($AO1515="","",IF(SUMPRODUCT(MAX((職員マスタ!$A$6:$A$405=$B1515)*(((職員マスタ!$G$6:$G$405="")+(職員マスタ!$G$6:$G$405&lt;=EOMONTH($AO1515,0)))&gt;0)*(((職員マスタ!$H$6:$H$405="")+(職員マスタ!$H$6:$H$405&gt;=$AO1515))&gt;0)*(ROW(職員マスタ!$A$6:$A$405)-5)))&gt;0,SUMPRODUCT(MAX((職員マスタ!$A$6:$A$405=$B1515)*(((職員マスタ!$G$6:$G$405="")+(職員マスタ!$G$6:$G$405&lt;=EOMONTH($AO1515,0)))&gt;0)*(((職員マスタ!$H$6:$H$405="")+(職員マスタ!$H$6:$H$405&gt;=$AO1515))&gt;0)*(ROW(職員マスタ!$A$6:$A$405)-5))),IFERROR(MATCH($B1515,職員マスタ!$A$6:$A$405,0),"")))</f>
        <v/>
      </c>
      <c r="AO1515" s="16">
        <f>IF(OR($B1515="",$C1515="",$D1515=""),"",DATE($C1515+2018,$D1515,1))</f>
        <v/>
      </c>
    </row>
    <row r="1516">
      <c r="A1516" s="11" t="n"/>
      <c r="B1516" s="12" t="n"/>
      <c r="C1516" s="12" t="n"/>
      <c r="D1516" s="12" t="n"/>
      <c r="E1516" s="13" t="n"/>
      <c r="F1516" s="12" t="n"/>
      <c r="G1516" s="13" t="n"/>
      <c r="H1516" s="12" t="n"/>
      <c r="I1516" s="12" t="n"/>
      <c r="J1516" s="12" t="n"/>
      <c r="K1516" s="12" t="n"/>
      <c r="L1516" s="11" t="n"/>
      <c r="M1516" s="11" t="n"/>
      <c r="N1516" s="11" t="n"/>
      <c r="O1516" s="11" t="n"/>
      <c r="P1516" s="12" t="n"/>
      <c r="Q1516" s="11" t="n"/>
      <c r="R1516" s="12" t="n"/>
      <c r="S1516" s="11" t="n"/>
      <c r="T1516" s="12" t="n"/>
      <c r="U1516" s="12" t="n"/>
      <c r="V1516" s="14">
        <f>IF($AN1516="",IF($B1516="","",$H1516),IF(INDEX(職員マスタ!$B$6:$B$405,$AN1516)="",$H1516,INDEX(職員マスタ!$B$6:$B$405,$AN1516)))</f>
        <v/>
      </c>
      <c r="W1516" s="14">
        <f>IF($AN1516="",IF($B1516="","",$R1516),IF(INDEX(職員マスタ!$C$6:$C$405,$AN1516)="",$R1516,INDEX(職員マスタ!$C$6:$C$405,$AN1516)))</f>
        <v/>
      </c>
      <c r="X1516" s="14">
        <f>IF($AO1516="","","R"&amp;$C1516&amp;"."&amp;$D1516)</f>
        <v/>
      </c>
      <c r="Y1516" s="15">
        <f>IF($AN1516="","",IF(INDEX(職員マスタ!$K$6:$K$405,$AN1516)="","",INDEX(職員マスタ!$K$6:$K$405,$AN1516)))</f>
        <v/>
      </c>
      <c r="Z1516" s="14">
        <f>IF(OR($E1516="",$Y1516=""),"",IF($E1516&gt;=$Y1516,"×",IF($E1516&gt;=$Y1516*設定!$C$5,"△","○")))</f>
        <v/>
      </c>
      <c r="AA1516" s="15">
        <f>IF($Z1516="","",IF($Z1516="×",0,IF($Z1516="○",ROUNDDOWN($E1516*設定!$C$4,0),ROUNDDOWN($E1516*ROUND((9*$Y1516-9*$E1516)/(10*$E1516),4),0))))</f>
        <v/>
      </c>
      <c r="AB1516" s="13" t="n"/>
      <c r="AC1516" s="15">
        <f>IF($B1516="","",IF($AB1516&lt;&gt;"",$AB1516,IF($AA1516="","",IF($AA1516&lt;=設定!$C$3,0,$AA1516))))</f>
        <v/>
      </c>
      <c r="AD1516" s="14">
        <f>IF($B1516="","",IF(AND($AE1516&lt;&gt;"",$AG1516="",$AJ1516=""),"保留中",IF($AJ1516&lt;&gt;"",IF(N($AC1516)&gt;0,"支給済","不支給"),IF($AC1516="","要確認",IF($AC1516=0,"不支給","未処理")))))</f>
        <v/>
      </c>
      <c r="AE1516" s="12" t="n"/>
      <c r="AF1516" s="11" t="n"/>
      <c r="AG1516" s="11" t="n"/>
      <c r="AH1516" s="11" t="n"/>
      <c r="AI1516" s="14">
        <f>IF(AND($AD1516="保留中",$AF1516&lt;&gt;""),TODAY()-$AF1516,"")</f>
        <v/>
      </c>
      <c r="AJ1516" s="12" t="n"/>
      <c r="AK1516" s="14">
        <f>IF($B1516="","",IF($AO1516="","対象年月が未入力／","")&amp;IF($B1516="","",IF($AN1516="","職員マスタに未登録の職員番号／",IF($Y1516="","標準報酬月額が未登録／","")&amp;IF(AND($AO1516&lt;&gt;"",OR(AND(INDEX(職員マスタ!$G$6:$G$405,$AN1516)&lt;&gt;"",INDEX(職員マスタ!$G$6:$G$405,$AN1516)&gt;EOMONTH($AO1516,0)),AND(INDEX(職員マスタ!$H$6:$H$405,$AN1516)&lt;&gt;"",INDEX(職員マスタ!$H$6:$H$405,$AN1516)&lt;$AO1516))),"対象月が時短期間外／","")&amp;IF(AND(INDEX(職員マスタ!$F$6:$F$405,$AN1516)&lt;&gt;"",$AO1516&lt;&gt;"",INDEX(職員マスタ!$F$6:$F$405,$AN1516)&lt;$AO1516),"対象月に子が2歳到達済／","")&amp;IF(AND($H1516&lt;&gt;"",INDEX(職員マスタ!$B$6:$B$405,$AN1516)&lt;&gt;"",SUBSTITUTE(SUBSTITUTE($H1516," ","")," ","")&lt;&gt;SUBSTITUTE(SUBSTITUTE(INDEX(職員マスタ!$B$6:$B$405,$AN1516)," ","")," ","")),"氏名がマスタと相違／","")&amp;IF(AND($Q1516&lt;&gt;"",INDEX(職員マスタ!$E$6:$E$405,$AN1516)&lt;&gt;"",$Q1516&lt;&gt;INDEX(職員マスタ!$E$6:$E$405,$AN1516)),"子の生年月日がマスタと相違／","")&amp;IF(AND($L1516&lt;&gt;"",INDEX(職員マスタ!$G$6:$G$405,$AN1516)&lt;&gt;"",$L1516&lt;&gt;INDEX(職員マスタ!$G$6:$G$405,$AN1516)),"時短開始日がマスタと相違／","")&amp;IF(AND($M1516&lt;&gt;"",INDEX(職員マスタ!$H$6:$H$405,$AN1516)&lt;&gt;"",$M1516&lt;&gt;INDEX(職員マスタ!$H$6:$H$405,$AN1516)),"時短終了日がマスタと相違／","")))&amp;IF(AND($B1516&lt;&gt;"",$E1516=""),"報酬額が未入力／","")&amp;IF(N($U1516)&gt;0,"申請書に入力エラーが残っています／","")&amp;IF(AND($B1516&lt;&gt;"",$AO1516&lt;&gt;""),IF(COUNTIFS($B$6:$B$3005,$B1516,$C$6:$C$3005,$C1516,$D$6:$D$3005,$D1516)&gt;1,"同じ月の請求が重複しています／",""),"")&amp;IF(AND(N($E1516)&gt;0,$Z1516&lt;&gt;"",$Z1516&lt;&gt;"×",$AC1516=0,$AB1516=""),"計算額が下限以下のため不支給／",""))</f>
        <v/>
      </c>
      <c r="AL1516" s="12" t="n"/>
      <c r="AM1516" s="14">
        <f>IF($AD1516="保留中",COUNTIF($AD$6:$AD1516,"保留中"),"")</f>
        <v/>
      </c>
      <c r="AN1516" s="14">
        <f>IF($AO1516="","",IF(SUMPRODUCT(MAX((職員マスタ!$A$6:$A$405=$B1516)*(((職員マスタ!$G$6:$G$405="")+(職員マスタ!$G$6:$G$405&lt;=EOMONTH($AO1516,0)))&gt;0)*(((職員マスタ!$H$6:$H$405="")+(職員マスタ!$H$6:$H$405&gt;=$AO1516))&gt;0)*(ROW(職員マスタ!$A$6:$A$405)-5)))&gt;0,SUMPRODUCT(MAX((職員マスタ!$A$6:$A$405=$B1516)*(((職員マスタ!$G$6:$G$405="")+(職員マスタ!$G$6:$G$405&lt;=EOMONTH($AO1516,0)))&gt;0)*(((職員マスタ!$H$6:$H$405="")+(職員マスタ!$H$6:$H$405&gt;=$AO1516))&gt;0)*(ROW(職員マスタ!$A$6:$A$405)-5))),IFERROR(MATCH($B1516,職員マスタ!$A$6:$A$405,0),"")))</f>
        <v/>
      </c>
      <c r="AO1516" s="16">
        <f>IF(OR($B1516="",$C1516="",$D1516=""),"",DATE($C1516+2018,$D1516,1))</f>
        <v/>
      </c>
    </row>
    <row r="1517">
      <c r="A1517" s="11" t="n"/>
      <c r="B1517" s="12" t="n"/>
      <c r="C1517" s="12" t="n"/>
      <c r="D1517" s="12" t="n"/>
      <c r="E1517" s="13" t="n"/>
      <c r="F1517" s="12" t="n"/>
      <c r="G1517" s="13" t="n"/>
      <c r="H1517" s="12" t="n"/>
      <c r="I1517" s="12" t="n"/>
      <c r="J1517" s="12" t="n"/>
      <c r="K1517" s="12" t="n"/>
      <c r="L1517" s="11" t="n"/>
      <c r="M1517" s="11" t="n"/>
      <c r="N1517" s="11" t="n"/>
      <c r="O1517" s="11" t="n"/>
      <c r="P1517" s="12" t="n"/>
      <c r="Q1517" s="11" t="n"/>
      <c r="R1517" s="12" t="n"/>
      <c r="S1517" s="11" t="n"/>
      <c r="T1517" s="12" t="n"/>
      <c r="U1517" s="12" t="n"/>
      <c r="V1517" s="14">
        <f>IF($AN1517="",IF($B1517="","",$H1517),IF(INDEX(職員マスタ!$B$6:$B$405,$AN1517)="",$H1517,INDEX(職員マスタ!$B$6:$B$405,$AN1517)))</f>
        <v/>
      </c>
      <c r="W1517" s="14">
        <f>IF($AN1517="",IF($B1517="","",$R1517),IF(INDEX(職員マスタ!$C$6:$C$405,$AN1517)="",$R1517,INDEX(職員マスタ!$C$6:$C$405,$AN1517)))</f>
        <v/>
      </c>
      <c r="X1517" s="14">
        <f>IF($AO1517="","","R"&amp;$C1517&amp;"."&amp;$D1517)</f>
        <v/>
      </c>
      <c r="Y1517" s="15">
        <f>IF($AN1517="","",IF(INDEX(職員マスタ!$K$6:$K$405,$AN1517)="","",INDEX(職員マスタ!$K$6:$K$405,$AN1517)))</f>
        <v/>
      </c>
      <c r="Z1517" s="14">
        <f>IF(OR($E1517="",$Y1517=""),"",IF($E1517&gt;=$Y1517,"×",IF($E1517&gt;=$Y1517*設定!$C$5,"△","○")))</f>
        <v/>
      </c>
      <c r="AA1517" s="15">
        <f>IF($Z1517="","",IF($Z1517="×",0,IF($Z1517="○",ROUNDDOWN($E1517*設定!$C$4,0),ROUNDDOWN($E1517*ROUND((9*$Y1517-9*$E1517)/(10*$E1517),4),0))))</f>
        <v/>
      </c>
      <c r="AB1517" s="13" t="n"/>
      <c r="AC1517" s="15">
        <f>IF($B1517="","",IF($AB1517&lt;&gt;"",$AB1517,IF($AA1517="","",IF($AA1517&lt;=設定!$C$3,0,$AA1517))))</f>
        <v/>
      </c>
      <c r="AD1517" s="14">
        <f>IF($B1517="","",IF(AND($AE1517&lt;&gt;"",$AG1517="",$AJ1517=""),"保留中",IF($AJ1517&lt;&gt;"",IF(N($AC1517)&gt;0,"支給済","不支給"),IF($AC1517="","要確認",IF($AC1517=0,"不支給","未処理")))))</f>
        <v/>
      </c>
      <c r="AE1517" s="12" t="n"/>
      <c r="AF1517" s="11" t="n"/>
      <c r="AG1517" s="11" t="n"/>
      <c r="AH1517" s="11" t="n"/>
      <c r="AI1517" s="14">
        <f>IF(AND($AD1517="保留中",$AF1517&lt;&gt;""),TODAY()-$AF1517,"")</f>
        <v/>
      </c>
      <c r="AJ1517" s="12" t="n"/>
      <c r="AK1517" s="14">
        <f>IF($B1517="","",IF($AO1517="","対象年月が未入力／","")&amp;IF($B1517="","",IF($AN1517="","職員マスタに未登録の職員番号／",IF($Y1517="","標準報酬月額が未登録／","")&amp;IF(AND($AO1517&lt;&gt;"",OR(AND(INDEX(職員マスタ!$G$6:$G$405,$AN1517)&lt;&gt;"",INDEX(職員マスタ!$G$6:$G$405,$AN1517)&gt;EOMONTH($AO1517,0)),AND(INDEX(職員マスタ!$H$6:$H$405,$AN1517)&lt;&gt;"",INDEX(職員マスタ!$H$6:$H$405,$AN1517)&lt;$AO1517))),"対象月が時短期間外／","")&amp;IF(AND(INDEX(職員マスタ!$F$6:$F$405,$AN1517)&lt;&gt;"",$AO1517&lt;&gt;"",INDEX(職員マスタ!$F$6:$F$405,$AN1517)&lt;$AO1517),"対象月に子が2歳到達済／","")&amp;IF(AND($H1517&lt;&gt;"",INDEX(職員マスタ!$B$6:$B$405,$AN1517)&lt;&gt;"",SUBSTITUTE(SUBSTITUTE($H1517," ","")," ","")&lt;&gt;SUBSTITUTE(SUBSTITUTE(INDEX(職員マスタ!$B$6:$B$405,$AN1517)," ","")," ","")),"氏名がマスタと相違／","")&amp;IF(AND($Q1517&lt;&gt;"",INDEX(職員マスタ!$E$6:$E$405,$AN1517)&lt;&gt;"",$Q1517&lt;&gt;INDEX(職員マスタ!$E$6:$E$405,$AN1517)),"子の生年月日がマスタと相違／","")&amp;IF(AND($L1517&lt;&gt;"",INDEX(職員マスタ!$G$6:$G$405,$AN1517)&lt;&gt;"",$L1517&lt;&gt;INDEX(職員マスタ!$G$6:$G$405,$AN1517)),"時短開始日がマスタと相違／","")&amp;IF(AND($M1517&lt;&gt;"",INDEX(職員マスタ!$H$6:$H$405,$AN1517)&lt;&gt;"",$M1517&lt;&gt;INDEX(職員マスタ!$H$6:$H$405,$AN1517)),"時短終了日がマスタと相違／","")))&amp;IF(AND($B1517&lt;&gt;"",$E1517=""),"報酬額が未入力／","")&amp;IF(N($U1517)&gt;0,"申請書に入力エラーが残っています／","")&amp;IF(AND($B1517&lt;&gt;"",$AO1517&lt;&gt;""),IF(COUNTIFS($B$6:$B$3005,$B1517,$C$6:$C$3005,$C1517,$D$6:$D$3005,$D1517)&gt;1,"同じ月の請求が重複しています／",""),"")&amp;IF(AND(N($E1517)&gt;0,$Z1517&lt;&gt;"",$Z1517&lt;&gt;"×",$AC1517=0,$AB1517=""),"計算額が下限以下のため不支給／",""))</f>
        <v/>
      </c>
      <c r="AL1517" s="12" t="n"/>
      <c r="AM1517" s="14">
        <f>IF($AD1517="保留中",COUNTIF($AD$6:$AD1517,"保留中"),"")</f>
        <v/>
      </c>
      <c r="AN1517" s="14">
        <f>IF($AO1517="","",IF(SUMPRODUCT(MAX((職員マスタ!$A$6:$A$405=$B1517)*(((職員マスタ!$G$6:$G$405="")+(職員マスタ!$G$6:$G$405&lt;=EOMONTH($AO1517,0)))&gt;0)*(((職員マスタ!$H$6:$H$405="")+(職員マスタ!$H$6:$H$405&gt;=$AO1517))&gt;0)*(ROW(職員マスタ!$A$6:$A$405)-5)))&gt;0,SUMPRODUCT(MAX((職員マスタ!$A$6:$A$405=$B1517)*(((職員マスタ!$G$6:$G$405="")+(職員マスタ!$G$6:$G$405&lt;=EOMONTH($AO1517,0)))&gt;0)*(((職員マスタ!$H$6:$H$405="")+(職員マスタ!$H$6:$H$405&gt;=$AO1517))&gt;0)*(ROW(職員マスタ!$A$6:$A$405)-5))),IFERROR(MATCH($B1517,職員マスタ!$A$6:$A$405,0),"")))</f>
        <v/>
      </c>
      <c r="AO1517" s="16">
        <f>IF(OR($B1517="",$C1517="",$D1517=""),"",DATE($C1517+2018,$D1517,1))</f>
        <v/>
      </c>
    </row>
    <row r="1518">
      <c r="A1518" s="11" t="n"/>
      <c r="B1518" s="12" t="n"/>
      <c r="C1518" s="12" t="n"/>
      <c r="D1518" s="12" t="n"/>
      <c r="E1518" s="13" t="n"/>
      <c r="F1518" s="12" t="n"/>
      <c r="G1518" s="13" t="n"/>
      <c r="H1518" s="12" t="n"/>
      <c r="I1518" s="12" t="n"/>
      <c r="J1518" s="12" t="n"/>
      <c r="K1518" s="12" t="n"/>
      <c r="L1518" s="11" t="n"/>
      <c r="M1518" s="11" t="n"/>
      <c r="N1518" s="11" t="n"/>
      <c r="O1518" s="11" t="n"/>
      <c r="P1518" s="12" t="n"/>
      <c r="Q1518" s="11" t="n"/>
      <c r="R1518" s="12" t="n"/>
      <c r="S1518" s="11" t="n"/>
      <c r="T1518" s="12" t="n"/>
      <c r="U1518" s="12" t="n"/>
      <c r="V1518" s="14">
        <f>IF($AN1518="",IF($B1518="","",$H1518),IF(INDEX(職員マスタ!$B$6:$B$405,$AN1518)="",$H1518,INDEX(職員マスタ!$B$6:$B$405,$AN1518)))</f>
        <v/>
      </c>
      <c r="W1518" s="14">
        <f>IF($AN1518="",IF($B1518="","",$R1518),IF(INDEX(職員マスタ!$C$6:$C$405,$AN1518)="",$R1518,INDEX(職員マスタ!$C$6:$C$405,$AN1518)))</f>
        <v/>
      </c>
      <c r="X1518" s="14">
        <f>IF($AO1518="","","R"&amp;$C1518&amp;"."&amp;$D1518)</f>
        <v/>
      </c>
      <c r="Y1518" s="15">
        <f>IF($AN1518="","",IF(INDEX(職員マスタ!$K$6:$K$405,$AN1518)="","",INDEX(職員マスタ!$K$6:$K$405,$AN1518)))</f>
        <v/>
      </c>
      <c r="Z1518" s="14">
        <f>IF(OR($E1518="",$Y1518=""),"",IF($E1518&gt;=$Y1518,"×",IF($E1518&gt;=$Y1518*設定!$C$5,"△","○")))</f>
        <v/>
      </c>
      <c r="AA1518" s="15">
        <f>IF($Z1518="","",IF($Z1518="×",0,IF($Z1518="○",ROUNDDOWN($E1518*設定!$C$4,0),ROUNDDOWN($E1518*ROUND((9*$Y1518-9*$E1518)/(10*$E1518),4),0))))</f>
        <v/>
      </c>
      <c r="AB1518" s="13" t="n"/>
      <c r="AC1518" s="15">
        <f>IF($B1518="","",IF($AB1518&lt;&gt;"",$AB1518,IF($AA1518="","",IF($AA1518&lt;=設定!$C$3,0,$AA1518))))</f>
        <v/>
      </c>
      <c r="AD1518" s="14">
        <f>IF($B1518="","",IF(AND($AE1518&lt;&gt;"",$AG1518="",$AJ1518=""),"保留中",IF($AJ1518&lt;&gt;"",IF(N($AC1518)&gt;0,"支給済","不支給"),IF($AC1518="","要確認",IF($AC1518=0,"不支給","未処理")))))</f>
        <v/>
      </c>
      <c r="AE1518" s="12" t="n"/>
      <c r="AF1518" s="11" t="n"/>
      <c r="AG1518" s="11" t="n"/>
      <c r="AH1518" s="11" t="n"/>
      <c r="AI1518" s="14">
        <f>IF(AND($AD1518="保留中",$AF1518&lt;&gt;""),TODAY()-$AF1518,"")</f>
        <v/>
      </c>
      <c r="AJ1518" s="12" t="n"/>
      <c r="AK1518" s="14">
        <f>IF($B1518="","",IF($AO1518="","対象年月が未入力／","")&amp;IF($B1518="","",IF($AN1518="","職員マスタに未登録の職員番号／",IF($Y1518="","標準報酬月額が未登録／","")&amp;IF(AND($AO1518&lt;&gt;"",OR(AND(INDEX(職員マスタ!$G$6:$G$405,$AN1518)&lt;&gt;"",INDEX(職員マスタ!$G$6:$G$405,$AN1518)&gt;EOMONTH($AO1518,0)),AND(INDEX(職員マスタ!$H$6:$H$405,$AN1518)&lt;&gt;"",INDEX(職員マスタ!$H$6:$H$405,$AN1518)&lt;$AO1518))),"対象月が時短期間外／","")&amp;IF(AND(INDEX(職員マスタ!$F$6:$F$405,$AN1518)&lt;&gt;"",$AO1518&lt;&gt;"",INDEX(職員マスタ!$F$6:$F$405,$AN1518)&lt;$AO1518),"対象月に子が2歳到達済／","")&amp;IF(AND($H1518&lt;&gt;"",INDEX(職員マスタ!$B$6:$B$405,$AN1518)&lt;&gt;"",SUBSTITUTE(SUBSTITUTE($H1518," ","")," ","")&lt;&gt;SUBSTITUTE(SUBSTITUTE(INDEX(職員マスタ!$B$6:$B$405,$AN1518)," ","")," ","")),"氏名がマスタと相違／","")&amp;IF(AND($Q1518&lt;&gt;"",INDEX(職員マスタ!$E$6:$E$405,$AN1518)&lt;&gt;"",$Q1518&lt;&gt;INDEX(職員マスタ!$E$6:$E$405,$AN1518)),"子の生年月日がマスタと相違／","")&amp;IF(AND($L1518&lt;&gt;"",INDEX(職員マスタ!$G$6:$G$405,$AN1518)&lt;&gt;"",$L1518&lt;&gt;INDEX(職員マスタ!$G$6:$G$405,$AN1518)),"時短開始日がマスタと相違／","")&amp;IF(AND($M1518&lt;&gt;"",INDEX(職員マスタ!$H$6:$H$405,$AN1518)&lt;&gt;"",$M1518&lt;&gt;INDEX(職員マスタ!$H$6:$H$405,$AN1518)),"時短終了日がマスタと相違／","")))&amp;IF(AND($B1518&lt;&gt;"",$E1518=""),"報酬額が未入力／","")&amp;IF(N($U1518)&gt;0,"申請書に入力エラーが残っています／","")&amp;IF(AND($B1518&lt;&gt;"",$AO1518&lt;&gt;""),IF(COUNTIFS($B$6:$B$3005,$B1518,$C$6:$C$3005,$C1518,$D$6:$D$3005,$D1518)&gt;1,"同じ月の請求が重複しています／",""),"")&amp;IF(AND(N($E1518)&gt;0,$Z1518&lt;&gt;"",$Z1518&lt;&gt;"×",$AC1518=0,$AB1518=""),"計算額が下限以下のため不支給／",""))</f>
        <v/>
      </c>
      <c r="AL1518" s="12" t="n"/>
      <c r="AM1518" s="14">
        <f>IF($AD1518="保留中",COUNTIF($AD$6:$AD1518,"保留中"),"")</f>
        <v/>
      </c>
      <c r="AN1518" s="14">
        <f>IF($AO1518="","",IF(SUMPRODUCT(MAX((職員マスタ!$A$6:$A$405=$B1518)*(((職員マスタ!$G$6:$G$405="")+(職員マスタ!$G$6:$G$405&lt;=EOMONTH($AO1518,0)))&gt;0)*(((職員マスタ!$H$6:$H$405="")+(職員マスタ!$H$6:$H$405&gt;=$AO1518))&gt;0)*(ROW(職員マスタ!$A$6:$A$405)-5)))&gt;0,SUMPRODUCT(MAX((職員マスタ!$A$6:$A$405=$B1518)*(((職員マスタ!$G$6:$G$405="")+(職員マスタ!$G$6:$G$405&lt;=EOMONTH($AO1518,0)))&gt;0)*(((職員マスタ!$H$6:$H$405="")+(職員マスタ!$H$6:$H$405&gt;=$AO1518))&gt;0)*(ROW(職員マスタ!$A$6:$A$405)-5))),IFERROR(MATCH($B1518,職員マスタ!$A$6:$A$405,0),"")))</f>
        <v/>
      </c>
      <c r="AO1518" s="16">
        <f>IF(OR($B1518="",$C1518="",$D1518=""),"",DATE($C1518+2018,$D1518,1))</f>
        <v/>
      </c>
    </row>
    <row r="1519">
      <c r="A1519" s="11" t="n"/>
      <c r="B1519" s="12" t="n"/>
      <c r="C1519" s="12" t="n"/>
      <c r="D1519" s="12" t="n"/>
      <c r="E1519" s="13" t="n"/>
      <c r="F1519" s="12" t="n"/>
      <c r="G1519" s="13" t="n"/>
      <c r="H1519" s="12" t="n"/>
      <c r="I1519" s="12" t="n"/>
      <c r="J1519" s="12" t="n"/>
      <c r="K1519" s="12" t="n"/>
      <c r="L1519" s="11" t="n"/>
      <c r="M1519" s="11" t="n"/>
      <c r="N1519" s="11" t="n"/>
      <c r="O1519" s="11" t="n"/>
      <c r="P1519" s="12" t="n"/>
      <c r="Q1519" s="11" t="n"/>
      <c r="R1519" s="12" t="n"/>
      <c r="S1519" s="11" t="n"/>
      <c r="T1519" s="12" t="n"/>
      <c r="U1519" s="12" t="n"/>
      <c r="V1519" s="14">
        <f>IF($AN1519="",IF($B1519="","",$H1519),IF(INDEX(職員マスタ!$B$6:$B$405,$AN1519)="",$H1519,INDEX(職員マスタ!$B$6:$B$405,$AN1519)))</f>
        <v/>
      </c>
      <c r="W1519" s="14">
        <f>IF($AN1519="",IF($B1519="","",$R1519),IF(INDEX(職員マスタ!$C$6:$C$405,$AN1519)="",$R1519,INDEX(職員マスタ!$C$6:$C$405,$AN1519)))</f>
        <v/>
      </c>
      <c r="X1519" s="14">
        <f>IF($AO1519="","","R"&amp;$C1519&amp;"."&amp;$D1519)</f>
        <v/>
      </c>
      <c r="Y1519" s="15">
        <f>IF($AN1519="","",IF(INDEX(職員マスタ!$K$6:$K$405,$AN1519)="","",INDEX(職員マスタ!$K$6:$K$405,$AN1519)))</f>
        <v/>
      </c>
      <c r="Z1519" s="14">
        <f>IF(OR($E1519="",$Y1519=""),"",IF($E1519&gt;=$Y1519,"×",IF($E1519&gt;=$Y1519*設定!$C$5,"△","○")))</f>
        <v/>
      </c>
      <c r="AA1519" s="15">
        <f>IF($Z1519="","",IF($Z1519="×",0,IF($Z1519="○",ROUNDDOWN($E1519*設定!$C$4,0),ROUNDDOWN($E1519*ROUND((9*$Y1519-9*$E1519)/(10*$E1519),4),0))))</f>
        <v/>
      </c>
      <c r="AB1519" s="13" t="n"/>
      <c r="AC1519" s="15">
        <f>IF($B1519="","",IF($AB1519&lt;&gt;"",$AB1519,IF($AA1519="","",IF($AA1519&lt;=設定!$C$3,0,$AA1519))))</f>
        <v/>
      </c>
      <c r="AD1519" s="14">
        <f>IF($B1519="","",IF(AND($AE1519&lt;&gt;"",$AG1519="",$AJ1519=""),"保留中",IF($AJ1519&lt;&gt;"",IF(N($AC1519)&gt;0,"支給済","不支給"),IF($AC1519="","要確認",IF($AC1519=0,"不支給","未処理")))))</f>
        <v/>
      </c>
      <c r="AE1519" s="12" t="n"/>
      <c r="AF1519" s="11" t="n"/>
      <c r="AG1519" s="11" t="n"/>
      <c r="AH1519" s="11" t="n"/>
      <c r="AI1519" s="14">
        <f>IF(AND($AD1519="保留中",$AF1519&lt;&gt;""),TODAY()-$AF1519,"")</f>
        <v/>
      </c>
      <c r="AJ1519" s="12" t="n"/>
      <c r="AK1519" s="14">
        <f>IF($B1519="","",IF($AO1519="","対象年月が未入力／","")&amp;IF($B1519="","",IF($AN1519="","職員マスタに未登録の職員番号／",IF($Y1519="","標準報酬月額が未登録／","")&amp;IF(AND($AO1519&lt;&gt;"",OR(AND(INDEX(職員マスタ!$G$6:$G$405,$AN1519)&lt;&gt;"",INDEX(職員マスタ!$G$6:$G$405,$AN1519)&gt;EOMONTH($AO1519,0)),AND(INDEX(職員マスタ!$H$6:$H$405,$AN1519)&lt;&gt;"",INDEX(職員マスタ!$H$6:$H$405,$AN1519)&lt;$AO1519))),"対象月が時短期間外／","")&amp;IF(AND(INDEX(職員マスタ!$F$6:$F$405,$AN1519)&lt;&gt;"",$AO1519&lt;&gt;"",INDEX(職員マスタ!$F$6:$F$405,$AN1519)&lt;$AO1519),"対象月に子が2歳到達済／","")&amp;IF(AND($H1519&lt;&gt;"",INDEX(職員マスタ!$B$6:$B$405,$AN1519)&lt;&gt;"",SUBSTITUTE(SUBSTITUTE($H1519," ","")," ","")&lt;&gt;SUBSTITUTE(SUBSTITUTE(INDEX(職員マスタ!$B$6:$B$405,$AN1519)," ","")," ","")),"氏名がマスタと相違／","")&amp;IF(AND($Q1519&lt;&gt;"",INDEX(職員マスタ!$E$6:$E$405,$AN1519)&lt;&gt;"",$Q1519&lt;&gt;INDEX(職員マスタ!$E$6:$E$405,$AN1519)),"子の生年月日がマスタと相違／","")&amp;IF(AND($L1519&lt;&gt;"",INDEX(職員マスタ!$G$6:$G$405,$AN1519)&lt;&gt;"",$L1519&lt;&gt;INDEX(職員マスタ!$G$6:$G$405,$AN1519)),"時短開始日がマスタと相違／","")&amp;IF(AND($M1519&lt;&gt;"",INDEX(職員マスタ!$H$6:$H$405,$AN1519)&lt;&gt;"",$M1519&lt;&gt;INDEX(職員マスタ!$H$6:$H$405,$AN1519)),"時短終了日がマスタと相違／","")))&amp;IF(AND($B1519&lt;&gt;"",$E1519=""),"報酬額が未入力／","")&amp;IF(N($U1519)&gt;0,"申請書に入力エラーが残っています／","")&amp;IF(AND($B1519&lt;&gt;"",$AO1519&lt;&gt;""),IF(COUNTIFS($B$6:$B$3005,$B1519,$C$6:$C$3005,$C1519,$D$6:$D$3005,$D1519)&gt;1,"同じ月の請求が重複しています／",""),"")&amp;IF(AND(N($E1519)&gt;0,$Z1519&lt;&gt;"",$Z1519&lt;&gt;"×",$AC1519=0,$AB1519=""),"計算額が下限以下のため不支給／",""))</f>
        <v/>
      </c>
      <c r="AL1519" s="12" t="n"/>
      <c r="AM1519" s="14">
        <f>IF($AD1519="保留中",COUNTIF($AD$6:$AD1519,"保留中"),"")</f>
        <v/>
      </c>
      <c r="AN1519" s="14">
        <f>IF($AO1519="","",IF(SUMPRODUCT(MAX((職員マスタ!$A$6:$A$405=$B1519)*(((職員マスタ!$G$6:$G$405="")+(職員マスタ!$G$6:$G$405&lt;=EOMONTH($AO1519,0)))&gt;0)*(((職員マスタ!$H$6:$H$405="")+(職員マスタ!$H$6:$H$405&gt;=$AO1519))&gt;0)*(ROW(職員マスタ!$A$6:$A$405)-5)))&gt;0,SUMPRODUCT(MAX((職員マスタ!$A$6:$A$405=$B1519)*(((職員マスタ!$G$6:$G$405="")+(職員マスタ!$G$6:$G$405&lt;=EOMONTH($AO1519,0)))&gt;0)*(((職員マスタ!$H$6:$H$405="")+(職員マスタ!$H$6:$H$405&gt;=$AO1519))&gt;0)*(ROW(職員マスタ!$A$6:$A$405)-5))),IFERROR(MATCH($B1519,職員マスタ!$A$6:$A$405,0),"")))</f>
        <v/>
      </c>
      <c r="AO1519" s="16">
        <f>IF(OR($B1519="",$C1519="",$D1519=""),"",DATE($C1519+2018,$D1519,1))</f>
        <v/>
      </c>
    </row>
    <row r="1520">
      <c r="A1520" s="11" t="n"/>
      <c r="B1520" s="12" t="n"/>
      <c r="C1520" s="12" t="n"/>
      <c r="D1520" s="12" t="n"/>
      <c r="E1520" s="13" t="n"/>
      <c r="F1520" s="12" t="n"/>
      <c r="G1520" s="13" t="n"/>
      <c r="H1520" s="12" t="n"/>
      <c r="I1520" s="12" t="n"/>
      <c r="J1520" s="12" t="n"/>
      <c r="K1520" s="12" t="n"/>
      <c r="L1520" s="11" t="n"/>
      <c r="M1520" s="11" t="n"/>
      <c r="N1520" s="11" t="n"/>
      <c r="O1520" s="11" t="n"/>
      <c r="P1520" s="12" t="n"/>
      <c r="Q1520" s="11" t="n"/>
      <c r="R1520" s="12" t="n"/>
      <c r="S1520" s="11" t="n"/>
      <c r="T1520" s="12" t="n"/>
      <c r="U1520" s="12" t="n"/>
      <c r="V1520" s="14">
        <f>IF($AN1520="",IF($B1520="","",$H1520),IF(INDEX(職員マスタ!$B$6:$B$405,$AN1520)="",$H1520,INDEX(職員マスタ!$B$6:$B$405,$AN1520)))</f>
        <v/>
      </c>
      <c r="W1520" s="14">
        <f>IF($AN1520="",IF($B1520="","",$R1520),IF(INDEX(職員マスタ!$C$6:$C$405,$AN1520)="",$R1520,INDEX(職員マスタ!$C$6:$C$405,$AN1520)))</f>
        <v/>
      </c>
      <c r="X1520" s="14">
        <f>IF($AO1520="","","R"&amp;$C1520&amp;"."&amp;$D1520)</f>
        <v/>
      </c>
      <c r="Y1520" s="15">
        <f>IF($AN1520="","",IF(INDEX(職員マスタ!$K$6:$K$405,$AN1520)="","",INDEX(職員マスタ!$K$6:$K$405,$AN1520)))</f>
        <v/>
      </c>
      <c r="Z1520" s="14">
        <f>IF(OR($E1520="",$Y1520=""),"",IF($E1520&gt;=$Y1520,"×",IF($E1520&gt;=$Y1520*設定!$C$5,"△","○")))</f>
        <v/>
      </c>
      <c r="AA1520" s="15">
        <f>IF($Z1520="","",IF($Z1520="×",0,IF($Z1520="○",ROUNDDOWN($E1520*設定!$C$4,0),ROUNDDOWN($E1520*ROUND((9*$Y1520-9*$E1520)/(10*$E1520),4),0))))</f>
        <v/>
      </c>
      <c r="AB1520" s="13" t="n"/>
      <c r="AC1520" s="15">
        <f>IF($B1520="","",IF($AB1520&lt;&gt;"",$AB1520,IF($AA1520="","",IF($AA1520&lt;=設定!$C$3,0,$AA1520))))</f>
        <v/>
      </c>
      <c r="AD1520" s="14">
        <f>IF($B1520="","",IF(AND($AE1520&lt;&gt;"",$AG1520="",$AJ1520=""),"保留中",IF($AJ1520&lt;&gt;"",IF(N($AC1520)&gt;0,"支給済","不支給"),IF($AC1520="","要確認",IF($AC1520=0,"不支給","未処理")))))</f>
        <v/>
      </c>
      <c r="AE1520" s="12" t="n"/>
      <c r="AF1520" s="11" t="n"/>
      <c r="AG1520" s="11" t="n"/>
      <c r="AH1520" s="11" t="n"/>
      <c r="AI1520" s="14">
        <f>IF(AND($AD1520="保留中",$AF1520&lt;&gt;""),TODAY()-$AF1520,"")</f>
        <v/>
      </c>
      <c r="AJ1520" s="12" t="n"/>
      <c r="AK1520" s="14">
        <f>IF($B1520="","",IF($AO1520="","対象年月が未入力／","")&amp;IF($B1520="","",IF($AN1520="","職員マスタに未登録の職員番号／",IF($Y1520="","標準報酬月額が未登録／","")&amp;IF(AND($AO1520&lt;&gt;"",OR(AND(INDEX(職員マスタ!$G$6:$G$405,$AN1520)&lt;&gt;"",INDEX(職員マスタ!$G$6:$G$405,$AN1520)&gt;EOMONTH($AO1520,0)),AND(INDEX(職員マスタ!$H$6:$H$405,$AN1520)&lt;&gt;"",INDEX(職員マスタ!$H$6:$H$405,$AN1520)&lt;$AO1520))),"対象月が時短期間外／","")&amp;IF(AND(INDEX(職員マスタ!$F$6:$F$405,$AN1520)&lt;&gt;"",$AO1520&lt;&gt;"",INDEX(職員マスタ!$F$6:$F$405,$AN1520)&lt;$AO1520),"対象月に子が2歳到達済／","")&amp;IF(AND($H1520&lt;&gt;"",INDEX(職員マスタ!$B$6:$B$405,$AN1520)&lt;&gt;"",SUBSTITUTE(SUBSTITUTE($H1520," ","")," ","")&lt;&gt;SUBSTITUTE(SUBSTITUTE(INDEX(職員マスタ!$B$6:$B$405,$AN1520)," ","")," ","")),"氏名がマスタと相違／","")&amp;IF(AND($Q1520&lt;&gt;"",INDEX(職員マスタ!$E$6:$E$405,$AN1520)&lt;&gt;"",$Q1520&lt;&gt;INDEX(職員マスタ!$E$6:$E$405,$AN1520)),"子の生年月日がマスタと相違／","")&amp;IF(AND($L1520&lt;&gt;"",INDEX(職員マスタ!$G$6:$G$405,$AN1520)&lt;&gt;"",$L1520&lt;&gt;INDEX(職員マスタ!$G$6:$G$405,$AN1520)),"時短開始日がマスタと相違／","")&amp;IF(AND($M1520&lt;&gt;"",INDEX(職員マスタ!$H$6:$H$405,$AN1520)&lt;&gt;"",$M1520&lt;&gt;INDEX(職員マスタ!$H$6:$H$405,$AN1520)),"時短終了日がマスタと相違／","")))&amp;IF(AND($B1520&lt;&gt;"",$E1520=""),"報酬額が未入力／","")&amp;IF(N($U1520)&gt;0,"申請書に入力エラーが残っています／","")&amp;IF(AND($B1520&lt;&gt;"",$AO1520&lt;&gt;""),IF(COUNTIFS($B$6:$B$3005,$B1520,$C$6:$C$3005,$C1520,$D$6:$D$3005,$D1520)&gt;1,"同じ月の請求が重複しています／",""),"")&amp;IF(AND(N($E1520)&gt;0,$Z1520&lt;&gt;"",$Z1520&lt;&gt;"×",$AC1520=0,$AB1520=""),"計算額が下限以下のため不支給／",""))</f>
        <v/>
      </c>
      <c r="AL1520" s="12" t="n"/>
      <c r="AM1520" s="14">
        <f>IF($AD1520="保留中",COUNTIF($AD$6:$AD1520,"保留中"),"")</f>
        <v/>
      </c>
      <c r="AN1520" s="14">
        <f>IF($AO1520="","",IF(SUMPRODUCT(MAX((職員マスタ!$A$6:$A$405=$B1520)*(((職員マスタ!$G$6:$G$405="")+(職員マスタ!$G$6:$G$405&lt;=EOMONTH($AO1520,0)))&gt;0)*(((職員マスタ!$H$6:$H$405="")+(職員マスタ!$H$6:$H$405&gt;=$AO1520))&gt;0)*(ROW(職員マスタ!$A$6:$A$405)-5)))&gt;0,SUMPRODUCT(MAX((職員マスタ!$A$6:$A$405=$B1520)*(((職員マスタ!$G$6:$G$405="")+(職員マスタ!$G$6:$G$405&lt;=EOMONTH($AO1520,0)))&gt;0)*(((職員マスタ!$H$6:$H$405="")+(職員マスタ!$H$6:$H$405&gt;=$AO1520))&gt;0)*(ROW(職員マスタ!$A$6:$A$405)-5))),IFERROR(MATCH($B1520,職員マスタ!$A$6:$A$405,0),"")))</f>
        <v/>
      </c>
      <c r="AO1520" s="16">
        <f>IF(OR($B1520="",$C1520="",$D1520=""),"",DATE($C1520+2018,$D1520,1))</f>
        <v/>
      </c>
    </row>
    <row r="1521">
      <c r="A1521" s="11" t="n"/>
      <c r="B1521" s="12" t="n"/>
      <c r="C1521" s="12" t="n"/>
      <c r="D1521" s="12" t="n"/>
      <c r="E1521" s="13" t="n"/>
      <c r="F1521" s="12" t="n"/>
      <c r="G1521" s="13" t="n"/>
      <c r="H1521" s="12" t="n"/>
      <c r="I1521" s="12" t="n"/>
      <c r="J1521" s="12" t="n"/>
      <c r="K1521" s="12" t="n"/>
      <c r="L1521" s="11" t="n"/>
      <c r="M1521" s="11" t="n"/>
      <c r="N1521" s="11" t="n"/>
      <c r="O1521" s="11" t="n"/>
      <c r="P1521" s="12" t="n"/>
      <c r="Q1521" s="11" t="n"/>
      <c r="R1521" s="12" t="n"/>
      <c r="S1521" s="11" t="n"/>
      <c r="T1521" s="12" t="n"/>
      <c r="U1521" s="12" t="n"/>
      <c r="V1521" s="14">
        <f>IF($AN1521="",IF($B1521="","",$H1521),IF(INDEX(職員マスタ!$B$6:$B$405,$AN1521)="",$H1521,INDEX(職員マスタ!$B$6:$B$405,$AN1521)))</f>
        <v/>
      </c>
      <c r="W1521" s="14">
        <f>IF($AN1521="",IF($B1521="","",$R1521),IF(INDEX(職員マスタ!$C$6:$C$405,$AN1521)="",$R1521,INDEX(職員マスタ!$C$6:$C$405,$AN1521)))</f>
        <v/>
      </c>
      <c r="X1521" s="14">
        <f>IF($AO1521="","","R"&amp;$C1521&amp;"."&amp;$D1521)</f>
        <v/>
      </c>
      <c r="Y1521" s="15">
        <f>IF($AN1521="","",IF(INDEX(職員マスタ!$K$6:$K$405,$AN1521)="","",INDEX(職員マスタ!$K$6:$K$405,$AN1521)))</f>
        <v/>
      </c>
      <c r="Z1521" s="14">
        <f>IF(OR($E1521="",$Y1521=""),"",IF($E1521&gt;=$Y1521,"×",IF($E1521&gt;=$Y1521*設定!$C$5,"△","○")))</f>
        <v/>
      </c>
      <c r="AA1521" s="15">
        <f>IF($Z1521="","",IF($Z1521="×",0,IF($Z1521="○",ROUNDDOWN($E1521*設定!$C$4,0),ROUNDDOWN($E1521*ROUND((9*$Y1521-9*$E1521)/(10*$E1521),4),0))))</f>
        <v/>
      </c>
      <c r="AB1521" s="13" t="n"/>
      <c r="AC1521" s="15">
        <f>IF($B1521="","",IF($AB1521&lt;&gt;"",$AB1521,IF($AA1521="","",IF($AA1521&lt;=設定!$C$3,0,$AA1521))))</f>
        <v/>
      </c>
      <c r="AD1521" s="14">
        <f>IF($B1521="","",IF(AND($AE1521&lt;&gt;"",$AG1521="",$AJ1521=""),"保留中",IF($AJ1521&lt;&gt;"",IF(N($AC1521)&gt;0,"支給済","不支給"),IF($AC1521="","要確認",IF($AC1521=0,"不支給","未処理")))))</f>
        <v/>
      </c>
      <c r="AE1521" s="12" t="n"/>
      <c r="AF1521" s="11" t="n"/>
      <c r="AG1521" s="11" t="n"/>
      <c r="AH1521" s="11" t="n"/>
      <c r="AI1521" s="14">
        <f>IF(AND($AD1521="保留中",$AF1521&lt;&gt;""),TODAY()-$AF1521,"")</f>
        <v/>
      </c>
      <c r="AJ1521" s="12" t="n"/>
      <c r="AK1521" s="14">
        <f>IF($B1521="","",IF($AO1521="","対象年月が未入力／","")&amp;IF($B1521="","",IF($AN1521="","職員マスタに未登録の職員番号／",IF($Y1521="","標準報酬月額が未登録／","")&amp;IF(AND($AO1521&lt;&gt;"",OR(AND(INDEX(職員マスタ!$G$6:$G$405,$AN1521)&lt;&gt;"",INDEX(職員マスタ!$G$6:$G$405,$AN1521)&gt;EOMONTH($AO1521,0)),AND(INDEX(職員マスタ!$H$6:$H$405,$AN1521)&lt;&gt;"",INDEX(職員マスタ!$H$6:$H$405,$AN1521)&lt;$AO1521))),"対象月が時短期間外／","")&amp;IF(AND(INDEX(職員マスタ!$F$6:$F$405,$AN1521)&lt;&gt;"",$AO1521&lt;&gt;"",INDEX(職員マスタ!$F$6:$F$405,$AN1521)&lt;$AO1521),"対象月に子が2歳到達済／","")&amp;IF(AND($H1521&lt;&gt;"",INDEX(職員マスタ!$B$6:$B$405,$AN1521)&lt;&gt;"",SUBSTITUTE(SUBSTITUTE($H1521," ","")," ","")&lt;&gt;SUBSTITUTE(SUBSTITUTE(INDEX(職員マスタ!$B$6:$B$405,$AN1521)," ","")," ","")),"氏名がマスタと相違／","")&amp;IF(AND($Q1521&lt;&gt;"",INDEX(職員マスタ!$E$6:$E$405,$AN1521)&lt;&gt;"",$Q1521&lt;&gt;INDEX(職員マスタ!$E$6:$E$405,$AN1521)),"子の生年月日がマスタと相違／","")&amp;IF(AND($L1521&lt;&gt;"",INDEX(職員マスタ!$G$6:$G$405,$AN1521)&lt;&gt;"",$L1521&lt;&gt;INDEX(職員マスタ!$G$6:$G$405,$AN1521)),"時短開始日がマスタと相違／","")&amp;IF(AND($M1521&lt;&gt;"",INDEX(職員マスタ!$H$6:$H$405,$AN1521)&lt;&gt;"",$M1521&lt;&gt;INDEX(職員マスタ!$H$6:$H$405,$AN1521)),"時短終了日がマスタと相違／","")))&amp;IF(AND($B1521&lt;&gt;"",$E1521=""),"報酬額が未入力／","")&amp;IF(N($U1521)&gt;0,"申請書に入力エラーが残っています／","")&amp;IF(AND($B1521&lt;&gt;"",$AO1521&lt;&gt;""),IF(COUNTIFS($B$6:$B$3005,$B1521,$C$6:$C$3005,$C1521,$D$6:$D$3005,$D1521)&gt;1,"同じ月の請求が重複しています／",""),"")&amp;IF(AND(N($E1521)&gt;0,$Z1521&lt;&gt;"",$Z1521&lt;&gt;"×",$AC1521=0,$AB1521=""),"計算額が下限以下のため不支給／",""))</f>
        <v/>
      </c>
      <c r="AL1521" s="12" t="n"/>
      <c r="AM1521" s="14">
        <f>IF($AD1521="保留中",COUNTIF($AD$6:$AD1521,"保留中"),"")</f>
        <v/>
      </c>
      <c r="AN1521" s="14">
        <f>IF($AO1521="","",IF(SUMPRODUCT(MAX((職員マスタ!$A$6:$A$405=$B1521)*(((職員マスタ!$G$6:$G$405="")+(職員マスタ!$G$6:$G$405&lt;=EOMONTH($AO1521,0)))&gt;0)*(((職員マスタ!$H$6:$H$405="")+(職員マスタ!$H$6:$H$405&gt;=$AO1521))&gt;0)*(ROW(職員マスタ!$A$6:$A$405)-5)))&gt;0,SUMPRODUCT(MAX((職員マスタ!$A$6:$A$405=$B1521)*(((職員マスタ!$G$6:$G$405="")+(職員マスタ!$G$6:$G$405&lt;=EOMONTH($AO1521,0)))&gt;0)*(((職員マスタ!$H$6:$H$405="")+(職員マスタ!$H$6:$H$405&gt;=$AO1521))&gt;0)*(ROW(職員マスタ!$A$6:$A$405)-5))),IFERROR(MATCH($B1521,職員マスタ!$A$6:$A$405,0),"")))</f>
        <v/>
      </c>
      <c r="AO1521" s="16">
        <f>IF(OR($B1521="",$C1521="",$D1521=""),"",DATE($C1521+2018,$D1521,1))</f>
        <v/>
      </c>
    </row>
    <row r="1522">
      <c r="A1522" s="11" t="n"/>
      <c r="B1522" s="12" t="n"/>
      <c r="C1522" s="12" t="n"/>
      <c r="D1522" s="12" t="n"/>
      <c r="E1522" s="13" t="n"/>
      <c r="F1522" s="12" t="n"/>
      <c r="G1522" s="13" t="n"/>
      <c r="H1522" s="12" t="n"/>
      <c r="I1522" s="12" t="n"/>
      <c r="J1522" s="12" t="n"/>
      <c r="K1522" s="12" t="n"/>
      <c r="L1522" s="11" t="n"/>
      <c r="M1522" s="11" t="n"/>
      <c r="N1522" s="11" t="n"/>
      <c r="O1522" s="11" t="n"/>
      <c r="P1522" s="12" t="n"/>
      <c r="Q1522" s="11" t="n"/>
      <c r="R1522" s="12" t="n"/>
      <c r="S1522" s="11" t="n"/>
      <c r="T1522" s="12" t="n"/>
      <c r="U1522" s="12" t="n"/>
      <c r="V1522" s="14">
        <f>IF($AN1522="",IF($B1522="","",$H1522),IF(INDEX(職員マスタ!$B$6:$B$405,$AN1522)="",$H1522,INDEX(職員マスタ!$B$6:$B$405,$AN1522)))</f>
        <v/>
      </c>
      <c r="W1522" s="14">
        <f>IF($AN1522="",IF($B1522="","",$R1522),IF(INDEX(職員マスタ!$C$6:$C$405,$AN1522)="",$R1522,INDEX(職員マスタ!$C$6:$C$405,$AN1522)))</f>
        <v/>
      </c>
      <c r="X1522" s="14">
        <f>IF($AO1522="","","R"&amp;$C1522&amp;"."&amp;$D1522)</f>
        <v/>
      </c>
      <c r="Y1522" s="15">
        <f>IF($AN1522="","",IF(INDEX(職員マスタ!$K$6:$K$405,$AN1522)="","",INDEX(職員マスタ!$K$6:$K$405,$AN1522)))</f>
        <v/>
      </c>
      <c r="Z1522" s="14">
        <f>IF(OR($E1522="",$Y1522=""),"",IF($E1522&gt;=$Y1522,"×",IF($E1522&gt;=$Y1522*設定!$C$5,"△","○")))</f>
        <v/>
      </c>
      <c r="AA1522" s="15">
        <f>IF($Z1522="","",IF($Z1522="×",0,IF($Z1522="○",ROUNDDOWN($E1522*設定!$C$4,0),ROUNDDOWN($E1522*ROUND((9*$Y1522-9*$E1522)/(10*$E1522),4),0))))</f>
        <v/>
      </c>
      <c r="AB1522" s="13" t="n"/>
      <c r="AC1522" s="15">
        <f>IF($B1522="","",IF($AB1522&lt;&gt;"",$AB1522,IF($AA1522="","",IF($AA1522&lt;=設定!$C$3,0,$AA1522))))</f>
        <v/>
      </c>
      <c r="AD1522" s="14">
        <f>IF($B1522="","",IF(AND($AE1522&lt;&gt;"",$AG1522="",$AJ1522=""),"保留中",IF($AJ1522&lt;&gt;"",IF(N($AC1522)&gt;0,"支給済","不支給"),IF($AC1522="","要確認",IF($AC1522=0,"不支給","未処理")))))</f>
        <v/>
      </c>
      <c r="AE1522" s="12" t="n"/>
      <c r="AF1522" s="11" t="n"/>
      <c r="AG1522" s="11" t="n"/>
      <c r="AH1522" s="11" t="n"/>
      <c r="AI1522" s="14">
        <f>IF(AND($AD1522="保留中",$AF1522&lt;&gt;""),TODAY()-$AF1522,"")</f>
        <v/>
      </c>
      <c r="AJ1522" s="12" t="n"/>
      <c r="AK1522" s="14">
        <f>IF($B1522="","",IF($AO1522="","対象年月が未入力／","")&amp;IF($B1522="","",IF($AN1522="","職員マスタに未登録の職員番号／",IF($Y1522="","標準報酬月額が未登録／","")&amp;IF(AND($AO1522&lt;&gt;"",OR(AND(INDEX(職員マスタ!$G$6:$G$405,$AN1522)&lt;&gt;"",INDEX(職員マスタ!$G$6:$G$405,$AN1522)&gt;EOMONTH($AO1522,0)),AND(INDEX(職員マスタ!$H$6:$H$405,$AN1522)&lt;&gt;"",INDEX(職員マスタ!$H$6:$H$405,$AN1522)&lt;$AO1522))),"対象月が時短期間外／","")&amp;IF(AND(INDEX(職員マスタ!$F$6:$F$405,$AN1522)&lt;&gt;"",$AO1522&lt;&gt;"",INDEX(職員マスタ!$F$6:$F$405,$AN1522)&lt;$AO1522),"対象月に子が2歳到達済／","")&amp;IF(AND($H1522&lt;&gt;"",INDEX(職員マスタ!$B$6:$B$405,$AN1522)&lt;&gt;"",SUBSTITUTE(SUBSTITUTE($H1522," ","")," ","")&lt;&gt;SUBSTITUTE(SUBSTITUTE(INDEX(職員マスタ!$B$6:$B$405,$AN1522)," ","")," ","")),"氏名がマスタと相違／","")&amp;IF(AND($Q1522&lt;&gt;"",INDEX(職員マスタ!$E$6:$E$405,$AN1522)&lt;&gt;"",$Q1522&lt;&gt;INDEX(職員マスタ!$E$6:$E$405,$AN1522)),"子の生年月日がマスタと相違／","")&amp;IF(AND($L1522&lt;&gt;"",INDEX(職員マスタ!$G$6:$G$405,$AN1522)&lt;&gt;"",$L1522&lt;&gt;INDEX(職員マスタ!$G$6:$G$405,$AN1522)),"時短開始日がマスタと相違／","")&amp;IF(AND($M1522&lt;&gt;"",INDEX(職員マスタ!$H$6:$H$405,$AN1522)&lt;&gt;"",$M1522&lt;&gt;INDEX(職員マスタ!$H$6:$H$405,$AN1522)),"時短終了日がマスタと相違／","")))&amp;IF(AND($B1522&lt;&gt;"",$E1522=""),"報酬額が未入力／","")&amp;IF(N($U1522)&gt;0,"申請書に入力エラーが残っています／","")&amp;IF(AND($B1522&lt;&gt;"",$AO1522&lt;&gt;""),IF(COUNTIFS($B$6:$B$3005,$B1522,$C$6:$C$3005,$C1522,$D$6:$D$3005,$D1522)&gt;1,"同じ月の請求が重複しています／",""),"")&amp;IF(AND(N($E1522)&gt;0,$Z1522&lt;&gt;"",$Z1522&lt;&gt;"×",$AC1522=0,$AB1522=""),"計算額が下限以下のため不支給／",""))</f>
        <v/>
      </c>
      <c r="AL1522" s="12" t="n"/>
      <c r="AM1522" s="14">
        <f>IF($AD1522="保留中",COUNTIF($AD$6:$AD1522,"保留中"),"")</f>
        <v/>
      </c>
      <c r="AN1522" s="14">
        <f>IF($AO1522="","",IF(SUMPRODUCT(MAX((職員マスタ!$A$6:$A$405=$B1522)*(((職員マスタ!$G$6:$G$405="")+(職員マスタ!$G$6:$G$405&lt;=EOMONTH($AO1522,0)))&gt;0)*(((職員マスタ!$H$6:$H$405="")+(職員マスタ!$H$6:$H$405&gt;=$AO1522))&gt;0)*(ROW(職員マスタ!$A$6:$A$405)-5)))&gt;0,SUMPRODUCT(MAX((職員マスタ!$A$6:$A$405=$B1522)*(((職員マスタ!$G$6:$G$405="")+(職員マスタ!$G$6:$G$405&lt;=EOMONTH($AO1522,0)))&gt;0)*(((職員マスタ!$H$6:$H$405="")+(職員マスタ!$H$6:$H$405&gt;=$AO1522))&gt;0)*(ROW(職員マスタ!$A$6:$A$405)-5))),IFERROR(MATCH($B1522,職員マスタ!$A$6:$A$405,0),"")))</f>
        <v/>
      </c>
      <c r="AO1522" s="16">
        <f>IF(OR($B1522="",$C1522="",$D1522=""),"",DATE($C1522+2018,$D1522,1))</f>
        <v/>
      </c>
    </row>
    <row r="1523">
      <c r="A1523" s="11" t="n"/>
      <c r="B1523" s="12" t="n"/>
      <c r="C1523" s="12" t="n"/>
      <c r="D1523" s="12" t="n"/>
      <c r="E1523" s="13" t="n"/>
      <c r="F1523" s="12" t="n"/>
      <c r="G1523" s="13" t="n"/>
      <c r="H1523" s="12" t="n"/>
      <c r="I1523" s="12" t="n"/>
      <c r="J1523" s="12" t="n"/>
      <c r="K1523" s="12" t="n"/>
      <c r="L1523" s="11" t="n"/>
      <c r="M1523" s="11" t="n"/>
      <c r="N1523" s="11" t="n"/>
      <c r="O1523" s="11" t="n"/>
      <c r="P1523" s="12" t="n"/>
      <c r="Q1523" s="11" t="n"/>
      <c r="R1523" s="12" t="n"/>
      <c r="S1523" s="11" t="n"/>
      <c r="T1523" s="12" t="n"/>
      <c r="U1523" s="12" t="n"/>
      <c r="V1523" s="14">
        <f>IF($AN1523="",IF($B1523="","",$H1523),IF(INDEX(職員マスタ!$B$6:$B$405,$AN1523)="",$H1523,INDEX(職員マスタ!$B$6:$B$405,$AN1523)))</f>
        <v/>
      </c>
      <c r="W1523" s="14">
        <f>IF($AN1523="",IF($B1523="","",$R1523),IF(INDEX(職員マスタ!$C$6:$C$405,$AN1523)="",$R1523,INDEX(職員マスタ!$C$6:$C$405,$AN1523)))</f>
        <v/>
      </c>
      <c r="X1523" s="14">
        <f>IF($AO1523="","","R"&amp;$C1523&amp;"."&amp;$D1523)</f>
        <v/>
      </c>
      <c r="Y1523" s="15">
        <f>IF($AN1523="","",IF(INDEX(職員マスタ!$K$6:$K$405,$AN1523)="","",INDEX(職員マスタ!$K$6:$K$405,$AN1523)))</f>
        <v/>
      </c>
      <c r="Z1523" s="14">
        <f>IF(OR($E1523="",$Y1523=""),"",IF($E1523&gt;=$Y1523,"×",IF($E1523&gt;=$Y1523*設定!$C$5,"△","○")))</f>
        <v/>
      </c>
      <c r="AA1523" s="15">
        <f>IF($Z1523="","",IF($Z1523="×",0,IF($Z1523="○",ROUNDDOWN($E1523*設定!$C$4,0),ROUNDDOWN($E1523*ROUND((9*$Y1523-9*$E1523)/(10*$E1523),4),0))))</f>
        <v/>
      </c>
      <c r="AB1523" s="13" t="n"/>
      <c r="AC1523" s="15">
        <f>IF($B1523="","",IF($AB1523&lt;&gt;"",$AB1523,IF($AA1523="","",IF($AA1523&lt;=設定!$C$3,0,$AA1523))))</f>
        <v/>
      </c>
      <c r="AD1523" s="14">
        <f>IF($B1523="","",IF(AND($AE1523&lt;&gt;"",$AG1523="",$AJ1523=""),"保留中",IF($AJ1523&lt;&gt;"",IF(N($AC1523)&gt;0,"支給済","不支給"),IF($AC1523="","要確認",IF($AC1523=0,"不支給","未処理")))))</f>
        <v/>
      </c>
      <c r="AE1523" s="12" t="n"/>
      <c r="AF1523" s="11" t="n"/>
      <c r="AG1523" s="11" t="n"/>
      <c r="AH1523" s="11" t="n"/>
      <c r="AI1523" s="14">
        <f>IF(AND($AD1523="保留中",$AF1523&lt;&gt;""),TODAY()-$AF1523,"")</f>
        <v/>
      </c>
      <c r="AJ1523" s="12" t="n"/>
      <c r="AK1523" s="14">
        <f>IF($B1523="","",IF($AO1523="","対象年月が未入力／","")&amp;IF($B1523="","",IF($AN1523="","職員マスタに未登録の職員番号／",IF($Y1523="","標準報酬月額が未登録／","")&amp;IF(AND($AO1523&lt;&gt;"",OR(AND(INDEX(職員マスタ!$G$6:$G$405,$AN1523)&lt;&gt;"",INDEX(職員マスタ!$G$6:$G$405,$AN1523)&gt;EOMONTH($AO1523,0)),AND(INDEX(職員マスタ!$H$6:$H$405,$AN1523)&lt;&gt;"",INDEX(職員マスタ!$H$6:$H$405,$AN1523)&lt;$AO1523))),"対象月が時短期間外／","")&amp;IF(AND(INDEX(職員マスタ!$F$6:$F$405,$AN1523)&lt;&gt;"",$AO1523&lt;&gt;"",INDEX(職員マスタ!$F$6:$F$405,$AN1523)&lt;$AO1523),"対象月に子が2歳到達済／","")&amp;IF(AND($H1523&lt;&gt;"",INDEX(職員マスタ!$B$6:$B$405,$AN1523)&lt;&gt;"",SUBSTITUTE(SUBSTITUTE($H1523," ","")," ","")&lt;&gt;SUBSTITUTE(SUBSTITUTE(INDEX(職員マスタ!$B$6:$B$405,$AN1523)," ","")," ","")),"氏名がマスタと相違／","")&amp;IF(AND($Q1523&lt;&gt;"",INDEX(職員マスタ!$E$6:$E$405,$AN1523)&lt;&gt;"",$Q1523&lt;&gt;INDEX(職員マスタ!$E$6:$E$405,$AN1523)),"子の生年月日がマスタと相違／","")&amp;IF(AND($L1523&lt;&gt;"",INDEX(職員マスタ!$G$6:$G$405,$AN1523)&lt;&gt;"",$L1523&lt;&gt;INDEX(職員マスタ!$G$6:$G$405,$AN1523)),"時短開始日がマスタと相違／","")&amp;IF(AND($M1523&lt;&gt;"",INDEX(職員マスタ!$H$6:$H$405,$AN1523)&lt;&gt;"",$M1523&lt;&gt;INDEX(職員マスタ!$H$6:$H$405,$AN1523)),"時短終了日がマスタと相違／","")))&amp;IF(AND($B1523&lt;&gt;"",$E1523=""),"報酬額が未入力／","")&amp;IF(N($U1523)&gt;0,"申請書に入力エラーが残っています／","")&amp;IF(AND($B1523&lt;&gt;"",$AO1523&lt;&gt;""),IF(COUNTIFS($B$6:$B$3005,$B1523,$C$6:$C$3005,$C1523,$D$6:$D$3005,$D1523)&gt;1,"同じ月の請求が重複しています／",""),"")&amp;IF(AND(N($E1523)&gt;0,$Z1523&lt;&gt;"",$Z1523&lt;&gt;"×",$AC1523=0,$AB1523=""),"計算額が下限以下のため不支給／",""))</f>
        <v/>
      </c>
      <c r="AL1523" s="12" t="n"/>
      <c r="AM1523" s="14">
        <f>IF($AD1523="保留中",COUNTIF($AD$6:$AD1523,"保留中"),"")</f>
        <v/>
      </c>
      <c r="AN1523" s="14">
        <f>IF($AO1523="","",IF(SUMPRODUCT(MAX((職員マスタ!$A$6:$A$405=$B1523)*(((職員マスタ!$G$6:$G$405="")+(職員マスタ!$G$6:$G$405&lt;=EOMONTH($AO1523,0)))&gt;0)*(((職員マスタ!$H$6:$H$405="")+(職員マスタ!$H$6:$H$405&gt;=$AO1523))&gt;0)*(ROW(職員マスタ!$A$6:$A$405)-5)))&gt;0,SUMPRODUCT(MAX((職員マスタ!$A$6:$A$405=$B1523)*(((職員マスタ!$G$6:$G$405="")+(職員マスタ!$G$6:$G$405&lt;=EOMONTH($AO1523,0)))&gt;0)*(((職員マスタ!$H$6:$H$405="")+(職員マスタ!$H$6:$H$405&gt;=$AO1523))&gt;0)*(ROW(職員マスタ!$A$6:$A$405)-5))),IFERROR(MATCH($B1523,職員マスタ!$A$6:$A$405,0),"")))</f>
        <v/>
      </c>
      <c r="AO1523" s="16">
        <f>IF(OR($B1523="",$C1523="",$D1523=""),"",DATE($C1523+2018,$D1523,1))</f>
        <v/>
      </c>
    </row>
    <row r="1524">
      <c r="A1524" s="11" t="n"/>
      <c r="B1524" s="12" t="n"/>
      <c r="C1524" s="12" t="n"/>
      <c r="D1524" s="12" t="n"/>
      <c r="E1524" s="13" t="n"/>
      <c r="F1524" s="12" t="n"/>
      <c r="G1524" s="13" t="n"/>
      <c r="H1524" s="12" t="n"/>
      <c r="I1524" s="12" t="n"/>
      <c r="J1524" s="12" t="n"/>
      <c r="K1524" s="12" t="n"/>
      <c r="L1524" s="11" t="n"/>
      <c r="M1524" s="11" t="n"/>
      <c r="N1524" s="11" t="n"/>
      <c r="O1524" s="11" t="n"/>
      <c r="P1524" s="12" t="n"/>
      <c r="Q1524" s="11" t="n"/>
      <c r="R1524" s="12" t="n"/>
      <c r="S1524" s="11" t="n"/>
      <c r="T1524" s="12" t="n"/>
      <c r="U1524" s="12" t="n"/>
      <c r="V1524" s="14">
        <f>IF($AN1524="",IF($B1524="","",$H1524),IF(INDEX(職員マスタ!$B$6:$B$405,$AN1524)="",$H1524,INDEX(職員マスタ!$B$6:$B$405,$AN1524)))</f>
        <v/>
      </c>
      <c r="W1524" s="14">
        <f>IF($AN1524="",IF($B1524="","",$R1524),IF(INDEX(職員マスタ!$C$6:$C$405,$AN1524)="",$R1524,INDEX(職員マスタ!$C$6:$C$405,$AN1524)))</f>
        <v/>
      </c>
      <c r="X1524" s="14">
        <f>IF($AO1524="","","R"&amp;$C1524&amp;"."&amp;$D1524)</f>
        <v/>
      </c>
      <c r="Y1524" s="15">
        <f>IF($AN1524="","",IF(INDEX(職員マスタ!$K$6:$K$405,$AN1524)="","",INDEX(職員マスタ!$K$6:$K$405,$AN1524)))</f>
        <v/>
      </c>
      <c r="Z1524" s="14">
        <f>IF(OR($E1524="",$Y1524=""),"",IF($E1524&gt;=$Y1524,"×",IF($E1524&gt;=$Y1524*設定!$C$5,"△","○")))</f>
        <v/>
      </c>
      <c r="AA1524" s="15">
        <f>IF($Z1524="","",IF($Z1524="×",0,IF($Z1524="○",ROUNDDOWN($E1524*設定!$C$4,0),ROUNDDOWN($E1524*ROUND((9*$Y1524-9*$E1524)/(10*$E1524),4),0))))</f>
        <v/>
      </c>
      <c r="AB1524" s="13" t="n"/>
      <c r="AC1524" s="15">
        <f>IF($B1524="","",IF($AB1524&lt;&gt;"",$AB1524,IF($AA1524="","",IF($AA1524&lt;=設定!$C$3,0,$AA1524))))</f>
        <v/>
      </c>
      <c r="AD1524" s="14">
        <f>IF($B1524="","",IF(AND($AE1524&lt;&gt;"",$AG1524="",$AJ1524=""),"保留中",IF($AJ1524&lt;&gt;"",IF(N($AC1524)&gt;0,"支給済","不支給"),IF($AC1524="","要確認",IF($AC1524=0,"不支給","未処理")))))</f>
        <v/>
      </c>
      <c r="AE1524" s="12" t="n"/>
      <c r="AF1524" s="11" t="n"/>
      <c r="AG1524" s="11" t="n"/>
      <c r="AH1524" s="11" t="n"/>
      <c r="AI1524" s="14">
        <f>IF(AND($AD1524="保留中",$AF1524&lt;&gt;""),TODAY()-$AF1524,"")</f>
        <v/>
      </c>
      <c r="AJ1524" s="12" t="n"/>
      <c r="AK1524" s="14">
        <f>IF($B1524="","",IF($AO1524="","対象年月が未入力／","")&amp;IF($B1524="","",IF($AN1524="","職員マスタに未登録の職員番号／",IF($Y1524="","標準報酬月額が未登録／","")&amp;IF(AND($AO1524&lt;&gt;"",OR(AND(INDEX(職員マスタ!$G$6:$G$405,$AN1524)&lt;&gt;"",INDEX(職員マスタ!$G$6:$G$405,$AN1524)&gt;EOMONTH($AO1524,0)),AND(INDEX(職員マスタ!$H$6:$H$405,$AN1524)&lt;&gt;"",INDEX(職員マスタ!$H$6:$H$405,$AN1524)&lt;$AO1524))),"対象月が時短期間外／","")&amp;IF(AND(INDEX(職員マスタ!$F$6:$F$405,$AN1524)&lt;&gt;"",$AO1524&lt;&gt;"",INDEX(職員マスタ!$F$6:$F$405,$AN1524)&lt;$AO1524),"対象月に子が2歳到達済／","")&amp;IF(AND($H1524&lt;&gt;"",INDEX(職員マスタ!$B$6:$B$405,$AN1524)&lt;&gt;"",SUBSTITUTE(SUBSTITUTE($H1524," ","")," ","")&lt;&gt;SUBSTITUTE(SUBSTITUTE(INDEX(職員マスタ!$B$6:$B$405,$AN1524)," ","")," ","")),"氏名がマスタと相違／","")&amp;IF(AND($Q1524&lt;&gt;"",INDEX(職員マスタ!$E$6:$E$405,$AN1524)&lt;&gt;"",$Q1524&lt;&gt;INDEX(職員マスタ!$E$6:$E$405,$AN1524)),"子の生年月日がマスタと相違／","")&amp;IF(AND($L1524&lt;&gt;"",INDEX(職員マスタ!$G$6:$G$405,$AN1524)&lt;&gt;"",$L1524&lt;&gt;INDEX(職員マスタ!$G$6:$G$405,$AN1524)),"時短開始日がマスタと相違／","")&amp;IF(AND($M1524&lt;&gt;"",INDEX(職員マスタ!$H$6:$H$405,$AN1524)&lt;&gt;"",$M1524&lt;&gt;INDEX(職員マスタ!$H$6:$H$405,$AN1524)),"時短終了日がマスタと相違／","")))&amp;IF(AND($B1524&lt;&gt;"",$E1524=""),"報酬額が未入力／","")&amp;IF(N($U1524)&gt;0,"申請書に入力エラーが残っています／","")&amp;IF(AND($B1524&lt;&gt;"",$AO1524&lt;&gt;""),IF(COUNTIFS($B$6:$B$3005,$B1524,$C$6:$C$3005,$C1524,$D$6:$D$3005,$D1524)&gt;1,"同じ月の請求が重複しています／",""),"")&amp;IF(AND(N($E1524)&gt;0,$Z1524&lt;&gt;"",$Z1524&lt;&gt;"×",$AC1524=0,$AB1524=""),"計算額が下限以下のため不支給／",""))</f>
        <v/>
      </c>
      <c r="AL1524" s="12" t="n"/>
      <c r="AM1524" s="14">
        <f>IF($AD1524="保留中",COUNTIF($AD$6:$AD1524,"保留中"),"")</f>
        <v/>
      </c>
      <c r="AN1524" s="14">
        <f>IF($AO1524="","",IF(SUMPRODUCT(MAX((職員マスタ!$A$6:$A$405=$B1524)*(((職員マスタ!$G$6:$G$405="")+(職員マスタ!$G$6:$G$405&lt;=EOMONTH($AO1524,0)))&gt;0)*(((職員マスタ!$H$6:$H$405="")+(職員マスタ!$H$6:$H$405&gt;=$AO1524))&gt;0)*(ROW(職員マスタ!$A$6:$A$405)-5)))&gt;0,SUMPRODUCT(MAX((職員マスタ!$A$6:$A$405=$B1524)*(((職員マスタ!$G$6:$G$405="")+(職員マスタ!$G$6:$G$405&lt;=EOMONTH($AO1524,0)))&gt;0)*(((職員マスタ!$H$6:$H$405="")+(職員マスタ!$H$6:$H$405&gt;=$AO1524))&gt;0)*(ROW(職員マスタ!$A$6:$A$405)-5))),IFERROR(MATCH($B1524,職員マスタ!$A$6:$A$405,0),"")))</f>
        <v/>
      </c>
      <c r="AO1524" s="16">
        <f>IF(OR($B1524="",$C1524="",$D1524=""),"",DATE($C1524+2018,$D1524,1))</f>
        <v/>
      </c>
    </row>
    <row r="1525">
      <c r="A1525" s="11" t="n"/>
      <c r="B1525" s="12" t="n"/>
      <c r="C1525" s="12" t="n"/>
      <c r="D1525" s="12" t="n"/>
      <c r="E1525" s="13" t="n"/>
      <c r="F1525" s="12" t="n"/>
      <c r="G1525" s="13" t="n"/>
      <c r="H1525" s="12" t="n"/>
      <c r="I1525" s="12" t="n"/>
      <c r="J1525" s="12" t="n"/>
      <c r="K1525" s="12" t="n"/>
      <c r="L1525" s="11" t="n"/>
      <c r="M1525" s="11" t="n"/>
      <c r="N1525" s="11" t="n"/>
      <c r="O1525" s="11" t="n"/>
      <c r="P1525" s="12" t="n"/>
      <c r="Q1525" s="11" t="n"/>
      <c r="R1525" s="12" t="n"/>
      <c r="S1525" s="11" t="n"/>
      <c r="T1525" s="12" t="n"/>
      <c r="U1525" s="12" t="n"/>
      <c r="V1525" s="14">
        <f>IF($AN1525="",IF($B1525="","",$H1525),IF(INDEX(職員マスタ!$B$6:$B$405,$AN1525)="",$H1525,INDEX(職員マスタ!$B$6:$B$405,$AN1525)))</f>
        <v/>
      </c>
      <c r="W1525" s="14">
        <f>IF($AN1525="",IF($B1525="","",$R1525),IF(INDEX(職員マスタ!$C$6:$C$405,$AN1525)="",$R1525,INDEX(職員マスタ!$C$6:$C$405,$AN1525)))</f>
        <v/>
      </c>
      <c r="X1525" s="14">
        <f>IF($AO1525="","","R"&amp;$C1525&amp;"."&amp;$D1525)</f>
        <v/>
      </c>
      <c r="Y1525" s="15">
        <f>IF($AN1525="","",IF(INDEX(職員マスタ!$K$6:$K$405,$AN1525)="","",INDEX(職員マスタ!$K$6:$K$405,$AN1525)))</f>
        <v/>
      </c>
      <c r="Z1525" s="14">
        <f>IF(OR($E1525="",$Y1525=""),"",IF($E1525&gt;=$Y1525,"×",IF($E1525&gt;=$Y1525*設定!$C$5,"△","○")))</f>
        <v/>
      </c>
      <c r="AA1525" s="15">
        <f>IF($Z1525="","",IF($Z1525="×",0,IF($Z1525="○",ROUNDDOWN($E1525*設定!$C$4,0),ROUNDDOWN($E1525*ROUND((9*$Y1525-9*$E1525)/(10*$E1525),4),0))))</f>
        <v/>
      </c>
      <c r="AB1525" s="13" t="n"/>
      <c r="AC1525" s="15">
        <f>IF($B1525="","",IF($AB1525&lt;&gt;"",$AB1525,IF($AA1525="","",IF($AA1525&lt;=設定!$C$3,0,$AA1525))))</f>
        <v/>
      </c>
      <c r="AD1525" s="14">
        <f>IF($B1525="","",IF(AND($AE1525&lt;&gt;"",$AG1525="",$AJ1525=""),"保留中",IF($AJ1525&lt;&gt;"",IF(N($AC1525)&gt;0,"支給済","不支給"),IF($AC1525="","要確認",IF($AC1525=0,"不支給","未処理")))))</f>
        <v/>
      </c>
      <c r="AE1525" s="12" t="n"/>
      <c r="AF1525" s="11" t="n"/>
      <c r="AG1525" s="11" t="n"/>
      <c r="AH1525" s="11" t="n"/>
      <c r="AI1525" s="14">
        <f>IF(AND($AD1525="保留中",$AF1525&lt;&gt;""),TODAY()-$AF1525,"")</f>
        <v/>
      </c>
      <c r="AJ1525" s="12" t="n"/>
      <c r="AK1525" s="14">
        <f>IF($B1525="","",IF($AO1525="","対象年月が未入力／","")&amp;IF($B1525="","",IF($AN1525="","職員マスタに未登録の職員番号／",IF($Y1525="","標準報酬月額が未登録／","")&amp;IF(AND($AO1525&lt;&gt;"",OR(AND(INDEX(職員マスタ!$G$6:$G$405,$AN1525)&lt;&gt;"",INDEX(職員マスタ!$G$6:$G$405,$AN1525)&gt;EOMONTH($AO1525,0)),AND(INDEX(職員マスタ!$H$6:$H$405,$AN1525)&lt;&gt;"",INDEX(職員マスタ!$H$6:$H$405,$AN1525)&lt;$AO1525))),"対象月が時短期間外／","")&amp;IF(AND(INDEX(職員マスタ!$F$6:$F$405,$AN1525)&lt;&gt;"",$AO1525&lt;&gt;"",INDEX(職員マスタ!$F$6:$F$405,$AN1525)&lt;$AO1525),"対象月に子が2歳到達済／","")&amp;IF(AND($H1525&lt;&gt;"",INDEX(職員マスタ!$B$6:$B$405,$AN1525)&lt;&gt;"",SUBSTITUTE(SUBSTITUTE($H1525," ","")," ","")&lt;&gt;SUBSTITUTE(SUBSTITUTE(INDEX(職員マスタ!$B$6:$B$405,$AN1525)," ","")," ","")),"氏名がマスタと相違／","")&amp;IF(AND($Q1525&lt;&gt;"",INDEX(職員マスタ!$E$6:$E$405,$AN1525)&lt;&gt;"",$Q1525&lt;&gt;INDEX(職員マスタ!$E$6:$E$405,$AN1525)),"子の生年月日がマスタと相違／","")&amp;IF(AND($L1525&lt;&gt;"",INDEX(職員マスタ!$G$6:$G$405,$AN1525)&lt;&gt;"",$L1525&lt;&gt;INDEX(職員マスタ!$G$6:$G$405,$AN1525)),"時短開始日がマスタと相違／","")&amp;IF(AND($M1525&lt;&gt;"",INDEX(職員マスタ!$H$6:$H$405,$AN1525)&lt;&gt;"",$M1525&lt;&gt;INDEX(職員マスタ!$H$6:$H$405,$AN1525)),"時短終了日がマスタと相違／","")))&amp;IF(AND($B1525&lt;&gt;"",$E1525=""),"報酬額が未入力／","")&amp;IF(N($U1525)&gt;0,"申請書に入力エラーが残っています／","")&amp;IF(AND($B1525&lt;&gt;"",$AO1525&lt;&gt;""),IF(COUNTIFS($B$6:$B$3005,$B1525,$C$6:$C$3005,$C1525,$D$6:$D$3005,$D1525)&gt;1,"同じ月の請求が重複しています／",""),"")&amp;IF(AND(N($E1525)&gt;0,$Z1525&lt;&gt;"",$Z1525&lt;&gt;"×",$AC1525=0,$AB1525=""),"計算額が下限以下のため不支給／",""))</f>
        <v/>
      </c>
      <c r="AL1525" s="12" t="n"/>
      <c r="AM1525" s="14">
        <f>IF($AD1525="保留中",COUNTIF($AD$6:$AD1525,"保留中"),"")</f>
        <v/>
      </c>
      <c r="AN1525" s="14">
        <f>IF($AO1525="","",IF(SUMPRODUCT(MAX((職員マスタ!$A$6:$A$405=$B1525)*(((職員マスタ!$G$6:$G$405="")+(職員マスタ!$G$6:$G$405&lt;=EOMONTH($AO1525,0)))&gt;0)*(((職員マスタ!$H$6:$H$405="")+(職員マスタ!$H$6:$H$405&gt;=$AO1525))&gt;0)*(ROW(職員マスタ!$A$6:$A$405)-5)))&gt;0,SUMPRODUCT(MAX((職員マスタ!$A$6:$A$405=$B1525)*(((職員マスタ!$G$6:$G$405="")+(職員マスタ!$G$6:$G$405&lt;=EOMONTH($AO1525,0)))&gt;0)*(((職員マスタ!$H$6:$H$405="")+(職員マスタ!$H$6:$H$405&gt;=$AO1525))&gt;0)*(ROW(職員マスタ!$A$6:$A$405)-5))),IFERROR(MATCH($B1525,職員マスタ!$A$6:$A$405,0),"")))</f>
        <v/>
      </c>
      <c r="AO1525" s="16">
        <f>IF(OR($B1525="",$C1525="",$D1525=""),"",DATE($C1525+2018,$D1525,1))</f>
        <v/>
      </c>
    </row>
    <row r="1526">
      <c r="A1526" s="11" t="n"/>
      <c r="B1526" s="12" t="n"/>
      <c r="C1526" s="12" t="n"/>
      <c r="D1526" s="12" t="n"/>
      <c r="E1526" s="13" t="n"/>
      <c r="F1526" s="12" t="n"/>
      <c r="G1526" s="13" t="n"/>
      <c r="H1526" s="12" t="n"/>
      <c r="I1526" s="12" t="n"/>
      <c r="J1526" s="12" t="n"/>
      <c r="K1526" s="12" t="n"/>
      <c r="L1526" s="11" t="n"/>
      <c r="M1526" s="11" t="n"/>
      <c r="N1526" s="11" t="n"/>
      <c r="O1526" s="11" t="n"/>
      <c r="P1526" s="12" t="n"/>
      <c r="Q1526" s="11" t="n"/>
      <c r="R1526" s="12" t="n"/>
      <c r="S1526" s="11" t="n"/>
      <c r="T1526" s="12" t="n"/>
      <c r="U1526" s="12" t="n"/>
      <c r="V1526" s="14">
        <f>IF($AN1526="",IF($B1526="","",$H1526),IF(INDEX(職員マスタ!$B$6:$B$405,$AN1526)="",$H1526,INDEX(職員マスタ!$B$6:$B$405,$AN1526)))</f>
        <v/>
      </c>
      <c r="W1526" s="14">
        <f>IF($AN1526="",IF($B1526="","",$R1526),IF(INDEX(職員マスタ!$C$6:$C$405,$AN1526)="",$R1526,INDEX(職員マスタ!$C$6:$C$405,$AN1526)))</f>
        <v/>
      </c>
      <c r="X1526" s="14">
        <f>IF($AO1526="","","R"&amp;$C1526&amp;"."&amp;$D1526)</f>
        <v/>
      </c>
      <c r="Y1526" s="15">
        <f>IF($AN1526="","",IF(INDEX(職員マスタ!$K$6:$K$405,$AN1526)="","",INDEX(職員マスタ!$K$6:$K$405,$AN1526)))</f>
        <v/>
      </c>
      <c r="Z1526" s="14">
        <f>IF(OR($E1526="",$Y1526=""),"",IF($E1526&gt;=$Y1526,"×",IF($E1526&gt;=$Y1526*設定!$C$5,"△","○")))</f>
        <v/>
      </c>
      <c r="AA1526" s="15">
        <f>IF($Z1526="","",IF($Z1526="×",0,IF($Z1526="○",ROUNDDOWN($E1526*設定!$C$4,0),ROUNDDOWN($E1526*ROUND((9*$Y1526-9*$E1526)/(10*$E1526),4),0))))</f>
        <v/>
      </c>
      <c r="AB1526" s="13" t="n"/>
      <c r="AC1526" s="15">
        <f>IF($B1526="","",IF($AB1526&lt;&gt;"",$AB1526,IF($AA1526="","",IF($AA1526&lt;=設定!$C$3,0,$AA1526))))</f>
        <v/>
      </c>
      <c r="AD1526" s="14">
        <f>IF($B1526="","",IF(AND($AE1526&lt;&gt;"",$AG1526="",$AJ1526=""),"保留中",IF($AJ1526&lt;&gt;"",IF(N($AC1526)&gt;0,"支給済","不支給"),IF($AC1526="","要確認",IF($AC1526=0,"不支給","未処理")))))</f>
        <v/>
      </c>
      <c r="AE1526" s="12" t="n"/>
      <c r="AF1526" s="11" t="n"/>
      <c r="AG1526" s="11" t="n"/>
      <c r="AH1526" s="11" t="n"/>
      <c r="AI1526" s="14">
        <f>IF(AND($AD1526="保留中",$AF1526&lt;&gt;""),TODAY()-$AF1526,"")</f>
        <v/>
      </c>
      <c r="AJ1526" s="12" t="n"/>
      <c r="AK1526" s="14">
        <f>IF($B1526="","",IF($AO1526="","対象年月が未入力／","")&amp;IF($B1526="","",IF($AN1526="","職員マスタに未登録の職員番号／",IF($Y1526="","標準報酬月額が未登録／","")&amp;IF(AND($AO1526&lt;&gt;"",OR(AND(INDEX(職員マスタ!$G$6:$G$405,$AN1526)&lt;&gt;"",INDEX(職員マスタ!$G$6:$G$405,$AN1526)&gt;EOMONTH($AO1526,0)),AND(INDEX(職員マスタ!$H$6:$H$405,$AN1526)&lt;&gt;"",INDEX(職員マスタ!$H$6:$H$405,$AN1526)&lt;$AO1526))),"対象月が時短期間外／","")&amp;IF(AND(INDEX(職員マスタ!$F$6:$F$405,$AN1526)&lt;&gt;"",$AO1526&lt;&gt;"",INDEX(職員マスタ!$F$6:$F$405,$AN1526)&lt;$AO1526),"対象月に子が2歳到達済／","")&amp;IF(AND($H1526&lt;&gt;"",INDEX(職員マスタ!$B$6:$B$405,$AN1526)&lt;&gt;"",SUBSTITUTE(SUBSTITUTE($H1526," ","")," ","")&lt;&gt;SUBSTITUTE(SUBSTITUTE(INDEX(職員マスタ!$B$6:$B$405,$AN1526)," ","")," ","")),"氏名がマスタと相違／","")&amp;IF(AND($Q1526&lt;&gt;"",INDEX(職員マスタ!$E$6:$E$405,$AN1526)&lt;&gt;"",$Q1526&lt;&gt;INDEX(職員マスタ!$E$6:$E$405,$AN1526)),"子の生年月日がマスタと相違／","")&amp;IF(AND($L1526&lt;&gt;"",INDEX(職員マスタ!$G$6:$G$405,$AN1526)&lt;&gt;"",$L1526&lt;&gt;INDEX(職員マスタ!$G$6:$G$405,$AN1526)),"時短開始日がマスタと相違／","")&amp;IF(AND($M1526&lt;&gt;"",INDEX(職員マスタ!$H$6:$H$405,$AN1526)&lt;&gt;"",$M1526&lt;&gt;INDEX(職員マスタ!$H$6:$H$405,$AN1526)),"時短終了日がマスタと相違／","")))&amp;IF(AND($B1526&lt;&gt;"",$E1526=""),"報酬額が未入力／","")&amp;IF(N($U1526)&gt;0,"申請書に入力エラーが残っています／","")&amp;IF(AND($B1526&lt;&gt;"",$AO1526&lt;&gt;""),IF(COUNTIFS($B$6:$B$3005,$B1526,$C$6:$C$3005,$C1526,$D$6:$D$3005,$D1526)&gt;1,"同じ月の請求が重複しています／",""),"")&amp;IF(AND(N($E1526)&gt;0,$Z1526&lt;&gt;"",$Z1526&lt;&gt;"×",$AC1526=0,$AB1526=""),"計算額が下限以下のため不支給／",""))</f>
        <v/>
      </c>
      <c r="AL1526" s="12" t="n"/>
      <c r="AM1526" s="14">
        <f>IF($AD1526="保留中",COUNTIF($AD$6:$AD1526,"保留中"),"")</f>
        <v/>
      </c>
      <c r="AN1526" s="14">
        <f>IF($AO1526="","",IF(SUMPRODUCT(MAX((職員マスタ!$A$6:$A$405=$B1526)*(((職員マスタ!$G$6:$G$405="")+(職員マスタ!$G$6:$G$405&lt;=EOMONTH($AO1526,0)))&gt;0)*(((職員マスタ!$H$6:$H$405="")+(職員マスタ!$H$6:$H$405&gt;=$AO1526))&gt;0)*(ROW(職員マスタ!$A$6:$A$405)-5)))&gt;0,SUMPRODUCT(MAX((職員マスタ!$A$6:$A$405=$B1526)*(((職員マスタ!$G$6:$G$405="")+(職員マスタ!$G$6:$G$405&lt;=EOMONTH($AO1526,0)))&gt;0)*(((職員マスタ!$H$6:$H$405="")+(職員マスタ!$H$6:$H$405&gt;=$AO1526))&gt;0)*(ROW(職員マスタ!$A$6:$A$405)-5))),IFERROR(MATCH($B1526,職員マスタ!$A$6:$A$405,0),"")))</f>
        <v/>
      </c>
      <c r="AO1526" s="16">
        <f>IF(OR($B1526="",$C1526="",$D1526=""),"",DATE($C1526+2018,$D1526,1))</f>
        <v/>
      </c>
    </row>
    <row r="1527">
      <c r="A1527" s="11" t="n"/>
      <c r="B1527" s="12" t="n"/>
      <c r="C1527" s="12" t="n"/>
      <c r="D1527" s="12" t="n"/>
      <c r="E1527" s="13" t="n"/>
      <c r="F1527" s="12" t="n"/>
      <c r="G1527" s="13" t="n"/>
      <c r="H1527" s="12" t="n"/>
      <c r="I1527" s="12" t="n"/>
      <c r="J1527" s="12" t="n"/>
      <c r="K1527" s="12" t="n"/>
      <c r="L1527" s="11" t="n"/>
      <c r="M1527" s="11" t="n"/>
      <c r="N1527" s="11" t="n"/>
      <c r="O1527" s="11" t="n"/>
      <c r="P1527" s="12" t="n"/>
      <c r="Q1527" s="11" t="n"/>
      <c r="R1527" s="12" t="n"/>
      <c r="S1527" s="11" t="n"/>
      <c r="T1527" s="12" t="n"/>
      <c r="U1527" s="12" t="n"/>
      <c r="V1527" s="14">
        <f>IF($AN1527="",IF($B1527="","",$H1527),IF(INDEX(職員マスタ!$B$6:$B$405,$AN1527)="",$H1527,INDEX(職員マスタ!$B$6:$B$405,$AN1527)))</f>
        <v/>
      </c>
      <c r="W1527" s="14">
        <f>IF($AN1527="",IF($B1527="","",$R1527),IF(INDEX(職員マスタ!$C$6:$C$405,$AN1527)="",$R1527,INDEX(職員マスタ!$C$6:$C$405,$AN1527)))</f>
        <v/>
      </c>
      <c r="X1527" s="14">
        <f>IF($AO1527="","","R"&amp;$C1527&amp;"."&amp;$D1527)</f>
        <v/>
      </c>
      <c r="Y1527" s="15">
        <f>IF($AN1527="","",IF(INDEX(職員マスタ!$K$6:$K$405,$AN1527)="","",INDEX(職員マスタ!$K$6:$K$405,$AN1527)))</f>
        <v/>
      </c>
      <c r="Z1527" s="14">
        <f>IF(OR($E1527="",$Y1527=""),"",IF($E1527&gt;=$Y1527,"×",IF($E1527&gt;=$Y1527*設定!$C$5,"△","○")))</f>
        <v/>
      </c>
      <c r="AA1527" s="15">
        <f>IF($Z1527="","",IF($Z1527="×",0,IF($Z1527="○",ROUNDDOWN($E1527*設定!$C$4,0),ROUNDDOWN($E1527*ROUND((9*$Y1527-9*$E1527)/(10*$E1527),4),0))))</f>
        <v/>
      </c>
      <c r="AB1527" s="13" t="n"/>
      <c r="AC1527" s="15">
        <f>IF($B1527="","",IF($AB1527&lt;&gt;"",$AB1527,IF($AA1527="","",IF($AA1527&lt;=設定!$C$3,0,$AA1527))))</f>
        <v/>
      </c>
      <c r="AD1527" s="14">
        <f>IF($B1527="","",IF(AND($AE1527&lt;&gt;"",$AG1527="",$AJ1527=""),"保留中",IF($AJ1527&lt;&gt;"",IF(N($AC1527)&gt;0,"支給済","不支給"),IF($AC1527="","要確認",IF($AC1527=0,"不支給","未処理")))))</f>
        <v/>
      </c>
      <c r="AE1527" s="12" t="n"/>
      <c r="AF1527" s="11" t="n"/>
      <c r="AG1527" s="11" t="n"/>
      <c r="AH1527" s="11" t="n"/>
      <c r="AI1527" s="14">
        <f>IF(AND($AD1527="保留中",$AF1527&lt;&gt;""),TODAY()-$AF1527,"")</f>
        <v/>
      </c>
      <c r="AJ1527" s="12" t="n"/>
      <c r="AK1527" s="14">
        <f>IF($B1527="","",IF($AO1527="","対象年月が未入力／","")&amp;IF($B1527="","",IF($AN1527="","職員マスタに未登録の職員番号／",IF($Y1527="","標準報酬月額が未登録／","")&amp;IF(AND($AO1527&lt;&gt;"",OR(AND(INDEX(職員マスタ!$G$6:$G$405,$AN1527)&lt;&gt;"",INDEX(職員マスタ!$G$6:$G$405,$AN1527)&gt;EOMONTH($AO1527,0)),AND(INDEX(職員マスタ!$H$6:$H$405,$AN1527)&lt;&gt;"",INDEX(職員マスタ!$H$6:$H$405,$AN1527)&lt;$AO1527))),"対象月が時短期間外／","")&amp;IF(AND(INDEX(職員マスタ!$F$6:$F$405,$AN1527)&lt;&gt;"",$AO1527&lt;&gt;"",INDEX(職員マスタ!$F$6:$F$405,$AN1527)&lt;$AO1527),"対象月に子が2歳到達済／","")&amp;IF(AND($H1527&lt;&gt;"",INDEX(職員マスタ!$B$6:$B$405,$AN1527)&lt;&gt;"",SUBSTITUTE(SUBSTITUTE($H1527," ","")," ","")&lt;&gt;SUBSTITUTE(SUBSTITUTE(INDEX(職員マスタ!$B$6:$B$405,$AN1527)," ","")," ","")),"氏名がマスタと相違／","")&amp;IF(AND($Q1527&lt;&gt;"",INDEX(職員マスタ!$E$6:$E$405,$AN1527)&lt;&gt;"",$Q1527&lt;&gt;INDEX(職員マスタ!$E$6:$E$405,$AN1527)),"子の生年月日がマスタと相違／","")&amp;IF(AND($L1527&lt;&gt;"",INDEX(職員マスタ!$G$6:$G$405,$AN1527)&lt;&gt;"",$L1527&lt;&gt;INDEX(職員マスタ!$G$6:$G$405,$AN1527)),"時短開始日がマスタと相違／","")&amp;IF(AND($M1527&lt;&gt;"",INDEX(職員マスタ!$H$6:$H$405,$AN1527)&lt;&gt;"",$M1527&lt;&gt;INDEX(職員マスタ!$H$6:$H$405,$AN1527)),"時短終了日がマスタと相違／","")))&amp;IF(AND($B1527&lt;&gt;"",$E1527=""),"報酬額が未入力／","")&amp;IF(N($U1527)&gt;0,"申請書に入力エラーが残っています／","")&amp;IF(AND($B1527&lt;&gt;"",$AO1527&lt;&gt;""),IF(COUNTIFS($B$6:$B$3005,$B1527,$C$6:$C$3005,$C1527,$D$6:$D$3005,$D1527)&gt;1,"同じ月の請求が重複しています／",""),"")&amp;IF(AND(N($E1527)&gt;0,$Z1527&lt;&gt;"",$Z1527&lt;&gt;"×",$AC1527=0,$AB1527=""),"計算額が下限以下のため不支給／",""))</f>
        <v/>
      </c>
      <c r="AL1527" s="12" t="n"/>
      <c r="AM1527" s="14">
        <f>IF($AD1527="保留中",COUNTIF($AD$6:$AD1527,"保留中"),"")</f>
        <v/>
      </c>
      <c r="AN1527" s="14">
        <f>IF($AO1527="","",IF(SUMPRODUCT(MAX((職員マスタ!$A$6:$A$405=$B1527)*(((職員マスタ!$G$6:$G$405="")+(職員マスタ!$G$6:$G$405&lt;=EOMONTH($AO1527,0)))&gt;0)*(((職員マスタ!$H$6:$H$405="")+(職員マスタ!$H$6:$H$405&gt;=$AO1527))&gt;0)*(ROW(職員マスタ!$A$6:$A$405)-5)))&gt;0,SUMPRODUCT(MAX((職員マスタ!$A$6:$A$405=$B1527)*(((職員マスタ!$G$6:$G$405="")+(職員マスタ!$G$6:$G$405&lt;=EOMONTH($AO1527,0)))&gt;0)*(((職員マスタ!$H$6:$H$405="")+(職員マスタ!$H$6:$H$405&gt;=$AO1527))&gt;0)*(ROW(職員マスタ!$A$6:$A$405)-5))),IFERROR(MATCH($B1527,職員マスタ!$A$6:$A$405,0),"")))</f>
        <v/>
      </c>
      <c r="AO1527" s="16">
        <f>IF(OR($B1527="",$C1527="",$D1527=""),"",DATE($C1527+2018,$D1527,1))</f>
        <v/>
      </c>
    </row>
    <row r="1528">
      <c r="A1528" s="11" t="n"/>
      <c r="B1528" s="12" t="n"/>
      <c r="C1528" s="12" t="n"/>
      <c r="D1528" s="12" t="n"/>
      <c r="E1528" s="13" t="n"/>
      <c r="F1528" s="12" t="n"/>
      <c r="G1528" s="13" t="n"/>
      <c r="H1528" s="12" t="n"/>
      <c r="I1528" s="12" t="n"/>
      <c r="J1528" s="12" t="n"/>
      <c r="K1528" s="12" t="n"/>
      <c r="L1528" s="11" t="n"/>
      <c r="M1528" s="11" t="n"/>
      <c r="N1528" s="11" t="n"/>
      <c r="O1528" s="11" t="n"/>
      <c r="P1528" s="12" t="n"/>
      <c r="Q1528" s="11" t="n"/>
      <c r="R1528" s="12" t="n"/>
      <c r="S1528" s="11" t="n"/>
      <c r="T1528" s="12" t="n"/>
      <c r="U1528" s="12" t="n"/>
      <c r="V1528" s="14">
        <f>IF($AN1528="",IF($B1528="","",$H1528),IF(INDEX(職員マスタ!$B$6:$B$405,$AN1528)="",$H1528,INDEX(職員マスタ!$B$6:$B$405,$AN1528)))</f>
        <v/>
      </c>
      <c r="W1528" s="14">
        <f>IF($AN1528="",IF($B1528="","",$R1528),IF(INDEX(職員マスタ!$C$6:$C$405,$AN1528)="",$R1528,INDEX(職員マスタ!$C$6:$C$405,$AN1528)))</f>
        <v/>
      </c>
      <c r="X1528" s="14">
        <f>IF($AO1528="","","R"&amp;$C1528&amp;"."&amp;$D1528)</f>
        <v/>
      </c>
      <c r="Y1528" s="15">
        <f>IF($AN1528="","",IF(INDEX(職員マスタ!$K$6:$K$405,$AN1528)="","",INDEX(職員マスタ!$K$6:$K$405,$AN1528)))</f>
        <v/>
      </c>
      <c r="Z1528" s="14">
        <f>IF(OR($E1528="",$Y1528=""),"",IF($E1528&gt;=$Y1528,"×",IF($E1528&gt;=$Y1528*設定!$C$5,"△","○")))</f>
        <v/>
      </c>
      <c r="AA1528" s="15">
        <f>IF($Z1528="","",IF($Z1528="×",0,IF($Z1528="○",ROUNDDOWN($E1528*設定!$C$4,0),ROUNDDOWN($E1528*ROUND((9*$Y1528-9*$E1528)/(10*$E1528),4),0))))</f>
        <v/>
      </c>
      <c r="AB1528" s="13" t="n"/>
      <c r="AC1528" s="15">
        <f>IF($B1528="","",IF($AB1528&lt;&gt;"",$AB1528,IF($AA1528="","",IF($AA1528&lt;=設定!$C$3,0,$AA1528))))</f>
        <v/>
      </c>
      <c r="AD1528" s="14">
        <f>IF($B1528="","",IF(AND($AE1528&lt;&gt;"",$AG1528="",$AJ1528=""),"保留中",IF($AJ1528&lt;&gt;"",IF(N($AC1528)&gt;0,"支給済","不支給"),IF($AC1528="","要確認",IF($AC1528=0,"不支給","未処理")))))</f>
        <v/>
      </c>
      <c r="AE1528" s="12" t="n"/>
      <c r="AF1528" s="11" t="n"/>
      <c r="AG1528" s="11" t="n"/>
      <c r="AH1528" s="11" t="n"/>
      <c r="AI1528" s="14">
        <f>IF(AND($AD1528="保留中",$AF1528&lt;&gt;""),TODAY()-$AF1528,"")</f>
        <v/>
      </c>
      <c r="AJ1528" s="12" t="n"/>
      <c r="AK1528" s="14">
        <f>IF($B1528="","",IF($AO1528="","対象年月が未入力／","")&amp;IF($B1528="","",IF($AN1528="","職員マスタに未登録の職員番号／",IF($Y1528="","標準報酬月額が未登録／","")&amp;IF(AND($AO1528&lt;&gt;"",OR(AND(INDEX(職員マスタ!$G$6:$G$405,$AN1528)&lt;&gt;"",INDEX(職員マスタ!$G$6:$G$405,$AN1528)&gt;EOMONTH($AO1528,0)),AND(INDEX(職員マスタ!$H$6:$H$405,$AN1528)&lt;&gt;"",INDEX(職員マスタ!$H$6:$H$405,$AN1528)&lt;$AO1528))),"対象月が時短期間外／","")&amp;IF(AND(INDEX(職員マスタ!$F$6:$F$405,$AN1528)&lt;&gt;"",$AO1528&lt;&gt;"",INDEX(職員マスタ!$F$6:$F$405,$AN1528)&lt;$AO1528),"対象月に子が2歳到達済／","")&amp;IF(AND($H1528&lt;&gt;"",INDEX(職員マスタ!$B$6:$B$405,$AN1528)&lt;&gt;"",SUBSTITUTE(SUBSTITUTE($H1528," ","")," ","")&lt;&gt;SUBSTITUTE(SUBSTITUTE(INDEX(職員マスタ!$B$6:$B$405,$AN1528)," ","")," ","")),"氏名がマスタと相違／","")&amp;IF(AND($Q1528&lt;&gt;"",INDEX(職員マスタ!$E$6:$E$405,$AN1528)&lt;&gt;"",$Q1528&lt;&gt;INDEX(職員マスタ!$E$6:$E$405,$AN1528)),"子の生年月日がマスタと相違／","")&amp;IF(AND($L1528&lt;&gt;"",INDEX(職員マスタ!$G$6:$G$405,$AN1528)&lt;&gt;"",$L1528&lt;&gt;INDEX(職員マスタ!$G$6:$G$405,$AN1528)),"時短開始日がマスタと相違／","")&amp;IF(AND($M1528&lt;&gt;"",INDEX(職員マスタ!$H$6:$H$405,$AN1528)&lt;&gt;"",$M1528&lt;&gt;INDEX(職員マスタ!$H$6:$H$405,$AN1528)),"時短終了日がマスタと相違／","")))&amp;IF(AND($B1528&lt;&gt;"",$E1528=""),"報酬額が未入力／","")&amp;IF(N($U1528)&gt;0,"申請書に入力エラーが残っています／","")&amp;IF(AND($B1528&lt;&gt;"",$AO1528&lt;&gt;""),IF(COUNTIFS($B$6:$B$3005,$B1528,$C$6:$C$3005,$C1528,$D$6:$D$3005,$D1528)&gt;1,"同じ月の請求が重複しています／",""),"")&amp;IF(AND(N($E1528)&gt;0,$Z1528&lt;&gt;"",$Z1528&lt;&gt;"×",$AC1528=0,$AB1528=""),"計算額が下限以下のため不支給／",""))</f>
        <v/>
      </c>
      <c r="AL1528" s="12" t="n"/>
      <c r="AM1528" s="14">
        <f>IF($AD1528="保留中",COUNTIF($AD$6:$AD1528,"保留中"),"")</f>
        <v/>
      </c>
      <c r="AN1528" s="14">
        <f>IF($AO1528="","",IF(SUMPRODUCT(MAX((職員マスタ!$A$6:$A$405=$B1528)*(((職員マスタ!$G$6:$G$405="")+(職員マスタ!$G$6:$G$405&lt;=EOMONTH($AO1528,0)))&gt;0)*(((職員マスタ!$H$6:$H$405="")+(職員マスタ!$H$6:$H$405&gt;=$AO1528))&gt;0)*(ROW(職員マスタ!$A$6:$A$405)-5)))&gt;0,SUMPRODUCT(MAX((職員マスタ!$A$6:$A$405=$B1528)*(((職員マスタ!$G$6:$G$405="")+(職員マスタ!$G$6:$G$405&lt;=EOMONTH($AO1528,0)))&gt;0)*(((職員マスタ!$H$6:$H$405="")+(職員マスタ!$H$6:$H$405&gt;=$AO1528))&gt;0)*(ROW(職員マスタ!$A$6:$A$405)-5))),IFERROR(MATCH($B1528,職員マスタ!$A$6:$A$405,0),"")))</f>
        <v/>
      </c>
      <c r="AO1528" s="16">
        <f>IF(OR($B1528="",$C1528="",$D1528=""),"",DATE($C1528+2018,$D1528,1))</f>
        <v/>
      </c>
    </row>
    <row r="1529">
      <c r="A1529" s="11" t="n"/>
      <c r="B1529" s="12" t="n"/>
      <c r="C1529" s="12" t="n"/>
      <c r="D1529" s="12" t="n"/>
      <c r="E1529" s="13" t="n"/>
      <c r="F1529" s="12" t="n"/>
      <c r="G1529" s="13" t="n"/>
      <c r="H1529" s="12" t="n"/>
      <c r="I1529" s="12" t="n"/>
      <c r="J1529" s="12" t="n"/>
      <c r="K1529" s="12" t="n"/>
      <c r="L1529" s="11" t="n"/>
      <c r="M1529" s="11" t="n"/>
      <c r="N1529" s="11" t="n"/>
      <c r="O1529" s="11" t="n"/>
      <c r="P1529" s="12" t="n"/>
      <c r="Q1529" s="11" t="n"/>
      <c r="R1529" s="12" t="n"/>
      <c r="S1529" s="11" t="n"/>
      <c r="T1529" s="12" t="n"/>
      <c r="U1529" s="12" t="n"/>
      <c r="V1529" s="14">
        <f>IF($AN1529="",IF($B1529="","",$H1529),IF(INDEX(職員マスタ!$B$6:$B$405,$AN1529)="",$H1529,INDEX(職員マスタ!$B$6:$B$405,$AN1529)))</f>
        <v/>
      </c>
      <c r="W1529" s="14">
        <f>IF($AN1529="",IF($B1529="","",$R1529),IF(INDEX(職員マスタ!$C$6:$C$405,$AN1529)="",$R1529,INDEX(職員マスタ!$C$6:$C$405,$AN1529)))</f>
        <v/>
      </c>
      <c r="X1529" s="14">
        <f>IF($AO1529="","","R"&amp;$C1529&amp;"."&amp;$D1529)</f>
        <v/>
      </c>
      <c r="Y1529" s="15">
        <f>IF($AN1529="","",IF(INDEX(職員マスタ!$K$6:$K$405,$AN1529)="","",INDEX(職員マスタ!$K$6:$K$405,$AN1529)))</f>
        <v/>
      </c>
      <c r="Z1529" s="14">
        <f>IF(OR($E1529="",$Y1529=""),"",IF($E1529&gt;=$Y1529,"×",IF($E1529&gt;=$Y1529*設定!$C$5,"△","○")))</f>
        <v/>
      </c>
      <c r="AA1529" s="15">
        <f>IF($Z1529="","",IF($Z1529="×",0,IF($Z1529="○",ROUNDDOWN($E1529*設定!$C$4,0),ROUNDDOWN($E1529*ROUND((9*$Y1529-9*$E1529)/(10*$E1529),4),0))))</f>
        <v/>
      </c>
      <c r="AB1529" s="13" t="n"/>
      <c r="AC1529" s="15">
        <f>IF($B1529="","",IF($AB1529&lt;&gt;"",$AB1529,IF($AA1529="","",IF($AA1529&lt;=設定!$C$3,0,$AA1529))))</f>
        <v/>
      </c>
      <c r="AD1529" s="14">
        <f>IF($B1529="","",IF(AND($AE1529&lt;&gt;"",$AG1529="",$AJ1529=""),"保留中",IF($AJ1529&lt;&gt;"",IF(N($AC1529)&gt;0,"支給済","不支給"),IF($AC1529="","要確認",IF($AC1529=0,"不支給","未処理")))))</f>
        <v/>
      </c>
      <c r="AE1529" s="12" t="n"/>
      <c r="AF1529" s="11" t="n"/>
      <c r="AG1529" s="11" t="n"/>
      <c r="AH1529" s="11" t="n"/>
      <c r="AI1529" s="14">
        <f>IF(AND($AD1529="保留中",$AF1529&lt;&gt;""),TODAY()-$AF1529,"")</f>
        <v/>
      </c>
      <c r="AJ1529" s="12" t="n"/>
      <c r="AK1529" s="14">
        <f>IF($B1529="","",IF($AO1529="","対象年月が未入力／","")&amp;IF($B1529="","",IF($AN1529="","職員マスタに未登録の職員番号／",IF($Y1529="","標準報酬月額が未登録／","")&amp;IF(AND($AO1529&lt;&gt;"",OR(AND(INDEX(職員マスタ!$G$6:$G$405,$AN1529)&lt;&gt;"",INDEX(職員マスタ!$G$6:$G$405,$AN1529)&gt;EOMONTH($AO1529,0)),AND(INDEX(職員マスタ!$H$6:$H$405,$AN1529)&lt;&gt;"",INDEX(職員マスタ!$H$6:$H$405,$AN1529)&lt;$AO1529))),"対象月が時短期間外／","")&amp;IF(AND(INDEX(職員マスタ!$F$6:$F$405,$AN1529)&lt;&gt;"",$AO1529&lt;&gt;"",INDEX(職員マスタ!$F$6:$F$405,$AN1529)&lt;$AO1529),"対象月に子が2歳到達済／","")&amp;IF(AND($H1529&lt;&gt;"",INDEX(職員マスタ!$B$6:$B$405,$AN1529)&lt;&gt;"",SUBSTITUTE(SUBSTITUTE($H1529," ","")," ","")&lt;&gt;SUBSTITUTE(SUBSTITUTE(INDEX(職員マスタ!$B$6:$B$405,$AN1529)," ","")," ","")),"氏名がマスタと相違／","")&amp;IF(AND($Q1529&lt;&gt;"",INDEX(職員マスタ!$E$6:$E$405,$AN1529)&lt;&gt;"",$Q1529&lt;&gt;INDEX(職員マスタ!$E$6:$E$405,$AN1529)),"子の生年月日がマスタと相違／","")&amp;IF(AND($L1529&lt;&gt;"",INDEX(職員マスタ!$G$6:$G$405,$AN1529)&lt;&gt;"",$L1529&lt;&gt;INDEX(職員マスタ!$G$6:$G$405,$AN1529)),"時短開始日がマスタと相違／","")&amp;IF(AND($M1529&lt;&gt;"",INDEX(職員マスタ!$H$6:$H$405,$AN1529)&lt;&gt;"",$M1529&lt;&gt;INDEX(職員マスタ!$H$6:$H$405,$AN1529)),"時短終了日がマスタと相違／","")))&amp;IF(AND($B1529&lt;&gt;"",$E1529=""),"報酬額が未入力／","")&amp;IF(N($U1529)&gt;0,"申請書に入力エラーが残っています／","")&amp;IF(AND($B1529&lt;&gt;"",$AO1529&lt;&gt;""),IF(COUNTIFS($B$6:$B$3005,$B1529,$C$6:$C$3005,$C1529,$D$6:$D$3005,$D1529)&gt;1,"同じ月の請求が重複しています／",""),"")&amp;IF(AND(N($E1529)&gt;0,$Z1529&lt;&gt;"",$Z1529&lt;&gt;"×",$AC1529=0,$AB1529=""),"計算額が下限以下のため不支給／",""))</f>
        <v/>
      </c>
      <c r="AL1529" s="12" t="n"/>
      <c r="AM1529" s="14">
        <f>IF($AD1529="保留中",COUNTIF($AD$6:$AD1529,"保留中"),"")</f>
        <v/>
      </c>
      <c r="AN1529" s="14">
        <f>IF($AO1529="","",IF(SUMPRODUCT(MAX((職員マスタ!$A$6:$A$405=$B1529)*(((職員マスタ!$G$6:$G$405="")+(職員マスタ!$G$6:$G$405&lt;=EOMONTH($AO1529,0)))&gt;0)*(((職員マスタ!$H$6:$H$405="")+(職員マスタ!$H$6:$H$405&gt;=$AO1529))&gt;0)*(ROW(職員マスタ!$A$6:$A$405)-5)))&gt;0,SUMPRODUCT(MAX((職員マスタ!$A$6:$A$405=$B1529)*(((職員マスタ!$G$6:$G$405="")+(職員マスタ!$G$6:$G$405&lt;=EOMONTH($AO1529,0)))&gt;0)*(((職員マスタ!$H$6:$H$405="")+(職員マスタ!$H$6:$H$405&gt;=$AO1529))&gt;0)*(ROW(職員マスタ!$A$6:$A$405)-5))),IFERROR(MATCH($B1529,職員マスタ!$A$6:$A$405,0),"")))</f>
        <v/>
      </c>
      <c r="AO1529" s="16">
        <f>IF(OR($B1529="",$C1529="",$D1529=""),"",DATE($C1529+2018,$D1529,1))</f>
        <v/>
      </c>
    </row>
    <row r="1530">
      <c r="A1530" s="11" t="n"/>
      <c r="B1530" s="12" t="n"/>
      <c r="C1530" s="12" t="n"/>
      <c r="D1530" s="12" t="n"/>
      <c r="E1530" s="13" t="n"/>
      <c r="F1530" s="12" t="n"/>
      <c r="G1530" s="13" t="n"/>
      <c r="H1530" s="12" t="n"/>
      <c r="I1530" s="12" t="n"/>
      <c r="J1530" s="12" t="n"/>
      <c r="K1530" s="12" t="n"/>
      <c r="L1530" s="11" t="n"/>
      <c r="M1530" s="11" t="n"/>
      <c r="N1530" s="11" t="n"/>
      <c r="O1530" s="11" t="n"/>
      <c r="P1530" s="12" t="n"/>
      <c r="Q1530" s="11" t="n"/>
      <c r="R1530" s="12" t="n"/>
      <c r="S1530" s="11" t="n"/>
      <c r="T1530" s="12" t="n"/>
      <c r="U1530" s="12" t="n"/>
      <c r="V1530" s="14">
        <f>IF($AN1530="",IF($B1530="","",$H1530),IF(INDEX(職員マスタ!$B$6:$B$405,$AN1530)="",$H1530,INDEX(職員マスタ!$B$6:$B$405,$AN1530)))</f>
        <v/>
      </c>
      <c r="W1530" s="14">
        <f>IF($AN1530="",IF($B1530="","",$R1530),IF(INDEX(職員マスタ!$C$6:$C$405,$AN1530)="",$R1530,INDEX(職員マスタ!$C$6:$C$405,$AN1530)))</f>
        <v/>
      </c>
      <c r="X1530" s="14">
        <f>IF($AO1530="","","R"&amp;$C1530&amp;"."&amp;$D1530)</f>
        <v/>
      </c>
      <c r="Y1530" s="15">
        <f>IF($AN1530="","",IF(INDEX(職員マスタ!$K$6:$K$405,$AN1530)="","",INDEX(職員マスタ!$K$6:$K$405,$AN1530)))</f>
        <v/>
      </c>
      <c r="Z1530" s="14">
        <f>IF(OR($E1530="",$Y1530=""),"",IF($E1530&gt;=$Y1530,"×",IF($E1530&gt;=$Y1530*設定!$C$5,"△","○")))</f>
        <v/>
      </c>
      <c r="AA1530" s="15">
        <f>IF($Z1530="","",IF($Z1530="×",0,IF($Z1530="○",ROUNDDOWN($E1530*設定!$C$4,0),ROUNDDOWN($E1530*ROUND((9*$Y1530-9*$E1530)/(10*$E1530),4),0))))</f>
        <v/>
      </c>
      <c r="AB1530" s="13" t="n"/>
      <c r="AC1530" s="15">
        <f>IF($B1530="","",IF($AB1530&lt;&gt;"",$AB1530,IF($AA1530="","",IF($AA1530&lt;=設定!$C$3,0,$AA1530))))</f>
        <v/>
      </c>
      <c r="AD1530" s="14">
        <f>IF($B1530="","",IF(AND($AE1530&lt;&gt;"",$AG1530="",$AJ1530=""),"保留中",IF($AJ1530&lt;&gt;"",IF(N($AC1530)&gt;0,"支給済","不支給"),IF($AC1530="","要確認",IF($AC1530=0,"不支給","未処理")))))</f>
        <v/>
      </c>
      <c r="AE1530" s="12" t="n"/>
      <c r="AF1530" s="11" t="n"/>
      <c r="AG1530" s="11" t="n"/>
      <c r="AH1530" s="11" t="n"/>
      <c r="AI1530" s="14">
        <f>IF(AND($AD1530="保留中",$AF1530&lt;&gt;""),TODAY()-$AF1530,"")</f>
        <v/>
      </c>
      <c r="AJ1530" s="12" t="n"/>
      <c r="AK1530" s="14">
        <f>IF($B1530="","",IF($AO1530="","対象年月が未入力／","")&amp;IF($B1530="","",IF($AN1530="","職員マスタに未登録の職員番号／",IF($Y1530="","標準報酬月額が未登録／","")&amp;IF(AND($AO1530&lt;&gt;"",OR(AND(INDEX(職員マスタ!$G$6:$G$405,$AN1530)&lt;&gt;"",INDEX(職員マスタ!$G$6:$G$405,$AN1530)&gt;EOMONTH($AO1530,0)),AND(INDEX(職員マスタ!$H$6:$H$405,$AN1530)&lt;&gt;"",INDEX(職員マスタ!$H$6:$H$405,$AN1530)&lt;$AO1530))),"対象月が時短期間外／","")&amp;IF(AND(INDEX(職員マスタ!$F$6:$F$405,$AN1530)&lt;&gt;"",$AO1530&lt;&gt;"",INDEX(職員マスタ!$F$6:$F$405,$AN1530)&lt;$AO1530),"対象月に子が2歳到達済／","")&amp;IF(AND($H1530&lt;&gt;"",INDEX(職員マスタ!$B$6:$B$405,$AN1530)&lt;&gt;"",SUBSTITUTE(SUBSTITUTE($H1530," ","")," ","")&lt;&gt;SUBSTITUTE(SUBSTITUTE(INDEX(職員マスタ!$B$6:$B$405,$AN1530)," ","")," ","")),"氏名がマスタと相違／","")&amp;IF(AND($Q1530&lt;&gt;"",INDEX(職員マスタ!$E$6:$E$405,$AN1530)&lt;&gt;"",$Q1530&lt;&gt;INDEX(職員マスタ!$E$6:$E$405,$AN1530)),"子の生年月日がマスタと相違／","")&amp;IF(AND($L1530&lt;&gt;"",INDEX(職員マスタ!$G$6:$G$405,$AN1530)&lt;&gt;"",$L1530&lt;&gt;INDEX(職員マスタ!$G$6:$G$405,$AN1530)),"時短開始日がマスタと相違／","")&amp;IF(AND($M1530&lt;&gt;"",INDEX(職員マスタ!$H$6:$H$405,$AN1530)&lt;&gt;"",$M1530&lt;&gt;INDEX(職員マスタ!$H$6:$H$405,$AN1530)),"時短終了日がマスタと相違／","")))&amp;IF(AND($B1530&lt;&gt;"",$E1530=""),"報酬額が未入力／","")&amp;IF(N($U1530)&gt;0,"申請書に入力エラーが残っています／","")&amp;IF(AND($B1530&lt;&gt;"",$AO1530&lt;&gt;""),IF(COUNTIFS($B$6:$B$3005,$B1530,$C$6:$C$3005,$C1530,$D$6:$D$3005,$D1530)&gt;1,"同じ月の請求が重複しています／",""),"")&amp;IF(AND(N($E1530)&gt;0,$Z1530&lt;&gt;"",$Z1530&lt;&gt;"×",$AC1530=0,$AB1530=""),"計算額が下限以下のため不支給／",""))</f>
        <v/>
      </c>
      <c r="AL1530" s="12" t="n"/>
      <c r="AM1530" s="14">
        <f>IF($AD1530="保留中",COUNTIF($AD$6:$AD1530,"保留中"),"")</f>
        <v/>
      </c>
      <c r="AN1530" s="14">
        <f>IF($AO1530="","",IF(SUMPRODUCT(MAX((職員マスタ!$A$6:$A$405=$B1530)*(((職員マスタ!$G$6:$G$405="")+(職員マスタ!$G$6:$G$405&lt;=EOMONTH($AO1530,0)))&gt;0)*(((職員マスタ!$H$6:$H$405="")+(職員マスタ!$H$6:$H$405&gt;=$AO1530))&gt;0)*(ROW(職員マスタ!$A$6:$A$405)-5)))&gt;0,SUMPRODUCT(MAX((職員マスタ!$A$6:$A$405=$B1530)*(((職員マスタ!$G$6:$G$405="")+(職員マスタ!$G$6:$G$405&lt;=EOMONTH($AO1530,0)))&gt;0)*(((職員マスタ!$H$6:$H$405="")+(職員マスタ!$H$6:$H$405&gt;=$AO1530))&gt;0)*(ROW(職員マスタ!$A$6:$A$405)-5))),IFERROR(MATCH($B1530,職員マスタ!$A$6:$A$405,0),"")))</f>
        <v/>
      </c>
      <c r="AO1530" s="16">
        <f>IF(OR($B1530="",$C1530="",$D1530=""),"",DATE($C1530+2018,$D1530,1))</f>
        <v/>
      </c>
    </row>
    <row r="1531">
      <c r="A1531" s="11" t="n"/>
      <c r="B1531" s="12" t="n"/>
      <c r="C1531" s="12" t="n"/>
      <c r="D1531" s="12" t="n"/>
      <c r="E1531" s="13" t="n"/>
      <c r="F1531" s="12" t="n"/>
      <c r="G1531" s="13" t="n"/>
      <c r="H1531" s="12" t="n"/>
      <c r="I1531" s="12" t="n"/>
      <c r="J1531" s="12" t="n"/>
      <c r="K1531" s="12" t="n"/>
      <c r="L1531" s="11" t="n"/>
      <c r="M1531" s="11" t="n"/>
      <c r="N1531" s="11" t="n"/>
      <c r="O1531" s="11" t="n"/>
      <c r="P1531" s="12" t="n"/>
      <c r="Q1531" s="11" t="n"/>
      <c r="R1531" s="12" t="n"/>
      <c r="S1531" s="11" t="n"/>
      <c r="T1531" s="12" t="n"/>
      <c r="U1531" s="12" t="n"/>
      <c r="V1531" s="14">
        <f>IF($AN1531="",IF($B1531="","",$H1531),IF(INDEX(職員マスタ!$B$6:$B$405,$AN1531)="",$H1531,INDEX(職員マスタ!$B$6:$B$405,$AN1531)))</f>
        <v/>
      </c>
      <c r="W1531" s="14">
        <f>IF($AN1531="",IF($B1531="","",$R1531),IF(INDEX(職員マスタ!$C$6:$C$405,$AN1531)="",$R1531,INDEX(職員マスタ!$C$6:$C$405,$AN1531)))</f>
        <v/>
      </c>
      <c r="X1531" s="14">
        <f>IF($AO1531="","","R"&amp;$C1531&amp;"."&amp;$D1531)</f>
        <v/>
      </c>
      <c r="Y1531" s="15">
        <f>IF($AN1531="","",IF(INDEX(職員マスタ!$K$6:$K$405,$AN1531)="","",INDEX(職員マスタ!$K$6:$K$405,$AN1531)))</f>
        <v/>
      </c>
      <c r="Z1531" s="14">
        <f>IF(OR($E1531="",$Y1531=""),"",IF($E1531&gt;=$Y1531,"×",IF($E1531&gt;=$Y1531*設定!$C$5,"△","○")))</f>
        <v/>
      </c>
      <c r="AA1531" s="15">
        <f>IF($Z1531="","",IF($Z1531="×",0,IF($Z1531="○",ROUNDDOWN($E1531*設定!$C$4,0),ROUNDDOWN($E1531*ROUND((9*$Y1531-9*$E1531)/(10*$E1531),4),0))))</f>
        <v/>
      </c>
      <c r="AB1531" s="13" t="n"/>
      <c r="AC1531" s="15">
        <f>IF($B1531="","",IF($AB1531&lt;&gt;"",$AB1531,IF($AA1531="","",IF($AA1531&lt;=設定!$C$3,0,$AA1531))))</f>
        <v/>
      </c>
      <c r="AD1531" s="14">
        <f>IF($B1531="","",IF(AND($AE1531&lt;&gt;"",$AG1531="",$AJ1531=""),"保留中",IF($AJ1531&lt;&gt;"",IF(N($AC1531)&gt;0,"支給済","不支給"),IF($AC1531="","要確認",IF($AC1531=0,"不支給","未処理")))))</f>
        <v/>
      </c>
      <c r="AE1531" s="12" t="n"/>
      <c r="AF1531" s="11" t="n"/>
      <c r="AG1531" s="11" t="n"/>
      <c r="AH1531" s="11" t="n"/>
      <c r="AI1531" s="14">
        <f>IF(AND($AD1531="保留中",$AF1531&lt;&gt;""),TODAY()-$AF1531,"")</f>
        <v/>
      </c>
      <c r="AJ1531" s="12" t="n"/>
      <c r="AK1531" s="14">
        <f>IF($B1531="","",IF($AO1531="","対象年月が未入力／","")&amp;IF($B1531="","",IF($AN1531="","職員マスタに未登録の職員番号／",IF($Y1531="","標準報酬月額が未登録／","")&amp;IF(AND($AO1531&lt;&gt;"",OR(AND(INDEX(職員マスタ!$G$6:$G$405,$AN1531)&lt;&gt;"",INDEX(職員マスタ!$G$6:$G$405,$AN1531)&gt;EOMONTH($AO1531,0)),AND(INDEX(職員マスタ!$H$6:$H$405,$AN1531)&lt;&gt;"",INDEX(職員マスタ!$H$6:$H$405,$AN1531)&lt;$AO1531))),"対象月が時短期間外／","")&amp;IF(AND(INDEX(職員マスタ!$F$6:$F$405,$AN1531)&lt;&gt;"",$AO1531&lt;&gt;"",INDEX(職員マスタ!$F$6:$F$405,$AN1531)&lt;$AO1531),"対象月に子が2歳到達済／","")&amp;IF(AND($H1531&lt;&gt;"",INDEX(職員マスタ!$B$6:$B$405,$AN1531)&lt;&gt;"",SUBSTITUTE(SUBSTITUTE($H1531," ","")," ","")&lt;&gt;SUBSTITUTE(SUBSTITUTE(INDEX(職員マスタ!$B$6:$B$405,$AN1531)," ","")," ","")),"氏名がマスタと相違／","")&amp;IF(AND($Q1531&lt;&gt;"",INDEX(職員マスタ!$E$6:$E$405,$AN1531)&lt;&gt;"",$Q1531&lt;&gt;INDEX(職員マスタ!$E$6:$E$405,$AN1531)),"子の生年月日がマスタと相違／","")&amp;IF(AND($L1531&lt;&gt;"",INDEX(職員マスタ!$G$6:$G$405,$AN1531)&lt;&gt;"",$L1531&lt;&gt;INDEX(職員マスタ!$G$6:$G$405,$AN1531)),"時短開始日がマスタと相違／","")&amp;IF(AND($M1531&lt;&gt;"",INDEX(職員マスタ!$H$6:$H$405,$AN1531)&lt;&gt;"",$M1531&lt;&gt;INDEX(職員マスタ!$H$6:$H$405,$AN1531)),"時短終了日がマスタと相違／","")))&amp;IF(AND($B1531&lt;&gt;"",$E1531=""),"報酬額が未入力／","")&amp;IF(N($U1531)&gt;0,"申請書に入力エラーが残っています／","")&amp;IF(AND($B1531&lt;&gt;"",$AO1531&lt;&gt;""),IF(COUNTIFS($B$6:$B$3005,$B1531,$C$6:$C$3005,$C1531,$D$6:$D$3005,$D1531)&gt;1,"同じ月の請求が重複しています／",""),"")&amp;IF(AND(N($E1531)&gt;0,$Z1531&lt;&gt;"",$Z1531&lt;&gt;"×",$AC1531=0,$AB1531=""),"計算額が下限以下のため不支給／",""))</f>
        <v/>
      </c>
      <c r="AL1531" s="12" t="n"/>
      <c r="AM1531" s="14">
        <f>IF($AD1531="保留中",COUNTIF($AD$6:$AD1531,"保留中"),"")</f>
        <v/>
      </c>
      <c r="AN1531" s="14">
        <f>IF($AO1531="","",IF(SUMPRODUCT(MAX((職員マスタ!$A$6:$A$405=$B1531)*(((職員マスタ!$G$6:$G$405="")+(職員マスタ!$G$6:$G$405&lt;=EOMONTH($AO1531,0)))&gt;0)*(((職員マスタ!$H$6:$H$405="")+(職員マスタ!$H$6:$H$405&gt;=$AO1531))&gt;0)*(ROW(職員マスタ!$A$6:$A$405)-5)))&gt;0,SUMPRODUCT(MAX((職員マスタ!$A$6:$A$405=$B1531)*(((職員マスタ!$G$6:$G$405="")+(職員マスタ!$G$6:$G$405&lt;=EOMONTH($AO1531,0)))&gt;0)*(((職員マスタ!$H$6:$H$405="")+(職員マスタ!$H$6:$H$405&gt;=$AO1531))&gt;0)*(ROW(職員マスタ!$A$6:$A$405)-5))),IFERROR(MATCH($B1531,職員マスタ!$A$6:$A$405,0),"")))</f>
        <v/>
      </c>
      <c r="AO1531" s="16">
        <f>IF(OR($B1531="",$C1531="",$D1531=""),"",DATE($C1531+2018,$D1531,1))</f>
        <v/>
      </c>
    </row>
    <row r="1532">
      <c r="A1532" s="11" t="n"/>
      <c r="B1532" s="12" t="n"/>
      <c r="C1532" s="12" t="n"/>
      <c r="D1532" s="12" t="n"/>
      <c r="E1532" s="13" t="n"/>
      <c r="F1532" s="12" t="n"/>
      <c r="G1532" s="13" t="n"/>
      <c r="H1532" s="12" t="n"/>
      <c r="I1532" s="12" t="n"/>
      <c r="J1532" s="12" t="n"/>
      <c r="K1532" s="12" t="n"/>
      <c r="L1532" s="11" t="n"/>
      <c r="M1532" s="11" t="n"/>
      <c r="N1532" s="11" t="n"/>
      <c r="O1532" s="11" t="n"/>
      <c r="P1532" s="12" t="n"/>
      <c r="Q1532" s="11" t="n"/>
      <c r="R1532" s="12" t="n"/>
      <c r="S1532" s="11" t="n"/>
      <c r="T1532" s="12" t="n"/>
      <c r="U1532" s="12" t="n"/>
      <c r="V1532" s="14">
        <f>IF($AN1532="",IF($B1532="","",$H1532),IF(INDEX(職員マスタ!$B$6:$B$405,$AN1532)="",$H1532,INDEX(職員マスタ!$B$6:$B$405,$AN1532)))</f>
        <v/>
      </c>
      <c r="W1532" s="14">
        <f>IF($AN1532="",IF($B1532="","",$R1532),IF(INDEX(職員マスタ!$C$6:$C$405,$AN1532)="",$R1532,INDEX(職員マスタ!$C$6:$C$405,$AN1532)))</f>
        <v/>
      </c>
      <c r="X1532" s="14">
        <f>IF($AO1532="","","R"&amp;$C1532&amp;"."&amp;$D1532)</f>
        <v/>
      </c>
      <c r="Y1532" s="15">
        <f>IF($AN1532="","",IF(INDEX(職員マスタ!$K$6:$K$405,$AN1532)="","",INDEX(職員マスタ!$K$6:$K$405,$AN1532)))</f>
        <v/>
      </c>
      <c r="Z1532" s="14">
        <f>IF(OR($E1532="",$Y1532=""),"",IF($E1532&gt;=$Y1532,"×",IF($E1532&gt;=$Y1532*設定!$C$5,"△","○")))</f>
        <v/>
      </c>
      <c r="AA1532" s="15">
        <f>IF($Z1532="","",IF($Z1532="×",0,IF($Z1532="○",ROUNDDOWN($E1532*設定!$C$4,0),ROUNDDOWN($E1532*ROUND((9*$Y1532-9*$E1532)/(10*$E1532),4),0))))</f>
        <v/>
      </c>
      <c r="AB1532" s="13" t="n"/>
      <c r="AC1532" s="15">
        <f>IF($B1532="","",IF($AB1532&lt;&gt;"",$AB1532,IF($AA1532="","",IF($AA1532&lt;=設定!$C$3,0,$AA1532))))</f>
        <v/>
      </c>
      <c r="AD1532" s="14">
        <f>IF($B1532="","",IF(AND($AE1532&lt;&gt;"",$AG1532="",$AJ1532=""),"保留中",IF($AJ1532&lt;&gt;"",IF(N($AC1532)&gt;0,"支給済","不支給"),IF($AC1532="","要確認",IF($AC1532=0,"不支給","未処理")))))</f>
        <v/>
      </c>
      <c r="AE1532" s="12" t="n"/>
      <c r="AF1532" s="11" t="n"/>
      <c r="AG1532" s="11" t="n"/>
      <c r="AH1532" s="11" t="n"/>
      <c r="AI1532" s="14">
        <f>IF(AND($AD1532="保留中",$AF1532&lt;&gt;""),TODAY()-$AF1532,"")</f>
        <v/>
      </c>
      <c r="AJ1532" s="12" t="n"/>
      <c r="AK1532" s="14">
        <f>IF($B1532="","",IF($AO1532="","対象年月が未入力／","")&amp;IF($B1532="","",IF($AN1532="","職員マスタに未登録の職員番号／",IF($Y1532="","標準報酬月額が未登録／","")&amp;IF(AND($AO1532&lt;&gt;"",OR(AND(INDEX(職員マスタ!$G$6:$G$405,$AN1532)&lt;&gt;"",INDEX(職員マスタ!$G$6:$G$405,$AN1532)&gt;EOMONTH($AO1532,0)),AND(INDEX(職員マスタ!$H$6:$H$405,$AN1532)&lt;&gt;"",INDEX(職員マスタ!$H$6:$H$405,$AN1532)&lt;$AO1532))),"対象月が時短期間外／","")&amp;IF(AND(INDEX(職員マスタ!$F$6:$F$405,$AN1532)&lt;&gt;"",$AO1532&lt;&gt;"",INDEX(職員マスタ!$F$6:$F$405,$AN1532)&lt;$AO1532),"対象月に子が2歳到達済／","")&amp;IF(AND($H1532&lt;&gt;"",INDEX(職員マスタ!$B$6:$B$405,$AN1532)&lt;&gt;"",SUBSTITUTE(SUBSTITUTE($H1532," ","")," ","")&lt;&gt;SUBSTITUTE(SUBSTITUTE(INDEX(職員マスタ!$B$6:$B$405,$AN1532)," ","")," ","")),"氏名がマスタと相違／","")&amp;IF(AND($Q1532&lt;&gt;"",INDEX(職員マスタ!$E$6:$E$405,$AN1532)&lt;&gt;"",$Q1532&lt;&gt;INDEX(職員マスタ!$E$6:$E$405,$AN1532)),"子の生年月日がマスタと相違／","")&amp;IF(AND($L1532&lt;&gt;"",INDEX(職員マスタ!$G$6:$G$405,$AN1532)&lt;&gt;"",$L1532&lt;&gt;INDEX(職員マスタ!$G$6:$G$405,$AN1532)),"時短開始日がマスタと相違／","")&amp;IF(AND($M1532&lt;&gt;"",INDEX(職員マスタ!$H$6:$H$405,$AN1532)&lt;&gt;"",$M1532&lt;&gt;INDEX(職員マスタ!$H$6:$H$405,$AN1532)),"時短終了日がマスタと相違／","")))&amp;IF(AND($B1532&lt;&gt;"",$E1532=""),"報酬額が未入力／","")&amp;IF(N($U1532)&gt;0,"申請書に入力エラーが残っています／","")&amp;IF(AND($B1532&lt;&gt;"",$AO1532&lt;&gt;""),IF(COUNTIFS($B$6:$B$3005,$B1532,$C$6:$C$3005,$C1532,$D$6:$D$3005,$D1532)&gt;1,"同じ月の請求が重複しています／",""),"")&amp;IF(AND(N($E1532)&gt;0,$Z1532&lt;&gt;"",$Z1532&lt;&gt;"×",$AC1532=0,$AB1532=""),"計算額が下限以下のため不支給／",""))</f>
        <v/>
      </c>
      <c r="AL1532" s="12" t="n"/>
      <c r="AM1532" s="14">
        <f>IF($AD1532="保留中",COUNTIF($AD$6:$AD1532,"保留中"),"")</f>
        <v/>
      </c>
      <c r="AN1532" s="14">
        <f>IF($AO1532="","",IF(SUMPRODUCT(MAX((職員マスタ!$A$6:$A$405=$B1532)*(((職員マスタ!$G$6:$G$405="")+(職員マスタ!$G$6:$G$405&lt;=EOMONTH($AO1532,0)))&gt;0)*(((職員マスタ!$H$6:$H$405="")+(職員マスタ!$H$6:$H$405&gt;=$AO1532))&gt;0)*(ROW(職員マスタ!$A$6:$A$405)-5)))&gt;0,SUMPRODUCT(MAX((職員マスタ!$A$6:$A$405=$B1532)*(((職員マスタ!$G$6:$G$405="")+(職員マスタ!$G$6:$G$405&lt;=EOMONTH($AO1532,0)))&gt;0)*(((職員マスタ!$H$6:$H$405="")+(職員マスタ!$H$6:$H$405&gt;=$AO1532))&gt;0)*(ROW(職員マスタ!$A$6:$A$405)-5))),IFERROR(MATCH($B1532,職員マスタ!$A$6:$A$405,0),"")))</f>
        <v/>
      </c>
      <c r="AO1532" s="16">
        <f>IF(OR($B1532="",$C1532="",$D1532=""),"",DATE($C1532+2018,$D1532,1))</f>
        <v/>
      </c>
    </row>
    <row r="1533">
      <c r="A1533" s="11" t="n"/>
      <c r="B1533" s="12" t="n"/>
      <c r="C1533" s="12" t="n"/>
      <c r="D1533" s="12" t="n"/>
      <c r="E1533" s="13" t="n"/>
      <c r="F1533" s="12" t="n"/>
      <c r="G1533" s="13" t="n"/>
      <c r="H1533" s="12" t="n"/>
      <c r="I1533" s="12" t="n"/>
      <c r="J1533" s="12" t="n"/>
      <c r="K1533" s="12" t="n"/>
      <c r="L1533" s="11" t="n"/>
      <c r="M1533" s="11" t="n"/>
      <c r="N1533" s="11" t="n"/>
      <c r="O1533" s="11" t="n"/>
      <c r="P1533" s="12" t="n"/>
      <c r="Q1533" s="11" t="n"/>
      <c r="R1533" s="12" t="n"/>
      <c r="S1533" s="11" t="n"/>
      <c r="T1533" s="12" t="n"/>
      <c r="U1533" s="12" t="n"/>
      <c r="V1533" s="14">
        <f>IF($AN1533="",IF($B1533="","",$H1533),IF(INDEX(職員マスタ!$B$6:$B$405,$AN1533)="",$H1533,INDEX(職員マスタ!$B$6:$B$405,$AN1533)))</f>
        <v/>
      </c>
      <c r="W1533" s="14">
        <f>IF($AN1533="",IF($B1533="","",$R1533),IF(INDEX(職員マスタ!$C$6:$C$405,$AN1533)="",$R1533,INDEX(職員マスタ!$C$6:$C$405,$AN1533)))</f>
        <v/>
      </c>
      <c r="X1533" s="14">
        <f>IF($AO1533="","","R"&amp;$C1533&amp;"."&amp;$D1533)</f>
        <v/>
      </c>
      <c r="Y1533" s="15">
        <f>IF($AN1533="","",IF(INDEX(職員マスタ!$K$6:$K$405,$AN1533)="","",INDEX(職員マスタ!$K$6:$K$405,$AN1533)))</f>
        <v/>
      </c>
      <c r="Z1533" s="14">
        <f>IF(OR($E1533="",$Y1533=""),"",IF($E1533&gt;=$Y1533,"×",IF($E1533&gt;=$Y1533*設定!$C$5,"△","○")))</f>
        <v/>
      </c>
      <c r="AA1533" s="15">
        <f>IF($Z1533="","",IF($Z1533="×",0,IF($Z1533="○",ROUNDDOWN($E1533*設定!$C$4,0),ROUNDDOWN($E1533*ROUND((9*$Y1533-9*$E1533)/(10*$E1533),4),0))))</f>
        <v/>
      </c>
      <c r="AB1533" s="13" t="n"/>
      <c r="AC1533" s="15">
        <f>IF($B1533="","",IF($AB1533&lt;&gt;"",$AB1533,IF($AA1533="","",IF($AA1533&lt;=設定!$C$3,0,$AA1533))))</f>
        <v/>
      </c>
      <c r="AD1533" s="14">
        <f>IF($B1533="","",IF(AND($AE1533&lt;&gt;"",$AG1533="",$AJ1533=""),"保留中",IF($AJ1533&lt;&gt;"",IF(N($AC1533)&gt;0,"支給済","不支給"),IF($AC1533="","要確認",IF($AC1533=0,"不支給","未処理")))))</f>
        <v/>
      </c>
      <c r="AE1533" s="12" t="n"/>
      <c r="AF1533" s="11" t="n"/>
      <c r="AG1533" s="11" t="n"/>
      <c r="AH1533" s="11" t="n"/>
      <c r="AI1533" s="14">
        <f>IF(AND($AD1533="保留中",$AF1533&lt;&gt;""),TODAY()-$AF1533,"")</f>
        <v/>
      </c>
      <c r="AJ1533" s="12" t="n"/>
      <c r="AK1533" s="14">
        <f>IF($B1533="","",IF($AO1533="","対象年月が未入力／","")&amp;IF($B1533="","",IF($AN1533="","職員マスタに未登録の職員番号／",IF($Y1533="","標準報酬月額が未登録／","")&amp;IF(AND($AO1533&lt;&gt;"",OR(AND(INDEX(職員マスタ!$G$6:$G$405,$AN1533)&lt;&gt;"",INDEX(職員マスタ!$G$6:$G$405,$AN1533)&gt;EOMONTH($AO1533,0)),AND(INDEX(職員マスタ!$H$6:$H$405,$AN1533)&lt;&gt;"",INDEX(職員マスタ!$H$6:$H$405,$AN1533)&lt;$AO1533))),"対象月が時短期間外／","")&amp;IF(AND(INDEX(職員マスタ!$F$6:$F$405,$AN1533)&lt;&gt;"",$AO1533&lt;&gt;"",INDEX(職員マスタ!$F$6:$F$405,$AN1533)&lt;$AO1533),"対象月に子が2歳到達済／","")&amp;IF(AND($H1533&lt;&gt;"",INDEX(職員マスタ!$B$6:$B$405,$AN1533)&lt;&gt;"",SUBSTITUTE(SUBSTITUTE($H1533," ","")," ","")&lt;&gt;SUBSTITUTE(SUBSTITUTE(INDEX(職員マスタ!$B$6:$B$405,$AN1533)," ","")," ","")),"氏名がマスタと相違／","")&amp;IF(AND($Q1533&lt;&gt;"",INDEX(職員マスタ!$E$6:$E$405,$AN1533)&lt;&gt;"",$Q1533&lt;&gt;INDEX(職員マスタ!$E$6:$E$405,$AN1533)),"子の生年月日がマスタと相違／","")&amp;IF(AND($L1533&lt;&gt;"",INDEX(職員マスタ!$G$6:$G$405,$AN1533)&lt;&gt;"",$L1533&lt;&gt;INDEX(職員マスタ!$G$6:$G$405,$AN1533)),"時短開始日がマスタと相違／","")&amp;IF(AND($M1533&lt;&gt;"",INDEX(職員マスタ!$H$6:$H$405,$AN1533)&lt;&gt;"",$M1533&lt;&gt;INDEX(職員マスタ!$H$6:$H$405,$AN1533)),"時短終了日がマスタと相違／","")))&amp;IF(AND($B1533&lt;&gt;"",$E1533=""),"報酬額が未入力／","")&amp;IF(N($U1533)&gt;0,"申請書に入力エラーが残っています／","")&amp;IF(AND($B1533&lt;&gt;"",$AO1533&lt;&gt;""),IF(COUNTIFS($B$6:$B$3005,$B1533,$C$6:$C$3005,$C1533,$D$6:$D$3005,$D1533)&gt;1,"同じ月の請求が重複しています／",""),"")&amp;IF(AND(N($E1533)&gt;0,$Z1533&lt;&gt;"",$Z1533&lt;&gt;"×",$AC1533=0,$AB1533=""),"計算額が下限以下のため不支給／",""))</f>
        <v/>
      </c>
      <c r="AL1533" s="12" t="n"/>
      <c r="AM1533" s="14">
        <f>IF($AD1533="保留中",COUNTIF($AD$6:$AD1533,"保留中"),"")</f>
        <v/>
      </c>
      <c r="AN1533" s="14">
        <f>IF($AO1533="","",IF(SUMPRODUCT(MAX((職員マスタ!$A$6:$A$405=$B1533)*(((職員マスタ!$G$6:$G$405="")+(職員マスタ!$G$6:$G$405&lt;=EOMONTH($AO1533,0)))&gt;0)*(((職員マスタ!$H$6:$H$405="")+(職員マスタ!$H$6:$H$405&gt;=$AO1533))&gt;0)*(ROW(職員マスタ!$A$6:$A$405)-5)))&gt;0,SUMPRODUCT(MAX((職員マスタ!$A$6:$A$405=$B1533)*(((職員マスタ!$G$6:$G$405="")+(職員マスタ!$G$6:$G$405&lt;=EOMONTH($AO1533,0)))&gt;0)*(((職員マスタ!$H$6:$H$405="")+(職員マスタ!$H$6:$H$405&gt;=$AO1533))&gt;0)*(ROW(職員マスタ!$A$6:$A$405)-5))),IFERROR(MATCH($B1533,職員マスタ!$A$6:$A$405,0),"")))</f>
        <v/>
      </c>
      <c r="AO1533" s="16">
        <f>IF(OR($B1533="",$C1533="",$D1533=""),"",DATE($C1533+2018,$D1533,1))</f>
        <v/>
      </c>
    </row>
    <row r="1534">
      <c r="A1534" s="11" t="n"/>
      <c r="B1534" s="12" t="n"/>
      <c r="C1534" s="12" t="n"/>
      <c r="D1534" s="12" t="n"/>
      <c r="E1534" s="13" t="n"/>
      <c r="F1534" s="12" t="n"/>
      <c r="G1534" s="13" t="n"/>
      <c r="H1534" s="12" t="n"/>
      <c r="I1534" s="12" t="n"/>
      <c r="J1534" s="12" t="n"/>
      <c r="K1534" s="12" t="n"/>
      <c r="L1534" s="11" t="n"/>
      <c r="M1534" s="11" t="n"/>
      <c r="N1534" s="11" t="n"/>
      <c r="O1534" s="11" t="n"/>
      <c r="P1534" s="12" t="n"/>
      <c r="Q1534" s="11" t="n"/>
      <c r="R1534" s="12" t="n"/>
      <c r="S1534" s="11" t="n"/>
      <c r="T1534" s="12" t="n"/>
      <c r="U1534" s="12" t="n"/>
      <c r="V1534" s="14">
        <f>IF($AN1534="",IF($B1534="","",$H1534),IF(INDEX(職員マスタ!$B$6:$B$405,$AN1534)="",$H1534,INDEX(職員マスタ!$B$6:$B$405,$AN1534)))</f>
        <v/>
      </c>
      <c r="W1534" s="14">
        <f>IF($AN1534="",IF($B1534="","",$R1534),IF(INDEX(職員マスタ!$C$6:$C$405,$AN1534)="",$R1534,INDEX(職員マスタ!$C$6:$C$405,$AN1534)))</f>
        <v/>
      </c>
      <c r="X1534" s="14">
        <f>IF($AO1534="","","R"&amp;$C1534&amp;"."&amp;$D1534)</f>
        <v/>
      </c>
      <c r="Y1534" s="15">
        <f>IF($AN1534="","",IF(INDEX(職員マスタ!$K$6:$K$405,$AN1534)="","",INDEX(職員マスタ!$K$6:$K$405,$AN1534)))</f>
        <v/>
      </c>
      <c r="Z1534" s="14">
        <f>IF(OR($E1534="",$Y1534=""),"",IF($E1534&gt;=$Y1534,"×",IF($E1534&gt;=$Y1534*設定!$C$5,"△","○")))</f>
        <v/>
      </c>
      <c r="AA1534" s="15">
        <f>IF($Z1534="","",IF($Z1534="×",0,IF($Z1534="○",ROUNDDOWN($E1534*設定!$C$4,0),ROUNDDOWN($E1534*ROUND((9*$Y1534-9*$E1534)/(10*$E1534),4),0))))</f>
        <v/>
      </c>
      <c r="AB1534" s="13" t="n"/>
      <c r="AC1534" s="15">
        <f>IF($B1534="","",IF($AB1534&lt;&gt;"",$AB1534,IF($AA1534="","",IF($AA1534&lt;=設定!$C$3,0,$AA1534))))</f>
        <v/>
      </c>
      <c r="AD1534" s="14">
        <f>IF($B1534="","",IF(AND($AE1534&lt;&gt;"",$AG1534="",$AJ1534=""),"保留中",IF($AJ1534&lt;&gt;"",IF(N($AC1534)&gt;0,"支給済","不支給"),IF($AC1534="","要確認",IF($AC1534=0,"不支給","未処理")))))</f>
        <v/>
      </c>
      <c r="AE1534" s="12" t="n"/>
      <c r="AF1534" s="11" t="n"/>
      <c r="AG1534" s="11" t="n"/>
      <c r="AH1534" s="11" t="n"/>
      <c r="AI1534" s="14">
        <f>IF(AND($AD1534="保留中",$AF1534&lt;&gt;""),TODAY()-$AF1534,"")</f>
        <v/>
      </c>
      <c r="AJ1534" s="12" t="n"/>
      <c r="AK1534" s="14">
        <f>IF($B1534="","",IF($AO1534="","対象年月が未入力／","")&amp;IF($B1534="","",IF($AN1534="","職員マスタに未登録の職員番号／",IF($Y1534="","標準報酬月額が未登録／","")&amp;IF(AND($AO1534&lt;&gt;"",OR(AND(INDEX(職員マスタ!$G$6:$G$405,$AN1534)&lt;&gt;"",INDEX(職員マスタ!$G$6:$G$405,$AN1534)&gt;EOMONTH($AO1534,0)),AND(INDEX(職員マスタ!$H$6:$H$405,$AN1534)&lt;&gt;"",INDEX(職員マスタ!$H$6:$H$405,$AN1534)&lt;$AO1534))),"対象月が時短期間外／","")&amp;IF(AND(INDEX(職員マスタ!$F$6:$F$405,$AN1534)&lt;&gt;"",$AO1534&lt;&gt;"",INDEX(職員マスタ!$F$6:$F$405,$AN1534)&lt;$AO1534),"対象月に子が2歳到達済／","")&amp;IF(AND($H1534&lt;&gt;"",INDEX(職員マスタ!$B$6:$B$405,$AN1534)&lt;&gt;"",SUBSTITUTE(SUBSTITUTE($H1534," ","")," ","")&lt;&gt;SUBSTITUTE(SUBSTITUTE(INDEX(職員マスタ!$B$6:$B$405,$AN1534)," ","")," ","")),"氏名がマスタと相違／","")&amp;IF(AND($Q1534&lt;&gt;"",INDEX(職員マスタ!$E$6:$E$405,$AN1534)&lt;&gt;"",$Q1534&lt;&gt;INDEX(職員マスタ!$E$6:$E$405,$AN1534)),"子の生年月日がマスタと相違／","")&amp;IF(AND($L1534&lt;&gt;"",INDEX(職員マスタ!$G$6:$G$405,$AN1534)&lt;&gt;"",$L1534&lt;&gt;INDEX(職員マスタ!$G$6:$G$405,$AN1534)),"時短開始日がマスタと相違／","")&amp;IF(AND($M1534&lt;&gt;"",INDEX(職員マスタ!$H$6:$H$405,$AN1534)&lt;&gt;"",$M1534&lt;&gt;INDEX(職員マスタ!$H$6:$H$405,$AN1534)),"時短終了日がマスタと相違／","")))&amp;IF(AND($B1534&lt;&gt;"",$E1534=""),"報酬額が未入力／","")&amp;IF(N($U1534)&gt;0,"申請書に入力エラーが残っています／","")&amp;IF(AND($B1534&lt;&gt;"",$AO1534&lt;&gt;""),IF(COUNTIFS($B$6:$B$3005,$B1534,$C$6:$C$3005,$C1534,$D$6:$D$3005,$D1534)&gt;1,"同じ月の請求が重複しています／",""),"")&amp;IF(AND(N($E1534)&gt;0,$Z1534&lt;&gt;"",$Z1534&lt;&gt;"×",$AC1534=0,$AB1534=""),"計算額が下限以下のため不支給／",""))</f>
        <v/>
      </c>
      <c r="AL1534" s="12" t="n"/>
      <c r="AM1534" s="14">
        <f>IF($AD1534="保留中",COUNTIF($AD$6:$AD1534,"保留中"),"")</f>
        <v/>
      </c>
      <c r="AN1534" s="14">
        <f>IF($AO1534="","",IF(SUMPRODUCT(MAX((職員マスタ!$A$6:$A$405=$B1534)*(((職員マスタ!$G$6:$G$405="")+(職員マスタ!$G$6:$G$405&lt;=EOMONTH($AO1534,0)))&gt;0)*(((職員マスタ!$H$6:$H$405="")+(職員マスタ!$H$6:$H$405&gt;=$AO1534))&gt;0)*(ROW(職員マスタ!$A$6:$A$405)-5)))&gt;0,SUMPRODUCT(MAX((職員マスタ!$A$6:$A$405=$B1534)*(((職員マスタ!$G$6:$G$405="")+(職員マスタ!$G$6:$G$405&lt;=EOMONTH($AO1534,0)))&gt;0)*(((職員マスタ!$H$6:$H$405="")+(職員マスタ!$H$6:$H$405&gt;=$AO1534))&gt;0)*(ROW(職員マスタ!$A$6:$A$405)-5))),IFERROR(MATCH($B1534,職員マスタ!$A$6:$A$405,0),"")))</f>
        <v/>
      </c>
      <c r="AO1534" s="16">
        <f>IF(OR($B1534="",$C1534="",$D1534=""),"",DATE($C1534+2018,$D1534,1))</f>
        <v/>
      </c>
    </row>
    <row r="1535">
      <c r="A1535" s="11" t="n"/>
      <c r="B1535" s="12" t="n"/>
      <c r="C1535" s="12" t="n"/>
      <c r="D1535" s="12" t="n"/>
      <c r="E1535" s="13" t="n"/>
      <c r="F1535" s="12" t="n"/>
      <c r="G1535" s="13" t="n"/>
      <c r="H1535" s="12" t="n"/>
      <c r="I1535" s="12" t="n"/>
      <c r="J1535" s="12" t="n"/>
      <c r="K1535" s="12" t="n"/>
      <c r="L1535" s="11" t="n"/>
      <c r="M1535" s="11" t="n"/>
      <c r="N1535" s="11" t="n"/>
      <c r="O1535" s="11" t="n"/>
      <c r="P1535" s="12" t="n"/>
      <c r="Q1535" s="11" t="n"/>
      <c r="R1535" s="12" t="n"/>
      <c r="S1535" s="11" t="n"/>
      <c r="T1535" s="12" t="n"/>
      <c r="U1535" s="12" t="n"/>
      <c r="V1535" s="14">
        <f>IF($AN1535="",IF($B1535="","",$H1535),IF(INDEX(職員マスタ!$B$6:$B$405,$AN1535)="",$H1535,INDEX(職員マスタ!$B$6:$B$405,$AN1535)))</f>
        <v/>
      </c>
      <c r="W1535" s="14">
        <f>IF($AN1535="",IF($B1535="","",$R1535),IF(INDEX(職員マスタ!$C$6:$C$405,$AN1535)="",$R1535,INDEX(職員マスタ!$C$6:$C$405,$AN1535)))</f>
        <v/>
      </c>
      <c r="X1535" s="14">
        <f>IF($AO1535="","","R"&amp;$C1535&amp;"."&amp;$D1535)</f>
        <v/>
      </c>
      <c r="Y1535" s="15">
        <f>IF($AN1535="","",IF(INDEX(職員マスタ!$K$6:$K$405,$AN1535)="","",INDEX(職員マスタ!$K$6:$K$405,$AN1535)))</f>
        <v/>
      </c>
      <c r="Z1535" s="14">
        <f>IF(OR($E1535="",$Y1535=""),"",IF($E1535&gt;=$Y1535,"×",IF($E1535&gt;=$Y1535*設定!$C$5,"△","○")))</f>
        <v/>
      </c>
      <c r="AA1535" s="15">
        <f>IF($Z1535="","",IF($Z1535="×",0,IF($Z1535="○",ROUNDDOWN($E1535*設定!$C$4,0),ROUNDDOWN($E1535*ROUND((9*$Y1535-9*$E1535)/(10*$E1535),4),0))))</f>
        <v/>
      </c>
      <c r="AB1535" s="13" t="n"/>
      <c r="AC1535" s="15">
        <f>IF($B1535="","",IF($AB1535&lt;&gt;"",$AB1535,IF($AA1535="","",IF($AA1535&lt;=設定!$C$3,0,$AA1535))))</f>
        <v/>
      </c>
      <c r="AD1535" s="14">
        <f>IF($B1535="","",IF(AND($AE1535&lt;&gt;"",$AG1535="",$AJ1535=""),"保留中",IF($AJ1535&lt;&gt;"",IF(N($AC1535)&gt;0,"支給済","不支給"),IF($AC1535="","要確認",IF($AC1535=0,"不支給","未処理")))))</f>
        <v/>
      </c>
      <c r="AE1535" s="12" t="n"/>
      <c r="AF1535" s="11" t="n"/>
      <c r="AG1535" s="11" t="n"/>
      <c r="AH1535" s="11" t="n"/>
      <c r="AI1535" s="14">
        <f>IF(AND($AD1535="保留中",$AF1535&lt;&gt;""),TODAY()-$AF1535,"")</f>
        <v/>
      </c>
      <c r="AJ1535" s="12" t="n"/>
      <c r="AK1535" s="14">
        <f>IF($B1535="","",IF($AO1535="","対象年月が未入力／","")&amp;IF($B1535="","",IF($AN1535="","職員マスタに未登録の職員番号／",IF($Y1535="","標準報酬月額が未登録／","")&amp;IF(AND($AO1535&lt;&gt;"",OR(AND(INDEX(職員マスタ!$G$6:$G$405,$AN1535)&lt;&gt;"",INDEX(職員マスタ!$G$6:$G$405,$AN1535)&gt;EOMONTH($AO1535,0)),AND(INDEX(職員マスタ!$H$6:$H$405,$AN1535)&lt;&gt;"",INDEX(職員マスタ!$H$6:$H$405,$AN1535)&lt;$AO1535))),"対象月が時短期間外／","")&amp;IF(AND(INDEX(職員マスタ!$F$6:$F$405,$AN1535)&lt;&gt;"",$AO1535&lt;&gt;"",INDEX(職員マスタ!$F$6:$F$405,$AN1535)&lt;$AO1535),"対象月に子が2歳到達済／","")&amp;IF(AND($H1535&lt;&gt;"",INDEX(職員マスタ!$B$6:$B$405,$AN1535)&lt;&gt;"",SUBSTITUTE(SUBSTITUTE($H1535," ","")," ","")&lt;&gt;SUBSTITUTE(SUBSTITUTE(INDEX(職員マスタ!$B$6:$B$405,$AN1535)," ","")," ","")),"氏名がマスタと相違／","")&amp;IF(AND($Q1535&lt;&gt;"",INDEX(職員マスタ!$E$6:$E$405,$AN1535)&lt;&gt;"",$Q1535&lt;&gt;INDEX(職員マスタ!$E$6:$E$405,$AN1535)),"子の生年月日がマスタと相違／","")&amp;IF(AND($L1535&lt;&gt;"",INDEX(職員マスタ!$G$6:$G$405,$AN1535)&lt;&gt;"",$L1535&lt;&gt;INDEX(職員マスタ!$G$6:$G$405,$AN1535)),"時短開始日がマスタと相違／","")&amp;IF(AND($M1535&lt;&gt;"",INDEX(職員マスタ!$H$6:$H$405,$AN1535)&lt;&gt;"",$M1535&lt;&gt;INDEX(職員マスタ!$H$6:$H$405,$AN1535)),"時短終了日がマスタと相違／","")))&amp;IF(AND($B1535&lt;&gt;"",$E1535=""),"報酬額が未入力／","")&amp;IF(N($U1535)&gt;0,"申請書に入力エラーが残っています／","")&amp;IF(AND($B1535&lt;&gt;"",$AO1535&lt;&gt;""),IF(COUNTIFS($B$6:$B$3005,$B1535,$C$6:$C$3005,$C1535,$D$6:$D$3005,$D1535)&gt;1,"同じ月の請求が重複しています／",""),"")&amp;IF(AND(N($E1535)&gt;0,$Z1535&lt;&gt;"",$Z1535&lt;&gt;"×",$AC1535=0,$AB1535=""),"計算額が下限以下のため不支給／",""))</f>
        <v/>
      </c>
      <c r="AL1535" s="12" t="n"/>
      <c r="AM1535" s="14">
        <f>IF($AD1535="保留中",COUNTIF($AD$6:$AD1535,"保留中"),"")</f>
        <v/>
      </c>
      <c r="AN1535" s="14">
        <f>IF($AO1535="","",IF(SUMPRODUCT(MAX((職員マスタ!$A$6:$A$405=$B1535)*(((職員マスタ!$G$6:$G$405="")+(職員マスタ!$G$6:$G$405&lt;=EOMONTH($AO1535,0)))&gt;0)*(((職員マスタ!$H$6:$H$405="")+(職員マスタ!$H$6:$H$405&gt;=$AO1535))&gt;0)*(ROW(職員マスタ!$A$6:$A$405)-5)))&gt;0,SUMPRODUCT(MAX((職員マスタ!$A$6:$A$405=$B1535)*(((職員マスタ!$G$6:$G$405="")+(職員マスタ!$G$6:$G$405&lt;=EOMONTH($AO1535,0)))&gt;0)*(((職員マスタ!$H$6:$H$405="")+(職員マスタ!$H$6:$H$405&gt;=$AO1535))&gt;0)*(ROW(職員マスタ!$A$6:$A$405)-5))),IFERROR(MATCH($B1535,職員マスタ!$A$6:$A$405,0),"")))</f>
        <v/>
      </c>
      <c r="AO1535" s="16">
        <f>IF(OR($B1535="",$C1535="",$D1535=""),"",DATE($C1535+2018,$D1535,1))</f>
        <v/>
      </c>
    </row>
    <row r="1536">
      <c r="A1536" s="11" t="n"/>
      <c r="B1536" s="12" t="n"/>
      <c r="C1536" s="12" t="n"/>
      <c r="D1536" s="12" t="n"/>
      <c r="E1536" s="13" t="n"/>
      <c r="F1536" s="12" t="n"/>
      <c r="G1536" s="13" t="n"/>
      <c r="H1536" s="12" t="n"/>
      <c r="I1536" s="12" t="n"/>
      <c r="J1536" s="12" t="n"/>
      <c r="K1536" s="12" t="n"/>
      <c r="L1536" s="11" t="n"/>
      <c r="M1536" s="11" t="n"/>
      <c r="N1536" s="11" t="n"/>
      <c r="O1536" s="11" t="n"/>
      <c r="P1536" s="12" t="n"/>
      <c r="Q1536" s="11" t="n"/>
      <c r="R1536" s="12" t="n"/>
      <c r="S1536" s="11" t="n"/>
      <c r="T1536" s="12" t="n"/>
      <c r="U1536" s="12" t="n"/>
      <c r="V1536" s="14">
        <f>IF($AN1536="",IF($B1536="","",$H1536),IF(INDEX(職員マスタ!$B$6:$B$405,$AN1536)="",$H1536,INDEX(職員マスタ!$B$6:$B$405,$AN1536)))</f>
        <v/>
      </c>
      <c r="W1536" s="14">
        <f>IF($AN1536="",IF($B1536="","",$R1536),IF(INDEX(職員マスタ!$C$6:$C$405,$AN1536)="",$R1536,INDEX(職員マスタ!$C$6:$C$405,$AN1536)))</f>
        <v/>
      </c>
      <c r="X1536" s="14">
        <f>IF($AO1536="","","R"&amp;$C1536&amp;"."&amp;$D1536)</f>
        <v/>
      </c>
      <c r="Y1536" s="15">
        <f>IF($AN1536="","",IF(INDEX(職員マスタ!$K$6:$K$405,$AN1536)="","",INDEX(職員マスタ!$K$6:$K$405,$AN1536)))</f>
        <v/>
      </c>
      <c r="Z1536" s="14">
        <f>IF(OR($E1536="",$Y1536=""),"",IF($E1536&gt;=$Y1536,"×",IF($E1536&gt;=$Y1536*設定!$C$5,"△","○")))</f>
        <v/>
      </c>
      <c r="AA1536" s="15">
        <f>IF($Z1536="","",IF($Z1536="×",0,IF($Z1536="○",ROUNDDOWN($E1536*設定!$C$4,0),ROUNDDOWN($E1536*ROUND((9*$Y1536-9*$E1536)/(10*$E1536),4),0))))</f>
        <v/>
      </c>
      <c r="AB1536" s="13" t="n"/>
      <c r="AC1536" s="15">
        <f>IF($B1536="","",IF($AB1536&lt;&gt;"",$AB1536,IF($AA1536="","",IF($AA1536&lt;=設定!$C$3,0,$AA1536))))</f>
        <v/>
      </c>
      <c r="AD1536" s="14">
        <f>IF($B1536="","",IF(AND($AE1536&lt;&gt;"",$AG1536="",$AJ1536=""),"保留中",IF($AJ1536&lt;&gt;"",IF(N($AC1536)&gt;0,"支給済","不支給"),IF($AC1536="","要確認",IF($AC1536=0,"不支給","未処理")))))</f>
        <v/>
      </c>
      <c r="AE1536" s="12" t="n"/>
      <c r="AF1536" s="11" t="n"/>
      <c r="AG1536" s="11" t="n"/>
      <c r="AH1536" s="11" t="n"/>
      <c r="AI1536" s="14">
        <f>IF(AND($AD1536="保留中",$AF1536&lt;&gt;""),TODAY()-$AF1536,"")</f>
        <v/>
      </c>
      <c r="AJ1536" s="12" t="n"/>
      <c r="AK1536" s="14">
        <f>IF($B1536="","",IF($AO1536="","対象年月が未入力／","")&amp;IF($B1536="","",IF($AN1536="","職員マスタに未登録の職員番号／",IF($Y1536="","標準報酬月額が未登録／","")&amp;IF(AND($AO1536&lt;&gt;"",OR(AND(INDEX(職員マスタ!$G$6:$G$405,$AN1536)&lt;&gt;"",INDEX(職員マスタ!$G$6:$G$405,$AN1536)&gt;EOMONTH($AO1536,0)),AND(INDEX(職員マスタ!$H$6:$H$405,$AN1536)&lt;&gt;"",INDEX(職員マスタ!$H$6:$H$405,$AN1536)&lt;$AO1536))),"対象月が時短期間外／","")&amp;IF(AND(INDEX(職員マスタ!$F$6:$F$405,$AN1536)&lt;&gt;"",$AO1536&lt;&gt;"",INDEX(職員マスタ!$F$6:$F$405,$AN1536)&lt;$AO1536),"対象月に子が2歳到達済／","")&amp;IF(AND($H1536&lt;&gt;"",INDEX(職員マスタ!$B$6:$B$405,$AN1536)&lt;&gt;"",SUBSTITUTE(SUBSTITUTE($H1536," ","")," ","")&lt;&gt;SUBSTITUTE(SUBSTITUTE(INDEX(職員マスタ!$B$6:$B$405,$AN1536)," ","")," ","")),"氏名がマスタと相違／","")&amp;IF(AND($Q1536&lt;&gt;"",INDEX(職員マスタ!$E$6:$E$405,$AN1536)&lt;&gt;"",$Q1536&lt;&gt;INDEX(職員マスタ!$E$6:$E$405,$AN1536)),"子の生年月日がマスタと相違／","")&amp;IF(AND($L1536&lt;&gt;"",INDEX(職員マスタ!$G$6:$G$405,$AN1536)&lt;&gt;"",$L1536&lt;&gt;INDEX(職員マスタ!$G$6:$G$405,$AN1536)),"時短開始日がマスタと相違／","")&amp;IF(AND($M1536&lt;&gt;"",INDEX(職員マスタ!$H$6:$H$405,$AN1536)&lt;&gt;"",$M1536&lt;&gt;INDEX(職員マスタ!$H$6:$H$405,$AN1536)),"時短終了日がマスタと相違／","")))&amp;IF(AND($B1536&lt;&gt;"",$E1536=""),"報酬額が未入力／","")&amp;IF(N($U1536)&gt;0,"申請書に入力エラーが残っています／","")&amp;IF(AND($B1536&lt;&gt;"",$AO1536&lt;&gt;""),IF(COUNTIFS($B$6:$B$3005,$B1536,$C$6:$C$3005,$C1536,$D$6:$D$3005,$D1536)&gt;1,"同じ月の請求が重複しています／",""),"")&amp;IF(AND(N($E1536)&gt;0,$Z1536&lt;&gt;"",$Z1536&lt;&gt;"×",$AC1536=0,$AB1536=""),"計算額が下限以下のため不支給／",""))</f>
        <v/>
      </c>
      <c r="AL1536" s="12" t="n"/>
      <c r="AM1536" s="14">
        <f>IF($AD1536="保留中",COUNTIF($AD$6:$AD1536,"保留中"),"")</f>
        <v/>
      </c>
      <c r="AN1536" s="14">
        <f>IF($AO1536="","",IF(SUMPRODUCT(MAX((職員マスタ!$A$6:$A$405=$B1536)*(((職員マスタ!$G$6:$G$405="")+(職員マスタ!$G$6:$G$405&lt;=EOMONTH($AO1536,0)))&gt;0)*(((職員マスタ!$H$6:$H$405="")+(職員マスタ!$H$6:$H$405&gt;=$AO1536))&gt;0)*(ROW(職員マスタ!$A$6:$A$405)-5)))&gt;0,SUMPRODUCT(MAX((職員マスタ!$A$6:$A$405=$B1536)*(((職員マスタ!$G$6:$G$405="")+(職員マスタ!$G$6:$G$405&lt;=EOMONTH($AO1536,0)))&gt;0)*(((職員マスタ!$H$6:$H$405="")+(職員マスタ!$H$6:$H$405&gt;=$AO1536))&gt;0)*(ROW(職員マスタ!$A$6:$A$405)-5))),IFERROR(MATCH($B1536,職員マスタ!$A$6:$A$405,0),"")))</f>
        <v/>
      </c>
      <c r="AO1536" s="16">
        <f>IF(OR($B1536="",$C1536="",$D1536=""),"",DATE($C1536+2018,$D1536,1))</f>
        <v/>
      </c>
    </row>
    <row r="1537">
      <c r="A1537" s="11" t="n"/>
      <c r="B1537" s="12" t="n"/>
      <c r="C1537" s="12" t="n"/>
      <c r="D1537" s="12" t="n"/>
      <c r="E1537" s="13" t="n"/>
      <c r="F1537" s="12" t="n"/>
      <c r="G1537" s="13" t="n"/>
      <c r="H1537" s="12" t="n"/>
      <c r="I1537" s="12" t="n"/>
      <c r="J1537" s="12" t="n"/>
      <c r="K1537" s="12" t="n"/>
      <c r="L1537" s="11" t="n"/>
      <c r="M1537" s="11" t="n"/>
      <c r="N1537" s="11" t="n"/>
      <c r="O1537" s="11" t="n"/>
      <c r="P1537" s="12" t="n"/>
      <c r="Q1537" s="11" t="n"/>
      <c r="R1537" s="12" t="n"/>
      <c r="S1537" s="11" t="n"/>
      <c r="T1537" s="12" t="n"/>
      <c r="U1537" s="12" t="n"/>
      <c r="V1537" s="14">
        <f>IF($AN1537="",IF($B1537="","",$H1537),IF(INDEX(職員マスタ!$B$6:$B$405,$AN1537)="",$H1537,INDEX(職員マスタ!$B$6:$B$405,$AN1537)))</f>
        <v/>
      </c>
      <c r="W1537" s="14">
        <f>IF($AN1537="",IF($B1537="","",$R1537),IF(INDEX(職員マスタ!$C$6:$C$405,$AN1537)="",$R1537,INDEX(職員マスタ!$C$6:$C$405,$AN1537)))</f>
        <v/>
      </c>
      <c r="X1537" s="14">
        <f>IF($AO1537="","","R"&amp;$C1537&amp;"."&amp;$D1537)</f>
        <v/>
      </c>
      <c r="Y1537" s="15">
        <f>IF($AN1537="","",IF(INDEX(職員マスタ!$K$6:$K$405,$AN1537)="","",INDEX(職員マスタ!$K$6:$K$405,$AN1537)))</f>
        <v/>
      </c>
      <c r="Z1537" s="14">
        <f>IF(OR($E1537="",$Y1537=""),"",IF($E1537&gt;=$Y1537,"×",IF($E1537&gt;=$Y1537*設定!$C$5,"△","○")))</f>
        <v/>
      </c>
      <c r="AA1537" s="15">
        <f>IF($Z1537="","",IF($Z1537="×",0,IF($Z1537="○",ROUNDDOWN($E1537*設定!$C$4,0),ROUNDDOWN($E1537*ROUND((9*$Y1537-9*$E1537)/(10*$E1537),4),0))))</f>
        <v/>
      </c>
      <c r="AB1537" s="13" t="n"/>
      <c r="AC1537" s="15">
        <f>IF($B1537="","",IF($AB1537&lt;&gt;"",$AB1537,IF($AA1537="","",IF($AA1537&lt;=設定!$C$3,0,$AA1537))))</f>
        <v/>
      </c>
      <c r="AD1537" s="14">
        <f>IF($B1537="","",IF(AND($AE1537&lt;&gt;"",$AG1537="",$AJ1537=""),"保留中",IF($AJ1537&lt;&gt;"",IF(N($AC1537)&gt;0,"支給済","不支給"),IF($AC1537="","要確認",IF($AC1537=0,"不支給","未処理")))))</f>
        <v/>
      </c>
      <c r="AE1537" s="12" t="n"/>
      <c r="AF1537" s="11" t="n"/>
      <c r="AG1537" s="11" t="n"/>
      <c r="AH1537" s="11" t="n"/>
      <c r="AI1537" s="14">
        <f>IF(AND($AD1537="保留中",$AF1537&lt;&gt;""),TODAY()-$AF1537,"")</f>
        <v/>
      </c>
      <c r="AJ1537" s="12" t="n"/>
      <c r="AK1537" s="14">
        <f>IF($B1537="","",IF($AO1537="","対象年月が未入力／","")&amp;IF($B1537="","",IF($AN1537="","職員マスタに未登録の職員番号／",IF($Y1537="","標準報酬月額が未登録／","")&amp;IF(AND($AO1537&lt;&gt;"",OR(AND(INDEX(職員マスタ!$G$6:$G$405,$AN1537)&lt;&gt;"",INDEX(職員マスタ!$G$6:$G$405,$AN1537)&gt;EOMONTH($AO1537,0)),AND(INDEX(職員マスタ!$H$6:$H$405,$AN1537)&lt;&gt;"",INDEX(職員マスタ!$H$6:$H$405,$AN1537)&lt;$AO1537))),"対象月が時短期間外／","")&amp;IF(AND(INDEX(職員マスタ!$F$6:$F$405,$AN1537)&lt;&gt;"",$AO1537&lt;&gt;"",INDEX(職員マスタ!$F$6:$F$405,$AN1537)&lt;$AO1537),"対象月に子が2歳到達済／","")&amp;IF(AND($H1537&lt;&gt;"",INDEX(職員マスタ!$B$6:$B$405,$AN1537)&lt;&gt;"",SUBSTITUTE(SUBSTITUTE($H1537," ","")," ","")&lt;&gt;SUBSTITUTE(SUBSTITUTE(INDEX(職員マスタ!$B$6:$B$405,$AN1537)," ","")," ","")),"氏名がマスタと相違／","")&amp;IF(AND($Q1537&lt;&gt;"",INDEX(職員マスタ!$E$6:$E$405,$AN1537)&lt;&gt;"",$Q1537&lt;&gt;INDEX(職員マスタ!$E$6:$E$405,$AN1537)),"子の生年月日がマスタと相違／","")&amp;IF(AND($L1537&lt;&gt;"",INDEX(職員マスタ!$G$6:$G$405,$AN1537)&lt;&gt;"",$L1537&lt;&gt;INDEX(職員マスタ!$G$6:$G$405,$AN1537)),"時短開始日がマスタと相違／","")&amp;IF(AND($M1537&lt;&gt;"",INDEX(職員マスタ!$H$6:$H$405,$AN1537)&lt;&gt;"",$M1537&lt;&gt;INDEX(職員マスタ!$H$6:$H$405,$AN1537)),"時短終了日がマスタと相違／","")))&amp;IF(AND($B1537&lt;&gt;"",$E1537=""),"報酬額が未入力／","")&amp;IF(N($U1537)&gt;0,"申請書に入力エラーが残っています／","")&amp;IF(AND($B1537&lt;&gt;"",$AO1537&lt;&gt;""),IF(COUNTIFS($B$6:$B$3005,$B1537,$C$6:$C$3005,$C1537,$D$6:$D$3005,$D1537)&gt;1,"同じ月の請求が重複しています／",""),"")&amp;IF(AND(N($E1537)&gt;0,$Z1537&lt;&gt;"",$Z1537&lt;&gt;"×",$AC1537=0,$AB1537=""),"計算額が下限以下のため不支給／",""))</f>
        <v/>
      </c>
      <c r="AL1537" s="12" t="n"/>
      <c r="AM1537" s="14">
        <f>IF($AD1537="保留中",COUNTIF($AD$6:$AD1537,"保留中"),"")</f>
        <v/>
      </c>
      <c r="AN1537" s="14">
        <f>IF($AO1537="","",IF(SUMPRODUCT(MAX((職員マスタ!$A$6:$A$405=$B1537)*(((職員マスタ!$G$6:$G$405="")+(職員マスタ!$G$6:$G$405&lt;=EOMONTH($AO1537,0)))&gt;0)*(((職員マスタ!$H$6:$H$405="")+(職員マスタ!$H$6:$H$405&gt;=$AO1537))&gt;0)*(ROW(職員マスタ!$A$6:$A$405)-5)))&gt;0,SUMPRODUCT(MAX((職員マスタ!$A$6:$A$405=$B1537)*(((職員マスタ!$G$6:$G$405="")+(職員マスタ!$G$6:$G$405&lt;=EOMONTH($AO1537,0)))&gt;0)*(((職員マスタ!$H$6:$H$405="")+(職員マスタ!$H$6:$H$405&gt;=$AO1537))&gt;0)*(ROW(職員マスタ!$A$6:$A$405)-5))),IFERROR(MATCH($B1537,職員マスタ!$A$6:$A$405,0),"")))</f>
        <v/>
      </c>
      <c r="AO1537" s="16">
        <f>IF(OR($B1537="",$C1537="",$D1537=""),"",DATE($C1537+2018,$D1537,1))</f>
        <v/>
      </c>
    </row>
    <row r="1538">
      <c r="A1538" s="11" t="n"/>
      <c r="B1538" s="12" t="n"/>
      <c r="C1538" s="12" t="n"/>
      <c r="D1538" s="12" t="n"/>
      <c r="E1538" s="13" t="n"/>
      <c r="F1538" s="12" t="n"/>
      <c r="G1538" s="13" t="n"/>
      <c r="H1538" s="12" t="n"/>
      <c r="I1538" s="12" t="n"/>
      <c r="J1538" s="12" t="n"/>
      <c r="K1538" s="12" t="n"/>
      <c r="L1538" s="11" t="n"/>
      <c r="M1538" s="11" t="n"/>
      <c r="N1538" s="11" t="n"/>
      <c r="O1538" s="11" t="n"/>
      <c r="P1538" s="12" t="n"/>
      <c r="Q1538" s="11" t="n"/>
      <c r="R1538" s="12" t="n"/>
      <c r="S1538" s="11" t="n"/>
      <c r="T1538" s="12" t="n"/>
      <c r="U1538" s="12" t="n"/>
      <c r="V1538" s="14">
        <f>IF($AN1538="",IF($B1538="","",$H1538),IF(INDEX(職員マスタ!$B$6:$B$405,$AN1538)="",$H1538,INDEX(職員マスタ!$B$6:$B$405,$AN1538)))</f>
        <v/>
      </c>
      <c r="W1538" s="14">
        <f>IF($AN1538="",IF($B1538="","",$R1538),IF(INDEX(職員マスタ!$C$6:$C$405,$AN1538)="",$R1538,INDEX(職員マスタ!$C$6:$C$405,$AN1538)))</f>
        <v/>
      </c>
      <c r="X1538" s="14">
        <f>IF($AO1538="","","R"&amp;$C1538&amp;"."&amp;$D1538)</f>
        <v/>
      </c>
      <c r="Y1538" s="15">
        <f>IF($AN1538="","",IF(INDEX(職員マスタ!$K$6:$K$405,$AN1538)="","",INDEX(職員マスタ!$K$6:$K$405,$AN1538)))</f>
        <v/>
      </c>
      <c r="Z1538" s="14">
        <f>IF(OR($E1538="",$Y1538=""),"",IF($E1538&gt;=$Y1538,"×",IF($E1538&gt;=$Y1538*設定!$C$5,"△","○")))</f>
        <v/>
      </c>
      <c r="AA1538" s="15">
        <f>IF($Z1538="","",IF($Z1538="×",0,IF($Z1538="○",ROUNDDOWN($E1538*設定!$C$4,0),ROUNDDOWN($E1538*ROUND((9*$Y1538-9*$E1538)/(10*$E1538),4),0))))</f>
        <v/>
      </c>
      <c r="AB1538" s="13" t="n"/>
      <c r="AC1538" s="15">
        <f>IF($B1538="","",IF($AB1538&lt;&gt;"",$AB1538,IF($AA1538="","",IF($AA1538&lt;=設定!$C$3,0,$AA1538))))</f>
        <v/>
      </c>
      <c r="AD1538" s="14">
        <f>IF($B1538="","",IF(AND($AE1538&lt;&gt;"",$AG1538="",$AJ1538=""),"保留中",IF($AJ1538&lt;&gt;"",IF(N($AC1538)&gt;0,"支給済","不支給"),IF($AC1538="","要確認",IF($AC1538=0,"不支給","未処理")))))</f>
        <v/>
      </c>
      <c r="AE1538" s="12" t="n"/>
      <c r="AF1538" s="11" t="n"/>
      <c r="AG1538" s="11" t="n"/>
      <c r="AH1538" s="11" t="n"/>
      <c r="AI1538" s="14">
        <f>IF(AND($AD1538="保留中",$AF1538&lt;&gt;""),TODAY()-$AF1538,"")</f>
        <v/>
      </c>
      <c r="AJ1538" s="12" t="n"/>
      <c r="AK1538" s="14">
        <f>IF($B1538="","",IF($AO1538="","対象年月が未入力／","")&amp;IF($B1538="","",IF($AN1538="","職員マスタに未登録の職員番号／",IF($Y1538="","標準報酬月額が未登録／","")&amp;IF(AND($AO1538&lt;&gt;"",OR(AND(INDEX(職員マスタ!$G$6:$G$405,$AN1538)&lt;&gt;"",INDEX(職員マスタ!$G$6:$G$405,$AN1538)&gt;EOMONTH($AO1538,0)),AND(INDEX(職員マスタ!$H$6:$H$405,$AN1538)&lt;&gt;"",INDEX(職員マスタ!$H$6:$H$405,$AN1538)&lt;$AO1538))),"対象月が時短期間外／","")&amp;IF(AND(INDEX(職員マスタ!$F$6:$F$405,$AN1538)&lt;&gt;"",$AO1538&lt;&gt;"",INDEX(職員マスタ!$F$6:$F$405,$AN1538)&lt;$AO1538),"対象月に子が2歳到達済／","")&amp;IF(AND($H1538&lt;&gt;"",INDEX(職員マスタ!$B$6:$B$405,$AN1538)&lt;&gt;"",SUBSTITUTE(SUBSTITUTE($H1538," ","")," ","")&lt;&gt;SUBSTITUTE(SUBSTITUTE(INDEX(職員マスタ!$B$6:$B$405,$AN1538)," ","")," ","")),"氏名がマスタと相違／","")&amp;IF(AND($Q1538&lt;&gt;"",INDEX(職員マスタ!$E$6:$E$405,$AN1538)&lt;&gt;"",$Q1538&lt;&gt;INDEX(職員マスタ!$E$6:$E$405,$AN1538)),"子の生年月日がマスタと相違／","")&amp;IF(AND($L1538&lt;&gt;"",INDEX(職員マスタ!$G$6:$G$405,$AN1538)&lt;&gt;"",$L1538&lt;&gt;INDEX(職員マスタ!$G$6:$G$405,$AN1538)),"時短開始日がマスタと相違／","")&amp;IF(AND($M1538&lt;&gt;"",INDEX(職員マスタ!$H$6:$H$405,$AN1538)&lt;&gt;"",$M1538&lt;&gt;INDEX(職員マスタ!$H$6:$H$405,$AN1538)),"時短終了日がマスタと相違／","")))&amp;IF(AND($B1538&lt;&gt;"",$E1538=""),"報酬額が未入力／","")&amp;IF(N($U1538)&gt;0,"申請書に入力エラーが残っています／","")&amp;IF(AND($B1538&lt;&gt;"",$AO1538&lt;&gt;""),IF(COUNTIFS($B$6:$B$3005,$B1538,$C$6:$C$3005,$C1538,$D$6:$D$3005,$D1538)&gt;1,"同じ月の請求が重複しています／",""),"")&amp;IF(AND(N($E1538)&gt;0,$Z1538&lt;&gt;"",$Z1538&lt;&gt;"×",$AC1538=0,$AB1538=""),"計算額が下限以下のため不支給／",""))</f>
        <v/>
      </c>
      <c r="AL1538" s="12" t="n"/>
      <c r="AM1538" s="14">
        <f>IF($AD1538="保留中",COUNTIF($AD$6:$AD1538,"保留中"),"")</f>
        <v/>
      </c>
      <c r="AN1538" s="14">
        <f>IF($AO1538="","",IF(SUMPRODUCT(MAX((職員マスタ!$A$6:$A$405=$B1538)*(((職員マスタ!$G$6:$G$405="")+(職員マスタ!$G$6:$G$405&lt;=EOMONTH($AO1538,0)))&gt;0)*(((職員マスタ!$H$6:$H$405="")+(職員マスタ!$H$6:$H$405&gt;=$AO1538))&gt;0)*(ROW(職員マスタ!$A$6:$A$405)-5)))&gt;0,SUMPRODUCT(MAX((職員マスタ!$A$6:$A$405=$B1538)*(((職員マスタ!$G$6:$G$405="")+(職員マスタ!$G$6:$G$405&lt;=EOMONTH($AO1538,0)))&gt;0)*(((職員マスタ!$H$6:$H$405="")+(職員マスタ!$H$6:$H$405&gt;=$AO1538))&gt;0)*(ROW(職員マスタ!$A$6:$A$405)-5))),IFERROR(MATCH($B1538,職員マスタ!$A$6:$A$405,0),"")))</f>
        <v/>
      </c>
      <c r="AO1538" s="16">
        <f>IF(OR($B1538="",$C1538="",$D1538=""),"",DATE($C1538+2018,$D1538,1))</f>
        <v/>
      </c>
    </row>
    <row r="1539">
      <c r="A1539" s="11" t="n"/>
      <c r="B1539" s="12" t="n"/>
      <c r="C1539" s="12" t="n"/>
      <c r="D1539" s="12" t="n"/>
      <c r="E1539" s="13" t="n"/>
      <c r="F1539" s="12" t="n"/>
      <c r="G1539" s="13" t="n"/>
      <c r="H1539" s="12" t="n"/>
      <c r="I1539" s="12" t="n"/>
      <c r="J1539" s="12" t="n"/>
      <c r="K1539" s="12" t="n"/>
      <c r="L1539" s="11" t="n"/>
      <c r="M1539" s="11" t="n"/>
      <c r="N1539" s="11" t="n"/>
      <c r="O1539" s="11" t="n"/>
      <c r="P1539" s="12" t="n"/>
      <c r="Q1539" s="11" t="n"/>
      <c r="R1539" s="12" t="n"/>
      <c r="S1539" s="11" t="n"/>
      <c r="T1539" s="12" t="n"/>
      <c r="U1539" s="12" t="n"/>
      <c r="V1539" s="14">
        <f>IF($AN1539="",IF($B1539="","",$H1539),IF(INDEX(職員マスタ!$B$6:$B$405,$AN1539)="",$H1539,INDEX(職員マスタ!$B$6:$B$405,$AN1539)))</f>
        <v/>
      </c>
      <c r="W1539" s="14">
        <f>IF($AN1539="",IF($B1539="","",$R1539),IF(INDEX(職員マスタ!$C$6:$C$405,$AN1539)="",$R1539,INDEX(職員マスタ!$C$6:$C$405,$AN1539)))</f>
        <v/>
      </c>
      <c r="X1539" s="14">
        <f>IF($AO1539="","","R"&amp;$C1539&amp;"."&amp;$D1539)</f>
        <v/>
      </c>
      <c r="Y1539" s="15">
        <f>IF($AN1539="","",IF(INDEX(職員マスタ!$K$6:$K$405,$AN1539)="","",INDEX(職員マスタ!$K$6:$K$405,$AN1539)))</f>
        <v/>
      </c>
      <c r="Z1539" s="14">
        <f>IF(OR($E1539="",$Y1539=""),"",IF($E1539&gt;=$Y1539,"×",IF($E1539&gt;=$Y1539*設定!$C$5,"△","○")))</f>
        <v/>
      </c>
      <c r="AA1539" s="15">
        <f>IF($Z1539="","",IF($Z1539="×",0,IF($Z1539="○",ROUNDDOWN($E1539*設定!$C$4,0),ROUNDDOWN($E1539*ROUND((9*$Y1539-9*$E1539)/(10*$E1539),4),0))))</f>
        <v/>
      </c>
      <c r="AB1539" s="13" t="n"/>
      <c r="AC1539" s="15">
        <f>IF($B1539="","",IF($AB1539&lt;&gt;"",$AB1539,IF($AA1539="","",IF($AA1539&lt;=設定!$C$3,0,$AA1539))))</f>
        <v/>
      </c>
      <c r="AD1539" s="14">
        <f>IF($B1539="","",IF(AND($AE1539&lt;&gt;"",$AG1539="",$AJ1539=""),"保留中",IF($AJ1539&lt;&gt;"",IF(N($AC1539)&gt;0,"支給済","不支給"),IF($AC1539="","要確認",IF($AC1539=0,"不支給","未処理")))))</f>
        <v/>
      </c>
      <c r="AE1539" s="12" t="n"/>
      <c r="AF1539" s="11" t="n"/>
      <c r="AG1539" s="11" t="n"/>
      <c r="AH1539" s="11" t="n"/>
      <c r="AI1539" s="14">
        <f>IF(AND($AD1539="保留中",$AF1539&lt;&gt;""),TODAY()-$AF1539,"")</f>
        <v/>
      </c>
      <c r="AJ1539" s="12" t="n"/>
      <c r="AK1539" s="14">
        <f>IF($B1539="","",IF($AO1539="","対象年月が未入力／","")&amp;IF($B1539="","",IF($AN1539="","職員マスタに未登録の職員番号／",IF($Y1539="","標準報酬月額が未登録／","")&amp;IF(AND($AO1539&lt;&gt;"",OR(AND(INDEX(職員マスタ!$G$6:$G$405,$AN1539)&lt;&gt;"",INDEX(職員マスタ!$G$6:$G$405,$AN1539)&gt;EOMONTH($AO1539,0)),AND(INDEX(職員マスタ!$H$6:$H$405,$AN1539)&lt;&gt;"",INDEX(職員マスタ!$H$6:$H$405,$AN1539)&lt;$AO1539))),"対象月が時短期間外／","")&amp;IF(AND(INDEX(職員マスタ!$F$6:$F$405,$AN1539)&lt;&gt;"",$AO1539&lt;&gt;"",INDEX(職員マスタ!$F$6:$F$405,$AN1539)&lt;$AO1539),"対象月に子が2歳到達済／","")&amp;IF(AND($H1539&lt;&gt;"",INDEX(職員マスタ!$B$6:$B$405,$AN1539)&lt;&gt;"",SUBSTITUTE(SUBSTITUTE($H1539," ","")," ","")&lt;&gt;SUBSTITUTE(SUBSTITUTE(INDEX(職員マスタ!$B$6:$B$405,$AN1539)," ","")," ","")),"氏名がマスタと相違／","")&amp;IF(AND($Q1539&lt;&gt;"",INDEX(職員マスタ!$E$6:$E$405,$AN1539)&lt;&gt;"",$Q1539&lt;&gt;INDEX(職員マスタ!$E$6:$E$405,$AN1539)),"子の生年月日がマスタと相違／","")&amp;IF(AND($L1539&lt;&gt;"",INDEX(職員マスタ!$G$6:$G$405,$AN1539)&lt;&gt;"",$L1539&lt;&gt;INDEX(職員マスタ!$G$6:$G$405,$AN1539)),"時短開始日がマスタと相違／","")&amp;IF(AND($M1539&lt;&gt;"",INDEX(職員マスタ!$H$6:$H$405,$AN1539)&lt;&gt;"",$M1539&lt;&gt;INDEX(職員マスタ!$H$6:$H$405,$AN1539)),"時短終了日がマスタと相違／","")))&amp;IF(AND($B1539&lt;&gt;"",$E1539=""),"報酬額が未入力／","")&amp;IF(N($U1539)&gt;0,"申請書に入力エラーが残っています／","")&amp;IF(AND($B1539&lt;&gt;"",$AO1539&lt;&gt;""),IF(COUNTIFS($B$6:$B$3005,$B1539,$C$6:$C$3005,$C1539,$D$6:$D$3005,$D1539)&gt;1,"同じ月の請求が重複しています／",""),"")&amp;IF(AND(N($E1539)&gt;0,$Z1539&lt;&gt;"",$Z1539&lt;&gt;"×",$AC1539=0,$AB1539=""),"計算額が下限以下のため不支給／",""))</f>
        <v/>
      </c>
      <c r="AL1539" s="12" t="n"/>
      <c r="AM1539" s="14">
        <f>IF($AD1539="保留中",COUNTIF($AD$6:$AD1539,"保留中"),"")</f>
        <v/>
      </c>
      <c r="AN1539" s="14">
        <f>IF($AO1539="","",IF(SUMPRODUCT(MAX((職員マスタ!$A$6:$A$405=$B1539)*(((職員マスタ!$G$6:$G$405="")+(職員マスタ!$G$6:$G$405&lt;=EOMONTH($AO1539,0)))&gt;0)*(((職員マスタ!$H$6:$H$405="")+(職員マスタ!$H$6:$H$405&gt;=$AO1539))&gt;0)*(ROW(職員マスタ!$A$6:$A$405)-5)))&gt;0,SUMPRODUCT(MAX((職員マスタ!$A$6:$A$405=$B1539)*(((職員マスタ!$G$6:$G$405="")+(職員マスタ!$G$6:$G$405&lt;=EOMONTH($AO1539,0)))&gt;0)*(((職員マスタ!$H$6:$H$405="")+(職員マスタ!$H$6:$H$405&gt;=$AO1539))&gt;0)*(ROW(職員マスタ!$A$6:$A$405)-5))),IFERROR(MATCH($B1539,職員マスタ!$A$6:$A$405,0),"")))</f>
        <v/>
      </c>
      <c r="AO1539" s="16">
        <f>IF(OR($B1539="",$C1539="",$D1539=""),"",DATE($C1539+2018,$D1539,1))</f>
        <v/>
      </c>
    </row>
    <row r="1540">
      <c r="A1540" s="11" t="n"/>
      <c r="B1540" s="12" t="n"/>
      <c r="C1540" s="12" t="n"/>
      <c r="D1540" s="12" t="n"/>
      <c r="E1540" s="13" t="n"/>
      <c r="F1540" s="12" t="n"/>
      <c r="G1540" s="13" t="n"/>
      <c r="H1540" s="12" t="n"/>
      <c r="I1540" s="12" t="n"/>
      <c r="J1540" s="12" t="n"/>
      <c r="K1540" s="12" t="n"/>
      <c r="L1540" s="11" t="n"/>
      <c r="M1540" s="11" t="n"/>
      <c r="N1540" s="11" t="n"/>
      <c r="O1540" s="11" t="n"/>
      <c r="P1540" s="12" t="n"/>
      <c r="Q1540" s="11" t="n"/>
      <c r="R1540" s="12" t="n"/>
      <c r="S1540" s="11" t="n"/>
      <c r="T1540" s="12" t="n"/>
      <c r="U1540" s="12" t="n"/>
      <c r="V1540" s="14">
        <f>IF($AN1540="",IF($B1540="","",$H1540),IF(INDEX(職員マスタ!$B$6:$B$405,$AN1540)="",$H1540,INDEX(職員マスタ!$B$6:$B$405,$AN1540)))</f>
        <v/>
      </c>
      <c r="W1540" s="14">
        <f>IF($AN1540="",IF($B1540="","",$R1540),IF(INDEX(職員マスタ!$C$6:$C$405,$AN1540)="",$R1540,INDEX(職員マスタ!$C$6:$C$405,$AN1540)))</f>
        <v/>
      </c>
      <c r="X1540" s="14">
        <f>IF($AO1540="","","R"&amp;$C1540&amp;"."&amp;$D1540)</f>
        <v/>
      </c>
      <c r="Y1540" s="15">
        <f>IF($AN1540="","",IF(INDEX(職員マスタ!$K$6:$K$405,$AN1540)="","",INDEX(職員マスタ!$K$6:$K$405,$AN1540)))</f>
        <v/>
      </c>
      <c r="Z1540" s="14">
        <f>IF(OR($E1540="",$Y1540=""),"",IF($E1540&gt;=$Y1540,"×",IF($E1540&gt;=$Y1540*設定!$C$5,"△","○")))</f>
        <v/>
      </c>
      <c r="AA1540" s="15">
        <f>IF($Z1540="","",IF($Z1540="×",0,IF($Z1540="○",ROUNDDOWN($E1540*設定!$C$4,0),ROUNDDOWN($E1540*ROUND((9*$Y1540-9*$E1540)/(10*$E1540),4),0))))</f>
        <v/>
      </c>
      <c r="AB1540" s="13" t="n"/>
      <c r="AC1540" s="15">
        <f>IF($B1540="","",IF($AB1540&lt;&gt;"",$AB1540,IF($AA1540="","",IF($AA1540&lt;=設定!$C$3,0,$AA1540))))</f>
        <v/>
      </c>
      <c r="AD1540" s="14">
        <f>IF($B1540="","",IF(AND($AE1540&lt;&gt;"",$AG1540="",$AJ1540=""),"保留中",IF($AJ1540&lt;&gt;"",IF(N($AC1540)&gt;0,"支給済","不支給"),IF($AC1540="","要確認",IF($AC1540=0,"不支給","未処理")))))</f>
        <v/>
      </c>
      <c r="AE1540" s="12" t="n"/>
      <c r="AF1540" s="11" t="n"/>
      <c r="AG1540" s="11" t="n"/>
      <c r="AH1540" s="11" t="n"/>
      <c r="AI1540" s="14">
        <f>IF(AND($AD1540="保留中",$AF1540&lt;&gt;""),TODAY()-$AF1540,"")</f>
        <v/>
      </c>
      <c r="AJ1540" s="12" t="n"/>
      <c r="AK1540" s="14">
        <f>IF($B1540="","",IF($AO1540="","対象年月が未入力／","")&amp;IF($B1540="","",IF($AN1540="","職員マスタに未登録の職員番号／",IF($Y1540="","標準報酬月額が未登録／","")&amp;IF(AND($AO1540&lt;&gt;"",OR(AND(INDEX(職員マスタ!$G$6:$G$405,$AN1540)&lt;&gt;"",INDEX(職員マスタ!$G$6:$G$405,$AN1540)&gt;EOMONTH($AO1540,0)),AND(INDEX(職員マスタ!$H$6:$H$405,$AN1540)&lt;&gt;"",INDEX(職員マスタ!$H$6:$H$405,$AN1540)&lt;$AO1540))),"対象月が時短期間外／","")&amp;IF(AND(INDEX(職員マスタ!$F$6:$F$405,$AN1540)&lt;&gt;"",$AO1540&lt;&gt;"",INDEX(職員マスタ!$F$6:$F$405,$AN1540)&lt;$AO1540),"対象月に子が2歳到達済／","")&amp;IF(AND($H1540&lt;&gt;"",INDEX(職員マスタ!$B$6:$B$405,$AN1540)&lt;&gt;"",SUBSTITUTE(SUBSTITUTE($H1540," ","")," ","")&lt;&gt;SUBSTITUTE(SUBSTITUTE(INDEX(職員マスタ!$B$6:$B$405,$AN1540)," ","")," ","")),"氏名がマスタと相違／","")&amp;IF(AND($Q1540&lt;&gt;"",INDEX(職員マスタ!$E$6:$E$405,$AN1540)&lt;&gt;"",$Q1540&lt;&gt;INDEX(職員マスタ!$E$6:$E$405,$AN1540)),"子の生年月日がマスタと相違／","")&amp;IF(AND($L1540&lt;&gt;"",INDEX(職員マスタ!$G$6:$G$405,$AN1540)&lt;&gt;"",$L1540&lt;&gt;INDEX(職員マスタ!$G$6:$G$405,$AN1540)),"時短開始日がマスタと相違／","")&amp;IF(AND($M1540&lt;&gt;"",INDEX(職員マスタ!$H$6:$H$405,$AN1540)&lt;&gt;"",$M1540&lt;&gt;INDEX(職員マスタ!$H$6:$H$405,$AN1540)),"時短終了日がマスタと相違／","")))&amp;IF(AND($B1540&lt;&gt;"",$E1540=""),"報酬額が未入力／","")&amp;IF(N($U1540)&gt;0,"申請書に入力エラーが残っています／","")&amp;IF(AND($B1540&lt;&gt;"",$AO1540&lt;&gt;""),IF(COUNTIFS($B$6:$B$3005,$B1540,$C$6:$C$3005,$C1540,$D$6:$D$3005,$D1540)&gt;1,"同じ月の請求が重複しています／",""),"")&amp;IF(AND(N($E1540)&gt;0,$Z1540&lt;&gt;"",$Z1540&lt;&gt;"×",$AC1540=0,$AB1540=""),"計算額が下限以下のため不支給／",""))</f>
        <v/>
      </c>
      <c r="AL1540" s="12" t="n"/>
      <c r="AM1540" s="14">
        <f>IF($AD1540="保留中",COUNTIF($AD$6:$AD1540,"保留中"),"")</f>
        <v/>
      </c>
      <c r="AN1540" s="14">
        <f>IF($AO1540="","",IF(SUMPRODUCT(MAX((職員マスタ!$A$6:$A$405=$B1540)*(((職員マスタ!$G$6:$G$405="")+(職員マスタ!$G$6:$G$405&lt;=EOMONTH($AO1540,0)))&gt;0)*(((職員マスタ!$H$6:$H$405="")+(職員マスタ!$H$6:$H$405&gt;=$AO1540))&gt;0)*(ROW(職員マスタ!$A$6:$A$405)-5)))&gt;0,SUMPRODUCT(MAX((職員マスタ!$A$6:$A$405=$B1540)*(((職員マスタ!$G$6:$G$405="")+(職員マスタ!$G$6:$G$405&lt;=EOMONTH($AO1540,0)))&gt;0)*(((職員マスタ!$H$6:$H$405="")+(職員マスタ!$H$6:$H$405&gt;=$AO1540))&gt;0)*(ROW(職員マスタ!$A$6:$A$405)-5))),IFERROR(MATCH($B1540,職員マスタ!$A$6:$A$405,0),"")))</f>
        <v/>
      </c>
      <c r="AO1540" s="16">
        <f>IF(OR($B1540="",$C1540="",$D1540=""),"",DATE($C1540+2018,$D1540,1))</f>
        <v/>
      </c>
    </row>
    <row r="1541">
      <c r="A1541" s="11" t="n"/>
      <c r="B1541" s="12" t="n"/>
      <c r="C1541" s="12" t="n"/>
      <c r="D1541" s="12" t="n"/>
      <c r="E1541" s="13" t="n"/>
      <c r="F1541" s="12" t="n"/>
      <c r="G1541" s="13" t="n"/>
      <c r="H1541" s="12" t="n"/>
      <c r="I1541" s="12" t="n"/>
      <c r="J1541" s="12" t="n"/>
      <c r="K1541" s="12" t="n"/>
      <c r="L1541" s="11" t="n"/>
      <c r="M1541" s="11" t="n"/>
      <c r="N1541" s="11" t="n"/>
      <c r="O1541" s="11" t="n"/>
      <c r="P1541" s="12" t="n"/>
      <c r="Q1541" s="11" t="n"/>
      <c r="R1541" s="12" t="n"/>
      <c r="S1541" s="11" t="n"/>
      <c r="T1541" s="12" t="n"/>
      <c r="U1541" s="12" t="n"/>
      <c r="V1541" s="14">
        <f>IF($AN1541="",IF($B1541="","",$H1541),IF(INDEX(職員マスタ!$B$6:$B$405,$AN1541)="",$H1541,INDEX(職員マスタ!$B$6:$B$405,$AN1541)))</f>
        <v/>
      </c>
      <c r="W1541" s="14">
        <f>IF($AN1541="",IF($B1541="","",$R1541),IF(INDEX(職員マスタ!$C$6:$C$405,$AN1541)="",$R1541,INDEX(職員マスタ!$C$6:$C$405,$AN1541)))</f>
        <v/>
      </c>
      <c r="X1541" s="14">
        <f>IF($AO1541="","","R"&amp;$C1541&amp;"."&amp;$D1541)</f>
        <v/>
      </c>
      <c r="Y1541" s="15">
        <f>IF($AN1541="","",IF(INDEX(職員マスタ!$K$6:$K$405,$AN1541)="","",INDEX(職員マスタ!$K$6:$K$405,$AN1541)))</f>
        <v/>
      </c>
      <c r="Z1541" s="14">
        <f>IF(OR($E1541="",$Y1541=""),"",IF($E1541&gt;=$Y1541,"×",IF($E1541&gt;=$Y1541*設定!$C$5,"△","○")))</f>
        <v/>
      </c>
      <c r="AA1541" s="15">
        <f>IF($Z1541="","",IF($Z1541="×",0,IF($Z1541="○",ROUNDDOWN($E1541*設定!$C$4,0),ROUNDDOWN($E1541*ROUND((9*$Y1541-9*$E1541)/(10*$E1541),4),0))))</f>
        <v/>
      </c>
      <c r="AB1541" s="13" t="n"/>
      <c r="AC1541" s="15">
        <f>IF($B1541="","",IF($AB1541&lt;&gt;"",$AB1541,IF($AA1541="","",IF($AA1541&lt;=設定!$C$3,0,$AA1541))))</f>
        <v/>
      </c>
      <c r="AD1541" s="14">
        <f>IF($B1541="","",IF(AND($AE1541&lt;&gt;"",$AG1541="",$AJ1541=""),"保留中",IF($AJ1541&lt;&gt;"",IF(N($AC1541)&gt;0,"支給済","不支給"),IF($AC1541="","要確認",IF($AC1541=0,"不支給","未処理")))))</f>
        <v/>
      </c>
      <c r="AE1541" s="12" t="n"/>
      <c r="AF1541" s="11" t="n"/>
      <c r="AG1541" s="11" t="n"/>
      <c r="AH1541" s="11" t="n"/>
      <c r="AI1541" s="14">
        <f>IF(AND($AD1541="保留中",$AF1541&lt;&gt;""),TODAY()-$AF1541,"")</f>
        <v/>
      </c>
      <c r="AJ1541" s="12" t="n"/>
      <c r="AK1541" s="14">
        <f>IF($B1541="","",IF($AO1541="","対象年月が未入力／","")&amp;IF($B1541="","",IF($AN1541="","職員マスタに未登録の職員番号／",IF($Y1541="","標準報酬月額が未登録／","")&amp;IF(AND($AO1541&lt;&gt;"",OR(AND(INDEX(職員マスタ!$G$6:$G$405,$AN1541)&lt;&gt;"",INDEX(職員マスタ!$G$6:$G$405,$AN1541)&gt;EOMONTH($AO1541,0)),AND(INDEX(職員マスタ!$H$6:$H$405,$AN1541)&lt;&gt;"",INDEX(職員マスタ!$H$6:$H$405,$AN1541)&lt;$AO1541))),"対象月が時短期間外／","")&amp;IF(AND(INDEX(職員マスタ!$F$6:$F$405,$AN1541)&lt;&gt;"",$AO1541&lt;&gt;"",INDEX(職員マスタ!$F$6:$F$405,$AN1541)&lt;$AO1541),"対象月に子が2歳到達済／","")&amp;IF(AND($H1541&lt;&gt;"",INDEX(職員マスタ!$B$6:$B$405,$AN1541)&lt;&gt;"",SUBSTITUTE(SUBSTITUTE($H1541," ","")," ","")&lt;&gt;SUBSTITUTE(SUBSTITUTE(INDEX(職員マスタ!$B$6:$B$405,$AN1541)," ","")," ","")),"氏名がマスタと相違／","")&amp;IF(AND($Q1541&lt;&gt;"",INDEX(職員マスタ!$E$6:$E$405,$AN1541)&lt;&gt;"",$Q1541&lt;&gt;INDEX(職員マスタ!$E$6:$E$405,$AN1541)),"子の生年月日がマスタと相違／","")&amp;IF(AND($L1541&lt;&gt;"",INDEX(職員マスタ!$G$6:$G$405,$AN1541)&lt;&gt;"",$L1541&lt;&gt;INDEX(職員マスタ!$G$6:$G$405,$AN1541)),"時短開始日がマスタと相違／","")&amp;IF(AND($M1541&lt;&gt;"",INDEX(職員マスタ!$H$6:$H$405,$AN1541)&lt;&gt;"",$M1541&lt;&gt;INDEX(職員マスタ!$H$6:$H$405,$AN1541)),"時短終了日がマスタと相違／","")))&amp;IF(AND($B1541&lt;&gt;"",$E1541=""),"報酬額が未入力／","")&amp;IF(N($U1541)&gt;0,"申請書に入力エラーが残っています／","")&amp;IF(AND($B1541&lt;&gt;"",$AO1541&lt;&gt;""),IF(COUNTIFS($B$6:$B$3005,$B1541,$C$6:$C$3005,$C1541,$D$6:$D$3005,$D1541)&gt;1,"同じ月の請求が重複しています／",""),"")&amp;IF(AND(N($E1541)&gt;0,$Z1541&lt;&gt;"",$Z1541&lt;&gt;"×",$AC1541=0,$AB1541=""),"計算額が下限以下のため不支給／",""))</f>
        <v/>
      </c>
      <c r="AL1541" s="12" t="n"/>
      <c r="AM1541" s="14">
        <f>IF($AD1541="保留中",COUNTIF($AD$6:$AD1541,"保留中"),"")</f>
        <v/>
      </c>
      <c r="AN1541" s="14">
        <f>IF($AO1541="","",IF(SUMPRODUCT(MAX((職員マスタ!$A$6:$A$405=$B1541)*(((職員マスタ!$G$6:$G$405="")+(職員マスタ!$G$6:$G$405&lt;=EOMONTH($AO1541,0)))&gt;0)*(((職員マスタ!$H$6:$H$405="")+(職員マスタ!$H$6:$H$405&gt;=$AO1541))&gt;0)*(ROW(職員マスタ!$A$6:$A$405)-5)))&gt;0,SUMPRODUCT(MAX((職員マスタ!$A$6:$A$405=$B1541)*(((職員マスタ!$G$6:$G$405="")+(職員マスタ!$G$6:$G$405&lt;=EOMONTH($AO1541,0)))&gt;0)*(((職員マスタ!$H$6:$H$405="")+(職員マスタ!$H$6:$H$405&gt;=$AO1541))&gt;0)*(ROW(職員マスタ!$A$6:$A$405)-5))),IFERROR(MATCH($B1541,職員マスタ!$A$6:$A$405,0),"")))</f>
        <v/>
      </c>
      <c r="AO1541" s="16">
        <f>IF(OR($B1541="",$C1541="",$D1541=""),"",DATE($C1541+2018,$D1541,1))</f>
        <v/>
      </c>
    </row>
    <row r="1542">
      <c r="A1542" s="11" t="n"/>
      <c r="B1542" s="12" t="n"/>
      <c r="C1542" s="12" t="n"/>
      <c r="D1542" s="12" t="n"/>
      <c r="E1542" s="13" t="n"/>
      <c r="F1542" s="12" t="n"/>
      <c r="G1542" s="13" t="n"/>
      <c r="H1542" s="12" t="n"/>
      <c r="I1542" s="12" t="n"/>
      <c r="J1542" s="12" t="n"/>
      <c r="K1542" s="12" t="n"/>
      <c r="L1542" s="11" t="n"/>
      <c r="M1542" s="11" t="n"/>
      <c r="N1542" s="11" t="n"/>
      <c r="O1542" s="11" t="n"/>
      <c r="P1542" s="12" t="n"/>
      <c r="Q1542" s="11" t="n"/>
      <c r="R1542" s="12" t="n"/>
      <c r="S1542" s="11" t="n"/>
      <c r="T1542" s="12" t="n"/>
      <c r="U1542" s="12" t="n"/>
      <c r="V1542" s="14">
        <f>IF($AN1542="",IF($B1542="","",$H1542),IF(INDEX(職員マスタ!$B$6:$B$405,$AN1542)="",$H1542,INDEX(職員マスタ!$B$6:$B$405,$AN1542)))</f>
        <v/>
      </c>
      <c r="W1542" s="14">
        <f>IF($AN1542="",IF($B1542="","",$R1542),IF(INDEX(職員マスタ!$C$6:$C$405,$AN1542)="",$R1542,INDEX(職員マスタ!$C$6:$C$405,$AN1542)))</f>
        <v/>
      </c>
      <c r="X1542" s="14">
        <f>IF($AO1542="","","R"&amp;$C1542&amp;"."&amp;$D1542)</f>
        <v/>
      </c>
      <c r="Y1542" s="15">
        <f>IF($AN1542="","",IF(INDEX(職員マスタ!$K$6:$K$405,$AN1542)="","",INDEX(職員マスタ!$K$6:$K$405,$AN1542)))</f>
        <v/>
      </c>
      <c r="Z1542" s="14">
        <f>IF(OR($E1542="",$Y1542=""),"",IF($E1542&gt;=$Y1542,"×",IF($E1542&gt;=$Y1542*設定!$C$5,"△","○")))</f>
        <v/>
      </c>
      <c r="AA1542" s="15">
        <f>IF($Z1542="","",IF($Z1542="×",0,IF($Z1542="○",ROUNDDOWN($E1542*設定!$C$4,0),ROUNDDOWN($E1542*ROUND((9*$Y1542-9*$E1542)/(10*$E1542),4),0))))</f>
        <v/>
      </c>
      <c r="AB1542" s="13" t="n"/>
      <c r="AC1542" s="15">
        <f>IF($B1542="","",IF($AB1542&lt;&gt;"",$AB1542,IF($AA1542="","",IF($AA1542&lt;=設定!$C$3,0,$AA1542))))</f>
        <v/>
      </c>
      <c r="AD1542" s="14">
        <f>IF($B1542="","",IF(AND($AE1542&lt;&gt;"",$AG1542="",$AJ1542=""),"保留中",IF($AJ1542&lt;&gt;"",IF(N($AC1542)&gt;0,"支給済","不支給"),IF($AC1542="","要確認",IF($AC1542=0,"不支給","未処理")))))</f>
        <v/>
      </c>
      <c r="AE1542" s="12" t="n"/>
      <c r="AF1542" s="11" t="n"/>
      <c r="AG1542" s="11" t="n"/>
      <c r="AH1542" s="11" t="n"/>
      <c r="AI1542" s="14">
        <f>IF(AND($AD1542="保留中",$AF1542&lt;&gt;""),TODAY()-$AF1542,"")</f>
        <v/>
      </c>
      <c r="AJ1542" s="12" t="n"/>
      <c r="AK1542" s="14">
        <f>IF($B1542="","",IF($AO1542="","対象年月が未入力／","")&amp;IF($B1542="","",IF($AN1542="","職員マスタに未登録の職員番号／",IF($Y1542="","標準報酬月額が未登録／","")&amp;IF(AND($AO1542&lt;&gt;"",OR(AND(INDEX(職員マスタ!$G$6:$G$405,$AN1542)&lt;&gt;"",INDEX(職員マスタ!$G$6:$G$405,$AN1542)&gt;EOMONTH($AO1542,0)),AND(INDEX(職員マスタ!$H$6:$H$405,$AN1542)&lt;&gt;"",INDEX(職員マスタ!$H$6:$H$405,$AN1542)&lt;$AO1542))),"対象月が時短期間外／","")&amp;IF(AND(INDEX(職員マスタ!$F$6:$F$405,$AN1542)&lt;&gt;"",$AO1542&lt;&gt;"",INDEX(職員マスタ!$F$6:$F$405,$AN1542)&lt;$AO1542),"対象月に子が2歳到達済／","")&amp;IF(AND($H1542&lt;&gt;"",INDEX(職員マスタ!$B$6:$B$405,$AN1542)&lt;&gt;"",SUBSTITUTE(SUBSTITUTE($H1542," ","")," ","")&lt;&gt;SUBSTITUTE(SUBSTITUTE(INDEX(職員マスタ!$B$6:$B$405,$AN1542)," ","")," ","")),"氏名がマスタと相違／","")&amp;IF(AND($Q1542&lt;&gt;"",INDEX(職員マスタ!$E$6:$E$405,$AN1542)&lt;&gt;"",$Q1542&lt;&gt;INDEX(職員マスタ!$E$6:$E$405,$AN1542)),"子の生年月日がマスタと相違／","")&amp;IF(AND($L1542&lt;&gt;"",INDEX(職員マスタ!$G$6:$G$405,$AN1542)&lt;&gt;"",$L1542&lt;&gt;INDEX(職員マスタ!$G$6:$G$405,$AN1542)),"時短開始日がマスタと相違／","")&amp;IF(AND($M1542&lt;&gt;"",INDEX(職員マスタ!$H$6:$H$405,$AN1542)&lt;&gt;"",$M1542&lt;&gt;INDEX(職員マスタ!$H$6:$H$405,$AN1542)),"時短終了日がマスタと相違／","")))&amp;IF(AND($B1542&lt;&gt;"",$E1542=""),"報酬額が未入力／","")&amp;IF(N($U1542)&gt;0,"申請書に入力エラーが残っています／","")&amp;IF(AND($B1542&lt;&gt;"",$AO1542&lt;&gt;""),IF(COUNTIFS($B$6:$B$3005,$B1542,$C$6:$C$3005,$C1542,$D$6:$D$3005,$D1542)&gt;1,"同じ月の請求が重複しています／",""),"")&amp;IF(AND(N($E1542)&gt;0,$Z1542&lt;&gt;"",$Z1542&lt;&gt;"×",$AC1542=0,$AB1542=""),"計算額が下限以下のため不支給／",""))</f>
        <v/>
      </c>
      <c r="AL1542" s="12" t="n"/>
      <c r="AM1542" s="14">
        <f>IF($AD1542="保留中",COUNTIF($AD$6:$AD1542,"保留中"),"")</f>
        <v/>
      </c>
      <c r="AN1542" s="14">
        <f>IF($AO1542="","",IF(SUMPRODUCT(MAX((職員マスタ!$A$6:$A$405=$B1542)*(((職員マスタ!$G$6:$G$405="")+(職員マスタ!$G$6:$G$405&lt;=EOMONTH($AO1542,0)))&gt;0)*(((職員マスタ!$H$6:$H$405="")+(職員マスタ!$H$6:$H$405&gt;=$AO1542))&gt;0)*(ROW(職員マスタ!$A$6:$A$405)-5)))&gt;0,SUMPRODUCT(MAX((職員マスタ!$A$6:$A$405=$B1542)*(((職員マスタ!$G$6:$G$405="")+(職員マスタ!$G$6:$G$405&lt;=EOMONTH($AO1542,0)))&gt;0)*(((職員マスタ!$H$6:$H$405="")+(職員マスタ!$H$6:$H$405&gt;=$AO1542))&gt;0)*(ROW(職員マスタ!$A$6:$A$405)-5))),IFERROR(MATCH($B1542,職員マスタ!$A$6:$A$405,0),"")))</f>
        <v/>
      </c>
      <c r="AO1542" s="16">
        <f>IF(OR($B1542="",$C1542="",$D1542=""),"",DATE($C1542+2018,$D1542,1))</f>
        <v/>
      </c>
    </row>
    <row r="1543">
      <c r="A1543" s="11" t="n"/>
      <c r="B1543" s="12" t="n"/>
      <c r="C1543" s="12" t="n"/>
      <c r="D1543" s="12" t="n"/>
      <c r="E1543" s="13" t="n"/>
      <c r="F1543" s="12" t="n"/>
      <c r="G1543" s="13" t="n"/>
      <c r="H1543" s="12" t="n"/>
      <c r="I1543" s="12" t="n"/>
      <c r="J1543" s="12" t="n"/>
      <c r="K1543" s="12" t="n"/>
      <c r="L1543" s="11" t="n"/>
      <c r="M1543" s="11" t="n"/>
      <c r="N1543" s="11" t="n"/>
      <c r="O1543" s="11" t="n"/>
      <c r="P1543" s="12" t="n"/>
      <c r="Q1543" s="11" t="n"/>
      <c r="R1543" s="12" t="n"/>
      <c r="S1543" s="11" t="n"/>
      <c r="T1543" s="12" t="n"/>
      <c r="U1543" s="12" t="n"/>
      <c r="V1543" s="14">
        <f>IF($AN1543="",IF($B1543="","",$H1543),IF(INDEX(職員マスタ!$B$6:$B$405,$AN1543)="",$H1543,INDEX(職員マスタ!$B$6:$B$405,$AN1543)))</f>
        <v/>
      </c>
      <c r="W1543" s="14">
        <f>IF($AN1543="",IF($B1543="","",$R1543),IF(INDEX(職員マスタ!$C$6:$C$405,$AN1543)="",$R1543,INDEX(職員マスタ!$C$6:$C$405,$AN1543)))</f>
        <v/>
      </c>
      <c r="X1543" s="14">
        <f>IF($AO1543="","","R"&amp;$C1543&amp;"."&amp;$D1543)</f>
        <v/>
      </c>
      <c r="Y1543" s="15">
        <f>IF($AN1543="","",IF(INDEX(職員マスタ!$K$6:$K$405,$AN1543)="","",INDEX(職員マスタ!$K$6:$K$405,$AN1543)))</f>
        <v/>
      </c>
      <c r="Z1543" s="14">
        <f>IF(OR($E1543="",$Y1543=""),"",IF($E1543&gt;=$Y1543,"×",IF($E1543&gt;=$Y1543*設定!$C$5,"△","○")))</f>
        <v/>
      </c>
      <c r="AA1543" s="15">
        <f>IF($Z1543="","",IF($Z1543="×",0,IF($Z1543="○",ROUNDDOWN($E1543*設定!$C$4,0),ROUNDDOWN($E1543*ROUND((9*$Y1543-9*$E1543)/(10*$E1543),4),0))))</f>
        <v/>
      </c>
      <c r="AB1543" s="13" t="n"/>
      <c r="AC1543" s="15">
        <f>IF($B1543="","",IF($AB1543&lt;&gt;"",$AB1543,IF($AA1543="","",IF($AA1543&lt;=設定!$C$3,0,$AA1543))))</f>
        <v/>
      </c>
      <c r="AD1543" s="14">
        <f>IF($B1543="","",IF(AND($AE1543&lt;&gt;"",$AG1543="",$AJ1543=""),"保留中",IF($AJ1543&lt;&gt;"",IF(N($AC1543)&gt;0,"支給済","不支給"),IF($AC1543="","要確認",IF($AC1543=0,"不支給","未処理")))))</f>
        <v/>
      </c>
      <c r="AE1543" s="12" t="n"/>
      <c r="AF1543" s="11" t="n"/>
      <c r="AG1543" s="11" t="n"/>
      <c r="AH1543" s="11" t="n"/>
      <c r="AI1543" s="14">
        <f>IF(AND($AD1543="保留中",$AF1543&lt;&gt;""),TODAY()-$AF1543,"")</f>
        <v/>
      </c>
      <c r="AJ1543" s="12" t="n"/>
      <c r="AK1543" s="14">
        <f>IF($B1543="","",IF($AO1543="","対象年月が未入力／","")&amp;IF($B1543="","",IF($AN1543="","職員マスタに未登録の職員番号／",IF($Y1543="","標準報酬月額が未登録／","")&amp;IF(AND($AO1543&lt;&gt;"",OR(AND(INDEX(職員マスタ!$G$6:$G$405,$AN1543)&lt;&gt;"",INDEX(職員マスタ!$G$6:$G$405,$AN1543)&gt;EOMONTH($AO1543,0)),AND(INDEX(職員マスタ!$H$6:$H$405,$AN1543)&lt;&gt;"",INDEX(職員マスタ!$H$6:$H$405,$AN1543)&lt;$AO1543))),"対象月が時短期間外／","")&amp;IF(AND(INDEX(職員マスタ!$F$6:$F$405,$AN1543)&lt;&gt;"",$AO1543&lt;&gt;"",INDEX(職員マスタ!$F$6:$F$405,$AN1543)&lt;$AO1543),"対象月に子が2歳到達済／","")&amp;IF(AND($H1543&lt;&gt;"",INDEX(職員マスタ!$B$6:$B$405,$AN1543)&lt;&gt;"",SUBSTITUTE(SUBSTITUTE($H1543," ","")," ","")&lt;&gt;SUBSTITUTE(SUBSTITUTE(INDEX(職員マスタ!$B$6:$B$405,$AN1543)," ","")," ","")),"氏名がマスタと相違／","")&amp;IF(AND($Q1543&lt;&gt;"",INDEX(職員マスタ!$E$6:$E$405,$AN1543)&lt;&gt;"",$Q1543&lt;&gt;INDEX(職員マスタ!$E$6:$E$405,$AN1543)),"子の生年月日がマスタと相違／","")&amp;IF(AND($L1543&lt;&gt;"",INDEX(職員マスタ!$G$6:$G$405,$AN1543)&lt;&gt;"",$L1543&lt;&gt;INDEX(職員マスタ!$G$6:$G$405,$AN1543)),"時短開始日がマスタと相違／","")&amp;IF(AND($M1543&lt;&gt;"",INDEX(職員マスタ!$H$6:$H$405,$AN1543)&lt;&gt;"",$M1543&lt;&gt;INDEX(職員マスタ!$H$6:$H$405,$AN1543)),"時短終了日がマスタと相違／","")))&amp;IF(AND($B1543&lt;&gt;"",$E1543=""),"報酬額が未入力／","")&amp;IF(N($U1543)&gt;0,"申請書に入力エラーが残っています／","")&amp;IF(AND($B1543&lt;&gt;"",$AO1543&lt;&gt;""),IF(COUNTIFS($B$6:$B$3005,$B1543,$C$6:$C$3005,$C1543,$D$6:$D$3005,$D1543)&gt;1,"同じ月の請求が重複しています／",""),"")&amp;IF(AND(N($E1543)&gt;0,$Z1543&lt;&gt;"",$Z1543&lt;&gt;"×",$AC1543=0,$AB1543=""),"計算額が下限以下のため不支給／",""))</f>
        <v/>
      </c>
      <c r="AL1543" s="12" t="n"/>
      <c r="AM1543" s="14">
        <f>IF($AD1543="保留中",COUNTIF($AD$6:$AD1543,"保留中"),"")</f>
        <v/>
      </c>
      <c r="AN1543" s="14">
        <f>IF($AO1543="","",IF(SUMPRODUCT(MAX((職員マスタ!$A$6:$A$405=$B1543)*(((職員マスタ!$G$6:$G$405="")+(職員マスタ!$G$6:$G$405&lt;=EOMONTH($AO1543,0)))&gt;0)*(((職員マスタ!$H$6:$H$405="")+(職員マスタ!$H$6:$H$405&gt;=$AO1543))&gt;0)*(ROW(職員マスタ!$A$6:$A$405)-5)))&gt;0,SUMPRODUCT(MAX((職員マスタ!$A$6:$A$405=$B1543)*(((職員マスタ!$G$6:$G$405="")+(職員マスタ!$G$6:$G$405&lt;=EOMONTH($AO1543,0)))&gt;0)*(((職員マスタ!$H$6:$H$405="")+(職員マスタ!$H$6:$H$405&gt;=$AO1543))&gt;0)*(ROW(職員マスタ!$A$6:$A$405)-5))),IFERROR(MATCH($B1543,職員マスタ!$A$6:$A$405,0),"")))</f>
        <v/>
      </c>
      <c r="AO1543" s="16">
        <f>IF(OR($B1543="",$C1543="",$D1543=""),"",DATE($C1543+2018,$D1543,1))</f>
        <v/>
      </c>
    </row>
    <row r="1544">
      <c r="A1544" s="11" t="n"/>
      <c r="B1544" s="12" t="n"/>
      <c r="C1544" s="12" t="n"/>
      <c r="D1544" s="12" t="n"/>
      <c r="E1544" s="13" t="n"/>
      <c r="F1544" s="12" t="n"/>
      <c r="G1544" s="13" t="n"/>
      <c r="H1544" s="12" t="n"/>
      <c r="I1544" s="12" t="n"/>
      <c r="J1544" s="12" t="n"/>
      <c r="K1544" s="12" t="n"/>
      <c r="L1544" s="11" t="n"/>
      <c r="M1544" s="11" t="n"/>
      <c r="N1544" s="11" t="n"/>
      <c r="O1544" s="11" t="n"/>
      <c r="P1544" s="12" t="n"/>
      <c r="Q1544" s="11" t="n"/>
      <c r="R1544" s="12" t="n"/>
      <c r="S1544" s="11" t="n"/>
      <c r="T1544" s="12" t="n"/>
      <c r="U1544" s="12" t="n"/>
      <c r="V1544" s="14">
        <f>IF($AN1544="",IF($B1544="","",$H1544),IF(INDEX(職員マスタ!$B$6:$B$405,$AN1544)="",$H1544,INDEX(職員マスタ!$B$6:$B$405,$AN1544)))</f>
        <v/>
      </c>
      <c r="W1544" s="14">
        <f>IF($AN1544="",IF($B1544="","",$R1544),IF(INDEX(職員マスタ!$C$6:$C$405,$AN1544)="",$R1544,INDEX(職員マスタ!$C$6:$C$405,$AN1544)))</f>
        <v/>
      </c>
      <c r="X1544" s="14">
        <f>IF($AO1544="","","R"&amp;$C1544&amp;"."&amp;$D1544)</f>
        <v/>
      </c>
      <c r="Y1544" s="15">
        <f>IF($AN1544="","",IF(INDEX(職員マスタ!$K$6:$K$405,$AN1544)="","",INDEX(職員マスタ!$K$6:$K$405,$AN1544)))</f>
        <v/>
      </c>
      <c r="Z1544" s="14">
        <f>IF(OR($E1544="",$Y1544=""),"",IF($E1544&gt;=$Y1544,"×",IF($E1544&gt;=$Y1544*設定!$C$5,"△","○")))</f>
        <v/>
      </c>
      <c r="AA1544" s="15">
        <f>IF($Z1544="","",IF($Z1544="×",0,IF($Z1544="○",ROUNDDOWN($E1544*設定!$C$4,0),ROUNDDOWN($E1544*ROUND((9*$Y1544-9*$E1544)/(10*$E1544),4),0))))</f>
        <v/>
      </c>
      <c r="AB1544" s="13" t="n"/>
      <c r="AC1544" s="15">
        <f>IF($B1544="","",IF($AB1544&lt;&gt;"",$AB1544,IF($AA1544="","",IF($AA1544&lt;=設定!$C$3,0,$AA1544))))</f>
        <v/>
      </c>
      <c r="AD1544" s="14">
        <f>IF($B1544="","",IF(AND($AE1544&lt;&gt;"",$AG1544="",$AJ1544=""),"保留中",IF($AJ1544&lt;&gt;"",IF(N($AC1544)&gt;0,"支給済","不支給"),IF($AC1544="","要確認",IF($AC1544=0,"不支給","未処理")))))</f>
        <v/>
      </c>
      <c r="AE1544" s="12" t="n"/>
      <c r="AF1544" s="11" t="n"/>
      <c r="AG1544" s="11" t="n"/>
      <c r="AH1544" s="11" t="n"/>
      <c r="AI1544" s="14">
        <f>IF(AND($AD1544="保留中",$AF1544&lt;&gt;""),TODAY()-$AF1544,"")</f>
        <v/>
      </c>
      <c r="AJ1544" s="12" t="n"/>
      <c r="AK1544" s="14">
        <f>IF($B1544="","",IF($AO1544="","対象年月が未入力／","")&amp;IF($B1544="","",IF($AN1544="","職員マスタに未登録の職員番号／",IF($Y1544="","標準報酬月額が未登録／","")&amp;IF(AND($AO1544&lt;&gt;"",OR(AND(INDEX(職員マスタ!$G$6:$G$405,$AN1544)&lt;&gt;"",INDEX(職員マスタ!$G$6:$G$405,$AN1544)&gt;EOMONTH($AO1544,0)),AND(INDEX(職員マスタ!$H$6:$H$405,$AN1544)&lt;&gt;"",INDEX(職員マスタ!$H$6:$H$405,$AN1544)&lt;$AO1544))),"対象月が時短期間外／","")&amp;IF(AND(INDEX(職員マスタ!$F$6:$F$405,$AN1544)&lt;&gt;"",$AO1544&lt;&gt;"",INDEX(職員マスタ!$F$6:$F$405,$AN1544)&lt;$AO1544),"対象月に子が2歳到達済／","")&amp;IF(AND($H1544&lt;&gt;"",INDEX(職員マスタ!$B$6:$B$405,$AN1544)&lt;&gt;"",SUBSTITUTE(SUBSTITUTE($H1544," ","")," ","")&lt;&gt;SUBSTITUTE(SUBSTITUTE(INDEX(職員マスタ!$B$6:$B$405,$AN1544)," ","")," ","")),"氏名がマスタと相違／","")&amp;IF(AND($Q1544&lt;&gt;"",INDEX(職員マスタ!$E$6:$E$405,$AN1544)&lt;&gt;"",$Q1544&lt;&gt;INDEX(職員マスタ!$E$6:$E$405,$AN1544)),"子の生年月日がマスタと相違／","")&amp;IF(AND($L1544&lt;&gt;"",INDEX(職員マスタ!$G$6:$G$405,$AN1544)&lt;&gt;"",$L1544&lt;&gt;INDEX(職員マスタ!$G$6:$G$405,$AN1544)),"時短開始日がマスタと相違／","")&amp;IF(AND($M1544&lt;&gt;"",INDEX(職員マスタ!$H$6:$H$405,$AN1544)&lt;&gt;"",$M1544&lt;&gt;INDEX(職員マスタ!$H$6:$H$405,$AN1544)),"時短終了日がマスタと相違／","")))&amp;IF(AND($B1544&lt;&gt;"",$E1544=""),"報酬額が未入力／","")&amp;IF(N($U1544)&gt;0,"申請書に入力エラーが残っています／","")&amp;IF(AND($B1544&lt;&gt;"",$AO1544&lt;&gt;""),IF(COUNTIFS($B$6:$B$3005,$B1544,$C$6:$C$3005,$C1544,$D$6:$D$3005,$D1544)&gt;1,"同じ月の請求が重複しています／",""),"")&amp;IF(AND(N($E1544)&gt;0,$Z1544&lt;&gt;"",$Z1544&lt;&gt;"×",$AC1544=0,$AB1544=""),"計算額が下限以下のため不支給／",""))</f>
        <v/>
      </c>
      <c r="AL1544" s="12" t="n"/>
      <c r="AM1544" s="14">
        <f>IF($AD1544="保留中",COUNTIF($AD$6:$AD1544,"保留中"),"")</f>
        <v/>
      </c>
      <c r="AN1544" s="14">
        <f>IF($AO1544="","",IF(SUMPRODUCT(MAX((職員マスタ!$A$6:$A$405=$B1544)*(((職員マスタ!$G$6:$G$405="")+(職員マスタ!$G$6:$G$405&lt;=EOMONTH($AO1544,0)))&gt;0)*(((職員マスタ!$H$6:$H$405="")+(職員マスタ!$H$6:$H$405&gt;=$AO1544))&gt;0)*(ROW(職員マスタ!$A$6:$A$405)-5)))&gt;0,SUMPRODUCT(MAX((職員マスタ!$A$6:$A$405=$B1544)*(((職員マスタ!$G$6:$G$405="")+(職員マスタ!$G$6:$G$405&lt;=EOMONTH($AO1544,0)))&gt;0)*(((職員マスタ!$H$6:$H$405="")+(職員マスタ!$H$6:$H$405&gt;=$AO1544))&gt;0)*(ROW(職員マスタ!$A$6:$A$405)-5))),IFERROR(MATCH($B1544,職員マスタ!$A$6:$A$405,0),"")))</f>
        <v/>
      </c>
      <c r="AO1544" s="16">
        <f>IF(OR($B1544="",$C1544="",$D1544=""),"",DATE($C1544+2018,$D1544,1))</f>
        <v/>
      </c>
    </row>
    <row r="1545">
      <c r="A1545" s="11" t="n"/>
      <c r="B1545" s="12" t="n"/>
      <c r="C1545" s="12" t="n"/>
      <c r="D1545" s="12" t="n"/>
      <c r="E1545" s="13" t="n"/>
      <c r="F1545" s="12" t="n"/>
      <c r="G1545" s="13" t="n"/>
      <c r="H1545" s="12" t="n"/>
      <c r="I1545" s="12" t="n"/>
      <c r="J1545" s="12" t="n"/>
      <c r="K1545" s="12" t="n"/>
      <c r="L1545" s="11" t="n"/>
      <c r="M1545" s="11" t="n"/>
      <c r="N1545" s="11" t="n"/>
      <c r="O1545" s="11" t="n"/>
      <c r="P1545" s="12" t="n"/>
      <c r="Q1545" s="11" t="n"/>
      <c r="R1545" s="12" t="n"/>
      <c r="S1545" s="11" t="n"/>
      <c r="T1545" s="12" t="n"/>
      <c r="U1545" s="12" t="n"/>
      <c r="V1545" s="14">
        <f>IF($AN1545="",IF($B1545="","",$H1545),IF(INDEX(職員マスタ!$B$6:$B$405,$AN1545)="",$H1545,INDEX(職員マスタ!$B$6:$B$405,$AN1545)))</f>
        <v/>
      </c>
      <c r="W1545" s="14">
        <f>IF($AN1545="",IF($B1545="","",$R1545),IF(INDEX(職員マスタ!$C$6:$C$405,$AN1545)="",$R1545,INDEX(職員マスタ!$C$6:$C$405,$AN1545)))</f>
        <v/>
      </c>
      <c r="X1545" s="14">
        <f>IF($AO1545="","","R"&amp;$C1545&amp;"."&amp;$D1545)</f>
        <v/>
      </c>
      <c r="Y1545" s="15">
        <f>IF($AN1545="","",IF(INDEX(職員マスタ!$K$6:$K$405,$AN1545)="","",INDEX(職員マスタ!$K$6:$K$405,$AN1545)))</f>
        <v/>
      </c>
      <c r="Z1545" s="14">
        <f>IF(OR($E1545="",$Y1545=""),"",IF($E1545&gt;=$Y1545,"×",IF($E1545&gt;=$Y1545*設定!$C$5,"△","○")))</f>
        <v/>
      </c>
      <c r="AA1545" s="15">
        <f>IF($Z1545="","",IF($Z1545="×",0,IF($Z1545="○",ROUNDDOWN($E1545*設定!$C$4,0),ROUNDDOWN($E1545*ROUND((9*$Y1545-9*$E1545)/(10*$E1545),4),0))))</f>
        <v/>
      </c>
      <c r="AB1545" s="13" t="n"/>
      <c r="AC1545" s="15">
        <f>IF($B1545="","",IF($AB1545&lt;&gt;"",$AB1545,IF($AA1545="","",IF($AA1545&lt;=設定!$C$3,0,$AA1545))))</f>
        <v/>
      </c>
      <c r="AD1545" s="14">
        <f>IF($B1545="","",IF(AND($AE1545&lt;&gt;"",$AG1545="",$AJ1545=""),"保留中",IF($AJ1545&lt;&gt;"",IF(N($AC1545)&gt;0,"支給済","不支給"),IF($AC1545="","要確認",IF($AC1545=0,"不支給","未処理")))))</f>
        <v/>
      </c>
      <c r="AE1545" s="12" t="n"/>
      <c r="AF1545" s="11" t="n"/>
      <c r="AG1545" s="11" t="n"/>
      <c r="AH1545" s="11" t="n"/>
      <c r="AI1545" s="14">
        <f>IF(AND($AD1545="保留中",$AF1545&lt;&gt;""),TODAY()-$AF1545,"")</f>
        <v/>
      </c>
      <c r="AJ1545" s="12" t="n"/>
      <c r="AK1545" s="14">
        <f>IF($B1545="","",IF($AO1545="","対象年月が未入力／","")&amp;IF($B1545="","",IF($AN1545="","職員マスタに未登録の職員番号／",IF($Y1545="","標準報酬月額が未登録／","")&amp;IF(AND($AO1545&lt;&gt;"",OR(AND(INDEX(職員マスタ!$G$6:$G$405,$AN1545)&lt;&gt;"",INDEX(職員マスタ!$G$6:$G$405,$AN1545)&gt;EOMONTH($AO1545,0)),AND(INDEX(職員マスタ!$H$6:$H$405,$AN1545)&lt;&gt;"",INDEX(職員マスタ!$H$6:$H$405,$AN1545)&lt;$AO1545))),"対象月が時短期間外／","")&amp;IF(AND(INDEX(職員マスタ!$F$6:$F$405,$AN1545)&lt;&gt;"",$AO1545&lt;&gt;"",INDEX(職員マスタ!$F$6:$F$405,$AN1545)&lt;$AO1545),"対象月に子が2歳到達済／","")&amp;IF(AND($H1545&lt;&gt;"",INDEX(職員マスタ!$B$6:$B$405,$AN1545)&lt;&gt;"",SUBSTITUTE(SUBSTITUTE($H1545," ","")," ","")&lt;&gt;SUBSTITUTE(SUBSTITUTE(INDEX(職員マスタ!$B$6:$B$405,$AN1545)," ","")," ","")),"氏名がマスタと相違／","")&amp;IF(AND($Q1545&lt;&gt;"",INDEX(職員マスタ!$E$6:$E$405,$AN1545)&lt;&gt;"",$Q1545&lt;&gt;INDEX(職員マスタ!$E$6:$E$405,$AN1545)),"子の生年月日がマスタと相違／","")&amp;IF(AND($L1545&lt;&gt;"",INDEX(職員マスタ!$G$6:$G$405,$AN1545)&lt;&gt;"",$L1545&lt;&gt;INDEX(職員マスタ!$G$6:$G$405,$AN1545)),"時短開始日がマスタと相違／","")&amp;IF(AND($M1545&lt;&gt;"",INDEX(職員マスタ!$H$6:$H$405,$AN1545)&lt;&gt;"",$M1545&lt;&gt;INDEX(職員マスタ!$H$6:$H$405,$AN1545)),"時短終了日がマスタと相違／","")))&amp;IF(AND($B1545&lt;&gt;"",$E1545=""),"報酬額が未入力／","")&amp;IF(N($U1545)&gt;0,"申請書に入力エラーが残っています／","")&amp;IF(AND($B1545&lt;&gt;"",$AO1545&lt;&gt;""),IF(COUNTIFS($B$6:$B$3005,$B1545,$C$6:$C$3005,$C1545,$D$6:$D$3005,$D1545)&gt;1,"同じ月の請求が重複しています／",""),"")&amp;IF(AND(N($E1545)&gt;0,$Z1545&lt;&gt;"",$Z1545&lt;&gt;"×",$AC1545=0,$AB1545=""),"計算額が下限以下のため不支給／",""))</f>
        <v/>
      </c>
      <c r="AL1545" s="12" t="n"/>
      <c r="AM1545" s="14">
        <f>IF($AD1545="保留中",COUNTIF($AD$6:$AD1545,"保留中"),"")</f>
        <v/>
      </c>
      <c r="AN1545" s="14">
        <f>IF($AO1545="","",IF(SUMPRODUCT(MAX((職員マスタ!$A$6:$A$405=$B1545)*(((職員マスタ!$G$6:$G$405="")+(職員マスタ!$G$6:$G$405&lt;=EOMONTH($AO1545,0)))&gt;0)*(((職員マスタ!$H$6:$H$405="")+(職員マスタ!$H$6:$H$405&gt;=$AO1545))&gt;0)*(ROW(職員マスタ!$A$6:$A$405)-5)))&gt;0,SUMPRODUCT(MAX((職員マスタ!$A$6:$A$405=$B1545)*(((職員マスタ!$G$6:$G$405="")+(職員マスタ!$G$6:$G$405&lt;=EOMONTH($AO1545,0)))&gt;0)*(((職員マスタ!$H$6:$H$405="")+(職員マスタ!$H$6:$H$405&gt;=$AO1545))&gt;0)*(ROW(職員マスタ!$A$6:$A$405)-5))),IFERROR(MATCH($B1545,職員マスタ!$A$6:$A$405,0),"")))</f>
        <v/>
      </c>
      <c r="AO1545" s="16">
        <f>IF(OR($B1545="",$C1545="",$D1545=""),"",DATE($C1545+2018,$D1545,1))</f>
        <v/>
      </c>
    </row>
    <row r="1546">
      <c r="A1546" s="11" t="n"/>
      <c r="B1546" s="12" t="n"/>
      <c r="C1546" s="12" t="n"/>
      <c r="D1546" s="12" t="n"/>
      <c r="E1546" s="13" t="n"/>
      <c r="F1546" s="12" t="n"/>
      <c r="G1546" s="13" t="n"/>
      <c r="H1546" s="12" t="n"/>
      <c r="I1546" s="12" t="n"/>
      <c r="J1546" s="12" t="n"/>
      <c r="K1546" s="12" t="n"/>
      <c r="L1546" s="11" t="n"/>
      <c r="M1546" s="11" t="n"/>
      <c r="N1546" s="11" t="n"/>
      <c r="O1546" s="11" t="n"/>
      <c r="P1546" s="12" t="n"/>
      <c r="Q1546" s="11" t="n"/>
      <c r="R1546" s="12" t="n"/>
      <c r="S1546" s="11" t="n"/>
      <c r="T1546" s="12" t="n"/>
      <c r="U1546" s="12" t="n"/>
      <c r="V1546" s="14">
        <f>IF($AN1546="",IF($B1546="","",$H1546),IF(INDEX(職員マスタ!$B$6:$B$405,$AN1546)="",$H1546,INDEX(職員マスタ!$B$6:$B$405,$AN1546)))</f>
        <v/>
      </c>
      <c r="W1546" s="14">
        <f>IF($AN1546="",IF($B1546="","",$R1546),IF(INDEX(職員マスタ!$C$6:$C$405,$AN1546)="",$R1546,INDEX(職員マスタ!$C$6:$C$405,$AN1546)))</f>
        <v/>
      </c>
      <c r="X1546" s="14">
        <f>IF($AO1546="","","R"&amp;$C1546&amp;"."&amp;$D1546)</f>
        <v/>
      </c>
      <c r="Y1546" s="15">
        <f>IF($AN1546="","",IF(INDEX(職員マスタ!$K$6:$K$405,$AN1546)="","",INDEX(職員マスタ!$K$6:$K$405,$AN1546)))</f>
        <v/>
      </c>
      <c r="Z1546" s="14">
        <f>IF(OR($E1546="",$Y1546=""),"",IF($E1546&gt;=$Y1546,"×",IF($E1546&gt;=$Y1546*設定!$C$5,"△","○")))</f>
        <v/>
      </c>
      <c r="AA1546" s="15">
        <f>IF($Z1546="","",IF($Z1546="×",0,IF($Z1546="○",ROUNDDOWN($E1546*設定!$C$4,0),ROUNDDOWN($E1546*ROUND((9*$Y1546-9*$E1546)/(10*$E1546),4),0))))</f>
        <v/>
      </c>
      <c r="AB1546" s="13" t="n"/>
      <c r="AC1546" s="15">
        <f>IF($B1546="","",IF($AB1546&lt;&gt;"",$AB1546,IF($AA1546="","",IF($AA1546&lt;=設定!$C$3,0,$AA1546))))</f>
        <v/>
      </c>
      <c r="AD1546" s="14">
        <f>IF($B1546="","",IF(AND($AE1546&lt;&gt;"",$AG1546="",$AJ1546=""),"保留中",IF($AJ1546&lt;&gt;"",IF(N($AC1546)&gt;0,"支給済","不支給"),IF($AC1546="","要確認",IF($AC1546=0,"不支給","未処理")))))</f>
        <v/>
      </c>
      <c r="AE1546" s="12" t="n"/>
      <c r="AF1546" s="11" t="n"/>
      <c r="AG1546" s="11" t="n"/>
      <c r="AH1546" s="11" t="n"/>
      <c r="AI1546" s="14">
        <f>IF(AND($AD1546="保留中",$AF1546&lt;&gt;""),TODAY()-$AF1546,"")</f>
        <v/>
      </c>
      <c r="AJ1546" s="12" t="n"/>
      <c r="AK1546" s="14">
        <f>IF($B1546="","",IF($AO1546="","対象年月が未入力／","")&amp;IF($B1546="","",IF($AN1546="","職員マスタに未登録の職員番号／",IF($Y1546="","標準報酬月額が未登録／","")&amp;IF(AND($AO1546&lt;&gt;"",OR(AND(INDEX(職員マスタ!$G$6:$G$405,$AN1546)&lt;&gt;"",INDEX(職員マスタ!$G$6:$G$405,$AN1546)&gt;EOMONTH($AO1546,0)),AND(INDEX(職員マスタ!$H$6:$H$405,$AN1546)&lt;&gt;"",INDEX(職員マスタ!$H$6:$H$405,$AN1546)&lt;$AO1546))),"対象月が時短期間外／","")&amp;IF(AND(INDEX(職員マスタ!$F$6:$F$405,$AN1546)&lt;&gt;"",$AO1546&lt;&gt;"",INDEX(職員マスタ!$F$6:$F$405,$AN1546)&lt;$AO1546),"対象月に子が2歳到達済／","")&amp;IF(AND($H1546&lt;&gt;"",INDEX(職員マスタ!$B$6:$B$405,$AN1546)&lt;&gt;"",SUBSTITUTE(SUBSTITUTE($H1546," ","")," ","")&lt;&gt;SUBSTITUTE(SUBSTITUTE(INDEX(職員マスタ!$B$6:$B$405,$AN1546)," ","")," ","")),"氏名がマスタと相違／","")&amp;IF(AND($Q1546&lt;&gt;"",INDEX(職員マスタ!$E$6:$E$405,$AN1546)&lt;&gt;"",$Q1546&lt;&gt;INDEX(職員マスタ!$E$6:$E$405,$AN1546)),"子の生年月日がマスタと相違／","")&amp;IF(AND($L1546&lt;&gt;"",INDEX(職員マスタ!$G$6:$G$405,$AN1546)&lt;&gt;"",$L1546&lt;&gt;INDEX(職員マスタ!$G$6:$G$405,$AN1546)),"時短開始日がマスタと相違／","")&amp;IF(AND($M1546&lt;&gt;"",INDEX(職員マスタ!$H$6:$H$405,$AN1546)&lt;&gt;"",$M1546&lt;&gt;INDEX(職員マスタ!$H$6:$H$405,$AN1546)),"時短終了日がマスタと相違／","")))&amp;IF(AND($B1546&lt;&gt;"",$E1546=""),"報酬額が未入力／","")&amp;IF(N($U1546)&gt;0,"申請書に入力エラーが残っています／","")&amp;IF(AND($B1546&lt;&gt;"",$AO1546&lt;&gt;""),IF(COUNTIFS($B$6:$B$3005,$B1546,$C$6:$C$3005,$C1546,$D$6:$D$3005,$D1546)&gt;1,"同じ月の請求が重複しています／",""),"")&amp;IF(AND(N($E1546)&gt;0,$Z1546&lt;&gt;"",$Z1546&lt;&gt;"×",$AC1546=0,$AB1546=""),"計算額が下限以下のため不支給／",""))</f>
        <v/>
      </c>
      <c r="AL1546" s="12" t="n"/>
      <c r="AM1546" s="14">
        <f>IF($AD1546="保留中",COUNTIF($AD$6:$AD1546,"保留中"),"")</f>
        <v/>
      </c>
      <c r="AN1546" s="14">
        <f>IF($AO1546="","",IF(SUMPRODUCT(MAX((職員マスタ!$A$6:$A$405=$B1546)*(((職員マスタ!$G$6:$G$405="")+(職員マスタ!$G$6:$G$405&lt;=EOMONTH($AO1546,0)))&gt;0)*(((職員マスタ!$H$6:$H$405="")+(職員マスタ!$H$6:$H$405&gt;=$AO1546))&gt;0)*(ROW(職員マスタ!$A$6:$A$405)-5)))&gt;0,SUMPRODUCT(MAX((職員マスタ!$A$6:$A$405=$B1546)*(((職員マスタ!$G$6:$G$405="")+(職員マスタ!$G$6:$G$405&lt;=EOMONTH($AO1546,0)))&gt;0)*(((職員マスタ!$H$6:$H$405="")+(職員マスタ!$H$6:$H$405&gt;=$AO1546))&gt;0)*(ROW(職員マスタ!$A$6:$A$405)-5))),IFERROR(MATCH($B1546,職員マスタ!$A$6:$A$405,0),"")))</f>
        <v/>
      </c>
      <c r="AO1546" s="16">
        <f>IF(OR($B1546="",$C1546="",$D1546=""),"",DATE($C1546+2018,$D1546,1))</f>
        <v/>
      </c>
    </row>
    <row r="1547">
      <c r="A1547" s="11" t="n"/>
      <c r="B1547" s="12" t="n"/>
      <c r="C1547" s="12" t="n"/>
      <c r="D1547" s="12" t="n"/>
      <c r="E1547" s="13" t="n"/>
      <c r="F1547" s="12" t="n"/>
      <c r="G1547" s="13" t="n"/>
      <c r="H1547" s="12" t="n"/>
      <c r="I1547" s="12" t="n"/>
      <c r="J1547" s="12" t="n"/>
      <c r="K1547" s="12" t="n"/>
      <c r="L1547" s="11" t="n"/>
      <c r="M1547" s="11" t="n"/>
      <c r="N1547" s="11" t="n"/>
      <c r="O1547" s="11" t="n"/>
      <c r="P1547" s="12" t="n"/>
      <c r="Q1547" s="11" t="n"/>
      <c r="R1547" s="12" t="n"/>
      <c r="S1547" s="11" t="n"/>
      <c r="T1547" s="12" t="n"/>
      <c r="U1547" s="12" t="n"/>
      <c r="V1547" s="14">
        <f>IF($AN1547="",IF($B1547="","",$H1547),IF(INDEX(職員マスタ!$B$6:$B$405,$AN1547)="",$H1547,INDEX(職員マスタ!$B$6:$B$405,$AN1547)))</f>
        <v/>
      </c>
      <c r="W1547" s="14">
        <f>IF($AN1547="",IF($B1547="","",$R1547),IF(INDEX(職員マスタ!$C$6:$C$405,$AN1547)="",$R1547,INDEX(職員マスタ!$C$6:$C$405,$AN1547)))</f>
        <v/>
      </c>
      <c r="X1547" s="14">
        <f>IF($AO1547="","","R"&amp;$C1547&amp;"."&amp;$D1547)</f>
        <v/>
      </c>
      <c r="Y1547" s="15">
        <f>IF($AN1547="","",IF(INDEX(職員マスタ!$K$6:$K$405,$AN1547)="","",INDEX(職員マスタ!$K$6:$K$405,$AN1547)))</f>
        <v/>
      </c>
      <c r="Z1547" s="14">
        <f>IF(OR($E1547="",$Y1547=""),"",IF($E1547&gt;=$Y1547,"×",IF($E1547&gt;=$Y1547*設定!$C$5,"△","○")))</f>
        <v/>
      </c>
      <c r="AA1547" s="15">
        <f>IF($Z1547="","",IF($Z1547="×",0,IF($Z1547="○",ROUNDDOWN($E1547*設定!$C$4,0),ROUNDDOWN($E1547*ROUND((9*$Y1547-9*$E1547)/(10*$E1547),4),0))))</f>
        <v/>
      </c>
      <c r="AB1547" s="13" t="n"/>
      <c r="AC1547" s="15">
        <f>IF($B1547="","",IF($AB1547&lt;&gt;"",$AB1547,IF($AA1547="","",IF($AA1547&lt;=設定!$C$3,0,$AA1547))))</f>
        <v/>
      </c>
      <c r="AD1547" s="14">
        <f>IF($B1547="","",IF(AND($AE1547&lt;&gt;"",$AG1547="",$AJ1547=""),"保留中",IF($AJ1547&lt;&gt;"",IF(N($AC1547)&gt;0,"支給済","不支給"),IF($AC1547="","要確認",IF($AC1547=0,"不支給","未処理")))))</f>
        <v/>
      </c>
      <c r="AE1547" s="12" t="n"/>
      <c r="AF1547" s="11" t="n"/>
      <c r="AG1547" s="11" t="n"/>
      <c r="AH1547" s="11" t="n"/>
      <c r="AI1547" s="14">
        <f>IF(AND($AD1547="保留中",$AF1547&lt;&gt;""),TODAY()-$AF1547,"")</f>
        <v/>
      </c>
      <c r="AJ1547" s="12" t="n"/>
      <c r="AK1547" s="14">
        <f>IF($B1547="","",IF($AO1547="","対象年月が未入力／","")&amp;IF($B1547="","",IF($AN1547="","職員マスタに未登録の職員番号／",IF($Y1547="","標準報酬月額が未登録／","")&amp;IF(AND($AO1547&lt;&gt;"",OR(AND(INDEX(職員マスタ!$G$6:$G$405,$AN1547)&lt;&gt;"",INDEX(職員マスタ!$G$6:$G$405,$AN1547)&gt;EOMONTH($AO1547,0)),AND(INDEX(職員マスタ!$H$6:$H$405,$AN1547)&lt;&gt;"",INDEX(職員マスタ!$H$6:$H$405,$AN1547)&lt;$AO1547))),"対象月が時短期間外／","")&amp;IF(AND(INDEX(職員マスタ!$F$6:$F$405,$AN1547)&lt;&gt;"",$AO1547&lt;&gt;"",INDEX(職員マスタ!$F$6:$F$405,$AN1547)&lt;$AO1547),"対象月に子が2歳到達済／","")&amp;IF(AND($H1547&lt;&gt;"",INDEX(職員マスタ!$B$6:$B$405,$AN1547)&lt;&gt;"",SUBSTITUTE(SUBSTITUTE($H1547," ","")," ","")&lt;&gt;SUBSTITUTE(SUBSTITUTE(INDEX(職員マスタ!$B$6:$B$405,$AN1547)," ","")," ","")),"氏名がマスタと相違／","")&amp;IF(AND($Q1547&lt;&gt;"",INDEX(職員マスタ!$E$6:$E$405,$AN1547)&lt;&gt;"",$Q1547&lt;&gt;INDEX(職員マスタ!$E$6:$E$405,$AN1547)),"子の生年月日がマスタと相違／","")&amp;IF(AND($L1547&lt;&gt;"",INDEX(職員マスタ!$G$6:$G$405,$AN1547)&lt;&gt;"",$L1547&lt;&gt;INDEX(職員マスタ!$G$6:$G$405,$AN1547)),"時短開始日がマスタと相違／","")&amp;IF(AND($M1547&lt;&gt;"",INDEX(職員マスタ!$H$6:$H$405,$AN1547)&lt;&gt;"",$M1547&lt;&gt;INDEX(職員マスタ!$H$6:$H$405,$AN1547)),"時短終了日がマスタと相違／","")))&amp;IF(AND($B1547&lt;&gt;"",$E1547=""),"報酬額が未入力／","")&amp;IF(N($U1547)&gt;0,"申請書に入力エラーが残っています／","")&amp;IF(AND($B1547&lt;&gt;"",$AO1547&lt;&gt;""),IF(COUNTIFS($B$6:$B$3005,$B1547,$C$6:$C$3005,$C1547,$D$6:$D$3005,$D1547)&gt;1,"同じ月の請求が重複しています／",""),"")&amp;IF(AND(N($E1547)&gt;0,$Z1547&lt;&gt;"",$Z1547&lt;&gt;"×",$AC1547=0,$AB1547=""),"計算額が下限以下のため不支給／",""))</f>
        <v/>
      </c>
      <c r="AL1547" s="12" t="n"/>
      <c r="AM1547" s="14">
        <f>IF($AD1547="保留中",COUNTIF($AD$6:$AD1547,"保留中"),"")</f>
        <v/>
      </c>
      <c r="AN1547" s="14">
        <f>IF($AO1547="","",IF(SUMPRODUCT(MAX((職員マスタ!$A$6:$A$405=$B1547)*(((職員マスタ!$G$6:$G$405="")+(職員マスタ!$G$6:$G$405&lt;=EOMONTH($AO1547,0)))&gt;0)*(((職員マスタ!$H$6:$H$405="")+(職員マスタ!$H$6:$H$405&gt;=$AO1547))&gt;0)*(ROW(職員マスタ!$A$6:$A$405)-5)))&gt;0,SUMPRODUCT(MAX((職員マスタ!$A$6:$A$405=$B1547)*(((職員マスタ!$G$6:$G$405="")+(職員マスタ!$G$6:$G$405&lt;=EOMONTH($AO1547,0)))&gt;0)*(((職員マスタ!$H$6:$H$405="")+(職員マスタ!$H$6:$H$405&gt;=$AO1547))&gt;0)*(ROW(職員マスタ!$A$6:$A$405)-5))),IFERROR(MATCH($B1547,職員マスタ!$A$6:$A$405,0),"")))</f>
        <v/>
      </c>
      <c r="AO1547" s="16">
        <f>IF(OR($B1547="",$C1547="",$D1547=""),"",DATE($C1547+2018,$D1547,1))</f>
        <v/>
      </c>
    </row>
    <row r="1548">
      <c r="A1548" s="11" t="n"/>
      <c r="B1548" s="12" t="n"/>
      <c r="C1548" s="12" t="n"/>
      <c r="D1548" s="12" t="n"/>
      <c r="E1548" s="13" t="n"/>
      <c r="F1548" s="12" t="n"/>
      <c r="G1548" s="13" t="n"/>
      <c r="H1548" s="12" t="n"/>
      <c r="I1548" s="12" t="n"/>
      <c r="J1548" s="12" t="n"/>
      <c r="K1548" s="12" t="n"/>
      <c r="L1548" s="11" t="n"/>
      <c r="M1548" s="11" t="n"/>
      <c r="N1548" s="11" t="n"/>
      <c r="O1548" s="11" t="n"/>
      <c r="P1548" s="12" t="n"/>
      <c r="Q1548" s="11" t="n"/>
      <c r="R1548" s="12" t="n"/>
      <c r="S1548" s="11" t="n"/>
      <c r="T1548" s="12" t="n"/>
      <c r="U1548" s="12" t="n"/>
      <c r="V1548" s="14">
        <f>IF($AN1548="",IF($B1548="","",$H1548),IF(INDEX(職員マスタ!$B$6:$B$405,$AN1548)="",$H1548,INDEX(職員マスタ!$B$6:$B$405,$AN1548)))</f>
        <v/>
      </c>
      <c r="W1548" s="14">
        <f>IF($AN1548="",IF($B1548="","",$R1548),IF(INDEX(職員マスタ!$C$6:$C$405,$AN1548)="",$R1548,INDEX(職員マスタ!$C$6:$C$405,$AN1548)))</f>
        <v/>
      </c>
      <c r="X1548" s="14">
        <f>IF($AO1548="","","R"&amp;$C1548&amp;"."&amp;$D1548)</f>
        <v/>
      </c>
      <c r="Y1548" s="15">
        <f>IF($AN1548="","",IF(INDEX(職員マスタ!$K$6:$K$405,$AN1548)="","",INDEX(職員マスタ!$K$6:$K$405,$AN1548)))</f>
        <v/>
      </c>
      <c r="Z1548" s="14">
        <f>IF(OR($E1548="",$Y1548=""),"",IF($E1548&gt;=$Y1548,"×",IF($E1548&gt;=$Y1548*設定!$C$5,"△","○")))</f>
        <v/>
      </c>
      <c r="AA1548" s="15">
        <f>IF($Z1548="","",IF($Z1548="×",0,IF($Z1548="○",ROUNDDOWN($E1548*設定!$C$4,0),ROUNDDOWN($E1548*ROUND((9*$Y1548-9*$E1548)/(10*$E1548),4),0))))</f>
        <v/>
      </c>
      <c r="AB1548" s="13" t="n"/>
      <c r="AC1548" s="15">
        <f>IF($B1548="","",IF($AB1548&lt;&gt;"",$AB1548,IF($AA1548="","",IF($AA1548&lt;=設定!$C$3,0,$AA1548))))</f>
        <v/>
      </c>
      <c r="AD1548" s="14">
        <f>IF($B1548="","",IF(AND($AE1548&lt;&gt;"",$AG1548="",$AJ1548=""),"保留中",IF($AJ1548&lt;&gt;"",IF(N($AC1548)&gt;0,"支給済","不支給"),IF($AC1548="","要確認",IF($AC1548=0,"不支給","未処理")))))</f>
        <v/>
      </c>
      <c r="AE1548" s="12" t="n"/>
      <c r="AF1548" s="11" t="n"/>
      <c r="AG1548" s="11" t="n"/>
      <c r="AH1548" s="11" t="n"/>
      <c r="AI1548" s="14">
        <f>IF(AND($AD1548="保留中",$AF1548&lt;&gt;""),TODAY()-$AF1548,"")</f>
        <v/>
      </c>
      <c r="AJ1548" s="12" t="n"/>
      <c r="AK1548" s="14">
        <f>IF($B1548="","",IF($AO1548="","対象年月が未入力／","")&amp;IF($B1548="","",IF($AN1548="","職員マスタに未登録の職員番号／",IF($Y1548="","標準報酬月額が未登録／","")&amp;IF(AND($AO1548&lt;&gt;"",OR(AND(INDEX(職員マスタ!$G$6:$G$405,$AN1548)&lt;&gt;"",INDEX(職員マスタ!$G$6:$G$405,$AN1548)&gt;EOMONTH($AO1548,0)),AND(INDEX(職員マスタ!$H$6:$H$405,$AN1548)&lt;&gt;"",INDEX(職員マスタ!$H$6:$H$405,$AN1548)&lt;$AO1548))),"対象月が時短期間外／","")&amp;IF(AND(INDEX(職員マスタ!$F$6:$F$405,$AN1548)&lt;&gt;"",$AO1548&lt;&gt;"",INDEX(職員マスタ!$F$6:$F$405,$AN1548)&lt;$AO1548),"対象月に子が2歳到達済／","")&amp;IF(AND($H1548&lt;&gt;"",INDEX(職員マスタ!$B$6:$B$405,$AN1548)&lt;&gt;"",SUBSTITUTE(SUBSTITUTE($H1548," ","")," ","")&lt;&gt;SUBSTITUTE(SUBSTITUTE(INDEX(職員マスタ!$B$6:$B$405,$AN1548)," ","")," ","")),"氏名がマスタと相違／","")&amp;IF(AND($Q1548&lt;&gt;"",INDEX(職員マスタ!$E$6:$E$405,$AN1548)&lt;&gt;"",$Q1548&lt;&gt;INDEX(職員マスタ!$E$6:$E$405,$AN1548)),"子の生年月日がマスタと相違／","")&amp;IF(AND($L1548&lt;&gt;"",INDEX(職員マスタ!$G$6:$G$405,$AN1548)&lt;&gt;"",$L1548&lt;&gt;INDEX(職員マスタ!$G$6:$G$405,$AN1548)),"時短開始日がマスタと相違／","")&amp;IF(AND($M1548&lt;&gt;"",INDEX(職員マスタ!$H$6:$H$405,$AN1548)&lt;&gt;"",$M1548&lt;&gt;INDEX(職員マスタ!$H$6:$H$405,$AN1548)),"時短終了日がマスタと相違／","")))&amp;IF(AND($B1548&lt;&gt;"",$E1548=""),"報酬額が未入力／","")&amp;IF(N($U1548)&gt;0,"申請書に入力エラーが残っています／","")&amp;IF(AND($B1548&lt;&gt;"",$AO1548&lt;&gt;""),IF(COUNTIFS($B$6:$B$3005,$B1548,$C$6:$C$3005,$C1548,$D$6:$D$3005,$D1548)&gt;1,"同じ月の請求が重複しています／",""),"")&amp;IF(AND(N($E1548)&gt;0,$Z1548&lt;&gt;"",$Z1548&lt;&gt;"×",$AC1548=0,$AB1548=""),"計算額が下限以下のため不支給／",""))</f>
        <v/>
      </c>
      <c r="AL1548" s="12" t="n"/>
      <c r="AM1548" s="14">
        <f>IF($AD1548="保留中",COUNTIF($AD$6:$AD1548,"保留中"),"")</f>
        <v/>
      </c>
      <c r="AN1548" s="14">
        <f>IF($AO1548="","",IF(SUMPRODUCT(MAX((職員マスタ!$A$6:$A$405=$B1548)*(((職員マスタ!$G$6:$G$405="")+(職員マスタ!$G$6:$G$405&lt;=EOMONTH($AO1548,0)))&gt;0)*(((職員マスタ!$H$6:$H$405="")+(職員マスタ!$H$6:$H$405&gt;=$AO1548))&gt;0)*(ROW(職員マスタ!$A$6:$A$405)-5)))&gt;0,SUMPRODUCT(MAX((職員マスタ!$A$6:$A$405=$B1548)*(((職員マスタ!$G$6:$G$405="")+(職員マスタ!$G$6:$G$405&lt;=EOMONTH($AO1548,0)))&gt;0)*(((職員マスタ!$H$6:$H$405="")+(職員マスタ!$H$6:$H$405&gt;=$AO1548))&gt;0)*(ROW(職員マスタ!$A$6:$A$405)-5))),IFERROR(MATCH($B1548,職員マスタ!$A$6:$A$405,0),"")))</f>
        <v/>
      </c>
      <c r="AO1548" s="16">
        <f>IF(OR($B1548="",$C1548="",$D1548=""),"",DATE($C1548+2018,$D1548,1))</f>
        <v/>
      </c>
    </row>
    <row r="1549">
      <c r="A1549" s="11" t="n"/>
      <c r="B1549" s="12" t="n"/>
      <c r="C1549" s="12" t="n"/>
      <c r="D1549" s="12" t="n"/>
      <c r="E1549" s="13" t="n"/>
      <c r="F1549" s="12" t="n"/>
      <c r="G1549" s="13" t="n"/>
      <c r="H1549" s="12" t="n"/>
      <c r="I1549" s="12" t="n"/>
      <c r="J1549" s="12" t="n"/>
      <c r="K1549" s="12" t="n"/>
      <c r="L1549" s="11" t="n"/>
      <c r="M1549" s="11" t="n"/>
      <c r="N1549" s="11" t="n"/>
      <c r="O1549" s="11" t="n"/>
      <c r="P1549" s="12" t="n"/>
      <c r="Q1549" s="11" t="n"/>
      <c r="R1549" s="12" t="n"/>
      <c r="S1549" s="11" t="n"/>
      <c r="T1549" s="12" t="n"/>
      <c r="U1549" s="12" t="n"/>
      <c r="V1549" s="14">
        <f>IF($AN1549="",IF($B1549="","",$H1549),IF(INDEX(職員マスタ!$B$6:$B$405,$AN1549)="",$H1549,INDEX(職員マスタ!$B$6:$B$405,$AN1549)))</f>
        <v/>
      </c>
      <c r="W1549" s="14">
        <f>IF($AN1549="",IF($B1549="","",$R1549),IF(INDEX(職員マスタ!$C$6:$C$405,$AN1549)="",$R1549,INDEX(職員マスタ!$C$6:$C$405,$AN1549)))</f>
        <v/>
      </c>
      <c r="X1549" s="14">
        <f>IF($AO1549="","","R"&amp;$C1549&amp;"."&amp;$D1549)</f>
        <v/>
      </c>
      <c r="Y1549" s="15">
        <f>IF($AN1549="","",IF(INDEX(職員マスタ!$K$6:$K$405,$AN1549)="","",INDEX(職員マスタ!$K$6:$K$405,$AN1549)))</f>
        <v/>
      </c>
      <c r="Z1549" s="14">
        <f>IF(OR($E1549="",$Y1549=""),"",IF($E1549&gt;=$Y1549,"×",IF($E1549&gt;=$Y1549*設定!$C$5,"△","○")))</f>
        <v/>
      </c>
      <c r="AA1549" s="15">
        <f>IF($Z1549="","",IF($Z1549="×",0,IF($Z1549="○",ROUNDDOWN($E1549*設定!$C$4,0),ROUNDDOWN($E1549*ROUND((9*$Y1549-9*$E1549)/(10*$E1549),4),0))))</f>
        <v/>
      </c>
      <c r="AB1549" s="13" t="n"/>
      <c r="AC1549" s="15">
        <f>IF($B1549="","",IF($AB1549&lt;&gt;"",$AB1549,IF($AA1549="","",IF($AA1549&lt;=設定!$C$3,0,$AA1549))))</f>
        <v/>
      </c>
      <c r="AD1549" s="14">
        <f>IF($B1549="","",IF(AND($AE1549&lt;&gt;"",$AG1549="",$AJ1549=""),"保留中",IF($AJ1549&lt;&gt;"",IF(N($AC1549)&gt;0,"支給済","不支給"),IF($AC1549="","要確認",IF($AC1549=0,"不支給","未処理")))))</f>
        <v/>
      </c>
      <c r="AE1549" s="12" t="n"/>
      <c r="AF1549" s="11" t="n"/>
      <c r="AG1549" s="11" t="n"/>
      <c r="AH1549" s="11" t="n"/>
      <c r="AI1549" s="14">
        <f>IF(AND($AD1549="保留中",$AF1549&lt;&gt;""),TODAY()-$AF1549,"")</f>
        <v/>
      </c>
      <c r="AJ1549" s="12" t="n"/>
      <c r="AK1549" s="14">
        <f>IF($B1549="","",IF($AO1549="","対象年月が未入力／","")&amp;IF($B1549="","",IF($AN1549="","職員マスタに未登録の職員番号／",IF($Y1549="","標準報酬月額が未登録／","")&amp;IF(AND($AO1549&lt;&gt;"",OR(AND(INDEX(職員マスタ!$G$6:$G$405,$AN1549)&lt;&gt;"",INDEX(職員マスタ!$G$6:$G$405,$AN1549)&gt;EOMONTH($AO1549,0)),AND(INDEX(職員マスタ!$H$6:$H$405,$AN1549)&lt;&gt;"",INDEX(職員マスタ!$H$6:$H$405,$AN1549)&lt;$AO1549))),"対象月が時短期間外／","")&amp;IF(AND(INDEX(職員マスタ!$F$6:$F$405,$AN1549)&lt;&gt;"",$AO1549&lt;&gt;"",INDEX(職員マスタ!$F$6:$F$405,$AN1549)&lt;$AO1549),"対象月に子が2歳到達済／","")&amp;IF(AND($H1549&lt;&gt;"",INDEX(職員マスタ!$B$6:$B$405,$AN1549)&lt;&gt;"",SUBSTITUTE(SUBSTITUTE($H1549," ","")," ","")&lt;&gt;SUBSTITUTE(SUBSTITUTE(INDEX(職員マスタ!$B$6:$B$405,$AN1549)," ","")," ","")),"氏名がマスタと相違／","")&amp;IF(AND($Q1549&lt;&gt;"",INDEX(職員マスタ!$E$6:$E$405,$AN1549)&lt;&gt;"",$Q1549&lt;&gt;INDEX(職員マスタ!$E$6:$E$405,$AN1549)),"子の生年月日がマスタと相違／","")&amp;IF(AND($L1549&lt;&gt;"",INDEX(職員マスタ!$G$6:$G$405,$AN1549)&lt;&gt;"",$L1549&lt;&gt;INDEX(職員マスタ!$G$6:$G$405,$AN1549)),"時短開始日がマスタと相違／","")&amp;IF(AND($M1549&lt;&gt;"",INDEX(職員マスタ!$H$6:$H$405,$AN1549)&lt;&gt;"",$M1549&lt;&gt;INDEX(職員マスタ!$H$6:$H$405,$AN1549)),"時短終了日がマスタと相違／","")))&amp;IF(AND($B1549&lt;&gt;"",$E1549=""),"報酬額が未入力／","")&amp;IF(N($U1549)&gt;0,"申請書に入力エラーが残っています／","")&amp;IF(AND($B1549&lt;&gt;"",$AO1549&lt;&gt;""),IF(COUNTIFS($B$6:$B$3005,$B1549,$C$6:$C$3005,$C1549,$D$6:$D$3005,$D1549)&gt;1,"同じ月の請求が重複しています／",""),"")&amp;IF(AND(N($E1549)&gt;0,$Z1549&lt;&gt;"",$Z1549&lt;&gt;"×",$AC1549=0,$AB1549=""),"計算額が下限以下のため不支給／",""))</f>
        <v/>
      </c>
      <c r="AL1549" s="12" t="n"/>
      <c r="AM1549" s="14">
        <f>IF($AD1549="保留中",COUNTIF($AD$6:$AD1549,"保留中"),"")</f>
        <v/>
      </c>
      <c r="AN1549" s="14">
        <f>IF($AO1549="","",IF(SUMPRODUCT(MAX((職員マスタ!$A$6:$A$405=$B1549)*(((職員マスタ!$G$6:$G$405="")+(職員マスタ!$G$6:$G$405&lt;=EOMONTH($AO1549,0)))&gt;0)*(((職員マスタ!$H$6:$H$405="")+(職員マスタ!$H$6:$H$405&gt;=$AO1549))&gt;0)*(ROW(職員マスタ!$A$6:$A$405)-5)))&gt;0,SUMPRODUCT(MAX((職員マスタ!$A$6:$A$405=$B1549)*(((職員マスタ!$G$6:$G$405="")+(職員マスタ!$G$6:$G$405&lt;=EOMONTH($AO1549,0)))&gt;0)*(((職員マスタ!$H$6:$H$405="")+(職員マスタ!$H$6:$H$405&gt;=$AO1549))&gt;0)*(ROW(職員マスタ!$A$6:$A$405)-5))),IFERROR(MATCH($B1549,職員マスタ!$A$6:$A$405,0),"")))</f>
        <v/>
      </c>
      <c r="AO1549" s="16">
        <f>IF(OR($B1549="",$C1549="",$D1549=""),"",DATE($C1549+2018,$D1549,1))</f>
        <v/>
      </c>
    </row>
    <row r="1550">
      <c r="A1550" s="11" t="n"/>
      <c r="B1550" s="12" t="n"/>
      <c r="C1550" s="12" t="n"/>
      <c r="D1550" s="12" t="n"/>
      <c r="E1550" s="13" t="n"/>
      <c r="F1550" s="12" t="n"/>
      <c r="G1550" s="13" t="n"/>
      <c r="H1550" s="12" t="n"/>
      <c r="I1550" s="12" t="n"/>
      <c r="J1550" s="12" t="n"/>
      <c r="K1550" s="12" t="n"/>
      <c r="L1550" s="11" t="n"/>
      <c r="M1550" s="11" t="n"/>
      <c r="N1550" s="11" t="n"/>
      <c r="O1550" s="11" t="n"/>
      <c r="P1550" s="12" t="n"/>
      <c r="Q1550" s="11" t="n"/>
      <c r="R1550" s="12" t="n"/>
      <c r="S1550" s="11" t="n"/>
      <c r="T1550" s="12" t="n"/>
      <c r="U1550" s="12" t="n"/>
      <c r="V1550" s="14">
        <f>IF($AN1550="",IF($B1550="","",$H1550),IF(INDEX(職員マスタ!$B$6:$B$405,$AN1550)="",$H1550,INDEX(職員マスタ!$B$6:$B$405,$AN1550)))</f>
        <v/>
      </c>
      <c r="W1550" s="14">
        <f>IF($AN1550="",IF($B1550="","",$R1550),IF(INDEX(職員マスタ!$C$6:$C$405,$AN1550)="",$R1550,INDEX(職員マスタ!$C$6:$C$405,$AN1550)))</f>
        <v/>
      </c>
      <c r="X1550" s="14">
        <f>IF($AO1550="","","R"&amp;$C1550&amp;"."&amp;$D1550)</f>
        <v/>
      </c>
      <c r="Y1550" s="15">
        <f>IF($AN1550="","",IF(INDEX(職員マスタ!$K$6:$K$405,$AN1550)="","",INDEX(職員マスタ!$K$6:$K$405,$AN1550)))</f>
        <v/>
      </c>
      <c r="Z1550" s="14">
        <f>IF(OR($E1550="",$Y1550=""),"",IF($E1550&gt;=$Y1550,"×",IF($E1550&gt;=$Y1550*設定!$C$5,"△","○")))</f>
        <v/>
      </c>
      <c r="AA1550" s="15">
        <f>IF($Z1550="","",IF($Z1550="×",0,IF($Z1550="○",ROUNDDOWN($E1550*設定!$C$4,0),ROUNDDOWN($E1550*ROUND((9*$Y1550-9*$E1550)/(10*$E1550),4),0))))</f>
        <v/>
      </c>
      <c r="AB1550" s="13" t="n"/>
      <c r="AC1550" s="15">
        <f>IF($B1550="","",IF($AB1550&lt;&gt;"",$AB1550,IF($AA1550="","",IF($AA1550&lt;=設定!$C$3,0,$AA1550))))</f>
        <v/>
      </c>
      <c r="AD1550" s="14">
        <f>IF($B1550="","",IF(AND($AE1550&lt;&gt;"",$AG1550="",$AJ1550=""),"保留中",IF($AJ1550&lt;&gt;"",IF(N($AC1550)&gt;0,"支給済","不支給"),IF($AC1550="","要確認",IF($AC1550=0,"不支給","未処理")))))</f>
        <v/>
      </c>
      <c r="AE1550" s="12" t="n"/>
      <c r="AF1550" s="11" t="n"/>
      <c r="AG1550" s="11" t="n"/>
      <c r="AH1550" s="11" t="n"/>
      <c r="AI1550" s="14">
        <f>IF(AND($AD1550="保留中",$AF1550&lt;&gt;""),TODAY()-$AF1550,"")</f>
        <v/>
      </c>
      <c r="AJ1550" s="12" t="n"/>
      <c r="AK1550" s="14">
        <f>IF($B1550="","",IF($AO1550="","対象年月が未入力／","")&amp;IF($B1550="","",IF($AN1550="","職員マスタに未登録の職員番号／",IF($Y1550="","標準報酬月額が未登録／","")&amp;IF(AND($AO1550&lt;&gt;"",OR(AND(INDEX(職員マスタ!$G$6:$G$405,$AN1550)&lt;&gt;"",INDEX(職員マスタ!$G$6:$G$405,$AN1550)&gt;EOMONTH($AO1550,0)),AND(INDEX(職員マスタ!$H$6:$H$405,$AN1550)&lt;&gt;"",INDEX(職員マスタ!$H$6:$H$405,$AN1550)&lt;$AO1550))),"対象月が時短期間外／","")&amp;IF(AND(INDEX(職員マスタ!$F$6:$F$405,$AN1550)&lt;&gt;"",$AO1550&lt;&gt;"",INDEX(職員マスタ!$F$6:$F$405,$AN1550)&lt;$AO1550),"対象月に子が2歳到達済／","")&amp;IF(AND($H1550&lt;&gt;"",INDEX(職員マスタ!$B$6:$B$405,$AN1550)&lt;&gt;"",SUBSTITUTE(SUBSTITUTE($H1550," ","")," ","")&lt;&gt;SUBSTITUTE(SUBSTITUTE(INDEX(職員マスタ!$B$6:$B$405,$AN1550)," ","")," ","")),"氏名がマスタと相違／","")&amp;IF(AND($Q1550&lt;&gt;"",INDEX(職員マスタ!$E$6:$E$405,$AN1550)&lt;&gt;"",$Q1550&lt;&gt;INDEX(職員マスタ!$E$6:$E$405,$AN1550)),"子の生年月日がマスタと相違／","")&amp;IF(AND($L1550&lt;&gt;"",INDEX(職員マスタ!$G$6:$G$405,$AN1550)&lt;&gt;"",$L1550&lt;&gt;INDEX(職員マスタ!$G$6:$G$405,$AN1550)),"時短開始日がマスタと相違／","")&amp;IF(AND($M1550&lt;&gt;"",INDEX(職員マスタ!$H$6:$H$405,$AN1550)&lt;&gt;"",$M1550&lt;&gt;INDEX(職員マスタ!$H$6:$H$405,$AN1550)),"時短終了日がマスタと相違／","")))&amp;IF(AND($B1550&lt;&gt;"",$E1550=""),"報酬額が未入力／","")&amp;IF(N($U1550)&gt;0,"申請書に入力エラーが残っています／","")&amp;IF(AND($B1550&lt;&gt;"",$AO1550&lt;&gt;""),IF(COUNTIFS($B$6:$B$3005,$B1550,$C$6:$C$3005,$C1550,$D$6:$D$3005,$D1550)&gt;1,"同じ月の請求が重複しています／",""),"")&amp;IF(AND(N($E1550)&gt;0,$Z1550&lt;&gt;"",$Z1550&lt;&gt;"×",$AC1550=0,$AB1550=""),"計算額が下限以下のため不支給／",""))</f>
        <v/>
      </c>
      <c r="AL1550" s="12" t="n"/>
      <c r="AM1550" s="14">
        <f>IF($AD1550="保留中",COUNTIF($AD$6:$AD1550,"保留中"),"")</f>
        <v/>
      </c>
      <c r="AN1550" s="14">
        <f>IF($AO1550="","",IF(SUMPRODUCT(MAX((職員マスタ!$A$6:$A$405=$B1550)*(((職員マスタ!$G$6:$G$405="")+(職員マスタ!$G$6:$G$405&lt;=EOMONTH($AO1550,0)))&gt;0)*(((職員マスタ!$H$6:$H$405="")+(職員マスタ!$H$6:$H$405&gt;=$AO1550))&gt;0)*(ROW(職員マスタ!$A$6:$A$405)-5)))&gt;0,SUMPRODUCT(MAX((職員マスタ!$A$6:$A$405=$B1550)*(((職員マスタ!$G$6:$G$405="")+(職員マスタ!$G$6:$G$405&lt;=EOMONTH($AO1550,0)))&gt;0)*(((職員マスタ!$H$6:$H$405="")+(職員マスタ!$H$6:$H$405&gt;=$AO1550))&gt;0)*(ROW(職員マスタ!$A$6:$A$405)-5))),IFERROR(MATCH($B1550,職員マスタ!$A$6:$A$405,0),"")))</f>
        <v/>
      </c>
      <c r="AO1550" s="16">
        <f>IF(OR($B1550="",$C1550="",$D1550=""),"",DATE($C1550+2018,$D1550,1))</f>
        <v/>
      </c>
    </row>
    <row r="1551">
      <c r="A1551" s="11" t="n"/>
      <c r="B1551" s="12" t="n"/>
      <c r="C1551" s="12" t="n"/>
      <c r="D1551" s="12" t="n"/>
      <c r="E1551" s="13" t="n"/>
      <c r="F1551" s="12" t="n"/>
      <c r="G1551" s="13" t="n"/>
      <c r="H1551" s="12" t="n"/>
      <c r="I1551" s="12" t="n"/>
      <c r="J1551" s="12" t="n"/>
      <c r="K1551" s="12" t="n"/>
      <c r="L1551" s="11" t="n"/>
      <c r="M1551" s="11" t="n"/>
      <c r="N1551" s="11" t="n"/>
      <c r="O1551" s="11" t="n"/>
      <c r="P1551" s="12" t="n"/>
      <c r="Q1551" s="11" t="n"/>
      <c r="R1551" s="12" t="n"/>
      <c r="S1551" s="11" t="n"/>
      <c r="T1551" s="12" t="n"/>
      <c r="U1551" s="12" t="n"/>
      <c r="V1551" s="14">
        <f>IF($AN1551="",IF($B1551="","",$H1551),IF(INDEX(職員マスタ!$B$6:$B$405,$AN1551)="",$H1551,INDEX(職員マスタ!$B$6:$B$405,$AN1551)))</f>
        <v/>
      </c>
      <c r="W1551" s="14">
        <f>IF($AN1551="",IF($B1551="","",$R1551),IF(INDEX(職員マスタ!$C$6:$C$405,$AN1551)="",$R1551,INDEX(職員マスタ!$C$6:$C$405,$AN1551)))</f>
        <v/>
      </c>
      <c r="X1551" s="14">
        <f>IF($AO1551="","","R"&amp;$C1551&amp;"."&amp;$D1551)</f>
        <v/>
      </c>
      <c r="Y1551" s="15">
        <f>IF($AN1551="","",IF(INDEX(職員マスタ!$K$6:$K$405,$AN1551)="","",INDEX(職員マスタ!$K$6:$K$405,$AN1551)))</f>
        <v/>
      </c>
      <c r="Z1551" s="14">
        <f>IF(OR($E1551="",$Y1551=""),"",IF($E1551&gt;=$Y1551,"×",IF($E1551&gt;=$Y1551*設定!$C$5,"△","○")))</f>
        <v/>
      </c>
      <c r="AA1551" s="15">
        <f>IF($Z1551="","",IF($Z1551="×",0,IF($Z1551="○",ROUNDDOWN($E1551*設定!$C$4,0),ROUNDDOWN($E1551*ROUND((9*$Y1551-9*$E1551)/(10*$E1551),4),0))))</f>
        <v/>
      </c>
      <c r="AB1551" s="13" t="n"/>
      <c r="AC1551" s="15">
        <f>IF($B1551="","",IF($AB1551&lt;&gt;"",$AB1551,IF($AA1551="","",IF($AA1551&lt;=設定!$C$3,0,$AA1551))))</f>
        <v/>
      </c>
      <c r="AD1551" s="14">
        <f>IF($B1551="","",IF(AND($AE1551&lt;&gt;"",$AG1551="",$AJ1551=""),"保留中",IF($AJ1551&lt;&gt;"",IF(N($AC1551)&gt;0,"支給済","不支給"),IF($AC1551="","要確認",IF($AC1551=0,"不支給","未処理")))))</f>
        <v/>
      </c>
      <c r="AE1551" s="12" t="n"/>
      <c r="AF1551" s="11" t="n"/>
      <c r="AG1551" s="11" t="n"/>
      <c r="AH1551" s="11" t="n"/>
      <c r="AI1551" s="14">
        <f>IF(AND($AD1551="保留中",$AF1551&lt;&gt;""),TODAY()-$AF1551,"")</f>
        <v/>
      </c>
      <c r="AJ1551" s="12" t="n"/>
      <c r="AK1551" s="14">
        <f>IF($B1551="","",IF($AO1551="","対象年月が未入力／","")&amp;IF($B1551="","",IF($AN1551="","職員マスタに未登録の職員番号／",IF($Y1551="","標準報酬月額が未登録／","")&amp;IF(AND($AO1551&lt;&gt;"",OR(AND(INDEX(職員マスタ!$G$6:$G$405,$AN1551)&lt;&gt;"",INDEX(職員マスタ!$G$6:$G$405,$AN1551)&gt;EOMONTH($AO1551,0)),AND(INDEX(職員マスタ!$H$6:$H$405,$AN1551)&lt;&gt;"",INDEX(職員マスタ!$H$6:$H$405,$AN1551)&lt;$AO1551))),"対象月が時短期間外／","")&amp;IF(AND(INDEX(職員マスタ!$F$6:$F$405,$AN1551)&lt;&gt;"",$AO1551&lt;&gt;"",INDEX(職員マスタ!$F$6:$F$405,$AN1551)&lt;$AO1551),"対象月に子が2歳到達済／","")&amp;IF(AND($H1551&lt;&gt;"",INDEX(職員マスタ!$B$6:$B$405,$AN1551)&lt;&gt;"",SUBSTITUTE(SUBSTITUTE($H1551," ","")," ","")&lt;&gt;SUBSTITUTE(SUBSTITUTE(INDEX(職員マスタ!$B$6:$B$405,$AN1551)," ","")," ","")),"氏名がマスタと相違／","")&amp;IF(AND($Q1551&lt;&gt;"",INDEX(職員マスタ!$E$6:$E$405,$AN1551)&lt;&gt;"",$Q1551&lt;&gt;INDEX(職員マスタ!$E$6:$E$405,$AN1551)),"子の生年月日がマスタと相違／","")&amp;IF(AND($L1551&lt;&gt;"",INDEX(職員マスタ!$G$6:$G$405,$AN1551)&lt;&gt;"",$L1551&lt;&gt;INDEX(職員マスタ!$G$6:$G$405,$AN1551)),"時短開始日がマスタと相違／","")&amp;IF(AND($M1551&lt;&gt;"",INDEX(職員マスタ!$H$6:$H$405,$AN1551)&lt;&gt;"",$M1551&lt;&gt;INDEX(職員マスタ!$H$6:$H$405,$AN1551)),"時短終了日がマスタと相違／","")))&amp;IF(AND($B1551&lt;&gt;"",$E1551=""),"報酬額が未入力／","")&amp;IF(N($U1551)&gt;0,"申請書に入力エラーが残っています／","")&amp;IF(AND($B1551&lt;&gt;"",$AO1551&lt;&gt;""),IF(COUNTIFS($B$6:$B$3005,$B1551,$C$6:$C$3005,$C1551,$D$6:$D$3005,$D1551)&gt;1,"同じ月の請求が重複しています／",""),"")&amp;IF(AND(N($E1551)&gt;0,$Z1551&lt;&gt;"",$Z1551&lt;&gt;"×",$AC1551=0,$AB1551=""),"計算額が下限以下のため不支給／",""))</f>
        <v/>
      </c>
      <c r="AL1551" s="12" t="n"/>
      <c r="AM1551" s="14">
        <f>IF($AD1551="保留中",COUNTIF($AD$6:$AD1551,"保留中"),"")</f>
        <v/>
      </c>
      <c r="AN1551" s="14">
        <f>IF($AO1551="","",IF(SUMPRODUCT(MAX((職員マスタ!$A$6:$A$405=$B1551)*(((職員マスタ!$G$6:$G$405="")+(職員マスタ!$G$6:$G$405&lt;=EOMONTH($AO1551,0)))&gt;0)*(((職員マスタ!$H$6:$H$405="")+(職員マスタ!$H$6:$H$405&gt;=$AO1551))&gt;0)*(ROW(職員マスタ!$A$6:$A$405)-5)))&gt;0,SUMPRODUCT(MAX((職員マスタ!$A$6:$A$405=$B1551)*(((職員マスタ!$G$6:$G$405="")+(職員マスタ!$G$6:$G$405&lt;=EOMONTH($AO1551,0)))&gt;0)*(((職員マスタ!$H$6:$H$405="")+(職員マスタ!$H$6:$H$405&gt;=$AO1551))&gt;0)*(ROW(職員マスタ!$A$6:$A$405)-5))),IFERROR(MATCH($B1551,職員マスタ!$A$6:$A$405,0),"")))</f>
        <v/>
      </c>
      <c r="AO1551" s="16">
        <f>IF(OR($B1551="",$C1551="",$D1551=""),"",DATE($C1551+2018,$D1551,1))</f>
        <v/>
      </c>
    </row>
    <row r="1552">
      <c r="A1552" s="11" t="n"/>
      <c r="B1552" s="12" t="n"/>
      <c r="C1552" s="12" t="n"/>
      <c r="D1552" s="12" t="n"/>
      <c r="E1552" s="13" t="n"/>
      <c r="F1552" s="12" t="n"/>
      <c r="G1552" s="13" t="n"/>
      <c r="H1552" s="12" t="n"/>
      <c r="I1552" s="12" t="n"/>
      <c r="J1552" s="12" t="n"/>
      <c r="K1552" s="12" t="n"/>
      <c r="L1552" s="11" t="n"/>
      <c r="M1552" s="11" t="n"/>
      <c r="N1552" s="11" t="n"/>
      <c r="O1552" s="11" t="n"/>
      <c r="P1552" s="12" t="n"/>
      <c r="Q1552" s="11" t="n"/>
      <c r="R1552" s="12" t="n"/>
      <c r="S1552" s="11" t="n"/>
      <c r="T1552" s="12" t="n"/>
      <c r="U1552" s="12" t="n"/>
      <c r="V1552" s="14">
        <f>IF($AN1552="",IF($B1552="","",$H1552),IF(INDEX(職員マスタ!$B$6:$B$405,$AN1552)="",$H1552,INDEX(職員マスタ!$B$6:$B$405,$AN1552)))</f>
        <v/>
      </c>
      <c r="W1552" s="14">
        <f>IF($AN1552="",IF($B1552="","",$R1552),IF(INDEX(職員マスタ!$C$6:$C$405,$AN1552)="",$R1552,INDEX(職員マスタ!$C$6:$C$405,$AN1552)))</f>
        <v/>
      </c>
      <c r="X1552" s="14">
        <f>IF($AO1552="","","R"&amp;$C1552&amp;"."&amp;$D1552)</f>
        <v/>
      </c>
      <c r="Y1552" s="15">
        <f>IF($AN1552="","",IF(INDEX(職員マスタ!$K$6:$K$405,$AN1552)="","",INDEX(職員マスタ!$K$6:$K$405,$AN1552)))</f>
        <v/>
      </c>
      <c r="Z1552" s="14">
        <f>IF(OR($E1552="",$Y1552=""),"",IF($E1552&gt;=$Y1552,"×",IF($E1552&gt;=$Y1552*設定!$C$5,"△","○")))</f>
        <v/>
      </c>
      <c r="AA1552" s="15">
        <f>IF($Z1552="","",IF($Z1552="×",0,IF($Z1552="○",ROUNDDOWN($E1552*設定!$C$4,0),ROUNDDOWN($E1552*ROUND((9*$Y1552-9*$E1552)/(10*$E1552),4),0))))</f>
        <v/>
      </c>
      <c r="AB1552" s="13" t="n"/>
      <c r="AC1552" s="15">
        <f>IF($B1552="","",IF($AB1552&lt;&gt;"",$AB1552,IF($AA1552="","",IF($AA1552&lt;=設定!$C$3,0,$AA1552))))</f>
        <v/>
      </c>
      <c r="AD1552" s="14">
        <f>IF($B1552="","",IF(AND($AE1552&lt;&gt;"",$AG1552="",$AJ1552=""),"保留中",IF($AJ1552&lt;&gt;"",IF(N($AC1552)&gt;0,"支給済","不支給"),IF($AC1552="","要確認",IF($AC1552=0,"不支給","未処理")))))</f>
        <v/>
      </c>
      <c r="AE1552" s="12" t="n"/>
      <c r="AF1552" s="11" t="n"/>
      <c r="AG1552" s="11" t="n"/>
      <c r="AH1552" s="11" t="n"/>
      <c r="AI1552" s="14">
        <f>IF(AND($AD1552="保留中",$AF1552&lt;&gt;""),TODAY()-$AF1552,"")</f>
        <v/>
      </c>
      <c r="AJ1552" s="12" t="n"/>
      <c r="AK1552" s="14">
        <f>IF($B1552="","",IF($AO1552="","対象年月が未入力／","")&amp;IF($B1552="","",IF($AN1552="","職員マスタに未登録の職員番号／",IF($Y1552="","標準報酬月額が未登録／","")&amp;IF(AND($AO1552&lt;&gt;"",OR(AND(INDEX(職員マスタ!$G$6:$G$405,$AN1552)&lt;&gt;"",INDEX(職員マスタ!$G$6:$G$405,$AN1552)&gt;EOMONTH($AO1552,0)),AND(INDEX(職員マスタ!$H$6:$H$405,$AN1552)&lt;&gt;"",INDEX(職員マスタ!$H$6:$H$405,$AN1552)&lt;$AO1552))),"対象月が時短期間外／","")&amp;IF(AND(INDEX(職員マスタ!$F$6:$F$405,$AN1552)&lt;&gt;"",$AO1552&lt;&gt;"",INDEX(職員マスタ!$F$6:$F$405,$AN1552)&lt;$AO1552),"対象月に子が2歳到達済／","")&amp;IF(AND($H1552&lt;&gt;"",INDEX(職員マスタ!$B$6:$B$405,$AN1552)&lt;&gt;"",SUBSTITUTE(SUBSTITUTE($H1552," ","")," ","")&lt;&gt;SUBSTITUTE(SUBSTITUTE(INDEX(職員マスタ!$B$6:$B$405,$AN1552)," ","")," ","")),"氏名がマスタと相違／","")&amp;IF(AND($Q1552&lt;&gt;"",INDEX(職員マスタ!$E$6:$E$405,$AN1552)&lt;&gt;"",$Q1552&lt;&gt;INDEX(職員マスタ!$E$6:$E$405,$AN1552)),"子の生年月日がマスタと相違／","")&amp;IF(AND($L1552&lt;&gt;"",INDEX(職員マスタ!$G$6:$G$405,$AN1552)&lt;&gt;"",$L1552&lt;&gt;INDEX(職員マスタ!$G$6:$G$405,$AN1552)),"時短開始日がマスタと相違／","")&amp;IF(AND($M1552&lt;&gt;"",INDEX(職員マスタ!$H$6:$H$405,$AN1552)&lt;&gt;"",$M1552&lt;&gt;INDEX(職員マスタ!$H$6:$H$405,$AN1552)),"時短終了日がマスタと相違／","")))&amp;IF(AND($B1552&lt;&gt;"",$E1552=""),"報酬額が未入力／","")&amp;IF(N($U1552)&gt;0,"申請書に入力エラーが残っています／","")&amp;IF(AND($B1552&lt;&gt;"",$AO1552&lt;&gt;""),IF(COUNTIFS($B$6:$B$3005,$B1552,$C$6:$C$3005,$C1552,$D$6:$D$3005,$D1552)&gt;1,"同じ月の請求が重複しています／",""),"")&amp;IF(AND(N($E1552)&gt;0,$Z1552&lt;&gt;"",$Z1552&lt;&gt;"×",$AC1552=0,$AB1552=""),"計算額が下限以下のため不支給／",""))</f>
        <v/>
      </c>
      <c r="AL1552" s="12" t="n"/>
      <c r="AM1552" s="14">
        <f>IF($AD1552="保留中",COUNTIF($AD$6:$AD1552,"保留中"),"")</f>
        <v/>
      </c>
      <c r="AN1552" s="14">
        <f>IF($AO1552="","",IF(SUMPRODUCT(MAX((職員マスタ!$A$6:$A$405=$B1552)*(((職員マスタ!$G$6:$G$405="")+(職員マスタ!$G$6:$G$405&lt;=EOMONTH($AO1552,0)))&gt;0)*(((職員マスタ!$H$6:$H$405="")+(職員マスタ!$H$6:$H$405&gt;=$AO1552))&gt;0)*(ROW(職員マスタ!$A$6:$A$405)-5)))&gt;0,SUMPRODUCT(MAX((職員マスタ!$A$6:$A$405=$B1552)*(((職員マスタ!$G$6:$G$405="")+(職員マスタ!$G$6:$G$405&lt;=EOMONTH($AO1552,0)))&gt;0)*(((職員マスタ!$H$6:$H$405="")+(職員マスタ!$H$6:$H$405&gt;=$AO1552))&gt;0)*(ROW(職員マスタ!$A$6:$A$405)-5))),IFERROR(MATCH($B1552,職員マスタ!$A$6:$A$405,0),"")))</f>
        <v/>
      </c>
      <c r="AO1552" s="16">
        <f>IF(OR($B1552="",$C1552="",$D1552=""),"",DATE($C1552+2018,$D1552,1))</f>
        <v/>
      </c>
    </row>
    <row r="1553">
      <c r="A1553" s="11" t="n"/>
      <c r="B1553" s="12" t="n"/>
      <c r="C1553" s="12" t="n"/>
      <c r="D1553" s="12" t="n"/>
      <c r="E1553" s="13" t="n"/>
      <c r="F1553" s="12" t="n"/>
      <c r="G1553" s="13" t="n"/>
      <c r="H1553" s="12" t="n"/>
      <c r="I1553" s="12" t="n"/>
      <c r="J1553" s="12" t="n"/>
      <c r="K1553" s="12" t="n"/>
      <c r="L1553" s="11" t="n"/>
      <c r="M1553" s="11" t="n"/>
      <c r="N1553" s="11" t="n"/>
      <c r="O1553" s="11" t="n"/>
      <c r="P1553" s="12" t="n"/>
      <c r="Q1553" s="11" t="n"/>
      <c r="R1553" s="12" t="n"/>
      <c r="S1553" s="11" t="n"/>
      <c r="T1553" s="12" t="n"/>
      <c r="U1553" s="12" t="n"/>
      <c r="V1553" s="14">
        <f>IF($AN1553="",IF($B1553="","",$H1553),IF(INDEX(職員マスタ!$B$6:$B$405,$AN1553)="",$H1553,INDEX(職員マスタ!$B$6:$B$405,$AN1553)))</f>
        <v/>
      </c>
      <c r="W1553" s="14">
        <f>IF($AN1553="",IF($B1553="","",$R1553),IF(INDEX(職員マスタ!$C$6:$C$405,$AN1553)="",$R1553,INDEX(職員マスタ!$C$6:$C$405,$AN1553)))</f>
        <v/>
      </c>
      <c r="X1553" s="14">
        <f>IF($AO1553="","","R"&amp;$C1553&amp;"."&amp;$D1553)</f>
        <v/>
      </c>
      <c r="Y1553" s="15">
        <f>IF($AN1553="","",IF(INDEX(職員マスタ!$K$6:$K$405,$AN1553)="","",INDEX(職員マスタ!$K$6:$K$405,$AN1553)))</f>
        <v/>
      </c>
      <c r="Z1553" s="14">
        <f>IF(OR($E1553="",$Y1553=""),"",IF($E1553&gt;=$Y1553,"×",IF($E1553&gt;=$Y1553*設定!$C$5,"△","○")))</f>
        <v/>
      </c>
      <c r="AA1553" s="15">
        <f>IF($Z1553="","",IF($Z1553="×",0,IF($Z1553="○",ROUNDDOWN($E1553*設定!$C$4,0),ROUNDDOWN($E1553*ROUND((9*$Y1553-9*$E1553)/(10*$E1553),4),0))))</f>
        <v/>
      </c>
      <c r="AB1553" s="13" t="n"/>
      <c r="AC1553" s="15">
        <f>IF($B1553="","",IF($AB1553&lt;&gt;"",$AB1553,IF($AA1553="","",IF($AA1553&lt;=設定!$C$3,0,$AA1553))))</f>
        <v/>
      </c>
      <c r="AD1553" s="14">
        <f>IF($B1553="","",IF(AND($AE1553&lt;&gt;"",$AG1553="",$AJ1553=""),"保留中",IF($AJ1553&lt;&gt;"",IF(N($AC1553)&gt;0,"支給済","不支給"),IF($AC1553="","要確認",IF($AC1553=0,"不支給","未処理")))))</f>
        <v/>
      </c>
      <c r="AE1553" s="12" t="n"/>
      <c r="AF1553" s="11" t="n"/>
      <c r="AG1553" s="11" t="n"/>
      <c r="AH1553" s="11" t="n"/>
      <c r="AI1553" s="14">
        <f>IF(AND($AD1553="保留中",$AF1553&lt;&gt;""),TODAY()-$AF1553,"")</f>
        <v/>
      </c>
      <c r="AJ1553" s="12" t="n"/>
      <c r="AK1553" s="14">
        <f>IF($B1553="","",IF($AO1553="","対象年月が未入力／","")&amp;IF($B1553="","",IF($AN1553="","職員マスタに未登録の職員番号／",IF($Y1553="","標準報酬月額が未登録／","")&amp;IF(AND($AO1553&lt;&gt;"",OR(AND(INDEX(職員マスタ!$G$6:$G$405,$AN1553)&lt;&gt;"",INDEX(職員マスタ!$G$6:$G$405,$AN1553)&gt;EOMONTH($AO1553,0)),AND(INDEX(職員マスタ!$H$6:$H$405,$AN1553)&lt;&gt;"",INDEX(職員マスタ!$H$6:$H$405,$AN1553)&lt;$AO1553))),"対象月が時短期間外／","")&amp;IF(AND(INDEX(職員マスタ!$F$6:$F$405,$AN1553)&lt;&gt;"",$AO1553&lt;&gt;"",INDEX(職員マスタ!$F$6:$F$405,$AN1553)&lt;$AO1553),"対象月に子が2歳到達済／","")&amp;IF(AND($H1553&lt;&gt;"",INDEX(職員マスタ!$B$6:$B$405,$AN1553)&lt;&gt;"",SUBSTITUTE(SUBSTITUTE($H1553," ","")," ","")&lt;&gt;SUBSTITUTE(SUBSTITUTE(INDEX(職員マスタ!$B$6:$B$405,$AN1553)," ","")," ","")),"氏名がマスタと相違／","")&amp;IF(AND($Q1553&lt;&gt;"",INDEX(職員マスタ!$E$6:$E$405,$AN1553)&lt;&gt;"",$Q1553&lt;&gt;INDEX(職員マスタ!$E$6:$E$405,$AN1553)),"子の生年月日がマスタと相違／","")&amp;IF(AND($L1553&lt;&gt;"",INDEX(職員マスタ!$G$6:$G$405,$AN1553)&lt;&gt;"",$L1553&lt;&gt;INDEX(職員マスタ!$G$6:$G$405,$AN1553)),"時短開始日がマスタと相違／","")&amp;IF(AND($M1553&lt;&gt;"",INDEX(職員マスタ!$H$6:$H$405,$AN1553)&lt;&gt;"",$M1553&lt;&gt;INDEX(職員マスタ!$H$6:$H$405,$AN1553)),"時短終了日がマスタと相違／","")))&amp;IF(AND($B1553&lt;&gt;"",$E1553=""),"報酬額が未入力／","")&amp;IF(N($U1553)&gt;0,"申請書に入力エラーが残っています／","")&amp;IF(AND($B1553&lt;&gt;"",$AO1553&lt;&gt;""),IF(COUNTIFS($B$6:$B$3005,$B1553,$C$6:$C$3005,$C1553,$D$6:$D$3005,$D1553)&gt;1,"同じ月の請求が重複しています／",""),"")&amp;IF(AND(N($E1553)&gt;0,$Z1553&lt;&gt;"",$Z1553&lt;&gt;"×",$AC1553=0,$AB1553=""),"計算額が下限以下のため不支給／",""))</f>
        <v/>
      </c>
      <c r="AL1553" s="12" t="n"/>
      <c r="AM1553" s="14">
        <f>IF($AD1553="保留中",COUNTIF($AD$6:$AD1553,"保留中"),"")</f>
        <v/>
      </c>
      <c r="AN1553" s="14">
        <f>IF($AO1553="","",IF(SUMPRODUCT(MAX((職員マスタ!$A$6:$A$405=$B1553)*(((職員マスタ!$G$6:$G$405="")+(職員マスタ!$G$6:$G$405&lt;=EOMONTH($AO1553,0)))&gt;0)*(((職員マスタ!$H$6:$H$405="")+(職員マスタ!$H$6:$H$405&gt;=$AO1553))&gt;0)*(ROW(職員マスタ!$A$6:$A$405)-5)))&gt;0,SUMPRODUCT(MAX((職員マスタ!$A$6:$A$405=$B1553)*(((職員マスタ!$G$6:$G$405="")+(職員マスタ!$G$6:$G$405&lt;=EOMONTH($AO1553,0)))&gt;0)*(((職員マスタ!$H$6:$H$405="")+(職員マスタ!$H$6:$H$405&gt;=$AO1553))&gt;0)*(ROW(職員マスタ!$A$6:$A$405)-5))),IFERROR(MATCH($B1553,職員マスタ!$A$6:$A$405,0),"")))</f>
        <v/>
      </c>
      <c r="AO1553" s="16">
        <f>IF(OR($B1553="",$C1553="",$D1553=""),"",DATE($C1553+2018,$D1553,1))</f>
        <v/>
      </c>
    </row>
    <row r="1554">
      <c r="A1554" s="11" t="n"/>
      <c r="B1554" s="12" t="n"/>
      <c r="C1554" s="12" t="n"/>
      <c r="D1554" s="12" t="n"/>
      <c r="E1554" s="13" t="n"/>
      <c r="F1554" s="12" t="n"/>
      <c r="G1554" s="13" t="n"/>
      <c r="H1554" s="12" t="n"/>
      <c r="I1554" s="12" t="n"/>
      <c r="J1554" s="12" t="n"/>
      <c r="K1554" s="12" t="n"/>
      <c r="L1554" s="11" t="n"/>
      <c r="M1554" s="11" t="n"/>
      <c r="N1554" s="11" t="n"/>
      <c r="O1554" s="11" t="n"/>
      <c r="P1554" s="12" t="n"/>
      <c r="Q1554" s="11" t="n"/>
      <c r="R1554" s="12" t="n"/>
      <c r="S1554" s="11" t="n"/>
      <c r="T1554" s="12" t="n"/>
      <c r="U1554" s="12" t="n"/>
      <c r="V1554" s="14">
        <f>IF($AN1554="",IF($B1554="","",$H1554),IF(INDEX(職員マスタ!$B$6:$B$405,$AN1554)="",$H1554,INDEX(職員マスタ!$B$6:$B$405,$AN1554)))</f>
        <v/>
      </c>
      <c r="W1554" s="14">
        <f>IF($AN1554="",IF($B1554="","",$R1554),IF(INDEX(職員マスタ!$C$6:$C$405,$AN1554)="",$R1554,INDEX(職員マスタ!$C$6:$C$405,$AN1554)))</f>
        <v/>
      </c>
      <c r="X1554" s="14">
        <f>IF($AO1554="","","R"&amp;$C1554&amp;"."&amp;$D1554)</f>
        <v/>
      </c>
      <c r="Y1554" s="15">
        <f>IF($AN1554="","",IF(INDEX(職員マスタ!$K$6:$K$405,$AN1554)="","",INDEX(職員マスタ!$K$6:$K$405,$AN1554)))</f>
        <v/>
      </c>
      <c r="Z1554" s="14">
        <f>IF(OR($E1554="",$Y1554=""),"",IF($E1554&gt;=$Y1554,"×",IF($E1554&gt;=$Y1554*設定!$C$5,"△","○")))</f>
        <v/>
      </c>
      <c r="AA1554" s="15">
        <f>IF($Z1554="","",IF($Z1554="×",0,IF($Z1554="○",ROUNDDOWN($E1554*設定!$C$4,0),ROUNDDOWN($E1554*ROUND((9*$Y1554-9*$E1554)/(10*$E1554),4),0))))</f>
        <v/>
      </c>
      <c r="AB1554" s="13" t="n"/>
      <c r="AC1554" s="15">
        <f>IF($B1554="","",IF($AB1554&lt;&gt;"",$AB1554,IF($AA1554="","",IF($AA1554&lt;=設定!$C$3,0,$AA1554))))</f>
        <v/>
      </c>
      <c r="AD1554" s="14">
        <f>IF($B1554="","",IF(AND($AE1554&lt;&gt;"",$AG1554="",$AJ1554=""),"保留中",IF($AJ1554&lt;&gt;"",IF(N($AC1554)&gt;0,"支給済","不支給"),IF($AC1554="","要確認",IF($AC1554=0,"不支給","未処理")))))</f>
        <v/>
      </c>
      <c r="AE1554" s="12" t="n"/>
      <c r="AF1554" s="11" t="n"/>
      <c r="AG1554" s="11" t="n"/>
      <c r="AH1554" s="11" t="n"/>
      <c r="AI1554" s="14">
        <f>IF(AND($AD1554="保留中",$AF1554&lt;&gt;""),TODAY()-$AF1554,"")</f>
        <v/>
      </c>
      <c r="AJ1554" s="12" t="n"/>
      <c r="AK1554" s="14">
        <f>IF($B1554="","",IF($AO1554="","対象年月が未入力／","")&amp;IF($B1554="","",IF($AN1554="","職員マスタに未登録の職員番号／",IF($Y1554="","標準報酬月額が未登録／","")&amp;IF(AND($AO1554&lt;&gt;"",OR(AND(INDEX(職員マスタ!$G$6:$G$405,$AN1554)&lt;&gt;"",INDEX(職員マスタ!$G$6:$G$405,$AN1554)&gt;EOMONTH($AO1554,0)),AND(INDEX(職員マスタ!$H$6:$H$405,$AN1554)&lt;&gt;"",INDEX(職員マスタ!$H$6:$H$405,$AN1554)&lt;$AO1554))),"対象月が時短期間外／","")&amp;IF(AND(INDEX(職員マスタ!$F$6:$F$405,$AN1554)&lt;&gt;"",$AO1554&lt;&gt;"",INDEX(職員マスタ!$F$6:$F$405,$AN1554)&lt;$AO1554),"対象月に子が2歳到達済／","")&amp;IF(AND($H1554&lt;&gt;"",INDEX(職員マスタ!$B$6:$B$405,$AN1554)&lt;&gt;"",SUBSTITUTE(SUBSTITUTE($H1554," ","")," ","")&lt;&gt;SUBSTITUTE(SUBSTITUTE(INDEX(職員マスタ!$B$6:$B$405,$AN1554)," ","")," ","")),"氏名がマスタと相違／","")&amp;IF(AND($Q1554&lt;&gt;"",INDEX(職員マスタ!$E$6:$E$405,$AN1554)&lt;&gt;"",$Q1554&lt;&gt;INDEX(職員マスタ!$E$6:$E$405,$AN1554)),"子の生年月日がマスタと相違／","")&amp;IF(AND($L1554&lt;&gt;"",INDEX(職員マスタ!$G$6:$G$405,$AN1554)&lt;&gt;"",$L1554&lt;&gt;INDEX(職員マスタ!$G$6:$G$405,$AN1554)),"時短開始日がマスタと相違／","")&amp;IF(AND($M1554&lt;&gt;"",INDEX(職員マスタ!$H$6:$H$405,$AN1554)&lt;&gt;"",$M1554&lt;&gt;INDEX(職員マスタ!$H$6:$H$405,$AN1554)),"時短終了日がマスタと相違／","")))&amp;IF(AND($B1554&lt;&gt;"",$E1554=""),"報酬額が未入力／","")&amp;IF(N($U1554)&gt;0,"申請書に入力エラーが残っています／","")&amp;IF(AND($B1554&lt;&gt;"",$AO1554&lt;&gt;""),IF(COUNTIFS($B$6:$B$3005,$B1554,$C$6:$C$3005,$C1554,$D$6:$D$3005,$D1554)&gt;1,"同じ月の請求が重複しています／",""),"")&amp;IF(AND(N($E1554)&gt;0,$Z1554&lt;&gt;"",$Z1554&lt;&gt;"×",$AC1554=0,$AB1554=""),"計算額が下限以下のため不支給／",""))</f>
        <v/>
      </c>
      <c r="AL1554" s="12" t="n"/>
      <c r="AM1554" s="14">
        <f>IF($AD1554="保留中",COUNTIF($AD$6:$AD1554,"保留中"),"")</f>
        <v/>
      </c>
      <c r="AN1554" s="14">
        <f>IF($AO1554="","",IF(SUMPRODUCT(MAX((職員マスタ!$A$6:$A$405=$B1554)*(((職員マスタ!$G$6:$G$405="")+(職員マスタ!$G$6:$G$405&lt;=EOMONTH($AO1554,0)))&gt;0)*(((職員マスタ!$H$6:$H$405="")+(職員マスタ!$H$6:$H$405&gt;=$AO1554))&gt;0)*(ROW(職員マスタ!$A$6:$A$405)-5)))&gt;0,SUMPRODUCT(MAX((職員マスタ!$A$6:$A$405=$B1554)*(((職員マスタ!$G$6:$G$405="")+(職員マスタ!$G$6:$G$405&lt;=EOMONTH($AO1554,0)))&gt;0)*(((職員マスタ!$H$6:$H$405="")+(職員マスタ!$H$6:$H$405&gt;=$AO1554))&gt;0)*(ROW(職員マスタ!$A$6:$A$405)-5))),IFERROR(MATCH($B1554,職員マスタ!$A$6:$A$405,0),"")))</f>
        <v/>
      </c>
      <c r="AO1554" s="16">
        <f>IF(OR($B1554="",$C1554="",$D1554=""),"",DATE($C1554+2018,$D1554,1))</f>
        <v/>
      </c>
    </row>
    <row r="1555">
      <c r="A1555" s="11" t="n"/>
      <c r="B1555" s="12" t="n"/>
      <c r="C1555" s="12" t="n"/>
      <c r="D1555" s="12" t="n"/>
      <c r="E1555" s="13" t="n"/>
      <c r="F1555" s="12" t="n"/>
      <c r="G1555" s="13" t="n"/>
      <c r="H1555" s="12" t="n"/>
      <c r="I1555" s="12" t="n"/>
      <c r="J1555" s="12" t="n"/>
      <c r="K1555" s="12" t="n"/>
      <c r="L1555" s="11" t="n"/>
      <c r="M1555" s="11" t="n"/>
      <c r="N1555" s="11" t="n"/>
      <c r="O1555" s="11" t="n"/>
      <c r="P1555" s="12" t="n"/>
      <c r="Q1555" s="11" t="n"/>
      <c r="R1555" s="12" t="n"/>
      <c r="S1555" s="11" t="n"/>
      <c r="T1555" s="12" t="n"/>
      <c r="U1555" s="12" t="n"/>
      <c r="V1555" s="14">
        <f>IF($AN1555="",IF($B1555="","",$H1555),IF(INDEX(職員マスタ!$B$6:$B$405,$AN1555)="",$H1555,INDEX(職員マスタ!$B$6:$B$405,$AN1555)))</f>
        <v/>
      </c>
      <c r="W1555" s="14">
        <f>IF($AN1555="",IF($B1555="","",$R1555),IF(INDEX(職員マスタ!$C$6:$C$405,$AN1555)="",$R1555,INDEX(職員マスタ!$C$6:$C$405,$AN1555)))</f>
        <v/>
      </c>
      <c r="X1555" s="14">
        <f>IF($AO1555="","","R"&amp;$C1555&amp;"."&amp;$D1555)</f>
        <v/>
      </c>
      <c r="Y1555" s="15">
        <f>IF($AN1555="","",IF(INDEX(職員マスタ!$K$6:$K$405,$AN1555)="","",INDEX(職員マスタ!$K$6:$K$405,$AN1555)))</f>
        <v/>
      </c>
      <c r="Z1555" s="14">
        <f>IF(OR($E1555="",$Y1555=""),"",IF($E1555&gt;=$Y1555,"×",IF($E1555&gt;=$Y1555*設定!$C$5,"△","○")))</f>
        <v/>
      </c>
      <c r="AA1555" s="15">
        <f>IF($Z1555="","",IF($Z1555="×",0,IF($Z1555="○",ROUNDDOWN($E1555*設定!$C$4,0),ROUNDDOWN($E1555*ROUND((9*$Y1555-9*$E1555)/(10*$E1555),4),0))))</f>
        <v/>
      </c>
      <c r="AB1555" s="13" t="n"/>
      <c r="AC1555" s="15">
        <f>IF($B1555="","",IF($AB1555&lt;&gt;"",$AB1555,IF($AA1555="","",IF($AA1555&lt;=設定!$C$3,0,$AA1555))))</f>
        <v/>
      </c>
      <c r="AD1555" s="14">
        <f>IF($B1555="","",IF(AND($AE1555&lt;&gt;"",$AG1555="",$AJ1555=""),"保留中",IF($AJ1555&lt;&gt;"",IF(N($AC1555)&gt;0,"支給済","不支給"),IF($AC1555="","要確認",IF($AC1555=0,"不支給","未処理")))))</f>
        <v/>
      </c>
      <c r="AE1555" s="12" t="n"/>
      <c r="AF1555" s="11" t="n"/>
      <c r="AG1555" s="11" t="n"/>
      <c r="AH1555" s="11" t="n"/>
      <c r="AI1555" s="14">
        <f>IF(AND($AD1555="保留中",$AF1555&lt;&gt;""),TODAY()-$AF1555,"")</f>
        <v/>
      </c>
      <c r="AJ1555" s="12" t="n"/>
      <c r="AK1555" s="14">
        <f>IF($B1555="","",IF($AO1555="","対象年月が未入力／","")&amp;IF($B1555="","",IF($AN1555="","職員マスタに未登録の職員番号／",IF($Y1555="","標準報酬月額が未登録／","")&amp;IF(AND($AO1555&lt;&gt;"",OR(AND(INDEX(職員マスタ!$G$6:$G$405,$AN1555)&lt;&gt;"",INDEX(職員マスタ!$G$6:$G$405,$AN1555)&gt;EOMONTH($AO1555,0)),AND(INDEX(職員マスタ!$H$6:$H$405,$AN1555)&lt;&gt;"",INDEX(職員マスタ!$H$6:$H$405,$AN1555)&lt;$AO1555))),"対象月が時短期間外／","")&amp;IF(AND(INDEX(職員マスタ!$F$6:$F$405,$AN1555)&lt;&gt;"",$AO1555&lt;&gt;"",INDEX(職員マスタ!$F$6:$F$405,$AN1555)&lt;$AO1555),"対象月に子が2歳到達済／","")&amp;IF(AND($H1555&lt;&gt;"",INDEX(職員マスタ!$B$6:$B$405,$AN1555)&lt;&gt;"",SUBSTITUTE(SUBSTITUTE($H1555," ","")," ","")&lt;&gt;SUBSTITUTE(SUBSTITUTE(INDEX(職員マスタ!$B$6:$B$405,$AN1555)," ","")," ","")),"氏名がマスタと相違／","")&amp;IF(AND($Q1555&lt;&gt;"",INDEX(職員マスタ!$E$6:$E$405,$AN1555)&lt;&gt;"",$Q1555&lt;&gt;INDEX(職員マスタ!$E$6:$E$405,$AN1555)),"子の生年月日がマスタと相違／","")&amp;IF(AND($L1555&lt;&gt;"",INDEX(職員マスタ!$G$6:$G$405,$AN1555)&lt;&gt;"",$L1555&lt;&gt;INDEX(職員マスタ!$G$6:$G$405,$AN1555)),"時短開始日がマスタと相違／","")&amp;IF(AND($M1555&lt;&gt;"",INDEX(職員マスタ!$H$6:$H$405,$AN1555)&lt;&gt;"",$M1555&lt;&gt;INDEX(職員マスタ!$H$6:$H$405,$AN1555)),"時短終了日がマスタと相違／","")))&amp;IF(AND($B1555&lt;&gt;"",$E1555=""),"報酬額が未入力／","")&amp;IF(N($U1555)&gt;0,"申請書に入力エラーが残っています／","")&amp;IF(AND($B1555&lt;&gt;"",$AO1555&lt;&gt;""),IF(COUNTIFS($B$6:$B$3005,$B1555,$C$6:$C$3005,$C1555,$D$6:$D$3005,$D1555)&gt;1,"同じ月の請求が重複しています／",""),"")&amp;IF(AND(N($E1555)&gt;0,$Z1555&lt;&gt;"",$Z1555&lt;&gt;"×",$AC1555=0,$AB1555=""),"計算額が下限以下のため不支給／",""))</f>
        <v/>
      </c>
      <c r="AL1555" s="12" t="n"/>
      <c r="AM1555" s="14">
        <f>IF($AD1555="保留中",COUNTIF($AD$6:$AD1555,"保留中"),"")</f>
        <v/>
      </c>
      <c r="AN1555" s="14">
        <f>IF($AO1555="","",IF(SUMPRODUCT(MAX((職員マスタ!$A$6:$A$405=$B1555)*(((職員マスタ!$G$6:$G$405="")+(職員マスタ!$G$6:$G$405&lt;=EOMONTH($AO1555,0)))&gt;0)*(((職員マスタ!$H$6:$H$405="")+(職員マスタ!$H$6:$H$405&gt;=$AO1555))&gt;0)*(ROW(職員マスタ!$A$6:$A$405)-5)))&gt;0,SUMPRODUCT(MAX((職員マスタ!$A$6:$A$405=$B1555)*(((職員マスタ!$G$6:$G$405="")+(職員マスタ!$G$6:$G$405&lt;=EOMONTH($AO1555,0)))&gt;0)*(((職員マスタ!$H$6:$H$405="")+(職員マスタ!$H$6:$H$405&gt;=$AO1555))&gt;0)*(ROW(職員マスタ!$A$6:$A$405)-5))),IFERROR(MATCH($B1555,職員マスタ!$A$6:$A$405,0),"")))</f>
        <v/>
      </c>
      <c r="AO1555" s="16">
        <f>IF(OR($B1555="",$C1555="",$D1555=""),"",DATE($C1555+2018,$D1555,1))</f>
        <v/>
      </c>
    </row>
    <row r="1556">
      <c r="A1556" s="11" t="n"/>
      <c r="B1556" s="12" t="n"/>
      <c r="C1556" s="12" t="n"/>
      <c r="D1556" s="12" t="n"/>
      <c r="E1556" s="13" t="n"/>
      <c r="F1556" s="12" t="n"/>
      <c r="G1556" s="13" t="n"/>
      <c r="H1556" s="12" t="n"/>
      <c r="I1556" s="12" t="n"/>
      <c r="J1556" s="12" t="n"/>
      <c r="K1556" s="12" t="n"/>
      <c r="L1556" s="11" t="n"/>
      <c r="M1556" s="11" t="n"/>
      <c r="N1556" s="11" t="n"/>
      <c r="O1556" s="11" t="n"/>
      <c r="P1556" s="12" t="n"/>
      <c r="Q1556" s="11" t="n"/>
      <c r="R1556" s="12" t="n"/>
      <c r="S1556" s="11" t="n"/>
      <c r="T1556" s="12" t="n"/>
      <c r="U1556" s="12" t="n"/>
      <c r="V1556" s="14">
        <f>IF($AN1556="",IF($B1556="","",$H1556),IF(INDEX(職員マスタ!$B$6:$B$405,$AN1556)="",$H1556,INDEX(職員マスタ!$B$6:$B$405,$AN1556)))</f>
        <v/>
      </c>
      <c r="W1556" s="14">
        <f>IF($AN1556="",IF($B1556="","",$R1556),IF(INDEX(職員マスタ!$C$6:$C$405,$AN1556)="",$R1556,INDEX(職員マスタ!$C$6:$C$405,$AN1556)))</f>
        <v/>
      </c>
      <c r="X1556" s="14">
        <f>IF($AO1556="","","R"&amp;$C1556&amp;"."&amp;$D1556)</f>
        <v/>
      </c>
      <c r="Y1556" s="15">
        <f>IF($AN1556="","",IF(INDEX(職員マスタ!$K$6:$K$405,$AN1556)="","",INDEX(職員マスタ!$K$6:$K$405,$AN1556)))</f>
        <v/>
      </c>
      <c r="Z1556" s="14">
        <f>IF(OR($E1556="",$Y1556=""),"",IF($E1556&gt;=$Y1556,"×",IF($E1556&gt;=$Y1556*設定!$C$5,"△","○")))</f>
        <v/>
      </c>
      <c r="AA1556" s="15">
        <f>IF($Z1556="","",IF($Z1556="×",0,IF($Z1556="○",ROUNDDOWN($E1556*設定!$C$4,0),ROUNDDOWN($E1556*ROUND((9*$Y1556-9*$E1556)/(10*$E1556),4),0))))</f>
        <v/>
      </c>
      <c r="AB1556" s="13" t="n"/>
      <c r="AC1556" s="15">
        <f>IF($B1556="","",IF($AB1556&lt;&gt;"",$AB1556,IF($AA1556="","",IF($AA1556&lt;=設定!$C$3,0,$AA1556))))</f>
        <v/>
      </c>
      <c r="AD1556" s="14">
        <f>IF($B1556="","",IF(AND($AE1556&lt;&gt;"",$AG1556="",$AJ1556=""),"保留中",IF($AJ1556&lt;&gt;"",IF(N($AC1556)&gt;0,"支給済","不支給"),IF($AC1556="","要確認",IF($AC1556=0,"不支給","未処理")))))</f>
        <v/>
      </c>
      <c r="AE1556" s="12" t="n"/>
      <c r="AF1556" s="11" t="n"/>
      <c r="AG1556" s="11" t="n"/>
      <c r="AH1556" s="11" t="n"/>
      <c r="AI1556" s="14">
        <f>IF(AND($AD1556="保留中",$AF1556&lt;&gt;""),TODAY()-$AF1556,"")</f>
        <v/>
      </c>
      <c r="AJ1556" s="12" t="n"/>
      <c r="AK1556" s="14">
        <f>IF($B1556="","",IF($AO1556="","対象年月が未入力／","")&amp;IF($B1556="","",IF($AN1556="","職員マスタに未登録の職員番号／",IF($Y1556="","標準報酬月額が未登録／","")&amp;IF(AND($AO1556&lt;&gt;"",OR(AND(INDEX(職員マスタ!$G$6:$G$405,$AN1556)&lt;&gt;"",INDEX(職員マスタ!$G$6:$G$405,$AN1556)&gt;EOMONTH($AO1556,0)),AND(INDEX(職員マスタ!$H$6:$H$405,$AN1556)&lt;&gt;"",INDEX(職員マスタ!$H$6:$H$405,$AN1556)&lt;$AO1556))),"対象月が時短期間外／","")&amp;IF(AND(INDEX(職員マスタ!$F$6:$F$405,$AN1556)&lt;&gt;"",$AO1556&lt;&gt;"",INDEX(職員マスタ!$F$6:$F$405,$AN1556)&lt;$AO1556),"対象月に子が2歳到達済／","")&amp;IF(AND($H1556&lt;&gt;"",INDEX(職員マスタ!$B$6:$B$405,$AN1556)&lt;&gt;"",SUBSTITUTE(SUBSTITUTE($H1556," ","")," ","")&lt;&gt;SUBSTITUTE(SUBSTITUTE(INDEX(職員マスタ!$B$6:$B$405,$AN1556)," ","")," ","")),"氏名がマスタと相違／","")&amp;IF(AND($Q1556&lt;&gt;"",INDEX(職員マスタ!$E$6:$E$405,$AN1556)&lt;&gt;"",$Q1556&lt;&gt;INDEX(職員マスタ!$E$6:$E$405,$AN1556)),"子の生年月日がマスタと相違／","")&amp;IF(AND($L1556&lt;&gt;"",INDEX(職員マスタ!$G$6:$G$405,$AN1556)&lt;&gt;"",$L1556&lt;&gt;INDEX(職員マスタ!$G$6:$G$405,$AN1556)),"時短開始日がマスタと相違／","")&amp;IF(AND($M1556&lt;&gt;"",INDEX(職員マスタ!$H$6:$H$405,$AN1556)&lt;&gt;"",$M1556&lt;&gt;INDEX(職員マスタ!$H$6:$H$405,$AN1556)),"時短終了日がマスタと相違／","")))&amp;IF(AND($B1556&lt;&gt;"",$E1556=""),"報酬額が未入力／","")&amp;IF(N($U1556)&gt;0,"申請書に入力エラーが残っています／","")&amp;IF(AND($B1556&lt;&gt;"",$AO1556&lt;&gt;""),IF(COUNTIFS($B$6:$B$3005,$B1556,$C$6:$C$3005,$C1556,$D$6:$D$3005,$D1556)&gt;1,"同じ月の請求が重複しています／",""),"")&amp;IF(AND(N($E1556)&gt;0,$Z1556&lt;&gt;"",$Z1556&lt;&gt;"×",$AC1556=0,$AB1556=""),"計算額が下限以下のため不支給／",""))</f>
        <v/>
      </c>
      <c r="AL1556" s="12" t="n"/>
      <c r="AM1556" s="14">
        <f>IF($AD1556="保留中",COUNTIF($AD$6:$AD1556,"保留中"),"")</f>
        <v/>
      </c>
      <c r="AN1556" s="14">
        <f>IF($AO1556="","",IF(SUMPRODUCT(MAX((職員マスタ!$A$6:$A$405=$B1556)*(((職員マスタ!$G$6:$G$405="")+(職員マスタ!$G$6:$G$405&lt;=EOMONTH($AO1556,0)))&gt;0)*(((職員マスタ!$H$6:$H$405="")+(職員マスタ!$H$6:$H$405&gt;=$AO1556))&gt;0)*(ROW(職員マスタ!$A$6:$A$405)-5)))&gt;0,SUMPRODUCT(MAX((職員マスタ!$A$6:$A$405=$B1556)*(((職員マスタ!$G$6:$G$405="")+(職員マスタ!$G$6:$G$405&lt;=EOMONTH($AO1556,0)))&gt;0)*(((職員マスタ!$H$6:$H$405="")+(職員マスタ!$H$6:$H$405&gt;=$AO1556))&gt;0)*(ROW(職員マスタ!$A$6:$A$405)-5))),IFERROR(MATCH($B1556,職員マスタ!$A$6:$A$405,0),"")))</f>
        <v/>
      </c>
      <c r="AO1556" s="16">
        <f>IF(OR($B1556="",$C1556="",$D1556=""),"",DATE($C1556+2018,$D1556,1))</f>
        <v/>
      </c>
    </row>
    <row r="1557">
      <c r="A1557" s="11" t="n"/>
      <c r="B1557" s="12" t="n"/>
      <c r="C1557" s="12" t="n"/>
      <c r="D1557" s="12" t="n"/>
      <c r="E1557" s="13" t="n"/>
      <c r="F1557" s="12" t="n"/>
      <c r="G1557" s="13" t="n"/>
      <c r="H1557" s="12" t="n"/>
      <c r="I1557" s="12" t="n"/>
      <c r="J1557" s="12" t="n"/>
      <c r="K1557" s="12" t="n"/>
      <c r="L1557" s="11" t="n"/>
      <c r="M1557" s="11" t="n"/>
      <c r="N1557" s="11" t="n"/>
      <c r="O1557" s="11" t="n"/>
      <c r="P1557" s="12" t="n"/>
      <c r="Q1557" s="11" t="n"/>
      <c r="R1557" s="12" t="n"/>
      <c r="S1557" s="11" t="n"/>
      <c r="T1557" s="12" t="n"/>
      <c r="U1557" s="12" t="n"/>
      <c r="V1557" s="14">
        <f>IF($AN1557="",IF($B1557="","",$H1557),IF(INDEX(職員マスタ!$B$6:$B$405,$AN1557)="",$H1557,INDEX(職員マスタ!$B$6:$B$405,$AN1557)))</f>
        <v/>
      </c>
      <c r="W1557" s="14">
        <f>IF($AN1557="",IF($B1557="","",$R1557),IF(INDEX(職員マスタ!$C$6:$C$405,$AN1557)="",$R1557,INDEX(職員マスタ!$C$6:$C$405,$AN1557)))</f>
        <v/>
      </c>
      <c r="X1557" s="14">
        <f>IF($AO1557="","","R"&amp;$C1557&amp;"."&amp;$D1557)</f>
        <v/>
      </c>
      <c r="Y1557" s="15">
        <f>IF($AN1557="","",IF(INDEX(職員マスタ!$K$6:$K$405,$AN1557)="","",INDEX(職員マスタ!$K$6:$K$405,$AN1557)))</f>
        <v/>
      </c>
      <c r="Z1557" s="14">
        <f>IF(OR($E1557="",$Y1557=""),"",IF($E1557&gt;=$Y1557,"×",IF($E1557&gt;=$Y1557*設定!$C$5,"△","○")))</f>
        <v/>
      </c>
      <c r="AA1557" s="15">
        <f>IF($Z1557="","",IF($Z1557="×",0,IF($Z1557="○",ROUNDDOWN($E1557*設定!$C$4,0),ROUNDDOWN($E1557*ROUND((9*$Y1557-9*$E1557)/(10*$E1557),4),0))))</f>
        <v/>
      </c>
      <c r="AB1557" s="13" t="n"/>
      <c r="AC1557" s="15">
        <f>IF($B1557="","",IF($AB1557&lt;&gt;"",$AB1557,IF($AA1557="","",IF($AA1557&lt;=設定!$C$3,0,$AA1557))))</f>
        <v/>
      </c>
      <c r="AD1557" s="14">
        <f>IF($B1557="","",IF(AND($AE1557&lt;&gt;"",$AG1557="",$AJ1557=""),"保留中",IF($AJ1557&lt;&gt;"",IF(N($AC1557)&gt;0,"支給済","不支給"),IF($AC1557="","要確認",IF($AC1557=0,"不支給","未処理")))))</f>
        <v/>
      </c>
      <c r="AE1557" s="12" t="n"/>
      <c r="AF1557" s="11" t="n"/>
      <c r="AG1557" s="11" t="n"/>
      <c r="AH1557" s="11" t="n"/>
      <c r="AI1557" s="14">
        <f>IF(AND($AD1557="保留中",$AF1557&lt;&gt;""),TODAY()-$AF1557,"")</f>
        <v/>
      </c>
      <c r="AJ1557" s="12" t="n"/>
      <c r="AK1557" s="14">
        <f>IF($B1557="","",IF($AO1557="","対象年月が未入力／","")&amp;IF($B1557="","",IF($AN1557="","職員マスタに未登録の職員番号／",IF($Y1557="","標準報酬月額が未登録／","")&amp;IF(AND($AO1557&lt;&gt;"",OR(AND(INDEX(職員マスタ!$G$6:$G$405,$AN1557)&lt;&gt;"",INDEX(職員マスタ!$G$6:$G$405,$AN1557)&gt;EOMONTH($AO1557,0)),AND(INDEX(職員マスタ!$H$6:$H$405,$AN1557)&lt;&gt;"",INDEX(職員マスタ!$H$6:$H$405,$AN1557)&lt;$AO1557))),"対象月が時短期間外／","")&amp;IF(AND(INDEX(職員マスタ!$F$6:$F$405,$AN1557)&lt;&gt;"",$AO1557&lt;&gt;"",INDEX(職員マスタ!$F$6:$F$405,$AN1557)&lt;$AO1557),"対象月に子が2歳到達済／","")&amp;IF(AND($H1557&lt;&gt;"",INDEX(職員マスタ!$B$6:$B$405,$AN1557)&lt;&gt;"",SUBSTITUTE(SUBSTITUTE($H1557," ","")," ","")&lt;&gt;SUBSTITUTE(SUBSTITUTE(INDEX(職員マスタ!$B$6:$B$405,$AN1557)," ","")," ","")),"氏名がマスタと相違／","")&amp;IF(AND($Q1557&lt;&gt;"",INDEX(職員マスタ!$E$6:$E$405,$AN1557)&lt;&gt;"",$Q1557&lt;&gt;INDEX(職員マスタ!$E$6:$E$405,$AN1557)),"子の生年月日がマスタと相違／","")&amp;IF(AND($L1557&lt;&gt;"",INDEX(職員マスタ!$G$6:$G$405,$AN1557)&lt;&gt;"",$L1557&lt;&gt;INDEX(職員マスタ!$G$6:$G$405,$AN1557)),"時短開始日がマスタと相違／","")&amp;IF(AND($M1557&lt;&gt;"",INDEX(職員マスタ!$H$6:$H$405,$AN1557)&lt;&gt;"",$M1557&lt;&gt;INDEX(職員マスタ!$H$6:$H$405,$AN1557)),"時短終了日がマスタと相違／","")))&amp;IF(AND($B1557&lt;&gt;"",$E1557=""),"報酬額が未入力／","")&amp;IF(N($U1557)&gt;0,"申請書に入力エラーが残っています／","")&amp;IF(AND($B1557&lt;&gt;"",$AO1557&lt;&gt;""),IF(COUNTIFS($B$6:$B$3005,$B1557,$C$6:$C$3005,$C1557,$D$6:$D$3005,$D1557)&gt;1,"同じ月の請求が重複しています／",""),"")&amp;IF(AND(N($E1557)&gt;0,$Z1557&lt;&gt;"",$Z1557&lt;&gt;"×",$AC1557=0,$AB1557=""),"計算額が下限以下のため不支給／",""))</f>
        <v/>
      </c>
      <c r="AL1557" s="12" t="n"/>
      <c r="AM1557" s="14">
        <f>IF($AD1557="保留中",COUNTIF($AD$6:$AD1557,"保留中"),"")</f>
        <v/>
      </c>
      <c r="AN1557" s="14">
        <f>IF($AO1557="","",IF(SUMPRODUCT(MAX((職員マスタ!$A$6:$A$405=$B1557)*(((職員マスタ!$G$6:$G$405="")+(職員マスタ!$G$6:$G$405&lt;=EOMONTH($AO1557,0)))&gt;0)*(((職員マスタ!$H$6:$H$405="")+(職員マスタ!$H$6:$H$405&gt;=$AO1557))&gt;0)*(ROW(職員マスタ!$A$6:$A$405)-5)))&gt;0,SUMPRODUCT(MAX((職員マスタ!$A$6:$A$405=$B1557)*(((職員マスタ!$G$6:$G$405="")+(職員マスタ!$G$6:$G$405&lt;=EOMONTH($AO1557,0)))&gt;0)*(((職員マスタ!$H$6:$H$405="")+(職員マスタ!$H$6:$H$405&gt;=$AO1557))&gt;0)*(ROW(職員マスタ!$A$6:$A$405)-5))),IFERROR(MATCH($B1557,職員マスタ!$A$6:$A$405,0),"")))</f>
        <v/>
      </c>
      <c r="AO1557" s="16">
        <f>IF(OR($B1557="",$C1557="",$D1557=""),"",DATE($C1557+2018,$D1557,1))</f>
        <v/>
      </c>
    </row>
    <row r="1558">
      <c r="A1558" s="11" t="n"/>
      <c r="B1558" s="12" t="n"/>
      <c r="C1558" s="12" t="n"/>
      <c r="D1558" s="12" t="n"/>
      <c r="E1558" s="13" t="n"/>
      <c r="F1558" s="12" t="n"/>
      <c r="G1558" s="13" t="n"/>
      <c r="H1558" s="12" t="n"/>
      <c r="I1558" s="12" t="n"/>
      <c r="J1558" s="12" t="n"/>
      <c r="K1558" s="12" t="n"/>
      <c r="L1558" s="11" t="n"/>
      <c r="M1558" s="11" t="n"/>
      <c r="N1558" s="11" t="n"/>
      <c r="O1558" s="11" t="n"/>
      <c r="P1558" s="12" t="n"/>
      <c r="Q1558" s="11" t="n"/>
      <c r="R1558" s="12" t="n"/>
      <c r="S1558" s="11" t="n"/>
      <c r="T1558" s="12" t="n"/>
      <c r="U1558" s="12" t="n"/>
      <c r="V1558" s="14">
        <f>IF($AN1558="",IF($B1558="","",$H1558),IF(INDEX(職員マスタ!$B$6:$B$405,$AN1558)="",$H1558,INDEX(職員マスタ!$B$6:$B$405,$AN1558)))</f>
        <v/>
      </c>
      <c r="W1558" s="14">
        <f>IF($AN1558="",IF($B1558="","",$R1558),IF(INDEX(職員マスタ!$C$6:$C$405,$AN1558)="",$R1558,INDEX(職員マスタ!$C$6:$C$405,$AN1558)))</f>
        <v/>
      </c>
      <c r="X1558" s="14">
        <f>IF($AO1558="","","R"&amp;$C1558&amp;"."&amp;$D1558)</f>
        <v/>
      </c>
      <c r="Y1558" s="15">
        <f>IF($AN1558="","",IF(INDEX(職員マスタ!$K$6:$K$405,$AN1558)="","",INDEX(職員マスタ!$K$6:$K$405,$AN1558)))</f>
        <v/>
      </c>
      <c r="Z1558" s="14">
        <f>IF(OR($E1558="",$Y1558=""),"",IF($E1558&gt;=$Y1558,"×",IF($E1558&gt;=$Y1558*設定!$C$5,"△","○")))</f>
        <v/>
      </c>
      <c r="AA1558" s="15">
        <f>IF($Z1558="","",IF($Z1558="×",0,IF($Z1558="○",ROUNDDOWN($E1558*設定!$C$4,0),ROUNDDOWN($E1558*ROUND((9*$Y1558-9*$E1558)/(10*$E1558),4),0))))</f>
        <v/>
      </c>
      <c r="AB1558" s="13" t="n"/>
      <c r="AC1558" s="15">
        <f>IF($B1558="","",IF($AB1558&lt;&gt;"",$AB1558,IF($AA1558="","",IF($AA1558&lt;=設定!$C$3,0,$AA1558))))</f>
        <v/>
      </c>
      <c r="AD1558" s="14">
        <f>IF($B1558="","",IF(AND($AE1558&lt;&gt;"",$AG1558="",$AJ1558=""),"保留中",IF($AJ1558&lt;&gt;"",IF(N($AC1558)&gt;0,"支給済","不支給"),IF($AC1558="","要確認",IF($AC1558=0,"不支給","未処理")))))</f>
        <v/>
      </c>
      <c r="AE1558" s="12" t="n"/>
      <c r="AF1558" s="11" t="n"/>
      <c r="AG1558" s="11" t="n"/>
      <c r="AH1558" s="11" t="n"/>
      <c r="AI1558" s="14">
        <f>IF(AND($AD1558="保留中",$AF1558&lt;&gt;""),TODAY()-$AF1558,"")</f>
        <v/>
      </c>
      <c r="AJ1558" s="12" t="n"/>
      <c r="AK1558" s="14">
        <f>IF($B1558="","",IF($AO1558="","対象年月が未入力／","")&amp;IF($B1558="","",IF($AN1558="","職員マスタに未登録の職員番号／",IF($Y1558="","標準報酬月額が未登録／","")&amp;IF(AND($AO1558&lt;&gt;"",OR(AND(INDEX(職員マスタ!$G$6:$G$405,$AN1558)&lt;&gt;"",INDEX(職員マスタ!$G$6:$G$405,$AN1558)&gt;EOMONTH($AO1558,0)),AND(INDEX(職員マスタ!$H$6:$H$405,$AN1558)&lt;&gt;"",INDEX(職員マスタ!$H$6:$H$405,$AN1558)&lt;$AO1558))),"対象月が時短期間外／","")&amp;IF(AND(INDEX(職員マスタ!$F$6:$F$405,$AN1558)&lt;&gt;"",$AO1558&lt;&gt;"",INDEX(職員マスタ!$F$6:$F$405,$AN1558)&lt;$AO1558),"対象月に子が2歳到達済／","")&amp;IF(AND($H1558&lt;&gt;"",INDEX(職員マスタ!$B$6:$B$405,$AN1558)&lt;&gt;"",SUBSTITUTE(SUBSTITUTE($H1558," ","")," ","")&lt;&gt;SUBSTITUTE(SUBSTITUTE(INDEX(職員マスタ!$B$6:$B$405,$AN1558)," ","")," ","")),"氏名がマスタと相違／","")&amp;IF(AND($Q1558&lt;&gt;"",INDEX(職員マスタ!$E$6:$E$405,$AN1558)&lt;&gt;"",$Q1558&lt;&gt;INDEX(職員マスタ!$E$6:$E$405,$AN1558)),"子の生年月日がマスタと相違／","")&amp;IF(AND($L1558&lt;&gt;"",INDEX(職員マスタ!$G$6:$G$405,$AN1558)&lt;&gt;"",$L1558&lt;&gt;INDEX(職員マスタ!$G$6:$G$405,$AN1558)),"時短開始日がマスタと相違／","")&amp;IF(AND($M1558&lt;&gt;"",INDEX(職員マスタ!$H$6:$H$405,$AN1558)&lt;&gt;"",$M1558&lt;&gt;INDEX(職員マスタ!$H$6:$H$405,$AN1558)),"時短終了日がマスタと相違／","")))&amp;IF(AND($B1558&lt;&gt;"",$E1558=""),"報酬額が未入力／","")&amp;IF(N($U1558)&gt;0,"申請書に入力エラーが残っています／","")&amp;IF(AND($B1558&lt;&gt;"",$AO1558&lt;&gt;""),IF(COUNTIFS($B$6:$B$3005,$B1558,$C$6:$C$3005,$C1558,$D$6:$D$3005,$D1558)&gt;1,"同じ月の請求が重複しています／",""),"")&amp;IF(AND(N($E1558)&gt;0,$Z1558&lt;&gt;"",$Z1558&lt;&gt;"×",$AC1558=0,$AB1558=""),"計算額が下限以下のため不支給／",""))</f>
        <v/>
      </c>
      <c r="AL1558" s="12" t="n"/>
      <c r="AM1558" s="14">
        <f>IF($AD1558="保留中",COUNTIF($AD$6:$AD1558,"保留中"),"")</f>
        <v/>
      </c>
      <c r="AN1558" s="14">
        <f>IF($AO1558="","",IF(SUMPRODUCT(MAX((職員マスタ!$A$6:$A$405=$B1558)*(((職員マスタ!$G$6:$G$405="")+(職員マスタ!$G$6:$G$405&lt;=EOMONTH($AO1558,0)))&gt;0)*(((職員マスタ!$H$6:$H$405="")+(職員マスタ!$H$6:$H$405&gt;=$AO1558))&gt;0)*(ROW(職員マスタ!$A$6:$A$405)-5)))&gt;0,SUMPRODUCT(MAX((職員マスタ!$A$6:$A$405=$B1558)*(((職員マスタ!$G$6:$G$405="")+(職員マスタ!$G$6:$G$405&lt;=EOMONTH($AO1558,0)))&gt;0)*(((職員マスタ!$H$6:$H$405="")+(職員マスタ!$H$6:$H$405&gt;=$AO1558))&gt;0)*(ROW(職員マスタ!$A$6:$A$405)-5))),IFERROR(MATCH($B1558,職員マスタ!$A$6:$A$405,0),"")))</f>
        <v/>
      </c>
      <c r="AO1558" s="16">
        <f>IF(OR($B1558="",$C1558="",$D1558=""),"",DATE($C1558+2018,$D1558,1))</f>
        <v/>
      </c>
    </row>
    <row r="1559">
      <c r="A1559" s="11" t="n"/>
      <c r="B1559" s="12" t="n"/>
      <c r="C1559" s="12" t="n"/>
      <c r="D1559" s="12" t="n"/>
      <c r="E1559" s="13" t="n"/>
      <c r="F1559" s="12" t="n"/>
      <c r="G1559" s="13" t="n"/>
      <c r="H1559" s="12" t="n"/>
      <c r="I1559" s="12" t="n"/>
      <c r="J1559" s="12" t="n"/>
      <c r="K1559" s="12" t="n"/>
      <c r="L1559" s="11" t="n"/>
      <c r="M1559" s="11" t="n"/>
      <c r="N1559" s="11" t="n"/>
      <c r="O1559" s="11" t="n"/>
      <c r="P1559" s="12" t="n"/>
      <c r="Q1559" s="11" t="n"/>
      <c r="R1559" s="12" t="n"/>
      <c r="S1559" s="11" t="n"/>
      <c r="T1559" s="12" t="n"/>
      <c r="U1559" s="12" t="n"/>
      <c r="V1559" s="14">
        <f>IF($AN1559="",IF($B1559="","",$H1559),IF(INDEX(職員マスタ!$B$6:$B$405,$AN1559)="",$H1559,INDEX(職員マスタ!$B$6:$B$405,$AN1559)))</f>
        <v/>
      </c>
      <c r="W1559" s="14">
        <f>IF($AN1559="",IF($B1559="","",$R1559),IF(INDEX(職員マスタ!$C$6:$C$405,$AN1559)="",$R1559,INDEX(職員マスタ!$C$6:$C$405,$AN1559)))</f>
        <v/>
      </c>
      <c r="X1559" s="14">
        <f>IF($AO1559="","","R"&amp;$C1559&amp;"."&amp;$D1559)</f>
        <v/>
      </c>
      <c r="Y1559" s="15">
        <f>IF($AN1559="","",IF(INDEX(職員マスタ!$K$6:$K$405,$AN1559)="","",INDEX(職員マスタ!$K$6:$K$405,$AN1559)))</f>
        <v/>
      </c>
      <c r="Z1559" s="14">
        <f>IF(OR($E1559="",$Y1559=""),"",IF($E1559&gt;=$Y1559,"×",IF($E1559&gt;=$Y1559*設定!$C$5,"△","○")))</f>
        <v/>
      </c>
      <c r="AA1559" s="15">
        <f>IF($Z1559="","",IF($Z1559="×",0,IF($Z1559="○",ROUNDDOWN($E1559*設定!$C$4,0),ROUNDDOWN($E1559*ROUND((9*$Y1559-9*$E1559)/(10*$E1559),4),0))))</f>
        <v/>
      </c>
      <c r="AB1559" s="13" t="n"/>
      <c r="AC1559" s="15">
        <f>IF($B1559="","",IF($AB1559&lt;&gt;"",$AB1559,IF($AA1559="","",IF($AA1559&lt;=設定!$C$3,0,$AA1559))))</f>
        <v/>
      </c>
      <c r="AD1559" s="14">
        <f>IF($B1559="","",IF(AND($AE1559&lt;&gt;"",$AG1559="",$AJ1559=""),"保留中",IF($AJ1559&lt;&gt;"",IF(N($AC1559)&gt;0,"支給済","不支給"),IF($AC1559="","要確認",IF($AC1559=0,"不支給","未処理")))))</f>
        <v/>
      </c>
      <c r="AE1559" s="12" t="n"/>
      <c r="AF1559" s="11" t="n"/>
      <c r="AG1559" s="11" t="n"/>
      <c r="AH1559" s="11" t="n"/>
      <c r="AI1559" s="14">
        <f>IF(AND($AD1559="保留中",$AF1559&lt;&gt;""),TODAY()-$AF1559,"")</f>
        <v/>
      </c>
      <c r="AJ1559" s="12" t="n"/>
      <c r="AK1559" s="14">
        <f>IF($B1559="","",IF($AO1559="","対象年月が未入力／","")&amp;IF($B1559="","",IF($AN1559="","職員マスタに未登録の職員番号／",IF($Y1559="","標準報酬月額が未登録／","")&amp;IF(AND($AO1559&lt;&gt;"",OR(AND(INDEX(職員マスタ!$G$6:$G$405,$AN1559)&lt;&gt;"",INDEX(職員マスタ!$G$6:$G$405,$AN1559)&gt;EOMONTH($AO1559,0)),AND(INDEX(職員マスタ!$H$6:$H$405,$AN1559)&lt;&gt;"",INDEX(職員マスタ!$H$6:$H$405,$AN1559)&lt;$AO1559))),"対象月が時短期間外／","")&amp;IF(AND(INDEX(職員マスタ!$F$6:$F$405,$AN1559)&lt;&gt;"",$AO1559&lt;&gt;"",INDEX(職員マスタ!$F$6:$F$405,$AN1559)&lt;$AO1559),"対象月に子が2歳到達済／","")&amp;IF(AND($H1559&lt;&gt;"",INDEX(職員マスタ!$B$6:$B$405,$AN1559)&lt;&gt;"",SUBSTITUTE(SUBSTITUTE($H1559," ","")," ","")&lt;&gt;SUBSTITUTE(SUBSTITUTE(INDEX(職員マスタ!$B$6:$B$405,$AN1559)," ","")," ","")),"氏名がマスタと相違／","")&amp;IF(AND($Q1559&lt;&gt;"",INDEX(職員マスタ!$E$6:$E$405,$AN1559)&lt;&gt;"",$Q1559&lt;&gt;INDEX(職員マスタ!$E$6:$E$405,$AN1559)),"子の生年月日がマスタと相違／","")&amp;IF(AND($L1559&lt;&gt;"",INDEX(職員マスタ!$G$6:$G$405,$AN1559)&lt;&gt;"",$L1559&lt;&gt;INDEX(職員マスタ!$G$6:$G$405,$AN1559)),"時短開始日がマスタと相違／","")&amp;IF(AND($M1559&lt;&gt;"",INDEX(職員マスタ!$H$6:$H$405,$AN1559)&lt;&gt;"",$M1559&lt;&gt;INDEX(職員マスタ!$H$6:$H$405,$AN1559)),"時短終了日がマスタと相違／","")))&amp;IF(AND($B1559&lt;&gt;"",$E1559=""),"報酬額が未入力／","")&amp;IF(N($U1559)&gt;0,"申請書に入力エラーが残っています／","")&amp;IF(AND($B1559&lt;&gt;"",$AO1559&lt;&gt;""),IF(COUNTIFS($B$6:$B$3005,$B1559,$C$6:$C$3005,$C1559,$D$6:$D$3005,$D1559)&gt;1,"同じ月の請求が重複しています／",""),"")&amp;IF(AND(N($E1559)&gt;0,$Z1559&lt;&gt;"",$Z1559&lt;&gt;"×",$AC1559=0,$AB1559=""),"計算額が下限以下のため不支給／",""))</f>
        <v/>
      </c>
      <c r="AL1559" s="12" t="n"/>
      <c r="AM1559" s="14">
        <f>IF($AD1559="保留中",COUNTIF($AD$6:$AD1559,"保留中"),"")</f>
        <v/>
      </c>
      <c r="AN1559" s="14">
        <f>IF($AO1559="","",IF(SUMPRODUCT(MAX((職員マスタ!$A$6:$A$405=$B1559)*(((職員マスタ!$G$6:$G$405="")+(職員マスタ!$G$6:$G$405&lt;=EOMONTH($AO1559,0)))&gt;0)*(((職員マスタ!$H$6:$H$405="")+(職員マスタ!$H$6:$H$405&gt;=$AO1559))&gt;0)*(ROW(職員マスタ!$A$6:$A$405)-5)))&gt;0,SUMPRODUCT(MAX((職員マスタ!$A$6:$A$405=$B1559)*(((職員マスタ!$G$6:$G$405="")+(職員マスタ!$G$6:$G$405&lt;=EOMONTH($AO1559,0)))&gt;0)*(((職員マスタ!$H$6:$H$405="")+(職員マスタ!$H$6:$H$405&gt;=$AO1559))&gt;0)*(ROW(職員マスタ!$A$6:$A$405)-5))),IFERROR(MATCH($B1559,職員マスタ!$A$6:$A$405,0),"")))</f>
        <v/>
      </c>
      <c r="AO1559" s="16">
        <f>IF(OR($B1559="",$C1559="",$D1559=""),"",DATE($C1559+2018,$D1559,1))</f>
        <v/>
      </c>
    </row>
    <row r="1560">
      <c r="A1560" s="11" t="n"/>
      <c r="B1560" s="12" t="n"/>
      <c r="C1560" s="12" t="n"/>
      <c r="D1560" s="12" t="n"/>
      <c r="E1560" s="13" t="n"/>
      <c r="F1560" s="12" t="n"/>
      <c r="G1560" s="13" t="n"/>
      <c r="H1560" s="12" t="n"/>
      <c r="I1560" s="12" t="n"/>
      <c r="J1560" s="12" t="n"/>
      <c r="K1560" s="12" t="n"/>
      <c r="L1560" s="11" t="n"/>
      <c r="M1560" s="11" t="n"/>
      <c r="N1560" s="11" t="n"/>
      <c r="O1560" s="11" t="n"/>
      <c r="P1560" s="12" t="n"/>
      <c r="Q1560" s="11" t="n"/>
      <c r="R1560" s="12" t="n"/>
      <c r="S1560" s="11" t="n"/>
      <c r="T1560" s="12" t="n"/>
      <c r="U1560" s="12" t="n"/>
      <c r="V1560" s="14">
        <f>IF($AN1560="",IF($B1560="","",$H1560),IF(INDEX(職員マスタ!$B$6:$B$405,$AN1560)="",$H1560,INDEX(職員マスタ!$B$6:$B$405,$AN1560)))</f>
        <v/>
      </c>
      <c r="W1560" s="14">
        <f>IF($AN1560="",IF($B1560="","",$R1560),IF(INDEX(職員マスタ!$C$6:$C$405,$AN1560)="",$R1560,INDEX(職員マスタ!$C$6:$C$405,$AN1560)))</f>
        <v/>
      </c>
      <c r="X1560" s="14">
        <f>IF($AO1560="","","R"&amp;$C1560&amp;"."&amp;$D1560)</f>
        <v/>
      </c>
      <c r="Y1560" s="15">
        <f>IF($AN1560="","",IF(INDEX(職員マスタ!$K$6:$K$405,$AN1560)="","",INDEX(職員マスタ!$K$6:$K$405,$AN1560)))</f>
        <v/>
      </c>
      <c r="Z1560" s="14">
        <f>IF(OR($E1560="",$Y1560=""),"",IF($E1560&gt;=$Y1560,"×",IF($E1560&gt;=$Y1560*設定!$C$5,"△","○")))</f>
        <v/>
      </c>
      <c r="AA1560" s="15">
        <f>IF($Z1560="","",IF($Z1560="×",0,IF($Z1560="○",ROUNDDOWN($E1560*設定!$C$4,0),ROUNDDOWN($E1560*ROUND((9*$Y1560-9*$E1560)/(10*$E1560),4),0))))</f>
        <v/>
      </c>
      <c r="AB1560" s="13" t="n"/>
      <c r="AC1560" s="15">
        <f>IF($B1560="","",IF($AB1560&lt;&gt;"",$AB1560,IF($AA1560="","",IF($AA1560&lt;=設定!$C$3,0,$AA1560))))</f>
        <v/>
      </c>
      <c r="AD1560" s="14">
        <f>IF($B1560="","",IF(AND($AE1560&lt;&gt;"",$AG1560="",$AJ1560=""),"保留中",IF($AJ1560&lt;&gt;"",IF(N($AC1560)&gt;0,"支給済","不支給"),IF($AC1560="","要確認",IF($AC1560=0,"不支給","未処理")))))</f>
        <v/>
      </c>
      <c r="AE1560" s="12" t="n"/>
      <c r="AF1560" s="11" t="n"/>
      <c r="AG1560" s="11" t="n"/>
      <c r="AH1560" s="11" t="n"/>
      <c r="AI1560" s="14">
        <f>IF(AND($AD1560="保留中",$AF1560&lt;&gt;""),TODAY()-$AF1560,"")</f>
        <v/>
      </c>
      <c r="AJ1560" s="12" t="n"/>
      <c r="AK1560" s="14">
        <f>IF($B1560="","",IF($AO1560="","対象年月が未入力／","")&amp;IF($B1560="","",IF($AN1560="","職員マスタに未登録の職員番号／",IF($Y1560="","標準報酬月額が未登録／","")&amp;IF(AND($AO1560&lt;&gt;"",OR(AND(INDEX(職員マスタ!$G$6:$G$405,$AN1560)&lt;&gt;"",INDEX(職員マスタ!$G$6:$G$405,$AN1560)&gt;EOMONTH($AO1560,0)),AND(INDEX(職員マスタ!$H$6:$H$405,$AN1560)&lt;&gt;"",INDEX(職員マスタ!$H$6:$H$405,$AN1560)&lt;$AO1560))),"対象月が時短期間外／","")&amp;IF(AND(INDEX(職員マスタ!$F$6:$F$405,$AN1560)&lt;&gt;"",$AO1560&lt;&gt;"",INDEX(職員マスタ!$F$6:$F$405,$AN1560)&lt;$AO1560),"対象月に子が2歳到達済／","")&amp;IF(AND($H1560&lt;&gt;"",INDEX(職員マスタ!$B$6:$B$405,$AN1560)&lt;&gt;"",SUBSTITUTE(SUBSTITUTE($H1560," ","")," ","")&lt;&gt;SUBSTITUTE(SUBSTITUTE(INDEX(職員マスタ!$B$6:$B$405,$AN1560)," ","")," ","")),"氏名がマスタと相違／","")&amp;IF(AND($Q1560&lt;&gt;"",INDEX(職員マスタ!$E$6:$E$405,$AN1560)&lt;&gt;"",$Q1560&lt;&gt;INDEX(職員マスタ!$E$6:$E$405,$AN1560)),"子の生年月日がマスタと相違／","")&amp;IF(AND($L1560&lt;&gt;"",INDEX(職員マスタ!$G$6:$G$405,$AN1560)&lt;&gt;"",$L1560&lt;&gt;INDEX(職員マスタ!$G$6:$G$405,$AN1560)),"時短開始日がマスタと相違／","")&amp;IF(AND($M1560&lt;&gt;"",INDEX(職員マスタ!$H$6:$H$405,$AN1560)&lt;&gt;"",$M1560&lt;&gt;INDEX(職員マスタ!$H$6:$H$405,$AN1560)),"時短終了日がマスタと相違／","")))&amp;IF(AND($B1560&lt;&gt;"",$E1560=""),"報酬額が未入力／","")&amp;IF(N($U1560)&gt;0,"申請書に入力エラーが残っています／","")&amp;IF(AND($B1560&lt;&gt;"",$AO1560&lt;&gt;""),IF(COUNTIFS($B$6:$B$3005,$B1560,$C$6:$C$3005,$C1560,$D$6:$D$3005,$D1560)&gt;1,"同じ月の請求が重複しています／",""),"")&amp;IF(AND(N($E1560)&gt;0,$Z1560&lt;&gt;"",$Z1560&lt;&gt;"×",$AC1560=0,$AB1560=""),"計算額が下限以下のため不支給／",""))</f>
        <v/>
      </c>
      <c r="AL1560" s="12" t="n"/>
      <c r="AM1560" s="14">
        <f>IF($AD1560="保留中",COUNTIF($AD$6:$AD1560,"保留中"),"")</f>
        <v/>
      </c>
      <c r="AN1560" s="14">
        <f>IF($AO1560="","",IF(SUMPRODUCT(MAX((職員マスタ!$A$6:$A$405=$B1560)*(((職員マスタ!$G$6:$G$405="")+(職員マスタ!$G$6:$G$405&lt;=EOMONTH($AO1560,0)))&gt;0)*(((職員マスタ!$H$6:$H$405="")+(職員マスタ!$H$6:$H$405&gt;=$AO1560))&gt;0)*(ROW(職員マスタ!$A$6:$A$405)-5)))&gt;0,SUMPRODUCT(MAX((職員マスタ!$A$6:$A$405=$B1560)*(((職員マスタ!$G$6:$G$405="")+(職員マスタ!$G$6:$G$405&lt;=EOMONTH($AO1560,0)))&gt;0)*(((職員マスタ!$H$6:$H$405="")+(職員マスタ!$H$6:$H$405&gt;=$AO1560))&gt;0)*(ROW(職員マスタ!$A$6:$A$405)-5))),IFERROR(MATCH($B1560,職員マスタ!$A$6:$A$405,0),"")))</f>
        <v/>
      </c>
      <c r="AO1560" s="16">
        <f>IF(OR($B1560="",$C1560="",$D1560=""),"",DATE($C1560+2018,$D1560,1))</f>
        <v/>
      </c>
    </row>
    <row r="1561">
      <c r="A1561" s="11" t="n"/>
      <c r="B1561" s="12" t="n"/>
      <c r="C1561" s="12" t="n"/>
      <c r="D1561" s="12" t="n"/>
      <c r="E1561" s="13" t="n"/>
      <c r="F1561" s="12" t="n"/>
      <c r="G1561" s="13" t="n"/>
      <c r="H1561" s="12" t="n"/>
      <c r="I1561" s="12" t="n"/>
      <c r="J1561" s="12" t="n"/>
      <c r="K1561" s="12" t="n"/>
      <c r="L1561" s="11" t="n"/>
      <c r="M1561" s="11" t="n"/>
      <c r="N1561" s="11" t="n"/>
      <c r="O1561" s="11" t="n"/>
      <c r="P1561" s="12" t="n"/>
      <c r="Q1561" s="11" t="n"/>
      <c r="R1561" s="12" t="n"/>
      <c r="S1561" s="11" t="n"/>
      <c r="T1561" s="12" t="n"/>
      <c r="U1561" s="12" t="n"/>
      <c r="V1561" s="14">
        <f>IF($AN1561="",IF($B1561="","",$H1561),IF(INDEX(職員マスタ!$B$6:$B$405,$AN1561)="",$H1561,INDEX(職員マスタ!$B$6:$B$405,$AN1561)))</f>
        <v/>
      </c>
      <c r="W1561" s="14">
        <f>IF($AN1561="",IF($B1561="","",$R1561),IF(INDEX(職員マスタ!$C$6:$C$405,$AN1561)="",$R1561,INDEX(職員マスタ!$C$6:$C$405,$AN1561)))</f>
        <v/>
      </c>
      <c r="X1561" s="14">
        <f>IF($AO1561="","","R"&amp;$C1561&amp;"."&amp;$D1561)</f>
        <v/>
      </c>
      <c r="Y1561" s="15">
        <f>IF($AN1561="","",IF(INDEX(職員マスタ!$K$6:$K$405,$AN1561)="","",INDEX(職員マスタ!$K$6:$K$405,$AN1561)))</f>
        <v/>
      </c>
      <c r="Z1561" s="14">
        <f>IF(OR($E1561="",$Y1561=""),"",IF($E1561&gt;=$Y1561,"×",IF($E1561&gt;=$Y1561*設定!$C$5,"△","○")))</f>
        <v/>
      </c>
      <c r="AA1561" s="15">
        <f>IF($Z1561="","",IF($Z1561="×",0,IF($Z1561="○",ROUNDDOWN($E1561*設定!$C$4,0),ROUNDDOWN($E1561*ROUND((9*$Y1561-9*$E1561)/(10*$E1561),4),0))))</f>
        <v/>
      </c>
      <c r="AB1561" s="13" t="n"/>
      <c r="AC1561" s="15">
        <f>IF($B1561="","",IF($AB1561&lt;&gt;"",$AB1561,IF($AA1561="","",IF($AA1561&lt;=設定!$C$3,0,$AA1561))))</f>
        <v/>
      </c>
      <c r="AD1561" s="14">
        <f>IF($B1561="","",IF(AND($AE1561&lt;&gt;"",$AG1561="",$AJ1561=""),"保留中",IF($AJ1561&lt;&gt;"",IF(N($AC1561)&gt;0,"支給済","不支給"),IF($AC1561="","要確認",IF($AC1561=0,"不支給","未処理")))))</f>
        <v/>
      </c>
      <c r="AE1561" s="12" t="n"/>
      <c r="AF1561" s="11" t="n"/>
      <c r="AG1561" s="11" t="n"/>
      <c r="AH1561" s="11" t="n"/>
      <c r="AI1561" s="14">
        <f>IF(AND($AD1561="保留中",$AF1561&lt;&gt;""),TODAY()-$AF1561,"")</f>
        <v/>
      </c>
      <c r="AJ1561" s="12" t="n"/>
      <c r="AK1561" s="14">
        <f>IF($B1561="","",IF($AO1561="","対象年月が未入力／","")&amp;IF($B1561="","",IF($AN1561="","職員マスタに未登録の職員番号／",IF($Y1561="","標準報酬月額が未登録／","")&amp;IF(AND($AO1561&lt;&gt;"",OR(AND(INDEX(職員マスタ!$G$6:$G$405,$AN1561)&lt;&gt;"",INDEX(職員マスタ!$G$6:$G$405,$AN1561)&gt;EOMONTH($AO1561,0)),AND(INDEX(職員マスタ!$H$6:$H$405,$AN1561)&lt;&gt;"",INDEX(職員マスタ!$H$6:$H$405,$AN1561)&lt;$AO1561))),"対象月が時短期間外／","")&amp;IF(AND(INDEX(職員マスタ!$F$6:$F$405,$AN1561)&lt;&gt;"",$AO1561&lt;&gt;"",INDEX(職員マスタ!$F$6:$F$405,$AN1561)&lt;$AO1561),"対象月に子が2歳到達済／","")&amp;IF(AND($H1561&lt;&gt;"",INDEX(職員マスタ!$B$6:$B$405,$AN1561)&lt;&gt;"",SUBSTITUTE(SUBSTITUTE($H1561," ","")," ","")&lt;&gt;SUBSTITUTE(SUBSTITUTE(INDEX(職員マスタ!$B$6:$B$405,$AN1561)," ","")," ","")),"氏名がマスタと相違／","")&amp;IF(AND($Q1561&lt;&gt;"",INDEX(職員マスタ!$E$6:$E$405,$AN1561)&lt;&gt;"",$Q1561&lt;&gt;INDEX(職員マスタ!$E$6:$E$405,$AN1561)),"子の生年月日がマスタと相違／","")&amp;IF(AND($L1561&lt;&gt;"",INDEX(職員マスタ!$G$6:$G$405,$AN1561)&lt;&gt;"",$L1561&lt;&gt;INDEX(職員マスタ!$G$6:$G$405,$AN1561)),"時短開始日がマスタと相違／","")&amp;IF(AND($M1561&lt;&gt;"",INDEX(職員マスタ!$H$6:$H$405,$AN1561)&lt;&gt;"",$M1561&lt;&gt;INDEX(職員マスタ!$H$6:$H$405,$AN1561)),"時短終了日がマスタと相違／","")))&amp;IF(AND($B1561&lt;&gt;"",$E1561=""),"報酬額が未入力／","")&amp;IF(N($U1561)&gt;0,"申請書に入力エラーが残っています／","")&amp;IF(AND($B1561&lt;&gt;"",$AO1561&lt;&gt;""),IF(COUNTIFS($B$6:$B$3005,$B1561,$C$6:$C$3005,$C1561,$D$6:$D$3005,$D1561)&gt;1,"同じ月の請求が重複しています／",""),"")&amp;IF(AND(N($E1561)&gt;0,$Z1561&lt;&gt;"",$Z1561&lt;&gt;"×",$AC1561=0,$AB1561=""),"計算額が下限以下のため不支給／",""))</f>
        <v/>
      </c>
      <c r="AL1561" s="12" t="n"/>
      <c r="AM1561" s="14">
        <f>IF($AD1561="保留中",COUNTIF($AD$6:$AD1561,"保留中"),"")</f>
        <v/>
      </c>
      <c r="AN1561" s="14">
        <f>IF($AO1561="","",IF(SUMPRODUCT(MAX((職員マスタ!$A$6:$A$405=$B1561)*(((職員マスタ!$G$6:$G$405="")+(職員マスタ!$G$6:$G$405&lt;=EOMONTH($AO1561,0)))&gt;0)*(((職員マスタ!$H$6:$H$405="")+(職員マスタ!$H$6:$H$405&gt;=$AO1561))&gt;0)*(ROW(職員マスタ!$A$6:$A$405)-5)))&gt;0,SUMPRODUCT(MAX((職員マスタ!$A$6:$A$405=$B1561)*(((職員マスタ!$G$6:$G$405="")+(職員マスタ!$G$6:$G$405&lt;=EOMONTH($AO1561,0)))&gt;0)*(((職員マスタ!$H$6:$H$405="")+(職員マスタ!$H$6:$H$405&gt;=$AO1561))&gt;0)*(ROW(職員マスタ!$A$6:$A$405)-5))),IFERROR(MATCH($B1561,職員マスタ!$A$6:$A$405,0),"")))</f>
        <v/>
      </c>
      <c r="AO1561" s="16">
        <f>IF(OR($B1561="",$C1561="",$D1561=""),"",DATE($C1561+2018,$D1561,1))</f>
        <v/>
      </c>
    </row>
    <row r="1562">
      <c r="A1562" s="11" t="n"/>
      <c r="B1562" s="12" t="n"/>
      <c r="C1562" s="12" t="n"/>
      <c r="D1562" s="12" t="n"/>
      <c r="E1562" s="13" t="n"/>
      <c r="F1562" s="12" t="n"/>
      <c r="G1562" s="13" t="n"/>
      <c r="H1562" s="12" t="n"/>
      <c r="I1562" s="12" t="n"/>
      <c r="J1562" s="12" t="n"/>
      <c r="K1562" s="12" t="n"/>
      <c r="L1562" s="11" t="n"/>
      <c r="M1562" s="11" t="n"/>
      <c r="N1562" s="11" t="n"/>
      <c r="O1562" s="11" t="n"/>
      <c r="P1562" s="12" t="n"/>
      <c r="Q1562" s="11" t="n"/>
      <c r="R1562" s="12" t="n"/>
      <c r="S1562" s="11" t="n"/>
      <c r="T1562" s="12" t="n"/>
      <c r="U1562" s="12" t="n"/>
      <c r="V1562" s="14">
        <f>IF($AN1562="",IF($B1562="","",$H1562),IF(INDEX(職員マスタ!$B$6:$B$405,$AN1562)="",$H1562,INDEX(職員マスタ!$B$6:$B$405,$AN1562)))</f>
        <v/>
      </c>
      <c r="W1562" s="14">
        <f>IF($AN1562="",IF($B1562="","",$R1562),IF(INDEX(職員マスタ!$C$6:$C$405,$AN1562)="",$R1562,INDEX(職員マスタ!$C$6:$C$405,$AN1562)))</f>
        <v/>
      </c>
      <c r="X1562" s="14">
        <f>IF($AO1562="","","R"&amp;$C1562&amp;"."&amp;$D1562)</f>
        <v/>
      </c>
      <c r="Y1562" s="15">
        <f>IF($AN1562="","",IF(INDEX(職員マスタ!$K$6:$K$405,$AN1562)="","",INDEX(職員マスタ!$K$6:$K$405,$AN1562)))</f>
        <v/>
      </c>
      <c r="Z1562" s="14">
        <f>IF(OR($E1562="",$Y1562=""),"",IF($E1562&gt;=$Y1562,"×",IF($E1562&gt;=$Y1562*設定!$C$5,"△","○")))</f>
        <v/>
      </c>
      <c r="AA1562" s="15">
        <f>IF($Z1562="","",IF($Z1562="×",0,IF($Z1562="○",ROUNDDOWN($E1562*設定!$C$4,0),ROUNDDOWN($E1562*ROUND((9*$Y1562-9*$E1562)/(10*$E1562),4),0))))</f>
        <v/>
      </c>
      <c r="AB1562" s="13" t="n"/>
      <c r="AC1562" s="15">
        <f>IF($B1562="","",IF($AB1562&lt;&gt;"",$AB1562,IF($AA1562="","",IF($AA1562&lt;=設定!$C$3,0,$AA1562))))</f>
        <v/>
      </c>
      <c r="AD1562" s="14">
        <f>IF($B1562="","",IF(AND($AE1562&lt;&gt;"",$AG1562="",$AJ1562=""),"保留中",IF($AJ1562&lt;&gt;"",IF(N($AC1562)&gt;0,"支給済","不支給"),IF($AC1562="","要確認",IF($AC1562=0,"不支給","未処理")))))</f>
        <v/>
      </c>
      <c r="AE1562" s="12" t="n"/>
      <c r="AF1562" s="11" t="n"/>
      <c r="AG1562" s="11" t="n"/>
      <c r="AH1562" s="11" t="n"/>
      <c r="AI1562" s="14">
        <f>IF(AND($AD1562="保留中",$AF1562&lt;&gt;""),TODAY()-$AF1562,"")</f>
        <v/>
      </c>
      <c r="AJ1562" s="12" t="n"/>
      <c r="AK1562" s="14">
        <f>IF($B1562="","",IF($AO1562="","対象年月が未入力／","")&amp;IF($B1562="","",IF($AN1562="","職員マスタに未登録の職員番号／",IF($Y1562="","標準報酬月額が未登録／","")&amp;IF(AND($AO1562&lt;&gt;"",OR(AND(INDEX(職員マスタ!$G$6:$G$405,$AN1562)&lt;&gt;"",INDEX(職員マスタ!$G$6:$G$405,$AN1562)&gt;EOMONTH($AO1562,0)),AND(INDEX(職員マスタ!$H$6:$H$405,$AN1562)&lt;&gt;"",INDEX(職員マスタ!$H$6:$H$405,$AN1562)&lt;$AO1562))),"対象月が時短期間外／","")&amp;IF(AND(INDEX(職員マスタ!$F$6:$F$405,$AN1562)&lt;&gt;"",$AO1562&lt;&gt;"",INDEX(職員マスタ!$F$6:$F$405,$AN1562)&lt;$AO1562),"対象月に子が2歳到達済／","")&amp;IF(AND($H1562&lt;&gt;"",INDEX(職員マスタ!$B$6:$B$405,$AN1562)&lt;&gt;"",SUBSTITUTE(SUBSTITUTE($H1562," ","")," ","")&lt;&gt;SUBSTITUTE(SUBSTITUTE(INDEX(職員マスタ!$B$6:$B$405,$AN1562)," ","")," ","")),"氏名がマスタと相違／","")&amp;IF(AND($Q1562&lt;&gt;"",INDEX(職員マスタ!$E$6:$E$405,$AN1562)&lt;&gt;"",$Q1562&lt;&gt;INDEX(職員マスタ!$E$6:$E$405,$AN1562)),"子の生年月日がマスタと相違／","")&amp;IF(AND($L1562&lt;&gt;"",INDEX(職員マスタ!$G$6:$G$405,$AN1562)&lt;&gt;"",$L1562&lt;&gt;INDEX(職員マスタ!$G$6:$G$405,$AN1562)),"時短開始日がマスタと相違／","")&amp;IF(AND($M1562&lt;&gt;"",INDEX(職員マスタ!$H$6:$H$405,$AN1562)&lt;&gt;"",$M1562&lt;&gt;INDEX(職員マスタ!$H$6:$H$405,$AN1562)),"時短終了日がマスタと相違／","")))&amp;IF(AND($B1562&lt;&gt;"",$E1562=""),"報酬額が未入力／","")&amp;IF(N($U1562)&gt;0,"申請書に入力エラーが残っています／","")&amp;IF(AND($B1562&lt;&gt;"",$AO1562&lt;&gt;""),IF(COUNTIFS($B$6:$B$3005,$B1562,$C$6:$C$3005,$C1562,$D$6:$D$3005,$D1562)&gt;1,"同じ月の請求が重複しています／",""),"")&amp;IF(AND(N($E1562)&gt;0,$Z1562&lt;&gt;"",$Z1562&lt;&gt;"×",$AC1562=0,$AB1562=""),"計算額が下限以下のため不支給／",""))</f>
        <v/>
      </c>
      <c r="AL1562" s="12" t="n"/>
      <c r="AM1562" s="14">
        <f>IF($AD1562="保留中",COUNTIF($AD$6:$AD1562,"保留中"),"")</f>
        <v/>
      </c>
      <c r="AN1562" s="14">
        <f>IF($AO1562="","",IF(SUMPRODUCT(MAX((職員マスタ!$A$6:$A$405=$B1562)*(((職員マスタ!$G$6:$G$405="")+(職員マスタ!$G$6:$G$405&lt;=EOMONTH($AO1562,0)))&gt;0)*(((職員マスタ!$H$6:$H$405="")+(職員マスタ!$H$6:$H$405&gt;=$AO1562))&gt;0)*(ROW(職員マスタ!$A$6:$A$405)-5)))&gt;0,SUMPRODUCT(MAX((職員マスタ!$A$6:$A$405=$B1562)*(((職員マスタ!$G$6:$G$405="")+(職員マスタ!$G$6:$G$405&lt;=EOMONTH($AO1562,0)))&gt;0)*(((職員マスタ!$H$6:$H$405="")+(職員マスタ!$H$6:$H$405&gt;=$AO1562))&gt;0)*(ROW(職員マスタ!$A$6:$A$405)-5))),IFERROR(MATCH($B1562,職員マスタ!$A$6:$A$405,0),"")))</f>
        <v/>
      </c>
      <c r="AO1562" s="16">
        <f>IF(OR($B1562="",$C1562="",$D1562=""),"",DATE($C1562+2018,$D1562,1))</f>
        <v/>
      </c>
    </row>
    <row r="1563">
      <c r="A1563" s="11" t="n"/>
      <c r="B1563" s="12" t="n"/>
      <c r="C1563" s="12" t="n"/>
      <c r="D1563" s="12" t="n"/>
      <c r="E1563" s="13" t="n"/>
      <c r="F1563" s="12" t="n"/>
      <c r="G1563" s="13" t="n"/>
      <c r="H1563" s="12" t="n"/>
      <c r="I1563" s="12" t="n"/>
      <c r="J1563" s="12" t="n"/>
      <c r="K1563" s="12" t="n"/>
      <c r="L1563" s="11" t="n"/>
      <c r="M1563" s="11" t="n"/>
      <c r="N1563" s="11" t="n"/>
      <c r="O1563" s="11" t="n"/>
      <c r="P1563" s="12" t="n"/>
      <c r="Q1563" s="11" t="n"/>
      <c r="R1563" s="12" t="n"/>
      <c r="S1563" s="11" t="n"/>
      <c r="T1563" s="12" t="n"/>
      <c r="U1563" s="12" t="n"/>
      <c r="V1563" s="14">
        <f>IF($AN1563="",IF($B1563="","",$H1563),IF(INDEX(職員マスタ!$B$6:$B$405,$AN1563)="",$H1563,INDEX(職員マスタ!$B$6:$B$405,$AN1563)))</f>
        <v/>
      </c>
      <c r="W1563" s="14">
        <f>IF($AN1563="",IF($B1563="","",$R1563),IF(INDEX(職員マスタ!$C$6:$C$405,$AN1563)="",$R1563,INDEX(職員マスタ!$C$6:$C$405,$AN1563)))</f>
        <v/>
      </c>
      <c r="X1563" s="14">
        <f>IF($AO1563="","","R"&amp;$C1563&amp;"."&amp;$D1563)</f>
        <v/>
      </c>
      <c r="Y1563" s="15">
        <f>IF($AN1563="","",IF(INDEX(職員マスタ!$K$6:$K$405,$AN1563)="","",INDEX(職員マスタ!$K$6:$K$405,$AN1563)))</f>
        <v/>
      </c>
      <c r="Z1563" s="14">
        <f>IF(OR($E1563="",$Y1563=""),"",IF($E1563&gt;=$Y1563,"×",IF($E1563&gt;=$Y1563*設定!$C$5,"△","○")))</f>
        <v/>
      </c>
      <c r="AA1563" s="15">
        <f>IF($Z1563="","",IF($Z1563="×",0,IF($Z1563="○",ROUNDDOWN($E1563*設定!$C$4,0),ROUNDDOWN($E1563*ROUND((9*$Y1563-9*$E1563)/(10*$E1563),4),0))))</f>
        <v/>
      </c>
      <c r="AB1563" s="13" t="n"/>
      <c r="AC1563" s="15">
        <f>IF($B1563="","",IF($AB1563&lt;&gt;"",$AB1563,IF($AA1563="","",IF($AA1563&lt;=設定!$C$3,0,$AA1563))))</f>
        <v/>
      </c>
      <c r="AD1563" s="14">
        <f>IF($B1563="","",IF(AND($AE1563&lt;&gt;"",$AG1563="",$AJ1563=""),"保留中",IF($AJ1563&lt;&gt;"",IF(N($AC1563)&gt;0,"支給済","不支給"),IF($AC1563="","要確認",IF($AC1563=0,"不支給","未処理")))))</f>
        <v/>
      </c>
      <c r="AE1563" s="12" t="n"/>
      <c r="AF1563" s="11" t="n"/>
      <c r="AG1563" s="11" t="n"/>
      <c r="AH1563" s="11" t="n"/>
      <c r="AI1563" s="14">
        <f>IF(AND($AD1563="保留中",$AF1563&lt;&gt;""),TODAY()-$AF1563,"")</f>
        <v/>
      </c>
      <c r="AJ1563" s="12" t="n"/>
      <c r="AK1563" s="14">
        <f>IF($B1563="","",IF($AO1563="","対象年月が未入力／","")&amp;IF($B1563="","",IF($AN1563="","職員マスタに未登録の職員番号／",IF($Y1563="","標準報酬月額が未登録／","")&amp;IF(AND($AO1563&lt;&gt;"",OR(AND(INDEX(職員マスタ!$G$6:$G$405,$AN1563)&lt;&gt;"",INDEX(職員マスタ!$G$6:$G$405,$AN1563)&gt;EOMONTH($AO1563,0)),AND(INDEX(職員マスタ!$H$6:$H$405,$AN1563)&lt;&gt;"",INDEX(職員マスタ!$H$6:$H$405,$AN1563)&lt;$AO1563))),"対象月が時短期間外／","")&amp;IF(AND(INDEX(職員マスタ!$F$6:$F$405,$AN1563)&lt;&gt;"",$AO1563&lt;&gt;"",INDEX(職員マスタ!$F$6:$F$405,$AN1563)&lt;$AO1563),"対象月に子が2歳到達済／","")&amp;IF(AND($H1563&lt;&gt;"",INDEX(職員マスタ!$B$6:$B$405,$AN1563)&lt;&gt;"",SUBSTITUTE(SUBSTITUTE($H1563," ","")," ","")&lt;&gt;SUBSTITUTE(SUBSTITUTE(INDEX(職員マスタ!$B$6:$B$405,$AN1563)," ","")," ","")),"氏名がマスタと相違／","")&amp;IF(AND($Q1563&lt;&gt;"",INDEX(職員マスタ!$E$6:$E$405,$AN1563)&lt;&gt;"",$Q1563&lt;&gt;INDEX(職員マスタ!$E$6:$E$405,$AN1563)),"子の生年月日がマスタと相違／","")&amp;IF(AND($L1563&lt;&gt;"",INDEX(職員マスタ!$G$6:$G$405,$AN1563)&lt;&gt;"",$L1563&lt;&gt;INDEX(職員マスタ!$G$6:$G$405,$AN1563)),"時短開始日がマスタと相違／","")&amp;IF(AND($M1563&lt;&gt;"",INDEX(職員マスタ!$H$6:$H$405,$AN1563)&lt;&gt;"",$M1563&lt;&gt;INDEX(職員マスタ!$H$6:$H$405,$AN1563)),"時短終了日がマスタと相違／","")))&amp;IF(AND($B1563&lt;&gt;"",$E1563=""),"報酬額が未入力／","")&amp;IF(N($U1563)&gt;0,"申請書に入力エラーが残っています／","")&amp;IF(AND($B1563&lt;&gt;"",$AO1563&lt;&gt;""),IF(COUNTIFS($B$6:$B$3005,$B1563,$C$6:$C$3005,$C1563,$D$6:$D$3005,$D1563)&gt;1,"同じ月の請求が重複しています／",""),"")&amp;IF(AND(N($E1563)&gt;0,$Z1563&lt;&gt;"",$Z1563&lt;&gt;"×",$AC1563=0,$AB1563=""),"計算額が下限以下のため不支給／",""))</f>
        <v/>
      </c>
      <c r="AL1563" s="12" t="n"/>
      <c r="AM1563" s="14">
        <f>IF($AD1563="保留中",COUNTIF($AD$6:$AD1563,"保留中"),"")</f>
        <v/>
      </c>
      <c r="AN1563" s="14">
        <f>IF($AO1563="","",IF(SUMPRODUCT(MAX((職員マスタ!$A$6:$A$405=$B1563)*(((職員マスタ!$G$6:$G$405="")+(職員マスタ!$G$6:$G$405&lt;=EOMONTH($AO1563,0)))&gt;0)*(((職員マスタ!$H$6:$H$405="")+(職員マスタ!$H$6:$H$405&gt;=$AO1563))&gt;0)*(ROW(職員マスタ!$A$6:$A$405)-5)))&gt;0,SUMPRODUCT(MAX((職員マスタ!$A$6:$A$405=$B1563)*(((職員マスタ!$G$6:$G$405="")+(職員マスタ!$G$6:$G$405&lt;=EOMONTH($AO1563,0)))&gt;0)*(((職員マスタ!$H$6:$H$405="")+(職員マスタ!$H$6:$H$405&gt;=$AO1563))&gt;0)*(ROW(職員マスタ!$A$6:$A$405)-5))),IFERROR(MATCH($B1563,職員マスタ!$A$6:$A$405,0),"")))</f>
        <v/>
      </c>
      <c r="AO1563" s="16">
        <f>IF(OR($B1563="",$C1563="",$D1563=""),"",DATE($C1563+2018,$D1563,1))</f>
        <v/>
      </c>
    </row>
    <row r="1564">
      <c r="A1564" s="11" t="n"/>
      <c r="B1564" s="12" t="n"/>
      <c r="C1564" s="12" t="n"/>
      <c r="D1564" s="12" t="n"/>
      <c r="E1564" s="13" t="n"/>
      <c r="F1564" s="12" t="n"/>
      <c r="G1564" s="13" t="n"/>
      <c r="H1564" s="12" t="n"/>
      <c r="I1564" s="12" t="n"/>
      <c r="J1564" s="12" t="n"/>
      <c r="K1564" s="12" t="n"/>
      <c r="L1564" s="11" t="n"/>
      <c r="M1564" s="11" t="n"/>
      <c r="N1564" s="11" t="n"/>
      <c r="O1564" s="11" t="n"/>
      <c r="P1564" s="12" t="n"/>
      <c r="Q1564" s="11" t="n"/>
      <c r="R1564" s="12" t="n"/>
      <c r="S1564" s="11" t="n"/>
      <c r="T1564" s="12" t="n"/>
      <c r="U1564" s="12" t="n"/>
      <c r="V1564" s="14">
        <f>IF($AN1564="",IF($B1564="","",$H1564),IF(INDEX(職員マスタ!$B$6:$B$405,$AN1564)="",$H1564,INDEX(職員マスタ!$B$6:$B$405,$AN1564)))</f>
        <v/>
      </c>
      <c r="W1564" s="14">
        <f>IF($AN1564="",IF($B1564="","",$R1564),IF(INDEX(職員マスタ!$C$6:$C$405,$AN1564)="",$R1564,INDEX(職員マスタ!$C$6:$C$405,$AN1564)))</f>
        <v/>
      </c>
      <c r="X1564" s="14">
        <f>IF($AO1564="","","R"&amp;$C1564&amp;"."&amp;$D1564)</f>
        <v/>
      </c>
      <c r="Y1564" s="15">
        <f>IF($AN1564="","",IF(INDEX(職員マスタ!$K$6:$K$405,$AN1564)="","",INDEX(職員マスタ!$K$6:$K$405,$AN1564)))</f>
        <v/>
      </c>
      <c r="Z1564" s="14">
        <f>IF(OR($E1564="",$Y1564=""),"",IF($E1564&gt;=$Y1564,"×",IF($E1564&gt;=$Y1564*設定!$C$5,"△","○")))</f>
        <v/>
      </c>
      <c r="AA1564" s="15">
        <f>IF($Z1564="","",IF($Z1564="×",0,IF($Z1564="○",ROUNDDOWN($E1564*設定!$C$4,0),ROUNDDOWN($E1564*ROUND((9*$Y1564-9*$E1564)/(10*$E1564),4),0))))</f>
        <v/>
      </c>
      <c r="AB1564" s="13" t="n"/>
      <c r="AC1564" s="15">
        <f>IF($B1564="","",IF($AB1564&lt;&gt;"",$AB1564,IF($AA1564="","",IF($AA1564&lt;=設定!$C$3,0,$AA1564))))</f>
        <v/>
      </c>
      <c r="AD1564" s="14">
        <f>IF($B1564="","",IF(AND($AE1564&lt;&gt;"",$AG1564="",$AJ1564=""),"保留中",IF($AJ1564&lt;&gt;"",IF(N($AC1564)&gt;0,"支給済","不支給"),IF($AC1564="","要確認",IF($AC1564=0,"不支給","未処理")))))</f>
        <v/>
      </c>
      <c r="AE1564" s="12" t="n"/>
      <c r="AF1564" s="11" t="n"/>
      <c r="AG1564" s="11" t="n"/>
      <c r="AH1564" s="11" t="n"/>
      <c r="AI1564" s="14">
        <f>IF(AND($AD1564="保留中",$AF1564&lt;&gt;""),TODAY()-$AF1564,"")</f>
        <v/>
      </c>
      <c r="AJ1564" s="12" t="n"/>
      <c r="AK1564" s="14">
        <f>IF($B1564="","",IF($AO1564="","対象年月が未入力／","")&amp;IF($B1564="","",IF($AN1564="","職員マスタに未登録の職員番号／",IF($Y1564="","標準報酬月額が未登録／","")&amp;IF(AND($AO1564&lt;&gt;"",OR(AND(INDEX(職員マスタ!$G$6:$G$405,$AN1564)&lt;&gt;"",INDEX(職員マスタ!$G$6:$G$405,$AN1564)&gt;EOMONTH($AO1564,0)),AND(INDEX(職員マスタ!$H$6:$H$405,$AN1564)&lt;&gt;"",INDEX(職員マスタ!$H$6:$H$405,$AN1564)&lt;$AO1564))),"対象月が時短期間外／","")&amp;IF(AND(INDEX(職員マスタ!$F$6:$F$405,$AN1564)&lt;&gt;"",$AO1564&lt;&gt;"",INDEX(職員マスタ!$F$6:$F$405,$AN1564)&lt;$AO1564),"対象月に子が2歳到達済／","")&amp;IF(AND($H1564&lt;&gt;"",INDEX(職員マスタ!$B$6:$B$405,$AN1564)&lt;&gt;"",SUBSTITUTE(SUBSTITUTE($H1564," ","")," ","")&lt;&gt;SUBSTITUTE(SUBSTITUTE(INDEX(職員マスタ!$B$6:$B$405,$AN1564)," ","")," ","")),"氏名がマスタと相違／","")&amp;IF(AND($Q1564&lt;&gt;"",INDEX(職員マスタ!$E$6:$E$405,$AN1564)&lt;&gt;"",$Q1564&lt;&gt;INDEX(職員マスタ!$E$6:$E$405,$AN1564)),"子の生年月日がマスタと相違／","")&amp;IF(AND($L1564&lt;&gt;"",INDEX(職員マスタ!$G$6:$G$405,$AN1564)&lt;&gt;"",$L1564&lt;&gt;INDEX(職員マスタ!$G$6:$G$405,$AN1564)),"時短開始日がマスタと相違／","")&amp;IF(AND($M1564&lt;&gt;"",INDEX(職員マスタ!$H$6:$H$405,$AN1564)&lt;&gt;"",$M1564&lt;&gt;INDEX(職員マスタ!$H$6:$H$405,$AN1564)),"時短終了日がマスタと相違／","")))&amp;IF(AND($B1564&lt;&gt;"",$E1564=""),"報酬額が未入力／","")&amp;IF(N($U1564)&gt;0,"申請書に入力エラーが残っています／","")&amp;IF(AND($B1564&lt;&gt;"",$AO1564&lt;&gt;""),IF(COUNTIFS($B$6:$B$3005,$B1564,$C$6:$C$3005,$C1564,$D$6:$D$3005,$D1564)&gt;1,"同じ月の請求が重複しています／",""),"")&amp;IF(AND(N($E1564)&gt;0,$Z1564&lt;&gt;"",$Z1564&lt;&gt;"×",$AC1564=0,$AB1564=""),"計算額が下限以下のため不支給／",""))</f>
        <v/>
      </c>
      <c r="AL1564" s="12" t="n"/>
      <c r="AM1564" s="14">
        <f>IF($AD1564="保留中",COUNTIF($AD$6:$AD1564,"保留中"),"")</f>
        <v/>
      </c>
      <c r="AN1564" s="14">
        <f>IF($AO1564="","",IF(SUMPRODUCT(MAX((職員マスタ!$A$6:$A$405=$B1564)*(((職員マスタ!$G$6:$G$405="")+(職員マスタ!$G$6:$G$405&lt;=EOMONTH($AO1564,0)))&gt;0)*(((職員マスタ!$H$6:$H$405="")+(職員マスタ!$H$6:$H$405&gt;=$AO1564))&gt;0)*(ROW(職員マスタ!$A$6:$A$405)-5)))&gt;0,SUMPRODUCT(MAX((職員マスタ!$A$6:$A$405=$B1564)*(((職員マスタ!$G$6:$G$405="")+(職員マスタ!$G$6:$G$405&lt;=EOMONTH($AO1564,0)))&gt;0)*(((職員マスタ!$H$6:$H$405="")+(職員マスタ!$H$6:$H$405&gt;=$AO1564))&gt;0)*(ROW(職員マスタ!$A$6:$A$405)-5))),IFERROR(MATCH($B1564,職員マスタ!$A$6:$A$405,0),"")))</f>
        <v/>
      </c>
      <c r="AO1564" s="16">
        <f>IF(OR($B1564="",$C1564="",$D1564=""),"",DATE($C1564+2018,$D1564,1))</f>
        <v/>
      </c>
    </row>
    <row r="1565">
      <c r="A1565" s="11" t="n"/>
      <c r="B1565" s="12" t="n"/>
      <c r="C1565" s="12" t="n"/>
      <c r="D1565" s="12" t="n"/>
      <c r="E1565" s="13" t="n"/>
      <c r="F1565" s="12" t="n"/>
      <c r="G1565" s="13" t="n"/>
      <c r="H1565" s="12" t="n"/>
      <c r="I1565" s="12" t="n"/>
      <c r="J1565" s="12" t="n"/>
      <c r="K1565" s="12" t="n"/>
      <c r="L1565" s="11" t="n"/>
      <c r="M1565" s="11" t="n"/>
      <c r="N1565" s="11" t="n"/>
      <c r="O1565" s="11" t="n"/>
      <c r="P1565" s="12" t="n"/>
      <c r="Q1565" s="11" t="n"/>
      <c r="R1565" s="12" t="n"/>
      <c r="S1565" s="11" t="n"/>
      <c r="T1565" s="12" t="n"/>
      <c r="U1565" s="12" t="n"/>
      <c r="V1565" s="14">
        <f>IF($AN1565="",IF($B1565="","",$H1565),IF(INDEX(職員マスタ!$B$6:$B$405,$AN1565)="",$H1565,INDEX(職員マスタ!$B$6:$B$405,$AN1565)))</f>
        <v/>
      </c>
      <c r="W1565" s="14">
        <f>IF($AN1565="",IF($B1565="","",$R1565),IF(INDEX(職員マスタ!$C$6:$C$405,$AN1565)="",$R1565,INDEX(職員マスタ!$C$6:$C$405,$AN1565)))</f>
        <v/>
      </c>
      <c r="X1565" s="14">
        <f>IF($AO1565="","","R"&amp;$C1565&amp;"."&amp;$D1565)</f>
        <v/>
      </c>
      <c r="Y1565" s="15">
        <f>IF($AN1565="","",IF(INDEX(職員マスタ!$K$6:$K$405,$AN1565)="","",INDEX(職員マスタ!$K$6:$K$405,$AN1565)))</f>
        <v/>
      </c>
      <c r="Z1565" s="14">
        <f>IF(OR($E1565="",$Y1565=""),"",IF($E1565&gt;=$Y1565,"×",IF($E1565&gt;=$Y1565*設定!$C$5,"△","○")))</f>
        <v/>
      </c>
      <c r="AA1565" s="15">
        <f>IF($Z1565="","",IF($Z1565="×",0,IF($Z1565="○",ROUNDDOWN($E1565*設定!$C$4,0),ROUNDDOWN($E1565*ROUND((9*$Y1565-9*$E1565)/(10*$E1565),4),0))))</f>
        <v/>
      </c>
      <c r="AB1565" s="13" t="n"/>
      <c r="AC1565" s="15">
        <f>IF($B1565="","",IF($AB1565&lt;&gt;"",$AB1565,IF($AA1565="","",IF($AA1565&lt;=設定!$C$3,0,$AA1565))))</f>
        <v/>
      </c>
      <c r="AD1565" s="14">
        <f>IF($B1565="","",IF(AND($AE1565&lt;&gt;"",$AG1565="",$AJ1565=""),"保留中",IF($AJ1565&lt;&gt;"",IF(N($AC1565)&gt;0,"支給済","不支給"),IF($AC1565="","要確認",IF($AC1565=0,"不支給","未処理")))))</f>
        <v/>
      </c>
      <c r="AE1565" s="12" t="n"/>
      <c r="AF1565" s="11" t="n"/>
      <c r="AG1565" s="11" t="n"/>
      <c r="AH1565" s="11" t="n"/>
      <c r="AI1565" s="14">
        <f>IF(AND($AD1565="保留中",$AF1565&lt;&gt;""),TODAY()-$AF1565,"")</f>
        <v/>
      </c>
      <c r="AJ1565" s="12" t="n"/>
      <c r="AK1565" s="14">
        <f>IF($B1565="","",IF($AO1565="","対象年月が未入力／","")&amp;IF($B1565="","",IF($AN1565="","職員マスタに未登録の職員番号／",IF($Y1565="","標準報酬月額が未登録／","")&amp;IF(AND($AO1565&lt;&gt;"",OR(AND(INDEX(職員マスタ!$G$6:$G$405,$AN1565)&lt;&gt;"",INDEX(職員マスタ!$G$6:$G$405,$AN1565)&gt;EOMONTH($AO1565,0)),AND(INDEX(職員マスタ!$H$6:$H$405,$AN1565)&lt;&gt;"",INDEX(職員マスタ!$H$6:$H$405,$AN1565)&lt;$AO1565))),"対象月が時短期間外／","")&amp;IF(AND(INDEX(職員マスタ!$F$6:$F$405,$AN1565)&lt;&gt;"",$AO1565&lt;&gt;"",INDEX(職員マスタ!$F$6:$F$405,$AN1565)&lt;$AO1565),"対象月に子が2歳到達済／","")&amp;IF(AND($H1565&lt;&gt;"",INDEX(職員マスタ!$B$6:$B$405,$AN1565)&lt;&gt;"",SUBSTITUTE(SUBSTITUTE($H1565," ","")," ","")&lt;&gt;SUBSTITUTE(SUBSTITUTE(INDEX(職員マスタ!$B$6:$B$405,$AN1565)," ","")," ","")),"氏名がマスタと相違／","")&amp;IF(AND($Q1565&lt;&gt;"",INDEX(職員マスタ!$E$6:$E$405,$AN1565)&lt;&gt;"",$Q1565&lt;&gt;INDEX(職員マスタ!$E$6:$E$405,$AN1565)),"子の生年月日がマスタと相違／","")&amp;IF(AND($L1565&lt;&gt;"",INDEX(職員マスタ!$G$6:$G$405,$AN1565)&lt;&gt;"",$L1565&lt;&gt;INDEX(職員マスタ!$G$6:$G$405,$AN1565)),"時短開始日がマスタと相違／","")&amp;IF(AND($M1565&lt;&gt;"",INDEX(職員マスタ!$H$6:$H$405,$AN1565)&lt;&gt;"",$M1565&lt;&gt;INDEX(職員マスタ!$H$6:$H$405,$AN1565)),"時短終了日がマスタと相違／","")))&amp;IF(AND($B1565&lt;&gt;"",$E1565=""),"報酬額が未入力／","")&amp;IF(N($U1565)&gt;0,"申請書に入力エラーが残っています／","")&amp;IF(AND($B1565&lt;&gt;"",$AO1565&lt;&gt;""),IF(COUNTIFS($B$6:$B$3005,$B1565,$C$6:$C$3005,$C1565,$D$6:$D$3005,$D1565)&gt;1,"同じ月の請求が重複しています／",""),"")&amp;IF(AND(N($E1565)&gt;0,$Z1565&lt;&gt;"",$Z1565&lt;&gt;"×",$AC1565=0,$AB1565=""),"計算額が下限以下のため不支給／",""))</f>
        <v/>
      </c>
      <c r="AL1565" s="12" t="n"/>
      <c r="AM1565" s="14">
        <f>IF($AD1565="保留中",COUNTIF($AD$6:$AD1565,"保留中"),"")</f>
        <v/>
      </c>
      <c r="AN1565" s="14">
        <f>IF($AO1565="","",IF(SUMPRODUCT(MAX((職員マスタ!$A$6:$A$405=$B1565)*(((職員マスタ!$G$6:$G$405="")+(職員マスタ!$G$6:$G$405&lt;=EOMONTH($AO1565,0)))&gt;0)*(((職員マスタ!$H$6:$H$405="")+(職員マスタ!$H$6:$H$405&gt;=$AO1565))&gt;0)*(ROW(職員マスタ!$A$6:$A$405)-5)))&gt;0,SUMPRODUCT(MAX((職員マスタ!$A$6:$A$405=$B1565)*(((職員マスタ!$G$6:$G$405="")+(職員マスタ!$G$6:$G$405&lt;=EOMONTH($AO1565,0)))&gt;0)*(((職員マスタ!$H$6:$H$405="")+(職員マスタ!$H$6:$H$405&gt;=$AO1565))&gt;0)*(ROW(職員マスタ!$A$6:$A$405)-5))),IFERROR(MATCH($B1565,職員マスタ!$A$6:$A$405,0),"")))</f>
        <v/>
      </c>
      <c r="AO1565" s="16">
        <f>IF(OR($B1565="",$C1565="",$D1565=""),"",DATE($C1565+2018,$D1565,1))</f>
        <v/>
      </c>
    </row>
    <row r="1566">
      <c r="A1566" s="11" t="n"/>
      <c r="B1566" s="12" t="n"/>
      <c r="C1566" s="12" t="n"/>
      <c r="D1566" s="12" t="n"/>
      <c r="E1566" s="13" t="n"/>
      <c r="F1566" s="12" t="n"/>
      <c r="G1566" s="13" t="n"/>
      <c r="H1566" s="12" t="n"/>
      <c r="I1566" s="12" t="n"/>
      <c r="J1566" s="12" t="n"/>
      <c r="K1566" s="12" t="n"/>
      <c r="L1566" s="11" t="n"/>
      <c r="M1566" s="11" t="n"/>
      <c r="N1566" s="11" t="n"/>
      <c r="O1566" s="11" t="n"/>
      <c r="P1566" s="12" t="n"/>
      <c r="Q1566" s="11" t="n"/>
      <c r="R1566" s="12" t="n"/>
      <c r="S1566" s="11" t="n"/>
      <c r="T1566" s="12" t="n"/>
      <c r="U1566" s="12" t="n"/>
      <c r="V1566" s="14">
        <f>IF($AN1566="",IF($B1566="","",$H1566),IF(INDEX(職員マスタ!$B$6:$B$405,$AN1566)="",$H1566,INDEX(職員マスタ!$B$6:$B$405,$AN1566)))</f>
        <v/>
      </c>
      <c r="W1566" s="14">
        <f>IF($AN1566="",IF($B1566="","",$R1566),IF(INDEX(職員マスタ!$C$6:$C$405,$AN1566)="",$R1566,INDEX(職員マスタ!$C$6:$C$405,$AN1566)))</f>
        <v/>
      </c>
      <c r="X1566" s="14">
        <f>IF($AO1566="","","R"&amp;$C1566&amp;"."&amp;$D1566)</f>
        <v/>
      </c>
      <c r="Y1566" s="15">
        <f>IF($AN1566="","",IF(INDEX(職員マスタ!$K$6:$K$405,$AN1566)="","",INDEX(職員マスタ!$K$6:$K$405,$AN1566)))</f>
        <v/>
      </c>
      <c r="Z1566" s="14">
        <f>IF(OR($E1566="",$Y1566=""),"",IF($E1566&gt;=$Y1566,"×",IF($E1566&gt;=$Y1566*設定!$C$5,"△","○")))</f>
        <v/>
      </c>
      <c r="AA1566" s="15">
        <f>IF($Z1566="","",IF($Z1566="×",0,IF($Z1566="○",ROUNDDOWN($E1566*設定!$C$4,0),ROUNDDOWN($E1566*ROUND((9*$Y1566-9*$E1566)/(10*$E1566),4),0))))</f>
        <v/>
      </c>
      <c r="AB1566" s="13" t="n"/>
      <c r="AC1566" s="15">
        <f>IF($B1566="","",IF($AB1566&lt;&gt;"",$AB1566,IF($AA1566="","",IF($AA1566&lt;=設定!$C$3,0,$AA1566))))</f>
        <v/>
      </c>
      <c r="AD1566" s="14">
        <f>IF($B1566="","",IF(AND($AE1566&lt;&gt;"",$AG1566="",$AJ1566=""),"保留中",IF($AJ1566&lt;&gt;"",IF(N($AC1566)&gt;0,"支給済","不支給"),IF($AC1566="","要確認",IF($AC1566=0,"不支給","未処理")))))</f>
        <v/>
      </c>
      <c r="AE1566" s="12" t="n"/>
      <c r="AF1566" s="11" t="n"/>
      <c r="AG1566" s="11" t="n"/>
      <c r="AH1566" s="11" t="n"/>
      <c r="AI1566" s="14">
        <f>IF(AND($AD1566="保留中",$AF1566&lt;&gt;""),TODAY()-$AF1566,"")</f>
        <v/>
      </c>
      <c r="AJ1566" s="12" t="n"/>
      <c r="AK1566" s="14">
        <f>IF($B1566="","",IF($AO1566="","対象年月が未入力／","")&amp;IF($B1566="","",IF($AN1566="","職員マスタに未登録の職員番号／",IF($Y1566="","標準報酬月額が未登録／","")&amp;IF(AND($AO1566&lt;&gt;"",OR(AND(INDEX(職員マスタ!$G$6:$G$405,$AN1566)&lt;&gt;"",INDEX(職員マスタ!$G$6:$G$405,$AN1566)&gt;EOMONTH($AO1566,0)),AND(INDEX(職員マスタ!$H$6:$H$405,$AN1566)&lt;&gt;"",INDEX(職員マスタ!$H$6:$H$405,$AN1566)&lt;$AO1566))),"対象月が時短期間外／","")&amp;IF(AND(INDEX(職員マスタ!$F$6:$F$405,$AN1566)&lt;&gt;"",$AO1566&lt;&gt;"",INDEX(職員マスタ!$F$6:$F$405,$AN1566)&lt;$AO1566),"対象月に子が2歳到達済／","")&amp;IF(AND($H1566&lt;&gt;"",INDEX(職員マスタ!$B$6:$B$405,$AN1566)&lt;&gt;"",SUBSTITUTE(SUBSTITUTE($H1566," ","")," ","")&lt;&gt;SUBSTITUTE(SUBSTITUTE(INDEX(職員マスタ!$B$6:$B$405,$AN1566)," ","")," ","")),"氏名がマスタと相違／","")&amp;IF(AND($Q1566&lt;&gt;"",INDEX(職員マスタ!$E$6:$E$405,$AN1566)&lt;&gt;"",$Q1566&lt;&gt;INDEX(職員マスタ!$E$6:$E$405,$AN1566)),"子の生年月日がマスタと相違／","")&amp;IF(AND($L1566&lt;&gt;"",INDEX(職員マスタ!$G$6:$G$405,$AN1566)&lt;&gt;"",$L1566&lt;&gt;INDEX(職員マスタ!$G$6:$G$405,$AN1566)),"時短開始日がマスタと相違／","")&amp;IF(AND($M1566&lt;&gt;"",INDEX(職員マスタ!$H$6:$H$405,$AN1566)&lt;&gt;"",$M1566&lt;&gt;INDEX(職員マスタ!$H$6:$H$405,$AN1566)),"時短終了日がマスタと相違／","")))&amp;IF(AND($B1566&lt;&gt;"",$E1566=""),"報酬額が未入力／","")&amp;IF(N($U1566)&gt;0,"申請書に入力エラーが残っています／","")&amp;IF(AND($B1566&lt;&gt;"",$AO1566&lt;&gt;""),IF(COUNTIFS($B$6:$B$3005,$B1566,$C$6:$C$3005,$C1566,$D$6:$D$3005,$D1566)&gt;1,"同じ月の請求が重複しています／",""),"")&amp;IF(AND(N($E1566)&gt;0,$Z1566&lt;&gt;"",$Z1566&lt;&gt;"×",$AC1566=0,$AB1566=""),"計算額が下限以下のため不支給／",""))</f>
        <v/>
      </c>
      <c r="AL1566" s="12" t="n"/>
      <c r="AM1566" s="14">
        <f>IF($AD1566="保留中",COUNTIF($AD$6:$AD1566,"保留中"),"")</f>
        <v/>
      </c>
      <c r="AN1566" s="14">
        <f>IF($AO1566="","",IF(SUMPRODUCT(MAX((職員マスタ!$A$6:$A$405=$B1566)*(((職員マスタ!$G$6:$G$405="")+(職員マスタ!$G$6:$G$405&lt;=EOMONTH($AO1566,0)))&gt;0)*(((職員マスタ!$H$6:$H$405="")+(職員マスタ!$H$6:$H$405&gt;=$AO1566))&gt;0)*(ROW(職員マスタ!$A$6:$A$405)-5)))&gt;0,SUMPRODUCT(MAX((職員マスタ!$A$6:$A$405=$B1566)*(((職員マスタ!$G$6:$G$405="")+(職員マスタ!$G$6:$G$405&lt;=EOMONTH($AO1566,0)))&gt;0)*(((職員マスタ!$H$6:$H$405="")+(職員マスタ!$H$6:$H$405&gt;=$AO1566))&gt;0)*(ROW(職員マスタ!$A$6:$A$405)-5))),IFERROR(MATCH($B1566,職員マスタ!$A$6:$A$405,0),"")))</f>
        <v/>
      </c>
      <c r="AO1566" s="16">
        <f>IF(OR($B1566="",$C1566="",$D1566=""),"",DATE($C1566+2018,$D1566,1))</f>
        <v/>
      </c>
    </row>
    <row r="1567">
      <c r="A1567" s="11" t="n"/>
      <c r="B1567" s="12" t="n"/>
      <c r="C1567" s="12" t="n"/>
      <c r="D1567" s="12" t="n"/>
      <c r="E1567" s="13" t="n"/>
      <c r="F1567" s="12" t="n"/>
      <c r="G1567" s="13" t="n"/>
      <c r="H1567" s="12" t="n"/>
      <c r="I1567" s="12" t="n"/>
      <c r="J1567" s="12" t="n"/>
      <c r="K1567" s="12" t="n"/>
      <c r="L1567" s="11" t="n"/>
      <c r="M1567" s="11" t="n"/>
      <c r="N1567" s="11" t="n"/>
      <c r="O1567" s="11" t="n"/>
      <c r="P1567" s="12" t="n"/>
      <c r="Q1567" s="11" t="n"/>
      <c r="R1567" s="12" t="n"/>
      <c r="S1567" s="11" t="n"/>
      <c r="T1567" s="12" t="n"/>
      <c r="U1567" s="12" t="n"/>
      <c r="V1567" s="14">
        <f>IF($AN1567="",IF($B1567="","",$H1567),IF(INDEX(職員マスタ!$B$6:$B$405,$AN1567)="",$H1567,INDEX(職員マスタ!$B$6:$B$405,$AN1567)))</f>
        <v/>
      </c>
      <c r="W1567" s="14">
        <f>IF($AN1567="",IF($B1567="","",$R1567),IF(INDEX(職員マスタ!$C$6:$C$405,$AN1567)="",$R1567,INDEX(職員マスタ!$C$6:$C$405,$AN1567)))</f>
        <v/>
      </c>
      <c r="X1567" s="14">
        <f>IF($AO1567="","","R"&amp;$C1567&amp;"."&amp;$D1567)</f>
        <v/>
      </c>
      <c r="Y1567" s="15">
        <f>IF($AN1567="","",IF(INDEX(職員マスタ!$K$6:$K$405,$AN1567)="","",INDEX(職員マスタ!$K$6:$K$405,$AN1567)))</f>
        <v/>
      </c>
      <c r="Z1567" s="14">
        <f>IF(OR($E1567="",$Y1567=""),"",IF($E1567&gt;=$Y1567,"×",IF($E1567&gt;=$Y1567*設定!$C$5,"△","○")))</f>
        <v/>
      </c>
      <c r="AA1567" s="15">
        <f>IF($Z1567="","",IF($Z1567="×",0,IF($Z1567="○",ROUNDDOWN($E1567*設定!$C$4,0),ROUNDDOWN($E1567*ROUND((9*$Y1567-9*$E1567)/(10*$E1567),4),0))))</f>
        <v/>
      </c>
      <c r="AB1567" s="13" t="n"/>
      <c r="AC1567" s="15">
        <f>IF($B1567="","",IF($AB1567&lt;&gt;"",$AB1567,IF($AA1567="","",IF($AA1567&lt;=設定!$C$3,0,$AA1567))))</f>
        <v/>
      </c>
      <c r="AD1567" s="14">
        <f>IF($B1567="","",IF(AND($AE1567&lt;&gt;"",$AG1567="",$AJ1567=""),"保留中",IF($AJ1567&lt;&gt;"",IF(N($AC1567)&gt;0,"支給済","不支給"),IF($AC1567="","要確認",IF($AC1567=0,"不支給","未処理")))))</f>
        <v/>
      </c>
      <c r="AE1567" s="12" t="n"/>
      <c r="AF1567" s="11" t="n"/>
      <c r="AG1567" s="11" t="n"/>
      <c r="AH1567" s="11" t="n"/>
      <c r="AI1567" s="14">
        <f>IF(AND($AD1567="保留中",$AF1567&lt;&gt;""),TODAY()-$AF1567,"")</f>
        <v/>
      </c>
      <c r="AJ1567" s="12" t="n"/>
      <c r="AK1567" s="14">
        <f>IF($B1567="","",IF($AO1567="","対象年月が未入力／","")&amp;IF($B1567="","",IF($AN1567="","職員マスタに未登録の職員番号／",IF($Y1567="","標準報酬月額が未登録／","")&amp;IF(AND($AO1567&lt;&gt;"",OR(AND(INDEX(職員マスタ!$G$6:$G$405,$AN1567)&lt;&gt;"",INDEX(職員マスタ!$G$6:$G$405,$AN1567)&gt;EOMONTH($AO1567,0)),AND(INDEX(職員マスタ!$H$6:$H$405,$AN1567)&lt;&gt;"",INDEX(職員マスタ!$H$6:$H$405,$AN1567)&lt;$AO1567))),"対象月が時短期間外／","")&amp;IF(AND(INDEX(職員マスタ!$F$6:$F$405,$AN1567)&lt;&gt;"",$AO1567&lt;&gt;"",INDEX(職員マスタ!$F$6:$F$405,$AN1567)&lt;$AO1567),"対象月に子が2歳到達済／","")&amp;IF(AND($H1567&lt;&gt;"",INDEX(職員マスタ!$B$6:$B$405,$AN1567)&lt;&gt;"",SUBSTITUTE(SUBSTITUTE($H1567," ","")," ","")&lt;&gt;SUBSTITUTE(SUBSTITUTE(INDEX(職員マスタ!$B$6:$B$405,$AN1567)," ","")," ","")),"氏名がマスタと相違／","")&amp;IF(AND($Q1567&lt;&gt;"",INDEX(職員マスタ!$E$6:$E$405,$AN1567)&lt;&gt;"",$Q1567&lt;&gt;INDEX(職員マスタ!$E$6:$E$405,$AN1567)),"子の生年月日がマスタと相違／","")&amp;IF(AND($L1567&lt;&gt;"",INDEX(職員マスタ!$G$6:$G$405,$AN1567)&lt;&gt;"",$L1567&lt;&gt;INDEX(職員マスタ!$G$6:$G$405,$AN1567)),"時短開始日がマスタと相違／","")&amp;IF(AND($M1567&lt;&gt;"",INDEX(職員マスタ!$H$6:$H$405,$AN1567)&lt;&gt;"",$M1567&lt;&gt;INDEX(職員マスタ!$H$6:$H$405,$AN1567)),"時短終了日がマスタと相違／","")))&amp;IF(AND($B1567&lt;&gt;"",$E1567=""),"報酬額が未入力／","")&amp;IF(N($U1567)&gt;0,"申請書に入力エラーが残っています／","")&amp;IF(AND($B1567&lt;&gt;"",$AO1567&lt;&gt;""),IF(COUNTIFS($B$6:$B$3005,$B1567,$C$6:$C$3005,$C1567,$D$6:$D$3005,$D1567)&gt;1,"同じ月の請求が重複しています／",""),"")&amp;IF(AND(N($E1567)&gt;0,$Z1567&lt;&gt;"",$Z1567&lt;&gt;"×",$AC1567=0,$AB1567=""),"計算額が下限以下のため不支給／",""))</f>
        <v/>
      </c>
      <c r="AL1567" s="12" t="n"/>
      <c r="AM1567" s="14">
        <f>IF($AD1567="保留中",COUNTIF($AD$6:$AD1567,"保留中"),"")</f>
        <v/>
      </c>
      <c r="AN1567" s="14">
        <f>IF($AO1567="","",IF(SUMPRODUCT(MAX((職員マスタ!$A$6:$A$405=$B1567)*(((職員マスタ!$G$6:$G$405="")+(職員マスタ!$G$6:$G$405&lt;=EOMONTH($AO1567,0)))&gt;0)*(((職員マスタ!$H$6:$H$405="")+(職員マスタ!$H$6:$H$405&gt;=$AO1567))&gt;0)*(ROW(職員マスタ!$A$6:$A$405)-5)))&gt;0,SUMPRODUCT(MAX((職員マスタ!$A$6:$A$405=$B1567)*(((職員マスタ!$G$6:$G$405="")+(職員マスタ!$G$6:$G$405&lt;=EOMONTH($AO1567,0)))&gt;0)*(((職員マスタ!$H$6:$H$405="")+(職員マスタ!$H$6:$H$405&gt;=$AO1567))&gt;0)*(ROW(職員マスタ!$A$6:$A$405)-5))),IFERROR(MATCH($B1567,職員マスタ!$A$6:$A$405,0),"")))</f>
        <v/>
      </c>
      <c r="AO1567" s="16">
        <f>IF(OR($B1567="",$C1567="",$D1567=""),"",DATE($C1567+2018,$D1567,1))</f>
        <v/>
      </c>
    </row>
    <row r="1568">
      <c r="A1568" s="11" t="n"/>
      <c r="B1568" s="12" t="n"/>
      <c r="C1568" s="12" t="n"/>
      <c r="D1568" s="12" t="n"/>
      <c r="E1568" s="13" t="n"/>
      <c r="F1568" s="12" t="n"/>
      <c r="G1568" s="13" t="n"/>
      <c r="H1568" s="12" t="n"/>
      <c r="I1568" s="12" t="n"/>
      <c r="J1568" s="12" t="n"/>
      <c r="K1568" s="12" t="n"/>
      <c r="L1568" s="11" t="n"/>
      <c r="M1568" s="11" t="n"/>
      <c r="N1568" s="11" t="n"/>
      <c r="O1568" s="11" t="n"/>
      <c r="P1568" s="12" t="n"/>
      <c r="Q1568" s="11" t="n"/>
      <c r="R1568" s="12" t="n"/>
      <c r="S1568" s="11" t="n"/>
      <c r="T1568" s="12" t="n"/>
      <c r="U1568" s="12" t="n"/>
      <c r="V1568" s="14">
        <f>IF($AN1568="",IF($B1568="","",$H1568),IF(INDEX(職員マスタ!$B$6:$B$405,$AN1568)="",$H1568,INDEX(職員マスタ!$B$6:$B$405,$AN1568)))</f>
        <v/>
      </c>
      <c r="W1568" s="14">
        <f>IF($AN1568="",IF($B1568="","",$R1568),IF(INDEX(職員マスタ!$C$6:$C$405,$AN1568)="",$R1568,INDEX(職員マスタ!$C$6:$C$405,$AN1568)))</f>
        <v/>
      </c>
      <c r="X1568" s="14">
        <f>IF($AO1568="","","R"&amp;$C1568&amp;"."&amp;$D1568)</f>
        <v/>
      </c>
      <c r="Y1568" s="15">
        <f>IF($AN1568="","",IF(INDEX(職員マスタ!$K$6:$K$405,$AN1568)="","",INDEX(職員マスタ!$K$6:$K$405,$AN1568)))</f>
        <v/>
      </c>
      <c r="Z1568" s="14">
        <f>IF(OR($E1568="",$Y1568=""),"",IF($E1568&gt;=$Y1568,"×",IF($E1568&gt;=$Y1568*設定!$C$5,"△","○")))</f>
        <v/>
      </c>
      <c r="AA1568" s="15">
        <f>IF($Z1568="","",IF($Z1568="×",0,IF($Z1568="○",ROUNDDOWN($E1568*設定!$C$4,0),ROUNDDOWN($E1568*ROUND((9*$Y1568-9*$E1568)/(10*$E1568),4),0))))</f>
        <v/>
      </c>
      <c r="AB1568" s="13" t="n"/>
      <c r="AC1568" s="15">
        <f>IF($B1568="","",IF($AB1568&lt;&gt;"",$AB1568,IF($AA1568="","",IF($AA1568&lt;=設定!$C$3,0,$AA1568))))</f>
        <v/>
      </c>
      <c r="AD1568" s="14">
        <f>IF($B1568="","",IF(AND($AE1568&lt;&gt;"",$AG1568="",$AJ1568=""),"保留中",IF($AJ1568&lt;&gt;"",IF(N($AC1568)&gt;0,"支給済","不支給"),IF($AC1568="","要確認",IF($AC1568=0,"不支給","未処理")))))</f>
        <v/>
      </c>
      <c r="AE1568" s="12" t="n"/>
      <c r="AF1568" s="11" t="n"/>
      <c r="AG1568" s="11" t="n"/>
      <c r="AH1568" s="11" t="n"/>
      <c r="AI1568" s="14">
        <f>IF(AND($AD1568="保留中",$AF1568&lt;&gt;""),TODAY()-$AF1568,"")</f>
        <v/>
      </c>
      <c r="AJ1568" s="12" t="n"/>
      <c r="AK1568" s="14">
        <f>IF($B1568="","",IF($AO1568="","対象年月が未入力／","")&amp;IF($B1568="","",IF($AN1568="","職員マスタに未登録の職員番号／",IF($Y1568="","標準報酬月額が未登録／","")&amp;IF(AND($AO1568&lt;&gt;"",OR(AND(INDEX(職員マスタ!$G$6:$G$405,$AN1568)&lt;&gt;"",INDEX(職員マスタ!$G$6:$G$405,$AN1568)&gt;EOMONTH($AO1568,0)),AND(INDEX(職員マスタ!$H$6:$H$405,$AN1568)&lt;&gt;"",INDEX(職員マスタ!$H$6:$H$405,$AN1568)&lt;$AO1568))),"対象月が時短期間外／","")&amp;IF(AND(INDEX(職員マスタ!$F$6:$F$405,$AN1568)&lt;&gt;"",$AO1568&lt;&gt;"",INDEX(職員マスタ!$F$6:$F$405,$AN1568)&lt;$AO1568),"対象月に子が2歳到達済／","")&amp;IF(AND($H1568&lt;&gt;"",INDEX(職員マスタ!$B$6:$B$405,$AN1568)&lt;&gt;"",SUBSTITUTE(SUBSTITUTE($H1568," ","")," ","")&lt;&gt;SUBSTITUTE(SUBSTITUTE(INDEX(職員マスタ!$B$6:$B$405,$AN1568)," ","")," ","")),"氏名がマスタと相違／","")&amp;IF(AND($Q1568&lt;&gt;"",INDEX(職員マスタ!$E$6:$E$405,$AN1568)&lt;&gt;"",$Q1568&lt;&gt;INDEX(職員マスタ!$E$6:$E$405,$AN1568)),"子の生年月日がマスタと相違／","")&amp;IF(AND($L1568&lt;&gt;"",INDEX(職員マスタ!$G$6:$G$405,$AN1568)&lt;&gt;"",$L1568&lt;&gt;INDEX(職員マスタ!$G$6:$G$405,$AN1568)),"時短開始日がマスタと相違／","")&amp;IF(AND($M1568&lt;&gt;"",INDEX(職員マスタ!$H$6:$H$405,$AN1568)&lt;&gt;"",$M1568&lt;&gt;INDEX(職員マスタ!$H$6:$H$405,$AN1568)),"時短終了日がマスタと相違／","")))&amp;IF(AND($B1568&lt;&gt;"",$E1568=""),"報酬額が未入力／","")&amp;IF(N($U1568)&gt;0,"申請書に入力エラーが残っています／","")&amp;IF(AND($B1568&lt;&gt;"",$AO1568&lt;&gt;""),IF(COUNTIFS($B$6:$B$3005,$B1568,$C$6:$C$3005,$C1568,$D$6:$D$3005,$D1568)&gt;1,"同じ月の請求が重複しています／",""),"")&amp;IF(AND(N($E1568)&gt;0,$Z1568&lt;&gt;"",$Z1568&lt;&gt;"×",$AC1568=0,$AB1568=""),"計算額が下限以下のため不支給／",""))</f>
        <v/>
      </c>
      <c r="AL1568" s="12" t="n"/>
      <c r="AM1568" s="14">
        <f>IF($AD1568="保留中",COUNTIF($AD$6:$AD1568,"保留中"),"")</f>
        <v/>
      </c>
      <c r="AN1568" s="14">
        <f>IF($AO1568="","",IF(SUMPRODUCT(MAX((職員マスタ!$A$6:$A$405=$B1568)*(((職員マスタ!$G$6:$G$405="")+(職員マスタ!$G$6:$G$405&lt;=EOMONTH($AO1568,0)))&gt;0)*(((職員マスタ!$H$6:$H$405="")+(職員マスタ!$H$6:$H$405&gt;=$AO1568))&gt;0)*(ROW(職員マスタ!$A$6:$A$405)-5)))&gt;0,SUMPRODUCT(MAX((職員マスタ!$A$6:$A$405=$B1568)*(((職員マスタ!$G$6:$G$405="")+(職員マスタ!$G$6:$G$405&lt;=EOMONTH($AO1568,0)))&gt;0)*(((職員マスタ!$H$6:$H$405="")+(職員マスタ!$H$6:$H$405&gt;=$AO1568))&gt;0)*(ROW(職員マスタ!$A$6:$A$405)-5))),IFERROR(MATCH($B1568,職員マスタ!$A$6:$A$405,0),"")))</f>
        <v/>
      </c>
      <c r="AO1568" s="16">
        <f>IF(OR($B1568="",$C1568="",$D1568=""),"",DATE($C1568+2018,$D1568,1))</f>
        <v/>
      </c>
    </row>
    <row r="1569">
      <c r="A1569" s="11" t="n"/>
      <c r="B1569" s="12" t="n"/>
      <c r="C1569" s="12" t="n"/>
      <c r="D1569" s="12" t="n"/>
      <c r="E1569" s="13" t="n"/>
      <c r="F1569" s="12" t="n"/>
      <c r="G1569" s="13" t="n"/>
      <c r="H1569" s="12" t="n"/>
      <c r="I1569" s="12" t="n"/>
      <c r="J1569" s="12" t="n"/>
      <c r="K1569" s="12" t="n"/>
      <c r="L1569" s="11" t="n"/>
      <c r="M1569" s="11" t="n"/>
      <c r="N1569" s="11" t="n"/>
      <c r="O1569" s="11" t="n"/>
      <c r="P1569" s="12" t="n"/>
      <c r="Q1569" s="11" t="n"/>
      <c r="R1569" s="12" t="n"/>
      <c r="S1569" s="11" t="n"/>
      <c r="T1569" s="12" t="n"/>
      <c r="U1569" s="12" t="n"/>
      <c r="V1569" s="14">
        <f>IF($AN1569="",IF($B1569="","",$H1569),IF(INDEX(職員マスタ!$B$6:$B$405,$AN1569)="",$H1569,INDEX(職員マスタ!$B$6:$B$405,$AN1569)))</f>
        <v/>
      </c>
      <c r="W1569" s="14">
        <f>IF($AN1569="",IF($B1569="","",$R1569),IF(INDEX(職員マスタ!$C$6:$C$405,$AN1569)="",$R1569,INDEX(職員マスタ!$C$6:$C$405,$AN1569)))</f>
        <v/>
      </c>
      <c r="X1569" s="14">
        <f>IF($AO1569="","","R"&amp;$C1569&amp;"."&amp;$D1569)</f>
        <v/>
      </c>
      <c r="Y1569" s="15">
        <f>IF($AN1569="","",IF(INDEX(職員マスタ!$K$6:$K$405,$AN1569)="","",INDEX(職員マスタ!$K$6:$K$405,$AN1569)))</f>
        <v/>
      </c>
      <c r="Z1569" s="14">
        <f>IF(OR($E1569="",$Y1569=""),"",IF($E1569&gt;=$Y1569,"×",IF($E1569&gt;=$Y1569*設定!$C$5,"△","○")))</f>
        <v/>
      </c>
      <c r="AA1569" s="15">
        <f>IF($Z1569="","",IF($Z1569="×",0,IF($Z1569="○",ROUNDDOWN($E1569*設定!$C$4,0),ROUNDDOWN($E1569*ROUND((9*$Y1569-9*$E1569)/(10*$E1569),4),0))))</f>
        <v/>
      </c>
      <c r="AB1569" s="13" t="n"/>
      <c r="AC1569" s="15">
        <f>IF($B1569="","",IF($AB1569&lt;&gt;"",$AB1569,IF($AA1569="","",IF($AA1569&lt;=設定!$C$3,0,$AA1569))))</f>
        <v/>
      </c>
      <c r="AD1569" s="14">
        <f>IF($B1569="","",IF(AND($AE1569&lt;&gt;"",$AG1569="",$AJ1569=""),"保留中",IF($AJ1569&lt;&gt;"",IF(N($AC1569)&gt;0,"支給済","不支給"),IF($AC1569="","要確認",IF($AC1569=0,"不支給","未処理")))))</f>
        <v/>
      </c>
      <c r="AE1569" s="12" t="n"/>
      <c r="AF1569" s="11" t="n"/>
      <c r="AG1569" s="11" t="n"/>
      <c r="AH1569" s="11" t="n"/>
      <c r="AI1569" s="14">
        <f>IF(AND($AD1569="保留中",$AF1569&lt;&gt;""),TODAY()-$AF1569,"")</f>
        <v/>
      </c>
      <c r="AJ1569" s="12" t="n"/>
      <c r="AK1569" s="14">
        <f>IF($B1569="","",IF($AO1569="","対象年月が未入力／","")&amp;IF($B1569="","",IF($AN1569="","職員マスタに未登録の職員番号／",IF($Y1569="","標準報酬月額が未登録／","")&amp;IF(AND($AO1569&lt;&gt;"",OR(AND(INDEX(職員マスタ!$G$6:$G$405,$AN1569)&lt;&gt;"",INDEX(職員マスタ!$G$6:$G$405,$AN1569)&gt;EOMONTH($AO1569,0)),AND(INDEX(職員マスタ!$H$6:$H$405,$AN1569)&lt;&gt;"",INDEX(職員マスタ!$H$6:$H$405,$AN1569)&lt;$AO1569))),"対象月が時短期間外／","")&amp;IF(AND(INDEX(職員マスタ!$F$6:$F$405,$AN1569)&lt;&gt;"",$AO1569&lt;&gt;"",INDEX(職員マスタ!$F$6:$F$405,$AN1569)&lt;$AO1569),"対象月に子が2歳到達済／","")&amp;IF(AND($H1569&lt;&gt;"",INDEX(職員マスタ!$B$6:$B$405,$AN1569)&lt;&gt;"",SUBSTITUTE(SUBSTITUTE($H1569," ","")," ","")&lt;&gt;SUBSTITUTE(SUBSTITUTE(INDEX(職員マスタ!$B$6:$B$405,$AN1569)," ","")," ","")),"氏名がマスタと相違／","")&amp;IF(AND($Q1569&lt;&gt;"",INDEX(職員マスタ!$E$6:$E$405,$AN1569)&lt;&gt;"",$Q1569&lt;&gt;INDEX(職員マスタ!$E$6:$E$405,$AN1569)),"子の生年月日がマスタと相違／","")&amp;IF(AND($L1569&lt;&gt;"",INDEX(職員マスタ!$G$6:$G$405,$AN1569)&lt;&gt;"",$L1569&lt;&gt;INDEX(職員マスタ!$G$6:$G$405,$AN1569)),"時短開始日がマスタと相違／","")&amp;IF(AND($M1569&lt;&gt;"",INDEX(職員マスタ!$H$6:$H$405,$AN1569)&lt;&gt;"",$M1569&lt;&gt;INDEX(職員マスタ!$H$6:$H$405,$AN1569)),"時短終了日がマスタと相違／","")))&amp;IF(AND($B1569&lt;&gt;"",$E1569=""),"報酬額が未入力／","")&amp;IF(N($U1569)&gt;0,"申請書に入力エラーが残っています／","")&amp;IF(AND($B1569&lt;&gt;"",$AO1569&lt;&gt;""),IF(COUNTIFS($B$6:$B$3005,$B1569,$C$6:$C$3005,$C1569,$D$6:$D$3005,$D1569)&gt;1,"同じ月の請求が重複しています／",""),"")&amp;IF(AND(N($E1569)&gt;0,$Z1569&lt;&gt;"",$Z1569&lt;&gt;"×",$AC1569=0,$AB1569=""),"計算額が下限以下のため不支給／",""))</f>
        <v/>
      </c>
      <c r="AL1569" s="12" t="n"/>
      <c r="AM1569" s="14">
        <f>IF($AD1569="保留中",COUNTIF($AD$6:$AD1569,"保留中"),"")</f>
        <v/>
      </c>
      <c r="AN1569" s="14">
        <f>IF($AO1569="","",IF(SUMPRODUCT(MAX((職員マスタ!$A$6:$A$405=$B1569)*(((職員マスタ!$G$6:$G$405="")+(職員マスタ!$G$6:$G$405&lt;=EOMONTH($AO1569,0)))&gt;0)*(((職員マスタ!$H$6:$H$405="")+(職員マスタ!$H$6:$H$405&gt;=$AO1569))&gt;0)*(ROW(職員マスタ!$A$6:$A$405)-5)))&gt;0,SUMPRODUCT(MAX((職員マスタ!$A$6:$A$405=$B1569)*(((職員マスタ!$G$6:$G$405="")+(職員マスタ!$G$6:$G$405&lt;=EOMONTH($AO1569,0)))&gt;0)*(((職員マスタ!$H$6:$H$405="")+(職員マスタ!$H$6:$H$405&gt;=$AO1569))&gt;0)*(ROW(職員マスタ!$A$6:$A$405)-5))),IFERROR(MATCH($B1569,職員マスタ!$A$6:$A$405,0),"")))</f>
        <v/>
      </c>
      <c r="AO1569" s="16">
        <f>IF(OR($B1569="",$C1569="",$D1569=""),"",DATE($C1569+2018,$D1569,1))</f>
        <v/>
      </c>
    </row>
    <row r="1570">
      <c r="A1570" s="11" t="n"/>
      <c r="B1570" s="12" t="n"/>
      <c r="C1570" s="12" t="n"/>
      <c r="D1570" s="12" t="n"/>
      <c r="E1570" s="13" t="n"/>
      <c r="F1570" s="12" t="n"/>
      <c r="G1570" s="13" t="n"/>
      <c r="H1570" s="12" t="n"/>
      <c r="I1570" s="12" t="n"/>
      <c r="J1570" s="12" t="n"/>
      <c r="K1570" s="12" t="n"/>
      <c r="L1570" s="11" t="n"/>
      <c r="M1570" s="11" t="n"/>
      <c r="N1570" s="11" t="n"/>
      <c r="O1570" s="11" t="n"/>
      <c r="P1570" s="12" t="n"/>
      <c r="Q1570" s="11" t="n"/>
      <c r="R1570" s="12" t="n"/>
      <c r="S1570" s="11" t="n"/>
      <c r="T1570" s="12" t="n"/>
      <c r="U1570" s="12" t="n"/>
      <c r="V1570" s="14">
        <f>IF($AN1570="",IF($B1570="","",$H1570),IF(INDEX(職員マスタ!$B$6:$B$405,$AN1570)="",$H1570,INDEX(職員マスタ!$B$6:$B$405,$AN1570)))</f>
        <v/>
      </c>
      <c r="W1570" s="14">
        <f>IF($AN1570="",IF($B1570="","",$R1570),IF(INDEX(職員マスタ!$C$6:$C$405,$AN1570)="",$R1570,INDEX(職員マスタ!$C$6:$C$405,$AN1570)))</f>
        <v/>
      </c>
      <c r="X1570" s="14">
        <f>IF($AO1570="","","R"&amp;$C1570&amp;"."&amp;$D1570)</f>
        <v/>
      </c>
      <c r="Y1570" s="15">
        <f>IF($AN1570="","",IF(INDEX(職員マスタ!$K$6:$K$405,$AN1570)="","",INDEX(職員マスタ!$K$6:$K$405,$AN1570)))</f>
        <v/>
      </c>
      <c r="Z1570" s="14">
        <f>IF(OR($E1570="",$Y1570=""),"",IF($E1570&gt;=$Y1570,"×",IF($E1570&gt;=$Y1570*設定!$C$5,"△","○")))</f>
        <v/>
      </c>
      <c r="AA1570" s="15">
        <f>IF($Z1570="","",IF($Z1570="×",0,IF($Z1570="○",ROUNDDOWN($E1570*設定!$C$4,0),ROUNDDOWN($E1570*ROUND((9*$Y1570-9*$E1570)/(10*$E1570),4),0))))</f>
        <v/>
      </c>
      <c r="AB1570" s="13" t="n"/>
      <c r="AC1570" s="15">
        <f>IF($B1570="","",IF($AB1570&lt;&gt;"",$AB1570,IF($AA1570="","",IF($AA1570&lt;=設定!$C$3,0,$AA1570))))</f>
        <v/>
      </c>
      <c r="AD1570" s="14">
        <f>IF($B1570="","",IF(AND($AE1570&lt;&gt;"",$AG1570="",$AJ1570=""),"保留中",IF($AJ1570&lt;&gt;"",IF(N($AC1570)&gt;0,"支給済","不支給"),IF($AC1570="","要確認",IF($AC1570=0,"不支給","未処理")))))</f>
        <v/>
      </c>
      <c r="AE1570" s="12" t="n"/>
      <c r="AF1570" s="11" t="n"/>
      <c r="AG1570" s="11" t="n"/>
      <c r="AH1570" s="11" t="n"/>
      <c r="AI1570" s="14">
        <f>IF(AND($AD1570="保留中",$AF1570&lt;&gt;""),TODAY()-$AF1570,"")</f>
        <v/>
      </c>
      <c r="AJ1570" s="12" t="n"/>
      <c r="AK1570" s="14">
        <f>IF($B1570="","",IF($AO1570="","対象年月が未入力／","")&amp;IF($B1570="","",IF($AN1570="","職員マスタに未登録の職員番号／",IF($Y1570="","標準報酬月額が未登録／","")&amp;IF(AND($AO1570&lt;&gt;"",OR(AND(INDEX(職員マスタ!$G$6:$G$405,$AN1570)&lt;&gt;"",INDEX(職員マスタ!$G$6:$G$405,$AN1570)&gt;EOMONTH($AO1570,0)),AND(INDEX(職員マスタ!$H$6:$H$405,$AN1570)&lt;&gt;"",INDEX(職員マスタ!$H$6:$H$405,$AN1570)&lt;$AO1570))),"対象月が時短期間外／","")&amp;IF(AND(INDEX(職員マスタ!$F$6:$F$405,$AN1570)&lt;&gt;"",$AO1570&lt;&gt;"",INDEX(職員マスタ!$F$6:$F$405,$AN1570)&lt;$AO1570),"対象月に子が2歳到達済／","")&amp;IF(AND($H1570&lt;&gt;"",INDEX(職員マスタ!$B$6:$B$405,$AN1570)&lt;&gt;"",SUBSTITUTE(SUBSTITUTE($H1570," ","")," ","")&lt;&gt;SUBSTITUTE(SUBSTITUTE(INDEX(職員マスタ!$B$6:$B$405,$AN1570)," ","")," ","")),"氏名がマスタと相違／","")&amp;IF(AND($Q1570&lt;&gt;"",INDEX(職員マスタ!$E$6:$E$405,$AN1570)&lt;&gt;"",$Q1570&lt;&gt;INDEX(職員マスタ!$E$6:$E$405,$AN1570)),"子の生年月日がマスタと相違／","")&amp;IF(AND($L1570&lt;&gt;"",INDEX(職員マスタ!$G$6:$G$405,$AN1570)&lt;&gt;"",$L1570&lt;&gt;INDEX(職員マスタ!$G$6:$G$405,$AN1570)),"時短開始日がマスタと相違／","")&amp;IF(AND($M1570&lt;&gt;"",INDEX(職員マスタ!$H$6:$H$405,$AN1570)&lt;&gt;"",$M1570&lt;&gt;INDEX(職員マスタ!$H$6:$H$405,$AN1570)),"時短終了日がマスタと相違／","")))&amp;IF(AND($B1570&lt;&gt;"",$E1570=""),"報酬額が未入力／","")&amp;IF(N($U1570)&gt;0,"申請書に入力エラーが残っています／","")&amp;IF(AND($B1570&lt;&gt;"",$AO1570&lt;&gt;""),IF(COUNTIFS($B$6:$B$3005,$B1570,$C$6:$C$3005,$C1570,$D$6:$D$3005,$D1570)&gt;1,"同じ月の請求が重複しています／",""),"")&amp;IF(AND(N($E1570)&gt;0,$Z1570&lt;&gt;"",$Z1570&lt;&gt;"×",$AC1570=0,$AB1570=""),"計算額が下限以下のため不支給／",""))</f>
        <v/>
      </c>
      <c r="AL1570" s="12" t="n"/>
      <c r="AM1570" s="14">
        <f>IF($AD1570="保留中",COUNTIF($AD$6:$AD1570,"保留中"),"")</f>
        <v/>
      </c>
      <c r="AN1570" s="14">
        <f>IF($AO1570="","",IF(SUMPRODUCT(MAX((職員マスタ!$A$6:$A$405=$B1570)*(((職員マスタ!$G$6:$G$405="")+(職員マスタ!$G$6:$G$405&lt;=EOMONTH($AO1570,0)))&gt;0)*(((職員マスタ!$H$6:$H$405="")+(職員マスタ!$H$6:$H$405&gt;=$AO1570))&gt;0)*(ROW(職員マスタ!$A$6:$A$405)-5)))&gt;0,SUMPRODUCT(MAX((職員マスタ!$A$6:$A$405=$B1570)*(((職員マスタ!$G$6:$G$405="")+(職員マスタ!$G$6:$G$405&lt;=EOMONTH($AO1570,0)))&gt;0)*(((職員マスタ!$H$6:$H$405="")+(職員マスタ!$H$6:$H$405&gt;=$AO1570))&gt;0)*(ROW(職員マスタ!$A$6:$A$405)-5))),IFERROR(MATCH($B1570,職員マスタ!$A$6:$A$405,0),"")))</f>
        <v/>
      </c>
      <c r="AO1570" s="16">
        <f>IF(OR($B1570="",$C1570="",$D1570=""),"",DATE($C1570+2018,$D1570,1))</f>
        <v/>
      </c>
    </row>
    <row r="1571">
      <c r="A1571" s="11" t="n"/>
      <c r="B1571" s="12" t="n"/>
      <c r="C1571" s="12" t="n"/>
      <c r="D1571" s="12" t="n"/>
      <c r="E1571" s="13" t="n"/>
      <c r="F1571" s="12" t="n"/>
      <c r="G1571" s="13" t="n"/>
      <c r="H1571" s="12" t="n"/>
      <c r="I1571" s="12" t="n"/>
      <c r="J1571" s="12" t="n"/>
      <c r="K1571" s="12" t="n"/>
      <c r="L1571" s="11" t="n"/>
      <c r="M1571" s="11" t="n"/>
      <c r="N1571" s="11" t="n"/>
      <c r="O1571" s="11" t="n"/>
      <c r="P1571" s="12" t="n"/>
      <c r="Q1571" s="11" t="n"/>
      <c r="R1571" s="12" t="n"/>
      <c r="S1571" s="11" t="n"/>
      <c r="T1571" s="12" t="n"/>
      <c r="U1571" s="12" t="n"/>
      <c r="V1571" s="14">
        <f>IF($AN1571="",IF($B1571="","",$H1571),IF(INDEX(職員マスタ!$B$6:$B$405,$AN1571)="",$H1571,INDEX(職員マスタ!$B$6:$B$405,$AN1571)))</f>
        <v/>
      </c>
      <c r="W1571" s="14">
        <f>IF($AN1571="",IF($B1571="","",$R1571),IF(INDEX(職員マスタ!$C$6:$C$405,$AN1571)="",$R1571,INDEX(職員マスタ!$C$6:$C$405,$AN1571)))</f>
        <v/>
      </c>
      <c r="X1571" s="14">
        <f>IF($AO1571="","","R"&amp;$C1571&amp;"."&amp;$D1571)</f>
        <v/>
      </c>
      <c r="Y1571" s="15">
        <f>IF($AN1571="","",IF(INDEX(職員マスタ!$K$6:$K$405,$AN1571)="","",INDEX(職員マスタ!$K$6:$K$405,$AN1571)))</f>
        <v/>
      </c>
      <c r="Z1571" s="14">
        <f>IF(OR($E1571="",$Y1571=""),"",IF($E1571&gt;=$Y1571,"×",IF($E1571&gt;=$Y1571*設定!$C$5,"△","○")))</f>
        <v/>
      </c>
      <c r="AA1571" s="15">
        <f>IF($Z1571="","",IF($Z1571="×",0,IF($Z1571="○",ROUNDDOWN($E1571*設定!$C$4,0),ROUNDDOWN($E1571*ROUND((9*$Y1571-9*$E1571)/(10*$E1571),4),0))))</f>
        <v/>
      </c>
      <c r="AB1571" s="13" t="n"/>
      <c r="AC1571" s="15">
        <f>IF($B1571="","",IF($AB1571&lt;&gt;"",$AB1571,IF($AA1571="","",IF($AA1571&lt;=設定!$C$3,0,$AA1571))))</f>
        <v/>
      </c>
      <c r="AD1571" s="14">
        <f>IF($B1571="","",IF(AND($AE1571&lt;&gt;"",$AG1571="",$AJ1571=""),"保留中",IF($AJ1571&lt;&gt;"",IF(N($AC1571)&gt;0,"支給済","不支給"),IF($AC1571="","要確認",IF($AC1571=0,"不支給","未処理")))))</f>
        <v/>
      </c>
      <c r="AE1571" s="12" t="n"/>
      <c r="AF1571" s="11" t="n"/>
      <c r="AG1571" s="11" t="n"/>
      <c r="AH1571" s="11" t="n"/>
      <c r="AI1571" s="14">
        <f>IF(AND($AD1571="保留中",$AF1571&lt;&gt;""),TODAY()-$AF1571,"")</f>
        <v/>
      </c>
      <c r="AJ1571" s="12" t="n"/>
      <c r="AK1571" s="14">
        <f>IF($B1571="","",IF($AO1571="","対象年月が未入力／","")&amp;IF($B1571="","",IF($AN1571="","職員マスタに未登録の職員番号／",IF($Y1571="","標準報酬月額が未登録／","")&amp;IF(AND($AO1571&lt;&gt;"",OR(AND(INDEX(職員マスタ!$G$6:$G$405,$AN1571)&lt;&gt;"",INDEX(職員マスタ!$G$6:$G$405,$AN1571)&gt;EOMONTH($AO1571,0)),AND(INDEX(職員マスタ!$H$6:$H$405,$AN1571)&lt;&gt;"",INDEX(職員マスタ!$H$6:$H$405,$AN1571)&lt;$AO1571))),"対象月が時短期間外／","")&amp;IF(AND(INDEX(職員マスタ!$F$6:$F$405,$AN1571)&lt;&gt;"",$AO1571&lt;&gt;"",INDEX(職員マスタ!$F$6:$F$405,$AN1571)&lt;$AO1571),"対象月に子が2歳到達済／","")&amp;IF(AND($H1571&lt;&gt;"",INDEX(職員マスタ!$B$6:$B$405,$AN1571)&lt;&gt;"",SUBSTITUTE(SUBSTITUTE($H1571," ","")," ","")&lt;&gt;SUBSTITUTE(SUBSTITUTE(INDEX(職員マスタ!$B$6:$B$405,$AN1571)," ","")," ","")),"氏名がマスタと相違／","")&amp;IF(AND($Q1571&lt;&gt;"",INDEX(職員マスタ!$E$6:$E$405,$AN1571)&lt;&gt;"",$Q1571&lt;&gt;INDEX(職員マスタ!$E$6:$E$405,$AN1571)),"子の生年月日がマスタと相違／","")&amp;IF(AND($L1571&lt;&gt;"",INDEX(職員マスタ!$G$6:$G$405,$AN1571)&lt;&gt;"",$L1571&lt;&gt;INDEX(職員マスタ!$G$6:$G$405,$AN1571)),"時短開始日がマスタと相違／","")&amp;IF(AND($M1571&lt;&gt;"",INDEX(職員マスタ!$H$6:$H$405,$AN1571)&lt;&gt;"",$M1571&lt;&gt;INDEX(職員マスタ!$H$6:$H$405,$AN1571)),"時短終了日がマスタと相違／","")))&amp;IF(AND($B1571&lt;&gt;"",$E1571=""),"報酬額が未入力／","")&amp;IF(N($U1571)&gt;0,"申請書に入力エラーが残っています／","")&amp;IF(AND($B1571&lt;&gt;"",$AO1571&lt;&gt;""),IF(COUNTIFS($B$6:$B$3005,$B1571,$C$6:$C$3005,$C1571,$D$6:$D$3005,$D1571)&gt;1,"同じ月の請求が重複しています／",""),"")&amp;IF(AND(N($E1571)&gt;0,$Z1571&lt;&gt;"",$Z1571&lt;&gt;"×",$AC1571=0,$AB1571=""),"計算額が下限以下のため不支給／",""))</f>
        <v/>
      </c>
      <c r="AL1571" s="12" t="n"/>
      <c r="AM1571" s="14">
        <f>IF($AD1571="保留中",COUNTIF($AD$6:$AD1571,"保留中"),"")</f>
        <v/>
      </c>
      <c r="AN1571" s="14">
        <f>IF($AO1571="","",IF(SUMPRODUCT(MAX((職員マスタ!$A$6:$A$405=$B1571)*(((職員マスタ!$G$6:$G$405="")+(職員マスタ!$G$6:$G$405&lt;=EOMONTH($AO1571,0)))&gt;0)*(((職員マスタ!$H$6:$H$405="")+(職員マスタ!$H$6:$H$405&gt;=$AO1571))&gt;0)*(ROW(職員マスタ!$A$6:$A$405)-5)))&gt;0,SUMPRODUCT(MAX((職員マスタ!$A$6:$A$405=$B1571)*(((職員マスタ!$G$6:$G$405="")+(職員マスタ!$G$6:$G$405&lt;=EOMONTH($AO1571,0)))&gt;0)*(((職員マスタ!$H$6:$H$405="")+(職員マスタ!$H$6:$H$405&gt;=$AO1571))&gt;0)*(ROW(職員マスタ!$A$6:$A$405)-5))),IFERROR(MATCH($B1571,職員マスタ!$A$6:$A$405,0),"")))</f>
        <v/>
      </c>
      <c r="AO1571" s="16">
        <f>IF(OR($B1571="",$C1571="",$D1571=""),"",DATE($C1571+2018,$D1571,1))</f>
        <v/>
      </c>
    </row>
    <row r="1572">
      <c r="A1572" s="11" t="n"/>
      <c r="B1572" s="12" t="n"/>
      <c r="C1572" s="12" t="n"/>
      <c r="D1572" s="12" t="n"/>
      <c r="E1572" s="13" t="n"/>
      <c r="F1572" s="12" t="n"/>
      <c r="G1572" s="13" t="n"/>
      <c r="H1572" s="12" t="n"/>
      <c r="I1572" s="12" t="n"/>
      <c r="J1572" s="12" t="n"/>
      <c r="K1572" s="12" t="n"/>
      <c r="L1572" s="11" t="n"/>
      <c r="M1572" s="11" t="n"/>
      <c r="N1572" s="11" t="n"/>
      <c r="O1572" s="11" t="n"/>
      <c r="P1572" s="12" t="n"/>
      <c r="Q1572" s="11" t="n"/>
      <c r="R1572" s="12" t="n"/>
      <c r="S1572" s="11" t="n"/>
      <c r="T1572" s="12" t="n"/>
      <c r="U1572" s="12" t="n"/>
      <c r="V1572" s="14">
        <f>IF($AN1572="",IF($B1572="","",$H1572),IF(INDEX(職員マスタ!$B$6:$B$405,$AN1572)="",$H1572,INDEX(職員マスタ!$B$6:$B$405,$AN1572)))</f>
        <v/>
      </c>
      <c r="W1572" s="14">
        <f>IF($AN1572="",IF($B1572="","",$R1572),IF(INDEX(職員マスタ!$C$6:$C$405,$AN1572)="",$R1572,INDEX(職員マスタ!$C$6:$C$405,$AN1572)))</f>
        <v/>
      </c>
      <c r="X1572" s="14">
        <f>IF($AO1572="","","R"&amp;$C1572&amp;"."&amp;$D1572)</f>
        <v/>
      </c>
      <c r="Y1572" s="15">
        <f>IF($AN1572="","",IF(INDEX(職員マスタ!$K$6:$K$405,$AN1572)="","",INDEX(職員マスタ!$K$6:$K$405,$AN1572)))</f>
        <v/>
      </c>
      <c r="Z1572" s="14">
        <f>IF(OR($E1572="",$Y1572=""),"",IF($E1572&gt;=$Y1572,"×",IF($E1572&gt;=$Y1572*設定!$C$5,"△","○")))</f>
        <v/>
      </c>
      <c r="AA1572" s="15">
        <f>IF($Z1572="","",IF($Z1572="×",0,IF($Z1572="○",ROUNDDOWN($E1572*設定!$C$4,0),ROUNDDOWN($E1572*ROUND((9*$Y1572-9*$E1572)/(10*$E1572),4),0))))</f>
        <v/>
      </c>
      <c r="AB1572" s="13" t="n"/>
      <c r="AC1572" s="15">
        <f>IF($B1572="","",IF($AB1572&lt;&gt;"",$AB1572,IF($AA1572="","",IF($AA1572&lt;=設定!$C$3,0,$AA1572))))</f>
        <v/>
      </c>
      <c r="AD1572" s="14">
        <f>IF($B1572="","",IF(AND($AE1572&lt;&gt;"",$AG1572="",$AJ1572=""),"保留中",IF($AJ1572&lt;&gt;"",IF(N($AC1572)&gt;0,"支給済","不支給"),IF($AC1572="","要確認",IF($AC1572=0,"不支給","未処理")))))</f>
        <v/>
      </c>
      <c r="AE1572" s="12" t="n"/>
      <c r="AF1572" s="11" t="n"/>
      <c r="AG1572" s="11" t="n"/>
      <c r="AH1572" s="11" t="n"/>
      <c r="AI1572" s="14">
        <f>IF(AND($AD1572="保留中",$AF1572&lt;&gt;""),TODAY()-$AF1572,"")</f>
        <v/>
      </c>
      <c r="AJ1572" s="12" t="n"/>
      <c r="AK1572" s="14">
        <f>IF($B1572="","",IF($AO1572="","対象年月が未入力／","")&amp;IF($B1572="","",IF($AN1572="","職員マスタに未登録の職員番号／",IF($Y1572="","標準報酬月額が未登録／","")&amp;IF(AND($AO1572&lt;&gt;"",OR(AND(INDEX(職員マスタ!$G$6:$G$405,$AN1572)&lt;&gt;"",INDEX(職員マスタ!$G$6:$G$405,$AN1572)&gt;EOMONTH($AO1572,0)),AND(INDEX(職員マスタ!$H$6:$H$405,$AN1572)&lt;&gt;"",INDEX(職員マスタ!$H$6:$H$405,$AN1572)&lt;$AO1572))),"対象月が時短期間外／","")&amp;IF(AND(INDEX(職員マスタ!$F$6:$F$405,$AN1572)&lt;&gt;"",$AO1572&lt;&gt;"",INDEX(職員マスタ!$F$6:$F$405,$AN1572)&lt;$AO1572),"対象月に子が2歳到達済／","")&amp;IF(AND($H1572&lt;&gt;"",INDEX(職員マスタ!$B$6:$B$405,$AN1572)&lt;&gt;"",SUBSTITUTE(SUBSTITUTE($H1572," ","")," ","")&lt;&gt;SUBSTITUTE(SUBSTITUTE(INDEX(職員マスタ!$B$6:$B$405,$AN1572)," ","")," ","")),"氏名がマスタと相違／","")&amp;IF(AND($Q1572&lt;&gt;"",INDEX(職員マスタ!$E$6:$E$405,$AN1572)&lt;&gt;"",$Q1572&lt;&gt;INDEX(職員マスタ!$E$6:$E$405,$AN1572)),"子の生年月日がマスタと相違／","")&amp;IF(AND($L1572&lt;&gt;"",INDEX(職員マスタ!$G$6:$G$405,$AN1572)&lt;&gt;"",$L1572&lt;&gt;INDEX(職員マスタ!$G$6:$G$405,$AN1572)),"時短開始日がマスタと相違／","")&amp;IF(AND($M1572&lt;&gt;"",INDEX(職員マスタ!$H$6:$H$405,$AN1572)&lt;&gt;"",$M1572&lt;&gt;INDEX(職員マスタ!$H$6:$H$405,$AN1572)),"時短終了日がマスタと相違／","")))&amp;IF(AND($B1572&lt;&gt;"",$E1572=""),"報酬額が未入力／","")&amp;IF(N($U1572)&gt;0,"申請書に入力エラーが残っています／","")&amp;IF(AND($B1572&lt;&gt;"",$AO1572&lt;&gt;""),IF(COUNTIFS($B$6:$B$3005,$B1572,$C$6:$C$3005,$C1572,$D$6:$D$3005,$D1572)&gt;1,"同じ月の請求が重複しています／",""),"")&amp;IF(AND(N($E1572)&gt;0,$Z1572&lt;&gt;"",$Z1572&lt;&gt;"×",$AC1572=0,$AB1572=""),"計算額が下限以下のため不支給／",""))</f>
        <v/>
      </c>
      <c r="AL1572" s="12" t="n"/>
      <c r="AM1572" s="14">
        <f>IF($AD1572="保留中",COUNTIF($AD$6:$AD1572,"保留中"),"")</f>
        <v/>
      </c>
      <c r="AN1572" s="14">
        <f>IF($AO1572="","",IF(SUMPRODUCT(MAX((職員マスタ!$A$6:$A$405=$B1572)*(((職員マスタ!$G$6:$G$405="")+(職員マスタ!$G$6:$G$405&lt;=EOMONTH($AO1572,0)))&gt;0)*(((職員マスタ!$H$6:$H$405="")+(職員マスタ!$H$6:$H$405&gt;=$AO1572))&gt;0)*(ROW(職員マスタ!$A$6:$A$405)-5)))&gt;0,SUMPRODUCT(MAX((職員マスタ!$A$6:$A$405=$B1572)*(((職員マスタ!$G$6:$G$405="")+(職員マスタ!$G$6:$G$405&lt;=EOMONTH($AO1572,0)))&gt;0)*(((職員マスタ!$H$6:$H$405="")+(職員マスタ!$H$6:$H$405&gt;=$AO1572))&gt;0)*(ROW(職員マスタ!$A$6:$A$405)-5))),IFERROR(MATCH($B1572,職員マスタ!$A$6:$A$405,0),"")))</f>
        <v/>
      </c>
      <c r="AO1572" s="16">
        <f>IF(OR($B1572="",$C1572="",$D1572=""),"",DATE($C1572+2018,$D1572,1))</f>
        <v/>
      </c>
    </row>
    <row r="1573">
      <c r="A1573" s="11" t="n"/>
      <c r="B1573" s="12" t="n"/>
      <c r="C1573" s="12" t="n"/>
      <c r="D1573" s="12" t="n"/>
      <c r="E1573" s="13" t="n"/>
      <c r="F1573" s="12" t="n"/>
      <c r="G1573" s="13" t="n"/>
      <c r="H1573" s="12" t="n"/>
      <c r="I1573" s="12" t="n"/>
      <c r="J1573" s="12" t="n"/>
      <c r="K1573" s="12" t="n"/>
      <c r="L1573" s="11" t="n"/>
      <c r="M1573" s="11" t="n"/>
      <c r="N1573" s="11" t="n"/>
      <c r="O1573" s="11" t="n"/>
      <c r="P1573" s="12" t="n"/>
      <c r="Q1573" s="11" t="n"/>
      <c r="R1573" s="12" t="n"/>
      <c r="S1573" s="11" t="n"/>
      <c r="T1573" s="12" t="n"/>
      <c r="U1573" s="12" t="n"/>
      <c r="V1573" s="14">
        <f>IF($AN1573="",IF($B1573="","",$H1573),IF(INDEX(職員マスタ!$B$6:$B$405,$AN1573)="",$H1573,INDEX(職員マスタ!$B$6:$B$405,$AN1573)))</f>
        <v/>
      </c>
      <c r="W1573" s="14">
        <f>IF($AN1573="",IF($B1573="","",$R1573),IF(INDEX(職員マスタ!$C$6:$C$405,$AN1573)="",$R1573,INDEX(職員マスタ!$C$6:$C$405,$AN1573)))</f>
        <v/>
      </c>
      <c r="X1573" s="14">
        <f>IF($AO1573="","","R"&amp;$C1573&amp;"."&amp;$D1573)</f>
        <v/>
      </c>
      <c r="Y1573" s="15">
        <f>IF($AN1573="","",IF(INDEX(職員マスタ!$K$6:$K$405,$AN1573)="","",INDEX(職員マスタ!$K$6:$K$405,$AN1573)))</f>
        <v/>
      </c>
      <c r="Z1573" s="14">
        <f>IF(OR($E1573="",$Y1573=""),"",IF($E1573&gt;=$Y1573,"×",IF($E1573&gt;=$Y1573*設定!$C$5,"△","○")))</f>
        <v/>
      </c>
      <c r="AA1573" s="15">
        <f>IF($Z1573="","",IF($Z1573="×",0,IF($Z1573="○",ROUNDDOWN($E1573*設定!$C$4,0),ROUNDDOWN($E1573*ROUND((9*$Y1573-9*$E1573)/(10*$E1573),4),0))))</f>
        <v/>
      </c>
      <c r="AB1573" s="13" t="n"/>
      <c r="AC1573" s="15">
        <f>IF($B1573="","",IF($AB1573&lt;&gt;"",$AB1573,IF($AA1573="","",IF($AA1573&lt;=設定!$C$3,0,$AA1573))))</f>
        <v/>
      </c>
      <c r="AD1573" s="14">
        <f>IF($B1573="","",IF(AND($AE1573&lt;&gt;"",$AG1573="",$AJ1573=""),"保留中",IF($AJ1573&lt;&gt;"",IF(N($AC1573)&gt;0,"支給済","不支給"),IF($AC1573="","要確認",IF($AC1573=0,"不支給","未処理")))))</f>
        <v/>
      </c>
      <c r="AE1573" s="12" t="n"/>
      <c r="AF1573" s="11" t="n"/>
      <c r="AG1573" s="11" t="n"/>
      <c r="AH1573" s="11" t="n"/>
      <c r="AI1573" s="14">
        <f>IF(AND($AD1573="保留中",$AF1573&lt;&gt;""),TODAY()-$AF1573,"")</f>
        <v/>
      </c>
      <c r="AJ1573" s="12" t="n"/>
      <c r="AK1573" s="14">
        <f>IF($B1573="","",IF($AO1573="","対象年月が未入力／","")&amp;IF($B1573="","",IF($AN1573="","職員マスタに未登録の職員番号／",IF($Y1573="","標準報酬月額が未登録／","")&amp;IF(AND($AO1573&lt;&gt;"",OR(AND(INDEX(職員マスタ!$G$6:$G$405,$AN1573)&lt;&gt;"",INDEX(職員マスタ!$G$6:$G$405,$AN1573)&gt;EOMONTH($AO1573,0)),AND(INDEX(職員マスタ!$H$6:$H$405,$AN1573)&lt;&gt;"",INDEX(職員マスタ!$H$6:$H$405,$AN1573)&lt;$AO1573))),"対象月が時短期間外／","")&amp;IF(AND(INDEX(職員マスタ!$F$6:$F$405,$AN1573)&lt;&gt;"",$AO1573&lt;&gt;"",INDEX(職員マスタ!$F$6:$F$405,$AN1573)&lt;$AO1573),"対象月に子が2歳到達済／","")&amp;IF(AND($H1573&lt;&gt;"",INDEX(職員マスタ!$B$6:$B$405,$AN1573)&lt;&gt;"",SUBSTITUTE(SUBSTITUTE($H1573," ","")," ","")&lt;&gt;SUBSTITUTE(SUBSTITUTE(INDEX(職員マスタ!$B$6:$B$405,$AN1573)," ","")," ","")),"氏名がマスタと相違／","")&amp;IF(AND($Q1573&lt;&gt;"",INDEX(職員マスタ!$E$6:$E$405,$AN1573)&lt;&gt;"",$Q1573&lt;&gt;INDEX(職員マスタ!$E$6:$E$405,$AN1573)),"子の生年月日がマスタと相違／","")&amp;IF(AND($L1573&lt;&gt;"",INDEX(職員マスタ!$G$6:$G$405,$AN1573)&lt;&gt;"",$L1573&lt;&gt;INDEX(職員マスタ!$G$6:$G$405,$AN1573)),"時短開始日がマスタと相違／","")&amp;IF(AND($M1573&lt;&gt;"",INDEX(職員マスタ!$H$6:$H$405,$AN1573)&lt;&gt;"",$M1573&lt;&gt;INDEX(職員マスタ!$H$6:$H$405,$AN1573)),"時短終了日がマスタと相違／","")))&amp;IF(AND($B1573&lt;&gt;"",$E1573=""),"報酬額が未入力／","")&amp;IF(N($U1573)&gt;0,"申請書に入力エラーが残っています／","")&amp;IF(AND($B1573&lt;&gt;"",$AO1573&lt;&gt;""),IF(COUNTIFS($B$6:$B$3005,$B1573,$C$6:$C$3005,$C1573,$D$6:$D$3005,$D1573)&gt;1,"同じ月の請求が重複しています／",""),"")&amp;IF(AND(N($E1573)&gt;0,$Z1573&lt;&gt;"",$Z1573&lt;&gt;"×",$AC1573=0,$AB1573=""),"計算額が下限以下のため不支給／",""))</f>
        <v/>
      </c>
      <c r="AL1573" s="12" t="n"/>
      <c r="AM1573" s="14">
        <f>IF($AD1573="保留中",COUNTIF($AD$6:$AD1573,"保留中"),"")</f>
        <v/>
      </c>
      <c r="AN1573" s="14">
        <f>IF($AO1573="","",IF(SUMPRODUCT(MAX((職員マスタ!$A$6:$A$405=$B1573)*(((職員マスタ!$G$6:$G$405="")+(職員マスタ!$G$6:$G$405&lt;=EOMONTH($AO1573,0)))&gt;0)*(((職員マスタ!$H$6:$H$405="")+(職員マスタ!$H$6:$H$405&gt;=$AO1573))&gt;0)*(ROW(職員マスタ!$A$6:$A$405)-5)))&gt;0,SUMPRODUCT(MAX((職員マスタ!$A$6:$A$405=$B1573)*(((職員マスタ!$G$6:$G$405="")+(職員マスタ!$G$6:$G$405&lt;=EOMONTH($AO1573,0)))&gt;0)*(((職員マスタ!$H$6:$H$405="")+(職員マスタ!$H$6:$H$405&gt;=$AO1573))&gt;0)*(ROW(職員マスタ!$A$6:$A$405)-5))),IFERROR(MATCH($B1573,職員マスタ!$A$6:$A$405,0),"")))</f>
        <v/>
      </c>
      <c r="AO1573" s="16">
        <f>IF(OR($B1573="",$C1573="",$D1573=""),"",DATE($C1573+2018,$D1573,1))</f>
        <v/>
      </c>
    </row>
    <row r="1574">
      <c r="A1574" s="11" t="n"/>
      <c r="B1574" s="12" t="n"/>
      <c r="C1574" s="12" t="n"/>
      <c r="D1574" s="12" t="n"/>
      <c r="E1574" s="13" t="n"/>
      <c r="F1574" s="12" t="n"/>
      <c r="G1574" s="13" t="n"/>
      <c r="H1574" s="12" t="n"/>
      <c r="I1574" s="12" t="n"/>
      <c r="J1574" s="12" t="n"/>
      <c r="K1574" s="12" t="n"/>
      <c r="L1574" s="11" t="n"/>
      <c r="M1574" s="11" t="n"/>
      <c r="N1574" s="11" t="n"/>
      <c r="O1574" s="11" t="n"/>
      <c r="P1574" s="12" t="n"/>
      <c r="Q1574" s="11" t="n"/>
      <c r="R1574" s="12" t="n"/>
      <c r="S1574" s="11" t="n"/>
      <c r="T1574" s="12" t="n"/>
      <c r="U1574" s="12" t="n"/>
      <c r="V1574" s="14">
        <f>IF($AN1574="",IF($B1574="","",$H1574),IF(INDEX(職員マスタ!$B$6:$B$405,$AN1574)="",$H1574,INDEX(職員マスタ!$B$6:$B$405,$AN1574)))</f>
        <v/>
      </c>
      <c r="W1574" s="14">
        <f>IF($AN1574="",IF($B1574="","",$R1574),IF(INDEX(職員マスタ!$C$6:$C$405,$AN1574)="",$R1574,INDEX(職員マスタ!$C$6:$C$405,$AN1574)))</f>
        <v/>
      </c>
      <c r="X1574" s="14">
        <f>IF($AO1574="","","R"&amp;$C1574&amp;"."&amp;$D1574)</f>
        <v/>
      </c>
      <c r="Y1574" s="15">
        <f>IF($AN1574="","",IF(INDEX(職員マスタ!$K$6:$K$405,$AN1574)="","",INDEX(職員マスタ!$K$6:$K$405,$AN1574)))</f>
        <v/>
      </c>
      <c r="Z1574" s="14">
        <f>IF(OR($E1574="",$Y1574=""),"",IF($E1574&gt;=$Y1574,"×",IF($E1574&gt;=$Y1574*設定!$C$5,"△","○")))</f>
        <v/>
      </c>
      <c r="AA1574" s="15">
        <f>IF($Z1574="","",IF($Z1574="×",0,IF($Z1574="○",ROUNDDOWN($E1574*設定!$C$4,0),ROUNDDOWN($E1574*ROUND((9*$Y1574-9*$E1574)/(10*$E1574),4),0))))</f>
        <v/>
      </c>
      <c r="AB1574" s="13" t="n"/>
      <c r="AC1574" s="15">
        <f>IF($B1574="","",IF($AB1574&lt;&gt;"",$AB1574,IF($AA1574="","",IF($AA1574&lt;=設定!$C$3,0,$AA1574))))</f>
        <v/>
      </c>
      <c r="AD1574" s="14">
        <f>IF($B1574="","",IF(AND($AE1574&lt;&gt;"",$AG1574="",$AJ1574=""),"保留中",IF($AJ1574&lt;&gt;"",IF(N($AC1574)&gt;0,"支給済","不支給"),IF($AC1574="","要確認",IF($AC1574=0,"不支給","未処理")))))</f>
        <v/>
      </c>
      <c r="AE1574" s="12" t="n"/>
      <c r="AF1574" s="11" t="n"/>
      <c r="AG1574" s="11" t="n"/>
      <c r="AH1574" s="11" t="n"/>
      <c r="AI1574" s="14">
        <f>IF(AND($AD1574="保留中",$AF1574&lt;&gt;""),TODAY()-$AF1574,"")</f>
        <v/>
      </c>
      <c r="AJ1574" s="12" t="n"/>
      <c r="AK1574" s="14">
        <f>IF($B1574="","",IF($AO1574="","対象年月が未入力／","")&amp;IF($B1574="","",IF($AN1574="","職員マスタに未登録の職員番号／",IF($Y1574="","標準報酬月額が未登録／","")&amp;IF(AND($AO1574&lt;&gt;"",OR(AND(INDEX(職員マスタ!$G$6:$G$405,$AN1574)&lt;&gt;"",INDEX(職員マスタ!$G$6:$G$405,$AN1574)&gt;EOMONTH($AO1574,0)),AND(INDEX(職員マスタ!$H$6:$H$405,$AN1574)&lt;&gt;"",INDEX(職員マスタ!$H$6:$H$405,$AN1574)&lt;$AO1574))),"対象月が時短期間外／","")&amp;IF(AND(INDEX(職員マスタ!$F$6:$F$405,$AN1574)&lt;&gt;"",$AO1574&lt;&gt;"",INDEX(職員マスタ!$F$6:$F$405,$AN1574)&lt;$AO1574),"対象月に子が2歳到達済／","")&amp;IF(AND($H1574&lt;&gt;"",INDEX(職員マスタ!$B$6:$B$405,$AN1574)&lt;&gt;"",SUBSTITUTE(SUBSTITUTE($H1574," ","")," ","")&lt;&gt;SUBSTITUTE(SUBSTITUTE(INDEX(職員マスタ!$B$6:$B$405,$AN1574)," ","")," ","")),"氏名がマスタと相違／","")&amp;IF(AND($Q1574&lt;&gt;"",INDEX(職員マスタ!$E$6:$E$405,$AN1574)&lt;&gt;"",$Q1574&lt;&gt;INDEX(職員マスタ!$E$6:$E$405,$AN1574)),"子の生年月日がマスタと相違／","")&amp;IF(AND($L1574&lt;&gt;"",INDEX(職員マスタ!$G$6:$G$405,$AN1574)&lt;&gt;"",$L1574&lt;&gt;INDEX(職員マスタ!$G$6:$G$405,$AN1574)),"時短開始日がマスタと相違／","")&amp;IF(AND($M1574&lt;&gt;"",INDEX(職員マスタ!$H$6:$H$405,$AN1574)&lt;&gt;"",$M1574&lt;&gt;INDEX(職員マスタ!$H$6:$H$405,$AN1574)),"時短終了日がマスタと相違／","")))&amp;IF(AND($B1574&lt;&gt;"",$E1574=""),"報酬額が未入力／","")&amp;IF(N($U1574)&gt;0,"申請書に入力エラーが残っています／","")&amp;IF(AND($B1574&lt;&gt;"",$AO1574&lt;&gt;""),IF(COUNTIFS($B$6:$B$3005,$B1574,$C$6:$C$3005,$C1574,$D$6:$D$3005,$D1574)&gt;1,"同じ月の請求が重複しています／",""),"")&amp;IF(AND(N($E1574)&gt;0,$Z1574&lt;&gt;"",$Z1574&lt;&gt;"×",$AC1574=0,$AB1574=""),"計算額が下限以下のため不支給／",""))</f>
        <v/>
      </c>
      <c r="AL1574" s="12" t="n"/>
      <c r="AM1574" s="14">
        <f>IF($AD1574="保留中",COUNTIF($AD$6:$AD1574,"保留中"),"")</f>
        <v/>
      </c>
      <c r="AN1574" s="14">
        <f>IF($AO1574="","",IF(SUMPRODUCT(MAX((職員マスタ!$A$6:$A$405=$B1574)*(((職員マスタ!$G$6:$G$405="")+(職員マスタ!$G$6:$G$405&lt;=EOMONTH($AO1574,0)))&gt;0)*(((職員マスタ!$H$6:$H$405="")+(職員マスタ!$H$6:$H$405&gt;=$AO1574))&gt;0)*(ROW(職員マスタ!$A$6:$A$405)-5)))&gt;0,SUMPRODUCT(MAX((職員マスタ!$A$6:$A$405=$B1574)*(((職員マスタ!$G$6:$G$405="")+(職員マスタ!$G$6:$G$405&lt;=EOMONTH($AO1574,0)))&gt;0)*(((職員マスタ!$H$6:$H$405="")+(職員マスタ!$H$6:$H$405&gt;=$AO1574))&gt;0)*(ROW(職員マスタ!$A$6:$A$405)-5))),IFERROR(MATCH($B1574,職員マスタ!$A$6:$A$405,0),"")))</f>
        <v/>
      </c>
      <c r="AO1574" s="16">
        <f>IF(OR($B1574="",$C1574="",$D1574=""),"",DATE($C1574+2018,$D1574,1))</f>
        <v/>
      </c>
    </row>
    <row r="1575">
      <c r="A1575" s="11" t="n"/>
      <c r="B1575" s="12" t="n"/>
      <c r="C1575" s="12" t="n"/>
      <c r="D1575" s="12" t="n"/>
      <c r="E1575" s="13" t="n"/>
      <c r="F1575" s="12" t="n"/>
      <c r="G1575" s="13" t="n"/>
      <c r="H1575" s="12" t="n"/>
      <c r="I1575" s="12" t="n"/>
      <c r="J1575" s="12" t="n"/>
      <c r="K1575" s="12" t="n"/>
      <c r="L1575" s="11" t="n"/>
      <c r="M1575" s="11" t="n"/>
      <c r="N1575" s="11" t="n"/>
      <c r="O1575" s="11" t="n"/>
      <c r="P1575" s="12" t="n"/>
      <c r="Q1575" s="11" t="n"/>
      <c r="R1575" s="12" t="n"/>
      <c r="S1575" s="11" t="n"/>
      <c r="T1575" s="12" t="n"/>
      <c r="U1575" s="12" t="n"/>
      <c r="V1575" s="14">
        <f>IF($AN1575="",IF($B1575="","",$H1575),IF(INDEX(職員マスタ!$B$6:$B$405,$AN1575)="",$H1575,INDEX(職員マスタ!$B$6:$B$405,$AN1575)))</f>
        <v/>
      </c>
      <c r="W1575" s="14">
        <f>IF($AN1575="",IF($B1575="","",$R1575),IF(INDEX(職員マスタ!$C$6:$C$405,$AN1575)="",$R1575,INDEX(職員マスタ!$C$6:$C$405,$AN1575)))</f>
        <v/>
      </c>
      <c r="X1575" s="14">
        <f>IF($AO1575="","","R"&amp;$C1575&amp;"."&amp;$D1575)</f>
        <v/>
      </c>
      <c r="Y1575" s="15">
        <f>IF($AN1575="","",IF(INDEX(職員マスタ!$K$6:$K$405,$AN1575)="","",INDEX(職員マスタ!$K$6:$K$405,$AN1575)))</f>
        <v/>
      </c>
      <c r="Z1575" s="14">
        <f>IF(OR($E1575="",$Y1575=""),"",IF($E1575&gt;=$Y1575,"×",IF($E1575&gt;=$Y1575*設定!$C$5,"△","○")))</f>
        <v/>
      </c>
      <c r="AA1575" s="15">
        <f>IF($Z1575="","",IF($Z1575="×",0,IF($Z1575="○",ROUNDDOWN($E1575*設定!$C$4,0),ROUNDDOWN($E1575*ROUND((9*$Y1575-9*$E1575)/(10*$E1575),4),0))))</f>
        <v/>
      </c>
      <c r="AB1575" s="13" t="n"/>
      <c r="AC1575" s="15">
        <f>IF($B1575="","",IF($AB1575&lt;&gt;"",$AB1575,IF($AA1575="","",IF($AA1575&lt;=設定!$C$3,0,$AA1575))))</f>
        <v/>
      </c>
      <c r="AD1575" s="14">
        <f>IF($B1575="","",IF(AND($AE1575&lt;&gt;"",$AG1575="",$AJ1575=""),"保留中",IF($AJ1575&lt;&gt;"",IF(N($AC1575)&gt;0,"支給済","不支給"),IF($AC1575="","要確認",IF($AC1575=0,"不支給","未処理")))))</f>
        <v/>
      </c>
      <c r="AE1575" s="12" t="n"/>
      <c r="AF1575" s="11" t="n"/>
      <c r="AG1575" s="11" t="n"/>
      <c r="AH1575" s="11" t="n"/>
      <c r="AI1575" s="14">
        <f>IF(AND($AD1575="保留中",$AF1575&lt;&gt;""),TODAY()-$AF1575,"")</f>
        <v/>
      </c>
      <c r="AJ1575" s="12" t="n"/>
      <c r="AK1575" s="14">
        <f>IF($B1575="","",IF($AO1575="","対象年月が未入力／","")&amp;IF($B1575="","",IF($AN1575="","職員マスタに未登録の職員番号／",IF($Y1575="","標準報酬月額が未登録／","")&amp;IF(AND($AO1575&lt;&gt;"",OR(AND(INDEX(職員マスタ!$G$6:$G$405,$AN1575)&lt;&gt;"",INDEX(職員マスタ!$G$6:$G$405,$AN1575)&gt;EOMONTH($AO1575,0)),AND(INDEX(職員マスタ!$H$6:$H$405,$AN1575)&lt;&gt;"",INDEX(職員マスタ!$H$6:$H$405,$AN1575)&lt;$AO1575))),"対象月が時短期間外／","")&amp;IF(AND(INDEX(職員マスタ!$F$6:$F$405,$AN1575)&lt;&gt;"",$AO1575&lt;&gt;"",INDEX(職員マスタ!$F$6:$F$405,$AN1575)&lt;$AO1575),"対象月に子が2歳到達済／","")&amp;IF(AND($H1575&lt;&gt;"",INDEX(職員マスタ!$B$6:$B$405,$AN1575)&lt;&gt;"",SUBSTITUTE(SUBSTITUTE($H1575," ","")," ","")&lt;&gt;SUBSTITUTE(SUBSTITUTE(INDEX(職員マスタ!$B$6:$B$405,$AN1575)," ","")," ","")),"氏名がマスタと相違／","")&amp;IF(AND($Q1575&lt;&gt;"",INDEX(職員マスタ!$E$6:$E$405,$AN1575)&lt;&gt;"",$Q1575&lt;&gt;INDEX(職員マスタ!$E$6:$E$405,$AN1575)),"子の生年月日がマスタと相違／","")&amp;IF(AND($L1575&lt;&gt;"",INDEX(職員マスタ!$G$6:$G$405,$AN1575)&lt;&gt;"",$L1575&lt;&gt;INDEX(職員マスタ!$G$6:$G$405,$AN1575)),"時短開始日がマスタと相違／","")&amp;IF(AND($M1575&lt;&gt;"",INDEX(職員マスタ!$H$6:$H$405,$AN1575)&lt;&gt;"",$M1575&lt;&gt;INDEX(職員マスタ!$H$6:$H$405,$AN1575)),"時短終了日がマスタと相違／","")))&amp;IF(AND($B1575&lt;&gt;"",$E1575=""),"報酬額が未入力／","")&amp;IF(N($U1575)&gt;0,"申請書に入力エラーが残っています／","")&amp;IF(AND($B1575&lt;&gt;"",$AO1575&lt;&gt;""),IF(COUNTIFS($B$6:$B$3005,$B1575,$C$6:$C$3005,$C1575,$D$6:$D$3005,$D1575)&gt;1,"同じ月の請求が重複しています／",""),"")&amp;IF(AND(N($E1575)&gt;0,$Z1575&lt;&gt;"",$Z1575&lt;&gt;"×",$AC1575=0,$AB1575=""),"計算額が下限以下のため不支給／",""))</f>
        <v/>
      </c>
      <c r="AL1575" s="12" t="n"/>
      <c r="AM1575" s="14">
        <f>IF($AD1575="保留中",COUNTIF($AD$6:$AD1575,"保留中"),"")</f>
        <v/>
      </c>
      <c r="AN1575" s="14">
        <f>IF($AO1575="","",IF(SUMPRODUCT(MAX((職員マスタ!$A$6:$A$405=$B1575)*(((職員マスタ!$G$6:$G$405="")+(職員マスタ!$G$6:$G$405&lt;=EOMONTH($AO1575,0)))&gt;0)*(((職員マスタ!$H$6:$H$405="")+(職員マスタ!$H$6:$H$405&gt;=$AO1575))&gt;0)*(ROW(職員マスタ!$A$6:$A$405)-5)))&gt;0,SUMPRODUCT(MAX((職員マスタ!$A$6:$A$405=$B1575)*(((職員マスタ!$G$6:$G$405="")+(職員マスタ!$G$6:$G$405&lt;=EOMONTH($AO1575,0)))&gt;0)*(((職員マスタ!$H$6:$H$405="")+(職員マスタ!$H$6:$H$405&gt;=$AO1575))&gt;0)*(ROW(職員マスタ!$A$6:$A$405)-5))),IFERROR(MATCH($B1575,職員マスタ!$A$6:$A$405,0),"")))</f>
        <v/>
      </c>
      <c r="AO1575" s="16">
        <f>IF(OR($B1575="",$C1575="",$D1575=""),"",DATE($C1575+2018,$D1575,1))</f>
        <v/>
      </c>
    </row>
    <row r="1576">
      <c r="A1576" s="11" t="n"/>
      <c r="B1576" s="12" t="n"/>
      <c r="C1576" s="12" t="n"/>
      <c r="D1576" s="12" t="n"/>
      <c r="E1576" s="13" t="n"/>
      <c r="F1576" s="12" t="n"/>
      <c r="G1576" s="13" t="n"/>
      <c r="H1576" s="12" t="n"/>
      <c r="I1576" s="12" t="n"/>
      <c r="J1576" s="12" t="n"/>
      <c r="K1576" s="12" t="n"/>
      <c r="L1576" s="11" t="n"/>
      <c r="M1576" s="11" t="n"/>
      <c r="N1576" s="11" t="n"/>
      <c r="O1576" s="11" t="n"/>
      <c r="P1576" s="12" t="n"/>
      <c r="Q1576" s="11" t="n"/>
      <c r="R1576" s="12" t="n"/>
      <c r="S1576" s="11" t="n"/>
      <c r="T1576" s="12" t="n"/>
      <c r="U1576" s="12" t="n"/>
      <c r="V1576" s="14">
        <f>IF($AN1576="",IF($B1576="","",$H1576),IF(INDEX(職員マスタ!$B$6:$B$405,$AN1576)="",$H1576,INDEX(職員マスタ!$B$6:$B$405,$AN1576)))</f>
        <v/>
      </c>
      <c r="W1576" s="14">
        <f>IF($AN1576="",IF($B1576="","",$R1576),IF(INDEX(職員マスタ!$C$6:$C$405,$AN1576)="",$R1576,INDEX(職員マスタ!$C$6:$C$405,$AN1576)))</f>
        <v/>
      </c>
      <c r="X1576" s="14">
        <f>IF($AO1576="","","R"&amp;$C1576&amp;"."&amp;$D1576)</f>
        <v/>
      </c>
      <c r="Y1576" s="15">
        <f>IF($AN1576="","",IF(INDEX(職員マスタ!$K$6:$K$405,$AN1576)="","",INDEX(職員マスタ!$K$6:$K$405,$AN1576)))</f>
        <v/>
      </c>
      <c r="Z1576" s="14">
        <f>IF(OR($E1576="",$Y1576=""),"",IF($E1576&gt;=$Y1576,"×",IF($E1576&gt;=$Y1576*設定!$C$5,"△","○")))</f>
        <v/>
      </c>
      <c r="AA1576" s="15">
        <f>IF($Z1576="","",IF($Z1576="×",0,IF($Z1576="○",ROUNDDOWN($E1576*設定!$C$4,0),ROUNDDOWN($E1576*ROUND((9*$Y1576-9*$E1576)/(10*$E1576),4),0))))</f>
        <v/>
      </c>
      <c r="AB1576" s="13" t="n"/>
      <c r="AC1576" s="15">
        <f>IF($B1576="","",IF($AB1576&lt;&gt;"",$AB1576,IF($AA1576="","",IF($AA1576&lt;=設定!$C$3,0,$AA1576))))</f>
        <v/>
      </c>
      <c r="AD1576" s="14">
        <f>IF($B1576="","",IF(AND($AE1576&lt;&gt;"",$AG1576="",$AJ1576=""),"保留中",IF($AJ1576&lt;&gt;"",IF(N($AC1576)&gt;0,"支給済","不支給"),IF($AC1576="","要確認",IF($AC1576=0,"不支給","未処理")))))</f>
        <v/>
      </c>
      <c r="AE1576" s="12" t="n"/>
      <c r="AF1576" s="11" t="n"/>
      <c r="AG1576" s="11" t="n"/>
      <c r="AH1576" s="11" t="n"/>
      <c r="AI1576" s="14">
        <f>IF(AND($AD1576="保留中",$AF1576&lt;&gt;""),TODAY()-$AF1576,"")</f>
        <v/>
      </c>
      <c r="AJ1576" s="12" t="n"/>
      <c r="AK1576" s="14">
        <f>IF($B1576="","",IF($AO1576="","対象年月が未入力／","")&amp;IF($B1576="","",IF($AN1576="","職員マスタに未登録の職員番号／",IF($Y1576="","標準報酬月額が未登録／","")&amp;IF(AND($AO1576&lt;&gt;"",OR(AND(INDEX(職員マスタ!$G$6:$G$405,$AN1576)&lt;&gt;"",INDEX(職員マスタ!$G$6:$G$405,$AN1576)&gt;EOMONTH($AO1576,0)),AND(INDEX(職員マスタ!$H$6:$H$405,$AN1576)&lt;&gt;"",INDEX(職員マスタ!$H$6:$H$405,$AN1576)&lt;$AO1576))),"対象月が時短期間外／","")&amp;IF(AND(INDEX(職員マスタ!$F$6:$F$405,$AN1576)&lt;&gt;"",$AO1576&lt;&gt;"",INDEX(職員マスタ!$F$6:$F$405,$AN1576)&lt;$AO1576),"対象月に子が2歳到達済／","")&amp;IF(AND($H1576&lt;&gt;"",INDEX(職員マスタ!$B$6:$B$405,$AN1576)&lt;&gt;"",SUBSTITUTE(SUBSTITUTE($H1576," ","")," ","")&lt;&gt;SUBSTITUTE(SUBSTITUTE(INDEX(職員マスタ!$B$6:$B$405,$AN1576)," ","")," ","")),"氏名がマスタと相違／","")&amp;IF(AND($Q1576&lt;&gt;"",INDEX(職員マスタ!$E$6:$E$405,$AN1576)&lt;&gt;"",$Q1576&lt;&gt;INDEX(職員マスタ!$E$6:$E$405,$AN1576)),"子の生年月日がマスタと相違／","")&amp;IF(AND($L1576&lt;&gt;"",INDEX(職員マスタ!$G$6:$G$405,$AN1576)&lt;&gt;"",$L1576&lt;&gt;INDEX(職員マスタ!$G$6:$G$405,$AN1576)),"時短開始日がマスタと相違／","")&amp;IF(AND($M1576&lt;&gt;"",INDEX(職員マスタ!$H$6:$H$405,$AN1576)&lt;&gt;"",$M1576&lt;&gt;INDEX(職員マスタ!$H$6:$H$405,$AN1576)),"時短終了日がマスタと相違／","")))&amp;IF(AND($B1576&lt;&gt;"",$E1576=""),"報酬額が未入力／","")&amp;IF(N($U1576)&gt;0,"申請書に入力エラーが残っています／","")&amp;IF(AND($B1576&lt;&gt;"",$AO1576&lt;&gt;""),IF(COUNTIFS($B$6:$B$3005,$B1576,$C$6:$C$3005,$C1576,$D$6:$D$3005,$D1576)&gt;1,"同じ月の請求が重複しています／",""),"")&amp;IF(AND(N($E1576)&gt;0,$Z1576&lt;&gt;"",$Z1576&lt;&gt;"×",$AC1576=0,$AB1576=""),"計算額が下限以下のため不支給／",""))</f>
        <v/>
      </c>
      <c r="AL1576" s="12" t="n"/>
      <c r="AM1576" s="14">
        <f>IF($AD1576="保留中",COUNTIF($AD$6:$AD1576,"保留中"),"")</f>
        <v/>
      </c>
      <c r="AN1576" s="14">
        <f>IF($AO1576="","",IF(SUMPRODUCT(MAX((職員マスタ!$A$6:$A$405=$B1576)*(((職員マスタ!$G$6:$G$405="")+(職員マスタ!$G$6:$G$405&lt;=EOMONTH($AO1576,0)))&gt;0)*(((職員マスタ!$H$6:$H$405="")+(職員マスタ!$H$6:$H$405&gt;=$AO1576))&gt;0)*(ROW(職員マスタ!$A$6:$A$405)-5)))&gt;0,SUMPRODUCT(MAX((職員マスタ!$A$6:$A$405=$B1576)*(((職員マスタ!$G$6:$G$405="")+(職員マスタ!$G$6:$G$405&lt;=EOMONTH($AO1576,0)))&gt;0)*(((職員マスタ!$H$6:$H$405="")+(職員マスタ!$H$6:$H$405&gt;=$AO1576))&gt;0)*(ROW(職員マスタ!$A$6:$A$405)-5))),IFERROR(MATCH($B1576,職員マスタ!$A$6:$A$405,0),"")))</f>
        <v/>
      </c>
      <c r="AO1576" s="16">
        <f>IF(OR($B1576="",$C1576="",$D1576=""),"",DATE($C1576+2018,$D1576,1))</f>
        <v/>
      </c>
    </row>
    <row r="1577">
      <c r="A1577" s="11" t="n"/>
      <c r="B1577" s="12" t="n"/>
      <c r="C1577" s="12" t="n"/>
      <c r="D1577" s="12" t="n"/>
      <c r="E1577" s="13" t="n"/>
      <c r="F1577" s="12" t="n"/>
      <c r="G1577" s="13" t="n"/>
      <c r="H1577" s="12" t="n"/>
      <c r="I1577" s="12" t="n"/>
      <c r="J1577" s="12" t="n"/>
      <c r="K1577" s="12" t="n"/>
      <c r="L1577" s="11" t="n"/>
      <c r="M1577" s="11" t="n"/>
      <c r="N1577" s="11" t="n"/>
      <c r="O1577" s="11" t="n"/>
      <c r="P1577" s="12" t="n"/>
      <c r="Q1577" s="11" t="n"/>
      <c r="R1577" s="12" t="n"/>
      <c r="S1577" s="11" t="n"/>
      <c r="T1577" s="12" t="n"/>
      <c r="U1577" s="12" t="n"/>
      <c r="V1577" s="14">
        <f>IF($AN1577="",IF($B1577="","",$H1577),IF(INDEX(職員マスタ!$B$6:$B$405,$AN1577)="",$H1577,INDEX(職員マスタ!$B$6:$B$405,$AN1577)))</f>
        <v/>
      </c>
      <c r="W1577" s="14">
        <f>IF($AN1577="",IF($B1577="","",$R1577),IF(INDEX(職員マスタ!$C$6:$C$405,$AN1577)="",$R1577,INDEX(職員マスタ!$C$6:$C$405,$AN1577)))</f>
        <v/>
      </c>
      <c r="X1577" s="14">
        <f>IF($AO1577="","","R"&amp;$C1577&amp;"."&amp;$D1577)</f>
        <v/>
      </c>
      <c r="Y1577" s="15">
        <f>IF($AN1577="","",IF(INDEX(職員マスタ!$K$6:$K$405,$AN1577)="","",INDEX(職員マスタ!$K$6:$K$405,$AN1577)))</f>
        <v/>
      </c>
      <c r="Z1577" s="14">
        <f>IF(OR($E1577="",$Y1577=""),"",IF($E1577&gt;=$Y1577,"×",IF($E1577&gt;=$Y1577*設定!$C$5,"△","○")))</f>
        <v/>
      </c>
      <c r="AA1577" s="15">
        <f>IF($Z1577="","",IF($Z1577="×",0,IF($Z1577="○",ROUNDDOWN($E1577*設定!$C$4,0),ROUNDDOWN($E1577*ROUND((9*$Y1577-9*$E1577)/(10*$E1577),4),0))))</f>
        <v/>
      </c>
      <c r="AB1577" s="13" t="n"/>
      <c r="AC1577" s="15">
        <f>IF($B1577="","",IF($AB1577&lt;&gt;"",$AB1577,IF($AA1577="","",IF($AA1577&lt;=設定!$C$3,0,$AA1577))))</f>
        <v/>
      </c>
      <c r="AD1577" s="14">
        <f>IF($B1577="","",IF(AND($AE1577&lt;&gt;"",$AG1577="",$AJ1577=""),"保留中",IF($AJ1577&lt;&gt;"",IF(N($AC1577)&gt;0,"支給済","不支給"),IF($AC1577="","要確認",IF($AC1577=0,"不支給","未処理")))))</f>
        <v/>
      </c>
      <c r="AE1577" s="12" t="n"/>
      <c r="AF1577" s="11" t="n"/>
      <c r="AG1577" s="11" t="n"/>
      <c r="AH1577" s="11" t="n"/>
      <c r="AI1577" s="14">
        <f>IF(AND($AD1577="保留中",$AF1577&lt;&gt;""),TODAY()-$AF1577,"")</f>
        <v/>
      </c>
      <c r="AJ1577" s="12" t="n"/>
      <c r="AK1577" s="14">
        <f>IF($B1577="","",IF($AO1577="","対象年月が未入力／","")&amp;IF($B1577="","",IF($AN1577="","職員マスタに未登録の職員番号／",IF($Y1577="","標準報酬月額が未登録／","")&amp;IF(AND($AO1577&lt;&gt;"",OR(AND(INDEX(職員マスタ!$G$6:$G$405,$AN1577)&lt;&gt;"",INDEX(職員マスタ!$G$6:$G$405,$AN1577)&gt;EOMONTH($AO1577,0)),AND(INDEX(職員マスタ!$H$6:$H$405,$AN1577)&lt;&gt;"",INDEX(職員マスタ!$H$6:$H$405,$AN1577)&lt;$AO1577))),"対象月が時短期間外／","")&amp;IF(AND(INDEX(職員マスタ!$F$6:$F$405,$AN1577)&lt;&gt;"",$AO1577&lt;&gt;"",INDEX(職員マスタ!$F$6:$F$405,$AN1577)&lt;$AO1577),"対象月に子が2歳到達済／","")&amp;IF(AND($H1577&lt;&gt;"",INDEX(職員マスタ!$B$6:$B$405,$AN1577)&lt;&gt;"",SUBSTITUTE(SUBSTITUTE($H1577," ","")," ","")&lt;&gt;SUBSTITUTE(SUBSTITUTE(INDEX(職員マスタ!$B$6:$B$405,$AN1577)," ","")," ","")),"氏名がマスタと相違／","")&amp;IF(AND($Q1577&lt;&gt;"",INDEX(職員マスタ!$E$6:$E$405,$AN1577)&lt;&gt;"",$Q1577&lt;&gt;INDEX(職員マスタ!$E$6:$E$405,$AN1577)),"子の生年月日がマスタと相違／","")&amp;IF(AND($L1577&lt;&gt;"",INDEX(職員マスタ!$G$6:$G$405,$AN1577)&lt;&gt;"",$L1577&lt;&gt;INDEX(職員マスタ!$G$6:$G$405,$AN1577)),"時短開始日がマスタと相違／","")&amp;IF(AND($M1577&lt;&gt;"",INDEX(職員マスタ!$H$6:$H$405,$AN1577)&lt;&gt;"",$M1577&lt;&gt;INDEX(職員マスタ!$H$6:$H$405,$AN1577)),"時短終了日がマスタと相違／","")))&amp;IF(AND($B1577&lt;&gt;"",$E1577=""),"報酬額が未入力／","")&amp;IF(N($U1577)&gt;0,"申請書に入力エラーが残っています／","")&amp;IF(AND($B1577&lt;&gt;"",$AO1577&lt;&gt;""),IF(COUNTIFS($B$6:$B$3005,$B1577,$C$6:$C$3005,$C1577,$D$6:$D$3005,$D1577)&gt;1,"同じ月の請求が重複しています／",""),"")&amp;IF(AND(N($E1577)&gt;0,$Z1577&lt;&gt;"",$Z1577&lt;&gt;"×",$AC1577=0,$AB1577=""),"計算額が下限以下のため不支給／",""))</f>
        <v/>
      </c>
      <c r="AL1577" s="12" t="n"/>
      <c r="AM1577" s="14">
        <f>IF($AD1577="保留中",COUNTIF($AD$6:$AD1577,"保留中"),"")</f>
        <v/>
      </c>
      <c r="AN1577" s="14">
        <f>IF($AO1577="","",IF(SUMPRODUCT(MAX((職員マスタ!$A$6:$A$405=$B1577)*(((職員マスタ!$G$6:$G$405="")+(職員マスタ!$G$6:$G$405&lt;=EOMONTH($AO1577,0)))&gt;0)*(((職員マスタ!$H$6:$H$405="")+(職員マスタ!$H$6:$H$405&gt;=$AO1577))&gt;0)*(ROW(職員マスタ!$A$6:$A$405)-5)))&gt;0,SUMPRODUCT(MAX((職員マスタ!$A$6:$A$405=$B1577)*(((職員マスタ!$G$6:$G$405="")+(職員マスタ!$G$6:$G$405&lt;=EOMONTH($AO1577,0)))&gt;0)*(((職員マスタ!$H$6:$H$405="")+(職員マスタ!$H$6:$H$405&gt;=$AO1577))&gt;0)*(ROW(職員マスタ!$A$6:$A$405)-5))),IFERROR(MATCH($B1577,職員マスタ!$A$6:$A$405,0),"")))</f>
        <v/>
      </c>
      <c r="AO1577" s="16">
        <f>IF(OR($B1577="",$C1577="",$D1577=""),"",DATE($C1577+2018,$D1577,1))</f>
        <v/>
      </c>
    </row>
    <row r="1578">
      <c r="A1578" s="11" t="n"/>
      <c r="B1578" s="12" t="n"/>
      <c r="C1578" s="12" t="n"/>
      <c r="D1578" s="12" t="n"/>
      <c r="E1578" s="13" t="n"/>
      <c r="F1578" s="12" t="n"/>
      <c r="G1578" s="13" t="n"/>
      <c r="H1578" s="12" t="n"/>
      <c r="I1578" s="12" t="n"/>
      <c r="J1578" s="12" t="n"/>
      <c r="K1578" s="12" t="n"/>
      <c r="L1578" s="11" t="n"/>
      <c r="M1578" s="11" t="n"/>
      <c r="N1578" s="11" t="n"/>
      <c r="O1578" s="11" t="n"/>
      <c r="P1578" s="12" t="n"/>
      <c r="Q1578" s="11" t="n"/>
      <c r="R1578" s="12" t="n"/>
      <c r="S1578" s="11" t="n"/>
      <c r="T1578" s="12" t="n"/>
      <c r="U1578" s="12" t="n"/>
      <c r="V1578" s="14">
        <f>IF($AN1578="",IF($B1578="","",$H1578),IF(INDEX(職員マスタ!$B$6:$B$405,$AN1578)="",$H1578,INDEX(職員マスタ!$B$6:$B$405,$AN1578)))</f>
        <v/>
      </c>
      <c r="W1578" s="14">
        <f>IF($AN1578="",IF($B1578="","",$R1578),IF(INDEX(職員マスタ!$C$6:$C$405,$AN1578)="",$R1578,INDEX(職員マスタ!$C$6:$C$405,$AN1578)))</f>
        <v/>
      </c>
      <c r="X1578" s="14">
        <f>IF($AO1578="","","R"&amp;$C1578&amp;"."&amp;$D1578)</f>
        <v/>
      </c>
      <c r="Y1578" s="15">
        <f>IF($AN1578="","",IF(INDEX(職員マスタ!$K$6:$K$405,$AN1578)="","",INDEX(職員マスタ!$K$6:$K$405,$AN1578)))</f>
        <v/>
      </c>
      <c r="Z1578" s="14">
        <f>IF(OR($E1578="",$Y1578=""),"",IF($E1578&gt;=$Y1578,"×",IF($E1578&gt;=$Y1578*設定!$C$5,"△","○")))</f>
        <v/>
      </c>
      <c r="AA1578" s="15">
        <f>IF($Z1578="","",IF($Z1578="×",0,IF($Z1578="○",ROUNDDOWN($E1578*設定!$C$4,0),ROUNDDOWN($E1578*ROUND((9*$Y1578-9*$E1578)/(10*$E1578),4),0))))</f>
        <v/>
      </c>
      <c r="AB1578" s="13" t="n"/>
      <c r="AC1578" s="15">
        <f>IF($B1578="","",IF($AB1578&lt;&gt;"",$AB1578,IF($AA1578="","",IF($AA1578&lt;=設定!$C$3,0,$AA1578))))</f>
        <v/>
      </c>
      <c r="AD1578" s="14">
        <f>IF($B1578="","",IF(AND($AE1578&lt;&gt;"",$AG1578="",$AJ1578=""),"保留中",IF($AJ1578&lt;&gt;"",IF(N($AC1578)&gt;0,"支給済","不支給"),IF($AC1578="","要確認",IF($AC1578=0,"不支給","未処理")))))</f>
        <v/>
      </c>
      <c r="AE1578" s="12" t="n"/>
      <c r="AF1578" s="11" t="n"/>
      <c r="AG1578" s="11" t="n"/>
      <c r="AH1578" s="11" t="n"/>
      <c r="AI1578" s="14">
        <f>IF(AND($AD1578="保留中",$AF1578&lt;&gt;""),TODAY()-$AF1578,"")</f>
        <v/>
      </c>
      <c r="AJ1578" s="12" t="n"/>
      <c r="AK1578" s="14">
        <f>IF($B1578="","",IF($AO1578="","対象年月が未入力／","")&amp;IF($B1578="","",IF($AN1578="","職員マスタに未登録の職員番号／",IF($Y1578="","標準報酬月額が未登録／","")&amp;IF(AND($AO1578&lt;&gt;"",OR(AND(INDEX(職員マスタ!$G$6:$G$405,$AN1578)&lt;&gt;"",INDEX(職員マスタ!$G$6:$G$405,$AN1578)&gt;EOMONTH($AO1578,0)),AND(INDEX(職員マスタ!$H$6:$H$405,$AN1578)&lt;&gt;"",INDEX(職員マスタ!$H$6:$H$405,$AN1578)&lt;$AO1578))),"対象月が時短期間外／","")&amp;IF(AND(INDEX(職員マスタ!$F$6:$F$405,$AN1578)&lt;&gt;"",$AO1578&lt;&gt;"",INDEX(職員マスタ!$F$6:$F$405,$AN1578)&lt;$AO1578),"対象月に子が2歳到達済／","")&amp;IF(AND($H1578&lt;&gt;"",INDEX(職員マスタ!$B$6:$B$405,$AN1578)&lt;&gt;"",SUBSTITUTE(SUBSTITUTE($H1578," ","")," ","")&lt;&gt;SUBSTITUTE(SUBSTITUTE(INDEX(職員マスタ!$B$6:$B$405,$AN1578)," ","")," ","")),"氏名がマスタと相違／","")&amp;IF(AND($Q1578&lt;&gt;"",INDEX(職員マスタ!$E$6:$E$405,$AN1578)&lt;&gt;"",$Q1578&lt;&gt;INDEX(職員マスタ!$E$6:$E$405,$AN1578)),"子の生年月日がマスタと相違／","")&amp;IF(AND($L1578&lt;&gt;"",INDEX(職員マスタ!$G$6:$G$405,$AN1578)&lt;&gt;"",$L1578&lt;&gt;INDEX(職員マスタ!$G$6:$G$405,$AN1578)),"時短開始日がマスタと相違／","")&amp;IF(AND($M1578&lt;&gt;"",INDEX(職員マスタ!$H$6:$H$405,$AN1578)&lt;&gt;"",$M1578&lt;&gt;INDEX(職員マスタ!$H$6:$H$405,$AN1578)),"時短終了日がマスタと相違／","")))&amp;IF(AND($B1578&lt;&gt;"",$E1578=""),"報酬額が未入力／","")&amp;IF(N($U1578)&gt;0,"申請書に入力エラーが残っています／","")&amp;IF(AND($B1578&lt;&gt;"",$AO1578&lt;&gt;""),IF(COUNTIFS($B$6:$B$3005,$B1578,$C$6:$C$3005,$C1578,$D$6:$D$3005,$D1578)&gt;1,"同じ月の請求が重複しています／",""),"")&amp;IF(AND(N($E1578)&gt;0,$Z1578&lt;&gt;"",$Z1578&lt;&gt;"×",$AC1578=0,$AB1578=""),"計算額が下限以下のため不支給／",""))</f>
        <v/>
      </c>
      <c r="AL1578" s="12" t="n"/>
      <c r="AM1578" s="14">
        <f>IF($AD1578="保留中",COUNTIF($AD$6:$AD1578,"保留中"),"")</f>
        <v/>
      </c>
      <c r="AN1578" s="14">
        <f>IF($AO1578="","",IF(SUMPRODUCT(MAX((職員マスタ!$A$6:$A$405=$B1578)*(((職員マスタ!$G$6:$G$405="")+(職員マスタ!$G$6:$G$405&lt;=EOMONTH($AO1578,0)))&gt;0)*(((職員マスタ!$H$6:$H$405="")+(職員マスタ!$H$6:$H$405&gt;=$AO1578))&gt;0)*(ROW(職員マスタ!$A$6:$A$405)-5)))&gt;0,SUMPRODUCT(MAX((職員マスタ!$A$6:$A$405=$B1578)*(((職員マスタ!$G$6:$G$405="")+(職員マスタ!$G$6:$G$405&lt;=EOMONTH($AO1578,0)))&gt;0)*(((職員マスタ!$H$6:$H$405="")+(職員マスタ!$H$6:$H$405&gt;=$AO1578))&gt;0)*(ROW(職員マスタ!$A$6:$A$405)-5))),IFERROR(MATCH($B1578,職員マスタ!$A$6:$A$405,0),"")))</f>
        <v/>
      </c>
      <c r="AO1578" s="16">
        <f>IF(OR($B1578="",$C1578="",$D1578=""),"",DATE($C1578+2018,$D1578,1))</f>
        <v/>
      </c>
    </row>
    <row r="1579">
      <c r="A1579" s="11" t="n"/>
      <c r="B1579" s="12" t="n"/>
      <c r="C1579" s="12" t="n"/>
      <c r="D1579" s="12" t="n"/>
      <c r="E1579" s="13" t="n"/>
      <c r="F1579" s="12" t="n"/>
      <c r="G1579" s="13" t="n"/>
      <c r="H1579" s="12" t="n"/>
      <c r="I1579" s="12" t="n"/>
      <c r="J1579" s="12" t="n"/>
      <c r="K1579" s="12" t="n"/>
      <c r="L1579" s="11" t="n"/>
      <c r="M1579" s="11" t="n"/>
      <c r="N1579" s="11" t="n"/>
      <c r="O1579" s="11" t="n"/>
      <c r="P1579" s="12" t="n"/>
      <c r="Q1579" s="11" t="n"/>
      <c r="R1579" s="12" t="n"/>
      <c r="S1579" s="11" t="n"/>
      <c r="T1579" s="12" t="n"/>
      <c r="U1579" s="12" t="n"/>
      <c r="V1579" s="14">
        <f>IF($AN1579="",IF($B1579="","",$H1579),IF(INDEX(職員マスタ!$B$6:$B$405,$AN1579)="",$H1579,INDEX(職員マスタ!$B$6:$B$405,$AN1579)))</f>
        <v/>
      </c>
      <c r="W1579" s="14">
        <f>IF($AN1579="",IF($B1579="","",$R1579),IF(INDEX(職員マスタ!$C$6:$C$405,$AN1579)="",$R1579,INDEX(職員マスタ!$C$6:$C$405,$AN1579)))</f>
        <v/>
      </c>
      <c r="X1579" s="14">
        <f>IF($AO1579="","","R"&amp;$C1579&amp;"."&amp;$D1579)</f>
        <v/>
      </c>
      <c r="Y1579" s="15">
        <f>IF($AN1579="","",IF(INDEX(職員マスタ!$K$6:$K$405,$AN1579)="","",INDEX(職員マスタ!$K$6:$K$405,$AN1579)))</f>
        <v/>
      </c>
      <c r="Z1579" s="14">
        <f>IF(OR($E1579="",$Y1579=""),"",IF($E1579&gt;=$Y1579,"×",IF($E1579&gt;=$Y1579*設定!$C$5,"△","○")))</f>
        <v/>
      </c>
      <c r="AA1579" s="15">
        <f>IF($Z1579="","",IF($Z1579="×",0,IF($Z1579="○",ROUNDDOWN($E1579*設定!$C$4,0),ROUNDDOWN($E1579*ROUND((9*$Y1579-9*$E1579)/(10*$E1579),4),0))))</f>
        <v/>
      </c>
      <c r="AB1579" s="13" t="n"/>
      <c r="AC1579" s="15">
        <f>IF($B1579="","",IF($AB1579&lt;&gt;"",$AB1579,IF($AA1579="","",IF($AA1579&lt;=設定!$C$3,0,$AA1579))))</f>
        <v/>
      </c>
      <c r="AD1579" s="14">
        <f>IF($B1579="","",IF(AND($AE1579&lt;&gt;"",$AG1579="",$AJ1579=""),"保留中",IF($AJ1579&lt;&gt;"",IF(N($AC1579)&gt;0,"支給済","不支給"),IF($AC1579="","要確認",IF($AC1579=0,"不支給","未処理")))))</f>
        <v/>
      </c>
      <c r="AE1579" s="12" t="n"/>
      <c r="AF1579" s="11" t="n"/>
      <c r="AG1579" s="11" t="n"/>
      <c r="AH1579" s="11" t="n"/>
      <c r="AI1579" s="14">
        <f>IF(AND($AD1579="保留中",$AF1579&lt;&gt;""),TODAY()-$AF1579,"")</f>
        <v/>
      </c>
      <c r="AJ1579" s="12" t="n"/>
      <c r="AK1579" s="14">
        <f>IF($B1579="","",IF($AO1579="","対象年月が未入力／","")&amp;IF($B1579="","",IF($AN1579="","職員マスタに未登録の職員番号／",IF($Y1579="","標準報酬月額が未登録／","")&amp;IF(AND($AO1579&lt;&gt;"",OR(AND(INDEX(職員マスタ!$G$6:$G$405,$AN1579)&lt;&gt;"",INDEX(職員マスタ!$G$6:$G$405,$AN1579)&gt;EOMONTH($AO1579,0)),AND(INDEX(職員マスタ!$H$6:$H$405,$AN1579)&lt;&gt;"",INDEX(職員マスタ!$H$6:$H$405,$AN1579)&lt;$AO1579))),"対象月が時短期間外／","")&amp;IF(AND(INDEX(職員マスタ!$F$6:$F$405,$AN1579)&lt;&gt;"",$AO1579&lt;&gt;"",INDEX(職員マスタ!$F$6:$F$405,$AN1579)&lt;$AO1579),"対象月に子が2歳到達済／","")&amp;IF(AND($H1579&lt;&gt;"",INDEX(職員マスタ!$B$6:$B$405,$AN1579)&lt;&gt;"",SUBSTITUTE(SUBSTITUTE($H1579," ","")," ","")&lt;&gt;SUBSTITUTE(SUBSTITUTE(INDEX(職員マスタ!$B$6:$B$405,$AN1579)," ","")," ","")),"氏名がマスタと相違／","")&amp;IF(AND($Q1579&lt;&gt;"",INDEX(職員マスタ!$E$6:$E$405,$AN1579)&lt;&gt;"",$Q1579&lt;&gt;INDEX(職員マスタ!$E$6:$E$405,$AN1579)),"子の生年月日がマスタと相違／","")&amp;IF(AND($L1579&lt;&gt;"",INDEX(職員マスタ!$G$6:$G$405,$AN1579)&lt;&gt;"",$L1579&lt;&gt;INDEX(職員マスタ!$G$6:$G$405,$AN1579)),"時短開始日がマスタと相違／","")&amp;IF(AND($M1579&lt;&gt;"",INDEX(職員マスタ!$H$6:$H$405,$AN1579)&lt;&gt;"",$M1579&lt;&gt;INDEX(職員マスタ!$H$6:$H$405,$AN1579)),"時短終了日がマスタと相違／","")))&amp;IF(AND($B1579&lt;&gt;"",$E1579=""),"報酬額が未入力／","")&amp;IF(N($U1579)&gt;0,"申請書に入力エラーが残っています／","")&amp;IF(AND($B1579&lt;&gt;"",$AO1579&lt;&gt;""),IF(COUNTIFS($B$6:$B$3005,$B1579,$C$6:$C$3005,$C1579,$D$6:$D$3005,$D1579)&gt;1,"同じ月の請求が重複しています／",""),"")&amp;IF(AND(N($E1579)&gt;0,$Z1579&lt;&gt;"",$Z1579&lt;&gt;"×",$AC1579=0,$AB1579=""),"計算額が下限以下のため不支給／",""))</f>
        <v/>
      </c>
      <c r="AL1579" s="12" t="n"/>
      <c r="AM1579" s="14">
        <f>IF($AD1579="保留中",COUNTIF($AD$6:$AD1579,"保留中"),"")</f>
        <v/>
      </c>
      <c r="AN1579" s="14">
        <f>IF($AO1579="","",IF(SUMPRODUCT(MAX((職員マスタ!$A$6:$A$405=$B1579)*(((職員マスタ!$G$6:$G$405="")+(職員マスタ!$G$6:$G$405&lt;=EOMONTH($AO1579,0)))&gt;0)*(((職員マスタ!$H$6:$H$405="")+(職員マスタ!$H$6:$H$405&gt;=$AO1579))&gt;0)*(ROW(職員マスタ!$A$6:$A$405)-5)))&gt;0,SUMPRODUCT(MAX((職員マスタ!$A$6:$A$405=$B1579)*(((職員マスタ!$G$6:$G$405="")+(職員マスタ!$G$6:$G$405&lt;=EOMONTH($AO1579,0)))&gt;0)*(((職員マスタ!$H$6:$H$405="")+(職員マスタ!$H$6:$H$405&gt;=$AO1579))&gt;0)*(ROW(職員マスタ!$A$6:$A$405)-5))),IFERROR(MATCH($B1579,職員マスタ!$A$6:$A$405,0),"")))</f>
        <v/>
      </c>
      <c r="AO1579" s="16">
        <f>IF(OR($B1579="",$C1579="",$D1579=""),"",DATE($C1579+2018,$D1579,1))</f>
        <v/>
      </c>
    </row>
    <row r="1580">
      <c r="A1580" s="11" t="n"/>
      <c r="B1580" s="12" t="n"/>
      <c r="C1580" s="12" t="n"/>
      <c r="D1580" s="12" t="n"/>
      <c r="E1580" s="13" t="n"/>
      <c r="F1580" s="12" t="n"/>
      <c r="G1580" s="13" t="n"/>
      <c r="H1580" s="12" t="n"/>
      <c r="I1580" s="12" t="n"/>
      <c r="J1580" s="12" t="n"/>
      <c r="K1580" s="12" t="n"/>
      <c r="L1580" s="11" t="n"/>
      <c r="M1580" s="11" t="n"/>
      <c r="N1580" s="11" t="n"/>
      <c r="O1580" s="11" t="n"/>
      <c r="P1580" s="12" t="n"/>
      <c r="Q1580" s="11" t="n"/>
      <c r="R1580" s="12" t="n"/>
      <c r="S1580" s="11" t="n"/>
      <c r="T1580" s="12" t="n"/>
      <c r="U1580" s="12" t="n"/>
      <c r="V1580" s="14">
        <f>IF($AN1580="",IF($B1580="","",$H1580),IF(INDEX(職員マスタ!$B$6:$B$405,$AN1580)="",$H1580,INDEX(職員マスタ!$B$6:$B$405,$AN1580)))</f>
        <v/>
      </c>
      <c r="W1580" s="14">
        <f>IF($AN1580="",IF($B1580="","",$R1580),IF(INDEX(職員マスタ!$C$6:$C$405,$AN1580)="",$R1580,INDEX(職員マスタ!$C$6:$C$405,$AN1580)))</f>
        <v/>
      </c>
      <c r="X1580" s="14">
        <f>IF($AO1580="","","R"&amp;$C1580&amp;"."&amp;$D1580)</f>
        <v/>
      </c>
      <c r="Y1580" s="15">
        <f>IF($AN1580="","",IF(INDEX(職員マスタ!$K$6:$K$405,$AN1580)="","",INDEX(職員マスタ!$K$6:$K$405,$AN1580)))</f>
        <v/>
      </c>
      <c r="Z1580" s="14">
        <f>IF(OR($E1580="",$Y1580=""),"",IF($E1580&gt;=$Y1580,"×",IF($E1580&gt;=$Y1580*設定!$C$5,"△","○")))</f>
        <v/>
      </c>
      <c r="AA1580" s="15">
        <f>IF($Z1580="","",IF($Z1580="×",0,IF($Z1580="○",ROUNDDOWN($E1580*設定!$C$4,0),ROUNDDOWN($E1580*ROUND((9*$Y1580-9*$E1580)/(10*$E1580),4),0))))</f>
        <v/>
      </c>
      <c r="AB1580" s="13" t="n"/>
      <c r="AC1580" s="15">
        <f>IF($B1580="","",IF($AB1580&lt;&gt;"",$AB1580,IF($AA1580="","",IF($AA1580&lt;=設定!$C$3,0,$AA1580))))</f>
        <v/>
      </c>
      <c r="AD1580" s="14">
        <f>IF($B1580="","",IF(AND($AE1580&lt;&gt;"",$AG1580="",$AJ1580=""),"保留中",IF($AJ1580&lt;&gt;"",IF(N($AC1580)&gt;0,"支給済","不支給"),IF($AC1580="","要確認",IF($AC1580=0,"不支給","未処理")))))</f>
        <v/>
      </c>
      <c r="AE1580" s="12" t="n"/>
      <c r="AF1580" s="11" t="n"/>
      <c r="AG1580" s="11" t="n"/>
      <c r="AH1580" s="11" t="n"/>
      <c r="AI1580" s="14">
        <f>IF(AND($AD1580="保留中",$AF1580&lt;&gt;""),TODAY()-$AF1580,"")</f>
        <v/>
      </c>
      <c r="AJ1580" s="12" t="n"/>
      <c r="AK1580" s="14">
        <f>IF($B1580="","",IF($AO1580="","対象年月が未入力／","")&amp;IF($B1580="","",IF($AN1580="","職員マスタに未登録の職員番号／",IF($Y1580="","標準報酬月額が未登録／","")&amp;IF(AND($AO1580&lt;&gt;"",OR(AND(INDEX(職員マスタ!$G$6:$G$405,$AN1580)&lt;&gt;"",INDEX(職員マスタ!$G$6:$G$405,$AN1580)&gt;EOMONTH($AO1580,0)),AND(INDEX(職員マスタ!$H$6:$H$405,$AN1580)&lt;&gt;"",INDEX(職員マスタ!$H$6:$H$405,$AN1580)&lt;$AO1580))),"対象月が時短期間外／","")&amp;IF(AND(INDEX(職員マスタ!$F$6:$F$405,$AN1580)&lt;&gt;"",$AO1580&lt;&gt;"",INDEX(職員マスタ!$F$6:$F$405,$AN1580)&lt;$AO1580),"対象月に子が2歳到達済／","")&amp;IF(AND($H1580&lt;&gt;"",INDEX(職員マスタ!$B$6:$B$405,$AN1580)&lt;&gt;"",SUBSTITUTE(SUBSTITUTE($H1580," ","")," ","")&lt;&gt;SUBSTITUTE(SUBSTITUTE(INDEX(職員マスタ!$B$6:$B$405,$AN1580)," ","")," ","")),"氏名がマスタと相違／","")&amp;IF(AND($Q1580&lt;&gt;"",INDEX(職員マスタ!$E$6:$E$405,$AN1580)&lt;&gt;"",$Q1580&lt;&gt;INDEX(職員マスタ!$E$6:$E$405,$AN1580)),"子の生年月日がマスタと相違／","")&amp;IF(AND($L1580&lt;&gt;"",INDEX(職員マスタ!$G$6:$G$405,$AN1580)&lt;&gt;"",$L1580&lt;&gt;INDEX(職員マスタ!$G$6:$G$405,$AN1580)),"時短開始日がマスタと相違／","")&amp;IF(AND($M1580&lt;&gt;"",INDEX(職員マスタ!$H$6:$H$405,$AN1580)&lt;&gt;"",$M1580&lt;&gt;INDEX(職員マスタ!$H$6:$H$405,$AN1580)),"時短終了日がマスタと相違／","")))&amp;IF(AND($B1580&lt;&gt;"",$E1580=""),"報酬額が未入力／","")&amp;IF(N($U1580)&gt;0,"申請書に入力エラーが残っています／","")&amp;IF(AND($B1580&lt;&gt;"",$AO1580&lt;&gt;""),IF(COUNTIFS($B$6:$B$3005,$B1580,$C$6:$C$3005,$C1580,$D$6:$D$3005,$D1580)&gt;1,"同じ月の請求が重複しています／",""),"")&amp;IF(AND(N($E1580)&gt;0,$Z1580&lt;&gt;"",$Z1580&lt;&gt;"×",$AC1580=0,$AB1580=""),"計算額が下限以下のため不支給／",""))</f>
        <v/>
      </c>
      <c r="AL1580" s="12" t="n"/>
      <c r="AM1580" s="14">
        <f>IF($AD1580="保留中",COUNTIF($AD$6:$AD1580,"保留中"),"")</f>
        <v/>
      </c>
      <c r="AN1580" s="14">
        <f>IF($AO1580="","",IF(SUMPRODUCT(MAX((職員マスタ!$A$6:$A$405=$B1580)*(((職員マスタ!$G$6:$G$405="")+(職員マスタ!$G$6:$G$405&lt;=EOMONTH($AO1580,0)))&gt;0)*(((職員マスタ!$H$6:$H$405="")+(職員マスタ!$H$6:$H$405&gt;=$AO1580))&gt;0)*(ROW(職員マスタ!$A$6:$A$405)-5)))&gt;0,SUMPRODUCT(MAX((職員マスタ!$A$6:$A$405=$B1580)*(((職員マスタ!$G$6:$G$405="")+(職員マスタ!$G$6:$G$405&lt;=EOMONTH($AO1580,0)))&gt;0)*(((職員マスタ!$H$6:$H$405="")+(職員マスタ!$H$6:$H$405&gt;=$AO1580))&gt;0)*(ROW(職員マスタ!$A$6:$A$405)-5))),IFERROR(MATCH($B1580,職員マスタ!$A$6:$A$405,0),"")))</f>
        <v/>
      </c>
      <c r="AO1580" s="16">
        <f>IF(OR($B1580="",$C1580="",$D1580=""),"",DATE($C1580+2018,$D1580,1))</f>
        <v/>
      </c>
    </row>
    <row r="1581">
      <c r="A1581" s="11" t="n"/>
      <c r="B1581" s="12" t="n"/>
      <c r="C1581" s="12" t="n"/>
      <c r="D1581" s="12" t="n"/>
      <c r="E1581" s="13" t="n"/>
      <c r="F1581" s="12" t="n"/>
      <c r="G1581" s="13" t="n"/>
      <c r="H1581" s="12" t="n"/>
      <c r="I1581" s="12" t="n"/>
      <c r="J1581" s="12" t="n"/>
      <c r="K1581" s="12" t="n"/>
      <c r="L1581" s="11" t="n"/>
      <c r="M1581" s="11" t="n"/>
      <c r="N1581" s="11" t="n"/>
      <c r="O1581" s="11" t="n"/>
      <c r="P1581" s="12" t="n"/>
      <c r="Q1581" s="11" t="n"/>
      <c r="R1581" s="12" t="n"/>
      <c r="S1581" s="11" t="n"/>
      <c r="T1581" s="12" t="n"/>
      <c r="U1581" s="12" t="n"/>
      <c r="V1581" s="14">
        <f>IF($AN1581="",IF($B1581="","",$H1581),IF(INDEX(職員マスタ!$B$6:$B$405,$AN1581)="",$H1581,INDEX(職員マスタ!$B$6:$B$405,$AN1581)))</f>
        <v/>
      </c>
      <c r="W1581" s="14">
        <f>IF($AN1581="",IF($B1581="","",$R1581),IF(INDEX(職員マスタ!$C$6:$C$405,$AN1581)="",$R1581,INDEX(職員マスタ!$C$6:$C$405,$AN1581)))</f>
        <v/>
      </c>
      <c r="X1581" s="14">
        <f>IF($AO1581="","","R"&amp;$C1581&amp;"."&amp;$D1581)</f>
        <v/>
      </c>
      <c r="Y1581" s="15">
        <f>IF($AN1581="","",IF(INDEX(職員マスタ!$K$6:$K$405,$AN1581)="","",INDEX(職員マスタ!$K$6:$K$405,$AN1581)))</f>
        <v/>
      </c>
      <c r="Z1581" s="14">
        <f>IF(OR($E1581="",$Y1581=""),"",IF($E1581&gt;=$Y1581,"×",IF($E1581&gt;=$Y1581*設定!$C$5,"△","○")))</f>
        <v/>
      </c>
      <c r="AA1581" s="15">
        <f>IF($Z1581="","",IF($Z1581="×",0,IF($Z1581="○",ROUNDDOWN($E1581*設定!$C$4,0),ROUNDDOWN($E1581*ROUND((9*$Y1581-9*$E1581)/(10*$E1581),4),0))))</f>
        <v/>
      </c>
      <c r="AB1581" s="13" t="n"/>
      <c r="AC1581" s="15">
        <f>IF($B1581="","",IF($AB1581&lt;&gt;"",$AB1581,IF($AA1581="","",IF($AA1581&lt;=設定!$C$3,0,$AA1581))))</f>
        <v/>
      </c>
      <c r="AD1581" s="14">
        <f>IF($B1581="","",IF(AND($AE1581&lt;&gt;"",$AG1581="",$AJ1581=""),"保留中",IF($AJ1581&lt;&gt;"",IF(N($AC1581)&gt;0,"支給済","不支給"),IF($AC1581="","要確認",IF($AC1581=0,"不支給","未処理")))))</f>
        <v/>
      </c>
      <c r="AE1581" s="12" t="n"/>
      <c r="AF1581" s="11" t="n"/>
      <c r="AG1581" s="11" t="n"/>
      <c r="AH1581" s="11" t="n"/>
      <c r="AI1581" s="14">
        <f>IF(AND($AD1581="保留中",$AF1581&lt;&gt;""),TODAY()-$AF1581,"")</f>
        <v/>
      </c>
      <c r="AJ1581" s="12" t="n"/>
      <c r="AK1581" s="14">
        <f>IF($B1581="","",IF($AO1581="","対象年月が未入力／","")&amp;IF($B1581="","",IF($AN1581="","職員マスタに未登録の職員番号／",IF($Y1581="","標準報酬月額が未登録／","")&amp;IF(AND($AO1581&lt;&gt;"",OR(AND(INDEX(職員マスタ!$G$6:$G$405,$AN1581)&lt;&gt;"",INDEX(職員マスタ!$G$6:$G$405,$AN1581)&gt;EOMONTH($AO1581,0)),AND(INDEX(職員マスタ!$H$6:$H$405,$AN1581)&lt;&gt;"",INDEX(職員マスタ!$H$6:$H$405,$AN1581)&lt;$AO1581))),"対象月が時短期間外／","")&amp;IF(AND(INDEX(職員マスタ!$F$6:$F$405,$AN1581)&lt;&gt;"",$AO1581&lt;&gt;"",INDEX(職員マスタ!$F$6:$F$405,$AN1581)&lt;$AO1581),"対象月に子が2歳到達済／","")&amp;IF(AND($H1581&lt;&gt;"",INDEX(職員マスタ!$B$6:$B$405,$AN1581)&lt;&gt;"",SUBSTITUTE(SUBSTITUTE($H1581," ","")," ","")&lt;&gt;SUBSTITUTE(SUBSTITUTE(INDEX(職員マスタ!$B$6:$B$405,$AN1581)," ","")," ","")),"氏名がマスタと相違／","")&amp;IF(AND($Q1581&lt;&gt;"",INDEX(職員マスタ!$E$6:$E$405,$AN1581)&lt;&gt;"",$Q1581&lt;&gt;INDEX(職員マスタ!$E$6:$E$405,$AN1581)),"子の生年月日がマスタと相違／","")&amp;IF(AND($L1581&lt;&gt;"",INDEX(職員マスタ!$G$6:$G$405,$AN1581)&lt;&gt;"",$L1581&lt;&gt;INDEX(職員マスタ!$G$6:$G$405,$AN1581)),"時短開始日がマスタと相違／","")&amp;IF(AND($M1581&lt;&gt;"",INDEX(職員マスタ!$H$6:$H$405,$AN1581)&lt;&gt;"",$M1581&lt;&gt;INDEX(職員マスタ!$H$6:$H$405,$AN1581)),"時短終了日がマスタと相違／","")))&amp;IF(AND($B1581&lt;&gt;"",$E1581=""),"報酬額が未入力／","")&amp;IF(N($U1581)&gt;0,"申請書に入力エラーが残っています／","")&amp;IF(AND($B1581&lt;&gt;"",$AO1581&lt;&gt;""),IF(COUNTIFS($B$6:$B$3005,$B1581,$C$6:$C$3005,$C1581,$D$6:$D$3005,$D1581)&gt;1,"同じ月の請求が重複しています／",""),"")&amp;IF(AND(N($E1581)&gt;0,$Z1581&lt;&gt;"",$Z1581&lt;&gt;"×",$AC1581=0,$AB1581=""),"計算額が下限以下のため不支給／",""))</f>
        <v/>
      </c>
      <c r="AL1581" s="12" t="n"/>
      <c r="AM1581" s="14">
        <f>IF($AD1581="保留中",COUNTIF($AD$6:$AD1581,"保留中"),"")</f>
        <v/>
      </c>
      <c r="AN1581" s="14">
        <f>IF($AO1581="","",IF(SUMPRODUCT(MAX((職員マスタ!$A$6:$A$405=$B1581)*(((職員マスタ!$G$6:$G$405="")+(職員マスタ!$G$6:$G$405&lt;=EOMONTH($AO1581,0)))&gt;0)*(((職員マスタ!$H$6:$H$405="")+(職員マスタ!$H$6:$H$405&gt;=$AO1581))&gt;0)*(ROW(職員マスタ!$A$6:$A$405)-5)))&gt;0,SUMPRODUCT(MAX((職員マスタ!$A$6:$A$405=$B1581)*(((職員マスタ!$G$6:$G$405="")+(職員マスタ!$G$6:$G$405&lt;=EOMONTH($AO1581,0)))&gt;0)*(((職員マスタ!$H$6:$H$405="")+(職員マスタ!$H$6:$H$405&gt;=$AO1581))&gt;0)*(ROW(職員マスタ!$A$6:$A$405)-5))),IFERROR(MATCH($B1581,職員マスタ!$A$6:$A$405,0),"")))</f>
        <v/>
      </c>
      <c r="AO1581" s="16">
        <f>IF(OR($B1581="",$C1581="",$D1581=""),"",DATE($C1581+2018,$D1581,1))</f>
        <v/>
      </c>
    </row>
    <row r="1582">
      <c r="A1582" s="11" t="n"/>
      <c r="B1582" s="12" t="n"/>
      <c r="C1582" s="12" t="n"/>
      <c r="D1582" s="12" t="n"/>
      <c r="E1582" s="13" t="n"/>
      <c r="F1582" s="12" t="n"/>
      <c r="G1582" s="13" t="n"/>
      <c r="H1582" s="12" t="n"/>
      <c r="I1582" s="12" t="n"/>
      <c r="J1582" s="12" t="n"/>
      <c r="K1582" s="12" t="n"/>
      <c r="L1582" s="11" t="n"/>
      <c r="M1582" s="11" t="n"/>
      <c r="N1582" s="11" t="n"/>
      <c r="O1582" s="11" t="n"/>
      <c r="P1582" s="12" t="n"/>
      <c r="Q1582" s="11" t="n"/>
      <c r="R1582" s="12" t="n"/>
      <c r="S1582" s="11" t="n"/>
      <c r="T1582" s="12" t="n"/>
      <c r="U1582" s="12" t="n"/>
      <c r="V1582" s="14">
        <f>IF($AN1582="",IF($B1582="","",$H1582),IF(INDEX(職員マスタ!$B$6:$B$405,$AN1582)="",$H1582,INDEX(職員マスタ!$B$6:$B$405,$AN1582)))</f>
        <v/>
      </c>
      <c r="W1582" s="14">
        <f>IF($AN1582="",IF($B1582="","",$R1582),IF(INDEX(職員マスタ!$C$6:$C$405,$AN1582)="",$R1582,INDEX(職員マスタ!$C$6:$C$405,$AN1582)))</f>
        <v/>
      </c>
      <c r="X1582" s="14">
        <f>IF($AO1582="","","R"&amp;$C1582&amp;"."&amp;$D1582)</f>
        <v/>
      </c>
      <c r="Y1582" s="15">
        <f>IF($AN1582="","",IF(INDEX(職員マスタ!$K$6:$K$405,$AN1582)="","",INDEX(職員マスタ!$K$6:$K$405,$AN1582)))</f>
        <v/>
      </c>
      <c r="Z1582" s="14">
        <f>IF(OR($E1582="",$Y1582=""),"",IF($E1582&gt;=$Y1582,"×",IF($E1582&gt;=$Y1582*設定!$C$5,"△","○")))</f>
        <v/>
      </c>
      <c r="AA1582" s="15">
        <f>IF($Z1582="","",IF($Z1582="×",0,IF($Z1582="○",ROUNDDOWN($E1582*設定!$C$4,0),ROUNDDOWN($E1582*ROUND((9*$Y1582-9*$E1582)/(10*$E1582),4),0))))</f>
        <v/>
      </c>
      <c r="AB1582" s="13" t="n"/>
      <c r="AC1582" s="15">
        <f>IF($B1582="","",IF($AB1582&lt;&gt;"",$AB1582,IF($AA1582="","",IF($AA1582&lt;=設定!$C$3,0,$AA1582))))</f>
        <v/>
      </c>
      <c r="AD1582" s="14">
        <f>IF($B1582="","",IF(AND($AE1582&lt;&gt;"",$AG1582="",$AJ1582=""),"保留中",IF($AJ1582&lt;&gt;"",IF(N($AC1582)&gt;0,"支給済","不支給"),IF($AC1582="","要確認",IF($AC1582=0,"不支給","未処理")))))</f>
        <v/>
      </c>
      <c r="AE1582" s="12" t="n"/>
      <c r="AF1582" s="11" t="n"/>
      <c r="AG1582" s="11" t="n"/>
      <c r="AH1582" s="11" t="n"/>
      <c r="AI1582" s="14">
        <f>IF(AND($AD1582="保留中",$AF1582&lt;&gt;""),TODAY()-$AF1582,"")</f>
        <v/>
      </c>
      <c r="AJ1582" s="12" t="n"/>
      <c r="AK1582" s="14">
        <f>IF($B1582="","",IF($AO1582="","対象年月が未入力／","")&amp;IF($B1582="","",IF($AN1582="","職員マスタに未登録の職員番号／",IF($Y1582="","標準報酬月額が未登録／","")&amp;IF(AND($AO1582&lt;&gt;"",OR(AND(INDEX(職員マスタ!$G$6:$G$405,$AN1582)&lt;&gt;"",INDEX(職員マスタ!$G$6:$G$405,$AN1582)&gt;EOMONTH($AO1582,0)),AND(INDEX(職員マスタ!$H$6:$H$405,$AN1582)&lt;&gt;"",INDEX(職員マスタ!$H$6:$H$405,$AN1582)&lt;$AO1582))),"対象月が時短期間外／","")&amp;IF(AND(INDEX(職員マスタ!$F$6:$F$405,$AN1582)&lt;&gt;"",$AO1582&lt;&gt;"",INDEX(職員マスタ!$F$6:$F$405,$AN1582)&lt;$AO1582),"対象月に子が2歳到達済／","")&amp;IF(AND($H1582&lt;&gt;"",INDEX(職員マスタ!$B$6:$B$405,$AN1582)&lt;&gt;"",SUBSTITUTE(SUBSTITUTE($H1582," ","")," ","")&lt;&gt;SUBSTITUTE(SUBSTITUTE(INDEX(職員マスタ!$B$6:$B$405,$AN1582)," ","")," ","")),"氏名がマスタと相違／","")&amp;IF(AND($Q1582&lt;&gt;"",INDEX(職員マスタ!$E$6:$E$405,$AN1582)&lt;&gt;"",$Q1582&lt;&gt;INDEX(職員マスタ!$E$6:$E$405,$AN1582)),"子の生年月日がマスタと相違／","")&amp;IF(AND($L1582&lt;&gt;"",INDEX(職員マスタ!$G$6:$G$405,$AN1582)&lt;&gt;"",$L1582&lt;&gt;INDEX(職員マスタ!$G$6:$G$405,$AN1582)),"時短開始日がマスタと相違／","")&amp;IF(AND($M1582&lt;&gt;"",INDEX(職員マスタ!$H$6:$H$405,$AN1582)&lt;&gt;"",$M1582&lt;&gt;INDEX(職員マスタ!$H$6:$H$405,$AN1582)),"時短終了日がマスタと相違／","")))&amp;IF(AND($B1582&lt;&gt;"",$E1582=""),"報酬額が未入力／","")&amp;IF(N($U1582)&gt;0,"申請書に入力エラーが残っています／","")&amp;IF(AND($B1582&lt;&gt;"",$AO1582&lt;&gt;""),IF(COUNTIFS($B$6:$B$3005,$B1582,$C$6:$C$3005,$C1582,$D$6:$D$3005,$D1582)&gt;1,"同じ月の請求が重複しています／",""),"")&amp;IF(AND(N($E1582)&gt;0,$Z1582&lt;&gt;"",$Z1582&lt;&gt;"×",$AC1582=0,$AB1582=""),"計算額が下限以下のため不支給／",""))</f>
        <v/>
      </c>
      <c r="AL1582" s="12" t="n"/>
      <c r="AM1582" s="14">
        <f>IF($AD1582="保留中",COUNTIF($AD$6:$AD1582,"保留中"),"")</f>
        <v/>
      </c>
      <c r="AN1582" s="14">
        <f>IF($AO1582="","",IF(SUMPRODUCT(MAX((職員マスタ!$A$6:$A$405=$B1582)*(((職員マスタ!$G$6:$G$405="")+(職員マスタ!$G$6:$G$405&lt;=EOMONTH($AO1582,0)))&gt;0)*(((職員マスタ!$H$6:$H$405="")+(職員マスタ!$H$6:$H$405&gt;=$AO1582))&gt;0)*(ROW(職員マスタ!$A$6:$A$405)-5)))&gt;0,SUMPRODUCT(MAX((職員マスタ!$A$6:$A$405=$B1582)*(((職員マスタ!$G$6:$G$405="")+(職員マスタ!$G$6:$G$405&lt;=EOMONTH($AO1582,0)))&gt;0)*(((職員マスタ!$H$6:$H$405="")+(職員マスタ!$H$6:$H$405&gt;=$AO1582))&gt;0)*(ROW(職員マスタ!$A$6:$A$405)-5))),IFERROR(MATCH($B1582,職員マスタ!$A$6:$A$405,0),"")))</f>
        <v/>
      </c>
      <c r="AO1582" s="16">
        <f>IF(OR($B1582="",$C1582="",$D1582=""),"",DATE($C1582+2018,$D1582,1))</f>
        <v/>
      </c>
    </row>
    <row r="1583">
      <c r="A1583" s="11" t="n"/>
      <c r="B1583" s="12" t="n"/>
      <c r="C1583" s="12" t="n"/>
      <c r="D1583" s="12" t="n"/>
      <c r="E1583" s="13" t="n"/>
      <c r="F1583" s="12" t="n"/>
      <c r="G1583" s="13" t="n"/>
      <c r="H1583" s="12" t="n"/>
      <c r="I1583" s="12" t="n"/>
      <c r="J1583" s="12" t="n"/>
      <c r="K1583" s="12" t="n"/>
      <c r="L1583" s="11" t="n"/>
      <c r="M1583" s="11" t="n"/>
      <c r="N1583" s="11" t="n"/>
      <c r="O1583" s="11" t="n"/>
      <c r="P1583" s="12" t="n"/>
      <c r="Q1583" s="11" t="n"/>
      <c r="R1583" s="12" t="n"/>
      <c r="S1583" s="11" t="n"/>
      <c r="T1583" s="12" t="n"/>
      <c r="U1583" s="12" t="n"/>
      <c r="V1583" s="14">
        <f>IF($AN1583="",IF($B1583="","",$H1583),IF(INDEX(職員マスタ!$B$6:$B$405,$AN1583)="",$H1583,INDEX(職員マスタ!$B$6:$B$405,$AN1583)))</f>
        <v/>
      </c>
      <c r="W1583" s="14">
        <f>IF($AN1583="",IF($B1583="","",$R1583),IF(INDEX(職員マスタ!$C$6:$C$405,$AN1583)="",$R1583,INDEX(職員マスタ!$C$6:$C$405,$AN1583)))</f>
        <v/>
      </c>
      <c r="X1583" s="14">
        <f>IF($AO1583="","","R"&amp;$C1583&amp;"."&amp;$D1583)</f>
        <v/>
      </c>
      <c r="Y1583" s="15">
        <f>IF($AN1583="","",IF(INDEX(職員マスタ!$K$6:$K$405,$AN1583)="","",INDEX(職員マスタ!$K$6:$K$405,$AN1583)))</f>
        <v/>
      </c>
      <c r="Z1583" s="14">
        <f>IF(OR($E1583="",$Y1583=""),"",IF($E1583&gt;=$Y1583,"×",IF($E1583&gt;=$Y1583*設定!$C$5,"△","○")))</f>
        <v/>
      </c>
      <c r="AA1583" s="15">
        <f>IF($Z1583="","",IF($Z1583="×",0,IF($Z1583="○",ROUNDDOWN($E1583*設定!$C$4,0),ROUNDDOWN($E1583*ROUND((9*$Y1583-9*$E1583)/(10*$E1583),4),0))))</f>
        <v/>
      </c>
      <c r="AB1583" s="13" t="n"/>
      <c r="AC1583" s="15">
        <f>IF($B1583="","",IF($AB1583&lt;&gt;"",$AB1583,IF($AA1583="","",IF($AA1583&lt;=設定!$C$3,0,$AA1583))))</f>
        <v/>
      </c>
      <c r="AD1583" s="14">
        <f>IF($B1583="","",IF(AND($AE1583&lt;&gt;"",$AG1583="",$AJ1583=""),"保留中",IF($AJ1583&lt;&gt;"",IF(N($AC1583)&gt;0,"支給済","不支給"),IF($AC1583="","要確認",IF($AC1583=0,"不支給","未処理")))))</f>
        <v/>
      </c>
      <c r="AE1583" s="12" t="n"/>
      <c r="AF1583" s="11" t="n"/>
      <c r="AG1583" s="11" t="n"/>
      <c r="AH1583" s="11" t="n"/>
      <c r="AI1583" s="14">
        <f>IF(AND($AD1583="保留中",$AF1583&lt;&gt;""),TODAY()-$AF1583,"")</f>
        <v/>
      </c>
      <c r="AJ1583" s="12" t="n"/>
      <c r="AK1583" s="14">
        <f>IF($B1583="","",IF($AO1583="","対象年月が未入力／","")&amp;IF($B1583="","",IF($AN1583="","職員マスタに未登録の職員番号／",IF($Y1583="","標準報酬月額が未登録／","")&amp;IF(AND($AO1583&lt;&gt;"",OR(AND(INDEX(職員マスタ!$G$6:$G$405,$AN1583)&lt;&gt;"",INDEX(職員マスタ!$G$6:$G$405,$AN1583)&gt;EOMONTH($AO1583,0)),AND(INDEX(職員マスタ!$H$6:$H$405,$AN1583)&lt;&gt;"",INDEX(職員マスタ!$H$6:$H$405,$AN1583)&lt;$AO1583))),"対象月が時短期間外／","")&amp;IF(AND(INDEX(職員マスタ!$F$6:$F$405,$AN1583)&lt;&gt;"",$AO1583&lt;&gt;"",INDEX(職員マスタ!$F$6:$F$405,$AN1583)&lt;$AO1583),"対象月に子が2歳到達済／","")&amp;IF(AND($H1583&lt;&gt;"",INDEX(職員マスタ!$B$6:$B$405,$AN1583)&lt;&gt;"",SUBSTITUTE(SUBSTITUTE($H1583," ","")," ","")&lt;&gt;SUBSTITUTE(SUBSTITUTE(INDEX(職員マスタ!$B$6:$B$405,$AN1583)," ","")," ","")),"氏名がマスタと相違／","")&amp;IF(AND($Q1583&lt;&gt;"",INDEX(職員マスタ!$E$6:$E$405,$AN1583)&lt;&gt;"",$Q1583&lt;&gt;INDEX(職員マスタ!$E$6:$E$405,$AN1583)),"子の生年月日がマスタと相違／","")&amp;IF(AND($L1583&lt;&gt;"",INDEX(職員マスタ!$G$6:$G$405,$AN1583)&lt;&gt;"",$L1583&lt;&gt;INDEX(職員マスタ!$G$6:$G$405,$AN1583)),"時短開始日がマスタと相違／","")&amp;IF(AND($M1583&lt;&gt;"",INDEX(職員マスタ!$H$6:$H$405,$AN1583)&lt;&gt;"",$M1583&lt;&gt;INDEX(職員マスタ!$H$6:$H$405,$AN1583)),"時短終了日がマスタと相違／","")))&amp;IF(AND($B1583&lt;&gt;"",$E1583=""),"報酬額が未入力／","")&amp;IF(N($U1583)&gt;0,"申請書に入力エラーが残っています／","")&amp;IF(AND($B1583&lt;&gt;"",$AO1583&lt;&gt;""),IF(COUNTIFS($B$6:$B$3005,$B1583,$C$6:$C$3005,$C1583,$D$6:$D$3005,$D1583)&gt;1,"同じ月の請求が重複しています／",""),"")&amp;IF(AND(N($E1583)&gt;0,$Z1583&lt;&gt;"",$Z1583&lt;&gt;"×",$AC1583=0,$AB1583=""),"計算額が下限以下のため不支給／",""))</f>
        <v/>
      </c>
      <c r="AL1583" s="12" t="n"/>
      <c r="AM1583" s="14">
        <f>IF($AD1583="保留中",COUNTIF($AD$6:$AD1583,"保留中"),"")</f>
        <v/>
      </c>
      <c r="AN1583" s="14">
        <f>IF($AO1583="","",IF(SUMPRODUCT(MAX((職員マスタ!$A$6:$A$405=$B1583)*(((職員マスタ!$G$6:$G$405="")+(職員マスタ!$G$6:$G$405&lt;=EOMONTH($AO1583,0)))&gt;0)*(((職員マスタ!$H$6:$H$405="")+(職員マスタ!$H$6:$H$405&gt;=$AO1583))&gt;0)*(ROW(職員マスタ!$A$6:$A$405)-5)))&gt;0,SUMPRODUCT(MAX((職員マスタ!$A$6:$A$405=$B1583)*(((職員マスタ!$G$6:$G$405="")+(職員マスタ!$G$6:$G$405&lt;=EOMONTH($AO1583,0)))&gt;0)*(((職員マスタ!$H$6:$H$405="")+(職員マスタ!$H$6:$H$405&gt;=$AO1583))&gt;0)*(ROW(職員マスタ!$A$6:$A$405)-5))),IFERROR(MATCH($B1583,職員マスタ!$A$6:$A$405,0),"")))</f>
        <v/>
      </c>
      <c r="AO1583" s="16">
        <f>IF(OR($B1583="",$C1583="",$D1583=""),"",DATE($C1583+2018,$D1583,1))</f>
        <v/>
      </c>
    </row>
    <row r="1584">
      <c r="A1584" s="11" t="n"/>
      <c r="B1584" s="12" t="n"/>
      <c r="C1584" s="12" t="n"/>
      <c r="D1584" s="12" t="n"/>
      <c r="E1584" s="13" t="n"/>
      <c r="F1584" s="12" t="n"/>
      <c r="G1584" s="13" t="n"/>
      <c r="H1584" s="12" t="n"/>
      <c r="I1584" s="12" t="n"/>
      <c r="J1584" s="12" t="n"/>
      <c r="K1584" s="12" t="n"/>
      <c r="L1584" s="11" t="n"/>
      <c r="M1584" s="11" t="n"/>
      <c r="N1584" s="11" t="n"/>
      <c r="O1584" s="11" t="n"/>
      <c r="P1584" s="12" t="n"/>
      <c r="Q1584" s="11" t="n"/>
      <c r="R1584" s="12" t="n"/>
      <c r="S1584" s="11" t="n"/>
      <c r="T1584" s="12" t="n"/>
      <c r="U1584" s="12" t="n"/>
      <c r="V1584" s="14">
        <f>IF($AN1584="",IF($B1584="","",$H1584),IF(INDEX(職員マスタ!$B$6:$B$405,$AN1584)="",$H1584,INDEX(職員マスタ!$B$6:$B$405,$AN1584)))</f>
        <v/>
      </c>
      <c r="W1584" s="14">
        <f>IF($AN1584="",IF($B1584="","",$R1584),IF(INDEX(職員マスタ!$C$6:$C$405,$AN1584)="",$R1584,INDEX(職員マスタ!$C$6:$C$405,$AN1584)))</f>
        <v/>
      </c>
      <c r="X1584" s="14">
        <f>IF($AO1584="","","R"&amp;$C1584&amp;"."&amp;$D1584)</f>
        <v/>
      </c>
      <c r="Y1584" s="15">
        <f>IF($AN1584="","",IF(INDEX(職員マスタ!$K$6:$K$405,$AN1584)="","",INDEX(職員マスタ!$K$6:$K$405,$AN1584)))</f>
        <v/>
      </c>
      <c r="Z1584" s="14">
        <f>IF(OR($E1584="",$Y1584=""),"",IF($E1584&gt;=$Y1584,"×",IF($E1584&gt;=$Y1584*設定!$C$5,"△","○")))</f>
        <v/>
      </c>
      <c r="AA1584" s="15">
        <f>IF($Z1584="","",IF($Z1584="×",0,IF($Z1584="○",ROUNDDOWN($E1584*設定!$C$4,0),ROUNDDOWN($E1584*ROUND((9*$Y1584-9*$E1584)/(10*$E1584),4),0))))</f>
        <v/>
      </c>
      <c r="AB1584" s="13" t="n"/>
      <c r="AC1584" s="15">
        <f>IF($B1584="","",IF($AB1584&lt;&gt;"",$AB1584,IF($AA1584="","",IF($AA1584&lt;=設定!$C$3,0,$AA1584))))</f>
        <v/>
      </c>
      <c r="AD1584" s="14">
        <f>IF($B1584="","",IF(AND($AE1584&lt;&gt;"",$AG1584="",$AJ1584=""),"保留中",IF($AJ1584&lt;&gt;"",IF(N($AC1584)&gt;0,"支給済","不支給"),IF($AC1584="","要確認",IF($AC1584=0,"不支給","未処理")))))</f>
        <v/>
      </c>
      <c r="AE1584" s="12" t="n"/>
      <c r="AF1584" s="11" t="n"/>
      <c r="AG1584" s="11" t="n"/>
      <c r="AH1584" s="11" t="n"/>
      <c r="AI1584" s="14">
        <f>IF(AND($AD1584="保留中",$AF1584&lt;&gt;""),TODAY()-$AF1584,"")</f>
        <v/>
      </c>
      <c r="AJ1584" s="12" t="n"/>
      <c r="AK1584" s="14">
        <f>IF($B1584="","",IF($AO1584="","対象年月が未入力／","")&amp;IF($B1584="","",IF($AN1584="","職員マスタに未登録の職員番号／",IF($Y1584="","標準報酬月額が未登録／","")&amp;IF(AND($AO1584&lt;&gt;"",OR(AND(INDEX(職員マスタ!$G$6:$G$405,$AN1584)&lt;&gt;"",INDEX(職員マスタ!$G$6:$G$405,$AN1584)&gt;EOMONTH($AO1584,0)),AND(INDEX(職員マスタ!$H$6:$H$405,$AN1584)&lt;&gt;"",INDEX(職員マスタ!$H$6:$H$405,$AN1584)&lt;$AO1584))),"対象月が時短期間外／","")&amp;IF(AND(INDEX(職員マスタ!$F$6:$F$405,$AN1584)&lt;&gt;"",$AO1584&lt;&gt;"",INDEX(職員マスタ!$F$6:$F$405,$AN1584)&lt;$AO1584),"対象月に子が2歳到達済／","")&amp;IF(AND($H1584&lt;&gt;"",INDEX(職員マスタ!$B$6:$B$405,$AN1584)&lt;&gt;"",SUBSTITUTE(SUBSTITUTE($H1584," ","")," ","")&lt;&gt;SUBSTITUTE(SUBSTITUTE(INDEX(職員マスタ!$B$6:$B$405,$AN1584)," ","")," ","")),"氏名がマスタと相違／","")&amp;IF(AND($Q1584&lt;&gt;"",INDEX(職員マスタ!$E$6:$E$405,$AN1584)&lt;&gt;"",$Q1584&lt;&gt;INDEX(職員マスタ!$E$6:$E$405,$AN1584)),"子の生年月日がマスタと相違／","")&amp;IF(AND($L1584&lt;&gt;"",INDEX(職員マスタ!$G$6:$G$405,$AN1584)&lt;&gt;"",$L1584&lt;&gt;INDEX(職員マスタ!$G$6:$G$405,$AN1584)),"時短開始日がマスタと相違／","")&amp;IF(AND($M1584&lt;&gt;"",INDEX(職員マスタ!$H$6:$H$405,$AN1584)&lt;&gt;"",$M1584&lt;&gt;INDEX(職員マスタ!$H$6:$H$405,$AN1584)),"時短終了日がマスタと相違／","")))&amp;IF(AND($B1584&lt;&gt;"",$E1584=""),"報酬額が未入力／","")&amp;IF(N($U1584)&gt;0,"申請書に入力エラーが残っています／","")&amp;IF(AND($B1584&lt;&gt;"",$AO1584&lt;&gt;""),IF(COUNTIFS($B$6:$B$3005,$B1584,$C$6:$C$3005,$C1584,$D$6:$D$3005,$D1584)&gt;1,"同じ月の請求が重複しています／",""),"")&amp;IF(AND(N($E1584)&gt;0,$Z1584&lt;&gt;"",$Z1584&lt;&gt;"×",$AC1584=0,$AB1584=""),"計算額が下限以下のため不支給／",""))</f>
        <v/>
      </c>
      <c r="AL1584" s="12" t="n"/>
      <c r="AM1584" s="14">
        <f>IF($AD1584="保留中",COUNTIF($AD$6:$AD1584,"保留中"),"")</f>
        <v/>
      </c>
      <c r="AN1584" s="14">
        <f>IF($AO1584="","",IF(SUMPRODUCT(MAX((職員マスタ!$A$6:$A$405=$B1584)*(((職員マスタ!$G$6:$G$405="")+(職員マスタ!$G$6:$G$405&lt;=EOMONTH($AO1584,0)))&gt;0)*(((職員マスタ!$H$6:$H$405="")+(職員マスタ!$H$6:$H$405&gt;=$AO1584))&gt;0)*(ROW(職員マスタ!$A$6:$A$405)-5)))&gt;0,SUMPRODUCT(MAX((職員マスタ!$A$6:$A$405=$B1584)*(((職員マスタ!$G$6:$G$405="")+(職員マスタ!$G$6:$G$405&lt;=EOMONTH($AO1584,0)))&gt;0)*(((職員マスタ!$H$6:$H$405="")+(職員マスタ!$H$6:$H$405&gt;=$AO1584))&gt;0)*(ROW(職員マスタ!$A$6:$A$405)-5))),IFERROR(MATCH($B1584,職員マスタ!$A$6:$A$405,0),"")))</f>
        <v/>
      </c>
      <c r="AO1584" s="16">
        <f>IF(OR($B1584="",$C1584="",$D1584=""),"",DATE($C1584+2018,$D1584,1))</f>
        <v/>
      </c>
    </row>
    <row r="1585">
      <c r="A1585" s="11" t="n"/>
      <c r="B1585" s="12" t="n"/>
      <c r="C1585" s="12" t="n"/>
      <c r="D1585" s="12" t="n"/>
      <c r="E1585" s="13" t="n"/>
      <c r="F1585" s="12" t="n"/>
      <c r="G1585" s="13" t="n"/>
      <c r="H1585" s="12" t="n"/>
      <c r="I1585" s="12" t="n"/>
      <c r="J1585" s="12" t="n"/>
      <c r="K1585" s="12" t="n"/>
      <c r="L1585" s="11" t="n"/>
      <c r="M1585" s="11" t="n"/>
      <c r="N1585" s="11" t="n"/>
      <c r="O1585" s="11" t="n"/>
      <c r="P1585" s="12" t="n"/>
      <c r="Q1585" s="11" t="n"/>
      <c r="R1585" s="12" t="n"/>
      <c r="S1585" s="11" t="n"/>
      <c r="T1585" s="12" t="n"/>
      <c r="U1585" s="12" t="n"/>
      <c r="V1585" s="14">
        <f>IF($AN1585="",IF($B1585="","",$H1585),IF(INDEX(職員マスタ!$B$6:$B$405,$AN1585)="",$H1585,INDEX(職員マスタ!$B$6:$B$405,$AN1585)))</f>
        <v/>
      </c>
      <c r="W1585" s="14">
        <f>IF($AN1585="",IF($B1585="","",$R1585),IF(INDEX(職員マスタ!$C$6:$C$405,$AN1585)="",$R1585,INDEX(職員マスタ!$C$6:$C$405,$AN1585)))</f>
        <v/>
      </c>
      <c r="X1585" s="14">
        <f>IF($AO1585="","","R"&amp;$C1585&amp;"."&amp;$D1585)</f>
        <v/>
      </c>
      <c r="Y1585" s="15">
        <f>IF($AN1585="","",IF(INDEX(職員マスタ!$K$6:$K$405,$AN1585)="","",INDEX(職員マスタ!$K$6:$K$405,$AN1585)))</f>
        <v/>
      </c>
      <c r="Z1585" s="14">
        <f>IF(OR($E1585="",$Y1585=""),"",IF($E1585&gt;=$Y1585,"×",IF($E1585&gt;=$Y1585*設定!$C$5,"△","○")))</f>
        <v/>
      </c>
      <c r="AA1585" s="15">
        <f>IF($Z1585="","",IF($Z1585="×",0,IF($Z1585="○",ROUNDDOWN($E1585*設定!$C$4,0),ROUNDDOWN($E1585*ROUND((9*$Y1585-9*$E1585)/(10*$E1585),4),0))))</f>
        <v/>
      </c>
      <c r="AB1585" s="13" t="n"/>
      <c r="AC1585" s="15">
        <f>IF($B1585="","",IF($AB1585&lt;&gt;"",$AB1585,IF($AA1585="","",IF($AA1585&lt;=設定!$C$3,0,$AA1585))))</f>
        <v/>
      </c>
      <c r="AD1585" s="14">
        <f>IF($B1585="","",IF(AND($AE1585&lt;&gt;"",$AG1585="",$AJ1585=""),"保留中",IF($AJ1585&lt;&gt;"",IF(N($AC1585)&gt;0,"支給済","不支給"),IF($AC1585="","要確認",IF($AC1585=0,"不支給","未処理")))))</f>
        <v/>
      </c>
      <c r="AE1585" s="12" t="n"/>
      <c r="AF1585" s="11" t="n"/>
      <c r="AG1585" s="11" t="n"/>
      <c r="AH1585" s="11" t="n"/>
      <c r="AI1585" s="14">
        <f>IF(AND($AD1585="保留中",$AF1585&lt;&gt;""),TODAY()-$AF1585,"")</f>
        <v/>
      </c>
      <c r="AJ1585" s="12" t="n"/>
      <c r="AK1585" s="14">
        <f>IF($B1585="","",IF($AO1585="","対象年月が未入力／","")&amp;IF($B1585="","",IF($AN1585="","職員マスタに未登録の職員番号／",IF($Y1585="","標準報酬月額が未登録／","")&amp;IF(AND($AO1585&lt;&gt;"",OR(AND(INDEX(職員マスタ!$G$6:$G$405,$AN1585)&lt;&gt;"",INDEX(職員マスタ!$G$6:$G$405,$AN1585)&gt;EOMONTH($AO1585,0)),AND(INDEX(職員マスタ!$H$6:$H$405,$AN1585)&lt;&gt;"",INDEX(職員マスタ!$H$6:$H$405,$AN1585)&lt;$AO1585))),"対象月が時短期間外／","")&amp;IF(AND(INDEX(職員マスタ!$F$6:$F$405,$AN1585)&lt;&gt;"",$AO1585&lt;&gt;"",INDEX(職員マスタ!$F$6:$F$405,$AN1585)&lt;$AO1585),"対象月に子が2歳到達済／","")&amp;IF(AND($H1585&lt;&gt;"",INDEX(職員マスタ!$B$6:$B$405,$AN1585)&lt;&gt;"",SUBSTITUTE(SUBSTITUTE($H1585," ","")," ","")&lt;&gt;SUBSTITUTE(SUBSTITUTE(INDEX(職員マスタ!$B$6:$B$405,$AN1585)," ","")," ","")),"氏名がマスタと相違／","")&amp;IF(AND($Q1585&lt;&gt;"",INDEX(職員マスタ!$E$6:$E$405,$AN1585)&lt;&gt;"",$Q1585&lt;&gt;INDEX(職員マスタ!$E$6:$E$405,$AN1585)),"子の生年月日がマスタと相違／","")&amp;IF(AND($L1585&lt;&gt;"",INDEX(職員マスタ!$G$6:$G$405,$AN1585)&lt;&gt;"",$L1585&lt;&gt;INDEX(職員マスタ!$G$6:$G$405,$AN1585)),"時短開始日がマスタと相違／","")&amp;IF(AND($M1585&lt;&gt;"",INDEX(職員マスタ!$H$6:$H$405,$AN1585)&lt;&gt;"",$M1585&lt;&gt;INDEX(職員マスタ!$H$6:$H$405,$AN1585)),"時短終了日がマスタと相違／","")))&amp;IF(AND($B1585&lt;&gt;"",$E1585=""),"報酬額が未入力／","")&amp;IF(N($U1585)&gt;0,"申請書に入力エラーが残っています／","")&amp;IF(AND($B1585&lt;&gt;"",$AO1585&lt;&gt;""),IF(COUNTIFS($B$6:$B$3005,$B1585,$C$6:$C$3005,$C1585,$D$6:$D$3005,$D1585)&gt;1,"同じ月の請求が重複しています／",""),"")&amp;IF(AND(N($E1585)&gt;0,$Z1585&lt;&gt;"",$Z1585&lt;&gt;"×",$AC1585=0,$AB1585=""),"計算額が下限以下のため不支給／",""))</f>
        <v/>
      </c>
      <c r="AL1585" s="12" t="n"/>
      <c r="AM1585" s="14">
        <f>IF($AD1585="保留中",COUNTIF($AD$6:$AD1585,"保留中"),"")</f>
        <v/>
      </c>
      <c r="AN1585" s="14">
        <f>IF($AO1585="","",IF(SUMPRODUCT(MAX((職員マスタ!$A$6:$A$405=$B1585)*(((職員マスタ!$G$6:$G$405="")+(職員マスタ!$G$6:$G$405&lt;=EOMONTH($AO1585,0)))&gt;0)*(((職員マスタ!$H$6:$H$405="")+(職員マスタ!$H$6:$H$405&gt;=$AO1585))&gt;0)*(ROW(職員マスタ!$A$6:$A$405)-5)))&gt;0,SUMPRODUCT(MAX((職員マスタ!$A$6:$A$405=$B1585)*(((職員マスタ!$G$6:$G$405="")+(職員マスタ!$G$6:$G$405&lt;=EOMONTH($AO1585,0)))&gt;0)*(((職員マスタ!$H$6:$H$405="")+(職員マスタ!$H$6:$H$405&gt;=$AO1585))&gt;0)*(ROW(職員マスタ!$A$6:$A$405)-5))),IFERROR(MATCH($B1585,職員マスタ!$A$6:$A$405,0),"")))</f>
        <v/>
      </c>
      <c r="AO1585" s="16">
        <f>IF(OR($B1585="",$C1585="",$D1585=""),"",DATE($C1585+2018,$D1585,1))</f>
        <v/>
      </c>
    </row>
    <row r="1586">
      <c r="A1586" s="11" t="n"/>
      <c r="B1586" s="12" t="n"/>
      <c r="C1586" s="12" t="n"/>
      <c r="D1586" s="12" t="n"/>
      <c r="E1586" s="13" t="n"/>
      <c r="F1586" s="12" t="n"/>
      <c r="G1586" s="13" t="n"/>
      <c r="H1586" s="12" t="n"/>
      <c r="I1586" s="12" t="n"/>
      <c r="J1586" s="12" t="n"/>
      <c r="K1586" s="12" t="n"/>
      <c r="L1586" s="11" t="n"/>
      <c r="M1586" s="11" t="n"/>
      <c r="N1586" s="11" t="n"/>
      <c r="O1586" s="11" t="n"/>
      <c r="P1586" s="12" t="n"/>
      <c r="Q1586" s="11" t="n"/>
      <c r="R1586" s="12" t="n"/>
      <c r="S1586" s="11" t="n"/>
      <c r="T1586" s="12" t="n"/>
      <c r="U1586" s="12" t="n"/>
      <c r="V1586" s="14">
        <f>IF($AN1586="",IF($B1586="","",$H1586),IF(INDEX(職員マスタ!$B$6:$B$405,$AN1586)="",$H1586,INDEX(職員マスタ!$B$6:$B$405,$AN1586)))</f>
        <v/>
      </c>
      <c r="W1586" s="14">
        <f>IF($AN1586="",IF($B1586="","",$R1586),IF(INDEX(職員マスタ!$C$6:$C$405,$AN1586)="",$R1586,INDEX(職員マスタ!$C$6:$C$405,$AN1586)))</f>
        <v/>
      </c>
      <c r="X1586" s="14">
        <f>IF($AO1586="","","R"&amp;$C1586&amp;"."&amp;$D1586)</f>
        <v/>
      </c>
      <c r="Y1586" s="15">
        <f>IF($AN1586="","",IF(INDEX(職員マスタ!$K$6:$K$405,$AN1586)="","",INDEX(職員マスタ!$K$6:$K$405,$AN1586)))</f>
        <v/>
      </c>
      <c r="Z1586" s="14">
        <f>IF(OR($E1586="",$Y1586=""),"",IF($E1586&gt;=$Y1586,"×",IF($E1586&gt;=$Y1586*設定!$C$5,"△","○")))</f>
        <v/>
      </c>
      <c r="AA1586" s="15">
        <f>IF($Z1586="","",IF($Z1586="×",0,IF($Z1586="○",ROUNDDOWN($E1586*設定!$C$4,0),ROUNDDOWN($E1586*ROUND((9*$Y1586-9*$E1586)/(10*$E1586),4),0))))</f>
        <v/>
      </c>
      <c r="AB1586" s="13" t="n"/>
      <c r="AC1586" s="15">
        <f>IF($B1586="","",IF($AB1586&lt;&gt;"",$AB1586,IF($AA1586="","",IF($AA1586&lt;=設定!$C$3,0,$AA1586))))</f>
        <v/>
      </c>
      <c r="AD1586" s="14">
        <f>IF($B1586="","",IF(AND($AE1586&lt;&gt;"",$AG1586="",$AJ1586=""),"保留中",IF($AJ1586&lt;&gt;"",IF(N($AC1586)&gt;0,"支給済","不支給"),IF($AC1586="","要確認",IF($AC1586=0,"不支給","未処理")))))</f>
        <v/>
      </c>
      <c r="AE1586" s="12" t="n"/>
      <c r="AF1586" s="11" t="n"/>
      <c r="AG1586" s="11" t="n"/>
      <c r="AH1586" s="11" t="n"/>
      <c r="AI1586" s="14">
        <f>IF(AND($AD1586="保留中",$AF1586&lt;&gt;""),TODAY()-$AF1586,"")</f>
        <v/>
      </c>
      <c r="AJ1586" s="12" t="n"/>
      <c r="AK1586" s="14">
        <f>IF($B1586="","",IF($AO1586="","対象年月が未入力／","")&amp;IF($B1586="","",IF($AN1586="","職員マスタに未登録の職員番号／",IF($Y1586="","標準報酬月額が未登録／","")&amp;IF(AND($AO1586&lt;&gt;"",OR(AND(INDEX(職員マスタ!$G$6:$G$405,$AN1586)&lt;&gt;"",INDEX(職員マスタ!$G$6:$G$405,$AN1586)&gt;EOMONTH($AO1586,0)),AND(INDEX(職員マスタ!$H$6:$H$405,$AN1586)&lt;&gt;"",INDEX(職員マスタ!$H$6:$H$405,$AN1586)&lt;$AO1586))),"対象月が時短期間外／","")&amp;IF(AND(INDEX(職員マスタ!$F$6:$F$405,$AN1586)&lt;&gt;"",$AO1586&lt;&gt;"",INDEX(職員マスタ!$F$6:$F$405,$AN1586)&lt;$AO1586),"対象月に子が2歳到達済／","")&amp;IF(AND($H1586&lt;&gt;"",INDEX(職員マスタ!$B$6:$B$405,$AN1586)&lt;&gt;"",SUBSTITUTE(SUBSTITUTE($H1586," ","")," ","")&lt;&gt;SUBSTITUTE(SUBSTITUTE(INDEX(職員マスタ!$B$6:$B$405,$AN1586)," ","")," ","")),"氏名がマスタと相違／","")&amp;IF(AND($Q1586&lt;&gt;"",INDEX(職員マスタ!$E$6:$E$405,$AN1586)&lt;&gt;"",$Q1586&lt;&gt;INDEX(職員マスタ!$E$6:$E$405,$AN1586)),"子の生年月日がマスタと相違／","")&amp;IF(AND($L1586&lt;&gt;"",INDEX(職員マスタ!$G$6:$G$405,$AN1586)&lt;&gt;"",$L1586&lt;&gt;INDEX(職員マスタ!$G$6:$G$405,$AN1586)),"時短開始日がマスタと相違／","")&amp;IF(AND($M1586&lt;&gt;"",INDEX(職員マスタ!$H$6:$H$405,$AN1586)&lt;&gt;"",$M1586&lt;&gt;INDEX(職員マスタ!$H$6:$H$405,$AN1586)),"時短終了日がマスタと相違／","")))&amp;IF(AND($B1586&lt;&gt;"",$E1586=""),"報酬額が未入力／","")&amp;IF(N($U1586)&gt;0,"申請書に入力エラーが残っています／","")&amp;IF(AND($B1586&lt;&gt;"",$AO1586&lt;&gt;""),IF(COUNTIFS($B$6:$B$3005,$B1586,$C$6:$C$3005,$C1586,$D$6:$D$3005,$D1586)&gt;1,"同じ月の請求が重複しています／",""),"")&amp;IF(AND(N($E1586)&gt;0,$Z1586&lt;&gt;"",$Z1586&lt;&gt;"×",$AC1586=0,$AB1586=""),"計算額が下限以下のため不支給／",""))</f>
        <v/>
      </c>
      <c r="AL1586" s="12" t="n"/>
      <c r="AM1586" s="14">
        <f>IF($AD1586="保留中",COUNTIF($AD$6:$AD1586,"保留中"),"")</f>
        <v/>
      </c>
      <c r="AN1586" s="14">
        <f>IF($AO1586="","",IF(SUMPRODUCT(MAX((職員マスタ!$A$6:$A$405=$B1586)*(((職員マスタ!$G$6:$G$405="")+(職員マスタ!$G$6:$G$405&lt;=EOMONTH($AO1586,0)))&gt;0)*(((職員マスタ!$H$6:$H$405="")+(職員マスタ!$H$6:$H$405&gt;=$AO1586))&gt;0)*(ROW(職員マスタ!$A$6:$A$405)-5)))&gt;0,SUMPRODUCT(MAX((職員マスタ!$A$6:$A$405=$B1586)*(((職員マスタ!$G$6:$G$405="")+(職員マスタ!$G$6:$G$405&lt;=EOMONTH($AO1586,0)))&gt;0)*(((職員マスタ!$H$6:$H$405="")+(職員マスタ!$H$6:$H$405&gt;=$AO1586))&gt;0)*(ROW(職員マスタ!$A$6:$A$405)-5))),IFERROR(MATCH($B1586,職員マスタ!$A$6:$A$405,0),"")))</f>
        <v/>
      </c>
      <c r="AO1586" s="16">
        <f>IF(OR($B1586="",$C1586="",$D1586=""),"",DATE($C1586+2018,$D1586,1))</f>
        <v/>
      </c>
    </row>
    <row r="1587">
      <c r="A1587" s="11" t="n"/>
      <c r="B1587" s="12" t="n"/>
      <c r="C1587" s="12" t="n"/>
      <c r="D1587" s="12" t="n"/>
      <c r="E1587" s="13" t="n"/>
      <c r="F1587" s="12" t="n"/>
      <c r="G1587" s="13" t="n"/>
      <c r="H1587" s="12" t="n"/>
      <c r="I1587" s="12" t="n"/>
      <c r="J1587" s="12" t="n"/>
      <c r="K1587" s="12" t="n"/>
      <c r="L1587" s="11" t="n"/>
      <c r="M1587" s="11" t="n"/>
      <c r="N1587" s="11" t="n"/>
      <c r="O1587" s="11" t="n"/>
      <c r="P1587" s="12" t="n"/>
      <c r="Q1587" s="11" t="n"/>
      <c r="R1587" s="12" t="n"/>
      <c r="S1587" s="11" t="n"/>
      <c r="T1587" s="12" t="n"/>
      <c r="U1587" s="12" t="n"/>
      <c r="V1587" s="14">
        <f>IF($AN1587="",IF($B1587="","",$H1587),IF(INDEX(職員マスタ!$B$6:$B$405,$AN1587)="",$H1587,INDEX(職員マスタ!$B$6:$B$405,$AN1587)))</f>
        <v/>
      </c>
      <c r="W1587" s="14">
        <f>IF($AN1587="",IF($B1587="","",$R1587),IF(INDEX(職員マスタ!$C$6:$C$405,$AN1587)="",$R1587,INDEX(職員マスタ!$C$6:$C$405,$AN1587)))</f>
        <v/>
      </c>
      <c r="X1587" s="14">
        <f>IF($AO1587="","","R"&amp;$C1587&amp;"."&amp;$D1587)</f>
        <v/>
      </c>
      <c r="Y1587" s="15">
        <f>IF($AN1587="","",IF(INDEX(職員マスタ!$K$6:$K$405,$AN1587)="","",INDEX(職員マスタ!$K$6:$K$405,$AN1587)))</f>
        <v/>
      </c>
      <c r="Z1587" s="14">
        <f>IF(OR($E1587="",$Y1587=""),"",IF($E1587&gt;=$Y1587,"×",IF($E1587&gt;=$Y1587*設定!$C$5,"△","○")))</f>
        <v/>
      </c>
      <c r="AA1587" s="15">
        <f>IF($Z1587="","",IF($Z1587="×",0,IF($Z1587="○",ROUNDDOWN($E1587*設定!$C$4,0),ROUNDDOWN($E1587*ROUND((9*$Y1587-9*$E1587)/(10*$E1587),4),0))))</f>
        <v/>
      </c>
      <c r="AB1587" s="13" t="n"/>
      <c r="AC1587" s="15">
        <f>IF($B1587="","",IF($AB1587&lt;&gt;"",$AB1587,IF($AA1587="","",IF($AA1587&lt;=設定!$C$3,0,$AA1587))))</f>
        <v/>
      </c>
      <c r="AD1587" s="14">
        <f>IF($B1587="","",IF(AND($AE1587&lt;&gt;"",$AG1587="",$AJ1587=""),"保留中",IF($AJ1587&lt;&gt;"",IF(N($AC1587)&gt;0,"支給済","不支給"),IF($AC1587="","要確認",IF($AC1587=0,"不支給","未処理")))))</f>
        <v/>
      </c>
      <c r="AE1587" s="12" t="n"/>
      <c r="AF1587" s="11" t="n"/>
      <c r="AG1587" s="11" t="n"/>
      <c r="AH1587" s="11" t="n"/>
      <c r="AI1587" s="14">
        <f>IF(AND($AD1587="保留中",$AF1587&lt;&gt;""),TODAY()-$AF1587,"")</f>
        <v/>
      </c>
      <c r="AJ1587" s="12" t="n"/>
      <c r="AK1587" s="14">
        <f>IF($B1587="","",IF($AO1587="","対象年月が未入力／","")&amp;IF($B1587="","",IF($AN1587="","職員マスタに未登録の職員番号／",IF($Y1587="","標準報酬月額が未登録／","")&amp;IF(AND($AO1587&lt;&gt;"",OR(AND(INDEX(職員マスタ!$G$6:$G$405,$AN1587)&lt;&gt;"",INDEX(職員マスタ!$G$6:$G$405,$AN1587)&gt;EOMONTH($AO1587,0)),AND(INDEX(職員マスタ!$H$6:$H$405,$AN1587)&lt;&gt;"",INDEX(職員マスタ!$H$6:$H$405,$AN1587)&lt;$AO1587))),"対象月が時短期間外／","")&amp;IF(AND(INDEX(職員マスタ!$F$6:$F$405,$AN1587)&lt;&gt;"",$AO1587&lt;&gt;"",INDEX(職員マスタ!$F$6:$F$405,$AN1587)&lt;$AO1587),"対象月に子が2歳到達済／","")&amp;IF(AND($H1587&lt;&gt;"",INDEX(職員マスタ!$B$6:$B$405,$AN1587)&lt;&gt;"",SUBSTITUTE(SUBSTITUTE($H1587," ","")," ","")&lt;&gt;SUBSTITUTE(SUBSTITUTE(INDEX(職員マスタ!$B$6:$B$405,$AN1587)," ","")," ","")),"氏名がマスタと相違／","")&amp;IF(AND($Q1587&lt;&gt;"",INDEX(職員マスタ!$E$6:$E$405,$AN1587)&lt;&gt;"",$Q1587&lt;&gt;INDEX(職員マスタ!$E$6:$E$405,$AN1587)),"子の生年月日がマスタと相違／","")&amp;IF(AND($L1587&lt;&gt;"",INDEX(職員マスタ!$G$6:$G$405,$AN1587)&lt;&gt;"",$L1587&lt;&gt;INDEX(職員マスタ!$G$6:$G$405,$AN1587)),"時短開始日がマスタと相違／","")&amp;IF(AND($M1587&lt;&gt;"",INDEX(職員マスタ!$H$6:$H$405,$AN1587)&lt;&gt;"",$M1587&lt;&gt;INDEX(職員マスタ!$H$6:$H$405,$AN1587)),"時短終了日がマスタと相違／","")))&amp;IF(AND($B1587&lt;&gt;"",$E1587=""),"報酬額が未入力／","")&amp;IF(N($U1587)&gt;0,"申請書に入力エラーが残っています／","")&amp;IF(AND($B1587&lt;&gt;"",$AO1587&lt;&gt;""),IF(COUNTIFS($B$6:$B$3005,$B1587,$C$6:$C$3005,$C1587,$D$6:$D$3005,$D1587)&gt;1,"同じ月の請求が重複しています／",""),"")&amp;IF(AND(N($E1587)&gt;0,$Z1587&lt;&gt;"",$Z1587&lt;&gt;"×",$AC1587=0,$AB1587=""),"計算額が下限以下のため不支給／",""))</f>
        <v/>
      </c>
      <c r="AL1587" s="12" t="n"/>
      <c r="AM1587" s="14">
        <f>IF($AD1587="保留中",COUNTIF($AD$6:$AD1587,"保留中"),"")</f>
        <v/>
      </c>
      <c r="AN1587" s="14">
        <f>IF($AO1587="","",IF(SUMPRODUCT(MAX((職員マスタ!$A$6:$A$405=$B1587)*(((職員マスタ!$G$6:$G$405="")+(職員マスタ!$G$6:$G$405&lt;=EOMONTH($AO1587,0)))&gt;0)*(((職員マスタ!$H$6:$H$405="")+(職員マスタ!$H$6:$H$405&gt;=$AO1587))&gt;0)*(ROW(職員マスタ!$A$6:$A$405)-5)))&gt;0,SUMPRODUCT(MAX((職員マスタ!$A$6:$A$405=$B1587)*(((職員マスタ!$G$6:$G$405="")+(職員マスタ!$G$6:$G$405&lt;=EOMONTH($AO1587,0)))&gt;0)*(((職員マスタ!$H$6:$H$405="")+(職員マスタ!$H$6:$H$405&gt;=$AO1587))&gt;0)*(ROW(職員マスタ!$A$6:$A$405)-5))),IFERROR(MATCH($B1587,職員マスタ!$A$6:$A$405,0),"")))</f>
        <v/>
      </c>
      <c r="AO1587" s="16">
        <f>IF(OR($B1587="",$C1587="",$D1587=""),"",DATE($C1587+2018,$D1587,1))</f>
        <v/>
      </c>
    </row>
    <row r="1588">
      <c r="A1588" s="11" t="n"/>
      <c r="B1588" s="12" t="n"/>
      <c r="C1588" s="12" t="n"/>
      <c r="D1588" s="12" t="n"/>
      <c r="E1588" s="13" t="n"/>
      <c r="F1588" s="12" t="n"/>
      <c r="G1588" s="13" t="n"/>
      <c r="H1588" s="12" t="n"/>
      <c r="I1588" s="12" t="n"/>
      <c r="J1588" s="12" t="n"/>
      <c r="K1588" s="12" t="n"/>
      <c r="L1588" s="11" t="n"/>
      <c r="M1588" s="11" t="n"/>
      <c r="N1588" s="11" t="n"/>
      <c r="O1588" s="11" t="n"/>
      <c r="P1588" s="12" t="n"/>
      <c r="Q1588" s="11" t="n"/>
      <c r="R1588" s="12" t="n"/>
      <c r="S1588" s="11" t="n"/>
      <c r="T1588" s="12" t="n"/>
      <c r="U1588" s="12" t="n"/>
      <c r="V1588" s="14">
        <f>IF($AN1588="",IF($B1588="","",$H1588),IF(INDEX(職員マスタ!$B$6:$B$405,$AN1588)="",$H1588,INDEX(職員マスタ!$B$6:$B$405,$AN1588)))</f>
        <v/>
      </c>
      <c r="W1588" s="14">
        <f>IF($AN1588="",IF($B1588="","",$R1588),IF(INDEX(職員マスタ!$C$6:$C$405,$AN1588)="",$R1588,INDEX(職員マスタ!$C$6:$C$405,$AN1588)))</f>
        <v/>
      </c>
      <c r="X1588" s="14">
        <f>IF($AO1588="","","R"&amp;$C1588&amp;"."&amp;$D1588)</f>
        <v/>
      </c>
      <c r="Y1588" s="15">
        <f>IF($AN1588="","",IF(INDEX(職員マスタ!$K$6:$K$405,$AN1588)="","",INDEX(職員マスタ!$K$6:$K$405,$AN1588)))</f>
        <v/>
      </c>
      <c r="Z1588" s="14">
        <f>IF(OR($E1588="",$Y1588=""),"",IF($E1588&gt;=$Y1588,"×",IF($E1588&gt;=$Y1588*設定!$C$5,"△","○")))</f>
        <v/>
      </c>
      <c r="AA1588" s="15">
        <f>IF($Z1588="","",IF($Z1588="×",0,IF($Z1588="○",ROUNDDOWN($E1588*設定!$C$4,0),ROUNDDOWN($E1588*ROUND((9*$Y1588-9*$E1588)/(10*$E1588),4),0))))</f>
        <v/>
      </c>
      <c r="AB1588" s="13" t="n"/>
      <c r="AC1588" s="15">
        <f>IF($B1588="","",IF($AB1588&lt;&gt;"",$AB1588,IF($AA1588="","",IF($AA1588&lt;=設定!$C$3,0,$AA1588))))</f>
        <v/>
      </c>
      <c r="AD1588" s="14">
        <f>IF($B1588="","",IF(AND($AE1588&lt;&gt;"",$AG1588="",$AJ1588=""),"保留中",IF($AJ1588&lt;&gt;"",IF(N($AC1588)&gt;0,"支給済","不支給"),IF($AC1588="","要確認",IF($AC1588=0,"不支給","未処理")))))</f>
        <v/>
      </c>
      <c r="AE1588" s="12" t="n"/>
      <c r="AF1588" s="11" t="n"/>
      <c r="AG1588" s="11" t="n"/>
      <c r="AH1588" s="11" t="n"/>
      <c r="AI1588" s="14">
        <f>IF(AND($AD1588="保留中",$AF1588&lt;&gt;""),TODAY()-$AF1588,"")</f>
        <v/>
      </c>
      <c r="AJ1588" s="12" t="n"/>
      <c r="AK1588" s="14">
        <f>IF($B1588="","",IF($AO1588="","対象年月が未入力／","")&amp;IF($B1588="","",IF($AN1588="","職員マスタに未登録の職員番号／",IF($Y1588="","標準報酬月額が未登録／","")&amp;IF(AND($AO1588&lt;&gt;"",OR(AND(INDEX(職員マスタ!$G$6:$G$405,$AN1588)&lt;&gt;"",INDEX(職員マスタ!$G$6:$G$405,$AN1588)&gt;EOMONTH($AO1588,0)),AND(INDEX(職員マスタ!$H$6:$H$405,$AN1588)&lt;&gt;"",INDEX(職員マスタ!$H$6:$H$405,$AN1588)&lt;$AO1588))),"対象月が時短期間外／","")&amp;IF(AND(INDEX(職員マスタ!$F$6:$F$405,$AN1588)&lt;&gt;"",$AO1588&lt;&gt;"",INDEX(職員マスタ!$F$6:$F$405,$AN1588)&lt;$AO1588),"対象月に子が2歳到達済／","")&amp;IF(AND($H1588&lt;&gt;"",INDEX(職員マスタ!$B$6:$B$405,$AN1588)&lt;&gt;"",SUBSTITUTE(SUBSTITUTE($H1588," ","")," ","")&lt;&gt;SUBSTITUTE(SUBSTITUTE(INDEX(職員マスタ!$B$6:$B$405,$AN1588)," ","")," ","")),"氏名がマスタと相違／","")&amp;IF(AND($Q1588&lt;&gt;"",INDEX(職員マスタ!$E$6:$E$405,$AN1588)&lt;&gt;"",$Q1588&lt;&gt;INDEX(職員マスタ!$E$6:$E$405,$AN1588)),"子の生年月日がマスタと相違／","")&amp;IF(AND($L1588&lt;&gt;"",INDEX(職員マスタ!$G$6:$G$405,$AN1588)&lt;&gt;"",$L1588&lt;&gt;INDEX(職員マスタ!$G$6:$G$405,$AN1588)),"時短開始日がマスタと相違／","")&amp;IF(AND($M1588&lt;&gt;"",INDEX(職員マスタ!$H$6:$H$405,$AN1588)&lt;&gt;"",$M1588&lt;&gt;INDEX(職員マスタ!$H$6:$H$405,$AN1588)),"時短終了日がマスタと相違／","")))&amp;IF(AND($B1588&lt;&gt;"",$E1588=""),"報酬額が未入力／","")&amp;IF(N($U1588)&gt;0,"申請書に入力エラーが残っています／","")&amp;IF(AND($B1588&lt;&gt;"",$AO1588&lt;&gt;""),IF(COUNTIFS($B$6:$B$3005,$B1588,$C$6:$C$3005,$C1588,$D$6:$D$3005,$D1588)&gt;1,"同じ月の請求が重複しています／",""),"")&amp;IF(AND(N($E1588)&gt;0,$Z1588&lt;&gt;"",$Z1588&lt;&gt;"×",$AC1588=0,$AB1588=""),"計算額が下限以下のため不支給／",""))</f>
        <v/>
      </c>
      <c r="AL1588" s="12" t="n"/>
      <c r="AM1588" s="14">
        <f>IF($AD1588="保留中",COUNTIF($AD$6:$AD1588,"保留中"),"")</f>
        <v/>
      </c>
      <c r="AN1588" s="14">
        <f>IF($AO1588="","",IF(SUMPRODUCT(MAX((職員マスタ!$A$6:$A$405=$B1588)*(((職員マスタ!$G$6:$G$405="")+(職員マスタ!$G$6:$G$405&lt;=EOMONTH($AO1588,0)))&gt;0)*(((職員マスタ!$H$6:$H$405="")+(職員マスタ!$H$6:$H$405&gt;=$AO1588))&gt;0)*(ROW(職員マスタ!$A$6:$A$405)-5)))&gt;0,SUMPRODUCT(MAX((職員マスタ!$A$6:$A$405=$B1588)*(((職員マスタ!$G$6:$G$405="")+(職員マスタ!$G$6:$G$405&lt;=EOMONTH($AO1588,0)))&gt;0)*(((職員マスタ!$H$6:$H$405="")+(職員マスタ!$H$6:$H$405&gt;=$AO1588))&gt;0)*(ROW(職員マスタ!$A$6:$A$405)-5))),IFERROR(MATCH($B1588,職員マスタ!$A$6:$A$405,0),"")))</f>
        <v/>
      </c>
      <c r="AO1588" s="16">
        <f>IF(OR($B1588="",$C1588="",$D1588=""),"",DATE($C1588+2018,$D1588,1))</f>
        <v/>
      </c>
    </row>
    <row r="1589">
      <c r="A1589" s="11" t="n"/>
      <c r="B1589" s="12" t="n"/>
      <c r="C1589" s="12" t="n"/>
      <c r="D1589" s="12" t="n"/>
      <c r="E1589" s="13" t="n"/>
      <c r="F1589" s="12" t="n"/>
      <c r="G1589" s="13" t="n"/>
      <c r="H1589" s="12" t="n"/>
      <c r="I1589" s="12" t="n"/>
      <c r="J1589" s="12" t="n"/>
      <c r="K1589" s="12" t="n"/>
      <c r="L1589" s="11" t="n"/>
      <c r="M1589" s="11" t="n"/>
      <c r="N1589" s="11" t="n"/>
      <c r="O1589" s="11" t="n"/>
      <c r="P1589" s="12" t="n"/>
      <c r="Q1589" s="11" t="n"/>
      <c r="R1589" s="12" t="n"/>
      <c r="S1589" s="11" t="n"/>
      <c r="T1589" s="12" t="n"/>
      <c r="U1589" s="12" t="n"/>
      <c r="V1589" s="14">
        <f>IF($AN1589="",IF($B1589="","",$H1589),IF(INDEX(職員マスタ!$B$6:$B$405,$AN1589)="",$H1589,INDEX(職員マスタ!$B$6:$B$405,$AN1589)))</f>
        <v/>
      </c>
      <c r="W1589" s="14">
        <f>IF($AN1589="",IF($B1589="","",$R1589),IF(INDEX(職員マスタ!$C$6:$C$405,$AN1589)="",$R1589,INDEX(職員マスタ!$C$6:$C$405,$AN1589)))</f>
        <v/>
      </c>
      <c r="X1589" s="14">
        <f>IF($AO1589="","","R"&amp;$C1589&amp;"."&amp;$D1589)</f>
        <v/>
      </c>
      <c r="Y1589" s="15">
        <f>IF($AN1589="","",IF(INDEX(職員マスタ!$K$6:$K$405,$AN1589)="","",INDEX(職員マスタ!$K$6:$K$405,$AN1589)))</f>
        <v/>
      </c>
      <c r="Z1589" s="14">
        <f>IF(OR($E1589="",$Y1589=""),"",IF($E1589&gt;=$Y1589,"×",IF($E1589&gt;=$Y1589*設定!$C$5,"△","○")))</f>
        <v/>
      </c>
      <c r="AA1589" s="15">
        <f>IF($Z1589="","",IF($Z1589="×",0,IF($Z1589="○",ROUNDDOWN($E1589*設定!$C$4,0),ROUNDDOWN($E1589*ROUND((9*$Y1589-9*$E1589)/(10*$E1589),4),0))))</f>
        <v/>
      </c>
      <c r="AB1589" s="13" t="n"/>
      <c r="AC1589" s="15">
        <f>IF($B1589="","",IF($AB1589&lt;&gt;"",$AB1589,IF($AA1589="","",IF($AA1589&lt;=設定!$C$3,0,$AA1589))))</f>
        <v/>
      </c>
      <c r="AD1589" s="14">
        <f>IF($B1589="","",IF(AND($AE1589&lt;&gt;"",$AG1589="",$AJ1589=""),"保留中",IF($AJ1589&lt;&gt;"",IF(N($AC1589)&gt;0,"支給済","不支給"),IF($AC1589="","要確認",IF($AC1589=0,"不支給","未処理")))))</f>
        <v/>
      </c>
      <c r="AE1589" s="12" t="n"/>
      <c r="AF1589" s="11" t="n"/>
      <c r="AG1589" s="11" t="n"/>
      <c r="AH1589" s="11" t="n"/>
      <c r="AI1589" s="14">
        <f>IF(AND($AD1589="保留中",$AF1589&lt;&gt;""),TODAY()-$AF1589,"")</f>
        <v/>
      </c>
      <c r="AJ1589" s="12" t="n"/>
      <c r="AK1589" s="14">
        <f>IF($B1589="","",IF($AO1589="","対象年月が未入力／","")&amp;IF($B1589="","",IF($AN1589="","職員マスタに未登録の職員番号／",IF($Y1589="","標準報酬月額が未登録／","")&amp;IF(AND($AO1589&lt;&gt;"",OR(AND(INDEX(職員マスタ!$G$6:$G$405,$AN1589)&lt;&gt;"",INDEX(職員マスタ!$G$6:$G$405,$AN1589)&gt;EOMONTH($AO1589,0)),AND(INDEX(職員マスタ!$H$6:$H$405,$AN1589)&lt;&gt;"",INDEX(職員マスタ!$H$6:$H$405,$AN1589)&lt;$AO1589))),"対象月が時短期間外／","")&amp;IF(AND(INDEX(職員マスタ!$F$6:$F$405,$AN1589)&lt;&gt;"",$AO1589&lt;&gt;"",INDEX(職員マスタ!$F$6:$F$405,$AN1589)&lt;$AO1589),"対象月に子が2歳到達済／","")&amp;IF(AND($H1589&lt;&gt;"",INDEX(職員マスタ!$B$6:$B$405,$AN1589)&lt;&gt;"",SUBSTITUTE(SUBSTITUTE($H1589," ","")," ","")&lt;&gt;SUBSTITUTE(SUBSTITUTE(INDEX(職員マスタ!$B$6:$B$405,$AN1589)," ","")," ","")),"氏名がマスタと相違／","")&amp;IF(AND($Q1589&lt;&gt;"",INDEX(職員マスタ!$E$6:$E$405,$AN1589)&lt;&gt;"",$Q1589&lt;&gt;INDEX(職員マスタ!$E$6:$E$405,$AN1589)),"子の生年月日がマスタと相違／","")&amp;IF(AND($L1589&lt;&gt;"",INDEX(職員マスタ!$G$6:$G$405,$AN1589)&lt;&gt;"",$L1589&lt;&gt;INDEX(職員マスタ!$G$6:$G$405,$AN1589)),"時短開始日がマスタと相違／","")&amp;IF(AND($M1589&lt;&gt;"",INDEX(職員マスタ!$H$6:$H$405,$AN1589)&lt;&gt;"",$M1589&lt;&gt;INDEX(職員マスタ!$H$6:$H$405,$AN1589)),"時短終了日がマスタと相違／","")))&amp;IF(AND($B1589&lt;&gt;"",$E1589=""),"報酬額が未入力／","")&amp;IF(N($U1589)&gt;0,"申請書に入力エラーが残っています／","")&amp;IF(AND($B1589&lt;&gt;"",$AO1589&lt;&gt;""),IF(COUNTIFS($B$6:$B$3005,$B1589,$C$6:$C$3005,$C1589,$D$6:$D$3005,$D1589)&gt;1,"同じ月の請求が重複しています／",""),"")&amp;IF(AND(N($E1589)&gt;0,$Z1589&lt;&gt;"",$Z1589&lt;&gt;"×",$AC1589=0,$AB1589=""),"計算額が下限以下のため不支給／",""))</f>
        <v/>
      </c>
      <c r="AL1589" s="12" t="n"/>
      <c r="AM1589" s="14">
        <f>IF($AD1589="保留中",COUNTIF($AD$6:$AD1589,"保留中"),"")</f>
        <v/>
      </c>
      <c r="AN1589" s="14">
        <f>IF($AO1589="","",IF(SUMPRODUCT(MAX((職員マスタ!$A$6:$A$405=$B1589)*(((職員マスタ!$G$6:$G$405="")+(職員マスタ!$G$6:$G$405&lt;=EOMONTH($AO1589,0)))&gt;0)*(((職員マスタ!$H$6:$H$405="")+(職員マスタ!$H$6:$H$405&gt;=$AO1589))&gt;0)*(ROW(職員マスタ!$A$6:$A$405)-5)))&gt;0,SUMPRODUCT(MAX((職員マスタ!$A$6:$A$405=$B1589)*(((職員マスタ!$G$6:$G$405="")+(職員マスタ!$G$6:$G$405&lt;=EOMONTH($AO1589,0)))&gt;0)*(((職員マスタ!$H$6:$H$405="")+(職員マスタ!$H$6:$H$405&gt;=$AO1589))&gt;0)*(ROW(職員マスタ!$A$6:$A$405)-5))),IFERROR(MATCH($B1589,職員マスタ!$A$6:$A$405,0),"")))</f>
        <v/>
      </c>
      <c r="AO1589" s="16">
        <f>IF(OR($B1589="",$C1589="",$D1589=""),"",DATE($C1589+2018,$D1589,1))</f>
        <v/>
      </c>
    </row>
    <row r="1590">
      <c r="A1590" s="11" t="n"/>
      <c r="B1590" s="12" t="n"/>
      <c r="C1590" s="12" t="n"/>
      <c r="D1590" s="12" t="n"/>
      <c r="E1590" s="13" t="n"/>
      <c r="F1590" s="12" t="n"/>
      <c r="G1590" s="13" t="n"/>
      <c r="H1590" s="12" t="n"/>
      <c r="I1590" s="12" t="n"/>
      <c r="J1590" s="12" t="n"/>
      <c r="K1590" s="12" t="n"/>
      <c r="L1590" s="11" t="n"/>
      <c r="M1590" s="11" t="n"/>
      <c r="N1590" s="11" t="n"/>
      <c r="O1590" s="11" t="n"/>
      <c r="P1590" s="12" t="n"/>
      <c r="Q1590" s="11" t="n"/>
      <c r="R1590" s="12" t="n"/>
      <c r="S1590" s="11" t="n"/>
      <c r="T1590" s="12" t="n"/>
      <c r="U1590" s="12" t="n"/>
      <c r="V1590" s="14">
        <f>IF($AN1590="",IF($B1590="","",$H1590),IF(INDEX(職員マスタ!$B$6:$B$405,$AN1590)="",$H1590,INDEX(職員マスタ!$B$6:$B$405,$AN1590)))</f>
        <v/>
      </c>
      <c r="W1590" s="14">
        <f>IF($AN1590="",IF($B1590="","",$R1590),IF(INDEX(職員マスタ!$C$6:$C$405,$AN1590)="",$R1590,INDEX(職員マスタ!$C$6:$C$405,$AN1590)))</f>
        <v/>
      </c>
      <c r="X1590" s="14">
        <f>IF($AO1590="","","R"&amp;$C1590&amp;"."&amp;$D1590)</f>
        <v/>
      </c>
      <c r="Y1590" s="15">
        <f>IF($AN1590="","",IF(INDEX(職員マスタ!$K$6:$K$405,$AN1590)="","",INDEX(職員マスタ!$K$6:$K$405,$AN1590)))</f>
        <v/>
      </c>
      <c r="Z1590" s="14">
        <f>IF(OR($E1590="",$Y1590=""),"",IF($E1590&gt;=$Y1590,"×",IF($E1590&gt;=$Y1590*設定!$C$5,"△","○")))</f>
        <v/>
      </c>
      <c r="AA1590" s="15">
        <f>IF($Z1590="","",IF($Z1590="×",0,IF($Z1590="○",ROUNDDOWN($E1590*設定!$C$4,0),ROUNDDOWN($E1590*ROUND((9*$Y1590-9*$E1590)/(10*$E1590),4),0))))</f>
        <v/>
      </c>
      <c r="AB1590" s="13" t="n"/>
      <c r="AC1590" s="15">
        <f>IF($B1590="","",IF($AB1590&lt;&gt;"",$AB1590,IF($AA1590="","",IF($AA1590&lt;=設定!$C$3,0,$AA1590))))</f>
        <v/>
      </c>
      <c r="AD1590" s="14">
        <f>IF($B1590="","",IF(AND($AE1590&lt;&gt;"",$AG1590="",$AJ1590=""),"保留中",IF($AJ1590&lt;&gt;"",IF(N($AC1590)&gt;0,"支給済","不支給"),IF($AC1590="","要確認",IF($AC1590=0,"不支給","未処理")))))</f>
        <v/>
      </c>
      <c r="AE1590" s="12" t="n"/>
      <c r="AF1590" s="11" t="n"/>
      <c r="AG1590" s="11" t="n"/>
      <c r="AH1590" s="11" t="n"/>
      <c r="AI1590" s="14">
        <f>IF(AND($AD1590="保留中",$AF1590&lt;&gt;""),TODAY()-$AF1590,"")</f>
        <v/>
      </c>
      <c r="AJ1590" s="12" t="n"/>
      <c r="AK1590" s="14">
        <f>IF($B1590="","",IF($AO1590="","対象年月が未入力／","")&amp;IF($B1590="","",IF($AN1590="","職員マスタに未登録の職員番号／",IF($Y1590="","標準報酬月額が未登録／","")&amp;IF(AND($AO1590&lt;&gt;"",OR(AND(INDEX(職員マスタ!$G$6:$G$405,$AN1590)&lt;&gt;"",INDEX(職員マスタ!$G$6:$G$405,$AN1590)&gt;EOMONTH($AO1590,0)),AND(INDEX(職員マスタ!$H$6:$H$405,$AN1590)&lt;&gt;"",INDEX(職員マスタ!$H$6:$H$405,$AN1590)&lt;$AO1590))),"対象月が時短期間外／","")&amp;IF(AND(INDEX(職員マスタ!$F$6:$F$405,$AN1590)&lt;&gt;"",$AO1590&lt;&gt;"",INDEX(職員マスタ!$F$6:$F$405,$AN1590)&lt;$AO1590),"対象月に子が2歳到達済／","")&amp;IF(AND($H1590&lt;&gt;"",INDEX(職員マスタ!$B$6:$B$405,$AN1590)&lt;&gt;"",SUBSTITUTE(SUBSTITUTE($H1590," ","")," ","")&lt;&gt;SUBSTITUTE(SUBSTITUTE(INDEX(職員マスタ!$B$6:$B$405,$AN1590)," ","")," ","")),"氏名がマスタと相違／","")&amp;IF(AND($Q1590&lt;&gt;"",INDEX(職員マスタ!$E$6:$E$405,$AN1590)&lt;&gt;"",$Q1590&lt;&gt;INDEX(職員マスタ!$E$6:$E$405,$AN1590)),"子の生年月日がマスタと相違／","")&amp;IF(AND($L1590&lt;&gt;"",INDEX(職員マスタ!$G$6:$G$405,$AN1590)&lt;&gt;"",$L1590&lt;&gt;INDEX(職員マスタ!$G$6:$G$405,$AN1590)),"時短開始日がマスタと相違／","")&amp;IF(AND($M1590&lt;&gt;"",INDEX(職員マスタ!$H$6:$H$405,$AN1590)&lt;&gt;"",$M1590&lt;&gt;INDEX(職員マスタ!$H$6:$H$405,$AN1590)),"時短終了日がマスタと相違／","")))&amp;IF(AND($B1590&lt;&gt;"",$E1590=""),"報酬額が未入力／","")&amp;IF(N($U1590)&gt;0,"申請書に入力エラーが残っています／","")&amp;IF(AND($B1590&lt;&gt;"",$AO1590&lt;&gt;""),IF(COUNTIFS($B$6:$B$3005,$B1590,$C$6:$C$3005,$C1590,$D$6:$D$3005,$D1590)&gt;1,"同じ月の請求が重複しています／",""),"")&amp;IF(AND(N($E1590)&gt;0,$Z1590&lt;&gt;"",$Z1590&lt;&gt;"×",$AC1590=0,$AB1590=""),"計算額が下限以下のため不支給／",""))</f>
        <v/>
      </c>
      <c r="AL1590" s="12" t="n"/>
      <c r="AM1590" s="14">
        <f>IF($AD1590="保留中",COUNTIF($AD$6:$AD1590,"保留中"),"")</f>
        <v/>
      </c>
      <c r="AN1590" s="14">
        <f>IF($AO1590="","",IF(SUMPRODUCT(MAX((職員マスタ!$A$6:$A$405=$B1590)*(((職員マスタ!$G$6:$G$405="")+(職員マスタ!$G$6:$G$405&lt;=EOMONTH($AO1590,0)))&gt;0)*(((職員マスタ!$H$6:$H$405="")+(職員マスタ!$H$6:$H$405&gt;=$AO1590))&gt;0)*(ROW(職員マスタ!$A$6:$A$405)-5)))&gt;0,SUMPRODUCT(MAX((職員マスタ!$A$6:$A$405=$B1590)*(((職員マスタ!$G$6:$G$405="")+(職員マスタ!$G$6:$G$405&lt;=EOMONTH($AO1590,0)))&gt;0)*(((職員マスタ!$H$6:$H$405="")+(職員マスタ!$H$6:$H$405&gt;=$AO1590))&gt;0)*(ROW(職員マスタ!$A$6:$A$405)-5))),IFERROR(MATCH($B1590,職員マスタ!$A$6:$A$405,0),"")))</f>
        <v/>
      </c>
      <c r="AO1590" s="16">
        <f>IF(OR($B1590="",$C1590="",$D1590=""),"",DATE($C1590+2018,$D1590,1))</f>
        <v/>
      </c>
    </row>
    <row r="1591">
      <c r="A1591" s="11" t="n"/>
      <c r="B1591" s="12" t="n"/>
      <c r="C1591" s="12" t="n"/>
      <c r="D1591" s="12" t="n"/>
      <c r="E1591" s="13" t="n"/>
      <c r="F1591" s="12" t="n"/>
      <c r="G1591" s="13" t="n"/>
      <c r="H1591" s="12" t="n"/>
      <c r="I1591" s="12" t="n"/>
      <c r="J1591" s="12" t="n"/>
      <c r="K1591" s="12" t="n"/>
      <c r="L1591" s="11" t="n"/>
      <c r="M1591" s="11" t="n"/>
      <c r="N1591" s="11" t="n"/>
      <c r="O1591" s="11" t="n"/>
      <c r="P1591" s="12" t="n"/>
      <c r="Q1591" s="11" t="n"/>
      <c r="R1591" s="12" t="n"/>
      <c r="S1591" s="11" t="n"/>
      <c r="T1591" s="12" t="n"/>
      <c r="U1591" s="12" t="n"/>
      <c r="V1591" s="14">
        <f>IF($AN1591="",IF($B1591="","",$H1591),IF(INDEX(職員マスタ!$B$6:$B$405,$AN1591)="",$H1591,INDEX(職員マスタ!$B$6:$B$405,$AN1591)))</f>
        <v/>
      </c>
      <c r="W1591" s="14">
        <f>IF($AN1591="",IF($B1591="","",$R1591),IF(INDEX(職員マスタ!$C$6:$C$405,$AN1591)="",$R1591,INDEX(職員マスタ!$C$6:$C$405,$AN1591)))</f>
        <v/>
      </c>
      <c r="X1591" s="14">
        <f>IF($AO1591="","","R"&amp;$C1591&amp;"."&amp;$D1591)</f>
        <v/>
      </c>
      <c r="Y1591" s="15">
        <f>IF($AN1591="","",IF(INDEX(職員マスタ!$K$6:$K$405,$AN1591)="","",INDEX(職員マスタ!$K$6:$K$405,$AN1591)))</f>
        <v/>
      </c>
      <c r="Z1591" s="14">
        <f>IF(OR($E1591="",$Y1591=""),"",IF($E1591&gt;=$Y1591,"×",IF($E1591&gt;=$Y1591*設定!$C$5,"△","○")))</f>
        <v/>
      </c>
      <c r="AA1591" s="15">
        <f>IF($Z1591="","",IF($Z1591="×",0,IF($Z1591="○",ROUNDDOWN($E1591*設定!$C$4,0),ROUNDDOWN($E1591*ROUND((9*$Y1591-9*$E1591)/(10*$E1591),4),0))))</f>
        <v/>
      </c>
      <c r="AB1591" s="13" t="n"/>
      <c r="AC1591" s="15">
        <f>IF($B1591="","",IF($AB1591&lt;&gt;"",$AB1591,IF($AA1591="","",IF($AA1591&lt;=設定!$C$3,0,$AA1591))))</f>
        <v/>
      </c>
      <c r="AD1591" s="14">
        <f>IF($B1591="","",IF(AND($AE1591&lt;&gt;"",$AG1591="",$AJ1591=""),"保留中",IF($AJ1591&lt;&gt;"",IF(N($AC1591)&gt;0,"支給済","不支給"),IF($AC1591="","要確認",IF($AC1591=0,"不支給","未処理")))))</f>
        <v/>
      </c>
      <c r="AE1591" s="12" t="n"/>
      <c r="AF1591" s="11" t="n"/>
      <c r="AG1591" s="11" t="n"/>
      <c r="AH1591" s="11" t="n"/>
      <c r="AI1591" s="14">
        <f>IF(AND($AD1591="保留中",$AF1591&lt;&gt;""),TODAY()-$AF1591,"")</f>
        <v/>
      </c>
      <c r="AJ1591" s="12" t="n"/>
      <c r="AK1591" s="14">
        <f>IF($B1591="","",IF($AO1591="","対象年月が未入力／","")&amp;IF($B1591="","",IF($AN1591="","職員マスタに未登録の職員番号／",IF($Y1591="","標準報酬月額が未登録／","")&amp;IF(AND($AO1591&lt;&gt;"",OR(AND(INDEX(職員マスタ!$G$6:$G$405,$AN1591)&lt;&gt;"",INDEX(職員マスタ!$G$6:$G$405,$AN1591)&gt;EOMONTH($AO1591,0)),AND(INDEX(職員マスタ!$H$6:$H$405,$AN1591)&lt;&gt;"",INDEX(職員マスタ!$H$6:$H$405,$AN1591)&lt;$AO1591))),"対象月が時短期間外／","")&amp;IF(AND(INDEX(職員マスタ!$F$6:$F$405,$AN1591)&lt;&gt;"",$AO1591&lt;&gt;"",INDEX(職員マスタ!$F$6:$F$405,$AN1591)&lt;$AO1591),"対象月に子が2歳到達済／","")&amp;IF(AND($H1591&lt;&gt;"",INDEX(職員マスタ!$B$6:$B$405,$AN1591)&lt;&gt;"",SUBSTITUTE(SUBSTITUTE($H1591," ","")," ","")&lt;&gt;SUBSTITUTE(SUBSTITUTE(INDEX(職員マスタ!$B$6:$B$405,$AN1591)," ","")," ","")),"氏名がマスタと相違／","")&amp;IF(AND($Q1591&lt;&gt;"",INDEX(職員マスタ!$E$6:$E$405,$AN1591)&lt;&gt;"",$Q1591&lt;&gt;INDEX(職員マスタ!$E$6:$E$405,$AN1591)),"子の生年月日がマスタと相違／","")&amp;IF(AND($L1591&lt;&gt;"",INDEX(職員マスタ!$G$6:$G$405,$AN1591)&lt;&gt;"",$L1591&lt;&gt;INDEX(職員マスタ!$G$6:$G$405,$AN1591)),"時短開始日がマスタと相違／","")&amp;IF(AND($M1591&lt;&gt;"",INDEX(職員マスタ!$H$6:$H$405,$AN1591)&lt;&gt;"",$M1591&lt;&gt;INDEX(職員マスタ!$H$6:$H$405,$AN1591)),"時短終了日がマスタと相違／","")))&amp;IF(AND($B1591&lt;&gt;"",$E1591=""),"報酬額が未入力／","")&amp;IF(N($U1591)&gt;0,"申請書に入力エラーが残っています／","")&amp;IF(AND($B1591&lt;&gt;"",$AO1591&lt;&gt;""),IF(COUNTIFS($B$6:$B$3005,$B1591,$C$6:$C$3005,$C1591,$D$6:$D$3005,$D1591)&gt;1,"同じ月の請求が重複しています／",""),"")&amp;IF(AND(N($E1591)&gt;0,$Z1591&lt;&gt;"",$Z1591&lt;&gt;"×",$AC1591=0,$AB1591=""),"計算額が下限以下のため不支給／",""))</f>
        <v/>
      </c>
      <c r="AL1591" s="12" t="n"/>
      <c r="AM1591" s="14">
        <f>IF($AD1591="保留中",COUNTIF($AD$6:$AD1591,"保留中"),"")</f>
        <v/>
      </c>
      <c r="AN1591" s="14">
        <f>IF($AO1591="","",IF(SUMPRODUCT(MAX((職員マスタ!$A$6:$A$405=$B1591)*(((職員マスタ!$G$6:$G$405="")+(職員マスタ!$G$6:$G$405&lt;=EOMONTH($AO1591,0)))&gt;0)*(((職員マスタ!$H$6:$H$405="")+(職員マスタ!$H$6:$H$405&gt;=$AO1591))&gt;0)*(ROW(職員マスタ!$A$6:$A$405)-5)))&gt;0,SUMPRODUCT(MAX((職員マスタ!$A$6:$A$405=$B1591)*(((職員マスタ!$G$6:$G$405="")+(職員マスタ!$G$6:$G$405&lt;=EOMONTH($AO1591,0)))&gt;0)*(((職員マスタ!$H$6:$H$405="")+(職員マスタ!$H$6:$H$405&gt;=$AO1591))&gt;0)*(ROW(職員マスタ!$A$6:$A$405)-5))),IFERROR(MATCH($B1591,職員マスタ!$A$6:$A$405,0),"")))</f>
        <v/>
      </c>
      <c r="AO1591" s="16">
        <f>IF(OR($B1591="",$C1591="",$D1591=""),"",DATE($C1591+2018,$D1591,1))</f>
        <v/>
      </c>
    </row>
    <row r="1592">
      <c r="A1592" s="11" t="n"/>
      <c r="B1592" s="12" t="n"/>
      <c r="C1592" s="12" t="n"/>
      <c r="D1592" s="12" t="n"/>
      <c r="E1592" s="13" t="n"/>
      <c r="F1592" s="12" t="n"/>
      <c r="G1592" s="13" t="n"/>
      <c r="H1592" s="12" t="n"/>
      <c r="I1592" s="12" t="n"/>
      <c r="J1592" s="12" t="n"/>
      <c r="K1592" s="12" t="n"/>
      <c r="L1592" s="11" t="n"/>
      <c r="M1592" s="11" t="n"/>
      <c r="N1592" s="11" t="n"/>
      <c r="O1592" s="11" t="n"/>
      <c r="P1592" s="12" t="n"/>
      <c r="Q1592" s="11" t="n"/>
      <c r="R1592" s="12" t="n"/>
      <c r="S1592" s="11" t="n"/>
      <c r="T1592" s="12" t="n"/>
      <c r="U1592" s="12" t="n"/>
      <c r="V1592" s="14">
        <f>IF($AN1592="",IF($B1592="","",$H1592),IF(INDEX(職員マスタ!$B$6:$B$405,$AN1592)="",$H1592,INDEX(職員マスタ!$B$6:$B$405,$AN1592)))</f>
        <v/>
      </c>
      <c r="W1592" s="14">
        <f>IF($AN1592="",IF($B1592="","",$R1592),IF(INDEX(職員マスタ!$C$6:$C$405,$AN1592)="",$R1592,INDEX(職員マスタ!$C$6:$C$405,$AN1592)))</f>
        <v/>
      </c>
      <c r="X1592" s="14">
        <f>IF($AO1592="","","R"&amp;$C1592&amp;"."&amp;$D1592)</f>
        <v/>
      </c>
      <c r="Y1592" s="15">
        <f>IF($AN1592="","",IF(INDEX(職員マスタ!$K$6:$K$405,$AN1592)="","",INDEX(職員マスタ!$K$6:$K$405,$AN1592)))</f>
        <v/>
      </c>
      <c r="Z1592" s="14">
        <f>IF(OR($E1592="",$Y1592=""),"",IF($E1592&gt;=$Y1592,"×",IF($E1592&gt;=$Y1592*設定!$C$5,"△","○")))</f>
        <v/>
      </c>
      <c r="AA1592" s="15">
        <f>IF($Z1592="","",IF($Z1592="×",0,IF($Z1592="○",ROUNDDOWN($E1592*設定!$C$4,0),ROUNDDOWN($E1592*ROUND((9*$Y1592-9*$E1592)/(10*$E1592),4),0))))</f>
        <v/>
      </c>
      <c r="AB1592" s="13" t="n"/>
      <c r="AC1592" s="15">
        <f>IF($B1592="","",IF($AB1592&lt;&gt;"",$AB1592,IF($AA1592="","",IF($AA1592&lt;=設定!$C$3,0,$AA1592))))</f>
        <v/>
      </c>
      <c r="AD1592" s="14">
        <f>IF($B1592="","",IF(AND($AE1592&lt;&gt;"",$AG1592="",$AJ1592=""),"保留中",IF($AJ1592&lt;&gt;"",IF(N($AC1592)&gt;0,"支給済","不支給"),IF($AC1592="","要確認",IF($AC1592=0,"不支給","未処理")))))</f>
        <v/>
      </c>
      <c r="AE1592" s="12" t="n"/>
      <c r="AF1592" s="11" t="n"/>
      <c r="AG1592" s="11" t="n"/>
      <c r="AH1592" s="11" t="n"/>
      <c r="AI1592" s="14">
        <f>IF(AND($AD1592="保留中",$AF1592&lt;&gt;""),TODAY()-$AF1592,"")</f>
        <v/>
      </c>
      <c r="AJ1592" s="12" t="n"/>
      <c r="AK1592" s="14">
        <f>IF($B1592="","",IF($AO1592="","対象年月が未入力／","")&amp;IF($B1592="","",IF($AN1592="","職員マスタに未登録の職員番号／",IF($Y1592="","標準報酬月額が未登録／","")&amp;IF(AND($AO1592&lt;&gt;"",OR(AND(INDEX(職員マスタ!$G$6:$G$405,$AN1592)&lt;&gt;"",INDEX(職員マスタ!$G$6:$G$405,$AN1592)&gt;EOMONTH($AO1592,0)),AND(INDEX(職員マスタ!$H$6:$H$405,$AN1592)&lt;&gt;"",INDEX(職員マスタ!$H$6:$H$405,$AN1592)&lt;$AO1592))),"対象月が時短期間外／","")&amp;IF(AND(INDEX(職員マスタ!$F$6:$F$405,$AN1592)&lt;&gt;"",$AO1592&lt;&gt;"",INDEX(職員マスタ!$F$6:$F$405,$AN1592)&lt;$AO1592),"対象月に子が2歳到達済／","")&amp;IF(AND($H1592&lt;&gt;"",INDEX(職員マスタ!$B$6:$B$405,$AN1592)&lt;&gt;"",SUBSTITUTE(SUBSTITUTE($H1592," ","")," ","")&lt;&gt;SUBSTITUTE(SUBSTITUTE(INDEX(職員マスタ!$B$6:$B$405,$AN1592)," ","")," ","")),"氏名がマスタと相違／","")&amp;IF(AND($Q1592&lt;&gt;"",INDEX(職員マスタ!$E$6:$E$405,$AN1592)&lt;&gt;"",$Q1592&lt;&gt;INDEX(職員マスタ!$E$6:$E$405,$AN1592)),"子の生年月日がマスタと相違／","")&amp;IF(AND($L1592&lt;&gt;"",INDEX(職員マスタ!$G$6:$G$405,$AN1592)&lt;&gt;"",$L1592&lt;&gt;INDEX(職員マスタ!$G$6:$G$405,$AN1592)),"時短開始日がマスタと相違／","")&amp;IF(AND($M1592&lt;&gt;"",INDEX(職員マスタ!$H$6:$H$405,$AN1592)&lt;&gt;"",$M1592&lt;&gt;INDEX(職員マスタ!$H$6:$H$405,$AN1592)),"時短終了日がマスタと相違／","")))&amp;IF(AND($B1592&lt;&gt;"",$E1592=""),"報酬額が未入力／","")&amp;IF(N($U1592)&gt;0,"申請書に入力エラーが残っています／","")&amp;IF(AND($B1592&lt;&gt;"",$AO1592&lt;&gt;""),IF(COUNTIFS($B$6:$B$3005,$B1592,$C$6:$C$3005,$C1592,$D$6:$D$3005,$D1592)&gt;1,"同じ月の請求が重複しています／",""),"")&amp;IF(AND(N($E1592)&gt;0,$Z1592&lt;&gt;"",$Z1592&lt;&gt;"×",$AC1592=0,$AB1592=""),"計算額が下限以下のため不支給／",""))</f>
        <v/>
      </c>
      <c r="AL1592" s="12" t="n"/>
      <c r="AM1592" s="14">
        <f>IF($AD1592="保留中",COUNTIF($AD$6:$AD1592,"保留中"),"")</f>
        <v/>
      </c>
      <c r="AN1592" s="14">
        <f>IF($AO1592="","",IF(SUMPRODUCT(MAX((職員マスタ!$A$6:$A$405=$B1592)*(((職員マスタ!$G$6:$G$405="")+(職員マスタ!$G$6:$G$405&lt;=EOMONTH($AO1592,0)))&gt;0)*(((職員マスタ!$H$6:$H$405="")+(職員マスタ!$H$6:$H$405&gt;=$AO1592))&gt;0)*(ROW(職員マスタ!$A$6:$A$405)-5)))&gt;0,SUMPRODUCT(MAX((職員マスタ!$A$6:$A$405=$B1592)*(((職員マスタ!$G$6:$G$405="")+(職員マスタ!$G$6:$G$405&lt;=EOMONTH($AO1592,0)))&gt;0)*(((職員マスタ!$H$6:$H$405="")+(職員マスタ!$H$6:$H$405&gt;=$AO1592))&gt;0)*(ROW(職員マスタ!$A$6:$A$405)-5))),IFERROR(MATCH($B1592,職員マスタ!$A$6:$A$405,0),"")))</f>
        <v/>
      </c>
      <c r="AO1592" s="16">
        <f>IF(OR($B1592="",$C1592="",$D1592=""),"",DATE($C1592+2018,$D1592,1))</f>
        <v/>
      </c>
    </row>
    <row r="1593">
      <c r="A1593" s="11" t="n"/>
      <c r="B1593" s="12" t="n"/>
      <c r="C1593" s="12" t="n"/>
      <c r="D1593" s="12" t="n"/>
      <c r="E1593" s="13" t="n"/>
      <c r="F1593" s="12" t="n"/>
      <c r="G1593" s="13" t="n"/>
      <c r="H1593" s="12" t="n"/>
      <c r="I1593" s="12" t="n"/>
      <c r="J1593" s="12" t="n"/>
      <c r="K1593" s="12" t="n"/>
      <c r="L1593" s="11" t="n"/>
      <c r="M1593" s="11" t="n"/>
      <c r="N1593" s="11" t="n"/>
      <c r="O1593" s="11" t="n"/>
      <c r="P1593" s="12" t="n"/>
      <c r="Q1593" s="11" t="n"/>
      <c r="R1593" s="12" t="n"/>
      <c r="S1593" s="11" t="n"/>
      <c r="T1593" s="12" t="n"/>
      <c r="U1593" s="12" t="n"/>
      <c r="V1593" s="14">
        <f>IF($AN1593="",IF($B1593="","",$H1593),IF(INDEX(職員マスタ!$B$6:$B$405,$AN1593)="",$H1593,INDEX(職員マスタ!$B$6:$B$405,$AN1593)))</f>
        <v/>
      </c>
      <c r="W1593" s="14">
        <f>IF($AN1593="",IF($B1593="","",$R1593),IF(INDEX(職員マスタ!$C$6:$C$405,$AN1593)="",$R1593,INDEX(職員マスタ!$C$6:$C$405,$AN1593)))</f>
        <v/>
      </c>
      <c r="X1593" s="14">
        <f>IF($AO1593="","","R"&amp;$C1593&amp;"."&amp;$D1593)</f>
        <v/>
      </c>
      <c r="Y1593" s="15">
        <f>IF($AN1593="","",IF(INDEX(職員マスタ!$K$6:$K$405,$AN1593)="","",INDEX(職員マスタ!$K$6:$K$405,$AN1593)))</f>
        <v/>
      </c>
      <c r="Z1593" s="14">
        <f>IF(OR($E1593="",$Y1593=""),"",IF($E1593&gt;=$Y1593,"×",IF($E1593&gt;=$Y1593*設定!$C$5,"△","○")))</f>
        <v/>
      </c>
      <c r="AA1593" s="15">
        <f>IF($Z1593="","",IF($Z1593="×",0,IF($Z1593="○",ROUNDDOWN($E1593*設定!$C$4,0),ROUNDDOWN($E1593*ROUND((9*$Y1593-9*$E1593)/(10*$E1593),4),0))))</f>
        <v/>
      </c>
      <c r="AB1593" s="13" t="n"/>
      <c r="AC1593" s="15">
        <f>IF($B1593="","",IF($AB1593&lt;&gt;"",$AB1593,IF($AA1593="","",IF($AA1593&lt;=設定!$C$3,0,$AA1593))))</f>
        <v/>
      </c>
      <c r="AD1593" s="14">
        <f>IF($B1593="","",IF(AND($AE1593&lt;&gt;"",$AG1593="",$AJ1593=""),"保留中",IF($AJ1593&lt;&gt;"",IF(N($AC1593)&gt;0,"支給済","不支給"),IF($AC1593="","要確認",IF($AC1593=0,"不支給","未処理")))))</f>
        <v/>
      </c>
      <c r="AE1593" s="12" t="n"/>
      <c r="AF1593" s="11" t="n"/>
      <c r="AG1593" s="11" t="n"/>
      <c r="AH1593" s="11" t="n"/>
      <c r="AI1593" s="14">
        <f>IF(AND($AD1593="保留中",$AF1593&lt;&gt;""),TODAY()-$AF1593,"")</f>
        <v/>
      </c>
      <c r="AJ1593" s="12" t="n"/>
      <c r="AK1593" s="14">
        <f>IF($B1593="","",IF($AO1593="","対象年月が未入力／","")&amp;IF($B1593="","",IF($AN1593="","職員マスタに未登録の職員番号／",IF($Y1593="","標準報酬月額が未登録／","")&amp;IF(AND($AO1593&lt;&gt;"",OR(AND(INDEX(職員マスタ!$G$6:$G$405,$AN1593)&lt;&gt;"",INDEX(職員マスタ!$G$6:$G$405,$AN1593)&gt;EOMONTH($AO1593,0)),AND(INDEX(職員マスタ!$H$6:$H$405,$AN1593)&lt;&gt;"",INDEX(職員マスタ!$H$6:$H$405,$AN1593)&lt;$AO1593))),"対象月が時短期間外／","")&amp;IF(AND(INDEX(職員マスタ!$F$6:$F$405,$AN1593)&lt;&gt;"",$AO1593&lt;&gt;"",INDEX(職員マスタ!$F$6:$F$405,$AN1593)&lt;$AO1593),"対象月に子が2歳到達済／","")&amp;IF(AND($H1593&lt;&gt;"",INDEX(職員マスタ!$B$6:$B$405,$AN1593)&lt;&gt;"",SUBSTITUTE(SUBSTITUTE($H1593," ","")," ","")&lt;&gt;SUBSTITUTE(SUBSTITUTE(INDEX(職員マスタ!$B$6:$B$405,$AN1593)," ","")," ","")),"氏名がマスタと相違／","")&amp;IF(AND($Q1593&lt;&gt;"",INDEX(職員マスタ!$E$6:$E$405,$AN1593)&lt;&gt;"",$Q1593&lt;&gt;INDEX(職員マスタ!$E$6:$E$405,$AN1593)),"子の生年月日がマスタと相違／","")&amp;IF(AND($L1593&lt;&gt;"",INDEX(職員マスタ!$G$6:$G$405,$AN1593)&lt;&gt;"",$L1593&lt;&gt;INDEX(職員マスタ!$G$6:$G$405,$AN1593)),"時短開始日がマスタと相違／","")&amp;IF(AND($M1593&lt;&gt;"",INDEX(職員マスタ!$H$6:$H$405,$AN1593)&lt;&gt;"",$M1593&lt;&gt;INDEX(職員マスタ!$H$6:$H$405,$AN1593)),"時短終了日がマスタと相違／","")))&amp;IF(AND($B1593&lt;&gt;"",$E1593=""),"報酬額が未入力／","")&amp;IF(N($U1593)&gt;0,"申請書に入力エラーが残っています／","")&amp;IF(AND($B1593&lt;&gt;"",$AO1593&lt;&gt;""),IF(COUNTIFS($B$6:$B$3005,$B1593,$C$6:$C$3005,$C1593,$D$6:$D$3005,$D1593)&gt;1,"同じ月の請求が重複しています／",""),"")&amp;IF(AND(N($E1593)&gt;0,$Z1593&lt;&gt;"",$Z1593&lt;&gt;"×",$AC1593=0,$AB1593=""),"計算額が下限以下のため不支給／",""))</f>
        <v/>
      </c>
      <c r="AL1593" s="12" t="n"/>
      <c r="AM1593" s="14">
        <f>IF($AD1593="保留中",COUNTIF($AD$6:$AD1593,"保留中"),"")</f>
        <v/>
      </c>
      <c r="AN1593" s="14">
        <f>IF($AO1593="","",IF(SUMPRODUCT(MAX((職員マスタ!$A$6:$A$405=$B1593)*(((職員マスタ!$G$6:$G$405="")+(職員マスタ!$G$6:$G$405&lt;=EOMONTH($AO1593,0)))&gt;0)*(((職員マスタ!$H$6:$H$405="")+(職員マスタ!$H$6:$H$405&gt;=$AO1593))&gt;0)*(ROW(職員マスタ!$A$6:$A$405)-5)))&gt;0,SUMPRODUCT(MAX((職員マスタ!$A$6:$A$405=$B1593)*(((職員マスタ!$G$6:$G$405="")+(職員マスタ!$G$6:$G$405&lt;=EOMONTH($AO1593,0)))&gt;0)*(((職員マスタ!$H$6:$H$405="")+(職員マスタ!$H$6:$H$405&gt;=$AO1593))&gt;0)*(ROW(職員マスタ!$A$6:$A$405)-5))),IFERROR(MATCH($B1593,職員マスタ!$A$6:$A$405,0),"")))</f>
        <v/>
      </c>
      <c r="AO1593" s="16">
        <f>IF(OR($B1593="",$C1593="",$D1593=""),"",DATE($C1593+2018,$D1593,1))</f>
        <v/>
      </c>
    </row>
    <row r="1594">
      <c r="A1594" s="11" t="n"/>
      <c r="B1594" s="12" t="n"/>
      <c r="C1594" s="12" t="n"/>
      <c r="D1594" s="12" t="n"/>
      <c r="E1594" s="13" t="n"/>
      <c r="F1594" s="12" t="n"/>
      <c r="G1594" s="13" t="n"/>
      <c r="H1594" s="12" t="n"/>
      <c r="I1594" s="12" t="n"/>
      <c r="J1594" s="12" t="n"/>
      <c r="K1594" s="12" t="n"/>
      <c r="L1594" s="11" t="n"/>
      <c r="M1594" s="11" t="n"/>
      <c r="N1594" s="11" t="n"/>
      <c r="O1594" s="11" t="n"/>
      <c r="P1594" s="12" t="n"/>
      <c r="Q1594" s="11" t="n"/>
      <c r="R1594" s="12" t="n"/>
      <c r="S1594" s="11" t="n"/>
      <c r="T1594" s="12" t="n"/>
      <c r="U1594" s="12" t="n"/>
      <c r="V1594" s="14">
        <f>IF($AN1594="",IF($B1594="","",$H1594),IF(INDEX(職員マスタ!$B$6:$B$405,$AN1594)="",$H1594,INDEX(職員マスタ!$B$6:$B$405,$AN1594)))</f>
        <v/>
      </c>
      <c r="W1594" s="14">
        <f>IF($AN1594="",IF($B1594="","",$R1594),IF(INDEX(職員マスタ!$C$6:$C$405,$AN1594)="",$R1594,INDEX(職員マスタ!$C$6:$C$405,$AN1594)))</f>
        <v/>
      </c>
      <c r="X1594" s="14">
        <f>IF($AO1594="","","R"&amp;$C1594&amp;"."&amp;$D1594)</f>
        <v/>
      </c>
      <c r="Y1594" s="15">
        <f>IF($AN1594="","",IF(INDEX(職員マスタ!$K$6:$K$405,$AN1594)="","",INDEX(職員マスタ!$K$6:$K$405,$AN1594)))</f>
        <v/>
      </c>
      <c r="Z1594" s="14">
        <f>IF(OR($E1594="",$Y1594=""),"",IF($E1594&gt;=$Y1594,"×",IF($E1594&gt;=$Y1594*設定!$C$5,"△","○")))</f>
        <v/>
      </c>
      <c r="AA1594" s="15">
        <f>IF($Z1594="","",IF($Z1594="×",0,IF($Z1594="○",ROUNDDOWN($E1594*設定!$C$4,0),ROUNDDOWN($E1594*ROUND((9*$Y1594-9*$E1594)/(10*$E1594),4),0))))</f>
        <v/>
      </c>
      <c r="AB1594" s="13" t="n"/>
      <c r="AC1594" s="15">
        <f>IF($B1594="","",IF($AB1594&lt;&gt;"",$AB1594,IF($AA1594="","",IF($AA1594&lt;=設定!$C$3,0,$AA1594))))</f>
        <v/>
      </c>
      <c r="AD1594" s="14">
        <f>IF($B1594="","",IF(AND($AE1594&lt;&gt;"",$AG1594="",$AJ1594=""),"保留中",IF($AJ1594&lt;&gt;"",IF(N($AC1594)&gt;0,"支給済","不支給"),IF($AC1594="","要確認",IF($AC1594=0,"不支給","未処理")))))</f>
        <v/>
      </c>
      <c r="AE1594" s="12" t="n"/>
      <c r="AF1594" s="11" t="n"/>
      <c r="AG1594" s="11" t="n"/>
      <c r="AH1594" s="11" t="n"/>
      <c r="AI1594" s="14">
        <f>IF(AND($AD1594="保留中",$AF1594&lt;&gt;""),TODAY()-$AF1594,"")</f>
        <v/>
      </c>
      <c r="AJ1594" s="12" t="n"/>
      <c r="AK1594" s="14">
        <f>IF($B1594="","",IF($AO1594="","対象年月が未入力／","")&amp;IF($B1594="","",IF($AN1594="","職員マスタに未登録の職員番号／",IF($Y1594="","標準報酬月額が未登録／","")&amp;IF(AND($AO1594&lt;&gt;"",OR(AND(INDEX(職員マスタ!$G$6:$G$405,$AN1594)&lt;&gt;"",INDEX(職員マスタ!$G$6:$G$405,$AN1594)&gt;EOMONTH($AO1594,0)),AND(INDEX(職員マスタ!$H$6:$H$405,$AN1594)&lt;&gt;"",INDEX(職員マスタ!$H$6:$H$405,$AN1594)&lt;$AO1594))),"対象月が時短期間外／","")&amp;IF(AND(INDEX(職員マスタ!$F$6:$F$405,$AN1594)&lt;&gt;"",$AO1594&lt;&gt;"",INDEX(職員マスタ!$F$6:$F$405,$AN1594)&lt;$AO1594),"対象月に子が2歳到達済／","")&amp;IF(AND($H1594&lt;&gt;"",INDEX(職員マスタ!$B$6:$B$405,$AN1594)&lt;&gt;"",SUBSTITUTE(SUBSTITUTE($H1594," ","")," ","")&lt;&gt;SUBSTITUTE(SUBSTITUTE(INDEX(職員マスタ!$B$6:$B$405,$AN1594)," ","")," ","")),"氏名がマスタと相違／","")&amp;IF(AND($Q1594&lt;&gt;"",INDEX(職員マスタ!$E$6:$E$405,$AN1594)&lt;&gt;"",$Q1594&lt;&gt;INDEX(職員マスタ!$E$6:$E$405,$AN1594)),"子の生年月日がマスタと相違／","")&amp;IF(AND($L1594&lt;&gt;"",INDEX(職員マスタ!$G$6:$G$405,$AN1594)&lt;&gt;"",$L1594&lt;&gt;INDEX(職員マスタ!$G$6:$G$405,$AN1594)),"時短開始日がマスタと相違／","")&amp;IF(AND($M1594&lt;&gt;"",INDEX(職員マスタ!$H$6:$H$405,$AN1594)&lt;&gt;"",$M1594&lt;&gt;INDEX(職員マスタ!$H$6:$H$405,$AN1594)),"時短終了日がマスタと相違／","")))&amp;IF(AND($B1594&lt;&gt;"",$E1594=""),"報酬額が未入力／","")&amp;IF(N($U1594)&gt;0,"申請書に入力エラーが残っています／","")&amp;IF(AND($B1594&lt;&gt;"",$AO1594&lt;&gt;""),IF(COUNTIFS($B$6:$B$3005,$B1594,$C$6:$C$3005,$C1594,$D$6:$D$3005,$D1594)&gt;1,"同じ月の請求が重複しています／",""),"")&amp;IF(AND(N($E1594)&gt;0,$Z1594&lt;&gt;"",$Z1594&lt;&gt;"×",$AC1594=0,$AB1594=""),"計算額が下限以下のため不支給／",""))</f>
        <v/>
      </c>
      <c r="AL1594" s="12" t="n"/>
      <c r="AM1594" s="14">
        <f>IF($AD1594="保留中",COUNTIF($AD$6:$AD1594,"保留中"),"")</f>
        <v/>
      </c>
      <c r="AN1594" s="14">
        <f>IF($AO1594="","",IF(SUMPRODUCT(MAX((職員マスタ!$A$6:$A$405=$B1594)*(((職員マスタ!$G$6:$G$405="")+(職員マスタ!$G$6:$G$405&lt;=EOMONTH($AO1594,0)))&gt;0)*(((職員マスタ!$H$6:$H$405="")+(職員マスタ!$H$6:$H$405&gt;=$AO1594))&gt;0)*(ROW(職員マスタ!$A$6:$A$405)-5)))&gt;0,SUMPRODUCT(MAX((職員マスタ!$A$6:$A$405=$B1594)*(((職員マスタ!$G$6:$G$405="")+(職員マスタ!$G$6:$G$405&lt;=EOMONTH($AO1594,0)))&gt;0)*(((職員マスタ!$H$6:$H$405="")+(職員マスタ!$H$6:$H$405&gt;=$AO1594))&gt;0)*(ROW(職員マスタ!$A$6:$A$405)-5))),IFERROR(MATCH($B1594,職員マスタ!$A$6:$A$405,0),"")))</f>
        <v/>
      </c>
      <c r="AO1594" s="16">
        <f>IF(OR($B1594="",$C1594="",$D1594=""),"",DATE($C1594+2018,$D1594,1))</f>
        <v/>
      </c>
    </row>
    <row r="1595">
      <c r="A1595" s="11" t="n"/>
      <c r="B1595" s="12" t="n"/>
      <c r="C1595" s="12" t="n"/>
      <c r="D1595" s="12" t="n"/>
      <c r="E1595" s="13" t="n"/>
      <c r="F1595" s="12" t="n"/>
      <c r="G1595" s="13" t="n"/>
      <c r="H1595" s="12" t="n"/>
      <c r="I1595" s="12" t="n"/>
      <c r="J1595" s="12" t="n"/>
      <c r="K1595" s="12" t="n"/>
      <c r="L1595" s="11" t="n"/>
      <c r="M1595" s="11" t="n"/>
      <c r="N1595" s="11" t="n"/>
      <c r="O1595" s="11" t="n"/>
      <c r="P1595" s="12" t="n"/>
      <c r="Q1595" s="11" t="n"/>
      <c r="R1595" s="12" t="n"/>
      <c r="S1595" s="11" t="n"/>
      <c r="T1595" s="12" t="n"/>
      <c r="U1595" s="12" t="n"/>
      <c r="V1595" s="14">
        <f>IF($AN1595="",IF($B1595="","",$H1595),IF(INDEX(職員マスタ!$B$6:$B$405,$AN1595)="",$H1595,INDEX(職員マスタ!$B$6:$B$405,$AN1595)))</f>
        <v/>
      </c>
      <c r="W1595" s="14">
        <f>IF($AN1595="",IF($B1595="","",$R1595),IF(INDEX(職員マスタ!$C$6:$C$405,$AN1595)="",$R1595,INDEX(職員マスタ!$C$6:$C$405,$AN1595)))</f>
        <v/>
      </c>
      <c r="X1595" s="14">
        <f>IF($AO1595="","","R"&amp;$C1595&amp;"."&amp;$D1595)</f>
        <v/>
      </c>
      <c r="Y1595" s="15">
        <f>IF($AN1595="","",IF(INDEX(職員マスタ!$K$6:$K$405,$AN1595)="","",INDEX(職員マスタ!$K$6:$K$405,$AN1595)))</f>
        <v/>
      </c>
      <c r="Z1595" s="14">
        <f>IF(OR($E1595="",$Y1595=""),"",IF($E1595&gt;=$Y1595,"×",IF($E1595&gt;=$Y1595*設定!$C$5,"△","○")))</f>
        <v/>
      </c>
      <c r="AA1595" s="15">
        <f>IF($Z1595="","",IF($Z1595="×",0,IF($Z1595="○",ROUNDDOWN($E1595*設定!$C$4,0),ROUNDDOWN($E1595*ROUND((9*$Y1595-9*$E1595)/(10*$E1595),4),0))))</f>
        <v/>
      </c>
      <c r="AB1595" s="13" t="n"/>
      <c r="AC1595" s="15">
        <f>IF($B1595="","",IF($AB1595&lt;&gt;"",$AB1595,IF($AA1595="","",IF($AA1595&lt;=設定!$C$3,0,$AA1595))))</f>
        <v/>
      </c>
      <c r="AD1595" s="14">
        <f>IF($B1595="","",IF(AND($AE1595&lt;&gt;"",$AG1595="",$AJ1595=""),"保留中",IF($AJ1595&lt;&gt;"",IF(N($AC1595)&gt;0,"支給済","不支給"),IF($AC1595="","要確認",IF($AC1595=0,"不支給","未処理")))))</f>
        <v/>
      </c>
      <c r="AE1595" s="12" t="n"/>
      <c r="AF1595" s="11" t="n"/>
      <c r="AG1595" s="11" t="n"/>
      <c r="AH1595" s="11" t="n"/>
      <c r="AI1595" s="14">
        <f>IF(AND($AD1595="保留中",$AF1595&lt;&gt;""),TODAY()-$AF1595,"")</f>
        <v/>
      </c>
      <c r="AJ1595" s="12" t="n"/>
      <c r="AK1595" s="14">
        <f>IF($B1595="","",IF($AO1595="","対象年月が未入力／","")&amp;IF($B1595="","",IF($AN1595="","職員マスタに未登録の職員番号／",IF($Y1595="","標準報酬月額が未登録／","")&amp;IF(AND($AO1595&lt;&gt;"",OR(AND(INDEX(職員マスタ!$G$6:$G$405,$AN1595)&lt;&gt;"",INDEX(職員マスタ!$G$6:$G$405,$AN1595)&gt;EOMONTH($AO1595,0)),AND(INDEX(職員マスタ!$H$6:$H$405,$AN1595)&lt;&gt;"",INDEX(職員マスタ!$H$6:$H$405,$AN1595)&lt;$AO1595))),"対象月が時短期間外／","")&amp;IF(AND(INDEX(職員マスタ!$F$6:$F$405,$AN1595)&lt;&gt;"",$AO1595&lt;&gt;"",INDEX(職員マスタ!$F$6:$F$405,$AN1595)&lt;$AO1595),"対象月に子が2歳到達済／","")&amp;IF(AND($H1595&lt;&gt;"",INDEX(職員マスタ!$B$6:$B$405,$AN1595)&lt;&gt;"",SUBSTITUTE(SUBSTITUTE($H1595," ","")," ","")&lt;&gt;SUBSTITUTE(SUBSTITUTE(INDEX(職員マスタ!$B$6:$B$405,$AN1595)," ","")," ","")),"氏名がマスタと相違／","")&amp;IF(AND($Q1595&lt;&gt;"",INDEX(職員マスタ!$E$6:$E$405,$AN1595)&lt;&gt;"",$Q1595&lt;&gt;INDEX(職員マスタ!$E$6:$E$405,$AN1595)),"子の生年月日がマスタと相違／","")&amp;IF(AND($L1595&lt;&gt;"",INDEX(職員マスタ!$G$6:$G$405,$AN1595)&lt;&gt;"",$L1595&lt;&gt;INDEX(職員マスタ!$G$6:$G$405,$AN1595)),"時短開始日がマスタと相違／","")&amp;IF(AND($M1595&lt;&gt;"",INDEX(職員マスタ!$H$6:$H$405,$AN1595)&lt;&gt;"",$M1595&lt;&gt;INDEX(職員マスタ!$H$6:$H$405,$AN1595)),"時短終了日がマスタと相違／","")))&amp;IF(AND($B1595&lt;&gt;"",$E1595=""),"報酬額が未入力／","")&amp;IF(N($U1595)&gt;0,"申請書に入力エラーが残っています／","")&amp;IF(AND($B1595&lt;&gt;"",$AO1595&lt;&gt;""),IF(COUNTIFS($B$6:$B$3005,$B1595,$C$6:$C$3005,$C1595,$D$6:$D$3005,$D1595)&gt;1,"同じ月の請求が重複しています／",""),"")&amp;IF(AND(N($E1595)&gt;0,$Z1595&lt;&gt;"",$Z1595&lt;&gt;"×",$AC1595=0,$AB1595=""),"計算額が下限以下のため不支給／",""))</f>
        <v/>
      </c>
      <c r="AL1595" s="12" t="n"/>
      <c r="AM1595" s="14">
        <f>IF($AD1595="保留中",COUNTIF($AD$6:$AD1595,"保留中"),"")</f>
        <v/>
      </c>
      <c r="AN1595" s="14">
        <f>IF($AO1595="","",IF(SUMPRODUCT(MAX((職員マスタ!$A$6:$A$405=$B1595)*(((職員マスタ!$G$6:$G$405="")+(職員マスタ!$G$6:$G$405&lt;=EOMONTH($AO1595,0)))&gt;0)*(((職員マスタ!$H$6:$H$405="")+(職員マスタ!$H$6:$H$405&gt;=$AO1595))&gt;0)*(ROW(職員マスタ!$A$6:$A$405)-5)))&gt;0,SUMPRODUCT(MAX((職員マスタ!$A$6:$A$405=$B1595)*(((職員マスタ!$G$6:$G$405="")+(職員マスタ!$G$6:$G$405&lt;=EOMONTH($AO1595,0)))&gt;0)*(((職員マスタ!$H$6:$H$405="")+(職員マスタ!$H$6:$H$405&gt;=$AO1595))&gt;0)*(ROW(職員マスタ!$A$6:$A$405)-5))),IFERROR(MATCH($B1595,職員マスタ!$A$6:$A$405,0),"")))</f>
        <v/>
      </c>
      <c r="AO1595" s="16">
        <f>IF(OR($B1595="",$C1595="",$D1595=""),"",DATE($C1595+2018,$D1595,1))</f>
        <v/>
      </c>
    </row>
    <row r="1596">
      <c r="A1596" s="11" t="n"/>
      <c r="B1596" s="12" t="n"/>
      <c r="C1596" s="12" t="n"/>
      <c r="D1596" s="12" t="n"/>
      <c r="E1596" s="13" t="n"/>
      <c r="F1596" s="12" t="n"/>
      <c r="G1596" s="13" t="n"/>
      <c r="H1596" s="12" t="n"/>
      <c r="I1596" s="12" t="n"/>
      <c r="J1596" s="12" t="n"/>
      <c r="K1596" s="12" t="n"/>
      <c r="L1596" s="11" t="n"/>
      <c r="M1596" s="11" t="n"/>
      <c r="N1596" s="11" t="n"/>
      <c r="O1596" s="11" t="n"/>
      <c r="P1596" s="12" t="n"/>
      <c r="Q1596" s="11" t="n"/>
      <c r="R1596" s="12" t="n"/>
      <c r="S1596" s="11" t="n"/>
      <c r="T1596" s="12" t="n"/>
      <c r="U1596" s="12" t="n"/>
      <c r="V1596" s="14">
        <f>IF($AN1596="",IF($B1596="","",$H1596),IF(INDEX(職員マスタ!$B$6:$B$405,$AN1596)="",$H1596,INDEX(職員マスタ!$B$6:$B$405,$AN1596)))</f>
        <v/>
      </c>
      <c r="W1596" s="14">
        <f>IF($AN1596="",IF($B1596="","",$R1596),IF(INDEX(職員マスタ!$C$6:$C$405,$AN1596)="",$R1596,INDEX(職員マスタ!$C$6:$C$405,$AN1596)))</f>
        <v/>
      </c>
      <c r="X1596" s="14">
        <f>IF($AO1596="","","R"&amp;$C1596&amp;"."&amp;$D1596)</f>
        <v/>
      </c>
      <c r="Y1596" s="15">
        <f>IF($AN1596="","",IF(INDEX(職員マスタ!$K$6:$K$405,$AN1596)="","",INDEX(職員マスタ!$K$6:$K$405,$AN1596)))</f>
        <v/>
      </c>
      <c r="Z1596" s="14">
        <f>IF(OR($E1596="",$Y1596=""),"",IF($E1596&gt;=$Y1596,"×",IF($E1596&gt;=$Y1596*設定!$C$5,"△","○")))</f>
        <v/>
      </c>
      <c r="AA1596" s="15">
        <f>IF($Z1596="","",IF($Z1596="×",0,IF($Z1596="○",ROUNDDOWN($E1596*設定!$C$4,0),ROUNDDOWN($E1596*ROUND((9*$Y1596-9*$E1596)/(10*$E1596),4),0))))</f>
        <v/>
      </c>
      <c r="AB1596" s="13" t="n"/>
      <c r="AC1596" s="15">
        <f>IF($B1596="","",IF($AB1596&lt;&gt;"",$AB1596,IF($AA1596="","",IF($AA1596&lt;=設定!$C$3,0,$AA1596))))</f>
        <v/>
      </c>
      <c r="AD1596" s="14">
        <f>IF($B1596="","",IF(AND($AE1596&lt;&gt;"",$AG1596="",$AJ1596=""),"保留中",IF($AJ1596&lt;&gt;"",IF(N($AC1596)&gt;0,"支給済","不支給"),IF($AC1596="","要確認",IF($AC1596=0,"不支給","未処理")))))</f>
        <v/>
      </c>
      <c r="AE1596" s="12" t="n"/>
      <c r="AF1596" s="11" t="n"/>
      <c r="AG1596" s="11" t="n"/>
      <c r="AH1596" s="11" t="n"/>
      <c r="AI1596" s="14">
        <f>IF(AND($AD1596="保留中",$AF1596&lt;&gt;""),TODAY()-$AF1596,"")</f>
        <v/>
      </c>
      <c r="AJ1596" s="12" t="n"/>
      <c r="AK1596" s="14">
        <f>IF($B1596="","",IF($AO1596="","対象年月が未入力／","")&amp;IF($B1596="","",IF($AN1596="","職員マスタに未登録の職員番号／",IF($Y1596="","標準報酬月額が未登録／","")&amp;IF(AND($AO1596&lt;&gt;"",OR(AND(INDEX(職員マスタ!$G$6:$G$405,$AN1596)&lt;&gt;"",INDEX(職員マスタ!$G$6:$G$405,$AN1596)&gt;EOMONTH($AO1596,0)),AND(INDEX(職員マスタ!$H$6:$H$405,$AN1596)&lt;&gt;"",INDEX(職員マスタ!$H$6:$H$405,$AN1596)&lt;$AO1596))),"対象月が時短期間外／","")&amp;IF(AND(INDEX(職員マスタ!$F$6:$F$405,$AN1596)&lt;&gt;"",$AO1596&lt;&gt;"",INDEX(職員マスタ!$F$6:$F$405,$AN1596)&lt;$AO1596),"対象月に子が2歳到達済／","")&amp;IF(AND($H1596&lt;&gt;"",INDEX(職員マスタ!$B$6:$B$405,$AN1596)&lt;&gt;"",SUBSTITUTE(SUBSTITUTE($H1596," ","")," ","")&lt;&gt;SUBSTITUTE(SUBSTITUTE(INDEX(職員マスタ!$B$6:$B$405,$AN1596)," ","")," ","")),"氏名がマスタと相違／","")&amp;IF(AND($Q1596&lt;&gt;"",INDEX(職員マスタ!$E$6:$E$405,$AN1596)&lt;&gt;"",$Q1596&lt;&gt;INDEX(職員マスタ!$E$6:$E$405,$AN1596)),"子の生年月日がマスタと相違／","")&amp;IF(AND($L1596&lt;&gt;"",INDEX(職員マスタ!$G$6:$G$405,$AN1596)&lt;&gt;"",$L1596&lt;&gt;INDEX(職員マスタ!$G$6:$G$405,$AN1596)),"時短開始日がマスタと相違／","")&amp;IF(AND($M1596&lt;&gt;"",INDEX(職員マスタ!$H$6:$H$405,$AN1596)&lt;&gt;"",$M1596&lt;&gt;INDEX(職員マスタ!$H$6:$H$405,$AN1596)),"時短終了日がマスタと相違／","")))&amp;IF(AND($B1596&lt;&gt;"",$E1596=""),"報酬額が未入力／","")&amp;IF(N($U1596)&gt;0,"申請書に入力エラーが残っています／","")&amp;IF(AND($B1596&lt;&gt;"",$AO1596&lt;&gt;""),IF(COUNTIFS($B$6:$B$3005,$B1596,$C$6:$C$3005,$C1596,$D$6:$D$3005,$D1596)&gt;1,"同じ月の請求が重複しています／",""),"")&amp;IF(AND(N($E1596)&gt;0,$Z1596&lt;&gt;"",$Z1596&lt;&gt;"×",$AC1596=0,$AB1596=""),"計算額が下限以下のため不支給／",""))</f>
        <v/>
      </c>
      <c r="AL1596" s="12" t="n"/>
      <c r="AM1596" s="14">
        <f>IF($AD1596="保留中",COUNTIF($AD$6:$AD1596,"保留中"),"")</f>
        <v/>
      </c>
      <c r="AN1596" s="14">
        <f>IF($AO1596="","",IF(SUMPRODUCT(MAX((職員マスタ!$A$6:$A$405=$B1596)*(((職員マスタ!$G$6:$G$405="")+(職員マスタ!$G$6:$G$405&lt;=EOMONTH($AO1596,0)))&gt;0)*(((職員マスタ!$H$6:$H$405="")+(職員マスタ!$H$6:$H$405&gt;=$AO1596))&gt;0)*(ROW(職員マスタ!$A$6:$A$405)-5)))&gt;0,SUMPRODUCT(MAX((職員マスタ!$A$6:$A$405=$B1596)*(((職員マスタ!$G$6:$G$405="")+(職員マスタ!$G$6:$G$405&lt;=EOMONTH($AO1596,0)))&gt;0)*(((職員マスタ!$H$6:$H$405="")+(職員マスタ!$H$6:$H$405&gt;=$AO1596))&gt;0)*(ROW(職員マスタ!$A$6:$A$405)-5))),IFERROR(MATCH($B1596,職員マスタ!$A$6:$A$405,0),"")))</f>
        <v/>
      </c>
      <c r="AO1596" s="16">
        <f>IF(OR($B1596="",$C1596="",$D1596=""),"",DATE($C1596+2018,$D1596,1))</f>
        <v/>
      </c>
    </row>
    <row r="1597">
      <c r="A1597" s="11" t="n"/>
      <c r="B1597" s="12" t="n"/>
      <c r="C1597" s="12" t="n"/>
      <c r="D1597" s="12" t="n"/>
      <c r="E1597" s="13" t="n"/>
      <c r="F1597" s="12" t="n"/>
      <c r="G1597" s="13" t="n"/>
      <c r="H1597" s="12" t="n"/>
      <c r="I1597" s="12" t="n"/>
      <c r="J1597" s="12" t="n"/>
      <c r="K1597" s="12" t="n"/>
      <c r="L1597" s="11" t="n"/>
      <c r="M1597" s="11" t="n"/>
      <c r="N1597" s="11" t="n"/>
      <c r="O1597" s="11" t="n"/>
      <c r="P1597" s="12" t="n"/>
      <c r="Q1597" s="11" t="n"/>
      <c r="R1597" s="12" t="n"/>
      <c r="S1597" s="11" t="n"/>
      <c r="T1597" s="12" t="n"/>
      <c r="U1597" s="12" t="n"/>
      <c r="V1597" s="14">
        <f>IF($AN1597="",IF($B1597="","",$H1597),IF(INDEX(職員マスタ!$B$6:$B$405,$AN1597)="",$H1597,INDEX(職員マスタ!$B$6:$B$405,$AN1597)))</f>
        <v/>
      </c>
      <c r="W1597" s="14">
        <f>IF($AN1597="",IF($B1597="","",$R1597),IF(INDEX(職員マスタ!$C$6:$C$405,$AN1597)="",$R1597,INDEX(職員マスタ!$C$6:$C$405,$AN1597)))</f>
        <v/>
      </c>
      <c r="X1597" s="14">
        <f>IF($AO1597="","","R"&amp;$C1597&amp;"."&amp;$D1597)</f>
        <v/>
      </c>
      <c r="Y1597" s="15">
        <f>IF($AN1597="","",IF(INDEX(職員マスタ!$K$6:$K$405,$AN1597)="","",INDEX(職員マスタ!$K$6:$K$405,$AN1597)))</f>
        <v/>
      </c>
      <c r="Z1597" s="14">
        <f>IF(OR($E1597="",$Y1597=""),"",IF($E1597&gt;=$Y1597,"×",IF($E1597&gt;=$Y1597*設定!$C$5,"△","○")))</f>
        <v/>
      </c>
      <c r="AA1597" s="15">
        <f>IF($Z1597="","",IF($Z1597="×",0,IF($Z1597="○",ROUNDDOWN($E1597*設定!$C$4,0),ROUNDDOWN($E1597*ROUND((9*$Y1597-9*$E1597)/(10*$E1597),4),0))))</f>
        <v/>
      </c>
      <c r="AB1597" s="13" t="n"/>
      <c r="AC1597" s="15">
        <f>IF($B1597="","",IF($AB1597&lt;&gt;"",$AB1597,IF($AA1597="","",IF($AA1597&lt;=設定!$C$3,0,$AA1597))))</f>
        <v/>
      </c>
      <c r="AD1597" s="14">
        <f>IF($B1597="","",IF(AND($AE1597&lt;&gt;"",$AG1597="",$AJ1597=""),"保留中",IF($AJ1597&lt;&gt;"",IF(N($AC1597)&gt;0,"支給済","不支給"),IF($AC1597="","要確認",IF($AC1597=0,"不支給","未処理")))))</f>
        <v/>
      </c>
      <c r="AE1597" s="12" t="n"/>
      <c r="AF1597" s="11" t="n"/>
      <c r="AG1597" s="11" t="n"/>
      <c r="AH1597" s="11" t="n"/>
      <c r="AI1597" s="14">
        <f>IF(AND($AD1597="保留中",$AF1597&lt;&gt;""),TODAY()-$AF1597,"")</f>
        <v/>
      </c>
      <c r="AJ1597" s="12" t="n"/>
      <c r="AK1597" s="14">
        <f>IF($B1597="","",IF($AO1597="","対象年月が未入力／","")&amp;IF($B1597="","",IF($AN1597="","職員マスタに未登録の職員番号／",IF($Y1597="","標準報酬月額が未登録／","")&amp;IF(AND($AO1597&lt;&gt;"",OR(AND(INDEX(職員マスタ!$G$6:$G$405,$AN1597)&lt;&gt;"",INDEX(職員マスタ!$G$6:$G$405,$AN1597)&gt;EOMONTH($AO1597,0)),AND(INDEX(職員マスタ!$H$6:$H$405,$AN1597)&lt;&gt;"",INDEX(職員マスタ!$H$6:$H$405,$AN1597)&lt;$AO1597))),"対象月が時短期間外／","")&amp;IF(AND(INDEX(職員マスタ!$F$6:$F$405,$AN1597)&lt;&gt;"",$AO1597&lt;&gt;"",INDEX(職員マスタ!$F$6:$F$405,$AN1597)&lt;$AO1597),"対象月に子が2歳到達済／","")&amp;IF(AND($H1597&lt;&gt;"",INDEX(職員マスタ!$B$6:$B$405,$AN1597)&lt;&gt;"",SUBSTITUTE(SUBSTITUTE($H1597," ","")," ","")&lt;&gt;SUBSTITUTE(SUBSTITUTE(INDEX(職員マスタ!$B$6:$B$405,$AN1597)," ","")," ","")),"氏名がマスタと相違／","")&amp;IF(AND($Q1597&lt;&gt;"",INDEX(職員マスタ!$E$6:$E$405,$AN1597)&lt;&gt;"",$Q1597&lt;&gt;INDEX(職員マスタ!$E$6:$E$405,$AN1597)),"子の生年月日がマスタと相違／","")&amp;IF(AND($L1597&lt;&gt;"",INDEX(職員マスタ!$G$6:$G$405,$AN1597)&lt;&gt;"",$L1597&lt;&gt;INDEX(職員マスタ!$G$6:$G$405,$AN1597)),"時短開始日がマスタと相違／","")&amp;IF(AND($M1597&lt;&gt;"",INDEX(職員マスタ!$H$6:$H$405,$AN1597)&lt;&gt;"",$M1597&lt;&gt;INDEX(職員マスタ!$H$6:$H$405,$AN1597)),"時短終了日がマスタと相違／","")))&amp;IF(AND($B1597&lt;&gt;"",$E1597=""),"報酬額が未入力／","")&amp;IF(N($U1597)&gt;0,"申請書に入力エラーが残っています／","")&amp;IF(AND($B1597&lt;&gt;"",$AO1597&lt;&gt;""),IF(COUNTIFS($B$6:$B$3005,$B1597,$C$6:$C$3005,$C1597,$D$6:$D$3005,$D1597)&gt;1,"同じ月の請求が重複しています／",""),"")&amp;IF(AND(N($E1597)&gt;0,$Z1597&lt;&gt;"",$Z1597&lt;&gt;"×",$AC1597=0,$AB1597=""),"計算額が下限以下のため不支給／",""))</f>
        <v/>
      </c>
      <c r="AL1597" s="12" t="n"/>
      <c r="AM1597" s="14">
        <f>IF($AD1597="保留中",COUNTIF($AD$6:$AD1597,"保留中"),"")</f>
        <v/>
      </c>
      <c r="AN1597" s="14">
        <f>IF($AO1597="","",IF(SUMPRODUCT(MAX((職員マスタ!$A$6:$A$405=$B1597)*(((職員マスタ!$G$6:$G$405="")+(職員マスタ!$G$6:$G$405&lt;=EOMONTH($AO1597,0)))&gt;0)*(((職員マスタ!$H$6:$H$405="")+(職員マスタ!$H$6:$H$405&gt;=$AO1597))&gt;0)*(ROW(職員マスタ!$A$6:$A$405)-5)))&gt;0,SUMPRODUCT(MAX((職員マスタ!$A$6:$A$405=$B1597)*(((職員マスタ!$G$6:$G$405="")+(職員マスタ!$G$6:$G$405&lt;=EOMONTH($AO1597,0)))&gt;0)*(((職員マスタ!$H$6:$H$405="")+(職員マスタ!$H$6:$H$405&gt;=$AO1597))&gt;0)*(ROW(職員マスタ!$A$6:$A$405)-5))),IFERROR(MATCH($B1597,職員マスタ!$A$6:$A$405,0),"")))</f>
        <v/>
      </c>
      <c r="AO1597" s="16">
        <f>IF(OR($B1597="",$C1597="",$D1597=""),"",DATE($C1597+2018,$D1597,1))</f>
        <v/>
      </c>
    </row>
    <row r="1598">
      <c r="A1598" s="11" t="n"/>
      <c r="B1598" s="12" t="n"/>
      <c r="C1598" s="12" t="n"/>
      <c r="D1598" s="12" t="n"/>
      <c r="E1598" s="13" t="n"/>
      <c r="F1598" s="12" t="n"/>
      <c r="G1598" s="13" t="n"/>
      <c r="H1598" s="12" t="n"/>
      <c r="I1598" s="12" t="n"/>
      <c r="J1598" s="12" t="n"/>
      <c r="K1598" s="12" t="n"/>
      <c r="L1598" s="11" t="n"/>
      <c r="M1598" s="11" t="n"/>
      <c r="N1598" s="11" t="n"/>
      <c r="O1598" s="11" t="n"/>
      <c r="P1598" s="12" t="n"/>
      <c r="Q1598" s="11" t="n"/>
      <c r="R1598" s="12" t="n"/>
      <c r="S1598" s="11" t="n"/>
      <c r="T1598" s="12" t="n"/>
      <c r="U1598" s="12" t="n"/>
      <c r="V1598" s="14">
        <f>IF($AN1598="",IF($B1598="","",$H1598),IF(INDEX(職員マスタ!$B$6:$B$405,$AN1598)="",$H1598,INDEX(職員マスタ!$B$6:$B$405,$AN1598)))</f>
        <v/>
      </c>
      <c r="W1598" s="14">
        <f>IF($AN1598="",IF($B1598="","",$R1598),IF(INDEX(職員マスタ!$C$6:$C$405,$AN1598)="",$R1598,INDEX(職員マスタ!$C$6:$C$405,$AN1598)))</f>
        <v/>
      </c>
      <c r="X1598" s="14">
        <f>IF($AO1598="","","R"&amp;$C1598&amp;"."&amp;$D1598)</f>
        <v/>
      </c>
      <c r="Y1598" s="15">
        <f>IF($AN1598="","",IF(INDEX(職員マスタ!$K$6:$K$405,$AN1598)="","",INDEX(職員マスタ!$K$6:$K$405,$AN1598)))</f>
        <v/>
      </c>
      <c r="Z1598" s="14">
        <f>IF(OR($E1598="",$Y1598=""),"",IF($E1598&gt;=$Y1598,"×",IF($E1598&gt;=$Y1598*設定!$C$5,"△","○")))</f>
        <v/>
      </c>
      <c r="AA1598" s="15">
        <f>IF($Z1598="","",IF($Z1598="×",0,IF($Z1598="○",ROUNDDOWN($E1598*設定!$C$4,0),ROUNDDOWN($E1598*ROUND((9*$Y1598-9*$E1598)/(10*$E1598),4),0))))</f>
        <v/>
      </c>
      <c r="AB1598" s="13" t="n"/>
      <c r="AC1598" s="15">
        <f>IF($B1598="","",IF($AB1598&lt;&gt;"",$AB1598,IF($AA1598="","",IF($AA1598&lt;=設定!$C$3,0,$AA1598))))</f>
        <v/>
      </c>
      <c r="AD1598" s="14">
        <f>IF($B1598="","",IF(AND($AE1598&lt;&gt;"",$AG1598="",$AJ1598=""),"保留中",IF($AJ1598&lt;&gt;"",IF(N($AC1598)&gt;0,"支給済","不支給"),IF($AC1598="","要確認",IF($AC1598=0,"不支給","未処理")))))</f>
        <v/>
      </c>
      <c r="AE1598" s="12" t="n"/>
      <c r="AF1598" s="11" t="n"/>
      <c r="AG1598" s="11" t="n"/>
      <c r="AH1598" s="11" t="n"/>
      <c r="AI1598" s="14">
        <f>IF(AND($AD1598="保留中",$AF1598&lt;&gt;""),TODAY()-$AF1598,"")</f>
        <v/>
      </c>
      <c r="AJ1598" s="12" t="n"/>
      <c r="AK1598" s="14">
        <f>IF($B1598="","",IF($AO1598="","対象年月が未入力／","")&amp;IF($B1598="","",IF($AN1598="","職員マスタに未登録の職員番号／",IF($Y1598="","標準報酬月額が未登録／","")&amp;IF(AND($AO1598&lt;&gt;"",OR(AND(INDEX(職員マスタ!$G$6:$G$405,$AN1598)&lt;&gt;"",INDEX(職員マスタ!$G$6:$G$405,$AN1598)&gt;EOMONTH($AO1598,0)),AND(INDEX(職員マスタ!$H$6:$H$405,$AN1598)&lt;&gt;"",INDEX(職員マスタ!$H$6:$H$405,$AN1598)&lt;$AO1598))),"対象月が時短期間外／","")&amp;IF(AND(INDEX(職員マスタ!$F$6:$F$405,$AN1598)&lt;&gt;"",$AO1598&lt;&gt;"",INDEX(職員マスタ!$F$6:$F$405,$AN1598)&lt;$AO1598),"対象月に子が2歳到達済／","")&amp;IF(AND($H1598&lt;&gt;"",INDEX(職員マスタ!$B$6:$B$405,$AN1598)&lt;&gt;"",SUBSTITUTE(SUBSTITUTE($H1598," ","")," ","")&lt;&gt;SUBSTITUTE(SUBSTITUTE(INDEX(職員マスタ!$B$6:$B$405,$AN1598)," ","")," ","")),"氏名がマスタと相違／","")&amp;IF(AND($Q1598&lt;&gt;"",INDEX(職員マスタ!$E$6:$E$405,$AN1598)&lt;&gt;"",$Q1598&lt;&gt;INDEX(職員マスタ!$E$6:$E$405,$AN1598)),"子の生年月日がマスタと相違／","")&amp;IF(AND($L1598&lt;&gt;"",INDEX(職員マスタ!$G$6:$G$405,$AN1598)&lt;&gt;"",$L1598&lt;&gt;INDEX(職員マスタ!$G$6:$G$405,$AN1598)),"時短開始日がマスタと相違／","")&amp;IF(AND($M1598&lt;&gt;"",INDEX(職員マスタ!$H$6:$H$405,$AN1598)&lt;&gt;"",$M1598&lt;&gt;INDEX(職員マスタ!$H$6:$H$405,$AN1598)),"時短終了日がマスタと相違／","")))&amp;IF(AND($B1598&lt;&gt;"",$E1598=""),"報酬額が未入力／","")&amp;IF(N($U1598)&gt;0,"申請書に入力エラーが残っています／","")&amp;IF(AND($B1598&lt;&gt;"",$AO1598&lt;&gt;""),IF(COUNTIFS($B$6:$B$3005,$B1598,$C$6:$C$3005,$C1598,$D$6:$D$3005,$D1598)&gt;1,"同じ月の請求が重複しています／",""),"")&amp;IF(AND(N($E1598)&gt;0,$Z1598&lt;&gt;"",$Z1598&lt;&gt;"×",$AC1598=0,$AB1598=""),"計算額が下限以下のため不支給／",""))</f>
        <v/>
      </c>
      <c r="AL1598" s="12" t="n"/>
      <c r="AM1598" s="14">
        <f>IF($AD1598="保留中",COUNTIF($AD$6:$AD1598,"保留中"),"")</f>
        <v/>
      </c>
      <c r="AN1598" s="14">
        <f>IF($AO1598="","",IF(SUMPRODUCT(MAX((職員マスタ!$A$6:$A$405=$B1598)*(((職員マスタ!$G$6:$G$405="")+(職員マスタ!$G$6:$G$405&lt;=EOMONTH($AO1598,0)))&gt;0)*(((職員マスタ!$H$6:$H$405="")+(職員マスタ!$H$6:$H$405&gt;=$AO1598))&gt;0)*(ROW(職員マスタ!$A$6:$A$405)-5)))&gt;0,SUMPRODUCT(MAX((職員マスタ!$A$6:$A$405=$B1598)*(((職員マスタ!$G$6:$G$405="")+(職員マスタ!$G$6:$G$405&lt;=EOMONTH($AO1598,0)))&gt;0)*(((職員マスタ!$H$6:$H$405="")+(職員マスタ!$H$6:$H$405&gt;=$AO1598))&gt;0)*(ROW(職員マスタ!$A$6:$A$405)-5))),IFERROR(MATCH($B1598,職員マスタ!$A$6:$A$405,0),"")))</f>
        <v/>
      </c>
      <c r="AO1598" s="16">
        <f>IF(OR($B1598="",$C1598="",$D1598=""),"",DATE($C1598+2018,$D1598,1))</f>
        <v/>
      </c>
    </row>
    <row r="1599">
      <c r="A1599" s="11" t="n"/>
      <c r="B1599" s="12" t="n"/>
      <c r="C1599" s="12" t="n"/>
      <c r="D1599" s="12" t="n"/>
      <c r="E1599" s="13" t="n"/>
      <c r="F1599" s="12" t="n"/>
      <c r="G1599" s="13" t="n"/>
      <c r="H1599" s="12" t="n"/>
      <c r="I1599" s="12" t="n"/>
      <c r="J1599" s="12" t="n"/>
      <c r="K1599" s="12" t="n"/>
      <c r="L1599" s="11" t="n"/>
      <c r="M1599" s="11" t="n"/>
      <c r="N1599" s="11" t="n"/>
      <c r="O1599" s="11" t="n"/>
      <c r="P1599" s="12" t="n"/>
      <c r="Q1599" s="11" t="n"/>
      <c r="R1599" s="12" t="n"/>
      <c r="S1599" s="11" t="n"/>
      <c r="T1599" s="12" t="n"/>
      <c r="U1599" s="12" t="n"/>
      <c r="V1599" s="14">
        <f>IF($AN1599="",IF($B1599="","",$H1599),IF(INDEX(職員マスタ!$B$6:$B$405,$AN1599)="",$H1599,INDEX(職員マスタ!$B$6:$B$405,$AN1599)))</f>
        <v/>
      </c>
      <c r="W1599" s="14">
        <f>IF($AN1599="",IF($B1599="","",$R1599),IF(INDEX(職員マスタ!$C$6:$C$405,$AN1599)="",$R1599,INDEX(職員マスタ!$C$6:$C$405,$AN1599)))</f>
        <v/>
      </c>
      <c r="X1599" s="14">
        <f>IF($AO1599="","","R"&amp;$C1599&amp;"."&amp;$D1599)</f>
        <v/>
      </c>
      <c r="Y1599" s="15">
        <f>IF($AN1599="","",IF(INDEX(職員マスタ!$K$6:$K$405,$AN1599)="","",INDEX(職員マスタ!$K$6:$K$405,$AN1599)))</f>
        <v/>
      </c>
      <c r="Z1599" s="14">
        <f>IF(OR($E1599="",$Y1599=""),"",IF($E1599&gt;=$Y1599,"×",IF($E1599&gt;=$Y1599*設定!$C$5,"△","○")))</f>
        <v/>
      </c>
      <c r="AA1599" s="15">
        <f>IF($Z1599="","",IF($Z1599="×",0,IF($Z1599="○",ROUNDDOWN($E1599*設定!$C$4,0),ROUNDDOWN($E1599*ROUND((9*$Y1599-9*$E1599)/(10*$E1599),4),0))))</f>
        <v/>
      </c>
      <c r="AB1599" s="13" t="n"/>
      <c r="AC1599" s="15">
        <f>IF($B1599="","",IF($AB1599&lt;&gt;"",$AB1599,IF($AA1599="","",IF($AA1599&lt;=設定!$C$3,0,$AA1599))))</f>
        <v/>
      </c>
      <c r="AD1599" s="14">
        <f>IF($B1599="","",IF(AND($AE1599&lt;&gt;"",$AG1599="",$AJ1599=""),"保留中",IF($AJ1599&lt;&gt;"",IF(N($AC1599)&gt;0,"支給済","不支給"),IF($AC1599="","要確認",IF($AC1599=0,"不支給","未処理")))))</f>
        <v/>
      </c>
      <c r="AE1599" s="12" t="n"/>
      <c r="AF1599" s="11" t="n"/>
      <c r="AG1599" s="11" t="n"/>
      <c r="AH1599" s="11" t="n"/>
      <c r="AI1599" s="14">
        <f>IF(AND($AD1599="保留中",$AF1599&lt;&gt;""),TODAY()-$AF1599,"")</f>
        <v/>
      </c>
      <c r="AJ1599" s="12" t="n"/>
      <c r="AK1599" s="14">
        <f>IF($B1599="","",IF($AO1599="","対象年月が未入力／","")&amp;IF($B1599="","",IF($AN1599="","職員マスタに未登録の職員番号／",IF($Y1599="","標準報酬月額が未登録／","")&amp;IF(AND($AO1599&lt;&gt;"",OR(AND(INDEX(職員マスタ!$G$6:$G$405,$AN1599)&lt;&gt;"",INDEX(職員マスタ!$G$6:$G$405,$AN1599)&gt;EOMONTH($AO1599,0)),AND(INDEX(職員マスタ!$H$6:$H$405,$AN1599)&lt;&gt;"",INDEX(職員マスタ!$H$6:$H$405,$AN1599)&lt;$AO1599))),"対象月が時短期間外／","")&amp;IF(AND(INDEX(職員マスタ!$F$6:$F$405,$AN1599)&lt;&gt;"",$AO1599&lt;&gt;"",INDEX(職員マスタ!$F$6:$F$405,$AN1599)&lt;$AO1599),"対象月に子が2歳到達済／","")&amp;IF(AND($H1599&lt;&gt;"",INDEX(職員マスタ!$B$6:$B$405,$AN1599)&lt;&gt;"",SUBSTITUTE(SUBSTITUTE($H1599," ","")," ","")&lt;&gt;SUBSTITUTE(SUBSTITUTE(INDEX(職員マスタ!$B$6:$B$405,$AN1599)," ","")," ","")),"氏名がマスタと相違／","")&amp;IF(AND($Q1599&lt;&gt;"",INDEX(職員マスタ!$E$6:$E$405,$AN1599)&lt;&gt;"",$Q1599&lt;&gt;INDEX(職員マスタ!$E$6:$E$405,$AN1599)),"子の生年月日がマスタと相違／","")&amp;IF(AND($L1599&lt;&gt;"",INDEX(職員マスタ!$G$6:$G$405,$AN1599)&lt;&gt;"",$L1599&lt;&gt;INDEX(職員マスタ!$G$6:$G$405,$AN1599)),"時短開始日がマスタと相違／","")&amp;IF(AND($M1599&lt;&gt;"",INDEX(職員マスタ!$H$6:$H$405,$AN1599)&lt;&gt;"",$M1599&lt;&gt;INDEX(職員マスタ!$H$6:$H$405,$AN1599)),"時短終了日がマスタと相違／","")))&amp;IF(AND($B1599&lt;&gt;"",$E1599=""),"報酬額が未入力／","")&amp;IF(N($U1599)&gt;0,"申請書に入力エラーが残っています／","")&amp;IF(AND($B1599&lt;&gt;"",$AO1599&lt;&gt;""),IF(COUNTIFS($B$6:$B$3005,$B1599,$C$6:$C$3005,$C1599,$D$6:$D$3005,$D1599)&gt;1,"同じ月の請求が重複しています／",""),"")&amp;IF(AND(N($E1599)&gt;0,$Z1599&lt;&gt;"",$Z1599&lt;&gt;"×",$AC1599=0,$AB1599=""),"計算額が下限以下のため不支給／",""))</f>
        <v/>
      </c>
      <c r="AL1599" s="12" t="n"/>
      <c r="AM1599" s="14">
        <f>IF($AD1599="保留中",COUNTIF($AD$6:$AD1599,"保留中"),"")</f>
        <v/>
      </c>
      <c r="AN1599" s="14">
        <f>IF($AO1599="","",IF(SUMPRODUCT(MAX((職員マスタ!$A$6:$A$405=$B1599)*(((職員マスタ!$G$6:$G$405="")+(職員マスタ!$G$6:$G$405&lt;=EOMONTH($AO1599,0)))&gt;0)*(((職員マスタ!$H$6:$H$405="")+(職員マスタ!$H$6:$H$405&gt;=$AO1599))&gt;0)*(ROW(職員マスタ!$A$6:$A$405)-5)))&gt;0,SUMPRODUCT(MAX((職員マスタ!$A$6:$A$405=$B1599)*(((職員マスタ!$G$6:$G$405="")+(職員マスタ!$G$6:$G$405&lt;=EOMONTH($AO1599,0)))&gt;0)*(((職員マスタ!$H$6:$H$405="")+(職員マスタ!$H$6:$H$405&gt;=$AO1599))&gt;0)*(ROW(職員マスタ!$A$6:$A$405)-5))),IFERROR(MATCH($B1599,職員マスタ!$A$6:$A$405,0),"")))</f>
        <v/>
      </c>
      <c r="AO1599" s="16">
        <f>IF(OR($B1599="",$C1599="",$D1599=""),"",DATE($C1599+2018,$D1599,1))</f>
        <v/>
      </c>
    </row>
    <row r="1600">
      <c r="A1600" s="11" t="n"/>
      <c r="B1600" s="12" t="n"/>
      <c r="C1600" s="12" t="n"/>
      <c r="D1600" s="12" t="n"/>
      <c r="E1600" s="13" t="n"/>
      <c r="F1600" s="12" t="n"/>
      <c r="G1600" s="13" t="n"/>
      <c r="H1600" s="12" t="n"/>
      <c r="I1600" s="12" t="n"/>
      <c r="J1600" s="12" t="n"/>
      <c r="K1600" s="12" t="n"/>
      <c r="L1600" s="11" t="n"/>
      <c r="M1600" s="11" t="n"/>
      <c r="N1600" s="11" t="n"/>
      <c r="O1600" s="11" t="n"/>
      <c r="P1600" s="12" t="n"/>
      <c r="Q1600" s="11" t="n"/>
      <c r="R1600" s="12" t="n"/>
      <c r="S1600" s="11" t="n"/>
      <c r="T1600" s="12" t="n"/>
      <c r="U1600" s="12" t="n"/>
      <c r="V1600" s="14">
        <f>IF($AN1600="",IF($B1600="","",$H1600),IF(INDEX(職員マスタ!$B$6:$B$405,$AN1600)="",$H1600,INDEX(職員マスタ!$B$6:$B$405,$AN1600)))</f>
        <v/>
      </c>
      <c r="W1600" s="14">
        <f>IF($AN1600="",IF($B1600="","",$R1600),IF(INDEX(職員マスタ!$C$6:$C$405,$AN1600)="",$R1600,INDEX(職員マスタ!$C$6:$C$405,$AN1600)))</f>
        <v/>
      </c>
      <c r="X1600" s="14">
        <f>IF($AO1600="","","R"&amp;$C1600&amp;"."&amp;$D1600)</f>
        <v/>
      </c>
      <c r="Y1600" s="15">
        <f>IF($AN1600="","",IF(INDEX(職員マスタ!$K$6:$K$405,$AN1600)="","",INDEX(職員マスタ!$K$6:$K$405,$AN1600)))</f>
        <v/>
      </c>
      <c r="Z1600" s="14">
        <f>IF(OR($E1600="",$Y1600=""),"",IF($E1600&gt;=$Y1600,"×",IF($E1600&gt;=$Y1600*設定!$C$5,"△","○")))</f>
        <v/>
      </c>
      <c r="AA1600" s="15">
        <f>IF($Z1600="","",IF($Z1600="×",0,IF($Z1600="○",ROUNDDOWN($E1600*設定!$C$4,0),ROUNDDOWN($E1600*ROUND((9*$Y1600-9*$E1600)/(10*$E1600),4),0))))</f>
        <v/>
      </c>
      <c r="AB1600" s="13" t="n"/>
      <c r="AC1600" s="15">
        <f>IF($B1600="","",IF($AB1600&lt;&gt;"",$AB1600,IF($AA1600="","",IF($AA1600&lt;=設定!$C$3,0,$AA1600))))</f>
        <v/>
      </c>
      <c r="AD1600" s="14">
        <f>IF($B1600="","",IF(AND($AE1600&lt;&gt;"",$AG1600="",$AJ1600=""),"保留中",IF($AJ1600&lt;&gt;"",IF(N($AC1600)&gt;0,"支給済","不支給"),IF($AC1600="","要確認",IF($AC1600=0,"不支給","未処理")))))</f>
        <v/>
      </c>
      <c r="AE1600" s="12" t="n"/>
      <c r="AF1600" s="11" t="n"/>
      <c r="AG1600" s="11" t="n"/>
      <c r="AH1600" s="11" t="n"/>
      <c r="AI1600" s="14">
        <f>IF(AND($AD1600="保留中",$AF1600&lt;&gt;""),TODAY()-$AF1600,"")</f>
        <v/>
      </c>
      <c r="AJ1600" s="12" t="n"/>
      <c r="AK1600" s="14">
        <f>IF($B1600="","",IF($AO1600="","対象年月が未入力／","")&amp;IF($B1600="","",IF($AN1600="","職員マスタに未登録の職員番号／",IF($Y1600="","標準報酬月額が未登録／","")&amp;IF(AND($AO1600&lt;&gt;"",OR(AND(INDEX(職員マスタ!$G$6:$G$405,$AN1600)&lt;&gt;"",INDEX(職員マスタ!$G$6:$G$405,$AN1600)&gt;EOMONTH($AO1600,0)),AND(INDEX(職員マスタ!$H$6:$H$405,$AN1600)&lt;&gt;"",INDEX(職員マスタ!$H$6:$H$405,$AN1600)&lt;$AO1600))),"対象月が時短期間外／","")&amp;IF(AND(INDEX(職員マスタ!$F$6:$F$405,$AN1600)&lt;&gt;"",$AO1600&lt;&gt;"",INDEX(職員マスタ!$F$6:$F$405,$AN1600)&lt;$AO1600),"対象月に子が2歳到達済／","")&amp;IF(AND($H1600&lt;&gt;"",INDEX(職員マスタ!$B$6:$B$405,$AN1600)&lt;&gt;"",SUBSTITUTE(SUBSTITUTE($H1600," ","")," ","")&lt;&gt;SUBSTITUTE(SUBSTITUTE(INDEX(職員マスタ!$B$6:$B$405,$AN1600)," ","")," ","")),"氏名がマスタと相違／","")&amp;IF(AND($Q1600&lt;&gt;"",INDEX(職員マスタ!$E$6:$E$405,$AN1600)&lt;&gt;"",$Q1600&lt;&gt;INDEX(職員マスタ!$E$6:$E$405,$AN1600)),"子の生年月日がマスタと相違／","")&amp;IF(AND($L1600&lt;&gt;"",INDEX(職員マスタ!$G$6:$G$405,$AN1600)&lt;&gt;"",$L1600&lt;&gt;INDEX(職員マスタ!$G$6:$G$405,$AN1600)),"時短開始日がマスタと相違／","")&amp;IF(AND($M1600&lt;&gt;"",INDEX(職員マスタ!$H$6:$H$405,$AN1600)&lt;&gt;"",$M1600&lt;&gt;INDEX(職員マスタ!$H$6:$H$405,$AN1600)),"時短終了日がマスタと相違／","")))&amp;IF(AND($B1600&lt;&gt;"",$E1600=""),"報酬額が未入力／","")&amp;IF(N($U1600)&gt;0,"申請書に入力エラーが残っています／","")&amp;IF(AND($B1600&lt;&gt;"",$AO1600&lt;&gt;""),IF(COUNTIFS($B$6:$B$3005,$B1600,$C$6:$C$3005,$C1600,$D$6:$D$3005,$D1600)&gt;1,"同じ月の請求が重複しています／",""),"")&amp;IF(AND(N($E1600)&gt;0,$Z1600&lt;&gt;"",$Z1600&lt;&gt;"×",$AC1600=0,$AB1600=""),"計算額が下限以下のため不支給／",""))</f>
        <v/>
      </c>
      <c r="AL1600" s="12" t="n"/>
      <c r="AM1600" s="14">
        <f>IF($AD1600="保留中",COUNTIF($AD$6:$AD1600,"保留中"),"")</f>
        <v/>
      </c>
      <c r="AN1600" s="14">
        <f>IF($AO1600="","",IF(SUMPRODUCT(MAX((職員マスタ!$A$6:$A$405=$B1600)*(((職員マスタ!$G$6:$G$405="")+(職員マスタ!$G$6:$G$405&lt;=EOMONTH($AO1600,0)))&gt;0)*(((職員マスタ!$H$6:$H$405="")+(職員マスタ!$H$6:$H$405&gt;=$AO1600))&gt;0)*(ROW(職員マスタ!$A$6:$A$405)-5)))&gt;0,SUMPRODUCT(MAX((職員マスタ!$A$6:$A$405=$B1600)*(((職員マスタ!$G$6:$G$405="")+(職員マスタ!$G$6:$G$405&lt;=EOMONTH($AO1600,0)))&gt;0)*(((職員マスタ!$H$6:$H$405="")+(職員マスタ!$H$6:$H$405&gt;=$AO1600))&gt;0)*(ROW(職員マスタ!$A$6:$A$405)-5))),IFERROR(MATCH($B1600,職員マスタ!$A$6:$A$405,0),"")))</f>
        <v/>
      </c>
      <c r="AO1600" s="16">
        <f>IF(OR($B1600="",$C1600="",$D1600=""),"",DATE($C1600+2018,$D1600,1))</f>
        <v/>
      </c>
    </row>
    <row r="1601">
      <c r="A1601" s="11" t="n"/>
      <c r="B1601" s="12" t="n"/>
      <c r="C1601" s="12" t="n"/>
      <c r="D1601" s="12" t="n"/>
      <c r="E1601" s="13" t="n"/>
      <c r="F1601" s="12" t="n"/>
      <c r="G1601" s="13" t="n"/>
      <c r="H1601" s="12" t="n"/>
      <c r="I1601" s="12" t="n"/>
      <c r="J1601" s="12" t="n"/>
      <c r="K1601" s="12" t="n"/>
      <c r="L1601" s="11" t="n"/>
      <c r="M1601" s="11" t="n"/>
      <c r="N1601" s="11" t="n"/>
      <c r="O1601" s="11" t="n"/>
      <c r="P1601" s="12" t="n"/>
      <c r="Q1601" s="11" t="n"/>
      <c r="R1601" s="12" t="n"/>
      <c r="S1601" s="11" t="n"/>
      <c r="T1601" s="12" t="n"/>
      <c r="U1601" s="12" t="n"/>
      <c r="V1601" s="14">
        <f>IF($AN1601="",IF($B1601="","",$H1601),IF(INDEX(職員マスタ!$B$6:$B$405,$AN1601)="",$H1601,INDEX(職員マスタ!$B$6:$B$405,$AN1601)))</f>
        <v/>
      </c>
      <c r="W1601" s="14">
        <f>IF($AN1601="",IF($B1601="","",$R1601),IF(INDEX(職員マスタ!$C$6:$C$405,$AN1601)="",$R1601,INDEX(職員マスタ!$C$6:$C$405,$AN1601)))</f>
        <v/>
      </c>
      <c r="X1601" s="14">
        <f>IF($AO1601="","","R"&amp;$C1601&amp;"."&amp;$D1601)</f>
        <v/>
      </c>
      <c r="Y1601" s="15">
        <f>IF($AN1601="","",IF(INDEX(職員マスタ!$K$6:$K$405,$AN1601)="","",INDEX(職員マスタ!$K$6:$K$405,$AN1601)))</f>
        <v/>
      </c>
      <c r="Z1601" s="14">
        <f>IF(OR($E1601="",$Y1601=""),"",IF($E1601&gt;=$Y1601,"×",IF($E1601&gt;=$Y1601*設定!$C$5,"△","○")))</f>
        <v/>
      </c>
      <c r="AA1601" s="15">
        <f>IF($Z1601="","",IF($Z1601="×",0,IF($Z1601="○",ROUNDDOWN($E1601*設定!$C$4,0),ROUNDDOWN($E1601*ROUND((9*$Y1601-9*$E1601)/(10*$E1601),4),0))))</f>
        <v/>
      </c>
      <c r="AB1601" s="13" t="n"/>
      <c r="AC1601" s="15">
        <f>IF($B1601="","",IF($AB1601&lt;&gt;"",$AB1601,IF($AA1601="","",IF($AA1601&lt;=設定!$C$3,0,$AA1601))))</f>
        <v/>
      </c>
      <c r="AD1601" s="14">
        <f>IF($B1601="","",IF(AND($AE1601&lt;&gt;"",$AG1601="",$AJ1601=""),"保留中",IF($AJ1601&lt;&gt;"",IF(N($AC1601)&gt;0,"支給済","不支給"),IF($AC1601="","要確認",IF($AC1601=0,"不支給","未処理")))))</f>
        <v/>
      </c>
      <c r="AE1601" s="12" t="n"/>
      <c r="AF1601" s="11" t="n"/>
      <c r="AG1601" s="11" t="n"/>
      <c r="AH1601" s="11" t="n"/>
      <c r="AI1601" s="14">
        <f>IF(AND($AD1601="保留中",$AF1601&lt;&gt;""),TODAY()-$AF1601,"")</f>
        <v/>
      </c>
      <c r="AJ1601" s="12" t="n"/>
      <c r="AK1601" s="14">
        <f>IF($B1601="","",IF($AO1601="","対象年月が未入力／","")&amp;IF($B1601="","",IF($AN1601="","職員マスタに未登録の職員番号／",IF($Y1601="","標準報酬月額が未登録／","")&amp;IF(AND($AO1601&lt;&gt;"",OR(AND(INDEX(職員マスタ!$G$6:$G$405,$AN1601)&lt;&gt;"",INDEX(職員マスタ!$G$6:$G$405,$AN1601)&gt;EOMONTH($AO1601,0)),AND(INDEX(職員マスタ!$H$6:$H$405,$AN1601)&lt;&gt;"",INDEX(職員マスタ!$H$6:$H$405,$AN1601)&lt;$AO1601))),"対象月が時短期間外／","")&amp;IF(AND(INDEX(職員マスタ!$F$6:$F$405,$AN1601)&lt;&gt;"",$AO1601&lt;&gt;"",INDEX(職員マスタ!$F$6:$F$405,$AN1601)&lt;$AO1601),"対象月に子が2歳到達済／","")&amp;IF(AND($H1601&lt;&gt;"",INDEX(職員マスタ!$B$6:$B$405,$AN1601)&lt;&gt;"",SUBSTITUTE(SUBSTITUTE($H1601," ","")," ","")&lt;&gt;SUBSTITUTE(SUBSTITUTE(INDEX(職員マスタ!$B$6:$B$405,$AN1601)," ","")," ","")),"氏名がマスタと相違／","")&amp;IF(AND($Q1601&lt;&gt;"",INDEX(職員マスタ!$E$6:$E$405,$AN1601)&lt;&gt;"",$Q1601&lt;&gt;INDEX(職員マスタ!$E$6:$E$405,$AN1601)),"子の生年月日がマスタと相違／","")&amp;IF(AND($L1601&lt;&gt;"",INDEX(職員マスタ!$G$6:$G$405,$AN1601)&lt;&gt;"",$L1601&lt;&gt;INDEX(職員マスタ!$G$6:$G$405,$AN1601)),"時短開始日がマスタと相違／","")&amp;IF(AND($M1601&lt;&gt;"",INDEX(職員マスタ!$H$6:$H$405,$AN1601)&lt;&gt;"",$M1601&lt;&gt;INDEX(職員マスタ!$H$6:$H$405,$AN1601)),"時短終了日がマスタと相違／","")))&amp;IF(AND($B1601&lt;&gt;"",$E1601=""),"報酬額が未入力／","")&amp;IF(N($U1601)&gt;0,"申請書に入力エラーが残っています／","")&amp;IF(AND($B1601&lt;&gt;"",$AO1601&lt;&gt;""),IF(COUNTIFS($B$6:$B$3005,$B1601,$C$6:$C$3005,$C1601,$D$6:$D$3005,$D1601)&gt;1,"同じ月の請求が重複しています／",""),"")&amp;IF(AND(N($E1601)&gt;0,$Z1601&lt;&gt;"",$Z1601&lt;&gt;"×",$AC1601=0,$AB1601=""),"計算額が下限以下のため不支給／",""))</f>
        <v/>
      </c>
      <c r="AL1601" s="12" t="n"/>
      <c r="AM1601" s="14">
        <f>IF($AD1601="保留中",COUNTIF($AD$6:$AD1601,"保留中"),"")</f>
        <v/>
      </c>
      <c r="AN1601" s="14">
        <f>IF($AO1601="","",IF(SUMPRODUCT(MAX((職員マスタ!$A$6:$A$405=$B1601)*(((職員マスタ!$G$6:$G$405="")+(職員マスタ!$G$6:$G$405&lt;=EOMONTH($AO1601,0)))&gt;0)*(((職員マスタ!$H$6:$H$405="")+(職員マスタ!$H$6:$H$405&gt;=$AO1601))&gt;0)*(ROW(職員マスタ!$A$6:$A$405)-5)))&gt;0,SUMPRODUCT(MAX((職員マスタ!$A$6:$A$405=$B1601)*(((職員マスタ!$G$6:$G$405="")+(職員マスタ!$G$6:$G$405&lt;=EOMONTH($AO1601,0)))&gt;0)*(((職員マスタ!$H$6:$H$405="")+(職員マスタ!$H$6:$H$405&gt;=$AO1601))&gt;0)*(ROW(職員マスタ!$A$6:$A$405)-5))),IFERROR(MATCH($B1601,職員マスタ!$A$6:$A$405,0),"")))</f>
        <v/>
      </c>
      <c r="AO1601" s="16">
        <f>IF(OR($B1601="",$C1601="",$D1601=""),"",DATE($C1601+2018,$D1601,1))</f>
        <v/>
      </c>
    </row>
    <row r="1602">
      <c r="A1602" s="11" t="n"/>
      <c r="B1602" s="12" t="n"/>
      <c r="C1602" s="12" t="n"/>
      <c r="D1602" s="12" t="n"/>
      <c r="E1602" s="13" t="n"/>
      <c r="F1602" s="12" t="n"/>
      <c r="G1602" s="13" t="n"/>
      <c r="H1602" s="12" t="n"/>
      <c r="I1602" s="12" t="n"/>
      <c r="J1602" s="12" t="n"/>
      <c r="K1602" s="12" t="n"/>
      <c r="L1602" s="11" t="n"/>
      <c r="M1602" s="11" t="n"/>
      <c r="N1602" s="11" t="n"/>
      <c r="O1602" s="11" t="n"/>
      <c r="P1602" s="12" t="n"/>
      <c r="Q1602" s="11" t="n"/>
      <c r="R1602" s="12" t="n"/>
      <c r="S1602" s="11" t="n"/>
      <c r="T1602" s="12" t="n"/>
      <c r="U1602" s="12" t="n"/>
      <c r="V1602" s="14">
        <f>IF($AN1602="",IF($B1602="","",$H1602),IF(INDEX(職員マスタ!$B$6:$B$405,$AN1602)="",$H1602,INDEX(職員マスタ!$B$6:$B$405,$AN1602)))</f>
        <v/>
      </c>
      <c r="W1602" s="14">
        <f>IF($AN1602="",IF($B1602="","",$R1602),IF(INDEX(職員マスタ!$C$6:$C$405,$AN1602)="",$R1602,INDEX(職員マスタ!$C$6:$C$405,$AN1602)))</f>
        <v/>
      </c>
      <c r="X1602" s="14">
        <f>IF($AO1602="","","R"&amp;$C1602&amp;"."&amp;$D1602)</f>
        <v/>
      </c>
      <c r="Y1602" s="15">
        <f>IF($AN1602="","",IF(INDEX(職員マスタ!$K$6:$K$405,$AN1602)="","",INDEX(職員マスタ!$K$6:$K$405,$AN1602)))</f>
        <v/>
      </c>
      <c r="Z1602" s="14">
        <f>IF(OR($E1602="",$Y1602=""),"",IF($E1602&gt;=$Y1602,"×",IF($E1602&gt;=$Y1602*設定!$C$5,"△","○")))</f>
        <v/>
      </c>
      <c r="AA1602" s="15">
        <f>IF($Z1602="","",IF($Z1602="×",0,IF($Z1602="○",ROUNDDOWN($E1602*設定!$C$4,0),ROUNDDOWN($E1602*ROUND((9*$Y1602-9*$E1602)/(10*$E1602),4),0))))</f>
        <v/>
      </c>
      <c r="AB1602" s="13" t="n"/>
      <c r="AC1602" s="15">
        <f>IF($B1602="","",IF($AB1602&lt;&gt;"",$AB1602,IF($AA1602="","",IF($AA1602&lt;=設定!$C$3,0,$AA1602))))</f>
        <v/>
      </c>
      <c r="AD1602" s="14">
        <f>IF($B1602="","",IF(AND($AE1602&lt;&gt;"",$AG1602="",$AJ1602=""),"保留中",IF($AJ1602&lt;&gt;"",IF(N($AC1602)&gt;0,"支給済","不支給"),IF($AC1602="","要確認",IF($AC1602=0,"不支給","未処理")))))</f>
        <v/>
      </c>
      <c r="AE1602" s="12" t="n"/>
      <c r="AF1602" s="11" t="n"/>
      <c r="AG1602" s="11" t="n"/>
      <c r="AH1602" s="11" t="n"/>
      <c r="AI1602" s="14">
        <f>IF(AND($AD1602="保留中",$AF1602&lt;&gt;""),TODAY()-$AF1602,"")</f>
        <v/>
      </c>
      <c r="AJ1602" s="12" t="n"/>
      <c r="AK1602" s="14">
        <f>IF($B1602="","",IF($AO1602="","対象年月が未入力／","")&amp;IF($B1602="","",IF($AN1602="","職員マスタに未登録の職員番号／",IF($Y1602="","標準報酬月額が未登録／","")&amp;IF(AND($AO1602&lt;&gt;"",OR(AND(INDEX(職員マスタ!$G$6:$G$405,$AN1602)&lt;&gt;"",INDEX(職員マスタ!$G$6:$G$405,$AN1602)&gt;EOMONTH($AO1602,0)),AND(INDEX(職員マスタ!$H$6:$H$405,$AN1602)&lt;&gt;"",INDEX(職員マスタ!$H$6:$H$405,$AN1602)&lt;$AO1602))),"対象月が時短期間外／","")&amp;IF(AND(INDEX(職員マスタ!$F$6:$F$405,$AN1602)&lt;&gt;"",$AO1602&lt;&gt;"",INDEX(職員マスタ!$F$6:$F$405,$AN1602)&lt;$AO1602),"対象月に子が2歳到達済／","")&amp;IF(AND($H1602&lt;&gt;"",INDEX(職員マスタ!$B$6:$B$405,$AN1602)&lt;&gt;"",SUBSTITUTE(SUBSTITUTE($H1602," ","")," ","")&lt;&gt;SUBSTITUTE(SUBSTITUTE(INDEX(職員マスタ!$B$6:$B$405,$AN1602)," ","")," ","")),"氏名がマスタと相違／","")&amp;IF(AND($Q1602&lt;&gt;"",INDEX(職員マスタ!$E$6:$E$405,$AN1602)&lt;&gt;"",$Q1602&lt;&gt;INDEX(職員マスタ!$E$6:$E$405,$AN1602)),"子の生年月日がマスタと相違／","")&amp;IF(AND($L1602&lt;&gt;"",INDEX(職員マスタ!$G$6:$G$405,$AN1602)&lt;&gt;"",$L1602&lt;&gt;INDEX(職員マスタ!$G$6:$G$405,$AN1602)),"時短開始日がマスタと相違／","")&amp;IF(AND($M1602&lt;&gt;"",INDEX(職員マスタ!$H$6:$H$405,$AN1602)&lt;&gt;"",$M1602&lt;&gt;INDEX(職員マスタ!$H$6:$H$405,$AN1602)),"時短終了日がマスタと相違／","")))&amp;IF(AND($B1602&lt;&gt;"",$E1602=""),"報酬額が未入力／","")&amp;IF(N($U1602)&gt;0,"申請書に入力エラーが残っています／","")&amp;IF(AND($B1602&lt;&gt;"",$AO1602&lt;&gt;""),IF(COUNTIFS($B$6:$B$3005,$B1602,$C$6:$C$3005,$C1602,$D$6:$D$3005,$D1602)&gt;1,"同じ月の請求が重複しています／",""),"")&amp;IF(AND(N($E1602)&gt;0,$Z1602&lt;&gt;"",$Z1602&lt;&gt;"×",$AC1602=0,$AB1602=""),"計算額が下限以下のため不支給／",""))</f>
        <v/>
      </c>
      <c r="AL1602" s="12" t="n"/>
      <c r="AM1602" s="14">
        <f>IF($AD1602="保留中",COUNTIF($AD$6:$AD1602,"保留中"),"")</f>
        <v/>
      </c>
      <c r="AN1602" s="14">
        <f>IF($AO1602="","",IF(SUMPRODUCT(MAX((職員マスタ!$A$6:$A$405=$B1602)*(((職員マスタ!$G$6:$G$405="")+(職員マスタ!$G$6:$G$405&lt;=EOMONTH($AO1602,0)))&gt;0)*(((職員マスタ!$H$6:$H$405="")+(職員マスタ!$H$6:$H$405&gt;=$AO1602))&gt;0)*(ROW(職員マスタ!$A$6:$A$405)-5)))&gt;0,SUMPRODUCT(MAX((職員マスタ!$A$6:$A$405=$B1602)*(((職員マスタ!$G$6:$G$405="")+(職員マスタ!$G$6:$G$405&lt;=EOMONTH($AO1602,0)))&gt;0)*(((職員マスタ!$H$6:$H$405="")+(職員マスタ!$H$6:$H$405&gt;=$AO1602))&gt;0)*(ROW(職員マスタ!$A$6:$A$405)-5))),IFERROR(MATCH($B1602,職員マスタ!$A$6:$A$405,0),"")))</f>
        <v/>
      </c>
      <c r="AO1602" s="16">
        <f>IF(OR($B1602="",$C1602="",$D1602=""),"",DATE($C1602+2018,$D1602,1))</f>
        <v/>
      </c>
    </row>
    <row r="1603">
      <c r="A1603" s="11" t="n"/>
      <c r="B1603" s="12" t="n"/>
      <c r="C1603" s="12" t="n"/>
      <c r="D1603" s="12" t="n"/>
      <c r="E1603" s="13" t="n"/>
      <c r="F1603" s="12" t="n"/>
      <c r="G1603" s="13" t="n"/>
      <c r="H1603" s="12" t="n"/>
      <c r="I1603" s="12" t="n"/>
      <c r="J1603" s="12" t="n"/>
      <c r="K1603" s="12" t="n"/>
      <c r="L1603" s="11" t="n"/>
      <c r="M1603" s="11" t="n"/>
      <c r="N1603" s="11" t="n"/>
      <c r="O1603" s="11" t="n"/>
      <c r="P1603" s="12" t="n"/>
      <c r="Q1603" s="11" t="n"/>
      <c r="R1603" s="12" t="n"/>
      <c r="S1603" s="11" t="n"/>
      <c r="T1603" s="12" t="n"/>
      <c r="U1603" s="12" t="n"/>
      <c r="V1603" s="14">
        <f>IF($AN1603="",IF($B1603="","",$H1603),IF(INDEX(職員マスタ!$B$6:$B$405,$AN1603)="",$H1603,INDEX(職員マスタ!$B$6:$B$405,$AN1603)))</f>
        <v/>
      </c>
      <c r="W1603" s="14">
        <f>IF($AN1603="",IF($B1603="","",$R1603),IF(INDEX(職員マスタ!$C$6:$C$405,$AN1603)="",$R1603,INDEX(職員マスタ!$C$6:$C$405,$AN1603)))</f>
        <v/>
      </c>
      <c r="X1603" s="14">
        <f>IF($AO1603="","","R"&amp;$C1603&amp;"."&amp;$D1603)</f>
        <v/>
      </c>
      <c r="Y1603" s="15">
        <f>IF($AN1603="","",IF(INDEX(職員マスタ!$K$6:$K$405,$AN1603)="","",INDEX(職員マスタ!$K$6:$K$405,$AN1603)))</f>
        <v/>
      </c>
      <c r="Z1603" s="14">
        <f>IF(OR($E1603="",$Y1603=""),"",IF($E1603&gt;=$Y1603,"×",IF($E1603&gt;=$Y1603*設定!$C$5,"△","○")))</f>
        <v/>
      </c>
      <c r="AA1603" s="15">
        <f>IF($Z1603="","",IF($Z1603="×",0,IF($Z1603="○",ROUNDDOWN($E1603*設定!$C$4,0),ROUNDDOWN($E1603*ROUND((9*$Y1603-9*$E1603)/(10*$E1603),4),0))))</f>
        <v/>
      </c>
      <c r="AB1603" s="13" t="n"/>
      <c r="AC1603" s="15">
        <f>IF($B1603="","",IF($AB1603&lt;&gt;"",$AB1603,IF($AA1603="","",IF($AA1603&lt;=設定!$C$3,0,$AA1603))))</f>
        <v/>
      </c>
      <c r="AD1603" s="14">
        <f>IF($B1603="","",IF(AND($AE1603&lt;&gt;"",$AG1603="",$AJ1603=""),"保留中",IF($AJ1603&lt;&gt;"",IF(N($AC1603)&gt;0,"支給済","不支給"),IF($AC1603="","要確認",IF($AC1603=0,"不支給","未処理")))))</f>
        <v/>
      </c>
      <c r="AE1603" s="12" t="n"/>
      <c r="AF1603" s="11" t="n"/>
      <c r="AG1603" s="11" t="n"/>
      <c r="AH1603" s="11" t="n"/>
      <c r="AI1603" s="14">
        <f>IF(AND($AD1603="保留中",$AF1603&lt;&gt;""),TODAY()-$AF1603,"")</f>
        <v/>
      </c>
      <c r="AJ1603" s="12" t="n"/>
      <c r="AK1603" s="14">
        <f>IF($B1603="","",IF($AO1603="","対象年月が未入力／","")&amp;IF($B1603="","",IF($AN1603="","職員マスタに未登録の職員番号／",IF($Y1603="","標準報酬月額が未登録／","")&amp;IF(AND($AO1603&lt;&gt;"",OR(AND(INDEX(職員マスタ!$G$6:$G$405,$AN1603)&lt;&gt;"",INDEX(職員マスタ!$G$6:$G$405,$AN1603)&gt;EOMONTH($AO1603,0)),AND(INDEX(職員マスタ!$H$6:$H$405,$AN1603)&lt;&gt;"",INDEX(職員マスタ!$H$6:$H$405,$AN1603)&lt;$AO1603))),"対象月が時短期間外／","")&amp;IF(AND(INDEX(職員マスタ!$F$6:$F$405,$AN1603)&lt;&gt;"",$AO1603&lt;&gt;"",INDEX(職員マスタ!$F$6:$F$405,$AN1603)&lt;$AO1603),"対象月に子が2歳到達済／","")&amp;IF(AND($H1603&lt;&gt;"",INDEX(職員マスタ!$B$6:$B$405,$AN1603)&lt;&gt;"",SUBSTITUTE(SUBSTITUTE($H1603," ","")," ","")&lt;&gt;SUBSTITUTE(SUBSTITUTE(INDEX(職員マスタ!$B$6:$B$405,$AN1603)," ","")," ","")),"氏名がマスタと相違／","")&amp;IF(AND($Q1603&lt;&gt;"",INDEX(職員マスタ!$E$6:$E$405,$AN1603)&lt;&gt;"",$Q1603&lt;&gt;INDEX(職員マスタ!$E$6:$E$405,$AN1603)),"子の生年月日がマスタと相違／","")&amp;IF(AND($L1603&lt;&gt;"",INDEX(職員マスタ!$G$6:$G$405,$AN1603)&lt;&gt;"",$L1603&lt;&gt;INDEX(職員マスタ!$G$6:$G$405,$AN1603)),"時短開始日がマスタと相違／","")&amp;IF(AND($M1603&lt;&gt;"",INDEX(職員マスタ!$H$6:$H$405,$AN1603)&lt;&gt;"",$M1603&lt;&gt;INDEX(職員マスタ!$H$6:$H$405,$AN1603)),"時短終了日がマスタと相違／","")))&amp;IF(AND($B1603&lt;&gt;"",$E1603=""),"報酬額が未入力／","")&amp;IF(N($U1603)&gt;0,"申請書に入力エラーが残っています／","")&amp;IF(AND($B1603&lt;&gt;"",$AO1603&lt;&gt;""),IF(COUNTIFS($B$6:$B$3005,$B1603,$C$6:$C$3005,$C1603,$D$6:$D$3005,$D1603)&gt;1,"同じ月の請求が重複しています／",""),"")&amp;IF(AND(N($E1603)&gt;0,$Z1603&lt;&gt;"",$Z1603&lt;&gt;"×",$AC1603=0,$AB1603=""),"計算額が下限以下のため不支給／",""))</f>
        <v/>
      </c>
      <c r="AL1603" s="12" t="n"/>
      <c r="AM1603" s="14">
        <f>IF($AD1603="保留中",COUNTIF($AD$6:$AD1603,"保留中"),"")</f>
        <v/>
      </c>
      <c r="AN1603" s="14">
        <f>IF($AO1603="","",IF(SUMPRODUCT(MAX((職員マスタ!$A$6:$A$405=$B1603)*(((職員マスタ!$G$6:$G$405="")+(職員マスタ!$G$6:$G$405&lt;=EOMONTH($AO1603,0)))&gt;0)*(((職員マスタ!$H$6:$H$405="")+(職員マスタ!$H$6:$H$405&gt;=$AO1603))&gt;0)*(ROW(職員マスタ!$A$6:$A$405)-5)))&gt;0,SUMPRODUCT(MAX((職員マスタ!$A$6:$A$405=$B1603)*(((職員マスタ!$G$6:$G$405="")+(職員マスタ!$G$6:$G$405&lt;=EOMONTH($AO1603,0)))&gt;0)*(((職員マスタ!$H$6:$H$405="")+(職員マスタ!$H$6:$H$405&gt;=$AO1603))&gt;0)*(ROW(職員マスタ!$A$6:$A$405)-5))),IFERROR(MATCH($B1603,職員マスタ!$A$6:$A$405,0),"")))</f>
        <v/>
      </c>
      <c r="AO1603" s="16">
        <f>IF(OR($B1603="",$C1603="",$D1603=""),"",DATE($C1603+2018,$D1603,1))</f>
        <v/>
      </c>
    </row>
    <row r="1604">
      <c r="A1604" s="11" t="n"/>
      <c r="B1604" s="12" t="n"/>
      <c r="C1604" s="12" t="n"/>
      <c r="D1604" s="12" t="n"/>
      <c r="E1604" s="13" t="n"/>
      <c r="F1604" s="12" t="n"/>
      <c r="G1604" s="13" t="n"/>
      <c r="H1604" s="12" t="n"/>
      <c r="I1604" s="12" t="n"/>
      <c r="J1604" s="12" t="n"/>
      <c r="K1604" s="12" t="n"/>
      <c r="L1604" s="11" t="n"/>
      <c r="M1604" s="11" t="n"/>
      <c r="N1604" s="11" t="n"/>
      <c r="O1604" s="11" t="n"/>
      <c r="P1604" s="12" t="n"/>
      <c r="Q1604" s="11" t="n"/>
      <c r="R1604" s="12" t="n"/>
      <c r="S1604" s="11" t="n"/>
      <c r="T1604" s="12" t="n"/>
      <c r="U1604" s="12" t="n"/>
      <c r="V1604" s="14">
        <f>IF($AN1604="",IF($B1604="","",$H1604),IF(INDEX(職員マスタ!$B$6:$B$405,$AN1604)="",$H1604,INDEX(職員マスタ!$B$6:$B$405,$AN1604)))</f>
        <v/>
      </c>
      <c r="W1604" s="14">
        <f>IF($AN1604="",IF($B1604="","",$R1604),IF(INDEX(職員マスタ!$C$6:$C$405,$AN1604)="",$R1604,INDEX(職員マスタ!$C$6:$C$405,$AN1604)))</f>
        <v/>
      </c>
      <c r="X1604" s="14">
        <f>IF($AO1604="","","R"&amp;$C1604&amp;"."&amp;$D1604)</f>
        <v/>
      </c>
      <c r="Y1604" s="15">
        <f>IF($AN1604="","",IF(INDEX(職員マスタ!$K$6:$K$405,$AN1604)="","",INDEX(職員マスタ!$K$6:$K$405,$AN1604)))</f>
        <v/>
      </c>
      <c r="Z1604" s="14">
        <f>IF(OR($E1604="",$Y1604=""),"",IF($E1604&gt;=$Y1604,"×",IF($E1604&gt;=$Y1604*設定!$C$5,"△","○")))</f>
        <v/>
      </c>
      <c r="AA1604" s="15">
        <f>IF($Z1604="","",IF($Z1604="×",0,IF($Z1604="○",ROUNDDOWN($E1604*設定!$C$4,0),ROUNDDOWN($E1604*ROUND((9*$Y1604-9*$E1604)/(10*$E1604),4),0))))</f>
        <v/>
      </c>
      <c r="AB1604" s="13" t="n"/>
      <c r="AC1604" s="15">
        <f>IF($B1604="","",IF($AB1604&lt;&gt;"",$AB1604,IF($AA1604="","",IF($AA1604&lt;=設定!$C$3,0,$AA1604))))</f>
        <v/>
      </c>
      <c r="AD1604" s="14">
        <f>IF($B1604="","",IF(AND($AE1604&lt;&gt;"",$AG1604="",$AJ1604=""),"保留中",IF($AJ1604&lt;&gt;"",IF(N($AC1604)&gt;0,"支給済","不支給"),IF($AC1604="","要確認",IF($AC1604=0,"不支給","未処理")))))</f>
        <v/>
      </c>
      <c r="AE1604" s="12" t="n"/>
      <c r="AF1604" s="11" t="n"/>
      <c r="AG1604" s="11" t="n"/>
      <c r="AH1604" s="11" t="n"/>
      <c r="AI1604" s="14">
        <f>IF(AND($AD1604="保留中",$AF1604&lt;&gt;""),TODAY()-$AF1604,"")</f>
        <v/>
      </c>
      <c r="AJ1604" s="12" t="n"/>
      <c r="AK1604" s="14">
        <f>IF($B1604="","",IF($AO1604="","対象年月が未入力／","")&amp;IF($B1604="","",IF($AN1604="","職員マスタに未登録の職員番号／",IF($Y1604="","標準報酬月額が未登録／","")&amp;IF(AND($AO1604&lt;&gt;"",OR(AND(INDEX(職員マスタ!$G$6:$G$405,$AN1604)&lt;&gt;"",INDEX(職員マスタ!$G$6:$G$405,$AN1604)&gt;EOMONTH($AO1604,0)),AND(INDEX(職員マスタ!$H$6:$H$405,$AN1604)&lt;&gt;"",INDEX(職員マスタ!$H$6:$H$405,$AN1604)&lt;$AO1604))),"対象月が時短期間外／","")&amp;IF(AND(INDEX(職員マスタ!$F$6:$F$405,$AN1604)&lt;&gt;"",$AO1604&lt;&gt;"",INDEX(職員マスタ!$F$6:$F$405,$AN1604)&lt;$AO1604),"対象月に子が2歳到達済／","")&amp;IF(AND($H1604&lt;&gt;"",INDEX(職員マスタ!$B$6:$B$405,$AN1604)&lt;&gt;"",SUBSTITUTE(SUBSTITUTE($H1604," ","")," ","")&lt;&gt;SUBSTITUTE(SUBSTITUTE(INDEX(職員マスタ!$B$6:$B$405,$AN1604)," ","")," ","")),"氏名がマスタと相違／","")&amp;IF(AND($Q1604&lt;&gt;"",INDEX(職員マスタ!$E$6:$E$405,$AN1604)&lt;&gt;"",$Q1604&lt;&gt;INDEX(職員マスタ!$E$6:$E$405,$AN1604)),"子の生年月日がマスタと相違／","")&amp;IF(AND($L1604&lt;&gt;"",INDEX(職員マスタ!$G$6:$G$405,$AN1604)&lt;&gt;"",$L1604&lt;&gt;INDEX(職員マスタ!$G$6:$G$405,$AN1604)),"時短開始日がマスタと相違／","")&amp;IF(AND($M1604&lt;&gt;"",INDEX(職員マスタ!$H$6:$H$405,$AN1604)&lt;&gt;"",$M1604&lt;&gt;INDEX(職員マスタ!$H$6:$H$405,$AN1604)),"時短終了日がマスタと相違／","")))&amp;IF(AND($B1604&lt;&gt;"",$E1604=""),"報酬額が未入力／","")&amp;IF(N($U1604)&gt;0,"申請書に入力エラーが残っています／","")&amp;IF(AND($B1604&lt;&gt;"",$AO1604&lt;&gt;""),IF(COUNTIFS($B$6:$B$3005,$B1604,$C$6:$C$3005,$C1604,$D$6:$D$3005,$D1604)&gt;1,"同じ月の請求が重複しています／",""),"")&amp;IF(AND(N($E1604)&gt;0,$Z1604&lt;&gt;"",$Z1604&lt;&gt;"×",$AC1604=0,$AB1604=""),"計算額が下限以下のため不支給／",""))</f>
        <v/>
      </c>
      <c r="AL1604" s="12" t="n"/>
      <c r="AM1604" s="14">
        <f>IF($AD1604="保留中",COUNTIF($AD$6:$AD1604,"保留中"),"")</f>
        <v/>
      </c>
      <c r="AN1604" s="14">
        <f>IF($AO1604="","",IF(SUMPRODUCT(MAX((職員マスタ!$A$6:$A$405=$B1604)*(((職員マスタ!$G$6:$G$405="")+(職員マスタ!$G$6:$G$405&lt;=EOMONTH($AO1604,0)))&gt;0)*(((職員マスタ!$H$6:$H$405="")+(職員マスタ!$H$6:$H$405&gt;=$AO1604))&gt;0)*(ROW(職員マスタ!$A$6:$A$405)-5)))&gt;0,SUMPRODUCT(MAX((職員マスタ!$A$6:$A$405=$B1604)*(((職員マスタ!$G$6:$G$405="")+(職員マスタ!$G$6:$G$405&lt;=EOMONTH($AO1604,0)))&gt;0)*(((職員マスタ!$H$6:$H$405="")+(職員マスタ!$H$6:$H$405&gt;=$AO1604))&gt;0)*(ROW(職員マスタ!$A$6:$A$405)-5))),IFERROR(MATCH($B1604,職員マスタ!$A$6:$A$405,0),"")))</f>
        <v/>
      </c>
      <c r="AO1604" s="16">
        <f>IF(OR($B1604="",$C1604="",$D1604=""),"",DATE($C1604+2018,$D1604,1))</f>
        <v/>
      </c>
    </row>
    <row r="1605">
      <c r="A1605" s="11" t="n"/>
      <c r="B1605" s="12" t="n"/>
      <c r="C1605" s="12" t="n"/>
      <c r="D1605" s="12" t="n"/>
      <c r="E1605" s="13" t="n"/>
      <c r="F1605" s="12" t="n"/>
      <c r="G1605" s="13" t="n"/>
      <c r="H1605" s="12" t="n"/>
      <c r="I1605" s="12" t="n"/>
      <c r="J1605" s="12" t="n"/>
      <c r="K1605" s="12" t="n"/>
      <c r="L1605" s="11" t="n"/>
      <c r="M1605" s="11" t="n"/>
      <c r="N1605" s="11" t="n"/>
      <c r="O1605" s="11" t="n"/>
      <c r="P1605" s="12" t="n"/>
      <c r="Q1605" s="11" t="n"/>
      <c r="R1605" s="12" t="n"/>
      <c r="S1605" s="11" t="n"/>
      <c r="T1605" s="12" t="n"/>
      <c r="U1605" s="12" t="n"/>
      <c r="V1605" s="14">
        <f>IF($AN1605="",IF($B1605="","",$H1605),IF(INDEX(職員マスタ!$B$6:$B$405,$AN1605)="",$H1605,INDEX(職員マスタ!$B$6:$B$405,$AN1605)))</f>
        <v/>
      </c>
      <c r="W1605" s="14">
        <f>IF($AN1605="",IF($B1605="","",$R1605),IF(INDEX(職員マスタ!$C$6:$C$405,$AN1605)="",$R1605,INDEX(職員マスタ!$C$6:$C$405,$AN1605)))</f>
        <v/>
      </c>
      <c r="X1605" s="14">
        <f>IF($AO1605="","","R"&amp;$C1605&amp;"."&amp;$D1605)</f>
        <v/>
      </c>
      <c r="Y1605" s="15">
        <f>IF($AN1605="","",IF(INDEX(職員マスタ!$K$6:$K$405,$AN1605)="","",INDEX(職員マスタ!$K$6:$K$405,$AN1605)))</f>
        <v/>
      </c>
      <c r="Z1605" s="14">
        <f>IF(OR($E1605="",$Y1605=""),"",IF($E1605&gt;=$Y1605,"×",IF($E1605&gt;=$Y1605*設定!$C$5,"△","○")))</f>
        <v/>
      </c>
      <c r="AA1605" s="15">
        <f>IF($Z1605="","",IF($Z1605="×",0,IF($Z1605="○",ROUNDDOWN($E1605*設定!$C$4,0),ROUNDDOWN($E1605*ROUND((9*$Y1605-9*$E1605)/(10*$E1605),4),0))))</f>
        <v/>
      </c>
      <c r="AB1605" s="13" t="n"/>
      <c r="AC1605" s="15">
        <f>IF($B1605="","",IF($AB1605&lt;&gt;"",$AB1605,IF($AA1605="","",IF($AA1605&lt;=設定!$C$3,0,$AA1605))))</f>
        <v/>
      </c>
      <c r="AD1605" s="14">
        <f>IF($B1605="","",IF(AND($AE1605&lt;&gt;"",$AG1605="",$AJ1605=""),"保留中",IF($AJ1605&lt;&gt;"",IF(N($AC1605)&gt;0,"支給済","不支給"),IF($AC1605="","要確認",IF($AC1605=0,"不支給","未処理")))))</f>
        <v/>
      </c>
      <c r="AE1605" s="12" t="n"/>
      <c r="AF1605" s="11" t="n"/>
      <c r="AG1605" s="11" t="n"/>
      <c r="AH1605" s="11" t="n"/>
      <c r="AI1605" s="14">
        <f>IF(AND($AD1605="保留中",$AF1605&lt;&gt;""),TODAY()-$AF1605,"")</f>
        <v/>
      </c>
      <c r="AJ1605" s="12" t="n"/>
      <c r="AK1605" s="14">
        <f>IF($B1605="","",IF($AO1605="","対象年月が未入力／","")&amp;IF($B1605="","",IF($AN1605="","職員マスタに未登録の職員番号／",IF($Y1605="","標準報酬月額が未登録／","")&amp;IF(AND($AO1605&lt;&gt;"",OR(AND(INDEX(職員マスタ!$G$6:$G$405,$AN1605)&lt;&gt;"",INDEX(職員マスタ!$G$6:$G$405,$AN1605)&gt;EOMONTH($AO1605,0)),AND(INDEX(職員マスタ!$H$6:$H$405,$AN1605)&lt;&gt;"",INDEX(職員マスタ!$H$6:$H$405,$AN1605)&lt;$AO1605))),"対象月が時短期間外／","")&amp;IF(AND(INDEX(職員マスタ!$F$6:$F$405,$AN1605)&lt;&gt;"",$AO1605&lt;&gt;"",INDEX(職員マスタ!$F$6:$F$405,$AN1605)&lt;$AO1605),"対象月に子が2歳到達済／","")&amp;IF(AND($H1605&lt;&gt;"",INDEX(職員マスタ!$B$6:$B$405,$AN1605)&lt;&gt;"",SUBSTITUTE(SUBSTITUTE($H1605," ","")," ","")&lt;&gt;SUBSTITUTE(SUBSTITUTE(INDEX(職員マスタ!$B$6:$B$405,$AN1605)," ","")," ","")),"氏名がマスタと相違／","")&amp;IF(AND($Q1605&lt;&gt;"",INDEX(職員マスタ!$E$6:$E$405,$AN1605)&lt;&gt;"",$Q1605&lt;&gt;INDEX(職員マスタ!$E$6:$E$405,$AN1605)),"子の生年月日がマスタと相違／","")&amp;IF(AND($L1605&lt;&gt;"",INDEX(職員マスタ!$G$6:$G$405,$AN1605)&lt;&gt;"",$L1605&lt;&gt;INDEX(職員マスタ!$G$6:$G$405,$AN1605)),"時短開始日がマスタと相違／","")&amp;IF(AND($M1605&lt;&gt;"",INDEX(職員マスタ!$H$6:$H$405,$AN1605)&lt;&gt;"",$M1605&lt;&gt;INDEX(職員マスタ!$H$6:$H$405,$AN1605)),"時短終了日がマスタと相違／","")))&amp;IF(AND($B1605&lt;&gt;"",$E1605=""),"報酬額が未入力／","")&amp;IF(N($U1605)&gt;0,"申請書に入力エラーが残っています／","")&amp;IF(AND($B1605&lt;&gt;"",$AO1605&lt;&gt;""),IF(COUNTIFS($B$6:$B$3005,$B1605,$C$6:$C$3005,$C1605,$D$6:$D$3005,$D1605)&gt;1,"同じ月の請求が重複しています／",""),"")&amp;IF(AND(N($E1605)&gt;0,$Z1605&lt;&gt;"",$Z1605&lt;&gt;"×",$AC1605=0,$AB1605=""),"計算額が下限以下のため不支給／",""))</f>
        <v/>
      </c>
      <c r="AL1605" s="12" t="n"/>
      <c r="AM1605" s="14">
        <f>IF($AD1605="保留中",COUNTIF($AD$6:$AD1605,"保留中"),"")</f>
        <v/>
      </c>
      <c r="AN1605" s="14">
        <f>IF($AO1605="","",IF(SUMPRODUCT(MAX((職員マスタ!$A$6:$A$405=$B1605)*(((職員マスタ!$G$6:$G$405="")+(職員マスタ!$G$6:$G$405&lt;=EOMONTH($AO1605,0)))&gt;0)*(((職員マスタ!$H$6:$H$405="")+(職員マスタ!$H$6:$H$405&gt;=$AO1605))&gt;0)*(ROW(職員マスタ!$A$6:$A$405)-5)))&gt;0,SUMPRODUCT(MAX((職員マスタ!$A$6:$A$405=$B1605)*(((職員マスタ!$G$6:$G$405="")+(職員マスタ!$G$6:$G$405&lt;=EOMONTH($AO1605,0)))&gt;0)*(((職員マスタ!$H$6:$H$405="")+(職員マスタ!$H$6:$H$405&gt;=$AO1605))&gt;0)*(ROW(職員マスタ!$A$6:$A$405)-5))),IFERROR(MATCH($B1605,職員マスタ!$A$6:$A$405,0),"")))</f>
        <v/>
      </c>
      <c r="AO1605" s="16">
        <f>IF(OR($B1605="",$C1605="",$D1605=""),"",DATE($C1605+2018,$D1605,1))</f>
        <v/>
      </c>
    </row>
    <row r="1606">
      <c r="A1606" s="11" t="n"/>
      <c r="B1606" s="12" t="n"/>
      <c r="C1606" s="12" t="n"/>
      <c r="D1606" s="12" t="n"/>
      <c r="E1606" s="13" t="n"/>
      <c r="F1606" s="12" t="n"/>
      <c r="G1606" s="13" t="n"/>
      <c r="H1606" s="12" t="n"/>
      <c r="I1606" s="12" t="n"/>
      <c r="J1606" s="12" t="n"/>
      <c r="K1606" s="12" t="n"/>
      <c r="L1606" s="11" t="n"/>
      <c r="M1606" s="11" t="n"/>
      <c r="N1606" s="11" t="n"/>
      <c r="O1606" s="11" t="n"/>
      <c r="P1606" s="12" t="n"/>
      <c r="Q1606" s="11" t="n"/>
      <c r="R1606" s="12" t="n"/>
      <c r="S1606" s="11" t="n"/>
      <c r="T1606" s="12" t="n"/>
      <c r="U1606" s="12" t="n"/>
      <c r="V1606" s="14">
        <f>IF($AN1606="",IF($B1606="","",$H1606),IF(INDEX(職員マスタ!$B$6:$B$405,$AN1606)="",$H1606,INDEX(職員マスタ!$B$6:$B$405,$AN1606)))</f>
        <v/>
      </c>
      <c r="W1606" s="14">
        <f>IF($AN1606="",IF($B1606="","",$R1606),IF(INDEX(職員マスタ!$C$6:$C$405,$AN1606)="",$R1606,INDEX(職員マスタ!$C$6:$C$405,$AN1606)))</f>
        <v/>
      </c>
      <c r="X1606" s="14">
        <f>IF($AO1606="","","R"&amp;$C1606&amp;"."&amp;$D1606)</f>
        <v/>
      </c>
      <c r="Y1606" s="15">
        <f>IF($AN1606="","",IF(INDEX(職員マスタ!$K$6:$K$405,$AN1606)="","",INDEX(職員マスタ!$K$6:$K$405,$AN1606)))</f>
        <v/>
      </c>
      <c r="Z1606" s="14">
        <f>IF(OR($E1606="",$Y1606=""),"",IF($E1606&gt;=$Y1606,"×",IF($E1606&gt;=$Y1606*設定!$C$5,"△","○")))</f>
        <v/>
      </c>
      <c r="AA1606" s="15">
        <f>IF($Z1606="","",IF($Z1606="×",0,IF($Z1606="○",ROUNDDOWN($E1606*設定!$C$4,0),ROUNDDOWN($E1606*ROUND((9*$Y1606-9*$E1606)/(10*$E1606),4),0))))</f>
        <v/>
      </c>
      <c r="AB1606" s="13" t="n"/>
      <c r="AC1606" s="15">
        <f>IF($B1606="","",IF($AB1606&lt;&gt;"",$AB1606,IF($AA1606="","",IF($AA1606&lt;=設定!$C$3,0,$AA1606))))</f>
        <v/>
      </c>
      <c r="AD1606" s="14">
        <f>IF($B1606="","",IF(AND($AE1606&lt;&gt;"",$AG1606="",$AJ1606=""),"保留中",IF($AJ1606&lt;&gt;"",IF(N($AC1606)&gt;0,"支給済","不支給"),IF($AC1606="","要確認",IF($AC1606=0,"不支給","未処理")))))</f>
        <v/>
      </c>
      <c r="AE1606" s="12" t="n"/>
      <c r="AF1606" s="11" t="n"/>
      <c r="AG1606" s="11" t="n"/>
      <c r="AH1606" s="11" t="n"/>
      <c r="AI1606" s="14">
        <f>IF(AND($AD1606="保留中",$AF1606&lt;&gt;""),TODAY()-$AF1606,"")</f>
        <v/>
      </c>
      <c r="AJ1606" s="12" t="n"/>
      <c r="AK1606" s="14">
        <f>IF($B1606="","",IF($AO1606="","対象年月が未入力／","")&amp;IF($B1606="","",IF($AN1606="","職員マスタに未登録の職員番号／",IF($Y1606="","標準報酬月額が未登録／","")&amp;IF(AND($AO1606&lt;&gt;"",OR(AND(INDEX(職員マスタ!$G$6:$G$405,$AN1606)&lt;&gt;"",INDEX(職員マスタ!$G$6:$G$405,$AN1606)&gt;EOMONTH($AO1606,0)),AND(INDEX(職員マスタ!$H$6:$H$405,$AN1606)&lt;&gt;"",INDEX(職員マスタ!$H$6:$H$405,$AN1606)&lt;$AO1606))),"対象月が時短期間外／","")&amp;IF(AND(INDEX(職員マスタ!$F$6:$F$405,$AN1606)&lt;&gt;"",$AO1606&lt;&gt;"",INDEX(職員マスタ!$F$6:$F$405,$AN1606)&lt;$AO1606),"対象月に子が2歳到達済／","")&amp;IF(AND($H1606&lt;&gt;"",INDEX(職員マスタ!$B$6:$B$405,$AN1606)&lt;&gt;"",SUBSTITUTE(SUBSTITUTE($H1606," ","")," ","")&lt;&gt;SUBSTITUTE(SUBSTITUTE(INDEX(職員マスタ!$B$6:$B$405,$AN1606)," ","")," ","")),"氏名がマスタと相違／","")&amp;IF(AND($Q1606&lt;&gt;"",INDEX(職員マスタ!$E$6:$E$405,$AN1606)&lt;&gt;"",$Q1606&lt;&gt;INDEX(職員マスタ!$E$6:$E$405,$AN1606)),"子の生年月日がマスタと相違／","")&amp;IF(AND($L1606&lt;&gt;"",INDEX(職員マスタ!$G$6:$G$405,$AN1606)&lt;&gt;"",$L1606&lt;&gt;INDEX(職員マスタ!$G$6:$G$405,$AN1606)),"時短開始日がマスタと相違／","")&amp;IF(AND($M1606&lt;&gt;"",INDEX(職員マスタ!$H$6:$H$405,$AN1606)&lt;&gt;"",$M1606&lt;&gt;INDEX(職員マスタ!$H$6:$H$405,$AN1606)),"時短終了日がマスタと相違／","")))&amp;IF(AND($B1606&lt;&gt;"",$E1606=""),"報酬額が未入力／","")&amp;IF(N($U1606)&gt;0,"申請書に入力エラーが残っています／","")&amp;IF(AND($B1606&lt;&gt;"",$AO1606&lt;&gt;""),IF(COUNTIFS($B$6:$B$3005,$B1606,$C$6:$C$3005,$C1606,$D$6:$D$3005,$D1606)&gt;1,"同じ月の請求が重複しています／",""),"")&amp;IF(AND(N($E1606)&gt;0,$Z1606&lt;&gt;"",$Z1606&lt;&gt;"×",$AC1606=0,$AB1606=""),"計算額が下限以下のため不支給／",""))</f>
        <v/>
      </c>
      <c r="AL1606" s="12" t="n"/>
      <c r="AM1606" s="14">
        <f>IF($AD1606="保留中",COUNTIF($AD$6:$AD1606,"保留中"),"")</f>
        <v/>
      </c>
      <c r="AN1606" s="14">
        <f>IF($AO1606="","",IF(SUMPRODUCT(MAX((職員マスタ!$A$6:$A$405=$B1606)*(((職員マスタ!$G$6:$G$405="")+(職員マスタ!$G$6:$G$405&lt;=EOMONTH($AO1606,0)))&gt;0)*(((職員マスタ!$H$6:$H$405="")+(職員マスタ!$H$6:$H$405&gt;=$AO1606))&gt;0)*(ROW(職員マスタ!$A$6:$A$405)-5)))&gt;0,SUMPRODUCT(MAX((職員マスタ!$A$6:$A$405=$B1606)*(((職員マスタ!$G$6:$G$405="")+(職員マスタ!$G$6:$G$405&lt;=EOMONTH($AO1606,0)))&gt;0)*(((職員マスタ!$H$6:$H$405="")+(職員マスタ!$H$6:$H$405&gt;=$AO1606))&gt;0)*(ROW(職員マスタ!$A$6:$A$405)-5))),IFERROR(MATCH($B1606,職員マスタ!$A$6:$A$405,0),"")))</f>
        <v/>
      </c>
      <c r="AO1606" s="16">
        <f>IF(OR($B1606="",$C1606="",$D1606=""),"",DATE($C1606+2018,$D1606,1))</f>
        <v/>
      </c>
    </row>
    <row r="1607">
      <c r="A1607" s="11" t="n"/>
      <c r="B1607" s="12" t="n"/>
      <c r="C1607" s="12" t="n"/>
      <c r="D1607" s="12" t="n"/>
      <c r="E1607" s="13" t="n"/>
      <c r="F1607" s="12" t="n"/>
      <c r="G1607" s="13" t="n"/>
      <c r="H1607" s="12" t="n"/>
      <c r="I1607" s="12" t="n"/>
      <c r="J1607" s="12" t="n"/>
      <c r="K1607" s="12" t="n"/>
      <c r="L1607" s="11" t="n"/>
      <c r="M1607" s="11" t="n"/>
      <c r="N1607" s="11" t="n"/>
      <c r="O1607" s="11" t="n"/>
      <c r="P1607" s="12" t="n"/>
      <c r="Q1607" s="11" t="n"/>
      <c r="R1607" s="12" t="n"/>
      <c r="S1607" s="11" t="n"/>
      <c r="T1607" s="12" t="n"/>
      <c r="U1607" s="12" t="n"/>
      <c r="V1607" s="14">
        <f>IF($AN1607="",IF($B1607="","",$H1607),IF(INDEX(職員マスタ!$B$6:$B$405,$AN1607)="",$H1607,INDEX(職員マスタ!$B$6:$B$405,$AN1607)))</f>
        <v/>
      </c>
      <c r="W1607" s="14">
        <f>IF($AN1607="",IF($B1607="","",$R1607),IF(INDEX(職員マスタ!$C$6:$C$405,$AN1607)="",$R1607,INDEX(職員マスタ!$C$6:$C$405,$AN1607)))</f>
        <v/>
      </c>
      <c r="X1607" s="14">
        <f>IF($AO1607="","","R"&amp;$C1607&amp;"."&amp;$D1607)</f>
        <v/>
      </c>
      <c r="Y1607" s="15">
        <f>IF($AN1607="","",IF(INDEX(職員マスタ!$K$6:$K$405,$AN1607)="","",INDEX(職員マスタ!$K$6:$K$405,$AN1607)))</f>
        <v/>
      </c>
      <c r="Z1607" s="14">
        <f>IF(OR($E1607="",$Y1607=""),"",IF($E1607&gt;=$Y1607,"×",IF($E1607&gt;=$Y1607*設定!$C$5,"△","○")))</f>
        <v/>
      </c>
      <c r="AA1607" s="15">
        <f>IF($Z1607="","",IF($Z1607="×",0,IF($Z1607="○",ROUNDDOWN($E1607*設定!$C$4,0),ROUNDDOWN($E1607*ROUND((9*$Y1607-9*$E1607)/(10*$E1607),4),0))))</f>
        <v/>
      </c>
      <c r="AB1607" s="13" t="n"/>
      <c r="AC1607" s="15">
        <f>IF($B1607="","",IF($AB1607&lt;&gt;"",$AB1607,IF($AA1607="","",IF($AA1607&lt;=設定!$C$3,0,$AA1607))))</f>
        <v/>
      </c>
      <c r="AD1607" s="14">
        <f>IF($B1607="","",IF(AND($AE1607&lt;&gt;"",$AG1607="",$AJ1607=""),"保留中",IF($AJ1607&lt;&gt;"",IF(N($AC1607)&gt;0,"支給済","不支給"),IF($AC1607="","要確認",IF($AC1607=0,"不支給","未処理")))))</f>
        <v/>
      </c>
      <c r="AE1607" s="12" t="n"/>
      <c r="AF1607" s="11" t="n"/>
      <c r="AG1607" s="11" t="n"/>
      <c r="AH1607" s="11" t="n"/>
      <c r="AI1607" s="14">
        <f>IF(AND($AD1607="保留中",$AF1607&lt;&gt;""),TODAY()-$AF1607,"")</f>
        <v/>
      </c>
      <c r="AJ1607" s="12" t="n"/>
      <c r="AK1607" s="14">
        <f>IF($B1607="","",IF($AO1607="","対象年月が未入力／","")&amp;IF($B1607="","",IF($AN1607="","職員マスタに未登録の職員番号／",IF($Y1607="","標準報酬月額が未登録／","")&amp;IF(AND($AO1607&lt;&gt;"",OR(AND(INDEX(職員マスタ!$G$6:$G$405,$AN1607)&lt;&gt;"",INDEX(職員マスタ!$G$6:$G$405,$AN1607)&gt;EOMONTH($AO1607,0)),AND(INDEX(職員マスタ!$H$6:$H$405,$AN1607)&lt;&gt;"",INDEX(職員マスタ!$H$6:$H$405,$AN1607)&lt;$AO1607))),"対象月が時短期間外／","")&amp;IF(AND(INDEX(職員マスタ!$F$6:$F$405,$AN1607)&lt;&gt;"",$AO1607&lt;&gt;"",INDEX(職員マスタ!$F$6:$F$405,$AN1607)&lt;$AO1607),"対象月に子が2歳到達済／","")&amp;IF(AND($H1607&lt;&gt;"",INDEX(職員マスタ!$B$6:$B$405,$AN1607)&lt;&gt;"",SUBSTITUTE(SUBSTITUTE($H1607," ","")," ","")&lt;&gt;SUBSTITUTE(SUBSTITUTE(INDEX(職員マスタ!$B$6:$B$405,$AN1607)," ","")," ","")),"氏名がマスタと相違／","")&amp;IF(AND($Q1607&lt;&gt;"",INDEX(職員マスタ!$E$6:$E$405,$AN1607)&lt;&gt;"",$Q1607&lt;&gt;INDEX(職員マスタ!$E$6:$E$405,$AN1607)),"子の生年月日がマスタと相違／","")&amp;IF(AND($L1607&lt;&gt;"",INDEX(職員マスタ!$G$6:$G$405,$AN1607)&lt;&gt;"",$L1607&lt;&gt;INDEX(職員マスタ!$G$6:$G$405,$AN1607)),"時短開始日がマスタと相違／","")&amp;IF(AND($M1607&lt;&gt;"",INDEX(職員マスタ!$H$6:$H$405,$AN1607)&lt;&gt;"",$M1607&lt;&gt;INDEX(職員マスタ!$H$6:$H$405,$AN1607)),"時短終了日がマスタと相違／","")))&amp;IF(AND($B1607&lt;&gt;"",$E1607=""),"報酬額が未入力／","")&amp;IF(N($U1607)&gt;0,"申請書に入力エラーが残っています／","")&amp;IF(AND($B1607&lt;&gt;"",$AO1607&lt;&gt;""),IF(COUNTIFS($B$6:$B$3005,$B1607,$C$6:$C$3005,$C1607,$D$6:$D$3005,$D1607)&gt;1,"同じ月の請求が重複しています／",""),"")&amp;IF(AND(N($E1607)&gt;0,$Z1607&lt;&gt;"",$Z1607&lt;&gt;"×",$AC1607=0,$AB1607=""),"計算額が下限以下のため不支給／",""))</f>
        <v/>
      </c>
      <c r="AL1607" s="12" t="n"/>
      <c r="AM1607" s="14">
        <f>IF($AD1607="保留中",COUNTIF($AD$6:$AD1607,"保留中"),"")</f>
        <v/>
      </c>
      <c r="AN1607" s="14">
        <f>IF($AO1607="","",IF(SUMPRODUCT(MAX((職員マスタ!$A$6:$A$405=$B1607)*(((職員マスタ!$G$6:$G$405="")+(職員マスタ!$G$6:$G$405&lt;=EOMONTH($AO1607,0)))&gt;0)*(((職員マスタ!$H$6:$H$405="")+(職員マスタ!$H$6:$H$405&gt;=$AO1607))&gt;0)*(ROW(職員マスタ!$A$6:$A$405)-5)))&gt;0,SUMPRODUCT(MAX((職員マスタ!$A$6:$A$405=$B1607)*(((職員マスタ!$G$6:$G$405="")+(職員マスタ!$G$6:$G$405&lt;=EOMONTH($AO1607,0)))&gt;0)*(((職員マスタ!$H$6:$H$405="")+(職員マスタ!$H$6:$H$405&gt;=$AO1607))&gt;0)*(ROW(職員マスタ!$A$6:$A$405)-5))),IFERROR(MATCH($B1607,職員マスタ!$A$6:$A$405,0),"")))</f>
        <v/>
      </c>
      <c r="AO1607" s="16">
        <f>IF(OR($B1607="",$C1607="",$D1607=""),"",DATE($C1607+2018,$D1607,1))</f>
        <v/>
      </c>
    </row>
    <row r="1608">
      <c r="A1608" s="11" t="n"/>
      <c r="B1608" s="12" t="n"/>
      <c r="C1608" s="12" t="n"/>
      <c r="D1608" s="12" t="n"/>
      <c r="E1608" s="13" t="n"/>
      <c r="F1608" s="12" t="n"/>
      <c r="G1608" s="13" t="n"/>
      <c r="H1608" s="12" t="n"/>
      <c r="I1608" s="12" t="n"/>
      <c r="J1608" s="12" t="n"/>
      <c r="K1608" s="12" t="n"/>
      <c r="L1608" s="11" t="n"/>
      <c r="M1608" s="11" t="n"/>
      <c r="N1608" s="11" t="n"/>
      <c r="O1608" s="11" t="n"/>
      <c r="P1608" s="12" t="n"/>
      <c r="Q1608" s="11" t="n"/>
      <c r="R1608" s="12" t="n"/>
      <c r="S1608" s="11" t="n"/>
      <c r="T1608" s="12" t="n"/>
      <c r="U1608" s="12" t="n"/>
      <c r="V1608" s="14">
        <f>IF($AN1608="",IF($B1608="","",$H1608),IF(INDEX(職員マスタ!$B$6:$B$405,$AN1608)="",$H1608,INDEX(職員マスタ!$B$6:$B$405,$AN1608)))</f>
        <v/>
      </c>
      <c r="W1608" s="14">
        <f>IF($AN1608="",IF($B1608="","",$R1608),IF(INDEX(職員マスタ!$C$6:$C$405,$AN1608)="",$R1608,INDEX(職員マスタ!$C$6:$C$405,$AN1608)))</f>
        <v/>
      </c>
      <c r="X1608" s="14">
        <f>IF($AO1608="","","R"&amp;$C1608&amp;"."&amp;$D1608)</f>
        <v/>
      </c>
      <c r="Y1608" s="15">
        <f>IF($AN1608="","",IF(INDEX(職員マスタ!$K$6:$K$405,$AN1608)="","",INDEX(職員マスタ!$K$6:$K$405,$AN1608)))</f>
        <v/>
      </c>
      <c r="Z1608" s="14">
        <f>IF(OR($E1608="",$Y1608=""),"",IF($E1608&gt;=$Y1608,"×",IF($E1608&gt;=$Y1608*設定!$C$5,"△","○")))</f>
        <v/>
      </c>
      <c r="AA1608" s="15">
        <f>IF($Z1608="","",IF($Z1608="×",0,IF($Z1608="○",ROUNDDOWN($E1608*設定!$C$4,0),ROUNDDOWN($E1608*ROUND((9*$Y1608-9*$E1608)/(10*$E1608),4),0))))</f>
        <v/>
      </c>
      <c r="AB1608" s="13" t="n"/>
      <c r="AC1608" s="15">
        <f>IF($B1608="","",IF($AB1608&lt;&gt;"",$AB1608,IF($AA1608="","",IF($AA1608&lt;=設定!$C$3,0,$AA1608))))</f>
        <v/>
      </c>
      <c r="AD1608" s="14">
        <f>IF($B1608="","",IF(AND($AE1608&lt;&gt;"",$AG1608="",$AJ1608=""),"保留中",IF($AJ1608&lt;&gt;"",IF(N($AC1608)&gt;0,"支給済","不支給"),IF($AC1608="","要確認",IF($AC1608=0,"不支給","未処理")))))</f>
        <v/>
      </c>
      <c r="AE1608" s="12" t="n"/>
      <c r="AF1608" s="11" t="n"/>
      <c r="AG1608" s="11" t="n"/>
      <c r="AH1608" s="11" t="n"/>
      <c r="AI1608" s="14">
        <f>IF(AND($AD1608="保留中",$AF1608&lt;&gt;""),TODAY()-$AF1608,"")</f>
        <v/>
      </c>
      <c r="AJ1608" s="12" t="n"/>
      <c r="AK1608" s="14">
        <f>IF($B1608="","",IF($AO1608="","対象年月が未入力／","")&amp;IF($B1608="","",IF($AN1608="","職員マスタに未登録の職員番号／",IF($Y1608="","標準報酬月額が未登録／","")&amp;IF(AND($AO1608&lt;&gt;"",OR(AND(INDEX(職員マスタ!$G$6:$G$405,$AN1608)&lt;&gt;"",INDEX(職員マスタ!$G$6:$G$405,$AN1608)&gt;EOMONTH($AO1608,0)),AND(INDEX(職員マスタ!$H$6:$H$405,$AN1608)&lt;&gt;"",INDEX(職員マスタ!$H$6:$H$405,$AN1608)&lt;$AO1608))),"対象月が時短期間外／","")&amp;IF(AND(INDEX(職員マスタ!$F$6:$F$405,$AN1608)&lt;&gt;"",$AO1608&lt;&gt;"",INDEX(職員マスタ!$F$6:$F$405,$AN1608)&lt;$AO1608),"対象月に子が2歳到達済／","")&amp;IF(AND($H1608&lt;&gt;"",INDEX(職員マスタ!$B$6:$B$405,$AN1608)&lt;&gt;"",SUBSTITUTE(SUBSTITUTE($H1608," ","")," ","")&lt;&gt;SUBSTITUTE(SUBSTITUTE(INDEX(職員マスタ!$B$6:$B$405,$AN1608)," ","")," ","")),"氏名がマスタと相違／","")&amp;IF(AND($Q1608&lt;&gt;"",INDEX(職員マスタ!$E$6:$E$405,$AN1608)&lt;&gt;"",$Q1608&lt;&gt;INDEX(職員マスタ!$E$6:$E$405,$AN1608)),"子の生年月日がマスタと相違／","")&amp;IF(AND($L1608&lt;&gt;"",INDEX(職員マスタ!$G$6:$G$405,$AN1608)&lt;&gt;"",$L1608&lt;&gt;INDEX(職員マスタ!$G$6:$G$405,$AN1608)),"時短開始日がマスタと相違／","")&amp;IF(AND($M1608&lt;&gt;"",INDEX(職員マスタ!$H$6:$H$405,$AN1608)&lt;&gt;"",$M1608&lt;&gt;INDEX(職員マスタ!$H$6:$H$405,$AN1608)),"時短終了日がマスタと相違／","")))&amp;IF(AND($B1608&lt;&gt;"",$E1608=""),"報酬額が未入力／","")&amp;IF(N($U1608)&gt;0,"申請書に入力エラーが残っています／","")&amp;IF(AND($B1608&lt;&gt;"",$AO1608&lt;&gt;""),IF(COUNTIFS($B$6:$B$3005,$B1608,$C$6:$C$3005,$C1608,$D$6:$D$3005,$D1608)&gt;1,"同じ月の請求が重複しています／",""),"")&amp;IF(AND(N($E1608)&gt;0,$Z1608&lt;&gt;"",$Z1608&lt;&gt;"×",$AC1608=0,$AB1608=""),"計算額が下限以下のため不支給／",""))</f>
        <v/>
      </c>
      <c r="AL1608" s="12" t="n"/>
      <c r="AM1608" s="14">
        <f>IF($AD1608="保留中",COUNTIF($AD$6:$AD1608,"保留中"),"")</f>
        <v/>
      </c>
      <c r="AN1608" s="14">
        <f>IF($AO1608="","",IF(SUMPRODUCT(MAX((職員マスタ!$A$6:$A$405=$B1608)*(((職員マスタ!$G$6:$G$405="")+(職員マスタ!$G$6:$G$405&lt;=EOMONTH($AO1608,0)))&gt;0)*(((職員マスタ!$H$6:$H$405="")+(職員マスタ!$H$6:$H$405&gt;=$AO1608))&gt;0)*(ROW(職員マスタ!$A$6:$A$405)-5)))&gt;0,SUMPRODUCT(MAX((職員マスタ!$A$6:$A$405=$B1608)*(((職員マスタ!$G$6:$G$405="")+(職員マスタ!$G$6:$G$405&lt;=EOMONTH($AO1608,0)))&gt;0)*(((職員マスタ!$H$6:$H$405="")+(職員マスタ!$H$6:$H$405&gt;=$AO1608))&gt;0)*(ROW(職員マスタ!$A$6:$A$405)-5))),IFERROR(MATCH($B1608,職員マスタ!$A$6:$A$405,0),"")))</f>
        <v/>
      </c>
      <c r="AO1608" s="16">
        <f>IF(OR($B1608="",$C1608="",$D1608=""),"",DATE($C1608+2018,$D1608,1))</f>
        <v/>
      </c>
    </row>
    <row r="1609">
      <c r="A1609" s="11" t="n"/>
      <c r="B1609" s="12" t="n"/>
      <c r="C1609" s="12" t="n"/>
      <c r="D1609" s="12" t="n"/>
      <c r="E1609" s="13" t="n"/>
      <c r="F1609" s="12" t="n"/>
      <c r="G1609" s="13" t="n"/>
      <c r="H1609" s="12" t="n"/>
      <c r="I1609" s="12" t="n"/>
      <c r="J1609" s="12" t="n"/>
      <c r="K1609" s="12" t="n"/>
      <c r="L1609" s="11" t="n"/>
      <c r="M1609" s="11" t="n"/>
      <c r="N1609" s="11" t="n"/>
      <c r="O1609" s="11" t="n"/>
      <c r="P1609" s="12" t="n"/>
      <c r="Q1609" s="11" t="n"/>
      <c r="R1609" s="12" t="n"/>
      <c r="S1609" s="11" t="n"/>
      <c r="T1609" s="12" t="n"/>
      <c r="U1609" s="12" t="n"/>
      <c r="V1609" s="14">
        <f>IF($AN1609="",IF($B1609="","",$H1609),IF(INDEX(職員マスタ!$B$6:$B$405,$AN1609)="",$H1609,INDEX(職員マスタ!$B$6:$B$405,$AN1609)))</f>
        <v/>
      </c>
      <c r="W1609" s="14">
        <f>IF($AN1609="",IF($B1609="","",$R1609),IF(INDEX(職員マスタ!$C$6:$C$405,$AN1609)="",$R1609,INDEX(職員マスタ!$C$6:$C$405,$AN1609)))</f>
        <v/>
      </c>
      <c r="X1609" s="14">
        <f>IF($AO1609="","","R"&amp;$C1609&amp;"."&amp;$D1609)</f>
        <v/>
      </c>
      <c r="Y1609" s="15">
        <f>IF($AN1609="","",IF(INDEX(職員マスタ!$K$6:$K$405,$AN1609)="","",INDEX(職員マスタ!$K$6:$K$405,$AN1609)))</f>
        <v/>
      </c>
      <c r="Z1609" s="14">
        <f>IF(OR($E1609="",$Y1609=""),"",IF($E1609&gt;=$Y1609,"×",IF($E1609&gt;=$Y1609*設定!$C$5,"△","○")))</f>
        <v/>
      </c>
      <c r="AA1609" s="15">
        <f>IF($Z1609="","",IF($Z1609="×",0,IF($Z1609="○",ROUNDDOWN($E1609*設定!$C$4,0),ROUNDDOWN($E1609*ROUND((9*$Y1609-9*$E1609)/(10*$E1609),4),0))))</f>
        <v/>
      </c>
      <c r="AB1609" s="13" t="n"/>
      <c r="AC1609" s="15">
        <f>IF($B1609="","",IF($AB1609&lt;&gt;"",$AB1609,IF($AA1609="","",IF($AA1609&lt;=設定!$C$3,0,$AA1609))))</f>
        <v/>
      </c>
      <c r="AD1609" s="14">
        <f>IF($B1609="","",IF(AND($AE1609&lt;&gt;"",$AG1609="",$AJ1609=""),"保留中",IF($AJ1609&lt;&gt;"",IF(N($AC1609)&gt;0,"支給済","不支給"),IF($AC1609="","要確認",IF($AC1609=0,"不支給","未処理")))))</f>
        <v/>
      </c>
      <c r="AE1609" s="12" t="n"/>
      <c r="AF1609" s="11" t="n"/>
      <c r="AG1609" s="11" t="n"/>
      <c r="AH1609" s="11" t="n"/>
      <c r="AI1609" s="14">
        <f>IF(AND($AD1609="保留中",$AF1609&lt;&gt;""),TODAY()-$AF1609,"")</f>
        <v/>
      </c>
      <c r="AJ1609" s="12" t="n"/>
      <c r="AK1609" s="14">
        <f>IF($B1609="","",IF($AO1609="","対象年月が未入力／","")&amp;IF($B1609="","",IF($AN1609="","職員マスタに未登録の職員番号／",IF($Y1609="","標準報酬月額が未登録／","")&amp;IF(AND($AO1609&lt;&gt;"",OR(AND(INDEX(職員マスタ!$G$6:$G$405,$AN1609)&lt;&gt;"",INDEX(職員マスタ!$G$6:$G$405,$AN1609)&gt;EOMONTH($AO1609,0)),AND(INDEX(職員マスタ!$H$6:$H$405,$AN1609)&lt;&gt;"",INDEX(職員マスタ!$H$6:$H$405,$AN1609)&lt;$AO1609))),"対象月が時短期間外／","")&amp;IF(AND(INDEX(職員マスタ!$F$6:$F$405,$AN1609)&lt;&gt;"",$AO1609&lt;&gt;"",INDEX(職員マスタ!$F$6:$F$405,$AN1609)&lt;$AO1609),"対象月に子が2歳到達済／","")&amp;IF(AND($H1609&lt;&gt;"",INDEX(職員マスタ!$B$6:$B$405,$AN1609)&lt;&gt;"",SUBSTITUTE(SUBSTITUTE($H1609," ","")," ","")&lt;&gt;SUBSTITUTE(SUBSTITUTE(INDEX(職員マスタ!$B$6:$B$405,$AN1609)," ","")," ","")),"氏名がマスタと相違／","")&amp;IF(AND($Q1609&lt;&gt;"",INDEX(職員マスタ!$E$6:$E$405,$AN1609)&lt;&gt;"",$Q1609&lt;&gt;INDEX(職員マスタ!$E$6:$E$405,$AN1609)),"子の生年月日がマスタと相違／","")&amp;IF(AND($L1609&lt;&gt;"",INDEX(職員マスタ!$G$6:$G$405,$AN1609)&lt;&gt;"",$L1609&lt;&gt;INDEX(職員マスタ!$G$6:$G$405,$AN1609)),"時短開始日がマスタと相違／","")&amp;IF(AND($M1609&lt;&gt;"",INDEX(職員マスタ!$H$6:$H$405,$AN1609)&lt;&gt;"",$M1609&lt;&gt;INDEX(職員マスタ!$H$6:$H$405,$AN1609)),"時短終了日がマスタと相違／","")))&amp;IF(AND($B1609&lt;&gt;"",$E1609=""),"報酬額が未入力／","")&amp;IF(N($U1609)&gt;0,"申請書に入力エラーが残っています／","")&amp;IF(AND($B1609&lt;&gt;"",$AO1609&lt;&gt;""),IF(COUNTIFS($B$6:$B$3005,$B1609,$C$6:$C$3005,$C1609,$D$6:$D$3005,$D1609)&gt;1,"同じ月の請求が重複しています／",""),"")&amp;IF(AND(N($E1609)&gt;0,$Z1609&lt;&gt;"",$Z1609&lt;&gt;"×",$AC1609=0,$AB1609=""),"計算額が下限以下のため不支給／",""))</f>
        <v/>
      </c>
      <c r="AL1609" s="12" t="n"/>
      <c r="AM1609" s="14">
        <f>IF($AD1609="保留中",COUNTIF($AD$6:$AD1609,"保留中"),"")</f>
        <v/>
      </c>
      <c r="AN1609" s="14">
        <f>IF($AO1609="","",IF(SUMPRODUCT(MAX((職員マスタ!$A$6:$A$405=$B1609)*(((職員マスタ!$G$6:$G$405="")+(職員マスタ!$G$6:$G$405&lt;=EOMONTH($AO1609,0)))&gt;0)*(((職員マスタ!$H$6:$H$405="")+(職員マスタ!$H$6:$H$405&gt;=$AO1609))&gt;0)*(ROW(職員マスタ!$A$6:$A$405)-5)))&gt;0,SUMPRODUCT(MAX((職員マスタ!$A$6:$A$405=$B1609)*(((職員マスタ!$G$6:$G$405="")+(職員マスタ!$G$6:$G$405&lt;=EOMONTH($AO1609,0)))&gt;0)*(((職員マスタ!$H$6:$H$405="")+(職員マスタ!$H$6:$H$405&gt;=$AO1609))&gt;0)*(ROW(職員マスタ!$A$6:$A$405)-5))),IFERROR(MATCH($B1609,職員マスタ!$A$6:$A$405,0),"")))</f>
        <v/>
      </c>
      <c r="AO1609" s="16">
        <f>IF(OR($B1609="",$C1609="",$D1609=""),"",DATE($C1609+2018,$D1609,1))</f>
        <v/>
      </c>
    </row>
    <row r="1610">
      <c r="A1610" s="11" t="n"/>
      <c r="B1610" s="12" t="n"/>
      <c r="C1610" s="12" t="n"/>
      <c r="D1610" s="12" t="n"/>
      <c r="E1610" s="13" t="n"/>
      <c r="F1610" s="12" t="n"/>
      <c r="G1610" s="13" t="n"/>
      <c r="H1610" s="12" t="n"/>
      <c r="I1610" s="12" t="n"/>
      <c r="J1610" s="12" t="n"/>
      <c r="K1610" s="12" t="n"/>
      <c r="L1610" s="11" t="n"/>
      <c r="M1610" s="11" t="n"/>
      <c r="N1610" s="11" t="n"/>
      <c r="O1610" s="11" t="n"/>
      <c r="P1610" s="12" t="n"/>
      <c r="Q1610" s="11" t="n"/>
      <c r="R1610" s="12" t="n"/>
      <c r="S1610" s="11" t="n"/>
      <c r="T1610" s="12" t="n"/>
      <c r="U1610" s="12" t="n"/>
      <c r="V1610" s="14">
        <f>IF($AN1610="",IF($B1610="","",$H1610),IF(INDEX(職員マスタ!$B$6:$B$405,$AN1610)="",$H1610,INDEX(職員マスタ!$B$6:$B$405,$AN1610)))</f>
        <v/>
      </c>
      <c r="W1610" s="14">
        <f>IF($AN1610="",IF($B1610="","",$R1610),IF(INDEX(職員マスタ!$C$6:$C$405,$AN1610)="",$R1610,INDEX(職員マスタ!$C$6:$C$405,$AN1610)))</f>
        <v/>
      </c>
      <c r="X1610" s="14">
        <f>IF($AO1610="","","R"&amp;$C1610&amp;"."&amp;$D1610)</f>
        <v/>
      </c>
      <c r="Y1610" s="15">
        <f>IF($AN1610="","",IF(INDEX(職員マスタ!$K$6:$K$405,$AN1610)="","",INDEX(職員マスタ!$K$6:$K$405,$AN1610)))</f>
        <v/>
      </c>
      <c r="Z1610" s="14">
        <f>IF(OR($E1610="",$Y1610=""),"",IF($E1610&gt;=$Y1610,"×",IF($E1610&gt;=$Y1610*設定!$C$5,"△","○")))</f>
        <v/>
      </c>
      <c r="AA1610" s="15">
        <f>IF($Z1610="","",IF($Z1610="×",0,IF($Z1610="○",ROUNDDOWN($E1610*設定!$C$4,0),ROUNDDOWN($E1610*ROUND((9*$Y1610-9*$E1610)/(10*$E1610),4),0))))</f>
        <v/>
      </c>
      <c r="AB1610" s="13" t="n"/>
      <c r="AC1610" s="15">
        <f>IF($B1610="","",IF($AB1610&lt;&gt;"",$AB1610,IF($AA1610="","",IF($AA1610&lt;=設定!$C$3,0,$AA1610))))</f>
        <v/>
      </c>
      <c r="AD1610" s="14">
        <f>IF($B1610="","",IF(AND($AE1610&lt;&gt;"",$AG1610="",$AJ1610=""),"保留中",IF($AJ1610&lt;&gt;"",IF(N($AC1610)&gt;0,"支給済","不支給"),IF($AC1610="","要確認",IF($AC1610=0,"不支給","未処理")))))</f>
        <v/>
      </c>
      <c r="AE1610" s="12" t="n"/>
      <c r="AF1610" s="11" t="n"/>
      <c r="AG1610" s="11" t="n"/>
      <c r="AH1610" s="11" t="n"/>
      <c r="AI1610" s="14">
        <f>IF(AND($AD1610="保留中",$AF1610&lt;&gt;""),TODAY()-$AF1610,"")</f>
        <v/>
      </c>
      <c r="AJ1610" s="12" t="n"/>
      <c r="AK1610" s="14">
        <f>IF($B1610="","",IF($AO1610="","対象年月が未入力／","")&amp;IF($B1610="","",IF($AN1610="","職員マスタに未登録の職員番号／",IF($Y1610="","標準報酬月額が未登録／","")&amp;IF(AND($AO1610&lt;&gt;"",OR(AND(INDEX(職員マスタ!$G$6:$G$405,$AN1610)&lt;&gt;"",INDEX(職員マスタ!$G$6:$G$405,$AN1610)&gt;EOMONTH($AO1610,0)),AND(INDEX(職員マスタ!$H$6:$H$405,$AN1610)&lt;&gt;"",INDEX(職員マスタ!$H$6:$H$405,$AN1610)&lt;$AO1610))),"対象月が時短期間外／","")&amp;IF(AND(INDEX(職員マスタ!$F$6:$F$405,$AN1610)&lt;&gt;"",$AO1610&lt;&gt;"",INDEX(職員マスタ!$F$6:$F$405,$AN1610)&lt;$AO1610),"対象月に子が2歳到達済／","")&amp;IF(AND($H1610&lt;&gt;"",INDEX(職員マスタ!$B$6:$B$405,$AN1610)&lt;&gt;"",SUBSTITUTE(SUBSTITUTE($H1610," ","")," ","")&lt;&gt;SUBSTITUTE(SUBSTITUTE(INDEX(職員マスタ!$B$6:$B$405,$AN1610)," ","")," ","")),"氏名がマスタと相違／","")&amp;IF(AND($Q1610&lt;&gt;"",INDEX(職員マスタ!$E$6:$E$405,$AN1610)&lt;&gt;"",$Q1610&lt;&gt;INDEX(職員マスタ!$E$6:$E$405,$AN1610)),"子の生年月日がマスタと相違／","")&amp;IF(AND($L1610&lt;&gt;"",INDEX(職員マスタ!$G$6:$G$405,$AN1610)&lt;&gt;"",$L1610&lt;&gt;INDEX(職員マスタ!$G$6:$G$405,$AN1610)),"時短開始日がマスタと相違／","")&amp;IF(AND($M1610&lt;&gt;"",INDEX(職員マスタ!$H$6:$H$405,$AN1610)&lt;&gt;"",$M1610&lt;&gt;INDEX(職員マスタ!$H$6:$H$405,$AN1610)),"時短終了日がマスタと相違／","")))&amp;IF(AND($B1610&lt;&gt;"",$E1610=""),"報酬額が未入力／","")&amp;IF(N($U1610)&gt;0,"申請書に入力エラーが残っています／","")&amp;IF(AND($B1610&lt;&gt;"",$AO1610&lt;&gt;""),IF(COUNTIFS($B$6:$B$3005,$B1610,$C$6:$C$3005,$C1610,$D$6:$D$3005,$D1610)&gt;1,"同じ月の請求が重複しています／",""),"")&amp;IF(AND(N($E1610)&gt;0,$Z1610&lt;&gt;"",$Z1610&lt;&gt;"×",$AC1610=0,$AB1610=""),"計算額が下限以下のため不支給／",""))</f>
        <v/>
      </c>
      <c r="AL1610" s="12" t="n"/>
      <c r="AM1610" s="14">
        <f>IF($AD1610="保留中",COUNTIF($AD$6:$AD1610,"保留中"),"")</f>
        <v/>
      </c>
      <c r="AN1610" s="14">
        <f>IF($AO1610="","",IF(SUMPRODUCT(MAX((職員マスタ!$A$6:$A$405=$B1610)*(((職員マスタ!$G$6:$G$405="")+(職員マスタ!$G$6:$G$405&lt;=EOMONTH($AO1610,0)))&gt;0)*(((職員マスタ!$H$6:$H$405="")+(職員マスタ!$H$6:$H$405&gt;=$AO1610))&gt;0)*(ROW(職員マスタ!$A$6:$A$405)-5)))&gt;0,SUMPRODUCT(MAX((職員マスタ!$A$6:$A$405=$B1610)*(((職員マスタ!$G$6:$G$405="")+(職員マスタ!$G$6:$G$405&lt;=EOMONTH($AO1610,0)))&gt;0)*(((職員マスタ!$H$6:$H$405="")+(職員マスタ!$H$6:$H$405&gt;=$AO1610))&gt;0)*(ROW(職員マスタ!$A$6:$A$405)-5))),IFERROR(MATCH($B1610,職員マスタ!$A$6:$A$405,0),"")))</f>
        <v/>
      </c>
      <c r="AO1610" s="16">
        <f>IF(OR($B1610="",$C1610="",$D1610=""),"",DATE($C1610+2018,$D1610,1))</f>
        <v/>
      </c>
    </row>
    <row r="1611">
      <c r="A1611" s="11" t="n"/>
      <c r="B1611" s="12" t="n"/>
      <c r="C1611" s="12" t="n"/>
      <c r="D1611" s="12" t="n"/>
      <c r="E1611" s="13" t="n"/>
      <c r="F1611" s="12" t="n"/>
      <c r="G1611" s="13" t="n"/>
      <c r="H1611" s="12" t="n"/>
      <c r="I1611" s="12" t="n"/>
      <c r="J1611" s="12" t="n"/>
      <c r="K1611" s="12" t="n"/>
      <c r="L1611" s="11" t="n"/>
      <c r="M1611" s="11" t="n"/>
      <c r="N1611" s="11" t="n"/>
      <c r="O1611" s="11" t="n"/>
      <c r="P1611" s="12" t="n"/>
      <c r="Q1611" s="11" t="n"/>
      <c r="R1611" s="12" t="n"/>
      <c r="S1611" s="11" t="n"/>
      <c r="T1611" s="12" t="n"/>
      <c r="U1611" s="12" t="n"/>
      <c r="V1611" s="14">
        <f>IF($AN1611="",IF($B1611="","",$H1611),IF(INDEX(職員マスタ!$B$6:$B$405,$AN1611)="",$H1611,INDEX(職員マスタ!$B$6:$B$405,$AN1611)))</f>
        <v/>
      </c>
      <c r="W1611" s="14">
        <f>IF($AN1611="",IF($B1611="","",$R1611),IF(INDEX(職員マスタ!$C$6:$C$405,$AN1611)="",$R1611,INDEX(職員マスタ!$C$6:$C$405,$AN1611)))</f>
        <v/>
      </c>
      <c r="X1611" s="14">
        <f>IF($AO1611="","","R"&amp;$C1611&amp;"."&amp;$D1611)</f>
        <v/>
      </c>
      <c r="Y1611" s="15">
        <f>IF($AN1611="","",IF(INDEX(職員マスタ!$K$6:$K$405,$AN1611)="","",INDEX(職員マスタ!$K$6:$K$405,$AN1611)))</f>
        <v/>
      </c>
      <c r="Z1611" s="14">
        <f>IF(OR($E1611="",$Y1611=""),"",IF($E1611&gt;=$Y1611,"×",IF($E1611&gt;=$Y1611*設定!$C$5,"△","○")))</f>
        <v/>
      </c>
      <c r="AA1611" s="15">
        <f>IF($Z1611="","",IF($Z1611="×",0,IF($Z1611="○",ROUNDDOWN($E1611*設定!$C$4,0),ROUNDDOWN($E1611*ROUND((9*$Y1611-9*$E1611)/(10*$E1611),4),0))))</f>
        <v/>
      </c>
      <c r="AB1611" s="13" t="n"/>
      <c r="AC1611" s="15">
        <f>IF($B1611="","",IF($AB1611&lt;&gt;"",$AB1611,IF($AA1611="","",IF($AA1611&lt;=設定!$C$3,0,$AA1611))))</f>
        <v/>
      </c>
      <c r="AD1611" s="14">
        <f>IF($B1611="","",IF(AND($AE1611&lt;&gt;"",$AG1611="",$AJ1611=""),"保留中",IF($AJ1611&lt;&gt;"",IF(N($AC1611)&gt;0,"支給済","不支給"),IF($AC1611="","要確認",IF($AC1611=0,"不支給","未処理")))))</f>
        <v/>
      </c>
      <c r="AE1611" s="12" t="n"/>
      <c r="AF1611" s="11" t="n"/>
      <c r="AG1611" s="11" t="n"/>
      <c r="AH1611" s="11" t="n"/>
      <c r="AI1611" s="14">
        <f>IF(AND($AD1611="保留中",$AF1611&lt;&gt;""),TODAY()-$AF1611,"")</f>
        <v/>
      </c>
      <c r="AJ1611" s="12" t="n"/>
      <c r="AK1611" s="14">
        <f>IF($B1611="","",IF($AO1611="","対象年月が未入力／","")&amp;IF($B1611="","",IF($AN1611="","職員マスタに未登録の職員番号／",IF($Y1611="","標準報酬月額が未登録／","")&amp;IF(AND($AO1611&lt;&gt;"",OR(AND(INDEX(職員マスタ!$G$6:$G$405,$AN1611)&lt;&gt;"",INDEX(職員マスタ!$G$6:$G$405,$AN1611)&gt;EOMONTH($AO1611,0)),AND(INDEX(職員マスタ!$H$6:$H$405,$AN1611)&lt;&gt;"",INDEX(職員マスタ!$H$6:$H$405,$AN1611)&lt;$AO1611))),"対象月が時短期間外／","")&amp;IF(AND(INDEX(職員マスタ!$F$6:$F$405,$AN1611)&lt;&gt;"",$AO1611&lt;&gt;"",INDEX(職員マスタ!$F$6:$F$405,$AN1611)&lt;$AO1611),"対象月に子が2歳到達済／","")&amp;IF(AND($H1611&lt;&gt;"",INDEX(職員マスタ!$B$6:$B$405,$AN1611)&lt;&gt;"",SUBSTITUTE(SUBSTITUTE($H1611," ","")," ","")&lt;&gt;SUBSTITUTE(SUBSTITUTE(INDEX(職員マスタ!$B$6:$B$405,$AN1611)," ","")," ","")),"氏名がマスタと相違／","")&amp;IF(AND($Q1611&lt;&gt;"",INDEX(職員マスタ!$E$6:$E$405,$AN1611)&lt;&gt;"",$Q1611&lt;&gt;INDEX(職員マスタ!$E$6:$E$405,$AN1611)),"子の生年月日がマスタと相違／","")&amp;IF(AND($L1611&lt;&gt;"",INDEX(職員マスタ!$G$6:$G$405,$AN1611)&lt;&gt;"",$L1611&lt;&gt;INDEX(職員マスタ!$G$6:$G$405,$AN1611)),"時短開始日がマスタと相違／","")&amp;IF(AND($M1611&lt;&gt;"",INDEX(職員マスタ!$H$6:$H$405,$AN1611)&lt;&gt;"",$M1611&lt;&gt;INDEX(職員マスタ!$H$6:$H$405,$AN1611)),"時短終了日がマスタと相違／","")))&amp;IF(AND($B1611&lt;&gt;"",$E1611=""),"報酬額が未入力／","")&amp;IF(N($U1611)&gt;0,"申請書に入力エラーが残っています／","")&amp;IF(AND($B1611&lt;&gt;"",$AO1611&lt;&gt;""),IF(COUNTIFS($B$6:$B$3005,$B1611,$C$6:$C$3005,$C1611,$D$6:$D$3005,$D1611)&gt;1,"同じ月の請求が重複しています／",""),"")&amp;IF(AND(N($E1611)&gt;0,$Z1611&lt;&gt;"",$Z1611&lt;&gt;"×",$AC1611=0,$AB1611=""),"計算額が下限以下のため不支給／",""))</f>
        <v/>
      </c>
      <c r="AL1611" s="12" t="n"/>
      <c r="AM1611" s="14">
        <f>IF($AD1611="保留中",COUNTIF($AD$6:$AD1611,"保留中"),"")</f>
        <v/>
      </c>
      <c r="AN1611" s="14">
        <f>IF($AO1611="","",IF(SUMPRODUCT(MAX((職員マスタ!$A$6:$A$405=$B1611)*(((職員マスタ!$G$6:$G$405="")+(職員マスタ!$G$6:$G$405&lt;=EOMONTH($AO1611,0)))&gt;0)*(((職員マスタ!$H$6:$H$405="")+(職員マスタ!$H$6:$H$405&gt;=$AO1611))&gt;0)*(ROW(職員マスタ!$A$6:$A$405)-5)))&gt;0,SUMPRODUCT(MAX((職員マスタ!$A$6:$A$405=$B1611)*(((職員マスタ!$G$6:$G$405="")+(職員マスタ!$G$6:$G$405&lt;=EOMONTH($AO1611,0)))&gt;0)*(((職員マスタ!$H$6:$H$405="")+(職員マスタ!$H$6:$H$405&gt;=$AO1611))&gt;0)*(ROW(職員マスタ!$A$6:$A$405)-5))),IFERROR(MATCH($B1611,職員マスタ!$A$6:$A$405,0),"")))</f>
        <v/>
      </c>
      <c r="AO1611" s="16">
        <f>IF(OR($B1611="",$C1611="",$D1611=""),"",DATE($C1611+2018,$D1611,1))</f>
        <v/>
      </c>
    </row>
    <row r="1612">
      <c r="A1612" s="11" t="n"/>
      <c r="B1612" s="12" t="n"/>
      <c r="C1612" s="12" t="n"/>
      <c r="D1612" s="12" t="n"/>
      <c r="E1612" s="13" t="n"/>
      <c r="F1612" s="12" t="n"/>
      <c r="G1612" s="13" t="n"/>
      <c r="H1612" s="12" t="n"/>
      <c r="I1612" s="12" t="n"/>
      <c r="J1612" s="12" t="n"/>
      <c r="K1612" s="12" t="n"/>
      <c r="L1612" s="11" t="n"/>
      <c r="M1612" s="11" t="n"/>
      <c r="N1612" s="11" t="n"/>
      <c r="O1612" s="11" t="n"/>
      <c r="P1612" s="12" t="n"/>
      <c r="Q1612" s="11" t="n"/>
      <c r="R1612" s="12" t="n"/>
      <c r="S1612" s="11" t="n"/>
      <c r="T1612" s="12" t="n"/>
      <c r="U1612" s="12" t="n"/>
      <c r="V1612" s="14">
        <f>IF($AN1612="",IF($B1612="","",$H1612),IF(INDEX(職員マスタ!$B$6:$B$405,$AN1612)="",$H1612,INDEX(職員マスタ!$B$6:$B$405,$AN1612)))</f>
        <v/>
      </c>
      <c r="W1612" s="14">
        <f>IF($AN1612="",IF($B1612="","",$R1612),IF(INDEX(職員マスタ!$C$6:$C$405,$AN1612)="",$R1612,INDEX(職員マスタ!$C$6:$C$405,$AN1612)))</f>
        <v/>
      </c>
      <c r="X1612" s="14">
        <f>IF($AO1612="","","R"&amp;$C1612&amp;"."&amp;$D1612)</f>
        <v/>
      </c>
      <c r="Y1612" s="15">
        <f>IF($AN1612="","",IF(INDEX(職員マスタ!$K$6:$K$405,$AN1612)="","",INDEX(職員マスタ!$K$6:$K$405,$AN1612)))</f>
        <v/>
      </c>
      <c r="Z1612" s="14">
        <f>IF(OR($E1612="",$Y1612=""),"",IF($E1612&gt;=$Y1612,"×",IF($E1612&gt;=$Y1612*設定!$C$5,"△","○")))</f>
        <v/>
      </c>
      <c r="AA1612" s="15">
        <f>IF($Z1612="","",IF($Z1612="×",0,IF($Z1612="○",ROUNDDOWN($E1612*設定!$C$4,0),ROUNDDOWN($E1612*ROUND((9*$Y1612-9*$E1612)/(10*$E1612),4),0))))</f>
        <v/>
      </c>
      <c r="AB1612" s="13" t="n"/>
      <c r="AC1612" s="15">
        <f>IF($B1612="","",IF($AB1612&lt;&gt;"",$AB1612,IF($AA1612="","",IF($AA1612&lt;=設定!$C$3,0,$AA1612))))</f>
        <v/>
      </c>
      <c r="AD1612" s="14">
        <f>IF($B1612="","",IF(AND($AE1612&lt;&gt;"",$AG1612="",$AJ1612=""),"保留中",IF($AJ1612&lt;&gt;"",IF(N($AC1612)&gt;0,"支給済","不支給"),IF($AC1612="","要確認",IF($AC1612=0,"不支給","未処理")))))</f>
        <v/>
      </c>
      <c r="AE1612" s="12" t="n"/>
      <c r="AF1612" s="11" t="n"/>
      <c r="AG1612" s="11" t="n"/>
      <c r="AH1612" s="11" t="n"/>
      <c r="AI1612" s="14">
        <f>IF(AND($AD1612="保留中",$AF1612&lt;&gt;""),TODAY()-$AF1612,"")</f>
        <v/>
      </c>
      <c r="AJ1612" s="12" t="n"/>
      <c r="AK1612" s="14">
        <f>IF($B1612="","",IF($AO1612="","対象年月が未入力／","")&amp;IF($B1612="","",IF($AN1612="","職員マスタに未登録の職員番号／",IF($Y1612="","標準報酬月額が未登録／","")&amp;IF(AND($AO1612&lt;&gt;"",OR(AND(INDEX(職員マスタ!$G$6:$G$405,$AN1612)&lt;&gt;"",INDEX(職員マスタ!$G$6:$G$405,$AN1612)&gt;EOMONTH($AO1612,0)),AND(INDEX(職員マスタ!$H$6:$H$405,$AN1612)&lt;&gt;"",INDEX(職員マスタ!$H$6:$H$405,$AN1612)&lt;$AO1612))),"対象月が時短期間外／","")&amp;IF(AND(INDEX(職員マスタ!$F$6:$F$405,$AN1612)&lt;&gt;"",$AO1612&lt;&gt;"",INDEX(職員マスタ!$F$6:$F$405,$AN1612)&lt;$AO1612),"対象月に子が2歳到達済／","")&amp;IF(AND($H1612&lt;&gt;"",INDEX(職員マスタ!$B$6:$B$405,$AN1612)&lt;&gt;"",SUBSTITUTE(SUBSTITUTE($H1612," ","")," ","")&lt;&gt;SUBSTITUTE(SUBSTITUTE(INDEX(職員マスタ!$B$6:$B$405,$AN1612)," ","")," ","")),"氏名がマスタと相違／","")&amp;IF(AND($Q1612&lt;&gt;"",INDEX(職員マスタ!$E$6:$E$405,$AN1612)&lt;&gt;"",$Q1612&lt;&gt;INDEX(職員マスタ!$E$6:$E$405,$AN1612)),"子の生年月日がマスタと相違／","")&amp;IF(AND($L1612&lt;&gt;"",INDEX(職員マスタ!$G$6:$G$405,$AN1612)&lt;&gt;"",$L1612&lt;&gt;INDEX(職員マスタ!$G$6:$G$405,$AN1612)),"時短開始日がマスタと相違／","")&amp;IF(AND($M1612&lt;&gt;"",INDEX(職員マスタ!$H$6:$H$405,$AN1612)&lt;&gt;"",$M1612&lt;&gt;INDEX(職員マスタ!$H$6:$H$405,$AN1612)),"時短終了日がマスタと相違／","")))&amp;IF(AND($B1612&lt;&gt;"",$E1612=""),"報酬額が未入力／","")&amp;IF(N($U1612)&gt;0,"申請書に入力エラーが残っています／","")&amp;IF(AND($B1612&lt;&gt;"",$AO1612&lt;&gt;""),IF(COUNTIFS($B$6:$B$3005,$B1612,$C$6:$C$3005,$C1612,$D$6:$D$3005,$D1612)&gt;1,"同じ月の請求が重複しています／",""),"")&amp;IF(AND(N($E1612)&gt;0,$Z1612&lt;&gt;"",$Z1612&lt;&gt;"×",$AC1612=0,$AB1612=""),"計算額が下限以下のため不支給／",""))</f>
        <v/>
      </c>
      <c r="AL1612" s="12" t="n"/>
      <c r="AM1612" s="14">
        <f>IF($AD1612="保留中",COUNTIF($AD$6:$AD1612,"保留中"),"")</f>
        <v/>
      </c>
      <c r="AN1612" s="14">
        <f>IF($AO1612="","",IF(SUMPRODUCT(MAX((職員マスタ!$A$6:$A$405=$B1612)*(((職員マスタ!$G$6:$G$405="")+(職員マスタ!$G$6:$G$405&lt;=EOMONTH($AO1612,0)))&gt;0)*(((職員マスタ!$H$6:$H$405="")+(職員マスタ!$H$6:$H$405&gt;=$AO1612))&gt;0)*(ROW(職員マスタ!$A$6:$A$405)-5)))&gt;0,SUMPRODUCT(MAX((職員マスタ!$A$6:$A$405=$B1612)*(((職員マスタ!$G$6:$G$405="")+(職員マスタ!$G$6:$G$405&lt;=EOMONTH($AO1612,0)))&gt;0)*(((職員マスタ!$H$6:$H$405="")+(職員マスタ!$H$6:$H$405&gt;=$AO1612))&gt;0)*(ROW(職員マスタ!$A$6:$A$405)-5))),IFERROR(MATCH($B1612,職員マスタ!$A$6:$A$405,0),"")))</f>
        <v/>
      </c>
      <c r="AO1612" s="16">
        <f>IF(OR($B1612="",$C1612="",$D1612=""),"",DATE($C1612+2018,$D1612,1))</f>
        <v/>
      </c>
    </row>
    <row r="1613">
      <c r="A1613" s="11" t="n"/>
      <c r="B1613" s="12" t="n"/>
      <c r="C1613" s="12" t="n"/>
      <c r="D1613" s="12" t="n"/>
      <c r="E1613" s="13" t="n"/>
      <c r="F1613" s="12" t="n"/>
      <c r="G1613" s="13" t="n"/>
      <c r="H1613" s="12" t="n"/>
      <c r="I1613" s="12" t="n"/>
      <c r="J1613" s="12" t="n"/>
      <c r="K1613" s="12" t="n"/>
      <c r="L1613" s="11" t="n"/>
      <c r="M1613" s="11" t="n"/>
      <c r="N1613" s="11" t="n"/>
      <c r="O1613" s="11" t="n"/>
      <c r="P1613" s="12" t="n"/>
      <c r="Q1613" s="11" t="n"/>
      <c r="R1613" s="12" t="n"/>
      <c r="S1613" s="11" t="n"/>
      <c r="T1613" s="12" t="n"/>
      <c r="U1613" s="12" t="n"/>
      <c r="V1613" s="14">
        <f>IF($AN1613="",IF($B1613="","",$H1613),IF(INDEX(職員マスタ!$B$6:$B$405,$AN1613)="",$H1613,INDEX(職員マスタ!$B$6:$B$405,$AN1613)))</f>
        <v/>
      </c>
      <c r="W1613" s="14">
        <f>IF($AN1613="",IF($B1613="","",$R1613),IF(INDEX(職員マスタ!$C$6:$C$405,$AN1613)="",$R1613,INDEX(職員マスタ!$C$6:$C$405,$AN1613)))</f>
        <v/>
      </c>
      <c r="X1613" s="14">
        <f>IF($AO1613="","","R"&amp;$C1613&amp;"."&amp;$D1613)</f>
        <v/>
      </c>
      <c r="Y1613" s="15">
        <f>IF($AN1613="","",IF(INDEX(職員マスタ!$K$6:$K$405,$AN1613)="","",INDEX(職員マスタ!$K$6:$K$405,$AN1613)))</f>
        <v/>
      </c>
      <c r="Z1613" s="14">
        <f>IF(OR($E1613="",$Y1613=""),"",IF($E1613&gt;=$Y1613,"×",IF($E1613&gt;=$Y1613*設定!$C$5,"△","○")))</f>
        <v/>
      </c>
      <c r="AA1613" s="15">
        <f>IF($Z1613="","",IF($Z1613="×",0,IF($Z1613="○",ROUNDDOWN($E1613*設定!$C$4,0),ROUNDDOWN($E1613*ROUND((9*$Y1613-9*$E1613)/(10*$E1613),4),0))))</f>
        <v/>
      </c>
      <c r="AB1613" s="13" t="n"/>
      <c r="AC1613" s="15">
        <f>IF($B1613="","",IF($AB1613&lt;&gt;"",$AB1613,IF($AA1613="","",IF($AA1613&lt;=設定!$C$3,0,$AA1613))))</f>
        <v/>
      </c>
      <c r="AD1613" s="14">
        <f>IF($B1613="","",IF(AND($AE1613&lt;&gt;"",$AG1613="",$AJ1613=""),"保留中",IF($AJ1613&lt;&gt;"",IF(N($AC1613)&gt;0,"支給済","不支給"),IF($AC1613="","要確認",IF($AC1613=0,"不支給","未処理")))))</f>
        <v/>
      </c>
      <c r="AE1613" s="12" t="n"/>
      <c r="AF1613" s="11" t="n"/>
      <c r="AG1613" s="11" t="n"/>
      <c r="AH1613" s="11" t="n"/>
      <c r="AI1613" s="14">
        <f>IF(AND($AD1613="保留中",$AF1613&lt;&gt;""),TODAY()-$AF1613,"")</f>
        <v/>
      </c>
      <c r="AJ1613" s="12" t="n"/>
      <c r="AK1613" s="14">
        <f>IF($B1613="","",IF($AO1613="","対象年月が未入力／","")&amp;IF($B1613="","",IF($AN1613="","職員マスタに未登録の職員番号／",IF($Y1613="","標準報酬月額が未登録／","")&amp;IF(AND($AO1613&lt;&gt;"",OR(AND(INDEX(職員マスタ!$G$6:$G$405,$AN1613)&lt;&gt;"",INDEX(職員マスタ!$G$6:$G$405,$AN1613)&gt;EOMONTH($AO1613,0)),AND(INDEX(職員マスタ!$H$6:$H$405,$AN1613)&lt;&gt;"",INDEX(職員マスタ!$H$6:$H$405,$AN1613)&lt;$AO1613))),"対象月が時短期間外／","")&amp;IF(AND(INDEX(職員マスタ!$F$6:$F$405,$AN1613)&lt;&gt;"",$AO1613&lt;&gt;"",INDEX(職員マスタ!$F$6:$F$405,$AN1613)&lt;$AO1613),"対象月に子が2歳到達済／","")&amp;IF(AND($H1613&lt;&gt;"",INDEX(職員マスタ!$B$6:$B$405,$AN1613)&lt;&gt;"",SUBSTITUTE(SUBSTITUTE($H1613," ","")," ","")&lt;&gt;SUBSTITUTE(SUBSTITUTE(INDEX(職員マスタ!$B$6:$B$405,$AN1613)," ","")," ","")),"氏名がマスタと相違／","")&amp;IF(AND($Q1613&lt;&gt;"",INDEX(職員マスタ!$E$6:$E$405,$AN1613)&lt;&gt;"",$Q1613&lt;&gt;INDEX(職員マスタ!$E$6:$E$405,$AN1613)),"子の生年月日がマスタと相違／","")&amp;IF(AND($L1613&lt;&gt;"",INDEX(職員マスタ!$G$6:$G$405,$AN1613)&lt;&gt;"",$L1613&lt;&gt;INDEX(職員マスタ!$G$6:$G$405,$AN1613)),"時短開始日がマスタと相違／","")&amp;IF(AND($M1613&lt;&gt;"",INDEX(職員マスタ!$H$6:$H$405,$AN1613)&lt;&gt;"",$M1613&lt;&gt;INDEX(職員マスタ!$H$6:$H$405,$AN1613)),"時短終了日がマスタと相違／","")))&amp;IF(AND($B1613&lt;&gt;"",$E1613=""),"報酬額が未入力／","")&amp;IF(N($U1613)&gt;0,"申請書に入力エラーが残っています／","")&amp;IF(AND($B1613&lt;&gt;"",$AO1613&lt;&gt;""),IF(COUNTIFS($B$6:$B$3005,$B1613,$C$6:$C$3005,$C1613,$D$6:$D$3005,$D1613)&gt;1,"同じ月の請求が重複しています／",""),"")&amp;IF(AND(N($E1613)&gt;0,$Z1613&lt;&gt;"",$Z1613&lt;&gt;"×",$AC1613=0,$AB1613=""),"計算額が下限以下のため不支給／",""))</f>
        <v/>
      </c>
      <c r="AL1613" s="12" t="n"/>
      <c r="AM1613" s="14">
        <f>IF($AD1613="保留中",COUNTIF($AD$6:$AD1613,"保留中"),"")</f>
        <v/>
      </c>
      <c r="AN1613" s="14">
        <f>IF($AO1613="","",IF(SUMPRODUCT(MAX((職員マスタ!$A$6:$A$405=$B1613)*(((職員マスタ!$G$6:$G$405="")+(職員マスタ!$G$6:$G$405&lt;=EOMONTH($AO1613,0)))&gt;0)*(((職員マスタ!$H$6:$H$405="")+(職員マスタ!$H$6:$H$405&gt;=$AO1613))&gt;0)*(ROW(職員マスタ!$A$6:$A$405)-5)))&gt;0,SUMPRODUCT(MAX((職員マスタ!$A$6:$A$405=$B1613)*(((職員マスタ!$G$6:$G$405="")+(職員マスタ!$G$6:$G$405&lt;=EOMONTH($AO1613,0)))&gt;0)*(((職員マスタ!$H$6:$H$405="")+(職員マスタ!$H$6:$H$405&gt;=$AO1613))&gt;0)*(ROW(職員マスタ!$A$6:$A$405)-5))),IFERROR(MATCH($B1613,職員マスタ!$A$6:$A$405,0),"")))</f>
        <v/>
      </c>
      <c r="AO1613" s="16">
        <f>IF(OR($B1613="",$C1613="",$D1613=""),"",DATE($C1613+2018,$D1613,1))</f>
        <v/>
      </c>
    </row>
    <row r="1614">
      <c r="A1614" s="11" t="n"/>
      <c r="B1614" s="12" t="n"/>
      <c r="C1614" s="12" t="n"/>
      <c r="D1614" s="12" t="n"/>
      <c r="E1614" s="13" t="n"/>
      <c r="F1614" s="12" t="n"/>
      <c r="G1614" s="13" t="n"/>
      <c r="H1614" s="12" t="n"/>
      <c r="I1614" s="12" t="n"/>
      <c r="J1614" s="12" t="n"/>
      <c r="K1614" s="12" t="n"/>
      <c r="L1614" s="11" t="n"/>
      <c r="M1614" s="11" t="n"/>
      <c r="N1614" s="11" t="n"/>
      <c r="O1614" s="11" t="n"/>
      <c r="P1614" s="12" t="n"/>
      <c r="Q1614" s="11" t="n"/>
      <c r="R1614" s="12" t="n"/>
      <c r="S1614" s="11" t="n"/>
      <c r="T1614" s="12" t="n"/>
      <c r="U1614" s="12" t="n"/>
      <c r="V1614" s="14">
        <f>IF($AN1614="",IF($B1614="","",$H1614),IF(INDEX(職員マスタ!$B$6:$B$405,$AN1614)="",$H1614,INDEX(職員マスタ!$B$6:$B$405,$AN1614)))</f>
        <v/>
      </c>
      <c r="W1614" s="14">
        <f>IF($AN1614="",IF($B1614="","",$R1614),IF(INDEX(職員マスタ!$C$6:$C$405,$AN1614)="",$R1614,INDEX(職員マスタ!$C$6:$C$405,$AN1614)))</f>
        <v/>
      </c>
      <c r="X1614" s="14">
        <f>IF($AO1614="","","R"&amp;$C1614&amp;"."&amp;$D1614)</f>
        <v/>
      </c>
      <c r="Y1614" s="15">
        <f>IF($AN1614="","",IF(INDEX(職員マスタ!$K$6:$K$405,$AN1614)="","",INDEX(職員マスタ!$K$6:$K$405,$AN1614)))</f>
        <v/>
      </c>
      <c r="Z1614" s="14">
        <f>IF(OR($E1614="",$Y1614=""),"",IF($E1614&gt;=$Y1614,"×",IF($E1614&gt;=$Y1614*設定!$C$5,"△","○")))</f>
        <v/>
      </c>
      <c r="AA1614" s="15">
        <f>IF($Z1614="","",IF($Z1614="×",0,IF($Z1614="○",ROUNDDOWN($E1614*設定!$C$4,0),ROUNDDOWN($E1614*ROUND((9*$Y1614-9*$E1614)/(10*$E1614),4),0))))</f>
        <v/>
      </c>
      <c r="AB1614" s="13" t="n"/>
      <c r="AC1614" s="15">
        <f>IF($B1614="","",IF($AB1614&lt;&gt;"",$AB1614,IF($AA1614="","",IF($AA1614&lt;=設定!$C$3,0,$AA1614))))</f>
        <v/>
      </c>
      <c r="AD1614" s="14">
        <f>IF($B1614="","",IF(AND($AE1614&lt;&gt;"",$AG1614="",$AJ1614=""),"保留中",IF($AJ1614&lt;&gt;"",IF(N($AC1614)&gt;0,"支給済","不支給"),IF($AC1614="","要確認",IF($AC1614=0,"不支給","未処理")))))</f>
        <v/>
      </c>
      <c r="AE1614" s="12" t="n"/>
      <c r="AF1614" s="11" t="n"/>
      <c r="AG1614" s="11" t="n"/>
      <c r="AH1614" s="11" t="n"/>
      <c r="AI1614" s="14">
        <f>IF(AND($AD1614="保留中",$AF1614&lt;&gt;""),TODAY()-$AF1614,"")</f>
        <v/>
      </c>
      <c r="AJ1614" s="12" t="n"/>
      <c r="AK1614" s="14">
        <f>IF($B1614="","",IF($AO1614="","対象年月が未入力／","")&amp;IF($B1614="","",IF($AN1614="","職員マスタに未登録の職員番号／",IF($Y1614="","標準報酬月額が未登録／","")&amp;IF(AND($AO1614&lt;&gt;"",OR(AND(INDEX(職員マスタ!$G$6:$G$405,$AN1614)&lt;&gt;"",INDEX(職員マスタ!$G$6:$G$405,$AN1614)&gt;EOMONTH($AO1614,0)),AND(INDEX(職員マスタ!$H$6:$H$405,$AN1614)&lt;&gt;"",INDEX(職員マスタ!$H$6:$H$405,$AN1614)&lt;$AO1614))),"対象月が時短期間外／","")&amp;IF(AND(INDEX(職員マスタ!$F$6:$F$405,$AN1614)&lt;&gt;"",$AO1614&lt;&gt;"",INDEX(職員マスタ!$F$6:$F$405,$AN1614)&lt;$AO1614),"対象月に子が2歳到達済／","")&amp;IF(AND($H1614&lt;&gt;"",INDEX(職員マスタ!$B$6:$B$405,$AN1614)&lt;&gt;"",SUBSTITUTE(SUBSTITUTE($H1614," ","")," ","")&lt;&gt;SUBSTITUTE(SUBSTITUTE(INDEX(職員マスタ!$B$6:$B$405,$AN1614)," ","")," ","")),"氏名がマスタと相違／","")&amp;IF(AND($Q1614&lt;&gt;"",INDEX(職員マスタ!$E$6:$E$405,$AN1614)&lt;&gt;"",$Q1614&lt;&gt;INDEX(職員マスタ!$E$6:$E$405,$AN1614)),"子の生年月日がマスタと相違／","")&amp;IF(AND($L1614&lt;&gt;"",INDEX(職員マスタ!$G$6:$G$405,$AN1614)&lt;&gt;"",$L1614&lt;&gt;INDEX(職員マスタ!$G$6:$G$405,$AN1614)),"時短開始日がマスタと相違／","")&amp;IF(AND($M1614&lt;&gt;"",INDEX(職員マスタ!$H$6:$H$405,$AN1614)&lt;&gt;"",$M1614&lt;&gt;INDEX(職員マスタ!$H$6:$H$405,$AN1614)),"時短終了日がマスタと相違／","")))&amp;IF(AND($B1614&lt;&gt;"",$E1614=""),"報酬額が未入力／","")&amp;IF(N($U1614)&gt;0,"申請書に入力エラーが残っています／","")&amp;IF(AND($B1614&lt;&gt;"",$AO1614&lt;&gt;""),IF(COUNTIFS($B$6:$B$3005,$B1614,$C$6:$C$3005,$C1614,$D$6:$D$3005,$D1614)&gt;1,"同じ月の請求が重複しています／",""),"")&amp;IF(AND(N($E1614)&gt;0,$Z1614&lt;&gt;"",$Z1614&lt;&gt;"×",$AC1614=0,$AB1614=""),"計算額が下限以下のため不支給／",""))</f>
        <v/>
      </c>
      <c r="AL1614" s="12" t="n"/>
      <c r="AM1614" s="14">
        <f>IF($AD1614="保留中",COUNTIF($AD$6:$AD1614,"保留中"),"")</f>
        <v/>
      </c>
      <c r="AN1614" s="14">
        <f>IF($AO1614="","",IF(SUMPRODUCT(MAX((職員マスタ!$A$6:$A$405=$B1614)*(((職員マスタ!$G$6:$G$405="")+(職員マスタ!$G$6:$G$405&lt;=EOMONTH($AO1614,0)))&gt;0)*(((職員マスタ!$H$6:$H$405="")+(職員マスタ!$H$6:$H$405&gt;=$AO1614))&gt;0)*(ROW(職員マスタ!$A$6:$A$405)-5)))&gt;0,SUMPRODUCT(MAX((職員マスタ!$A$6:$A$405=$B1614)*(((職員マスタ!$G$6:$G$405="")+(職員マスタ!$G$6:$G$405&lt;=EOMONTH($AO1614,0)))&gt;0)*(((職員マスタ!$H$6:$H$405="")+(職員マスタ!$H$6:$H$405&gt;=$AO1614))&gt;0)*(ROW(職員マスタ!$A$6:$A$405)-5))),IFERROR(MATCH($B1614,職員マスタ!$A$6:$A$405,0),"")))</f>
        <v/>
      </c>
      <c r="AO1614" s="16">
        <f>IF(OR($B1614="",$C1614="",$D1614=""),"",DATE($C1614+2018,$D1614,1))</f>
        <v/>
      </c>
    </row>
    <row r="1615">
      <c r="A1615" s="11" t="n"/>
      <c r="B1615" s="12" t="n"/>
      <c r="C1615" s="12" t="n"/>
      <c r="D1615" s="12" t="n"/>
      <c r="E1615" s="13" t="n"/>
      <c r="F1615" s="12" t="n"/>
      <c r="G1615" s="13" t="n"/>
      <c r="H1615" s="12" t="n"/>
      <c r="I1615" s="12" t="n"/>
      <c r="J1615" s="12" t="n"/>
      <c r="K1615" s="12" t="n"/>
      <c r="L1615" s="11" t="n"/>
      <c r="M1615" s="11" t="n"/>
      <c r="N1615" s="11" t="n"/>
      <c r="O1615" s="11" t="n"/>
      <c r="P1615" s="12" t="n"/>
      <c r="Q1615" s="11" t="n"/>
      <c r="R1615" s="12" t="n"/>
      <c r="S1615" s="11" t="n"/>
      <c r="T1615" s="12" t="n"/>
      <c r="U1615" s="12" t="n"/>
      <c r="V1615" s="14">
        <f>IF($AN1615="",IF($B1615="","",$H1615),IF(INDEX(職員マスタ!$B$6:$B$405,$AN1615)="",$H1615,INDEX(職員マスタ!$B$6:$B$405,$AN1615)))</f>
        <v/>
      </c>
      <c r="W1615" s="14">
        <f>IF($AN1615="",IF($B1615="","",$R1615),IF(INDEX(職員マスタ!$C$6:$C$405,$AN1615)="",$R1615,INDEX(職員マスタ!$C$6:$C$405,$AN1615)))</f>
        <v/>
      </c>
      <c r="X1615" s="14">
        <f>IF($AO1615="","","R"&amp;$C1615&amp;"."&amp;$D1615)</f>
        <v/>
      </c>
      <c r="Y1615" s="15">
        <f>IF($AN1615="","",IF(INDEX(職員マスタ!$K$6:$K$405,$AN1615)="","",INDEX(職員マスタ!$K$6:$K$405,$AN1615)))</f>
        <v/>
      </c>
      <c r="Z1615" s="14">
        <f>IF(OR($E1615="",$Y1615=""),"",IF($E1615&gt;=$Y1615,"×",IF($E1615&gt;=$Y1615*設定!$C$5,"△","○")))</f>
        <v/>
      </c>
      <c r="AA1615" s="15">
        <f>IF($Z1615="","",IF($Z1615="×",0,IF($Z1615="○",ROUNDDOWN($E1615*設定!$C$4,0),ROUNDDOWN($E1615*ROUND((9*$Y1615-9*$E1615)/(10*$E1615),4),0))))</f>
        <v/>
      </c>
      <c r="AB1615" s="13" t="n"/>
      <c r="AC1615" s="15">
        <f>IF($B1615="","",IF($AB1615&lt;&gt;"",$AB1615,IF($AA1615="","",IF($AA1615&lt;=設定!$C$3,0,$AA1615))))</f>
        <v/>
      </c>
      <c r="AD1615" s="14">
        <f>IF($B1615="","",IF(AND($AE1615&lt;&gt;"",$AG1615="",$AJ1615=""),"保留中",IF($AJ1615&lt;&gt;"",IF(N($AC1615)&gt;0,"支給済","不支給"),IF($AC1615="","要確認",IF($AC1615=0,"不支給","未処理")))))</f>
        <v/>
      </c>
      <c r="AE1615" s="12" t="n"/>
      <c r="AF1615" s="11" t="n"/>
      <c r="AG1615" s="11" t="n"/>
      <c r="AH1615" s="11" t="n"/>
      <c r="AI1615" s="14">
        <f>IF(AND($AD1615="保留中",$AF1615&lt;&gt;""),TODAY()-$AF1615,"")</f>
        <v/>
      </c>
      <c r="AJ1615" s="12" t="n"/>
      <c r="AK1615" s="14">
        <f>IF($B1615="","",IF($AO1615="","対象年月が未入力／","")&amp;IF($B1615="","",IF($AN1615="","職員マスタに未登録の職員番号／",IF($Y1615="","標準報酬月額が未登録／","")&amp;IF(AND($AO1615&lt;&gt;"",OR(AND(INDEX(職員マスタ!$G$6:$G$405,$AN1615)&lt;&gt;"",INDEX(職員マスタ!$G$6:$G$405,$AN1615)&gt;EOMONTH($AO1615,0)),AND(INDEX(職員マスタ!$H$6:$H$405,$AN1615)&lt;&gt;"",INDEX(職員マスタ!$H$6:$H$405,$AN1615)&lt;$AO1615))),"対象月が時短期間外／","")&amp;IF(AND(INDEX(職員マスタ!$F$6:$F$405,$AN1615)&lt;&gt;"",$AO1615&lt;&gt;"",INDEX(職員マスタ!$F$6:$F$405,$AN1615)&lt;$AO1615),"対象月に子が2歳到達済／","")&amp;IF(AND($H1615&lt;&gt;"",INDEX(職員マスタ!$B$6:$B$405,$AN1615)&lt;&gt;"",SUBSTITUTE(SUBSTITUTE($H1615," ","")," ","")&lt;&gt;SUBSTITUTE(SUBSTITUTE(INDEX(職員マスタ!$B$6:$B$405,$AN1615)," ","")," ","")),"氏名がマスタと相違／","")&amp;IF(AND($Q1615&lt;&gt;"",INDEX(職員マスタ!$E$6:$E$405,$AN1615)&lt;&gt;"",$Q1615&lt;&gt;INDEX(職員マスタ!$E$6:$E$405,$AN1615)),"子の生年月日がマスタと相違／","")&amp;IF(AND($L1615&lt;&gt;"",INDEX(職員マスタ!$G$6:$G$405,$AN1615)&lt;&gt;"",$L1615&lt;&gt;INDEX(職員マスタ!$G$6:$G$405,$AN1615)),"時短開始日がマスタと相違／","")&amp;IF(AND($M1615&lt;&gt;"",INDEX(職員マスタ!$H$6:$H$405,$AN1615)&lt;&gt;"",$M1615&lt;&gt;INDEX(職員マスタ!$H$6:$H$405,$AN1615)),"時短終了日がマスタと相違／","")))&amp;IF(AND($B1615&lt;&gt;"",$E1615=""),"報酬額が未入力／","")&amp;IF(N($U1615)&gt;0,"申請書に入力エラーが残っています／","")&amp;IF(AND($B1615&lt;&gt;"",$AO1615&lt;&gt;""),IF(COUNTIFS($B$6:$B$3005,$B1615,$C$6:$C$3005,$C1615,$D$6:$D$3005,$D1615)&gt;1,"同じ月の請求が重複しています／",""),"")&amp;IF(AND(N($E1615)&gt;0,$Z1615&lt;&gt;"",$Z1615&lt;&gt;"×",$AC1615=0,$AB1615=""),"計算額が下限以下のため不支給／",""))</f>
        <v/>
      </c>
      <c r="AL1615" s="12" t="n"/>
      <c r="AM1615" s="14">
        <f>IF($AD1615="保留中",COUNTIF($AD$6:$AD1615,"保留中"),"")</f>
        <v/>
      </c>
      <c r="AN1615" s="14">
        <f>IF($AO1615="","",IF(SUMPRODUCT(MAX((職員マスタ!$A$6:$A$405=$B1615)*(((職員マスタ!$G$6:$G$405="")+(職員マスタ!$G$6:$G$405&lt;=EOMONTH($AO1615,0)))&gt;0)*(((職員マスタ!$H$6:$H$405="")+(職員マスタ!$H$6:$H$405&gt;=$AO1615))&gt;0)*(ROW(職員マスタ!$A$6:$A$405)-5)))&gt;0,SUMPRODUCT(MAX((職員マスタ!$A$6:$A$405=$B1615)*(((職員マスタ!$G$6:$G$405="")+(職員マスタ!$G$6:$G$405&lt;=EOMONTH($AO1615,0)))&gt;0)*(((職員マスタ!$H$6:$H$405="")+(職員マスタ!$H$6:$H$405&gt;=$AO1615))&gt;0)*(ROW(職員マスタ!$A$6:$A$405)-5))),IFERROR(MATCH($B1615,職員マスタ!$A$6:$A$405,0),"")))</f>
        <v/>
      </c>
      <c r="AO1615" s="16">
        <f>IF(OR($B1615="",$C1615="",$D1615=""),"",DATE($C1615+2018,$D1615,1))</f>
        <v/>
      </c>
    </row>
    <row r="1616">
      <c r="A1616" s="11" t="n"/>
      <c r="B1616" s="12" t="n"/>
      <c r="C1616" s="12" t="n"/>
      <c r="D1616" s="12" t="n"/>
      <c r="E1616" s="13" t="n"/>
      <c r="F1616" s="12" t="n"/>
      <c r="G1616" s="13" t="n"/>
      <c r="H1616" s="12" t="n"/>
      <c r="I1616" s="12" t="n"/>
      <c r="J1616" s="12" t="n"/>
      <c r="K1616" s="12" t="n"/>
      <c r="L1616" s="11" t="n"/>
      <c r="M1616" s="11" t="n"/>
      <c r="N1616" s="11" t="n"/>
      <c r="O1616" s="11" t="n"/>
      <c r="P1616" s="12" t="n"/>
      <c r="Q1616" s="11" t="n"/>
      <c r="R1616" s="12" t="n"/>
      <c r="S1616" s="11" t="n"/>
      <c r="T1616" s="12" t="n"/>
      <c r="U1616" s="12" t="n"/>
      <c r="V1616" s="14">
        <f>IF($AN1616="",IF($B1616="","",$H1616),IF(INDEX(職員マスタ!$B$6:$B$405,$AN1616)="",$H1616,INDEX(職員マスタ!$B$6:$B$405,$AN1616)))</f>
        <v/>
      </c>
      <c r="W1616" s="14">
        <f>IF($AN1616="",IF($B1616="","",$R1616),IF(INDEX(職員マスタ!$C$6:$C$405,$AN1616)="",$R1616,INDEX(職員マスタ!$C$6:$C$405,$AN1616)))</f>
        <v/>
      </c>
      <c r="X1616" s="14">
        <f>IF($AO1616="","","R"&amp;$C1616&amp;"."&amp;$D1616)</f>
        <v/>
      </c>
      <c r="Y1616" s="15">
        <f>IF($AN1616="","",IF(INDEX(職員マスタ!$K$6:$K$405,$AN1616)="","",INDEX(職員マスタ!$K$6:$K$405,$AN1616)))</f>
        <v/>
      </c>
      <c r="Z1616" s="14">
        <f>IF(OR($E1616="",$Y1616=""),"",IF($E1616&gt;=$Y1616,"×",IF($E1616&gt;=$Y1616*設定!$C$5,"△","○")))</f>
        <v/>
      </c>
      <c r="AA1616" s="15">
        <f>IF($Z1616="","",IF($Z1616="×",0,IF($Z1616="○",ROUNDDOWN($E1616*設定!$C$4,0),ROUNDDOWN($E1616*ROUND((9*$Y1616-9*$E1616)/(10*$E1616),4),0))))</f>
        <v/>
      </c>
      <c r="AB1616" s="13" t="n"/>
      <c r="AC1616" s="15">
        <f>IF($B1616="","",IF($AB1616&lt;&gt;"",$AB1616,IF($AA1616="","",IF($AA1616&lt;=設定!$C$3,0,$AA1616))))</f>
        <v/>
      </c>
      <c r="AD1616" s="14">
        <f>IF($B1616="","",IF(AND($AE1616&lt;&gt;"",$AG1616="",$AJ1616=""),"保留中",IF($AJ1616&lt;&gt;"",IF(N($AC1616)&gt;0,"支給済","不支給"),IF($AC1616="","要確認",IF($AC1616=0,"不支給","未処理")))))</f>
        <v/>
      </c>
      <c r="AE1616" s="12" t="n"/>
      <c r="AF1616" s="11" t="n"/>
      <c r="AG1616" s="11" t="n"/>
      <c r="AH1616" s="11" t="n"/>
      <c r="AI1616" s="14">
        <f>IF(AND($AD1616="保留中",$AF1616&lt;&gt;""),TODAY()-$AF1616,"")</f>
        <v/>
      </c>
      <c r="AJ1616" s="12" t="n"/>
      <c r="AK1616" s="14">
        <f>IF($B1616="","",IF($AO1616="","対象年月が未入力／","")&amp;IF($B1616="","",IF($AN1616="","職員マスタに未登録の職員番号／",IF($Y1616="","標準報酬月額が未登録／","")&amp;IF(AND($AO1616&lt;&gt;"",OR(AND(INDEX(職員マスタ!$G$6:$G$405,$AN1616)&lt;&gt;"",INDEX(職員マスタ!$G$6:$G$405,$AN1616)&gt;EOMONTH($AO1616,0)),AND(INDEX(職員マスタ!$H$6:$H$405,$AN1616)&lt;&gt;"",INDEX(職員マスタ!$H$6:$H$405,$AN1616)&lt;$AO1616))),"対象月が時短期間外／","")&amp;IF(AND(INDEX(職員マスタ!$F$6:$F$405,$AN1616)&lt;&gt;"",$AO1616&lt;&gt;"",INDEX(職員マスタ!$F$6:$F$405,$AN1616)&lt;$AO1616),"対象月に子が2歳到達済／","")&amp;IF(AND($H1616&lt;&gt;"",INDEX(職員マスタ!$B$6:$B$405,$AN1616)&lt;&gt;"",SUBSTITUTE(SUBSTITUTE($H1616," ","")," ","")&lt;&gt;SUBSTITUTE(SUBSTITUTE(INDEX(職員マスタ!$B$6:$B$405,$AN1616)," ","")," ","")),"氏名がマスタと相違／","")&amp;IF(AND($Q1616&lt;&gt;"",INDEX(職員マスタ!$E$6:$E$405,$AN1616)&lt;&gt;"",$Q1616&lt;&gt;INDEX(職員マスタ!$E$6:$E$405,$AN1616)),"子の生年月日がマスタと相違／","")&amp;IF(AND($L1616&lt;&gt;"",INDEX(職員マスタ!$G$6:$G$405,$AN1616)&lt;&gt;"",$L1616&lt;&gt;INDEX(職員マスタ!$G$6:$G$405,$AN1616)),"時短開始日がマスタと相違／","")&amp;IF(AND($M1616&lt;&gt;"",INDEX(職員マスタ!$H$6:$H$405,$AN1616)&lt;&gt;"",$M1616&lt;&gt;INDEX(職員マスタ!$H$6:$H$405,$AN1616)),"時短終了日がマスタと相違／","")))&amp;IF(AND($B1616&lt;&gt;"",$E1616=""),"報酬額が未入力／","")&amp;IF(N($U1616)&gt;0,"申請書に入力エラーが残っています／","")&amp;IF(AND($B1616&lt;&gt;"",$AO1616&lt;&gt;""),IF(COUNTIFS($B$6:$B$3005,$B1616,$C$6:$C$3005,$C1616,$D$6:$D$3005,$D1616)&gt;1,"同じ月の請求が重複しています／",""),"")&amp;IF(AND(N($E1616)&gt;0,$Z1616&lt;&gt;"",$Z1616&lt;&gt;"×",$AC1616=0,$AB1616=""),"計算額が下限以下のため不支給／",""))</f>
        <v/>
      </c>
      <c r="AL1616" s="12" t="n"/>
      <c r="AM1616" s="14">
        <f>IF($AD1616="保留中",COUNTIF($AD$6:$AD1616,"保留中"),"")</f>
        <v/>
      </c>
      <c r="AN1616" s="14">
        <f>IF($AO1616="","",IF(SUMPRODUCT(MAX((職員マスタ!$A$6:$A$405=$B1616)*(((職員マスタ!$G$6:$G$405="")+(職員マスタ!$G$6:$G$405&lt;=EOMONTH($AO1616,0)))&gt;0)*(((職員マスタ!$H$6:$H$405="")+(職員マスタ!$H$6:$H$405&gt;=$AO1616))&gt;0)*(ROW(職員マスタ!$A$6:$A$405)-5)))&gt;0,SUMPRODUCT(MAX((職員マスタ!$A$6:$A$405=$B1616)*(((職員マスタ!$G$6:$G$405="")+(職員マスタ!$G$6:$G$405&lt;=EOMONTH($AO1616,0)))&gt;0)*(((職員マスタ!$H$6:$H$405="")+(職員マスタ!$H$6:$H$405&gt;=$AO1616))&gt;0)*(ROW(職員マスタ!$A$6:$A$405)-5))),IFERROR(MATCH($B1616,職員マスタ!$A$6:$A$405,0),"")))</f>
        <v/>
      </c>
      <c r="AO1616" s="16">
        <f>IF(OR($B1616="",$C1616="",$D1616=""),"",DATE($C1616+2018,$D1616,1))</f>
        <v/>
      </c>
    </row>
    <row r="1617">
      <c r="A1617" s="11" t="n"/>
      <c r="B1617" s="12" t="n"/>
      <c r="C1617" s="12" t="n"/>
      <c r="D1617" s="12" t="n"/>
      <c r="E1617" s="13" t="n"/>
      <c r="F1617" s="12" t="n"/>
      <c r="G1617" s="13" t="n"/>
      <c r="H1617" s="12" t="n"/>
      <c r="I1617" s="12" t="n"/>
      <c r="J1617" s="12" t="n"/>
      <c r="K1617" s="12" t="n"/>
      <c r="L1617" s="11" t="n"/>
      <c r="M1617" s="11" t="n"/>
      <c r="N1617" s="11" t="n"/>
      <c r="O1617" s="11" t="n"/>
      <c r="P1617" s="12" t="n"/>
      <c r="Q1617" s="11" t="n"/>
      <c r="R1617" s="12" t="n"/>
      <c r="S1617" s="11" t="n"/>
      <c r="T1617" s="12" t="n"/>
      <c r="U1617" s="12" t="n"/>
      <c r="V1617" s="14">
        <f>IF($AN1617="",IF($B1617="","",$H1617),IF(INDEX(職員マスタ!$B$6:$B$405,$AN1617)="",$H1617,INDEX(職員マスタ!$B$6:$B$405,$AN1617)))</f>
        <v/>
      </c>
      <c r="W1617" s="14">
        <f>IF($AN1617="",IF($B1617="","",$R1617),IF(INDEX(職員マスタ!$C$6:$C$405,$AN1617)="",$R1617,INDEX(職員マスタ!$C$6:$C$405,$AN1617)))</f>
        <v/>
      </c>
      <c r="X1617" s="14">
        <f>IF($AO1617="","","R"&amp;$C1617&amp;"."&amp;$D1617)</f>
        <v/>
      </c>
      <c r="Y1617" s="15">
        <f>IF($AN1617="","",IF(INDEX(職員マスタ!$K$6:$K$405,$AN1617)="","",INDEX(職員マスタ!$K$6:$K$405,$AN1617)))</f>
        <v/>
      </c>
      <c r="Z1617" s="14">
        <f>IF(OR($E1617="",$Y1617=""),"",IF($E1617&gt;=$Y1617,"×",IF($E1617&gt;=$Y1617*設定!$C$5,"△","○")))</f>
        <v/>
      </c>
      <c r="AA1617" s="15">
        <f>IF($Z1617="","",IF($Z1617="×",0,IF($Z1617="○",ROUNDDOWN($E1617*設定!$C$4,0),ROUNDDOWN($E1617*ROUND((9*$Y1617-9*$E1617)/(10*$E1617),4),0))))</f>
        <v/>
      </c>
      <c r="AB1617" s="13" t="n"/>
      <c r="AC1617" s="15">
        <f>IF($B1617="","",IF($AB1617&lt;&gt;"",$AB1617,IF($AA1617="","",IF($AA1617&lt;=設定!$C$3,0,$AA1617))))</f>
        <v/>
      </c>
      <c r="AD1617" s="14">
        <f>IF($B1617="","",IF(AND($AE1617&lt;&gt;"",$AG1617="",$AJ1617=""),"保留中",IF($AJ1617&lt;&gt;"",IF(N($AC1617)&gt;0,"支給済","不支給"),IF($AC1617="","要確認",IF($AC1617=0,"不支給","未処理")))))</f>
        <v/>
      </c>
      <c r="AE1617" s="12" t="n"/>
      <c r="AF1617" s="11" t="n"/>
      <c r="AG1617" s="11" t="n"/>
      <c r="AH1617" s="11" t="n"/>
      <c r="AI1617" s="14">
        <f>IF(AND($AD1617="保留中",$AF1617&lt;&gt;""),TODAY()-$AF1617,"")</f>
        <v/>
      </c>
      <c r="AJ1617" s="12" t="n"/>
      <c r="AK1617" s="14">
        <f>IF($B1617="","",IF($AO1617="","対象年月が未入力／","")&amp;IF($B1617="","",IF($AN1617="","職員マスタに未登録の職員番号／",IF($Y1617="","標準報酬月額が未登録／","")&amp;IF(AND($AO1617&lt;&gt;"",OR(AND(INDEX(職員マスタ!$G$6:$G$405,$AN1617)&lt;&gt;"",INDEX(職員マスタ!$G$6:$G$405,$AN1617)&gt;EOMONTH($AO1617,0)),AND(INDEX(職員マスタ!$H$6:$H$405,$AN1617)&lt;&gt;"",INDEX(職員マスタ!$H$6:$H$405,$AN1617)&lt;$AO1617))),"対象月が時短期間外／","")&amp;IF(AND(INDEX(職員マスタ!$F$6:$F$405,$AN1617)&lt;&gt;"",$AO1617&lt;&gt;"",INDEX(職員マスタ!$F$6:$F$405,$AN1617)&lt;$AO1617),"対象月に子が2歳到達済／","")&amp;IF(AND($H1617&lt;&gt;"",INDEX(職員マスタ!$B$6:$B$405,$AN1617)&lt;&gt;"",SUBSTITUTE(SUBSTITUTE($H1617," ","")," ","")&lt;&gt;SUBSTITUTE(SUBSTITUTE(INDEX(職員マスタ!$B$6:$B$405,$AN1617)," ","")," ","")),"氏名がマスタと相違／","")&amp;IF(AND($Q1617&lt;&gt;"",INDEX(職員マスタ!$E$6:$E$405,$AN1617)&lt;&gt;"",$Q1617&lt;&gt;INDEX(職員マスタ!$E$6:$E$405,$AN1617)),"子の生年月日がマスタと相違／","")&amp;IF(AND($L1617&lt;&gt;"",INDEX(職員マスタ!$G$6:$G$405,$AN1617)&lt;&gt;"",$L1617&lt;&gt;INDEX(職員マスタ!$G$6:$G$405,$AN1617)),"時短開始日がマスタと相違／","")&amp;IF(AND($M1617&lt;&gt;"",INDEX(職員マスタ!$H$6:$H$405,$AN1617)&lt;&gt;"",$M1617&lt;&gt;INDEX(職員マスタ!$H$6:$H$405,$AN1617)),"時短終了日がマスタと相違／","")))&amp;IF(AND($B1617&lt;&gt;"",$E1617=""),"報酬額が未入力／","")&amp;IF(N($U1617)&gt;0,"申請書に入力エラーが残っています／","")&amp;IF(AND($B1617&lt;&gt;"",$AO1617&lt;&gt;""),IF(COUNTIFS($B$6:$B$3005,$B1617,$C$6:$C$3005,$C1617,$D$6:$D$3005,$D1617)&gt;1,"同じ月の請求が重複しています／",""),"")&amp;IF(AND(N($E1617)&gt;0,$Z1617&lt;&gt;"",$Z1617&lt;&gt;"×",$AC1617=0,$AB1617=""),"計算額が下限以下のため不支給／",""))</f>
        <v/>
      </c>
      <c r="AL1617" s="12" t="n"/>
      <c r="AM1617" s="14">
        <f>IF($AD1617="保留中",COUNTIF($AD$6:$AD1617,"保留中"),"")</f>
        <v/>
      </c>
      <c r="AN1617" s="14">
        <f>IF($AO1617="","",IF(SUMPRODUCT(MAX((職員マスタ!$A$6:$A$405=$B1617)*(((職員マスタ!$G$6:$G$405="")+(職員マスタ!$G$6:$G$405&lt;=EOMONTH($AO1617,0)))&gt;0)*(((職員マスタ!$H$6:$H$405="")+(職員マスタ!$H$6:$H$405&gt;=$AO1617))&gt;0)*(ROW(職員マスタ!$A$6:$A$405)-5)))&gt;0,SUMPRODUCT(MAX((職員マスタ!$A$6:$A$405=$B1617)*(((職員マスタ!$G$6:$G$405="")+(職員マスタ!$G$6:$G$405&lt;=EOMONTH($AO1617,0)))&gt;0)*(((職員マスタ!$H$6:$H$405="")+(職員マスタ!$H$6:$H$405&gt;=$AO1617))&gt;0)*(ROW(職員マスタ!$A$6:$A$405)-5))),IFERROR(MATCH($B1617,職員マスタ!$A$6:$A$405,0),"")))</f>
        <v/>
      </c>
      <c r="AO1617" s="16">
        <f>IF(OR($B1617="",$C1617="",$D1617=""),"",DATE($C1617+2018,$D1617,1))</f>
        <v/>
      </c>
    </row>
    <row r="1618">
      <c r="A1618" s="11" t="n"/>
      <c r="B1618" s="12" t="n"/>
      <c r="C1618" s="12" t="n"/>
      <c r="D1618" s="12" t="n"/>
      <c r="E1618" s="13" t="n"/>
      <c r="F1618" s="12" t="n"/>
      <c r="G1618" s="13" t="n"/>
      <c r="H1618" s="12" t="n"/>
      <c r="I1618" s="12" t="n"/>
      <c r="J1618" s="12" t="n"/>
      <c r="K1618" s="12" t="n"/>
      <c r="L1618" s="11" t="n"/>
      <c r="M1618" s="11" t="n"/>
      <c r="N1618" s="11" t="n"/>
      <c r="O1618" s="11" t="n"/>
      <c r="P1618" s="12" t="n"/>
      <c r="Q1618" s="11" t="n"/>
      <c r="R1618" s="12" t="n"/>
      <c r="S1618" s="11" t="n"/>
      <c r="T1618" s="12" t="n"/>
      <c r="U1618" s="12" t="n"/>
      <c r="V1618" s="14">
        <f>IF($AN1618="",IF($B1618="","",$H1618),IF(INDEX(職員マスタ!$B$6:$B$405,$AN1618)="",$H1618,INDEX(職員マスタ!$B$6:$B$405,$AN1618)))</f>
        <v/>
      </c>
      <c r="W1618" s="14">
        <f>IF($AN1618="",IF($B1618="","",$R1618),IF(INDEX(職員マスタ!$C$6:$C$405,$AN1618)="",$R1618,INDEX(職員マスタ!$C$6:$C$405,$AN1618)))</f>
        <v/>
      </c>
      <c r="X1618" s="14">
        <f>IF($AO1618="","","R"&amp;$C1618&amp;"."&amp;$D1618)</f>
        <v/>
      </c>
      <c r="Y1618" s="15">
        <f>IF($AN1618="","",IF(INDEX(職員マスタ!$K$6:$K$405,$AN1618)="","",INDEX(職員マスタ!$K$6:$K$405,$AN1618)))</f>
        <v/>
      </c>
      <c r="Z1618" s="14">
        <f>IF(OR($E1618="",$Y1618=""),"",IF($E1618&gt;=$Y1618,"×",IF($E1618&gt;=$Y1618*設定!$C$5,"△","○")))</f>
        <v/>
      </c>
      <c r="AA1618" s="15">
        <f>IF($Z1618="","",IF($Z1618="×",0,IF($Z1618="○",ROUNDDOWN($E1618*設定!$C$4,0),ROUNDDOWN($E1618*ROUND((9*$Y1618-9*$E1618)/(10*$E1618),4),0))))</f>
        <v/>
      </c>
      <c r="AB1618" s="13" t="n"/>
      <c r="AC1618" s="15">
        <f>IF($B1618="","",IF($AB1618&lt;&gt;"",$AB1618,IF($AA1618="","",IF($AA1618&lt;=設定!$C$3,0,$AA1618))))</f>
        <v/>
      </c>
      <c r="AD1618" s="14">
        <f>IF($B1618="","",IF(AND($AE1618&lt;&gt;"",$AG1618="",$AJ1618=""),"保留中",IF($AJ1618&lt;&gt;"",IF(N($AC1618)&gt;0,"支給済","不支給"),IF($AC1618="","要確認",IF($AC1618=0,"不支給","未処理")))))</f>
        <v/>
      </c>
      <c r="AE1618" s="12" t="n"/>
      <c r="AF1618" s="11" t="n"/>
      <c r="AG1618" s="11" t="n"/>
      <c r="AH1618" s="11" t="n"/>
      <c r="AI1618" s="14">
        <f>IF(AND($AD1618="保留中",$AF1618&lt;&gt;""),TODAY()-$AF1618,"")</f>
        <v/>
      </c>
      <c r="AJ1618" s="12" t="n"/>
      <c r="AK1618" s="14">
        <f>IF($B1618="","",IF($AO1618="","対象年月が未入力／","")&amp;IF($B1618="","",IF($AN1618="","職員マスタに未登録の職員番号／",IF($Y1618="","標準報酬月額が未登録／","")&amp;IF(AND($AO1618&lt;&gt;"",OR(AND(INDEX(職員マスタ!$G$6:$G$405,$AN1618)&lt;&gt;"",INDEX(職員マスタ!$G$6:$G$405,$AN1618)&gt;EOMONTH($AO1618,0)),AND(INDEX(職員マスタ!$H$6:$H$405,$AN1618)&lt;&gt;"",INDEX(職員マスタ!$H$6:$H$405,$AN1618)&lt;$AO1618))),"対象月が時短期間外／","")&amp;IF(AND(INDEX(職員マスタ!$F$6:$F$405,$AN1618)&lt;&gt;"",$AO1618&lt;&gt;"",INDEX(職員マスタ!$F$6:$F$405,$AN1618)&lt;$AO1618),"対象月に子が2歳到達済／","")&amp;IF(AND($H1618&lt;&gt;"",INDEX(職員マスタ!$B$6:$B$405,$AN1618)&lt;&gt;"",SUBSTITUTE(SUBSTITUTE($H1618," ","")," ","")&lt;&gt;SUBSTITUTE(SUBSTITUTE(INDEX(職員マスタ!$B$6:$B$405,$AN1618)," ","")," ","")),"氏名がマスタと相違／","")&amp;IF(AND($Q1618&lt;&gt;"",INDEX(職員マスタ!$E$6:$E$405,$AN1618)&lt;&gt;"",$Q1618&lt;&gt;INDEX(職員マスタ!$E$6:$E$405,$AN1618)),"子の生年月日がマスタと相違／","")&amp;IF(AND($L1618&lt;&gt;"",INDEX(職員マスタ!$G$6:$G$405,$AN1618)&lt;&gt;"",$L1618&lt;&gt;INDEX(職員マスタ!$G$6:$G$405,$AN1618)),"時短開始日がマスタと相違／","")&amp;IF(AND($M1618&lt;&gt;"",INDEX(職員マスタ!$H$6:$H$405,$AN1618)&lt;&gt;"",$M1618&lt;&gt;INDEX(職員マスタ!$H$6:$H$405,$AN1618)),"時短終了日がマスタと相違／","")))&amp;IF(AND($B1618&lt;&gt;"",$E1618=""),"報酬額が未入力／","")&amp;IF(N($U1618)&gt;0,"申請書に入力エラーが残っています／","")&amp;IF(AND($B1618&lt;&gt;"",$AO1618&lt;&gt;""),IF(COUNTIFS($B$6:$B$3005,$B1618,$C$6:$C$3005,$C1618,$D$6:$D$3005,$D1618)&gt;1,"同じ月の請求が重複しています／",""),"")&amp;IF(AND(N($E1618)&gt;0,$Z1618&lt;&gt;"",$Z1618&lt;&gt;"×",$AC1618=0,$AB1618=""),"計算額が下限以下のため不支給／",""))</f>
        <v/>
      </c>
      <c r="AL1618" s="12" t="n"/>
      <c r="AM1618" s="14">
        <f>IF($AD1618="保留中",COUNTIF($AD$6:$AD1618,"保留中"),"")</f>
        <v/>
      </c>
      <c r="AN1618" s="14">
        <f>IF($AO1618="","",IF(SUMPRODUCT(MAX((職員マスタ!$A$6:$A$405=$B1618)*(((職員マスタ!$G$6:$G$405="")+(職員マスタ!$G$6:$G$405&lt;=EOMONTH($AO1618,0)))&gt;0)*(((職員マスタ!$H$6:$H$405="")+(職員マスタ!$H$6:$H$405&gt;=$AO1618))&gt;0)*(ROW(職員マスタ!$A$6:$A$405)-5)))&gt;0,SUMPRODUCT(MAX((職員マスタ!$A$6:$A$405=$B1618)*(((職員マスタ!$G$6:$G$405="")+(職員マスタ!$G$6:$G$405&lt;=EOMONTH($AO1618,0)))&gt;0)*(((職員マスタ!$H$6:$H$405="")+(職員マスタ!$H$6:$H$405&gt;=$AO1618))&gt;0)*(ROW(職員マスタ!$A$6:$A$405)-5))),IFERROR(MATCH($B1618,職員マスタ!$A$6:$A$405,0),"")))</f>
        <v/>
      </c>
      <c r="AO1618" s="16">
        <f>IF(OR($B1618="",$C1618="",$D1618=""),"",DATE($C1618+2018,$D1618,1))</f>
        <v/>
      </c>
    </row>
    <row r="1619">
      <c r="A1619" s="11" t="n"/>
      <c r="B1619" s="12" t="n"/>
      <c r="C1619" s="12" t="n"/>
      <c r="D1619" s="12" t="n"/>
      <c r="E1619" s="13" t="n"/>
      <c r="F1619" s="12" t="n"/>
      <c r="G1619" s="13" t="n"/>
      <c r="H1619" s="12" t="n"/>
      <c r="I1619" s="12" t="n"/>
      <c r="J1619" s="12" t="n"/>
      <c r="K1619" s="12" t="n"/>
      <c r="L1619" s="11" t="n"/>
      <c r="M1619" s="11" t="n"/>
      <c r="N1619" s="11" t="n"/>
      <c r="O1619" s="11" t="n"/>
      <c r="P1619" s="12" t="n"/>
      <c r="Q1619" s="11" t="n"/>
      <c r="R1619" s="12" t="n"/>
      <c r="S1619" s="11" t="n"/>
      <c r="T1619" s="12" t="n"/>
      <c r="U1619" s="12" t="n"/>
      <c r="V1619" s="14">
        <f>IF($AN1619="",IF($B1619="","",$H1619),IF(INDEX(職員マスタ!$B$6:$B$405,$AN1619)="",$H1619,INDEX(職員マスタ!$B$6:$B$405,$AN1619)))</f>
        <v/>
      </c>
      <c r="W1619" s="14">
        <f>IF($AN1619="",IF($B1619="","",$R1619),IF(INDEX(職員マスタ!$C$6:$C$405,$AN1619)="",$R1619,INDEX(職員マスタ!$C$6:$C$405,$AN1619)))</f>
        <v/>
      </c>
      <c r="X1619" s="14">
        <f>IF($AO1619="","","R"&amp;$C1619&amp;"."&amp;$D1619)</f>
        <v/>
      </c>
      <c r="Y1619" s="15">
        <f>IF($AN1619="","",IF(INDEX(職員マスタ!$K$6:$K$405,$AN1619)="","",INDEX(職員マスタ!$K$6:$K$405,$AN1619)))</f>
        <v/>
      </c>
      <c r="Z1619" s="14">
        <f>IF(OR($E1619="",$Y1619=""),"",IF($E1619&gt;=$Y1619,"×",IF($E1619&gt;=$Y1619*設定!$C$5,"△","○")))</f>
        <v/>
      </c>
      <c r="AA1619" s="15">
        <f>IF($Z1619="","",IF($Z1619="×",0,IF($Z1619="○",ROUNDDOWN($E1619*設定!$C$4,0),ROUNDDOWN($E1619*ROUND((9*$Y1619-9*$E1619)/(10*$E1619),4),0))))</f>
        <v/>
      </c>
      <c r="AB1619" s="13" t="n"/>
      <c r="AC1619" s="15">
        <f>IF($B1619="","",IF($AB1619&lt;&gt;"",$AB1619,IF($AA1619="","",IF($AA1619&lt;=設定!$C$3,0,$AA1619))))</f>
        <v/>
      </c>
      <c r="AD1619" s="14">
        <f>IF($B1619="","",IF(AND($AE1619&lt;&gt;"",$AG1619="",$AJ1619=""),"保留中",IF($AJ1619&lt;&gt;"",IF(N($AC1619)&gt;0,"支給済","不支給"),IF($AC1619="","要確認",IF($AC1619=0,"不支給","未処理")))))</f>
        <v/>
      </c>
      <c r="AE1619" s="12" t="n"/>
      <c r="AF1619" s="11" t="n"/>
      <c r="AG1619" s="11" t="n"/>
      <c r="AH1619" s="11" t="n"/>
      <c r="AI1619" s="14">
        <f>IF(AND($AD1619="保留中",$AF1619&lt;&gt;""),TODAY()-$AF1619,"")</f>
        <v/>
      </c>
      <c r="AJ1619" s="12" t="n"/>
      <c r="AK1619" s="14">
        <f>IF($B1619="","",IF($AO1619="","対象年月が未入力／","")&amp;IF($B1619="","",IF($AN1619="","職員マスタに未登録の職員番号／",IF($Y1619="","標準報酬月額が未登録／","")&amp;IF(AND($AO1619&lt;&gt;"",OR(AND(INDEX(職員マスタ!$G$6:$G$405,$AN1619)&lt;&gt;"",INDEX(職員マスタ!$G$6:$G$405,$AN1619)&gt;EOMONTH($AO1619,0)),AND(INDEX(職員マスタ!$H$6:$H$405,$AN1619)&lt;&gt;"",INDEX(職員マスタ!$H$6:$H$405,$AN1619)&lt;$AO1619))),"対象月が時短期間外／","")&amp;IF(AND(INDEX(職員マスタ!$F$6:$F$405,$AN1619)&lt;&gt;"",$AO1619&lt;&gt;"",INDEX(職員マスタ!$F$6:$F$405,$AN1619)&lt;$AO1619),"対象月に子が2歳到達済／","")&amp;IF(AND($H1619&lt;&gt;"",INDEX(職員マスタ!$B$6:$B$405,$AN1619)&lt;&gt;"",SUBSTITUTE(SUBSTITUTE($H1619," ","")," ","")&lt;&gt;SUBSTITUTE(SUBSTITUTE(INDEX(職員マスタ!$B$6:$B$405,$AN1619)," ","")," ","")),"氏名がマスタと相違／","")&amp;IF(AND($Q1619&lt;&gt;"",INDEX(職員マスタ!$E$6:$E$405,$AN1619)&lt;&gt;"",$Q1619&lt;&gt;INDEX(職員マスタ!$E$6:$E$405,$AN1619)),"子の生年月日がマスタと相違／","")&amp;IF(AND($L1619&lt;&gt;"",INDEX(職員マスタ!$G$6:$G$405,$AN1619)&lt;&gt;"",$L1619&lt;&gt;INDEX(職員マスタ!$G$6:$G$405,$AN1619)),"時短開始日がマスタと相違／","")&amp;IF(AND($M1619&lt;&gt;"",INDEX(職員マスタ!$H$6:$H$405,$AN1619)&lt;&gt;"",$M1619&lt;&gt;INDEX(職員マスタ!$H$6:$H$405,$AN1619)),"時短終了日がマスタと相違／","")))&amp;IF(AND($B1619&lt;&gt;"",$E1619=""),"報酬額が未入力／","")&amp;IF(N($U1619)&gt;0,"申請書に入力エラーが残っています／","")&amp;IF(AND($B1619&lt;&gt;"",$AO1619&lt;&gt;""),IF(COUNTIFS($B$6:$B$3005,$B1619,$C$6:$C$3005,$C1619,$D$6:$D$3005,$D1619)&gt;1,"同じ月の請求が重複しています／",""),"")&amp;IF(AND(N($E1619)&gt;0,$Z1619&lt;&gt;"",$Z1619&lt;&gt;"×",$AC1619=0,$AB1619=""),"計算額が下限以下のため不支給／",""))</f>
        <v/>
      </c>
      <c r="AL1619" s="12" t="n"/>
      <c r="AM1619" s="14">
        <f>IF($AD1619="保留中",COUNTIF($AD$6:$AD1619,"保留中"),"")</f>
        <v/>
      </c>
      <c r="AN1619" s="14">
        <f>IF($AO1619="","",IF(SUMPRODUCT(MAX((職員マスタ!$A$6:$A$405=$B1619)*(((職員マスタ!$G$6:$G$405="")+(職員マスタ!$G$6:$G$405&lt;=EOMONTH($AO1619,0)))&gt;0)*(((職員マスタ!$H$6:$H$405="")+(職員マスタ!$H$6:$H$405&gt;=$AO1619))&gt;0)*(ROW(職員マスタ!$A$6:$A$405)-5)))&gt;0,SUMPRODUCT(MAX((職員マスタ!$A$6:$A$405=$B1619)*(((職員マスタ!$G$6:$G$405="")+(職員マスタ!$G$6:$G$405&lt;=EOMONTH($AO1619,0)))&gt;0)*(((職員マスタ!$H$6:$H$405="")+(職員マスタ!$H$6:$H$405&gt;=$AO1619))&gt;0)*(ROW(職員マスタ!$A$6:$A$405)-5))),IFERROR(MATCH($B1619,職員マスタ!$A$6:$A$405,0),"")))</f>
        <v/>
      </c>
      <c r="AO1619" s="16">
        <f>IF(OR($B1619="",$C1619="",$D1619=""),"",DATE($C1619+2018,$D1619,1))</f>
        <v/>
      </c>
    </row>
    <row r="1620">
      <c r="A1620" s="11" t="n"/>
      <c r="B1620" s="12" t="n"/>
      <c r="C1620" s="12" t="n"/>
      <c r="D1620" s="12" t="n"/>
      <c r="E1620" s="13" t="n"/>
      <c r="F1620" s="12" t="n"/>
      <c r="G1620" s="13" t="n"/>
      <c r="H1620" s="12" t="n"/>
      <c r="I1620" s="12" t="n"/>
      <c r="J1620" s="12" t="n"/>
      <c r="K1620" s="12" t="n"/>
      <c r="L1620" s="11" t="n"/>
      <c r="M1620" s="11" t="n"/>
      <c r="N1620" s="11" t="n"/>
      <c r="O1620" s="11" t="n"/>
      <c r="P1620" s="12" t="n"/>
      <c r="Q1620" s="11" t="n"/>
      <c r="R1620" s="12" t="n"/>
      <c r="S1620" s="11" t="n"/>
      <c r="T1620" s="12" t="n"/>
      <c r="U1620" s="12" t="n"/>
      <c r="V1620" s="14">
        <f>IF($AN1620="",IF($B1620="","",$H1620),IF(INDEX(職員マスタ!$B$6:$B$405,$AN1620)="",$H1620,INDEX(職員マスタ!$B$6:$B$405,$AN1620)))</f>
        <v/>
      </c>
      <c r="W1620" s="14">
        <f>IF($AN1620="",IF($B1620="","",$R1620),IF(INDEX(職員マスタ!$C$6:$C$405,$AN1620)="",$R1620,INDEX(職員マスタ!$C$6:$C$405,$AN1620)))</f>
        <v/>
      </c>
      <c r="X1620" s="14">
        <f>IF($AO1620="","","R"&amp;$C1620&amp;"."&amp;$D1620)</f>
        <v/>
      </c>
      <c r="Y1620" s="15">
        <f>IF($AN1620="","",IF(INDEX(職員マスタ!$K$6:$K$405,$AN1620)="","",INDEX(職員マスタ!$K$6:$K$405,$AN1620)))</f>
        <v/>
      </c>
      <c r="Z1620" s="14">
        <f>IF(OR($E1620="",$Y1620=""),"",IF($E1620&gt;=$Y1620,"×",IF($E1620&gt;=$Y1620*設定!$C$5,"△","○")))</f>
        <v/>
      </c>
      <c r="AA1620" s="15">
        <f>IF($Z1620="","",IF($Z1620="×",0,IF($Z1620="○",ROUNDDOWN($E1620*設定!$C$4,0),ROUNDDOWN($E1620*ROUND((9*$Y1620-9*$E1620)/(10*$E1620),4),0))))</f>
        <v/>
      </c>
      <c r="AB1620" s="13" t="n"/>
      <c r="AC1620" s="15">
        <f>IF($B1620="","",IF($AB1620&lt;&gt;"",$AB1620,IF($AA1620="","",IF($AA1620&lt;=設定!$C$3,0,$AA1620))))</f>
        <v/>
      </c>
      <c r="AD1620" s="14">
        <f>IF($B1620="","",IF(AND($AE1620&lt;&gt;"",$AG1620="",$AJ1620=""),"保留中",IF($AJ1620&lt;&gt;"",IF(N($AC1620)&gt;0,"支給済","不支給"),IF($AC1620="","要確認",IF($AC1620=0,"不支給","未処理")))))</f>
        <v/>
      </c>
      <c r="AE1620" s="12" t="n"/>
      <c r="AF1620" s="11" t="n"/>
      <c r="AG1620" s="11" t="n"/>
      <c r="AH1620" s="11" t="n"/>
      <c r="AI1620" s="14">
        <f>IF(AND($AD1620="保留中",$AF1620&lt;&gt;""),TODAY()-$AF1620,"")</f>
        <v/>
      </c>
      <c r="AJ1620" s="12" t="n"/>
      <c r="AK1620" s="14">
        <f>IF($B1620="","",IF($AO1620="","対象年月が未入力／","")&amp;IF($B1620="","",IF($AN1620="","職員マスタに未登録の職員番号／",IF($Y1620="","標準報酬月額が未登録／","")&amp;IF(AND($AO1620&lt;&gt;"",OR(AND(INDEX(職員マスタ!$G$6:$G$405,$AN1620)&lt;&gt;"",INDEX(職員マスタ!$G$6:$G$405,$AN1620)&gt;EOMONTH($AO1620,0)),AND(INDEX(職員マスタ!$H$6:$H$405,$AN1620)&lt;&gt;"",INDEX(職員マスタ!$H$6:$H$405,$AN1620)&lt;$AO1620))),"対象月が時短期間外／","")&amp;IF(AND(INDEX(職員マスタ!$F$6:$F$405,$AN1620)&lt;&gt;"",$AO1620&lt;&gt;"",INDEX(職員マスタ!$F$6:$F$405,$AN1620)&lt;$AO1620),"対象月に子が2歳到達済／","")&amp;IF(AND($H1620&lt;&gt;"",INDEX(職員マスタ!$B$6:$B$405,$AN1620)&lt;&gt;"",SUBSTITUTE(SUBSTITUTE($H1620," ","")," ","")&lt;&gt;SUBSTITUTE(SUBSTITUTE(INDEX(職員マスタ!$B$6:$B$405,$AN1620)," ","")," ","")),"氏名がマスタと相違／","")&amp;IF(AND($Q1620&lt;&gt;"",INDEX(職員マスタ!$E$6:$E$405,$AN1620)&lt;&gt;"",$Q1620&lt;&gt;INDEX(職員マスタ!$E$6:$E$405,$AN1620)),"子の生年月日がマスタと相違／","")&amp;IF(AND($L1620&lt;&gt;"",INDEX(職員マスタ!$G$6:$G$405,$AN1620)&lt;&gt;"",$L1620&lt;&gt;INDEX(職員マスタ!$G$6:$G$405,$AN1620)),"時短開始日がマスタと相違／","")&amp;IF(AND($M1620&lt;&gt;"",INDEX(職員マスタ!$H$6:$H$405,$AN1620)&lt;&gt;"",$M1620&lt;&gt;INDEX(職員マスタ!$H$6:$H$405,$AN1620)),"時短終了日がマスタと相違／","")))&amp;IF(AND($B1620&lt;&gt;"",$E1620=""),"報酬額が未入力／","")&amp;IF(N($U1620)&gt;0,"申請書に入力エラーが残っています／","")&amp;IF(AND($B1620&lt;&gt;"",$AO1620&lt;&gt;""),IF(COUNTIFS($B$6:$B$3005,$B1620,$C$6:$C$3005,$C1620,$D$6:$D$3005,$D1620)&gt;1,"同じ月の請求が重複しています／",""),"")&amp;IF(AND(N($E1620)&gt;0,$Z1620&lt;&gt;"",$Z1620&lt;&gt;"×",$AC1620=0,$AB1620=""),"計算額が下限以下のため不支給／",""))</f>
        <v/>
      </c>
      <c r="AL1620" s="12" t="n"/>
      <c r="AM1620" s="14">
        <f>IF($AD1620="保留中",COUNTIF($AD$6:$AD1620,"保留中"),"")</f>
        <v/>
      </c>
      <c r="AN1620" s="14">
        <f>IF($AO1620="","",IF(SUMPRODUCT(MAX((職員マスタ!$A$6:$A$405=$B1620)*(((職員マスタ!$G$6:$G$405="")+(職員マスタ!$G$6:$G$405&lt;=EOMONTH($AO1620,0)))&gt;0)*(((職員マスタ!$H$6:$H$405="")+(職員マスタ!$H$6:$H$405&gt;=$AO1620))&gt;0)*(ROW(職員マスタ!$A$6:$A$405)-5)))&gt;0,SUMPRODUCT(MAX((職員マスタ!$A$6:$A$405=$B1620)*(((職員マスタ!$G$6:$G$405="")+(職員マスタ!$G$6:$G$405&lt;=EOMONTH($AO1620,0)))&gt;0)*(((職員マスタ!$H$6:$H$405="")+(職員マスタ!$H$6:$H$405&gt;=$AO1620))&gt;0)*(ROW(職員マスタ!$A$6:$A$405)-5))),IFERROR(MATCH($B1620,職員マスタ!$A$6:$A$405,0),"")))</f>
        <v/>
      </c>
      <c r="AO1620" s="16">
        <f>IF(OR($B1620="",$C1620="",$D1620=""),"",DATE($C1620+2018,$D1620,1))</f>
        <v/>
      </c>
    </row>
    <row r="1621">
      <c r="A1621" s="11" t="n"/>
      <c r="B1621" s="12" t="n"/>
      <c r="C1621" s="12" t="n"/>
      <c r="D1621" s="12" t="n"/>
      <c r="E1621" s="13" t="n"/>
      <c r="F1621" s="12" t="n"/>
      <c r="G1621" s="13" t="n"/>
      <c r="H1621" s="12" t="n"/>
      <c r="I1621" s="12" t="n"/>
      <c r="J1621" s="12" t="n"/>
      <c r="K1621" s="12" t="n"/>
      <c r="L1621" s="11" t="n"/>
      <c r="M1621" s="11" t="n"/>
      <c r="N1621" s="11" t="n"/>
      <c r="O1621" s="11" t="n"/>
      <c r="P1621" s="12" t="n"/>
      <c r="Q1621" s="11" t="n"/>
      <c r="R1621" s="12" t="n"/>
      <c r="S1621" s="11" t="n"/>
      <c r="T1621" s="12" t="n"/>
      <c r="U1621" s="12" t="n"/>
      <c r="V1621" s="14">
        <f>IF($AN1621="",IF($B1621="","",$H1621),IF(INDEX(職員マスタ!$B$6:$B$405,$AN1621)="",$H1621,INDEX(職員マスタ!$B$6:$B$405,$AN1621)))</f>
        <v/>
      </c>
      <c r="W1621" s="14">
        <f>IF($AN1621="",IF($B1621="","",$R1621),IF(INDEX(職員マスタ!$C$6:$C$405,$AN1621)="",$R1621,INDEX(職員マスタ!$C$6:$C$405,$AN1621)))</f>
        <v/>
      </c>
      <c r="X1621" s="14">
        <f>IF($AO1621="","","R"&amp;$C1621&amp;"."&amp;$D1621)</f>
        <v/>
      </c>
      <c r="Y1621" s="15">
        <f>IF($AN1621="","",IF(INDEX(職員マスタ!$K$6:$K$405,$AN1621)="","",INDEX(職員マスタ!$K$6:$K$405,$AN1621)))</f>
        <v/>
      </c>
      <c r="Z1621" s="14">
        <f>IF(OR($E1621="",$Y1621=""),"",IF($E1621&gt;=$Y1621,"×",IF($E1621&gt;=$Y1621*設定!$C$5,"△","○")))</f>
        <v/>
      </c>
      <c r="AA1621" s="15">
        <f>IF($Z1621="","",IF($Z1621="×",0,IF($Z1621="○",ROUNDDOWN($E1621*設定!$C$4,0),ROUNDDOWN($E1621*ROUND((9*$Y1621-9*$E1621)/(10*$E1621),4),0))))</f>
        <v/>
      </c>
      <c r="AB1621" s="13" t="n"/>
      <c r="AC1621" s="15">
        <f>IF($B1621="","",IF($AB1621&lt;&gt;"",$AB1621,IF($AA1621="","",IF($AA1621&lt;=設定!$C$3,0,$AA1621))))</f>
        <v/>
      </c>
      <c r="AD1621" s="14">
        <f>IF($B1621="","",IF(AND($AE1621&lt;&gt;"",$AG1621="",$AJ1621=""),"保留中",IF($AJ1621&lt;&gt;"",IF(N($AC1621)&gt;0,"支給済","不支給"),IF($AC1621="","要確認",IF($AC1621=0,"不支給","未処理")))))</f>
        <v/>
      </c>
      <c r="AE1621" s="12" t="n"/>
      <c r="AF1621" s="11" t="n"/>
      <c r="AG1621" s="11" t="n"/>
      <c r="AH1621" s="11" t="n"/>
      <c r="AI1621" s="14">
        <f>IF(AND($AD1621="保留中",$AF1621&lt;&gt;""),TODAY()-$AF1621,"")</f>
        <v/>
      </c>
      <c r="AJ1621" s="12" t="n"/>
      <c r="AK1621" s="14">
        <f>IF($B1621="","",IF($AO1621="","対象年月が未入力／","")&amp;IF($B1621="","",IF($AN1621="","職員マスタに未登録の職員番号／",IF($Y1621="","標準報酬月額が未登録／","")&amp;IF(AND($AO1621&lt;&gt;"",OR(AND(INDEX(職員マスタ!$G$6:$G$405,$AN1621)&lt;&gt;"",INDEX(職員マスタ!$G$6:$G$405,$AN1621)&gt;EOMONTH($AO1621,0)),AND(INDEX(職員マスタ!$H$6:$H$405,$AN1621)&lt;&gt;"",INDEX(職員マスタ!$H$6:$H$405,$AN1621)&lt;$AO1621))),"対象月が時短期間外／","")&amp;IF(AND(INDEX(職員マスタ!$F$6:$F$405,$AN1621)&lt;&gt;"",$AO1621&lt;&gt;"",INDEX(職員マスタ!$F$6:$F$405,$AN1621)&lt;$AO1621),"対象月に子が2歳到達済／","")&amp;IF(AND($H1621&lt;&gt;"",INDEX(職員マスタ!$B$6:$B$405,$AN1621)&lt;&gt;"",SUBSTITUTE(SUBSTITUTE($H1621," ","")," ","")&lt;&gt;SUBSTITUTE(SUBSTITUTE(INDEX(職員マスタ!$B$6:$B$405,$AN1621)," ","")," ","")),"氏名がマスタと相違／","")&amp;IF(AND($Q1621&lt;&gt;"",INDEX(職員マスタ!$E$6:$E$405,$AN1621)&lt;&gt;"",$Q1621&lt;&gt;INDEX(職員マスタ!$E$6:$E$405,$AN1621)),"子の生年月日がマスタと相違／","")&amp;IF(AND($L1621&lt;&gt;"",INDEX(職員マスタ!$G$6:$G$405,$AN1621)&lt;&gt;"",$L1621&lt;&gt;INDEX(職員マスタ!$G$6:$G$405,$AN1621)),"時短開始日がマスタと相違／","")&amp;IF(AND($M1621&lt;&gt;"",INDEX(職員マスタ!$H$6:$H$405,$AN1621)&lt;&gt;"",$M1621&lt;&gt;INDEX(職員マスタ!$H$6:$H$405,$AN1621)),"時短終了日がマスタと相違／","")))&amp;IF(AND($B1621&lt;&gt;"",$E1621=""),"報酬額が未入力／","")&amp;IF(N($U1621)&gt;0,"申請書に入力エラーが残っています／","")&amp;IF(AND($B1621&lt;&gt;"",$AO1621&lt;&gt;""),IF(COUNTIFS($B$6:$B$3005,$B1621,$C$6:$C$3005,$C1621,$D$6:$D$3005,$D1621)&gt;1,"同じ月の請求が重複しています／",""),"")&amp;IF(AND(N($E1621)&gt;0,$Z1621&lt;&gt;"",$Z1621&lt;&gt;"×",$AC1621=0,$AB1621=""),"計算額が下限以下のため不支給／",""))</f>
        <v/>
      </c>
      <c r="AL1621" s="12" t="n"/>
      <c r="AM1621" s="14">
        <f>IF($AD1621="保留中",COUNTIF($AD$6:$AD1621,"保留中"),"")</f>
        <v/>
      </c>
      <c r="AN1621" s="14">
        <f>IF($AO1621="","",IF(SUMPRODUCT(MAX((職員マスタ!$A$6:$A$405=$B1621)*(((職員マスタ!$G$6:$G$405="")+(職員マスタ!$G$6:$G$405&lt;=EOMONTH($AO1621,0)))&gt;0)*(((職員マスタ!$H$6:$H$405="")+(職員マスタ!$H$6:$H$405&gt;=$AO1621))&gt;0)*(ROW(職員マスタ!$A$6:$A$405)-5)))&gt;0,SUMPRODUCT(MAX((職員マスタ!$A$6:$A$405=$B1621)*(((職員マスタ!$G$6:$G$405="")+(職員マスタ!$G$6:$G$405&lt;=EOMONTH($AO1621,0)))&gt;0)*(((職員マスタ!$H$6:$H$405="")+(職員マスタ!$H$6:$H$405&gt;=$AO1621))&gt;0)*(ROW(職員マスタ!$A$6:$A$405)-5))),IFERROR(MATCH($B1621,職員マスタ!$A$6:$A$405,0),"")))</f>
        <v/>
      </c>
      <c r="AO1621" s="16">
        <f>IF(OR($B1621="",$C1621="",$D1621=""),"",DATE($C1621+2018,$D1621,1))</f>
        <v/>
      </c>
    </row>
    <row r="1622">
      <c r="A1622" s="11" t="n"/>
      <c r="B1622" s="12" t="n"/>
      <c r="C1622" s="12" t="n"/>
      <c r="D1622" s="12" t="n"/>
      <c r="E1622" s="13" t="n"/>
      <c r="F1622" s="12" t="n"/>
      <c r="G1622" s="13" t="n"/>
      <c r="H1622" s="12" t="n"/>
      <c r="I1622" s="12" t="n"/>
      <c r="J1622" s="12" t="n"/>
      <c r="K1622" s="12" t="n"/>
      <c r="L1622" s="11" t="n"/>
      <c r="M1622" s="11" t="n"/>
      <c r="N1622" s="11" t="n"/>
      <c r="O1622" s="11" t="n"/>
      <c r="P1622" s="12" t="n"/>
      <c r="Q1622" s="11" t="n"/>
      <c r="R1622" s="12" t="n"/>
      <c r="S1622" s="11" t="n"/>
      <c r="T1622" s="12" t="n"/>
      <c r="U1622" s="12" t="n"/>
      <c r="V1622" s="14">
        <f>IF($AN1622="",IF($B1622="","",$H1622),IF(INDEX(職員マスタ!$B$6:$B$405,$AN1622)="",$H1622,INDEX(職員マスタ!$B$6:$B$405,$AN1622)))</f>
        <v/>
      </c>
      <c r="W1622" s="14">
        <f>IF($AN1622="",IF($B1622="","",$R1622),IF(INDEX(職員マスタ!$C$6:$C$405,$AN1622)="",$R1622,INDEX(職員マスタ!$C$6:$C$405,$AN1622)))</f>
        <v/>
      </c>
      <c r="X1622" s="14">
        <f>IF($AO1622="","","R"&amp;$C1622&amp;"."&amp;$D1622)</f>
        <v/>
      </c>
      <c r="Y1622" s="15">
        <f>IF($AN1622="","",IF(INDEX(職員マスタ!$K$6:$K$405,$AN1622)="","",INDEX(職員マスタ!$K$6:$K$405,$AN1622)))</f>
        <v/>
      </c>
      <c r="Z1622" s="14">
        <f>IF(OR($E1622="",$Y1622=""),"",IF($E1622&gt;=$Y1622,"×",IF($E1622&gt;=$Y1622*設定!$C$5,"△","○")))</f>
        <v/>
      </c>
      <c r="AA1622" s="15">
        <f>IF($Z1622="","",IF($Z1622="×",0,IF($Z1622="○",ROUNDDOWN($E1622*設定!$C$4,0),ROUNDDOWN($E1622*ROUND((9*$Y1622-9*$E1622)/(10*$E1622),4),0))))</f>
        <v/>
      </c>
      <c r="AB1622" s="13" t="n"/>
      <c r="AC1622" s="15">
        <f>IF($B1622="","",IF($AB1622&lt;&gt;"",$AB1622,IF($AA1622="","",IF($AA1622&lt;=設定!$C$3,0,$AA1622))))</f>
        <v/>
      </c>
      <c r="AD1622" s="14">
        <f>IF($B1622="","",IF(AND($AE1622&lt;&gt;"",$AG1622="",$AJ1622=""),"保留中",IF($AJ1622&lt;&gt;"",IF(N($AC1622)&gt;0,"支給済","不支給"),IF($AC1622="","要確認",IF($AC1622=0,"不支給","未処理")))))</f>
        <v/>
      </c>
      <c r="AE1622" s="12" t="n"/>
      <c r="AF1622" s="11" t="n"/>
      <c r="AG1622" s="11" t="n"/>
      <c r="AH1622" s="11" t="n"/>
      <c r="AI1622" s="14">
        <f>IF(AND($AD1622="保留中",$AF1622&lt;&gt;""),TODAY()-$AF1622,"")</f>
        <v/>
      </c>
      <c r="AJ1622" s="12" t="n"/>
      <c r="AK1622" s="14">
        <f>IF($B1622="","",IF($AO1622="","対象年月が未入力／","")&amp;IF($B1622="","",IF($AN1622="","職員マスタに未登録の職員番号／",IF($Y1622="","標準報酬月額が未登録／","")&amp;IF(AND($AO1622&lt;&gt;"",OR(AND(INDEX(職員マスタ!$G$6:$G$405,$AN1622)&lt;&gt;"",INDEX(職員マスタ!$G$6:$G$405,$AN1622)&gt;EOMONTH($AO1622,0)),AND(INDEX(職員マスタ!$H$6:$H$405,$AN1622)&lt;&gt;"",INDEX(職員マスタ!$H$6:$H$405,$AN1622)&lt;$AO1622))),"対象月が時短期間外／","")&amp;IF(AND(INDEX(職員マスタ!$F$6:$F$405,$AN1622)&lt;&gt;"",$AO1622&lt;&gt;"",INDEX(職員マスタ!$F$6:$F$405,$AN1622)&lt;$AO1622),"対象月に子が2歳到達済／","")&amp;IF(AND($H1622&lt;&gt;"",INDEX(職員マスタ!$B$6:$B$405,$AN1622)&lt;&gt;"",SUBSTITUTE(SUBSTITUTE($H1622," ","")," ","")&lt;&gt;SUBSTITUTE(SUBSTITUTE(INDEX(職員マスタ!$B$6:$B$405,$AN1622)," ","")," ","")),"氏名がマスタと相違／","")&amp;IF(AND($Q1622&lt;&gt;"",INDEX(職員マスタ!$E$6:$E$405,$AN1622)&lt;&gt;"",$Q1622&lt;&gt;INDEX(職員マスタ!$E$6:$E$405,$AN1622)),"子の生年月日がマスタと相違／","")&amp;IF(AND($L1622&lt;&gt;"",INDEX(職員マスタ!$G$6:$G$405,$AN1622)&lt;&gt;"",$L1622&lt;&gt;INDEX(職員マスタ!$G$6:$G$405,$AN1622)),"時短開始日がマスタと相違／","")&amp;IF(AND($M1622&lt;&gt;"",INDEX(職員マスタ!$H$6:$H$405,$AN1622)&lt;&gt;"",$M1622&lt;&gt;INDEX(職員マスタ!$H$6:$H$405,$AN1622)),"時短終了日がマスタと相違／","")))&amp;IF(AND($B1622&lt;&gt;"",$E1622=""),"報酬額が未入力／","")&amp;IF(N($U1622)&gt;0,"申請書に入力エラーが残っています／","")&amp;IF(AND($B1622&lt;&gt;"",$AO1622&lt;&gt;""),IF(COUNTIFS($B$6:$B$3005,$B1622,$C$6:$C$3005,$C1622,$D$6:$D$3005,$D1622)&gt;1,"同じ月の請求が重複しています／",""),"")&amp;IF(AND(N($E1622)&gt;0,$Z1622&lt;&gt;"",$Z1622&lt;&gt;"×",$AC1622=0,$AB1622=""),"計算額が下限以下のため不支給／",""))</f>
        <v/>
      </c>
      <c r="AL1622" s="12" t="n"/>
      <c r="AM1622" s="14">
        <f>IF($AD1622="保留中",COUNTIF($AD$6:$AD1622,"保留中"),"")</f>
        <v/>
      </c>
      <c r="AN1622" s="14">
        <f>IF($AO1622="","",IF(SUMPRODUCT(MAX((職員マスタ!$A$6:$A$405=$B1622)*(((職員マスタ!$G$6:$G$405="")+(職員マスタ!$G$6:$G$405&lt;=EOMONTH($AO1622,0)))&gt;0)*(((職員マスタ!$H$6:$H$405="")+(職員マスタ!$H$6:$H$405&gt;=$AO1622))&gt;0)*(ROW(職員マスタ!$A$6:$A$405)-5)))&gt;0,SUMPRODUCT(MAX((職員マスタ!$A$6:$A$405=$B1622)*(((職員マスタ!$G$6:$G$405="")+(職員マスタ!$G$6:$G$405&lt;=EOMONTH($AO1622,0)))&gt;0)*(((職員マスタ!$H$6:$H$405="")+(職員マスタ!$H$6:$H$405&gt;=$AO1622))&gt;0)*(ROW(職員マスタ!$A$6:$A$405)-5))),IFERROR(MATCH($B1622,職員マスタ!$A$6:$A$405,0),"")))</f>
        <v/>
      </c>
      <c r="AO1622" s="16">
        <f>IF(OR($B1622="",$C1622="",$D1622=""),"",DATE($C1622+2018,$D1622,1))</f>
        <v/>
      </c>
    </row>
    <row r="1623">
      <c r="A1623" s="11" t="n"/>
      <c r="B1623" s="12" t="n"/>
      <c r="C1623" s="12" t="n"/>
      <c r="D1623" s="12" t="n"/>
      <c r="E1623" s="13" t="n"/>
      <c r="F1623" s="12" t="n"/>
      <c r="G1623" s="13" t="n"/>
      <c r="H1623" s="12" t="n"/>
      <c r="I1623" s="12" t="n"/>
      <c r="J1623" s="12" t="n"/>
      <c r="K1623" s="12" t="n"/>
      <c r="L1623" s="11" t="n"/>
      <c r="M1623" s="11" t="n"/>
      <c r="N1623" s="11" t="n"/>
      <c r="O1623" s="11" t="n"/>
      <c r="P1623" s="12" t="n"/>
      <c r="Q1623" s="11" t="n"/>
      <c r="R1623" s="12" t="n"/>
      <c r="S1623" s="11" t="n"/>
      <c r="T1623" s="12" t="n"/>
      <c r="U1623" s="12" t="n"/>
      <c r="V1623" s="14">
        <f>IF($AN1623="",IF($B1623="","",$H1623),IF(INDEX(職員マスタ!$B$6:$B$405,$AN1623)="",$H1623,INDEX(職員マスタ!$B$6:$B$405,$AN1623)))</f>
        <v/>
      </c>
      <c r="W1623" s="14">
        <f>IF($AN1623="",IF($B1623="","",$R1623),IF(INDEX(職員マスタ!$C$6:$C$405,$AN1623)="",$R1623,INDEX(職員マスタ!$C$6:$C$405,$AN1623)))</f>
        <v/>
      </c>
      <c r="X1623" s="14">
        <f>IF($AO1623="","","R"&amp;$C1623&amp;"."&amp;$D1623)</f>
        <v/>
      </c>
      <c r="Y1623" s="15">
        <f>IF($AN1623="","",IF(INDEX(職員マスタ!$K$6:$K$405,$AN1623)="","",INDEX(職員マスタ!$K$6:$K$405,$AN1623)))</f>
        <v/>
      </c>
      <c r="Z1623" s="14">
        <f>IF(OR($E1623="",$Y1623=""),"",IF($E1623&gt;=$Y1623,"×",IF($E1623&gt;=$Y1623*設定!$C$5,"△","○")))</f>
        <v/>
      </c>
      <c r="AA1623" s="15">
        <f>IF($Z1623="","",IF($Z1623="×",0,IF($Z1623="○",ROUNDDOWN($E1623*設定!$C$4,0),ROUNDDOWN($E1623*ROUND((9*$Y1623-9*$E1623)/(10*$E1623),4),0))))</f>
        <v/>
      </c>
      <c r="AB1623" s="13" t="n"/>
      <c r="AC1623" s="15">
        <f>IF($B1623="","",IF($AB1623&lt;&gt;"",$AB1623,IF($AA1623="","",IF($AA1623&lt;=設定!$C$3,0,$AA1623))))</f>
        <v/>
      </c>
      <c r="AD1623" s="14">
        <f>IF($B1623="","",IF(AND($AE1623&lt;&gt;"",$AG1623="",$AJ1623=""),"保留中",IF($AJ1623&lt;&gt;"",IF(N($AC1623)&gt;0,"支給済","不支給"),IF($AC1623="","要確認",IF($AC1623=0,"不支給","未処理")))))</f>
        <v/>
      </c>
      <c r="AE1623" s="12" t="n"/>
      <c r="AF1623" s="11" t="n"/>
      <c r="AG1623" s="11" t="n"/>
      <c r="AH1623" s="11" t="n"/>
      <c r="AI1623" s="14">
        <f>IF(AND($AD1623="保留中",$AF1623&lt;&gt;""),TODAY()-$AF1623,"")</f>
        <v/>
      </c>
      <c r="AJ1623" s="12" t="n"/>
      <c r="AK1623" s="14">
        <f>IF($B1623="","",IF($AO1623="","対象年月が未入力／","")&amp;IF($B1623="","",IF($AN1623="","職員マスタに未登録の職員番号／",IF($Y1623="","標準報酬月額が未登録／","")&amp;IF(AND($AO1623&lt;&gt;"",OR(AND(INDEX(職員マスタ!$G$6:$G$405,$AN1623)&lt;&gt;"",INDEX(職員マスタ!$G$6:$G$405,$AN1623)&gt;EOMONTH($AO1623,0)),AND(INDEX(職員マスタ!$H$6:$H$405,$AN1623)&lt;&gt;"",INDEX(職員マスタ!$H$6:$H$405,$AN1623)&lt;$AO1623))),"対象月が時短期間外／","")&amp;IF(AND(INDEX(職員マスタ!$F$6:$F$405,$AN1623)&lt;&gt;"",$AO1623&lt;&gt;"",INDEX(職員マスタ!$F$6:$F$405,$AN1623)&lt;$AO1623),"対象月に子が2歳到達済／","")&amp;IF(AND($H1623&lt;&gt;"",INDEX(職員マスタ!$B$6:$B$405,$AN1623)&lt;&gt;"",SUBSTITUTE(SUBSTITUTE($H1623," ","")," ","")&lt;&gt;SUBSTITUTE(SUBSTITUTE(INDEX(職員マスタ!$B$6:$B$405,$AN1623)," ","")," ","")),"氏名がマスタと相違／","")&amp;IF(AND($Q1623&lt;&gt;"",INDEX(職員マスタ!$E$6:$E$405,$AN1623)&lt;&gt;"",$Q1623&lt;&gt;INDEX(職員マスタ!$E$6:$E$405,$AN1623)),"子の生年月日がマスタと相違／","")&amp;IF(AND($L1623&lt;&gt;"",INDEX(職員マスタ!$G$6:$G$405,$AN1623)&lt;&gt;"",$L1623&lt;&gt;INDEX(職員マスタ!$G$6:$G$405,$AN1623)),"時短開始日がマスタと相違／","")&amp;IF(AND($M1623&lt;&gt;"",INDEX(職員マスタ!$H$6:$H$405,$AN1623)&lt;&gt;"",$M1623&lt;&gt;INDEX(職員マスタ!$H$6:$H$405,$AN1623)),"時短終了日がマスタと相違／","")))&amp;IF(AND($B1623&lt;&gt;"",$E1623=""),"報酬額が未入力／","")&amp;IF(N($U1623)&gt;0,"申請書に入力エラーが残っています／","")&amp;IF(AND($B1623&lt;&gt;"",$AO1623&lt;&gt;""),IF(COUNTIFS($B$6:$B$3005,$B1623,$C$6:$C$3005,$C1623,$D$6:$D$3005,$D1623)&gt;1,"同じ月の請求が重複しています／",""),"")&amp;IF(AND(N($E1623)&gt;0,$Z1623&lt;&gt;"",$Z1623&lt;&gt;"×",$AC1623=0,$AB1623=""),"計算額が下限以下のため不支給／",""))</f>
        <v/>
      </c>
      <c r="AL1623" s="12" t="n"/>
      <c r="AM1623" s="14">
        <f>IF($AD1623="保留中",COUNTIF($AD$6:$AD1623,"保留中"),"")</f>
        <v/>
      </c>
      <c r="AN1623" s="14">
        <f>IF($AO1623="","",IF(SUMPRODUCT(MAX((職員マスタ!$A$6:$A$405=$B1623)*(((職員マスタ!$G$6:$G$405="")+(職員マスタ!$G$6:$G$405&lt;=EOMONTH($AO1623,0)))&gt;0)*(((職員マスタ!$H$6:$H$405="")+(職員マスタ!$H$6:$H$405&gt;=$AO1623))&gt;0)*(ROW(職員マスタ!$A$6:$A$405)-5)))&gt;0,SUMPRODUCT(MAX((職員マスタ!$A$6:$A$405=$B1623)*(((職員マスタ!$G$6:$G$405="")+(職員マスタ!$G$6:$G$405&lt;=EOMONTH($AO1623,0)))&gt;0)*(((職員マスタ!$H$6:$H$405="")+(職員マスタ!$H$6:$H$405&gt;=$AO1623))&gt;0)*(ROW(職員マスタ!$A$6:$A$405)-5))),IFERROR(MATCH($B1623,職員マスタ!$A$6:$A$405,0),"")))</f>
        <v/>
      </c>
      <c r="AO1623" s="16">
        <f>IF(OR($B1623="",$C1623="",$D1623=""),"",DATE($C1623+2018,$D1623,1))</f>
        <v/>
      </c>
    </row>
    <row r="1624">
      <c r="A1624" s="11" t="n"/>
      <c r="B1624" s="12" t="n"/>
      <c r="C1624" s="12" t="n"/>
      <c r="D1624" s="12" t="n"/>
      <c r="E1624" s="13" t="n"/>
      <c r="F1624" s="12" t="n"/>
      <c r="G1624" s="13" t="n"/>
      <c r="H1624" s="12" t="n"/>
      <c r="I1624" s="12" t="n"/>
      <c r="J1624" s="12" t="n"/>
      <c r="K1624" s="12" t="n"/>
      <c r="L1624" s="11" t="n"/>
      <c r="M1624" s="11" t="n"/>
      <c r="N1624" s="11" t="n"/>
      <c r="O1624" s="11" t="n"/>
      <c r="P1624" s="12" t="n"/>
      <c r="Q1624" s="11" t="n"/>
      <c r="R1624" s="12" t="n"/>
      <c r="S1624" s="11" t="n"/>
      <c r="T1624" s="12" t="n"/>
      <c r="U1624" s="12" t="n"/>
      <c r="V1624" s="14">
        <f>IF($AN1624="",IF($B1624="","",$H1624),IF(INDEX(職員マスタ!$B$6:$B$405,$AN1624)="",$H1624,INDEX(職員マスタ!$B$6:$B$405,$AN1624)))</f>
        <v/>
      </c>
      <c r="W1624" s="14">
        <f>IF($AN1624="",IF($B1624="","",$R1624),IF(INDEX(職員マスタ!$C$6:$C$405,$AN1624)="",$R1624,INDEX(職員マスタ!$C$6:$C$405,$AN1624)))</f>
        <v/>
      </c>
      <c r="X1624" s="14">
        <f>IF($AO1624="","","R"&amp;$C1624&amp;"."&amp;$D1624)</f>
        <v/>
      </c>
      <c r="Y1624" s="15">
        <f>IF($AN1624="","",IF(INDEX(職員マスタ!$K$6:$K$405,$AN1624)="","",INDEX(職員マスタ!$K$6:$K$405,$AN1624)))</f>
        <v/>
      </c>
      <c r="Z1624" s="14">
        <f>IF(OR($E1624="",$Y1624=""),"",IF($E1624&gt;=$Y1624,"×",IF($E1624&gt;=$Y1624*設定!$C$5,"△","○")))</f>
        <v/>
      </c>
      <c r="AA1624" s="15">
        <f>IF($Z1624="","",IF($Z1624="×",0,IF($Z1624="○",ROUNDDOWN($E1624*設定!$C$4,0),ROUNDDOWN($E1624*ROUND((9*$Y1624-9*$E1624)/(10*$E1624),4),0))))</f>
        <v/>
      </c>
      <c r="AB1624" s="13" t="n"/>
      <c r="AC1624" s="15">
        <f>IF($B1624="","",IF($AB1624&lt;&gt;"",$AB1624,IF($AA1624="","",IF($AA1624&lt;=設定!$C$3,0,$AA1624))))</f>
        <v/>
      </c>
      <c r="AD1624" s="14">
        <f>IF($B1624="","",IF(AND($AE1624&lt;&gt;"",$AG1624="",$AJ1624=""),"保留中",IF($AJ1624&lt;&gt;"",IF(N($AC1624)&gt;0,"支給済","不支給"),IF($AC1624="","要確認",IF($AC1624=0,"不支給","未処理")))))</f>
        <v/>
      </c>
      <c r="AE1624" s="12" t="n"/>
      <c r="AF1624" s="11" t="n"/>
      <c r="AG1624" s="11" t="n"/>
      <c r="AH1624" s="11" t="n"/>
      <c r="AI1624" s="14">
        <f>IF(AND($AD1624="保留中",$AF1624&lt;&gt;""),TODAY()-$AF1624,"")</f>
        <v/>
      </c>
      <c r="AJ1624" s="12" t="n"/>
      <c r="AK1624" s="14">
        <f>IF($B1624="","",IF($AO1624="","対象年月が未入力／","")&amp;IF($B1624="","",IF($AN1624="","職員マスタに未登録の職員番号／",IF($Y1624="","標準報酬月額が未登録／","")&amp;IF(AND($AO1624&lt;&gt;"",OR(AND(INDEX(職員マスタ!$G$6:$G$405,$AN1624)&lt;&gt;"",INDEX(職員マスタ!$G$6:$G$405,$AN1624)&gt;EOMONTH($AO1624,0)),AND(INDEX(職員マスタ!$H$6:$H$405,$AN1624)&lt;&gt;"",INDEX(職員マスタ!$H$6:$H$405,$AN1624)&lt;$AO1624))),"対象月が時短期間外／","")&amp;IF(AND(INDEX(職員マスタ!$F$6:$F$405,$AN1624)&lt;&gt;"",$AO1624&lt;&gt;"",INDEX(職員マスタ!$F$6:$F$405,$AN1624)&lt;$AO1624),"対象月に子が2歳到達済／","")&amp;IF(AND($H1624&lt;&gt;"",INDEX(職員マスタ!$B$6:$B$405,$AN1624)&lt;&gt;"",SUBSTITUTE(SUBSTITUTE($H1624," ","")," ","")&lt;&gt;SUBSTITUTE(SUBSTITUTE(INDEX(職員マスタ!$B$6:$B$405,$AN1624)," ","")," ","")),"氏名がマスタと相違／","")&amp;IF(AND($Q1624&lt;&gt;"",INDEX(職員マスタ!$E$6:$E$405,$AN1624)&lt;&gt;"",$Q1624&lt;&gt;INDEX(職員マスタ!$E$6:$E$405,$AN1624)),"子の生年月日がマスタと相違／","")&amp;IF(AND($L1624&lt;&gt;"",INDEX(職員マスタ!$G$6:$G$405,$AN1624)&lt;&gt;"",$L1624&lt;&gt;INDEX(職員マスタ!$G$6:$G$405,$AN1624)),"時短開始日がマスタと相違／","")&amp;IF(AND($M1624&lt;&gt;"",INDEX(職員マスタ!$H$6:$H$405,$AN1624)&lt;&gt;"",$M1624&lt;&gt;INDEX(職員マスタ!$H$6:$H$405,$AN1624)),"時短終了日がマスタと相違／","")))&amp;IF(AND($B1624&lt;&gt;"",$E1624=""),"報酬額が未入力／","")&amp;IF(N($U1624)&gt;0,"申請書に入力エラーが残っています／","")&amp;IF(AND($B1624&lt;&gt;"",$AO1624&lt;&gt;""),IF(COUNTIFS($B$6:$B$3005,$B1624,$C$6:$C$3005,$C1624,$D$6:$D$3005,$D1624)&gt;1,"同じ月の請求が重複しています／",""),"")&amp;IF(AND(N($E1624)&gt;0,$Z1624&lt;&gt;"",$Z1624&lt;&gt;"×",$AC1624=0,$AB1624=""),"計算額が下限以下のため不支給／",""))</f>
        <v/>
      </c>
      <c r="AL1624" s="12" t="n"/>
      <c r="AM1624" s="14">
        <f>IF($AD1624="保留中",COUNTIF($AD$6:$AD1624,"保留中"),"")</f>
        <v/>
      </c>
      <c r="AN1624" s="14">
        <f>IF($AO1624="","",IF(SUMPRODUCT(MAX((職員マスタ!$A$6:$A$405=$B1624)*(((職員マスタ!$G$6:$G$405="")+(職員マスタ!$G$6:$G$405&lt;=EOMONTH($AO1624,0)))&gt;0)*(((職員マスタ!$H$6:$H$405="")+(職員マスタ!$H$6:$H$405&gt;=$AO1624))&gt;0)*(ROW(職員マスタ!$A$6:$A$405)-5)))&gt;0,SUMPRODUCT(MAX((職員マスタ!$A$6:$A$405=$B1624)*(((職員マスタ!$G$6:$G$405="")+(職員マスタ!$G$6:$G$405&lt;=EOMONTH($AO1624,0)))&gt;0)*(((職員マスタ!$H$6:$H$405="")+(職員マスタ!$H$6:$H$405&gt;=$AO1624))&gt;0)*(ROW(職員マスタ!$A$6:$A$405)-5))),IFERROR(MATCH($B1624,職員マスタ!$A$6:$A$405,0),"")))</f>
        <v/>
      </c>
      <c r="AO1624" s="16">
        <f>IF(OR($B1624="",$C1624="",$D1624=""),"",DATE($C1624+2018,$D1624,1))</f>
        <v/>
      </c>
    </row>
    <row r="1625">
      <c r="A1625" s="11" t="n"/>
      <c r="B1625" s="12" t="n"/>
      <c r="C1625" s="12" t="n"/>
      <c r="D1625" s="12" t="n"/>
      <c r="E1625" s="13" t="n"/>
      <c r="F1625" s="12" t="n"/>
      <c r="G1625" s="13" t="n"/>
      <c r="H1625" s="12" t="n"/>
      <c r="I1625" s="12" t="n"/>
      <c r="J1625" s="12" t="n"/>
      <c r="K1625" s="12" t="n"/>
      <c r="L1625" s="11" t="n"/>
      <c r="M1625" s="11" t="n"/>
      <c r="N1625" s="11" t="n"/>
      <c r="O1625" s="11" t="n"/>
      <c r="P1625" s="12" t="n"/>
      <c r="Q1625" s="11" t="n"/>
      <c r="R1625" s="12" t="n"/>
      <c r="S1625" s="11" t="n"/>
      <c r="T1625" s="12" t="n"/>
      <c r="U1625" s="12" t="n"/>
      <c r="V1625" s="14">
        <f>IF($AN1625="",IF($B1625="","",$H1625),IF(INDEX(職員マスタ!$B$6:$B$405,$AN1625)="",$H1625,INDEX(職員マスタ!$B$6:$B$405,$AN1625)))</f>
        <v/>
      </c>
      <c r="W1625" s="14">
        <f>IF($AN1625="",IF($B1625="","",$R1625),IF(INDEX(職員マスタ!$C$6:$C$405,$AN1625)="",$R1625,INDEX(職員マスタ!$C$6:$C$405,$AN1625)))</f>
        <v/>
      </c>
      <c r="X1625" s="14">
        <f>IF($AO1625="","","R"&amp;$C1625&amp;"."&amp;$D1625)</f>
        <v/>
      </c>
      <c r="Y1625" s="15">
        <f>IF($AN1625="","",IF(INDEX(職員マスタ!$K$6:$K$405,$AN1625)="","",INDEX(職員マスタ!$K$6:$K$405,$AN1625)))</f>
        <v/>
      </c>
      <c r="Z1625" s="14">
        <f>IF(OR($E1625="",$Y1625=""),"",IF($E1625&gt;=$Y1625,"×",IF($E1625&gt;=$Y1625*設定!$C$5,"△","○")))</f>
        <v/>
      </c>
      <c r="AA1625" s="15">
        <f>IF($Z1625="","",IF($Z1625="×",0,IF($Z1625="○",ROUNDDOWN($E1625*設定!$C$4,0),ROUNDDOWN($E1625*ROUND((9*$Y1625-9*$E1625)/(10*$E1625),4),0))))</f>
        <v/>
      </c>
      <c r="AB1625" s="13" t="n"/>
      <c r="AC1625" s="15">
        <f>IF($B1625="","",IF($AB1625&lt;&gt;"",$AB1625,IF($AA1625="","",IF($AA1625&lt;=設定!$C$3,0,$AA1625))))</f>
        <v/>
      </c>
      <c r="AD1625" s="14">
        <f>IF($B1625="","",IF(AND($AE1625&lt;&gt;"",$AG1625="",$AJ1625=""),"保留中",IF($AJ1625&lt;&gt;"",IF(N($AC1625)&gt;0,"支給済","不支給"),IF($AC1625="","要確認",IF($AC1625=0,"不支給","未処理")))))</f>
        <v/>
      </c>
      <c r="AE1625" s="12" t="n"/>
      <c r="AF1625" s="11" t="n"/>
      <c r="AG1625" s="11" t="n"/>
      <c r="AH1625" s="11" t="n"/>
      <c r="AI1625" s="14">
        <f>IF(AND($AD1625="保留中",$AF1625&lt;&gt;""),TODAY()-$AF1625,"")</f>
        <v/>
      </c>
      <c r="AJ1625" s="12" t="n"/>
      <c r="AK1625" s="14">
        <f>IF($B1625="","",IF($AO1625="","対象年月が未入力／","")&amp;IF($B1625="","",IF($AN1625="","職員マスタに未登録の職員番号／",IF($Y1625="","標準報酬月額が未登録／","")&amp;IF(AND($AO1625&lt;&gt;"",OR(AND(INDEX(職員マスタ!$G$6:$G$405,$AN1625)&lt;&gt;"",INDEX(職員マスタ!$G$6:$G$405,$AN1625)&gt;EOMONTH($AO1625,0)),AND(INDEX(職員マスタ!$H$6:$H$405,$AN1625)&lt;&gt;"",INDEX(職員マスタ!$H$6:$H$405,$AN1625)&lt;$AO1625))),"対象月が時短期間外／","")&amp;IF(AND(INDEX(職員マスタ!$F$6:$F$405,$AN1625)&lt;&gt;"",$AO1625&lt;&gt;"",INDEX(職員マスタ!$F$6:$F$405,$AN1625)&lt;$AO1625),"対象月に子が2歳到達済／","")&amp;IF(AND($H1625&lt;&gt;"",INDEX(職員マスタ!$B$6:$B$405,$AN1625)&lt;&gt;"",SUBSTITUTE(SUBSTITUTE($H1625," ","")," ","")&lt;&gt;SUBSTITUTE(SUBSTITUTE(INDEX(職員マスタ!$B$6:$B$405,$AN1625)," ","")," ","")),"氏名がマスタと相違／","")&amp;IF(AND($Q1625&lt;&gt;"",INDEX(職員マスタ!$E$6:$E$405,$AN1625)&lt;&gt;"",$Q1625&lt;&gt;INDEX(職員マスタ!$E$6:$E$405,$AN1625)),"子の生年月日がマスタと相違／","")&amp;IF(AND($L1625&lt;&gt;"",INDEX(職員マスタ!$G$6:$G$405,$AN1625)&lt;&gt;"",$L1625&lt;&gt;INDEX(職員マスタ!$G$6:$G$405,$AN1625)),"時短開始日がマスタと相違／","")&amp;IF(AND($M1625&lt;&gt;"",INDEX(職員マスタ!$H$6:$H$405,$AN1625)&lt;&gt;"",$M1625&lt;&gt;INDEX(職員マスタ!$H$6:$H$405,$AN1625)),"時短終了日がマスタと相違／","")))&amp;IF(AND($B1625&lt;&gt;"",$E1625=""),"報酬額が未入力／","")&amp;IF(N($U1625)&gt;0,"申請書に入力エラーが残っています／","")&amp;IF(AND($B1625&lt;&gt;"",$AO1625&lt;&gt;""),IF(COUNTIFS($B$6:$B$3005,$B1625,$C$6:$C$3005,$C1625,$D$6:$D$3005,$D1625)&gt;1,"同じ月の請求が重複しています／",""),"")&amp;IF(AND(N($E1625)&gt;0,$Z1625&lt;&gt;"",$Z1625&lt;&gt;"×",$AC1625=0,$AB1625=""),"計算額が下限以下のため不支給／",""))</f>
        <v/>
      </c>
      <c r="AL1625" s="12" t="n"/>
      <c r="AM1625" s="14">
        <f>IF($AD1625="保留中",COUNTIF($AD$6:$AD1625,"保留中"),"")</f>
        <v/>
      </c>
      <c r="AN1625" s="14">
        <f>IF($AO1625="","",IF(SUMPRODUCT(MAX((職員マスタ!$A$6:$A$405=$B1625)*(((職員マスタ!$G$6:$G$405="")+(職員マスタ!$G$6:$G$405&lt;=EOMONTH($AO1625,0)))&gt;0)*(((職員マスタ!$H$6:$H$405="")+(職員マスタ!$H$6:$H$405&gt;=$AO1625))&gt;0)*(ROW(職員マスタ!$A$6:$A$405)-5)))&gt;0,SUMPRODUCT(MAX((職員マスタ!$A$6:$A$405=$B1625)*(((職員マスタ!$G$6:$G$405="")+(職員マスタ!$G$6:$G$405&lt;=EOMONTH($AO1625,0)))&gt;0)*(((職員マスタ!$H$6:$H$405="")+(職員マスタ!$H$6:$H$405&gt;=$AO1625))&gt;0)*(ROW(職員マスタ!$A$6:$A$405)-5))),IFERROR(MATCH($B1625,職員マスタ!$A$6:$A$405,0),"")))</f>
        <v/>
      </c>
      <c r="AO1625" s="16">
        <f>IF(OR($B1625="",$C1625="",$D1625=""),"",DATE($C1625+2018,$D1625,1))</f>
        <v/>
      </c>
    </row>
    <row r="1626">
      <c r="A1626" s="11" t="n"/>
      <c r="B1626" s="12" t="n"/>
      <c r="C1626" s="12" t="n"/>
      <c r="D1626" s="12" t="n"/>
      <c r="E1626" s="13" t="n"/>
      <c r="F1626" s="12" t="n"/>
      <c r="G1626" s="13" t="n"/>
      <c r="H1626" s="12" t="n"/>
      <c r="I1626" s="12" t="n"/>
      <c r="J1626" s="12" t="n"/>
      <c r="K1626" s="12" t="n"/>
      <c r="L1626" s="11" t="n"/>
      <c r="M1626" s="11" t="n"/>
      <c r="N1626" s="11" t="n"/>
      <c r="O1626" s="11" t="n"/>
      <c r="P1626" s="12" t="n"/>
      <c r="Q1626" s="11" t="n"/>
      <c r="R1626" s="12" t="n"/>
      <c r="S1626" s="11" t="n"/>
      <c r="T1626" s="12" t="n"/>
      <c r="U1626" s="12" t="n"/>
      <c r="V1626" s="14">
        <f>IF($AN1626="",IF($B1626="","",$H1626),IF(INDEX(職員マスタ!$B$6:$B$405,$AN1626)="",$H1626,INDEX(職員マスタ!$B$6:$B$405,$AN1626)))</f>
        <v/>
      </c>
      <c r="W1626" s="14">
        <f>IF($AN1626="",IF($B1626="","",$R1626),IF(INDEX(職員マスタ!$C$6:$C$405,$AN1626)="",$R1626,INDEX(職員マスタ!$C$6:$C$405,$AN1626)))</f>
        <v/>
      </c>
      <c r="X1626" s="14">
        <f>IF($AO1626="","","R"&amp;$C1626&amp;"."&amp;$D1626)</f>
        <v/>
      </c>
      <c r="Y1626" s="15">
        <f>IF($AN1626="","",IF(INDEX(職員マスタ!$K$6:$K$405,$AN1626)="","",INDEX(職員マスタ!$K$6:$K$405,$AN1626)))</f>
        <v/>
      </c>
      <c r="Z1626" s="14">
        <f>IF(OR($E1626="",$Y1626=""),"",IF($E1626&gt;=$Y1626,"×",IF($E1626&gt;=$Y1626*設定!$C$5,"△","○")))</f>
        <v/>
      </c>
      <c r="AA1626" s="15">
        <f>IF($Z1626="","",IF($Z1626="×",0,IF($Z1626="○",ROUNDDOWN($E1626*設定!$C$4,0),ROUNDDOWN($E1626*ROUND((9*$Y1626-9*$E1626)/(10*$E1626),4),0))))</f>
        <v/>
      </c>
      <c r="AB1626" s="13" t="n"/>
      <c r="AC1626" s="15">
        <f>IF($B1626="","",IF($AB1626&lt;&gt;"",$AB1626,IF($AA1626="","",IF($AA1626&lt;=設定!$C$3,0,$AA1626))))</f>
        <v/>
      </c>
      <c r="AD1626" s="14">
        <f>IF($B1626="","",IF(AND($AE1626&lt;&gt;"",$AG1626="",$AJ1626=""),"保留中",IF($AJ1626&lt;&gt;"",IF(N($AC1626)&gt;0,"支給済","不支給"),IF($AC1626="","要確認",IF($AC1626=0,"不支給","未処理")))))</f>
        <v/>
      </c>
      <c r="AE1626" s="12" t="n"/>
      <c r="AF1626" s="11" t="n"/>
      <c r="AG1626" s="11" t="n"/>
      <c r="AH1626" s="11" t="n"/>
      <c r="AI1626" s="14">
        <f>IF(AND($AD1626="保留中",$AF1626&lt;&gt;""),TODAY()-$AF1626,"")</f>
        <v/>
      </c>
      <c r="AJ1626" s="12" t="n"/>
      <c r="AK1626" s="14">
        <f>IF($B1626="","",IF($AO1626="","対象年月が未入力／","")&amp;IF($B1626="","",IF($AN1626="","職員マスタに未登録の職員番号／",IF($Y1626="","標準報酬月額が未登録／","")&amp;IF(AND($AO1626&lt;&gt;"",OR(AND(INDEX(職員マスタ!$G$6:$G$405,$AN1626)&lt;&gt;"",INDEX(職員マスタ!$G$6:$G$405,$AN1626)&gt;EOMONTH($AO1626,0)),AND(INDEX(職員マスタ!$H$6:$H$405,$AN1626)&lt;&gt;"",INDEX(職員マスタ!$H$6:$H$405,$AN1626)&lt;$AO1626))),"対象月が時短期間外／","")&amp;IF(AND(INDEX(職員マスタ!$F$6:$F$405,$AN1626)&lt;&gt;"",$AO1626&lt;&gt;"",INDEX(職員マスタ!$F$6:$F$405,$AN1626)&lt;$AO1626),"対象月に子が2歳到達済／","")&amp;IF(AND($H1626&lt;&gt;"",INDEX(職員マスタ!$B$6:$B$405,$AN1626)&lt;&gt;"",SUBSTITUTE(SUBSTITUTE($H1626," ","")," ","")&lt;&gt;SUBSTITUTE(SUBSTITUTE(INDEX(職員マスタ!$B$6:$B$405,$AN1626)," ","")," ","")),"氏名がマスタと相違／","")&amp;IF(AND($Q1626&lt;&gt;"",INDEX(職員マスタ!$E$6:$E$405,$AN1626)&lt;&gt;"",$Q1626&lt;&gt;INDEX(職員マスタ!$E$6:$E$405,$AN1626)),"子の生年月日がマスタと相違／","")&amp;IF(AND($L1626&lt;&gt;"",INDEX(職員マスタ!$G$6:$G$405,$AN1626)&lt;&gt;"",$L1626&lt;&gt;INDEX(職員マスタ!$G$6:$G$405,$AN1626)),"時短開始日がマスタと相違／","")&amp;IF(AND($M1626&lt;&gt;"",INDEX(職員マスタ!$H$6:$H$405,$AN1626)&lt;&gt;"",$M1626&lt;&gt;INDEX(職員マスタ!$H$6:$H$405,$AN1626)),"時短終了日がマスタと相違／","")))&amp;IF(AND($B1626&lt;&gt;"",$E1626=""),"報酬額が未入力／","")&amp;IF(N($U1626)&gt;0,"申請書に入力エラーが残っています／","")&amp;IF(AND($B1626&lt;&gt;"",$AO1626&lt;&gt;""),IF(COUNTIFS($B$6:$B$3005,$B1626,$C$6:$C$3005,$C1626,$D$6:$D$3005,$D1626)&gt;1,"同じ月の請求が重複しています／",""),"")&amp;IF(AND(N($E1626)&gt;0,$Z1626&lt;&gt;"",$Z1626&lt;&gt;"×",$AC1626=0,$AB1626=""),"計算額が下限以下のため不支給／",""))</f>
        <v/>
      </c>
      <c r="AL1626" s="12" t="n"/>
      <c r="AM1626" s="14">
        <f>IF($AD1626="保留中",COUNTIF($AD$6:$AD1626,"保留中"),"")</f>
        <v/>
      </c>
      <c r="AN1626" s="14">
        <f>IF($AO1626="","",IF(SUMPRODUCT(MAX((職員マスタ!$A$6:$A$405=$B1626)*(((職員マスタ!$G$6:$G$405="")+(職員マスタ!$G$6:$G$405&lt;=EOMONTH($AO1626,0)))&gt;0)*(((職員マスタ!$H$6:$H$405="")+(職員マスタ!$H$6:$H$405&gt;=$AO1626))&gt;0)*(ROW(職員マスタ!$A$6:$A$405)-5)))&gt;0,SUMPRODUCT(MAX((職員マスタ!$A$6:$A$405=$B1626)*(((職員マスタ!$G$6:$G$405="")+(職員マスタ!$G$6:$G$405&lt;=EOMONTH($AO1626,0)))&gt;0)*(((職員マスタ!$H$6:$H$405="")+(職員マスタ!$H$6:$H$405&gt;=$AO1626))&gt;0)*(ROW(職員マスタ!$A$6:$A$405)-5))),IFERROR(MATCH($B1626,職員マスタ!$A$6:$A$405,0),"")))</f>
        <v/>
      </c>
      <c r="AO1626" s="16">
        <f>IF(OR($B1626="",$C1626="",$D1626=""),"",DATE($C1626+2018,$D1626,1))</f>
        <v/>
      </c>
    </row>
    <row r="1627">
      <c r="A1627" s="11" t="n"/>
      <c r="B1627" s="12" t="n"/>
      <c r="C1627" s="12" t="n"/>
      <c r="D1627" s="12" t="n"/>
      <c r="E1627" s="13" t="n"/>
      <c r="F1627" s="12" t="n"/>
      <c r="G1627" s="13" t="n"/>
      <c r="H1627" s="12" t="n"/>
      <c r="I1627" s="12" t="n"/>
      <c r="J1627" s="12" t="n"/>
      <c r="K1627" s="12" t="n"/>
      <c r="L1627" s="11" t="n"/>
      <c r="M1627" s="11" t="n"/>
      <c r="N1627" s="11" t="n"/>
      <c r="O1627" s="11" t="n"/>
      <c r="P1627" s="12" t="n"/>
      <c r="Q1627" s="11" t="n"/>
      <c r="R1627" s="12" t="n"/>
      <c r="S1627" s="11" t="n"/>
      <c r="T1627" s="12" t="n"/>
      <c r="U1627" s="12" t="n"/>
      <c r="V1627" s="14">
        <f>IF($AN1627="",IF($B1627="","",$H1627),IF(INDEX(職員マスタ!$B$6:$B$405,$AN1627)="",$H1627,INDEX(職員マスタ!$B$6:$B$405,$AN1627)))</f>
        <v/>
      </c>
      <c r="W1627" s="14">
        <f>IF($AN1627="",IF($B1627="","",$R1627),IF(INDEX(職員マスタ!$C$6:$C$405,$AN1627)="",$R1627,INDEX(職員マスタ!$C$6:$C$405,$AN1627)))</f>
        <v/>
      </c>
      <c r="X1627" s="14">
        <f>IF($AO1627="","","R"&amp;$C1627&amp;"."&amp;$D1627)</f>
        <v/>
      </c>
      <c r="Y1627" s="15">
        <f>IF($AN1627="","",IF(INDEX(職員マスタ!$K$6:$K$405,$AN1627)="","",INDEX(職員マスタ!$K$6:$K$405,$AN1627)))</f>
        <v/>
      </c>
      <c r="Z1627" s="14">
        <f>IF(OR($E1627="",$Y1627=""),"",IF($E1627&gt;=$Y1627,"×",IF($E1627&gt;=$Y1627*設定!$C$5,"△","○")))</f>
        <v/>
      </c>
      <c r="AA1627" s="15">
        <f>IF($Z1627="","",IF($Z1627="×",0,IF($Z1627="○",ROUNDDOWN($E1627*設定!$C$4,0),ROUNDDOWN($E1627*ROUND((9*$Y1627-9*$E1627)/(10*$E1627),4),0))))</f>
        <v/>
      </c>
      <c r="AB1627" s="13" t="n"/>
      <c r="AC1627" s="15">
        <f>IF($B1627="","",IF($AB1627&lt;&gt;"",$AB1627,IF($AA1627="","",IF($AA1627&lt;=設定!$C$3,0,$AA1627))))</f>
        <v/>
      </c>
      <c r="AD1627" s="14">
        <f>IF($B1627="","",IF(AND($AE1627&lt;&gt;"",$AG1627="",$AJ1627=""),"保留中",IF($AJ1627&lt;&gt;"",IF(N($AC1627)&gt;0,"支給済","不支給"),IF($AC1627="","要確認",IF($AC1627=0,"不支給","未処理")))))</f>
        <v/>
      </c>
      <c r="AE1627" s="12" t="n"/>
      <c r="AF1627" s="11" t="n"/>
      <c r="AG1627" s="11" t="n"/>
      <c r="AH1627" s="11" t="n"/>
      <c r="AI1627" s="14">
        <f>IF(AND($AD1627="保留中",$AF1627&lt;&gt;""),TODAY()-$AF1627,"")</f>
        <v/>
      </c>
      <c r="AJ1627" s="12" t="n"/>
      <c r="AK1627" s="14">
        <f>IF($B1627="","",IF($AO1627="","対象年月が未入力／","")&amp;IF($B1627="","",IF($AN1627="","職員マスタに未登録の職員番号／",IF($Y1627="","標準報酬月額が未登録／","")&amp;IF(AND($AO1627&lt;&gt;"",OR(AND(INDEX(職員マスタ!$G$6:$G$405,$AN1627)&lt;&gt;"",INDEX(職員マスタ!$G$6:$G$405,$AN1627)&gt;EOMONTH($AO1627,0)),AND(INDEX(職員マスタ!$H$6:$H$405,$AN1627)&lt;&gt;"",INDEX(職員マスタ!$H$6:$H$405,$AN1627)&lt;$AO1627))),"対象月が時短期間外／","")&amp;IF(AND(INDEX(職員マスタ!$F$6:$F$405,$AN1627)&lt;&gt;"",$AO1627&lt;&gt;"",INDEX(職員マスタ!$F$6:$F$405,$AN1627)&lt;$AO1627),"対象月に子が2歳到達済／","")&amp;IF(AND($H1627&lt;&gt;"",INDEX(職員マスタ!$B$6:$B$405,$AN1627)&lt;&gt;"",SUBSTITUTE(SUBSTITUTE($H1627," ","")," ","")&lt;&gt;SUBSTITUTE(SUBSTITUTE(INDEX(職員マスタ!$B$6:$B$405,$AN1627)," ","")," ","")),"氏名がマスタと相違／","")&amp;IF(AND($Q1627&lt;&gt;"",INDEX(職員マスタ!$E$6:$E$405,$AN1627)&lt;&gt;"",$Q1627&lt;&gt;INDEX(職員マスタ!$E$6:$E$405,$AN1627)),"子の生年月日がマスタと相違／","")&amp;IF(AND($L1627&lt;&gt;"",INDEX(職員マスタ!$G$6:$G$405,$AN1627)&lt;&gt;"",$L1627&lt;&gt;INDEX(職員マスタ!$G$6:$G$405,$AN1627)),"時短開始日がマスタと相違／","")&amp;IF(AND($M1627&lt;&gt;"",INDEX(職員マスタ!$H$6:$H$405,$AN1627)&lt;&gt;"",$M1627&lt;&gt;INDEX(職員マスタ!$H$6:$H$405,$AN1627)),"時短終了日がマスタと相違／","")))&amp;IF(AND($B1627&lt;&gt;"",$E1627=""),"報酬額が未入力／","")&amp;IF(N($U1627)&gt;0,"申請書に入力エラーが残っています／","")&amp;IF(AND($B1627&lt;&gt;"",$AO1627&lt;&gt;""),IF(COUNTIFS($B$6:$B$3005,$B1627,$C$6:$C$3005,$C1627,$D$6:$D$3005,$D1627)&gt;1,"同じ月の請求が重複しています／",""),"")&amp;IF(AND(N($E1627)&gt;0,$Z1627&lt;&gt;"",$Z1627&lt;&gt;"×",$AC1627=0,$AB1627=""),"計算額が下限以下のため不支給／",""))</f>
        <v/>
      </c>
      <c r="AL1627" s="12" t="n"/>
      <c r="AM1627" s="14">
        <f>IF($AD1627="保留中",COUNTIF($AD$6:$AD1627,"保留中"),"")</f>
        <v/>
      </c>
      <c r="AN1627" s="14">
        <f>IF($AO1627="","",IF(SUMPRODUCT(MAX((職員マスタ!$A$6:$A$405=$B1627)*(((職員マスタ!$G$6:$G$405="")+(職員マスタ!$G$6:$G$405&lt;=EOMONTH($AO1627,0)))&gt;0)*(((職員マスタ!$H$6:$H$405="")+(職員マスタ!$H$6:$H$405&gt;=$AO1627))&gt;0)*(ROW(職員マスタ!$A$6:$A$405)-5)))&gt;0,SUMPRODUCT(MAX((職員マスタ!$A$6:$A$405=$B1627)*(((職員マスタ!$G$6:$G$405="")+(職員マスタ!$G$6:$G$405&lt;=EOMONTH($AO1627,0)))&gt;0)*(((職員マスタ!$H$6:$H$405="")+(職員マスタ!$H$6:$H$405&gt;=$AO1627))&gt;0)*(ROW(職員マスタ!$A$6:$A$405)-5))),IFERROR(MATCH($B1627,職員マスタ!$A$6:$A$405,0),"")))</f>
        <v/>
      </c>
      <c r="AO1627" s="16">
        <f>IF(OR($B1627="",$C1627="",$D1627=""),"",DATE($C1627+2018,$D1627,1))</f>
        <v/>
      </c>
    </row>
    <row r="1628">
      <c r="A1628" s="11" t="n"/>
      <c r="B1628" s="12" t="n"/>
      <c r="C1628" s="12" t="n"/>
      <c r="D1628" s="12" t="n"/>
      <c r="E1628" s="13" t="n"/>
      <c r="F1628" s="12" t="n"/>
      <c r="G1628" s="13" t="n"/>
      <c r="H1628" s="12" t="n"/>
      <c r="I1628" s="12" t="n"/>
      <c r="J1628" s="12" t="n"/>
      <c r="K1628" s="12" t="n"/>
      <c r="L1628" s="11" t="n"/>
      <c r="M1628" s="11" t="n"/>
      <c r="N1628" s="11" t="n"/>
      <c r="O1628" s="11" t="n"/>
      <c r="P1628" s="12" t="n"/>
      <c r="Q1628" s="11" t="n"/>
      <c r="R1628" s="12" t="n"/>
      <c r="S1628" s="11" t="n"/>
      <c r="T1628" s="12" t="n"/>
      <c r="U1628" s="12" t="n"/>
      <c r="V1628" s="14">
        <f>IF($AN1628="",IF($B1628="","",$H1628),IF(INDEX(職員マスタ!$B$6:$B$405,$AN1628)="",$H1628,INDEX(職員マスタ!$B$6:$B$405,$AN1628)))</f>
        <v/>
      </c>
      <c r="W1628" s="14">
        <f>IF($AN1628="",IF($B1628="","",$R1628),IF(INDEX(職員マスタ!$C$6:$C$405,$AN1628)="",$R1628,INDEX(職員マスタ!$C$6:$C$405,$AN1628)))</f>
        <v/>
      </c>
      <c r="X1628" s="14">
        <f>IF($AO1628="","","R"&amp;$C1628&amp;"."&amp;$D1628)</f>
        <v/>
      </c>
      <c r="Y1628" s="15">
        <f>IF($AN1628="","",IF(INDEX(職員マスタ!$K$6:$K$405,$AN1628)="","",INDEX(職員マスタ!$K$6:$K$405,$AN1628)))</f>
        <v/>
      </c>
      <c r="Z1628" s="14">
        <f>IF(OR($E1628="",$Y1628=""),"",IF($E1628&gt;=$Y1628,"×",IF($E1628&gt;=$Y1628*設定!$C$5,"△","○")))</f>
        <v/>
      </c>
      <c r="AA1628" s="15">
        <f>IF($Z1628="","",IF($Z1628="×",0,IF($Z1628="○",ROUNDDOWN($E1628*設定!$C$4,0),ROUNDDOWN($E1628*ROUND((9*$Y1628-9*$E1628)/(10*$E1628),4),0))))</f>
        <v/>
      </c>
      <c r="AB1628" s="13" t="n"/>
      <c r="AC1628" s="15">
        <f>IF($B1628="","",IF($AB1628&lt;&gt;"",$AB1628,IF($AA1628="","",IF($AA1628&lt;=設定!$C$3,0,$AA1628))))</f>
        <v/>
      </c>
      <c r="AD1628" s="14">
        <f>IF($B1628="","",IF(AND($AE1628&lt;&gt;"",$AG1628="",$AJ1628=""),"保留中",IF($AJ1628&lt;&gt;"",IF(N($AC1628)&gt;0,"支給済","不支給"),IF($AC1628="","要確認",IF($AC1628=0,"不支給","未処理")))))</f>
        <v/>
      </c>
      <c r="AE1628" s="12" t="n"/>
      <c r="AF1628" s="11" t="n"/>
      <c r="AG1628" s="11" t="n"/>
      <c r="AH1628" s="11" t="n"/>
      <c r="AI1628" s="14">
        <f>IF(AND($AD1628="保留中",$AF1628&lt;&gt;""),TODAY()-$AF1628,"")</f>
        <v/>
      </c>
      <c r="AJ1628" s="12" t="n"/>
      <c r="AK1628" s="14">
        <f>IF($B1628="","",IF($AO1628="","対象年月が未入力／","")&amp;IF($B1628="","",IF($AN1628="","職員マスタに未登録の職員番号／",IF($Y1628="","標準報酬月額が未登録／","")&amp;IF(AND($AO1628&lt;&gt;"",OR(AND(INDEX(職員マスタ!$G$6:$G$405,$AN1628)&lt;&gt;"",INDEX(職員マスタ!$G$6:$G$405,$AN1628)&gt;EOMONTH($AO1628,0)),AND(INDEX(職員マスタ!$H$6:$H$405,$AN1628)&lt;&gt;"",INDEX(職員マスタ!$H$6:$H$405,$AN1628)&lt;$AO1628))),"対象月が時短期間外／","")&amp;IF(AND(INDEX(職員マスタ!$F$6:$F$405,$AN1628)&lt;&gt;"",$AO1628&lt;&gt;"",INDEX(職員マスタ!$F$6:$F$405,$AN1628)&lt;$AO1628),"対象月に子が2歳到達済／","")&amp;IF(AND($H1628&lt;&gt;"",INDEX(職員マスタ!$B$6:$B$405,$AN1628)&lt;&gt;"",SUBSTITUTE(SUBSTITUTE($H1628," ","")," ","")&lt;&gt;SUBSTITUTE(SUBSTITUTE(INDEX(職員マスタ!$B$6:$B$405,$AN1628)," ","")," ","")),"氏名がマスタと相違／","")&amp;IF(AND($Q1628&lt;&gt;"",INDEX(職員マスタ!$E$6:$E$405,$AN1628)&lt;&gt;"",$Q1628&lt;&gt;INDEX(職員マスタ!$E$6:$E$405,$AN1628)),"子の生年月日がマスタと相違／","")&amp;IF(AND($L1628&lt;&gt;"",INDEX(職員マスタ!$G$6:$G$405,$AN1628)&lt;&gt;"",$L1628&lt;&gt;INDEX(職員マスタ!$G$6:$G$405,$AN1628)),"時短開始日がマスタと相違／","")&amp;IF(AND($M1628&lt;&gt;"",INDEX(職員マスタ!$H$6:$H$405,$AN1628)&lt;&gt;"",$M1628&lt;&gt;INDEX(職員マスタ!$H$6:$H$405,$AN1628)),"時短終了日がマスタと相違／","")))&amp;IF(AND($B1628&lt;&gt;"",$E1628=""),"報酬額が未入力／","")&amp;IF(N($U1628)&gt;0,"申請書に入力エラーが残っています／","")&amp;IF(AND($B1628&lt;&gt;"",$AO1628&lt;&gt;""),IF(COUNTIFS($B$6:$B$3005,$B1628,$C$6:$C$3005,$C1628,$D$6:$D$3005,$D1628)&gt;1,"同じ月の請求が重複しています／",""),"")&amp;IF(AND(N($E1628)&gt;0,$Z1628&lt;&gt;"",$Z1628&lt;&gt;"×",$AC1628=0,$AB1628=""),"計算額が下限以下のため不支給／",""))</f>
        <v/>
      </c>
      <c r="AL1628" s="12" t="n"/>
      <c r="AM1628" s="14">
        <f>IF($AD1628="保留中",COUNTIF($AD$6:$AD1628,"保留中"),"")</f>
        <v/>
      </c>
      <c r="AN1628" s="14">
        <f>IF($AO1628="","",IF(SUMPRODUCT(MAX((職員マスタ!$A$6:$A$405=$B1628)*(((職員マスタ!$G$6:$G$405="")+(職員マスタ!$G$6:$G$405&lt;=EOMONTH($AO1628,0)))&gt;0)*(((職員マスタ!$H$6:$H$405="")+(職員マスタ!$H$6:$H$405&gt;=$AO1628))&gt;0)*(ROW(職員マスタ!$A$6:$A$405)-5)))&gt;0,SUMPRODUCT(MAX((職員マスタ!$A$6:$A$405=$B1628)*(((職員マスタ!$G$6:$G$405="")+(職員マスタ!$G$6:$G$405&lt;=EOMONTH($AO1628,0)))&gt;0)*(((職員マスタ!$H$6:$H$405="")+(職員マスタ!$H$6:$H$405&gt;=$AO1628))&gt;0)*(ROW(職員マスタ!$A$6:$A$405)-5))),IFERROR(MATCH($B1628,職員マスタ!$A$6:$A$405,0),"")))</f>
        <v/>
      </c>
      <c r="AO1628" s="16">
        <f>IF(OR($B1628="",$C1628="",$D1628=""),"",DATE($C1628+2018,$D1628,1))</f>
        <v/>
      </c>
    </row>
    <row r="1629">
      <c r="A1629" s="11" t="n"/>
      <c r="B1629" s="12" t="n"/>
      <c r="C1629" s="12" t="n"/>
      <c r="D1629" s="12" t="n"/>
      <c r="E1629" s="13" t="n"/>
      <c r="F1629" s="12" t="n"/>
      <c r="G1629" s="13" t="n"/>
      <c r="H1629" s="12" t="n"/>
      <c r="I1629" s="12" t="n"/>
      <c r="J1629" s="12" t="n"/>
      <c r="K1629" s="12" t="n"/>
      <c r="L1629" s="11" t="n"/>
      <c r="M1629" s="11" t="n"/>
      <c r="N1629" s="11" t="n"/>
      <c r="O1629" s="11" t="n"/>
      <c r="P1629" s="12" t="n"/>
      <c r="Q1629" s="11" t="n"/>
      <c r="R1629" s="12" t="n"/>
      <c r="S1629" s="11" t="n"/>
      <c r="T1629" s="12" t="n"/>
      <c r="U1629" s="12" t="n"/>
      <c r="V1629" s="14">
        <f>IF($AN1629="",IF($B1629="","",$H1629),IF(INDEX(職員マスタ!$B$6:$B$405,$AN1629)="",$H1629,INDEX(職員マスタ!$B$6:$B$405,$AN1629)))</f>
        <v/>
      </c>
      <c r="W1629" s="14">
        <f>IF($AN1629="",IF($B1629="","",$R1629),IF(INDEX(職員マスタ!$C$6:$C$405,$AN1629)="",$R1629,INDEX(職員マスタ!$C$6:$C$405,$AN1629)))</f>
        <v/>
      </c>
      <c r="X1629" s="14">
        <f>IF($AO1629="","","R"&amp;$C1629&amp;"."&amp;$D1629)</f>
        <v/>
      </c>
      <c r="Y1629" s="15">
        <f>IF($AN1629="","",IF(INDEX(職員マスタ!$K$6:$K$405,$AN1629)="","",INDEX(職員マスタ!$K$6:$K$405,$AN1629)))</f>
        <v/>
      </c>
      <c r="Z1629" s="14">
        <f>IF(OR($E1629="",$Y1629=""),"",IF($E1629&gt;=$Y1629,"×",IF($E1629&gt;=$Y1629*設定!$C$5,"△","○")))</f>
        <v/>
      </c>
      <c r="AA1629" s="15">
        <f>IF($Z1629="","",IF($Z1629="×",0,IF($Z1629="○",ROUNDDOWN($E1629*設定!$C$4,0),ROUNDDOWN($E1629*ROUND((9*$Y1629-9*$E1629)/(10*$E1629),4),0))))</f>
        <v/>
      </c>
      <c r="AB1629" s="13" t="n"/>
      <c r="AC1629" s="15">
        <f>IF($B1629="","",IF($AB1629&lt;&gt;"",$AB1629,IF($AA1629="","",IF($AA1629&lt;=設定!$C$3,0,$AA1629))))</f>
        <v/>
      </c>
      <c r="AD1629" s="14">
        <f>IF($B1629="","",IF(AND($AE1629&lt;&gt;"",$AG1629="",$AJ1629=""),"保留中",IF($AJ1629&lt;&gt;"",IF(N($AC1629)&gt;0,"支給済","不支給"),IF($AC1629="","要確認",IF($AC1629=0,"不支給","未処理")))))</f>
        <v/>
      </c>
      <c r="AE1629" s="12" t="n"/>
      <c r="AF1629" s="11" t="n"/>
      <c r="AG1629" s="11" t="n"/>
      <c r="AH1629" s="11" t="n"/>
      <c r="AI1629" s="14">
        <f>IF(AND($AD1629="保留中",$AF1629&lt;&gt;""),TODAY()-$AF1629,"")</f>
        <v/>
      </c>
      <c r="AJ1629" s="12" t="n"/>
      <c r="AK1629" s="14">
        <f>IF($B1629="","",IF($AO1629="","対象年月が未入力／","")&amp;IF($B1629="","",IF($AN1629="","職員マスタに未登録の職員番号／",IF($Y1629="","標準報酬月額が未登録／","")&amp;IF(AND($AO1629&lt;&gt;"",OR(AND(INDEX(職員マスタ!$G$6:$G$405,$AN1629)&lt;&gt;"",INDEX(職員マスタ!$G$6:$G$405,$AN1629)&gt;EOMONTH($AO1629,0)),AND(INDEX(職員マスタ!$H$6:$H$405,$AN1629)&lt;&gt;"",INDEX(職員マスタ!$H$6:$H$405,$AN1629)&lt;$AO1629))),"対象月が時短期間外／","")&amp;IF(AND(INDEX(職員マスタ!$F$6:$F$405,$AN1629)&lt;&gt;"",$AO1629&lt;&gt;"",INDEX(職員マスタ!$F$6:$F$405,$AN1629)&lt;$AO1629),"対象月に子が2歳到達済／","")&amp;IF(AND($H1629&lt;&gt;"",INDEX(職員マスタ!$B$6:$B$405,$AN1629)&lt;&gt;"",SUBSTITUTE(SUBSTITUTE($H1629," ","")," ","")&lt;&gt;SUBSTITUTE(SUBSTITUTE(INDEX(職員マスタ!$B$6:$B$405,$AN1629)," ","")," ","")),"氏名がマスタと相違／","")&amp;IF(AND($Q1629&lt;&gt;"",INDEX(職員マスタ!$E$6:$E$405,$AN1629)&lt;&gt;"",$Q1629&lt;&gt;INDEX(職員マスタ!$E$6:$E$405,$AN1629)),"子の生年月日がマスタと相違／","")&amp;IF(AND($L1629&lt;&gt;"",INDEX(職員マスタ!$G$6:$G$405,$AN1629)&lt;&gt;"",$L1629&lt;&gt;INDEX(職員マスタ!$G$6:$G$405,$AN1629)),"時短開始日がマスタと相違／","")&amp;IF(AND($M1629&lt;&gt;"",INDEX(職員マスタ!$H$6:$H$405,$AN1629)&lt;&gt;"",$M1629&lt;&gt;INDEX(職員マスタ!$H$6:$H$405,$AN1629)),"時短終了日がマスタと相違／","")))&amp;IF(AND($B1629&lt;&gt;"",$E1629=""),"報酬額が未入力／","")&amp;IF(N($U1629)&gt;0,"申請書に入力エラーが残っています／","")&amp;IF(AND($B1629&lt;&gt;"",$AO1629&lt;&gt;""),IF(COUNTIFS($B$6:$B$3005,$B1629,$C$6:$C$3005,$C1629,$D$6:$D$3005,$D1629)&gt;1,"同じ月の請求が重複しています／",""),"")&amp;IF(AND(N($E1629)&gt;0,$Z1629&lt;&gt;"",$Z1629&lt;&gt;"×",$AC1629=0,$AB1629=""),"計算額が下限以下のため不支給／",""))</f>
        <v/>
      </c>
      <c r="AL1629" s="12" t="n"/>
      <c r="AM1629" s="14">
        <f>IF($AD1629="保留中",COUNTIF($AD$6:$AD1629,"保留中"),"")</f>
        <v/>
      </c>
      <c r="AN1629" s="14">
        <f>IF($AO1629="","",IF(SUMPRODUCT(MAX((職員マスタ!$A$6:$A$405=$B1629)*(((職員マスタ!$G$6:$G$405="")+(職員マスタ!$G$6:$G$405&lt;=EOMONTH($AO1629,0)))&gt;0)*(((職員マスタ!$H$6:$H$405="")+(職員マスタ!$H$6:$H$405&gt;=$AO1629))&gt;0)*(ROW(職員マスタ!$A$6:$A$405)-5)))&gt;0,SUMPRODUCT(MAX((職員マスタ!$A$6:$A$405=$B1629)*(((職員マスタ!$G$6:$G$405="")+(職員マスタ!$G$6:$G$405&lt;=EOMONTH($AO1629,0)))&gt;0)*(((職員マスタ!$H$6:$H$405="")+(職員マスタ!$H$6:$H$405&gt;=$AO1629))&gt;0)*(ROW(職員マスタ!$A$6:$A$405)-5))),IFERROR(MATCH($B1629,職員マスタ!$A$6:$A$405,0),"")))</f>
        <v/>
      </c>
      <c r="AO1629" s="16">
        <f>IF(OR($B1629="",$C1629="",$D1629=""),"",DATE($C1629+2018,$D1629,1))</f>
        <v/>
      </c>
    </row>
    <row r="1630">
      <c r="A1630" s="11" t="n"/>
      <c r="B1630" s="12" t="n"/>
      <c r="C1630" s="12" t="n"/>
      <c r="D1630" s="12" t="n"/>
      <c r="E1630" s="13" t="n"/>
      <c r="F1630" s="12" t="n"/>
      <c r="G1630" s="13" t="n"/>
      <c r="H1630" s="12" t="n"/>
      <c r="I1630" s="12" t="n"/>
      <c r="J1630" s="12" t="n"/>
      <c r="K1630" s="12" t="n"/>
      <c r="L1630" s="11" t="n"/>
      <c r="M1630" s="11" t="n"/>
      <c r="N1630" s="11" t="n"/>
      <c r="O1630" s="11" t="n"/>
      <c r="P1630" s="12" t="n"/>
      <c r="Q1630" s="11" t="n"/>
      <c r="R1630" s="12" t="n"/>
      <c r="S1630" s="11" t="n"/>
      <c r="T1630" s="12" t="n"/>
      <c r="U1630" s="12" t="n"/>
      <c r="V1630" s="14">
        <f>IF($AN1630="",IF($B1630="","",$H1630),IF(INDEX(職員マスタ!$B$6:$B$405,$AN1630)="",$H1630,INDEX(職員マスタ!$B$6:$B$405,$AN1630)))</f>
        <v/>
      </c>
      <c r="W1630" s="14">
        <f>IF($AN1630="",IF($B1630="","",$R1630),IF(INDEX(職員マスタ!$C$6:$C$405,$AN1630)="",$R1630,INDEX(職員マスタ!$C$6:$C$405,$AN1630)))</f>
        <v/>
      </c>
      <c r="X1630" s="14">
        <f>IF($AO1630="","","R"&amp;$C1630&amp;"."&amp;$D1630)</f>
        <v/>
      </c>
      <c r="Y1630" s="15">
        <f>IF($AN1630="","",IF(INDEX(職員マスタ!$K$6:$K$405,$AN1630)="","",INDEX(職員マスタ!$K$6:$K$405,$AN1630)))</f>
        <v/>
      </c>
      <c r="Z1630" s="14">
        <f>IF(OR($E1630="",$Y1630=""),"",IF($E1630&gt;=$Y1630,"×",IF($E1630&gt;=$Y1630*設定!$C$5,"△","○")))</f>
        <v/>
      </c>
      <c r="AA1630" s="15">
        <f>IF($Z1630="","",IF($Z1630="×",0,IF($Z1630="○",ROUNDDOWN($E1630*設定!$C$4,0),ROUNDDOWN($E1630*ROUND((9*$Y1630-9*$E1630)/(10*$E1630),4),0))))</f>
        <v/>
      </c>
      <c r="AB1630" s="13" t="n"/>
      <c r="AC1630" s="15">
        <f>IF($B1630="","",IF($AB1630&lt;&gt;"",$AB1630,IF($AA1630="","",IF($AA1630&lt;=設定!$C$3,0,$AA1630))))</f>
        <v/>
      </c>
      <c r="AD1630" s="14">
        <f>IF($B1630="","",IF(AND($AE1630&lt;&gt;"",$AG1630="",$AJ1630=""),"保留中",IF($AJ1630&lt;&gt;"",IF(N($AC1630)&gt;0,"支給済","不支給"),IF($AC1630="","要確認",IF($AC1630=0,"不支給","未処理")))))</f>
        <v/>
      </c>
      <c r="AE1630" s="12" t="n"/>
      <c r="AF1630" s="11" t="n"/>
      <c r="AG1630" s="11" t="n"/>
      <c r="AH1630" s="11" t="n"/>
      <c r="AI1630" s="14">
        <f>IF(AND($AD1630="保留中",$AF1630&lt;&gt;""),TODAY()-$AF1630,"")</f>
        <v/>
      </c>
      <c r="AJ1630" s="12" t="n"/>
      <c r="AK1630" s="14">
        <f>IF($B1630="","",IF($AO1630="","対象年月が未入力／","")&amp;IF($B1630="","",IF($AN1630="","職員マスタに未登録の職員番号／",IF($Y1630="","標準報酬月額が未登録／","")&amp;IF(AND($AO1630&lt;&gt;"",OR(AND(INDEX(職員マスタ!$G$6:$G$405,$AN1630)&lt;&gt;"",INDEX(職員マスタ!$G$6:$G$405,$AN1630)&gt;EOMONTH($AO1630,0)),AND(INDEX(職員マスタ!$H$6:$H$405,$AN1630)&lt;&gt;"",INDEX(職員マスタ!$H$6:$H$405,$AN1630)&lt;$AO1630))),"対象月が時短期間外／","")&amp;IF(AND(INDEX(職員マスタ!$F$6:$F$405,$AN1630)&lt;&gt;"",$AO1630&lt;&gt;"",INDEX(職員マスタ!$F$6:$F$405,$AN1630)&lt;$AO1630),"対象月に子が2歳到達済／","")&amp;IF(AND($H1630&lt;&gt;"",INDEX(職員マスタ!$B$6:$B$405,$AN1630)&lt;&gt;"",SUBSTITUTE(SUBSTITUTE($H1630," ","")," ","")&lt;&gt;SUBSTITUTE(SUBSTITUTE(INDEX(職員マスタ!$B$6:$B$405,$AN1630)," ","")," ","")),"氏名がマスタと相違／","")&amp;IF(AND($Q1630&lt;&gt;"",INDEX(職員マスタ!$E$6:$E$405,$AN1630)&lt;&gt;"",$Q1630&lt;&gt;INDEX(職員マスタ!$E$6:$E$405,$AN1630)),"子の生年月日がマスタと相違／","")&amp;IF(AND($L1630&lt;&gt;"",INDEX(職員マスタ!$G$6:$G$405,$AN1630)&lt;&gt;"",$L1630&lt;&gt;INDEX(職員マスタ!$G$6:$G$405,$AN1630)),"時短開始日がマスタと相違／","")&amp;IF(AND($M1630&lt;&gt;"",INDEX(職員マスタ!$H$6:$H$405,$AN1630)&lt;&gt;"",$M1630&lt;&gt;INDEX(職員マスタ!$H$6:$H$405,$AN1630)),"時短終了日がマスタと相違／","")))&amp;IF(AND($B1630&lt;&gt;"",$E1630=""),"報酬額が未入力／","")&amp;IF(N($U1630)&gt;0,"申請書に入力エラーが残っています／","")&amp;IF(AND($B1630&lt;&gt;"",$AO1630&lt;&gt;""),IF(COUNTIFS($B$6:$B$3005,$B1630,$C$6:$C$3005,$C1630,$D$6:$D$3005,$D1630)&gt;1,"同じ月の請求が重複しています／",""),"")&amp;IF(AND(N($E1630)&gt;0,$Z1630&lt;&gt;"",$Z1630&lt;&gt;"×",$AC1630=0,$AB1630=""),"計算額が下限以下のため不支給／",""))</f>
        <v/>
      </c>
      <c r="AL1630" s="12" t="n"/>
      <c r="AM1630" s="14">
        <f>IF($AD1630="保留中",COUNTIF($AD$6:$AD1630,"保留中"),"")</f>
        <v/>
      </c>
      <c r="AN1630" s="14">
        <f>IF($AO1630="","",IF(SUMPRODUCT(MAX((職員マスタ!$A$6:$A$405=$B1630)*(((職員マスタ!$G$6:$G$405="")+(職員マスタ!$G$6:$G$405&lt;=EOMONTH($AO1630,0)))&gt;0)*(((職員マスタ!$H$6:$H$405="")+(職員マスタ!$H$6:$H$405&gt;=$AO1630))&gt;0)*(ROW(職員マスタ!$A$6:$A$405)-5)))&gt;0,SUMPRODUCT(MAX((職員マスタ!$A$6:$A$405=$B1630)*(((職員マスタ!$G$6:$G$405="")+(職員マスタ!$G$6:$G$405&lt;=EOMONTH($AO1630,0)))&gt;0)*(((職員マスタ!$H$6:$H$405="")+(職員マスタ!$H$6:$H$405&gt;=$AO1630))&gt;0)*(ROW(職員マスタ!$A$6:$A$405)-5))),IFERROR(MATCH($B1630,職員マスタ!$A$6:$A$405,0),"")))</f>
        <v/>
      </c>
      <c r="AO1630" s="16">
        <f>IF(OR($B1630="",$C1630="",$D1630=""),"",DATE($C1630+2018,$D1630,1))</f>
        <v/>
      </c>
    </row>
    <row r="1631">
      <c r="A1631" s="11" t="n"/>
      <c r="B1631" s="12" t="n"/>
      <c r="C1631" s="12" t="n"/>
      <c r="D1631" s="12" t="n"/>
      <c r="E1631" s="13" t="n"/>
      <c r="F1631" s="12" t="n"/>
      <c r="G1631" s="13" t="n"/>
      <c r="H1631" s="12" t="n"/>
      <c r="I1631" s="12" t="n"/>
      <c r="J1631" s="12" t="n"/>
      <c r="K1631" s="12" t="n"/>
      <c r="L1631" s="11" t="n"/>
      <c r="M1631" s="11" t="n"/>
      <c r="N1631" s="11" t="n"/>
      <c r="O1631" s="11" t="n"/>
      <c r="P1631" s="12" t="n"/>
      <c r="Q1631" s="11" t="n"/>
      <c r="R1631" s="12" t="n"/>
      <c r="S1631" s="11" t="n"/>
      <c r="T1631" s="12" t="n"/>
      <c r="U1631" s="12" t="n"/>
      <c r="V1631" s="14">
        <f>IF($AN1631="",IF($B1631="","",$H1631),IF(INDEX(職員マスタ!$B$6:$B$405,$AN1631)="",$H1631,INDEX(職員マスタ!$B$6:$B$405,$AN1631)))</f>
        <v/>
      </c>
      <c r="W1631" s="14">
        <f>IF($AN1631="",IF($B1631="","",$R1631),IF(INDEX(職員マスタ!$C$6:$C$405,$AN1631)="",$R1631,INDEX(職員マスタ!$C$6:$C$405,$AN1631)))</f>
        <v/>
      </c>
      <c r="X1631" s="14">
        <f>IF($AO1631="","","R"&amp;$C1631&amp;"."&amp;$D1631)</f>
        <v/>
      </c>
      <c r="Y1631" s="15">
        <f>IF($AN1631="","",IF(INDEX(職員マスタ!$K$6:$K$405,$AN1631)="","",INDEX(職員マスタ!$K$6:$K$405,$AN1631)))</f>
        <v/>
      </c>
      <c r="Z1631" s="14">
        <f>IF(OR($E1631="",$Y1631=""),"",IF($E1631&gt;=$Y1631,"×",IF($E1631&gt;=$Y1631*設定!$C$5,"△","○")))</f>
        <v/>
      </c>
      <c r="AA1631" s="15">
        <f>IF($Z1631="","",IF($Z1631="×",0,IF($Z1631="○",ROUNDDOWN($E1631*設定!$C$4,0),ROUNDDOWN($E1631*ROUND((9*$Y1631-9*$E1631)/(10*$E1631),4),0))))</f>
        <v/>
      </c>
      <c r="AB1631" s="13" t="n"/>
      <c r="AC1631" s="15">
        <f>IF($B1631="","",IF($AB1631&lt;&gt;"",$AB1631,IF($AA1631="","",IF($AA1631&lt;=設定!$C$3,0,$AA1631))))</f>
        <v/>
      </c>
      <c r="AD1631" s="14">
        <f>IF($B1631="","",IF(AND($AE1631&lt;&gt;"",$AG1631="",$AJ1631=""),"保留中",IF($AJ1631&lt;&gt;"",IF(N($AC1631)&gt;0,"支給済","不支給"),IF($AC1631="","要確認",IF($AC1631=0,"不支給","未処理")))))</f>
        <v/>
      </c>
      <c r="AE1631" s="12" t="n"/>
      <c r="AF1631" s="11" t="n"/>
      <c r="AG1631" s="11" t="n"/>
      <c r="AH1631" s="11" t="n"/>
      <c r="AI1631" s="14">
        <f>IF(AND($AD1631="保留中",$AF1631&lt;&gt;""),TODAY()-$AF1631,"")</f>
        <v/>
      </c>
      <c r="AJ1631" s="12" t="n"/>
      <c r="AK1631" s="14">
        <f>IF($B1631="","",IF($AO1631="","対象年月が未入力／","")&amp;IF($B1631="","",IF($AN1631="","職員マスタに未登録の職員番号／",IF($Y1631="","標準報酬月額が未登録／","")&amp;IF(AND($AO1631&lt;&gt;"",OR(AND(INDEX(職員マスタ!$G$6:$G$405,$AN1631)&lt;&gt;"",INDEX(職員マスタ!$G$6:$G$405,$AN1631)&gt;EOMONTH($AO1631,0)),AND(INDEX(職員マスタ!$H$6:$H$405,$AN1631)&lt;&gt;"",INDEX(職員マスタ!$H$6:$H$405,$AN1631)&lt;$AO1631))),"対象月が時短期間外／","")&amp;IF(AND(INDEX(職員マスタ!$F$6:$F$405,$AN1631)&lt;&gt;"",$AO1631&lt;&gt;"",INDEX(職員マスタ!$F$6:$F$405,$AN1631)&lt;$AO1631),"対象月に子が2歳到達済／","")&amp;IF(AND($H1631&lt;&gt;"",INDEX(職員マスタ!$B$6:$B$405,$AN1631)&lt;&gt;"",SUBSTITUTE(SUBSTITUTE($H1631," ","")," ","")&lt;&gt;SUBSTITUTE(SUBSTITUTE(INDEX(職員マスタ!$B$6:$B$405,$AN1631)," ","")," ","")),"氏名がマスタと相違／","")&amp;IF(AND($Q1631&lt;&gt;"",INDEX(職員マスタ!$E$6:$E$405,$AN1631)&lt;&gt;"",$Q1631&lt;&gt;INDEX(職員マスタ!$E$6:$E$405,$AN1631)),"子の生年月日がマスタと相違／","")&amp;IF(AND($L1631&lt;&gt;"",INDEX(職員マスタ!$G$6:$G$405,$AN1631)&lt;&gt;"",$L1631&lt;&gt;INDEX(職員マスタ!$G$6:$G$405,$AN1631)),"時短開始日がマスタと相違／","")&amp;IF(AND($M1631&lt;&gt;"",INDEX(職員マスタ!$H$6:$H$405,$AN1631)&lt;&gt;"",$M1631&lt;&gt;INDEX(職員マスタ!$H$6:$H$405,$AN1631)),"時短終了日がマスタと相違／","")))&amp;IF(AND($B1631&lt;&gt;"",$E1631=""),"報酬額が未入力／","")&amp;IF(N($U1631)&gt;0,"申請書に入力エラーが残っています／","")&amp;IF(AND($B1631&lt;&gt;"",$AO1631&lt;&gt;""),IF(COUNTIFS($B$6:$B$3005,$B1631,$C$6:$C$3005,$C1631,$D$6:$D$3005,$D1631)&gt;1,"同じ月の請求が重複しています／",""),"")&amp;IF(AND(N($E1631)&gt;0,$Z1631&lt;&gt;"",$Z1631&lt;&gt;"×",$AC1631=0,$AB1631=""),"計算額が下限以下のため不支給／",""))</f>
        <v/>
      </c>
      <c r="AL1631" s="12" t="n"/>
      <c r="AM1631" s="14">
        <f>IF($AD1631="保留中",COUNTIF($AD$6:$AD1631,"保留中"),"")</f>
        <v/>
      </c>
      <c r="AN1631" s="14">
        <f>IF($AO1631="","",IF(SUMPRODUCT(MAX((職員マスタ!$A$6:$A$405=$B1631)*(((職員マスタ!$G$6:$G$405="")+(職員マスタ!$G$6:$G$405&lt;=EOMONTH($AO1631,0)))&gt;0)*(((職員マスタ!$H$6:$H$405="")+(職員マスタ!$H$6:$H$405&gt;=$AO1631))&gt;0)*(ROW(職員マスタ!$A$6:$A$405)-5)))&gt;0,SUMPRODUCT(MAX((職員マスタ!$A$6:$A$405=$B1631)*(((職員マスタ!$G$6:$G$405="")+(職員マスタ!$G$6:$G$405&lt;=EOMONTH($AO1631,0)))&gt;0)*(((職員マスタ!$H$6:$H$405="")+(職員マスタ!$H$6:$H$405&gt;=$AO1631))&gt;0)*(ROW(職員マスタ!$A$6:$A$405)-5))),IFERROR(MATCH($B1631,職員マスタ!$A$6:$A$405,0),"")))</f>
        <v/>
      </c>
      <c r="AO1631" s="16">
        <f>IF(OR($B1631="",$C1631="",$D1631=""),"",DATE($C1631+2018,$D1631,1))</f>
        <v/>
      </c>
    </row>
    <row r="1632">
      <c r="A1632" s="11" t="n"/>
      <c r="B1632" s="12" t="n"/>
      <c r="C1632" s="12" t="n"/>
      <c r="D1632" s="12" t="n"/>
      <c r="E1632" s="13" t="n"/>
      <c r="F1632" s="12" t="n"/>
      <c r="G1632" s="13" t="n"/>
      <c r="H1632" s="12" t="n"/>
      <c r="I1632" s="12" t="n"/>
      <c r="J1632" s="12" t="n"/>
      <c r="K1632" s="12" t="n"/>
      <c r="L1632" s="11" t="n"/>
      <c r="M1632" s="11" t="n"/>
      <c r="N1632" s="11" t="n"/>
      <c r="O1632" s="11" t="n"/>
      <c r="P1632" s="12" t="n"/>
      <c r="Q1632" s="11" t="n"/>
      <c r="R1632" s="12" t="n"/>
      <c r="S1632" s="11" t="n"/>
      <c r="T1632" s="12" t="n"/>
      <c r="U1632" s="12" t="n"/>
      <c r="V1632" s="14">
        <f>IF($AN1632="",IF($B1632="","",$H1632),IF(INDEX(職員マスタ!$B$6:$B$405,$AN1632)="",$H1632,INDEX(職員マスタ!$B$6:$B$405,$AN1632)))</f>
        <v/>
      </c>
      <c r="W1632" s="14">
        <f>IF($AN1632="",IF($B1632="","",$R1632),IF(INDEX(職員マスタ!$C$6:$C$405,$AN1632)="",$R1632,INDEX(職員マスタ!$C$6:$C$405,$AN1632)))</f>
        <v/>
      </c>
      <c r="X1632" s="14">
        <f>IF($AO1632="","","R"&amp;$C1632&amp;"."&amp;$D1632)</f>
        <v/>
      </c>
      <c r="Y1632" s="15">
        <f>IF($AN1632="","",IF(INDEX(職員マスタ!$K$6:$K$405,$AN1632)="","",INDEX(職員マスタ!$K$6:$K$405,$AN1632)))</f>
        <v/>
      </c>
      <c r="Z1632" s="14">
        <f>IF(OR($E1632="",$Y1632=""),"",IF($E1632&gt;=$Y1632,"×",IF($E1632&gt;=$Y1632*設定!$C$5,"△","○")))</f>
        <v/>
      </c>
      <c r="AA1632" s="15">
        <f>IF($Z1632="","",IF($Z1632="×",0,IF($Z1632="○",ROUNDDOWN($E1632*設定!$C$4,0),ROUNDDOWN($E1632*ROUND((9*$Y1632-9*$E1632)/(10*$E1632),4),0))))</f>
        <v/>
      </c>
      <c r="AB1632" s="13" t="n"/>
      <c r="AC1632" s="15">
        <f>IF($B1632="","",IF($AB1632&lt;&gt;"",$AB1632,IF($AA1632="","",IF($AA1632&lt;=設定!$C$3,0,$AA1632))))</f>
        <v/>
      </c>
      <c r="AD1632" s="14">
        <f>IF($B1632="","",IF(AND($AE1632&lt;&gt;"",$AG1632="",$AJ1632=""),"保留中",IF($AJ1632&lt;&gt;"",IF(N($AC1632)&gt;0,"支給済","不支給"),IF($AC1632="","要確認",IF($AC1632=0,"不支給","未処理")))))</f>
        <v/>
      </c>
      <c r="AE1632" s="12" t="n"/>
      <c r="AF1632" s="11" t="n"/>
      <c r="AG1632" s="11" t="n"/>
      <c r="AH1632" s="11" t="n"/>
      <c r="AI1632" s="14">
        <f>IF(AND($AD1632="保留中",$AF1632&lt;&gt;""),TODAY()-$AF1632,"")</f>
        <v/>
      </c>
      <c r="AJ1632" s="12" t="n"/>
      <c r="AK1632" s="14">
        <f>IF($B1632="","",IF($AO1632="","対象年月が未入力／","")&amp;IF($B1632="","",IF($AN1632="","職員マスタに未登録の職員番号／",IF($Y1632="","標準報酬月額が未登録／","")&amp;IF(AND($AO1632&lt;&gt;"",OR(AND(INDEX(職員マスタ!$G$6:$G$405,$AN1632)&lt;&gt;"",INDEX(職員マスタ!$G$6:$G$405,$AN1632)&gt;EOMONTH($AO1632,0)),AND(INDEX(職員マスタ!$H$6:$H$405,$AN1632)&lt;&gt;"",INDEX(職員マスタ!$H$6:$H$405,$AN1632)&lt;$AO1632))),"対象月が時短期間外／","")&amp;IF(AND(INDEX(職員マスタ!$F$6:$F$405,$AN1632)&lt;&gt;"",$AO1632&lt;&gt;"",INDEX(職員マスタ!$F$6:$F$405,$AN1632)&lt;$AO1632),"対象月に子が2歳到達済／","")&amp;IF(AND($H1632&lt;&gt;"",INDEX(職員マスタ!$B$6:$B$405,$AN1632)&lt;&gt;"",SUBSTITUTE(SUBSTITUTE($H1632," ","")," ","")&lt;&gt;SUBSTITUTE(SUBSTITUTE(INDEX(職員マスタ!$B$6:$B$405,$AN1632)," ","")," ","")),"氏名がマスタと相違／","")&amp;IF(AND($Q1632&lt;&gt;"",INDEX(職員マスタ!$E$6:$E$405,$AN1632)&lt;&gt;"",$Q1632&lt;&gt;INDEX(職員マスタ!$E$6:$E$405,$AN1632)),"子の生年月日がマスタと相違／","")&amp;IF(AND($L1632&lt;&gt;"",INDEX(職員マスタ!$G$6:$G$405,$AN1632)&lt;&gt;"",$L1632&lt;&gt;INDEX(職員マスタ!$G$6:$G$405,$AN1632)),"時短開始日がマスタと相違／","")&amp;IF(AND($M1632&lt;&gt;"",INDEX(職員マスタ!$H$6:$H$405,$AN1632)&lt;&gt;"",$M1632&lt;&gt;INDEX(職員マスタ!$H$6:$H$405,$AN1632)),"時短終了日がマスタと相違／","")))&amp;IF(AND($B1632&lt;&gt;"",$E1632=""),"報酬額が未入力／","")&amp;IF(N($U1632)&gt;0,"申請書に入力エラーが残っています／","")&amp;IF(AND($B1632&lt;&gt;"",$AO1632&lt;&gt;""),IF(COUNTIFS($B$6:$B$3005,$B1632,$C$6:$C$3005,$C1632,$D$6:$D$3005,$D1632)&gt;1,"同じ月の請求が重複しています／",""),"")&amp;IF(AND(N($E1632)&gt;0,$Z1632&lt;&gt;"",$Z1632&lt;&gt;"×",$AC1632=0,$AB1632=""),"計算額が下限以下のため不支給／",""))</f>
        <v/>
      </c>
      <c r="AL1632" s="12" t="n"/>
      <c r="AM1632" s="14">
        <f>IF($AD1632="保留中",COUNTIF($AD$6:$AD1632,"保留中"),"")</f>
        <v/>
      </c>
      <c r="AN1632" s="14">
        <f>IF($AO1632="","",IF(SUMPRODUCT(MAX((職員マスタ!$A$6:$A$405=$B1632)*(((職員マスタ!$G$6:$G$405="")+(職員マスタ!$G$6:$G$405&lt;=EOMONTH($AO1632,0)))&gt;0)*(((職員マスタ!$H$6:$H$405="")+(職員マスタ!$H$6:$H$405&gt;=$AO1632))&gt;0)*(ROW(職員マスタ!$A$6:$A$405)-5)))&gt;0,SUMPRODUCT(MAX((職員マスタ!$A$6:$A$405=$B1632)*(((職員マスタ!$G$6:$G$405="")+(職員マスタ!$G$6:$G$405&lt;=EOMONTH($AO1632,0)))&gt;0)*(((職員マスタ!$H$6:$H$405="")+(職員マスタ!$H$6:$H$405&gt;=$AO1632))&gt;0)*(ROW(職員マスタ!$A$6:$A$405)-5))),IFERROR(MATCH($B1632,職員マスタ!$A$6:$A$405,0),"")))</f>
        <v/>
      </c>
      <c r="AO1632" s="16">
        <f>IF(OR($B1632="",$C1632="",$D1632=""),"",DATE($C1632+2018,$D1632,1))</f>
        <v/>
      </c>
    </row>
    <row r="1633">
      <c r="A1633" s="11" t="n"/>
      <c r="B1633" s="12" t="n"/>
      <c r="C1633" s="12" t="n"/>
      <c r="D1633" s="12" t="n"/>
      <c r="E1633" s="13" t="n"/>
      <c r="F1633" s="12" t="n"/>
      <c r="G1633" s="13" t="n"/>
      <c r="H1633" s="12" t="n"/>
      <c r="I1633" s="12" t="n"/>
      <c r="J1633" s="12" t="n"/>
      <c r="K1633" s="12" t="n"/>
      <c r="L1633" s="11" t="n"/>
      <c r="M1633" s="11" t="n"/>
      <c r="N1633" s="11" t="n"/>
      <c r="O1633" s="11" t="n"/>
      <c r="P1633" s="12" t="n"/>
      <c r="Q1633" s="11" t="n"/>
      <c r="R1633" s="12" t="n"/>
      <c r="S1633" s="11" t="n"/>
      <c r="T1633" s="12" t="n"/>
      <c r="U1633" s="12" t="n"/>
      <c r="V1633" s="14">
        <f>IF($AN1633="",IF($B1633="","",$H1633),IF(INDEX(職員マスタ!$B$6:$B$405,$AN1633)="",$H1633,INDEX(職員マスタ!$B$6:$B$405,$AN1633)))</f>
        <v/>
      </c>
      <c r="W1633" s="14">
        <f>IF($AN1633="",IF($B1633="","",$R1633),IF(INDEX(職員マスタ!$C$6:$C$405,$AN1633)="",$R1633,INDEX(職員マスタ!$C$6:$C$405,$AN1633)))</f>
        <v/>
      </c>
      <c r="X1633" s="14">
        <f>IF($AO1633="","","R"&amp;$C1633&amp;"."&amp;$D1633)</f>
        <v/>
      </c>
      <c r="Y1633" s="15">
        <f>IF($AN1633="","",IF(INDEX(職員マスタ!$K$6:$K$405,$AN1633)="","",INDEX(職員マスタ!$K$6:$K$405,$AN1633)))</f>
        <v/>
      </c>
      <c r="Z1633" s="14">
        <f>IF(OR($E1633="",$Y1633=""),"",IF($E1633&gt;=$Y1633,"×",IF($E1633&gt;=$Y1633*設定!$C$5,"△","○")))</f>
        <v/>
      </c>
      <c r="AA1633" s="15">
        <f>IF($Z1633="","",IF($Z1633="×",0,IF($Z1633="○",ROUNDDOWN($E1633*設定!$C$4,0),ROUNDDOWN($E1633*ROUND((9*$Y1633-9*$E1633)/(10*$E1633),4),0))))</f>
        <v/>
      </c>
      <c r="AB1633" s="13" t="n"/>
      <c r="AC1633" s="15">
        <f>IF($B1633="","",IF($AB1633&lt;&gt;"",$AB1633,IF($AA1633="","",IF($AA1633&lt;=設定!$C$3,0,$AA1633))))</f>
        <v/>
      </c>
      <c r="AD1633" s="14">
        <f>IF($B1633="","",IF(AND($AE1633&lt;&gt;"",$AG1633="",$AJ1633=""),"保留中",IF($AJ1633&lt;&gt;"",IF(N($AC1633)&gt;0,"支給済","不支給"),IF($AC1633="","要確認",IF($AC1633=0,"不支給","未処理")))))</f>
        <v/>
      </c>
      <c r="AE1633" s="12" t="n"/>
      <c r="AF1633" s="11" t="n"/>
      <c r="AG1633" s="11" t="n"/>
      <c r="AH1633" s="11" t="n"/>
      <c r="AI1633" s="14">
        <f>IF(AND($AD1633="保留中",$AF1633&lt;&gt;""),TODAY()-$AF1633,"")</f>
        <v/>
      </c>
      <c r="AJ1633" s="12" t="n"/>
      <c r="AK1633" s="14">
        <f>IF($B1633="","",IF($AO1633="","対象年月が未入力／","")&amp;IF($B1633="","",IF($AN1633="","職員マスタに未登録の職員番号／",IF($Y1633="","標準報酬月額が未登録／","")&amp;IF(AND($AO1633&lt;&gt;"",OR(AND(INDEX(職員マスタ!$G$6:$G$405,$AN1633)&lt;&gt;"",INDEX(職員マスタ!$G$6:$G$405,$AN1633)&gt;EOMONTH($AO1633,0)),AND(INDEX(職員マスタ!$H$6:$H$405,$AN1633)&lt;&gt;"",INDEX(職員マスタ!$H$6:$H$405,$AN1633)&lt;$AO1633))),"対象月が時短期間外／","")&amp;IF(AND(INDEX(職員マスタ!$F$6:$F$405,$AN1633)&lt;&gt;"",$AO1633&lt;&gt;"",INDEX(職員マスタ!$F$6:$F$405,$AN1633)&lt;$AO1633),"対象月に子が2歳到達済／","")&amp;IF(AND($H1633&lt;&gt;"",INDEX(職員マスタ!$B$6:$B$405,$AN1633)&lt;&gt;"",SUBSTITUTE(SUBSTITUTE($H1633," ","")," ","")&lt;&gt;SUBSTITUTE(SUBSTITUTE(INDEX(職員マスタ!$B$6:$B$405,$AN1633)," ","")," ","")),"氏名がマスタと相違／","")&amp;IF(AND($Q1633&lt;&gt;"",INDEX(職員マスタ!$E$6:$E$405,$AN1633)&lt;&gt;"",$Q1633&lt;&gt;INDEX(職員マスタ!$E$6:$E$405,$AN1633)),"子の生年月日がマスタと相違／","")&amp;IF(AND($L1633&lt;&gt;"",INDEX(職員マスタ!$G$6:$G$405,$AN1633)&lt;&gt;"",$L1633&lt;&gt;INDEX(職員マスタ!$G$6:$G$405,$AN1633)),"時短開始日がマスタと相違／","")&amp;IF(AND($M1633&lt;&gt;"",INDEX(職員マスタ!$H$6:$H$405,$AN1633)&lt;&gt;"",$M1633&lt;&gt;INDEX(職員マスタ!$H$6:$H$405,$AN1633)),"時短終了日がマスタと相違／","")))&amp;IF(AND($B1633&lt;&gt;"",$E1633=""),"報酬額が未入力／","")&amp;IF(N($U1633)&gt;0,"申請書に入力エラーが残っています／","")&amp;IF(AND($B1633&lt;&gt;"",$AO1633&lt;&gt;""),IF(COUNTIFS($B$6:$B$3005,$B1633,$C$6:$C$3005,$C1633,$D$6:$D$3005,$D1633)&gt;1,"同じ月の請求が重複しています／",""),"")&amp;IF(AND(N($E1633)&gt;0,$Z1633&lt;&gt;"",$Z1633&lt;&gt;"×",$AC1633=0,$AB1633=""),"計算額が下限以下のため不支給／",""))</f>
        <v/>
      </c>
      <c r="AL1633" s="12" t="n"/>
      <c r="AM1633" s="14">
        <f>IF($AD1633="保留中",COUNTIF($AD$6:$AD1633,"保留中"),"")</f>
        <v/>
      </c>
      <c r="AN1633" s="14">
        <f>IF($AO1633="","",IF(SUMPRODUCT(MAX((職員マスタ!$A$6:$A$405=$B1633)*(((職員マスタ!$G$6:$G$405="")+(職員マスタ!$G$6:$G$405&lt;=EOMONTH($AO1633,0)))&gt;0)*(((職員マスタ!$H$6:$H$405="")+(職員マスタ!$H$6:$H$405&gt;=$AO1633))&gt;0)*(ROW(職員マスタ!$A$6:$A$405)-5)))&gt;0,SUMPRODUCT(MAX((職員マスタ!$A$6:$A$405=$B1633)*(((職員マスタ!$G$6:$G$405="")+(職員マスタ!$G$6:$G$405&lt;=EOMONTH($AO1633,0)))&gt;0)*(((職員マスタ!$H$6:$H$405="")+(職員マスタ!$H$6:$H$405&gt;=$AO1633))&gt;0)*(ROW(職員マスタ!$A$6:$A$405)-5))),IFERROR(MATCH($B1633,職員マスタ!$A$6:$A$405,0),"")))</f>
        <v/>
      </c>
      <c r="AO1633" s="16">
        <f>IF(OR($B1633="",$C1633="",$D1633=""),"",DATE($C1633+2018,$D1633,1))</f>
        <v/>
      </c>
    </row>
    <row r="1634">
      <c r="A1634" s="11" t="n"/>
      <c r="B1634" s="12" t="n"/>
      <c r="C1634" s="12" t="n"/>
      <c r="D1634" s="12" t="n"/>
      <c r="E1634" s="13" t="n"/>
      <c r="F1634" s="12" t="n"/>
      <c r="G1634" s="13" t="n"/>
      <c r="H1634" s="12" t="n"/>
      <c r="I1634" s="12" t="n"/>
      <c r="J1634" s="12" t="n"/>
      <c r="K1634" s="12" t="n"/>
      <c r="L1634" s="11" t="n"/>
      <c r="M1634" s="11" t="n"/>
      <c r="N1634" s="11" t="n"/>
      <c r="O1634" s="11" t="n"/>
      <c r="P1634" s="12" t="n"/>
      <c r="Q1634" s="11" t="n"/>
      <c r="R1634" s="12" t="n"/>
      <c r="S1634" s="11" t="n"/>
      <c r="T1634" s="12" t="n"/>
      <c r="U1634" s="12" t="n"/>
      <c r="V1634" s="14">
        <f>IF($AN1634="",IF($B1634="","",$H1634),IF(INDEX(職員マスタ!$B$6:$B$405,$AN1634)="",$H1634,INDEX(職員マスタ!$B$6:$B$405,$AN1634)))</f>
        <v/>
      </c>
      <c r="W1634" s="14">
        <f>IF($AN1634="",IF($B1634="","",$R1634),IF(INDEX(職員マスタ!$C$6:$C$405,$AN1634)="",$R1634,INDEX(職員マスタ!$C$6:$C$405,$AN1634)))</f>
        <v/>
      </c>
      <c r="X1634" s="14">
        <f>IF($AO1634="","","R"&amp;$C1634&amp;"."&amp;$D1634)</f>
        <v/>
      </c>
      <c r="Y1634" s="15">
        <f>IF($AN1634="","",IF(INDEX(職員マスタ!$K$6:$K$405,$AN1634)="","",INDEX(職員マスタ!$K$6:$K$405,$AN1634)))</f>
        <v/>
      </c>
      <c r="Z1634" s="14">
        <f>IF(OR($E1634="",$Y1634=""),"",IF($E1634&gt;=$Y1634,"×",IF($E1634&gt;=$Y1634*設定!$C$5,"△","○")))</f>
        <v/>
      </c>
      <c r="AA1634" s="15">
        <f>IF($Z1634="","",IF($Z1634="×",0,IF($Z1634="○",ROUNDDOWN($E1634*設定!$C$4,0),ROUNDDOWN($E1634*ROUND((9*$Y1634-9*$E1634)/(10*$E1634),4),0))))</f>
        <v/>
      </c>
      <c r="AB1634" s="13" t="n"/>
      <c r="AC1634" s="15">
        <f>IF($B1634="","",IF($AB1634&lt;&gt;"",$AB1634,IF($AA1634="","",IF($AA1634&lt;=設定!$C$3,0,$AA1634))))</f>
        <v/>
      </c>
      <c r="AD1634" s="14">
        <f>IF($B1634="","",IF(AND($AE1634&lt;&gt;"",$AG1634="",$AJ1634=""),"保留中",IF($AJ1634&lt;&gt;"",IF(N($AC1634)&gt;0,"支給済","不支給"),IF($AC1634="","要確認",IF($AC1634=0,"不支給","未処理")))))</f>
        <v/>
      </c>
      <c r="AE1634" s="12" t="n"/>
      <c r="AF1634" s="11" t="n"/>
      <c r="AG1634" s="11" t="n"/>
      <c r="AH1634" s="11" t="n"/>
      <c r="AI1634" s="14">
        <f>IF(AND($AD1634="保留中",$AF1634&lt;&gt;""),TODAY()-$AF1634,"")</f>
        <v/>
      </c>
      <c r="AJ1634" s="12" t="n"/>
      <c r="AK1634" s="14">
        <f>IF($B1634="","",IF($AO1634="","対象年月が未入力／","")&amp;IF($B1634="","",IF($AN1634="","職員マスタに未登録の職員番号／",IF($Y1634="","標準報酬月額が未登録／","")&amp;IF(AND($AO1634&lt;&gt;"",OR(AND(INDEX(職員マスタ!$G$6:$G$405,$AN1634)&lt;&gt;"",INDEX(職員マスタ!$G$6:$G$405,$AN1634)&gt;EOMONTH($AO1634,0)),AND(INDEX(職員マスタ!$H$6:$H$405,$AN1634)&lt;&gt;"",INDEX(職員マスタ!$H$6:$H$405,$AN1634)&lt;$AO1634))),"対象月が時短期間外／","")&amp;IF(AND(INDEX(職員マスタ!$F$6:$F$405,$AN1634)&lt;&gt;"",$AO1634&lt;&gt;"",INDEX(職員マスタ!$F$6:$F$405,$AN1634)&lt;$AO1634),"対象月に子が2歳到達済／","")&amp;IF(AND($H1634&lt;&gt;"",INDEX(職員マスタ!$B$6:$B$405,$AN1634)&lt;&gt;"",SUBSTITUTE(SUBSTITUTE($H1634," ","")," ","")&lt;&gt;SUBSTITUTE(SUBSTITUTE(INDEX(職員マスタ!$B$6:$B$405,$AN1634)," ","")," ","")),"氏名がマスタと相違／","")&amp;IF(AND($Q1634&lt;&gt;"",INDEX(職員マスタ!$E$6:$E$405,$AN1634)&lt;&gt;"",$Q1634&lt;&gt;INDEX(職員マスタ!$E$6:$E$405,$AN1634)),"子の生年月日がマスタと相違／","")&amp;IF(AND($L1634&lt;&gt;"",INDEX(職員マスタ!$G$6:$G$405,$AN1634)&lt;&gt;"",$L1634&lt;&gt;INDEX(職員マスタ!$G$6:$G$405,$AN1634)),"時短開始日がマスタと相違／","")&amp;IF(AND($M1634&lt;&gt;"",INDEX(職員マスタ!$H$6:$H$405,$AN1634)&lt;&gt;"",$M1634&lt;&gt;INDEX(職員マスタ!$H$6:$H$405,$AN1634)),"時短終了日がマスタと相違／","")))&amp;IF(AND($B1634&lt;&gt;"",$E1634=""),"報酬額が未入力／","")&amp;IF(N($U1634)&gt;0,"申請書に入力エラーが残っています／","")&amp;IF(AND($B1634&lt;&gt;"",$AO1634&lt;&gt;""),IF(COUNTIFS($B$6:$B$3005,$B1634,$C$6:$C$3005,$C1634,$D$6:$D$3005,$D1634)&gt;1,"同じ月の請求が重複しています／",""),"")&amp;IF(AND(N($E1634)&gt;0,$Z1634&lt;&gt;"",$Z1634&lt;&gt;"×",$AC1634=0,$AB1634=""),"計算額が下限以下のため不支給／",""))</f>
        <v/>
      </c>
      <c r="AL1634" s="12" t="n"/>
      <c r="AM1634" s="14">
        <f>IF($AD1634="保留中",COUNTIF($AD$6:$AD1634,"保留中"),"")</f>
        <v/>
      </c>
      <c r="AN1634" s="14">
        <f>IF($AO1634="","",IF(SUMPRODUCT(MAX((職員マスタ!$A$6:$A$405=$B1634)*(((職員マスタ!$G$6:$G$405="")+(職員マスタ!$G$6:$G$405&lt;=EOMONTH($AO1634,0)))&gt;0)*(((職員マスタ!$H$6:$H$405="")+(職員マスタ!$H$6:$H$405&gt;=$AO1634))&gt;0)*(ROW(職員マスタ!$A$6:$A$405)-5)))&gt;0,SUMPRODUCT(MAX((職員マスタ!$A$6:$A$405=$B1634)*(((職員マスタ!$G$6:$G$405="")+(職員マスタ!$G$6:$G$405&lt;=EOMONTH($AO1634,0)))&gt;0)*(((職員マスタ!$H$6:$H$405="")+(職員マスタ!$H$6:$H$405&gt;=$AO1634))&gt;0)*(ROW(職員マスタ!$A$6:$A$405)-5))),IFERROR(MATCH($B1634,職員マスタ!$A$6:$A$405,0),"")))</f>
        <v/>
      </c>
      <c r="AO1634" s="16">
        <f>IF(OR($B1634="",$C1634="",$D1634=""),"",DATE($C1634+2018,$D1634,1))</f>
        <v/>
      </c>
    </row>
    <row r="1635">
      <c r="A1635" s="11" t="n"/>
      <c r="B1635" s="12" t="n"/>
      <c r="C1635" s="12" t="n"/>
      <c r="D1635" s="12" t="n"/>
      <c r="E1635" s="13" t="n"/>
      <c r="F1635" s="12" t="n"/>
      <c r="G1635" s="13" t="n"/>
      <c r="H1635" s="12" t="n"/>
      <c r="I1635" s="12" t="n"/>
      <c r="J1635" s="12" t="n"/>
      <c r="K1635" s="12" t="n"/>
      <c r="L1635" s="11" t="n"/>
      <c r="M1635" s="11" t="n"/>
      <c r="N1635" s="11" t="n"/>
      <c r="O1635" s="11" t="n"/>
      <c r="P1635" s="12" t="n"/>
      <c r="Q1635" s="11" t="n"/>
      <c r="R1635" s="12" t="n"/>
      <c r="S1635" s="11" t="n"/>
      <c r="T1635" s="12" t="n"/>
      <c r="U1635" s="12" t="n"/>
      <c r="V1635" s="14">
        <f>IF($AN1635="",IF($B1635="","",$H1635),IF(INDEX(職員マスタ!$B$6:$B$405,$AN1635)="",$H1635,INDEX(職員マスタ!$B$6:$B$405,$AN1635)))</f>
        <v/>
      </c>
      <c r="W1635" s="14">
        <f>IF($AN1635="",IF($B1635="","",$R1635),IF(INDEX(職員マスタ!$C$6:$C$405,$AN1635)="",$R1635,INDEX(職員マスタ!$C$6:$C$405,$AN1635)))</f>
        <v/>
      </c>
      <c r="X1635" s="14">
        <f>IF($AO1635="","","R"&amp;$C1635&amp;"."&amp;$D1635)</f>
        <v/>
      </c>
      <c r="Y1635" s="15">
        <f>IF($AN1635="","",IF(INDEX(職員マスタ!$K$6:$K$405,$AN1635)="","",INDEX(職員マスタ!$K$6:$K$405,$AN1635)))</f>
        <v/>
      </c>
      <c r="Z1635" s="14">
        <f>IF(OR($E1635="",$Y1635=""),"",IF($E1635&gt;=$Y1635,"×",IF($E1635&gt;=$Y1635*設定!$C$5,"△","○")))</f>
        <v/>
      </c>
      <c r="AA1635" s="15">
        <f>IF($Z1635="","",IF($Z1635="×",0,IF($Z1635="○",ROUNDDOWN($E1635*設定!$C$4,0),ROUNDDOWN($E1635*ROUND((9*$Y1635-9*$E1635)/(10*$E1635),4),0))))</f>
        <v/>
      </c>
      <c r="AB1635" s="13" t="n"/>
      <c r="AC1635" s="15">
        <f>IF($B1635="","",IF($AB1635&lt;&gt;"",$AB1635,IF($AA1635="","",IF($AA1635&lt;=設定!$C$3,0,$AA1635))))</f>
        <v/>
      </c>
      <c r="AD1635" s="14">
        <f>IF($B1635="","",IF(AND($AE1635&lt;&gt;"",$AG1635="",$AJ1635=""),"保留中",IF($AJ1635&lt;&gt;"",IF(N($AC1635)&gt;0,"支給済","不支給"),IF($AC1635="","要確認",IF($AC1635=0,"不支給","未処理")))))</f>
        <v/>
      </c>
      <c r="AE1635" s="12" t="n"/>
      <c r="AF1635" s="11" t="n"/>
      <c r="AG1635" s="11" t="n"/>
      <c r="AH1635" s="11" t="n"/>
      <c r="AI1635" s="14">
        <f>IF(AND($AD1635="保留中",$AF1635&lt;&gt;""),TODAY()-$AF1635,"")</f>
        <v/>
      </c>
      <c r="AJ1635" s="12" t="n"/>
      <c r="AK1635" s="14">
        <f>IF($B1635="","",IF($AO1635="","対象年月が未入力／","")&amp;IF($B1635="","",IF($AN1635="","職員マスタに未登録の職員番号／",IF($Y1635="","標準報酬月額が未登録／","")&amp;IF(AND($AO1635&lt;&gt;"",OR(AND(INDEX(職員マスタ!$G$6:$G$405,$AN1635)&lt;&gt;"",INDEX(職員マスタ!$G$6:$G$405,$AN1635)&gt;EOMONTH($AO1635,0)),AND(INDEX(職員マスタ!$H$6:$H$405,$AN1635)&lt;&gt;"",INDEX(職員マスタ!$H$6:$H$405,$AN1635)&lt;$AO1635))),"対象月が時短期間外／","")&amp;IF(AND(INDEX(職員マスタ!$F$6:$F$405,$AN1635)&lt;&gt;"",$AO1635&lt;&gt;"",INDEX(職員マスタ!$F$6:$F$405,$AN1635)&lt;$AO1635),"対象月に子が2歳到達済／","")&amp;IF(AND($H1635&lt;&gt;"",INDEX(職員マスタ!$B$6:$B$405,$AN1635)&lt;&gt;"",SUBSTITUTE(SUBSTITUTE($H1635," ","")," ","")&lt;&gt;SUBSTITUTE(SUBSTITUTE(INDEX(職員マスタ!$B$6:$B$405,$AN1635)," ","")," ","")),"氏名がマスタと相違／","")&amp;IF(AND($Q1635&lt;&gt;"",INDEX(職員マスタ!$E$6:$E$405,$AN1635)&lt;&gt;"",$Q1635&lt;&gt;INDEX(職員マスタ!$E$6:$E$405,$AN1635)),"子の生年月日がマスタと相違／","")&amp;IF(AND($L1635&lt;&gt;"",INDEX(職員マスタ!$G$6:$G$405,$AN1635)&lt;&gt;"",$L1635&lt;&gt;INDEX(職員マスタ!$G$6:$G$405,$AN1635)),"時短開始日がマスタと相違／","")&amp;IF(AND($M1635&lt;&gt;"",INDEX(職員マスタ!$H$6:$H$405,$AN1635)&lt;&gt;"",$M1635&lt;&gt;INDEX(職員マスタ!$H$6:$H$405,$AN1635)),"時短終了日がマスタと相違／","")))&amp;IF(AND($B1635&lt;&gt;"",$E1635=""),"報酬額が未入力／","")&amp;IF(N($U1635)&gt;0,"申請書に入力エラーが残っています／","")&amp;IF(AND($B1635&lt;&gt;"",$AO1635&lt;&gt;""),IF(COUNTIFS($B$6:$B$3005,$B1635,$C$6:$C$3005,$C1635,$D$6:$D$3005,$D1635)&gt;1,"同じ月の請求が重複しています／",""),"")&amp;IF(AND(N($E1635)&gt;0,$Z1635&lt;&gt;"",$Z1635&lt;&gt;"×",$AC1635=0,$AB1635=""),"計算額が下限以下のため不支給／",""))</f>
        <v/>
      </c>
      <c r="AL1635" s="12" t="n"/>
      <c r="AM1635" s="14">
        <f>IF($AD1635="保留中",COUNTIF($AD$6:$AD1635,"保留中"),"")</f>
        <v/>
      </c>
      <c r="AN1635" s="14">
        <f>IF($AO1635="","",IF(SUMPRODUCT(MAX((職員マスタ!$A$6:$A$405=$B1635)*(((職員マスタ!$G$6:$G$405="")+(職員マスタ!$G$6:$G$405&lt;=EOMONTH($AO1635,0)))&gt;0)*(((職員マスタ!$H$6:$H$405="")+(職員マスタ!$H$6:$H$405&gt;=$AO1635))&gt;0)*(ROW(職員マスタ!$A$6:$A$405)-5)))&gt;0,SUMPRODUCT(MAX((職員マスタ!$A$6:$A$405=$B1635)*(((職員マスタ!$G$6:$G$405="")+(職員マスタ!$G$6:$G$405&lt;=EOMONTH($AO1635,0)))&gt;0)*(((職員マスタ!$H$6:$H$405="")+(職員マスタ!$H$6:$H$405&gt;=$AO1635))&gt;0)*(ROW(職員マスタ!$A$6:$A$405)-5))),IFERROR(MATCH($B1635,職員マスタ!$A$6:$A$405,0),"")))</f>
        <v/>
      </c>
      <c r="AO1635" s="16">
        <f>IF(OR($B1635="",$C1635="",$D1635=""),"",DATE($C1635+2018,$D1635,1))</f>
        <v/>
      </c>
    </row>
    <row r="1636">
      <c r="A1636" s="11" t="n"/>
      <c r="B1636" s="12" t="n"/>
      <c r="C1636" s="12" t="n"/>
      <c r="D1636" s="12" t="n"/>
      <c r="E1636" s="13" t="n"/>
      <c r="F1636" s="12" t="n"/>
      <c r="G1636" s="13" t="n"/>
      <c r="H1636" s="12" t="n"/>
      <c r="I1636" s="12" t="n"/>
      <c r="J1636" s="12" t="n"/>
      <c r="K1636" s="12" t="n"/>
      <c r="L1636" s="11" t="n"/>
      <c r="M1636" s="11" t="n"/>
      <c r="N1636" s="11" t="n"/>
      <c r="O1636" s="11" t="n"/>
      <c r="P1636" s="12" t="n"/>
      <c r="Q1636" s="11" t="n"/>
      <c r="R1636" s="12" t="n"/>
      <c r="S1636" s="11" t="n"/>
      <c r="T1636" s="12" t="n"/>
      <c r="U1636" s="12" t="n"/>
      <c r="V1636" s="14">
        <f>IF($AN1636="",IF($B1636="","",$H1636),IF(INDEX(職員マスタ!$B$6:$B$405,$AN1636)="",$H1636,INDEX(職員マスタ!$B$6:$B$405,$AN1636)))</f>
        <v/>
      </c>
      <c r="W1636" s="14">
        <f>IF($AN1636="",IF($B1636="","",$R1636),IF(INDEX(職員マスタ!$C$6:$C$405,$AN1636)="",$R1636,INDEX(職員マスタ!$C$6:$C$405,$AN1636)))</f>
        <v/>
      </c>
      <c r="X1636" s="14">
        <f>IF($AO1636="","","R"&amp;$C1636&amp;"."&amp;$D1636)</f>
        <v/>
      </c>
      <c r="Y1636" s="15">
        <f>IF($AN1636="","",IF(INDEX(職員マスタ!$K$6:$K$405,$AN1636)="","",INDEX(職員マスタ!$K$6:$K$405,$AN1636)))</f>
        <v/>
      </c>
      <c r="Z1636" s="14">
        <f>IF(OR($E1636="",$Y1636=""),"",IF($E1636&gt;=$Y1636,"×",IF($E1636&gt;=$Y1636*設定!$C$5,"△","○")))</f>
        <v/>
      </c>
      <c r="AA1636" s="15">
        <f>IF($Z1636="","",IF($Z1636="×",0,IF($Z1636="○",ROUNDDOWN($E1636*設定!$C$4,0),ROUNDDOWN($E1636*ROUND((9*$Y1636-9*$E1636)/(10*$E1636),4),0))))</f>
        <v/>
      </c>
      <c r="AB1636" s="13" t="n"/>
      <c r="AC1636" s="15">
        <f>IF($B1636="","",IF($AB1636&lt;&gt;"",$AB1636,IF($AA1636="","",IF($AA1636&lt;=設定!$C$3,0,$AA1636))))</f>
        <v/>
      </c>
      <c r="AD1636" s="14">
        <f>IF($B1636="","",IF(AND($AE1636&lt;&gt;"",$AG1636="",$AJ1636=""),"保留中",IF($AJ1636&lt;&gt;"",IF(N($AC1636)&gt;0,"支給済","不支給"),IF($AC1636="","要確認",IF($AC1636=0,"不支給","未処理")))))</f>
        <v/>
      </c>
      <c r="AE1636" s="12" t="n"/>
      <c r="AF1636" s="11" t="n"/>
      <c r="AG1636" s="11" t="n"/>
      <c r="AH1636" s="11" t="n"/>
      <c r="AI1636" s="14">
        <f>IF(AND($AD1636="保留中",$AF1636&lt;&gt;""),TODAY()-$AF1636,"")</f>
        <v/>
      </c>
      <c r="AJ1636" s="12" t="n"/>
      <c r="AK1636" s="14">
        <f>IF($B1636="","",IF($AO1636="","対象年月が未入力／","")&amp;IF($B1636="","",IF($AN1636="","職員マスタに未登録の職員番号／",IF($Y1636="","標準報酬月額が未登録／","")&amp;IF(AND($AO1636&lt;&gt;"",OR(AND(INDEX(職員マスタ!$G$6:$G$405,$AN1636)&lt;&gt;"",INDEX(職員マスタ!$G$6:$G$405,$AN1636)&gt;EOMONTH($AO1636,0)),AND(INDEX(職員マスタ!$H$6:$H$405,$AN1636)&lt;&gt;"",INDEX(職員マスタ!$H$6:$H$405,$AN1636)&lt;$AO1636))),"対象月が時短期間外／","")&amp;IF(AND(INDEX(職員マスタ!$F$6:$F$405,$AN1636)&lt;&gt;"",$AO1636&lt;&gt;"",INDEX(職員マスタ!$F$6:$F$405,$AN1636)&lt;$AO1636),"対象月に子が2歳到達済／","")&amp;IF(AND($H1636&lt;&gt;"",INDEX(職員マスタ!$B$6:$B$405,$AN1636)&lt;&gt;"",SUBSTITUTE(SUBSTITUTE($H1636," ","")," ","")&lt;&gt;SUBSTITUTE(SUBSTITUTE(INDEX(職員マスタ!$B$6:$B$405,$AN1636)," ","")," ","")),"氏名がマスタと相違／","")&amp;IF(AND($Q1636&lt;&gt;"",INDEX(職員マスタ!$E$6:$E$405,$AN1636)&lt;&gt;"",$Q1636&lt;&gt;INDEX(職員マスタ!$E$6:$E$405,$AN1636)),"子の生年月日がマスタと相違／","")&amp;IF(AND($L1636&lt;&gt;"",INDEX(職員マスタ!$G$6:$G$405,$AN1636)&lt;&gt;"",$L1636&lt;&gt;INDEX(職員マスタ!$G$6:$G$405,$AN1636)),"時短開始日がマスタと相違／","")&amp;IF(AND($M1636&lt;&gt;"",INDEX(職員マスタ!$H$6:$H$405,$AN1636)&lt;&gt;"",$M1636&lt;&gt;INDEX(職員マスタ!$H$6:$H$405,$AN1636)),"時短終了日がマスタと相違／","")))&amp;IF(AND($B1636&lt;&gt;"",$E1636=""),"報酬額が未入力／","")&amp;IF(N($U1636)&gt;0,"申請書に入力エラーが残っています／","")&amp;IF(AND($B1636&lt;&gt;"",$AO1636&lt;&gt;""),IF(COUNTIFS($B$6:$B$3005,$B1636,$C$6:$C$3005,$C1636,$D$6:$D$3005,$D1636)&gt;1,"同じ月の請求が重複しています／",""),"")&amp;IF(AND(N($E1636)&gt;0,$Z1636&lt;&gt;"",$Z1636&lt;&gt;"×",$AC1636=0,$AB1636=""),"計算額が下限以下のため不支給／",""))</f>
        <v/>
      </c>
      <c r="AL1636" s="12" t="n"/>
      <c r="AM1636" s="14">
        <f>IF($AD1636="保留中",COUNTIF($AD$6:$AD1636,"保留中"),"")</f>
        <v/>
      </c>
      <c r="AN1636" s="14">
        <f>IF($AO1636="","",IF(SUMPRODUCT(MAX((職員マスタ!$A$6:$A$405=$B1636)*(((職員マスタ!$G$6:$G$405="")+(職員マスタ!$G$6:$G$405&lt;=EOMONTH($AO1636,0)))&gt;0)*(((職員マスタ!$H$6:$H$405="")+(職員マスタ!$H$6:$H$405&gt;=$AO1636))&gt;0)*(ROW(職員マスタ!$A$6:$A$405)-5)))&gt;0,SUMPRODUCT(MAX((職員マスタ!$A$6:$A$405=$B1636)*(((職員マスタ!$G$6:$G$405="")+(職員マスタ!$G$6:$G$405&lt;=EOMONTH($AO1636,0)))&gt;0)*(((職員マスタ!$H$6:$H$405="")+(職員マスタ!$H$6:$H$405&gt;=$AO1636))&gt;0)*(ROW(職員マスタ!$A$6:$A$405)-5))),IFERROR(MATCH($B1636,職員マスタ!$A$6:$A$405,0),"")))</f>
        <v/>
      </c>
      <c r="AO1636" s="16">
        <f>IF(OR($B1636="",$C1636="",$D1636=""),"",DATE($C1636+2018,$D1636,1))</f>
        <v/>
      </c>
    </row>
    <row r="1637">
      <c r="A1637" s="11" t="n"/>
      <c r="B1637" s="12" t="n"/>
      <c r="C1637" s="12" t="n"/>
      <c r="D1637" s="12" t="n"/>
      <c r="E1637" s="13" t="n"/>
      <c r="F1637" s="12" t="n"/>
      <c r="G1637" s="13" t="n"/>
      <c r="H1637" s="12" t="n"/>
      <c r="I1637" s="12" t="n"/>
      <c r="J1637" s="12" t="n"/>
      <c r="K1637" s="12" t="n"/>
      <c r="L1637" s="11" t="n"/>
      <c r="M1637" s="11" t="n"/>
      <c r="N1637" s="11" t="n"/>
      <c r="O1637" s="11" t="n"/>
      <c r="P1637" s="12" t="n"/>
      <c r="Q1637" s="11" t="n"/>
      <c r="R1637" s="12" t="n"/>
      <c r="S1637" s="11" t="n"/>
      <c r="T1637" s="12" t="n"/>
      <c r="U1637" s="12" t="n"/>
      <c r="V1637" s="14">
        <f>IF($AN1637="",IF($B1637="","",$H1637),IF(INDEX(職員マスタ!$B$6:$B$405,$AN1637)="",$H1637,INDEX(職員マスタ!$B$6:$B$405,$AN1637)))</f>
        <v/>
      </c>
      <c r="W1637" s="14">
        <f>IF($AN1637="",IF($B1637="","",$R1637),IF(INDEX(職員マスタ!$C$6:$C$405,$AN1637)="",$R1637,INDEX(職員マスタ!$C$6:$C$405,$AN1637)))</f>
        <v/>
      </c>
      <c r="X1637" s="14">
        <f>IF($AO1637="","","R"&amp;$C1637&amp;"."&amp;$D1637)</f>
        <v/>
      </c>
      <c r="Y1637" s="15">
        <f>IF($AN1637="","",IF(INDEX(職員マスタ!$K$6:$K$405,$AN1637)="","",INDEX(職員マスタ!$K$6:$K$405,$AN1637)))</f>
        <v/>
      </c>
      <c r="Z1637" s="14">
        <f>IF(OR($E1637="",$Y1637=""),"",IF($E1637&gt;=$Y1637,"×",IF($E1637&gt;=$Y1637*設定!$C$5,"△","○")))</f>
        <v/>
      </c>
      <c r="AA1637" s="15">
        <f>IF($Z1637="","",IF($Z1637="×",0,IF($Z1637="○",ROUNDDOWN($E1637*設定!$C$4,0),ROUNDDOWN($E1637*ROUND((9*$Y1637-9*$E1637)/(10*$E1637),4),0))))</f>
        <v/>
      </c>
      <c r="AB1637" s="13" t="n"/>
      <c r="AC1637" s="15">
        <f>IF($B1637="","",IF($AB1637&lt;&gt;"",$AB1637,IF($AA1637="","",IF($AA1637&lt;=設定!$C$3,0,$AA1637))))</f>
        <v/>
      </c>
      <c r="AD1637" s="14">
        <f>IF($B1637="","",IF(AND($AE1637&lt;&gt;"",$AG1637="",$AJ1637=""),"保留中",IF($AJ1637&lt;&gt;"",IF(N($AC1637)&gt;0,"支給済","不支給"),IF($AC1637="","要確認",IF($AC1637=0,"不支給","未処理")))))</f>
        <v/>
      </c>
      <c r="AE1637" s="12" t="n"/>
      <c r="AF1637" s="11" t="n"/>
      <c r="AG1637" s="11" t="n"/>
      <c r="AH1637" s="11" t="n"/>
      <c r="AI1637" s="14">
        <f>IF(AND($AD1637="保留中",$AF1637&lt;&gt;""),TODAY()-$AF1637,"")</f>
        <v/>
      </c>
      <c r="AJ1637" s="12" t="n"/>
      <c r="AK1637" s="14">
        <f>IF($B1637="","",IF($AO1637="","対象年月が未入力／","")&amp;IF($B1637="","",IF($AN1637="","職員マスタに未登録の職員番号／",IF($Y1637="","標準報酬月額が未登録／","")&amp;IF(AND($AO1637&lt;&gt;"",OR(AND(INDEX(職員マスタ!$G$6:$G$405,$AN1637)&lt;&gt;"",INDEX(職員マスタ!$G$6:$G$405,$AN1637)&gt;EOMONTH($AO1637,0)),AND(INDEX(職員マスタ!$H$6:$H$405,$AN1637)&lt;&gt;"",INDEX(職員マスタ!$H$6:$H$405,$AN1637)&lt;$AO1637))),"対象月が時短期間外／","")&amp;IF(AND(INDEX(職員マスタ!$F$6:$F$405,$AN1637)&lt;&gt;"",$AO1637&lt;&gt;"",INDEX(職員マスタ!$F$6:$F$405,$AN1637)&lt;$AO1637),"対象月に子が2歳到達済／","")&amp;IF(AND($H1637&lt;&gt;"",INDEX(職員マスタ!$B$6:$B$405,$AN1637)&lt;&gt;"",SUBSTITUTE(SUBSTITUTE($H1637," ","")," ","")&lt;&gt;SUBSTITUTE(SUBSTITUTE(INDEX(職員マスタ!$B$6:$B$405,$AN1637)," ","")," ","")),"氏名がマスタと相違／","")&amp;IF(AND($Q1637&lt;&gt;"",INDEX(職員マスタ!$E$6:$E$405,$AN1637)&lt;&gt;"",$Q1637&lt;&gt;INDEX(職員マスタ!$E$6:$E$405,$AN1637)),"子の生年月日がマスタと相違／","")&amp;IF(AND($L1637&lt;&gt;"",INDEX(職員マスタ!$G$6:$G$405,$AN1637)&lt;&gt;"",$L1637&lt;&gt;INDEX(職員マスタ!$G$6:$G$405,$AN1637)),"時短開始日がマスタと相違／","")&amp;IF(AND($M1637&lt;&gt;"",INDEX(職員マスタ!$H$6:$H$405,$AN1637)&lt;&gt;"",$M1637&lt;&gt;INDEX(職員マスタ!$H$6:$H$405,$AN1637)),"時短終了日がマスタと相違／","")))&amp;IF(AND($B1637&lt;&gt;"",$E1637=""),"報酬額が未入力／","")&amp;IF(N($U1637)&gt;0,"申請書に入力エラーが残っています／","")&amp;IF(AND($B1637&lt;&gt;"",$AO1637&lt;&gt;""),IF(COUNTIFS($B$6:$B$3005,$B1637,$C$6:$C$3005,$C1637,$D$6:$D$3005,$D1637)&gt;1,"同じ月の請求が重複しています／",""),"")&amp;IF(AND(N($E1637)&gt;0,$Z1637&lt;&gt;"",$Z1637&lt;&gt;"×",$AC1637=0,$AB1637=""),"計算額が下限以下のため不支給／",""))</f>
        <v/>
      </c>
      <c r="AL1637" s="12" t="n"/>
      <c r="AM1637" s="14">
        <f>IF($AD1637="保留中",COUNTIF($AD$6:$AD1637,"保留中"),"")</f>
        <v/>
      </c>
      <c r="AN1637" s="14">
        <f>IF($AO1637="","",IF(SUMPRODUCT(MAX((職員マスタ!$A$6:$A$405=$B1637)*(((職員マスタ!$G$6:$G$405="")+(職員マスタ!$G$6:$G$405&lt;=EOMONTH($AO1637,0)))&gt;0)*(((職員マスタ!$H$6:$H$405="")+(職員マスタ!$H$6:$H$405&gt;=$AO1637))&gt;0)*(ROW(職員マスタ!$A$6:$A$405)-5)))&gt;0,SUMPRODUCT(MAX((職員マスタ!$A$6:$A$405=$B1637)*(((職員マスタ!$G$6:$G$405="")+(職員マスタ!$G$6:$G$405&lt;=EOMONTH($AO1637,0)))&gt;0)*(((職員マスタ!$H$6:$H$405="")+(職員マスタ!$H$6:$H$405&gt;=$AO1637))&gt;0)*(ROW(職員マスタ!$A$6:$A$405)-5))),IFERROR(MATCH($B1637,職員マスタ!$A$6:$A$405,0),"")))</f>
        <v/>
      </c>
      <c r="AO1637" s="16">
        <f>IF(OR($B1637="",$C1637="",$D1637=""),"",DATE($C1637+2018,$D1637,1))</f>
        <v/>
      </c>
    </row>
    <row r="1638">
      <c r="A1638" s="11" t="n"/>
      <c r="B1638" s="12" t="n"/>
      <c r="C1638" s="12" t="n"/>
      <c r="D1638" s="12" t="n"/>
      <c r="E1638" s="13" t="n"/>
      <c r="F1638" s="12" t="n"/>
      <c r="G1638" s="13" t="n"/>
      <c r="H1638" s="12" t="n"/>
      <c r="I1638" s="12" t="n"/>
      <c r="J1638" s="12" t="n"/>
      <c r="K1638" s="12" t="n"/>
      <c r="L1638" s="11" t="n"/>
      <c r="M1638" s="11" t="n"/>
      <c r="N1638" s="11" t="n"/>
      <c r="O1638" s="11" t="n"/>
      <c r="P1638" s="12" t="n"/>
      <c r="Q1638" s="11" t="n"/>
      <c r="R1638" s="12" t="n"/>
      <c r="S1638" s="11" t="n"/>
      <c r="T1638" s="12" t="n"/>
      <c r="U1638" s="12" t="n"/>
      <c r="V1638" s="14">
        <f>IF($AN1638="",IF($B1638="","",$H1638),IF(INDEX(職員マスタ!$B$6:$B$405,$AN1638)="",$H1638,INDEX(職員マスタ!$B$6:$B$405,$AN1638)))</f>
        <v/>
      </c>
      <c r="W1638" s="14">
        <f>IF($AN1638="",IF($B1638="","",$R1638),IF(INDEX(職員マスタ!$C$6:$C$405,$AN1638)="",$R1638,INDEX(職員マスタ!$C$6:$C$405,$AN1638)))</f>
        <v/>
      </c>
      <c r="X1638" s="14">
        <f>IF($AO1638="","","R"&amp;$C1638&amp;"."&amp;$D1638)</f>
        <v/>
      </c>
      <c r="Y1638" s="15">
        <f>IF($AN1638="","",IF(INDEX(職員マスタ!$K$6:$K$405,$AN1638)="","",INDEX(職員マスタ!$K$6:$K$405,$AN1638)))</f>
        <v/>
      </c>
      <c r="Z1638" s="14">
        <f>IF(OR($E1638="",$Y1638=""),"",IF($E1638&gt;=$Y1638,"×",IF($E1638&gt;=$Y1638*設定!$C$5,"△","○")))</f>
        <v/>
      </c>
      <c r="AA1638" s="15">
        <f>IF($Z1638="","",IF($Z1638="×",0,IF($Z1638="○",ROUNDDOWN($E1638*設定!$C$4,0),ROUNDDOWN($E1638*ROUND((9*$Y1638-9*$E1638)/(10*$E1638),4),0))))</f>
        <v/>
      </c>
      <c r="AB1638" s="13" t="n"/>
      <c r="AC1638" s="15">
        <f>IF($B1638="","",IF($AB1638&lt;&gt;"",$AB1638,IF($AA1638="","",IF($AA1638&lt;=設定!$C$3,0,$AA1638))))</f>
        <v/>
      </c>
      <c r="AD1638" s="14">
        <f>IF($B1638="","",IF(AND($AE1638&lt;&gt;"",$AG1638="",$AJ1638=""),"保留中",IF($AJ1638&lt;&gt;"",IF(N($AC1638)&gt;0,"支給済","不支給"),IF($AC1638="","要確認",IF($AC1638=0,"不支給","未処理")))))</f>
        <v/>
      </c>
      <c r="AE1638" s="12" t="n"/>
      <c r="AF1638" s="11" t="n"/>
      <c r="AG1638" s="11" t="n"/>
      <c r="AH1638" s="11" t="n"/>
      <c r="AI1638" s="14">
        <f>IF(AND($AD1638="保留中",$AF1638&lt;&gt;""),TODAY()-$AF1638,"")</f>
        <v/>
      </c>
      <c r="AJ1638" s="12" t="n"/>
      <c r="AK1638" s="14">
        <f>IF($B1638="","",IF($AO1638="","対象年月が未入力／","")&amp;IF($B1638="","",IF($AN1638="","職員マスタに未登録の職員番号／",IF($Y1638="","標準報酬月額が未登録／","")&amp;IF(AND($AO1638&lt;&gt;"",OR(AND(INDEX(職員マスタ!$G$6:$G$405,$AN1638)&lt;&gt;"",INDEX(職員マスタ!$G$6:$G$405,$AN1638)&gt;EOMONTH($AO1638,0)),AND(INDEX(職員マスタ!$H$6:$H$405,$AN1638)&lt;&gt;"",INDEX(職員マスタ!$H$6:$H$405,$AN1638)&lt;$AO1638))),"対象月が時短期間外／","")&amp;IF(AND(INDEX(職員マスタ!$F$6:$F$405,$AN1638)&lt;&gt;"",$AO1638&lt;&gt;"",INDEX(職員マスタ!$F$6:$F$405,$AN1638)&lt;$AO1638),"対象月に子が2歳到達済／","")&amp;IF(AND($H1638&lt;&gt;"",INDEX(職員マスタ!$B$6:$B$405,$AN1638)&lt;&gt;"",SUBSTITUTE(SUBSTITUTE($H1638," ","")," ","")&lt;&gt;SUBSTITUTE(SUBSTITUTE(INDEX(職員マスタ!$B$6:$B$405,$AN1638)," ","")," ","")),"氏名がマスタと相違／","")&amp;IF(AND($Q1638&lt;&gt;"",INDEX(職員マスタ!$E$6:$E$405,$AN1638)&lt;&gt;"",$Q1638&lt;&gt;INDEX(職員マスタ!$E$6:$E$405,$AN1638)),"子の生年月日がマスタと相違／","")&amp;IF(AND($L1638&lt;&gt;"",INDEX(職員マスタ!$G$6:$G$405,$AN1638)&lt;&gt;"",$L1638&lt;&gt;INDEX(職員マスタ!$G$6:$G$405,$AN1638)),"時短開始日がマスタと相違／","")&amp;IF(AND($M1638&lt;&gt;"",INDEX(職員マスタ!$H$6:$H$405,$AN1638)&lt;&gt;"",$M1638&lt;&gt;INDEX(職員マスタ!$H$6:$H$405,$AN1638)),"時短終了日がマスタと相違／","")))&amp;IF(AND($B1638&lt;&gt;"",$E1638=""),"報酬額が未入力／","")&amp;IF(N($U1638)&gt;0,"申請書に入力エラーが残っています／","")&amp;IF(AND($B1638&lt;&gt;"",$AO1638&lt;&gt;""),IF(COUNTIFS($B$6:$B$3005,$B1638,$C$6:$C$3005,$C1638,$D$6:$D$3005,$D1638)&gt;1,"同じ月の請求が重複しています／",""),"")&amp;IF(AND(N($E1638)&gt;0,$Z1638&lt;&gt;"",$Z1638&lt;&gt;"×",$AC1638=0,$AB1638=""),"計算額が下限以下のため不支給／",""))</f>
        <v/>
      </c>
      <c r="AL1638" s="12" t="n"/>
      <c r="AM1638" s="14">
        <f>IF($AD1638="保留中",COUNTIF($AD$6:$AD1638,"保留中"),"")</f>
        <v/>
      </c>
      <c r="AN1638" s="14">
        <f>IF($AO1638="","",IF(SUMPRODUCT(MAX((職員マスタ!$A$6:$A$405=$B1638)*(((職員マスタ!$G$6:$G$405="")+(職員マスタ!$G$6:$G$405&lt;=EOMONTH($AO1638,0)))&gt;0)*(((職員マスタ!$H$6:$H$405="")+(職員マスタ!$H$6:$H$405&gt;=$AO1638))&gt;0)*(ROW(職員マスタ!$A$6:$A$405)-5)))&gt;0,SUMPRODUCT(MAX((職員マスタ!$A$6:$A$405=$B1638)*(((職員マスタ!$G$6:$G$405="")+(職員マスタ!$G$6:$G$405&lt;=EOMONTH($AO1638,0)))&gt;0)*(((職員マスタ!$H$6:$H$405="")+(職員マスタ!$H$6:$H$405&gt;=$AO1638))&gt;0)*(ROW(職員マスタ!$A$6:$A$405)-5))),IFERROR(MATCH($B1638,職員マスタ!$A$6:$A$405,0),"")))</f>
        <v/>
      </c>
      <c r="AO1638" s="16">
        <f>IF(OR($B1638="",$C1638="",$D1638=""),"",DATE($C1638+2018,$D1638,1))</f>
        <v/>
      </c>
    </row>
    <row r="1639">
      <c r="A1639" s="11" t="n"/>
      <c r="B1639" s="12" t="n"/>
      <c r="C1639" s="12" t="n"/>
      <c r="D1639" s="12" t="n"/>
      <c r="E1639" s="13" t="n"/>
      <c r="F1639" s="12" t="n"/>
      <c r="G1639" s="13" t="n"/>
      <c r="H1639" s="12" t="n"/>
      <c r="I1639" s="12" t="n"/>
      <c r="J1639" s="12" t="n"/>
      <c r="K1639" s="12" t="n"/>
      <c r="L1639" s="11" t="n"/>
      <c r="M1639" s="11" t="n"/>
      <c r="N1639" s="11" t="n"/>
      <c r="O1639" s="11" t="n"/>
      <c r="P1639" s="12" t="n"/>
      <c r="Q1639" s="11" t="n"/>
      <c r="R1639" s="12" t="n"/>
      <c r="S1639" s="11" t="n"/>
      <c r="T1639" s="12" t="n"/>
      <c r="U1639" s="12" t="n"/>
      <c r="V1639" s="14">
        <f>IF($AN1639="",IF($B1639="","",$H1639),IF(INDEX(職員マスタ!$B$6:$B$405,$AN1639)="",$H1639,INDEX(職員マスタ!$B$6:$B$405,$AN1639)))</f>
        <v/>
      </c>
      <c r="W1639" s="14">
        <f>IF($AN1639="",IF($B1639="","",$R1639),IF(INDEX(職員マスタ!$C$6:$C$405,$AN1639)="",$R1639,INDEX(職員マスタ!$C$6:$C$405,$AN1639)))</f>
        <v/>
      </c>
      <c r="X1639" s="14">
        <f>IF($AO1639="","","R"&amp;$C1639&amp;"."&amp;$D1639)</f>
        <v/>
      </c>
      <c r="Y1639" s="15">
        <f>IF($AN1639="","",IF(INDEX(職員マスタ!$K$6:$K$405,$AN1639)="","",INDEX(職員マスタ!$K$6:$K$405,$AN1639)))</f>
        <v/>
      </c>
      <c r="Z1639" s="14">
        <f>IF(OR($E1639="",$Y1639=""),"",IF($E1639&gt;=$Y1639,"×",IF($E1639&gt;=$Y1639*設定!$C$5,"△","○")))</f>
        <v/>
      </c>
      <c r="AA1639" s="15">
        <f>IF($Z1639="","",IF($Z1639="×",0,IF($Z1639="○",ROUNDDOWN($E1639*設定!$C$4,0),ROUNDDOWN($E1639*ROUND((9*$Y1639-9*$E1639)/(10*$E1639),4),0))))</f>
        <v/>
      </c>
      <c r="AB1639" s="13" t="n"/>
      <c r="AC1639" s="15">
        <f>IF($B1639="","",IF($AB1639&lt;&gt;"",$AB1639,IF($AA1639="","",IF($AA1639&lt;=設定!$C$3,0,$AA1639))))</f>
        <v/>
      </c>
      <c r="AD1639" s="14">
        <f>IF($B1639="","",IF(AND($AE1639&lt;&gt;"",$AG1639="",$AJ1639=""),"保留中",IF($AJ1639&lt;&gt;"",IF(N($AC1639)&gt;0,"支給済","不支給"),IF($AC1639="","要確認",IF($AC1639=0,"不支給","未処理")))))</f>
        <v/>
      </c>
      <c r="AE1639" s="12" t="n"/>
      <c r="AF1639" s="11" t="n"/>
      <c r="AG1639" s="11" t="n"/>
      <c r="AH1639" s="11" t="n"/>
      <c r="AI1639" s="14">
        <f>IF(AND($AD1639="保留中",$AF1639&lt;&gt;""),TODAY()-$AF1639,"")</f>
        <v/>
      </c>
      <c r="AJ1639" s="12" t="n"/>
      <c r="AK1639" s="14">
        <f>IF($B1639="","",IF($AO1639="","対象年月が未入力／","")&amp;IF($B1639="","",IF($AN1639="","職員マスタに未登録の職員番号／",IF($Y1639="","標準報酬月額が未登録／","")&amp;IF(AND($AO1639&lt;&gt;"",OR(AND(INDEX(職員マスタ!$G$6:$G$405,$AN1639)&lt;&gt;"",INDEX(職員マスタ!$G$6:$G$405,$AN1639)&gt;EOMONTH($AO1639,0)),AND(INDEX(職員マスタ!$H$6:$H$405,$AN1639)&lt;&gt;"",INDEX(職員マスタ!$H$6:$H$405,$AN1639)&lt;$AO1639))),"対象月が時短期間外／","")&amp;IF(AND(INDEX(職員マスタ!$F$6:$F$405,$AN1639)&lt;&gt;"",$AO1639&lt;&gt;"",INDEX(職員マスタ!$F$6:$F$405,$AN1639)&lt;$AO1639),"対象月に子が2歳到達済／","")&amp;IF(AND($H1639&lt;&gt;"",INDEX(職員マスタ!$B$6:$B$405,$AN1639)&lt;&gt;"",SUBSTITUTE(SUBSTITUTE($H1639," ","")," ","")&lt;&gt;SUBSTITUTE(SUBSTITUTE(INDEX(職員マスタ!$B$6:$B$405,$AN1639)," ","")," ","")),"氏名がマスタと相違／","")&amp;IF(AND($Q1639&lt;&gt;"",INDEX(職員マスタ!$E$6:$E$405,$AN1639)&lt;&gt;"",$Q1639&lt;&gt;INDEX(職員マスタ!$E$6:$E$405,$AN1639)),"子の生年月日がマスタと相違／","")&amp;IF(AND($L1639&lt;&gt;"",INDEX(職員マスタ!$G$6:$G$405,$AN1639)&lt;&gt;"",$L1639&lt;&gt;INDEX(職員マスタ!$G$6:$G$405,$AN1639)),"時短開始日がマスタと相違／","")&amp;IF(AND($M1639&lt;&gt;"",INDEX(職員マスタ!$H$6:$H$405,$AN1639)&lt;&gt;"",$M1639&lt;&gt;INDEX(職員マスタ!$H$6:$H$405,$AN1639)),"時短終了日がマスタと相違／","")))&amp;IF(AND($B1639&lt;&gt;"",$E1639=""),"報酬額が未入力／","")&amp;IF(N($U1639)&gt;0,"申請書に入力エラーが残っています／","")&amp;IF(AND($B1639&lt;&gt;"",$AO1639&lt;&gt;""),IF(COUNTIFS($B$6:$B$3005,$B1639,$C$6:$C$3005,$C1639,$D$6:$D$3005,$D1639)&gt;1,"同じ月の請求が重複しています／",""),"")&amp;IF(AND(N($E1639)&gt;0,$Z1639&lt;&gt;"",$Z1639&lt;&gt;"×",$AC1639=0,$AB1639=""),"計算額が下限以下のため不支給／",""))</f>
        <v/>
      </c>
      <c r="AL1639" s="12" t="n"/>
      <c r="AM1639" s="14">
        <f>IF($AD1639="保留中",COUNTIF($AD$6:$AD1639,"保留中"),"")</f>
        <v/>
      </c>
      <c r="AN1639" s="14">
        <f>IF($AO1639="","",IF(SUMPRODUCT(MAX((職員マスタ!$A$6:$A$405=$B1639)*(((職員マスタ!$G$6:$G$405="")+(職員マスタ!$G$6:$G$405&lt;=EOMONTH($AO1639,0)))&gt;0)*(((職員マスタ!$H$6:$H$405="")+(職員マスタ!$H$6:$H$405&gt;=$AO1639))&gt;0)*(ROW(職員マスタ!$A$6:$A$405)-5)))&gt;0,SUMPRODUCT(MAX((職員マスタ!$A$6:$A$405=$B1639)*(((職員マスタ!$G$6:$G$405="")+(職員マスタ!$G$6:$G$405&lt;=EOMONTH($AO1639,0)))&gt;0)*(((職員マスタ!$H$6:$H$405="")+(職員マスタ!$H$6:$H$405&gt;=$AO1639))&gt;0)*(ROW(職員マスタ!$A$6:$A$405)-5))),IFERROR(MATCH($B1639,職員マスタ!$A$6:$A$405,0),"")))</f>
        <v/>
      </c>
      <c r="AO1639" s="16">
        <f>IF(OR($B1639="",$C1639="",$D1639=""),"",DATE($C1639+2018,$D1639,1))</f>
        <v/>
      </c>
    </row>
    <row r="1640">
      <c r="A1640" s="11" t="n"/>
      <c r="B1640" s="12" t="n"/>
      <c r="C1640" s="12" t="n"/>
      <c r="D1640" s="12" t="n"/>
      <c r="E1640" s="13" t="n"/>
      <c r="F1640" s="12" t="n"/>
      <c r="G1640" s="13" t="n"/>
      <c r="H1640" s="12" t="n"/>
      <c r="I1640" s="12" t="n"/>
      <c r="J1640" s="12" t="n"/>
      <c r="K1640" s="12" t="n"/>
      <c r="L1640" s="11" t="n"/>
      <c r="M1640" s="11" t="n"/>
      <c r="N1640" s="11" t="n"/>
      <c r="O1640" s="11" t="n"/>
      <c r="P1640" s="12" t="n"/>
      <c r="Q1640" s="11" t="n"/>
      <c r="R1640" s="12" t="n"/>
      <c r="S1640" s="11" t="n"/>
      <c r="T1640" s="12" t="n"/>
      <c r="U1640" s="12" t="n"/>
      <c r="V1640" s="14">
        <f>IF($AN1640="",IF($B1640="","",$H1640),IF(INDEX(職員マスタ!$B$6:$B$405,$AN1640)="",$H1640,INDEX(職員マスタ!$B$6:$B$405,$AN1640)))</f>
        <v/>
      </c>
      <c r="W1640" s="14">
        <f>IF($AN1640="",IF($B1640="","",$R1640),IF(INDEX(職員マスタ!$C$6:$C$405,$AN1640)="",$R1640,INDEX(職員マスタ!$C$6:$C$405,$AN1640)))</f>
        <v/>
      </c>
      <c r="X1640" s="14">
        <f>IF($AO1640="","","R"&amp;$C1640&amp;"."&amp;$D1640)</f>
        <v/>
      </c>
      <c r="Y1640" s="15">
        <f>IF($AN1640="","",IF(INDEX(職員マスタ!$K$6:$K$405,$AN1640)="","",INDEX(職員マスタ!$K$6:$K$405,$AN1640)))</f>
        <v/>
      </c>
      <c r="Z1640" s="14">
        <f>IF(OR($E1640="",$Y1640=""),"",IF($E1640&gt;=$Y1640,"×",IF($E1640&gt;=$Y1640*設定!$C$5,"△","○")))</f>
        <v/>
      </c>
      <c r="AA1640" s="15">
        <f>IF($Z1640="","",IF($Z1640="×",0,IF($Z1640="○",ROUNDDOWN($E1640*設定!$C$4,0),ROUNDDOWN($E1640*ROUND((9*$Y1640-9*$E1640)/(10*$E1640),4),0))))</f>
        <v/>
      </c>
      <c r="AB1640" s="13" t="n"/>
      <c r="AC1640" s="15">
        <f>IF($B1640="","",IF($AB1640&lt;&gt;"",$AB1640,IF($AA1640="","",IF($AA1640&lt;=設定!$C$3,0,$AA1640))))</f>
        <v/>
      </c>
      <c r="AD1640" s="14">
        <f>IF($B1640="","",IF(AND($AE1640&lt;&gt;"",$AG1640="",$AJ1640=""),"保留中",IF($AJ1640&lt;&gt;"",IF(N($AC1640)&gt;0,"支給済","不支給"),IF($AC1640="","要確認",IF($AC1640=0,"不支給","未処理")))))</f>
        <v/>
      </c>
      <c r="AE1640" s="12" t="n"/>
      <c r="AF1640" s="11" t="n"/>
      <c r="AG1640" s="11" t="n"/>
      <c r="AH1640" s="11" t="n"/>
      <c r="AI1640" s="14">
        <f>IF(AND($AD1640="保留中",$AF1640&lt;&gt;""),TODAY()-$AF1640,"")</f>
        <v/>
      </c>
      <c r="AJ1640" s="12" t="n"/>
      <c r="AK1640" s="14">
        <f>IF($B1640="","",IF($AO1640="","対象年月が未入力／","")&amp;IF($B1640="","",IF($AN1640="","職員マスタに未登録の職員番号／",IF($Y1640="","標準報酬月額が未登録／","")&amp;IF(AND($AO1640&lt;&gt;"",OR(AND(INDEX(職員マスタ!$G$6:$G$405,$AN1640)&lt;&gt;"",INDEX(職員マスタ!$G$6:$G$405,$AN1640)&gt;EOMONTH($AO1640,0)),AND(INDEX(職員マスタ!$H$6:$H$405,$AN1640)&lt;&gt;"",INDEX(職員マスタ!$H$6:$H$405,$AN1640)&lt;$AO1640))),"対象月が時短期間外／","")&amp;IF(AND(INDEX(職員マスタ!$F$6:$F$405,$AN1640)&lt;&gt;"",$AO1640&lt;&gt;"",INDEX(職員マスタ!$F$6:$F$405,$AN1640)&lt;$AO1640),"対象月に子が2歳到達済／","")&amp;IF(AND($H1640&lt;&gt;"",INDEX(職員マスタ!$B$6:$B$405,$AN1640)&lt;&gt;"",SUBSTITUTE(SUBSTITUTE($H1640," ","")," ","")&lt;&gt;SUBSTITUTE(SUBSTITUTE(INDEX(職員マスタ!$B$6:$B$405,$AN1640)," ","")," ","")),"氏名がマスタと相違／","")&amp;IF(AND($Q1640&lt;&gt;"",INDEX(職員マスタ!$E$6:$E$405,$AN1640)&lt;&gt;"",$Q1640&lt;&gt;INDEX(職員マスタ!$E$6:$E$405,$AN1640)),"子の生年月日がマスタと相違／","")&amp;IF(AND($L1640&lt;&gt;"",INDEX(職員マスタ!$G$6:$G$405,$AN1640)&lt;&gt;"",$L1640&lt;&gt;INDEX(職員マスタ!$G$6:$G$405,$AN1640)),"時短開始日がマスタと相違／","")&amp;IF(AND($M1640&lt;&gt;"",INDEX(職員マスタ!$H$6:$H$405,$AN1640)&lt;&gt;"",$M1640&lt;&gt;INDEX(職員マスタ!$H$6:$H$405,$AN1640)),"時短終了日がマスタと相違／","")))&amp;IF(AND($B1640&lt;&gt;"",$E1640=""),"報酬額が未入力／","")&amp;IF(N($U1640)&gt;0,"申請書に入力エラーが残っています／","")&amp;IF(AND($B1640&lt;&gt;"",$AO1640&lt;&gt;""),IF(COUNTIFS($B$6:$B$3005,$B1640,$C$6:$C$3005,$C1640,$D$6:$D$3005,$D1640)&gt;1,"同じ月の請求が重複しています／",""),"")&amp;IF(AND(N($E1640)&gt;0,$Z1640&lt;&gt;"",$Z1640&lt;&gt;"×",$AC1640=0,$AB1640=""),"計算額が下限以下のため不支給／",""))</f>
        <v/>
      </c>
      <c r="AL1640" s="12" t="n"/>
      <c r="AM1640" s="14">
        <f>IF($AD1640="保留中",COUNTIF($AD$6:$AD1640,"保留中"),"")</f>
        <v/>
      </c>
      <c r="AN1640" s="14">
        <f>IF($AO1640="","",IF(SUMPRODUCT(MAX((職員マスタ!$A$6:$A$405=$B1640)*(((職員マスタ!$G$6:$G$405="")+(職員マスタ!$G$6:$G$405&lt;=EOMONTH($AO1640,0)))&gt;0)*(((職員マスタ!$H$6:$H$405="")+(職員マスタ!$H$6:$H$405&gt;=$AO1640))&gt;0)*(ROW(職員マスタ!$A$6:$A$405)-5)))&gt;0,SUMPRODUCT(MAX((職員マスタ!$A$6:$A$405=$B1640)*(((職員マスタ!$G$6:$G$405="")+(職員マスタ!$G$6:$G$405&lt;=EOMONTH($AO1640,0)))&gt;0)*(((職員マスタ!$H$6:$H$405="")+(職員マスタ!$H$6:$H$405&gt;=$AO1640))&gt;0)*(ROW(職員マスタ!$A$6:$A$405)-5))),IFERROR(MATCH($B1640,職員マスタ!$A$6:$A$405,0),"")))</f>
        <v/>
      </c>
      <c r="AO1640" s="16">
        <f>IF(OR($B1640="",$C1640="",$D1640=""),"",DATE($C1640+2018,$D1640,1))</f>
        <v/>
      </c>
    </row>
    <row r="1641">
      <c r="A1641" s="11" t="n"/>
      <c r="B1641" s="12" t="n"/>
      <c r="C1641" s="12" t="n"/>
      <c r="D1641" s="12" t="n"/>
      <c r="E1641" s="13" t="n"/>
      <c r="F1641" s="12" t="n"/>
      <c r="G1641" s="13" t="n"/>
      <c r="H1641" s="12" t="n"/>
      <c r="I1641" s="12" t="n"/>
      <c r="J1641" s="12" t="n"/>
      <c r="K1641" s="12" t="n"/>
      <c r="L1641" s="11" t="n"/>
      <c r="M1641" s="11" t="n"/>
      <c r="N1641" s="11" t="n"/>
      <c r="O1641" s="11" t="n"/>
      <c r="P1641" s="12" t="n"/>
      <c r="Q1641" s="11" t="n"/>
      <c r="R1641" s="12" t="n"/>
      <c r="S1641" s="11" t="n"/>
      <c r="T1641" s="12" t="n"/>
      <c r="U1641" s="12" t="n"/>
      <c r="V1641" s="14">
        <f>IF($AN1641="",IF($B1641="","",$H1641),IF(INDEX(職員マスタ!$B$6:$B$405,$AN1641)="",$H1641,INDEX(職員マスタ!$B$6:$B$405,$AN1641)))</f>
        <v/>
      </c>
      <c r="W1641" s="14">
        <f>IF($AN1641="",IF($B1641="","",$R1641),IF(INDEX(職員マスタ!$C$6:$C$405,$AN1641)="",$R1641,INDEX(職員マスタ!$C$6:$C$405,$AN1641)))</f>
        <v/>
      </c>
      <c r="X1641" s="14">
        <f>IF($AO1641="","","R"&amp;$C1641&amp;"."&amp;$D1641)</f>
        <v/>
      </c>
      <c r="Y1641" s="15">
        <f>IF($AN1641="","",IF(INDEX(職員マスタ!$K$6:$K$405,$AN1641)="","",INDEX(職員マスタ!$K$6:$K$405,$AN1641)))</f>
        <v/>
      </c>
      <c r="Z1641" s="14">
        <f>IF(OR($E1641="",$Y1641=""),"",IF($E1641&gt;=$Y1641,"×",IF($E1641&gt;=$Y1641*設定!$C$5,"△","○")))</f>
        <v/>
      </c>
      <c r="AA1641" s="15">
        <f>IF($Z1641="","",IF($Z1641="×",0,IF($Z1641="○",ROUNDDOWN($E1641*設定!$C$4,0),ROUNDDOWN($E1641*ROUND((9*$Y1641-9*$E1641)/(10*$E1641),4),0))))</f>
        <v/>
      </c>
      <c r="AB1641" s="13" t="n"/>
      <c r="AC1641" s="15">
        <f>IF($B1641="","",IF($AB1641&lt;&gt;"",$AB1641,IF($AA1641="","",IF($AA1641&lt;=設定!$C$3,0,$AA1641))))</f>
        <v/>
      </c>
      <c r="AD1641" s="14">
        <f>IF($B1641="","",IF(AND($AE1641&lt;&gt;"",$AG1641="",$AJ1641=""),"保留中",IF($AJ1641&lt;&gt;"",IF(N($AC1641)&gt;0,"支給済","不支給"),IF($AC1641="","要確認",IF($AC1641=0,"不支給","未処理")))))</f>
        <v/>
      </c>
      <c r="AE1641" s="12" t="n"/>
      <c r="AF1641" s="11" t="n"/>
      <c r="AG1641" s="11" t="n"/>
      <c r="AH1641" s="11" t="n"/>
      <c r="AI1641" s="14">
        <f>IF(AND($AD1641="保留中",$AF1641&lt;&gt;""),TODAY()-$AF1641,"")</f>
        <v/>
      </c>
      <c r="AJ1641" s="12" t="n"/>
      <c r="AK1641" s="14">
        <f>IF($B1641="","",IF($AO1641="","対象年月が未入力／","")&amp;IF($B1641="","",IF($AN1641="","職員マスタに未登録の職員番号／",IF($Y1641="","標準報酬月額が未登録／","")&amp;IF(AND($AO1641&lt;&gt;"",OR(AND(INDEX(職員マスタ!$G$6:$G$405,$AN1641)&lt;&gt;"",INDEX(職員マスタ!$G$6:$G$405,$AN1641)&gt;EOMONTH($AO1641,0)),AND(INDEX(職員マスタ!$H$6:$H$405,$AN1641)&lt;&gt;"",INDEX(職員マスタ!$H$6:$H$405,$AN1641)&lt;$AO1641))),"対象月が時短期間外／","")&amp;IF(AND(INDEX(職員マスタ!$F$6:$F$405,$AN1641)&lt;&gt;"",$AO1641&lt;&gt;"",INDEX(職員マスタ!$F$6:$F$405,$AN1641)&lt;$AO1641),"対象月に子が2歳到達済／","")&amp;IF(AND($H1641&lt;&gt;"",INDEX(職員マスタ!$B$6:$B$405,$AN1641)&lt;&gt;"",SUBSTITUTE(SUBSTITUTE($H1641," ","")," ","")&lt;&gt;SUBSTITUTE(SUBSTITUTE(INDEX(職員マスタ!$B$6:$B$405,$AN1641)," ","")," ","")),"氏名がマスタと相違／","")&amp;IF(AND($Q1641&lt;&gt;"",INDEX(職員マスタ!$E$6:$E$405,$AN1641)&lt;&gt;"",$Q1641&lt;&gt;INDEX(職員マスタ!$E$6:$E$405,$AN1641)),"子の生年月日がマスタと相違／","")&amp;IF(AND($L1641&lt;&gt;"",INDEX(職員マスタ!$G$6:$G$405,$AN1641)&lt;&gt;"",$L1641&lt;&gt;INDEX(職員マスタ!$G$6:$G$405,$AN1641)),"時短開始日がマスタと相違／","")&amp;IF(AND($M1641&lt;&gt;"",INDEX(職員マスタ!$H$6:$H$405,$AN1641)&lt;&gt;"",$M1641&lt;&gt;INDEX(職員マスタ!$H$6:$H$405,$AN1641)),"時短終了日がマスタと相違／","")))&amp;IF(AND($B1641&lt;&gt;"",$E1641=""),"報酬額が未入力／","")&amp;IF(N($U1641)&gt;0,"申請書に入力エラーが残っています／","")&amp;IF(AND($B1641&lt;&gt;"",$AO1641&lt;&gt;""),IF(COUNTIFS($B$6:$B$3005,$B1641,$C$6:$C$3005,$C1641,$D$6:$D$3005,$D1641)&gt;1,"同じ月の請求が重複しています／",""),"")&amp;IF(AND(N($E1641)&gt;0,$Z1641&lt;&gt;"",$Z1641&lt;&gt;"×",$AC1641=0,$AB1641=""),"計算額が下限以下のため不支給／",""))</f>
        <v/>
      </c>
      <c r="AL1641" s="12" t="n"/>
      <c r="AM1641" s="14">
        <f>IF($AD1641="保留中",COUNTIF($AD$6:$AD1641,"保留中"),"")</f>
        <v/>
      </c>
      <c r="AN1641" s="14">
        <f>IF($AO1641="","",IF(SUMPRODUCT(MAX((職員マスタ!$A$6:$A$405=$B1641)*(((職員マスタ!$G$6:$G$405="")+(職員マスタ!$G$6:$G$405&lt;=EOMONTH($AO1641,0)))&gt;0)*(((職員マスタ!$H$6:$H$405="")+(職員マスタ!$H$6:$H$405&gt;=$AO1641))&gt;0)*(ROW(職員マスタ!$A$6:$A$405)-5)))&gt;0,SUMPRODUCT(MAX((職員マスタ!$A$6:$A$405=$B1641)*(((職員マスタ!$G$6:$G$405="")+(職員マスタ!$G$6:$G$405&lt;=EOMONTH($AO1641,0)))&gt;0)*(((職員マスタ!$H$6:$H$405="")+(職員マスタ!$H$6:$H$405&gt;=$AO1641))&gt;0)*(ROW(職員マスタ!$A$6:$A$405)-5))),IFERROR(MATCH($B1641,職員マスタ!$A$6:$A$405,0),"")))</f>
        <v/>
      </c>
      <c r="AO1641" s="16">
        <f>IF(OR($B1641="",$C1641="",$D1641=""),"",DATE($C1641+2018,$D1641,1))</f>
        <v/>
      </c>
    </row>
    <row r="1642">
      <c r="A1642" s="11" t="n"/>
      <c r="B1642" s="12" t="n"/>
      <c r="C1642" s="12" t="n"/>
      <c r="D1642" s="12" t="n"/>
      <c r="E1642" s="13" t="n"/>
      <c r="F1642" s="12" t="n"/>
      <c r="G1642" s="13" t="n"/>
      <c r="H1642" s="12" t="n"/>
      <c r="I1642" s="12" t="n"/>
      <c r="J1642" s="12" t="n"/>
      <c r="K1642" s="12" t="n"/>
      <c r="L1642" s="11" t="n"/>
      <c r="M1642" s="11" t="n"/>
      <c r="N1642" s="11" t="n"/>
      <c r="O1642" s="11" t="n"/>
      <c r="P1642" s="12" t="n"/>
      <c r="Q1642" s="11" t="n"/>
      <c r="R1642" s="12" t="n"/>
      <c r="S1642" s="11" t="n"/>
      <c r="T1642" s="12" t="n"/>
      <c r="U1642" s="12" t="n"/>
      <c r="V1642" s="14">
        <f>IF($AN1642="",IF($B1642="","",$H1642),IF(INDEX(職員マスタ!$B$6:$B$405,$AN1642)="",$H1642,INDEX(職員マスタ!$B$6:$B$405,$AN1642)))</f>
        <v/>
      </c>
      <c r="W1642" s="14">
        <f>IF($AN1642="",IF($B1642="","",$R1642),IF(INDEX(職員マスタ!$C$6:$C$405,$AN1642)="",$R1642,INDEX(職員マスタ!$C$6:$C$405,$AN1642)))</f>
        <v/>
      </c>
      <c r="X1642" s="14">
        <f>IF($AO1642="","","R"&amp;$C1642&amp;"."&amp;$D1642)</f>
        <v/>
      </c>
      <c r="Y1642" s="15">
        <f>IF($AN1642="","",IF(INDEX(職員マスタ!$K$6:$K$405,$AN1642)="","",INDEX(職員マスタ!$K$6:$K$405,$AN1642)))</f>
        <v/>
      </c>
      <c r="Z1642" s="14">
        <f>IF(OR($E1642="",$Y1642=""),"",IF($E1642&gt;=$Y1642,"×",IF($E1642&gt;=$Y1642*設定!$C$5,"△","○")))</f>
        <v/>
      </c>
      <c r="AA1642" s="15">
        <f>IF($Z1642="","",IF($Z1642="×",0,IF($Z1642="○",ROUNDDOWN($E1642*設定!$C$4,0),ROUNDDOWN($E1642*ROUND((9*$Y1642-9*$E1642)/(10*$E1642),4),0))))</f>
        <v/>
      </c>
      <c r="AB1642" s="13" t="n"/>
      <c r="AC1642" s="15">
        <f>IF($B1642="","",IF($AB1642&lt;&gt;"",$AB1642,IF($AA1642="","",IF($AA1642&lt;=設定!$C$3,0,$AA1642))))</f>
        <v/>
      </c>
      <c r="AD1642" s="14">
        <f>IF($B1642="","",IF(AND($AE1642&lt;&gt;"",$AG1642="",$AJ1642=""),"保留中",IF($AJ1642&lt;&gt;"",IF(N($AC1642)&gt;0,"支給済","不支給"),IF($AC1642="","要確認",IF($AC1642=0,"不支給","未処理")))))</f>
        <v/>
      </c>
      <c r="AE1642" s="12" t="n"/>
      <c r="AF1642" s="11" t="n"/>
      <c r="AG1642" s="11" t="n"/>
      <c r="AH1642" s="11" t="n"/>
      <c r="AI1642" s="14">
        <f>IF(AND($AD1642="保留中",$AF1642&lt;&gt;""),TODAY()-$AF1642,"")</f>
        <v/>
      </c>
      <c r="AJ1642" s="12" t="n"/>
      <c r="AK1642" s="14">
        <f>IF($B1642="","",IF($AO1642="","対象年月が未入力／","")&amp;IF($B1642="","",IF($AN1642="","職員マスタに未登録の職員番号／",IF($Y1642="","標準報酬月額が未登録／","")&amp;IF(AND($AO1642&lt;&gt;"",OR(AND(INDEX(職員マスタ!$G$6:$G$405,$AN1642)&lt;&gt;"",INDEX(職員マスタ!$G$6:$G$405,$AN1642)&gt;EOMONTH($AO1642,0)),AND(INDEX(職員マスタ!$H$6:$H$405,$AN1642)&lt;&gt;"",INDEX(職員マスタ!$H$6:$H$405,$AN1642)&lt;$AO1642))),"対象月が時短期間外／","")&amp;IF(AND(INDEX(職員マスタ!$F$6:$F$405,$AN1642)&lt;&gt;"",$AO1642&lt;&gt;"",INDEX(職員マスタ!$F$6:$F$405,$AN1642)&lt;$AO1642),"対象月に子が2歳到達済／","")&amp;IF(AND($H1642&lt;&gt;"",INDEX(職員マスタ!$B$6:$B$405,$AN1642)&lt;&gt;"",SUBSTITUTE(SUBSTITUTE($H1642," ","")," ","")&lt;&gt;SUBSTITUTE(SUBSTITUTE(INDEX(職員マスタ!$B$6:$B$405,$AN1642)," ","")," ","")),"氏名がマスタと相違／","")&amp;IF(AND($Q1642&lt;&gt;"",INDEX(職員マスタ!$E$6:$E$405,$AN1642)&lt;&gt;"",$Q1642&lt;&gt;INDEX(職員マスタ!$E$6:$E$405,$AN1642)),"子の生年月日がマスタと相違／","")&amp;IF(AND($L1642&lt;&gt;"",INDEX(職員マスタ!$G$6:$G$405,$AN1642)&lt;&gt;"",$L1642&lt;&gt;INDEX(職員マスタ!$G$6:$G$405,$AN1642)),"時短開始日がマスタと相違／","")&amp;IF(AND($M1642&lt;&gt;"",INDEX(職員マスタ!$H$6:$H$405,$AN1642)&lt;&gt;"",$M1642&lt;&gt;INDEX(職員マスタ!$H$6:$H$405,$AN1642)),"時短終了日がマスタと相違／","")))&amp;IF(AND($B1642&lt;&gt;"",$E1642=""),"報酬額が未入力／","")&amp;IF(N($U1642)&gt;0,"申請書に入力エラーが残っています／","")&amp;IF(AND($B1642&lt;&gt;"",$AO1642&lt;&gt;""),IF(COUNTIFS($B$6:$B$3005,$B1642,$C$6:$C$3005,$C1642,$D$6:$D$3005,$D1642)&gt;1,"同じ月の請求が重複しています／",""),"")&amp;IF(AND(N($E1642)&gt;0,$Z1642&lt;&gt;"",$Z1642&lt;&gt;"×",$AC1642=0,$AB1642=""),"計算額が下限以下のため不支給／",""))</f>
        <v/>
      </c>
      <c r="AL1642" s="12" t="n"/>
      <c r="AM1642" s="14">
        <f>IF($AD1642="保留中",COUNTIF($AD$6:$AD1642,"保留中"),"")</f>
        <v/>
      </c>
      <c r="AN1642" s="14">
        <f>IF($AO1642="","",IF(SUMPRODUCT(MAX((職員マスタ!$A$6:$A$405=$B1642)*(((職員マスタ!$G$6:$G$405="")+(職員マスタ!$G$6:$G$405&lt;=EOMONTH($AO1642,0)))&gt;0)*(((職員マスタ!$H$6:$H$405="")+(職員マスタ!$H$6:$H$405&gt;=$AO1642))&gt;0)*(ROW(職員マスタ!$A$6:$A$405)-5)))&gt;0,SUMPRODUCT(MAX((職員マスタ!$A$6:$A$405=$B1642)*(((職員マスタ!$G$6:$G$405="")+(職員マスタ!$G$6:$G$405&lt;=EOMONTH($AO1642,0)))&gt;0)*(((職員マスタ!$H$6:$H$405="")+(職員マスタ!$H$6:$H$405&gt;=$AO1642))&gt;0)*(ROW(職員マスタ!$A$6:$A$405)-5))),IFERROR(MATCH($B1642,職員マスタ!$A$6:$A$405,0),"")))</f>
        <v/>
      </c>
      <c r="AO1642" s="16">
        <f>IF(OR($B1642="",$C1642="",$D1642=""),"",DATE($C1642+2018,$D1642,1))</f>
        <v/>
      </c>
    </row>
    <row r="1643">
      <c r="A1643" s="11" t="n"/>
      <c r="B1643" s="12" t="n"/>
      <c r="C1643" s="12" t="n"/>
      <c r="D1643" s="12" t="n"/>
      <c r="E1643" s="13" t="n"/>
      <c r="F1643" s="12" t="n"/>
      <c r="G1643" s="13" t="n"/>
      <c r="H1643" s="12" t="n"/>
      <c r="I1643" s="12" t="n"/>
      <c r="J1643" s="12" t="n"/>
      <c r="K1643" s="12" t="n"/>
      <c r="L1643" s="11" t="n"/>
      <c r="M1643" s="11" t="n"/>
      <c r="N1643" s="11" t="n"/>
      <c r="O1643" s="11" t="n"/>
      <c r="P1643" s="12" t="n"/>
      <c r="Q1643" s="11" t="n"/>
      <c r="R1643" s="12" t="n"/>
      <c r="S1643" s="11" t="n"/>
      <c r="T1643" s="12" t="n"/>
      <c r="U1643" s="12" t="n"/>
      <c r="V1643" s="14">
        <f>IF($AN1643="",IF($B1643="","",$H1643),IF(INDEX(職員マスタ!$B$6:$B$405,$AN1643)="",$H1643,INDEX(職員マスタ!$B$6:$B$405,$AN1643)))</f>
        <v/>
      </c>
      <c r="W1643" s="14">
        <f>IF($AN1643="",IF($B1643="","",$R1643),IF(INDEX(職員マスタ!$C$6:$C$405,$AN1643)="",$R1643,INDEX(職員マスタ!$C$6:$C$405,$AN1643)))</f>
        <v/>
      </c>
      <c r="X1643" s="14">
        <f>IF($AO1643="","","R"&amp;$C1643&amp;"."&amp;$D1643)</f>
        <v/>
      </c>
      <c r="Y1643" s="15">
        <f>IF($AN1643="","",IF(INDEX(職員マスタ!$K$6:$K$405,$AN1643)="","",INDEX(職員マスタ!$K$6:$K$405,$AN1643)))</f>
        <v/>
      </c>
      <c r="Z1643" s="14">
        <f>IF(OR($E1643="",$Y1643=""),"",IF($E1643&gt;=$Y1643,"×",IF($E1643&gt;=$Y1643*設定!$C$5,"△","○")))</f>
        <v/>
      </c>
      <c r="AA1643" s="15">
        <f>IF($Z1643="","",IF($Z1643="×",0,IF($Z1643="○",ROUNDDOWN($E1643*設定!$C$4,0),ROUNDDOWN($E1643*ROUND((9*$Y1643-9*$E1643)/(10*$E1643),4),0))))</f>
        <v/>
      </c>
      <c r="AB1643" s="13" t="n"/>
      <c r="AC1643" s="15">
        <f>IF($B1643="","",IF($AB1643&lt;&gt;"",$AB1643,IF($AA1643="","",IF($AA1643&lt;=設定!$C$3,0,$AA1643))))</f>
        <v/>
      </c>
      <c r="AD1643" s="14">
        <f>IF($B1643="","",IF(AND($AE1643&lt;&gt;"",$AG1643="",$AJ1643=""),"保留中",IF($AJ1643&lt;&gt;"",IF(N($AC1643)&gt;0,"支給済","不支給"),IF($AC1643="","要確認",IF($AC1643=0,"不支給","未処理")))))</f>
        <v/>
      </c>
      <c r="AE1643" s="12" t="n"/>
      <c r="AF1643" s="11" t="n"/>
      <c r="AG1643" s="11" t="n"/>
      <c r="AH1643" s="11" t="n"/>
      <c r="AI1643" s="14">
        <f>IF(AND($AD1643="保留中",$AF1643&lt;&gt;""),TODAY()-$AF1643,"")</f>
        <v/>
      </c>
      <c r="AJ1643" s="12" t="n"/>
      <c r="AK1643" s="14">
        <f>IF($B1643="","",IF($AO1643="","対象年月が未入力／","")&amp;IF($B1643="","",IF($AN1643="","職員マスタに未登録の職員番号／",IF($Y1643="","標準報酬月額が未登録／","")&amp;IF(AND($AO1643&lt;&gt;"",OR(AND(INDEX(職員マスタ!$G$6:$G$405,$AN1643)&lt;&gt;"",INDEX(職員マスタ!$G$6:$G$405,$AN1643)&gt;EOMONTH($AO1643,0)),AND(INDEX(職員マスタ!$H$6:$H$405,$AN1643)&lt;&gt;"",INDEX(職員マスタ!$H$6:$H$405,$AN1643)&lt;$AO1643))),"対象月が時短期間外／","")&amp;IF(AND(INDEX(職員マスタ!$F$6:$F$405,$AN1643)&lt;&gt;"",$AO1643&lt;&gt;"",INDEX(職員マスタ!$F$6:$F$405,$AN1643)&lt;$AO1643),"対象月に子が2歳到達済／","")&amp;IF(AND($H1643&lt;&gt;"",INDEX(職員マスタ!$B$6:$B$405,$AN1643)&lt;&gt;"",SUBSTITUTE(SUBSTITUTE($H1643," ","")," ","")&lt;&gt;SUBSTITUTE(SUBSTITUTE(INDEX(職員マスタ!$B$6:$B$405,$AN1643)," ","")," ","")),"氏名がマスタと相違／","")&amp;IF(AND($Q1643&lt;&gt;"",INDEX(職員マスタ!$E$6:$E$405,$AN1643)&lt;&gt;"",$Q1643&lt;&gt;INDEX(職員マスタ!$E$6:$E$405,$AN1643)),"子の生年月日がマスタと相違／","")&amp;IF(AND($L1643&lt;&gt;"",INDEX(職員マスタ!$G$6:$G$405,$AN1643)&lt;&gt;"",$L1643&lt;&gt;INDEX(職員マスタ!$G$6:$G$405,$AN1643)),"時短開始日がマスタと相違／","")&amp;IF(AND($M1643&lt;&gt;"",INDEX(職員マスタ!$H$6:$H$405,$AN1643)&lt;&gt;"",$M1643&lt;&gt;INDEX(職員マスタ!$H$6:$H$405,$AN1643)),"時短終了日がマスタと相違／","")))&amp;IF(AND($B1643&lt;&gt;"",$E1643=""),"報酬額が未入力／","")&amp;IF(N($U1643)&gt;0,"申請書に入力エラーが残っています／","")&amp;IF(AND($B1643&lt;&gt;"",$AO1643&lt;&gt;""),IF(COUNTIFS($B$6:$B$3005,$B1643,$C$6:$C$3005,$C1643,$D$6:$D$3005,$D1643)&gt;1,"同じ月の請求が重複しています／",""),"")&amp;IF(AND(N($E1643)&gt;0,$Z1643&lt;&gt;"",$Z1643&lt;&gt;"×",$AC1643=0,$AB1643=""),"計算額が下限以下のため不支給／",""))</f>
        <v/>
      </c>
      <c r="AL1643" s="12" t="n"/>
      <c r="AM1643" s="14">
        <f>IF($AD1643="保留中",COUNTIF($AD$6:$AD1643,"保留中"),"")</f>
        <v/>
      </c>
      <c r="AN1643" s="14">
        <f>IF($AO1643="","",IF(SUMPRODUCT(MAX((職員マスタ!$A$6:$A$405=$B1643)*(((職員マスタ!$G$6:$G$405="")+(職員マスタ!$G$6:$G$405&lt;=EOMONTH($AO1643,0)))&gt;0)*(((職員マスタ!$H$6:$H$405="")+(職員マスタ!$H$6:$H$405&gt;=$AO1643))&gt;0)*(ROW(職員マスタ!$A$6:$A$405)-5)))&gt;0,SUMPRODUCT(MAX((職員マスタ!$A$6:$A$405=$B1643)*(((職員マスタ!$G$6:$G$405="")+(職員マスタ!$G$6:$G$405&lt;=EOMONTH($AO1643,0)))&gt;0)*(((職員マスタ!$H$6:$H$405="")+(職員マスタ!$H$6:$H$405&gt;=$AO1643))&gt;0)*(ROW(職員マスタ!$A$6:$A$405)-5))),IFERROR(MATCH($B1643,職員マスタ!$A$6:$A$405,0),"")))</f>
        <v/>
      </c>
      <c r="AO1643" s="16">
        <f>IF(OR($B1643="",$C1643="",$D1643=""),"",DATE($C1643+2018,$D1643,1))</f>
        <v/>
      </c>
    </row>
    <row r="1644">
      <c r="A1644" s="11" t="n"/>
      <c r="B1644" s="12" t="n"/>
      <c r="C1644" s="12" t="n"/>
      <c r="D1644" s="12" t="n"/>
      <c r="E1644" s="13" t="n"/>
      <c r="F1644" s="12" t="n"/>
      <c r="G1644" s="13" t="n"/>
      <c r="H1644" s="12" t="n"/>
      <c r="I1644" s="12" t="n"/>
      <c r="J1644" s="12" t="n"/>
      <c r="K1644" s="12" t="n"/>
      <c r="L1644" s="11" t="n"/>
      <c r="M1644" s="11" t="n"/>
      <c r="N1644" s="11" t="n"/>
      <c r="O1644" s="11" t="n"/>
      <c r="P1644" s="12" t="n"/>
      <c r="Q1644" s="11" t="n"/>
      <c r="R1644" s="12" t="n"/>
      <c r="S1644" s="11" t="n"/>
      <c r="T1644" s="12" t="n"/>
      <c r="U1644" s="12" t="n"/>
      <c r="V1644" s="14">
        <f>IF($AN1644="",IF($B1644="","",$H1644),IF(INDEX(職員マスタ!$B$6:$B$405,$AN1644)="",$H1644,INDEX(職員マスタ!$B$6:$B$405,$AN1644)))</f>
        <v/>
      </c>
      <c r="W1644" s="14">
        <f>IF($AN1644="",IF($B1644="","",$R1644),IF(INDEX(職員マスタ!$C$6:$C$405,$AN1644)="",$R1644,INDEX(職員マスタ!$C$6:$C$405,$AN1644)))</f>
        <v/>
      </c>
      <c r="X1644" s="14">
        <f>IF($AO1644="","","R"&amp;$C1644&amp;"."&amp;$D1644)</f>
        <v/>
      </c>
      <c r="Y1644" s="15">
        <f>IF($AN1644="","",IF(INDEX(職員マスタ!$K$6:$K$405,$AN1644)="","",INDEX(職員マスタ!$K$6:$K$405,$AN1644)))</f>
        <v/>
      </c>
      <c r="Z1644" s="14">
        <f>IF(OR($E1644="",$Y1644=""),"",IF($E1644&gt;=$Y1644,"×",IF($E1644&gt;=$Y1644*設定!$C$5,"△","○")))</f>
        <v/>
      </c>
      <c r="AA1644" s="15">
        <f>IF($Z1644="","",IF($Z1644="×",0,IF($Z1644="○",ROUNDDOWN($E1644*設定!$C$4,0),ROUNDDOWN($E1644*ROUND((9*$Y1644-9*$E1644)/(10*$E1644),4),0))))</f>
        <v/>
      </c>
      <c r="AB1644" s="13" t="n"/>
      <c r="AC1644" s="15">
        <f>IF($B1644="","",IF($AB1644&lt;&gt;"",$AB1644,IF($AA1644="","",IF($AA1644&lt;=設定!$C$3,0,$AA1644))))</f>
        <v/>
      </c>
      <c r="AD1644" s="14">
        <f>IF($B1644="","",IF(AND($AE1644&lt;&gt;"",$AG1644="",$AJ1644=""),"保留中",IF($AJ1644&lt;&gt;"",IF(N($AC1644)&gt;0,"支給済","不支給"),IF($AC1644="","要確認",IF($AC1644=0,"不支給","未処理")))))</f>
        <v/>
      </c>
      <c r="AE1644" s="12" t="n"/>
      <c r="AF1644" s="11" t="n"/>
      <c r="AG1644" s="11" t="n"/>
      <c r="AH1644" s="11" t="n"/>
      <c r="AI1644" s="14">
        <f>IF(AND($AD1644="保留中",$AF1644&lt;&gt;""),TODAY()-$AF1644,"")</f>
        <v/>
      </c>
      <c r="AJ1644" s="12" t="n"/>
      <c r="AK1644" s="14">
        <f>IF($B1644="","",IF($AO1644="","対象年月が未入力／","")&amp;IF($B1644="","",IF($AN1644="","職員マスタに未登録の職員番号／",IF($Y1644="","標準報酬月額が未登録／","")&amp;IF(AND($AO1644&lt;&gt;"",OR(AND(INDEX(職員マスタ!$G$6:$G$405,$AN1644)&lt;&gt;"",INDEX(職員マスタ!$G$6:$G$405,$AN1644)&gt;EOMONTH($AO1644,0)),AND(INDEX(職員マスタ!$H$6:$H$405,$AN1644)&lt;&gt;"",INDEX(職員マスタ!$H$6:$H$405,$AN1644)&lt;$AO1644))),"対象月が時短期間外／","")&amp;IF(AND(INDEX(職員マスタ!$F$6:$F$405,$AN1644)&lt;&gt;"",$AO1644&lt;&gt;"",INDEX(職員マスタ!$F$6:$F$405,$AN1644)&lt;$AO1644),"対象月に子が2歳到達済／","")&amp;IF(AND($H1644&lt;&gt;"",INDEX(職員マスタ!$B$6:$B$405,$AN1644)&lt;&gt;"",SUBSTITUTE(SUBSTITUTE($H1644," ","")," ","")&lt;&gt;SUBSTITUTE(SUBSTITUTE(INDEX(職員マスタ!$B$6:$B$405,$AN1644)," ","")," ","")),"氏名がマスタと相違／","")&amp;IF(AND($Q1644&lt;&gt;"",INDEX(職員マスタ!$E$6:$E$405,$AN1644)&lt;&gt;"",$Q1644&lt;&gt;INDEX(職員マスタ!$E$6:$E$405,$AN1644)),"子の生年月日がマスタと相違／","")&amp;IF(AND($L1644&lt;&gt;"",INDEX(職員マスタ!$G$6:$G$405,$AN1644)&lt;&gt;"",$L1644&lt;&gt;INDEX(職員マスタ!$G$6:$G$405,$AN1644)),"時短開始日がマスタと相違／","")&amp;IF(AND($M1644&lt;&gt;"",INDEX(職員マスタ!$H$6:$H$405,$AN1644)&lt;&gt;"",$M1644&lt;&gt;INDEX(職員マスタ!$H$6:$H$405,$AN1644)),"時短終了日がマスタと相違／","")))&amp;IF(AND($B1644&lt;&gt;"",$E1644=""),"報酬額が未入力／","")&amp;IF(N($U1644)&gt;0,"申請書に入力エラーが残っています／","")&amp;IF(AND($B1644&lt;&gt;"",$AO1644&lt;&gt;""),IF(COUNTIFS($B$6:$B$3005,$B1644,$C$6:$C$3005,$C1644,$D$6:$D$3005,$D1644)&gt;1,"同じ月の請求が重複しています／",""),"")&amp;IF(AND(N($E1644)&gt;0,$Z1644&lt;&gt;"",$Z1644&lt;&gt;"×",$AC1644=0,$AB1644=""),"計算額が下限以下のため不支給／",""))</f>
        <v/>
      </c>
      <c r="AL1644" s="12" t="n"/>
      <c r="AM1644" s="14">
        <f>IF($AD1644="保留中",COUNTIF($AD$6:$AD1644,"保留中"),"")</f>
        <v/>
      </c>
      <c r="AN1644" s="14">
        <f>IF($AO1644="","",IF(SUMPRODUCT(MAX((職員マスタ!$A$6:$A$405=$B1644)*(((職員マスタ!$G$6:$G$405="")+(職員マスタ!$G$6:$G$405&lt;=EOMONTH($AO1644,0)))&gt;0)*(((職員マスタ!$H$6:$H$405="")+(職員マスタ!$H$6:$H$405&gt;=$AO1644))&gt;0)*(ROW(職員マスタ!$A$6:$A$405)-5)))&gt;0,SUMPRODUCT(MAX((職員マスタ!$A$6:$A$405=$B1644)*(((職員マスタ!$G$6:$G$405="")+(職員マスタ!$G$6:$G$405&lt;=EOMONTH($AO1644,0)))&gt;0)*(((職員マスタ!$H$6:$H$405="")+(職員マスタ!$H$6:$H$405&gt;=$AO1644))&gt;0)*(ROW(職員マスタ!$A$6:$A$405)-5))),IFERROR(MATCH($B1644,職員マスタ!$A$6:$A$405,0),"")))</f>
        <v/>
      </c>
      <c r="AO1644" s="16">
        <f>IF(OR($B1644="",$C1644="",$D1644=""),"",DATE($C1644+2018,$D1644,1))</f>
        <v/>
      </c>
    </row>
    <row r="1645">
      <c r="A1645" s="11" t="n"/>
      <c r="B1645" s="12" t="n"/>
      <c r="C1645" s="12" t="n"/>
      <c r="D1645" s="12" t="n"/>
      <c r="E1645" s="13" t="n"/>
      <c r="F1645" s="12" t="n"/>
      <c r="G1645" s="13" t="n"/>
      <c r="H1645" s="12" t="n"/>
      <c r="I1645" s="12" t="n"/>
      <c r="J1645" s="12" t="n"/>
      <c r="K1645" s="12" t="n"/>
      <c r="L1645" s="11" t="n"/>
      <c r="M1645" s="11" t="n"/>
      <c r="N1645" s="11" t="n"/>
      <c r="O1645" s="11" t="n"/>
      <c r="P1645" s="12" t="n"/>
      <c r="Q1645" s="11" t="n"/>
      <c r="R1645" s="12" t="n"/>
      <c r="S1645" s="11" t="n"/>
      <c r="T1645" s="12" t="n"/>
      <c r="U1645" s="12" t="n"/>
      <c r="V1645" s="14">
        <f>IF($AN1645="",IF($B1645="","",$H1645),IF(INDEX(職員マスタ!$B$6:$B$405,$AN1645)="",$H1645,INDEX(職員マスタ!$B$6:$B$405,$AN1645)))</f>
        <v/>
      </c>
      <c r="W1645" s="14">
        <f>IF($AN1645="",IF($B1645="","",$R1645),IF(INDEX(職員マスタ!$C$6:$C$405,$AN1645)="",$R1645,INDEX(職員マスタ!$C$6:$C$405,$AN1645)))</f>
        <v/>
      </c>
      <c r="X1645" s="14">
        <f>IF($AO1645="","","R"&amp;$C1645&amp;"."&amp;$D1645)</f>
        <v/>
      </c>
      <c r="Y1645" s="15">
        <f>IF($AN1645="","",IF(INDEX(職員マスタ!$K$6:$K$405,$AN1645)="","",INDEX(職員マスタ!$K$6:$K$405,$AN1645)))</f>
        <v/>
      </c>
      <c r="Z1645" s="14">
        <f>IF(OR($E1645="",$Y1645=""),"",IF($E1645&gt;=$Y1645,"×",IF($E1645&gt;=$Y1645*設定!$C$5,"△","○")))</f>
        <v/>
      </c>
      <c r="AA1645" s="15">
        <f>IF($Z1645="","",IF($Z1645="×",0,IF($Z1645="○",ROUNDDOWN($E1645*設定!$C$4,0),ROUNDDOWN($E1645*ROUND((9*$Y1645-9*$E1645)/(10*$E1645),4),0))))</f>
        <v/>
      </c>
      <c r="AB1645" s="13" t="n"/>
      <c r="AC1645" s="15">
        <f>IF($B1645="","",IF($AB1645&lt;&gt;"",$AB1645,IF($AA1645="","",IF($AA1645&lt;=設定!$C$3,0,$AA1645))))</f>
        <v/>
      </c>
      <c r="AD1645" s="14">
        <f>IF($B1645="","",IF(AND($AE1645&lt;&gt;"",$AG1645="",$AJ1645=""),"保留中",IF($AJ1645&lt;&gt;"",IF(N($AC1645)&gt;0,"支給済","不支給"),IF($AC1645="","要確認",IF($AC1645=0,"不支給","未処理")))))</f>
        <v/>
      </c>
      <c r="AE1645" s="12" t="n"/>
      <c r="AF1645" s="11" t="n"/>
      <c r="AG1645" s="11" t="n"/>
      <c r="AH1645" s="11" t="n"/>
      <c r="AI1645" s="14">
        <f>IF(AND($AD1645="保留中",$AF1645&lt;&gt;""),TODAY()-$AF1645,"")</f>
        <v/>
      </c>
      <c r="AJ1645" s="12" t="n"/>
      <c r="AK1645" s="14">
        <f>IF($B1645="","",IF($AO1645="","対象年月が未入力／","")&amp;IF($B1645="","",IF($AN1645="","職員マスタに未登録の職員番号／",IF($Y1645="","標準報酬月額が未登録／","")&amp;IF(AND($AO1645&lt;&gt;"",OR(AND(INDEX(職員マスタ!$G$6:$G$405,$AN1645)&lt;&gt;"",INDEX(職員マスタ!$G$6:$G$405,$AN1645)&gt;EOMONTH($AO1645,0)),AND(INDEX(職員マスタ!$H$6:$H$405,$AN1645)&lt;&gt;"",INDEX(職員マスタ!$H$6:$H$405,$AN1645)&lt;$AO1645))),"対象月が時短期間外／","")&amp;IF(AND(INDEX(職員マスタ!$F$6:$F$405,$AN1645)&lt;&gt;"",$AO1645&lt;&gt;"",INDEX(職員マスタ!$F$6:$F$405,$AN1645)&lt;$AO1645),"対象月に子が2歳到達済／","")&amp;IF(AND($H1645&lt;&gt;"",INDEX(職員マスタ!$B$6:$B$405,$AN1645)&lt;&gt;"",SUBSTITUTE(SUBSTITUTE($H1645," ","")," ","")&lt;&gt;SUBSTITUTE(SUBSTITUTE(INDEX(職員マスタ!$B$6:$B$405,$AN1645)," ","")," ","")),"氏名がマスタと相違／","")&amp;IF(AND($Q1645&lt;&gt;"",INDEX(職員マスタ!$E$6:$E$405,$AN1645)&lt;&gt;"",$Q1645&lt;&gt;INDEX(職員マスタ!$E$6:$E$405,$AN1645)),"子の生年月日がマスタと相違／","")&amp;IF(AND($L1645&lt;&gt;"",INDEX(職員マスタ!$G$6:$G$405,$AN1645)&lt;&gt;"",$L1645&lt;&gt;INDEX(職員マスタ!$G$6:$G$405,$AN1645)),"時短開始日がマスタと相違／","")&amp;IF(AND($M1645&lt;&gt;"",INDEX(職員マスタ!$H$6:$H$405,$AN1645)&lt;&gt;"",$M1645&lt;&gt;INDEX(職員マスタ!$H$6:$H$405,$AN1645)),"時短終了日がマスタと相違／","")))&amp;IF(AND($B1645&lt;&gt;"",$E1645=""),"報酬額が未入力／","")&amp;IF(N($U1645)&gt;0,"申請書に入力エラーが残っています／","")&amp;IF(AND($B1645&lt;&gt;"",$AO1645&lt;&gt;""),IF(COUNTIFS($B$6:$B$3005,$B1645,$C$6:$C$3005,$C1645,$D$6:$D$3005,$D1645)&gt;1,"同じ月の請求が重複しています／",""),"")&amp;IF(AND(N($E1645)&gt;0,$Z1645&lt;&gt;"",$Z1645&lt;&gt;"×",$AC1645=0,$AB1645=""),"計算額が下限以下のため不支給／",""))</f>
        <v/>
      </c>
      <c r="AL1645" s="12" t="n"/>
      <c r="AM1645" s="14">
        <f>IF($AD1645="保留中",COUNTIF($AD$6:$AD1645,"保留中"),"")</f>
        <v/>
      </c>
      <c r="AN1645" s="14">
        <f>IF($AO1645="","",IF(SUMPRODUCT(MAX((職員マスタ!$A$6:$A$405=$B1645)*(((職員マスタ!$G$6:$G$405="")+(職員マスタ!$G$6:$G$405&lt;=EOMONTH($AO1645,0)))&gt;0)*(((職員マスタ!$H$6:$H$405="")+(職員マスタ!$H$6:$H$405&gt;=$AO1645))&gt;0)*(ROW(職員マスタ!$A$6:$A$405)-5)))&gt;0,SUMPRODUCT(MAX((職員マスタ!$A$6:$A$405=$B1645)*(((職員マスタ!$G$6:$G$405="")+(職員マスタ!$G$6:$G$405&lt;=EOMONTH($AO1645,0)))&gt;0)*(((職員マスタ!$H$6:$H$405="")+(職員マスタ!$H$6:$H$405&gt;=$AO1645))&gt;0)*(ROW(職員マスタ!$A$6:$A$405)-5))),IFERROR(MATCH($B1645,職員マスタ!$A$6:$A$405,0),"")))</f>
        <v/>
      </c>
      <c r="AO1645" s="16">
        <f>IF(OR($B1645="",$C1645="",$D1645=""),"",DATE($C1645+2018,$D1645,1))</f>
        <v/>
      </c>
    </row>
    <row r="1646">
      <c r="A1646" s="11" t="n"/>
      <c r="B1646" s="12" t="n"/>
      <c r="C1646" s="12" t="n"/>
      <c r="D1646" s="12" t="n"/>
      <c r="E1646" s="13" t="n"/>
      <c r="F1646" s="12" t="n"/>
      <c r="G1646" s="13" t="n"/>
      <c r="H1646" s="12" t="n"/>
      <c r="I1646" s="12" t="n"/>
      <c r="J1646" s="12" t="n"/>
      <c r="K1646" s="12" t="n"/>
      <c r="L1646" s="11" t="n"/>
      <c r="M1646" s="11" t="n"/>
      <c r="N1646" s="11" t="n"/>
      <c r="O1646" s="11" t="n"/>
      <c r="P1646" s="12" t="n"/>
      <c r="Q1646" s="11" t="n"/>
      <c r="R1646" s="12" t="n"/>
      <c r="S1646" s="11" t="n"/>
      <c r="T1646" s="12" t="n"/>
      <c r="U1646" s="12" t="n"/>
      <c r="V1646" s="14">
        <f>IF($AN1646="",IF($B1646="","",$H1646),IF(INDEX(職員マスタ!$B$6:$B$405,$AN1646)="",$H1646,INDEX(職員マスタ!$B$6:$B$405,$AN1646)))</f>
        <v/>
      </c>
      <c r="W1646" s="14">
        <f>IF($AN1646="",IF($B1646="","",$R1646),IF(INDEX(職員マスタ!$C$6:$C$405,$AN1646)="",$R1646,INDEX(職員マスタ!$C$6:$C$405,$AN1646)))</f>
        <v/>
      </c>
      <c r="X1646" s="14">
        <f>IF($AO1646="","","R"&amp;$C1646&amp;"."&amp;$D1646)</f>
        <v/>
      </c>
      <c r="Y1646" s="15">
        <f>IF($AN1646="","",IF(INDEX(職員マスタ!$K$6:$K$405,$AN1646)="","",INDEX(職員マスタ!$K$6:$K$405,$AN1646)))</f>
        <v/>
      </c>
      <c r="Z1646" s="14">
        <f>IF(OR($E1646="",$Y1646=""),"",IF($E1646&gt;=$Y1646,"×",IF($E1646&gt;=$Y1646*設定!$C$5,"△","○")))</f>
        <v/>
      </c>
      <c r="AA1646" s="15">
        <f>IF($Z1646="","",IF($Z1646="×",0,IF($Z1646="○",ROUNDDOWN($E1646*設定!$C$4,0),ROUNDDOWN($E1646*ROUND((9*$Y1646-9*$E1646)/(10*$E1646),4),0))))</f>
        <v/>
      </c>
      <c r="AB1646" s="13" t="n"/>
      <c r="AC1646" s="15">
        <f>IF($B1646="","",IF($AB1646&lt;&gt;"",$AB1646,IF($AA1646="","",IF($AA1646&lt;=設定!$C$3,0,$AA1646))))</f>
        <v/>
      </c>
      <c r="AD1646" s="14">
        <f>IF($B1646="","",IF(AND($AE1646&lt;&gt;"",$AG1646="",$AJ1646=""),"保留中",IF($AJ1646&lt;&gt;"",IF(N($AC1646)&gt;0,"支給済","不支給"),IF($AC1646="","要確認",IF($AC1646=0,"不支給","未処理")))))</f>
        <v/>
      </c>
      <c r="AE1646" s="12" t="n"/>
      <c r="AF1646" s="11" t="n"/>
      <c r="AG1646" s="11" t="n"/>
      <c r="AH1646" s="11" t="n"/>
      <c r="AI1646" s="14">
        <f>IF(AND($AD1646="保留中",$AF1646&lt;&gt;""),TODAY()-$AF1646,"")</f>
        <v/>
      </c>
      <c r="AJ1646" s="12" t="n"/>
      <c r="AK1646" s="14">
        <f>IF($B1646="","",IF($AO1646="","対象年月が未入力／","")&amp;IF($B1646="","",IF($AN1646="","職員マスタに未登録の職員番号／",IF($Y1646="","標準報酬月額が未登録／","")&amp;IF(AND($AO1646&lt;&gt;"",OR(AND(INDEX(職員マスタ!$G$6:$G$405,$AN1646)&lt;&gt;"",INDEX(職員マスタ!$G$6:$G$405,$AN1646)&gt;EOMONTH($AO1646,0)),AND(INDEX(職員マスタ!$H$6:$H$405,$AN1646)&lt;&gt;"",INDEX(職員マスタ!$H$6:$H$405,$AN1646)&lt;$AO1646))),"対象月が時短期間外／","")&amp;IF(AND(INDEX(職員マスタ!$F$6:$F$405,$AN1646)&lt;&gt;"",$AO1646&lt;&gt;"",INDEX(職員マスタ!$F$6:$F$405,$AN1646)&lt;$AO1646),"対象月に子が2歳到達済／","")&amp;IF(AND($H1646&lt;&gt;"",INDEX(職員マスタ!$B$6:$B$405,$AN1646)&lt;&gt;"",SUBSTITUTE(SUBSTITUTE($H1646," ","")," ","")&lt;&gt;SUBSTITUTE(SUBSTITUTE(INDEX(職員マスタ!$B$6:$B$405,$AN1646)," ","")," ","")),"氏名がマスタと相違／","")&amp;IF(AND($Q1646&lt;&gt;"",INDEX(職員マスタ!$E$6:$E$405,$AN1646)&lt;&gt;"",$Q1646&lt;&gt;INDEX(職員マスタ!$E$6:$E$405,$AN1646)),"子の生年月日がマスタと相違／","")&amp;IF(AND($L1646&lt;&gt;"",INDEX(職員マスタ!$G$6:$G$405,$AN1646)&lt;&gt;"",$L1646&lt;&gt;INDEX(職員マスタ!$G$6:$G$405,$AN1646)),"時短開始日がマスタと相違／","")&amp;IF(AND($M1646&lt;&gt;"",INDEX(職員マスタ!$H$6:$H$405,$AN1646)&lt;&gt;"",$M1646&lt;&gt;INDEX(職員マスタ!$H$6:$H$405,$AN1646)),"時短終了日がマスタと相違／","")))&amp;IF(AND($B1646&lt;&gt;"",$E1646=""),"報酬額が未入力／","")&amp;IF(N($U1646)&gt;0,"申請書に入力エラーが残っています／","")&amp;IF(AND($B1646&lt;&gt;"",$AO1646&lt;&gt;""),IF(COUNTIFS($B$6:$B$3005,$B1646,$C$6:$C$3005,$C1646,$D$6:$D$3005,$D1646)&gt;1,"同じ月の請求が重複しています／",""),"")&amp;IF(AND(N($E1646)&gt;0,$Z1646&lt;&gt;"",$Z1646&lt;&gt;"×",$AC1646=0,$AB1646=""),"計算額が下限以下のため不支給／",""))</f>
        <v/>
      </c>
      <c r="AL1646" s="12" t="n"/>
      <c r="AM1646" s="14">
        <f>IF($AD1646="保留中",COUNTIF($AD$6:$AD1646,"保留中"),"")</f>
        <v/>
      </c>
      <c r="AN1646" s="14">
        <f>IF($AO1646="","",IF(SUMPRODUCT(MAX((職員マスタ!$A$6:$A$405=$B1646)*(((職員マスタ!$G$6:$G$405="")+(職員マスタ!$G$6:$G$405&lt;=EOMONTH($AO1646,0)))&gt;0)*(((職員マスタ!$H$6:$H$405="")+(職員マスタ!$H$6:$H$405&gt;=$AO1646))&gt;0)*(ROW(職員マスタ!$A$6:$A$405)-5)))&gt;0,SUMPRODUCT(MAX((職員マスタ!$A$6:$A$405=$B1646)*(((職員マスタ!$G$6:$G$405="")+(職員マスタ!$G$6:$G$405&lt;=EOMONTH($AO1646,0)))&gt;0)*(((職員マスタ!$H$6:$H$405="")+(職員マスタ!$H$6:$H$405&gt;=$AO1646))&gt;0)*(ROW(職員マスタ!$A$6:$A$405)-5))),IFERROR(MATCH($B1646,職員マスタ!$A$6:$A$405,0),"")))</f>
        <v/>
      </c>
      <c r="AO1646" s="16">
        <f>IF(OR($B1646="",$C1646="",$D1646=""),"",DATE($C1646+2018,$D1646,1))</f>
        <v/>
      </c>
    </row>
    <row r="1647">
      <c r="A1647" s="11" t="n"/>
      <c r="B1647" s="12" t="n"/>
      <c r="C1647" s="12" t="n"/>
      <c r="D1647" s="12" t="n"/>
      <c r="E1647" s="13" t="n"/>
      <c r="F1647" s="12" t="n"/>
      <c r="G1647" s="13" t="n"/>
      <c r="H1647" s="12" t="n"/>
      <c r="I1647" s="12" t="n"/>
      <c r="J1647" s="12" t="n"/>
      <c r="K1647" s="12" t="n"/>
      <c r="L1647" s="11" t="n"/>
      <c r="M1647" s="11" t="n"/>
      <c r="N1647" s="11" t="n"/>
      <c r="O1647" s="11" t="n"/>
      <c r="P1647" s="12" t="n"/>
      <c r="Q1647" s="11" t="n"/>
      <c r="R1647" s="12" t="n"/>
      <c r="S1647" s="11" t="n"/>
      <c r="T1647" s="12" t="n"/>
      <c r="U1647" s="12" t="n"/>
      <c r="V1647" s="14">
        <f>IF($AN1647="",IF($B1647="","",$H1647),IF(INDEX(職員マスタ!$B$6:$B$405,$AN1647)="",$H1647,INDEX(職員マスタ!$B$6:$B$405,$AN1647)))</f>
        <v/>
      </c>
      <c r="W1647" s="14">
        <f>IF($AN1647="",IF($B1647="","",$R1647),IF(INDEX(職員マスタ!$C$6:$C$405,$AN1647)="",$R1647,INDEX(職員マスタ!$C$6:$C$405,$AN1647)))</f>
        <v/>
      </c>
      <c r="X1647" s="14">
        <f>IF($AO1647="","","R"&amp;$C1647&amp;"."&amp;$D1647)</f>
        <v/>
      </c>
      <c r="Y1647" s="15">
        <f>IF($AN1647="","",IF(INDEX(職員マスタ!$K$6:$K$405,$AN1647)="","",INDEX(職員マスタ!$K$6:$K$405,$AN1647)))</f>
        <v/>
      </c>
      <c r="Z1647" s="14">
        <f>IF(OR($E1647="",$Y1647=""),"",IF($E1647&gt;=$Y1647,"×",IF($E1647&gt;=$Y1647*設定!$C$5,"△","○")))</f>
        <v/>
      </c>
      <c r="AA1647" s="15">
        <f>IF($Z1647="","",IF($Z1647="×",0,IF($Z1647="○",ROUNDDOWN($E1647*設定!$C$4,0),ROUNDDOWN($E1647*ROUND((9*$Y1647-9*$E1647)/(10*$E1647),4),0))))</f>
        <v/>
      </c>
      <c r="AB1647" s="13" t="n"/>
      <c r="AC1647" s="15">
        <f>IF($B1647="","",IF($AB1647&lt;&gt;"",$AB1647,IF($AA1647="","",IF($AA1647&lt;=設定!$C$3,0,$AA1647))))</f>
        <v/>
      </c>
      <c r="AD1647" s="14">
        <f>IF($B1647="","",IF(AND($AE1647&lt;&gt;"",$AG1647="",$AJ1647=""),"保留中",IF($AJ1647&lt;&gt;"",IF(N($AC1647)&gt;0,"支給済","不支給"),IF($AC1647="","要確認",IF($AC1647=0,"不支給","未処理")))))</f>
        <v/>
      </c>
      <c r="AE1647" s="12" t="n"/>
      <c r="AF1647" s="11" t="n"/>
      <c r="AG1647" s="11" t="n"/>
      <c r="AH1647" s="11" t="n"/>
      <c r="AI1647" s="14">
        <f>IF(AND($AD1647="保留中",$AF1647&lt;&gt;""),TODAY()-$AF1647,"")</f>
        <v/>
      </c>
      <c r="AJ1647" s="12" t="n"/>
      <c r="AK1647" s="14">
        <f>IF($B1647="","",IF($AO1647="","対象年月が未入力／","")&amp;IF($B1647="","",IF($AN1647="","職員マスタに未登録の職員番号／",IF($Y1647="","標準報酬月額が未登録／","")&amp;IF(AND($AO1647&lt;&gt;"",OR(AND(INDEX(職員マスタ!$G$6:$G$405,$AN1647)&lt;&gt;"",INDEX(職員マスタ!$G$6:$G$405,$AN1647)&gt;EOMONTH($AO1647,0)),AND(INDEX(職員マスタ!$H$6:$H$405,$AN1647)&lt;&gt;"",INDEX(職員マスタ!$H$6:$H$405,$AN1647)&lt;$AO1647))),"対象月が時短期間外／","")&amp;IF(AND(INDEX(職員マスタ!$F$6:$F$405,$AN1647)&lt;&gt;"",$AO1647&lt;&gt;"",INDEX(職員マスタ!$F$6:$F$405,$AN1647)&lt;$AO1647),"対象月に子が2歳到達済／","")&amp;IF(AND($H1647&lt;&gt;"",INDEX(職員マスタ!$B$6:$B$405,$AN1647)&lt;&gt;"",SUBSTITUTE(SUBSTITUTE($H1647," ","")," ","")&lt;&gt;SUBSTITUTE(SUBSTITUTE(INDEX(職員マスタ!$B$6:$B$405,$AN1647)," ","")," ","")),"氏名がマスタと相違／","")&amp;IF(AND($Q1647&lt;&gt;"",INDEX(職員マスタ!$E$6:$E$405,$AN1647)&lt;&gt;"",$Q1647&lt;&gt;INDEX(職員マスタ!$E$6:$E$405,$AN1647)),"子の生年月日がマスタと相違／","")&amp;IF(AND($L1647&lt;&gt;"",INDEX(職員マスタ!$G$6:$G$405,$AN1647)&lt;&gt;"",$L1647&lt;&gt;INDEX(職員マスタ!$G$6:$G$405,$AN1647)),"時短開始日がマスタと相違／","")&amp;IF(AND($M1647&lt;&gt;"",INDEX(職員マスタ!$H$6:$H$405,$AN1647)&lt;&gt;"",$M1647&lt;&gt;INDEX(職員マスタ!$H$6:$H$405,$AN1647)),"時短終了日がマスタと相違／","")))&amp;IF(AND($B1647&lt;&gt;"",$E1647=""),"報酬額が未入力／","")&amp;IF(N($U1647)&gt;0,"申請書に入力エラーが残っています／","")&amp;IF(AND($B1647&lt;&gt;"",$AO1647&lt;&gt;""),IF(COUNTIFS($B$6:$B$3005,$B1647,$C$6:$C$3005,$C1647,$D$6:$D$3005,$D1647)&gt;1,"同じ月の請求が重複しています／",""),"")&amp;IF(AND(N($E1647)&gt;0,$Z1647&lt;&gt;"",$Z1647&lt;&gt;"×",$AC1647=0,$AB1647=""),"計算額が下限以下のため不支給／",""))</f>
        <v/>
      </c>
      <c r="AL1647" s="12" t="n"/>
      <c r="AM1647" s="14">
        <f>IF($AD1647="保留中",COUNTIF($AD$6:$AD1647,"保留中"),"")</f>
        <v/>
      </c>
      <c r="AN1647" s="14">
        <f>IF($AO1647="","",IF(SUMPRODUCT(MAX((職員マスタ!$A$6:$A$405=$B1647)*(((職員マスタ!$G$6:$G$405="")+(職員マスタ!$G$6:$G$405&lt;=EOMONTH($AO1647,0)))&gt;0)*(((職員マスタ!$H$6:$H$405="")+(職員マスタ!$H$6:$H$405&gt;=$AO1647))&gt;0)*(ROW(職員マスタ!$A$6:$A$405)-5)))&gt;0,SUMPRODUCT(MAX((職員マスタ!$A$6:$A$405=$B1647)*(((職員マスタ!$G$6:$G$405="")+(職員マスタ!$G$6:$G$405&lt;=EOMONTH($AO1647,0)))&gt;0)*(((職員マスタ!$H$6:$H$405="")+(職員マスタ!$H$6:$H$405&gt;=$AO1647))&gt;0)*(ROW(職員マスタ!$A$6:$A$405)-5))),IFERROR(MATCH($B1647,職員マスタ!$A$6:$A$405,0),"")))</f>
        <v/>
      </c>
      <c r="AO1647" s="16">
        <f>IF(OR($B1647="",$C1647="",$D1647=""),"",DATE($C1647+2018,$D1647,1))</f>
        <v/>
      </c>
    </row>
    <row r="1648">
      <c r="A1648" s="11" t="n"/>
      <c r="B1648" s="12" t="n"/>
      <c r="C1648" s="12" t="n"/>
      <c r="D1648" s="12" t="n"/>
      <c r="E1648" s="13" t="n"/>
      <c r="F1648" s="12" t="n"/>
      <c r="G1648" s="13" t="n"/>
      <c r="H1648" s="12" t="n"/>
      <c r="I1648" s="12" t="n"/>
      <c r="J1648" s="12" t="n"/>
      <c r="K1648" s="12" t="n"/>
      <c r="L1648" s="11" t="n"/>
      <c r="M1648" s="11" t="n"/>
      <c r="N1648" s="11" t="n"/>
      <c r="O1648" s="11" t="n"/>
      <c r="P1648" s="12" t="n"/>
      <c r="Q1648" s="11" t="n"/>
      <c r="R1648" s="12" t="n"/>
      <c r="S1648" s="11" t="n"/>
      <c r="T1648" s="12" t="n"/>
      <c r="U1648" s="12" t="n"/>
      <c r="V1648" s="14">
        <f>IF($AN1648="",IF($B1648="","",$H1648),IF(INDEX(職員マスタ!$B$6:$B$405,$AN1648)="",$H1648,INDEX(職員マスタ!$B$6:$B$405,$AN1648)))</f>
        <v/>
      </c>
      <c r="W1648" s="14">
        <f>IF($AN1648="",IF($B1648="","",$R1648),IF(INDEX(職員マスタ!$C$6:$C$405,$AN1648)="",$R1648,INDEX(職員マスタ!$C$6:$C$405,$AN1648)))</f>
        <v/>
      </c>
      <c r="X1648" s="14">
        <f>IF($AO1648="","","R"&amp;$C1648&amp;"."&amp;$D1648)</f>
        <v/>
      </c>
      <c r="Y1648" s="15">
        <f>IF($AN1648="","",IF(INDEX(職員マスタ!$K$6:$K$405,$AN1648)="","",INDEX(職員マスタ!$K$6:$K$405,$AN1648)))</f>
        <v/>
      </c>
      <c r="Z1648" s="14">
        <f>IF(OR($E1648="",$Y1648=""),"",IF($E1648&gt;=$Y1648,"×",IF($E1648&gt;=$Y1648*設定!$C$5,"△","○")))</f>
        <v/>
      </c>
      <c r="AA1648" s="15">
        <f>IF($Z1648="","",IF($Z1648="×",0,IF($Z1648="○",ROUNDDOWN($E1648*設定!$C$4,0),ROUNDDOWN($E1648*ROUND((9*$Y1648-9*$E1648)/(10*$E1648),4),0))))</f>
        <v/>
      </c>
      <c r="AB1648" s="13" t="n"/>
      <c r="AC1648" s="15">
        <f>IF($B1648="","",IF($AB1648&lt;&gt;"",$AB1648,IF($AA1648="","",IF($AA1648&lt;=設定!$C$3,0,$AA1648))))</f>
        <v/>
      </c>
      <c r="AD1648" s="14">
        <f>IF($B1648="","",IF(AND($AE1648&lt;&gt;"",$AG1648="",$AJ1648=""),"保留中",IF($AJ1648&lt;&gt;"",IF(N($AC1648)&gt;0,"支給済","不支給"),IF($AC1648="","要確認",IF($AC1648=0,"不支給","未処理")))))</f>
        <v/>
      </c>
      <c r="AE1648" s="12" t="n"/>
      <c r="AF1648" s="11" t="n"/>
      <c r="AG1648" s="11" t="n"/>
      <c r="AH1648" s="11" t="n"/>
      <c r="AI1648" s="14">
        <f>IF(AND($AD1648="保留中",$AF1648&lt;&gt;""),TODAY()-$AF1648,"")</f>
        <v/>
      </c>
      <c r="AJ1648" s="12" t="n"/>
      <c r="AK1648" s="14">
        <f>IF($B1648="","",IF($AO1648="","対象年月が未入力／","")&amp;IF($B1648="","",IF($AN1648="","職員マスタに未登録の職員番号／",IF($Y1648="","標準報酬月額が未登録／","")&amp;IF(AND($AO1648&lt;&gt;"",OR(AND(INDEX(職員マスタ!$G$6:$G$405,$AN1648)&lt;&gt;"",INDEX(職員マスタ!$G$6:$G$405,$AN1648)&gt;EOMONTH($AO1648,0)),AND(INDEX(職員マスタ!$H$6:$H$405,$AN1648)&lt;&gt;"",INDEX(職員マスタ!$H$6:$H$405,$AN1648)&lt;$AO1648))),"対象月が時短期間外／","")&amp;IF(AND(INDEX(職員マスタ!$F$6:$F$405,$AN1648)&lt;&gt;"",$AO1648&lt;&gt;"",INDEX(職員マスタ!$F$6:$F$405,$AN1648)&lt;$AO1648),"対象月に子が2歳到達済／","")&amp;IF(AND($H1648&lt;&gt;"",INDEX(職員マスタ!$B$6:$B$405,$AN1648)&lt;&gt;"",SUBSTITUTE(SUBSTITUTE($H1648," ","")," ","")&lt;&gt;SUBSTITUTE(SUBSTITUTE(INDEX(職員マスタ!$B$6:$B$405,$AN1648)," ","")," ","")),"氏名がマスタと相違／","")&amp;IF(AND($Q1648&lt;&gt;"",INDEX(職員マスタ!$E$6:$E$405,$AN1648)&lt;&gt;"",$Q1648&lt;&gt;INDEX(職員マスタ!$E$6:$E$405,$AN1648)),"子の生年月日がマスタと相違／","")&amp;IF(AND($L1648&lt;&gt;"",INDEX(職員マスタ!$G$6:$G$405,$AN1648)&lt;&gt;"",$L1648&lt;&gt;INDEX(職員マスタ!$G$6:$G$405,$AN1648)),"時短開始日がマスタと相違／","")&amp;IF(AND($M1648&lt;&gt;"",INDEX(職員マスタ!$H$6:$H$405,$AN1648)&lt;&gt;"",$M1648&lt;&gt;INDEX(職員マスタ!$H$6:$H$405,$AN1648)),"時短終了日がマスタと相違／","")))&amp;IF(AND($B1648&lt;&gt;"",$E1648=""),"報酬額が未入力／","")&amp;IF(N($U1648)&gt;0,"申請書に入力エラーが残っています／","")&amp;IF(AND($B1648&lt;&gt;"",$AO1648&lt;&gt;""),IF(COUNTIFS($B$6:$B$3005,$B1648,$C$6:$C$3005,$C1648,$D$6:$D$3005,$D1648)&gt;1,"同じ月の請求が重複しています／",""),"")&amp;IF(AND(N($E1648)&gt;0,$Z1648&lt;&gt;"",$Z1648&lt;&gt;"×",$AC1648=0,$AB1648=""),"計算額が下限以下のため不支給／",""))</f>
        <v/>
      </c>
      <c r="AL1648" s="12" t="n"/>
      <c r="AM1648" s="14">
        <f>IF($AD1648="保留中",COUNTIF($AD$6:$AD1648,"保留中"),"")</f>
        <v/>
      </c>
      <c r="AN1648" s="14">
        <f>IF($AO1648="","",IF(SUMPRODUCT(MAX((職員マスタ!$A$6:$A$405=$B1648)*(((職員マスタ!$G$6:$G$405="")+(職員マスタ!$G$6:$G$405&lt;=EOMONTH($AO1648,0)))&gt;0)*(((職員マスタ!$H$6:$H$405="")+(職員マスタ!$H$6:$H$405&gt;=$AO1648))&gt;0)*(ROW(職員マスタ!$A$6:$A$405)-5)))&gt;0,SUMPRODUCT(MAX((職員マスタ!$A$6:$A$405=$B1648)*(((職員マスタ!$G$6:$G$405="")+(職員マスタ!$G$6:$G$405&lt;=EOMONTH($AO1648,0)))&gt;0)*(((職員マスタ!$H$6:$H$405="")+(職員マスタ!$H$6:$H$405&gt;=$AO1648))&gt;0)*(ROW(職員マスタ!$A$6:$A$405)-5))),IFERROR(MATCH($B1648,職員マスタ!$A$6:$A$405,0),"")))</f>
        <v/>
      </c>
      <c r="AO1648" s="16">
        <f>IF(OR($B1648="",$C1648="",$D1648=""),"",DATE($C1648+2018,$D1648,1))</f>
        <v/>
      </c>
    </row>
    <row r="1649">
      <c r="A1649" s="11" t="n"/>
      <c r="B1649" s="12" t="n"/>
      <c r="C1649" s="12" t="n"/>
      <c r="D1649" s="12" t="n"/>
      <c r="E1649" s="13" t="n"/>
      <c r="F1649" s="12" t="n"/>
      <c r="G1649" s="13" t="n"/>
      <c r="H1649" s="12" t="n"/>
      <c r="I1649" s="12" t="n"/>
      <c r="J1649" s="12" t="n"/>
      <c r="K1649" s="12" t="n"/>
      <c r="L1649" s="11" t="n"/>
      <c r="M1649" s="11" t="n"/>
      <c r="N1649" s="11" t="n"/>
      <c r="O1649" s="11" t="n"/>
      <c r="P1649" s="12" t="n"/>
      <c r="Q1649" s="11" t="n"/>
      <c r="R1649" s="12" t="n"/>
      <c r="S1649" s="11" t="n"/>
      <c r="T1649" s="12" t="n"/>
      <c r="U1649" s="12" t="n"/>
      <c r="V1649" s="14">
        <f>IF($AN1649="",IF($B1649="","",$H1649),IF(INDEX(職員マスタ!$B$6:$B$405,$AN1649)="",$H1649,INDEX(職員マスタ!$B$6:$B$405,$AN1649)))</f>
        <v/>
      </c>
      <c r="W1649" s="14">
        <f>IF($AN1649="",IF($B1649="","",$R1649),IF(INDEX(職員マスタ!$C$6:$C$405,$AN1649)="",$R1649,INDEX(職員マスタ!$C$6:$C$405,$AN1649)))</f>
        <v/>
      </c>
      <c r="X1649" s="14">
        <f>IF($AO1649="","","R"&amp;$C1649&amp;"."&amp;$D1649)</f>
        <v/>
      </c>
      <c r="Y1649" s="15">
        <f>IF($AN1649="","",IF(INDEX(職員マスタ!$K$6:$K$405,$AN1649)="","",INDEX(職員マスタ!$K$6:$K$405,$AN1649)))</f>
        <v/>
      </c>
      <c r="Z1649" s="14">
        <f>IF(OR($E1649="",$Y1649=""),"",IF($E1649&gt;=$Y1649,"×",IF($E1649&gt;=$Y1649*設定!$C$5,"△","○")))</f>
        <v/>
      </c>
      <c r="AA1649" s="15">
        <f>IF($Z1649="","",IF($Z1649="×",0,IF($Z1649="○",ROUNDDOWN($E1649*設定!$C$4,0),ROUNDDOWN($E1649*ROUND((9*$Y1649-9*$E1649)/(10*$E1649),4),0))))</f>
        <v/>
      </c>
      <c r="AB1649" s="13" t="n"/>
      <c r="AC1649" s="15">
        <f>IF($B1649="","",IF($AB1649&lt;&gt;"",$AB1649,IF($AA1649="","",IF($AA1649&lt;=設定!$C$3,0,$AA1649))))</f>
        <v/>
      </c>
      <c r="AD1649" s="14">
        <f>IF($B1649="","",IF(AND($AE1649&lt;&gt;"",$AG1649="",$AJ1649=""),"保留中",IF($AJ1649&lt;&gt;"",IF(N($AC1649)&gt;0,"支給済","不支給"),IF($AC1649="","要確認",IF($AC1649=0,"不支給","未処理")))))</f>
        <v/>
      </c>
      <c r="AE1649" s="12" t="n"/>
      <c r="AF1649" s="11" t="n"/>
      <c r="AG1649" s="11" t="n"/>
      <c r="AH1649" s="11" t="n"/>
      <c r="AI1649" s="14">
        <f>IF(AND($AD1649="保留中",$AF1649&lt;&gt;""),TODAY()-$AF1649,"")</f>
        <v/>
      </c>
      <c r="AJ1649" s="12" t="n"/>
      <c r="AK1649" s="14">
        <f>IF($B1649="","",IF($AO1649="","対象年月が未入力／","")&amp;IF($B1649="","",IF($AN1649="","職員マスタに未登録の職員番号／",IF($Y1649="","標準報酬月額が未登録／","")&amp;IF(AND($AO1649&lt;&gt;"",OR(AND(INDEX(職員マスタ!$G$6:$G$405,$AN1649)&lt;&gt;"",INDEX(職員マスタ!$G$6:$G$405,$AN1649)&gt;EOMONTH($AO1649,0)),AND(INDEX(職員マスタ!$H$6:$H$405,$AN1649)&lt;&gt;"",INDEX(職員マスタ!$H$6:$H$405,$AN1649)&lt;$AO1649))),"対象月が時短期間外／","")&amp;IF(AND(INDEX(職員マスタ!$F$6:$F$405,$AN1649)&lt;&gt;"",$AO1649&lt;&gt;"",INDEX(職員マスタ!$F$6:$F$405,$AN1649)&lt;$AO1649),"対象月に子が2歳到達済／","")&amp;IF(AND($H1649&lt;&gt;"",INDEX(職員マスタ!$B$6:$B$405,$AN1649)&lt;&gt;"",SUBSTITUTE(SUBSTITUTE($H1649," ","")," ","")&lt;&gt;SUBSTITUTE(SUBSTITUTE(INDEX(職員マスタ!$B$6:$B$405,$AN1649)," ","")," ","")),"氏名がマスタと相違／","")&amp;IF(AND($Q1649&lt;&gt;"",INDEX(職員マスタ!$E$6:$E$405,$AN1649)&lt;&gt;"",$Q1649&lt;&gt;INDEX(職員マスタ!$E$6:$E$405,$AN1649)),"子の生年月日がマスタと相違／","")&amp;IF(AND($L1649&lt;&gt;"",INDEX(職員マスタ!$G$6:$G$405,$AN1649)&lt;&gt;"",$L1649&lt;&gt;INDEX(職員マスタ!$G$6:$G$405,$AN1649)),"時短開始日がマスタと相違／","")&amp;IF(AND($M1649&lt;&gt;"",INDEX(職員マスタ!$H$6:$H$405,$AN1649)&lt;&gt;"",$M1649&lt;&gt;INDEX(職員マスタ!$H$6:$H$405,$AN1649)),"時短終了日がマスタと相違／","")))&amp;IF(AND($B1649&lt;&gt;"",$E1649=""),"報酬額が未入力／","")&amp;IF(N($U1649)&gt;0,"申請書に入力エラーが残っています／","")&amp;IF(AND($B1649&lt;&gt;"",$AO1649&lt;&gt;""),IF(COUNTIFS($B$6:$B$3005,$B1649,$C$6:$C$3005,$C1649,$D$6:$D$3005,$D1649)&gt;1,"同じ月の請求が重複しています／",""),"")&amp;IF(AND(N($E1649)&gt;0,$Z1649&lt;&gt;"",$Z1649&lt;&gt;"×",$AC1649=0,$AB1649=""),"計算額が下限以下のため不支給／",""))</f>
        <v/>
      </c>
      <c r="AL1649" s="12" t="n"/>
      <c r="AM1649" s="14">
        <f>IF($AD1649="保留中",COUNTIF($AD$6:$AD1649,"保留中"),"")</f>
        <v/>
      </c>
      <c r="AN1649" s="14">
        <f>IF($AO1649="","",IF(SUMPRODUCT(MAX((職員マスタ!$A$6:$A$405=$B1649)*(((職員マスタ!$G$6:$G$405="")+(職員マスタ!$G$6:$G$405&lt;=EOMONTH($AO1649,0)))&gt;0)*(((職員マスタ!$H$6:$H$405="")+(職員マスタ!$H$6:$H$405&gt;=$AO1649))&gt;0)*(ROW(職員マスタ!$A$6:$A$405)-5)))&gt;0,SUMPRODUCT(MAX((職員マスタ!$A$6:$A$405=$B1649)*(((職員マスタ!$G$6:$G$405="")+(職員マスタ!$G$6:$G$405&lt;=EOMONTH($AO1649,0)))&gt;0)*(((職員マスタ!$H$6:$H$405="")+(職員マスタ!$H$6:$H$405&gt;=$AO1649))&gt;0)*(ROW(職員マスタ!$A$6:$A$405)-5))),IFERROR(MATCH($B1649,職員マスタ!$A$6:$A$405,0),"")))</f>
        <v/>
      </c>
      <c r="AO1649" s="16">
        <f>IF(OR($B1649="",$C1649="",$D1649=""),"",DATE($C1649+2018,$D1649,1))</f>
        <v/>
      </c>
    </row>
    <row r="1650">
      <c r="A1650" s="11" t="n"/>
      <c r="B1650" s="12" t="n"/>
      <c r="C1650" s="12" t="n"/>
      <c r="D1650" s="12" t="n"/>
      <c r="E1650" s="13" t="n"/>
      <c r="F1650" s="12" t="n"/>
      <c r="G1650" s="13" t="n"/>
      <c r="H1650" s="12" t="n"/>
      <c r="I1650" s="12" t="n"/>
      <c r="J1650" s="12" t="n"/>
      <c r="K1650" s="12" t="n"/>
      <c r="L1650" s="11" t="n"/>
      <c r="M1650" s="11" t="n"/>
      <c r="N1650" s="11" t="n"/>
      <c r="O1650" s="11" t="n"/>
      <c r="P1650" s="12" t="n"/>
      <c r="Q1650" s="11" t="n"/>
      <c r="R1650" s="12" t="n"/>
      <c r="S1650" s="11" t="n"/>
      <c r="T1650" s="12" t="n"/>
      <c r="U1650" s="12" t="n"/>
      <c r="V1650" s="14">
        <f>IF($AN1650="",IF($B1650="","",$H1650),IF(INDEX(職員マスタ!$B$6:$B$405,$AN1650)="",$H1650,INDEX(職員マスタ!$B$6:$B$405,$AN1650)))</f>
        <v/>
      </c>
      <c r="W1650" s="14">
        <f>IF($AN1650="",IF($B1650="","",$R1650),IF(INDEX(職員マスタ!$C$6:$C$405,$AN1650)="",$R1650,INDEX(職員マスタ!$C$6:$C$405,$AN1650)))</f>
        <v/>
      </c>
      <c r="X1650" s="14">
        <f>IF($AO1650="","","R"&amp;$C1650&amp;"."&amp;$D1650)</f>
        <v/>
      </c>
      <c r="Y1650" s="15">
        <f>IF($AN1650="","",IF(INDEX(職員マスタ!$K$6:$K$405,$AN1650)="","",INDEX(職員マスタ!$K$6:$K$405,$AN1650)))</f>
        <v/>
      </c>
      <c r="Z1650" s="14">
        <f>IF(OR($E1650="",$Y1650=""),"",IF($E1650&gt;=$Y1650,"×",IF($E1650&gt;=$Y1650*設定!$C$5,"△","○")))</f>
        <v/>
      </c>
      <c r="AA1650" s="15">
        <f>IF($Z1650="","",IF($Z1650="×",0,IF($Z1650="○",ROUNDDOWN($E1650*設定!$C$4,0),ROUNDDOWN($E1650*ROUND((9*$Y1650-9*$E1650)/(10*$E1650),4),0))))</f>
        <v/>
      </c>
      <c r="AB1650" s="13" t="n"/>
      <c r="AC1650" s="15">
        <f>IF($B1650="","",IF($AB1650&lt;&gt;"",$AB1650,IF($AA1650="","",IF($AA1650&lt;=設定!$C$3,0,$AA1650))))</f>
        <v/>
      </c>
      <c r="AD1650" s="14">
        <f>IF($B1650="","",IF(AND($AE1650&lt;&gt;"",$AG1650="",$AJ1650=""),"保留中",IF($AJ1650&lt;&gt;"",IF(N($AC1650)&gt;0,"支給済","不支給"),IF($AC1650="","要確認",IF($AC1650=0,"不支給","未処理")))))</f>
        <v/>
      </c>
      <c r="AE1650" s="12" t="n"/>
      <c r="AF1650" s="11" t="n"/>
      <c r="AG1650" s="11" t="n"/>
      <c r="AH1650" s="11" t="n"/>
      <c r="AI1650" s="14">
        <f>IF(AND($AD1650="保留中",$AF1650&lt;&gt;""),TODAY()-$AF1650,"")</f>
        <v/>
      </c>
      <c r="AJ1650" s="12" t="n"/>
      <c r="AK1650" s="14">
        <f>IF($B1650="","",IF($AO1650="","対象年月が未入力／","")&amp;IF($B1650="","",IF($AN1650="","職員マスタに未登録の職員番号／",IF($Y1650="","標準報酬月額が未登録／","")&amp;IF(AND($AO1650&lt;&gt;"",OR(AND(INDEX(職員マスタ!$G$6:$G$405,$AN1650)&lt;&gt;"",INDEX(職員マスタ!$G$6:$G$405,$AN1650)&gt;EOMONTH($AO1650,0)),AND(INDEX(職員マスタ!$H$6:$H$405,$AN1650)&lt;&gt;"",INDEX(職員マスタ!$H$6:$H$405,$AN1650)&lt;$AO1650))),"対象月が時短期間外／","")&amp;IF(AND(INDEX(職員マスタ!$F$6:$F$405,$AN1650)&lt;&gt;"",$AO1650&lt;&gt;"",INDEX(職員マスタ!$F$6:$F$405,$AN1650)&lt;$AO1650),"対象月に子が2歳到達済／","")&amp;IF(AND($H1650&lt;&gt;"",INDEX(職員マスタ!$B$6:$B$405,$AN1650)&lt;&gt;"",SUBSTITUTE(SUBSTITUTE($H1650," ","")," ","")&lt;&gt;SUBSTITUTE(SUBSTITUTE(INDEX(職員マスタ!$B$6:$B$405,$AN1650)," ","")," ","")),"氏名がマスタと相違／","")&amp;IF(AND($Q1650&lt;&gt;"",INDEX(職員マスタ!$E$6:$E$405,$AN1650)&lt;&gt;"",$Q1650&lt;&gt;INDEX(職員マスタ!$E$6:$E$405,$AN1650)),"子の生年月日がマスタと相違／","")&amp;IF(AND($L1650&lt;&gt;"",INDEX(職員マスタ!$G$6:$G$405,$AN1650)&lt;&gt;"",$L1650&lt;&gt;INDEX(職員マスタ!$G$6:$G$405,$AN1650)),"時短開始日がマスタと相違／","")&amp;IF(AND($M1650&lt;&gt;"",INDEX(職員マスタ!$H$6:$H$405,$AN1650)&lt;&gt;"",$M1650&lt;&gt;INDEX(職員マスタ!$H$6:$H$405,$AN1650)),"時短終了日がマスタと相違／","")))&amp;IF(AND($B1650&lt;&gt;"",$E1650=""),"報酬額が未入力／","")&amp;IF(N($U1650)&gt;0,"申請書に入力エラーが残っています／","")&amp;IF(AND($B1650&lt;&gt;"",$AO1650&lt;&gt;""),IF(COUNTIFS($B$6:$B$3005,$B1650,$C$6:$C$3005,$C1650,$D$6:$D$3005,$D1650)&gt;1,"同じ月の請求が重複しています／",""),"")&amp;IF(AND(N($E1650)&gt;0,$Z1650&lt;&gt;"",$Z1650&lt;&gt;"×",$AC1650=0,$AB1650=""),"計算額が下限以下のため不支給／",""))</f>
        <v/>
      </c>
      <c r="AL1650" s="12" t="n"/>
      <c r="AM1650" s="14">
        <f>IF($AD1650="保留中",COUNTIF($AD$6:$AD1650,"保留中"),"")</f>
        <v/>
      </c>
      <c r="AN1650" s="14">
        <f>IF($AO1650="","",IF(SUMPRODUCT(MAX((職員マスタ!$A$6:$A$405=$B1650)*(((職員マスタ!$G$6:$G$405="")+(職員マスタ!$G$6:$G$405&lt;=EOMONTH($AO1650,0)))&gt;0)*(((職員マスタ!$H$6:$H$405="")+(職員マスタ!$H$6:$H$405&gt;=$AO1650))&gt;0)*(ROW(職員マスタ!$A$6:$A$405)-5)))&gt;0,SUMPRODUCT(MAX((職員マスタ!$A$6:$A$405=$B1650)*(((職員マスタ!$G$6:$G$405="")+(職員マスタ!$G$6:$G$405&lt;=EOMONTH($AO1650,0)))&gt;0)*(((職員マスタ!$H$6:$H$405="")+(職員マスタ!$H$6:$H$405&gt;=$AO1650))&gt;0)*(ROW(職員マスタ!$A$6:$A$405)-5))),IFERROR(MATCH($B1650,職員マスタ!$A$6:$A$405,0),"")))</f>
        <v/>
      </c>
      <c r="AO1650" s="16">
        <f>IF(OR($B1650="",$C1650="",$D1650=""),"",DATE($C1650+2018,$D1650,1))</f>
        <v/>
      </c>
    </row>
    <row r="1651">
      <c r="A1651" s="11" t="n"/>
      <c r="B1651" s="12" t="n"/>
      <c r="C1651" s="12" t="n"/>
      <c r="D1651" s="12" t="n"/>
      <c r="E1651" s="13" t="n"/>
      <c r="F1651" s="12" t="n"/>
      <c r="G1651" s="13" t="n"/>
      <c r="H1651" s="12" t="n"/>
      <c r="I1651" s="12" t="n"/>
      <c r="J1651" s="12" t="n"/>
      <c r="K1651" s="12" t="n"/>
      <c r="L1651" s="11" t="n"/>
      <c r="M1651" s="11" t="n"/>
      <c r="N1651" s="11" t="n"/>
      <c r="O1651" s="11" t="n"/>
      <c r="P1651" s="12" t="n"/>
      <c r="Q1651" s="11" t="n"/>
      <c r="R1651" s="12" t="n"/>
      <c r="S1651" s="11" t="n"/>
      <c r="T1651" s="12" t="n"/>
      <c r="U1651" s="12" t="n"/>
      <c r="V1651" s="14">
        <f>IF($AN1651="",IF($B1651="","",$H1651),IF(INDEX(職員マスタ!$B$6:$B$405,$AN1651)="",$H1651,INDEX(職員マスタ!$B$6:$B$405,$AN1651)))</f>
        <v/>
      </c>
      <c r="W1651" s="14">
        <f>IF($AN1651="",IF($B1651="","",$R1651),IF(INDEX(職員マスタ!$C$6:$C$405,$AN1651)="",$R1651,INDEX(職員マスタ!$C$6:$C$405,$AN1651)))</f>
        <v/>
      </c>
      <c r="X1651" s="14">
        <f>IF($AO1651="","","R"&amp;$C1651&amp;"."&amp;$D1651)</f>
        <v/>
      </c>
      <c r="Y1651" s="15">
        <f>IF($AN1651="","",IF(INDEX(職員マスタ!$K$6:$K$405,$AN1651)="","",INDEX(職員マスタ!$K$6:$K$405,$AN1651)))</f>
        <v/>
      </c>
      <c r="Z1651" s="14">
        <f>IF(OR($E1651="",$Y1651=""),"",IF($E1651&gt;=$Y1651,"×",IF($E1651&gt;=$Y1651*設定!$C$5,"△","○")))</f>
        <v/>
      </c>
      <c r="AA1651" s="15">
        <f>IF($Z1651="","",IF($Z1651="×",0,IF($Z1651="○",ROUNDDOWN($E1651*設定!$C$4,0),ROUNDDOWN($E1651*ROUND((9*$Y1651-9*$E1651)/(10*$E1651),4),0))))</f>
        <v/>
      </c>
      <c r="AB1651" s="13" t="n"/>
      <c r="AC1651" s="15">
        <f>IF($B1651="","",IF($AB1651&lt;&gt;"",$AB1651,IF($AA1651="","",IF($AA1651&lt;=設定!$C$3,0,$AA1651))))</f>
        <v/>
      </c>
      <c r="AD1651" s="14">
        <f>IF($B1651="","",IF(AND($AE1651&lt;&gt;"",$AG1651="",$AJ1651=""),"保留中",IF($AJ1651&lt;&gt;"",IF(N($AC1651)&gt;0,"支給済","不支給"),IF($AC1651="","要確認",IF($AC1651=0,"不支給","未処理")))))</f>
        <v/>
      </c>
      <c r="AE1651" s="12" t="n"/>
      <c r="AF1651" s="11" t="n"/>
      <c r="AG1651" s="11" t="n"/>
      <c r="AH1651" s="11" t="n"/>
      <c r="AI1651" s="14">
        <f>IF(AND($AD1651="保留中",$AF1651&lt;&gt;""),TODAY()-$AF1651,"")</f>
        <v/>
      </c>
      <c r="AJ1651" s="12" t="n"/>
      <c r="AK1651" s="14">
        <f>IF($B1651="","",IF($AO1651="","対象年月が未入力／","")&amp;IF($B1651="","",IF($AN1651="","職員マスタに未登録の職員番号／",IF($Y1651="","標準報酬月額が未登録／","")&amp;IF(AND($AO1651&lt;&gt;"",OR(AND(INDEX(職員マスタ!$G$6:$G$405,$AN1651)&lt;&gt;"",INDEX(職員マスタ!$G$6:$G$405,$AN1651)&gt;EOMONTH($AO1651,0)),AND(INDEX(職員マスタ!$H$6:$H$405,$AN1651)&lt;&gt;"",INDEX(職員マスタ!$H$6:$H$405,$AN1651)&lt;$AO1651))),"対象月が時短期間外／","")&amp;IF(AND(INDEX(職員マスタ!$F$6:$F$405,$AN1651)&lt;&gt;"",$AO1651&lt;&gt;"",INDEX(職員マスタ!$F$6:$F$405,$AN1651)&lt;$AO1651),"対象月に子が2歳到達済／","")&amp;IF(AND($H1651&lt;&gt;"",INDEX(職員マスタ!$B$6:$B$405,$AN1651)&lt;&gt;"",SUBSTITUTE(SUBSTITUTE($H1651," ","")," ","")&lt;&gt;SUBSTITUTE(SUBSTITUTE(INDEX(職員マスタ!$B$6:$B$405,$AN1651)," ","")," ","")),"氏名がマスタと相違／","")&amp;IF(AND($Q1651&lt;&gt;"",INDEX(職員マスタ!$E$6:$E$405,$AN1651)&lt;&gt;"",$Q1651&lt;&gt;INDEX(職員マスタ!$E$6:$E$405,$AN1651)),"子の生年月日がマスタと相違／","")&amp;IF(AND($L1651&lt;&gt;"",INDEX(職員マスタ!$G$6:$G$405,$AN1651)&lt;&gt;"",$L1651&lt;&gt;INDEX(職員マスタ!$G$6:$G$405,$AN1651)),"時短開始日がマスタと相違／","")&amp;IF(AND($M1651&lt;&gt;"",INDEX(職員マスタ!$H$6:$H$405,$AN1651)&lt;&gt;"",$M1651&lt;&gt;INDEX(職員マスタ!$H$6:$H$405,$AN1651)),"時短終了日がマスタと相違／","")))&amp;IF(AND($B1651&lt;&gt;"",$E1651=""),"報酬額が未入力／","")&amp;IF(N($U1651)&gt;0,"申請書に入力エラーが残っています／","")&amp;IF(AND($B1651&lt;&gt;"",$AO1651&lt;&gt;""),IF(COUNTIFS($B$6:$B$3005,$B1651,$C$6:$C$3005,$C1651,$D$6:$D$3005,$D1651)&gt;1,"同じ月の請求が重複しています／",""),"")&amp;IF(AND(N($E1651)&gt;0,$Z1651&lt;&gt;"",$Z1651&lt;&gt;"×",$AC1651=0,$AB1651=""),"計算額が下限以下のため不支給／",""))</f>
        <v/>
      </c>
      <c r="AL1651" s="12" t="n"/>
      <c r="AM1651" s="14">
        <f>IF($AD1651="保留中",COUNTIF($AD$6:$AD1651,"保留中"),"")</f>
        <v/>
      </c>
      <c r="AN1651" s="14">
        <f>IF($AO1651="","",IF(SUMPRODUCT(MAX((職員マスタ!$A$6:$A$405=$B1651)*(((職員マスタ!$G$6:$G$405="")+(職員マスタ!$G$6:$G$405&lt;=EOMONTH($AO1651,0)))&gt;0)*(((職員マスタ!$H$6:$H$405="")+(職員マスタ!$H$6:$H$405&gt;=$AO1651))&gt;0)*(ROW(職員マスタ!$A$6:$A$405)-5)))&gt;0,SUMPRODUCT(MAX((職員マスタ!$A$6:$A$405=$B1651)*(((職員マスタ!$G$6:$G$405="")+(職員マスタ!$G$6:$G$405&lt;=EOMONTH($AO1651,0)))&gt;0)*(((職員マスタ!$H$6:$H$405="")+(職員マスタ!$H$6:$H$405&gt;=$AO1651))&gt;0)*(ROW(職員マスタ!$A$6:$A$405)-5))),IFERROR(MATCH($B1651,職員マスタ!$A$6:$A$405,0),"")))</f>
        <v/>
      </c>
      <c r="AO1651" s="16">
        <f>IF(OR($B1651="",$C1651="",$D1651=""),"",DATE($C1651+2018,$D1651,1))</f>
        <v/>
      </c>
    </row>
    <row r="1652">
      <c r="A1652" s="11" t="n"/>
      <c r="B1652" s="12" t="n"/>
      <c r="C1652" s="12" t="n"/>
      <c r="D1652" s="12" t="n"/>
      <c r="E1652" s="13" t="n"/>
      <c r="F1652" s="12" t="n"/>
      <c r="G1652" s="13" t="n"/>
      <c r="H1652" s="12" t="n"/>
      <c r="I1652" s="12" t="n"/>
      <c r="J1652" s="12" t="n"/>
      <c r="K1652" s="12" t="n"/>
      <c r="L1652" s="11" t="n"/>
      <c r="M1652" s="11" t="n"/>
      <c r="N1652" s="11" t="n"/>
      <c r="O1652" s="11" t="n"/>
      <c r="P1652" s="12" t="n"/>
      <c r="Q1652" s="11" t="n"/>
      <c r="R1652" s="12" t="n"/>
      <c r="S1652" s="11" t="n"/>
      <c r="T1652" s="12" t="n"/>
      <c r="U1652" s="12" t="n"/>
      <c r="V1652" s="14">
        <f>IF($AN1652="",IF($B1652="","",$H1652),IF(INDEX(職員マスタ!$B$6:$B$405,$AN1652)="",$H1652,INDEX(職員マスタ!$B$6:$B$405,$AN1652)))</f>
        <v/>
      </c>
      <c r="W1652" s="14">
        <f>IF($AN1652="",IF($B1652="","",$R1652),IF(INDEX(職員マスタ!$C$6:$C$405,$AN1652)="",$R1652,INDEX(職員マスタ!$C$6:$C$405,$AN1652)))</f>
        <v/>
      </c>
      <c r="X1652" s="14">
        <f>IF($AO1652="","","R"&amp;$C1652&amp;"."&amp;$D1652)</f>
        <v/>
      </c>
      <c r="Y1652" s="15">
        <f>IF($AN1652="","",IF(INDEX(職員マスタ!$K$6:$K$405,$AN1652)="","",INDEX(職員マスタ!$K$6:$K$405,$AN1652)))</f>
        <v/>
      </c>
      <c r="Z1652" s="14">
        <f>IF(OR($E1652="",$Y1652=""),"",IF($E1652&gt;=$Y1652,"×",IF($E1652&gt;=$Y1652*設定!$C$5,"△","○")))</f>
        <v/>
      </c>
      <c r="AA1652" s="15">
        <f>IF($Z1652="","",IF($Z1652="×",0,IF($Z1652="○",ROUNDDOWN($E1652*設定!$C$4,0),ROUNDDOWN($E1652*ROUND((9*$Y1652-9*$E1652)/(10*$E1652),4),0))))</f>
        <v/>
      </c>
      <c r="AB1652" s="13" t="n"/>
      <c r="AC1652" s="15">
        <f>IF($B1652="","",IF($AB1652&lt;&gt;"",$AB1652,IF($AA1652="","",IF($AA1652&lt;=設定!$C$3,0,$AA1652))))</f>
        <v/>
      </c>
      <c r="AD1652" s="14">
        <f>IF($B1652="","",IF(AND($AE1652&lt;&gt;"",$AG1652="",$AJ1652=""),"保留中",IF($AJ1652&lt;&gt;"",IF(N($AC1652)&gt;0,"支給済","不支給"),IF($AC1652="","要確認",IF($AC1652=0,"不支給","未処理")))))</f>
        <v/>
      </c>
      <c r="AE1652" s="12" t="n"/>
      <c r="AF1652" s="11" t="n"/>
      <c r="AG1652" s="11" t="n"/>
      <c r="AH1652" s="11" t="n"/>
      <c r="AI1652" s="14">
        <f>IF(AND($AD1652="保留中",$AF1652&lt;&gt;""),TODAY()-$AF1652,"")</f>
        <v/>
      </c>
      <c r="AJ1652" s="12" t="n"/>
      <c r="AK1652" s="14">
        <f>IF($B1652="","",IF($AO1652="","対象年月が未入力／","")&amp;IF($B1652="","",IF($AN1652="","職員マスタに未登録の職員番号／",IF($Y1652="","標準報酬月額が未登録／","")&amp;IF(AND($AO1652&lt;&gt;"",OR(AND(INDEX(職員マスタ!$G$6:$G$405,$AN1652)&lt;&gt;"",INDEX(職員マスタ!$G$6:$G$405,$AN1652)&gt;EOMONTH($AO1652,0)),AND(INDEX(職員マスタ!$H$6:$H$405,$AN1652)&lt;&gt;"",INDEX(職員マスタ!$H$6:$H$405,$AN1652)&lt;$AO1652))),"対象月が時短期間外／","")&amp;IF(AND(INDEX(職員マスタ!$F$6:$F$405,$AN1652)&lt;&gt;"",$AO1652&lt;&gt;"",INDEX(職員マスタ!$F$6:$F$405,$AN1652)&lt;$AO1652),"対象月に子が2歳到達済／","")&amp;IF(AND($H1652&lt;&gt;"",INDEX(職員マスタ!$B$6:$B$405,$AN1652)&lt;&gt;"",SUBSTITUTE(SUBSTITUTE($H1652," ","")," ","")&lt;&gt;SUBSTITUTE(SUBSTITUTE(INDEX(職員マスタ!$B$6:$B$405,$AN1652)," ","")," ","")),"氏名がマスタと相違／","")&amp;IF(AND($Q1652&lt;&gt;"",INDEX(職員マスタ!$E$6:$E$405,$AN1652)&lt;&gt;"",$Q1652&lt;&gt;INDEX(職員マスタ!$E$6:$E$405,$AN1652)),"子の生年月日がマスタと相違／","")&amp;IF(AND($L1652&lt;&gt;"",INDEX(職員マスタ!$G$6:$G$405,$AN1652)&lt;&gt;"",$L1652&lt;&gt;INDEX(職員マスタ!$G$6:$G$405,$AN1652)),"時短開始日がマスタと相違／","")&amp;IF(AND($M1652&lt;&gt;"",INDEX(職員マスタ!$H$6:$H$405,$AN1652)&lt;&gt;"",$M1652&lt;&gt;INDEX(職員マスタ!$H$6:$H$405,$AN1652)),"時短終了日がマスタと相違／","")))&amp;IF(AND($B1652&lt;&gt;"",$E1652=""),"報酬額が未入力／","")&amp;IF(N($U1652)&gt;0,"申請書に入力エラーが残っています／","")&amp;IF(AND($B1652&lt;&gt;"",$AO1652&lt;&gt;""),IF(COUNTIFS($B$6:$B$3005,$B1652,$C$6:$C$3005,$C1652,$D$6:$D$3005,$D1652)&gt;1,"同じ月の請求が重複しています／",""),"")&amp;IF(AND(N($E1652)&gt;0,$Z1652&lt;&gt;"",$Z1652&lt;&gt;"×",$AC1652=0,$AB1652=""),"計算額が下限以下のため不支給／",""))</f>
        <v/>
      </c>
      <c r="AL1652" s="12" t="n"/>
      <c r="AM1652" s="14">
        <f>IF($AD1652="保留中",COUNTIF($AD$6:$AD1652,"保留中"),"")</f>
        <v/>
      </c>
      <c r="AN1652" s="14">
        <f>IF($AO1652="","",IF(SUMPRODUCT(MAX((職員マスタ!$A$6:$A$405=$B1652)*(((職員マスタ!$G$6:$G$405="")+(職員マスタ!$G$6:$G$405&lt;=EOMONTH($AO1652,0)))&gt;0)*(((職員マスタ!$H$6:$H$405="")+(職員マスタ!$H$6:$H$405&gt;=$AO1652))&gt;0)*(ROW(職員マスタ!$A$6:$A$405)-5)))&gt;0,SUMPRODUCT(MAX((職員マスタ!$A$6:$A$405=$B1652)*(((職員マスタ!$G$6:$G$405="")+(職員マスタ!$G$6:$G$405&lt;=EOMONTH($AO1652,0)))&gt;0)*(((職員マスタ!$H$6:$H$405="")+(職員マスタ!$H$6:$H$405&gt;=$AO1652))&gt;0)*(ROW(職員マスタ!$A$6:$A$405)-5))),IFERROR(MATCH($B1652,職員マスタ!$A$6:$A$405,0),"")))</f>
        <v/>
      </c>
      <c r="AO1652" s="16">
        <f>IF(OR($B1652="",$C1652="",$D1652=""),"",DATE($C1652+2018,$D1652,1))</f>
        <v/>
      </c>
    </row>
    <row r="1653">
      <c r="A1653" s="11" t="n"/>
      <c r="B1653" s="12" t="n"/>
      <c r="C1653" s="12" t="n"/>
      <c r="D1653" s="12" t="n"/>
      <c r="E1653" s="13" t="n"/>
      <c r="F1653" s="12" t="n"/>
      <c r="G1653" s="13" t="n"/>
      <c r="H1653" s="12" t="n"/>
      <c r="I1653" s="12" t="n"/>
      <c r="J1653" s="12" t="n"/>
      <c r="K1653" s="12" t="n"/>
      <c r="L1653" s="11" t="n"/>
      <c r="M1653" s="11" t="n"/>
      <c r="N1653" s="11" t="n"/>
      <c r="O1653" s="11" t="n"/>
      <c r="P1653" s="12" t="n"/>
      <c r="Q1653" s="11" t="n"/>
      <c r="R1653" s="12" t="n"/>
      <c r="S1653" s="11" t="n"/>
      <c r="T1653" s="12" t="n"/>
      <c r="U1653" s="12" t="n"/>
      <c r="V1653" s="14">
        <f>IF($AN1653="",IF($B1653="","",$H1653),IF(INDEX(職員マスタ!$B$6:$B$405,$AN1653)="",$H1653,INDEX(職員マスタ!$B$6:$B$405,$AN1653)))</f>
        <v/>
      </c>
      <c r="W1653" s="14">
        <f>IF($AN1653="",IF($B1653="","",$R1653),IF(INDEX(職員マスタ!$C$6:$C$405,$AN1653)="",$R1653,INDEX(職員マスタ!$C$6:$C$405,$AN1653)))</f>
        <v/>
      </c>
      <c r="X1653" s="14">
        <f>IF($AO1653="","","R"&amp;$C1653&amp;"."&amp;$D1653)</f>
        <v/>
      </c>
      <c r="Y1653" s="15">
        <f>IF($AN1653="","",IF(INDEX(職員マスタ!$K$6:$K$405,$AN1653)="","",INDEX(職員マスタ!$K$6:$K$405,$AN1653)))</f>
        <v/>
      </c>
      <c r="Z1653" s="14">
        <f>IF(OR($E1653="",$Y1653=""),"",IF($E1653&gt;=$Y1653,"×",IF($E1653&gt;=$Y1653*設定!$C$5,"△","○")))</f>
        <v/>
      </c>
      <c r="AA1653" s="15">
        <f>IF($Z1653="","",IF($Z1653="×",0,IF($Z1653="○",ROUNDDOWN($E1653*設定!$C$4,0),ROUNDDOWN($E1653*ROUND((9*$Y1653-9*$E1653)/(10*$E1653),4),0))))</f>
        <v/>
      </c>
      <c r="AB1653" s="13" t="n"/>
      <c r="AC1653" s="15">
        <f>IF($B1653="","",IF($AB1653&lt;&gt;"",$AB1653,IF($AA1653="","",IF($AA1653&lt;=設定!$C$3,0,$AA1653))))</f>
        <v/>
      </c>
      <c r="AD1653" s="14">
        <f>IF($B1653="","",IF(AND($AE1653&lt;&gt;"",$AG1653="",$AJ1653=""),"保留中",IF($AJ1653&lt;&gt;"",IF(N($AC1653)&gt;0,"支給済","不支給"),IF($AC1653="","要確認",IF($AC1653=0,"不支給","未処理")))))</f>
        <v/>
      </c>
      <c r="AE1653" s="12" t="n"/>
      <c r="AF1653" s="11" t="n"/>
      <c r="AG1653" s="11" t="n"/>
      <c r="AH1653" s="11" t="n"/>
      <c r="AI1653" s="14">
        <f>IF(AND($AD1653="保留中",$AF1653&lt;&gt;""),TODAY()-$AF1653,"")</f>
        <v/>
      </c>
      <c r="AJ1653" s="12" t="n"/>
      <c r="AK1653" s="14">
        <f>IF($B1653="","",IF($AO1653="","対象年月が未入力／","")&amp;IF($B1653="","",IF($AN1653="","職員マスタに未登録の職員番号／",IF($Y1653="","標準報酬月額が未登録／","")&amp;IF(AND($AO1653&lt;&gt;"",OR(AND(INDEX(職員マスタ!$G$6:$G$405,$AN1653)&lt;&gt;"",INDEX(職員マスタ!$G$6:$G$405,$AN1653)&gt;EOMONTH($AO1653,0)),AND(INDEX(職員マスタ!$H$6:$H$405,$AN1653)&lt;&gt;"",INDEX(職員マスタ!$H$6:$H$405,$AN1653)&lt;$AO1653))),"対象月が時短期間外／","")&amp;IF(AND(INDEX(職員マスタ!$F$6:$F$405,$AN1653)&lt;&gt;"",$AO1653&lt;&gt;"",INDEX(職員マスタ!$F$6:$F$405,$AN1653)&lt;$AO1653),"対象月に子が2歳到達済／","")&amp;IF(AND($H1653&lt;&gt;"",INDEX(職員マスタ!$B$6:$B$405,$AN1653)&lt;&gt;"",SUBSTITUTE(SUBSTITUTE($H1653," ","")," ","")&lt;&gt;SUBSTITUTE(SUBSTITUTE(INDEX(職員マスタ!$B$6:$B$405,$AN1653)," ","")," ","")),"氏名がマスタと相違／","")&amp;IF(AND($Q1653&lt;&gt;"",INDEX(職員マスタ!$E$6:$E$405,$AN1653)&lt;&gt;"",$Q1653&lt;&gt;INDEX(職員マスタ!$E$6:$E$405,$AN1653)),"子の生年月日がマスタと相違／","")&amp;IF(AND($L1653&lt;&gt;"",INDEX(職員マスタ!$G$6:$G$405,$AN1653)&lt;&gt;"",$L1653&lt;&gt;INDEX(職員マスタ!$G$6:$G$405,$AN1653)),"時短開始日がマスタと相違／","")&amp;IF(AND($M1653&lt;&gt;"",INDEX(職員マスタ!$H$6:$H$405,$AN1653)&lt;&gt;"",$M1653&lt;&gt;INDEX(職員マスタ!$H$6:$H$405,$AN1653)),"時短終了日がマスタと相違／","")))&amp;IF(AND($B1653&lt;&gt;"",$E1653=""),"報酬額が未入力／","")&amp;IF(N($U1653)&gt;0,"申請書に入力エラーが残っています／","")&amp;IF(AND($B1653&lt;&gt;"",$AO1653&lt;&gt;""),IF(COUNTIFS($B$6:$B$3005,$B1653,$C$6:$C$3005,$C1653,$D$6:$D$3005,$D1653)&gt;1,"同じ月の請求が重複しています／",""),"")&amp;IF(AND(N($E1653)&gt;0,$Z1653&lt;&gt;"",$Z1653&lt;&gt;"×",$AC1653=0,$AB1653=""),"計算額が下限以下のため不支給／",""))</f>
        <v/>
      </c>
      <c r="AL1653" s="12" t="n"/>
      <c r="AM1653" s="14">
        <f>IF($AD1653="保留中",COUNTIF($AD$6:$AD1653,"保留中"),"")</f>
        <v/>
      </c>
      <c r="AN1653" s="14">
        <f>IF($AO1653="","",IF(SUMPRODUCT(MAX((職員マスタ!$A$6:$A$405=$B1653)*(((職員マスタ!$G$6:$G$405="")+(職員マスタ!$G$6:$G$405&lt;=EOMONTH($AO1653,0)))&gt;0)*(((職員マスタ!$H$6:$H$405="")+(職員マスタ!$H$6:$H$405&gt;=$AO1653))&gt;0)*(ROW(職員マスタ!$A$6:$A$405)-5)))&gt;0,SUMPRODUCT(MAX((職員マスタ!$A$6:$A$405=$B1653)*(((職員マスタ!$G$6:$G$405="")+(職員マスタ!$G$6:$G$405&lt;=EOMONTH($AO1653,0)))&gt;0)*(((職員マスタ!$H$6:$H$405="")+(職員マスタ!$H$6:$H$405&gt;=$AO1653))&gt;0)*(ROW(職員マスタ!$A$6:$A$405)-5))),IFERROR(MATCH($B1653,職員マスタ!$A$6:$A$405,0),"")))</f>
        <v/>
      </c>
      <c r="AO1653" s="16">
        <f>IF(OR($B1653="",$C1653="",$D1653=""),"",DATE($C1653+2018,$D1653,1))</f>
        <v/>
      </c>
    </row>
    <row r="1654">
      <c r="A1654" s="11" t="n"/>
      <c r="B1654" s="12" t="n"/>
      <c r="C1654" s="12" t="n"/>
      <c r="D1654" s="12" t="n"/>
      <c r="E1654" s="13" t="n"/>
      <c r="F1654" s="12" t="n"/>
      <c r="G1654" s="13" t="n"/>
      <c r="H1654" s="12" t="n"/>
      <c r="I1654" s="12" t="n"/>
      <c r="J1654" s="12" t="n"/>
      <c r="K1654" s="12" t="n"/>
      <c r="L1654" s="11" t="n"/>
      <c r="M1654" s="11" t="n"/>
      <c r="N1654" s="11" t="n"/>
      <c r="O1654" s="11" t="n"/>
      <c r="P1654" s="12" t="n"/>
      <c r="Q1654" s="11" t="n"/>
      <c r="R1654" s="12" t="n"/>
      <c r="S1654" s="11" t="n"/>
      <c r="T1654" s="12" t="n"/>
      <c r="U1654" s="12" t="n"/>
      <c r="V1654" s="14">
        <f>IF($AN1654="",IF($B1654="","",$H1654),IF(INDEX(職員マスタ!$B$6:$B$405,$AN1654)="",$H1654,INDEX(職員マスタ!$B$6:$B$405,$AN1654)))</f>
        <v/>
      </c>
      <c r="W1654" s="14">
        <f>IF($AN1654="",IF($B1654="","",$R1654),IF(INDEX(職員マスタ!$C$6:$C$405,$AN1654)="",$R1654,INDEX(職員マスタ!$C$6:$C$405,$AN1654)))</f>
        <v/>
      </c>
      <c r="X1654" s="14">
        <f>IF($AO1654="","","R"&amp;$C1654&amp;"."&amp;$D1654)</f>
        <v/>
      </c>
      <c r="Y1654" s="15">
        <f>IF($AN1654="","",IF(INDEX(職員マスタ!$K$6:$K$405,$AN1654)="","",INDEX(職員マスタ!$K$6:$K$405,$AN1654)))</f>
        <v/>
      </c>
      <c r="Z1654" s="14">
        <f>IF(OR($E1654="",$Y1654=""),"",IF($E1654&gt;=$Y1654,"×",IF($E1654&gt;=$Y1654*設定!$C$5,"△","○")))</f>
        <v/>
      </c>
      <c r="AA1654" s="15">
        <f>IF($Z1654="","",IF($Z1654="×",0,IF($Z1654="○",ROUNDDOWN($E1654*設定!$C$4,0),ROUNDDOWN($E1654*ROUND((9*$Y1654-9*$E1654)/(10*$E1654),4),0))))</f>
        <v/>
      </c>
      <c r="AB1654" s="13" t="n"/>
      <c r="AC1654" s="15">
        <f>IF($B1654="","",IF($AB1654&lt;&gt;"",$AB1654,IF($AA1654="","",IF($AA1654&lt;=設定!$C$3,0,$AA1654))))</f>
        <v/>
      </c>
      <c r="AD1654" s="14">
        <f>IF($B1654="","",IF(AND($AE1654&lt;&gt;"",$AG1654="",$AJ1654=""),"保留中",IF($AJ1654&lt;&gt;"",IF(N($AC1654)&gt;0,"支給済","不支給"),IF($AC1654="","要確認",IF($AC1654=0,"不支給","未処理")))))</f>
        <v/>
      </c>
      <c r="AE1654" s="12" t="n"/>
      <c r="AF1654" s="11" t="n"/>
      <c r="AG1654" s="11" t="n"/>
      <c r="AH1654" s="11" t="n"/>
      <c r="AI1654" s="14">
        <f>IF(AND($AD1654="保留中",$AF1654&lt;&gt;""),TODAY()-$AF1654,"")</f>
        <v/>
      </c>
      <c r="AJ1654" s="12" t="n"/>
      <c r="AK1654" s="14">
        <f>IF($B1654="","",IF($AO1654="","対象年月が未入力／","")&amp;IF($B1654="","",IF($AN1654="","職員マスタに未登録の職員番号／",IF($Y1654="","標準報酬月額が未登録／","")&amp;IF(AND($AO1654&lt;&gt;"",OR(AND(INDEX(職員マスタ!$G$6:$G$405,$AN1654)&lt;&gt;"",INDEX(職員マスタ!$G$6:$G$405,$AN1654)&gt;EOMONTH($AO1654,0)),AND(INDEX(職員マスタ!$H$6:$H$405,$AN1654)&lt;&gt;"",INDEX(職員マスタ!$H$6:$H$405,$AN1654)&lt;$AO1654))),"対象月が時短期間外／","")&amp;IF(AND(INDEX(職員マスタ!$F$6:$F$405,$AN1654)&lt;&gt;"",$AO1654&lt;&gt;"",INDEX(職員マスタ!$F$6:$F$405,$AN1654)&lt;$AO1654),"対象月に子が2歳到達済／","")&amp;IF(AND($H1654&lt;&gt;"",INDEX(職員マスタ!$B$6:$B$405,$AN1654)&lt;&gt;"",SUBSTITUTE(SUBSTITUTE($H1654," ","")," ","")&lt;&gt;SUBSTITUTE(SUBSTITUTE(INDEX(職員マスタ!$B$6:$B$405,$AN1654)," ","")," ","")),"氏名がマスタと相違／","")&amp;IF(AND($Q1654&lt;&gt;"",INDEX(職員マスタ!$E$6:$E$405,$AN1654)&lt;&gt;"",$Q1654&lt;&gt;INDEX(職員マスタ!$E$6:$E$405,$AN1654)),"子の生年月日がマスタと相違／","")&amp;IF(AND($L1654&lt;&gt;"",INDEX(職員マスタ!$G$6:$G$405,$AN1654)&lt;&gt;"",$L1654&lt;&gt;INDEX(職員マスタ!$G$6:$G$405,$AN1654)),"時短開始日がマスタと相違／","")&amp;IF(AND($M1654&lt;&gt;"",INDEX(職員マスタ!$H$6:$H$405,$AN1654)&lt;&gt;"",$M1654&lt;&gt;INDEX(職員マスタ!$H$6:$H$405,$AN1654)),"時短終了日がマスタと相違／","")))&amp;IF(AND($B1654&lt;&gt;"",$E1654=""),"報酬額が未入力／","")&amp;IF(N($U1654)&gt;0,"申請書に入力エラーが残っています／","")&amp;IF(AND($B1654&lt;&gt;"",$AO1654&lt;&gt;""),IF(COUNTIFS($B$6:$B$3005,$B1654,$C$6:$C$3005,$C1654,$D$6:$D$3005,$D1654)&gt;1,"同じ月の請求が重複しています／",""),"")&amp;IF(AND(N($E1654)&gt;0,$Z1654&lt;&gt;"",$Z1654&lt;&gt;"×",$AC1654=0,$AB1654=""),"計算額が下限以下のため不支給／",""))</f>
        <v/>
      </c>
      <c r="AL1654" s="12" t="n"/>
      <c r="AM1654" s="14">
        <f>IF($AD1654="保留中",COUNTIF($AD$6:$AD1654,"保留中"),"")</f>
        <v/>
      </c>
      <c r="AN1654" s="14">
        <f>IF($AO1654="","",IF(SUMPRODUCT(MAX((職員マスタ!$A$6:$A$405=$B1654)*(((職員マスタ!$G$6:$G$405="")+(職員マスタ!$G$6:$G$405&lt;=EOMONTH($AO1654,0)))&gt;0)*(((職員マスタ!$H$6:$H$405="")+(職員マスタ!$H$6:$H$405&gt;=$AO1654))&gt;0)*(ROW(職員マスタ!$A$6:$A$405)-5)))&gt;0,SUMPRODUCT(MAX((職員マスタ!$A$6:$A$405=$B1654)*(((職員マスタ!$G$6:$G$405="")+(職員マスタ!$G$6:$G$405&lt;=EOMONTH($AO1654,0)))&gt;0)*(((職員マスタ!$H$6:$H$405="")+(職員マスタ!$H$6:$H$405&gt;=$AO1654))&gt;0)*(ROW(職員マスタ!$A$6:$A$405)-5))),IFERROR(MATCH($B1654,職員マスタ!$A$6:$A$405,0),"")))</f>
        <v/>
      </c>
      <c r="AO1654" s="16">
        <f>IF(OR($B1654="",$C1654="",$D1654=""),"",DATE($C1654+2018,$D1654,1))</f>
        <v/>
      </c>
    </row>
    <row r="1655">
      <c r="A1655" s="11" t="n"/>
      <c r="B1655" s="12" t="n"/>
      <c r="C1655" s="12" t="n"/>
      <c r="D1655" s="12" t="n"/>
      <c r="E1655" s="13" t="n"/>
      <c r="F1655" s="12" t="n"/>
      <c r="G1655" s="13" t="n"/>
      <c r="H1655" s="12" t="n"/>
      <c r="I1655" s="12" t="n"/>
      <c r="J1655" s="12" t="n"/>
      <c r="K1655" s="12" t="n"/>
      <c r="L1655" s="11" t="n"/>
      <c r="M1655" s="11" t="n"/>
      <c r="N1655" s="11" t="n"/>
      <c r="O1655" s="11" t="n"/>
      <c r="P1655" s="12" t="n"/>
      <c r="Q1655" s="11" t="n"/>
      <c r="R1655" s="12" t="n"/>
      <c r="S1655" s="11" t="n"/>
      <c r="T1655" s="12" t="n"/>
      <c r="U1655" s="12" t="n"/>
      <c r="V1655" s="14">
        <f>IF($AN1655="",IF($B1655="","",$H1655),IF(INDEX(職員マスタ!$B$6:$B$405,$AN1655)="",$H1655,INDEX(職員マスタ!$B$6:$B$405,$AN1655)))</f>
        <v/>
      </c>
      <c r="W1655" s="14">
        <f>IF($AN1655="",IF($B1655="","",$R1655),IF(INDEX(職員マスタ!$C$6:$C$405,$AN1655)="",$R1655,INDEX(職員マスタ!$C$6:$C$405,$AN1655)))</f>
        <v/>
      </c>
      <c r="X1655" s="14">
        <f>IF($AO1655="","","R"&amp;$C1655&amp;"."&amp;$D1655)</f>
        <v/>
      </c>
      <c r="Y1655" s="15">
        <f>IF($AN1655="","",IF(INDEX(職員マスタ!$K$6:$K$405,$AN1655)="","",INDEX(職員マスタ!$K$6:$K$405,$AN1655)))</f>
        <v/>
      </c>
      <c r="Z1655" s="14">
        <f>IF(OR($E1655="",$Y1655=""),"",IF($E1655&gt;=$Y1655,"×",IF($E1655&gt;=$Y1655*設定!$C$5,"△","○")))</f>
        <v/>
      </c>
      <c r="AA1655" s="15">
        <f>IF($Z1655="","",IF($Z1655="×",0,IF($Z1655="○",ROUNDDOWN($E1655*設定!$C$4,0),ROUNDDOWN($E1655*ROUND((9*$Y1655-9*$E1655)/(10*$E1655),4),0))))</f>
        <v/>
      </c>
      <c r="AB1655" s="13" t="n"/>
      <c r="AC1655" s="15">
        <f>IF($B1655="","",IF($AB1655&lt;&gt;"",$AB1655,IF($AA1655="","",IF($AA1655&lt;=設定!$C$3,0,$AA1655))))</f>
        <v/>
      </c>
      <c r="AD1655" s="14">
        <f>IF($B1655="","",IF(AND($AE1655&lt;&gt;"",$AG1655="",$AJ1655=""),"保留中",IF($AJ1655&lt;&gt;"",IF(N($AC1655)&gt;0,"支給済","不支給"),IF($AC1655="","要確認",IF($AC1655=0,"不支給","未処理")))))</f>
        <v/>
      </c>
      <c r="AE1655" s="12" t="n"/>
      <c r="AF1655" s="11" t="n"/>
      <c r="AG1655" s="11" t="n"/>
      <c r="AH1655" s="11" t="n"/>
      <c r="AI1655" s="14">
        <f>IF(AND($AD1655="保留中",$AF1655&lt;&gt;""),TODAY()-$AF1655,"")</f>
        <v/>
      </c>
      <c r="AJ1655" s="12" t="n"/>
      <c r="AK1655" s="14">
        <f>IF($B1655="","",IF($AO1655="","対象年月が未入力／","")&amp;IF($B1655="","",IF($AN1655="","職員マスタに未登録の職員番号／",IF($Y1655="","標準報酬月額が未登録／","")&amp;IF(AND($AO1655&lt;&gt;"",OR(AND(INDEX(職員マスタ!$G$6:$G$405,$AN1655)&lt;&gt;"",INDEX(職員マスタ!$G$6:$G$405,$AN1655)&gt;EOMONTH($AO1655,0)),AND(INDEX(職員マスタ!$H$6:$H$405,$AN1655)&lt;&gt;"",INDEX(職員マスタ!$H$6:$H$405,$AN1655)&lt;$AO1655))),"対象月が時短期間外／","")&amp;IF(AND(INDEX(職員マスタ!$F$6:$F$405,$AN1655)&lt;&gt;"",$AO1655&lt;&gt;"",INDEX(職員マスタ!$F$6:$F$405,$AN1655)&lt;$AO1655),"対象月に子が2歳到達済／","")&amp;IF(AND($H1655&lt;&gt;"",INDEX(職員マスタ!$B$6:$B$405,$AN1655)&lt;&gt;"",SUBSTITUTE(SUBSTITUTE($H1655," ","")," ","")&lt;&gt;SUBSTITUTE(SUBSTITUTE(INDEX(職員マスタ!$B$6:$B$405,$AN1655)," ","")," ","")),"氏名がマスタと相違／","")&amp;IF(AND($Q1655&lt;&gt;"",INDEX(職員マスタ!$E$6:$E$405,$AN1655)&lt;&gt;"",$Q1655&lt;&gt;INDEX(職員マスタ!$E$6:$E$405,$AN1655)),"子の生年月日がマスタと相違／","")&amp;IF(AND($L1655&lt;&gt;"",INDEX(職員マスタ!$G$6:$G$405,$AN1655)&lt;&gt;"",$L1655&lt;&gt;INDEX(職員マスタ!$G$6:$G$405,$AN1655)),"時短開始日がマスタと相違／","")&amp;IF(AND($M1655&lt;&gt;"",INDEX(職員マスタ!$H$6:$H$405,$AN1655)&lt;&gt;"",$M1655&lt;&gt;INDEX(職員マスタ!$H$6:$H$405,$AN1655)),"時短終了日がマスタと相違／","")))&amp;IF(AND($B1655&lt;&gt;"",$E1655=""),"報酬額が未入力／","")&amp;IF(N($U1655)&gt;0,"申請書に入力エラーが残っています／","")&amp;IF(AND($B1655&lt;&gt;"",$AO1655&lt;&gt;""),IF(COUNTIFS($B$6:$B$3005,$B1655,$C$6:$C$3005,$C1655,$D$6:$D$3005,$D1655)&gt;1,"同じ月の請求が重複しています／",""),"")&amp;IF(AND(N($E1655)&gt;0,$Z1655&lt;&gt;"",$Z1655&lt;&gt;"×",$AC1655=0,$AB1655=""),"計算額が下限以下のため不支給／",""))</f>
        <v/>
      </c>
      <c r="AL1655" s="12" t="n"/>
      <c r="AM1655" s="14">
        <f>IF($AD1655="保留中",COUNTIF($AD$6:$AD1655,"保留中"),"")</f>
        <v/>
      </c>
      <c r="AN1655" s="14">
        <f>IF($AO1655="","",IF(SUMPRODUCT(MAX((職員マスタ!$A$6:$A$405=$B1655)*(((職員マスタ!$G$6:$G$405="")+(職員マスタ!$G$6:$G$405&lt;=EOMONTH($AO1655,0)))&gt;0)*(((職員マスタ!$H$6:$H$405="")+(職員マスタ!$H$6:$H$405&gt;=$AO1655))&gt;0)*(ROW(職員マスタ!$A$6:$A$405)-5)))&gt;0,SUMPRODUCT(MAX((職員マスタ!$A$6:$A$405=$B1655)*(((職員マスタ!$G$6:$G$405="")+(職員マスタ!$G$6:$G$405&lt;=EOMONTH($AO1655,0)))&gt;0)*(((職員マスタ!$H$6:$H$405="")+(職員マスタ!$H$6:$H$405&gt;=$AO1655))&gt;0)*(ROW(職員マスタ!$A$6:$A$405)-5))),IFERROR(MATCH($B1655,職員マスタ!$A$6:$A$405,0),"")))</f>
        <v/>
      </c>
      <c r="AO1655" s="16">
        <f>IF(OR($B1655="",$C1655="",$D1655=""),"",DATE($C1655+2018,$D1655,1))</f>
        <v/>
      </c>
    </row>
    <row r="1656">
      <c r="A1656" s="11" t="n"/>
      <c r="B1656" s="12" t="n"/>
      <c r="C1656" s="12" t="n"/>
      <c r="D1656" s="12" t="n"/>
      <c r="E1656" s="13" t="n"/>
      <c r="F1656" s="12" t="n"/>
      <c r="G1656" s="13" t="n"/>
      <c r="H1656" s="12" t="n"/>
      <c r="I1656" s="12" t="n"/>
      <c r="J1656" s="12" t="n"/>
      <c r="K1656" s="12" t="n"/>
      <c r="L1656" s="11" t="n"/>
      <c r="M1656" s="11" t="n"/>
      <c r="N1656" s="11" t="n"/>
      <c r="O1656" s="11" t="n"/>
      <c r="P1656" s="12" t="n"/>
      <c r="Q1656" s="11" t="n"/>
      <c r="R1656" s="12" t="n"/>
      <c r="S1656" s="11" t="n"/>
      <c r="T1656" s="12" t="n"/>
      <c r="U1656" s="12" t="n"/>
      <c r="V1656" s="14">
        <f>IF($AN1656="",IF($B1656="","",$H1656),IF(INDEX(職員マスタ!$B$6:$B$405,$AN1656)="",$H1656,INDEX(職員マスタ!$B$6:$B$405,$AN1656)))</f>
        <v/>
      </c>
      <c r="W1656" s="14">
        <f>IF($AN1656="",IF($B1656="","",$R1656),IF(INDEX(職員マスタ!$C$6:$C$405,$AN1656)="",$R1656,INDEX(職員マスタ!$C$6:$C$405,$AN1656)))</f>
        <v/>
      </c>
      <c r="X1656" s="14">
        <f>IF($AO1656="","","R"&amp;$C1656&amp;"."&amp;$D1656)</f>
        <v/>
      </c>
      <c r="Y1656" s="15">
        <f>IF($AN1656="","",IF(INDEX(職員マスタ!$K$6:$K$405,$AN1656)="","",INDEX(職員マスタ!$K$6:$K$405,$AN1656)))</f>
        <v/>
      </c>
      <c r="Z1656" s="14">
        <f>IF(OR($E1656="",$Y1656=""),"",IF($E1656&gt;=$Y1656,"×",IF($E1656&gt;=$Y1656*設定!$C$5,"△","○")))</f>
        <v/>
      </c>
      <c r="AA1656" s="15">
        <f>IF($Z1656="","",IF($Z1656="×",0,IF($Z1656="○",ROUNDDOWN($E1656*設定!$C$4,0),ROUNDDOWN($E1656*ROUND((9*$Y1656-9*$E1656)/(10*$E1656),4),0))))</f>
        <v/>
      </c>
      <c r="AB1656" s="13" t="n"/>
      <c r="AC1656" s="15">
        <f>IF($B1656="","",IF($AB1656&lt;&gt;"",$AB1656,IF($AA1656="","",IF($AA1656&lt;=設定!$C$3,0,$AA1656))))</f>
        <v/>
      </c>
      <c r="AD1656" s="14">
        <f>IF($B1656="","",IF(AND($AE1656&lt;&gt;"",$AG1656="",$AJ1656=""),"保留中",IF($AJ1656&lt;&gt;"",IF(N($AC1656)&gt;0,"支給済","不支給"),IF($AC1656="","要確認",IF($AC1656=0,"不支給","未処理")))))</f>
        <v/>
      </c>
      <c r="AE1656" s="12" t="n"/>
      <c r="AF1656" s="11" t="n"/>
      <c r="AG1656" s="11" t="n"/>
      <c r="AH1656" s="11" t="n"/>
      <c r="AI1656" s="14">
        <f>IF(AND($AD1656="保留中",$AF1656&lt;&gt;""),TODAY()-$AF1656,"")</f>
        <v/>
      </c>
      <c r="AJ1656" s="12" t="n"/>
      <c r="AK1656" s="14">
        <f>IF($B1656="","",IF($AO1656="","対象年月が未入力／","")&amp;IF($B1656="","",IF($AN1656="","職員マスタに未登録の職員番号／",IF($Y1656="","標準報酬月額が未登録／","")&amp;IF(AND($AO1656&lt;&gt;"",OR(AND(INDEX(職員マスタ!$G$6:$G$405,$AN1656)&lt;&gt;"",INDEX(職員マスタ!$G$6:$G$405,$AN1656)&gt;EOMONTH($AO1656,0)),AND(INDEX(職員マスタ!$H$6:$H$405,$AN1656)&lt;&gt;"",INDEX(職員マスタ!$H$6:$H$405,$AN1656)&lt;$AO1656))),"対象月が時短期間外／","")&amp;IF(AND(INDEX(職員マスタ!$F$6:$F$405,$AN1656)&lt;&gt;"",$AO1656&lt;&gt;"",INDEX(職員マスタ!$F$6:$F$405,$AN1656)&lt;$AO1656),"対象月に子が2歳到達済／","")&amp;IF(AND($H1656&lt;&gt;"",INDEX(職員マスタ!$B$6:$B$405,$AN1656)&lt;&gt;"",SUBSTITUTE(SUBSTITUTE($H1656," ","")," ","")&lt;&gt;SUBSTITUTE(SUBSTITUTE(INDEX(職員マスタ!$B$6:$B$405,$AN1656)," ","")," ","")),"氏名がマスタと相違／","")&amp;IF(AND($Q1656&lt;&gt;"",INDEX(職員マスタ!$E$6:$E$405,$AN1656)&lt;&gt;"",$Q1656&lt;&gt;INDEX(職員マスタ!$E$6:$E$405,$AN1656)),"子の生年月日がマスタと相違／","")&amp;IF(AND($L1656&lt;&gt;"",INDEX(職員マスタ!$G$6:$G$405,$AN1656)&lt;&gt;"",$L1656&lt;&gt;INDEX(職員マスタ!$G$6:$G$405,$AN1656)),"時短開始日がマスタと相違／","")&amp;IF(AND($M1656&lt;&gt;"",INDEX(職員マスタ!$H$6:$H$405,$AN1656)&lt;&gt;"",$M1656&lt;&gt;INDEX(職員マスタ!$H$6:$H$405,$AN1656)),"時短終了日がマスタと相違／","")))&amp;IF(AND($B1656&lt;&gt;"",$E1656=""),"報酬額が未入力／","")&amp;IF(N($U1656)&gt;0,"申請書に入力エラーが残っています／","")&amp;IF(AND($B1656&lt;&gt;"",$AO1656&lt;&gt;""),IF(COUNTIFS($B$6:$B$3005,$B1656,$C$6:$C$3005,$C1656,$D$6:$D$3005,$D1656)&gt;1,"同じ月の請求が重複しています／",""),"")&amp;IF(AND(N($E1656)&gt;0,$Z1656&lt;&gt;"",$Z1656&lt;&gt;"×",$AC1656=0,$AB1656=""),"計算額が下限以下のため不支給／",""))</f>
        <v/>
      </c>
      <c r="AL1656" s="12" t="n"/>
      <c r="AM1656" s="14">
        <f>IF($AD1656="保留中",COUNTIF($AD$6:$AD1656,"保留中"),"")</f>
        <v/>
      </c>
      <c r="AN1656" s="14">
        <f>IF($AO1656="","",IF(SUMPRODUCT(MAX((職員マスタ!$A$6:$A$405=$B1656)*(((職員マスタ!$G$6:$G$405="")+(職員マスタ!$G$6:$G$405&lt;=EOMONTH($AO1656,0)))&gt;0)*(((職員マスタ!$H$6:$H$405="")+(職員マスタ!$H$6:$H$405&gt;=$AO1656))&gt;0)*(ROW(職員マスタ!$A$6:$A$405)-5)))&gt;0,SUMPRODUCT(MAX((職員マスタ!$A$6:$A$405=$B1656)*(((職員マスタ!$G$6:$G$405="")+(職員マスタ!$G$6:$G$405&lt;=EOMONTH($AO1656,0)))&gt;0)*(((職員マスタ!$H$6:$H$405="")+(職員マスタ!$H$6:$H$405&gt;=$AO1656))&gt;0)*(ROW(職員マスタ!$A$6:$A$405)-5))),IFERROR(MATCH($B1656,職員マスタ!$A$6:$A$405,0),"")))</f>
        <v/>
      </c>
      <c r="AO1656" s="16">
        <f>IF(OR($B1656="",$C1656="",$D1656=""),"",DATE($C1656+2018,$D1656,1))</f>
        <v/>
      </c>
    </row>
    <row r="1657">
      <c r="A1657" s="11" t="n"/>
      <c r="B1657" s="12" t="n"/>
      <c r="C1657" s="12" t="n"/>
      <c r="D1657" s="12" t="n"/>
      <c r="E1657" s="13" t="n"/>
      <c r="F1657" s="12" t="n"/>
      <c r="G1657" s="13" t="n"/>
      <c r="H1657" s="12" t="n"/>
      <c r="I1657" s="12" t="n"/>
      <c r="J1657" s="12" t="n"/>
      <c r="K1657" s="12" t="n"/>
      <c r="L1657" s="11" t="n"/>
      <c r="M1657" s="11" t="n"/>
      <c r="N1657" s="11" t="n"/>
      <c r="O1657" s="11" t="n"/>
      <c r="P1657" s="12" t="n"/>
      <c r="Q1657" s="11" t="n"/>
      <c r="R1657" s="12" t="n"/>
      <c r="S1657" s="11" t="n"/>
      <c r="T1657" s="12" t="n"/>
      <c r="U1657" s="12" t="n"/>
      <c r="V1657" s="14">
        <f>IF($AN1657="",IF($B1657="","",$H1657),IF(INDEX(職員マスタ!$B$6:$B$405,$AN1657)="",$H1657,INDEX(職員マスタ!$B$6:$B$405,$AN1657)))</f>
        <v/>
      </c>
      <c r="W1657" s="14">
        <f>IF($AN1657="",IF($B1657="","",$R1657),IF(INDEX(職員マスタ!$C$6:$C$405,$AN1657)="",$R1657,INDEX(職員マスタ!$C$6:$C$405,$AN1657)))</f>
        <v/>
      </c>
      <c r="X1657" s="14">
        <f>IF($AO1657="","","R"&amp;$C1657&amp;"."&amp;$D1657)</f>
        <v/>
      </c>
      <c r="Y1657" s="15">
        <f>IF($AN1657="","",IF(INDEX(職員マスタ!$K$6:$K$405,$AN1657)="","",INDEX(職員マスタ!$K$6:$K$405,$AN1657)))</f>
        <v/>
      </c>
      <c r="Z1657" s="14">
        <f>IF(OR($E1657="",$Y1657=""),"",IF($E1657&gt;=$Y1657,"×",IF($E1657&gt;=$Y1657*設定!$C$5,"△","○")))</f>
        <v/>
      </c>
      <c r="AA1657" s="15">
        <f>IF($Z1657="","",IF($Z1657="×",0,IF($Z1657="○",ROUNDDOWN($E1657*設定!$C$4,0),ROUNDDOWN($E1657*ROUND((9*$Y1657-9*$E1657)/(10*$E1657),4),0))))</f>
        <v/>
      </c>
      <c r="AB1657" s="13" t="n"/>
      <c r="AC1657" s="15">
        <f>IF($B1657="","",IF($AB1657&lt;&gt;"",$AB1657,IF($AA1657="","",IF($AA1657&lt;=設定!$C$3,0,$AA1657))))</f>
        <v/>
      </c>
      <c r="AD1657" s="14">
        <f>IF($B1657="","",IF(AND($AE1657&lt;&gt;"",$AG1657="",$AJ1657=""),"保留中",IF($AJ1657&lt;&gt;"",IF(N($AC1657)&gt;0,"支給済","不支給"),IF($AC1657="","要確認",IF($AC1657=0,"不支給","未処理")))))</f>
        <v/>
      </c>
      <c r="AE1657" s="12" t="n"/>
      <c r="AF1657" s="11" t="n"/>
      <c r="AG1657" s="11" t="n"/>
      <c r="AH1657" s="11" t="n"/>
      <c r="AI1657" s="14">
        <f>IF(AND($AD1657="保留中",$AF1657&lt;&gt;""),TODAY()-$AF1657,"")</f>
        <v/>
      </c>
      <c r="AJ1657" s="12" t="n"/>
      <c r="AK1657" s="14">
        <f>IF($B1657="","",IF($AO1657="","対象年月が未入力／","")&amp;IF($B1657="","",IF($AN1657="","職員マスタに未登録の職員番号／",IF($Y1657="","標準報酬月額が未登録／","")&amp;IF(AND($AO1657&lt;&gt;"",OR(AND(INDEX(職員マスタ!$G$6:$G$405,$AN1657)&lt;&gt;"",INDEX(職員マスタ!$G$6:$G$405,$AN1657)&gt;EOMONTH($AO1657,0)),AND(INDEX(職員マスタ!$H$6:$H$405,$AN1657)&lt;&gt;"",INDEX(職員マスタ!$H$6:$H$405,$AN1657)&lt;$AO1657))),"対象月が時短期間外／","")&amp;IF(AND(INDEX(職員マスタ!$F$6:$F$405,$AN1657)&lt;&gt;"",$AO1657&lt;&gt;"",INDEX(職員マスタ!$F$6:$F$405,$AN1657)&lt;$AO1657),"対象月に子が2歳到達済／","")&amp;IF(AND($H1657&lt;&gt;"",INDEX(職員マスタ!$B$6:$B$405,$AN1657)&lt;&gt;"",SUBSTITUTE(SUBSTITUTE($H1657," ","")," ","")&lt;&gt;SUBSTITUTE(SUBSTITUTE(INDEX(職員マスタ!$B$6:$B$405,$AN1657)," ","")," ","")),"氏名がマスタと相違／","")&amp;IF(AND($Q1657&lt;&gt;"",INDEX(職員マスタ!$E$6:$E$405,$AN1657)&lt;&gt;"",$Q1657&lt;&gt;INDEX(職員マスタ!$E$6:$E$405,$AN1657)),"子の生年月日がマスタと相違／","")&amp;IF(AND($L1657&lt;&gt;"",INDEX(職員マスタ!$G$6:$G$405,$AN1657)&lt;&gt;"",$L1657&lt;&gt;INDEX(職員マスタ!$G$6:$G$405,$AN1657)),"時短開始日がマスタと相違／","")&amp;IF(AND($M1657&lt;&gt;"",INDEX(職員マスタ!$H$6:$H$405,$AN1657)&lt;&gt;"",$M1657&lt;&gt;INDEX(職員マスタ!$H$6:$H$405,$AN1657)),"時短終了日がマスタと相違／","")))&amp;IF(AND($B1657&lt;&gt;"",$E1657=""),"報酬額が未入力／","")&amp;IF(N($U1657)&gt;0,"申請書に入力エラーが残っています／","")&amp;IF(AND($B1657&lt;&gt;"",$AO1657&lt;&gt;""),IF(COUNTIFS($B$6:$B$3005,$B1657,$C$6:$C$3005,$C1657,$D$6:$D$3005,$D1657)&gt;1,"同じ月の請求が重複しています／",""),"")&amp;IF(AND(N($E1657)&gt;0,$Z1657&lt;&gt;"",$Z1657&lt;&gt;"×",$AC1657=0,$AB1657=""),"計算額が下限以下のため不支給／",""))</f>
        <v/>
      </c>
      <c r="AL1657" s="12" t="n"/>
      <c r="AM1657" s="14">
        <f>IF($AD1657="保留中",COUNTIF($AD$6:$AD1657,"保留中"),"")</f>
        <v/>
      </c>
      <c r="AN1657" s="14">
        <f>IF($AO1657="","",IF(SUMPRODUCT(MAX((職員マスタ!$A$6:$A$405=$B1657)*(((職員マスタ!$G$6:$G$405="")+(職員マスタ!$G$6:$G$405&lt;=EOMONTH($AO1657,0)))&gt;0)*(((職員マスタ!$H$6:$H$405="")+(職員マスタ!$H$6:$H$405&gt;=$AO1657))&gt;0)*(ROW(職員マスタ!$A$6:$A$405)-5)))&gt;0,SUMPRODUCT(MAX((職員マスタ!$A$6:$A$405=$B1657)*(((職員マスタ!$G$6:$G$405="")+(職員マスタ!$G$6:$G$405&lt;=EOMONTH($AO1657,0)))&gt;0)*(((職員マスタ!$H$6:$H$405="")+(職員マスタ!$H$6:$H$405&gt;=$AO1657))&gt;0)*(ROW(職員マスタ!$A$6:$A$405)-5))),IFERROR(MATCH($B1657,職員マスタ!$A$6:$A$405,0),"")))</f>
        <v/>
      </c>
      <c r="AO1657" s="16">
        <f>IF(OR($B1657="",$C1657="",$D1657=""),"",DATE($C1657+2018,$D1657,1))</f>
        <v/>
      </c>
    </row>
    <row r="1658">
      <c r="A1658" s="11" t="n"/>
      <c r="B1658" s="12" t="n"/>
      <c r="C1658" s="12" t="n"/>
      <c r="D1658" s="12" t="n"/>
      <c r="E1658" s="13" t="n"/>
      <c r="F1658" s="12" t="n"/>
      <c r="G1658" s="13" t="n"/>
      <c r="H1658" s="12" t="n"/>
      <c r="I1658" s="12" t="n"/>
      <c r="J1658" s="12" t="n"/>
      <c r="K1658" s="12" t="n"/>
      <c r="L1658" s="11" t="n"/>
      <c r="M1658" s="11" t="n"/>
      <c r="N1658" s="11" t="n"/>
      <c r="O1658" s="11" t="n"/>
      <c r="P1658" s="12" t="n"/>
      <c r="Q1658" s="11" t="n"/>
      <c r="R1658" s="12" t="n"/>
      <c r="S1658" s="11" t="n"/>
      <c r="T1658" s="12" t="n"/>
      <c r="U1658" s="12" t="n"/>
      <c r="V1658" s="14">
        <f>IF($AN1658="",IF($B1658="","",$H1658),IF(INDEX(職員マスタ!$B$6:$B$405,$AN1658)="",$H1658,INDEX(職員マスタ!$B$6:$B$405,$AN1658)))</f>
        <v/>
      </c>
      <c r="W1658" s="14">
        <f>IF($AN1658="",IF($B1658="","",$R1658),IF(INDEX(職員マスタ!$C$6:$C$405,$AN1658)="",$R1658,INDEX(職員マスタ!$C$6:$C$405,$AN1658)))</f>
        <v/>
      </c>
      <c r="X1658" s="14">
        <f>IF($AO1658="","","R"&amp;$C1658&amp;"."&amp;$D1658)</f>
        <v/>
      </c>
      <c r="Y1658" s="15">
        <f>IF($AN1658="","",IF(INDEX(職員マスタ!$K$6:$K$405,$AN1658)="","",INDEX(職員マスタ!$K$6:$K$405,$AN1658)))</f>
        <v/>
      </c>
      <c r="Z1658" s="14">
        <f>IF(OR($E1658="",$Y1658=""),"",IF($E1658&gt;=$Y1658,"×",IF($E1658&gt;=$Y1658*設定!$C$5,"△","○")))</f>
        <v/>
      </c>
      <c r="AA1658" s="15">
        <f>IF($Z1658="","",IF($Z1658="×",0,IF($Z1658="○",ROUNDDOWN($E1658*設定!$C$4,0),ROUNDDOWN($E1658*ROUND((9*$Y1658-9*$E1658)/(10*$E1658),4),0))))</f>
        <v/>
      </c>
      <c r="AB1658" s="13" t="n"/>
      <c r="AC1658" s="15">
        <f>IF($B1658="","",IF($AB1658&lt;&gt;"",$AB1658,IF($AA1658="","",IF($AA1658&lt;=設定!$C$3,0,$AA1658))))</f>
        <v/>
      </c>
      <c r="AD1658" s="14">
        <f>IF($B1658="","",IF(AND($AE1658&lt;&gt;"",$AG1658="",$AJ1658=""),"保留中",IF($AJ1658&lt;&gt;"",IF(N($AC1658)&gt;0,"支給済","不支給"),IF($AC1658="","要確認",IF($AC1658=0,"不支給","未処理")))))</f>
        <v/>
      </c>
      <c r="AE1658" s="12" t="n"/>
      <c r="AF1658" s="11" t="n"/>
      <c r="AG1658" s="11" t="n"/>
      <c r="AH1658" s="11" t="n"/>
      <c r="AI1658" s="14">
        <f>IF(AND($AD1658="保留中",$AF1658&lt;&gt;""),TODAY()-$AF1658,"")</f>
        <v/>
      </c>
      <c r="AJ1658" s="12" t="n"/>
      <c r="AK1658" s="14">
        <f>IF($B1658="","",IF($AO1658="","対象年月が未入力／","")&amp;IF($B1658="","",IF($AN1658="","職員マスタに未登録の職員番号／",IF($Y1658="","標準報酬月額が未登録／","")&amp;IF(AND($AO1658&lt;&gt;"",OR(AND(INDEX(職員マスタ!$G$6:$G$405,$AN1658)&lt;&gt;"",INDEX(職員マスタ!$G$6:$G$405,$AN1658)&gt;EOMONTH($AO1658,0)),AND(INDEX(職員マスタ!$H$6:$H$405,$AN1658)&lt;&gt;"",INDEX(職員マスタ!$H$6:$H$405,$AN1658)&lt;$AO1658))),"対象月が時短期間外／","")&amp;IF(AND(INDEX(職員マスタ!$F$6:$F$405,$AN1658)&lt;&gt;"",$AO1658&lt;&gt;"",INDEX(職員マスタ!$F$6:$F$405,$AN1658)&lt;$AO1658),"対象月に子が2歳到達済／","")&amp;IF(AND($H1658&lt;&gt;"",INDEX(職員マスタ!$B$6:$B$405,$AN1658)&lt;&gt;"",SUBSTITUTE(SUBSTITUTE($H1658," ","")," ","")&lt;&gt;SUBSTITUTE(SUBSTITUTE(INDEX(職員マスタ!$B$6:$B$405,$AN1658)," ","")," ","")),"氏名がマスタと相違／","")&amp;IF(AND($Q1658&lt;&gt;"",INDEX(職員マスタ!$E$6:$E$405,$AN1658)&lt;&gt;"",$Q1658&lt;&gt;INDEX(職員マスタ!$E$6:$E$405,$AN1658)),"子の生年月日がマスタと相違／","")&amp;IF(AND($L1658&lt;&gt;"",INDEX(職員マスタ!$G$6:$G$405,$AN1658)&lt;&gt;"",$L1658&lt;&gt;INDEX(職員マスタ!$G$6:$G$405,$AN1658)),"時短開始日がマスタと相違／","")&amp;IF(AND($M1658&lt;&gt;"",INDEX(職員マスタ!$H$6:$H$405,$AN1658)&lt;&gt;"",$M1658&lt;&gt;INDEX(職員マスタ!$H$6:$H$405,$AN1658)),"時短終了日がマスタと相違／","")))&amp;IF(AND($B1658&lt;&gt;"",$E1658=""),"報酬額が未入力／","")&amp;IF(N($U1658)&gt;0,"申請書に入力エラーが残っています／","")&amp;IF(AND($B1658&lt;&gt;"",$AO1658&lt;&gt;""),IF(COUNTIFS($B$6:$B$3005,$B1658,$C$6:$C$3005,$C1658,$D$6:$D$3005,$D1658)&gt;1,"同じ月の請求が重複しています／",""),"")&amp;IF(AND(N($E1658)&gt;0,$Z1658&lt;&gt;"",$Z1658&lt;&gt;"×",$AC1658=0,$AB1658=""),"計算額が下限以下のため不支給／",""))</f>
        <v/>
      </c>
      <c r="AL1658" s="12" t="n"/>
      <c r="AM1658" s="14">
        <f>IF($AD1658="保留中",COUNTIF($AD$6:$AD1658,"保留中"),"")</f>
        <v/>
      </c>
      <c r="AN1658" s="14">
        <f>IF($AO1658="","",IF(SUMPRODUCT(MAX((職員マスタ!$A$6:$A$405=$B1658)*(((職員マスタ!$G$6:$G$405="")+(職員マスタ!$G$6:$G$405&lt;=EOMONTH($AO1658,0)))&gt;0)*(((職員マスタ!$H$6:$H$405="")+(職員マスタ!$H$6:$H$405&gt;=$AO1658))&gt;0)*(ROW(職員マスタ!$A$6:$A$405)-5)))&gt;0,SUMPRODUCT(MAX((職員マスタ!$A$6:$A$405=$B1658)*(((職員マスタ!$G$6:$G$405="")+(職員マスタ!$G$6:$G$405&lt;=EOMONTH($AO1658,0)))&gt;0)*(((職員マスタ!$H$6:$H$405="")+(職員マスタ!$H$6:$H$405&gt;=$AO1658))&gt;0)*(ROW(職員マスタ!$A$6:$A$405)-5))),IFERROR(MATCH($B1658,職員マスタ!$A$6:$A$405,0),"")))</f>
        <v/>
      </c>
      <c r="AO1658" s="16">
        <f>IF(OR($B1658="",$C1658="",$D1658=""),"",DATE($C1658+2018,$D1658,1))</f>
        <v/>
      </c>
    </row>
    <row r="1659">
      <c r="A1659" s="11" t="n"/>
      <c r="B1659" s="12" t="n"/>
      <c r="C1659" s="12" t="n"/>
      <c r="D1659" s="12" t="n"/>
      <c r="E1659" s="13" t="n"/>
      <c r="F1659" s="12" t="n"/>
      <c r="G1659" s="13" t="n"/>
      <c r="H1659" s="12" t="n"/>
      <c r="I1659" s="12" t="n"/>
      <c r="J1659" s="12" t="n"/>
      <c r="K1659" s="12" t="n"/>
      <c r="L1659" s="11" t="n"/>
      <c r="M1659" s="11" t="n"/>
      <c r="N1659" s="11" t="n"/>
      <c r="O1659" s="11" t="n"/>
      <c r="P1659" s="12" t="n"/>
      <c r="Q1659" s="11" t="n"/>
      <c r="R1659" s="12" t="n"/>
      <c r="S1659" s="11" t="n"/>
      <c r="T1659" s="12" t="n"/>
      <c r="U1659" s="12" t="n"/>
      <c r="V1659" s="14">
        <f>IF($AN1659="",IF($B1659="","",$H1659),IF(INDEX(職員マスタ!$B$6:$B$405,$AN1659)="",$H1659,INDEX(職員マスタ!$B$6:$B$405,$AN1659)))</f>
        <v/>
      </c>
      <c r="W1659" s="14">
        <f>IF($AN1659="",IF($B1659="","",$R1659),IF(INDEX(職員マスタ!$C$6:$C$405,$AN1659)="",$R1659,INDEX(職員マスタ!$C$6:$C$405,$AN1659)))</f>
        <v/>
      </c>
      <c r="X1659" s="14">
        <f>IF($AO1659="","","R"&amp;$C1659&amp;"."&amp;$D1659)</f>
        <v/>
      </c>
      <c r="Y1659" s="15">
        <f>IF($AN1659="","",IF(INDEX(職員マスタ!$K$6:$K$405,$AN1659)="","",INDEX(職員マスタ!$K$6:$K$405,$AN1659)))</f>
        <v/>
      </c>
      <c r="Z1659" s="14">
        <f>IF(OR($E1659="",$Y1659=""),"",IF($E1659&gt;=$Y1659,"×",IF($E1659&gt;=$Y1659*設定!$C$5,"△","○")))</f>
        <v/>
      </c>
      <c r="AA1659" s="15">
        <f>IF($Z1659="","",IF($Z1659="×",0,IF($Z1659="○",ROUNDDOWN($E1659*設定!$C$4,0),ROUNDDOWN($E1659*ROUND((9*$Y1659-9*$E1659)/(10*$E1659),4),0))))</f>
        <v/>
      </c>
      <c r="AB1659" s="13" t="n"/>
      <c r="AC1659" s="15">
        <f>IF($B1659="","",IF($AB1659&lt;&gt;"",$AB1659,IF($AA1659="","",IF($AA1659&lt;=設定!$C$3,0,$AA1659))))</f>
        <v/>
      </c>
      <c r="AD1659" s="14">
        <f>IF($B1659="","",IF(AND($AE1659&lt;&gt;"",$AG1659="",$AJ1659=""),"保留中",IF($AJ1659&lt;&gt;"",IF(N($AC1659)&gt;0,"支給済","不支給"),IF($AC1659="","要確認",IF($AC1659=0,"不支給","未処理")))))</f>
        <v/>
      </c>
      <c r="AE1659" s="12" t="n"/>
      <c r="AF1659" s="11" t="n"/>
      <c r="AG1659" s="11" t="n"/>
      <c r="AH1659" s="11" t="n"/>
      <c r="AI1659" s="14">
        <f>IF(AND($AD1659="保留中",$AF1659&lt;&gt;""),TODAY()-$AF1659,"")</f>
        <v/>
      </c>
      <c r="AJ1659" s="12" t="n"/>
      <c r="AK1659" s="14">
        <f>IF($B1659="","",IF($AO1659="","対象年月が未入力／","")&amp;IF($B1659="","",IF($AN1659="","職員マスタに未登録の職員番号／",IF($Y1659="","標準報酬月額が未登録／","")&amp;IF(AND($AO1659&lt;&gt;"",OR(AND(INDEX(職員マスタ!$G$6:$G$405,$AN1659)&lt;&gt;"",INDEX(職員マスタ!$G$6:$G$405,$AN1659)&gt;EOMONTH($AO1659,0)),AND(INDEX(職員マスタ!$H$6:$H$405,$AN1659)&lt;&gt;"",INDEX(職員マスタ!$H$6:$H$405,$AN1659)&lt;$AO1659))),"対象月が時短期間外／","")&amp;IF(AND(INDEX(職員マスタ!$F$6:$F$405,$AN1659)&lt;&gt;"",$AO1659&lt;&gt;"",INDEX(職員マスタ!$F$6:$F$405,$AN1659)&lt;$AO1659),"対象月に子が2歳到達済／","")&amp;IF(AND($H1659&lt;&gt;"",INDEX(職員マスタ!$B$6:$B$405,$AN1659)&lt;&gt;"",SUBSTITUTE(SUBSTITUTE($H1659," ","")," ","")&lt;&gt;SUBSTITUTE(SUBSTITUTE(INDEX(職員マスタ!$B$6:$B$405,$AN1659)," ","")," ","")),"氏名がマスタと相違／","")&amp;IF(AND($Q1659&lt;&gt;"",INDEX(職員マスタ!$E$6:$E$405,$AN1659)&lt;&gt;"",$Q1659&lt;&gt;INDEX(職員マスタ!$E$6:$E$405,$AN1659)),"子の生年月日がマスタと相違／","")&amp;IF(AND($L1659&lt;&gt;"",INDEX(職員マスタ!$G$6:$G$405,$AN1659)&lt;&gt;"",$L1659&lt;&gt;INDEX(職員マスタ!$G$6:$G$405,$AN1659)),"時短開始日がマスタと相違／","")&amp;IF(AND($M1659&lt;&gt;"",INDEX(職員マスタ!$H$6:$H$405,$AN1659)&lt;&gt;"",$M1659&lt;&gt;INDEX(職員マスタ!$H$6:$H$405,$AN1659)),"時短終了日がマスタと相違／","")))&amp;IF(AND($B1659&lt;&gt;"",$E1659=""),"報酬額が未入力／","")&amp;IF(N($U1659)&gt;0,"申請書に入力エラーが残っています／","")&amp;IF(AND($B1659&lt;&gt;"",$AO1659&lt;&gt;""),IF(COUNTIFS($B$6:$B$3005,$B1659,$C$6:$C$3005,$C1659,$D$6:$D$3005,$D1659)&gt;1,"同じ月の請求が重複しています／",""),"")&amp;IF(AND(N($E1659)&gt;0,$Z1659&lt;&gt;"",$Z1659&lt;&gt;"×",$AC1659=0,$AB1659=""),"計算額が下限以下のため不支給／",""))</f>
        <v/>
      </c>
      <c r="AL1659" s="12" t="n"/>
      <c r="AM1659" s="14">
        <f>IF($AD1659="保留中",COUNTIF($AD$6:$AD1659,"保留中"),"")</f>
        <v/>
      </c>
      <c r="AN1659" s="14">
        <f>IF($AO1659="","",IF(SUMPRODUCT(MAX((職員マスタ!$A$6:$A$405=$B1659)*(((職員マスタ!$G$6:$G$405="")+(職員マスタ!$G$6:$G$405&lt;=EOMONTH($AO1659,0)))&gt;0)*(((職員マスタ!$H$6:$H$405="")+(職員マスタ!$H$6:$H$405&gt;=$AO1659))&gt;0)*(ROW(職員マスタ!$A$6:$A$405)-5)))&gt;0,SUMPRODUCT(MAX((職員マスタ!$A$6:$A$405=$B1659)*(((職員マスタ!$G$6:$G$405="")+(職員マスタ!$G$6:$G$405&lt;=EOMONTH($AO1659,0)))&gt;0)*(((職員マスタ!$H$6:$H$405="")+(職員マスタ!$H$6:$H$405&gt;=$AO1659))&gt;0)*(ROW(職員マスタ!$A$6:$A$405)-5))),IFERROR(MATCH($B1659,職員マスタ!$A$6:$A$405,0),"")))</f>
        <v/>
      </c>
      <c r="AO1659" s="16">
        <f>IF(OR($B1659="",$C1659="",$D1659=""),"",DATE($C1659+2018,$D1659,1))</f>
        <v/>
      </c>
    </row>
    <row r="1660">
      <c r="A1660" s="11" t="n"/>
      <c r="B1660" s="12" t="n"/>
      <c r="C1660" s="12" t="n"/>
      <c r="D1660" s="12" t="n"/>
      <c r="E1660" s="13" t="n"/>
      <c r="F1660" s="12" t="n"/>
      <c r="G1660" s="13" t="n"/>
      <c r="H1660" s="12" t="n"/>
      <c r="I1660" s="12" t="n"/>
      <c r="J1660" s="12" t="n"/>
      <c r="K1660" s="12" t="n"/>
      <c r="L1660" s="11" t="n"/>
      <c r="M1660" s="11" t="n"/>
      <c r="N1660" s="11" t="n"/>
      <c r="O1660" s="11" t="n"/>
      <c r="P1660" s="12" t="n"/>
      <c r="Q1660" s="11" t="n"/>
      <c r="R1660" s="12" t="n"/>
      <c r="S1660" s="11" t="n"/>
      <c r="T1660" s="12" t="n"/>
      <c r="U1660" s="12" t="n"/>
      <c r="V1660" s="14">
        <f>IF($AN1660="",IF($B1660="","",$H1660),IF(INDEX(職員マスタ!$B$6:$B$405,$AN1660)="",$H1660,INDEX(職員マスタ!$B$6:$B$405,$AN1660)))</f>
        <v/>
      </c>
      <c r="W1660" s="14">
        <f>IF($AN1660="",IF($B1660="","",$R1660),IF(INDEX(職員マスタ!$C$6:$C$405,$AN1660)="",$R1660,INDEX(職員マスタ!$C$6:$C$405,$AN1660)))</f>
        <v/>
      </c>
      <c r="X1660" s="14">
        <f>IF($AO1660="","","R"&amp;$C1660&amp;"."&amp;$D1660)</f>
        <v/>
      </c>
      <c r="Y1660" s="15">
        <f>IF($AN1660="","",IF(INDEX(職員マスタ!$K$6:$K$405,$AN1660)="","",INDEX(職員マスタ!$K$6:$K$405,$AN1660)))</f>
        <v/>
      </c>
      <c r="Z1660" s="14">
        <f>IF(OR($E1660="",$Y1660=""),"",IF($E1660&gt;=$Y1660,"×",IF($E1660&gt;=$Y1660*設定!$C$5,"△","○")))</f>
        <v/>
      </c>
      <c r="AA1660" s="15">
        <f>IF($Z1660="","",IF($Z1660="×",0,IF($Z1660="○",ROUNDDOWN($E1660*設定!$C$4,0),ROUNDDOWN($E1660*ROUND((9*$Y1660-9*$E1660)/(10*$E1660),4),0))))</f>
        <v/>
      </c>
      <c r="AB1660" s="13" t="n"/>
      <c r="AC1660" s="15">
        <f>IF($B1660="","",IF($AB1660&lt;&gt;"",$AB1660,IF($AA1660="","",IF($AA1660&lt;=設定!$C$3,0,$AA1660))))</f>
        <v/>
      </c>
      <c r="AD1660" s="14">
        <f>IF($B1660="","",IF(AND($AE1660&lt;&gt;"",$AG1660="",$AJ1660=""),"保留中",IF($AJ1660&lt;&gt;"",IF(N($AC1660)&gt;0,"支給済","不支給"),IF($AC1660="","要確認",IF($AC1660=0,"不支給","未処理")))))</f>
        <v/>
      </c>
      <c r="AE1660" s="12" t="n"/>
      <c r="AF1660" s="11" t="n"/>
      <c r="AG1660" s="11" t="n"/>
      <c r="AH1660" s="11" t="n"/>
      <c r="AI1660" s="14">
        <f>IF(AND($AD1660="保留中",$AF1660&lt;&gt;""),TODAY()-$AF1660,"")</f>
        <v/>
      </c>
      <c r="AJ1660" s="12" t="n"/>
      <c r="AK1660" s="14">
        <f>IF($B1660="","",IF($AO1660="","対象年月が未入力／","")&amp;IF($B1660="","",IF($AN1660="","職員マスタに未登録の職員番号／",IF($Y1660="","標準報酬月額が未登録／","")&amp;IF(AND($AO1660&lt;&gt;"",OR(AND(INDEX(職員マスタ!$G$6:$G$405,$AN1660)&lt;&gt;"",INDEX(職員マスタ!$G$6:$G$405,$AN1660)&gt;EOMONTH($AO1660,0)),AND(INDEX(職員マスタ!$H$6:$H$405,$AN1660)&lt;&gt;"",INDEX(職員マスタ!$H$6:$H$405,$AN1660)&lt;$AO1660))),"対象月が時短期間外／","")&amp;IF(AND(INDEX(職員マスタ!$F$6:$F$405,$AN1660)&lt;&gt;"",$AO1660&lt;&gt;"",INDEX(職員マスタ!$F$6:$F$405,$AN1660)&lt;$AO1660),"対象月に子が2歳到達済／","")&amp;IF(AND($H1660&lt;&gt;"",INDEX(職員マスタ!$B$6:$B$405,$AN1660)&lt;&gt;"",SUBSTITUTE(SUBSTITUTE($H1660," ","")," ","")&lt;&gt;SUBSTITUTE(SUBSTITUTE(INDEX(職員マスタ!$B$6:$B$405,$AN1660)," ","")," ","")),"氏名がマスタと相違／","")&amp;IF(AND($Q1660&lt;&gt;"",INDEX(職員マスタ!$E$6:$E$405,$AN1660)&lt;&gt;"",$Q1660&lt;&gt;INDEX(職員マスタ!$E$6:$E$405,$AN1660)),"子の生年月日がマスタと相違／","")&amp;IF(AND($L1660&lt;&gt;"",INDEX(職員マスタ!$G$6:$G$405,$AN1660)&lt;&gt;"",$L1660&lt;&gt;INDEX(職員マスタ!$G$6:$G$405,$AN1660)),"時短開始日がマスタと相違／","")&amp;IF(AND($M1660&lt;&gt;"",INDEX(職員マスタ!$H$6:$H$405,$AN1660)&lt;&gt;"",$M1660&lt;&gt;INDEX(職員マスタ!$H$6:$H$405,$AN1660)),"時短終了日がマスタと相違／","")))&amp;IF(AND($B1660&lt;&gt;"",$E1660=""),"報酬額が未入力／","")&amp;IF(N($U1660)&gt;0,"申請書に入力エラーが残っています／","")&amp;IF(AND($B1660&lt;&gt;"",$AO1660&lt;&gt;""),IF(COUNTIFS($B$6:$B$3005,$B1660,$C$6:$C$3005,$C1660,$D$6:$D$3005,$D1660)&gt;1,"同じ月の請求が重複しています／",""),"")&amp;IF(AND(N($E1660)&gt;0,$Z1660&lt;&gt;"",$Z1660&lt;&gt;"×",$AC1660=0,$AB1660=""),"計算額が下限以下のため不支給／",""))</f>
        <v/>
      </c>
      <c r="AL1660" s="12" t="n"/>
      <c r="AM1660" s="14">
        <f>IF($AD1660="保留中",COUNTIF($AD$6:$AD1660,"保留中"),"")</f>
        <v/>
      </c>
      <c r="AN1660" s="14">
        <f>IF($AO1660="","",IF(SUMPRODUCT(MAX((職員マスタ!$A$6:$A$405=$B1660)*(((職員マスタ!$G$6:$G$405="")+(職員マスタ!$G$6:$G$405&lt;=EOMONTH($AO1660,0)))&gt;0)*(((職員マスタ!$H$6:$H$405="")+(職員マスタ!$H$6:$H$405&gt;=$AO1660))&gt;0)*(ROW(職員マスタ!$A$6:$A$405)-5)))&gt;0,SUMPRODUCT(MAX((職員マスタ!$A$6:$A$405=$B1660)*(((職員マスタ!$G$6:$G$405="")+(職員マスタ!$G$6:$G$405&lt;=EOMONTH($AO1660,0)))&gt;0)*(((職員マスタ!$H$6:$H$405="")+(職員マスタ!$H$6:$H$405&gt;=$AO1660))&gt;0)*(ROW(職員マスタ!$A$6:$A$405)-5))),IFERROR(MATCH($B1660,職員マスタ!$A$6:$A$405,0),"")))</f>
        <v/>
      </c>
      <c r="AO1660" s="16">
        <f>IF(OR($B1660="",$C1660="",$D1660=""),"",DATE($C1660+2018,$D1660,1))</f>
        <v/>
      </c>
    </row>
    <row r="1661">
      <c r="A1661" s="11" t="n"/>
      <c r="B1661" s="12" t="n"/>
      <c r="C1661" s="12" t="n"/>
      <c r="D1661" s="12" t="n"/>
      <c r="E1661" s="13" t="n"/>
      <c r="F1661" s="12" t="n"/>
      <c r="G1661" s="13" t="n"/>
      <c r="H1661" s="12" t="n"/>
      <c r="I1661" s="12" t="n"/>
      <c r="J1661" s="12" t="n"/>
      <c r="K1661" s="12" t="n"/>
      <c r="L1661" s="11" t="n"/>
      <c r="M1661" s="11" t="n"/>
      <c r="N1661" s="11" t="n"/>
      <c r="O1661" s="11" t="n"/>
      <c r="P1661" s="12" t="n"/>
      <c r="Q1661" s="11" t="n"/>
      <c r="R1661" s="12" t="n"/>
      <c r="S1661" s="11" t="n"/>
      <c r="T1661" s="12" t="n"/>
      <c r="U1661" s="12" t="n"/>
      <c r="V1661" s="14">
        <f>IF($AN1661="",IF($B1661="","",$H1661),IF(INDEX(職員マスタ!$B$6:$B$405,$AN1661)="",$H1661,INDEX(職員マスタ!$B$6:$B$405,$AN1661)))</f>
        <v/>
      </c>
      <c r="W1661" s="14">
        <f>IF($AN1661="",IF($B1661="","",$R1661),IF(INDEX(職員マスタ!$C$6:$C$405,$AN1661)="",$R1661,INDEX(職員マスタ!$C$6:$C$405,$AN1661)))</f>
        <v/>
      </c>
      <c r="X1661" s="14">
        <f>IF($AO1661="","","R"&amp;$C1661&amp;"."&amp;$D1661)</f>
        <v/>
      </c>
      <c r="Y1661" s="15">
        <f>IF($AN1661="","",IF(INDEX(職員マスタ!$K$6:$K$405,$AN1661)="","",INDEX(職員マスタ!$K$6:$K$405,$AN1661)))</f>
        <v/>
      </c>
      <c r="Z1661" s="14">
        <f>IF(OR($E1661="",$Y1661=""),"",IF($E1661&gt;=$Y1661,"×",IF($E1661&gt;=$Y1661*設定!$C$5,"△","○")))</f>
        <v/>
      </c>
      <c r="AA1661" s="15">
        <f>IF($Z1661="","",IF($Z1661="×",0,IF($Z1661="○",ROUNDDOWN($E1661*設定!$C$4,0),ROUNDDOWN($E1661*ROUND((9*$Y1661-9*$E1661)/(10*$E1661),4),0))))</f>
        <v/>
      </c>
      <c r="AB1661" s="13" t="n"/>
      <c r="AC1661" s="15">
        <f>IF($B1661="","",IF($AB1661&lt;&gt;"",$AB1661,IF($AA1661="","",IF($AA1661&lt;=設定!$C$3,0,$AA1661))))</f>
        <v/>
      </c>
      <c r="AD1661" s="14">
        <f>IF($B1661="","",IF(AND($AE1661&lt;&gt;"",$AG1661="",$AJ1661=""),"保留中",IF($AJ1661&lt;&gt;"",IF(N($AC1661)&gt;0,"支給済","不支給"),IF($AC1661="","要確認",IF($AC1661=0,"不支給","未処理")))))</f>
        <v/>
      </c>
      <c r="AE1661" s="12" t="n"/>
      <c r="AF1661" s="11" t="n"/>
      <c r="AG1661" s="11" t="n"/>
      <c r="AH1661" s="11" t="n"/>
      <c r="AI1661" s="14">
        <f>IF(AND($AD1661="保留中",$AF1661&lt;&gt;""),TODAY()-$AF1661,"")</f>
        <v/>
      </c>
      <c r="AJ1661" s="12" t="n"/>
      <c r="AK1661" s="14">
        <f>IF($B1661="","",IF($AO1661="","対象年月が未入力／","")&amp;IF($B1661="","",IF($AN1661="","職員マスタに未登録の職員番号／",IF($Y1661="","標準報酬月額が未登録／","")&amp;IF(AND($AO1661&lt;&gt;"",OR(AND(INDEX(職員マスタ!$G$6:$G$405,$AN1661)&lt;&gt;"",INDEX(職員マスタ!$G$6:$G$405,$AN1661)&gt;EOMONTH($AO1661,0)),AND(INDEX(職員マスタ!$H$6:$H$405,$AN1661)&lt;&gt;"",INDEX(職員マスタ!$H$6:$H$405,$AN1661)&lt;$AO1661))),"対象月が時短期間外／","")&amp;IF(AND(INDEX(職員マスタ!$F$6:$F$405,$AN1661)&lt;&gt;"",$AO1661&lt;&gt;"",INDEX(職員マスタ!$F$6:$F$405,$AN1661)&lt;$AO1661),"対象月に子が2歳到達済／","")&amp;IF(AND($H1661&lt;&gt;"",INDEX(職員マスタ!$B$6:$B$405,$AN1661)&lt;&gt;"",SUBSTITUTE(SUBSTITUTE($H1661," ","")," ","")&lt;&gt;SUBSTITUTE(SUBSTITUTE(INDEX(職員マスタ!$B$6:$B$405,$AN1661)," ","")," ","")),"氏名がマスタと相違／","")&amp;IF(AND($Q1661&lt;&gt;"",INDEX(職員マスタ!$E$6:$E$405,$AN1661)&lt;&gt;"",$Q1661&lt;&gt;INDEX(職員マスタ!$E$6:$E$405,$AN1661)),"子の生年月日がマスタと相違／","")&amp;IF(AND($L1661&lt;&gt;"",INDEX(職員マスタ!$G$6:$G$405,$AN1661)&lt;&gt;"",$L1661&lt;&gt;INDEX(職員マスタ!$G$6:$G$405,$AN1661)),"時短開始日がマスタと相違／","")&amp;IF(AND($M1661&lt;&gt;"",INDEX(職員マスタ!$H$6:$H$405,$AN1661)&lt;&gt;"",$M1661&lt;&gt;INDEX(職員マスタ!$H$6:$H$405,$AN1661)),"時短終了日がマスタと相違／","")))&amp;IF(AND($B1661&lt;&gt;"",$E1661=""),"報酬額が未入力／","")&amp;IF(N($U1661)&gt;0,"申請書に入力エラーが残っています／","")&amp;IF(AND($B1661&lt;&gt;"",$AO1661&lt;&gt;""),IF(COUNTIFS($B$6:$B$3005,$B1661,$C$6:$C$3005,$C1661,$D$6:$D$3005,$D1661)&gt;1,"同じ月の請求が重複しています／",""),"")&amp;IF(AND(N($E1661)&gt;0,$Z1661&lt;&gt;"",$Z1661&lt;&gt;"×",$AC1661=0,$AB1661=""),"計算額が下限以下のため不支給／",""))</f>
        <v/>
      </c>
      <c r="AL1661" s="12" t="n"/>
      <c r="AM1661" s="14">
        <f>IF($AD1661="保留中",COUNTIF($AD$6:$AD1661,"保留中"),"")</f>
        <v/>
      </c>
      <c r="AN1661" s="14">
        <f>IF($AO1661="","",IF(SUMPRODUCT(MAX((職員マスタ!$A$6:$A$405=$B1661)*(((職員マスタ!$G$6:$G$405="")+(職員マスタ!$G$6:$G$405&lt;=EOMONTH($AO1661,0)))&gt;0)*(((職員マスタ!$H$6:$H$405="")+(職員マスタ!$H$6:$H$405&gt;=$AO1661))&gt;0)*(ROW(職員マスタ!$A$6:$A$405)-5)))&gt;0,SUMPRODUCT(MAX((職員マスタ!$A$6:$A$405=$B1661)*(((職員マスタ!$G$6:$G$405="")+(職員マスタ!$G$6:$G$405&lt;=EOMONTH($AO1661,0)))&gt;0)*(((職員マスタ!$H$6:$H$405="")+(職員マスタ!$H$6:$H$405&gt;=$AO1661))&gt;0)*(ROW(職員マスタ!$A$6:$A$405)-5))),IFERROR(MATCH($B1661,職員マスタ!$A$6:$A$405,0),"")))</f>
        <v/>
      </c>
      <c r="AO1661" s="16">
        <f>IF(OR($B1661="",$C1661="",$D1661=""),"",DATE($C1661+2018,$D1661,1))</f>
        <v/>
      </c>
    </row>
    <row r="1662">
      <c r="A1662" s="11" t="n"/>
      <c r="B1662" s="12" t="n"/>
      <c r="C1662" s="12" t="n"/>
      <c r="D1662" s="12" t="n"/>
      <c r="E1662" s="13" t="n"/>
      <c r="F1662" s="12" t="n"/>
      <c r="G1662" s="13" t="n"/>
      <c r="H1662" s="12" t="n"/>
      <c r="I1662" s="12" t="n"/>
      <c r="J1662" s="12" t="n"/>
      <c r="K1662" s="12" t="n"/>
      <c r="L1662" s="11" t="n"/>
      <c r="M1662" s="11" t="n"/>
      <c r="N1662" s="11" t="n"/>
      <c r="O1662" s="11" t="n"/>
      <c r="P1662" s="12" t="n"/>
      <c r="Q1662" s="11" t="n"/>
      <c r="R1662" s="12" t="n"/>
      <c r="S1662" s="11" t="n"/>
      <c r="T1662" s="12" t="n"/>
      <c r="U1662" s="12" t="n"/>
      <c r="V1662" s="14">
        <f>IF($AN1662="",IF($B1662="","",$H1662),IF(INDEX(職員マスタ!$B$6:$B$405,$AN1662)="",$H1662,INDEX(職員マスタ!$B$6:$B$405,$AN1662)))</f>
        <v/>
      </c>
      <c r="W1662" s="14">
        <f>IF($AN1662="",IF($B1662="","",$R1662),IF(INDEX(職員マスタ!$C$6:$C$405,$AN1662)="",$R1662,INDEX(職員マスタ!$C$6:$C$405,$AN1662)))</f>
        <v/>
      </c>
      <c r="X1662" s="14">
        <f>IF($AO1662="","","R"&amp;$C1662&amp;"."&amp;$D1662)</f>
        <v/>
      </c>
      <c r="Y1662" s="15">
        <f>IF($AN1662="","",IF(INDEX(職員マスタ!$K$6:$K$405,$AN1662)="","",INDEX(職員マスタ!$K$6:$K$405,$AN1662)))</f>
        <v/>
      </c>
      <c r="Z1662" s="14">
        <f>IF(OR($E1662="",$Y1662=""),"",IF($E1662&gt;=$Y1662,"×",IF($E1662&gt;=$Y1662*設定!$C$5,"△","○")))</f>
        <v/>
      </c>
      <c r="AA1662" s="15">
        <f>IF($Z1662="","",IF($Z1662="×",0,IF($Z1662="○",ROUNDDOWN($E1662*設定!$C$4,0),ROUNDDOWN($E1662*ROUND((9*$Y1662-9*$E1662)/(10*$E1662),4),0))))</f>
        <v/>
      </c>
      <c r="AB1662" s="13" t="n"/>
      <c r="AC1662" s="15">
        <f>IF($B1662="","",IF($AB1662&lt;&gt;"",$AB1662,IF($AA1662="","",IF($AA1662&lt;=設定!$C$3,0,$AA1662))))</f>
        <v/>
      </c>
      <c r="AD1662" s="14">
        <f>IF($B1662="","",IF(AND($AE1662&lt;&gt;"",$AG1662="",$AJ1662=""),"保留中",IF($AJ1662&lt;&gt;"",IF(N($AC1662)&gt;0,"支給済","不支給"),IF($AC1662="","要確認",IF($AC1662=0,"不支給","未処理")))))</f>
        <v/>
      </c>
      <c r="AE1662" s="12" t="n"/>
      <c r="AF1662" s="11" t="n"/>
      <c r="AG1662" s="11" t="n"/>
      <c r="AH1662" s="11" t="n"/>
      <c r="AI1662" s="14">
        <f>IF(AND($AD1662="保留中",$AF1662&lt;&gt;""),TODAY()-$AF1662,"")</f>
        <v/>
      </c>
      <c r="AJ1662" s="12" t="n"/>
      <c r="AK1662" s="14">
        <f>IF($B1662="","",IF($AO1662="","対象年月が未入力／","")&amp;IF($B1662="","",IF($AN1662="","職員マスタに未登録の職員番号／",IF($Y1662="","標準報酬月額が未登録／","")&amp;IF(AND($AO1662&lt;&gt;"",OR(AND(INDEX(職員マスタ!$G$6:$G$405,$AN1662)&lt;&gt;"",INDEX(職員マスタ!$G$6:$G$405,$AN1662)&gt;EOMONTH($AO1662,0)),AND(INDEX(職員マスタ!$H$6:$H$405,$AN1662)&lt;&gt;"",INDEX(職員マスタ!$H$6:$H$405,$AN1662)&lt;$AO1662))),"対象月が時短期間外／","")&amp;IF(AND(INDEX(職員マスタ!$F$6:$F$405,$AN1662)&lt;&gt;"",$AO1662&lt;&gt;"",INDEX(職員マスタ!$F$6:$F$405,$AN1662)&lt;$AO1662),"対象月に子が2歳到達済／","")&amp;IF(AND($H1662&lt;&gt;"",INDEX(職員マスタ!$B$6:$B$405,$AN1662)&lt;&gt;"",SUBSTITUTE(SUBSTITUTE($H1662," ","")," ","")&lt;&gt;SUBSTITUTE(SUBSTITUTE(INDEX(職員マスタ!$B$6:$B$405,$AN1662)," ","")," ","")),"氏名がマスタと相違／","")&amp;IF(AND($Q1662&lt;&gt;"",INDEX(職員マスタ!$E$6:$E$405,$AN1662)&lt;&gt;"",$Q1662&lt;&gt;INDEX(職員マスタ!$E$6:$E$405,$AN1662)),"子の生年月日がマスタと相違／","")&amp;IF(AND($L1662&lt;&gt;"",INDEX(職員マスタ!$G$6:$G$405,$AN1662)&lt;&gt;"",$L1662&lt;&gt;INDEX(職員マスタ!$G$6:$G$405,$AN1662)),"時短開始日がマスタと相違／","")&amp;IF(AND($M1662&lt;&gt;"",INDEX(職員マスタ!$H$6:$H$405,$AN1662)&lt;&gt;"",$M1662&lt;&gt;INDEX(職員マスタ!$H$6:$H$405,$AN1662)),"時短終了日がマスタと相違／","")))&amp;IF(AND($B1662&lt;&gt;"",$E1662=""),"報酬額が未入力／","")&amp;IF(N($U1662)&gt;0,"申請書に入力エラーが残っています／","")&amp;IF(AND($B1662&lt;&gt;"",$AO1662&lt;&gt;""),IF(COUNTIFS($B$6:$B$3005,$B1662,$C$6:$C$3005,$C1662,$D$6:$D$3005,$D1662)&gt;1,"同じ月の請求が重複しています／",""),"")&amp;IF(AND(N($E1662)&gt;0,$Z1662&lt;&gt;"",$Z1662&lt;&gt;"×",$AC1662=0,$AB1662=""),"計算額が下限以下のため不支給／",""))</f>
        <v/>
      </c>
      <c r="AL1662" s="12" t="n"/>
      <c r="AM1662" s="14">
        <f>IF($AD1662="保留中",COUNTIF($AD$6:$AD1662,"保留中"),"")</f>
        <v/>
      </c>
      <c r="AN1662" s="14">
        <f>IF($AO1662="","",IF(SUMPRODUCT(MAX((職員マスタ!$A$6:$A$405=$B1662)*(((職員マスタ!$G$6:$G$405="")+(職員マスタ!$G$6:$G$405&lt;=EOMONTH($AO1662,0)))&gt;0)*(((職員マスタ!$H$6:$H$405="")+(職員マスタ!$H$6:$H$405&gt;=$AO1662))&gt;0)*(ROW(職員マスタ!$A$6:$A$405)-5)))&gt;0,SUMPRODUCT(MAX((職員マスタ!$A$6:$A$405=$B1662)*(((職員マスタ!$G$6:$G$405="")+(職員マスタ!$G$6:$G$405&lt;=EOMONTH($AO1662,0)))&gt;0)*(((職員マスタ!$H$6:$H$405="")+(職員マスタ!$H$6:$H$405&gt;=$AO1662))&gt;0)*(ROW(職員マスタ!$A$6:$A$405)-5))),IFERROR(MATCH($B1662,職員マスタ!$A$6:$A$405,0),"")))</f>
        <v/>
      </c>
      <c r="AO1662" s="16">
        <f>IF(OR($B1662="",$C1662="",$D1662=""),"",DATE($C1662+2018,$D1662,1))</f>
        <v/>
      </c>
    </row>
    <row r="1663">
      <c r="A1663" s="11" t="n"/>
      <c r="B1663" s="12" t="n"/>
      <c r="C1663" s="12" t="n"/>
      <c r="D1663" s="12" t="n"/>
      <c r="E1663" s="13" t="n"/>
      <c r="F1663" s="12" t="n"/>
      <c r="G1663" s="13" t="n"/>
      <c r="H1663" s="12" t="n"/>
      <c r="I1663" s="12" t="n"/>
      <c r="J1663" s="12" t="n"/>
      <c r="K1663" s="12" t="n"/>
      <c r="L1663" s="11" t="n"/>
      <c r="M1663" s="11" t="n"/>
      <c r="N1663" s="11" t="n"/>
      <c r="O1663" s="11" t="n"/>
      <c r="P1663" s="12" t="n"/>
      <c r="Q1663" s="11" t="n"/>
      <c r="R1663" s="12" t="n"/>
      <c r="S1663" s="11" t="n"/>
      <c r="T1663" s="12" t="n"/>
      <c r="U1663" s="12" t="n"/>
      <c r="V1663" s="14">
        <f>IF($AN1663="",IF($B1663="","",$H1663),IF(INDEX(職員マスタ!$B$6:$B$405,$AN1663)="",$H1663,INDEX(職員マスタ!$B$6:$B$405,$AN1663)))</f>
        <v/>
      </c>
      <c r="W1663" s="14">
        <f>IF($AN1663="",IF($B1663="","",$R1663),IF(INDEX(職員マスタ!$C$6:$C$405,$AN1663)="",$R1663,INDEX(職員マスタ!$C$6:$C$405,$AN1663)))</f>
        <v/>
      </c>
      <c r="X1663" s="14">
        <f>IF($AO1663="","","R"&amp;$C1663&amp;"."&amp;$D1663)</f>
        <v/>
      </c>
      <c r="Y1663" s="15">
        <f>IF($AN1663="","",IF(INDEX(職員マスタ!$K$6:$K$405,$AN1663)="","",INDEX(職員マスタ!$K$6:$K$405,$AN1663)))</f>
        <v/>
      </c>
      <c r="Z1663" s="14">
        <f>IF(OR($E1663="",$Y1663=""),"",IF($E1663&gt;=$Y1663,"×",IF($E1663&gt;=$Y1663*設定!$C$5,"△","○")))</f>
        <v/>
      </c>
      <c r="AA1663" s="15">
        <f>IF($Z1663="","",IF($Z1663="×",0,IF($Z1663="○",ROUNDDOWN($E1663*設定!$C$4,0),ROUNDDOWN($E1663*ROUND((9*$Y1663-9*$E1663)/(10*$E1663),4),0))))</f>
        <v/>
      </c>
      <c r="AB1663" s="13" t="n"/>
      <c r="AC1663" s="15">
        <f>IF($B1663="","",IF($AB1663&lt;&gt;"",$AB1663,IF($AA1663="","",IF($AA1663&lt;=設定!$C$3,0,$AA1663))))</f>
        <v/>
      </c>
      <c r="AD1663" s="14">
        <f>IF($B1663="","",IF(AND($AE1663&lt;&gt;"",$AG1663="",$AJ1663=""),"保留中",IF($AJ1663&lt;&gt;"",IF(N($AC1663)&gt;0,"支給済","不支給"),IF($AC1663="","要確認",IF($AC1663=0,"不支給","未処理")))))</f>
        <v/>
      </c>
      <c r="AE1663" s="12" t="n"/>
      <c r="AF1663" s="11" t="n"/>
      <c r="AG1663" s="11" t="n"/>
      <c r="AH1663" s="11" t="n"/>
      <c r="AI1663" s="14">
        <f>IF(AND($AD1663="保留中",$AF1663&lt;&gt;""),TODAY()-$AF1663,"")</f>
        <v/>
      </c>
      <c r="AJ1663" s="12" t="n"/>
      <c r="AK1663" s="14">
        <f>IF($B1663="","",IF($AO1663="","対象年月が未入力／","")&amp;IF($B1663="","",IF($AN1663="","職員マスタに未登録の職員番号／",IF($Y1663="","標準報酬月額が未登録／","")&amp;IF(AND($AO1663&lt;&gt;"",OR(AND(INDEX(職員マスタ!$G$6:$G$405,$AN1663)&lt;&gt;"",INDEX(職員マスタ!$G$6:$G$405,$AN1663)&gt;EOMONTH($AO1663,0)),AND(INDEX(職員マスタ!$H$6:$H$405,$AN1663)&lt;&gt;"",INDEX(職員マスタ!$H$6:$H$405,$AN1663)&lt;$AO1663))),"対象月が時短期間外／","")&amp;IF(AND(INDEX(職員マスタ!$F$6:$F$405,$AN1663)&lt;&gt;"",$AO1663&lt;&gt;"",INDEX(職員マスタ!$F$6:$F$405,$AN1663)&lt;$AO1663),"対象月に子が2歳到達済／","")&amp;IF(AND($H1663&lt;&gt;"",INDEX(職員マスタ!$B$6:$B$405,$AN1663)&lt;&gt;"",SUBSTITUTE(SUBSTITUTE($H1663," ","")," ","")&lt;&gt;SUBSTITUTE(SUBSTITUTE(INDEX(職員マスタ!$B$6:$B$405,$AN1663)," ","")," ","")),"氏名がマスタと相違／","")&amp;IF(AND($Q1663&lt;&gt;"",INDEX(職員マスタ!$E$6:$E$405,$AN1663)&lt;&gt;"",$Q1663&lt;&gt;INDEX(職員マスタ!$E$6:$E$405,$AN1663)),"子の生年月日がマスタと相違／","")&amp;IF(AND($L1663&lt;&gt;"",INDEX(職員マスタ!$G$6:$G$405,$AN1663)&lt;&gt;"",$L1663&lt;&gt;INDEX(職員マスタ!$G$6:$G$405,$AN1663)),"時短開始日がマスタと相違／","")&amp;IF(AND($M1663&lt;&gt;"",INDEX(職員マスタ!$H$6:$H$405,$AN1663)&lt;&gt;"",$M1663&lt;&gt;INDEX(職員マスタ!$H$6:$H$405,$AN1663)),"時短終了日がマスタと相違／","")))&amp;IF(AND($B1663&lt;&gt;"",$E1663=""),"報酬額が未入力／","")&amp;IF(N($U1663)&gt;0,"申請書に入力エラーが残っています／","")&amp;IF(AND($B1663&lt;&gt;"",$AO1663&lt;&gt;""),IF(COUNTIFS($B$6:$B$3005,$B1663,$C$6:$C$3005,$C1663,$D$6:$D$3005,$D1663)&gt;1,"同じ月の請求が重複しています／",""),"")&amp;IF(AND(N($E1663)&gt;0,$Z1663&lt;&gt;"",$Z1663&lt;&gt;"×",$AC1663=0,$AB1663=""),"計算額が下限以下のため不支給／",""))</f>
        <v/>
      </c>
      <c r="AL1663" s="12" t="n"/>
      <c r="AM1663" s="14">
        <f>IF($AD1663="保留中",COUNTIF($AD$6:$AD1663,"保留中"),"")</f>
        <v/>
      </c>
      <c r="AN1663" s="14">
        <f>IF($AO1663="","",IF(SUMPRODUCT(MAX((職員マスタ!$A$6:$A$405=$B1663)*(((職員マスタ!$G$6:$G$405="")+(職員マスタ!$G$6:$G$405&lt;=EOMONTH($AO1663,0)))&gt;0)*(((職員マスタ!$H$6:$H$405="")+(職員マスタ!$H$6:$H$405&gt;=$AO1663))&gt;0)*(ROW(職員マスタ!$A$6:$A$405)-5)))&gt;0,SUMPRODUCT(MAX((職員マスタ!$A$6:$A$405=$B1663)*(((職員マスタ!$G$6:$G$405="")+(職員マスタ!$G$6:$G$405&lt;=EOMONTH($AO1663,0)))&gt;0)*(((職員マスタ!$H$6:$H$405="")+(職員マスタ!$H$6:$H$405&gt;=$AO1663))&gt;0)*(ROW(職員マスタ!$A$6:$A$405)-5))),IFERROR(MATCH($B1663,職員マスタ!$A$6:$A$405,0),"")))</f>
        <v/>
      </c>
      <c r="AO1663" s="16">
        <f>IF(OR($B1663="",$C1663="",$D1663=""),"",DATE($C1663+2018,$D1663,1))</f>
        <v/>
      </c>
    </row>
    <row r="1664">
      <c r="A1664" s="11" t="n"/>
      <c r="B1664" s="12" t="n"/>
      <c r="C1664" s="12" t="n"/>
      <c r="D1664" s="12" t="n"/>
      <c r="E1664" s="13" t="n"/>
      <c r="F1664" s="12" t="n"/>
      <c r="G1664" s="13" t="n"/>
      <c r="H1664" s="12" t="n"/>
      <c r="I1664" s="12" t="n"/>
      <c r="J1664" s="12" t="n"/>
      <c r="K1664" s="12" t="n"/>
      <c r="L1664" s="11" t="n"/>
      <c r="M1664" s="11" t="n"/>
      <c r="N1664" s="11" t="n"/>
      <c r="O1664" s="11" t="n"/>
      <c r="P1664" s="12" t="n"/>
      <c r="Q1664" s="11" t="n"/>
      <c r="R1664" s="12" t="n"/>
      <c r="S1664" s="11" t="n"/>
      <c r="T1664" s="12" t="n"/>
      <c r="U1664" s="12" t="n"/>
      <c r="V1664" s="14">
        <f>IF($AN1664="",IF($B1664="","",$H1664),IF(INDEX(職員マスタ!$B$6:$B$405,$AN1664)="",$H1664,INDEX(職員マスタ!$B$6:$B$405,$AN1664)))</f>
        <v/>
      </c>
      <c r="W1664" s="14">
        <f>IF($AN1664="",IF($B1664="","",$R1664),IF(INDEX(職員マスタ!$C$6:$C$405,$AN1664)="",$R1664,INDEX(職員マスタ!$C$6:$C$405,$AN1664)))</f>
        <v/>
      </c>
      <c r="X1664" s="14">
        <f>IF($AO1664="","","R"&amp;$C1664&amp;"."&amp;$D1664)</f>
        <v/>
      </c>
      <c r="Y1664" s="15">
        <f>IF($AN1664="","",IF(INDEX(職員マスタ!$K$6:$K$405,$AN1664)="","",INDEX(職員マスタ!$K$6:$K$405,$AN1664)))</f>
        <v/>
      </c>
      <c r="Z1664" s="14">
        <f>IF(OR($E1664="",$Y1664=""),"",IF($E1664&gt;=$Y1664,"×",IF($E1664&gt;=$Y1664*設定!$C$5,"△","○")))</f>
        <v/>
      </c>
      <c r="AA1664" s="15">
        <f>IF($Z1664="","",IF($Z1664="×",0,IF($Z1664="○",ROUNDDOWN($E1664*設定!$C$4,0),ROUNDDOWN($E1664*ROUND((9*$Y1664-9*$E1664)/(10*$E1664),4),0))))</f>
        <v/>
      </c>
      <c r="AB1664" s="13" t="n"/>
      <c r="AC1664" s="15">
        <f>IF($B1664="","",IF($AB1664&lt;&gt;"",$AB1664,IF($AA1664="","",IF($AA1664&lt;=設定!$C$3,0,$AA1664))))</f>
        <v/>
      </c>
      <c r="AD1664" s="14">
        <f>IF($B1664="","",IF(AND($AE1664&lt;&gt;"",$AG1664="",$AJ1664=""),"保留中",IF($AJ1664&lt;&gt;"",IF(N($AC1664)&gt;0,"支給済","不支給"),IF($AC1664="","要確認",IF($AC1664=0,"不支給","未処理")))))</f>
        <v/>
      </c>
      <c r="AE1664" s="12" t="n"/>
      <c r="AF1664" s="11" t="n"/>
      <c r="AG1664" s="11" t="n"/>
      <c r="AH1664" s="11" t="n"/>
      <c r="AI1664" s="14">
        <f>IF(AND($AD1664="保留中",$AF1664&lt;&gt;""),TODAY()-$AF1664,"")</f>
        <v/>
      </c>
      <c r="AJ1664" s="12" t="n"/>
      <c r="AK1664" s="14">
        <f>IF($B1664="","",IF($AO1664="","対象年月が未入力／","")&amp;IF($B1664="","",IF($AN1664="","職員マスタに未登録の職員番号／",IF($Y1664="","標準報酬月額が未登録／","")&amp;IF(AND($AO1664&lt;&gt;"",OR(AND(INDEX(職員マスタ!$G$6:$G$405,$AN1664)&lt;&gt;"",INDEX(職員マスタ!$G$6:$G$405,$AN1664)&gt;EOMONTH($AO1664,0)),AND(INDEX(職員マスタ!$H$6:$H$405,$AN1664)&lt;&gt;"",INDEX(職員マスタ!$H$6:$H$405,$AN1664)&lt;$AO1664))),"対象月が時短期間外／","")&amp;IF(AND(INDEX(職員マスタ!$F$6:$F$405,$AN1664)&lt;&gt;"",$AO1664&lt;&gt;"",INDEX(職員マスタ!$F$6:$F$405,$AN1664)&lt;$AO1664),"対象月に子が2歳到達済／","")&amp;IF(AND($H1664&lt;&gt;"",INDEX(職員マスタ!$B$6:$B$405,$AN1664)&lt;&gt;"",SUBSTITUTE(SUBSTITUTE($H1664," ","")," ","")&lt;&gt;SUBSTITUTE(SUBSTITUTE(INDEX(職員マスタ!$B$6:$B$405,$AN1664)," ","")," ","")),"氏名がマスタと相違／","")&amp;IF(AND($Q1664&lt;&gt;"",INDEX(職員マスタ!$E$6:$E$405,$AN1664)&lt;&gt;"",$Q1664&lt;&gt;INDEX(職員マスタ!$E$6:$E$405,$AN1664)),"子の生年月日がマスタと相違／","")&amp;IF(AND($L1664&lt;&gt;"",INDEX(職員マスタ!$G$6:$G$405,$AN1664)&lt;&gt;"",$L1664&lt;&gt;INDEX(職員マスタ!$G$6:$G$405,$AN1664)),"時短開始日がマスタと相違／","")&amp;IF(AND($M1664&lt;&gt;"",INDEX(職員マスタ!$H$6:$H$405,$AN1664)&lt;&gt;"",$M1664&lt;&gt;INDEX(職員マスタ!$H$6:$H$405,$AN1664)),"時短終了日がマスタと相違／","")))&amp;IF(AND($B1664&lt;&gt;"",$E1664=""),"報酬額が未入力／","")&amp;IF(N($U1664)&gt;0,"申請書に入力エラーが残っています／","")&amp;IF(AND($B1664&lt;&gt;"",$AO1664&lt;&gt;""),IF(COUNTIFS($B$6:$B$3005,$B1664,$C$6:$C$3005,$C1664,$D$6:$D$3005,$D1664)&gt;1,"同じ月の請求が重複しています／",""),"")&amp;IF(AND(N($E1664)&gt;0,$Z1664&lt;&gt;"",$Z1664&lt;&gt;"×",$AC1664=0,$AB1664=""),"計算額が下限以下のため不支給／",""))</f>
        <v/>
      </c>
      <c r="AL1664" s="12" t="n"/>
      <c r="AM1664" s="14">
        <f>IF($AD1664="保留中",COUNTIF($AD$6:$AD1664,"保留中"),"")</f>
        <v/>
      </c>
      <c r="AN1664" s="14">
        <f>IF($AO1664="","",IF(SUMPRODUCT(MAX((職員マスタ!$A$6:$A$405=$B1664)*(((職員マスタ!$G$6:$G$405="")+(職員マスタ!$G$6:$G$405&lt;=EOMONTH($AO1664,0)))&gt;0)*(((職員マスタ!$H$6:$H$405="")+(職員マスタ!$H$6:$H$405&gt;=$AO1664))&gt;0)*(ROW(職員マスタ!$A$6:$A$405)-5)))&gt;0,SUMPRODUCT(MAX((職員マスタ!$A$6:$A$405=$B1664)*(((職員マスタ!$G$6:$G$405="")+(職員マスタ!$G$6:$G$405&lt;=EOMONTH($AO1664,0)))&gt;0)*(((職員マスタ!$H$6:$H$405="")+(職員マスタ!$H$6:$H$405&gt;=$AO1664))&gt;0)*(ROW(職員マスタ!$A$6:$A$405)-5))),IFERROR(MATCH($B1664,職員マスタ!$A$6:$A$405,0),"")))</f>
        <v/>
      </c>
      <c r="AO1664" s="16">
        <f>IF(OR($B1664="",$C1664="",$D1664=""),"",DATE($C1664+2018,$D1664,1))</f>
        <v/>
      </c>
    </row>
    <row r="1665">
      <c r="A1665" s="11" t="n"/>
      <c r="B1665" s="12" t="n"/>
      <c r="C1665" s="12" t="n"/>
      <c r="D1665" s="12" t="n"/>
      <c r="E1665" s="13" t="n"/>
      <c r="F1665" s="12" t="n"/>
      <c r="G1665" s="13" t="n"/>
      <c r="H1665" s="12" t="n"/>
      <c r="I1665" s="12" t="n"/>
      <c r="J1665" s="12" t="n"/>
      <c r="K1665" s="12" t="n"/>
      <c r="L1665" s="11" t="n"/>
      <c r="M1665" s="11" t="n"/>
      <c r="N1665" s="11" t="n"/>
      <c r="O1665" s="11" t="n"/>
      <c r="P1665" s="12" t="n"/>
      <c r="Q1665" s="11" t="n"/>
      <c r="R1665" s="12" t="n"/>
      <c r="S1665" s="11" t="n"/>
      <c r="T1665" s="12" t="n"/>
      <c r="U1665" s="12" t="n"/>
      <c r="V1665" s="14">
        <f>IF($AN1665="",IF($B1665="","",$H1665),IF(INDEX(職員マスタ!$B$6:$B$405,$AN1665)="",$H1665,INDEX(職員マスタ!$B$6:$B$405,$AN1665)))</f>
        <v/>
      </c>
      <c r="W1665" s="14">
        <f>IF($AN1665="",IF($B1665="","",$R1665),IF(INDEX(職員マスタ!$C$6:$C$405,$AN1665)="",$R1665,INDEX(職員マスタ!$C$6:$C$405,$AN1665)))</f>
        <v/>
      </c>
      <c r="X1665" s="14">
        <f>IF($AO1665="","","R"&amp;$C1665&amp;"."&amp;$D1665)</f>
        <v/>
      </c>
      <c r="Y1665" s="15">
        <f>IF($AN1665="","",IF(INDEX(職員マスタ!$K$6:$K$405,$AN1665)="","",INDEX(職員マスタ!$K$6:$K$405,$AN1665)))</f>
        <v/>
      </c>
      <c r="Z1665" s="14">
        <f>IF(OR($E1665="",$Y1665=""),"",IF($E1665&gt;=$Y1665,"×",IF($E1665&gt;=$Y1665*設定!$C$5,"△","○")))</f>
        <v/>
      </c>
      <c r="AA1665" s="15">
        <f>IF($Z1665="","",IF($Z1665="×",0,IF($Z1665="○",ROUNDDOWN($E1665*設定!$C$4,0),ROUNDDOWN($E1665*ROUND((9*$Y1665-9*$E1665)/(10*$E1665),4),0))))</f>
        <v/>
      </c>
      <c r="AB1665" s="13" t="n"/>
      <c r="AC1665" s="15">
        <f>IF($B1665="","",IF($AB1665&lt;&gt;"",$AB1665,IF($AA1665="","",IF($AA1665&lt;=設定!$C$3,0,$AA1665))))</f>
        <v/>
      </c>
      <c r="AD1665" s="14">
        <f>IF($B1665="","",IF(AND($AE1665&lt;&gt;"",$AG1665="",$AJ1665=""),"保留中",IF($AJ1665&lt;&gt;"",IF(N($AC1665)&gt;0,"支給済","不支給"),IF($AC1665="","要確認",IF($AC1665=0,"不支給","未処理")))))</f>
        <v/>
      </c>
      <c r="AE1665" s="12" t="n"/>
      <c r="AF1665" s="11" t="n"/>
      <c r="AG1665" s="11" t="n"/>
      <c r="AH1665" s="11" t="n"/>
      <c r="AI1665" s="14">
        <f>IF(AND($AD1665="保留中",$AF1665&lt;&gt;""),TODAY()-$AF1665,"")</f>
        <v/>
      </c>
      <c r="AJ1665" s="12" t="n"/>
      <c r="AK1665" s="14">
        <f>IF($B1665="","",IF($AO1665="","対象年月が未入力／","")&amp;IF($B1665="","",IF($AN1665="","職員マスタに未登録の職員番号／",IF($Y1665="","標準報酬月額が未登録／","")&amp;IF(AND($AO1665&lt;&gt;"",OR(AND(INDEX(職員マスタ!$G$6:$G$405,$AN1665)&lt;&gt;"",INDEX(職員マスタ!$G$6:$G$405,$AN1665)&gt;EOMONTH($AO1665,0)),AND(INDEX(職員マスタ!$H$6:$H$405,$AN1665)&lt;&gt;"",INDEX(職員マスタ!$H$6:$H$405,$AN1665)&lt;$AO1665))),"対象月が時短期間外／","")&amp;IF(AND(INDEX(職員マスタ!$F$6:$F$405,$AN1665)&lt;&gt;"",$AO1665&lt;&gt;"",INDEX(職員マスタ!$F$6:$F$405,$AN1665)&lt;$AO1665),"対象月に子が2歳到達済／","")&amp;IF(AND($H1665&lt;&gt;"",INDEX(職員マスタ!$B$6:$B$405,$AN1665)&lt;&gt;"",SUBSTITUTE(SUBSTITUTE($H1665," ","")," ","")&lt;&gt;SUBSTITUTE(SUBSTITUTE(INDEX(職員マスタ!$B$6:$B$405,$AN1665)," ","")," ","")),"氏名がマスタと相違／","")&amp;IF(AND($Q1665&lt;&gt;"",INDEX(職員マスタ!$E$6:$E$405,$AN1665)&lt;&gt;"",$Q1665&lt;&gt;INDEX(職員マスタ!$E$6:$E$405,$AN1665)),"子の生年月日がマスタと相違／","")&amp;IF(AND($L1665&lt;&gt;"",INDEX(職員マスタ!$G$6:$G$405,$AN1665)&lt;&gt;"",$L1665&lt;&gt;INDEX(職員マスタ!$G$6:$G$405,$AN1665)),"時短開始日がマスタと相違／","")&amp;IF(AND($M1665&lt;&gt;"",INDEX(職員マスタ!$H$6:$H$405,$AN1665)&lt;&gt;"",$M1665&lt;&gt;INDEX(職員マスタ!$H$6:$H$405,$AN1665)),"時短終了日がマスタと相違／","")))&amp;IF(AND($B1665&lt;&gt;"",$E1665=""),"報酬額が未入力／","")&amp;IF(N($U1665)&gt;0,"申請書に入力エラーが残っています／","")&amp;IF(AND($B1665&lt;&gt;"",$AO1665&lt;&gt;""),IF(COUNTIFS($B$6:$B$3005,$B1665,$C$6:$C$3005,$C1665,$D$6:$D$3005,$D1665)&gt;1,"同じ月の請求が重複しています／",""),"")&amp;IF(AND(N($E1665)&gt;0,$Z1665&lt;&gt;"",$Z1665&lt;&gt;"×",$AC1665=0,$AB1665=""),"計算額が下限以下のため不支給／",""))</f>
        <v/>
      </c>
      <c r="AL1665" s="12" t="n"/>
      <c r="AM1665" s="14">
        <f>IF($AD1665="保留中",COUNTIF($AD$6:$AD1665,"保留中"),"")</f>
        <v/>
      </c>
      <c r="AN1665" s="14">
        <f>IF($AO1665="","",IF(SUMPRODUCT(MAX((職員マスタ!$A$6:$A$405=$B1665)*(((職員マスタ!$G$6:$G$405="")+(職員マスタ!$G$6:$G$405&lt;=EOMONTH($AO1665,0)))&gt;0)*(((職員マスタ!$H$6:$H$405="")+(職員マスタ!$H$6:$H$405&gt;=$AO1665))&gt;0)*(ROW(職員マスタ!$A$6:$A$405)-5)))&gt;0,SUMPRODUCT(MAX((職員マスタ!$A$6:$A$405=$B1665)*(((職員マスタ!$G$6:$G$405="")+(職員マスタ!$G$6:$G$405&lt;=EOMONTH($AO1665,0)))&gt;0)*(((職員マスタ!$H$6:$H$405="")+(職員マスタ!$H$6:$H$405&gt;=$AO1665))&gt;0)*(ROW(職員マスタ!$A$6:$A$405)-5))),IFERROR(MATCH($B1665,職員マスタ!$A$6:$A$405,0),"")))</f>
        <v/>
      </c>
      <c r="AO1665" s="16">
        <f>IF(OR($B1665="",$C1665="",$D1665=""),"",DATE($C1665+2018,$D1665,1))</f>
        <v/>
      </c>
    </row>
    <row r="1666">
      <c r="A1666" s="11" t="n"/>
      <c r="B1666" s="12" t="n"/>
      <c r="C1666" s="12" t="n"/>
      <c r="D1666" s="12" t="n"/>
      <c r="E1666" s="13" t="n"/>
      <c r="F1666" s="12" t="n"/>
      <c r="G1666" s="13" t="n"/>
      <c r="H1666" s="12" t="n"/>
      <c r="I1666" s="12" t="n"/>
      <c r="J1666" s="12" t="n"/>
      <c r="K1666" s="12" t="n"/>
      <c r="L1666" s="11" t="n"/>
      <c r="M1666" s="11" t="n"/>
      <c r="N1666" s="11" t="n"/>
      <c r="O1666" s="11" t="n"/>
      <c r="P1666" s="12" t="n"/>
      <c r="Q1666" s="11" t="n"/>
      <c r="R1666" s="12" t="n"/>
      <c r="S1666" s="11" t="n"/>
      <c r="T1666" s="12" t="n"/>
      <c r="U1666" s="12" t="n"/>
      <c r="V1666" s="14">
        <f>IF($AN1666="",IF($B1666="","",$H1666),IF(INDEX(職員マスタ!$B$6:$B$405,$AN1666)="",$H1666,INDEX(職員マスタ!$B$6:$B$405,$AN1666)))</f>
        <v/>
      </c>
      <c r="W1666" s="14">
        <f>IF($AN1666="",IF($B1666="","",$R1666),IF(INDEX(職員マスタ!$C$6:$C$405,$AN1666)="",$R1666,INDEX(職員マスタ!$C$6:$C$405,$AN1666)))</f>
        <v/>
      </c>
      <c r="X1666" s="14">
        <f>IF($AO1666="","","R"&amp;$C1666&amp;"."&amp;$D1666)</f>
        <v/>
      </c>
      <c r="Y1666" s="15">
        <f>IF($AN1666="","",IF(INDEX(職員マスタ!$K$6:$K$405,$AN1666)="","",INDEX(職員マスタ!$K$6:$K$405,$AN1666)))</f>
        <v/>
      </c>
      <c r="Z1666" s="14">
        <f>IF(OR($E1666="",$Y1666=""),"",IF($E1666&gt;=$Y1666,"×",IF($E1666&gt;=$Y1666*設定!$C$5,"△","○")))</f>
        <v/>
      </c>
      <c r="AA1666" s="15">
        <f>IF($Z1666="","",IF($Z1666="×",0,IF($Z1666="○",ROUNDDOWN($E1666*設定!$C$4,0),ROUNDDOWN($E1666*ROUND((9*$Y1666-9*$E1666)/(10*$E1666),4),0))))</f>
        <v/>
      </c>
      <c r="AB1666" s="13" t="n"/>
      <c r="AC1666" s="15">
        <f>IF($B1666="","",IF($AB1666&lt;&gt;"",$AB1666,IF($AA1666="","",IF($AA1666&lt;=設定!$C$3,0,$AA1666))))</f>
        <v/>
      </c>
      <c r="AD1666" s="14">
        <f>IF($B1666="","",IF(AND($AE1666&lt;&gt;"",$AG1666="",$AJ1666=""),"保留中",IF($AJ1666&lt;&gt;"",IF(N($AC1666)&gt;0,"支給済","不支給"),IF($AC1666="","要確認",IF($AC1666=0,"不支給","未処理")))))</f>
        <v/>
      </c>
      <c r="AE1666" s="12" t="n"/>
      <c r="AF1666" s="11" t="n"/>
      <c r="AG1666" s="11" t="n"/>
      <c r="AH1666" s="11" t="n"/>
      <c r="AI1666" s="14">
        <f>IF(AND($AD1666="保留中",$AF1666&lt;&gt;""),TODAY()-$AF1666,"")</f>
        <v/>
      </c>
      <c r="AJ1666" s="12" t="n"/>
      <c r="AK1666" s="14">
        <f>IF($B1666="","",IF($AO1666="","対象年月が未入力／","")&amp;IF($B1666="","",IF($AN1666="","職員マスタに未登録の職員番号／",IF($Y1666="","標準報酬月額が未登録／","")&amp;IF(AND($AO1666&lt;&gt;"",OR(AND(INDEX(職員マスタ!$G$6:$G$405,$AN1666)&lt;&gt;"",INDEX(職員マスタ!$G$6:$G$405,$AN1666)&gt;EOMONTH($AO1666,0)),AND(INDEX(職員マスタ!$H$6:$H$405,$AN1666)&lt;&gt;"",INDEX(職員マスタ!$H$6:$H$405,$AN1666)&lt;$AO1666))),"対象月が時短期間外／","")&amp;IF(AND(INDEX(職員マスタ!$F$6:$F$405,$AN1666)&lt;&gt;"",$AO1666&lt;&gt;"",INDEX(職員マスタ!$F$6:$F$405,$AN1666)&lt;$AO1666),"対象月に子が2歳到達済／","")&amp;IF(AND($H1666&lt;&gt;"",INDEX(職員マスタ!$B$6:$B$405,$AN1666)&lt;&gt;"",SUBSTITUTE(SUBSTITUTE($H1666," ","")," ","")&lt;&gt;SUBSTITUTE(SUBSTITUTE(INDEX(職員マスタ!$B$6:$B$405,$AN1666)," ","")," ","")),"氏名がマスタと相違／","")&amp;IF(AND($Q1666&lt;&gt;"",INDEX(職員マスタ!$E$6:$E$405,$AN1666)&lt;&gt;"",$Q1666&lt;&gt;INDEX(職員マスタ!$E$6:$E$405,$AN1666)),"子の生年月日がマスタと相違／","")&amp;IF(AND($L1666&lt;&gt;"",INDEX(職員マスタ!$G$6:$G$405,$AN1666)&lt;&gt;"",$L1666&lt;&gt;INDEX(職員マスタ!$G$6:$G$405,$AN1666)),"時短開始日がマスタと相違／","")&amp;IF(AND($M1666&lt;&gt;"",INDEX(職員マスタ!$H$6:$H$405,$AN1666)&lt;&gt;"",$M1666&lt;&gt;INDEX(職員マスタ!$H$6:$H$405,$AN1666)),"時短終了日がマスタと相違／","")))&amp;IF(AND($B1666&lt;&gt;"",$E1666=""),"報酬額が未入力／","")&amp;IF(N($U1666)&gt;0,"申請書に入力エラーが残っています／","")&amp;IF(AND($B1666&lt;&gt;"",$AO1666&lt;&gt;""),IF(COUNTIFS($B$6:$B$3005,$B1666,$C$6:$C$3005,$C1666,$D$6:$D$3005,$D1666)&gt;1,"同じ月の請求が重複しています／",""),"")&amp;IF(AND(N($E1666)&gt;0,$Z1666&lt;&gt;"",$Z1666&lt;&gt;"×",$AC1666=0,$AB1666=""),"計算額が下限以下のため不支給／",""))</f>
        <v/>
      </c>
      <c r="AL1666" s="12" t="n"/>
      <c r="AM1666" s="14">
        <f>IF($AD1666="保留中",COUNTIF($AD$6:$AD1666,"保留中"),"")</f>
        <v/>
      </c>
      <c r="AN1666" s="14">
        <f>IF($AO1666="","",IF(SUMPRODUCT(MAX((職員マスタ!$A$6:$A$405=$B1666)*(((職員マスタ!$G$6:$G$405="")+(職員マスタ!$G$6:$G$405&lt;=EOMONTH($AO1666,0)))&gt;0)*(((職員マスタ!$H$6:$H$405="")+(職員マスタ!$H$6:$H$405&gt;=$AO1666))&gt;0)*(ROW(職員マスタ!$A$6:$A$405)-5)))&gt;0,SUMPRODUCT(MAX((職員マスタ!$A$6:$A$405=$B1666)*(((職員マスタ!$G$6:$G$405="")+(職員マスタ!$G$6:$G$405&lt;=EOMONTH($AO1666,0)))&gt;0)*(((職員マスタ!$H$6:$H$405="")+(職員マスタ!$H$6:$H$405&gt;=$AO1666))&gt;0)*(ROW(職員マスタ!$A$6:$A$405)-5))),IFERROR(MATCH($B1666,職員マスタ!$A$6:$A$405,0),"")))</f>
        <v/>
      </c>
      <c r="AO1666" s="16">
        <f>IF(OR($B1666="",$C1666="",$D1666=""),"",DATE($C1666+2018,$D1666,1))</f>
        <v/>
      </c>
    </row>
    <row r="1667">
      <c r="A1667" s="11" t="n"/>
      <c r="B1667" s="12" t="n"/>
      <c r="C1667" s="12" t="n"/>
      <c r="D1667" s="12" t="n"/>
      <c r="E1667" s="13" t="n"/>
      <c r="F1667" s="12" t="n"/>
      <c r="G1667" s="13" t="n"/>
      <c r="H1667" s="12" t="n"/>
      <c r="I1667" s="12" t="n"/>
      <c r="J1667" s="12" t="n"/>
      <c r="K1667" s="12" t="n"/>
      <c r="L1667" s="11" t="n"/>
      <c r="M1667" s="11" t="n"/>
      <c r="N1667" s="11" t="n"/>
      <c r="O1667" s="11" t="n"/>
      <c r="P1667" s="12" t="n"/>
      <c r="Q1667" s="11" t="n"/>
      <c r="R1667" s="12" t="n"/>
      <c r="S1667" s="11" t="n"/>
      <c r="T1667" s="12" t="n"/>
      <c r="U1667" s="12" t="n"/>
      <c r="V1667" s="14">
        <f>IF($AN1667="",IF($B1667="","",$H1667),IF(INDEX(職員マスタ!$B$6:$B$405,$AN1667)="",$H1667,INDEX(職員マスタ!$B$6:$B$405,$AN1667)))</f>
        <v/>
      </c>
      <c r="W1667" s="14">
        <f>IF($AN1667="",IF($B1667="","",$R1667),IF(INDEX(職員マスタ!$C$6:$C$405,$AN1667)="",$R1667,INDEX(職員マスタ!$C$6:$C$405,$AN1667)))</f>
        <v/>
      </c>
      <c r="X1667" s="14">
        <f>IF($AO1667="","","R"&amp;$C1667&amp;"."&amp;$D1667)</f>
        <v/>
      </c>
      <c r="Y1667" s="15">
        <f>IF($AN1667="","",IF(INDEX(職員マスタ!$K$6:$K$405,$AN1667)="","",INDEX(職員マスタ!$K$6:$K$405,$AN1667)))</f>
        <v/>
      </c>
      <c r="Z1667" s="14">
        <f>IF(OR($E1667="",$Y1667=""),"",IF($E1667&gt;=$Y1667,"×",IF($E1667&gt;=$Y1667*設定!$C$5,"△","○")))</f>
        <v/>
      </c>
      <c r="AA1667" s="15">
        <f>IF($Z1667="","",IF($Z1667="×",0,IF($Z1667="○",ROUNDDOWN($E1667*設定!$C$4,0),ROUNDDOWN($E1667*ROUND((9*$Y1667-9*$E1667)/(10*$E1667),4),0))))</f>
        <v/>
      </c>
      <c r="AB1667" s="13" t="n"/>
      <c r="AC1667" s="15">
        <f>IF($B1667="","",IF($AB1667&lt;&gt;"",$AB1667,IF($AA1667="","",IF($AA1667&lt;=設定!$C$3,0,$AA1667))))</f>
        <v/>
      </c>
      <c r="AD1667" s="14">
        <f>IF($B1667="","",IF(AND($AE1667&lt;&gt;"",$AG1667="",$AJ1667=""),"保留中",IF($AJ1667&lt;&gt;"",IF(N($AC1667)&gt;0,"支給済","不支給"),IF($AC1667="","要確認",IF($AC1667=0,"不支給","未処理")))))</f>
        <v/>
      </c>
      <c r="AE1667" s="12" t="n"/>
      <c r="AF1667" s="11" t="n"/>
      <c r="AG1667" s="11" t="n"/>
      <c r="AH1667" s="11" t="n"/>
      <c r="AI1667" s="14">
        <f>IF(AND($AD1667="保留中",$AF1667&lt;&gt;""),TODAY()-$AF1667,"")</f>
        <v/>
      </c>
      <c r="AJ1667" s="12" t="n"/>
      <c r="AK1667" s="14">
        <f>IF($B1667="","",IF($AO1667="","対象年月が未入力／","")&amp;IF($B1667="","",IF($AN1667="","職員マスタに未登録の職員番号／",IF($Y1667="","標準報酬月額が未登録／","")&amp;IF(AND($AO1667&lt;&gt;"",OR(AND(INDEX(職員マスタ!$G$6:$G$405,$AN1667)&lt;&gt;"",INDEX(職員マスタ!$G$6:$G$405,$AN1667)&gt;EOMONTH($AO1667,0)),AND(INDEX(職員マスタ!$H$6:$H$405,$AN1667)&lt;&gt;"",INDEX(職員マスタ!$H$6:$H$405,$AN1667)&lt;$AO1667))),"対象月が時短期間外／","")&amp;IF(AND(INDEX(職員マスタ!$F$6:$F$405,$AN1667)&lt;&gt;"",$AO1667&lt;&gt;"",INDEX(職員マスタ!$F$6:$F$405,$AN1667)&lt;$AO1667),"対象月に子が2歳到達済／","")&amp;IF(AND($H1667&lt;&gt;"",INDEX(職員マスタ!$B$6:$B$405,$AN1667)&lt;&gt;"",SUBSTITUTE(SUBSTITUTE($H1667," ","")," ","")&lt;&gt;SUBSTITUTE(SUBSTITUTE(INDEX(職員マスタ!$B$6:$B$405,$AN1667)," ","")," ","")),"氏名がマスタと相違／","")&amp;IF(AND($Q1667&lt;&gt;"",INDEX(職員マスタ!$E$6:$E$405,$AN1667)&lt;&gt;"",$Q1667&lt;&gt;INDEX(職員マスタ!$E$6:$E$405,$AN1667)),"子の生年月日がマスタと相違／","")&amp;IF(AND($L1667&lt;&gt;"",INDEX(職員マスタ!$G$6:$G$405,$AN1667)&lt;&gt;"",$L1667&lt;&gt;INDEX(職員マスタ!$G$6:$G$405,$AN1667)),"時短開始日がマスタと相違／","")&amp;IF(AND($M1667&lt;&gt;"",INDEX(職員マスタ!$H$6:$H$405,$AN1667)&lt;&gt;"",$M1667&lt;&gt;INDEX(職員マスタ!$H$6:$H$405,$AN1667)),"時短終了日がマスタと相違／","")))&amp;IF(AND($B1667&lt;&gt;"",$E1667=""),"報酬額が未入力／","")&amp;IF(N($U1667)&gt;0,"申請書に入力エラーが残っています／","")&amp;IF(AND($B1667&lt;&gt;"",$AO1667&lt;&gt;""),IF(COUNTIFS($B$6:$B$3005,$B1667,$C$6:$C$3005,$C1667,$D$6:$D$3005,$D1667)&gt;1,"同じ月の請求が重複しています／",""),"")&amp;IF(AND(N($E1667)&gt;0,$Z1667&lt;&gt;"",$Z1667&lt;&gt;"×",$AC1667=0,$AB1667=""),"計算額が下限以下のため不支給／",""))</f>
        <v/>
      </c>
      <c r="AL1667" s="12" t="n"/>
      <c r="AM1667" s="14">
        <f>IF($AD1667="保留中",COUNTIF($AD$6:$AD1667,"保留中"),"")</f>
        <v/>
      </c>
      <c r="AN1667" s="14">
        <f>IF($AO1667="","",IF(SUMPRODUCT(MAX((職員マスタ!$A$6:$A$405=$B1667)*(((職員マスタ!$G$6:$G$405="")+(職員マスタ!$G$6:$G$405&lt;=EOMONTH($AO1667,0)))&gt;0)*(((職員マスタ!$H$6:$H$405="")+(職員マスタ!$H$6:$H$405&gt;=$AO1667))&gt;0)*(ROW(職員マスタ!$A$6:$A$405)-5)))&gt;0,SUMPRODUCT(MAX((職員マスタ!$A$6:$A$405=$B1667)*(((職員マスタ!$G$6:$G$405="")+(職員マスタ!$G$6:$G$405&lt;=EOMONTH($AO1667,0)))&gt;0)*(((職員マスタ!$H$6:$H$405="")+(職員マスタ!$H$6:$H$405&gt;=$AO1667))&gt;0)*(ROW(職員マスタ!$A$6:$A$405)-5))),IFERROR(MATCH($B1667,職員マスタ!$A$6:$A$405,0),"")))</f>
        <v/>
      </c>
      <c r="AO1667" s="16">
        <f>IF(OR($B1667="",$C1667="",$D1667=""),"",DATE($C1667+2018,$D1667,1))</f>
        <v/>
      </c>
    </row>
    <row r="1668">
      <c r="A1668" s="11" t="n"/>
      <c r="B1668" s="12" t="n"/>
      <c r="C1668" s="12" t="n"/>
      <c r="D1668" s="12" t="n"/>
      <c r="E1668" s="13" t="n"/>
      <c r="F1668" s="12" t="n"/>
      <c r="G1668" s="13" t="n"/>
      <c r="H1668" s="12" t="n"/>
      <c r="I1668" s="12" t="n"/>
      <c r="J1668" s="12" t="n"/>
      <c r="K1668" s="12" t="n"/>
      <c r="L1668" s="11" t="n"/>
      <c r="M1668" s="11" t="n"/>
      <c r="N1668" s="11" t="n"/>
      <c r="O1668" s="11" t="n"/>
      <c r="P1668" s="12" t="n"/>
      <c r="Q1668" s="11" t="n"/>
      <c r="R1668" s="12" t="n"/>
      <c r="S1668" s="11" t="n"/>
      <c r="T1668" s="12" t="n"/>
      <c r="U1668" s="12" t="n"/>
      <c r="V1668" s="14">
        <f>IF($AN1668="",IF($B1668="","",$H1668),IF(INDEX(職員マスタ!$B$6:$B$405,$AN1668)="",$H1668,INDEX(職員マスタ!$B$6:$B$405,$AN1668)))</f>
        <v/>
      </c>
      <c r="W1668" s="14">
        <f>IF($AN1668="",IF($B1668="","",$R1668),IF(INDEX(職員マスタ!$C$6:$C$405,$AN1668)="",$R1668,INDEX(職員マスタ!$C$6:$C$405,$AN1668)))</f>
        <v/>
      </c>
      <c r="X1668" s="14">
        <f>IF($AO1668="","","R"&amp;$C1668&amp;"."&amp;$D1668)</f>
        <v/>
      </c>
      <c r="Y1668" s="15">
        <f>IF($AN1668="","",IF(INDEX(職員マスタ!$K$6:$K$405,$AN1668)="","",INDEX(職員マスタ!$K$6:$K$405,$AN1668)))</f>
        <v/>
      </c>
      <c r="Z1668" s="14">
        <f>IF(OR($E1668="",$Y1668=""),"",IF($E1668&gt;=$Y1668,"×",IF($E1668&gt;=$Y1668*設定!$C$5,"△","○")))</f>
        <v/>
      </c>
      <c r="AA1668" s="15">
        <f>IF($Z1668="","",IF($Z1668="×",0,IF($Z1668="○",ROUNDDOWN($E1668*設定!$C$4,0),ROUNDDOWN($E1668*ROUND((9*$Y1668-9*$E1668)/(10*$E1668),4),0))))</f>
        <v/>
      </c>
      <c r="AB1668" s="13" t="n"/>
      <c r="AC1668" s="15">
        <f>IF($B1668="","",IF($AB1668&lt;&gt;"",$AB1668,IF($AA1668="","",IF($AA1668&lt;=設定!$C$3,0,$AA1668))))</f>
        <v/>
      </c>
      <c r="AD1668" s="14">
        <f>IF($B1668="","",IF(AND($AE1668&lt;&gt;"",$AG1668="",$AJ1668=""),"保留中",IF($AJ1668&lt;&gt;"",IF(N($AC1668)&gt;0,"支給済","不支給"),IF($AC1668="","要確認",IF($AC1668=0,"不支給","未処理")))))</f>
        <v/>
      </c>
      <c r="AE1668" s="12" t="n"/>
      <c r="AF1668" s="11" t="n"/>
      <c r="AG1668" s="11" t="n"/>
      <c r="AH1668" s="11" t="n"/>
      <c r="AI1668" s="14">
        <f>IF(AND($AD1668="保留中",$AF1668&lt;&gt;""),TODAY()-$AF1668,"")</f>
        <v/>
      </c>
      <c r="AJ1668" s="12" t="n"/>
      <c r="AK1668" s="14">
        <f>IF($B1668="","",IF($AO1668="","対象年月が未入力／","")&amp;IF($B1668="","",IF($AN1668="","職員マスタに未登録の職員番号／",IF($Y1668="","標準報酬月額が未登録／","")&amp;IF(AND($AO1668&lt;&gt;"",OR(AND(INDEX(職員マスタ!$G$6:$G$405,$AN1668)&lt;&gt;"",INDEX(職員マスタ!$G$6:$G$405,$AN1668)&gt;EOMONTH($AO1668,0)),AND(INDEX(職員マスタ!$H$6:$H$405,$AN1668)&lt;&gt;"",INDEX(職員マスタ!$H$6:$H$405,$AN1668)&lt;$AO1668))),"対象月が時短期間外／","")&amp;IF(AND(INDEX(職員マスタ!$F$6:$F$405,$AN1668)&lt;&gt;"",$AO1668&lt;&gt;"",INDEX(職員マスタ!$F$6:$F$405,$AN1668)&lt;$AO1668),"対象月に子が2歳到達済／","")&amp;IF(AND($H1668&lt;&gt;"",INDEX(職員マスタ!$B$6:$B$405,$AN1668)&lt;&gt;"",SUBSTITUTE(SUBSTITUTE($H1668," ","")," ","")&lt;&gt;SUBSTITUTE(SUBSTITUTE(INDEX(職員マスタ!$B$6:$B$405,$AN1668)," ","")," ","")),"氏名がマスタと相違／","")&amp;IF(AND($Q1668&lt;&gt;"",INDEX(職員マスタ!$E$6:$E$405,$AN1668)&lt;&gt;"",$Q1668&lt;&gt;INDEX(職員マスタ!$E$6:$E$405,$AN1668)),"子の生年月日がマスタと相違／","")&amp;IF(AND($L1668&lt;&gt;"",INDEX(職員マスタ!$G$6:$G$405,$AN1668)&lt;&gt;"",$L1668&lt;&gt;INDEX(職員マスタ!$G$6:$G$405,$AN1668)),"時短開始日がマスタと相違／","")&amp;IF(AND($M1668&lt;&gt;"",INDEX(職員マスタ!$H$6:$H$405,$AN1668)&lt;&gt;"",$M1668&lt;&gt;INDEX(職員マスタ!$H$6:$H$405,$AN1668)),"時短終了日がマスタと相違／","")))&amp;IF(AND($B1668&lt;&gt;"",$E1668=""),"報酬額が未入力／","")&amp;IF(N($U1668)&gt;0,"申請書に入力エラーが残っています／","")&amp;IF(AND($B1668&lt;&gt;"",$AO1668&lt;&gt;""),IF(COUNTIFS($B$6:$B$3005,$B1668,$C$6:$C$3005,$C1668,$D$6:$D$3005,$D1668)&gt;1,"同じ月の請求が重複しています／",""),"")&amp;IF(AND(N($E1668)&gt;0,$Z1668&lt;&gt;"",$Z1668&lt;&gt;"×",$AC1668=0,$AB1668=""),"計算額が下限以下のため不支給／",""))</f>
        <v/>
      </c>
      <c r="AL1668" s="12" t="n"/>
      <c r="AM1668" s="14">
        <f>IF($AD1668="保留中",COUNTIF($AD$6:$AD1668,"保留中"),"")</f>
        <v/>
      </c>
      <c r="AN1668" s="14">
        <f>IF($AO1668="","",IF(SUMPRODUCT(MAX((職員マスタ!$A$6:$A$405=$B1668)*(((職員マスタ!$G$6:$G$405="")+(職員マスタ!$G$6:$G$405&lt;=EOMONTH($AO1668,0)))&gt;0)*(((職員マスタ!$H$6:$H$405="")+(職員マスタ!$H$6:$H$405&gt;=$AO1668))&gt;0)*(ROW(職員マスタ!$A$6:$A$405)-5)))&gt;0,SUMPRODUCT(MAX((職員マスタ!$A$6:$A$405=$B1668)*(((職員マスタ!$G$6:$G$405="")+(職員マスタ!$G$6:$G$405&lt;=EOMONTH($AO1668,0)))&gt;0)*(((職員マスタ!$H$6:$H$405="")+(職員マスタ!$H$6:$H$405&gt;=$AO1668))&gt;0)*(ROW(職員マスタ!$A$6:$A$405)-5))),IFERROR(MATCH($B1668,職員マスタ!$A$6:$A$405,0),"")))</f>
        <v/>
      </c>
      <c r="AO1668" s="16">
        <f>IF(OR($B1668="",$C1668="",$D1668=""),"",DATE($C1668+2018,$D1668,1))</f>
        <v/>
      </c>
    </row>
    <row r="1669">
      <c r="A1669" s="11" t="n"/>
      <c r="B1669" s="12" t="n"/>
      <c r="C1669" s="12" t="n"/>
      <c r="D1669" s="12" t="n"/>
      <c r="E1669" s="13" t="n"/>
      <c r="F1669" s="12" t="n"/>
      <c r="G1669" s="13" t="n"/>
      <c r="H1669" s="12" t="n"/>
      <c r="I1669" s="12" t="n"/>
      <c r="J1669" s="12" t="n"/>
      <c r="K1669" s="12" t="n"/>
      <c r="L1669" s="11" t="n"/>
      <c r="M1669" s="11" t="n"/>
      <c r="N1669" s="11" t="n"/>
      <c r="O1669" s="11" t="n"/>
      <c r="P1669" s="12" t="n"/>
      <c r="Q1669" s="11" t="n"/>
      <c r="R1669" s="12" t="n"/>
      <c r="S1669" s="11" t="n"/>
      <c r="T1669" s="12" t="n"/>
      <c r="U1669" s="12" t="n"/>
      <c r="V1669" s="14">
        <f>IF($AN1669="",IF($B1669="","",$H1669),IF(INDEX(職員マスタ!$B$6:$B$405,$AN1669)="",$H1669,INDEX(職員マスタ!$B$6:$B$405,$AN1669)))</f>
        <v/>
      </c>
      <c r="W1669" s="14">
        <f>IF($AN1669="",IF($B1669="","",$R1669),IF(INDEX(職員マスタ!$C$6:$C$405,$AN1669)="",$R1669,INDEX(職員マスタ!$C$6:$C$405,$AN1669)))</f>
        <v/>
      </c>
      <c r="X1669" s="14">
        <f>IF($AO1669="","","R"&amp;$C1669&amp;"."&amp;$D1669)</f>
        <v/>
      </c>
      <c r="Y1669" s="15">
        <f>IF($AN1669="","",IF(INDEX(職員マスタ!$K$6:$K$405,$AN1669)="","",INDEX(職員マスタ!$K$6:$K$405,$AN1669)))</f>
        <v/>
      </c>
      <c r="Z1669" s="14">
        <f>IF(OR($E1669="",$Y1669=""),"",IF($E1669&gt;=$Y1669,"×",IF($E1669&gt;=$Y1669*設定!$C$5,"△","○")))</f>
        <v/>
      </c>
      <c r="AA1669" s="15">
        <f>IF($Z1669="","",IF($Z1669="×",0,IF($Z1669="○",ROUNDDOWN($E1669*設定!$C$4,0),ROUNDDOWN($E1669*ROUND((9*$Y1669-9*$E1669)/(10*$E1669),4),0))))</f>
        <v/>
      </c>
      <c r="AB1669" s="13" t="n"/>
      <c r="AC1669" s="15">
        <f>IF($B1669="","",IF($AB1669&lt;&gt;"",$AB1669,IF($AA1669="","",IF($AA1669&lt;=設定!$C$3,0,$AA1669))))</f>
        <v/>
      </c>
      <c r="AD1669" s="14">
        <f>IF($B1669="","",IF(AND($AE1669&lt;&gt;"",$AG1669="",$AJ1669=""),"保留中",IF($AJ1669&lt;&gt;"",IF(N($AC1669)&gt;0,"支給済","不支給"),IF($AC1669="","要確認",IF($AC1669=0,"不支給","未処理")))))</f>
        <v/>
      </c>
      <c r="AE1669" s="12" t="n"/>
      <c r="AF1669" s="11" t="n"/>
      <c r="AG1669" s="11" t="n"/>
      <c r="AH1669" s="11" t="n"/>
      <c r="AI1669" s="14">
        <f>IF(AND($AD1669="保留中",$AF1669&lt;&gt;""),TODAY()-$AF1669,"")</f>
        <v/>
      </c>
      <c r="AJ1669" s="12" t="n"/>
      <c r="AK1669" s="14">
        <f>IF($B1669="","",IF($AO1669="","対象年月が未入力／","")&amp;IF($B1669="","",IF($AN1669="","職員マスタに未登録の職員番号／",IF($Y1669="","標準報酬月額が未登録／","")&amp;IF(AND($AO1669&lt;&gt;"",OR(AND(INDEX(職員マスタ!$G$6:$G$405,$AN1669)&lt;&gt;"",INDEX(職員マスタ!$G$6:$G$405,$AN1669)&gt;EOMONTH($AO1669,0)),AND(INDEX(職員マスタ!$H$6:$H$405,$AN1669)&lt;&gt;"",INDEX(職員マスタ!$H$6:$H$405,$AN1669)&lt;$AO1669))),"対象月が時短期間外／","")&amp;IF(AND(INDEX(職員マスタ!$F$6:$F$405,$AN1669)&lt;&gt;"",$AO1669&lt;&gt;"",INDEX(職員マスタ!$F$6:$F$405,$AN1669)&lt;$AO1669),"対象月に子が2歳到達済／","")&amp;IF(AND($H1669&lt;&gt;"",INDEX(職員マスタ!$B$6:$B$405,$AN1669)&lt;&gt;"",SUBSTITUTE(SUBSTITUTE($H1669," ","")," ","")&lt;&gt;SUBSTITUTE(SUBSTITUTE(INDEX(職員マスタ!$B$6:$B$405,$AN1669)," ","")," ","")),"氏名がマスタと相違／","")&amp;IF(AND($Q1669&lt;&gt;"",INDEX(職員マスタ!$E$6:$E$405,$AN1669)&lt;&gt;"",$Q1669&lt;&gt;INDEX(職員マスタ!$E$6:$E$405,$AN1669)),"子の生年月日がマスタと相違／","")&amp;IF(AND($L1669&lt;&gt;"",INDEX(職員マスタ!$G$6:$G$405,$AN1669)&lt;&gt;"",$L1669&lt;&gt;INDEX(職員マスタ!$G$6:$G$405,$AN1669)),"時短開始日がマスタと相違／","")&amp;IF(AND($M1669&lt;&gt;"",INDEX(職員マスタ!$H$6:$H$405,$AN1669)&lt;&gt;"",$M1669&lt;&gt;INDEX(職員マスタ!$H$6:$H$405,$AN1669)),"時短終了日がマスタと相違／","")))&amp;IF(AND($B1669&lt;&gt;"",$E1669=""),"報酬額が未入力／","")&amp;IF(N($U1669)&gt;0,"申請書に入力エラーが残っています／","")&amp;IF(AND($B1669&lt;&gt;"",$AO1669&lt;&gt;""),IF(COUNTIFS($B$6:$B$3005,$B1669,$C$6:$C$3005,$C1669,$D$6:$D$3005,$D1669)&gt;1,"同じ月の請求が重複しています／",""),"")&amp;IF(AND(N($E1669)&gt;0,$Z1669&lt;&gt;"",$Z1669&lt;&gt;"×",$AC1669=0,$AB1669=""),"計算額が下限以下のため不支給／",""))</f>
        <v/>
      </c>
      <c r="AL1669" s="12" t="n"/>
      <c r="AM1669" s="14">
        <f>IF($AD1669="保留中",COUNTIF($AD$6:$AD1669,"保留中"),"")</f>
        <v/>
      </c>
      <c r="AN1669" s="14">
        <f>IF($AO1669="","",IF(SUMPRODUCT(MAX((職員マスタ!$A$6:$A$405=$B1669)*(((職員マスタ!$G$6:$G$405="")+(職員マスタ!$G$6:$G$405&lt;=EOMONTH($AO1669,0)))&gt;0)*(((職員マスタ!$H$6:$H$405="")+(職員マスタ!$H$6:$H$405&gt;=$AO1669))&gt;0)*(ROW(職員マスタ!$A$6:$A$405)-5)))&gt;0,SUMPRODUCT(MAX((職員マスタ!$A$6:$A$405=$B1669)*(((職員マスタ!$G$6:$G$405="")+(職員マスタ!$G$6:$G$405&lt;=EOMONTH($AO1669,0)))&gt;0)*(((職員マスタ!$H$6:$H$405="")+(職員マスタ!$H$6:$H$405&gt;=$AO1669))&gt;0)*(ROW(職員マスタ!$A$6:$A$405)-5))),IFERROR(MATCH($B1669,職員マスタ!$A$6:$A$405,0),"")))</f>
        <v/>
      </c>
      <c r="AO1669" s="16">
        <f>IF(OR($B1669="",$C1669="",$D1669=""),"",DATE($C1669+2018,$D1669,1))</f>
        <v/>
      </c>
    </row>
    <row r="1670">
      <c r="A1670" s="11" t="n"/>
      <c r="B1670" s="12" t="n"/>
      <c r="C1670" s="12" t="n"/>
      <c r="D1670" s="12" t="n"/>
      <c r="E1670" s="13" t="n"/>
      <c r="F1670" s="12" t="n"/>
      <c r="G1670" s="13" t="n"/>
      <c r="H1670" s="12" t="n"/>
      <c r="I1670" s="12" t="n"/>
      <c r="J1670" s="12" t="n"/>
      <c r="K1670" s="12" t="n"/>
      <c r="L1670" s="11" t="n"/>
      <c r="M1670" s="11" t="n"/>
      <c r="N1670" s="11" t="n"/>
      <c r="O1670" s="11" t="n"/>
      <c r="P1670" s="12" t="n"/>
      <c r="Q1670" s="11" t="n"/>
      <c r="R1670" s="12" t="n"/>
      <c r="S1670" s="11" t="n"/>
      <c r="T1670" s="12" t="n"/>
      <c r="U1670" s="12" t="n"/>
      <c r="V1670" s="14">
        <f>IF($AN1670="",IF($B1670="","",$H1670),IF(INDEX(職員マスタ!$B$6:$B$405,$AN1670)="",$H1670,INDEX(職員マスタ!$B$6:$B$405,$AN1670)))</f>
        <v/>
      </c>
      <c r="W1670" s="14">
        <f>IF($AN1670="",IF($B1670="","",$R1670),IF(INDEX(職員マスタ!$C$6:$C$405,$AN1670)="",$R1670,INDEX(職員マスタ!$C$6:$C$405,$AN1670)))</f>
        <v/>
      </c>
      <c r="X1670" s="14">
        <f>IF($AO1670="","","R"&amp;$C1670&amp;"."&amp;$D1670)</f>
        <v/>
      </c>
      <c r="Y1670" s="15">
        <f>IF($AN1670="","",IF(INDEX(職員マスタ!$K$6:$K$405,$AN1670)="","",INDEX(職員マスタ!$K$6:$K$405,$AN1670)))</f>
        <v/>
      </c>
      <c r="Z1670" s="14">
        <f>IF(OR($E1670="",$Y1670=""),"",IF($E1670&gt;=$Y1670,"×",IF($E1670&gt;=$Y1670*設定!$C$5,"△","○")))</f>
        <v/>
      </c>
      <c r="AA1670" s="15">
        <f>IF($Z1670="","",IF($Z1670="×",0,IF($Z1670="○",ROUNDDOWN($E1670*設定!$C$4,0),ROUNDDOWN($E1670*ROUND((9*$Y1670-9*$E1670)/(10*$E1670),4),0))))</f>
        <v/>
      </c>
      <c r="AB1670" s="13" t="n"/>
      <c r="AC1670" s="15">
        <f>IF($B1670="","",IF($AB1670&lt;&gt;"",$AB1670,IF($AA1670="","",IF($AA1670&lt;=設定!$C$3,0,$AA1670))))</f>
        <v/>
      </c>
      <c r="AD1670" s="14">
        <f>IF($B1670="","",IF(AND($AE1670&lt;&gt;"",$AG1670="",$AJ1670=""),"保留中",IF($AJ1670&lt;&gt;"",IF(N($AC1670)&gt;0,"支給済","不支給"),IF($AC1670="","要確認",IF($AC1670=0,"不支給","未処理")))))</f>
        <v/>
      </c>
      <c r="AE1670" s="12" t="n"/>
      <c r="AF1670" s="11" t="n"/>
      <c r="AG1670" s="11" t="n"/>
      <c r="AH1670" s="11" t="n"/>
      <c r="AI1670" s="14">
        <f>IF(AND($AD1670="保留中",$AF1670&lt;&gt;""),TODAY()-$AF1670,"")</f>
        <v/>
      </c>
      <c r="AJ1670" s="12" t="n"/>
      <c r="AK1670" s="14">
        <f>IF($B1670="","",IF($AO1670="","対象年月が未入力／","")&amp;IF($B1670="","",IF($AN1670="","職員マスタに未登録の職員番号／",IF($Y1670="","標準報酬月額が未登録／","")&amp;IF(AND($AO1670&lt;&gt;"",OR(AND(INDEX(職員マスタ!$G$6:$G$405,$AN1670)&lt;&gt;"",INDEX(職員マスタ!$G$6:$G$405,$AN1670)&gt;EOMONTH($AO1670,0)),AND(INDEX(職員マスタ!$H$6:$H$405,$AN1670)&lt;&gt;"",INDEX(職員マスタ!$H$6:$H$405,$AN1670)&lt;$AO1670))),"対象月が時短期間外／","")&amp;IF(AND(INDEX(職員マスタ!$F$6:$F$405,$AN1670)&lt;&gt;"",$AO1670&lt;&gt;"",INDEX(職員マスタ!$F$6:$F$405,$AN1670)&lt;$AO1670),"対象月に子が2歳到達済／","")&amp;IF(AND($H1670&lt;&gt;"",INDEX(職員マスタ!$B$6:$B$405,$AN1670)&lt;&gt;"",SUBSTITUTE(SUBSTITUTE($H1670," ","")," ","")&lt;&gt;SUBSTITUTE(SUBSTITUTE(INDEX(職員マスタ!$B$6:$B$405,$AN1670)," ","")," ","")),"氏名がマスタと相違／","")&amp;IF(AND($Q1670&lt;&gt;"",INDEX(職員マスタ!$E$6:$E$405,$AN1670)&lt;&gt;"",$Q1670&lt;&gt;INDEX(職員マスタ!$E$6:$E$405,$AN1670)),"子の生年月日がマスタと相違／","")&amp;IF(AND($L1670&lt;&gt;"",INDEX(職員マスタ!$G$6:$G$405,$AN1670)&lt;&gt;"",$L1670&lt;&gt;INDEX(職員マスタ!$G$6:$G$405,$AN1670)),"時短開始日がマスタと相違／","")&amp;IF(AND($M1670&lt;&gt;"",INDEX(職員マスタ!$H$6:$H$405,$AN1670)&lt;&gt;"",$M1670&lt;&gt;INDEX(職員マスタ!$H$6:$H$405,$AN1670)),"時短終了日がマスタと相違／","")))&amp;IF(AND($B1670&lt;&gt;"",$E1670=""),"報酬額が未入力／","")&amp;IF(N($U1670)&gt;0,"申請書に入力エラーが残っています／","")&amp;IF(AND($B1670&lt;&gt;"",$AO1670&lt;&gt;""),IF(COUNTIFS($B$6:$B$3005,$B1670,$C$6:$C$3005,$C1670,$D$6:$D$3005,$D1670)&gt;1,"同じ月の請求が重複しています／",""),"")&amp;IF(AND(N($E1670)&gt;0,$Z1670&lt;&gt;"",$Z1670&lt;&gt;"×",$AC1670=0,$AB1670=""),"計算額が下限以下のため不支給／",""))</f>
        <v/>
      </c>
      <c r="AL1670" s="12" t="n"/>
      <c r="AM1670" s="14">
        <f>IF($AD1670="保留中",COUNTIF($AD$6:$AD1670,"保留中"),"")</f>
        <v/>
      </c>
      <c r="AN1670" s="14">
        <f>IF($AO1670="","",IF(SUMPRODUCT(MAX((職員マスタ!$A$6:$A$405=$B1670)*(((職員マスタ!$G$6:$G$405="")+(職員マスタ!$G$6:$G$405&lt;=EOMONTH($AO1670,0)))&gt;0)*(((職員マスタ!$H$6:$H$405="")+(職員マスタ!$H$6:$H$405&gt;=$AO1670))&gt;0)*(ROW(職員マスタ!$A$6:$A$405)-5)))&gt;0,SUMPRODUCT(MAX((職員マスタ!$A$6:$A$405=$B1670)*(((職員マスタ!$G$6:$G$405="")+(職員マスタ!$G$6:$G$405&lt;=EOMONTH($AO1670,0)))&gt;0)*(((職員マスタ!$H$6:$H$405="")+(職員マスタ!$H$6:$H$405&gt;=$AO1670))&gt;0)*(ROW(職員マスタ!$A$6:$A$405)-5))),IFERROR(MATCH($B1670,職員マスタ!$A$6:$A$405,0),"")))</f>
        <v/>
      </c>
      <c r="AO1670" s="16">
        <f>IF(OR($B1670="",$C1670="",$D1670=""),"",DATE($C1670+2018,$D1670,1))</f>
        <v/>
      </c>
    </row>
    <row r="1671">
      <c r="A1671" s="11" t="n"/>
      <c r="B1671" s="12" t="n"/>
      <c r="C1671" s="12" t="n"/>
      <c r="D1671" s="12" t="n"/>
      <c r="E1671" s="13" t="n"/>
      <c r="F1671" s="12" t="n"/>
      <c r="G1671" s="13" t="n"/>
      <c r="H1671" s="12" t="n"/>
      <c r="I1671" s="12" t="n"/>
      <c r="J1671" s="12" t="n"/>
      <c r="K1671" s="12" t="n"/>
      <c r="L1671" s="11" t="n"/>
      <c r="M1671" s="11" t="n"/>
      <c r="N1671" s="11" t="n"/>
      <c r="O1671" s="11" t="n"/>
      <c r="P1671" s="12" t="n"/>
      <c r="Q1671" s="11" t="n"/>
      <c r="R1671" s="12" t="n"/>
      <c r="S1671" s="11" t="n"/>
      <c r="T1671" s="12" t="n"/>
      <c r="U1671" s="12" t="n"/>
      <c r="V1671" s="14">
        <f>IF($AN1671="",IF($B1671="","",$H1671),IF(INDEX(職員マスタ!$B$6:$B$405,$AN1671)="",$H1671,INDEX(職員マスタ!$B$6:$B$405,$AN1671)))</f>
        <v/>
      </c>
      <c r="W1671" s="14">
        <f>IF($AN1671="",IF($B1671="","",$R1671),IF(INDEX(職員マスタ!$C$6:$C$405,$AN1671)="",$R1671,INDEX(職員マスタ!$C$6:$C$405,$AN1671)))</f>
        <v/>
      </c>
      <c r="X1671" s="14">
        <f>IF($AO1671="","","R"&amp;$C1671&amp;"."&amp;$D1671)</f>
        <v/>
      </c>
      <c r="Y1671" s="15">
        <f>IF($AN1671="","",IF(INDEX(職員マスタ!$K$6:$K$405,$AN1671)="","",INDEX(職員マスタ!$K$6:$K$405,$AN1671)))</f>
        <v/>
      </c>
      <c r="Z1671" s="14">
        <f>IF(OR($E1671="",$Y1671=""),"",IF($E1671&gt;=$Y1671,"×",IF($E1671&gt;=$Y1671*設定!$C$5,"△","○")))</f>
        <v/>
      </c>
      <c r="AA1671" s="15">
        <f>IF($Z1671="","",IF($Z1671="×",0,IF($Z1671="○",ROUNDDOWN($E1671*設定!$C$4,0),ROUNDDOWN($E1671*ROUND((9*$Y1671-9*$E1671)/(10*$E1671),4),0))))</f>
        <v/>
      </c>
      <c r="AB1671" s="13" t="n"/>
      <c r="AC1671" s="15">
        <f>IF($B1671="","",IF($AB1671&lt;&gt;"",$AB1671,IF($AA1671="","",IF($AA1671&lt;=設定!$C$3,0,$AA1671))))</f>
        <v/>
      </c>
      <c r="AD1671" s="14">
        <f>IF($B1671="","",IF(AND($AE1671&lt;&gt;"",$AG1671="",$AJ1671=""),"保留中",IF($AJ1671&lt;&gt;"",IF(N($AC1671)&gt;0,"支給済","不支給"),IF($AC1671="","要確認",IF($AC1671=0,"不支給","未処理")))))</f>
        <v/>
      </c>
      <c r="AE1671" s="12" t="n"/>
      <c r="AF1671" s="11" t="n"/>
      <c r="AG1671" s="11" t="n"/>
      <c r="AH1671" s="11" t="n"/>
      <c r="AI1671" s="14">
        <f>IF(AND($AD1671="保留中",$AF1671&lt;&gt;""),TODAY()-$AF1671,"")</f>
        <v/>
      </c>
      <c r="AJ1671" s="12" t="n"/>
      <c r="AK1671" s="14">
        <f>IF($B1671="","",IF($AO1671="","対象年月が未入力／","")&amp;IF($B1671="","",IF($AN1671="","職員マスタに未登録の職員番号／",IF($Y1671="","標準報酬月額が未登録／","")&amp;IF(AND($AO1671&lt;&gt;"",OR(AND(INDEX(職員マスタ!$G$6:$G$405,$AN1671)&lt;&gt;"",INDEX(職員マスタ!$G$6:$G$405,$AN1671)&gt;EOMONTH($AO1671,0)),AND(INDEX(職員マスタ!$H$6:$H$405,$AN1671)&lt;&gt;"",INDEX(職員マスタ!$H$6:$H$405,$AN1671)&lt;$AO1671))),"対象月が時短期間外／","")&amp;IF(AND(INDEX(職員マスタ!$F$6:$F$405,$AN1671)&lt;&gt;"",$AO1671&lt;&gt;"",INDEX(職員マスタ!$F$6:$F$405,$AN1671)&lt;$AO1671),"対象月に子が2歳到達済／","")&amp;IF(AND($H1671&lt;&gt;"",INDEX(職員マスタ!$B$6:$B$405,$AN1671)&lt;&gt;"",SUBSTITUTE(SUBSTITUTE($H1671," ","")," ","")&lt;&gt;SUBSTITUTE(SUBSTITUTE(INDEX(職員マスタ!$B$6:$B$405,$AN1671)," ","")," ","")),"氏名がマスタと相違／","")&amp;IF(AND($Q1671&lt;&gt;"",INDEX(職員マスタ!$E$6:$E$405,$AN1671)&lt;&gt;"",$Q1671&lt;&gt;INDEX(職員マスタ!$E$6:$E$405,$AN1671)),"子の生年月日がマスタと相違／","")&amp;IF(AND($L1671&lt;&gt;"",INDEX(職員マスタ!$G$6:$G$405,$AN1671)&lt;&gt;"",$L1671&lt;&gt;INDEX(職員マスタ!$G$6:$G$405,$AN1671)),"時短開始日がマスタと相違／","")&amp;IF(AND($M1671&lt;&gt;"",INDEX(職員マスタ!$H$6:$H$405,$AN1671)&lt;&gt;"",$M1671&lt;&gt;INDEX(職員マスタ!$H$6:$H$405,$AN1671)),"時短終了日がマスタと相違／","")))&amp;IF(AND($B1671&lt;&gt;"",$E1671=""),"報酬額が未入力／","")&amp;IF(N($U1671)&gt;0,"申請書に入力エラーが残っています／","")&amp;IF(AND($B1671&lt;&gt;"",$AO1671&lt;&gt;""),IF(COUNTIFS($B$6:$B$3005,$B1671,$C$6:$C$3005,$C1671,$D$6:$D$3005,$D1671)&gt;1,"同じ月の請求が重複しています／",""),"")&amp;IF(AND(N($E1671)&gt;0,$Z1671&lt;&gt;"",$Z1671&lt;&gt;"×",$AC1671=0,$AB1671=""),"計算額が下限以下のため不支給／",""))</f>
        <v/>
      </c>
      <c r="AL1671" s="12" t="n"/>
      <c r="AM1671" s="14">
        <f>IF($AD1671="保留中",COUNTIF($AD$6:$AD1671,"保留中"),"")</f>
        <v/>
      </c>
      <c r="AN1671" s="14">
        <f>IF($AO1671="","",IF(SUMPRODUCT(MAX((職員マスタ!$A$6:$A$405=$B1671)*(((職員マスタ!$G$6:$G$405="")+(職員マスタ!$G$6:$G$405&lt;=EOMONTH($AO1671,0)))&gt;0)*(((職員マスタ!$H$6:$H$405="")+(職員マスタ!$H$6:$H$405&gt;=$AO1671))&gt;0)*(ROW(職員マスタ!$A$6:$A$405)-5)))&gt;0,SUMPRODUCT(MAX((職員マスタ!$A$6:$A$405=$B1671)*(((職員マスタ!$G$6:$G$405="")+(職員マスタ!$G$6:$G$405&lt;=EOMONTH($AO1671,0)))&gt;0)*(((職員マスタ!$H$6:$H$405="")+(職員マスタ!$H$6:$H$405&gt;=$AO1671))&gt;0)*(ROW(職員マスタ!$A$6:$A$405)-5))),IFERROR(MATCH($B1671,職員マスタ!$A$6:$A$405,0),"")))</f>
        <v/>
      </c>
      <c r="AO1671" s="16">
        <f>IF(OR($B1671="",$C1671="",$D1671=""),"",DATE($C1671+2018,$D1671,1))</f>
        <v/>
      </c>
    </row>
    <row r="1672">
      <c r="A1672" s="11" t="n"/>
      <c r="B1672" s="12" t="n"/>
      <c r="C1672" s="12" t="n"/>
      <c r="D1672" s="12" t="n"/>
      <c r="E1672" s="13" t="n"/>
      <c r="F1672" s="12" t="n"/>
      <c r="G1672" s="13" t="n"/>
      <c r="H1672" s="12" t="n"/>
      <c r="I1672" s="12" t="n"/>
      <c r="J1672" s="12" t="n"/>
      <c r="K1672" s="12" t="n"/>
      <c r="L1672" s="11" t="n"/>
      <c r="M1672" s="11" t="n"/>
      <c r="N1672" s="11" t="n"/>
      <c r="O1672" s="11" t="n"/>
      <c r="P1672" s="12" t="n"/>
      <c r="Q1672" s="11" t="n"/>
      <c r="R1672" s="12" t="n"/>
      <c r="S1672" s="11" t="n"/>
      <c r="T1672" s="12" t="n"/>
      <c r="U1672" s="12" t="n"/>
      <c r="V1672" s="14">
        <f>IF($AN1672="",IF($B1672="","",$H1672),IF(INDEX(職員マスタ!$B$6:$B$405,$AN1672)="",$H1672,INDEX(職員マスタ!$B$6:$B$405,$AN1672)))</f>
        <v/>
      </c>
      <c r="W1672" s="14">
        <f>IF($AN1672="",IF($B1672="","",$R1672),IF(INDEX(職員マスタ!$C$6:$C$405,$AN1672)="",$R1672,INDEX(職員マスタ!$C$6:$C$405,$AN1672)))</f>
        <v/>
      </c>
      <c r="X1672" s="14">
        <f>IF($AO1672="","","R"&amp;$C1672&amp;"."&amp;$D1672)</f>
        <v/>
      </c>
      <c r="Y1672" s="15">
        <f>IF($AN1672="","",IF(INDEX(職員マスタ!$K$6:$K$405,$AN1672)="","",INDEX(職員マスタ!$K$6:$K$405,$AN1672)))</f>
        <v/>
      </c>
      <c r="Z1672" s="14">
        <f>IF(OR($E1672="",$Y1672=""),"",IF($E1672&gt;=$Y1672,"×",IF($E1672&gt;=$Y1672*設定!$C$5,"△","○")))</f>
        <v/>
      </c>
      <c r="AA1672" s="15">
        <f>IF($Z1672="","",IF($Z1672="×",0,IF($Z1672="○",ROUNDDOWN($E1672*設定!$C$4,0),ROUNDDOWN($E1672*ROUND((9*$Y1672-9*$E1672)/(10*$E1672),4),0))))</f>
        <v/>
      </c>
      <c r="AB1672" s="13" t="n"/>
      <c r="AC1672" s="15">
        <f>IF($B1672="","",IF($AB1672&lt;&gt;"",$AB1672,IF($AA1672="","",IF($AA1672&lt;=設定!$C$3,0,$AA1672))))</f>
        <v/>
      </c>
      <c r="AD1672" s="14">
        <f>IF($B1672="","",IF(AND($AE1672&lt;&gt;"",$AG1672="",$AJ1672=""),"保留中",IF($AJ1672&lt;&gt;"",IF(N($AC1672)&gt;0,"支給済","不支給"),IF($AC1672="","要確認",IF($AC1672=0,"不支給","未処理")))))</f>
        <v/>
      </c>
      <c r="AE1672" s="12" t="n"/>
      <c r="AF1672" s="11" t="n"/>
      <c r="AG1672" s="11" t="n"/>
      <c r="AH1672" s="11" t="n"/>
      <c r="AI1672" s="14">
        <f>IF(AND($AD1672="保留中",$AF1672&lt;&gt;""),TODAY()-$AF1672,"")</f>
        <v/>
      </c>
      <c r="AJ1672" s="12" t="n"/>
      <c r="AK1672" s="14">
        <f>IF($B1672="","",IF($AO1672="","対象年月が未入力／","")&amp;IF($B1672="","",IF($AN1672="","職員マスタに未登録の職員番号／",IF($Y1672="","標準報酬月額が未登録／","")&amp;IF(AND($AO1672&lt;&gt;"",OR(AND(INDEX(職員マスタ!$G$6:$G$405,$AN1672)&lt;&gt;"",INDEX(職員マスタ!$G$6:$G$405,$AN1672)&gt;EOMONTH($AO1672,0)),AND(INDEX(職員マスタ!$H$6:$H$405,$AN1672)&lt;&gt;"",INDEX(職員マスタ!$H$6:$H$405,$AN1672)&lt;$AO1672))),"対象月が時短期間外／","")&amp;IF(AND(INDEX(職員マスタ!$F$6:$F$405,$AN1672)&lt;&gt;"",$AO1672&lt;&gt;"",INDEX(職員マスタ!$F$6:$F$405,$AN1672)&lt;$AO1672),"対象月に子が2歳到達済／","")&amp;IF(AND($H1672&lt;&gt;"",INDEX(職員マスタ!$B$6:$B$405,$AN1672)&lt;&gt;"",SUBSTITUTE(SUBSTITUTE($H1672," ","")," ","")&lt;&gt;SUBSTITUTE(SUBSTITUTE(INDEX(職員マスタ!$B$6:$B$405,$AN1672)," ","")," ","")),"氏名がマスタと相違／","")&amp;IF(AND($Q1672&lt;&gt;"",INDEX(職員マスタ!$E$6:$E$405,$AN1672)&lt;&gt;"",$Q1672&lt;&gt;INDEX(職員マスタ!$E$6:$E$405,$AN1672)),"子の生年月日がマスタと相違／","")&amp;IF(AND($L1672&lt;&gt;"",INDEX(職員マスタ!$G$6:$G$405,$AN1672)&lt;&gt;"",$L1672&lt;&gt;INDEX(職員マスタ!$G$6:$G$405,$AN1672)),"時短開始日がマスタと相違／","")&amp;IF(AND($M1672&lt;&gt;"",INDEX(職員マスタ!$H$6:$H$405,$AN1672)&lt;&gt;"",$M1672&lt;&gt;INDEX(職員マスタ!$H$6:$H$405,$AN1672)),"時短終了日がマスタと相違／","")))&amp;IF(AND($B1672&lt;&gt;"",$E1672=""),"報酬額が未入力／","")&amp;IF(N($U1672)&gt;0,"申請書に入力エラーが残っています／","")&amp;IF(AND($B1672&lt;&gt;"",$AO1672&lt;&gt;""),IF(COUNTIFS($B$6:$B$3005,$B1672,$C$6:$C$3005,$C1672,$D$6:$D$3005,$D1672)&gt;1,"同じ月の請求が重複しています／",""),"")&amp;IF(AND(N($E1672)&gt;0,$Z1672&lt;&gt;"",$Z1672&lt;&gt;"×",$AC1672=0,$AB1672=""),"計算額が下限以下のため不支給／",""))</f>
        <v/>
      </c>
      <c r="AL1672" s="12" t="n"/>
      <c r="AM1672" s="14">
        <f>IF($AD1672="保留中",COUNTIF($AD$6:$AD1672,"保留中"),"")</f>
        <v/>
      </c>
      <c r="AN1672" s="14">
        <f>IF($AO1672="","",IF(SUMPRODUCT(MAX((職員マスタ!$A$6:$A$405=$B1672)*(((職員マスタ!$G$6:$G$405="")+(職員マスタ!$G$6:$G$405&lt;=EOMONTH($AO1672,0)))&gt;0)*(((職員マスタ!$H$6:$H$405="")+(職員マスタ!$H$6:$H$405&gt;=$AO1672))&gt;0)*(ROW(職員マスタ!$A$6:$A$405)-5)))&gt;0,SUMPRODUCT(MAX((職員マスタ!$A$6:$A$405=$B1672)*(((職員マスタ!$G$6:$G$405="")+(職員マスタ!$G$6:$G$405&lt;=EOMONTH($AO1672,0)))&gt;0)*(((職員マスタ!$H$6:$H$405="")+(職員マスタ!$H$6:$H$405&gt;=$AO1672))&gt;0)*(ROW(職員マスタ!$A$6:$A$405)-5))),IFERROR(MATCH($B1672,職員マスタ!$A$6:$A$405,0),"")))</f>
        <v/>
      </c>
      <c r="AO1672" s="16">
        <f>IF(OR($B1672="",$C1672="",$D1672=""),"",DATE($C1672+2018,$D1672,1))</f>
        <v/>
      </c>
    </row>
    <row r="1673">
      <c r="A1673" s="11" t="n"/>
      <c r="B1673" s="12" t="n"/>
      <c r="C1673" s="12" t="n"/>
      <c r="D1673" s="12" t="n"/>
      <c r="E1673" s="13" t="n"/>
      <c r="F1673" s="12" t="n"/>
      <c r="G1673" s="13" t="n"/>
      <c r="H1673" s="12" t="n"/>
      <c r="I1673" s="12" t="n"/>
      <c r="J1673" s="12" t="n"/>
      <c r="K1673" s="12" t="n"/>
      <c r="L1673" s="11" t="n"/>
      <c r="M1673" s="11" t="n"/>
      <c r="N1673" s="11" t="n"/>
      <c r="O1673" s="11" t="n"/>
      <c r="P1673" s="12" t="n"/>
      <c r="Q1673" s="11" t="n"/>
      <c r="R1673" s="12" t="n"/>
      <c r="S1673" s="11" t="n"/>
      <c r="T1673" s="12" t="n"/>
      <c r="U1673" s="12" t="n"/>
      <c r="V1673" s="14">
        <f>IF($AN1673="",IF($B1673="","",$H1673),IF(INDEX(職員マスタ!$B$6:$B$405,$AN1673)="",$H1673,INDEX(職員マスタ!$B$6:$B$405,$AN1673)))</f>
        <v/>
      </c>
      <c r="W1673" s="14">
        <f>IF($AN1673="",IF($B1673="","",$R1673),IF(INDEX(職員マスタ!$C$6:$C$405,$AN1673)="",$R1673,INDEX(職員マスタ!$C$6:$C$405,$AN1673)))</f>
        <v/>
      </c>
      <c r="X1673" s="14">
        <f>IF($AO1673="","","R"&amp;$C1673&amp;"."&amp;$D1673)</f>
        <v/>
      </c>
      <c r="Y1673" s="15">
        <f>IF($AN1673="","",IF(INDEX(職員マスタ!$K$6:$K$405,$AN1673)="","",INDEX(職員マスタ!$K$6:$K$405,$AN1673)))</f>
        <v/>
      </c>
      <c r="Z1673" s="14">
        <f>IF(OR($E1673="",$Y1673=""),"",IF($E1673&gt;=$Y1673,"×",IF($E1673&gt;=$Y1673*設定!$C$5,"△","○")))</f>
        <v/>
      </c>
      <c r="AA1673" s="15">
        <f>IF($Z1673="","",IF($Z1673="×",0,IF($Z1673="○",ROUNDDOWN($E1673*設定!$C$4,0),ROUNDDOWN($E1673*ROUND((9*$Y1673-9*$E1673)/(10*$E1673),4),0))))</f>
        <v/>
      </c>
      <c r="AB1673" s="13" t="n"/>
      <c r="AC1673" s="15">
        <f>IF($B1673="","",IF($AB1673&lt;&gt;"",$AB1673,IF($AA1673="","",IF($AA1673&lt;=設定!$C$3,0,$AA1673))))</f>
        <v/>
      </c>
      <c r="AD1673" s="14">
        <f>IF($B1673="","",IF(AND($AE1673&lt;&gt;"",$AG1673="",$AJ1673=""),"保留中",IF($AJ1673&lt;&gt;"",IF(N($AC1673)&gt;0,"支給済","不支給"),IF($AC1673="","要確認",IF($AC1673=0,"不支給","未処理")))))</f>
        <v/>
      </c>
      <c r="AE1673" s="12" t="n"/>
      <c r="AF1673" s="11" t="n"/>
      <c r="AG1673" s="11" t="n"/>
      <c r="AH1673" s="11" t="n"/>
      <c r="AI1673" s="14">
        <f>IF(AND($AD1673="保留中",$AF1673&lt;&gt;""),TODAY()-$AF1673,"")</f>
        <v/>
      </c>
      <c r="AJ1673" s="12" t="n"/>
      <c r="AK1673" s="14">
        <f>IF($B1673="","",IF($AO1673="","対象年月が未入力／","")&amp;IF($B1673="","",IF($AN1673="","職員マスタに未登録の職員番号／",IF($Y1673="","標準報酬月額が未登録／","")&amp;IF(AND($AO1673&lt;&gt;"",OR(AND(INDEX(職員マスタ!$G$6:$G$405,$AN1673)&lt;&gt;"",INDEX(職員マスタ!$G$6:$G$405,$AN1673)&gt;EOMONTH($AO1673,0)),AND(INDEX(職員マスタ!$H$6:$H$405,$AN1673)&lt;&gt;"",INDEX(職員マスタ!$H$6:$H$405,$AN1673)&lt;$AO1673))),"対象月が時短期間外／","")&amp;IF(AND(INDEX(職員マスタ!$F$6:$F$405,$AN1673)&lt;&gt;"",$AO1673&lt;&gt;"",INDEX(職員マスタ!$F$6:$F$405,$AN1673)&lt;$AO1673),"対象月に子が2歳到達済／","")&amp;IF(AND($H1673&lt;&gt;"",INDEX(職員マスタ!$B$6:$B$405,$AN1673)&lt;&gt;"",SUBSTITUTE(SUBSTITUTE($H1673," ","")," ","")&lt;&gt;SUBSTITUTE(SUBSTITUTE(INDEX(職員マスタ!$B$6:$B$405,$AN1673)," ","")," ","")),"氏名がマスタと相違／","")&amp;IF(AND($Q1673&lt;&gt;"",INDEX(職員マスタ!$E$6:$E$405,$AN1673)&lt;&gt;"",$Q1673&lt;&gt;INDEX(職員マスタ!$E$6:$E$405,$AN1673)),"子の生年月日がマスタと相違／","")&amp;IF(AND($L1673&lt;&gt;"",INDEX(職員マスタ!$G$6:$G$405,$AN1673)&lt;&gt;"",$L1673&lt;&gt;INDEX(職員マスタ!$G$6:$G$405,$AN1673)),"時短開始日がマスタと相違／","")&amp;IF(AND($M1673&lt;&gt;"",INDEX(職員マスタ!$H$6:$H$405,$AN1673)&lt;&gt;"",$M1673&lt;&gt;INDEX(職員マスタ!$H$6:$H$405,$AN1673)),"時短終了日がマスタと相違／","")))&amp;IF(AND($B1673&lt;&gt;"",$E1673=""),"報酬額が未入力／","")&amp;IF(N($U1673)&gt;0,"申請書に入力エラーが残っています／","")&amp;IF(AND($B1673&lt;&gt;"",$AO1673&lt;&gt;""),IF(COUNTIFS($B$6:$B$3005,$B1673,$C$6:$C$3005,$C1673,$D$6:$D$3005,$D1673)&gt;1,"同じ月の請求が重複しています／",""),"")&amp;IF(AND(N($E1673)&gt;0,$Z1673&lt;&gt;"",$Z1673&lt;&gt;"×",$AC1673=0,$AB1673=""),"計算額が下限以下のため不支給／",""))</f>
        <v/>
      </c>
      <c r="AL1673" s="12" t="n"/>
      <c r="AM1673" s="14">
        <f>IF($AD1673="保留中",COUNTIF($AD$6:$AD1673,"保留中"),"")</f>
        <v/>
      </c>
      <c r="AN1673" s="14">
        <f>IF($AO1673="","",IF(SUMPRODUCT(MAX((職員マスタ!$A$6:$A$405=$B1673)*(((職員マスタ!$G$6:$G$405="")+(職員マスタ!$G$6:$G$405&lt;=EOMONTH($AO1673,0)))&gt;0)*(((職員マスタ!$H$6:$H$405="")+(職員マスタ!$H$6:$H$405&gt;=$AO1673))&gt;0)*(ROW(職員マスタ!$A$6:$A$405)-5)))&gt;0,SUMPRODUCT(MAX((職員マスタ!$A$6:$A$405=$B1673)*(((職員マスタ!$G$6:$G$405="")+(職員マスタ!$G$6:$G$405&lt;=EOMONTH($AO1673,0)))&gt;0)*(((職員マスタ!$H$6:$H$405="")+(職員マスタ!$H$6:$H$405&gt;=$AO1673))&gt;0)*(ROW(職員マスタ!$A$6:$A$405)-5))),IFERROR(MATCH($B1673,職員マスタ!$A$6:$A$405,0),"")))</f>
        <v/>
      </c>
      <c r="AO1673" s="16">
        <f>IF(OR($B1673="",$C1673="",$D1673=""),"",DATE($C1673+2018,$D1673,1))</f>
        <v/>
      </c>
    </row>
    <row r="1674">
      <c r="A1674" s="11" t="n"/>
      <c r="B1674" s="12" t="n"/>
      <c r="C1674" s="12" t="n"/>
      <c r="D1674" s="12" t="n"/>
      <c r="E1674" s="13" t="n"/>
      <c r="F1674" s="12" t="n"/>
      <c r="G1674" s="13" t="n"/>
      <c r="H1674" s="12" t="n"/>
      <c r="I1674" s="12" t="n"/>
      <c r="J1674" s="12" t="n"/>
      <c r="K1674" s="12" t="n"/>
      <c r="L1674" s="11" t="n"/>
      <c r="M1674" s="11" t="n"/>
      <c r="N1674" s="11" t="n"/>
      <c r="O1674" s="11" t="n"/>
      <c r="P1674" s="12" t="n"/>
      <c r="Q1674" s="11" t="n"/>
      <c r="R1674" s="12" t="n"/>
      <c r="S1674" s="11" t="n"/>
      <c r="T1674" s="12" t="n"/>
      <c r="U1674" s="12" t="n"/>
      <c r="V1674" s="14">
        <f>IF($AN1674="",IF($B1674="","",$H1674),IF(INDEX(職員マスタ!$B$6:$B$405,$AN1674)="",$H1674,INDEX(職員マスタ!$B$6:$B$405,$AN1674)))</f>
        <v/>
      </c>
      <c r="W1674" s="14">
        <f>IF($AN1674="",IF($B1674="","",$R1674),IF(INDEX(職員マスタ!$C$6:$C$405,$AN1674)="",$R1674,INDEX(職員マスタ!$C$6:$C$405,$AN1674)))</f>
        <v/>
      </c>
      <c r="X1674" s="14">
        <f>IF($AO1674="","","R"&amp;$C1674&amp;"."&amp;$D1674)</f>
        <v/>
      </c>
      <c r="Y1674" s="15">
        <f>IF($AN1674="","",IF(INDEX(職員マスタ!$K$6:$K$405,$AN1674)="","",INDEX(職員マスタ!$K$6:$K$405,$AN1674)))</f>
        <v/>
      </c>
      <c r="Z1674" s="14">
        <f>IF(OR($E1674="",$Y1674=""),"",IF($E1674&gt;=$Y1674,"×",IF($E1674&gt;=$Y1674*設定!$C$5,"△","○")))</f>
        <v/>
      </c>
      <c r="AA1674" s="15">
        <f>IF($Z1674="","",IF($Z1674="×",0,IF($Z1674="○",ROUNDDOWN($E1674*設定!$C$4,0),ROUNDDOWN($E1674*ROUND((9*$Y1674-9*$E1674)/(10*$E1674),4),0))))</f>
        <v/>
      </c>
      <c r="AB1674" s="13" t="n"/>
      <c r="AC1674" s="15">
        <f>IF($B1674="","",IF($AB1674&lt;&gt;"",$AB1674,IF($AA1674="","",IF($AA1674&lt;=設定!$C$3,0,$AA1674))))</f>
        <v/>
      </c>
      <c r="AD1674" s="14">
        <f>IF($B1674="","",IF(AND($AE1674&lt;&gt;"",$AG1674="",$AJ1674=""),"保留中",IF($AJ1674&lt;&gt;"",IF(N($AC1674)&gt;0,"支給済","不支給"),IF($AC1674="","要確認",IF($AC1674=0,"不支給","未処理")))))</f>
        <v/>
      </c>
      <c r="AE1674" s="12" t="n"/>
      <c r="AF1674" s="11" t="n"/>
      <c r="AG1674" s="11" t="n"/>
      <c r="AH1674" s="11" t="n"/>
      <c r="AI1674" s="14">
        <f>IF(AND($AD1674="保留中",$AF1674&lt;&gt;""),TODAY()-$AF1674,"")</f>
        <v/>
      </c>
      <c r="AJ1674" s="12" t="n"/>
      <c r="AK1674" s="14">
        <f>IF($B1674="","",IF($AO1674="","対象年月が未入力／","")&amp;IF($B1674="","",IF($AN1674="","職員マスタに未登録の職員番号／",IF($Y1674="","標準報酬月額が未登録／","")&amp;IF(AND($AO1674&lt;&gt;"",OR(AND(INDEX(職員マスタ!$G$6:$G$405,$AN1674)&lt;&gt;"",INDEX(職員マスタ!$G$6:$G$405,$AN1674)&gt;EOMONTH($AO1674,0)),AND(INDEX(職員マスタ!$H$6:$H$405,$AN1674)&lt;&gt;"",INDEX(職員マスタ!$H$6:$H$405,$AN1674)&lt;$AO1674))),"対象月が時短期間外／","")&amp;IF(AND(INDEX(職員マスタ!$F$6:$F$405,$AN1674)&lt;&gt;"",$AO1674&lt;&gt;"",INDEX(職員マスタ!$F$6:$F$405,$AN1674)&lt;$AO1674),"対象月に子が2歳到達済／","")&amp;IF(AND($H1674&lt;&gt;"",INDEX(職員マスタ!$B$6:$B$405,$AN1674)&lt;&gt;"",SUBSTITUTE(SUBSTITUTE($H1674," ","")," ","")&lt;&gt;SUBSTITUTE(SUBSTITUTE(INDEX(職員マスタ!$B$6:$B$405,$AN1674)," ","")," ","")),"氏名がマスタと相違／","")&amp;IF(AND($Q1674&lt;&gt;"",INDEX(職員マスタ!$E$6:$E$405,$AN1674)&lt;&gt;"",$Q1674&lt;&gt;INDEX(職員マスタ!$E$6:$E$405,$AN1674)),"子の生年月日がマスタと相違／","")&amp;IF(AND($L1674&lt;&gt;"",INDEX(職員マスタ!$G$6:$G$405,$AN1674)&lt;&gt;"",$L1674&lt;&gt;INDEX(職員マスタ!$G$6:$G$405,$AN1674)),"時短開始日がマスタと相違／","")&amp;IF(AND($M1674&lt;&gt;"",INDEX(職員マスタ!$H$6:$H$405,$AN1674)&lt;&gt;"",$M1674&lt;&gt;INDEX(職員マスタ!$H$6:$H$405,$AN1674)),"時短終了日がマスタと相違／","")))&amp;IF(AND($B1674&lt;&gt;"",$E1674=""),"報酬額が未入力／","")&amp;IF(N($U1674)&gt;0,"申請書に入力エラーが残っています／","")&amp;IF(AND($B1674&lt;&gt;"",$AO1674&lt;&gt;""),IF(COUNTIFS($B$6:$B$3005,$B1674,$C$6:$C$3005,$C1674,$D$6:$D$3005,$D1674)&gt;1,"同じ月の請求が重複しています／",""),"")&amp;IF(AND(N($E1674)&gt;0,$Z1674&lt;&gt;"",$Z1674&lt;&gt;"×",$AC1674=0,$AB1674=""),"計算額が下限以下のため不支給／",""))</f>
        <v/>
      </c>
      <c r="AL1674" s="12" t="n"/>
      <c r="AM1674" s="14">
        <f>IF($AD1674="保留中",COUNTIF($AD$6:$AD1674,"保留中"),"")</f>
        <v/>
      </c>
      <c r="AN1674" s="14">
        <f>IF($AO1674="","",IF(SUMPRODUCT(MAX((職員マスタ!$A$6:$A$405=$B1674)*(((職員マスタ!$G$6:$G$405="")+(職員マスタ!$G$6:$G$405&lt;=EOMONTH($AO1674,0)))&gt;0)*(((職員マスタ!$H$6:$H$405="")+(職員マスタ!$H$6:$H$405&gt;=$AO1674))&gt;0)*(ROW(職員マスタ!$A$6:$A$405)-5)))&gt;0,SUMPRODUCT(MAX((職員マスタ!$A$6:$A$405=$B1674)*(((職員マスタ!$G$6:$G$405="")+(職員マスタ!$G$6:$G$405&lt;=EOMONTH($AO1674,0)))&gt;0)*(((職員マスタ!$H$6:$H$405="")+(職員マスタ!$H$6:$H$405&gt;=$AO1674))&gt;0)*(ROW(職員マスタ!$A$6:$A$405)-5))),IFERROR(MATCH($B1674,職員マスタ!$A$6:$A$405,0),"")))</f>
        <v/>
      </c>
      <c r="AO1674" s="16">
        <f>IF(OR($B1674="",$C1674="",$D1674=""),"",DATE($C1674+2018,$D1674,1))</f>
        <v/>
      </c>
    </row>
    <row r="1675">
      <c r="A1675" s="11" t="n"/>
      <c r="B1675" s="12" t="n"/>
      <c r="C1675" s="12" t="n"/>
      <c r="D1675" s="12" t="n"/>
      <c r="E1675" s="13" t="n"/>
      <c r="F1675" s="12" t="n"/>
      <c r="G1675" s="13" t="n"/>
      <c r="H1675" s="12" t="n"/>
      <c r="I1675" s="12" t="n"/>
      <c r="J1675" s="12" t="n"/>
      <c r="K1675" s="12" t="n"/>
      <c r="L1675" s="11" t="n"/>
      <c r="M1675" s="11" t="n"/>
      <c r="N1675" s="11" t="n"/>
      <c r="O1675" s="11" t="n"/>
      <c r="P1675" s="12" t="n"/>
      <c r="Q1675" s="11" t="n"/>
      <c r="R1675" s="12" t="n"/>
      <c r="S1675" s="11" t="n"/>
      <c r="T1675" s="12" t="n"/>
      <c r="U1675" s="12" t="n"/>
      <c r="V1675" s="14">
        <f>IF($AN1675="",IF($B1675="","",$H1675),IF(INDEX(職員マスタ!$B$6:$B$405,$AN1675)="",$H1675,INDEX(職員マスタ!$B$6:$B$405,$AN1675)))</f>
        <v/>
      </c>
      <c r="W1675" s="14">
        <f>IF($AN1675="",IF($B1675="","",$R1675),IF(INDEX(職員マスタ!$C$6:$C$405,$AN1675)="",$R1675,INDEX(職員マスタ!$C$6:$C$405,$AN1675)))</f>
        <v/>
      </c>
      <c r="X1675" s="14">
        <f>IF($AO1675="","","R"&amp;$C1675&amp;"."&amp;$D1675)</f>
        <v/>
      </c>
      <c r="Y1675" s="15">
        <f>IF($AN1675="","",IF(INDEX(職員マスタ!$K$6:$K$405,$AN1675)="","",INDEX(職員マスタ!$K$6:$K$405,$AN1675)))</f>
        <v/>
      </c>
      <c r="Z1675" s="14">
        <f>IF(OR($E1675="",$Y1675=""),"",IF($E1675&gt;=$Y1675,"×",IF($E1675&gt;=$Y1675*設定!$C$5,"△","○")))</f>
        <v/>
      </c>
      <c r="AA1675" s="15">
        <f>IF($Z1675="","",IF($Z1675="×",0,IF($Z1675="○",ROUNDDOWN($E1675*設定!$C$4,0),ROUNDDOWN($E1675*ROUND((9*$Y1675-9*$E1675)/(10*$E1675),4),0))))</f>
        <v/>
      </c>
      <c r="AB1675" s="13" t="n"/>
      <c r="AC1675" s="15">
        <f>IF($B1675="","",IF($AB1675&lt;&gt;"",$AB1675,IF($AA1675="","",IF($AA1675&lt;=設定!$C$3,0,$AA1675))))</f>
        <v/>
      </c>
      <c r="AD1675" s="14">
        <f>IF($B1675="","",IF(AND($AE1675&lt;&gt;"",$AG1675="",$AJ1675=""),"保留中",IF($AJ1675&lt;&gt;"",IF(N($AC1675)&gt;0,"支給済","不支給"),IF($AC1675="","要確認",IF($AC1675=0,"不支給","未処理")))))</f>
        <v/>
      </c>
      <c r="AE1675" s="12" t="n"/>
      <c r="AF1675" s="11" t="n"/>
      <c r="AG1675" s="11" t="n"/>
      <c r="AH1675" s="11" t="n"/>
      <c r="AI1675" s="14">
        <f>IF(AND($AD1675="保留中",$AF1675&lt;&gt;""),TODAY()-$AF1675,"")</f>
        <v/>
      </c>
      <c r="AJ1675" s="12" t="n"/>
      <c r="AK1675" s="14">
        <f>IF($B1675="","",IF($AO1675="","対象年月が未入力／","")&amp;IF($B1675="","",IF($AN1675="","職員マスタに未登録の職員番号／",IF($Y1675="","標準報酬月額が未登録／","")&amp;IF(AND($AO1675&lt;&gt;"",OR(AND(INDEX(職員マスタ!$G$6:$G$405,$AN1675)&lt;&gt;"",INDEX(職員マスタ!$G$6:$G$405,$AN1675)&gt;EOMONTH($AO1675,0)),AND(INDEX(職員マスタ!$H$6:$H$405,$AN1675)&lt;&gt;"",INDEX(職員マスタ!$H$6:$H$405,$AN1675)&lt;$AO1675))),"対象月が時短期間外／","")&amp;IF(AND(INDEX(職員マスタ!$F$6:$F$405,$AN1675)&lt;&gt;"",$AO1675&lt;&gt;"",INDEX(職員マスタ!$F$6:$F$405,$AN1675)&lt;$AO1675),"対象月に子が2歳到達済／","")&amp;IF(AND($H1675&lt;&gt;"",INDEX(職員マスタ!$B$6:$B$405,$AN1675)&lt;&gt;"",SUBSTITUTE(SUBSTITUTE($H1675," ","")," ","")&lt;&gt;SUBSTITUTE(SUBSTITUTE(INDEX(職員マスタ!$B$6:$B$405,$AN1675)," ","")," ","")),"氏名がマスタと相違／","")&amp;IF(AND($Q1675&lt;&gt;"",INDEX(職員マスタ!$E$6:$E$405,$AN1675)&lt;&gt;"",$Q1675&lt;&gt;INDEX(職員マスタ!$E$6:$E$405,$AN1675)),"子の生年月日がマスタと相違／","")&amp;IF(AND($L1675&lt;&gt;"",INDEX(職員マスタ!$G$6:$G$405,$AN1675)&lt;&gt;"",$L1675&lt;&gt;INDEX(職員マスタ!$G$6:$G$405,$AN1675)),"時短開始日がマスタと相違／","")&amp;IF(AND($M1675&lt;&gt;"",INDEX(職員マスタ!$H$6:$H$405,$AN1675)&lt;&gt;"",$M1675&lt;&gt;INDEX(職員マスタ!$H$6:$H$405,$AN1675)),"時短終了日がマスタと相違／","")))&amp;IF(AND($B1675&lt;&gt;"",$E1675=""),"報酬額が未入力／","")&amp;IF(N($U1675)&gt;0,"申請書に入力エラーが残っています／","")&amp;IF(AND($B1675&lt;&gt;"",$AO1675&lt;&gt;""),IF(COUNTIFS($B$6:$B$3005,$B1675,$C$6:$C$3005,$C1675,$D$6:$D$3005,$D1675)&gt;1,"同じ月の請求が重複しています／",""),"")&amp;IF(AND(N($E1675)&gt;0,$Z1675&lt;&gt;"",$Z1675&lt;&gt;"×",$AC1675=0,$AB1675=""),"計算額が下限以下のため不支給／",""))</f>
        <v/>
      </c>
      <c r="AL1675" s="12" t="n"/>
      <c r="AM1675" s="14">
        <f>IF($AD1675="保留中",COUNTIF($AD$6:$AD1675,"保留中"),"")</f>
        <v/>
      </c>
      <c r="AN1675" s="14">
        <f>IF($AO1675="","",IF(SUMPRODUCT(MAX((職員マスタ!$A$6:$A$405=$B1675)*(((職員マスタ!$G$6:$G$405="")+(職員マスタ!$G$6:$G$405&lt;=EOMONTH($AO1675,0)))&gt;0)*(((職員マスタ!$H$6:$H$405="")+(職員マスタ!$H$6:$H$405&gt;=$AO1675))&gt;0)*(ROW(職員マスタ!$A$6:$A$405)-5)))&gt;0,SUMPRODUCT(MAX((職員マスタ!$A$6:$A$405=$B1675)*(((職員マスタ!$G$6:$G$405="")+(職員マスタ!$G$6:$G$405&lt;=EOMONTH($AO1675,0)))&gt;0)*(((職員マスタ!$H$6:$H$405="")+(職員マスタ!$H$6:$H$405&gt;=$AO1675))&gt;0)*(ROW(職員マスタ!$A$6:$A$405)-5))),IFERROR(MATCH($B1675,職員マスタ!$A$6:$A$405,0),"")))</f>
        <v/>
      </c>
      <c r="AO1675" s="16">
        <f>IF(OR($B1675="",$C1675="",$D1675=""),"",DATE($C1675+2018,$D1675,1))</f>
        <v/>
      </c>
    </row>
    <row r="1676">
      <c r="A1676" s="11" t="n"/>
      <c r="B1676" s="12" t="n"/>
      <c r="C1676" s="12" t="n"/>
      <c r="D1676" s="12" t="n"/>
      <c r="E1676" s="13" t="n"/>
      <c r="F1676" s="12" t="n"/>
      <c r="G1676" s="13" t="n"/>
      <c r="H1676" s="12" t="n"/>
      <c r="I1676" s="12" t="n"/>
      <c r="J1676" s="12" t="n"/>
      <c r="K1676" s="12" t="n"/>
      <c r="L1676" s="11" t="n"/>
      <c r="M1676" s="11" t="n"/>
      <c r="N1676" s="11" t="n"/>
      <c r="O1676" s="11" t="n"/>
      <c r="P1676" s="12" t="n"/>
      <c r="Q1676" s="11" t="n"/>
      <c r="R1676" s="12" t="n"/>
      <c r="S1676" s="11" t="n"/>
      <c r="T1676" s="12" t="n"/>
      <c r="U1676" s="12" t="n"/>
      <c r="V1676" s="14">
        <f>IF($AN1676="",IF($B1676="","",$H1676),IF(INDEX(職員マスタ!$B$6:$B$405,$AN1676)="",$H1676,INDEX(職員マスタ!$B$6:$B$405,$AN1676)))</f>
        <v/>
      </c>
      <c r="W1676" s="14">
        <f>IF($AN1676="",IF($B1676="","",$R1676),IF(INDEX(職員マスタ!$C$6:$C$405,$AN1676)="",$R1676,INDEX(職員マスタ!$C$6:$C$405,$AN1676)))</f>
        <v/>
      </c>
      <c r="X1676" s="14">
        <f>IF($AO1676="","","R"&amp;$C1676&amp;"."&amp;$D1676)</f>
        <v/>
      </c>
      <c r="Y1676" s="15">
        <f>IF($AN1676="","",IF(INDEX(職員マスタ!$K$6:$K$405,$AN1676)="","",INDEX(職員マスタ!$K$6:$K$405,$AN1676)))</f>
        <v/>
      </c>
      <c r="Z1676" s="14">
        <f>IF(OR($E1676="",$Y1676=""),"",IF($E1676&gt;=$Y1676,"×",IF($E1676&gt;=$Y1676*設定!$C$5,"△","○")))</f>
        <v/>
      </c>
      <c r="AA1676" s="15">
        <f>IF($Z1676="","",IF($Z1676="×",0,IF($Z1676="○",ROUNDDOWN($E1676*設定!$C$4,0),ROUNDDOWN($E1676*ROUND((9*$Y1676-9*$E1676)/(10*$E1676),4),0))))</f>
        <v/>
      </c>
      <c r="AB1676" s="13" t="n"/>
      <c r="AC1676" s="15">
        <f>IF($B1676="","",IF($AB1676&lt;&gt;"",$AB1676,IF($AA1676="","",IF($AA1676&lt;=設定!$C$3,0,$AA1676))))</f>
        <v/>
      </c>
      <c r="AD1676" s="14">
        <f>IF($B1676="","",IF(AND($AE1676&lt;&gt;"",$AG1676="",$AJ1676=""),"保留中",IF($AJ1676&lt;&gt;"",IF(N($AC1676)&gt;0,"支給済","不支給"),IF($AC1676="","要確認",IF($AC1676=0,"不支給","未処理")))))</f>
        <v/>
      </c>
      <c r="AE1676" s="12" t="n"/>
      <c r="AF1676" s="11" t="n"/>
      <c r="AG1676" s="11" t="n"/>
      <c r="AH1676" s="11" t="n"/>
      <c r="AI1676" s="14">
        <f>IF(AND($AD1676="保留中",$AF1676&lt;&gt;""),TODAY()-$AF1676,"")</f>
        <v/>
      </c>
      <c r="AJ1676" s="12" t="n"/>
      <c r="AK1676" s="14">
        <f>IF($B1676="","",IF($AO1676="","対象年月が未入力／","")&amp;IF($B1676="","",IF($AN1676="","職員マスタに未登録の職員番号／",IF($Y1676="","標準報酬月額が未登録／","")&amp;IF(AND($AO1676&lt;&gt;"",OR(AND(INDEX(職員マスタ!$G$6:$G$405,$AN1676)&lt;&gt;"",INDEX(職員マスタ!$G$6:$G$405,$AN1676)&gt;EOMONTH($AO1676,0)),AND(INDEX(職員マスタ!$H$6:$H$405,$AN1676)&lt;&gt;"",INDEX(職員マスタ!$H$6:$H$405,$AN1676)&lt;$AO1676))),"対象月が時短期間外／","")&amp;IF(AND(INDEX(職員マスタ!$F$6:$F$405,$AN1676)&lt;&gt;"",$AO1676&lt;&gt;"",INDEX(職員マスタ!$F$6:$F$405,$AN1676)&lt;$AO1676),"対象月に子が2歳到達済／","")&amp;IF(AND($H1676&lt;&gt;"",INDEX(職員マスタ!$B$6:$B$405,$AN1676)&lt;&gt;"",SUBSTITUTE(SUBSTITUTE($H1676," ","")," ","")&lt;&gt;SUBSTITUTE(SUBSTITUTE(INDEX(職員マスタ!$B$6:$B$405,$AN1676)," ","")," ","")),"氏名がマスタと相違／","")&amp;IF(AND($Q1676&lt;&gt;"",INDEX(職員マスタ!$E$6:$E$405,$AN1676)&lt;&gt;"",$Q1676&lt;&gt;INDEX(職員マスタ!$E$6:$E$405,$AN1676)),"子の生年月日がマスタと相違／","")&amp;IF(AND($L1676&lt;&gt;"",INDEX(職員マスタ!$G$6:$G$405,$AN1676)&lt;&gt;"",$L1676&lt;&gt;INDEX(職員マスタ!$G$6:$G$405,$AN1676)),"時短開始日がマスタと相違／","")&amp;IF(AND($M1676&lt;&gt;"",INDEX(職員マスタ!$H$6:$H$405,$AN1676)&lt;&gt;"",$M1676&lt;&gt;INDEX(職員マスタ!$H$6:$H$405,$AN1676)),"時短終了日がマスタと相違／","")))&amp;IF(AND($B1676&lt;&gt;"",$E1676=""),"報酬額が未入力／","")&amp;IF(N($U1676)&gt;0,"申請書に入力エラーが残っています／","")&amp;IF(AND($B1676&lt;&gt;"",$AO1676&lt;&gt;""),IF(COUNTIFS($B$6:$B$3005,$B1676,$C$6:$C$3005,$C1676,$D$6:$D$3005,$D1676)&gt;1,"同じ月の請求が重複しています／",""),"")&amp;IF(AND(N($E1676)&gt;0,$Z1676&lt;&gt;"",$Z1676&lt;&gt;"×",$AC1676=0,$AB1676=""),"計算額が下限以下のため不支給／",""))</f>
        <v/>
      </c>
      <c r="AL1676" s="12" t="n"/>
      <c r="AM1676" s="14">
        <f>IF($AD1676="保留中",COUNTIF($AD$6:$AD1676,"保留中"),"")</f>
        <v/>
      </c>
      <c r="AN1676" s="14">
        <f>IF($AO1676="","",IF(SUMPRODUCT(MAX((職員マスタ!$A$6:$A$405=$B1676)*(((職員マスタ!$G$6:$G$405="")+(職員マスタ!$G$6:$G$405&lt;=EOMONTH($AO1676,0)))&gt;0)*(((職員マスタ!$H$6:$H$405="")+(職員マスタ!$H$6:$H$405&gt;=$AO1676))&gt;0)*(ROW(職員マスタ!$A$6:$A$405)-5)))&gt;0,SUMPRODUCT(MAX((職員マスタ!$A$6:$A$405=$B1676)*(((職員マスタ!$G$6:$G$405="")+(職員マスタ!$G$6:$G$405&lt;=EOMONTH($AO1676,0)))&gt;0)*(((職員マスタ!$H$6:$H$405="")+(職員マスタ!$H$6:$H$405&gt;=$AO1676))&gt;0)*(ROW(職員マスタ!$A$6:$A$405)-5))),IFERROR(MATCH($B1676,職員マスタ!$A$6:$A$405,0),"")))</f>
        <v/>
      </c>
      <c r="AO1676" s="16">
        <f>IF(OR($B1676="",$C1676="",$D1676=""),"",DATE($C1676+2018,$D1676,1))</f>
        <v/>
      </c>
    </row>
    <row r="1677">
      <c r="A1677" s="11" t="n"/>
      <c r="B1677" s="12" t="n"/>
      <c r="C1677" s="12" t="n"/>
      <c r="D1677" s="12" t="n"/>
      <c r="E1677" s="13" t="n"/>
      <c r="F1677" s="12" t="n"/>
      <c r="G1677" s="13" t="n"/>
      <c r="H1677" s="12" t="n"/>
      <c r="I1677" s="12" t="n"/>
      <c r="J1677" s="12" t="n"/>
      <c r="K1677" s="12" t="n"/>
      <c r="L1677" s="11" t="n"/>
      <c r="M1677" s="11" t="n"/>
      <c r="N1677" s="11" t="n"/>
      <c r="O1677" s="11" t="n"/>
      <c r="P1677" s="12" t="n"/>
      <c r="Q1677" s="11" t="n"/>
      <c r="R1677" s="12" t="n"/>
      <c r="S1677" s="11" t="n"/>
      <c r="T1677" s="12" t="n"/>
      <c r="U1677" s="12" t="n"/>
      <c r="V1677" s="14">
        <f>IF($AN1677="",IF($B1677="","",$H1677),IF(INDEX(職員マスタ!$B$6:$B$405,$AN1677)="",$H1677,INDEX(職員マスタ!$B$6:$B$405,$AN1677)))</f>
        <v/>
      </c>
      <c r="W1677" s="14">
        <f>IF($AN1677="",IF($B1677="","",$R1677),IF(INDEX(職員マスタ!$C$6:$C$405,$AN1677)="",$R1677,INDEX(職員マスタ!$C$6:$C$405,$AN1677)))</f>
        <v/>
      </c>
      <c r="X1677" s="14">
        <f>IF($AO1677="","","R"&amp;$C1677&amp;"."&amp;$D1677)</f>
        <v/>
      </c>
      <c r="Y1677" s="15">
        <f>IF($AN1677="","",IF(INDEX(職員マスタ!$K$6:$K$405,$AN1677)="","",INDEX(職員マスタ!$K$6:$K$405,$AN1677)))</f>
        <v/>
      </c>
      <c r="Z1677" s="14">
        <f>IF(OR($E1677="",$Y1677=""),"",IF($E1677&gt;=$Y1677,"×",IF($E1677&gt;=$Y1677*設定!$C$5,"△","○")))</f>
        <v/>
      </c>
      <c r="AA1677" s="15">
        <f>IF($Z1677="","",IF($Z1677="×",0,IF($Z1677="○",ROUNDDOWN($E1677*設定!$C$4,0),ROUNDDOWN($E1677*ROUND((9*$Y1677-9*$E1677)/(10*$E1677),4),0))))</f>
        <v/>
      </c>
      <c r="AB1677" s="13" t="n"/>
      <c r="AC1677" s="15">
        <f>IF($B1677="","",IF($AB1677&lt;&gt;"",$AB1677,IF($AA1677="","",IF($AA1677&lt;=設定!$C$3,0,$AA1677))))</f>
        <v/>
      </c>
      <c r="AD1677" s="14">
        <f>IF($B1677="","",IF(AND($AE1677&lt;&gt;"",$AG1677="",$AJ1677=""),"保留中",IF($AJ1677&lt;&gt;"",IF(N($AC1677)&gt;0,"支給済","不支給"),IF($AC1677="","要確認",IF($AC1677=0,"不支給","未処理")))))</f>
        <v/>
      </c>
      <c r="AE1677" s="12" t="n"/>
      <c r="AF1677" s="11" t="n"/>
      <c r="AG1677" s="11" t="n"/>
      <c r="AH1677" s="11" t="n"/>
      <c r="AI1677" s="14">
        <f>IF(AND($AD1677="保留中",$AF1677&lt;&gt;""),TODAY()-$AF1677,"")</f>
        <v/>
      </c>
      <c r="AJ1677" s="12" t="n"/>
      <c r="AK1677" s="14">
        <f>IF($B1677="","",IF($AO1677="","対象年月が未入力／","")&amp;IF($B1677="","",IF($AN1677="","職員マスタに未登録の職員番号／",IF($Y1677="","標準報酬月額が未登録／","")&amp;IF(AND($AO1677&lt;&gt;"",OR(AND(INDEX(職員マスタ!$G$6:$G$405,$AN1677)&lt;&gt;"",INDEX(職員マスタ!$G$6:$G$405,$AN1677)&gt;EOMONTH($AO1677,0)),AND(INDEX(職員マスタ!$H$6:$H$405,$AN1677)&lt;&gt;"",INDEX(職員マスタ!$H$6:$H$405,$AN1677)&lt;$AO1677))),"対象月が時短期間外／","")&amp;IF(AND(INDEX(職員マスタ!$F$6:$F$405,$AN1677)&lt;&gt;"",$AO1677&lt;&gt;"",INDEX(職員マスタ!$F$6:$F$405,$AN1677)&lt;$AO1677),"対象月に子が2歳到達済／","")&amp;IF(AND($H1677&lt;&gt;"",INDEX(職員マスタ!$B$6:$B$405,$AN1677)&lt;&gt;"",SUBSTITUTE(SUBSTITUTE($H1677," ","")," ","")&lt;&gt;SUBSTITUTE(SUBSTITUTE(INDEX(職員マスタ!$B$6:$B$405,$AN1677)," ","")," ","")),"氏名がマスタと相違／","")&amp;IF(AND($Q1677&lt;&gt;"",INDEX(職員マスタ!$E$6:$E$405,$AN1677)&lt;&gt;"",$Q1677&lt;&gt;INDEX(職員マスタ!$E$6:$E$405,$AN1677)),"子の生年月日がマスタと相違／","")&amp;IF(AND($L1677&lt;&gt;"",INDEX(職員マスタ!$G$6:$G$405,$AN1677)&lt;&gt;"",$L1677&lt;&gt;INDEX(職員マスタ!$G$6:$G$405,$AN1677)),"時短開始日がマスタと相違／","")&amp;IF(AND($M1677&lt;&gt;"",INDEX(職員マスタ!$H$6:$H$405,$AN1677)&lt;&gt;"",$M1677&lt;&gt;INDEX(職員マスタ!$H$6:$H$405,$AN1677)),"時短終了日がマスタと相違／","")))&amp;IF(AND($B1677&lt;&gt;"",$E1677=""),"報酬額が未入力／","")&amp;IF(N($U1677)&gt;0,"申請書に入力エラーが残っています／","")&amp;IF(AND($B1677&lt;&gt;"",$AO1677&lt;&gt;""),IF(COUNTIFS($B$6:$B$3005,$B1677,$C$6:$C$3005,$C1677,$D$6:$D$3005,$D1677)&gt;1,"同じ月の請求が重複しています／",""),"")&amp;IF(AND(N($E1677)&gt;0,$Z1677&lt;&gt;"",$Z1677&lt;&gt;"×",$AC1677=0,$AB1677=""),"計算額が下限以下のため不支給／",""))</f>
        <v/>
      </c>
      <c r="AL1677" s="12" t="n"/>
      <c r="AM1677" s="14">
        <f>IF($AD1677="保留中",COUNTIF($AD$6:$AD1677,"保留中"),"")</f>
        <v/>
      </c>
      <c r="AN1677" s="14">
        <f>IF($AO1677="","",IF(SUMPRODUCT(MAX((職員マスタ!$A$6:$A$405=$B1677)*(((職員マスタ!$G$6:$G$405="")+(職員マスタ!$G$6:$G$405&lt;=EOMONTH($AO1677,0)))&gt;0)*(((職員マスタ!$H$6:$H$405="")+(職員マスタ!$H$6:$H$405&gt;=$AO1677))&gt;0)*(ROW(職員マスタ!$A$6:$A$405)-5)))&gt;0,SUMPRODUCT(MAX((職員マスタ!$A$6:$A$405=$B1677)*(((職員マスタ!$G$6:$G$405="")+(職員マスタ!$G$6:$G$405&lt;=EOMONTH($AO1677,0)))&gt;0)*(((職員マスタ!$H$6:$H$405="")+(職員マスタ!$H$6:$H$405&gt;=$AO1677))&gt;0)*(ROW(職員マスタ!$A$6:$A$405)-5))),IFERROR(MATCH($B1677,職員マスタ!$A$6:$A$405,0),"")))</f>
        <v/>
      </c>
      <c r="AO1677" s="16">
        <f>IF(OR($B1677="",$C1677="",$D1677=""),"",DATE($C1677+2018,$D1677,1))</f>
        <v/>
      </c>
    </row>
    <row r="1678">
      <c r="A1678" s="11" t="n"/>
      <c r="B1678" s="12" t="n"/>
      <c r="C1678" s="12" t="n"/>
      <c r="D1678" s="12" t="n"/>
      <c r="E1678" s="13" t="n"/>
      <c r="F1678" s="12" t="n"/>
      <c r="G1678" s="13" t="n"/>
      <c r="H1678" s="12" t="n"/>
      <c r="I1678" s="12" t="n"/>
      <c r="J1678" s="12" t="n"/>
      <c r="K1678" s="12" t="n"/>
      <c r="L1678" s="11" t="n"/>
      <c r="M1678" s="11" t="n"/>
      <c r="N1678" s="11" t="n"/>
      <c r="O1678" s="11" t="n"/>
      <c r="P1678" s="12" t="n"/>
      <c r="Q1678" s="11" t="n"/>
      <c r="R1678" s="12" t="n"/>
      <c r="S1678" s="11" t="n"/>
      <c r="T1678" s="12" t="n"/>
      <c r="U1678" s="12" t="n"/>
      <c r="V1678" s="14">
        <f>IF($AN1678="",IF($B1678="","",$H1678),IF(INDEX(職員マスタ!$B$6:$B$405,$AN1678)="",$H1678,INDEX(職員マスタ!$B$6:$B$405,$AN1678)))</f>
        <v/>
      </c>
      <c r="W1678" s="14">
        <f>IF($AN1678="",IF($B1678="","",$R1678),IF(INDEX(職員マスタ!$C$6:$C$405,$AN1678)="",$R1678,INDEX(職員マスタ!$C$6:$C$405,$AN1678)))</f>
        <v/>
      </c>
      <c r="X1678" s="14">
        <f>IF($AO1678="","","R"&amp;$C1678&amp;"."&amp;$D1678)</f>
        <v/>
      </c>
      <c r="Y1678" s="15">
        <f>IF($AN1678="","",IF(INDEX(職員マスタ!$K$6:$K$405,$AN1678)="","",INDEX(職員マスタ!$K$6:$K$405,$AN1678)))</f>
        <v/>
      </c>
      <c r="Z1678" s="14">
        <f>IF(OR($E1678="",$Y1678=""),"",IF($E1678&gt;=$Y1678,"×",IF($E1678&gt;=$Y1678*設定!$C$5,"△","○")))</f>
        <v/>
      </c>
      <c r="AA1678" s="15">
        <f>IF($Z1678="","",IF($Z1678="×",0,IF($Z1678="○",ROUNDDOWN($E1678*設定!$C$4,0),ROUNDDOWN($E1678*ROUND((9*$Y1678-9*$E1678)/(10*$E1678),4),0))))</f>
        <v/>
      </c>
      <c r="AB1678" s="13" t="n"/>
      <c r="AC1678" s="15">
        <f>IF($B1678="","",IF($AB1678&lt;&gt;"",$AB1678,IF($AA1678="","",IF($AA1678&lt;=設定!$C$3,0,$AA1678))))</f>
        <v/>
      </c>
      <c r="AD1678" s="14">
        <f>IF($B1678="","",IF(AND($AE1678&lt;&gt;"",$AG1678="",$AJ1678=""),"保留中",IF($AJ1678&lt;&gt;"",IF(N($AC1678)&gt;0,"支給済","不支給"),IF($AC1678="","要確認",IF($AC1678=0,"不支給","未処理")))))</f>
        <v/>
      </c>
      <c r="AE1678" s="12" t="n"/>
      <c r="AF1678" s="11" t="n"/>
      <c r="AG1678" s="11" t="n"/>
      <c r="AH1678" s="11" t="n"/>
      <c r="AI1678" s="14">
        <f>IF(AND($AD1678="保留中",$AF1678&lt;&gt;""),TODAY()-$AF1678,"")</f>
        <v/>
      </c>
      <c r="AJ1678" s="12" t="n"/>
      <c r="AK1678" s="14">
        <f>IF($B1678="","",IF($AO1678="","対象年月が未入力／","")&amp;IF($B1678="","",IF($AN1678="","職員マスタに未登録の職員番号／",IF($Y1678="","標準報酬月額が未登録／","")&amp;IF(AND($AO1678&lt;&gt;"",OR(AND(INDEX(職員マスタ!$G$6:$G$405,$AN1678)&lt;&gt;"",INDEX(職員マスタ!$G$6:$G$405,$AN1678)&gt;EOMONTH($AO1678,0)),AND(INDEX(職員マスタ!$H$6:$H$405,$AN1678)&lt;&gt;"",INDEX(職員マスタ!$H$6:$H$405,$AN1678)&lt;$AO1678))),"対象月が時短期間外／","")&amp;IF(AND(INDEX(職員マスタ!$F$6:$F$405,$AN1678)&lt;&gt;"",$AO1678&lt;&gt;"",INDEX(職員マスタ!$F$6:$F$405,$AN1678)&lt;$AO1678),"対象月に子が2歳到達済／","")&amp;IF(AND($H1678&lt;&gt;"",INDEX(職員マスタ!$B$6:$B$405,$AN1678)&lt;&gt;"",SUBSTITUTE(SUBSTITUTE($H1678," ","")," ","")&lt;&gt;SUBSTITUTE(SUBSTITUTE(INDEX(職員マスタ!$B$6:$B$405,$AN1678)," ","")," ","")),"氏名がマスタと相違／","")&amp;IF(AND($Q1678&lt;&gt;"",INDEX(職員マスタ!$E$6:$E$405,$AN1678)&lt;&gt;"",$Q1678&lt;&gt;INDEX(職員マスタ!$E$6:$E$405,$AN1678)),"子の生年月日がマスタと相違／","")&amp;IF(AND($L1678&lt;&gt;"",INDEX(職員マスタ!$G$6:$G$405,$AN1678)&lt;&gt;"",$L1678&lt;&gt;INDEX(職員マスタ!$G$6:$G$405,$AN1678)),"時短開始日がマスタと相違／","")&amp;IF(AND($M1678&lt;&gt;"",INDEX(職員マスタ!$H$6:$H$405,$AN1678)&lt;&gt;"",$M1678&lt;&gt;INDEX(職員マスタ!$H$6:$H$405,$AN1678)),"時短終了日がマスタと相違／","")))&amp;IF(AND($B1678&lt;&gt;"",$E1678=""),"報酬額が未入力／","")&amp;IF(N($U1678)&gt;0,"申請書に入力エラーが残っています／","")&amp;IF(AND($B1678&lt;&gt;"",$AO1678&lt;&gt;""),IF(COUNTIFS($B$6:$B$3005,$B1678,$C$6:$C$3005,$C1678,$D$6:$D$3005,$D1678)&gt;1,"同じ月の請求が重複しています／",""),"")&amp;IF(AND(N($E1678)&gt;0,$Z1678&lt;&gt;"",$Z1678&lt;&gt;"×",$AC1678=0,$AB1678=""),"計算額が下限以下のため不支給／",""))</f>
        <v/>
      </c>
      <c r="AL1678" s="12" t="n"/>
      <c r="AM1678" s="14">
        <f>IF($AD1678="保留中",COUNTIF($AD$6:$AD1678,"保留中"),"")</f>
        <v/>
      </c>
      <c r="AN1678" s="14">
        <f>IF($AO1678="","",IF(SUMPRODUCT(MAX((職員マスタ!$A$6:$A$405=$B1678)*(((職員マスタ!$G$6:$G$405="")+(職員マスタ!$G$6:$G$405&lt;=EOMONTH($AO1678,0)))&gt;0)*(((職員マスタ!$H$6:$H$405="")+(職員マスタ!$H$6:$H$405&gt;=$AO1678))&gt;0)*(ROW(職員マスタ!$A$6:$A$405)-5)))&gt;0,SUMPRODUCT(MAX((職員マスタ!$A$6:$A$405=$B1678)*(((職員マスタ!$G$6:$G$405="")+(職員マスタ!$G$6:$G$405&lt;=EOMONTH($AO1678,0)))&gt;0)*(((職員マスタ!$H$6:$H$405="")+(職員マスタ!$H$6:$H$405&gt;=$AO1678))&gt;0)*(ROW(職員マスタ!$A$6:$A$405)-5))),IFERROR(MATCH($B1678,職員マスタ!$A$6:$A$405,0),"")))</f>
        <v/>
      </c>
      <c r="AO1678" s="16">
        <f>IF(OR($B1678="",$C1678="",$D1678=""),"",DATE($C1678+2018,$D1678,1))</f>
        <v/>
      </c>
    </row>
    <row r="1679">
      <c r="A1679" s="11" t="n"/>
      <c r="B1679" s="12" t="n"/>
      <c r="C1679" s="12" t="n"/>
      <c r="D1679" s="12" t="n"/>
      <c r="E1679" s="13" t="n"/>
      <c r="F1679" s="12" t="n"/>
      <c r="G1679" s="13" t="n"/>
      <c r="H1679" s="12" t="n"/>
      <c r="I1679" s="12" t="n"/>
      <c r="J1679" s="12" t="n"/>
      <c r="K1679" s="12" t="n"/>
      <c r="L1679" s="11" t="n"/>
      <c r="M1679" s="11" t="n"/>
      <c r="N1679" s="11" t="n"/>
      <c r="O1679" s="11" t="n"/>
      <c r="P1679" s="12" t="n"/>
      <c r="Q1679" s="11" t="n"/>
      <c r="R1679" s="12" t="n"/>
      <c r="S1679" s="11" t="n"/>
      <c r="T1679" s="12" t="n"/>
      <c r="U1679" s="12" t="n"/>
      <c r="V1679" s="14">
        <f>IF($AN1679="",IF($B1679="","",$H1679),IF(INDEX(職員マスタ!$B$6:$B$405,$AN1679)="",$H1679,INDEX(職員マスタ!$B$6:$B$405,$AN1679)))</f>
        <v/>
      </c>
      <c r="W1679" s="14">
        <f>IF($AN1679="",IF($B1679="","",$R1679),IF(INDEX(職員マスタ!$C$6:$C$405,$AN1679)="",$R1679,INDEX(職員マスタ!$C$6:$C$405,$AN1679)))</f>
        <v/>
      </c>
      <c r="X1679" s="14">
        <f>IF($AO1679="","","R"&amp;$C1679&amp;"."&amp;$D1679)</f>
        <v/>
      </c>
      <c r="Y1679" s="15">
        <f>IF($AN1679="","",IF(INDEX(職員マスタ!$K$6:$K$405,$AN1679)="","",INDEX(職員マスタ!$K$6:$K$405,$AN1679)))</f>
        <v/>
      </c>
      <c r="Z1679" s="14">
        <f>IF(OR($E1679="",$Y1679=""),"",IF($E1679&gt;=$Y1679,"×",IF($E1679&gt;=$Y1679*設定!$C$5,"△","○")))</f>
        <v/>
      </c>
      <c r="AA1679" s="15">
        <f>IF($Z1679="","",IF($Z1679="×",0,IF($Z1679="○",ROUNDDOWN($E1679*設定!$C$4,0),ROUNDDOWN($E1679*ROUND((9*$Y1679-9*$E1679)/(10*$E1679),4),0))))</f>
        <v/>
      </c>
      <c r="AB1679" s="13" t="n"/>
      <c r="AC1679" s="15">
        <f>IF($B1679="","",IF($AB1679&lt;&gt;"",$AB1679,IF($AA1679="","",IF($AA1679&lt;=設定!$C$3,0,$AA1679))))</f>
        <v/>
      </c>
      <c r="AD1679" s="14">
        <f>IF($B1679="","",IF(AND($AE1679&lt;&gt;"",$AG1679="",$AJ1679=""),"保留中",IF($AJ1679&lt;&gt;"",IF(N($AC1679)&gt;0,"支給済","不支給"),IF($AC1679="","要確認",IF($AC1679=0,"不支給","未処理")))))</f>
        <v/>
      </c>
      <c r="AE1679" s="12" t="n"/>
      <c r="AF1679" s="11" t="n"/>
      <c r="AG1679" s="11" t="n"/>
      <c r="AH1679" s="11" t="n"/>
      <c r="AI1679" s="14">
        <f>IF(AND($AD1679="保留中",$AF1679&lt;&gt;""),TODAY()-$AF1679,"")</f>
        <v/>
      </c>
      <c r="AJ1679" s="12" t="n"/>
      <c r="AK1679" s="14">
        <f>IF($B1679="","",IF($AO1679="","対象年月が未入力／","")&amp;IF($B1679="","",IF($AN1679="","職員マスタに未登録の職員番号／",IF($Y1679="","標準報酬月額が未登録／","")&amp;IF(AND($AO1679&lt;&gt;"",OR(AND(INDEX(職員マスタ!$G$6:$G$405,$AN1679)&lt;&gt;"",INDEX(職員マスタ!$G$6:$G$405,$AN1679)&gt;EOMONTH($AO1679,0)),AND(INDEX(職員マスタ!$H$6:$H$405,$AN1679)&lt;&gt;"",INDEX(職員マスタ!$H$6:$H$405,$AN1679)&lt;$AO1679))),"対象月が時短期間外／","")&amp;IF(AND(INDEX(職員マスタ!$F$6:$F$405,$AN1679)&lt;&gt;"",$AO1679&lt;&gt;"",INDEX(職員マスタ!$F$6:$F$405,$AN1679)&lt;$AO1679),"対象月に子が2歳到達済／","")&amp;IF(AND($H1679&lt;&gt;"",INDEX(職員マスタ!$B$6:$B$405,$AN1679)&lt;&gt;"",SUBSTITUTE(SUBSTITUTE($H1679," ","")," ","")&lt;&gt;SUBSTITUTE(SUBSTITUTE(INDEX(職員マスタ!$B$6:$B$405,$AN1679)," ","")," ","")),"氏名がマスタと相違／","")&amp;IF(AND($Q1679&lt;&gt;"",INDEX(職員マスタ!$E$6:$E$405,$AN1679)&lt;&gt;"",$Q1679&lt;&gt;INDEX(職員マスタ!$E$6:$E$405,$AN1679)),"子の生年月日がマスタと相違／","")&amp;IF(AND($L1679&lt;&gt;"",INDEX(職員マスタ!$G$6:$G$405,$AN1679)&lt;&gt;"",$L1679&lt;&gt;INDEX(職員マスタ!$G$6:$G$405,$AN1679)),"時短開始日がマスタと相違／","")&amp;IF(AND($M1679&lt;&gt;"",INDEX(職員マスタ!$H$6:$H$405,$AN1679)&lt;&gt;"",$M1679&lt;&gt;INDEX(職員マスタ!$H$6:$H$405,$AN1679)),"時短終了日がマスタと相違／","")))&amp;IF(AND($B1679&lt;&gt;"",$E1679=""),"報酬額が未入力／","")&amp;IF(N($U1679)&gt;0,"申請書に入力エラーが残っています／","")&amp;IF(AND($B1679&lt;&gt;"",$AO1679&lt;&gt;""),IF(COUNTIFS($B$6:$B$3005,$B1679,$C$6:$C$3005,$C1679,$D$6:$D$3005,$D1679)&gt;1,"同じ月の請求が重複しています／",""),"")&amp;IF(AND(N($E1679)&gt;0,$Z1679&lt;&gt;"",$Z1679&lt;&gt;"×",$AC1679=0,$AB1679=""),"計算額が下限以下のため不支給／",""))</f>
        <v/>
      </c>
      <c r="AL1679" s="12" t="n"/>
      <c r="AM1679" s="14">
        <f>IF($AD1679="保留中",COUNTIF($AD$6:$AD1679,"保留中"),"")</f>
        <v/>
      </c>
      <c r="AN1679" s="14">
        <f>IF($AO1679="","",IF(SUMPRODUCT(MAX((職員マスタ!$A$6:$A$405=$B1679)*(((職員マスタ!$G$6:$G$405="")+(職員マスタ!$G$6:$G$405&lt;=EOMONTH($AO1679,0)))&gt;0)*(((職員マスタ!$H$6:$H$405="")+(職員マスタ!$H$6:$H$405&gt;=$AO1679))&gt;0)*(ROW(職員マスタ!$A$6:$A$405)-5)))&gt;0,SUMPRODUCT(MAX((職員マスタ!$A$6:$A$405=$B1679)*(((職員マスタ!$G$6:$G$405="")+(職員マスタ!$G$6:$G$405&lt;=EOMONTH($AO1679,0)))&gt;0)*(((職員マスタ!$H$6:$H$405="")+(職員マスタ!$H$6:$H$405&gt;=$AO1679))&gt;0)*(ROW(職員マスタ!$A$6:$A$405)-5))),IFERROR(MATCH($B1679,職員マスタ!$A$6:$A$405,0),"")))</f>
        <v/>
      </c>
      <c r="AO1679" s="16">
        <f>IF(OR($B1679="",$C1679="",$D1679=""),"",DATE($C1679+2018,$D1679,1))</f>
        <v/>
      </c>
    </row>
    <row r="1680">
      <c r="A1680" s="11" t="n"/>
      <c r="B1680" s="12" t="n"/>
      <c r="C1680" s="12" t="n"/>
      <c r="D1680" s="12" t="n"/>
      <c r="E1680" s="13" t="n"/>
      <c r="F1680" s="12" t="n"/>
      <c r="G1680" s="13" t="n"/>
      <c r="H1680" s="12" t="n"/>
      <c r="I1680" s="12" t="n"/>
      <c r="J1680" s="12" t="n"/>
      <c r="K1680" s="12" t="n"/>
      <c r="L1680" s="11" t="n"/>
      <c r="M1680" s="11" t="n"/>
      <c r="N1680" s="11" t="n"/>
      <c r="O1680" s="11" t="n"/>
      <c r="P1680" s="12" t="n"/>
      <c r="Q1680" s="11" t="n"/>
      <c r="R1680" s="12" t="n"/>
      <c r="S1680" s="11" t="n"/>
      <c r="T1680" s="12" t="n"/>
      <c r="U1680" s="12" t="n"/>
      <c r="V1680" s="14">
        <f>IF($AN1680="",IF($B1680="","",$H1680),IF(INDEX(職員マスタ!$B$6:$B$405,$AN1680)="",$H1680,INDEX(職員マスタ!$B$6:$B$405,$AN1680)))</f>
        <v/>
      </c>
      <c r="W1680" s="14">
        <f>IF($AN1680="",IF($B1680="","",$R1680),IF(INDEX(職員マスタ!$C$6:$C$405,$AN1680)="",$R1680,INDEX(職員マスタ!$C$6:$C$405,$AN1680)))</f>
        <v/>
      </c>
      <c r="X1680" s="14">
        <f>IF($AO1680="","","R"&amp;$C1680&amp;"."&amp;$D1680)</f>
        <v/>
      </c>
      <c r="Y1680" s="15">
        <f>IF($AN1680="","",IF(INDEX(職員マスタ!$K$6:$K$405,$AN1680)="","",INDEX(職員マスタ!$K$6:$K$405,$AN1680)))</f>
        <v/>
      </c>
      <c r="Z1680" s="14">
        <f>IF(OR($E1680="",$Y1680=""),"",IF($E1680&gt;=$Y1680,"×",IF($E1680&gt;=$Y1680*設定!$C$5,"△","○")))</f>
        <v/>
      </c>
      <c r="AA1680" s="15">
        <f>IF($Z1680="","",IF($Z1680="×",0,IF($Z1680="○",ROUNDDOWN($E1680*設定!$C$4,0),ROUNDDOWN($E1680*ROUND((9*$Y1680-9*$E1680)/(10*$E1680),4),0))))</f>
        <v/>
      </c>
      <c r="AB1680" s="13" t="n"/>
      <c r="AC1680" s="15">
        <f>IF($B1680="","",IF($AB1680&lt;&gt;"",$AB1680,IF($AA1680="","",IF($AA1680&lt;=設定!$C$3,0,$AA1680))))</f>
        <v/>
      </c>
      <c r="AD1680" s="14">
        <f>IF($B1680="","",IF(AND($AE1680&lt;&gt;"",$AG1680="",$AJ1680=""),"保留中",IF($AJ1680&lt;&gt;"",IF(N($AC1680)&gt;0,"支給済","不支給"),IF($AC1680="","要確認",IF($AC1680=0,"不支給","未処理")))))</f>
        <v/>
      </c>
      <c r="AE1680" s="12" t="n"/>
      <c r="AF1680" s="11" t="n"/>
      <c r="AG1680" s="11" t="n"/>
      <c r="AH1680" s="11" t="n"/>
      <c r="AI1680" s="14">
        <f>IF(AND($AD1680="保留中",$AF1680&lt;&gt;""),TODAY()-$AF1680,"")</f>
        <v/>
      </c>
      <c r="AJ1680" s="12" t="n"/>
      <c r="AK1680" s="14">
        <f>IF($B1680="","",IF($AO1680="","対象年月が未入力／","")&amp;IF($B1680="","",IF($AN1680="","職員マスタに未登録の職員番号／",IF($Y1680="","標準報酬月額が未登録／","")&amp;IF(AND($AO1680&lt;&gt;"",OR(AND(INDEX(職員マスタ!$G$6:$G$405,$AN1680)&lt;&gt;"",INDEX(職員マスタ!$G$6:$G$405,$AN1680)&gt;EOMONTH($AO1680,0)),AND(INDEX(職員マスタ!$H$6:$H$405,$AN1680)&lt;&gt;"",INDEX(職員マスタ!$H$6:$H$405,$AN1680)&lt;$AO1680))),"対象月が時短期間外／","")&amp;IF(AND(INDEX(職員マスタ!$F$6:$F$405,$AN1680)&lt;&gt;"",$AO1680&lt;&gt;"",INDEX(職員マスタ!$F$6:$F$405,$AN1680)&lt;$AO1680),"対象月に子が2歳到達済／","")&amp;IF(AND($H1680&lt;&gt;"",INDEX(職員マスタ!$B$6:$B$405,$AN1680)&lt;&gt;"",SUBSTITUTE(SUBSTITUTE($H1680," ","")," ","")&lt;&gt;SUBSTITUTE(SUBSTITUTE(INDEX(職員マスタ!$B$6:$B$405,$AN1680)," ","")," ","")),"氏名がマスタと相違／","")&amp;IF(AND($Q1680&lt;&gt;"",INDEX(職員マスタ!$E$6:$E$405,$AN1680)&lt;&gt;"",$Q1680&lt;&gt;INDEX(職員マスタ!$E$6:$E$405,$AN1680)),"子の生年月日がマスタと相違／","")&amp;IF(AND($L1680&lt;&gt;"",INDEX(職員マスタ!$G$6:$G$405,$AN1680)&lt;&gt;"",$L1680&lt;&gt;INDEX(職員マスタ!$G$6:$G$405,$AN1680)),"時短開始日がマスタと相違／","")&amp;IF(AND($M1680&lt;&gt;"",INDEX(職員マスタ!$H$6:$H$405,$AN1680)&lt;&gt;"",$M1680&lt;&gt;INDEX(職員マスタ!$H$6:$H$405,$AN1680)),"時短終了日がマスタと相違／","")))&amp;IF(AND($B1680&lt;&gt;"",$E1680=""),"報酬額が未入力／","")&amp;IF(N($U1680)&gt;0,"申請書に入力エラーが残っています／","")&amp;IF(AND($B1680&lt;&gt;"",$AO1680&lt;&gt;""),IF(COUNTIFS($B$6:$B$3005,$B1680,$C$6:$C$3005,$C1680,$D$6:$D$3005,$D1680)&gt;1,"同じ月の請求が重複しています／",""),"")&amp;IF(AND(N($E1680)&gt;0,$Z1680&lt;&gt;"",$Z1680&lt;&gt;"×",$AC1680=0,$AB1680=""),"計算額が下限以下のため不支給／",""))</f>
        <v/>
      </c>
      <c r="AL1680" s="12" t="n"/>
      <c r="AM1680" s="14">
        <f>IF($AD1680="保留中",COUNTIF($AD$6:$AD1680,"保留中"),"")</f>
        <v/>
      </c>
      <c r="AN1680" s="14">
        <f>IF($AO1680="","",IF(SUMPRODUCT(MAX((職員マスタ!$A$6:$A$405=$B1680)*(((職員マスタ!$G$6:$G$405="")+(職員マスタ!$G$6:$G$405&lt;=EOMONTH($AO1680,0)))&gt;0)*(((職員マスタ!$H$6:$H$405="")+(職員マスタ!$H$6:$H$405&gt;=$AO1680))&gt;0)*(ROW(職員マスタ!$A$6:$A$405)-5)))&gt;0,SUMPRODUCT(MAX((職員マスタ!$A$6:$A$405=$B1680)*(((職員マスタ!$G$6:$G$405="")+(職員マスタ!$G$6:$G$405&lt;=EOMONTH($AO1680,0)))&gt;0)*(((職員マスタ!$H$6:$H$405="")+(職員マスタ!$H$6:$H$405&gt;=$AO1680))&gt;0)*(ROW(職員マスタ!$A$6:$A$405)-5))),IFERROR(MATCH($B1680,職員マスタ!$A$6:$A$405,0),"")))</f>
        <v/>
      </c>
      <c r="AO1680" s="16">
        <f>IF(OR($B1680="",$C1680="",$D1680=""),"",DATE($C1680+2018,$D1680,1))</f>
        <v/>
      </c>
    </row>
    <row r="1681">
      <c r="A1681" s="11" t="n"/>
      <c r="B1681" s="12" t="n"/>
      <c r="C1681" s="12" t="n"/>
      <c r="D1681" s="12" t="n"/>
      <c r="E1681" s="13" t="n"/>
      <c r="F1681" s="12" t="n"/>
      <c r="G1681" s="13" t="n"/>
      <c r="H1681" s="12" t="n"/>
      <c r="I1681" s="12" t="n"/>
      <c r="J1681" s="12" t="n"/>
      <c r="K1681" s="12" t="n"/>
      <c r="L1681" s="11" t="n"/>
      <c r="M1681" s="11" t="n"/>
      <c r="N1681" s="11" t="n"/>
      <c r="O1681" s="11" t="n"/>
      <c r="P1681" s="12" t="n"/>
      <c r="Q1681" s="11" t="n"/>
      <c r="R1681" s="12" t="n"/>
      <c r="S1681" s="11" t="n"/>
      <c r="T1681" s="12" t="n"/>
      <c r="U1681" s="12" t="n"/>
      <c r="V1681" s="14">
        <f>IF($AN1681="",IF($B1681="","",$H1681),IF(INDEX(職員マスタ!$B$6:$B$405,$AN1681)="",$H1681,INDEX(職員マスタ!$B$6:$B$405,$AN1681)))</f>
        <v/>
      </c>
      <c r="W1681" s="14">
        <f>IF($AN1681="",IF($B1681="","",$R1681),IF(INDEX(職員マスタ!$C$6:$C$405,$AN1681)="",$R1681,INDEX(職員マスタ!$C$6:$C$405,$AN1681)))</f>
        <v/>
      </c>
      <c r="X1681" s="14">
        <f>IF($AO1681="","","R"&amp;$C1681&amp;"."&amp;$D1681)</f>
        <v/>
      </c>
      <c r="Y1681" s="15">
        <f>IF($AN1681="","",IF(INDEX(職員マスタ!$K$6:$K$405,$AN1681)="","",INDEX(職員マスタ!$K$6:$K$405,$AN1681)))</f>
        <v/>
      </c>
      <c r="Z1681" s="14">
        <f>IF(OR($E1681="",$Y1681=""),"",IF($E1681&gt;=$Y1681,"×",IF($E1681&gt;=$Y1681*設定!$C$5,"△","○")))</f>
        <v/>
      </c>
      <c r="AA1681" s="15">
        <f>IF($Z1681="","",IF($Z1681="×",0,IF($Z1681="○",ROUNDDOWN($E1681*設定!$C$4,0),ROUNDDOWN($E1681*ROUND((9*$Y1681-9*$E1681)/(10*$E1681),4),0))))</f>
        <v/>
      </c>
      <c r="AB1681" s="13" t="n"/>
      <c r="AC1681" s="15">
        <f>IF($B1681="","",IF($AB1681&lt;&gt;"",$AB1681,IF($AA1681="","",IF($AA1681&lt;=設定!$C$3,0,$AA1681))))</f>
        <v/>
      </c>
      <c r="AD1681" s="14">
        <f>IF($B1681="","",IF(AND($AE1681&lt;&gt;"",$AG1681="",$AJ1681=""),"保留中",IF($AJ1681&lt;&gt;"",IF(N($AC1681)&gt;0,"支給済","不支給"),IF($AC1681="","要確認",IF($AC1681=0,"不支給","未処理")))))</f>
        <v/>
      </c>
      <c r="AE1681" s="12" t="n"/>
      <c r="AF1681" s="11" t="n"/>
      <c r="AG1681" s="11" t="n"/>
      <c r="AH1681" s="11" t="n"/>
      <c r="AI1681" s="14">
        <f>IF(AND($AD1681="保留中",$AF1681&lt;&gt;""),TODAY()-$AF1681,"")</f>
        <v/>
      </c>
      <c r="AJ1681" s="12" t="n"/>
      <c r="AK1681" s="14">
        <f>IF($B1681="","",IF($AO1681="","対象年月が未入力／","")&amp;IF($B1681="","",IF($AN1681="","職員マスタに未登録の職員番号／",IF($Y1681="","標準報酬月額が未登録／","")&amp;IF(AND($AO1681&lt;&gt;"",OR(AND(INDEX(職員マスタ!$G$6:$G$405,$AN1681)&lt;&gt;"",INDEX(職員マスタ!$G$6:$G$405,$AN1681)&gt;EOMONTH($AO1681,0)),AND(INDEX(職員マスタ!$H$6:$H$405,$AN1681)&lt;&gt;"",INDEX(職員マスタ!$H$6:$H$405,$AN1681)&lt;$AO1681))),"対象月が時短期間外／","")&amp;IF(AND(INDEX(職員マスタ!$F$6:$F$405,$AN1681)&lt;&gt;"",$AO1681&lt;&gt;"",INDEX(職員マスタ!$F$6:$F$405,$AN1681)&lt;$AO1681),"対象月に子が2歳到達済／","")&amp;IF(AND($H1681&lt;&gt;"",INDEX(職員マスタ!$B$6:$B$405,$AN1681)&lt;&gt;"",SUBSTITUTE(SUBSTITUTE($H1681," ","")," ","")&lt;&gt;SUBSTITUTE(SUBSTITUTE(INDEX(職員マスタ!$B$6:$B$405,$AN1681)," ","")," ","")),"氏名がマスタと相違／","")&amp;IF(AND($Q1681&lt;&gt;"",INDEX(職員マスタ!$E$6:$E$405,$AN1681)&lt;&gt;"",$Q1681&lt;&gt;INDEX(職員マスタ!$E$6:$E$405,$AN1681)),"子の生年月日がマスタと相違／","")&amp;IF(AND($L1681&lt;&gt;"",INDEX(職員マスタ!$G$6:$G$405,$AN1681)&lt;&gt;"",$L1681&lt;&gt;INDEX(職員マスタ!$G$6:$G$405,$AN1681)),"時短開始日がマスタと相違／","")&amp;IF(AND($M1681&lt;&gt;"",INDEX(職員マスタ!$H$6:$H$405,$AN1681)&lt;&gt;"",$M1681&lt;&gt;INDEX(職員マスタ!$H$6:$H$405,$AN1681)),"時短終了日がマスタと相違／","")))&amp;IF(AND($B1681&lt;&gt;"",$E1681=""),"報酬額が未入力／","")&amp;IF(N($U1681)&gt;0,"申請書に入力エラーが残っています／","")&amp;IF(AND($B1681&lt;&gt;"",$AO1681&lt;&gt;""),IF(COUNTIFS($B$6:$B$3005,$B1681,$C$6:$C$3005,$C1681,$D$6:$D$3005,$D1681)&gt;1,"同じ月の請求が重複しています／",""),"")&amp;IF(AND(N($E1681)&gt;0,$Z1681&lt;&gt;"",$Z1681&lt;&gt;"×",$AC1681=0,$AB1681=""),"計算額が下限以下のため不支給／",""))</f>
        <v/>
      </c>
      <c r="AL1681" s="12" t="n"/>
      <c r="AM1681" s="14">
        <f>IF($AD1681="保留中",COUNTIF($AD$6:$AD1681,"保留中"),"")</f>
        <v/>
      </c>
      <c r="AN1681" s="14">
        <f>IF($AO1681="","",IF(SUMPRODUCT(MAX((職員マスタ!$A$6:$A$405=$B1681)*(((職員マスタ!$G$6:$G$405="")+(職員マスタ!$G$6:$G$405&lt;=EOMONTH($AO1681,0)))&gt;0)*(((職員マスタ!$H$6:$H$405="")+(職員マスタ!$H$6:$H$405&gt;=$AO1681))&gt;0)*(ROW(職員マスタ!$A$6:$A$405)-5)))&gt;0,SUMPRODUCT(MAX((職員マスタ!$A$6:$A$405=$B1681)*(((職員マスタ!$G$6:$G$405="")+(職員マスタ!$G$6:$G$405&lt;=EOMONTH($AO1681,0)))&gt;0)*(((職員マスタ!$H$6:$H$405="")+(職員マスタ!$H$6:$H$405&gt;=$AO1681))&gt;0)*(ROW(職員マスタ!$A$6:$A$405)-5))),IFERROR(MATCH($B1681,職員マスタ!$A$6:$A$405,0),"")))</f>
        <v/>
      </c>
      <c r="AO1681" s="16">
        <f>IF(OR($B1681="",$C1681="",$D1681=""),"",DATE($C1681+2018,$D1681,1))</f>
        <v/>
      </c>
    </row>
    <row r="1682">
      <c r="A1682" s="11" t="n"/>
      <c r="B1682" s="12" t="n"/>
      <c r="C1682" s="12" t="n"/>
      <c r="D1682" s="12" t="n"/>
      <c r="E1682" s="13" t="n"/>
      <c r="F1682" s="12" t="n"/>
      <c r="G1682" s="13" t="n"/>
      <c r="H1682" s="12" t="n"/>
      <c r="I1682" s="12" t="n"/>
      <c r="J1682" s="12" t="n"/>
      <c r="K1682" s="12" t="n"/>
      <c r="L1682" s="11" t="n"/>
      <c r="M1682" s="11" t="n"/>
      <c r="N1682" s="11" t="n"/>
      <c r="O1682" s="11" t="n"/>
      <c r="P1682" s="12" t="n"/>
      <c r="Q1682" s="11" t="n"/>
      <c r="R1682" s="12" t="n"/>
      <c r="S1682" s="11" t="n"/>
      <c r="T1682" s="12" t="n"/>
      <c r="U1682" s="12" t="n"/>
      <c r="V1682" s="14">
        <f>IF($AN1682="",IF($B1682="","",$H1682),IF(INDEX(職員マスタ!$B$6:$B$405,$AN1682)="",$H1682,INDEX(職員マスタ!$B$6:$B$405,$AN1682)))</f>
        <v/>
      </c>
      <c r="W1682" s="14">
        <f>IF($AN1682="",IF($B1682="","",$R1682),IF(INDEX(職員マスタ!$C$6:$C$405,$AN1682)="",$R1682,INDEX(職員マスタ!$C$6:$C$405,$AN1682)))</f>
        <v/>
      </c>
      <c r="X1682" s="14">
        <f>IF($AO1682="","","R"&amp;$C1682&amp;"."&amp;$D1682)</f>
        <v/>
      </c>
      <c r="Y1682" s="15">
        <f>IF($AN1682="","",IF(INDEX(職員マスタ!$K$6:$K$405,$AN1682)="","",INDEX(職員マスタ!$K$6:$K$405,$AN1682)))</f>
        <v/>
      </c>
      <c r="Z1682" s="14">
        <f>IF(OR($E1682="",$Y1682=""),"",IF($E1682&gt;=$Y1682,"×",IF($E1682&gt;=$Y1682*設定!$C$5,"△","○")))</f>
        <v/>
      </c>
      <c r="AA1682" s="15">
        <f>IF($Z1682="","",IF($Z1682="×",0,IF($Z1682="○",ROUNDDOWN($E1682*設定!$C$4,0),ROUNDDOWN($E1682*ROUND((9*$Y1682-9*$E1682)/(10*$E1682),4),0))))</f>
        <v/>
      </c>
      <c r="AB1682" s="13" t="n"/>
      <c r="AC1682" s="15">
        <f>IF($B1682="","",IF($AB1682&lt;&gt;"",$AB1682,IF($AA1682="","",IF($AA1682&lt;=設定!$C$3,0,$AA1682))))</f>
        <v/>
      </c>
      <c r="AD1682" s="14">
        <f>IF($B1682="","",IF(AND($AE1682&lt;&gt;"",$AG1682="",$AJ1682=""),"保留中",IF($AJ1682&lt;&gt;"",IF(N($AC1682)&gt;0,"支給済","不支給"),IF($AC1682="","要確認",IF($AC1682=0,"不支給","未処理")))))</f>
        <v/>
      </c>
      <c r="AE1682" s="12" t="n"/>
      <c r="AF1682" s="11" t="n"/>
      <c r="AG1682" s="11" t="n"/>
      <c r="AH1682" s="11" t="n"/>
      <c r="AI1682" s="14">
        <f>IF(AND($AD1682="保留中",$AF1682&lt;&gt;""),TODAY()-$AF1682,"")</f>
        <v/>
      </c>
      <c r="AJ1682" s="12" t="n"/>
      <c r="AK1682" s="14">
        <f>IF($B1682="","",IF($AO1682="","対象年月が未入力／","")&amp;IF($B1682="","",IF($AN1682="","職員マスタに未登録の職員番号／",IF($Y1682="","標準報酬月額が未登録／","")&amp;IF(AND($AO1682&lt;&gt;"",OR(AND(INDEX(職員マスタ!$G$6:$G$405,$AN1682)&lt;&gt;"",INDEX(職員マスタ!$G$6:$G$405,$AN1682)&gt;EOMONTH($AO1682,0)),AND(INDEX(職員マスタ!$H$6:$H$405,$AN1682)&lt;&gt;"",INDEX(職員マスタ!$H$6:$H$405,$AN1682)&lt;$AO1682))),"対象月が時短期間外／","")&amp;IF(AND(INDEX(職員マスタ!$F$6:$F$405,$AN1682)&lt;&gt;"",$AO1682&lt;&gt;"",INDEX(職員マスタ!$F$6:$F$405,$AN1682)&lt;$AO1682),"対象月に子が2歳到達済／","")&amp;IF(AND($H1682&lt;&gt;"",INDEX(職員マスタ!$B$6:$B$405,$AN1682)&lt;&gt;"",SUBSTITUTE(SUBSTITUTE($H1682," ","")," ","")&lt;&gt;SUBSTITUTE(SUBSTITUTE(INDEX(職員マスタ!$B$6:$B$405,$AN1682)," ","")," ","")),"氏名がマスタと相違／","")&amp;IF(AND($Q1682&lt;&gt;"",INDEX(職員マスタ!$E$6:$E$405,$AN1682)&lt;&gt;"",$Q1682&lt;&gt;INDEX(職員マスタ!$E$6:$E$405,$AN1682)),"子の生年月日がマスタと相違／","")&amp;IF(AND($L1682&lt;&gt;"",INDEX(職員マスタ!$G$6:$G$405,$AN1682)&lt;&gt;"",$L1682&lt;&gt;INDEX(職員マスタ!$G$6:$G$405,$AN1682)),"時短開始日がマスタと相違／","")&amp;IF(AND($M1682&lt;&gt;"",INDEX(職員マスタ!$H$6:$H$405,$AN1682)&lt;&gt;"",$M1682&lt;&gt;INDEX(職員マスタ!$H$6:$H$405,$AN1682)),"時短終了日がマスタと相違／","")))&amp;IF(AND($B1682&lt;&gt;"",$E1682=""),"報酬額が未入力／","")&amp;IF(N($U1682)&gt;0,"申請書に入力エラーが残っています／","")&amp;IF(AND($B1682&lt;&gt;"",$AO1682&lt;&gt;""),IF(COUNTIFS($B$6:$B$3005,$B1682,$C$6:$C$3005,$C1682,$D$6:$D$3005,$D1682)&gt;1,"同じ月の請求が重複しています／",""),"")&amp;IF(AND(N($E1682)&gt;0,$Z1682&lt;&gt;"",$Z1682&lt;&gt;"×",$AC1682=0,$AB1682=""),"計算額が下限以下のため不支給／",""))</f>
        <v/>
      </c>
      <c r="AL1682" s="12" t="n"/>
      <c r="AM1682" s="14">
        <f>IF($AD1682="保留中",COUNTIF($AD$6:$AD1682,"保留中"),"")</f>
        <v/>
      </c>
      <c r="AN1682" s="14">
        <f>IF($AO1682="","",IF(SUMPRODUCT(MAX((職員マスタ!$A$6:$A$405=$B1682)*(((職員マスタ!$G$6:$G$405="")+(職員マスタ!$G$6:$G$405&lt;=EOMONTH($AO1682,0)))&gt;0)*(((職員マスタ!$H$6:$H$405="")+(職員マスタ!$H$6:$H$405&gt;=$AO1682))&gt;0)*(ROW(職員マスタ!$A$6:$A$405)-5)))&gt;0,SUMPRODUCT(MAX((職員マスタ!$A$6:$A$405=$B1682)*(((職員マスタ!$G$6:$G$405="")+(職員マスタ!$G$6:$G$405&lt;=EOMONTH($AO1682,0)))&gt;0)*(((職員マスタ!$H$6:$H$405="")+(職員マスタ!$H$6:$H$405&gt;=$AO1682))&gt;0)*(ROW(職員マスタ!$A$6:$A$405)-5))),IFERROR(MATCH($B1682,職員マスタ!$A$6:$A$405,0),"")))</f>
        <v/>
      </c>
      <c r="AO1682" s="16">
        <f>IF(OR($B1682="",$C1682="",$D1682=""),"",DATE($C1682+2018,$D1682,1))</f>
        <v/>
      </c>
    </row>
    <row r="1683">
      <c r="A1683" s="11" t="n"/>
      <c r="B1683" s="12" t="n"/>
      <c r="C1683" s="12" t="n"/>
      <c r="D1683" s="12" t="n"/>
      <c r="E1683" s="13" t="n"/>
      <c r="F1683" s="12" t="n"/>
      <c r="G1683" s="13" t="n"/>
      <c r="H1683" s="12" t="n"/>
      <c r="I1683" s="12" t="n"/>
      <c r="J1683" s="12" t="n"/>
      <c r="K1683" s="12" t="n"/>
      <c r="L1683" s="11" t="n"/>
      <c r="M1683" s="11" t="n"/>
      <c r="N1683" s="11" t="n"/>
      <c r="O1683" s="11" t="n"/>
      <c r="P1683" s="12" t="n"/>
      <c r="Q1683" s="11" t="n"/>
      <c r="R1683" s="12" t="n"/>
      <c r="S1683" s="11" t="n"/>
      <c r="T1683" s="12" t="n"/>
      <c r="U1683" s="12" t="n"/>
      <c r="V1683" s="14">
        <f>IF($AN1683="",IF($B1683="","",$H1683),IF(INDEX(職員マスタ!$B$6:$B$405,$AN1683)="",$H1683,INDEX(職員マスタ!$B$6:$B$405,$AN1683)))</f>
        <v/>
      </c>
      <c r="W1683" s="14">
        <f>IF($AN1683="",IF($B1683="","",$R1683),IF(INDEX(職員マスタ!$C$6:$C$405,$AN1683)="",$R1683,INDEX(職員マスタ!$C$6:$C$405,$AN1683)))</f>
        <v/>
      </c>
      <c r="X1683" s="14">
        <f>IF($AO1683="","","R"&amp;$C1683&amp;"."&amp;$D1683)</f>
        <v/>
      </c>
      <c r="Y1683" s="15">
        <f>IF($AN1683="","",IF(INDEX(職員マスタ!$K$6:$K$405,$AN1683)="","",INDEX(職員マスタ!$K$6:$K$405,$AN1683)))</f>
        <v/>
      </c>
      <c r="Z1683" s="14">
        <f>IF(OR($E1683="",$Y1683=""),"",IF($E1683&gt;=$Y1683,"×",IF($E1683&gt;=$Y1683*設定!$C$5,"△","○")))</f>
        <v/>
      </c>
      <c r="AA1683" s="15">
        <f>IF($Z1683="","",IF($Z1683="×",0,IF($Z1683="○",ROUNDDOWN($E1683*設定!$C$4,0),ROUNDDOWN($E1683*ROUND((9*$Y1683-9*$E1683)/(10*$E1683),4),0))))</f>
        <v/>
      </c>
      <c r="AB1683" s="13" t="n"/>
      <c r="AC1683" s="15">
        <f>IF($B1683="","",IF($AB1683&lt;&gt;"",$AB1683,IF($AA1683="","",IF($AA1683&lt;=設定!$C$3,0,$AA1683))))</f>
        <v/>
      </c>
      <c r="AD1683" s="14">
        <f>IF($B1683="","",IF(AND($AE1683&lt;&gt;"",$AG1683="",$AJ1683=""),"保留中",IF($AJ1683&lt;&gt;"",IF(N($AC1683)&gt;0,"支給済","不支給"),IF($AC1683="","要確認",IF($AC1683=0,"不支給","未処理")))))</f>
        <v/>
      </c>
      <c r="AE1683" s="12" t="n"/>
      <c r="AF1683" s="11" t="n"/>
      <c r="AG1683" s="11" t="n"/>
      <c r="AH1683" s="11" t="n"/>
      <c r="AI1683" s="14">
        <f>IF(AND($AD1683="保留中",$AF1683&lt;&gt;""),TODAY()-$AF1683,"")</f>
        <v/>
      </c>
      <c r="AJ1683" s="12" t="n"/>
      <c r="AK1683" s="14">
        <f>IF($B1683="","",IF($AO1683="","対象年月が未入力／","")&amp;IF($B1683="","",IF($AN1683="","職員マスタに未登録の職員番号／",IF($Y1683="","標準報酬月額が未登録／","")&amp;IF(AND($AO1683&lt;&gt;"",OR(AND(INDEX(職員マスタ!$G$6:$G$405,$AN1683)&lt;&gt;"",INDEX(職員マスタ!$G$6:$G$405,$AN1683)&gt;EOMONTH($AO1683,0)),AND(INDEX(職員マスタ!$H$6:$H$405,$AN1683)&lt;&gt;"",INDEX(職員マスタ!$H$6:$H$405,$AN1683)&lt;$AO1683))),"対象月が時短期間外／","")&amp;IF(AND(INDEX(職員マスタ!$F$6:$F$405,$AN1683)&lt;&gt;"",$AO1683&lt;&gt;"",INDEX(職員マスタ!$F$6:$F$405,$AN1683)&lt;$AO1683),"対象月に子が2歳到達済／","")&amp;IF(AND($H1683&lt;&gt;"",INDEX(職員マスタ!$B$6:$B$405,$AN1683)&lt;&gt;"",SUBSTITUTE(SUBSTITUTE($H1683," ","")," ","")&lt;&gt;SUBSTITUTE(SUBSTITUTE(INDEX(職員マスタ!$B$6:$B$405,$AN1683)," ","")," ","")),"氏名がマスタと相違／","")&amp;IF(AND($Q1683&lt;&gt;"",INDEX(職員マスタ!$E$6:$E$405,$AN1683)&lt;&gt;"",$Q1683&lt;&gt;INDEX(職員マスタ!$E$6:$E$405,$AN1683)),"子の生年月日がマスタと相違／","")&amp;IF(AND($L1683&lt;&gt;"",INDEX(職員マスタ!$G$6:$G$405,$AN1683)&lt;&gt;"",$L1683&lt;&gt;INDEX(職員マスタ!$G$6:$G$405,$AN1683)),"時短開始日がマスタと相違／","")&amp;IF(AND($M1683&lt;&gt;"",INDEX(職員マスタ!$H$6:$H$405,$AN1683)&lt;&gt;"",$M1683&lt;&gt;INDEX(職員マスタ!$H$6:$H$405,$AN1683)),"時短終了日がマスタと相違／","")))&amp;IF(AND($B1683&lt;&gt;"",$E1683=""),"報酬額が未入力／","")&amp;IF(N($U1683)&gt;0,"申請書に入力エラーが残っています／","")&amp;IF(AND($B1683&lt;&gt;"",$AO1683&lt;&gt;""),IF(COUNTIFS($B$6:$B$3005,$B1683,$C$6:$C$3005,$C1683,$D$6:$D$3005,$D1683)&gt;1,"同じ月の請求が重複しています／",""),"")&amp;IF(AND(N($E1683)&gt;0,$Z1683&lt;&gt;"",$Z1683&lt;&gt;"×",$AC1683=0,$AB1683=""),"計算額が下限以下のため不支給／",""))</f>
        <v/>
      </c>
      <c r="AL1683" s="12" t="n"/>
      <c r="AM1683" s="14">
        <f>IF($AD1683="保留中",COUNTIF($AD$6:$AD1683,"保留中"),"")</f>
        <v/>
      </c>
      <c r="AN1683" s="14">
        <f>IF($AO1683="","",IF(SUMPRODUCT(MAX((職員マスタ!$A$6:$A$405=$B1683)*(((職員マスタ!$G$6:$G$405="")+(職員マスタ!$G$6:$G$405&lt;=EOMONTH($AO1683,0)))&gt;0)*(((職員マスタ!$H$6:$H$405="")+(職員マスタ!$H$6:$H$405&gt;=$AO1683))&gt;0)*(ROW(職員マスタ!$A$6:$A$405)-5)))&gt;0,SUMPRODUCT(MAX((職員マスタ!$A$6:$A$405=$B1683)*(((職員マスタ!$G$6:$G$405="")+(職員マスタ!$G$6:$G$405&lt;=EOMONTH($AO1683,0)))&gt;0)*(((職員マスタ!$H$6:$H$405="")+(職員マスタ!$H$6:$H$405&gt;=$AO1683))&gt;0)*(ROW(職員マスタ!$A$6:$A$405)-5))),IFERROR(MATCH($B1683,職員マスタ!$A$6:$A$405,0),"")))</f>
        <v/>
      </c>
      <c r="AO1683" s="16">
        <f>IF(OR($B1683="",$C1683="",$D1683=""),"",DATE($C1683+2018,$D1683,1))</f>
        <v/>
      </c>
    </row>
    <row r="1684">
      <c r="A1684" s="11" t="n"/>
      <c r="B1684" s="12" t="n"/>
      <c r="C1684" s="12" t="n"/>
      <c r="D1684" s="12" t="n"/>
      <c r="E1684" s="13" t="n"/>
      <c r="F1684" s="12" t="n"/>
      <c r="G1684" s="13" t="n"/>
      <c r="H1684" s="12" t="n"/>
      <c r="I1684" s="12" t="n"/>
      <c r="J1684" s="12" t="n"/>
      <c r="K1684" s="12" t="n"/>
      <c r="L1684" s="11" t="n"/>
      <c r="M1684" s="11" t="n"/>
      <c r="N1684" s="11" t="n"/>
      <c r="O1684" s="11" t="n"/>
      <c r="P1684" s="12" t="n"/>
      <c r="Q1684" s="11" t="n"/>
      <c r="R1684" s="12" t="n"/>
      <c r="S1684" s="11" t="n"/>
      <c r="T1684" s="12" t="n"/>
      <c r="U1684" s="12" t="n"/>
      <c r="V1684" s="14">
        <f>IF($AN1684="",IF($B1684="","",$H1684),IF(INDEX(職員マスタ!$B$6:$B$405,$AN1684)="",$H1684,INDEX(職員マスタ!$B$6:$B$405,$AN1684)))</f>
        <v/>
      </c>
      <c r="W1684" s="14">
        <f>IF($AN1684="",IF($B1684="","",$R1684),IF(INDEX(職員マスタ!$C$6:$C$405,$AN1684)="",$R1684,INDEX(職員マスタ!$C$6:$C$405,$AN1684)))</f>
        <v/>
      </c>
      <c r="X1684" s="14">
        <f>IF($AO1684="","","R"&amp;$C1684&amp;"."&amp;$D1684)</f>
        <v/>
      </c>
      <c r="Y1684" s="15">
        <f>IF($AN1684="","",IF(INDEX(職員マスタ!$K$6:$K$405,$AN1684)="","",INDEX(職員マスタ!$K$6:$K$405,$AN1684)))</f>
        <v/>
      </c>
      <c r="Z1684" s="14">
        <f>IF(OR($E1684="",$Y1684=""),"",IF($E1684&gt;=$Y1684,"×",IF($E1684&gt;=$Y1684*設定!$C$5,"△","○")))</f>
        <v/>
      </c>
      <c r="AA1684" s="15">
        <f>IF($Z1684="","",IF($Z1684="×",0,IF($Z1684="○",ROUNDDOWN($E1684*設定!$C$4,0),ROUNDDOWN($E1684*ROUND((9*$Y1684-9*$E1684)/(10*$E1684),4),0))))</f>
        <v/>
      </c>
      <c r="AB1684" s="13" t="n"/>
      <c r="AC1684" s="15">
        <f>IF($B1684="","",IF($AB1684&lt;&gt;"",$AB1684,IF($AA1684="","",IF($AA1684&lt;=設定!$C$3,0,$AA1684))))</f>
        <v/>
      </c>
      <c r="AD1684" s="14">
        <f>IF($B1684="","",IF(AND($AE1684&lt;&gt;"",$AG1684="",$AJ1684=""),"保留中",IF($AJ1684&lt;&gt;"",IF(N($AC1684)&gt;0,"支給済","不支給"),IF($AC1684="","要確認",IF($AC1684=0,"不支給","未処理")))))</f>
        <v/>
      </c>
      <c r="AE1684" s="12" t="n"/>
      <c r="AF1684" s="11" t="n"/>
      <c r="AG1684" s="11" t="n"/>
      <c r="AH1684" s="11" t="n"/>
      <c r="AI1684" s="14">
        <f>IF(AND($AD1684="保留中",$AF1684&lt;&gt;""),TODAY()-$AF1684,"")</f>
        <v/>
      </c>
      <c r="AJ1684" s="12" t="n"/>
      <c r="AK1684" s="14">
        <f>IF($B1684="","",IF($AO1684="","対象年月が未入力／","")&amp;IF($B1684="","",IF($AN1684="","職員マスタに未登録の職員番号／",IF($Y1684="","標準報酬月額が未登録／","")&amp;IF(AND($AO1684&lt;&gt;"",OR(AND(INDEX(職員マスタ!$G$6:$G$405,$AN1684)&lt;&gt;"",INDEX(職員マスタ!$G$6:$G$405,$AN1684)&gt;EOMONTH($AO1684,0)),AND(INDEX(職員マスタ!$H$6:$H$405,$AN1684)&lt;&gt;"",INDEX(職員マスタ!$H$6:$H$405,$AN1684)&lt;$AO1684))),"対象月が時短期間外／","")&amp;IF(AND(INDEX(職員マスタ!$F$6:$F$405,$AN1684)&lt;&gt;"",$AO1684&lt;&gt;"",INDEX(職員マスタ!$F$6:$F$405,$AN1684)&lt;$AO1684),"対象月に子が2歳到達済／","")&amp;IF(AND($H1684&lt;&gt;"",INDEX(職員マスタ!$B$6:$B$405,$AN1684)&lt;&gt;"",SUBSTITUTE(SUBSTITUTE($H1684," ","")," ","")&lt;&gt;SUBSTITUTE(SUBSTITUTE(INDEX(職員マスタ!$B$6:$B$405,$AN1684)," ","")," ","")),"氏名がマスタと相違／","")&amp;IF(AND($Q1684&lt;&gt;"",INDEX(職員マスタ!$E$6:$E$405,$AN1684)&lt;&gt;"",$Q1684&lt;&gt;INDEX(職員マスタ!$E$6:$E$405,$AN1684)),"子の生年月日がマスタと相違／","")&amp;IF(AND($L1684&lt;&gt;"",INDEX(職員マスタ!$G$6:$G$405,$AN1684)&lt;&gt;"",$L1684&lt;&gt;INDEX(職員マスタ!$G$6:$G$405,$AN1684)),"時短開始日がマスタと相違／","")&amp;IF(AND($M1684&lt;&gt;"",INDEX(職員マスタ!$H$6:$H$405,$AN1684)&lt;&gt;"",$M1684&lt;&gt;INDEX(職員マスタ!$H$6:$H$405,$AN1684)),"時短終了日がマスタと相違／","")))&amp;IF(AND($B1684&lt;&gt;"",$E1684=""),"報酬額が未入力／","")&amp;IF(N($U1684)&gt;0,"申請書に入力エラーが残っています／","")&amp;IF(AND($B1684&lt;&gt;"",$AO1684&lt;&gt;""),IF(COUNTIFS($B$6:$B$3005,$B1684,$C$6:$C$3005,$C1684,$D$6:$D$3005,$D1684)&gt;1,"同じ月の請求が重複しています／",""),"")&amp;IF(AND(N($E1684)&gt;0,$Z1684&lt;&gt;"",$Z1684&lt;&gt;"×",$AC1684=0,$AB1684=""),"計算額が下限以下のため不支給／",""))</f>
        <v/>
      </c>
      <c r="AL1684" s="12" t="n"/>
      <c r="AM1684" s="14">
        <f>IF($AD1684="保留中",COUNTIF($AD$6:$AD1684,"保留中"),"")</f>
        <v/>
      </c>
      <c r="AN1684" s="14">
        <f>IF($AO1684="","",IF(SUMPRODUCT(MAX((職員マスタ!$A$6:$A$405=$B1684)*(((職員マスタ!$G$6:$G$405="")+(職員マスタ!$G$6:$G$405&lt;=EOMONTH($AO1684,0)))&gt;0)*(((職員マスタ!$H$6:$H$405="")+(職員マスタ!$H$6:$H$405&gt;=$AO1684))&gt;0)*(ROW(職員マスタ!$A$6:$A$405)-5)))&gt;0,SUMPRODUCT(MAX((職員マスタ!$A$6:$A$405=$B1684)*(((職員マスタ!$G$6:$G$405="")+(職員マスタ!$G$6:$G$405&lt;=EOMONTH($AO1684,0)))&gt;0)*(((職員マスタ!$H$6:$H$405="")+(職員マスタ!$H$6:$H$405&gt;=$AO1684))&gt;0)*(ROW(職員マスタ!$A$6:$A$405)-5))),IFERROR(MATCH($B1684,職員マスタ!$A$6:$A$405,0),"")))</f>
        <v/>
      </c>
      <c r="AO1684" s="16">
        <f>IF(OR($B1684="",$C1684="",$D1684=""),"",DATE($C1684+2018,$D1684,1))</f>
        <v/>
      </c>
    </row>
    <row r="1685">
      <c r="A1685" s="11" t="n"/>
      <c r="B1685" s="12" t="n"/>
      <c r="C1685" s="12" t="n"/>
      <c r="D1685" s="12" t="n"/>
      <c r="E1685" s="13" t="n"/>
      <c r="F1685" s="12" t="n"/>
      <c r="G1685" s="13" t="n"/>
      <c r="H1685" s="12" t="n"/>
      <c r="I1685" s="12" t="n"/>
      <c r="J1685" s="12" t="n"/>
      <c r="K1685" s="12" t="n"/>
      <c r="L1685" s="11" t="n"/>
      <c r="M1685" s="11" t="n"/>
      <c r="N1685" s="11" t="n"/>
      <c r="O1685" s="11" t="n"/>
      <c r="P1685" s="12" t="n"/>
      <c r="Q1685" s="11" t="n"/>
      <c r="R1685" s="12" t="n"/>
      <c r="S1685" s="11" t="n"/>
      <c r="T1685" s="12" t="n"/>
      <c r="U1685" s="12" t="n"/>
      <c r="V1685" s="14">
        <f>IF($AN1685="",IF($B1685="","",$H1685),IF(INDEX(職員マスタ!$B$6:$B$405,$AN1685)="",$H1685,INDEX(職員マスタ!$B$6:$B$405,$AN1685)))</f>
        <v/>
      </c>
      <c r="W1685" s="14">
        <f>IF($AN1685="",IF($B1685="","",$R1685),IF(INDEX(職員マスタ!$C$6:$C$405,$AN1685)="",$R1685,INDEX(職員マスタ!$C$6:$C$405,$AN1685)))</f>
        <v/>
      </c>
      <c r="X1685" s="14">
        <f>IF($AO1685="","","R"&amp;$C1685&amp;"."&amp;$D1685)</f>
        <v/>
      </c>
      <c r="Y1685" s="15">
        <f>IF($AN1685="","",IF(INDEX(職員マスタ!$K$6:$K$405,$AN1685)="","",INDEX(職員マスタ!$K$6:$K$405,$AN1685)))</f>
        <v/>
      </c>
      <c r="Z1685" s="14">
        <f>IF(OR($E1685="",$Y1685=""),"",IF($E1685&gt;=$Y1685,"×",IF($E1685&gt;=$Y1685*設定!$C$5,"△","○")))</f>
        <v/>
      </c>
      <c r="AA1685" s="15">
        <f>IF($Z1685="","",IF($Z1685="×",0,IF($Z1685="○",ROUNDDOWN($E1685*設定!$C$4,0),ROUNDDOWN($E1685*ROUND((9*$Y1685-9*$E1685)/(10*$E1685),4),0))))</f>
        <v/>
      </c>
      <c r="AB1685" s="13" t="n"/>
      <c r="AC1685" s="15">
        <f>IF($B1685="","",IF($AB1685&lt;&gt;"",$AB1685,IF($AA1685="","",IF($AA1685&lt;=設定!$C$3,0,$AA1685))))</f>
        <v/>
      </c>
      <c r="AD1685" s="14">
        <f>IF($B1685="","",IF(AND($AE1685&lt;&gt;"",$AG1685="",$AJ1685=""),"保留中",IF($AJ1685&lt;&gt;"",IF(N($AC1685)&gt;0,"支給済","不支給"),IF($AC1685="","要確認",IF($AC1685=0,"不支給","未処理")))))</f>
        <v/>
      </c>
      <c r="AE1685" s="12" t="n"/>
      <c r="AF1685" s="11" t="n"/>
      <c r="AG1685" s="11" t="n"/>
      <c r="AH1685" s="11" t="n"/>
      <c r="AI1685" s="14">
        <f>IF(AND($AD1685="保留中",$AF1685&lt;&gt;""),TODAY()-$AF1685,"")</f>
        <v/>
      </c>
      <c r="AJ1685" s="12" t="n"/>
      <c r="AK1685" s="14">
        <f>IF($B1685="","",IF($AO1685="","対象年月が未入力／","")&amp;IF($B1685="","",IF($AN1685="","職員マスタに未登録の職員番号／",IF($Y1685="","標準報酬月額が未登録／","")&amp;IF(AND($AO1685&lt;&gt;"",OR(AND(INDEX(職員マスタ!$G$6:$G$405,$AN1685)&lt;&gt;"",INDEX(職員マスタ!$G$6:$G$405,$AN1685)&gt;EOMONTH($AO1685,0)),AND(INDEX(職員マスタ!$H$6:$H$405,$AN1685)&lt;&gt;"",INDEX(職員マスタ!$H$6:$H$405,$AN1685)&lt;$AO1685))),"対象月が時短期間外／","")&amp;IF(AND(INDEX(職員マスタ!$F$6:$F$405,$AN1685)&lt;&gt;"",$AO1685&lt;&gt;"",INDEX(職員マスタ!$F$6:$F$405,$AN1685)&lt;$AO1685),"対象月に子が2歳到達済／","")&amp;IF(AND($H1685&lt;&gt;"",INDEX(職員マスタ!$B$6:$B$405,$AN1685)&lt;&gt;"",SUBSTITUTE(SUBSTITUTE($H1685," ","")," ","")&lt;&gt;SUBSTITUTE(SUBSTITUTE(INDEX(職員マスタ!$B$6:$B$405,$AN1685)," ","")," ","")),"氏名がマスタと相違／","")&amp;IF(AND($Q1685&lt;&gt;"",INDEX(職員マスタ!$E$6:$E$405,$AN1685)&lt;&gt;"",$Q1685&lt;&gt;INDEX(職員マスタ!$E$6:$E$405,$AN1685)),"子の生年月日がマスタと相違／","")&amp;IF(AND($L1685&lt;&gt;"",INDEX(職員マスタ!$G$6:$G$405,$AN1685)&lt;&gt;"",$L1685&lt;&gt;INDEX(職員マスタ!$G$6:$G$405,$AN1685)),"時短開始日がマスタと相違／","")&amp;IF(AND($M1685&lt;&gt;"",INDEX(職員マスタ!$H$6:$H$405,$AN1685)&lt;&gt;"",$M1685&lt;&gt;INDEX(職員マスタ!$H$6:$H$405,$AN1685)),"時短終了日がマスタと相違／","")))&amp;IF(AND($B1685&lt;&gt;"",$E1685=""),"報酬額が未入力／","")&amp;IF(N($U1685)&gt;0,"申請書に入力エラーが残っています／","")&amp;IF(AND($B1685&lt;&gt;"",$AO1685&lt;&gt;""),IF(COUNTIFS($B$6:$B$3005,$B1685,$C$6:$C$3005,$C1685,$D$6:$D$3005,$D1685)&gt;1,"同じ月の請求が重複しています／",""),"")&amp;IF(AND(N($E1685)&gt;0,$Z1685&lt;&gt;"",$Z1685&lt;&gt;"×",$AC1685=0,$AB1685=""),"計算額が下限以下のため不支給／",""))</f>
        <v/>
      </c>
      <c r="AL1685" s="12" t="n"/>
      <c r="AM1685" s="14">
        <f>IF($AD1685="保留中",COUNTIF($AD$6:$AD1685,"保留中"),"")</f>
        <v/>
      </c>
      <c r="AN1685" s="14">
        <f>IF($AO1685="","",IF(SUMPRODUCT(MAX((職員マスタ!$A$6:$A$405=$B1685)*(((職員マスタ!$G$6:$G$405="")+(職員マスタ!$G$6:$G$405&lt;=EOMONTH($AO1685,0)))&gt;0)*(((職員マスタ!$H$6:$H$405="")+(職員マスタ!$H$6:$H$405&gt;=$AO1685))&gt;0)*(ROW(職員マスタ!$A$6:$A$405)-5)))&gt;0,SUMPRODUCT(MAX((職員マスタ!$A$6:$A$405=$B1685)*(((職員マスタ!$G$6:$G$405="")+(職員マスタ!$G$6:$G$405&lt;=EOMONTH($AO1685,0)))&gt;0)*(((職員マスタ!$H$6:$H$405="")+(職員マスタ!$H$6:$H$405&gt;=$AO1685))&gt;0)*(ROW(職員マスタ!$A$6:$A$405)-5))),IFERROR(MATCH($B1685,職員マスタ!$A$6:$A$405,0),"")))</f>
        <v/>
      </c>
      <c r="AO1685" s="16">
        <f>IF(OR($B1685="",$C1685="",$D1685=""),"",DATE($C1685+2018,$D1685,1))</f>
        <v/>
      </c>
    </row>
    <row r="1686">
      <c r="A1686" s="11" t="n"/>
      <c r="B1686" s="12" t="n"/>
      <c r="C1686" s="12" t="n"/>
      <c r="D1686" s="12" t="n"/>
      <c r="E1686" s="13" t="n"/>
      <c r="F1686" s="12" t="n"/>
      <c r="G1686" s="13" t="n"/>
      <c r="H1686" s="12" t="n"/>
      <c r="I1686" s="12" t="n"/>
      <c r="J1686" s="12" t="n"/>
      <c r="K1686" s="12" t="n"/>
      <c r="L1686" s="11" t="n"/>
      <c r="M1686" s="11" t="n"/>
      <c r="N1686" s="11" t="n"/>
      <c r="O1686" s="11" t="n"/>
      <c r="P1686" s="12" t="n"/>
      <c r="Q1686" s="11" t="n"/>
      <c r="R1686" s="12" t="n"/>
      <c r="S1686" s="11" t="n"/>
      <c r="T1686" s="12" t="n"/>
      <c r="U1686" s="12" t="n"/>
      <c r="V1686" s="14">
        <f>IF($AN1686="",IF($B1686="","",$H1686),IF(INDEX(職員マスタ!$B$6:$B$405,$AN1686)="",$H1686,INDEX(職員マスタ!$B$6:$B$405,$AN1686)))</f>
        <v/>
      </c>
      <c r="W1686" s="14">
        <f>IF($AN1686="",IF($B1686="","",$R1686),IF(INDEX(職員マスタ!$C$6:$C$405,$AN1686)="",$R1686,INDEX(職員マスタ!$C$6:$C$405,$AN1686)))</f>
        <v/>
      </c>
      <c r="X1686" s="14">
        <f>IF($AO1686="","","R"&amp;$C1686&amp;"."&amp;$D1686)</f>
        <v/>
      </c>
      <c r="Y1686" s="15">
        <f>IF($AN1686="","",IF(INDEX(職員マスタ!$K$6:$K$405,$AN1686)="","",INDEX(職員マスタ!$K$6:$K$405,$AN1686)))</f>
        <v/>
      </c>
      <c r="Z1686" s="14">
        <f>IF(OR($E1686="",$Y1686=""),"",IF($E1686&gt;=$Y1686,"×",IF($E1686&gt;=$Y1686*設定!$C$5,"△","○")))</f>
        <v/>
      </c>
      <c r="AA1686" s="15">
        <f>IF($Z1686="","",IF($Z1686="×",0,IF($Z1686="○",ROUNDDOWN($E1686*設定!$C$4,0),ROUNDDOWN($E1686*ROUND((9*$Y1686-9*$E1686)/(10*$E1686),4),0))))</f>
        <v/>
      </c>
      <c r="AB1686" s="13" t="n"/>
      <c r="AC1686" s="15">
        <f>IF($B1686="","",IF($AB1686&lt;&gt;"",$AB1686,IF($AA1686="","",IF($AA1686&lt;=設定!$C$3,0,$AA1686))))</f>
        <v/>
      </c>
      <c r="AD1686" s="14">
        <f>IF($B1686="","",IF(AND($AE1686&lt;&gt;"",$AG1686="",$AJ1686=""),"保留中",IF($AJ1686&lt;&gt;"",IF(N($AC1686)&gt;0,"支給済","不支給"),IF($AC1686="","要確認",IF($AC1686=0,"不支給","未処理")))))</f>
        <v/>
      </c>
      <c r="AE1686" s="12" t="n"/>
      <c r="AF1686" s="11" t="n"/>
      <c r="AG1686" s="11" t="n"/>
      <c r="AH1686" s="11" t="n"/>
      <c r="AI1686" s="14">
        <f>IF(AND($AD1686="保留中",$AF1686&lt;&gt;""),TODAY()-$AF1686,"")</f>
        <v/>
      </c>
      <c r="AJ1686" s="12" t="n"/>
      <c r="AK1686" s="14">
        <f>IF($B1686="","",IF($AO1686="","対象年月が未入力／","")&amp;IF($B1686="","",IF($AN1686="","職員マスタに未登録の職員番号／",IF($Y1686="","標準報酬月額が未登録／","")&amp;IF(AND($AO1686&lt;&gt;"",OR(AND(INDEX(職員マスタ!$G$6:$G$405,$AN1686)&lt;&gt;"",INDEX(職員マスタ!$G$6:$G$405,$AN1686)&gt;EOMONTH($AO1686,0)),AND(INDEX(職員マスタ!$H$6:$H$405,$AN1686)&lt;&gt;"",INDEX(職員マスタ!$H$6:$H$405,$AN1686)&lt;$AO1686))),"対象月が時短期間外／","")&amp;IF(AND(INDEX(職員マスタ!$F$6:$F$405,$AN1686)&lt;&gt;"",$AO1686&lt;&gt;"",INDEX(職員マスタ!$F$6:$F$405,$AN1686)&lt;$AO1686),"対象月に子が2歳到達済／","")&amp;IF(AND($H1686&lt;&gt;"",INDEX(職員マスタ!$B$6:$B$405,$AN1686)&lt;&gt;"",SUBSTITUTE(SUBSTITUTE($H1686," ","")," ","")&lt;&gt;SUBSTITUTE(SUBSTITUTE(INDEX(職員マスタ!$B$6:$B$405,$AN1686)," ","")," ","")),"氏名がマスタと相違／","")&amp;IF(AND($Q1686&lt;&gt;"",INDEX(職員マスタ!$E$6:$E$405,$AN1686)&lt;&gt;"",$Q1686&lt;&gt;INDEX(職員マスタ!$E$6:$E$405,$AN1686)),"子の生年月日がマスタと相違／","")&amp;IF(AND($L1686&lt;&gt;"",INDEX(職員マスタ!$G$6:$G$405,$AN1686)&lt;&gt;"",$L1686&lt;&gt;INDEX(職員マスタ!$G$6:$G$405,$AN1686)),"時短開始日がマスタと相違／","")&amp;IF(AND($M1686&lt;&gt;"",INDEX(職員マスタ!$H$6:$H$405,$AN1686)&lt;&gt;"",$M1686&lt;&gt;INDEX(職員マスタ!$H$6:$H$405,$AN1686)),"時短終了日がマスタと相違／","")))&amp;IF(AND($B1686&lt;&gt;"",$E1686=""),"報酬額が未入力／","")&amp;IF(N($U1686)&gt;0,"申請書に入力エラーが残っています／","")&amp;IF(AND($B1686&lt;&gt;"",$AO1686&lt;&gt;""),IF(COUNTIFS($B$6:$B$3005,$B1686,$C$6:$C$3005,$C1686,$D$6:$D$3005,$D1686)&gt;1,"同じ月の請求が重複しています／",""),"")&amp;IF(AND(N($E1686)&gt;0,$Z1686&lt;&gt;"",$Z1686&lt;&gt;"×",$AC1686=0,$AB1686=""),"計算額が下限以下のため不支給／",""))</f>
        <v/>
      </c>
      <c r="AL1686" s="12" t="n"/>
      <c r="AM1686" s="14">
        <f>IF($AD1686="保留中",COUNTIF($AD$6:$AD1686,"保留中"),"")</f>
        <v/>
      </c>
      <c r="AN1686" s="14">
        <f>IF($AO1686="","",IF(SUMPRODUCT(MAX((職員マスタ!$A$6:$A$405=$B1686)*(((職員マスタ!$G$6:$G$405="")+(職員マスタ!$G$6:$G$405&lt;=EOMONTH($AO1686,0)))&gt;0)*(((職員マスタ!$H$6:$H$405="")+(職員マスタ!$H$6:$H$405&gt;=$AO1686))&gt;0)*(ROW(職員マスタ!$A$6:$A$405)-5)))&gt;0,SUMPRODUCT(MAX((職員マスタ!$A$6:$A$405=$B1686)*(((職員マスタ!$G$6:$G$405="")+(職員マスタ!$G$6:$G$405&lt;=EOMONTH($AO1686,0)))&gt;0)*(((職員マスタ!$H$6:$H$405="")+(職員マスタ!$H$6:$H$405&gt;=$AO1686))&gt;0)*(ROW(職員マスタ!$A$6:$A$405)-5))),IFERROR(MATCH($B1686,職員マスタ!$A$6:$A$405,0),"")))</f>
        <v/>
      </c>
      <c r="AO1686" s="16">
        <f>IF(OR($B1686="",$C1686="",$D1686=""),"",DATE($C1686+2018,$D1686,1))</f>
        <v/>
      </c>
    </row>
    <row r="1687">
      <c r="A1687" s="11" t="n"/>
      <c r="B1687" s="12" t="n"/>
      <c r="C1687" s="12" t="n"/>
      <c r="D1687" s="12" t="n"/>
      <c r="E1687" s="13" t="n"/>
      <c r="F1687" s="12" t="n"/>
      <c r="G1687" s="13" t="n"/>
      <c r="H1687" s="12" t="n"/>
      <c r="I1687" s="12" t="n"/>
      <c r="J1687" s="12" t="n"/>
      <c r="K1687" s="12" t="n"/>
      <c r="L1687" s="11" t="n"/>
      <c r="M1687" s="11" t="n"/>
      <c r="N1687" s="11" t="n"/>
      <c r="O1687" s="11" t="n"/>
      <c r="P1687" s="12" t="n"/>
      <c r="Q1687" s="11" t="n"/>
      <c r="R1687" s="12" t="n"/>
      <c r="S1687" s="11" t="n"/>
      <c r="T1687" s="12" t="n"/>
      <c r="U1687" s="12" t="n"/>
      <c r="V1687" s="14">
        <f>IF($AN1687="",IF($B1687="","",$H1687),IF(INDEX(職員マスタ!$B$6:$B$405,$AN1687)="",$H1687,INDEX(職員マスタ!$B$6:$B$405,$AN1687)))</f>
        <v/>
      </c>
      <c r="W1687" s="14">
        <f>IF($AN1687="",IF($B1687="","",$R1687),IF(INDEX(職員マスタ!$C$6:$C$405,$AN1687)="",$R1687,INDEX(職員マスタ!$C$6:$C$405,$AN1687)))</f>
        <v/>
      </c>
      <c r="X1687" s="14">
        <f>IF($AO1687="","","R"&amp;$C1687&amp;"."&amp;$D1687)</f>
        <v/>
      </c>
      <c r="Y1687" s="15">
        <f>IF($AN1687="","",IF(INDEX(職員マスタ!$K$6:$K$405,$AN1687)="","",INDEX(職員マスタ!$K$6:$K$405,$AN1687)))</f>
        <v/>
      </c>
      <c r="Z1687" s="14">
        <f>IF(OR($E1687="",$Y1687=""),"",IF($E1687&gt;=$Y1687,"×",IF($E1687&gt;=$Y1687*設定!$C$5,"△","○")))</f>
        <v/>
      </c>
      <c r="AA1687" s="15">
        <f>IF($Z1687="","",IF($Z1687="×",0,IF($Z1687="○",ROUNDDOWN($E1687*設定!$C$4,0),ROUNDDOWN($E1687*ROUND((9*$Y1687-9*$E1687)/(10*$E1687),4),0))))</f>
        <v/>
      </c>
      <c r="AB1687" s="13" t="n"/>
      <c r="AC1687" s="15">
        <f>IF($B1687="","",IF($AB1687&lt;&gt;"",$AB1687,IF($AA1687="","",IF($AA1687&lt;=設定!$C$3,0,$AA1687))))</f>
        <v/>
      </c>
      <c r="AD1687" s="14">
        <f>IF($B1687="","",IF(AND($AE1687&lt;&gt;"",$AG1687="",$AJ1687=""),"保留中",IF($AJ1687&lt;&gt;"",IF(N($AC1687)&gt;0,"支給済","不支給"),IF($AC1687="","要確認",IF($AC1687=0,"不支給","未処理")))))</f>
        <v/>
      </c>
      <c r="AE1687" s="12" t="n"/>
      <c r="AF1687" s="11" t="n"/>
      <c r="AG1687" s="11" t="n"/>
      <c r="AH1687" s="11" t="n"/>
      <c r="AI1687" s="14">
        <f>IF(AND($AD1687="保留中",$AF1687&lt;&gt;""),TODAY()-$AF1687,"")</f>
        <v/>
      </c>
      <c r="AJ1687" s="12" t="n"/>
      <c r="AK1687" s="14">
        <f>IF($B1687="","",IF($AO1687="","対象年月が未入力／","")&amp;IF($B1687="","",IF($AN1687="","職員マスタに未登録の職員番号／",IF($Y1687="","標準報酬月額が未登録／","")&amp;IF(AND($AO1687&lt;&gt;"",OR(AND(INDEX(職員マスタ!$G$6:$G$405,$AN1687)&lt;&gt;"",INDEX(職員マスタ!$G$6:$G$405,$AN1687)&gt;EOMONTH($AO1687,0)),AND(INDEX(職員マスタ!$H$6:$H$405,$AN1687)&lt;&gt;"",INDEX(職員マスタ!$H$6:$H$405,$AN1687)&lt;$AO1687))),"対象月が時短期間外／","")&amp;IF(AND(INDEX(職員マスタ!$F$6:$F$405,$AN1687)&lt;&gt;"",$AO1687&lt;&gt;"",INDEX(職員マスタ!$F$6:$F$405,$AN1687)&lt;$AO1687),"対象月に子が2歳到達済／","")&amp;IF(AND($H1687&lt;&gt;"",INDEX(職員マスタ!$B$6:$B$405,$AN1687)&lt;&gt;"",SUBSTITUTE(SUBSTITUTE($H1687," ","")," ","")&lt;&gt;SUBSTITUTE(SUBSTITUTE(INDEX(職員マスタ!$B$6:$B$405,$AN1687)," ","")," ","")),"氏名がマスタと相違／","")&amp;IF(AND($Q1687&lt;&gt;"",INDEX(職員マスタ!$E$6:$E$405,$AN1687)&lt;&gt;"",$Q1687&lt;&gt;INDEX(職員マスタ!$E$6:$E$405,$AN1687)),"子の生年月日がマスタと相違／","")&amp;IF(AND($L1687&lt;&gt;"",INDEX(職員マスタ!$G$6:$G$405,$AN1687)&lt;&gt;"",$L1687&lt;&gt;INDEX(職員マスタ!$G$6:$G$405,$AN1687)),"時短開始日がマスタと相違／","")&amp;IF(AND($M1687&lt;&gt;"",INDEX(職員マスタ!$H$6:$H$405,$AN1687)&lt;&gt;"",$M1687&lt;&gt;INDEX(職員マスタ!$H$6:$H$405,$AN1687)),"時短終了日がマスタと相違／","")))&amp;IF(AND($B1687&lt;&gt;"",$E1687=""),"報酬額が未入力／","")&amp;IF(N($U1687)&gt;0,"申請書に入力エラーが残っています／","")&amp;IF(AND($B1687&lt;&gt;"",$AO1687&lt;&gt;""),IF(COUNTIFS($B$6:$B$3005,$B1687,$C$6:$C$3005,$C1687,$D$6:$D$3005,$D1687)&gt;1,"同じ月の請求が重複しています／",""),"")&amp;IF(AND(N($E1687)&gt;0,$Z1687&lt;&gt;"",$Z1687&lt;&gt;"×",$AC1687=0,$AB1687=""),"計算額が下限以下のため不支給／",""))</f>
        <v/>
      </c>
      <c r="AL1687" s="12" t="n"/>
      <c r="AM1687" s="14">
        <f>IF($AD1687="保留中",COUNTIF($AD$6:$AD1687,"保留中"),"")</f>
        <v/>
      </c>
      <c r="AN1687" s="14">
        <f>IF($AO1687="","",IF(SUMPRODUCT(MAX((職員マスタ!$A$6:$A$405=$B1687)*(((職員マスタ!$G$6:$G$405="")+(職員マスタ!$G$6:$G$405&lt;=EOMONTH($AO1687,0)))&gt;0)*(((職員マスタ!$H$6:$H$405="")+(職員マスタ!$H$6:$H$405&gt;=$AO1687))&gt;0)*(ROW(職員マスタ!$A$6:$A$405)-5)))&gt;0,SUMPRODUCT(MAX((職員マスタ!$A$6:$A$405=$B1687)*(((職員マスタ!$G$6:$G$405="")+(職員マスタ!$G$6:$G$405&lt;=EOMONTH($AO1687,0)))&gt;0)*(((職員マスタ!$H$6:$H$405="")+(職員マスタ!$H$6:$H$405&gt;=$AO1687))&gt;0)*(ROW(職員マスタ!$A$6:$A$405)-5))),IFERROR(MATCH($B1687,職員マスタ!$A$6:$A$405,0),"")))</f>
        <v/>
      </c>
      <c r="AO1687" s="16">
        <f>IF(OR($B1687="",$C1687="",$D1687=""),"",DATE($C1687+2018,$D1687,1))</f>
        <v/>
      </c>
    </row>
    <row r="1688">
      <c r="A1688" s="11" t="n"/>
      <c r="B1688" s="12" t="n"/>
      <c r="C1688" s="12" t="n"/>
      <c r="D1688" s="12" t="n"/>
      <c r="E1688" s="13" t="n"/>
      <c r="F1688" s="12" t="n"/>
      <c r="G1688" s="13" t="n"/>
      <c r="H1688" s="12" t="n"/>
      <c r="I1688" s="12" t="n"/>
      <c r="J1688" s="12" t="n"/>
      <c r="K1688" s="12" t="n"/>
      <c r="L1688" s="11" t="n"/>
      <c r="M1688" s="11" t="n"/>
      <c r="N1688" s="11" t="n"/>
      <c r="O1688" s="11" t="n"/>
      <c r="P1688" s="12" t="n"/>
      <c r="Q1688" s="11" t="n"/>
      <c r="R1688" s="12" t="n"/>
      <c r="S1688" s="11" t="n"/>
      <c r="T1688" s="12" t="n"/>
      <c r="U1688" s="12" t="n"/>
      <c r="V1688" s="14">
        <f>IF($AN1688="",IF($B1688="","",$H1688),IF(INDEX(職員マスタ!$B$6:$B$405,$AN1688)="",$H1688,INDEX(職員マスタ!$B$6:$B$405,$AN1688)))</f>
        <v/>
      </c>
      <c r="W1688" s="14">
        <f>IF($AN1688="",IF($B1688="","",$R1688),IF(INDEX(職員マスタ!$C$6:$C$405,$AN1688)="",$R1688,INDEX(職員マスタ!$C$6:$C$405,$AN1688)))</f>
        <v/>
      </c>
      <c r="X1688" s="14">
        <f>IF($AO1688="","","R"&amp;$C1688&amp;"."&amp;$D1688)</f>
        <v/>
      </c>
      <c r="Y1688" s="15">
        <f>IF($AN1688="","",IF(INDEX(職員マスタ!$K$6:$K$405,$AN1688)="","",INDEX(職員マスタ!$K$6:$K$405,$AN1688)))</f>
        <v/>
      </c>
      <c r="Z1688" s="14">
        <f>IF(OR($E1688="",$Y1688=""),"",IF($E1688&gt;=$Y1688,"×",IF($E1688&gt;=$Y1688*設定!$C$5,"△","○")))</f>
        <v/>
      </c>
      <c r="AA1688" s="15">
        <f>IF($Z1688="","",IF($Z1688="×",0,IF($Z1688="○",ROUNDDOWN($E1688*設定!$C$4,0),ROUNDDOWN($E1688*ROUND((9*$Y1688-9*$E1688)/(10*$E1688),4),0))))</f>
        <v/>
      </c>
      <c r="AB1688" s="13" t="n"/>
      <c r="AC1688" s="15">
        <f>IF($B1688="","",IF($AB1688&lt;&gt;"",$AB1688,IF($AA1688="","",IF($AA1688&lt;=設定!$C$3,0,$AA1688))))</f>
        <v/>
      </c>
      <c r="AD1688" s="14">
        <f>IF($B1688="","",IF(AND($AE1688&lt;&gt;"",$AG1688="",$AJ1688=""),"保留中",IF($AJ1688&lt;&gt;"",IF(N($AC1688)&gt;0,"支給済","不支給"),IF($AC1688="","要確認",IF($AC1688=0,"不支給","未処理")))))</f>
        <v/>
      </c>
      <c r="AE1688" s="12" t="n"/>
      <c r="AF1688" s="11" t="n"/>
      <c r="AG1688" s="11" t="n"/>
      <c r="AH1688" s="11" t="n"/>
      <c r="AI1688" s="14">
        <f>IF(AND($AD1688="保留中",$AF1688&lt;&gt;""),TODAY()-$AF1688,"")</f>
        <v/>
      </c>
      <c r="AJ1688" s="12" t="n"/>
      <c r="AK1688" s="14">
        <f>IF($B1688="","",IF($AO1688="","対象年月が未入力／","")&amp;IF($B1688="","",IF($AN1688="","職員マスタに未登録の職員番号／",IF($Y1688="","標準報酬月額が未登録／","")&amp;IF(AND($AO1688&lt;&gt;"",OR(AND(INDEX(職員マスタ!$G$6:$G$405,$AN1688)&lt;&gt;"",INDEX(職員マスタ!$G$6:$G$405,$AN1688)&gt;EOMONTH($AO1688,0)),AND(INDEX(職員マスタ!$H$6:$H$405,$AN1688)&lt;&gt;"",INDEX(職員マスタ!$H$6:$H$405,$AN1688)&lt;$AO1688))),"対象月が時短期間外／","")&amp;IF(AND(INDEX(職員マスタ!$F$6:$F$405,$AN1688)&lt;&gt;"",$AO1688&lt;&gt;"",INDEX(職員マスタ!$F$6:$F$405,$AN1688)&lt;$AO1688),"対象月に子が2歳到達済／","")&amp;IF(AND($H1688&lt;&gt;"",INDEX(職員マスタ!$B$6:$B$405,$AN1688)&lt;&gt;"",SUBSTITUTE(SUBSTITUTE($H1688," ","")," ","")&lt;&gt;SUBSTITUTE(SUBSTITUTE(INDEX(職員マスタ!$B$6:$B$405,$AN1688)," ","")," ","")),"氏名がマスタと相違／","")&amp;IF(AND($Q1688&lt;&gt;"",INDEX(職員マスタ!$E$6:$E$405,$AN1688)&lt;&gt;"",$Q1688&lt;&gt;INDEX(職員マスタ!$E$6:$E$405,$AN1688)),"子の生年月日がマスタと相違／","")&amp;IF(AND($L1688&lt;&gt;"",INDEX(職員マスタ!$G$6:$G$405,$AN1688)&lt;&gt;"",$L1688&lt;&gt;INDEX(職員マスタ!$G$6:$G$405,$AN1688)),"時短開始日がマスタと相違／","")&amp;IF(AND($M1688&lt;&gt;"",INDEX(職員マスタ!$H$6:$H$405,$AN1688)&lt;&gt;"",$M1688&lt;&gt;INDEX(職員マスタ!$H$6:$H$405,$AN1688)),"時短終了日がマスタと相違／","")))&amp;IF(AND($B1688&lt;&gt;"",$E1688=""),"報酬額が未入力／","")&amp;IF(N($U1688)&gt;0,"申請書に入力エラーが残っています／","")&amp;IF(AND($B1688&lt;&gt;"",$AO1688&lt;&gt;""),IF(COUNTIFS($B$6:$B$3005,$B1688,$C$6:$C$3005,$C1688,$D$6:$D$3005,$D1688)&gt;1,"同じ月の請求が重複しています／",""),"")&amp;IF(AND(N($E1688)&gt;0,$Z1688&lt;&gt;"",$Z1688&lt;&gt;"×",$AC1688=0,$AB1688=""),"計算額が下限以下のため不支給／",""))</f>
        <v/>
      </c>
      <c r="AL1688" s="12" t="n"/>
      <c r="AM1688" s="14">
        <f>IF($AD1688="保留中",COUNTIF($AD$6:$AD1688,"保留中"),"")</f>
        <v/>
      </c>
      <c r="AN1688" s="14">
        <f>IF($AO1688="","",IF(SUMPRODUCT(MAX((職員マスタ!$A$6:$A$405=$B1688)*(((職員マスタ!$G$6:$G$405="")+(職員マスタ!$G$6:$G$405&lt;=EOMONTH($AO1688,0)))&gt;0)*(((職員マスタ!$H$6:$H$405="")+(職員マスタ!$H$6:$H$405&gt;=$AO1688))&gt;0)*(ROW(職員マスタ!$A$6:$A$405)-5)))&gt;0,SUMPRODUCT(MAX((職員マスタ!$A$6:$A$405=$B1688)*(((職員マスタ!$G$6:$G$405="")+(職員マスタ!$G$6:$G$405&lt;=EOMONTH($AO1688,0)))&gt;0)*(((職員マスタ!$H$6:$H$405="")+(職員マスタ!$H$6:$H$405&gt;=$AO1688))&gt;0)*(ROW(職員マスタ!$A$6:$A$405)-5))),IFERROR(MATCH($B1688,職員マスタ!$A$6:$A$405,0),"")))</f>
        <v/>
      </c>
      <c r="AO1688" s="16">
        <f>IF(OR($B1688="",$C1688="",$D1688=""),"",DATE($C1688+2018,$D1688,1))</f>
        <v/>
      </c>
    </row>
    <row r="1689">
      <c r="A1689" s="11" t="n"/>
      <c r="B1689" s="12" t="n"/>
      <c r="C1689" s="12" t="n"/>
      <c r="D1689" s="12" t="n"/>
      <c r="E1689" s="13" t="n"/>
      <c r="F1689" s="12" t="n"/>
      <c r="G1689" s="13" t="n"/>
      <c r="H1689" s="12" t="n"/>
      <c r="I1689" s="12" t="n"/>
      <c r="J1689" s="12" t="n"/>
      <c r="K1689" s="12" t="n"/>
      <c r="L1689" s="11" t="n"/>
      <c r="M1689" s="11" t="n"/>
      <c r="N1689" s="11" t="n"/>
      <c r="O1689" s="11" t="n"/>
      <c r="P1689" s="12" t="n"/>
      <c r="Q1689" s="11" t="n"/>
      <c r="R1689" s="12" t="n"/>
      <c r="S1689" s="11" t="n"/>
      <c r="T1689" s="12" t="n"/>
      <c r="U1689" s="12" t="n"/>
      <c r="V1689" s="14">
        <f>IF($AN1689="",IF($B1689="","",$H1689),IF(INDEX(職員マスタ!$B$6:$B$405,$AN1689)="",$H1689,INDEX(職員マスタ!$B$6:$B$405,$AN1689)))</f>
        <v/>
      </c>
      <c r="W1689" s="14">
        <f>IF($AN1689="",IF($B1689="","",$R1689),IF(INDEX(職員マスタ!$C$6:$C$405,$AN1689)="",$R1689,INDEX(職員マスタ!$C$6:$C$405,$AN1689)))</f>
        <v/>
      </c>
      <c r="X1689" s="14">
        <f>IF($AO1689="","","R"&amp;$C1689&amp;"."&amp;$D1689)</f>
        <v/>
      </c>
      <c r="Y1689" s="15">
        <f>IF($AN1689="","",IF(INDEX(職員マスタ!$K$6:$K$405,$AN1689)="","",INDEX(職員マスタ!$K$6:$K$405,$AN1689)))</f>
        <v/>
      </c>
      <c r="Z1689" s="14">
        <f>IF(OR($E1689="",$Y1689=""),"",IF($E1689&gt;=$Y1689,"×",IF($E1689&gt;=$Y1689*設定!$C$5,"△","○")))</f>
        <v/>
      </c>
      <c r="AA1689" s="15">
        <f>IF($Z1689="","",IF($Z1689="×",0,IF($Z1689="○",ROUNDDOWN($E1689*設定!$C$4,0),ROUNDDOWN($E1689*ROUND((9*$Y1689-9*$E1689)/(10*$E1689),4),0))))</f>
        <v/>
      </c>
      <c r="AB1689" s="13" t="n"/>
      <c r="AC1689" s="15">
        <f>IF($B1689="","",IF($AB1689&lt;&gt;"",$AB1689,IF($AA1689="","",IF($AA1689&lt;=設定!$C$3,0,$AA1689))))</f>
        <v/>
      </c>
      <c r="AD1689" s="14">
        <f>IF($B1689="","",IF(AND($AE1689&lt;&gt;"",$AG1689="",$AJ1689=""),"保留中",IF($AJ1689&lt;&gt;"",IF(N($AC1689)&gt;0,"支給済","不支給"),IF($AC1689="","要確認",IF($AC1689=0,"不支給","未処理")))))</f>
        <v/>
      </c>
      <c r="AE1689" s="12" t="n"/>
      <c r="AF1689" s="11" t="n"/>
      <c r="AG1689" s="11" t="n"/>
      <c r="AH1689" s="11" t="n"/>
      <c r="AI1689" s="14">
        <f>IF(AND($AD1689="保留中",$AF1689&lt;&gt;""),TODAY()-$AF1689,"")</f>
        <v/>
      </c>
      <c r="AJ1689" s="12" t="n"/>
      <c r="AK1689" s="14">
        <f>IF($B1689="","",IF($AO1689="","対象年月が未入力／","")&amp;IF($B1689="","",IF($AN1689="","職員マスタに未登録の職員番号／",IF($Y1689="","標準報酬月額が未登録／","")&amp;IF(AND($AO1689&lt;&gt;"",OR(AND(INDEX(職員マスタ!$G$6:$G$405,$AN1689)&lt;&gt;"",INDEX(職員マスタ!$G$6:$G$405,$AN1689)&gt;EOMONTH($AO1689,0)),AND(INDEX(職員マスタ!$H$6:$H$405,$AN1689)&lt;&gt;"",INDEX(職員マスタ!$H$6:$H$405,$AN1689)&lt;$AO1689))),"対象月が時短期間外／","")&amp;IF(AND(INDEX(職員マスタ!$F$6:$F$405,$AN1689)&lt;&gt;"",$AO1689&lt;&gt;"",INDEX(職員マスタ!$F$6:$F$405,$AN1689)&lt;$AO1689),"対象月に子が2歳到達済／","")&amp;IF(AND($H1689&lt;&gt;"",INDEX(職員マスタ!$B$6:$B$405,$AN1689)&lt;&gt;"",SUBSTITUTE(SUBSTITUTE($H1689," ","")," ","")&lt;&gt;SUBSTITUTE(SUBSTITUTE(INDEX(職員マスタ!$B$6:$B$405,$AN1689)," ","")," ","")),"氏名がマスタと相違／","")&amp;IF(AND($Q1689&lt;&gt;"",INDEX(職員マスタ!$E$6:$E$405,$AN1689)&lt;&gt;"",$Q1689&lt;&gt;INDEX(職員マスタ!$E$6:$E$405,$AN1689)),"子の生年月日がマスタと相違／","")&amp;IF(AND($L1689&lt;&gt;"",INDEX(職員マスタ!$G$6:$G$405,$AN1689)&lt;&gt;"",$L1689&lt;&gt;INDEX(職員マスタ!$G$6:$G$405,$AN1689)),"時短開始日がマスタと相違／","")&amp;IF(AND($M1689&lt;&gt;"",INDEX(職員マスタ!$H$6:$H$405,$AN1689)&lt;&gt;"",$M1689&lt;&gt;INDEX(職員マスタ!$H$6:$H$405,$AN1689)),"時短終了日がマスタと相違／","")))&amp;IF(AND($B1689&lt;&gt;"",$E1689=""),"報酬額が未入力／","")&amp;IF(N($U1689)&gt;0,"申請書に入力エラーが残っています／","")&amp;IF(AND($B1689&lt;&gt;"",$AO1689&lt;&gt;""),IF(COUNTIFS($B$6:$B$3005,$B1689,$C$6:$C$3005,$C1689,$D$6:$D$3005,$D1689)&gt;1,"同じ月の請求が重複しています／",""),"")&amp;IF(AND(N($E1689)&gt;0,$Z1689&lt;&gt;"",$Z1689&lt;&gt;"×",$AC1689=0,$AB1689=""),"計算額が下限以下のため不支給／",""))</f>
        <v/>
      </c>
      <c r="AL1689" s="12" t="n"/>
      <c r="AM1689" s="14">
        <f>IF($AD1689="保留中",COUNTIF($AD$6:$AD1689,"保留中"),"")</f>
        <v/>
      </c>
      <c r="AN1689" s="14">
        <f>IF($AO1689="","",IF(SUMPRODUCT(MAX((職員マスタ!$A$6:$A$405=$B1689)*(((職員マスタ!$G$6:$G$405="")+(職員マスタ!$G$6:$G$405&lt;=EOMONTH($AO1689,0)))&gt;0)*(((職員マスタ!$H$6:$H$405="")+(職員マスタ!$H$6:$H$405&gt;=$AO1689))&gt;0)*(ROW(職員マスタ!$A$6:$A$405)-5)))&gt;0,SUMPRODUCT(MAX((職員マスタ!$A$6:$A$405=$B1689)*(((職員マスタ!$G$6:$G$405="")+(職員マスタ!$G$6:$G$405&lt;=EOMONTH($AO1689,0)))&gt;0)*(((職員マスタ!$H$6:$H$405="")+(職員マスタ!$H$6:$H$405&gt;=$AO1689))&gt;0)*(ROW(職員マスタ!$A$6:$A$405)-5))),IFERROR(MATCH($B1689,職員マスタ!$A$6:$A$405,0),"")))</f>
        <v/>
      </c>
      <c r="AO1689" s="16">
        <f>IF(OR($B1689="",$C1689="",$D1689=""),"",DATE($C1689+2018,$D1689,1))</f>
        <v/>
      </c>
    </row>
    <row r="1690">
      <c r="A1690" s="11" t="n"/>
      <c r="B1690" s="12" t="n"/>
      <c r="C1690" s="12" t="n"/>
      <c r="D1690" s="12" t="n"/>
      <c r="E1690" s="13" t="n"/>
      <c r="F1690" s="12" t="n"/>
      <c r="G1690" s="13" t="n"/>
      <c r="H1690" s="12" t="n"/>
      <c r="I1690" s="12" t="n"/>
      <c r="J1690" s="12" t="n"/>
      <c r="K1690" s="12" t="n"/>
      <c r="L1690" s="11" t="n"/>
      <c r="M1690" s="11" t="n"/>
      <c r="N1690" s="11" t="n"/>
      <c r="O1690" s="11" t="n"/>
      <c r="P1690" s="12" t="n"/>
      <c r="Q1690" s="11" t="n"/>
      <c r="R1690" s="12" t="n"/>
      <c r="S1690" s="11" t="n"/>
      <c r="T1690" s="12" t="n"/>
      <c r="U1690" s="12" t="n"/>
      <c r="V1690" s="14">
        <f>IF($AN1690="",IF($B1690="","",$H1690),IF(INDEX(職員マスタ!$B$6:$B$405,$AN1690)="",$H1690,INDEX(職員マスタ!$B$6:$B$405,$AN1690)))</f>
        <v/>
      </c>
      <c r="W1690" s="14">
        <f>IF($AN1690="",IF($B1690="","",$R1690),IF(INDEX(職員マスタ!$C$6:$C$405,$AN1690)="",$R1690,INDEX(職員マスタ!$C$6:$C$405,$AN1690)))</f>
        <v/>
      </c>
      <c r="X1690" s="14">
        <f>IF($AO1690="","","R"&amp;$C1690&amp;"."&amp;$D1690)</f>
        <v/>
      </c>
      <c r="Y1690" s="15">
        <f>IF($AN1690="","",IF(INDEX(職員マスタ!$K$6:$K$405,$AN1690)="","",INDEX(職員マスタ!$K$6:$K$405,$AN1690)))</f>
        <v/>
      </c>
      <c r="Z1690" s="14">
        <f>IF(OR($E1690="",$Y1690=""),"",IF($E1690&gt;=$Y1690,"×",IF($E1690&gt;=$Y1690*設定!$C$5,"△","○")))</f>
        <v/>
      </c>
      <c r="AA1690" s="15">
        <f>IF($Z1690="","",IF($Z1690="×",0,IF($Z1690="○",ROUNDDOWN($E1690*設定!$C$4,0),ROUNDDOWN($E1690*ROUND((9*$Y1690-9*$E1690)/(10*$E1690),4),0))))</f>
        <v/>
      </c>
      <c r="AB1690" s="13" t="n"/>
      <c r="AC1690" s="15">
        <f>IF($B1690="","",IF($AB1690&lt;&gt;"",$AB1690,IF($AA1690="","",IF($AA1690&lt;=設定!$C$3,0,$AA1690))))</f>
        <v/>
      </c>
      <c r="AD1690" s="14">
        <f>IF($B1690="","",IF(AND($AE1690&lt;&gt;"",$AG1690="",$AJ1690=""),"保留中",IF($AJ1690&lt;&gt;"",IF(N($AC1690)&gt;0,"支給済","不支給"),IF($AC1690="","要確認",IF($AC1690=0,"不支給","未処理")))))</f>
        <v/>
      </c>
      <c r="AE1690" s="12" t="n"/>
      <c r="AF1690" s="11" t="n"/>
      <c r="AG1690" s="11" t="n"/>
      <c r="AH1690" s="11" t="n"/>
      <c r="AI1690" s="14">
        <f>IF(AND($AD1690="保留中",$AF1690&lt;&gt;""),TODAY()-$AF1690,"")</f>
        <v/>
      </c>
      <c r="AJ1690" s="12" t="n"/>
      <c r="AK1690" s="14">
        <f>IF($B1690="","",IF($AO1690="","対象年月が未入力／","")&amp;IF($B1690="","",IF($AN1690="","職員マスタに未登録の職員番号／",IF($Y1690="","標準報酬月額が未登録／","")&amp;IF(AND($AO1690&lt;&gt;"",OR(AND(INDEX(職員マスタ!$G$6:$G$405,$AN1690)&lt;&gt;"",INDEX(職員マスタ!$G$6:$G$405,$AN1690)&gt;EOMONTH($AO1690,0)),AND(INDEX(職員マスタ!$H$6:$H$405,$AN1690)&lt;&gt;"",INDEX(職員マスタ!$H$6:$H$405,$AN1690)&lt;$AO1690))),"対象月が時短期間外／","")&amp;IF(AND(INDEX(職員マスタ!$F$6:$F$405,$AN1690)&lt;&gt;"",$AO1690&lt;&gt;"",INDEX(職員マスタ!$F$6:$F$405,$AN1690)&lt;$AO1690),"対象月に子が2歳到達済／","")&amp;IF(AND($H1690&lt;&gt;"",INDEX(職員マスタ!$B$6:$B$405,$AN1690)&lt;&gt;"",SUBSTITUTE(SUBSTITUTE($H1690," ","")," ","")&lt;&gt;SUBSTITUTE(SUBSTITUTE(INDEX(職員マスタ!$B$6:$B$405,$AN1690)," ","")," ","")),"氏名がマスタと相違／","")&amp;IF(AND($Q1690&lt;&gt;"",INDEX(職員マスタ!$E$6:$E$405,$AN1690)&lt;&gt;"",$Q1690&lt;&gt;INDEX(職員マスタ!$E$6:$E$405,$AN1690)),"子の生年月日がマスタと相違／","")&amp;IF(AND($L1690&lt;&gt;"",INDEX(職員マスタ!$G$6:$G$405,$AN1690)&lt;&gt;"",$L1690&lt;&gt;INDEX(職員マスタ!$G$6:$G$405,$AN1690)),"時短開始日がマスタと相違／","")&amp;IF(AND($M1690&lt;&gt;"",INDEX(職員マスタ!$H$6:$H$405,$AN1690)&lt;&gt;"",$M1690&lt;&gt;INDEX(職員マスタ!$H$6:$H$405,$AN1690)),"時短終了日がマスタと相違／","")))&amp;IF(AND($B1690&lt;&gt;"",$E1690=""),"報酬額が未入力／","")&amp;IF(N($U1690)&gt;0,"申請書に入力エラーが残っています／","")&amp;IF(AND($B1690&lt;&gt;"",$AO1690&lt;&gt;""),IF(COUNTIFS($B$6:$B$3005,$B1690,$C$6:$C$3005,$C1690,$D$6:$D$3005,$D1690)&gt;1,"同じ月の請求が重複しています／",""),"")&amp;IF(AND(N($E1690)&gt;0,$Z1690&lt;&gt;"",$Z1690&lt;&gt;"×",$AC1690=0,$AB1690=""),"計算額が下限以下のため不支給／",""))</f>
        <v/>
      </c>
      <c r="AL1690" s="12" t="n"/>
      <c r="AM1690" s="14">
        <f>IF($AD1690="保留中",COUNTIF($AD$6:$AD1690,"保留中"),"")</f>
        <v/>
      </c>
      <c r="AN1690" s="14">
        <f>IF($AO1690="","",IF(SUMPRODUCT(MAX((職員マスタ!$A$6:$A$405=$B1690)*(((職員マスタ!$G$6:$G$405="")+(職員マスタ!$G$6:$G$405&lt;=EOMONTH($AO1690,0)))&gt;0)*(((職員マスタ!$H$6:$H$405="")+(職員マスタ!$H$6:$H$405&gt;=$AO1690))&gt;0)*(ROW(職員マスタ!$A$6:$A$405)-5)))&gt;0,SUMPRODUCT(MAX((職員マスタ!$A$6:$A$405=$B1690)*(((職員マスタ!$G$6:$G$405="")+(職員マスタ!$G$6:$G$405&lt;=EOMONTH($AO1690,0)))&gt;0)*(((職員マスタ!$H$6:$H$405="")+(職員マスタ!$H$6:$H$405&gt;=$AO1690))&gt;0)*(ROW(職員マスタ!$A$6:$A$405)-5))),IFERROR(MATCH($B1690,職員マスタ!$A$6:$A$405,0),"")))</f>
        <v/>
      </c>
      <c r="AO1690" s="16">
        <f>IF(OR($B1690="",$C1690="",$D1690=""),"",DATE($C1690+2018,$D1690,1))</f>
        <v/>
      </c>
    </row>
    <row r="1691">
      <c r="A1691" s="11" t="n"/>
      <c r="B1691" s="12" t="n"/>
      <c r="C1691" s="12" t="n"/>
      <c r="D1691" s="12" t="n"/>
      <c r="E1691" s="13" t="n"/>
      <c r="F1691" s="12" t="n"/>
      <c r="G1691" s="13" t="n"/>
      <c r="H1691" s="12" t="n"/>
      <c r="I1691" s="12" t="n"/>
      <c r="J1691" s="12" t="n"/>
      <c r="K1691" s="12" t="n"/>
      <c r="L1691" s="11" t="n"/>
      <c r="M1691" s="11" t="n"/>
      <c r="N1691" s="11" t="n"/>
      <c r="O1691" s="11" t="n"/>
      <c r="P1691" s="12" t="n"/>
      <c r="Q1691" s="11" t="n"/>
      <c r="R1691" s="12" t="n"/>
      <c r="S1691" s="11" t="n"/>
      <c r="T1691" s="12" t="n"/>
      <c r="U1691" s="12" t="n"/>
      <c r="V1691" s="14">
        <f>IF($AN1691="",IF($B1691="","",$H1691),IF(INDEX(職員マスタ!$B$6:$B$405,$AN1691)="",$H1691,INDEX(職員マスタ!$B$6:$B$405,$AN1691)))</f>
        <v/>
      </c>
      <c r="W1691" s="14">
        <f>IF($AN1691="",IF($B1691="","",$R1691),IF(INDEX(職員マスタ!$C$6:$C$405,$AN1691)="",$R1691,INDEX(職員マスタ!$C$6:$C$405,$AN1691)))</f>
        <v/>
      </c>
      <c r="X1691" s="14">
        <f>IF($AO1691="","","R"&amp;$C1691&amp;"."&amp;$D1691)</f>
        <v/>
      </c>
      <c r="Y1691" s="15">
        <f>IF($AN1691="","",IF(INDEX(職員マスタ!$K$6:$K$405,$AN1691)="","",INDEX(職員マスタ!$K$6:$K$405,$AN1691)))</f>
        <v/>
      </c>
      <c r="Z1691" s="14">
        <f>IF(OR($E1691="",$Y1691=""),"",IF($E1691&gt;=$Y1691,"×",IF($E1691&gt;=$Y1691*設定!$C$5,"△","○")))</f>
        <v/>
      </c>
      <c r="AA1691" s="15">
        <f>IF($Z1691="","",IF($Z1691="×",0,IF($Z1691="○",ROUNDDOWN($E1691*設定!$C$4,0),ROUNDDOWN($E1691*ROUND((9*$Y1691-9*$E1691)/(10*$E1691),4),0))))</f>
        <v/>
      </c>
      <c r="AB1691" s="13" t="n"/>
      <c r="AC1691" s="15">
        <f>IF($B1691="","",IF($AB1691&lt;&gt;"",$AB1691,IF($AA1691="","",IF($AA1691&lt;=設定!$C$3,0,$AA1691))))</f>
        <v/>
      </c>
      <c r="AD1691" s="14">
        <f>IF($B1691="","",IF(AND($AE1691&lt;&gt;"",$AG1691="",$AJ1691=""),"保留中",IF($AJ1691&lt;&gt;"",IF(N($AC1691)&gt;0,"支給済","不支給"),IF($AC1691="","要確認",IF($AC1691=0,"不支給","未処理")))))</f>
        <v/>
      </c>
      <c r="AE1691" s="12" t="n"/>
      <c r="AF1691" s="11" t="n"/>
      <c r="AG1691" s="11" t="n"/>
      <c r="AH1691" s="11" t="n"/>
      <c r="AI1691" s="14">
        <f>IF(AND($AD1691="保留中",$AF1691&lt;&gt;""),TODAY()-$AF1691,"")</f>
        <v/>
      </c>
      <c r="AJ1691" s="12" t="n"/>
      <c r="AK1691" s="14">
        <f>IF($B1691="","",IF($AO1691="","対象年月が未入力／","")&amp;IF($B1691="","",IF($AN1691="","職員マスタに未登録の職員番号／",IF($Y1691="","標準報酬月額が未登録／","")&amp;IF(AND($AO1691&lt;&gt;"",OR(AND(INDEX(職員マスタ!$G$6:$G$405,$AN1691)&lt;&gt;"",INDEX(職員マスタ!$G$6:$G$405,$AN1691)&gt;EOMONTH($AO1691,0)),AND(INDEX(職員マスタ!$H$6:$H$405,$AN1691)&lt;&gt;"",INDEX(職員マスタ!$H$6:$H$405,$AN1691)&lt;$AO1691))),"対象月が時短期間外／","")&amp;IF(AND(INDEX(職員マスタ!$F$6:$F$405,$AN1691)&lt;&gt;"",$AO1691&lt;&gt;"",INDEX(職員マスタ!$F$6:$F$405,$AN1691)&lt;$AO1691),"対象月に子が2歳到達済／","")&amp;IF(AND($H1691&lt;&gt;"",INDEX(職員マスタ!$B$6:$B$405,$AN1691)&lt;&gt;"",SUBSTITUTE(SUBSTITUTE($H1691," ","")," ","")&lt;&gt;SUBSTITUTE(SUBSTITUTE(INDEX(職員マスタ!$B$6:$B$405,$AN1691)," ","")," ","")),"氏名がマスタと相違／","")&amp;IF(AND($Q1691&lt;&gt;"",INDEX(職員マスタ!$E$6:$E$405,$AN1691)&lt;&gt;"",$Q1691&lt;&gt;INDEX(職員マスタ!$E$6:$E$405,$AN1691)),"子の生年月日がマスタと相違／","")&amp;IF(AND($L1691&lt;&gt;"",INDEX(職員マスタ!$G$6:$G$405,$AN1691)&lt;&gt;"",$L1691&lt;&gt;INDEX(職員マスタ!$G$6:$G$405,$AN1691)),"時短開始日がマスタと相違／","")&amp;IF(AND($M1691&lt;&gt;"",INDEX(職員マスタ!$H$6:$H$405,$AN1691)&lt;&gt;"",$M1691&lt;&gt;INDEX(職員マスタ!$H$6:$H$405,$AN1691)),"時短終了日がマスタと相違／","")))&amp;IF(AND($B1691&lt;&gt;"",$E1691=""),"報酬額が未入力／","")&amp;IF(N($U1691)&gt;0,"申請書に入力エラーが残っています／","")&amp;IF(AND($B1691&lt;&gt;"",$AO1691&lt;&gt;""),IF(COUNTIFS($B$6:$B$3005,$B1691,$C$6:$C$3005,$C1691,$D$6:$D$3005,$D1691)&gt;1,"同じ月の請求が重複しています／",""),"")&amp;IF(AND(N($E1691)&gt;0,$Z1691&lt;&gt;"",$Z1691&lt;&gt;"×",$AC1691=0,$AB1691=""),"計算額が下限以下のため不支給／",""))</f>
        <v/>
      </c>
      <c r="AL1691" s="12" t="n"/>
      <c r="AM1691" s="14">
        <f>IF($AD1691="保留中",COUNTIF($AD$6:$AD1691,"保留中"),"")</f>
        <v/>
      </c>
      <c r="AN1691" s="14">
        <f>IF($AO1691="","",IF(SUMPRODUCT(MAX((職員マスタ!$A$6:$A$405=$B1691)*(((職員マスタ!$G$6:$G$405="")+(職員マスタ!$G$6:$G$405&lt;=EOMONTH($AO1691,0)))&gt;0)*(((職員マスタ!$H$6:$H$405="")+(職員マスタ!$H$6:$H$405&gt;=$AO1691))&gt;0)*(ROW(職員マスタ!$A$6:$A$405)-5)))&gt;0,SUMPRODUCT(MAX((職員マスタ!$A$6:$A$405=$B1691)*(((職員マスタ!$G$6:$G$405="")+(職員マスタ!$G$6:$G$405&lt;=EOMONTH($AO1691,0)))&gt;0)*(((職員マスタ!$H$6:$H$405="")+(職員マスタ!$H$6:$H$405&gt;=$AO1691))&gt;0)*(ROW(職員マスタ!$A$6:$A$405)-5))),IFERROR(MATCH($B1691,職員マスタ!$A$6:$A$405,0),"")))</f>
        <v/>
      </c>
      <c r="AO1691" s="16">
        <f>IF(OR($B1691="",$C1691="",$D1691=""),"",DATE($C1691+2018,$D1691,1))</f>
        <v/>
      </c>
    </row>
    <row r="1692">
      <c r="A1692" s="11" t="n"/>
      <c r="B1692" s="12" t="n"/>
      <c r="C1692" s="12" t="n"/>
      <c r="D1692" s="12" t="n"/>
      <c r="E1692" s="13" t="n"/>
      <c r="F1692" s="12" t="n"/>
      <c r="G1692" s="13" t="n"/>
      <c r="H1692" s="12" t="n"/>
      <c r="I1692" s="12" t="n"/>
      <c r="J1692" s="12" t="n"/>
      <c r="K1692" s="12" t="n"/>
      <c r="L1692" s="11" t="n"/>
      <c r="M1692" s="11" t="n"/>
      <c r="N1692" s="11" t="n"/>
      <c r="O1692" s="11" t="n"/>
      <c r="P1692" s="12" t="n"/>
      <c r="Q1692" s="11" t="n"/>
      <c r="R1692" s="12" t="n"/>
      <c r="S1692" s="11" t="n"/>
      <c r="T1692" s="12" t="n"/>
      <c r="U1692" s="12" t="n"/>
      <c r="V1692" s="14">
        <f>IF($AN1692="",IF($B1692="","",$H1692),IF(INDEX(職員マスタ!$B$6:$B$405,$AN1692)="",$H1692,INDEX(職員マスタ!$B$6:$B$405,$AN1692)))</f>
        <v/>
      </c>
      <c r="W1692" s="14">
        <f>IF($AN1692="",IF($B1692="","",$R1692),IF(INDEX(職員マスタ!$C$6:$C$405,$AN1692)="",$R1692,INDEX(職員マスタ!$C$6:$C$405,$AN1692)))</f>
        <v/>
      </c>
      <c r="X1692" s="14">
        <f>IF($AO1692="","","R"&amp;$C1692&amp;"."&amp;$D1692)</f>
        <v/>
      </c>
      <c r="Y1692" s="15">
        <f>IF($AN1692="","",IF(INDEX(職員マスタ!$K$6:$K$405,$AN1692)="","",INDEX(職員マスタ!$K$6:$K$405,$AN1692)))</f>
        <v/>
      </c>
      <c r="Z1692" s="14">
        <f>IF(OR($E1692="",$Y1692=""),"",IF($E1692&gt;=$Y1692,"×",IF($E1692&gt;=$Y1692*設定!$C$5,"△","○")))</f>
        <v/>
      </c>
      <c r="AA1692" s="15">
        <f>IF($Z1692="","",IF($Z1692="×",0,IF($Z1692="○",ROUNDDOWN($E1692*設定!$C$4,0),ROUNDDOWN($E1692*ROUND((9*$Y1692-9*$E1692)/(10*$E1692),4),0))))</f>
        <v/>
      </c>
      <c r="AB1692" s="13" t="n"/>
      <c r="AC1692" s="15">
        <f>IF($B1692="","",IF($AB1692&lt;&gt;"",$AB1692,IF($AA1692="","",IF($AA1692&lt;=設定!$C$3,0,$AA1692))))</f>
        <v/>
      </c>
      <c r="AD1692" s="14">
        <f>IF($B1692="","",IF(AND($AE1692&lt;&gt;"",$AG1692="",$AJ1692=""),"保留中",IF($AJ1692&lt;&gt;"",IF(N($AC1692)&gt;0,"支給済","不支給"),IF($AC1692="","要確認",IF($AC1692=0,"不支給","未処理")))))</f>
        <v/>
      </c>
      <c r="AE1692" s="12" t="n"/>
      <c r="AF1692" s="11" t="n"/>
      <c r="AG1692" s="11" t="n"/>
      <c r="AH1692" s="11" t="n"/>
      <c r="AI1692" s="14">
        <f>IF(AND($AD1692="保留中",$AF1692&lt;&gt;""),TODAY()-$AF1692,"")</f>
        <v/>
      </c>
      <c r="AJ1692" s="12" t="n"/>
      <c r="AK1692" s="14">
        <f>IF($B1692="","",IF($AO1692="","対象年月が未入力／","")&amp;IF($B1692="","",IF($AN1692="","職員マスタに未登録の職員番号／",IF($Y1692="","標準報酬月額が未登録／","")&amp;IF(AND($AO1692&lt;&gt;"",OR(AND(INDEX(職員マスタ!$G$6:$G$405,$AN1692)&lt;&gt;"",INDEX(職員マスタ!$G$6:$G$405,$AN1692)&gt;EOMONTH($AO1692,0)),AND(INDEX(職員マスタ!$H$6:$H$405,$AN1692)&lt;&gt;"",INDEX(職員マスタ!$H$6:$H$405,$AN1692)&lt;$AO1692))),"対象月が時短期間外／","")&amp;IF(AND(INDEX(職員マスタ!$F$6:$F$405,$AN1692)&lt;&gt;"",$AO1692&lt;&gt;"",INDEX(職員マスタ!$F$6:$F$405,$AN1692)&lt;$AO1692),"対象月に子が2歳到達済／","")&amp;IF(AND($H1692&lt;&gt;"",INDEX(職員マスタ!$B$6:$B$405,$AN1692)&lt;&gt;"",SUBSTITUTE(SUBSTITUTE($H1692," ","")," ","")&lt;&gt;SUBSTITUTE(SUBSTITUTE(INDEX(職員マスタ!$B$6:$B$405,$AN1692)," ","")," ","")),"氏名がマスタと相違／","")&amp;IF(AND($Q1692&lt;&gt;"",INDEX(職員マスタ!$E$6:$E$405,$AN1692)&lt;&gt;"",$Q1692&lt;&gt;INDEX(職員マスタ!$E$6:$E$405,$AN1692)),"子の生年月日がマスタと相違／","")&amp;IF(AND($L1692&lt;&gt;"",INDEX(職員マスタ!$G$6:$G$405,$AN1692)&lt;&gt;"",$L1692&lt;&gt;INDEX(職員マスタ!$G$6:$G$405,$AN1692)),"時短開始日がマスタと相違／","")&amp;IF(AND($M1692&lt;&gt;"",INDEX(職員マスタ!$H$6:$H$405,$AN1692)&lt;&gt;"",$M1692&lt;&gt;INDEX(職員マスタ!$H$6:$H$405,$AN1692)),"時短終了日がマスタと相違／","")))&amp;IF(AND($B1692&lt;&gt;"",$E1692=""),"報酬額が未入力／","")&amp;IF(N($U1692)&gt;0,"申請書に入力エラーが残っています／","")&amp;IF(AND($B1692&lt;&gt;"",$AO1692&lt;&gt;""),IF(COUNTIFS($B$6:$B$3005,$B1692,$C$6:$C$3005,$C1692,$D$6:$D$3005,$D1692)&gt;1,"同じ月の請求が重複しています／",""),"")&amp;IF(AND(N($E1692)&gt;0,$Z1692&lt;&gt;"",$Z1692&lt;&gt;"×",$AC1692=0,$AB1692=""),"計算額が下限以下のため不支給／",""))</f>
        <v/>
      </c>
      <c r="AL1692" s="12" t="n"/>
      <c r="AM1692" s="14">
        <f>IF($AD1692="保留中",COUNTIF($AD$6:$AD1692,"保留中"),"")</f>
        <v/>
      </c>
      <c r="AN1692" s="14">
        <f>IF($AO1692="","",IF(SUMPRODUCT(MAX((職員マスタ!$A$6:$A$405=$B1692)*(((職員マスタ!$G$6:$G$405="")+(職員マスタ!$G$6:$G$405&lt;=EOMONTH($AO1692,0)))&gt;0)*(((職員マスタ!$H$6:$H$405="")+(職員マスタ!$H$6:$H$405&gt;=$AO1692))&gt;0)*(ROW(職員マスタ!$A$6:$A$405)-5)))&gt;0,SUMPRODUCT(MAX((職員マスタ!$A$6:$A$405=$B1692)*(((職員マスタ!$G$6:$G$405="")+(職員マスタ!$G$6:$G$405&lt;=EOMONTH($AO1692,0)))&gt;0)*(((職員マスタ!$H$6:$H$405="")+(職員マスタ!$H$6:$H$405&gt;=$AO1692))&gt;0)*(ROW(職員マスタ!$A$6:$A$405)-5))),IFERROR(MATCH($B1692,職員マスタ!$A$6:$A$405,0),"")))</f>
        <v/>
      </c>
      <c r="AO1692" s="16">
        <f>IF(OR($B1692="",$C1692="",$D1692=""),"",DATE($C1692+2018,$D1692,1))</f>
        <v/>
      </c>
    </row>
    <row r="1693">
      <c r="A1693" s="11" t="n"/>
      <c r="B1693" s="12" t="n"/>
      <c r="C1693" s="12" t="n"/>
      <c r="D1693" s="12" t="n"/>
      <c r="E1693" s="13" t="n"/>
      <c r="F1693" s="12" t="n"/>
      <c r="G1693" s="13" t="n"/>
      <c r="H1693" s="12" t="n"/>
      <c r="I1693" s="12" t="n"/>
      <c r="J1693" s="12" t="n"/>
      <c r="K1693" s="12" t="n"/>
      <c r="L1693" s="11" t="n"/>
      <c r="M1693" s="11" t="n"/>
      <c r="N1693" s="11" t="n"/>
      <c r="O1693" s="11" t="n"/>
      <c r="P1693" s="12" t="n"/>
      <c r="Q1693" s="11" t="n"/>
      <c r="R1693" s="12" t="n"/>
      <c r="S1693" s="11" t="n"/>
      <c r="T1693" s="12" t="n"/>
      <c r="U1693" s="12" t="n"/>
      <c r="V1693" s="14">
        <f>IF($AN1693="",IF($B1693="","",$H1693),IF(INDEX(職員マスタ!$B$6:$B$405,$AN1693)="",$H1693,INDEX(職員マスタ!$B$6:$B$405,$AN1693)))</f>
        <v/>
      </c>
      <c r="W1693" s="14">
        <f>IF($AN1693="",IF($B1693="","",$R1693),IF(INDEX(職員マスタ!$C$6:$C$405,$AN1693)="",$R1693,INDEX(職員マスタ!$C$6:$C$405,$AN1693)))</f>
        <v/>
      </c>
      <c r="X1693" s="14">
        <f>IF($AO1693="","","R"&amp;$C1693&amp;"."&amp;$D1693)</f>
        <v/>
      </c>
      <c r="Y1693" s="15">
        <f>IF($AN1693="","",IF(INDEX(職員マスタ!$K$6:$K$405,$AN1693)="","",INDEX(職員マスタ!$K$6:$K$405,$AN1693)))</f>
        <v/>
      </c>
      <c r="Z1693" s="14">
        <f>IF(OR($E1693="",$Y1693=""),"",IF($E1693&gt;=$Y1693,"×",IF($E1693&gt;=$Y1693*設定!$C$5,"△","○")))</f>
        <v/>
      </c>
      <c r="AA1693" s="15">
        <f>IF($Z1693="","",IF($Z1693="×",0,IF($Z1693="○",ROUNDDOWN($E1693*設定!$C$4,0),ROUNDDOWN($E1693*ROUND((9*$Y1693-9*$E1693)/(10*$E1693),4),0))))</f>
        <v/>
      </c>
      <c r="AB1693" s="13" t="n"/>
      <c r="AC1693" s="15">
        <f>IF($B1693="","",IF($AB1693&lt;&gt;"",$AB1693,IF($AA1693="","",IF($AA1693&lt;=設定!$C$3,0,$AA1693))))</f>
        <v/>
      </c>
      <c r="AD1693" s="14">
        <f>IF($B1693="","",IF(AND($AE1693&lt;&gt;"",$AG1693="",$AJ1693=""),"保留中",IF($AJ1693&lt;&gt;"",IF(N($AC1693)&gt;0,"支給済","不支給"),IF($AC1693="","要確認",IF($AC1693=0,"不支給","未処理")))))</f>
        <v/>
      </c>
      <c r="AE1693" s="12" t="n"/>
      <c r="AF1693" s="11" t="n"/>
      <c r="AG1693" s="11" t="n"/>
      <c r="AH1693" s="11" t="n"/>
      <c r="AI1693" s="14">
        <f>IF(AND($AD1693="保留中",$AF1693&lt;&gt;""),TODAY()-$AF1693,"")</f>
        <v/>
      </c>
      <c r="AJ1693" s="12" t="n"/>
      <c r="AK1693" s="14">
        <f>IF($B1693="","",IF($AO1693="","対象年月が未入力／","")&amp;IF($B1693="","",IF($AN1693="","職員マスタに未登録の職員番号／",IF($Y1693="","標準報酬月額が未登録／","")&amp;IF(AND($AO1693&lt;&gt;"",OR(AND(INDEX(職員マスタ!$G$6:$G$405,$AN1693)&lt;&gt;"",INDEX(職員マスタ!$G$6:$G$405,$AN1693)&gt;EOMONTH($AO1693,0)),AND(INDEX(職員マスタ!$H$6:$H$405,$AN1693)&lt;&gt;"",INDEX(職員マスタ!$H$6:$H$405,$AN1693)&lt;$AO1693))),"対象月が時短期間外／","")&amp;IF(AND(INDEX(職員マスタ!$F$6:$F$405,$AN1693)&lt;&gt;"",$AO1693&lt;&gt;"",INDEX(職員マスタ!$F$6:$F$405,$AN1693)&lt;$AO1693),"対象月に子が2歳到達済／","")&amp;IF(AND($H1693&lt;&gt;"",INDEX(職員マスタ!$B$6:$B$405,$AN1693)&lt;&gt;"",SUBSTITUTE(SUBSTITUTE($H1693," ","")," ","")&lt;&gt;SUBSTITUTE(SUBSTITUTE(INDEX(職員マスタ!$B$6:$B$405,$AN1693)," ","")," ","")),"氏名がマスタと相違／","")&amp;IF(AND($Q1693&lt;&gt;"",INDEX(職員マスタ!$E$6:$E$405,$AN1693)&lt;&gt;"",$Q1693&lt;&gt;INDEX(職員マスタ!$E$6:$E$405,$AN1693)),"子の生年月日がマスタと相違／","")&amp;IF(AND($L1693&lt;&gt;"",INDEX(職員マスタ!$G$6:$G$405,$AN1693)&lt;&gt;"",$L1693&lt;&gt;INDEX(職員マスタ!$G$6:$G$405,$AN1693)),"時短開始日がマスタと相違／","")&amp;IF(AND($M1693&lt;&gt;"",INDEX(職員マスタ!$H$6:$H$405,$AN1693)&lt;&gt;"",$M1693&lt;&gt;INDEX(職員マスタ!$H$6:$H$405,$AN1693)),"時短終了日がマスタと相違／","")))&amp;IF(AND($B1693&lt;&gt;"",$E1693=""),"報酬額が未入力／","")&amp;IF(N($U1693)&gt;0,"申請書に入力エラーが残っています／","")&amp;IF(AND($B1693&lt;&gt;"",$AO1693&lt;&gt;""),IF(COUNTIFS($B$6:$B$3005,$B1693,$C$6:$C$3005,$C1693,$D$6:$D$3005,$D1693)&gt;1,"同じ月の請求が重複しています／",""),"")&amp;IF(AND(N($E1693)&gt;0,$Z1693&lt;&gt;"",$Z1693&lt;&gt;"×",$AC1693=0,$AB1693=""),"計算額が下限以下のため不支給／",""))</f>
        <v/>
      </c>
      <c r="AL1693" s="12" t="n"/>
      <c r="AM1693" s="14">
        <f>IF($AD1693="保留中",COUNTIF($AD$6:$AD1693,"保留中"),"")</f>
        <v/>
      </c>
      <c r="AN1693" s="14">
        <f>IF($AO1693="","",IF(SUMPRODUCT(MAX((職員マスタ!$A$6:$A$405=$B1693)*(((職員マスタ!$G$6:$G$405="")+(職員マスタ!$G$6:$G$405&lt;=EOMONTH($AO1693,0)))&gt;0)*(((職員マスタ!$H$6:$H$405="")+(職員マスタ!$H$6:$H$405&gt;=$AO1693))&gt;0)*(ROW(職員マスタ!$A$6:$A$405)-5)))&gt;0,SUMPRODUCT(MAX((職員マスタ!$A$6:$A$405=$B1693)*(((職員マスタ!$G$6:$G$405="")+(職員マスタ!$G$6:$G$405&lt;=EOMONTH($AO1693,0)))&gt;0)*(((職員マスタ!$H$6:$H$405="")+(職員マスタ!$H$6:$H$405&gt;=$AO1693))&gt;0)*(ROW(職員マスタ!$A$6:$A$405)-5))),IFERROR(MATCH($B1693,職員マスタ!$A$6:$A$405,0),"")))</f>
        <v/>
      </c>
      <c r="AO1693" s="16">
        <f>IF(OR($B1693="",$C1693="",$D1693=""),"",DATE($C1693+2018,$D1693,1))</f>
        <v/>
      </c>
    </row>
    <row r="1694">
      <c r="A1694" s="11" t="n"/>
      <c r="B1694" s="12" t="n"/>
      <c r="C1694" s="12" t="n"/>
      <c r="D1694" s="12" t="n"/>
      <c r="E1694" s="13" t="n"/>
      <c r="F1694" s="12" t="n"/>
      <c r="G1694" s="13" t="n"/>
      <c r="H1694" s="12" t="n"/>
      <c r="I1694" s="12" t="n"/>
      <c r="J1694" s="12" t="n"/>
      <c r="K1694" s="12" t="n"/>
      <c r="L1694" s="11" t="n"/>
      <c r="M1694" s="11" t="n"/>
      <c r="N1694" s="11" t="n"/>
      <c r="O1694" s="11" t="n"/>
      <c r="P1694" s="12" t="n"/>
      <c r="Q1694" s="11" t="n"/>
      <c r="R1694" s="12" t="n"/>
      <c r="S1694" s="11" t="n"/>
      <c r="T1694" s="12" t="n"/>
      <c r="U1694" s="12" t="n"/>
      <c r="V1694" s="14">
        <f>IF($AN1694="",IF($B1694="","",$H1694),IF(INDEX(職員マスタ!$B$6:$B$405,$AN1694)="",$H1694,INDEX(職員マスタ!$B$6:$B$405,$AN1694)))</f>
        <v/>
      </c>
      <c r="W1694" s="14">
        <f>IF($AN1694="",IF($B1694="","",$R1694),IF(INDEX(職員マスタ!$C$6:$C$405,$AN1694)="",$R1694,INDEX(職員マスタ!$C$6:$C$405,$AN1694)))</f>
        <v/>
      </c>
      <c r="X1694" s="14">
        <f>IF($AO1694="","","R"&amp;$C1694&amp;"."&amp;$D1694)</f>
        <v/>
      </c>
      <c r="Y1694" s="15">
        <f>IF($AN1694="","",IF(INDEX(職員マスタ!$K$6:$K$405,$AN1694)="","",INDEX(職員マスタ!$K$6:$K$405,$AN1694)))</f>
        <v/>
      </c>
      <c r="Z1694" s="14">
        <f>IF(OR($E1694="",$Y1694=""),"",IF($E1694&gt;=$Y1694,"×",IF($E1694&gt;=$Y1694*設定!$C$5,"△","○")))</f>
        <v/>
      </c>
      <c r="AA1694" s="15">
        <f>IF($Z1694="","",IF($Z1694="×",0,IF($Z1694="○",ROUNDDOWN($E1694*設定!$C$4,0),ROUNDDOWN($E1694*ROUND((9*$Y1694-9*$E1694)/(10*$E1694),4),0))))</f>
        <v/>
      </c>
      <c r="AB1694" s="13" t="n"/>
      <c r="AC1694" s="15">
        <f>IF($B1694="","",IF($AB1694&lt;&gt;"",$AB1694,IF($AA1694="","",IF($AA1694&lt;=設定!$C$3,0,$AA1694))))</f>
        <v/>
      </c>
      <c r="AD1694" s="14">
        <f>IF($B1694="","",IF(AND($AE1694&lt;&gt;"",$AG1694="",$AJ1694=""),"保留中",IF($AJ1694&lt;&gt;"",IF(N($AC1694)&gt;0,"支給済","不支給"),IF($AC1694="","要確認",IF($AC1694=0,"不支給","未処理")))))</f>
        <v/>
      </c>
      <c r="AE1694" s="12" t="n"/>
      <c r="AF1694" s="11" t="n"/>
      <c r="AG1694" s="11" t="n"/>
      <c r="AH1694" s="11" t="n"/>
      <c r="AI1694" s="14">
        <f>IF(AND($AD1694="保留中",$AF1694&lt;&gt;""),TODAY()-$AF1694,"")</f>
        <v/>
      </c>
      <c r="AJ1694" s="12" t="n"/>
      <c r="AK1694" s="14">
        <f>IF($B1694="","",IF($AO1694="","対象年月が未入力／","")&amp;IF($B1694="","",IF($AN1694="","職員マスタに未登録の職員番号／",IF($Y1694="","標準報酬月額が未登録／","")&amp;IF(AND($AO1694&lt;&gt;"",OR(AND(INDEX(職員マスタ!$G$6:$G$405,$AN1694)&lt;&gt;"",INDEX(職員マスタ!$G$6:$G$405,$AN1694)&gt;EOMONTH($AO1694,0)),AND(INDEX(職員マスタ!$H$6:$H$405,$AN1694)&lt;&gt;"",INDEX(職員マスタ!$H$6:$H$405,$AN1694)&lt;$AO1694))),"対象月が時短期間外／","")&amp;IF(AND(INDEX(職員マスタ!$F$6:$F$405,$AN1694)&lt;&gt;"",$AO1694&lt;&gt;"",INDEX(職員マスタ!$F$6:$F$405,$AN1694)&lt;$AO1694),"対象月に子が2歳到達済／","")&amp;IF(AND($H1694&lt;&gt;"",INDEX(職員マスタ!$B$6:$B$405,$AN1694)&lt;&gt;"",SUBSTITUTE(SUBSTITUTE($H1694," ","")," ","")&lt;&gt;SUBSTITUTE(SUBSTITUTE(INDEX(職員マスタ!$B$6:$B$405,$AN1694)," ","")," ","")),"氏名がマスタと相違／","")&amp;IF(AND($Q1694&lt;&gt;"",INDEX(職員マスタ!$E$6:$E$405,$AN1694)&lt;&gt;"",$Q1694&lt;&gt;INDEX(職員マスタ!$E$6:$E$405,$AN1694)),"子の生年月日がマスタと相違／","")&amp;IF(AND($L1694&lt;&gt;"",INDEX(職員マスタ!$G$6:$G$405,$AN1694)&lt;&gt;"",$L1694&lt;&gt;INDEX(職員マスタ!$G$6:$G$405,$AN1694)),"時短開始日がマスタと相違／","")&amp;IF(AND($M1694&lt;&gt;"",INDEX(職員マスタ!$H$6:$H$405,$AN1694)&lt;&gt;"",$M1694&lt;&gt;INDEX(職員マスタ!$H$6:$H$405,$AN1694)),"時短終了日がマスタと相違／","")))&amp;IF(AND($B1694&lt;&gt;"",$E1694=""),"報酬額が未入力／","")&amp;IF(N($U1694)&gt;0,"申請書に入力エラーが残っています／","")&amp;IF(AND($B1694&lt;&gt;"",$AO1694&lt;&gt;""),IF(COUNTIFS($B$6:$B$3005,$B1694,$C$6:$C$3005,$C1694,$D$6:$D$3005,$D1694)&gt;1,"同じ月の請求が重複しています／",""),"")&amp;IF(AND(N($E1694)&gt;0,$Z1694&lt;&gt;"",$Z1694&lt;&gt;"×",$AC1694=0,$AB1694=""),"計算額が下限以下のため不支給／",""))</f>
        <v/>
      </c>
      <c r="AL1694" s="12" t="n"/>
      <c r="AM1694" s="14">
        <f>IF($AD1694="保留中",COUNTIF($AD$6:$AD1694,"保留中"),"")</f>
        <v/>
      </c>
      <c r="AN1694" s="14">
        <f>IF($AO1694="","",IF(SUMPRODUCT(MAX((職員マスタ!$A$6:$A$405=$B1694)*(((職員マスタ!$G$6:$G$405="")+(職員マスタ!$G$6:$G$405&lt;=EOMONTH($AO1694,0)))&gt;0)*(((職員マスタ!$H$6:$H$405="")+(職員マスタ!$H$6:$H$405&gt;=$AO1694))&gt;0)*(ROW(職員マスタ!$A$6:$A$405)-5)))&gt;0,SUMPRODUCT(MAX((職員マスタ!$A$6:$A$405=$B1694)*(((職員マスタ!$G$6:$G$405="")+(職員マスタ!$G$6:$G$405&lt;=EOMONTH($AO1694,0)))&gt;0)*(((職員マスタ!$H$6:$H$405="")+(職員マスタ!$H$6:$H$405&gt;=$AO1694))&gt;0)*(ROW(職員マスタ!$A$6:$A$405)-5))),IFERROR(MATCH($B1694,職員マスタ!$A$6:$A$405,0),"")))</f>
        <v/>
      </c>
      <c r="AO1694" s="16">
        <f>IF(OR($B1694="",$C1694="",$D1694=""),"",DATE($C1694+2018,$D1694,1))</f>
        <v/>
      </c>
    </row>
    <row r="1695">
      <c r="A1695" s="11" t="n"/>
      <c r="B1695" s="12" t="n"/>
      <c r="C1695" s="12" t="n"/>
      <c r="D1695" s="12" t="n"/>
      <c r="E1695" s="13" t="n"/>
      <c r="F1695" s="12" t="n"/>
      <c r="G1695" s="13" t="n"/>
      <c r="H1695" s="12" t="n"/>
      <c r="I1695" s="12" t="n"/>
      <c r="J1695" s="12" t="n"/>
      <c r="K1695" s="12" t="n"/>
      <c r="L1695" s="11" t="n"/>
      <c r="M1695" s="11" t="n"/>
      <c r="N1695" s="11" t="n"/>
      <c r="O1695" s="11" t="n"/>
      <c r="P1695" s="12" t="n"/>
      <c r="Q1695" s="11" t="n"/>
      <c r="R1695" s="12" t="n"/>
      <c r="S1695" s="11" t="n"/>
      <c r="T1695" s="12" t="n"/>
      <c r="U1695" s="12" t="n"/>
      <c r="V1695" s="14">
        <f>IF($AN1695="",IF($B1695="","",$H1695),IF(INDEX(職員マスタ!$B$6:$B$405,$AN1695)="",$H1695,INDEX(職員マスタ!$B$6:$B$405,$AN1695)))</f>
        <v/>
      </c>
      <c r="W1695" s="14">
        <f>IF($AN1695="",IF($B1695="","",$R1695),IF(INDEX(職員マスタ!$C$6:$C$405,$AN1695)="",$R1695,INDEX(職員マスタ!$C$6:$C$405,$AN1695)))</f>
        <v/>
      </c>
      <c r="X1695" s="14">
        <f>IF($AO1695="","","R"&amp;$C1695&amp;"."&amp;$D1695)</f>
        <v/>
      </c>
      <c r="Y1695" s="15">
        <f>IF($AN1695="","",IF(INDEX(職員マスタ!$K$6:$K$405,$AN1695)="","",INDEX(職員マスタ!$K$6:$K$405,$AN1695)))</f>
        <v/>
      </c>
      <c r="Z1695" s="14">
        <f>IF(OR($E1695="",$Y1695=""),"",IF($E1695&gt;=$Y1695,"×",IF($E1695&gt;=$Y1695*設定!$C$5,"△","○")))</f>
        <v/>
      </c>
      <c r="AA1695" s="15">
        <f>IF($Z1695="","",IF($Z1695="×",0,IF($Z1695="○",ROUNDDOWN($E1695*設定!$C$4,0),ROUNDDOWN($E1695*ROUND((9*$Y1695-9*$E1695)/(10*$E1695),4),0))))</f>
        <v/>
      </c>
      <c r="AB1695" s="13" t="n"/>
      <c r="AC1695" s="15">
        <f>IF($B1695="","",IF($AB1695&lt;&gt;"",$AB1695,IF($AA1695="","",IF($AA1695&lt;=設定!$C$3,0,$AA1695))))</f>
        <v/>
      </c>
      <c r="AD1695" s="14">
        <f>IF($B1695="","",IF(AND($AE1695&lt;&gt;"",$AG1695="",$AJ1695=""),"保留中",IF($AJ1695&lt;&gt;"",IF(N($AC1695)&gt;0,"支給済","不支給"),IF($AC1695="","要確認",IF($AC1695=0,"不支給","未処理")))))</f>
        <v/>
      </c>
      <c r="AE1695" s="12" t="n"/>
      <c r="AF1695" s="11" t="n"/>
      <c r="AG1695" s="11" t="n"/>
      <c r="AH1695" s="11" t="n"/>
      <c r="AI1695" s="14">
        <f>IF(AND($AD1695="保留中",$AF1695&lt;&gt;""),TODAY()-$AF1695,"")</f>
        <v/>
      </c>
      <c r="AJ1695" s="12" t="n"/>
      <c r="AK1695" s="14">
        <f>IF($B1695="","",IF($AO1695="","対象年月が未入力／","")&amp;IF($B1695="","",IF($AN1695="","職員マスタに未登録の職員番号／",IF($Y1695="","標準報酬月額が未登録／","")&amp;IF(AND($AO1695&lt;&gt;"",OR(AND(INDEX(職員マスタ!$G$6:$G$405,$AN1695)&lt;&gt;"",INDEX(職員マスタ!$G$6:$G$405,$AN1695)&gt;EOMONTH($AO1695,0)),AND(INDEX(職員マスタ!$H$6:$H$405,$AN1695)&lt;&gt;"",INDEX(職員マスタ!$H$6:$H$405,$AN1695)&lt;$AO1695))),"対象月が時短期間外／","")&amp;IF(AND(INDEX(職員マスタ!$F$6:$F$405,$AN1695)&lt;&gt;"",$AO1695&lt;&gt;"",INDEX(職員マスタ!$F$6:$F$405,$AN1695)&lt;$AO1695),"対象月に子が2歳到達済／","")&amp;IF(AND($H1695&lt;&gt;"",INDEX(職員マスタ!$B$6:$B$405,$AN1695)&lt;&gt;"",SUBSTITUTE(SUBSTITUTE($H1695," ","")," ","")&lt;&gt;SUBSTITUTE(SUBSTITUTE(INDEX(職員マスタ!$B$6:$B$405,$AN1695)," ","")," ","")),"氏名がマスタと相違／","")&amp;IF(AND($Q1695&lt;&gt;"",INDEX(職員マスタ!$E$6:$E$405,$AN1695)&lt;&gt;"",$Q1695&lt;&gt;INDEX(職員マスタ!$E$6:$E$405,$AN1695)),"子の生年月日がマスタと相違／","")&amp;IF(AND($L1695&lt;&gt;"",INDEX(職員マスタ!$G$6:$G$405,$AN1695)&lt;&gt;"",$L1695&lt;&gt;INDEX(職員マスタ!$G$6:$G$405,$AN1695)),"時短開始日がマスタと相違／","")&amp;IF(AND($M1695&lt;&gt;"",INDEX(職員マスタ!$H$6:$H$405,$AN1695)&lt;&gt;"",$M1695&lt;&gt;INDEX(職員マスタ!$H$6:$H$405,$AN1695)),"時短終了日がマスタと相違／","")))&amp;IF(AND($B1695&lt;&gt;"",$E1695=""),"報酬額が未入力／","")&amp;IF(N($U1695)&gt;0,"申請書に入力エラーが残っています／","")&amp;IF(AND($B1695&lt;&gt;"",$AO1695&lt;&gt;""),IF(COUNTIFS($B$6:$B$3005,$B1695,$C$6:$C$3005,$C1695,$D$6:$D$3005,$D1695)&gt;1,"同じ月の請求が重複しています／",""),"")&amp;IF(AND(N($E1695)&gt;0,$Z1695&lt;&gt;"",$Z1695&lt;&gt;"×",$AC1695=0,$AB1695=""),"計算額が下限以下のため不支給／",""))</f>
        <v/>
      </c>
      <c r="AL1695" s="12" t="n"/>
      <c r="AM1695" s="14">
        <f>IF($AD1695="保留中",COUNTIF($AD$6:$AD1695,"保留中"),"")</f>
        <v/>
      </c>
      <c r="AN1695" s="14">
        <f>IF($AO1695="","",IF(SUMPRODUCT(MAX((職員マスタ!$A$6:$A$405=$B1695)*(((職員マスタ!$G$6:$G$405="")+(職員マスタ!$G$6:$G$405&lt;=EOMONTH($AO1695,0)))&gt;0)*(((職員マスタ!$H$6:$H$405="")+(職員マスタ!$H$6:$H$405&gt;=$AO1695))&gt;0)*(ROW(職員マスタ!$A$6:$A$405)-5)))&gt;0,SUMPRODUCT(MAX((職員マスタ!$A$6:$A$405=$B1695)*(((職員マスタ!$G$6:$G$405="")+(職員マスタ!$G$6:$G$405&lt;=EOMONTH($AO1695,0)))&gt;0)*(((職員マスタ!$H$6:$H$405="")+(職員マスタ!$H$6:$H$405&gt;=$AO1695))&gt;0)*(ROW(職員マスタ!$A$6:$A$405)-5))),IFERROR(MATCH($B1695,職員マスタ!$A$6:$A$405,0),"")))</f>
        <v/>
      </c>
      <c r="AO1695" s="16">
        <f>IF(OR($B1695="",$C1695="",$D1695=""),"",DATE($C1695+2018,$D1695,1))</f>
        <v/>
      </c>
    </row>
    <row r="1696">
      <c r="A1696" s="11" t="n"/>
      <c r="B1696" s="12" t="n"/>
      <c r="C1696" s="12" t="n"/>
      <c r="D1696" s="12" t="n"/>
      <c r="E1696" s="13" t="n"/>
      <c r="F1696" s="12" t="n"/>
      <c r="G1696" s="13" t="n"/>
      <c r="H1696" s="12" t="n"/>
      <c r="I1696" s="12" t="n"/>
      <c r="J1696" s="12" t="n"/>
      <c r="K1696" s="12" t="n"/>
      <c r="L1696" s="11" t="n"/>
      <c r="M1696" s="11" t="n"/>
      <c r="N1696" s="11" t="n"/>
      <c r="O1696" s="11" t="n"/>
      <c r="P1696" s="12" t="n"/>
      <c r="Q1696" s="11" t="n"/>
      <c r="R1696" s="12" t="n"/>
      <c r="S1696" s="11" t="n"/>
      <c r="T1696" s="12" t="n"/>
      <c r="U1696" s="12" t="n"/>
      <c r="V1696" s="14">
        <f>IF($AN1696="",IF($B1696="","",$H1696),IF(INDEX(職員マスタ!$B$6:$B$405,$AN1696)="",$H1696,INDEX(職員マスタ!$B$6:$B$405,$AN1696)))</f>
        <v/>
      </c>
      <c r="W1696" s="14">
        <f>IF($AN1696="",IF($B1696="","",$R1696),IF(INDEX(職員マスタ!$C$6:$C$405,$AN1696)="",$R1696,INDEX(職員マスタ!$C$6:$C$405,$AN1696)))</f>
        <v/>
      </c>
      <c r="X1696" s="14">
        <f>IF($AO1696="","","R"&amp;$C1696&amp;"."&amp;$D1696)</f>
        <v/>
      </c>
      <c r="Y1696" s="15">
        <f>IF($AN1696="","",IF(INDEX(職員マスタ!$K$6:$K$405,$AN1696)="","",INDEX(職員マスタ!$K$6:$K$405,$AN1696)))</f>
        <v/>
      </c>
      <c r="Z1696" s="14">
        <f>IF(OR($E1696="",$Y1696=""),"",IF($E1696&gt;=$Y1696,"×",IF($E1696&gt;=$Y1696*設定!$C$5,"△","○")))</f>
        <v/>
      </c>
      <c r="AA1696" s="15">
        <f>IF($Z1696="","",IF($Z1696="×",0,IF($Z1696="○",ROUNDDOWN($E1696*設定!$C$4,0),ROUNDDOWN($E1696*ROUND((9*$Y1696-9*$E1696)/(10*$E1696),4),0))))</f>
        <v/>
      </c>
      <c r="AB1696" s="13" t="n"/>
      <c r="AC1696" s="15">
        <f>IF($B1696="","",IF($AB1696&lt;&gt;"",$AB1696,IF($AA1696="","",IF($AA1696&lt;=設定!$C$3,0,$AA1696))))</f>
        <v/>
      </c>
      <c r="AD1696" s="14">
        <f>IF($B1696="","",IF(AND($AE1696&lt;&gt;"",$AG1696="",$AJ1696=""),"保留中",IF($AJ1696&lt;&gt;"",IF(N($AC1696)&gt;0,"支給済","不支給"),IF($AC1696="","要確認",IF($AC1696=0,"不支給","未処理")))))</f>
        <v/>
      </c>
      <c r="AE1696" s="12" t="n"/>
      <c r="AF1696" s="11" t="n"/>
      <c r="AG1696" s="11" t="n"/>
      <c r="AH1696" s="11" t="n"/>
      <c r="AI1696" s="14">
        <f>IF(AND($AD1696="保留中",$AF1696&lt;&gt;""),TODAY()-$AF1696,"")</f>
        <v/>
      </c>
      <c r="AJ1696" s="12" t="n"/>
      <c r="AK1696" s="14">
        <f>IF($B1696="","",IF($AO1696="","対象年月が未入力／","")&amp;IF($B1696="","",IF($AN1696="","職員マスタに未登録の職員番号／",IF($Y1696="","標準報酬月額が未登録／","")&amp;IF(AND($AO1696&lt;&gt;"",OR(AND(INDEX(職員マスタ!$G$6:$G$405,$AN1696)&lt;&gt;"",INDEX(職員マスタ!$G$6:$G$405,$AN1696)&gt;EOMONTH($AO1696,0)),AND(INDEX(職員マスタ!$H$6:$H$405,$AN1696)&lt;&gt;"",INDEX(職員マスタ!$H$6:$H$405,$AN1696)&lt;$AO1696))),"対象月が時短期間外／","")&amp;IF(AND(INDEX(職員マスタ!$F$6:$F$405,$AN1696)&lt;&gt;"",$AO1696&lt;&gt;"",INDEX(職員マスタ!$F$6:$F$405,$AN1696)&lt;$AO1696),"対象月に子が2歳到達済／","")&amp;IF(AND($H1696&lt;&gt;"",INDEX(職員マスタ!$B$6:$B$405,$AN1696)&lt;&gt;"",SUBSTITUTE(SUBSTITUTE($H1696," ","")," ","")&lt;&gt;SUBSTITUTE(SUBSTITUTE(INDEX(職員マスタ!$B$6:$B$405,$AN1696)," ","")," ","")),"氏名がマスタと相違／","")&amp;IF(AND($Q1696&lt;&gt;"",INDEX(職員マスタ!$E$6:$E$405,$AN1696)&lt;&gt;"",$Q1696&lt;&gt;INDEX(職員マスタ!$E$6:$E$405,$AN1696)),"子の生年月日がマスタと相違／","")&amp;IF(AND($L1696&lt;&gt;"",INDEX(職員マスタ!$G$6:$G$405,$AN1696)&lt;&gt;"",$L1696&lt;&gt;INDEX(職員マスタ!$G$6:$G$405,$AN1696)),"時短開始日がマスタと相違／","")&amp;IF(AND($M1696&lt;&gt;"",INDEX(職員マスタ!$H$6:$H$405,$AN1696)&lt;&gt;"",$M1696&lt;&gt;INDEX(職員マスタ!$H$6:$H$405,$AN1696)),"時短終了日がマスタと相違／","")))&amp;IF(AND($B1696&lt;&gt;"",$E1696=""),"報酬額が未入力／","")&amp;IF(N($U1696)&gt;0,"申請書に入力エラーが残っています／","")&amp;IF(AND($B1696&lt;&gt;"",$AO1696&lt;&gt;""),IF(COUNTIFS($B$6:$B$3005,$B1696,$C$6:$C$3005,$C1696,$D$6:$D$3005,$D1696)&gt;1,"同じ月の請求が重複しています／",""),"")&amp;IF(AND(N($E1696)&gt;0,$Z1696&lt;&gt;"",$Z1696&lt;&gt;"×",$AC1696=0,$AB1696=""),"計算額が下限以下のため不支給／",""))</f>
        <v/>
      </c>
      <c r="AL1696" s="12" t="n"/>
      <c r="AM1696" s="14">
        <f>IF($AD1696="保留中",COUNTIF($AD$6:$AD1696,"保留中"),"")</f>
        <v/>
      </c>
      <c r="AN1696" s="14">
        <f>IF($AO1696="","",IF(SUMPRODUCT(MAX((職員マスタ!$A$6:$A$405=$B1696)*(((職員マスタ!$G$6:$G$405="")+(職員マスタ!$G$6:$G$405&lt;=EOMONTH($AO1696,0)))&gt;0)*(((職員マスタ!$H$6:$H$405="")+(職員マスタ!$H$6:$H$405&gt;=$AO1696))&gt;0)*(ROW(職員マスタ!$A$6:$A$405)-5)))&gt;0,SUMPRODUCT(MAX((職員マスタ!$A$6:$A$405=$B1696)*(((職員マスタ!$G$6:$G$405="")+(職員マスタ!$G$6:$G$405&lt;=EOMONTH($AO1696,0)))&gt;0)*(((職員マスタ!$H$6:$H$405="")+(職員マスタ!$H$6:$H$405&gt;=$AO1696))&gt;0)*(ROW(職員マスタ!$A$6:$A$405)-5))),IFERROR(MATCH($B1696,職員マスタ!$A$6:$A$405,0),"")))</f>
        <v/>
      </c>
      <c r="AO1696" s="16">
        <f>IF(OR($B1696="",$C1696="",$D1696=""),"",DATE($C1696+2018,$D1696,1))</f>
        <v/>
      </c>
    </row>
    <row r="1697">
      <c r="A1697" s="11" t="n"/>
      <c r="B1697" s="12" t="n"/>
      <c r="C1697" s="12" t="n"/>
      <c r="D1697" s="12" t="n"/>
      <c r="E1697" s="13" t="n"/>
      <c r="F1697" s="12" t="n"/>
      <c r="G1697" s="13" t="n"/>
      <c r="H1697" s="12" t="n"/>
      <c r="I1697" s="12" t="n"/>
      <c r="J1697" s="12" t="n"/>
      <c r="K1697" s="12" t="n"/>
      <c r="L1697" s="11" t="n"/>
      <c r="M1697" s="11" t="n"/>
      <c r="N1697" s="11" t="n"/>
      <c r="O1697" s="11" t="n"/>
      <c r="P1697" s="12" t="n"/>
      <c r="Q1697" s="11" t="n"/>
      <c r="R1697" s="12" t="n"/>
      <c r="S1697" s="11" t="n"/>
      <c r="T1697" s="12" t="n"/>
      <c r="U1697" s="12" t="n"/>
      <c r="V1697" s="14">
        <f>IF($AN1697="",IF($B1697="","",$H1697),IF(INDEX(職員マスタ!$B$6:$B$405,$AN1697)="",$H1697,INDEX(職員マスタ!$B$6:$B$405,$AN1697)))</f>
        <v/>
      </c>
      <c r="W1697" s="14">
        <f>IF($AN1697="",IF($B1697="","",$R1697),IF(INDEX(職員マスタ!$C$6:$C$405,$AN1697)="",$R1697,INDEX(職員マスタ!$C$6:$C$405,$AN1697)))</f>
        <v/>
      </c>
      <c r="X1697" s="14">
        <f>IF($AO1697="","","R"&amp;$C1697&amp;"."&amp;$D1697)</f>
        <v/>
      </c>
      <c r="Y1697" s="15">
        <f>IF($AN1697="","",IF(INDEX(職員マスタ!$K$6:$K$405,$AN1697)="","",INDEX(職員マスタ!$K$6:$K$405,$AN1697)))</f>
        <v/>
      </c>
      <c r="Z1697" s="14">
        <f>IF(OR($E1697="",$Y1697=""),"",IF($E1697&gt;=$Y1697,"×",IF($E1697&gt;=$Y1697*設定!$C$5,"△","○")))</f>
        <v/>
      </c>
      <c r="AA1697" s="15">
        <f>IF($Z1697="","",IF($Z1697="×",0,IF($Z1697="○",ROUNDDOWN($E1697*設定!$C$4,0),ROUNDDOWN($E1697*ROUND((9*$Y1697-9*$E1697)/(10*$E1697),4),0))))</f>
        <v/>
      </c>
      <c r="AB1697" s="13" t="n"/>
      <c r="AC1697" s="15">
        <f>IF($B1697="","",IF($AB1697&lt;&gt;"",$AB1697,IF($AA1697="","",IF($AA1697&lt;=設定!$C$3,0,$AA1697))))</f>
        <v/>
      </c>
      <c r="AD1697" s="14">
        <f>IF($B1697="","",IF(AND($AE1697&lt;&gt;"",$AG1697="",$AJ1697=""),"保留中",IF($AJ1697&lt;&gt;"",IF(N($AC1697)&gt;0,"支給済","不支給"),IF($AC1697="","要確認",IF($AC1697=0,"不支給","未処理")))))</f>
        <v/>
      </c>
      <c r="AE1697" s="12" t="n"/>
      <c r="AF1697" s="11" t="n"/>
      <c r="AG1697" s="11" t="n"/>
      <c r="AH1697" s="11" t="n"/>
      <c r="AI1697" s="14">
        <f>IF(AND($AD1697="保留中",$AF1697&lt;&gt;""),TODAY()-$AF1697,"")</f>
        <v/>
      </c>
      <c r="AJ1697" s="12" t="n"/>
      <c r="AK1697" s="14">
        <f>IF($B1697="","",IF($AO1697="","対象年月が未入力／","")&amp;IF($B1697="","",IF($AN1697="","職員マスタに未登録の職員番号／",IF($Y1697="","標準報酬月額が未登録／","")&amp;IF(AND($AO1697&lt;&gt;"",OR(AND(INDEX(職員マスタ!$G$6:$G$405,$AN1697)&lt;&gt;"",INDEX(職員マスタ!$G$6:$G$405,$AN1697)&gt;EOMONTH($AO1697,0)),AND(INDEX(職員マスタ!$H$6:$H$405,$AN1697)&lt;&gt;"",INDEX(職員マスタ!$H$6:$H$405,$AN1697)&lt;$AO1697))),"対象月が時短期間外／","")&amp;IF(AND(INDEX(職員マスタ!$F$6:$F$405,$AN1697)&lt;&gt;"",$AO1697&lt;&gt;"",INDEX(職員マスタ!$F$6:$F$405,$AN1697)&lt;$AO1697),"対象月に子が2歳到達済／","")&amp;IF(AND($H1697&lt;&gt;"",INDEX(職員マスタ!$B$6:$B$405,$AN1697)&lt;&gt;"",SUBSTITUTE(SUBSTITUTE($H1697," ","")," ","")&lt;&gt;SUBSTITUTE(SUBSTITUTE(INDEX(職員マスタ!$B$6:$B$405,$AN1697)," ","")," ","")),"氏名がマスタと相違／","")&amp;IF(AND($Q1697&lt;&gt;"",INDEX(職員マスタ!$E$6:$E$405,$AN1697)&lt;&gt;"",$Q1697&lt;&gt;INDEX(職員マスタ!$E$6:$E$405,$AN1697)),"子の生年月日がマスタと相違／","")&amp;IF(AND($L1697&lt;&gt;"",INDEX(職員マスタ!$G$6:$G$405,$AN1697)&lt;&gt;"",$L1697&lt;&gt;INDEX(職員マスタ!$G$6:$G$405,$AN1697)),"時短開始日がマスタと相違／","")&amp;IF(AND($M1697&lt;&gt;"",INDEX(職員マスタ!$H$6:$H$405,$AN1697)&lt;&gt;"",$M1697&lt;&gt;INDEX(職員マスタ!$H$6:$H$405,$AN1697)),"時短終了日がマスタと相違／","")))&amp;IF(AND($B1697&lt;&gt;"",$E1697=""),"報酬額が未入力／","")&amp;IF(N($U1697)&gt;0,"申請書に入力エラーが残っています／","")&amp;IF(AND($B1697&lt;&gt;"",$AO1697&lt;&gt;""),IF(COUNTIFS($B$6:$B$3005,$B1697,$C$6:$C$3005,$C1697,$D$6:$D$3005,$D1697)&gt;1,"同じ月の請求が重複しています／",""),"")&amp;IF(AND(N($E1697)&gt;0,$Z1697&lt;&gt;"",$Z1697&lt;&gt;"×",$AC1697=0,$AB1697=""),"計算額が下限以下のため不支給／",""))</f>
        <v/>
      </c>
      <c r="AL1697" s="12" t="n"/>
      <c r="AM1697" s="14">
        <f>IF($AD1697="保留中",COUNTIF($AD$6:$AD1697,"保留中"),"")</f>
        <v/>
      </c>
      <c r="AN1697" s="14">
        <f>IF($AO1697="","",IF(SUMPRODUCT(MAX((職員マスタ!$A$6:$A$405=$B1697)*(((職員マスタ!$G$6:$G$405="")+(職員マスタ!$G$6:$G$405&lt;=EOMONTH($AO1697,0)))&gt;0)*(((職員マスタ!$H$6:$H$405="")+(職員マスタ!$H$6:$H$405&gt;=$AO1697))&gt;0)*(ROW(職員マスタ!$A$6:$A$405)-5)))&gt;0,SUMPRODUCT(MAX((職員マスタ!$A$6:$A$405=$B1697)*(((職員マスタ!$G$6:$G$405="")+(職員マスタ!$G$6:$G$405&lt;=EOMONTH($AO1697,0)))&gt;0)*(((職員マスタ!$H$6:$H$405="")+(職員マスタ!$H$6:$H$405&gt;=$AO1697))&gt;0)*(ROW(職員マスタ!$A$6:$A$405)-5))),IFERROR(MATCH($B1697,職員マスタ!$A$6:$A$405,0),"")))</f>
        <v/>
      </c>
      <c r="AO1697" s="16">
        <f>IF(OR($B1697="",$C1697="",$D1697=""),"",DATE($C1697+2018,$D1697,1))</f>
        <v/>
      </c>
    </row>
    <row r="1698">
      <c r="A1698" s="11" t="n"/>
      <c r="B1698" s="12" t="n"/>
      <c r="C1698" s="12" t="n"/>
      <c r="D1698" s="12" t="n"/>
      <c r="E1698" s="13" t="n"/>
      <c r="F1698" s="12" t="n"/>
      <c r="G1698" s="13" t="n"/>
      <c r="H1698" s="12" t="n"/>
      <c r="I1698" s="12" t="n"/>
      <c r="J1698" s="12" t="n"/>
      <c r="K1698" s="12" t="n"/>
      <c r="L1698" s="11" t="n"/>
      <c r="M1698" s="11" t="n"/>
      <c r="N1698" s="11" t="n"/>
      <c r="O1698" s="11" t="n"/>
      <c r="P1698" s="12" t="n"/>
      <c r="Q1698" s="11" t="n"/>
      <c r="R1698" s="12" t="n"/>
      <c r="S1698" s="11" t="n"/>
      <c r="T1698" s="12" t="n"/>
      <c r="U1698" s="12" t="n"/>
      <c r="V1698" s="14">
        <f>IF($AN1698="",IF($B1698="","",$H1698),IF(INDEX(職員マスタ!$B$6:$B$405,$AN1698)="",$H1698,INDEX(職員マスタ!$B$6:$B$405,$AN1698)))</f>
        <v/>
      </c>
      <c r="W1698" s="14">
        <f>IF($AN1698="",IF($B1698="","",$R1698),IF(INDEX(職員マスタ!$C$6:$C$405,$AN1698)="",$R1698,INDEX(職員マスタ!$C$6:$C$405,$AN1698)))</f>
        <v/>
      </c>
      <c r="X1698" s="14">
        <f>IF($AO1698="","","R"&amp;$C1698&amp;"."&amp;$D1698)</f>
        <v/>
      </c>
      <c r="Y1698" s="15">
        <f>IF($AN1698="","",IF(INDEX(職員マスタ!$K$6:$K$405,$AN1698)="","",INDEX(職員マスタ!$K$6:$K$405,$AN1698)))</f>
        <v/>
      </c>
      <c r="Z1698" s="14">
        <f>IF(OR($E1698="",$Y1698=""),"",IF($E1698&gt;=$Y1698,"×",IF($E1698&gt;=$Y1698*設定!$C$5,"△","○")))</f>
        <v/>
      </c>
      <c r="AA1698" s="15">
        <f>IF($Z1698="","",IF($Z1698="×",0,IF($Z1698="○",ROUNDDOWN($E1698*設定!$C$4,0),ROUNDDOWN($E1698*ROUND((9*$Y1698-9*$E1698)/(10*$E1698),4),0))))</f>
        <v/>
      </c>
      <c r="AB1698" s="13" t="n"/>
      <c r="AC1698" s="15">
        <f>IF($B1698="","",IF($AB1698&lt;&gt;"",$AB1698,IF($AA1698="","",IF($AA1698&lt;=設定!$C$3,0,$AA1698))))</f>
        <v/>
      </c>
      <c r="AD1698" s="14">
        <f>IF($B1698="","",IF(AND($AE1698&lt;&gt;"",$AG1698="",$AJ1698=""),"保留中",IF($AJ1698&lt;&gt;"",IF(N($AC1698)&gt;0,"支給済","不支給"),IF($AC1698="","要確認",IF($AC1698=0,"不支給","未処理")))))</f>
        <v/>
      </c>
      <c r="AE1698" s="12" t="n"/>
      <c r="AF1698" s="11" t="n"/>
      <c r="AG1698" s="11" t="n"/>
      <c r="AH1698" s="11" t="n"/>
      <c r="AI1698" s="14">
        <f>IF(AND($AD1698="保留中",$AF1698&lt;&gt;""),TODAY()-$AF1698,"")</f>
        <v/>
      </c>
      <c r="AJ1698" s="12" t="n"/>
      <c r="AK1698" s="14">
        <f>IF($B1698="","",IF($AO1698="","対象年月が未入力／","")&amp;IF($B1698="","",IF($AN1698="","職員マスタに未登録の職員番号／",IF($Y1698="","標準報酬月額が未登録／","")&amp;IF(AND($AO1698&lt;&gt;"",OR(AND(INDEX(職員マスタ!$G$6:$G$405,$AN1698)&lt;&gt;"",INDEX(職員マスタ!$G$6:$G$405,$AN1698)&gt;EOMONTH($AO1698,0)),AND(INDEX(職員マスタ!$H$6:$H$405,$AN1698)&lt;&gt;"",INDEX(職員マスタ!$H$6:$H$405,$AN1698)&lt;$AO1698))),"対象月が時短期間外／","")&amp;IF(AND(INDEX(職員マスタ!$F$6:$F$405,$AN1698)&lt;&gt;"",$AO1698&lt;&gt;"",INDEX(職員マスタ!$F$6:$F$405,$AN1698)&lt;$AO1698),"対象月に子が2歳到達済／","")&amp;IF(AND($H1698&lt;&gt;"",INDEX(職員マスタ!$B$6:$B$405,$AN1698)&lt;&gt;"",SUBSTITUTE(SUBSTITUTE($H1698," ","")," ","")&lt;&gt;SUBSTITUTE(SUBSTITUTE(INDEX(職員マスタ!$B$6:$B$405,$AN1698)," ","")," ","")),"氏名がマスタと相違／","")&amp;IF(AND($Q1698&lt;&gt;"",INDEX(職員マスタ!$E$6:$E$405,$AN1698)&lt;&gt;"",$Q1698&lt;&gt;INDEX(職員マスタ!$E$6:$E$405,$AN1698)),"子の生年月日がマスタと相違／","")&amp;IF(AND($L1698&lt;&gt;"",INDEX(職員マスタ!$G$6:$G$405,$AN1698)&lt;&gt;"",$L1698&lt;&gt;INDEX(職員マスタ!$G$6:$G$405,$AN1698)),"時短開始日がマスタと相違／","")&amp;IF(AND($M1698&lt;&gt;"",INDEX(職員マスタ!$H$6:$H$405,$AN1698)&lt;&gt;"",$M1698&lt;&gt;INDEX(職員マスタ!$H$6:$H$405,$AN1698)),"時短終了日がマスタと相違／","")))&amp;IF(AND($B1698&lt;&gt;"",$E1698=""),"報酬額が未入力／","")&amp;IF(N($U1698)&gt;0,"申請書に入力エラーが残っています／","")&amp;IF(AND($B1698&lt;&gt;"",$AO1698&lt;&gt;""),IF(COUNTIFS($B$6:$B$3005,$B1698,$C$6:$C$3005,$C1698,$D$6:$D$3005,$D1698)&gt;1,"同じ月の請求が重複しています／",""),"")&amp;IF(AND(N($E1698)&gt;0,$Z1698&lt;&gt;"",$Z1698&lt;&gt;"×",$AC1698=0,$AB1698=""),"計算額が下限以下のため不支給／",""))</f>
        <v/>
      </c>
      <c r="AL1698" s="12" t="n"/>
      <c r="AM1698" s="14">
        <f>IF($AD1698="保留中",COUNTIF($AD$6:$AD1698,"保留中"),"")</f>
        <v/>
      </c>
      <c r="AN1698" s="14">
        <f>IF($AO1698="","",IF(SUMPRODUCT(MAX((職員マスタ!$A$6:$A$405=$B1698)*(((職員マスタ!$G$6:$G$405="")+(職員マスタ!$G$6:$G$405&lt;=EOMONTH($AO1698,0)))&gt;0)*(((職員マスタ!$H$6:$H$405="")+(職員マスタ!$H$6:$H$405&gt;=$AO1698))&gt;0)*(ROW(職員マスタ!$A$6:$A$405)-5)))&gt;0,SUMPRODUCT(MAX((職員マスタ!$A$6:$A$405=$B1698)*(((職員マスタ!$G$6:$G$405="")+(職員マスタ!$G$6:$G$405&lt;=EOMONTH($AO1698,0)))&gt;0)*(((職員マスタ!$H$6:$H$405="")+(職員マスタ!$H$6:$H$405&gt;=$AO1698))&gt;0)*(ROW(職員マスタ!$A$6:$A$405)-5))),IFERROR(MATCH($B1698,職員マスタ!$A$6:$A$405,0),"")))</f>
        <v/>
      </c>
      <c r="AO1698" s="16">
        <f>IF(OR($B1698="",$C1698="",$D1698=""),"",DATE($C1698+2018,$D1698,1))</f>
        <v/>
      </c>
    </row>
    <row r="1699">
      <c r="A1699" s="11" t="n"/>
      <c r="B1699" s="12" t="n"/>
      <c r="C1699" s="12" t="n"/>
      <c r="D1699" s="12" t="n"/>
      <c r="E1699" s="13" t="n"/>
      <c r="F1699" s="12" t="n"/>
      <c r="G1699" s="13" t="n"/>
      <c r="H1699" s="12" t="n"/>
      <c r="I1699" s="12" t="n"/>
      <c r="J1699" s="12" t="n"/>
      <c r="K1699" s="12" t="n"/>
      <c r="L1699" s="11" t="n"/>
      <c r="M1699" s="11" t="n"/>
      <c r="N1699" s="11" t="n"/>
      <c r="O1699" s="11" t="n"/>
      <c r="P1699" s="12" t="n"/>
      <c r="Q1699" s="11" t="n"/>
      <c r="R1699" s="12" t="n"/>
      <c r="S1699" s="11" t="n"/>
      <c r="T1699" s="12" t="n"/>
      <c r="U1699" s="12" t="n"/>
      <c r="V1699" s="14">
        <f>IF($AN1699="",IF($B1699="","",$H1699),IF(INDEX(職員マスタ!$B$6:$B$405,$AN1699)="",$H1699,INDEX(職員マスタ!$B$6:$B$405,$AN1699)))</f>
        <v/>
      </c>
      <c r="W1699" s="14">
        <f>IF($AN1699="",IF($B1699="","",$R1699),IF(INDEX(職員マスタ!$C$6:$C$405,$AN1699)="",$R1699,INDEX(職員マスタ!$C$6:$C$405,$AN1699)))</f>
        <v/>
      </c>
      <c r="X1699" s="14">
        <f>IF($AO1699="","","R"&amp;$C1699&amp;"."&amp;$D1699)</f>
        <v/>
      </c>
      <c r="Y1699" s="15">
        <f>IF($AN1699="","",IF(INDEX(職員マスタ!$K$6:$K$405,$AN1699)="","",INDEX(職員マスタ!$K$6:$K$405,$AN1699)))</f>
        <v/>
      </c>
      <c r="Z1699" s="14">
        <f>IF(OR($E1699="",$Y1699=""),"",IF($E1699&gt;=$Y1699,"×",IF($E1699&gt;=$Y1699*設定!$C$5,"△","○")))</f>
        <v/>
      </c>
      <c r="AA1699" s="15">
        <f>IF($Z1699="","",IF($Z1699="×",0,IF($Z1699="○",ROUNDDOWN($E1699*設定!$C$4,0),ROUNDDOWN($E1699*ROUND((9*$Y1699-9*$E1699)/(10*$E1699),4),0))))</f>
        <v/>
      </c>
      <c r="AB1699" s="13" t="n"/>
      <c r="AC1699" s="15">
        <f>IF($B1699="","",IF($AB1699&lt;&gt;"",$AB1699,IF($AA1699="","",IF($AA1699&lt;=設定!$C$3,0,$AA1699))))</f>
        <v/>
      </c>
      <c r="AD1699" s="14">
        <f>IF($B1699="","",IF(AND($AE1699&lt;&gt;"",$AG1699="",$AJ1699=""),"保留中",IF($AJ1699&lt;&gt;"",IF(N($AC1699)&gt;0,"支給済","不支給"),IF($AC1699="","要確認",IF($AC1699=0,"不支給","未処理")))))</f>
        <v/>
      </c>
      <c r="AE1699" s="12" t="n"/>
      <c r="AF1699" s="11" t="n"/>
      <c r="AG1699" s="11" t="n"/>
      <c r="AH1699" s="11" t="n"/>
      <c r="AI1699" s="14">
        <f>IF(AND($AD1699="保留中",$AF1699&lt;&gt;""),TODAY()-$AF1699,"")</f>
        <v/>
      </c>
      <c r="AJ1699" s="12" t="n"/>
      <c r="AK1699" s="14">
        <f>IF($B1699="","",IF($AO1699="","対象年月が未入力／","")&amp;IF($B1699="","",IF($AN1699="","職員マスタに未登録の職員番号／",IF($Y1699="","標準報酬月額が未登録／","")&amp;IF(AND($AO1699&lt;&gt;"",OR(AND(INDEX(職員マスタ!$G$6:$G$405,$AN1699)&lt;&gt;"",INDEX(職員マスタ!$G$6:$G$405,$AN1699)&gt;EOMONTH($AO1699,0)),AND(INDEX(職員マスタ!$H$6:$H$405,$AN1699)&lt;&gt;"",INDEX(職員マスタ!$H$6:$H$405,$AN1699)&lt;$AO1699))),"対象月が時短期間外／","")&amp;IF(AND(INDEX(職員マスタ!$F$6:$F$405,$AN1699)&lt;&gt;"",$AO1699&lt;&gt;"",INDEX(職員マスタ!$F$6:$F$405,$AN1699)&lt;$AO1699),"対象月に子が2歳到達済／","")&amp;IF(AND($H1699&lt;&gt;"",INDEX(職員マスタ!$B$6:$B$405,$AN1699)&lt;&gt;"",SUBSTITUTE(SUBSTITUTE($H1699," ","")," ","")&lt;&gt;SUBSTITUTE(SUBSTITUTE(INDEX(職員マスタ!$B$6:$B$405,$AN1699)," ","")," ","")),"氏名がマスタと相違／","")&amp;IF(AND($Q1699&lt;&gt;"",INDEX(職員マスタ!$E$6:$E$405,$AN1699)&lt;&gt;"",$Q1699&lt;&gt;INDEX(職員マスタ!$E$6:$E$405,$AN1699)),"子の生年月日がマスタと相違／","")&amp;IF(AND($L1699&lt;&gt;"",INDEX(職員マスタ!$G$6:$G$405,$AN1699)&lt;&gt;"",$L1699&lt;&gt;INDEX(職員マスタ!$G$6:$G$405,$AN1699)),"時短開始日がマスタと相違／","")&amp;IF(AND($M1699&lt;&gt;"",INDEX(職員マスタ!$H$6:$H$405,$AN1699)&lt;&gt;"",$M1699&lt;&gt;INDEX(職員マスタ!$H$6:$H$405,$AN1699)),"時短終了日がマスタと相違／","")))&amp;IF(AND($B1699&lt;&gt;"",$E1699=""),"報酬額が未入力／","")&amp;IF(N($U1699)&gt;0,"申請書に入力エラーが残っています／","")&amp;IF(AND($B1699&lt;&gt;"",$AO1699&lt;&gt;""),IF(COUNTIFS($B$6:$B$3005,$B1699,$C$6:$C$3005,$C1699,$D$6:$D$3005,$D1699)&gt;1,"同じ月の請求が重複しています／",""),"")&amp;IF(AND(N($E1699)&gt;0,$Z1699&lt;&gt;"",$Z1699&lt;&gt;"×",$AC1699=0,$AB1699=""),"計算額が下限以下のため不支給／",""))</f>
        <v/>
      </c>
      <c r="AL1699" s="12" t="n"/>
      <c r="AM1699" s="14">
        <f>IF($AD1699="保留中",COUNTIF($AD$6:$AD1699,"保留中"),"")</f>
        <v/>
      </c>
      <c r="AN1699" s="14">
        <f>IF($AO1699="","",IF(SUMPRODUCT(MAX((職員マスタ!$A$6:$A$405=$B1699)*(((職員マスタ!$G$6:$G$405="")+(職員マスタ!$G$6:$G$405&lt;=EOMONTH($AO1699,0)))&gt;0)*(((職員マスタ!$H$6:$H$405="")+(職員マスタ!$H$6:$H$405&gt;=$AO1699))&gt;0)*(ROW(職員マスタ!$A$6:$A$405)-5)))&gt;0,SUMPRODUCT(MAX((職員マスタ!$A$6:$A$405=$B1699)*(((職員マスタ!$G$6:$G$405="")+(職員マスタ!$G$6:$G$405&lt;=EOMONTH($AO1699,0)))&gt;0)*(((職員マスタ!$H$6:$H$405="")+(職員マスタ!$H$6:$H$405&gt;=$AO1699))&gt;0)*(ROW(職員マスタ!$A$6:$A$405)-5))),IFERROR(MATCH($B1699,職員マスタ!$A$6:$A$405,0),"")))</f>
        <v/>
      </c>
      <c r="AO1699" s="16">
        <f>IF(OR($B1699="",$C1699="",$D1699=""),"",DATE($C1699+2018,$D1699,1))</f>
        <v/>
      </c>
    </row>
    <row r="1700">
      <c r="A1700" s="11" t="n"/>
      <c r="B1700" s="12" t="n"/>
      <c r="C1700" s="12" t="n"/>
      <c r="D1700" s="12" t="n"/>
      <c r="E1700" s="13" t="n"/>
      <c r="F1700" s="12" t="n"/>
      <c r="G1700" s="13" t="n"/>
      <c r="H1700" s="12" t="n"/>
      <c r="I1700" s="12" t="n"/>
      <c r="J1700" s="12" t="n"/>
      <c r="K1700" s="12" t="n"/>
      <c r="L1700" s="11" t="n"/>
      <c r="M1700" s="11" t="n"/>
      <c r="N1700" s="11" t="n"/>
      <c r="O1700" s="11" t="n"/>
      <c r="P1700" s="12" t="n"/>
      <c r="Q1700" s="11" t="n"/>
      <c r="R1700" s="12" t="n"/>
      <c r="S1700" s="11" t="n"/>
      <c r="T1700" s="12" t="n"/>
      <c r="U1700" s="12" t="n"/>
      <c r="V1700" s="14">
        <f>IF($AN1700="",IF($B1700="","",$H1700),IF(INDEX(職員マスタ!$B$6:$B$405,$AN1700)="",$H1700,INDEX(職員マスタ!$B$6:$B$405,$AN1700)))</f>
        <v/>
      </c>
      <c r="W1700" s="14">
        <f>IF($AN1700="",IF($B1700="","",$R1700),IF(INDEX(職員マスタ!$C$6:$C$405,$AN1700)="",$R1700,INDEX(職員マスタ!$C$6:$C$405,$AN1700)))</f>
        <v/>
      </c>
      <c r="X1700" s="14">
        <f>IF($AO1700="","","R"&amp;$C1700&amp;"."&amp;$D1700)</f>
        <v/>
      </c>
      <c r="Y1700" s="15">
        <f>IF($AN1700="","",IF(INDEX(職員マスタ!$K$6:$K$405,$AN1700)="","",INDEX(職員マスタ!$K$6:$K$405,$AN1700)))</f>
        <v/>
      </c>
      <c r="Z1700" s="14">
        <f>IF(OR($E1700="",$Y1700=""),"",IF($E1700&gt;=$Y1700,"×",IF($E1700&gt;=$Y1700*設定!$C$5,"△","○")))</f>
        <v/>
      </c>
      <c r="AA1700" s="15">
        <f>IF($Z1700="","",IF($Z1700="×",0,IF($Z1700="○",ROUNDDOWN($E1700*設定!$C$4,0),ROUNDDOWN($E1700*ROUND((9*$Y1700-9*$E1700)/(10*$E1700),4),0))))</f>
        <v/>
      </c>
      <c r="AB1700" s="13" t="n"/>
      <c r="AC1700" s="15">
        <f>IF($B1700="","",IF($AB1700&lt;&gt;"",$AB1700,IF($AA1700="","",IF($AA1700&lt;=設定!$C$3,0,$AA1700))))</f>
        <v/>
      </c>
      <c r="AD1700" s="14">
        <f>IF($B1700="","",IF(AND($AE1700&lt;&gt;"",$AG1700="",$AJ1700=""),"保留中",IF($AJ1700&lt;&gt;"",IF(N($AC1700)&gt;0,"支給済","不支給"),IF($AC1700="","要確認",IF($AC1700=0,"不支給","未処理")))))</f>
        <v/>
      </c>
      <c r="AE1700" s="12" t="n"/>
      <c r="AF1700" s="11" t="n"/>
      <c r="AG1700" s="11" t="n"/>
      <c r="AH1700" s="11" t="n"/>
      <c r="AI1700" s="14">
        <f>IF(AND($AD1700="保留中",$AF1700&lt;&gt;""),TODAY()-$AF1700,"")</f>
        <v/>
      </c>
      <c r="AJ1700" s="12" t="n"/>
      <c r="AK1700" s="14">
        <f>IF($B1700="","",IF($AO1700="","対象年月が未入力／","")&amp;IF($B1700="","",IF($AN1700="","職員マスタに未登録の職員番号／",IF($Y1700="","標準報酬月額が未登録／","")&amp;IF(AND($AO1700&lt;&gt;"",OR(AND(INDEX(職員マスタ!$G$6:$G$405,$AN1700)&lt;&gt;"",INDEX(職員マスタ!$G$6:$G$405,$AN1700)&gt;EOMONTH($AO1700,0)),AND(INDEX(職員マスタ!$H$6:$H$405,$AN1700)&lt;&gt;"",INDEX(職員マスタ!$H$6:$H$405,$AN1700)&lt;$AO1700))),"対象月が時短期間外／","")&amp;IF(AND(INDEX(職員マスタ!$F$6:$F$405,$AN1700)&lt;&gt;"",$AO1700&lt;&gt;"",INDEX(職員マスタ!$F$6:$F$405,$AN1700)&lt;$AO1700),"対象月に子が2歳到達済／","")&amp;IF(AND($H1700&lt;&gt;"",INDEX(職員マスタ!$B$6:$B$405,$AN1700)&lt;&gt;"",SUBSTITUTE(SUBSTITUTE($H1700," ","")," ","")&lt;&gt;SUBSTITUTE(SUBSTITUTE(INDEX(職員マスタ!$B$6:$B$405,$AN1700)," ","")," ","")),"氏名がマスタと相違／","")&amp;IF(AND($Q1700&lt;&gt;"",INDEX(職員マスタ!$E$6:$E$405,$AN1700)&lt;&gt;"",$Q1700&lt;&gt;INDEX(職員マスタ!$E$6:$E$405,$AN1700)),"子の生年月日がマスタと相違／","")&amp;IF(AND($L1700&lt;&gt;"",INDEX(職員マスタ!$G$6:$G$405,$AN1700)&lt;&gt;"",$L1700&lt;&gt;INDEX(職員マスタ!$G$6:$G$405,$AN1700)),"時短開始日がマスタと相違／","")&amp;IF(AND($M1700&lt;&gt;"",INDEX(職員マスタ!$H$6:$H$405,$AN1700)&lt;&gt;"",$M1700&lt;&gt;INDEX(職員マスタ!$H$6:$H$405,$AN1700)),"時短終了日がマスタと相違／","")))&amp;IF(AND($B1700&lt;&gt;"",$E1700=""),"報酬額が未入力／","")&amp;IF(N($U1700)&gt;0,"申請書に入力エラーが残っています／","")&amp;IF(AND($B1700&lt;&gt;"",$AO1700&lt;&gt;""),IF(COUNTIFS($B$6:$B$3005,$B1700,$C$6:$C$3005,$C1700,$D$6:$D$3005,$D1700)&gt;1,"同じ月の請求が重複しています／",""),"")&amp;IF(AND(N($E1700)&gt;0,$Z1700&lt;&gt;"",$Z1700&lt;&gt;"×",$AC1700=0,$AB1700=""),"計算額が下限以下のため不支給／",""))</f>
        <v/>
      </c>
      <c r="AL1700" s="12" t="n"/>
      <c r="AM1700" s="14">
        <f>IF($AD1700="保留中",COUNTIF($AD$6:$AD1700,"保留中"),"")</f>
        <v/>
      </c>
      <c r="AN1700" s="14">
        <f>IF($AO1700="","",IF(SUMPRODUCT(MAX((職員マスタ!$A$6:$A$405=$B1700)*(((職員マスタ!$G$6:$G$405="")+(職員マスタ!$G$6:$G$405&lt;=EOMONTH($AO1700,0)))&gt;0)*(((職員マスタ!$H$6:$H$405="")+(職員マスタ!$H$6:$H$405&gt;=$AO1700))&gt;0)*(ROW(職員マスタ!$A$6:$A$405)-5)))&gt;0,SUMPRODUCT(MAX((職員マスタ!$A$6:$A$405=$B1700)*(((職員マスタ!$G$6:$G$405="")+(職員マスタ!$G$6:$G$405&lt;=EOMONTH($AO1700,0)))&gt;0)*(((職員マスタ!$H$6:$H$405="")+(職員マスタ!$H$6:$H$405&gt;=$AO1700))&gt;0)*(ROW(職員マスタ!$A$6:$A$405)-5))),IFERROR(MATCH($B1700,職員マスタ!$A$6:$A$405,0),"")))</f>
        <v/>
      </c>
      <c r="AO1700" s="16">
        <f>IF(OR($B1700="",$C1700="",$D1700=""),"",DATE($C1700+2018,$D1700,1))</f>
        <v/>
      </c>
    </row>
    <row r="1701">
      <c r="A1701" s="11" t="n"/>
      <c r="B1701" s="12" t="n"/>
      <c r="C1701" s="12" t="n"/>
      <c r="D1701" s="12" t="n"/>
      <c r="E1701" s="13" t="n"/>
      <c r="F1701" s="12" t="n"/>
      <c r="G1701" s="13" t="n"/>
      <c r="H1701" s="12" t="n"/>
      <c r="I1701" s="12" t="n"/>
      <c r="J1701" s="12" t="n"/>
      <c r="K1701" s="12" t="n"/>
      <c r="L1701" s="11" t="n"/>
      <c r="M1701" s="11" t="n"/>
      <c r="N1701" s="11" t="n"/>
      <c r="O1701" s="11" t="n"/>
      <c r="P1701" s="12" t="n"/>
      <c r="Q1701" s="11" t="n"/>
      <c r="R1701" s="12" t="n"/>
      <c r="S1701" s="11" t="n"/>
      <c r="T1701" s="12" t="n"/>
      <c r="U1701" s="12" t="n"/>
      <c r="V1701" s="14">
        <f>IF($AN1701="",IF($B1701="","",$H1701),IF(INDEX(職員マスタ!$B$6:$B$405,$AN1701)="",$H1701,INDEX(職員マスタ!$B$6:$B$405,$AN1701)))</f>
        <v/>
      </c>
      <c r="W1701" s="14">
        <f>IF($AN1701="",IF($B1701="","",$R1701),IF(INDEX(職員マスタ!$C$6:$C$405,$AN1701)="",$R1701,INDEX(職員マスタ!$C$6:$C$405,$AN1701)))</f>
        <v/>
      </c>
      <c r="X1701" s="14">
        <f>IF($AO1701="","","R"&amp;$C1701&amp;"."&amp;$D1701)</f>
        <v/>
      </c>
      <c r="Y1701" s="15">
        <f>IF($AN1701="","",IF(INDEX(職員マスタ!$K$6:$K$405,$AN1701)="","",INDEX(職員マスタ!$K$6:$K$405,$AN1701)))</f>
        <v/>
      </c>
      <c r="Z1701" s="14">
        <f>IF(OR($E1701="",$Y1701=""),"",IF($E1701&gt;=$Y1701,"×",IF($E1701&gt;=$Y1701*設定!$C$5,"△","○")))</f>
        <v/>
      </c>
      <c r="AA1701" s="15">
        <f>IF($Z1701="","",IF($Z1701="×",0,IF($Z1701="○",ROUNDDOWN($E1701*設定!$C$4,0),ROUNDDOWN($E1701*ROUND((9*$Y1701-9*$E1701)/(10*$E1701),4),0))))</f>
        <v/>
      </c>
      <c r="AB1701" s="13" t="n"/>
      <c r="AC1701" s="15">
        <f>IF($B1701="","",IF($AB1701&lt;&gt;"",$AB1701,IF($AA1701="","",IF($AA1701&lt;=設定!$C$3,0,$AA1701))))</f>
        <v/>
      </c>
      <c r="AD1701" s="14">
        <f>IF($B1701="","",IF(AND($AE1701&lt;&gt;"",$AG1701="",$AJ1701=""),"保留中",IF($AJ1701&lt;&gt;"",IF(N($AC1701)&gt;0,"支給済","不支給"),IF($AC1701="","要確認",IF($AC1701=0,"不支給","未処理")))))</f>
        <v/>
      </c>
      <c r="AE1701" s="12" t="n"/>
      <c r="AF1701" s="11" t="n"/>
      <c r="AG1701" s="11" t="n"/>
      <c r="AH1701" s="11" t="n"/>
      <c r="AI1701" s="14">
        <f>IF(AND($AD1701="保留中",$AF1701&lt;&gt;""),TODAY()-$AF1701,"")</f>
        <v/>
      </c>
      <c r="AJ1701" s="12" t="n"/>
      <c r="AK1701" s="14">
        <f>IF($B1701="","",IF($AO1701="","対象年月が未入力／","")&amp;IF($B1701="","",IF($AN1701="","職員マスタに未登録の職員番号／",IF($Y1701="","標準報酬月額が未登録／","")&amp;IF(AND($AO1701&lt;&gt;"",OR(AND(INDEX(職員マスタ!$G$6:$G$405,$AN1701)&lt;&gt;"",INDEX(職員マスタ!$G$6:$G$405,$AN1701)&gt;EOMONTH($AO1701,0)),AND(INDEX(職員マスタ!$H$6:$H$405,$AN1701)&lt;&gt;"",INDEX(職員マスタ!$H$6:$H$405,$AN1701)&lt;$AO1701))),"対象月が時短期間外／","")&amp;IF(AND(INDEX(職員マスタ!$F$6:$F$405,$AN1701)&lt;&gt;"",$AO1701&lt;&gt;"",INDEX(職員マスタ!$F$6:$F$405,$AN1701)&lt;$AO1701),"対象月に子が2歳到達済／","")&amp;IF(AND($H1701&lt;&gt;"",INDEX(職員マスタ!$B$6:$B$405,$AN1701)&lt;&gt;"",SUBSTITUTE(SUBSTITUTE($H1701," ","")," ","")&lt;&gt;SUBSTITUTE(SUBSTITUTE(INDEX(職員マスタ!$B$6:$B$405,$AN1701)," ","")," ","")),"氏名がマスタと相違／","")&amp;IF(AND($Q1701&lt;&gt;"",INDEX(職員マスタ!$E$6:$E$405,$AN1701)&lt;&gt;"",$Q1701&lt;&gt;INDEX(職員マスタ!$E$6:$E$405,$AN1701)),"子の生年月日がマスタと相違／","")&amp;IF(AND($L1701&lt;&gt;"",INDEX(職員マスタ!$G$6:$G$405,$AN1701)&lt;&gt;"",$L1701&lt;&gt;INDEX(職員マスタ!$G$6:$G$405,$AN1701)),"時短開始日がマスタと相違／","")&amp;IF(AND($M1701&lt;&gt;"",INDEX(職員マスタ!$H$6:$H$405,$AN1701)&lt;&gt;"",$M1701&lt;&gt;INDEX(職員マスタ!$H$6:$H$405,$AN1701)),"時短終了日がマスタと相違／","")))&amp;IF(AND($B1701&lt;&gt;"",$E1701=""),"報酬額が未入力／","")&amp;IF(N($U1701)&gt;0,"申請書に入力エラーが残っています／","")&amp;IF(AND($B1701&lt;&gt;"",$AO1701&lt;&gt;""),IF(COUNTIFS($B$6:$B$3005,$B1701,$C$6:$C$3005,$C1701,$D$6:$D$3005,$D1701)&gt;1,"同じ月の請求が重複しています／",""),"")&amp;IF(AND(N($E1701)&gt;0,$Z1701&lt;&gt;"",$Z1701&lt;&gt;"×",$AC1701=0,$AB1701=""),"計算額が下限以下のため不支給／",""))</f>
        <v/>
      </c>
      <c r="AL1701" s="12" t="n"/>
      <c r="AM1701" s="14">
        <f>IF($AD1701="保留中",COUNTIF($AD$6:$AD1701,"保留中"),"")</f>
        <v/>
      </c>
      <c r="AN1701" s="14">
        <f>IF($AO1701="","",IF(SUMPRODUCT(MAX((職員マスタ!$A$6:$A$405=$B1701)*(((職員マスタ!$G$6:$G$405="")+(職員マスタ!$G$6:$G$405&lt;=EOMONTH($AO1701,0)))&gt;0)*(((職員マスタ!$H$6:$H$405="")+(職員マスタ!$H$6:$H$405&gt;=$AO1701))&gt;0)*(ROW(職員マスタ!$A$6:$A$405)-5)))&gt;0,SUMPRODUCT(MAX((職員マスタ!$A$6:$A$405=$B1701)*(((職員マスタ!$G$6:$G$405="")+(職員マスタ!$G$6:$G$405&lt;=EOMONTH($AO1701,0)))&gt;0)*(((職員マスタ!$H$6:$H$405="")+(職員マスタ!$H$6:$H$405&gt;=$AO1701))&gt;0)*(ROW(職員マスタ!$A$6:$A$405)-5))),IFERROR(MATCH($B1701,職員マスタ!$A$6:$A$405,0),"")))</f>
        <v/>
      </c>
      <c r="AO1701" s="16">
        <f>IF(OR($B1701="",$C1701="",$D1701=""),"",DATE($C1701+2018,$D1701,1))</f>
        <v/>
      </c>
    </row>
    <row r="1702">
      <c r="A1702" s="11" t="n"/>
      <c r="B1702" s="12" t="n"/>
      <c r="C1702" s="12" t="n"/>
      <c r="D1702" s="12" t="n"/>
      <c r="E1702" s="13" t="n"/>
      <c r="F1702" s="12" t="n"/>
      <c r="G1702" s="13" t="n"/>
      <c r="H1702" s="12" t="n"/>
      <c r="I1702" s="12" t="n"/>
      <c r="J1702" s="12" t="n"/>
      <c r="K1702" s="12" t="n"/>
      <c r="L1702" s="11" t="n"/>
      <c r="M1702" s="11" t="n"/>
      <c r="N1702" s="11" t="n"/>
      <c r="O1702" s="11" t="n"/>
      <c r="P1702" s="12" t="n"/>
      <c r="Q1702" s="11" t="n"/>
      <c r="R1702" s="12" t="n"/>
      <c r="S1702" s="11" t="n"/>
      <c r="T1702" s="12" t="n"/>
      <c r="U1702" s="12" t="n"/>
      <c r="V1702" s="14">
        <f>IF($AN1702="",IF($B1702="","",$H1702),IF(INDEX(職員マスタ!$B$6:$B$405,$AN1702)="",$H1702,INDEX(職員マスタ!$B$6:$B$405,$AN1702)))</f>
        <v/>
      </c>
      <c r="W1702" s="14">
        <f>IF($AN1702="",IF($B1702="","",$R1702),IF(INDEX(職員マスタ!$C$6:$C$405,$AN1702)="",$R1702,INDEX(職員マスタ!$C$6:$C$405,$AN1702)))</f>
        <v/>
      </c>
      <c r="X1702" s="14">
        <f>IF($AO1702="","","R"&amp;$C1702&amp;"."&amp;$D1702)</f>
        <v/>
      </c>
      <c r="Y1702" s="15">
        <f>IF($AN1702="","",IF(INDEX(職員マスタ!$K$6:$K$405,$AN1702)="","",INDEX(職員マスタ!$K$6:$K$405,$AN1702)))</f>
        <v/>
      </c>
      <c r="Z1702" s="14">
        <f>IF(OR($E1702="",$Y1702=""),"",IF($E1702&gt;=$Y1702,"×",IF($E1702&gt;=$Y1702*設定!$C$5,"△","○")))</f>
        <v/>
      </c>
      <c r="AA1702" s="15">
        <f>IF($Z1702="","",IF($Z1702="×",0,IF($Z1702="○",ROUNDDOWN($E1702*設定!$C$4,0),ROUNDDOWN($E1702*ROUND((9*$Y1702-9*$E1702)/(10*$E1702),4),0))))</f>
        <v/>
      </c>
      <c r="AB1702" s="13" t="n"/>
      <c r="AC1702" s="15">
        <f>IF($B1702="","",IF($AB1702&lt;&gt;"",$AB1702,IF($AA1702="","",IF($AA1702&lt;=設定!$C$3,0,$AA1702))))</f>
        <v/>
      </c>
      <c r="AD1702" s="14">
        <f>IF($B1702="","",IF(AND($AE1702&lt;&gt;"",$AG1702="",$AJ1702=""),"保留中",IF($AJ1702&lt;&gt;"",IF(N($AC1702)&gt;0,"支給済","不支給"),IF($AC1702="","要確認",IF($AC1702=0,"不支給","未処理")))))</f>
        <v/>
      </c>
      <c r="AE1702" s="12" t="n"/>
      <c r="AF1702" s="11" t="n"/>
      <c r="AG1702" s="11" t="n"/>
      <c r="AH1702" s="11" t="n"/>
      <c r="AI1702" s="14">
        <f>IF(AND($AD1702="保留中",$AF1702&lt;&gt;""),TODAY()-$AF1702,"")</f>
        <v/>
      </c>
      <c r="AJ1702" s="12" t="n"/>
      <c r="AK1702" s="14">
        <f>IF($B1702="","",IF($AO1702="","対象年月が未入力／","")&amp;IF($B1702="","",IF($AN1702="","職員マスタに未登録の職員番号／",IF($Y1702="","標準報酬月額が未登録／","")&amp;IF(AND($AO1702&lt;&gt;"",OR(AND(INDEX(職員マスタ!$G$6:$G$405,$AN1702)&lt;&gt;"",INDEX(職員マスタ!$G$6:$G$405,$AN1702)&gt;EOMONTH($AO1702,0)),AND(INDEX(職員マスタ!$H$6:$H$405,$AN1702)&lt;&gt;"",INDEX(職員マスタ!$H$6:$H$405,$AN1702)&lt;$AO1702))),"対象月が時短期間外／","")&amp;IF(AND(INDEX(職員マスタ!$F$6:$F$405,$AN1702)&lt;&gt;"",$AO1702&lt;&gt;"",INDEX(職員マスタ!$F$6:$F$405,$AN1702)&lt;$AO1702),"対象月に子が2歳到達済／","")&amp;IF(AND($H1702&lt;&gt;"",INDEX(職員マスタ!$B$6:$B$405,$AN1702)&lt;&gt;"",SUBSTITUTE(SUBSTITUTE($H1702," ","")," ","")&lt;&gt;SUBSTITUTE(SUBSTITUTE(INDEX(職員マスタ!$B$6:$B$405,$AN1702)," ","")," ","")),"氏名がマスタと相違／","")&amp;IF(AND($Q1702&lt;&gt;"",INDEX(職員マスタ!$E$6:$E$405,$AN1702)&lt;&gt;"",$Q1702&lt;&gt;INDEX(職員マスタ!$E$6:$E$405,$AN1702)),"子の生年月日がマスタと相違／","")&amp;IF(AND($L1702&lt;&gt;"",INDEX(職員マスタ!$G$6:$G$405,$AN1702)&lt;&gt;"",$L1702&lt;&gt;INDEX(職員マスタ!$G$6:$G$405,$AN1702)),"時短開始日がマスタと相違／","")&amp;IF(AND($M1702&lt;&gt;"",INDEX(職員マスタ!$H$6:$H$405,$AN1702)&lt;&gt;"",$M1702&lt;&gt;INDEX(職員マスタ!$H$6:$H$405,$AN1702)),"時短終了日がマスタと相違／","")))&amp;IF(AND($B1702&lt;&gt;"",$E1702=""),"報酬額が未入力／","")&amp;IF(N($U1702)&gt;0,"申請書に入力エラーが残っています／","")&amp;IF(AND($B1702&lt;&gt;"",$AO1702&lt;&gt;""),IF(COUNTIFS($B$6:$B$3005,$B1702,$C$6:$C$3005,$C1702,$D$6:$D$3005,$D1702)&gt;1,"同じ月の請求が重複しています／",""),"")&amp;IF(AND(N($E1702)&gt;0,$Z1702&lt;&gt;"",$Z1702&lt;&gt;"×",$AC1702=0,$AB1702=""),"計算額が下限以下のため不支給／",""))</f>
        <v/>
      </c>
      <c r="AL1702" s="12" t="n"/>
      <c r="AM1702" s="14">
        <f>IF($AD1702="保留中",COUNTIF($AD$6:$AD1702,"保留中"),"")</f>
        <v/>
      </c>
      <c r="AN1702" s="14">
        <f>IF($AO1702="","",IF(SUMPRODUCT(MAX((職員マスタ!$A$6:$A$405=$B1702)*(((職員マスタ!$G$6:$G$405="")+(職員マスタ!$G$6:$G$405&lt;=EOMONTH($AO1702,0)))&gt;0)*(((職員マスタ!$H$6:$H$405="")+(職員マスタ!$H$6:$H$405&gt;=$AO1702))&gt;0)*(ROW(職員マスタ!$A$6:$A$405)-5)))&gt;0,SUMPRODUCT(MAX((職員マスタ!$A$6:$A$405=$B1702)*(((職員マスタ!$G$6:$G$405="")+(職員マスタ!$G$6:$G$405&lt;=EOMONTH($AO1702,0)))&gt;0)*(((職員マスタ!$H$6:$H$405="")+(職員マスタ!$H$6:$H$405&gt;=$AO1702))&gt;0)*(ROW(職員マスタ!$A$6:$A$405)-5))),IFERROR(MATCH($B1702,職員マスタ!$A$6:$A$405,0),"")))</f>
        <v/>
      </c>
      <c r="AO1702" s="16">
        <f>IF(OR($B1702="",$C1702="",$D1702=""),"",DATE($C1702+2018,$D1702,1))</f>
        <v/>
      </c>
    </row>
    <row r="1703">
      <c r="A1703" s="11" t="n"/>
      <c r="B1703" s="12" t="n"/>
      <c r="C1703" s="12" t="n"/>
      <c r="D1703" s="12" t="n"/>
      <c r="E1703" s="13" t="n"/>
      <c r="F1703" s="12" t="n"/>
      <c r="G1703" s="13" t="n"/>
      <c r="H1703" s="12" t="n"/>
      <c r="I1703" s="12" t="n"/>
      <c r="J1703" s="12" t="n"/>
      <c r="K1703" s="12" t="n"/>
      <c r="L1703" s="11" t="n"/>
      <c r="M1703" s="11" t="n"/>
      <c r="N1703" s="11" t="n"/>
      <c r="O1703" s="11" t="n"/>
      <c r="P1703" s="12" t="n"/>
      <c r="Q1703" s="11" t="n"/>
      <c r="R1703" s="12" t="n"/>
      <c r="S1703" s="11" t="n"/>
      <c r="T1703" s="12" t="n"/>
      <c r="U1703" s="12" t="n"/>
      <c r="V1703" s="14">
        <f>IF($AN1703="",IF($B1703="","",$H1703),IF(INDEX(職員マスタ!$B$6:$B$405,$AN1703)="",$H1703,INDEX(職員マスタ!$B$6:$B$405,$AN1703)))</f>
        <v/>
      </c>
      <c r="W1703" s="14">
        <f>IF($AN1703="",IF($B1703="","",$R1703),IF(INDEX(職員マスタ!$C$6:$C$405,$AN1703)="",$R1703,INDEX(職員マスタ!$C$6:$C$405,$AN1703)))</f>
        <v/>
      </c>
      <c r="X1703" s="14">
        <f>IF($AO1703="","","R"&amp;$C1703&amp;"."&amp;$D1703)</f>
        <v/>
      </c>
      <c r="Y1703" s="15">
        <f>IF($AN1703="","",IF(INDEX(職員マスタ!$K$6:$K$405,$AN1703)="","",INDEX(職員マスタ!$K$6:$K$405,$AN1703)))</f>
        <v/>
      </c>
      <c r="Z1703" s="14">
        <f>IF(OR($E1703="",$Y1703=""),"",IF($E1703&gt;=$Y1703,"×",IF($E1703&gt;=$Y1703*設定!$C$5,"△","○")))</f>
        <v/>
      </c>
      <c r="AA1703" s="15">
        <f>IF($Z1703="","",IF($Z1703="×",0,IF($Z1703="○",ROUNDDOWN($E1703*設定!$C$4,0),ROUNDDOWN($E1703*ROUND((9*$Y1703-9*$E1703)/(10*$E1703),4),0))))</f>
        <v/>
      </c>
      <c r="AB1703" s="13" t="n"/>
      <c r="AC1703" s="15">
        <f>IF($B1703="","",IF($AB1703&lt;&gt;"",$AB1703,IF($AA1703="","",IF($AA1703&lt;=設定!$C$3,0,$AA1703))))</f>
        <v/>
      </c>
      <c r="AD1703" s="14">
        <f>IF($B1703="","",IF(AND($AE1703&lt;&gt;"",$AG1703="",$AJ1703=""),"保留中",IF($AJ1703&lt;&gt;"",IF(N($AC1703)&gt;0,"支給済","不支給"),IF($AC1703="","要確認",IF($AC1703=0,"不支給","未処理")))))</f>
        <v/>
      </c>
      <c r="AE1703" s="12" t="n"/>
      <c r="AF1703" s="11" t="n"/>
      <c r="AG1703" s="11" t="n"/>
      <c r="AH1703" s="11" t="n"/>
      <c r="AI1703" s="14">
        <f>IF(AND($AD1703="保留中",$AF1703&lt;&gt;""),TODAY()-$AF1703,"")</f>
        <v/>
      </c>
      <c r="AJ1703" s="12" t="n"/>
      <c r="AK1703" s="14">
        <f>IF($B1703="","",IF($AO1703="","対象年月が未入力／","")&amp;IF($B1703="","",IF($AN1703="","職員マスタに未登録の職員番号／",IF($Y1703="","標準報酬月額が未登録／","")&amp;IF(AND($AO1703&lt;&gt;"",OR(AND(INDEX(職員マスタ!$G$6:$G$405,$AN1703)&lt;&gt;"",INDEX(職員マスタ!$G$6:$G$405,$AN1703)&gt;EOMONTH($AO1703,0)),AND(INDEX(職員マスタ!$H$6:$H$405,$AN1703)&lt;&gt;"",INDEX(職員マスタ!$H$6:$H$405,$AN1703)&lt;$AO1703))),"対象月が時短期間外／","")&amp;IF(AND(INDEX(職員マスタ!$F$6:$F$405,$AN1703)&lt;&gt;"",$AO1703&lt;&gt;"",INDEX(職員マスタ!$F$6:$F$405,$AN1703)&lt;$AO1703),"対象月に子が2歳到達済／","")&amp;IF(AND($H1703&lt;&gt;"",INDEX(職員マスタ!$B$6:$B$405,$AN1703)&lt;&gt;"",SUBSTITUTE(SUBSTITUTE($H1703," ","")," ","")&lt;&gt;SUBSTITUTE(SUBSTITUTE(INDEX(職員マスタ!$B$6:$B$405,$AN1703)," ","")," ","")),"氏名がマスタと相違／","")&amp;IF(AND($Q1703&lt;&gt;"",INDEX(職員マスタ!$E$6:$E$405,$AN1703)&lt;&gt;"",$Q1703&lt;&gt;INDEX(職員マスタ!$E$6:$E$405,$AN1703)),"子の生年月日がマスタと相違／","")&amp;IF(AND($L1703&lt;&gt;"",INDEX(職員マスタ!$G$6:$G$405,$AN1703)&lt;&gt;"",$L1703&lt;&gt;INDEX(職員マスタ!$G$6:$G$405,$AN1703)),"時短開始日がマスタと相違／","")&amp;IF(AND($M1703&lt;&gt;"",INDEX(職員マスタ!$H$6:$H$405,$AN1703)&lt;&gt;"",$M1703&lt;&gt;INDEX(職員マスタ!$H$6:$H$405,$AN1703)),"時短終了日がマスタと相違／","")))&amp;IF(AND($B1703&lt;&gt;"",$E1703=""),"報酬額が未入力／","")&amp;IF(N($U1703)&gt;0,"申請書に入力エラーが残っています／","")&amp;IF(AND($B1703&lt;&gt;"",$AO1703&lt;&gt;""),IF(COUNTIFS($B$6:$B$3005,$B1703,$C$6:$C$3005,$C1703,$D$6:$D$3005,$D1703)&gt;1,"同じ月の請求が重複しています／",""),"")&amp;IF(AND(N($E1703)&gt;0,$Z1703&lt;&gt;"",$Z1703&lt;&gt;"×",$AC1703=0,$AB1703=""),"計算額が下限以下のため不支給／",""))</f>
        <v/>
      </c>
      <c r="AL1703" s="12" t="n"/>
      <c r="AM1703" s="14">
        <f>IF($AD1703="保留中",COUNTIF($AD$6:$AD1703,"保留中"),"")</f>
        <v/>
      </c>
      <c r="AN1703" s="14">
        <f>IF($AO1703="","",IF(SUMPRODUCT(MAX((職員マスタ!$A$6:$A$405=$B1703)*(((職員マスタ!$G$6:$G$405="")+(職員マスタ!$G$6:$G$405&lt;=EOMONTH($AO1703,0)))&gt;0)*(((職員マスタ!$H$6:$H$405="")+(職員マスタ!$H$6:$H$405&gt;=$AO1703))&gt;0)*(ROW(職員マスタ!$A$6:$A$405)-5)))&gt;0,SUMPRODUCT(MAX((職員マスタ!$A$6:$A$405=$B1703)*(((職員マスタ!$G$6:$G$405="")+(職員マスタ!$G$6:$G$405&lt;=EOMONTH($AO1703,0)))&gt;0)*(((職員マスタ!$H$6:$H$405="")+(職員マスタ!$H$6:$H$405&gt;=$AO1703))&gt;0)*(ROW(職員マスタ!$A$6:$A$405)-5))),IFERROR(MATCH($B1703,職員マスタ!$A$6:$A$405,0),"")))</f>
        <v/>
      </c>
      <c r="AO1703" s="16">
        <f>IF(OR($B1703="",$C1703="",$D1703=""),"",DATE($C1703+2018,$D1703,1))</f>
        <v/>
      </c>
    </row>
    <row r="1704">
      <c r="A1704" s="11" t="n"/>
      <c r="B1704" s="12" t="n"/>
      <c r="C1704" s="12" t="n"/>
      <c r="D1704" s="12" t="n"/>
      <c r="E1704" s="13" t="n"/>
      <c r="F1704" s="12" t="n"/>
      <c r="G1704" s="13" t="n"/>
      <c r="H1704" s="12" t="n"/>
      <c r="I1704" s="12" t="n"/>
      <c r="J1704" s="12" t="n"/>
      <c r="K1704" s="12" t="n"/>
      <c r="L1704" s="11" t="n"/>
      <c r="M1704" s="11" t="n"/>
      <c r="N1704" s="11" t="n"/>
      <c r="O1704" s="11" t="n"/>
      <c r="P1704" s="12" t="n"/>
      <c r="Q1704" s="11" t="n"/>
      <c r="R1704" s="12" t="n"/>
      <c r="S1704" s="11" t="n"/>
      <c r="T1704" s="12" t="n"/>
      <c r="U1704" s="12" t="n"/>
      <c r="V1704" s="14">
        <f>IF($AN1704="",IF($B1704="","",$H1704),IF(INDEX(職員マスタ!$B$6:$B$405,$AN1704)="",$H1704,INDEX(職員マスタ!$B$6:$B$405,$AN1704)))</f>
        <v/>
      </c>
      <c r="W1704" s="14">
        <f>IF($AN1704="",IF($B1704="","",$R1704),IF(INDEX(職員マスタ!$C$6:$C$405,$AN1704)="",$R1704,INDEX(職員マスタ!$C$6:$C$405,$AN1704)))</f>
        <v/>
      </c>
      <c r="X1704" s="14">
        <f>IF($AO1704="","","R"&amp;$C1704&amp;"."&amp;$D1704)</f>
        <v/>
      </c>
      <c r="Y1704" s="15">
        <f>IF($AN1704="","",IF(INDEX(職員マスタ!$K$6:$K$405,$AN1704)="","",INDEX(職員マスタ!$K$6:$K$405,$AN1704)))</f>
        <v/>
      </c>
      <c r="Z1704" s="14">
        <f>IF(OR($E1704="",$Y1704=""),"",IF($E1704&gt;=$Y1704,"×",IF($E1704&gt;=$Y1704*設定!$C$5,"△","○")))</f>
        <v/>
      </c>
      <c r="AA1704" s="15">
        <f>IF($Z1704="","",IF($Z1704="×",0,IF($Z1704="○",ROUNDDOWN($E1704*設定!$C$4,0),ROUNDDOWN($E1704*ROUND((9*$Y1704-9*$E1704)/(10*$E1704),4),0))))</f>
        <v/>
      </c>
      <c r="AB1704" s="13" t="n"/>
      <c r="AC1704" s="15">
        <f>IF($B1704="","",IF($AB1704&lt;&gt;"",$AB1704,IF($AA1704="","",IF($AA1704&lt;=設定!$C$3,0,$AA1704))))</f>
        <v/>
      </c>
      <c r="AD1704" s="14">
        <f>IF($B1704="","",IF(AND($AE1704&lt;&gt;"",$AG1704="",$AJ1704=""),"保留中",IF($AJ1704&lt;&gt;"",IF(N($AC1704)&gt;0,"支給済","不支給"),IF($AC1704="","要確認",IF($AC1704=0,"不支給","未処理")))))</f>
        <v/>
      </c>
      <c r="AE1704" s="12" t="n"/>
      <c r="AF1704" s="11" t="n"/>
      <c r="AG1704" s="11" t="n"/>
      <c r="AH1704" s="11" t="n"/>
      <c r="AI1704" s="14">
        <f>IF(AND($AD1704="保留中",$AF1704&lt;&gt;""),TODAY()-$AF1704,"")</f>
        <v/>
      </c>
      <c r="AJ1704" s="12" t="n"/>
      <c r="AK1704" s="14">
        <f>IF($B1704="","",IF($AO1704="","対象年月が未入力／","")&amp;IF($B1704="","",IF($AN1704="","職員マスタに未登録の職員番号／",IF($Y1704="","標準報酬月額が未登録／","")&amp;IF(AND($AO1704&lt;&gt;"",OR(AND(INDEX(職員マスタ!$G$6:$G$405,$AN1704)&lt;&gt;"",INDEX(職員マスタ!$G$6:$G$405,$AN1704)&gt;EOMONTH($AO1704,0)),AND(INDEX(職員マスタ!$H$6:$H$405,$AN1704)&lt;&gt;"",INDEX(職員マスタ!$H$6:$H$405,$AN1704)&lt;$AO1704))),"対象月が時短期間外／","")&amp;IF(AND(INDEX(職員マスタ!$F$6:$F$405,$AN1704)&lt;&gt;"",$AO1704&lt;&gt;"",INDEX(職員マスタ!$F$6:$F$405,$AN1704)&lt;$AO1704),"対象月に子が2歳到達済／","")&amp;IF(AND($H1704&lt;&gt;"",INDEX(職員マスタ!$B$6:$B$405,$AN1704)&lt;&gt;"",SUBSTITUTE(SUBSTITUTE($H1704," ","")," ","")&lt;&gt;SUBSTITUTE(SUBSTITUTE(INDEX(職員マスタ!$B$6:$B$405,$AN1704)," ","")," ","")),"氏名がマスタと相違／","")&amp;IF(AND($Q1704&lt;&gt;"",INDEX(職員マスタ!$E$6:$E$405,$AN1704)&lt;&gt;"",$Q1704&lt;&gt;INDEX(職員マスタ!$E$6:$E$405,$AN1704)),"子の生年月日がマスタと相違／","")&amp;IF(AND($L1704&lt;&gt;"",INDEX(職員マスタ!$G$6:$G$405,$AN1704)&lt;&gt;"",$L1704&lt;&gt;INDEX(職員マスタ!$G$6:$G$405,$AN1704)),"時短開始日がマスタと相違／","")&amp;IF(AND($M1704&lt;&gt;"",INDEX(職員マスタ!$H$6:$H$405,$AN1704)&lt;&gt;"",$M1704&lt;&gt;INDEX(職員マスタ!$H$6:$H$405,$AN1704)),"時短終了日がマスタと相違／","")))&amp;IF(AND($B1704&lt;&gt;"",$E1704=""),"報酬額が未入力／","")&amp;IF(N($U1704)&gt;0,"申請書に入力エラーが残っています／","")&amp;IF(AND($B1704&lt;&gt;"",$AO1704&lt;&gt;""),IF(COUNTIFS($B$6:$B$3005,$B1704,$C$6:$C$3005,$C1704,$D$6:$D$3005,$D1704)&gt;1,"同じ月の請求が重複しています／",""),"")&amp;IF(AND(N($E1704)&gt;0,$Z1704&lt;&gt;"",$Z1704&lt;&gt;"×",$AC1704=0,$AB1704=""),"計算額が下限以下のため不支給／",""))</f>
        <v/>
      </c>
      <c r="AL1704" s="12" t="n"/>
      <c r="AM1704" s="14">
        <f>IF($AD1704="保留中",COUNTIF($AD$6:$AD1704,"保留中"),"")</f>
        <v/>
      </c>
      <c r="AN1704" s="14">
        <f>IF($AO1704="","",IF(SUMPRODUCT(MAX((職員マスタ!$A$6:$A$405=$B1704)*(((職員マスタ!$G$6:$G$405="")+(職員マスタ!$G$6:$G$405&lt;=EOMONTH($AO1704,0)))&gt;0)*(((職員マスタ!$H$6:$H$405="")+(職員マスタ!$H$6:$H$405&gt;=$AO1704))&gt;0)*(ROW(職員マスタ!$A$6:$A$405)-5)))&gt;0,SUMPRODUCT(MAX((職員マスタ!$A$6:$A$405=$B1704)*(((職員マスタ!$G$6:$G$405="")+(職員マスタ!$G$6:$G$405&lt;=EOMONTH($AO1704,0)))&gt;0)*(((職員マスタ!$H$6:$H$405="")+(職員マスタ!$H$6:$H$405&gt;=$AO1704))&gt;0)*(ROW(職員マスタ!$A$6:$A$405)-5))),IFERROR(MATCH($B1704,職員マスタ!$A$6:$A$405,0),"")))</f>
        <v/>
      </c>
      <c r="AO1704" s="16">
        <f>IF(OR($B1704="",$C1704="",$D1704=""),"",DATE($C1704+2018,$D1704,1))</f>
        <v/>
      </c>
    </row>
    <row r="1705">
      <c r="A1705" s="11" t="n"/>
      <c r="B1705" s="12" t="n"/>
      <c r="C1705" s="12" t="n"/>
      <c r="D1705" s="12" t="n"/>
      <c r="E1705" s="13" t="n"/>
      <c r="F1705" s="12" t="n"/>
      <c r="G1705" s="13" t="n"/>
      <c r="H1705" s="12" t="n"/>
      <c r="I1705" s="12" t="n"/>
      <c r="J1705" s="12" t="n"/>
      <c r="K1705" s="12" t="n"/>
      <c r="L1705" s="11" t="n"/>
      <c r="M1705" s="11" t="n"/>
      <c r="N1705" s="11" t="n"/>
      <c r="O1705" s="11" t="n"/>
      <c r="P1705" s="12" t="n"/>
      <c r="Q1705" s="11" t="n"/>
      <c r="R1705" s="12" t="n"/>
      <c r="S1705" s="11" t="n"/>
      <c r="T1705" s="12" t="n"/>
      <c r="U1705" s="12" t="n"/>
      <c r="V1705" s="14">
        <f>IF($AN1705="",IF($B1705="","",$H1705),IF(INDEX(職員マスタ!$B$6:$B$405,$AN1705)="",$H1705,INDEX(職員マスタ!$B$6:$B$405,$AN1705)))</f>
        <v/>
      </c>
      <c r="W1705" s="14">
        <f>IF($AN1705="",IF($B1705="","",$R1705),IF(INDEX(職員マスタ!$C$6:$C$405,$AN1705)="",$R1705,INDEX(職員マスタ!$C$6:$C$405,$AN1705)))</f>
        <v/>
      </c>
      <c r="X1705" s="14">
        <f>IF($AO1705="","","R"&amp;$C1705&amp;"."&amp;$D1705)</f>
        <v/>
      </c>
      <c r="Y1705" s="15">
        <f>IF($AN1705="","",IF(INDEX(職員マスタ!$K$6:$K$405,$AN1705)="","",INDEX(職員マスタ!$K$6:$K$405,$AN1705)))</f>
        <v/>
      </c>
      <c r="Z1705" s="14">
        <f>IF(OR($E1705="",$Y1705=""),"",IF($E1705&gt;=$Y1705,"×",IF($E1705&gt;=$Y1705*設定!$C$5,"△","○")))</f>
        <v/>
      </c>
      <c r="AA1705" s="15">
        <f>IF($Z1705="","",IF($Z1705="×",0,IF($Z1705="○",ROUNDDOWN($E1705*設定!$C$4,0),ROUNDDOWN($E1705*ROUND((9*$Y1705-9*$E1705)/(10*$E1705),4),0))))</f>
        <v/>
      </c>
      <c r="AB1705" s="13" t="n"/>
      <c r="AC1705" s="15">
        <f>IF($B1705="","",IF($AB1705&lt;&gt;"",$AB1705,IF($AA1705="","",IF($AA1705&lt;=設定!$C$3,0,$AA1705))))</f>
        <v/>
      </c>
      <c r="AD1705" s="14">
        <f>IF($B1705="","",IF(AND($AE1705&lt;&gt;"",$AG1705="",$AJ1705=""),"保留中",IF($AJ1705&lt;&gt;"",IF(N($AC1705)&gt;0,"支給済","不支給"),IF($AC1705="","要確認",IF($AC1705=0,"不支給","未処理")))))</f>
        <v/>
      </c>
      <c r="AE1705" s="12" t="n"/>
      <c r="AF1705" s="11" t="n"/>
      <c r="AG1705" s="11" t="n"/>
      <c r="AH1705" s="11" t="n"/>
      <c r="AI1705" s="14">
        <f>IF(AND($AD1705="保留中",$AF1705&lt;&gt;""),TODAY()-$AF1705,"")</f>
        <v/>
      </c>
      <c r="AJ1705" s="12" t="n"/>
      <c r="AK1705" s="14">
        <f>IF($B1705="","",IF($AO1705="","対象年月が未入力／","")&amp;IF($B1705="","",IF($AN1705="","職員マスタに未登録の職員番号／",IF($Y1705="","標準報酬月額が未登録／","")&amp;IF(AND($AO1705&lt;&gt;"",OR(AND(INDEX(職員マスタ!$G$6:$G$405,$AN1705)&lt;&gt;"",INDEX(職員マスタ!$G$6:$G$405,$AN1705)&gt;EOMONTH($AO1705,0)),AND(INDEX(職員マスタ!$H$6:$H$405,$AN1705)&lt;&gt;"",INDEX(職員マスタ!$H$6:$H$405,$AN1705)&lt;$AO1705))),"対象月が時短期間外／","")&amp;IF(AND(INDEX(職員マスタ!$F$6:$F$405,$AN1705)&lt;&gt;"",$AO1705&lt;&gt;"",INDEX(職員マスタ!$F$6:$F$405,$AN1705)&lt;$AO1705),"対象月に子が2歳到達済／","")&amp;IF(AND($H1705&lt;&gt;"",INDEX(職員マスタ!$B$6:$B$405,$AN1705)&lt;&gt;"",SUBSTITUTE(SUBSTITUTE($H1705," ","")," ","")&lt;&gt;SUBSTITUTE(SUBSTITUTE(INDEX(職員マスタ!$B$6:$B$405,$AN1705)," ","")," ","")),"氏名がマスタと相違／","")&amp;IF(AND($Q1705&lt;&gt;"",INDEX(職員マスタ!$E$6:$E$405,$AN1705)&lt;&gt;"",$Q1705&lt;&gt;INDEX(職員マスタ!$E$6:$E$405,$AN1705)),"子の生年月日がマスタと相違／","")&amp;IF(AND($L1705&lt;&gt;"",INDEX(職員マスタ!$G$6:$G$405,$AN1705)&lt;&gt;"",$L1705&lt;&gt;INDEX(職員マスタ!$G$6:$G$405,$AN1705)),"時短開始日がマスタと相違／","")&amp;IF(AND($M1705&lt;&gt;"",INDEX(職員マスタ!$H$6:$H$405,$AN1705)&lt;&gt;"",$M1705&lt;&gt;INDEX(職員マスタ!$H$6:$H$405,$AN1705)),"時短終了日がマスタと相違／","")))&amp;IF(AND($B1705&lt;&gt;"",$E1705=""),"報酬額が未入力／","")&amp;IF(N($U1705)&gt;0,"申請書に入力エラーが残っています／","")&amp;IF(AND($B1705&lt;&gt;"",$AO1705&lt;&gt;""),IF(COUNTIFS($B$6:$B$3005,$B1705,$C$6:$C$3005,$C1705,$D$6:$D$3005,$D1705)&gt;1,"同じ月の請求が重複しています／",""),"")&amp;IF(AND(N($E1705)&gt;0,$Z1705&lt;&gt;"",$Z1705&lt;&gt;"×",$AC1705=0,$AB1705=""),"計算額が下限以下のため不支給／",""))</f>
        <v/>
      </c>
      <c r="AL1705" s="12" t="n"/>
      <c r="AM1705" s="14">
        <f>IF($AD1705="保留中",COUNTIF($AD$6:$AD1705,"保留中"),"")</f>
        <v/>
      </c>
      <c r="AN1705" s="14">
        <f>IF($AO1705="","",IF(SUMPRODUCT(MAX((職員マスタ!$A$6:$A$405=$B1705)*(((職員マスタ!$G$6:$G$405="")+(職員マスタ!$G$6:$G$405&lt;=EOMONTH($AO1705,0)))&gt;0)*(((職員マスタ!$H$6:$H$405="")+(職員マスタ!$H$6:$H$405&gt;=$AO1705))&gt;0)*(ROW(職員マスタ!$A$6:$A$405)-5)))&gt;0,SUMPRODUCT(MAX((職員マスタ!$A$6:$A$405=$B1705)*(((職員マスタ!$G$6:$G$405="")+(職員マスタ!$G$6:$G$405&lt;=EOMONTH($AO1705,0)))&gt;0)*(((職員マスタ!$H$6:$H$405="")+(職員マスタ!$H$6:$H$405&gt;=$AO1705))&gt;0)*(ROW(職員マスタ!$A$6:$A$405)-5))),IFERROR(MATCH($B1705,職員マスタ!$A$6:$A$405,0),"")))</f>
        <v/>
      </c>
      <c r="AO1705" s="16">
        <f>IF(OR($B1705="",$C1705="",$D1705=""),"",DATE($C1705+2018,$D1705,1))</f>
        <v/>
      </c>
    </row>
    <row r="1706">
      <c r="A1706" s="11" t="n"/>
      <c r="B1706" s="12" t="n"/>
      <c r="C1706" s="12" t="n"/>
      <c r="D1706" s="12" t="n"/>
      <c r="E1706" s="13" t="n"/>
      <c r="F1706" s="12" t="n"/>
      <c r="G1706" s="13" t="n"/>
      <c r="H1706" s="12" t="n"/>
      <c r="I1706" s="12" t="n"/>
      <c r="J1706" s="12" t="n"/>
      <c r="K1706" s="12" t="n"/>
      <c r="L1706" s="11" t="n"/>
      <c r="M1706" s="11" t="n"/>
      <c r="N1706" s="11" t="n"/>
      <c r="O1706" s="11" t="n"/>
      <c r="P1706" s="12" t="n"/>
      <c r="Q1706" s="11" t="n"/>
      <c r="R1706" s="12" t="n"/>
      <c r="S1706" s="11" t="n"/>
      <c r="T1706" s="12" t="n"/>
      <c r="U1706" s="12" t="n"/>
      <c r="V1706" s="14">
        <f>IF($AN1706="",IF($B1706="","",$H1706),IF(INDEX(職員マスタ!$B$6:$B$405,$AN1706)="",$H1706,INDEX(職員マスタ!$B$6:$B$405,$AN1706)))</f>
        <v/>
      </c>
      <c r="W1706" s="14">
        <f>IF($AN1706="",IF($B1706="","",$R1706),IF(INDEX(職員マスタ!$C$6:$C$405,$AN1706)="",$R1706,INDEX(職員マスタ!$C$6:$C$405,$AN1706)))</f>
        <v/>
      </c>
      <c r="X1706" s="14">
        <f>IF($AO1706="","","R"&amp;$C1706&amp;"."&amp;$D1706)</f>
        <v/>
      </c>
      <c r="Y1706" s="15">
        <f>IF($AN1706="","",IF(INDEX(職員マスタ!$K$6:$K$405,$AN1706)="","",INDEX(職員マスタ!$K$6:$K$405,$AN1706)))</f>
        <v/>
      </c>
      <c r="Z1706" s="14">
        <f>IF(OR($E1706="",$Y1706=""),"",IF($E1706&gt;=$Y1706,"×",IF($E1706&gt;=$Y1706*設定!$C$5,"△","○")))</f>
        <v/>
      </c>
      <c r="AA1706" s="15">
        <f>IF($Z1706="","",IF($Z1706="×",0,IF($Z1706="○",ROUNDDOWN($E1706*設定!$C$4,0),ROUNDDOWN($E1706*ROUND((9*$Y1706-9*$E1706)/(10*$E1706),4),0))))</f>
        <v/>
      </c>
      <c r="AB1706" s="13" t="n"/>
      <c r="AC1706" s="15">
        <f>IF($B1706="","",IF($AB1706&lt;&gt;"",$AB1706,IF($AA1706="","",IF($AA1706&lt;=設定!$C$3,0,$AA1706))))</f>
        <v/>
      </c>
      <c r="AD1706" s="14">
        <f>IF($B1706="","",IF(AND($AE1706&lt;&gt;"",$AG1706="",$AJ1706=""),"保留中",IF($AJ1706&lt;&gt;"",IF(N($AC1706)&gt;0,"支給済","不支給"),IF($AC1706="","要確認",IF($AC1706=0,"不支給","未処理")))))</f>
        <v/>
      </c>
      <c r="AE1706" s="12" t="n"/>
      <c r="AF1706" s="11" t="n"/>
      <c r="AG1706" s="11" t="n"/>
      <c r="AH1706" s="11" t="n"/>
      <c r="AI1706" s="14">
        <f>IF(AND($AD1706="保留中",$AF1706&lt;&gt;""),TODAY()-$AF1706,"")</f>
        <v/>
      </c>
      <c r="AJ1706" s="12" t="n"/>
      <c r="AK1706" s="14">
        <f>IF($B1706="","",IF($AO1706="","対象年月が未入力／","")&amp;IF($B1706="","",IF($AN1706="","職員マスタに未登録の職員番号／",IF($Y1706="","標準報酬月額が未登録／","")&amp;IF(AND($AO1706&lt;&gt;"",OR(AND(INDEX(職員マスタ!$G$6:$G$405,$AN1706)&lt;&gt;"",INDEX(職員マスタ!$G$6:$G$405,$AN1706)&gt;EOMONTH($AO1706,0)),AND(INDEX(職員マスタ!$H$6:$H$405,$AN1706)&lt;&gt;"",INDEX(職員マスタ!$H$6:$H$405,$AN1706)&lt;$AO1706))),"対象月が時短期間外／","")&amp;IF(AND(INDEX(職員マスタ!$F$6:$F$405,$AN1706)&lt;&gt;"",$AO1706&lt;&gt;"",INDEX(職員マスタ!$F$6:$F$405,$AN1706)&lt;$AO1706),"対象月に子が2歳到達済／","")&amp;IF(AND($H1706&lt;&gt;"",INDEX(職員マスタ!$B$6:$B$405,$AN1706)&lt;&gt;"",SUBSTITUTE(SUBSTITUTE($H1706," ","")," ","")&lt;&gt;SUBSTITUTE(SUBSTITUTE(INDEX(職員マスタ!$B$6:$B$405,$AN1706)," ","")," ","")),"氏名がマスタと相違／","")&amp;IF(AND($Q1706&lt;&gt;"",INDEX(職員マスタ!$E$6:$E$405,$AN1706)&lt;&gt;"",$Q1706&lt;&gt;INDEX(職員マスタ!$E$6:$E$405,$AN1706)),"子の生年月日がマスタと相違／","")&amp;IF(AND($L1706&lt;&gt;"",INDEX(職員マスタ!$G$6:$G$405,$AN1706)&lt;&gt;"",$L1706&lt;&gt;INDEX(職員マスタ!$G$6:$G$405,$AN1706)),"時短開始日がマスタと相違／","")&amp;IF(AND($M1706&lt;&gt;"",INDEX(職員マスタ!$H$6:$H$405,$AN1706)&lt;&gt;"",$M1706&lt;&gt;INDEX(職員マスタ!$H$6:$H$405,$AN1706)),"時短終了日がマスタと相違／","")))&amp;IF(AND($B1706&lt;&gt;"",$E1706=""),"報酬額が未入力／","")&amp;IF(N($U1706)&gt;0,"申請書に入力エラーが残っています／","")&amp;IF(AND($B1706&lt;&gt;"",$AO1706&lt;&gt;""),IF(COUNTIFS($B$6:$B$3005,$B1706,$C$6:$C$3005,$C1706,$D$6:$D$3005,$D1706)&gt;1,"同じ月の請求が重複しています／",""),"")&amp;IF(AND(N($E1706)&gt;0,$Z1706&lt;&gt;"",$Z1706&lt;&gt;"×",$AC1706=0,$AB1706=""),"計算額が下限以下のため不支給／",""))</f>
        <v/>
      </c>
      <c r="AL1706" s="12" t="n"/>
      <c r="AM1706" s="14">
        <f>IF($AD1706="保留中",COUNTIF($AD$6:$AD1706,"保留中"),"")</f>
        <v/>
      </c>
      <c r="AN1706" s="14">
        <f>IF($AO1706="","",IF(SUMPRODUCT(MAX((職員マスタ!$A$6:$A$405=$B1706)*(((職員マスタ!$G$6:$G$405="")+(職員マスタ!$G$6:$G$405&lt;=EOMONTH($AO1706,0)))&gt;0)*(((職員マスタ!$H$6:$H$405="")+(職員マスタ!$H$6:$H$405&gt;=$AO1706))&gt;0)*(ROW(職員マスタ!$A$6:$A$405)-5)))&gt;0,SUMPRODUCT(MAX((職員マスタ!$A$6:$A$405=$B1706)*(((職員マスタ!$G$6:$G$405="")+(職員マスタ!$G$6:$G$405&lt;=EOMONTH($AO1706,0)))&gt;0)*(((職員マスタ!$H$6:$H$405="")+(職員マスタ!$H$6:$H$405&gt;=$AO1706))&gt;0)*(ROW(職員マスタ!$A$6:$A$405)-5))),IFERROR(MATCH($B1706,職員マスタ!$A$6:$A$405,0),"")))</f>
        <v/>
      </c>
      <c r="AO1706" s="16">
        <f>IF(OR($B1706="",$C1706="",$D1706=""),"",DATE($C1706+2018,$D1706,1))</f>
        <v/>
      </c>
    </row>
    <row r="1707">
      <c r="A1707" s="11" t="n"/>
      <c r="B1707" s="12" t="n"/>
      <c r="C1707" s="12" t="n"/>
      <c r="D1707" s="12" t="n"/>
      <c r="E1707" s="13" t="n"/>
      <c r="F1707" s="12" t="n"/>
      <c r="G1707" s="13" t="n"/>
      <c r="H1707" s="12" t="n"/>
      <c r="I1707" s="12" t="n"/>
      <c r="J1707" s="12" t="n"/>
      <c r="K1707" s="12" t="n"/>
      <c r="L1707" s="11" t="n"/>
      <c r="M1707" s="11" t="n"/>
      <c r="N1707" s="11" t="n"/>
      <c r="O1707" s="11" t="n"/>
      <c r="P1707" s="12" t="n"/>
      <c r="Q1707" s="11" t="n"/>
      <c r="R1707" s="12" t="n"/>
      <c r="S1707" s="11" t="n"/>
      <c r="T1707" s="12" t="n"/>
      <c r="U1707" s="12" t="n"/>
      <c r="V1707" s="14">
        <f>IF($AN1707="",IF($B1707="","",$H1707),IF(INDEX(職員マスタ!$B$6:$B$405,$AN1707)="",$H1707,INDEX(職員マスタ!$B$6:$B$405,$AN1707)))</f>
        <v/>
      </c>
      <c r="W1707" s="14">
        <f>IF($AN1707="",IF($B1707="","",$R1707),IF(INDEX(職員マスタ!$C$6:$C$405,$AN1707)="",$R1707,INDEX(職員マスタ!$C$6:$C$405,$AN1707)))</f>
        <v/>
      </c>
      <c r="X1707" s="14">
        <f>IF($AO1707="","","R"&amp;$C1707&amp;"."&amp;$D1707)</f>
        <v/>
      </c>
      <c r="Y1707" s="15">
        <f>IF($AN1707="","",IF(INDEX(職員マスタ!$K$6:$K$405,$AN1707)="","",INDEX(職員マスタ!$K$6:$K$405,$AN1707)))</f>
        <v/>
      </c>
      <c r="Z1707" s="14">
        <f>IF(OR($E1707="",$Y1707=""),"",IF($E1707&gt;=$Y1707,"×",IF($E1707&gt;=$Y1707*設定!$C$5,"△","○")))</f>
        <v/>
      </c>
      <c r="AA1707" s="15">
        <f>IF($Z1707="","",IF($Z1707="×",0,IF($Z1707="○",ROUNDDOWN($E1707*設定!$C$4,0),ROUNDDOWN($E1707*ROUND((9*$Y1707-9*$E1707)/(10*$E1707),4),0))))</f>
        <v/>
      </c>
      <c r="AB1707" s="13" t="n"/>
      <c r="AC1707" s="15">
        <f>IF($B1707="","",IF($AB1707&lt;&gt;"",$AB1707,IF($AA1707="","",IF($AA1707&lt;=設定!$C$3,0,$AA1707))))</f>
        <v/>
      </c>
      <c r="AD1707" s="14">
        <f>IF($B1707="","",IF(AND($AE1707&lt;&gt;"",$AG1707="",$AJ1707=""),"保留中",IF($AJ1707&lt;&gt;"",IF(N($AC1707)&gt;0,"支給済","不支給"),IF($AC1707="","要確認",IF($AC1707=0,"不支給","未処理")))))</f>
        <v/>
      </c>
      <c r="AE1707" s="12" t="n"/>
      <c r="AF1707" s="11" t="n"/>
      <c r="AG1707" s="11" t="n"/>
      <c r="AH1707" s="11" t="n"/>
      <c r="AI1707" s="14">
        <f>IF(AND($AD1707="保留中",$AF1707&lt;&gt;""),TODAY()-$AF1707,"")</f>
        <v/>
      </c>
      <c r="AJ1707" s="12" t="n"/>
      <c r="AK1707" s="14">
        <f>IF($B1707="","",IF($AO1707="","対象年月が未入力／","")&amp;IF($B1707="","",IF($AN1707="","職員マスタに未登録の職員番号／",IF($Y1707="","標準報酬月額が未登録／","")&amp;IF(AND($AO1707&lt;&gt;"",OR(AND(INDEX(職員マスタ!$G$6:$G$405,$AN1707)&lt;&gt;"",INDEX(職員マスタ!$G$6:$G$405,$AN1707)&gt;EOMONTH($AO1707,0)),AND(INDEX(職員マスタ!$H$6:$H$405,$AN1707)&lt;&gt;"",INDEX(職員マスタ!$H$6:$H$405,$AN1707)&lt;$AO1707))),"対象月が時短期間外／","")&amp;IF(AND(INDEX(職員マスタ!$F$6:$F$405,$AN1707)&lt;&gt;"",$AO1707&lt;&gt;"",INDEX(職員マスタ!$F$6:$F$405,$AN1707)&lt;$AO1707),"対象月に子が2歳到達済／","")&amp;IF(AND($H1707&lt;&gt;"",INDEX(職員マスタ!$B$6:$B$405,$AN1707)&lt;&gt;"",SUBSTITUTE(SUBSTITUTE($H1707," ","")," ","")&lt;&gt;SUBSTITUTE(SUBSTITUTE(INDEX(職員マスタ!$B$6:$B$405,$AN1707)," ","")," ","")),"氏名がマスタと相違／","")&amp;IF(AND($Q1707&lt;&gt;"",INDEX(職員マスタ!$E$6:$E$405,$AN1707)&lt;&gt;"",$Q1707&lt;&gt;INDEX(職員マスタ!$E$6:$E$405,$AN1707)),"子の生年月日がマスタと相違／","")&amp;IF(AND($L1707&lt;&gt;"",INDEX(職員マスタ!$G$6:$G$405,$AN1707)&lt;&gt;"",$L1707&lt;&gt;INDEX(職員マスタ!$G$6:$G$405,$AN1707)),"時短開始日がマスタと相違／","")&amp;IF(AND($M1707&lt;&gt;"",INDEX(職員マスタ!$H$6:$H$405,$AN1707)&lt;&gt;"",$M1707&lt;&gt;INDEX(職員マスタ!$H$6:$H$405,$AN1707)),"時短終了日がマスタと相違／","")))&amp;IF(AND($B1707&lt;&gt;"",$E1707=""),"報酬額が未入力／","")&amp;IF(N($U1707)&gt;0,"申請書に入力エラーが残っています／","")&amp;IF(AND($B1707&lt;&gt;"",$AO1707&lt;&gt;""),IF(COUNTIFS($B$6:$B$3005,$B1707,$C$6:$C$3005,$C1707,$D$6:$D$3005,$D1707)&gt;1,"同じ月の請求が重複しています／",""),"")&amp;IF(AND(N($E1707)&gt;0,$Z1707&lt;&gt;"",$Z1707&lt;&gt;"×",$AC1707=0,$AB1707=""),"計算額が下限以下のため不支給／",""))</f>
        <v/>
      </c>
      <c r="AL1707" s="12" t="n"/>
      <c r="AM1707" s="14">
        <f>IF($AD1707="保留中",COUNTIF($AD$6:$AD1707,"保留中"),"")</f>
        <v/>
      </c>
      <c r="AN1707" s="14">
        <f>IF($AO1707="","",IF(SUMPRODUCT(MAX((職員マスタ!$A$6:$A$405=$B1707)*(((職員マスタ!$G$6:$G$405="")+(職員マスタ!$G$6:$G$405&lt;=EOMONTH($AO1707,0)))&gt;0)*(((職員マスタ!$H$6:$H$405="")+(職員マスタ!$H$6:$H$405&gt;=$AO1707))&gt;0)*(ROW(職員マスタ!$A$6:$A$405)-5)))&gt;0,SUMPRODUCT(MAX((職員マスタ!$A$6:$A$405=$B1707)*(((職員マスタ!$G$6:$G$405="")+(職員マスタ!$G$6:$G$405&lt;=EOMONTH($AO1707,0)))&gt;0)*(((職員マスタ!$H$6:$H$405="")+(職員マスタ!$H$6:$H$405&gt;=$AO1707))&gt;0)*(ROW(職員マスタ!$A$6:$A$405)-5))),IFERROR(MATCH($B1707,職員マスタ!$A$6:$A$405,0),"")))</f>
        <v/>
      </c>
      <c r="AO1707" s="16">
        <f>IF(OR($B1707="",$C1707="",$D1707=""),"",DATE($C1707+2018,$D1707,1))</f>
        <v/>
      </c>
    </row>
    <row r="1708">
      <c r="A1708" s="11" t="n"/>
      <c r="B1708" s="12" t="n"/>
      <c r="C1708" s="12" t="n"/>
      <c r="D1708" s="12" t="n"/>
      <c r="E1708" s="13" t="n"/>
      <c r="F1708" s="12" t="n"/>
      <c r="G1708" s="13" t="n"/>
      <c r="H1708" s="12" t="n"/>
      <c r="I1708" s="12" t="n"/>
      <c r="J1708" s="12" t="n"/>
      <c r="K1708" s="12" t="n"/>
      <c r="L1708" s="11" t="n"/>
      <c r="M1708" s="11" t="n"/>
      <c r="N1708" s="11" t="n"/>
      <c r="O1708" s="11" t="n"/>
      <c r="P1708" s="12" t="n"/>
      <c r="Q1708" s="11" t="n"/>
      <c r="R1708" s="12" t="n"/>
      <c r="S1708" s="11" t="n"/>
      <c r="T1708" s="12" t="n"/>
      <c r="U1708" s="12" t="n"/>
      <c r="V1708" s="14">
        <f>IF($AN1708="",IF($B1708="","",$H1708),IF(INDEX(職員マスタ!$B$6:$B$405,$AN1708)="",$H1708,INDEX(職員マスタ!$B$6:$B$405,$AN1708)))</f>
        <v/>
      </c>
      <c r="W1708" s="14">
        <f>IF($AN1708="",IF($B1708="","",$R1708),IF(INDEX(職員マスタ!$C$6:$C$405,$AN1708)="",$R1708,INDEX(職員マスタ!$C$6:$C$405,$AN1708)))</f>
        <v/>
      </c>
      <c r="X1708" s="14">
        <f>IF($AO1708="","","R"&amp;$C1708&amp;"."&amp;$D1708)</f>
        <v/>
      </c>
      <c r="Y1708" s="15">
        <f>IF($AN1708="","",IF(INDEX(職員マスタ!$K$6:$K$405,$AN1708)="","",INDEX(職員マスタ!$K$6:$K$405,$AN1708)))</f>
        <v/>
      </c>
      <c r="Z1708" s="14">
        <f>IF(OR($E1708="",$Y1708=""),"",IF($E1708&gt;=$Y1708,"×",IF($E1708&gt;=$Y1708*設定!$C$5,"△","○")))</f>
        <v/>
      </c>
      <c r="AA1708" s="15">
        <f>IF($Z1708="","",IF($Z1708="×",0,IF($Z1708="○",ROUNDDOWN($E1708*設定!$C$4,0),ROUNDDOWN($E1708*ROUND((9*$Y1708-9*$E1708)/(10*$E1708),4),0))))</f>
        <v/>
      </c>
      <c r="AB1708" s="13" t="n"/>
      <c r="AC1708" s="15">
        <f>IF($B1708="","",IF($AB1708&lt;&gt;"",$AB1708,IF($AA1708="","",IF($AA1708&lt;=設定!$C$3,0,$AA1708))))</f>
        <v/>
      </c>
      <c r="AD1708" s="14">
        <f>IF($B1708="","",IF(AND($AE1708&lt;&gt;"",$AG1708="",$AJ1708=""),"保留中",IF($AJ1708&lt;&gt;"",IF(N($AC1708)&gt;0,"支給済","不支給"),IF($AC1708="","要確認",IF($AC1708=0,"不支給","未処理")))))</f>
        <v/>
      </c>
      <c r="AE1708" s="12" t="n"/>
      <c r="AF1708" s="11" t="n"/>
      <c r="AG1708" s="11" t="n"/>
      <c r="AH1708" s="11" t="n"/>
      <c r="AI1708" s="14">
        <f>IF(AND($AD1708="保留中",$AF1708&lt;&gt;""),TODAY()-$AF1708,"")</f>
        <v/>
      </c>
      <c r="AJ1708" s="12" t="n"/>
      <c r="AK1708" s="14">
        <f>IF($B1708="","",IF($AO1708="","対象年月が未入力／","")&amp;IF($B1708="","",IF($AN1708="","職員マスタに未登録の職員番号／",IF($Y1708="","標準報酬月額が未登録／","")&amp;IF(AND($AO1708&lt;&gt;"",OR(AND(INDEX(職員マスタ!$G$6:$G$405,$AN1708)&lt;&gt;"",INDEX(職員マスタ!$G$6:$G$405,$AN1708)&gt;EOMONTH($AO1708,0)),AND(INDEX(職員マスタ!$H$6:$H$405,$AN1708)&lt;&gt;"",INDEX(職員マスタ!$H$6:$H$405,$AN1708)&lt;$AO1708))),"対象月が時短期間外／","")&amp;IF(AND(INDEX(職員マスタ!$F$6:$F$405,$AN1708)&lt;&gt;"",$AO1708&lt;&gt;"",INDEX(職員マスタ!$F$6:$F$405,$AN1708)&lt;$AO1708),"対象月に子が2歳到達済／","")&amp;IF(AND($H1708&lt;&gt;"",INDEX(職員マスタ!$B$6:$B$405,$AN1708)&lt;&gt;"",SUBSTITUTE(SUBSTITUTE($H1708," ","")," ","")&lt;&gt;SUBSTITUTE(SUBSTITUTE(INDEX(職員マスタ!$B$6:$B$405,$AN1708)," ","")," ","")),"氏名がマスタと相違／","")&amp;IF(AND($Q1708&lt;&gt;"",INDEX(職員マスタ!$E$6:$E$405,$AN1708)&lt;&gt;"",$Q1708&lt;&gt;INDEX(職員マスタ!$E$6:$E$405,$AN1708)),"子の生年月日がマスタと相違／","")&amp;IF(AND($L1708&lt;&gt;"",INDEX(職員マスタ!$G$6:$G$405,$AN1708)&lt;&gt;"",$L1708&lt;&gt;INDEX(職員マスタ!$G$6:$G$405,$AN1708)),"時短開始日がマスタと相違／","")&amp;IF(AND($M1708&lt;&gt;"",INDEX(職員マスタ!$H$6:$H$405,$AN1708)&lt;&gt;"",$M1708&lt;&gt;INDEX(職員マスタ!$H$6:$H$405,$AN1708)),"時短終了日がマスタと相違／","")))&amp;IF(AND($B1708&lt;&gt;"",$E1708=""),"報酬額が未入力／","")&amp;IF(N($U1708)&gt;0,"申請書に入力エラーが残っています／","")&amp;IF(AND($B1708&lt;&gt;"",$AO1708&lt;&gt;""),IF(COUNTIFS($B$6:$B$3005,$B1708,$C$6:$C$3005,$C1708,$D$6:$D$3005,$D1708)&gt;1,"同じ月の請求が重複しています／",""),"")&amp;IF(AND(N($E1708)&gt;0,$Z1708&lt;&gt;"",$Z1708&lt;&gt;"×",$AC1708=0,$AB1708=""),"計算額が下限以下のため不支給／",""))</f>
        <v/>
      </c>
      <c r="AL1708" s="12" t="n"/>
      <c r="AM1708" s="14">
        <f>IF($AD1708="保留中",COUNTIF($AD$6:$AD1708,"保留中"),"")</f>
        <v/>
      </c>
      <c r="AN1708" s="14">
        <f>IF($AO1708="","",IF(SUMPRODUCT(MAX((職員マスタ!$A$6:$A$405=$B1708)*(((職員マスタ!$G$6:$G$405="")+(職員マスタ!$G$6:$G$405&lt;=EOMONTH($AO1708,0)))&gt;0)*(((職員マスタ!$H$6:$H$405="")+(職員マスタ!$H$6:$H$405&gt;=$AO1708))&gt;0)*(ROW(職員マスタ!$A$6:$A$405)-5)))&gt;0,SUMPRODUCT(MAX((職員マスタ!$A$6:$A$405=$B1708)*(((職員マスタ!$G$6:$G$405="")+(職員マスタ!$G$6:$G$405&lt;=EOMONTH($AO1708,0)))&gt;0)*(((職員マスタ!$H$6:$H$405="")+(職員マスタ!$H$6:$H$405&gt;=$AO1708))&gt;0)*(ROW(職員マスタ!$A$6:$A$405)-5))),IFERROR(MATCH($B1708,職員マスタ!$A$6:$A$405,0),"")))</f>
        <v/>
      </c>
      <c r="AO1708" s="16">
        <f>IF(OR($B1708="",$C1708="",$D1708=""),"",DATE($C1708+2018,$D1708,1))</f>
        <v/>
      </c>
    </row>
    <row r="1709">
      <c r="A1709" s="11" t="n"/>
      <c r="B1709" s="12" t="n"/>
      <c r="C1709" s="12" t="n"/>
      <c r="D1709" s="12" t="n"/>
      <c r="E1709" s="13" t="n"/>
      <c r="F1709" s="12" t="n"/>
      <c r="G1709" s="13" t="n"/>
      <c r="H1709" s="12" t="n"/>
      <c r="I1709" s="12" t="n"/>
      <c r="J1709" s="12" t="n"/>
      <c r="K1709" s="12" t="n"/>
      <c r="L1709" s="11" t="n"/>
      <c r="M1709" s="11" t="n"/>
      <c r="N1709" s="11" t="n"/>
      <c r="O1709" s="11" t="n"/>
      <c r="P1709" s="12" t="n"/>
      <c r="Q1709" s="11" t="n"/>
      <c r="R1709" s="12" t="n"/>
      <c r="S1709" s="11" t="n"/>
      <c r="T1709" s="12" t="n"/>
      <c r="U1709" s="12" t="n"/>
      <c r="V1709" s="14">
        <f>IF($AN1709="",IF($B1709="","",$H1709),IF(INDEX(職員マスタ!$B$6:$B$405,$AN1709)="",$H1709,INDEX(職員マスタ!$B$6:$B$405,$AN1709)))</f>
        <v/>
      </c>
      <c r="W1709" s="14">
        <f>IF($AN1709="",IF($B1709="","",$R1709),IF(INDEX(職員マスタ!$C$6:$C$405,$AN1709)="",$R1709,INDEX(職員マスタ!$C$6:$C$405,$AN1709)))</f>
        <v/>
      </c>
      <c r="X1709" s="14">
        <f>IF($AO1709="","","R"&amp;$C1709&amp;"."&amp;$D1709)</f>
        <v/>
      </c>
      <c r="Y1709" s="15">
        <f>IF($AN1709="","",IF(INDEX(職員マスタ!$K$6:$K$405,$AN1709)="","",INDEX(職員マスタ!$K$6:$K$405,$AN1709)))</f>
        <v/>
      </c>
      <c r="Z1709" s="14">
        <f>IF(OR($E1709="",$Y1709=""),"",IF($E1709&gt;=$Y1709,"×",IF($E1709&gt;=$Y1709*設定!$C$5,"△","○")))</f>
        <v/>
      </c>
      <c r="AA1709" s="15">
        <f>IF($Z1709="","",IF($Z1709="×",0,IF($Z1709="○",ROUNDDOWN($E1709*設定!$C$4,0),ROUNDDOWN($E1709*ROUND((9*$Y1709-9*$E1709)/(10*$E1709),4),0))))</f>
        <v/>
      </c>
      <c r="AB1709" s="13" t="n"/>
      <c r="AC1709" s="15">
        <f>IF($B1709="","",IF($AB1709&lt;&gt;"",$AB1709,IF($AA1709="","",IF($AA1709&lt;=設定!$C$3,0,$AA1709))))</f>
        <v/>
      </c>
      <c r="AD1709" s="14">
        <f>IF($B1709="","",IF(AND($AE1709&lt;&gt;"",$AG1709="",$AJ1709=""),"保留中",IF($AJ1709&lt;&gt;"",IF(N($AC1709)&gt;0,"支給済","不支給"),IF($AC1709="","要確認",IF($AC1709=0,"不支給","未処理")))))</f>
        <v/>
      </c>
      <c r="AE1709" s="12" t="n"/>
      <c r="AF1709" s="11" t="n"/>
      <c r="AG1709" s="11" t="n"/>
      <c r="AH1709" s="11" t="n"/>
      <c r="AI1709" s="14">
        <f>IF(AND($AD1709="保留中",$AF1709&lt;&gt;""),TODAY()-$AF1709,"")</f>
        <v/>
      </c>
      <c r="AJ1709" s="12" t="n"/>
      <c r="AK1709" s="14">
        <f>IF($B1709="","",IF($AO1709="","対象年月が未入力／","")&amp;IF($B1709="","",IF($AN1709="","職員マスタに未登録の職員番号／",IF($Y1709="","標準報酬月額が未登録／","")&amp;IF(AND($AO1709&lt;&gt;"",OR(AND(INDEX(職員マスタ!$G$6:$G$405,$AN1709)&lt;&gt;"",INDEX(職員マスタ!$G$6:$G$405,$AN1709)&gt;EOMONTH($AO1709,0)),AND(INDEX(職員マスタ!$H$6:$H$405,$AN1709)&lt;&gt;"",INDEX(職員マスタ!$H$6:$H$405,$AN1709)&lt;$AO1709))),"対象月が時短期間外／","")&amp;IF(AND(INDEX(職員マスタ!$F$6:$F$405,$AN1709)&lt;&gt;"",$AO1709&lt;&gt;"",INDEX(職員マスタ!$F$6:$F$405,$AN1709)&lt;$AO1709),"対象月に子が2歳到達済／","")&amp;IF(AND($H1709&lt;&gt;"",INDEX(職員マスタ!$B$6:$B$405,$AN1709)&lt;&gt;"",SUBSTITUTE(SUBSTITUTE($H1709," ","")," ","")&lt;&gt;SUBSTITUTE(SUBSTITUTE(INDEX(職員マスタ!$B$6:$B$405,$AN1709)," ","")," ","")),"氏名がマスタと相違／","")&amp;IF(AND($Q1709&lt;&gt;"",INDEX(職員マスタ!$E$6:$E$405,$AN1709)&lt;&gt;"",$Q1709&lt;&gt;INDEX(職員マスタ!$E$6:$E$405,$AN1709)),"子の生年月日がマスタと相違／","")&amp;IF(AND($L1709&lt;&gt;"",INDEX(職員マスタ!$G$6:$G$405,$AN1709)&lt;&gt;"",$L1709&lt;&gt;INDEX(職員マスタ!$G$6:$G$405,$AN1709)),"時短開始日がマスタと相違／","")&amp;IF(AND($M1709&lt;&gt;"",INDEX(職員マスタ!$H$6:$H$405,$AN1709)&lt;&gt;"",$M1709&lt;&gt;INDEX(職員マスタ!$H$6:$H$405,$AN1709)),"時短終了日がマスタと相違／","")))&amp;IF(AND($B1709&lt;&gt;"",$E1709=""),"報酬額が未入力／","")&amp;IF(N($U1709)&gt;0,"申請書に入力エラーが残っています／","")&amp;IF(AND($B1709&lt;&gt;"",$AO1709&lt;&gt;""),IF(COUNTIFS($B$6:$B$3005,$B1709,$C$6:$C$3005,$C1709,$D$6:$D$3005,$D1709)&gt;1,"同じ月の請求が重複しています／",""),"")&amp;IF(AND(N($E1709)&gt;0,$Z1709&lt;&gt;"",$Z1709&lt;&gt;"×",$AC1709=0,$AB1709=""),"計算額が下限以下のため不支給／",""))</f>
        <v/>
      </c>
      <c r="AL1709" s="12" t="n"/>
      <c r="AM1709" s="14">
        <f>IF($AD1709="保留中",COUNTIF($AD$6:$AD1709,"保留中"),"")</f>
        <v/>
      </c>
      <c r="AN1709" s="14">
        <f>IF($AO1709="","",IF(SUMPRODUCT(MAX((職員マスタ!$A$6:$A$405=$B1709)*(((職員マスタ!$G$6:$G$405="")+(職員マスタ!$G$6:$G$405&lt;=EOMONTH($AO1709,0)))&gt;0)*(((職員マスタ!$H$6:$H$405="")+(職員マスタ!$H$6:$H$405&gt;=$AO1709))&gt;0)*(ROW(職員マスタ!$A$6:$A$405)-5)))&gt;0,SUMPRODUCT(MAX((職員マスタ!$A$6:$A$405=$B1709)*(((職員マスタ!$G$6:$G$405="")+(職員マスタ!$G$6:$G$405&lt;=EOMONTH($AO1709,0)))&gt;0)*(((職員マスタ!$H$6:$H$405="")+(職員マスタ!$H$6:$H$405&gt;=$AO1709))&gt;0)*(ROW(職員マスタ!$A$6:$A$405)-5))),IFERROR(MATCH($B1709,職員マスタ!$A$6:$A$405,0),"")))</f>
        <v/>
      </c>
      <c r="AO1709" s="16">
        <f>IF(OR($B1709="",$C1709="",$D1709=""),"",DATE($C1709+2018,$D1709,1))</f>
        <v/>
      </c>
    </row>
    <row r="1710">
      <c r="A1710" s="11" t="n"/>
      <c r="B1710" s="12" t="n"/>
      <c r="C1710" s="12" t="n"/>
      <c r="D1710" s="12" t="n"/>
      <c r="E1710" s="13" t="n"/>
      <c r="F1710" s="12" t="n"/>
      <c r="G1710" s="13" t="n"/>
      <c r="H1710" s="12" t="n"/>
      <c r="I1710" s="12" t="n"/>
      <c r="J1710" s="12" t="n"/>
      <c r="K1710" s="12" t="n"/>
      <c r="L1710" s="11" t="n"/>
      <c r="M1710" s="11" t="n"/>
      <c r="N1710" s="11" t="n"/>
      <c r="O1710" s="11" t="n"/>
      <c r="P1710" s="12" t="n"/>
      <c r="Q1710" s="11" t="n"/>
      <c r="R1710" s="12" t="n"/>
      <c r="S1710" s="11" t="n"/>
      <c r="T1710" s="12" t="n"/>
      <c r="U1710" s="12" t="n"/>
      <c r="V1710" s="14">
        <f>IF($AN1710="",IF($B1710="","",$H1710),IF(INDEX(職員マスタ!$B$6:$B$405,$AN1710)="",$H1710,INDEX(職員マスタ!$B$6:$B$405,$AN1710)))</f>
        <v/>
      </c>
      <c r="W1710" s="14">
        <f>IF($AN1710="",IF($B1710="","",$R1710),IF(INDEX(職員マスタ!$C$6:$C$405,$AN1710)="",$R1710,INDEX(職員マスタ!$C$6:$C$405,$AN1710)))</f>
        <v/>
      </c>
      <c r="X1710" s="14">
        <f>IF($AO1710="","","R"&amp;$C1710&amp;"."&amp;$D1710)</f>
        <v/>
      </c>
      <c r="Y1710" s="15">
        <f>IF($AN1710="","",IF(INDEX(職員マスタ!$K$6:$K$405,$AN1710)="","",INDEX(職員マスタ!$K$6:$K$405,$AN1710)))</f>
        <v/>
      </c>
      <c r="Z1710" s="14">
        <f>IF(OR($E1710="",$Y1710=""),"",IF($E1710&gt;=$Y1710,"×",IF($E1710&gt;=$Y1710*設定!$C$5,"△","○")))</f>
        <v/>
      </c>
      <c r="AA1710" s="15">
        <f>IF($Z1710="","",IF($Z1710="×",0,IF($Z1710="○",ROUNDDOWN($E1710*設定!$C$4,0),ROUNDDOWN($E1710*ROUND((9*$Y1710-9*$E1710)/(10*$E1710),4),0))))</f>
        <v/>
      </c>
      <c r="AB1710" s="13" t="n"/>
      <c r="AC1710" s="15">
        <f>IF($B1710="","",IF($AB1710&lt;&gt;"",$AB1710,IF($AA1710="","",IF($AA1710&lt;=設定!$C$3,0,$AA1710))))</f>
        <v/>
      </c>
      <c r="AD1710" s="14">
        <f>IF($B1710="","",IF(AND($AE1710&lt;&gt;"",$AG1710="",$AJ1710=""),"保留中",IF($AJ1710&lt;&gt;"",IF(N($AC1710)&gt;0,"支給済","不支給"),IF($AC1710="","要確認",IF($AC1710=0,"不支給","未処理")))))</f>
        <v/>
      </c>
      <c r="AE1710" s="12" t="n"/>
      <c r="AF1710" s="11" t="n"/>
      <c r="AG1710" s="11" t="n"/>
      <c r="AH1710" s="11" t="n"/>
      <c r="AI1710" s="14">
        <f>IF(AND($AD1710="保留中",$AF1710&lt;&gt;""),TODAY()-$AF1710,"")</f>
        <v/>
      </c>
      <c r="AJ1710" s="12" t="n"/>
      <c r="AK1710" s="14">
        <f>IF($B1710="","",IF($AO1710="","対象年月が未入力／","")&amp;IF($B1710="","",IF($AN1710="","職員マスタに未登録の職員番号／",IF($Y1710="","標準報酬月額が未登録／","")&amp;IF(AND($AO1710&lt;&gt;"",OR(AND(INDEX(職員マスタ!$G$6:$G$405,$AN1710)&lt;&gt;"",INDEX(職員マスタ!$G$6:$G$405,$AN1710)&gt;EOMONTH($AO1710,0)),AND(INDEX(職員マスタ!$H$6:$H$405,$AN1710)&lt;&gt;"",INDEX(職員マスタ!$H$6:$H$405,$AN1710)&lt;$AO1710))),"対象月が時短期間外／","")&amp;IF(AND(INDEX(職員マスタ!$F$6:$F$405,$AN1710)&lt;&gt;"",$AO1710&lt;&gt;"",INDEX(職員マスタ!$F$6:$F$405,$AN1710)&lt;$AO1710),"対象月に子が2歳到達済／","")&amp;IF(AND($H1710&lt;&gt;"",INDEX(職員マスタ!$B$6:$B$405,$AN1710)&lt;&gt;"",SUBSTITUTE(SUBSTITUTE($H1710," ","")," ","")&lt;&gt;SUBSTITUTE(SUBSTITUTE(INDEX(職員マスタ!$B$6:$B$405,$AN1710)," ","")," ","")),"氏名がマスタと相違／","")&amp;IF(AND($Q1710&lt;&gt;"",INDEX(職員マスタ!$E$6:$E$405,$AN1710)&lt;&gt;"",$Q1710&lt;&gt;INDEX(職員マスタ!$E$6:$E$405,$AN1710)),"子の生年月日がマスタと相違／","")&amp;IF(AND($L1710&lt;&gt;"",INDEX(職員マスタ!$G$6:$G$405,$AN1710)&lt;&gt;"",$L1710&lt;&gt;INDEX(職員マスタ!$G$6:$G$405,$AN1710)),"時短開始日がマスタと相違／","")&amp;IF(AND($M1710&lt;&gt;"",INDEX(職員マスタ!$H$6:$H$405,$AN1710)&lt;&gt;"",$M1710&lt;&gt;INDEX(職員マスタ!$H$6:$H$405,$AN1710)),"時短終了日がマスタと相違／","")))&amp;IF(AND($B1710&lt;&gt;"",$E1710=""),"報酬額が未入力／","")&amp;IF(N($U1710)&gt;0,"申請書に入力エラーが残っています／","")&amp;IF(AND($B1710&lt;&gt;"",$AO1710&lt;&gt;""),IF(COUNTIFS($B$6:$B$3005,$B1710,$C$6:$C$3005,$C1710,$D$6:$D$3005,$D1710)&gt;1,"同じ月の請求が重複しています／",""),"")&amp;IF(AND(N($E1710)&gt;0,$Z1710&lt;&gt;"",$Z1710&lt;&gt;"×",$AC1710=0,$AB1710=""),"計算額が下限以下のため不支給／",""))</f>
        <v/>
      </c>
      <c r="AL1710" s="12" t="n"/>
      <c r="AM1710" s="14">
        <f>IF($AD1710="保留中",COUNTIF($AD$6:$AD1710,"保留中"),"")</f>
        <v/>
      </c>
      <c r="AN1710" s="14">
        <f>IF($AO1710="","",IF(SUMPRODUCT(MAX((職員マスタ!$A$6:$A$405=$B1710)*(((職員マスタ!$G$6:$G$405="")+(職員マスタ!$G$6:$G$405&lt;=EOMONTH($AO1710,0)))&gt;0)*(((職員マスタ!$H$6:$H$405="")+(職員マスタ!$H$6:$H$405&gt;=$AO1710))&gt;0)*(ROW(職員マスタ!$A$6:$A$405)-5)))&gt;0,SUMPRODUCT(MAX((職員マスタ!$A$6:$A$405=$B1710)*(((職員マスタ!$G$6:$G$405="")+(職員マスタ!$G$6:$G$405&lt;=EOMONTH($AO1710,0)))&gt;0)*(((職員マスタ!$H$6:$H$405="")+(職員マスタ!$H$6:$H$405&gt;=$AO1710))&gt;0)*(ROW(職員マスタ!$A$6:$A$405)-5))),IFERROR(MATCH($B1710,職員マスタ!$A$6:$A$405,0),"")))</f>
        <v/>
      </c>
      <c r="AO1710" s="16">
        <f>IF(OR($B1710="",$C1710="",$D1710=""),"",DATE($C1710+2018,$D1710,1))</f>
        <v/>
      </c>
    </row>
    <row r="1711">
      <c r="A1711" s="11" t="n"/>
      <c r="B1711" s="12" t="n"/>
      <c r="C1711" s="12" t="n"/>
      <c r="D1711" s="12" t="n"/>
      <c r="E1711" s="13" t="n"/>
      <c r="F1711" s="12" t="n"/>
      <c r="G1711" s="13" t="n"/>
      <c r="H1711" s="12" t="n"/>
      <c r="I1711" s="12" t="n"/>
      <c r="J1711" s="12" t="n"/>
      <c r="K1711" s="12" t="n"/>
      <c r="L1711" s="11" t="n"/>
      <c r="M1711" s="11" t="n"/>
      <c r="N1711" s="11" t="n"/>
      <c r="O1711" s="11" t="n"/>
      <c r="P1711" s="12" t="n"/>
      <c r="Q1711" s="11" t="n"/>
      <c r="R1711" s="12" t="n"/>
      <c r="S1711" s="11" t="n"/>
      <c r="T1711" s="12" t="n"/>
      <c r="U1711" s="12" t="n"/>
      <c r="V1711" s="14">
        <f>IF($AN1711="",IF($B1711="","",$H1711),IF(INDEX(職員マスタ!$B$6:$B$405,$AN1711)="",$H1711,INDEX(職員マスタ!$B$6:$B$405,$AN1711)))</f>
        <v/>
      </c>
      <c r="W1711" s="14">
        <f>IF($AN1711="",IF($B1711="","",$R1711),IF(INDEX(職員マスタ!$C$6:$C$405,$AN1711)="",$R1711,INDEX(職員マスタ!$C$6:$C$405,$AN1711)))</f>
        <v/>
      </c>
      <c r="X1711" s="14">
        <f>IF($AO1711="","","R"&amp;$C1711&amp;"."&amp;$D1711)</f>
        <v/>
      </c>
      <c r="Y1711" s="15">
        <f>IF($AN1711="","",IF(INDEX(職員マスタ!$K$6:$K$405,$AN1711)="","",INDEX(職員マスタ!$K$6:$K$405,$AN1711)))</f>
        <v/>
      </c>
      <c r="Z1711" s="14">
        <f>IF(OR($E1711="",$Y1711=""),"",IF($E1711&gt;=$Y1711,"×",IF($E1711&gt;=$Y1711*設定!$C$5,"△","○")))</f>
        <v/>
      </c>
      <c r="AA1711" s="15">
        <f>IF($Z1711="","",IF($Z1711="×",0,IF($Z1711="○",ROUNDDOWN($E1711*設定!$C$4,0),ROUNDDOWN($E1711*ROUND((9*$Y1711-9*$E1711)/(10*$E1711),4),0))))</f>
        <v/>
      </c>
      <c r="AB1711" s="13" t="n"/>
      <c r="AC1711" s="15">
        <f>IF($B1711="","",IF($AB1711&lt;&gt;"",$AB1711,IF($AA1711="","",IF($AA1711&lt;=設定!$C$3,0,$AA1711))))</f>
        <v/>
      </c>
      <c r="AD1711" s="14">
        <f>IF($B1711="","",IF(AND($AE1711&lt;&gt;"",$AG1711="",$AJ1711=""),"保留中",IF($AJ1711&lt;&gt;"",IF(N($AC1711)&gt;0,"支給済","不支給"),IF($AC1711="","要確認",IF($AC1711=0,"不支給","未処理")))))</f>
        <v/>
      </c>
      <c r="AE1711" s="12" t="n"/>
      <c r="AF1711" s="11" t="n"/>
      <c r="AG1711" s="11" t="n"/>
      <c r="AH1711" s="11" t="n"/>
      <c r="AI1711" s="14">
        <f>IF(AND($AD1711="保留中",$AF1711&lt;&gt;""),TODAY()-$AF1711,"")</f>
        <v/>
      </c>
      <c r="AJ1711" s="12" t="n"/>
      <c r="AK1711" s="14">
        <f>IF($B1711="","",IF($AO1711="","対象年月が未入力／","")&amp;IF($B1711="","",IF($AN1711="","職員マスタに未登録の職員番号／",IF($Y1711="","標準報酬月額が未登録／","")&amp;IF(AND($AO1711&lt;&gt;"",OR(AND(INDEX(職員マスタ!$G$6:$G$405,$AN1711)&lt;&gt;"",INDEX(職員マスタ!$G$6:$G$405,$AN1711)&gt;EOMONTH($AO1711,0)),AND(INDEX(職員マスタ!$H$6:$H$405,$AN1711)&lt;&gt;"",INDEX(職員マスタ!$H$6:$H$405,$AN1711)&lt;$AO1711))),"対象月が時短期間外／","")&amp;IF(AND(INDEX(職員マスタ!$F$6:$F$405,$AN1711)&lt;&gt;"",$AO1711&lt;&gt;"",INDEX(職員マスタ!$F$6:$F$405,$AN1711)&lt;$AO1711),"対象月に子が2歳到達済／","")&amp;IF(AND($H1711&lt;&gt;"",INDEX(職員マスタ!$B$6:$B$405,$AN1711)&lt;&gt;"",SUBSTITUTE(SUBSTITUTE($H1711," ","")," ","")&lt;&gt;SUBSTITUTE(SUBSTITUTE(INDEX(職員マスタ!$B$6:$B$405,$AN1711)," ","")," ","")),"氏名がマスタと相違／","")&amp;IF(AND($Q1711&lt;&gt;"",INDEX(職員マスタ!$E$6:$E$405,$AN1711)&lt;&gt;"",$Q1711&lt;&gt;INDEX(職員マスタ!$E$6:$E$405,$AN1711)),"子の生年月日がマスタと相違／","")&amp;IF(AND($L1711&lt;&gt;"",INDEX(職員マスタ!$G$6:$G$405,$AN1711)&lt;&gt;"",$L1711&lt;&gt;INDEX(職員マスタ!$G$6:$G$405,$AN1711)),"時短開始日がマスタと相違／","")&amp;IF(AND($M1711&lt;&gt;"",INDEX(職員マスタ!$H$6:$H$405,$AN1711)&lt;&gt;"",$M1711&lt;&gt;INDEX(職員マスタ!$H$6:$H$405,$AN1711)),"時短終了日がマスタと相違／","")))&amp;IF(AND($B1711&lt;&gt;"",$E1711=""),"報酬額が未入力／","")&amp;IF(N($U1711)&gt;0,"申請書に入力エラーが残っています／","")&amp;IF(AND($B1711&lt;&gt;"",$AO1711&lt;&gt;""),IF(COUNTIFS($B$6:$B$3005,$B1711,$C$6:$C$3005,$C1711,$D$6:$D$3005,$D1711)&gt;1,"同じ月の請求が重複しています／",""),"")&amp;IF(AND(N($E1711)&gt;0,$Z1711&lt;&gt;"",$Z1711&lt;&gt;"×",$AC1711=0,$AB1711=""),"計算額が下限以下のため不支給／",""))</f>
        <v/>
      </c>
      <c r="AL1711" s="12" t="n"/>
      <c r="AM1711" s="14">
        <f>IF($AD1711="保留中",COUNTIF($AD$6:$AD1711,"保留中"),"")</f>
        <v/>
      </c>
      <c r="AN1711" s="14">
        <f>IF($AO1711="","",IF(SUMPRODUCT(MAX((職員マスタ!$A$6:$A$405=$B1711)*(((職員マスタ!$G$6:$G$405="")+(職員マスタ!$G$6:$G$405&lt;=EOMONTH($AO1711,0)))&gt;0)*(((職員マスタ!$H$6:$H$405="")+(職員マスタ!$H$6:$H$405&gt;=$AO1711))&gt;0)*(ROW(職員マスタ!$A$6:$A$405)-5)))&gt;0,SUMPRODUCT(MAX((職員マスタ!$A$6:$A$405=$B1711)*(((職員マスタ!$G$6:$G$405="")+(職員マスタ!$G$6:$G$405&lt;=EOMONTH($AO1711,0)))&gt;0)*(((職員マスタ!$H$6:$H$405="")+(職員マスタ!$H$6:$H$405&gt;=$AO1711))&gt;0)*(ROW(職員マスタ!$A$6:$A$405)-5))),IFERROR(MATCH($B1711,職員マスタ!$A$6:$A$405,0),"")))</f>
        <v/>
      </c>
      <c r="AO1711" s="16">
        <f>IF(OR($B1711="",$C1711="",$D1711=""),"",DATE($C1711+2018,$D1711,1))</f>
        <v/>
      </c>
    </row>
    <row r="1712">
      <c r="A1712" s="11" t="n"/>
      <c r="B1712" s="12" t="n"/>
      <c r="C1712" s="12" t="n"/>
      <c r="D1712" s="12" t="n"/>
      <c r="E1712" s="13" t="n"/>
      <c r="F1712" s="12" t="n"/>
      <c r="G1712" s="13" t="n"/>
      <c r="H1712" s="12" t="n"/>
      <c r="I1712" s="12" t="n"/>
      <c r="J1712" s="12" t="n"/>
      <c r="K1712" s="12" t="n"/>
      <c r="L1712" s="11" t="n"/>
      <c r="M1712" s="11" t="n"/>
      <c r="N1712" s="11" t="n"/>
      <c r="O1712" s="11" t="n"/>
      <c r="P1712" s="12" t="n"/>
      <c r="Q1712" s="11" t="n"/>
      <c r="R1712" s="12" t="n"/>
      <c r="S1712" s="11" t="n"/>
      <c r="T1712" s="12" t="n"/>
      <c r="U1712" s="12" t="n"/>
      <c r="V1712" s="14">
        <f>IF($AN1712="",IF($B1712="","",$H1712),IF(INDEX(職員マスタ!$B$6:$B$405,$AN1712)="",$H1712,INDEX(職員マスタ!$B$6:$B$405,$AN1712)))</f>
        <v/>
      </c>
      <c r="W1712" s="14">
        <f>IF($AN1712="",IF($B1712="","",$R1712),IF(INDEX(職員マスタ!$C$6:$C$405,$AN1712)="",$R1712,INDEX(職員マスタ!$C$6:$C$405,$AN1712)))</f>
        <v/>
      </c>
      <c r="X1712" s="14">
        <f>IF($AO1712="","","R"&amp;$C1712&amp;"."&amp;$D1712)</f>
        <v/>
      </c>
      <c r="Y1712" s="15">
        <f>IF($AN1712="","",IF(INDEX(職員マスタ!$K$6:$K$405,$AN1712)="","",INDEX(職員マスタ!$K$6:$K$405,$AN1712)))</f>
        <v/>
      </c>
      <c r="Z1712" s="14">
        <f>IF(OR($E1712="",$Y1712=""),"",IF($E1712&gt;=$Y1712,"×",IF($E1712&gt;=$Y1712*設定!$C$5,"△","○")))</f>
        <v/>
      </c>
      <c r="AA1712" s="15">
        <f>IF($Z1712="","",IF($Z1712="×",0,IF($Z1712="○",ROUNDDOWN($E1712*設定!$C$4,0),ROUNDDOWN($E1712*ROUND((9*$Y1712-9*$E1712)/(10*$E1712),4),0))))</f>
        <v/>
      </c>
      <c r="AB1712" s="13" t="n"/>
      <c r="AC1712" s="15">
        <f>IF($B1712="","",IF($AB1712&lt;&gt;"",$AB1712,IF($AA1712="","",IF($AA1712&lt;=設定!$C$3,0,$AA1712))))</f>
        <v/>
      </c>
      <c r="AD1712" s="14">
        <f>IF($B1712="","",IF(AND($AE1712&lt;&gt;"",$AG1712="",$AJ1712=""),"保留中",IF($AJ1712&lt;&gt;"",IF(N($AC1712)&gt;0,"支給済","不支給"),IF($AC1712="","要確認",IF($AC1712=0,"不支給","未処理")))))</f>
        <v/>
      </c>
      <c r="AE1712" s="12" t="n"/>
      <c r="AF1712" s="11" t="n"/>
      <c r="AG1712" s="11" t="n"/>
      <c r="AH1712" s="11" t="n"/>
      <c r="AI1712" s="14">
        <f>IF(AND($AD1712="保留中",$AF1712&lt;&gt;""),TODAY()-$AF1712,"")</f>
        <v/>
      </c>
      <c r="AJ1712" s="12" t="n"/>
      <c r="AK1712" s="14">
        <f>IF($B1712="","",IF($AO1712="","対象年月が未入力／","")&amp;IF($B1712="","",IF($AN1712="","職員マスタに未登録の職員番号／",IF($Y1712="","標準報酬月額が未登録／","")&amp;IF(AND($AO1712&lt;&gt;"",OR(AND(INDEX(職員マスタ!$G$6:$G$405,$AN1712)&lt;&gt;"",INDEX(職員マスタ!$G$6:$G$405,$AN1712)&gt;EOMONTH($AO1712,0)),AND(INDEX(職員マスタ!$H$6:$H$405,$AN1712)&lt;&gt;"",INDEX(職員マスタ!$H$6:$H$405,$AN1712)&lt;$AO1712))),"対象月が時短期間外／","")&amp;IF(AND(INDEX(職員マスタ!$F$6:$F$405,$AN1712)&lt;&gt;"",$AO1712&lt;&gt;"",INDEX(職員マスタ!$F$6:$F$405,$AN1712)&lt;$AO1712),"対象月に子が2歳到達済／","")&amp;IF(AND($H1712&lt;&gt;"",INDEX(職員マスタ!$B$6:$B$405,$AN1712)&lt;&gt;"",SUBSTITUTE(SUBSTITUTE($H1712," ","")," ","")&lt;&gt;SUBSTITUTE(SUBSTITUTE(INDEX(職員マスタ!$B$6:$B$405,$AN1712)," ","")," ","")),"氏名がマスタと相違／","")&amp;IF(AND($Q1712&lt;&gt;"",INDEX(職員マスタ!$E$6:$E$405,$AN1712)&lt;&gt;"",$Q1712&lt;&gt;INDEX(職員マスタ!$E$6:$E$405,$AN1712)),"子の生年月日がマスタと相違／","")&amp;IF(AND($L1712&lt;&gt;"",INDEX(職員マスタ!$G$6:$G$405,$AN1712)&lt;&gt;"",$L1712&lt;&gt;INDEX(職員マスタ!$G$6:$G$405,$AN1712)),"時短開始日がマスタと相違／","")&amp;IF(AND($M1712&lt;&gt;"",INDEX(職員マスタ!$H$6:$H$405,$AN1712)&lt;&gt;"",$M1712&lt;&gt;INDEX(職員マスタ!$H$6:$H$405,$AN1712)),"時短終了日がマスタと相違／","")))&amp;IF(AND($B1712&lt;&gt;"",$E1712=""),"報酬額が未入力／","")&amp;IF(N($U1712)&gt;0,"申請書に入力エラーが残っています／","")&amp;IF(AND($B1712&lt;&gt;"",$AO1712&lt;&gt;""),IF(COUNTIFS($B$6:$B$3005,$B1712,$C$6:$C$3005,$C1712,$D$6:$D$3005,$D1712)&gt;1,"同じ月の請求が重複しています／",""),"")&amp;IF(AND(N($E1712)&gt;0,$Z1712&lt;&gt;"",$Z1712&lt;&gt;"×",$AC1712=0,$AB1712=""),"計算額が下限以下のため不支給／",""))</f>
        <v/>
      </c>
      <c r="AL1712" s="12" t="n"/>
      <c r="AM1712" s="14">
        <f>IF($AD1712="保留中",COUNTIF($AD$6:$AD1712,"保留中"),"")</f>
        <v/>
      </c>
      <c r="AN1712" s="14">
        <f>IF($AO1712="","",IF(SUMPRODUCT(MAX((職員マスタ!$A$6:$A$405=$B1712)*(((職員マスタ!$G$6:$G$405="")+(職員マスタ!$G$6:$G$405&lt;=EOMONTH($AO1712,0)))&gt;0)*(((職員マスタ!$H$6:$H$405="")+(職員マスタ!$H$6:$H$405&gt;=$AO1712))&gt;0)*(ROW(職員マスタ!$A$6:$A$405)-5)))&gt;0,SUMPRODUCT(MAX((職員マスタ!$A$6:$A$405=$B1712)*(((職員マスタ!$G$6:$G$405="")+(職員マスタ!$G$6:$G$405&lt;=EOMONTH($AO1712,0)))&gt;0)*(((職員マスタ!$H$6:$H$405="")+(職員マスタ!$H$6:$H$405&gt;=$AO1712))&gt;0)*(ROW(職員マスタ!$A$6:$A$405)-5))),IFERROR(MATCH($B1712,職員マスタ!$A$6:$A$405,0),"")))</f>
        <v/>
      </c>
      <c r="AO1712" s="16">
        <f>IF(OR($B1712="",$C1712="",$D1712=""),"",DATE($C1712+2018,$D1712,1))</f>
        <v/>
      </c>
    </row>
    <row r="1713">
      <c r="A1713" s="11" t="n"/>
      <c r="B1713" s="12" t="n"/>
      <c r="C1713" s="12" t="n"/>
      <c r="D1713" s="12" t="n"/>
      <c r="E1713" s="13" t="n"/>
      <c r="F1713" s="12" t="n"/>
      <c r="G1713" s="13" t="n"/>
      <c r="H1713" s="12" t="n"/>
      <c r="I1713" s="12" t="n"/>
      <c r="J1713" s="12" t="n"/>
      <c r="K1713" s="12" t="n"/>
      <c r="L1713" s="11" t="n"/>
      <c r="M1713" s="11" t="n"/>
      <c r="N1713" s="11" t="n"/>
      <c r="O1713" s="11" t="n"/>
      <c r="P1713" s="12" t="n"/>
      <c r="Q1713" s="11" t="n"/>
      <c r="R1713" s="12" t="n"/>
      <c r="S1713" s="11" t="n"/>
      <c r="T1713" s="12" t="n"/>
      <c r="U1713" s="12" t="n"/>
      <c r="V1713" s="14">
        <f>IF($AN1713="",IF($B1713="","",$H1713),IF(INDEX(職員マスタ!$B$6:$B$405,$AN1713)="",$H1713,INDEX(職員マスタ!$B$6:$B$405,$AN1713)))</f>
        <v/>
      </c>
      <c r="W1713" s="14">
        <f>IF($AN1713="",IF($B1713="","",$R1713),IF(INDEX(職員マスタ!$C$6:$C$405,$AN1713)="",$R1713,INDEX(職員マスタ!$C$6:$C$405,$AN1713)))</f>
        <v/>
      </c>
      <c r="X1713" s="14">
        <f>IF($AO1713="","","R"&amp;$C1713&amp;"."&amp;$D1713)</f>
        <v/>
      </c>
      <c r="Y1713" s="15">
        <f>IF($AN1713="","",IF(INDEX(職員マスタ!$K$6:$K$405,$AN1713)="","",INDEX(職員マスタ!$K$6:$K$405,$AN1713)))</f>
        <v/>
      </c>
      <c r="Z1713" s="14">
        <f>IF(OR($E1713="",$Y1713=""),"",IF($E1713&gt;=$Y1713,"×",IF($E1713&gt;=$Y1713*設定!$C$5,"△","○")))</f>
        <v/>
      </c>
      <c r="AA1713" s="15">
        <f>IF($Z1713="","",IF($Z1713="×",0,IF($Z1713="○",ROUNDDOWN($E1713*設定!$C$4,0),ROUNDDOWN($E1713*ROUND((9*$Y1713-9*$E1713)/(10*$E1713),4),0))))</f>
        <v/>
      </c>
      <c r="AB1713" s="13" t="n"/>
      <c r="AC1713" s="15">
        <f>IF($B1713="","",IF($AB1713&lt;&gt;"",$AB1713,IF($AA1713="","",IF($AA1713&lt;=設定!$C$3,0,$AA1713))))</f>
        <v/>
      </c>
      <c r="AD1713" s="14">
        <f>IF($B1713="","",IF(AND($AE1713&lt;&gt;"",$AG1713="",$AJ1713=""),"保留中",IF($AJ1713&lt;&gt;"",IF(N($AC1713)&gt;0,"支給済","不支給"),IF($AC1713="","要確認",IF($AC1713=0,"不支給","未処理")))))</f>
        <v/>
      </c>
      <c r="AE1713" s="12" t="n"/>
      <c r="AF1713" s="11" t="n"/>
      <c r="AG1713" s="11" t="n"/>
      <c r="AH1713" s="11" t="n"/>
      <c r="AI1713" s="14">
        <f>IF(AND($AD1713="保留中",$AF1713&lt;&gt;""),TODAY()-$AF1713,"")</f>
        <v/>
      </c>
      <c r="AJ1713" s="12" t="n"/>
      <c r="AK1713" s="14">
        <f>IF($B1713="","",IF($AO1713="","対象年月が未入力／","")&amp;IF($B1713="","",IF($AN1713="","職員マスタに未登録の職員番号／",IF($Y1713="","標準報酬月額が未登録／","")&amp;IF(AND($AO1713&lt;&gt;"",OR(AND(INDEX(職員マスタ!$G$6:$G$405,$AN1713)&lt;&gt;"",INDEX(職員マスタ!$G$6:$G$405,$AN1713)&gt;EOMONTH($AO1713,0)),AND(INDEX(職員マスタ!$H$6:$H$405,$AN1713)&lt;&gt;"",INDEX(職員マスタ!$H$6:$H$405,$AN1713)&lt;$AO1713))),"対象月が時短期間外／","")&amp;IF(AND(INDEX(職員マスタ!$F$6:$F$405,$AN1713)&lt;&gt;"",$AO1713&lt;&gt;"",INDEX(職員マスタ!$F$6:$F$405,$AN1713)&lt;$AO1713),"対象月に子が2歳到達済／","")&amp;IF(AND($H1713&lt;&gt;"",INDEX(職員マスタ!$B$6:$B$405,$AN1713)&lt;&gt;"",SUBSTITUTE(SUBSTITUTE($H1713," ","")," ","")&lt;&gt;SUBSTITUTE(SUBSTITUTE(INDEX(職員マスタ!$B$6:$B$405,$AN1713)," ","")," ","")),"氏名がマスタと相違／","")&amp;IF(AND($Q1713&lt;&gt;"",INDEX(職員マスタ!$E$6:$E$405,$AN1713)&lt;&gt;"",$Q1713&lt;&gt;INDEX(職員マスタ!$E$6:$E$405,$AN1713)),"子の生年月日がマスタと相違／","")&amp;IF(AND($L1713&lt;&gt;"",INDEX(職員マスタ!$G$6:$G$405,$AN1713)&lt;&gt;"",$L1713&lt;&gt;INDEX(職員マスタ!$G$6:$G$405,$AN1713)),"時短開始日がマスタと相違／","")&amp;IF(AND($M1713&lt;&gt;"",INDEX(職員マスタ!$H$6:$H$405,$AN1713)&lt;&gt;"",$M1713&lt;&gt;INDEX(職員マスタ!$H$6:$H$405,$AN1713)),"時短終了日がマスタと相違／","")))&amp;IF(AND($B1713&lt;&gt;"",$E1713=""),"報酬額が未入力／","")&amp;IF(N($U1713)&gt;0,"申請書に入力エラーが残っています／","")&amp;IF(AND($B1713&lt;&gt;"",$AO1713&lt;&gt;""),IF(COUNTIFS($B$6:$B$3005,$B1713,$C$6:$C$3005,$C1713,$D$6:$D$3005,$D1713)&gt;1,"同じ月の請求が重複しています／",""),"")&amp;IF(AND(N($E1713)&gt;0,$Z1713&lt;&gt;"",$Z1713&lt;&gt;"×",$AC1713=0,$AB1713=""),"計算額が下限以下のため不支給／",""))</f>
        <v/>
      </c>
      <c r="AL1713" s="12" t="n"/>
      <c r="AM1713" s="14">
        <f>IF($AD1713="保留中",COUNTIF($AD$6:$AD1713,"保留中"),"")</f>
        <v/>
      </c>
      <c r="AN1713" s="14">
        <f>IF($AO1713="","",IF(SUMPRODUCT(MAX((職員マスタ!$A$6:$A$405=$B1713)*(((職員マスタ!$G$6:$G$405="")+(職員マスタ!$G$6:$G$405&lt;=EOMONTH($AO1713,0)))&gt;0)*(((職員マスタ!$H$6:$H$405="")+(職員マスタ!$H$6:$H$405&gt;=$AO1713))&gt;0)*(ROW(職員マスタ!$A$6:$A$405)-5)))&gt;0,SUMPRODUCT(MAX((職員マスタ!$A$6:$A$405=$B1713)*(((職員マスタ!$G$6:$G$405="")+(職員マスタ!$G$6:$G$405&lt;=EOMONTH($AO1713,0)))&gt;0)*(((職員マスタ!$H$6:$H$405="")+(職員マスタ!$H$6:$H$405&gt;=$AO1713))&gt;0)*(ROW(職員マスタ!$A$6:$A$405)-5))),IFERROR(MATCH($B1713,職員マスタ!$A$6:$A$405,0),"")))</f>
        <v/>
      </c>
      <c r="AO1713" s="16">
        <f>IF(OR($B1713="",$C1713="",$D1713=""),"",DATE($C1713+2018,$D1713,1))</f>
        <v/>
      </c>
    </row>
    <row r="1714">
      <c r="A1714" s="11" t="n"/>
      <c r="B1714" s="12" t="n"/>
      <c r="C1714" s="12" t="n"/>
      <c r="D1714" s="12" t="n"/>
      <c r="E1714" s="13" t="n"/>
      <c r="F1714" s="12" t="n"/>
      <c r="G1714" s="13" t="n"/>
      <c r="H1714" s="12" t="n"/>
      <c r="I1714" s="12" t="n"/>
      <c r="J1714" s="12" t="n"/>
      <c r="K1714" s="12" t="n"/>
      <c r="L1714" s="11" t="n"/>
      <c r="M1714" s="11" t="n"/>
      <c r="N1714" s="11" t="n"/>
      <c r="O1714" s="11" t="n"/>
      <c r="P1714" s="12" t="n"/>
      <c r="Q1714" s="11" t="n"/>
      <c r="R1714" s="12" t="n"/>
      <c r="S1714" s="11" t="n"/>
      <c r="T1714" s="12" t="n"/>
      <c r="U1714" s="12" t="n"/>
      <c r="V1714" s="14">
        <f>IF($AN1714="",IF($B1714="","",$H1714),IF(INDEX(職員マスタ!$B$6:$B$405,$AN1714)="",$H1714,INDEX(職員マスタ!$B$6:$B$405,$AN1714)))</f>
        <v/>
      </c>
      <c r="W1714" s="14">
        <f>IF($AN1714="",IF($B1714="","",$R1714),IF(INDEX(職員マスタ!$C$6:$C$405,$AN1714)="",$R1714,INDEX(職員マスタ!$C$6:$C$405,$AN1714)))</f>
        <v/>
      </c>
      <c r="X1714" s="14">
        <f>IF($AO1714="","","R"&amp;$C1714&amp;"."&amp;$D1714)</f>
        <v/>
      </c>
      <c r="Y1714" s="15">
        <f>IF($AN1714="","",IF(INDEX(職員マスタ!$K$6:$K$405,$AN1714)="","",INDEX(職員マスタ!$K$6:$K$405,$AN1714)))</f>
        <v/>
      </c>
      <c r="Z1714" s="14">
        <f>IF(OR($E1714="",$Y1714=""),"",IF($E1714&gt;=$Y1714,"×",IF($E1714&gt;=$Y1714*設定!$C$5,"△","○")))</f>
        <v/>
      </c>
      <c r="AA1714" s="15">
        <f>IF($Z1714="","",IF($Z1714="×",0,IF($Z1714="○",ROUNDDOWN($E1714*設定!$C$4,0),ROUNDDOWN($E1714*ROUND((9*$Y1714-9*$E1714)/(10*$E1714),4),0))))</f>
        <v/>
      </c>
      <c r="AB1714" s="13" t="n"/>
      <c r="AC1714" s="15">
        <f>IF($B1714="","",IF($AB1714&lt;&gt;"",$AB1714,IF($AA1714="","",IF($AA1714&lt;=設定!$C$3,0,$AA1714))))</f>
        <v/>
      </c>
      <c r="AD1714" s="14">
        <f>IF($B1714="","",IF(AND($AE1714&lt;&gt;"",$AG1714="",$AJ1714=""),"保留中",IF($AJ1714&lt;&gt;"",IF(N($AC1714)&gt;0,"支給済","不支給"),IF($AC1714="","要確認",IF($AC1714=0,"不支給","未処理")))))</f>
        <v/>
      </c>
      <c r="AE1714" s="12" t="n"/>
      <c r="AF1714" s="11" t="n"/>
      <c r="AG1714" s="11" t="n"/>
      <c r="AH1714" s="11" t="n"/>
      <c r="AI1714" s="14">
        <f>IF(AND($AD1714="保留中",$AF1714&lt;&gt;""),TODAY()-$AF1714,"")</f>
        <v/>
      </c>
      <c r="AJ1714" s="12" t="n"/>
      <c r="AK1714" s="14">
        <f>IF($B1714="","",IF($AO1714="","対象年月が未入力／","")&amp;IF($B1714="","",IF($AN1714="","職員マスタに未登録の職員番号／",IF($Y1714="","標準報酬月額が未登録／","")&amp;IF(AND($AO1714&lt;&gt;"",OR(AND(INDEX(職員マスタ!$G$6:$G$405,$AN1714)&lt;&gt;"",INDEX(職員マスタ!$G$6:$G$405,$AN1714)&gt;EOMONTH($AO1714,0)),AND(INDEX(職員マスタ!$H$6:$H$405,$AN1714)&lt;&gt;"",INDEX(職員マスタ!$H$6:$H$405,$AN1714)&lt;$AO1714))),"対象月が時短期間外／","")&amp;IF(AND(INDEX(職員マスタ!$F$6:$F$405,$AN1714)&lt;&gt;"",$AO1714&lt;&gt;"",INDEX(職員マスタ!$F$6:$F$405,$AN1714)&lt;$AO1714),"対象月に子が2歳到達済／","")&amp;IF(AND($H1714&lt;&gt;"",INDEX(職員マスタ!$B$6:$B$405,$AN1714)&lt;&gt;"",SUBSTITUTE(SUBSTITUTE($H1714," ","")," ","")&lt;&gt;SUBSTITUTE(SUBSTITUTE(INDEX(職員マスタ!$B$6:$B$405,$AN1714)," ","")," ","")),"氏名がマスタと相違／","")&amp;IF(AND($Q1714&lt;&gt;"",INDEX(職員マスタ!$E$6:$E$405,$AN1714)&lt;&gt;"",$Q1714&lt;&gt;INDEX(職員マスタ!$E$6:$E$405,$AN1714)),"子の生年月日がマスタと相違／","")&amp;IF(AND($L1714&lt;&gt;"",INDEX(職員マスタ!$G$6:$G$405,$AN1714)&lt;&gt;"",$L1714&lt;&gt;INDEX(職員マスタ!$G$6:$G$405,$AN1714)),"時短開始日がマスタと相違／","")&amp;IF(AND($M1714&lt;&gt;"",INDEX(職員マスタ!$H$6:$H$405,$AN1714)&lt;&gt;"",$M1714&lt;&gt;INDEX(職員マスタ!$H$6:$H$405,$AN1714)),"時短終了日がマスタと相違／","")))&amp;IF(AND($B1714&lt;&gt;"",$E1714=""),"報酬額が未入力／","")&amp;IF(N($U1714)&gt;0,"申請書に入力エラーが残っています／","")&amp;IF(AND($B1714&lt;&gt;"",$AO1714&lt;&gt;""),IF(COUNTIFS($B$6:$B$3005,$B1714,$C$6:$C$3005,$C1714,$D$6:$D$3005,$D1714)&gt;1,"同じ月の請求が重複しています／",""),"")&amp;IF(AND(N($E1714)&gt;0,$Z1714&lt;&gt;"",$Z1714&lt;&gt;"×",$AC1714=0,$AB1714=""),"計算額が下限以下のため不支給／",""))</f>
        <v/>
      </c>
      <c r="AL1714" s="12" t="n"/>
      <c r="AM1714" s="14">
        <f>IF($AD1714="保留中",COUNTIF($AD$6:$AD1714,"保留中"),"")</f>
        <v/>
      </c>
      <c r="AN1714" s="14">
        <f>IF($AO1714="","",IF(SUMPRODUCT(MAX((職員マスタ!$A$6:$A$405=$B1714)*(((職員マスタ!$G$6:$G$405="")+(職員マスタ!$G$6:$G$405&lt;=EOMONTH($AO1714,0)))&gt;0)*(((職員マスタ!$H$6:$H$405="")+(職員マスタ!$H$6:$H$405&gt;=$AO1714))&gt;0)*(ROW(職員マスタ!$A$6:$A$405)-5)))&gt;0,SUMPRODUCT(MAX((職員マスタ!$A$6:$A$405=$B1714)*(((職員マスタ!$G$6:$G$405="")+(職員マスタ!$G$6:$G$405&lt;=EOMONTH($AO1714,0)))&gt;0)*(((職員マスタ!$H$6:$H$405="")+(職員マスタ!$H$6:$H$405&gt;=$AO1714))&gt;0)*(ROW(職員マスタ!$A$6:$A$405)-5))),IFERROR(MATCH($B1714,職員マスタ!$A$6:$A$405,0),"")))</f>
        <v/>
      </c>
      <c r="AO1714" s="16">
        <f>IF(OR($B1714="",$C1714="",$D1714=""),"",DATE($C1714+2018,$D1714,1))</f>
        <v/>
      </c>
    </row>
    <row r="1715">
      <c r="A1715" s="11" t="n"/>
      <c r="B1715" s="12" t="n"/>
      <c r="C1715" s="12" t="n"/>
      <c r="D1715" s="12" t="n"/>
      <c r="E1715" s="13" t="n"/>
      <c r="F1715" s="12" t="n"/>
      <c r="G1715" s="13" t="n"/>
      <c r="H1715" s="12" t="n"/>
      <c r="I1715" s="12" t="n"/>
      <c r="J1715" s="12" t="n"/>
      <c r="K1715" s="12" t="n"/>
      <c r="L1715" s="11" t="n"/>
      <c r="M1715" s="11" t="n"/>
      <c r="N1715" s="11" t="n"/>
      <c r="O1715" s="11" t="n"/>
      <c r="P1715" s="12" t="n"/>
      <c r="Q1715" s="11" t="n"/>
      <c r="R1715" s="12" t="n"/>
      <c r="S1715" s="11" t="n"/>
      <c r="T1715" s="12" t="n"/>
      <c r="U1715" s="12" t="n"/>
      <c r="V1715" s="14">
        <f>IF($AN1715="",IF($B1715="","",$H1715),IF(INDEX(職員マスタ!$B$6:$B$405,$AN1715)="",$H1715,INDEX(職員マスタ!$B$6:$B$405,$AN1715)))</f>
        <v/>
      </c>
      <c r="W1715" s="14">
        <f>IF($AN1715="",IF($B1715="","",$R1715),IF(INDEX(職員マスタ!$C$6:$C$405,$AN1715)="",$R1715,INDEX(職員マスタ!$C$6:$C$405,$AN1715)))</f>
        <v/>
      </c>
      <c r="X1715" s="14">
        <f>IF($AO1715="","","R"&amp;$C1715&amp;"."&amp;$D1715)</f>
        <v/>
      </c>
      <c r="Y1715" s="15">
        <f>IF($AN1715="","",IF(INDEX(職員マスタ!$K$6:$K$405,$AN1715)="","",INDEX(職員マスタ!$K$6:$K$405,$AN1715)))</f>
        <v/>
      </c>
      <c r="Z1715" s="14">
        <f>IF(OR($E1715="",$Y1715=""),"",IF($E1715&gt;=$Y1715,"×",IF($E1715&gt;=$Y1715*設定!$C$5,"△","○")))</f>
        <v/>
      </c>
      <c r="AA1715" s="15">
        <f>IF($Z1715="","",IF($Z1715="×",0,IF($Z1715="○",ROUNDDOWN($E1715*設定!$C$4,0),ROUNDDOWN($E1715*ROUND((9*$Y1715-9*$E1715)/(10*$E1715),4),0))))</f>
        <v/>
      </c>
      <c r="AB1715" s="13" t="n"/>
      <c r="AC1715" s="15">
        <f>IF($B1715="","",IF($AB1715&lt;&gt;"",$AB1715,IF($AA1715="","",IF($AA1715&lt;=設定!$C$3,0,$AA1715))))</f>
        <v/>
      </c>
      <c r="AD1715" s="14">
        <f>IF($B1715="","",IF(AND($AE1715&lt;&gt;"",$AG1715="",$AJ1715=""),"保留中",IF($AJ1715&lt;&gt;"",IF(N($AC1715)&gt;0,"支給済","不支給"),IF($AC1715="","要確認",IF($AC1715=0,"不支給","未処理")))))</f>
        <v/>
      </c>
      <c r="AE1715" s="12" t="n"/>
      <c r="AF1715" s="11" t="n"/>
      <c r="AG1715" s="11" t="n"/>
      <c r="AH1715" s="11" t="n"/>
      <c r="AI1715" s="14">
        <f>IF(AND($AD1715="保留中",$AF1715&lt;&gt;""),TODAY()-$AF1715,"")</f>
        <v/>
      </c>
      <c r="AJ1715" s="12" t="n"/>
      <c r="AK1715" s="14">
        <f>IF($B1715="","",IF($AO1715="","対象年月が未入力／","")&amp;IF($B1715="","",IF($AN1715="","職員マスタに未登録の職員番号／",IF($Y1715="","標準報酬月額が未登録／","")&amp;IF(AND($AO1715&lt;&gt;"",OR(AND(INDEX(職員マスタ!$G$6:$G$405,$AN1715)&lt;&gt;"",INDEX(職員マスタ!$G$6:$G$405,$AN1715)&gt;EOMONTH($AO1715,0)),AND(INDEX(職員マスタ!$H$6:$H$405,$AN1715)&lt;&gt;"",INDEX(職員マスタ!$H$6:$H$405,$AN1715)&lt;$AO1715))),"対象月が時短期間外／","")&amp;IF(AND(INDEX(職員マスタ!$F$6:$F$405,$AN1715)&lt;&gt;"",$AO1715&lt;&gt;"",INDEX(職員マスタ!$F$6:$F$405,$AN1715)&lt;$AO1715),"対象月に子が2歳到達済／","")&amp;IF(AND($H1715&lt;&gt;"",INDEX(職員マスタ!$B$6:$B$405,$AN1715)&lt;&gt;"",SUBSTITUTE(SUBSTITUTE($H1715," ","")," ","")&lt;&gt;SUBSTITUTE(SUBSTITUTE(INDEX(職員マスタ!$B$6:$B$405,$AN1715)," ","")," ","")),"氏名がマスタと相違／","")&amp;IF(AND($Q1715&lt;&gt;"",INDEX(職員マスタ!$E$6:$E$405,$AN1715)&lt;&gt;"",$Q1715&lt;&gt;INDEX(職員マスタ!$E$6:$E$405,$AN1715)),"子の生年月日がマスタと相違／","")&amp;IF(AND($L1715&lt;&gt;"",INDEX(職員マスタ!$G$6:$G$405,$AN1715)&lt;&gt;"",$L1715&lt;&gt;INDEX(職員マスタ!$G$6:$G$405,$AN1715)),"時短開始日がマスタと相違／","")&amp;IF(AND($M1715&lt;&gt;"",INDEX(職員マスタ!$H$6:$H$405,$AN1715)&lt;&gt;"",$M1715&lt;&gt;INDEX(職員マスタ!$H$6:$H$405,$AN1715)),"時短終了日がマスタと相違／","")))&amp;IF(AND($B1715&lt;&gt;"",$E1715=""),"報酬額が未入力／","")&amp;IF(N($U1715)&gt;0,"申請書に入力エラーが残っています／","")&amp;IF(AND($B1715&lt;&gt;"",$AO1715&lt;&gt;""),IF(COUNTIFS($B$6:$B$3005,$B1715,$C$6:$C$3005,$C1715,$D$6:$D$3005,$D1715)&gt;1,"同じ月の請求が重複しています／",""),"")&amp;IF(AND(N($E1715)&gt;0,$Z1715&lt;&gt;"",$Z1715&lt;&gt;"×",$AC1715=0,$AB1715=""),"計算額が下限以下のため不支給／",""))</f>
        <v/>
      </c>
      <c r="AL1715" s="12" t="n"/>
      <c r="AM1715" s="14">
        <f>IF($AD1715="保留中",COUNTIF($AD$6:$AD1715,"保留中"),"")</f>
        <v/>
      </c>
      <c r="AN1715" s="14">
        <f>IF($AO1715="","",IF(SUMPRODUCT(MAX((職員マスタ!$A$6:$A$405=$B1715)*(((職員マスタ!$G$6:$G$405="")+(職員マスタ!$G$6:$G$405&lt;=EOMONTH($AO1715,0)))&gt;0)*(((職員マスタ!$H$6:$H$405="")+(職員マスタ!$H$6:$H$405&gt;=$AO1715))&gt;0)*(ROW(職員マスタ!$A$6:$A$405)-5)))&gt;0,SUMPRODUCT(MAX((職員マスタ!$A$6:$A$405=$B1715)*(((職員マスタ!$G$6:$G$405="")+(職員マスタ!$G$6:$G$405&lt;=EOMONTH($AO1715,0)))&gt;0)*(((職員マスタ!$H$6:$H$405="")+(職員マスタ!$H$6:$H$405&gt;=$AO1715))&gt;0)*(ROW(職員マスタ!$A$6:$A$405)-5))),IFERROR(MATCH($B1715,職員マスタ!$A$6:$A$405,0),"")))</f>
        <v/>
      </c>
      <c r="AO1715" s="16">
        <f>IF(OR($B1715="",$C1715="",$D1715=""),"",DATE($C1715+2018,$D1715,1))</f>
        <v/>
      </c>
    </row>
    <row r="1716">
      <c r="A1716" s="11" t="n"/>
      <c r="B1716" s="12" t="n"/>
      <c r="C1716" s="12" t="n"/>
      <c r="D1716" s="12" t="n"/>
      <c r="E1716" s="13" t="n"/>
      <c r="F1716" s="12" t="n"/>
      <c r="G1716" s="13" t="n"/>
      <c r="H1716" s="12" t="n"/>
      <c r="I1716" s="12" t="n"/>
      <c r="J1716" s="12" t="n"/>
      <c r="K1716" s="12" t="n"/>
      <c r="L1716" s="11" t="n"/>
      <c r="M1716" s="11" t="n"/>
      <c r="N1716" s="11" t="n"/>
      <c r="O1716" s="11" t="n"/>
      <c r="P1716" s="12" t="n"/>
      <c r="Q1716" s="11" t="n"/>
      <c r="R1716" s="12" t="n"/>
      <c r="S1716" s="11" t="n"/>
      <c r="T1716" s="12" t="n"/>
      <c r="U1716" s="12" t="n"/>
      <c r="V1716" s="14">
        <f>IF($AN1716="",IF($B1716="","",$H1716),IF(INDEX(職員マスタ!$B$6:$B$405,$AN1716)="",$H1716,INDEX(職員マスタ!$B$6:$B$405,$AN1716)))</f>
        <v/>
      </c>
      <c r="W1716" s="14">
        <f>IF($AN1716="",IF($B1716="","",$R1716),IF(INDEX(職員マスタ!$C$6:$C$405,$AN1716)="",$R1716,INDEX(職員マスタ!$C$6:$C$405,$AN1716)))</f>
        <v/>
      </c>
      <c r="X1716" s="14">
        <f>IF($AO1716="","","R"&amp;$C1716&amp;"."&amp;$D1716)</f>
        <v/>
      </c>
      <c r="Y1716" s="15">
        <f>IF($AN1716="","",IF(INDEX(職員マスタ!$K$6:$K$405,$AN1716)="","",INDEX(職員マスタ!$K$6:$K$405,$AN1716)))</f>
        <v/>
      </c>
      <c r="Z1716" s="14">
        <f>IF(OR($E1716="",$Y1716=""),"",IF($E1716&gt;=$Y1716,"×",IF($E1716&gt;=$Y1716*設定!$C$5,"△","○")))</f>
        <v/>
      </c>
      <c r="AA1716" s="15">
        <f>IF($Z1716="","",IF($Z1716="×",0,IF($Z1716="○",ROUNDDOWN($E1716*設定!$C$4,0),ROUNDDOWN($E1716*ROUND((9*$Y1716-9*$E1716)/(10*$E1716),4),0))))</f>
        <v/>
      </c>
      <c r="AB1716" s="13" t="n"/>
      <c r="AC1716" s="15">
        <f>IF($B1716="","",IF($AB1716&lt;&gt;"",$AB1716,IF($AA1716="","",IF($AA1716&lt;=設定!$C$3,0,$AA1716))))</f>
        <v/>
      </c>
      <c r="AD1716" s="14">
        <f>IF($B1716="","",IF(AND($AE1716&lt;&gt;"",$AG1716="",$AJ1716=""),"保留中",IF($AJ1716&lt;&gt;"",IF(N($AC1716)&gt;0,"支給済","不支給"),IF($AC1716="","要確認",IF($AC1716=0,"不支給","未処理")))))</f>
        <v/>
      </c>
      <c r="AE1716" s="12" t="n"/>
      <c r="AF1716" s="11" t="n"/>
      <c r="AG1716" s="11" t="n"/>
      <c r="AH1716" s="11" t="n"/>
      <c r="AI1716" s="14">
        <f>IF(AND($AD1716="保留中",$AF1716&lt;&gt;""),TODAY()-$AF1716,"")</f>
        <v/>
      </c>
      <c r="AJ1716" s="12" t="n"/>
      <c r="AK1716" s="14">
        <f>IF($B1716="","",IF($AO1716="","対象年月が未入力／","")&amp;IF($B1716="","",IF($AN1716="","職員マスタに未登録の職員番号／",IF($Y1716="","標準報酬月額が未登録／","")&amp;IF(AND($AO1716&lt;&gt;"",OR(AND(INDEX(職員マスタ!$G$6:$G$405,$AN1716)&lt;&gt;"",INDEX(職員マスタ!$G$6:$G$405,$AN1716)&gt;EOMONTH($AO1716,0)),AND(INDEX(職員マスタ!$H$6:$H$405,$AN1716)&lt;&gt;"",INDEX(職員マスタ!$H$6:$H$405,$AN1716)&lt;$AO1716))),"対象月が時短期間外／","")&amp;IF(AND(INDEX(職員マスタ!$F$6:$F$405,$AN1716)&lt;&gt;"",$AO1716&lt;&gt;"",INDEX(職員マスタ!$F$6:$F$405,$AN1716)&lt;$AO1716),"対象月に子が2歳到達済／","")&amp;IF(AND($H1716&lt;&gt;"",INDEX(職員マスタ!$B$6:$B$405,$AN1716)&lt;&gt;"",SUBSTITUTE(SUBSTITUTE($H1716," ","")," ","")&lt;&gt;SUBSTITUTE(SUBSTITUTE(INDEX(職員マスタ!$B$6:$B$405,$AN1716)," ","")," ","")),"氏名がマスタと相違／","")&amp;IF(AND($Q1716&lt;&gt;"",INDEX(職員マスタ!$E$6:$E$405,$AN1716)&lt;&gt;"",$Q1716&lt;&gt;INDEX(職員マスタ!$E$6:$E$405,$AN1716)),"子の生年月日がマスタと相違／","")&amp;IF(AND($L1716&lt;&gt;"",INDEX(職員マスタ!$G$6:$G$405,$AN1716)&lt;&gt;"",$L1716&lt;&gt;INDEX(職員マスタ!$G$6:$G$405,$AN1716)),"時短開始日がマスタと相違／","")&amp;IF(AND($M1716&lt;&gt;"",INDEX(職員マスタ!$H$6:$H$405,$AN1716)&lt;&gt;"",$M1716&lt;&gt;INDEX(職員マスタ!$H$6:$H$405,$AN1716)),"時短終了日がマスタと相違／","")))&amp;IF(AND($B1716&lt;&gt;"",$E1716=""),"報酬額が未入力／","")&amp;IF(N($U1716)&gt;0,"申請書に入力エラーが残っています／","")&amp;IF(AND($B1716&lt;&gt;"",$AO1716&lt;&gt;""),IF(COUNTIFS($B$6:$B$3005,$B1716,$C$6:$C$3005,$C1716,$D$6:$D$3005,$D1716)&gt;1,"同じ月の請求が重複しています／",""),"")&amp;IF(AND(N($E1716)&gt;0,$Z1716&lt;&gt;"",$Z1716&lt;&gt;"×",$AC1716=0,$AB1716=""),"計算額が下限以下のため不支給／",""))</f>
        <v/>
      </c>
      <c r="AL1716" s="12" t="n"/>
      <c r="AM1716" s="14">
        <f>IF($AD1716="保留中",COUNTIF($AD$6:$AD1716,"保留中"),"")</f>
        <v/>
      </c>
      <c r="AN1716" s="14">
        <f>IF($AO1716="","",IF(SUMPRODUCT(MAX((職員マスタ!$A$6:$A$405=$B1716)*(((職員マスタ!$G$6:$G$405="")+(職員マスタ!$G$6:$G$405&lt;=EOMONTH($AO1716,0)))&gt;0)*(((職員マスタ!$H$6:$H$405="")+(職員マスタ!$H$6:$H$405&gt;=$AO1716))&gt;0)*(ROW(職員マスタ!$A$6:$A$405)-5)))&gt;0,SUMPRODUCT(MAX((職員マスタ!$A$6:$A$405=$B1716)*(((職員マスタ!$G$6:$G$405="")+(職員マスタ!$G$6:$G$405&lt;=EOMONTH($AO1716,0)))&gt;0)*(((職員マスタ!$H$6:$H$405="")+(職員マスタ!$H$6:$H$405&gt;=$AO1716))&gt;0)*(ROW(職員マスタ!$A$6:$A$405)-5))),IFERROR(MATCH($B1716,職員マスタ!$A$6:$A$405,0),"")))</f>
        <v/>
      </c>
      <c r="AO1716" s="16">
        <f>IF(OR($B1716="",$C1716="",$D1716=""),"",DATE($C1716+2018,$D1716,1))</f>
        <v/>
      </c>
    </row>
    <row r="1717">
      <c r="A1717" s="11" t="n"/>
      <c r="B1717" s="12" t="n"/>
      <c r="C1717" s="12" t="n"/>
      <c r="D1717" s="12" t="n"/>
      <c r="E1717" s="13" t="n"/>
      <c r="F1717" s="12" t="n"/>
      <c r="G1717" s="13" t="n"/>
      <c r="H1717" s="12" t="n"/>
      <c r="I1717" s="12" t="n"/>
      <c r="J1717" s="12" t="n"/>
      <c r="K1717" s="12" t="n"/>
      <c r="L1717" s="11" t="n"/>
      <c r="M1717" s="11" t="n"/>
      <c r="N1717" s="11" t="n"/>
      <c r="O1717" s="11" t="n"/>
      <c r="P1717" s="12" t="n"/>
      <c r="Q1717" s="11" t="n"/>
      <c r="R1717" s="12" t="n"/>
      <c r="S1717" s="11" t="n"/>
      <c r="T1717" s="12" t="n"/>
      <c r="U1717" s="12" t="n"/>
      <c r="V1717" s="14">
        <f>IF($AN1717="",IF($B1717="","",$H1717),IF(INDEX(職員マスタ!$B$6:$B$405,$AN1717)="",$H1717,INDEX(職員マスタ!$B$6:$B$405,$AN1717)))</f>
        <v/>
      </c>
      <c r="W1717" s="14">
        <f>IF($AN1717="",IF($B1717="","",$R1717),IF(INDEX(職員マスタ!$C$6:$C$405,$AN1717)="",$R1717,INDEX(職員マスタ!$C$6:$C$405,$AN1717)))</f>
        <v/>
      </c>
      <c r="X1717" s="14">
        <f>IF($AO1717="","","R"&amp;$C1717&amp;"."&amp;$D1717)</f>
        <v/>
      </c>
      <c r="Y1717" s="15">
        <f>IF($AN1717="","",IF(INDEX(職員マスタ!$K$6:$K$405,$AN1717)="","",INDEX(職員マスタ!$K$6:$K$405,$AN1717)))</f>
        <v/>
      </c>
      <c r="Z1717" s="14">
        <f>IF(OR($E1717="",$Y1717=""),"",IF($E1717&gt;=$Y1717,"×",IF($E1717&gt;=$Y1717*設定!$C$5,"△","○")))</f>
        <v/>
      </c>
      <c r="AA1717" s="15">
        <f>IF($Z1717="","",IF($Z1717="×",0,IF($Z1717="○",ROUNDDOWN($E1717*設定!$C$4,0),ROUNDDOWN($E1717*ROUND((9*$Y1717-9*$E1717)/(10*$E1717),4),0))))</f>
        <v/>
      </c>
      <c r="AB1717" s="13" t="n"/>
      <c r="AC1717" s="15">
        <f>IF($B1717="","",IF($AB1717&lt;&gt;"",$AB1717,IF($AA1717="","",IF($AA1717&lt;=設定!$C$3,0,$AA1717))))</f>
        <v/>
      </c>
      <c r="AD1717" s="14">
        <f>IF($B1717="","",IF(AND($AE1717&lt;&gt;"",$AG1717="",$AJ1717=""),"保留中",IF($AJ1717&lt;&gt;"",IF(N($AC1717)&gt;0,"支給済","不支給"),IF($AC1717="","要確認",IF($AC1717=0,"不支給","未処理")))))</f>
        <v/>
      </c>
      <c r="AE1717" s="12" t="n"/>
      <c r="AF1717" s="11" t="n"/>
      <c r="AG1717" s="11" t="n"/>
      <c r="AH1717" s="11" t="n"/>
      <c r="AI1717" s="14">
        <f>IF(AND($AD1717="保留中",$AF1717&lt;&gt;""),TODAY()-$AF1717,"")</f>
        <v/>
      </c>
      <c r="AJ1717" s="12" t="n"/>
      <c r="AK1717" s="14">
        <f>IF($B1717="","",IF($AO1717="","対象年月が未入力／","")&amp;IF($B1717="","",IF($AN1717="","職員マスタに未登録の職員番号／",IF($Y1717="","標準報酬月額が未登録／","")&amp;IF(AND($AO1717&lt;&gt;"",OR(AND(INDEX(職員マスタ!$G$6:$G$405,$AN1717)&lt;&gt;"",INDEX(職員マスタ!$G$6:$G$405,$AN1717)&gt;EOMONTH($AO1717,0)),AND(INDEX(職員マスタ!$H$6:$H$405,$AN1717)&lt;&gt;"",INDEX(職員マスタ!$H$6:$H$405,$AN1717)&lt;$AO1717))),"対象月が時短期間外／","")&amp;IF(AND(INDEX(職員マスタ!$F$6:$F$405,$AN1717)&lt;&gt;"",$AO1717&lt;&gt;"",INDEX(職員マスタ!$F$6:$F$405,$AN1717)&lt;$AO1717),"対象月に子が2歳到達済／","")&amp;IF(AND($H1717&lt;&gt;"",INDEX(職員マスタ!$B$6:$B$405,$AN1717)&lt;&gt;"",SUBSTITUTE(SUBSTITUTE($H1717," ","")," ","")&lt;&gt;SUBSTITUTE(SUBSTITUTE(INDEX(職員マスタ!$B$6:$B$405,$AN1717)," ","")," ","")),"氏名がマスタと相違／","")&amp;IF(AND($Q1717&lt;&gt;"",INDEX(職員マスタ!$E$6:$E$405,$AN1717)&lt;&gt;"",$Q1717&lt;&gt;INDEX(職員マスタ!$E$6:$E$405,$AN1717)),"子の生年月日がマスタと相違／","")&amp;IF(AND($L1717&lt;&gt;"",INDEX(職員マスタ!$G$6:$G$405,$AN1717)&lt;&gt;"",$L1717&lt;&gt;INDEX(職員マスタ!$G$6:$G$405,$AN1717)),"時短開始日がマスタと相違／","")&amp;IF(AND($M1717&lt;&gt;"",INDEX(職員マスタ!$H$6:$H$405,$AN1717)&lt;&gt;"",$M1717&lt;&gt;INDEX(職員マスタ!$H$6:$H$405,$AN1717)),"時短終了日がマスタと相違／","")))&amp;IF(AND($B1717&lt;&gt;"",$E1717=""),"報酬額が未入力／","")&amp;IF(N($U1717)&gt;0,"申請書に入力エラーが残っています／","")&amp;IF(AND($B1717&lt;&gt;"",$AO1717&lt;&gt;""),IF(COUNTIFS($B$6:$B$3005,$B1717,$C$6:$C$3005,$C1717,$D$6:$D$3005,$D1717)&gt;1,"同じ月の請求が重複しています／",""),"")&amp;IF(AND(N($E1717)&gt;0,$Z1717&lt;&gt;"",$Z1717&lt;&gt;"×",$AC1717=0,$AB1717=""),"計算額が下限以下のため不支給／",""))</f>
        <v/>
      </c>
      <c r="AL1717" s="12" t="n"/>
      <c r="AM1717" s="14">
        <f>IF($AD1717="保留中",COUNTIF($AD$6:$AD1717,"保留中"),"")</f>
        <v/>
      </c>
      <c r="AN1717" s="14">
        <f>IF($AO1717="","",IF(SUMPRODUCT(MAX((職員マスタ!$A$6:$A$405=$B1717)*(((職員マスタ!$G$6:$G$405="")+(職員マスタ!$G$6:$G$405&lt;=EOMONTH($AO1717,0)))&gt;0)*(((職員マスタ!$H$6:$H$405="")+(職員マスタ!$H$6:$H$405&gt;=$AO1717))&gt;0)*(ROW(職員マスタ!$A$6:$A$405)-5)))&gt;0,SUMPRODUCT(MAX((職員マスタ!$A$6:$A$405=$B1717)*(((職員マスタ!$G$6:$G$405="")+(職員マスタ!$G$6:$G$405&lt;=EOMONTH($AO1717,0)))&gt;0)*(((職員マスタ!$H$6:$H$405="")+(職員マスタ!$H$6:$H$405&gt;=$AO1717))&gt;0)*(ROW(職員マスタ!$A$6:$A$405)-5))),IFERROR(MATCH($B1717,職員マスタ!$A$6:$A$405,0),"")))</f>
        <v/>
      </c>
      <c r="AO1717" s="16">
        <f>IF(OR($B1717="",$C1717="",$D1717=""),"",DATE($C1717+2018,$D1717,1))</f>
        <v/>
      </c>
    </row>
    <row r="1718">
      <c r="A1718" s="11" t="n"/>
      <c r="B1718" s="12" t="n"/>
      <c r="C1718" s="12" t="n"/>
      <c r="D1718" s="12" t="n"/>
      <c r="E1718" s="13" t="n"/>
      <c r="F1718" s="12" t="n"/>
      <c r="G1718" s="13" t="n"/>
      <c r="H1718" s="12" t="n"/>
      <c r="I1718" s="12" t="n"/>
      <c r="J1718" s="12" t="n"/>
      <c r="K1718" s="12" t="n"/>
      <c r="L1718" s="11" t="n"/>
      <c r="M1718" s="11" t="n"/>
      <c r="N1718" s="11" t="n"/>
      <c r="O1718" s="11" t="n"/>
      <c r="P1718" s="12" t="n"/>
      <c r="Q1718" s="11" t="n"/>
      <c r="R1718" s="12" t="n"/>
      <c r="S1718" s="11" t="n"/>
      <c r="T1718" s="12" t="n"/>
      <c r="U1718" s="12" t="n"/>
      <c r="V1718" s="14">
        <f>IF($AN1718="",IF($B1718="","",$H1718),IF(INDEX(職員マスタ!$B$6:$B$405,$AN1718)="",$H1718,INDEX(職員マスタ!$B$6:$B$405,$AN1718)))</f>
        <v/>
      </c>
      <c r="W1718" s="14">
        <f>IF($AN1718="",IF($B1718="","",$R1718),IF(INDEX(職員マスタ!$C$6:$C$405,$AN1718)="",$R1718,INDEX(職員マスタ!$C$6:$C$405,$AN1718)))</f>
        <v/>
      </c>
      <c r="X1718" s="14">
        <f>IF($AO1718="","","R"&amp;$C1718&amp;"."&amp;$D1718)</f>
        <v/>
      </c>
      <c r="Y1718" s="15">
        <f>IF($AN1718="","",IF(INDEX(職員マスタ!$K$6:$K$405,$AN1718)="","",INDEX(職員マスタ!$K$6:$K$405,$AN1718)))</f>
        <v/>
      </c>
      <c r="Z1718" s="14">
        <f>IF(OR($E1718="",$Y1718=""),"",IF($E1718&gt;=$Y1718,"×",IF($E1718&gt;=$Y1718*設定!$C$5,"△","○")))</f>
        <v/>
      </c>
      <c r="AA1718" s="15">
        <f>IF($Z1718="","",IF($Z1718="×",0,IF($Z1718="○",ROUNDDOWN($E1718*設定!$C$4,0),ROUNDDOWN($E1718*ROUND((9*$Y1718-9*$E1718)/(10*$E1718),4),0))))</f>
        <v/>
      </c>
      <c r="AB1718" s="13" t="n"/>
      <c r="AC1718" s="15">
        <f>IF($B1718="","",IF($AB1718&lt;&gt;"",$AB1718,IF($AA1718="","",IF($AA1718&lt;=設定!$C$3,0,$AA1718))))</f>
        <v/>
      </c>
      <c r="AD1718" s="14">
        <f>IF($B1718="","",IF(AND($AE1718&lt;&gt;"",$AG1718="",$AJ1718=""),"保留中",IF($AJ1718&lt;&gt;"",IF(N($AC1718)&gt;0,"支給済","不支給"),IF($AC1718="","要確認",IF($AC1718=0,"不支給","未処理")))))</f>
        <v/>
      </c>
      <c r="AE1718" s="12" t="n"/>
      <c r="AF1718" s="11" t="n"/>
      <c r="AG1718" s="11" t="n"/>
      <c r="AH1718" s="11" t="n"/>
      <c r="AI1718" s="14">
        <f>IF(AND($AD1718="保留中",$AF1718&lt;&gt;""),TODAY()-$AF1718,"")</f>
        <v/>
      </c>
      <c r="AJ1718" s="12" t="n"/>
      <c r="AK1718" s="14">
        <f>IF($B1718="","",IF($AO1718="","対象年月が未入力／","")&amp;IF($B1718="","",IF($AN1718="","職員マスタに未登録の職員番号／",IF($Y1718="","標準報酬月額が未登録／","")&amp;IF(AND($AO1718&lt;&gt;"",OR(AND(INDEX(職員マスタ!$G$6:$G$405,$AN1718)&lt;&gt;"",INDEX(職員マスタ!$G$6:$G$405,$AN1718)&gt;EOMONTH($AO1718,0)),AND(INDEX(職員マスタ!$H$6:$H$405,$AN1718)&lt;&gt;"",INDEX(職員マスタ!$H$6:$H$405,$AN1718)&lt;$AO1718))),"対象月が時短期間外／","")&amp;IF(AND(INDEX(職員マスタ!$F$6:$F$405,$AN1718)&lt;&gt;"",$AO1718&lt;&gt;"",INDEX(職員マスタ!$F$6:$F$405,$AN1718)&lt;$AO1718),"対象月に子が2歳到達済／","")&amp;IF(AND($H1718&lt;&gt;"",INDEX(職員マスタ!$B$6:$B$405,$AN1718)&lt;&gt;"",SUBSTITUTE(SUBSTITUTE($H1718," ","")," ","")&lt;&gt;SUBSTITUTE(SUBSTITUTE(INDEX(職員マスタ!$B$6:$B$405,$AN1718)," ","")," ","")),"氏名がマスタと相違／","")&amp;IF(AND($Q1718&lt;&gt;"",INDEX(職員マスタ!$E$6:$E$405,$AN1718)&lt;&gt;"",$Q1718&lt;&gt;INDEX(職員マスタ!$E$6:$E$405,$AN1718)),"子の生年月日がマスタと相違／","")&amp;IF(AND($L1718&lt;&gt;"",INDEX(職員マスタ!$G$6:$G$405,$AN1718)&lt;&gt;"",$L1718&lt;&gt;INDEX(職員マスタ!$G$6:$G$405,$AN1718)),"時短開始日がマスタと相違／","")&amp;IF(AND($M1718&lt;&gt;"",INDEX(職員マスタ!$H$6:$H$405,$AN1718)&lt;&gt;"",$M1718&lt;&gt;INDEX(職員マスタ!$H$6:$H$405,$AN1718)),"時短終了日がマスタと相違／","")))&amp;IF(AND($B1718&lt;&gt;"",$E1718=""),"報酬額が未入力／","")&amp;IF(N($U1718)&gt;0,"申請書に入力エラーが残っています／","")&amp;IF(AND($B1718&lt;&gt;"",$AO1718&lt;&gt;""),IF(COUNTIFS($B$6:$B$3005,$B1718,$C$6:$C$3005,$C1718,$D$6:$D$3005,$D1718)&gt;1,"同じ月の請求が重複しています／",""),"")&amp;IF(AND(N($E1718)&gt;0,$Z1718&lt;&gt;"",$Z1718&lt;&gt;"×",$AC1718=0,$AB1718=""),"計算額が下限以下のため不支給／",""))</f>
        <v/>
      </c>
      <c r="AL1718" s="12" t="n"/>
      <c r="AM1718" s="14">
        <f>IF($AD1718="保留中",COUNTIF($AD$6:$AD1718,"保留中"),"")</f>
        <v/>
      </c>
      <c r="AN1718" s="14">
        <f>IF($AO1718="","",IF(SUMPRODUCT(MAX((職員マスタ!$A$6:$A$405=$B1718)*(((職員マスタ!$G$6:$G$405="")+(職員マスタ!$G$6:$G$405&lt;=EOMONTH($AO1718,0)))&gt;0)*(((職員マスタ!$H$6:$H$405="")+(職員マスタ!$H$6:$H$405&gt;=$AO1718))&gt;0)*(ROW(職員マスタ!$A$6:$A$405)-5)))&gt;0,SUMPRODUCT(MAX((職員マスタ!$A$6:$A$405=$B1718)*(((職員マスタ!$G$6:$G$405="")+(職員マスタ!$G$6:$G$405&lt;=EOMONTH($AO1718,0)))&gt;0)*(((職員マスタ!$H$6:$H$405="")+(職員マスタ!$H$6:$H$405&gt;=$AO1718))&gt;0)*(ROW(職員マスタ!$A$6:$A$405)-5))),IFERROR(MATCH($B1718,職員マスタ!$A$6:$A$405,0),"")))</f>
        <v/>
      </c>
      <c r="AO1718" s="16">
        <f>IF(OR($B1718="",$C1718="",$D1718=""),"",DATE($C1718+2018,$D1718,1))</f>
        <v/>
      </c>
    </row>
    <row r="1719">
      <c r="A1719" s="11" t="n"/>
      <c r="B1719" s="12" t="n"/>
      <c r="C1719" s="12" t="n"/>
      <c r="D1719" s="12" t="n"/>
      <c r="E1719" s="13" t="n"/>
      <c r="F1719" s="12" t="n"/>
      <c r="G1719" s="13" t="n"/>
      <c r="H1719" s="12" t="n"/>
      <c r="I1719" s="12" t="n"/>
      <c r="J1719" s="12" t="n"/>
      <c r="K1719" s="12" t="n"/>
      <c r="L1719" s="11" t="n"/>
      <c r="M1719" s="11" t="n"/>
      <c r="N1719" s="11" t="n"/>
      <c r="O1719" s="11" t="n"/>
      <c r="P1719" s="12" t="n"/>
      <c r="Q1719" s="11" t="n"/>
      <c r="R1719" s="12" t="n"/>
      <c r="S1719" s="11" t="n"/>
      <c r="T1719" s="12" t="n"/>
      <c r="U1719" s="12" t="n"/>
      <c r="V1719" s="14">
        <f>IF($AN1719="",IF($B1719="","",$H1719),IF(INDEX(職員マスタ!$B$6:$B$405,$AN1719)="",$H1719,INDEX(職員マスタ!$B$6:$B$405,$AN1719)))</f>
        <v/>
      </c>
      <c r="W1719" s="14">
        <f>IF($AN1719="",IF($B1719="","",$R1719),IF(INDEX(職員マスタ!$C$6:$C$405,$AN1719)="",$R1719,INDEX(職員マスタ!$C$6:$C$405,$AN1719)))</f>
        <v/>
      </c>
      <c r="X1719" s="14">
        <f>IF($AO1719="","","R"&amp;$C1719&amp;"."&amp;$D1719)</f>
        <v/>
      </c>
      <c r="Y1719" s="15">
        <f>IF($AN1719="","",IF(INDEX(職員マスタ!$K$6:$K$405,$AN1719)="","",INDEX(職員マスタ!$K$6:$K$405,$AN1719)))</f>
        <v/>
      </c>
      <c r="Z1719" s="14">
        <f>IF(OR($E1719="",$Y1719=""),"",IF($E1719&gt;=$Y1719,"×",IF($E1719&gt;=$Y1719*設定!$C$5,"△","○")))</f>
        <v/>
      </c>
      <c r="AA1719" s="15">
        <f>IF($Z1719="","",IF($Z1719="×",0,IF($Z1719="○",ROUNDDOWN($E1719*設定!$C$4,0),ROUNDDOWN($E1719*ROUND((9*$Y1719-9*$E1719)/(10*$E1719),4),0))))</f>
        <v/>
      </c>
      <c r="AB1719" s="13" t="n"/>
      <c r="AC1719" s="15">
        <f>IF($B1719="","",IF($AB1719&lt;&gt;"",$AB1719,IF($AA1719="","",IF($AA1719&lt;=設定!$C$3,0,$AA1719))))</f>
        <v/>
      </c>
      <c r="AD1719" s="14">
        <f>IF($B1719="","",IF(AND($AE1719&lt;&gt;"",$AG1719="",$AJ1719=""),"保留中",IF($AJ1719&lt;&gt;"",IF(N($AC1719)&gt;0,"支給済","不支給"),IF($AC1719="","要確認",IF($AC1719=0,"不支給","未処理")))))</f>
        <v/>
      </c>
      <c r="AE1719" s="12" t="n"/>
      <c r="AF1719" s="11" t="n"/>
      <c r="AG1719" s="11" t="n"/>
      <c r="AH1719" s="11" t="n"/>
      <c r="AI1719" s="14">
        <f>IF(AND($AD1719="保留中",$AF1719&lt;&gt;""),TODAY()-$AF1719,"")</f>
        <v/>
      </c>
      <c r="AJ1719" s="12" t="n"/>
      <c r="AK1719" s="14">
        <f>IF($B1719="","",IF($AO1719="","対象年月が未入力／","")&amp;IF($B1719="","",IF($AN1719="","職員マスタに未登録の職員番号／",IF($Y1719="","標準報酬月額が未登録／","")&amp;IF(AND($AO1719&lt;&gt;"",OR(AND(INDEX(職員マスタ!$G$6:$G$405,$AN1719)&lt;&gt;"",INDEX(職員マスタ!$G$6:$G$405,$AN1719)&gt;EOMONTH($AO1719,0)),AND(INDEX(職員マスタ!$H$6:$H$405,$AN1719)&lt;&gt;"",INDEX(職員マスタ!$H$6:$H$405,$AN1719)&lt;$AO1719))),"対象月が時短期間外／","")&amp;IF(AND(INDEX(職員マスタ!$F$6:$F$405,$AN1719)&lt;&gt;"",$AO1719&lt;&gt;"",INDEX(職員マスタ!$F$6:$F$405,$AN1719)&lt;$AO1719),"対象月に子が2歳到達済／","")&amp;IF(AND($H1719&lt;&gt;"",INDEX(職員マスタ!$B$6:$B$405,$AN1719)&lt;&gt;"",SUBSTITUTE(SUBSTITUTE($H1719," ","")," ","")&lt;&gt;SUBSTITUTE(SUBSTITUTE(INDEX(職員マスタ!$B$6:$B$405,$AN1719)," ","")," ","")),"氏名がマスタと相違／","")&amp;IF(AND($Q1719&lt;&gt;"",INDEX(職員マスタ!$E$6:$E$405,$AN1719)&lt;&gt;"",$Q1719&lt;&gt;INDEX(職員マスタ!$E$6:$E$405,$AN1719)),"子の生年月日がマスタと相違／","")&amp;IF(AND($L1719&lt;&gt;"",INDEX(職員マスタ!$G$6:$G$405,$AN1719)&lt;&gt;"",$L1719&lt;&gt;INDEX(職員マスタ!$G$6:$G$405,$AN1719)),"時短開始日がマスタと相違／","")&amp;IF(AND($M1719&lt;&gt;"",INDEX(職員マスタ!$H$6:$H$405,$AN1719)&lt;&gt;"",$M1719&lt;&gt;INDEX(職員マスタ!$H$6:$H$405,$AN1719)),"時短終了日がマスタと相違／","")))&amp;IF(AND($B1719&lt;&gt;"",$E1719=""),"報酬額が未入力／","")&amp;IF(N($U1719)&gt;0,"申請書に入力エラーが残っています／","")&amp;IF(AND($B1719&lt;&gt;"",$AO1719&lt;&gt;""),IF(COUNTIFS($B$6:$B$3005,$B1719,$C$6:$C$3005,$C1719,$D$6:$D$3005,$D1719)&gt;1,"同じ月の請求が重複しています／",""),"")&amp;IF(AND(N($E1719)&gt;0,$Z1719&lt;&gt;"",$Z1719&lt;&gt;"×",$AC1719=0,$AB1719=""),"計算額が下限以下のため不支給／",""))</f>
        <v/>
      </c>
      <c r="AL1719" s="12" t="n"/>
      <c r="AM1719" s="14">
        <f>IF($AD1719="保留中",COUNTIF($AD$6:$AD1719,"保留中"),"")</f>
        <v/>
      </c>
      <c r="AN1719" s="14">
        <f>IF($AO1719="","",IF(SUMPRODUCT(MAX((職員マスタ!$A$6:$A$405=$B1719)*(((職員マスタ!$G$6:$G$405="")+(職員マスタ!$G$6:$G$405&lt;=EOMONTH($AO1719,0)))&gt;0)*(((職員マスタ!$H$6:$H$405="")+(職員マスタ!$H$6:$H$405&gt;=$AO1719))&gt;0)*(ROW(職員マスタ!$A$6:$A$405)-5)))&gt;0,SUMPRODUCT(MAX((職員マスタ!$A$6:$A$405=$B1719)*(((職員マスタ!$G$6:$G$405="")+(職員マスタ!$G$6:$G$405&lt;=EOMONTH($AO1719,0)))&gt;0)*(((職員マスタ!$H$6:$H$405="")+(職員マスタ!$H$6:$H$405&gt;=$AO1719))&gt;0)*(ROW(職員マスタ!$A$6:$A$405)-5))),IFERROR(MATCH($B1719,職員マスタ!$A$6:$A$405,0),"")))</f>
        <v/>
      </c>
      <c r="AO1719" s="16">
        <f>IF(OR($B1719="",$C1719="",$D1719=""),"",DATE($C1719+2018,$D1719,1))</f>
        <v/>
      </c>
    </row>
    <row r="1720">
      <c r="A1720" s="11" t="n"/>
      <c r="B1720" s="12" t="n"/>
      <c r="C1720" s="12" t="n"/>
      <c r="D1720" s="12" t="n"/>
      <c r="E1720" s="13" t="n"/>
      <c r="F1720" s="12" t="n"/>
      <c r="G1720" s="13" t="n"/>
      <c r="H1720" s="12" t="n"/>
      <c r="I1720" s="12" t="n"/>
      <c r="J1720" s="12" t="n"/>
      <c r="K1720" s="12" t="n"/>
      <c r="L1720" s="11" t="n"/>
      <c r="M1720" s="11" t="n"/>
      <c r="N1720" s="11" t="n"/>
      <c r="O1720" s="11" t="n"/>
      <c r="P1720" s="12" t="n"/>
      <c r="Q1720" s="11" t="n"/>
      <c r="R1720" s="12" t="n"/>
      <c r="S1720" s="11" t="n"/>
      <c r="T1720" s="12" t="n"/>
      <c r="U1720" s="12" t="n"/>
      <c r="V1720" s="14">
        <f>IF($AN1720="",IF($B1720="","",$H1720),IF(INDEX(職員マスタ!$B$6:$B$405,$AN1720)="",$H1720,INDEX(職員マスタ!$B$6:$B$405,$AN1720)))</f>
        <v/>
      </c>
      <c r="W1720" s="14">
        <f>IF($AN1720="",IF($B1720="","",$R1720),IF(INDEX(職員マスタ!$C$6:$C$405,$AN1720)="",$R1720,INDEX(職員マスタ!$C$6:$C$405,$AN1720)))</f>
        <v/>
      </c>
      <c r="X1720" s="14">
        <f>IF($AO1720="","","R"&amp;$C1720&amp;"."&amp;$D1720)</f>
        <v/>
      </c>
      <c r="Y1720" s="15">
        <f>IF($AN1720="","",IF(INDEX(職員マスタ!$K$6:$K$405,$AN1720)="","",INDEX(職員マスタ!$K$6:$K$405,$AN1720)))</f>
        <v/>
      </c>
      <c r="Z1720" s="14">
        <f>IF(OR($E1720="",$Y1720=""),"",IF($E1720&gt;=$Y1720,"×",IF($E1720&gt;=$Y1720*設定!$C$5,"△","○")))</f>
        <v/>
      </c>
      <c r="AA1720" s="15">
        <f>IF($Z1720="","",IF($Z1720="×",0,IF($Z1720="○",ROUNDDOWN($E1720*設定!$C$4,0),ROUNDDOWN($E1720*ROUND((9*$Y1720-9*$E1720)/(10*$E1720),4),0))))</f>
        <v/>
      </c>
      <c r="AB1720" s="13" t="n"/>
      <c r="AC1720" s="15">
        <f>IF($B1720="","",IF($AB1720&lt;&gt;"",$AB1720,IF($AA1720="","",IF($AA1720&lt;=設定!$C$3,0,$AA1720))))</f>
        <v/>
      </c>
      <c r="AD1720" s="14">
        <f>IF($B1720="","",IF(AND($AE1720&lt;&gt;"",$AG1720="",$AJ1720=""),"保留中",IF($AJ1720&lt;&gt;"",IF(N($AC1720)&gt;0,"支給済","不支給"),IF($AC1720="","要確認",IF($AC1720=0,"不支給","未処理")))))</f>
        <v/>
      </c>
      <c r="AE1720" s="12" t="n"/>
      <c r="AF1720" s="11" t="n"/>
      <c r="AG1720" s="11" t="n"/>
      <c r="AH1720" s="11" t="n"/>
      <c r="AI1720" s="14">
        <f>IF(AND($AD1720="保留中",$AF1720&lt;&gt;""),TODAY()-$AF1720,"")</f>
        <v/>
      </c>
      <c r="AJ1720" s="12" t="n"/>
      <c r="AK1720" s="14">
        <f>IF($B1720="","",IF($AO1720="","対象年月が未入力／","")&amp;IF($B1720="","",IF($AN1720="","職員マスタに未登録の職員番号／",IF($Y1720="","標準報酬月額が未登録／","")&amp;IF(AND($AO1720&lt;&gt;"",OR(AND(INDEX(職員マスタ!$G$6:$G$405,$AN1720)&lt;&gt;"",INDEX(職員マスタ!$G$6:$G$405,$AN1720)&gt;EOMONTH($AO1720,0)),AND(INDEX(職員マスタ!$H$6:$H$405,$AN1720)&lt;&gt;"",INDEX(職員マスタ!$H$6:$H$405,$AN1720)&lt;$AO1720))),"対象月が時短期間外／","")&amp;IF(AND(INDEX(職員マスタ!$F$6:$F$405,$AN1720)&lt;&gt;"",$AO1720&lt;&gt;"",INDEX(職員マスタ!$F$6:$F$405,$AN1720)&lt;$AO1720),"対象月に子が2歳到達済／","")&amp;IF(AND($H1720&lt;&gt;"",INDEX(職員マスタ!$B$6:$B$405,$AN1720)&lt;&gt;"",SUBSTITUTE(SUBSTITUTE($H1720," ","")," ","")&lt;&gt;SUBSTITUTE(SUBSTITUTE(INDEX(職員マスタ!$B$6:$B$405,$AN1720)," ","")," ","")),"氏名がマスタと相違／","")&amp;IF(AND($Q1720&lt;&gt;"",INDEX(職員マスタ!$E$6:$E$405,$AN1720)&lt;&gt;"",$Q1720&lt;&gt;INDEX(職員マスタ!$E$6:$E$405,$AN1720)),"子の生年月日がマスタと相違／","")&amp;IF(AND($L1720&lt;&gt;"",INDEX(職員マスタ!$G$6:$G$405,$AN1720)&lt;&gt;"",$L1720&lt;&gt;INDEX(職員マスタ!$G$6:$G$405,$AN1720)),"時短開始日がマスタと相違／","")&amp;IF(AND($M1720&lt;&gt;"",INDEX(職員マスタ!$H$6:$H$405,$AN1720)&lt;&gt;"",$M1720&lt;&gt;INDEX(職員マスタ!$H$6:$H$405,$AN1720)),"時短終了日がマスタと相違／","")))&amp;IF(AND($B1720&lt;&gt;"",$E1720=""),"報酬額が未入力／","")&amp;IF(N($U1720)&gt;0,"申請書に入力エラーが残っています／","")&amp;IF(AND($B1720&lt;&gt;"",$AO1720&lt;&gt;""),IF(COUNTIFS($B$6:$B$3005,$B1720,$C$6:$C$3005,$C1720,$D$6:$D$3005,$D1720)&gt;1,"同じ月の請求が重複しています／",""),"")&amp;IF(AND(N($E1720)&gt;0,$Z1720&lt;&gt;"",$Z1720&lt;&gt;"×",$AC1720=0,$AB1720=""),"計算額が下限以下のため不支給／",""))</f>
        <v/>
      </c>
      <c r="AL1720" s="12" t="n"/>
      <c r="AM1720" s="14">
        <f>IF($AD1720="保留中",COUNTIF($AD$6:$AD1720,"保留中"),"")</f>
        <v/>
      </c>
      <c r="AN1720" s="14">
        <f>IF($AO1720="","",IF(SUMPRODUCT(MAX((職員マスタ!$A$6:$A$405=$B1720)*(((職員マスタ!$G$6:$G$405="")+(職員マスタ!$G$6:$G$405&lt;=EOMONTH($AO1720,0)))&gt;0)*(((職員マスタ!$H$6:$H$405="")+(職員マスタ!$H$6:$H$405&gt;=$AO1720))&gt;0)*(ROW(職員マスタ!$A$6:$A$405)-5)))&gt;0,SUMPRODUCT(MAX((職員マスタ!$A$6:$A$405=$B1720)*(((職員マスタ!$G$6:$G$405="")+(職員マスタ!$G$6:$G$405&lt;=EOMONTH($AO1720,0)))&gt;0)*(((職員マスタ!$H$6:$H$405="")+(職員マスタ!$H$6:$H$405&gt;=$AO1720))&gt;0)*(ROW(職員マスタ!$A$6:$A$405)-5))),IFERROR(MATCH($B1720,職員マスタ!$A$6:$A$405,0),"")))</f>
        <v/>
      </c>
      <c r="AO1720" s="16">
        <f>IF(OR($B1720="",$C1720="",$D1720=""),"",DATE($C1720+2018,$D1720,1))</f>
        <v/>
      </c>
    </row>
    <row r="1721">
      <c r="A1721" s="11" t="n"/>
      <c r="B1721" s="12" t="n"/>
      <c r="C1721" s="12" t="n"/>
      <c r="D1721" s="12" t="n"/>
      <c r="E1721" s="13" t="n"/>
      <c r="F1721" s="12" t="n"/>
      <c r="G1721" s="13" t="n"/>
      <c r="H1721" s="12" t="n"/>
      <c r="I1721" s="12" t="n"/>
      <c r="J1721" s="12" t="n"/>
      <c r="K1721" s="12" t="n"/>
      <c r="L1721" s="11" t="n"/>
      <c r="M1721" s="11" t="n"/>
      <c r="N1721" s="11" t="n"/>
      <c r="O1721" s="11" t="n"/>
      <c r="P1721" s="12" t="n"/>
      <c r="Q1721" s="11" t="n"/>
      <c r="R1721" s="12" t="n"/>
      <c r="S1721" s="11" t="n"/>
      <c r="T1721" s="12" t="n"/>
      <c r="U1721" s="12" t="n"/>
      <c r="V1721" s="14">
        <f>IF($AN1721="",IF($B1721="","",$H1721),IF(INDEX(職員マスタ!$B$6:$B$405,$AN1721)="",$H1721,INDEX(職員マスタ!$B$6:$B$405,$AN1721)))</f>
        <v/>
      </c>
      <c r="W1721" s="14">
        <f>IF($AN1721="",IF($B1721="","",$R1721),IF(INDEX(職員マスタ!$C$6:$C$405,$AN1721)="",$R1721,INDEX(職員マスタ!$C$6:$C$405,$AN1721)))</f>
        <v/>
      </c>
      <c r="X1721" s="14">
        <f>IF($AO1721="","","R"&amp;$C1721&amp;"."&amp;$D1721)</f>
        <v/>
      </c>
      <c r="Y1721" s="15">
        <f>IF($AN1721="","",IF(INDEX(職員マスタ!$K$6:$K$405,$AN1721)="","",INDEX(職員マスタ!$K$6:$K$405,$AN1721)))</f>
        <v/>
      </c>
      <c r="Z1721" s="14">
        <f>IF(OR($E1721="",$Y1721=""),"",IF($E1721&gt;=$Y1721,"×",IF($E1721&gt;=$Y1721*設定!$C$5,"△","○")))</f>
        <v/>
      </c>
      <c r="AA1721" s="15">
        <f>IF($Z1721="","",IF($Z1721="×",0,IF($Z1721="○",ROUNDDOWN($E1721*設定!$C$4,0),ROUNDDOWN($E1721*ROUND((9*$Y1721-9*$E1721)/(10*$E1721),4),0))))</f>
        <v/>
      </c>
      <c r="AB1721" s="13" t="n"/>
      <c r="AC1721" s="15">
        <f>IF($B1721="","",IF($AB1721&lt;&gt;"",$AB1721,IF($AA1721="","",IF($AA1721&lt;=設定!$C$3,0,$AA1721))))</f>
        <v/>
      </c>
      <c r="AD1721" s="14">
        <f>IF($B1721="","",IF(AND($AE1721&lt;&gt;"",$AG1721="",$AJ1721=""),"保留中",IF($AJ1721&lt;&gt;"",IF(N($AC1721)&gt;0,"支給済","不支給"),IF($AC1721="","要確認",IF($AC1721=0,"不支給","未処理")))))</f>
        <v/>
      </c>
      <c r="AE1721" s="12" t="n"/>
      <c r="AF1721" s="11" t="n"/>
      <c r="AG1721" s="11" t="n"/>
      <c r="AH1721" s="11" t="n"/>
      <c r="AI1721" s="14">
        <f>IF(AND($AD1721="保留中",$AF1721&lt;&gt;""),TODAY()-$AF1721,"")</f>
        <v/>
      </c>
      <c r="AJ1721" s="12" t="n"/>
      <c r="AK1721" s="14">
        <f>IF($B1721="","",IF($AO1721="","対象年月が未入力／","")&amp;IF($B1721="","",IF($AN1721="","職員マスタに未登録の職員番号／",IF($Y1721="","標準報酬月額が未登録／","")&amp;IF(AND($AO1721&lt;&gt;"",OR(AND(INDEX(職員マスタ!$G$6:$G$405,$AN1721)&lt;&gt;"",INDEX(職員マスタ!$G$6:$G$405,$AN1721)&gt;EOMONTH($AO1721,0)),AND(INDEX(職員マスタ!$H$6:$H$405,$AN1721)&lt;&gt;"",INDEX(職員マスタ!$H$6:$H$405,$AN1721)&lt;$AO1721))),"対象月が時短期間外／","")&amp;IF(AND(INDEX(職員マスタ!$F$6:$F$405,$AN1721)&lt;&gt;"",$AO1721&lt;&gt;"",INDEX(職員マスタ!$F$6:$F$405,$AN1721)&lt;$AO1721),"対象月に子が2歳到達済／","")&amp;IF(AND($H1721&lt;&gt;"",INDEX(職員マスタ!$B$6:$B$405,$AN1721)&lt;&gt;"",SUBSTITUTE(SUBSTITUTE($H1721," ","")," ","")&lt;&gt;SUBSTITUTE(SUBSTITUTE(INDEX(職員マスタ!$B$6:$B$405,$AN1721)," ","")," ","")),"氏名がマスタと相違／","")&amp;IF(AND($Q1721&lt;&gt;"",INDEX(職員マスタ!$E$6:$E$405,$AN1721)&lt;&gt;"",$Q1721&lt;&gt;INDEX(職員マスタ!$E$6:$E$405,$AN1721)),"子の生年月日がマスタと相違／","")&amp;IF(AND($L1721&lt;&gt;"",INDEX(職員マスタ!$G$6:$G$405,$AN1721)&lt;&gt;"",$L1721&lt;&gt;INDEX(職員マスタ!$G$6:$G$405,$AN1721)),"時短開始日がマスタと相違／","")&amp;IF(AND($M1721&lt;&gt;"",INDEX(職員マスタ!$H$6:$H$405,$AN1721)&lt;&gt;"",$M1721&lt;&gt;INDEX(職員マスタ!$H$6:$H$405,$AN1721)),"時短終了日がマスタと相違／","")))&amp;IF(AND($B1721&lt;&gt;"",$E1721=""),"報酬額が未入力／","")&amp;IF(N($U1721)&gt;0,"申請書に入力エラーが残っています／","")&amp;IF(AND($B1721&lt;&gt;"",$AO1721&lt;&gt;""),IF(COUNTIFS($B$6:$B$3005,$B1721,$C$6:$C$3005,$C1721,$D$6:$D$3005,$D1721)&gt;1,"同じ月の請求が重複しています／",""),"")&amp;IF(AND(N($E1721)&gt;0,$Z1721&lt;&gt;"",$Z1721&lt;&gt;"×",$AC1721=0,$AB1721=""),"計算額が下限以下のため不支給／",""))</f>
        <v/>
      </c>
      <c r="AL1721" s="12" t="n"/>
      <c r="AM1721" s="14">
        <f>IF($AD1721="保留中",COUNTIF($AD$6:$AD1721,"保留中"),"")</f>
        <v/>
      </c>
      <c r="AN1721" s="14">
        <f>IF($AO1721="","",IF(SUMPRODUCT(MAX((職員マスタ!$A$6:$A$405=$B1721)*(((職員マスタ!$G$6:$G$405="")+(職員マスタ!$G$6:$G$405&lt;=EOMONTH($AO1721,0)))&gt;0)*(((職員マスタ!$H$6:$H$405="")+(職員マスタ!$H$6:$H$405&gt;=$AO1721))&gt;0)*(ROW(職員マスタ!$A$6:$A$405)-5)))&gt;0,SUMPRODUCT(MAX((職員マスタ!$A$6:$A$405=$B1721)*(((職員マスタ!$G$6:$G$405="")+(職員マスタ!$G$6:$G$405&lt;=EOMONTH($AO1721,0)))&gt;0)*(((職員マスタ!$H$6:$H$405="")+(職員マスタ!$H$6:$H$405&gt;=$AO1721))&gt;0)*(ROW(職員マスタ!$A$6:$A$405)-5))),IFERROR(MATCH($B1721,職員マスタ!$A$6:$A$405,0),"")))</f>
        <v/>
      </c>
      <c r="AO1721" s="16">
        <f>IF(OR($B1721="",$C1721="",$D1721=""),"",DATE($C1721+2018,$D1721,1))</f>
        <v/>
      </c>
    </row>
    <row r="1722">
      <c r="A1722" s="11" t="n"/>
      <c r="B1722" s="12" t="n"/>
      <c r="C1722" s="12" t="n"/>
      <c r="D1722" s="12" t="n"/>
      <c r="E1722" s="13" t="n"/>
      <c r="F1722" s="12" t="n"/>
      <c r="G1722" s="13" t="n"/>
      <c r="H1722" s="12" t="n"/>
      <c r="I1722" s="12" t="n"/>
      <c r="J1722" s="12" t="n"/>
      <c r="K1722" s="12" t="n"/>
      <c r="L1722" s="11" t="n"/>
      <c r="M1722" s="11" t="n"/>
      <c r="N1722" s="11" t="n"/>
      <c r="O1722" s="11" t="n"/>
      <c r="P1722" s="12" t="n"/>
      <c r="Q1722" s="11" t="n"/>
      <c r="R1722" s="12" t="n"/>
      <c r="S1722" s="11" t="n"/>
      <c r="T1722" s="12" t="n"/>
      <c r="U1722" s="12" t="n"/>
      <c r="V1722" s="14">
        <f>IF($AN1722="",IF($B1722="","",$H1722),IF(INDEX(職員マスタ!$B$6:$B$405,$AN1722)="",$H1722,INDEX(職員マスタ!$B$6:$B$405,$AN1722)))</f>
        <v/>
      </c>
      <c r="W1722" s="14">
        <f>IF($AN1722="",IF($B1722="","",$R1722),IF(INDEX(職員マスタ!$C$6:$C$405,$AN1722)="",$R1722,INDEX(職員マスタ!$C$6:$C$405,$AN1722)))</f>
        <v/>
      </c>
      <c r="X1722" s="14">
        <f>IF($AO1722="","","R"&amp;$C1722&amp;"."&amp;$D1722)</f>
        <v/>
      </c>
      <c r="Y1722" s="15">
        <f>IF($AN1722="","",IF(INDEX(職員マスタ!$K$6:$K$405,$AN1722)="","",INDEX(職員マスタ!$K$6:$K$405,$AN1722)))</f>
        <v/>
      </c>
      <c r="Z1722" s="14">
        <f>IF(OR($E1722="",$Y1722=""),"",IF($E1722&gt;=$Y1722,"×",IF($E1722&gt;=$Y1722*設定!$C$5,"△","○")))</f>
        <v/>
      </c>
      <c r="AA1722" s="15">
        <f>IF($Z1722="","",IF($Z1722="×",0,IF($Z1722="○",ROUNDDOWN($E1722*設定!$C$4,0),ROUNDDOWN($E1722*ROUND((9*$Y1722-9*$E1722)/(10*$E1722),4),0))))</f>
        <v/>
      </c>
      <c r="AB1722" s="13" t="n"/>
      <c r="AC1722" s="15">
        <f>IF($B1722="","",IF($AB1722&lt;&gt;"",$AB1722,IF($AA1722="","",IF($AA1722&lt;=設定!$C$3,0,$AA1722))))</f>
        <v/>
      </c>
      <c r="AD1722" s="14">
        <f>IF($B1722="","",IF(AND($AE1722&lt;&gt;"",$AG1722="",$AJ1722=""),"保留中",IF($AJ1722&lt;&gt;"",IF(N($AC1722)&gt;0,"支給済","不支給"),IF($AC1722="","要確認",IF($AC1722=0,"不支給","未処理")))))</f>
        <v/>
      </c>
      <c r="AE1722" s="12" t="n"/>
      <c r="AF1722" s="11" t="n"/>
      <c r="AG1722" s="11" t="n"/>
      <c r="AH1722" s="11" t="n"/>
      <c r="AI1722" s="14">
        <f>IF(AND($AD1722="保留中",$AF1722&lt;&gt;""),TODAY()-$AF1722,"")</f>
        <v/>
      </c>
      <c r="AJ1722" s="12" t="n"/>
      <c r="AK1722" s="14">
        <f>IF($B1722="","",IF($AO1722="","対象年月が未入力／","")&amp;IF($B1722="","",IF($AN1722="","職員マスタに未登録の職員番号／",IF($Y1722="","標準報酬月額が未登録／","")&amp;IF(AND($AO1722&lt;&gt;"",OR(AND(INDEX(職員マスタ!$G$6:$G$405,$AN1722)&lt;&gt;"",INDEX(職員マスタ!$G$6:$G$405,$AN1722)&gt;EOMONTH($AO1722,0)),AND(INDEX(職員マスタ!$H$6:$H$405,$AN1722)&lt;&gt;"",INDEX(職員マスタ!$H$6:$H$405,$AN1722)&lt;$AO1722))),"対象月が時短期間外／","")&amp;IF(AND(INDEX(職員マスタ!$F$6:$F$405,$AN1722)&lt;&gt;"",$AO1722&lt;&gt;"",INDEX(職員マスタ!$F$6:$F$405,$AN1722)&lt;$AO1722),"対象月に子が2歳到達済／","")&amp;IF(AND($H1722&lt;&gt;"",INDEX(職員マスタ!$B$6:$B$405,$AN1722)&lt;&gt;"",SUBSTITUTE(SUBSTITUTE($H1722," ","")," ","")&lt;&gt;SUBSTITUTE(SUBSTITUTE(INDEX(職員マスタ!$B$6:$B$405,$AN1722)," ","")," ","")),"氏名がマスタと相違／","")&amp;IF(AND($Q1722&lt;&gt;"",INDEX(職員マスタ!$E$6:$E$405,$AN1722)&lt;&gt;"",$Q1722&lt;&gt;INDEX(職員マスタ!$E$6:$E$405,$AN1722)),"子の生年月日がマスタと相違／","")&amp;IF(AND($L1722&lt;&gt;"",INDEX(職員マスタ!$G$6:$G$405,$AN1722)&lt;&gt;"",$L1722&lt;&gt;INDEX(職員マスタ!$G$6:$G$405,$AN1722)),"時短開始日がマスタと相違／","")&amp;IF(AND($M1722&lt;&gt;"",INDEX(職員マスタ!$H$6:$H$405,$AN1722)&lt;&gt;"",$M1722&lt;&gt;INDEX(職員マスタ!$H$6:$H$405,$AN1722)),"時短終了日がマスタと相違／","")))&amp;IF(AND($B1722&lt;&gt;"",$E1722=""),"報酬額が未入力／","")&amp;IF(N($U1722)&gt;0,"申請書に入力エラーが残っています／","")&amp;IF(AND($B1722&lt;&gt;"",$AO1722&lt;&gt;""),IF(COUNTIFS($B$6:$B$3005,$B1722,$C$6:$C$3005,$C1722,$D$6:$D$3005,$D1722)&gt;1,"同じ月の請求が重複しています／",""),"")&amp;IF(AND(N($E1722)&gt;0,$Z1722&lt;&gt;"",$Z1722&lt;&gt;"×",$AC1722=0,$AB1722=""),"計算額が下限以下のため不支給／",""))</f>
        <v/>
      </c>
      <c r="AL1722" s="12" t="n"/>
      <c r="AM1722" s="14">
        <f>IF($AD1722="保留中",COUNTIF($AD$6:$AD1722,"保留中"),"")</f>
        <v/>
      </c>
      <c r="AN1722" s="14">
        <f>IF($AO1722="","",IF(SUMPRODUCT(MAX((職員マスタ!$A$6:$A$405=$B1722)*(((職員マスタ!$G$6:$G$405="")+(職員マスタ!$G$6:$G$405&lt;=EOMONTH($AO1722,0)))&gt;0)*(((職員マスタ!$H$6:$H$405="")+(職員マスタ!$H$6:$H$405&gt;=$AO1722))&gt;0)*(ROW(職員マスタ!$A$6:$A$405)-5)))&gt;0,SUMPRODUCT(MAX((職員マスタ!$A$6:$A$405=$B1722)*(((職員マスタ!$G$6:$G$405="")+(職員マスタ!$G$6:$G$405&lt;=EOMONTH($AO1722,0)))&gt;0)*(((職員マスタ!$H$6:$H$405="")+(職員マスタ!$H$6:$H$405&gt;=$AO1722))&gt;0)*(ROW(職員マスタ!$A$6:$A$405)-5))),IFERROR(MATCH($B1722,職員マスタ!$A$6:$A$405,0),"")))</f>
        <v/>
      </c>
      <c r="AO1722" s="16">
        <f>IF(OR($B1722="",$C1722="",$D1722=""),"",DATE($C1722+2018,$D1722,1))</f>
        <v/>
      </c>
    </row>
    <row r="1723">
      <c r="A1723" s="11" t="n"/>
      <c r="B1723" s="12" t="n"/>
      <c r="C1723" s="12" t="n"/>
      <c r="D1723" s="12" t="n"/>
      <c r="E1723" s="13" t="n"/>
      <c r="F1723" s="12" t="n"/>
      <c r="G1723" s="13" t="n"/>
      <c r="H1723" s="12" t="n"/>
      <c r="I1723" s="12" t="n"/>
      <c r="J1723" s="12" t="n"/>
      <c r="K1723" s="12" t="n"/>
      <c r="L1723" s="11" t="n"/>
      <c r="M1723" s="11" t="n"/>
      <c r="N1723" s="11" t="n"/>
      <c r="O1723" s="11" t="n"/>
      <c r="P1723" s="12" t="n"/>
      <c r="Q1723" s="11" t="n"/>
      <c r="R1723" s="12" t="n"/>
      <c r="S1723" s="11" t="n"/>
      <c r="T1723" s="12" t="n"/>
      <c r="U1723" s="12" t="n"/>
      <c r="V1723" s="14">
        <f>IF($AN1723="",IF($B1723="","",$H1723),IF(INDEX(職員マスタ!$B$6:$B$405,$AN1723)="",$H1723,INDEX(職員マスタ!$B$6:$B$405,$AN1723)))</f>
        <v/>
      </c>
      <c r="W1723" s="14">
        <f>IF($AN1723="",IF($B1723="","",$R1723),IF(INDEX(職員マスタ!$C$6:$C$405,$AN1723)="",$R1723,INDEX(職員マスタ!$C$6:$C$405,$AN1723)))</f>
        <v/>
      </c>
      <c r="X1723" s="14">
        <f>IF($AO1723="","","R"&amp;$C1723&amp;"."&amp;$D1723)</f>
        <v/>
      </c>
      <c r="Y1723" s="15">
        <f>IF($AN1723="","",IF(INDEX(職員マスタ!$K$6:$K$405,$AN1723)="","",INDEX(職員マスタ!$K$6:$K$405,$AN1723)))</f>
        <v/>
      </c>
      <c r="Z1723" s="14">
        <f>IF(OR($E1723="",$Y1723=""),"",IF($E1723&gt;=$Y1723,"×",IF($E1723&gt;=$Y1723*設定!$C$5,"△","○")))</f>
        <v/>
      </c>
      <c r="AA1723" s="15">
        <f>IF($Z1723="","",IF($Z1723="×",0,IF($Z1723="○",ROUNDDOWN($E1723*設定!$C$4,0),ROUNDDOWN($E1723*ROUND((9*$Y1723-9*$E1723)/(10*$E1723),4),0))))</f>
        <v/>
      </c>
      <c r="AB1723" s="13" t="n"/>
      <c r="AC1723" s="15">
        <f>IF($B1723="","",IF($AB1723&lt;&gt;"",$AB1723,IF($AA1723="","",IF($AA1723&lt;=設定!$C$3,0,$AA1723))))</f>
        <v/>
      </c>
      <c r="AD1723" s="14">
        <f>IF($B1723="","",IF(AND($AE1723&lt;&gt;"",$AG1723="",$AJ1723=""),"保留中",IF($AJ1723&lt;&gt;"",IF(N($AC1723)&gt;0,"支給済","不支給"),IF($AC1723="","要確認",IF($AC1723=0,"不支給","未処理")))))</f>
        <v/>
      </c>
      <c r="AE1723" s="12" t="n"/>
      <c r="AF1723" s="11" t="n"/>
      <c r="AG1723" s="11" t="n"/>
      <c r="AH1723" s="11" t="n"/>
      <c r="AI1723" s="14">
        <f>IF(AND($AD1723="保留中",$AF1723&lt;&gt;""),TODAY()-$AF1723,"")</f>
        <v/>
      </c>
      <c r="AJ1723" s="12" t="n"/>
      <c r="AK1723" s="14">
        <f>IF($B1723="","",IF($AO1723="","対象年月が未入力／","")&amp;IF($B1723="","",IF($AN1723="","職員マスタに未登録の職員番号／",IF($Y1723="","標準報酬月額が未登録／","")&amp;IF(AND($AO1723&lt;&gt;"",OR(AND(INDEX(職員マスタ!$G$6:$G$405,$AN1723)&lt;&gt;"",INDEX(職員マスタ!$G$6:$G$405,$AN1723)&gt;EOMONTH($AO1723,0)),AND(INDEX(職員マスタ!$H$6:$H$405,$AN1723)&lt;&gt;"",INDEX(職員マスタ!$H$6:$H$405,$AN1723)&lt;$AO1723))),"対象月が時短期間外／","")&amp;IF(AND(INDEX(職員マスタ!$F$6:$F$405,$AN1723)&lt;&gt;"",$AO1723&lt;&gt;"",INDEX(職員マスタ!$F$6:$F$405,$AN1723)&lt;$AO1723),"対象月に子が2歳到達済／","")&amp;IF(AND($H1723&lt;&gt;"",INDEX(職員マスタ!$B$6:$B$405,$AN1723)&lt;&gt;"",SUBSTITUTE(SUBSTITUTE($H1723," ","")," ","")&lt;&gt;SUBSTITUTE(SUBSTITUTE(INDEX(職員マスタ!$B$6:$B$405,$AN1723)," ","")," ","")),"氏名がマスタと相違／","")&amp;IF(AND($Q1723&lt;&gt;"",INDEX(職員マスタ!$E$6:$E$405,$AN1723)&lt;&gt;"",$Q1723&lt;&gt;INDEX(職員マスタ!$E$6:$E$405,$AN1723)),"子の生年月日がマスタと相違／","")&amp;IF(AND($L1723&lt;&gt;"",INDEX(職員マスタ!$G$6:$G$405,$AN1723)&lt;&gt;"",$L1723&lt;&gt;INDEX(職員マスタ!$G$6:$G$405,$AN1723)),"時短開始日がマスタと相違／","")&amp;IF(AND($M1723&lt;&gt;"",INDEX(職員マスタ!$H$6:$H$405,$AN1723)&lt;&gt;"",$M1723&lt;&gt;INDEX(職員マスタ!$H$6:$H$405,$AN1723)),"時短終了日がマスタと相違／","")))&amp;IF(AND($B1723&lt;&gt;"",$E1723=""),"報酬額が未入力／","")&amp;IF(N($U1723)&gt;0,"申請書に入力エラーが残っています／","")&amp;IF(AND($B1723&lt;&gt;"",$AO1723&lt;&gt;""),IF(COUNTIFS($B$6:$B$3005,$B1723,$C$6:$C$3005,$C1723,$D$6:$D$3005,$D1723)&gt;1,"同じ月の請求が重複しています／",""),"")&amp;IF(AND(N($E1723)&gt;0,$Z1723&lt;&gt;"",$Z1723&lt;&gt;"×",$AC1723=0,$AB1723=""),"計算額が下限以下のため不支給／",""))</f>
        <v/>
      </c>
      <c r="AL1723" s="12" t="n"/>
      <c r="AM1723" s="14">
        <f>IF($AD1723="保留中",COUNTIF($AD$6:$AD1723,"保留中"),"")</f>
        <v/>
      </c>
      <c r="AN1723" s="14">
        <f>IF($AO1723="","",IF(SUMPRODUCT(MAX((職員マスタ!$A$6:$A$405=$B1723)*(((職員マスタ!$G$6:$G$405="")+(職員マスタ!$G$6:$G$405&lt;=EOMONTH($AO1723,0)))&gt;0)*(((職員マスタ!$H$6:$H$405="")+(職員マスタ!$H$6:$H$405&gt;=$AO1723))&gt;0)*(ROW(職員マスタ!$A$6:$A$405)-5)))&gt;0,SUMPRODUCT(MAX((職員マスタ!$A$6:$A$405=$B1723)*(((職員マスタ!$G$6:$G$405="")+(職員マスタ!$G$6:$G$405&lt;=EOMONTH($AO1723,0)))&gt;0)*(((職員マスタ!$H$6:$H$405="")+(職員マスタ!$H$6:$H$405&gt;=$AO1723))&gt;0)*(ROW(職員マスタ!$A$6:$A$405)-5))),IFERROR(MATCH($B1723,職員マスタ!$A$6:$A$405,0),"")))</f>
        <v/>
      </c>
      <c r="AO1723" s="16">
        <f>IF(OR($B1723="",$C1723="",$D1723=""),"",DATE($C1723+2018,$D1723,1))</f>
        <v/>
      </c>
    </row>
    <row r="1724">
      <c r="A1724" s="11" t="n"/>
      <c r="B1724" s="12" t="n"/>
      <c r="C1724" s="12" t="n"/>
      <c r="D1724" s="12" t="n"/>
      <c r="E1724" s="13" t="n"/>
      <c r="F1724" s="12" t="n"/>
      <c r="G1724" s="13" t="n"/>
      <c r="H1724" s="12" t="n"/>
      <c r="I1724" s="12" t="n"/>
      <c r="J1724" s="12" t="n"/>
      <c r="K1724" s="12" t="n"/>
      <c r="L1724" s="11" t="n"/>
      <c r="M1724" s="11" t="n"/>
      <c r="N1724" s="11" t="n"/>
      <c r="O1724" s="11" t="n"/>
      <c r="P1724" s="12" t="n"/>
      <c r="Q1724" s="11" t="n"/>
      <c r="R1724" s="12" t="n"/>
      <c r="S1724" s="11" t="n"/>
      <c r="T1724" s="12" t="n"/>
      <c r="U1724" s="12" t="n"/>
      <c r="V1724" s="14">
        <f>IF($AN1724="",IF($B1724="","",$H1724),IF(INDEX(職員マスタ!$B$6:$B$405,$AN1724)="",$H1724,INDEX(職員マスタ!$B$6:$B$405,$AN1724)))</f>
        <v/>
      </c>
      <c r="W1724" s="14">
        <f>IF($AN1724="",IF($B1724="","",$R1724),IF(INDEX(職員マスタ!$C$6:$C$405,$AN1724)="",$R1724,INDEX(職員マスタ!$C$6:$C$405,$AN1724)))</f>
        <v/>
      </c>
      <c r="X1724" s="14">
        <f>IF($AO1724="","","R"&amp;$C1724&amp;"."&amp;$D1724)</f>
        <v/>
      </c>
      <c r="Y1724" s="15">
        <f>IF($AN1724="","",IF(INDEX(職員マスタ!$K$6:$K$405,$AN1724)="","",INDEX(職員マスタ!$K$6:$K$405,$AN1724)))</f>
        <v/>
      </c>
      <c r="Z1724" s="14">
        <f>IF(OR($E1724="",$Y1724=""),"",IF($E1724&gt;=$Y1724,"×",IF($E1724&gt;=$Y1724*設定!$C$5,"△","○")))</f>
        <v/>
      </c>
      <c r="AA1724" s="15">
        <f>IF($Z1724="","",IF($Z1724="×",0,IF($Z1724="○",ROUNDDOWN($E1724*設定!$C$4,0),ROUNDDOWN($E1724*ROUND((9*$Y1724-9*$E1724)/(10*$E1724),4),0))))</f>
        <v/>
      </c>
      <c r="AB1724" s="13" t="n"/>
      <c r="AC1724" s="15">
        <f>IF($B1724="","",IF($AB1724&lt;&gt;"",$AB1724,IF($AA1724="","",IF($AA1724&lt;=設定!$C$3,0,$AA1724))))</f>
        <v/>
      </c>
      <c r="AD1724" s="14">
        <f>IF($B1724="","",IF(AND($AE1724&lt;&gt;"",$AG1724="",$AJ1724=""),"保留中",IF($AJ1724&lt;&gt;"",IF(N($AC1724)&gt;0,"支給済","不支給"),IF($AC1724="","要確認",IF($AC1724=0,"不支給","未処理")))))</f>
        <v/>
      </c>
      <c r="AE1724" s="12" t="n"/>
      <c r="AF1724" s="11" t="n"/>
      <c r="AG1724" s="11" t="n"/>
      <c r="AH1724" s="11" t="n"/>
      <c r="AI1724" s="14">
        <f>IF(AND($AD1724="保留中",$AF1724&lt;&gt;""),TODAY()-$AF1724,"")</f>
        <v/>
      </c>
      <c r="AJ1724" s="12" t="n"/>
      <c r="AK1724" s="14">
        <f>IF($B1724="","",IF($AO1724="","対象年月が未入力／","")&amp;IF($B1724="","",IF($AN1724="","職員マスタに未登録の職員番号／",IF($Y1724="","標準報酬月額が未登録／","")&amp;IF(AND($AO1724&lt;&gt;"",OR(AND(INDEX(職員マスタ!$G$6:$G$405,$AN1724)&lt;&gt;"",INDEX(職員マスタ!$G$6:$G$405,$AN1724)&gt;EOMONTH($AO1724,0)),AND(INDEX(職員マスタ!$H$6:$H$405,$AN1724)&lt;&gt;"",INDEX(職員マスタ!$H$6:$H$405,$AN1724)&lt;$AO1724))),"対象月が時短期間外／","")&amp;IF(AND(INDEX(職員マスタ!$F$6:$F$405,$AN1724)&lt;&gt;"",$AO1724&lt;&gt;"",INDEX(職員マスタ!$F$6:$F$405,$AN1724)&lt;$AO1724),"対象月に子が2歳到達済／","")&amp;IF(AND($H1724&lt;&gt;"",INDEX(職員マスタ!$B$6:$B$405,$AN1724)&lt;&gt;"",SUBSTITUTE(SUBSTITUTE($H1724," ","")," ","")&lt;&gt;SUBSTITUTE(SUBSTITUTE(INDEX(職員マスタ!$B$6:$B$405,$AN1724)," ","")," ","")),"氏名がマスタと相違／","")&amp;IF(AND($Q1724&lt;&gt;"",INDEX(職員マスタ!$E$6:$E$405,$AN1724)&lt;&gt;"",$Q1724&lt;&gt;INDEX(職員マスタ!$E$6:$E$405,$AN1724)),"子の生年月日がマスタと相違／","")&amp;IF(AND($L1724&lt;&gt;"",INDEX(職員マスタ!$G$6:$G$405,$AN1724)&lt;&gt;"",$L1724&lt;&gt;INDEX(職員マスタ!$G$6:$G$405,$AN1724)),"時短開始日がマスタと相違／","")&amp;IF(AND($M1724&lt;&gt;"",INDEX(職員マスタ!$H$6:$H$405,$AN1724)&lt;&gt;"",$M1724&lt;&gt;INDEX(職員マスタ!$H$6:$H$405,$AN1724)),"時短終了日がマスタと相違／","")))&amp;IF(AND($B1724&lt;&gt;"",$E1724=""),"報酬額が未入力／","")&amp;IF(N($U1724)&gt;0,"申請書に入力エラーが残っています／","")&amp;IF(AND($B1724&lt;&gt;"",$AO1724&lt;&gt;""),IF(COUNTIFS($B$6:$B$3005,$B1724,$C$6:$C$3005,$C1724,$D$6:$D$3005,$D1724)&gt;1,"同じ月の請求が重複しています／",""),"")&amp;IF(AND(N($E1724)&gt;0,$Z1724&lt;&gt;"",$Z1724&lt;&gt;"×",$AC1724=0,$AB1724=""),"計算額が下限以下のため不支給／",""))</f>
        <v/>
      </c>
      <c r="AL1724" s="12" t="n"/>
      <c r="AM1724" s="14">
        <f>IF($AD1724="保留中",COUNTIF($AD$6:$AD1724,"保留中"),"")</f>
        <v/>
      </c>
      <c r="AN1724" s="14">
        <f>IF($AO1724="","",IF(SUMPRODUCT(MAX((職員マスタ!$A$6:$A$405=$B1724)*(((職員マスタ!$G$6:$G$405="")+(職員マスタ!$G$6:$G$405&lt;=EOMONTH($AO1724,0)))&gt;0)*(((職員マスタ!$H$6:$H$405="")+(職員マスタ!$H$6:$H$405&gt;=$AO1724))&gt;0)*(ROW(職員マスタ!$A$6:$A$405)-5)))&gt;0,SUMPRODUCT(MAX((職員マスタ!$A$6:$A$405=$B1724)*(((職員マスタ!$G$6:$G$405="")+(職員マスタ!$G$6:$G$405&lt;=EOMONTH($AO1724,0)))&gt;0)*(((職員マスタ!$H$6:$H$405="")+(職員マスタ!$H$6:$H$405&gt;=$AO1724))&gt;0)*(ROW(職員マスタ!$A$6:$A$405)-5))),IFERROR(MATCH($B1724,職員マスタ!$A$6:$A$405,0),"")))</f>
        <v/>
      </c>
      <c r="AO1724" s="16">
        <f>IF(OR($B1724="",$C1724="",$D1724=""),"",DATE($C1724+2018,$D1724,1))</f>
        <v/>
      </c>
    </row>
    <row r="1725">
      <c r="A1725" s="11" t="n"/>
      <c r="B1725" s="12" t="n"/>
      <c r="C1725" s="12" t="n"/>
      <c r="D1725" s="12" t="n"/>
      <c r="E1725" s="13" t="n"/>
      <c r="F1725" s="12" t="n"/>
      <c r="G1725" s="13" t="n"/>
      <c r="H1725" s="12" t="n"/>
      <c r="I1725" s="12" t="n"/>
      <c r="J1725" s="12" t="n"/>
      <c r="K1725" s="12" t="n"/>
      <c r="L1725" s="11" t="n"/>
      <c r="M1725" s="11" t="n"/>
      <c r="N1725" s="11" t="n"/>
      <c r="O1725" s="11" t="n"/>
      <c r="P1725" s="12" t="n"/>
      <c r="Q1725" s="11" t="n"/>
      <c r="R1725" s="12" t="n"/>
      <c r="S1725" s="11" t="n"/>
      <c r="T1725" s="12" t="n"/>
      <c r="U1725" s="12" t="n"/>
      <c r="V1725" s="14">
        <f>IF($AN1725="",IF($B1725="","",$H1725),IF(INDEX(職員マスタ!$B$6:$B$405,$AN1725)="",$H1725,INDEX(職員マスタ!$B$6:$B$405,$AN1725)))</f>
        <v/>
      </c>
      <c r="W1725" s="14">
        <f>IF($AN1725="",IF($B1725="","",$R1725),IF(INDEX(職員マスタ!$C$6:$C$405,$AN1725)="",$R1725,INDEX(職員マスタ!$C$6:$C$405,$AN1725)))</f>
        <v/>
      </c>
      <c r="X1725" s="14">
        <f>IF($AO1725="","","R"&amp;$C1725&amp;"."&amp;$D1725)</f>
        <v/>
      </c>
      <c r="Y1725" s="15">
        <f>IF($AN1725="","",IF(INDEX(職員マスタ!$K$6:$K$405,$AN1725)="","",INDEX(職員マスタ!$K$6:$K$405,$AN1725)))</f>
        <v/>
      </c>
      <c r="Z1725" s="14">
        <f>IF(OR($E1725="",$Y1725=""),"",IF($E1725&gt;=$Y1725,"×",IF($E1725&gt;=$Y1725*設定!$C$5,"△","○")))</f>
        <v/>
      </c>
      <c r="AA1725" s="15">
        <f>IF($Z1725="","",IF($Z1725="×",0,IF($Z1725="○",ROUNDDOWN($E1725*設定!$C$4,0),ROUNDDOWN($E1725*ROUND((9*$Y1725-9*$E1725)/(10*$E1725),4),0))))</f>
        <v/>
      </c>
      <c r="AB1725" s="13" t="n"/>
      <c r="AC1725" s="15">
        <f>IF($B1725="","",IF($AB1725&lt;&gt;"",$AB1725,IF($AA1725="","",IF($AA1725&lt;=設定!$C$3,0,$AA1725))))</f>
        <v/>
      </c>
      <c r="AD1725" s="14">
        <f>IF($B1725="","",IF(AND($AE1725&lt;&gt;"",$AG1725="",$AJ1725=""),"保留中",IF($AJ1725&lt;&gt;"",IF(N($AC1725)&gt;0,"支給済","不支給"),IF($AC1725="","要確認",IF($AC1725=0,"不支給","未処理")))))</f>
        <v/>
      </c>
      <c r="AE1725" s="12" t="n"/>
      <c r="AF1725" s="11" t="n"/>
      <c r="AG1725" s="11" t="n"/>
      <c r="AH1725" s="11" t="n"/>
      <c r="AI1725" s="14">
        <f>IF(AND($AD1725="保留中",$AF1725&lt;&gt;""),TODAY()-$AF1725,"")</f>
        <v/>
      </c>
      <c r="AJ1725" s="12" t="n"/>
      <c r="AK1725" s="14">
        <f>IF($B1725="","",IF($AO1725="","対象年月が未入力／","")&amp;IF($B1725="","",IF($AN1725="","職員マスタに未登録の職員番号／",IF($Y1725="","標準報酬月額が未登録／","")&amp;IF(AND($AO1725&lt;&gt;"",OR(AND(INDEX(職員マスタ!$G$6:$G$405,$AN1725)&lt;&gt;"",INDEX(職員マスタ!$G$6:$G$405,$AN1725)&gt;EOMONTH($AO1725,0)),AND(INDEX(職員マスタ!$H$6:$H$405,$AN1725)&lt;&gt;"",INDEX(職員マスタ!$H$6:$H$405,$AN1725)&lt;$AO1725))),"対象月が時短期間外／","")&amp;IF(AND(INDEX(職員マスタ!$F$6:$F$405,$AN1725)&lt;&gt;"",$AO1725&lt;&gt;"",INDEX(職員マスタ!$F$6:$F$405,$AN1725)&lt;$AO1725),"対象月に子が2歳到達済／","")&amp;IF(AND($H1725&lt;&gt;"",INDEX(職員マスタ!$B$6:$B$405,$AN1725)&lt;&gt;"",SUBSTITUTE(SUBSTITUTE($H1725," ","")," ","")&lt;&gt;SUBSTITUTE(SUBSTITUTE(INDEX(職員マスタ!$B$6:$B$405,$AN1725)," ","")," ","")),"氏名がマスタと相違／","")&amp;IF(AND($Q1725&lt;&gt;"",INDEX(職員マスタ!$E$6:$E$405,$AN1725)&lt;&gt;"",$Q1725&lt;&gt;INDEX(職員マスタ!$E$6:$E$405,$AN1725)),"子の生年月日がマスタと相違／","")&amp;IF(AND($L1725&lt;&gt;"",INDEX(職員マスタ!$G$6:$G$405,$AN1725)&lt;&gt;"",$L1725&lt;&gt;INDEX(職員マスタ!$G$6:$G$405,$AN1725)),"時短開始日がマスタと相違／","")&amp;IF(AND($M1725&lt;&gt;"",INDEX(職員マスタ!$H$6:$H$405,$AN1725)&lt;&gt;"",$M1725&lt;&gt;INDEX(職員マスタ!$H$6:$H$405,$AN1725)),"時短終了日がマスタと相違／","")))&amp;IF(AND($B1725&lt;&gt;"",$E1725=""),"報酬額が未入力／","")&amp;IF(N($U1725)&gt;0,"申請書に入力エラーが残っています／","")&amp;IF(AND($B1725&lt;&gt;"",$AO1725&lt;&gt;""),IF(COUNTIFS($B$6:$B$3005,$B1725,$C$6:$C$3005,$C1725,$D$6:$D$3005,$D1725)&gt;1,"同じ月の請求が重複しています／",""),"")&amp;IF(AND(N($E1725)&gt;0,$Z1725&lt;&gt;"",$Z1725&lt;&gt;"×",$AC1725=0,$AB1725=""),"計算額が下限以下のため不支給／",""))</f>
        <v/>
      </c>
      <c r="AL1725" s="12" t="n"/>
      <c r="AM1725" s="14">
        <f>IF($AD1725="保留中",COUNTIF($AD$6:$AD1725,"保留中"),"")</f>
        <v/>
      </c>
      <c r="AN1725" s="14">
        <f>IF($AO1725="","",IF(SUMPRODUCT(MAX((職員マスタ!$A$6:$A$405=$B1725)*(((職員マスタ!$G$6:$G$405="")+(職員マスタ!$G$6:$G$405&lt;=EOMONTH($AO1725,0)))&gt;0)*(((職員マスタ!$H$6:$H$405="")+(職員マスタ!$H$6:$H$405&gt;=$AO1725))&gt;0)*(ROW(職員マスタ!$A$6:$A$405)-5)))&gt;0,SUMPRODUCT(MAX((職員マスタ!$A$6:$A$405=$B1725)*(((職員マスタ!$G$6:$G$405="")+(職員マスタ!$G$6:$G$405&lt;=EOMONTH($AO1725,0)))&gt;0)*(((職員マスタ!$H$6:$H$405="")+(職員マスタ!$H$6:$H$405&gt;=$AO1725))&gt;0)*(ROW(職員マスタ!$A$6:$A$405)-5))),IFERROR(MATCH($B1725,職員マスタ!$A$6:$A$405,0),"")))</f>
        <v/>
      </c>
      <c r="AO1725" s="16">
        <f>IF(OR($B1725="",$C1725="",$D1725=""),"",DATE($C1725+2018,$D1725,1))</f>
        <v/>
      </c>
    </row>
    <row r="1726">
      <c r="A1726" s="11" t="n"/>
      <c r="B1726" s="12" t="n"/>
      <c r="C1726" s="12" t="n"/>
      <c r="D1726" s="12" t="n"/>
      <c r="E1726" s="13" t="n"/>
      <c r="F1726" s="12" t="n"/>
      <c r="G1726" s="13" t="n"/>
      <c r="H1726" s="12" t="n"/>
      <c r="I1726" s="12" t="n"/>
      <c r="J1726" s="12" t="n"/>
      <c r="K1726" s="12" t="n"/>
      <c r="L1726" s="11" t="n"/>
      <c r="M1726" s="11" t="n"/>
      <c r="N1726" s="11" t="n"/>
      <c r="O1726" s="11" t="n"/>
      <c r="P1726" s="12" t="n"/>
      <c r="Q1726" s="11" t="n"/>
      <c r="R1726" s="12" t="n"/>
      <c r="S1726" s="11" t="n"/>
      <c r="T1726" s="12" t="n"/>
      <c r="U1726" s="12" t="n"/>
      <c r="V1726" s="14">
        <f>IF($AN1726="",IF($B1726="","",$H1726),IF(INDEX(職員マスタ!$B$6:$B$405,$AN1726)="",$H1726,INDEX(職員マスタ!$B$6:$B$405,$AN1726)))</f>
        <v/>
      </c>
      <c r="W1726" s="14">
        <f>IF($AN1726="",IF($B1726="","",$R1726),IF(INDEX(職員マスタ!$C$6:$C$405,$AN1726)="",$R1726,INDEX(職員マスタ!$C$6:$C$405,$AN1726)))</f>
        <v/>
      </c>
      <c r="X1726" s="14">
        <f>IF($AO1726="","","R"&amp;$C1726&amp;"."&amp;$D1726)</f>
        <v/>
      </c>
      <c r="Y1726" s="15">
        <f>IF($AN1726="","",IF(INDEX(職員マスタ!$K$6:$K$405,$AN1726)="","",INDEX(職員マスタ!$K$6:$K$405,$AN1726)))</f>
        <v/>
      </c>
      <c r="Z1726" s="14">
        <f>IF(OR($E1726="",$Y1726=""),"",IF($E1726&gt;=$Y1726,"×",IF($E1726&gt;=$Y1726*設定!$C$5,"△","○")))</f>
        <v/>
      </c>
      <c r="AA1726" s="15">
        <f>IF($Z1726="","",IF($Z1726="×",0,IF($Z1726="○",ROUNDDOWN($E1726*設定!$C$4,0),ROUNDDOWN($E1726*ROUND((9*$Y1726-9*$E1726)/(10*$E1726),4),0))))</f>
        <v/>
      </c>
      <c r="AB1726" s="13" t="n"/>
      <c r="AC1726" s="15">
        <f>IF($B1726="","",IF($AB1726&lt;&gt;"",$AB1726,IF($AA1726="","",IF($AA1726&lt;=設定!$C$3,0,$AA1726))))</f>
        <v/>
      </c>
      <c r="AD1726" s="14">
        <f>IF($B1726="","",IF(AND($AE1726&lt;&gt;"",$AG1726="",$AJ1726=""),"保留中",IF($AJ1726&lt;&gt;"",IF(N($AC1726)&gt;0,"支給済","不支給"),IF($AC1726="","要確認",IF($AC1726=0,"不支給","未処理")))))</f>
        <v/>
      </c>
      <c r="AE1726" s="12" t="n"/>
      <c r="AF1726" s="11" t="n"/>
      <c r="AG1726" s="11" t="n"/>
      <c r="AH1726" s="11" t="n"/>
      <c r="AI1726" s="14">
        <f>IF(AND($AD1726="保留中",$AF1726&lt;&gt;""),TODAY()-$AF1726,"")</f>
        <v/>
      </c>
      <c r="AJ1726" s="12" t="n"/>
      <c r="AK1726" s="14">
        <f>IF($B1726="","",IF($AO1726="","対象年月が未入力／","")&amp;IF($B1726="","",IF($AN1726="","職員マスタに未登録の職員番号／",IF($Y1726="","標準報酬月額が未登録／","")&amp;IF(AND($AO1726&lt;&gt;"",OR(AND(INDEX(職員マスタ!$G$6:$G$405,$AN1726)&lt;&gt;"",INDEX(職員マスタ!$G$6:$G$405,$AN1726)&gt;EOMONTH($AO1726,0)),AND(INDEX(職員マスタ!$H$6:$H$405,$AN1726)&lt;&gt;"",INDEX(職員マスタ!$H$6:$H$405,$AN1726)&lt;$AO1726))),"対象月が時短期間外／","")&amp;IF(AND(INDEX(職員マスタ!$F$6:$F$405,$AN1726)&lt;&gt;"",$AO1726&lt;&gt;"",INDEX(職員マスタ!$F$6:$F$405,$AN1726)&lt;$AO1726),"対象月に子が2歳到達済／","")&amp;IF(AND($H1726&lt;&gt;"",INDEX(職員マスタ!$B$6:$B$405,$AN1726)&lt;&gt;"",SUBSTITUTE(SUBSTITUTE($H1726," ","")," ","")&lt;&gt;SUBSTITUTE(SUBSTITUTE(INDEX(職員マスタ!$B$6:$B$405,$AN1726)," ","")," ","")),"氏名がマスタと相違／","")&amp;IF(AND($Q1726&lt;&gt;"",INDEX(職員マスタ!$E$6:$E$405,$AN1726)&lt;&gt;"",$Q1726&lt;&gt;INDEX(職員マスタ!$E$6:$E$405,$AN1726)),"子の生年月日がマスタと相違／","")&amp;IF(AND($L1726&lt;&gt;"",INDEX(職員マスタ!$G$6:$G$405,$AN1726)&lt;&gt;"",$L1726&lt;&gt;INDEX(職員マスタ!$G$6:$G$405,$AN1726)),"時短開始日がマスタと相違／","")&amp;IF(AND($M1726&lt;&gt;"",INDEX(職員マスタ!$H$6:$H$405,$AN1726)&lt;&gt;"",$M1726&lt;&gt;INDEX(職員マスタ!$H$6:$H$405,$AN1726)),"時短終了日がマスタと相違／","")))&amp;IF(AND($B1726&lt;&gt;"",$E1726=""),"報酬額が未入力／","")&amp;IF(N($U1726)&gt;0,"申請書に入力エラーが残っています／","")&amp;IF(AND($B1726&lt;&gt;"",$AO1726&lt;&gt;""),IF(COUNTIFS($B$6:$B$3005,$B1726,$C$6:$C$3005,$C1726,$D$6:$D$3005,$D1726)&gt;1,"同じ月の請求が重複しています／",""),"")&amp;IF(AND(N($E1726)&gt;0,$Z1726&lt;&gt;"",$Z1726&lt;&gt;"×",$AC1726=0,$AB1726=""),"計算額が下限以下のため不支給／",""))</f>
        <v/>
      </c>
      <c r="AL1726" s="12" t="n"/>
      <c r="AM1726" s="14">
        <f>IF($AD1726="保留中",COUNTIF($AD$6:$AD1726,"保留中"),"")</f>
        <v/>
      </c>
      <c r="AN1726" s="14">
        <f>IF($AO1726="","",IF(SUMPRODUCT(MAX((職員マスタ!$A$6:$A$405=$B1726)*(((職員マスタ!$G$6:$G$405="")+(職員マスタ!$G$6:$G$405&lt;=EOMONTH($AO1726,0)))&gt;0)*(((職員マスタ!$H$6:$H$405="")+(職員マスタ!$H$6:$H$405&gt;=$AO1726))&gt;0)*(ROW(職員マスタ!$A$6:$A$405)-5)))&gt;0,SUMPRODUCT(MAX((職員マスタ!$A$6:$A$405=$B1726)*(((職員マスタ!$G$6:$G$405="")+(職員マスタ!$G$6:$G$405&lt;=EOMONTH($AO1726,0)))&gt;0)*(((職員マスタ!$H$6:$H$405="")+(職員マスタ!$H$6:$H$405&gt;=$AO1726))&gt;0)*(ROW(職員マスタ!$A$6:$A$405)-5))),IFERROR(MATCH($B1726,職員マスタ!$A$6:$A$405,0),"")))</f>
        <v/>
      </c>
      <c r="AO1726" s="16">
        <f>IF(OR($B1726="",$C1726="",$D1726=""),"",DATE($C1726+2018,$D1726,1))</f>
        <v/>
      </c>
    </row>
    <row r="1727">
      <c r="A1727" s="11" t="n"/>
      <c r="B1727" s="12" t="n"/>
      <c r="C1727" s="12" t="n"/>
      <c r="D1727" s="12" t="n"/>
      <c r="E1727" s="13" t="n"/>
      <c r="F1727" s="12" t="n"/>
      <c r="G1727" s="13" t="n"/>
      <c r="H1727" s="12" t="n"/>
      <c r="I1727" s="12" t="n"/>
      <c r="J1727" s="12" t="n"/>
      <c r="K1727" s="12" t="n"/>
      <c r="L1727" s="11" t="n"/>
      <c r="M1727" s="11" t="n"/>
      <c r="N1727" s="11" t="n"/>
      <c r="O1727" s="11" t="n"/>
      <c r="P1727" s="12" t="n"/>
      <c r="Q1727" s="11" t="n"/>
      <c r="R1727" s="12" t="n"/>
      <c r="S1727" s="11" t="n"/>
      <c r="T1727" s="12" t="n"/>
      <c r="U1727" s="12" t="n"/>
      <c r="V1727" s="14">
        <f>IF($AN1727="",IF($B1727="","",$H1727),IF(INDEX(職員マスタ!$B$6:$B$405,$AN1727)="",$H1727,INDEX(職員マスタ!$B$6:$B$405,$AN1727)))</f>
        <v/>
      </c>
      <c r="W1727" s="14">
        <f>IF($AN1727="",IF($B1727="","",$R1727),IF(INDEX(職員マスタ!$C$6:$C$405,$AN1727)="",$R1727,INDEX(職員マスタ!$C$6:$C$405,$AN1727)))</f>
        <v/>
      </c>
      <c r="X1727" s="14">
        <f>IF($AO1727="","","R"&amp;$C1727&amp;"."&amp;$D1727)</f>
        <v/>
      </c>
      <c r="Y1727" s="15">
        <f>IF($AN1727="","",IF(INDEX(職員マスタ!$K$6:$K$405,$AN1727)="","",INDEX(職員マスタ!$K$6:$K$405,$AN1727)))</f>
        <v/>
      </c>
      <c r="Z1727" s="14">
        <f>IF(OR($E1727="",$Y1727=""),"",IF($E1727&gt;=$Y1727,"×",IF($E1727&gt;=$Y1727*設定!$C$5,"△","○")))</f>
        <v/>
      </c>
      <c r="AA1727" s="15">
        <f>IF($Z1727="","",IF($Z1727="×",0,IF($Z1727="○",ROUNDDOWN($E1727*設定!$C$4,0),ROUNDDOWN($E1727*ROUND((9*$Y1727-9*$E1727)/(10*$E1727),4),0))))</f>
        <v/>
      </c>
      <c r="AB1727" s="13" t="n"/>
      <c r="AC1727" s="15">
        <f>IF($B1727="","",IF($AB1727&lt;&gt;"",$AB1727,IF($AA1727="","",IF($AA1727&lt;=設定!$C$3,0,$AA1727))))</f>
        <v/>
      </c>
      <c r="AD1727" s="14">
        <f>IF($B1727="","",IF(AND($AE1727&lt;&gt;"",$AG1727="",$AJ1727=""),"保留中",IF($AJ1727&lt;&gt;"",IF(N($AC1727)&gt;0,"支給済","不支給"),IF($AC1727="","要確認",IF($AC1727=0,"不支給","未処理")))))</f>
        <v/>
      </c>
      <c r="AE1727" s="12" t="n"/>
      <c r="AF1727" s="11" t="n"/>
      <c r="AG1727" s="11" t="n"/>
      <c r="AH1727" s="11" t="n"/>
      <c r="AI1727" s="14">
        <f>IF(AND($AD1727="保留中",$AF1727&lt;&gt;""),TODAY()-$AF1727,"")</f>
        <v/>
      </c>
      <c r="AJ1727" s="12" t="n"/>
      <c r="AK1727" s="14">
        <f>IF($B1727="","",IF($AO1727="","対象年月が未入力／","")&amp;IF($B1727="","",IF($AN1727="","職員マスタに未登録の職員番号／",IF($Y1727="","標準報酬月額が未登録／","")&amp;IF(AND($AO1727&lt;&gt;"",OR(AND(INDEX(職員マスタ!$G$6:$G$405,$AN1727)&lt;&gt;"",INDEX(職員マスタ!$G$6:$G$405,$AN1727)&gt;EOMONTH($AO1727,0)),AND(INDEX(職員マスタ!$H$6:$H$405,$AN1727)&lt;&gt;"",INDEX(職員マスタ!$H$6:$H$405,$AN1727)&lt;$AO1727))),"対象月が時短期間外／","")&amp;IF(AND(INDEX(職員マスタ!$F$6:$F$405,$AN1727)&lt;&gt;"",$AO1727&lt;&gt;"",INDEX(職員マスタ!$F$6:$F$405,$AN1727)&lt;$AO1727),"対象月に子が2歳到達済／","")&amp;IF(AND($H1727&lt;&gt;"",INDEX(職員マスタ!$B$6:$B$405,$AN1727)&lt;&gt;"",SUBSTITUTE(SUBSTITUTE($H1727," ","")," ","")&lt;&gt;SUBSTITUTE(SUBSTITUTE(INDEX(職員マスタ!$B$6:$B$405,$AN1727)," ","")," ","")),"氏名がマスタと相違／","")&amp;IF(AND($Q1727&lt;&gt;"",INDEX(職員マスタ!$E$6:$E$405,$AN1727)&lt;&gt;"",$Q1727&lt;&gt;INDEX(職員マスタ!$E$6:$E$405,$AN1727)),"子の生年月日がマスタと相違／","")&amp;IF(AND($L1727&lt;&gt;"",INDEX(職員マスタ!$G$6:$G$405,$AN1727)&lt;&gt;"",$L1727&lt;&gt;INDEX(職員マスタ!$G$6:$G$405,$AN1727)),"時短開始日がマスタと相違／","")&amp;IF(AND($M1727&lt;&gt;"",INDEX(職員マスタ!$H$6:$H$405,$AN1727)&lt;&gt;"",$M1727&lt;&gt;INDEX(職員マスタ!$H$6:$H$405,$AN1727)),"時短終了日がマスタと相違／","")))&amp;IF(AND($B1727&lt;&gt;"",$E1727=""),"報酬額が未入力／","")&amp;IF(N($U1727)&gt;0,"申請書に入力エラーが残っています／","")&amp;IF(AND($B1727&lt;&gt;"",$AO1727&lt;&gt;""),IF(COUNTIFS($B$6:$B$3005,$B1727,$C$6:$C$3005,$C1727,$D$6:$D$3005,$D1727)&gt;1,"同じ月の請求が重複しています／",""),"")&amp;IF(AND(N($E1727)&gt;0,$Z1727&lt;&gt;"",$Z1727&lt;&gt;"×",$AC1727=0,$AB1727=""),"計算額が下限以下のため不支給／",""))</f>
        <v/>
      </c>
      <c r="AL1727" s="12" t="n"/>
      <c r="AM1727" s="14">
        <f>IF($AD1727="保留中",COUNTIF($AD$6:$AD1727,"保留中"),"")</f>
        <v/>
      </c>
      <c r="AN1727" s="14">
        <f>IF($AO1727="","",IF(SUMPRODUCT(MAX((職員マスタ!$A$6:$A$405=$B1727)*(((職員マスタ!$G$6:$G$405="")+(職員マスタ!$G$6:$G$405&lt;=EOMONTH($AO1727,0)))&gt;0)*(((職員マスタ!$H$6:$H$405="")+(職員マスタ!$H$6:$H$405&gt;=$AO1727))&gt;0)*(ROW(職員マスタ!$A$6:$A$405)-5)))&gt;0,SUMPRODUCT(MAX((職員マスタ!$A$6:$A$405=$B1727)*(((職員マスタ!$G$6:$G$405="")+(職員マスタ!$G$6:$G$405&lt;=EOMONTH($AO1727,0)))&gt;0)*(((職員マスタ!$H$6:$H$405="")+(職員マスタ!$H$6:$H$405&gt;=$AO1727))&gt;0)*(ROW(職員マスタ!$A$6:$A$405)-5))),IFERROR(MATCH($B1727,職員マスタ!$A$6:$A$405,0),"")))</f>
        <v/>
      </c>
      <c r="AO1727" s="16">
        <f>IF(OR($B1727="",$C1727="",$D1727=""),"",DATE($C1727+2018,$D1727,1))</f>
        <v/>
      </c>
    </row>
    <row r="1728">
      <c r="A1728" s="11" t="n"/>
      <c r="B1728" s="12" t="n"/>
      <c r="C1728" s="12" t="n"/>
      <c r="D1728" s="12" t="n"/>
      <c r="E1728" s="13" t="n"/>
      <c r="F1728" s="12" t="n"/>
      <c r="G1728" s="13" t="n"/>
      <c r="H1728" s="12" t="n"/>
      <c r="I1728" s="12" t="n"/>
      <c r="J1728" s="12" t="n"/>
      <c r="K1728" s="12" t="n"/>
      <c r="L1728" s="11" t="n"/>
      <c r="M1728" s="11" t="n"/>
      <c r="N1728" s="11" t="n"/>
      <c r="O1728" s="11" t="n"/>
      <c r="P1728" s="12" t="n"/>
      <c r="Q1728" s="11" t="n"/>
      <c r="R1728" s="12" t="n"/>
      <c r="S1728" s="11" t="n"/>
      <c r="T1728" s="12" t="n"/>
      <c r="U1728" s="12" t="n"/>
      <c r="V1728" s="14">
        <f>IF($AN1728="",IF($B1728="","",$H1728),IF(INDEX(職員マスタ!$B$6:$B$405,$AN1728)="",$H1728,INDEX(職員マスタ!$B$6:$B$405,$AN1728)))</f>
        <v/>
      </c>
      <c r="W1728" s="14">
        <f>IF($AN1728="",IF($B1728="","",$R1728),IF(INDEX(職員マスタ!$C$6:$C$405,$AN1728)="",$R1728,INDEX(職員マスタ!$C$6:$C$405,$AN1728)))</f>
        <v/>
      </c>
      <c r="X1728" s="14">
        <f>IF($AO1728="","","R"&amp;$C1728&amp;"."&amp;$D1728)</f>
        <v/>
      </c>
      <c r="Y1728" s="15">
        <f>IF($AN1728="","",IF(INDEX(職員マスタ!$K$6:$K$405,$AN1728)="","",INDEX(職員マスタ!$K$6:$K$405,$AN1728)))</f>
        <v/>
      </c>
      <c r="Z1728" s="14">
        <f>IF(OR($E1728="",$Y1728=""),"",IF($E1728&gt;=$Y1728,"×",IF($E1728&gt;=$Y1728*設定!$C$5,"△","○")))</f>
        <v/>
      </c>
      <c r="AA1728" s="15">
        <f>IF($Z1728="","",IF($Z1728="×",0,IF($Z1728="○",ROUNDDOWN($E1728*設定!$C$4,0),ROUNDDOWN($E1728*ROUND((9*$Y1728-9*$E1728)/(10*$E1728),4),0))))</f>
        <v/>
      </c>
      <c r="AB1728" s="13" t="n"/>
      <c r="AC1728" s="15">
        <f>IF($B1728="","",IF($AB1728&lt;&gt;"",$AB1728,IF($AA1728="","",IF($AA1728&lt;=設定!$C$3,0,$AA1728))))</f>
        <v/>
      </c>
      <c r="AD1728" s="14">
        <f>IF($B1728="","",IF(AND($AE1728&lt;&gt;"",$AG1728="",$AJ1728=""),"保留中",IF($AJ1728&lt;&gt;"",IF(N($AC1728)&gt;0,"支給済","不支給"),IF($AC1728="","要確認",IF($AC1728=0,"不支給","未処理")))))</f>
        <v/>
      </c>
      <c r="AE1728" s="12" t="n"/>
      <c r="AF1728" s="11" t="n"/>
      <c r="AG1728" s="11" t="n"/>
      <c r="AH1728" s="11" t="n"/>
      <c r="AI1728" s="14">
        <f>IF(AND($AD1728="保留中",$AF1728&lt;&gt;""),TODAY()-$AF1728,"")</f>
        <v/>
      </c>
      <c r="AJ1728" s="12" t="n"/>
      <c r="AK1728" s="14">
        <f>IF($B1728="","",IF($AO1728="","対象年月が未入力／","")&amp;IF($B1728="","",IF($AN1728="","職員マスタに未登録の職員番号／",IF($Y1728="","標準報酬月額が未登録／","")&amp;IF(AND($AO1728&lt;&gt;"",OR(AND(INDEX(職員マスタ!$G$6:$G$405,$AN1728)&lt;&gt;"",INDEX(職員マスタ!$G$6:$G$405,$AN1728)&gt;EOMONTH($AO1728,0)),AND(INDEX(職員マスタ!$H$6:$H$405,$AN1728)&lt;&gt;"",INDEX(職員マスタ!$H$6:$H$405,$AN1728)&lt;$AO1728))),"対象月が時短期間外／","")&amp;IF(AND(INDEX(職員マスタ!$F$6:$F$405,$AN1728)&lt;&gt;"",$AO1728&lt;&gt;"",INDEX(職員マスタ!$F$6:$F$405,$AN1728)&lt;$AO1728),"対象月に子が2歳到達済／","")&amp;IF(AND($H1728&lt;&gt;"",INDEX(職員マスタ!$B$6:$B$405,$AN1728)&lt;&gt;"",SUBSTITUTE(SUBSTITUTE($H1728," ","")," ","")&lt;&gt;SUBSTITUTE(SUBSTITUTE(INDEX(職員マスタ!$B$6:$B$405,$AN1728)," ","")," ","")),"氏名がマスタと相違／","")&amp;IF(AND($Q1728&lt;&gt;"",INDEX(職員マスタ!$E$6:$E$405,$AN1728)&lt;&gt;"",$Q1728&lt;&gt;INDEX(職員マスタ!$E$6:$E$405,$AN1728)),"子の生年月日がマスタと相違／","")&amp;IF(AND($L1728&lt;&gt;"",INDEX(職員マスタ!$G$6:$G$405,$AN1728)&lt;&gt;"",$L1728&lt;&gt;INDEX(職員マスタ!$G$6:$G$405,$AN1728)),"時短開始日がマスタと相違／","")&amp;IF(AND($M1728&lt;&gt;"",INDEX(職員マスタ!$H$6:$H$405,$AN1728)&lt;&gt;"",$M1728&lt;&gt;INDEX(職員マスタ!$H$6:$H$405,$AN1728)),"時短終了日がマスタと相違／","")))&amp;IF(AND($B1728&lt;&gt;"",$E1728=""),"報酬額が未入力／","")&amp;IF(N($U1728)&gt;0,"申請書に入力エラーが残っています／","")&amp;IF(AND($B1728&lt;&gt;"",$AO1728&lt;&gt;""),IF(COUNTIFS($B$6:$B$3005,$B1728,$C$6:$C$3005,$C1728,$D$6:$D$3005,$D1728)&gt;1,"同じ月の請求が重複しています／",""),"")&amp;IF(AND(N($E1728)&gt;0,$Z1728&lt;&gt;"",$Z1728&lt;&gt;"×",$AC1728=0,$AB1728=""),"計算額が下限以下のため不支給／",""))</f>
        <v/>
      </c>
      <c r="AL1728" s="12" t="n"/>
      <c r="AM1728" s="14">
        <f>IF($AD1728="保留中",COUNTIF($AD$6:$AD1728,"保留中"),"")</f>
        <v/>
      </c>
      <c r="AN1728" s="14">
        <f>IF($AO1728="","",IF(SUMPRODUCT(MAX((職員マスタ!$A$6:$A$405=$B1728)*(((職員マスタ!$G$6:$G$405="")+(職員マスタ!$G$6:$G$405&lt;=EOMONTH($AO1728,0)))&gt;0)*(((職員マスタ!$H$6:$H$405="")+(職員マスタ!$H$6:$H$405&gt;=$AO1728))&gt;0)*(ROW(職員マスタ!$A$6:$A$405)-5)))&gt;0,SUMPRODUCT(MAX((職員マスタ!$A$6:$A$405=$B1728)*(((職員マスタ!$G$6:$G$405="")+(職員マスタ!$G$6:$G$405&lt;=EOMONTH($AO1728,0)))&gt;0)*(((職員マスタ!$H$6:$H$405="")+(職員マスタ!$H$6:$H$405&gt;=$AO1728))&gt;0)*(ROW(職員マスタ!$A$6:$A$405)-5))),IFERROR(MATCH($B1728,職員マスタ!$A$6:$A$405,0),"")))</f>
        <v/>
      </c>
      <c r="AO1728" s="16">
        <f>IF(OR($B1728="",$C1728="",$D1728=""),"",DATE($C1728+2018,$D1728,1))</f>
        <v/>
      </c>
    </row>
    <row r="1729">
      <c r="A1729" s="11" t="n"/>
      <c r="B1729" s="12" t="n"/>
      <c r="C1729" s="12" t="n"/>
      <c r="D1729" s="12" t="n"/>
      <c r="E1729" s="13" t="n"/>
      <c r="F1729" s="12" t="n"/>
      <c r="G1729" s="13" t="n"/>
      <c r="H1729" s="12" t="n"/>
      <c r="I1729" s="12" t="n"/>
      <c r="J1729" s="12" t="n"/>
      <c r="K1729" s="12" t="n"/>
      <c r="L1729" s="11" t="n"/>
      <c r="M1729" s="11" t="n"/>
      <c r="N1729" s="11" t="n"/>
      <c r="O1729" s="11" t="n"/>
      <c r="P1729" s="12" t="n"/>
      <c r="Q1729" s="11" t="n"/>
      <c r="R1729" s="12" t="n"/>
      <c r="S1729" s="11" t="n"/>
      <c r="T1729" s="12" t="n"/>
      <c r="U1729" s="12" t="n"/>
      <c r="V1729" s="14">
        <f>IF($AN1729="",IF($B1729="","",$H1729),IF(INDEX(職員マスタ!$B$6:$B$405,$AN1729)="",$H1729,INDEX(職員マスタ!$B$6:$B$405,$AN1729)))</f>
        <v/>
      </c>
      <c r="W1729" s="14">
        <f>IF($AN1729="",IF($B1729="","",$R1729),IF(INDEX(職員マスタ!$C$6:$C$405,$AN1729)="",$R1729,INDEX(職員マスタ!$C$6:$C$405,$AN1729)))</f>
        <v/>
      </c>
      <c r="X1729" s="14">
        <f>IF($AO1729="","","R"&amp;$C1729&amp;"."&amp;$D1729)</f>
        <v/>
      </c>
      <c r="Y1729" s="15">
        <f>IF($AN1729="","",IF(INDEX(職員マスタ!$K$6:$K$405,$AN1729)="","",INDEX(職員マスタ!$K$6:$K$405,$AN1729)))</f>
        <v/>
      </c>
      <c r="Z1729" s="14">
        <f>IF(OR($E1729="",$Y1729=""),"",IF($E1729&gt;=$Y1729,"×",IF($E1729&gt;=$Y1729*設定!$C$5,"△","○")))</f>
        <v/>
      </c>
      <c r="AA1729" s="15">
        <f>IF($Z1729="","",IF($Z1729="×",0,IF($Z1729="○",ROUNDDOWN($E1729*設定!$C$4,0),ROUNDDOWN($E1729*ROUND((9*$Y1729-9*$E1729)/(10*$E1729),4),0))))</f>
        <v/>
      </c>
      <c r="AB1729" s="13" t="n"/>
      <c r="AC1729" s="15">
        <f>IF($B1729="","",IF($AB1729&lt;&gt;"",$AB1729,IF($AA1729="","",IF($AA1729&lt;=設定!$C$3,0,$AA1729))))</f>
        <v/>
      </c>
      <c r="AD1729" s="14">
        <f>IF($B1729="","",IF(AND($AE1729&lt;&gt;"",$AG1729="",$AJ1729=""),"保留中",IF($AJ1729&lt;&gt;"",IF(N($AC1729)&gt;0,"支給済","不支給"),IF($AC1729="","要確認",IF($AC1729=0,"不支給","未処理")))))</f>
        <v/>
      </c>
      <c r="AE1729" s="12" t="n"/>
      <c r="AF1729" s="11" t="n"/>
      <c r="AG1729" s="11" t="n"/>
      <c r="AH1729" s="11" t="n"/>
      <c r="AI1729" s="14">
        <f>IF(AND($AD1729="保留中",$AF1729&lt;&gt;""),TODAY()-$AF1729,"")</f>
        <v/>
      </c>
      <c r="AJ1729" s="12" t="n"/>
      <c r="AK1729" s="14">
        <f>IF($B1729="","",IF($AO1729="","対象年月が未入力／","")&amp;IF($B1729="","",IF($AN1729="","職員マスタに未登録の職員番号／",IF($Y1729="","標準報酬月額が未登録／","")&amp;IF(AND($AO1729&lt;&gt;"",OR(AND(INDEX(職員マスタ!$G$6:$G$405,$AN1729)&lt;&gt;"",INDEX(職員マスタ!$G$6:$G$405,$AN1729)&gt;EOMONTH($AO1729,0)),AND(INDEX(職員マスタ!$H$6:$H$405,$AN1729)&lt;&gt;"",INDEX(職員マスタ!$H$6:$H$405,$AN1729)&lt;$AO1729))),"対象月が時短期間外／","")&amp;IF(AND(INDEX(職員マスタ!$F$6:$F$405,$AN1729)&lt;&gt;"",$AO1729&lt;&gt;"",INDEX(職員マスタ!$F$6:$F$405,$AN1729)&lt;$AO1729),"対象月に子が2歳到達済／","")&amp;IF(AND($H1729&lt;&gt;"",INDEX(職員マスタ!$B$6:$B$405,$AN1729)&lt;&gt;"",SUBSTITUTE(SUBSTITUTE($H1729," ","")," ","")&lt;&gt;SUBSTITUTE(SUBSTITUTE(INDEX(職員マスタ!$B$6:$B$405,$AN1729)," ","")," ","")),"氏名がマスタと相違／","")&amp;IF(AND($Q1729&lt;&gt;"",INDEX(職員マスタ!$E$6:$E$405,$AN1729)&lt;&gt;"",$Q1729&lt;&gt;INDEX(職員マスタ!$E$6:$E$405,$AN1729)),"子の生年月日がマスタと相違／","")&amp;IF(AND($L1729&lt;&gt;"",INDEX(職員マスタ!$G$6:$G$405,$AN1729)&lt;&gt;"",$L1729&lt;&gt;INDEX(職員マスタ!$G$6:$G$405,$AN1729)),"時短開始日がマスタと相違／","")&amp;IF(AND($M1729&lt;&gt;"",INDEX(職員マスタ!$H$6:$H$405,$AN1729)&lt;&gt;"",$M1729&lt;&gt;INDEX(職員マスタ!$H$6:$H$405,$AN1729)),"時短終了日がマスタと相違／","")))&amp;IF(AND($B1729&lt;&gt;"",$E1729=""),"報酬額が未入力／","")&amp;IF(N($U1729)&gt;0,"申請書に入力エラーが残っています／","")&amp;IF(AND($B1729&lt;&gt;"",$AO1729&lt;&gt;""),IF(COUNTIFS($B$6:$B$3005,$B1729,$C$6:$C$3005,$C1729,$D$6:$D$3005,$D1729)&gt;1,"同じ月の請求が重複しています／",""),"")&amp;IF(AND(N($E1729)&gt;0,$Z1729&lt;&gt;"",$Z1729&lt;&gt;"×",$AC1729=0,$AB1729=""),"計算額が下限以下のため不支給／",""))</f>
        <v/>
      </c>
      <c r="AL1729" s="12" t="n"/>
      <c r="AM1729" s="14">
        <f>IF($AD1729="保留中",COUNTIF($AD$6:$AD1729,"保留中"),"")</f>
        <v/>
      </c>
      <c r="AN1729" s="14">
        <f>IF($AO1729="","",IF(SUMPRODUCT(MAX((職員マスタ!$A$6:$A$405=$B1729)*(((職員マスタ!$G$6:$G$405="")+(職員マスタ!$G$6:$G$405&lt;=EOMONTH($AO1729,0)))&gt;0)*(((職員マスタ!$H$6:$H$405="")+(職員マスタ!$H$6:$H$405&gt;=$AO1729))&gt;0)*(ROW(職員マスタ!$A$6:$A$405)-5)))&gt;0,SUMPRODUCT(MAX((職員マスタ!$A$6:$A$405=$B1729)*(((職員マスタ!$G$6:$G$405="")+(職員マスタ!$G$6:$G$405&lt;=EOMONTH($AO1729,0)))&gt;0)*(((職員マスタ!$H$6:$H$405="")+(職員マスタ!$H$6:$H$405&gt;=$AO1729))&gt;0)*(ROW(職員マスタ!$A$6:$A$405)-5))),IFERROR(MATCH($B1729,職員マスタ!$A$6:$A$405,0),"")))</f>
        <v/>
      </c>
      <c r="AO1729" s="16">
        <f>IF(OR($B1729="",$C1729="",$D1729=""),"",DATE($C1729+2018,$D1729,1))</f>
        <v/>
      </c>
    </row>
    <row r="1730">
      <c r="A1730" s="11" t="n"/>
      <c r="B1730" s="12" t="n"/>
      <c r="C1730" s="12" t="n"/>
      <c r="D1730" s="12" t="n"/>
      <c r="E1730" s="13" t="n"/>
      <c r="F1730" s="12" t="n"/>
      <c r="G1730" s="13" t="n"/>
      <c r="H1730" s="12" t="n"/>
      <c r="I1730" s="12" t="n"/>
      <c r="J1730" s="12" t="n"/>
      <c r="K1730" s="12" t="n"/>
      <c r="L1730" s="11" t="n"/>
      <c r="M1730" s="11" t="n"/>
      <c r="N1730" s="11" t="n"/>
      <c r="O1730" s="11" t="n"/>
      <c r="P1730" s="12" t="n"/>
      <c r="Q1730" s="11" t="n"/>
      <c r="R1730" s="12" t="n"/>
      <c r="S1730" s="11" t="n"/>
      <c r="T1730" s="12" t="n"/>
      <c r="U1730" s="12" t="n"/>
      <c r="V1730" s="14">
        <f>IF($AN1730="",IF($B1730="","",$H1730),IF(INDEX(職員マスタ!$B$6:$B$405,$AN1730)="",$H1730,INDEX(職員マスタ!$B$6:$B$405,$AN1730)))</f>
        <v/>
      </c>
      <c r="W1730" s="14">
        <f>IF($AN1730="",IF($B1730="","",$R1730),IF(INDEX(職員マスタ!$C$6:$C$405,$AN1730)="",$R1730,INDEX(職員マスタ!$C$6:$C$405,$AN1730)))</f>
        <v/>
      </c>
      <c r="X1730" s="14">
        <f>IF($AO1730="","","R"&amp;$C1730&amp;"."&amp;$D1730)</f>
        <v/>
      </c>
      <c r="Y1730" s="15">
        <f>IF($AN1730="","",IF(INDEX(職員マスタ!$K$6:$K$405,$AN1730)="","",INDEX(職員マスタ!$K$6:$K$405,$AN1730)))</f>
        <v/>
      </c>
      <c r="Z1730" s="14">
        <f>IF(OR($E1730="",$Y1730=""),"",IF($E1730&gt;=$Y1730,"×",IF($E1730&gt;=$Y1730*設定!$C$5,"△","○")))</f>
        <v/>
      </c>
      <c r="AA1730" s="15">
        <f>IF($Z1730="","",IF($Z1730="×",0,IF($Z1730="○",ROUNDDOWN($E1730*設定!$C$4,0),ROUNDDOWN($E1730*ROUND((9*$Y1730-9*$E1730)/(10*$E1730),4),0))))</f>
        <v/>
      </c>
      <c r="AB1730" s="13" t="n"/>
      <c r="AC1730" s="15">
        <f>IF($B1730="","",IF($AB1730&lt;&gt;"",$AB1730,IF($AA1730="","",IF($AA1730&lt;=設定!$C$3,0,$AA1730))))</f>
        <v/>
      </c>
      <c r="AD1730" s="14">
        <f>IF($B1730="","",IF(AND($AE1730&lt;&gt;"",$AG1730="",$AJ1730=""),"保留中",IF($AJ1730&lt;&gt;"",IF(N($AC1730)&gt;0,"支給済","不支給"),IF($AC1730="","要確認",IF($AC1730=0,"不支給","未処理")))))</f>
        <v/>
      </c>
      <c r="AE1730" s="12" t="n"/>
      <c r="AF1730" s="11" t="n"/>
      <c r="AG1730" s="11" t="n"/>
      <c r="AH1730" s="11" t="n"/>
      <c r="AI1730" s="14">
        <f>IF(AND($AD1730="保留中",$AF1730&lt;&gt;""),TODAY()-$AF1730,"")</f>
        <v/>
      </c>
      <c r="AJ1730" s="12" t="n"/>
      <c r="AK1730" s="14">
        <f>IF($B1730="","",IF($AO1730="","対象年月が未入力／","")&amp;IF($B1730="","",IF($AN1730="","職員マスタに未登録の職員番号／",IF($Y1730="","標準報酬月額が未登録／","")&amp;IF(AND($AO1730&lt;&gt;"",OR(AND(INDEX(職員マスタ!$G$6:$G$405,$AN1730)&lt;&gt;"",INDEX(職員マスタ!$G$6:$G$405,$AN1730)&gt;EOMONTH($AO1730,0)),AND(INDEX(職員マスタ!$H$6:$H$405,$AN1730)&lt;&gt;"",INDEX(職員マスタ!$H$6:$H$405,$AN1730)&lt;$AO1730))),"対象月が時短期間外／","")&amp;IF(AND(INDEX(職員マスタ!$F$6:$F$405,$AN1730)&lt;&gt;"",$AO1730&lt;&gt;"",INDEX(職員マスタ!$F$6:$F$405,$AN1730)&lt;$AO1730),"対象月に子が2歳到達済／","")&amp;IF(AND($H1730&lt;&gt;"",INDEX(職員マスタ!$B$6:$B$405,$AN1730)&lt;&gt;"",SUBSTITUTE(SUBSTITUTE($H1730," ","")," ","")&lt;&gt;SUBSTITUTE(SUBSTITUTE(INDEX(職員マスタ!$B$6:$B$405,$AN1730)," ","")," ","")),"氏名がマスタと相違／","")&amp;IF(AND($Q1730&lt;&gt;"",INDEX(職員マスタ!$E$6:$E$405,$AN1730)&lt;&gt;"",$Q1730&lt;&gt;INDEX(職員マスタ!$E$6:$E$405,$AN1730)),"子の生年月日がマスタと相違／","")&amp;IF(AND($L1730&lt;&gt;"",INDEX(職員マスタ!$G$6:$G$405,$AN1730)&lt;&gt;"",$L1730&lt;&gt;INDEX(職員マスタ!$G$6:$G$405,$AN1730)),"時短開始日がマスタと相違／","")&amp;IF(AND($M1730&lt;&gt;"",INDEX(職員マスタ!$H$6:$H$405,$AN1730)&lt;&gt;"",$M1730&lt;&gt;INDEX(職員マスタ!$H$6:$H$405,$AN1730)),"時短終了日がマスタと相違／","")))&amp;IF(AND($B1730&lt;&gt;"",$E1730=""),"報酬額が未入力／","")&amp;IF(N($U1730)&gt;0,"申請書に入力エラーが残っています／","")&amp;IF(AND($B1730&lt;&gt;"",$AO1730&lt;&gt;""),IF(COUNTIFS($B$6:$B$3005,$B1730,$C$6:$C$3005,$C1730,$D$6:$D$3005,$D1730)&gt;1,"同じ月の請求が重複しています／",""),"")&amp;IF(AND(N($E1730)&gt;0,$Z1730&lt;&gt;"",$Z1730&lt;&gt;"×",$AC1730=0,$AB1730=""),"計算額が下限以下のため不支給／",""))</f>
        <v/>
      </c>
      <c r="AL1730" s="12" t="n"/>
      <c r="AM1730" s="14">
        <f>IF($AD1730="保留中",COUNTIF($AD$6:$AD1730,"保留中"),"")</f>
        <v/>
      </c>
      <c r="AN1730" s="14">
        <f>IF($AO1730="","",IF(SUMPRODUCT(MAX((職員マスタ!$A$6:$A$405=$B1730)*(((職員マスタ!$G$6:$G$405="")+(職員マスタ!$G$6:$G$405&lt;=EOMONTH($AO1730,0)))&gt;0)*(((職員マスタ!$H$6:$H$405="")+(職員マスタ!$H$6:$H$405&gt;=$AO1730))&gt;0)*(ROW(職員マスタ!$A$6:$A$405)-5)))&gt;0,SUMPRODUCT(MAX((職員マスタ!$A$6:$A$405=$B1730)*(((職員マスタ!$G$6:$G$405="")+(職員マスタ!$G$6:$G$405&lt;=EOMONTH($AO1730,0)))&gt;0)*(((職員マスタ!$H$6:$H$405="")+(職員マスタ!$H$6:$H$405&gt;=$AO1730))&gt;0)*(ROW(職員マスタ!$A$6:$A$405)-5))),IFERROR(MATCH($B1730,職員マスタ!$A$6:$A$405,0),"")))</f>
        <v/>
      </c>
      <c r="AO1730" s="16">
        <f>IF(OR($B1730="",$C1730="",$D1730=""),"",DATE($C1730+2018,$D1730,1))</f>
        <v/>
      </c>
    </row>
    <row r="1731">
      <c r="A1731" s="11" t="n"/>
      <c r="B1731" s="12" t="n"/>
      <c r="C1731" s="12" t="n"/>
      <c r="D1731" s="12" t="n"/>
      <c r="E1731" s="13" t="n"/>
      <c r="F1731" s="12" t="n"/>
      <c r="G1731" s="13" t="n"/>
      <c r="H1731" s="12" t="n"/>
      <c r="I1731" s="12" t="n"/>
      <c r="J1731" s="12" t="n"/>
      <c r="K1731" s="12" t="n"/>
      <c r="L1731" s="11" t="n"/>
      <c r="M1731" s="11" t="n"/>
      <c r="N1731" s="11" t="n"/>
      <c r="O1731" s="11" t="n"/>
      <c r="P1731" s="12" t="n"/>
      <c r="Q1731" s="11" t="n"/>
      <c r="R1731" s="12" t="n"/>
      <c r="S1731" s="11" t="n"/>
      <c r="T1731" s="12" t="n"/>
      <c r="U1731" s="12" t="n"/>
      <c r="V1731" s="14">
        <f>IF($AN1731="",IF($B1731="","",$H1731),IF(INDEX(職員マスタ!$B$6:$B$405,$AN1731)="",$H1731,INDEX(職員マスタ!$B$6:$B$405,$AN1731)))</f>
        <v/>
      </c>
      <c r="W1731" s="14">
        <f>IF($AN1731="",IF($B1731="","",$R1731),IF(INDEX(職員マスタ!$C$6:$C$405,$AN1731)="",$R1731,INDEX(職員マスタ!$C$6:$C$405,$AN1731)))</f>
        <v/>
      </c>
      <c r="X1731" s="14">
        <f>IF($AO1731="","","R"&amp;$C1731&amp;"."&amp;$D1731)</f>
        <v/>
      </c>
      <c r="Y1731" s="15">
        <f>IF($AN1731="","",IF(INDEX(職員マスタ!$K$6:$K$405,$AN1731)="","",INDEX(職員マスタ!$K$6:$K$405,$AN1731)))</f>
        <v/>
      </c>
      <c r="Z1731" s="14">
        <f>IF(OR($E1731="",$Y1731=""),"",IF($E1731&gt;=$Y1731,"×",IF($E1731&gt;=$Y1731*設定!$C$5,"△","○")))</f>
        <v/>
      </c>
      <c r="AA1731" s="15">
        <f>IF($Z1731="","",IF($Z1731="×",0,IF($Z1731="○",ROUNDDOWN($E1731*設定!$C$4,0),ROUNDDOWN($E1731*ROUND((9*$Y1731-9*$E1731)/(10*$E1731),4),0))))</f>
        <v/>
      </c>
      <c r="AB1731" s="13" t="n"/>
      <c r="AC1731" s="15">
        <f>IF($B1731="","",IF($AB1731&lt;&gt;"",$AB1731,IF($AA1731="","",IF($AA1731&lt;=設定!$C$3,0,$AA1731))))</f>
        <v/>
      </c>
      <c r="AD1731" s="14">
        <f>IF($B1731="","",IF(AND($AE1731&lt;&gt;"",$AG1731="",$AJ1731=""),"保留中",IF($AJ1731&lt;&gt;"",IF(N($AC1731)&gt;0,"支給済","不支給"),IF($AC1731="","要確認",IF($AC1731=0,"不支給","未処理")))))</f>
        <v/>
      </c>
      <c r="AE1731" s="12" t="n"/>
      <c r="AF1731" s="11" t="n"/>
      <c r="AG1731" s="11" t="n"/>
      <c r="AH1731" s="11" t="n"/>
      <c r="AI1731" s="14">
        <f>IF(AND($AD1731="保留中",$AF1731&lt;&gt;""),TODAY()-$AF1731,"")</f>
        <v/>
      </c>
      <c r="AJ1731" s="12" t="n"/>
      <c r="AK1731" s="14">
        <f>IF($B1731="","",IF($AO1731="","対象年月が未入力／","")&amp;IF($B1731="","",IF($AN1731="","職員マスタに未登録の職員番号／",IF($Y1731="","標準報酬月額が未登録／","")&amp;IF(AND($AO1731&lt;&gt;"",OR(AND(INDEX(職員マスタ!$G$6:$G$405,$AN1731)&lt;&gt;"",INDEX(職員マスタ!$G$6:$G$405,$AN1731)&gt;EOMONTH($AO1731,0)),AND(INDEX(職員マスタ!$H$6:$H$405,$AN1731)&lt;&gt;"",INDEX(職員マスタ!$H$6:$H$405,$AN1731)&lt;$AO1731))),"対象月が時短期間外／","")&amp;IF(AND(INDEX(職員マスタ!$F$6:$F$405,$AN1731)&lt;&gt;"",$AO1731&lt;&gt;"",INDEX(職員マスタ!$F$6:$F$405,$AN1731)&lt;$AO1731),"対象月に子が2歳到達済／","")&amp;IF(AND($H1731&lt;&gt;"",INDEX(職員マスタ!$B$6:$B$405,$AN1731)&lt;&gt;"",SUBSTITUTE(SUBSTITUTE($H1731," ","")," ","")&lt;&gt;SUBSTITUTE(SUBSTITUTE(INDEX(職員マスタ!$B$6:$B$405,$AN1731)," ","")," ","")),"氏名がマスタと相違／","")&amp;IF(AND($Q1731&lt;&gt;"",INDEX(職員マスタ!$E$6:$E$405,$AN1731)&lt;&gt;"",$Q1731&lt;&gt;INDEX(職員マスタ!$E$6:$E$405,$AN1731)),"子の生年月日がマスタと相違／","")&amp;IF(AND($L1731&lt;&gt;"",INDEX(職員マスタ!$G$6:$G$405,$AN1731)&lt;&gt;"",$L1731&lt;&gt;INDEX(職員マスタ!$G$6:$G$405,$AN1731)),"時短開始日がマスタと相違／","")&amp;IF(AND($M1731&lt;&gt;"",INDEX(職員マスタ!$H$6:$H$405,$AN1731)&lt;&gt;"",$M1731&lt;&gt;INDEX(職員マスタ!$H$6:$H$405,$AN1731)),"時短終了日がマスタと相違／","")))&amp;IF(AND($B1731&lt;&gt;"",$E1731=""),"報酬額が未入力／","")&amp;IF(N($U1731)&gt;0,"申請書に入力エラーが残っています／","")&amp;IF(AND($B1731&lt;&gt;"",$AO1731&lt;&gt;""),IF(COUNTIFS($B$6:$B$3005,$B1731,$C$6:$C$3005,$C1731,$D$6:$D$3005,$D1731)&gt;1,"同じ月の請求が重複しています／",""),"")&amp;IF(AND(N($E1731)&gt;0,$Z1731&lt;&gt;"",$Z1731&lt;&gt;"×",$AC1731=0,$AB1731=""),"計算額が下限以下のため不支給／",""))</f>
        <v/>
      </c>
      <c r="AL1731" s="12" t="n"/>
      <c r="AM1731" s="14">
        <f>IF($AD1731="保留中",COUNTIF($AD$6:$AD1731,"保留中"),"")</f>
        <v/>
      </c>
      <c r="AN1731" s="14">
        <f>IF($AO1731="","",IF(SUMPRODUCT(MAX((職員マスタ!$A$6:$A$405=$B1731)*(((職員マスタ!$G$6:$G$405="")+(職員マスタ!$G$6:$G$405&lt;=EOMONTH($AO1731,0)))&gt;0)*(((職員マスタ!$H$6:$H$405="")+(職員マスタ!$H$6:$H$405&gt;=$AO1731))&gt;0)*(ROW(職員マスタ!$A$6:$A$405)-5)))&gt;0,SUMPRODUCT(MAX((職員マスタ!$A$6:$A$405=$B1731)*(((職員マスタ!$G$6:$G$405="")+(職員マスタ!$G$6:$G$405&lt;=EOMONTH($AO1731,0)))&gt;0)*(((職員マスタ!$H$6:$H$405="")+(職員マスタ!$H$6:$H$405&gt;=$AO1731))&gt;0)*(ROW(職員マスタ!$A$6:$A$405)-5))),IFERROR(MATCH($B1731,職員マスタ!$A$6:$A$405,0),"")))</f>
        <v/>
      </c>
      <c r="AO1731" s="16">
        <f>IF(OR($B1731="",$C1731="",$D1731=""),"",DATE($C1731+2018,$D1731,1))</f>
        <v/>
      </c>
    </row>
    <row r="1732">
      <c r="A1732" s="11" t="n"/>
      <c r="B1732" s="12" t="n"/>
      <c r="C1732" s="12" t="n"/>
      <c r="D1732" s="12" t="n"/>
      <c r="E1732" s="13" t="n"/>
      <c r="F1732" s="12" t="n"/>
      <c r="G1732" s="13" t="n"/>
      <c r="H1732" s="12" t="n"/>
      <c r="I1732" s="12" t="n"/>
      <c r="J1732" s="12" t="n"/>
      <c r="K1732" s="12" t="n"/>
      <c r="L1732" s="11" t="n"/>
      <c r="M1732" s="11" t="n"/>
      <c r="N1732" s="11" t="n"/>
      <c r="O1732" s="11" t="n"/>
      <c r="P1732" s="12" t="n"/>
      <c r="Q1732" s="11" t="n"/>
      <c r="R1732" s="12" t="n"/>
      <c r="S1732" s="11" t="n"/>
      <c r="T1732" s="12" t="n"/>
      <c r="U1732" s="12" t="n"/>
      <c r="V1732" s="14">
        <f>IF($AN1732="",IF($B1732="","",$H1732),IF(INDEX(職員マスタ!$B$6:$B$405,$AN1732)="",$H1732,INDEX(職員マスタ!$B$6:$B$405,$AN1732)))</f>
        <v/>
      </c>
      <c r="W1732" s="14">
        <f>IF($AN1732="",IF($B1732="","",$R1732),IF(INDEX(職員マスタ!$C$6:$C$405,$AN1732)="",$R1732,INDEX(職員マスタ!$C$6:$C$405,$AN1732)))</f>
        <v/>
      </c>
      <c r="X1732" s="14">
        <f>IF($AO1732="","","R"&amp;$C1732&amp;"."&amp;$D1732)</f>
        <v/>
      </c>
      <c r="Y1732" s="15">
        <f>IF($AN1732="","",IF(INDEX(職員マスタ!$K$6:$K$405,$AN1732)="","",INDEX(職員マスタ!$K$6:$K$405,$AN1732)))</f>
        <v/>
      </c>
      <c r="Z1732" s="14">
        <f>IF(OR($E1732="",$Y1732=""),"",IF($E1732&gt;=$Y1732,"×",IF($E1732&gt;=$Y1732*設定!$C$5,"△","○")))</f>
        <v/>
      </c>
      <c r="AA1732" s="15">
        <f>IF($Z1732="","",IF($Z1732="×",0,IF($Z1732="○",ROUNDDOWN($E1732*設定!$C$4,0),ROUNDDOWN($E1732*ROUND((9*$Y1732-9*$E1732)/(10*$E1732),4),0))))</f>
        <v/>
      </c>
      <c r="AB1732" s="13" t="n"/>
      <c r="AC1732" s="15">
        <f>IF($B1732="","",IF($AB1732&lt;&gt;"",$AB1732,IF($AA1732="","",IF($AA1732&lt;=設定!$C$3,0,$AA1732))))</f>
        <v/>
      </c>
      <c r="AD1732" s="14">
        <f>IF($B1732="","",IF(AND($AE1732&lt;&gt;"",$AG1732="",$AJ1732=""),"保留中",IF($AJ1732&lt;&gt;"",IF(N($AC1732)&gt;0,"支給済","不支給"),IF($AC1732="","要確認",IF($AC1732=0,"不支給","未処理")))))</f>
        <v/>
      </c>
      <c r="AE1732" s="12" t="n"/>
      <c r="AF1732" s="11" t="n"/>
      <c r="AG1732" s="11" t="n"/>
      <c r="AH1732" s="11" t="n"/>
      <c r="AI1732" s="14">
        <f>IF(AND($AD1732="保留中",$AF1732&lt;&gt;""),TODAY()-$AF1732,"")</f>
        <v/>
      </c>
      <c r="AJ1732" s="12" t="n"/>
      <c r="AK1732" s="14">
        <f>IF($B1732="","",IF($AO1732="","対象年月が未入力／","")&amp;IF($B1732="","",IF($AN1732="","職員マスタに未登録の職員番号／",IF($Y1732="","標準報酬月額が未登録／","")&amp;IF(AND($AO1732&lt;&gt;"",OR(AND(INDEX(職員マスタ!$G$6:$G$405,$AN1732)&lt;&gt;"",INDEX(職員マスタ!$G$6:$G$405,$AN1732)&gt;EOMONTH($AO1732,0)),AND(INDEX(職員マスタ!$H$6:$H$405,$AN1732)&lt;&gt;"",INDEX(職員マスタ!$H$6:$H$405,$AN1732)&lt;$AO1732))),"対象月が時短期間外／","")&amp;IF(AND(INDEX(職員マスタ!$F$6:$F$405,$AN1732)&lt;&gt;"",$AO1732&lt;&gt;"",INDEX(職員マスタ!$F$6:$F$405,$AN1732)&lt;$AO1732),"対象月に子が2歳到達済／","")&amp;IF(AND($H1732&lt;&gt;"",INDEX(職員マスタ!$B$6:$B$405,$AN1732)&lt;&gt;"",SUBSTITUTE(SUBSTITUTE($H1732," ","")," ","")&lt;&gt;SUBSTITUTE(SUBSTITUTE(INDEX(職員マスタ!$B$6:$B$405,$AN1732)," ","")," ","")),"氏名がマスタと相違／","")&amp;IF(AND($Q1732&lt;&gt;"",INDEX(職員マスタ!$E$6:$E$405,$AN1732)&lt;&gt;"",$Q1732&lt;&gt;INDEX(職員マスタ!$E$6:$E$405,$AN1732)),"子の生年月日がマスタと相違／","")&amp;IF(AND($L1732&lt;&gt;"",INDEX(職員マスタ!$G$6:$G$405,$AN1732)&lt;&gt;"",$L1732&lt;&gt;INDEX(職員マスタ!$G$6:$G$405,$AN1732)),"時短開始日がマスタと相違／","")&amp;IF(AND($M1732&lt;&gt;"",INDEX(職員マスタ!$H$6:$H$405,$AN1732)&lt;&gt;"",$M1732&lt;&gt;INDEX(職員マスタ!$H$6:$H$405,$AN1732)),"時短終了日がマスタと相違／","")))&amp;IF(AND($B1732&lt;&gt;"",$E1732=""),"報酬額が未入力／","")&amp;IF(N($U1732)&gt;0,"申請書に入力エラーが残っています／","")&amp;IF(AND($B1732&lt;&gt;"",$AO1732&lt;&gt;""),IF(COUNTIFS($B$6:$B$3005,$B1732,$C$6:$C$3005,$C1732,$D$6:$D$3005,$D1732)&gt;1,"同じ月の請求が重複しています／",""),"")&amp;IF(AND(N($E1732)&gt;0,$Z1732&lt;&gt;"",$Z1732&lt;&gt;"×",$AC1732=0,$AB1732=""),"計算額が下限以下のため不支給／",""))</f>
        <v/>
      </c>
      <c r="AL1732" s="12" t="n"/>
      <c r="AM1732" s="14">
        <f>IF($AD1732="保留中",COUNTIF($AD$6:$AD1732,"保留中"),"")</f>
        <v/>
      </c>
      <c r="AN1732" s="14">
        <f>IF($AO1732="","",IF(SUMPRODUCT(MAX((職員マスタ!$A$6:$A$405=$B1732)*(((職員マスタ!$G$6:$G$405="")+(職員マスタ!$G$6:$G$405&lt;=EOMONTH($AO1732,0)))&gt;0)*(((職員マスタ!$H$6:$H$405="")+(職員マスタ!$H$6:$H$405&gt;=$AO1732))&gt;0)*(ROW(職員マスタ!$A$6:$A$405)-5)))&gt;0,SUMPRODUCT(MAX((職員マスタ!$A$6:$A$405=$B1732)*(((職員マスタ!$G$6:$G$405="")+(職員マスタ!$G$6:$G$405&lt;=EOMONTH($AO1732,0)))&gt;0)*(((職員マスタ!$H$6:$H$405="")+(職員マスタ!$H$6:$H$405&gt;=$AO1732))&gt;0)*(ROW(職員マスタ!$A$6:$A$405)-5))),IFERROR(MATCH($B1732,職員マスタ!$A$6:$A$405,0),"")))</f>
        <v/>
      </c>
      <c r="AO1732" s="16">
        <f>IF(OR($B1732="",$C1732="",$D1732=""),"",DATE($C1732+2018,$D1732,1))</f>
        <v/>
      </c>
    </row>
    <row r="1733">
      <c r="A1733" s="11" t="n"/>
      <c r="B1733" s="12" t="n"/>
      <c r="C1733" s="12" t="n"/>
      <c r="D1733" s="12" t="n"/>
      <c r="E1733" s="13" t="n"/>
      <c r="F1733" s="12" t="n"/>
      <c r="G1733" s="13" t="n"/>
      <c r="H1733" s="12" t="n"/>
      <c r="I1733" s="12" t="n"/>
      <c r="J1733" s="12" t="n"/>
      <c r="K1733" s="12" t="n"/>
      <c r="L1733" s="11" t="n"/>
      <c r="M1733" s="11" t="n"/>
      <c r="N1733" s="11" t="n"/>
      <c r="O1733" s="11" t="n"/>
      <c r="P1733" s="12" t="n"/>
      <c r="Q1733" s="11" t="n"/>
      <c r="R1733" s="12" t="n"/>
      <c r="S1733" s="11" t="n"/>
      <c r="T1733" s="12" t="n"/>
      <c r="U1733" s="12" t="n"/>
      <c r="V1733" s="14">
        <f>IF($AN1733="",IF($B1733="","",$H1733),IF(INDEX(職員マスタ!$B$6:$B$405,$AN1733)="",$H1733,INDEX(職員マスタ!$B$6:$B$405,$AN1733)))</f>
        <v/>
      </c>
      <c r="W1733" s="14">
        <f>IF($AN1733="",IF($B1733="","",$R1733),IF(INDEX(職員マスタ!$C$6:$C$405,$AN1733)="",$R1733,INDEX(職員マスタ!$C$6:$C$405,$AN1733)))</f>
        <v/>
      </c>
      <c r="X1733" s="14">
        <f>IF($AO1733="","","R"&amp;$C1733&amp;"."&amp;$D1733)</f>
        <v/>
      </c>
      <c r="Y1733" s="15">
        <f>IF($AN1733="","",IF(INDEX(職員マスタ!$K$6:$K$405,$AN1733)="","",INDEX(職員マスタ!$K$6:$K$405,$AN1733)))</f>
        <v/>
      </c>
      <c r="Z1733" s="14">
        <f>IF(OR($E1733="",$Y1733=""),"",IF($E1733&gt;=$Y1733,"×",IF($E1733&gt;=$Y1733*設定!$C$5,"△","○")))</f>
        <v/>
      </c>
      <c r="AA1733" s="15">
        <f>IF($Z1733="","",IF($Z1733="×",0,IF($Z1733="○",ROUNDDOWN($E1733*設定!$C$4,0),ROUNDDOWN($E1733*ROUND((9*$Y1733-9*$E1733)/(10*$E1733),4),0))))</f>
        <v/>
      </c>
      <c r="AB1733" s="13" t="n"/>
      <c r="AC1733" s="15">
        <f>IF($B1733="","",IF($AB1733&lt;&gt;"",$AB1733,IF($AA1733="","",IF($AA1733&lt;=設定!$C$3,0,$AA1733))))</f>
        <v/>
      </c>
      <c r="AD1733" s="14">
        <f>IF($B1733="","",IF(AND($AE1733&lt;&gt;"",$AG1733="",$AJ1733=""),"保留中",IF($AJ1733&lt;&gt;"",IF(N($AC1733)&gt;0,"支給済","不支給"),IF($AC1733="","要確認",IF($AC1733=0,"不支給","未処理")))))</f>
        <v/>
      </c>
      <c r="AE1733" s="12" t="n"/>
      <c r="AF1733" s="11" t="n"/>
      <c r="AG1733" s="11" t="n"/>
      <c r="AH1733" s="11" t="n"/>
      <c r="AI1733" s="14">
        <f>IF(AND($AD1733="保留中",$AF1733&lt;&gt;""),TODAY()-$AF1733,"")</f>
        <v/>
      </c>
      <c r="AJ1733" s="12" t="n"/>
      <c r="AK1733" s="14">
        <f>IF($B1733="","",IF($AO1733="","対象年月が未入力／","")&amp;IF($B1733="","",IF($AN1733="","職員マスタに未登録の職員番号／",IF($Y1733="","標準報酬月額が未登録／","")&amp;IF(AND($AO1733&lt;&gt;"",OR(AND(INDEX(職員マスタ!$G$6:$G$405,$AN1733)&lt;&gt;"",INDEX(職員マスタ!$G$6:$G$405,$AN1733)&gt;EOMONTH($AO1733,0)),AND(INDEX(職員マスタ!$H$6:$H$405,$AN1733)&lt;&gt;"",INDEX(職員マスタ!$H$6:$H$405,$AN1733)&lt;$AO1733))),"対象月が時短期間外／","")&amp;IF(AND(INDEX(職員マスタ!$F$6:$F$405,$AN1733)&lt;&gt;"",$AO1733&lt;&gt;"",INDEX(職員マスタ!$F$6:$F$405,$AN1733)&lt;$AO1733),"対象月に子が2歳到達済／","")&amp;IF(AND($H1733&lt;&gt;"",INDEX(職員マスタ!$B$6:$B$405,$AN1733)&lt;&gt;"",SUBSTITUTE(SUBSTITUTE($H1733," ","")," ","")&lt;&gt;SUBSTITUTE(SUBSTITUTE(INDEX(職員マスタ!$B$6:$B$405,$AN1733)," ","")," ","")),"氏名がマスタと相違／","")&amp;IF(AND($Q1733&lt;&gt;"",INDEX(職員マスタ!$E$6:$E$405,$AN1733)&lt;&gt;"",$Q1733&lt;&gt;INDEX(職員マスタ!$E$6:$E$405,$AN1733)),"子の生年月日がマスタと相違／","")&amp;IF(AND($L1733&lt;&gt;"",INDEX(職員マスタ!$G$6:$G$405,$AN1733)&lt;&gt;"",$L1733&lt;&gt;INDEX(職員マスタ!$G$6:$G$405,$AN1733)),"時短開始日がマスタと相違／","")&amp;IF(AND($M1733&lt;&gt;"",INDEX(職員マスタ!$H$6:$H$405,$AN1733)&lt;&gt;"",$M1733&lt;&gt;INDEX(職員マスタ!$H$6:$H$405,$AN1733)),"時短終了日がマスタと相違／","")))&amp;IF(AND($B1733&lt;&gt;"",$E1733=""),"報酬額が未入力／","")&amp;IF(N($U1733)&gt;0,"申請書に入力エラーが残っています／","")&amp;IF(AND($B1733&lt;&gt;"",$AO1733&lt;&gt;""),IF(COUNTIFS($B$6:$B$3005,$B1733,$C$6:$C$3005,$C1733,$D$6:$D$3005,$D1733)&gt;1,"同じ月の請求が重複しています／",""),"")&amp;IF(AND(N($E1733)&gt;0,$Z1733&lt;&gt;"",$Z1733&lt;&gt;"×",$AC1733=0,$AB1733=""),"計算額が下限以下のため不支給／",""))</f>
        <v/>
      </c>
      <c r="AL1733" s="12" t="n"/>
      <c r="AM1733" s="14">
        <f>IF($AD1733="保留中",COUNTIF($AD$6:$AD1733,"保留中"),"")</f>
        <v/>
      </c>
      <c r="AN1733" s="14">
        <f>IF($AO1733="","",IF(SUMPRODUCT(MAX((職員マスタ!$A$6:$A$405=$B1733)*(((職員マスタ!$G$6:$G$405="")+(職員マスタ!$G$6:$G$405&lt;=EOMONTH($AO1733,0)))&gt;0)*(((職員マスタ!$H$6:$H$405="")+(職員マスタ!$H$6:$H$405&gt;=$AO1733))&gt;0)*(ROW(職員マスタ!$A$6:$A$405)-5)))&gt;0,SUMPRODUCT(MAX((職員マスタ!$A$6:$A$405=$B1733)*(((職員マスタ!$G$6:$G$405="")+(職員マスタ!$G$6:$G$405&lt;=EOMONTH($AO1733,0)))&gt;0)*(((職員マスタ!$H$6:$H$405="")+(職員マスタ!$H$6:$H$405&gt;=$AO1733))&gt;0)*(ROW(職員マスタ!$A$6:$A$405)-5))),IFERROR(MATCH($B1733,職員マスタ!$A$6:$A$405,0),"")))</f>
        <v/>
      </c>
      <c r="AO1733" s="16">
        <f>IF(OR($B1733="",$C1733="",$D1733=""),"",DATE($C1733+2018,$D1733,1))</f>
        <v/>
      </c>
    </row>
    <row r="1734">
      <c r="A1734" s="11" t="n"/>
      <c r="B1734" s="12" t="n"/>
      <c r="C1734" s="12" t="n"/>
      <c r="D1734" s="12" t="n"/>
      <c r="E1734" s="13" t="n"/>
      <c r="F1734" s="12" t="n"/>
      <c r="G1734" s="13" t="n"/>
      <c r="H1734" s="12" t="n"/>
      <c r="I1734" s="12" t="n"/>
      <c r="J1734" s="12" t="n"/>
      <c r="K1734" s="12" t="n"/>
      <c r="L1734" s="11" t="n"/>
      <c r="M1734" s="11" t="n"/>
      <c r="N1734" s="11" t="n"/>
      <c r="O1734" s="11" t="n"/>
      <c r="P1734" s="12" t="n"/>
      <c r="Q1734" s="11" t="n"/>
      <c r="R1734" s="12" t="n"/>
      <c r="S1734" s="11" t="n"/>
      <c r="T1734" s="12" t="n"/>
      <c r="U1734" s="12" t="n"/>
      <c r="V1734" s="14">
        <f>IF($AN1734="",IF($B1734="","",$H1734),IF(INDEX(職員マスタ!$B$6:$B$405,$AN1734)="",$H1734,INDEX(職員マスタ!$B$6:$B$405,$AN1734)))</f>
        <v/>
      </c>
      <c r="W1734" s="14">
        <f>IF($AN1734="",IF($B1734="","",$R1734),IF(INDEX(職員マスタ!$C$6:$C$405,$AN1734)="",$R1734,INDEX(職員マスタ!$C$6:$C$405,$AN1734)))</f>
        <v/>
      </c>
      <c r="X1734" s="14">
        <f>IF($AO1734="","","R"&amp;$C1734&amp;"."&amp;$D1734)</f>
        <v/>
      </c>
      <c r="Y1734" s="15">
        <f>IF($AN1734="","",IF(INDEX(職員マスタ!$K$6:$K$405,$AN1734)="","",INDEX(職員マスタ!$K$6:$K$405,$AN1734)))</f>
        <v/>
      </c>
      <c r="Z1734" s="14">
        <f>IF(OR($E1734="",$Y1734=""),"",IF($E1734&gt;=$Y1734,"×",IF($E1734&gt;=$Y1734*設定!$C$5,"△","○")))</f>
        <v/>
      </c>
      <c r="AA1734" s="15">
        <f>IF($Z1734="","",IF($Z1734="×",0,IF($Z1734="○",ROUNDDOWN($E1734*設定!$C$4,0),ROUNDDOWN($E1734*ROUND((9*$Y1734-9*$E1734)/(10*$E1734),4),0))))</f>
        <v/>
      </c>
      <c r="AB1734" s="13" t="n"/>
      <c r="AC1734" s="15">
        <f>IF($B1734="","",IF($AB1734&lt;&gt;"",$AB1734,IF($AA1734="","",IF($AA1734&lt;=設定!$C$3,0,$AA1734))))</f>
        <v/>
      </c>
      <c r="AD1734" s="14">
        <f>IF($B1734="","",IF(AND($AE1734&lt;&gt;"",$AG1734="",$AJ1734=""),"保留中",IF($AJ1734&lt;&gt;"",IF(N($AC1734)&gt;0,"支給済","不支給"),IF($AC1734="","要確認",IF($AC1734=0,"不支給","未処理")))))</f>
        <v/>
      </c>
      <c r="AE1734" s="12" t="n"/>
      <c r="AF1734" s="11" t="n"/>
      <c r="AG1734" s="11" t="n"/>
      <c r="AH1734" s="11" t="n"/>
      <c r="AI1734" s="14">
        <f>IF(AND($AD1734="保留中",$AF1734&lt;&gt;""),TODAY()-$AF1734,"")</f>
        <v/>
      </c>
      <c r="AJ1734" s="12" t="n"/>
      <c r="AK1734" s="14">
        <f>IF($B1734="","",IF($AO1734="","対象年月が未入力／","")&amp;IF($B1734="","",IF($AN1734="","職員マスタに未登録の職員番号／",IF($Y1734="","標準報酬月額が未登録／","")&amp;IF(AND($AO1734&lt;&gt;"",OR(AND(INDEX(職員マスタ!$G$6:$G$405,$AN1734)&lt;&gt;"",INDEX(職員マスタ!$G$6:$G$405,$AN1734)&gt;EOMONTH($AO1734,0)),AND(INDEX(職員マスタ!$H$6:$H$405,$AN1734)&lt;&gt;"",INDEX(職員マスタ!$H$6:$H$405,$AN1734)&lt;$AO1734))),"対象月が時短期間外／","")&amp;IF(AND(INDEX(職員マスタ!$F$6:$F$405,$AN1734)&lt;&gt;"",$AO1734&lt;&gt;"",INDEX(職員マスタ!$F$6:$F$405,$AN1734)&lt;$AO1734),"対象月に子が2歳到達済／","")&amp;IF(AND($H1734&lt;&gt;"",INDEX(職員マスタ!$B$6:$B$405,$AN1734)&lt;&gt;"",SUBSTITUTE(SUBSTITUTE($H1734," ","")," ","")&lt;&gt;SUBSTITUTE(SUBSTITUTE(INDEX(職員マスタ!$B$6:$B$405,$AN1734)," ","")," ","")),"氏名がマスタと相違／","")&amp;IF(AND($Q1734&lt;&gt;"",INDEX(職員マスタ!$E$6:$E$405,$AN1734)&lt;&gt;"",$Q1734&lt;&gt;INDEX(職員マスタ!$E$6:$E$405,$AN1734)),"子の生年月日がマスタと相違／","")&amp;IF(AND($L1734&lt;&gt;"",INDEX(職員マスタ!$G$6:$G$405,$AN1734)&lt;&gt;"",$L1734&lt;&gt;INDEX(職員マスタ!$G$6:$G$405,$AN1734)),"時短開始日がマスタと相違／","")&amp;IF(AND($M1734&lt;&gt;"",INDEX(職員マスタ!$H$6:$H$405,$AN1734)&lt;&gt;"",$M1734&lt;&gt;INDEX(職員マスタ!$H$6:$H$405,$AN1734)),"時短終了日がマスタと相違／","")))&amp;IF(AND($B1734&lt;&gt;"",$E1734=""),"報酬額が未入力／","")&amp;IF(N($U1734)&gt;0,"申請書に入力エラーが残っています／","")&amp;IF(AND($B1734&lt;&gt;"",$AO1734&lt;&gt;""),IF(COUNTIFS($B$6:$B$3005,$B1734,$C$6:$C$3005,$C1734,$D$6:$D$3005,$D1734)&gt;1,"同じ月の請求が重複しています／",""),"")&amp;IF(AND(N($E1734)&gt;0,$Z1734&lt;&gt;"",$Z1734&lt;&gt;"×",$AC1734=0,$AB1734=""),"計算額が下限以下のため不支給／",""))</f>
        <v/>
      </c>
      <c r="AL1734" s="12" t="n"/>
      <c r="AM1734" s="14">
        <f>IF($AD1734="保留中",COUNTIF($AD$6:$AD1734,"保留中"),"")</f>
        <v/>
      </c>
      <c r="AN1734" s="14">
        <f>IF($AO1734="","",IF(SUMPRODUCT(MAX((職員マスタ!$A$6:$A$405=$B1734)*(((職員マスタ!$G$6:$G$405="")+(職員マスタ!$G$6:$G$405&lt;=EOMONTH($AO1734,0)))&gt;0)*(((職員マスタ!$H$6:$H$405="")+(職員マスタ!$H$6:$H$405&gt;=$AO1734))&gt;0)*(ROW(職員マスタ!$A$6:$A$405)-5)))&gt;0,SUMPRODUCT(MAX((職員マスタ!$A$6:$A$405=$B1734)*(((職員マスタ!$G$6:$G$405="")+(職員マスタ!$G$6:$G$405&lt;=EOMONTH($AO1734,0)))&gt;0)*(((職員マスタ!$H$6:$H$405="")+(職員マスタ!$H$6:$H$405&gt;=$AO1734))&gt;0)*(ROW(職員マスタ!$A$6:$A$405)-5))),IFERROR(MATCH($B1734,職員マスタ!$A$6:$A$405,0),"")))</f>
        <v/>
      </c>
      <c r="AO1734" s="16">
        <f>IF(OR($B1734="",$C1734="",$D1734=""),"",DATE($C1734+2018,$D1734,1))</f>
        <v/>
      </c>
    </row>
    <row r="1735">
      <c r="A1735" s="11" t="n"/>
      <c r="B1735" s="12" t="n"/>
      <c r="C1735" s="12" t="n"/>
      <c r="D1735" s="12" t="n"/>
      <c r="E1735" s="13" t="n"/>
      <c r="F1735" s="12" t="n"/>
      <c r="G1735" s="13" t="n"/>
      <c r="H1735" s="12" t="n"/>
      <c r="I1735" s="12" t="n"/>
      <c r="J1735" s="12" t="n"/>
      <c r="K1735" s="12" t="n"/>
      <c r="L1735" s="11" t="n"/>
      <c r="M1735" s="11" t="n"/>
      <c r="N1735" s="11" t="n"/>
      <c r="O1735" s="11" t="n"/>
      <c r="P1735" s="12" t="n"/>
      <c r="Q1735" s="11" t="n"/>
      <c r="R1735" s="12" t="n"/>
      <c r="S1735" s="11" t="n"/>
      <c r="T1735" s="12" t="n"/>
      <c r="U1735" s="12" t="n"/>
      <c r="V1735" s="14">
        <f>IF($AN1735="",IF($B1735="","",$H1735),IF(INDEX(職員マスタ!$B$6:$B$405,$AN1735)="",$H1735,INDEX(職員マスタ!$B$6:$B$405,$AN1735)))</f>
        <v/>
      </c>
      <c r="W1735" s="14">
        <f>IF($AN1735="",IF($B1735="","",$R1735),IF(INDEX(職員マスタ!$C$6:$C$405,$AN1735)="",$R1735,INDEX(職員マスタ!$C$6:$C$405,$AN1735)))</f>
        <v/>
      </c>
      <c r="X1735" s="14">
        <f>IF($AO1735="","","R"&amp;$C1735&amp;"."&amp;$D1735)</f>
        <v/>
      </c>
      <c r="Y1735" s="15">
        <f>IF($AN1735="","",IF(INDEX(職員マスタ!$K$6:$K$405,$AN1735)="","",INDEX(職員マスタ!$K$6:$K$405,$AN1735)))</f>
        <v/>
      </c>
      <c r="Z1735" s="14">
        <f>IF(OR($E1735="",$Y1735=""),"",IF($E1735&gt;=$Y1735,"×",IF($E1735&gt;=$Y1735*設定!$C$5,"△","○")))</f>
        <v/>
      </c>
      <c r="AA1735" s="15">
        <f>IF($Z1735="","",IF($Z1735="×",0,IF($Z1735="○",ROUNDDOWN($E1735*設定!$C$4,0),ROUNDDOWN($E1735*ROUND((9*$Y1735-9*$E1735)/(10*$E1735),4),0))))</f>
        <v/>
      </c>
      <c r="AB1735" s="13" t="n"/>
      <c r="AC1735" s="15">
        <f>IF($B1735="","",IF($AB1735&lt;&gt;"",$AB1735,IF($AA1735="","",IF($AA1735&lt;=設定!$C$3,0,$AA1735))))</f>
        <v/>
      </c>
      <c r="AD1735" s="14">
        <f>IF($B1735="","",IF(AND($AE1735&lt;&gt;"",$AG1735="",$AJ1735=""),"保留中",IF($AJ1735&lt;&gt;"",IF(N($AC1735)&gt;0,"支給済","不支給"),IF($AC1735="","要確認",IF($AC1735=0,"不支給","未処理")))))</f>
        <v/>
      </c>
      <c r="AE1735" s="12" t="n"/>
      <c r="AF1735" s="11" t="n"/>
      <c r="AG1735" s="11" t="n"/>
      <c r="AH1735" s="11" t="n"/>
      <c r="AI1735" s="14">
        <f>IF(AND($AD1735="保留中",$AF1735&lt;&gt;""),TODAY()-$AF1735,"")</f>
        <v/>
      </c>
      <c r="AJ1735" s="12" t="n"/>
      <c r="AK1735" s="14">
        <f>IF($B1735="","",IF($AO1735="","対象年月が未入力／","")&amp;IF($B1735="","",IF($AN1735="","職員マスタに未登録の職員番号／",IF($Y1735="","標準報酬月額が未登録／","")&amp;IF(AND($AO1735&lt;&gt;"",OR(AND(INDEX(職員マスタ!$G$6:$G$405,$AN1735)&lt;&gt;"",INDEX(職員マスタ!$G$6:$G$405,$AN1735)&gt;EOMONTH($AO1735,0)),AND(INDEX(職員マスタ!$H$6:$H$405,$AN1735)&lt;&gt;"",INDEX(職員マスタ!$H$6:$H$405,$AN1735)&lt;$AO1735))),"対象月が時短期間外／","")&amp;IF(AND(INDEX(職員マスタ!$F$6:$F$405,$AN1735)&lt;&gt;"",$AO1735&lt;&gt;"",INDEX(職員マスタ!$F$6:$F$405,$AN1735)&lt;$AO1735),"対象月に子が2歳到達済／","")&amp;IF(AND($H1735&lt;&gt;"",INDEX(職員マスタ!$B$6:$B$405,$AN1735)&lt;&gt;"",SUBSTITUTE(SUBSTITUTE($H1735," ","")," ","")&lt;&gt;SUBSTITUTE(SUBSTITUTE(INDEX(職員マスタ!$B$6:$B$405,$AN1735)," ","")," ","")),"氏名がマスタと相違／","")&amp;IF(AND($Q1735&lt;&gt;"",INDEX(職員マスタ!$E$6:$E$405,$AN1735)&lt;&gt;"",$Q1735&lt;&gt;INDEX(職員マスタ!$E$6:$E$405,$AN1735)),"子の生年月日がマスタと相違／","")&amp;IF(AND($L1735&lt;&gt;"",INDEX(職員マスタ!$G$6:$G$405,$AN1735)&lt;&gt;"",$L1735&lt;&gt;INDEX(職員マスタ!$G$6:$G$405,$AN1735)),"時短開始日がマスタと相違／","")&amp;IF(AND($M1735&lt;&gt;"",INDEX(職員マスタ!$H$6:$H$405,$AN1735)&lt;&gt;"",$M1735&lt;&gt;INDEX(職員マスタ!$H$6:$H$405,$AN1735)),"時短終了日がマスタと相違／","")))&amp;IF(AND($B1735&lt;&gt;"",$E1735=""),"報酬額が未入力／","")&amp;IF(N($U1735)&gt;0,"申請書に入力エラーが残っています／","")&amp;IF(AND($B1735&lt;&gt;"",$AO1735&lt;&gt;""),IF(COUNTIFS($B$6:$B$3005,$B1735,$C$6:$C$3005,$C1735,$D$6:$D$3005,$D1735)&gt;1,"同じ月の請求が重複しています／",""),"")&amp;IF(AND(N($E1735)&gt;0,$Z1735&lt;&gt;"",$Z1735&lt;&gt;"×",$AC1735=0,$AB1735=""),"計算額が下限以下のため不支給／",""))</f>
        <v/>
      </c>
      <c r="AL1735" s="12" t="n"/>
      <c r="AM1735" s="14">
        <f>IF($AD1735="保留中",COUNTIF($AD$6:$AD1735,"保留中"),"")</f>
        <v/>
      </c>
      <c r="AN1735" s="14">
        <f>IF($AO1735="","",IF(SUMPRODUCT(MAX((職員マスタ!$A$6:$A$405=$B1735)*(((職員マスタ!$G$6:$G$405="")+(職員マスタ!$G$6:$G$405&lt;=EOMONTH($AO1735,0)))&gt;0)*(((職員マスタ!$H$6:$H$405="")+(職員マスタ!$H$6:$H$405&gt;=$AO1735))&gt;0)*(ROW(職員マスタ!$A$6:$A$405)-5)))&gt;0,SUMPRODUCT(MAX((職員マスタ!$A$6:$A$405=$B1735)*(((職員マスタ!$G$6:$G$405="")+(職員マスタ!$G$6:$G$405&lt;=EOMONTH($AO1735,0)))&gt;0)*(((職員マスタ!$H$6:$H$405="")+(職員マスタ!$H$6:$H$405&gt;=$AO1735))&gt;0)*(ROW(職員マスタ!$A$6:$A$405)-5))),IFERROR(MATCH($B1735,職員マスタ!$A$6:$A$405,0),"")))</f>
        <v/>
      </c>
      <c r="AO1735" s="16">
        <f>IF(OR($B1735="",$C1735="",$D1735=""),"",DATE($C1735+2018,$D1735,1))</f>
        <v/>
      </c>
    </row>
    <row r="1736">
      <c r="A1736" s="11" t="n"/>
      <c r="B1736" s="12" t="n"/>
      <c r="C1736" s="12" t="n"/>
      <c r="D1736" s="12" t="n"/>
      <c r="E1736" s="13" t="n"/>
      <c r="F1736" s="12" t="n"/>
      <c r="G1736" s="13" t="n"/>
      <c r="H1736" s="12" t="n"/>
      <c r="I1736" s="12" t="n"/>
      <c r="J1736" s="12" t="n"/>
      <c r="K1736" s="12" t="n"/>
      <c r="L1736" s="11" t="n"/>
      <c r="M1736" s="11" t="n"/>
      <c r="N1736" s="11" t="n"/>
      <c r="O1736" s="11" t="n"/>
      <c r="P1736" s="12" t="n"/>
      <c r="Q1736" s="11" t="n"/>
      <c r="R1736" s="12" t="n"/>
      <c r="S1736" s="11" t="n"/>
      <c r="T1736" s="12" t="n"/>
      <c r="U1736" s="12" t="n"/>
      <c r="V1736" s="14">
        <f>IF($AN1736="",IF($B1736="","",$H1736),IF(INDEX(職員マスタ!$B$6:$B$405,$AN1736)="",$H1736,INDEX(職員マスタ!$B$6:$B$405,$AN1736)))</f>
        <v/>
      </c>
      <c r="W1736" s="14">
        <f>IF($AN1736="",IF($B1736="","",$R1736),IF(INDEX(職員マスタ!$C$6:$C$405,$AN1736)="",$R1736,INDEX(職員マスタ!$C$6:$C$405,$AN1736)))</f>
        <v/>
      </c>
      <c r="X1736" s="14">
        <f>IF($AO1736="","","R"&amp;$C1736&amp;"."&amp;$D1736)</f>
        <v/>
      </c>
      <c r="Y1736" s="15">
        <f>IF($AN1736="","",IF(INDEX(職員マスタ!$K$6:$K$405,$AN1736)="","",INDEX(職員マスタ!$K$6:$K$405,$AN1736)))</f>
        <v/>
      </c>
      <c r="Z1736" s="14">
        <f>IF(OR($E1736="",$Y1736=""),"",IF($E1736&gt;=$Y1736,"×",IF($E1736&gt;=$Y1736*設定!$C$5,"△","○")))</f>
        <v/>
      </c>
      <c r="AA1736" s="15">
        <f>IF($Z1736="","",IF($Z1736="×",0,IF($Z1736="○",ROUNDDOWN($E1736*設定!$C$4,0),ROUNDDOWN($E1736*ROUND((9*$Y1736-9*$E1736)/(10*$E1736),4),0))))</f>
        <v/>
      </c>
      <c r="AB1736" s="13" t="n"/>
      <c r="AC1736" s="15">
        <f>IF($B1736="","",IF($AB1736&lt;&gt;"",$AB1736,IF($AA1736="","",IF($AA1736&lt;=設定!$C$3,0,$AA1736))))</f>
        <v/>
      </c>
      <c r="AD1736" s="14">
        <f>IF($B1736="","",IF(AND($AE1736&lt;&gt;"",$AG1736="",$AJ1736=""),"保留中",IF($AJ1736&lt;&gt;"",IF(N($AC1736)&gt;0,"支給済","不支給"),IF($AC1736="","要確認",IF($AC1736=0,"不支給","未処理")))))</f>
        <v/>
      </c>
      <c r="AE1736" s="12" t="n"/>
      <c r="AF1736" s="11" t="n"/>
      <c r="AG1736" s="11" t="n"/>
      <c r="AH1736" s="11" t="n"/>
      <c r="AI1736" s="14">
        <f>IF(AND($AD1736="保留中",$AF1736&lt;&gt;""),TODAY()-$AF1736,"")</f>
        <v/>
      </c>
      <c r="AJ1736" s="12" t="n"/>
      <c r="AK1736" s="14">
        <f>IF($B1736="","",IF($AO1736="","対象年月が未入力／","")&amp;IF($B1736="","",IF($AN1736="","職員マスタに未登録の職員番号／",IF($Y1736="","標準報酬月額が未登録／","")&amp;IF(AND($AO1736&lt;&gt;"",OR(AND(INDEX(職員マスタ!$G$6:$G$405,$AN1736)&lt;&gt;"",INDEX(職員マスタ!$G$6:$G$405,$AN1736)&gt;EOMONTH($AO1736,0)),AND(INDEX(職員マスタ!$H$6:$H$405,$AN1736)&lt;&gt;"",INDEX(職員マスタ!$H$6:$H$405,$AN1736)&lt;$AO1736))),"対象月が時短期間外／","")&amp;IF(AND(INDEX(職員マスタ!$F$6:$F$405,$AN1736)&lt;&gt;"",$AO1736&lt;&gt;"",INDEX(職員マスタ!$F$6:$F$405,$AN1736)&lt;$AO1736),"対象月に子が2歳到達済／","")&amp;IF(AND($H1736&lt;&gt;"",INDEX(職員マスタ!$B$6:$B$405,$AN1736)&lt;&gt;"",SUBSTITUTE(SUBSTITUTE($H1736," ","")," ","")&lt;&gt;SUBSTITUTE(SUBSTITUTE(INDEX(職員マスタ!$B$6:$B$405,$AN1736)," ","")," ","")),"氏名がマスタと相違／","")&amp;IF(AND($Q1736&lt;&gt;"",INDEX(職員マスタ!$E$6:$E$405,$AN1736)&lt;&gt;"",$Q1736&lt;&gt;INDEX(職員マスタ!$E$6:$E$405,$AN1736)),"子の生年月日がマスタと相違／","")&amp;IF(AND($L1736&lt;&gt;"",INDEX(職員マスタ!$G$6:$G$405,$AN1736)&lt;&gt;"",$L1736&lt;&gt;INDEX(職員マスタ!$G$6:$G$405,$AN1736)),"時短開始日がマスタと相違／","")&amp;IF(AND($M1736&lt;&gt;"",INDEX(職員マスタ!$H$6:$H$405,$AN1736)&lt;&gt;"",$M1736&lt;&gt;INDEX(職員マスタ!$H$6:$H$405,$AN1736)),"時短終了日がマスタと相違／","")))&amp;IF(AND($B1736&lt;&gt;"",$E1736=""),"報酬額が未入力／","")&amp;IF(N($U1736)&gt;0,"申請書に入力エラーが残っています／","")&amp;IF(AND($B1736&lt;&gt;"",$AO1736&lt;&gt;""),IF(COUNTIFS($B$6:$B$3005,$B1736,$C$6:$C$3005,$C1736,$D$6:$D$3005,$D1736)&gt;1,"同じ月の請求が重複しています／",""),"")&amp;IF(AND(N($E1736)&gt;0,$Z1736&lt;&gt;"",$Z1736&lt;&gt;"×",$AC1736=0,$AB1736=""),"計算額が下限以下のため不支給／",""))</f>
        <v/>
      </c>
      <c r="AL1736" s="12" t="n"/>
      <c r="AM1736" s="14">
        <f>IF($AD1736="保留中",COUNTIF($AD$6:$AD1736,"保留中"),"")</f>
        <v/>
      </c>
      <c r="AN1736" s="14">
        <f>IF($AO1736="","",IF(SUMPRODUCT(MAX((職員マスタ!$A$6:$A$405=$B1736)*(((職員マスタ!$G$6:$G$405="")+(職員マスタ!$G$6:$G$405&lt;=EOMONTH($AO1736,0)))&gt;0)*(((職員マスタ!$H$6:$H$405="")+(職員マスタ!$H$6:$H$405&gt;=$AO1736))&gt;0)*(ROW(職員マスタ!$A$6:$A$405)-5)))&gt;0,SUMPRODUCT(MAX((職員マスタ!$A$6:$A$405=$B1736)*(((職員マスタ!$G$6:$G$405="")+(職員マスタ!$G$6:$G$405&lt;=EOMONTH($AO1736,0)))&gt;0)*(((職員マスタ!$H$6:$H$405="")+(職員マスタ!$H$6:$H$405&gt;=$AO1736))&gt;0)*(ROW(職員マスタ!$A$6:$A$405)-5))),IFERROR(MATCH($B1736,職員マスタ!$A$6:$A$405,0),"")))</f>
        <v/>
      </c>
      <c r="AO1736" s="16">
        <f>IF(OR($B1736="",$C1736="",$D1736=""),"",DATE($C1736+2018,$D1736,1))</f>
        <v/>
      </c>
    </row>
    <row r="1737">
      <c r="A1737" s="11" t="n"/>
      <c r="B1737" s="12" t="n"/>
      <c r="C1737" s="12" t="n"/>
      <c r="D1737" s="12" t="n"/>
      <c r="E1737" s="13" t="n"/>
      <c r="F1737" s="12" t="n"/>
      <c r="G1737" s="13" t="n"/>
      <c r="H1737" s="12" t="n"/>
      <c r="I1737" s="12" t="n"/>
      <c r="J1737" s="12" t="n"/>
      <c r="K1737" s="12" t="n"/>
      <c r="L1737" s="11" t="n"/>
      <c r="M1737" s="11" t="n"/>
      <c r="N1737" s="11" t="n"/>
      <c r="O1737" s="11" t="n"/>
      <c r="P1737" s="12" t="n"/>
      <c r="Q1737" s="11" t="n"/>
      <c r="R1737" s="12" t="n"/>
      <c r="S1737" s="11" t="n"/>
      <c r="T1737" s="12" t="n"/>
      <c r="U1737" s="12" t="n"/>
      <c r="V1737" s="14">
        <f>IF($AN1737="",IF($B1737="","",$H1737),IF(INDEX(職員マスタ!$B$6:$B$405,$AN1737)="",$H1737,INDEX(職員マスタ!$B$6:$B$405,$AN1737)))</f>
        <v/>
      </c>
      <c r="W1737" s="14">
        <f>IF($AN1737="",IF($B1737="","",$R1737),IF(INDEX(職員マスタ!$C$6:$C$405,$AN1737)="",$R1737,INDEX(職員マスタ!$C$6:$C$405,$AN1737)))</f>
        <v/>
      </c>
      <c r="X1737" s="14">
        <f>IF($AO1737="","","R"&amp;$C1737&amp;"."&amp;$D1737)</f>
        <v/>
      </c>
      <c r="Y1737" s="15">
        <f>IF($AN1737="","",IF(INDEX(職員マスタ!$K$6:$K$405,$AN1737)="","",INDEX(職員マスタ!$K$6:$K$405,$AN1737)))</f>
        <v/>
      </c>
      <c r="Z1737" s="14">
        <f>IF(OR($E1737="",$Y1737=""),"",IF($E1737&gt;=$Y1737,"×",IF($E1737&gt;=$Y1737*設定!$C$5,"△","○")))</f>
        <v/>
      </c>
      <c r="AA1737" s="15">
        <f>IF($Z1737="","",IF($Z1737="×",0,IF($Z1737="○",ROUNDDOWN($E1737*設定!$C$4,0),ROUNDDOWN($E1737*ROUND((9*$Y1737-9*$E1737)/(10*$E1737),4),0))))</f>
        <v/>
      </c>
      <c r="AB1737" s="13" t="n"/>
      <c r="AC1737" s="15">
        <f>IF($B1737="","",IF($AB1737&lt;&gt;"",$AB1737,IF($AA1737="","",IF($AA1737&lt;=設定!$C$3,0,$AA1737))))</f>
        <v/>
      </c>
      <c r="AD1737" s="14">
        <f>IF($B1737="","",IF(AND($AE1737&lt;&gt;"",$AG1737="",$AJ1737=""),"保留中",IF($AJ1737&lt;&gt;"",IF(N($AC1737)&gt;0,"支給済","不支給"),IF($AC1737="","要確認",IF($AC1737=0,"不支給","未処理")))))</f>
        <v/>
      </c>
      <c r="AE1737" s="12" t="n"/>
      <c r="AF1737" s="11" t="n"/>
      <c r="AG1737" s="11" t="n"/>
      <c r="AH1737" s="11" t="n"/>
      <c r="AI1737" s="14">
        <f>IF(AND($AD1737="保留中",$AF1737&lt;&gt;""),TODAY()-$AF1737,"")</f>
        <v/>
      </c>
      <c r="AJ1737" s="12" t="n"/>
      <c r="AK1737" s="14">
        <f>IF($B1737="","",IF($AO1737="","対象年月が未入力／","")&amp;IF($B1737="","",IF($AN1737="","職員マスタに未登録の職員番号／",IF($Y1737="","標準報酬月額が未登録／","")&amp;IF(AND($AO1737&lt;&gt;"",OR(AND(INDEX(職員マスタ!$G$6:$G$405,$AN1737)&lt;&gt;"",INDEX(職員マスタ!$G$6:$G$405,$AN1737)&gt;EOMONTH($AO1737,0)),AND(INDEX(職員マスタ!$H$6:$H$405,$AN1737)&lt;&gt;"",INDEX(職員マスタ!$H$6:$H$405,$AN1737)&lt;$AO1737))),"対象月が時短期間外／","")&amp;IF(AND(INDEX(職員マスタ!$F$6:$F$405,$AN1737)&lt;&gt;"",$AO1737&lt;&gt;"",INDEX(職員マスタ!$F$6:$F$405,$AN1737)&lt;$AO1737),"対象月に子が2歳到達済／","")&amp;IF(AND($H1737&lt;&gt;"",INDEX(職員マスタ!$B$6:$B$405,$AN1737)&lt;&gt;"",SUBSTITUTE(SUBSTITUTE($H1737," ","")," ","")&lt;&gt;SUBSTITUTE(SUBSTITUTE(INDEX(職員マスタ!$B$6:$B$405,$AN1737)," ","")," ","")),"氏名がマスタと相違／","")&amp;IF(AND($Q1737&lt;&gt;"",INDEX(職員マスタ!$E$6:$E$405,$AN1737)&lt;&gt;"",$Q1737&lt;&gt;INDEX(職員マスタ!$E$6:$E$405,$AN1737)),"子の生年月日がマスタと相違／","")&amp;IF(AND($L1737&lt;&gt;"",INDEX(職員マスタ!$G$6:$G$405,$AN1737)&lt;&gt;"",$L1737&lt;&gt;INDEX(職員マスタ!$G$6:$G$405,$AN1737)),"時短開始日がマスタと相違／","")&amp;IF(AND($M1737&lt;&gt;"",INDEX(職員マスタ!$H$6:$H$405,$AN1737)&lt;&gt;"",$M1737&lt;&gt;INDEX(職員マスタ!$H$6:$H$405,$AN1737)),"時短終了日がマスタと相違／","")))&amp;IF(AND($B1737&lt;&gt;"",$E1737=""),"報酬額が未入力／","")&amp;IF(N($U1737)&gt;0,"申請書に入力エラーが残っています／","")&amp;IF(AND($B1737&lt;&gt;"",$AO1737&lt;&gt;""),IF(COUNTIFS($B$6:$B$3005,$B1737,$C$6:$C$3005,$C1737,$D$6:$D$3005,$D1737)&gt;1,"同じ月の請求が重複しています／",""),"")&amp;IF(AND(N($E1737)&gt;0,$Z1737&lt;&gt;"",$Z1737&lt;&gt;"×",$AC1737=0,$AB1737=""),"計算額が下限以下のため不支給／",""))</f>
        <v/>
      </c>
      <c r="AL1737" s="12" t="n"/>
      <c r="AM1737" s="14">
        <f>IF($AD1737="保留中",COUNTIF($AD$6:$AD1737,"保留中"),"")</f>
        <v/>
      </c>
      <c r="AN1737" s="14">
        <f>IF($AO1737="","",IF(SUMPRODUCT(MAX((職員マスタ!$A$6:$A$405=$B1737)*(((職員マスタ!$G$6:$G$405="")+(職員マスタ!$G$6:$G$405&lt;=EOMONTH($AO1737,0)))&gt;0)*(((職員マスタ!$H$6:$H$405="")+(職員マスタ!$H$6:$H$405&gt;=$AO1737))&gt;0)*(ROW(職員マスタ!$A$6:$A$405)-5)))&gt;0,SUMPRODUCT(MAX((職員マスタ!$A$6:$A$405=$B1737)*(((職員マスタ!$G$6:$G$405="")+(職員マスタ!$G$6:$G$405&lt;=EOMONTH($AO1737,0)))&gt;0)*(((職員マスタ!$H$6:$H$405="")+(職員マスタ!$H$6:$H$405&gt;=$AO1737))&gt;0)*(ROW(職員マスタ!$A$6:$A$405)-5))),IFERROR(MATCH($B1737,職員マスタ!$A$6:$A$405,0),"")))</f>
        <v/>
      </c>
      <c r="AO1737" s="16">
        <f>IF(OR($B1737="",$C1737="",$D1737=""),"",DATE($C1737+2018,$D1737,1))</f>
        <v/>
      </c>
    </row>
    <row r="1738">
      <c r="A1738" s="11" t="n"/>
      <c r="B1738" s="12" t="n"/>
      <c r="C1738" s="12" t="n"/>
      <c r="D1738" s="12" t="n"/>
      <c r="E1738" s="13" t="n"/>
      <c r="F1738" s="12" t="n"/>
      <c r="G1738" s="13" t="n"/>
      <c r="H1738" s="12" t="n"/>
      <c r="I1738" s="12" t="n"/>
      <c r="J1738" s="12" t="n"/>
      <c r="K1738" s="12" t="n"/>
      <c r="L1738" s="11" t="n"/>
      <c r="M1738" s="11" t="n"/>
      <c r="N1738" s="11" t="n"/>
      <c r="O1738" s="11" t="n"/>
      <c r="P1738" s="12" t="n"/>
      <c r="Q1738" s="11" t="n"/>
      <c r="R1738" s="12" t="n"/>
      <c r="S1738" s="11" t="n"/>
      <c r="T1738" s="12" t="n"/>
      <c r="U1738" s="12" t="n"/>
      <c r="V1738" s="14">
        <f>IF($AN1738="",IF($B1738="","",$H1738),IF(INDEX(職員マスタ!$B$6:$B$405,$AN1738)="",$H1738,INDEX(職員マスタ!$B$6:$B$405,$AN1738)))</f>
        <v/>
      </c>
      <c r="W1738" s="14">
        <f>IF($AN1738="",IF($B1738="","",$R1738),IF(INDEX(職員マスタ!$C$6:$C$405,$AN1738)="",$R1738,INDEX(職員マスタ!$C$6:$C$405,$AN1738)))</f>
        <v/>
      </c>
      <c r="X1738" s="14">
        <f>IF($AO1738="","","R"&amp;$C1738&amp;"."&amp;$D1738)</f>
        <v/>
      </c>
      <c r="Y1738" s="15">
        <f>IF($AN1738="","",IF(INDEX(職員マスタ!$K$6:$K$405,$AN1738)="","",INDEX(職員マスタ!$K$6:$K$405,$AN1738)))</f>
        <v/>
      </c>
      <c r="Z1738" s="14">
        <f>IF(OR($E1738="",$Y1738=""),"",IF($E1738&gt;=$Y1738,"×",IF($E1738&gt;=$Y1738*設定!$C$5,"△","○")))</f>
        <v/>
      </c>
      <c r="AA1738" s="15">
        <f>IF($Z1738="","",IF($Z1738="×",0,IF($Z1738="○",ROUNDDOWN($E1738*設定!$C$4,0),ROUNDDOWN($E1738*ROUND((9*$Y1738-9*$E1738)/(10*$E1738),4),0))))</f>
        <v/>
      </c>
      <c r="AB1738" s="13" t="n"/>
      <c r="AC1738" s="15">
        <f>IF($B1738="","",IF($AB1738&lt;&gt;"",$AB1738,IF($AA1738="","",IF($AA1738&lt;=設定!$C$3,0,$AA1738))))</f>
        <v/>
      </c>
      <c r="AD1738" s="14">
        <f>IF($B1738="","",IF(AND($AE1738&lt;&gt;"",$AG1738="",$AJ1738=""),"保留中",IF($AJ1738&lt;&gt;"",IF(N($AC1738)&gt;0,"支給済","不支給"),IF($AC1738="","要確認",IF($AC1738=0,"不支給","未処理")))))</f>
        <v/>
      </c>
      <c r="AE1738" s="12" t="n"/>
      <c r="AF1738" s="11" t="n"/>
      <c r="AG1738" s="11" t="n"/>
      <c r="AH1738" s="11" t="n"/>
      <c r="AI1738" s="14">
        <f>IF(AND($AD1738="保留中",$AF1738&lt;&gt;""),TODAY()-$AF1738,"")</f>
        <v/>
      </c>
      <c r="AJ1738" s="12" t="n"/>
      <c r="AK1738" s="14">
        <f>IF($B1738="","",IF($AO1738="","対象年月が未入力／","")&amp;IF($B1738="","",IF($AN1738="","職員マスタに未登録の職員番号／",IF($Y1738="","標準報酬月額が未登録／","")&amp;IF(AND($AO1738&lt;&gt;"",OR(AND(INDEX(職員マスタ!$G$6:$G$405,$AN1738)&lt;&gt;"",INDEX(職員マスタ!$G$6:$G$405,$AN1738)&gt;EOMONTH($AO1738,0)),AND(INDEX(職員マスタ!$H$6:$H$405,$AN1738)&lt;&gt;"",INDEX(職員マスタ!$H$6:$H$405,$AN1738)&lt;$AO1738))),"対象月が時短期間外／","")&amp;IF(AND(INDEX(職員マスタ!$F$6:$F$405,$AN1738)&lt;&gt;"",$AO1738&lt;&gt;"",INDEX(職員マスタ!$F$6:$F$405,$AN1738)&lt;$AO1738),"対象月に子が2歳到達済／","")&amp;IF(AND($H1738&lt;&gt;"",INDEX(職員マスタ!$B$6:$B$405,$AN1738)&lt;&gt;"",SUBSTITUTE(SUBSTITUTE($H1738," ","")," ","")&lt;&gt;SUBSTITUTE(SUBSTITUTE(INDEX(職員マスタ!$B$6:$B$405,$AN1738)," ","")," ","")),"氏名がマスタと相違／","")&amp;IF(AND($Q1738&lt;&gt;"",INDEX(職員マスタ!$E$6:$E$405,$AN1738)&lt;&gt;"",$Q1738&lt;&gt;INDEX(職員マスタ!$E$6:$E$405,$AN1738)),"子の生年月日がマスタと相違／","")&amp;IF(AND($L1738&lt;&gt;"",INDEX(職員マスタ!$G$6:$G$405,$AN1738)&lt;&gt;"",$L1738&lt;&gt;INDEX(職員マスタ!$G$6:$G$405,$AN1738)),"時短開始日がマスタと相違／","")&amp;IF(AND($M1738&lt;&gt;"",INDEX(職員マスタ!$H$6:$H$405,$AN1738)&lt;&gt;"",$M1738&lt;&gt;INDEX(職員マスタ!$H$6:$H$405,$AN1738)),"時短終了日がマスタと相違／","")))&amp;IF(AND($B1738&lt;&gt;"",$E1738=""),"報酬額が未入力／","")&amp;IF(N($U1738)&gt;0,"申請書に入力エラーが残っています／","")&amp;IF(AND($B1738&lt;&gt;"",$AO1738&lt;&gt;""),IF(COUNTIFS($B$6:$B$3005,$B1738,$C$6:$C$3005,$C1738,$D$6:$D$3005,$D1738)&gt;1,"同じ月の請求が重複しています／",""),"")&amp;IF(AND(N($E1738)&gt;0,$Z1738&lt;&gt;"",$Z1738&lt;&gt;"×",$AC1738=0,$AB1738=""),"計算額が下限以下のため不支給／",""))</f>
        <v/>
      </c>
      <c r="AL1738" s="12" t="n"/>
      <c r="AM1738" s="14">
        <f>IF($AD1738="保留中",COUNTIF($AD$6:$AD1738,"保留中"),"")</f>
        <v/>
      </c>
      <c r="AN1738" s="14">
        <f>IF($AO1738="","",IF(SUMPRODUCT(MAX((職員マスタ!$A$6:$A$405=$B1738)*(((職員マスタ!$G$6:$G$405="")+(職員マスタ!$G$6:$G$405&lt;=EOMONTH($AO1738,0)))&gt;0)*(((職員マスタ!$H$6:$H$405="")+(職員マスタ!$H$6:$H$405&gt;=$AO1738))&gt;0)*(ROW(職員マスタ!$A$6:$A$405)-5)))&gt;0,SUMPRODUCT(MAX((職員マスタ!$A$6:$A$405=$B1738)*(((職員マスタ!$G$6:$G$405="")+(職員マスタ!$G$6:$G$405&lt;=EOMONTH($AO1738,0)))&gt;0)*(((職員マスタ!$H$6:$H$405="")+(職員マスタ!$H$6:$H$405&gt;=$AO1738))&gt;0)*(ROW(職員マスタ!$A$6:$A$405)-5))),IFERROR(MATCH($B1738,職員マスタ!$A$6:$A$405,0),"")))</f>
        <v/>
      </c>
      <c r="AO1738" s="16">
        <f>IF(OR($B1738="",$C1738="",$D1738=""),"",DATE($C1738+2018,$D1738,1))</f>
        <v/>
      </c>
    </row>
    <row r="1739">
      <c r="A1739" s="11" t="n"/>
      <c r="B1739" s="12" t="n"/>
      <c r="C1739" s="12" t="n"/>
      <c r="D1739" s="12" t="n"/>
      <c r="E1739" s="13" t="n"/>
      <c r="F1739" s="12" t="n"/>
      <c r="G1739" s="13" t="n"/>
      <c r="H1739" s="12" t="n"/>
      <c r="I1739" s="12" t="n"/>
      <c r="J1739" s="12" t="n"/>
      <c r="K1739" s="12" t="n"/>
      <c r="L1739" s="11" t="n"/>
      <c r="M1739" s="11" t="n"/>
      <c r="N1739" s="11" t="n"/>
      <c r="O1739" s="11" t="n"/>
      <c r="P1739" s="12" t="n"/>
      <c r="Q1739" s="11" t="n"/>
      <c r="R1739" s="12" t="n"/>
      <c r="S1739" s="11" t="n"/>
      <c r="T1739" s="12" t="n"/>
      <c r="U1739" s="12" t="n"/>
      <c r="V1739" s="14">
        <f>IF($AN1739="",IF($B1739="","",$H1739),IF(INDEX(職員マスタ!$B$6:$B$405,$AN1739)="",$H1739,INDEX(職員マスタ!$B$6:$B$405,$AN1739)))</f>
        <v/>
      </c>
      <c r="W1739" s="14">
        <f>IF($AN1739="",IF($B1739="","",$R1739),IF(INDEX(職員マスタ!$C$6:$C$405,$AN1739)="",$R1739,INDEX(職員マスタ!$C$6:$C$405,$AN1739)))</f>
        <v/>
      </c>
      <c r="X1739" s="14">
        <f>IF($AO1739="","","R"&amp;$C1739&amp;"."&amp;$D1739)</f>
        <v/>
      </c>
      <c r="Y1739" s="15">
        <f>IF($AN1739="","",IF(INDEX(職員マスタ!$K$6:$K$405,$AN1739)="","",INDEX(職員マスタ!$K$6:$K$405,$AN1739)))</f>
        <v/>
      </c>
      <c r="Z1739" s="14">
        <f>IF(OR($E1739="",$Y1739=""),"",IF($E1739&gt;=$Y1739,"×",IF($E1739&gt;=$Y1739*設定!$C$5,"△","○")))</f>
        <v/>
      </c>
      <c r="AA1739" s="15">
        <f>IF($Z1739="","",IF($Z1739="×",0,IF($Z1739="○",ROUNDDOWN($E1739*設定!$C$4,0),ROUNDDOWN($E1739*ROUND((9*$Y1739-9*$E1739)/(10*$E1739),4),0))))</f>
        <v/>
      </c>
      <c r="AB1739" s="13" t="n"/>
      <c r="AC1739" s="15">
        <f>IF($B1739="","",IF($AB1739&lt;&gt;"",$AB1739,IF($AA1739="","",IF($AA1739&lt;=設定!$C$3,0,$AA1739))))</f>
        <v/>
      </c>
      <c r="AD1739" s="14">
        <f>IF($B1739="","",IF(AND($AE1739&lt;&gt;"",$AG1739="",$AJ1739=""),"保留中",IF($AJ1739&lt;&gt;"",IF(N($AC1739)&gt;0,"支給済","不支給"),IF($AC1739="","要確認",IF($AC1739=0,"不支給","未処理")))))</f>
        <v/>
      </c>
      <c r="AE1739" s="12" t="n"/>
      <c r="AF1739" s="11" t="n"/>
      <c r="AG1739" s="11" t="n"/>
      <c r="AH1739" s="11" t="n"/>
      <c r="AI1739" s="14">
        <f>IF(AND($AD1739="保留中",$AF1739&lt;&gt;""),TODAY()-$AF1739,"")</f>
        <v/>
      </c>
      <c r="AJ1739" s="12" t="n"/>
      <c r="AK1739" s="14">
        <f>IF($B1739="","",IF($AO1739="","対象年月が未入力／","")&amp;IF($B1739="","",IF($AN1739="","職員マスタに未登録の職員番号／",IF($Y1739="","標準報酬月額が未登録／","")&amp;IF(AND($AO1739&lt;&gt;"",OR(AND(INDEX(職員マスタ!$G$6:$G$405,$AN1739)&lt;&gt;"",INDEX(職員マスタ!$G$6:$G$405,$AN1739)&gt;EOMONTH($AO1739,0)),AND(INDEX(職員マスタ!$H$6:$H$405,$AN1739)&lt;&gt;"",INDEX(職員マスタ!$H$6:$H$405,$AN1739)&lt;$AO1739))),"対象月が時短期間外／","")&amp;IF(AND(INDEX(職員マスタ!$F$6:$F$405,$AN1739)&lt;&gt;"",$AO1739&lt;&gt;"",INDEX(職員マスタ!$F$6:$F$405,$AN1739)&lt;$AO1739),"対象月に子が2歳到達済／","")&amp;IF(AND($H1739&lt;&gt;"",INDEX(職員マスタ!$B$6:$B$405,$AN1739)&lt;&gt;"",SUBSTITUTE(SUBSTITUTE($H1739," ","")," ","")&lt;&gt;SUBSTITUTE(SUBSTITUTE(INDEX(職員マスタ!$B$6:$B$405,$AN1739)," ","")," ","")),"氏名がマスタと相違／","")&amp;IF(AND($Q1739&lt;&gt;"",INDEX(職員マスタ!$E$6:$E$405,$AN1739)&lt;&gt;"",$Q1739&lt;&gt;INDEX(職員マスタ!$E$6:$E$405,$AN1739)),"子の生年月日がマスタと相違／","")&amp;IF(AND($L1739&lt;&gt;"",INDEX(職員マスタ!$G$6:$G$405,$AN1739)&lt;&gt;"",$L1739&lt;&gt;INDEX(職員マスタ!$G$6:$G$405,$AN1739)),"時短開始日がマスタと相違／","")&amp;IF(AND($M1739&lt;&gt;"",INDEX(職員マスタ!$H$6:$H$405,$AN1739)&lt;&gt;"",$M1739&lt;&gt;INDEX(職員マスタ!$H$6:$H$405,$AN1739)),"時短終了日がマスタと相違／","")))&amp;IF(AND($B1739&lt;&gt;"",$E1739=""),"報酬額が未入力／","")&amp;IF(N($U1739)&gt;0,"申請書に入力エラーが残っています／","")&amp;IF(AND($B1739&lt;&gt;"",$AO1739&lt;&gt;""),IF(COUNTIFS($B$6:$B$3005,$B1739,$C$6:$C$3005,$C1739,$D$6:$D$3005,$D1739)&gt;1,"同じ月の請求が重複しています／",""),"")&amp;IF(AND(N($E1739)&gt;0,$Z1739&lt;&gt;"",$Z1739&lt;&gt;"×",$AC1739=0,$AB1739=""),"計算額が下限以下のため不支給／",""))</f>
        <v/>
      </c>
      <c r="AL1739" s="12" t="n"/>
      <c r="AM1739" s="14">
        <f>IF($AD1739="保留中",COUNTIF($AD$6:$AD1739,"保留中"),"")</f>
        <v/>
      </c>
      <c r="AN1739" s="14">
        <f>IF($AO1739="","",IF(SUMPRODUCT(MAX((職員マスタ!$A$6:$A$405=$B1739)*(((職員マスタ!$G$6:$G$405="")+(職員マスタ!$G$6:$G$405&lt;=EOMONTH($AO1739,0)))&gt;0)*(((職員マスタ!$H$6:$H$405="")+(職員マスタ!$H$6:$H$405&gt;=$AO1739))&gt;0)*(ROW(職員マスタ!$A$6:$A$405)-5)))&gt;0,SUMPRODUCT(MAX((職員マスタ!$A$6:$A$405=$B1739)*(((職員マスタ!$G$6:$G$405="")+(職員マスタ!$G$6:$G$405&lt;=EOMONTH($AO1739,0)))&gt;0)*(((職員マスタ!$H$6:$H$405="")+(職員マスタ!$H$6:$H$405&gt;=$AO1739))&gt;0)*(ROW(職員マスタ!$A$6:$A$405)-5))),IFERROR(MATCH($B1739,職員マスタ!$A$6:$A$405,0),"")))</f>
        <v/>
      </c>
      <c r="AO1739" s="16">
        <f>IF(OR($B1739="",$C1739="",$D1739=""),"",DATE($C1739+2018,$D1739,1))</f>
        <v/>
      </c>
    </row>
    <row r="1740">
      <c r="A1740" s="11" t="n"/>
      <c r="B1740" s="12" t="n"/>
      <c r="C1740" s="12" t="n"/>
      <c r="D1740" s="12" t="n"/>
      <c r="E1740" s="13" t="n"/>
      <c r="F1740" s="12" t="n"/>
      <c r="G1740" s="13" t="n"/>
      <c r="H1740" s="12" t="n"/>
      <c r="I1740" s="12" t="n"/>
      <c r="J1740" s="12" t="n"/>
      <c r="K1740" s="12" t="n"/>
      <c r="L1740" s="11" t="n"/>
      <c r="M1740" s="11" t="n"/>
      <c r="N1740" s="11" t="n"/>
      <c r="O1740" s="11" t="n"/>
      <c r="P1740" s="12" t="n"/>
      <c r="Q1740" s="11" t="n"/>
      <c r="R1740" s="12" t="n"/>
      <c r="S1740" s="11" t="n"/>
      <c r="T1740" s="12" t="n"/>
      <c r="U1740" s="12" t="n"/>
      <c r="V1740" s="14">
        <f>IF($AN1740="",IF($B1740="","",$H1740),IF(INDEX(職員マスタ!$B$6:$B$405,$AN1740)="",$H1740,INDEX(職員マスタ!$B$6:$B$405,$AN1740)))</f>
        <v/>
      </c>
      <c r="W1740" s="14">
        <f>IF($AN1740="",IF($B1740="","",$R1740),IF(INDEX(職員マスタ!$C$6:$C$405,$AN1740)="",$R1740,INDEX(職員マスタ!$C$6:$C$405,$AN1740)))</f>
        <v/>
      </c>
      <c r="X1740" s="14">
        <f>IF($AO1740="","","R"&amp;$C1740&amp;"."&amp;$D1740)</f>
        <v/>
      </c>
      <c r="Y1740" s="15">
        <f>IF($AN1740="","",IF(INDEX(職員マスタ!$K$6:$K$405,$AN1740)="","",INDEX(職員マスタ!$K$6:$K$405,$AN1740)))</f>
        <v/>
      </c>
      <c r="Z1740" s="14">
        <f>IF(OR($E1740="",$Y1740=""),"",IF($E1740&gt;=$Y1740,"×",IF($E1740&gt;=$Y1740*設定!$C$5,"△","○")))</f>
        <v/>
      </c>
      <c r="AA1740" s="15">
        <f>IF($Z1740="","",IF($Z1740="×",0,IF($Z1740="○",ROUNDDOWN($E1740*設定!$C$4,0),ROUNDDOWN($E1740*ROUND((9*$Y1740-9*$E1740)/(10*$E1740),4),0))))</f>
        <v/>
      </c>
      <c r="AB1740" s="13" t="n"/>
      <c r="AC1740" s="15">
        <f>IF($B1740="","",IF($AB1740&lt;&gt;"",$AB1740,IF($AA1740="","",IF($AA1740&lt;=設定!$C$3,0,$AA1740))))</f>
        <v/>
      </c>
      <c r="AD1740" s="14">
        <f>IF($B1740="","",IF(AND($AE1740&lt;&gt;"",$AG1740="",$AJ1740=""),"保留中",IF($AJ1740&lt;&gt;"",IF(N($AC1740)&gt;0,"支給済","不支給"),IF($AC1740="","要確認",IF($AC1740=0,"不支給","未処理")))))</f>
        <v/>
      </c>
      <c r="AE1740" s="12" t="n"/>
      <c r="AF1740" s="11" t="n"/>
      <c r="AG1740" s="11" t="n"/>
      <c r="AH1740" s="11" t="n"/>
      <c r="AI1740" s="14">
        <f>IF(AND($AD1740="保留中",$AF1740&lt;&gt;""),TODAY()-$AF1740,"")</f>
        <v/>
      </c>
      <c r="AJ1740" s="12" t="n"/>
      <c r="AK1740" s="14">
        <f>IF($B1740="","",IF($AO1740="","対象年月が未入力／","")&amp;IF($B1740="","",IF($AN1740="","職員マスタに未登録の職員番号／",IF($Y1740="","標準報酬月額が未登録／","")&amp;IF(AND($AO1740&lt;&gt;"",OR(AND(INDEX(職員マスタ!$G$6:$G$405,$AN1740)&lt;&gt;"",INDEX(職員マスタ!$G$6:$G$405,$AN1740)&gt;EOMONTH($AO1740,0)),AND(INDEX(職員マスタ!$H$6:$H$405,$AN1740)&lt;&gt;"",INDEX(職員マスタ!$H$6:$H$405,$AN1740)&lt;$AO1740))),"対象月が時短期間外／","")&amp;IF(AND(INDEX(職員マスタ!$F$6:$F$405,$AN1740)&lt;&gt;"",$AO1740&lt;&gt;"",INDEX(職員マスタ!$F$6:$F$405,$AN1740)&lt;$AO1740),"対象月に子が2歳到達済／","")&amp;IF(AND($H1740&lt;&gt;"",INDEX(職員マスタ!$B$6:$B$405,$AN1740)&lt;&gt;"",SUBSTITUTE(SUBSTITUTE($H1740," ","")," ","")&lt;&gt;SUBSTITUTE(SUBSTITUTE(INDEX(職員マスタ!$B$6:$B$405,$AN1740)," ","")," ","")),"氏名がマスタと相違／","")&amp;IF(AND($Q1740&lt;&gt;"",INDEX(職員マスタ!$E$6:$E$405,$AN1740)&lt;&gt;"",$Q1740&lt;&gt;INDEX(職員マスタ!$E$6:$E$405,$AN1740)),"子の生年月日がマスタと相違／","")&amp;IF(AND($L1740&lt;&gt;"",INDEX(職員マスタ!$G$6:$G$405,$AN1740)&lt;&gt;"",$L1740&lt;&gt;INDEX(職員マスタ!$G$6:$G$405,$AN1740)),"時短開始日がマスタと相違／","")&amp;IF(AND($M1740&lt;&gt;"",INDEX(職員マスタ!$H$6:$H$405,$AN1740)&lt;&gt;"",$M1740&lt;&gt;INDEX(職員マスタ!$H$6:$H$405,$AN1740)),"時短終了日がマスタと相違／","")))&amp;IF(AND($B1740&lt;&gt;"",$E1740=""),"報酬額が未入力／","")&amp;IF(N($U1740)&gt;0,"申請書に入力エラーが残っています／","")&amp;IF(AND($B1740&lt;&gt;"",$AO1740&lt;&gt;""),IF(COUNTIFS($B$6:$B$3005,$B1740,$C$6:$C$3005,$C1740,$D$6:$D$3005,$D1740)&gt;1,"同じ月の請求が重複しています／",""),"")&amp;IF(AND(N($E1740)&gt;0,$Z1740&lt;&gt;"",$Z1740&lt;&gt;"×",$AC1740=0,$AB1740=""),"計算額が下限以下のため不支給／",""))</f>
        <v/>
      </c>
      <c r="AL1740" s="12" t="n"/>
      <c r="AM1740" s="14">
        <f>IF($AD1740="保留中",COUNTIF($AD$6:$AD1740,"保留中"),"")</f>
        <v/>
      </c>
      <c r="AN1740" s="14">
        <f>IF($AO1740="","",IF(SUMPRODUCT(MAX((職員マスタ!$A$6:$A$405=$B1740)*(((職員マスタ!$G$6:$G$405="")+(職員マスタ!$G$6:$G$405&lt;=EOMONTH($AO1740,0)))&gt;0)*(((職員マスタ!$H$6:$H$405="")+(職員マスタ!$H$6:$H$405&gt;=$AO1740))&gt;0)*(ROW(職員マスタ!$A$6:$A$405)-5)))&gt;0,SUMPRODUCT(MAX((職員マスタ!$A$6:$A$405=$B1740)*(((職員マスタ!$G$6:$G$405="")+(職員マスタ!$G$6:$G$405&lt;=EOMONTH($AO1740,0)))&gt;0)*(((職員マスタ!$H$6:$H$405="")+(職員マスタ!$H$6:$H$405&gt;=$AO1740))&gt;0)*(ROW(職員マスタ!$A$6:$A$405)-5))),IFERROR(MATCH($B1740,職員マスタ!$A$6:$A$405,0),"")))</f>
        <v/>
      </c>
      <c r="AO1740" s="16">
        <f>IF(OR($B1740="",$C1740="",$D1740=""),"",DATE($C1740+2018,$D1740,1))</f>
        <v/>
      </c>
    </row>
    <row r="1741">
      <c r="A1741" s="11" t="n"/>
      <c r="B1741" s="12" t="n"/>
      <c r="C1741" s="12" t="n"/>
      <c r="D1741" s="12" t="n"/>
      <c r="E1741" s="13" t="n"/>
      <c r="F1741" s="12" t="n"/>
      <c r="G1741" s="13" t="n"/>
      <c r="H1741" s="12" t="n"/>
      <c r="I1741" s="12" t="n"/>
      <c r="J1741" s="12" t="n"/>
      <c r="K1741" s="12" t="n"/>
      <c r="L1741" s="11" t="n"/>
      <c r="M1741" s="11" t="n"/>
      <c r="N1741" s="11" t="n"/>
      <c r="O1741" s="11" t="n"/>
      <c r="P1741" s="12" t="n"/>
      <c r="Q1741" s="11" t="n"/>
      <c r="R1741" s="12" t="n"/>
      <c r="S1741" s="11" t="n"/>
      <c r="T1741" s="12" t="n"/>
      <c r="U1741" s="12" t="n"/>
      <c r="V1741" s="14">
        <f>IF($AN1741="",IF($B1741="","",$H1741),IF(INDEX(職員マスタ!$B$6:$B$405,$AN1741)="",$H1741,INDEX(職員マスタ!$B$6:$B$405,$AN1741)))</f>
        <v/>
      </c>
      <c r="W1741" s="14">
        <f>IF($AN1741="",IF($B1741="","",$R1741),IF(INDEX(職員マスタ!$C$6:$C$405,$AN1741)="",$R1741,INDEX(職員マスタ!$C$6:$C$405,$AN1741)))</f>
        <v/>
      </c>
      <c r="X1741" s="14">
        <f>IF($AO1741="","","R"&amp;$C1741&amp;"."&amp;$D1741)</f>
        <v/>
      </c>
      <c r="Y1741" s="15">
        <f>IF($AN1741="","",IF(INDEX(職員マスタ!$K$6:$K$405,$AN1741)="","",INDEX(職員マスタ!$K$6:$K$405,$AN1741)))</f>
        <v/>
      </c>
      <c r="Z1741" s="14">
        <f>IF(OR($E1741="",$Y1741=""),"",IF($E1741&gt;=$Y1741,"×",IF($E1741&gt;=$Y1741*設定!$C$5,"△","○")))</f>
        <v/>
      </c>
      <c r="AA1741" s="15">
        <f>IF($Z1741="","",IF($Z1741="×",0,IF($Z1741="○",ROUNDDOWN($E1741*設定!$C$4,0),ROUNDDOWN($E1741*ROUND((9*$Y1741-9*$E1741)/(10*$E1741),4),0))))</f>
        <v/>
      </c>
      <c r="AB1741" s="13" t="n"/>
      <c r="AC1741" s="15">
        <f>IF($B1741="","",IF($AB1741&lt;&gt;"",$AB1741,IF($AA1741="","",IF($AA1741&lt;=設定!$C$3,0,$AA1741))))</f>
        <v/>
      </c>
      <c r="AD1741" s="14">
        <f>IF($B1741="","",IF(AND($AE1741&lt;&gt;"",$AG1741="",$AJ1741=""),"保留中",IF($AJ1741&lt;&gt;"",IF(N($AC1741)&gt;0,"支給済","不支給"),IF($AC1741="","要確認",IF($AC1741=0,"不支給","未処理")))))</f>
        <v/>
      </c>
      <c r="AE1741" s="12" t="n"/>
      <c r="AF1741" s="11" t="n"/>
      <c r="AG1741" s="11" t="n"/>
      <c r="AH1741" s="11" t="n"/>
      <c r="AI1741" s="14">
        <f>IF(AND($AD1741="保留中",$AF1741&lt;&gt;""),TODAY()-$AF1741,"")</f>
        <v/>
      </c>
      <c r="AJ1741" s="12" t="n"/>
      <c r="AK1741" s="14">
        <f>IF($B1741="","",IF($AO1741="","対象年月が未入力／","")&amp;IF($B1741="","",IF($AN1741="","職員マスタに未登録の職員番号／",IF($Y1741="","標準報酬月額が未登録／","")&amp;IF(AND($AO1741&lt;&gt;"",OR(AND(INDEX(職員マスタ!$G$6:$G$405,$AN1741)&lt;&gt;"",INDEX(職員マスタ!$G$6:$G$405,$AN1741)&gt;EOMONTH($AO1741,0)),AND(INDEX(職員マスタ!$H$6:$H$405,$AN1741)&lt;&gt;"",INDEX(職員マスタ!$H$6:$H$405,$AN1741)&lt;$AO1741))),"対象月が時短期間外／","")&amp;IF(AND(INDEX(職員マスタ!$F$6:$F$405,$AN1741)&lt;&gt;"",$AO1741&lt;&gt;"",INDEX(職員マスタ!$F$6:$F$405,$AN1741)&lt;$AO1741),"対象月に子が2歳到達済／","")&amp;IF(AND($H1741&lt;&gt;"",INDEX(職員マスタ!$B$6:$B$405,$AN1741)&lt;&gt;"",SUBSTITUTE(SUBSTITUTE($H1741," ","")," ","")&lt;&gt;SUBSTITUTE(SUBSTITUTE(INDEX(職員マスタ!$B$6:$B$405,$AN1741)," ","")," ","")),"氏名がマスタと相違／","")&amp;IF(AND($Q1741&lt;&gt;"",INDEX(職員マスタ!$E$6:$E$405,$AN1741)&lt;&gt;"",$Q1741&lt;&gt;INDEX(職員マスタ!$E$6:$E$405,$AN1741)),"子の生年月日がマスタと相違／","")&amp;IF(AND($L1741&lt;&gt;"",INDEX(職員マスタ!$G$6:$G$405,$AN1741)&lt;&gt;"",$L1741&lt;&gt;INDEX(職員マスタ!$G$6:$G$405,$AN1741)),"時短開始日がマスタと相違／","")&amp;IF(AND($M1741&lt;&gt;"",INDEX(職員マスタ!$H$6:$H$405,$AN1741)&lt;&gt;"",$M1741&lt;&gt;INDEX(職員マスタ!$H$6:$H$405,$AN1741)),"時短終了日がマスタと相違／","")))&amp;IF(AND($B1741&lt;&gt;"",$E1741=""),"報酬額が未入力／","")&amp;IF(N($U1741)&gt;0,"申請書に入力エラーが残っています／","")&amp;IF(AND($B1741&lt;&gt;"",$AO1741&lt;&gt;""),IF(COUNTIFS($B$6:$B$3005,$B1741,$C$6:$C$3005,$C1741,$D$6:$D$3005,$D1741)&gt;1,"同じ月の請求が重複しています／",""),"")&amp;IF(AND(N($E1741)&gt;0,$Z1741&lt;&gt;"",$Z1741&lt;&gt;"×",$AC1741=0,$AB1741=""),"計算額が下限以下のため不支給／",""))</f>
        <v/>
      </c>
      <c r="AL1741" s="12" t="n"/>
      <c r="AM1741" s="14">
        <f>IF($AD1741="保留中",COUNTIF($AD$6:$AD1741,"保留中"),"")</f>
        <v/>
      </c>
      <c r="AN1741" s="14">
        <f>IF($AO1741="","",IF(SUMPRODUCT(MAX((職員マスタ!$A$6:$A$405=$B1741)*(((職員マスタ!$G$6:$G$405="")+(職員マスタ!$G$6:$G$405&lt;=EOMONTH($AO1741,0)))&gt;0)*(((職員マスタ!$H$6:$H$405="")+(職員マスタ!$H$6:$H$405&gt;=$AO1741))&gt;0)*(ROW(職員マスタ!$A$6:$A$405)-5)))&gt;0,SUMPRODUCT(MAX((職員マスタ!$A$6:$A$405=$B1741)*(((職員マスタ!$G$6:$G$405="")+(職員マスタ!$G$6:$G$405&lt;=EOMONTH($AO1741,0)))&gt;0)*(((職員マスタ!$H$6:$H$405="")+(職員マスタ!$H$6:$H$405&gt;=$AO1741))&gt;0)*(ROW(職員マスタ!$A$6:$A$405)-5))),IFERROR(MATCH($B1741,職員マスタ!$A$6:$A$405,0),"")))</f>
        <v/>
      </c>
      <c r="AO1741" s="16">
        <f>IF(OR($B1741="",$C1741="",$D1741=""),"",DATE($C1741+2018,$D1741,1))</f>
        <v/>
      </c>
    </row>
    <row r="1742">
      <c r="A1742" s="11" t="n"/>
      <c r="B1742" s="12" t="n"/>
      <c r="C1742" s="12" t="n"/>
      <c r="D1742" s="12" t="n"/>
      <c r="E1742" s="13" t="n"/>
      <c r="F1742" s="12" t="n"/>
      <c r="G1742" s="13" t="n"/>
      <c r="H1742" s="12" t="n"/>
      <c r="I1742" s="12" t="n"/>
      <c r="J1742" s="12" t="n"/>
      <c r="K1742" s="12" t="n"/>
      <c r="L1742" s="11" t="n"/>
      <c r="M1742" s="11" t="n"/>
      <c r="N1742" s="11" t="n"/>
      <c r="O1742" s="11" t="n"/>
      <c r="P1742" s="12" t="n"/>
      <c r="Q1742" s="11" t="n"/>
      <c r="R1742" s="12" t="n"/>
      <c r="S1742" s="11" t="n"/>
      <c r="T1742" s="12" t="n"/>
      <c r="U1742" s="12" t="n"/>
      <c r="V1742" s="14">
        <f>IF($AN1742="",IF($B1742="","",$H1742),IF(INDEX(職員マスタ!$B$6:$B$405,$AN1742)="",$H1742,INDEX(職員マスタ!$B$6:$B$405,$AN1742)))</f>
        <v/>
      </c>
      <c r="W1742" s="14">
        <f>IF($AN1742="",IF($B1742="","",$R1742),IF(INDEX(職員マスタ!$C$6:$C$405,$AN1742)="",$R1742,INDEX(職員マスタ!$C$6:$C$405,$AN1742)))</f>
        <v/>
      </c>
      <c r="X1742" s="14">
        <f>IF($AO1742="","","R"&amp;$C1742&amp;"."&amp;$D1742)</f>
        <v/>
      </c>
      <c r="Y1742" s="15">
        <f>IF($AN1742="","",IF(INDEX(職員マスタ!$K$6:$K$405,$AN1742)="","",INDEX(職員マスタ!$K$6:$K$405,$AN1742)))</f>
        <v/>
      </c>
      <c r="Z1742" s="14">
        <f>IF(OR($E1742="",$Y1742=""),"",IF($E1742&gt;=$Y1742,"×",IF($E1742&gt;=$Y1742*設定!$C$5,"△","○")))</f>
        <v/>
      </c>
      <c r="AA1742" s="15">
        <f>IF($Z1742="","",IF($Z1742="×",0,IF($Z1742="○",ROUNDDOWN($E1742*設定!$C$4,0),ROUNDDOWN($E1742*ROUND((9*$Y1742-9*$E1742)/(10*$E1742),4),0))))</f>
        <v/>
      </c>
      <c r="AB1742" s="13" t="n"/>
      <c r="AC1742" s="15">
        <f>IF($B1742="","",IF($AB1742&lt;&gt;"",$AB1742,IF($AA1742="","",IF($AA1742&lt;=設定!$C$3,0,$AA1742))))</f>
        <v/>
      </c>
      <c r="AD1742" s="14">
        <f>IF($B1742="","",IF(AND($AE1742&lt;&gt;"",$AG1742="",$AJ1742=""),"保留中",IF($AJ1742&lt;&gt;"",IF(N($AC1742)&gt;0,"支給済","不支給"),IF($AC1742="","要確認",IF($AC1742=0,"不支給","未処理")))))</f>
        <v/>
      </c>
      <c r="AE1742" s="12" t="n"/>
      <c r="AF1742" s="11" t="n"/>
      <c r="AG1742" s="11" t="n"/>
      <c r="AH1742" s="11" t="n"/>
      <c r="AI1742" s="14">
        <f>IF(AND($AD1742="保留中",$AF1742&lt;&gt;""),TODAY()-$AF1742,"")</f>
        <v/>
      </c>
      <c r="AJ1742" s="12" t="n"/>
      <c r="AK1742" s="14">
        <f>IF($B1742="","",IF($AO1742="","対象年月が未入力／","")&amp;IF($B1742="","",IF($AN1742="","職員マスタに未登録の職員番号／",IF($Y1742="","標準報酬月額が未登録／","")&amp;IF(AND($AO1742&lt;&gt;"",OR(AND(INDEX(職員マスタ!$G$6:$G$405,$AN1742)&lt;&gt;"",INDEX(職員マスタ!$G$6:$G$405,$AN1742)&gt;EOMONTH($AO1742,0)),AND(INDEX(職員マスタ!$H$6:$H$405,$AN1742)&lt;&gt;"",INDEX(職員マスタ!$H$6:$H$405,$AN1742)&lt;$AO1742))),"対象月が時短期間外／","")&amp;IF(AND(INDEX(職員マスタ!$F$6:$F$405,$AN1742)&lt;&gt;"",$AO1742&lt;&gt;"",INDEX(職員マスタ!$F$6:$F$405,$AN1742)&lt;$AO1742),"対象月に子が2歳到達済／","")&amp;IF(AND($H1742&lt;&gt;"",INDEX(職員マスタ!$B$6:$B$405,$AN1742)&lt;&gt;"",SUBSTITUTE(SUBSTITUTE($H1742," ","")," ","")&lt;&gt;SUBSTITUTE(SUBSTITUTE(INDEX(職員マスタ!$B$6:$B$405,$AN1742)," ","")," ","")),"氏名がマスタと相違／","")&amp;IF(AND($Q1742&lt;&gt;"",INDEX(職員マスタ!$E$6:$E$405,$AN1742)&lt;&gt;"",$Q1742&lt;&gt;INDEX(職員マスタ!$E$6:$E$405,$AN1742)),"子の生年月日がマスタと相違／","")&amp;IF(AND($L1742&lt;&gt;"",INDEX(職員マスタ!$G$6:$G$405,$AN1742)&lt;&gt;"",$L1742&lt;&gt;INDEX(職員マスタ!$G$6:$G$405,$AN1742)),"時短開始日がマスタと相違／","")&amp;IF(AND($M1742&lt;&gt;"",INDEX(職員マスタ!$H$6:$H$405,$AN1742)&lt;&gt;"",$M1742&lt;&gt;INDEX(職員マスタ!$H$6:$H$405,$AN1742)),"時短終了日がマスタと相違／","")))&amp;IF(AND($B1742&lt;&gt;"",$E1742=""),"報酬額が未入力／","")&amp;IF(N($U1742)&gt;0,"申請書に入力エラーが残っています／","")&amp;IF(AND($B1742&lt;&gt;"",$AO1742&lt;&gt;""),IF(COUNTIFS($B$6:$B$3005,$B1742,$C$6:$C$3005,$C1742,$D$6:$D$3005,$D1742)&gt;1,"同じ月の請求が重複しています／",""),"")&amp;IF(AND(N($E1742)&gt;0,$Z1742&lt;&gt;"",$Z1742&lt;&gt;"×",$AC1742=0,$AB1742=""),"計算額が下限以下のため不支給／",""))</f>
        <v/>
      </c>
      <c r="AL1742" s="12" t="n"/>
      <c r="AM1742" s="14">
        <f>IF($AD1742="保留中",COUNTIF($AD$6:$AD1742,"保留中"),"")</f>
        <v/>
      </c>
      <c r="AN1742" s="14">
        <f>IF($AO1742="","",IF(SUMPRODUCT(MAX((職員マスタ!$A$6:$A$405=$B1742)*(((職員マスタ!$G$6:$G$405="")+(職員マスタ!$G$6:$G$405&lt;=EOMONTH($AO1742,0)))&gt;0)*(((職員マスタ!$H$6:$H$405="")+(職員マスタ!$H$6:$H$405&gt;=$AO1742))&gt;0)*(ROW(職員マスタ!$A$6:$A$405)-5)))&gt;0,SUMPRODUCT(MAX((職員マスタ!$A$6:$A$405=$B1742)*(((職員マスタ!$G$6:$G$405="")+(職員マスタ!$G$6:$G$405&lt;=EOMONTH($AO1742,0)))&gt;0)*(((職員マスタ!$H$6:$H$405="")+(職員マスタ!$H$6:$H$405&gt;=$AO1742))&gt;0)*(ROW(職員マスタ!$A$6:$A$405)-5))),IFERROR(MATCH($B1742,職員マスタ!$A$6:$A$405,0),"")))</f>
        <v/>
      </c>
      <c r="AO1742" s="16">
        <f>IF(OR($B1742="",$C1742="",$D1742=""),"",DATE($C1742+2018,$D1742,1))</f>
        <v/>
      </c>
    </row>
    <row r="1743">
      <c r="A1743" s="11" t="n"/>
      <c r="B1743" s="12" t="n"/>
      <c r="C1743" s="12" t="n"/>
      <c r="D1743" s="12" t="n"/>
      <c r="E1743" s="13" t="n"/>
      <c r="F1743" s="12" t="n"/>
      <c r="G1743" s="13" t="n"/>
      <c r="H1743" s="12" t="n"/>
      <c r="I1743" s="12" t="n"/>
      <c r="J1743" s="12" t="n"/>
      <c r="K1743" s="12" t="n"/>
      <c r="L1743" s="11" t="n"/>
      <c r="M1743" s="11" t="n"/>
      <c r="N1743" s="11" t="n"/>
      <c r="O1743" s="11" t="n"/>
      <c r="P1743" s="12" t="n"/>
      <c r="Q1743" s="11" t="n"/>
      <c r="R1743" s="12" t="n"/>
      <c r="S1743" s="11" t="n"/>
      <c r="T1743" s="12" t="n"/>
      <c r="U1743" s="12" t="n"/>
      <c r="V1743" s="14">
        <f>IF($AN1743="",IF($B1743="","",$H1743),IF(INDEX(職員マスタ!$B$6:$B$405,$AN1743)="",$H1743,INDEX(職員マスタ!$B$6:$B$405,$AN1743)))</f>
        <v/>
      </c>
      <c r="W1743" s="14">
        <f>IF($AN1743="",IF($B1743="","",$R1743),IF(INDEX(職員マスタ!$C$6:$C$405,$AN1743)="",$R1743,INDEX(職員マスタ!$C$6:$C$405,$AN1743)))</f>
        <v/>
      </c>
      <c r="X1743" s="14">
        <f>IF($AO1743="","","R"&amp;$C1743&amp;"."&amp;$D1743)</f>
        <v/>
      </c>
      <c r="Y1743" s="15">
        <f>IF($AN1743="","",IF(INDEX(職員マスタ!$K$6:$K$405,$AN1743)="","",INDEX(職員マスタ!$K$6:$K$405,$AN1743)))</f>
        <v/>
      </c>
      <c r="Z1743" s="14">
        <f>IF(OR($E1743="",$Y1743=""),"",IF($E1743&gt;=$Y1743,"×",IF($E1743&gt;=$Y1743*設定!$C$5,"△","○")))</f>
        <v/>
      </c>
      <c r="AA1743" s="15">
        <f>IF($Z1743="","",IF($Z1743="×",0,IF($Z1743="○",ROUNDDOWN($E1743*設定!$C$4,0),ROUNDDOWN($E1743*ROUND((9*$Y1743-9*$E1743)/(10*$E1743),4),0))))</f>
        <v/>
      </c>
      <c r="AB1743" s="13" t="n"/>
      <c r="AC1743" s="15">
        <f>IF($B1743="","",IF($AB1743&lt;&gt;"",$AB1743,IF($AA1743="","",IF($AA1743&lt;=設定!$C$3,0,$AA1743))))</f>
        <v/>
      </c>
      <c r="AD1743" s="14">
        <f>IF($B1743="","",IF(AND($AE1743&lt;&gt;"",$AG1743="",$AJ1743=""),"保留中",IF($AJ1743&lt;&gt;"",IF(N($AC1743)&gt;0,"支給済","不支給"),IF($AC1743="","要確認",IF($AC1743=0,"不支給","未処理")))))</f>
        <v/>
      </c>
      <c r="AE1743" s="12" t="n"/>
      <c r="AF1743" s="11" t="n"/>
      <c r="AG1743" s="11" t="n"/>
      <c r="AH1743" s="11" t="n"/>
      <c r="AI1743" s="14">
        <f>IF(AND($AD1743="保留中",$AF1743&lt;&gt;""),TODAY()-$AF1743,"")</f>
        <v/>
      </c>
      <c r="AJ1743" s="12" t="n"/>
      <c r="AK1743" s="14">
        <f>IF($B1743="","",IF($AO1743="","対象年月が未入力／","")&amp;IF($B1743="","",IF($AN1743="","職員マスタに未登録の職員番号／",IF($Y1743="","標準報酬月額が未登録／","")&amp;IF(AND($AO1743&lt;&gt;"",OR(AND(INDEX(職員マスタ!$G$6:$G$405,$AN1743)&lt;&gt;"",INDEX(職員マスタ!$G$6:$G$405,$AN1743)&gt;EOMONTH($AO1743,0)),AND(INDEX(職員マスタ!$H$6:$H$405,$AN1743)&lt;&gt;"",INDEX(職員マスタ!$H$6:$H$405,$AN1743)&lt;$AO1743))),"対象月が時短期間外／","")&amp;IF(AND(INDEX(職員マスタ!$F$6:$F$405,$AN1743)&lt;&gt;"",$AO1743&lt;&gt;"",INDEX(職員マスタ!$F$6:$F$405,$AN1743)&lt;$AO1743),"対象月に子が2歳到達済／","")&amp;IF(AND($H1743&lt;&gt;"",INDEX(職員マスタ!$B$6:$B$405,$AN1743)&lt;&gt;"",SUBSTITUTE(SUBSTITUTE($H1743," ","")," ","")&lt;&gt;SUBSTITUTE(SUBSTITUTE(INDEX(職員マスタ!$B$6:$B$405,$AN1743)," ","")," ","")),"氏名がマスタと相違／","")&amp;IF(AND($Q1743&lt;&gt;"",INDEX(職員マスタ!$E$6:$E$405,$AN1743)&lt;&gt;"",$Q1743&lt;&gt;INDEX(職員マスタ!$E$6:$E$405,$AN1743)),"子の生年月日がマスタと相違／","")&amp;IF(AND($L1743&lt;&gt;"",INDEX(職員マスタ!$G$6:$G$405,$AN1743)&lt;&gt;"",$L1743&lt;&gt;INDEX(職員マスタ!$G$6:$G$405,$AN1743)),"時短開始日がマスタと相違／","")&amp;IF(AND($M1743&lt;&gt;"",INDEX(職員マスタ!$H$6:$H$405,$AN1743)&lt;&gt;"",$M1743&lt;&gt;INDEX(職員マスタ!$H$6:$H$405,$AN1743)),"時短終了日がマスタと相違／","")))&amp;IF(AND($B1743&lt;&gt;"",$E1743=""),"報酬額が未入力／","")&amp;IF(N($U1743)&gt;0,"申請書に入力エラーが残っています／","")&amp;IF(AND($B1743&lt;&gt;"",$AO1743&lt;&gt;""),IF(COUNTIFS($B$6:$B$3005,$B1743,$C$6:$C$3005,$C1743,$D$6:$D$3005,$D1743)&gt;1,"同じ月の請求が重複しています／",""),"")&amp;IF(AND(N($E1743)&gt;0,$Z1743&lt;&gt;"",$Z1743&lt;&gt;"×",$AC1743=0,$AB1743=""),"計算額が下限以下のため不支給／",""))</f>
        <v/>
      </c>
      <c r="AL1743" s="12" t="n"/>
      <c r="AM1743" s="14">
        <f>IF($AD1743="保留中",COUNTIF($AD$6:$AD1743,"保留中"),"")</f>
        <v/>
      </c>
      <c r="AN1743" s="14">
        <f>IF($AO1743="","",IF(SUMPRODUCT(MAX((職員マスタ!$A$6:$A$405=$B1743)*(((職員マスタ!$G$6:$G$405="")+(職員マスタ!$G$6:$G$405&lt;=EOMONTH($AO1743,0)))&gt;0)*(((職員マスタ!$H$6:$H$405="")+(職員マスタ!$H$6:$H$405&gt;=$AO1743))&gt;0)*(ROW(職員マスタ!$A$6:$A$405)-5)))&gt;0,SUMPRODUCT(MAX((職員マスタ!$A$6:$A$405=$B1743)*(((職員マスタ!$G$6:$G$405="")+(職員マスタ!$G$6:$G$405&lt;=EOMONTH($AO1743,0)))&gt;0)*(((職員マスタ!$H$6:$H$405="")+(職員マスタ!$H$6:$H$405&gt;=$AO1743))&gt;0)*(ROW(職員マスタ!$A$6:$A$405)-5))),IFERROR(MATCH($B1743,職員マスタ!$A$6:$A$405,0),"")))</f>
        <v/>
      </c>
      <c r="AO1743" s="16">
        <f>IF(OR($B1743="",$C1743="",$D1743=""),"",DATE($C1743+2018,$D1743,1))</f>
        <v/>
      </c>
    </row>
    <row r="1744">
      <c r="A1744" s="11" t="n"/>
      <c r="B1744" s="12" t="n"/>
      <c r="C1744" s="12" t="n"/>
      <c r="D1744" s="12" t="n"/>
      <c r="E1744" s="13" t="n"/>
      <c r="F1744" s="12" t="n"/>
      <c r="G1744" s="13" t="n"/>
      <c r="H1744" s="12" t="n"/>
      <c r="I1744" s="12" t="n"/>
      <c r="J1744" s="12" t="n"/>
      <c r="K1744" s="12" t="n"/>
      <c r="L1744" s="11" t="n"/>
      <c r="M1744" s="11" t="n"/>
      <c r="N1744" s="11" t="n"/>
      <c r="O1744" s="11" t="n"/>
      <c r="P1744" s="12" t="n"/>
      <c r="Q1744" s="11" t="n"/>
      <c r="R1744" s="12" t="n"/>
      <c r="S1744" s="11" t="n"/>
      <c r="T1744" s="12" t="n"/>
      <c r="U1744" s="12" t="n"/>
      <c r="V1744" s="14">
        <f>IF($AN1744="",IF($B1744="","",$H1744),IF(INDEX(職員マスタ!$B$6:$B$405,$AN1744)="",$H1744,INDEX(職員マスタ!$B$6:$B$405,$AN1744)))</f>
        <v/>
      </c>
      <c r="W1744" s="14">
        <f>IF($AN1744="",IF($B1744="","",$R1744),IF(INDEX(職員マスタ!$C$6:$C$405,$AN1744)="",$R1744,INDEX(職員マスタ!$C$6:$C$405,$AN1744)))</f>
        <v/>
      </c>
      <c r="X1744" s="14">
        <f>IF($AO1744="","","R"&amp;$C1744&amp;"."&amp;$D1744)</f>
        <v/>
      </c>
      <c r="Y1744" s="15">
        <f>IF($AN1744="","",IF(INDEX(職員マスタ!$K$6:$K$405,$AN1744)="","",INDEX(職員マスタ!$K$6:$K$405,$AN1744)))</f>
        <v/>
      </c>
      <c r="Z1744" s="14">
        <f>IF(OR($E1744="",$Y1744=""),"",IF($E1744&gt;=$Y1744,"×",IF($E1744&gt;=$Y1744*設定!$C$5,"△","○")))</f>
        <v/>
      </c>
      <c r="AA1744" s="15">
        <f>IF($Z1744="","",IF($Z1744="×",0,IF($Z1744="○",ROUNDDOWN($E1744*設定!$C$4,0),ROUNDDOWN($E1744*ROUND((9*$Y1744-9*$E1744)/(10*$E1744),4),0))))</f>
        <v/>
      </c>
      <c r="AB1744" s="13" t="n"/>
      <c r="AC1744" s="15">
        <f>IF($B1744="","",IF($AB1744&lt;&gt;"",$AB1744,IF($AA1744="","",IF($AA1744&lt;=設定!$C$3,0,$AA1744))))</f>
        <v/>
      </c>
      <c r="AD1744" s="14">
        <f>IF($B1744="","",IF(AND($AE1744&lt;&gt;"",$AG1744="",$AJ1744=""),"保留中",IF($AJ1744&lt;&gt;"",IF(N($AC1744)&gt;0,"支給済","不支給"),IF($AC1744="","要確認",IF($AC1744=0,"不支給","未処理")))))</f>
        <v/>
      </c>
      <c r="AE1744" s="12" t="n"/>
      <c r="AF1744" s="11" t="n"/>
      <c r="AG1744" s="11" t="n"/>
      <c r="AH1744" s="11" t="n"/>
      <c r="AI1744" s="14">
        <f>IF(AND($AD1744="保留中",$AF1744&lt;&gt;""),TODAY()-$AF1744,"")</f>
        <v/>
      </c>
      <c r="AJ1744" s="12" t="n"/>
      <c r="AK1744" s="14">
        <f>IF($B1744="","",IF($AO1744="","対象年月が未入力／","")&amp;IF($B1744="","",IF($AN1744="","職員マスタに未登録の職員番号／",IF($Y1744="","標準報酬月額が未登録／","")&amp;IF(AND($AO1744&lt;&gt;"",OR(AND(INDEX(職員マスタ!$G$6:$G$405,$AN1744)&lt;&gt;"",INDEX(職員マスタ!$G$6:$G$405,$AN1744)&gt;EOMONTH($AO1744,0)),AND(INDEX(職員マスタ!$H$6:$H$405,$AN1744)&lt;&gt;"",INDEX(職員マスタ!$H$6:$H$405,$AN1744)&lt;$AO1744))),"対象月が時短期間外／","")&amp;IF(AND(INDEX(職員マスタ!$F$6:$F$405,$AN1744)&lt;&gt;"",$AO1744&lt;&gt;"",INDEX(職員マスタ!$F$6:$F$405,$AN1744)&lt;$AO1744),"対象月に子が2歳到達済／","")&amp;IF(AND($H1744&lt;&gt;"",INDEX(職員マスタ!$B$6:$B$405,$AN1744)&lt;&gt;"",SUBSTITUTE(SUBSTITUTE($H1744," ","")," ","")&lt;&gt;SUBSTITUTE(SUBSTITUTE(INDEX(職員マスタ!$B$6:$B$405,$AN1744)," ","")," ","")),"氏名がマスタと相違／","")&amp;IF(AND($Q1744&lt;&gt;"",INDEX(職員マスタ!$E$6:$E$405,$AN1744)&lt;&gt;"",$Q1744&lt;&gt;INDEX(職員マスタ!$E$6:$E$405,$AN1744)),"子の生年月日がマスタと相違／","")&amp;IF(AND($L1744&lt;&gt;"",INDEX(職員マスタ!$G$6:$G$405,$AN1744)&lt;&gt;"",$L1744&lt;&gt;INDEX(職員マスタ!$G$6:$G$405,$AN1744)),"時短開始日がマスタと相違／","")&amp;IF(AND($M1744&lt;&gt;"",INDEX(職員マスタ!$H$6:$H$405,$AN1744)&lt;&gt;"",$M1744&lt;&gt;INDEX(職員マスタ!$H$6:$H$405,$AN1744)),"時短終了日がマスタと相違／","")))&amp;IF(AND($B1744&lt;&gt;"",$E1744=""),"報酬額が未入力／","")&amp;IF(N($U1744)&gt;0,"申請書に入力エラーが残っています／","")&amp;IF(AND($B1744&lt;&gt;"",$AO1744&lt;&gt;""),IF(COUNTIFS($B$6:$B$3005,$B1744,$C$6:$C$3005,$C1744,$D$6:$D$3005,$D1744)&gt;1,"同じ月の請求が重複しています／",""),"")&amp;IF(AND(N($E1744)&gt;0,$Z1744&lt;&gt;"",$Z1744&lt;&gt;"×",$AC1744=0,$AB1744=""),"計算額が下限以下のため不支給／",""))</f>
        <v/>
      </c>
      <c r="AL1744" s="12" t="n"/>
      <c r="AM1744" s="14">
        <f>IF($AD1744="保留中",COUNTIF($AD$6:$AD1744,"保留中"),"")</f>
        <v/>
      </c>
      <c r="AN1744" s="14">
        <f>IF($AO1744="","",IF(SUMPRODUCT(MAX((職員マスタ!$A$6:$A$405=$B1744)*(((職員マスタ!$G$6:$G$405="")+(職員マスタ!$G$6:$G$405&lt;=EOMONTH($AO1744,0)))&gt;0)*(((職員マスタ!$H$6:$H$405="")+(職員マスタ!$H$6:$H$405&gt;=$AO1744))&gt;0)*(ROW(職員マスタ!$A$6:$A$405)-5)))&gt;0,SUMPRODUCT(MAX((職員マスタ!$A$6:$A$405=$B1744)*(((職員マスタ!$G$6:$G$405="")+(職員マスタ!$G$6:$G$405&lt;=EOMONTH($AO1744,0)))&gt;0)*(((職員マスタ!$H$6:$H$405="")+(職員マスタ!$H$6:$H$405&gt;=$AO1744))&gt;0)*(ROW(職員マスタ!$A$6:$A$405)-5))),IFERROR(MATCH($B1744,職員マスタ!$A$6:$A$405,0),"")))</f>
        <v/>
      </c>
      <c r="AO1744" s="16">
        <f>IF(OR($B1744="",$C1744="",$D1744=""),"",DATE($C1744+2018,$D1744,1))</f>
        <v/>
      </c>
    </row>
    <row r="1745">
      <c r="A1745" s="11" t="n"/>
      <c r="B1745" s="12" t="n"/>
      <c r="C1745" s="12" t="n"/>
      <c r="D1745" s="12" t="n"/>
      <c r="E1745" s="13" t="n"/>
      <c r="F1745" s="12" t="n"/>
      <c r="G1745" s="13" t="n"/>
      <c r="H1745" s="12" t="n"/>
      <c r="I1745" s="12" t="n"/>
      <c r="J1745" s="12" t="n"/>
      <c r="K1745" s="12" t="n"/>
      <c r="L1745" s="11" t="n"/>
      <c r="M1745" s="11" t="n"/>
      <c r="N1745" s="11" t="n"/>
      <c r="O1745" s="11" t="n"/>
      <c r="P1745" s="12" t="n"/>
      <c r="Q1745" s="11" t="n"/>
      <c r="R1745" s="12" t="n"/>
      <c r="S1745" s="11" t="n"/>
      <c r="T1745" s="12" t="n"/>
      <c r="U1745" s="12" t="n"/>
      <c r="V1745" s="14">
        <f>IF($AN1745="",IF($B1745="","",$H1745),IF(INDEX(職員マスタ!$B$6:$B$405,$AN1745)="",$H1745,INDEX(職員マスタ!$B$6:$B$405,$AN1745)))</f>
        <v/>
      </c>
      <c r="W1745" s="14">
        <f>IF($AN1745="",IF($B1745="","",$R1745),IF(INDEX(職員マスタ!$C$6:$C$405,$AN1745)="",$R1745,INDEX(職員マスタ!$C$6:$C$405,$AN1745)))</f>
        <v/>
      </c>
      <c r="X1745" s="14">
        <f>IF($AO1745="","","R"&amp;$C1745&amp;"."&amp;$D1745)</f>
        <v/>
      </c>
      <c r="Y1745" s="15">
        <f>IF($AN1745="","",IF(INDEX(職員マスタ!$K$6:$K$405,$AN1745)="","",INDEX(職員マスタ!$K$6:$K$405,$AN1745)))</f>
        <v/>
      </c>
      <c r="Z1745" s="14">
        <f>IF(OR($E1745="",$Y1745=""),"",IF($E1745&gt;=$Y1745,"×",IF($E1745&gt;=$Y1745*設定!$C$5,"△","○")))</f>
        <v/>
      </c>
      <c r="AA1745" s="15">
        <f>IF($Z1745="","",IF($Z1745="×",0,IF($Z1745="○",ROUNDDOWN($E1745*設定!$C$4,0),ROUNDDOWN($E1745*ROUND((9*$Y1745-9*$E1745)/(10*$E1745),4),0))))</f>
        <v/>
      </c>
      <c r="AB1745" s="13" t="n"/>
      <c r="AC1745" s="15">
        <f>IF($B1745="","",IF($AB1745&lt;&gt;"",$AB1745,IF($AA1745="","",IF($AA1745&lt;=設定!$C$3,0,$AA1745))))</f>
        <v/>
      </c>
      <c r="AD1745" s="14">
        <f>IF($B1745="","",IF(AND($AE1745&lt;&gt;"",$AG1745="",$AJ1745=""),"保留中",IF($AJ1745&lt;&gt;"",IF(N($AC1745)&gt;0,"支給済","不支給"),IF($AC1745="","要確認",IF($AC1745=0,"不支給","未処理")))))</f>
        <v/>
      </c>
      <c r="AE1745" s="12" t="n"/>
      <c r="AF1745" s="11" t="n"/>
      <c r="AG1745" s="11" t="n"/>
      <c r="AH1745" s="11" t="n"/>
      <c r="AI1745" s="14">
        <f>IF(AND($AD1745="保留中",$AF1745&lt;&gt;""),TODAY()-$AF1745,"")</f>
        <v/>
      </c>
      <c r="AJ1745" s="12" t="n"/>
      <c r="AK1745" s="14">
        <f>IF($B1745="","",IF($AO1745="","対象年月が未入力／","")&amp;IF($B1745="","",IF($AN1745="","職員マスタに未登録の職員番号／",IF($Y1745="","標準報酬月額が未登録／","")&amp;IF(AND($AO1745&lt;&gt;"",OR(AND(INDEX(職員マスタ!$G$6:$G$405,$AN1745)&lt;&gt;"",INDEX(職員マスタ!$G$6:$G$405,$AN1745)&gt;EOMONTH($AO1745,0)),AND(INDEX(職員マスタ!$H$6:$H$405,$AN1745)&lt;&gt;"",INDEX(職員マスタ!$H$6:$H$405,$AN1745)&lt;$AO1745))),"対象月が時短期間外／","")&amp;IF(AND(INDEX(職員マスタ!$F$6:$F$405,$AN1745)&lt;&gt;"",$AO1745&lt;&gt;"",INDEX(職員マスタ!$F$6:$F$405,$AN1745)&lt;$AO1745),"対象月に子が2歳到達済／","")&amp;IF(AND($H1745&lt;&gt;"",INDEX(職員マスタ!$B$6:$B$405,$AN1745)&lt;&gt;"",SUBSTITUTE(SUBSTITUTE($H1745," ","")," ","")&lt;&gt;SUBSTITUTE(SUBSTITUTE(INDEX(職員マスタ!$B$6:$B$405,$AN1745)," ","")," ","")),"氏名がマスタと相違／","")&amp;IF(AND($Q1745&lt;&gt;"",INDEX(職員マスタ!$E$6:$E$405,$AN1745)&lt;&gt;"",$Q1745&lt;&gt;INDEX(職員マスタ!$E$6:$E$405,$AN1745)),"子の生年月日がマスタと相違／","")&amp;IF(AND($L1745&lt;&gt;"",INDEX(職員マスタ!$G$6:$G$405,$AN1745)&lt;&gt;"",$L1745&lt;&gt;INDEX(職員マスタ!$G$6:$G$405,$AN1745)),"時短開始日がマスタと相違／","")&amp;IF(AND($M1745&lt;&gt;"",INDEX(職員マスタ!$H$6:$H$405,$AN1745)&lt;&gt;"",$M1745&lt;&gt;INDEX(職員マスタ!$H$6:$H$405,$AN1745)),"時短終了日がマスタと相違／","")))&amp;IF(AND($B1745&lt;&gt;"",$E1745=""),"報酬額が未入力／","")&amp;IF(N($U1745)&gt;0,"申請書に入力エラーが残っています／","")&amp;IF(AND($B1745&lt;&gt;"",$AO1745&lt;&gt;""),IF(COUNTIFS($B$6:$B$3005,$B1745,$C$6:$C$3005,$C1745,$D$6:$D$3005,$D1745)&gt;1,"同じ月の請求が重複しています／",""),"")&amp;IF(AND(N($E1745)&gt;0,$Z1745&lt;&gt;"",$Z1745&lt;&gt;"×",$AC1745=0,$AB1745=""),"計算額が下限以下のため不支給／",""))</f>
        <v/>
      </c>
      <c r="AL1745" s="12" t="n"/>
      <c r="AM1745" s="14">
        <f>IF($AD1745="保留中",COUNTIF($AD$6:$AD1745,"保留中"),"")</f>
        <v/>
      </c>
      <c r="AN1745" s="14">
        <f>IF($AO1745="","",IF(SUMPRODUCT(MAX((職員マスタ!$A$6:$A$405=$B1745)*(((職員マスタ!$G$6:$G$405="")+(職員マスタ!$G$6:$G$405&lt;=EOMONTH($AO1745,0)))&gt;0)*(((職員マスタ!$H$6:$H$405="")+(職員マスタ!$H$6:$H$405&gt;=$AO1745))&gt;0)*(ROW(職員マスタ!$A$6:$A$405)-5)))&gt;0,SUMPRODUCT(MAX((職員マスタ!$A$6:$A$405=$B1745)*(((職員マスタ!$G$6:$G$405="")+(職員マスタ!$G$6:$G$405&lt;=EOMONTH($AO1745,0)))&gt;0)*(((職員マスタ!$H$6:$H$405="")+(職員マスタ!$H$6:$H$405&gt;=$AO1745))&gt;0)*(ROW(職員マスタ!$A$6:$A$405)-5))),IFERROR(MATCH($B1745,職員マスタ!$A$6:$A$405,0),"")))</f>
        <v/>
      </c>
      <c r="AO1745" s="16">
        <f>IF(OR($B1745="",$C1745="",$D1745=""),"",DATE($C1745+2018,$D1745,1))</f>
        <v/>
      </c>
    </row>
    <row r="1746">
      <c r="A1746" s="11" t="n"/>
      <c r="B1746" s="12" t="n"/>
      <c r="C1746" s="12" t="n"/>
      <c r="D1746" s="12" t="n"/>
      <c r="E1746" s="13" t="n"/>
      <c r="F1746" s="12" t="n"/>
      <c r="G1746" s="13" t="n"/>
      <c r="H1746" s="12" t="n"/>
      <c r="I1746" s="12" t="n"/>
      <c r="J1746" s="12" t="n"/>
      <c r="K1746" s="12" t="n"/>
      <c r="L1746" s="11" t="n"/>
      <c r="M1746" s="11" t="n"/>
      <c r="N1746" s="11" t="n"/>
      <c r="O1746" s="11" t="n"/>
      <c r="P1746" s="12" t="n"/>
      <c r="Q1746" s="11" t="n"/>
      <c r="R1746" s="12" t="n"/>
      <c r="S1746" s="11" t="n"/>
      <c r="T1746" s="12" t="n"/>
      <c r="U1746" s="12" t="n"/>
      <c r="V1746" s="14">
        <f>IF($AN1746="",IF($B1746="","",$H1746),IF(INDEX(職員マスタ!$B$6:$B$405,$AN1746)="",$H1746,INDEX(職員マスタ!$B$6:$B$405,$AN1746)))</f>
        <v/>
      </c>
      <c r="W1746" s="14">
        <f>IF($AN1746="",IF($B1746="","",$R1746),IF(INDEX(職員マスタ!$C$6:$C$405,$AN1746)="",$R1746,INDEX(職員マスタ!$C$6:$C$405,$AN1746)))</f>
        <v/>
      </c>
      <c r="X1746" s="14">
        <f>IF($AO1746="","","R"&amp;$C1746&amp;"."&amp;$D1746)</f>
        <v/>
      </c>
      <c r="Y1746" s="15">
        <f>IF($AN1746="","",IF(INDEX(職員マスタ!$K$6:$K$405,$AN1746)="","",INDEX(職員マスタ!$K$6:$K$405,$AN1746)))</f>
        <v/>
      </c>
      <c r="Z1746" s="14">
        <f>IF(OR($E1746="",$Y1746=""),"",IF($E1746&gt;=$Y1746,"×",IF($E1746&gt;=$Y1746*設定!$C$5,"△","○")))</f>
        <v/>
      </c>
      <c r="AA1746" s="15">
        <f>IF($Z1746="","",IF($Z1746="×",0,IF($Z1746="○",ROUNDDOWN($E1746*設定!$C$4,0),ROUNDDOWN($E1746*ROUND((9*$Y1746-9*$E1746)/(10*$E1746),4),0))))</f>
        <v/>
      </c>
      <c r="AB1746" s="13" t="n"/>
      <c r="AC1746" s="15">
        <f>IF($B1746="","",IF($AB1746&lt;&gt;"",$AB1746,IF($AA1746="","",IF($AA1746&lt;=設定!$C$3,0,$AA1746))))</f>
        <v/>
      </c>
      <c r="AD1746" s="14">
        <f>IF($B1746="","",IF(AND($AE1746&lt;&gt;"",$AG1746="",$AJ1746=""),"保留中",IF($AJ1746&lt;&gt;"",IF(N($AC1746)&gt;0,"支給済","不支給"),IF($AC1746="","要確認",IF($AC1746=0,"不支給","未処理")))))</f>
        <v/>
      </c>
      <c r="AE1746" s="12" t="n"/>
      <c r="AF1746" s="11" t="n"/>
      <c r="AG1746" s="11" t="n"/>
      <c r="AH1746" s="11" t="n"/>
      <c r="AI1746" s="14">
        <f>IF(AND($AD1746="保留中",$AF1746&lt;&gt;""),TODAY()-$AF1746,"")</f>
        <v/>
      </c>
      <c r="AJ1746" s="12" t="n"/>
      <c r="AK1746" s="14">
        <f>IF($B1746="","",IF($AO1746="","対象年月が未入力／","")&amp;IF($B1746="","",IF($AN1746="","職員マスタに未登録の職員番号／",IF($Y1746="","標準報酬月額が未登録／","")&amp;IF(AND($AO1746&lt;&gt;"",OR(AND(INDEX(職員マスタ!$G$6:$G$405,$AN1746)&lt;&gt;"",INDEX(職員マスタ!$G$6:$G$405,$AN1746)&gt;EOMONTH($AO1746,0)),AND(INDEX(職員マスタ!$H$6:$H$405,$AN1746)&lt;&gt;"",INDEX(職員マスタ!$H$6:$H$405,$AN1746)&lt;$AO1746))),"対象月が時短期間外／","")&amp;IF(AND(INDEX(職員マスタ!$F$6:$F$405,$AN1746)&lt;&gt;"",$AO1746&lt;&gt;"",INDEX(職員マスタ!$F$6:$F$405,$AN1746)&lt;$AO1746),"対象月に子が2歳到達済／","")&amp;IF(AND($H1746&lt;&gt;"",INDEX(職員マスタ!$B$6:$B$405,$AN1746)&lt;&gt;"",SUBSTITUTE(SUBSTITUTE($H1746," ","")," ","")&lt;&gt;SUBSTITUTE(SUBSTITUTE(INDEX(職員マスタ!$B$6:$B$405,$AN1746)," ","")," ","")),"氏名がマスタと相違／","")&amp;IF(AND($Q1746&lt;&gt;"",INDEX(職員マスタ!$E$6:$E$405,$AN1746)&lt;&gt;"",$Q1746&lt;&gt;INDEX(職員マスタ!$E$6:$E$405,$AN1746)),"子の生年月日がマスタと相違／","")&amp;IF(AND($L1746&lt;&gt;"",INDEX(職員マスタ!$G$6:$G$405,$AN1746)&lt;&gt;"",$L1746&lt;&gt;INDEX(職員マスタ!$G$6:$G$405,$AN1746)),"時短開始日がマスタと相違／","")&amp;IF(AND($M1746&lt;&gt;"",INDEX(職員マスタ!$H$6:$H$405,$AN1746)&lt;&gt;"",$M1746&lt;&gt;INDEX(職員マスタ!$H$6:$H$405,$AN1746)),"時短終了日がマスタと相違／","")))&amp;IF(AND($B1746&lt;&gt;"",$E1746=""),"報酬額が未入力／","")&amp;IF(N($U1746)&gt;0,"申請書に入力エラーが残っています／","")&amp;IF(AND($B1746&lt;&gt;"",$AO1746&lt;&gt;""),IF(COUNTIFS($B$6:$B$3005,$B1746,$C$6:$C$3005,$C1746,$D$6:$D$3005,$D1746)&gt;1,"同じ月の請求が重複しています／",""),"")&amp;IF(AND(N($E1746)&gt;0,$Z1746&lt;&gt;"",$Z1746&lt;&gt;"×",$AC1746=0,$AB1746=""),"計算額が下限以下のため不支給／",""))</f>
        <v/>
      </c>
      <c r="AL1746" s="12" t="n"/>
      <c r="AM1746" s="14">
        <f>IF($AD1746="保留中",COUNTIF($AD$6:$AD1746,"保留中"),"")</f>
        <v/>
      </c>
      <c r="AN1746" s="14">
        <f>IF($AO1746="","",IF(SUMPRODUCT(MAX((職員マスタ!$A$6:$A$405=$B1746)*(((職員マスタ!$G$6:$G$405="")+(職員マスタ!$G$6:$G$405&lt;=EOMONTH($AO1746,0)))&gt;0)*(((職員マスタ!$H$6:$H$405="")+(職員マスタ!$H$6:$H$405&gt;=$AO1746))&gt;0)*(ROW(職員マスタ!$A$6:$A$405)-5)))&gt;0,SUMPRODUCT(MAX((職員マスタ!$A$6:$A$405=$B1746)*(((職員マスタ!$G$6:$G$405="")+(職員マスタ!$G$6:$G$405&lt;=EOMONTH($AO1746,0)))&gt;0)*(((職員マスタ!$H$6:$H$405="")+(職員マスタ!$H$6:$H$405&gt;=$AO1746))&gt;0)*(ROW(職員マスタ!$A$6:$A$405)-5))),IFERROR(MATCH($B1746,職員マスタ!$A$6:$A$405,0),"")))</f>
        <v/>
      </c>
      <c r="AO1746" s="16">
        <f>IF(OR($B1746="",$C1746="",$D1746=""),"",DATE($C1746+2018,$D1746,1))</f>
        <v/>
      </c>
    </row>
    <row r="1747">
      <c r="A1747" s="11" t="n"/>
      <c r="B1747" s="12" t="n"/>
      <c r="C1747" s="12" t="n"/>
      <c r="D1747" s="12" t="n"/>
      <c r="E1747" s="13" t="n"/>
      <c r="F1747" s="12" t="n"/>
      <c r="G1747" s="13" t="n"/>
      <c r="H1747" s="12" t="n"/>
      <c r="I1747" s="12" t="n"/>
      <c r="J1747" s="12" t="n"/>
      <c r="K1747" s="12" t="n"/>
      <c r="L1747" s="11" t="n"/>
      <c r="M1747" s="11" t="n"/>
      <c r="N1747" s="11" t="n"/>
      <c r="O1747" s="11" t="n"/>
      <c r="P1747" s="12" t="n"/>
      <c r="Q1747" s="11" t="n"/>
      <c r="R1747" s="12" t="n"/>
      <c r="S1747" s="11" t="n"/>
      <c r="T1747" s="12" t="n"/>
      <c r="U1747" s="12" t="n"/>
      <c r="V1747" s="14">
        <f>IF($AN1747="",IF($B1747="","",$H1747),IF(INDEX(職員マスタ!$B$6:$B$405,$AN1747)="",$H1747,INDEX(職員マスタ!$B$6:$B$405,$AN1747)))</f>
        <v/>
      </c>
      <c r="W1747" s="14">
        <f>IF($AN1747="",IF($B1747="","",$R1747),IF(INDEX(職員マスタ!$C$6:$C$405,$AN1747)="",$R1747,INDEX(職員マスタ!$C$6:$C$405,$AN1747)))</f>
        <v/>
      </c>
      <c r="X1747" s="14">
        <f>IF($AO1747="","","R"&amp;$C1747&amp;"."&amp;$D1747)</f>
        <v/>
      </c>
      <c r="Y1747" s="15">
        <f>IF($AN1747="","",IF(INDEX(職員マスタ!$K$6:$K$405,$AN1747)="","",INDEX(職員マスタ!$K$6:$K$405,$AN1747)))</f>
        <v/>
      </c>
      <c r="Z1747" s="14">
        <f>IF(OR($E1747="",$Y1747=""),"",IF($E1747&gt;=$Y1747,"×",IF($E1747&gt;=$Y1747*設定!$C$5,"△","○")))</f>
        <v/>
      </c>
      <c r="AA1747" s="15">
        <f>IF($Z1747="","",IF($Z1747="×",0,IF($Z1747="○",ROUNDDOWN($E1747*設定!$C$4,0),ROUNDDOWN($E1747*ROUND((9*$Y1747-9*$E1747)/(10*$E1747),4),0))))</f>
        <v/>
      </c>
      <c r="AB1747" s="13" t="n"/>
      <c r="AC1747" s="15">
        <f>IF($B1747="","",IF($AB1747&lt;&gt;"",$AB1747,IF($AA1747="","",IF($AA1747&lt;=設定!$C$3,0,$AA1747))))</f>
        <v/>
      </c>
      <c r="AD1747" s="14">
        <f>IF($B1747="","",IF(AND($AE1747&lt;&gt;"",$AG1747="",$AJ1747=""),"保留中",IF($AJ1747&lt;&gt;"",IF(N($AC1747)&gt;0,"支給済","不支給"),IF($AC1747="","要確認",IF($AC1747=0,"不支給","未処理")))))</f>
        <v/>
      </c>
      <c r="AE1747" s="12" t="n"/>
      <c r="AF1747" s="11" t="n"/>
      <c r="AG1747" s="11" t="n"/>
      <c r="AH1747" s="11" t="n"/>
      <c r="AI1747" s="14">
        <f>IF(AND($AD1747="保留中",$AF1747&lt;&gt;""),TODAY()-$AF1747,"")</f>
        <v/>
      </c>
      <c r="AJ1747" s="12" t="n"/>
      <c r="AK1747" s="14">
        <f>IF($B1747="","",IF($AO1747="","対象年月が未入力／","")&amp;IF($B1747="","",IF($AN1747="","職員マスタに未登録の職員番号／",IF($Y1747="","標準報酬月額が未登録／","")&amp;IF(AND($AO1747&lt;&gt;"",OR(AND(INDEX(職員マスタ!$G$6:$G$405,$AN1747)&lt;&gt;"",INDEX(職員マスタ!$G$6:$G$405,$AN1747)&gt;EOMONTH($AO1747,0)),AND(INDEX(職員マスタ!$H$6:$H$405,$AN1747)&lt;&gt;"",INDEX(職員マスタ!$H$6:$H$405,$AN1747)&lt;$AO1747))),"対象月が時短期間外／","")&amp;IF(AND(INDEX(職員マスタ!$F$6:$F$405,$AN1747)&lt;&gt;"",$AO1747&lt;&gt;"",INDEX(職員マスタ!$F$6:$F$405,$AN1747)&lt;$AO1747),"対象月に子が2歳到達済／","")&amp;IF(AND($H1747&lt;&gt;"",INDEX(職員マスタ!$B$6:$B$405,$AN1747)&lt;&gt;"",SUBSTITUTE(SUBSTITUTE($H1747," ","")," ","")&lt;&gt;SUBSTITUTE(SUBSTITUTE(INDEX(職員マスタ!$B$6:$B$405,$AN1747)," ","")," ","")),"氏名がマスタと相違／","")&amp;IF(AND($Q1747&lt;&gt;"",INDEX(職員マスタ!$E$6:$E$405,$AN1747)&lt;&gt;"",$Q1747&lt;&gt;INDEX(職員マスタ!$E$6:$E$405,$AN1747)),"子の生年月日がマスタと相違／","")&amp;IF(AND($L1747&lt;&gt;"",INDEX(職員マスタ!$G$6:$G$405,$AN1747)&lt;&gt;"",$L1747&lt;&gt;INDEX(職員マスタ!$G$6:$G$405,$AN1747)),"時短開始日がマスタと相違／","")&amp;IF(AND($M1747&lt;&gt;"",INDEX(職員マスタ!$H$6:$H$405,$AN1747)&lt;&gt;"",$M1747&lt;&gt;INDEX(職員マスタ!$H$6:$H$405,$AN1747)),"時短終了日がマスタと相違／","")))&amp;IF(AND($B1747&lt;&gt;"",$E1747=""),"報酬額が未入力／","")&amp;IF(N($U1747)&gt;0,"申請書に入力エラーが残っています／","")&amp;IF(AND($B1747&lt;&gt;"",$AO1747&lt;&gt;""),IF(COUNTIFS($B$6:$B$3005,$B1747,$C$6:$C$3005,$C1747,$D$6:$D$3005,$D1747)&gt;1,"同じ月の請求が重複しています／",""),"")&amp;IF(AND(N($E1747)&gt;0,$Z1747&lt;&gt;"",$Z1747&lt;&gt;"×",$AC1747=0,$AB1747=""),"計算額が下限以下のため不支給／",""))</f>
        <v/>
      </c>
      <c r="AL1747" s="12" t="n"/>
      <c r="AM1747" s="14">
        <f>IF($AD1747="保留中",COUNTIF($AD$6:$AD1747,"保留中"),"")</f>
        <v/>
      </c>
      <c r="AN1747" s="14">
        <f>IF($AO1747="","",IF(SUMPRODUCT(MAX((職員マスタ!$A$6:$A$405=$B1747)*(((職員マスタ!$G$6:$G$405="")+(職員マスタ!$G$6:$G$405&lt;=EOMONTH($AO1747,0)))&gt;0)*(((職員マスタ!$H$6:$H$405="")+(職員マスタ!$H$6:$H$405&gt;=$AO1747))&gt;0)*(ROW(職員マスタ!$A$6:$A$405)-5)))&gt;0,SUMPRODUCT(MAX((職員マスタ!$A$6:$A$405=$B1747)*(((職員マスタ!$G$6:$G$405="")+(職員マスタ!$G$6:$G$405&lt;=EOMONTH($AO1747,0)))&gt;0)*(((職員マスタ!$H$6:$H$405="")+(職員マスタ!$H$6:$H$405&gt;=$AO1747))&gt;0)*(ROW(職員マスタ!$A$6:$A$405)-5))),IFERROR(MATCH($B1747,職員マスタ!$A$6:$A$405,0),"")))</f>
        <v/>
      </c>
      <c r="AO1747" s="16">
        <f>IF(OR($B1747="",$C1747="",$D1747=""),"",DATE($C1747+2018,$D1747,1))</f>
        <v/>
      </c>
    </row>
    <row r="1748">
      <c r="A1748" s="11" t="n"/>
      <c r="B1748" s="12" t="n"/>
      <c r="C1748" s="12" t="n"/>
      <c r="D1748" s="12" t="n"/>
      <c r="E1748" s="13" t="n"/>
      <c r="F1748" s="12" t="n"/>
      <c r="G1748" s="13" t="n"/>
      <c r="H1748" s="12" t="n"/>
      <c r="I1748" s="12" t="n"/>
      <c r="J1748" s="12" t="n"/>
      <c r="K1748" s="12" t="n"/>
      <c r="L1748" s="11" t="n"/>
      <c r="M1748" s="11" t="n"/>
      <c r="N1748" s="11" t="n"/>
      <c r="O1748" s="11" t="n"/>
      <c r="P1748" s="12" t="n"/>
      <c r="Q1748" s="11" t="n"/>
      <c r="R1748" s="12" t="n"/>
      <c r="S1748" s="11" t="n"/>
      <c r="T1748" s="12" t="n"/>
      <c r="U1748" s="12" t="n"/>
      <c r="V1748" s="14">
        <f>IF($AN1748="",IF($B1748="","",$H1748),IF(INDEX(職員マスタ!$B$6:$B$405,$AN1748)="",$H1748,INDEX(職員マスタ!$B$6:$B$405,$AN1748)))</f>
        <v/>
      </c>
      <c r="W1748" s="14">
        <f>IF($AN1748="",IF($B1748="","",$R1748),IF(INDEX(職員マスタ!$C$6:$C$405,$AN1748)="",$R1748,INDEX(職員マスタ!$C$6:$C$405,$AN1748)))</f>
        <v/>
      </c>
      <c r="X1748" s="14">
        <f>IF($AO1748="","","R"&amp;$C1748&amp;"."&amp;$D1748)</f>
        <v/>
      </c>
      <c r="Y1748" s="15">
        <f>IF($AN1748="","",IF(INDEX(職員マスタ!$K$6:$K$405,$AN1748)="","",INDEX(職員マスタ!$K$6:$K$405,$AN1748)))</f>
        <v/>
      </c>
      <c r="Z1748" s="14">
        <f>IF(OR($E1748="",$Y1748=""),"",IF($E1748&gt;=$Y1748,"×",IF($E1748&gt;=$Y1748*設定!$C$5,"△","○")))</f>
        <v/>
      </c>
      <c r="AA1748" s="15">
        <f>IF($Z1748="","",IF($Z1748="×",0,IF($Z1748="○",ROUNDDOWN($E1748*設定!$C$4,0),ROUNDDOWN($E1748*ROUND((9*$Y1748-9*$E1748)/(10*$E1748),4),0))))</f>
        <v/>
      </c>
      <c r="AB1748" s="13" t="n"/>
      <c r="AC1748" s="15">
        <f>IF($B1748="","",IF($AB1748&lt;&gt;"",$AB1748,IF($AA1748="","",IF($AA1748&lt;=設定!$C$3,0,$AA1748))))</f>
        <v/>
      </c>
      <c r="AD1748" s="14">
        <f>IF($B1748="","",IF(AND($AE1748&lt;&gt;"",$AG1748="",$AJ1748=""),"保留中",IF($AJ1748&lt;&gt;"",IF(N($AC1748)&gt;0,"支給済","不支給"),IF($AC1748="","要確認",IF($AC1748=0,"不支給","未処理")))))</f>
        <v/>
      </c>
      <c r="AE1748" s="12" t="n"/>
      <c r="AF1748" s="11" t="n"/>
      <c r="AG1748" s="11" t="n"/>
      <c r="AH1748" s="11" t="n"/>
      <c r="AI1748" s="14">
        <f>IF(AND($AD1748="保留中",$AF1748&lt;&gt;""),TODAY()-$AF1748,"")</f>
        <v/>
      </c>
      <c r="AJ1748" s="12" t="n"/>
      <c r="AK1748" s="14">
        <f>IF($B1748="","",IF($AO1748="","対象年月が未入力／","")&amp;IF($B1748="","",IF($AN1748="","職員マスタに未登録の職員番号／",IF($Y1748="","標準報酬月額が未登録／","")&amp;IF(AND($AO1748&lt;&gt;"",OR(AND(INDEX(職員マスタ!$G$6:$G$405,$AN1748)&lt;&gt;"",INDEX(職員マスタ!$G$6:$G$405,$AN1748)&gt;EOMONTH($AO1748,0)),AND(INDEX(職員マスタ!$H$6:$H$405,$AN1748)&lt;&gt;"",INDEX(職員マスタ!$H$6:$H$405,$AN1748)&lt;$AO1748))),"対象月が時短期間外／","")&amp;IF(AND(INDEX(職員マスタ!$F$6:$F$405,$AN1748)&lt;&gt;"",$AO1748&lt;&gt;"",INDEX(職員マスタ!$F$6:$F$405,$AN1748)&lt;$AO1748),"対象月に子が2歳到達済／","")&amp;IF(AND($H1748&lt;&gt;"",INDEX(職員マスタ!$B$6:$B$405,$AN1748)&lt;&gt;"",SUBSTITUTE(SUBSTITUTE($H1748," ","")," ","")&lt;&gt;SUBSTITUTE(SUBSTITUTE(INDEX(職員マスタ!$B$6:$B$405,$AN1748)," ","")," ","")),"氏名がマスタと相違／","")&amp;IF(AND($Q1748&lt;&gt;"",INDEX(職員マスタ!$E$6:$E$405,$AN1748)&lt;&gt;"",$Q1748&lt;&gt;INDEX(職員マスタ!$E$6:$E$405,$AN1748)),"子の生年月日がマスタと相違／","")&amp;IF(AND($L1748&lt;&gt;"",INDEX(職員マスタ!$G$6:$G$405,$AN1748)&lt;&gt;"",$L1748&lt;&gt;INDEX(職員マスタ!$G$6:$G$405,$AN1748)),"時短開始日がマスタと相違／","")&amp;IF(AND($M1748&lt;&gt;"",INDEX(職員マスタ!$H$6:$H$405,$AN1748)&lt;&gt;"",$M1748&lt;&gt;INDEX(職員マスタ!$H$6:$H$405,$AN1748)),"時短終了日がマスタと相違／","")))&amp;IF(AND($B1748&lt;&gt;"",$E1748=""),"報酬額が未入力／","")&amp;IF(N($U1748)&gt;0,"申請書に入力エラーが残っています／","")&amp;IF(AND($B1748&lt;&gt;"",$AO1748&lt;&gt;""),IF(COUNTIFS($B$6:$B$3005,$B1748,$C$6:$C$3005,$C1748,$D$6:$D$3005,$D1748)&gt;1,"同じ月の請求が重複しています／",""),"")&amp;IF(AND(N($E1748)&gt;0,$Z1748&lt;&gt;"",$Z1748&lt;&gt;"×",$AC1748=0,$AB1748=""),"計算額が下限以下のため不支給／",""))</f>
        <v/>
      </c>
      <c r="AL1748" s="12" t="n"/>
      <c r="AM1748" s="14">
        <f>IF($AD1748="保留中",COUNTIF($AD$6:$AD1748,"保留中"),"")</f>
        <v/>
      </c>
      <c r="AN1748" s="14">
        <f>IF($AO1748="","",IF(SUMPRODUCT(MAX((職員マスタ!$A$6:$A$405=$B1748)*(((職員マスタ!$G$6:$G$405="")+(職員マスタ!$G$6:$G$405&lt;=EOMONTH($AO1748,0)))&gt;0)*(((職員マスタ!$H$6:$H$405="")+(職員マスタ!$H$6:$H$405&gt;=$AO1748))&gt;0)*(ROW(職員マスタ!$A$6:$A$405)-5)))&gt;0,SUMPRODUCT(MAX((職員マスタ!$A$6:$A$405=$B1748)*(((職員マスタ!$G$6:$G$405="")+(職員マスタ!$G$6:$G$405&lt;=EOMONTH($AO1748,0)))&gt;0)*(((職員マスタ!$H$6:$H$405="")+(職員マスタ!$H$6:$H$405&gt;=$AO1748))&gt;0)*(ROW(職員マスタ!$A$6:$A$405)-5))),IFERROR(MATCH($B1748,職員マスタ!$A$6:$A$405,0),"")))</f>
        <v/>
      </c>
      <c r="AO1748" s="16">
        <f>IF(OR($B1748="",$C1748="",$D1748=""),"",DATE($C1748+2018,$D1748,1))</f>
        <v/>
      </c>
    </row>
    <row r="1749">
      <c r="A1749" s="11" t="n"/>
      <c r="B1749" s="12" t="n"/>
      <c r="C1749" s="12" t="n"/>
      <c r="D1749" s="12" t="n"/>
      <c r="E1749" s="13" t="n"/>
      <c r="F1749" s="12" t="n"/>
      <c r="G1749" s="13" t="n"/>
      <c r="H1749" s="12" t="n"/>
      <c r="I1749" s="12" t="n"/>
      <c r="J1749" s="12" t="n"/>
      <c r="K1749" s="12" t="n"/>
      <c r="L1749" s="11" t="n"/>
      <c r="M1749" s="11" t="n"/>
      <c r="N1749" s="11" t="n"/>
      <c r="O1749" s="11" t="n"/>
      <c r="P1749" s="12" t="n"/>
      <c r="Q1749" s="11" t="n"/>
      <c r="R1749" s="12" t="n"/>
      <c r="S1749" s="11" t="n"/>
      <c r="T1749" s="12" t="n"/>
      <c r="U1749" s="12" t="n"/>
      <c r="V1749" s="14">
        <f>IF($AN1749="",IF($B1749="","",$H1749),IF(INDEX(職員マスタ!$B$6:$B$405,$AN1749)="",$H1749,INDEX(職員マスタ!$B$6:$B$405,$AN1749)))</f>
        <v/>
      </c>
      <c r="W1749" s="14">
        <f>IF($AN1749="",IF($B1749="","",$R1749),IF(INDEX(職員マスタ!$C$6:$C$405,$AN1749)="",$R1749,INDEX(職員マスタ!$C$6:$C$405,$AN1749)))</f>
        <v/>
      </c>
      <c r="X1749" s="14">
        <f>IF($AO1749="","","R"&amp;$C1749&amp;"."&amp;$D1749)</f>
        <v/>
      </c>
      <c r="Y1749" s="15">
        <f>IF($AN1749="","",IF(INDEX(職員マスタ!$K$6:$K$405,$AN1749)="","",INDEX(職員マスタ!$K$6:$K$405,$AN1749)))</f>
        <v/>
      </c>
      <c r="Z1749" s="14">
        <f>IF(OR($E1749="",$Y1749=""),"",IF($E1749&gt;=$Y1749,"×",IF($E1749&gt;=$Y1749*設定!$C$5,"△","○")))</f>
        <v/>
      </c>
      <c r="AA1749" s="15">
        <f>IF($Z1749="","",IF($Z1749="×",0,IF($Z1749="○",ROUNDDOWN($E1749*設定!$C$4,0),ROUNDDOWN($E1749*ROUND((9*$Y1749-9*$E1749)/(10*$E1749),4),0))))</f>
        <v/>
      </c>
      <c r="AB1749" s="13" t="n"/>
      <c r="AC1749" s="15">
        <f>IF($B1749="","",IF($AB1749&lt;&gt;"",$AB1749,IF($AA1749="","",IF($AA1749&lt;=設定!$C$3,0,$AA1749))))</f>
        <v/>
      </c>
      <c r="AD1749" s="14">
        <f>IF($B1749="","",IF(AND($AE1749&lt;&gt;"",$AG1749="",$AJ1749=""),"保留中",IF($AJ1749&lt;&gt;"",IF(N($AC1749)&gt;0,"支給済","不支給"),IF($AC1749="","要確認",IF($AC1749=0,"不支給","未処理")))))</f>
        <v/>
      </c>
      <c r="AE1749" s="12" t="n"/>
      <c r="AF1749" s="11" t="n"/>
      <c r="AG1749" s="11" t="n"/>
      <c r="AH1749" s="11" t="n"/>
      <c r="AI1749" s="14">
        <f>IF(AND($AD1749="保留中",$AF1749&lt;&gt;""),TODAY()-$AF1749,"")</f>
        <v/>
      </c>
      <c r="AJ1749" s="12" t="n"/>
      <c r="AK1749" s="14">
        <f>IF($B1749="","",IF($AO1749="","対象年月が未入力／","")&amp;IF($B1749="","",IF($AN1749="","職員マスタに未登録の職員番号／",IF($Y1749="","標準報酬月額が未登録／","")&amp;IF(AND($AO1749&lt;&gt;"",OR(AND(INDEX(職員マスタ!$G$6:$G$405,$AN1749)&lt;&gt;"",INDEX(職員マスタ!$G$6:$G$405,$AN1749)&gt;EOMONTH($AO1749,0)),AND(INDEX(職員マスタ!$H$6:$H$405,$AN1749)&lt;&gt;"",INDEX(職員マスタ!$H$6:$H$405,$AN1749)&lt;$AO1749))),"対象月が時短期間外／","")&amp;IF(AND(INDEX(職員マスタ!$F$6:$F$405,$AN1749)&lt;&gt;"",$AO1749&lt;&gt;"",INDEX(職員マスタ!$F$6:$F$405,$AN1749)&lt;$AO1749),"対象月に子が2歳到達済／","")&amp;IF(AND($H1749&lt;&gt;"",INDEX(職員マスタ!$B$6:$B$405,$AN1749)&lt;&gt;"",SUBSTITUTE(SUBSTITUTE($H1749," ","")," ","")&lt;&gt;SUBSTITUTE(SUBSTITUTE(INDEX(職員マスタ!$B$6:$B$405,$AN1749)," ","")," ","")),"氏名がマスタと相違／","")&amp;IF(AND($Q1749&lt;&gt;"",INDEX(職員マスタ!$E$6:$E$405,$AN1749)&lt;&gt;"",$Q1749&lt;&gt;INDEX(職員マスタ!$E$6:$E$405,$AN1749)),"子の生年月日がマスタと相違／","")&amp;IF(AND($L1749&lt;&gt;"",INDEX(職員マスタ!$G$6:$G$405,$AN1749)&lt;&gt;"",$L1749&lt;&gt;INDEX(職員マスタ!$G$6:$G$405,$AN1749)),"時短開始日がマスタと相違／","")&amp;IF(AND($M1749&lt;&gt;"",INDEX(職員マスタ!$H$6:$H$405,$AN1749)&lt;&gt;"",$M1749&lt;&gt;INDEX(職員マスタ!$H$6:$H$405,$AN1749)),"時短終了日がマスタと相違／","")))&amp;IF(AND($B1749&lt;&gt;"",$E1749=""),"報酬額が未入力／","")&amp;IF(N($U1749)&gt;0,"申請書に入力エラーが残っています／","")&amp;IF(AND($B1749&lt;&gt;"",$AO1749&lt;&gt;""),IF(COUNTIFS($B$6:$B$3005,$B1749,$C$6:$C$3005,$C1749,$D$6:$D$3005,$D1749)&gt;1,"同じ月の請求が重複しています／",""),"")&amp;IF(AND(N($E1749)&gt;0,$Z1749&lt;&gt;"",$Z1749&lt;&gt;"×",$AC1749=0,$AB1749=""),"計算額が下限以下のため不支給／",""))</f>
        <v/>
      </c>
      <c r="AL1749" s="12" t="n"/>
      <c r="AM1749" s="14">
        <f>IF($AD1749="保留中",COUNTIF($AD$6:$AD1749,"保留中"),"")</f>
        <v/>
      </c>
      <c r="AN1749" s="14">
        <f>IF($AO1749="","",IF(SUMPRODUCT(MAX((職員マスタ!$A$6:$A$405=$B1749)*(((職員マスタ!$G$6:$G$405="")+(職員マスタ!$G$6:$G$405&lt;=EOMONTH($AO1749,0)))&gt;0)*(((職員マスタ!$H$6:$H$405="")+(職員マスタ!$H$6:$H$405&gt;=$AO1749))&gt;0)*(ROW(職員マスタ!$A$6:$A$405)-5)))&gt;0,SUMPRODUCT(MAX((職員マスタ!$A$6:$A$405=$B1749)*(((職員マスタ!$G$6:$G$405="")+(職員マスタ!$G$6:$G$405&lt;=EOMONTH($AO1749,0)))&gt;0)*(((職員マスタ!$H$6:$H$405="")+(職員マスタ!$H$6:$H$405&gt;=$AO1749))&gt;0)*(ROW(職員マスタ!$A$6:$A$405)-5))),IFERROR(MATCH($B1749,職員マスタ!$A$6:$A$405,0),"")))</f>
        <v/>
      </c>
      <c r="AO1749" s="16">
        <f>IF(OR($B1749="",$C1749="",$D1749=""),"",DATE($C1749+2018,$D1749,1))</f>
        <v/>
      </c>
    </row>
    <row r="1750">
      <c r="A1750" s="11" t="n"/>
      <c r="B1750" s="12" t="n"/>
      <c r="C1750" s="12" t="n"/>
      <c r="D1750" s="12" t="n"/>
      <c r="E1750" s="13" t="n"/>
      <c r="F1750" s="12" t="n"/>
      <c r="G1750" s="13" t="n"/>
      <c r="H1750" s="12" t="n"/>
      <c r="I1750" s="12" t="n"/>
      <c r="J1750" s="12" t="n"/>
      <c r="K1750" s="12" t="n"/>
      <c r="L1750" s="11" t="n"/>
      <c r="M1750" s="11" t="n"/>
      <c r="N1750" s="11" t="n"/>
      <c r="O1750" s="11" t="n"/>
      <c r="P1750" s="12" t="n"/>
      <c r="Q1750" s="11" t="n"/>
      <c r="R1750" s="12" t="n"/>
      <c r="S1750" s="11" t="n"/>
      <c r="T1750" s="12" t="n"/>
      <c r="U1750" s="12" t="n"/>
      <c r="V1750" s="14">
        <f>IF($AN1750="",IF($B1750="","",$H1750),IF(INDEX(職員マスタ!$B$6:$B$405,$AN1750)="",$H1750,INDEX(職員マスタ!$B$6:$B$405,$AN1750)))</f>
        <v/>
      </c>
      <c r="W1750" s="14">
        <f>IF($AN1750="",IF($B1750="","",$R1750),IF(INDEX(職員マスタ!$C$6:$C$405,$AN1750)="",$R1750,INDEX(職員マスタ!$C$6:$C$405,$AN1750)))</f>
        <v/>
      </c>
      <c r="X1750" s="14">
        <f>IF($AO1750="","","R"&amp;$C1750&amp;"."&amp;$D1750)</f>
        <v/>
      </c>
      <c r="Y1750" s="15">
        <f>IF($AN1750="","",IF(INDEX(職員マスタ!$K$6:$K$405,$AN1750)="","",INDEX(職員マスタ!$K$6:$K$405,$AN1750)))</f>
        <v/>
      </c>
      <c r="Z1750" s="14">
        <f>IF(OR($E1750="",$Y1750=""),"",IF($E1750&gt;=$Y1750,"×",IF($E1750&gt;=$Y1750*設定!$C$5,"△","○")))</f>
        <v/>
      </c>
      <c r="AA1750" s="15">
        <f>IF($Z1750="","",IF($Z1750="×",0,IF($Z1750="○",ROUNDDOWN($E1750*設定!$C$4,0),ROUNDDOWN($E1750*ROUND((9*$Y1750-9*$E1750)/(10*$E1750),4),0))))</f>
        <v/>
      </c>
      <c r="AB1750" s="13" t="n"/>
      <c r="AC1750" s="15">
        <f>IF($B1750="","",IF($AB1750&lt;&gt;"",$AB1750,IF($AA1750="","",IF($AA1750&lt;=設定!$C$3,0,$AA1750))))</f>
        <v/>
      </c>
      <c r="AD1750" s="14">
        <f>IF($B1750="","",IF(AND($AE1750&lt;&gt;"",$AG1750="",$AJ1750=""),"保留中",IF($AJ1750&lt;&gt;"",IF(N($AC1750)&gt;0,"支給済","不支給"),IF($AC1750="","要確認",IF($AC1750=0,"不支給","未処理")))))</f>
        <v/>
      </c>
      <c r="AE1750" s="12" t="n"/>
      <c r="AF1750" s="11" t="n"/>
      <c r="AG1750" s="11" t="n"/>
      <c r="AH1750" s="11" t="n"/>
      <c r="AI1750" s="14">
        <f>IF(AND($AD1750="保留中",$AF1750&lt;&gt;""),TODAY()-$AF1750,"")</f>
        <v/>
      </c>
      <c r="AJ1750" s="12" t="n"/>
      <c r="AK1750" s="14">
        <f>IF($B1750="","",IF($AO1750="","対象年月が未入力／","")&amp;IF($B1750="","",IF($AN1750="","職員マスタに未登録の職員番号／",IF($Y1750="","標準報酬月額が未登録／","")&amp;IF(AND($AO1750&lt;&gt;"",OR(AND(INDEX(職員マスタ!$G$6:$G$405,$AN1750)&lt;&gt;"",INDEX(職員マスタ!$G$6:$G$405,$AN1750)&gt;EOMONTH($AO1750,0)),AND(INDEX(職員マスタ!$H$6:$H$405,$AN1750)&lt;&gt;"",INDEX(職員マスタ!$H$6:$H$405,$AN1750)&lt;$AO1750))),"対象月が時短期間外／","")&amp;IF(AND(INDEX(職員マスタ!$F$6:$F$405,$AN1750)&lt;&gt;"",$AO1750&lt;&gt;"",INDEX(職員マスタ!$F$6:$F$405,$AN1750)&lt;$AO1750),"対象月に子が2歳到達済／","")&amp;IF(AND($H1750&lt;&gt;"",INDEX(職員マスタ!$B$6:$B$405,$AN1750)&lt;&gt;"",SUBSTITUTE(SUBSTITUTE($H1750," ","")," ","")&lt;&gt;SUBSTITUTE(SUBSTITUTE(INDEX(職員マスタ!$B$6:$B$405,$AN1750)," ","")," ","")),"氏名がマスタと相違／","")&amp;IF(AND($Q1750&lt;&gt;"",INDEX(職員マスタ!$E$6:$E$405,$AN1750)&lt;&gt;"",$Q1750&lt;&gt;INDEX(職員マスタ!$E$6:$E$405,$AN1750)),"子の生年月日がマスタと相違／","")&amp;IF(AND($L1750&lt;&gt;"",INDEX(職員マスタ!$G$6:$G$405,$AN1750)&lt;&gt;"",$L1750&lt;&gt;INDEX(職員マスタ!$G$6:$G$405,$AN1750)),"時短開始日がマスタと相違／","")&amp;IF(AND($M1750&lt;&gt;"",INDEX(職員マスタ!$H$6:$H$405,$AN1750)&lt;&gt;"",$M1750&lt;&gt;INDEX(職員マスタ!$H$6:$H$405,$AN1750)),"時短終了日がマスタと相違／","")))&amp;IF(AND($B1750&lt;&gt;"",$E1750=""),"報酬額が未入力／","")&amp;IF(N($U1750)&gt;0,"申請書に入力エラーが残っています／","")&amp;IF(AND($B1750&lt;&gt;"",$AO1750&lt;&gt;""),IF(COUNTIFS($B$6:$B$3005,$B1750,$C$6:$C$3005,$C1750,$D$6:$D$3005,$D1750)&gt;1,"同じ月の請求が重複しています／",""),"")&amp;IF(AND(N($E1750)&gt;0,$Z1750&lt;&gt;"",$Z1750&lt;&gt;"×",$AC1750=0,$AB1750=""),"計算額が下限以下のため不支給／",""))</f>
        <v/>
      </c>
      <c r="AL1750" s="12" t="n"/>
      <c r="AM1750" s="14">
        <f>IF($AD1750="保留中",COUNTIF($AD$6:$AD1750,"保留中"),"")</f>
        <v/>
      </c>
      <c r="AN1750" s="14">
        <f>IF($AO1750="","",IF(SUMPRODUCT(MAX((職員マスタ!$A$6:$A$405=$B1750)*(((職員マスタ!$G$6:$G$405="")+(職員マスタ!$G$6:$G$405&lt;=EOMONTH($AO1750,0)))&gt;0)*(((職員マスタ!$H$6:$H$405="")+(職員マスタ!$H$6:$H$405&gt;=$AO1750))&gt;0)*(ROW(職員マスタ!$A$6:$A$405)-5)))&gt;0,SUMPRODUCT(MAX((職員マスタ!$A$6:$A$405=$B1750)*(((職員マスタ!$G$6:$G$405="")+(職員マスタ!$G$6:$G$405&lt;=EOMONTH($AO1750,0)))&gt;0)*(((職員マスタ!$H$6:$H$405="")+(職員マスタ!$H$6:$H$405&gt;=$AO1750))&gt;0)*(ROW(職員マスタ!$A$6:$A$405)-5))),IFERROR(MATCH($B1750,職員マスタ!$A$6:$A$405,0),"")))</f>
        <v/>
      </c>
      <c r="AO1750" s="16">
        <f>IF(OR($B1750="",$C1750="",$D1750=""),"",DATE($C1750+2018,$D1750,1))</f>
        <v/>
      </c>
    </row>
    <row r="1751">
      <c r="A1751" s="11" t="n"/>
      <c r="B1751" s="12" t="n"/>
      <c r="C1751" s="12" t="n"/>
      <c r="D1751" s="12" t="n"/>
      <c r="E1751" s="13" t="n"/>
      <c r="F1751" s="12" t="n"/>
      <c r="G1751" s="13" t="n"/>
      <c r="H1751" s="12" t="n"/>
      <c r="I1751" s="12" t="n"/>
      <c r="J1751" s="12" t="n"/>
      <c r="K1751" s="12" t="n"/>
      <c r="L1751" s="11" t="n"/>
      <c r="M1751" s="11" t="n"/>
      <c r="N1751" s="11" t="n"/>
      <c r="O1751" s="11" t="n"/>
      <c r="P1751" s="12" t="n"/>
      <c r="Q1751" s="11" t="n"/>
      <c r="R1751" s="12" t="n"/>
      <c r="S1751" s="11" t="n"/>
      <c r="T1751" s="12" t="n"/>
      <c r="U1751" s="12" t="n"/>
      <c r="V1751" s="14">
        <f>IF($AN1751="",IF($B1751="","",$H1751),IF(INDEX(職員マスタ!$B$6:$B$405,$AN1751)="",$H1751,INDEX(職員マスタ!$B$6:$B$405,$AN1751)))</f>
        <v/>
      </c>
      <c r="W1751" s="14">
        <f>IF($AN1751="",IF($B1751="","",$R1751),IF(INDEX(職員マスタ!$C$6:$C$405,$AN1751)="",$R1751,INDEX(職員マスタ!$C$6:$C$405,$AN1751)))</f>
        <v/>
      </c>
      <c r="X1751" s="14">
        <f>IF($AO1751="","","R"&amp;$C1751&amp;"."&amp;$D1751)</f>
        <v/>
      </c>
      <c r="Y1751" s="15">
        <f>IF($AN1751="","",IF(INDEX(職員マスタ!$K$6:$K$405,$AN1751)="","",INDEX(職員マスタ!$K$6:$K$405,$AN1751)))</f>
        <v/>
      </c>
      <c r="Z1751" s="14">
        <f>IF(OR($E1751="",$Y1751=""),"",IF($E1751&gt;=$Y1751,"×",IF($E1751&gt;=$Y1751*設定!$C$5,"△","○")))</f>
        <v/>
      </c>
      <c r="AA1751" s="15">
        <f>IF($Z1751="","",IF($Z1751="×",0,IF($Z1751="○",ROUNDDOWN($E1751*設定!$C$4,0),ROUNDDOWN($E1751*ROUND((9*$Y1751-9*$E1751)/(10*$E1751),4),0))))</f>
        <v/>
      </c>
      <c r="AB1751" s="13" t="n"/>
      <c r="AC1751" s="15">
        <f>IF($B1751="","",IF($AB1751&lt;&gt;"",$AB1751,IF($AA1751="","",IF($AA1751&lt;=設定!$C$3,0,$AA1751))))</f>
        <v/>
      </c>
      <c r="AD1751" s="14">
        <f>IF($B1751="","",IF(AND($AE1751&lt;&gt;"",$AG1751="",$AJ1751=""),"保留中",IF($AJ1751&lt;&gt;"",IF(N($AC1751)&gt;0,"支給済","不支給"),IF($AC1751="","要確認",IF($AC1751=0,"不支給","未処理")))))</f>
        <v/>
      </c>
      <c r="AE1751" s="12" t="n"/>
      <c r="AF1751" s="11" t="n"/>
      <c r="AG1751" s="11" t="n"/>
      <c r="AH1751" s="11" t="n"/>
      <c r="AI1751" s="14">
        <f>IF(AND($AD1751="保留中",$AF1751&lt;&gt;""),TODAY()-$AF1751,"")</f>
        <v/>
      </c>
      <c r="AJ1751" s="12" t="n"/>
      <c r="AK1751" s="14">
        <f>IF($B1751="","",IF($AO1751="","対象年月が未入力／","")&amp;IF($B1751="","",IF($AN1751="","職員マスタに未登録の職員番号／",IF($Y1751="","標準報酬月額が未登録／","")&amp;IF(AND($AO1751&lt;&gt;"",OR(AND(INDEX(職員マスタ!$G$6:$G$405,$AN1751)&lt;&gt;"",INDEX(職員マスタ!$G$6:$G$405,$AN1751)&gt;EOMONTH($AO1751,0)),AND(INDEX(職員マスタ!$H$6:$H$405,$AN1751)&lt;&gt;"",INDEX(職員マスタ!$H$6:$H$405,$AN1751)&lt;$AO1751))),"対象月が時短期間外／","")&amp;IF(AND(INDEX(職員マスタ!$F$6:$F$405,$AN1751)&lt;&gt;"",$AO1751&lt;&gt;"",INDEX(職員マスタ!$F$6:$F$405,$AN1751)&lt;$AO1751),"対象月に子が2歳到達済／","")&amp;IF(AND($H1751&lt;&gt;"",INDEX(職員マスタ!$B$6:$B$405,$AN1751)&lt;&gt;"",SUBSTITUTE(SUBSTITUTE($H1751," ","")," ","")&lt;&gt;SUBSTITUTE(SUBSTITUTE(INDEX(職員マスタ!$B$6:$B$405,$AN1751)," ","")," ","")),"氏名がマスタと相違／","")&amp;IF(AND($Q1751&lt;&gt;"",INDEX(職員マスタ!$E$6:$E$405,$AN1751)&lt;&gt;"",$Q1751&lt;&gt;INDEX(職員マスタ!$E$6:$E$405,$AN1751)),"子の生年月日がマスタと相違／","")&amp;IF(AND($L1751&lt;&gt;"",INDEX(職員マスタ!$G$6:$G$405,$AN1751)&lt;&gt;"",$L1751&lt;&gt;INDEX(職員マスタ!$G$6:$G$405,$AN1751)),"時短開始日がマスタと相違／","")&amp;IF(AND($M1751&lt;&gt;"",INDEX(職員マスタ!$H$6:$H$405,$AN1751)&lt;&gt;"",$M1751&lt;&gt;INDEX(職員マスタ!$H$6:$H$405,$AN1751)),"時短終了日がマスタと相違／","")))&amp;IF(AND($B1751&lt;&gt;"",$E1751=""),"報酬額が未入力／","")&amp;IF(N($U1751)&gt;0,"申請書に入力エラーが残っています／","")&amp;IF(AND($B1751&lt;&gt;"",$AO1751&lt;&gt;""),IF(COUNTIFS($B$6:$B$3005,$B1751,$C$6:$C$3005,$C1751,$D$6:$D$3005,$D1751)&gt;1,"同じ月の請求が重複しています／",""),"")&amp;IF(AND(N($E1751)&gt;0,$Z1751&lt;&gt;"",$Z1751&lt;&gt;"×",$AC1751=0,$AB1751=""),"計算額が下限以下のため不支給／",""))</f>
        <v/>
      </c>
      <c r="AL1751" s="12" t="n"/>
      <c r="AM1751" s="14">
        <f>IF($AD1751="保留中",COUNTIF($AD$6:$AD1751,"保留中"),"")</f>
        <v/>
      </c>
      <c r="AN1751" s="14">
        <f>IF($AO1751="","",IF(SUMPRODUCT(MAX((職員マスタ!$A$6:$A$405=$B1751)*(((職員マスタ!$G$6:$G$405="")+(職員マスタ!$G$6:$G$405&lt;=EOMONTH($AO1751,0)))&gt;0)*(((職員マスタ!$H$6:$H$405="")+(職員マスタ!$H$6:$H$405&gt;=$AO1751))&gt;0)*(ROW(職員マスタ!$A$6:$A$405)-5)))&gt;0,SUMPRODUCT(MAX((職員マスタ!$A$6:$A$405=$B1751)*(((職員マスタ!$G$6:$G$405="")+(職員マスタ!$G$6:$G$405&lt;=EOMONTH($AO1751,0)))&gt;0)*(((職員マスタ!$H$6:$H$405="")+(職員マスタ!$H$6:$H$405&gt;=$AO1751))&gt;0)*(ROW(職員マスタ!$A$6:$A$405)-5))),IFERROR(MATCH($B1751,職員マスタ!$A$6:$A$405,0),"")))</f>
        <v/>
      </c>
      <c r="AO1751" s="16">
        <f>IF(OR($B1751="",$C1751="",$D1751=""),"",DATE($C1751+2018,$D1751,1))</f>
        <v/>
      </c>
    </row>
    <row r="1752">
      <c r="A1752" s="11" t="n"/>
      <c r="B1752" s="12" t="n"/>
      <c r="C1752" s="12" t="n"/>
      <c r="D1752" s="12" t="n"/>
      <c r="E1752" s="13" t="n"/>
      <c r="F1752" s="12" t="n"/>
      <c r="G1752" s="13" t="n"/>
      <c r="H1752" s="12" t="n"/>
      <c r="I1752" s="12" t="n"/>
      <c r="J1752" s="12" t="n"/>
      <c r="K1752" s="12" t="n"/>
      <c r="L1752" s="11" t="n"/>
      <c r="M1752" s="11" t="n"/>
      <c r="N1752" s="11" t="n"/>
      <c r="O1752" s="11" t="n"/>
      <c r="P1752" s="12" t="n"/>
      <c r="Q1752" s="11" t="n"/>
      <c r="R1752" s="12" t="n"/>
      <c r="S1752" s="11" t="n"/>
      <c r="T1752" s="12" t="n"/>
      <c r="U1752" s="12" t="n"/>
      <c r="V1752" s="14">
        <f>IF($AN1752="",IF($B1752="","",$H1752),IF(INDEX(職員マスタ!$B$6:$B$405,$AN1752)="",$H1752,INDEX(職員マスタ!$B$6:$B$405,$AN1752)))</f>
        <v/>
      </c>
      <c r="W1752" s="14">
        <f>IF($AN1752="",IF($B1752="","",$R1752),IF(INDEX(職員マスタ!$C$6:$C$405,$AN1752)="",$R1752,INDEX(職員マスタ!$C$6:$C$405,$AN1752)))</f>
        <v/>
      </c>
      <c r="X1752" s="14">
        <f>IF($AO1752="","","R"&amp;$C1752&amp;"."&amp;$D1752)</f>
        <v/>
      </c>
      <c r="Y1752" s="15">
        <f>IF($AN1752="","",IF(INDEX(職員マスタ!$K$6:$K$405,$AN1752)="","",INDEX(職員マスタ!$K$6:$K$405,$AN1752)))</f>
        <v/>
      </c>
      <c r="Z1752" s="14">
        <f>IF(OR($E1752="",$Y1752=""),"",IF($E1752&gt;=$Y1752,"×",IF($E1752&gt;=$Y1752*設定!$C$5,"△","○")))</f>
        <v/>
      </c>
      <c r="AA1752" s="15">
        <f>IF($Z1752="","",IF($Z1752="×",0,IF($Z1752="○",ROUNDDOWN($E1752*設定!$C$4,0),ROUNDDOWN($E1752*ROUND((9*$Y1752-9*$E1752)/(10*$E1752),4),0))))</f>
        <v/>
      </c>
      <c r="AB1752" s="13" t="n"/>
      <c r="AC1752" s="15">
        <f>IF($B1752="","",IF($AB1752&lt;&gt;"",$AB1752,IF($AA1752="","",IF($AA1752&lt;=設定!$C$3,0,$AA1752))))</f>
        <v/>
      </c>
      <c r="AD1752" s="14">
        <f>IF($B1752="","",IF(AND($AE1752&lt;&gt;"",$AG1752="",$AJ1752=""),"保留中",IF($AJ1752&lt;&gt;"",IF(N($AC1752)&gt;0,"支給済","不支給"),IF($AC1752="","要確認",IF($AC1752=0,"不支給","未処理")))))</f>
        <v/>
      </c>
      <c r="AE1752" s="12" t="n"/>
      <c r="AF1752" s="11" t="n"/>
      <c r="AG1752" s="11" t="n"/>
      <c r="AH1752" s="11" t="n"/>
      <c r="AI1752" s="14">
        <f>IF(AND($AD1752="保留中",$AF1752&lt;&gt;""),TODAY()-$AF1752,"")</f>
        <v/>
      </c>
      <c r="AJ1752" s="12" t="n"/>
      <c r="AK1752" s="14">
        <f>IF($B1752="","",IF($AO1752="","対象年月が未入力／","")&amp;IF($B1752="","",IF($AN1752="","職員マスタに未登録の職員番号／",IF($Y1752="","標準報酬月額が未登録／","")&amp;IF(AND($AO1752&lt;&gt;"",OR(AND(INDEX(職員マスタ!$G$6:$G$405,$AN1752)&lt;&gt;"",INDEX(職員マスタ!$G$6:$G$405,$AN1752)&gt;EOMONTH($AO1752,0)),AND(INDEX(職員マスタ!$H$6:$H$405,$AN1752)&lt;&gt;"",INDEX(職員マスタ!$H$6:$H$405,$AN1752)&lt;$AO1752))),"対象月が時短期間外／","")&amp;IF(AND(INDEX(職員マスタ!$F$6:$F$405,$AN1752)&lt;&gt;"",$AO1752&lt;&gt;"",INDEX(職員マスタ!$F$6:$F$405,$AN1752)&lt;$AO1752),"対象月に子が2歳到達済／","")&amp;IF(AND($H1752&lt;&gt;"",INDEX(職員マスタ!$B$6:$B$405,$AN1752)&lt;&gt;"",SUBSTITUTE(SUBSTITUTE($H1752," ","")," ","")&lt;&gt;SUBSTITUTE(SUBSTITUTE(INDEX(職員マスタ!$B$6:$B$405,$AN1752)," ","")," ","")),"氏名がマスタと相違／","")&amp;IF(AND($Q1752&lt;&gt;"",INDEX(職員マスタ!$E$6:$E$405,$AN1752)&lt;&gt;"",$Q1752&lt;&gt;INDEX(職員マスタ!$E$6:$E$405,$AN1752)),"子の生年月日がマスタと相違／","")&amp;IF(AND($L1752&lt;&gt;"",INDEX(職員マスタ!$G$6:$G$405,$AN1752)&lt;&gt;"",$L1752&lt;&gt;INDEX(職員マスタ!$G$6:$G$405,$AN1752)),"時短開始日がマスタと相違／","")&amp;IF(AND($M1752&lt;&gt;"",INDEX(職員マスタ!$H$6:$H$405,$AN1752)&lt;&gt;"",$M1752&lt;&gt;INDEX(職員マスタ!$H$6:$H$405,$AN1752)),"時短終了日がマスタと相違／","")))&amp;IF(AND($B1752&lt;&gt;"",$E1752=""),"報酬額が未入力／","")&amp;IF(N($U1752)&gt;0,"申請書に入力エラーが残っています／","")&amp;IF(AND($B1752&lt;&gt;"",$AO1752&lt;&gt;""),IF(COUNTIFS($B$6:$B$3005,$B1752,$C$6:$C$3005,$C1752,$D$6:$D$3005,$D1752)&gt;1,"同じ月の請求が重複しています／",""),"")&amp;IF(AND(N($E1752)&gt;0,$Z1752&lt;&gt;"",$Z1752&lt;&gt;"×",$AC1752=0,$AB1752=""),"計算額が下限以下のため不支給／",""))</f>
        <v/>
      </c>
      <c r="AL1752" s="12" t="n"/>
      <c r="AM1752" s="14">
        <f>IF($AD1752="保留中",COUNTIF($AD$6:$AD1752,"保留中"),"")</f>
        <v/>
      </c>
      <c r="AN1752" s="14">
        <f>IF($AO1752="","",IF(SUMPRODUCT(MAX((職員マスタ!$A$6:$A$405=$B1752)*(((職員マスタ!$G$6:$G$405="")+(職員マスタ!$G$6:$G$405&lt;=EOMONTH($AO1752,0)))&gt;0)*(((職員マスタ!$H$6:$H$405="")+(職員マスタ!$H$6:$H$405&gt;=$AO1752))&gt;0)*(ROW(職員マスタ!$A$6:$A$405)-5)))&gt;0,SUMPRODUCT(MAX((職員マスタ!$A$6:$A$405=$B1752)*(((職員マスタ!$G$6:$G$405="")+(職員マスタ!$G$6:$G$405&lt;=EOMONTH($AO1752,0)))&gt;0)*(((職員マスタ!$H$6:$H$405="")+(職員マスタ!$H$6:$H$405&gt;=$AO1752))&gt;0)*(ROW(職員マスタ!$A$6:$A$405)-5))),IFERROR(MATCH($B1752,職員マスタ!$A$6:$A$405,0),"")))</f>
        <v/>
      </c>
      <c r="AO1752" s="16">
        <f>IF(OR($B1752="",$C1752="",$D1752=""),"",DATE($C1752+2018,$D1752,1))</f>
        <v/>
      </c>
    </row>
    <row r="1753">
      <c r="A1753" s="11" t="n"/>
      <c r="B1753" s="12" t="n"/>
      <c r="C1753" s="12" t="n"/>
      <c r="D1753" s="12" t="n"/>
      <c r="E1753" s="13" t="n"/>
      <c r="F1753" s="12" t="n"/>
      <c r="G1753" s="13" t="n"/>
      <c r="H1753" s="12" t="n"/>
      <c r="I1753" s="12" t="n"/>
      <c r="J1753" s="12" t="n"/>
      <c r="K1753" s="12" t="n"/>
      <c r="L1753" s="11" t="n"/>
      <c r="M1753" s="11" t="n"/>
      <c r="N1753" s="11" t="n"/>
      <c r="O1753" s="11" t="n"/>
      <c r="P1753" s="12" t="n"/>
      <c r="Q1753" s="11" t="n"/>
      <c r="R1753" s="12" t="n"/>
      <c r="S1753" s="11" t="n"/>
      <c r="T1753" s="12" t="n"/>
      <c r="U1753" s="12" t="n"/>
      <c r="V1753" s="14">
        <f>IF($AN1753="",IF($B1753="","",$H1753),IF(INDEX(職員マスタ!$B$6:$B$405,$AN1753)="",$H1753,INDEX(職員マスタ!$B$6:$B$405,$AN1753)))</f>
        <v/>
      </c>
      <c r="W1753" s="14">
        <f>IF($AN1753="",IF($B1753="","",$R1753),IF(INDEX(職員マスタ!$C$6:$C$405,$AN1753)="",$R1753,INDEX(職員マスタ!$C$6:$C$405,$AN1753)))</f>
        <v/>
      </c>
      <c r="X1753" s="14">
        <f>IF($AO1753="","","R"&amp;$C1753&amp;"."&amp;$D1753)</f>
        <v/>
      </c>
      <c r="Y1753" s="15">
        <f>IF($AN1753="","",IF(INDEX(職員マスタ!$K$6:$K$405,$AN1753)="","",INDEX(職員マスタ!$K$6:$K$405,$AN1753)))</f>
        <v/>
      </c>
      <c r="Z1753" s="14">
        <f>IF(OR($E1753="",$Y1753=""),"",IF($E1753&gt;=$Y1753,"×",IF($E1753&gt;=$Y1753*設定!$C$5,"△","○")))</f>
        <v/>
      </c>
      <c r="AA1753" s="15">
        <f>IF($Z1753="","",IF($Z1753="×",0,IF($Z1753="○",ROUNDDOWN($E1753*設定!$C$4,0),ROUNDDOWN($E1753*ROUND((9*$Y1753-9*$E1753)/(10*$E1753),4),0))))</f>
        <v/>
      </c>
      <c r="AB1753" s="13" t="n"/>
      <c r="AC1753" s="15">
        <f>IF($B1753="","",IF($AB1753&lt;&gt;"",$AB1753,IF($AA1753="","",IF($AA1753&lt;=設定!$C$3,0,$AA1753))))</f>
        <v/>
      </c>
      <c r="AD1753" s="14">
        <f>IF($B1753="","",IF(AND($AE1753&lt;&gt;"",$AG1753="",$AJ1753=""),"保留中",IF($AJ1753&lt;&gt;"",IF(N($AC1753)&gt;0,"支給済","不支給"),IF($AC1753="","要確認",IF($AC1753=0,"不支給","未処理")))))</f>
        <v/>
      </c>
      <c r="AE1753" s="12" t="n"/>
      <c r="AF1753" s="11" t="n"/>
      <c r="AG1753" s="11" t="n"/>
      <c r="AH1753" s="11" t="n"/>
      <c r="AI1753" s="14">
        <f>IF(AND($AD1753="保留中",$AF1753&lt;&gt;""),TODAY()-$AF1753,"")</f>
        <v/>
      </c>
      <c r="AJ1753" s="12" t="n"/>
      <c r="AK1753" s="14">
        <f>IF($B1753="","",IF($AO1753="","対象年月が未入力／","")&amp;IF($B1753="","",IF($AN1753="","職員マスタに未登録の職員番号／",IF($Y1753="","標準報酬月額が未登録／","")&amp;IF(AND($AO1753&lt;&gt;"",OR(AND(INDEX(職員マスタ!$G$6:$G$405,$AN1753)&lt;&gt;"",INDEX(職員マスタ!$G$6:$G$405,$AN1753)&gt;EOMONTH($AO1753,0)),AND(INDEX(職員マスタ!$H$6:$H$405,$AN1753)&lt;&gt;"",INDEX(職員マスタ!$H$6:$H$405,$AN1753)&lt;$AO1753))),"対象月が時短期間外／","")&amp;IF(AND(INDEX(職員マスタ!$F$6:$F$405,$AN1753)&lt;&gt;"",$AO1753&lt;&gt;"",INDEX(職員マスタ!$F$6:$F$405,$AN1753)&lt;$AO1753),"対象月に子が2歳到達済／","")&amp;IF(AND($H1753&lt;&gt;"",INDEX(職員マスタ!$B$6:$B$405,$AN1753)&lt;&gt;"",SUBSTITUTE(SUBSTITUTE($H1753," ","")," ","")&lt;&gt;SUBSTITUTE(SUBSTITUTE(INDEX(職員マスタ!$B$6:$B$405,$AN1753)," ","")," ","")),"氏名がマスタと相違／","")&amp;IF(AND($Q1753&lt;&gt;"",INDEX(職員マスタ!$E$6:$E$405,$AN1753)&lt;&gt;"",$Q1753&lt;&gt;INDEX(職員マスタ!$E$6:$E$405,$AN1753)),"子の生年月日がマスタと相違／","")&amp;IF(AND($L1753&lt;&gt;"",INDEX(職員マスタ!$G$6:$G$405,$AN1753)&lt;&gt;"",$L1753&lt;&gt;INDEX(職員マスタ!$G$6:$G$405,$AN1753)),"時短開始日がマスタと相違／","")&amp;IF(AND($M1753&lt;&gt;"",INDEX(職員マスタ!$H$6:$H$405,$AN1753)&lt;&gt;"",$M1753&lt;&gt;INDEX(職員マスタ!$H$6:$H$405,$AN1753)),"時短終了日がマスタと相違／","")))&amp;IF(AND($B1753&lt;&gt;"",$E1753=""),"報酬額が未入力／","")&amp;IF(N($U1753)&gt;0,"申請書に入力エラーが残っています／","")&amp;IF(AND($B1753&lt;&gt;"",$AO1753&lt;&gt;""),IF(COUNTIFS($B$6:$B$3005,$B1753,$C$6:$C$3005,$C1753,$D$6:$D$3005,$D1753)&gt;1,"同じ月の請求が重複しています／",""),"")&amp;IF(AND(N($E1753)&gt;0,$Z1753&lt;&gt;"",$Z1753&lt;&gt;"×",$AC1753=0,$AB1753=""),"計算額が下限以下のため不支給／",""))</f>
        <v/>
      </c>
      <c r="AL1753" s="12" t="n"/>
      <c r="AM1753" s="14">
        <f>IF($AD1753="保留中",COUNTIF($AD$6:$AD1753,"保留中"),"")</f>
        <v/>
      </c>
      <c r="AN1753" s="14">
        <f>IF($AO1753="","",IF(SUMPRODUCT(MAX((職員マスタ!$A$6:$A$405=$B1753)*(((職員マスタ!$G$6:$G$405="")+(職員マスタ!$G$6:$G$405&lt;=EOMONTH($AO1753,0)))&gt;0)*(((職員マスタ!$H$6:$H$405="")+(職員マスタ!$H$6:$H$405&gt;=$AO1753))&gt;0)*(ROW(職員マスタ!$A$6:$A$405)-5)))&gt;0,SUMPRODUCT(MAX((職員マスタ!$A$6:$A$405=$B1753)*(((職員マスタ!$G$6:$G$405="")+(職員マスタ!$G$6:$G$405&lt;=EOMONTH($AO1753,0)))&gt;0)*(((職員マスタ!$H$6:$H$405="")+(職員マスタ!$H$6:$H$405&gt;=$AO1753))&gt;0)*(ROW(職員マスタ!$A$6:$A$405)-5))),IFERROR(MATCH($B1753,職員マスタ!$A$6:$A$405,0),"")))</f>
        <v/>
      </c>
      <c r="AO1753" s="16">
        <f>IF(OR($B1753="",$C1753="",$D1753=""),"",DATE($C1753+2018,$D1753,1))</f>
        <v/>
      </c>
    </row>
    <row r="1754">
      <c r="A1754" s="11" t="n"/>
      <c r="B1754" s="12" t="n"/>
      <c r="C1754" s="12" t="n"/>
      <c r="D1754" s="12" t="n"/>
      <c r="E1754" s="13" t="n"/>
      <c r="F1754" s="12" t="n"/>
      <c r="G1754" s="13" t="n"/>
      <c r="H1754" s="12" t="n"/>
      <c r="I1754" s="12" t="n"/>
      <c r="J1754" s="12" t="n"/>
      <c r="K1754" s="12" t="n"/>
      <c r="L1754" s="11" t="n"/>
      <c r="M1754" s="11" t="n"/>
      <c r="N1754" s="11" t="n"/>
      <c r="O1754" s="11" t="n"/>
      <c r="P1754" s="12" t="n"/>
      <c r="Q1754" s="11" t="n"/>
      <c r="R1754" s="12" t="n"/>
      <c r="S1754" s="11" t="n"/>
      <c r="T1754" s="12" t="n"/>
      <c r="U1754" s="12" t="n"/>
      <c r="V1754" s="14">
        <f>IF($AN1754="",IF($B1754="","",$H1754),IF(INDEX(職員マスタ!$B$6:$B$405,$AN1754)="",$H1754,INDEX(職員マスタ!$B$6:$B$405,$AN1754)))</f>
        <v/>
      </c>
      <c r="W1754" s="14">
        <f>IF($AN1754="",IF($B1754="","",$R1754),IF(INDEX(職員マスタ!$C$6:$C$405,$AN1754)="",$R1754,INDEX(職員マスタ!$C$6:$C$405,$AN1754)))</f>
        <v/>
      </c>
      <c r="X1754" s="14">
        <f>IF($AO1754="","","R"&amp;$C1754&amp;"."&amp;$D1754)</f>
        <v/>
      </c>
      <c r="Y1754" s="15">
        <f>IF($AN1754="","",IF(INDEX(職員マスタ!$K$6:$K$405,$AN1754)="","",INDEX(職員マスタ!$K$6:$K$405,$AN1754)))</f>
        <v/>
      </c>
      <c r="Z1754" s="14">
        <f>IF(OR($E1754="",$Y1754=""),"",IF($E1754&gt;=$Y1754,"×",IF($E1754&gt;=$Y1754*設定!$C$5,"△","○")))</f>
        <v/>
      </c>
      <c r="AA1754" s="15">
        <f>IF($Z1754="","",IF($Z1754="×",0,IF($Z1754="○",ROUNDDOWN($E1754*設定!$C$4,0),ROUNDDOWN($E1754*ROUND((9*$Y1754-9*$E1754)/(10*$E1754),4),0))))</f>
        <v/>
      </c>
      <c r="AB1754" s="13" t="n"/>
      <c r="AC1754" s="15">
        <f>IF($B1754="","",IF($AB1754&lt;&gt;"",$AB1754,IF($AA1754="","",IF($AA1754&lt;=設定!$C$3,0,$AA1754))))</f>
        <v/>
      </c>
      <c r="AD1754" s="14">
        <f>IF($B1754="","",IF(AND($AE1754&lt;&gt;"",$AG1754="",$AJ1754=""),"保留中",IF($AJ1754&lt;&gt;"",IF(N($AC1754)&gt;0,"支給済","不支給"),IF($AC1754="","要確認",IF($AC1754=0,"不支給","未処理")))))</f>
        <v/>
      </c>
      <c r="AE1754" s="12" t="n"/>
      <c r="AF1754" s="11" t="n"/>
      <c r="AG1754" s="11" t="n"/>
      <c r="AH1754" s="11" t="n"/>
      <c r="AI1754" s="14">
        <f>IF(AND($AD1754="保留中",$AF1754&lt;&gt;""),TODAY()-$AF1754,"")</f>
        <v/>
      </c>
      <c r="AJ1754" s="12" t="n"/>
      <c r="AK1754" s="14">
        <f>IF($B1754="","",IF($AO1754="","対象年月が未入力／","")&amp;IF($B1754="","",IF($AN1754="","職員マスタに未登録の職員番号／",IF($Y1754="","標準報酬月額が未登録／","")&amp;IF(AND($AO1754&lt;&gt;"",OR(AND(INDEX(職員マスタ!$G$6:$G$405,$AN1754)&lt;&gt;"",INDEX(職員マスタ!$G$6:$G$405,$AN1754)&gt;EOMONTH($AO1754,0)),AND(INDEX(職員マスタ!$H$6:$H$405,$AN1754)&lt;&gt;"",INDEX(職員マスタ!$H$6:$H$405,$AN1754)&lt;$AO1754))),"対象月が時短期間外／","")&amp;IF(AND(INDEX(職員マスタ!$F$6:$F$405,$AN1754)&lt;&gt;"",$AO1754&lt;&gt;"",INDEX(職員マスタ!$F$6:$F$405,$AN1754)&lt;$AO1754),"対象月に子が2歳到達済／","")&amp;IF(AND($H1754&lt;&gt;"",INDEX(職員マスタ!$B$6:$B$405,$AN1754)&lt;&gt;"",SUBSTITUTE(SUBSTITUTE($H1754," ","")," ","")&lt;&gt;SUBSTITUTE(SUBSTITUTE(INDEX(職員マスタ!$B$6:$B$405,$AN1754)," ","")," ","")),"氏名がマスタと相違／","")&amp;IF(AND($Q1754&lt;&gt;"",INDEX(職員マスタ!$E$6:$E$405,$AN1754)&lt;&gt;"",$Q1754&lt;&gt;INDEX(職員マスタ!$E$6:$E$405,$AN1754)),"子の生年月日がマスタと相違／","")&amp;IF(AND($L1754&lt;&gt;"",INDEX(職員マスタ!$G$6:$G$405,$AN1754)&lt;&gt;"",$L1754&lt;&gt;INDEX(職員マスタ!$G$6:$G$405,$AN1754)),"時短開始日がマスタと相違／","")&amp;IF(AND($M1754&lt;&gt;"",INDEX(職員マスタ!$H$6:$H$405,$AN1754)&lt;&gt;"",$M1754&lt;&gt;INDEX(職員マスタ!$H$6:$H$405,$AN1754)),"時短終了日がマスタと相違／","")))&amp;IF(AND($B1754&lt;&gt;"",$E1754=""),"報酬額が未入力／","")&amp;IF(N($U1754)&gt;0,"申請書に入力エラーが残っています／","")&amp;IF(AND($B1754&lt;&gt;"",$AO1754&lt;&gt;""),IF(COUNTIFS($B$6:$B$3005,$B1754,$C$6:$C$3005,$C1754,$D$6:$D$3005,$D1754)&gt;1,"同じ月の請求が重複しています／",""),"")&amp;IF(AND(N($E1754)&gt;0,$Z1754&lt;&gt;"",$Z1754&lt;&gt;"×",$AC1754=0,$AB1754=""),"計算額が下限以下のため不支給／",""))</f>
        <v/>
      </c>
      <c r="AL1754" s="12" t="n"/>
      <c r="AM1754" s="14">
        <f>IF($AD1754="保留中",COUNTIF($AD$6:$AD1754,"保留中"),"")</f>
        <v/>
      </c>
      <c r="AN1754" s="14">
        <f>IF($AO1754="","",IF(SUMPRODUCT(MAX((職員マスタ!$A$6:$A$405=$B1754)*(((職員マスタ!$G$6:$G$405="")+(職員マスタ!$G$6:$G$405&lt;=EOMONTH($AO1754,0)))&gt;0)*(((職員マスタ!$H$6:$H$405="")+(職員マスタ!$H$6:$H$405&gt;=$AO1754))&gt;0)*(ROW(職員マスタ!$A$6:$A$405)-5)))&gt;0,SUMPRODUCT(MAX((職員マスタ!$A$6:$A$405=$B1754)*(((職員マスタ!$G$6:$G$405="")+(職員マスタ!$G$6:$G$405&lt;=EOMONTH($AO1754,0)))&gt;0)*(((職員マスタ!$H$6:$H$405="")+(職員マスタ!$H$6:$H$405&gt;=$AO1754))&gt;0)*(ROW(職員マスタ!$A$6:$A$405)-5))),IFERROR(MATCH($B1754,職員マスタ!$A$6:$A$405,0),"")))</f>
        <v/>
      </c>
      <c r="AO1754" s="16">
        <f>IF(OR($B1754="",$C1754="",$D1754=""),"",DATE($C1754+2018,$D1754,1))</f>
        <v/>
      </c>
    </row>
    <row r="1755">
      <c r="A1755" s="11" t="n"/>
      <c r="B1755" s="12" t="n"/>
      <c r="C1755" s="12" t="n"/>
      <c r="D1755" s="12" t="n"/>
      <c r="E1755" s="13" t="n"/>
      <c r="F1755" s="12" t="n"/>
      <c r="G1755" s="13" t="n"/>
      <c r="H1755" s="12" t="n"/>
      <c r="I1755" s="12" t="n"/>
      <c r="J1755" s="12" t="n"/>
      <c r="K1755" s="12" t="n"/>
      <c r="L1755" s="11" t="n"/>
      <c r="M1755" s="11" t="n"/>
      <c r="N1755" s="11" t="n"/>
      <c r="O1755" s="11" t="n"/>
      <c r="P1755" s="12" t="n"/>
      <c r="Q1755" s="11" t="n"/>
      <c r="R1755" s="12" t="n"/>
      <c r="S1755" s="11" t="n"/>
      <c r="T1755" s="12" t="n"/>
      <c r="U1755" s="12" t="n"/>
      <c r="V1755" s="14">
        <f>IF($AN1755="",IF($B1755="","",$H1755),IF(INDEX(職員マスタ!$B$6:$B$405,$AN1755)="",$H1755,INDEX(職員マスタ!$B$6:$B$405,$AN1755)))</f>
        <v/>
      </c>
      <c r="W1755" s="14">
        <f>IF($AN1755="",IF($B1755="","",$R1755),IF(INDEX(職員マスタ!$C$6:$C$405,$AN1755)="",$R1755,INDEX(職員マスタ!$C$6:$C$405,$AN1755)))</f>
        <v/>
      </c>
      <c r="X1755" s="14">
        <f>IF($AO1755="","","R"&amp;$C1755&amp;"."&amp;$D1755)</f>
        <v/>
      </c>
      <c r="Y1755" s="15">
        <f>IF($AN1755="","",IF(INDEX(職員マスタ!$K$6:$K$405,$AN1755)="","",INDEX(職員マスタ!$K$6:$K$405,$AN1755)))</f>
        <v/>
      </c>
      <c r="Z1755" s="14">
        <f>IF(OR($E1755="",$Y1755=""),"",IF($E1755&gt;=$Y1755,"×",IF($E1755&gt;=$Y1755*設定!$C$5,"△","○")))</f>
        <v/>
      </c>
      <c r="AA1755" s="15">
        <f>IF($Z1755="","",IF($Z1755="×",0,IF($Z1755="○",ROUNDDOWN($E1755*設定!$C$4,0),ROUNDDOWN($E1755*ROUND((9*$Y1755-9*$E1755)/(10*$E1755),4),0))))</f>
        <v/>
      </c>
      <c r="AB1755" s="13" t="n"/>
      <c r="AC1755" s="15">
        <f>IF($B1755="","",IF($AB1755&lt;&gt;"",$AB1755,IF($AA1755="","",IF($AA1755&lt;=設定!$C$3,0,$AA1755))))</f>
        <v/>
      </c>
      <c r="AD1755" s="14">
        <f>IF($B1755="","",IF(AND($AE1755&lt;&gt;"",$AG1755="",$AJ1755=""),"保留中",IF($AJ1755&lt;&gt;"",IF(N($AC1755)&gt;0,"支給済","不支給"),IF($AC1755="","要確認",IF($AC1755=0,"不支給","未処理")))))</f>
        <v/>
      </c>
      <c r="AE1755" s="12" t="n"/>
      <c r="AF1755" s="11" t="n"/>
      <c r="AG1755" s="11" t="n"/>
      <c r="AH1755" s="11" t="n"/>
      <c r="AI1755" s="14">
        <f>IF(AND($AD1755="保留中",$AF1755&lt;&gt;""),TODAY()-$AF1755,"")</f>
        <v/>
      </c>
      <c r="AJ1755" s="12" t="n"/>
      <c r="AK1755" s="14">
        <f>IF($B1755="","",IF($AO1755="","対象年月が未入力／","")&amp;IF($B1755="","",IF($AN1755="","職員マスタに未登録の職員番号／",IF($Y1755="","標準報酬月額が未登録／","")&amp;IF(AND($AO1755&lt;&gt;"",OR(AND(INDEX(職員マスタ!$G$6:$G$405,$AN1755)&lt;&gt;"",INDEX(職員マスタ!$G$6:$G$405,$AN1755)&gt;EOMONTH($AO1755,0)),AND(INDEX(職員マスタ!$H$6:$H$405,$AN1755)&lt;&gt;"",INDEX(職員マスタ!$H$6:$H$405,$AN1755)&lt;$AO1755))),"対象月が時短期間外／","")&amp;IF(AND(INDEX(職員マスタ!$F$6:$F$405,$AN1755)&lt;&gt;"",$AO1755&lt;&gt;"",INDEX(職員マスタ!$F$6:$F$405,$AN1755)&lt;$AO1755),"対象月に子が2歳到達済／","")&amp;IF(AND($H1755&lt;&gt;"",INDEX(職員マスタ!$B$6:$B$405,$AN1755)&lt;&gt;"",SUBSTITUTE(SUBSTITUTE($H1755," ","")," ","")&lt;&gt;SUBSTITUTE(SUBSTITUTE(INDEX(職員マスタ!$B$6:$B$405,$AN1755)," ","")," ","")),"氏名がマスタと相違／","")&amp;IF(AND($Q1755&lt;&gt;"",INDEX(職員マスタ!$E$6:$E$405,$AN1755)&lt;&gt;"",$Q1755&lt;&gt;INDEX(職員マスタ!$E$6:$E$405,$AN1755)),"子の生年月日がマスタと相違／","")&amp;IF(AND($L1755&lt;&gt;"",INDEX(職員マスタ!$G$6:$G$405,$AN1755)&lt;&gt;"",$L1755&lt;&gt;INDEX(職員マスタ!$G$6:$G$405,$AN1755)),"時短開始日がマスタと相違／","")&amp;IF(AND($M1755&lt;&gt;"",INDEX(職員マスタ!$H$6:$H$405,$AN1755)&lt;&gt;"",$M1755&lt;&gt;INDEX(職員マスタ!$H$6:$H$405,$AN1755)),"時短終了日がマスタと相違／","")))&amp;IF(AND($B1755&lt;&gt;"",$E1755=""),"報酬額が未入力／","")&amp;IF(N($U1755)&gt;0,"申請書に入力エラーが残っています／","")&amp;IF(AND($B1755&lt;&gt;"",$AO1755&lt;&gt;""),IF(COUNTIFS($B$6:$B$3005,$B1755,$C$6:$C$3005,$C1755,$D$6:$D$3005,$D1755)&gt;1,"同じ月の請求が重複しています／",""),"")&amp;IF(AND(N($E1755)&gt;0,$Z1755&lt;&gt;"",$Z1755&lt;&gt;"×",$AC1755=0,$AB1755=""),"計算額が下限以下のため不支給／",""))</f>
        <v/>
      </c>
      <c r="AL1755" s="12" t="n"/>
      <c r="AM1755" s="14">
        <f>IF($AD1755="保留中",COUNTIF($AD$6:$AD1755,"保留中"),"")</f>
        <v/>
      </c>
      <c r="AN1755" s="14">
        <f>IF($AO1755="","",IF(SUMPRODUCT(MAX((職員マスタ!$A$6:$A$405=$B1755)*(((職員マスタ!$G$6:$G$405="")+(職員マスタ!$G$6:$G$405&lt;=EOMONTH($AO1755,0)))&gt;0)*(((職員マスタ!$H$6:$H$405="")+(職員マスタ!$H$6:$H$405&gt;=$AO1755))&gt;0)*(ROW(職員マスタ!$A$6:$A$405)-5)))&gt;0,SUMPRODUCT(MAX((職員マスタ!$A$6:$A$405=$B1755)*(((職員マスタ!$G$6:$G$405="")+(職員マスタ!$G$6:$G$405&lt;=EOMONTH($AO1755,0)))&gt;0)*(((職員マスタ!$H$6:$H$405="")+(職員マスタ!$H$6:$H$405&gt;=$AO1755))&gt;0)*(ROW(職員マスタ!$A$6:$A$405)-5))),IFERROR(MATCH($B1755,職員マスタ!$A$6:$A$405,0),"")))</f>
        <v/>
      </c>
      <c r="AO1755" s="16">
        <f>IF(OR($B1755="",$C1755="",$D1755=""),"",DATE($C1755+2018,$D1755,1))</f>
        <v/>
      </c>
    </row>
    <row r="1756">
      <c r="A1756" s="11" t="n"/>
      <c r="B1756" s="12" t="n"/>
      <c r="C1756" s="12" t="n"/>
      <c r="D1756" s="12" t="n"/>
      <c r="E1756" s="13" t="n"/>
      <c r="F1756" s="12" t="n"/>
      <c r="G1756" s="13" t="n"/>
      <c r="H1756" s="12" t="n"/>
      <c r="I1756" s="12" t="n"/>
      <c r="J1756" s="12" t="n"/>
      <c r="K1756" s="12" t="n"/>
      <c r="L1756" s="11" t="n"/>
      <c r="M1756" s="11" t="n"/>
      <c r="N1756" s="11" t="n"/>
      <c r="O1756" s="11" t="n"/>
      <c r="P1756" s="12" t="n"/>
      <c r="Q1756" s="11" t="n"/>
      <c r="R1756" s="12" t="n"/>
      <c r="S1756" s="11" t="n"/>
      <c r="T1756" s="12" t="n"/>
      <c r="U1756" s="12" t="n"/>
      <c r="V1756" s="14">
        <f>IF($AN1756="",IF($B1756="","",$H1756),IF(INDEX(職員マスタ!$B$6:$B$405,$AN1756)="",$H1756,INDEX(職員マスタ!$B$6:$B$405,$AN1756)))</f>
        <v/>
      </c>
      <c r="W1756" s="14">
        <f>IF($AN1756="",IF($B1756="","",$R1756),IF(INDEX(職員マスタ!$C$6:$C$405,$AN1756)="",$R1756,INDEX(職員マスタ!$C$6:$C$405,$AN1756)))</f>
        <v/>
      </c>
      <c r="X1756" s="14">
        <f>IF($AO1756="","","R"&amp;$C1756&amp;"."&amp;$D1756)</f>
        <v/>
      </c>
      <c r="Y1756" s="15">
        <f>IF($AN1756="","",IF(INDEX(職員マスタ!$K$6:$K$405,$AN1756)="","",INDEX(職員マスタ!$K$6:$K$405,$AN1756)))</f>
        <v/>
      </c>
      <c r="Z1756" s="14">
        <f>IF(OR($E1756="",$Y1756=""),"",IF($E1756&gt;=$Y1756,"×",IF($E1756&gt;=$Y1756*設定!$C$5,"△","○")))</f>
        <v/>
      </c>
      <c r="AA1756" s="15">
        <f>IF($Z1756="","",IF($Z1756="×",0,IF($Z1756="○",ROUNDDOWN($E1756*設定!$C$4,0),ROUNDDOWN($E1756*ROUND((9*$Y1756-9*$E1756)/(10*$E1756),4),0))))</f>
        <v/>
      </c>
      <c r="AB1756" s="13" t="n"/>
      <c r="AC1756" s="15">
        <f>IF($B1756="","",IF($AB1756&lt;&gt;"",$AB1756,IF($AA1756="","",IF($AA1756&lt;=設定!$C$3,0,$AA1756))))</f>
        <v/>
      </c>
      <c r="AD1756" s="14">
        <f>IF($B1756="","",IF(AND($AE1756&lt;&gt;"",$AG1756="",$AJ1756=""),"保留中",IF($AJ1756&lt;&gt;"",IF(N($AC1756)&gt;0,"支給済","不支給"),IF($AC1756="","要確認",IF($AC1756=0,"不支給","未処理")))))</f>
        <v/>
      </c>
      <c r="AE1756" s="12" t="n"/>
      <c r="AF1756" s="11" t="n"/>
      <c r="AG1756" s="11" t="n"/>
      <c r="AH1756" s="11" t="n"/>
      <c r="AI1756" s="14">
        <f>IF(AND($AD1756="保留中",$AF1756&lt;&gt;""),TODAY()-$AF1756,"")</f>
        <v/>
      </c>
      <c r="AJ1756" s="12" t="n"/>
      <c r="AK1756" s="14">
        <f>IF($B1756="","",IF($AO1756="","対象年月が未入力／","")&amp;IF($B1756="","",IF($AN1756="","職員マスタに未登録の職員番号／",IF($Y1756="","標準報酬月額が未登録／","")&amp;IF(AND($AO1756&lt;&gt;"",OR(AND(INDEX(職員マスタ!$G$6:$G$405,$AN1756)&lt;&gt;"",INDEX(職員マスタ!$G$6:$G$405,$AN1756)&gt;EOMONTH($AO1756,0)),AND(INDEX(職員マスタ!$H$6:$H$405,$AN1756)&lt;&gt;"",INDEX(職員マスタ!$H$6:$H$405,$AN1756)&lt;$AO1756))),"対象月が時短期間外／","")&amp;IF(AND(INDEX(職員マスタ!$F$6:$F$405,$AN1756)&lt;&gt;"",$AO1756&lt;&gt;"",INDEX(職員マスタ!$F$6:$F$405,$AN1756)&lt;$AO1756),"対象月に子が2歳到達済／","")&amp;IF(AND($H1756&lt;&gt;"",INDEX(職員マスタ!$B$6:$B$405,$AN1756)&lt;&gt;"",SUBSTITUTE(SUBSTITUTE($H1756," ","")," ","")&lt;&gt;SUBSTITUTE(SUBSTITUTE(INDEX(職員マスタ!$B$6:$B$405,$AN1756)," ","")," ","")),"氏名がマスタと相違／","")&amp;IF(AND($Q1756&lt;&gt;"",INDEX(職員マスタ!$E$6:$E$405,$AN1756)&lt;&gt;"",$Q1756&lt;&gt;INDEX(職員マスタ!$E$6:$E$405,$AN1756)),"子の生年月日がマスタと相違／","")&amp;IF(AND($L1756&lt;&gt;"",INDEX(職員マスタ!$G$6:$G$405,$AN1756)&lt;&gt;"",$L1756&lt;&gt;INDEX(職員マスタ!$G$6:$G$405,$AN1756)),"時短開始日がマスタと相違／","")&amp;IF(AND($M1756&lt;&gt;"",INDEX(職員マスタ!$H$6:$H$405,$AN1756)&lt;&gt;"",$M1756&lt;&gt;INDEX(職員マスタ!$H$6:$H$405,$AN1756)),"時短終了日がマスタと相違／","")))&amp;IF(AND($B1756&lt;&gt;"",$E1756=""),"報酬額が未入力／","")&amp;IF(N($U1756)&gt;0,"申請書に入力エラーが残っています／","")&amp;IF(AND($B1756&lt;&gt;"",$AO1756&lt;&gt;""),IF(COUNTIFS($B$6:$B$3005,$B1756,$C$6:$C$3005,$C1756,$D$6:$D$3005,$D1756)&gt;1,"同じ月の請求が重複しています／",""),"")&amp;IF(AND(N($E1756)&gt;0,$Z1756&lt;&gt;"",$Z1756&lt;&gt;"×",$AC1756=0,$AB1756=""),"計算額が下限以下のため不支給／",""))</f>
        <v/>
      </c>
      <c r="AL1756" s="12" t="n"/>
      <c r="AM1756" s="14">
        <f>IF($AD1756="保留中",COUNTIF($AD$6:$AD1756,"保留中"),"")</f>
        <v/>
      </c>
      <c r="AN1756" s="14">
        <f>IF($AO1756="","",IF(SUMPRODUCT(MAX((職員マスタ!$A$6:$A$405=$B1756)*(((職員マスタ!$G$6:$G$405="")+(職員マスタ!$G$6:$G$405&lt;=EOMONTH($AO1756,0)))&gt;0)*(((職員マスタ!$H$6:$H$405="")+(職員マスタ!$H$6:$H$405&gt;=$AO1756))&gt;0)*(ROW(職員マスタ!$A$6:$A$405)-5)))&gt;0,SUMPRODUCT(MAX((職員マスタ!$A$6:$A$405=$B1756)*(((職員マスタ!$G$6:$G$405="")+(職員マスタ!$G$6:$G$405&lt;=EOMONTH($AO1756,0)))&gt;0)*(((職員マスタ!$H$6:$H$405="")+(職員マスタ!$H$6:$H$405&gt;=$AO1756))&gt;0)*(ROW(職員マスタ!$A$6:$A$405)-5))),IFERROR(MATCH($B1756,職員マスタ!$A$6:$A$405,0),"")))</f>
        <v/>
      </c>
      <c r="AO1756" s="16">
        <f>IF(OR($B1756="",$C1756="",$D1756=""),"",DATE($C1756+2018,$D1756,1))</f>
        <v/>
      </c>
    </row>
    <row r="1757">
      <c r="A1757" s="11" t="n"/>
      <c r="B1757" s="12" t="n"/>
      <c r="C1757" s="12" t="n"/>
      <c r="D1757" s="12" t="n"/>
      <c r="E1757" s="13" t="n"/>
      <c r="F1757" s="12" t="n"/>
      <c r="G1757" s="13" t="n"/>
      <c r="H1757" s="12" t="n"/>
      <c r="I1757" s="12" t="n"/>
      <c r="J1757" s="12" t="n"/>
      <c r="K1757" s="12" t="n"/>
      <c r="L1757" s="11" t="n"/>
      <c r="M1757" s="11" t="n"/>
      <c r="N1757" s="11" t="n"/>
      <c r="O1757" s="11" t="n"/>
      <c r="P1757" s="12" t="n"/>
      <c r="Q1757" s="11" t="n"/>
      <c r="R1757" s="12" t="n"/>
      <c r="S1757" s="11" t="n"/>
      <c r="T1757" s="12" t="n"/>
      <c r="U1757" s="12" t="n"/>
      <c r="V1757" s="14">
        <f>IF($AN1757="",IF($B1757="","",$H1757),IF(INDEX(職員マスタ!$B$6:$B$405,$AN1757)="",$H1757,INDEX(職員マスタ!$B$6:$B$405,$AN1757)))</f>
        <v/>
      </c>
      <c r="W1757" s="14">
        <f>IF($AN1757="",IF($B1757="","",$R1757),IF(INDEX(職員マスタ!$C$6:$C$405,$AN1757)="",$R1757,INDEX(職員マスタ!$C$6:$C$405,$AN1757)))</f>
        <v/>
      </c>
      <c r="X1757" s="14">
        <f>IF($AO1757="","","R"&amp;$C1757&amp;"."&amp;$D1757)</f>
        <v/>
      </c>
      <c r="Y1757" s="15">
        <f>IF($AN1757="","",IF(INDEX(職員マスタ!$K$6:$K$405,$AN1757)="","",INDEX(職員マスタ!$K$6:$K$405,$AN1757)))</f>
        <v/>
      </c>
      <c r="Z1757" s="14">
        <f>IF(OR($E1757="",$Y1757=""),"",IF($E1757&gt;=$Y1757,"×",IF($E1757&gt;=$Y1757*設定!$C$5,"△","○")))</f>
        <v/>
      </c>
      <c r="AA1757" s="15">
        <f>IF($Z1757="","",IF($Z1757="×",0,IF($Z1757="○",ROUNDDOWN($E1757*設定!$C$4,0),ROUNDDOWN($E1757*ROUND((9*$Y1757-9*$E1757)/(10*$E1757),4),0))))</f>
        <v/>
      </c>
      <c r="AB1757" s="13" t="n"/>
      <c r="AC1757" s="15">
        <f>IF($B1757="","",IF($AB1757&lt;&gt;"",$AB1757,IF($AA1757="","",IF($AA1757&lt;=設定!$C$3,0,$AA1757))))</f>
        <v/>
      </c>
      <c r="AD1757" s="14">
        <f>IF($B1757="","",IF(AND($AE1757&lt;&gt;"",$AG1757="",$AJ1757=""),"保留中",IF($AJ1757&lt;&gt;"",IF(N($AC1757)&gt;0,"支給済","不支給"),IF($AC1757="","要確認",IF($AC1757=0,"不支給","未処理")))))</f>
        <v/>
      </c>
      <c r="AE1757" s="12" t="n"/>
      <c r="AF1757" s="11" t="n"/>
      <c r="AG1757" s="11" t="n"/>
      <c r="AH1757" s="11" t="n"/>
      <c r="AI1757" s="14">
        <f>IF(AND($AD1757="保留中",$AF1757&lt;&gt;""),TODAY()-$AF1757,"")</f>
        <v/>
      </c>
      <c r="AJ1757" s="12" t="n"/>
      <c r="AK1757" s="14">
        <f>IF($B1757="","",IF($AO1757="","対象年月が未入力／","")&amp;IF($B1757="","",IF($AN1757="","職員マスタに未登録の職員番号／",IF($Y1757="","標準報酬月額が未登録／","")&amp;IF(AND($AO1757&lt;&gt;"",OR(AND(INDEX(職員マスタ!$G$6:$G$405,$AN1757)&lt;&gt;"",INDEX(職員マスタ!$G$6:$G$405,$AN1757)&gt;EOMONTH($AO1757,0)),AND(INDEX(職員マスタ!$H$6:$H$405,$AN1757)&lt;&gt;"",INDEX(職員マスタ!$H$6:$H$405,$AN1757)&lt;$AO1757))),"対象月が時短期間外／","")&amp;IF(AND(INDEX(職員マスタ!$F$6:$F$405,$AN1757)&lt;&gt;"",$AO1757&lt;&gt;"",INDEX(職員マスタ!$F$6:$F$405,$AN1757)&lt;$AO1757),"対象月に子が2歳到達済／","")&amp;IF(AND($H1757&lt;&gt;"",INDEX(職員マスタ!$B$6:$B$405,$AN1757)&lt;&gt;"",SUBSTITUTE(SUBSTITUTE($H1757," ","")," ","")&lt;&gt;SUBSTITUTE(SUBSTITUTE(INDEX(職員マスタ!$B$6:$B$405,$AN1757)," ","")," ","")),"氏名がマスタと相違／","")&amp;IF(AND($Q1757&lt;&gt;"",INDEX(職員マスタ!$E$6:$E$405,$AN1757)&lt;&gt;"",$Q1757&lt;&gt;INDEX(職員マスタ!$E$6:$E$405,$AN1757)),"子の生年月日がマスタと相違／","")&amp;IF(AND($L1757&lt;&gt;"",INDEX(職員マスタ!$G$6:$G$405,$AN1757)&lt;&gt;"",$L1757&lt;&gt;INDEX(職員マスタ!$G$6:$G$405,$AN1757)),"時短開始日がマスタと相違／","")&amp;IF(AND($M1757&lt;&gt;"",INDEX(職員マスタ!$H$6:$H$405,$AN1757)&lt;&gt;"",$M1757&lt;&gt;INDEX(職員マスタ!$H$6:$H$405,$AN1757)),"時短終了日がマスタと相違／","")))&amp;IF(AND($B1757&lt;&gt;"",$E1757=""),"報酬額が未入力／","")&amp;IF(N($U1757)&gt;0,"申請書に入力エラーが残っています／","")&amp;IF(AND($B1757&lt;&gt;"",$AO1757&lt;&gt;""),IF(COUNTIFS($B$6:$B$3005,$B1757,$C$6:$C$3005,$C1757,$D$6:$D$3005,$D1757)&gt;1,"同じ月の請求が重複しています／",""),"")&amp;IF(AND(N($E1757)&gt;0,$Z1757&lt;&gt;"",$Z1757&lt;&gt;"×",$AC1757=0,$AB1757=""),"計算額が下限以下のため不支給／",""))</f>
        <v/>
      </c>
      <c r="AL1757" s="12" t="n"/>
      <c r="AM1757" s="14">
        <f>IF($AD1757="保留中",COUNTIF($AD$6:$AD1757,"保留中"),"")</f>
        <v/>
      </c>
      <c r="AN1757" s="14">
        <f>IF($AO1757="","",IF(SUMPRODUCT(MAX((職員マスタ!$A$6:$A$405=$B1757)*(((職員マスタ!$G$6:$G$405="")+(職員マスタ!$G$6:$G$405&lt;=EOMONTH($AO1757,0)))&gt;0)*(((職員マスタ!$H$6:$H$405="")+(職員マスタ!$H$6:$H$405&gt;=$AO1757))&gt;0)*(ROW(職員マスタ!$A$6:$A$405)-5)))&gt;0,SUMPRODUCT(MAX((職員マスタ!$A$6:$A$405=$B1757)*(((職員マスタ!$G$6:$G$405="")+(職員マスタ!$G$6:$G$405&lt;=EOMONTH($AO1757,0)))&gt;0)*(((職員マスタ!$H$6:$H$405="")+(職員マスタ!$H$6:$H$405&gt;=$AO1757))&gt;0)*(ROW(職員マスタ!$A$6:$A$405)-5))),IFERROR(MATCH($B1757,職員マスタ!$A$6:$A$405,0),"")))</f>
        <v/>
      </c>
      <c r="AO1757" s="16">
        <f>IF(OR($B1757="",$C1757="",$D1757=""),"",DATE($C1757+2018,$D1757,1))</f>
        <v/>
      </c>
    </row>
    <row r="1758">
      <c r="A1758" s="11" t="n"/>
      <c r="B1758" s="12" t="n"/>
      <c r="C1758" s="12" t="n"/>
      <c r="D1758" s="12" t="n"/>
      <c r="E1758" s="13" t="n"/>
      <c r="F1758" s="12" t="n"/>
      <c r="G1758" s="13" t="n"/>
      <c r="H1758" s="12" t="n"/>
      <c r="I1758" s="12" t="n"/>
      <c r="J1758" s="12" t="n"/>
      <c r="K1758" s="12" t="n"/>
      <c r="L1758" s="11" t="n"/>
      <c r="M1758" s="11" t="n"/>
      <c r="N1758" s="11" t="n"/>
      <c r="O1758" s="11" t="n"/>
      <c r="P1758" s="12" t="n"/>
      <c r="Q1758" s="11" t="n"/>
      <c r="R1758" s="12" t="n"/>
      <c r="S1758" s="11" t="n"/>
      <c r="T1758" s="12" t="n"/>
      <c r="U1758" s="12" t="n"/>
      <c r="V1758" s="14">
        <f>IF($AN1758="",IF($B1758="","",$H1758),IF(INDEX(職員マスタ!$B$6:$B$405,$AN1758)="",$H1758,INDEX(職員マスタ!$B$6:$B$405,$AN1758)))</f>
        <v/>
      </c>
      <c r="W1758" s="14">
        <f>IF($AN1758="",IF($B1758="","",$R1758),IF(INDEX(職員マスタ!$C$6:$C$405,$AN1758)="",$R1758,INDEX(職員マスタ!$C$6:$C$405,$AN1758)))</f>
        <v/>
      </c>
      <c r="X1758" s="14">
        <f>IF($AO1758="","","R"&amp;$C1758&amp;"."&amp;$D1758)</f>
        <v/>
      </c>
      <c r="Y1758" s="15">
        <f>IF($AN1758="","",IF(INDEX(職員マスタ!$K$6:$K$405,$AN1758)="","",INDEX(職員マスタ!$K$6:$K$405,$AN1758)))</f>
        <v/>
      </c>
      <c r="Z1758" s="14">
        <f>IF(OR($E1758="",$Y1758=""),"",IF($E1758&gt;=$Y1758,"×",IF($E1758&gt;=$Y1758*設定!$C$5,"△","○")))</f>
        <v/>
      </c>
      <c r="AA1758" s="15">
        <f>IF($Z1758="","",IF($Z1758="×",0,IF($Z1758="○",ROUNDDOWN($E1758*設定!$C$4,0),ROUNDDOWN($E1758*ROUND((9*$Y1758-9*$E1758)/(10*$E1758),4),0))))</f>
        <v/>
      </c>
      <c r="AB1758" s="13" t="n"/>
      <c r="AC1758" s="15">
        <f>IF($B1758="","",IF($AB1758&lt;&gt;"",$AB1758,IF($AA1758="","",IF($AA1758&lt;=設定!$C$3,0,$AA1758))))</f>
        <v/>
      </c>
      <c r="AD1758" s="14">
        <f>IF($B1758="","",IF(AND($AE1758&lt;&gt;"",$AG1758="",$AJ1758=""),"保留中",IF($AJ1758&lt;&gt;"",IF(N($AC1758)&gt;0,"支給済","不支給"),IF($AC1758="","要確認",IF($AC1758=0,"不支給","未処理")))))</f>
        <v/>
      </c>
      <c r="AE1758" s="12" t="n"/>
      <c r="AF1758" s="11" t="n"/>
      <c r="AG1758" s="11" t="n"/>
      <c r="AH1758" s="11" t="n"/>
      <c r="AI1758" s="14">
        <f>IF(AND($AD1758="保留中",$AF1758&lt;&gt;""),TODAY()-$AF1758,"")</f>
        <v/>
      </c>
      <c r="AJ1758" s="12" t="n"/>
      <c r="AK1758" s="14">
        <f>IF($B1758="","",IF($AO1758="","対象年月が未入力／","")&amp;IF($B1758="","",IF($AN1758="","職員マスタに未登録の職員番号／",IF($Y1758="","標準報酬月額が未登録／","")&amp;IF(AND($AO1758&lt;&gt;"",OR(AND(INDEX(職員マスタ!$G$6:$G$405,$AN1758)&lt;&gt;"",INDEX(職員マスタ!$G$6:$G$405,$AN1758)&gt;EOMONTH($AO1758,0)),AND(INDEX(職員マスタ!$H$6:$H$405,$AN1758)&lt;&gt;"",INDEX(職員マスタ!$H$6:$H$405,$AN1758)&lt;$AO1758))),"対象月が時短期間外／","")&amp;IF(AND(INDEX(職員マスタ!$F$6:$F$405,$AN1758)&lt;&gt;"",$AO1758&lt;&gt;"",INDEX(職員マスタ!$F$6:$F$405,$AN1758)&lt;$AO1758),"対象月に子が2歳到達済／","")&amp;IF(AND($H1758&lt;&gt;"",INDEX(職員マスタ!$B$6:$B$405,$AN1758)&lt;&gt;"",SUBSTITUTE(SUBSTITUTE($H1758," ","")," ","")&lt;&gt;SUBSTITUTE(SUBSTITUTE(INDEX(職員マスタ!$B$6:$B$405,$AN1758)," ","")," ","")),"氏名がマスタと相違／","")&amp;IF(AND($Q1758&lt;&gt;"",INDEX(職員マスタ!$E$6:$E$405,$AN1758)&lt;&gt;"",$Q1758&lt;&gt;INDEX(職員マスタ!$E$6:$E$405,$AN1758)),"子の生年月日がマスタと相違／","")&amp;IF(AND($L1758&lt;&gt;"",INDEX(職員マスタ!$G$6:$G$405,$AN1758)&lt;&gt;"",$L1758&lt;&gt;INDEX(職員マスタ!$G$6:$G$405,$AN1758)),"時短開始日がマスタと相違／","")&amp;IF(AND($M1758&lt;&gt;"",INDEX(職員マスタ!$H$6:$H$405,$AN1758)&lt;&gt;"",$M1758&lt;&gt;INDEX(職員マスタ!$H$6:$H$405,$AN1758)),"時短終了日がマスタと相違／","")))&amp;IF(AND($B1758&lt;&gt;"",$E1758=""),"報酬額が未入力／","")&amp;IF(N($U1758)&gt;0,"申請書に入力エラーが残っています／","")&amp;IF(AND($B1758&lt;&gt;"",$AO1758&lt;&gt;""),IF(COUNTIFS($B$6:$B$3005,$B1758,$C$6:$C$3005,$C1758,$D$6:$D$3005,$D1758)&gt;1,"同じ月の請求が重複しています／",""),"")&amp;IF(AND(N($E1758)&gt;0,$Z1758&lt;&gt;"",$Z1758&lt;&gt;"×",$AC1758=0,$AB1758=""),"計算額が下限以下のため不支給／",""))</f>
        <v/>
      </c>
      <c r="AL1758" s="12" t="n"/>
      <c r="AM1758" s="14">
        <f>IF($AD1758="保留中",COUNTIF($AD$6:$AD1758,"保留中"),"")</f>
        <v/>
      </c>
      <c r="AN1758" s="14">
        <f>IF($AO1758="","",IF(SUMPRODUCT(MAX((職員マスタ!$A$6:$A$405=$B1758)*(((職員マスタ!$G$6:$G$405="")+(職員マスタ!$G$6:$G$405&lt;=EOMONTH($AO1758,0)))&gt;0)*(((職員マスタ!$H$6:$H$405="")+(職員マスタ!$H$6:$H$405&gt;=$AO1758))&gt;0)*(ROW(職員マスタ!$A$6:$A$405)-5)))&gt;0,SUMPRODUCT(MAX((職員マスタ!$A$6:$A$405=$B1758)*(((職員マスタ!$G$6:$G$405="")+(職員マスタ!$G$6:$G$405&lt;=EOMONTH($AO1758,0)))&gt;0)*(((職員マスタ!$H$6:$H$405="")+(職員マスタ!$H$6:$H$405&gt;=$AO1758))&gt;0)*(ROW(職員マスタ!$A$6:$A$405)-5))),IFERROR(MATCH($B1758,職員マスタ!$A$6:$A$405,0),"")))</f>
        <v/>
      </c>
      <c r="AO1758" s="16">
        <f>IF(OR($B1758="",$C1758="",$D1758=""),"",DATE($C1758+2018,$D1758,1))</f>
        <v/>
      </c>
    </row>
    <row r="1759">
      <c r="A1759" s="11" t="n"/>
      <c r="B1759" s="12" t="n"/>
      <c r="C1759" s="12" t="n"/>
      <c r="D1759" s="12" t="n"/>
      <c r="E1759" s="13" t="n"/>
      <c r="F1759" s="12" t="n"/>
      <c r="G1759" s="13" t="n"/>
      <c r="H1759" s="12" t="n"/>
      <c r="I1759" s="12" t="n"/>
      <c r="J1759" s="12" t="n"/>
      <c r="K1759" s="12" t="n"/>
      <c r="L1759" s="11" t="n"/>
      <c r="M1759" s="11" t="n"/>
      <c r="N1759" s="11" t="n"/>
      <c r="O1759" s="11" t="n"/>
      <c r="P1759" s="12" t="n"/>
      <c r="Q1759" s="11" t="n"/>
      <c r="R1759" s="12" t="n"/>
      <c r="S1759" s="11" t="n"/>
      <c r="T1759" s="12" t="n"/>
      <c r="U1759" s="12" t="n"/>
      <c r="V1759" s="14">
        <f>IF($AN1759="",IF($B1759="","",$H1759),IF(INDEX(職員マスタ!$B$6:$B$405,$AN1759)="",$H1759,INDEX(職員マスタ!$B$6:$B$405,$AN1759)))</f>
        <v/>
      </c>
      <c r="W1759" s="14">
        <f>IF($AN1759="",IF($B1759="","",$R1759),IF(INDEX(職員マスタ!$C$6:$C$405,$AN1759)="",$R1759,INDEX(職員マスタ!$C$6:$C$405,$AN1759)))</f>
        <v/>
      </c>
      <c r="X1759" s="14">
        <f>IF($AO1759="","","R"&amp;$C1759&amp;"."&amp;$D1759)</f>
        <v/>
      </c>
      <c r="Y1759" s="15">
        <f>IF($AN1759="","",IF(INDEX(職員マスタ!$K$6:$K$405,$AN1759)="","",INDEX(職員マスタ!$K$6:$K$405,$AN1759)))</f>
        <v/>
      </c>
      <c r="Z1759" s="14">
        <f>IF(OR($E1759="",$Y1759=""),"",IF($E1759&gt;=$Y1759,"×",IF($E1759&gt;=$Y1759*設定!$C$5,"△","○")))</f>
        <v/>
      </c>
      <c r="AA1759" s="15">
        <f>IF($Z1759="","",IF($Z1759="×",0,IF($Z1759="○",ROUNDDOWN($E1759*設定!$C$4,0),ROUNDDOWN($E1759*ROUND((9*$Y1759-9*$E1759)/(10*$E1759),4),0))))</f>
        <v/>
      </c>
      <c r="AB1759" s="13" t="n"/>
      <c r="AC1759" s="15">
        <f>IF($B1759="","",IF($AB1759&lt;&gt;"",$AB1759,IF($AA1759="","",IF($AA1759&lt;=設定!$C$3,0,$AA1759))))</f>
        <v/>
      </c>
      <c r="AD1759" s="14">
        <f>IF($B1759="","",IF(AND($AE1759&lt;&gt;"",$AG1759="",$AJ1759=""),"保留中",IF($AJ1759&lt;&gt;"",IF(N($AC1759)&gt;0,"支給済","不支給"),IF($AC1759="","要確認",IF($AC1759=0,"不支給","未処理")))))</f>
        <v/>
      </c>
      <c r="AE1759" s="12" t="n"/>
      <c r="AF1759" s="11" t="n"/>
      <c r="AG1759" s="11" t="n"/>
      <c r="AH1759" s="11" t="n"/>
      <c r="AI1759" s="14">
        <f>IF(AND($AD1759="保留中",$AF1759&lt;&gt;""),TODAY()-$AF1759,"")</f>
        <v/>
      </c>
      <c r="AJ1759" s="12" t="n"/>
      <c r="AK1759" s="14">
        <f>IF($B1759="","",IF($AO1759="","対象年月が未入力／","")&amp;IF($B1759="","",IF($AN1759="","職員マスタに未登録の職員番号／",IF($Y1759="","標準報酬月額が未登録／","")&amp;IF(AND($AO1759&lt;&gt;"",OR(AND(INDEX(職員マスタ!$G$6:$G$405,$AN1759)&lt;&gt;"",INDEX(職員マスタ!$G$6:$G$405,$AN1759)&gt;EOMONTH($AO1759,0)),AND(INDEX(職員マスタ!$H$6:$H$405,$AN1759)&lt;&gt;"",INDEX(職員マスタ!$H$6:$H$405,$AN1759)&lt;$AO1759))),"対象月が時短期間外／","")&amp;IF(AND(INDEX(職員マスタ!$F$6:$F$405,$AN1759)&lt;&gt;"",$AO1759&lt;&gt;"",INDEX(職員マスタ!$F$6:$F$405,$AN1759)&lt;$AO1759),"対象月に子が2歳到達済／","")&amp;IF(AND($H1759&lt;&gt;"",INDEX(職員マスタ!$B$6:$B$405,$AN1759)&lt;&gt;"",SUBSTITUTE(SUBSTITUTE($H1759," ","")," ","")&lt;&gt;SUBSTITUTE(SUBSTITUTE(INDEX(職員マスタ!$B$6:$B$405,$AN1759)," ","")," ","")),"氏名がマスタと相違／","")&amp;IF(AND($Q1759&lt;&gt;"",INDEX(職員マスタ!$E$6:$E$405,$AN1759)&lt;&gt;"",$Q1759&lt;&gt;INDEX(職員マスタ!$E$6:$E$405,$AN1759)),"子の生年月日がマスタと相違／","")&amp;IF(AND($L1759&lt;&gt;"",INDEX(職員マスタ!$G$6:$G$405,$AN1759)&lt;&gt;"",$L1759&lt;&gt;INDEX(職員マスタ!$G$6:$G$405,$AN1759)),"時短開始日がマスタと相違／","")&amp;IF(AND($M1759&lt;&gt;"",INDEX(職員マスタ!$H$6:$H$405,$AN1759)&lt;&gt;"",$M1759&lt;&gt;INDEX(職員マスタ!$H$6:$H$405,$AN1759)),"時短終了日がマスタと相違／","")))&amp;IF(AND($B1759&lt;&gt;"",$E1759=""),"報酬額が未入力／","")&amp;IF(N($U1759)&gt;0,"申請書に入力エラーが残っています／","")&amp;IF(AND($B1759&lt;&gt;"",$AO1759&lt;&gt;""),IF(COUNTIFS($B$6:$B$3005,$B1759,$C$6:$C$3005,$C1759,$D$6:$D$3005,$D1759)&gt;1,"同じ月の請求が重複しています／",""),"")&amp;IF(AND(N($E1759)&gt;0,$Z1759&lt;&gt;"",$Z1759&lt;&gt;"×",$AC1759=0,$AB1759=""),"計算額が下限以下のため不支給／",""))</f>
        <v/>
      </c>
      <c r="AL1759" s="12" t="n"/>
      <c r="AM1759" s="14">
        <f>IF($AD1759="保留中",COUNTIF($AD$6:$AD1759,"保留中"),"")</f>
        <v/>
      </c>
      <c r="AN1759" s="14">
        <f>IF($AO1759="","",IF(SUMPRODUCT(MAX((職員マスタ!$A$6:$A$405=$B1759)*(((職員マスタ!$G$6:$G$405="")+(職員マスタ!$G$6:$G$405&lt;=EOMONTH($AO1759,0)))&gt;0)*(((職員マスタ!$H$6:$H$405="")+(職員マスタ!$H$6:$H$405&gt;=$AO1759))&gt;0)*(ROW(職員マスタ!$A$6:$A$405)-5)))&gt;0,SUMPRODUCT(MAX((職員マスタ!$A$6:$A$405=$B1759)*(((職員マスタ!$G$6:$G$405="")+(職員マスタ!$G$6:$G$405&lt;=EOMONTH($AO1759,0)))&gt;0)*(((職員マスタ!$H$6:$H$405="")+(職員マスタ!$H$6:$H$405&gt;=$AO1759))&gt;0)*(ROW(職員マスタ!$A$6:$A$405)-5))),IFERROR(MATCH($B1759,職員マスタ!$A$6:$A$405,0),"")))</f>
        <v/>
      </c>
      <c r="AO1759" s="16">
        <f>IF(OR($B1759="",$C1759="",$D1759=""),"",DATE($C1759+2018,$D1759,1))</f>
        <v/>
      </c>
    </row>
    <row r="1760">
      <c r="A1760" s="11" t="n"/>
      <c r="B1760" s="12" t="n"/>
      <c r="C1760" s="12" t="n"/>
      <c r="D1760" s="12" t="n"/>
      <c r="E1760" s="13" t="n"/>
      <c r="F1760" s="12" t="n"/>
      <c r="G1760" s="13" t="n"/>
      <c r="H1760" s="12" t="n"/>
      <c r="I1760" s="12" t="n"/>
      <c r="J1760" s="12" t="n"/>
      <c r="K1760" s="12" t="n"/>
      <c r="L1760" s="11" t="n"/>
      <c r="M1760" s="11" t="n"/>
      <c r="N1760" s="11" t="n"/>
      <c r="O1760" s="11" t="n"/>
      <c r="P1760" s="12" t="n"/>
      <c r="Q1760" s="11" t="n"/>
      <c r="R1760" s="12" t="n"/>
      <c r="S1760" s="11" t="n"/>
      <c r="T1760" s="12" t="n"/>
      <c r="U1760" s="12" t="n"/>
      <c r="V1760" s="14">
        <f>IF($AN1760="",IF($B1760="","",$H1760),IF(INDEX(職員マスタ!$B$6:$B$405,$AN1760)="",$H1760,INDEX(職員マスタ!$B$6:$B$405,$AN1760)))</f>
        <v/>
      </c>
      <c r="W1760" s="14">
        <f>IF($AN1760="",IF($B1760="","",$R1760),IF(INDEX(職員マスタ!$C$6:$C$405,$AN1760)="",$R1760,INDEX(職員マスタ!$C$6:$C$405,$AN1760)))</f>
        <v/>
      </c>
      <c r="X1760" s="14">
        <f>IF($AO1760="","","R"&amp;$C1760&amp;"."&amp;$D1760)</f>
        <v/>
      </c>
      <c r="Y1760" s="15">
        <f>IF($AN1760="","",IF(INDEX(職員マスタ!$K$6:$K$405,$AN1760)="","",INDEX(職員マスタ!$K$6:$K$405,$AN1760)))</f>
        <v/>
      </c>
      <c r="Z1760" s="14">
        <f>IF(OR($E1760="",$Y1760=""),"",IF($E1760&gt;=$Y1760,"×",IF($E1760&gt;=$Y1760*設定!$C$5,"△","○")))</f>
        <v/>
      </c>
      <c r="AA1760" s="15">
        <f>IF($Z1760="","",IF($Z1760="×",0,IF($Z1760="○",ROUNDDOWN($E1760*設定!$C$4,0),ROUNDDOWN($E1760*ROUND((9*$Y1760-9*$E1760)/(10*$E1760),4),0))))</f>
        <v/>
      </c>
      <c r="AB1760" s="13" t="n"/>
      <c r="AC1760" s="15">
        <f>IF($B1760="","",IF($AB1760&lt;&gt;"",$AB1760,IF($AA1760="","",IF($AA1760&lt;=設定!$C$3,0,$AA1760))))</f>
        <v/>
      </c>
      <c r="AD1760" s="14">
        <f>IF($B1760="","",IF(AND($AE1760&lt;&gt;"",$AG1760="",$AJ1760=""),"保留中",IF($AJ1760&lt;&gt;"",IF(N($AC1760)&gt;0,"支給済","不支給"),IF($AC1760="","要確認",IF($AC1760=0,"不支給","未処理")))))</f>
        <v/>
      </c>
      <c r="AE1760" s="12" t="n"/>
      <c r="AF1760" s="11" t="n"/>
      <c r="AG1760" s="11" t="n"/>
      <c r="AH1760" s="11" t="n"/>
      <c r="AI1760" s="14">
        <f>IF(AND($AD1760="保留中",$AF1760&lt;&gt;""),TODAY()-$AF1760,"")</f>
        <v/>
      </c>
      <c r="AJ1760" s="12" t="n"/>
      <c r="AK1760" s="14">
        <f>IF($B1760="","",IF($AO1760="","対象年月が未入力／","")&amp;IF($B1760="","",IF($AN1760="","職員マスタに未登録の職員番号／",IF($Y1760="","標準報酬月額が未登録／","")&amp;IF(AND($AO1760&lt;&gt;"",OR(AND(INDEX(職員マスタ!$G$6:$G$405,$AN1760)&lt;&gt;"",INDEX(職員マスタ!$G$6:$G$405,$AN1760)&gt;EOMONTH($AO1760,0)),AND(INDEX(職員マスタ!$H$6:$H$405,$AN1760)&lt;&gt;"",INDEX(職員マスタ!$H$6:$H$405,$AN1760)&lt;$AO1760))),"対象月が時短期間外／","")&amp;IF(AND(INDEX(職員マスタ!$F$6:$F$405,$AN1760)&lt;&gt;"",$AO1760&lt;&gt;"",INDEX(職員マスタ!$F$6:$F$405,$AN1760)&lt;$AO1760),"対象月に子が2歳到達済／","")&amp;IF(AND($H1760&lt;&gt;"",INDEX(職員マスタ!$B$6:$B$405,$AN1760)&lt;&gt;"",SUBSTITUTE(SUBSTITUTE($H1760," ","")," ","")&lt;&gt;SUBSTITUTE(SUBSTITUTE(INDEX(職員マスタ!$B$6:$B$405,$AN1760)," ","")," ","")),"氏名がマスタと相違／","")&amp;IF(AND($Q1760&lt;&gt;"",INDEX(職員マスタ!$E$6:$E$405,$AN1760)&lt;&gt;"",$Q1760&lt;&gt;INDEX(職員マスタ!$E$6:$E$405,$AN1760)),"子の生年月日がマスタと相違／","")&amp;IF(AND($L1760&lt;&gt;"",INDEX(職員マスタ!$G$6:$G$405,$AN1760)&lt;&gt;"",$L1760&lt;&gt;INDEX(職員マスタ!$G$6:$G$405,$AN1760)),"時短開始日がマスタと相違／","")&amp;IF(AND($M1760&lt;&gt;"",INDEX(職員マスタ!$H$6:$H$405,$AN1760)&lt;&gt;"",$M1760&lt;&gt;INDEX(職員マスタ!$H$6:$H$405,$AN1760)),"時短終了日がマスタと相違／","")))&amp;IF(AND($B1760&lt;&gt;"",$E1760=""),"報酬額が未入力／","")&amp;IF(N($U1760)&gt;0,"申請書に入力エラーが残っています／","")&amp;IF(AND($B1760&lt;&gt;"",$AO1760&lt;&gt;""),IF(COUNTIFS($B$6:$B$3005,$B1760,$C$6:$C$3005,$C1760,$D$6:$D$3005,$D1760)&gt;1,"同じ月の請求が重複しています／",""),"")&amp;IF(AND(N($E1760)&gt;0,$Z1760&lt;&gt;"",$Z1760&lt;&gt;"×",$AC1760=0,$AB1760=""),"計算額が下限以下のため不支給／",""))</f>
        <v/>
      </c>
      <c r="AL1760" s="12" t="n"/>
      <c r="AM1760" s="14">
        <f>IF($AD1760="保留中",COUNTIF($AD$6:$AD1760,"保留中"),"")</f>
        <v/>
      </c>
      <c r="AN1760" s="14">
        <f>IF($AO1760="","",IF(SUMPRODUCT(MAX((職員マスタ!$A$6:$A$405=$B1760)*(((職員マスタ!$G$6:$G$405="")+(職員マスタ!$G$6:$G$405&lt;=EOMONTH($AO1760,0)))&gt;0)*(((職員マスタ!$H$6:$H$405="")+(職員マスタ!$H$6:$H$405&gt;=$AO1760))&gt;0)*(ROW(職員マスタ!$A$6:$A$405)-5)))&gt;0,SUMPRODUCT(MAX((職員マスタ!$A$6:$A$405=$B1760)*(((職員マスタ!$G$6:$G$405="")+(職員マスタ!$G$6:$G$405&lt;=EOMONTH($AO1760,0)))&gt;0)*(((職員マスタ!$H$6:$H$405="")+(職員マスタ!$H$6:$H$405&gt;=$AO1760))&gt;0)*(ROW(職員マスタ!$A$6:$A$405)-5))),IFERROR(MATCH($B1760,職員マスタ!$A$6:$A$405,0),"")))</f>
        <v/>
      </c>
      <c r="AO1760" s="16">
        <f>IF(OR($B1760="",$C1760="",$D1760=""),"",DATE($C1760+2018,$D1760,1))</f>
        <v/>
      </c>
    </row>
    <row r="1761">
      <c r="A1761" s="11" t="n"/>
      <c r="B1761" s="12" t="n"/>
      <c r="C1761" s="12" t="n"/>
      <c r="D1761" s="12" t="n"/>
      <c r="E1761" s="13" t="n"/>
      <c r="F1761" s="12" t="n"/>
      <c r="G1761" s="13" t="n"/>
      <c r="H1761" s="12" t="n"/>
      <c r="I1761" s="12" t="n"/>
      <c r="J1761" s="12" t="n"/>
      <c r="K1761" s="12" t="n"/>
      <c r="L1761" s="11" t="n"/>
      <c r="M1761" s="11" t="n"/>
      <c r="N1761" s="11" t="n"/>
      <c r="O1761" s="11" t="n"/>
      <c r="P1761" s="12" t="n"/>
      <c r="Q1761" s="11" t="n"/>
      <c r="R1761" s="12" t="n"/>
      <c r="S1761" s="11" t="n"/>
      <c r="T1761" s="12" t="n"/>
      <c r="U1761" s="12" t="n"/>
      <c r="V1761" s="14">
        <f>IF($AN1761="",IF($B1761="","",$H1761),IF(INDEX(職員マスタ!$B$6:$B$405,$AN1761)="",$H1761,INDEX(職員マスタ!$B$6:$B$405,$AN1761)))</f>
        <v/>
      </c>
      <c r="W1761" s="14">
        <f>IF($AN1761="",IF($B1761="","",$R1761),IF(INDEX(職員マスタ!$C$6:$C$405,$AN1761)="",$R1761,INDEX(職員マスタ!$C$6:$C$405,$AN1761)))</f>
        <v/>
      </c>
      <c r="X1761" s="14">
        <f>IF($AO1761="","","R"&amp;$C1761&amp;"."&amp;$D1761)</f>
        <v/>
      </c>
      <c r="Y1761" s="15">
        <f>IF($AN1761="","",IF(INDEX(職員マスタ!$K$6:$K$405,$AN1761)="","",INDEX(職員マスタ!$K$6:$K$405,$AN1761)))</f>
        <v/>
      </c>
      <c r="Z1761" s="14">
        <f>IF(OR($E1761="",$Y1761=""),"",IF($E1761&gt;=$Y1761,"×",IF($E1761&gt;=$Y1761*設定!$C$5,"△","○")))</f>
        <v/>
      </c>
      <c r="AA1761" s="15">
        <f>IF($Z1761="","",IF($Z1761="×",0,IF($Z1761="○",ROUNDDOWN($E1761*設定!$C$4,0),ROUNDDOWN($E1761*ROUND((9*$Y1761-9*$E1761)/(10*$E1761),4),0))))</f>
        <v/>
      </c>
      <c r="AB1761" s="13" t="n"/>
      <c r="AC1761" s="15">
        <f>IF($B1761="","",IF($AB1761&lt;&gt;"",$AB1761,IF($AA1761="","",IF($AA1761&lt;=設定!$C$3,0,$AA1761))))</f>
        <v/>
      </c>
      <c r="AD1761" s="14">
        <f>IF($B1761="","",IF(AND($AE1761&lt;&gt;"",$AG1761="",$AJ1761=""),"保留中",IF($AJ1761&lt;&gt;"",IF(N($AC1761)&gt;0,"支給済","不支給"),IF($AC1761="","要確認",IF($AC1761=0,"不支給","未処理")))))</f>
        <v/>
      </c>
      <c r="AE1761" s="12" t="n"/>
      <c r="AF1761" s="11" t="n"/>
      <c r="AG1761" s="11" t="n"/>
      <c r="AH1761" s="11" t="n"/>
      <c r="AI1761" s="14">
        <f>IF(AND($AD1761="保留中",$AF1761&lt;&gt;""),TODAY()-$AF1761,"")</f>
        <v/>
      </c>
      <c r="AJ1761" s="12" t="n"/>
      <c r="AK1761" s="14">
        <f>IF($B1761="","",IF($AO1761="","対象年月が未入力／","")&amp;IF($B1761="","",IF($AN1761="","職員マスタに未登録の職員番号／",IF($Y1761="","標準報酬月額が未登録／","")&amp;IF(AND($AO1761&lt;&gt;"",OR(AND(INDEX(職員マスタ!$G$6:$G$405,$AN1761)&lt;&gt;"",INDEX(職員マスタ!$G$6:$G$405,$AN1761)&gt;EOMONTH($AO1761,0)),AND(INDEX(職員マスタ!$H$6:$H$405,$AN1761)&lt;&gt;"",INDEX(職員マスタ!$H$6:$H$405,$AN1761)&lt;$AO1761))),"対象月が時短期間外／","")&amp;IF(AND(INDEX(職員マスタ!$F$6:$F$405,$AN1761)&lt;&gt;"",$AO1761&lt;&gt;"",INDEX(職員マスタ!$F$6:$F$405,$AN1761)&lt;$AO1761),"対象月に子が2歳到達済／","")&amp;IF(AND($H1761&lt;&gt;"",INDEX(職員マスタ!$B$6:$B$405,$AN1761)&lt;&gt;"",SUBSTITUTE(SUBSTITUTE($H1761," ","")," ","")&lt;&gt;SUBSTITUTE(SUBSTITUTE(INDEX(職員マスタ!$B$6:$B$405,$AN1761)," ","")," ","")),"氏名がマスタと相違／","")&amp;IF(AND($Q1761&lt;&gt;"",INDEX(職員マスタ!$E$6:$E$405,$AN1761)&lt;&gt;"",$Q1761&lt;&gt;INDEX(職員マスタ!$E$6:$E$405,$AN1761)),"子の生年月日がマスタと相違／","")&amp;IF(AND($L1761&lt;&gt;"",INDEX(職員マスタ!$G$6:$G$405,$AN1761)&lt;&gt;"",$L1761&lt;&gt;INDEX(職員マスタ!$G$6:$G$405,$AN1761)),"時短開始日がマスタと相違／","")&amp;IF(AND($M1761&lt;&gt;"",INDEX(職員マスタ!$H$6:$H$405,$AN1761)&lt;&gt;"",$M1761&lt;&gt;INDEX(職員マスタ!$H$6:$H$405,$AN1761)),"時短終了日がマスタと相違／","")))&amp;IF(AND($B1761&lt;&gt;"",$E1761=""),"報酬額が未入力／","")&amp;IF(N($U1761)&gt;0,"申請書に入力エラーが残っています／","")&amp;IF(AND($B1761&lt;&gt;"",$AO1761&lt;&gt;""),IF(COUNTIFS($B$6:$B$3005,$B1761,$C$6:$C$3005,$C1761,$D$6:$D$3005,$D1761)&gt;1,"同じ月の請求が重複しています／",""),"")&amp;IF(AND(N($E1761)&gt;0,$Z1761&lt;&gt;"",$Z1761&lt;&gt;"×",$AC1761=0,$AB1761=""),"計算額が下限以下のため不支給／",""))</f>
        <v/>
      </c>
      <c r="AL1761" s="12" t="n"/>
      <c r="AM1761" s="14">
        <f>IF($AD1761="保留中",COUNTIF($AD$6:$AD1761,"保留中"),"")</f>
        <v/>
      </c>
      <c r="AN1761" s="14">
        <f>IF($AO1761="","",IF(SUMPRODUCT(MAX((職員マスタ!$A$6:$A$405=$B1761)*(((職員マスタ!$G$6:$G$405="")+(職員マスタ!$G$6:$G$405&lt;=EOMONTH($AO1761,0)))&gt;0)*(((職員マスタ!$H$6:$H$405="")+(職員マスタ!$H$6:$H$405&gt;=$AO1761))&gt;0)*(ROW(職員マスタ!$A$6:$A$405)-5)))&gt;0,SUMPRODUCT(MAX((職員マスタ!$A$6:$A$405=$B1761)*(((職員マスタ!$G$6:$G$405="")+(職員マスタ!$G$6:$G$405&lt;=EOMONTH($AO1761,0)))&gt;0)*(((職員マスタ!$H$6:$H$405="")+(職員マスタ!$H$6:$H$405&gt;=$AO1761))&gt;0)*(ROW(職員マスタ!$A$6:$A$405)-5))),IFERROR(MATCH($B1761,職員マスタ!$A$6:$A$405,0),"")))</f>
        <v/>
      </c>
      <c r="AO1761" s="16">
        <f>IF(OR($B1761="",$C1761="",$D1761=""),"",DATE($C1761+2018,$D1761,1))</f>
        <v/>
      </c>
    </row>
    <row r="1762">
      <c r="A1762" s="11" t="n"/>
      <c r="B1762" s="12" t="n"/>
      <c r="C1762" s="12" t="n"/>
      <c r="D1762" s="12" t="n"/>
      <c r="E1762" s="13" t="n"/>
      <c r="F1762" s="12" t="n"/>
      <c r="G1762" s="13" t="n"/>
      <c r="H1762" s="12" t="n"/>
      <c r="I1762" s="12" t="n"/>
      <c r="J1762" s="12" t="n"/>
      <c r="K1762" s="12" t="n"/>
      <c r="L1762" s="11" t="n"/>
      <c r="M1762" s="11" t="n"/>
      <c r="N1762" s="11" t="n"/>
      <c r="O1762" s="11" t="n"/>
      <c r="P1762" s="12" t="n"/>
      <c r="Q1762" s="11" t="n"/>
      <c r="R1762" s="12" t="n"/>
      <c r="S1762" s="11" t="n"/>
      <c r="T1762" s="12" t="n"/>
      <c r="U1762" s="12" t="n"/>
      <c r="V1762" s="14">
        <f>IF($AN1762="",IF($B1762="","",$H1762),IF(INDEX(職員マスタ!$B$6:$B$405,$AN1762)="",$H1762,INDEX(職員マスタ!$B$6:$B$405,$AN1762)))</f>
        <v/>
      </c>
      <c r="W1762" s="14">
        <f>IF($AN1762="",IF($B1762="","",$R1762),IF(INDEX(職員マスタ!$C$6:$C$405,$AN1762)="",$R1762,INDEX(職員マスタ!$C$6:$C$405,$AN1762)))</f>
        <v/>
      </c>
      <c r="X1762" s="14">
        <f>IF($AO1762="","","R"&amp;$C1762&amp;"."&amp;$D1762)</f>
        <v/>
      </c>
      <c r="Y1762" s="15">
        <f>IF($AN1762="","",IF(INDEX(職員マスタ!$K$6:$K$405,$AN1762)="","",INDEX(職員マスタ!$K$6:$K$405,$AN1762)))</f>
        <v/>
      </c>
      <c r="Z1762" s="14">
        <f>IF(OR($E1762="",$Y1762=""),"",IF($E1762&gt;=$Y1762,"×",IF($E1762&gt;=$Y1762*設定!$C$5,"△","○")))</f>
        <v/>
      </c>
      <c r="AA1762" s="15">
        <f>IF($Z1762="","",IF($Z1762="×",0,IF($Z1762="○",ROUNDDOWN($E1762*設定!$C$4,0),ROUNDDOWN($E1762*ROUND((9*$Y1762-9*$E1762)/(10*$E1762),4),0))))</f>
        <v/>
      </c>
      <c r="AB1762" s="13" t="n"/>
      <c r="AC1762" s="15">
        <f>IF($B1762="","",IF($AB1762&lt;&gt;"",$AB1762,IF($AA1762="","",IF($AA1762&lt;=設定!$C$3,0,$AA1762))))</f>
        <v/>
      </c>
      <c r="AD1762" s="14">
        <f>IF($B1762="","",IF(AND($AE1762&lt;&gt;"",$AG1762="",$AJ1762=""),"保留中",IF($AJ1762&lt;&gt;"",IF(N($AC1762)&gt;0,"支給済","不支給"),IF($AC1762="","要確認",IF($AC1762=0,"不支給","未処理")))))</f>
        <v/>
      </c>
      <c r="AE1762" s="12" t="n"/>
      <c r="AF1762" s="11" t="n"/>
      <c r="AG1762" s="11" t="n"/>
      <c r="AH1762" s="11" t="n"/>
      <c r="AI1762" s="14">
        <f>IF(AND($AD1762="保留中",$AF1762&lt;&gt;""),TODAY()-$AF1762,"")</f>
        <v/>
      </c>
      <c r="AJ1762" s="12" t="n"/>
      <c r="AK1762" s="14">
        <f>IF($B1762="","",IF($AO1762="","対象年月が未入力／","")&amp;IF($B1762="","",IF($AN1762="","職員マスタに未登録の職員番号／",IF($Y1762="","標準報酬月額が未登録／","")&amp;IF(AND($AO1762&lt;&gt;"",OR(AND(INDEX(職員マスタ!$G$6:$G$405,$AN1762)&lt;&gt;"",INDEX(職員マスタ!$G$6:$G$405,$AN1762)&gt;EOMONTH($AO1762,0)),AND(INDEX(職員マスタ!$H$6:$H$405,$AN1762)&lt;&gt;"",INDEX(職員マスタ!$H$6:$H$405,$AN1762)&lt;$AO1762))),"対象月が時短期間外／","")&amp;IF(AND(INDEX(職員マスタ!$F$6:$F$405,$AN1762)&lt;&gt;"",$AO1762&lt;&gt;"",INDEX(職員マスタ!$F$6:$F$405,$AN1762)&lt;$AO1762),"対象月に子が2歳到達済／","")&amp;IF(AND($H1762&lt;&gt;"",INDEX(職員マスタ!$B$6:$B$405,$AN1762)&lt;&gt;"",SUBSTITUTE(SUBSTITUTE($H1762," ","")," ","")&lt;&gt;SUBSTITUTE(SUBSTITUTE(INDEX(職員マスタ!$B$6:$B$405,$AN1762)," ","")," ","")),"氏名がマスタと相違／","")&amp;IF(AND($Q1762&lt;&gt;"",INDEX(職員マスタ!$E$6:$E$405,$AN1762)&lt;&gt;"",$Q1762&lt;&gt;INDEX(職員マスタ!$E$6:$E$405,$AN1762)),"子の生年月日がマスタと相違／","")&amp;IF(AND($L1762&lt;&gt;"",INDEX(職員マスタ!$G$6:$G$405,$AN1762)&lt;&gt;"",$L1762&lt;&gt;INDEX(職員マスタ!$G$6:$G$405,$AN1762)),"時短開始日がマスタと相違／","")&amp;IF(AND($M1762&lt;&gt;"",INDEX(職員マスタ!$H$6:$H$405,$AN1762)&lt;&gt;"",$M1762&lt;&gt;INDEX(職員マスタ!$H$6:$H$405,$AN1762)),"時短終了日がマスタと相違／","")))&amp;IF(AND($B1762&lt;&gt;"",$E1762=""),"報酬額が未入力／","")&amp;IF(N($U1762)&gt;0,"申請書に入力エラーが残っています／","")&amp;IF(AND($B1762&lt;&gt;"",$AO1762&lt;&gt;""),IF(COUNTIFS($B$6:$B$3005,$B1762,$C$6:$C$3005,$C1762,$D$6:$D$3005,$D1762)&gt;1,"同じ月の請求が重複しています／",""),"")&amp;IF(AND(N($E1762)&gt;0,$Z1762&lt;&gt;"",$Z1762&lt;&gt;"×",$AC1762=0,$AB1762=""),"計算額が下限以下のため不支給／",""))</f>
        <v/>
      </c>
      <c r="AL1762" s="12" t="n"/>
      <c r="AM1762" s="14">
        <f>IF($AD1762="保留中",COUNTIF($AD$6:$AD1762,"保留中"),"")</f>
        <v/>
      </c>
      <c r="AN1762" s="14">
        <f>IF($AO1762="","",IF(SUMPRODUCT(MAX((職員マスタ!$A$6:$A$405=$B1762)*(((職員マスタ!$G$6:$G$405="")+(職員マスタ!$G$6:$G$405&lt;=EOMONTH($AO1762,0)))&gt;0)*(((職員マスタ!$H$6:$H$405="")+(職員マスタ!$H$6:$H$405&gt;=$AO1762))&gt;0)*(ROW(職員マスタ!$A$6:$A$405)-5)))&gt;0,SUMPRODUCT(MAX((職員マスタ!$A$6:$A$405=$B1762)*(((職員マスタ!$G$6:$G$405="")+(職員マスタ!$G$6:$G$405&lt;=EOMONTH($AO1762,0)))&gt;0)*(((職員マスタ!$H$6:$H$405="")+(職員マスタ!$H$6:$H$405&gt;=$AO1762))&gt;0)*(ROW(職員マスタ!$A$6:$A$405)-5))),IFERROR(MATCH($B1762,職員マスタ!$A$6:$A$405,0),"")))</f>
        <v/>
      </c>
      <c r="AO1762" s="16">
        <f>IF(OR($B1762="",$C1762="",$D1762=""),"",DATE($C1762+2018,$D1762,1))</f>
        <v/>
      </c>
    </row>
    <row r="1763">
      <c r="A1763" s="11" t="n"/>
      <c r="B1763" s="12" t="n"/>
      <c r="C1763" s="12" t="n"/>
      <c r="D1763" s="12" t="n"/>
      <c r="E1763" s="13" t="n"/>
      <c r="F1763" s="12" t="n"/>
      <c r="G1763" s="13" t="n"/>
      <c r="H1763" s="12" t="n"/>
      <c r="I1763" s="12" t="n"/>
      <c r="J1763" s="12" t="n"/>
      <c r="K1763" s="12" t="n"/>
      <c r="L1763" s="11" t="n"/>
      <c r="M1763" s="11" t="n"/>
      <c r="N1763" s="11" t="n"/>
      <c r="O1763" s="11" t="n"/>
      <c r="P1763" s="12" t="n"/>
      <c r="Q1763" s="11" t="n"/>
      <c r="R1763" s="12" t="n"/>
      <c r="S1763" s="11" t="n"/>
      <c r="T1763" s="12" t="n"/>
      <c r="U1763" s="12" t="n"/>
      <c r="V1763" s="14">
        <f>IF($AN1763="",IF($B1763="","",$H1763),IF(INDEX(職員マスタ!$B$6:$B$405,$AN1763)="",$H1763,INDEX(職員マスタ!$B$6:$B$405,$AN1763)))</f>
        <v/>
      </c>
      <c r="W1763" s="14">
        <f>IF($AN1763="",IF($B1763="","",$R1763),IF(INDEX(職員マスタ!$C$6:$C$405,$AN1763)="",$R1763,INDEX(職員マスタ!$C$6:$C$405,$AN1763)))</f>
        <v/>
      </c>
      <c r="X1763" s="14">
        <f>IF($AO1763="","","R"&amp;$C1763&amp;"."&amp;$D1763)</f>
        <v/>
      </c>
      <c r="Y1763" s="15">
        <f>IF($AN1763="","",IF(INDEX(職員マスタ!$K$6:$K$405,$AN1763)="","",INDEX(職員マスタ!$K$6:$K$405,$AN1763)))</f>
        <v/>
      </c>
      <c r="Z1763" s="14">
        <f>IF(OR($E1763="",$Y1763=""),"",IF($E1763&gt;=$Y1763,"×",IF($E1763&gt;=$Y1763*設定!$C$5,"△","○")))</f>
        <v/>
      </c>
      <c r="AA1763" s="15">
        <f>IF($Z1763="","",IF($Z1763="×",0,IF($Z1763="○",ROUNDDOWN($E1763*設定!$C$4,0),ROUNDDOWN($E1763*ROUND((9*$Y1763-9*$E1763)/(10*$E1763),4),0))))</f>
        <v/>
      </c>
      <c r="AB1763" s="13" t="n"/>
      <c r="AC1763" s="15">
        <f>IF($B1763="","",IF($AB1763&lt;&gt;"",$AB1763,IF($AA1763="","",IF($AA1763&lt;=設定!$C$3,0,$AA1763))))</f>
        <v/>
      </c>
      <c r="AD1763" s="14">
        <f>IF($B1763="","",IF(AND($AE1763&lt;&gt;"",$AG1763="",$AJ1763=""),"保留中",IF($AJ1763&lt;&gt;"",IF(N($AC1763)&gt;0,"支給済","不支給"),IF($AC1763="","要確認",IF($AC1763=0,"不支給","未処理")))))</f>
        <v/>
      </c>
      <c r="AE1763" s="12" t="n"/>
      <c r="AF1763" s="11" t="n"/>
      <c r="AG1763" s="11" t="n"/>
      <c r="AH1763" s="11" t="n"/>
      <c r="AI1763" s="14">
        <f>IF(AND($AD1763="保留中",$AF1763&lt;&gt;""),TODAY()-$AF1763,"")</f>
        <v/>
      </c>
      <c r="AJ1763" s="12" t="n"/>
      <c r="AK1763" s="14">
        <f>IF($B1763="","",IF($AO1763="","対象年月が未入力／","")&amp;IF($B1763="","",IF($AN1763="","職員マスタに未登録の職員番号／",IF($Y1763="","標準報酬月額が未登録／","")&amp;IF(AND($AO1763&lt;&gt;"",OR(AND(INDEX(職員マスタ!$G$6:$G$405,$AN1763)&lt;&gt;"",INDEX(職員マスタ!$G$6:$G$405,$AN1763)&gt;EOMONTH($AO1763,0)),AND(INDEX(職員マスタ!$H$6:$H$405,$AN1763)&lt;&gt;"",INDEX(職員マスタ!$H$6:$H$405,$AN1763)&lt;$AO1763))),"対象月が時短期間外／","")&amp;IF(AND(INDEX(職員マスタ!$F$6:$F$405,$AN1763)&lt;&gt;"",$AO1763&lt;&gt;"",INDEX(職員マスタ!$F$6:$F$405,$AN1763)&lt;$AO1763),"対象月に子が2歳到達済／","")&amp;IF(AND($H1763&lt;&gt;"",INDEX(職員マスタ!$B$6:$B$405,$AN1763)&lt;&gt;"",SUBSTITUTE(SUBSTITUTE($H1763," ","")," ","")&lt;&gt;SUBSTITUTE(SUBSTITUTE(INDEX(職員マスタ!$B$6:$B$405,$AN1763)," ","")," ","")),"氏名がマスタと相違／","")&amp;IF(AND($Q1763&lt;&gt;"",INDEX(職員マスタ!$E$6:$E$405,$AN1763)&lt;&gt;"",$Q1763&lt;&gt;INDEX(職員マスタ!$E$6:$E$405,$AN1763)),"子の生年月日がマスタと相違／","")&amp;IF(AND($L1763&lt;&gt;"",INDEX(職員マスタ!$G$6:$G$405,$AN1763)&lt;&gt;"",$L1763&lt;&gt;INDEX(職員マスタ!$G$6:$G$405,$AN1763)),"時短開始日がマスタと相違／","")&amp;IF(AND($M1763&lt;&gt;"",INDEX(職員マスタ!$H$6:$H$405,$AN1763)&lt;&gt;"",$M1763&lt;&gt;INDEX(職員マスタ!$H$6:$H$405,$AN1763)),"時短終了日がマスタと相違／","")))&amp;IF(AND($B1763&lt;&gt;"",$E1763=""),"報酬額が未入力／","")&amp;IF(N($U1763)&gt;0,"申請書に入力エラーが残っています／","")&amp;IF(AND($B1763&lt;&gt;"",$AO1763&lt;&gt;""),IF(COUNTIFS($B$6:$B$3005,$B1763,$C$6:$C$3005,$C1763,$D$6:$D$3005,$D1763)&gt;1,"同じ月の請求が重複しています／",""),"")&amp;IF(AND(N($E1763)&gt;0,$Z1763&lt;&gt;"",$Z1763&lt;&gt;"×",$AC1763=0,$AB1763=""),"計算額が下限以下のため不支給／",""))</f>
        <v/>
      </c>
      <c r="AL1763" s="12" t="n"/>
      <c r="AM1763" s="14">
        <f>IF($AD1763="保留中",COUNTIF($AD$6:$AD1763,"保留中"),"")</f>
        <v/>
      </c>
      <c r="AN1763" s="14">
        <f>IF($AO1763="","",IF(SUMPRODUCT(MAX((職員マスタ!$A$6:$A$405=$B1763)*(((職員マスタ!$G$6:$G$405="")+(職員マスタ!$G$6:$G$405&lt;=EOMONTH($AO1763,0)))&gt;0)*(((職員マスタ!$H$6:$H$405="")+(職員マスタ!$H$6:$H$405&gt;=$AO1763))&gt;0)*(ROW(職員マスタ!$A$6:$A$405)-5)))&gt;0,SUMPRODUCT(MAX((職員マスタ!$A$6:$A$405=$B1763)*(((職員マスタ!$G$6:$G$405="")+(職員マスタ!$G$6:$G$405&lt;=EOMONTH($AO1763,0)))&gt;0)*(((職員マスタ!$H$6:$H$405="")+(職員マスタ!$H$6:$H$405&gt;=$AO1763))&gt;0)*(ROW(職員マスタ!$A$6:$A$405)-5))),IFERROR(MATCH($B1763,職員マスタ!$A$6:$A$405,0),"")))</f>
        <v/>
      </c>
      <c r="AO1763" s="16">
        <f>IF(OR($B1763="",$C1763="",$D1763=""),"",DATE($C1763+2018,$D1763,1))</f>
        <v/>
      </c>
    </row>
    <row r="1764">
      <c r="A1764" s="11" t="n"/>
      <c r="B1764" s="12" t="n"/>
      <c r="C1764" s="12" t="n"/>
      <c r="D1764" s="12" t="n"/>
      <c r="E1764" s="13" t="n"/>
      <c r="F1764" s="12" t="n"/>
      <c r="G1764" s="13" t="n"/>
      <c r="H1764" s="12" t="n"/>
      <c r="I1764" s="12" t="n"/>
      <c r="J1764" s="12" t="n"/>
      <c r="K1764" s="12" t="n"/>
      <c r="L1764" s="11" t="n"/>
      <c r="M1764" s="11" t="n"/>
      <c r="N1764" s="11" t="n"/>
      <c r="O1764" s="11" t="n"/>
      <c r="P1764" s="12" t="n"/>
      <c r="Q1764" s="11" t="n"/>
      <c r="R1764" s="12" t="n"/>
      <c r="S1764" s="11" t="n"/>
      <c r="T1764" s="12" t="n"/>
      <c r="U1764" s="12" t="n"/>
      <c r="V1764" s="14">
        <f>IF($AN1764="",IF($B1764="","",$H1764),IF(INDEX(職員マスタ!$B$6:$B$405,$AN1764)="",$H1764,INDEX(職員マスタ!$B$6:$B$405,$AN1764)))</f>
        <v/>
      </c>
      <c r="W1764" s="14">
        <f>IF($AN1764="",IF($B1764="","",$R1764),IF(INDEX(職員マスタ!$C$6:$C$405,$AN1764)="",$R1764,INDEX(職員マスタ!$C$6:$C$405,$AN1764)))</f>
        <v/>
      </c>
      <c r="X1764" s="14">
        <f>IF($AO1764="","","R"&amp;$C1764&amp;"."&amp;$D1764)</f>
        <v/>
      </c>
      <c r="Y1764" s="15">
        <f>IF($AN1764="","",IF(INDEX(職員マスタ!$K$6:$K$405,$AN1764)="","",INDEX(職員マスタ!$K$6:$K$405,$AN1764)))</f>
        <v/>
      </c>
      <c r="Z1764" s="14">
        <f>IF(OR($E1764="",$Y1764=""),"",IF($E1764&gt;=$Y1764,"×",IF($E1764&gt;=$Y1764*設定!$C$5,"△","○")))</f>
        <v/>
      </c>
      <c r="AA1764" s="15">
        <f>IF($Z1764="","",IF($Z1764="×",0,IF($Z1764="○",ROUNDDOWN($E1764*設定!$C$4,0),ROUNDDOWN($E1764*ROUND((9*$Y1764-9*$E1764)/(10*$E1764),4),0))))</f>
        <v/>
      </c>
      <c r="AB1764" s="13" t="n"/>
      <c r="AC1764" s="15">
        <f>IF($B1764="","",IF($AB1764&lt;&gt;"",$AB1764,IF($AA1764="","",IF($AA1764&lt;=設定!$C$3,0,$AA1764))))</f>
        <v/>
      </c>
      <c r="AD1764" s="14">
        <f>IF($B1764="","",IF(AND($AE1764&lt;&gt;"",$AG1764="",$AJ1764=""),"保留中",IF($AJ1764&lt;&gt;"",IF(N($AC1764)&gt;0,"支給済","不支給"),IF($AC1764="","要確認",IF($AC1764=0,"不支給","未処理")))))</f>
        <v/>
      </c>
      <c r="AE1764" s="12" t="n"/>
      <c r="AF1764" s="11" t="n"/>
      <c r="AG1764" s="11" t="n"/>
      <c r="AH1764" s="11" t="n"/>
      <c r="AI1764" s="14">
        <f>IF(AND($AD1764="保留中",$AF1764&lt;&gt;""),TODAY()-$AF1764,"")</f>
        <v/>
      </c>
      <c r="AJ1764" s="12" t="n"/>
      <c r="AK1764" s="14">
        <f>IF($B1764="","",IF($AO1764="","対象年月が未入力／","")&amp;IF($B1764="","",IF($AN1764="","職員マスタに未登録の職員番号／",IF($Y1764="","標準報酬月額が未登録／","")&amp;IF(AND($AO1764&lt;&gt;"",OR(AND(INDEX(職員マスタ!$G$6:$G$405,$AN1764)&lt;&gt;"",INDEX(職員マスタ!$G$6:$G$405,$AN1764)&gt;EOMONTH($AO1764,0)),AND(INDEX(職員マスタ!$H$6:$H$405,$AN1764)&lt;&gt;"",INDEX(職員マスタ!$H$6:$H$405,$AN1764)&lt;$AO1764))),"対象月が時短期間外／","")&amp;IF(AND(INDEX(職員マスタ!$F$6:$F$405,$AN1764)&lt;&gt;"",$AO1764&lt;&gt;"",INDEX(職員マスタ!$F$6:$F$405,$AN1764)&lt;$AO1764),"対象月に子が2歳到達済／","")&amp;IF(AND($H1764&lt;&gt;"",INDEX(職員マスタ!$B$6:$B$405,$AN1764)&lt;&gt;"",SUBSTITUTE(SUBSTITUTE($H1764," ","")," ","")&lt;&gt;SUBSTITUTE(SUBSTITUTE(INDEX(職員マスタ!$B$6:$B$405,$AN1764)," ","")," ","")),"氏名がマスタと相違／","")&amp;IF(AND($Q1764&lt;&gt;"",INDEX(職員マスタ!$E$6:$E$405,$AN1764)&lt;&gt;"",$Q1764&lt;&gt;INDEX(職員マスタ!$E$6:$E$405,$AN1764)),"子の生年月日がマスタと相違／","")&amp;IF(AND($L1764&lt;&gt;"",INDEX(職員マスタ!$G$6:$G$405,$AN1764)&lt;&gt;"",$L1764&lt;&gt;INDEX(職員マスタ!$G$6:$G$405,$AN1764)),"時短開始日がマスタと相違／","")&amp;IF(AND($M1764&lt;&gt;"",INDEX(職員マスタ!$H$6:$H$405,$AN1764)&lt;&gt;"",$M1764&lt;&gt;INDEX(職員マスタ!$H$6:$H$405,$AN1764)),"時短終了日がマスタと相違／","")))&amp;IF(AND($B1764&lt;&gt;"",$E1764=""),"報酬額が未入力／","")&amp;IF(N($U1764)&gt;0,"申請書に入力エラーが残っています／","")&amp;IF(AND($B1764&lt;&gt;"",$AO1764&lt;&gt;""),IF(COUNTIFS($B$6:$B$3005,$B1764,$C$6:$C$3005,$C1764,$D$6:$D$3005,$D1764)&gt;1,"同じ月の請求が重複しています／",""),"")&amp;IF(AND(N($E1764)&gt;0,$Z1764&lt;&gt;"",$Z1764&lt;&gt;"×",$AC1764=0,$AB1764=""),"計算額が下限以下のため不支給／",""))</f>
        <v/>
      </c>
      <c r="AL1764" s="12" t="n"/>
      <c r="AM1764" s="14">
        <f>IF($AD1764="保留中",COUNTIF($AD$6:$AD1764,"保留中"),"")</f>
        <v/>
      </c>
      <c r="AN1764" s="14">
        <f>IF($AO1764="","",IF(SUMPRODUCT(MAX((職員マスタ!$A$6:$A$405=$B1764)*(((職員マスタ!$G$6:$G$405="")+(職員マスタ!$G$6:$G$405&lt;=EOMONTH($AO1764,0)))&gt;0)*(((職員マスタ!$H$6:$H$405="")+(職員マスタ!$H$6:$H$405&gt;=$AO1764))&gt;0)*(ROW(職員マスタ!$A$6:$A$405)-5)))&gt;0,SUMPRODUCT(MAX((職員マスタ!$A$6:$A$405=$B1764)*(((職員マスタ!$G$6:$G$405="")+(職員マスタ!$G$6:$G$405&lt;=EOMONTH($AO1764,0)))&gt;0)*(((職員マスタ!$H$6:$H$405="")+(職員マスタ!$H$6:$H$405&gt;=$AO1764))&gt;0)*(ROW(職員マスタ!$A$6:$A$405)-5))),IFERROR(MATCH($B1764,職員マスタ!$A$6:$A$405,0),"")))</f>
        <v/>
      </c>
      <c r="AO1764" s="16">
        <f>IF(OR($B1764="",$C1764="",$D1764=""),"",DATE($C1764+2018,$D1764,1))</f>
        <v/>
      </c>
    </row>
    <row r="1765">
      <c r="A1765" s="11" t="n"/>
      <c r="B1765" s="12" t="n"/>
      <c r="C1765" s="12" t="n"/>
      <c r="D1765" s="12" t="n"/>
      <c r="E1765" s="13" t="n"/>
      <c r="F1765" s="12" t="n"/>
      <c r="G1765" s="13" t="n"/>
      <c r="H1765" s="12" t="n"/>
      <c r="I1765" s="12" t="n"/>
      <c r="J1765" s="12" t="n"/>
      <c r="K1765" s="12" t="n"/>
      <c r="L1765" s="11" t="n"/>
      <c r="M1765" s="11" t="n"/>
      <c r="N1765" s="11" t="n"/>
      <c r="O1765" s="11" t="n"/>
      <c r="P1765" s="12" t="n"/>
      <c r="Q1765" s="11" t="n"/>
      <c r="R1765" s="12" t="n"/>
      <c r="S1765" s="11" t="n"/>
      <c r="T1765" s="12" t="n"/>
      <c r="U1765" s="12" t="n"/>
      <c r="V1765" s="14">
        <f>IF($AN1765="",IF($B1765="","",$H1765),IF(INDEX(職員マスタ!$B$6:$B$405,$AN1765)="",$H1765,INDEX(職員マスタ!$B$6:$B$405,$AN1765)))</f>
        <v/>
      </c>
      <c r="W1765" s="14">
        <f>IF($AN1765="",IF($B1765="","",$R1765),IF(INDEX(職員マスタ!$C$6:$C$405,$AN1765)="",$R1765,INDEX(職員マスタ!$C$6:$C$405,$AN1765)))</f>
        <v/>
      </c>
      <c r="X1765" s="14">
        <f>IF($AO1765="","","R"&amp;$C1765&amp;"."&amp;$D1765)</f>
        <v/>
      </c>
      <c r="Y1765" s="15">
        <f>IF($AN1765="","",IF(INDEX(職員マスタ!$K$6:$K$405,$AN1765)="","",INDEX(職員マスタ!$K$6:$K$405,$AN1765)))</f>
        <v/>
      </c>
      <c r="Z1765" s="14">
        <f>IF(OR($E1765="",$Y1765=""),"",IF($E1765&gt;=$Y1765,"×",IF($E1765&gt;=$Y1765*設定!$C$5,"△","○")))</f>
        <v/>
      </c>
      <c r="AA1765" s="15">
        <f>IF($Z1765="","",IF($Z1765="×",0,IF($Z1765="○",ROUNDDOWN($E1765*設定!$C$4,0),ROUNDDOWN($E1765*ROUND((9*$Y1765-9*$E1765)/(10*$E1765),4),0))))</f>
        <v/>
      </c>
      <c r="AB1765" s="13" t="n"/>
      <c r="AC1765" s="15">
        <f>IF($B1765="","",IF($AB1765&lt;&gt;"",$AB1765,IF($AA1765="","",IF($AA1765&lt;=設定!$C$3,0,$AA1765))))</f>
        <v/>
      </c>
      <c r="AD1765" s="14">
        <f>IF($B1765="","",IF(AND($AE1765&lt;&gt;"",$AG1765="",$AJ1765=""),"保留中",IF($AJ1765&lt;&gt;"",IF(N($AC1765)&gt;0,"支給済","不支給"),IF($AC1765="","要確認",IF($AC1765=0,"不支給","未処理")))))</f>
        <v/>
      </c>
      <c r="AE1765" s="12" t="n"/>
      <c r="AF1765" s="11" t="n"/>
      <c r="AG1765" s="11" t="n"/>
      <c r="AH1765" s="11" t="n"/>
      <c r="AI1765" s="14">
        <f>IF(AND($AD1765="保留中",$AF1765&lt;&gt;""),TODAY()-$AF1765,"")</f>
        <v/>
      </c>
      <c r="AJ1765" s="12" t="n"/>
      <c r="AK1765" s="14">
        <f>IF($B1765="","",IF($AO1765="","対象年月が未入力／","")&amp;IF($B1765="","",IF($AN1765="","職員マスタに未登録の職員番号／",IF($Y1765="","標準報酬月額が未登録／","")&amp;IF(AND($AO1765&lt;&gt;"",OR(AND(INDEX(職員マスタ!$G$6:$G$405,$AN1765)&lt;&gt;"",INDEX(職員マスタ!$G$6:$G$405,$AN1765)&gt;EOMONTH($AO1765,0)),AND(INDEX(職員マスタ!$H$6:$H$405,$AN1765)&lt;&gt;"",INDEX(職員マスタ!$H$6:$H$405,$AN1765)&lt;$AO1765))),"対象月が時短期間外／","")&amp;IF(AND(INDEX(職員マスタ!$F$6:$F$405,$AN1765)&lt;&gt;"",$AO1765&lt;&gt;"",INDEX(職員マスタ!$F$6:$F$405,$AN1765)&lt;$AO1765),"対象月に子が2歳到達済／","")&amp;IF(AND($H1765&lt;&gt;"",INDEX(職員マスタ!$B$6:$B$405,$AN1765)&lt;&gt;"",SUBSTITUTE(SUBSTITUTE($H1765," ","")," ","")&lt;&gt;SUBSTITUTE(SUBSTITUTE(INDEX(職員マスタ!$B$6:$B$405,$AN1765)," ","")," ","")),"氏名がマスタと相違／","")&amp;IF(AND($Q1765&lt;&gt;"",INDEX(職員マスタ!$E$6:$E$405,$AN1765)&lt;&gt;"",$Q1765&lt;&gt;INDEX(職員マスタ!$E$6:$E$405,$AN1765)),"子の生年月日がマスタと相違／","")&amp;IF(AND($L1765&lt;&gt;"",INDEX(職員マスタ!$G$6:$G$405,$AN1765)&lt;&gt;"",$L1765&lt;&gt;INDEX(職員マスタ!$G$6:$G$405,$AN1765)),"時短開始日がマスタと相違／","")&amp;IF(AND($M1765&lt;&gt;"",INDEX(職員マスタ!$H$6:$H$405,$AN1765)&lt;&gt;"",$M1765&lt;&gt;INDEX(職員マスタ!$H$6:$H$405,$AN1765)),"時短終了日がマスタと相違／","")))&amp;IF(AND($B1765&lt;&gt;"",$E1765=""),"報酬額が未入力／","")&amp;IF(N($U1765)&gt;0,"申請書に入力エラーが残っています／","")&amp;IF(AND($B1765&lt;&gt;"",$AO1765&lt;&gt;""),IF(COUNTIFS($B$6:$B$3005,$B1765,$C$6:$C$3005,$C1765,$D$6:$D$3005,$D1765)&gt;1,"同じ月の請求が重複しています／",""),"")&amp;IF(AND(N($E1765)&gt;0,$Z1765&lt;&gt;"",$Z1765&lt;&gt;"×",$AC1765=0,$AB1765=""),"計算額が下限以下のため不支給／",""))</f>
        <v/>
      </c>
      <c r="AL1765" s="12" t="n"/>
      <c r="AM1765" s="14">
        <f>IF($AD1765="保留中",COUNTIF($AD$6:$AD1765,"保留中"),"")</f>
        <v/>
      </c>
      <c r="AN1765" s="14">
        <f>IF($AO1765="","",IF(SUMPRODUCT(MAX((職員マスタ!$A$6:$A$405=$B1765)*(((職員マスタ!$G$6:$G$405="")+(職員マスタ!$G$6:$G$405&lt;=EOMONTH($AO1765,0)))&gt;0)*(((職員マスタ!$H$6:$H$405="")+(職員マスタ!$H$6:$H$405&gt;=$AO1765))&gt;0)*(ROW(職員マスタ!$A$6:$A$405)-5)))&gt;0,SUMPRODUCT(MAX((職員マスタ!$A$6:$A$405=$B1765)*(((職員マスタ!$G$6:$G$405="")+(職員マスタ!$G$6:$G$405&lt;=EOMONTH($AO1765,0)))&gt;0)*(((職員マスタ!$H$6:$H$405="")+(職員マスタ!$H$6:$H$405&gt;=$AO1765))&gt;0)*(ROW(職員マスタ!$A$6:$A$405)-5))),IFERROR(MATCH($B1765,職員マスタ!$A$6:$A$405,0),"")))</f>
        <v/>
      </c>
      <c r="AO1765" s="16">
        <f>IF(OR($B1765="",$C1765="",$D1765=""),"",DATE($C1765+2018,$D1765,1))</f>
        <v/>
      </c>
    </row>
    <row r="1766">
      <c r="A1766" s="11" t="n"/>
      <c r="B1766" s="12" t="n"/>
      <c r="C1766" s="12" t="n"/>
      <c r="D1766" s="12" t="n"/>
      <c r="E1766" s="13" t="n"/>
      <c r="F1766" s="12" t="n"/>
      <c r="G1766" s="13" t="n"/>
      <c r="H1766" s="12" t="n"/>
      <c r="I1766" s="12" t="n"/>
      <c r="J1766" s="12" t="n"/>
      <c r="K1766" s="12" t="n"/>
      <c r="L1766" s="11" t="n"/>
      <c r="M1766" s="11" t="n"/>
      <c r="N1766" s="11" t="n"/>
      <c r="O1766" s="11" t="n"/>
      <c r="P1766" s="12" t="n"/>
      <c r="Q1766" s="11" t="n"/>
      <c r="R1766" s="12" t="n"/>
      <c r="S1766" s="11" t="n"/>
      <c r="T1766" s="12" t="n"/>
      <c r="U1766" s="12" t="n"/>
      <c r="V1766" s="14">
        <f>IF($AN1766="",IF($B1766="","",$H1766),IF(INDEX(職員マスタ!$B$6:$B$405,$AN1766)="",$H1766,INDEX(職員マスタ!$B$6:$B$405,$AN1766)))</f>
        <v/>
      </c>
      <c r="W1766" s="14">
        <f>IF($AN1766="",IF($B1766="","",$R1766),IF(INDEX(職員マスタ!$C$6:$C$405,$AN1766)="",$R1766,INDEX(職員マスタ!$C$6:$C$405,$AN1766)))</f>
        <v/>
      </c>
      <c r="X1766" s="14">
        <f>IF($AO1766="","","R"&amp;$C1766&amp;"."&amp;$D1766)</f>
        <v/>
      </c>
      <c r="Y1766" s="15">
        <f>IF($AN1766="","",IF(INDEX(職員マスタ!$K$6:$K$405,$AN1766)="","",INDEX(職員マスタ!$K$6:$K$405,$AN1766)))</f>
        <v/>
      </c>
      <c r="Z1766" s="14">
        <f>IF(OR($E1766="",$Y1766=""),"",IF($E1766&gt;=$Y1766,"×",IF($E1766&gt;=$Y1766*設定!$C$5,"△","○")))</f>
        <v/>
      </c>
      <c r="AA1766" s="15">
        <f>IF($Z1766="","",IF($Z1766="×",0,IF($Z1766="○",ROUNDDOWN($E1766*設定!$C$4,0),ROUNDDOWN($E1766*ROUND((9*$Y1766-9*$E1766)/(10*$E1766),4),0))))</f>
        <v/>
      </c>
      <c r="AB1766" s="13" t="n"/>
      <c r="AC1766" s="15">
        <f>IF($B1766="","",IF($AB1766&lt;&gt;"",$AB1766,IF($AA1766="","",IF($AA1766&lt;=設定!$C$3,0,$AA1766))))</f>
        <v/>
      </c>
      <c r="AD1766" s="14">
        <f>IF($B1766="","",IF(AND($AE1766&lt;&gt;"",$AG1766="",$AJ1766=""),"保留中",IF($AJ1766&lt;&gt;"",IF(N($AC1766)&gt;0,"支給済","不支給"),IF($AC1766="","要確認",IF($AC1766=0,"不支給","未処理")))))</f>
        <v/>
      </c>
      <c r="AE1766" s="12" t="n"/>
      <c r="AF1766" s="11" t="n"/>
      <c r="AG1766" s="11" t="n"/>
      <c r="AH1766" s="11" t="n"/>
      <c r="AI1766" s="14">
        <f>IF(AND($AD1766="保留中",$AF1766&lt;&gt;""),TODAY()-$AF1766,"")</f>
        <v/>
      </c>
      <c r="AJ1766" s="12" t="n"/>
      <c r="AK1766" s="14">
        <f>IF($B1766="","",IF($AO1766="","対象年月が未入力／","")&amp;IF($B1766="","",IF($AN1766="","職員マスタに未登録の職員番号／",IF($Y1766="","標準報酬月額が未登録／","")&amp;IF(AND($AO1766&lt;&gt;"",OR(AND(INDEX(職員マスタ!$G$6:$G$405,$AN1766)&lt;&gt;"",INDEX(職員マスタ!$G$6:$G$405,$AN1766)&gt;EOMONTH($AO1766,0)),AND(INDEX(職員マスタ!$H$6:$H$405,$AN1766)&lt;&gt;"",INDEX(職員マスタ!$H$6:$H$405,$AN1766)&lt;$AO1766))),"対象月が時短期間外／","")&amp;IF(AND(INDEX(職員マスタ!$F$6:$F$405,$AN1766)&lt;&gt;"",$AO1766&lt;&gt;"",INDEX(職員マスタ!$F$6:$F$405,$AN1766)&lt;$AO1766),"対象月に子が2歳到達済／","")&amp;IF(AND($H1766&lt;&gt;"",INDEX(職員マスタ!$B$6:$B$405,$AN1766)&lt;&gt;"",SUBSTITUTE(SUBSTITUTE($H1766," ","")," ","")&lt;&gt;SUBSTITUTE(SUBSTITUTE(INDEX(職員マスタ!$B$6:$B$405,$AN1766)," ","")," ","")),"氏名がマスタと相違／","")&amp;IF(AND($Q1766&lt;&gt;"",INDEX(職員マスタ!$E$6:$E$405,$AN1766)&lt;&gt;"",$Q1766&lt;&gt;INDEX(職員マスタ!$E$6:$E$405,$AN1766)),"子の生年月日がマスタと相違／","")&amp;IF(AND($L1766&lt;&gt;"",INDEX(職員マスタ!$G$6:$G$405,$AN1766)&lt;&gt;"",$L1766&lt;&gt;INDEX(職員マスタ!$G$6:$G$405,$AN1766)),"時短開始日がマスタと相違／","")&amp;IF(AND($M1766&lt;&gt;"",INDEX(職員マスタ!$H$6:$H$405,$AN1766)&lt;&gt;"",$M1766&lt;&gt;INDEX(職員マスタ!$H$6:$H$405,$AN1766)),"時短終了日がマスタと相違／","")))&amp;IF(AND($B1766&lt;&gt;"",$E1766=""),"報酬額が未入力／","")&amp;IF(N($U1766)&gt;0,"申請書に入力エラーが残っています／","")&amp;IF(AND($B1766&lt;&gt;"",$AO1766&lt;&gt;""),IF(COUNTIFS($B$6:$B$3005,$B1766,$C$6:$C$3005,$C1766,$D$6:$D$3005,$D1766)&gt;1,"同じ月の請求が重複しています／",""),"")&amp;IF(AND(N($E1766)&gt;0,$Z1766&lt;&gt;"",$Z1766&lt;&gt;"×",$AC1766=0,$AB1766=""),"計算額が下限以下のため不支給／",""))</f>
        <v/>
      </c>
      <c r="AL1766" s="12" t="n"/>
      <c r="AM1766" s="14">
        <f>IF($AD1766="保留中",COUNTIF($AD$6:$AD1766,"保留中"),"")</f>
        <v/>
      </c>
      <c r="AN1766" s="14">
        <f>IF($AO1766="","",IF(SUMPRODUCT(MAX((職員マスタ!$A$6:$A$405=$B1766)*(((職員マスタ!$G$6:$G$405="")+(職員マスタ!$G$6:$G$405&lt;=EOMONTH($AO1766,0)))&gt;0)*(((職員マスタ!$H$6:$H$405="")+(職員マスタ!$H$6:$H$405&gt;=$AO1766))&gt;0)*(ROW(職員マスタ!$A$6:$A$405)-5)))&gt;0,SUMPRODUCT(MAX((職員マスタ!$A$6:$A$405=$B1766)*(((職員マスタ!$G$6:$G$405="")+(職員マスタ!$G$6:$G$405&lt;=EOMONTH($AO1766,0)))&gt;0)*(((職員マスタ!$H$6:$H$405="")+(職員マスタ!$H$6:$H$405&gt;=$AO1766))&gt;0)*(ROW(職員マスタ!$A$6:$A$405)-5))),IFERROR(MATCH($B1766,職員マスタ!$A$6:$A$405,0),"")))</f>
        <v/>
      </c>
      <c r="AO1766" s="16">
        <f>IF(OR($B1766="",$C1766="",$D1766=""),"",DATE($C1766+2018,$D1766,1))</f>
        <v/>
      </c>
    </row>
    <row r="1767">
      <c r="A1767" s="11" t="n"/>
      <c r="B1767" s="12" t="n"/>
      <c r="C1767" s="12" t="n"/>
      <c r="D1767" s="12" t="n"/>
      <c r="E1767" s="13" t="n"/>
      <c r="F1767" s="12" t="n"/>
      <c r="G1767" s="13" t="n"/>
      <c r="H1767" s="12" t="n"/>
      <c r="I1767" s="12" t="n"/>
      <c r="J1767" s="12" t="n"/>
      <c r="K1767" s="12" t="n"/>
      <c r="L1767" s="11" t="n"/>
      <c r="M1767" s="11" t="n"/>
      <c r="N1767" s="11" t="n"/>
      <c r="O1767" s="11" t="n"/>
      <c r="P1767" s="12" t="n"/>
      <c r="Q1767" s="11" t="n"/>
      <c r="R1767" s="12" t="n"/>
      <c r="S1767" s="11" t="n"/>
      <c r="T1767" s="12" t="n"/>
      <c r="U1767" s="12" t="n"/>
      <c r="V1767" s="14">
        <f>IF($AN1767="",IF($B1767="","",$H1767),IF(INDEX(職員マスタ!$B$6:$B$405,$AN1767)="",$H1767,INDEX(職員マスタ!$B$6:$B$405,$AN1767)))</f>
        <v/>
      </c>
      <c r="W1767" s="14">
        <f>IF($AN1767="",IF($B1767="","",$R1767),IF(INDEX(職員マスタ!$C$6:$C$405,$AN1767)="",$R1767,INDEX(職員マスタ!$C$6:$C$405,$AN1767)))</f>
        <v/>
      </c>
      <c r="X1767" s="14">
        <f>IF($AO1767="","","R"&amp;$C1767&amp;"."&amp;$D1767)</f>
        <v/>
      </c>
      <c r="Y1767" s="15">
        <f>IF($AN1767="","",IF(INDEX(職員マスタ!$K$6:$K$405,$AN1767)="","",INDEX(職員マスタ!$K$6:$K$405,$AN1767)))</f>
        <v/>
      </c>
      <c r="Z1767" s="14">
        <f>IF(OR($E1767="",$Y1767=""),"",IF($E1767&gt;=$Y1767,"×",IF($E1767&gt;=$Y1767*設定!$C$5,"△","○")))</f>
        <v/>
      </c>
      <c r="AA1767" s="15">
        <f>IF($Z1767="","",IF($Z1767="×",0,IF($Z1767="○",ROUNDDOWN($E1767*設定!$C$4,0),ROUNDDOWN($E1767*ROUND((9*$Y1767-9*$E1767)/(10*$E1767),4),0))))</f>
        <v/>
      </c>
      <c r="AB1767" s="13" t="n"/>
      <c r="AC1767" s="15">
        <f>IF($B1767="","",IF($AB1767&lt;&gt;"",$AB1767,IF($AA1767="","",IF($AA1767&lt;=設定!$C$3,0,$AA1767))))</f>
        <v/>
      </c>
      <c r="AD1767" s="14">
        <f>IF($B1767="","",IF(AND($AE1767&lt;&gt;"",$AG1767="",$AJ1767=""),"保留中",IF($AJ1767&lt;&gt;"",IF(N($AC1767)&gt;0,"支給済","不支給"),IF($AC1767="","要確認",IF($AC1767=0,"不支給","未処理")))))</f>
        <v/>
      </c>
      <c r="AE1767" s="12" t="n"/>
      <c r="AF1767" s="11" t="n"/>
      <c r="AG1767" s="11" t="n"/>
      <c r="AH1767" s="11" t="n"/>
      <c r="AI1767" s="14">
        <f>IF(AND($AD1767="保留中",$AF1767&lt;&gt;""),TODAY()-$AF1767,"")</f>
        <v/>
      </c>
      <c r="AJ1767" s="12" t="n"/>
      <c r="AK1767" s="14">
        <f>IF($B1767="","",IF($AO1767="","対象年月が未入力／","")&amp;IF($B1767="","",IF($AN1767="","職員マスタに未登録の職員番号／",IF($Y1767="","標準報酬月額が未登録／","")&amp;IF(AND($AO1767&lt;&gt;"",OR(AND(INDEX(職員マスタ!$G$6:$G$405,$AN1767)&lt;&gt;"",INDEX(職員マスタ!$G$6:$G$405,$AN1767)&gt;EOMONTH($AO1767,0)),AND(INDEX(職員マスタ!$H$6:$H$405,$AN1767)&lt;&gt;"",INDEX(職員マスタ!$H$6:$H$405,$AN1767)&lt;$AO1767))),"対象月が時短期間外／","")&amp;IF(AND(INDEX(職員マスタ!$F$6:$F$405,$AN1767)&lt;&gt;"",$AO1767&lt;&gt;"",INDEX(職員マスタ!$F$6:$F$405,$AN1767)&lt;$AO1767),"対象月に子が2歳到達済／","")&amp;IF(AND($H1767&lt;&gt;"",INDEX(職員マスタ!$B$6:$B$405,$AN1767)&lt;&gt;"",SUBSTITUTE(SUBSTITUTE($H1767," ","")," ","")&lt;&gt;SUBSTITUTE(SUBSTITUTE(INDEX(職員マスタ!$B$6:$B$405,$AN1767)," ","")," ","")),"氏名がマスタと相違／","")&amp;IF(AND($Q1767&lt;&gt;"",INDEX(職員マスタ!$E$6:$E$405,$AN1767)&lt;&gt;"",$Q1767&lt;&gt;INDEX(職員マスタ!$E$6:$E$405,$AN1767)),"子の生年月日がマスタと相違／","")&amp;IF(AND($L1767&lt;&gt;"",INDEX(職員マスタ!$G$6:$G$405,$AN1767)&lt;&gt;"",$L1767&lt;&gt;INDEX(職員マスタ!$G$6:$G$405,$AN1767)),"時短開始日がマスタと相違／","")&amp;IF(AND($M1767&lt;&gt;"",INDEX(職員マスタ!$H$6:$H$405,$AN1767)&lt;&gt;"",$M1767&lt;&gt;INDEX(職員マスタ!$H$6:$H$405,$AN1767)),"時短終了日がマスタと相違／","")))&amp;IF(AND($B1767&lt;&gt;"",$E1767=""),"報酬額が未入力／","")&amp;IF(N($U1767)&gt;0,"申請書に入力エラーが残っています／","")&amp;IF(AND($B1767&lt;&gt;"",$AO1767&lt;&gt;""),IF(COUNTIFS($B$6:$B$3005,$B1767,$C$6:$C$3005,$C1767,$D$6:$D$3005,$D1767)&gt;1,"同じ月の請求が重複しています／",""),"")&amp;IF(AND(N($E1767)&gt;0,$Z1767&lt;&gt;"",$Z1767&lt;&gt;"×",$AC1767=0,$AB1767=""),"計算額が下限以下のため不支給／",""))</f>
        <v/>
      </c>
      <c r="AL1767" s="12" t="n"/>
      <c r="AM1767" s="14">
        <f>IF($AD1767="保留中",COUNTIF($AD$6:$AD1767,"保留中"),"")</f>
        <v/>
      </c>
      <c r="AN1767" s="14">
        <f>IF($AO1767="","",IF(SUMPRODUCT(MAX((職員マスタ!$A$6:$A$405=$B1767)*(((職員マスタ!$G$6:$G$405="")+(職員マスタ!$G$6:$G$405&lt;=EOMONTH($AO1767,0)))&gt;0)*(((職員マスタ!$H$6:$H$405="")+(職員マスタ!$H$6:$H$405&gt;=$AO1767))&gt;0)*(ROW(職員マスタ!$A$6:$A$405)-5)))&gt;0,SUMPRODUCT(MAX((職員マスタ!$A$6:$A$405=$B1767)*(((職員マスタ!$G$6:$G$405="")+(職員マスタ!$G$6:$G$405&lt;=EOMONTH($AO1767,0)))&gt;0)*(((職員マスタ!$H$6:$H$405="")+(職員マスタ!$H$6:$H$405&gt;=$AO1767))&gt;0)*(ROW(職員マスタ!$A$6:$A$405)-5))),IFERROR(MATCH($B1767,職員マスタ!$A$6:$A$405,0),"")))</f>
        <v/>
      </c>
      <c r="AO1767" s="16">
        <f>IF(OR($B1767="",$C1767="",$D1767=""),"",DATE($C1767+2018,$D1767,1))</f>
        <v/>
      </c>
    </row>
    <row r="1768">
      <c r="A1768" s="11" t="n"/>
      <c r="B1768" s="12" t="n"/>
      <c r="C1768" s="12" t="n"/>
      <c r="D1768" s="12" t="n"/>
      <c r="E1768" s="13" t="n"/>
      <c r="F1768" s="12" t="n"/>
      <c r="G1768" s="13" t="n"/>
      <c r="H1768" s="12" t="n"/>
      <c r="I1768" s="12" t="n"/>
      <c r="J1768" s="12" t="n"/>
      <c r="K1768" s="12" t="n"/>
      <c r="L1768" s="11" t="n"/>
      <c r="M1768" s="11" t="n"/>
      <c r="N1768" s="11" t="n"/>
      <c r="O1768" s="11" t="n"/>
      <c r="P1768" s="12" t="n"/>
      <c r="Q1768" s="11" t="n"/>
      <c r="R1768" s="12" t="n"/>
      <c r="S1768" s="11" t="n"/>
      <c r="T1768" s="12" t="n"/>
      <c r="U1768" s="12" t="n"/>
      <c r="V1768" s="14">
        <f>IF($AN1768="",IF($B1768="","",$H1768),IF(INDEX(職員マスタ!$B$6:$B$405,$AN1768)="",$H1768,INDEX(職員マスタ!$B$6:$B$405,$AN1768)))</f>
        <v/>
      </c>
      <c r="W1768" s="14">
        <f>IF($AN1768="",IF($B1768="","",$R1768),IF(INDEX(職員マスタ!$C$6:$C$405,$AN1768)="",$R1768,INDEX(職員マスタ!$C$6:$C$405,$AN1768)))</f>
        <v/>
      </c>
      <c r="X1768" s="14">
        <f>IF($AO1768="","","R"&amp;$C1768&amp;"."&amp;$D1768)</f>
        <v/>
      </c>
      <c r="Y1768" s="15">
        <f>IF($AN1768="","",IF(INDEX(職員マスタ!$K$6:$K$405,$AN1768)="","",INDEX(職員マスタ!$K$6:$K$405,$AN1768)))</f>
        <v/>
      </c>
      <c r="Z1768" s="14">
        <f>IF(OR($E1768="",$Y1768=""),"",IF($E1768&gt;=$Y1768,"×",IF($E1768&gt;=$Y1768*設定!$C$5,"△","○")))</f>
        <v/>
      </c>
      <c r="AA1768" s="15">
        <f>IF($Z1768="","",IF($Z1768="×",0,IF($Z1768="○",ROUNDDOWN($E1768*設定!$C$4,0),ROUNDDOWN($E1768*ROUND((9*$Y1768-9*$E1768)/(10*$E1768),4),0))))</f>
        <v/>
      </c>
      <c r="AB1768" s="13" t="n"/>
      <c r="AC1768" s="15">
        <f>IF($B1768="","",IF($AB1768&lt;&gt;"",$AB1768,IF($AA1768="","",IF($AA1768&lt;=設定!$C$3,0,$AA1768))))</f>
        <v/>
      </c>
      <c r="AD1768" s="14">
        <f>IF($B1768="","",IF(AND($AE1768&lt;&gt;"",$AG1768="",$AJ1768=""),"保留中",IF($AJ1768&lt;&gt;"",IF(N($AC1768)&gt;0,"支給済","不支給"),IF($AC1768="","要確認",IF($AC1768=0,"不支給","未処理")))))</f>
        <v/>
      </c>
      <c r="AE1768" s="12" t="n"/>
      <c r="AF1768" s="11" t="n"/>
      <c r="AG1768" s="11" t="n"/>
      <c r="AH1768" s="11" t="n"/>
      <c r="AI1768" s="14">
        <f>IF(AND($AD1768="保留中",$AF1768&lt;&gt;""),TODAY()-$AF1768,"")</f>
        <v/>
      </c>
      <c r="AJ1768" s="12" t="n"/>
      <c r="AK1768" s="14">
        <f>IF($B1768="","",IF($AO1768="","対象年月が未入力／","")&amp;IF($B1768="","",IF($AN1768="","職員マスタに未登録の職員番号／",IF($Y1768="","標準報酬月額が未登録／","")&amp;IF(AND($AO1768&lt;&gt;"",OR(AND(INDEX(職員マスタ!$G$6:$G$405,$AN1768)&lt;&gt;"",INDEX(職員マスタ!$G$6:$G$405,$AN1768)&gt;EOMONTH($AO1768,0)),AND(INDEX(職員マスタ!$H$6:$H$405,$AN1768)&lt;&gt;"",INDEX(職員マスタ!$H$6:$H$405,$AN1768)&lt;$AO1768))),"対象月が時短期間外／","")&amp;IF(AND(INDEX(職員マスタ!$F$6:$F$405,$AN1768)&lt;&gt;"",$AO1768&lt;&gt;"",INDEX(職員マスタ!$F$6:$F$405,$AN1768)&lt;$AO1768),"対象月に子が2歳到達済／","")&amp;IF(AND($H1768&lt;&gt;"",INDEX(職員マスタ!$B$6:$B$405,$AN1768)&lt;&gt;"",SUBSTITUTE(SUBSTITUTE($H1768," ","")," ","")&lt;&gt;SUBSTITUTE(SUBSTITUTE(INDEX(職員マスタ!$B$6:$B$405,$AN1768)," ","")," ","")),"氏名がマスタと相違／","")&amp;IF(AND($Q1768&lt;&gt;"",INDEX(職員マスタ!$E$6:$E$405,$AN1768)&lt;&gt;"",$Q1768&lt;&gt;INDEX(職員マスタ!$E$6:$E$405,$AN1768)),"子の生年月日がマスタと相違／","")&amp;IF(AND($L1768&lt;&gt;"",INDEX(職員マスタ!$G$6:$G$405,$AN1768)&lt;&gt;"",$L1768&lt;&gt;INDEX(職員マスタ!$G$6:$G$405,$AN1768)),"時短開始日がマスタと相違／","")&amp;IF(AND($M1768&lt;&gt;"",INDEX(職員マスタ!$H$6:$H$405,$AN1768)&lt;&gt;"",$M1768&lt;&gt;INDEX(職員マスタ!$H$6:$H$405,$AN1768)),"時短終了日がマスタと相違／","")))&amp;IF(AND($B1768&lt;&gt;"",$E1768=""),"報酬額が未入力／","")&amp;IF(N($U1768)&gt;0,"申請書に入力エラーが残っています／","")&amp;IF(AND($B1768&lt;&gt;"",$AO1768&lt;&gt;""),IF(COUNTIFS($B$6:$B$3005,$B1768,$C$6:$C$3005,$C1768,$D$6:$D$3005,$D1768)&gt;1,"同じ月の請求が重複しています／",""),"")&amp;IF(AND(N($E1768)&gt;0,$Z1768&lt;&gt;"",$Z1768&lt;&gt;"×",$AC1768=0,$AB1768=""),"計算額が下限以下のため不支給／",""))</f>
        <v/>
      </c>
      <c r="AL1768" s="12" t="n"/>
      <c r="AM1768" s="14">
        <f>IF($AD1768="保留中",COUNTIF($AD$6:$AD1768,"保留中"),"")</f>
        <v/>
      </c>
      <c r="AN1768" s="14">
        <f>IF($AO1768="","",IF(SUMPRODUCT(MAX((職員マスタ!$A$6:$A$405=$B1768)*(((職員マスタ!$G$6:$G$405="")+(職員マスタ!$G$6:$G$405&lt;=EOMONTH($AO1768,0)))&gt;0)*(((職員マスタ!$H$6:$H$405="")+(職員マスタ!$H$6:$H$405&gt;=$AO1768))&gt;0)*(ROW(職員マスタ!$A$6:$A$405)-5)))&gt;0,SUMPRODUCT(MAX((職員マスタ!$A$6:$A$405=$B1768)*(((職員マスタ!$G$6:$G$405="")+(職員マスタ!$G$6:$G$405&lt;=EOMONTH($AO1768,0)))&gt;0)*(((職員マスタ!$H$6:$H$405="")+(職員マスタ!$H$6:$H$405&gt;=$AO1768))&gt;0)*(ROW(職員マスタ!$A$6:$A$405)-5))),IFERROR(MATCH($B1768,職員マスタ!$A$6:$A$405,0),"")))</f>
        <v/>
      </c>
      <c r="AO1768" s="16">
        <f>IF(OR($B1768="",$C1768="",$D1768=""),"",DATE($C1768+2018,$D1768,1))</f>
        <v/>
      </c>
    </row>
    <row r="1769">
      <c r="A1769" s="11" t="n"/>
      <c r="B1769" s="12" t="n"/>
      <c r="C1769" s="12" t="n"/>
      <c r="D1769" s="12" t="n"/>
      <c r="E1769" s="13" t="n"/>
      <c r="F1769" s="12" t="n"/>
      <c r="G1769" s="13" t="n"/>
      <c r="H1769" s="12" t="n"/>
      <c r="I1769" s="12" t="n"/>
      <c r="J1769" s="12" t="n"/>
      <c r="K1769" s="12" t="n"/>
      <c r="L1769" s="11" t="n"/>
      <c r="M1769" s="11" t="n"/>
      <c r="N1769" s="11" t="n"/>
      <c r="O1769" s="11" t="n"/>
      <c r="P1769" s="12" t="n"/>
      <c r="Q1769" s="11" t="n"/>
      <c r="R1769" s="12" t="n"/>
      <c r="S1769" s="11" t="n"/>
      <c r="T1769" s="12" t="n"/>
      <c r="U1769" s="12" t="n"/>
      <c r="V1769" s="14">
        <f>IF($AN1769="",IF($B1769="","",$H1769),IF(INDEX(職員マスタ!$B$6:$B$405,$AN1769)="",$H1769,INDEX(職員マスタ!$B$6:$B$405,$AN1769)))</f>
        <v/>
      </c>
      <c r="W1769" s="14">
        <f>IF($AN1769="",IF($B1769="","",$R1769),IF(INDEX(職員マスタ!$C$6:$C$405,$AN1769)="",$R1769,INDEX(職員マスタ!$C$6:$C$405,$AN1769)))</f>
        <v/>
      </c>
      <c r="X1769" s="14">
        <f>IF($AO1769="","","R"&amp;$C1769&amp;"."&amp;$D1769)</f>
        <v/>
      </c>
      <c r="Y1769" s="15">
        <f>IF($AN1769="","",IF(INDEX(職員マスタ!$K$6:$K$405,$AN1769)="","",INDEX(職員マスタ!$K$6:$K$405,$AN1769)))</f>
        <v/>
      </c>
      <c r="Z1769" s="14">
        <f>IF(OR($E1769="",$Y1769=""),"",IF($E1769&gt;=$Y1769,"×",IF($E1769&gt;=$Y1769*設定!$C$5,"△","○")))</f>
        <v/>
      </c>
      <c r="AA1769" s="15">
        <f>IF($Z1769="","",IF($Z1769="×",0,IF($Z1769="○",ROUNDDOWN($E1769*設定!$C$4,0),ROUNDDOWN($E1769*ROUND((9*$Y1769-9*$E1769)/(10*$E1769),4),0))))</f>
        <v/>
      </c>
      <c r="AB1769" s="13" t="n"/>
      <c r="AC1769" s="15">
        <f>IF($B1769="","",IF($AB1769&lt;&gt;"",$AB1769,IF($AA1769="","",IF($AA1769&lt;=設定!$C$3,0,$AA1769))))</f>
        <v/>
      </c>
      <c r="AD1769" s="14">
        <f>IF($B1769="","",IF(AND($AE1769&lt;&gt;"",$AG1769="",$AJ1769=""),"保留中",IF($AJ1769&lt;&gt;"",IF(N($AC1769)&gt;0,"支給済","不支給"),IF($AC1769="","要確認",IF($AC1769=0,"不支給","未処理")))))</f>
        <v/>
      </c>
      <c r="AE1769" s="12" t="n"/>
      <c r="AF1769" s="11" t="n"/>
      <c r="AG1769" s="11" t="n"/>
      <c r="AH1769" s="11" t="n"/>
      <c r="AI1769" s="14">
        <f>IF(AND($AD1769="保留中",$AF1769&lt;&gt;""),TODAY()-$AF1769,"")</f>
        <v/>
      </c>
      <c r="AJ1769" s="12" t="n"/>
      <c r="AK1769" s="14">
        <f>IF($B1769="","",IF($AO1769="","対象年月が未入力／","")&amp;IF($B1769="","",IF($AN1769="","職員マスタに未登録の職員番号／",IF($Y1769="","標準報酬月額が未登録／","")&amp;IF(AND($AO1769&lt;&gt;"",OR(AND(INDEX(職員マスタ!$G$6:$G$405,$AN1769)&lt;&gt;"",INDEX(職員マスタ!$G$6:$G$405,$AN1769)&gt;EOMONTH($AO1769,0)),AND(INDEX(職員マスタ!$H$6:$H$405,$AN1769)&lt;&gt;"",INDEX(職員マスタ!$H$6:$H$405,$AN1769)&lt;$AO1769))),"対象月が時短期間外／","")&amp;IF(AND(INDEX(職員マスタ!$F$6:$F$405,$AN1769)&lt;&gt;"",$AO1769&lt;&gt;"",INDEX(職員マスタ!$F$6:$F$405,$AN1769)&lt;$AO1769),"対象月に子が2歳到達済／","")&amp;IF(AND($H1769&lt;&gt;"",INDEX(職員マスタ!$B$6:$B$405,$AN1769)&lt;&gt;"",SUBSTITUTE(SUBSTITUTE($H1769," ","")," ","")&lt;&gt;SUBSTITUTE(SUBSTITUTE(INDEX(職員マスタ!$B$6:$B$405,$AN1769)," ","")," ","")),"氏名がマスタと相違／","")&amp;IF(AND($Q1769&lt;&gt;"",INDEX(職員マスタ!$E$6:$E$405,$AN1769)&lt;&gt;"",$Q1769&lt;&gt;INDEX(職員マスタ!$E$6:$E$405,$AN1769)),"子の生年月日がマスタと相違／","")&amp;IF(AND($L1769&lt;&gt;"",INDEX(職員マスタ!$G$6:$G$405,$AN1769)&lt;&gt;"",$L1769&lt;&gt;INDEX(職員マスタ!$G$6:$G$405,$AN1769)),"時短開始日がマスタと相違／","")&amp;IF(AND($M1769&lt;&gt;"",INDEX(職員マスタ!$H$6:$H$405,$AN1769)&lt;&gt;"",$M1769&lt;&gt;INDEX(職員マスタ!$H$6:$H$405,$AN1769)),"時短終了日がマスタと相違／","")))&amp;IF(AND($B1769&lt;&gt;"",$E1769=""),"報酬額が未入力／","")&amp;IF(N($U1769)&gt;0,"申請書に入力エラーが残っています／","")&amp;IF(AND($B1769&lt;&gt;"",$AO1769&lt;&gt;""),IF(COUNTIFS($B$6:$B$3005,$B1769,$C$6:$C$3005,$C1769,$D$6:$D$3005,$D1769)&gt;1,"同じ月の請求が重複しています／",""),"")&amp;IF(AND(N($E1769)&gt;0,$Z1769&lt;&gt;"",$Z1769&lt;&gt;"×",$AC1769=0,$AB1769=""),"計算額が下限以下のため不支給／",""))</f>
        <v/>
      </c>
      <c r="AL1769" s="12" t="n"/>
      <c r="AM1769" s="14">
        <f>IF($AD1769="保留中",COUNTIF($AD$6:$AD1769,"保留中"),"")</f>
        <v/>
      </c>
      <c r="AN1769" s="14">
        <f>IF($AO1769="","",IF(SUMPRODUCT(MAX((職員マスタ!$A$6:$A$405=$B1769)*(((職員マスタ!$G$6:$G$405="")+(職員マスタ!$G$6:$G$405&lt;=EOMONTH($AO1769,0)))&gt;0)*(((職員マスタ!$H$6:$H$405="")+(職員マスタ!$H$6:$H$405&gt;=$AO1769))&gt;0)*(ROW(職員マスタ!$A$6:$A$405)-5)))&gt;0,SUMPRODUCT(MAX((職員マスタ!$A$6:$A$405=$B1769)*(((職員マスタ!$G$6:$G$405="")+(職員マスタ!$G$6:$G$405&lt;=EOMONTH($AO1769,0)))&gt;0)*(((職員マスタ!$H$6:$H$405="")+(職員マスタ!$H$6:$H$405&gt;=$AO1769))&gt;0)*(ROW(職員マスタ!$A$6:$A$405)-5))),IFERROR(MATCH($B1769,職員マスタ!$A$6:$A$405,0),"")))</f>
        <v/>
      </c>
      <c r="AO1769" s="16">
        <f>IF(OR($B1769="",$C1769="",$D1769=""),"",DATE($C1769+2018,$D1769,1))</f>
        <v/>
      </c>
    </row>
    <row r="1770">
      <c r="A1770" s="11" t="n"/>
      <c r="B1770" s="12" t="n"/>
      <c r="C1770" s="12" t="n"/>
      <c r="D1770" s="12" t="n"/>
      <c r="E1770" s="13" t="n"/>
      <c r="F1770" s="12" t="n"/>
      <c r="G1770" s="13" t="n"/>
      <c r="H1770" s="12" t="n"/>
      <c r="I1770" s="12" t="n"/>
      <c r="J1770" s="12" t="n"/>
      <c r="K1770" s="12" t="n"/>
      <c r="L1770" s="11" t="n"/>
      <c r="M1770" s="11" t="n"/>
      <c r="N1770" s="11" t="n"/>
      <c r="O1770" s="11" t="n"/>
      <c r="P1770" s="12" t="n"/>
      <c r="Q1770" s="11" t="n"/>
      <c r="R1770" s="12" t="n"/>
      <c r="S1770" s="11" t="n"/>
      <c r="T1770" s="12" t="n"/>
      <c r="U1770" s="12" t="n"/>
      <c r="V1770" s="14">
        <f>IF($AN1770="",IF($B1770="","",$H1770),IF(INDEX(職員マスタ!$B$6:$B$405,$AN1770)="",$H1770,INDEX(職員マスタ!$B$6:$B$405,$AN1770)))</f>
        <v/>
      </c>
      <c r="W1770" s="14">
        <f>IF($AN1770="",IF($B1770="","",$R1770),IF(INDEX(職員マスタ!$C$6:$C$405,$AN1770)="",$R1770,INDEX(職員マスタ!$C$6:$C$405,$AN1770)))</f>
        <v/>
      </c>
      <c r="X1770" s="14">
        <f>IF($AO1770="","","R"&amp;$C1770&amp;"."&amp;$D1770)</f>
        <v/>
      </c>
      <c r="Y1770" s="15">
        <f>IF($AN1770="","",IF(INDEX(職員マスタ!$K$6:$K$405,$AN1770)="","",INDEX(職員マスタ!$K$6:$K$405,$AN1770)))</f>
        <v/>
      </c>
      <c r="Z1770" s="14">
        <f>IF(OR($E1770="",$Y1770=""),"",IF($E1770&gt;=$Y1770,"×",IF($E1770&gt;=$Y1770*設定!$C$5,"△","○")))</f>
        <v/>
      </c>
      <c r="AA1770" s="15">
        <f>IF($Z1770="","",IF($Z1770="×",0,IF($Z1770="○",ROUNDDOWN($E1770*設定!$C$4,0),ROUNDDOWN($E1770*ROUND((9*$Y1770-9*$E1770)/(10*$E1770),4),0))))</f>
        <v/>
      </c>
      <c r="AB1770" s="13" t="n"/>
      <c r="AC1770" s="15">
        <f>IF($B1770="","",IF($AB1770&lt;&gt;"",$AB1770,IF($AA1770="","",IF($AA1770&lt;=設定!$C$3,0,$AA1770))))</f>
        <v/>
      </c>
      <c r="AD1770" s="14">
        <f>IF($B1770="","",IF(AND($AE1770&lt;&gt;"",$AG1770="",$AJ1770=""),"保留中",IF($AJ1770&lt;&gt;"",IF(N($AC1770)&gt;0,"支給済","不支給"),IF($AC1770="","要確認",IF($AC1770=0,"不支給","未処理")))))</f>
        <v/>
      </c>
      <c r="AE1770" s="12" t="n"/>
      <c r="AF1770" s="11" t="n"/>
      <c r="AG1770" s="11" t="n"/>
      <c r="AH1770" s="11" t="n"/>
      <c r="AI1770" s="14">
        <f>IF(AND($AD1770="保留中",$AF1770&lt;&gt;""),TODAY()-$AF1770,"")</f>
        <v/>
      </c>
      <c r="AJ1770" s="12" t="n"/>
      <c r="AK1770" s="14">
        <f>IF($B1770="","",IF($AO1770="","対象年月が未入力／","")&amp;IF($B1770="","",IF($AN1770="","職員マスタに未登録の職員番号／",IF($Y1770="","標準報酬月額が未登録／","")&amp;IF(AND($AO1770&lt;&gt;"",OR(AND(INDEX(職員マスタ!$G$6:$G$405,$AN1770)&lt;&gt;"",INDEX(職員マスタ!$G$6:$G$405,$AN1770)&gt;EOMONTH($AO1770,0)),AND(INDEX(職員マスタ!$H$6:$H$405,$AN1770)&lt;&gt;"",INDEX(職員マスタ!$H$6:$H$405,$AN1770)&lt;$AO1770))),"対象月が時短期間外／","")&amp;IF(AND(INDEX(職員マスタ!$F$6:$F$405,$AN1770)&lt;&gt;"",$AO1770&lt;&gt;"",INDEX(職員マスタ!$F$6:$F$405,$AN1770)&lt;$AO1770),"対象月に子が2歳到達済／","")&amp;IF(AND($H1770&lt;&gt;"",INDEX(職員マスタ!$B$6:$B$405,$AN1770)&lt;&gt;"",SUBSTITUTE(SUBSTITUTE($H1770," ","")," ","")&lt;&gt;SUBSTITUTE(SUBSTITUTE(INDEX(職員マスタ!$B$6:$B$405,$AN1770)," ","")," ","")),"氏名がマスタと相違／","")&amp;IF(AND($Q1770&lt;&gt;"",INDEX(職員マスタ!$E$6:$E$405,$AN1770)&lt;&gt;"",$Q1770&lt;&gt;INDEX(職員マスタ!$E$6:$E$405,$AN1770)),"子の生年月日がマスタと相違／","")&amp;IF(AND($L1770&lt;&gt;"",INDEX(職員マスタ!$G$6:$G$405,$AN1770)&lt;&gt;"",$L1770&lt;&gt;INDEX(職員マスタ!$G$6:$G$405,$AN1770)),"時短開始日がマスタと相違／","")&amp;IF(AND($M1770&lt;&gt;"",INDEX(職員マスタ!$H$6:$H$405,$AN1770)&lt;&gt;"",$M1770&lt;&gt;INDEX(職員マスタ!$H$6:$H$405,$AN1770)),"時短終了日がマスタと相違／","")))&amp;IF(AND($B1770&lt;&gt;"",$E1770=""),"報酬額が未入力／","")&amp;IF(N($U1770)&gt;0,"申請書に入力エラーが残っています／","")&amp;IF(AND($B1770&lt;&gt;"",$AO1770&lt;&gt;""),IF(COUNTIFS($B$6:$B$3005,$B1770,$C$6:$C$3005,$C1770,$D$6:$D$3005,$D1770)&gt;1,"同じ月の請求が重複しています／",""),"")&amp;IF(AND(N($E1770)&gt;0,$Z1770&lt;&gt;"",$Z1770&lt;&gt;"×",$AC1770=0,$AB1770=""),"計算額が下限以下のため不支給／",""))</f>
        <v/>
      </c>
      <c r="AL1770" s="12" t="n"/>
      <c r="AM1770" s="14">
        <f>IF($AD1770="保留中",COUNTIF($AD$6:$AD1770,"保留中"),"")</f>
        <v/>
      </c>
      <c r="AN1770" s="14">
        <f>IF($AO1770="","",IF(SUMPRODUCT(MAX((職員マスタ!$A$6:$A$405=$B1770)*(((職員マスタ!$G$6:$G$405="")+(職員マスタ!$G$6:$G$405&lt;=EOMONTH($AO1770,0)))&gt;0)*(((職員マスタ!$H$6:$H$405="")+(職員マスタ!$H$6:$H$405&gt;=$AO1770))&gt;0)*(ROW(職員マスタ!$A$6:$A$405)-5)))&gt;0,SUMPRODUCT(MAX((職員マスタ!$A$6:$A$405=$B1770)*(((職員マスタ!$G$6:$G$405="")+(職員マスタ!$G$6:$G$405&lt;=EOMONTH($AO1770,0)))&gt;0)*(((職員マスタ!$H$6:$H$405="")+(職員マスタ!$H$6:$H$405&gt;=$AO1770))&gt;0)*(ROW(職員マスタ!$A$6:$A$405)-5))),IFERROR(MATCH($B1770,職員マスタ!$A$6:$A$405,0),"")))</f>
        <v/>
      </c>
      <c r="AO1770" s="16">
        <f>IF(OR($B1770="",$C1770="",$D1770=""),"",DATE($C1770+2018,$D1770,1))</f>
        <v/>
      </c>
    </row>
    <row r="1771">
      <c r="A1771" s="11" t="n"/>
      <c r="B1771" s="12" t="n"/>
      <c r="C1771" s="12" t="n"/>
      <c r="D1771" s="12" t="n"/>
      <c r="E1771" s="13" t="n"/>
      <c r="F1771" s="12" t="n"/>
      <c r="G1771" s="13" t="n"/>
      <c r="H1771" s="12" t="n"/>
      <c r="I1771" s="12" t="n"/>
      <c r="J1771" s="12" t="n"/>
      <c r="K1771" s="12" t="n"/>
      <c r="L1771" s="11" t="n"/>
      <c r="M1771" s="11" t="n"/>
      <c r="N1771" s="11" t="n"/>
      <c r="O1771" s="11" t="n"/>
      <c r="P1771" s="12" t="n"/>
      <c r="Q1771" s="11" t="n"/>
      <c r="R1771" s="12" t="n"/>
      <c r="S1771" s="11" t="n"/>
      <c r="T1771" s="12" t="n"/>
      <c r="U1771" s="12" t="n"/>
      <c r="V1771" s="14">
        <f>IF($AN1771="",IF($B1771="","",$H1771),IF(INDEX(職員マスタ!$B$6:$B$405,$AN1771)="",$H1771,INDEX(職員マスタ!$B$6:$B$405,$AN1771)))</f>
        <v/>
      </c>
      <c r="W1771" s="14">
        <f>IF($AN1771="",IF($B1771="","",$R1771),IF(INDEX(職員マスタ!$C$6:$C$405,$AN1771)="",$R1771,INDEX(職員マスタ!$C$6:$C$405,$AN1771)))</f>
        <v/>
      </c>
      <c r="X1771" s="14">
        <f>IF($AO1771="","","R"&amp;$C1771&amp;"."&amp;$D1771)</f>
        <v/>
      </c>
      <c r="Y1771" s="15">
        <f>IF($AN1771="","",IF(INDEX(職員マスタ!$K$6:$K$405,$AN1771)="","",INDEX(職員マスタ!$K$6:$K$405,$AN1771)))</f>
        <v/>
      </c>
      <c r="Z1771" s="14">
        <f>IF(OR($E1771="",$Y1771=""),"",IF($E1771&gt;=$Y1771,"×",IF($E1771&gt;=$Y1771*設定!$C$5,"△","○")))</f>
        <v/>
      </c>
      <c r="AA1771" s="15">
        <f>IF($Z1771="","",IF($Z1771="×",0,IF($Z1771="○",ROUNDDOWN($E1771*設定!$C$4,0),ROUNDDOWN($E1771*ROUND((9*$Y1771-9*$E1771)/(10*$E1771),4),0))))</f>
        <v/>
      </c>
      <c r="AB1771" s="13" t="n"/>
      <c r="AC1771" s="15">
        <f>IF($B1771="","",IF($AB1771&lt;&gt;"",$AB1771,IF($AA1771="","",IF($AA1771&lt;=設定!$C$3,0,$AA1771))))</f>
        <v/>
      </c>
      <c r="AD1771" s="14">
        <f>IF($B1771="","",IF(AND($AE1771&lt;&gt;"",$AG1771="",$AJ1771=""),"保留中",IF($AJ1771&lt;&gt;"",IF(N($AC1771)&gt;0,"支給済","不支給"),IF($AC1771="","要確認",IF($AC1771=0,"不支給","未処理")))))</f>
        <v/>
      </c>
      <c r="AE1771" s="12" t="n"/>
      <c r="AF1771" s="11" t="n"/>
      <c r="AG1771" s="11" t="n"/>
      <c r="AH1771" s="11" t="n"/>
      <c r="AI1771" s="14">
        <f>IF(AND($AD1771="保留中",$AF1771&lt;&gt;""),TODAY()-$AF1771,"")</f>
        <v/>
      </c>
      <c r="AJ1771" s="12" t="n"/>
      <c r="AK1771" s="14">
        <f>IF($B1771="","",IF($AO1771="","対象年月が未入力／","")&amp;IF($B1771="","",IF($AN1771="","職員マスタに未登録の職員番号／",IF($Y1771="","標準報酬月額が未登録／","")&amp;IF(AND($AO1771&lt;&gt;"",OR(AND(INDEX(職員マスタ!$G$6:$G$405,$AN1771)&lt;&gt;"",INDEX(職員マスタ!$G$6:$G$405,$AN1771)&gt;EOMONTH($AO1771,0)),AND(INDEX(職員マスタ!$H$6:$H$405,$AN1771)&lt;&gt;"",INDEX(職員マスタ!$H$6:$H$405,$AN1771)&lt;$AO1771))),"対象月が時短期間外／","")&amp;IF(AND(INDEX(職員マスタ!$F$6:$F$405,$AN1771)&lt;&gt;"",$AO1771&lt;&gt;"",INDEX(職員マスタ!$F$6:$F$405,$AN1771)&lt;$AO1771),"対象月に子が2歳到達済／","")&amp;IF(AND($H1771&lt;&gt;"",INDEX(職員マスタ!$B$6:$B$405,$AN1771)&lt;&gt;"",SUBSTITUTE(SUBSTITUTE($H1771," ","")," ","")&lt;&gt;SUBSTITUTE(SUBSTITUTE(INDEX(職員マスタ!$B$6:$B$405,$AN1771)," ","")," ","")),"氏名がマスタと相違／","")&amp;IF(AND($Q1771&lt;&gt;"",INDEX(職員マスタ!$E$6:$E$405,$AN1771)&lt;&gt;"",$Q1771&lt;&gt;INDEX(職員マスタ!$E$6:$E$405,$AN1771)),"子の生年月日がマスタと相違／","")&amp;IF(AND($L1771&lt;&gt;"",INDEX(職員マスタ!$G$6:$G$405,$AN1771)&lt;&gt;"",$L1771&lt;&gt;INDEX(職員マスタ!$G$6:$G$405,$AN1771)),"時短開始日がマスタと相違／","")&amp;IF(AND($M1771&lt;&gt;"",INDEX(職員マスタ!$H$6:$H$405,$AN1771)&lt;&gt;"",$M1771&lt;&gt;INDEX(職員マスタ!$H$6:$H$405,$AN1771)),"時短終了日がマスタと相違／","")))&amp;IF(AND($B1771&lt;&gt;"",$E1771=""),"報酬額が未入力／","")&amp;IF(N($U1771)&gt;0,"申請書に入力エラーが残っています／","")&amp;IF(AND($B1771&lt;&gt;"",$AO1771&lt;&gt;""),IF(COUNTIFS($B$6:$B$3005,$B1771,$C$6:$C$3005,$C1771,$D$6:$D$3005,$D1771)&gt;1,"同じ月の請求が重複しています／",""),"")&amp;IF(AND(N($E1771)&gt;0,$Z1771&lt;&gt;"",$Z1771&lt;&gt;"×",$AC1771=0,$AB1771=""),"計算額が下限以下のため不支給／",""))</f>
        <v/>
      </c>
      <c r="AL1771" s="12" t="n"/>
      <c r="AM1771" s="14">
        <f>IF($AD1771="保留中",COUNTIF($AD$6:$AD1771,"保留中"),"")</f>
        <v/>
      </c>
      <c r="AN1771" s="14">
        <f>IF($AO1771="","",IF(SUMPRODUCT(MAX((職員マスタ!$A$6:$A$405=$B1771)*(((職員マスタ!$G$6:$G$405="")+(職員マスタ!$G$6:$G$405&lt;=EOMONTH($AO1771,0)))&gt;0)*(((職員マスタ!$H$6:$H$405="")+(職員マスタ!$H$6:$H$405&gt;=$AO1771))&gt;0)*(ROW(職員マスタ!$A$6:$A$405)-5)))&gt;0,SUMPRODUCT(MAX((職員マスタ!$A$6:$A$405=$B1771)*(((職員マスタ!$G$6:$G$405="")+(職員マスタ!$G$6:$G$405&lt;=EOMONTH($AO1771,0)))&gt;0)*(((職員マスタ!$H$6:$H$405="")+(職員マスタ!$H$6:$H$405&gt;=$AO1771))&gt;0)*(ROW(職員マスタ!$A$6:$A$405)-5))),IFERROR(MATCH($B1771,職員マスタ!$A$6:$A$405,0),"")))</f>
        <v/>
      </c>
      <c r="AO1771" s="16">
        <f>IF(OR($B1771="",$C1771="",$D1771=""),"",DATE($C1771+2018,$D1771,1))</f>
        <v/>
      </c>
    </row>
    <row r="1772">
      <c r="A1772" s="11" t="n"/>
      <c r="B1772" s="12" t="n"/>
      <c r="C1772" s="12" t="n"/>
      <c r="D1772" s="12" t="n"/>
      <c r="E1772" s="13" t="n"/>
      <c r="F1772" s="12" t="n"/>
      <c r="G1772" s="13" t="n"/>
      <c r="H1772" s="12" t="n"/>
      <c r="I1772" s="12" t="n"/>
      <c r="J1772" s="12" t="n"/>
      <c r="K1772" s="12" t="n"/>
      <c r="L1772" s="11" t="n"/>
      <c r="M1772" s="11" t="n"/>
      <c r="N1772" s="11" t="n"/>
      <c r="O1772" s="11" t="n"/>
      <c r="P1772" s="12" t="n"/>
      <c r="Q1772" s="11" t="n"/>
      <c r="R1772" s="12" t="n"/>
      <c r="S1772" s="11" t="n"/>
      <c r="T1772" s="12" t="n"/>
      <c r="U1772" s="12" t="n"/>
      <c r="V1772" s="14">
        <f>IF($AN1772="",IF($B1772="","",$H1772),IF(INDEX(職員マスタ!$B$6:$B$405,$AN1772)="",$H1772,INDEX(職員マスタ!$B$6:$B$405,$AN1772)))</f>
        <v/>
      </c>
      <c r="W1772" s="14">
        <f>IF($AN1772="",IF($B1772="","",$R1772),IF(INDEX(職員マスタ!$C$6:$C$405,$AN1772)="",$R1772,INDEX(職員マスタ!$C$6:$C$405,$AN1772)))</f>
        <v/>
      </c>
      <c r="X1772" s="14">
        <f>IF($AO1772="","","R"&amp;$C1772&amp;"."&amp;$D1772)</f>
        <v/>
      </c>
      <c r="Y1772" s="15">
        <f>IF($AN1772="","",IF(INDEX(職員マスタ!$K$6:$K$405,$AN1772)="","",INDEX(職員マスタ!$K$6:$K$405,$AN1772)))</f>
        <v/>
      </c>
      <c r="Z1772" s="14">
        <f>IF(OR($E1772="",$Y1772=""),"",IF($E1772&gt;=$Y1772,"×",IF($E1772&gt;=$Y1772*設定!$C$5,"△","○")))</f>
        <v/>
      </c>
      <c r="AA1772" s="15">
        <f>IF($Z1772="","",IF($Z1772="×",0,IF($Z1772="○",ROUNDDOWN($E1772*設定!$C$4,0),ROUNDDOWN($E1772*ROUND((9*$Y1772-9*$E1772)/(10*$E1772),4),0))))</f>
        <v/>
      </c>
      <c r="AB1772" s="13" t="n"/>
      <c r="AC1772" s="15">
        <f>IF($B1772="","",IF($AB1772&lt;&gt;"",$AB1772,IF($AA1772="","",IF($AA1772&lt;=設定!$C$3,0,$AA1772))))</f>
        <v/>
      </c>
      <c r="AD1772" s="14">
        <f>IF($B1772="","",IF(AND($AE1772&lt;&gt;"",$AG1772="",$AJ1772=""),"保留中",IF($AJ1772&lt;&gt;"",IF(N($AC1772)&gt;0,"支給済","不支給"),IF($AC1772="","要確認",IF($AC1772=0,"不支給","未処理")))))</f>
        <v/>
      </c>
      <c r="AE1772" s="12" t="n"/>
      <c r="AF1772" s="11" t="n"/>
      <c r="AG1772" s="11" t="n"/>
      <c r="AH1772" s="11" t="n"/>
      <c r="AI1772" s="14">
        <f>IF(AND($AD1772="保留中",$AF1772&lt;&gt;""),TODAY()-$AF1772,"")</f>
        <v/>
      </c>
      <c r="AJ1772" s="12" t="n"/>
      <c r="AK1772" s="14">
        <f>IF($B1772="","",IF($AO1772="","対象年月が未入力／","")&amp;IF($B1772="","",IF($AN1772="","職員マスタに未登録の職員番号／",IF($Y1772="","標準報酬月額が未登録／","")&amp;IF(AND($AO1772&lt;&gt;"",OR(AND(INDEX(職員マスタ!$G$6:$G$405,$AN1772)&lt;&gt;"",INDEX(職員マスタ!$G$6:$G$405,$AN1772)&gt;EOMONTH($AO1772,0)),AND(INDEX(職員マスタ!$H$6:$H$405,$AN1772)&lt;&gt;"",INDEX(職員マスタ!$H$6:$H$405,$AN1772)&lt;$AO1772))),"対象月が時短期間外／","")&amp;IF(AND(INDEX(職員マスタ!$F$6:$F$405,$AN1772)&lt;&gt;"",$AO1772&lt;&gt;"",INDEX(職員マスタ!$F$6:$F$405,$AN1772)&lt;$AO1772),"対象月に子が2歳到達済／","")&amp;IF(AND($H1772&lt;&gt;"",INDEX(職員マスタ!$B$6:$B$405,$AN1772)&lt;&gt;"",SUBSTITUTE(SUBSTITUTE($H1772," ","")," ","")&lt;&gt;SUBSTITUTE(SUBSTITUTE(INDEX(職員マスタ!$B$6:$B$405,$AN1772)," ","")," ","")),"氏名がマスタと相違／","")&amp;IF(AND($Q1772&lt;&gt;"",INDEX(職員マスタ!$E$6:$E$405,$AN1772)&lt;&gt;"",$Q1772&lt;&gt;INDEX(職員マスタ!$E$6:$E$405,$AN1772)),"子の生年月日がマスタと相違／","")&amp;IF(AND($L1772&lt;&gt;"",INDEX(職員マスタ!$G$6:$G$405,$AN1772)&lt;&gt;"",$L1772&lt;&gt;INDEX(職員マスタ!$G$6:$G$405,$AN1772)),"時短開始日がマスタと相違／","")&amp;IF(AND($M1772&lt;&gt;"",INDEX(職員マスタ!$H$6:$H$405,$AN1772)&lt;&gt;"",$M1772&lt;&gt;INDEX(職員マスタ!$H$6:$H$405,$AN1772)),"時短終了日がマスタと相違／","")))&amp;IF(AND($B1772&lt;&gt;"",$E1772=""),"報酬額が未入力／","")&amp;IF(N($U1772)&gt;0,"申請書に入力エラーが残っています／","")&amp;IF(AND($B1772&lt;&gt;"",$AO1772&lt;&gt;""),IF(COUNTIFS($B$6:$B$3005,$B1772,$C$6:$C$3005,$C1772,$D$6:$D$3005,$D1772)&gt;1,"同じ月の請求が重複しています／",""),"")&amp;IF(AND(N($E1772)&gt;0,$Z1772&lt;&gt;"",$Z1772&lt;&gt;"×",$AC1772=0,$AB1772=""),"計算額が下限以下のため不支給／",""))</f>
        <v/>
      </c>
      <c r="AL1772" s="12" t="n"/>
      <c r="AM1772" s="14">
        <f>IF($AD1772="保留中",COUNTIF($AD$6:$AD1772,"保留中"),"")</f>
        <v/>
      </c>
      <c r="AN1772" s="14">
        <f>IF($AO1772="","",IF(SUMPRODUCT(MAX((職員マスタ!$A$6:$A$405=$B1772)*(((職員マスタ!$G$6:$G$405="")+(職員マスタ!$G$6:$G$405&lt;=EOMONTH($AO1772,0)))&gt;0)*(((職員マスタ!$H$6:$H$405="")+(職員マスタ!$H$6:$H$405&gt;=$AO1772))&gt;0)*(ROW(職員マスタ!$A$6:$A$405)-5)))&gt;0,SUMPRODUCT(MAX((職員マスタ!$A$6:$A$405=$B1772)*(((職員マスタ!$G$6:$G$405="")+(職員マスタ!$G$6:$G$405&lt;=EOMONTH($AO1772,0)))&gt;0)*(((職員マスタ!$H$6:$H$405="")+(職員マスタ!$H$6:$H$405&gt;=$AO1772))&gt;0)*(ROW(職員マスタ!$A$6:$A$405)-5))),IFERROR(MATCH($B1772,職員マスタ!$A$6:$A$405,0),"")))</f>
        <v/>
      </c>
      <c r="AO1772" s="16">
        <f>IF(OR($B1772="",$C1772="",$D1772=""),"",DATE($C1772+2018,$D1772,1))</f>
        <v/>
      </c>
    </row>
    <row r="1773">
      <c r="A1773" s="11" t="n"/>
      <c r="B1773" s="12" t="n"/>
      <c r="C1773" s="12" t="n"/>
      <c r="D1773" s="12" t="n"/>
      <c r="E1773" s="13" t="n"/>
      <c r="F1773" s="12" t="n"/>
      <c r="G1773" s="13" t="n"/>
      <c r="H1773" s="12" t="n"/>
      <c r="I1773" s="12" t="n"/>
      <c r="J1773" s="12" t="n"/>
      <c r="K1773" s="12" t="n"/>
      <c r="L1773" s="11" t="n"/>
      <c r="M1773" s="11" t="n"/>
      <c r="N1773" s="11" t="n"/>
      <c r="O1773" s="11" t="n"/>
      <c r="P1773" s="12" t="n"/>
      <c r="Q1773" s="11" t="n"/>
      <c r="R1773" s="12" t="n"/>
      <c r="S1773" s="11" t="n"/>
      <c r="T1773" s="12" t="n"/>
      <c r="U1773" s="12" t="n"/>
      <c r="V1773" s="14">
        <f>IF($AN1773="",IF($B1773="","",$H1773),IF(INDEX(職員マスタ!$B$6:$B$405,$AN1773)="",$H1773,INDEX(職員マスタ!$B$6:$B$405,$AN1773)))</f>
        <v/>
      </c>
      <c r="W1773" s="14">
        <f>IF($AN1773="",IF($B1773="","",$R1773),IF(INDEX(職員マスタ!$C$6:$C$405,$AN1773)="",$R1773,INDEX(職員マスタ!$C$6:$C$405,$AN1773)))</f>
        <v/>
      </c>
      <c r="X1773" s="14">
        <f>IF($AO1773="","","R"&amp;$C1773&amp;"."&amp;$D1773)</f>
        <v/>
      </c>
      <c r="Y1773" s="15">
        <f>IF($AN1773="","",IF(INDEX(職員マスタ!$K$6:$K$405,$AN1773)="","",INDEX(職員マスタ!$K$6:$K$405,$AN1773)))</f>
        <v/>
      </c>
      <c r="Z1773" s="14">
        <f>IF(OR($E1773="",$Y1773=""),"",IF($E1773&gt;=$Y1773,"×",IF($E1773&gt;=$Y1773*設定!$C$5,"△","○")))</f>
        <v/>
      </c>
      <c r="AA1773" s="15">
        <f>IF($Z1773="","",IF($Z1773="×",0,IF($Z1773="○",ROUNDDOWN($E1773*設定!$C$4,0),ROUNDDOWN($E1773*ROUND((9*$Y1773-9*$E1773)/(10*$E1773),4),0))))</f>
        <v/>
      </c>
      <c r="AB1773" s="13" t="n"/>
      <c r="AC1773" s="15">
        <f>IF($B1773="","",IF($AB1773&lt;&gt;"",$AB1773,IF($AA1773="","",IF($AA1773&lt;=設定!$C$3,0,$AA1773))))</f>
        <v/>
      </c>
      <c r="AD1773" s="14">
        <f>IF($B1773="","",IF(AND($AE1773&lt;&gt;"",$AG1773="",$AJ1773=""),"保留中",IF($AJ1773&lt;&gt;"",IF(N($AC1773)&gt;0,"支給済","不支給"),IF($AC1773="","要確認",IF($AC1773=0,"不支給","未処理")))))</f>
        <v/>
      </c>
      <c r="AE1773" s="12" t="n"/>
      <c r="AF1773" s="11" t="n"/>
      <c r="AG1773" s="11" t="n"/>
      <c r="AH1773" s="11" t="n"/>
      <c r="AI1773" s="14">
        <f>IF(AND($AD1773="保留中",$AF1773&lt;&gt;""),TODAY()-$AF1773,"")</f>
        <v/>
      </c>
      <c r="AJ1773" s="12" t="n"/>
      <c r="AK1773" s="14">
        <f>IF($B1773="","",IF($AO1773="","対象年月が未入力／","")&amp;IF($B1773="","",IF($AN1773="","職員マスタに未登録の職員番号／",IF($Y1773="","標準報酬月額が未登録／","")&amp;IF(AND($AO1773&lt;&gt;"",OR(AND(INDEX(職員マスタ!$G$6:$G$405,$AN1773)&lt;&gt;"",INDEX(職員マスタ!$G$6:$G$405,$AN1773)&gt;EOMONTH($AO1773,0)),AND(INDEX(職員マスタ!$H$6:$H$405,$AN1773)&lt;&gt;"",INDEX(職員マスタ!$H$6:$H$405,$AN1773)&lt;$AO1773))),"対象月が時短期間外／","")&amp;IF(AND(INDEX(職員マスタ!$F$6:$F$405,$AN1773)&lt;&gt;"",$AO1773&lt;&gt;"",INDEX(職員マスタ!$F$6:$F$405,$AN1773)&lt;$AO1773),"対象月に子が2歳到達済／","")&amp;IF(AND($H1773&lt;&gt;"",INDEX(職員マスタ!$B$6:$B$405,$AN1773)&lt;&gt;"",SUBSTITUTE(SUBSTITUTE($H1773," ","")," ","")&lt;&gt;SUBSTITUTE(SUBSTITUTE(INDEX(職員マスタ!$B$6:$B$405,$AN1773)," ","")," ","")),"氏名がマスタと相違／","")&amp;IF(AND($Q1773&lt;&gt;"",INDEX(職員マスタ!$E$6:$E$405,$AN1773)&lt;&gt;"",$Q1773&lt;&gt;INDEX(職員マスタ!$E$6:$E$405,$AN1773)),"子の生年月日がマスタと相違／","")&amp;IF(AND($L1773&lt;&gt;"",INDEX(職員マスタ!$G$6:$G$405,$AN1773)&lt;&gt;"",$L1773&lt;&gt;INDEX(職員マスタ!$G$6:$G$405,$AN1773)),"時短開始日がマスタと相違／","")&amp;IF(AND($M1773&lt;&gt;"",INDEX(職員マスタ!$H$6:$H$405,$AN1773)&lt;&gt;"",$M1773&lt;&gt;INDEX(職員マスタ!$H$6:$H$405,$AN1773)),"時短終了日がマスタと相違／","")))&amp;IF(AND($B1773&lt;&gt;"",$E1773=""),"報酬額が未入力／","")&amp;IF(N($U1773)&gt;0,"申請書に入力エラーが残っています／","")&amp;IF(AND($B1773&lt;&gt;"",$AO1773&lt;&gt;""),IF(COUNTIFS($B$6:$B$3005,$B1773,$C$6:$C$3005,$C1773,$D$6:$D$3005,$D1773)&gt;1,"同じ月の請求が重複しています／",""),"")&amp;IF(AND(N($E1773)&gt;0,$Z1773&lt;&gt;"",$Z1773&lt;&gt;"×",$AC1773=0,$AB1773=""),"計算額が下限以下のため不支給／",""))</f>
        <v/>
      </c>
      <c r="AL1773" s="12" t="n"/>
      <c r="AM1773" s="14">
        <f>IF($AD1773="保留中",COUNTIF($AD$6:$AD1773,"保留中"),"")</f>
        <v/>
      </c>
      <c r="AN1773" s="14">
        <f>IF($AO1773="","",IF(SUMPRODUCT(MAX((職員マスタ!$A$6:$A$405=$B1773)*(((職員マスタ!$G$6:$G$405="")+(職員マスタ!$G$6:$G$405&lt;=EOMONTH($AO1773,0)))&gt;0)*(((職員マスタ!$H$6:$H$405="")+(職員マスタ!$H$6:$H$405&gt;=$AO1773))&gt;0)*(ROW(職員マスタ!$A$6:$A$405)-5)))&gt;0,SUMPRODUCT(MAX((職員マスタ!$A$6:$A$405=$B1773)*(((職員マスタ!$G$6:$G$405="")+(職員マスタ!$G$6:$G$405&lt;=EOMONTH($AO1773,0)))&gt;0)*(((職員マスタ!$H$6:$H$405="")+(職員マスタ!$H$6:$H$405&gt;=$AO1773))&gt;0)*(ROW(職員マスタ!$A$6:$A$405)-5))),IFERROR(MATCH($B1773,職員マスタ!$A$6:$A$405,0),"")))</f>
        <v/>
      </c>
      <c r="AO1773" s="16">
        <f>IF(OR($B1773="",$C1773="",$D1773=""),"",DATE($C1773+2018,$D1773,1))</f>
        <v/>
      </c>
    </row>
    <row r="1774">
      <c r="A1774" s="11" t="n"/>
      <c r="B1774" s="12" t="n"/>
      <c r="C1774" s="12" t="n"/>
      <c r="D1774" s="12" t="n"/>
      <c r="E1774" s="13" t="n"/>
      <c r="F1774" s="12" t="n"/>
      <c r="G1774" s="13" t="n"/>
      <c r="H1774" s="12" t="n"/>
      <c r="I1774" s="12" t="n"/>
      <c r="J1774" s="12" t="n"/>
      <c r="K1774" s="12" t="n"/>
      <c r="L1774" s="11" t="n"/>
      <c r="M1774" s="11" t="n"/>
      <c r="N1774" s="11" t="n"/>
      <c r="O1774" s="11" t="n"/>
      <c r="P1774" s="12" t="n"/>
      <c r="Q1774" s="11" t="n"/>
      <c r="R1774" s="12" t="n"/>
      <c r="S1774" s="11" t="n"/>
      <c r="T1774" s="12" t="n"/>
      <c r="U1774" s="12" t="n"/>
      <c r="V1774" s="14">
        <f>IF($AN1774="",IF($B1774="","",$H1774),IF(INDEX(職員マスタ!$B$6:$B$405,$AN1774)="",$H1774,INDEX(職員マスタ!$B$6:$B$405,$AN1774)))</f>
        <v/>
      </c>
      <c r="W1774" s="14">
        <f>IF($AN1774="",IF($B1774="","",$R1774),IF(INDEX(職員マスタ!$C$6:$C$405,$AN1774)="",$R1774,INDEX(職員マスタ!$C$6:$C$405,$AN1774)))</f>
        <v/>
      </c>
      <c r="X1774" s="14">
        <f>IF($AO1774="","","R"&amp;$C1774&amp;"."&amp;$D1774)</f>
        <v/>
      </c>
      <c r="Y1774" s="15">
        <f>IF($AN1774="","",IF(INDEX(職員マスタ!$K$6:$K$405,$AN1774)="","",INDEX(職員マスタ!$K$6:$K$405,$AN1774)))</f>
        <v/>
      </c>
      <c r="Z1774" s="14">
        <f>IF(OR($E1774="",$Y1774=""),"",IF($E1774&gt;=$Y1774,"×",IF($E1774&gt;=$Y1774*設定!$C$5,"△","○")))</f>
        <v/>
      </c>
      <c r="AA1774" s="15">
        <f>IF($Z1774="","",IF($Z1774="×",0,IF($Z1774="○",ROUNDDOWN($E1774*設定!$C$4,0),ROUNDDOWN($E1774*ROUND((9*$Y1774-9*$E1774)/(10*$E1774),4),0))))</f>
        <v/>
      </c>
      <c r="AB1774" s="13" t="n"/>
      <c r="AC1774" s="15">
        <f>IF($B1774="","",IF($AB1774&lt;&gt;"",$AB1774,IF($AA1774="","",IF($AA1774&lt;=設定!$C$3,0,$AA1774))))</f>
        <v/>
      </c>
      <c r="AD1774" s="14">
        <f>IF($B1774="","",IF(AND($AE1774&lt;&gt;"",$AG1774="",$AJ1774=""),"保留中",IF($AJ1774&lt;&gt;"",IF(N($AC1774)&gt;0,"支給済","不支給"),IF($AC1774="","要確認",IF($AC1774=0,"不支給","未処理")))))</f>
        <v/>
      </c>
      <c r="AE1774" s="12" t="n"/>
      <c r="AF1774" s="11" t="n"/>
      <c r="AG1774" s="11" t="n"/>
      <c r="AH1774" s="11" t="n"/>
      <c r="AI1774" s="14">
        <f>IF(AND($AD1774="保留中",$AF1774&lt;&gt;""),TODAY()-$AF1774,"")</f>
        <v/>
      </c>
      <c r="AJ1774" s="12" t="n"/>
      <c r="AK1774" s="14">
        <f>IF($B1774="","",IF($AO1774="","対象年月が未入力／","")&amp;IF($B1774="","",IF($AN1774="","職員マスタに未登録の職員番号／",IF($Y1774="","標準報酬月額が未登録／","")&amp;IF(AND($AO1774&lt;&gt;"",OR(AND(INDEX(職員マスタ!$G$6:$G$405,$AN1774)&lt;&gt;"",INDEX(職員マスタ!$G$6:$G$405,$AN1774)&gt;EOMONTH($AO1774,0)),AND(INDEX(職員マスタ!$H$6:$H$405,$AN1774)&lt;&gt;"",INDEX(職員マスタ!$H$6:$H$405,$AN1774)&lt;$AO1774))),"対象月が時短期間外／","")&amp;IF(AND(INDEX(職員マスタ!$F$6:$F$405,$AN1774)&lt;&gt;"",$AO1774&lt;&gt;"",INDEX(職員マスタ!$F$6:$F$405,$AN1774)&lt;$AO1774),"対象月に子が2歳到達済／","")&amp;IF(AND($H1774&lt;&gt;"",INDEX(職員マスタ!$B$6:$B$405,$AN1774)&lt;&gt;"",SUBSTITUTE(SUBSTITUTE($H1774," ","")," ","")&lt;&gt;SUBSTITUTE(SUBSTITUTE(INDEX(職員マスタ!$B$6:$B$405,$AN1774)," ","")," ","")),"氏名がマスタと相違／","")&amp;IF(AND($Q1774&lt;&gt;"",INDEX(職員マスタ!$E$6:$E$405,$AN1774)&lt;&gt;"",$Q1774&lt;&gt;INDEX(職員マスタ!$E$6:$E$405,$AN1774)),"子の生年月日がマスタと相違／","")&amp;IF(AND($L1774&lt;&gt;"",INDEX(職員マスタ!$G$6:$G$405,$AN1774)&lt;&gt;"",$L1774&lt;&gt;INDEX(職員マスタ!$G$6:$G$405,$AN1774)),"時短開始日がマスタと相違／","")&amp;IF(AND($M1774&lt;&gt;"",INDEX(職員マスタ!$H$6:$H$405,$AN1774)&lt;&gt;"",$M1774&lt;&gt;INDEX(職員マスタ!$H$6:$H$405,$AN1774)),"時短終了日がマスタと相違／","")))&amp;IF(AND($B1774&lt;&gt;"",$E1774=""),"報酬額が未入力／","")&amp;IF(N($U1774)&gt;0,"申請書に入力エラーが残っています／","")&amp;IF(AND($B1774&lt;&gt;"",$AO1774&lt;&gt;""),IF(COUNTIFS($B$6:$B$3005,$B1774,$C$6:$C$3005,$C1774,$D$6:$D$3005,$D1774)&gt;1,"同じ月の請求が重複しています／",""),"")&amp;IF(AND(N($E1774)&gt;0,$Z1774&lt;&gt;"",$Z1774&lt;&gt;"×",$AC1774=0,$AB1774=""),"計算額が下限以下のため不支給／",""))</f>
        <v/>
      </c>
      <c r="AL1774" s="12" t="n"/>
      <c r="AM1774" s="14">
        <f>IF($AD1774="保留中",COUNTIF($AD$6:$AD1774,"保留中"),"")</f>
        <v/>
      </c>
      <c r="AN1774" s="14">
        <f>IF($AO1774="","",IF(SUMPRODUCT(MAX((職員マスタ!$A$6:$A$405=$B1774)*(((職員マスタ!$G$6:$G$405="")+(職員マスタ!$G$6:$G$405&lt;=EOMONTH($AO1774,0)))&gt;0)*(((職員マスタ!$H$6:$H$405="")+(職員マスタ!$H$6:$H$405&gt;=$AO1774))&gt;0)*(ROW(職員マスタ!$A$6:$A$405)-5)))&gt;0,SUMPRODUCT(MAX((職員マスタ!$A$6:$A$405=$B1774)*(((職員マスタ!$G$6:$G$405="")+(職員マスタ!$G$6:$G$405&lt;=EOMONTH($AO1774,0)))&gt;0)*(((職員マスタ!$H$6:$H$405="")+(職員マスタ!$H$6:$H$405&gt;=$AO1774))&gt;0)*(ROW(職員マスタ!$A$6:$A$405)-5))),IFERROR(MATCH($B1774,職員マスタ!$A$6:$A$405,0),"")))</f>
        <v/>
      </c>
      <c r="AO1774" s="16">
        <f>IF(OR($B1774="",$C1774="",$D1774=""),"",DATE($C1774+2018,$D1774,1))</f>
        <v/>
      </c>
    </row>
    <row r="1775">
      <c r="A1775" s="11" t="n"/>
      <c r="B1775" s="12" t="n"/>
      <c r="C1775" s="12" t="n"/>
      <c r="D1775" s="12" t="n"/>
      <c r="E1775" s="13" t="n"/>
      <c r="F1775" s="12" t="n"/>
      <c r="G1775" s="13" t="n"/>
      <c r="H1775" s="12" t="n"/>
      <c r="I1775" s="12" t="n"/>
      <c r="J1775" s="12" t="n"/>
      <c r="K1775" s="12" t="n"/>
      <c r="L1775" s="11" t="n"/>
      <c r="M1775" s="11" t="n"/>
      <c r="N1775" s="11" t="n"/>
      <c r="O1775" s="11" t="n"/>
      <c r="P1775" s="12" t="n"/>
      <c r="Q1775" s="11" t="n"/>
      <c r="R1775" s="12" t="n"/>
      <c r="S1775" s="11" t="n"/>
      <c r="T1775" s="12" t="n"/>
      <c r="U1775" s="12" t="n"/>
      <c r="V1775" s="14">
        <f>IF($AN1775="",IF($B1775="","",$H1775),IF(INDEX(職員マスタ!$B$6:$B$405,$AN1775)="",$H1775,INDEX(職員マスタ!$B$6:$B$405,$AN1775)))</f>
        <v/>
      </c>
      <c r="W1775" s="14">
        <f>IF($AN1775="",IF($B1775="","",$R1775),IF(INDEX(職員マスタ!$C$6:$C$405,$AN1775)="",$R1775,INDEX(職員マスタ!$C$6:$C$405,$AN1775)))</f>
        <v/>
      </c>
      <c r="X1775" s="14">
        <f>IF($AO1775="","","R"&amp;$C1775&amp;"."&amp;$D1775)</f>
        <v/>
      </c>
      <c r="Y1775" s="15">
        <f>IF($AN1775="","",IF(INDEX(職員マスタ!$K$6:$K$405,$AN1775)="","",INDEX(職員マスタ!$K$6:$K$405,$AN1775)))</f>
        <v/>
      </c>
      <c r="Z1775" s="14">
        <f>IF(OR($E1775="",$Y1775=""),"",IF($E1775&gt;=$Y1775,"×",IF($E1775&gt;=$Y1775*設定!$C$5,"△","○")))</f>
        <v/>
      </c>
      <c r="AA1775" s="15">
        <f>IF($Z1775="","",IF($Z1775="×",0,IF($Z1775="○",ROUNDDOWN($E1775*設定!$C$4,0),ROUNDDOWN($E1775*ROUND((9*$Y1775-9*$E1775)/(10*$E1775),4),0))))</f>
        <v/>
      </c>
      <c r="AB1775" s="13" t="n"/>
      <c r="AC1775" s="15">
        <f>IF($B1775="","",IF($AB1775&lt;&gt;"",$AB1775,IF($AA1775="","",IF($AA1775&lt;=設定!$C$3,0,$AA1775))))</f>
        <v/>
      </c>
      <c r="AD1775" s="14">
        <f>IF($B1775="","",IF(AND($AE1775&lt;&gt;"",$AG1775="",$AJ1775=""),"保留中",IF($AJ1775&lt;&gt;"",IF(N($AC1775)&gt;0,"支給済","不支給"),IF($AC1775="","要確認",IF($AC1775=0,"不支給","未処理")))))</f>
        <v/>
      </c>
      <c r="AE1775" s="12" t="n"/>
      <c r="AF1775" s="11" t="n"/>
      <c r="AG1775" s="11" t="n"/>
      <c r="AH1775" s="11" t="n"/>
      <c r="AI1775" s="14">
        <f>IF(AND($AD1775="保留中",$AF1775&lt;&gt;""),TODAY()-$AF1775,"")</f>
        <v/>
      </c>
      <c r="AJ1775" s="12" t="n"/>
      <c r="AK1775" s="14">
        <f>IF($B1775="","",IF($AO1775="","対象年月が未入力／","")&amp;IF($B1775="","",IF($AN1775="","職員マスタに未登録の職員番号／",IF($Y1775="","標準報酬月額が未登録／","")&amp;IF(AND($AO1775&lt;&gt;"",OR(AND(INDEX(職員マスタ!$G$6:$G$405,$AN1775)&lt;&gt;"",INDEX(職員マスタ!$G$6:$G$405,$AN1775)&gt;EOMONTH($AO1775,0)),AND(INDEX(職員マスタ!$H$6:$H$405,$AN1775)&lt;&gt;"",INDEX(職員マスタ!$H$6:$H$405,$AN1775)&lt;$AO1775))),"対象月が時短期間外／","")&amp;IF(AND(INDEX(職員マスタ!$F$6:$F$405,$AN1775)&lt;&gt;"",$AO1775&lt;&gt;"",INDEX(職員マスタ!$F$6:$F$405,$AN1775)&lt;$AO1775),"対象月に子が2歳到達済／","")&amp;IF(AND($H1775&lt;&gt;"",INDEX(職員マスタ!$B$6:$B$405,$AN1775)&lt;&gt;"",SUBSTITUTE(SUBSTITUTE($H1775," ","")," ","")&lt;&gt;SUBSTITUTE(SUBSTITUTE(INDEX(職員マスタ!$B$6:$B$405,$AN1775)," ","")," ","")),"氏名がマスタと相違／","")&amp;IF(AND($Q1775&lt;&gt;"",INDEX(職員マスタ!$E$6:$E$405,$AN1775)&lt;&gt;"",$Q1775&lt;&gt;INDEX(職員マスタ!$E$6:$E$405,$AN1775)),"子の生年月日がマスタと相違／","")&amp;IF(AND($L1775&lt;&gt;"",INDEX(職員マスタ!$G$6:$G$405,$AN1775)&lt;&gt;"",$L1775&lt;&gt;INDEX(職員マスタ!$G$6:$G$405,$AN1775)),"時短開始日がマスタと相違／","")&amp;IF(AND($M1775&lt;&gt;"",INDEX(職員マスタ!$H$6:$H$405,$AN1775)&lt;&gt;"",$M1775&lt;&gt;INDEX(職員マスタ!$H$6:$H$405,$AN1775)),"時短終了日がマスタと相違／","")))&amp;IF(AND($B1775&lt;&gt;"",$E1775=""),"報酬額が未入力／","")&amp;IF(N($U1775)&gt;0,"申請書に入力エラーが残っています／","")&amp;IF(AND($B1775&lt;&gt;"",$AO1775&lt;&gt;""),IF(COUNTIFS($B$6:$B$3005,$B1775,$C$6:$C$3005,$C1775,$D$6:$D$3005,$D1775)&gt;1,"同じ月の請求が重複しています／",""),"")&amp;IF(AND(N($E1775)&gt;0,$Z1775&lt;&gt;"",$Z1775&lt;&gt;"×",$AC1775=0,$AB1775=""),"計算額が下限以下のため不支給／",""))</f>
        <v/>
      </c>
      <c r="AL1775" s="12" t="n"/>
      <c r="AM1775" s="14">
        <f>IF($AD1775="保留中",COUNTIF($AD$6:$AD1775,"保留中"),"")</f>
        <v/>
      </c>
      <c r="AN1775" s="14">
        <f>IF($AO1775="","",IF(SUMPRODUCT(MAX((職員マスタ!$A$6:$A$405=$B1775)*(((職員マスタ!$G$6:$G$405="")+(職員マスタ!$G$6:$G$405&lt;=EOMONTH($AO1775,0)))&gt;0)*(((職員マスタ!$H$6:$H$405="")+(職員マスタ!$H$6:$H$405&gt;=$AO1775))&gt;0)*(ROW(職員マスタ!$A$6:$A$405)-5)))&gt;0,SUMPRODUCT(MAX((職員マスタ!$A$6:$A$405=$B1775)*(((職員マスタ!$G$6:$G$405="")+(職員マスタ!$G$6:$G$405&lt;=EOMONTH($AO1775,0)))&gt;0)*(((職員マスタ!$H$6:$H$405="")+(職員マスタ!$H$6:$H$405&gt;=$AO1775))&gt;0)*(ROW(職員マスタ!$A$6:$A$405)-5))),IFERROR(MATCH($B1775,職員マスタ!$A$6:$A$405,0),"")))</f>
        <v/>
      </c>
      <c r="AO1775" s="16">
        <f>IF(OR($B1775="",$C1775="",$D1775=""),"",DATE($C1775+2018,$D1775,1))</f>
        <v/>
      </c>
    </row>
    <row r="1776">
      <c r="A1776" s="11" t="n"/>
      <c r="B1776" s="12" t="n"/>
      <c r="C1776" s="12" t="n"/>
      <c r="D1776" s="12" t="n"/>
      <c r="E1776" s="13" t="n"/>
      <c r="F1776" s="12" t="n"/>
      <c r="G1776" s="13" t="n"/>
      <c r="H1776" s="12" t="n"/>
      <c r="I1776" s="12" t="n"/>
      <c r="J1776" s="12" t="n"/>
      <c r="K1776" s="12" t="n"/>
      <c r="L1776" s="11" t="n"/>
      <c r="M1776" s="11" t="n"/>
      <c r="N1776" s="11" t="n"/>
      <c r="O1776" s="11" t="n"/>
      <c r="P1776" s="12" t="n"/>
      <c r="Q1776" s="11" t="n"/>
      <c r="R1776" s="12" t="n"/>
      <c r="S1776" s="11" t="n"/>
      <c r="T1776" s="12" t="n"/>
      <c r="U1776" s="12" t="n"/>
      <c r="V1776" s="14">
        <f>IF($AN1776="",IF($B1776="","",$H1776),IF(INDEX(職員マスタ!$B$6:$B$405,$AN1776)="",$H1776,INDEX(職員マスタ!$B$6:$B$405,$AN1776)))</f>
        <v/>
      </c>
      <c r="W1776" s="14">
        <f>IF($AN1776="",IF($B1776="","",$R1776),IF(INDEX(職員マスタ!$C$6:$C$405,$AN1776)="",$R1776,INDEX(職員マスタ!$C$6:$C$405,$AN1776)))</f>
        <v/>
      </c>
      <c r="X1776" s="14">
        <f>IF($AO1776="","","R"&amp;$C1776&amp;"."&amp;$D1776)</f>
        <v/>
      </c>
      <c r="Y1776" s="15">
        <f>IF($AN1776="","",IF(INDEX(職員マスタ!$K$6:$K$405,$AN1776)="","",INDEX(職員マスタ!$K$6:$K$405,$AN1776)))</f>
        <v/>
      </c>
      <c r="Z1776" s="14">
        <f>IF(OR($E1776="",$Y1776=""),"",IF($E1776&gt;=$Y1776,"×",IF($E1776&gt;=$Y1776*設定!$C$5,"△","○")))</f>
        <v/>
      </c>
      <c r="AA1776" s="15">
        <f>IF($Z1776="","",IF($Z1776="×",0,IF($Z1776="○",ROUNDDOWN($E1776*設定!$C$4,0),ROUNDDOWN($E1776*ROUND((9*$Y1776-9*$E1776)/(10*$E1776),4),0))))</f>
        <v/>
      </c>
      <c r="AB1776" s="13" t="n"/>
      <c r="AC1776" s="15">
        <f>IF($B1776="","",IF($AB1776&lt;&gt;"",$AB1776,IF($AA1776="","",IF($AA1776&lt;=設定!$C$3,0,$AA1776))))</f>
        <v/>
      </c>
      <c r="AD1776" s="14">
        <f>IF($B1776="","",IF(AND($AE1776&lt;&gt;"",$AG1776="",$AJ1776=""),"保留中",IF($AJ1776&lt;&gt;"",IF(N($AC1776)&gt;0,"支給済","不支給"),IF($AC1776="","要確認",IF($AC1776=0,"不支給","未処理")))))</f>
        <v/>
      </c>
      <c r="AE1776" s="12" t="n"/>
      <c r="AF1776" s="11" t="n"/>
      <c r="AG1776" s="11" t="n"/>
      <c r="AH1776" s="11" t="n"/>
      <c r="AI1776" s="14">
        <f>IF(AND($AD1776="保留中",$AF1776&lt;&gt;""),TODAY()-$AF1776,"")</f>
        <v/>
      </c>
      <c r="AJ1776" s="12" t="n"/>
      <c r="AK1776" s="14">
        <f>IF($B1776="","",IF($AO1776="","対象年月が未入力／","")&amp;IF($B1776="","",IF($AN1776="","職員マスタに未登録の職員番号／",IF($Y1776="","標準報酬月額が未登録／","")&amp;IF(AND($AO1776&lt;&gt;"",OR(AND(INDEX(職員マスタ!$G$6:$G$405,$AN1776)&lt;&gt;"",INDEX(職員マスタ!$G$6:$G$405,$AN1776)&gt;EOMONTH($AO1776,0)),AND(INDEX(職員マスタ!$H$6:$H$405,$AN1776)&lt;&gt;"",INDEX(職員マスタ!$H$6:$H$405,$AN1776)&lt;$AO1776))),"対象月が時短期間外／","")&amp;IF(AND(INDEX(職員マスタ!$F$6:$F$405,$AN1776)&lt;&gt;"",$AO1776&lt;&gt;"",INDEX(職員マスタ!$F$6:$F$405,$AN1776)&lt;$AO1776),"対象月に子が2歳到達済／","")&amp;IF(AND($H1776&lt;&gt;"",INDEX(職員マスタ!$B$6:$B$405,$AN1776)&lt;&gt;"",SUBSTITUTE(SUBSTITUTE($H1776," ","")," ","")&lt;&gt;SUBSTITUTE(SUBSTITUTE(INDEX(職員マスタ!$B$6:$B$405,$AN1776)," ","")," ","")),"氏名がマスタと相違／","")&amp;IF(AND($Q1776&lt;&gt;"",INDEX(職員マスタ!$E$6:$E$405,$AN1776)&lt;&gt;"",$Q1776&lt;&gt;INDEX(職員マスタ!$E$6:$E$405,$AN1776)),"子の生年月日がマスタと相違／","")&amp;IF(AND($L1776&lt;&gt;"",INDEX(職員マスタ!$G$6:$G$405,$AN1776)&lt;&gt;"",$L1776&lt;&gt;INDEX(職員マスタ!$G$6:$G$405,$AN1776)),"時短開始日がマスタと相違／","")&amp;IF(AND($M1776&lt;&gt;"",INDEX(職員マスタ!$H$6:$H$405,$AN1776)&lt;&gt;"",$M1776&lt;&gt;INDEX(職員マスタ!$H$6:$H$405,$AN1776)),"時短終了日がマスタと相違／","")))&amp;IF(AND($B1776&lt;&gt;"",$E1776=""),"報酬額が未入力／","")&amp;IF(N($U1776)&gt;0,"申請書に入力エラーが残っています／","")&amp;IF(AND($B1776&lt;&gt;"",$AO1776&lt;&gt;""),IF(COUNTIFS($B$6:$B$3005,$B1776,$C$6:$C$3005,$C1776,$D$6:$D$3005,$D1776)&gt;1,"同じ月の請求が重複しています／",""),"")&amp;IF(AND(N($E1776)&gt;0,$Z1776&lt;&gt;"",$Z1776&lt;&gt;"×",$AC1776=0,$AB1776=""),"計算額が下限以下のため不支給／",""))</f>
        <v/>
      </c>
      <c r="AL1776" s="12" t="n"/>
      <c r="AM1776" s="14">
        <f>IF($AD1776="保留中",COUNTIF($AD$6:$AD1776,"保留中"),"")</f>
        <v/>
      </c>
      <c r="AN1776" s="14">
        <f>IF($AO1776="","",IF(SUMPRODUCT(MAX((職員マスタ!$A$6:$A$405=$B1776)*(((職員マスタ!$G$6:$G$405="")+(職員マスタ!$G$6:$G$405&lt;=EOMONTH($AO1776,0)))&gt;0)*(((職員マスタ!$H$6:$H$405="")+(職員マスタ!$H$6:$H$405&gt;=$AO1776))&gt;0)*(ROW(職員マスタ!$A$6:$A$405)-5)))&gt;0,SUMPRODUCT(MAX((職員マスタ!$A$6:$A$405=$B1776)*(((職員マスタ!$G$6:$G$405="")+(職員マスタ!$G$6:$G$405&lt;=EOMONTH($AO1776,0)))&gt;0)*(((職員マスタ!$H$6:$H$405="")+(職員マスタ!$H$6:$H$405&gt;=$AO1776))&gt;0)*(ROW(職員マスタ!$A$6:$A$405)-5))),IFERROR(MATCH($B1776,職員マスタ!$A$6:$A$405,0),"")))</f>
        <v/>
      </c>
      <c r="AO1776" s="16">
        <f>IF(OR($B1776="",$C1776="",$D1776=""),"",DATE($C1776+2018,$D1776,1))</f>
        <v/>
      </c>
    </row>
    <row r="1777">
      <c r="A1777" s="11" t="n"/>
      <c r="B1777" s="12" t="n"/>
      <c r="C1777" s="12" t="n"/>
      <c r="D1777" s="12" t="n"/>
      <c r="E1777" s="13" t="n"/>
      <c r="F1777" s="12" t="n"/>
      <c r="G1777" s="13" t="n"/>
      <c r="H1777" s="12" t="n"/>
      <c r="I1777" s="12" t="n"/>
      <c r="J1777" s="12" t="n"/>
      <c r="K1777" s="12" t="n"/>
      <c r="L1777" s="11" t="n"/>
      <c r="M1777" s="11" t="n"/>
      <c r="N1777" s="11" t="n"/>
      <c r="O1777" s="11" t="n"/>
      <c r="P1777" s="12" t="n"/>
      <c r="Q1777" s="11" t="n"/>
      <c r="R1777" s="12" t="n"/>
      <c r="S1777" s="11" t="n"/>
      <c r="T1777" s="12" t="n"/>
      <c r="U1777" s="12" t="n"/>
      <c r="V1777" s="14">
        <f>IF($AN1777="",IF($B1777="","",$H1777),IF(INDEX(職員マスタ!$B$6:$B$405,$AN1777)="",$H1777,INDEX(職員マスタ!$B$6:$B$405,$AN1777)))</f>
        <v/>
      </c>
      <c r="W1777" s="14">
        <f>IF($AN1777="",IF($B1777="","",$R1777),IF(INDEX(職員マスタ!$C$6:$C$405,$AN1777)="",$R1777,INDEX(職員マスタ!$C$6:$C$405,$AN1777)))</f>
        <v/>
      </c>
      <c r="X1777" s="14">
        <f>IF($AO1777="","","R"&amp;$C1777&amp;"."&amp;$D1777)</f>
        <v/>
      </c>
      <c r="Y1777" s="15">
        <f>IF($AN1777="","",IF(INDEX(職員マスタ!$K$6:$K$405,$AN1777)="","",INDEX(職員マスタ!$K$6:$K$405,$AN1777)))</f>
        <v/>
      </c>
      <c r="Z1777" s="14">
        <f>IF(OR($E1777="",$Y1777=""),"",IF($E1777&gt;=$Y1777,"×",IF($E1777&gt;=$Y1777*設定!$C$5,"△","○")))</f>
        <v/>
      </c>
      <c r="AA1777" s="15">
        <f>IF($Z1777="","",IF($Z1777="×",0,IF($Z1777="○",ROUNDDOWN($E1777*設定!$C$4,0),ROUNDDOWN($E1777*ROUND((9*$Y1777-9*$E1777)/(10*$E1777),4),0))))</f>
        <v/>
      </c>
      <c r="AB1777" s="13" t="n"/>
      <c r="AC1777" s="15">
        <f>IF($B1777="","",IF($AB1777&lt;&gt;"",$AB1777,IF($AA1777="","",IF($AA1777&lt;=設定!$C$3,0,$AA1777))))</f>
        <v/>
      </c>
      <c r="AD1777" s="14">
        <f>IF($B1777="","",IF(AND($AE1777&lt;&gt;"",$AG1777="",$AJ1777=""),"保留中",IF($AJ1777&lt;&gt;"",IF(N($AC1777)&gt;0,"支給済","不支給"),IF($AC1777="","要確認",IF($AC1777=0,"不支給","未処理")))))</f>
        <v/>
      </c>
      <c r="AE1777" s="12" t="n"/>
      <c r="AF1777" s="11" t="n"/>
      <c r="AG1777" s="11" t="n"/>
      <c r="AH1777" s="11" t="n"/>
      <c r="AI1777" s="14">
        <f>IF(AND($AD1777="保留中",$AF1777&lt;&gt;""),TODAY()-$AF1777,"")</f>
        <v/>
      </c>
      <c r="AJ1777" s="12" t="n"/>
      <c r="AK1777" s="14">
        <f>IF($B1777="","",IF($AO1777="","対象年月が未入力／","")&amp;IF($B1777="","",IF($AN1777="","職員マスタに未登録の職員番号／",IF($Y1777="","標準報酬月額が未登録／","")&amp;IF(AND($AO1777&lt;&gt;"",OR(AND(INDEX(職員マスタ!$G$6:$G$405,$AN1777)&lt;&gt;"",INDEX(職員マスタ!$G$6:$G$405,$AN1777)&gt;EOMONTH($AO1777,0)),AND(INDEX(職員マスタ!$H$6:$H$405,$AN1777)&lt;&gt;"",INDEX(職員マスタ!$H$6:$H$405,$AN1777)&lt;$AO1777))),"対象月が時短期間外／","")&amp;IF(AND(INDEX(職員マスタ!$F$6:$F$405,$AN1777)&lt;&gt;"",$AO1777&lt;&gt;"",INDEX(職員マスタ!$F$6:$F$405,$AN1777)&lt;$AO1777),"対象月に子が2歳到達済／","")&amp;IF(AND($H1777&lt;&gt;"",INDEX(職員マスタ!$B$6:$B$405,$AN1777)&lt;&gt;"",SUBSTITUTE(SUBSTITUTE($H1777," ","")," ","")&lt;&gt;SUBSTITUTE(SUBSTITUTE(INDEX(職員マスタ!$B$6:$B$405,$AN1777)," ","")," ","")),"氏名がマスタと相違／","")&amp;IF(AND($Q1777&lt;&gt;"",INDEX(職員マスタ!$E$6:$E$405,$AN1777)&lt;&gt;"",$Q1777&lt;&gt;INDEX(職員マスタ!$E$6:$E$405,$AN1777)),"子の生年月日がマスタと相違／","")&amp;IF(AND($L1777&lt;&gt;"",INDEX(職員マスタ!$G$6:$G$405,$AN1777)&lt;&gt;"",$L1777&lt;&gt;INDEX(職員マスタ!$G$6:$G$405,$AN1777)),"時短開始日がマスタと相違／","")&amp;IF(AND($M1777&lt;&gt;"",INDEX(職員マスタ!$H$6:$H$405,$AN1777)&lt;&gt;"",$M1777&lt;&gt;INDEX(職員マスタ!$H$6:$H$405,$AN1777)),"時短終了日がマスタと相違／","")))&amp;IF(AND($B1777&lt;&gt;"",$E1777=""),"報酬額が未入力／","")&amp;IF(N($U1777)&gt;0,"申請書に入力エラーが残っています／","")&amp;IF(AND($B1777&lt;&gt;"",$AO1777&lt;&gt;""),IF(COUNTIFS($B$6:$B$3005,$B1777,$C$6:$C$3005,$C1777,$D$6:$D$3005,$D1777)&gt;1,"同じ月の請求が重複しています／",""),"")&amp;IF(AND(N($E1777)&gt;0,$Z1777&lt;&gt;"",$Z1777&lt;&gt;"×",$AC1777=0,$AB1777=""),"計算額が下限以下のため不支給／",""))</f>
        <v/>
      </c>
      <c r="AL1777" s="12" t="n"/>
      <c r="AM1777" s="14">
        <f>IF($AD1777="保留中",COUNTIF($AD$6:$AD1777,"保留中"),"")</f>
        <v/>
      </c>
      <c r="AN1777" s="14">
        <f>IF($AO1777="","",IF(SUMPRODUCT(MAX((職員マスタ!$A$6:$A$405=$B1777)*(((職員マスタ!$G$6:$G$405="")+(職員マスタ!$G$6:$G$405&lt;=EOMONTH($AO1777,0)))&gt;0)*(((職員マスタ!$H$6:$H$405="")+(職員マスタ!$H$6:$H$405&gt;=$AO1777))&gt;0)*(ROW(職員マスタ!$A$6:$A$405)-5)))&gt;0,SUMPRODUCT(MAX((職員マスタ!$A$6:$A$405=$B1777)*(((職員マスタ!$G$6:$G$405="")+(職員マスタ!$G$6:$G$405&lt;=EOMONTH($AO1777,0)))&gt;0)*(((職員マスタ!$H$6:$H$405="")+(職員マスタ!$H$6:$H$405&gt;=$AO1777))&gt;0)*(ROW(職員マスタ!$A$6:$A$405)-5))),IFERROR(MATCH($B1777,職員マスタ!$A$6:$A$405,0),"")))</f>
        <v/>
      </c>
      <c r="AO1777" s="16">
        <f>IF(OR($B1777="",$C1777="",$D1777=""),"",DATE($C1777+2018,$D1777,1))</f>
        <v/>
      </c>
    </row>
    <row r="1778">
      <c r="A1778" s="11" t="n"/>
      <c r="B1778" s="12" t="n"/>
      <c r="C1778" s="12" t="n"/>
      <c r="D1778" s="12" t="n"/>
      <c r="E1778" s="13" t="n"/>
      <c r="F1778" s="12" t="n"/>
      <c r="G1778" s="13" t="n"/>
      <c r="H1778" s="12" t="n"/>
      <c r="I1778" s="12" t="n"/>
      <c r="J1778" s="12" t="n"/>
      <c r="K1778" s="12" t="n"/>
      <c r="L1778" s="11" t="n"/>
      <c r="M1778" s="11" t="n"/>
      <c r="N1778" s="11" t="n"/>
      <c r="O1778" s="11" t="n"/>
      <c r="P1778" s="12" t="n"/>
      <c r="Q1778" s="11" t="n"/>
      <c r="R1778" s="12" t="n"/>
      <c r="S1778" s="11" t="n"/>
      <c r="T1778" s="12" t="n"/>
      <c r="U1778" s="12" t="n"/>
      <c r="V1778" s="14">
        <f>IF($AN1778="",IF($B1778="","",$H1778),IF(INDEX(職員マスタ!$B$6:$B$405,$AN1778)="",$H1778,INDEX(職員マスタ!$B$6:$B$405,$AN1778)))</f>
        <v/>
      </c>
      <c r="W1778" s="14">
        <f>IF($AN1778="",IF($B1778="","",$R1778),IF(INDEX(職員マスタ!$C$6:$C$405,$AN1778)="",$R1778,INDEX(職員マスタ!$C$6:$C$405,$AN1778)))</f>
        <v/>
      </c>
      <c r="X1778" s="14">
        <f>IF($AO1778="","","R"&amp;$C1778&amp;"."&amp;$D1778)</f>
        <v/>
      </c>
      <c r="Y1778" s="15">
        <f>IF($AN1778="","",IF(INDEX(職員マスタ!$K$6:$K$405,$AN1778)="","",INDEX(職員マスタ!$K$6:$K$405,$AN1778)))</f>
        <v/>
      </c>
      <c r="Z1778" s="14">
        <f>IF(OR($E1778="",$Y1778=""),"",IF($E1778&gt;=$Y1778,"×",IF($E1778&gt;=$Y1778*設定!$C$5,"△","○")))</f>
        <v/>
      </c>
      <c r="AA1778" s="15">
        <f>IF($Z1778="","",IF($Z1778="×",0,IF($Z1778="○",ROUNDDOWN($E1778*設定!$C$4,0),ROUNDDOWN($E1778*ROUND((9*$Y1778-9*$E1778)/(10*$E1778),4),0))))</f>
        <v/>
      </c>
      <c r="AB1778" s="13" t="n"/>
      <c r="AC1778" s="15">
        <f>IF($B1778="","",IF($AB1778&lt;&gt;"",$AB1778,IF($AA1778="","",IF($AA1778&lt;=設定!$C$3,0,$AA1778))))</f>
        <v/>
      </c>
      <c r="AD1778" s="14">
        <f>IF($B1778="","",IF(AND($AE1778&lt;&gt;"",$AG1778="",$AJ1778=""),"保留中",IF($AJ1778&lt;&gt;"",IF(N($AC1778)&gt;0,"支給済","不支給"),IF($AC1778="","要確認",IF($AC1778=0,"不支給","未処理")))))</f>
        <v/>
      </c>
      <c r="AE1778" s="12" t="n"/>
      <c r="AF1778" s="11" t="n"/>
      <c r="AG1778" s="11" t="n"/>
      <c r="AH1778" s="11" t="n"/>
      <c r="AI1778" s="14">
        <f>IF(AND($AD1778="保留中",$AF1778&lt;&gt;""),TODAY()-$AF1778,"")</f>
        <v/>
      </c>
      <c r="AJ1778" s="12" t="n"/>
      <c r="AK1778" s="14">
        <f>IF($B1778="","",IF($AO1778="","対象年月が未入力／","")&amp;IF($B1778="","",IF($AN1778="","職員マスタに未登録の職員番号／",IF($Y1778="","標準報酬月額が未登録／","")&amp;IF(AND($AO1778&lt;&gt;"",OR(AND(INDEX(職員マスタ!$G$6:$G$405,$AN1778)&lt;&gt;"",INDEX(職員マスタ!$G$6:$G$405,$AN1778)&gt;EOMONTH($AO1778,0)),AND(INDEX(職員マスタ!$H$6:$H$405,$AN1778)&lt;&gt;"",INDEX(職員マスタ!$H$6:$H$405,$AN1778)&lt;$AO1778))),"対象月が時短期間外／","")&amp;IF(AND(INDEX(職員マスタ!$F$6:$F$405,$AN1778)&lt;&gt;"",$AO1778&lt;&gt;"",INDEX(職員マスタ!$F$6:$F$405,$AN1778)&lt;$AO1778),"対象月に子が2歳到達済／","")&amp;IF(AND($H1778&lt;&gt;"",INDEX(職員マスタ!$B$6:$B$405,$AN1778)&lt;&gt;"",SUBSTITUTE(SUBSTITUTE($H1778," ","")," ","")&lt;&gt;SUBSTITUTE(SUBSTITUTE(INDEX(職員マスタ!$B$6:$B$405,$AN1778)," ","")," ","")),"氏名がマスタと相違／","")&amp;IF(AND($Q1778&lt;&gt;"",INDEX(職員マスタ!$E$6:$E$405,$AN1778)&lt;&gt;"",$Q1778&lt;&gt;INDEX(職員マスタ!$E$6:$E$405,$AN1778)),"子の生年月日がマスタと相違／","")&amp;IF(AND($L1778&lt;&gt;"",INDEX(職員マスタ!$G$6:$G$405,$AN1778)&lt;&gt;"",$L1778&lt;&gt;INDEX(職員マスタ!$G$6:$G$405,$AN1778)),"時短開始日がマスタと相違／","")&amp;IF(AND($M1778&lt;&gt;"",INDEX(職員マスタ!$H$6:$H$405,$AN1778)&lt;&gt;"",$M1778&lt;&gt;INDEX(職員マスタ!$H$6:$H$405,$AN1778)),"時短終了日がマスタと相違／","")))&amp;IF(AND($B1778&lt;&gt;"",$E1778=""),"報酬額が未入力／","")&amp;IF(N($U1778)&gt;0,"申請書に入力エラーが残っています／","")&amp;IF(AND($B1778&lt;&gt;"",$AO1778&lt;&gt;""),IF(COUNTIFS($B$6:$B$3005,$B1778,$C$6:$C$3005,$C1778,$D$6:$D$3005,$D1778)&gt;1,"同じ月の請求が重複しています／",""),"")&amp;IF(AND(N($E1778)&gt;0,$Z1778&lt;&gt;"",$Z1778&lt;&gt;"×",$AC1778=0,$AB1778=""),"計算額が下限以下のため不支給／",""))</f>
        <v/>
      </c>
      <c r="AL1778" s="12" t="n"/>
      <c r="AM1778" s="14">
        <f>IF($AD1778="保留中",COUNTIF($AD$6:$AD1778,"保留中"),"")</f>
        <v/>
      </c>
      <c r="AN1778" s="14">
        <f>IF($AO1778="","",IF(SUMPRODUCT(MAX((職員マスタ!$A$6:$A$405=$B1778)*(((職員マスタ!$G$6:$G$405="")+(職員マスタ!$G$6:$G$405&lt;=EOMONTH($AO1778,0)))&gt;0)*(((職員マスタ!$H$6:$H$405="")+(職員マスタ!$H$6:$H$405&gt;=$AO1778))&gt;0)*(ROW(職員マスタ!$A$6:$A$405)-5)))&gt;0,SUMPRODUCT(MAX((職員マスタ!$A$6:$A$405=$B1778)*(((職員マスタ!$G$6:$G$405="")+(職員マスタ!$G$6:$G$405&lt;=EOMONTH($AO1778,0)))&gt;0)*(((職員マスタ!$H$6:$H$405="")+(職員マスタ!$H$6:$H$405&gt;=$AO1778))&gt;0)*(ROW(職員マスタ!$A$6:$A$405)-5))),IFERROR(MATCH($B1778,職員マスタ!$A$6:$A$405,0),"")))</f>
        <v/>
      </c>
      <c r="AO1778" s="16">
        <f>IF(OR($B1778="",$C1778="",$D1778=""),"",DATE($C1778+2018,$D1778,1))</f>
        <v/>
      </c>
    </row>
    <row r="1779">
      <c r="A1779" s="11" t="n"/>
      <c r="B1779" s="12" t="n"/>
      <c r="C1779" s="12" t="n"/>
      <c r="D1779" s="12" t="n"/>
      <c r="E1779" s="13" t="n"/>
      <c r="F1779" s="12" t="n"/>
      <c r="G1779" s="13" t="n"/>
      <c r="H1779" s="12" t="n"/>
      <c r="I1779" s="12" t="n"/>
      <c r="J1779" s="12" t="n"/>
      <c r="K1779" s="12" t="n"/>
      <c r="L1779" s="11" t="n"/>
      <c r="M1779" s="11" t="n"/>
      <c r="N1779" s="11" t="n"/>
      <c r="O1779" s="11" t="n"/>
      <c r="P1779" s="12" t="n"/>
      <c r="Q1779" s="11" t="n"/>
      <c r="R1779" s="12" t="n"/>
      <c r="S1779" s="11" t="n"/>
      <c r="T1779" s="12" t="n"/>
      <c r="U1779" s="12" t="n"/>
      <c r="V1779" s="14">
        <f>IF($AN1779="",IF($B1779="","",$H1779),IF(INDEX(職員マスタ!$B$6:$B$405,$AN1779)="",$H1779,INDEX(職員マスタ!$B$6:$B$405,$AN1779)))</f>
        <v/>
      </c>
      <c r="W1779" s="14">
        <f>IF($AN1779="",IF($B1779="","",$R1779),IF(INDEX(職員マスタ!$C$6:$C$405,$AN1779)="",$R1779,INDEX(職員マスタ!$C$6:$C$405,$AN1779)))</f>
        <v/>
      </c>
      <c r="X1779" s="14">
        <f>IF($AO1779="","","R"&amp;$C1779&amp;"."&amp;$D1779)</f>
        <v/>
      </c>
      <c r="Y1779" s="15">
        <f>IF($AN1779="","",IF(INDEX(職員マスタ!$K$6:$K$405,$AN1779)="","",INDEX(職員マスタ!$K$6:$K$405,$AN1779)))</f>
        <v/>
      </c>
      <c r="Z1779" s="14">
        <f>IF(OR($E1779="",$Y1779=""),"",IF($E1779&gt;=$Y1779,"×",IF($E1779&gt;=$Y1779*設定!$C$5,"△","○")))</f>
        <v/>
      </c>
      <c r="AA1779" s="15">
        <f>IF($Z1779="","",IF($Z1779="×",0,IF($Z1779="○",ROUNDDOWN($E1779*設定!$C$4,0),ROUNDDOWN($E1779*ROUND((9*$Y1779-9*$E1779)/(10*$E1779),4),0))))</f>
        <v/>
      </c>
      <c r="AB1779" s="13" t="n"/>
      <c r="AC1779" s="15">
        <f>IF($B1779="","",IF($AB1779&lt;&gt;"",$AB1779,IF($AA1779="","",IF($AA1779&lt;=設定!$C$3,0,$AA1779))))</f>
        <v/>
      </c>
      <c r="AD1779" s="14">
        <f>IF($B1779="","",IF(AND($AE1779&lt;&gt;"",$AG1779="",$AJ1779=""),"保留中",IF($AJ1779&lt;&gt;"",IF(N($AC1779)&gt;0,"支給済","不支給"),IF($AC1779="","要確認",IF($AC1779=0,"不支給","未処理")))))</f>
        <v/>
      </c>
      <c r="AE1779" s="12" t="n"/>
      <c r="AF1779" s="11" t="n"/>
      <c r="AG1779" s="11" t="n"/>
      <c r="AH1779" s="11" t="n"/>
      <c r="AI1779" s="14">
        <f>IF(AND($AD1779="保留中",$AF1779&lt;&gt;""),TODAY()-$AF1779,"")</f>
        <v/>
      </c>
      <c r="AJ1779" s="12" t="n"/>
      <c r="AK1779" s="14">
        <f>IF($B1779="","",IF($AO1779="","対象年月が未入力／","")&amp;IF($B1779="","",IF($AN1779="","職員マスタに未登録の職員番号／",IF($Y1779="","標準報酬月額が未登録／","")&amp;IF(AND($AO1779&lt;&gt;"",OR(AND(INDEX(職員マスタ!$G$6:$G$405,$AN1779)&lt;&gt;"",INDEX(職員マスタ!$G$6:$G$405,$AN1779)&gt;EOMONTH($AO1779,0)),AND(INDEX(職員マスタ!$H$6:$H$405,$AN1779)&lt;&gt;"",INDEX(職員マスタ!$H$6:$H$405,$AN1779)&lt;$AO1779))),"対象月が時短期間外／","")&amp;IF(AND(INDEX(職員マスタ!$F$6:$F$405,$AN1779)&lt;&gt;"",$AO1779&lt;&gt;"",INDEX(職員マスタ!$F$6:$F$405,$AN1779)&lt;$AO1779),"対象月に子が2歳到達済／","")&amp;IF(AND($H1779&lt;&gt;"",INDEX(職員マスタ!$B$6:$B$405,$AN1779)&lt;&gt;"",SUBSTITUTE(SUBSTITUTE($H1779," ","")," ","")&lt;&gt;SUBSTITUTE(SUBSTITUTE(INDEX(職員マスタ!$B$6:$B$405,$AN1779)," ","")," ","")),"氏名がマスタと相違／","")&amp;IF(AND($Q1779&lt;&gt;"",INDEX(職員マスタ!$E$6:$E$405,$AN1779)&lt;&gt;"",$Q1779&lt;&gt;INDEX(職員マスタ!$E$6:$E$405,$AN1779)),"子の生年月日がマスタと相違／","")&amp;IF(AND($L1779&lt;&gt;"",INDEX(職員マスタ!$G$6:$G$405,$AN1779)&lt;&gt;"",$L1779&lt;&gt;INDEX(職員マスタ!$G$6:$G$405,$AN1779)),"時短開始日がマスタと相違／","")&amp;IF(AND($M1779&lt;&gt;"",INDEX(職員マスタ!$H$6:$H$405,$AN1779)&lt;&gt;"",$M1779&lt;&gt;INDEX(職員マスタ!$H$6:$H$405,$AN1779)),"時短終了日がマスタと相違／","")))&amp;IF(AND($B1779&lt;&gt;"",$E1779=""),"報酬額が未入力／","")&amp;IF(N($U1779)&gt;0,"申請書に入力エラーが残っています／","")&amp;IF(AND($B1779&lt;&gt;"",$AO1779&lt;&gt;""),IF(COUNTIFS($B$6:$B$3005,$B1779,$C$6:$C$3005,$C1779,$D$6:$D$3005,$D1779)&gt;1,"同じ月の請求が重複しています／",""),"")&amp;IF(AND(N($E1779)&gt;0,$Z1779&lt;&gt;"",$Z1779&lt;&gt;"×",$AC1779=0,$AB1779=""),"計算額が下限以下のため不支給／",""))</f>
        <v/>
      </c>
      <c r="AL1779" s="12" t="n"/>
      <c r="AM1779" s="14">
        <f>IF($AD1779="保留中",COUNTIF($AD$6:$AD1779,"保留中"),"")</f>
        <v/>
      </c>
      <c r="AN1779" s="14">
        <f>IF($AO1779="","",IF(SUMPRODUCT(MAX((職員マスタ!$A$6:$A$405=$B1779)*(((職員マスタ!$G$6:$G$405="")+(職員マスタ!$G$6:$G$405&lt;=EOMONTH($AO1779,0)))&gt;0)*(((職員マスタ!$H$6:$H$405="")+(職員マスタ!$H$6:$H$405&gt;=$AO1779))&gt;0)*(ROW(職員マスタ!$A$6:$A$405)-5)))&gt;0,SUMPRODUCT(MAX((職員マスタ!$A$6:$A$405=$B1779)*(((職員マスタ!$G$6:$G$405="")+(職員マスタ!$G$6:$G$405&lt;=EOMONTH($AO1779,0)))&gt;0)*(((職員マスタ!$H$6:$H$405="")+(職員マスタ!$H$6:$H$405&gt;=$AO1779))&gt;0)*(ROW(職員マスタ!$A$6:$A$405)-5))),IFERROR(MATCH($B1779,職員マスタ!$A$6:$A$405,0),"")))</f>
        <v/>
      </c>
      <c r="AO1779" s="16">
        <f>IF(OR($B1779="",$C1779="",$D1779=""),"",DATE($C1779+2018,$D1779,1))</f>
        <v/>
      </c>
    </row>
    <row r="1780">
      <c r="A1780" s="11" t="n"/>
      <c r="B1780" s="12" t="n"/>
      <c r="C1780" s="12" t="n"/>
      <c r="D1780" s="12" t="n"/>
      <c r="E1780" s="13" t="n"/>
      <c r="F1780" s="12" t="n"/>
      <c r="G1780" s="13" t="n"/>
      <c r="H1780" s="12" t="n"/>
      <c r="I1780" s="12" t="n"/>
      <c r="J1780" s="12" t="n"/>
      <c r="K1780" s="12" t="n"/>
      <c r="L1780" s="11" t="n"/>
      <c r="M1780" s="11" t="n"/>
      <c r="N1780" s="11" t="n"/>
      <c r="O1780" s="11" t="n"/>
      <c r="P1780" s="12" t="n"/>
      <c r="Q1780" s="11" t="n"/>
      <c r="R1780" s="12" t="n"/>
      <c r="S1780" s="11" t="n"/>
      <c r="T1780" s="12" t="n"/>
      <c r="U1780" s="12" t="n"/>
      <c r="V1780" s="14">
        <f>IF($AN1780="",IF($B1780="","",$H1780),IF(INDEX(職員マスタ!$B$6:$B$405,$AN1780)="",$H1780,INDEX(職員マスタ!$B$6:$B$405,$AN1780)))</f>
        <v/>
      </c>
      <c r="W1780" s="14">
        <f>IF($AN1780="",IF($B1780="","",$R1780),IF(INDEX(職員マスタ!$C$6:$C$405,$AN1780)="",$R1780,INDEX(職員マスタ!$C$6:$C$405,$AN1780)))</f>
        <v/>
      </c>
      <c r="X1780" s="14">
        <f>IF($AO1780="","","R"&amp;$C1780&amp;"."&amp;$D1780)</f>
        <v/>
      </c>
      <c r="Y1780" s="15">
        <f>IF($AN1780="","",IF(INDEX(職員マスタ!$K$6:$K$405,$AN1780)="","",INDEX(職員マスタ!$K$6:$K$405,$AN1780)))</f>
        <v/>
      </c>
      <c r="Z1780" s="14">
        <f>IF(OR($E1780="",$Y1780=""),"",IF($E1780&gt;=$Y1780,"×",IF($E1780&gt;=$Y1780*設定!$C$5,"△","○")))</f>
        <v/>
      </c>
      <c r="AA1780" s="15">
        <f>IF($Z1780="","",IF($Z1780="×",0,IF($Z1780="○",ROUNDDOWN($E1780*設定!$C$4,0),ROUNDDOWN($E1780*ROUND((9*$Y1780-9*$E1780)/(10*$E1780),4),0))))</f>
        <v/>
      </c>
      <c r="AB1780" s="13" t="n"/>
      <c r="AC1780" s="15">
        <f>IF($B1780="","",IF($AB1780&lt;&gt;"",$AB1780,IF($AA1780="","",IF($AA1780&lt;=設定!$C$3,0,$AA1780))))</f>
        <v/>
      </c>
      <c r="AD1780" s="14">
        <f>IF($B1780="","",IF(AND($AE1780&lt;&gt;"",$AG1780="",$AJ1780=""),"保留中",IF($AJ1780&lt;&gt;"",IF(N($AC1780)&gt;0,"支給済","不支給"),IF($AC1780="","要確認",IF($AC1780=0,"不支給","未処理")))))</f>
        <v/>
      </c>
      <c r="AE1780" s="12" t="n"/>
      <c r="AF1780" s="11" t="n"/>
      <c r="AG1780" s="11" t="n"/>
      <c r="AH1780" s="11" t="n"/>
      <c r="AI1780" s="14">
        <f>IF(AND($AD1780="保留中",$AF1780&lt;&gt;""),TODAY()-$AF1780,"")</f>
        <v/>
      </c>
      <c r="AJ1780" s="12" t="n"/>
      <c r="AK1780" s="14">
        <f>IF($B1780="","",IF($AO1780="","対象年月が未入力／","")&amp;IF($B1780="","",IF($AN1780="","職員マスタに未登録の職員番号／",IF($Y1780="","標準報酬月額が未登録／","")&amp;IF(AND($AO1780&lt;&gt;"",OR(AND(INDEX(職員マスタ!$G$6:$G$405,$AN1780)&lt;&gt;"",INDEX(職員マスタ!$G$6:$G$405,$AN1780)&gt;EOMONTH($AO1780,0)),AND(INDEX(職員マスタ!$H$6:$H$405,$AN1780)&lt;&gt;"",INDEX(職員マスタ!$H$6:$H$405,$AN1780)&lt;$AO1780))),"対象月が時短期間外／","")&amp;IF(AND(INDEX(職員マスタ!$F$6:$F$405,$AN1780)&lt;&gt;"",$AO1780&lt;&gt;"",INDEX(職員マスタ!$F$6:$F$405,$AN1780)&lt;$AO1780),"対象月に子が2歳到達済／","")&amp;IF(AND($H1780&lt;&gt;"",INDEX(職員マスタ!$B$6:$B$405,$AN1780)&lt;&gt;"",SUBSTITUTE(SUBSTITUTE($H1780," ","")," ","")&lt;&gt;SUBSTITUTE(SUBSTITUTE(INDEX(職員マスタ!$B$6:$B$405,$AN1780)," ","")," ","")),"氏名がマスタと相違／","")&amp;IF(AND($Q1780&lt;&gt;"",INDEX(職員マスタ!$E$6:$E$405,$AN1780)&lt;&gt;"",$Q1780&lt;&gt;INDEX(職員マスタ!$E$6:$E$405,$AN1780)),"子の生年月日がマスタと相違／","")&amp;IF(AND($L1780&lt;&gt;"",INDEX(職員マスタ!$G$6:$G$405,$AN1780)&lt;&gt;"",$L1780&lt;&gt;INDEX(職員マスタ!$G$6:$G$405,$AN1780)),"時短開始日がマスタと相違／","")&amp;IF(AND($M1780&lt;&gt;"",INDEX(職員マスタ!$H$6:$H$405,$AN1780)&lt;&gt;"",$M1780&lt;&gt;INDEX(職員マスタ!$H$6:$H$405,$AN1780)),"時短終了日がマスタと相違／","")))&amp;IF(AND($B1780&lt;&gt;"",$E1780=""),"報酬額が未入力／","")&amp;IF(N($U1780)&gt;0,"申請書に入力エラーが残っています／","")&amp;IF(AND($B1780&lt;&gt;"",$AO1780&lt;&gt;""),IF(COUNTIFS($B$6:$B$3005,$B1780,$C$6:$C$3005,$C1780,$D$6:$D$3005,$D1780)&gt;1,"同じ月の請求が重複しています／",""),"")&amp;IF(AND(N($E1780)&gt;0,$Z1780&lt;&gt;"",$Z1780&lt;&gt;"×",$AC1780=0,$AB1780=""),"計算額が下限以下のため不支給／",""))</f>
        <v/>
      </c>
      <c r="AL1780" s="12" t="n"/>
      <c r="AM1780" s="14">
        <f>IF($AD1780="保留中",COUNTIF($AD$6:$AD1780,"保留中"),"")</f>
        <v/>
      </c>
      <c r="AN1780" s="14">
        <f>IF($AO1780="","",IF(SUMPRODUCT(MAX((職員マスタ!$A$6:$A$405=$B1780)*(((職員マスタ!$G$6:$G$405="")+(職員マスタ!$G$6:$G$405&lt;=EOMONTH($AO1780,0)))&gt;0)*(((職員マスタ!$H$6:$H$405="")+(職員マスタ!$H$6:$H$405&gt;=$AO1780))&gt;0)*(ROW(職員マスタ!$A$6:$A$405)-5)))&gt;0,SUMPRODUCT(MAX((職員マスタ!$A$6:$A$405=$B1780)*(((職員マスタ!$G$6:$G$405="")+(職員マスタ!$G$6:$G$405&lt;=EOMONTH($AO1780,0)))&gt;0)*(((職員マスタ!$H$6:$H$405="")+(職員マスタ!$H$6:$H$405&gt;=$AO1780))&gt;0)*(ROW(職員マスタ!$A$6:$A$405)-5))),IFERROR(MATCH($B1780,職員マスタ!$A$6:$A$405,0),"")))</f>
        <v/>
      </c>
      <c r="AO1780" s="16">
        <f>IF(OR($B1780="",$C1780="",$D1780=""),"",DATE($C1780+2018,$D1780,1))</f>
        <v/>
      </c>
    </row>
    <row r="1781">
      <c r="A1781" s="11" t="n"/>
      <c r="B1781" s="12" t="n"/>
      <c r="C1781" s="12" t="n"/>
      <c r="D1781" s="12" t="n"/>
      <c r="E1781" s="13" t="n"/>
      <c r="F1781" s="12" t="n"/>
      <c r="G1781" s="13" t="n"/>
      <c r="H1781" s="12" t="n"/>
      <c r="I1781" s="12" t="n"/>
      <c r="J1781" s="12" t="n"/>
      <c r="K1781" s="12" t="n"/>
      <c r="L1781" s="11" t="n"/>
      <c r="M1781" s="11" t="n"/>
      <c r="N1781" s="11" t="n"/>
      <c r="O1781" s="11" t="n"/>
      <c r="P1781" s="12" t="n"/>
      <c r="Q1781" s="11" t="n"/>
      <c r="R1781" s="12" t="n"/>
      <c r="S1781" s="11" t="n"/>
      <c r="T1781" s="12" t="n"/>
      <c r="U1781" s="12" t="n"/>
      <c r="V1781" s="14">
        <f>IF($AN1781="",IF($B1781="","",$H1781),IF(INDEX(職員マスタ!$B$6:$B$405,$AN1781)="",$H1781,INDEX(職員マスタ!$B$6:$B$405,$AN1781)))</f>
        <v/>
      </c>
      <c r="W1781" s="14">
        <f>IF($AN1781="",IF($B1781="","",$R1781),IF(INDEX(職員マスタ!$C$6:$C$405,$AN1781)="",$R1781,INDEX(職員マスタ!$C$6:$C$405,$AN1781)))</f>
        <v/>
      </c>
      <c r="X1781" s="14">
        <f>IF($AO1781="","","R"&amp;$C1781&amp;"."&amp;$D1781)</f>
        <v/>
      </c>
      <c r="Y1781" s="15">
        <f>IF($AN1781="","",IF(INDEX(職員マスタ!$K$6:$K$405,$AN1781)="","",INDEX(職員マスタ!$K$6:$K$405,$AN1781)))</f>
        <v/>
      </c>
      <c r="Z1781" s="14">
        <f>IF(OR($E1781="",$Y1781=""),"",IF($E1781&gt;=$Y1781,"×",IF($E1781&gt;=$Y1781*設定!$C$5,"△","○")))</f>
        <v/>
      </c>
      <c r="AA1781" s="15">
        <f>IF($Z1781="","",IF($Z1781="×",0,IF($Z1781="○",ROUNDDOWN($E1781*設定!$C$4,0),ROUNDDOWN($E1781*ROUND((9*$Y1781-9*$E1781)/(10*$E1781),4),0))))</f>
        <v/>
      </c>
      <c r="AB1781" s="13" t="n"/>
      <c r="AC1781" s="15">
        <f>IF($B1781="","",IF($AB1781&lt;&gt;"",$AB1781,IF($AA1781="","",IF($AA1781&lt;=設定!$C$3,0,$AA1781))))</f>
        <v/>
      </c>
      <c r="AD1781" s="14">
        <f>IF($B1781="","",IF(AND($AE1781&lt;&gt;"",$AG1781="",$AJ1781=""),"保留中",IF($AJ1781&lt;&gt;"",IF(N($AC1781)&gt;0,"支給済","不支給"),IF($AC1781="","要確認",IF($AC1781=0,"不支給","未処理")))))</f>
        <v/>
      </c>
      <c r="AE1781" s="12" t="n"/>
      <c r="AF1781" s="11" t="n"/>
      <c r="AG1781" s="11" t="n"/>
      <c r="AH1781" s="11" t="n"/>
      <c r="AI1781" s="14">
        <f>IF(AND($AD1781="保留中",$AF1781&lt;&gt;""),TODAY()-$AF1781,"")</f>
        <v/>
      </c>
      <c r="AJ1781" s="12" t="n"/>
      <c r="AK1781" s="14">
        <f>IF($B1781="","",IF($AO1781="","対象年月が未入力／","")&amp;IF($B1781="","",IF($AN1781="","職員マスタに未登録の職員番号／",IF($Y1781="","標準報酬月額が未登録／","")&amp;IF(AND($AO1781&lt;&gt;"",OR(AND(INDEX(職員マスタ!$G$6:$G$405,$AN1781)&lt;&gt;"",INDEX(職員マスタ!$G$6:$G$405,$AN1781)&gt;EOMONTH($AO1781,0)),AND(INDEX(職員マスタ!$H$6:$H$405,$AN1781)&lt;&gt;"",INDEX(職員マスタ!$H$6:$H$405,$AN1781)&lt;$AO1781))),"対象月が時短期間外／","")&amp;IF(AND(INDEX(職員マスタ!$F$6:$F$405,$AN1781)&lt;&gt;"",$AO1781&lt;&gt;"",INDEX(職員マスタ!$F$6:$F$405,$AN1781)&lt;$AO1781),"対象月に子が2歳到達済／","")&amp;IF(AND($H1781&lt;&gt;"",INDEX(職員マスタ!$B$6:$B$405,$AN1781)&lt;&gt;"",SUBSTITUTE(SUBSTITUTE($H1781," ","")," ","")&lt;&gt;SUBSTITUTE(SUBSTITUTE(INDEX(職員マスタ!$B$6:$B$405,$AN1781)," ","")," ","")),"氏名がマスタと相違／","")&amp;IF(AND($Q1781&lt;&gt;"",INDEX(職員マスタ!$E$6:$E$405,$AN1781)&lt;&gt;"",$Q1781&lt;&gt;INDEX(職員マスタ!$E$6:$E$405,$AN1781)),"子の生年月日がマスタと相違／","")&amp;IF(AND($L1781&lt;&gt;"",INDEX(職員マスタ!$G$6:$G$405,$AN1781)&lt;&gt;"",$L1781&lt;&gt;INDEX(職員マスタ!$G$6:$G$405,$AN1781)),"時短開始日がマスタと相違／","")&amp;IF(AND($M1781&lt;&gt;"",INDEX(職員マスタ!$H$6:$H$405,$AN1781)&lt;&gt;"",$M1781&lt;&gt;INDEX(職員マスタ!$H$6:$H$405,$AN1781)),"時短終了日がマスタと相違／","")))&amp;IF(AND($B1781&lt;&gt;"",$E1781=""),"報酬額が未入力／","")&amp;IF(N($U1781)&gt;0,"申請書に入力エラーが残っています／","")&amp;IF(AND($B1781&lt;&gt;"",$AO1781&lt;&gt;""),IF(COUNTIFS($B$6:$B$3005,$B1781,$C$6:$C$3005,$C1781,$D$6:$D$3005,$D1781)&gt;1,"同じ月の請求が重複しています／",""),"")&amp;IF(AND(N($E1781)&gt;0,$Z1781&lt;&gt;"",$Z1781&lt;&gt;"×",$AC1781=0,$AB1781=""),"計算額が下限以下のため不支給／",""))</f>
        <v/>
      </c>
      <c r="AL1781" s="12" t="n"/>
      <c r="AM1781" s="14">
        <f>IF($AD1781="保留中",COUNTIF($AD$6:$AD1781,"保留中"),"")</f>
        <v/>
      </c>
      <c r="AN1781" s="14">
        <f>IF($AO1781="","",IF(SUMPRODUCT(MAX((職員マスタ!$A$6:$A$405=$B1781)*(((職員マスタ!$G$6:$G$405="")+(職員マスタ!$G$6:$G$405&lt;=EOMONTH($AO1781,0)))&gt;0)*(((職員マスタ!$H$6:$H$405="")+(職員マスタ!$H$6:$H$405&gt;=$AO1781))&gt;0)*(ROW(職員マスタ!$A$6:$A$405)-5)))&gt;0,SUMPRODUCT(MAX((職員マスタ!$A$6:$A$405=$B1781)*(((職員マスタ!$G$6:$G$405="")+(職員マスタ!$G$6:$G$405&lt;=EOMONTH($AO1781,0)))&gt;0)*(((職員マスタ!$H$6:$H$405="")+(職員マスタ!$H$6:$H$405&gt;=$AO1781))&gt;0)*(ROW(職員マスタ!$A$6:$A$405)-5))),IFERROR(MATCH($B1781,職員マスタ!$A$6:$A$405,0),"")))</f>
        <v/>
      </c>
      <c r="AO1781" s="16">
        <f>IF(OR($B1781="",$C1781="",$D1781=""),"",DATE($C1781+2018,$D1781,1))</f>
        <v/>
      </c>
    </row>
    <row r="1782">
      <c r="A1782" s="11" t="n"/>
      <c r="B1782" s="12" t="n"/>
      <c r="C1782" s="12" t="n"/>
      <c r="D1782" s="12" t="n"/>
      <c r="E1782" s="13" t="n"/>
      <c r="F1782" s="12" t="n"/>
      <c r="G1782" s="13" t="n"/>
      <c r="H1782" s="12" t="n"/>
      <c r="I1782" s="12" t="n"/>
      <c r="J1782" s="12" t="n"/>
      <c r="K1782" s="12" t="n"/>
      <c r="L1782" s="11" t="n"/>
      <c r="M1782" s="11" t="n"/>
      <c r="N1782" s="11" t="n"/>
      <c r="O1782" s="11" t="n"/>
      <c r="P1782" s="12" t="n"/>
      <c r="Q1782" s="11" t="n"/>
      <c r="R1782" s="12" t="n"/>
      <c r="S1782" s="11" t="n"/>
      <c r="T1782" s="12" t="n"/>
      <c r="U1782" s="12" t="n"/>
      <c r="V1782" s="14">
        <f>IF($AN1782="",IF($B1782="","",$H1782),IF(INDEX(職員マスタ!$B$6:$B$405,$AN1782)="",$H1782,INDEX(職員マスタ!$B$6:$B$405,$AN1782)))</f>
        <v/>
      </c>
      <c r="W1782" s="14">
        <f>IF($AN1782="",IF($B1782="","",$R1782),IF(INDEX(職員マスタ!$C$6:$C$405,$AN1782)="",$R1782,INDEX(職員マスタ!$C$6:$C$405,$AN1782)))</f>
        <v/>
      </c>
      <c r="X1782" s="14">
        <f>IF($AO1782="","","R"&amp;$C1782&amp;"."&amp;$D1782)</f>
        <v/>
      </c>
      <c r="Y1782" s="15">
        <f>IF($AN1782="","",IF(INDEX(職員マスタ!$K$6:$K$405,$AN1782)="","",INDEX(職員マスタ!$K$6:$K$405,$AN1782)))</f>
        <v/>
      </c>
      <c r="Z1782" s="14">
        <f>IF(OR($E1782="",$Y1782=""),"",IF($E1782&gt;=$Y1782,"×",IF($E1782&gt;=$Y1782*設定!$C$5,"△","○")))</f>
        <v/>
      </c>
      <c r="AA1782" s="15">
        <f>IF($Z1782="","",IF($Z1782="×",0,IF($Z1782="○",ROUNDDOWN($E1782*設定!$C$4,0),ROUNDDOWN($E1782*ROUND((9*$Y1782-9*$E1782)/(10*$E1782),4),0))))</f>
        <v/>
      </c>
      <c r="AB1782" s="13" t="n"/>
      <c r="AC1782" s="15">
        <f>IF($B1782="","",IF($AB1782&lt;&gt;"",$AB1782,IF($AA1782="","",IF($AA1782&lt;=設定!$C$3,0,$AA1782))))</f>
        <v/>
      </c>
      <c r="AD1782" s="14">
        <f>IF($B1782="","",IF(AND($AE1782&lt;&gt;"",$AG1782="",$AJ1782=""),"保留中",IF($AJ1782&lt;&gt;"",IF(N($AC1782)&gt;0,"支給済","不支給"),IF($AC1782="","要確認",IF($AC1782=0,"不支給","未処理")))))</f>
        <v/>
      </c>
      <c r="AE1782" s="12" t="n"/>
      <c r="AF1782" s="11" t="n"/>
      <c r="AG1782" s="11" t="n"/>
      <c r="AH1782" s="11" t="n"/>
      <c r="AI1782" s="14">
        <f>IF(AND($AD1782="保留中",$AF1782&lt;&gt;""),TODAY()-$AF1782,"")</f>
        <v/>
      </c>
      <c r="AJ1782" s="12" t="n"/>
      <c r="AK1782" s="14">
        <f>IF($B1782="","",IF($AO1782="","対象年月が未入力／","")&amp;IF($B1782="","",IF($AN1782="","職員マスタに未登録の職員番号／",IF($Y1782="","標準報酬月額が未登録／","")&amp;IF(AND($AO1782&lt;&gt;"",OR(AND(INDEX(職員マスタ!$G$6:$G$405,$AN1782)&lt;&gt;"",INDEX(職員マスタ!$G$6:$G$405,$AN1782)&gt;EOMONTH($AO1782,0)),AND(INDEX(職員マスタ!$H$6:$H$405,$AN1782)&lt;&gt;"",INDEX(職員マスタ!$H$6:$H$405,$AN1782)&lt;$AO1782))),"対象月が時短期間外／","")&amp;IF(AND(INDEX(職員マスタ!$F$6:$F$405,$AN1782)&lt;&gt;"",$AO1782&lt;&gt;"",INDEX(職員マスタ!$F$6:$F$405,$AN1782)&lt;$AO1782),"対象月に子が2歳到達済／","")&amp;IF(AND($H1782&lt;&gt;"",INDEX(職員マスタ!$B$6:$B$405,$AN1782)&lt;&gt;"",SUBSTITUTE(SUBSTITUTE($H1782," ","")," ","")&lt;&gt;SUBSTITUTE(SUBSTITUTE(INDEX(職員マスタ!$B$6:$B$405,$AN1782)," ","")," ","")),"氏名がマスタと相違／","")&amp;IF(AND($Q1782&lt;&gt;"",INDEX(職員マスタ!$E$6:$E$405,$AN1782)&lt;&gt;"",$Q1782&lt;&gt;INDEX(職員マスタ!$E$6:$E$405,$AN1782)),"子の生年月日がマスタと相違／","")&amp;IF(AND($L1782&lt;&gt;"",INDEX(職員マスタ!$G$6:$G$405,$AN1782)&lt;&gt;"",$L1782&lt;&gt;INDEX(職員マスタ!$G$6:$G$405,$AN1782)),"時短開始日がマスタと相違／","")&amp;IF(AND($M1782&lt;&gt;"",INDEX(職員マスタ!$H$6:$H$405,$AN1782)&lt;&gt;"",$M1782&lt;&gt;INDEX(職員マスタ!$H$6:$H$405,$AN1782)),"時短終了日がマスタと相違／","")))&amp;IF(AND($B1782&lt;&gt;"",$E1782=""),"報酬額が未入力／","")&amp;IF(N($U1782)&gt;0,"申請書に入力エラーが残っています／","")&amp;IF(AND($B1782&lt;&gt;"",$AO1782&lt;&gt;""),IF(COUNTIFS($B$6:$B$3005,$B1782,$C$6:$C$3005,$C1782,$D$6:$D$3005,$D1782)&gt;1,"同じ月の請求が重複しています／",""),"")&amp;IF(AND(N($E1782)&gt;0,$Z1782&lt;&gt;"",$Z1782&lt;&gt;"×",$AC1782=0,$AB1782=""),"計算額が下限以下のため不支給／",""))</f>
        <v/>
      </c>
      <c r="AL1782" s="12" t="n"/>
      <c r="AM1782" s="14">
        <f>IF($AD1782="保留中",COUNTIF($AD$6:$AD1782,"保留中"),"")</f>
        <v/>
      </c>
      <c r="AN1782" s="14">
        <f>IF($AO1782="","",IF(SUMPRODUCT(MAX((職員マスタ!$A$6:$A$405=$B1782)*(((職員マスタ!$G$6:$G$405="")+(職員マスタ!$G$6:$G$405&lt;=EOMONTH($AO1782,0)))&gt;0)*(((職員マスタ!$H$6:$H$405="")+(職員マスタ!$H$6:$H$405&gt;=$AO1782))&gt;0)*(ROW(職員マスタ!$A$6:$A$405)-5)))&gt;0,SUMPRODUCT(MAX((職員マスタ!$A$6:$A$405=$B1782)*(((職員マスタ!$G$6:$G$405="")+(職員マスタ!$G$6:$G$405&lt;=EOMONTH($AO1782,0)))&gt;0)*(((職員マスタ!$H$6:$H$405="")+(職員マスタ!$H$6:$H$405&gt;=$AO1782))&gt;0)*(ROW(職員マスタ!$A$6:$A$405)-5))),IFERROR(MATCH($B1782,職員マスタ!$A$6:$A$405,0),"")))</f>
        <v/>
      </c>
      <c r="AO1782" s="16">
        <f>IF(OR($B1782="",$C1782="",$D1782=""),"",DATE($C1782+2018,$D1782,1))</f>
        <v/>
      </c>
    </row>
    <row r="1783">
      <c r="A1783" s="11" t="n"/>
      <c r="B1783" s="12" t="n"/>
      <c r="C1783" s="12" t="n"/>
      <c r="D1783" s="12" t="n"/>
      <c r="E1783" s="13" t="n"/>
      <c r="F1783" s="12" t="n"/>
      <c r="G1783" s="13" t="n"/>
      <c r="H1783" s="12" t="n"/>
      <c r="I1783" s="12" t="n"/>
      <c r="J1783" s="12" t="n"/>
      <c r="K1783" s="12" t="n"/>
      <c r="L1783" s="11" t="n"/>
      <c r="M1783" s="11" t="n"/>
      <c r="N1783" s="11" t="n"/>
      <c r="O1783" s="11" t="n"/>
      <c r="P1783" s="12" t="n"/>
      <c r="Q1783" s="11" t="n"/>
      <c r="R1783" s="12" t="n"/>
      <c r="S1783" s="11" t="n"/>
      <c r="T1783" s="12" t="n"/>
      <c r="U1783" s="12" t="n"/>
      <c r="V1783" s="14">
        <f>IF($AN1783="",IF($B1783="","",$H1783),IF(INDEX(職員マスタ!$B$6:$B$405,$AN1783)="",$H1783,INDEX(職員マスタ!$B$6:$B$405,$AN1783)))</f>
        <v/>
      </c>
      <c r="W1783" s="14">
        <f>IF($AN1783="",IF($B1783="","",$R1783),IF(INDEX(職員マスタ!$C$6:$C$405,$AN1783)="",$R1783,INDEX(職員マスタ!$C$6:$C$405,$AN1783)))</f>
        <v/>
      </c>
      <c r="X1783" s="14">
        <f>IF($AO1783="","","R"&amp;$C1783&amp;"."&amp;$D1783)</f>
        <v/>
      </c>
      <c r="Y1783" s="15">
        <f>IF($AN1783="","",IF(INDEX(職員マスタ!$K$6:$K$405,$AN1783)="","",INDEX(職員マスタ!$K$6:$K$405,$AN1783)))</f>
        <v/>
      </c>
      <c r="Z1783" s="14">
        <f>IF(OR($E1783="",$Y1783=""),"",IF($E1783&gt;=$Y1783,"×",IF($E1783&gt;=$Y1783*設定!$C$5,"△","○")))</f>
        <v/>
      </c>
      <c r="AA1783" s="15">
        <f>IF($Z1783="","",IF($Z1783="×",0,IF($Z1783="○",ROUNDDOWN($E1783*設定!$C$4,0),ROUNDDOWN($E1783*ROUND((9*$Y1783-9*$E1783)/(10*$E1783),4),0))))</f>
        <v/>
      </c>
      <c r="AB1783" s="13" t="n"/>
      <c r="AC1783" s="15">
        <f>IF($B1783="","",IF($AB1783&lt;&gt;"",$AB1783,IF($AA1783="","",IF($AA1783&lt;=設定!$C$3,0,$AA1783))))</f>
        <v/>
      </c>
      <c r="AD1783" s="14">
        <f>IF($B1783="","",IF(AND($AE1783&lt;&gt;"",$AG1783="",$AJ1783=""),"保留中",IF($AJ1783&lt;&gt;"",IF(N($AC1783)&gt;0,"支給済","不支給"),IF($AC1783="","要確認",IF($AC1783=0,"不支給","未処理")))))</f>
        <v/>
      </c>
      <c r="AE1783" s="12" t="n"/>
      <c r="AF1783" s="11" t="n"/>
      <c r="AG1783" s="11" t="n"/>
      <c r="AH1783" s="11" t="n"/>
      <c r="AI1783" s="14">
        <f>IF(AND($AD1783="保留中",$AF1783&lt;&gt;""),TODAY()-$AF1783,"")</f>
        <v/>
      </c>
      <c r="AJ1783" s="12" t="n"/>
      <c r="AK1783" s="14">
        <f>IF($B1783="","",IF($AO1783="","対象年月が未入力／","")&amp;IF($B1783="","",IF($AN1783="","職員マスタに未登録の職員番号／",IF($Y1783="","標準報酬月額が未登録／","")&amp;IF(AND($AO1783&lt;&gt;"",OR(AND(INDEX(職員マスタ!$G$6:$G$405,$AN1783)&lt;&gt;"",INDEX(職員マスタ!$G$6:$G$405,$AN1783)&gt;EOMONTH($AO1783,0)),AND(INDEX(職員マスタ!$H$6:$H$405,$AN1783)&lt;&gt;"",INDEX(職員マスタ!$H$6:$H$405,$AN1783)&lt;$AO1783))),"対象月が時短期間外／","")&amp;IF(AND(INDEX(職員マスタ!$F$6:$F$405,$AN1783)&lt;&gt;"",$AO1783&lt;&gt;"",INDEX(職員マスタ!$F$6:$F$405,$AN1783)&lt;$AO1783),"対象月に子が2歳到達済／","")&amp;IF(AND($H1783&lt;&gt;"",INDEX(職員マスタ!$B$6:$B$405,$AN1783)&lt;&gt;"",SUBSTITUTE(SUBSTITUTE($H1783," ","")," ","")&lt;&gt;SUBSTITUTE(SUBSTITUTE(INDEX(職員マスタ!$B$6:$B$405,$AN1783)," ","")," ","")),"氏名がマスタと相違／","")&amp;IF(AND($Q1783&lt;&gt;"",INDEX(職員マスタ!$E$6:$E$405,$AN1783)&lt;&gt;"",$Q1783&lt;&gt;INDEX(職員マスタ!$E$6:$E$405,$AN1783)),"子の生年月日がマスタと相違／","")&amp;IF(AND($L1783&lt;&gt;"",INDEX(職員マスタ!$G$6:$G$405,$AN1783)&lt;&gt;"",$L1783&lt;&gt;INDEX(職員マスタ!$G$6:$G$405,$AN1783)),"時短開始日がマスタと相違／","")&amp;IF(AND($M1783&lt;&gt;"",INDEX(職員マスタ!$H$6:$H$405,$AN1783)&lt;&gt;"",$M1783&lt;&gt;INDEX(職員マスタ!$H$6:$H$405,$AN1783)),"時短終了日がマスタと相違／","")))&amp;IF(AND($B1783&lt;&gt;"",$E1783=""),"報酬額が未入力／","")&amp;IF(N($U1783)&gt;0,"申請書に入力エラーが残っています／","")&amp;IF(AND($B1783&lt;&gt;"",$AO1783&lt;&gt;""),IF(COUNTIFS($B$6:$B$3005,$B1783,$C$6:$C$3005,$C1783,$D$6:$D$3005,$D1783)&gt;1,"同じ月の請求が重複しています／",""),"")&amp;IF(AND(N($E1783)&gt;0,$Z1783&lt;&gt;"",$Z1783&lt;&gt;"×",$AC1783=0,$AB1783=""),"計算額が下限以下のため不支給／",""))</f>
        <v/>
      </c>
      <c r="AL1783" s="12" t="n"/>
      <c r="AM1783" s="14">
        <f>IF($AD1783="保留中",COUNTIF($AD$6:$AD1783,"保留中"),"")</f>
        <v/>
      </c>
      <c r="AN1783" s="14">
        <f>IF($AO1783="","",IF(SUMPRODUCT(MAX((職員マスタ!$A$6:$A$405=$B1783)*(((職員マスタ!$G$6:$G$405="")+(職員マスタ!$G$6:$G$405&lt;=EOMONTH($AO1783,0)))&gt;0)*(((職員マスタ!$H$6:$H$405="")+(職員マスタ!$H$6:$H$405&gt;=$AO1783))&gt;0)*(ROW(職員マスタ!$A$6:$A$405)-5)))&gt;0,SUMPRODUCT(MAX((職員マスタ!$A$6:$A$405=$B1783)*(((職員マスタ!$G$6:$G$405="")+(職員マスタ!$G$6:$G$405&lt;=EOMONTH($AO1783,0)))&gt;0)*(((職員マスタ!$H$6:$H$405="")+(職員マスタ!$H$6:$H$405&gt;=$AO1783))&gt;0)*(ROW(職員マスタ!$A$6:$A$405)-5))),IFERROR(MATCH($B1783,職員マスタ!$A$6:$A$405,0),"")))</f>
        <v/>
      </c>
      <c r="AO1783" s="16">
        <f>IF(OR($B1783="",$C1783="",$D1783=""),"",DATE($C1783+2018,$D1783,1))</f>
        <v/>
      </c>
    </row>
    <row r="1784">
      <c r="A1784" s="11" t="n"/>
      <c r="B1784" s="12" t="n"/>
      <c r="C1784" s="12" t="n"/>
      <c r="D1784" s="12" t="n"/>
      <c r="E1784" s="13" t="n"/>
      <c r="F1784" s="12" t="n"/>
      <c r="G1784" s="13" t="n"/>
      <c r="H1784" s="12" t="n"/>
      <c r="I1784" s="12" t="n"/>
      <c r="J1784" s="12" t="n"/>
      <c r="K1784" s="12" t="n"/>
      <c r="L1784" s="11" t="n"/>
      <c r="M1784" s="11" t="n"/>
      <c r="N1784" s="11" t="n"/>
      <c r="O1784" s="11" t="n"/>
      <c r="P1784" s="12" t="n"/>
      <c r="Q1784" s="11" t="n"/>
      <c r="R1784" s="12" t="n"/>
      <c r="S1784" s="11" t="n"/>
      <c r="T1784" s="12" t="n"/>
      <c r="U1784" s="12" t="n"/>
      <c r="V1784" s="14">
        <f>IF($AN1784="",IF($B1784="","",$H1784),IF(INDEX(職員マスタ!$B$6:$B$405,$AN1784)="",$H1784,INDEX(職員マスタ!$B$6:$B$405,$AN1784)))</f>
        <v/>
      </c>
      <c r="W1784" s="14">
        <f>IF($AN1784="",IF($B1784="","",$R1784),IF(INDEX(職員マスタ!$C$6:$C$405,$AN1784)="",$R1784,INDEX(職員マスタ!$C$6:$C$405,$AN1784)))</f>
        <v/>
      </c>
      <c r="X1784" s="14">
        <f>IF($AO1784="","","R"&amp;$C1784&amp;"."&amp;$D1784)</f>
        <v/>
      </c>
      <c r="Y1784" s="15">
        <f>IF($AN1784="","",IF(INDEX(職員マスタ!$K$6:$K$405,$AN1784)="","",INDEX(職員マスタ!$K$6:$K$405,$AN1784)))</f>
        <v/>
      </c>
      <c r="Z1784" s="14">
        <f>IF(OR($E1784="",$Y1784=""),"",IF($E1784&gt;=$Y1784,"×",IF($E1784&gt;=$Y1784*設定!$C$5,"△","○")))</f>
        <v/>
      </c>
      <c r="AA1784" s="15">
        <f>IF($Z1784="","",IF($Z1784="×",0,IF($Z1784="○",ROUNDDOWN($E1784*設定!$C$4,0),ROUNDDOWN($E1784*ROUND((9*$Y1784-9*$E1784)/(10*$E1784),4),0))))</f>
        <v/>
      </c>
      <c r="AB1784" s="13" t="n"/>
      <c r="AC1784" s="15">
        <f>IF($B1784="","",IF($AB1784&lt;&gt;"",$AB1784,IF($AA1784="","",IF($AA1784&lt;=設定!$C$3,0,$AA1784))))</f>
        <v/>
      </c>
      <c r="AD1784" s="14">
        <f>IF($B1784="","",IF(AND($AE1784&lt;&gt;"",$AG1784="",$AJ1784=""),"保留中",IF($AJ1784&lt;&gt;"",IF(N($AC1784)&gt;0,"支給済","不支給"),IF($AC1784="","要確認",IF($AC1784=0,"不支給","未処理")))))</f>
        <v/>
      </c>
      <c r="AE1784" s="12" t="n"/>
      <c r="AF1784" s="11" t="n"/>
      <c r="AG1784" s="11" t="n"/>
      <c r="AH1784" s="11" t="n"/>
      <c r="AI1784" s="14">
        <f>IF(AND($AD1784="保留中",$AF1784&lt;&gt;""),TODAY()-$AF1784,"")</f>
        <v/>
      </c>
      <c r="AJ1784" s="12" t="n"/>
      <c r="AK1784" s="14">
        <f>IF($B1784="","",IF($AO1784="","対象年月が未入力／","")&amp;IF($B1784="","",IF($AN1784="","職員マスタに未登録の職員番号／",IF($Y1784="","標準報酬月額が未登録／","")&amp;IF(AND($AO1784&lt;&gt;"",OR(AND(INDEX(職員マスタ!$G$6:$G$405,$AN1784)&lt;&gt;"",INDEX(職員マスタ!$G$6:$G$405,$AN1784)&gt;EOMONTH($AO1784,0)),AND(INDEX(職員マスタ!$H$6:$H$405,$AN1784)&lt;&gt;"",INDEX(職員マスタ!$H$6:$H$405,$AN1784)&lt;$AO1784))),"対象月が時短期間外／","")&amp;IF(AND(INDEX(職員マスタ!$F$6:$F$405,$AN1784)&lt;&gt;"",$AO1784&lt;&gt;"",INDEX(職員マスタ!$F$6:$F$405,$AN1784)&lt;$AO1784),"対象月に子が2歳到達済／","")&amp;IF(AND($H1784&lt;&gt;"",INDEX(職員マスタ!$B$6:$B$405,$AN1784)&lt;&gt;"",SUBSTITUTE(SUBSTITUTE($H1784," ","")," ","")&lt;&gt;SUBSTITUTE(SUBSTITUTE(INDEX(職員マスタ!$B$6:$B$405,$AN1784)," ","")," ","")),"氏名がマスタと相違／","")&amp;IF(AND($Q1784&lt;&gt;"",INDEX(職員マスタ!$E$6:$E$405,$AN1784)&lt;&gt;"",$Q1784&lt;&gt;INDEX(職員マスタ!$E$6:$E$405,$AN1784)),"子の生年月日がマスタと相違／","")&amp;IF(AND($L1784&lt;&gt;"",INDEX(職員マスタ!$G$6:$G$405,$AN1784)&lt;&gt;"",$L1784&lt;&gt;INDEX(職員マスタ!$G$6:$G$405,$AN1784)),"時短開始日がマスタと相違／","")&amp;IF(AND($M1784&lt;&gt;"",INDEX(職員マスタ!$H$6:$H$405,$AN1784)&lt;&gt;"",$M1784&lt;&gt;INDEX(職員マスタ!$H$6:$H$405,$AN1784)),"時短終了日がマスタと相違／","")))&amp;IF(AND($B1784&lt;&gt;"",$E1784=""),"報酬額が未入力／","")&amp;IF(N($U1784)&gt;0,"申請書に入力エラーが残っています／","")&amp;IF(AND($B1784&lt;&gt;"",$AO1784&lt;&gt;""),IF(COUNTIFS($B$6:$B$3005,$B1784,$C$6:$C$3005,$C1784,$D$6:$D$3005,$D1784)&gt;1,"同じ月の請求が重複しています／",""),"")&amp;IF(AND(N($E1784)&gt;0,$Z1784&lt;&gt;"",$Z1784&lt;&gt;"×",$AC1784=0,$AB1784=""),"計算額が下限以下のため不支給／",""))</f>
        <v/>
      </c>
      <c r="AL1784" s="12" t="n"/>
      <c r="AM1784" s="14">
        <f>IF($AD1784="保留中",COUNTIF($AD$6:$AD1784,"保留中"),"")</f>
        <v/>
      </c>
      <c r="AN1784" s="14">
        <f>IF($AO1784="","",IF(SUMPRODUCT(MAX((職員マスタ!$A$6:$A$405=$B1784)*(((職員マスタ!$G$6:$G$405="")+(職員マスタ!$G$6:$G$405&lt;=EOMONTH($AO1784,0)))&gt;0)*(((職員マスタ!$H$6:$H$405="")+(職員マスタ!$H$6:$H$405&gt;=$AO1784))&gt;0)*(ROW(職員マスタ!$A$6:$A$405)-5)))&gt;0,SUMPRODUCT(MAX((職員マスタ!$A$6:$A$405=$B1784)*(((職員マスタ!$G$6:$G$405="")+(職員マスタ!$G$6:$G$405&lt;=EOMONTH($AO1784,0)))&gt;0)*(((職員マスタ!$H$6:$H$405="")+(職員マスタ!$H$6:$H$405&gt;=$AO1784))&gt;0)*(ROW(職員マスタ!$A$6:$A$405)-5))),IFERROR(MATCH($B1784,職員マスタ!$A$6:$A$405,0),"")))</f>
        <v/>
      </c>
      <c r="AO1784" s="16">
        <f>IF(OR($B1784="",$C1784="",$D1784=""),"",DATE($C1784+2018,$D1784,1))</f>
        <v/>
      </c>
    </row>
    <row r="1785">
      <c r="A1785" s="11" t="n"/>
      <c r="B1785" s="12" t="n"/>
      <c r="C1785" s="12" t="n"/>
      <c r="D1785" s="12" t="n"/>
      <c r="E1785" s="13" t="n"/>
      <c r="F1785" s="12" t="n"/>
      <c r="G1785" s="13" t="n"/>
      <c r="H1785" s="12" t="n"/>
      <c r="I1785" s="12" t="n"/>
      <c r="J1785" s="12" t="n"/>
      <c r="K1785" s="12" t="n"/>
      <c r="L1785" s="11" t="n"/>
      <c r="M1785" s="11" t="n"/>
      <c r="N1785" s="11" t="n"/>
      <c r="O1785" s="11" t="n"/>
      <c r="P1785" s="12" t="n"/>
      <c r="Q1785" s="11" t="n"/>
      <c r="R1785" s="12" t="n"/>
      <c r="S1785" s="11" t="n"/>
      <c r="T1785" s="12" t="n"/>
      <c r="U1785" s="12" t="n"/>
      <c r="V1785" s="14">
        <f>IF($AN1785="",IF($B1785="","",$H1785),IF(INDEX(職員マスタ!$B$6:$B$405,$AN1785)="",$H1785,INDEX(職員マスタ!$B$6:$B$405,$AN1785)))</f>
        <v/>
      </c>
      <c r="W1785" s="14">
        <f>IF($AN1785="",IF($B1785="","",$R1785),IF(INDEX(職員マスタ!$C$6:$C$405,$AN1785)="",$R1785,INDEX(職員マスタ!$C$6:$C$405,$AN1785)))</f>
        <v/>
      </c>
      <c r="X1785" s="14">
        <f>IF($AO1785="","","R"&amp;$C1785&amp;"."&amp;$D1785)</f>
        <v/>
      </c>
      <c r="Y1785" s="15">
        <f>IF($AN1785="","",IF(INDEX(職員マスタ!$K$6:$K$405,$AN1785)="","",INDEX(職員マスタ!$K$6:$K$405,$AN1785)))</f>
        <v/>
      </c>
      <c r="Z1785" s="14">
        <f>IF(OR($E1785="",$Y1785=""),"",IF($E1785&gt;=$Y1785,"×",IF($E1785&gt;=$Y1785*設定!$C$5,"△","○")))</f>
        <v/>
      </c>
      <c r="AA1785" s="15">
        <f>IF($Z1785="","",IF($Z1785="×",0,IF($Z1785="○",ROUNDDOWN($E1785*設定!$C$4,0),ROUNDDOWN($E1785*ROUND((9*$Y1785-9*$E1785)/(10*$E1785),4),0))))</f>
        <v/>
      </c>
      <c r="AB1785" s="13" t="n"/>
      <c r="AC1785" s="15">
        <f>IF($B1785="","",IF($AB1785&lt;&gt;"",$AB1785,IF($AA1785="","",IF($AA1785&lt;=設定!$C$3,0,$AA1785))))</f>
        <v/>
      </c>
      <c r="AD1785" s="14">
        <f>IF($B1785="","",IF(AND($AE1785&lt;&gt;"",$AG1785="",$AJ1785=""),"保留中",IF($AJ1785&lt;&gt;"",IF(N($AC1785)&gt;0,"支給済","不支給"),IF($AC1785="","要確認",IF($AC1785=0,"不支給","未処理")))))</f>
        <v/>
      </c>
      <c r="AE1785" s="12" t="n"/>
      <c r="AF1785" s="11" t="n"/>
      <c r="AG1785" s="11" t="n"/>
      <c r="AH1785" s="11" t="n"/>
      <c r="AI1785" s="14">
        <f>IF(AND($AD1785="保留中",$AF1785&lt;&gt;""),TODAY()-$AF1785,"")</f>
        <v/>
      </c>
      <c r="AJ1785" s="12" t="n"/>
      <c r="AK1785" s="14">
        <f>IF($B1785="","",IF($AO1785="","対象年月が未入力／","")&amp;IF($B1785="","",IF($AN1785="","職員マスタに未登録の職員番号／",IF($Y1785="","標準報酬月額が未登録／","")&amp;IF(AND($AO1785&lt;&gt;"",OR(AND(INDEX(職員マスタ!$G$6:$G$405,$AN1785)&lt;&gt;"",INDEX(職員マスタ!$G$6:$G$405,$AN1785)&gt;EOMONTH($AO1785,0)),AND(INDEX(職員マスタ!$H$6:$H$405,$AN1785)&lt;&gt;"",INDEX(職員マスタ!$H$6:$H$405,$AN1785)&lt;$AO1785))),"対象月が時短期間外／","")&amp;IF(AND(INDEX(職員マスタ!$F$6:$F$405,$AN1785)&lt;&gt;"",$AO1785&lt;&gt;"",INDEX(職員マスタ!$F$6:$F$405,$AN1785)&lt;$AO1785),"対象月に子が2歳到達済／","")&amp;IF(AND($H1785&lt;&gt;"",INDEX(職員マスタ!$B$6:$B$405,$AN1785)&lt;&gt;"",SUBSTITUTE(SUBSTITUTE($H1785," ","")," ","")&lt;&gt;SUBSTITUTE(SUBSTITUTE(INDEX(職員マスタ!$B$6:$B$405,$AN1785)," ","")," ","")),"氏名がマスタと相違／","")&amp;IF(AND($Q1785&lt;&gt;"",INDEX(職員マスタ!$E$6:$E$405,$AN1785)&lt;&gt;"",$Q1785&lt;&gt;INDEX(職員マスタ!$E$6:$E$405,$AN1785)),"子の生年月日がマスタと相違／","")&amp;IF(AND($L1785&lt;&gt;"",INDEX(職員マスタ!$G$6:$G$405,$AN1785)&lt;&gt;"",$L1785&lt;&gt;INDEX(職員マスタ!$G$6:$G$405,$AN1785)),"時短開始日がマスタと相違／","")&amp;IF(AND($M1785&lt;&gt;"",INDEX(職員マスタ!$H$6:$H$405,$AN1785)&lt;&gt;"",$M1785&lt;&gt;INDEX(職員マスタ!$H$6:$H$405,$AN1785)),"時短終了日がマスタと相違／","")))&amp;IF(AND($B1785&lt;&gt;"",$E1785=""),"報酬額が未入力／","")&amp;IF(N($U1785)&gt;0,"申請書に入力エラーが残っています／","")&amp;IF(AND($B1785&lt;&gt;"",$AO1785&lt;&gt;""),IF(COUNTIFS($B$6:$B$3005,$B1785,$C$6:$C$3005,$C1785,$D$6:$D$3005,$D1785)&gt;1,"同じ月の請求が重複しています／",""),"")&amp;IF(AND(N($E1785)&gt;0,$Z1785&lt;&gt;"",$Z1785&lt;&gt;"×",$AC1785=0,$AB1785=""),"計算額が下限以下のため不支給／",""))</f>
        <v/>
      </c>
      <c r="AL1785" s="12" t="n"/>
      <c r="AM1785" s="14">
        <f>IF($AD1785="保留中",COUNTIF($AD$6:$AD1785,"保留中"),"")</f>
        <v/>
      </c>
      <c r="AN1785" s="14">
        <f>IF($AO1785="","",IF(SUMPRODUCT(MAX((職員マスタ!$A$6:$A$405=$B1785)*(((職員マスタ!$G$6:$G$405="")+(職員マスタ!$G$6:$G$405&lt;=EOMONTH($AO1785,0)))&gt;0)*(((職員マスタ!$H$6:$H$405="")+(職員マスタ!$H$6:$H$405&gt;=$AO1785))&gt;0)*(ROW(職員マスタ!$A$6:$A$405)-5)))&gt;0,SUMPRODUCT(MAX((職員マスタ!$A$6:$A$405=$B1785)*(((職員マスタ!$G$6:$G$405="")+(職員マスタ!$G$6:$G$405&lt;=EOMONTH($AO1785,0)))&gt;0)*(((職員マスタ!$H$6:$H$405="")+(職員マスタ!$H$6:$H$405&gt;=$AO1785))&gt;0)*(ROW(職員マスタ!$A$6:$A$405)-5))),IFERROR(MATCH($B1785,職員マスタ!$A$6:$A$405,0),"")))</f>
        <v/>
      </c>
      <c r="AO1785" s="16">
        <f>IF(OR($B1785="",$C1785="",$D1785=""),"",DATE($C1785+2018,$D1785,1))</f>
        <v/>
      </c>
    </row>
    <row r="1786">
      <c r="A1786" s="11" t="n"/>
      <c r="B1786" s="12" t="n"/>
      <c r="C1786" s="12" t="n"/>
      <c r="D1786" s="12" t="n"/>
      <c r="E1786" s="13" t="n"/>
      <c r="F1786" s="12" t="n"/>
      <c r="G1786" s="13" t="n"/>
      <c r="H1786" s="12" t="n"/>
      <c r="I1786" s="12" t="n"/>
      <c r="J1786" s="12" t="n"/>
      <c r="K1786" s="12" t="n"/>
      <c r="L1786" s="11" t="n"/>
      <c r="M1786" s="11" t="n"/>
      <c r="N1786" s="11" t="n"/>
      <c r="O1786" s="11" t="n"/>
      <c r="P1786" s="12" t="n"/>
      <c r="Q1786" s="11" t="n"/>
      <c r="R1786" s="12" t="n"/>
      <c r="S1786" s="11" t="n"/>
      <c r="T1786" s="12" t="n"/>
      <c r="U1786" s="12" t="n"/>
      <c r="V1786" s="14">
        <f>IF($AN1786="",IF($B1786="","",$H1786),IF(INDEX(職員マスタ!$B$6:$B$405,$AN1786)="",$H1786,INDEX(職員マスタ!$B$6:$B$405,$AN1786)))</f>
        <v/>
      </c>
      <c r="W1786" s="14">
        <f>IF($AN1786="",IF($B1786="","",$R1786),IF(INDEX(職員マスタ!$C$6:$C$405,$AN1786)="",$R1786,INDEX(職員マスタ!$C$6:$C$405,$AN1786)))</f>
        <v/>
      </c>
      <c r="X1786" s="14">
        <f>IF($AO1786="","","R"&amp;$C1786&amp;"."&amp;$D1786)</f>
        <v/>
      </c>
      <c r="Y1786" s="15">
        <f>IF($AN1786="","",IF(INDEX(職員マスタ!$K$6:$K$405,$AN1786)="","",INDEX(職員マスタ!$K$6:$K$405,$AN1786)))</f>
        <v/>
      </c>
      <c r="Z1786" s="14">
        <f>IF(OR($E1786="",$Y1786=""),"",IF($E1786&gt;=$Y1786,"×",IF($E1786&gt;=$Y1786*設定!$C$5,"△","○")))</f>
        <v/>
      </c>
      <c r="AA1786" s="15">
        <f>IF($Z1786="","",IF($Z1786="×",0,IF($Z1786="○",ROUNDDOWN($E1786*設定!$C$4,0),ROUNDDOWN($E1786*ROUND((9*$Y1786-9*$E1786)/(10*$E1786),4),0))))</f>
        <v/>
      </c>
      <c r="AB1786" s="13" t="n"/>
      <c r="AC1786" s="15">
        <f>IF($B1786="","",IF($AB1786&lt;&gt;"",$AB1786,IF($AA1786="","",IF($AA1786&lt;=設定!$C$3,0,$AA1786))))</f>
        <v/>
      </c>
      <c r="AD1786" s="14">
        <f>IF($B1786="","",IF(AND($AE1786&lt;&gt;"",$AG1786="",$AJ1786=""),"保留中",IF($AJ1786&lt;&gt;"",IF(N($AC1786)&gt;0,"支給済","不支給"),IF($AC1786="","要確認",IF($AC1786=0,"不支給","未処理")))))</f>
        <v/>
      </c>
      <c r="AE1786" s="12" t="n"/>
      <c r="AF1786" s="11" t="n"/>
      <c r="AG1786" s="11" t="n"/>
      <c r="AH1786" s="11" t="n"/>
      <c r="AI1786" s="14">
        <f>IF(AND($AD1786="保留中",$AF1786&lt;&gt;""),TODAY()-$AF1786,"")</f>
        <v/>
      </c>
      <c r="AJ1786" s="12" t="n"/>
      <c r="AK1786" s="14">
        <f>IF($B1786="","",IF($AO1786="","対象年月が未入力／","")&amp;IF($B1786="","",IF($AN1786="","職員マスタに未登録の職員番号／",IF($Y1786="","標準報酬月額が未登録／","")&amp;IF(AND($AO1786&lt;&gt;"",OR(AND(INDEX(職員マスタ!$G$6:$G$405,$AN1786)&lt;&gt;"",INDEX(職員マスタ!$G$6:$G$405,$AN1786)&gt;EOMONTH($AO1786,0)),AND(INDEX(職員マスタ!$H$6:$H$405,$AN1786)&lt;&gt;"",INDEX(職員マスタ!$H$6:$H$405,$AN1786)&lt;$AO1786))),"対象月が時短期間外／","")&amp;IF(AND(INDEX(職員マスタ!$F$6:$F$405,$AN1786)&lt;&gt;"",$AO1786&lt;&gt;"",INDEX(職員マスタ!$F$6:$F$405,$AN1786)&lt;$AO1786),"対象月に子が2歳到達済／","")&amp;IF(AND($H1786&lt;&gt;"",INDEX(職員マスタ!$B$6:$B$405,$AN1786)&lt;&gt;"",SUBSTITUTE(SUBSTITUTE($H1786," ","")," ","")&lt;&gt;SUBSTITUTE(SUBSTITUTE(INDEX(職員マスタ!$B$6:$B$405,$AN1786)," ","")," ","")),"氏名がマスタと相違／","")&amp;IF(AND($Q1786&lt;&gt;"",INDEX(職員マスタ!$E$6:$E$405,$AN1786)&lt;&gt;"",$Q1786&lt;&gt;INDEX(職員マスタ!$E$6:$E$405,$AN1786)),"子の生年月日がマスタと相違／","")&amp;IF(AND($L1786&lt;&gt;"",INDEX(職員マスタ!$G$6:$G$405,$AN1786)&lt;&gt;"",$L1786&lt;&gt;INDEX(職員マスタ!$G$6:$G$405,$AN1786)),"時短開始日がマスタと相違／","")&amp;IF(AND($M1786&lt;&gt;"",INDEX(職員マスタ!$H$6:$H$405,$AN1786)&lt;&gt;"",$M1786&lt;&gt;INDEX(職員マスタ!$H$6:$H$405,$AN1786)),"時短終了日がマスタと相違／","")))&amp;IF(AND($B1786&lt;&gt;"",$E1786=""),"報酬額が未入力／","")&amp;IF(N($U1786)&gt;0,"申請書に入力エラーが残っています／","")&amp;IF(AND($B1786&lt;&gt;"",$AO1786&lt;&gt;""),IF(COUNTIFS($B$6:$B$3005,$B1786,$C$6:$C$3005,$C1786,$D$6:$D$3005,$D1786)&gt;1,"同じ月の請求が重複しています／",""),"")&amp;IF(AND(N($E1786)&gt;0,$Z1786&lt;&gt;"",$Z1786&lt;&gt;"×",$AC1786=0,$AB1786=""),"計算額が下限以下のため不支給／",""))</f>
        <v/>
      </c>
      <c r="AL1786" s="12" t="n"/>
      <c r="AM1786" s="14">
        <f>IF($AD1786="保留中",COUNTIF($AD$6:$AD1786,"保留中"),"")</f>
        <v/>
      </c>
      <c r="AN1786" s="14">
        <f>IF($AO1786="","",IF(SUMPRODUCT(MAX((職員マスタ!$A$6:$A$405=$B1786)*(((職員マスタ!$G$6:$G$405="")+(職員マスタ!$G$6:$G$405&lt;=EOMONTH($AO1786,0)))&gt;0)*(((職員マスタ!$H$6:$H$405="")+(職員マスタ!$H$6:$H$405&gt;=$AO1786))&gt;0)*(ROW(職員マスタ!$A$6:$A$405)-5)))&gt;0,SUMPRODUCT(MAX((職員マスタ!$A$6:$A$405=$B1786)*(((職員マスタ!$G$6:$G$405="")+(職員マスタ!$G$6:$G$405&lt;=EOMONTH($AO1786,0)))&gt;0)*(((職員マスタ!$H$6:$H$405="")+(職員マスタ!$H$6:$H$405&gt;=$AO1786))&gt;0)*(ROW(職員マスタ!$A$6:$A$405)-5))),IFERROR(MATCH($B1786,職員マスタ!$A$6:$A$405,0),"")))</f>
        <v/>
      </c>
      <c r="AO1786" s="16">
        <f>IF(OR($B1786="",$C1786="",$D1786=""),"",DATE($C1786+2018,$D1786,1))</f>
        <v/>
      </c>
    </row>
    <row r="1787">
      <c r="A1787" s="11" t="n"/>
      <c r="B1787" s="12" t="n"/>
      <c r="C1787" s="12" t="n"/>
      <c r="D1787" s="12" t="n"/>
      <c r="E1787" s="13" t="n"/>
      <c r="F1787" s="12" t="n"/>
      <c r="G1787" s="13" t="n"/>
      <c r="H1787" s="12" t="n"/>
      <c r="I1787" s="12" t="n"/>
      <c r="J1787" s="12" t="n"/>
      <c r="K1787" s="12" t="n"/>
      <c r="L1787" s="11" t="n"/>
      <c r="M1787" s="11" t="n"/>
      <c r="N1787" s="11" t="n"/>
      <c r="O1787" s="11" t="n"/>
      <c r="P1787" s="12" t="n"/>
      <c r="Q1787" s="11" t="n"/>
      <c r="R1787" s="12" t="n"/>
      <c r="S1787" s="11" t="n"/>
      <c r="T1787" s="12" t="n"/>
      <c r="U1787" s="12" t="n"/>
      <c r="V1787" s="14">
        <f>IF($AN1787="",IF($B1787="","",$H1787),IF(INDEX(職員マスタ!$B$6:$B$405,$AN1787)="",$H1787,INDEX(職員マスタ!$B$6:$B$405,$AN1787)))</f>
        <v/>
      </c>
      <c r="W1787" s="14">
        <f>IF($AN1787="",IF($B1787="","",$R1787),IF(INDEX(職員マスタ!$C$6:$C$405,$AN1787)="",$R1787,INDEX(職員マスタ!$C$6:$C$405,$AN1787)))</f>
        <v/>
      </c>
      <c r="X1787" s="14">
        <f>IF($AO1787="","","R"&amp;$C1787&amp;"."&amp;$D1787)</f>
        <v/>
      </c>
      <c r="Y1787" s="15">
        <f>IF($AN1787="","",IF(INDEX(職員マスタ!$K$6:$K$405,$AN1787)="","",INDEX(職員マスタ!$K$6:$K$405,$AN1787)))</f>
        <v/>
      </c>
      <c r="Z1787" s="14">
        <f>IF(OR($E1787="",$Y1787=""),"",IF($E1787&gt;=$Y1787,"×",IF($E1787&gt;=$Y1787*設定!$C$5,"△","○")))</f>
        <v/>
      </c>
      <c r="AA1787" s="15">
        <f>IF($Z1787="","",IF($Z1787="×",0,IF($Z1787="○",ROUNDDOWN($E1787*設定!$C$4,0),ROUNDDOWN($E1787*ROUND((9*$Y1787-9*$E1787)/(10*$E1787),4),0))))</f>
        <v/>
      </c>
      <c r="AB1787" s="13" t="n"/>
      <c r="AC1787" s="15">
        <f>IF($B1787="","",IF($AB1787&lt;&gt;"",$AB1787,IF($AA1787="","",IF($AA1787&lt;=設定!$C$3,0,$AA1787))))</f>
        <v/>
      </c>
      <c r="AD1787" s="14">
        <f>IF($B1787="","",IF(AND($AE1787&lt;&gt;"",$AG1787="",$AJ1787=""),"保留中",IF($AJ1787&lt;&gt;"",IF(N($AC1787)&gt;0,"支給済","不支給"),IF($AC1787="","要確認",IF($AC1787=0,"不支給","未処理")))))</f>
        <v/>
      </c>
      <c r="AE1787" s="12" t="n"/>
      <c r="AF1787" s="11" t="n"/>
      <c r="AG1787" s="11" t="n"/>
      <c r="AH1787" s="11" t="n"/>
      <c r="AI1787" s="14">
        <f>IF(AND($AD1787="保留中",$AF1787&lt;&gt;""),TODAY()-$AF1787,"")</f>
        <v/>
      </c>
      <c r="AJ1787" s="12" t="n"/>
      <c r="AK1787" s="14">
        <f>IF($B1787="","",IF($AO1787="","対象年月が未入力／","")&amp;IF($B1787="","",IF($AN1787="","職員マスタに未登録の職員番号／",IF($Y1787="","標準報酬月額が未登録／","")&amp;IF(AND($AO1787&lt;&gt;"",OR(AND(INDEX(職員マスタ!$G$6:$G$405,$AN1787)&lt;&gt;"",INDEX(職員マスタ!$G$6:$G$405,$AN1787)&gt;EOMONTH($AO1787,0)),AND(INDEX(職員マスタ!$H$6:$H$405,$AN1787)&lt;&gt;"",INDEX(職員マスタ!$H$6:$H$405,$AN1787)&lt;$AO1787))),"対象月が時短期間外／","")&amp;IF(AND(INDEX(職員マスタ!$F$6:$F$405,$AN1787)&lt;&gt;"",$AO1787&lt;&gt;"",INDEX(職員マスタ!$F$6:$F$405,$AN1787)&lt;$AO1787),"対象月に子が2歳到達済／","")&amp;IF(AND($H1787&lt;&gt;"",INDEX(職員マスタ!$B$6:$B$405,$AN1787)&lt;&gt;"",SUBSTITUTE(SUBSTITUTE($H1787," ","")," ","")&lt;&gt;SUBSTITUTE(SUBSTITUTE(INDEX(職員マスタ!$B$6:$B$405,$AN1787)," ","")," ","")),"氏名がマスタと相違／","")&amp;IF(AND($Q1787&lt;&gt;"",INDEX(職員マスタ!$E$6:$E$405,$AN1787)&lt;&gt;"",$Q1787&lt;&gt;INDEX(職員マスタ!$E$6:$E$405,$AN1787)),"子の生年月日がマスタと相違／","")&amp;IF(AND($L1787&lt;&gt;"",INDEX(職員マスタ!$G$6:$G$405,$AN1787)&lt;&gt;"",$L1787&lt;&gt;INDEX(職員マスタ!$G$6:$G$405,$AN1787)),"時短開始日がマスタと相違／","")&amp;IF(AND($M1787&lt;&gt;"",INDEX(職員マスタ!$H$6:$H$405,$AN1787)&lt;&gt;"",$M1787&lt;&gt;INDEX(職員マスタ!$H$6:$H$405,$AN1787)),"時短終了日がマスタと相違／","")))&amp;IF(AND($B1787&lt;&gt;"",$E1787=""),"報酬額が未入力／","")&amp;IF(N($U1787)&gt;0,"申請書に入力エラーが残っています／","")&amp;IF(AND($B1787&lt;&gt;"",$AO1787&lt;&gt;""),IF(COUNTIFS($B$6:$B$3005,$B1787,$C$6:$C$3005,$C1787,$D$6:$D$3005,$D1787)&gt;1,"同じ月の請求が重複しています／",""),"")&amp;IF(AND(N($E1787)&gt;0,$Z1787&lt;&gt;"",$Z1787&lt;&gt;"×",$AC1787=0,$AB1787=""),"計算額が下限以下のため不支給／",""))</f>
        <v/>
      </c>
      <c r="AL1787" s="12" t="n"/>
      <c r="AM1787" s="14">
        <f>IF($AD1787="保留中",COUNTIF($AD$6:$AD1787,"保留中"),"")</f>
        <v/>
      </c>
      <c r="AN1787" s="14">
        <f>IF($AO1787="","",IF(SUMPRODUCT(MAX((職員マスタ!$A$6:$A$405=$B1787)*(((職員マスタ!$G$6:$G$405="")+(職員マスタ!$G$6:$G$405&lt;=EOMONTH($AO1787,0)))&gt;0)*(((職員マスタ!$H$6:$H$405="")+(職員マスタ!$H$6:$H$405&gt;=$AO1787))&gt;0)*(ROW(職員マスタ!$A$6:$A$405)-5)))&gt;0,SUMPRODUCT(MAX((職員マスタ!$A$6:$A$405=$B1787)*(((職員マスタ!$G$6:$G$405="")+(職員マスタ!$G$6:$G$405&lt;=EOMONTH($AO1787,0)))&gt;0)*(((職員マスタ!$H$6:$H$405="")+(職員マスタ!$H$6:$H$405&gt;=$AO1787))&gt;0)*(ROW(職員マスタ!$A$6:$A$405)-5))),IFERROR(MATCH($B1787,職員マスタ!$A$6:$A$405,0),"")))</f>
        <v/>
      </c>
      <c r="AO1787" s="16">
        <f>IF(OR($B1787="",$C1787="",$D1787=""),"",DATE($C1787+2018,$D1787,1))</f>
        <v/>
      </c>
    </row>
    <row r="1788">
      <c r="A1788" s="11" t="n"/>
      <c r="B1788" s="12" t="n"/>
      <c r="C1788" s="12" t="n"/>
      <c r="D1788" s="12" t="n"/>
      <c r="E1788" s="13" t="n"/>
      <c r="F1788" s="12" t="n"/>
      <c r="G1788" s="13" t="n"/>
      <c r="H1788" s="12" t="n"/>
      <c r="I1788" s="12" t="n"/>
      <c r="J1788" s="12" t="n"/>
      <c r="K1788" s="12" t="n"/>
      <c r="L1788" s="11" t="n"/>
      <c r="M1788" s="11" t="n"/>
      <c r="N1788" s="11" t="n"/>
      <c r="O1788" s="11" t="n"/>
      <c r="P1788" s="12" t="n"/>
      <c r="Q1788" s="11" t="n"/>
      <c r="R1788" s="12" t="n"/>
      <c r="S1788" s="11" t="n"/>
      <c r="T1788" s="12" t="n"/>
      <c r="U1788" s="12" t="n"/>
      <c r="V1788" s="14">
        <f>IF($AN1788="",IF($B1788="","",$H1788),IF(INDEX(職員マスタ!$B$6:$B$405,$AN1788)="",$H1788,INDEX(職員マスタ!$B$6:$B$405,$AN1788)))</f>
        <v/>
      </c>
      <c r="W1788" s="14">
        <f>IF($AN1788="",IF($B1788="","",$R1788),IF(INDEX(職員マスタ!$C$6:$C$405,$AN1788)="",$R1788,INDEX(職員マスタ!$C$6:$C$405,$AN1788)))</f>
        <v/>
      </c>
      <c r="X1788" s="14">
        <f>IF($AO1788="","","R"&amp;$C1788&amp;"."&amp;$D1788)</f>
        <v/>
      </c>
      <c r="Y1788" s="15">
        <f>IF($AN1788="","",IF(INDEX(職員マスタ!$K$6:$K$405,$AN1788)="","",INDEX(職員マスタ!$K$6:$K$405,$AN1788)))</f>
        <v/>
      </c>
      <c r="Z1788" s="14">
        <f>IF(OR($E1788="",$Y1788=""),"",IF($E1788&gt;=$Y1788,"×",IF($E1788&gt;=$Y1788*設定!$C$5,"△","○")))</f>
        <v/>
      </c>
      <c r="AA1788" s="15">
        <f>IF($Z1788="","",IF($Z1788="×",0,IF($Z1788="○",ROUNDDOWN($E1788*設定!$C$4,0),ROUNDDOWN($E1788*ROUND((9*$Y1788-9*$E1788)/(10*$E1788),4),0))))</f>
        <v/>
      </c>
      <c r="AB1788" s="13" t="n"/>
      <c r="AC1788" s="15">
        <f>IF($B1788="","",IF($AB1788&lt;&gt;"",$AB1788,IF($AA1788="","",IF($AA1788&lt;=設定!$C$3,0,$AA1788))))</f>
        <v/>
      </c>
      <c r="AD1788" s="14">
        <f>IF($B1788="","",IF(AND($AE1788&lt;&gt;"",$AG1788="",$AJ1788=""),"保留中",IF($AJ1788&lt;&gt;"",IF(N($AC1788)&gt;0,"支給済","不支給"),IF($AC1788="","要確認",IF($AC1788=0,"不支給","未処理")))))</f>
        <v/>
      </c>
      <c r="AE1788" s="12" t="n"/>
      <c r="AF1788" s="11" t="n"/>
      <c r="AG1788" s="11" t="n"/>
      <c r="AH1788" s="11" t="n"/>
      <c r="AI1788" s="14">
        <f>IF(AND($AD1788="保留中",$AF1788&lt;&gt;""),TODAY()-$AF1788,"")</f>
        <v/>
      </c>
      <c r="AJ1788" s="12" t="n"/>
      <c r="AK1788" s="14">
        <f>IF($B1788="","",IF($AO1788="","対象年月が未入力／","")&amp;IF($B1788="","",IF($AN1788="","職員マスタに未登録の職員番号／",IF($Y1788="","標準報酬月額が未登録／","")&amp;IF(AND($AO1788&lt;&gt;"",OR(AND(INDEX(職員マスタ!$G$6:$G$405,$AN1788)&lt;&gt;"",INDEX(職員マスタ!$G$6:$G$405,$AN1788)&gt;EOMONTH($AO1788,0)),AND(INDEX(職員マスタ!$H$6:$H$405,$AN1788)&lt;&gt;"",INDEX(職員マスタ!$H$6:$H$405,$AN1788)&lt;$AO1788))),"対象月が時短期間外／","")&amp;IF(AND(INDEX(職員マスタ!$F$6:$F$405,$AN1788)&lt;&gt;"",$AO1788&lt;&gt;"",INDEX(職員マスタ!$F$6:$F$405,$AN1788)&lt;$AO1788),"対象月に子が2歳到達済／","")&amp;IF(AND($H1788&lt;&gt;"",INDEX(職員マスタ!$B$6:$B$405,$AN1788)&lt;&gt;"",SUBSTITUTE(SUBSTITUTE($H1788," ","")," ","")&lt;&gt;SUBSTITUTE(SUBSTITUTE(INDEX(職員マスタ!$B$6:$B$405,$AN1788)," ","")," ","")),"氏名がマスタと相違／","")&amp;IF(AND($Q1788&lt;&gt;"",INDEX(職員マスタ!$E$6:$E$405,$AN1788)&lt;&gt;"",$Q1788&lt;&gt;INDEX(職員マスタ!$E$6:$E$405,$AN1788)),"子の生年月日がマスタと相違／","")&amp;IF(AND($L1788&lt;&gt;"",INDEX(職員マスタ!$G$6:$G$405,$AN1788)&lt;&gt;"",$L1788&lt;&gt;INDEX(職員マスタ!$G$6:$G$405,$AN1788)),"時短開始日がマスタと相違／","")&amp;IF(AND($M1788&lt;&gt;"",INDEX(職員マスタ!$H$6:$H$405,$AN1788)&lt;&gt;"",$M1788&lt;&gt;INDEX(職員マスタ!$H$6:$H$405,$AN1788)),"時短終了日がマスタと相違／","")))&amp;IF(AND($B1788&lt;&gt;"",$E1788=""),"報酬額が未入力／","")&amp;IF(N($U1788)&gt;0,"申請書に入力エラーが残っています／","")&amp;IF(AND($B1788&lt;&gt;"",$AO1788&lt;&gt;""),IF(COUNTIFS($B$6:$B$3005,$B1788,$C$6:$C$3005,$C1788,$D$6:$D$3005,$D1788)&gt;1,"同じ月の請求が重複しています／",""),"")&amp;IF(AND(N($E1788)&gt;0,$Z1788&lt;&gt;"",$Z1788&lt;&gt;"×",$AC1788=0,$AB1788=""),"計算額が下限以下のため不支給／",""))</f>
        <v/>
      </c>
      <c r="AL1788" s="12" t="n"/>
      <c r="AM1788" s="14">
        <f>IF($AD1788="保留中",COUNTIF($AD$6:$AD1788,"保留中"),"")</f>
        <v/>
      </c>
      <c r="AN1788" s="14">
        <f>IF($AO1788="","",IF(SUMPRODUCT(MAX((職員マスタ!$A$6:$A$405=$B1788)*(((職員マスタ!$G$6:$G$405="")+(職員マスタ!$G$6:$G$405&lt;=EOMONTH($AO1788,0)))&gt;0)*(((職員マスタ!$H$6:$H$405="")+(職員マスタ!$H$6:$H$405&gt;=$AO1788))&gt;0)*(ROW(職員マスタ!$A$6:$A$405)-5)))&gt;0,SUMPRODUCT(MAX((職員マスタ!$A$6:$A$405=$B1788)*(((職員マスタ!$G$6:$G$405="")+(職員マスタ!$G$6:$G$405&lt;=EOMONTH($AO1788,0)))&gt;0)*(((職員マスタ!$H$6:$H$405="")+(職員マスタ!$H$6:$H$405&gt;=$AO1788))&gt;0)*(ROW(職員マスタ!$A$6:$A$405)-5))),IFERROR(MATCH($B1788,職員マスタ!$A$6:$A$405,0),"")))</f>
        <v/>
      </c>
      <c r="AO1788" s="16">
        <f>IF(OR($B1788="",$C1788="",$D1788=""),"",DATE($C1788+2018,$D1788,1))</f>
        <v/>
      </c>
    </row>
    <row r="1789">
      <c r="A1789" s="11" t="n"/>
      <c r="B1789" s="12" t="n"/>
      <c r="C1789" s="12" t="n"/>
      <c r="D1789" s="12" t="n"/>
      <c r="E1789" s="13" t="n"/>
      <c r="F1789" s="12" t="n"/>
      <c r="G1789" s="13" t="n"/>
      <c r="H1789" s="12" t="n"/>
      <c r="I1789" s="12" t="n"/>
      <c r="J1789" s="12" t="n"/>
      <c r="K1789" s="12" t="n"/>
      <c r="L1789" s="11" t="n"/>
      <c r="M1789" s="11" t="n"/>
      <c r="N1789" s="11" t="n"/>
      <c r="O1789" s="11" t="n"/>
      <c r="P1789" s="12" t="n"/>
      <c r="Q1789" s="11" t="n"/>
      <c r="R1789" s="12" t="n"/>
      <c r="S1789" s="11" t="n"/>
      <c r="T1789" s="12" t="n"/>
      <c r="U1789" s="12" t="n"/>
      <c r="V1789" s="14">
        <f>IF($AN1789="",IF($B1789="","",$H1789),IF(INDEX(職員マスタ!$B$6:$B$405,$AN1789)="",$H1789,INDEX(職員マスタ!$B$6:$B$405,$AN1789)))</f>
        <v/>
      </c>
      <c r="W1789" s="14">
        <f>IF($AN1789="",IF($B1789="","",$R1789),IF(INDEX(職員マスタ!$C$6:$C$405,$AN1789)="",$R1789,INDEX(職員マスタ!$C$6:$C$405,$AN1789)))</f>
        <v/>
      </c>
      <c r="X1789" s="14">
        <f>IF($AO1789="","","R"&amp;$C1789&amp;"."&amp;$D1789)</f>
        <v/>
      </c>
      <c r="Y1789" s="15">
        <f>IF($AN1789="","",IF(INDEX(職員マスタ!$K$6:$K$405,$AN1789)="","",INDEX(職員マスタ!$K$6:$K$405,$AN1789)))</f>
        <v/>
      </c>
      <c r="Z1789" s="14">
        <f>IF(OR($E1789="",$Y1789=""),"",IF($E1789&gt;=$Y1789,"×",IF($E1789&gt;=$Y1789*設定!$C$5,"△","○")))</f>
        <v/>
      </c>
      <c r="AA1789" s="15">
        <f>IF($Z1789="","",IF($Z1789="×",0,IF($Z1789="○",ROUNDDOWN($E1789*設定!$C$4,0),ROUNDDOWN($E1789*ROUND((9*$Y1789-9*$E1789)/(10*$E1789),4),0))))</f>
        <v/>
      </c>
      <c r="AB1789" s="13" t="n"/>
      <c r="AC1789" s="15">
        <f>IF($B1789="","",IF($AB1789&lt;&gt;"",$AB1789,IF($AA1789="","",IF($AA1789&lt;=設定!$C$3,0,$AA1789))))</f>
        <v/>
      </c>
      <c r="AD1789" s="14">
        <f>IF($B1789="","",IF(AND($AE1789&lt;&gt;"",$AG1789="",$AJ1789=""),"保留中",IF($AJ1789&lt;&gt;"",IF(N($AC1789)&gt;0,"支給済","不支給"),IF($AC1789="","要確認",IF($AC1789=0,"不支給","未処理")))))</f>
        <v/>
      </c>
      <c r="AE1789" s="12" t="n"/>
      <c r="AF1789" s="11" t="n"/>
      <c r="AG1789" s="11" t="n"/>
      <c r="AH1789" s="11" t="n"/>
      <c r="AI1789" s="14">
        <f>IF(AND($AD1789="保留中",$AF1789&lt;&gt;""),TODAY()-$AF1789,"")</f>
        <v/>
      </c>
      <c r="AJ1789" s="12" t="n"/>
      <c r="AK1789" s="14">
        <f>IF($B1789="","",IF($AO1789="","対象年月が未入力／","")&amp;IF($B1789="","",IF($AN1789="","職員マスタに未登録の職員番号／",IF($Y1789="","標準報酬月額が未登録／","")&amp;IF(AND($AO1789&lt;&gt;"",OR(AND(INDEX(職員マスタ!$G$6:$G$405,$AN1789)&lt;&gt;"",INDEX(職員マスタ!$G$6:$G$405,$AN1789)&gt;EOMONTH($AO1789,0)),AND(INDEX(職員マスタ!$H$6:$H$405,$AN1789)&lt;&gt;"",INDEX(職員マスタ!$H$6:$H$405,$AN1789)&lt;$AO1789))),"対象月が時短期間外／","")&amp;IF(AND(INDEX(職員マスタ!$F$6:$F$405,$AN1789)&lt;&gt;"",$AO1789&lt;&gt;"",INDEX(職員マスタ!$F$6:$F$405,$AN1789)&lt;$AO1789),"対象月に子が2歳到達済／","")&amp;IF(AND($H1789&lt;&gt;"",INDEX(職員マスタ!$B$6:$B$405,$AN1789)&lt;&gt;"",SUBSTITUTE(SUBSTITUTE($H1789," ","")," ","")&lt;&gt;SUBSTITUTE(SUBSTITUTE(INDEX(職員マスタ!$B$6:$B$405,$AN1789)," ","")," ","")),"氏名がマスタと相違／","")&amp;IF(AND($Q1789&lt;&gt;"",INDEX(職員マスタ!$E$6:$E$405,$AN1789)&lt;&gt;"",$Q1789&lt;&gt;INDEX(職員マスタ!$E$6:$E$405,$AN1789)),"子の生年月日がマスタと相違／","")&amp;IF(AND($L1789&lt;&gt;"",INDEX(職員マスタ!$G$6:$G$405,$AN1789)&lt;&gt;"",$L1789&lt;&gt;INDEX(職員マスタ!$G$6:$G$405,$AN1789)),"時短開始日がマスタと相違／","")&amp;IF(AND($M1789&lt;&gt;"",INDEX(職員マスタ!$H$6:$H$405,$AN1789)&lt;&gt;"",$M1789&lt;&gt;INDEX(職員マスタ!$H$6:$H$405,$AN1789)),"時短終了日がマスタと相違／","")))&amp;IF(AND($B1789&lt;&gt;"",$E1789=""),"報酬額が未入力／","")&amp;IF(N($U1789)&gt;0,"申請書に入力エラーが残っています／","")&amp;IF(AND($B1789&lt;&gt;"",$AO1789&lt;&gt;""),IF(COUNTIFS($B$6:$B$3005,$B1789,$C$6:$C$3005,$C1789,$D$6:$D$3005,$D1789)&gt;1,"同じ月の請求が重複しています／",""),"")&amp;IF(AND(N($E1789)&gt;0,$Z1789&lt;&gt;"",$Z1789&lt;&gt;"×",$AC1789=0,$AB1789=""),"計算額が下限以下のため不支給／",""))</f>
        <v/>
      </c>
      <c r="AL1789" s="12" t="n"/>
      <c r="AM1789" s="14">
        <f>IF($AD1789="保留中",COUNTIF($AD$6:$AD1789,"保留中"),"")</f>
        <v/>
      </c>
      <c r="AN1789" s="14">
        <f>IF($AO1789="","",IF(SUMPRODUCT(MAX((職員マスタ!$A$6:$A$405=$B1789)*(((職員マスタ!$G$6:$G$405="")+(職員マスタ!$G$6:$G$405&lt;=EOMONTH($AO1789,0)))&gt;0)*(((職員マスタ!$H$6:$H$405="")+(職員マスタ!$H$6:$H$405&gt;=$AO1789))&gt;0)*(ROW(職員マスタ!$A$6:$A$405)-5)))&gt;0,SUMPRODUCT(MAX((職員マスタ!$A$6:$A$405=$B1789)*(((職員マスタ!$G$6:$G$405="")+(職員マスタ!$G$6:$G$405&lt;=EOMONTH($AO1789,0)))&gt;0)*(((職員マスタ!$H$6:$H$405="")+(職員マスタ!$H$6:$H$405&gt;=$AO1789))&gt;0)*(ROW(職員マスタ!$A$6:$A$405)-5))),IFERROR(MATCH($B1789,職員マスタ!$A$6:$A$405,0),"")))</f>
        <v/>
      </c>
      <c r="AO1789" s="16">
        <f>IF(OR($B1789="",$C1789="",$D1789=""),"",DATE($C1789+2018,$D1789,1))</f>
        <v/>
      </c>
    </row>
    <row r="1790">
      <c r="A1790" s="11" t="n"/>
      <c r="B1790" s="12" t="n"/>
      <c r="C1790" s="12" t="n"/>
      <c r="D1790" s="12" t="n"/>
      <c r="E1790" s="13" t="n"/>
      <c r="F1790" s="12" t="n"/>
      <c r="G1790" s="13" t="n"/>
      <c r="H1790" s="12" t="n"/>
      <c r="I1790" s="12" t="n"/>
      <c r="J1790" s="12" t="n"/>
      <c r="K1790" s="12" t="n"/>
      <c r="L1790" s="11" t="n"/>
      <c r="M1790" s="11" t="n"/>
      <c r="N1790" s="11" t="n"/>
      <c r="O1790" s="11" t="n"/>
      <c r="P1790" s="12" t="n"/>
      <c r="Q1790" s="11" t="n"/>
      <c r="R1790" s="12" t="n"/>
      <c r="S1790" s="11" t="n"/>
      <c r="T1790" s="12" t="n"/>
      <c r="U1790" s="12" t="n"/>
      <c r="V1790" s="14">
        <f>IF($AN1790="",IF($B1790="","",$H1790),IF(INDEX(職員マスタ!$B$6:$B$405,$AN1790)="",$H1790,INDEX(職員マスタ!$B$6:$B$405,$AN1790)))</f>
        <v/>
      </c>
      <c r="W1790" s="14">
        <f>IF($AN1790="",IF($B1790="","",$R1790),IF(INDEX(職員マスタ!$C$6:$C$405,$AN1790)="",$R1790,INDEX(職員マスタ!$C$6:$C$405,$AN1790)))</f>
        <v/>
      </c>
      <c r="X1790" s="14">
        <f>IF($AO1790="","","R"&amp;$C1790&amp;"."&amp;$D1790)</f>
        <v/>
      </c>
      <c r="Y1790" s="15">
        <f>IF($AN1790="","",IF(INDEX(職員マスタ!$K$6:$K$405,$AN1790)="","",INDEX(職員マスタ!$K$6:$K$405,$AN1790)))</f>
        <v/>
      </c>
      <c r="Z1790" s="14">
        <f>IF(OR($E1790="",$Y1790=""),"",IF($E1790&gt;=$Y1790,"×",IF($E1790&gt;=$Y1790*設定!$C$5,"△","○")))</f>
        <v/>
      </c>
      <c r="AA1790" s="15">
        <f>IF($Z1790="","",IF($Z1790="×",0,IF($Z1790="○",ROUNDDOWN($E1790*設定!$C$4,0),ROUNDDOWN($E1790*ROUND((9*$Y1790-9*$E1790)/(10*$E1790),4),0))))</f>
        <v/>
      </c>
      <c r="AB1790" s="13" t="n"/>
      <c r="AC1790" s="15">
        <f>IF($B1790="","",IF($AB1790&lt;&gt;"",$AB1790,IF($AA1790="","",IF($AA1790&lt;=設定!$C$3,0,$AA1790))))</f>
        <v/>
      </c>
      <c r="AD1790" s="14">
        <f>IF($B1790="","",IF(AND($AE1790&lt;&gt;"",$AG1790="",$AJ1790=""),"保留中",IF($AJ1790&lt;&gt;"",IF(N($AC1790)&gt;0,"支給済","不支給"),IF($AC1790="","要確認",IF($AC1790=0,"不支給","未処理")))))</f>
        <v/>
      </c>
      <c r="AE1790" s="12" t="n"/>
      <c r="AF1790" s="11" t="n"/>
      <c r="AG1790" s="11" t="n"/>
      <c r="AH1790" s="11" t="n"/>
      <c r="AI1790" s="14">
        <f>IF(AND($AD1790="保留中",$AF1790&lt;&gt;""),TODAY()-$AF1790,"")</f>
        <v/>
      </c>
      <c r="AJ1790" s="12" t="n"/>
      <c r="AK1790" s="14">
        <f>IF($B1790="","",IF($AO1790="","対象年月が未入力／","")&amp;IF($B1790="","",IF($AN1790="","職員マスタに未登録の職員番号／",IF($Y1790="","標準報酬月額が未登録／","")&amp;IF(AND($AO1790&lt;&gt;"",OR(AND(INDEX(職員マスタ!$G$6:$G$405,$AN1790)&lt;&gt;"",INDEX(職員マスタ!$G$6:$G$405,$AN1790)&gt;EOMONTH($AO1790,0)),AND(INDEX(職員マスタ!$H$6:$H$405,$AN1790)&lt;&gt;"",INDEX(職員マスタ!$H$6:$H$405,$AN1790)&lt;$AO1790))),"対象月が時短期間外／","")&amp;IF(AND(INDEX(職員マスタ!$F$6:$F$405,$AN1790)&lt;&gt;"",$AO1790&lt;&gt;"",INDEX(職員マスタ!$F$6:$F$405,$AN1790)&lt;$AO1790),"対象月に子が2歳到達済／","")&amp;IF(AND($H1790&lt;&gt;"",INDEX(職員マスタ!$B$6:$B$405,$AN1790)&lt;&gt;"",SUBSTITUTE(SUBSTITUTE($H1790," ","")," ","")&lt;&gt;SUBSTITUTE(SUBSTITUTE(INDEX(職員マスタ!$B$6:$B$405,$AN1790)," ","")," ","")),"氏名がマスタと相違／","")&amp;IF(AND($Q1790&lt;&gt;"",INDEX(職員マスタ!$E$6:$E$405,$AN1790)&lt;&gt;"",$Q1790&lt;&gt;INDEX(職員マスタ!$E$6:$E$405,$AN1790)),"子の生年月日がマスタと相違／","")&amp;IF(AND($L1790&lt;&gt;"",INDEX(職員マスタ!$G$6:$G$405,$AN1790)&lt;&gt;"",$L1790&lt;&gt;INDEX(職員マスタ!$G$6:$G$405,$AN1790)),"時短開始日がマスタと相違／","")&amp;IF(AND($M1790&lt;&gt;"",INDEX(職員マスタ!$H$6:$H$405,$AN1790)&lt;&gt;"",$M1790&lt;&gt;INDEX(職員マスタ!$H$6:$H$405,$AN1790)),"時短終了日がマスタと相違／","")))&amp;IF(AND($B1790&lt;&gt;"",$E1790=""),"報酬額が未入力／","")&amp;IF(N($U1790)&gt;0,"申請書に入力エラーが残っています／","")&amp;IF(AND($B1790&lt;&gt;"",$AO1790&lt;&gt;""),IF(COUNTIFS($B$6:$B$3005,$B1790,$C$6:$C$3005,$C1790,$D$6:$D$3005,$D1790)&gt;1,"同じ月の請求が重複しています／",""),"")&amp;IF(AND(N($E1790)&gt;0,$Z1790&lt;&gt;"",$Z1790&lt;&gt;"×",$AC1790=0,$AB1790=""),"計算額が下限以下のため不支給／",""))</f>
        <v/>
      </c>
      <c r="AL1790" s="12" t="n"/>
      <c r="AM1790" s="14">
        <f>IF($AD1790="保留中",COUNTIF($AD$6:$AD1790,"保留中"),"")</f>
        <v/>
      </c>
      <c r="AN1790" s="14">
        <f>IF($AO1790="","",IF(SUMPRODUCT(MAX((職員マスタ!$A$6:$A$405=$B1790)*(((職員マスタ!$G$6:$G$405="")+(職員マスタ!$G$6:$G$405&lt;=EOMONTH($AO1790,0)))&gt;0)*(((職員マスタ!$H$6:$H$405="")+(職員マスタ!$H$6:$H$405&gt;=$AO1790))&gt;0)*(ROW(職員マスタ!$A$6:$A$405)-5)))&gt;0,SUMPRODUCT(MAX((職員マスタ!$A$6:$A$405=$B1790)*(((職員マスタ!$G$6:$G$405="")+(職員マスタ!$G$6:$G$405&lt;=EOMONTH($AO1790,0)))&gt;0)*(((職員マスタ!$H$6:$H$405="")+(職員マスタ!$H$6:$H$405&gt;=$AO1790))&gt;0)*(ROW(職員マスタ!$A$6:$A$405)-5))),IFERROR(MATCH($B1790,職員マスタ!$A$6:$A$405,0),"")))</f>
        <v/>
      </c>
      <c r="AO1790" s="16">
        <f>IF(OR($B1790="",$C1790="",$D1790=""),"",DATE($C1790+2018,$D1790,1))</f>
        <v/>
      </c>
    </row>
    <row r="1791">
      <c r="A1791" s="11" t="n"/>
      <c r="B1791" s="12" t="n"/>
      <c r="C1791" s="12" t="n"/>
      <c r="D1791" s="12" t="n"/>
      <c r="E1791" s="13" t="n"/>
      <c r="F1791" s="12" t="n"/>
      <c r="G1791" s="13" t="n"/>
      <c r="H1791" s="12" t="n"/>
      <c r="I1791" s="12" t="n"/>
      <c r="J1791" s="12" t="n"/>
      <c r="K1791" s="12" t="n"/>
      <c r="L1791" s="11" t="n"/>
      <c r="M1791" s="11" t="n"/>
      <c r="N1791" s="11" t="n"/>
      <c r="O1791" s="11" t="n"/>
      <c r="P1791" s="12" t="n"/>
      <c r="Q1791" s="11" t="n"/>
      <c r="R1791" s="12" t="n"/>
      <c r="S1791" s="11" t="n"/>
      <c r="T1791" s="12" t="n"/>
      <c r="U1791" s="12" t="n"/>
      <c r="V1791" s="14">
        <f>IF($AN1791="",IF($B1791="","",$H1791),IF(INDEX(職員マスタ!$B$6:$B$405,$AN1791)="",$H1791,INDEX(職員マスタ!$B$6:$B$405,$AN1791)))</f>
        <v/>
      </c>
      <c r="W1791" s="14">
        <f>IF($AN1791="",IF($B1791="","",$R1791),IF(INDEX(職員マスタ!$C$6:$C$405,$AN1791)="",$R1791,INDEX(職員マスタ!$C$6:$C$405,$AN1791)))</f>
        <v/>
      </c>
      <c r="X1791" s="14">
        <f>IF($AO1791="","","R"&amp;$C1791&amp;"."&amp;$D1791)</f>
        <v/>
      </c>
      <c r="Y1791" s="15">
        <f>IF($AN1791="","",IF(INDEX(職員マスタ!$K$6:$K$405,$AN1791)="","",INDEX(職員マスタ!$K$6:$K$405,$AN1791)))</f>
        <v/>
      </c>
      <c r="Z1791" s="14">
        <f>IF(OR($E1791="",$Y1791=""),"",IF($E1791&gt;=$Y1791,"×",IF($E1791&gt;=$Y1791*設定!$C$5,"△","○")))</f>
        <v/>
      </c>
      <c r="AA1791" s="15">
        <f>IF($Z1791="","",IF($Z1791="×",0,IF($Z1791="○",ROUNDDOWN($E1791*設定!$C$4,0),ROUNDDOWN($E1791*ROUND((9*$Y1791-9*$E1791)/(10*$E1791),4),0))))</f>
        <v/>
      </c>
      <c r="AB1791" s="13" t="n"/>
      <c r="AC1791" s="15">
        <f>IF($B1791="","",IF($AB1791&lt;&gt;"",$AB1791,IF($AA1791="","",IF($AA1791&lt;=設定!$C$3,0,$AA1791))))</f>
        <v/>
      </c>
      <c r="AD1791" s="14">
        <f>IF($B1791="","",IF(AND($AE1791&lt;&gt;"",$AG1791="",$AJ1791=""),"保留中",IF($AJ1791&lt;&gt;"",IF(N($AC1791)&gt;0,"支給済","不支給"),IF($AC1791="","要確認",IF($AC1791=0,"不支給","未処理")))))</f>
        <v/>
      </c>
      <c r="AE1791" s="12" t="n"/>
      <c r="AF1791" s="11" t="n"/>
      <c r="AG1791" s="11" t="n"/>
      <c r="AH1791" s="11" t="n"/>
      <c r="AI1791" s="14">
        <f>IF(AND($AD1791="保留中",$AF1791&lt;&gt;""),TODAY()-$AF1791,"")</f>
        <v/>
      </c>
      <c r="AJ1791" s="12" t="n"/>
      <c r="AK1791" s="14">
        <f>IF($B1791="","",IF($AO1791="","対象年月が未入力／","")&amp;IF($B1791="","",IF($AN1791="","職員マスタに未登録の職員番号／",IF($Y1791="","標準報酬月額が未登録／","")&amp;IF(AND($AO1791&lt;&gt;"",OR(AND(INDEX(職員マスタ!$G$6:$G$405,$AN1791)&lt;&gt;"",INDEX(職員マスタ!$G$6:$G$405,$AN1791)&gt;EOMONTH($AO1791,0)),AND(INDEX(職員マスタ!$H$6:$H$405,$AN1791)&lt;&gt;"",INDEX(職員マスタ!$H$6:$H$405,$AN1791)&lt;$AO1791))),"対象月が時短期間外／","")&amp;IF(AND(INDEX(職員マスタ!$F$6:$F$405,$AN1791)&lt;&gt;"",$AO1791&lt;&gt;"",INDEX(職員マスタ!$F$6:$F$405,$AN1791)&lt;$AO1791),"対象月に子が2歳到達済／","")&amp;IF(AND($H1791&lt;&gt;"",INDEX(職員マスタ!$B$6:$B$405,$AN1791)&lt;&gt;"",SUBSTITUTE(SUBSTITUTE($H1791," ","")," ","")&lt;&gt;SUBSTITUTE(SUBSTITUTE(INDEX(職員マスタ!$B$6:$B$405,$AN1791)," ","")," ","")),"氏名がマスタと相違／","")&amp;IF(AND($Q1791&lt;&gt;"",INDEX(職員マスタ!$E$6:$E$405,$AN1791)&lt;&gt;"",$Q1791&lt;&gt;INDEX(職員マスタ!$E$6:$E$405,$AN1791)),"子の生年月日がマスタと相違／","")&amp;IF(AND($L1791&lt;&gt;"",INDEX(職員マスタ!$G$6:$G$405,$AN1791)&lt;&gt;"",$L1791&lt;&gt;INDEX(職員マスタ!$G$6:$G$405,$AN1791)),"時短開始日がマスタと相違／","")&amp;IF(AND($M1791&lt;&gt;"",INDEX(職員マスタ!$H$6:$H$405,$AN1791)&lt;&gt;"",$M1791&lt;&gt;INDEX(職員マスタ!$H$6:$H$405,$AN1791)),"時短終了日がマスタと相違／","")))&amp;IF(AND($B1791&lt;&gt;"",$E1791=""),"報酬額が未入力／","")&amp;IF(N($U1791)&gt;0,"申請書に入力エラーが残っています／","")&amp;IF(AND($B1791&lt;&gt;"",$AO1791&lt;&gt;""),IF(COUNTIFS($B$6:$B$3005,$B1791,$C$6:$C$3005,$C1791,$D$6:$D$3005,$D1791)&gt;1,"同じ月の請求が重複しています／",""),"")&amp;IF(AND(N($E1791)&gt;0,$Z1791&lt;&gt;"",$Z1791&lt;&gt;"×",$AC1791=0,$AB1791=""),"計算額が下限以下のため不支給／",""))</f>
        <v/>
      </c>
      <c r="AL1791" s="12" t="n"/>
      <c r="AM1791" s="14">
        <f>IF($AD1791="保留中",COUNTIF($AD$6:$AD1791,"保留中"),"")</f>
        <v/>
      </c>
      <c r="AN1791" s="14">
        <f>IF($AO1791="","",IF(SUMPRODUCT(MAX((職員マスタ!$A$6:$A$405=$B1791)*(((職員マスタ!$G$6:$G$405="")+(職員マスタ!$G$6:$G$405&lt;=EOMONTH($AO1791,0)))&gt;0)*(((職員マスタ!$H$6:$H$405="")+(職員マスタ!$H$6:$H$405&gt;=$AO1791))&gt;0)*(ROW(職員マスタ!$A$6:$A$405)-5)))&gt;0,SUMPRODUCT(MAX((職員マスタ!$A$6:$A$405=$B1791)*(((職員マスタ!$G$6:$G$405="")+(職員マスタ!$G$6:$G$405&lt;=EOMONTH($AO1791,0)))&gt;0)*(((職員マスタ!$H$6:$H$405="")+(職員マスタ!$H$6:$H$405&gt;=$AO1791))&gt;0)*(ROW(職員マスタ!$A$6:$A$405)-5))),IFERROR(MATCH($B1791,職員マスタ!$A$6:$A$405,0),"")))</f>
        <v/>
      </c>
      <c r="AO1791" s="16">
        <f>IF(OR($B1791="",$C1791="",$D1791=""),"",DATE($C1791+2018,$D1791,1))</f>
        <v/>
      </c>
    </row>
    <row r="1792">
      <c r="A1792" s="11" t="n"/>
      <c r="B1792" s="12" t="n"/>
      <c r="C1792" s="12" t="n"/>
      <c r="D1792" s="12" t="n"/>
      <c r="E1792" s="13" t="n"/>
      <c r="F1792" s="12" t="n"/>
      <c r="G1792" s="13" t="n"/>
      <c r="H1792" s="12" t="n"/>
      <c r="I1792" s="12" t="n"/>
      <c r="J1792" s="12" t="n"/>
      <c r="K1792" s="12" t="n"/>
      <c r="L1792" s="11" t="n"/>
      <c r="M1792" s="11" t="n"/>
      <c r="N1792" s="11" t="n"/>
      <c r="O1792" s="11" t="n"/>
      <c r="P1792" s="12" t="n"/>
      <c r="Q1792" s="11" t="n"/>
      <c r="R1792" s="12" t="n"/>
      <c r="S1792" s="11" t="n"/>
      <c r="T1792" s="12" t="n"/>
      <c r="U1792" s="12" t="n"/>
      <c r="V1792" s="14">
        <f>IF($AN1792="",IF($B1792="","",$H1792),IF(INDEX(職員マスタ!$B$6:$B$405,$AN1792)="",$H1792,INDEX(職員マスタ!$B$6:$B$405,$AN1792)))</f>
        <v/>
      </c>
      <c r="W1792" s="14">
        <f>IF($AN1792="",IF($B1792="","",$R1792),IF(INDEX(職員マスタ!$C$6:$C$405,$AN1792)="",$R1792,INDEX(職員マスタ!$C$6:$C$405,$AN1792)))</f>
        <v/>
      </c>
      <c r="X1792" s="14">
        <f>IF($AO1792="","","R"&amp;$C1792&amp;"."&amp;$D1792)</f>
        <v/>
      </c>
      <c r="Y1792" s="15">
        <f>IF($AN1792="","",IF(INDEX(職員マスタ!$K$6:$K$405,$AN1792)="","",INDEX(職員マスタ!$K$6:$K$405,$AN1792)))</f>
        <v/>
      </c>
      <c r="Z1792" s="14">
        <f>IF(OR($E1792="",$Y1792=""),"",IF($E1792&gt;=$Y1792,"×",IF($E1792&gt;=$Y1792*設定!$C$5,"△","○")))</f>
        <v/>
      </c>
      <c r="AA1792" s="15">
        <f>IF($Z1792="","",IF($Z1792="×",0,IF($Z1792="○",ROUNDDOWN($E1792*設定!$C$4,0),ROUNDDOWN($E1792*ROUND((9*$Y1792-9*$E1792)/(10*$E1792),4),0))))</f>
        <v/>
      </c>
      <c r="AB1792" s="13" t="n"/>
      <c r="AC1792" s="15">
        <f>IF($B1792="","",IF($AB1792&lt;&gt;"",$AB1792,IF($AA1792="","",IF($AA1792&lt;=設定!$C$3,0,$AA1792))))</f>
        <v/>
      </c>
      <c r="AD1792" s="14">
        <f>IF($B1792="","",IF(AND($AE1792&lt;&gt;"",$AG1792="",$AJ1792=""),"保留中",IF($AJ1792&lt;&gt;"",IF(N($AC1792)&gt;0,"支給済","不支給"),IF($AC1792="","要確認",IF($AC1792=0,"不支給","未処理")))))</f>
        <v/>
      </c>
      <c r="AE1792" s="12" t="n"/>
      <c r="AF1792" s="11" t="n"/>
      <c r="AG1792" s="11" t="n"/>
      <c r="AH1792" s="11" t="n"/>
      <c r="AI1792" s="14">
        <f>IF(AND($AD1792="保留中",$AF1792&lt;&gt;""),TODAY()-$AF1792,"")</f>
        <v/>
      </c>
      <c r="AJ1792" s="12" t="n"/>
      <c r="AK1792" s="14">
        <f>IF($B1792="","",IF($AO1792="","対象年月が未入力／","")&amp;IF($B1792="","",IF($AN1792="","職員マスタに未登録の職員番号／",IF($Y1792="","標準報酬月額が未登録／","")&amp;IF(AND($AO1792&lt;&gt;"",OR(AND(INDEX(職員マスタ!$G$6:$G$405,$AN1792)&lt;&gt;"",INDEX(職員マスタ!$G$6:$G$405,$AN1792)&gt;EOMONTH($AO1792,0)),AND(INDEX(職員マスタ!$H$6:$H$405,$AN1792)&lt;&gt;"",INDEX(職員マスタ!$H$6:$H$405,$AN1792)&lt;$AO1792))),"対象月が時短期間外／","")&amp;IF(AND(INDEX(職員マスタ!$F$6:$F$405,$AN1792)&lt;&gt;"",$AO1792&lt;&gt;"",INDEX(職員マスタ!$F$6:$F$405,$AN1792)&lt;$AO1792),"対象月に子が2歳到達済／","")&amp;IF(AND($H1792&lt;&gt;"",INDEX(職員マスタ!$B$6:$B$405,$AN1792)&lt;&gt;"",SUBSTITUTE(SUBSTITUTE($H1792," ","")," ","")&lt;&gt;SUBSTITUTE(SUBSTITUTE(INDEX(職員マスタ!$B$6:$B$405,$AN1792)," ","")," ","")),"氏名がマスタと相違／","")&amp;IF(AND($Q1792&lt;&gt;"",INDEX(職員マスタ!$E$6:$E$405,$AN1792)&lt;&gt;"",$Q1792&lt;&gt;INDEX(職員マスタ!$E$6:$E$405,$AN1792)),"子の生年月日がマスタと相違／","")&amp;IF(AND($L1792&lt;&gt;"",INDEX(職員マスタ!$G$6:$G$405,$AN1792)&lt;&gt;"",$L1792&lt;&gt;INDEX(職員マスタ!$G$6:$G$405,$AN1792)),"時短開始日がマスタと相違／","")&amp;IF(AND($M1792&lt;&gt;"",INDEX(職員マスタ!$H$6:$H$405,$AN1792)&lt;&gt;"",$M1792&lt;&gt;INDEX(職員マスタ!$H$6:$H$405,$AN1792)),"時短終了日がマスタと相違／","")))&amp;IF(AND($B1792&lt;&gt;"",$E1792=""),"報酬額が未入力／","")&amp;IF(N($U1792)&gt;0,"申請書に入力エラーが残っています／","")&amp;IF(AND($B1792&lt;&gt;"",$AO1792&lt;&gt;""),IF(COUNTIFS($B$6:$B$3005,$B1792,$C$6:$C$3005,$C1792,$D$6:$D$3005,$D1792)&gt;1,"同じ月の請求が重複しています／",""),"")&amp;IF(AND(N($E1792)&gt;0,$Z1792&lt;&gt;"",$Z1792&lt;&gt;"×",$AC1792=0,$AB1792=""),"計算額が下限以下のため不支給／",""))</f>
        <v/>
      </c>
      <c r="AL1792" s="12" t="n"/>
      <c r="AM1792" s="14">
        <f>IF($AD1792="保留中",COUNTIF($AD$6:$AD1792,"保留中"),"")</f>
        <v/>
      </c>
      <c r="AN1792" s="14">
        <f>IF($AO1792="","",IF(SUMPRODUCT(MAX((職員マスタ!$A$6:$A$405=$B1792)*(((職員マスタ!$G$6:$G$405="")+(職員マスタ!$G$6:$G$405&lt;=EOMONTH($AO1792,0)))&gt;0)*(((職員マスタ!$H$6:$H$405="")+(職員マスタ!$H$6:$H$405&gt;=$AO1792))&gt;0)*(ROW(職員マスタ!$A$6:$A$405)-5)))&gt;0,SUMPRODUCT(MAX((職員マスタ!$A$6:$A$405=$B1792)*(((職員マスタ!$G$6:$G$405="")+(職員マスタ!$G$6:$G$405&lt;=EOMONTH($AO1792,0)))&gt;0)*(((職員マスタ!$H$6:$H$405="")+(職員マスタ!$H$6:$H$405&gt;=$AO1792))&gt;0)*(ROW(職員マスタ!$A$6:$A$405)-5))),IFERROR(MATCH($B1792,職員マスタ!$A$6:$A$405,0),"")))</f>
        <v/>
      </c>
      <c r="AO1792" s="16">
        <f>IF(OR($B1792="",$C1792="",$D1792=""),"",DATE($C1792+2018,$D1792,1))</f>
        <v/>
      </c>
    </row>
    <row r="1793">
      <c r="A1793" s="11" t="n"/>
      <c r="B1793" s="12" t="n"/>
      <c r="C1793" s="12" t="n"/>
      <c r="D1793" s="12" t="n"/>
      <c r="E1793" s="13" t="n"/>
      <c r="F1793" s="12" t="n"/>
      <c r="G1793" s="13" t="n"/>
      <c r="H1793" s="12" t="n"/>
      <c r="I1793" s="12" t="n"/>
      <c r="J1793" s="12" t="n"/>
      <c r="K1793" s="12" t="n"/>
      <c r="L1793" s="11" t="n"/>
      <c r="M1793" s="11" t="n"/>
      <c r="N1793" s="11" t="n"/>
      <c r="O1793" s="11" t="n"/>
      <c r="P1793" s="12" t="n"/>
      <c r="Q1793" s="11" t="n"/>
      <c r="R1793" s="12" t="n"/>
      <c r="S1793" s="11" t="n"/>
      <c r="T1793" s="12" t="n"/>
      <c r="U1793" s="12" t="n"/>
      <c r="V1793" s="14">
        <f>IF($AN1793="",IF($B1793="","",$H1793),IF(INDEX(職員マスタ!$B$6:$B$405,$AN1793)="",$H1793,INDEX(職員マスタ!$B$6:$B$405,$AN1793)))</f>
        <v/>
      </c>
      <c r="W1793" s="14">
        <f>IF($AN1793="",IF($B1793="","",$R1793),IF(INDEX(職員マスタ!$C$6:$C$405,$AN1793)="",$R1793,INDEX(職員マスタ!$C$6:$C$405,$AN1793)))</f>
        <v/>
      </c>
      <c r="X1793" s="14">
        <f>IF($AO1793="","","R"&amp;$C1793&amp;"."&amp;$D1793)</f>
        <v/>
      </c>
      <c r="Y1793" s="15">
        <f>IF($AN1793="","",IF(INDEX(職員マスタ!$K$6:$K$405,$AN1793)="","",INDEX(職員マスタ!$K$6:$K$405,$AN1793)))</f>
        <v/>
      </c>
      <c r="Z1793" s="14">
        <f>IF(OR($E1793="",$Y1793=""),"",IF($E1793&gt;=$Y1793,"×",IF($E1793&gt;=$Y1793*設定!$C$5,"△","○")))</f>
        <v/>
      </c>
      <c r="AA1793" s="15">
        <f>IF($Z1793="","",IF($Z1793="×",0,IF($Z1793="○",ROUNDDOWN($E1793*設定!$C$4,0),ROUNDDOWN($E1793*ROUND((9*$Y1793-9*$E1793)/(10*$E1793),4),0))))</f>
        <v/>
      </c>
      <c r="AB1793" s="13" t="n"/>
      <c r="AC1793" s="15">
        <f>IF($B1793="","",IF($AB1793&lt;&gt;"",$AB1793,IF($AA1793="","",IF($AA1793&lt;=設定!$C$3,0,$AA1793))))</f>
        <v/>
      </c>
      <c r="AD1793" s="14">
        <f>IF($B1793="","",IF(AND($AE1793&lt;&gt;"",$AG1793="",$AJ1793=""),"保留中",IF($AJ1793&lt;&gt;"",IF(N($AC1793)&gt;0,"支給済","不支給"),IF($AC1793="","要確認",IF($AC1793=0,"不支給","未処理")))))</f>
        <v/>
      </c>
      <c r="AE1793" s="12" t="n"/>
      <c r="AF1793" s="11" t="n"/>
      <c r="AG1793" s="11" t="n"/>
      <c r="AH1793" s="11" t="n"/>
      <c r="AI1793" s="14">
        <f>IF(AND($AD1793="保留中",$AF1793&lt;&gt;""),TODAY()-$AF1793,"")</f>
        <v/>
      </c>
      <c r="AJ1793" s="12" t="n"/>
      <c r="AK1793" s="14">
        <f>IF($B1793="","",IF($AO1793="","対象年月が未入力／","")&amp;IF($B1793="","",IF($AN1793="","職員マスタに未登録の職員番号／",IF($Y1793="","標準報酬月額が未登録／","")&amp;IF(AND($AO1793&lt;&gt;"",OR(AND(INDEX(職員マスタ!$G$6:$G$405,$AN1793)&lt;&gt;"",INDEX(職員マスタ!$G$6:$G$405,$AN1793)&gt;EOMONTH($AO1793,0)),AND(INDEX(職員マスタ!$H$6:$H$405,$AN1793)&lt;&gt;"",INDEX(職員マスタ!$H$6:$H$405,$AN1793)&lt;$AO1793))),"対象月が時短期間外／","")&amp;IF(AND(INDEX(職員マスタ!$F$6:$F$405,$AN1793)&lt;&gt;"",$AO1793&lt;&gt;"",INDEX(職員マスタ!$F$6:$F$405,$AN1793)&lt;$AO1793),"対象月に子が2歳到達済／","")&amp;IF(AND($H1793&lt;&gt;"",INDEX(職員マスタ!$B$6:$B$405,$AN1793)&lt;&gt;"",SUBSTITUTE(SUBSTITUTE($H1793," ","")," ","")&lt;&gt;SUBSTITUTE(SUBSTITUTE(INDEX(職員マスタ!$B$6:$B$405,$AN1793)," ","")," ","")),"氏名がマスタと相違／","")&amp;IF(AND($Q1793&lt;&gt;"",INDEX(職員マスタ!$E$6:$E$405,$AN1793)&lt;&gt;"",$Q1793&lt;&gt;INDEX(職員マスタ!$E$6:$E$405,$AN1793)),"子の生年月日がマスタと相違／","")&amp;IF(AND($L1793&lt;&gt;"",INDEX(職員マスタ!$G$6:$G$405,$AN1793)&lt;&gt;"",$L1793&lt;&gt;INDEX(職員マスタ!$G$6:$G$405,$AN1793)),"時短開始日がマスタと相違／","")&amp;IF(AND($M1793&lt;&gt;"",INDEX(職員マスタ!$H$6:$H$405,$AN1793)&lt;&gt;"",$M1793&lt;&gt;INDEX(職員マスタ!$H$6:$H$405,$AN1793)),"時短終了日がマスタと相違／","")))&amp;IF(AND($B1793&lt;&gt;"",$E1793=""),"報酬額が未入力／","")&amp;IF(N($U1793)&gt;0,"申請書に入力エラーが残っています／","")&amp;IF(AND($B1793&lt;&gt;"",$AO1793&lt;&gt;""),IF(COUNTIFS($B$6:$B$3005,$B1793,$C$6:$C$3005,$C1793,$D$6:$D$3005,$D1793)&gt;1,"同じ月の請求が重複しています／",""),"")&amp;IF(AND(N($E1793)&gt;0,$Z1793&lt;&gt;"",$Z1793&lt;&gt;"×",$AC1793=0,$AB1793=""),"計算額が下限以下のため不支給／",""))</f>
        <v/>
      </c>
      <c r="AL1793" s="12" t="n"/>
      <c r="AM1793" s="14">
        <f>IF($AD1793="保留中",COUNTIF($AD$6:$AD1793,"保留中"),"")</f>
        <v/>
      </c>
      <c r="AN1793" s="14">
        <f>IF($AO1793="","",IF(SUMPRODUCT(MAX((職員マスタ!$A$6:$A$405=$B1793)*(((職員マスタ!$G$6:$G$405="")+(職員マスタ!$G$6:$G$405&lt;=EOMONTH($AO1793,0)))&gt;0)*(((職員マスタ!$H$6:$H$405="")+(職員マスタ!$H$6:$H$405&gt;=$AO1793))&gt;0)*(ROW(職員マスタ!$A$6:$A$405)-5)))&gt;0,SUMPRODUCT(MAX((職員マスタ!$A$6:$A$405=$B1793)*(((職員マスタ!$G$6:$G$405="")+(職員マスタ!$G$6:$G$405&lt;=EOMONTH($AO1793,0)))&gt;0)*(((職員マスタ!$H$6:$H$405="")+(職員マスタ!$H$6:$H$405&gt;=$AO1793))&gt;0)*(ROW(職員マスタ!$A$6:$A$405)-5))),IFERROR(MATCH($B1793,職員マスタ!$A$6:$A$405,0),"")))</f>
        <v/>
      </c>
      <c r="AO1793" s="16">
        <f>IF(OR($B1793="",$C1793="",$D1793=""),"",DATE($C1793+2018,$D1793,1))</f>
        <v/>
      </c>
    </row>
    <row r="1794">
      <c r="A1794" s="11" t="n"/>
      <c r="B1794" s="12" t="n"/>
      <c r="C1794" s="12" t="n"/>
      <c r="D1794" s="12" t="n"/>
      <c r="E1794" s="13" t="n"/>
      <c r="F1794" s="12" t="n"/>
      <c r="G1794" s="13" t="n"/>
      <c r="H1794" s="12" t="n"/>
      <c r="I1794" s="12" t="n"/>
      <c r="J1794" s="12" t="n"/>
      <c r="K1794" s="12" t="n"/>
      <c r="L1794" s="11" t="n"/>
      <c r="M1794" s="11" t="n"/>
      <c r="N1794" s="11" t="n"/>
      <c r="O1794" s="11" t="n"/>
      <c r="P1794" s="12" t="n"/>
      <c r="Q1794" s="11" t="n"/>
      <c r="R1794" s="12" t="n"/>
      <c r="S1794" s="11" t="n"/>
      <c r="T1794" s="12" t="n"/>
      <c r="U1794" s="12" t="n"/>
      <c r="V1794" s="14">
        <f>IF($AN1794="",IF($B1794="","",$H1794),IF(INDEX(職員マスタ!$B$6:$B$405,$AN1794)="",$H1794,INDEX(職員マスタ!$B$6:$B$405,$AN1794)))</f>
        <v/>
      </c>
      <c r="W1794" s="14">
        <f>IF($AN1794="",IF($B1794="","",$R1794),IF(INDEX(職員マスタ!$C$6:$C$405,$AN1794)="",$R1794,INDEX(職員マスタ!$C$6:$C$405,$AN1794)))</f>
        <v/>
      </c>
      <c r="X1794" s="14">
        <f>IF($AO1794="","","R"&amp;$C1794&amp;"."&amp;$D1794)</f>
        <v/>
      </c>
      <c r="Y1794" s="15">
        <f>IF($AN1794="","",IF(INDEX(職員マスタ!$K$6:$K$405,$AN1794)="","",INDEX(職員マスタ!$K$6:$K$405,$AN1794)))</f>
        <v/>
      </c>
      <c r="Z1794" s="14">
        <f>IF(OR($E1794="",$Y1794=""),"",IF($E1794&gt;=$Y1794,"×",IF($E1794&gt;=$Y1794*設定!$C$5,"△","○")))</f>
        <v/>
      </c>
      <c r="AA1794" s="15">
        <f>IF($Z1794="","",IF($Z1794="×",0,IF($Z1794="○",ROUNDDOWN($E1794*設定!$C$4,0),ROUNDDOWN($E1794*ROUND((9*$Y1794-9*$E1794)/(10*$E1794),4),0))))</f>
        <v/>
      </c>
      <c r="AB1794" s="13" t="n"/>
      <c r="AC1794" s="15">
        <f>IF($B1794="","",IF($AB1794&lt;&gt;"",$AB1794,IF($AA1794="","",IF($AA1794&lt;=設定!$C$3,0,$AA1794))))</f>
        <v/>
      </c>
      <c r="AD1794" s="14">
        <f>IF($B1794="","",IF(AND($AE1794&lt;&gt;"",$AG1794="",$AJ1794=""),"保留中",IF($AJ1794&lt;&gt;"",IF(N($AC1794)&gt;0,"支給済","不支給"),IF($AC1794="","要確認",IF($AC1794=0,"不支給","未処理")))))</f>
        <v/>
      </c>
      <c r="AE1794" s="12" t="n"/>
      <c r="AF1794" s="11" t="n"/>
      <c r="AG1794" s="11" t="n"/>
      <c r="AH1794" s="11" t="n"/>
      <c r="AI1794" s="14">
        <f>IF(AND($AD1794="保留中",$AF1794&lt;&gt;""),TODAY()-$AF1794,"")</f>
        <v/>
      </c>
      <c r="AJ1794" s="12" t="n"/>
      <c r="AK1794" s="14">
        <f>IF($B1794="","",IF($AO1794="","対象年月が未入力／","")&amp;IF($B1794="","",IF($AN1794="","職員マスタに未登録の職員番号／",IF($Y1794="","標準報酬月額が未登録／","")&amp;IF(AND($AO1794&lt;&gt;"",OR(AND(INDEX(職員マスタ!$G$6:$G$405,$AN1794)&lt;&gt;"",INDEX(職員マスタ!$G$6:$G$405,$AN1794)&gt;EOMONTH($AO1794,0)),AND(INDEX(職員マスタ!$H$6:$H$405,$AN1794)&lt;&gt;"",INDEX(職員マスタ!$H$6:$H$405,$AN1794)&lt;$AO1794))),"対象月が時短期間外／","")&amp;IF(AND(INDEX(職員マスタ!$F$6:$F$405,$AN1794)&lt;&gt;"",$AO1794&lt;&gt;"",INDEX(職員マスタ!$F$6:$F$405,$AN1794)&lt;$AO1794),"対象月に子が2歳到達済／","")&amp;IF(AND($H1794&lt;&gt;"",INDEX(職員マスタ!$B$6:$B$405,$AN1794)&lt;&gt;"",SUBSTITUTE(SUBSTITUTE($H1794," ","")," ","")&lt;&gt;SUBSTITUTE(SUBSTITUTE(INDEX(職員マスタ!$B$6:$B$405,$AN1794)," ","")," ","")),"氏名がマスタと相違／","")&amp;IF(AND($Q1794&lt;&gt;"",INDEX(職員マスタ!$E$6:$E$405,$AN1794)&lt;&gt;"",$Q1794&lt;&gt;INDEX(職員マスタ!$E$6:$E$405,$AN1794)),"子の生年月日がマスタと相違／","")&amp;IF(AND($L1794&lt;&gt;"",INDEX(職員マスタ!$G$6:$G$405,$AN1794)&lt;&gt;"",$L1794&lt;&gt;INDEX(職員マスタ!$G$6:$G$405,$AN1794)),"時短開始日がマスタと相違／","")&amp;IF(AND($M1794&lt;&gt;"",INDEX(職員マスタ!$H$6:$H$405,$AN1794)&lt;&gt;"",$M1794&lt;&gt;INDEX(職員マスタ!$H$6:$H$405,$AN1794)),"時短終了日がマスタと相違／","")))&amp;IF(AND($B1794&lt;&gt;"",$E1794=""),"報酬額が未入力／","")&amp;IF(N($U1794)&gt;0,"申請書に入力エラーが残っています／","")&amp;IF(AND($B1794&lt;&gt;"",$AO1794&lt;&gt;""),IF(COUNTIFS($B$6:$B$3005,$B1794,$C$6:$C$3005,$C1794,$D$6:$D$3005,$D1794)&gt;1,"同じ月の請求が重複しています／",""),"")&amp;IF(AND(N($E1794)&gt;0,$Z1794&lt;&gt;"",$Z1794&lt;&gt;"×",$AC1794=0,$AB1794=""),"計算額が下限以下のため不支給／",""))</f>
        <v/>
      </c>
      <c r="AL1794" s="12" t="n"/>
      <c r="AM1794" s="14">
        <f>IF($AD1794="保留中",COUNTIF($AD$6:$AD1794,"保留中"),"")</f>
        <v/>
      </c>
      <c r="AN1794" s="14">
        <f>IF($AO1794="","",IF(SUMPRODUCT(MAX((職員マスタ!$A$6:$A$405=$B1794)*(((職員マスタ!$G$6:$G$405="")+(職員マスタ!$G$6:$G$405&lt;=EOMONTH($AO1794,0)))&gt;0)*(((職員マスタ!$H$6:$H$405="")+(職員マスタ!$H$6:$H$405&gt;=$AO1794))&gt;0)*(ROW(職員マスタ!$A$6:$A$405)-5)))&gt;0,SUMPRODUCT(MAX((職員マスタ!$A$6:$A$405=$B1794)*(((職員マスタ!$G$6:$G$405="")+(職員マスタ!$G$6:$G$405&lt;=EOMONTH($AO1794,0)))&gt;0)*(((職員マスタ!$H$6:$H$405="")+(職員マスタ!$H$6:$H$405&gt;=$AO1794))&gt;0)*(ROW(職員マスタ!$A$6:$A$405)-5))),IFERROR(MATCH($B1794,職員マスタ!$A$6:$A$405,0),"")))</f>
        <v/>
      </c>
      <c r="AO1794" s="16">
        <f>IF(OR($B1794="",$C1794="",$D1794=""),"",DATE($C1794+2018,$D1794,1))</f>
        <v/>
      </c>
    </row>
    <row r="1795">
      <c r="A1795" s="11" t="n"/>
      <c r="B1795" s="12" t="n"/>
      <c r="C1795" s="12" t="n"/>
      <c r="D1795" s="12" t="n"/>
      <c r="E1795" s="13" t="n"/>
      <c r="F1795" s="12" t="n"/>
      <c r="G1795" s="13" t="n"/>
      <c r="H1795" s="12" t="n"/>
      <c r="I1795" s="12" t="n"/>
      <c r="J1795" s="12" t="n"/>
      <c r="K1795" s="12" t="n"/>
      <c r="L1795" s="11" t="n"/>
      <c r="M1795" s="11" t="n"/>
      <c r="N1795" s="11" t="n"/>
      <c r="O1795" s="11" t="n"/>
      <c r="P1795" s="12" t="n"/>
      <c r="Q1795" s="11" t="n"/>
      <c r="R1795" s="12" t="n"/>
      <c r="S1795" s="11" t="n"/>
      <c r="T1795" s="12" t="n"/>
      <c r="U1795" s="12" t="n"/>
      <c r="V1795" s="14">
        <f>IF($AN1795="",IF($B1795="","",$H1795),IF(INDEX(職員マスタ!$B$6:$B$405,$AN1795)="",$H1795,INDEX(職員マスタ!$B$6:$B$405,$AN1795)))</f>
        <v/>
      </c>
      <c r="W1795" s="14">
        <f>IF($AN1795="",IF($B1795="","",$R1795),IF(INDEX(職員マスタ!$C$6:$C$405,$AN1795)="",$R1795,INDEX(職員マスタ!$C$6:$C$405,$AN1795)))</f>
        <v/>
      </c>
      <c r="X1795" s="14">
        <f>IF($AO1795="","","R"&amp;$C1795&amp;"."&amp;$D1795)</f>
        <v/>
      </c>
      <c r="Y1795" s="15">
        <f>IF($AN1795="","",IF(INDEX(職員マスタ!$K$6:$K$405,$AN1795)="","",INDEX(職員マスタ!$K$6:$K$405,$AN1795)))</f>
        <v/>
      </c>
      <c r="Z1795" s="14">
        <f>IF(OR($E1795="",$Y1795=""),"",IF($E1795&gt;=$Y1795,"×",IF($E1795&gt;=$Y1795*設定!$C$5,"△","○")))</f>
        <v/>
      </c>
      <c r="AA1795" s="15">
        <f>IF($Z1795="","",IF($Z1795="×",0,IF($Z1795="○",ROUNDDOWN($E1795*設定!$C$4,0),ROUNDDOWN($E1795*ROUND((9*$Y1795-9*$E1795)/(10*$E1795),4),0))))</f>
        <v/>
      </c>
      <c r="AB1795" s="13" t="n"/>
      <c r="AC1795" s="15">
        <f>IF($B1795="","",IF($AB1795&lt;&gt;"",$AB1795,IF($AA1795="","",IF($AA1795&lt;=設定!$C$3,0,$AA1795))))</f>
        <v/>
      </c>
      <c r="AD1795" s="14">
        <f>IF($B1795="","",IF(AND($AE1795&lt;&gt;"",$AG1795="",$AJ1795=""),"保留中",IF($AJ1795&lt;&gt;"",IF(N($AC1795)&gt;0,"支給済","不支給"),IF($AC1795="","要確認",IF($AC1795=0,"不支給","未処理")))))</f>
        <v/>
      </c>
      <c r="AE1795" s="12" t="n"/>
      <c r="AF1795" s="11" t="n"/>
      <c r="AG1795" s="11" t="n"/>
      <c r="AH1795" s="11" t="n"/>
      <c r="AI1795" s="14">
        <f>IF(AND($AD1795="保留中",$AF1795&lt;&gt;""),TODAY()-$AF1795,"")</f>
        <v/>
      </c>
      <c r="AJ1795" s="12" t="n"/>
      <c r="AK1795" s="14">
        <f>IF($B1795="","",IF($AO1795="","対象年月が未入力／","")&amp;IF($B1795="","",IF($AN1795="","職員マスタに未登録の職員番号／",IF($Y1795="","標準報酬月額が未登録／","")&amp;IF(AND($AO1795&lt;&gt;"",OR(AND(INDEX(職員マスタ!$G$6:$G$405,$AN1795)&lt;&gt;"",INDEX(職員マスタ!$G$6:$G$405,$AN1795)&gt;EOMONTH($AO1795,0)),AND(INDEX(職員マスタ!$H$6:$H$405,$AN1795)&lt;&gt;"",INDEX(職員マスタ!$H$6:$H$405,$AN1795)&lt;$AO1795))),"対象月が時短期間外／","")&amp;IF(AND(INDEX(職員マスタ!$F$6:$F$405,$AN1795)&lt;&gt;"",$AO1795&lt;&gt;"",INDEX(職員マスタ!$F$6:$F$405,$AN1795)&lt;$AO1795),"対象月に子が2歳到達済／","")&amp;IF(AND($H1795&lt;&gt;"",INDEX(職員マスタ!$B$6:$B$405,$AN1795)&lt;&gt;"",SUBSTITUTE(SUBSTITUTE($H1795," ","")," ","")&lt;&gt;SUBSTITUTE(SUBSTITUTE(INDEX(職員マスタ!$B$6:$B$405,$AN1795)," ","")," ","")),"氏名がマスタと相違／","")&amp;IF(AND($Q1795&lt;&gt;"",INDEX(職員マスタ!$E$6:$E$405,$AN1795)&lt;&gt;"",$Q1795&lt;&gt;INDEX(職員マスタ!$E$6:$E$405,$AN1795)),"子の生年月日がマスタと相違／","")&amp;IF(AND($L1795&lt;&gt;"",INDEX(職員マスタ!$G$6:$G$405,$AN1795)&lt;&gt;"",$L1795&lt;&gt;INDEX(職員マスタ!$G$6:$G$405,$AN1795)),"時短開始日がマスタと相違／","")&amp;IF(AND($M1795&lt;&gt;"",INDEX(職員マスタ!$H$6:$H$405,$AN1795)&lt;&gt;"",$M1795&lt;&gt;INDEX(職員マスタ!$H$6:$H$405,$AN1795)),"時短終了日がマスタと相違／","")))&amp;IF(AND($B1795&lt;&gt;"",$E1795=""),"報酬額が未入力／","")&amp;IF(N($U1795)&gt;0,"申請書に入力エラーが残っています／","")&amp;IF(AND($B1795&lt;&gt;"",$AO1795&lt;&gt;""),IF(COUNTIFS($B$6:$B$3005,$B1795,$C$6:$C$3005,$C1795,$D$6:$D$3005,$D1795)&gt;1,"同じ月の請求が重複しています／",""),"")&amp;IF(AND(N($E1795)&gt;0,$Z1795&lt;&gt;"",$Z1795&lt;&gt;"×",$AC1795=0,$AB1795=""),"計算額が下限以下のため不支給／",""))</f>
        <v/>
      </c>
      <c r="AL1795" s="12" t="n"/>
      <c r="AM1795" s="14">
        <f>IF($AD1795="保留中",COUNTIF($AD$6:$AD1795,"保留中"),"")</f>
        <v/>
      </c>
      <c r="AN1795" s="14">
        <f>IF($AO1795="","",IF(SUMPRODUCT(MAX((職員マスタ!$A$6:$A$405=$B1795)*(((職員マスタ!$G$6:$G$405="")+(職員マスタ!$G$6:$G$405&lt;=EOMONTH($AO1795,0)))&gt;0)*(((職員マスタ!$H$6:$H$405="")+(職員マスタ!$H$6:$H$405&gt;=$AO1795))&gt;0)*(ROW(職員マスタ!$A$6:$A$405)-5)))&gt;0,SUMPRODUCT(MAX((職員マスタ!$A$6:$A$405=$B1795)*(((職員マスタ!$G$6:$G$405="")+(職員マスタ!$G$6:$G$405&lt;=EOMONTH($AO1795,0)))&gt;0)*(((職員マスタ!$H$6:$H$405="")+(職員マスタ!$H$6:$H$405&gt;=$AO1795))&gt;0)*(ROW(職員マスタ!$A$6:$A$405)-5))),IFERROR(MATCH($B1795,職員マスタ!$A$6:$A$405,0),"")))</f>
        <v/>
      </c>
      <c r="AO1795" s="16">
        <f>IF(OR($B1795="",$C1795="",$D1795=""),"",DATE($C1795+2018,$D1795,1))</f>
        <v/>
      </c>
    </row>
    <row r="1796">
      <c r="A1796" s="11" t="n"/>
      <c r="B1796" s="12" t="n"/>
      <c r="C1796" s="12" t="n"/>
      <c r="D1796" s="12" t="n"/>
      <c r="E1796" s="13" t="n"/>
      <c r="F1796" s="12" t="n"/>
      <c r="G1796" s="13" t="n"/>
      <c r="H1796" s="12" t="n"/>
      <c r="I1796" s="12" t="n"/>
      <c r="J1796" s="12" t="n"/>
      <c r="K1796" s="12" t="n"/>
      <c r="L1796" s="11" t="n"/>
      <c r="M1796" s="11" t="n"/>
      <c r="N1796" s="11" t="n"/>
      <c r="O1796" s="11" t="n"/>
      <c r="P1796" s="12" t="n"/>
      <c r="Q1796" s="11" t="n"/>
      <c r="R1796" s="12" t="n"/>
      <c r="S1796" s="11" t="n"/>
      <c r="T1796" s="12" t="n"/>
      <c r="U1796" s="12" t="n"/>
      <c r="V1796" s="14">
        <f>IF($AN1796="",IF($B1796="","",$H1796),IF(INDEX(職員マスタ!$B$6:$B$405,$AN1796)="",$H1796,INDEX(職員マスタ!$B$6:$B$405,$AN1796)))</f>
        <v/>
      </c>
      <c r="W1796" s="14">
        <f>IF($AN1796="",IF($B1796="","",$R1796),IF(INDEX(職員マスタ!$C$6:$C$405,$AN1796)="",$R1796,INDEX(職員マスタ!$C$6:$C$405,$AN1796)))</f>
        <v/>
      </c>
      <c r="X1796" s="14">
        <f>IF($AO1796="","","R"&amp;$C1796&amp;"."&amp;$D1796)</f>
        <v/>
      </c>
      <c r="Y1796" s="15">
        <f>IF($AN1796="","",IF(INDEX(職員マスタ!$K$6:$K$405,$AN1796)="","",INDEX(職員マスタ!$K$6:$K$405,$AN1796)))</f>
        <v/>
      </c>
      <c r="Z1796" s="14">
        <f>IF(OR($E1796="",$Y1796=""),"",IF($E1796&gt;=$Y1796,"×",IF($E1796&gt;=$Y1796*設定!$C$5,"△","○")))</f>
        <v/>
      </c>
      <c r="AA1796" s="15">
        <f>IF($Z1796="","",IF($Z1796="×",0,IF($Z1796="○",ROUNDDOWN($E1796*設定!$C$4,0),ROUNDDOWN($E1796*ROUND((9*$Y1796-9*$E1796)/(10*$E1796),4),0))))</f>
        <v/>
      </c>
      <c r="AB1796" s="13" t="n"/>
      <c r="AC1796" s="15">
        <f>IF($B1796="","",IF($AB1796&lt;&gt;"",$AB1796,IF($AA1796="","",IF($AA1796&lt;=設定!$C$3,0,$AA1796))))</f>
        <v/>
      </c>
      <c r="AD1796" s="14">
        <f>IF($B1796="","",IF(AND($AE1796&lt;&gt;"",$AG1796="",$AJ1796=""),"保留中",IF($AJ1796&lt;&gt;"",IF(N($AC1796)&gt;0,"支給済","不支給"),IF($AC1796="","要確認",IF($AC1796=0,"不支給","未処理")))))</f>
        <v/>
      </c>
      <c r="AE1796" s="12" t="n"/>
      <c r="AF1796" s="11" t="n"/>
      <c r="AG1796" s="11" t="n"/>
      <c r="AH1796" s="11" t="n"/>
      <c r="AI1796" s="14">
        <f>IF(AND($AD1796="保留中",$AF1796&lt;&gt;""),TODAY()-$AF1796,"")</f>
        <v/>
      </c>
      <c r="AJ1796" s="12" t="n"/>
      <c r="AK1796" s="14">
        <f>IF($B1796="","",IF($AO1796="","対象年月が未入力／","")&amp;IF($B1796="","",IF($AN1796="","職員マスタに未登録の職員番号／",IF($Y1796="","標準報酬月額が未登録／","")&amp;IF(AND($AO1796&lt;&gt;"",OR(AND(INDEX(職員マスタ!$G$6:$G$405,$AN1796)&lt;&gt;"",INDEX(職員マスタ!$G$6:$G$405,$AN1796)&gt;EOMONTH($AO1796,0)),AND(INDEX(職員マスタ!$H$6:$H$405,$AN1796)&lt;&gt;"",INDEX(職員マスタ!$H$6:$H$405,$AN1796)&lt;$AO1796))),"対象月が時短期間外／","")&amp;IF(AND(INDEX(職員マスタ!$F$6:$F$405,$AN1796)&lt;&gt;"",$AO1796&lt;&gt;"",INDEX(職員マスタ!$F$6:$F$405,$AN1796)&lt;$AO1796),"対象月に子が2歳到達済／","")&amp;IF(AND($H1796&lt;&gt;"",INDEX(職員マスタ!$B$6:$B$405,$AN1796)&lt;&gt;"",SUBSTITUTE(SUBSTITUTE($H1796," ","")," ","")&lt;&gt;SUBSTITUTE(SUBSTITUTE(INDEX(職員マスタ!$B$6:$B$405,$AN1796)," ","")," ","")),"氏名がマスタと相違／","")&amp;IF(AND($Q1796&lt;&gt;"",INDEX(職員マスタ!$E$6:$E$405,$AN1796)&lt;&gt;"",$Q1796&lt;&gt;INDEX(職員マスタ!$E$6:$E$405,$AN1796)),"子の生年月日がマスタと相違／","")&amp;IF(AND($L1796&lt;&gt;"",INDEX(職員マスタ!$G$6:$G$405,$AN1796)&lt;&gt;"",$L1796&lt;&gt;INDEX(職員マスタ!$G$6:$G$405,$AN1796)),"時短開始日がマスタと相違／","")&amp;IF(AND($M1796&lt;&gt;"",INDEX(職員マスタ!$H$6:$H$405,$AN1796)&lt;&gt;"",$M1796&lt;&gt;INDEX(職員マスタ!$H$6:$H$405,$AN1796)),"時短終了日がマスタと相違／","")))&amp;IF(AND($B1796&lt;&gt;"",$E1796=""),"報酬額が未入力／","")&amp;IF(N($U1796)&gt;0,"申請書に入力エラーが残っています／","")&amp;IF(AND($B1796&lt;&gt;"",$AO1796&lt;&gt;""),IF(COUNTIFS($B$6:$B$3005,$B1796,$C$6:$C$3005,$C1796,$D$6:$D$3005,$D1796)&gt;1,"同じ月の請求が重複しています／",""),"")&amp;IF(AND(N($E1796)&gt;0,$Z1796&lt;&gt;"",$Z1796&lt;&gt;"×",$AC1796=0,$AB1796=""),"計算額が下限以下のため不支給／",""))</f>
        <v/>
      </c>
      <c r="AL1796" s="12" t="n"/>
      <c r="AM1796" s="14">
        <f>IF($AD1796="保留中",COUNTIF($AD$6:$AD1796,"保留中"),"")</f>
        <v/>
      </c>
      <c r="AN1796" s="14">
        <f>IF($AO1796="","",IF(SUMPRODUCT(MAX((職員マスタ!$A$6:$A$405=$B1796)*(((職員マスタ!$G$6:$G$405="")+(職員マスタ!$G$6:$G$405&lt;=EOMONTH($AO1796,0)))&gt;0)*(((職員マスタ!$H$6:$H$405="")+(職員マスタ!$H$6:$H$405&gt;=$AO1796))&gt;0)*(ROW(職員マスタ!$A$6:$A$405)-5)))&gt;0,SUMPRODUCT(MAX((職員マスタ!$A$6:$A$405=$B1796)*(((職員マスタ!$G$6:$G$405="")+(職員マスタ!$G$6:$G$405&lt;=EOMONTH($AO1796,0)))&gt;0)*(((職員マスタ!$H$6:$H$405="")+(職員マスタ!$H$6:$H$405&gt;=$AO1796))&gt;0)*(ROW(職員マスタ!$A$6:$A$405)-5))),IFERROR(MATCH($B1796,職員マスタ!$A$6:$A$405,0),"")))</f>
        <v/>
      </c>
      <c r="AO1796" s="16">
        <f>IF(OR($B1796="",$C1796="",$D1796=""),"",DATE($C1796+2018,$D1796,1))</f>
        <v/>
      </c>
    </row>
    <row r="1797">
      <c r="A1797" s="11" t="n"/>
      <c r="B1797" s="12" t="n"/>
      <c r="C1797" s="12" t="n"/>
      <c r="D1797" s="12" t="n"/>
      <c r="E1797" s="13" t="n"/>
      <c r="F1797" s="12" t="n"/>
      <c r="G1797" s="13" t="n"/>
      <c r="H1797" s="12" t="n"/>
      <c r="I1797" s="12" t="n"/>
      <c r="J1797" s="12" t="n"/>
      <c r="K1797" s="12" t="n"/>
      <c r="L1797" s="11" t="n"/>
      <c r="M1797" s="11" t="n"/>
      <c r="N1797" s="11" t="n"/>
      <c r="O1797" s="11" t="n"/>
      <c r="P1797" s="12" t="n"/>
      <c r="Q1797" s="11" t="n"/>
      <c r="R1797" s="12" t="n"/>
      <c r="S1797" s="11" t="n"/>
      <c r="T1797" s="12" t="n"/>
      <c r="U1797" s="12" t="n"/>
      <c r="V1797" s="14">
        <f>IF($AN1797="",IF($B1797="","",$H1797),IF(INDEX(職員マスタ!$B$6:$B$405,$AN1797)="",$H1797,INDEX(職員マスタ!$B$6:$B$405,$AN1797)))</f>
        <v/>
      </c>
      <c r="W1797" s="14">
        <f>IF($AN1797="",IF($B1797="","",$R1797),IF(INDEX(職員マスタ!$C$6:$C$405,$AN1797)="",$R1797,INDEX(職員マスタ!$C$6:$C$405,$AN1797)))</f>
        <v/>
      </c>
      <c r="X1797" s="14">
        <f>IF($AO1797="","","R"&amp;$C1797&amp;"."&amp;$D1797)</f>
        <v/>
      </c>
      <c r="Y1797" s="15">
        <f>IF($AN1797="","",IF(INDEX(職員マスタ!$K$6:$K$405,$AN1797)="","",INDEX(職員マスタ!$K$6:$K$405,$AN1797)))</f>
        <v/>
      </c>
      <c r="Z1797" s="14">
        <f>IF(OR($E1797="",$Y1797=""),"",IF($E1797&gt;=$Y1797,"×",IF($E1797&gt;=$Y1797*設定!$C$5,"△","○")))</f>
        <v/>
      </c>
      <c r="AA1797" s="15">
        <f>IF($Z1797="","",IF($Z1797="×",0,IF($Z1797="○",ROUNDDOWN($E1797*設定!$C$4,0),ROUNDDOWN($E1797*ROUND((9*$Y1797-9*$E1797)/(10*$E1797),4),0))))</f>
        <v/>
      </c>
      <c r="AB1797" s="13" t="n"/>
      <c r="AC1797" s="15">
        <f>IF($B1797="","",IF($AB1797&lt;&gt;"",$AB1797,IF($AA1797="","",IF($AA1797&lt;=設定!$C$3,0,$AA1797))))</f>
        <v/>
      </c>
      <c r="AD1797" s="14">
        <f>IF($B1797="","",IF(AND($AE1797&lt;&gt;"",$AG1797="",$AJ1797=""),"保留中",IF($AJ1797&lt;&gt;"",IF(N($AC1797)&gt;0,"支給済","不支給"),IF($AC1797="","要確認",IF($AC1797=0,"不支給","未処理")))))</f>
        <v/>
      </c>
      <c r="AE1797" s="12" t="n"/>
      <c r="AF1797" s="11" t="n"/>
      <c r="AG1797" s="11" t="n"/>
      <c r="AH1797" s="11" t="n"/>
      <c r="AI1797" s="14">
        <f>IF(AND($AD1797="保留中",$AF1797&lt;&gt;""),TODAY()-$AF1797,"")</f>
        <v/>
      </c>
      <c r="AJ1797" s="12" t="n"/>
      <c r="AK1797" s="14">
        <f>IF($B1797="","",IF($AO1797="","対象年月が未入力／","")&amp;IF($B1797="","",IF($AN1797="","職員マスタに未登録の職員番号／",IF($Y1797="","標準報酬月額が未登録／","")&amp;IF(AND($AO1797&lt;&gt;"",OR(AND(INDEX(職員マスタ!$G$6:$G$405,$AN1797)&lt;&gt;"",INDEX(職員マスタ!$G$6:$G$405,$AN1797)&gt;EOMONTH($AO1797,0)),AND(INDEX(職員マスタ!$H$6:$H$405,$AN1797)&lt;&gt;"",INDEX(職員マスタ!$H$6:$H$405,$AN1797)&lt;$AO1797))),"対象月が時短期間外／","")&amp;IF(AND(INDEX(職員マスタ!$F$6:$F$405,$AN1797)&lt;&gt;"",$AO1797&lt;&gt;"",INDEX(職員マスタ!$F$6:$F$405,$AN1797)&lt;$AO1797),"対象月に子が2歳到達済／","")&amp;IF(AND($H1797&lt;&gt;"",INDEX(職員マスタ!$B$6:$B$405,$AN1797)&lt;&gt;"",SUBSTITUTE(SUBSTITUTE($H1797," ","")," ","")&lt;&gt;SUBSTITUTE(SUBSTITUTE(INDEX(職員マスタ!$B$6:$B$405,$AN1797)," ","")," ","")),"氏名がマスタと相違／","")&amp;IF(AND($Q1797&lt;&gt;"",INDEX(職員マスタ!$E$6:$E$405,$AN1797)&lt;&gt;"",$Q1797&lt;&gt;INDEX(職員マスタ!$E$6:$E$405,$AN1797)),"子の生年月日がマスタと相違／","")&amp;IF(AND($L1797&lt;&gt;"",INDEX(職員マスタ!$G$6:$G$405,$AN1797)&lt;&gt;"",$L1797&lt;&gt;INDEX(職員マスタ!$G$6:$G$405,$AN1797)),"時短開始日がマスタと相違／","")&amp;IF(AND($M1797&lt;&gt;"",INDEX(職員マスタ!$H$6:$H$405,$AN1797)&lt;&gt;"",$M1797&lt;&gt;INDEX(職員マスタ!$H$6:$H$405,$AN1797)),"時短終了日がマスタと相違／","")))&amp;IF(AND($B1797&lt;&gt;"",$E1797=""),"報酬額が未入力／","")&amp;IF(N($U1797)&gt;0,"申請書に入力エラーが残っています／","")&amp;IF(AND($B1797&lt;&gt;"",$AO1797&lt;&gt;""),IF(COUNTIFS($B$6:$B$3005,$B1797,$C$6:$C$3005,$C1797,$D$6:$D$3005,$D1797)&gt;1,"同じ月の請求が重複しています／",""),"")&amp;IF(AND(N($E1797)&gt;0,$Z1797&lt;&gt;"",$Z1797&lt;&gt;"×",$AC1797=0,$AB1797=""),"計算額が下限以下のため不支給／",""))</f>
        <v/>
      </c>
      <c r="AL1797" s="12" t="n"/>
      <c r="AM1797" s="14">
        <f>IF($AD1797="保留中",COUNTIF($AD$6:$AD1797,"保留中"),"")</f>
        <v/>
      </c>
      <c r="AN1797" s="14">
        <f>IF($AO1797="","",IF(SUMPRODUCT(MAX((職員マスタ!$A$6:$A$405=$B1797)*(((職員マスタ!$G$6:$G$405="")+(職員マスタ!$G$6:$G$405&lt;=EOMONTH($AO1797,0)))&gt;0)*(((職員マスタ!$H$6:$H$405="")+(職員マスタ!$H$6:$H$405&gt;=$AO1797))&gt;0)*(ROW(職員マスタ!$A$6:$A$405)-5)))&gt;0,SUMPRODUCT(MAX((職員マスタ!$A$6:$A$405=$B1797)*(((職員マスタ!$G$6:$G$405="")+(職員マスタ!$G$6:$G$405&lt;=EOMONTH($AO1797,0)))&gt;0)*(((職員マスタ!$H$6:$H$405="")+(職員マスタ!$H$6:$H$405&gt;=$AO1797))&gt;0)*(ROW(職員マスタ!$A$6:$A$405)-5))),IFERROR(MATCH($B1797,職員マスタ!$A$6:$A$405,0),"")))</f>
        <v/>
      </c>
      <c r="AO1797" s="16">
        <f>IF(OR($B1797="",$C1797="",$D1797=""),"",DATE($C1797+2018,$D1797,1))</f>
        <v/>
      </c>
    </row>
    <row r="1798">
      <c r="A1798" s="11" t="n"/>
      <c r="B1798" s="12" t="n"/>
      <c r="C1798" s="12" t="n"/>
      <c r="D1798" s="12" t="n"/>
      <c r="E1798" s="13" t="n"/>
      <c r="F1798" s="12" t="n"/>
      <c r="G1798" s="13" t="n"/>
      <c r="H1798" s="12" t="n"/>
      <c r="I1798" s="12" t="n"/>
      <c r="J1798" s="12" t="n"/>
      <c r="K1798" s="12" t="n"/>
      <c r="L1798" s="11" t="n"/>
      <c r="M1798" s="11" t="n"/>
      <c r="N1798" s="11" t="n"/>
      <c r="O1798" s="11" t="n"/>
      <c r="P1798" s="12" t="n"/>
      <c r="Q1798" s="11" t="n"/>
      <c r="R1798" s="12" t="n"/>
      <c r="S1798" s="11" t="n"/>
      <c r="T1798" s="12" t="n"/>
      <c r="U1798" s="12" t="n"/>
      <c r="V1798" s="14">
        <f>IF($AN1798="",IF($B1798="","",$H1798),IF(INDEX(職員マスタ!$B$6:$B$405,$AN1798)="",$H1798,INDEX(職員マスタ!$B$6:$B$405,$AN1798)))</f>
        <v/>
      </c>
      <c r="W1798" s="14">
        <f>IF($AN1798="",IF($B1798="","",$R1798),IF(INDEX(職員マスタ!$C$6:$C$405,$AN1798)="",$R1798,INDEX(職員マスタ!$C$6:$C$405,$AN1798)))</f>
        <v/>
      </c>
      <c r="X1798" s="14">
        <f>IF($AO1798="","","R"&amp;$C1798&amp;"."&amp;$D1798)</f>
        <v/>
      </c>
      <c r="Y1798" s="15">
        <f>IF($AN1798="","",IF(INDEX(職員マスタ!$K$6:$K$405,$AN1798)="","",INDEX(職員マスタ!$K$6:$K$405,$AN1798)))</f>
        <v/>
      </c>
      <c r="Z1798" s="14">
        <f>IF(OR($E1798="",$Y1798=""),"",IF($E1798&gt;=$Y1798,"×",IF($E1798&gt;=$Y1798*設定!$C$5,"△","○")))</f>
        <v/>
      </c>
      <c r="AA1798" s="15">
        <f>IF($Z1798="","",IF($Z1798="×",0,IF($Z1798="○",ROUNDDOWN($E1798*設定!$C$4,0),ROUNDDOWN($E1798*ROUND((9*$Y1798-9*$E1798)/(10*$E1798),4),0))))</f>
        <v/>
      </c>
      <c r="AB1798" s="13" t="n"/>
      <c r="AC1798" s="15">
        <f>IF($B1798="","",IF($AB1798&lt;&gt;"",$AB1798,IF($AA1798="","",IF($AA1798&lt;=設定!$C$3,0,$AA1798))))</f>
        <v/>
      </c>
      <c r="AD1798" s="14">
        <f>IF($B1798="","",IF(AND($AE1798&lt;&gt;"",$AG1798="",$AJ1798=""),"保留中",IF($AJ1798&lt;&gt;"",IF(N($AC1798)&gt;0,"支給済","不支給"),IF($AC1798="","要確認",IF($AC1798=0,"不支給","未処理")))))</f>
        <v/>
      </c>
      <c r="AE1798" s="12" t="n"/>
      <c r="AF1798" s="11" t="n"/>
      <c r="AG1798" s="11" t="n"/>
      <c r="AH1798" s="11" t="n"/>
      <c r="AI1798" s="14">
        <f>IF(AND($AD1798="保留中",$AF1798&lt;&gt;""),TODAY()-$AF1798,"")</f>
        <v/>
      </c>
      <c r="AJ1798" s="12" t="n"/>
      <c r="AK1798" s="14">
        <f>IF($B1798="","",IF($AO1798="","対象年月が未入力／","")&amp;IF($B1798="","",IF($AN1798="","職員マスタに未登録の職員番号／",IF($Y1798="","標準報酬月額が未登録／","")&amp;IF(AND($AO1798&lt;&gt;"",OR(AND(INDEX(職員マスタ!$G$6:$G$405,$AN1798)&lt;&gt;"",INDEX(職員マスタ!$G$6:$G$405,$AN1798)&gt;EOMONTH($AO1798,0)),AND(INDEX(職員マスタ!$H$6:$H$405,$AN1798)&lt;&gt;"",INDEX(職員マスタ!$H$6:$H$405,$AN1798)&lt;$AO1798))),"対象月が時短期間外／","")&amp;IF(AND(INDEX(職員マスタ!$F$6:$F$405,$AN1798)&lt;&gt;"",$AO1798&lt;&gt;"",INDEX(職員マスタ!$F$6:$F$405,$AN1798)&lt;$AO1798),"対象月に子が2歳到達済／","")&amp;IF(AND($H1798&lt;&gt;"",INDEX(職員マスタ!$B$6:$B$405,$AN1798)&lt;&gt;"",SUBSTITUTE(SUBSTITUTE($H1798," ","")," ","")&lt;&gt;SUBSTITUTE(SUBSTITUTE(INDEX(職員マスタ!$B$6:$B$405,$AN1798)," ","")," ","")),"氏名がマスタと相違／","")&amp;IF(AND($Q1798&lt;&gt;"",INDEX(職員マスタ!$E$6:$E$405,$AN1798)&lt;&gt;"",$Q1798&lt;&gt;INDEX(職員マスタ!$E$6:$E$405,$AN1798)),"子の生年月日がマスタと相違／","")&amp;IF(AND($L1798&lt;&gt;"",INDEX(職員マスタ!$G$6:$G$405,$AN1798)&lt;&gt;"",$L1798&lt;&gt;INDEX(職員マスタ!$G$6:$G$405,$AN1798)),"時短開始日がマスタと相違／","")&amp;IF(AND($M1798&lt;&gt;"",INDEX(職員マスタ!$H$6:$H$405,$AN1798)&lt;&gt;"",$M1798&lt;&gt;INDEX(職員マスタ!$H$6:$H$405,$AN1798)),"時短終了日がマスタと相違／","")))&amp;IF(AND($B1798&lt;&gt;"",$E1798=""),"報酬額が未入力／","")&amp;IF(N($U1798)&gt;0,"申請書に入力エラーが残っています／","")&amp;IF(AND($B1798&lt;&gt;"",$AO1798&lt;&gt;""),IF(COUNTIFS($B$6:$B$3005,$B1798,$C$6:$C$3005,$C1798,$D$6:$D$3005,$D1798)&gt;1,"同じ月の請求が重複しています／",""),"")&amp;IF(AND(N($E1798)&gt;0,$Z1798&lt;&gt;"",$Z1798&lt;&gt;"×",$AC1798=0,$AB1798=""),"計算額が下限以下のため不支給／",""))</f>
        <v/>
      </c>
      <c r="AL1798" s="12" t="n"/>
      <c r="AM1798" s="14">
        <f>IF($AD1798="保留中",COUNTIF($AD$6:$AD1798,"保留中"),"")</f>
        <v/>
      </c>
      <c r="AN1798" s="14">
        <f>IF($AO1798="","",IF(SUMPRODUCT(MAX((職員マスタ!$A$6:$A$405=$B1798)*(((職員マスタ!$G$6:$G$405="")+(職員マスタ!$G$6:$G$405&lt;=EOMONTH($AO1798,0)))&gt;0)*(((職員マスタ!$H$6:$H$405="")+(職員マスタ!$H$6:$H$405&gt;=$AO1798))&gt;0)*(ROW(職員マスタ!$A$6:$A$405)-5)))&gt;0,SUMPRODUCT(MAX((職員マスタ!$A$6:$A$405=$B1798)*(((職員マスタ!$G$6:$G$405="")+(職員マスタ!$G$6:$G$405&lt;=EOMONTH($AO1798,0)))&gt;0)*(((職員マスタ!$H$6:$H$405="")+(職員マスタ!$H$6:$H$405&gt;=$AO1798))&gt;0)*(ROW(職員マスタ!$A$6:$A$405)-5))),IFERROR(MATCH($B1798,職員マスタ!$A$6:$A$405,0),"")))</f>
        <v/>
      </c>
      <c r="AO1798" s="16">
        <f>IF(OR($B1798="",$C1798="",$D1798=""),"",DATE($C1798+2018,$D1798,1))</f>
        <v/>
      </c>
    </row>
    <row r="1799">
      <c r="A1799" s="11" t="n"/>
      <c r="B1799" s="12" t="n"/>
      <c r="C1799" s="12" t="n"/>
      <c r="D1799" s="12" t="n"/>
      <c r="E1799" s="13" t="n"/>
      <c r="F1799" s="12" t="n"/>
      <c r="G1799" s="13" t="n"/>
      <c r="H1799" s="12" t="n"/>
      <c r="I1799" s="12" t="n"/>
      <c r="J1799" s="12" t="n"/>
      <c r="K1799" s="12" t="n"/>
      <c r="L1799" s="11" t="n"/>
      <c r="M1799" s="11" t="n"/>
      <c r="N1799" s="11" t="n"/>
      <c r="O1799" s="11" t="n"/>
      <c r="P1799" s="12" t="n"/>
      <c r="Q1799" s="11" t="n"/>
      <c r="R1799" s="12" t="n"/>
      <c r="S1799" s="11" t="n"/>
      <c r="T1799" s="12" t="n"/>
      <c r="U1799" s="12" t="n"/>
      <c r="V1799" s="14">
        <f>IF($AN1799="",IF($B1799="","",$H1799),IF(INDEX(職員マスタ!$B$6:$B$405,$AN1799)="",$H1799,INDEX(職員マスタ!$B$6:$B$405,$AN1799)))</f>
        <v/>
      </c>
      <c r="W1799" s="14">
        <f>IF($AN1799="",IF($B1799="","",$R1799),IF(INDEX(職員マスタ!$C$6:$C$405,$AN1799)="",$R1799,INDEX(職員マスタ!$C$6:$C$405,$AN1799)))</f>
        <v/>
      </c>
      <c r="X1799" s="14">
        <f>IF($AO1799="","","R"&amp;$C1799&amp;"."&amp;$D1799)</f>
        <v/>
      </c>
      <c r="Y1799" s="15">
        <f>IF($AN1799="","",IF(INDEX(職員マスタ!$K$6:$K$405,$AN1799)="","",INDEX(職員マスタ!$K$6:$K$405,$AN1799)))</f>
        <v/>
      </c>
      <c r="Z1799" s="14">
        <f>IF(OR($E1799="",$Y1799=""),"",IF($E1799&gt;=$Y1799,"×",IF($E1799&gt;=$Y1799*設定!$C$5,"△","○")))</f>
        <v/>
      </c>
      <c r="AA1799" s="15">
        <f>IF($Z1799="","",IF($Z1799="×",0,IF($Z1799="○",ROUNDDOWN($E1799*設定!$C$4,0),ROUNDDOWN($E1799*ROUND((9*$Y1799-9*$E1799)/(10*$E1799),4),0))))</f>
        <v/>
      </c>
      <c r="AB1799" s="13" t="n"/>
      <c r="AC1799" s="15">
        <f>IF($B1799="","",IF($AB1799&lt;&gt;"",$AB1799,IF($AA1799="","",IF($AA1799&lt;=設定!$C$3,0,$AA1799))))</f>
        <v/>
      </c>
      <c r="AD1799" s="14">
        <f>IF($B1799="","",IF(AND($AE1799&lt;&gt;"",$AG1799="",$AJ1799=""),"保留中",IF($AJ1799&lt;&gt;"",IF(N($AC1799)&gt;0,"支給済","不支給"),IF($AC1799="","要確認",IF($AC1799=0,"不支給","未処理")))))</f>
        <v/>
      </c>
      <c r="AE1799" s="12" t="n"/>
      <c r="AF1799" s="11" t="n"/>
      <c r="AG1799" s="11" t="n"/>
      <c r="AH1799" s="11" t="n"/>
      <c r="AI1799" s="14">
        <f>IF(AND($AD1799="保留中",$AF1799&lt;&gt;""),TODAY()-$AF1799,"")</f>
        <v/>
      </c>
      <c r="AJ1799" s="12" t="n"/>
      <c r="AK1799" s="14">
        <f>IF($B1799="","",IF($AO1799="","対象年月が未入力／","")&amp;IF($B1799="","",IF($AN1799="","職員マスタに未登録の職員番号／",IF($Y1799="","標準報酬月額が未登録／","")&amp;IF(AND($AO1799&lt;&gt;"",OR(AND(INDEX(職員マスタ!$G$6:$G$405,$AN1799)&lt;&gt;"",INDEX(職員マスタ!$G$6:$G$405,$AN1799)&gt;EOMONTH($AO1799,0)),AND(INDEX(職員マスタ!$H$6:$H$405,$AN1799)&lt;&gt;"",INDEX(職員マスタ!$H$6:$H$405,$AN1799)&lt;$AO1799))),"対象月が時短期間外／","")&amp;IF(AND(INDEX(職員マスタ!$F$6:$F$405,$AN1799)&lt;&gt;"",$AO1799&lt;&gt;"",INDEX(職員マスタ!$F$6:$F$405,$AN1799)&lt;$AO1799),"対象月に子が2歳到達済／","")&amp;IF(AND($H1799&lt;&gt;"",INDEX(職員マスタ!$B$6:$B$405,$AN1799)&lt;&gt;"",SUBSTITUTE(SUBSTITUTE($H1799," ","")," ","")&lt;&gt;SUBSTITUTE(SUBSTITUTE(INDEX(職員マスタ!$B$6:$B$405,$AN1799)," ","")," ","")),"氏名がマスタと相違／","")&amp;IF(AND($Q1799&lt;&gt;"",INDEX(職員マスタ!$E$6:$E$405,$AN1799)&lt;&gt;"",$Q1799&lt;&gt;INDEX(職員マスタ!$E$6:$E$405,$AN1799)),"子の生年月日がマスタと相違／","")&amp;IF(AND($L1799&lt;&gt;"",INDEX(職員マスタ!$G$6:$G$405,$AN1799)&lt;&gt;"",$L1799&lt;&gt;INDEX(職員マスタ!$G$6:$G$405,$AN1799)),"時短開始日がマスタと相違／","")&amp;IF(AND($M1799&lt;&gt;"",INDEX(職員マスタ!$H$6:$H$405,$AN1799)&lt;&gt;"",$M1799&lt;&gt;INDEX(職員マスタ!$H$6:$H$405,$AN1799)),"時短終了日がマスタと相違／","")))&amp;IF(AND($B1799&lt;&gt;"",$E1799=""),"報酬額が未入力／","")&amp;IF(N($U1799)&gt;0,"申請書に入力エラーが残っています／","")&amp;IF(AND($B1799&lt;&gt;"",$AO1799&lt;&gt;""),IF(COUNTIFS($B$6:$B$3005,$B1799,$C$6:$C$3005,$C1799,$D$6:$D$3005,$D1799)&gt;1,"同じ月の請求が重複しています／",""),"")&amp;IF(AND(N($E1799)&gt;0,$Z1799&lt;&gt;"",$Z1799&lt;&gt;"×",$AC1799=0,$AB1799=""),"計算額が下限以下のため不支給／",""))</f>
        <v/>
      </c>
      <c r="AL1799" s="12" t="n"/>
      <c r="AM1799" s="14">
        <f>IF($AD1799="保留中",COUNTIF($AD$6:$AD1799,"保留中"),"")</f>
        <v/>
      </c>
      <c r="AN1799" s="14">
        <f>IF($AO1799="","",IF(SUMPRODUCT(MAX((職員マスタ!$A$6:$A$405=$B1799)*(((職員マスタ!$G$6:$G$405="")+(職員マスタ!$G$6:$G$405&lt;=EOMONTH($AO1799,0)))&gt;0)*(((職員マスタ!$H$6:$H$405="")+(職員マスタ!$H$6:$H$405&gt;=$AO1799))&gt;0)*(ROW(職員マスタ!$A$6:$A$405)-5)))&gt;0,SUMPRODUCT(MAX((職員マスタ!$A$6:$A$405=$B1799)*(((職員マスタ!$G$6:$G$405="")+(職員マスタ!$G$6:$G$405&lt;=EOMONTH($AO1799,0)))&gt;0)*(((職員マスタ!$H$6:$H$405="")+(職員マスタ!$H$6:$H$405&gt;=$AO1799))&gt;0)*(ROW(職員マスタ!$A$6:$A$405)-5))),IFERROR(MATCH($B1799,職員マスタ!$A$6:$A$405,0),"")))</f>
        <v/>
      </c>
      <c r="AO1799" s="16">
        <f>IF(OR($B1799="",$C1799="",$D1799=""),"",DATE($C1799+2018,$D1799,1))</f>
        <v/>
      </c>
    </row>
    <row r="1800">
      <c r="A1800" s="11" t="n"/>
      <c r="B1800" s="12" t="n"/>
      <c r="C1800" s="12" t="n"/>
      <c r="D1800" s="12" t="n"/>
      <c r="E1800" s="13" t="n"/>
      <c r="F1800" s="12" t="n"/>
      <c r="G1800" s="13" t="n"/>
      <c r="H1800" s="12" t="n"/>
      <c r="I1800" s="12" t="n"/>
      <c r="J1800" s="12" t="n"/>
      <c r="K1800" s="12" t="n"/>
      <c r="L1800" s="11" t="n"/>
      <c r="M1800" s="11" t="n"/>
      <c r="N1800" s="11" t="n"/>
      <c r="O1800" s="11" t="n"/>
      <c r="P1800" s="12" t="n"/>
      <c r="Q1800" s="11" t="n"/>
      <c r="R1800" s="12" t="n"/>
      <c r="S1800" s="11" t="n"/>
      <c r="T1800" s="12" t="n"/>
      <c r="U1800" s="12" t="n"/>
      <c r="V1800" s="14">
        <f>IF($AN1800="",IF($B1800="","",$H1800),IF(INDEX(職員マスタ!$B$6:$B$405,$AN1800)="",$H1800,INDEX(職員マスタ!$B$6:$B$405,$AN1800)))</f>
        <v/>
      </c>
      <c r="W1800" s="14">
        <f>IF($AN1800="",IF($B1800="","",$R1800),IF(INDEX(職員マスタ!$C$6:$C$405,$AN1800)="",$R1800,INDEX(職員マスタ!$C$6:$C$405,$AN1800)))</f>
        <v/>
      </c>
      <c r="X1800" s="14">
        <f>IF($AO1800="","","R"&amp;$C1800&amp;"."&amp;$D1800)</f>
        <v/>
      </c>
      <c r="Y1800" s="15">
        <f>IF($AN1800="","",IF(INDEX(職員マスタ!$K$6:$K$405,$AN1800)="","",INDEX(職員マスタ!$K$6:$K$405,$AN1800)))</f>
        <v/>
      </c>
      <c r="Z1800" s="14">
        <f>IF(OR($E1800="",$Y1800=""),"",IF($E1800&gt;=$Y1800,"×",IF($E1800&gt;=$Y1800*設定!$C$5,"△","○")))</f>
        <v/>
      </c>
      <c r="AA1800" s="15">
        <f>IF($Z1800="","",IF($Z1800="×",0,IF($Z1800="○",ROUNDDOWN($E1800*設定!$C$4,0),ROUNDDOWN($E1800*ROUND((9*$Y1800-9*$E1800)/(10*$E1800),4),0))))</f>
        <v/>
      </c>
      <c r="AB1800" s="13" t="n"/>
      <c r="AC1800" s="15">
        <f>IF($B1800="","",IF($AB1800&lt;&gt;"",$AB1800,IF($AA1800="","",IF($AA1800&lt;=設定!$C$3,0,$AA1800))))</f>
        <v/>
      </c>
      <c r="AD1800" s="14">
        <f>IF($B1800="","",IF(AND($AE1800&lt;&gt;"",$AG1800="",$AJ1800=""),"保留中",IF($AJ1800&lt;&gt;"",IF(N($AC1800)&gt;0,"支給済","不支給"),IF($AC1800="","要確認",IF($AC1800=0,"不支給","未処理")))))</f>
        <v/>
      </c>
      <c r="AE1800" s="12" t="n"/>
      <c r="AF1800" s="11" t="n"/>
      <c r="AG1800" s="11" t="n"/>
      <c r="AH1800" s="11" t="n"/>
      <c r="AI1800" s="14">
        <f>IF(AND($AD1800="保留中",$AF1800&lt;&gt;""),TODAY()-$AF1800,"")</f>
        <v/>
      </c>
      <c r="AJ1800" s="12" t="n"/>
      <c r="AK1800" s="14">
        <f>IF($B1800="","",IF($AO1800="","対象年月が未入力／","")&amp;IF($B1800="","",IF($AN1800="","職員マスタに未登録の職員番号／",IF($Y1800="","標準報酬月額が未登録／","")&amp;IF(AND($AO1800&lt;&gt;"",OR(AND(INDEX(職員マスタ!$G$6:$G$405,$AN1800)&lt;&gt;"",INDEX(職員マスタ!$G$6:$G$405,$AN1800)&gt;EOMONTH($AO1800,0)),AND(INDEX(職員マスタ!$H$6:$H$405,$AN1800)&lt;&gt;"",INDEX(職員マスタ!$H$6:$H$405,$AN1800)&lt;$AO1800))),"対象月が時短期間外／","")&amp;IF(AND(INDEX(職員マスタ!$F$6:$F$405,$AN1800)&lt;&gt;"",$AO1800&lt;&gt;"",INDEX(職員マスタ!$F$6:$F$405,$AN1800)&lt;$AO1800),"対象月に子が2歳到達済／","")&amp;IF(AND($H1800&lt;&gt;"",INDEX(職員マスタ!$B$6:$B$405,$AN1800)&lt;&gt;"",SUBSTITUTE(SUBSTITUTE($H1800," ","")," ","")&lt;&gt;SUBSTITUTE(SUBSTITUTE(INDEX(職員マスタ!$B$6:$B$405,$AN1800)," ","")," ","")),"氏名がマスタと相違／","")&amp;IF(AND($Q1800&lt;&gt;"",INDEX(職員マスタ!$E$6:$E$405,$AN1800)&lt;&gt;"",$Q1800&lt;&gt;INDEX(職員マスタ!$E$6:$E$405,$AN1800)),"子の生年月日がマスタと相違／","")&amp;IF(AND($L1800&lt;&gt;"",INDEX(職員マスタ!$G$6:$G$405,$AN1800)&lt;&gt;"",$L1800&lt;&gt;INDEX(職員マスタ!$G$6:$G$405,$AN1800)),"時短開始日がマスタと相違／","")&amp;IF(AND($M1800&lt;&gt;"",INDEX(職員マスタ!$H$6:$H$405,$AN1800)&lt;&gt;"",$M1800&lt;&gt;INDEX(職員マスタ!$H$6:$H$405,$AN1800)),"時短終了日がマスタと相違／","")))&amp;IF(AND($B1800&lt;&gt;"",$E1800=""),"報酬額が未入力／","")&amp;IF(N($U1800)&gt;0,"申請書に入力エラーが残っています／","")&amp;IF(AND($B1800&lt;&gt;"",$AO1800&lt;&gt;""),IF(COUNTIFS($B$6:$B$3005,$B1800,$C$6:$C$3005,$C1800,$D$6:$D$3005,$D1800)&gt;1,"同じ月の請求が重複しています／",""),"")&amp;IF(AND(N($E1800)&gt;0,$Z1800&lt;&gt;"",$Z1800&lt;&gt;"×",$AC1800=0,$AB1800=""),"計算額が下限以下のため不支給／",""))</f>
        <v/>
      </c>
      <c r="AL1800" s="12" t="n"/>
      <c r="AM1800" s="14">
        <f>IF($AD1800="保留中",COUNTIF($AD$6:$AD1800,"保留中"),"")</f>
        <v/>
      </c>
      <c r="AN1800" s="14">
        <f>IF($AO1800="","",IF(SUMPRODUCT(MAX((職員マスタ!$A$6:$A$405=$B1800)*(((職員マスタ!$G$6:$G$405="")+(職員マスタ!$G$6:$G$405&lt;=EOMONTH($AO1800,0)))&gt;0)*(((職員マスタ!$H$6:$H$405="")+(職員マスタ!$H$6:$H$405&gt;=$AO1800))&gt;0)*(ROW(職員マスタ!$A$6:$A$405)-5)))&gt;0,SUMPRODUCT(MAX((職員マスタ!$A$6:$A$405=$B1800)*(((職員マスタ!$G$6:$G$405="")+(職員マスタ!$G$6:$G$405&lt;=EOMONTH($AO1800,0)))&gt;0)*(((職員マスタ!$H$6:$H$405="")+(職員マスタ!$H$6:$H$405&gt;=$AO1800))&gt;0)*(ROW(職員マスタ!$A$6:$A$405)-5))),IFERROR(MATCH($B1800,職員マスタ!$A$6:$A$405,0),"")))</f>
        <v/>
      </c>
      <c r="AO1800" s="16">
        <f>IF(OR($B1800="",$C1800="",$D1800=""),"",DATE($C1800+2018,$D1800,1))</f>
        <v/>
      </c>
    </row>
    <row r="1801">
      <c r="A1801" s="11" t="n"/>
      <c r="B1801" s="12" t="n"/>
      <c r="C1801" s="12" t="n"/>
      <c r="D1801" s="12" t="n"/>
      <c r="E1801" s="13" t="n"/>
      <c r="F1801" s="12" t="n"/>
      <c r="G1801" s="13" t="n"/>
      <c r="H1801" s="12" t="n"/>
      <c r="I1801" s="12" t="n"/>
      <c r="J1801" s="12" t="n"/>
      <c r="K1801" s="12" t="n"/>
      <c r="L1801" s="11" t="n"/>
      <c r="M1801" s="11" t="n"/>
      <c r="N1801" s="11" t="n"/>
      <c r="O1801" s="11" t="n"/>
      <c r="P1801" s="12" t="n"/>
      <c r="Q1801" s="11" t="n"/>
      <c r="R1801" s="12" t="n"/>
      <c r="S1801" s="11" t="n"/>
      <c r="T1801" s="12" t="n"/>
      <c r="U1801" s="12" t="n"/>
      <c r="V1801" s="14">
        <f>IF($AN1801="",IF($B1801="","",$H1801),IF(INDEX(職員マスタ!$B$6:$B$405,$AN1801)="",$H1801,INDEX(職員マスタ!$B$6:$B$405,$AN1801)))</f>
        <v/>
      </c>
      <c r="W1801" s="14">
        <f>IF($AN1801="",IF($B1801="","",$R1801),IF(INDEX(職員マスタ!$C$6:$C$405,$AN1801)="",$R1801,INDEX(職員マスタ!$C$6:$C$405,$AN1801)))</f>
        <v/>
      </c>
      <c r="X1801" s="14">
        <f>IF($AO1801="","","R"&amp;$C1801&amp;"."&amp;$D1801)</f>
        <v/>
      </c>
      <c r="Y1801" s="15">
        <f>IF($AN1801="","",IF(INDEX(職員マスタ!$K$6:$K$405,$AN1801)="","",INDEX(職員マスタ!$K$6:$K$405,$AN1801)))</f>
        <v/>
      </c>
      <c r="Z1801" s="14">
        <f>IF(OR($E1801="",$Y1801=""),"",IF($E1801&gt;=$Y1801,"×",IF($E1801&gt;=$Y1801*設定!$C$5,"△","○")))</f>
        <v/>
      </c>
      <c r="AA1801" s="15">
        <f>IF($Z1801="","",IF($Z1801="×",0,IF($Z1801="○",ROUNDDOWN($E1801*設定!$C$4,0),ROUNDDOWN($E1801*ROUND((9*$Y1801-9*$E1801)/(10*$E1801),4),0))))</f>
        <v/>
      </c>
      <c r="AB1801" s="13" t="n"/>
      <c r="AC1801" s="15">
        <f>IF($B1801="","",IF($AB1801&lt;&gt;"",$AB1801,IF($AA1801="","",IF($AA1801&lt;=設定!$C$3,0,$AA1801))))</f>
        <v/>
      </c>
      <c r="AD1801" s="14">
        <f>IF($B1801="","",IF(AND($AE1801&lt;&gt;"",$AG1801="",$AJ1801=""),"保留中",IF($AJ1801&lt;&gt;"",IF(N($AC1801)&gt;0,"支給済","不支給"),IF($AC1801="","要確認",IF($AC1801=0,"不支給","未処理")))))</f>
        <v/>
      </c>
      <c r="AE1801" s="12" t="n"/>
      <c r="AF1801" s="11" t="n"/>
      <c r="AG1801" s="11" t="n"/>
      <c r="AH1801" s="11" t="n"/>
      <c r="AI1801" s="14">
        <f>IF(AND($AD1801="保留中",$AF1801&lt;&gt;""),TODAY()-$AF1801,"")</f>
        <v/>
      </c>
      <c r="AJ1801" s="12" t="n"/>
      <c r="AK1801" s="14">
        <f>IF($B1801="","",IF($AO1801="","対象年月が未入力／","")&amp;IF($B1801="","",IF($AN1801="","職員マスタに未登録の職員番号／",IF($Y1801="","標準報酬月額が未登録／","")&amp;IF(AND($AO1801&lt;&gt;"",OR(AND(INDEX(職員マスタ!$G$6:$G$405,$AN1801)&lt;&gt;"",INDEX(職員マスタ!$G$6:$G$405,$AN1801)&gt;EOMONTH($AO1801,0)),AND(INDEX(職員マスタ!$H$6:$H$405,$AN1801)&lt;&gt;"",INDEX(職員マスタ!$H$6:$H$405,$AN1801)&lt;$AO1801))),"対象月が時短期間外／","")&amp;IF(AND(INDEX(職員マスタ!$F$6:$F$405,$AN1801)&lt;&gt;"",$AO1801&lt;&gt;"",INDEX(職員マスタ!$F$6:$F$405,$AN1801)&lt;$AO1801),"対象月に子が2歳到達済／","")&amp;IF(AND($H1801&lt;&gt;"",INDEX(職員マスタ!$B$6:$B$405,$AN1801)&lt;&gt;"",SUBSTITUTE(SUBSTITUTE($H1801," ","")," ","")&lt;&gt;SUBSTITUTE(SUBSTITUTE(INDEX(職員マスタ!$B$6:$B$405,$AN1801)," ","")," ","")),"氏名がマスタと相違／","")&amp;IF(AND($Q1801&lt;&gt;"",INDEX(職員マスタ!$E$6:$E$405,$AN1801)&lt;&gt;"",$Q1801&lt;&gt;INDEX(職員マスタ!$E$6:$E$405,$AN1801)),"子の生年月日がマスタと相違／","")&amp;IF(AND($L1801&lt;&gt;"",INDEX(職員マスタ!$G$6:$G$405,$AN1801)&lt;&gt;"",$L1801&lt;&gt;INDEX(職員マスタ!$G$6:$G$405,$AN1801)),"時短開始日がマスタと相違／","")&amp;IF(AND($M1801&lt;&gt;"",INDEX(職員マスタ!$H$6:$H$405,$AN1801)&lt;&gt;"",$M1801&lt;&gt;INDEX(職員マスタ!$H$6:$H$405,$AN1801)),"時短終了日がマスタと相違／","")))&amp;IF(AND($B1801&lt;&gt;"",$E1801=""),"報酬額が未入力／","")&amp;IF(N($U1801)&gt;0,"申請書に入力エラーが残っています／","")&amp;IF(AND($B1801&lt;&gt;"",$AO1801&lt;&gt;""),IF(COUNTIFS($B$6:$B$3005,$B1801,$C$6:$C$3005,$C1801,$D$6:$D$3005,$D1801)&gt;1,"同じ月の請求が重複しています／",""),"")&amp;IF(AND(N($E1801)&gt;0,$Z1801&lt;&gt;"",$Z1801&lt;&gt;"×",$AC1801=0,$AB1801=""),"計算額が下限以下のため不支給／",""))</f>
        <v/>
      </c>
      <c r="AL1801" s="12" t="n"/>
      <c r="AM1801" s="14">
        <f>IF($AD1801="保留中",COUNTIF($AD$6:$AD1801,"保留中"),"")</f>
        <v/>
      </c>
      <c r="AN1801" s="14">
        <f>IF($AO1801="","",IF(SUMPRODUCT(MAX((職員マスタ!$A$6:$A$405=$B1801)*(((職員マスタ!$G$6:$G$405="")+(職員マスタ!$G$6:$G$405&lt;=EOMONTH($AO1801,0)))&gt;0)*(((職員マスタ!$H$6:$H$405="")+(職員マスタ!$H$6:$H$405&gt;=$AO1801))&gt;0)*(ROW(職員マスタ!$A$6:$A$405)-5)))&gt;0,SUMPRODUCT(MAX((職員マスタ!$A$6:$A$405=$B1801)*(((職員マスタ!$G$6:$G$405="")+(職員マスタ!$G$6:$G$405&lt;=EOMONTH($AO1801,0)))&gt;0)*(((職員マスタ!$H$6:$H$405="")+(職員マスタ!$H$6:$H$405&gt;=$AO1801))&gt;0)*(ROW(職員マスタ!$A$6:$A$405)-5))),IFERROR(MATCH($B1801,職員マスタ!$A$6:$A$405,0),"")))</f>
        <v/>
      </c>
      <c r="AO1801" s="16">
        <f>IF(OR($B1801="",$C1801="",$D1801=""),"",DATE($C1801+2018,$D1801,1))</f>
        <v/>
      </c>
    </row>
    <row r="1802">
      <c r="A1802" s="11" t="n"/>
      <c r="B1802" s="12" t="n"/>
      <c r="C1802" s="12" t="n"/>
      <c r="D1802" s="12" t="n"/>
      <c r="E1802" s="13" t="n"/>
      <c r="F1802" s="12" t="n"/>
      <c r="G1802" s="13" t="n"/>
      <c r="H1802" s="12" t="n"/>
      <c r="I1802" s="12" t="n"/>
      <c r="J1802" s="12" t="n"/>
      <c r="K1802" s="12" t="n"/>
      <c r="L1802" s="11" t="n"/>
      <c r="M1802" s="11" t="n"/>
      <c r="N1802" s="11" t="n"/>
      <c r="O1802" s="11" t="n"/>
      <c r="P1802" s="12" t="n"/>
      <c r="Q1802" s="11" t="n"/>
      <c r="R1802" s="12" t="n"/>
      <c r="S1802" s="11" t="n"/>
      <c r="T1802" s="12" t="n"/>
      <c r="U1802" s="12" t="n"/>
      <c r="V1802" s="14">
        <f>IF($AN1802="",IF($B1802="","",$H1802),IF(INDEX(職員マスタ!$B$6:$B$405,$AN1802)="",$H1802,INDEX(職員マスタ!$B$6:$B$405,$AN1802)))</f>
        <v/>
      </c>
      <c r="W1802" s="14">
        <f>IF($AN1802="",IF($B1802="","",$R1802),IF(INDEX(職員マスタ!$C$6:$C$405,$AN1802)="",$R1802,INDEX(職員マスタ!$C$6:$C$405,$AN1802)))</f>
        <v/>
      </c>
      <c r="X1802" s="14">
        <f>IF($AO1802="","","R"&amp;$C1802&amp;"."&amp;$D1802)</f>
        <v/>
      </c>
      <c r="Y1802" s="15">
        <f>IF($AN1802="","",IF(INDEX(職員マスタ!$K$6:$K$405,$AN1802)="","",INDEX(職員マスタ!$K$6:$K$405,$AN1802)))</f>
        <v/>
      </c>
      <c r="Z1802" s="14">
        <f>IF(OR($E1802="",$Y1802=""),"",IF($E1802&gt;=$Y1802,"×",IF($E1802&gt;=$Y1802*設定!$C$5,"△","○")))</f>
        <v/>
      </c>
      <c r="AA1802" s="15">
        <f>IF($Z1802="","",IF($Z1802="×",0,IF($Z1802="○",ROUNDDOWN($E1802*設定!$C$4,0),ROUNDDOWN($E1802*ROUND((9*$Y1802-9*$E1802)/(10*$E1802),4),0))))</f>
        <v/>
      </c>
      <c r="AB1802" s="13" t="n"/>
      <c r="AC1802" s="15">
        <f>IF($B1802="","",IF($AB1802&lt;&gt;"",$AB1802,IF($AA1802="","",IF($AA1802&lt;=設定!$C$3,0,$AA1802))))</f>
        <v/>
      </c>
      <c r="AD1802" s="14">
        <f>IF($B1802="","",IF(AND($AE1802&lt;&gt;"",$AG1802="",$AJ1802=""),"保留中",IF($AJ1802&lt;&gt;"",IF(N($AC1802)&gt;0,"支給済","不支給"),IF($AC1802="","要確認",IF($AC1802=0,"不支給","未処理")))))</f>
        <v/>
      </c>
      <c r="AE1802" s="12" t="n"/>
      <c r="AF1802" s="11" t="n"/>
      <c r="AG1802" s="11" t="n"/>
      <c r="AH1802" s="11" t="n"/>
      <c r="AI1802" s="14">
        <f>IF(AND($AD1802="保留中",$AF1802&lt;&gt;""),TODAY()-$AF1802,"")</f>
        <v/>
      </c>
      <c r="AJ1802" s="12" t="n"/>
      <c r="AK1802" s="14">
        <f>IF($B1802="","",IF($AO1802="","対象年月が未入力／","")&amp;IF($B1802="","",IF($AN1802="","職員マスタに未登録の職員番号／",IF($Y1802="","標準報酬月額が未登録／","")&amp;IF(AND($AO1802&lt;&gt;"",OR(AND(INDEX(職員マスタ!$G$6:$G$405,$AN1802)&lt;&gt;"",INDEX(職員マスタ!$G$6:$G$405,$AN1802)&gt;EOMONTH($AO1802,0)),AND(INDEX(職員マスタ!$H$6:$H$405,$AN1802)&lt;&gt;"",INDEX(職員マスタ!$H$6:$H$405,$AN1802)&lt;$AO1802))),"対象月が時短期間外／","")&amp;IF(AND(INDEX(職員マスタ!$F$6:$F$405,$AN1802)&lt;&gt;"",$AO1802&lt;&gt;"",INDEX(職員マスタ!$F$6:$F$405,$AN1802)&lt;$AO1802),"対象月に子が2歳到達済／","")&amp;IF(AND($H1802&lt;&gt;"",INDEX(職員マスタ!$B$6:$B$405,$AN1802)&lt;&gt;"",SUBSTITUTE(SUBSTITUTE($H1802," ","")," ","")&lt;&gt;SUBSTITUTE(SUBSTITUTE(INDEX(職員マスタ!$B$6:$B$405,$AN1802)," ","")," ","")),"氏名がマスタと相違／","")&amp;IF(AND($Q1802&lt;&gt;"",INDEX(職員マスタ!$E$6:$E$405,$AN1802)&lt;&gt;"",$Q1802&lt;&gt;INDEX(職員マスタ!$E$6:$E$405,$AN1802)),"子の生年月日がマスタと相違／","")&amp;IF(AND($L1802&lt;&gt;"",INDEX(職員マスタ!$G$6:$G$405,$AN1802)&lt;&gt;"",$L1802&lt;&gt;INDEX(職員マスタ!$G$6:$G$405,$AN1802)),"時短開始日がマスタと相違／","")&amp;IF(AND($M1802&lt;&gt;"",INDEX(職員マスタ!$H$6:$H$405,$AN1802)&lt;&gt;"",$M1802&lt;&gt;INDEX(職員マスタ!$H$6:$H$405,$AN1802)),"時短終了日がマスタと相違／","")))&amp;IF(AND($B1802&lt;&gt;"",$E1802=""),"報酬額が未入力／","")&amp;IF(N($U1802)&gt;0,"申請書に入力エラーが残っています／","")&amp;IF(AND($B1802&lt;&gt;"",$AO1802&lt;&gt;""),IF(COUNTIFS($B$6:$B$3005,$B1802,$C$6:$C$3005,$C1802,$D$6:$D$3005,$D1802)&gt;1,"同じ月の請求が重複しています／",""),"")&amp;IF(AND(N($E1802)&gt;0,$Z1802&lt;&gt;"",$Z1802&lt;&gt;"×",$AC1802=0,$AB1802=""),"計算額が下限以下のため不支給／",""))</f>
        <v/>
      </c>
      <c r="AL1802" s="12" t="n"/>
      <c r="AM1802" s="14">
        <f>IF($AD1802="保留中",COUNTIF($AD$6:$AD1802,"保留中"),"")</f>
        <v/>
      </c>
      <c r="AN1802" s="14">
        <f>IF($AO1802="","",IF(SUMPRODUCT(MAX((職員マスタ!$A$6:$A$405=$B1802)*(((職員マスタ!$G$6:$G$405="")+(職員マスタ!$G$6:$G$405&lt;=EOMONTH($AO1802,0)))&gt;0)*(((職員マスタ!$H$6:$H$405="")+(職員マスタ!$H$6:$H$405&gt;=$AO1802))&gt;0)*(ROW(職員マスタ!$A$6:$A$405)-5)))&gt;0,SUMPRODUCT(MAX((職員マスタ!$A$6:$A$405=$B1802)*(((職員マスタ!$G$6:$G$405="")+(職員マスタ!$G$6:$G$405&lt;=EOMONTH($AO1802,0)))&gt;0)*(((職員マスタ!$H$6:$H$405="")+(職員マスタ!$H$6:$H$405&gt;=$AO1802))&gt;0)*(ROW(職員マスタ!$A$6:$A$405)-5))),IFERROR(MATCH($B1802,職員マスタ!$A$6:$A$405,0),"")))</f>
        <v/>
      </c>
      <c r="AO1802" s="16">
        <f>IF(OR($B1802="",$C1802="",$D1802=""),"",DATE($C1802+2018,$D1802,1))</f>
        <v/>
      </c>
    </row>
    <row r="1803">
      <c r="A1803" s="11" t="n"/>
      <c r="B1803" s="12" t="n"/>
      <c r="C1803" s="12" t="n"/>
      <c r="D1803" s="12" t="n"/>
      <c r="E1803" s="13" t="n"/>
      <c r="F1803" s="12" t="n"/>
      <c r="G1803" s="13" t="n"/>
      <c r="H1803" s="12" t="n"/>
      <c r="I1803" s="12" t="n"/>
      <c r="J1803" s="12" t="n"/>
      <c r="K1803" s="12" t="n"/>
      <c r="L1803" s="11" t="n"/>
      <c r="M1803" s="11" t="n"/>
      <c r="N1803" s="11" t="n"/>
      <c r="O1803" s="11" t="n"/>
      <c r="P1803" s="12" t="n"/>
      <c r="Q1803" s="11" t="n"/>
      <c r="R1803" s="12" t="n"/>
      <c r="S1803" s="11" t="n"/>
      <c r="T1803" s="12" t="n"/>
      <c r="U1803" s="12" t="n"/>
      <c r="V1803" s="14">
        <f>IF($AN1803="",IF($B1803="","",$H1803),IF(INDEX(職員マスタ!$B$6:$B$405,$AN1803)="",$H1803,INDEX(職員マスタ!$B$6:$B$405,$AN1803)))</f>
        <v/>
      </c>
      <c r="W1803" s="14">
        <f>IF($AN1803="",IF($B1803="","",$R1803),IF(INDEX(職員マスタ!$C$6:$C$405,$AN1803)="",$R1803,INDEX(職員マスタ!$C$6:$C$405,$AN1803)))</f>
        <v/>
      </c>
      <c r="X1803" s="14">
        <f>IF($AO1803="","","R"&amp;$C1803&amp;"."&amp;$D1803)</f>
        <v/>
      </c>
      <c r="Y1803" s="15">
        <f>IF($AN1803="","",IF(INDEX(職員マスタ!$K$6:$K$405,$AN1803)="","",INDEX(職員マスタ!$K$6:$K$405,$AN1803)))</f>
        <v/>
      </c>
      <c r="Z1803" s="14">
        <f>IF(OR($E1803="",$Y1803=""),"",IF($E1803&gt;=$Y1803,"×",IF($E1803&gt;=$Y1803*設定!$C$5,"△","○")))</f>
        <v/>
      </c>
      <c r="AA1803" s="15">
        <f>IF($Z1803="","",IF($Z1803="×",0,IF($Z1803="○",ROUNDDOWN($E1803*設定!$C$4,0),ROUNDDOWN($E1803*ROUND((9*$Y1803-9*$E1803)/(10*$E1803),4),0))))</f>
        <v/>
      </c>
      <c r="AB1803" s="13" t="n"/>
      <c r="AC1803" s="15">
        <f>IF($B1803="","",IF($AB1803&lt;&gt;"",$AB1803,IF($AA1803="","",IF($AA1803&lt;=設定!$C$3,0,$AA1803))))</f>
        <v/>
      </c>
      <c r="AD1803" s="14">
        <f>IF($B1803="","",IF(AND($AE1803&lt;&gt;"",$AG1803="",$AJ1803=""),"保留中",IF($AJ1803&lt;&gt;"",IF(N($AC1803)&gt;0,"支給済","不支給"),IF($AC1803="","要確認",IF($AC1803=0,"不支給","未処理")))))</f>
        <v/>
      </c>
      <c r="AE1803" s="12" t="n"/>
      <c r="AF1803" s="11" t="n"/>
      <c r="AG1803" s="11" t="n"/>
      <c r="AH1803" s="11" t="n"/>
      <c r="AI1803" s="14">
        <f>IF(AND($AD1803="保留中",$AF1803&lt;&gt;""),TODAY()-$AF1803,"")</f>
        <v/>
      </c>
      <c r="AJ1803" s="12" t="n"/>
      <c r="AK1803" s="14">
        <f>IF($B1803="","",IF($AO1803="","対象年月が未入力／","")&amp;IF($B1803="","",IF($AN1803="","職員マスタに未登録の職員番号／",IF($Y1803="","標準報酬月額が未登録／","")&amp;IF(AND($AO1803&lt;&gt;"",OR(AND(INDEX(職員マスタ!$G$6:$G$405,$AN1803)&lt;&gt;"",INDEX(職員マスタ!$G$6:$G$405,$AN1803)&gt;EOMONTH($AO1803,0)),AND(INDEX(職員マスタ!$H$6:$H$405,$AN1803)&lt;&gt;"",INDEX(職員マスタ!$H$6:$H$405,$AN1803)&lt;$AO1803))),"対象月が時短期間外／","")&amp;IF(AND(INDEX(職員マスタ!$F$6:$F$405,$AN1803)&lt;&gt;"",$AO1803&lt;&gt;"",INDEX(職員マスタ!$F$6:$F$405,$AN1803)&lt;$AO1803),"対象月に子が2歳到達済／","")&amp;IF(AND($H1803&lt;&gt;"",INDEX(職員マスタ!$B$6:$B$405,$AN1803)&lt;&gt;"",SUBSTITUTE(SUBSTITUTE($H1803," ","")," ","")&lt;&gt;SUBSTITUTE(SUBSTITUTE(INDEX(職員マスタ!$B$6:$B$405,$AN1803)," ","")," ","")),"氏名がマスタと相違／","")&amp;IF(AND($Q1803&lt;&gt;"",INDEX(職員マスタ!$E$6:$E$405,$AN1803)&lt;&gt;"",$Q1803&lt;&gt;INDEX(職員マスタ!$E$6:$E$405,$AN1803)),"子の生年月日がマスタと相違／","")&amp;IF(AND($L1803&lt;&gt;"",INDEX(職員マスタ!$G$6:$G$405,$AN1803)&lt;&gt;"",$L1803&lt;&gt;INDEX(職員マスタ!$G$6:$G$405,$AN1803)),"時短開始日がマスタと相違／","")&amp;IF(AND($M1803&lt;&gt;"",INDEX(職員マスタ!$H$6:$H$405,$AN1803)&lt;&gt;"",$M1803&lt;&gt;INDEX(職員マスタ!$H$6:$H$405,$AN1803)),"時短終了日がマスタと相違／","")))&amp;IF(AND($B1803&lt;&gt;"",$E1803=""),"報酬額が未入力／","")&amp;IF(N($U1803)&gt;0,"申請書に入力エラーが残っています／","")&amp;IF(AND($B1803&lt;&gt;"",$AO1803&lt;&gt;""),IF(COUNTIFS($B$6:$B$3005,$B1803,$C$6:$C$3005,$C1803,$D$6:$D$3005,$D1803)&gt;1,"同じ月の請求が重複しています／",""),"")&amp;IF(AND(N($E1803)&gt;0,$Z1803&lt;&gt;"",$Z1803&lt;&gt;"×",$AC1803=0,$AB1803=""),"計算額が下限以下のため不支給／",""))</f>
        <v/>
      </c>
      <c r="AL1803" s="12" t="n"/>
      <c r="AM1803" s="14">
        <f>IF($AD1803="保留中",COUNTIF($AD$6:$AD1803,"保留中"),"")</f>
        <v/>
      </c>
      <c r="AN1803" s="14">
        <f>IF($AO1803="","",IF(SUMPRODUCT(MAX((職員マスタ!$A$6:$A$405=$B1803)*(((職員マスタ!$G$6:$G$405="")+(職員マスタ!$G$6:$G$405&lt;=EOMONTH($AO1803,0)))&gt;0)*(((職員マスタ!$H$6:$H$405="")+(職員マスタ!$H$6:$H$405&gt;=$AO1803))&gt;0)*(ROW(職員マスタ!$A$6:$A$405)-5)))&gt;0,SUMPRODUCT(MAX((職員マスタ!$A$6:$A$405=$B1803)*(((職員マスタ!$G$6:$G$405="")+(職員マスタ!$G$6:$G$405&lt;=EOMONTH($AO1803,0)))&gt;0)*(((職員マスタ!$H$6:$H$405="")+(職員マスタ!$H$6:$H$405&gt;=$AO1803))&gt;0)*(ROW(職員マスタ!$A$6:$A$405)-5))),IFERROR(MATCH($B1803,職員マスタ!$A$6:$A$405,0),"")))</f>
        <v/>
      </c>
      <c r="AO1803" s="16">
        <f>IF(OR($B1803="",$C1803="",$D1803=""),"",DATE($C1803+2018,$D1803,1))</f>
        <v/>
      </c>
    </row>
    <row r="1804">
      <c r="A1804" s="11" t="n"/>
      <c r="B1804" s="12" t="n"/>
      <c r="C1804" s="12" t="n"/>
      <c r="D1804" s="12" t="n"/>
      <c r="E1804" s="13" t="n"/>
      <c r="F1804" s="12" t="n"/>
      <c r="G1804" s="13" t="n"/>
      <c r="H1804" s="12" t="n"/>
      <c r="I1804" s="12" t="n"/>
      <c r="J1804" s="12" t="n"/>
      <c r="K1804" s="12" t="n"/>
      <c r="L1804" s="11" t="n"/>
      <c r="M1804" s="11" t="n"/>
      <c r="N1804" s="11" t="n"/>
      <c r="O1804" s="11" t="n"/>
      <c r="P1804" s="12" t="n"/>
      <c r="Q1804" s="11" t="n"/>
      <c r="R1804" s="12" t="n"/>
      <c r="S1804" s="11" t="n"/>
      <c r="T1804" s="12" t="n"/>
      <c r="U1804" s="12" t="n"/>
      <c r="V1804" s="14">
        <f>IF($AN1804="",IF($B1804="","",$H1804),IF(INDEX(職員マスタ!$B$6:$B$405,$AN1804)="",$H1804,INDEX(職員マスタ!$B$6:$B$405,$AN1804)))</f>
        <v/>
      </c>
      <c r="W1804" s="14">
        <f>IF($AN1804="",IF($B1804="","",$R1804),IF(INDEX(職員マスタ!$C$6:$C$405,$AN1804)="",$R1804,INDEX(職員マスタ!$C$6:$C$405,$AN1804)))</f>
        <v/>
      </c>
      <c r="X1804" s="14">
        <f>IF($AO1804="","","R"&amp;$C1804&amp;"."&amp;$D1804)</f>
        <v/>
      </c>
      <c r="Y1804" s="15">
        <f>IF($AN1804="","",IF(INDEX(職員マスタ!$K$6:$K$405,$AN1804)="","",INDEX(職員マスタ!$K$6:$K$405,$AN1804)))</f>
        <v/>
      </c>
      <c r="Z1804" s="14">
        <f>IF(OR($E1804="",$Y1804=""),"",IF($E1804&gt;=$Y1804,"×",IF($E1804&gt;=$Y1804*設定!$C$5,"△","○")))</f>
        <v/>
      </c>
      <c r="AA1804" s="15">
        <f>IF($Z1804="","",IF($Z1804="×",0,IF($Z1804="○",ROUNDDOWN($E1804*設定!$C$4,0),ROUNDDOWN($E1804*ROUND((9*$Y1804-9*$E1804)/(10*$E1804),4),0))))</f>
        <v/>
      </c>
      <c r="AB1804" s="13" t="n"/>
      <c r="AC1804" s="15">
        <f>IF($B1804="","",IF($AB1804&lt;&gt;"",$AB1804,IF($AA1804="","",IF($AA1804&lt;=設定!$C$3,0,$AA1804))))</f>
        <v/>
      </c>
      <c r="AD1804" s="14">
        <f>IF($B1804="","",IF(AND($AE1804&lt;&gt;"",$AG1804="",$AJ1804=""),"保留中",IF($AJ1804&lt;&gt;"",IF(N($AC1804)&gt;0,"支給済","不支給"),IF($AC1804="","要確認",IF($AC1804=0,"不支給","未処理")))))</f>
        <v/>
      </c>
      <c r="AE1804" s="12" t="n"/>
      <c r="AF1804" s="11" t="n"/>
      <c r="AG1804" s="11" t="n"/>
      <c r="AH1804" s="11" t="n"/>
      <c r="AI1804" s="14">
        <f>IF(AND($AD1804="保留中",$AF1804&lt;&gt;""),TODAY()-$AF1804,"")</f>
        <v/>
      </c>
      <c r="AJ1804" s="12" t="n"/>
      <c r="AK1804" s="14">
        <f>IF($B1804="","",IF($AO1804="","対象年月が未入力／","")&amp;IF($B1804="","",IF($AN1804="","職員マスタに未登録の職員番号／",IF($Y1804="","標準報酬月額が未登録／","")&amp;IF(AND($AO1804&lt;&gt;"",OR(AND(INDEX(職員マスタ!$G$6:$G$405,$AN1804)&lt;&gt;"",INDEX(職員マスタ!$G$6:$G$405,$AN1804)&gt;EOMONTH($AO1804,0)),AND(INDEX(職員マスタ!$H$6:$H$405,$AN1804)&lt;&gt;"",INDEX(職員マスタ!$H$6:$H$405,$AN1804)&lt;$AO1804))),"対象月が時短期間外／","")&amp;IF(AND(INDEX(職員マスタ!$F$6:$F$405,$AN1804)&lt;&gt;"",$AO1804&lt;&gt;"",INDEX(職員マスタ!$F$6:$F$405,$AN1804)&lt;$AO1804),"対象月に子が2歳到達済／","")&amp;IF(AND($H1804&lt;&gt;"",INDEX(職員マスタ!$B$6:$B$405,$AN1804)&lt;&gt;"",SUBSTITUTE(SUBSTITUTE($H1804," ","")," ","")&lt;&gt;SUBSTITUTE(SUBSTITUTE(INDEX(職員マスタ!$B$6:$B$405,$AN1804)," ","")," ","")),"氏名がマスタと相違／","")&amp;IF(AND($Q1804&lt;&gt;"",INDEX(職員マスタ!$E$6:$E$405,$AN1804)&lt;&gt;"",$Q1804&lt;&gt;INDEX(職員マスタ!$E$6:$E$405,$AN1804)),"子の生年月日がマスタと相違／","")&amp;IF(AND($L1804&lt;&gt;"",INDEX(職員マスタ!$G$6:$G$405,$AN1804)&lt;&gt;"",$L1804&lt;&gt;INDEX(職員マスタ!$G$6:$G$405,$AN1804)),"時短開始日がマスタと相違／","")&amp;IF(AND($M1804&lt;&gt;"",INDEX(職員マスタ!$H$6:$H$405,$AN1804)&lt;&gt;"",$M1804&lt;&gt;INDEX(職員マスタ!$H$6:$H$405,$AN1804)),"時短終了日がマスタと相違／","")))&amp;IF(AND($B1804&lt;&gt;"",$E1804=""),"報酬額が未入力／","")&amp;IF(N($U1804)&gt;0,"申請書に入力エラーが残っています／","")&amp;IF(AND($B1804&lt;&gt;"",$AO1804&lt;&gt;""),IF(COUNTIFS($B$6:$B$3005,$B1804,$C$6:$C$3005,$C1804,$D$6:$D$3005,$D1804)&gt;1,"同じ月の請求が重複しています／",""),"")&amp;IF(AND(N($E1804)&gt;0,$Z1804&lt;&gt;"",$Z1804&lt;&gt;"×",$AC1804=0,$AB1804=""),"計算額が下限以下のため不支給／",""))</f>
        <v/>
      </c>
      <c r="AL1804" s="12" t="n"/>
      <c r="AM1804" s="14">
        <f>IF($AD1804="保留中",COUNTIF($AD$6:$AD1804,"保留中"),"")</f>
        <v/>
      </c>
      <c r="AN1804" s="14">
        <f>IF($AO1804="","",IF(SUMPRODUCT(MAX((職員マスタ!$A$6:$A$405=$B1804)*(((職員マスタ!$G$6:$G$405="")+(職員マスタ!$G$6:$G$405&lt;=EOMONTH($AO1804,0)))&gt;0)*(((職員マスタ!$H$6:$H$405="")+(職員マスタ!$H$6:$H$405&gt;=$AO1804))&gt;0)*(ROW(職員マスタ!$A$6:$A$405)-5)))&gt;0,SUMPRODUCT(MAX((職員マスタ!$A$6:$A$405=$B1804)*(((職員マスタ!$G$6:$G$405="")+(職員マスタ!$G$6:$G$405&lt;=EOMONTH($AO1804,0)))&gt;0)*(((職員マスタ!$H$6:$H$405="")+(職員マスタ!$H$6:$H$405&gt;=$AO1804))&gt;0)*(ROW(職員マスタ!$A$6:$A$405)-5))),IFERROR(MATCH($B1804,職員マスタ!$A$6:$A$405,0),"")))</f>
        <v/>
      </c>
      <c r="AO1804" s="16">
        <f>IF(OR($B1804="",$C1804="",$D1804=""),"",DATE($C1804+2018,$D1804,1))</f>
        <v/>
      </c>
    </row>
    <row r="1805">
      <c r="A1805" s="11" t="n"/>
      <c r="B1805" s="12" t="n"/>
      <c r="C1805" s="12" t="n"/>
      <c r="D1805" s="12" t="n"/>
      <c r="E1805" s="13" t="n"/>
      <c r="F1805" s="12" t="n"/>
      <c r="G1805" s="13" t="n"/>
      <c r="H1805" s="12" t="n"/>
      <c r="I1805" s="12" t="n"/>
      <c r="J1805" s="12" t="n"/>
      <c r="K1805" s="12" t="n"/>
      <c r="L1805" s="11" t="n"/>
      <c r="M1805" s="11" t="n"/>
      <c r="N1805" s="11" t="n"/>
      <c r="O1805" s="11" t="n"/>
      <c r="P1805" s="12" t="n"/>
      <c r="Q1805" s="11" t="n"/>
      <c r="R1805" s="12" t="n"/>
      <c r="S1805" s="11" t="n"/>
      <c r="T1805" s="12" t="n"/>
      <c r="U1805" s="12" t="n"/>
      <c r="V1805" s="14">
        <f>IF($AN1805="",IF($B1805="","",$H1805),IF(INDEX(職員マスタ!$B$6:$B$405,$AN1805)="",$H1805,INDEX(職員マスタ!$B$6:$B$405,$AN1805)))</f>
        <v/>
      </c>
      <c r="W1805" s="14">
        <f>IF($AN1805="",IF($B1805="","",$R1805),IF(INDEX(職員マスタ!$C$6:$C$405,$AN1805)="",$R1805,INDEX(職員マスタ!$C$6:$C$405,$AN1805)))</f>
        <v/>
      </c>
      <c r="X1805" s="14">
        <f>IF($AO1805="","","R"&amp;$C1805&amp;"."&amp;$D1805)</f>
        <v/>
      </c>
      <c r="Y1805" s="15">
        <f>IF($AN1805="","",IF(INDEX(職員マスタ!$K$6:$K$405,$AN1805)="","",INDEX(職員マスタ!$K$6:$K$405,$AN1805)))</f>
        <v/>
      </c>
      <c r="Z1805" s="14">
        <f>IF(OR($E1805="",$Y1805=""),"",IF($E1805&gt;=$Y1805,"×",IF($E1805&gt;=$Y1805*設定!$C$5,"△","○")))</f>
        <v/>
      </c>
      <c r="AA1805" s="15">
        <f>IF($Z1805="","",IF($Z1805="×",0,IF($Z1805="○",ROUNDDOWN($E1805*設定!$C$4,0),ROUNDDOWN($E1805*ROUND((9*$Y1805-9*$E1805)/(10*$E1805),4),0))))</f>
        <v/>
      </c>
      <c r="AB1805" s="13" t="n"/>
      <c r="AC1805" s="15">
        <f>IF($B1805="","",IF($AB1805&lt;&gt;"",$AB1805,IF($AA1805="","",IF($AA1805&lt;=設定!$C$3,0,$AA1805))))</f>
        <v/>
      </c>
      <c r="AD1805" s="14">
        <f>IF($B1805="","",IF(AND($AE1805&lt;&gt;"",$AG1805="",$AJ1805=""),"保留中",IF($AJ1805&lt;&gt;"",IF(N($AC1805)&gt;0,"支給済","不支給"),IF($AC1805="","要確認",IF($AC1805=0,"不支給","未処理")))))</f>
        <v/>
      </c>
      <c r="AE1805" s="12" t="n"/>
      <c r="AF1805" s="11" t="n"/>
      <c r="AG1805" s="11" t="n"/>
      <c r="AH1805" s="11" t="n"/>
      <c r="AI1805" s="14">
        <f>IF(AND($AD1805="保留中",$AF1805&lt;&gt;""),TODAY()-$AF1805,"")</f>
        <v/>
      </c>
      <c r="AJ1805" s="12" t="n"/>
      <c r="AK1805" s="14">
        <f>IF($B1805="","",IF($AO1805="","対象年月が未入力／","")&amp;IF($B1805="","",IF($AN1805="","職員マスタに未登録の職員番号／",IF($Y1805="","標準報酬月額が未登録／","")&amp;IF(AND($AO1805&lt;&gt;"",OR(AND(INDEX(職員マスタ!$G$6:$G$405,$AN1805)&lt;&gt;"",INDEX(職員マスタ!$G$6:$G$405,$AN1805)&gt;EOMONTH($AO1805,0)),AND(INDEX(職員マスタ!$H$6:$H$405,$AN1805)&lt;&gt;"",INDEX(職員マスタ!$H$6:$H$405,$AN1805)&lt;$AO1805))),"対象月が時短期間外／","")&amp;IF(AND(INDEX(職員マスタ!$F$6:$F$405,$AN1805)&lt;&gt;"",$AO1805&lt;&gt;"",INDEX(職員マスタ!$F$6:$F$405,$AN1805)&lt;$AO1805),"対象月に子が2歳到達済／","")&amp;IF(AND($H1805&lt;&gt;"",INDEX(職員マスタ!$B$6:$B$405,$AN1805)&lt;&gt;"",SUBSTITUTE(SUBSTITUTE($H1805," ","")," ","")&lt;&gt;SUBSTITUTE(SUBSTITUTE(INDEX(職員マスタ!$B$6:$B$405,$AN1805)," ","")," ","")),"氏名がマスタと相違／","")&amp;IF(AND($Q1805&lt;&gt;"",INDEX(職員マスタ!$E$6:$E$405,$AN1805)&lt;&gt;"",$Q1805&lt;&gt;INDEX(職員マスタ!$E$6:$E$405,$AN1805)),"子の生年月日がマスタと相違／","")&amp;IF(AND($L1805&lt;&gt;"",INDEX(職員マスタ!$G$6:$G$405,$AN1805)&lt;&gt;"",$L1805&lt;&gt;INDEX(職員マスタ!$G$6:$G$405,$AN1805)),"時短開始日がマスタと相違／","")&amp;IF(AND($M1805&lt;&gt;"",INDEX(職員マスタ!$H$6:$H$405,$AN1805)&lt;&gt;"",$M1805&lt;&gt;INDEX(職員マスタ!$H$6:$H$405,$AN1805)),"時短終了日がマスタと相違／","")))&amp;IF(AND($B1805&lt;&gt;"",$E1805=""),"報酬額が未入力／","")&amp;IF(N($U1805)&gt;0,"申請書に入力エラーが残っています／","")&amp;IF(AND($B1805&lt;&gt;"",$AO1805&lt;&gt;""),IF(COUNTIFS($B$6:$B$3005,$B1805,$C$6:$C$3005,$C1805,$D$6:$D$3005,$D1805)&gt;1,"同じ月の請求が重複しています／",""),"")&amp;IF(AND(N($E1805)&gt;0,$Z1805&lt;&gt;"",$Z1805&lt;&gt;"×",$AC1805=0,$AB1805=""),"計算額が下限以下のため不支給／",""))</f>
        <v/>
      </c>
      <c r="AL1805" s="12" t="n"/>
      <c r="AM1805" s="14">
        <f>IF($AD1805="保留中",COUNTIF($AD$6:$AD1805,"保留中"),"")</f>
        <v/>
      </c>
      <c r="AN1805" s="14">
        <f>IF($AO1805="","",IF(SUMPRODUCT(MAX((職員マスタ!$A$6:$A$405=$B1805)*(((職員マスタ!$G$6:$G$405="")+(職員マスタ!$G$6:$G$405&lt;=EOMONTH($AO1805,0)))&gt;0)*(((職員マスタ!$H$6:$H$405="")+(職員マスタ!$H$6:$H$405&gt;=$AO1805))&gt;0)*(ROW(職員マスタ!$A$6:$A$405)-5)))&gt;0,SUMPRODUCT(MAX((職員マスタ!$A$6:$A$405=$B1805)*(((職員マスタ!$G$6:$G$405="")+(職員マスタ!$G$6:$G$405&lt;=EOMONTH($AO1805,0)))&gt;0)*(((職員マスタ!$H$6:$H$405="")+(職員マスタ!$H$6:$H$405&gt;=$AO1805))&gt;0)*(ROW(職員マスタ!$A$6:$A$405)-5))),IFERROR(MATCH($B1805,職員マスタ!$A$6:$A$405,0),"")))</f>
        <v/>
      </c>
      <c r="AO1805" s="16">
        <f>IF(OR($B1805="",$C1805="",$D1805=""),"",DATE($C1805+2018,$D1805,1))</f>
        <v/>
      </c>
    </row>
    <row r="1806">
      <c r="A1806" s="11" t="n"/>
      <c r="B1806" s="12" t="n"/>
      <c r="C1806" s="12" t="n"/>
      <c r="D1806" s="12" t="n"/>
      <c r="E1806" s="13" t="n"/>
      <c r="F1806" s="12" t="n"/>
      <c r="G1806" s="13" t="n"/>
      <c r="H1806" s="12" t="n"/>
      <c r="I1806" s="12" t="n"/>
      <c r="J1806" s="12" t="n"/>
      <c r="K1806" s="12" t="n"/>
      <c r="L1806" s="11" t="n"/>
      <c r="M1806" s="11" t="n"/>
      <c r="N1806" s="11" t="n"/>
      <c r="O1806" s="11" t="n"/>
      <c r="P1806" s="12" t="n"/>
      <c r="Q1806" s="11" t="n"/>
      <c r="R1806" s="12" t="n"/>
      <c r="S1806" s="11" t="n"/>
      <c r="T1806" s="12" t="n"/>
      <c r="U1806" s="12" t="n"/>
      <c r="V1806" s="14">
        <f>IF($AN1806="",IF($B1806="","",$H1806),IF(INDEX(職員マスタ!$B$6:$B$405,$AN1806)="",$H1806,INDEX(職員マスタ!$B$6:$B$405,$AN1806)))</f>
        <v/>
      </c>
      <c r="W1806" s="14">
        <f>IF($AN1806="",IF($B1806="","",$R1806),IF(INDEX(職員マスタ!$C$6:$C$405,$AN1806)="",$R1806,INDEX(職員マスタ!$C$6:$C$405,$AN1806)))</f>
        <v/>
      </c>
      <c r="X1806" s="14">
        <f>IF($AO1806="","","R"&amp;$C1806&amp;"."&amp;$D1806)</f>
        <v/>
      </c>
      <c r="Y1806" s="15">
        <f>IF($AN1806="","",IF(INDEX(職員マスタ!$K$6:$K$405,$AN1806)="","",INDEX(職員マスタ!$K$6:$K$405,$AN1806)))</f>
        <v/>
      </c>
      <c r="Z1806" s="14">
        <f>IF(OR($E1806="",$Y1806=""),"",IF($E1806&gt;=$Y1806,"×",IF($E1806&gt;=$Y1806*設定!$C$5,"△","○")))</f>
        <v/>
      </c>
      <c r="AA1806" s="15">
        <f>IF($Z1806="","",IF($Z1806="×",0,IF($Z1806="○",ROUNDDOWN($E1806*設定!$C$4,0),ROUNDDOWN($E1806*ROUND((9*$Y1806-9*$E1806)/(10*$E1806),4),0))))</f>
        <v/>
      </c>
      <c r="AB1806" s="13" t="n"/>
      <c r="AC1806" s="15">
        <f>IF($B1806="","",IF($AB1806&lt;&gt;"",$AB1806,IF($AA1806="","",IF($AA1806&lt;=設定!$C$3,0,$AA1806))))</f>
        <v/>
      </c>
      <c r="AD1806" s="14">
        <f>IF($B1806="","",IF(AND($AE1806&lt;&gt;"",$AG1806="",$AJ1806=""),"保留中",IF($AJ1806&lt;&gt;"",IF(N($AC1806)&gt;0,"支給済","不支給"),IF($AC1806="","要確認",IF($AC1806=0,"不支給","未処理")))))</f>
        <v/>
      </c>
      <c r="AE1806" s="12" t="n"/>
      <c r="AF1806" s="11" t="n"/>
      <c r="AG1806" s="11" t="n"/>
      <c r="AH1806" s="11" t="n"/>
      <c r="AI1806" s="14">
        <f>IF(AND($AD1806="保留中",$AF1806&lt;&gt;""),TODAY()-$AF1806,"")</f>
        <v/>
      </c>
      <c r="AJ1806" s="12" t="n"/>
      <c r="AK1806" s="14">
        <f>IF($B1806="","",IF($AO1806="","対象年月が未入力／","")&amp;IF($B1806="","",IF($AN1806="","職員マスタに未登録の職員番号／",IF($Y1806="","標準報酬月額が未登録／","")&amp;IF(AND($AO1806&lt;&gt;"",OR(AND(INDEX(職員マスタ!$G$6:$G$405,$AN1806)&lt;&gt;"",INDEX(職員マスタ!$G$6:$G$405,$AN1806)&gt;EOMONTH($AO1806,0)),AND(INDEX(職員マスタ!$H$6:$H$405,$AN1806)&lt;&gt;"",INDEX(職員マスタ!$H$6:$H$405,$AN1806)&lt;$AO1806))),"対象月が時短期間外／","")&amp;IF(AND(INDEX(職員マスタ!$F$6:$F$405,$AN1806)&lt;&gt;"",$AO1806&lt;&gt;"",INDEX(職員マスタ!$F$6:$F$405,$AN1806)&lt;$AO1806),"対象月に子が2歳到達済／","")&amp;IF(AND($H1806&lt;&gt;"",INDEX(職員マスタ!$B$6:$B$405,$AN1806)&lt;&gt;"",SUBSTITUTE(SUBSTITUTE($H1806," ","")," ","")&lt;&gt;SUBSTITUTE(SUBSTITUTE(INDEX(職員マスタ!$B$6:$B$405,$AN1806)," ","")," ","")),"氏名がマスタと相違／","")&amp;IF(AND($Q1806&lt;&gt;"",INDEX(職員マスタ!$E$6:$E$405,$AN1806)&lt;&gt;"",$Q1806&lt;&gt;INDEX(職員マスタ!$E$6:$E$405,$AN1806)),"子の生年月日がマスタと相違／","")&amp;IF(AND($L1806&lt;&gt;"",INDEX(職員マスタ!$G$6:$G$405,$AN1806)&lt;&gt;"",$L1806&lt;&gt;INDEX(職員マスタ!$G$6:$G$405,$AN1806)),"時短開始日がマスタと相違／","")&amp;IF(AND($M1806&lt;&gt;"",INDEX(職員マスタ!$H$6:$H$405,$AN1806)&lt;&gt;"",$M1806&lt;&gt;INDEX(職員マスタ!$H$6:$H$405,$AN1806)),"時短終了日がマスタと相違／","")))&amp;IF(AND($B1806&lt;&gt;"",$E1806=""),"報酬額が未入力／","")&amp;IF(N($U1806)&gt;0,"申請書に入力エラーが残っています／","")&amp;IF(AND($B1806&lt;&gt;"",$AO1806&lt;&gt;""),IF(COUNTIFS($B$6:$B$3005,$B1806,$C$6:$C$3005,$C1806,$D$6:$D$3005,$D1806)&gt;1,"同じ月の請求が重複しています／",""),"")&amp;IF(AND(N($E1806)&gt;0,$Z1806&lt;&gt;"",$Z1806&lt;&gt;"×",$AC1806=0,$AB1806=""),"計算額が下限以下のため不支給／",""))</f>
        <v/>
      </c>
      <c r="AL1806" s="12" t="n"/>
      <c r="AM1806" s="14">
        <f>IF($AD1806="保留中",COUNTIF($AD$6:$AD1806,"保留中"),"")</f>
        <v/>
      </c>
      <c r="AN1806" s="14">
        <f>IF($AO1806="","",IF(SUMPRODUCT(MAX((職員マスタ!$A$6:$A$405=$B1806)*(((職員マスタ!$G$6:$G$405="")+(職員マスタ!$G$6:$G$405&lt;=EOMONTH($AO1806,0)))&gt;0)*(((職員マスタ!$H$6:$H$405="")+(職員マスタ!$H$6:$H$405&gt;=$AO1806))&gt;0)*(ROW(職員マスタ!$A$6:$A$405)-5)))&gt;0,SUMPRODUCT(MAX((職員マスタ!$A$6:$A$405=$B1806)*(((職員マスタ!$G$6:$G$405="")+(職員マスタ!$G$6:$G$405&lt;=EOMONTH($AO1806,0)))&gt;0)*(((職員マスタ!$H$6:$H$405="")+(職員マスタ!$H$6:$H$405&gt;=$AO1806))&gt;0)*(ROW(職員マスタ!$A$6:$A$405)-5))),IFERROR(MATCH($B1806,職員マスタ!$A$6:$A$405,0),"")))</f>
        <v/>
      </c>
      <c r="AO1806" s="16">
        <f>IF(OR($B1806="",$C1806="",$D1806=""),"",DATE($C1806+2018,$D1806,1))</f>
        <v/>
      </c>
    </row>
    <row r="1807">
      <c r="A1807" s="11" t="n"/>
      <c r="B1807" s="12" t="n"/>
      <c r="C1807" s="12" t="n"/>
      <c r="D1807" s="12" t="n"/>
      <c r="E1807" s="13" t="n"/>
      <c r="F1807" s="12" t="n"/>
      <c r="G1807" s="13" t="n"/>
      <c r="H1807" s="12" t="n"/>
      <c r="I1807" s="12" t="n"/>
      <c r="J1807" s="12" t="n"/>
      <c r="K1807" s="12" t="n"/>
      <c r="L1807" s="11" t="n"/>
      <c r="M1807" s="11" t="n"/>
      <c r="N1807" s="11" t="n"/>
      <c r="O1807" s="11" t="n"/>
      <c r="P1807" s="12" t="n"/>
      <c r="Q1807" s="11" t="n"/>
      <c r="R1807" s="12" t="n"/>
      <c r="S1807" s="11" t="n"/>
      <c r="T1807" s="12" t="n"/>
      <c r="U1807" s="12" t="n"/>
      <c r="V1807" s="14">
        <f>IF($AN1807="",IF($B1807="","",$H1807),IF(INDEX(職員マスタ!$B$6:$B$405,$AN1807)="",$H1807,INDEX(職員マスタ!$B$6:$B$405,$AN1807)))</f>
        <v/>
      </c>
      <c r="W1807" s="14">
        <f>IF($AN1807="",IF($B1807="","",$R1807),IF(INDEX(職員マスタ!$C$6:$C$405,$AN1807)="",$R1807,INDEX(職員マスタ!$C$6:$C$405,$AN1807)))</f>
        <v/>
      </c>
      <c r="X1807" s="14">
        <f>IF($AO1807="","","R"&amp;$C1807&amp;"."&amp;$D1807)</f>
        <v/>
      </c>
      <c r="Y1807" s="15">
        <f>IF($AN1807="","",IF(INDEX(職員マスタ!$K$6:$K$405,$AN1807)="","",INDEX(職員マスタ!$K$6:$K$405,$AN1807)))</f>
        <v/>
      </c>
      <c r="Z1807" s="14">
        <f>IF(OR($E1807="",$Y1807=""),"",IF($E1807&gt;=$Y1807,"×",IF($E1807&gt;=$Y1807*設定!$C$5,"△","○")))</f>
        <v/>
      </c>
      <c r="AA1807" s="15">
        <f>IF($Z1807="","",IF($Z1807="×",0,IF($Z1807="○",ROUNDDOWN($E1807*設定!$C$4,0),ROUNDDOWN($E1807*ROUND((9*$Y1807-9*$E1807)/(10*$E1807),4),0))))</f>
        <v/>
      </c>
      <c r="AB1807" s="13" t="n"/>
      <c r="AC1807" s="15">
        <f>IF($B1807="","",IF($AB1807&lt;&gt;"",$AB1807,IF($AA1807="","",IF($AA1807&lt;=設定!$C$3,0,$AA1807))))</f>
        <v/>
      </c>
      <c r="AD1807" s="14">
        <f>IF($B1807="","",IF(AND($AE1807&lt;&gt;"",$AG1807="",$AJ1807=""),"保留中",IF($AJ1807&lt;&gt;"",IF(N($AC1807)&gt;0,"支給済","不支給"),IF($AC1807="","要確認",IF($AC1807=0,"不支給","未処理")))))</f>
        <v/>
      </c>
      <c r="AE1807" s="12" t="n"/>
      <c r="AF1807" s="11" t="n"/>
      <c r="AG1807" s="11" t="n"/>
      <c r="AH1807" s="11" t="n"/>
      <c r="AI1807" s="14">
        <f>IF(AND($AD1807="保留中",$AF1807&lt;&gt;""),TODAY()-$AF1807,"")</f>
        <v/>
      </c>
      <c r="AJ1807" s="12" t="n"/>
      <c r="AK1807" s="14">
        <f>IF($B1807="","",IF($AO1807="","対象年月が未入力／","")&amp;IF($B1807="","",IF($AN1807="","職員マスタに未登録の職員番号／",IF($Y1807="","標準報酬月額が未登録／","")&amp;IF(AND($AO1807&lt;&gt;"",OR(AND(INDEX(職員マスタ!$G$6:$G$405,$AN1807)&lt;&gt;"",INDEX(職員マスタ!$G$6:$G$405,$AN1807)&gt;EOMONTH($AO1807,0)),AND(INDEX(職員マスタ!$H$6:$H$405,$AN1807)&lt;&gt;"",INDEX(職員マスタ!$H$6:$H$405,$AN1807)&lt;$AO1807))),"対象月が時短期間外／","")&amp;IF(AND(INDEX(職員マスタ!$F$6:$F$405,$AN1807)&lt;&gt;"",$AO1807&lt;&gt;"",INDEX(職員マスタ!$F$6:$F$405,$AN1807)&lt;$AO1807),"対象月に子が2歳到達済／","")&amp;IF(AND($H1807&lt;&gt;"",INDEX(職員マスタ!$B$6:$B$405,$AN1807)&lt;&gt;"",SUBSTITUTE(SUBSTITUTE($H1807," ","")," ","")&lt;&gt;SUBSTITUTE(SUBSTITUTE(INDEX(職員マスタ!$B$6:$B$405,$AN1807)," ","")," ","")),"氏名がマスタと相違／","")&amp;IF(AND($Q1807&lt;&gt;"",INDEX(職員マスタ!$E$6:$E$405,$AN1807)&lt;&gt;"",$Q1807&lt;&gt;INDEX(職員マスタ!$E$6:$E$405,$AN1807)),"子の生年月日がマスタと相違／","")&amp;IF(AND($L1807&lt;&gt;"",INDEX(職員マスタ!$G$6:$G$405,$AN1807)&lt;&gt;"",$L1807&lt;&gt;INDEX(職員マスタ!$G$6:$G$405,$AN1807)),"時短開始日がマスタと相違／","")&amp;IF(AND($M1807&lt;&gt;"",INDEX(職員マスタ!$H$6:$H$405,$AN1807)&lt;&gt;"",$M1807&lt;&gt;INDEX(職員マスタ!$H$6:$H$405,$AN1807)),"時短終了日がマスタと相違／","")))&amp;IF(AND($B1807&lt;&gt;"",$E1807=""),"報酬額が未入力／","")&amp;IF(N($U1807)&gt;0,"申請書に入力エラーが残っています／","")&amp;IF(AND($B1807&lt;&gt;"",$AO1807&lt;&gt;""),IF(COUNTIFS($B$6:$B$3005,$B1807,$C$6:$C$3005,$C1807,$D$6:$D$3005,$D1807)&gt;1,"同じ月の請求が重複しています／",""),"")&amp;IF(AND(N($E1807)&gt;0,$Z1807&lt;&gt;"",$Z1807&lt;&gt;"×",$AC1807=0,$AB1807=""),"計算額が下限以下のため不支給／",""))</f>
        <v/>
      </c>
      <c r="AL1807" s="12" t="n"/>
      <c r="AM1807" s="14">
        <f>IF($AD1807="保留中",COUNTIF($AD$6:$AD1807,"保留中"),"")</f>
        <v/>
      </c>
      <c r="AN1807" s="14">
        <f>IF($AO1807="","",IF(SUMPRODUCT(MAX((職員マスタ!$A$6:$A$405=$B1807)*(((職員マスタ!$G$6:$G$405="")+(職員マスタ!$G$6:$G$405&lt;=EOMONTH($AO1807,0)))&gt;0)*(((職員マスタ!$H$6:$H$405="")+(職員マスタ!$H$6:$H$405&gt;=$AO1807))&gt;0)*(ROW(職員マスタ!$A$6:$A$405)-5)))&gt;0,SUMPRODUCT(MAX((職員マスタ!$A$6:$A$405=$B1807)*(((職員マスタ!$G$6:$G$405="")+(職員マスタ!$G$6:$G$405&lt;=EOMONTH($AO1807,0)))&gt;0)*(((職員マスタ!$H$6:$H$405="")+(職員マスタ!$H$6:$H$405&gt;=$AO1807))&gt;0)*(ROW(職員マスタ!$A$6:$A$405)-5))),IFERROR(MATCH($B1807,職員マスタ!$A$6:$A$405,0),"")))</f>
        <v/>
      </c>
      <c r="AO1807" s="16">
        <f>IF(OR($B1807="",$C1807="",$D1807=""),"",DATE($C1807+2018,$D1807,1))</f>
        <v/>
      </c>
    </row>
    <row r="1808">
      <c r="A1808" s="11" t="n"/>
      <c r="B1808" s="12" t="n"/>
      <c r="C1808" s="12" t="n"/>
      <c r="D1808" s="12" t="n"/>
      <c r="E1808" s="13" t="n"/>
      <c r="F1808" s="12" t="n"/>
      <c r="G1808" s="13" t="n"/>
      <c r="H1808" s="12" t="n"/>
      <c r="I1808" s="12" t="n"/>
      <c r="J1808" s="12" t="n"/>
      <c r="K1808" s="12" t="n"/>
      <c r="L1808" s="11" t="n"/>
      <c r="M1808" s="11" t="n"/>
      <c r="N1808" s="11" t="n"/>
      <c r="O1808" s="11" t="n"/>
      <c r="P1808" s="12" t="n"/>
      <c r="Q1808" s="11" t="n"/>
      <c r="R1808" s="12" t="n"/>
      <c r="S1808" s="11" t="n"/>
      <c r="T1808" s="12" t="n"/>
      <c r="U1808" s="12" t="n"/>
      <c r="V1808" s="14">
        <f>IF($AN1808="",IF($B1808="","",$H1808),IF(INDEX(職員マスタ!$B$6:$B$405,$AN1808)="",$H1808,INDEX(職員マスタ!$B$6:$B$405,$AN1808)))</f>
        <v/>
      </c>
      <c r="W1808" s="14">
        <f>IF($AN1808="",IF($B1808="","",$R1808),IF(INDEX(職員マスタ!$C$6:$C$405,$AN1808)="",$R1808,INDEX(職員マスタ!$C$6:$C$405,$AN1808)))</f>
        <v/>
      </c>
      <c r="X1808" s="14">
        <f>IF($AO1808="","","R"&amp;$C1808&amp;"."&amp;$D1808)</f>
        <v/>
      </c>
      <c r="Y1808" s="15">
        <f>IF($AN1808="","",IF(INDEX(職員マスタ!$K$6:$K$405,$AN1808)="","",INDEX(職員マスタ!$K$6:$K$405,$AN1808)))</f>
        <v/>
      </c>
      <c r="Z1808" s="14">
        <f>IF(OR($E1808="",$Y1808=""),"",IF($E1808&gt;=$Y1808,"×",IF($E1808&gt;=$Y1808*設定!$C$5,"△","○")))</f>
        <v/>
      </c>
      <c r="AA1808" s="15">
        <f>IF($Z1808="","",IF($Z1808="×",0,IF($Z1808="○",ROUNDDOWN($E1808*設定!$C$4,0),ROUNDDOWN($E1808*ROUND((9*$Y1808-9*$E1808)/(10*$E1808),4),0))))</f>
        <v/>
      </c>
      <c r="AB1808" s="13" t="n"/>
      <c r="AC1808" s="15">
        <f>IF($B1808="","",IF($AB1808&lt;&gt;"",$AB1808,IF($AA1808="","",IF($AA1808&lt;=設定!$C$3,0,$AA1808))))</f>
        <v/>
      </c>
      <c r="AD1808" s="14">
        <f>IF($B1808="","",IF(AND($AE1808&lt;&gt;"",$AG1808="",$AJ1808=""),"保留中",IF($AJ1808&lt;&gt;"",IF(N($AC1808)&gt;0,"支給済","不支給"),IF($AC1808="","要確認",IF($AC1808=0,"不支給","未処理")))))</f>
        <v/>
      </c>
      <c r="AE1808" s="12" t="n"/>
      <c r="AF1808" s="11" t="n"/>
      <c r="AG1808" s="11" t="n"/>
      <c r="AH1808" s="11" t="n"/>
      <c r="AI1808" s="14">
        <f>IF(AND($AD1808="保留中",$AF1808&lt;&gt;""),TODAY()-$AF1808,"")</f>
        <v/>
      </c>
      <c r="AJ1808" s="12" t="n"/>
      <c r="AK1808" s="14">
        <f>IF($B1808="","",IF($AO1808="","対象年月が未入力／","")&amp;IF($B1808="","",IF($AN1808="","職員マスタに未登録の職員番号／",IF($Y1808="","標準報酬月額が未登録／","")&amp;IF(AND($AO1808&lt;&gt;"",OR(AND(INDEX(職員マスタ!$G$6:$G$405,$AN1808)&lt;&gt;"",INDEX(職員マスタ!$G$6:$G$405,$AN1808)&gt;EOMONTH($AO1808,0)),AND(INDEX(職員マスタ!$H$6:$H$405,$AN1808)&lt;&gt;"",INDEX(職員マスタ!$H$6:$H$405,$AN1808)&lt;$AO1808))),"対象月が時短期間外／","")&amp;IF(AND(INDEX(職員マスタ!$F$6:$F$405,$AN1808)&lt;&gt;"",$AO1808&lt;&gt;"",INDEX(職員マスタ!$F$6:$F$405,$AN1808)&lt;$AO1808),"対象月に子が2歳到達済／","")&amp;IF(AND($H1808&lt;&gt;"",INDEX(職員マスタ!$B$6:$B$405,$AN1808)&lt;&gt;"",SUBSTITUTE(SUBSTITUTE($H1808," ","")," ","")&lt;&gt;SUBSTITUTE(SUBSTITUTE(INDEX(職員マスタ!$B$6:$B$405,$AN1808)," ","")," ","")),"氏名がマスタと相違／","")&amp;IF(AND($Q1808&lt;&gt;"",INDEX(職員マスタ!$E$6:$E$405,$AN1808)&lt;&gt;"",$Q1808&lt;&gt;INDEX(職員マスタ!$E$6:$E$405,$AN1808)),"子の生年月日がマスタと相違／","")&amp;IF(AND($L1808&lt;&gt;"",INDEX(職員マスタ!$G$6:$G$405,$AN1808)&lt;&gt;"",$L1808&lt;&gt;INDEX(職員マスタ!$G$6:$G$405,$AN1808)),"時短開始日がマスタと相違／","")&amp;IF(AND($M1808&lt;&gt;"",INDEX(職員マスタ!$H$6:$H$405,$AN1808)&lt;&gt;"",$M1808&lt;&gt;INDEX(職員マスタ!$H$6:$H$405,$AN1808)),"時短終了日がマスタと相違／","")))&amp;IF(AND($B1808&lt;&gt;"",$E1808=""),"報酬額が未入力／","")&amp;IF(N($U1808)&gt;0,"申請書に入力エラーが残っています／","")&amp;IF(AND($B1808&lt;&gt;"",$AO1808&lt;&gt;""),IF(COUNTIFS($B$6:$B$3005,$B1808,$C$6:$C$3005,$C1808,$D$6:$D$3005,$D1808)&gt;1,"同じ月の請求が重複しています／",""),"")&amp;IF(AND(N($E1808)&gt;0,$Z1808&lt;&gt;"",$Z1808&lt;&gt;"×",$AC1808=0,$AB1808=""),"計算額が下限以下のため不支給／",""))</f>
        <v/>
      </c>
      <c r="AL1808" s="12" t="n"/>
      <c r="AM1808" s="14">
        <f>IF($AD1808="保留中",COUNTIF($AD$6:$AD1808,"保留中"),"")</f>
        <v/>
      </c>
      <c r="AN1808" s="14">
        <f>IF($AO1808="","",IF(SUMPRODUCT(MAX((職員マスタ!$A$6:$A$405=$B1808)*(((職員マスタ!$G$6:$G$405="")+(職員マスタ!$G$6:$G$405&lt;=EOMONTH($AO1808,0)))&gt;0)*(((職員マスタ!$H$6:$H$405="")+(職員マスタ!$H$6:$H$405&gt;=$AO1808))&gt;0)*(ROW(職員マスタ!$A$6:$A$405)-5)))&gt;0,SUMPRODUCT(MAX((職員マスタ!$A$6:$A$405=$B1808)*(((職員マスタ!$G$6:$G$405="")+(職員マスタ!$G$6:$G$405&lt;=EOMONTH($AO1808,0)))&gt;0)*(((職員マスタ!$H$6:$H$405="")+(職員マスタ!$H$6:$H$405&gt;=$AO1808))&gt;0)*(ROW(職員マスタ!$A$6:$A$405)-5))),IFERROR(MATCH($B1808,職員マスタ!$A$6:$A$405,0),"")))</f>
        <v/>
      </c>
      <c r="AO1808" s="16">
        <f>IF(OR($B1808="",$C1808="",$D1808=""),"",DATE($C1808+2018,$D1808,1))</f>
        <v/>
      </c>
    </row>
    <row r="1809">
      <c r="A1809" s="11" t="n"/>
      <c r="B1809" s="12" t="n"/>
      <c r="C1809" s="12" t="n"/>
      <c r="D1809" s="12" t="n"/>
      <c r="E1809" s="13" t="n"/>
      <c r="F1809" s="12" t="n"/>
      <c r="G1809" s="13" t="n"/>
      <c r="H1809" s="12" t="n"/>
      <c r="I1809" s="12" t="n"/>
      <c r="J1809" s="12" t="n"/>
      <c r="K1809" s="12" t="n"/>
      <c r="L1809" s="11" t="n"/>
      <c r="M1809" s="11" t="n"/>
      <c r="N1809" s="11" t="n"/>
      <c r="O1809" s="11" t="n"/>
      <c r="P1809" s="12" t="n"/>
      <c r="Q1809" s="11" t="n"/>
      <c r="R1809" s="12" t="n"/>
      <c r="S1809" s="11" t="n"/>
      <c r="T1809" s="12" t="n"/>
      <c r="U1809" s="12" t="n"/>
      <c r="V1809" s="14">
        <f>IF($AN1809="",IF($B1809="","",$H1809),IF(INDEX(職員マスタ!$B$6:$B$405,$AN1809)="",$H1809,INDEX(職員マスタ!$B$6:$B$405,$AN1809)))</f>
        <v/>
      </c>
      <c r="W1809" s="14">
        <f>IF($AN1809="",IF($B1809="","",$R1809),IF(INDEX(職員マスタ!$C$6:$C$405,$AN1809)="",$R1809,INDEX(職員マスタ!$C$6:$C$405,$AN1809)))</f>
        <v/>
      </c>
      <c r="X1809" s="14">
        <f>IF($AO1809="","","R"&amp;$C1809&amp;"."&amp;$D1809)</f>
        <v/>
      </c>
      <c r="Y1809" s="15">
        <f>IF($AN1809="","",IF(INDEX(職員マスタ!$K$6:$K$405,$AN1809)="","",INDEX(職員マスタ!$K$6:$K$405,$AN1809)))</f>
        <v/>
      </c>
      <c r="Z1809" s="14">
        <f>IF(OR($E1809="",$Y1809=""),"",IF($E1809&gt;=$Y1809,"×",IF($E1809&gt;=$Y1809*設定!$C$5,"△","○")))</f>
        <v/>
      </c>
      <c r="AA1809" s="15">
        <f>IF($Z1809="","",IF($Z1809="×",0,IF($Z1809="○",ROUNDDOWN($E1809*設定!$C$4,0),ROUNDDOWN($E1809*ROUND((9*$Y1809-9*$E1809)/(10*$E1809),4),0))))</f>
        <v/>
      </c>
      <c r="AB1809" s="13" t="n"/>
      <c r="AC1809" s="15">
        <f>IF($B1809="","",IF($AB1809&lt;&gt;"",$AB1809,IF($AA1809="","",IF($AA1809&lt;=設定!$C$3,0,$AA1809))))</f>
        <v/>
      </c>
      <c r="AD1809" s="14">
        <f>IF($B1809="","",IF(AND($AE1809&lt;&gt;"",$AG1809="",$AJ1809=""),"保留中",IF($AJ1809&lt;&gt;"",IF(N($AC1809)&gt;0,"支給済","不支給"),IF($AC1809="","要確認",IF($AC1809=0,"不支給","未処理")))))</f>
        <v/>
      </c>
      <c r="AE1809" s="12" t="n"/>
      <c r="AF1809" s="11" t="n"/>
      <c r="AG1809" s="11" t="n"/>
      <c r="AH1809" s="11" t="n"/>
      <c r="AI1809" s="14">
        <f>IF(AND($AD1809="保留中",$AF1809&lt;&gt;""),TODAY()-$AF1809,"")</f>
        <v/>
      </c>
      <c r="AJ1809" s="12" t="n"/>
      <c r="AK1809" s="14">
        <f>IF($B1809="","",IF($AO1809="","対象年月が未入力／","")&amp;IF($B1809="","",IF($AN1809="","職員マスタに未登録の職員番号／",IF($Y1809="","標準報酬月額が未登録／","")&amp;IF(AND($AO1809&lt;&gt;"",OR(AND(INDEX(職員マスタ!$G$6:$G$405,$AN1809)&lt;&gt;"",INDEX(職員マスタ!$G$6:$G$405,$AN1809)&gt;EOMONTH($AO1809,0)),AND(INDEX(職員マスタ!$H$6:$H$405,$AN1809)&lt;&gt;"",INDEX(職員マスタ!$H$6:$H$405,$AN1809)&lt;$AO1809))),"対象月が時短期間外／","")&amp;IF(AND(INDEX(職員マスタ!$F$6:$F$405,$AN1809)&lt;&gt;"",$AO1809&lt;&gt;"",INDEX(職員マスタ!$F$6:$F$405,$AN1809)&lt;$AO1809),"対象月に子が2歳到達済／","")&amp;IF(AND($H1809&lt;&gt;"",INDEX(職員マスタ!$B$6:$B$405,$AN1809)&lt;&gt;"",SUBSTITUTE(SUBSTITUTE($H1809," ","")," ","")&lt;&gt;SUBSTITUTE(SUBSTITUTE(INDEX(職員マスタ!$B$6:$B$405,$AN1809)," ","")," ","")),"氏名がマスタと相違／","")&amp;IF(AND($Q1809&lt;&gt;"",INDEX(職員マスタ!$E$6:$E$405,$AN1809)&lt;&gt;"",$Q1809&lt;&gt;INDEX(職員マスタ!$E$6:$E$405,$AN1809)),"子の生年月日がマスタと相違／","")&amp;IF(AND($L1809&lt;&gt;"",INDEX(職員マスタ!$G$6:$G$405,$AN1809)&lt;&gt;"",$L1809&lt;&gt;INDEX(職員マスタ!$G$6:$G$405,$AN1809)),"時短開始日がマスタと相違／","")&amp;IF(AND($M1809&lt;&gt;"",INDEX(職員マスタ!$H$6:$H$405,$AN1809)&lt;&gt;"",$M1809&lt;&gt;INDEX(職員マスタ!$H$6:$H$405,$AN1809)),"時短終了日がマスタと相違／","")))&amp;IF(AND($B1809&lt;&gt;"",$E1809=""),"報酬額が未入力／","")&amp;IF(N($U1809)&gt;0,"申請書に入力エラーが残っています／","")&amp;IF(AND($B1809&lt;&gt;"",$AO1809&lt;&gt;""),IF(COUNTIFS($B$6:$B$3005,$B1809,$C$6:$C$3005,$C1809,$D$6:$D$3005,$D1809)&gt;1,"同じ月の請求が重複しています／",""),"")&amp;IF(AND(N($E1809)&gt;0,$Z1809&lt;&gt;"",$Z1809&lt;&gt;"×",$AC1809=0,$AB1809=""),"計算額が下限以下のため不支給／",""))</f>
        <v/>
      </c>
      <c r="AL1809" s="12" t="n"/>
      <c r="AM1809" s="14">
        <f>IF($AD1809="保留中",COUNTIF($AD$6:$AD1809,"保留中"),"")</f>
        <v/>
      </c>
      <c r="AN1809" s="14">
        <f>IF($AO1809="","",IF(SUMPRODUCT(MAX((職員マスタ!$A$6:$A$405=$B1809)*(((職員マスタ!$G$6:$G$405="")+(職員マスタ!$G$6:$G$405&lt;=EOMONTH($AO1809,0)))&gt;0)*(((職員マスタ!$H$6:$H$405="")+(職員マスタ!$H$6:$H$405&gt;=$AO1809))&gt;0)*(ROW(職員マスタ!$A$6:$A$405)-5)))&gt;0,SUMPRODUCT(MAX((職員マスタ!$A$6:$A$405=$B1809)*(((職員マスタ!$G$6:$G$405="")+(職員マスタ!$G$6:$G$405&lt;=EOMONTH($AO1809,0)))&gt;0)*(((職員マスタ!$H$6:$H$405="")+(職員マスタ!$H$6:$H$405&gt;=$AO1809))&gt;0)*(ROW(職員マスタ!$A$6:$A$405)-5))),IFERROR(MATCH($B1809,職員マスタ!$A$6:$A$405,0),"")))</f>
        <v/>
      </c>
      <c r="AO1809" s="16">
        <f>IF(OR($B1809="",$C1809="",$D1809=""),"",DATE($C1809+2018,$D1809,1))</f>
        <v/>
      </c>
    </row>
    <row r="1810">
      <c r="A1810" s="11" t="n"/>
      <c r="B1810" s="12" t="n"/>
      <c r="C1810" s="12" t="n"/>
      <c r="D1810" s="12" t="n"/>
      <c r="E1810" s="13" t="n"/>
      <c r="F1810" s="12" t="n"/>
      <c r="G1810" s="13" t="n"/>
      <c r="H1810" s="12" t="n"/>
      <c r="I1810" s="12" t="n"/>
      <c r="J1810" s="12" t="n"/>
      <c r="K1810" s="12" t="n"/>
      <c r="L1810" s="11" t="n"/>
      <c r="M1810" s="11" t="n"/>
      <c r="N1810" s="11" t="n"/>
      <c r="O1810" s="11" t="n"/>
      <c r="P1810" s="12" t="n"/>
      <c r="Q1810" s="11" t="n"/>
      <c r="R1810" s="12" t="n"/>
      <c r="S1810" s="11" t="n"/>
      <c r="T1810" s="12" t="n"/>
      <c r="U1810" s="12" t="n"/>
      <c r="V1810" s="14">
        <f>IF($AN1810="",IF($B1810="","",$H1810),IF(INDEX(職員マスタ!$B$6:$B$405,$AN1810)="",$H1810,INDEX(職員マスタ!$B$6:$B$405,$AN1810)))</f>
        <v/>
      </c>
      <c r="W1810" s="14">
        <f>IF($AN1810="",IF($B1810="","",$R1810),IF(INDEX(職員マスタ!$C$6:$C$405,$AN1810)="",$R1810,INDEX(職員マスタ!$C$6:$C$405,$AN1810)))</f>
        <v/>
      </c>
      <c r="X1810" s="14">
        <f>IF($AO1810="","","R"&amp;$C1810&amp;"."&amp;$D1810)</f>
        <v/>
      </c>
      <c r="Y1810" s="15">
        <f>IF($AN1810="","",IF(INDEX(職員マスタ!$K$6:$K$405,$AN1810)="","",INDEX(職員マスタ!$K$6:$K$405,$AN1810)))</f>
        <v/>
      </c>
      <c r="Z1810" s="14">
        <f>IF(OR($E1810="",$Y1810=""),"",IF($E1810&gt;=$Y1810,"×",IF($E1810&gt;=$Y1810*設定!$C$5,"△","○")))</f>
        <v/>
      </c>
      <c r="AA1810" s="15">
        <f>IF($Z1810="","",IF($Z1810="×",0,IF($Z1810="○",ROUNDDOWN($E1810*設定!$C$4,0),ROUNDDOWN($E1810*ROUND((9*$Y1810-9*$E1810)/(10*$E1810),4),0))))</f>
        <v/>
      </c>
      <c r="AB1810" s="13" t="n"/>
      <c r="AC1810" s="15">
        <f>IF($B1810="","",IF($AB1810&lt;&gt;"",$AB1810,IF($AA1810="","",IF($AA1810&lt;=設定!$C$3,0,$AA1810))))</f>
        <v/>
      </c>
      <c r="AD1810" s="14">
        <f>IF($B1810="","",IF(AND($AE1810&lt;&gt;"",$AG1810="",$AJ1810=""),"保留中",IF($AJ1810&lt;&gt;"",IF(N($AC1810)&gt;0,"支給済","不支給"),IF($AC1810="","要確認",IF($AC1810=0,"不支給","未処理")))))</f>
        <v/>
      </c>
      <c r="AE1810" s="12" t="n"/>
      <c r="AF1810" s="11" t="n"/>
      <c r="AG1810" s="11" t="n"/>
      <c r="AH1810" s="11" t="n"/>
      <c r="AI1810" s="14">
        <f>IF(AND($AD1810="保留中",$AF1810&lt;&gt;""),TODAY()-$AF1810,"")</f>
        <v/>
      </c>
      <c r="AJ1810" s="12" t="n"/>
      <c r="AK1810" s="14">
        <f>IF($B1810="","",IF($AO1810="","対象年月が未入力／","")&amp;IF($B1810="","",IF($AN1810="","職員マスタに未登録の職員番号／",IF($Y1810="","標準報酬月額が未登録／","")&amp;IF(AND($AO1810&lt;&gt;"",OR(AND(INDEX(職員マスタ!$G$6:$G$405,$AN1810)&lt;&gt;"",INDEX(職員マスタ!$G$6:$G$405,$AN1810)&gt;EOMONTH($AO1810,0)),AND(INDEX(職員マスタ!$H$6:$H$405,$AN1810)&lt;&gt;"",INDEX(職員マスタ!$H$6:$H$405,$AN1810)&lt;$AO1810))),"対象月が時短期間外／","")&amp;IF(AND(INDEX(職員マスタ!$F$6:$F$405,$AN1810)&lt;&gt;"",$AO1810&lt;&gt;"",INDEX(職員マスタ!$F$6:$F$405,$AN1810)&lt;$AO1810),"対象月に子が2歳到達済／","")&amp;IF(AND($H1810&lt;&gt;"",INDEX(職員マスタ!$B$6:$B$405,$AN1810)&lt;&gt;"",SUBSTITUTE(SUBSTITUTE($H1810," ","")," ","")&lt;&gt;SUBSTITUTE(SUBSTITUTE(INDEX(職員マスタ!$B$6:$B$405,$AN1810)," ","")," ","")),"氏名がマスタと相違／","")&amp;IF(AND($Q1810&lt;&gt;"",INDEX(職員マスタ!$E$6:$E$405,$AN1810)&lt;&gt;"",$Q1810&lt;&gt;INDEX(職員マスタ!$E$6:$E$405,$AN1810)),"子の生年月日がマスタと相違／","")&amp;IF(AND($L1810&lt;&gt;"",INDEX(職員マスタ!$G$6:$G$405,$AN1810)&lt;&gt;"",$L1810&lt;&gt;INDEX(職員マスタ!$G$6:$G$405,$AN1810)),"時短開始日がマスタと相違／","")&amp;IF(AND($M1810&lt;&gt;"",INDEX(職員マスタ!$H$6:$H$405,$AN1810)&lt;&gt;"",$M1810&lt;&gt;INDEX(職員マスタ!$H$6:$H$405,$AN1810)),"時短終了日がマスタと相違／","")))&amp;IF(AND($B1810&lt;&gt;"",$E1810=""),"報酬額が未入力／","")&amp;IF(N($U1810)&gt;0,"申請書に入力エラーが残っています／","")&amp;IF(AND($B1810&lt;&gt;"",$AO1810&lt;&gt;""),IF(COUNTIFS($B$6:$B$3005,$B1810,$C$6:$C$3005,$C1810,$D$6:$D$3005,$D1810)&gt;1,"同じ月の請求が重複しています／",""),"")&amp;IF(AND(N($E1810)&gt;0,$Z1810&lt;&gt;"",$Z1810&lt;&gt;"×",$AC1810=0,$AB1810=""),"計算額が下限以下のため不支給／",""))</f>
        <v/>
      </c>
      <c r="AL1810" s="12" t="n"/>
      <c r="AM1810" s="14">
        <f>IF($AD1810="保留中",COUNTIF($AD$6:$AD1810,"保留中"),"")</f>
        <v/>
      </c>
      <c r="AN1810" s="14">
        <f>IF($AO1810="","",IF(SUMPRODUCT(MAX((職員マスタ!$A$6:$A$405=$B1810)*(((職員マスタ!$G$6:$G$405="")+(職員マスタ!$G$6:$G$405&lt;=EOMONTH($AO1810,0)))&gt;0)*(((職員マスタ!$H$6:$H$405="")+(職員マスタ!$H$6:$H$405&gt;=$AO1810))&gt;0)*(ROW(職員マスタ!$A$6:$A$405)-5)))&gt;0,SUMPRODUCT(MAX((職員マスタ!$A$6:$A$405=$B1810)*(((職員マスタ!$G$6:$G$405="")+(職員マスタ!$G$6:$G$405&lt;=EOMONTH($AO1810,0)))&gt;0)*(((職員マスタ!$H$6:$H$405="")+(職員マスタ!$H$6:$H$405&gt;=$AO1810))&gt;0)*(ROW(職員マスタ!$A$6:$A$405)-5))),IFERROR(MATCH($B1810,職員マスタ!$A$6:$A$405,0),"")))</f>
        <v/>
      </c>
      <c r="AO1810" s="16">
        <f>IF(OR($B1810="",$C1810="",$D1810=""),"",DATE($C1810+2018,$D1810,1))</f>
        <v/>
      </c>
    </row>
    <row r="1811">
      <c r="A1811" s="11" t="n"/>
      <c r="B1811" s="12" t="n"/>
      <c r="C1811" s="12" t="n"/>
      <c r="D1811" s="12" t="n"/>
      <c r="E1811" s="13" t="n"/>
      <c r="F1811" s="12" t="n"/>
      <c r="G1811" s="13" t="n"/>
      <c r="H1811" s="12" t="n"/>
      <c r="I1811" s="12" t="n"/>
      <c r="J1811" s="12" t="n"/>
      <c r="K1811" s="12" t="n"/>
      <c r="L1811" s="11" t="n"/>
      <c r="M1811" s="11" t="n"/>
      <c r="N1811" s="11" t="n"/>
      <c r="O1811" s="11" t="n"/>
      <c r="P1811" s="12" t="n"/>
      <c r="Q1811" s="11" t="n"/>
      <c r="R1811" s="12" t="n"/>
      <c r="S1811" s="11" t="n"/>
      <c r="T1811" s="12" t="n"/>
      <c r="U1811" s="12" t="n"/>
      <c r="V1811" s="14">
        <f>IF($AN1811="",IF($B1811="","",$H1811),IF(INDEX(職員マスタ!$B$6:$B$405,$AN1811)="",$H1811,INDEX(職員マスタ!$B$6:$B$405,$AN1811)))</f>
        <v/>
      </c>
      <c r="W1811" s="14">
        <f>IF($AN1811="",IF($B1811="","",$R1811),IF(INDEX(職員マスタ!$C$6:$C$405,$AN1811)="",$R1811,INDEX(職員マスタ!$C$6:$C$405,$AN1811)))</f>
        <v/>
      </c>
      <c r="X1811" s="14">
        <f>IF($AO1811="","","R"&amp;$C1811&amp;"."&amp;$D1811)</f>
        <v/>
      </c>
      <c r="Y1811" s="15">
        <f>IF($AN1811="","",IF(INDEX(職員マスタ!$K$6:$K$405,$AN1811)="","",INDEX(職員マスタ!$K$6:$K$405,$AN1811)))</f>
        <v/>
      </c>
      <c r="Z1811" s="14">
        <f>IF(OR($E1811="",$Y1811=""),"",IF($E1811&gt;=$Y1811,"×",IF($E1811&gt;=$Y1811*設定!$C$5,"△","○")))</f>
        <v/>
      </c>
      <c r="AA1811" s="15">
        <f>IF($Z1811="","",IF($Z1811="×",0,IF($Z1811="○",ROUNDDOWN($E1811*設定!$C$4,0),ROUNDDOWN($E1811*ROUND((9*$Y1811-9*$E1811)/(10*$E1811),4),0))))</f>
        <v/>
      </c>
      <c r="AB1811" s="13" t="n"/>
      <c r="AC1811" s="15">
        <f>IF($B1811="","",IF($AB1811&lt;&gt;"",$AB1811,IF($AA1811="","",IF($AA1811&lt;=設定!$C$3,0,$AA1811))))</f>
        <v/>
      </c>
      <c r="AD1811" s="14">
        <f>IF($B1811="","",IF(AND($AE1811&lt;&gt;"",$AG1811="",$AJ1811=""),"保留中",IF($AJ1811&lt;&gt;"",IF(N($AC1811)&gt;0,"支給済","不支給"),IF($AC1811="","要確認",IF($AC1811=0,"不支給","未処理")))))</f>
        <v/>
      </c>
      <c r="AE1811" s="12" t="n"/>
      <c r="AF1811" s="11" t="n"/>
      <c r="AG1811" s="11" t="n"/>
      <c r="AH1811" s="11" t="n"/>
      <c r="AI1811" s="14">
        <f>IF(AND($AD1811="保留中",$AF1811&lt;&gt;""),TODAY()-$AF1811,"")</f>
        <v/>
      </c>
      <c r="AJ1811" s="12" t="n"/>
      <c r="AK1811" s="14">
        <f>IF($B1811="","",IF($AO1811="","対象年月が未入力／","")&amp;IF($B1811="","",IF($AN1811="","職員マスタに未登録の職員番号／",IF($Y1811="","標準報酬月額が未登録／","")&amp;IF(AND($AO1811&lt;&gt;"",OR(AND(INDEX(職員マスタ!$G$6:$G$405,$AN1811)&lt;&gt;"",INDEX(職員マスタ!$G$6:$G$405,$AN1811)&gt;EOMONTH($AO1811,0)),AND(INDEX(職員マスタ!$H$6:$H$405,$AN1811)&lt;&gt;"",INDEX(職員マスタ!$H$6:$H$405,$AN1811)&lt;$AO1811))),"対象月が時短期間外／","")&amp;IF(AND(INDEX(職員マスタ!$F$6:$F$405,$AN1811)&lt;&gt;"",$AO1811&lt;&gt;"",INDEX(職員マスタ!$F$6:$F$405,$AN1811)&lt;$AO1811),"対象月に子が2歳到達済／","")&amp;IF(AND($H1811&lt;&gt;"",INDEX(職員マスタ!$B$6:$B$405,$AN1811)&lt;&gt;"",SUBSTITUTE(SUBSTITUTE($H1811," ","")," ","")&lt;&gt;SUBSTITUTE(SUBSTITUTE(INDEX(職員マスタ!$B$6:$B$405,$AN1811)," ","")," ","")),"氏名がマスタと相違／","")&amp;IF(AND($Q1811&lt;&gt;"",INDEX(職員マスタ!$E$6:$E$405,$AN1811)&lt;&gt;"",$Q1811&lt;&gt;INDEX(職員マスタ!$E$6:$E$405,$AN1811)),"子の生年月日がマスタと相違／","")&amp;IF(AND($L1811&lt;&gt;"",INDEX(職員マスタ!$G$6:$G$405,$AN1811)&lt;&gt;"",$L1811&lt;&gt;INDEX(職員マスタ!$G$6:$G$405,$AN1811)),"時短開始日がマスタと相違／","")&amp;IF(AND($M1811&lt;&gt;"",INDEX(職員マスタ!$H$6:$H$405,$AN1811)&lt;&gt;"",$M1811&lt;&gt;INDEX(職員マスタ!$H$6:$H$405,$AN1811)),"時短終了日がマスタと相違／","")))&amp;IF(AND($B1811&lt;&gt;"",$E1811=""),"報酬額が未入力／","")&amp;IF(N($U1811)&gt;0,"申請書に入力エラーが残っています／","")&amp;IF(AND($B1811&lt;&gt;"",$AO1811&lt;&gt;""),IF(COUNTIFS($B$6:$B$3005,$B1811,$C$6:$C$3005,$C1811,$D$6:$D$3005,$D1811)&gt;1,"同じ月の請求が重複しています／",""),"")&amp;IF(AND(N($E1811)&gt;0,$Z1811&lt;&gt;"",$Z1811&lt;&gt;"×",$AC1811=0,$AB1811=""),"計算額が下限以下のため不支給／",""))</f>
        <v/>
      </c>
      <c r="AL1811" s="12" t="n"/>
      <c r="AM1811" s="14">
        <f>IF($AD1811="保留中",COUNTIF($AD$6:$AD1811,"保留中"),"")</f>
        <v/>
      </c>
      <c r="AN1811" s="14">
        <f>IF($AO1811="","",IF(SUMPRODUCT(MAX((職員マスタ!$A$6:$A$405=$B1811)*(((職員マスタ!$G$6:$G$405="")+(職員マスタ!$G$6:$G$405&lt;=EOMONTH($AO1811,0)))&gt;0)*(((職員マスタ!$H$6:$H$405="")+(職員マスタ!$H$6:$H$405&gt;=$AO1811))&gt;0)*(ROW(職員マスタ!$A$6:$A$405)-5)))&gt;0,SUMPRODUCT(MAX((職員マスタ!$A$6:$A$405=$B1811)*(((職員マスタ!$G$6:$G$405="")+(職員マスタ!$G$6:$G$405&lt;=EOMONTH($AO1811,0)))&gt;0)*(((職員マスタ!$H$6:$H$405="")+(職員マスタ!$H$6:$H$405&gt;=$AO1811))&gt;0)*(ROW(職員マスタ!$A$6:$A$405)-5))),IFERROR(MATCH($B1811,職員マスタ!$A$6:$A$405,0),"")))</f>
        <v/>
      </c>
      <c r="AO1811" s="16">
        <f>IF(OR($B1811="",$C1811="",$D1811=""),"",DATE($C1811+2018,$D1811,1))</f>
        <v/>
      </c>
    </row>
    <row r="1812">
      <c r="A1812" s="11" t="n"/>
      <c r="B1812" s="12" t="n"/>
      <c r="C1812" s="12" t="n"/>
      <c r="D1812" s="12" t="n"/>
      <c r="E1812" s="13" t="n"/>
      <c r="F1812" s="12" t="n"/>
      <c r="G1812" s="13" t="n"/>
      <c r="H1812" s="12" t="n"/>
      <c r="I1812" s="12" t="n"/>
      <c r="J1812" s="12" t="n"/>
      <c r="K1812" s="12" t="n"/>
      <c r="L1812" s="11" t="n"/>
      <c r="M1812" s="11" t="n"/>
      <c r="N1812" s="11" t="n"/>
      <c r="O1812" s="11" t="n"/>
      <c r="P1812" s="12" t="n"/>
      <c r="Q1812" s="11" t="n"/>
      <c r="R1812" s="12" t="n"/>
      <c r="S1812" s="11" t="n"/>
      <c r="T1812" s="12" t="n"/>
      <c r="U1812" s="12" t="n"/>
      <c r="V1812" s="14">
        <f>IF($AN1812="",IF($B1812="","",$H1812),IF(INDEX(職員マスタ!$B$6:$B$405,$AN1812)="",$H1812,INDEX(職員マスタ!$B$6:$B$405,$AN1812)))</f>
        <v/>
      </c>
      <c r="W1812" s="14">
        <f>IF($AN1812="",IF($B1812="","",$R1812),IF(INDEX(職員マスタ!$C$6:$C$405,$AN1812)="",$R1812,INDEX(職員マスタ!$C$6:$C$405,$AN1812)))</f>
        <v/>
      </c>
      <c r="X1812" s="14">
        <f>IF($AO1812="","","R"&amp;$C1812&amp;"."&amp;$D1812)</f>
        <v/>
      </c>
      <c r="Y1812" s="15">
        <f>IF($AN1812="","",IF(INDEX(職員マスタ!$K$6:$K$405,$AN1812)="","",INDEX(職員マスタ!$K$6:$K$405,$AN1812)))</f>
        <v/>
      </c>
      <c r="Z1812" s="14">
        <f>IF(OR($E1812="",$Y1812=""),"",IF($E1812&gt;=$Y1812,"×",IF($E1812&gt;=$Y1812*設定!$C$5,"△","○")))</f>
        <v/>
      </c>
      <c r="AA1812" s="15">
        <f>IF($Z1812="","",IF($Z1812="×",0,IF($Z1812="○",ROUNDDOWN($E1812*設定!$C$4,0),ROUNDDOWN($E1812*ROUND((9*$Y1812-9*$E1812)/(10*$E1812),4),0))))</f>
        <v/>
      </c>
      <c r="AB1812" s="13" t="n"/>
      <c r="AC1812" s="15">
        <f>IF($B1812="","",IF($AB1812&lt;&gt;"",$AB1812,IF($AA1812="","",IF($AA1812&lt;=設定!$C$3,0,$AA1812))))</f>
        <v/>
      </c>
      <c r="AD1812" s="14">
        <f>IF($B1812="","",IF(AND($AE1812&lt;&gt;"",$AG1812="",$AJ1812=""),"保留中",IF($AJ1812&lt;&gt;"",IF(N($AC1812)&gt;0,"支給済","不支給"),IF($AC1812="","要確認",IF($AC1812=0,"不支給","未処理")))))</f>
        <v/>
      </c>
      <c r="AE1812" s="12" t="n"/>
      <c r="AF1812" s="11" t="n"/>
      <c r="AG1812" s="11" t="n"/>
      <c r="AH1812" s="11" t="n"/>
      <c r="AI1812" s="14">
        <f>IF(AND($AD1812="保留中",$AF1812&lt;&gt;""),TODAY()-$AF1812,"")</f>
        <v/>
      </c>
      <c r="AJ1812" s="12" t="n"/>
      <c r="AK1812" s="14">
        <f>IF($B1812="","",IF($AO1812="","対象年月が未入力／","")&amp;IF($B1812="","",IF($AN1812="","職員マスタに未登録の職員番号／",IF($Y1812="","標準報酬月額が未登録／","")&amp;IF(AND($AO1812&lt;&gt;"",OR(AND(INDEX(職員マスタ!$G$6:$G$405,$AN1812)&lt;&gt;"",INDEX(職員マスタ!$G$6:$G$405,$AN1812)&gt;EOMONTH($AO1812,0)),AND(INDEX(職員マスタ!$H$6:$H$405,$AN1812)&lt;&gt;"",INDEX(職員マスタ!$H$6:$H$405,$AN1812)&lt;$AO1812))),"対象月が時短期間外／","")&amp;IF(AND(INDEX(職員マスタ!$F$6:$F$405,$AN1812)&lt;&gt;"",$AO1812&lt;&gt;"",INDEX(職員マスタ!$F$6:$F$405,$AN1812)&lt;$AO1812),"対象月に子が2歳到達済／","")&amp;IF(AND($H1812&lt;&gt;"",INDEX(職員マスタ!$B$6:$B$405,$AN1812)&lt;&gt;"",SUBSTITUTE(SUBSTITUTE($H1812," ","")," ","")&lt;&gt;SUBSTITUTE(SUBSTITUTE(INDEX(職員マスタ!$B$6:$B$405,$AN1812)," ","")," ","")),"氏名がマスタと相違／","")&amp;IF(AND($Q1812&lt;&gt;"",INDEX(職員マスタ!$E$6:$E$405,$AN1812)&lt;&gt;"",$Q1812&lt;&gt;INDEX(職員マスタ!$E$6:$E$405,$AN1812)),"子の生年月日がマスタと相違／","")&amp;IF(AND($L1812&lt;&gt;"",INDEX(職員マスタ!$G$6:$G$405,$AN1812)&lt;&gt;"",$L1812&lt;&gt;INDEX(職員マスタ!$G$6:$G$405,$AN1812)),"時短開始日がマスタと相違／","")&amp;IF(AND($M1812&lt;&gt;"",INDEX(職員マスタ!$H$6:$H$405,$AN1812)&lt;&gt;"",$M1812&lt;&gt;INDEX(職員マスタ!$H$6:$H$405,$AN1812)),"時短終了日がマスタと相違／","")))&amp;IF(AND($B1812&lt;&gt;"",$E1812=""),"報酬額が未入力／","")&amp;IF(N($U1812)&gt;0,"申請書に入力エラーが残っています／","")&amp;IF(AND($B1812&lt;&gt;"",$AO1812&lt;&gt;""),IF(COUNTIFS($B$6:$B$3005,$B1812,$C$6:$C$3005,$C1812,$D$6:$D$3005,$D1812)&gt;1,"同じ月の請求が重複しています／",""),"")&amp;IF(AND(N($E1812)&gt;0,$Z1812&lt;&gt;"",$Z1812&lt;&gt;"×",$AC1812=0,$AB1812=""),"計算額が下限以下のため不支給／",""))</f>
        <v/>
      </c>
      <c r="AL1812" s="12" t="n"/>
      <c r="AM1812" s="14">
        <f>IF($AD1812="保留中",COUNTIF($AD$6:$AD1812,"保留中"),"")</f>
        <v/>
      </c>
      <c r="AN1812" s="14">
        <f>IF($AO1812="","",IF(SUMPRODUCT(MAX((職員マスタ!$A$6:$A$405=$B1812)*(((職員マスタ!$G$6:$G$405="")+(職員マスタ!$G$6:$G$405&lt;=EOMONTH($AO1812,0)))&gt;0)*(((職員マスタ!$H$6:$H$405="")+(職員マスタ!$H$6:$H$405&gt;=$AO1812))&gt;0)*(ROW(職員マスタ!$A$6:$A$405)-5)))&gt;0,SUMPRODUCT(MAX((職員マスタ!$A$6:$A$405=$B1812)*(((職員マスタ!$G$6:$G$405="")+(職員マスタ!$G$6:$G$405&lt;=EOMONTH($AO1812,0)))&gt;0)*(((職員マスタ!$H$6:$H$405="")+(職員マスタ!$H$6:$H$405&gt;=$AO1812))&gt;0)*(ROW(職員マスタ!$A$6:$A$405)-5))),IFERROR(MATCH($B1812,職員マスタ!$A$6:$A$405,0),"")))</f>
        <v/>
      </c>
      <c r="AO1812" s="16">
        <f>IF(OR($B1812="",$C1812="",$D1812=""),"",DATE($C1812+2018,$D1812,1))</f>
        <v/>
      </c>
    </row>
    <row r="1813">
      <c r="A1813" s="11" t="n"/>
      <c r="B1813" s="12" t="n"/>
      <c r="C1813" s="12" t="n"/>
      <c r="D1813" s="12" t="n"/>
      <c r="E1813" s="13" t="n"/>
      <c r="F1813" s="12" t="n"/>
      <c r="G1813" s="13" t="n"/>
      <c r="H1813" s="12" t="n"/>
      <c r="I1813" s="12" t="n"/>
      <c r="J1813" s="12" t="n"/>
      <c r="K1813" s="12" t="n"/>
      <c r="L1813" s="11" t="n"/>
      <c r="M1813" s="11" t="n"/>
      <c r="N1813" s="11" t="n"/>
      <c r="O1813" s="11" t="n"/>
      <c r="P1813" s="12" t="n"/>
      <c r="Q1813" s="11" t="n"/>
      <c r="R1813" s="12" t="n"/>
      <c r="S1813" s="11" t="n"/>
      <c r="T1813" s="12" t="n"/>
      <c r="U1813" s="12" t="n"/>
      <c r="V1813" s="14">
        <f>IF($AN1813="",IF($B1813="","",$H1813),IF(INDEX(職員マスタ!$B$6:$B$405,$AN1813)="",$H1813,INDEX(職員マスタ!$B$6:$B$405,$AN1813)))</f>
        <v/>
      </c>
      <c r="W1813" s="14">
        <f>IF($AN1813="",IF($B1813="","",$R1813),IF(INDEX(職員マスタ!$C$6:$C$405,$AN1813)="",$R1813,INDEX(職員マスタ!$C$6:$C$405,$AN1813)))</f>
        <v/>
      </c>
      <c r="X1813" s="14">
        <f>IF($AO1813="","","R"&amp;$C1813&amp;"."&amp;$D1813)</f>
        <v/>
      </c>
      <c r="Y1813" s="15">
        <f>IF($AN1813="","",IF(INDEX(職員マスタ!$K$6:$K$405,$AN1813)="","",INDEX(職員マスタ!$K$6:$K$405,$AN1813)))</f>
        <v/>
      </c>
      <c r="Z1813" s="14">
        <f>IF(OR($E1813="",$Y1813=""),"",IF($E1813&gt;=$Y1813,"×",IF($E1813&gt;=$Y1813*設定!$C$5,"△","○")))</f>
        <v/>
      </c>
      <c r="AA1813" s="15">
        <f>IF($Z1813="","",IF($Z1813="×",0,IF($Z1813="○",ROUNDDOWN($E1813*設定!$C$4,0),ROUNDDOWN($E1813*ROUND((9*$Y1813-9*$E1813)/(10*$E1813),4),0))))</f>
        <v/>
      </c>
      <c r="AB1813" s="13" t="n"/>
      <c r="AC1813" s="15">
        <f>IF($B1813="","",IF($AB1813&lt;&gt;"",$AB1813,IF($AA1813="","",IF($AA1813&lt;=設定!$C$3,0,$AA1813))))</f>
        <v/>
      </c>
      <c r="AD1813" s="14">
        <f>IF($B1813="","",IF(AND($AE1813&lt;&gt;"",$AG1813="",$AJ1813=""),"保留中",IF($AJ1813&lt;&gt;"",IF(N($AC1813)&gt;0,"支給済","不支給"),IF($AC1813="","要確認",IF($AC1813=0,"不支給","未処理")))))</f>
        <v/>
      </c>
      <c r="AE1813" s="12" t="n"/>
      <c r="AF1813" s="11" t="n"/>
      <c r="AG1813" s="11" t="n"/>
      <c r="AH1813" s="11" t="n"/>
      <c r="AI1813" s="14">
        <f>IF(AND($AD1813="保留中",$AF1813&lt;&gt;""),TODAY()-$AF1813,"")</f>
        <v/>
      </c>
      <c r="AJ1813" s="12" t="n"/>
      <c r="AK1813" s="14">
        <f>IF($B1813="","",IF($AO1813="","対象年月が未入力／","")&amp;IF($B1813="","",IF($AN1813="","職員マスタに未登録の職員番号／",IF($Y1813="","標準報酬月額が未登録／","")&amp;IF(AND($AO1813&lt;&gt;"",OR(AND(INDEX(職員マスタ!$G$6:$G$405,$AN1813)&lt;&gt;"",INDEX(職員マスタ!$G$6:$G$405,$AN1813)&gt;EOMONTH($AO1813,0)),AND(INDEX(職員マスタ!$H$6:$H$405,$AN1813)&lt;&gt;"",INDEX(職員マスタ!$H$6:$H$405,$AN1813)&lt;$AO1813))),"対象月が時短期間外／","")&amp;IF(AND(INDEX(職員マスタ!$F$6:$F$405,$AN1813)&lt;&gt;"",$AO1813&lt;&gt;"",INDEX(職員マスタ!$F$6:$F$405,$AN1813)&lt;$AO1813),"対象月に子が2歳到達済／","")&amp;IF(AND($H1813&lt;&gt;"",INDEX(職員マスタ!$B$6:$B$405,$AN1813)&lt;&gt;"",SUBSTITUTE(SUBSTITUTE($H1813," ","")," ","")&lt;&gt;SUBSTITUTE(SUBSTITUTE(INDEX(職員マスタ!$B$6:$B$405,$AN1813)," ","")," ","")),"氏名がマスタと相違／","")&amp;IF(AND($Q1813&lt;&gt;"",INDEX(職員マスタ!$E$6:$E$405,$AN1813)&lt;&gt;"",$Q1813&lt;&gt;INDEX(職員マスタ!$E$6:$E$405,$AN1813)),"子の生年月日がマスタと相違／","")&amp;IF(AND($L1813&lt;&gt;"",INDEX(職員マスタ!$G$6:$G$405,$AN1813)&lt;&gt;"",$L1813&lt;&gt;INDEX(職員マスタ!$G$6:$G$405,$AN1813)),"時短開始日がマスタと相違／","")&amp;IF(AND($M1813&lt;&gt;"",INDEX(職員マスタ!$H$6:$H$405,$AN1813)&lt;&gt;"",$M1813&lt;&gt;INDEX(職員マスタ!$H$6:$H$405,$AN1813)),"時短終了日がマスタと相違／","")))&amp;IF(AND($B1813&lt;&gt;"",$E1813=""),"報酬額が未入力／","")&amp;IF(N($U1813)&gt;0,"申請書に入力エラーが残っています／","")&amp;IF(AND($B1813&lt;&gt;"",$AO1813&lt;&gt;""),IF(COUNTIFS($B$6:$B$3005,$B1813,$C$6:$C$3005,$C1813,$D$6:$D$3005,$D1813)&gt;1,"同じ月の請求が重複しています／",""),"")&amp;IF(AND(N($E1813)&gt;0,$Z1813&lt;&gt;"",$Z1813&lt;&gt;"×",$AC1813=0,$AB1813=""),"計算額が下限以下のため不支給／",""))</f>
        <v/>
      </c>
      <c r="AL1813" s="12" t="n"/>
      <c r="AM1813" s="14">
        <f>IF($AD1813="保留中",COUNTIF($AD$6:$AD1813,"保留中"),"")</f>
        <v/>
      </c>
      <c r="AN1813" s="14">
        <f>IF($AO1813="","",IF(SUMPRODUCT(MAX((職員マスタ!$A$6:$A$405=$B1813)*(((職員マスタ!$G$6:$G$405="")+(職員マスタ!$G$6:$G$405&lt;=EOMONTH($AO1813,0)))&gt;0)*(((職員マスタ!$H$6:$H$405="")+(職員マスタ!$H$6:$H$405&gt;=$AO1813))&gt;0)*(ROW(職員マスタ!$A$6:$A$405)-5)))&gt;0,SUMPRODUCT(MAX((職員マスタ!$A$6:$A$405=$B1813)*(((職員マスタ!$G$6:$G$405="")+(職員マスタ!$G$6:$G$405&lt;=EOMONTH($AO1813,0)))&gt;0)*(((職員マスタ!$H$6:$H$405="")+(職員マスタ!$H$6:$H$405&gt;=$AO1813))&gt;0)*(ROW(職員マスタ!$A$6:$A$405)-5))),IFERROR(MATCH($B1813,職員マスタ!$A$6:$A$405,0),"")))</f>
        <v/>
      </c>
      <c r="AO1813" s="16">
        <f>IF(OR($B1813="",$C1813="",$D1813=""),"",DATE($C1813+2018,$D1813,1))</f>
        <v/>
      </c>
    </row>
    <row r="1814">
      <c r="A1814" s="11" t="n"/>
      <c r="B1814" s="12" t="n"/>
      <c r="C1814" s="12" t="n"/>
      <c r="D1814" s="12" t="n"/>
      <c r="E1814" s="13" t="n"/>
      <c r="F1814" s="12" t="n"/>
      <c r="G1814" s="13" t="n"/>
      <c r="H1814" s="12" t="n"/>
      <c r="I1814" s="12" t="n"/>
      <c r="J1814" s="12" t="n"/>
      <c r="K1814" s="12" t="n"/>
      <c r="L1814" s="11" t="n"/>
      <c r="M1814" s="11" t="n"/>
      <c r="N1814" s="11" t="n"/>
      <c r="O1814" s="11" t="n"/>
      <c r="P1814" s="12" t="n"/>
      <c r="Q1814" s="11" t="n"/>
      <c r="R1814" s="12" t="n"/>
      <c r="S1814" s="11" t="n"/>
      <c r="T1814" s="12" t="n"/>
      <c r="U1814" s="12" t="n"/>
      <c r="V1814" s="14">
        <f>IF($AN1814="",IF($B1814="","",$H1814),IF(INDEX(職員マスタ!$B$6:$B$405,$AN1814)="",$H1814,INDEX(職員マスタ!$B$6:$B$405,$AN1814)))</f>
        <v/>
      </c>
      <c r="W1814" s="14">
        <f>IF($AN1814="",IF($B1814="","",$R1814),IF(INDEX(職員マスタ!$C$6:$C$405,$AN1814)="",$R1814,INDEX(職員マスタ!$C$6:$C$405,$AN1814)))</f>
        <v/>
      </c>
      <c r="X1814" s="14">
        <f>IF($AO1814="","","R"&amp;$C1814&amp;"."&amp;$D1814)</f>
        <v/>
      </c>
      <c r="Y1814" s="15">
        <f>IF($AN1814="","",IF(INDEX(職員マスタ!$K$6:$K$405,$AN1814)="","",INDEX(職員マスタ!$K$6:$K$405,$AN1814)))</f>
        <v/>
      </c>
      <c r="Z1814" s="14">
        <f>IF(OR($E1814="",$Y1814=""),"",IF($E1814&gt;=$Y1814,"×",IF($E1814&gt;=$Y1814*設定!$C$5,"△","○")))</f>
        <v/>
      </c>
      <c r="AA1814" s="15">
        <f>IF($Z1814="","",IF($Z1814="×",0,IF($Z1814="○",ROUNDDOWN($E1814*設定!$C$4,0),ROUNDDOWN($E1814*ROUND((9*$Y1814-9*$E1814)/(10*$E1814),4),0))))</f>
        <v/>
      </c>
      <c r="AB1814" s="13" t="n"/>
      <c r="AC1814" s="15">
        <f>IF($B1814="","",IF($AB1814&lt;&gt;"",$AB1814,IF($AA1814="","",IF($AA1814&lt;=設定!$C$3,0,$AA1814))))</f>
        <v/>
      </c>
      <c r="AD1814" s="14">
        <f>IF($B1814="","",IF(AND($AE1814&lt;&gt;"",$AG1814="",$AJ1814=""),"保留中",IF($AJ1814&lt;&gt;"",IF(N($AC1814)&gt;0,"支給済","不支給"),IF($AC1814="","要確認",IF($AC1814=0,"不支給","未処理")))))</f>
        <v/>
      </c>
      <c r="AE1814" s="12" t="n"/>
      <c r="AF1814" s="11" t="n"/>
      <c r="AG1814" s="11" t="n"/>
      <c r="AH1814" s="11" t="n"/>
      <c r="AI1814" s="14">
        <f>IF(AND($AD1814="保留中",$AF1814&lt;&gt;""),TODAY()-$AF1814,"")</f>
        <v/>
      </c>
      <c r="AJ1814" s="12" t="n"/>
      <c r="AK1814" s="14">
        <f>IF($B1814="","",IF($AO1814="","対象年月が未入力／","")&amp;IF($B1814="","",IF($AN1814="","職員マスタに未登録の職員番号／",IF($Y1814="","標準報酬月額が未登録／","")&amp;IF(AND($AO1814&lt;&gt;"",OR(AND(INDEX(職員マスタ!$G$6:$G$405,$AN1814)&lt;&gt;"",INDEX(職員マスタ!$G$6:$G$405,$AN1814)&gt;EOMONTH($AO1814,0)),AND(INDEX(職員マスタ!$H$6:$H$405,$AN1814)&lt;&gt;"",INDEX(職員マスタ!$H$6:$H$405,$AN1814)&lt;$AO1814))),"対象月が時短期間外／","")&amp;IF(AND(INDEX(職員マスタ!$F$6:$F$405,$AN1814)&lt;&gt;"",$AO1814&lt;&gt;"",INDEX(職員マスタ!$F$6:$F$405,$AN1814)&lt;$AO1814),"対象月に子が2歳到達済／","")&amp;IF(AND($H1814&lt;&gt;"",INDEX(職員マスタ!$B$6:$B$405,$AN1814)&lt;&gt;"",SUBSTITUTE(SUBSTITUTE($H1814," ","")," ","")&lt;&gt;SUBSTITUTE(SUBSTITUTE(INDEX(職員マスタ!$B$6:$B$405,$AN1814)," ","")," ","")),"氏名がマスタと相違／","")&amp;IF(AND($Q1814&lt;&gt;"",INDEX(職員マスタ!$E$6:$E$405,$AN1814)&lt;&gt;"",$Q1814&lt;&gt;INDEX(職員マスタ!$E$6:$E$405,$AN1814)),"子の生年月日がマスタと相違／","")&amp;IF(AND($L1814&lt;&gt;"",INDEX(職員マスタ!$G$6:$G$405,$AN1814)&lt;&gt;"",$L1814&lt;&gt;INDEX(職員マスタ!$G$6:$G$405,$AN1814)),"時短開始日がマスタと相違／","")&amp;IF(AND($M1814&lt;&gt;"",INDEX(職員マスタ!$H$6:$H$405,$AN1814)&lt;&gt;"",$M1814&lt;&gt;INDEX(職員マスタ!$H$6:$H$405,$AN1814)),"時短終了日がマスタと相違／","")))&amp;IF(AND($B1814&lt;&gt;"",$E1814=""),"報酬額が未入力／","")&amp;IF(N($U1814)&gt;0,"申請書に入力エラーが残っています／","")&amp;IF(AND($B1814&lt;&gt;"",$AO1814&lt;&gt;""),IF(COUNTIFS($B$6:$B$3005,$B1814,$C$6:$C$3005,$C1814,$D$6:$D$3005,$D1814)&gt;1,"同じ月の請求が重複しています／",""),"")&amp;IF(AND(N($E1814)&gt;0,$Z1814&lt;&gt;"",$Z1814&lt;&gt;"×",$AC1814=0,$AB1814=""),"計算額が下限以下のため不支給／",""))</f>
        <v/>
      </c>
      <c r="AL1814" s="12" t="n"/>
      <c r="AM1814" s="14">
        <f>IF($AD1814="保留中",COUNTIF($AD$6:$AD1814,"保留中"),"")</f>
        <v/>
      </c>
      <c r="AN1814" s="14">
        <f>IF($AO1814="","",IF(SUMPRODUCT(MAX((職員マスタ!$A$6:$A$405=$B1814)*(((職員マスタ!$G$6:$G$405="")+(職員マスタ!$G$6:$G$405&lt;=EOMONTH($AO1814,0)))&gt;0)*(((職員マスタ!$H$6:$H$405="")+(職員マスタ!$H$6:$H$405&gt;=$AO1814))&gt;0)*(ROW(職員マスタ!$A$6:$A$405)-5)))&gt;0,SUMPRODUCT(MAX((職員マスタ!$A$6:$A$405=$B1814)*(((職員マスタ!$G$6:$G$405="")+(職員マスタ!$G$6:$G$405&lt;=EOMONTH($AO1814,0)))&gt;0)*(((職員マスタ!$H$6:$H$405="")+(職員マスタ!$H$6:$H$405&gt;=$AO1814))&gt;0)*(ROW(職員マスタ!$A$6:$A$405)-5))),IFERROR(MATCH($B1814,職員マスタ!$A$6:$A$405,0),"")))</f>
        <v/>
      </c>
      <c r="AO1814" s="16">
        <f>IF(OR($B1814="",$C1814="",$D1814=""),"",DATE($C1814+2018,$D1814,1))</f>
        <v/>
      </c>
    </row>
    <row r="1815">
      <c r="A1815" s="11" t="n"/>
      <c r="B1815" s="12" t="n"/>
      <c r="C1815" s="12" t="n"/>
      <c r="D1815" s="12" t="n"/>
      <c r="E1815" s="13" t="n"/>
      <c r="F1815" s="12" t="n"/>
      <c r="G1815" s="13" t="n"/>
      <c r="H1815" s="12" t="n"/>
      <c r="I1815" s="12" t="n"/>
      <c r="J1815" s="12" t="n"/>
      <c r="K1815" s="12" t="n"/>
      <c r="L1815" s="11" t="n"/>
      <c r="M1815" s="11" t="n"/>
      <c r="N1815" s="11" t="n"/>
      <c r="O1815" s="11" t="n"/>
      <c r="P1815" s="12" t="n"/>
      <c r="Q1815" s="11" t="n"/>
      <c r="R1815" s="12" t="n"/>
      <c r="S1815" s="11" t="n"/>
      <c r="T1815" s="12" t="n"/>
      <c r="U1815" s="12" t="n"/>
      <c r="V1815" s="14">
        <f>IF($AN1815="",IF($B1815="","",$H1815),IF(INDEX(職員マスタ!$B$6:$B$405,$AN1815)="",$H1815,INDEX(職員マスタ!$B$6:$B$405,$AN1815)))</f>
        <v/>
      </c>
      <c r="W1815" s="14">
        <f>IF($AN1815="",IF($B1815="","",$R1815),IF(INDEX(職員マスタ!$C$6:$C$405,$AN1815)="",$R1815,INDEX(職員マスタ!$C$6:$C$405,$AN1815)))</f>
        <v/>
      </c>
      <c r="X1815" s="14">
        <f>IF($AO1815="","","R"&amp;$C1815&amp;"."&amp;$D1815)</f>
        <v/>
      </c>
      <c r="Y1815" s="15">
        <f>IF($AN1815="","",IF(INDEX(職員マスタ!$K$6:$K$405,$AN1815)="","",INDEX(職員マスタ!$K$6:$K$405,$AN1815)))</f>
        <v/>
      </c>
      <c r="Z1815" s="14">
        <f>IF(OR($E1815="",$Y1815=""),"",IF($E1815&gt;=$Y1815,"×",IF($E1815&gt;=$Y1815*設定!$C$5,"△","○")))</f>
        <v/>
      </c>
      <c r="AA1815" s="15">
        <f>IF($Z1815="","",IF($Z1815="×",0,IF($Z1815="○",ROUNDDOWN($E1815*設定!$C$4,0),ROUNDDOWN($E1815*ROUND((9*$Y1815-9*$E1815)/(10*$E1815),4),0))))</f>
        <v/>
      </c>
      <c r="AB1815" s="13" t="n"/>
      <c r="AC1815" s="15">
        <f>IF($B1815="","",IF($AB1815&lt;&gt;"",$AB1815,IF($AA1815="","",IF($AA1815&lt;=設定!$C$3,0,$AA1815))))</f>
        <v/>
      </c>
      <c r="AD1815" s="14">
        <f>IF($B1815="","",IF(AND($AE1815&lt;&gt;"",$AG1815="",$AJ1815=""),"保留中",IF($AJ1815&lt;&gt;"",IF(N($AC1815)&gt;0,"支給済","不支給"),IF($AC1815="","要確認",IF($AC1815=0,"不支給","未処理")))))</f>
        <v/>
      </c>
      <c r="AE1815" s="12" t="n"/>
      <c r="AF1815" s="11" t="n"/>
      <c r="AG1815" s="11" t="n"/>
      <c r="AH1815" s="11" t="n"/>
      <c r="AI1815" s="14">
        <f>IF(AND($AD1815="保留中",$AF1815&lt;&gt;""),TODAY()-$AF1815,"")</f>
        <v/>
      </c>
      <c r="AJ1815" s="12" t="n"/>
      <c r="AK1815" s="14">
        <f>IF($B1815="","",IF($AO1815="","対象年月が未入力／","")&amp;IF($B1815="","",IF($AN1815="","職員マスタに未登録の職員番号／",IF($Y1815="","標準報酬月額が未登録／","")&amp;IF(AND($AO1815&lt;&gt;"",OR(AND(INDEX(職員マスタ!$G$6:$G$405,$AN1815)&lt;&gt;"",INDEX(職員マスタ!$G$6:$G$405,$AN1815)&gt;EOMONTH($AO1815,0)),AND(INDEX(職員マスタ!$H$6:$H$405,$AN1815)&lt;&gt;"",INDEX(職員マスタ!$H$6:$H$405,$AN1815)&lt;$AO1815))),"対象月が時短期間外／","")&amp;IF(AND(INDEX(職員マスタ!$F$6:$F$405,$AN1815)&lt;&gt;"",$AO1815&lt;&gt;"",INDEX(職員マスタ!$F$6:$F$405,$AN1815)&lt;$AO1815),"対象月に子が2歳到達済／","")&amp;IF(AND($H1815&lt;&gt;"",INDEX(職員マスタ!$B$6:$B$405,$AN1815)&lt;&gt;"",SUBSTITUTE(SUBSTITUTE($H1815," ","")," ","")&lt;&gt;SUBSTITUTE(SUBSTITUTE(INDEX(職員マスタ!$B$6:$B$405,$AN1815)," ","")," ","")),"氏名がマスタと相違／","")&amp;IF(AND($Q1815&lt;&gt;"",INDEX(職員マスタ!$E$6:$E$405,$AN1815)&lt;&gt;"",$Q1815&lt;&gt;INDEX(職員マスタ!$E$6:$E$405,$AN1815)),"子の生年月日がマスタと相違／","")&amp;IF(AND($L1815&lt;&gt;"",INDEX(職員マスタ!$G$6:$G$405,$AN1815)&lt;&gt;"",$L1815&lt;&gt;INDEX(職員マスタ!$G$6:$G$405,$AN1815)),"時短開始日がマスタと相違／","")&amp;IF(AND($M1815&lt;&gt;"",INDEX(職員マスタ!$H$6:$H$405,$AN1815)&lt;&gt;"",$M1815&lt;&gt;INDEX(職員マスタ!$H$6:$H$405,$AN1815)),"時短終了日がマスタと相違／","")))&amp;IF(AND($B1815&lt;&gt;"",$E1815=""),"報酬額が未入力／","")&amp;IF(N($U1815)&gt;0,"申請書に入力エラーが残っています／","")&amp;IF(AND($B1815&lt;&gt;"",$AO1815&lt;&gt;""),IF(COUNTIFS($B$6:$B$3005,$B1815,$C$6:$C$3005,$C1815,$D$6:$D$3005,$D1815)&gt;1,"同じ月の請求が重複しています／",""),"")&amp;IF(AND(N($E1815)&gt;0,$Z1815&lt;&gt;"",$Z1815&lt;&gt;"×",$AC1815=0,$AB1815=""),"計算額が下限以下のため不支給／",""))</f>
        <v/>
      </c>
      <c r="AL1815" s="12" t="n"/>
      <c r="AM1815" s="14">
        <f>IF($AD1815="保留中",COUNTIF($AD$6:$AD1815,"保留中"),"")</f>
        <v/>
      </c>
      <c r="AN1815" s="14">
        <f>IF($AO1815="","",IF(SUMPRODUCT(MAX((職員マスタ!$A$6:$A$405=$B1815)*(((職員マスタ!$G$6:$G$405="")+(職員マスタ!$G$6:$G$405&lt;=EOMONTH($AO1815,0)))&gt;0)*(((職員マスタ!$H$6:$H$405="")+(職員マスタ!$H$6:$H$405&gt;=$AO1815))&gt;0)*(ROW(職員マスタ!$A$6:$A$405)-5)))&gt;0,SUMPRODUCT(MAX((職員マスタ!$A$6:$A$405=$B1815)*(((職員マスタ!$G$6:$G$405="")+(職員マスタ!$G$6:$G$405&lt;=EOMONTH($AO1815,0)))&gt;0)*(((職員マスタ!$H$6:$H$405="")+(職員マスタ!$H$6:$H$405&gt;=$AO1815))&gt;0)*(ROW(職員マスタ!$A$6:$A$405)-5))),IFERROR(MATCH($B1815,職員マスタ!$A$6:$A$405,0),"")))</f>
        <v/>
      </c>
      <c r="AO1815" s="16">
        <f>IF(OR($B1815="",$C1815="",$D1815=""),"",DATE($C1815+2018,$D1815,1))</f>
        <v/>
      </c>
    </row>
    <row r="1816">
      <c r="A1816" s="11" t="n"/>
      <c r="B1816" s="12" t="n"/>
      <c r="C1816" s="12" t="n"/>
      <c r="D1816" s="12" t="n"/>
      <c r="E1816" s="13" t="n"/>
      <c r="F1816" s="12" t="n"/>
      <c r="G1816" s="13" t="n"/>
      <c r="H1816" s="12" t="n"/>
      <c r="I1816" s="12" t="n"/>
      <c r="J1816" s="12" t="n"/>
      <c r="K1816" s="12" t="n"/>
      <c r="L1816" s="11" t="n"/>
      <c r="M1816" s="11" t="n"/>
      <c r="N1816" s="11" t="n"/>
      <c r="O1816" s="11" t="n"/>
      <c r="P1816" s="12" t="n"/>
      <c r="Q1816" s="11" t="n"/>
      <c r="R1816" s="12" t="n"/>
      <c r="S1816" s="11" t="n"/>
      <c r="T1816" s="12" t="n"/>
      <c r="U1816" s="12" t="n"/>
      <c r="V1816" s="14">
        <f>IF($AN1816="",IF($B1816="","",$H1816),IF(INDEX(職員マスタ!$B$6:$B$405,$AN1816)="",$H1816,INDEX(職員マスタ!$B$6:$B$405,$AN1816)))</f>
        <v/>
      </c>
      <c r="W1816" s="14">
        <f>IF($AN1816="",IF($B1816="","",$R1816),IF(INDEX(職員マスタ!$C$6:$C$405,$AN1816)="",$R1816,INDEX(職員マスタ!$C$6:$C$405,$AN1816)))</f>
        <v/>
      </c>
      <c r="X1816" s="14">
        <f>IF($AO1816="","","R"&amp;$C1816&amp;"."&amp;$D1816)</f>
        <v/>
      </c>
      <c r="Y1816" s="15">
        <f>IF($AN1816="","",IF(INDEX(職員マスタ!$K$6:$K$405,$AN1816)="","",INDEX(職員マスタ!$K$6:$K$405,$AN1816)))</f>
        <v/>
      </c>
      <c r="Z1816" s="14">
        <f>IF(OR($E1816="",$Y1816=""),"",IF($E1816&gt;=$Y1816,"×",IF($E1816&gt;=$Y1816*設定!$C$5,"△","○")))</f>
        <v/>
      </c>
      <c r="AA1816" s="15">
        <f>IF($Z1816="","",IF($Z1816="×",0,IF($Z1816="○",ROUNDDOWN($E1816*設定!$C$4,0),ROUNDDOWN($E1816*ROUND((9*$Y1816-9*$E1816)/(10*$E1816),4),0))))</f>
        <v/>
      </c>
      <c r="AB1816" s="13" t="n"/>
      <c r="AC1816" s="15">
        <f>IF($B1816="","",IF($AB1816&lt;&gt;"",$AB1816,IF($AA1816="","",IF($AA1816&lt;=設定!$C$3,0,$AA1816))))</f>
        <v/>
      </c>
      <c r="AD1816" s="14">
        <f>IF($B1816="","",IF(AND($AE1816&lt;&gt;"",$AG1816="",$AJ1816=""),"保留中",IF($AJ1816&lt;&gt;"",IF(N($AC1816)&gt;0,"支給済","不支給"),IF($AC1816="","要確認",IF($AC1816=0,"不支給","未処理")))))</f>
        <v/>
      </c>
      <c r="AE1816" s="12" t="n"/>
      <c r="AF1816" s="11" t="n"/>
      <c r="AG1816" s="11" t="n"/>
      <c r="AH1816" s="11" t="n"/>
      <c r="AI1816" s="14">
        <f>IF(AND($AD1816="保留中",$AF1816&lt;&gt;""),TODAY()-$AF1816,"")</f>
        <v/>
      </c>
      <c r="AJ1816" s="12" t="n"/>
      <c r="AK1816" s="14">
        <f>IF($B1816="","",IF($AO1816="","対象年月が未入力／","")&amp;IF($B1816="","",IF($AN1816="","職員マスタに未登録の職員番号／",IF($Y1816="","標準報酬月額が未登録／","")&amp;IF(AND($AO1816&lt;&gt;"",OR(AND(INDEX(職員マスタ!$G$6:$G$405,$AN1816)&lt;&gt;"",INDEX(職員マスタ!$G$6:$G$405,$AN1816)&gt;EOMONTH($AO1816,0)),AND(INDEX(職員マスタ!$H$6:$H$405,$AN1816)&lt;&gt;"",INDEX(職員マスタ!$H$6:$H$405,$AN1816)&lt;$AO1816))),"対象月が時短期間外／","")&amp;IF(AND(INDEX(職員マスタ!$F$6:$F$405,$AN1816)&lt;&gt;"",$AO1816&lt;&gt;"",INDEX(職員マスタ!$F$6:$F$405,$AN1816)&lt;$AO1816),"対象月に子が2歳到達済／","")&amp;IF(AND($H1816&lt;&gt;"",INDEX(職員マスタ!$B$6:$B$405,$AN1816)&lt;&gt;"",SUBSTITUTE(SUBSTITUTE($H1816," ","")," ","")&lt;&gt;SUBSTITUTE(SUBSTITUTE(INDEX(職員マスタ!$B$6:$B$405,$AN1816)," ","")," ","")),"氏名がマスタと相違／","")&amp;IF(AND($Q1816&lt;&gt;"",INDEX(職員マスタ!$E$6:$E$405,$AN1816)&lt;&gt;"",$Q1816&lt;&gt;INDEX(職員マスタ!$E$6:$E$405,$AN1816)),"子の生年月日がマスタと相違／","")&amp;IF(AND($L1816&lt;&gt;"",INDEX(職員マスタ!$G$6:$G$405,$AN1816)&lt;&gt;"",$L1816&lt;&gt;INDEX(職員マスタ!$G$6:$G$405,$AN1816)),"時短開始日がマスタと相違／","")&amp;IF(AND($M1816&lt;&gt;"",INDEX(職員マスタ!$H$6:$H$405,$AN1816)&lt;&gt;"",$M1816&lt;&gt;INDEX(職員マスタ!$H$6:$H$405,$AN1816)),"時短終了日がマスタと相違／","")))&amp;IF(AND($B1816&lt;&gt;"",$E1816=""),"報酬額が未入力／","")&amp;IF(N($U1816)&gt;0,"申請書に入力エラーが残っています／","")&amp;IF(AND($B1816&lt;&gt;"",$AO1816&lt;&gt;""),IF(COUNTIFS($B$6:$B$3005,$B1816,$C$6:$C$3005,$C1816,$D$6:$D$3005,$D1816)&gt;1,"同じ月の請求が重複しています／",""),"")&amp;IF(AND(N($E1816)&gt;0,$Z1816&lt;&gt;"",$Z1816&lt;&gt;"×",$AC1816=0,$AB1816=""),"計算額が下限以下のため不支給／",""))</f>
        <v/>
      </c>
      <c r="AL1816" s="12" t="n"/>
      <c r="AM1816" s="14">
        <f>IF($AD1816="保留中",COUNTIF($AD$6:$AD1816,"保留中"),"")</f>
        <v/>
      </c>
      <c r="AN1816" s="14">
        <f>IF($AO1816="","",IF(SUMPRODUCT(MAX((職員マスタ!$A$6:$A$405=$B1816)*(((職員マスタ!$G$6:$G$405="")+(職員マスタ!$G$6:$G$405&lt;=EOMONTH($AO1816,0)))&gt;0)*(((職員マスタ!$H$6:$H$405="")+(職員マスタ!$H$6:$H$405&gt;=$AO1816))&gt;0)*(ROW(職員マスタ!$A$6:$A$405)-5)))&gt;0,SUMPRODUCT(MAX((職員マスタ!$A$6:$A$405=$B1816)*(((職員マスタ!$G$6:$G$405="")+(職員マスタ!$G$6:$G$405&lt;=EOMONTH($AO1816,0)))&gt;0)*(((職員マスタ!$H$6:$H$405="")+(職員マスタ!$H$6:$H$405&gt;=$AO1816))&gt;0)*(ROW(職員マスタ!$A$6:$A$405)-5))),IFERROR(MATCH($B1816,職員マスタ!$A$6:$A$405,0),"")))</f>
        <v/>
      </c>
      <c r="AO1816" s="16">
        <f>IF(OR($B1816="",$C1816="",$D1816=""),"",DATE($C1816+2018,$D1816,1))</f>
        <v/>
      </c>
    </row>
    <row r="1817">
      <c r="A1817" s="11" t="n"/>
      <c r="B1817" s="12" t="n"/>
      <c r="C1817" s="12" t="n"/>
      <c r="D1817" s="12" t="n"/>
      <c r="E1817" s="13" t="n"/>
      <c r="F1817" s="12" t="n"/>
      <c r="G1817" s="13" t="n"/>
      <c r="H1817" s="12" t="n"/>
      <c r="I1817" s="12" t="n"/>
      <c r="J1817" s="12" t="n"/>
      <c r="K1817" s="12" t="n"/>
      <c r="L1817" s="11" t="n"/>
      <c r="M1817" s="11" t="n"/>
      <c r="N1817" s="11" t="n"/>
      <c r="O1817" s="11" t="n"/>
      <c r="P1817" s="12" t="n"/>
      <c r="Q1817" s="11" t="n"/>
      <c r="R1817" s="12" t="n"/>
      <c r="S1817" s="11" t="n"/>
      <c r="T1817" s="12" t="n"/>
      <c r="U1817" s="12" t="n"/>
      <c r="V1817" s="14">
        <f>IF($AN1817="",IF($B1817="","",$H1817),IF(INDEX(職員マスタ!$B$6:$B$405,$AN1817)="",$H1817,INDEX(職員マスタ!$B$6:$B$405,$AN1817)))</f>
        <v/>
      </c>
      <c r="W1817" s="14">
        <f>IF($AN1817="",IF($B1817="","",$R1817),IF(INDEX(職員マスタ!$C$6:$C$405,$AN1817)="",$R1817,INDEX(職員マスタ!$C$6:$C$405,$AN1817)))</f>
        <v/>
      </c>
      <c r="X1817" s="14">
        <f>IF($AO1817="","","R"&amp;$C1817&amp;"."&amp;$D1817)</f>
        <v/>
      </c>
      <c r="Y1817" s="15">
        <f>IF($AN1817="","",IF(INDEX(職員マスタ!$K$6:$K$405,$AN1817)="","",INDEX(職員マスタ!$K$6:$K$405,$AN1817)))</f>
        <v/>
      </c>
      <c r="Z1817" s="14">
        <f>IF(OR($E1817="",$Y1817=""),"",IF($E1817&gt;=$Y1817,"×",IF($E1817&gt;=$Y1817*設定!$C$5,"△","○")))</f>
        <v/>
      </c>
      <c r="AA1817" s="15">
        <f>IF($Z1817="","",IF($Z1817="×",0,IF($Z1817="○",ROUNDDOWN($E1817*設定!$C$4,0),ROUNDDOWN($E1817*ROUND((9*$Y1817-9*$E1817)/(10*$E1817),4),0))))</f>
        <v/>
      </c>
      <c r="AB1817" s="13" t="n"/>
      <c r="AC1817" s="15">
        <f>IF($B1817="","",IF($AB1817&lt;&gt;"",$AB1817,IF($AA1817="","",IF($AA1817&lt;=設定!$C$3,0,$AA1817))))</f>
        <v/>
      </c>
      <c r="AD1817" s="14">
        <f>IF($B1817="","",IF(AND($AE1817&lt;&gt;"",$AG1817="",$AJ1817=""),"保留中",IF($AJ1817&lt;&gt;"",IF(N($AC1817)&gt;0,"支給済","不支給"),IF($AC1817="","要確認",IF($AC1817=0,"不支給","未処理")))))</f>
        <v/>
      </c>
      <c r="AE1817" s="12" t="n"/>
      <c r="AF1817" s="11" t="n"/>
      <c r="AG1817" s="11" t="n"/>
      <c r="AH1817" s="11" t="n"/>
      <c r="AI1817" s="14">
        <f>IF(AND($AD1817="保留中",$AF1817&lt;&gt;""),TODAY()-$AF1817,"")</f>
        <v/>
      </c>
      <c r="AJ1817" s="12" t="n"/>
      <c r="AK1817" s="14">
        <f>IF($B1817="","",IF($AO1817="","対象年月が未入力／","")&amp;IF($B1817="","",IF($AN1817="","職員マスタに未登録の職員番号／",IF($Y1817="","標準報酬月額が未登録／","")&amp;IF(AND($AO1817&lt;&gt;"",OR(AND(INDEX(職員マスタ!$G$6:$G$405,$AN1817)&lt;&gt;"",INDEX(職員マスタ!$G$6:$G$405,$AN1817)&gt;EOMONTH($AO1817,0)),AND(INDEX(職員マスタ!$H$6:$H$405,$AN1817)&lt;&gt;"",INDEX(職員マスタ!$H$6:$H$405,$AN1817)&lt;$AO1817))),"対象月が時短期間外／","")&amp;IF(AND(INDEX(職員マスタ!$F$6:$F$405,$AN1817)&lt;&gt;"",$AO1817&lt;&gt;"",INDEX(職員マスタ!$F$6:$F$405,$AN1817)&lt;$AO1817),"対象月に子が2歳到達済／","")&amp;IF(AND($H1817&lt;&gt;"",INDEX(職員マスタ!$B$6:$B$405,$AN1817)&lt;&gt;"",SUBSTITUTE(SUBSTITUTE($H1817," ","")," ","")&lt;&gt;SUBSTITUTE(SUBSTITUTE(INDEX(職員マスタ!$B$6:$B$405,$AN1817)," ","")," ","")),"氏名がマスタと相違／","")&amp;IF(AND($Q1817&lt;&gt;"",INDEX(職員マスタ!$E$6:$E$405,$AN1817)&lt;&gt;"",$Q1817&lt;&gt;INDEX(職員マスタ!$E$6:$E$405,$AN1817)),"子の生年月日がマスタと相違／","")&amp;IF(AND($L1817&lt;&gt;"",INDEX(職員マスタ!$G$6:$G$405,$AN1817)&lt;&gt;"",$L1817&lt;&gt;INDEX(職員マスタ!$G$6:$G$405,$AN1817)),"時短開始日がマスタと相違／","")&amp;IF(AND($M1817&lt;&gt;"",INDEX(職員マスタ!$H$6:$H$405,$AN1817)&lt;&gt;"",$M1817&lt;&gt;INDEX(職員マスタ!$H$6:$H$405,$AN1817)),"時短終了日がマスタと相違／","")))&amp;IF(AND($B1817&lt;&gt;"",$E1817=""),"報酬額が未入力／","")&amp;IF(N($U1817)&gt;0,"申請書に入力エラーが残っています／","")&amp;IF(AND($B1817&lt;&gt;"",$AO1817&lt;&gt;""),IF(COUNTIFS($B$6:$B$3005,$B1817,$C$6:$C$3005,$C1817,$D$6:$D$3005,$D1817)&gt;1,"同じ月の請求が重複しています／",""),"")&amp;IF(AND(N($E1817)&gt;0,$Z1817&lt;&gt;"",$Z1817&lt;&gt;"×",$AC1817=0,$AB1817=""),"計算額が下限以下のため不支給／",""))</f>
        <v/>
      </c>
      <c r="AL1817" s="12" t="n"/>
      <c r="AM1817" s="14">
        <f>IF($AD1817="保留中",COUNTIF($AD$6:$AD1817,"保留中"),"")</f>
        <v/>
      </c>
      <c r="AN1817" s="14">
        <f>IF($AO1817="","",IF(SUMPRODUCT(MAX((職員マスタ!$A$6:$A$405=$B1817)*(((職員マスタ!$G$6:$G$405="")+(職員マスタ!$G$6:$G$405&lt;=EOMONTH($AO1817,0)))&gt;0)*(((職員マスタ!$H$6:$H$405="")+(職員マスタ!$H$6:$H$405&gt;=$AO1817))&gt;0)*(ROW(職員マスタ!$A$6:$A$405)-5)))&gt;0,SUMPRODUCT(MAX((職員マスタ!$A$6:$A$405=$B1817)*(((職員マスタ!$G$6:$G$405="")+(職員マスタ!$G$6:$G$405&lt;=EOMONTH($AO1817,0)))&gt;0)*(((職員マスタ!$H$6:$H$405="")+(職員マスタ!$H$6:$H$405&gt;=$AO1817))&gt;0)*(ROW(職員マスタ!$A$6:$A$405)-5))),IFERROR(MATCH($B1817,職員マスタ!$A$6:$A$405,0),"")))</f>
        <v/>
      </c>
      <c r="AO1817" s="16">
        <f>IF(OR($B1817="",$C1817="",$D1817=""),"",DATE($C1817+2018,$D1817,1))</f>
        <v/>
      </c>
    </row>
    <row r="1818">
      <c r="A1818" s="11" t="n"/>
      <c r="B1818" s="12" t="n"/>
      <c r="C1818" s="12" t="n"/>
      <c r="D1818" s="12" t="n"/>
      <c r="E1818" s="13" t="n"/>
      <c r="F1818" s="12" t="n"/>
      <c r="G1818" s="13" t="n"/>
      <c r="H1818" s="12" t="n"/>
      <c r="I1818" s="12" t="n"/>
      <c r="J1818" s="12" t="n"/>
      <c r="K1818" s="12" t="n"/>
      <c r="L1818" s="11" t="n"/>
      <c r="M1818" s="11" t="n"/>
      <c r="N1818" s="11" t="n"/>
      <c r="O1818" s="11" t="n"/>
      <c r="P1818" s="12" t="n"/>
      <c r="Q1818" s="11" t="n"/>
      <c r="R1818" s="12" t="n"/>
      <c r="S1818" s="11" t="n"/>
      <c r="T1818" s="12" t="n"/>
      <c r="U1818" s="12" t="n"/>
      <c r="V1818" s="14">
        <f>IF($AN1818="",IF($B1818="","",$H1818),IF(INDEX(職員マスタ!$B$6:$B$405,$AN1818)="",$H1818,INDEX(職員マスタ!$B$6:$B$405,$AN1818)))</f>
        <v/>
      </c>
      <c r="W1818" s="14">
        <f>IF($AN1818="",IF($B1818="","",$R1818),IF(INDEX(職員マスタ!$C$6:$C$405,$AN1818)="",$R1818,INDEX(職員マスタ!$C$6:$C$405,$AN1818)))</f>
        <v/>
      </c>
      <c r="X1818" s="14">
        <f>IF($AO1818="","","R"&amp;$C1818&amp;"."&amp;$D1818)</f>
        <v/>
      </c>
      <c r="Y1818" s="15">
        <f>IF($AN1818="","",IF(INDEX(職員マスタ!$K$6:$K$405,$AN1818)="","",INDEX(職員マスタ!$K$6:$K$405,$AN1818)))</f>
        <v/>
      </c>
      <c r="Z1818" s="14">
        <f>IF(OR($E1818="",$Y1818=""),"",IF($E1818&gt;=$Y1818,"×",IF($E1818&gt;=$Y1818*設定!$C$5,"△","○")))</f>
        <v/>
      </c>
      <c r="AA1818" s="15">
        <f>IF($Z1818="","",IF($Z1818="×",0,IF($Z1818="○",ROUNDDOWN($E1818*設定!$C$4,0),ROUNDDOWN($E1818*ROUND((9*$Y1818-9*$E1818)/(10*$E1818),4),0))))</f>
        <v/>
      </c>
      <c r="AB1818" s="13" t="n"/>
      <c r="AC1818" s="15">
        <f>IF($B1818="","",IF($AB1818&lt;&gt;"",$AB1818,IF($AA1818="","",IF($AA1818&lt;=設定!$C$3,0,$AA1818))))</f>
        <v/>
      </c>
      <c r="AD1818" s="14">
        <f>IF($B1818="","",IF(AND($AE1818&lt;&gt;"",$AG1818="",$AJ1818=""),"保留中",IF($AJ1818&lt;&gt;"",IF(N($AC1818)&gt;0,"支給済","不支給"),IF($AC1818="","要確認",IF($AC1818=0,"不支給","未処理")))))</f>
        <v/>
      </c>
      <c r="AE1818" s="12" t="n"/>
      <c r="AF1818" s="11" t="n"/>
      <c r="AG1818" s="11" t="n"/>
      <c r="AH1818" s="11" t="n"/>
      <c r="AI1818" s="14">
        <f>IF(AND($AD1818="保留中",$AF1818&lt;&gt;""),TODAY()-$AF1818,"")</f>
        <v/>
      </c>
      <c r="AJ1818" s="12" t="n"/>
      <c r="AK1818" s="14">
        <f>IF($B1818="","",IF($AO1818="","対象年月が未入力／","")&amp;IF($B1818="","",IF($AN1818="","職員マスタに未登録の職員番号／",IF($Y1818="","標準報酬月額が未登録／","")&amp;IF(AND($AO1818&lt;&gt;"",OR(AND(INDEX(職員マスタ!$G$6:$G$405,$AN1818)&lt;&gt;"",INDEX(職員マスタ!$G$6:$G$405,$AN1818)&gt;EOMONTH($AO1818,0)),AND(INDEX(職員マスタ!$H$6:$H$405,$AN1818)&lt;&gt;"",INDEX(職員マスタ!$H$6:$H$405,$AN1818)&lt;$AO1818))),"対象月が時短期間外／","")&amp;IF(AND(INDEX(職員マスタ!$F$6:$F$405,$AN1818)&lt;&gt;"",$AO1818&lt;&gt;"",INDEX(職員マスタ!$F$6:$F$405,$AN1818)&lt;$AO1818),"対象月に子が2歳到達済／","")&amp;IF(AND($H1818&lt;&gt;"",INDEX(職員マスタ!$B$6:$B$405,$AN1818)&lt;&gt;"",SUBSTITUTE(SUBSTITUTE($H1818," ","")," ","")&lt;&gt;SUBSTITUTE(SUBSTITUTE(INDEX(職員マスタ!$B$6:$B$405,$AN1818)," ","")," ","")),"氏名がマスタと相違／","")&amp;IF(AND($Q1818&lt;&gt;"",INDEX(職員マスタ!$E$6:$E$405,$AN1818)&lt;&gt;"",$Q1818&lt;&gt;INDEX(職員マスタ!$E$6:$E$405,$AN1818)),"子の生年月日がマスタと相違／","")&amp;IF(AND($L1818&lt;&gt;"",INDEX(職員マスタ!$G$6:$G$405,$AN1818)&lt;&gt;"",$L1818&lt;&gt;INDEX(職員マスタ!$G$6:$G$405,$AN1818)),"時短開始日がマスタと相違／","")&amp;IF(AND($M1818&lt;&gt;"",INDEX(職員マスタ!$H$6:$H$405,$AN1818)&lt;&gt;"",$M1818&lt;&gt;INDEX(職員マスタ!$H$6:$H$405,$AN1818)),"時短終了日がマスタと相違／","")))&amp;IF(AND($B1818&lt;&gt;"",$E1818=""),"報酬額が未入力／","")&amp;IF(N($U1818)&gt;0,"申請書に入力エラーが残っています／","")&amp;IF(AND($B1818&lt;&gt;"",$AO1818&lt;&gt;""),IF(COUNTIFS($B$6:$B$3005,$B1818,$C$6:$C$3005,$C1818,$D$6:$D$3005,$D1818)&gt;1,"同じ月の請求が重複しています／",""),"")&amp;IF(AND(N($E1818)&gt;0,$Z1818&lt;&gt;"",$Z1818&lt;&gt;"×",$AC1818=0,$AB1818=""),"計算額が下限以下のため不支給／",""))</f>
        <v/>
      </c>
      <c r="AL1818" s="12" t="n"/>
      <c r="AM1818" s="14">
        <f>IF($AD1818="保留中",COUNTIF($AD$6:$AD1818,"保留中"),"")</f>
        <v/>
      </c>
      <c r="AN1818" s="14">
        <f>IF($AO1818="","",IF(SUMPRODUCT(MAX((職員マスタ!$A$6:$A$405=$B1818)*(((職員マスタ!$G$6:$G$405="")+(職員マスタ!$G$6:$G$405&lt;=EOMONTH($AO1818,0)))&gt;0)*(((職員マスタ!$H$6:$H$405="")+(職員マスタ!$H$6:$H$405&gt;=$AO1818))&gt;0)*(ROW(職員マスタ!$A$6:$A$405)-5)))&gt;0,SUMPRODUCT(MAX((職員マスタ!$A$6:$A$405=$B1818)*(((職員マスタ!$G$6:$G$405="")+(職員マスタ!$G$6:$G$405&lt;=EOMONTH($AO1818,0)))&gt;0)*(((職員マスタ!$H$6:$H$405="")+(職員マスタ!$H$6:$H$405&gt;=$AO1818))&gt;0)*(ROW(職員マスタ!$A$6:$A$405)-5))),IFERROR(MATCH($B1818,職員マスタ!$A$6:$A$405,0),"")))</f>
        <v/>
      </c>
      <c r="AO1818" s="16">
        <f>IF(OR($B1818="",$C1818="",$D1818=""),"",DATE($C1818+2018,$D1818,1))</f>
        <v/>
      </c>
    </row>
    <row r="1819">
      <c r="A1819" s="11" t="n"/>
      <c r="B1819" s="12" t="n"/>
      <c r="C1819" s="12" t="n"/>
      <c r="D1819" s="12" t="n"/>
      <c r="E1819" s="13" t="n"/>
      <c r="F1819" s="12" t="n"/>
      <c r="G1819" s="13" t="n"/>
      <c r="H1819" s="12" t="n"/>
      <c r="I1819" s="12" t="n"/>
      <c r="J1819" s="12" t="n"/>
      <c r="K1819" s="12" t="n"/>
      <c r="L1819" s="11" t="n"/>
      <c r="M1819" s="11" t="n"/>
      <c r="N1819" s="11" t="n"/>
      <c r="O1819" s="11" t="n"/>
      <c r="P1819" s="12" t="n"/>
      <c r="Q1819" s="11" t="n"/>
      <c r="R1819" s="12" t="n"/>
      <c r="S1819" s="11" t="n"/>
      <c r="T1819" s="12" t="n"/>
      <c r="U1819" s="12" t="n"/>
      <c r="V1819" s="14">
        <f>IF($AN1819="",IF($B1819="","",$H1819),IF(INDEX(職員マスタ!$B$6:$B$405,$AN1819)="",$H1819,INDEX(職員マスタ!$B$6:$B$405,$AN1819)))</f>
        <v/>
      </c>
      <c r="W1819" s="14">
        <f>IF($AN1819="",IF($B1819="","",$R1819),IF(INDEX(職員マスタ!$C$6:$C$405,$AN1819)="",$R1819,INDEX(職員マスタ!$C$6:$C$405,$AN1819)))</f>
        <v/>
      </c>
      <c r="X1819" s="14">
        <f>IF($AO1819="","","R"&amp;$C1819&amp;"."&amp;$D1819)</f>
        <v/>
      </c>
      <c r="Y1819" s="15">
        <f>IF($AN1819="","",IF(INDEX(職員マスタ!$K$6:$K$405,$AN1819)="","",INDEX(職員マスタ!$K$6:$K$405,$AN1819)))</f>
        <v/>
      </c>
      <c r="Z1819" s="14">
        <f>IF(OR($E1819="",$Y1819=""),"",IF($E1819&gt;=$Y1819,"×",IF($E1819&gt;=$Y1819*設定!$C$5,"△","○")))</f>
        <v/>
      </c>
      <c r="AA1819" s="15">
        <f>IF($Z1819="","",IF($Z1819="×",0,IF($Z1819="○",ROUNDDOWN($E1819*設定!$C$4,0),ROUNDDOWN($E1819*ROUND((9*$Y1819-9*$E1819)/(10*$E1819),4),0))))</f>
        <v/>
      </c>
      <c r="AB1819" s="13" t="n"/>
      <c r="AC1819" s="15">
        <f>IF($B1819="","",IF($AB1819&lt;&gt;"",$AB1819,IF($AA1819="","",IF($AA1819&lt;=設定!$C$3,0,$AA1819))))</f>
        <v/>
      </c>
      <c r="AD1819" s="14">
        <f>IF($B1819="","",IF(AND($AE1819&lt;&gt;"",$AG1819="",$AJ1819=""),"保留中",IF($AJ1819&lt;&gt;"",IF(N($AC1819)&gt;0,"支給済","不支給"),IF($AC1819="","要確認",IF($AC1819=0,"不支給","未処理")))))</f>
        <v/>
      </c>
      <c r="AE1819" s="12" t="n"/>
      <c r="AF1819" s="11" t="n"/>
      <c r="AG1819" s="11" t="n"/>
      <c r="AH1819" s="11" t="n"/>
      <c r="AI1819" s="14">
        <f>IF(AND($AD1819="保留中",$AF1819&lt;&gt;""),TODAY()-$AF1819,"")</f>
        <v/>
      </c>
      <c r="AJ1819" s="12" t="n"/>
      <c r="AK1819" s="14">
        <f>IF($B1819="","",IF($AO1819="","対象年月が未入力／","")&amp;IF($B1819="","",IF($AN1819="","職員マスタに未登録の職員番号／",IF($Y1819="","標準報酬月額が未登録／","")&amp;IF(AND($AO1819&lt;&gt;"",OR(AND(INDEX(職員マスタ!$G$6:$G$405,$AN1819)&lt;&gt;"",INDEX(職員マスタ!$G$6:$G$405,$AN1819)&gt;EOMONTH($AO1819,0)),AND(INDEX(職員マスタ!$H$6:$H$405,$AN1819)&lt;&gt;"",INDEX(職員マスタ!$H$6:$H$405,$AN1819)&lt;$AO1819))),"対象月が時短期間外／","")&amp;IF(AND(INDEX(職員マスタ!$F$6:$F$405,$AN1819)&lt;&gt;"",$AO1819&lt;&gt;"",INDEX(職員マスタ!$F$6:$F$405,$AN1819)&lt;$AO1819),"対象月に子が2歳到達済／","")&amp;IF(AND($H1819&lt;&gt;"",INDEX(職員マスタ!$B$6:$B$405,$AN1819)&lt;&gt;"",SUBSTITUTE(SUBSTITUTE($H1819," ","")," ","")&lt;&gt;SUBSTITUTE(SUBSTITUTE(INDEX(職員マスタ!$B$6:$B$405,$AN1819)," ","")," ","")),"氏名がマスタと相違／","")&amp;IF(AND($Q1819&lt;&gt;"",INDEX(職員マスタ!$E$6:$E$405,$AN1819)&lt;&gt;"",$Q1819&lt;&gt;INDEX(職員マスタ!$E$6:$E$405,$AN1819)),"子の生年月日がマスタと相違／","")&amp;IF(AND($L1819&lt;&gt;"",INDEX(職員マスタ!$G$6:$G$405,$AN1819)&lt;&gt;"",$L1819&lt;&gt;INDEX(職員マスタ!$G$6:$G$405,$AN1819)),"時短開始日がマスタと相違／","")&amp;IF(AND($M1819&lt;&gt;"",INDEX(職員マスタ!$H$6:$H$405,$AN1819)&lt;&gt;"",$M1819&lt;&gt;INDEX(職員マスタ!$H$6:$H$405,$AN1819)),"時短終了日がマスタと相違／","")))&amp;IF(AND($B1819&lt;&gt;"",$E1819=""),"報酬額が未入力／","")&amp;IF(N($U1819)&gt;0,"申請書に入力エラーが残っています／","")&amp;IF(AND($B1819&lt;&gt;"",$AO1819&lt;&gt;""),IF(COUNTIFS($B$6:$B$3005,$B1819,$C$6:$C$3005,$C1819,$D$6:$D$3005,$D1819)&gt;1,"同じ月の請求が重複しています／",""),"")&amp;IF(AND(N($E1819)&gt;0,$Z1819&lt;&gt;"",$Z1819&lt;&gt;"×",$AC1819=0,$AB1819=""),"計算額が下限以下のため不支給／",""))</f>
        <v/>
      </c>
      <c r="AL1819" s="12" t="n"/>
      <c r="AM1819" s="14">
        <f>IF($AD1819="保留中",COUNTIF($AD$6:$AD1819,"保留中"),"")</f>
        <v/>
      </c>
      <c r="AN1819" s="14">
        <f>IF($AO1819="","",IF(SUMPRODUCT(MAX((職員マスタ!$A$6:$A$405=$B1819)*(((職員マスタ!$G$6:$G$405="")+(職員マスタ!$G$6:$G$405&lt;=EOMONTH($AO1819,0)))&gt;0)*(((職員マスタ!$H$6:$H$405="")+(職員マスタ!$H$6:$H$405&gt;=$AO1819))&gt;0)*(ROW(職員マスタ!$A$6:$A$405)-5)))&gt;0,SUMPRODUCT(MAX((職員マスタ!$A$6:$A$405=$B1819)*(((職員マスタ!$G$6:$G$405="")+(職員マスタ!$G$6:$G$405&lt;=EOMONTH($AO1819,0)))&gt;0)*(((職員マスタ!$H$6:$H$405="")+(職員マスタ!$H$6:$H$405&gt;=$AO1819))&gt;0)*(ROW(職員マスタ!$A$6:$A$405)-5))),IFERROR(MATCH($B1819,職員マスタ!$A$6:$A$405,0),"")))</f>
        <v/>
      </c>
      <c r="AO1819" s="16">
        <f>IF(OR($B1819="",$C1819="",$D1819=""),"",DATE($C1819+2018,$D1819,1))</f>
        <v/>
      </c>
    </row>
    <row r="1820">
      <c r="A1820" s="11" t="n"/>
      <c r="B1820" s="12" t="n"/>
      <c r="C1820" s="12" t="n"/>
      <c r="D1820" s="12" t="n"/>
      <c r="E1820" s="13" t="n"/>
      <c r="F1820" s="12" t="n"/>
      <c r="G1820" s="13" t="n"/>
      <c r="H1820" s="12" t="n"/>
      <c r="I1820" s="12" t="n"/>
      <c r="J1820" s="12" t="n"/>
      <c r="K1820" s="12" t="n"/>
      <c r="L1820" s="11" t="n"/>
      <c r="M1820" s="11" t="n"/>
      <c r="N1820" s="11" t="n"/>
      <c r="O1820" s="11" t="n"/>
      <c r="P1820" s="12" t="n"/>
      <c r="Q1820" s="11" t="n"/>
      <c r="R1820" s="12" t="n"/>
      <c r="S1820" s="11" t="n"/>
      <c r="T1820" s="12" t="n"/>
      <c r="U1820" s="12" t="n"/>
      <c r="V1820" s="14">
        <f>IF($AN1820="",IF($B1820="","",$H1820),IF(INDEX(職員マスタ!$B$6:$B$405,$AN1820)="",$H1820,INDEX(職員マスタ!$B$6:$B$405,$AN1820)))</f>
        <v/>
      </c>
      <c r="W1820" s="14">
        <f>IF($AN1820="",IF($B1820="","",$R1820),IF(INDEX(職員マスタ!$C$6:$C$405,$AN1820)="",$R1820,INDEX(職員マスタ!$C$6:$C$405,$AN1820)))</f>
        <v/>
      </c>
      <c r="X1820" s="14">
        <f>IF($AO1820="","","R"&amp;$C1820&amp;"."&amp;$D1820)</f>
        <v/>
      </c>
      <c r="Y1820" s="15">
        <f>IF($AN1820="","",IF(INDEX(職員マスタ!$K$6:$K$405,$AN1820)="","",INDEX(職員マスタ!$K$6:$K$405,$AN1820)))</f>
        <v/>
      </c>
      <c r="Z1820" s="14">
        <f>IF(OR($E1820="",$Y1820=""),"",IF($E1820&gt;=$Y1820,"×",IF($E1820&gt;=$Y1820*設定!$C$5,"△","○")))</f>
        <v/>
      </c>
      <c r="AA1820" s="15">
        <f>IF($Z1820="","",IF($Z1820="×",0,IF($Z1820="○",ROUNDDOWN($E1820*設定!$C$4,0),ROUNDDOWN($E1820*ROUND((9*$Y1820-9*$E1820)/(10*$E1820),4),0))))</f>
        <v/>
      </c>
      <c r="AB1820" s="13" t="n"/>
      <c r="AC1820" s="15">
        <f>IF($B1820="","",IF($AB1820&lt;&gt;"",$AB1820,IF($AA1820="","",IF($AA1820&lt;=設定!$C$3,0,$AA1820))))</f>
        <v/>
      </c>
      <c r="AD1820" s="14">
        <f>IF($B1820="","",IF(AND($AE1820&lt;&gt;"",$AG1820="",$AJ1820=""),"保留中",IF($AJ1820&lt;&gt;"",IF(N($AC1820)&gt;0,"支給済","不支給"),IF($AC1820="","要確認",IF($AC1820=0,"不支給","未処理")))))</f>
        <v/>
      </c>
      <c r="AE1820" s="12" t="n"/>
      <c r="AF1820" s="11" t="n"/>
      <c r="AG1820" s="11" t="n"/>
      <c r="AH1820" s="11" t="n"/>
      <c r="AI1820" s="14">
        <f>IF(AND($AD1820="保留中",$AF1820&lt;&gt;""),TODAY()-$AF1820,"")</f>
        <v/>
      </c>
      <c r="AJ1820" s="12" t="n"/>
      <c r="AK1820" s="14">
        <f>IF($B1820="","",IF($AO1820="","対象年月が未入力／","")&amp;IF($B1820="","",IF($AN1820="","職員マスタに未登録の職員番号／",IF($Y1820="","標準報酬月額が未登録／","")&amp;IF(AND($AO1820&lt;&gt;"",OR(AND(INDEX(職員マスタ!$G$6:$G$405,$AN1820)&lt;&gt;"",INDEX(職員マスタ!$G$6:$G$405,$AN1820)&gt;EOMONTH($AO1820,0)),AND(INDEX(職員マスタ!$H$6:$H$405,$AN1820)&lt;&gt;"",INDEX(職員マスタ!$H$6:$H$405,$AN1820)&lt;$AO1820))),"対象月が時短期間外／","")&amp;IF(AND(INDEX(職員マスタ!$F$6:$F$405,$AN1820)&lt;&gt;"",$AO1820&lt;&gt;"",INDEX(職員マスタ!$F$6:$F$405,$AN1820)&lt;$AO1820),"対象月に子が2歳到達済／","")&amp;IF(AND($H1820&lt;&gt;"",INDEX(職員マスタ!$B$6:$B$405,$AN1820)&lt;&gt;"",SUBSTITUTE(SUBSTITUTE($H1820," ","")," ","")&lt;&gt;SUBSTITUTE(SUBSTITUTE(INDEX(職員マスタ!$B$6:$B$405,$AN1820)," ","")," ","")),"氏名がマスタと相違／","")&amp;IF(AND($Q1820&lt;&gt;"",INDEX(職員マスタ!$E$6:$E$405,$AN1820)&lt;&gt;"",$Q1820&lt;&gt;INDEX(職員マスタ!$E$6:$E$405,$AN1820)),"子の生年月日がマスタと相違／","")&amp;IF(AND($L1820&lt;&gt;"",INDEX(職員マスタ!$G$6:$G$405,$AN1820)&lt;&gt;"",$L1820&lt;&gt;INDEX(職員マスタ!$G$6:$G$405,$AN1820)),"時短開始日がマスタと相違／","")&amp;IF(AND($M1820&lt;&gt;"",INDEX(職員マスタ!$H$6:$H$405,$AN1820)&lt;&gt;"",$M1820&lt;&gt;INDEX(職員マスタ!$H$6:$H$405,$AN1820)),"時短終了日がマスタと相違／","")))&amp;IF(AND($B1820&lt;&gt;"",$E1820=""),"報酬額が未入力／","")&amp;IF(N($U1820)&gt;0,"申請書に入力エラーが残っています／","")&amp;IF(AND($B1820&lt;&gt;"",$AO1820&lt;&gt;""),IF(COUNTIFS($B$6:$B$3005,$B1820,$C$6:$C$3005,$C1820,$D$6:$D$3005,$D1820)&gt;1,"同じ月の請求が重複しています／",""),"")&amp;IF(AND(N($E1820)&gt;0,$Z1820&lt;&gt;"",$Z1820&lt;&gt;"×",$AC1820=0,$AB1820=""),"計算額が下限以下のため不支給／",""))</f>
        <v/>
      </c>
      <c r="AL1820" s="12" t="n"/>
      <c r="AM1820" s="14">
        <f>IF($AD1820="保留中",COUNTIF($AD$6:$AD1820,"保留中"),"")</f>
        <v/>
      </c>
      <c r="AN1820" s="14">
        <f>IF($AO1820="","",IF(SUMPRODUCT(MAX((職員マスタ!$A$6:$A$405=$B1820)*(((職員マスタ!$G$6:$G$405="")+(職員マスタ!$G$6:$G$405&lt;=EOMONTH($AO1820,0)))&gt;0)*(((職員マスタ!$H$6:$H$405="")+(職員マスタ!$H$6:$H$405&gt;=$AO1820))&gt;0)*(ROW(職員マスタ!$A$6:$A$405)-5)))&gt;0,SUMPRODUCT(MAX((職員マスタ!$A$6:$A$405=$B1820)*(((職員マスタ!$G$6:$G$405="")+(職員マスタ!$G$6:$G$405&lt;=EOMONTH($AO1820,0)))&gt;0)*(((職員マスタ!$H$6:$H$405="")+(職員マスタ!$H$6:$H$405&gt;=$AO1820))&gt;0)*(ROW(職員マスタ!$A$6:$A$405)-5))),IFERROR(MATCH($B1820,職員マスタ!$A$6:$A$405,0),"")))</f>
        <v/>
      </c>
      <c r="AO1820" s="16">
        <f>IF(OR($B1820="",$C1820="",$D1820=""),"",DATE($C1820+2018,$D1820,1))</f>
        <v/>
      </c>
    </row>
    <row r="1821">
      <c r="A1821" s="11" t="n"/>
      <c r="B1821" s="12" t="n"/>
      <c r="C1821" s="12" t="n"/>
      <c r="D1821" s="12" t="n"/>
      <c r="E1821" s="13" t="n"/>
      <c r="F1821" s="12" t="n"/>
      <c r="G1821" s="13" t="n"/>
      <c r="H1821" s="12" t="n"/>
      <c r="I1821" s="12" t="n"/>
      <c r="J1821" s="12" t="n"/>
      <c r="K1821" s="12" t="n"/>
      <c r="L1821" s="11" t="n"/>
      <c r="M1821" s="11" t="n"/>
      <c r="N1821" s="11" t="n"/>
      <c r="O1821" s="11" t="n"/>
      <c r="P1821" s="12" t="n"/>
      <c r="Q1821" s="11" t="n"/>
      <c r="R1821" s="12" t="n"/>
      <c r="S1821" s="11" t="n"/>
      <c r="T1821" s="12" t="n"/>
      <c r="U1821" s="12" t="n"/>
      <c r="V1821" s="14">
        <f>IF($AN1821="",IF($B1821="","",$H1821),IF(INDEX(職員マスタ!$B$6:$B$405,$AN1821)="",$H1821,INDEX(職員マスタ!$B$6:$B$405,$AN1821)))</f>
        <v/>
      </c>
      <c r="W1821" s="14">
        <f>IF($AN1821="",IF($B1821="","",$R1821),IF(INDEX(職員マスタ!$C$6:$C$405,$AN1821)="",$R1821,INDEX(職員マスタ!$C$6:$C$405,$AN1821)))</f>
        <v/>
      </c>
      <c r="X1821" s="14">
        <f>IF($AO1821="","","R"&amp;$C1821&amp;"."&amp;$D1821)</f>
        <v/>
      </c>
      <c r="Y1821" s="15">
        <f>IF($AN1821="","",IF(INDEX(職員マスタ!$K$6:$K$405,$AN1821)="","",INDEX(職員マスタ!$K$6:$K$405,$AN1821)))</f>
        <v/>
      </c>
      <c r="Z1821" s="14">
        <f>IF(OR($E1821="",$Y1821=""),"",IF($E1821&gt;=$Y1821,"×",IF($E1821&gt;=$Y1821*設定!$C$5,"△","○")))</f>
        <v/>
      </c>
      <c r="AA1821" s="15">
        <f>IF($Z1821="","",IF($Z1821="×",0,IF($Z1821="○",ROUNDDOWN($E1821*設定!$C$4,0),ROUNDDOWN($E1821*ROUND((9*$Y1821-9*$E1821)/(10*$E1821),4),0))))</f>
        <v/>
      </c>
      <c r="AB1821" s="13" t="n"/>
      <c r="AC1821" s="15">
        <f>IF($B1821="","",IF($AB1821&lt;&gt;"",$AB1821,IF($AA1821="","",IF($AA1821&lt;=設定!$C$3,0,$AA1821))))</f>
        <v/>
      </c>
      <c r="AD1821" s="14">
        <f>IF($B1821="","",IF(AND($AE1821&lt;&gt;"",$AG1821="",$AJ1821=""),"保留中",IF($AJ1821&lt;&gt;"",IF(N($AC1821)&gt;0,"支給済","不支給"),IF($AC1821="","要確認",IF($AC1821=0,"不支給","未処理")))))</f>
        <v/>
      </c>
      <c r="AE1821" s="12" t="n"/>
      <c r="AF1821" s="11" t="n"/>
      <c r="AG1821" s="11" t="n"/>
      <c r="AH1821" s="11" t="n"/>
      <c r="AI1821" s="14">
        <f>IF(AND($AD1821="保留中",$AF1821&lt;&gt;""),TODAY()-$AF1821,"")</f>
        <v/>
      </c>
      <c r="AJ1821" s="12" t="n"/>
      <c r="AK1821" s="14">
        <f>IF($B1821="","",IF($AO1821="","対象年月が未入力／","")&amp;IF($B1821="","",IF($AN1821="","職員マスタに未登録の職員番号／",IF($Y1821="","標準報酬月額が未登録／","")&amp;IF(AND($AO1821&lt;&gt;"",OR(AND(INDEX(職員マスタ!$G$6:$G$405,$AN1821)&lt;&gt;"",INDEX(職員マスタ!$G$6:$G$405,$AN1821)&gt;EOMONTH($AO1821,0)),AND(INDEX(職員マスタ!$H$6:$H$405,$AN1821)&lt;&gt;"",INDEX(職員マスタ!$H$6:$H$405,$AN1821)&lt;$AO1821))),"対象月が時短期間外／","")&amp;IF(AND(INDEX(職員マスタ!$F$6:$F$405,$AN1821)&lt;&gt;"",$AO1821&lt;&gt;"",INDEX(職員マスタ!$F$6:$F$405,$AN1821)&lt;$AO1821),"対象月に子が2歳到達済／","")&amp;IF(AND($H1821&lt;&gt;"",INDEX(職員マスタ!$B$6:$B$405,$AN1821)&lt;&gt;"",SUBSTITUTE(SUBSTITUTE($H1821," ","")," ","")&lt;&gt;SUBSTITUTE(SUBSTITUTE(INDEX(職員マスタ!$B$6:$B$405,$AN1821)," ","")," ","")),"氏名がマスタと相違／","")&amp;IF(AND($Q1821&lt;&gt;"",INDEX(職員マスタ!$E$6:$E$405,$AN1821)&lt;&gt;"",$Q1821&lt;&gt;INDEX(職員マスタ!$E$6:$E$405,$AN1821)),"子の生年月日がマスタと相違／","")&amp;IF(AND($L1821&lt;&gt;"",INDEX(職員マスタ!$G$6:$G$405,$AN1821)&lt;&gt;"",$L1821&lt;&gt;INDEX(職員マスタ!$G$6:$G$405,$AN1821)),"時短開始日がマスタと相違／","")&amp;IF(AND($M1821&lt;&gt;"",INDEX(職員マスタ!$H$6:$H$405,$AN1821)&lt;&gt;"",$M1821&lt;&gt;INDEX(職員マスタ!$H$6:$H$405,$AN1821)),"時短終了日がマスタと相違／","")))&amp;IF(AND($B1821&lt;&gt;"",$E1821=""),"報酬額が未入力／","")&amp;IF(N($U1821)&gt;0,"申請書に入力エラーが残っています／","")&amp;IF(AND($B1821&lt;&gt;"",$AO1821&lt;&gt;""),IF(COUNTIFS($B$6:$B$3005,$B1821,$C$6:$C$3005,$C1821,$D$6:$D$3005,$D1821)&gt;1,"同じ月の請求が重複しています／",""),"")&amp;IF(AND(N($E1821)&gt;0,$Z1821&lt;&gt;"",$Z1821&lt;&gt;"×",$AC1821=0,$AB1821=""),"計算額が下限以下のため不支給／",""))</f>
        <v/>
      </c>
      <c r="AL1821" s="12" t="n"/>
      <c r="AM1821" s="14">
        <f>IF($AD1821="保留中",COUNTIF($AD$6:$AD1821,"保留中"),"")</f>
        <v/>
      </c>
      <c r="AN1821" s="14">
        <f>IF($AO1821="","",IF(SUMPRODUCT(MAX((職員マスタ!$A$6:$A$405=$B1821)*(((職員マスタ!$G$6:$G$405="")+(職員マスタ!$G$6:$G$405&lt;=EOMONTH($AO1821,0)))&gt;0)*(((職員マスタ!$H$6:$H$405="")+(職員マスタ!$H$6:$H$405&gt;=$AO1821))&gt;0)*(ROW(職員マスタ!$A$6:$A$405)-5)))&gt;0,SUMPRODUCT(MAX((職員マスタ!$A$6:$A$405=$B1821)*(((職員マスタ!$G$6:$G$405="")+(職員マスタ!$G$6:$G$405&lt;=EOMONTH($AO1821,0)))&gt;0)*(((職員マスタ!$H$6:$H$405="")+(職員マスタ!$H$6:$H$405&gt;=$AO1821))&gt;0)*(ROW(職員マスタ!$A$6:$A$405)-5))),IFERROR(MATCH($B1821,職員マスタ!$A$6:$A$405,0),"")))</f>
        <v/>
      </c>
      <c r="AO1821" s="16">
        <f>IF(OR($B1821="",$C1821="",$D1821=""),"",DATE($C1821+2018,$D1821,1))</f>
        <v/>
      </c>
    </row>
    <row r="1822">
      <c r="A1822" s="11" t="n"/>
      <c r="B1822" s="12" t="n"/>
      <c r="C1822" s="12" t="n"/>
      <c r="D1822" s="12" t="n"/>
      <c r="E1822" s="13" t="n"/>
      <c r="F1822" s="12" t="n"/>
      <c r="G1822" s="13" t="n"/>
      <c r="H1822" s="12" t="n"/>
      <c r="I1822" s="12" t="n"/>
      <c r="J1822" s="12" t="n"/>
      <c r="K1822" s="12" t="n"/>
      <c r="L1822" s="11" t="n"/>
      <c r="M1822" s="11" t="n"/>
      <c r="N1822" s="11" t="n"/>
      <c r="O1822" s="11" t="n"/>
      <c r="P1822" s="12" t="n"/>
      <c r="Q1822" s="11" t="n"/>
      <c r="R1822" s="12" t="n"/>
      <c r="S1822" s="11" t="n"/>
      <c r="T1822" s="12" t="n"/>
      <c r="U1822" s="12" t="n"/>
      <c r="V1822" s="14">
        <f>IF($AN1822="",IF($B1822="","",$H1822),IF(INDEX(職員マスタ!$B$6:$B$405,$AN1822)="",$H1822,INDEX(職員マスタ!$B$6:$B$405,$AN1822)))</f>
        <v/>
      </c>
      <c r="W1822" s="14">
        <f>IF($AN1822="",IF($B1822="","",$R1822),IF(INDEX(職員マスタ!$C$6:$C$405,$AN1822)="",$R1822,INDEX(職員マスタ!$C$6:$C$405,$AN1822)))</f>
        <v/>
      </c>
      <c r="X1822" s="14">
        <f>IF($AO1822="","","R"&amp;$C1822&amp;"."&amp;$D1822)</f>
        <v/>
      </c>
      <c r="Y1822" s="15">
        <f>IF($AN1822="","",IF(INDEX(職員マスタ!$K$6:$K$405,$AN1822)="","",INDEX(職員マスタ!$K$6:$K$405,$AN1822)))</f>
        <v/>
      </c>
      <c r="Z1822" s="14">
        <f>IF(OR($E1822="",$Y1822=""),"",IF($E1822&gt;=$Y1822,"×",IF($E1822&gt;=$Y1822*設定!$C$5,"△","○")))</f>
        <v/>
      </c>
      <c r="AA1822" s="15">
        <f>IF($Z1822="","",IF($Z1822="×",0,IF($Z1822="○",ROUNDDOWN($E1822*設定!$C$4,0),ROUNDDOWN($E1822*ROUND((9*$Y1822-9*$E1822)/(10*$E1822),4),0))))</f>
        <v/>
      </c>
      <c r="AB1822" s="13" t="n"/>
      <c r="AC1822" s="15">
        <f>IF($B1822="","",IF($AB1822&lt;&gt;"",$AB1822,IF($AA1822="","",IF($AA1822&lt;=設定!$C$3,0,$AA1822))))</f>
        <v/>
      </c>
      <c r="AD1822" s="14">
        <f>IF($B1822="","",IF(AND($AE1822&lt;&gt;"",$AG1822="",$AJ1822=""),"保留中",IF($AJ1822&lt;&gt;"",IF(N($AC1822)&gt;0,"支給済","不支給"),IF($AC1822="","要確認",IF($AC1822=0,"不支給","未処理")))))</f>
        <v/>
      </c>
      <c r="AE1822" s="12" t="n"/>
      <c r="AF1822" s="11" t="n"/>
      <c r="AG1822" s="11" t="n"/>
      <c r="AH1822" s="11" t="n"/>
      <c r="AI1822" s="14">
        <f>IF(AND($AD1822="保留中",$AF1822&lt;&gt;""),TODAY()-$AF1822,"")</f>
        <v/>
      </c>
      <c r="AJ1822" s="12" t="n"/>
      <c r="AK1822" s="14">
        <f>IF($B1822="","",IF($AO1822="","対象年月が未入力／","")&amp;IF($B1822="","",IF($AN1822="","職員マスタに未登録の職員番号／",IF($Y1822="","標準報酬月額が未登録／","")&amp;IF(AND($AO1822&lt;&gt;"",OR(AND(INDEX(職員マスタ!$G$6:$G$405,$AN1822)&lt;&gt;"",INDEX(職員マスタ!$G$6:$G$405,$AN1822)&gt;EOMONTH($AO1822,0)),AND(INDEX(職員マスタ!$H$6:$H$405,$AN1822)&lt;&gt;"",INDEX(職員マスタ!$H$6:$H$405,$AN1822)&lt;$AO1822))),"対象月が時短期間外／","")&amp;IF(AND(INDEX(職員マスタ!$F$6:$F$405,$AN1822)&lt;&gt;"",$AO1822&lt;&gt;"",INDEX(職員マスタ!$F$6:$F$405,$AN1822)&lt;$AO1822),"対象月に子が2歳到達済／","")&amp;IF(AND($H1822&lt;&gt;"",INDEX(職員マスタ!$B$6:$B$405,$AN1822)&lt;&gt;"",SUBSTITUTE(SUBSTITUTE($H1822," ","")," ","")&lt;&gt;SUBSTITUTE(SUBSTITUTE(INDEX(職員マスタ!$B$6:$B$405,$AN1822)," ","")," ","")),"氏名がマスタと相違／","")&amp;IF(AND($Q1822&lt;&gt;"",INDEX(職員マスタ!$E$6:$E$405,$AN1822)&lt;&gt;"",$Q1822&lt;&gt;INDEX(職員マスタ!$E$6:$E$405,$AN1822)),"子の生年月日がマスタと相違／","")&amp;IF(AND($L1822&lt;&gt;"",INDEX(職員マスタ!$G$6:$G$405,$AN1822)&lt;&gt;"",$L1822&lt;&gt;INDEX(職員マスタ!$G$6:$G$405,$AN1822)),"時短開始日がマスタと相違／","")&amp;IF(AND($M1822&lt;&gt;"",INDEX(職員マスタ!$H$6:$H$405,$AN1822)&lt;&gt;"",$M1822&lt;&gt;INDEX(職員マスタ!$H$6:$H$405,$AN1822)),"時短終了日がマスタと相違／","")))&amp;IF(AND($B1822&lt;&gt;"",$E1822=""),"報酬額が未入力／","")&amp;IF(N($U1822)&gt;0,"申請書に入力エラーが残っています／","")&amp;IF(AND($B1822&lt;&gt;"",$AO1822&lt;&gt;""),IF(COUNTIFS($B$6:$B$3005,$B1822,$C$6:$C$3005,$C1822,$D$6:$D$3005,$D1822)&gt;1,"同じ月の請求が重複しています／",""),"")&amp;IF(AND(N($E1822)&gt;0,$Z1822&lt;&gt;"",$Z1822&lt;&gt;"×",$AC1822=0,$AB1822=""),"計算額が下限以下のため不支給／",""))</f>
        <v/>
      </c>
      <c r="AL1822" s="12" t="n"/>
      <c r="AM1822" s="14">
        <f>IF($AD1822="保留中",COUNTIF($AD$6:$AD1822,"保留中"),"")</f>
        <v/>
      </c>
      <c r="AN1822" s="14">
        <f>IF($AO1822="","",IF(SUMPRODUCT(MAX((職員マスタ!$A$6:$A$405=$B1822)*(((職員マスタ!$G$6:$G$405="")+(職員マスタ!$G$6:$G$405&lt;=EOMONTH($AO1822,0)))&gt;0)*(((職員マスタ!$H$6:$H$405="")+(職員マスタ!$H$6:$H$405&gt;=$AO1822))&gt;0)*(ROW(職員マスタ!$A$6:$A$405)-5)))&gt;0,SUMPRODUCT(MAX((職員マスタ!$A$6:$A$405=$B1822)*(((職員マスタ!$G$6:$G$405="")+(職員マスタ!$G$6:$G$405&lt;=EOMONTH($AO1822,0)))&gt;0)*(((職員マスタ!$H$6:$H$405="")+(職員マスタ!$H$6:$H$405&gt;=$AO1822))&gt;0)*(ROW(職員マスタ!$A$6:$A$405)-5))),IFERROR(MATCH($B1822,職員マスタ!$A$6:$A$405,0),"")))</f>
        <v/>
      </c>
      <c r="AO1822" s="16">
        <f>IF(OR($B1822="",$C1822="",$D1822=""),"",DATE($C1822+2018,$D1822,1))</f>
        <v/>
      </c>
    </row>
    <row r="1823">
      <c r="A1823" s="11" t="n"/>
      <c r="B1823" s="12" t="n"/>
      <c r="C1823" s="12" t="n"/>
      <c r="D1823" s="12" t="n"/>
      <c r="E1823" s="13" t="n"/>
      <c r="F1823" s="12" t="n"/>
      <c r="G1823" s="13" t="n"/>
      <c r="H1823" s="12" t="n"/>
      <c r="I1823" s="12" t="n"/>
      <c r="J1823" s="12" t="n"/>
      <c r="K1823" s="12" t="n"/>
      <c r="L1823" s="11" t="n"/>
      <c r="M1823" s="11" t="n"/>
      <c r="N1823" s="11" t="n"/>
      <c r="O1823" s="11" t="n"/>
      <c r="P1823" s="12" t="n"/>
      <c r="Q1823" s="11" t="n"/>
      <c r="R1823" s="12" t="n"/>
      <c r="S1823" s="11" t="n"/>
      <c r="T1823" s="12" t="n"/>
      <c r="U1823" s="12" t="n"/>
      <c r="V1823" s="14">
        <f>IF($AN1823="",IF($B1823="","",$H1823),IF(INDEX(職員マスタ!$B$6:$B$405,$AN1823)="",$H1823,INDEX(職員マスタ!$B$6:$B$405,$AN1823)))</f>
        <v/>
      </c>
      <c r="W1823" s="14">
        <f>IF($AN1823="",IF($B1823="","",$R1823),IF(INDEX(職員マスタ!$C$6:$C$405,$AN1823)="",$R1823,INDEX(職員マスタ!$C$6:$C$405,$AN1823)))</f>
        <v/>
      </c>
      <c r="X1823" s="14">
        <f>IF($AO1823="","","R"&amp;$C1823&amp;"."&amp;$D1823)</f>
        <v/>
      </c>
      <c r="Y1823" s="15">
        <f>IF($AN1823="","",IF(INDEX(職員マスタ!$K$6:$K$405,$AN1823)="","",INDEX(職員マスタ!$K$6:$K$405,$AN1823)))</f>
        <v/>
      </c>
      <c r="Z1823" s="14">
        <f>IF(OR($E1823="",$Y1823=""),"",IF($E1823&gt;=$Y1823,"×",IF($E1823&gt;=$Y1823*設定!$C$5,"△","○")))</f>
        <v/>
      </c>
      <c r="AA1823" s="15">
        <f>IF($Z1823="","",IF($Z1823="×",0,IF($Z1823="○",ROUNDDOWN($E1823*設定!$C$4,0),ROUNDDOWN($E1823*ROUND((9*$Y1823-9*$E1823)/(10*$E1823),4),0))))</f>
        <v/>
      </c>
      <c r="AB1823" s="13" t="n"/>
      <c r="AC1823" s="15">
        <f>IF($B1823="","",IF($AB1823&lt;&gt;"",$AB1823,IF($AA1823="","",IF($AA1823&lt;=設定!$C$3,0,$AA1823))))</f>
        <v/>
      </c>
      <c r="AD1823" s="14">
        <f>IF($B1823="","",IF(AND($AE1823&lt;&gt;"",$AG1823="",$AJ1823=""),"保留中",IF($AJ1823&lt;&gt;"",IF(N($AC1823)&gt;0,"支給済","不支給"),IF($AC1823="","要確認",IF($AC1823=0,"不支給","未処理")))))</f>
        <v/>
      </c>
      <c r="AE1823" s="12" t="n"/>
      <c r="AF1823" s="11" t="n"/>
      <c r="AG1823" s="11" t="n"/>
      <c r="AH1823" s="11" t="n"/>
      <c r="AI1823" s="14">
        <f>IF(AND($AD1823="保留中",$AF1823&lt;&gt;""),TODAY()-$AF1823,"")</f>
        <v/>
      </c>
      <c r="AJ1823" s="12" t="n"/>
      <c r="AK1823" s="14">
        <f>IF($B1823="","",IF($AO1823="","対象年月が未入力／","")&amp;IF($B1823="","",IF($AN1823="","職員マスタに未登録の職員番号／",IF($Y1823="","標準報酬月額が未登録／","")&amp;IF(AND($AO1823&lt;&gt;"",OR(AND(INDEX(職員マスタ!$G$6:$G$405,$AN1823)&lt;&gt;"",INDEX(職員マスタ!$G$6:$G$405,$AN1823)&gt;EOMONTH($AO1823,0)),AND(INDEX(職員マスタ!$H$6:$H$405,$AN1823)&lt;&gt;"",INDEX(職員マスタ!$H$6:$H$405,$AN1823)&lt;$AO1823))),"対象月が時短期間外／","")&amp;IF(AND(INDEX(職員マスタ!$F$6:$F$405,$AN1823)&lt;&gt;"",$AO1823&lt;&gt;"",INDEX(職員マスタ!$F$6:$F$405,$AN1823)&lt;$AO1823),"対象月に子が2歳到達済／","")&amp;IF(AND($H1823&lt;&gt;"",INDEX(職員マスタ!$B$6:$B$405,$AN1823)&lt;&gt;"",SUBSTITUTE(SUBSTITUTE($H1823," ","")," ","")&lt;&gt;SUBSTITUTE(SUBSTITUTE(INDEX(職員マスタ!$B$6:$B$405,$AN1823)," ","")," ","")),"氏名がマスタと相違／","")&amp;IF(AND($Q1823&lt;&gt;"",INDEX(職員マスタ!$E$6:$E$405,$AN1823)&lt;&gt;"",$Q1823&lt;&gt;INDEX(職員マスタ!$E$6:$E$405,$AN1823)),"子の生年月日がマスタと相違／","")&amp;IF(AND($L1823&lt;&gt;"",INDEX(職員マスタ!$G$6:$G$405,$AN1823)&lt;&gt;"",$L1823&lt;&gt;INDEX(職員マスタ!$G$6:$G$405,$AN1823)),"時短開始日がマスタと相違／","")&amp;IF(AND($M1823&lt;&gt;"",INDEX(職員マスタ!$H$6:$H$405,$AN1823)&lt;&gt;"",$M1823&lt;&gt;INDEX(職員マスタ!$H$6:$H$405,$AN1823)),"時短終了日がマスタと相違／","")))&amp;IF(AND($B1823&lt;&gt;"",$E1823=""),"報酬額が未入力／","")&amp;IF(N($U1823)&gt;0,"申請書に入力エラーが残っています／","")&amp;IF(AND($B1823&lt;&gt;"",$AO1823&lt;&gt;""),IF(COUNTIFS($B$6:$B$3005,$B1823,$C$6:$C$3005,$C1823,$D$6:$D$3005,$D1823)&gt;1,"同じ月の請求が重複しています／",""),"")&amp;IF(AND(N($E1823)&gt;0,$Z1823&lt;&gt;"",$Z1823&lt;&gt;"×",$AC1823=0,$AB1823=""),"計算額が下限以下のため不支給／",""))</f>
        <v/>
      </c>
      <c r="AL1823" s="12" t="n"/>
      <c r="AM1823" s="14">
        <f>IF($AD1823="保留中",COUNTIF($AD$6:$AD1823,"保留中"),"")</f>
        <v/>
      </c>
      <c r="AN1823" s="14">
        <f>IF($AO1823="","",IF(SUMPRODUCT(MAX((職員マスタ!$A$6:$A$405=$B1823)*(((職員マスタ!$G$6:$G$405="")+(職員マスタ!$G$6:$G$405&lt;=EOMONTH($AO1823,0)))&gt;0)*(((職員マスタ!$H$6:$H$405="")+(職員マスタ!$H$6:$H$405&gt;=$AO1823))&gt;0)*(ROW(職員マスタ!$A$6:$A$405)-5)))&gt;0,SUMPRODUCT(MAX((職員マスタ!$A$6:$A$405=$B1823)*(((職員マスタ!$G$6:$G$405="")+(職員マスタ!$G$6:$G$405&lt;=EOMONTH($AO1823,0)))&gt;0)*(((職員マスタ!$H$6:$H$405="")+(職員マスタ!$H$6:$H$405&gt;=$AO1823))&gt;0)*(ROW(職員マスタ!$A$6:$A$405)-5))),IFERROR(MATCH($B1823,職員マスタ!$A$6:$A$405,0),"")))</f>
        <v/>
      </c>
      <c r="AO1823" s="16">
        <f>IF(OR($B1823="",$C1823="",$D1823=""),"",DATE($C1823+2018,$D1823,1))</f>
        <v/>
      </c>
    </row>
    <row r="1824">
      <c r="A1824" s="11" t="n"/>
      <c r="B1824" s="12" t="n"/>
      <c r="C1824" s="12" t="n"/>
      <c r="D1824" s="12" t="n"/>
      <c r="E1824" s="13" t="n"/>
      <c r="F1824" s="12" t="n"/>
      <c r="G1824" s="13" t="n"/>
      <c r="H1824" s="12" t="n"/>
      <c r="I1824" s="12" t="n"/>
      <c r="J1824" s="12" t="n"/>
      <c r="K1824" s="12" t="n"/>
      <c r="L1824" s="11" t="n"/>
      <c r="M1824" s="11" t="n"/>
      <c r="N1824" s="11" t="n"/>
      <c r="O1824" s="11" t="n"/>
      <c r="P1824" s="12" t="n"/>
      <c r="Q1824" s="11" t="n"/>
      <c r="R1824" s="12" t="n"/>
      <c r="S1824" s="11" t="n"/>
      <c r="T1824" s="12" t="n"/>
      <c r="U1824" s="12" t="n"/>
      <c r="V1824" s="14">
        <f>IF($AN1824="",IF($B1824="","",$H1824),IF(INDEX(職員マスタ!$B$6:$B$405,$AN1824)="",$H1824,INDEX(職員マスタ!$B$6:$B$405,$AN1824)))</f>
        <v/>
      </c>
      <c r="W1824" s="14">
        <f>IF($AN1824="",IF($B1824="","",$R1824),IF(INDEX(職員マスタ!$C$6:$C$405,$AN1824)="",$R1824,INDEX(職員マスタ!$C$6:$C$405,$AN1824)))</f>
        <v/>
      </c>
      <c r="X1824" s="14">
        <f>IF($AO1824="","","R"&amp;$C1824&amp;"."&amp;$D1824)</f>
        <v/>
      </c>
      <c r="Y1824" s="15">
        <f>IF($AN1824="","",IF(INDEX(職員マスタ!$K$6:$K$405,$AN1824)="","",INDEX(職員マスタ!$K$6:$K$405,$AN1824)))</f>
        <v/>
      </c>
      <c r="Z1824" s="14">
        <f>IF(OR($E1824="",$Y1824=""),"",IF($E1824&gt;=$Y1824,"×",IF($E1824&gt;=$Y1824*設定!$C$5,"△","○")))</f>
        <v/>
      </c>
      <c r="AA1824" s="15">
        <f>IF($Z1824="","",IF($Z1824="×",0,IF($Z1824="○",ROUNDDOWN($E1824*設定!$C$4,0),ROUNDDOWN($E1824*ROUND((9*$Y1824-9*$E1824)/(10*$E1824),4),0))))</f>
        <v/>
      </c>
      <c r="AB1824" s="13" t="n"/>
      <c r="AC1824" s="15">
        <f>IF($B1824="","",IF($AB1824&lt;&gt;"",$AB1824,IF($AA1824="","",IF($AA1824&lt;=設定!$C$3,0,$AA1824))))</f>
        <v/>
      </c>
      <c r="AD1824" s="14">
        <f>IF($B1824="","",IF(AND($AE1824&lt;&gt;"",$AG1824="",$AJ1824=""),"保留中",IF($AJ1824&lt;&gt;"",IF(N($AC1824)&gt;0,"支給済","不支給"),IF($AC1824="","要確認",IF($AC1824=0,"不支給","未処理")))))</f>
        <v/>
      </c>
      <c r="AE1824" s="12" t="n"/>
      <c r="AF1824" s="11" t="n"/>
      <c r="AG1824" s="11" t="n"/>
      <c r="AH1824" s="11" t="n"/>
      <c r="AI1824" s="14">
        <f>IF(AND($AD1824="保留中",$AF1824&lt;&gt;""),TODAY()-$AF1824,"")</f>
        <v/>
      </c>
      <c r="AJ1824" s="12" t="n"/>
      <c r="AK1824" s="14">
        <f>IF($B1824="","",IF($AO1824="","対象年月が未入力／","")&amp;IF($B1824="","",IF($AN1824="","職員マスタに未登録の職員番号／",IF($Y1824="","標準報酬月額が未登録／","")&amp;IF(AND($AO1824&lt;&gt;"",OR(AND(INDEX(職員マスタ!$G$6:$G$405,$AN1824)&lt;&gt;"",INDEX(職員マスタ!$G$6:$G$405,$AN1824)&gt;EOMONTH($AO1824,0)),AND(INDEX(職員マスタ!$H$6:$H$405,$AN1824)&lt;&gt;"",INDEX(職員マスタ!$H$6:$H$405,$AN1824)&lt;$AO1824))),"対象月が時短期間外／","")&amp;IF(AND(INDEX(職員マスタ!$F$6:$F$405,$AN1824)&lt;&gt;"",$AO1824&lt;&gt;"",INDEX(職員マスタ!$F$6:$F$405,$AN1824)&lt;$AO1824),"対象月に子が2歳到達済／","")&amp;IF(AND($H1824&lt;&gt;"",INDEX(職員マスタ!$B$6:$B$405,$AN1824)&lt;&gt;"",SUBSTITUTE(SUBSTITUTE($H1824," ","")," ","")&lt;&gt;SUBSTITUTE(SUBSTITUTE(INDEX(職員マスタ!$B$6:$B$405,$AN1824)," ","")," ","")),"氏名がマスタと相違／","")&amp;IF(AND($Q1824&lt;&gt;"",INDEX(職員マスタ!$E$6:$E$405,$AN1824)&lt;&gt;"",$Q1824&lt;&gt;INDEX(職員マスタ!$E$6:$E$405,$AN1824)),"子の生年月日がマスタと相違／","")&amp;IF(AND($L1824&lt;&gt;"",INDEX(職員マスタ!$G$6:$G$405,$AN1824)&lt;&gt;"",$L1824&lt;&gt;INDEX(職員マスタ!$G$6:$G$405,$AN1824)),"時短開始日がマスタと相違／","")&amp;IF(AND($M1824&lt;&gt;"",INDEX(職員マスタ!$H$6:$H$405,$AN1824)&lt;&gt;"",$M1824&lt;&gt;INDEX(職員マスタ!$H$6:$H$405,$AN1824)),"時短終了日がマスタと相違／","")))&amp;IF(AND($B1824&lt;&gt;"",$E1824=""),"報酬額が未入力／","")&amp;IF(N($U1824)&gt;0,"申請書に入力エラーが残っています／","")&amp;IF(AND($B1824&lt;&gt;"",$AO1824&lt;&gt;""),IF(COUNTIFS($B$6:$B$3005,$B1824,$C$6:$C$3005,$C1824,$D$6:$D$3005,$D1824)&gt;1,"同じ月の請求が重複しています／",""),"")&amp;IF(AND(N($E1824)&gt;0,$Z1824&lt;&gt;"",$Z1824&lt;&gt;"×",$AC1824=0,$AB1824=""),"計算額が下限以下のため不支給／",""))</f>
        <v/>
      </c>
      <c r="AL1824" s="12" t="n"/>
      <c r="AM1824" s="14">
        <f>IF($AD1824="保留中",COUNTIF($AD$6:$AD1824,"保留中"),"")</f>
        <v/>
      </c>
      <c r="AN1824" s="14">
        <f>IF($AO1824="","",IF(SUMPRODUCT(MAX((職員マスタ!$A$6:$A$405=$B1824)*(((職員マスタ!$G$6:$G$405="")+(職員マスタ!$G$6:$G$405&lt;=EOMONTH($AO1824,0)))&gt;0)*(((職員マスタ!$H$6:$H$405="")+(職員マスタ!$H$6:$H$405&gt;=$AO1824))&gt;0)*(ROW(職員マスタ!$A$6:$A$405)-5)))&gt;0,SUMPRODUCT(MAX((職員マスタ!$A$6:$A$405=$B1824)*(((職員マスタ!$G$6:$G$405="")+(職員マスタ!$G$6:$G$405&lt;=EOMONTH($AO1824,0)))&gt;0)*(((職員マスタ!$H$6:$H$405="")+(職員マスタ!$H$6:$H$405&gt;=$AO1824))&gt;0)*(ROW(職員マスタ!$A$6:$A$405)-5))),IFERROR(MATCH($B1824,職員マスタ!$A$6:$A$405,0),"")))</f>
        <v/>
      </c>
      <c r="AO1824" s="16">
        <f>IF(OR($B1824="",$C1824="",$D1824=""),"",DATE($C1824+2018,$D1824,1))</f>
        <v/>
      </c>
    </row>
    <row r="1825">
      <c r="A1825" s="11" t="n"/>
      <c r="B1825" s="12" t="n"/>
      <c r="C1825" s="12" t="n"/>
      <c r="D1825" s="12" t="n"/>
      <c r="E1825" s="13" t="n"/>
      <c r="F1825" s="12" t="n"/>
      <c r="G1825" s="13" t="n"/>
      <c r="H1825" s="12" t="n"/>
      <c r="I1825" s="12" t="n"/>
      <c r="J1825" s="12" t="n"/>
      <c r="K1825" s="12" t="n"/>
      <c r="L1825" s="11" t="n"/>
      <c r="M1825" s="11" t="n"/>
      <c r="N1825" s="11" t="n"/>
      <c r="O1825" s="11" t="n"/>
      <c r="P1825" s="12" t="n"/>
      <c r="Q1825" s="11" t="n"/>
      <c r="R1825" s="12" t="n"/>
      <c r="S1825" s="11" t="n"/>
      <c r="T1825" s="12" t="n"/>
      <c r="U1825" s="12" t="n"/>
      <c r="V1825" s="14">
        <f>IF($AN1825="",IF($B1825="","",$H1825),IF(INDEX(職員マスタ!$B$6:$B$405,$AN1825)="",$H1825,INDEX(職員マスタ!$B$6:$B$405,$AN1825)))</f>
        <v/>
      </c>
      <c r="W1825" s="14">
        <f>IF($AN1825="",IF($B1825="","",$R1825),IF(INDEX(職員マスタ!$C$6:$C$405,$AN1825)="",$R1825,INDEX(職員マスタ!$C$6:$C$405,$AN1825)))</f>
        <v/>
      </c>
      <c r="X1825" s="14">
        <f>IF($AO1825="","","R"&amp;$C1825&amp;"."&amp;$D1825)</f>
        <v/>
      </c>
      <c r="Y1825" s="15">
        <f>IF($AN1825="","",IF(INDEX(職員マスタ!$K$6:$K$405,$AN1825)="","",INDEX(職員マスタ!$K$6:$K$405,$AN1825)))</f>
        <v/>
      </c>
      <c r="Z1825" s="14">
        <f>IF(OR($E1825="",$Y1825=""),"",IF($E1825&gt;=$Y1825,"×",IF($E1825&gt;=$Y1825*設定!$C$5,"△","○")))</f>
        <v/>
      </c>
      <c r="AA1825" s="15">
        <f>IF($Z1825="","",IF($Z1825="×",0,IF($Z1825="○",ROUNDDOWN($E1825*設定!$C$4,0),ROUNDDOWN($E1825*ROUND((9*$Y1825-9*$E1825)/(10*$E1825),4),0))))</f>
        <v/>
      </c>
      <c r="AB1825" s="13" t="n"/>
      <c r="AC1825" s="15">
        <f>IF($B1825="","",IF($AB1825&lt;&gt;"",$AB1825,IF($AA1825="","",IF($AA1825&lt;=設定!$C$3,0,$AA1825))))</f>
        <v/>
      </c>
      <c r="AD1825" s="14">
        <f>IF($B1825="","",IF(AND($AE1825&lt;&gt;"",$AG1825="",$AJ1825=""),"保留中",IF($AJ1825&lt;&gt;"",IF(N($AC1825)&gt;0,"支給済","不支給"),IF($AC1825="","要確認",IF($AC1825=0,"不支給","未処理")))))</f>
        <v/>
      </c>
      <c r="AE1825" s="12" t="n"/>
      <c r="AF1825" s="11" t="n"/>
      <c r="AG1825" s="11" t="n"/>
      <c r="AH1825" s="11" t="n"/>
      <c r="AI1825" s="14">
        <f>IF(AND($AD1825="保留中",$AF1825&lt;&gt;""),TODAY()-$AF1825,"")</f>
        <v/>
      </c>
      <c r="AJ1825" s="12" t="n"/>
      <c r="AK1825" s="14">
        <f>IF($B1825="","",IF($AO1825="","対象年月が未入力／","")&amp;IF($B1825="","",IF($AN1825="","職員マスタに未登録の職員番号／",IF($Y1825="","標準報酬月額が未登録／","")&amp;IF(AND($AO1825&lt;&gt;"",OR(AND(INDEX(職員マスタ!$G$6:$G$405,$AN1825)&lt;&gt;"",INDEX(職員マスタ!$G$6:$G$405,$AN1825)&gt;EOMONTH($AO1825,0)),AND(INDEX(職員マスタ!$H$6:$H$405,$AN1825)&lt;&gt;"",INDEX(職員マスタ!$H$6:$H$405,$AN1825)&lt;$AO1825))),"対象月が時短期間外／","")&amp;IF(AND(INDEX(職員マスタ!$F$6:$F$405,$AN1825)&lt;&gt;"",$AO1825&lt;&gt;"",INDEX(職員マスタ!$F$6:$F$405,$AN1825)&lt;$AO1825),"対象月に子が2歳到達済／","")&amp;IF(AND($H1825&lt;&gt;"",INDEX(職員マスタ!$B$6:$B$405,$AN1825)&lt;&gt;"",SUBSTITUTE(SUBSTITUTE($H1825," ","")," ","")&lt;&gt;SUBSTITUTE(SUBSTITUTE(INDEX(職員マスタ!$B$6:$B$405,$AN1825)," ","")," ","")),"氏名がマスタと相違／","")&amp;IF(AND($Q1825&lt;&gt;"",INDEX(職員マスタ!$E$6:$E$405,$AN1825)&lt;&gt;"",$Q1825&lt;&gt;INDEX(職員マスタ!$E$6:$E$405,$AN1825)),"子の生年月日がマスタと相違／","")&amp;IF(AND($L1825&lt;&gt;"",INDEX(職員マスタ!$G$6:$G$405,$AN1825)&lt;&gt;"",$L1825&lt;&gt;INDEX(職員マスタ!$G$6:$G$405,$AN1825)),"時短開始日がマスタと相違／","")&amp;IF(AND($M1825&lt;&gt;"",INDEX(職員マスタ!$H$6:$H$405,$AN1825)&lt;&gt;"",$M1825&lt;&gt;INDEX(職員マスタ!$H$6:$H$405,$AN1825)),"時短終了日がマスタと相違／","")))&amp;IF(AND($B1825&lt;&gt;"",$E1825=""),"報酬額が未入力／","")&amp;IF(N($U1825)&gt;0,"申請書に入力エラーが残っています／","")&amp;IF(AND($B1825&lt;&gt;"",$AO1825&lt;&gt;""),IF(COUNTIFS($B$6:$B$3005,$B1825,$C$6:$C$3005,$C1825,$D$6:$D$3005,$D1825)&gt;1,"同じ月の請求が重複しています／",""),"")&amp;IF(AND(N($E1825)&gt;0,$Z1825&lt;&gt;"",$Z1825&lt;&gt;"×",$AC1825=0,$AB1825=""),"計算額が下限以下のため不支給／",""))</f>
        <v/>
      </c>
      <c r="AL1825" s="12" t="n"/>
      <c r="AM1825" s="14">
        <f>IF($AD1825="保留中",COUNTIF($AD$6:$AD1825,"保留中"),"")</f>
        <v/>
      </c>
      <c r="AN1825" s="14">
        <f>IF($AO1825="","",IF(SUMPRODUCT(MAX((職員マスタ!$A$6:$A$405=$B1825)*(((職員マスタ!$G$6:$G$405="")+(職員マスタ!$G$6:$G$405&lt;=EOMONTH($AO1825,0)))&gt;0)*(((職員マスタ!$H$6:$H$405="")+(職員マスタ!$H$6:$H$405&gt;=$AO1825))&gt;0)*(ROW(職員マスタ!$A$6:$A$405)-5)))&gt;0,SUMPRODUCT(MAX((職員マスタ!$A$6:$A$405=$B1825)*(((職員マスタ!$G$6:$G$405="")+(職員マスタ!$G$6:$G$405&lt;=EOMONTH($AO1825,0)))&gt;0)*(((職員マスタ!$H$6:$H$405="")+(職員マスタ!$H$6:$H$405&gt;=$AO1825))&gt;0)*(ROW(職員マスタ!$A$6:$A$405)-5))),IFERROR(MATCH($B1825,職員マスタ!$A$6:$A$405,0),"")))</f>
        <v/>
      </c>
      <c r="AO1825" s="16">
        <f>IF(OR($B1825="",$C1825="",$D1825=""),"",DATE($C1825+2018,$D1825,1))</f>
        <v/>
      </c>
    </row>
    <row r="1826">
      <c r="A1826" s="11" t="n"/>
      <c r="B1826" s="12" t="n"/>
      <c r="C1826" s="12" t="n"/>
      <c r="D1826" s="12" t="n"/>
      <c r="E1826" s="13" t="n"/>
      <c r="F1826" s="12" t="n"/>
      <c r="G1826" s="13" t="n"/>
      <c r="H1826" s="12" t="n"/>
      <c r="I1826" s="12" t="n"/>
      <c r="J1826" s="12" t="n"/>
      <c r="K1826" s="12" t="n"/>
      <c r="L1826" s="11" t="n"/>
      <c r="M1826" s="11" t="n"/>
      <c r="N1826" s="11" t="n"/>
      <c r="O1826" s="11" t="n"/>
      <c r="P1826" s="12" t="n"/>
      <c r="Q1826" s="11" t="n"/>
      <c r="R1826" s="12" t="n"/>
      <c r="S1826" s="11" t="n"/>
      <c r="T1826" s="12" t="n"/>
      <c r="U1826" s="12" t="n"/>
      <c r="V1826" s="14">
        <f>IF($AN1826="",IF($B1826="","",$H1826),IF(INDEX(職員マスタ!$B$6:$B$405,$AN1826)="",$H1826,INDEX(職員マスタ!$B$6:$B$405,$AN1826)))</f>
        <v/>
      </c>
      <c r="W1826" s="14">
        <f>IF($AN1826="",IF($B1826="","",$R1826),IF(INDEX(職員マスタ!$C$6:$C$405,$AN1826)="",$R1826,INDEX(職員マスタ!$C$6:$C$405,$AN1826)))</f>
        <v/>
      </c>
      <c r="X1826" s="14">
        <f>IF($AO1826="","","R"&amp;$C1826&amp;"."&amp;$D1826)</f>
        <v/>
      </c>
      <c r="Y1826" s="15">
        <f>IF($AN1826="","",IF(INDEX(職員マスタ!$K$6:$K$405,$AN1826)="","",INDEX(職員マスタ!$K$6:$K$405,$AN1826)))</f>
        <v/>
      </c>
      <c r="Z1826" s="14">
        <f>IF(OR($E1826="",$Y1826=""),"",IF($E1826&gt;=$Y1826,"×",IF($E1826&gt;=$Y1826*設定!$C$5,"△","○")))</f>
        <v/>
      </c>
      <c r="AA1826" s="15">
        <f>IF($Z1826="","",IF($Z1826="×",0,IF($Z1826="○",ROUNDDOWN($E1826*設定!$C$4,0),ROUNDDOWN($E1826*ROUND((9*$Y1826-9*$E1826)/(10*$E1826),4),0))))</f>
        <v/>
      </c>
      <c r="AB1826" s="13" t="n"/>
      <c r="AC1826" s="15">
        <f>IF($B1826="","",IF($AB1826&lt;&gt;"",$AB1826,IF($AA1826="","",IF($AA1826&lt;=設定!$C$3,0,$AA1826))))</f>
        <v/>
      </c>
      <c r="AD1826" s="14">
        <f>IF($B1826="","",IF(AND($AE1826&lt;&gt;"",$AG1826="",$AJ1826=""),"保留中",IF($AJ1826&lt;&gt;"",IF(N($AC1826)&gt;0,"支給済","不支給"),IF($AC1826="","要確認",IF($AC1826=0,"不支給","未処理")))))</f>
        <v/>
      </c>
      <c r="AE1826" s="12" t="n"/>
      <c r="AF1826" s="11" t="n"/>
      <c r="AG1826" s="11" t="n"/>
      <c r="AH1826" s="11" t="n"/>
      <c r="AI1826" s="14">
        <f>IF(AND($AD1826="保留中",$AF1826&lt;&gt;""),TODAY()-$AF1826,"")</f>
        <v/>
      </c>
      <c r="AJ1826" s="12" t="n"/>
      <c r="AK1826" s="14">
        <f>IF($B1826="","",IF($AO1826="","対象年月が未入力／","")&amp;IF($B1826="","",IF($AN1826="","職員マスタに未登録の職員番号／",IF($Y1826="","標準報酬月額が未登録／","")&amp;IF(AND($AO1826&lt;&gt;"",OR(AND(INDEX(職員マスタ!$G$6:$G$405,$AN1826)&lt;&gt;"",INDEX(職員マスタ!$G$6:$G$405,$AN1826)&gt;EOMONTH($AO1826,0)),AND(INDEX(職員マスタ!$H$6:$H$405,$AN1826)&lt;&gt;"",INDEX(職員マスタ!$H$6:$H$405,$AN1826)&lt;$AO1826))),"対象月が時短期間外／","")&amp;IF(AND(INDEX(職員マスタ!$F$6:$F$405,$AN1826)&lt;&gt;"",$AO1826&lt;&gt;"",INDEX(職員マスタ!$F$6:$F$405,$AN1826)&lt;$AO1826),"対象月に子が2歳到達済／","")&amp;IF(AND($H1826&lt;&gt;"",INDEX(職員マスタ!$B$6:$B$405,$AN1826)&lt;&gt;"",SUBSTITUTE(SUBSTITUTE($H1826," ","")," ","")&lt;&gt;SUBSTITUTE(SUBSTITUTE(INDEX(職員マスタ!$B$6:$B$405,$AN1826)," ","")," ","")),"氏名がマスタと相違／","")&amp;IF(AND($Q1826&lt;&gt;"",INDEX(職員マスタ!$E$6:$E$405,$AN1826)&lt;&gt;"",$Q1826&lt;&gt;INDEX(職員マスタ!$E$6:$E$405,$AN1826)),"子の生年月日がマスタと相違／","")&amp;IF(AND($L1826&lt;&gt;"",INDEX(職員マスタ!$G$6:$G$405,$AN1826)&lt;&gt;"",$L1826&lt;&gt;INDEX(職員マスタ!$G$6:$G$405,$AN1826)),"時短開始日がマスタと相違／","")&amp;IF(AND($M1826&lt;&gt;"",INDEX(職員マスタ!$H$6:$H$405,$AN1826)&lt;&gt;"",$M1826&lt;&gt;INDEX(職員マスタ!$H$6:$H$405,$AN1826)),"時短終了日がマスタと相違／","")))&amp;IF(AND($B1826&lt;&gt;"",$E1826=""),"報酬額が未入力／","")&amp;IF(N($U1826)&gt;0,"申請書に入力エラーが残っています／","")&amp;IF(AND($B1826&lt;&gt;"",$AO1826&lt;&gt;""),IF(COUNTIFS($B$6:$B$3005,$B1826,$C$6:$C$3005,$C1826,$D$6:$D$3005,$D1826)&gt;1,"同じ月の請求が重複しています／",""),"")&amp;IF(AND(N($E1826)&gt;0,$Z1826&lt;&gt;"",$Z1826&lt;&gt;"×",$AC1826=0,$AB1826=""),"計算額が下限以下のため不支給／",""))</f>
        <v/>
      </c>
      <c r="AL1826" s="12" t="n"/>
      <c r="AM1826" s="14">
        <f>IF($AD1826="保留中",COUNTIF($AD$6:$AD1826,"保留中"),"")</f>
        <v/>
      </c>
      <c r="AN1826" s="14">
        <f>IF($AO1826="","",IF(SUMPRODUCT(MAX((職員マスタ!$A$6:$A$405=$B1826)*(((職員マスタ!$G$6:$G$405="")+(職員マスタ!$G$6:$G$405&lt;=EOMONTH($AO1826,0)))&gt;0)*(((職員マスタ!$H$6:$H$405="")+(職員マスタ!$H$6:$H$405&gt;=$AO1826))&gt;0)*(ROW(職員マスタ!$A$6:$A$405)-5)))&gt;0,SUMPRODUCT(MAX((職員マスタ!$A$6:$A$405=$B1826)*(((職員マスタ!$G$6:$G$405="")+(職員マスタ!$G$6:$G$405&lt;=EOMONTH($AO1826,0)))&gt;0)*(((職員マスタ!$H$6:$H$405="")+(職員マスタ!$H$6:$H$405&gt;=$AO1826))&gt;0)*(ROW(職員マスタ!$A$6:$A$405)-5))),IFERROR(MATCH($B1826,職員マスタ!$A$6:$A$405,0),"")))</f>
        <v/>
      </c>
      <c r="AO1826" s="16">
        <f>IF(OR($B1826="",$C1826="",$D1826=""),"",DATE($C1826+2018,$D1826,1))</f>
        <v/>
      </c>
    </row>
    <row r="1827">
      <c r="A1827" s="11" t="n"/>
      <c r="B1827" s="12" t="n"/>
      <c r="C1827" s="12" t="n"/>
      <c r="D1827" s="12" t="n"/>
      <c r="E1827" s="13" t="n"/>
      <c r="F1827" s="12" t="n"/>
      <c r="G1827" s="13" t="n"/>
      <c r="H1827" s="12" t="n"/>
      <c r="I1827" s="12" t="n"/>
      <c r="J1827" s="12" t="n"/>
      <c r="K1827" s="12" t="n"/>
      <c r="L1827" s="11" t="n"/>
      <c r="M1827" s="11" t="n"/>
      <c r="N1827" s="11" t="n"/>
      <c r="O1827" s="11" t="n"/>
      <c r="P1827" s="12" t="n"/>
      <c r="Q1827" s="11" t="n"/>
      <c r="R1827" s="12" t="n"/>
      <c r="S1827" s="11" t="n"/>
      <c r="T1827" s="12" t="n"/>
      <c r="U1827" s="12" t="n"/>
      <c r="V1827" s="14">
        <f>IF($AN1827="",IF($B1827="","",$H1827),IF(INDEX(職員マスタ!$B$6:$B$405,$AN1827)="",$H1827,INDEX(職員マスタ!$B$6:$B$405,$AN1827)))</f>
        <v/>
      </c>
      <c r="W1827" s="14">
        <f>IF($AN1827="",IF($B1827="","",$R1827),IF(INDEX(職員マスタ!$C$6:$C$405,$AN1827)="",$R1827,INDEX(職員マスタ!$C$6:$C$405,$AN1827)))</f>
        <v/>
      </c>
      <c r="X1827" s="14">
        <f>IF($AO1827="","","R"&amp;$C1827&amp;"."&amp;$D1827)</f>
        <v/>
      </c>
      <c r="Y1827" s="15">
        <f>IF($AN1827="","",IF(INDEX(職員マスタ!$K$6:$K$405,$AN1827)="","",INDEX(職員マスタ!$K$6:$K$405,$AN1827)))</f>
        <v/>
      </c>
      <c r="Z1827" s="14">
        <f>IF(OR($E1827="",$Y1827=""),"",IF($E1827&gt;=$Y1827,"×",IF($E1827&gt;=$Y1827*設定!$C$5,"△","○")))</f>
        <v/>
      </c>
      <c r="AA1827" s="15">
        <f>IF($Z1827="","",IF($Z1827="×",0,IF($Z1827="○",ROUNDDOWN($E1827*設定!$C$4,0),ROUNDDOWN($E1827*ROUND((9*$Y1827-9*$E1827)/(10*$E1827),4),0))))</f>
        <v/>
      </c>
      <c r="AB1827" s="13" t="n"/>
      <c r="AC1827" s="15">
        <f>IF($B1827="","",IF($AB1827&lt;&gt;"",$AB1827,IF($AA1827="","",IF($AA1827&lt;=設定!$C$3,0,$AA1827))))</f>
        <v/>
      </c>
      <c r="AD1827" s="14">
        <f>IF($B1827="","",IF(AND($AE1827&lt;&gt;"",$AG1827="",$AJ1827=""),"保留中",IF($AJ1827&lt;&gt;"",IF(N($AC1827)&gt;0,"支給済","不支給"),IF($AC1827="","要確認",IF($AC1827=0,"不支給","未処理")))))</f>
        <v/>
      </c>
      <c r="AE1827" s="12" t="n"/>
      <c r="AF1827" s="11" t="n"/>
      <c r="AG1827" s="11" t="n"/>
      <c r="AH1827" s="11" t="n"/>
      <c r="AI1827" s="14">
        <f>IF(AND($AD1827="保留中",$AF1827&lt;&gt;""),TODAY()-$AF1827,"")</f>
        <v/>
      </c>
      <c r="AJ1827" s="12" t="n"/>
      <c r="AK1827" s="14">
        <f>IF($B1827="","",IF($AO1827="","対象年月が未入力／","")&amp;IF($B1827="","",IF($AN1827="","職員マスタに未登録の職員番号／",IF($Y1827="","標準報酬月額が未登録／","")&amp;IF(AND($AO1827&lt;&gt;"",OR(AND(INDEX(職員マスタ!$G$6:$G$405,$AN1827)&lt;&gt;"",INDEX(職員マスタ!$G$6:$G$405,$AN1827)&gt;EOMONTH($AO1827,0)),AND(INDEX(職員マスタ!$H$6:$H$405,$AN1827)&lt;&gt;"",INDEX(職員マスタ!$H$6:$H$405,$AN1827)&lt;$AO1827))),"対象月が時短期間外／","")&amp;IF(AND(INDEX(職員マスタ!$F$6:$F$405,$AN1827)&lt;&gt;"",$AO1827&lt;&gt;"",INDEX(職員マスタ!$F$6:$F$405,$AN1827)&lt;$AO1827),"対象月に子が2歳到達済／","")&amp;IF(AND($H1827&lt;&gt;"",INDEX(職員マスタ!$B$6:$B$405,$AN1827)&lt;&gt;"",SUBSTITUTE(SUBSTITUTE($H1827," ","")," ","")&lt;&gt;SUBSTITUTE(SUBSTITUTE(INDEX(職員マスタ!$B$6:$B$405,$AN1827)," ","")," ","")),"氏名がマスタと相違／","")&amp;IF(AND($Q1827&lt;&gt;"",INDEX(職員マスタ!$E$6:$E$405,$AN1827)&lt;&gt;"",$Q1827&lt;&gt;INDEX(職員マスタ!$E$6:$E$405,$AN1827)),"子の生年月日がマスタと相違／","")&amp;IF(AND($L1827&lt;&gt;"",INDEX(職員マスタ!$G$6:$G$405,$AN1827)&lt;&gt;"",$L1827&lt;&gt;INDEX(職員マスタ!$G$6:$G$405,$AN1827)),"時短開始日がマスタと相違／","")&amp;IF(AND($M1827&lt;&gt;"",INDEX(職員マスタ!$H$6:$H$405,$AN1827)&lt;&gt;"",$M1827&lt;&gt;INDEX(職員マスタ!$H$6:$H$405,$AN1827)),"時短終了日がマスタと相違／","")))&amp;IF(AND($B1827&lt;&gt;"",$E1827=""),"報酬額が未入力／","")&amp;IF(N($U1827)&gt;0,"申請書に入力エラーが残っています／","")&amp;IF(AND($B1827&lt;&gt;"",$AO1827&lt;&gt;""),IF(COUNTIFS($B$6:$B$3005,$B1827,$C$6:$C$3005,$C1827,$D$6:$D$3005,$D1827)&gt;1,"同じ月の請求が重複しています／",""),"")&amp;IF(AND(N($E1827)&gt;0,$Z1827&lt;&gt;"",$Z1827&lt;&gt;"×",$AC1827=0,$AB1827=""),"計算額が下限以下のため不支給／",""))</f>
        <v/>
      </c>
      <c r="AL1827" s="12" t="n"/>
      <c r="AM1827" s="14">
        <f>IF($AD1827="保留中",COUNTIF($AD$6:$AD1827,"保留中"),"")</f>
        <v/>
      </c>
      <c r="AN1827" s="14">
        <f>IF($AO1827="","",IF(SUMPRODUCT(MAX((職員マスタ!$A$6:$A$405=$B1827)*(((職員マスタ!$G$6:$G$405="")+(職員マスタ!$G$6:$G$405&lt;=EOMONTH($AO1827,0)))&gt;0)*(((職員マスタ!$H$6:$H$405="")+(職員マスタ!$H$6:$H$405&gt;=$AO1827))&gt;0)*(ROW(職員マスタ!$A$6:$A$405)-5)))&gt;0,SUMPRODUCT(MAX((職員マスタ!$A$6:$A$405=$B1827)*(((職員マスタ!$G$6:$G$405="")+(職員マスタ!$G$6:$G$405&lt;=EOMONTH($AO1827,0)))&gt;0)*(((職員マスタ!$H$6:$H$405="")+(職員マスタ!$H$6:$H$405&gt;=$AO1827))&gt;0)*(ROW(職員マスタ!$A$6:$A$405)-5))),IFERROR(MATCH($B1827,職員マスタ!$A$6:$A$405,0),"")))</f>
        <v/>
      </c>
      <c r="AO1827" s="16">
        <f>IF(OR($B1827="",$C1827="",$D1827=""),"",DATE($C1827+2018,$D1827,1))</f>
        <v/>
      </c>
    </row>
    <row r="1828">
      <c r="A1828" s="11" t="n"/>
      <c r="B1828" s="12" t="n"/>
      <c r="C1828" s="12" t="n"/>
      <c r="D1828" s="12" t="n"/>
      <c r="E1828" s="13" t="n"/>
      <c r="F1828" s="12" t="n"/>
      <c r="G1828" s="13" t="n"/>
      <c r="H1828" s="12" t="n"/>
      <c r="I1828" s="12" t="n"/>
      <c r="J1828" s="12" t="n"/>
      <c r="K1828" s="12" t="n"/>
      <c r="L1828" s="11" t="n"/>
      <c r="M1828" s="11" t="n"/>
      <c r="N1828" s="11" t="n"/>
      <c r="O1828" s="11" t="n"/>
      <c r="P1828" s="12" t="n"/>
      <c r="Q1828" s="11" t="n"/>
      <c r="R1828" s="12" t="n"/>
      <c r="S1828" s="11" t="n"/>
      <c r="T1828" s="12" t="n"/>
      <c r="U1828" s="12" t="n"/>
      <c r="V1828" s="14">
        <f>IF($AN1828="",IF($B1828="","",$H1828),IF(INDEX(職員マスタ!$B$6:$B$405,$AN1828)="",$H1828,INDEX(職員マスタ!$B$6:$B$405,$AN1828)))</f>
        <v/>
      </c>
      <c r="W1828" s="14">
        <f>IF($AN1828="",IF($B1828="","",$R1828),IF(INDEX(職員マスタ!$C$6:$C$405,$AN1828)="",$R1828,INDEX(職員マスタ!$C$6:$C$405,$AN1828)))</f>
        <v/>
      </c>
      <c r="X1828" s="14">
        <f>IF($AO1828="","","R"&amp;$C1828&amp;"."&amp;$D1828)</f>
        <v/>
      </c>
      <c r="Y1828" s="15">
        <f>IF($AN1828="","",IF(INDEX(職員マスタ!$K$6:$K$405,$AN1828)="","",INDEX(職員マスタ!$K$6:$K$405,$AN1828)))</f>
        <v/>
      </c>
      <c r="Z1828" s="14">
        <f>IF(OR($E1828="",$Y1828=""),"",IF($E1828&gt;=$Y1828,"×",IF($E1828&gt;=$Y1828*設定!$C$5,"△","○")))</f>
        <v/>
      </c>
      <c r="AA1828" s="15">
        <f>IF($Z1828="","",IF($Z1828="×",0,IF($Z1828="○",ROUNDDOWN($E1828*設定!$C$4,0),ROUNDDOWN($E1828*ROUND((9*$Y1828-9*$E1828)/(10*$E1828),4),0))))</f>
        <v/>
      </c>
      <c r="AB1828" s="13" t="n"/>
      <c r="AC1828" s="15">
        <f>IF($B1828="","",IF($AB1828&lt;&gt;"",$AB1828,IF($AA1828="","",IF($AA1828&lt;=設定!$C$3,0,$AA1828))))</f>
        <v/>
      </c>
      <c r="AD1828" s="14">
        <f>IF($B1828="","",IF(AND($AE1828&lt;&gt;"",$AG1828="",$AJ1828=""),"保留中",IF($AJ1828&lt;&gt;"",IF(N($AC1828)&gt;0,"支給済","不支給"),IF($AC1828="","要確認",IF($AC1828=0,"不支給","未処理")))))</f>
        <v/>
      </c>
      <c r="AE1828" s="12" t="n"/>
      <c r="AF1828" s="11" t="n"/>
      <c r="AG1828" s="11" t="n"/>
      <c r="AH1828" s="11" t="n"/>
      <c r="AI1828" s="14">
        <f>IF(AND($AD1828="保留中",$AF1828&lt;&gt;""),TODAY()-$AF1828,"")</f>
        <v/>
      </c>
      <c r="AJ1828" s="12" t="n"/>
      <c r="AK1828" s="14">
        <f>IF($B1828="","",IF($AO1828="","対象年月が未入力／","")&amp;IF($B1828="","",IF($AN1828="","職員マスタに未登録の職員番号／",IF($Y1828="","標準報酬月額が未登録／","")&amp;IF(AND($AO1828&lt;&gt;"",OR(AND(INDEX(職員マスタ!$G$6:$G$405,$AN1828)&lt;&gt;"",INDEX(職員マスタ!$G$6:$G$405,$AN1828)&gt;EOMONTH($AO1828,0)),AND(INDEX(職員マスタ!$H$6:$H$405,$AN1828)&lt;&gt;"",INDEX(職員マスタ!$H$6:$H$405,$AN1828)&lt;$AO1828))),"対象月が時短期間外／","")&amp;IF(AND(INDEX(職員マスタ!$F$6:$F$405,$AN1828)&lt;&gt;"",$AO1828&lt;&gt;"",INDEX(職員マスタ!$F$6:$F$405,$AN1828)&lt;$AO1828),"対象月に子が2歳到達済／","")&amp;IF(AND($H1828&lt;&gt;"",INDEX(職員マスタ!$B$6:$B$405,$AN1828)&lt;&gt;"",SUBSTITUTE(SUBSTITUTE($H1828," ","")," ","")&lt;&gt;SUBSTITUTE(SUBSTITUTE(INDEX(職員マスタ!$B$6:$B$405,$AN1828)," ","")," ","")),"氏名がマスタと相違／","")&amp;IF(AND($Q1828&lt;&gt;"",INDEX(職員マスタ!$E$6:$E$405,$AN1828)&lt;&gt;"",$Q1828&lt;&gt;INDEX(職員マスタ!$E$6:$E$405,$AN1828)),"子の生年月日がマスタと相違／","")&amp;IF(AND($L1828&lt;&gt;"",INDEX(職員マスタ!$G$6:$G$405,$AN1828)&lt;&gt;"",$L1828&lt;&gt;INDEX(職員マスタ!$G$6:$G$405,$AN1828)),"時短開始日がマスタと相違／","")&amp;IF(AND($M1828&lt;&gt;"",INDEX(職員マスタ!$H$6:$H$405,$AN1828)&lt;&gt;"",$M1828&lt;&gt;INDEX(職員マスタ!$H$6:$H$405,$AN1828)),"時短終了日がマスタと相違／","")))&amp;IF(AND($B1828&lt;&gt;"",$E1828=""),"報酬額が未入力／","")&amp;IF(N($U1828)&gt;0,"申請書に入力エラーが残っています／","")&amp;IF(AND($B1828&lt;&gt;"",$AO1828&lt;&gt;""),IF(COUNTIFS($B$6:$B$3005,$B1828,$C$6:$C$3005,$C1828,$D$6:$D$3005,$D1828)&gt;1,"同じ月の請求が重複しています／",""),"")&amp;IF(AND(N($E1828)&gt;0,$Z1828&lt;&gt;"",$Z1828&lt;&gt;"×",$AC1828=0,$AB1828=""),"計算額が下限以下のため不支給／",""))</f>
        <v/>
      </c>
      <c r="AL1828" s="12" t="n"/>
      <c r="AM1828" s="14">
        <f>IF($AD1828="保留中",COUNTIF($AD$6:$AD1828,"保留中"),"")</f>
        <v/>
      </c>
      <c r="AN1828" s="14">
        <f>IF($AO1828="","",IF(SUMPRODUCT(MAX((職員マスタ!$A$6:$A$405=$B1828)*(((職員マスタ!$G$6:$G$405="")+(職員マスタ!$G$6:$G$405&lt;=EOMONTH($AO1828,0)))&gt;0)*(((職員マスタ!$H$6:$H$405="")+(職員マスタ!$H$6:$H$405&gt;=$AO1828))&gt;0)*(ROW(職員マスタ!$A$6:$A$405)-5)))&gt;0,SUMPRODUCT(MAX((職員マスタ!$A$6:$A$405=$B1828)*(((職員マスタ!$G$6:$G$405="")+(職員マスタ!$G$6:$G$405&lt;=EOMONTH($AO1828,0)))&gt;0)*(((職員マスタ!$H$6:$H$405="")+(職員マスタ!$H$6:$H$405&gt;=$AO1828))&gt;0)*(ROW(職員マスタ!$A$6:$A$405)-5))),IFERROR(MATCH($B1828,職員マスタ!$A$6:$A$405,0),"")))</f>
        <v/>
      </c>
      <c r="AO1828" s="16">
        <f>IF(OR($B1828="",$C1828="",$D1828=""),"",DATE($C1828+2018,$D1828,1))</f>
        <v/>
      </c>
    </row>
    <row r="1829">
      <c r="A1829" s="11" t="n"/>
      <c r="B1829" s="12" t="n"/>
      <c r="C1829" s="12" t="n"/>
      <c r="D1829" s="12" t="n"/>
      <c r="E1829" s="13" t="n"/>
      <c r="F1829" s="12" t="n"/>
      <c r="G1829" s="13" t="n"/>
      <c r="H1829" s="12" t="n"/>
      <c r="I1829" s="12" t="n"/>
      <c r="J1829" s="12" t="n"/>
      <c r="K1829" s="12" t="n"/>
      <c r="L1829" s="11" t="n"/>
      <c r="M1829" s="11" t="n"/>
      <c r="N1829" s="11" t="n"/>
      <c r="O1829" s="11" t="n"/>
      <c r="P1829" s="12" t="n"/>
      <c r="Q1829" s="11" t="n"/>
      <c r="R1829" s="12" t="n"/>
      <c r="S1829" s="11" t="n"/>
      <c r="T1829" s="12" t="n"/>
      <c r="U1829" s="12" t="n"/>
      <c r="V1829" s="14">
        <f>IF($AN1829="",IF($B1829="","",$H1829),IF(INDEX(職員マスタ!$B$6:$B$405,$AN1829)="",$H1829,INDEX(職員マスタ!$B$6:$B$405,$AN1829)))</f>
        <v/>
      </c>
      <c r="W1829" s="14">
        <f>IF($AN1829="",IF($B1829="","",$R1829),IF(INDEX(職員マスタ!$C$6:$C$405,$AN1829)="",$R1829,INDEX(職員マスタ!$C$6:$C$405,$AN1829)))</f>
        <v/>
      </c>
      <c r="X1829" s="14">
        <f>IF($AO1829="","","R"&amp;$C1829&amp;"."&amp;$D1829)</f>
        <v/>
      </c>
      <c r="Y1829" s="15">
        <f>IF($AN1829="","",IF(INDEX(職員マスタ!$K$6:$K$405,$AN1829)="","",INDEX(職員マスタ!$K$6:$K$405,$AN1829)))</f>
        <v/>
      </c>
      <c r="Z1829" s="14">
        <f>IF(OR($E1829="",$Y1829=""),"",IF($E1829&gt;=$Y1829,"×",IF($E1829&gt;=$Y1829*設定!$C$5,"△","○")))</f>
        <v/>
      </c>
      <c r="AA1829" s="15">
        <f>IF($Z1829="","",IF($Z1829="×",0,IF($Z1829="○",ROUNDDOWN($E1829*設定!$C$4,0),ROUNDDOWN($E1829*ROUND((9*$Y1829-9*$E1829)/(10*$E1829),4),0))))</f>
        <v/>
      </c>
      <c r="AB1829" s="13" t="n"/>
      <c r="AC1829" s="15">
        <f>IF($B1829="","",IF($AB1829&lt;&gt;"",$AB1829,IF($AA1829="","",IF($AA1829&lt;=設定!$C$3,0,$AA1829))))</f>
        <v/>
      </c>
      <c r="AD1829" s="14">
        <f>IF($B1829="","",IF(AND($AE1829&lt;&gt;"",$AG1829="",$AJ1829=""),"保留中",IF($AJ1829&lt;&gt;"",IF(N($AC1829)&gt;0,"支給済","不支給"),IF($AC1829="","要確認",IF($AC1829=0,"不支給","未処理")))))</f>
        <v/>
      </c>
      <c r="AE1829" s="12" t="n"/>
      <c r="AF1829" s="11" t="n"/>
      <c r="AG1829" s="11" t="n"/>
      <c r="AH1829" s="11" t="n"/>
      <c r="AI1829" s="14">
        <f>IF(AND($AD1829="保留中",$AF1829&lt;&gt;""),TODAY()-$AF1829,"")</f>
        <v/>
      </c>
      <c r="AJ1829" s="12" t="n"/>
      <c r="AK1829" s="14">
        <f>IF($B1829="","",IF($AO1829="","対象年月が未入力／","")&amp;IF($B1829="","",IF($AN1829="","職員マスタに未登録の職員番号／",IF($Y1829="","標準報酬月額が未登録／","")&amp;IF(AND($AO1829&lt;&gt;"",OR(AND(INDEX(職員マスタ!$G$6:$G$405,$AN1829)&lt;&gt;"",INDEX(職員マスタ!$G$6:$G$405,$AN1829)&gt;EOMONTH($AO1829,0)),AND(INDEX(職員マスタ!$H$6:$H$405,$AN1829)&lt;&gt;"",INDEX(職員マスタ!$H$6:$H$405,$AN1829)&lt;$AO1829))),"対象月が時短期間外／","")&amp;IF(AND(INDEX(職員マスタ!$F$6:$F$405,$AN1829)&lt;&gt;"",$AO1829&lt;&gt;"",INDEX(職員マスタ!$F$6:$F$405,$AN1829)&lt;$AO1829),"対象月に子が2歳到達済／","")&amp;IF(AND($H1829&lt;&gt;"",INDEX(職員マスタ!$B$6:$B$405,$AN1829)&lt;&gt;"",SUBSTITUTE(SUBSTITUTE($H1829," ","")," ","")&lt;&gt;SUBSTITUTE(SUBSTITUTE(INDEX(職員マスタ!$B$6:$B$405,$AN1829)," ","")," ","")),"氏名がマスタと相違／","")&amp;IF(AND($Q1829&lt;&gt;"",INDEX(職員マスタ!$E$6:$E$405,$AN1829)&lt;&gt;"",$Q1829&lt;&gt;INDEX(職員マスタ!$E$6:$E$405,$AN1829)),"子の生年月日がマスタと相違／","")&amp;IF(AND($L1829&lt;&gt;"",INDEX(職員マスタ!$G$6:$G$405,$AN1829)&lt;&gt;"",$L1829&lt;&gt;INDEX(職員マスタ!$G$6:$G$405,$AN1829)),"時短開始日がマスタと相違／","")&amp;IF(AND($M1829&lt;&gt;"",INDEX(職員マスタ!$H$6:$H$405,$AN1829)&lt;&gt;"",$M1829&lt;&gt;INDEX(職員マスタ!$H$6:$H$405,$AN1829)),"時短終了日がマスタと相違／","")))&amp;IF(AND($B1829&lt;&gt;"",$E1829=""),"報酬額が未入力／","")&amp;IF(N($U1829)&gt;0,"申請書に入力エラーが残っています／","")&amp;IF(AND($B1829&lt;&gt;"",$AO1829&lt;&gt;""),IF(COUNTIFS($B$6:$B$3005,$B1829,$C$6:$C$3005,$C1829,$D$6:$D$3005,$D1829)&gt;1,"同じ月の請求が重複しています／",""),"")&amp;IF(AND(N($E1829)&gt;0,$Z1829&lt;&gt;"",$Z1829&lt;&gt;"×",$AC1829=0,$AB1829=""),"計算額が下限以下のため不支給／",""))</f>
        <v/>
      </c>
      <c r="AL1829" s="12" t="n"/>
      <c r="AM1829" s="14">
        <f>IF($AD1829="保留中",COUNTIF($AD$6:$AD1829,"保留中"),"")</f>
        <v/>
      </c>
      <c r="AN1829" s="14">
        <f>IF($AO1829="","",IF(SUMPRODUCT(MAX((職員マスタ!$A$6:$A$405=$B1829)*(((職員マスタ!$G$6:$G$405="")+(職員マスタ!$G$6:$G$405&lt;=EOMONTH($AO1829,0)))&gt;0)*(((職員マスタ!$H$6:$H$405="")+(職員マスタ!$H$6:$H$405&gt;=$AO1829))&gt;0)*(ROW(職員マスタ!$A$6:$A$405)-5)))&gt;0,SUMPRODUCT(MAX((職員マスタ!$A$6:$A$405=$B1829)*(((職員マスタ!$G$6:$G$405="")+(職員マスタ!$G$6:$G$405&lt;=EOMONTH($AO1829,0)))&gt;0)*(((職員マスタ!$H$6:$H$405="")+(職員マスタ!$H$6:$H$405&gt;=$AO1829))&gt;0)*(ROW(職員マスタ!$A$6:$A$405)-5))),IFERROR(MATCH($B1829,職員マスタ!$A$6:$A$405,0),"")))</f>
        <v/>
      </c>
      <c r="AO1829" s="16">
        <f>IF(OR($B1829="",$C1829="",$D1829=""),"",DATE($C1829+2018,$D1829,1))</f>
        <v/>
      </c>
    </row>
    <row r="1830">
      <c r="A1830" s="11" t="n"/>
      <c r="B1830" s="12" t="n"/>
      <c r="C1830" s="12" t="n"/>
      <c r="D1830" s="12" t="n"/>
      <c r="E1830" s="13" t="n"/>
      <c r="F1830" s="12" t="n"/>
      <c r="G1830" s="13" t="n"/>
      <c r="H1830" s="12" t="n"/>
      <c r="I1830" s="12" t="n"/>
      <c r="J1830" s="12" t="n"/>
      <c r="K1830" s="12" t="n"/>
      <c r="L1830" s="11" t="n"/>
      <c r="M1830" s="11" t="n"/>
      <c r="N1830" s="11" t="n"/>
      <c r="O1830" s="11" t="n"/>
      <c r="P1830" s="12" t="n"/>
      <c r="Q1830" s="11" t="n"/>
      <c r="R1830" s="12" t="n"/>
      <c r="S1830" s="11" t="n"/>
      <c r="T1830" s="12" t="n"/>
      <c r="U1830" s="12" t="n"/>
      <c r="V1830" s="14">
        <f>IF($AN1830="",IF($B1830="","",$H1830),IF(INDEX(職員マスタ!$B$6:$B$405,$AN1830)="",$H1830,INDEX(職員マスタ!$B$6:$B$405,$AN1830)))</f>
        <v/>
      </c>
      <c r="W1830" s="14">
        <f>IF($AN1830="",IF($B1830="","",$R1830),IF(INDEX(職員マスタ!$C$6:$C$405,$AN1830)="",$R1830,INDEX(職員マスタ!$C$6:$C$405,$AN1830)))</f>
        <v/>
      </c>
      <c r="X1830" s="14">
        <f>IF($AO1830="","","R"&amp;$C1830&amp;"."&amp;$D1830)</f>
        <v/>
      </c>
      <c r="Y1830" s="15">
        <f>IF($AN1830="","",IF(INDEX(職員マスタ!$K$6:$K$405,$AN1830)="","",INDEX(職員マスタ!$K$6:$K$405,$AN1830)))</f>
        <v/>
      </c>
      <c r="Z1830" s="14">
        <f>IF(OR($E1830="",$Y1830=""),"",IF($E1830&gt;=$Y1830,"×",IF($E1830&gt;=$Y1830*設定!$C$5,"△","○")))</f>
        <v/>
      </c>
      <c r="AA1830" s="15">
        <f>IF($Z1830="","",IF($Z1830="×",0,IF($Z1830="○",ROUNDDOWN($E1830*設定!$C$4,0),ROUNDDOWN($E1830*ROUND((9*$Y1830-9*$E1830)/(10*$E1830),4),0))))</f>
        <v/>
      </c>
      <c r="AB1830" s="13" t="n"/>
      <c r="AC1830" s="15">
        <f>IF($B1830="","",IF($AB1830&lt;&gt;"",$AB1830,IF($AA1830="","",IF($AA1830&lt;=設定!$C$3,0,$AA1830))))</f>
        <v/>
      </c>
      <c r="AD1830" s="14">
        <f>IF($B1830="","",IF(AND($AE1830&lt;&gt;"",$AG1830="",$AJ1830=""),"保留中",IF($AJ1830&lt;&gt;"",IF(N($AC1830)&gt;0,"支給済","不支給"),IF($AC1830="","要確認",IF($AC1830=0,"不支給","未処理")))))</f>
        <v/>
      </c>
      <c r="AE1830" s="12" t="n"/>
      <c r="AF1830" s="11" t="n"/>
      <c r="AG1830" s="11" t="n"/>
      <c r="AH1830" s="11" t="n"/>
      <c r="AI1830" s="14">
        <f>IF(AND($AD1830="保留中",$AF1830&lt;&gt;""),TODAY()-$AF1830,"")</f>
        <v/>
      </c>
      <c r="AJ1830" s="12" t="n"/>
      <c r="AK1830" s="14">
        <f>IF($B1830="","",IF($AO1830="","対象年月が未入力／","")&amp;IF($B1830="","",IF($AN1830="","職員マスタに未登録の職員番号／",IF($Y1830="","標準報酬月額が未登録／","")&amp;IF(AND($AO1830&lt;&gt;"",OR(AND(INDEX(職員マスタ!$G$6:$G$405,$AN1830)&lt;&gt;"",INDEX(職員マスタ!$G$6:$G$405,$AN1830)&gt;EOMONTH($AO1830,0)),AND(INDEX(職員マスタ!$H$6:$H$405,$AN1830)&lt;&gt;"",INDEX(職員マスタ!$H$6:$H$405,$AN1830)&lt;$AO1830))),"対象月が時短期間外／","")&amp;IF(AND(INDEX(職員マスタ!$F$6:$F$405,$AN1830)&lt;&gt;"",$AO1830&lt;&gt;"",INDEX(職員マスタ!$F$6:$F$405,$AN1830)&lt;$AO1830),"対象月に子が2歳到達済／","")&amp;IF(AND($H1830&lt;&gt;"",INDEX(職員マスタ!$B$6:$B$405,$AN1830)&lt;&gt;"",SUBSTITUTE(SUBSTITUTE($H1830," ","")," ","")&lt;&gt;SUBSTITUTE(SUBSTITUTE(INDEX(職員マスタ!$B$6:$B$405,$AN1830)," ","")," ","")),"氏名がマスタと相違／","")&amp;IF(AND($Q1830&lt;&gt;"",INDEX(職員マスタ!$E$6:$E$405,$AN1830)&lt;&gt;"",$Q1830&lt;&gt;INDEX(職員マスタ!$E$6:$E$405,$AN1830)),"子の生年月日がマスタと相違／","")&amp;IF(AND($L1830&lt;&gt;"",INDEX(職員マスタ!$G$6:$G$405,$AN1830)&lt;&gt;"",$L1830&lt;&gt;INDEX(職員マスタ!$G$6:$G$405,$AN1830)),"時短開始日がマスタと相違／","")&amp;IF(AND($M1830&lt;&gt;"",INDEX(職員マスタ!$H$6:$H$405,$AN1830)&lt;&gt;"",$M1830&lt;&gt;INDEX(職員マスタ!$H$6:$H$405,$AN1830)),"時短終了日がマスタと相違／","")))&amp;IF(AND($B1830&lt;&gt;"",$E1830=""),"報酬額が未入力／","")&amp;IF(N($U1830)&gt;0,"申請書に入力エラーが残っています／","")&amp;IF(AND($B1830&lt;&gt;"",$AO1830&lt;&gt;""),IF(COUNTIFS($B$6:$B$3005,$B1830,$C$6:$C$3005,$C1830,$D$6:$D$3005,$D1830)&gt;1,"同じ月の請求が重複しています／",""),"")&amp;IF(AND(N($E1830)&gt;0,$Z1830&lt;&gt;"",$Z1830&lt;&gt;"×",$AC1830=0,$AB1830=""),"計算額が下限以下のため不支給／",""))</f>
        <v/>
      </c>
      <c r="AL1830" s="12" t="n"/>
      <c r="AM1830" s="14">
        <f>IF($AD1830="保留中",COUNTIF($AD$6:$AD1830,"保留中"),"")</f>
        <v/>
      </c>
      <c r="AN1830" s="14">
        <f>IF($AO1830="","",IF(SUMPRODUCT(MAX((職員マスタ!$A$6:$A$405=$B1830)*(((職員マスタ!$G$6:$G$405="")+(職員マスタ!$G$6:$G$405&lt;=EOMONTH($AO1830,0)))&gt;0)*(((職員マスタ!$H$6:$H$405="")+(職員マスタ!$H$6:$H$405&gt;=$AO1830))&gt;0)*(ROW(職員マスタ!$A$6:$A$405)-5)))&gt;0,SUMPRODUCT(MAX((職員マスタ!$A$6:$A$405=$B1830)*(((職員マスタ!$G$6:$G$405="")+(職員マスタ!$G$6:$G$405&lt;=EOMONTH($AO1830,0)))&gt;0)*(((職員マスタ!$H$6:$H$405="")+(職員マスタ!$H$6:$H$405&gt;=$AO1830))&gt;0)*(ROW(職員マスタ!$A$6:$A$405)-5))),IFERROR(MATCH($B1830,職員マスタ!$A$6:$A$405,0),"")))</f>
        <v/>
      </c>
      <c r="AO1830" s="16">
        <f>IF(OR($B1830="",$C1830="",$D1830=""),"",DATE($C1830+2018,$D1830,1))</f>
        <v/>
      </c>
    </row>
    <row r="1831">
      <c r="A1831" s="11" t="n"/>
      <c r="B1831" s="12" t="n"/>
      <c r="C1831" s="12" t="n"/>
      <c r="D1831" s="12" t="n"/>
      <c r="E1831" s="13" t="n"/>
      <c r="F1831" s="12" t="n"/>
      <c r="G1831" s="13" t="n"/>
      <c r="H1831" s="12" t="n"/>
      <c r="I1831" s="12" t="n"/>
      <c r="J1831" s="12" t="n"/>
      <c r="K1831" s="12" t="n"/>
      <c r="L1831" s="11" t="n"/>
      <c r="M1831" s="11" t="n"/>
      <c r="N1831" s="11" t="n"/>
      <c r="O1831" s="11" t="n"/>
      <c r="P1831" s="12" t="n"/>
      <c r="Q1831" s="11" t="n"/>
      <c r="R1831" s="12" t="n"/>
      <c r="S1831" s="11" t="n"/>
      <c r="T1831" s="12" t="n"/>
      <c r="U1831" s="12" t="n"/>
      <c r="V1831" s="14">
        <f>IF($AN1831="",IF($B1831="","",$H1831),IF(INDEX(職員マスタ!$B$6:$B$405,$AN1831)="",$H1831,INDEX(職員マスタ!$B$6:$B$405,$AN1831)))</f>
        <v/>
      </c>
      <c r="W1831" s="14">
        <f>IF($AN1831="",IF($B1831="","",$R1831),IF(INDEX(職員マスタ!$C$6:$C$405,$AN1831)="",$R1831,INDEX(職員マスタ!$C$6:$C$405,$AN1831)))</f>
        <v/>
      </c>
      <c r="X1831" s="14">
        <f>IF($AO1831="","","R"&amp;$C1831&amp;"."&amp;$D1831)</f>
        <v/>
      </c>
      <c r="Y1831" s="15">
        <f>IF($AN1831="","",IF(INDEX(職員マスタ!$K$6:$K$405,$AN1831)="","",INDEX(職員マスタ!$K$6:$K$405,$AN1831)))</f>
        <v/>
      </c>
      <c r="Z1831" s="14">
        <f>IF(OR($E1831="",$Y1831=""),"",IF($E1831&gt;=$Y1831,"×",IF($E1831&gt;=$Y1831*設定!$C$5,"△","○")))</f>
        <v/>
      </c>
      <c r="AA1831" s="15">
        <f>IF($Z1831="","",IF($Z1831="×",0,IF($Z1831="○",ROUNDDOWN($E1831*設定!$C$4,0),ROUNDDOWN($E1831*ROUND((9*$Y1831-9*$E1831)/(10*$E1831),4),0))))</f>
        <v/>
      </c>
      <c r="AB1831" s="13" t="n"/>
      <c r="AC1831" s="15">
        <f>IF($B1831="","",IF($AB1831&lt;&gt;"",$AB1831,IF($AA1831="","",IF($AA1831&lt;=設定!$C$3,0,$AA1831))))</f>
        <v/>
      </c>
      <c r="AD1831" s="14">
        <f>IF($B1831="","",IF(AND($AE1831&lt;&gt;"",$AG1831="",$AJ1831=""),"保留中",IF($AJ1831&lt;&gt;"",IF(N($AC1831)&gt;0,"支給済","不支給"),IF($AC1831="","要確認",IF($AC1831=0,"不支給","未処理")))))</f>
        <v/>
      </c>
      <c r="AE1831" s="12" t="n"/>
      <c r="AF1831" s="11" t="n"/>
      <c r="AG1831" s="11" t="n"/>
      <c r="AH1831" s="11" t="n"/>
      <c r="AI1831" s="14">
        <f>IF(AND($AD1831="保留中",$AF1831&lt;&gt;""),TODAY()-$AF1831,"")</f>
        <v/>
      </c>
      <c r="AJ1831" s="12" t="n"/>
      <c r="AK1831" s="14">
        <f>IF($B1831="","",IF($AO1831="","対象年月が未入力／","")&amp;IF($B1831="","",IF($AN1831="","職員マスタに未登録の職員番号／",IF($Y1831="","標準報酬月額が未登録／","")&amp;IF(AND($AO1831&lt;&gt;"",OR(AND(INDEX(職員マスタ!$G$6:$G$405,$AN1831)&lt;&gt;"",INDEX(職員マスタ!$G$6:$G$405,$AN1831)&gt;EOMONTH($AO1831,0)),AND(INDEX(職員マスタ!$H$6:$H$405,$AN1831)&lt;&gt;"",INDEX(職員マスタ!$H$6:$H$405,$AN1831)&lt;$AO1831))),"対象月が時短期間外／","")&amp;IF(AND(INDEX(職員マスタ!$F$6:$F$405,$AN1831)&lt;&gt;"",$AO1831&lt;&gt;"",INDEX(職員マスタ!$F$6:$F$405,$AN1831)&lt;$AO1831),"対象月に子が2歳到達済／","")&amp;IF(AND($H1831&lt;&gt;"",INDEX(職員マスタ!$B$6:$B$405,$AN1831)&lt;&gt;"",SUBSTITUTE(SUBSTITUTE($H1831," ","")," ","")&lt;&gt;SUBSTITUTE(SUBSTITUTE(INDEX(職員マスタ!$B$6:$B$405,$AN1831)," ","")," ","")),"氏名がマスタと相違／","")&amp;IF(AND($Q1831&lt;&gt;"",INDEX(職員マスタ!$E$6:$E$405,$AN1831)&lt;&gt;"",$Q1831&lt;&gt;INDEX(職員マスタ!$E$6:$E$405,$AN1831)),"子の生年月日がマスタと相違／","")&amp;IF(AND($L1831&lt;&gt;"",INDEX(職員マスタ!$G$6:$G$405,$AN1831)&lt;&gt;"",$L1831&lt;&gt;INDEX(職員マスタ!$G$6:$G$405,$AN1831)),"時短開始日がマスタと相違／","")&amp;IF(AND($M1831&lt;&gt;"",INDEX(職員マスタ!$H$6:$H$405,$AN1831)&lt;&gt;"",$M1831&lt;&gt;INDEX(職員マスタ!$H$6:$H$405,$AN1831)),"時短終了日がマスタと相違／","")))&amp;IF(AND($B1831&lt;&gt;"",$E1831=""),"報酬額が未入力／","")&amp;IF(N($U1831)&gt;0,"申請書に入力エラーが残っています／","")&amp;IF(AND($B1831&lt;&gt;"",$AO1831&lt;&gt;""),IF(COUNTIFS($B$6:$B$3005,$B1831,$C$6:$C$3005,$C1831,$D$6:$D$3005,$D1831)&gt;1,"同じ月の請求が重複しています／",""),"")&amp;IF(AND(N($E1831)&gt;0,$Z1831&lt;&gt;"",$Z1831&lt;&gt;"×",$AC1831=0,$AB1831=""),"計算額が下限以下のため不支給／",""))</f>
        <v/>
      </c>
      <c r="AL1831" s="12" t="n"/>
      <c r="AM1831" s="14">
        <f>IF($AD1831="保留中",COUNTIF($AD$6:$AD1831,"保留中"),"")</f>
        <v/>
      </c>
      <c r="AN1831" s="14">
        <f>IF($AO1831="","",IF(SUMPRODUCT(MAX((職員マスタ!$A$6:$A$405=$B1831)*(((職員マスタ!$G$6:$G$405="")+(職員マスタ!$G$6:$G$405&lt;=EOMONTH($AO1831,0)))&gt;0)*(((職員マスタ!$H$6:$H$405="")+(職員マスタ!$H$6:$H$405&gt;=$AO1831))&gt;0)*(ROW(職員マスタ!$A$6:$A$405)-5)))&gt;0,SUMPRODUCT(MAX((職員マスタ!$A$6:$A$405=$B1831)*(((職員マスタ!$G$6:$G$405="")+(職員マスタ!$G$6:$G$405&lt;=EOMONTH($AO1831,0)))&gt;0)*(((職員マスタ!$H$6:$H$405="")+(職員マスタ!$H$6:$H$405&gt;=$AO1831))&gt;0)*(ROW(職員マスタ!$A$6:$A$405)-5))),IFERROR(MATCH($B1831,職員マスタ!$A$6:$A$405,0),"")))</f>
        <v/>
      </c>
      <c r="AO1831" s="16">
        <f>IF(OR($B1831="",$C1831="",$D1831=""),"",DATE($C1831+2018,$D1831,1))</f>
        <v/>
      </c>
    </row>
    <row r="1832">
      <c r="A1832" s="11" t="n"/>
      <c r="B1832" s="12" t="n"/>
      <c r="C1832" s="12" t="n"/>
      <c r="D1832" s="12" t="n"/>
      <c r="E1832" s="13" t="n"/>
      <c r="F1832" s="12" t="n"/>
      <c r="G1832" s="13" t="n"/>
      <c r="H1832" s="12" t="n"/>
      <c r="I1832" s="12" t="n"/>
      <c r="J1832" s="12" t="n"/>
      <c r="K1832" s="12" t="n"/>
      <c r="L1832" s="11" t="n"/>
      <c r="M1832" s="11" t="n"/>
      <c r="N1832" s="11" t="n"/>
      <c r="O1832" s="11" t="n"/>
      <c r="P1832" s="12" t="n"/>
      <c r="Q1832" s="11" t="n"/>
      <c r="R1832" s="12" t="n"/>
      <c r="S1832" s="11" t="n"/>
      <c r="T1832" s="12" t="n"/>
      <c r="U1832" s="12" t="n"/>
      <c r="V1832" s="14">
        <f>IF($AN1832="",IF($B1832="","",$H1832),IF(INDEX(職員マスタ!$B$6:$B$405,$AN1832)="",$H1832,INDEX(職員マスタ!$B$6:$B$405,$AN1832)))</f>
        <v/>
      </c>
      <c r="W1832" s="14">
        <f>IF($AN1832="",IF($B1832="","",$R1832),IF(INDEX(職員マスタ!$C$6:$C$405,$AN1832)="",$R1832,INDEX(職員マスタ!$C$6:$C$405,$AN1832)))</f>
        <v/>
      </c>
      <c r="X1832" s="14">
        <f>IF($AO1832="","","R"&amp;$C1832&amp;"."&amp;$D1832)</f>
        <v/>
      </c>
      <c r="Y1832" s="15">
        <f>IF($AN1832="","",IF(INDEX(職員マスタ!$K$6:$K$405,$AN1832)="","",INDEX(職員マスタ!$K$6:$K$405,$AN1832)))</f>
        <v/>
      </c>
      <c r="Z1832" s="14">
        <f>IF(OR($E1832="",$Y1832=""),"",IF($E1832&gt;=$Y1832,"×",IF($E1832&gt;=$Y1832*設定!$C$5,"△","○")))</f>
        <v/>
      </c>
      <c r="AA1832" s="15">
        <f>IF($Z1832="","",IF($Z1832="×",0,IF($Z1832="○",ROUNDDOWN($E1832*設定!$C$4,0),ROUNDDOWN($E1832*ROUND((9*$Y1832-9*$E1832)/(10*$E1832),4),0))))</f>
        <v/>
      </c>
      <c r="AB1832" s="13" t="n"/>
      <c r="AC1832" s="15">
        <f>IF($B1832="","",IF($AB1832&lt;&gt;"",$AB1832,IF($AA1832="","",IF($AA1832&lt;=設定!$C$3,0,$AA1832))))</f>
        <v/>
      </c>
      <c r="AD1832" s="14">
        <f>IF($B1832="","",IF(AND($AE1832&lt;&gt;"",$AG1832="",$AJ1832=""),"保留中",IF($AJ1832&lt;&gt;"",IF(N($AC1832)&gt;0,"支給済","不支給"),IF($AC1832="","要確認",IF($AC1832=0,"不支給","未処理")))))</f>
        <v/>
      </c>
      <c r="AE1832" s="12" t="n"/>
      <c r="AF1832" s="11" t="n"/>
      <c r="AG1832" s="11" t="n"/>
      <c r="AH1832" s="11" t="n"/>
      <c r="AI1832" s="14">
        <f>IF(AND($AD1832="保留中",$AF1832&lt;&gt;""),TODAY()-$AF1832,"")</f>
        <v/>
      </c>
      <c r="AJ1832" s="12" t="n"/>
      <c r="AK1832" s="14">
        <f>IF($B1832="","",IF($AO1832="","対象年月が未入力／","")&amp;IF($B1832="","",IF($AN1832="","職員マスタに未登録の職員番号／",IF($Y1832="","標準報酬月額が未登録／","")&amp;IF(AND($AO1832&lt;&gt;"",OR(AND(INDEX(職員マスタ!$G$6:$G$405,$AN1832)&lt;&gt;"",INDEX(職員マスタ!$G$6:$G$405,$AN1832)&gt;EOMONTH($AO1832,0)),AND(INDEX(職員マスタ!$H$6:$H$405,$AN1832)&lt;&gt;"",INDEX(職員マスタ!$H$6:$H$405,$AN1832)&lt;$AO1832))),"対象月が時短期間外／","")&amp;IF(AND(INDEX(職員マスタ!$F$6:$F$405,$AN1832)&lt;&gt;"",$AO1832&lt;&gt;"",INDEX(職員マスタ!$F$6:$F$405,$AN1832)&lt;$AO1832),"対象月に子が2歳到達済／","")&amp;IF(AND($H1832&lt;&gt;"",INDEX(職員マスタ!$B$6:$B$405,$AN1832)&lt;&gt;"",SUBSTITUTE(SUBSTITUTE($H1832," ","")," ","")&lt;&gt;SUBSTITUTE(SUBSTITUTE(INDEX(職員マスタ!$B$6:$B$405,$AN1832)," ","")," ","")),"氏名がマスタと相違／","")&amp;IF(AND($Q1832&lt;&gt;"",INDEX(職員マスタ!$E$6:$E$405,$AN1832)&lt;&gt;"",$Q1832&lt;&gt;INDEX(職員マスタ!$E$6:$E$405,$AN1832)),"子の生年月日がマスタと相違／","")&amp;IF(AND($L1832&lt;&gt;"",INDEX(職員マスタ!$G$6:$G$405,$AN1832)&lt;&gt;"",$L1832&lt;&gt;INDEX(職員マスタ!$G$6:$G$405,$AN1832)),"時短開始日がマスタと相違／","")&amp;IF(AND($M1832&lt;&gt;"",INDEX(職員マスタ!$H$6:$H$405,$AN1832)&lt;&gt;"",$M1832&lt;&gt;INDEX(職員マスタ!$H$6:$H$405,$AN1832)),"時短終了日がマスタと相違／","")))&amp;IF(AND($B1832&lt;&gt;"",$E1832=""),"報酬額が未入力／","")&amp;IF(N($U1832)&gt;0,"申請書に入力エラーが残っています／","")&amp;IF(AND($B1832&lt;&gt;"",$AO1832&lt;&gt;""),IF(COUNTIFS($B$6:$B$3005,$B1832,$C$6:$C$3005,$C1832,$D$6:$D$3005,$D1832)&gt;1,"同じ月の請求が重複しています／",""),"")&amp;IF(AND(N($E1832)&gt;0,$Z1832&lt;&gt;"",$Z1832&lt;&gt;"×",$AC1832=0,$AB1832=""),"計算額が下限以下のため不支給／",""))</f>
        <v/>
      </c>
      <c r="AL1832" s="12" t="n"/>
      <c r="AM1832" s="14">
        <f>IF($AD1832="保留中",COUNTIF($AD$6:$AD1832,"保留中"),"")</f>
        <v/>
      </c>
      <c r="AN1832" s="14">
        <f>IF($AO1832="","",IF(SUMPRODUCT(MAX((職員マスタ!$A$6:$A$405=$B1832)*(((職員マスタ!$G$6:$G$405="")+(職員マスタ!$G$6:$G$405&lt;=EOMONTH($AO1832,0)))&gt;0)*(((職員マスタ!$H$6:$H$405="")+(職員マスタ!$H$6:$H$405&gt;=$AO1832))&gt;0)*(ROW(職員マスタ!$A$6:$A$405)-5)))&gt;0,SUMPRODUCT(MAX((職員マスタ!$A$6:$A$405=$B1832)*(((職員マスタ!$G$6:$G$405="")+(職員マスタ!$G$6:$G$405&lt;=EOMONTH($AO1832,0)))&gt;0)*(((職員マスタ!$H$6:$H$405="")+(職員マスタ!$H$6:$H$405&gt;=$AO1832))&gt;0)*(ROW(職員マスタ!$A$6:$A$405)-5))),IFERROR(MATCH($B1832,職員マスタ!$A$6:$A$405,0),"")))</f>
        <v/>
      </c>
      <c r="AO1832" s="16">
        <f>IF(OR($B1832="",$C1832="",$D1832=""),"",DATE($C1832+2018,$D1832,1))</f>
        <v/>
      </c>
    </row>
    <row r="1833">
      <c r="A1833" s="11" t="n"/>
      <c r="B1833" s="12" t="n"/>
      <c r="C1833" s="12" t="n"/>
      <c r="D1833" s="12" t="n"/>
      <c r="E1833" s="13" t="n"/>
      <c r="F1833" s="12" t="n"/>
      <c r="G1833" s="13" t="n"/>
      <c r="H1833" s="12" t="n"/>
      <c r="I1833" s="12" t="n"/>
      <c r="J1833" s="12" t="n"/>
      <c r="K1833" s="12" t="n"/>
      <c r="L1833" s="11" t="n"/>
      <c r="M1833" s="11" t="n"/>
      <c r="N1833" s="11" t="n"/>
      <c r="O1833" s="11" t="n"/>
      <c r="P1833" s="12" t="n"/>
      <c r="Q1833" s="11" t="n"/>
      <c r="R1833" s="12" t="n"/>
      <c r="S1833" s="11" t="n"/>
      <c r="T1833" s="12" t="n"/>
      <c r="U1833" s="12" t="n"/>
      <c r="V1833" s="14">
        <f>IF($AN1833="",IF($B1833="","",$H1833),IF(INDEX(職員マスタ!$B$6:$B$405,$AN1833)="",$H1833,INDEX(職員マスタ!$B$6:$B$405,$AN1833)))</f>
        <v/>
      </c>
      <c r="W1833" s="14">
        <f>IF($AN1833="",IF($B1833="","",$R1833),IF(INDEX(職員マスタ!$C$6:$C$405,$AN1833)="",$R1833,INDEX(職員マスタ!$C$6:$C$405,$AN1833)))</f>
        <v/>
      </c>
      <c r="X1833" s="14">
        <f>IF($AO1833="","","R"&amp;$C1833&amp;"."&amp;$D1833)</f>
        <v/>
      </c>
      <c r="Y1833" s="15">
        <f>IF($AN1833="","",IF(INDEX(職員マスタ!$K$6:$K$405,$AN1833)="","",INDEX(職員マスタ!$K$6:$K$405,$AN1833)))</f>
        <v/>
      </c>
      <c r="Z1833" s="14">
        <f>IF(OR($E1833="",$Y1833=""),"",IF($E1833&gt;=$Y1833,"×",IF($E1833&gt;=$Y1833*設定!$C$5,"△","○")))</f>
        <v/>
      </c>
      <c r="AA1833" s="15">
        <f>IF($Z1833="","",IF($Z1833="×",0,IF($Z1833="○",ROUNDDOWN($E1833*設定!$C$4,0),ROUNDDOWN($E1833*ROUND((9*$Y1833-9*$E1833)/(10*$E1833),4),0))))</f>
        <v/>
      </c>
      <c r="AB1833" s="13" t="n"/>
      <c r="AC1833" s="15">
        <f>IF($B1833="","",IF($AB1833&lt;&gt;"",$AB1833,IF($AA1833="","",IF($AA1833&lt;=設定!$C$3,0,$AA1833))))</f>
        <v/>
      </c>
      <c r="AD1833" s="14">
        <f>IF($B1833="","",IF(AND($AE1833&lt;&gt;"",$AG1833="",$AJ1833=""),"保留中",IF($AJ1833&lt;&gt;"",IF(N($AC1833)&gt;0,"支給済","不支給"),IF($AC1833="","要確認",IF($AC1833=0,"不支給","未処理")))))</f>
        <v/>
      </c>
      <c r="AE1833" s="12" t="n"/>
      <c r="AF1833" s="11" t="n"/>
      <c r="AG1833" s="11" t="n"/>
      <c r="AH1833" s="11" t="n"/>
      <c r="AI1833" s="14">
        <f>IF(AND($AD1833="保留中",$AF1833&lt;&gt;""),TODAY()-$AF1833,"")</f>
        <v/>
      </c>
      <c r="AJ1833" s="12" t="n"/>
      <c r="AK1833" s="14">
        <f>IF($B1833="","",IF($AO1833="","対象年月が未入力／","")&amp;IF($B1833="","",IF($AN1833="","職員マスタに未登録の職員番号／",IF($Y1833="","標準報酬月額が未登録／","")&amp;IF(AND($AO1833&lt;&gt;"",OR(AND(INDEX(職員マスタ!$G$6:$G$405,$AN1833)&lt;&gt;"",INDEX(職員マスタ!$G$6:$G$405,$AN1833)&gt;EOMONTH($AO1833,0)),AND(INDEX(職員マスタ!$H$6:$H$405,$AN1833)&lt;&gt;"",INDEX(職員マスタ!$H$6:$H$405,$AN1833)&lt;$AO1833))),"対象月が時短期間外／","")&amp;IF(AND(INDEX(職員マスタ!$F$6:$F$405,$AN1833)&lt;&gt;"",$AO1833&lt;&gt;"",INDEX(職員マスタ!$F$6:$F$405,$AN1833)&lt;$AO1833),"対象月に子が2歳到達済／","")&amp;IF(AND($H1833&lt;&gt;"",INDEX(職員マスタ!$B$6:$B$405,$AN1833)&lt;&gt;"",SUBSTITUTE(SUBSTITUTE($H1833," ","")," ","")&lt;&gt;SUBSTITUTE(SUBSTITUTE(INDEX(職員マスタ!$B$6:$B$405,$AN1833)," ","")," ","")),"氏名がマスタと相違／","")&amp;IF(AND($Q1833&lt;&gt;"",INDEX(職員マスタ!$E$6:$E$405,$AN1833)&lt;&gt;"",$Q1833&lt;&gt;INDEX(職員マスタ!$E$6:$E$405,$AN1833)),"子の生年月日がマスタと相違／","")&amp;IF(AND($L1833&lt;&gt;"",INDEX(職員マスタ!$G$6:$G$405,$AN1833)&lt;&gt;"",$L1833&lt;&gt;INDEX(職員マスタ!$G$6:$G$405,$AN1833)),"時短開始日がマスタと相違／","")&amp;IF(AND($M1833&lt;&gt;"",INDEX(職員マスタ!$H$6:$H$405,$AN1833)&lt;&gt;"",$M1833&lt;&gt;INDEX(職員マスタ!$H$6:$H$405,$AN1833)),"時短終了日がマスタと相違／","")))&amp;IF(AND($B1833&lt;&gt;"",$E1833=""),"報酬額が未入力／","")&amp;IF(N($U1833)&gt;0,"申請書に入力エラーが残っています／","")&amp;IF(AND($B1833&lt;&gt;"",$AO1833&lt;&gt;""),IF(COUNTIFS($B$6:$B$3005,$B1833,$C$6:$C$3005,$C1833,$D$6:$D$3005,$D1833)&gt;1,"同じ月の請求が重複しています／",""),"")&amp;IF(AND(N($E1833)&gt;0,$Z1833&lt;&gt;"",$Z1833&lt;&gt;"×",$AC1833=0,$AB1833=""),"計算額が下限以下のため不支給／",""))</f>
        <v/>
      </c>
      <c r="AL1833" s="12" t="n"/>
      <c r="AM1833" s="14">
        <f>IF($AD1833="保留中",COUNTIF($AD$6:$AD1833,"保留中"),"")</f>
        <v/>
      </c>
      <c r="AN1833" s="14">
        <f>IF($AO1833="","",IF(SUMPRODUCT(MAX((職員マスタ!$A$6:$A$405=$B1833)*(((職員マスタ!$G$6:$G$405="")+(職員マスタ!$G$6:$G$405&lt;=EOMONTH($AO1833,0)))&gt;0)*(((職員マスタ!$H$6:$H$405="")+(職員マスタ!$H$6:$H$405&gt;=$AO1833))&gt;0)*(ROW(職員マスタ!$A$6:$A$405)-5)))&gt;0,SUMPRODUCT(MAX((職員マスタ!$A$6:$A$405=$B1833)*(((職員マスタ!$G$6:$G$405="")+(職員マスタ!$G$6:$G$405&lt;=EOMONTH($AO1833,0)))&gt;0)*(((職員マスタ!$H$6:$H$405="")+(職員マスタ!$H$6:$H$405&gt;=$AO1833))&gt;0)*(ROW(職員マスタ!$A$6:$A$405)-5))),IFERROR(MATCH($B1833,職員マスタ!$A$6:$A$405,0),"")))</f>
        <v/>
      </c>
      <c r="AO1833" s="16">
        <f>IF(OR($B1833="",$C1833="",$D1833=""),"",DATE($C1833+2018,$D1833,1))</f>
        <v/>
      </c>
    </row>
    <row r="1834">
      <c r="A1834" s="11" t="n"/>
      <c r="B1834" s="12" t="n"/>
      <c r="C1834" s="12" t="n"/>
      <c r="D1834" s="12" t="n"/>
      <c r="E1834" s="13" t="n"/>
      <c r="F1834" s="12" t="n"/>
      <c r="G1834" s="13" t="n"/>
      <c r="H1834" s="12" t="n"/>
      <c r="I1834" s="12" t="n"/>
      <c r="J1834" s="12" t="n"/>
      <c r="K1834" s="12" t="n"/>
      <c r="L1834" s="11" t="n"/>
      <c r="M1834" s="11" t="n"/>
      <c r="N1834" s="11" t="n"/>
      <c r="O1834" s="11" t="n"/>
      <c r="P1834" s="12" t="n"/>
      <c r="Q1834" s="11" t="n"/>
      <c r="R1834" s="12" t="n"/>
      <c r="S1834" s="11" t="n"/>
      <c r="T1834" s="12" t="n"/>
      <c r="U1834" s="12" t="n"/>
      <c r="V1834" s="14">
        <f>IF($AN1834="",IF($B1834="","",$H1834),IF(INDEX(職員マスタ!$B$6:$B$405,$AN1834)="",$H1834,INDEX(職員マスタ!$B$6:$B$405,$AN1834)))</f>
        <v/>
      </c>
      <c r="W1834" s="14">
        <f>IF($AN1834="",IF($B1834="","",$R1834),IF(INDEX(職員マスタ!$C$6:$C$405,$AN1834)="",$R1834,INDEX(職員マスタ!$C$6:$C$405,$AN1834)))</f>
        <v/>
      </c>
      <c r="X1834" s="14">
        <f>IF($AO1834="","","R"&amp;$C1834&amp;"."&amp;$D1834)</f>
        <v/>
      </c>
      <c r="Y1834" s="15">
        <f>IF($AN1834="","",IF(INDEX(職員マスタ!$K$6:$K$405,$AN1834)="","",INDEX(職員マスタ!$K$6:$K$405,$AN1834)))</f>
        <v/>
      </c>
      <c r="Z1834" s="14">
        <f>IF(OR($E1834="",$Y1834=""),"",IF($E1834&gt;=$Y1834,"×",IF($E1834&gt;=$Y1834*設定!$C$5,"△","○")))</f>
        <v/>
      </c>
      <c r="AA1834" s="15">
        <f>IF($Z1834="","",IF($Z1834="×",0,IF($Z1834="○",ROUNDDOWN($E1834*設定!$C$4,0),ROUNDDOWN($E1834*ROUND((9*$Y1834-9*$E1834)/(10*$E1834),4),0))))</f>
        <v/>
      </c>
      <c r="AB1834" s="13" t="n"/>
      <c r="AC1834" s="15">
        <f>IF($B1834="","",IF($AB1834&lt;&gt;"",$AB1834,IF($AA1834="","",IF($AA1834&lt;=設定!$C$3,0,$AA1834))))</f>
        <v/>
      </c>
      <c r="AD1834" s="14">
        <f>IF($B1834="","",IF(AND($AE1834&lt;&gt;"",$AG1834="",$AJ1834=""),"保留中",IF($AJ1834&lt;&gt;"",IF(N($AC1834)&gt;0,"支給済","不支給"),IF($AC1834="","要確認",IF($AC1834=0,"不支給","未処理")))))</f>
        <v/>
      </c>
      <c r="AE1834" s="12" t="n"/>
      <c r="AF1834" s="11" t="n"/>
      <c r="AG1834" s="11" t="n"/>
      <c r="AH1834" s="11" t="n"/>
      <c r="AI1834" s="14">
        <f>IF(AND($AD1834="保留中",$AF1834&lt;&gt;""),TODAY()-$AF1834,"")</f>
        <v/>
      </c>
      <c r="AJ1834" s="12" t="n"/>
      <c r="AK1834" s="14">
        <f>IF($B1834="","",IF($AO1834="","対象年月が未入力／","")&amp;IF($B1834="","",IF($AN1834="","職員マスタに未登録の職員番号／",IF($Y1834="","標準報酬月額が未登録／","")&amp;IF(AND($AO1834&lt;&gt;"",OR(AND(INDEX(職員マスタ!$G$6:$G$405,$AN1834)&lt;&gt;"",INDEX(職員マスタ!$G$6:$G$405,$AN1834)&gt;EOMONTH($AO1834,0)),AND(INDEX(職員マスタ!$H$6:$H$405,$AN1834)&lt;&gt;"",INDEX(職員マスタ!$H$6:$H$405,$AN1834)&lt;$AO1834))),"対象月が時短期間外／","")&amp;IF(AND(INDEX(職員マスタ!$F$6:$F$405,$AN1834)&lt;&gt;"",$AO1834&lt;&gt;"",INDEX(職員マスタ!$F$6:$F$405,$AN1834)&lt;$AO1834),"対象月に子が2歳到達済／","")&amp;IF(AND($H1834&lt;&gt;"",INDEX(職員マスタ!$B$6:$B$405,$AN1834)&lt;&gt;"",SUBSTITUTE(SUBSTITUTE($H1834," ","")," ","")&lt;&gt;SUBSTITUTE(SUBSTITUTE(INDEX(職員マスタ!$B$6:$B$405,$AN1834)," ","")," ","")),"氏名がマスタと相違／","")&amp;IF(AND($Q1834&lt;&gt;"",INDEX(職員マスタ!$E$6:$E$405,$AN1834)&lt;&gt;"",$Q1834&lt;&gt;INDEX(職員マスタ!$E$6:$E$405,$AN1834)),"子の生年月日がマスタと相違／","")&amp;IF(AND($L1834&lt;&gt;"",INDEX(職員マスタ!$G$6:$G$405,$AN1834)&lt;&gt;"",$L1834&lt;&gt;INDEX(職員マスタ!$G$6:$G$405,$AN1834)),"時短開始日がマスタと相違／","")&amp;IF(AND($M1834&lt;&gt;"",INDEX(職員マスタ!$H$6:$H$405,$AN1834)&lt;&gt;"",$M1834&lt;&gt;INDEX(職員マスタ!$H$6:$H$405,$AN1834)),"時短終了日がマスタと相違／","")))&amp;IF(AND($B1834&lt;&gt;"",$E1834=""),"報酬額が未入力／","")&amp;IF(N($U1834)&gt;0,"申請書に入力エラーが残っています／","")&amp;IF(AND($B1834&lt;&gt;"",$AO1834&lt;&gt;""),IF(COUNTIFS($B$6:$B$3005,$B1834,$C$6:$C$3005,$C1834,$D$6:$D$3005,$D1834)&gt;1,"同じ月の請求が重複しています／",""),"")&amp;IF(AND(N($E1834)&gt;0,$Z1834&lt;&gt;"",$Z1834&lt;&gt;"×",$AC1834=0,$AB1834=""),"計算額が下限以下のため不支給／",""))</f>
        <v/>
      </c>
      <c r="AL1834" s="12" t="n"/>
      <c r="AM1834" s="14">
        <f>IF($AD1834="保留中",COUNTIF($AD$6:$AD1834,"保留中"),"")</f>
        <v/>
      </c>
      <c r="AN1834" s="14">
        <f>IF($AO1834="","",IF(SUMPRODUCT(MAX((職員マスタ!$A$6:$A$405=$B1834)*(((職員マスタ!$G$6:$G$405="")+(職員マスタ!$G$6:$G$405&lt;=EOMONTH($AO1834,0)))&gt;0)*(((職員マスタ!$H$6:$H$405="")+(職員マスタ!$H$6:$H$405&gt;=$AO1834))&gt;0)*(ROW(職員マスタ!$A$6:$A$405)-5)))&gt;0,SUMPRODUCT(MAX((職員マスタ!$A$6:$A$405=$B1834)*(((職員マスタ!$G$6:$G$405="")+(職員マスタ!$G$6:$G$405&lt;=EOMONTH($AO1834,0)))&gt;0)*(((職員マスタ!$H$6:$H$405="")+(職員マスタ!$H$6:$H$405&gt;=$AO1834))&gt;0)*(ROW(職員マスタ!$A$6:$A$405)-5))),IFERROR(MATCH($B1834,職員マスタ!$A$6:$A$405,0),"")))</f>
        <v/>
      </c>
      <c r="AO1834" s="16">
        <f>IF(OR($B1834="",$C1834="",$D1834=""),"",DATE($C1834+2018,$D1834,1))</f>
        <v/>
      </c>
    </row>
    <row r="1835">
      <c r="A1835" s="11" t="n"/>
      <c r="B1835" s="12" t="n"/>
      <c r="C1835" s="12" t="n"/>
      <c r="D1835" s="12" t="n"/>
      <c r="E1835" s="13" t="n"/>
      <c r="F1835" s="12" t="n"/>
      <c r="G1835" s="13" t="n"/>
      <c r="H1835" s="12" t="n"/>
      <c r="I1835" s="12" t="n"/>
      <c r="J1835" s="12" t="n"/>
      <c r="K1835" s="12" t="n"/>
      <c r="L1835" s="11" t="n"/>
      <c r="M1835" s="11" t="n"/>
      <c r="N1835" s="11" t="n"/>
      <c r="O1835" s="11" t="n"/>
      <c r="P1835" s="12" t="n"/>
      <c r="Q1835" s="11" t="n"/>
      <c r="R1835" s="12" t="n"/>
      <c r="S1835" s="11" t="n"/>
      <c r="T1835" s="12" t="n"/>
      <c r="U1835" s="12" t="n"/>
      <c r="V1835" s="14">
        <f>IF($AN1835="",IF($B1835="","",$H1835),IF(INDEX(職員マスタ!$B$6:$B$405,$AN1835)="",$H1835,INDEX(職員マスタ!$B$6:$B$405,$AN1835)))</f>
        <v/>
      </c>
      <c r="W1835" s="14">
        <f>IF($AN1835="",IF($B1835="","",$R1835),IF(INDEX(職員マスタ!$C$6:$C$405,$AN1835)="",$R1835,INDEX(職員マスタ!$C$6:$C$405,$AN1835)))</f>
        <v/>
      </c>
      <c r="X1835" s="14">
        <f>IF($AO1835="","","R"&amp;$C1835&amp;"."&amp;$D1835)</f>
        <v/>
      </c>
      <c r="Y1835" s="15">
        <f>IF($AN1835="","",IF(INDEX(職員マスタ!$K$6:$K$405,$AN1835)="","",INDEX(職員マスタ!$K$6:$K$405,$AN1835)))</f>
        <v/>
      </c>
      <c r="Z1835" s="14">
        <f>IF(OR($E1835="",$Y1835=""),"",IF($E1835&gt;=$Y1835,"×",IF($E1835&gt;=$Y1835*設定!$C$5,"△","○")))</f>
        <v/>
      </c>
      <c r="AA1835" s="15">
        <f>IF($Z1835="","",IF($Z1835="×",0,IF($Z1835="○",ROUNDDOWN($E1835*設定!$C$4,0),ROUNDDOWN($E1835*ROUND((9*$Y1835-9*$E1835)/(10*$E1835),4),0))))</f>
        <v/>
      </c>
      <c r="AB1835" s="13" t="n"/>
      <c r="AC1835" s="15">
        <f>IF($B1835="","",IF($AB1835&lt;&gt;"",$AB1835,IF($AA1835="","",IF($AA1835&lt;=設定!$C$3,0,$AA1835))))</f>
        <v/>
      </c>
      <c r="AD1835" s="14">
        <f>IF($B1835="","",IF(AND($AE1835&lt;&gt;"",$AG1835="",$AJ1835=""),"保留中",IF($AJ1835&lt;&gt;"",IF(N($AC1835)&gt;0,"支給済","不支給"),IF($AC1835="","要確認",IF($AC1835=0,"不支給","未処理")))))</f>
        <v/>
      </c>
      <c r="AE1835" s="12" t="n"/>
      <c r="AF1835" s="11" t="n"/>
      <c r="AG1835" s="11" t="n"/>
      <c r="AH1835" s="11" t="n"/>
      <c r="AI1835" s="14">
        <f>IF(AND($AD1835="保留中",$AF1835&lt;&gt;""),TODAY()-$AF1835,"")</f>
        <v/>
      </c>
      <c r="AJ1835" s="12" t="n"/>
      <c r="AK1835" s="14">
        <f>IF($B1835="","",IF($AO1835="","対象年月が未入力／","")&amp;IF($B1835="","",IF($AN1835="","職員マスタに未登録の職員番号／",IF($Y1835="","標準報酬月額が未登録／","")&amp;IF(AND($AO1835&lt;&gt;"",OR(AND(INDEX(職員マスタ!$G$6:$G$405,$AN1835)&lt;&gt;"",INDEX(職員マスタ!$G$6:$G$405,$AN1835)&gt;EOMONTH($AO1835,0)),AND(INDEX(職員マスタ!$H$6:$H$405,$AN1835)&lt;&gt;"",INDEX(職員マスタ!$H$6:$H$405,$AN1835)&lt;$AO1835))),"対象月が時短期間外／","")&amp;IF(AND(INDEX(職員マスタ!$F$6:$F$405,$AN1835)&lt;&gt;"",$AO1835&lt;&gt;"",INDEX(職員マスタ!$F$6:$F$405,$AN1835)&lt;$AO1835),"対象月に子が2歳到達済／","")&amp;IF(AND($H1835&lt;&gt;"",INDEX(職員マスタ!$B$6:$B$405,$AN1835)&lt;&gt;"",SUBSTITUTE(SUBSTITUTE($H1835," ","")," ","")&lt;&gt;SUBSTITUTE(SUBSTITUTE(INDEX(職員マスタ!$B$6:$B$405,$AN1835)," ","")," ","")),"氏名がマスタと相違／","")&amp;IF(AND($Q1835&lt;&gt;"",INDEX(職員マスタ!$E$6:$E$405,$AN1835)&lt;&gt;"",$Q1835&lt;&gt;INDEX(職員マスタ!$E$6:$E$405,$AN1835)),"子の生年月日がマスタと相違／","")&amp;IF(AND($L1835&lt;&gt;"",INDEX(職員マスタ!$G$6:$G$405,$AN1835)&lt;&gt;"",$L1835&lt;&gt;INDEX(職員マスタ!$G$6:$G$405,$AN1835)),"時短開始日がマスタと相違／","")&amp;IF(AND($M1835&lt;&gt;"",INDEX(職員マスタ!$H$6:$H$405,$AN1835)&lt;&gt;"",$M1835&lt;&gt;INDEX(職員マスタ!$H$6:$H$405,$AN1835)),"時短終了日がマスタと相違／","")))&amp;IF(AND($B1835&lt;&gt;"",$E1835=""),"報酬額が未入力／","")&amp;IF(N($U1835)&gt;0,"申請書に入力エラーが残っています／","")&amp;IF(AND($B1835&lt;&gt;"",$AO1835&lt;&gt;""),IF(COUNTIFS($B$6:$B$3005,$B1835,$C$6:$C$3005,$C1835,$D$6:$D$3005,$D1835)&gt;1,"同じ月の請求が重複しています／",""),"")&amp;IF(AND(N($E1835)&gt;0,$Z1835&lt;&gt;"",$Z1835&lt;&gt;"×",$AC1835=0,$AB1835=""),"計算額が下限以下のため不支給／",""))</f>
        <v/>
      </c>
      <c r="AL1835" s="12" t="n"/>
      <c r="AM1835" s="14">
        <f>IF($AD1835="保留中",COUNTIF($AD$6:$AD1835,"保留中"),"")</f>
        <v/>
      </c>
      <c r="AN1835" s="14">
        <f>IF($AO1835="","",IF(SUMPRODUCT(MAX((職員マスタ!$A$6:$A$405=$B1835)*(((職員マスタ!$G$6:$G$405="")+(職員マスタ!$G$6:$G$405&lt;=EOMONTH($AO1835,0)))&gt;0)*(((職員マスタ!$H$6:$H$405="")+(職員マスタ!$H$6:$H$405&gt;=$AO1835))&gt;0)*(ROW(職員マスタ!$A$6:$A$405)-5)))&gt;0,SUMPRODUCT(MAX((職員マスタ!$A$6:$A$405=$B1835)*(((職員マスタ!$G$6:$G$405="")+(職員マスタ!$G$6:$G$405&lt;=EOMONTH($AO1835,0)))&gt;0)*(((職員マスタ!$H$6:$H$405="")+(職員マスタ!$H$6:$H$405&gt;=$AO1835))&gt;0)*(ROW(職員マスタ!$A$6:$A$405)-5))),IFERROR(MATCH($B1835,職員マスタ!$A$6:$A$405,0),"")))</f>
        <v/>
      </c>
      <c r="AO1835" s="16">
        <f>IF(OR($B1835="",$C1835="",$D1835=""),"",DATE($C1835+2018,$D1835,1))</f>
        <v/>
      </c>
    </row>
    <row r="1836">
      <c r="A1836" s="11" t="n"/>
      <c r="B1836" s="12" t="n"/>
      <c r="C1836" s="12" t="n"/>
      <c r="D1836" s="12" t="n"/>
      <c r="E1836" s="13" t="n"/>
      <c r="F1836" s="12" t="n"/>
      <c r="G1836" s="13" t="n"/>
      <c r="H1836" s="12" t="n"/>
      <c r="I1836" s="12" t="n"/>
      <c r="J1836" s="12" t="n"/>
      <c r="K1836" s="12" t="n"/>
      <c r="L1836" s="11" t="n"/>
      <c r="M1836" s="11" t="n"/>
      <c r="N1836" s="11" t="n"/>
      <c r="O1836" s="11" t="n"/>
      <c r="P1836" s="12" t="n"/>
      <c r="Q1836" s="11" t="n"/>
      <c r="R1836" s="12" t="n"/>
      <c r="S1836" s="11" t="n"/>
      <c r="T1836" s="12" t="n"/>
      <c r="U1836" s="12" t="n"/>
      <c r="V1836" s="14">
        <f>IF($AN1836="",IF($B1836="","",$H1836),IF(INDEX(職員マスタ!$B$6:$B$405,$AN1836)="",$H1836,INDEX(職員マスタ!$B$6:$B$405,$AN1836)))</f>
        <v/>
      </c>
      <c r="W1836" s="14">
        <f>IF($AN1836="",IF($B1836="","",$R1836),IF(INDEX(職員マスタ!$C$6:$C$405,$AN1836)="",$R1836,INDEX(職員マスタ!$C$6:$C$405,$AN1836)))</f>
        <v/>
      </c>
      <c r="X1836" s="14">
        <f>IF($AO1836="","","R"&amp;$C1836&amp;"."&amp;$D1836)</f>
        <v/>
      </c>
      <c r="Y1836" s="15">
        <f>IF($AN1836="","",IF(INDEX(職員マスタ!$K$6:$K$405,$AN1836)="","",INDEX(職員マスタ!$K$6:$K$405,$AN1836)))</f>
        <v/>
      </c>
      <c r="Z1836" s="14">
        <f>IF(OR($E1836="",$Y1836=""),"",IF($E1836&gt;=$Y1836,"×",IF($E1836&gt;=$Y1836*設定!$C$5,"△","○")))</f>
        <v/>
      </c>
      <c r="AA1836" s="15">
        <f>IF($Z1836="","",IF($Z1836="×",0,IF($Z1836="○",ROUNDDOWN($E1836*設定!$C$4,0),ROUNDDOWN($E1836*ROUND((9*$Y1836-9*$E1836)/(10*$E1836),4),0))))</f>
        <v/>
      </c>
      <c r="AB1836" s="13" t="n"/>
      <c r="AC1836" s="15">
        <f>IF($B1836="","",IF($AB1836&lt;&gt;"",$AB1836,IF($AA1836="","",IF($AA1836&lt;=設定!$C$3,0,$AA1836))))</f>
        <v/>
      </c>
      <c r="AD1836" s="14">
        <f>IF($B1836="","",IF(AND($AE1836&lt;&gt;"",$AG1836="",$AJ1836=""),"保留中",IF($AJ1836&lt;&gt;"",IF(N($AC1836)&gt;0,"支給済","不支給"),IF($AC1836="","要確認",IF($AC1836=0,"不支給","未処理")))))</f>
        <v/>
      </c>
      <c r="AE1836" s="12" t="n"/>
      <c r="AF1836" s="11" t="n"/>
      <c r="AG1836" s="11" t="n"/>
      <c r="AH1836" s="11" t="n"/>
      <c r="AI1836" s="14">
        <f>IF(AND($AD1836="保留中",$AF1836&lt;&gt;""),TODAY()-$AF1836,"")</f>
        <v/>
      </c>
      <c r="AJ1836" s="12" t="n"/>
      <c r="AK1836" s="14">
        <f>IF($B1836="","",IF($AO1836="","対象年月が未入力／","")&amp;IF($B1836="","",IF($AN1836="","職員マスタに未登録の職員番号／",IF($Y1836="","標準報酬月額が未登録／","")&amp;IF(AND($AO1836&lt;&gt;"",OR(AND(INDEX(職員マスタ!$G$6:$G$405,$AN1836)&lt;&gt;"",INDEX(職員マスタ!$G$6:$G$405,$AN1836)&gt;EOMONTH($AO1836,0)),AND(INDEX(職員マスタ!$H$6:$H$405,$AN1836)&lt;&gt;"",INDEX(職員マスタ!$H$6:$H$405,$AN1836)&lt;$AO1836))),"対象月が時短期間外／","")&amp;IF(AND(INDEX(職員マスタ!$F$6:$F$405,$AN1836)&lt;&gt;"",$AO1836&lt;&gt;"",INDEX(職員マスタ!$F$6:$F$405,$AN1836)&lt;$AO1836),"対象月に子が2歳到達済／","")&amp;IF(AND($H1836&lt;&gt;"",INDEX(職員マスタ!$B$6:$B$405,$AN1836)&lt;&gt;"",SUBSTITUTE(SUBSTITUTE($H1836," ","")," ","")&lt;&gt;SUBSTITUTE(SUBSTITUTE(INDEX(職員マスタ!$B$6:$B$405,$AN1836)," ","")," ","")),"氏名がマスタと相違／","")&amp;IF(AND($Q1836&lt;&gt;"",INDEX(職員マスタ!$E$6:$E$405,$AN1836)&lt;&gt;"",$Q1836&lt;&gt;INDEX(職員マスタ!$E$6:$E$405,$AN1836)),"子の生年月日がマスタと相違／","")&amp;IF(AND($L1836&lt;&gt;"",INDEX(職員マスタ!$G$6:$G$405,$AN1836)&lt;&gt;"",$L1836&lt;&gt;INDEX(職員マスタ!$G$6:$G$405,$AN1836)),"時短開始日がマスタと相違／","")&amp;IF(AND($M1836&lt;&gt;"",INDEX(職員マスタ!$H$6:$H$405,$AN1836)&lt;&gt;"",$M1836&lt;&gt;INDEX(職員マスタ!$H$6:$H$405,$AN1836)),"時短終了日がマスタと相違／","")))&amp;IF(AND($B1836&lt;&gt;"",$E1836=""),"報酬額が未入力／","")&amp;IF(N($U1836)&gt;0,"申請書に入力エラーが残っています／","")&amp;IF(AND($B1836&lt;&gt;"",$AO1836&lt;&gt;""),IF(COUNTIFS($B$6:$B$3005,$B1836,$C$6:$C$3005,$C1836,$D$6:$D$3005,$D1836)&gt;1,"同じ月の請求が重複しています／",""),"")&amp;IF(AND(N($E1836)&gt;0,$Z1836&lt;&gt;"",$Z1836&lt;&gt;"×",$AC1836=0,$AB1836=""),"計算額が下限以下のため不支給／",""))</f>
        <v/>
      </c>
      <c r="AL1836" s="12" t="n"/>
      <c r="AM1836" s="14">
        <f>IF($AD1836="保留中",COUNTIF($AD$6:$AD1836,"保留中"),"")</f>
        <v/>
      </c>
      <c r="AN1836" s="14">
        <f>IF($AO1836="","",IF(SUMPRODUCT(MAX((職員マスタ!$A$6:$A$405=$B1836)*(((職員マスタ!$G$6:$G$405="")+(職員マスタ!$G$6:$G$405&lt;=EOMONTH($AO1836,0)))&gt;0)*(((職員マスタ!$H$6:$H$405="")+(職員マスタ!$H$6:$H$405&gt;=$AO1836))&gt;0)*(ROW(職員マスタ!$A$6:$A$405)-5)))&gt;0,SUMPRODUCT(MAX((職員マスタ!$A$6:$A$405=$B1836)*(((職員マスタ!$G$6:$G$405="")+(職員マスタ!$G$6:$G$405&lt;=EOMONTH($AO1836,0)))&gt;0)*(((職員マスタ!$H$6:$H$405="")+(職員マスタ!$H$6:$H$405&gt;=$AO1836))&gt;0)*(ROW(職員マスタ!$A$6:$A$405)-5))),IFERROR(MATCH($B1836,職員マスタ!$A$6:$A$405,0),"")))</f>
        <v/>
      </c>
      <c r="AO1836" s="16">
        <f>IF(OR($B1836="",$C1836="",$D1836=""),"",DATE($C1836+2018,$D1836,1))</f>
        <v/>
      </c>
    </row>
    <row r="1837">
      <c r="A1837" s="11" t="n"/>
      <c r="B1837" s="12" t="n"/>
      <c r="C1837" s="12" t="n"/>
      <c r="D1837" s="12" t="n"/>
      <c r="E1837" s="13" t="n"/>
      <c r="F1837" s="12" t="n"/>
      <c r="G1837" s="13" t="n"/>
      <c r="H1837" s="12" t="n"/>
      <c r="I1837" s="12" t="n"/>
      <c r="J1837" s="12" t="n"/>
      <c r="K1837" s="12" t="n"/>
      <c r="L1837" s="11" t="n"/>
      <c r="M1837" s="11" t="n"/>
      <c r="N1837" s="11" t="n"/>
      <c r="O1837" s="11" t="n"/>
      <c r="P1837" s="12" t="n"/>
      <c r="Q1837" s="11" t="n"/>
      <c r="R1837" s="12" t="n"/>
      <c r="S1837" s="11" t="n"/>
      <c r="T1837" s="12" t="n"/>
      <c r="U1837" s="12" t="n"/>
      <c r="V1837" s="14">
        <f>IF($AN1837="",IF($B1837="","",$H1837),IF(INDEX(職員マスタ!$B$6:$B$405,$AN1837)="",$H1837,INDEX(職員マスタ!$B$6:$B$405,$AN1837)))</f>
        <v/>
      </c>
      <c r="W1837" s="14">
        <f>IF($AN1837="",IF($B1837="","",$R1837),IF(INDEX(職員マスタ!$C$6:$C$405,$AN1837)="",$R1837,INDEX(職員マスタ!$C$6:$C$405,$AN1837)))</f>
        <v/>
      </c>
      <c r="X1837" s="14">
        <f>IF($AO1837="","","R"&amp;$C1837&amp;"."&amp;$D1837)</f>
        <v/>
      </c>
      <c r="Y1837" s="15">
        <f>IF($AN1837="","",IF(INDEX(職員マスタ!$K$6:$K$405,$AN1837)="","",INDEX(職員マスタ!$K$6:$K$405,$AN1837)))</f>
        <v/>
      </c>
      <c r="Z1837" s="14">
        <f>IF(OR($E1837="",$Y1837=""),"",IF($E1837&gt;=$Y1837,"×",IF($E1837&gt;=$Y1837*設定!$C$5,"△","○")))</f>
        <v/>
      </c>
      <c r="AA1837" s="15">
        <f>IF($Z1837="","",IF($Z1837="×",0,IF($Z1837="○",ROUNDDOWN($E1837*設定!$C$4,0),ROUNDDOWN($E1837*ROUND((9*$Y1837-9*$E1837)/(10*$E1837),4),0))))</f>
        <v/>
      </c>
      <c r="AB1837" s="13" t="n"/>
      <c r="AC1837" s="15">
        <f>IF($B1837="","",IF($AB1837&lt;&gt;"",$AB1837,IF($AA1837="","",IF($AA1837&lt;=設定!$C$3,0,$AA1837))))</f>
        <v/>
      </c>
      <c r="AD1837" s="14">
        <f>IF($B1837="","",IF(AND($AE1837&lt;&gt;"",$AG1837="",$AJ1837=""),"保留中",IF($AJ1837&lt;&gt;"",IF(N($AC1837)&gt;0,"支給済","不支給"),IF($AC1837="","要確認",IF($AC1837=0,"不支給","未処理")))))</f>
        <v/>
      </c>
      <c r="AE1837" s="12" t="n"/>
      <c r="AF1837" s="11" t="n"/>
      <c r="AG1837" s="11" t="n"/>
      <c r="AH1837" s="11" t="n"/>
      <c r="AI1837" s="14">
        <f>IF(AND($AD1837="保留中",$AF1837&lt;&gt;""),TODAY()-$AF1837,"")</f>
        <v/>
      </c>
      <c r="AJ1837" s="12" t="n"/>
      <c r="AK1837" s="14">
        <f>IF($B1837="","",IF($AO1837="","対象年月が未入力／","")&amp;IF($B1837="","",IF($AN1837="","職員マスタに未登録の職員番号／",IF($Y1837="","標準報酬月額が未登録／","")&amp;IF(AND($AO1837&lt;&gt;"",OR(AND(INDEX(職員マスタ!$G$6:$G$405,$AN1837)&lt;&gt;"",INDEX(職員マスタ!$G$6:$G$405,$AN1837)&gt;EOMONTH($AO1837,0)),AND(INDEX(職員マスタ!$H$6:$H$405,$AN1837)&lt;&gt;"",INDEX(職員マスタ!$H$6:$H$405,$AN1837)&lt;$AO1837))),"対象月が時短期間外／","")&amp;IF(AND(INDEX(職員マスタ!$F$6:$F$405,$AN1837)&lt;&gt;"",$AO1837&lt;&gt;"",INDEX(職員マスタ!$F$6:$F$405,$AN1837)&lt;$AO1837),"対象月に子が2歳到達済／","")&amp;IF(AND($H1837&lt;&gt;"",INDEX(職員マスタ!$B$6:$B$405,$AN1837)&lt;&gt;"",SUBSTITUTE(SUBSTITUTE($H1837," ","")," ","")&lt;&gt;SUBSTITUTE(SUBSTITUTE(INDEX(職員マスタ!$B$6:$B$405,$AN1837)," ","")," ","")),"氏名がマスタと相違／","")&amp;IF(AND($Q1837&lt;&gt;"",INDEX(職員マスタ!$E$6:$E$405,$AN1837)&lt;&gt;"",$Q1837&lt;&gt;INDEX(職員マスタ!$E$6:$E$405,$AN1837)),"子の生年月日がマスタと相違／","")&amp;IF(AND($L1837&lt;&gt;"",INDEX(職員マスタ!$G$6:$G$405,$AN1837)&lt;&gt;"",$L1837&lt;&gt;INDEX(職員マスタ!$G$6:$G$405,$AN1837)),"時短開始日がマスタと相違／","")&amp;IF(AND($M1837&lt;&gt;"",INDEX(職員マスタ!$H$6:$H$405,$AN1837)&lt;&gt;"",$M1837&lt;&gt;INDEX(職員マスタ!$H$6:$H$405,$AN1837)),"時短終了日がマスタと相違／","")))&amp;IF(AND($B1837&lt;&gt;"",$E1837=""),"報酬額が未入力／","")&amp;IF(N($U1837)&gt;0,"申請書に入力エラーが残っています／","")&amp;IF(AND($B1837&lt;&gt;"",$AO1837&lt;&gt;""),IF(COUNTIFS($B$6:$B$3005,$B1837,$C$6:$C$3005,$C1837,$D$6:$D$3005,$D1837)&gt;1,"同じ月の請求が重複しています／",""),"")&amp;IF(AND(N($E1837)&gt;0,$Z1837&lt;&gt;"",$Z1837&lt;&gt;"×",$AC1837=0,$AB1837=""),"計算額が下限以下のため不支給／",""))</f>
        <v/>
      </c>
      <c r="AL1837" s="12" t="n"/>
      <c r="AM1837" s="14">
        <f>IF($AD1837="保留中",COUNTIF($AD$6:$AD1837,"保留中"),"")</f>
        <v/>
      </c>
      <c r="AN1837" s="14">
        <f>IF($AO1837="","",IF(SUMPRODUCT(MAX((職員マスタ!$A$6:$A$405=$B1837)*(((職員マスタ!$G$6:$G$405="")+(職員マスタ!$G$6:$G$405&lt;=EOMONTH($AO1837,0)))&gt;0)*(((職員マスタ!$H$6:$H$405="")+(職員マスタ!$H$6:$H$405&gt;=$AO1837))&gt;0)*(ROW(職員マスタ!$A$6:$A$405)-5)))&gt;0,SUMPRODUCT(MAX((職員マスタ!$A$6:$A$405=$B1837)*(((職員マスタ!$G$6:$G$405="")+(職員マスタ!$G$6:$G$405&lt;=EOMONTH($AO1837,0)))&gt;0)*(((職員マスタ!$H$6:$H$405="")+(職員マスタ!$H$6:$H$405&gt;=$AO1837))&gt;0)*(ROW(職員マスタ!$A$6:$A$405)-5))),IFERROR(MATCH($B1837,職員マスタ!$A$6:$A$405,0),"")))</f>
        <v/>
      </c>
      <c r="AO1837" s="16">
        <f>IF(OR($B1837="",$C1837="",$D1837=""),"",DATE($C1837+2018,$D1837,1))</f>
        <v/>
      </c>
    </row>
    <row r="1838">
      <c r="A1838" s="11" t="n"/>
      <c r="B1838" s="12" t="n"/>
      <c r="C1838" s="12" t="n"/>
      <c r="D1838" s="12" t="n"/>
      <c r="E1838" s="13" t="n"/>
      <c r="F1838" s="12" t="n"/>
      <c r="G1838" s="13" t="n"/>
      <c r="H1838" s="12" t="n"/>
      <c r="I1838" s="12" t="n"/>
      <c r="J1838" s="12" t="n"/>
      <c r="K1838" s="12" t="n"/>
      <c r="L1838" s="11" t="n"/>
      <c r="M1838" s="11" t="n"/>
      <c r="N1838" s="11" t="n"/>
      <c r="O1838" s="11" t="n"/>
      <c r="P1838" s="12" t="n"/>
      <c r="Q1838" s="11" t="n"/>
      <c r="R1838" s="12" t="n"/>
      <c r="S1838" s="11" t="n"/>
      <c r="T1838" s="12" t="n"/>
      <c r="U1838" s="12" t="n"/>
      <c r="V1838" s="14">
        <f>IF($AN1838="",IF($B1838="","",$H1838),IF(INDEX(職員マスタ!$B$6:$B$405,$AN1838)="",$H1838,INDEX(職員マスタ!$B$6:$B$405,$AN1838)))</f>
        <v/>
      </c>
      <c r="W1838" s="14">
        <f>IF($AN1838="",IF($B1838="","",$R1838),IF(INDEX(職員マスタ!$C$6:$C$405,$AN1838)="",$R1838,INDEX(職員マスタ!$C$6:$C$405,$AN1838)))</f>
        <v/>
      </c>
      <c r="X1838" s="14">
        <f>IF($AO1838="","","R"&amp;$C1838&amp;"."&amp;$D1838)</f>
        <v/>
      </c>
      <c r="Y1838" s="15">
        <f>IF($AN1838="","",IF(INDEX(職員マスタ!$K$6:$K$405,$AN1838)="","",INDEX(職員マスタ!$K$6:$K$405,$AN1838)))</f>
        <v/>
      </c>
      <c r="Z1838" s="14">
        <f>IF(OR($E1838="",$Y1838=""),"",IF($E1838&gt;=$Y1838,"×",IF($E1838&gt;=$Y1838*設定!$C$5,"△","○")))</f>
        <v/>
      </c>
      <c r="AA1838" s="15">
        <f>IF($Z1838="","",IF($Z1838="×",0,IF($Z1838="○",ROUNDDOWN($E1838*設定!$C$4,0),ROUNDDOWN($E1838*ROUND((9*$Y1838-9*$E1838)/(10*$E1838),4),0))))</f>
        <v/>
      </c>
      <c r="AB1838" s="13" t="n"/>
      <c r="AC1838" s="15">
        <f>IF($B1838="","",IF($AB1838&lt;&gt;"",$AB1838,IF($AA1838="","",IF($AA1838&lt;=設定!$C$3,0,$AA1838))))</f>
        <v/>
      </c>
      <c r="AD1838" s="14">
        <f>IF($B1838="","",IF(AND($AE1838&lt;&gt;"",$AG1838="",$AJ1838=""),"保留中",IF($AJ1838&lt;&gt;"",IF(N($AC1838)&gt;0,"支給済","不支給"),IF($AC1838="","要確認",IF($AC1838=0,"不支給","未処理")))))</f>
        <v/>
      </c>
      <c r="AE1838" s="12" t="n"/>
      <c r="AF1838" s="11" t="n"/>
      <c r="AG1838" s="11" t="n"/>
      <c r="AH1838" s="11" t="n"/>
      <c r="AI1838" s="14">
        <f>IF(AND($AD1838="保留中",$AF1838&lt;&gt;""),TODAY()-$AF1838,"")</f>
        <v/>
      </c>
      <c r="AJ1838" s="12" t="n"/>
      <c r="AK1838" s="14">
        <f>IF($B1838="","",IF($AO1838="","対象年月が未入力／","")&amp;IF($B1838="","",IF($AN1838="","職員マスタに未登録の職員番号／",IF($Y1838="","標準報酬月額が未登録／","")&amp;IF(AND($AO1838&lt;&gt;"",OR(AND(INDEX(職員マスタ!$G$6:$G$405,$AN1838)&lt;&gt;"",INDEX(職員マスタ!$G$6:$G$405,$AN1838)&gt;EOMONTH($AO1838,0)),AND(INDEX(職員マスタ!$H$6:$H$405,$AN1838)&lt;&gt;"",INDEX(職員マスタ!$H$6:$H$405,$AN1838)&lt;$AO1838))),"対象月が時短期間外／","")&amp;IF(AND(INDEX(職員マスタ!$F$6:$F$405,$AN1838)&lt;&gt;"",$AO1838&lt;&gt;"",INDEX(職員マスタ!$F$6:$F$405,$AN1838)&lt;$AO1838),"対象月に子が2歳到達済／","")&amp;IF(AND($H1838&lt;&gt;"",INDEX(職員マスタ!$B$6:$B$405,$AN1838)&lt;&gt;"",SUBSTITUTE(SUBSTITUTE($H1838," ","")," ","")&lt;&gt;SUBSTITUTE(SUBSTITUTE(INDEX(職員マスタ!$B$6:$B$405,$AN1838)," ","")," ","")),"氏名がマスタと相違／","")&amp;IF(AND($Q1838&lt;&gt;"",INDEX(職員マスタ!$E$6:$E$405,$AN1838)&lt;&gt;"",$Q1838&lt;&gt;INDEX(職員マスタ!$E$6:$E$405,$AN1838)),"子の生年月日がマスタと相違／","")&amp;IF(AND($L1838&lt;&gt;"",INDEX(職員マスタ!$G$6:$G$405,$AN1838)&lt;&gt;"",$L1838&lt;&gt;INDEX(職員マスタ!$G$6:$G$405,$AN1838)),"時短開始日がマスタと相違／","")&amp;IF(AND($M1838&lt;&gt;"",INDEX(職員マスタ!$H$6:$H$405,$AN1838)&lt;&gt;"",$M1838&lt;&gt;INDEX(職員マスタ!$H$6:$H$405,$AN1838)),"時短終了日がマスタと相違／","")))&amp;IF(AND($B1838&lt;&gt;"",$E1838=""),"報酬額が未入力／","")&amp;IF(N($U1838)&gt;0,"申請書に入力エラーが残っています／","")&amp;IF(AND($B1838&lt;&gt;"",$AO1838&lt;&gt;""),IF(COUNTIFS($B$6:$B$3005,$B1838,$C$6:$C$3005,$C1838,$D$6:$D$3005,$D1838)&gt;1,"同じ月の請求が重複しています／",""),"")&amp;IF(AND(N($E1838)&gt;0,$Z1838&lt;&gt;"",$Z1838&lt;&gt;"×",$AC1838=0,$AB1838=""),"計算額が下限以下のため不支給／",""))</f>
        <v/>
      </c>
      <c r="AL1838" s="12" t="n"/>
      <c r="AM1838" s="14">
        <f>IF($AD1838="保留中",COUNTIF($AD$6:$AD1838,"保留中"),"")</f>
        <v/>
      </c>
      <c r="AN1838" s="14">
        <f>IF($AO1838="","",IF(SUMPRODUCT(MAX((職員マスタ!$A$6:$A$405=$B1838)*(((職員マスタ!$G$6:$G$405="")+(職員マスタ!$G$6:$G$405&lt;=EOMONTH($AO1838,0)))&gt;0)*(((職員マスタ!$H$6:$H$405="")+(職員マスタ!$H$6:$H$405&gt;=$AO1838))&gt;0)*(ROW(職員マスタ!$A$6:$A$405)-5)))&gt;0,SUMPRODUCT(MAX((職員マスタ!$A$6:$A$405=$B1838)*(((職員マスタ!$G$6:$G$405="")+(職員マスタ!$G$6:$G$405&lt;=EOMONTH($AO1838,0)))&gt;0)*(((職員マスタ!$H$6:$H$405="")+(職員マスタ!$H$6:$H$405&gt;=$AO1838))&gt;0)*(ROW(職員マスタ!$A$6:$A$405)-5))),IFERROR(MATCH($B1838,職員マスタ!$A$6:$A$405,0),"")))</f>
        <v/>
      </c>
      <c r="AO1838" s="16">
        <f>IF(OR($B1838="",$C1838="",$D1838=""),"",DATE($C1838+2018,$D1838,1))</f>
        <v/>
      </c>
    </row>
    <row r="1839">
      <c r="A1839" s="11" t="n"/>
      <c r="B1839" s="12" t="n"/>
      <c r="C1839" s="12" t="n"/>
      <c r="D1839" s="12" t="n"/>
      <c r="E1839" s="13" t="n"/>
      <c r="F1839" s="12" t="n"/>
      <c r="G1839" s="13" t="n"/>
      <c r="H1839" s="12" t="n"/>
      <c r="I1839" s="12" t="n"/>
      <c r="J1839" s="12" t="n"/>
      <c r="K1839" s="12" t="n"/>
      <c r="L1839" s="11" t="n"/>
      <c r="M1839" s="11" t="n"/>
      <c r="N1839" s="11" t="n"/>
      <c r="O1839" s="11" t="n"/>
      <c r="P1839" s="12" t="n"/>
      <c r="Q1839" s="11" t="n"/>
      <c r="R1839" s="12" t="n"/>
      <c r="S1839" s="11" t="n"/>
      <c r="T1839" s="12" t="n"/>
      <c r="U1839" s="12" t="n"/>
      <c r="V1839" s="14">
        <f>IF($AN1839="",IF($B1839="","",$H1839),IF(INDEX(職員マスタ!$B$6:$B$405,$AN1839)="",$H1839,INDEX(職員マスタ!$B$6:$B$405,$AN1839)))</f>
        <v/>
      </c>
      <c r="W1839" s="14">
        <f>IF($AN1839="",IF($B1839="","",$R1839),IF(INDEX(職員マスタ!$C$6:$C$405,$AN1839)="",$R1839,INDEX(職員マスタ!$C$6:$C$405,$AN1839)))</f>
        <v/>
      </c>
      <c r="X1839" s="14">
        <f>IF($AO1839="","","R"&amp;$C1839&amp;"."&amp;$D1839)</f>
        <v/>
      </c>
      <c r="Y1839" s="15">
        <f>IF($AN1839="","",IF(INDEX(職員マスタ!$K$6:$K$405,$AN1839)="","",INDEX(職員マスタ!$K$6:$K$405,$AN1839)))</f>
        <v/>
      </c>
      <c r="Z1839" s="14">
        <f>IF(OR($E1839="",$Y1839=""),"",IF($E1839&gt;=$Y1839,"×",IF($E1839&gt;=$Y1839*設定!$C$5,"△","○")))</f>
        <v/>
      </c>
      <c r="AA1839" s="15">
        <f>IF($Z1839="","",IF($Z1839="×",0,IF($Z1839="○",ROUNDDOWN($E1839*設定!$C$4,0),ROUNDDOWN($E1839*ROUND((9*$Y1839-9*$E1839)/(10*$E1839),4),0))))</f>
        <v/>
      </c>
      <c r="AB1839" s="13" t="n"/>
      <c r="AC1839" s="15">
        <f>IF($B1839="","",IF($AB1839&lt;&gt;"",$AB1839,IF($AA1839="","",IF($AA1839&lt;=設定!$C$3,0,$AA1839))))</f>
        <v/>
      </c>
      <c r="AD1839" s="14">
        <f>IF($B1839="","",IF(AND($AE1839&lt;&gt;"",$AG1839="",$AJ1839=""),"保留中",IF($AJ1839&lt;&gt;"",IF(N($AC1839)&gt;0,"支給済","不支給"),IF($AC1839="","要確認",IF($AC1839=0,"不支給","未処理")))))</f>
        <v/>
      </c>
      <c r="AE1839" s="12" t="n"/>
      <c r="AF1839" s="11" t="n"/>
      <c r="AG1839" s="11" t="n"/>
      <c r="AH1839" s="11" t="n"/>
      <c r="AI1839" s="14">
        <f>IF(AND($AD1839="保留中",$AF1839&lt;&gt;""),TODAY()-$AF1839,"")</f>
        <v/>
      </c>
      <c r="AJ1839" s="12" t="n"/>
      <c r="AK1839" s="14">
        <f>IF($B1839="","",IF($AO1839="","対象年月が未入力／","")&amp;IF($B1839="","",IF($AN1839="","職員マスタに未登録の職員番号／",IF($Y1839="","標準報酬月額が未登録／","")&amp;IF(AND($AO1839&lt;&gt;"",OR(AND(INDEX(職員マスタ!$G$6:$G$405,$AN1839)&lt;&gt;"",INDEX(職員マスタ!$G$6:$G$405,$AN1839)&gt;EOMONTH($AO1839,0)),AND(INDEX(職員マスタ!$H$6:$H$405,$AN1839)&lt;&gt;"",INDEX(職員マスタ!$H$6:$H$405,$AN1839)&lt;$AO1839))),"対象月が時短期間外／","")&amp;IF(AND(INDEX(職員マスタ!$F$6:$F$405,$AN1839)&lt;&gt;"",$AO1839&lt;&gt;"",INDEX(職員マスタ!$F$6:$F$405,$AN1839)&lt;$AO1839),"対象月に子が2歳到達済／","")&amp;IF(AND($H1839&lt;&gt;"",INDEX(職員マスタ!$B$6:$B$405,$AN1839)&lt;&gt;"",SUBSTITUTE(SUBSTITUTE($H1839," ","")," ","")&lt;&gt;SUBSTITUTE(SUBSTITUTE(INDEX(職員マスタ!$B$6:$B$405,$AN1839)," ","")," ","")),"氏名がマスタと相違／","")&amp;IF(AND($Q1839&lt;&gt;"",INDEX(職員マスタ!$E$6:$E$405,$AN1839)&lt;&gt;"",$Q1839&lt;&gt;INDEX(職員マスタ!$E$6:$E$405,$AN1839)),"子の生年月日がマスタと相違／","")&amp;IF(AND($L1839&lt;&gt;"",INDEX(職員マスタ!$G$6:$G$405,$AN1839)&lt;&gt;"",$L1839&lt;&gt;INDEX(職員マスタ!$G$6:$G$405,$AN1839)),"時短開始日がマスタと相違／","")&amp;IF(AND($M1839&lt;&gt;"",INDEX(職員マスタ!$H$6:$H$405,$AN1839)&lt;&gt;"",$M1839&lt;&gt;INDEX(職員マスタ!$H$6:$H$405,$AN1839)),"時短終了日がマスタと相違／","")))&amp;IF(AND($B1839&lt;&gt;"",$E1839=""),"報酬額が未入力／","")&amp;IF(N($U1839)&gt;0,"申請書に入力エラーが残っています／","")&amp;IF(AND($B1839&lt;&gt;"",$AO1839&lt;&gt;""),IF(COUNTIFS($B$6:$B$3005,$B1839,$C$6:$C$3005,$C1839,$D$6:$D$3005,$D1839)&gt;1,"同じ月の請求が重複しています／",""),"")&amp;IF(AND(N($E1839)&gt;0,$Z1839&lt;&gt;"",$Z1839&lt;&gt;"×",$AC1839=0,$AB1839=""),"計算額が下限以下のため不支給／",""))</f>
        <v/>
      </c>
      <c r="AL1839" s="12" t="n"/>
      <c r="AM1839" s="14">
        <f>IF($AD1839="保留中",COUNTIF($AD$6:$AD1839,"保留中"),"")</f>
        <v/>
      </c>
      <c r="AN1839" s="14">
        <f>IF($AO1839="","",IF(SUMPRODUCT(MAX((職員マスタ!$A$6:$A$405=$B1839)*(((職員マスタ!$G$6:$G$405="")+(職員マスタ!$G$6:$G$405&lt;=EOMONTH($AO1839,0)))&gt;0)*(((職員マスタ!$H$6:$H$405="")+(職員マスタ!$H$6:$H$405&gt;=$AO1839))&gt;0)*(ROW(職員マスタ!$A$6:$A$405)-5)))&gt;0,SUMPRODUCT(MAX((職員マスタ!$A$6:$A$405=$B1839)*(((職員マスタ!$G$6:$G$405="")+(職員マスタ!$G$6:$G$405&lt;=EOMONTH($AO1839,0)))&gt;0)*(((職員マスタ!$H$6:$H$405="")+(職員マスタ!$H$6:$H$405&gt;=$AO1839))&gt;0)*(ROW(職員マスタ!$A$6:$A$405)-5))),IFERROR(MATCH($B1839,職員マスタ!$A$6:$A$405,0),"")))</f>
        <v/>
      </c>
      <c r="AO1839" s="16">
        <f>IF(OR($B1839="",$C1839="",$D1839=""),"",DATE($C1839+2018,$D1839,1))</f>
        <v/>
      </c>
    </row>
    <row r="1840">
      <c r="A1840" s="11" t="n"/>
      <c r="B1840" s="12" t="n"/>
      <c r="C1840" s="12" t="n"/>
      <c r="D1840" s="12" t="n"/>
      <c r="E1840" s="13" t="n"/>
      <c r="F1840" s="12" t="n"/>
      <c r="G1840" s="13" t="n"/>
      <c r="H1840" s="12" t="n"/>
      <c r="I1840" s="12" t="n"/>
      <c r="J1840" s="12" t="n"/>
      <c r="K1840" s="12" t="n"/>
      <c r="L1840" s="11" t="n"/>
      <c r="M1840" s="11" t="n"/>
      <c r="N1840" s="11" t="n"/>
      <c r="O1840" s="11" t="n"/>
      <c r="P1840" s="12" t="n"/>
      <c r="Q1840" s="11" t="n"/>
      <c r="R1840" s="12" t="n"/>
      <c r="S1840" s="11" t="n"/>
      <c r="T1840" s="12" t="n"/>
      <c r="U1840" s="12" t="n"/>
      <c r="V1840" s="14">
        <f>IF($AN1840="",IF($B1840="","",$H1840),IF(INDEX(職員マスタ!$B$6:$B$405,$AN1840)="",$H1840,INDEX(職員マスタ!$B$6:$B$405,$AN1840)))</f>
        <v/>
      </c>
      <c r="W1840" s="14">
        <f>IF($AN1840="",IF($B1840="","",$R1840),IF(INDEX(職員マスタ!$C$6:$C$405,$AN1840)="",$R1840,INDEX(職員マスタ!$C$6:$C$405,$AN1840)))</f>
        <v/>
      </c>
      <c r="X1840" s="14">
        <f>IF($AO1840="","","R"&amp;$C1840&amp;"."&amp;$D1840)</f>
        <v/>
      </c>
      <c r="Y1840" s="15">
        <f>IF($AN1840="","",IF(INDEX(職員マスタ!$K$6:$K$405,$AN1840)="","",INDEX(職員マスタ!$K$6:$K$405,$AN1840)))</f>
        <v/>
      </c>
      <c r="Z1840" s="14">
        <f>IF(OR($E1840="",$Y1840=""),"",IF($E1840&gt;=$Y1840,"×",IF($E1840&gt;=$Y1840*設定!$C$5,"△","○")))</f>
        <v/>
      </c>
      <c r="AA1840" s="15">
        <f>IF($Z1840="","",IF($Z1840="×",0,IF($Z1840="○",ROUNDDOWN($E1840*設定!$C$4,0),ROUNDDOWN($E1840*ROUND((9*$Y1840-9*$E1840)/(10*$E1840),4),0))))</f>
        <v/>
      </c>
      <c r="AB1840" s="13" t="n"/>
      <c r="AC1840" s="15">
        <f>IF($B1840="","",IF($AB1840&lt;&gt;"",$AB1840,IF($AA1840="","",IF($AA1840&lt;=設定!$C$3,0,$AA1840))))</f>
        <v/>
      </c>
      <c r="AD1840" s="14">
        <f>IF($B1840="","",IF(AND($AE1840&lt;&gt;"",$AG1840="",$AJ1840=""),"保留中",IF($AJ1840&lt;&gt;"",IF(N($AC1840)&gt;0,"支給済","不支給"),IF($AC1840="","要確認",IF($AC1840=0,"不支給","未処理")))))</f>
        <v/>
      </c>
      <c r="AE1840" s="12" t="n"/>
      <c r="AF1840" s="11" t="n"/>
      <c r="AG1840" s="11" t="n"/>
      <c r="AH1840" s="11" t="n"/>
      <c r="AI1840" s="14">
        <f>IF(AND($AD1840="保留中",$AF1840&lt;&gt;""),TODAY()-$AF1840,"")</f>
        <v/>
      </c>
      <c r="AJ1840" s="12" t="n"/>
      <c r="AK1840" s="14">
        <f>IF($B1840="","",IF($AO1840="","対象年月が未入力／","")&amp;IF($B1840="","",IF($AN1840="","職員マスタに未登録の職員番号／",IF($Y1840="","標準報酬月額が未登録／","")&amp;IF(AND($AO1840&lt;&gt;"",OR(AND(INDEX(職員マスタ!$G$6:$G$405,$AN1840)&lt;&gt;"",INDEX(職員マスタ!$G$6:$G$405,$AN1840)&gt;EOMONTH($AO1840,0)),AND(INDEX(職員マスタ!$H$6:$H$405,$AN1840)&lt;&gt;"",INDEX(職員マスタ!$H$6:$H$405,$AN1840)&lt;$AO1840))),"対象月が時短期間外／","")&amp;IF(AND(INDEX(職員マスタ!$F$6:$F$405,$AN1840)&lt;&gt;"",$AO1840&lt;&gt;"",INDEX(職員マスタ!$F$6:$F$405,$AN1840)&lt;$AO1840),"対象月に子が2歳到達済／","")&amp;IF(AND($H1840&lt;&gt;"",INDEX(職員マスタ!$B$6:$B$405,$AN1840)&lt;&gt;"",SUBSTITUTE(SUBSTITUTE($H1840," ","")," ","")&lt;&gt;SUBSTITUTE(SUBSTITUTE(INDEX(職員マスタ!$B$6:$B$405,$AN1840)," ","")," ","")),"氏名がマスタと相違／","")&amp;IF(AND($Q1840&lt;&gt;"",INDEX(職員マスタ!$E$6:$E$405,$AN1840)&lt;&gt;"",$Q1840&lt;&gt;INDEX(職員マスタ!$E$6:$E$405,$AN1840)),"子の生年月日がマスタと相違／","")&amp;IF(AND($L1840&lt;&gt;"",INDEX(職員マスタ!$G$6:$G$405,$AN1840)&lt;&gt;"",$L1840&lt;&gt;INDEX(職員マスタ!$G$6:$G$405,$AN1840)),"時短開始日がマスタと相違／","")&amp;IF(AND($M1840&lt;&gt;"",INDEX(職員マスタ!$H$6:$H$405,$AN1840)&lt;&gt;"",$M1840&lt;&gt;INDEX(職員マスタ!$H$6:$H$405,$AN1840)),"時短終了日がマスタと相違／","")))&amp;IF(AND($B1840&lt;&gt;"",$E1840=""),"報酬額が未入力／","")&amp;IF(N($U1840)&gt;0,"申請書に入力エラーが残っています／","")&amp;IF(AND($B1840&lt;&gt;"",$AO1840&lt;&gt;""),IF(COUNTIFS($B$6:$B$3005,$B1840,$C$6:$C$3005,$C1840,$D$6:$D$3005,$D1840)&gt;1,"同じ月の請求が重複しています／",""),"")&amp;IF(AND(N($E1840)&gt;0,$Z1840&lt;&gt;"",$Z1840&lt;&gt;"×",$AC1840=0,$AB1840=""),"計算額が下限以下のため不支給／",""))</f>
        <v/>
      </c>
      <c r="AL1840" s="12" t="n"/>
      <c r="AM1840" s="14">
        <f>IF($AD1840="保留中",COUNTIF($AD$6:$AD1840,"保留中"),"")</f>
        <v/>
      </c>
      <c r="AN1840" s="14">
        <f>IF($AO1840="","",IF(SUMPRODUCT(MAX((職員マスタ!$A$6:$A$405=$B1840)*(((職員マスタ!$G$6:$G$405="")+(職員マスタ!$G$6:$G$405&lt;=EOMONTH($AO1840,0)))&gt;0)*(((職員マスタ!$H$6:$H$405="")+(職員マスタ!$H$6:$H$405&gt;=$AO1840))&gt;0)*(ROW(職員マスタ!$A$6:$A$405)-5)))&gt;0,SUMPRODUCT(MAX((職員マスタ!$A$6:$A$405=$B1840)*(((職員マスタ!$G$6:$G$405="")+(職員マスタ!$G$6:$G$405&lt;=EOMONTH($AO1840,0)))&gt;0)*(((職員マスタ!$H$6:$H$405="")+(職員マスタ!$H$6:$H$405&gt;=$AO1840))&gt;0)*(ROW(職員マスタ!$A$6:$A$405)-5))),IFERROR(MATCH($B1840,職員マスタ!$A$6:$A$405,0),"")))</f>
        <v/>
      </c>
      <c r="AO1840" s="16">
        <f>IF(OR($B1840="",$C1840="",$D1840=""),"",DATE($C1840+2018,$D1840,1))</f>
        <v/>
      </c>
    </row>
    <row r="1841">
      <c r="A1841" s="11" t="n"/>
      <c r="B1841" s="12" t="n"/>
      <c r="C1841" s="12" t="n"/>
      <c r="D1841" s="12" t="n"/>
      <c r="E1841" s="13" t="n"/>
      <c r="F1841" s="12" t="n"/>
      <c r="G1841" s="13" t="n"/>
      <c r="H1841" s="12" t="n"/>
      <c r="I1841" s="12" t="n"/>
      <c r="J1841" s="12" t="n"/>
      <c r="K1841" s="12" t="n"/>
      <c r="L1841" s="11" t="n"/>
      <c r="M1841" s="11" t="n"/>
      <c r="N1841" s="11" t="n"/>
      <c r="O1841" s="11" t="n"/>
      <c r="P1841" s="12" t="n"/>
      <c r="Q1841" s="11" t="n"/>
      <c r="R1841" s="12" t="n"/>
      <c r="S1841" s="11" t="n"/>
      <c r="T1841" s="12" t="n"/>
      <c r="U1841" s="12" t="n"/>
      <c r="V1841" s="14">
        <f>IF($AN1841="",IF($B1841="","",$H1841),IF(INDEX(職員マスタ!$B$6:$B$405,$AN1841)="",$H1841,INDEX(職員マスタ!$B$6:$B$405,$AN1841)))</f>
        <v/>
      </c>
      <c r="W1841" s="14">
        <f>IF($AN1841="",IF($B1841="","",$R1841),IF(INDEX(職員マスタ!$C$6:$C$405,$AN1841)="",$R1841,INDEX(職員マスタ!$C$6:$C$405,$AN1841)))</f>
        <v/>
      </c>
      <c r="X1841" s="14">
        <f>IF($AO1841="","","R"&amp;$C1841&amp;"."&amp;$D1841)</f>
        <v/>
      </c>
      <c r="Y1841" s="15">
        <f>IF($AN1841="","",IF(INDEX(職員マスタ!$K$6:$K$405,$AN1841)="","",INDEX(職員マスタ!$K$6:$K$405,$AN1841)))</f>
        <v/>
      </c>
      <c r="Z1841" s="14">
        <f>IF(OR($E1841="",$Y1841=""),"",IF($E1841&gt;=$Y1841,"×",IF($E1841&gt;=$Y1841*設定!$C$5,"△","○")))</f>
        <v/>
      </c>
      <c r="AA1841" s="15">
        <f>IF($Z1841="","",IF($Z1841="×",0,IF($Z1841="○",ROUNDDOWN($E1841*設定!$C$4,0),ROUNDDOWN($E1841*ROUND((9*$Y1841-9*$E1841)/(10*$E1841),4),0))))</f>
        <v/>
      </c>
      <c r="AB1841" s="13" t="n"/>
      <c r="AC1841" s="15">
        <f>IF($B1841="","",IF($AB1841&lt;&gt;"",$AB1841,IF($AA1841="","",IF($AA1841&lt;=設定!$C$3,0,$AA1841))))</f>
        <v/>
      </c>
      <c r="AD1841" s="14">
        <f>IF($B1841="","",IF(AND($AE1841&lt;&gt;"",$AG1841="",$AJ1841=""),"保留中",IF($AJ1841&lt;&gt;"",IF(N($AC1841)&gt;0,"支給済","不支給"),IF($AC1841="","要確認",IF($AC1841=0,"不支給","未処理")))))</f>
        <v/>
      </c>
      <c r="AE1841" s="12" t="n"/>
      <c r="AF1841" s="11" t="n"/>
      <c r="AG1841" s="11" t="n"/>
      <c r="AH1841" s="11" t="n"/>
      <c r="AI1841" s="14">
        <f>IF(AND($AD1841="保留中",$AF1841&lt;&gt;""),TODAY()-$AF1841,"")</f>
        <v/>
      </c>
      <c r="AJ1841" s="12" t="n"/>
      <c r="AK1841" s="14">
        <f>IF($B1841="","",IF($AO1841="","対象年月が未入力／","")&amp;IF($B1841="","",IF($AN1841="","職員マスタに未登録の職員番号／",IF($Y1841="","標準報酬月額が未登録／","")&amp;IF(AND($AO1841&lt;&gt;"",OR(AND(INDEX(職員マスタ!$G$6:$G$405,$AN1841)&lt;&gt;"",INDEX(職員マスタ!$G$6:$G$405,$AN1841)&gt;EOMONTH($AO1841,0)),AND(INDEX(職員マスタ!$H$6:$H$405,$AN1841)&lt;&gt;"",INDEX(職員マスタ!$H$6:$H$405,$AN1841)&lt;$AO1841))),"対象月が時短期間外／","")&amp;IF(AND(INDEX(職員マスタ!$F$6:$F$405,$AN1841)&lt;&gt;"",$AO1841&lt;&gt;"",INDEX(職員マスタ!$F$6:$F$405,$AN1841)&lt;$AO1841),"対象月に子が2歳到達済／","")&amp;IF(AND($H1841&lt;&gt;"",INDEX(職員マスタ!$B$6:$B$405,$AN1841)&lt;&gt;"",SUBSTITUTE(SUBSTITUTE($H1841," ","")," ","")&lt;&gt;SUBSTITUTE(SUBSTITUTE(INDEX(職員マスタ!$B$6:$B$405,$AN1841)," ","")," ","")),"氏名がマスタと相違／","")&amp;IF(AND($Q1841&lt;&gt;"",INDEX(職員マスタ!$E$6:$E$405,$AN1841)&lt;&gt;"",$Q1841&lt;&gt;INDEX(職員マスタ!$E$6:$E$405,$AN1841)),"子の生年月日がマスタと相違／","")&amp;IF(AND($L1841&lt;&gt;"",INDEX(職員マスタ!$G$6:$G$405,$AN1841)&lt;&gt;"",$L1841&lt;&gt;INDEX(職員マスタ!$G$6:$G$405,$AN1841)),"時短開始日がマスタと相違／","")&amp;IF(AND($M1841&lt;&gt;"",INDEX(職員マスタ!$H$6:$H$405,$AN1841)&lt;&gt;"",$M1841&lt;&gt;INDEX(職員マスタ!$H$6:$H$405,$AN1841)),"時短終了日がマスタと相違／","")))&amp;IF(AND($B1841&lt;&gt;"",$E1841=""),"報酬額が未入力／","")&amp;IF(N($U1841)&gt;0,"申請書に入力エラーが残っています／","")&amp;IF(AND($B1841&lt;&gt;"",$AO1841&lt;&gt;""),IF(COUNTIFS($B$6:$B$3005,$B1841,$C$6:$C$3005,$C1841,$D$6:$D$3005,$D1841)&gt;1,"同じ月の請求が重複しています／",""),"")&amp;IF(AND(N($E1841)&gt;0,$Z1841&lt;&gt;"",$Z1841&lt;&gt;"×",$AC1841=0,$AB1841=""),"計算額が下限以下のため不支給／",""))</f>
        <v/>
      </c>
      <c r="AL1841" s="12" t="n"/>
      <c r="AM1841" s="14">
        <f>IF($AD1841="保留中",COUNTIF($AD$6:$AD1841,"保留中"),"")</f>
        <v/>
      </c>
      <c r="AN1841" s="14">
        <f>IF($AO1841="","",IF(SUMPRODUCT(MAX((職員マスタ!$A$6:$A$405=$B1841)*(((職員マスタ!$G$6:$G$405="")+(職員マスタ!$G$6:$G$405&lt;=EOMONTH($AO1841,0)))&gt;0)*(((職員マスタ!$H$6:$H$405="")+(職員マスタ!$H$6:$H$405&gt;=$AO1841))&gt;0)*(ROW(職員マスタ!$A$6:$A$405)-5)))&gt;0,SUMPRODUCT(MAX((職員マスタ!$A$6:$A$405=$B1841)*(((職員マスタ!$G$6:$G$405="")+(職員マスタ!$G$6:$G$405&lt;=EOMONTH($AO1841,0)))&gt;0)*(((職員マスタ!$H$6:$H$405="")+(職員マスタ!$H$6:$H$405&gt;=$AO1841))&gt;0)*(ROW(職員マスタ!$A$6:$A$405)-5))),IFERROR(MATCH($B1841,職員マスタ!$A$6:$A$405,0),"")))</f>
        <v/>
      </c>
      <c r="AO1841" s="16">
        <f>IF(OR($B1841="",$C1841="",$D1841=""),"",DATE($C1841+2018,$D1841,1))</f>
        <v/>
      </c>
    </row>
    <row r="1842">
      <c r="A1842" s="11" t="n"/>
      <c r="B1842" s="12" t="n"/>
      <c r="C1842" s="12" t="n"/>
      <c r="D1842" s="12" t="n"/>
      <c r="E1842" s="13" t="n"/>
      <c r="F1842" s="12" t="n"/>
      <c r="G1842" s="13" t="n"/>
      <c r="H1842" s="12" t="n"/>
      <c r="I1842" s="12" t="n"/>
      <c r="J1842" s="12" t="n"/>
      <c r="K1842" s="12" t="n"/>
      <c r="L1842" s="11" t="n"/>
      <c r="M1842" s="11" t="n"/>
      <c r="N1842" s="11" t="n"/>
      <c r="O1842" s="11" t="n"/>
      <c r="P1842" s="12" t="n"/>
      <c r="Q1842" s="11" t="n"/>
      <c r="R1842" s="12" t="n"/>
      <c r="S1842" s="11" t="n"/>
      <c r="T1842" s="12" t="n"/>
      <c r="U1842" s="12" t="n"/>
      <c r="V1842" s="14">
        <f>IF($AN1842="",IF($B1842="","",$H1842),IF(INDEX(職員マスタ!$B$6:$B$405,$AN1842)="",$H1842,INDEX(職員マスタ!$B$6:$B$405,$AN1842)))</f>
        <v/>
      </c>
      <c r="W1842" s="14">
        <f>IF($AN1842="",IF($B1842="","",$R1842),IF(INDEX(職員マスタ!$C$6:$C$405,$AN1842)="",$R1842,INDEX(職員マスタ!$C$6:$C$405,$AN1842)))</f>
        <v/>
      </c>
      <c r="X1842" s="14">
        <f>IF($AO1842="","","R"&amp;$C1842&amp;"."&amp;$D1842)</f>
        <v/>
      </c>
      <c r="Y1842" s="15">
        <f>IF($AN1842="","",IF(INDEX(職員マスタ!$K$6:$K$405,$AN1842)="","",INDEX(職員マスタ!$K$6:$K$405,$AN1842)))</f>
        <v/>
      </c>
      <c r="Z1842" s="14">
        <f>IF(OR($E1842="",$Y1842=""),"",IF($E1842&gt;=$Y1842,"×",IF($E1842&gt;=$Y1842*設定!$C$5,"△","○")))</f>
        <v/>
      </c>
      <c r="AA1842" s="15">
        <f>IF($Z1842="","",IF($Z1842="×",0,IF($Z1842="○",ROUNDDOWN($E1842*設定!$C$4,0),ROUNDDOWN($E1842*ROUND((9*$Y1842-9*$E1842)/(10*$E1842),4),0))))</f>
        <v/>
      </c>
      <c r="AB1842" s="13" t="n"/>
      <c r="AC1842" s="15">
        <f>IF($B1842="","",IF($AB1842&lt;&gt;"",$AB1842,IF($AA1842="","",IF($AA1842&lt;=設定!$C$3,0,$AA1842))))</f>
        <v/>
      </c>
      <c r="AD1842" s="14">
        <f>IF($B1842="","",IF(AND($AE1842&lt;&gt;"",$AG1842="",$AJ1842=""),"保留中",IF($AJ1842&lt;&gt;"",IF(N($AC1842)&gt;0,"支給済","不支給"),IF($AC1842="","要確認",IF($AC1842=0,"不支給","未処理")))))</f>
        <v/>
      </c>
      <c r="AE1842" s="12" t="n"/>
      <c r="AF1842" s="11" t="n"/>
      <c r="AG1842" s="11" t="n"/>
      <c r="AH1842" s="11" t="n"/>
      <c r="AI1842" s="14">
        <f>IF(AND($AD1842="保留中",$AF1842&lt;&gt;""),TODAY()-$AF1842,"")</f>
        <v/>
      </c>
      <c r="AJ1842" s="12" t="n"/>
      <c r="AK1842" s="14">
        <f>IF($B1842="","",IF($AO1842="","対象年月が未入力／","")&amp;IF($B1842="","",IF($AN1842="","職員マスタに未登録の職員番号／",IF($Y1842="","標準報酬月額が未登録／","")&amp;IF(AND($AO1842&lt;&gt;"",OR(AND(INDEX(職員マスタ!$G$6:$G$405,$AN1842)&lt;&gt;"",INDEX(職員マスタ!$G$6:$G$405,$AN1842)&gt;EOMONTH($AO1842,0)),AND(INDEX(職員マスタ!$H$6:$H$405,$AN1842)&lt;&gt;"",INDEX(職員マスタ!$H$6:$H$405,$AN1842)&lt;$AO1842))),"対象月が時短期間外／","")&amp;IF(AND(INDEX(職員マスタ!$F$6:$F$405,$AN1842)&lt;&gt;"",$AO1842&lt;&gt;"",INDEX(職員マスタ!$F$6:$F$405,$AN1842)&lt;$AO1842),"対象月に子が2歳到達済／","")&amp;IF(AND($H1842&lt;&gt;"",INDEX(職員マスタ!$B$6:$B$405,$AN1842)&lt;&gt;"",SUBSTITUTE(SUBSTITUTE($H1842," ","")," ","")&lt;&gt;SUBSTITUTE(SUBSTITUTE(INDEX(職員マスタ!$B$6:$B$405,$AN1842)," ","")," ","")),"氏名がマスタと相違／","")&amp;IF(AND($Q1842&lt;&gt;"",INDEX(職員マスタ!$E$6:$E$405,$AN1842)&lt;&gt;"",$Q1842&lt;&gt;INDEX(職員マスタ!$E$6:$E$405,$AN1842)),"子の生年月日がマスタと相違／","")&amp;IF(AND($L1842&lt;&gt;"",INDEX(職員マスタ!$G$6:$G$405,$AN1842)&lt;&gt;"",$L1842&lt;&gt;INDEX(職員マスタ!$G$6:$G$405,$AN1842)),"時短開始日がマスタと相違／","")&amp;IF(AND($M1842&lt;&gt;"",INDEX(職員マスタ!$H$6:$H$405,$AN1842)&lt;&gt;"",$M1842&lt;&gt;INDEX(職員マスタ!$H$6:$H$405,$AN1842)),"時短終了日がマスタと相違／","")))&amp;IF(AND($B1842&lt;&gt;"",$E1842=""),"報酬額が未入力／","")&amp;IF(N($U1842)&gt;0,"申請書に入力エラーが残っています／","")&amp;IF(AND($B1842&lt;&gt;"",$AO1842&lt;&gt;""),IF(COUNTIFS($B$6:$B$3005,$B1842,$C$6:$C$3005,$C1842,$D$6:$D$3005,$D1842)&gt;1,"同じ月の請求が重複しています／",""),"")&amp;IF(AND(N($E1842)&gt;0,$Z1842&lt;&gt;"",$Z1842&lt;&gt;"×",$AC1842=0,$AB1842=""),"計算額が下限以下のため不支給／",""))</f>
        <v/>
      </c>
      <c r="AL1842" s="12" t="n"/>
      <c r="AM1842" s="14">
        <f>IF($AD1842="保留中",COUNTIF($AD$6:$AD1842,"保留中"),"")</f>
        <v/>
      </c>
      <c r="AN1842" s="14">
        <f>IF($AO1842="","",IF(SUMPRODUCT(MAX((職員マスタ!$A$6:$A$405=$B1842)*(((職員マスタ!$G$6:$G$405="")+(職員マスタ!$G$6:$G$405&lt;=EOMONTH($AO1842,0)))&gt;0)*(((職員マスタ!$H$6:$H$405="")+(職員マスタ!$H$6:$H$405&gt;=$AO1842))&gt;0)*(ROW(職員マスタ!$A$6:$A$405)-5)))&gt;0,SUMPRODUCT(MAX((職員マスタ!$A$6:$A$405=$B1842)*(((職員マスタ!$G$6:$G$405="")+(職員マスタ!$G$6:$G$405&lt;=EOMONTH($AO1842,0)))&gt;0)*(((職員マスタ!$H$6:$H$405="")+(職員マスタ!$H$6:$H$405&gt;=$AO1842))&gt;0)*(ROW(職員マスタ!$A$6:$A$405)-5))),IFERROR(MATCH($B1842,職員マスタ!$A$6:$A$405,0),"")))</f>
        <v/>
      </c>
      <c r="AO1842" s="16">
        <f>IF(OR($B1842="",$C1842="",$D1842=""),"",DATE($C1842+2018,$D1842,1))</f>
        <v/>
      </c>
    </row>
    <row r="1843">
      <c r="A1843" s="11" t="n"/>
      <c r="B1843" s="12" t="n"/>
      <c r="C1843" s="12" t="n"/>
      <c r="D1843" s="12" t="n"/>
      <c r="E1843" s="13" t="n"/>
      <c r="F1843" s="12" t="n"/>
      <c r="G1843" s="13" t="n"/>
      <c r="H1843" s="12" t="n"/>
      <c r="I1843" s="12" t="n"/>
      <c r="J1843" s="12" t="n"/>
      <c r="K1843" s="12" t="n"/>
      <c r="L1843" s="11" t="n"/>
      <c r="M1843" s="11" t="n"/>
      <c r="N1843" s="11" t="n"/>
      <c r="O1843" s="11" t="n"/>
      <c r="P1843" s="12" t="n"/>
      <c r="Q1843" s="11" t="n"/>
      <c r="R1843" s="12" t="n"/>
      <c r="S1843" s="11" t="n"/>
      <c r="T1843" s="12" t="n"/>
      <c r="U1843" s="12" t="n"/>
      <c r="V1843" s="14">
        <f>IF($AN1843="",IF($B1843="","",$H1843),IF(INDEX(職員マスタ!$B$6:$B$405,$AN1843)="",$H1843,INDEX(職員マスタ!$B$6:$B$405,$AN1843)))</f>
        <v/>
      </c>
      <c r="W1843" s="14">
        <f>IF($AN1843="",IF($B1843="","",$R1843),IF(INDEX(職員マスタ!$C$6:$C$405,$AN1843)="",$R1843,INDEX(職員マスタ!$C$6:$C$405,$AN1843)))</f>
        <v/>
      </c>
      <c r="X1843" s="14">
        <f>IF($AO1843="","","R"&amp;$C1843&amp;"."&amp;$D1843)</f>
        <v/>
      </c>
      <c r="Y1843" s="15">
        <f>IF($AN1843="","",IF(INDEX(職員マスタ!$K$6:$K$405,$AN1843)="","",INDEX(職員マスタ!$K$6:$K$405,$AN1843)))</f>
        <v/>
      </c>
      <c r="Z1843" s="14">
        <f>IF(OR($E1843="",$Y1843=""),"",IF($E1843&gt;=$Y1843,"×",IF($E1843&gt;=$Y1843*設定!$C$5,"△","○")))</f>
        <v/>
      </c>
      <c r="AA1843" s="15">
        <f>IF($Z1843="","",IF($Z1843="×",0,IF($Z1843="○",ROUNDDOWN($E1843*設定!$C$4,0),ROUNDDOWN($E1843*ROUND((9*$Y1843-9*$E1843)/(10*$E1843),4),0))))</f>
        <v/>
      </c>
      <c r="AB1843" s="13" t="n"/>
      <c r="AC1843" s="15">
        <f>IF($B1843="","",IF($AB1843&lt;&gt;"",$AB1843,IF($AA1843="","",IF($AA1843&lt;=設定!$C$3,0,$AA1843))))</f>
        <v/>
      </c>
      <c r="AD1843" s="14">
        <f>IF($B1843="","",IF(AND($AE1843&lt;&gt;"",$AG1843="",$AJ1843=""),"保留中",IF($AJ1843&lt;&gt;"",IF(N($AC1843)&gt;0,"支給済","不支給"),IF($AC1843="","要確認",IF($AC1843=0,"不支給","未処理")))))</f>
        <v/>
      </c>
      <c r="AE1843" s="12" t="n"/>
      <c r="AF1843" s="11" t="n"/>
      <c r="AG1843" s="11" t="n"/>
      <c r="AH1843" s="11" t="n"/>
      <c r="AI1843" s="14">
        <f>IF(AND($AD1843="保留中",$AF1843&lt;&gt;""),TODAY()-$AF1843,"")</f>
        <v/>
      </c>
      <c r="AJ1843" s="12" t="n"/>
      <c r="AK1843" s="14">
        <f>IF($B1843="","",IF($AO1843="","対象年月が未入力／","")&amp;IF($B1843="","",IF($AN1843="","職員マスタに未登録の職員番号／",IF($Y1843="","標準報酬月額が未登録／","")&amp;IF(AND($AO1843&lt;&gt;"",OR(AND(INDEX(職員マスタ!$G$6:$G$405,$AN1843)&lt;&gt;"",INDEX(職員マスタ!$G$6:$G$405,$AN1843)&gt;EOMONTH($AO1843,0)),AND(INDEX(職員マスタ!$H$6:$H$405,$AN1843)&lt;&gt;"",INDEX(職員マスタ!$H$6:$H$405,$AN1843)&lt;$AO1843))),"対象月が時短期間外／","")&amp;IF(AND(INDEX(職員マスタ!$F$6:$F$405,$AN1843)&lt;&gt;"",$AO1843&lt;&gt;"",INDEX(職員マスタ!$F$6:$F$405,$AN1843)&lt;$AO1843),"対象月に子が2歳到達済／","")&amp;IF(AND($H1843&lt;&gt;"",INDEX(職員マスタ!$B$6:$B$405,$AN1843)&lt;&gt;"",SUBSTITUTE(SUBSTITUTE($H1843," ","")," ","")&lt;&gt;SUBSTITUTE(SUBSTITUTE(INDEX(職員マスタ!$B$6:$B$405,$AN1843)," ","")," ","")),"氏名がマスタと相違／","")&amp;IF(AND($Q1843&lt;&gt;"",INDEX(職員マスタ!$E$6:$E$405,$AN1843)&lt;&gt;"",$Q1843&lt;&gt;INDEX(職員マスタ!$E$6:$E$405,$AN1843)),"子の生年月日がマスタと相違／","")&amp;IF(AND($L1843&lt;&gt;"",INDEX(職員マスタ!$G$6:$G$405,$AN1843)&lt;&gt;"",$L1843&lt;&gt;INDEX(職員マスタ!$G$6:$G$405,$AN1843)),"時短開始日がマスタと相違／","")&amp;IF(AND($M1843&lt;&gt;"",INDEX(職員マスタ!$H$6:$H$405,$AN1843)&lt;&gt;"",$M1843&lt;&gt;INDEX(職員マスタ!$H$6:$H$405,$AN1843)),"時短終了日がマスタと相違／","")))&amp;IF(AND($B1843&lt;&gt;"",$E1843=""),"報酬額が未入力／","")&amp;IF(N($U1843)&gt;0,"申請書に入力エラーが残っています／","")&amp;IF(AND($B1843&lt;&gt;"",$AO1843&lt;&gt;""),IF(COUNTIFS($B$6:$B$3005,$B1843,$C$6:$C$3005,$C1843,$D$6:$D$3005,$D1843)&gt;1,"同じ月の請求が重複しています／",""),"")&amp;IF(AND(N($E1843)&gt;0,$Z1843&lt;&gt;"",$Z1843&lt;&gt;"×",$AC1843=0,$AB1843=""),"計算額が下限以下のため不支給／",""))</f>
        <v/>
      </c>
      <c r="AL1843" s="12" t="n"/>
      <c r="AM1843" s="14">
        <f>IF($AD1843="保留中",COUNTIF($AD$6:$AD1843,"保留中"),"")</f>
        <v/>
      </c>
      <c r="AN1843" s="14">
        <f>IF($AO1843="","",IF(SUMPRODUCT(MAX((職員マスタ!$A$6:$A$405=$B1843)*(((職員マスタ!$G$6:$G$405="")+(職員マスタ!$G$6:$G$405&lt;=EOMONTH($AO1843,0)))&gt;0)*(((職員マスタ!$H$6:$H$405="")+(職員マスタ!$H$6:$H$405&gt;=$AO1843))&gt;0)*(ROW(職員マスタ!$A$6:$A$405)-5)))&gt;0,SUMPRODUCT(MAX((職員マスタ!$A$6:$A$405=$B1843)*(((職員マスタ!$G$6:$G$405="")+(職員マスタ!$G$6:$G$405&lt;=EOMONTH($AO1843,0)))&gt;0)*(((職員マスタ!$H$6:$H$405="")+(職員マスタ!$H$6:$H$405&gt;=$AO1843))&gt;0)*(ROW(職員マスタ!$A$6:$A$405)-5))),IFERROR(MATCH($B1843,職員マスタ!$A$6:$A$405,0),"")))</f>
        <v/>
      </c>
      <c r="AO1843" s="16">
        <f>IF(OR($B1843="",$C1843="",$D1843=""),"",DATE($C1843+2018,$D1843,1))</f>
        <v/>
      </c>
    </row>
    <row r="1844">
      <c r="A1844" s="11" t="n"/>
      <c r="B1844" s="12" t="n"/>
      <c r="C1844" s="12" t="n"/>
      <c r="D1844" s="12" t="n"/>
      <c r="E1844" s="13" t="n"/>
      <c r="F1844" s="12" t="n"/>
      <c r="G1844" s="13" t="n"/>
      <c r="H1844" s="12" t="n"/>
      <c r="I1844" s="12" t="n"/>
      <c r="J1844" s="12" t="n"/>
      <c r="K1844" s="12" t="n"/>
      <c r="L1844" s="11" t="n"/>
      <c r="M1844" s="11" t="n"/>
      <c r="N1844" s="11" t="n"/>
      <c r="O1844" s="11" t="n"/>
      <c r="P1844" s="12" t="n"/>
      <c r="Q1844" s="11" t="n"/>
      <c r="R1844" s="12" t="n"/>
      <c r="S1844" s="11" t="n"/>
      <c r="T1844" s="12" t="n"/>
      <c r="U1844" s="12" t="n"/>
      <c r="V1844" s="14">
        <f>IF($AN1844="",IF($B1844="","",$H1844),IF(INDEX(職員マスタ!$B$6:$B$405,$AN1844)="",$H1844,INDEX(職員マスタ!$B$6:$B$405,$AN1844)))</f>
        <v/>
      </c>
      <c r="W1844" s="14">
        <f>IF($AN1844="",IF($B1844="","",$R1844),IF(INDEX(職員マスタ!$C$6:$C$405,$AN1844)="",$R1844,INDEX(職員マスタ!$C$6:$C$405,$AN1844)))</f>
        <v/>
      </c>
      <c r="X1844" s="14">
        <f>IF($AO1844="","","R"&amp;$C1844&amp;"."&amp;$D1844)</f>
        <v/>
      </c>
      <c r="Y1844" s="15">
        <f>IF($AN1844="","",IF(INDEX(職員マスタ!$K$6:$K$405,$AN1844)="","",INDEX(職員マスタ!$K$6:$K$405,$AN1844)))</f>
        <v/>
      </c>
      <c r="Z1844" s="14">
        <f>IF(OR($E1844="",$Y1844=""),"",IF($E1844&gt;=$Y1844,"×",IF($E1844&gt;=$Y1844*設定!$C$5,"△","○")))</f>
        <v/>
      </c>
      <c r="AA1844" s="15">
        <f>IF($Z1844="","",IF($Z1844="×",0,IF($Z1844="○",ROUNDDOWN($E1844*設定!$C$4,0),ROUNDDOWN($E1844*ROUND((9*$Y1844-9*$E1844)/(10*$E1844),4),0))))</f>
        <v/>
      </c>
      <c r="AB1844" s="13" t="n"/>
      <c r="AC1844" s="15">
        <f>IF($B1844="","",IF($AB1844&lt;&gt;"",$AB1844,IF($AA1844="","",IF($AA1844&lt;=設定!$C$3,0,$AA1844))))</f>
        <v/>
      </c>
      <c r="AD1844" s="14">
        <f>IF($B1844="","",IF(AND($AE1844&lt;&gt;"",$AG1844="",$AJ1844=""),"保留中",IF($AJ1844&lt;&gt;"",IF(N($AC1844)&gt;0,"支給済","不支給"),IF($AC1844="","要確認",IF($AC1844=0,"不支給","未処理")))))</f>
        <v/>
      </c>
      <c r="AE1844" s="12" t="n"/>
      <c r="AF1844" s="11" t="n"/>
      <c r="AG1844" s="11" t="n"/>
      <c r="AH1844" s="11" t="n"/>
      <c r="AI1844" s="14">
        <f>IF(AND($AD1844="保留中",$AF1844&lt;&gt;""),TODAY()-$AF1844,"")</f>
        <v/>
      </c>
      <c r="AJ1844" s="12" t="n"/>
      <c r="AK1844" s="14">
        <f>IF($B1844="","",IF($AO1844="","対象年月が未入力／","")&amp;IF($B1844="","",IF($AN1844="","職員マスタに未登録の職員番号／",IF($Y1844="","標準報酬月額が未登録／","")&amp;IF(AND($AO1844&lt;&gt;"",OR(AND(INDEX(職員マスタ!$G$6:$G$405,$AN1844)&lt;&gt;"",INDEX(職員マスタ!$G$6:$G$405,$AN1844)&gt;EOMONTH($AO1844,0)),AND(INDEX(職員マスタ!$H$6:$H$405,$AN1844)&lt;&gt;"",INDEX(職員マスタ!$H$6:$H$405,$AN1844)&lt;$AO1844))),"対象月が時短期間外／","")&amp;IF(AND(INDEX(職員マスタ!$F$6:$F$405,$AN1844)&lt;&gt;"",$AO1844&lt;&gt;"",INDEX(職員マスタ!$F$6:$F$405,$AN1844)&lt;$AO1844),"対象月に子が2歳到達済／","")&amp;IF(AND($H1844&lt;&gt;"",INDEX(職員マスタ!$B$6:$B$405,$AN1844)&lt;&gt;"",SUBSTITUTE(SUBSTITUTE($H1844," ","")," ","")&lt;&gt;SUBSTITUTE(SUBSTITUTE(INDEX(職員マスタ!$B$6:$B$405,$AN1844)," ","")," ","")),"氏名がマスタと相違／","")&amp;IF(AND($Q1844&lt;&gt;"",INDEX(職員マスタ!$E$6:$E$405,$AN1844)&lt;&gt;"",$Q1844&lt;&gt;INDEX(職員マスタ!$E$6:$E$405,$AN1844)),"子の生年月日がマスタと相違／","")&amp;IF(AND($L1844&lt;&gt;"",INDEX(職員マスタ!$G$6:$G$405,$AN1844)&lt;&gt;"",$L1844&lt;&gt;INDEX(職員マスタ!$G$6:$G$405,$AN1844)),"時短開始日がマスタと相違／","")&amp;IF(AND($M1844&lt;&gt;"",INDEX(職員マスタ!$H$6:$H$405,$AN1844)&lt;&gt;"",$M1844&lt;&gt;INDEX(職員マスタ!$H$6:$H$405,$AN1844)),"時短終了日がマスタと相違／","")))&amp;IF(AND($B1844&lt;&gt;"",$E1844=""),"報酬額が未入力／","")&amp;IF(N($U1844)&gt;0,"申請書に入力エラーが残っています／","")&amp;IF(AND($B1844&lt;&gt;"",$AO1844&lt;&gt;""),IF(COUNTIFS($B$6:$B$3005,$B1844,$C$6:$C$3005,$C1844,$D$6:$D$3005,$D1844)&gt;1,"同じ月の請求が重複しています／",""),"")&amp;IF(AND(N($E1844)&gt;0,$Z1844&lt;&gt;"",$Z1844&lt;&gt;"×",$AC1844=0,$AB1844=""),"計算額が下限以下のため不支給／",""))</f>
        <v/>
      </c>
      <c r="AL1844" s="12" t="n"/>
      <c r="AM1844" s="14">
        <f>IF($AD1844="保留中",COUNTIF($AD$6:$AD1844,"保留中"),"")</f>
        <v/>
      </c>
      <c r="AN1844" s="14">
        <f>IF($AO1844="","",IF(SUMPRODUCT(MAX((職員マスタ!$A$6:$A$405=$B1844)*(((職員マスタ!$G$6:$G$405="")+(職員マスタ!$G$6:$G$405&lt;=EOMONTH($AO1844,0)))&gt;0)*(((職員マスタ!$H$6:$H$405="")+(職員マスタ!$H$6:$H$405&gt;=$AO1844))&gt;0)*(ROW(職員マスタ!$A$6:$A$405)-5)))&gt;0,SUMPRODUCT(MAX((職員マスタ!$A$6:$A$405=$B1844)*(((職員マスタ!$G$6:$G$405="")+(職員マスタ!$G$6:$G$405&lt;=EOMONTH($AO1844,0)))&gt;0)*(((職員マスタ!$H$6:$H$405="")+(職員マスタ!$H$6:$H$405&gt;=$AO1844))&gt;0)*(ROW(職員マスタ!$A$6:$A$405)-5))),IFERROR(MATCH($B1844,職員マスタ!$A$6:$A$405,0),"")))</f>
        <v/>
      </c>
      <c r="AO1844" s="16">
        <f>IF(OR($B1844="",$C1844="",$D1844=""),"",DATE($C1844+2018,$D1844,1))</f>
        <v/>
      </c>
    </row>
    <row r="1845">
      <c r="A1845" s="11" t="n"/>
      <c r="B1845" s="12" t="n"/>
      <c r="C1845" s="12" t="n"/>
      <c r="D1845" s="12" t="n"/>
      <c r="E1845" s="13" t="n"/>
      <c r="F1845" s="12" t="n"/>
      <c r="G1845" s="13" t="n"/>
      <c r="H1845" s="12" t="n"/>
      <c r="I1845" s="12" t="n"/>
      <c r="J1845" s="12" t="n"/>
      <c r="K1845" s="12" t="n"/>
      <c r="L1845" s="11" t="n"/>
      <c r="M1845" s="11" t="n"/>
      <c r="N1845" s="11" t="n"/>
      <c r="O1845" s="11" t="n"/>
      <c r="P1845" s="12" t="n"/>
      <c r="Q1845" s="11" t="n"/>
      <c r="R1845" s="12" t="n"/>
      <c r="S1845" s="11" t="n"/>
      <c r="T1845" s="12" t="n"/>
      <c r="U1845" s="12" t="n"/>
      <c r="V1845" s="14">
        <f>IF($AN1845="",IF($B1845="","",$H1845),IF(INDEX(職員マスタ!$B$6:$B$405,$AN1845)="",$H1845,INDEX(職員マスタ!$B$6:$B$405,$AN1845)))</f>
        <v/>
      </c>
      <c r="W1845" s="14">
        <f>IF($AN1845="",IF($B1845="","",$R1845),IF(INDEX(職員マスタ!$C$6:$C$405,$AN1845)="",$R1845,INDEX(職員マスタ!$C$6:$C$405,$AN1845)))</f>
        <v/>
      </c>
      <c r="X1845" s="14">
        <f>IF($AO1845="","","R"&amp;$C1845&amp;"."&amp;$D1845)</f>
        <v/>
      </c>
      <c r="Y1845" s="15">
        <f>IF($AN1845="","",IF(INDEX(職員マスタ!$K$6:$K$405,$AN1845)="","",INDEX(職員マスタ!$K$6:$K$405,$AN1845)))</f>
        <v/>
      </c>
      <c r="Z1845" s="14">
        <f>IF(OR($E1845="",$Y1845=""),"",IF($E1845&gt;=$Y1845,"×",IF($E1845&gt;=$Y1845*設定!$C$5,"△","○")))</f>
        <v/>
      </c>
      <c r="AA1845" s="15">
        <f>IF($Z1845="","",IF($Z1845="×",0,IF($Z1845="○",ROUNDDOWN($E1845*設定!$C$4,0),ROUNDDOWN($E1845*ROUND((9*$Y1845-9*$E1845)/(10*$E1845),4),0))))</f>
        <v/>
      </c>
      <c r="AB1845" s="13" t="n"/>
      <c r="AC1845" s="15">
        <f>IF($B1845="","",IF($AB1845&lt;&gt;"",$AB1845,IF($AA1845="","",IF($AA1845&lt;=設定!$C$3,0,$AA1845))))</f>
        <v/>
      </c>
      <c r="AD1845" s="14">
        <f>IF($B1845="","",IF(AND($AE1845&lt;&gt;"",$AG1845="",$AJ1845=""),"保留中",IF($AJ1845&lt;&gt;"",IF(N($AC1845)&gt;0,"支給済","不支給"),IF($AC1845="","要確認",IF($AC1845=0,"不支給","未処理")))))</f>
        <v/>
      </c>
      <c r="AE1845" s="12" t="n"/>
      <c r="AF1845" s="11" t="n"/>
      <c r="AG1845" s="11" t="n"/>
      <c r="AH1845" s="11" t="n"/>
      <c r="AI1845" s="14">
        <f>IF(AND($AD1845="保留中",$AF1845&lt;&gt;""),TODAY()-$AF1845,"")</f>
        <v/>
      </c>
      <c r="AJ1845" s="12" t="n"/>
      <c r="AK1845" s="14">
        <f>IF($B1845="","",IF($AO1845="","対象年月が未入力／","")&amp;IF($B1845="","",IF($AN1845="","職員マスタに未登録の職員番号／",IF($Y1845="","標準報酬月額が未登録／","")&amp;IF(AND($AO1845&lt;&gt;"",OR(AND(INDEX(職員マスタ!$G$6:$G$405,$AN1845)&lt;&gt;"",INDEX(職員マスタ!$G$6:$G$405,$AN1845)&gt;EOMONTH($AO1845,0)),AND(INDEX(職員マスタ!$H$6:$H$405,$AN1845)&lt;&gt;"",INDEX(職員マスタ!$H$6:$H$405,$AN1845)&lt;$AO1845))),"対象月が時短期間外／","")&amp;IF(AND(INDEX(職員マスタ!$F$6:$F$405,$AN1845)&lt;&gt;"",$AO1845&lt;&gt;"",INDEX(職員マスタ!$F$6:$F$405,$AN1845)&lt;$AO1845),"対象月に子が2歳到達済／","")&amp;IF(AND($H1845&lt;&gt;"",INDEX(職員マスタ!$B$6:$B$405,$AN1845)&lt;&gt;"",SUBSTITUTE(SUBSTITUTE($H1845," ","")," ","")&lt;&gt;SUBSTITUTE(SUBSTITUTE(INDEX(職員マスタ!$B$6:$B$405,$AN1845)," ","")," ","")),"氏名がマスタと相違／","")&amp;IF(AND($Q1845&lt;&gt;"",INDEX(職員マスタ!$E$6:$E$405,$AN1845)&lt;&gt;"",$Q1845&lt;&gt;INDEX(職員マスタ!$E$6:$E$405,$AN1845)),"子の生年月日がマスタと相違／","")&amp;IF(AND($L1845&lt;&gt;"",INDEX(職員マスタ!$G$6:$G$405,$AN1845)&lt;&gt;"",$L1845&lt;&gt;INDEX(職員マスタ!$G$6:$G$405,$AN1845)),"時短開始日がマスタと相違／","")&amp;IF(AND($M1845&lt;&gt;"",INDEX(職員マスタ!$H$6:$H$405,$AN1845)&lt;&gt;"",$M1845&lt;&gt;INDEX(職員マスタ!$H$6:$H$405,$AN1845)),"時短終了日がマスタと相違／","")))&amp;IF(AND($B1845&lt;&gt;"",$E1845=""),"報酬額が未入力／","")&amp;IF(N($U1845)&gt;0,"申請書に入力エラーが残っています／","")&amp;IF(AND($B1845&lt;&gt;"",$AO1845&lt;&gt;""),IF(COUNTIFS($B$6:$B$3005,$B1845,$C$6:$C$3005,$C1845,$D$6:$D$3005,$D1845)&gt;1,"同じ月の請求が重複しています／",""),"")&amp;IF(AND(N($E1845)&gt;0,$Z1845&lt;&gt;"",$Z1845&lt;&gt;"×",$AC1845=0,$AB1845=""),"計算額が下限以下のため不支給／",""))</f>
        <v/>
      </c>
      <c r="AL1845" s="12" t="n"/>
      <c r="AM1845" s="14">
        <f>IF($AD1845="保留中",COUNTIF($AD$6:$AD1845,"保留中"),"")</f>
        <v/>
      </c>
      <c r="AN1845" s="14">
        <f>IF($AO1845="","",IF(SUMPRODUCT(MAX((職員マスタ!$A$6:$A$405=$B1845)*(((職員マスタ!$G$6:$G$405="")+(職員マスタ!$G$6:$G$405&lt;=EOMONTH($AO1845,0)))&gt;0)*(((職員マスタ!$H$6:$H$405="")+(職員マスタ!$H$6:$H$405&gt;=$AO1845))&gt;0)*(ROW(職員マスタ!$A$6:$A$405)-5)))&gt;0,SUMPRODUCT(MAX((職員マスタ!$A$6:$A$405=$B1845)*(((職員マスタ!$G$6:$G$405="")+(職員マスタ!$G$6:$G$405&lt;=EOMONTH($AO1845,0)))&gt;0)*(((職員マスタ!$H$6:$H$405="")+(職員マスタ!$H$6:$H$405&gt;=$AO1845))&gt;0)*(ROW(職員マスタ!$A$6:$A$405)-5))),IFERROR(MATCH($B1845,職員マスタ!$A$6:$A$405,0),"")))</f>
        <v/>
      </c>
      <c r="AO1845" s="16">
        <f>IF(OR($B1845="",$C1845="",$D1845=""),"",DATE($C1845+2018,$D1845,1))</f>
        <v/>
      </c>
    </row>
    <row r="1846">
      <c r="A1846" s="11" t="n"/>
      <c r="B1846" s="12" t="n"/>
      <c r="C1846" s="12" t="n"/>
      <c r="D1846" s="12" t="n"/>
      <c r="E1846" s="13" t="n"/>
      <c r="F1846" s="12" t="n"/>
      <c r="G1846" s="13" t="n"/>
      <c r="H1846" s="12" t="n"/>
      <c r="I1846" s="12" t="n"/>
      <c r="J1846" s="12" t="n"/>
      <c r="K1846" s="12" t="n"/>
      <c r="L1846" s="11" t="n"/>
      <c r="M1846" s="11" t="n"/>
      <c r="N1846" s="11" t="n"/>
      <c r="O1846" s="11" t="n"/>
      <c r="P1846" s="12" t="n"/>
      <c r="Q1846" s="11" t="n"/>
      <c r="R1846" s="12" t="n"/>
      <c r="S1846" s="11" t="n"/>
      <c r="T1846" s="12" t="n"/>
      <c r="U1846" s="12" t="n"/>
      <c r="V1846" s="14">
        <f>IF($AN1846="",IF($B1846="","",$H1846),IF(INDEX(職員マスタ!$B$6:$B$405,$AN1846)="",$H1846,INDEX(職員マスタ!$B$6:$B$405,$AN1846)))</f>
        <v/>
      </c>
      <c r="W1846" s="14">
        <f>IF($AN1846="",IF($B1846="","",$R1846),IF(INDEX(職員マスタ!$C$6:$C$405,$AN1846)="",$R1846,INDEX(職員マスタ!$C$6:$C$405,$AN1846)))</f>
        <v/>
      </c>
      <c r="X1846" s="14">
        <f>IF($AO1846="","","R"&amp;$C1846&amp;"."&amp;$D1846)</f>
        <v/>
      </c>
      <c r="Y1846" s="15">
        <f>IF($AN1846="","",IF(INDEX(職員マスタ!$K$6:$K$405,$AN1846)="","",INDEX(職員マスタ!$K$6:$K$405,$AN1846)))</f>
        <v/>
      </c>
      <c r="Z1846" s="14">
        <f>IF(OR($E1846="",$Y1846=""),"",IF($E1846&gt;=$Y1846,"×",IF($E1846&gt;=$Y1846*設定!$C$5,"△","○")))</f>
        <v/>
      </c>
      <c r="AA1846" s="15">
        <f>IF($Z1846="","",IF($Z1846="×",0,IF($Z1846="○",ROUNDDOWN($E1846*設定!$C$4,0),ROUNDDOWN($E1846*ROUND((9*$Y1846-9*$E1846)/(10*$E1846),4),0))))</f>
        <v/>
      </c>
      <c r="AB1846" s="13" t="n"/>
      <c r="AC1846" s="15">
        <f>IF($B1846="","",IF($AB1846&lt;&gt;"",$AB1846,IF($AA1846="","",IF($AA1846&lt;=設定!$C$3,0,$AA1846))))</f>
        <v/>
      </c>
      <c r="AD1846" s="14">
        <f>IF($B1846="","",IF(AND($AE1846&lt;&gt;"",$AG1846="",$AJ1846=""),"保留中",IF($AJ1846&lt;&gt;"",IF(N($AC1846)&gt;0,"支給済","不支給"),IF($AC1846="","要確認",IF($AC1846=0,"不支給","未処理")))))</f>
        <v/>
      </c>
      <c r="AE1846" s="12" t="n"/>
      <c r="AF1846" s="11" t="n"/>
      <c r="AG1846" s="11" t="n"/>
      <c r="AH1846" s="11" t="n"/>
      <c r="AI1846" s="14">
        <f>IF(AND($AD1846="保留中",$AF1846&lt;&gt;""),TODAY()-$AF1846,"")</f>
        <v/>
      </c>
      <c r="AJ1846" s="12" t="n"/>
      <c r="AK1846" s="14">
        <f>IF($B1846="","",IF($AO1846="","対象年月が未入力／","")&amp;IF($B1846="","",IF($AN1846="","職員マスタに未登録の職員番号／",IF($Y1846="","標準報酬月額が未登録／","")&amp;IF(AND($AO1846&lt;&gt;"",OR(AND(INDEX(職員マスタ!$G$6:$G$405,$AN1846)&lt;&gt;"",INDEX(職員マスタ!$G$6:$G$405,$AN1846)&gt;EOMONTH($AO1846,0)),AND(INDEX(職員マスタ!$H$6:$H$405,$AN1846)&lt;&gt;"",INDEX(職員マスタ!$H$6:$H$405,$AN1846)&lt;$AO1846))),"対象月が時短期間外／","")&amp;IF(AND(INDEX(職員マスタ!$F$6:$F$405,$AN1846)&lt;&gt;"",$AO1846&lt;&gt;"",INDEX(職員マスタ!$F$6:$F$405,$AN1846)&lt;$AO1846),"対象月に子が2歳到達済／","")&amp;IF(AND($H1846&lt;&gt;"",INDEX(職員マスタ!$B$6:$B$405,$AN1846)&lt;&gt;"",SUBSTITUTE(SUBSTITUTE($H1846," ","")," ","")&lt;&gt;SUBSTITUTE(SUBSTITUTE(INDEX(職員マスタ!$B$6:$B$405,$AN1846)," ","")," ","")),"氏名がマスタと相違／","")&amp;IF(AND($Q1846&lt;&gt;"",INDEX(職員マスタ!$E$6:$E$405,$AN1846)&lt;&gt;"",$Q1846&lt;&gt;INDEX(職員マスタ!$E$6:$E$405,$AN1846)),"子の生年月日がマスタと相違／","")&amp;IF(AND($L1846&lt;&gt;"",INDEX(職員マスタ!$G$6:$G$405,$AN1846)&lt;&gt;"",$L1846&lt;&gt;INDEX(職員マスタ!$G$6:$G$405,$AN1846)),"時短開始日がマスタと相違／","")&amp;IF(AND($M1846&lt;&gt;"",INDEX(職員マスタ!$H$6:$H$405,$AN1846)&lt;&gt;"",$M1846&lt;&gt;INDEX(職員マスタ!$H$6:$H$405,$AN1846)),"時短終了日がマスタと相違／","")))&amp;IF(AND($B1846&lt;&gt;"",$E1846=""),"報酬額が未入力／","")&amp;IF(N($U1846)&gt;0,"申請書に入力エラーが残っています／","")&amp;IF(AND($B1846&lt;&gt;"",$AO1846&lt;&gt;""),IF(COUNTIFS($B$6:$B$3005,$B1846,$C$6:$C$3005,$C1846,$D$6:$D$3005,$D1846)&gt;1,"同じ月の請求が重複しています／",""),"")&amp;IF(AND(N($E1846)&gt;0,$Z1846&lt;&gt;"",$Z1846&lt;&gt;"×",$AC1846=0,$AB1846=""),"計算額が下限以下のため不支給／",""))</f>
        <v/>
      </c>
      <c r="AL1846" s="12" t="n"/>
      <c r="AM1846" s="14">
        <f>IF($AD1846="保留中",COUNTIF($AD$6:$AD1846,"保留中"),"")</f>
        <v/>
      </c>
      <c r="AN1846" s="14">
        <f>IF($AO1846="","",IF(SUMPRODUCT(MAX((職員マスタ!$A$6:$A$405=$B1846)*(((職員マスタ!$G$6:$G$405="")+(職員マスタ!$G$6:$G$405&lt;=EOMONTH($AO1846,0)))&gt;0)*(((職員マスタ!$H$6:$H$405="")+(職員マスタ!$H$6:$H$405&gt;=$AO1846))&gt;0)*(ROW(職員マスタ!$A$6:$A$405)-5)))&gt;0,SUMPRODUCT(MAX((職員マスタ!$A$6:$A$405=$B1846)*(((職員マスタ!$G$6:$G$405="")+(職員マスタ!$G$6:$G$405&lt;=EOMONTH($AO1846,0)))&gt;0)*(((職員マスタ!$H$6:$H$405="")+(職員マスタ!$H$6:$H$405&gt;=$AO1846))&gt;0)*(ROW(職員マスタ!$A$6:$A$405)-5))),IFERROR(MATCH($B1846,職員マスタ!$A$6:$A$405,0),"")))</f>
        <v/>
      </c>
      <c r="AO1846" s="16">
        <f>IF(OR($B1846="",$C1846="",$D1846=""),"",DATE($C1846+2018,$D1846,1))</f>
        <v/>
      </c>
    </row>
    <row r="1847">
      <c r="A1847" s="11" t="n"/>
      <c r="B1847" s="12" t="n"/>
      <c r="C1847" s="12" t="n"/>
      <c r="D1847" s="12" t="n"/>
      <c r="E1847" s="13" t="n"/>
      <c r="F1847" s="12" t="n"/>
      <c r="G1847" s="13" t="n"/>
      <c r="H1847" s="12" t="n"/>
      <c r="I1847" s="12" t="n"/>
      <c r="J1847" s="12" t="n"/>
      <c r="K1847" s="12" t="n"/>
      <c r="L1847" s="11" t="n"/>
      <c r="M1847" s="11" t="n"/>
      <c r="N1847" s="11" t="n"/>
      <c r="O1847" s="11" t="n"/>
      <c r="P1847" s="12" t="n"/>
      <c r="Q1847" s="11" t="n"/>
      <c r="R1847" s="12" t="n"/>
      <c r="S1847" s="11" t="n"/>
      <c r="T1847" s="12" t="n"/>
      <c r="U1847" s="12" t="n"/>
      <c r="V1847" s="14">
        <f>IF($AN1847="",IF($B1847="","",$H1847),IF(INDEX(職員マスタ!$B$6:$B$405,$AN1847)="",$H1847,INDEX(職員マスタ!$B$6:$B$405,$AN1847)))</f>
        <v/>
      </c>
      <c r="W1847" s="14">
        <f>IF($AN1847="",IF($B1847="","",$R1847),IF(INDEX(職員マスタ!$C$6:$C$405,$AN1847)="",$R1847,INDEX(職員マスタ!$C$6:$C$405,$AN1847)))</f>
        <v/>
      </c>
      <c r="X1847" s="14">
        <f>IF($AO1847="","","R"&amp;$C1847&amp;"."&amp;$D1847)</f>
        <v/>
      </c>
      <c r="Y1847" s="15">
        <f>IF($AN1847="","",IF(INDEX(職員マスタ!$K$6:$K$405,$AN1847)="","",INDEX(職員マスタ!$K$6:$K$405,$AN1847)))</f>
        <v/>
      </c>
      <c r="Z1847" s="14">
        <f>IF(OR($E1847="",$Y1847=""),"",IF($E1847&gt;=$Y1847,"×",IF($E1847&gt;=$Y1847*設定!$C$5,"△","○")))</f>
        <v/>
      </c>
      <c r="AA1847" s="15">
        <f>IF($Z1847="","",IF($Z1847="×",0,IF($Z1847="○",ROUNDDOWN($E1847*設定!$C$4,0),ROUNDDOWN($E1847*ROUND((9*$Y1847-9*$E1847)/(10*$E1847),4),0))))</f>
        <v/>
      </c>
      <c r="AB1847" s="13" t="n"/>
      <c r="AC1847" s="15">
        <f>IF($B1847="","",IF($AB1847&lt;&gt;"",$AB1847,IF($AA1847="","",IF($AA1847&lt;=設定!$C$3,0,$AA1847))))</f>
        <v/>
      </c>
      <c r="AD1847" s="14">
        <f>IF($B1847="","",IF(AND($AE1847&lt;&gt;"",$AG1847="",$AJ1847=""),"保留中",IF($AJ1847&lt;&gt;"",IF(N($AC1847)&gt;0,"支給済","不支給"),IF($AC1847="","要確認",IF($AC1847=0,"不支給","未処理")))))</f>
        <v/>
      </c>
      <c r="AE1847" s="12" t="n"/>
      <c r="AF1847" s="11" t="n"/>
      <c r="AG1847" s="11" t="n"/>
      <c r="AH1847" s="11" t="n"/>
      <c r="AI1847" s="14">
        <f>IF(AND($AD1847="保留中",$AF1847&lt;&gt;""),TODAY()-$AF1847,"")</f>
        <v/>
      </c>
      <c r="AJ1847" s="12" t="n"/>
      <c r="AK1847" s="14">
        <f>IF($B1847="","",IF($AO1847="","対象年月が未入力／","")&amp;IF($B1847="","",IF($AN1847="","職員マスタに未登録の職員番号／",IF($Y1847="","標準報酬月額が未登録／","")&amp;IF(AND($AO1847&lt;&gt;"",OR(AND(INDEX(職員マスタ!$G$6:$G$405,$AN1847)&lt;&gt;"",INDEX(職員マスタ!$G$6:$G$405,$AN1847)&gt;EOMONTH($AO1847,0)),AND(INDEX(職員マスタ!$H$6:$H$405,$AN1847)&lt;&gt;"",INDEX(職員マスタ!$H$6:$H$405,$AN1847)&lt;$AO1847))),"対象月が時短期間外／","")&amp;IF(AND(INDEX(職員マスタ!$F$6:$F$405,$AN1847)&lt;&gt;"",$AO1847&lt;&gt;"",INDEX(職員マスタ!$F$6:$F$405,$AN1847)&lt;$AO1847),"対象月に子が2歳到達済／","")&amp;IF(AND($H1847&lt;&gt;"",INDEX(職員マスタ!$B$6:$B$405,$AN1847)&lt;&gt;"",SUBSTITUTE(SUBSTITUTE($H1847," ","")," ","")&lt;&gt;SUBSTITUTE(SUBSTITUTE(INDEX(職員マスタ!$B$6:$B$405,$AN1847)," ","")," ","")),"氏名がマスタと相違／","")&amp;IF(AND($Q1847&lt;&gt;"",INDEX(職員マスタ!$E$6:$E$405,$AN1847)&lt;&gt;"",$Q1847&lt;&gt;INDEX(職員マスタ!$E$6:$E$405,$AN1847)),"子の生年月日がマスタと相違／","")&amp;IF(AND($L1847&lt;&gt;"",INDEX(職員マスタ!$G$6:$G$405,$AN1847)&lt;&gt;"",$L1847&lt;&gt;INDEX(職員マスタ!$G$6:$G$405,$AN1847)),"時短開始日がマスタと相違／","")&amp;IF(AND($M1847&lt;&gt;"",INDEX(職員マスタ!$H$6:$H$405,$AN1847)&lt;&gt;"",$M1847&lt;&gt;INDEX(職員マスタ!$H$6:$H$405,$AN1847)),"時短終了日がマスタと相違／","")))&amp;IF(AND($B1847&lt;&gt;"",$E1847=""),"報酬額が未入力／","")&amp;IF(N($U1847)&gt;0,"申請書に入力エラーが残っています／","")&amp;IF(AND($B1847&lt;&gt;"",$AO1847&lt;&gt;""),IF(COUNTIFS($B$6:$B$3005,$B1847,$C$6:$C$3005,$C1847,$D$6:$D$3005,$D1847)&gt;1,"同じ月の請求が重複しています／",""),"")&amp;IF(AND(N($E1847)&gt;0,$Z1847&lt;&gt;"",$Z1847&lt;&gt;"×",$AC1847=0,$AB1847=""),"計算額が下限以下のため不支給／",""))</f>
        <v/>
      </c>
      <c r="AL1847" s="12" t="n"/>
      <c r="AM1847" s="14">
        <f>IF($AD1847="保留中",COUNTIF($AD$6:$AD1847,"保留中"),"")</f>
        <v/>
      </c>
      <c r="AN1847" s="14">
        <f>IF($AO1847="","",IF(SUMPRODUCT(MAX((職員マスタ!$A$6:$A$405=$B1847)*(((職員マスタ!$G$6:$G$405="")+(職員マスタ!$G$6:$G$405&lt;=EOMONTH($AO1847,0)))&gt;0)*(((職員マスタ!$H$6:$H$405="")+(職員マスタ!$H$6:$H$405&gt;=$AO1847))&gt;0)*(ROW(職員マスタ!$A$6:$A$405)-5)))&gt;0,SUMPRODUCT(MAX((職員マスタ!$A$6:$A$405=$B1847)*(((職員マスタ!$G$6:$G$405="")+(職員マスタ!$G$6:$G$405&lt;=EOMONTH($AO1847,0)))&gt;0)*(((職員マスタ!$H$6:$H$405="")+(職員マスタ!$H$6:$H$405&gt;=$AO1847))&gt;0)*(ROW(職員マスタ!$A$6:$A$405)-5))),IFERROR(MATCH($B1847,職員マスタ!$A$6:$A$405,0),"")))</f>
        <v/>
      </c>
      <c r="AO1847" s="16">
        <f>IF(OR($B1847="",$C1847="",$D1847=""),"",DATE($C1847+2018,$D1847,1))</f>
        <v/>
      </c>
    </row>
    <row r="1848">
      <c r="A1848" s="11" t="n"/>
      <c r="B1848" s="12" t="n"/>
      <c r="C1848" s="12" t="n"/>
      <c r="D1848" s="12" t="n"/>
      <c r="E1848" s="13" t="n"/>
      <c r="F1848" s="12" t="n"/>
      <c r="G1848" s="13" t="n"/>
      <c r="H1848" s="12" t="n"/>
      <c r="I1848" s="12" t="n"/>
      <c r="J1848" s="12" t="n"/>
      <c r="K1848" s="12" t="n"/>
      <c r="L1848" s="11" t="n"/>
      <c r="M1848" s="11" t="n"/>
      <c r="N1848" s="11" t="n"/>
      <c r="O1848" s="11" t="n"/>
      <c r="P1848" s="12" t="n"/>
      <c r="Q1848" s="11" t="n"/>
      <c r="R1848" s="12" t="n"/>
      <c r="S1848" s="11" t="n"/>
      <c r="T1848" s="12" t="n"/>
      <c r="U1848" s="12" t="n"/>
      <c r="V1848" s="14">
        <f>IF($AN1848="",IF($B1848="","",$H1848),IF(INDEX(職員マスタ!$B$6:$B$405,$AN1848)="",$H1848,INDEX(職員マスタ!$B$6:$B$405,$AN1848)))</f>
        <v/>
      </c>
      <c r="W1848" s="14">
        <f>IF($AN1848="",IF($B1848="","",$R1848),IF(INDEX(職員マスタ!$C$6:$C$405,$AN1848)="",$R1848,INDEX(職員マスタ!$C$6:$C$405,$AN1848)))</f>
        <v/>
      </c>
      <c r="X1848" s="14">
        <f>IF($AO1848="","","R"&amp;$C1848&amp;"."&amp;$D1848)</f>
        <v/>
      </c>
      <c r="Y1848" s="15">
        <f>IF($AN1848="","",IF(INDEX(職員マスタ!$K$6:$K$405,$AN1848)="","",INDEX(職員マスタ!$K$6:$K$405,$AN1848)))</f>
        <v/>
      </c>
      <c r="Z1848" s="14">
        <f>IF(OR($E1848="",$Y1848=""),"",IF($E1848&gt;=$Y1848,"×",IF($E1848&gt;=$Y1848*設定!$C$5,"△","○")))</f>
        <v/>
      </c>
      <c r="AA1848" s="15">
        <f>IF($Z1848="","",IF($Z1848="×",0,IF($Z1848="○",ROUNDDOWN($E1848*設定!$C$4,0),ROUNDDOWN($E1848*ROUND((9*$Y1848-9*$E1848)/(10*$E1848),4),0))))</f>
        <v/>
      </c>
      <c r="AB1848" s="13" t="n"/>
      <c r="AC1848" s="15">
        <f>IF($B1848="","",IF($AB1848&lt;&gt;"",$AB1848,IF($AA1848="","",IF($AA1848&lt;=設定!$C$3,0,$AA1848))))</f>
        <v/>
      </c>
      <c r="AD1848" s="14">
        <f>IF($B1848="","",IF(AND($AE1848&lt;&gt;"",$AG1848="",$AJ1848=""),"保留中",IF($AJ1848&lt;&gt;"",IF(N($AC1848)&gt;0,"支給済","不支給"),IF($AC1848="","要確認",IF($AC1848=0,"不支給","未処理")))))</f>
        <v/>
      </c>
      <c r="AE1848" s="12" t="n"/>
      <c r="AF1848" s="11" t="n"/>
      <c r="AG1848" s="11" t="n"/>
      <c r="AH1848" s="11" t="n"/>
      <c r="AI1848" s="14">
        <f>IF(AND($AD1848="保留中",$AF1848&lt;&gt;""),TODAY()-$AF1848,"")</f>
        <v/>
      </c>
      <c r="AJ1848" s="12" t="n"/>
      <c r="AK1848" s="14">
        <f>IF($B1848="","",IF($AO1848="","対象年月が未入力／","")&amp;IF($B1848="","",IF($AN1848="","職員マスタに未登録の職員番号／",IF($Y1848="","標準報酬月額が未登録／","")&amp;IF(AND($AO1848&lt;&gt;"",OR(AND(INDEX(職員マスタ!$G$6:$G$405,$AN1848)&lt;&gt;"",INDEX(職員マスタ!$G$6:$G$405,$AN1848)&gt;EOMONTH($AO1848,0)),AND(INDEX(職員マスタ!$H$6:$H$405,$AN1848)&lt;&gt;"",INDEX(職員マスタ!$H$6:$H$405,$AN1848)&lt;$AO1848))),"対象月が時短期間外／","")&amp;IF(AND(INDEX(職員マスタ!$F$6:$F$405,$AN1848)&lt;&gt;"",$AO1848&lt;&gt;"",INDEX(職員マスタ!$F$6:$F$405,$AN1848)&lt;$AO1848),"対象月に子が2歳到達済／","")&amp;IF(AND($H1848&lt;&gt;"",INDEX(職員マスタ!$B$6:$B$405,$AN1848)&lt;&gt;"",SUBSTITUTE(SUBSTITUTE($H1848," ","")," ","")&lt;&gt;SUBSTITUTE(SUBSTITUTE(INDEX(職員マスタ!$B$6:$B$405,$AN1848)," ","")," ","")),"氏名がマスタと相違／","")&amp;IF(AND($Q1848&lt;&gt;"",INDEX(職員マスタ!$E$6:$E$405,$AN1848)&lt;&gt;"",$Q1848&lt;&gt;INDEX(職員マスタ!$E$6:$E$405,$AN1848)),"子の生年月日がマスタと相違／","")&amp;IF(AND($L1848&lt;&gt;"",INDEX(職員マスタ!$G$6:$G$405,$AN1848)&lt;&gt;"",$L1848&lt;&gt;INDEX(職員マスタ!$G$6:$G$405,$AN1848)),"時短開始日がマスタと相違／","")&amp;IF(AND($M1848&lt;&gt;"",INDEX(職員マスタ!$H$6:$H$405,$AN1848)&lt;&gt;"",$M1848&lt;&gt;INDEX(職員マスタ!$H$6:$H$405,$AN1848)),"時短終了日がマスタと相違／","")))&amp;IF(AND($B1848&lt;&gt;"",$E1848=""),"報酬額が未入力／","")&amp;IF(N($U1848)&gt;0,"申請書に入力エラーが残っています／","")&amp;IF(AND($B1848&lt;&gt;"",$AO1848&lt;&gt;""),IF(COUNTIFS($B$6:$B$3005,$B1848,$C$6:$C$3005,$C1848,$D$6:$D$3005,$D1848)&gt;1,"同じ月の請求が重複しています／",""),"")&amp;IF(AND(N($E1848)&gt;0,$Z1848&lt;&gt;"",$Z1848&lt;&gt;"×",$AC1848=0,$AB1848=""),"計算額が下限以下のため不支給／",""))</f>
        <v/>
      </c>
      <c r="AL1848" s="12" t="n"/>
      <c r="AM1848" s="14">
        <f>IF($AD1848="保留中",COUNTIF($AD$6:$AD1848,"保留中"),"")</f>
        <v/>
      </c>
      <c r="AN1848" s="14">
        <f>IF($AO1848="","",IF(SUMPRODUCT(MAX((職員マスタ!$A$6:$A$405=$B1848)*(((職員マスタ!$G$6:$G$405="")+(職員マスタ!$G$6:$G$405&lt;=EOMONTH($AO1848,0)))&gt;0)*(((職員マスタ!$H$6:$H$405="")+(職員マスタ!$H$6:$H$405&gt;=$AO1848))&gt;0)*(ROW(職員マスタ!$A$6:$A$405)-5)))&gt;0,SUMPRODUCT(MAX((職員マスタ!$A$6:$A$405=$B1848)*(((職員マスタ!$G$6:$G$405="")+(職員マスタ!$G$6:$G$405&lt;=EOMONTH($AO1848,0)))&gt;0)*(((職員マスタ!$H$6:$H$405="")+(職員マスタ!$H$6:$H$405&gt;=$AO1848))&gt;0)*(ROW(職員マスタ!$A$6:$A$405)-5))),IFERROR(MATCH($B1848,職員マスタ!$A$6:$A$405,0),"")))</f>
        <v/>
      </c>
      <c r="AO1848" s="16">
        <f>IF(OR($B1848="",$C1848="",$D1848=""),"",DATE($C1848+2018,$D1848,1))</f>
        <v/>
      </c>
    </row>
    <row r="1849">
      <c r="A1849" s="11" t="n"/>
      <c r="B1849" s="12" t="n"/>
      <c r="C1849" s="12" t="n"/>
      <c r="D1849" s="12" t="n"/>
      <c r="E1849" s="13" t="n"/>
      <c r="F1849" s="12" t="n"/>
      <c r="G1849" s="13" t="n"/>
      <c r="H1849" s="12" t="n"/>
      <c r="I1849" s="12" t="n"/>
      <c r="J1849" s="12" t="n"/>
      <c r="K1849" s="12" t="n"/>
      <c r="L1849" s="11" t="n"/>
      <c r="M1849" s="11" t="n"/>
      <c r="N1849" s="11" t="n"/>
      <c r="O1849" s="11" t="n"/>
      <c r="P1849" s="12" t="n"/>
      <c r="Q1849" s="11" t="n"/>
      <c r="R1849" s="12" t="n"/>
      <c r="S1849" s="11" t="n"/>
      <c r="T1849" s="12" t="n"/>
      <c r="U1849" s="12" t="n"/>
      <c r="V1849" s="14">
        <f>IF($AN1849="",IF($B1849="","",$H1849),IF(INDEX(職員マスタ!$B$6:$B$405,$AN1849)="",$H1849,INDEX(職員マスタ!$B$6:$B$405,$AN1849)))</f>
        <v/>
      </c>
      <c r="W1849" s="14">
        <f>IF($AN1849="",IF($B1849="","",$R1849),IF(INDEX(職員マスタ!$C$6:$C$405,$AN1849)="",$R1849,INDEX(職員マスタ!$C$6:$C$405,$AN1849)))</f>
        <v/>
      </c>
      <c r="X1849" s="14">
        <f>IF($AO1849="","","R"&amp;$C1849&amp;"."&amp;$D1849)</f>
        <v/>
      </c>
      <c r="Y1849" s="15">
        <f>IF($AN1849="","",IF(INDEX(職員マスタ!$K$6:$K$405,$AN1849)="","",INDEX(職員マスタ!$K$6:$K$405,$AN1849)))</f>
        <v/>
      </c>
      <c r="Z1849" s="14">
        <f>IF(OR($E1849="",$Y1849=""),"",IF($E1849&gt;=$Y1849,"×",IF($E1849&gt;=$Y1849*設定!$C$5,"△","○")))</f>
        <v/>
      </c>
      <c r="AA1849" s="15">
        <f>IF($Z1849="","",IF($Z1849="×",0,IF($Z1849="○",ROUNDDOWN($E1849*設定!$C$4,0),ROUNDDOWN($E1849*ROUND((9*$Y1849-9*$E1849)/(10*$E1849),4),0))))</f>
        <v/>
      </c>
      <c r="AB1849" s="13" t="n"/>
      <c r="AC1849" s="15">
        <f>IF($B1849="","",IF($AB1849&lt;&gt;"",$AB1849,IF($AA1849="","",IF($AA1849&lt;=設定!$C$3,0,$AA1849))))</f>
        <v/>
      </c>
      <c r="AD1849" s="14">
        <f>IF($B1849="","",IF(AND($AE1849&lt;&gt;"",$AG1849="",$AJ1849=""),"保留中",IF($AJ1849&lt;&gt;"",IF(N($AC1849)&gt;0,"支給済","不支給"),IF($AC1849="","要確認",IF($AC1849=0,"不支給","未処理")))))</f>
        <v/>
      </c>
      <c r="AE1849" s="12" t="n"/>
      <c r="AF1849" s="11" t="n"/>
      <c r="AG1849" s="11" t="n"/>
      <c r="AH1849" s="11" t="n"/>
      <c r="AI1849" s="14">
        <f>IF(AND($AD1849="保留中",$AF1849&lt;&gt;""),TODAY()-$AF1849,"")</f>
        <v/>
      </c>
      <c r="AJ1849" s="12" t="n"/>
      <c r="AK1849" s="14">
        <f>IF($B1849="","",IF($AO1849="","対象年月が未入力／","")&amp;IF($B1849="","",IF($AN1849="","職員マスタに未登録の職員番号／",IF($Y1849="","標準報酬月額が未登録／","")&amp;IF(AND($AO1849&lt;&gt;"",OR(AND(INDEX(職員マスタ!$G$6:$G$405,$AN1849)&lt;&gt;"",INDEX(職員マスタ!$G$6:$G$405,$AN1849)&gt;EOMONTH($AO1849,0)),AND(INDEX(職員マスタ!$H$6:$H$405,$AN1849)&lt;&gt;"",INDEX(職員マスタ!$H$6:$H$405,$AN1849)&lt;$AO1849))),"対象月が時短期間外／","")&amp;IF(AND(INDEX(職員マスタ!$F$6:$F$405,$AN1849)&lt;&gt;"",$AO1849&lt;&gt;"",INDEX(職員マスタ!$F$6:$F$405,$AN1849)&lt;$AO1849),"対象月に子が2歳到達済／","")&amp;IF(AND($H1849&lt;&gt;"",INDEX(職員マスタ!$B$6:$B$405,$AN1849)&lt;&gt;"",SUBSTITUTE(SUBSTITUTE($H1849," ","")," ","")&lt;&gt;SUBSTITUTE(SUBSTITUTE(INDEX(職員マスタ!$B$6:$B$405,$AN1849)," ","")," ","")),"氏名がマスタと相違／","")&amp;IF(AND($Q1849&lt;&gt;"",INDEX(職員マスタ!$E$6:$E$405,$AN1849)&lt;&gt;"",$Q1849&lt;&gt;INDEX(職員マスタ!$E$6:$E$405,$AN1849)),"子の生年月日がマスタと相違／","")&amp;IF(AND($L1849&lt;&gt;"",INDEX(職員マスタ!$G$6:$G$405,$AN1849)&lt;&gt;"",$L1849&lt;&gt;INDEX(職員マスタ!$G$6:$G$405,$AN1849)),"時短開始日がマスタと相違／","")&amp;IF(AND($M1849&lt;&gt;"",INDEX(職員マスタ!$H$6:$H$405,$AN1849)&lt;&gt;"",$M1849&lt;&gt;INDEX(職員マスタ!$H$6:$H$405,$AN1849)),"時短終了日がマスタと相違／","")))&amp;IF(AND($B1849&lt;&gt;"",$E1849=""),"報酬額が未入力／","")&amp;IF(N($U1849)&gt;0,"申請書に入力エラーが残っています／","")&amp;IF(AND($B1849&lt;&gt;"",$AO1849&lt;&gt;""),IF(COUNTIFS($B$6:$B$3005,$B1849,$C$6:$C$3005,$C1849,$D$6:$D$3005,$D1849)&gt;1,"同じ月の請求が重複しています／",""),"")&amp;IF(AND(N($E1849)&gt;0,$Z1849&lt;&gt;"",$Z1849&lt;&gt;"×",$AC1849=0,$AB1849=""),"計算額が下限以下のため不支給／",""))</f>
        <v/>
      </c>
      <c r="AL1849" s="12" t="n"/>
      <c r="AM1849" s="14">
        <f>IF($AD1849="保留中",COUNTIF($AD$6:$AD1849,"保留中"),"")</f>
        <v/>
      </c>
      <c r="AN1849" s="14">
        <f>IF($AO1849="","",IF(SUMPRODUCT(MAX((職員マスタ!$A$6:$A$405=$B1849)*(((職員マスタ!$G$6:$G$405="")+(職員マスタ!$G$6:$G$405&lt;=EOMONTH($AO1849,0)))&gt;0)*(((職員マスタ!$H$6:$H$405="")+(職員マスタ!$H$6:$H$405&gt;=$AO1849))&gt;0)*(ROW(職員マスタ!$A$6:$A$405)-5)))&gt;0,SUMPRODUCT(MAX((職員マスタ!$A$6:$A$405=$B1849)*(((職員マスタ!$G$6:$G$405="")+(職員マスタ!$G$6:$G$405&lt;=EOMONTH($AO1849,0)))&gt;0)*(((職員マスタ!$H$6:$H$405="")+(職員マスタ!$H$6:$H$405&gt;=$AO1849))&gt;0)*(ROW(職員マスタ!$A$6:$A$405)-5))),IFERROR(MATCH($B1849,職員マスタ!$A$6:$A$405,0),"")))</f>
        <v/>
      </c>
      <c r="AO1849" s="16">
        <f>IF(OR($B1849="",$C1849="",$D1849=""),"",DATE($C1849+2018,$D1849,1))</f>
        <v/>
      </c>
    </row>
    <row r="1850">
      <c r="A1850" s="11" t="n"/>
      <c r="B1850" s="12" t="n"/>
      <c r="C1850" s="12" t="n"/>
      <c r="D1850" s="12" t="n"/>
      <c r="E1850" s="13" t="n"/>
      <c r="F1850" s="12" t="n"/>
      <c r="G1850" s="13" t="n"/>
      <c r="H1850" s="12" t="n"/>
      <c r="I1850" s="12" t="n"/>
      <c r="J1850" s="12" t="n"/>
      <c r="K1850" s="12" t="n"/>
      <c r="L1850" s="11" t="n"/>
      <c r="M1850" s="11" t="n"/>
      <c r="N1850" s="11" t="n"/>
      <c r="O1850" s="11" t="n"/>
      <c r="P1850" s="12" t="n"/>
      <c r="Q1850" s="11" t="n"/>
      <c r="R1850" s="12" t="n"/>
      <c r="S1850" s="11" t="n"/>
      <c r="T1850" s="12" t="n"/>
      <c r="U1850" s="12" t="n"/>
      <c r="V1850" s="14">
        <f>IF($AN1850="",IF($B1850="","",$H1850),IF(INDEX(職員マスタ!$B$6:$B$405,$AN1850)="",$H1850,INDEX(職員マスタ!$B$6:$B$405,$AN1850)))</f>
        <v/>
      </c>
      <c r="W1850" s="14">
        <f>IF($AN1850="",IF($B1850="","",$R1850),IF(INDEX(職員マスタ!$C$6:$C$405,$AN1850)="",$R1850,INDEX(職員マスタ!$C$6:$C$405,$AN1850)))</f>
        <v/>
      </c>
      <c r="X1850" s="14">
        <f>IF($AO1850="","","R"&amp;$C1850&amp;"."&amp;$D1850)</f>
        <v/>
      </c>
      <c r="Y1850" s="15">
        <f>IF($AN1850="","",IF(INDEX(職員マスタ!$K$6:$K$405,$AN1850)="","",INDEX(職員マスタ!$K$6:$K$405,$AN1850)))</f>
        <v/>
      </c>
      <c r="Z1850" s="14">
        <f>IF(OR($E1850="",$Y1850=""),"",IF($E1850&gt;=$Y1850,"×",IF($E1850&gt;=$Y1850*設定!$C$5,"△","○")))</f>
        <v/>
      </c>
      <c r="AA1850" s="15">
        <f>IF($Z1850="","",IF($Z1850="×",0,IF($Z1850="○",ROUNDDOWN($E1850*設定!$C$4,0),ROUNDDOWN($E1850*ROUND((9*$Y1850-9*$E1850)/(10*$E1850),4),0))))</f>
        <v/>
      </c>
      <c r="AB1850" s="13" t="n"/>
      <c r="AC1850" s="15">
        <f>IF($B1850="","",IF($AB1850&lt;&gt;"",$AB1850,IF($AA1850="","",IF($AA1850&lt;=設定!$C$3,0,$AA1850))))</f>
        <v/>
      </c>
      <c r="AD1850" s="14">
        <f>IF($B1850="","",IF(AND($AE1850&lt;&gt;"",$AG1850="",$AJ1850=""),"保留中",IF($AJ1850&lt;&gt;"",IF(N($AC1850)&gt;0,"支給済","不支給"),IF($AC1850="","要確認",IF($AC1850=0,"不支給","未処理")))))</f>
        <v/>
      </c>
      <c r="AE1850" s="12" t="n"/>
      <c r="AF1850" s="11" t="n"/>
      <c r="AG1850" s="11" t="n"/>
      <c r="AH1850" s="11" t="n"/>
      <c r="AI1850" s="14">
        <f>IF(AND($AD1850="保留中",$AF1850&lt;&gt;""),TODAY()-$AF1850,"")</f>
        <v/>
      </c>
      <c r="AJ1850" s="12" t="n"/>
      <c r="AK1850" s="14">
        <f>IF($B1850="","",IF($AO1850="","対象年月が未入力／","")&amp;IF($B1850="","",IF($AN1850="","職員マスタに未登録の職員番号／",IF($Y1850="","標準報酬月額が未登録／","")&amp;IF(AND($AO1850&lt;&gt;"",OR(AND(INDEX(職員マスタ!$G$6:$G$405,$AN1850)&lt;&gt;"",INDEX(職員マスタ!$G$6:$G$405,$AN1850)&gt;EOMONTH($AO1850,0)),AND(INDEX(職員マスタ!$H$6:$H$405,$AN1850)&lt;&gt;"",INDEX(職員マスタ!$H$6:$H$405,$AN1850)&lt;$AO1850))),"対象月が時短期間外／","")&amp;IF(AND(INDEX(職員マスタ!$F$6:$F$405,$AN1850)&lt;&gt;"",$AO1850&lt;&gt;"",INDEX(職員マスタ!$F$6:$F$405,$AN1850)&lt;$AO1850),"対象月に子が2歳到達済／","")&amp;IF(AND($H1850&lt;&gt;"",INDEX(職員マスタ!$B$6:$B$405,$AN1850)&lt;&gt;"",SUBSTITUTE(SUBSTITUTE($H1850," ","")," ","")&lt;&gt;SUBSTITUTE(SUBSTITUTE(INDEX(職員マスタ!$B$6:$B$405,$AN1850)," ","")," ","")),"氏名がマスタと相違／","")&amp;IF(AND($Q1850&lt;&gt;"",INDEX(職員マスタ!$E$6:$E$405,$AN1850)&lt;&gt;"",$Q1850&lt;&gt;INDEX(職員マスタ!$E$6:$E$405,$AN1850)),"子の生年月日がマスタと相違／","")&amp;IF(AND($L1850&lt;&gt;"",INDEX(職員マスタ!$G$6:$G$405,$AN1850)&lt;&gt;"",$L1850&lt;&gt;INDEX(職員マスタ!$G$6:$G$405,$AN1850)),"時短開始日がマスタと相違／","")&amp;IF(AND($M1850&lt;&gt;"",INDEX(職員マスタ!$H$6:$H$405,$AN1850)&lt;&gt;"",$M1850&lt;&gt;INDEX(職員マスタ!$H$6:$H$405,$AN1850)),"時短終了日がマスタと相違／","")))&amp;IF(AND($B1850&lt;&gt;"",$E1850=""),"報酬額が未入力／","")&amp;IF(N($U1850)&gt;0,"申請書に入力エラーが残っています／","")&amp;IF(AND($B1850&lt;&gt;"",$AO1850&lt;&gt;""),IF(COUNTIFS($B$6:$B$3005,$B1850,$C$6:$C$3005,$C1850,$D$6:$D$3005,$D1850)&gt;1,"同じ月の請求が重複しています／",""),"")&amp;IF(AND(N($E1850)&gt;0,$Z1850&lt;&gt;"",$Z1850&lt;&gt;"×",$AC1850=0,$AB1850=""),"計算額が下限以下のため不支給／",""))</f>
        <v/>
      </c>
      <c r="AL1850" s="12" t="n"/>
      <c r="AM1850" s="14">
        <f>IF($AD1850="保留中",COUNTIF($AD$6:$AD1850,"保留中"),"")</f>
        <v/>
      </c>
      <c r="AN1850" s="14">
        <f>IF($AO1850="","",IF(SUMPRODUCT(MAX((職員マスタ!$A$6:$A$405=$B1850)*(((職員マスタ!$G$6:$G$405="")+(職員マスタ!$G$6:$G$405&lt;=EOMONTH($AO1850,0)))&gt;0)*(((職員マスタ!$H$6:$H$405="")+(職員マスタ!$H$6:$H$405&gt;=$AO1850))&gt;0)*(ROW(職員マスタ!$A$6:$A$405)-5)))&gt;0,SUMPRODUCT(MAX((職員マスタ!$A$6:$A$405=$B1850)*(((職員マスタ!$G$6:$G$405="")+(職員マスタ!$G$6:$G$405&lt;=EOMONTH($AO1850,0)))&gt;0)*(((職員マスタ!$H$6:$H$405="")+(職員マスタ!$H$6:$H$405&gt;=$AO1850))&gt;0)*(ROW(職員マスタ!$A$6:$A$405)-5))),IFERROR(MATCH($B1850,職員マスタ!$A$6:$A$405,0),"")))</f>
        <v/>
      </c>
      <c r="AO1850" s="16">
        <f>IF(OR($B1850="",$C1850="",$D1850=""),"",DATE($C1850+2018,$D1850,1))</f>
        <v/>
      </c>
    </row>
    <row r="1851">
      <c r="A1851" s="11" t="n"/>
      <c r="B1851" s="12" t="n"/>
      <c r="C1851" s="12" t="n"/>
      <c r="D1851" s="12" t="n"/>
      <c r="E1851" s="13" t="n"/>
      <c r="F1851" s="12" t="n"/>
      <c r="G1851" s="13" t="n"/>
      <c r="H1851" s="12" t="n"/>
      <c r="I1851" s="12" t="n"/>
      <c r="J1851" s="12" t="n"/>
      <c r="K1851" s="12" t="n"/>
      <c r="L1851" s="11" t="n"/>
      <c r="M1851" s="11" t="n"/>
      <c r="N1851" s="11" t="n"/>
      <c r="O1851" s="11" t="n"/>
      <c r="P1851" s="12" t="n"/>
      <c r="Q1851" s="11" t="n"/>
      <c r="R1851" s="12" t="n"/>
      <c r="S1851" s="11" t="n"/>
      <c r="T1851" s="12" t="n"/>
      <c r="U1851" s="12" t="n"/>
      <c r="V1851" s="14">
        <f>IF($AN1851="",IF($B1851="","",$H1851),IF(INDEX(職員マスタ!$B$6:$B$405,$AN1851)="",$H1851,INDEX(職員マスタ!$B$6:$B$405,$AN1851)))</f>
        <v/>
      </c>
      <c r="W1851" s="14">
        <f>IF($AN1851="",IF($B1851="","",$R1851),IF(INDEX(職員マスタ!$C$6:$C$405,$AN1851)="",$R1851,INDEX(職員マスタ!$C$6:$C$405,$AN1851)))</f>
        <v/>
      </c>
      <c r="X1851" s="14">
        <f>IF($AO1851="","","R"&amp;$C1851&amp;"."&amp;$D1851)</f>
        <v/>
      </c>
      <c r="Y1851" s="15">
        <f>IF($AN1851="","",IF(INDEX(職員マスタ!$K$6:$K$405,$AN1851)="","",INDEX(職員マスタ!$K$6:$K$405,$AN1851)))</f>
        <v/>
      </c>
      <c r="Z1851" s="14">
        <f>IF(OR($E1851="",$Y1851=""),"",IF($E1851&gt;=$Y1851,"×",IF($E1851&gt;=$Y1851*設定!$C$5,"△","○")))</f>
        <v/>
      </c>
      <c r="AA1851" s="15">
        <f>IF($Z1851="","",IF($Z1851="×",0,IF($Z1851="○",ROUNDDOWN($E1851*設定!$C$4,0),ROUNDDOWN($E1851*ROUND((9*$Y1851-9*$E1851)/(10*$E1851),4),0))))</f>
        <v/>
      </c>
      <c r="AB1851" s="13" t="n"/>
      <c r="AC1851" s="15">
        <f>IF($B1851="","",IF($AB1851&lt;&gt;"",$AB1851,IF($AA1851="","",IF($AA1851&lt;=設定!$C$3,0,$AA1851))))</f>
        <v/>
      </c>
      <c r="AD1851" s="14">
        <f>IF($B1851="","",IF(AND($AE1851&lt;&gt;"",$AG1851="",$AJ1851=""),"保留中",IF($AJ1851&lt;&gt;"",IF(N($AC1851)&gt;0,"支給済","不支給"),IF($AC1851="","要確認",IF($AC1851=0,"不支給","未処理")))))</f>
        <v/>
      </c>
      <c r="AE1851" s="12" t="n"/>
      <c r="AF1851" s="11" t="n"/>
      <c r="AG1851" s="11" t="n"/>
      <c r="AH1851" s="11" t="n"/>
      <c r="AI1851" s="14">
        <f>IF(AND($AD1851="保留中",$AF1851&lt;&gt;""),TODAY()-$AF1851,"")</f>
        <v/>
      </c>
      <c r="AJ1851" s="12" t="n"/>
      <c r="AK1851" s="14">
        <f>IF($B1851="","",IF($AO1851="","対象年月が未入力／","")&amp;IF($B1851="","",IF($AN1851="","職員マスタに未登録の職員番号／",IF($Y1851="","標準報酬月額が未登録／","")&amp;IF(AND($AO1851&lt;&gt;"",OR(AND(INDEX(職員マスタ!$G$6:$G$405,$AN1851)&lt;&gt;"",INDEX(職員マスタ!$G$6:$G$405,$AN1851)&gt;EOMONTH($AO1851,0)),AND(INDEX(職員マスタ!$H$6:$H$405,$AN1851)&lt;&gt;"",INDEX(職員マスタ!$H$6:$H$405,$AN1851)&lt;$AO1851))),"対象月が時短期間外／","")&amp;IF(AND(INDEX(職員マスタ!$F$6:$F$405,$AN1851)&lt;&gt;"",$AO1851&lt;&gt;"",INDEX(職員マスタ!$F$6:$F$405,$AN1851)&lt;$AO1851),"対象月に子が2歳到達済／","")&amp;IF(AND($H1851&lt;&gt;"",INDEX(職員マスタ!$B$6:$B$405,$AN1851)&lt;&gt;"",SUBSTITUTE(SUBSTITUTE($H1851," ","")," ","")&lt;&gt;SUBSTITUTE(SUBSTITUTE(INDEX(職員マスタ!$B$6:$B$405,$AN1851)," ","")," ","")),"氏名がマスタと相違／","")&amp;IF(AND($Q1851&lt;&gt;"",INDEX(職員マスタ!$E$6:$E$405,$AN1851)&lt;&gt;"",$Q1851&lt;&gt;INDEX(職員マスタ!$E$6:$E$405,$AN1851)),"子の生年月日がマスタと相違／","")&amp;IF(AND($L1851&lt;&gt;"",INDEX(職員マスタ!$G$6:$G$405,$AN1851)&lt;&gt;"",$L1851&lt;&gt;INDEX(職員マスタ!$G$6:$G$405,$AN1851)),"時短開始日がマスタと相違／","")&amp;IF(AND($M1851&lt;&gt;"",INDEX(職員マスタ!$H$6:$H$405,$AN1851)&lt;&gt;"",$M1851&lt;&gt;INDEX(職員マスタ!$H$6:$H$405,$AN1851)),"時短終了日がマスタと相違／","")))&amp;IF(AND($B1851&lt;&gt;"",$E1851=""),"報酬額が未入力／","")&amp;IF(N($U1851)&gt;0,"申請書に入力エラーが残っています／","")&amp;IF(AND($B1851&lt;&gt;"",$AO1851&lt;&gt;""),IF(COUNTIFS($B$6:$B$3005,$B1851,$C$6:$C$3005,$C1851,$D$6:$D$3005,$D1851)&gt;1,"同じ月の請求が重複しています／",""),"")&amp;IF(AND(N($E1851)&gt;0,$Z1851&lt;&gt;"",$Z1851&lt;&gt;"×",$AC1851=0,$AB1851=""),"計算額が下限以下のため不支給／",""))</f>
        <v/>
      </c>
      <c r="AL1851" s="12" t="n"/>
      <c r="AM1851" s="14">
        <f>IF($AD1851="保留中",COUNTIF($AD$6:$AD1851,"保留中"),"")</f>
        <v/>
      </c>
      <c r="AN1851" s="14">
        <f>IF($AO1851="","",IF(SUMPRODUCT(MAX((職員マスタ!$A$6:$A$405=$B1851)*(((職員マスタ!$G$6:$G$405="")+(職員マスタ!$G$6:$G$405&lt;=EOMONTH($AO1851,0)))&gt;0)*(((職員マスタ!$H$6:$H$405="")+(職員マスタ!$H$6:$H$405&gt;=$AO1851))&gt;0)*(ROW(職員マスタ!$A$6:$A$405)-5)))&gt;0,SUMPRODUCT(MAX((職員マスタ!$A$6:$A$405=$B1851)*(((職員マスタ!$G$6:$G$405="")+(職員マスタ!$G$6:$G$405&lt;=EOMONTH($AO1851,0)))&gt;0)*(((職員マスタ!$H$6:$H$405="")+(職員マスタ!$H$6:$H$405&gt;=$AO1851))&gt;0)*(ROW(職員マスタ!$A$6:$A$405)-5))),IFERROR(MATCH($B1851,職員マスタ!$A$6:$A$405,0),"")))</f>
        <v/>
      </c>
      <c r="AO1851" s="16">
        <f>IF(OR($B1851="",$C1851="",$D1851=""),"",DATE($C1851+2018,$D1851,1))</f>
        <v/>
      </c>
    </row>
    <row r="1852">
      <c r="A1852" s="11" t="n"/>
      <c r="B1852" s="12" t="n"/>
      <c r="C1852" s="12" t="n"/>
      <c r="D1852" s="12" t="n"/>
      <c r="E1852" s="13" t="n"/>
      <c r="F1852" s="12" t="n"/>
      <c r="G1852" s="13" t="n"/>
      <c r="H1852" s="12" t="n"/>
      <c r="I1852" s="12" t="n"/>
      <c r="J1852" s="12" t="n"/>
      <c r="K1852" s="12" t="n"/>
      <c r="L1852" s="11" t="n"/>
      <c r="M1852" s="11" t="n"/>
      <c r="N1852" s="11" t="n"/>
      <c r="O1852" s="11" t="n"/>
      <c r="P1852" s="12" t="n"/>
      <c r="Q1852" s="11" t="n"/>
      <c r="R1852" s="12" t="n"/>
      <c r="S1852" s="11" t="n"/>
      <c r="T1852" s="12" t="n"/>
      <c r="U1852" s="12" t="n"/>
      <c r="V1852" s="14">
        <f>IF($AN1852="",IF($B1852="","",$H1852),IF(INDEX(職員マスタ!$B$6:$B$405,$AN1852)="",$H1852,INDEX(職員マスタ!$B$6:$B$405,$AN1852)))</f>
        <v/>
      </c>
      <c r="W1852" s="14">
        <f>IF($AN1852="",IF($B1852="","",$R1852),IF(INDEX(職員マスタ!$C$6:$C$405,$AN1852)="",$R1852,INDEX(職員マスタ!$C$6:$C$405,$AN1852)))</f>
        <v/>
      </c>
      <c r="X1852" s="14">
        <f>IF($AO1852="","","R"&amp;$C1852&amp;"."&amp;$D1852)</f>
        <v/>
      </c>
      <c r="Y1852" s="15">
        <f>IF($AN1852="","",IF(INDEX(職員マスタ!$K$6:$K$405,$AN1852)="","",INDEX(職員マスタ!$K$6:$K$405,$AN1852)))</f>
        <v/>
      </c>
      <c r="Z1852" s="14">
        <f>IF(OR($E1852="",$Y1852=""),"",IF($E1852&gt;=$Y1852,"×",IF($E1852&gt;=$Y1852*設定!$C$5,"△","○")))</f>
        <v/>
      </c>
      <c r="AA1852" s="15">
        <f>IF($Z1852="","",IF($Z1852="×",0,IF($Z1852="○",ROUNDDOWN($E1852*設定!$C$4,0),ROUNDDOWN($E1852*ROUND((9*$Y1852-9*$E1852)/(10*$E1852),4),0))))</f>
        <v/>
      </c>
      <c r="AB1852" s="13" t="n"/>
      <c r="AC1852" s="15">
        <f>IF($B1852="","",IF($AB1852&lt;&gt;"",$AB1852,IF($AA1852="","",IF($AA1852&lt;=設定!$C$3,0,$AA1852))))</f>
        <v/>
      </c>
      <c r="AD1852" s="14">
        <f>IF($B1852="","",IF(AND($AE1852&lt;&gt;"",$AG1852="",$AJ1852=""),"保留中",IF($AJ1852&lt;&gt;"",IF(N($AC1852)&gt;0,"支給済","不支給"),IF($AC1852="","要確認",IF($AC1852=0,"不支給","未処理")))))</f>
        <v/>
      </c>
      <c r="AE1852" s="12" t="n"/>
      <c r="AF1852" s="11" t="n"/>
      <c r="AG1852" s="11" t="n"/>
      <c r="AH1852" s="11" t="n"/>
      <c r="AI1852" s="14">
        <f>IF(AND($AD1852="保留中",$AF1852&lt;&gt;""),TODAY()-$AF1852,"")</f>
        <v/>
      </c>
      <c r="AJ1852" s="12" t="n"/>
      <c r="AK1852" s="14">
        <f>IF($B1852="","",IF($AO1852="","対象年月が未入力／","")&amp;IF($B1852="","",IF($AN1852="","職員マスタに未登録の職員番号／",IF($Y1852="","標準報酬月額が未登録／","")&amp;IF(AND($AO1852&lt;&gt;"",OR(AND(INDEX(職員マスタ!$G$6:$G$405,$AN1852)&lt;&gt;"",INDEX(職員マスタ!$G$6:$G$405,$AN1852)&gt;EOMONTH($AO1852,0)),AND(INDEX(職員マスタ!$H$6:$H$405,$AN1852)&lt;&gt;"",INDEX(職員マスタ!$H$6:$H$405,$AN1852)&lt;$AO1852))),"対象月が時短期間外／","")&amp;IF(AND(INDEX(職員マスタ!$F$6:$F$405,$AN1852)&lt;&gt;"",$AO1852&lt;&gt;"",INDEX(職員マスタ!$F$6:$F$405,$AN1852)&lt;$AO1852),"対象月に子が2歳到達済／","")&amp;IF(AND($H1852&lt;&gt;"",INDEX(職員マスタ!$B$6:$B$405,$AN1852)&lt;&gt;"",SUBSTITUTE(SUBSTITUTE($H1852," ","")," ","")&lt;&gt;SUBSTITUTE(SUBSTITUTE(INDEX(職員マスタ!$B$6:$B$405,$AN1852)," ","")," ","")),"氏名がマスタと相違／","")&amp;IF(AND($Q1852&lt;&gt;"",INDEX(職員マスタ!$E$6:$E$405,$AN1852)&lt;&gt;"",$Q1852&lt;&gt;INDEX(職員マスタ!$E$6:$E$405,$AN1852)),"子の生年月日がマスタと相違／","")&amp;IF(AND($L1852&lt;&gt;"",INDEX(職員マスタ!$G$6:$G$405,$AN1852)&lt;&gt;"",$L1852&lt;&gt;INDEX(職員マスタ!$G$6:$G$405,$AN1852)),"時短開始日がマスタと相違／","")&amp;IF(AND($M1852&lt;&gt;"",INDEX(職員マスタ!$H$6:$H$405,$AN1852)&lt;&gt;"",$M1852&lt;&gt;INDEX(職員マスタ!$H$6:$H$405,$AN1852)),"時短終了日がマスタと相違／","")))&amp;IF(AND($B1852&lt;&gt;"",$E1852=""),"報酬額が未入力／","")&amp;IF(N($U1852)&gt;0,"申請書に入力エラーが残っています／","")&amp;IF(AND($B1852&lt;&gt;"",$AO1852&lt;&gt;""),IF(COUNTIFS($B$6:$B$3005,$B1852,$C$6:$C$3005,$C1852,$D$6:$D$3005,$D1852)&gt;1,"同じ月の請求が重複しています／",""),"")&amp;IF(AND(N($E1852)&gt;0,$Z1852&lt;&gt;"",$Z1852&lt;&gt;"×",$AC1852=0,$AB1852=""),"計算額が下限以下のため不支給／",""))</f>
        <v/>
      </c>
      <c r="AL1852" s="12" t="n"/>
      <c r="AM1852" s="14">
        <f>IF($AD1852="保留中",COUNTIF($AD$6:$AD1852,"保留中"),"")</f>
        <v/>
      </c>
      <c r="AN1852" s="14">
        <f>IF($AO1852="","",IF(SUMPRODUCT(MAX((職員マスタ!$A$6:$A$405=$B1852)*(((職員マスタ!$G$6:$G$405="")+(職員マスタ!$G$6:$G$405&lt;=EOMONTH($AO1852,0)))&gt;0)*(((職員マスタ!$H$6:$H$405="")+(職員マスタ!$H$6:$H$405&gt;=$AO1852))&gt;0)*(ROW(職員マスタ!$A$6:$A$405)-5)))&gt;0,SUMPRODUCT(MAX((職員マスタ!$A$6:$A$405=$B1852)*(((職員マスタ!$G$6:$G$405="")+(職員マスタ!$G$6:$G$405&lt;=EOMONTH($AO1852,0)))&gt;0)*(((職員マスタ!$H$6:$H$405="")+(職員マスタ!$H$6:$H$405&gt;=$AO1852))&gt;0)*(ROW(職員マスタ!$A$6:$A$405)-5))),IFERROR(MATCH($B1852,職員マスタ!$A$6:$A$405,0),"")))</f>
        <v/>
      </c>
      <c r="AO1852" s="16">
        <f>IF(OR($B1852="",$C1852="",$D1852=""),"",DATE($C1852+2018,$D1852,1))</f>
        <v/>
      </c>
    </row>
    <row r="1853">
      <c r="A1853" s="11" t="n"/>
      <c r="B1853" s="12" t="n"/>
      <c r="C1853" s="12" t="n"/>
      <c r="D1853" s="12" t="n"/>
      <c r="E1853" s="13" t="n"/>
      <c r="F1853" s="12" t="n"/>
      <c r="G1853" s="13" t="n"/>
      <c r="H1853" s="12" t="n"/>
      <c r="I1853" s="12" t="n"/>
      <c r="J1853" s="12" t="n"/>
      <c r="K1853" s="12" t="n"/>
      <c r="L1853" s="11" t="n"/>
      <c r="M1853" s="11" t="n"/>
      <c r="N1853" s="11" t="n"/>
      <c r="O1853" s="11" t="n"/>
      <c r="P1853" s="12" t="n"/>
      <c r="Q1853" s="11" t="n"/>
      <c r="R1853" s="12" t="n"/>
      <c r="S1853" s="11" t="n"/>
      <c r="T1853" s="12" t="n"/>
      <c r="U1853" s="12" t="n"/>
      <c r="V1853" s="14">
        <f>IF($AN1853="",IF($B1853="","",$H1853),IF(INDEX(職員マスタ!$B$6:$B$405,$AN1853)="",$H1853,INDEX(職員マスタ!$B$6:$B$405,$AN1853)))</f>
        <v/>
      </c>
      <c r="W1853" s="14">
        <f>IF($AN1853="",IF($B1853="","",$R1853),IF(INDEX(職員マスタ!$C$6:$C$405,$AN1853)="",$R1853,INDEX(職員マスタ!$C$6:$C$405,$AN1853)))</f>
        <v/>
      </c>
      <c r="X1853" s="14">
        <f>IF($AO1853="","","R"&amp;$C1853&amp;"."&amp;$D1853)</f>
        <v/>
      </c>
      <c r="Y1853" s="15">
        <f>IF($AN1853="","",IF(INDEX(職員マスタ!$K$6:$K$405,$AN1853)="","",INDEX(職員マスタ!$K$6:$K$405,$AN1853)))</f>
        <v/>
      </c>
      <c r="Z1853" s="14">
        <f>IF(OR($E1853="",$Y1853=""),"",IF($E1853&gt;=$Y1853,"×",IF($E1853&gt;=$Y1853*設定!$C$5,"△","○")))</f>
        <v/>
      </c>
      <c r="AA1853" s="15">
        <f>IF($Z1853="","",IF($Z1853="×",0,IF($Z1853="○",ROUNDDOWN($E1853*設定!$C$4,0),ROUNDDOWN($E1853*ROUND((9*$Y1853-9*$E1853)/(10*$E1853),4),0))))</f>
        <v/>
      </c>
      <c r="AB1853" s="13" t="n"/>
      <c r="AC1853" s="15">
        <f>IF($B1853="","",IF($AB1853&lt;&gt;"",$AB1853,IF($AA1853="","",IF($AA1853&lt;=設定!$C$3,0,$AA1853))))</f>
        <v/>
      </c>
      <c r="AD1853" s="14">
        <f>IF($B1853="","",IF(AND($AE1853&lt;&gt;"",$AG1853="",$AJ1853=""),"保留中",IF($AJ1853&lt;&gt;"",IF(N($AC1853)&gt;0,"支給済","不支給"),IF($AC1853="","要確認",IF($AC1853=0,"不支給","未処理")))))</f>
        <v/>
      </c>
      <c r="AE1853" s="12" t="n"/>
      <c r="AF1853" s="11" t="n"/>
      <c r="AG1853" s="11" t="n"/>
      <c r="AH1853" s="11" t="n"/>
      <c r="AI1853" s="14">
        <f>IF(AND($AD1853="保留中",$AF1853&lt;&gt;""),TODAY()-$AF1853,"")</f>
        <v/>
      </c>
      <c r="AJ1853" s="12" t="n"/>
      <c r="AK1853" s="14">
        <f>IF($B1853="","",IF($AO1853="","対象年月が未入力／","")&amp;IF($B1853="","",IF($AN1853="","職員マスタに未登録の職員番号／",IF($Y1853="","標準報酬月額が未登録／","")&amp;IF(AND($AO1853&lt;&gt;"",OR(AND(INDEX(職員マスタ!$G$6:$G$405,$AN1853)&lt;&gt;"",INDEX(職員マスタ!$G$6:$G$405,$AN1853)&gt;EOMONTH($AO1853,0)),AND(INDEX(職員マスタ!$H$6:$H$405,$AN1853)&lt;&gt;"",INDEX(職員マスタ!$H$6:$H$405,$AN1853)&lt;$AO1853))),"対象月が時短期間外／","")&amp;IF(AND(INDEX(職員マスタ!$F$6:$F$405,$AN1853)&lt;&gt;"",$AO1853&lt;&gt;"",INDEX(職員マスタ!$F$6:$F$405,$AN1853)&lt;$AO1853),"対象月に子が2歳到達済／","")&amp;IF(AND($H1853&lt;&gt;"",INDEX(職員マスタ!$B$6:$B$405,$AN1853)&lt;&gt;"",SUBSTITUTE(SUBSTITUTE($H1853," ","")," ","")&lt;&gt;SUBSTITUTE(SUBSTITUTE(INDEX(職員マスタ!$B$6:$B$405,$AN1853)," ","")," ","")),"氏名がマスタと相違／","")&amp;IF(AND($Q1853&lt;&gt;"",INDEX(職員マスタ!$E$6:$E$405,$AN1853)&lt;&gt;"",$Q1853&lt;&gt;INDEX(職員マスタ!$E$6:$E$405,$AN1853)),"子の生年月日がマスタと相違／","")&amp;IF(AND($L1853&lt;&gt;"",INDEX(職員マスタ!$G$6:$G$405,$AN1853)&lt;&gt;"",$L1853&lt;&gt;INDEX(職員マスタ!$G$6:$G$405,$AN1853)),"時短開始日がマスタと相違／","")&amp;IF(AND($M1853&lt;&gt;"",INDEX(職員マスタ!$H$6:$H$405,$AN1853)&lt;&gt;"",$M1853&lt;&gt;INDEX(職員マスタ!$H$6:$H$405,$AN1853)),"時短終了日がマスタと相違／","")))&amp;IF(AND($B1853&lt;&gt;"",$E1853=""),"報酬額が未入力／","")&amp;IF(N($U1853)&gt;0,"申請書に入力エラーが残っています／","")&amp;IF(AND($B1853&lt;&gt;"",$AO1853&lt;&gt;""),IF(COUNTIFS($B$6:$B$3005,$B1853,$C$6:$C$3005,$C1853,$D$6:$D$3005,$D1853)&gt;1,"同じ月の請求が重複しています／",""),"")&amp;IF(AND(N($E1853)&gt;0,$Z1853&lt;&gt;"",$Z1853&lt;&gt;"×",$AC1853=0,$AB1853=""),"計算額が下限以下のため不支給／",""))</f>
        <v/>
      </c>
      <c r="AL1853" s="12" t="n"/>
      <c r="AM1853" s="14">
        <f>IF($AD1853="保留中",COUNTIF($AD$6:$AD1853,"保留中"),"")</f>
        <v/>
      </c>
      <c r="AN1853" s="14">
        <f>IF($AO1853="","",IF(SUMPRODUCT(MAX((職員マスタ!$A$6:$A$405=$B1853)*(((職員マスタ!$G$6:$G$405="")+(職員マスタ!$G$6:$G$405&lt;=EOMONTH($AO1853,0)))&gt;0)*(((職員マスタ!$H$6:$H$405="")+(職員マスタ!$H$6:$H$405&gt;=$AO1853))&gt;0)*(ROW(職員マスタ!$A$6:$A$405)-5)))&gt;0,SUMPRODUCT(MAX((職員マスタ!$A$6:$A$405=$B1853)*(((職員マスタ!$G$6:$G$405="")+(職員マスタ!$G$6:$G$405&lt;=EOMONTH($AO1853,0)))&gt;0)*(((職員マスタ!$H$6:$H$405="")+(職員マスタ!$H$6:$H$405&gt;=$AO1853))&gt;0)*(ROW(職員マスタ!$A$6:$A$405)-5))),IFERROR(MATCH($B1853,職員マスタ!$A$6:$A$405,0),"")))</f>
        <v/>
      </c>
      <c r="AO1853" s="16">
        <f>IF(OR($B1853="",$C1853="",$D1853=""),"",DATE($C1853+2018,$D1853,1))</f>
        <v/>
      </c>
    </row>
    <row r="1854">
      <c r="A1854" s="11" t="n"/>
      <c r="B1854" s="12" t="n"/>
      <c r="C1854" s="12" t="n"/>
      <c r="D1854" s="12" t="n"/>
      <c r="E1854" s="13" t="n"/>
      <c r="F1854" s="12" t="n"/>
      <c r="G1854" s="13" t="n"/>
      <c r="H1854" s="12" t="n"/>
      <c r="I1854" s="12" t="n"/>
      <c r="J1854" s="12" t="n"/>
      <c r="K1854" s="12" t="n"/>
      <c r="L1854" s="11" t="n"/>
      <c r="M1854" s="11" t="n"/>
      <c r="N1854" s="11" t="n"/>
      <c r="O1854" s="11" t="n"/>
      <c r="P1854" s="12" t="n"/>
      <c r="Q1854" s="11" t="n"/>
      <c r="R1854" s="12" t="n"/>
      <c r="S1854" s="11" t="n"/>
      <c r="T1854" s="12" t="n"/>
      <c r="U1854" s="12" t="n"/>
      <c r="V1854" s="14">
        <f>IF($AN1854="",IF($B1854="","",$H1854),IF(INDEX(職員マスタ!$B$6:$B$405,$AN1854)="",$H1854,INDEX(職員マスタ!$B$6:$B$405,$AN1854)))</f>
        <v/>
      </c>
      <c r="W1854" s="14">
        <f>IF($AN1854="",IF($B1854="","",$R1854),IF(INDEX(職員マスタ!$C$6:$C$405,$AN1854)="",$R1854,INDEX(職員マスタ!$C$6:$C$405,$AN1854)))</f>
        <v/>
      </c>
      <c r="X1854" s="14">
        <f>IF($AO1854="","","R"&amp;$C1854&amp;"."&amp;$D1854)</f>
        <v/>
      </c>
      <c r="Y1854" s="15">
        <f>IF($AN1854="","",IF(INDEX(職員マスタ!$K$6:$K$405,$AN1854)="","",INDEX(職員マスタ!$K$6:$K$405,$AN1854)))</f>
        <v/>
      </c>
      <c r="Z1854" s="14">
        <f>IF(OR($E1854="",$Y1854=""),"",IF($E1854&gt;=$Y1854,"×",IF($E1854&gt;=$Y1854*設定!$C$5,"△","○")))</f>
        <v/>
      </c>
      <c r="AA1854" s="15">
        <f>IF($Z1854="","",IF($Z1854="×",0,IF($Z1854="○",ROUNDDOWN($E1854*設定!$C$4,0),ROUNDDOWN($E1854*ROUND((9*$Y1854-9*$E1854)/(10*$E1854),4),0))))</f>
        <v/>
      </c>
      <c r="AB1854" s="13" t="n"/>
      <c r="AC1854" s="15">
        <f>IF($B1854="","",IF($AB1854&lt;&gt;"",$AB1854,IF($AA1854="","",IF($AA1854&lt;=設定!$C$3,0,$AA1854))))</f>
        <v/>
      </c>
      <c r="AD1854" s="14">
        <f>IF($B1854="","",IF(AND($AE1854&lt;&gt;"",$AG1854="",$AJ1854=""),"保留中",IF($AJ1854&lt;&gt;"",IF(N($AC1854)&gt;0,"支給済","不支給"),IF($AC1854="","要確認",IF($AC1854=0,"不支給","未処理")))))</f>
        <v/>
      </c>
      <c r="AE1854" s="12" t="n"/>
      <c r="AF1854" s="11" t="n"/>
      <c r="AG1854" s="11" t="n"/>
      <c r="AH1854" s="11" t="n"/>
      <c r="AI1854" s="14">
        <f>IF(AND($AD1854="保留中",$AF1854&lt;&gt;""),TODAY()-$AF1854,"")</f>
        <v/>
      </c>
      <c r="AJ1854" s="12" t="n"/>
      <c r="AK1854" s="14">
        <f>IF($B1854="","",IF($AO1854="","対象年月が未入力／","")&amp;IF($B1854="","",IF($AN1854="","職員マスタに未登録の職員番号／",IF($Y1854="","標準報酬月額が未登録／","")&amp;IF(AND($AO1854&lt;&gt;"",OR(AND(INDEX(職員マスタ!$G$6:$G$405,$AN1854)&lt;&gt;"",INDEX(職員マスタ!$G$6:$G$405,$AN1854)&gt;EOMONTH($AO1854,0)),AND(INDEX(職員マスタ!$H$6:$H$405,$AN1854)&lt;&gt;"",INDEX(職員マスタ!$H$6:$H$405,$AN1854)&lt;$AO1854))),"対象月が時短期間外／","")&amp;IF(AND(INDEX(職員マスタ!$F$6:$F$405,$AN1854)&lt;&gt;"",$AO1854&lt;&gt;"",INDEX(職員マスタ!$F$6:$F$405,$AN1854)&lt;$AO1854),"対象月に子が2歳到達済／","")&amp;IF(AND($H1854&lt;&gt;"",INDEX(職員マスタ!$B$6:$B$405,$AN1854)&lt;&gt;"",SUBSTITUTE(SUBSTITUTE($H1854," ","")," ","")&lt;&gt;SUBSTITUTE(SUBSTITUTE(INDEX(職員マスタ!$B$6:$B$405,$AN1854)," ","")," ","")),"氏名がマスタと相違／","")&amp;IF(AND($Q1854&lt;&gt;"",INDEX(職員マスタ!$E$6:$E$405,$AN1854)&lt;&gt;"",$Q1854&lt;&gt;INDEX(職員マスタ!$E$6:$E$405,$AN1854)),"子の生年月日がマスタと相違／","")&amp;IF(AND($L1854&lt;&gt;"",INDEX(職員マスタ!$G$6:$G$405,$AN1854)&lt;&gt;"",$L1854&lt;&gt;INDEX(職員マスタ!$G$6:$G$405,$AN1854)),"時短開始日がマスタと相違／","")&amp;IF(AND($M1854&lt;&gt;"",INDEX(職員マスタ!$H$6:$H$405,$AN1854)&lt;&gt;"",$M1854&lt;&gt;INDEX(職員マスタ!$H$6:$H$405,$AN1854)),"時短終了日がマスタと相違／","")))&amp;IF(AND($B1854&lt;&gt;"",$E1854=""),"報酬額が未入力／","")&amp;IF(N($U1854)&gt;0,"申請書に入力エラーが残っています／","")&amp;IF(AND($B1854&lt;&gt;"",$AO1854&lt;&gt;""),IF(COUNTIFS($B$6:$B$3005,$B1854,$C$6:$C$3005,$C1854,$D$6:$D$3005,$D1854)&gt;1,"同じ月の請求が重複しています／",""),"")&amp;IF(AND(N($E1854)&gt;0,$Z1854&lt;&gt;"",$Z1854&lt;&gt;"×",$AC1854=0,$AB1854=""),"計算額が下限以下のため不支給／",""))</f>
        <v/>
      </c>
      <c r="AL1854" s="12" t="n"/>
      <c r="AM1854" s="14">
        <f>IF($AD1854="保留中",COUNTIF($AD$6:$AD1854,"保留中"),"")</f>
        <v/>
      </c>
      <c r="AN1854" s="14">
        <f>IF($AO1854="","",IF(SUMPRODUCT(MAX((職員マスタ!$A$6:$A$405=$B1854)*(((職員マスタ!$G$6:$G$405="")+(職員マスタ!$G$6:$G$405&lt;=EOMONTH($AO1854,0)))&gt;0)*(((職員マスタ!$H$6:$H$405="")+(職員マスタ!$H$6:$H$405&gt;=$AO1854))&gt;0)*(ROW(職員マスタ!$A$6:$A$405)-5)))&gt;0,SUMPRODUCT(MAX((職員マスタ!$A$6:$A$405=$B1854)*(((職員マスタ!$G$6:$G$405="")+(職員マスタ!$G$6:$G$405&lt;=EOMONTH($AO1854,0)))&gt;0)*(((職員マスタ!$H$6:$H$405="")+(職員マスタ!$H$6:$H$405&gt;=$AO1854))&gt;0)*(ROW(職員マスタ!$A$6:$A$405)-5))),IFERROR(MATCH($B1854,職員マスタ!$A$6:$A$405,0),"")))</f>
        <v/>
      </c>
      <c r="AO1854" s="16">
        <f>IF(OR($B1854="",$C1854="",$D1854=""),"",DATE($C1854+2018,$D1854,1))</f>
        <v/>
      </c>
    </row>
    <row r="1855">
      <c r="A1855" s="11" t="n"/>
      <c r="B1855" s="12" t="n"/>
      <c r="C1855" s="12" t="n"/>
      <c r="D1855" s="12" t="n"/>
      <c r="E1855" s="13" t="n"/>
      <c r="F1855" s="12" t="n"/>
      <c r="G1855" s="13" t="n"/>
      <c r="H1855" s="12" t="n"/>
      <c r="I1855" s="12" t="n"/>
      <c r="J1855" s="12" t="n"/>
      <c r="K1855" s="12" t="n"/>
      <c r="L1855" s="11" t="n"/>
      <c r="M1855" s="11" t="n"/>
      <c r="N1855" s="11" t="n"/>
      <c r="O1855" s="11" t="n"/>
      <c r="P1855" s="12" t="n"/>
      <c r="Q1855" s="11" t="n"/>
      <c r="R1855" s="12" t="n"/>
      <c r="S1855" s="11" t="n"/>
      <c r="T1855" s="12" t="n"/>
      <c r="U1855" s="12" t="n"/>
      <c r="V1855" s="14">
        <f>IF($AN1855="",IF($B1855="","",$H1855),IF(INDEX(職員マスタ!$B$6:$B$405,$AN1855)="",$H1855,INDEX(職員マスタ!$B$6:$B$405,$AN1855)))</f>
        <v/>
      </c>
      <c r="W1855" s="14">
        <f>IF($AN1855="",IF($B1855="","",$R1855),IF(INDEX(職員マスタ!$C$6:$C$405,$AN1855)="",$R1855,INDEX(職員マスタ!$C$6:$C$405,$AN1855)))</f>
        <v/>
      </c>
      <c r="X1855" s="14">
        <f>IF($AO1855="","","R"&amp;$C1855&amp;"."&amp;$D1855)</f>
        <v/>
      </c>
      <c r="Y1855" s="15">
        <f>IF($AN1855="","",IF(INDEX(職員マスタ!$K$6:$K$405,$AN1855)="","",INDEX(職員マスタ!$K$6:$K$405,$AN1855)))</f>
        <v/>
      </c>
      <c r="Z1855" s="14">
        <f>IF(OR($E1855="",$Y1855=""),"",IF($E1855&gt;=$Y1855,"×",IF($E1855&gt;=$Y1855*設定!$C$5,"△","○")))</f>
        <v/>
      </c>
      <c r="AA1855" s="15">
        <f>IF($Z1855="","",IF($Z1855="×",0,IF($Z1855="○",ROUNDDOWN($E1855*設定!$C$4,0),ROUNDDOWN($E1855*ROUND((9*$Y1855-9*$E1855)/(10*$E1855),4),0))))</f>
        <v/>
      </c>
      <c r="AB1855" s="13" t="n"/>
      <c r="AC1855" s="15">
        <f>IF($B1855="","",IF($AB1855&lt;&gt;"",$AB1855,IF($AA1855="","",IF($AA1855&lt;=設定!$C$3,0,$AA1855))))</f>
        <v/>
      </c>
      <c r="AD1855" s="14">
        <f>IF($B1855="","",IF(AND($AE1855&lt;&gt;"",$AG1855="",$AJ1855=""),"保留中",IF($AJ1855&lt;&gt;"",IF(N($AC1855)&gt;0,"支給済","不支給"),IF($AC1855="","要確認",IF($AC1855=0,"不支給","未処理")))))</f>
        <v/>
      </c>
      <c r="AE1855" s="12" t="n"/>
      <c r="AF1855" s="11" t="n"/>
      <c r="AG1855" s="11" t="n"/>
      <c r="AH1855" s="11" t="n"/>
      <c r="AI1855" s="14">
        <f>IF(AND($AD1855="保留中",$AF1855&lt;&gt;""),TODAY()-$AF1855,"")</f>
        <v/>
      </c>
      <c r="AJ1855" s="12" t="n"/>
      <c r="AK1855" s="14">
        <f>IF($B1855="","",IF($AO1855="","対象年月が未入力／","")&amp;IF($B1855="","",IF($AN1855="","職員マスタに未登録の職員番号／",IF($Y1855="","標準報酬月額が未登録／","")&amp;IF(AND($AO1855&lt;&gt;"",OR(AND(INDEX(職員マスタ!$G$6:$G$405,$AN1855)&lt;&gt;"",INDEX(職員マスタ!$G$6:$G$405,$AN1855)&gt;EOMONTH($AO1855,0)),AND(INDEX(職員マスタ!$H$6:$H$405,$AN1855)&lt;&gt;"",INDEX(職員マスタ!$H$6:$H$405,$AN1855)&lt;$AO1855))),"対象月が時短期間外／","")&amp;IF(AND(INDEX(職員マスタ!$F$6:$F$405,$AN1855)&lt;&gt;"",$AO1855&lt;&gt;"",INDEX(職員マスタ!$F$6:$F$405,$AN1855)&lt;$AO1855),"対象月に子が2歳到達済／","")&amp;IF(AND($H1855&lt;&gt;"",INDEX(職員マスタ!$B$6:$B$405,$AN1855)&lt;&gt;"",SUBSTITUTE(SUBSTITUTE($H1855," ","")," ","")&lt;&gt;SUBSTITUTE(SUBSTITUTE(INDEX(職員マスタ!$B$6:$B$405,$AN1855)," ","")," ","")),"氏名がマスタと相違／","")&amp;IF(AND($Q1855&lt;&gt;"",INDEX(職員マスタ!$E$6:$E$405,$AN1855)&lt;&gt;"",$Q1855&lt;&gt;INDEX(職員マスタ!$E$6:$E$405,$AN1855)),"子の生年月日がマスタと相違／","")&amp;IF(AND($L1855&lt;&gt;"",INDEX(職員マスタ!$G$6:$G$405,$AN1855)&lt;&gt;"",$L1855&lt;&gt;INDEX(職員マスタ!$G$6:$G$405,$AN1855)),"時短開始日がマスタと相違／","")&amp;IF(AND($M1855&lt;&gt;"",INDEX(職員マスタ!$H$6:$H$405,$AN1855)&lt;&gt;"",$M1855&lt;&gt;INDEX(職員マスタ!$H$6:$H$405,$AN1855)),"時短終了日がマスタと相違／","")))&amp;IF(AND($B1855&lt;&gt;"",$E1855=""),"報酬額が未入力／","")&amp;IF(N($U1855)&gt;0,"申請書に入力エラーが残っています／","")&amp;IF(AND($B1855&lt;&gt;"",$AO1855&lt;&gt;""),IF(COUNTIFS($B$6:$B$3005,$B1855,$C$6:$C$3005,$C1855,$D$6:$D$3005,$D1855)&gt;1,"同じ月の請求が重複しています／",""),"")&amp;IF(AND(N($E1855)&gt;0,$Z1855&lt;&gt;"",$Z1855&lt;&gt;"×",$AC1855=0,$AB1855=""),"計算額が下限以下のため不支給／",""))</f>
        <v/>
      </c>
      <c r="AL1855" s="12" t="n"/>
      <c r="AM1855" s="14">
        <f>IF($AD1855="保留中",COUNTIF($AD$6:$AD1855,"保留中"),"")</f>
        <v/>
      </c>
      <c r="AN1855" s="14">
        <f>IF($AO1855="","",IF(SUMPRODUCT(MAX((職員マスタ!$A$6:$A$405=$B1855)*(((職員マスタ!$G$6:$G$405="")+(職員マスタ!$G$6:$G$405&lt;=EOMONTH($AO1855,0)))&gt;0)*(((職員マスタ!$H$6:$H$405="")+(職員マスタ!$H$6:$H$405&gt;=$AO1855))&gt;0)*(ROW(職員マスタ!$A$6:$A$405)-5)))&gt;0,SUMPRODUCT(MAX((職員マスタ!$A$6:$A$405=$B1855)*(((職員マスタ!$G$6:$G$405="")+(職員マスタ!$G$6:$G$405&lt;=EOMONTH($AO1855,0)))&gt;0)*(((職員マスタ!$H$6:$H$405="")+(職員マスタ!$H$6:$H$405&gt;=$AO1855))&gt;0)*(ROW(職員マスタ!$A$6:$A$405)-5))),IFERROR(MATCH($B1855,職員マスタ!$A$6:$A$405,0),"")))</f>
        <v/>
      </c>
      <c r="AO1855" s="16">
        <f>IF(OR($B1855="",$C1855="",$D1855=""),"",DATE($C1855+2018,$D1855,1))</f>
        <v/>
      </c>
    </row>
    <row r="1856">
      <c r="A1856" s="11" t="n"/>
      <c r="B1856" s="12" t="n"/>
      <c r="C1856" s="12" t="n"/>
      <c r="D1856" s="12" t="n"/>
      <c r="E1856" s="13" t="n"/>
      <c r="F1856" s="12" t="n"/>
      <c r="G1856" s="13" t="n"/>
      <c r="H1856" s="12" t="n"/>
      <c r="I1856" s="12" t="n"/>
      <c r="J1856" s="12" t="n"/>
      <c r="K1856" s="12" t="n"/>
      <c r="L1856" s="11" t="n"/>
      <c r="M1856" s="11" t="n"/>
      <c r="N1856" s="11" t="n"/>
      <c r="O1856" s="11" t="n"/>
      <c r="P1856" s="12" t="n"/>
      <c r="Q1856" s="11" t="n"/>
      <c r="R1856" s="12" t="n"/>
      <c r="S1856" s="11" t="n"/>
      <c r="T1856" s="12" t="n"/>
      <c r="U1856" s="12" t="n"/>
      <c r="V1856" s="14">
        <f>IF($AN1856="",IF($B1856="","",$H1856),IF(INDEX(職員マスタ!$B$6:$B$405,$AN1856)="",$H1856,INDEX(職員マスタ!$B$6:$B$405,$AN1856)))</f>
        <v/>
      </c>
      <c r="W1856" s="14">
        <f>IF($AN1856="",IF($B1856="","",$R1856),IF(INDEX(職員マスタ!$C$6:$C$405,$AN1856)="",$R1856,INDEX(職員マスタ!$C$6:$C$405,$AN1856)))</f>
        <v/>
      </c>
      <c r="X1856" s="14">
        <f>IF($AO1856="","","R"&amp;$C1856&amp;"."&amp;$D1856)</f>
        <v/>
      </c>
      <c r="Y1856" s="15">
        <f>IF($AN1856="","",IF(INDEX(職員マスタ!$K$6:$K$405,$AN1856)="","",INDEX(職員マスタ!$K$6:$K$405,$AN1856)))</f>
        <v/>
      </c>
      <c r="Z1856" s="14">
        <f>IF(OR($E1856="",$Y1856=""),"",IF($E1856&gt;=$Y1856,"×",IF($E1856&gt;=$Y1856*設定!$C$5,"△","○")))</f>
        <v/>
      </c>
      <c r="AA1856" s="15">
        <f>IF($Z1856="","",IF($Z1856="×",0,IF($Z1856="○",ROUNDDOWN($E1856*設定!$C$4,0),ROUNDDOWN($E1856*ROUND((9*$Y1856-9*$E1856)/(10*$E1856),4),0))))</f>
        <v/>
      </c>
      <c r="AB1856" s="13" t="n"/>
      <c r="AC1856" s="15">
        <f>IF($B1856="","",IF($AB1856&lt;&gt;"",$AB1856,IF($AA1856="","",IF($AA1856&lt;=設定!$C$3,0,$AA1856))))</f>
        <v/>
      </c>
      <c r="AD1856" s="14">
        <f>IF($B1856="","",IF(AND($AE1856&lt;&gt;"",$AG1856="",$AJ1856=""),"保留中",IF($AJ1856&lt;&gt;"",IF(N($AC1856)&gt;0,"支給済","不支給"),IF($AC1856="","要確認",IF($AC1856=0,"不支給","未処理")))))</f>
        <v/>
      </c>
      <c r="AE1856" s="12" t="n"/>
      <c r="AF1856" s="11" t="n"/>
      <c r="AG1856" s="11" t="n"/>
      <c r="AH1856" s="11" t="n"/>
      <c r="AI1856" s="14">
        <f>IF(AND($AD1856="保留中",$AF1856&lt;&gt;""),TODAY()-$AF1856,"")</f>
        <v/>
      </c>
      <c r="AJ1856" s="12" t="n"/>
      <c r="AK1856" s="14">
        <f>IF($B1856="","",IF($AO1856="","対象年月が未入力／","")&amp;IF($B1856="","",IF($AN1856="","職員マスタに未登録の職員番号／",IF($Y1856="","標準報酬月額が未登録／","")&amp;IF(AND($AO1856&lt;&gt;"",OR(AND(INDEX(職員マスタ!$G$6:$G$405,$AN1856)&lt;&gt;"",INDEX(職員マスタ!$G$6:$G$405,$AN1856)&gt;EOMONTH($AO1856,0)),AND(INDEX(職員マスタ!$H$6:$H$405,$AN1856)&lt;&gt;"",INDEX(職員マスタ!$H$6:$H$405,$AN1856)&lt;$AO1856))),"対象月が時短期間外／","")&amp;IF(AND(INDEX(職員マスタ!$F$6:$F$405,$AN1856)&lt;&gt;"",$AO1856&lt;&gt;"",INDEX(職員マスタ!$F$6:$F$405,$AN1856)&lt;$AO1856),"対象月に子が2歳到達済／","")&amp;IF(AND($H1856&lt;&gt;"",INDEX(職員マスタ!$B$6:$B$405,$AN1856)&lt;&gt;"",SUBSTITUTE(SUBSTITUTE($H1856," ","")," ","")&lt;&gt;SUBSTITUTE(SUBSTITUTE(INDEX(職員マスタ!$B$6:$B$405,$AN1856)," ","")," ","")),"氏名がマスタと相違／","")&amp;IF(AND($Q1856&lt;&gt;"",INDEX(職員マスタ!$E$6:$E$405,$AN1856)&lt;&gt;"",$Q1856&lt;&gt;INDEX(職員マスタ!$E$6:$E$405,$AN1856)),"子の生年月日がマスタと相違／","")&amp;IF(AND($L1856&lt;&gt;"",INDEX(職員マスタ!$G$6:$G$405,$AN1856)&lt;&gt;"",$L1856&lt;&gt;INDEX(職員マスタ!$G$6:$G$405,$AN1856)),"時短開始日がマスタと相違／","")&amp;IF(AND($M1856&lt;&gt;"",INDEX(職員マスタ!$H$6:$H$405,$AN1856)&lt;&gt;"",$M1856&lt;&gt;INDEX(職員マスタ!$H$6:$H$405,$AN1856)),"時短終了日がマスタと相違／","")))&amp;IF(AND($B1856&lt;&gt;"",$E1856=""),"報酬額が未入力／","")&amp;IF(N($U1856)&gt;0,"申請書に入力エラーが残っています／","")&amp;IF(AND($B1856&lt;&gt;"",$AO1856&lt;&gt;""),IF(COUNTIFS($B$6:$B$3005,$B1856,$C$6:$C$3005,$C1856,$D$6:$D$3005,$D1856)&gt;1,"同じ月の請求が重複しています／",""),"")&amp;IF(AND(N($E1856)&gt;0,$Z1856&lt;&gt;"",$Z1856&lt;&gt;"×",$AC1856=0,$AB1856=""),"計算額が下限以下のため不支給／",""))</f>
        <v/>
      </c>
      <c r="AL1856" s="12" t="n"/>
      <c r="AM1856" s="14">
        <f>IF($AD1856="保留中",COUNTIF($AD$6:$AD1856,"保留中"),"")</f>
        <v/>
      </c>
      <c r="AN1856" s="14">
        <f>IF($AO1856="","",IF(SUMPRODUCT(MAX((職員マスタ!$A$6:$A$405=$B1856)*(((職員マスタ!$G$6:$G$405="")+(職員マスタ!$G$6:$G$405&lt;=EOMONTH($AO1856,0)))&gt;0)*(((職員マスタ!$H$6:$H$405="")+(職員マスタ!$H$6:$H$405&gt;=$AO1856))&gt;0)*(ROW(職員マスタ!$A$6:$A$405)-5)))&gt;0,SUMPRODUCT(MAX((職員マスタ!$A$6:$A$405=$B1856)*(((職員マスタ!$G$6:$G$405="")+(職員マスタ!$G$6:$G$405&lt;=EOMONTH($AO1856,0)))&gt;0)*(((職員マスタ!$H$6:$H$405="")+(職員マスタ!$H$6:$H$405&gt;=$AO1856))&gt;0)*(ROW(職員マスタ!$A$6:$A$405)-5))),IFERROR(MATCH($B1856,職員マスタ!$A$6:$A$405,0),"")))</f>
        <v/>
      </c>
      <c r="AO1856" s="16">
        <f>IF(OR($B1856="",$C1856="",$D1856=""),"",DATE($C1856+2018,$D1856,1))</f>
        <v/>
      </c>
    </row>
    <row r="1857">
      <c r="A1857" s="11" t="n"/>
      <c r="B1857" s="12" t="n"/>
      <c r="C1857" s="12" t="n"/>
      <c r="D1857" s="12" t="n"/>
      <c r="E1857" s="13" t="n"/>
      <c r="F1857" s="12" t="n"/>
      <c r="G1857" s="13" t="n"/>
      <c r="H1857" s="12" t="n"/>
      <c r="I1857" s="12" t="n"/>
      <c r="J1857" s="12" t="n"/>
      <c r="K1857" s="12" t="n"/>
      <c r="L1857" s="11" t="n"/>
      <c r="M1857" s="11" t="n"/>
      <c r="N1857" s="11" t="n"/>
      <c r="O1857" s="11" t="n"/>
      <c r="P1857" s="12" t="n"/>
      <c r="Q1857" s="11" t="n"/>
      <c r="R1857" s="12" t="n"/>
      <c r="S1857" s="11" t="n"/>
      <c r="T1857" s="12" t="n"/>
      <c r="U1857" s="12" t="n"/>
      <c r="V1857" s="14">
        <f>IF($AN1857="",IF($B1857="","",$H1857),IF(INDEX(職員マスタ!$B$6:$B$405,$AN1857)="",$H1857,INDEX(職員マスタ!$B$6:$B$405,$AN1857)))</f>
        <v/>
      </c>
      <c r="W1857" s="14">
        <f>IF($AN1857="",IF($B1857="","",$R1857),IF(INDEX(職員マスタ!$C$6:$C$405,$AN1857)="",$R1857,INDEX(職員マスタ!$C$6:$C$405,$AN1857)))</f>
        <v/>
      </c>
      <c r="X1857" s="14">
        <f>IF($AO1857="","","R"&amp;$C1857&amp;"."&amp;$D1857)</f>
        <v/>
      </c>
      <c r="Y1857" s="15">
        <f>IF($AN1857="","",IF(INDEX(職員マスタ!$K$6:$K$405,$AN1857)="","",INDEX(職員マスタ!$K$6:$K$405,$AN1857)))</f>
        <v/>
      </c>
      <c r="Z1857" s="14">
        <f>IF(OR($E1857="",$Y1857=""),"",IF($E1857&gt;=$Y1857,"×",IF($E1857&gt;=$Y1857*設定!$C$5,"△","○")))</f>
        <v/>
      </c>
      <c r="AA1857" s="15">
        <f>IF($Z1857="","",IF($Z1857="×",0,IF($Z1857="○",ROUNDDOWN($E1857*設定!$C$4,0),ROUNDDOWN($E1857*ROUND((9*$Y1857-9*$E1857)/(10*$E1857),4),0))))</f>
        <v/>
      </c>
      <c r="AB1857" s="13" t="n"/>
      <c r="AC1857" s="15">
        <f>IF($B1857="","",IF($AB1857&lt;&gt;"",$AB1857,IF($AA1857="","",IF($AA1857&lt;=設定!$C$3,0,$AA1857))))</f>
        <v/>
      </c>
      <c r="AD1857" s="14">
        <f>IF($B1857="","",IF(AND($AE1857&lt;&gt;"",$AG1857="",$AJ1857=""),"保留中",IF($AJ1857&lt;&gt;"",IF(N($AC1857)&gt;0,"支給済","不支給"),IF($AC1857="","要確認",IF($AC1857=0,"不支給","未処理")))))</f>
        <v/>
      </c>
      <c r="AE1857" s="12" t="n"/>
      <c r="AF1857" s="11" t="n"/>
      <c r="AG1857" s="11" t="n"/>
      <c r="AH1857" s="11" t="n"/>
      <c r="AI1857" s="14">
        <f>IF(AND($AD1857="保留中",$AF1857&lt;&gt;""),TODAY()-$AF1857,"")</f>
        <v/>
      </c>
      <c r="AJ1857" s="12" t="n"/>
      <c r="AK1857" s="14">
        <f>IF($B1857="","",IF($AO1857="","対象年月が未入力／","")&amp;IF($B1857="","",IF($AN1857="","職員マスタに未登録の職員番号／",IF($Y1857="","標準報酬月額が未登録／","")&amp;IF(AND($AO1857&lt;&gt;"",OR(AND(INDEX(職員マスタ!$G$6:$G$405,$AN1857)&lt;&gt;"",INDEX(職員マスタ!$G$6:$G$405,$AN1857)&gt;EOMONTH($AO1857,0)),AND(INDEX(職員マスタ!$H$6:$H$405,$AN1857)&lt;&gt;"",INDEX(職員マスタ!$H$6:$H$405,$AN1857)&lt;$AO1857))),"対象月が時短期間外／","")&amp;IF(AND(INDEX(職員マスタ!$F$6:$F$405,$AN1857)&lt;&gt;"",$AO1857&lt;&gt;"",INDEX(職員マスタ!$F$6:$F$405,$AN1857)&lt;$AO1857),"対象月に子が2歳到達済／","")&amp;IF(AND($H1857&lt;&gt;"",INDEX(職員マスタ!$B$6:$B$405,$AN1857)&lt;&gt;"",SUBSTITUTE(SUBSTITUTE($H1857," ","")," ","")&lt;&gt;SUBSTITUTE(SUBSTITUTE(INDEX(職員マスタ!$B$6:$B$405,$AN1857)," ","")," ","")),"氏名がマスタと相違／","")&amp;IF(AND($Q1857&lt;&gt;"",INDEX(職員マスタ!$E$6:$E$405,$AN1857)&lt;&gt;"",$Q1857&lt;&gt;INDEX(職員マスタ!$E$6:$E$405,$AN1857)),"子の生年月日がマスタと相違／","")&amp;IF(AND($L1857&lt;&gt;"",INDEX(職員マスタ!$G$6:$G$405,$AN1857)&lt;&gt;"",$L1857&lt;&gt;INDEX(職員マスタ!$G$6:$G$405,$AN1857)),"時短開始日がマスタと相違／","")&amp;IF(AND($M1857&lt;&gt;"",INDEX(職員マスタ!$H$6:$H$405,$AN1857)&lt;&gt;"",$M1857&lt;&gt;INDEX(職員マスタ!$H$6:$H$405,$AN1857)),"時短終了日がマスタと相違／","")))&amp;IF(AND($B1857&lt;&gt;"",$E1857=""),"報酬額が未入力／","")&amp;IF(N($U1857)&gt;0,"申請書に入力エラーが残っています／","")&amp;IF(AND($B1857&lt;&gt;"",$AO1857&lt;&gt;""),IF(COUNTIFS($B$6:$B$3005,$B1857,$C$6:$C$3005,$C1857,$D$6:$D$3005,$D1857)&gt;1,"同じ月の請求が重複しています／",""),"")&amp;IF(AND(N($E1857)&gt;0,$Z1857&lt;&gt;"",$Z1857&lt;&gt;"×",$AC1857=0,$AB1857=""),"計算額が下限以下のため不支給／",""))</f>
        <v/>
      </c>
      <c r="AL1857" s="12" t="n"/>
      <c r="AM1857" s="14">
        <f>IF($AD1857="保留中",COUNTIF($AD$6:$AD1857,"保留中"),"")</f>
        <v/>
      </c>
      <c r="AN1857" s="14">
        <f>IF($AO1857="","",IF(SUMPRODUCT(MAX((職員マスタ!$A$6:$A$405=$B1857)*(((職員マスタ!$G$6:$G$405="")+(職員マスタ!$G$6:$G$405&lt;=EOMONTH($AO1857,0)))&gt;0)*(((職員マスタ!$H$6:$H$405="")+(職員マスタ!$H$6:$H$405&gt;=$AO1857))&gt;0)*(ROW(職員マスタ!$A$6:$A$405)-5)))&gt;0,SUMPRODUCT(MAX((職員マスタ!$A$6:$A$405=$B1857)*(((職員マスタ!$G$6:$G$405="")+(職員マスタ!$G$6:$G$405&lt;=EOMONTH($AO1857,0)))&gt;0)*(((職員マスタ!$H$6:$H$405="")+(職員マスタ!$H$6:$H$405&gt;=$AO1857))&gt;0)*(ROW(職員マスタ!$A$6:$A$405)-5))),IFERROR(MATCH($B1857,職員マスタ!$A$6:$A$405,0),"")))</f>
        <v/>
      </c>
      <c r="AO1857" s="16">
        <f>IF(OR($B1857="",$C1857="",$D1857=""),"",DATE($C1857+2018,$D1857,1))</f>
        <v/>
      </c>
    </row>
    <row r="1858">
      <c r="A1858" s="11" t="n"/>
      <c r="B1858" s="12" t="n"/>
      <c r="C1858" s="12" t="n"/>
      <c r="D1858" s="12" t="n"/>
      <c r="E1858" s="13" t="n"/>
      <c r="F1858" s="12" t="n"/>
      <c r="G1858" s="13" t="n"/>
      <c r="H1858" s="12" t="n"/>
      <c r="I1858" s="12" t="n"/>
      <c r="J1858" s="12" t="n"/>
      <c r="K1858" s="12" t="n"/>
      <c r="L1858" s="11" t="n"/>
      <c r="M1858" s="11" t="n"/>
      <c r="N1858" s="11" t="n"/>
      <c r="O1858" s="11" t="n"/>
      <c r="P1858" s="12" t="n"/>
      <c r="Q1858" s="11" t="n"/>
      <c r="R1858" s="12" t="n"/>
      <c r="S1858" s="11" t="n"/>
      <c r="T1858" s="12" t="n"/>
      <c r="U1858" s="12" t="n"/>
      <c r="V1858" s="14">
        <f>IF($AN1858="",IF($B1858="","",$H1858),IF(INDEX(職員マスタ!$B$6:$B$405,$AN1858)="",$H1858,INDEX(職員マスタ!$B$6:$B$405,$AN1858)))</f>
        <v/>
      </c>
      <c r="W1858" s="14">
        <f>IF($AN1858="",IF($B1858="","",$R1858),IF(INDEX(職員マスタ!$C$6:$C$405,$AN1858)="",$R1858,INDEX(職員マスタ!$C$6:$C$405,$AN1858)))</f>
        <v/>
      </c>
      <c r="X1858" s="14">
        <f>IF($AO1858="","","R"&amp;$C1858&amp;"."&amp;$D1858)</f>
        <v/>
      </c>
      <c r="Y1858" s="15">
        <f>IF($AN1858="","",IF(INDEX(職員マスタ!$K$6:$K$405,$AN1858)="","",INDEX(職員マスタ!$K$6:$K$405,$AN1858)))</f>
        <v/>
      </c>
      <c r="Z1858" s="14">
        <f>IF(OR($E1858="",$Y1858=""),"",IF($E1858&gt;=$Y1858,"×",IF($E1858&gt;=$Y1858*設定!$C$5,"△","○")))</f>
        <v/>
      </c>
      <c r="AA1858" s="15">
        <f>IF($Z1858="","",IF($Z1858="×",0,IF($Z1858="○",ROUNDDOWN($E1858*設定!$C$4,0),ROUNDDOWN($E1858*ROUND((9*$Y1858-9*$E1858)/(10*$E1858),4),0))))</f>
        <v/>
      </c>
      <c r="AB1858" s="13" t="n"/>
      <c r="AC1858" s="15">
        <f>IF($B1858="","",IF($AB1858&lt;&gt;"",$AB1858,IF($AA1858="","",IF($AA1858&lt;=設定!$C$3,0,$AA1858))))</f>
        <v/>
      </c>
      <c r="AD1858" s="14">
        <f>IF($B1858="","",IF(AND($AE1858&lt;&gt;"",$AG1858="",$AJ1858=""),"保留中",IF($AJ1858&lt;&gt;"",IF(N($AC1858)&gt;0,"支給済","不支給"),IF($AC1858="","要確認",IF($AC1858=0,"不支給","未処理")))))</f>
        <v/>
      </c>
      <c r="AE1858" s="12" t="n"/>
      <c r="AF1858" s="11" t="n"/>
      <c r="AG1858" s="11" t="n"/>
      <c r="AH1858" s="11" t="n"/>
      <c r="AI1858" s="14">
        <f>IF(AND($AD1858="保留中",$AF1858&lt;&gt;""),TODAY()-$AF1858,"")</f>
        <v/>
      </c>
      <c r="AJ1858" s="12" t="n"/>
      <c r="AK1858" s="14">
        <f>IF($B1858="","",IF($AO1858="","対象年月が未入力／","")&amp;IF($B1858="","",IF($AN1858="","職員マスタに未登録の職員番号／",IF($Y1858="","標準報酬月額が未登録／","")&amp;IF(AND($AO1858&lt;&gt;"",OR(AND(INDEX(職員マスタ!$G$6:$G$405,$AN1858)&lt;&gt;"",INDEX(職員マスタ!$G$6:$G$405,$AN1858)&gt;EOMONTH($AO1858,0)),AND(INDEX(職員マスタ!$H$6:$H$405,$AN1858)&lt;&gt;"",INDEX(職員マスタ!$H$6:$H$405,$AN1858)&lt;$AO1858))),"対象月が時短期間外／","")&amp;IF(AND(INDEX(職員マスタ!$F$6:$F$405,$AN1858)&lt;&gt;"",$AO1858&lt;&gt;"",INDEX(職員マスタ!$F$6:$F$405,$AN1858)&lt;$AO1858),"対象月に子が2歳到達済／","")&amp;IF(AND($H1858&lt;&gt;"",INDEX(職員マスタ!$B$6:$B$405,$AN1858)&lt;&gt;"",SUBSTITUTE(SUBSTITUTE($H1858," ","")," ","")&lt;&gt;SUBSTITUTE(SUBSTITUTE(INDEX(職員マスタ!$B$6:$B$405,$AN1858)," ","")," ","")),"氏名がマスタと相違／","")&amp;IF(AND($Q1858&lt;&gt;"",INDEX(職員マスタ!$E$6:$E$405,$AN1858)&lt;&gt;"",$Q1858&lt;&gt;INDEX(職員マスタ!$E$6:$E$405,$AN1858)),"子の生年月日がマスタと相違／","")&amp;IF(AND($L1858&lt;&gt;"",INDEX(職員マスタ!$G$6:$G$405,$AN1858)&lt;&gt;"",$L1858&lt;&gt;INDEX(職員マスタ!$G$6:$G$405,$AN1858)),"時短開始日がマスタと相違／","")&amp;IF(AND($M1858&lt;&gt;"",INDEX(職員マスタ!$H$6:$H$405,$AN1858)&lt;&gt;"",$M1858&lt;&gt;INDEX(職員マスタ!$H$6:$H$405,$AN1858)),"時短終了日がマスタと相違／","")))&amp;IF(AND($B1858&lt;&gt;"",$E1858=""),"報酬額が未入力／","")&amp;IF(N($U1858)&gt;0,"申請書に入力エラーが残っています／","")&amp;IF(AND($B1858&lt;&gt;"",$AO1858&lt;&gt;""),IF(COUNTIFS($B$6:$B$3005,$B1858,$C$6:$C$3005,$C1858,$D$6:$D$3005,$D1858)&gt;1,"同じ月の請求が重複しています／",""),"")&amp;IF(AND(N($E1858)&gt;0,$Z1858&lt;&gt;"",$Z1858&lt;&gt;"×",$AC1858=0,$AB1858=""),"計算額が下限以下のため不支給／",""))</f>
        <v/>
      </c>
      <c r="AL1858" s="12" t="n"/>
      <c r="AM1858" s="14">
        <f>IF($AD1858="保留中",COUNTIF($AD$6:$AD1858,"保留中"),"")</f>
        <v/>
      </c>
      <c r="AN1858" s="14">
        <f>IF($AO1858="","",IF(SUMPRODUCT(MAX((職員マスタ!$A$6:$A$405=$B1858)*(((職員マスタ!$G$6:$G$405="")+(職員マスタ!$G$6:$G$405&lt;=EOMONTH($AO1858,0)))&gt;0)*(((職員マスタ!$H$6:$H$405="")+(職員マスタ!$H$6:$H$405&gt;=$AO1858))&gt;0)*(ROW(職員マスタ!$A$6:$A$405)-5)))&gt;0,SUMPRODUCT(MAX((職員マスタ!$A$6:$A$405=$B1858)*(((職員マスタ!$G$6:$G$405="")+(職員マスタ!$G$6:$G$405&lt;=EOMONTH($AO1858,0)))&gt;0)*(((職員マスタ!$H$6:$H$405="")+(職員マスタ!$H$6:$H$405&gt;=$AO1858))&gt;0)*(ROW(職員マスタ!$A$6:$A$405)-5))),IFERROR(MATCH($B1858,職員マスタ!$A$6:$A$405,0),"")))</f>
        <v/>
      </c>
      <c r="AO1858" s="16">
        <f>IF(OR($B1858="",$C1858="",$D1858=""),"",DATE($C1858+2018,$D1858,1))</f>
        <v/>
      </c>
    </row>
    <row r="1859">
      <c r="A1859" s="11" t="n"/>
      <c r="B1859" s="12" t="n"/>
      <c r="C1859" s="12" t="n"/>
      <c r="D1859" s="12" t="n"/>
      <c r="E1859" s="13" t="n"/>
      <c r="F1859" s="12" t="n"/>
      <c r="G1859" s="13" t="n"/>
      <c r="H1859" s="12" t="n"/>
      <c r="I1859" s="12" t="n"/>
      <c r="J1859" s="12" t="n"/>
      <c r="K1859" s="12" t="n"/>
      <c r="L1859" s="11" t="n"/>
      <c r="M1859" s="11" t="n"/>
      <c r="N1859" s="11" t="n"/>
      <c r="O1859" s="11" t="n"/>
      <c r="P1859" s="12" t="n"/>
      <c r="Q1859" s="11" t="n"/>
      <c r="R1859" s="12" t="n"/>
      <c r="S1859" s="11" t="n"/>
      <c r="T1859" s="12" t="n"/>
      <c r="U1859" s="12" t="n"/>
      <c r="V1859" s="14">
        <f>IF($AN1859="",IF($B1859="","",$H1859),IF(INDEX(職員マスタ!$B$6:$B$405,$AN1859)="",$H1859,INDEX(職員マスタ!$B$6:$B$405,$AN1859)))</f>
        <v/>
      </c>
      <c r="W1859" s="14">
        <f>IF($AN1859="",IF($B1859="","",$R1859),IF(INDEX(職員マスタ!$C$6:$C$405,$AN1859)="",$R1859,INDEX(職員マスタ!$C$6:$C$405,$AN1859)))</f>
        <v/>
      </c>
      <c r="X1859" s="14">
        <f>IF($AO1859="","","R"&amp;$C1859&amp;"."&amp;$D1859)</f>
        <v/>
      </c>
      <c r="Y1859" s="15">
        <f>IF($AN1859="","",IF(INDEX(職員マスタ!$K$6:$K$405,$AN1859)="","",INDEX(職員マスタ!$K$6:$K$405,$AN1859)))</f>
        <v/>
      </c>
      <c r="Z1859" s="14">
        <f>IF(OR($E1859="",$Y1859=""),"",IF($E1859&gt;=$Y1859,"×",IF($E1859&gt;=$Y1859*設定!$C$5,"△","○")))</f>
        <v/>
      </c>
      <c r="AA1859" s="15">
        <f>IF($Z1859="","",IF($Z1859="×",0,IF($Z1859="○",ROUNDDOWN($E1859*設定!$C$4,0),ROUNDDOWN($E1859*ROUND((9*$Y1859-9*$E1859)/(10*$E1859),4),0))))</f>
        <v/>
      </c>
      <c r="AB1859" s="13" t="n"/>
      <c r="AC1859" s="15">
        <f>IF($B1859="","",IF($AB1859&lt;&gt;"",$AB1859,IF($AA1859="","",IF($AA1859&lt;=設定!$C$3,0,$AA1859))))</f>
        <v/>
      </c>
      <c r="AD1859" s="14">
        <f>IF($B1859="","",IF(AND($AE1859&lt;&gt;"",$AG1859="",$AJ1859=""),"保留中",IF($AJ1859&lt;&gt;"",IF(N($AC1859)&gt;0,"支給済","不支給"),IF($AC1859="","要確認",IF($AC1859=0,"不支給","未処理")))))</f>
        <v/>
      </c>
      <c r="AE1859" s="12" t="n"/>
      <c r="AF1859" s="11" t="n"/>
      <c r="AG1859" s="11" t="n"/>
      <c r="AH1859" s="11" t="n"/>
      <c r="AI1859" s="14">
        <f>IF(AND($AD1859="保留中",$AF1859&lt;&gt;""),TODAY()-$AF1859,"")</f>
        <v/>
      </c>
      <c r="AJ1859" s="12" t="n"/>
      <c r="AK1859" s="14">
        <f>IF($B1859="","",IF($AO1859="","対象年月が未入力／","")&amp;IF($B1859="","",IF($AN1859="","職員マスタに未登録の職員番号／",IF($Y1859="","標準報酬月額が未登録／","")&amp;IF(AND($AO1859&lt;&gt;"",OR(AND(INDEX(職員マスタ!$G$6:$G$405,$AN1859)&lt;&gt;"",INDEX(職員マスタ!$G$6:$G$405,$AN1859)&gt;EOMONTH($AO1859,0)),AND(INDEX(職員マスタ!$H$6:$H$405,$AN1859)&lt;&gt;"",INDEX(職員マスタ!$H$6:$H$405,$AN1859)&lt;$AO1859))),"対象月が時短期間外／","")&amp;IF(AND(INDEX(職員マスタ!$F$6:$F$405,$AN1859)&lt;&gt;"",$AO1859&lt;&gt;"",INDEX(職員マスタ!$F$6:$F$405,$AN1859)&lt;$AO1859),"対象月に子が2歳到達済／","")&amp;IF(AND($H1859&lt;&gt;"",INDEX(職員マスタ!$B$6:$B$405,$AN1859)&lt;&gt;"",SUBSTITUTE(SUBSTITUTE($H1859," ","")," ","")&lt;&gt;SUBSTITUTE(SUBSTITUTE(INDEX(職員マスタ!$B$6:$B$405,$AN1859)," ","")," ","")),"氏名がマスタと相違／","")&amp;IF(AND($Q1859&lt;&gt;"",INDEX(職員マスタ!$E$6:$E$405,$AN1859)&lt;&gt;"",$Q1859&lt;&gt;INDEX(職員マスタ!$E$6:$E$405,$AN1859)),"子の生年月日がマスタと相違／","")&amp;IF(AND($L1859&lt;&gt;"",INDEX(職員マスタ!$G$6:$G$405,$AN1859)&lt;&gt;"",$L1859&lt;&gt;INDEX(職員マスタ!$G$6:$G$405,$AN1859)),"時短開始日がマスタと相違／","")&amp;IF(AND($M1859&lt;&gt;"",INDEX(職員マスタ!$H$6:$H$405,$AN1859)&lt;&gt;"",$M1859&lt;&gt;INDEX(職員マスタ!$H$6:$H$405,$AN1859)),"時短終了日がマスタと相違／","")))&amp;IF(AND($B1859&lt;&gt;"",$E1859=""),"報酬額が未入力／","")&amp;IF(N($U1859)&gt;0,"申請書に入力エラーが残っています／","")&amp;IF(AND($B1859&lt;&gt;"",$AO1859&lt;&gt;""),IF(COUNTIFS($B$6:$B$3005,$B1859,$C$6:$C$3005,$C1859,$D$6:$D$3005,$D1859)&gt;1,"同じ月の請求が重複しています／",""),"")&amp;IF(AND(N($E1859)&gt;0,$Z1859&lt;&gt;"",$Z1859&lt;&gt;"×",$AC1859=0,$AB1859=""),"計算額が下限以下のため不支給／",""))</f>
        <v/>
      </c>
      <c r="AL1859" s="12" t="n"/>
      <c r="AM1859" s="14">
        <f>IF($AD1859="保留中",COUNTIF($AD$6:$AD1859,"保留中"),"")</f>
        <v/>
      </c>
      <c r="AN1859" s="14">
        <f>IF($AO1859="","",IF(SUMPRODUCT(MAX((職員マスタ!$A$6:$A$405=$B1859)*(((職員マスタ!$G$6:$G$405="")+(職員マスタ!$G$6:$G$405&lt;=EOMONTH($AO1859,0)))&gt;0)*(((職員マスタ!$H$6:$H$405="")+(職員マスタ!$H$6:$H$405&gt;=$AO1859))&gt;0)*(ROW(職員マスタ!$A$6:$A$405)-5)))&gt;0,SUMPRODUCT(MAX((職員マスタ!$A$6:$A$405=$B1859)*(((職員マスタ!$G$6:$G$405="")+(職員マスタ!$G$6:$G$405&lt;=EOMONTH($AO1859,0)))&gt;0)*(((職員マスタ!$H$6:$H$405="")+(職員マスタ!$H$6:$H$405&gt;=$AO1859))&gt;0)*(ROW(職員マスタ!$A$6:$A$405)-5))),IFERROR(MATCH($B1859,職員マスタ!$A$6:$A$405,0),"")))</f>
        <v/>
      </c>
      <c r="AO1859" s="16">
        <f>IF(OR($B1859="",$C1859="",$D1859=""),"",DATE($C1859+2018,$D1859,1))</f>
        <v/>
      </c>
    </row>
    <row r="1860">
      <c r="A1860" s="11" t="n"/>
      <c r="B1860" s="12" t="n"/>
      <c r="C1860" s="12" t="n"/>
      <c r="D1860" s="12" t="n"/>
      <c r="E1860" s="13" t="n"/>
      <c r="F1860" s="12" t="n"/>
      <c r="G1860" s="13" t="n"/>
      <c r="H1860" s="12" t="n"/>
      <c r="I1860" s="12" t="n"/>
      <c r="J1860" s="12" t="n"/>
      <c r="K1860" s="12" t="n"/>
      <c r="L1860" s="11" t="n"/>
      <c r="M1860" s="11" t="n"/>
      <c r="N1860" s="11" t="n"/>
      <c r="O1860" s="11" t="n"/>
      <c r="P1860" s="12" t="n"/>
      <c r="Q1860" s="11" t="n"/>
      <c r="R1860" s="12" t="n"/>
      <c r="S1860" s="11" t="n"/>
      <c r="T1860" s="12" t="n"/>
      <c r="U1860" s="12" t="n"/>
      <c r="V1860" s="14">
        <f>IF($AN1860="",IF($B1860="","",$H1860),IF(INDEX(職員マスタ!$B$6:$B$405,$AN1860)="",$H1860,INDEX(職員マスタ!$B$6:$B$405,$AN1860)))</f>
        <v/>
      </c>
      <c r="W1860" s="14">
        <f>IF($AN1860="",IF($B1860="","",$R1860),IF(INDEX(職員マスタ!$C$6:$C$405,$AN1860)="",$R1860,INDEX(職員マスタ!$C$6:$C$405,$AN1860)))</f>
        <v/>
      </c>
      <c r="X1860" s="14">
        <f>IF($AO1860="","","R"&amp;$C1860&amp;"."&amp;$D1860)</f>
        <v/>
      </c>
      <c r="Y1860" s="15">
        <f>IF($AN1860="","",IF(INDEX(職員マスタ!$K$6:$K$405,$AN1860)="","",INDEX(職員マスタ!$K$6:$K$405,$AN1860)))</f>
        <v/>
      </c>
      <c r="Z1860" s="14">
        <f>IF(OR($E1860="",$Y1860=""),"",IF($E1860&gt;=$Y1860,"×",IF($E1860&gt;=$Y1860*設定!$C$5,"△","○")))</f>
        <v/>
      </c>
      <c r="AA1860" s="15">
        <f>IF($Z1860="","",IF($Z1860="×",0,IF($Z1860="○",ROUNDDOWN($E1860*設定!$C$4,0),ROUNDDOWN($E1860*ROUND((9*$Y1860-9*$E1860)/(10*$E1860),4),0))))</f>
        <v/>
      </c>
      <c r="AB1860" s="13" t="n"/>
      <c r="AC1860" s="15">
        <f>IF($B1860="","",IF($AB1860&lt;&gt;"",$AB1860,IF($AA1860="","",IF($AA1860&lt;=設定!$C$3,0,$AA1860))))</f>
        <v/>
      </c>
      <c r="AD1860" s="14">
        <f>IF($B1860="","",IF(AND($AE1860&lt;&gt;"",$AG1860="",$AJ1860=""),"保留中",IF($AJ1860&lt;&gt;"",IF(N($AC1860)&gt;0,"支給済","不支給"),IF($AC1860="","要確認",IF($AC1860=0,"不支給","未処理")))))</f>
        <v/>
      </c>
      <c r="AE1860" s="12" t="n"/>
      <c r="AF1860" s="11" t="n"/>
      <c r="AG1860" s="11" t="n"/>
      <c r="AH1860" s="11" t="n"/>
      <c r="AI1860" s="14">
        <f>IF(AND($AD1860="保留中",$AF1860&lt;&gt;""),TODAY()-$AF1860,"")</f>
        <v/>
      </c>
      <c r="AJ1860" s="12" t="n"/>
      <c r="AK1860" s="14">
        <f>IF($B1860="","",IF($AO1860="","対象年月が未入力／","")&amp;IF($B1860="","",IF($AN1860="","職員マスタに未登録の職員番号／",IF($Y1860="","標準報酬月額が未登録／","")&amp;IF(AND($AO1860&lt;&gt;"",OR(AND(INDEX(職員マスタ!$G$6:$G$405,$AN1860)&lt;&gt;"",INDEX(職員マスタ!$G$6:$G$405,$AN1860)&gt;EOMONTH($AO1860,0)),AND(INDEX(職員マスタ!$H$6:$H$405,$AN1860)&lt;&gt;"",INDEX(職員マスタ!$H$6:$H$405,$AN1860)&lt;$AO1860))),"対象月が時短期間外／","")&amp;IF(AND(INDEX(職員マスタ!$F$6:$F$405,$AN1860)&lt;&gt;"",$AO1860&lt;&gt;"",INDEX(職員マスタ!$F$6:$F$405,$AN1860)&lt;$AO1860),"対象月に子が2歳到達済／","")&amp;IF(AND($H1860&lt;&gt;"",INDEX(職員マスタ!$B$6:$B$405,$AN1860)&lt;&gt;"",SUBSTITUTE(SUBSTITUTE($H1860," ","")," ","")&lt;&gt;SUBSTITUTE(SUBSTITUTE(INDEX(職員マスタ!$B$6:$B$405,$AN1860)," ","")," ","")),"氏名がマスタと相違／","")&amp;IF(AND($Q1860&lt;&gt;"",INDEX(職員マスタ!$E$6:$E$405,$AN1860)&lt;&gt;"",$Q1860&lt;&gt;INDEX(職員マスタ!$E$6:$E$405,$AN1860)),"子の生年月日がマスタと相違／","")&amp;IF(AND($L1860&lt;&gt;"",INDEX(職員マスタ!$G$6:$G$405,$AN1860)&lt;&gt;"",$L1860&lt;&gt;INDEX(職員マスタ!$G$6:$G$405,$AN1860)),"時短開始日がマスタと相違／","")&amp;IF(AND($M1860&lt;&gt;"",INDEX(職員マスタ!$H$6:$H$405,$AN1860)&lt;&gt;"",$M1860&lt;&gt;INDEX(職員マスタ!$H$6:$H$405,$AN1860)),"時短終了日がマスタと相違／","")))&amp;IF(AND($B1860&lt;&gt;"",$E1860=""),"報酬額が未入力／","")&amp;IF(N($U1860)&gt;0,"申請書に入力エラーが残っています／","")&amp;IF(AND($B1860&lt;&gt;"",$AO1860&lt;&gt;""),IF(COUNTIFS($B$6:$B$3005,$B1860,$C$6:$C$3005,$C1860,$D$6:$D$3005,$D1860)&gt;1,"同じ月の請求が重複しています／",""),"")&amp;IF(AND(N($E1860)&gt;0,$Z1860&lt;&gt;"",$Z1860&lt;&gt;"×",$AC1860=0,$AB1860=""),"計算額が下限以下のため不支給／",""))</f>
        <v/>
      </c>
      <c r="AL1860" s="12" t="n"/>
      <c r="AM1860" s="14">
        <f>IF($AD1860="保留中",COUNTIF($AD$6:$AD1860,"保留中"),"")</f>
        <v/>
      </c>
      <c r="AN1860" s="14">
        <f>IF($AO1860="","",IF(SUMPRODUCT(MAX((職員マスタ!$A$6:$A$405=$B1860)*(((職員マスタ!$G$6:$G$405="")+(職員マスタ!$G$6:$G$405&lt;=EOMONTH($AO1860,0)))&gt;0)*(((職員マスタ!$H$6:$H$405="")+(職員マスタ!$H$6:$H$405&gt;=$AO1860))&gt;0)*(ROW(職員マスタ!$A$6:$A$405)-5)))&gt;0,SUMPRODUCT(MAX((職員マスタ!$A$6:$A$405=$B1860)*(((職員マスタ!$G$6:$G$405="")+(職員マスタ!$G$6:$G$405&lt;=EOMONTH($AO1860,0)))&gt;0)*(((職員マスタ!$H$6:$H$405="")+(職員マスタ!$H$6:$H$405&gt;=$AO1860))&gt;0)*(ROW(職員マスタ!$A$6:$A$405)-5))),IFERROR(MATCH($B1860,職員マスタ!$A$6:$A$405,0),"")))</f>
        <v/>
      </c>
      <c r="AO1860" s="16">
        <f>IF(OR($B1860="",$C1860="",$D1860=""),"",DATE($C1860+2018,$D1860,1))</f>
        <v/>
      </c>
    </row>
    <row r="1861">
      <c r="A1861" s="11" t="n"/>
      <c r="B1861" s="12" t="n"/>
      <c r="C1861" s="12" t="n"/>
      <c r="D1861" s="12" t="n"/>
      <c r="E1861" s="13" t="n"/>
      <c r="F1861" s="12" t="n"/>
      <c r="G1861" s="13" t="n"/>
      <c r="H1861" s="12" t="n"/>
      <c r="I1861" s="12" t="n"/>
      <c r="J1861" s="12" t="n"/>
      <c r="K1861" s="12" t="n"/>
      <c r="L1861" s="11" t="n"/>
      <c r="M1861" s="11" t="n"/>
      <c r="N1861" s="11" t="n"/>
      <c r="O1861" s="11" t="n"/>
      <c r="P1861" s="12" t="n"/>
      <c r="Q1861" s="11" t="n"/>
      <c r="R1861" s="12" t="n"/>
      <c r="S1861" s="11" t="n"/>
      <c r="T1861" s="12" t="n"/>
      <c r="U1861" s="12" t="n"/>
      <c r="V1861" s="14">
        <f>IF($AN1861="",IF($B1861="","",$H1861),IF(INDEX(職員マスタ!$B$6:$B$405,$AN1861)="",$H1861,INDEX(職員マスタ!$B$6:$B$405,$AN1861)))</f>
        <v/>
      </c>
      <c r="W1861" s="14">
        <f>IF($AN1861="",IF($B1861="","",$R1861),IF(INDEX(職員マスタ!$C$6:$C$405,$AN1861)="",$R1861,INDEX(職員マスタ!$C$6:$C$405,$AN1861)))</f>
        <v/>
      </c>
      <c r="X1861" s="14">
        <f>IF($AO1861="","","R"&amp;$C1861&amp;"."&amp;$D1861)</f>
        <v/>
      </c>
      <c r="Y1861" s="15">
        <f>IF($AN1861="","",IF(INDEX(職員マスタ!$K$6:$K$405,$AN1861)="","",INDEX(職員マスタ!$K$6:$K$405,$AN1861)))</f>
        <v/>
      </c>
      <c r="Z1861" s="14">
        <f>IF(OR($E1861="",$Y1861=""),"",IF($E1861&gt;=$Y1861,"×",IF($E1861&gt;=$Y1861*設定!$C$5,"△","○")))</f>
        <v/>
      </c>
      <c r="AA1861" s="15">
        <f>IF($Z1861="","",IF($Z1861="×",0,IF($Z1861="○",ROUNDDOWN($E1861*設定!$C$4,0),ROUNDDOWN($E1861*ROUND((9*$Y1861-9*$E1861)/(10*$E1861),4),0))))</f>
        <v/>
      </c>
      <c r="AB1861" s="13" t="n"/>
      <c r="AC1861" s="15">
        <f>IF($B1861="","",IF($AB1861&lt;&gt;"",$AB1861,IF($AA1861="","",IF($AA1861&lt;=設定!$C$3,0,$AA1861))))</f>
        <v/>
      </c>
      <c r="AD1861" s="14">
        <f>IF($B1861="","",IF(AND($AE1861&lt;&gt;"",$AG1861="",$AJ1861=""),"保留中",IF($AJ1861&lt;&gt;"",IF(N($AC1861)&gt;0,"支給済","不支給"),IF($AC1861="","要確認",IF($AC1861=0,"不支給","未処理")))))</f>
        <v/>
      </c>
      <c r="AE1861" s="12" t="n"/>
      <c r="AF1861" s="11" t="n"/>
      <c r="AG1861" s="11" t="n"/>
      <c r="AH1861" s="11" t="n"/>
      <c r="AI1861" s="14">
        <f>IF(AND($AD1861="保留中",$AF1861&lt;&gt;""),TODAY()-$AF1861,"")</f>
        <v/>
      </c>
      <c r="AJ1861" s="12" t="n"/>
      <c r="AK1861" s="14">
        <f>IF($B1861="","",IF($AO1861="","対象年月が未入力／","")&amp;IF($B1861="","",IF($AN1861="","職員マスタに未登録の職員番号／",IF($Y1861="","標準報酬月額が未登録／","")&amp;IF(AND($AO1861&lt;&gt;"",OR(AND(INDEX(職員マスタ!$G$6:$G$405,$AN1861)&lt;&gt;"",INDEX(職員マスタ!$G$6:$G$405,$AN1861)&gt;EOMONTH($AO1861,0)),AND(INDEX(職員マスタ!$H$6:$H$405,$AN1861)&lt;&gt;"",INDEX(職員マスタ!$H$6:$H$405,$AN1861)&lt;$AO1861))),"対象月が時短期間外／","")&amp;IF(AND(INDEX(職員マスタ!$F$6:$F$405,$AN1861)&lt;&gt;"",$AO1861&lt;&gt;"",INDEX(職員マスタ!$F$6:$F$405,$AN1861)&lt;$AO1861),"対象月に子が2歳到達済／","")&amp;IF(AND($H1861&lt;&gt;"",INDEX(職員マスタ!$B$6:$B$405,$AN1861)&lt;&gt;"",SUBSTITUTE(SUBSTITUTE($H1861," ","")," ","")&lt;&gt;SUBSTITUTE(SUBSTITUTE(INDEX(職員マスタ!$B$6:$B$405,$AN1861)," ","")," ","")),"氏名がマスタと相違／","")&amp;IF(AND($Q1861&lt;&gt;"",INDEX(職員マスタ!$E$6:$E$405,$AN1861)&lt;&gt;"",$Q1861&lt;&gt;INDEX(職員マスタ!$E$6:$E$405,$AN1861)),"子の生年月日がマスタと相違／","")&amp;IF(AND($L1861&lt;&gt;"",INDEX(職員マスタ!$G$6:$G$405,$AN1861)&lt;&gt;"",$L1861&lt;&gt;INDEX(職員マスタ!$G$6:$G$405,$AN1861)),"時短開始日がマスタと相違／","")&amp;IF(AND($M1861&lt;&gt;"",INDEX(職員マスタ!$H$6:$H$405,$AN1861)&lt;&gt;"",$M1861&lt;&gt;INDEX(職員マスタ!$H$6:$H$405,$AN1861)),"時短終了日がマスタと相違／","")))&amp;IF(AND($B1861&lt;&gt;"",$E1861=""),"報酬額が未入力／","")&amp;IF(N($U1861)&gt;0,"申請書に入力エラーが残っています／","")&amp;IF(AND($B1861&lt;&gt;"",$AO1861&lt;&gt;""),IF(COUNTIFS($B$6:$B$3005,$B1861,$C$6:$C$3005,$C1861,$D$6:$D$3005,$D1861)&gt;1,"同じ月の請求が重複しています／",""),"")&amp;IF(AND(N($E1861)&gt;0,$Z1861&lt;&gt;"",$Z1861&lt;&gt;"×",$AC1861=0,$AB1861=""),"計算額が下限以下のため不支給／",""))</f>
        <v/>
      </c>
      <c r="AL1861" s="12" t="n"/>
      <c r="AM1861" s="14">
        <f>IF($AD1861="保留中",COUNTIF($AD$6:$AD1861,"保留中"),"")</f>
        <v/>
      </c>
      <c r="AN1861" s="14">
        <f>IF($AO1861="","",IF(SUMPRODUCT(MAX((職員マスタ!$A$6:$A$405=$B1861)*(((職員マスタ!$G$6:$G$405="")+(職員マスタ!$G$6:$G$405&lt;=EOMONTH($AO1861,0)))&gt;0)*(((職員マスタ!$H$6:$H$405="")+(職員マスタ!$H$6:$H$405&gt;=$AO1861))&gt;0)*(ROW(職員マスタ!$A$6:$A$405)-5)))&gt;0,SUMPRODUCT(MAX((職員マスタ!$A$6:$A$405=$B1861)*(((職員マスタ!$G$6:$G$405="")+(職員マスタ!$G$6:$G$405&lt;=EOMONTH($AO1861,0)))&gt;0)*(((職員マスタ!$H$6:$H$405="")+(職員マスタ!$H$6:$H$405&gt;=$AO1861))&gt;0)*(ROW(職員マスタ!$A$6:$A$405)-5))),IFERROR(MATCH($B1861,職員マスタ!$A$6:$A$405,0),"")))</f>
        <v/>
      </c>
      <c r="AO1861" s="16">
        <f>IF(OR($B1861="",$C1861="",$D1861=""),"",DATE($C1861+2018,$D1861,1))</f>
        <v/>
      </c>
    </row>
    <row r="1862">
      <c r="A1862" s="11" t="n"/>
      <c r="B1862" s="12" t="n"/>
      <c r="C1862" s="12" t="n"/>
      <c r="D1862" s="12" t="n"/>
      <c r="E1862" s="13" t="n"/>
      <c r="F1862" s="12" t="n"/>
      <c r="G1862" s="13" t="n"/>
      <c r="H1862" s="12" t="n"/>
      <c r="I1862" s="12" t="n"/>
      <c r="J1862" s="12" t="n"/>
      <c r="K1862" s="12" t="n"/>
      <c r="L1862" s="11" t="n"/>
      <c r="M1862" s="11" t="n"/>
      <c r="N1862" s="11" t="n"/>
      <c r="O1862" s="11" t="n"/>
      <c r="P1862" s="12" t="n"/>
      <c r="Q1862" s="11" t="n"/>
      <c r="R1862" s="12" t="n"/>
      <c r="S1862" s="11" t="n"/>
      <c r="T1862" s="12" t="n"/>
      <c r="U1862" s="12" t="n"/>
      <c r="V1862" s="14">
        <f>IF($AN1862="",IF($B1862="","",$H1862),IF(INDEX(職員マスタ!$B$6:$B$405,$AN1862)="",$H1862,INDEX(職員マスタ!$B$6:$B$405,$AN1862)))</f>
        <v/>
      </c>
      <c r="W1862" s="14">
        <f>IF($AN1862="",IF($B1862="","",$R1862),IF(INDEX(職員マスタ!$C$6:$C$405,$AN1862)="",$R1862,INDEX(職員マスタ!$C$6:$C$405,$AN1862)))</f>
        <v/>
      </c>
      <c r="X1862" s="14">
        <f>IF($AO1862="","","R"&amp;$C1862&amp;"."&amp;$D1862)</f>
        <v/>
      </c>
      <c r="Y1862" s="15">
        <f>IF($AN1862="","",IF(INDEX(職員マスタ!$K$6:$K$405,$AN1862)="","",INDEX(職員マスタ!$K$6:$K$405,$AN1862)))</f>
        <v/>
      </c>
      <c r="Z1862" s="14">
        <f>IF(OR($E1862="",$Y1862=""),"",IF($E1862&gt;=$Y1862,"×",IF($E1862&gt;=$Y1862*設定!$C$5,"△","○")))</f>
        <v/>
      </c>
      <c r="AA1862" s="15">
        <f>IF($Z1862="","",IF($Z1862="×",0,IF($Z1862="○",ROUNDDOWN($E1862*設定!$C$4,0),ROUNDDOWN($E1862*ROUND((9*$Y1862-9*$E1862)/(10*$E1862),4),0))))</f>
        <v/>
      </c>
      <c r="AB1862" s="13" t="n"/>
      <c r="AC1862" s="15">
        <f>IF($B1862="","",IF($AB1862&lt;&gt;"",$AB1862,IF($AA1862="","",IF($AA1862&lt;=設定!$C$3,0,$AA1862))))</f>
        <v/>
      </c>
      <c r="AD1862" s="14">
        <f>IF($B1862="","",IF(AND($AE1862&lt;&gt;"",$AG1862="",$AJ1862=""),"保留中",IF($AJ1862&lt;&gt;"",IF(N($AC1862)&gt;0,"支給済","不支給"),IF($AC1862="","要確認",IF($AC1862=0,"不支給","未処理")))))</f>
        <v/>
      </c>
      <c r="AE1862" s="12" t="n"/>
      <c r="AF1862" s="11" t="n"/>
      <c r="AG1862" s="11" t="n"/>
      <c r="AH1862" s="11" t="n"/>
      <c r="AI1862" s="14">
        <f>IF(AND($AD1862="保留中",$AF1862&lt;&gt;""),TODAY()-$AF1862,"")</f>
        <v/>
      </c>
      <c r="AJ1862" s="12" t="n"/>
      <c r="AK1862" s="14">
        <f>IF($B1862="","",IF($AO1862="","対象年月が未入力／","")&amp;IF($B1862="","",IF($AN1862="","職員マスタに未登録の職員番号／",IF($Y1862="","標準報酬月額が未登録／","")&amp;IF(AND($AO1862&lt;&gt;"",OR(AND(INDEX(職員マスタ!$G$6:$G$405,$AN1862)&lt;&gt;"",INDEX(職員マスタ!$G$6:$G$405,$AN1862)&gt;EOMONTH($AO1862,0)),AND(INDEX(職員マスタ!$H$6:$H$405,$AN1862)&lt;&gt;"",INDEX(職員マスタ!$H$6:$H$405,$AN1862)&lt;$AO1862))),"対象月が時短期間外／","")&amp;IF(AND(INDEX(職員マスタ!$F$6:$F$405,$AN1862)&lt;&gt;"",$AO1862&lt;&gt;"",INDEX(職員マスタ!$F$6:$F$405,$AN1862)&lt;$AO1862),"対象月に子が2歳到達済／","")&amp;IF(AND($H1862&lt;&gt;"",INDEX(職員マスタ!$B$6:$B$405,$AN1862)&lt;&gt;"",SUBSTITUTE(SUBSTITUTE($H1862," ","")," ","")&lt;&gt;SUBSTITUTE(SUBSTITUTE(INDEX(職員マスタ!$B$6:$B$405,$AN1862)," ","")," ","")),"氏名がマスタと相違／","")&amp;IF(AND($Q1862&lt;&gt;"",INDEX(職員マスタ!$E$6:$E$405,$AN1862)&lt;&gt;"",$Q1862&lt;&gt;INDEX(職員マスタ!$E$6:$E$405,$AN1862)),"子の生年月日がマスタと相違／","")&amp;IF(AND($L1862&lt;&gt;"",INDEX(職員マスタ!$G$6:$G$405,$AN1862)&lt;&gt;"",$L1862&lt;&gt;INDEX(職員マスタ!$G$6:$G$405,$AN1862)),"時短開始日がマスタと相違／","")&amp;IF(AND($M1862&lt;&gt;"",INDEX(職員マスタ!$H$6:$H$405,$AN1862)&lt;&gt;"",$M1862&lt;&gt;INDEX(職員マスタ!$H$6:$H$405,$AN1862)),"時短終了日がマスタと相違／","")))&amp;IF(AND($B1862&lt;&gt;"",$E1862=""),"報酬額が未入力／","")&amp;IF(N($U1862)&gt;0,"申請書に入力エラーが残っています／","")&amp;IF(AND($B1862&lt;&gt;"",$AO1862&lt;&gt;""),IF(COUNTIFS($B$6:$B$3005,$B1862,$C$6:$C$3005,$C1862,$D$6:$D$3005,$D1862)&gt;1,"同じ月の請求が重複しています／",""),"")&amp;IF(AND(N($E1862)&gt;0,$Z1862&lt;&gt;"",$Z1862&lt;&gt;"×",$AC1862=0,$AB1862=""),"計算額が下限以下のため不支給／",""))</f>
        <v/>
      </c>
      <c r="AL1862" s="12" t="n"/>
      <c r="AM1862" s="14">
        <f>IF($AD1862="保留中",COUNTIF($AD$6:$AD1862,"保留中"),"")</f>
        <v/>
      </c>
      <c r="AN1862" s="14">
        <f>IF($AO1862="","",IF(SUMPRODUCT(MAX((職員マスタ!$A$6:$A$405=$B1862)*(((職員マスタ!$G$6:$G$405="")+(職員マスタ!$G$6:$G$405&lt;=EOMONTH($AO1862,0)))&gt;0)*(((職員マスタ!$H$6:$H$405="")+(職員マスタ!$H$6:$H$405&gt;=$AO1862))&gt;0)*(ROW(職員マスタ!$A$6:$A$405)-5)))&gt;0,SUMPRODUCT(MAX((職員マスタ!$A$6:$A$405=$B1862)*(((職員マスタ!$G$6:$G$405="")+(職員マスタ!$G$6:$G$405&lt;=EOMONTH($AO1862,0)))&gt;0)*(((職員マスタ!$H$6:$H$405="")+(職員マスタ!$H$6:$H$405&gt;=$AO1862))&gt;0)*(ROW(職員マスタ!$A$6:$A$405)-5))),IFERROR(MATCH($B1862,職員マスタ!$A$6:$A$405,0),"")))</f>
        <v/>
      </c>
      <c r="AO1862" s="16">
        <f>IF(OR($B1862="",$C1862="",$D1862=""),"",DATE($C1862+2018,$D1862,1))</f>
        <v/>
      </c>
    </row>
    <row r="1863">
      <c r="A1863" s="11" t="n"/>
      <c r="B1863" s="12" t="n"/>
      <c r="C1863" s="12" t="n"/>
      <c r="D1863" s="12" t="n"/>
      <c r="E1863" s="13" t="n"/>
      <c r="F1863" s="12" t="n"/>
      <c r="G1863" s="13" t="n"/>
      <c r="H1863" s="12" t="n"/>
      <c r="I1863" s="12" t="n"/>
      <c r="J1863" s="12" t="n"/>
      <c r="K1863" s="12" t="n"/>
      <c r="L1863" s="11" t="n"/>
      <c r="M1863" s="11" t="n"/>
      <c r="N1863" s="11" t="n"/>
      <c r="O1863" s="11" t="n"/>
      <c r="P1863" s="12" t="n"/>
      <c r="Q1863" s="11" t="n"/>
      <c r="R1863" s="12" t="n"/>
      <c r="S1863" s="11" t="n"/>
      <c r="T1863" s="12" t="n"/>
      <c r="U1863" s="12" t="n"/>
      <c r="V1863" s="14">
        <f>IF($AN1863="",IF($B1863="","",$H1863),IF(INDEX(職員マスタ!$B$6:$B$405,$AN1863)="",$H1863,INDEX(職員マスタ!$B$6:$B$405,$AN1863)))</f>
        <v/>
      </c>
      <c r="W1863" s="14">
        <f>IF($AN1863="",IF($B1863="","",$R1863),IF(INDEX(職員マスタ!$C$6:$C$405,$AN1863)="",$R1863,INDEX(職員マスタ!$C$6:$C$405,$AN1863)))</f>
        <v/>
      </c>
      <c r="X1863" s="14">
        <f>IF($AO1863="","","R"&amp;$C1863&amp;"."&amp;$D1863)</f>
        <v/>
      </c>
      <c r="Y1863" s="15">
        <f>IF($AN1863="","",IF(INDEX(職員マスタ!$K$6:$K$405,$AN1863)="","",INDEX(職員マスタ!$K$6:$K$405,$AN1863)))</f>
        <v/>
      </c>
      <c r="Z1863" s="14">
        <f>IF(OR($E1863="",$Y1863=""),"",IF($E1863&gt;=$Y1863,"×",IF($E1863&gt;=$Y1863*設定!$C$5,"△","○")))</f>
        <v/>
      </c>
      <c r="AA1863" s="15">
        <f>IF($Z1863="","",IF($Z1863="×",0,IF($Z1863="○",ROUNDDOWN($E1863*設定!$C$4,0),ROUNDDOWN($E1863*ROUND((9*$Y1863-9*$E1863)/(10*$E1863),4),0))))</f>
        <v/>
      </c>
      <c r="AB1863" s="13" t="n"/>
      <c r="AC1863" s="15">
        <f>IF($B1863="","",IF($AB1863&lt;&gt;"",$AB1863,IF($AA1863="","",IF($AA1863&lt;=設定!$C$3,0,$AA1863))))</f>
        <v/>
      </c>
      <c r="AD1863" s="14">
        <f>IF($B1863="","",IF(AND($AE1863&lt;&gt;"",$AG1863="",$AJ1863=""),"保留中",IF($AJ1863&lt;&gt;"",IF(N($AC1863)&gt;0,"支給済","不支給"),IF($AC1863="","要確認",IF($AC1863=0,"不支給","未処理")))))</f>
        <v/>
      </c>
      <c r="AE1863" s="12" t="n"/>
      <c r="AF1863" s="11" t="n"/>
      <c r="AG1863" s="11" t="n"/>
      <c r="AH1863" s="11" t="n"/>
      <c r="AI1863" s="14">
        <f>IF(AND($AD1863="保留中",$AF1863&lt;&gt;""),TODAY()-$AF1863,"")</f>
        <v/>
      </c>
      <c r="AJ1863" s="12" t="n"/>
      <c r="AK1863" s="14">
        <f>IF($B1863="","",IF($AO1863="","対象年月が未入力／","")&amp;IF($B1863="","",IF($AN1863="","職員マスタに未登録の職員番号／",IF($Y1863="","標準報酬月額が未登録／","")&amp;IF(AND($AO1863&lt;&gt;"",OR(AND(INDEX(職員マスタ!$G$6:$G$405,$AN1863)&lt;&gt;"",INDEX(職員マスタ!$G$6:$G$405,$AN1863)&gt;EOMONTH($AO1863,0)),AND(INDEX(職員マスタ!$H$6:$H$405,$AN1863)&lt;&gt;"",INDEX(職員マスタ!$H$6:$H$405,$AN1863)&lt;$AO1863))),"対象月が時短期間外／","")&amp;IF(AND(INDEX(職員マスタ!$F$6:$F$405,$AN1863)&lt;&gt;"",$AO1863&lt;&gt;"",INDEX(職員マスタ!$F$6:$F$405,$AN1863)&lt;$AO1863),"対象月に子が2歳到達済／","")&amp;IF(AND($H1863&lt;&gt;"",INDEX(職員マスタ!$B$6:$B$405,$AN1863)&lt;&gt;"",SUBSTITUTE(SUBSTITUTE($H1863," ","")," ","")&lt;&gt;SUBSTITUTE(SUBSTITUTE(INDEX(職員マスタ!$B$6:$B$405,$AN1863)," ","")," ","")),"氏名がマスタと相違／","")&amp;IF(AND($Q1863&lt;&gt;"",INDEX(職員マスタ!$E$6:$E$405,$AN1863)&lt;&gt;"",$Q1863&lt;&gt;INDEX(職員マスタ!$E$6:$E$405,$AN1863)),"子の生年月日がマスタと相違／","")&amp;IF(AND($L1863&lt;&gt;"",INDEX(職員マスタ!$G$6:$G$405,$AN1863)&lt;&gt;"",$L1863&lt;&gt;INDEX(職員マスタ!$G$6:$G$405,$AN1863)),"時短開始日がマスタと相違／","")&amp;IF(AND($M1863&lt;&gt;"",INDEX(職員マスタ!$H$6:$H$405,$AN1863)&lt;&gt;"",$M1863&lt;&gt;INDEX(職員マスタ!$H$6:$H$405,$AN1863)),"時短終了日がマスタと相違／","")))&amp;IF(AND($B1863&lt;&gt;"",$E1863=""),"報酬額が未入力／","")&amp;IF(N($U1863)&gt;0,"申請書に入力エラーが残っています／","")&amp;IF(AND($B1863&lt;&gt;"",$AO1863&lt;&gt;""),IF(COUNTIFS($B$6:$B$3005,$B1863,$C$6:$C$3005,$C1863,$D$6:$D$3005,$D1863)&gt;1,"同じ月の請求が重複しています／",""),"")&amp;IF(AND(N($E1863)&gt;0,$Z1863&lt;&gt;"",$Z1863&lt;&gt;"×",$AC1863=0,$AB1863=""),"計算額が下限以下のため不支給／",""))</f>
        <v/>
      </c>
      <c r="AL1863" s="12" t="n"/>
      <c r="AM1863" s="14">
        <f>IF($AD1863="保留中",COUNTIF($AD$6:$AD1863,"保留中"),"")</f>
        <v/>
      </c>
      <c r="AN1863" s="14">
        <f>IF($AO1863="","",IF(SUMPRODUCT(MAX((職員マスタ!$A$6:$A$405=$B1863)*(((職員マスタ!$G$6:$G$405="")+(職員マスタ!$G$6:$G$405&lt;=EOMONTH($AO1863,0)))&gt;0)*(((職員マスタ!$H$6:$H$405="")+(職員マスタ!$H$6:$H$405&gt;=$AO1863))&gt;0)*(ROW(職員マスタ!$A$6:$A$405)-5)))&gt;0,SUMPRODUCT(MAX((職員マスタ!$A$6:$A$405=$B1863)*(((職員マスタ!$G$6:$G$405="")+(職員マスタ!$G$6:$G$405&lt;=EOMONTH($AO1863,0)))&gt;0)*(((職員マスタ!$H$6:$H$405="")+(職員マスタ!$H$6:$H$405&gt;=$AO1863))&gt;0)*(ROW(職員マスタ!$A$6:$A$405)-5))),IFERROR(MATCH($B1863,職員マスタ!$A$6:$A$405,0),"")))</f>
        <v/>
      </c>
      <c r="AO1863" s="16">
        <f>IF(OR($B1863="",$C1863="",$D1863=""),"",DATE($C1863+2018,$D1863,1))</f>
        <v/>
      </c>
    </row>
    <row r="1864">
      <c r="A1864" s="11" t="n"/>
      <c r="B1864" s="12" t="n"/>
      <c r="C1864" s="12" t="n"/>
      <c r="D1864" s="12" t="n"/>
      <c r="E1864" s="13" t="n"/>
      <c r="F1864" s="12" t="n"/>
      <c r="G1864" s="13" t="n"/>
      <c r="H1864" s="12" t="n"/>
      <c r="I1864" s="12" t="n"/>
      <c r="J1864" s="12" t="n"/>
      <c r="K1864" s="12" t="n"/>
      <c r="L1864" s="11" t="n"/>
      <c r="M1864" s="11" t="n"/>
      <c r="N1864" s="11" t="n"/>
      <c r="O1864" s="11" t="n"/>
      <c r="P1864" s="12" t="n"/>
      <c r="Q1864" s="11" t="n"/>
      <c r="R1864" s="12" t="n"/>
      <c r="S1864" s="11" t="n"/>
      <c r="T1864" s="12" t="n"/>
      <c r="U1864" s="12" t="n"/>
      <c r="V1864" s="14">
        <f>IF($AN1864="",IF($B1864="","",$H1864),IF(INDEX(職員マスタ!$B$6:$B$405,$AN1864)="",$H1864,INDEX(職員マスタ!$B$6:$B$405,$AN1864)))</f>
        <v/>
      </c>
      <c r="W1864" s="14">
        <f>IF($AN1864="",IF($B1864="","",$R1864),IF(INDEX(職員マスタ!$C$6:$C$405,$AN1864)="",$R1864,INDEX(職員マスタ!$C$6:$C$405,$AN1864)))</f>
        <v/>
      </c>
      <c r="X1864" s="14">
        <f>IF($AO1864="","","R"&amp;$C1864&amp;"."&amp;$D1864)</f>
        <v/>
      </c>
      <c r="Y1864" s="15">
        <f>IF($AN1864="","",IF(INDEX(職員マスタ!$K$6:$K$405,$AN1864)="","",INDEX(職員マスタ!$K$6:$K$405,$AN1864)))</f>
        <v/>
      </c>
      <c r="Z1864" s="14">
        <f>IF(OR($E1864="",$Y1864=""),"",IF($E1864&gt;=$Y1864,"×",IF($E1864&gt;=$Y1864*設定!$C$5,"△","○")))</f>
        <v/>
      </c>
      <c r="AA1864" s="15">
        <f>IF($Z1864="","",IF($Z1864="×",0,IF($Z1864="○",ROUNDDOWN($E1864*設定!$C$4,0),ROUNDDOWN($E1864*ROUND((9*$Y1864-9*$E1864)/(10*$E1864),4),0))))</f>
        <v/>
      </c>
      <c r="AB1864" s="13" t="n"/>
      <c r="AC1864" s="15">
        <f>IF($B1864="","",IF($AB1864&lt;&gt;"",$AB1864,IF($AA1864="","",IF($AA1864&lt;=設定!$C$3,0,$AA1864))))</f>
        <v/>
      </c>
      <c r="AD1864" s="14">
        <f>IF($B1864="","",IF(AND($AE1864&lt;&gt;"",$AG1864="",$AJ1864=""),"保留中",IF($AJ1864&lt;&gt;"",IF(N($AC1864)&gt;0,"支給済","不支給"),IF($AC1864="","要確認",IF($AC1864=0,"不支給","未処理")))))</f>
        <v/>
      </c>
      <c r="AE1864" s="12" t="n"/>
      <c r="AF1864" s="11" t="n"/>
      <c r="AG1864" s="11" t="n"/>
      <c r="AH1864" s="11" t="n"/>
      <c r="AI1864" s="14">
        <f>IF(AND($AD1864="保留中",$AF1864&lt;&gt;""),TODAY()-$AF1864,"")</f>
        <v/>
      </c>
      <c r="AJ1864" s="12" t="n"/>
      <c r="AK1864" s="14">
        <f>IF($B1864="","",IF($AO1864="","対象年月が未入力／","")&amp;IF($B1864="","",IF($AN1864="","職員マスタに未登録の職員番号／",IF($Y1864="","標準報酬月額が未登録／","")&amp;IF(AND($AO1864&lt;&gt;"",OR(AND(INDEX(職員マスタ!$G$6:$G$405,$AN1864)&lt;&gt;"",INDEX(職員マスタ!$G$6:$G$405,$AN1864)&gt;EOMONTH($AO1864,0)),AND(INDEX(職員マスタ!$H$6:$H$405,$AN1864)&lt;&gt;"",INDEX(職員マスタ!$H$6:$H$405,$AN1864)&lt;$AO1864))),"対象月が時短期間外／","")&amp;IF(AND(INDEX(職員マスタ!$F$6:$F$405,$AN1864)&lt;&gt;"",$AO1864&lt;&gt;"",INDEX(職員マスタ!$F$6:$F$405,$AN1864)&lt;$AO1864),"対象月に子が2歳到達済／","")&amp;IF(AND($H1864&lt;&gt;"",INDEX(職員マスタ!$B$6:$B$405,$AN1864)&lt;&gt;"",SUBSTITUTE(SUBSTITUTE($H1864," ","")," ","")&lt;&gt;SUBSTITUTE(SUBSTITUTE(INDEX(職員マスタ!$B$6:$B$405,$AN1864)," ","")," ","")),"氏名がマスタと相違／","")&amp;IF(AND($Q1864&lt;&gt;"",INDEX(職員マスタ!$E$6:$E$405,$AN1864)&lt;&gt;"",$Q1864&lt;&gt;INDEX(職員マスタ!$E$6:$E$405,$AN1864)),"子の生年月日がマスタと相違／","")&amp;IF(AND($L1864&lt;&gt;"",INDEX(職員マスタ!$G$6:$G$405,$AN1864)&lt;&gt;"",$L1864&lt;&gt;INDEX(職員マスタ!$G$6:$G$405,$AN1864)),"時短開始日がマスタと相違／","")&amp;IF(AND($M1864&lt;&gt;"",INDEX(職員マスタ!$H$6:$H$405,$AN1864)&lt;&gt;"",$M1864&lt;&gt;INDEX(職員マスタ!$H$6:$H$405,$AN1864)),"時短終了日がマスタと相違／","")))&amp;IF(AND($B1864&lt;&gt;"",$E1864=""),"報酬額が未入力／","")&amp;IF(N($U1864)&gt;0,"申請書に入力エラーが残っています／","")&amp;IF(AND($B1864&lt;&gt;"",$AO1864&lt;&gt;""),IF(COUNTIFS($B$6:$B$3005,$B1864,$C$6:$C$3005,$C1864,$D$6:$D$3005,$D1864)&gt;1,"同じ月の請求が重複しています／",""),"")&amp;IF(AND(N($E1864)&gt;0,$Z1864&lt;&gt;"",$Z1864&lt;&gt;"×",$AC1864=0,$AB1864=""),"計算額が下限以下のため不支給／",""))</f>
        <v/>
      </c>
      <c r="AL1864" s="12" t="n"/>
      <c r="AM1864" s="14">
        <f>IF($AD1864="保留中",COUNTIF($AD$6:$AD1864,"保留中"),"")</f>
        <v/>
      </c>
      <c r="AN1864" s="14">
        <f>IF($AO1864="","",IF(SUMPRODUCT(MAX((職員マスタ!$A$6:$A$405=$B1864)*(((職員マスタ!$G$6:$G$405="")+(職員マスタ!$G$6:$G$405&lt;=EOMONTH($AO1864,0)))&gt;0)*(((職員マスタ!$H$6:$H$405="")+(職員マスタ!$H$6:$H$405&gt;=$AO1864))&gt;0)*(ROW(職員マスタ!$A$6:$A$405)-5)))&gt;0,SUMPRODUCT(MAX((職員マスタ!$A$6:$A$405=$B1864)*(((職員マスタ!$G$6:$G$405="")+(職員マスタ!$G$6:$G$405&lt;=EOMONTH($AO1864,0)))&gt;0)*(((職員マスタ!$H$6:$H$405="")+(職員マスタ!$H$6:$H$405&gt;=$AO1864))&gt;0)*(ROW(職員マスタ!$A$6:$A$405)-5))),IFERROR(MATCH($B1864,職員マスタ!$A$6:$A$405,0),"")))</f>
        <v/>
      </c>
      <c r="AO1864" s="16">
        <f>IF(OR($B1864="",$C1864="",$D1864=""),"",DATE($C1864+2018,$D1864,1))</f>
        <v/>
      </c>
    </row>
    <row r="1865">
      <c r="A1865" s="11" t="n"/>
      <c r="B1865" s="12" t="n"/>
      <c r="C1865" s="12" t="n"/>
      <c r="D1865" s="12" t="n"/>
      <c r="E1865" s="13" t="n"/>
      <c r="F1865" s="12" t="n"/>
      <c r="G1865" s="13" t="n"/>
      <c r="H1865" s="12" t="n"/>
      <c r="I1865" s="12" t="n"/>
      <c r="J1865" s="12" t="n"/>
      <c r="K1865" s="12" t="n"/>
      <c r="L1865" s="11" t="n"/>
      <c r="M1865" s="11" t="n"/>
      <c r="N1865" s="11" t="n"/>
      <c r="O1865" s="11" t="n"/>
      <c r="P1865" s="12" t="n"/>
      <c r="Q1865" s="11" t="n"/>
      <c r="R1865" s="12" t="n"/>
      <c r="S1865" s="11" t="n"/>
      <c r="T1865" s="12" t="n"/>
      <c r="U1865" s="12" t="n"/>
      <c r="V1865" s="14">
        <f>IF($AN1865="",IF($B1865="","",$H1865),IF(INDEX(職員マスタ!$B$6:$B$405,$AN1865)="",$H1865,INDEX(職員マスタ!$B$6:$B$405,$AN1865)))</f>
        <v/>
      </c>
      <c r="W1865" s="14">
        <f>IF($AN1865="",IF($B1865="","",$R1865),IF(INDEX(職員マスタ!$C$6:$C$405,$AN1865)="",$R1865,INDEX(職員マスタ!$C$6:$C$405,$AN1865)))</f>
        <v/>
      </c>
      <c r="X1865" s="14">
        <f>IF($AO1865="","","R"&amp;$C1865&amp;"."&amp;$D1865)</f>
        <v/>
      </c>
      <c r="Y1865" s="15">
        <f>IF($AN1865="","",IF(INDEX(職員マスタ!$K$6:$K$405,$AN1865)="","",INDEX(職員マスタ!$K$6:$K$405,$AN1865)))</f>
        <v/>
      </c>
      <c r="Z1865" s="14">
        <f>IF(OR($E1865="",$Y1865=""),"",IF($E1865&gt;=$Y1865,"×",IF($E1865&gt;=$Y1865*設定!$C$5,"△","○")))</f>
        <v/>
      </c>
      <c r="AA1865" s="15">
        <f>IF($Z1865="","",IF($Z1865="×",0,IF($Z1865="○",ROUNDDOWN($E1865*設定!$C$4,0),ROUNDDOWN($E1865*ROUND((9*$Y1865-9*$E1865)/(10*$E1865),4),0))))</f>
        <v/>
      </c>
      <c r="AB1865" s="13" t="n"/>
      <c r="AC1865" s="15">
        <f>IF($B1865="","",IF($AB1865&lt;&gt;"",$AB1865,IF($AA1865="","",IF($AA1865&lt;=設定!$C$3,0,$AA1865))))</f>
        <v/>
      </c>
      <c r="AD1865" s="14">
        <f>IF($B1865="","",IF(AND($AE1865&lt;&gt;"",$AG1865="",$AJ1865=""),"保留中",IF($AJ1865&lt;&gt;"",IF(N($AC1865)&gt;0,"支給済","不支給"),IF($AC1865="","要確認",IF($AC1865=0,"不支給","未処理")))))</f>
        <v/>
      </c>
      <c r="AE1865" s="12" t="n"/>
      <c r="AF1865" s="11" t="n"/>
      <c r="AG1865" s="11" t="n"/>
      <c r="AH1865" s="11" t="n"/>
      <c r="AI1865" s="14">
        <f>IF(AND($AD1865="保留中",$AF1865&lt;&gt;""),TODAY()-$AF1865,"")</f>
        <v/>
      </c>
      <c r="AJ1865" s="12" t="n"/>
      <c r="AK1865" s="14">
        <f>IF($B1865="","",IF($AO1865="","対象年月が未入力／","")&amp;IF($B1865="","",IF($AN1865="","職員マスタに未登録の職員番号／",IF($Y1865="","標準報酬月額が未登録／","")&amp;IF(AND($AO1865&lt;&gt;"",OR(AND(INDEX(職員マスタ!$G$6:$G$405,$AN1865)&lt;&gt;"",INDEX(職員マスタ!$G$6:$G$405,$AN1865)&gt;EOMONTH($AO1865,0)),AND(INDEX(職員マスタ!$H$6:$H$405,$AN1865)&lt;&gt;"",INDEX(職員マスタ!$H$6:$H$405,$AN1865)&lt;$AO1865))),"対象月が時短期間外／","")&amp;IF(AND(INDEX(職員マスタ!$F$6:$F$405,$AN1865)&lt;&gt;"",$AO1865&lt;&gt;"",INDEX(職員マスタ!$F$6:$F$405,$AN1865)&lt;$AO1865),"対象月に子が2歳到達済／","")&amp;IF(AND($H1865&lt;&gt;"",INDEX(職員マスタ!$B$6:$B$405,$AN1865)&lt;&gt;"",SUBSTITUTE(SUBSTITUTE($H1865," ","")," ","")&lt;&gt;SUBSTITUTE(SUBSTITUTE(INDEX(職員マスタ!$B$6:$B$405,$AN1865)," ","")," ","")),"氏名がマスタと相違／","")&amp;IF(AND($Q1865&lt;&gt;"",INDEX(職員マスタ!$E$6:$E$405,$AN1865)&lt;&gt;"",$Q1865&lt;&gt;INDEX(職員マスタ!$E$6:$E$405,$AN1865)),"子の生年月日がマスタと相違／","")&amp;IF(AND($L1865&lt;&gt;"",INDEX(職員マスタ!$G$6:$G$405,$AN1865)&lt;&gt;"",$L1865&lt;&gt;INDEX(職員マスタ!$G$6:$G$405,$AN1865)),"時短開始日がマスタと相違／","")&amp;IF(AND($M1865&lt;&gt;"",INDEX(職員マスタ!$H$6:$H$405,$AN1865)&lt;&gt;"",$M1865&lt;&gt;INDEX(職員マスタ!$H$6:$H$405,$AN1865)),"時短終了日がマスタと相違／","")))&amp;IF(AND($B1865&lt;&gt;"",$E1865=""),"報酬額が未入力／","")&amp;IF(N($U1865)&gt;0,"申請書に入力エラーが残っています／","")&amp;IF(AND($B1865&lt;&gt;"",$AO1865&lt;&gt;""),IF(COUNTIFS($B$6:$B$3005,$B1865,$C$6:$C$3005,$C1865,$D$6:$D$3005,$D1865)&gt;1,"同じ月の請求が重複しています／",""),"")&amp;IF(AND(N($E1865)&gt;0,$Z1865&lt;&gt;"",$Z1865&lt;&gt;"×",$AC1865=0,$AB1865=""),"計算額が下限以下のため不支給／",""))</f>
        <v/>
      </c>
      <c r="AL1865" s="12" t="n"/>
      <c r="AM1865" s="14">
        <f>IF($AD1865="保留中",COUNTIF($AD$6:$AD1865,"保留中"),"")</f>
        <v/>
      </c>
      <c r="AN1865" s="14">
        <f>IF($AO1865="","",IF(SUMPRODUCT(MAX((職員マスタ!$A$6:$A$405=$B1865)*(((職員マスタ!$G$6:$G$405="")+(職員マスタ!$G$6:$G$405&lt;=EOMONTH($AO1865,0)))&gt;0)*(((職員マスタ!$H$6:$H$405="")+(職員マスタ!$H$6:$H$405&gt;=$AO1865))&gt;0)*(ROW(職員マスタ!$A$6:$A$405)-5)))&gt;0,SUMPRODUCT(MAX((職員マスタ!$A$6:$A$405=$B1865)*(((職員マスタ!$G$6:$G$405="")+(職員マスタ!$G$6:$G$405&lt;=EOMONTH($AO1865,0)))&gt;0)*(((職員マスタ!$H$6:$H$405="")+(職員マスタ!$H$6:$H$405&gt;=$AO1865))&gt;0)*(ROW(職員マスタ!$A$6:$A$405)-5))),IFERROR(MATCH($B1865,職員マスタ!$A$6:$A$405,0),"")))</f>
        <v/>
      </c>
      <c r="AO1865" s="16">
        <f>IF(OR($B1865="",$C1865="",$D1865=""),"",DATE($C1865+2018,$D1865,1))</f>
        <v/>
      </c>
    </row>
    <row r="1866">
      <c r="A1866" s="11" t="n"/>
      <c r="B1866" s="12" t="n"/>
      <c r="C1866" s="12" t="n"/>
      <c r="D1866" s="12" t="n"/>
      <c r="E1866" s="13" t="n"/>
      <c r="F1866" s="12" t="n"/>
      <c r="G1866" s="13" t="n"/>
      <c r="H1866" s="12" t="n"/>
      <c r="I1866" s="12" t="n"/>
      <c r="J1866" s="12" t="n"/>
      <c r="K1866" s="12" t="n"/>
      <c r="L1866" s="11" t="n"/>
      <c r="M1866" s="11" t="n"/>
      <c r="N1866" s="11" t="n"/>
      <c r="O1866" s="11" t="n"/>
      <c r="P1866" s="12" t="n"/>
      <c r="Q1866" s="11" t="n"/>
      <c r="R1866" s="12" t="n"/>
      <c r="S1866" s="11" t="n"/>
      <c r="T1866" s="12" t="n"/>
      <c r="U1866" s="12" t="n"/>
      <c r="V1866" s="14">
        <f>IF($AN1866="",IF($B1866="","",$H1866),IF(INDEX(職員マスタ!$B$6:$B$405,$AN1866)="",$H1866,INDEX(職員マスタ!$B$6:$B$405,$AN1866)))</f>
        <v/>
      </c>
      <c r="W1866" s="14">
        <f>IF($AN1866="",IF($B1866="","",$R1866),IF(INDEX(職員マスタ!$C$6:$C$405,$AN1866)="",$R1866,INDEX(職員マスタ!$C$6:$C$405,$AN1866)))</f>
        <v/>
      </c>
      <c r="X1866" s="14">
        <f>IF($AO1866="","","R"&amp;$C1866&amp;"."&amp;$D1866)</f>
        <v/>
      </c>
      <c r="Y1866" s="15">
        <f>IF($AN1866="","",IF(INDEX(職員マスタ!$K$6:$K$405,$AN1866)="","",INDEX(職員マスタ!$K$6:$K$405,$AN1866)))</f>
        <v/>
      </c>
      <c r="Z1866" s="14">
        <f>IF(OR($E1866="",$Y1866=""),"",IF($E1866&gt;=$Y1866,"×",IF($E1866&gt;=$Y1866*設定!$C$5,"△","○")))</f>
        <v/>
      </c>
      <c r="AA1866" s="15">
        <f>IF($Z1866="","",IF($Z1866="×",0,IF($Z1866="○",ROUNDDOWN($E1866*設定!$C$4,0),ROUNDDOWN($E1866*ROUND((9*$Y1866-9*$E1866)/(10*$E1866),4),0))))</f>
        <v/>
      </c>
      <c r="AB1866" s="13" t="n"/>
      <c r="AC1866" s="15">
        <f>IF($B1866="","",IF($AB1866&lt;&gt;"",$AB1866,IF($AA1866="","",IF($AA1866&lt;=設定!$C$3,0,$AA1866))))</f>
        <v/>
      </c>
      <c r="AD1866" s="14">
        <f>IF($B1866="","",IF(AND($AE1866&lt;&gt;"",$AG1866="",$AJ1866=""),"保留中",IF($AJ1866&lt;&gt;"",IF(N($AC1866)&gt;0,"支給済","不支給"),IF($AC1866="","要確認",IF($AC1866=0,"不支給","未処理")))))</f>
        <v/>
      </c>
      <c r="AE1866" s="12" t="n"/>
      <c r="AF1866" s="11" t="n"/>
      <c r="AG1866" s="11" t="n"/>
      <c r="AH1866" s="11" t="n"/>
      <c r="AI1866" s="14">
        <f>IF(AND($AD1866="保留中",$AF1866&lt;&gt;""),TODAY()-$AF1866,"")</f>
        <v/>
      </c>
      <c r="AJ1866" s="12" t="n"/>
      <c r="AK1866" s="14">
        <f>IF($B1866="","",IF($AO1866="","対象年月が未入力／","")&amp;IF($B1866="","",IF($AN1866="","職員マスタに未登録の職員番号／",IF($Y1866="","標準報酬月額が未登録／","")&amp;IF(AND($AO1866&lt;&gt;"",OR(AND(INDEX(職員マスタ!$G$6:$G$405,$AN1866)&lt;&gt;"",INDEX(職員マスタ!$G$6:$G$405,$AN1866)&gt;EOMONTH($AO1866,0)),AND(INDEX(職員マスタ!$H$6:$H$405,$AN1866)&lt;&gt;"",INDEX(職員マスタ!$H$6:$H$405,$AN1866)&lt;$AO1866))),"対象月が時短期間外／","")&amp;IF(AND(INDEX(職員マスタ!$F$6:$F$405,$AN1866)&lt;&gt;"",$AO1866&lt;&gt;"",INDEX(職員マスタ!$F$6:$F$405,$AN1866)&lt;$AO1866),"対象月に子が2歳到達済／","")&amp;IF(AND($H1866&lt;&gt;"",INDEX(職員マスタ!$B$6:$B$405,$AN1866)&lt;&gt;"",SUBSTITUTE(SUBSTITUTE($H1866," ","")," ","")&lt;&gt;SUBSTITUTE(SUBSTITUTE(INDEX(職員マスタ!$B$6:$B$405,$AN1866)," ","")," ","")),"氏名がマスタと相違／","")&amp;IF(AND($Q1866&lt;&gt;"",INDEX(職員マスタ!$E$6:$E$405,$AN1866)&lt;&gt;"",$Q1866&lt;&gt;INDEX(職員マスタ!$E$6:$E$405,$AN1866)),"子の生年月日がマスタと相違／","")&amp;IF(AND($L1866&lt;&gt;"",INDEX(職員マスタ!$G$6:$G$405,$AN1866)&lt;&gt;"",$L1866&lt;&gt;INDEX(職員マスタ!$G$6:$G$405,$AN1866)),"時短開始日がマスタと相違／","")&amp;IF(AND($M1866&lt;&gt;"",INDEX(職員マスタ!$H$6:$H$405,$AN1866)&lt;&gt;"",$M1866&lt;&gt;INDEX(職員マスタ!$H$6:$H$405,$AN1866)),"時短終了日がマスタと相違／","")))&amp;IF(AND($B1866&lt;&gt;"",$E1866=""),"報酬額が未入力／","")&amp;IF(N($U1866)&gt;0,"申請書に入力エラーが残っています／","")&amp;IF(AND($B1866&lt;&gt;"",$AO1866&lt;&gt;""),IF(COUNTIFS($B$6:$B$3005,$B1866,$C$6:$C$3005,$C1866,$D$6:$D$3005,$D1866)&gt;1,"同じ月の請求が重複しています／",""),"")&amp;IF(AND(N($E1866)&gt;0,$Z1866&lt;&gt;"",$Z1866&lt;&gt;"×",$AC1866=0,$AB1866=""),"計算額が下限以下のため不支給／",""))</f>
        <v/>
      </c>
      <c r="AL1866" s="12" t="n"/>
      <c r="AM1866" s="14">
        <f>IF($AD1866="保留中",COUNTIF($AD$6:$AD1866,"保留中"),"")</f>
        <v/>
      </c>
      <c r="AN1866" s="14">
        <f>IF($AO1866="","",IF(SUMPRODUCT(MAX((職員マスタ!$A$6:$A$405=$B1866)*(((職員マスタ!$G$6:$G$405="")+(職員マスタ!$G$6:$G$405&lt;=EOMONTH($AO1866,0)))&gt;0)*(((職員マスタ!$H$6:$H$405="")+(職員マスタ!$H$6:$H$405&gt;=$AO1866))&gt;0)*(ROW(職員マスタ!$A$6:$A$405)-5)))&gt;0,SUMPRODUCT(MAX((職員マスタ!$A$6:$A$405=$B1866)*(((職員マスタ!$G$6:$G$405="")+(職員マスタ!$G$6:$G$405&lt;=EOMONTH($AO1866,0)))&gt;0)*(((職員マスタ!$H$6:$H$405="")+(職員マスタ!$H$6:$H$405&gt;=$AO1866))&gt;0)*(ROW(職員マスタ!$A$6:$A$405)-5))),IFERROR(MATCH($B1866,職員マスタ!$A$6:$A$405,0),"")))</f>
        <v/>
      </c>
      <c r="AO1866" s="16">
        <f>IF(OR($B1866="",$C1866="",$D1866=""),"",DATE($C1866+2018,$D1866,1))</f>
        <v/>
      </c>
    </row>
    <row r="1867">
      <c r="A1867" s="11" t="n"/>
      <c r="B1867" s="12" t="n"/>
      <c r="C1867" s="12" t="n"/>
      <c r="D1867" s="12" t="n"/>
      <c r="E1867" s="13" t="n"/>
      <c r="F1867" s="12" t="n"/>
      <c r="G1867" s="13" t="n"/>
      <c r="H1867" s="12" t="n"/>
      <c r="I1867" s="12" t="n"/>
      <c r="J1867" s="12" t="n"/>
      <c r="K1867" s="12" t="n"/>
      <c r="L1867" s="11" t="n"/>
      <c r="M1867" s="11" t="n"/>
      <c r="N1867" s="11" t="n"/>
      <c r="O1867" s="11" t="n"/>
      <c r="P1867" s="12" t="n"/>
      <c r="Q1867" s="11" t="n"/>
      <c r="R1867" s="12" t="n"/>
      <c r="S1867" s="11" t="n"/>
      <c r="T1867" s="12" t="n"/>
      <c r="U1867" s="12" t="n"/>
      <c r="V1867" s="14">
        <f>IF($AN1867="",IF($B1867="","",$H1867),IF(INDEX(職員マスタ!$B$6:$B$405,$AN1867)="",$H1867,INDEX(職員マスタ!$B$6:$B$405,$AN1867)))</f>
        <v/>
      </c>
      <c r="W1867" s="14">
        <f>IF($AN1867="",IF($B1867="","",$R1867),IF(INDEX(職員マスタ!$C$6:$C$405,$AN1867)="",$R1867,INDEX(職員マスタ!$C$6:$C$405,$AN1867)))</f>
        <v/>
      </c>
      <c r="X1867" s="14">
        <f>IF($AO1867="","","R"&amp;$C1867&amp;"."&amp;$D1867)</f>
        <v/>
      </c>
      <c r="Y1867" s="15">
        <f>IF($AN1867="","",IF(INDEX(職員マスタ!$K$6:$K$405,$AN1867)="","",INDEX(職員マスタ!$K$6:$K$405,$AN1867)))</f>
        <v/>
      </c>
      <c r="Z1867" s="14">
        <f>IF(OR($E1867="",$Y1867=""),"",IF($E1867&gt;=$Y1867,"×",IF($E1867&gt;=$Y1867*設定!$C$5,"△","○")))</f>
        <v/>
      </c>
      <c r="AA1867" s="15">
        <f>IF($Z1867="","",IF($Z1867="×",0,IF($Z1867="○",ROUNDDOWN($E1867*設定!$C$4,0),ROUNDDOWN($E1867*ROUND((9*$Y1867-9*$E1867)/(10*$E1867),4),0))))</f>
        <v/>
      </c>
      <c r="AB1867" s="13" t="n"/>
      <c r="AC1867" s="15">
        <f>IF($B1867="","",IF($AB1867&lt;&gt;"",$AB1867,IF($AA1867="","",IF($AA1867&lt;=設定!$C$3,0,$AA1867))))</f>
        <v/>
      </c>
      <c r="AD1867" s="14">
        <f>IF($B1867="","",IF(AND($AE1867&lt;&gt;"",$AG1867="",$AJ1867=""),"保留中",IF($AJ1867&lt;&gt;"",IF(N($AC1867)&gt;0,"支給済","不支給"),IF($AC1867="","要確認",IF($AC1867=0,"不支給","未処理")))))</f>
        <v/>
      </c>
      <c r="AE1867" s="12" t="n"/>
      <c r="AF1867" s="11" t="n"/>
      <c r="AG1867" s="11" t="n"/>
      <c r="AH1867" s="11" t="n"/>
      <c r="AI1867" s="14">
        <f>IF(AND($AD1867="保留中",$AF1867&lt;&gt;""),TODAY()-$AF1867,"")</f>
        <v/>
      </c>
      <c r="AJ1867" s="12" t="n"/>
      <c r="AK1867" s="14">
        <f>IF($B1867="","",IF($AO1867="","対象年月が未入力／","")&amp;IF($B1867="","",IF($AN1867="","職員マスタに未登録の職員番号／",IF($Y1867="","標準報酬月額が未登録／","")&amp;IF(AND($AO1867&lt;&gt;"",OR(AND(INDEX(職員マスタ!$G$6:$G$405,$AN1867)&lt;&gt;"",INDEX(職員マスタ!$G$6:$G$405,$AN1867)&gt;EOMONTH($AO1867,0)),AND(INDEX(職員マスタ!$H$6:$H$405,$AN1867)&lt;&gt;"",INDEX(職員マスタ!$H$6:$H$405,$AN1867)&lt;$AO1867))),"対象月が時短期間外／","")&amp;IF(AND(INDEX(職員マスタ!$F$6:$F$405,$AN1867)&lt;&gt;"",$AO1867&lt;&gt;"",INDEX(職員マスタ!$F$6:$F$405,$AN1867)&lt;$AO1867),"対象月に子が2歳到達済／","")&amp;IF(AND($H1867&lt;&gt;"",INDEX(職員マスタ!$B$6:$B$405,$AN1867)&lt;&gt;"",SUBSTITUTE(SUBSTITUTE($H1867," ","")," ","")&lt;&gt;SUBSTITUTE(SUBSTITUTE(INDEX(職員マスタ!$B$6:$B$405,$AN1867)," ","")," ","")),"氏名がマスタと相違／","")&amp;IF(AND($Q1867&lt;&gt;"",INDEX(職員マスタ!$E$6:$E$405,$AN1867)&lt;&gt;"",$Q1867&lt;&gt;INDEX(職員マスタ!$E$6:$E$405,$AN1867)),"子の生年月日がマスタと相違／","")&amp;IF(AND($L1867&lt;&gt;"",INDEX(職員マスタ!$G$6:$G$405,$AN1867)&lt;&gt;"",$L1867&lt;&gt;INDEX(職員マスタ!$G$6:$G$405,$AN1867)),"時短開始日がマスタと相違／","")&amp;IF(AND($M1867&lt;&gt;"",INDEX(職員マスタ!$H$6:$H$405,$AN1867)&lt;&gt;"",$M1867&lt;&gt;INDEX(職員マスタ!$H$6:$H$405,$AN1867)),"時短終了日がマスタと相違／","")))&amp;IF(AND($B1867&lt;&gt;"",$E1867=""),"報酬額が未入力／","")&amp;IF(N($U1867)&gt;0,"申請書に入力エラーが残っています／","")&amp;IF(AND($B1867&lt;&gt;"",$AO1867&lt;&gt;""),IF(COUNTIFS($B$6:$B$3005,$B1867,$C$6:$C$3005,$C1867,$D$6:$D$3005,$D1867)&gt;1,"同じ月の請求が重複しています／",""),"")&amp;IF(AND(N($E1867)&gt;0,$Z1867&lt;&gt;"",$Z1867&lt;&gt;"×",$AC1867=0,$AB1867=""),"計算額が下限以下のため不支給／",""))</f>
        <v/>
      </c>
      <c r="AL1867" s="12" t="n"/>
      <c r="AM1867" s="14">
        <f>IF($AD1867="保留中",COUNTIF($AD$6:$AD1867,"保留中"),"")</f>
        <v/>
      </c>
      <c r="AN1867" s="14">
        <f>IF($AO1867="","",IF(SUMPRODUCT(MAX((職員マスタ!$A$6:$A$405=$B1867)*(((職員マスタ!$G$6:$G$405="")+(職員マスタ!$G$6:$G$405&lt;=EOMONTH($AO1867,0)))&gt;0)*(((職員マスタ!$H$6:$H$405="")+(職員マスタ!$H$6:$H$405&gt;=$AO1867))&gt;0)*(ROW(職員マスタ!$A$6:$A$405)-5)))&gt;0,SUMPRODUCT(MAX((職員マスタ!$A$6:$A$405=$B1867)*(((職員マスタ!$G$6:$G$405="")+(職員マスタ!$G$6:$G$405&lt;=EOMONTH($AO1867,0)))&gt;0)*(((職員マスタ!$H$6:$H$405="")+(職員マスタ!$H$6:$H$405&gt;=$AO1867))&gt;0)*(ROW(職員マスタ!$A$6:$A$405)-5))),IFERROR(MATCH($B1867,職員マスタ!$A$6:$A$405,0),"")))</f>
        <v/>
      </c>
      <c r="AO1867" s="16">
        <f>IF(OR($B1867="",$C1867="",$D1867=""),"",DATE($C1867+2018,$D1867,1))</f>
        <v/>
      </c>
    </row>
    <row r="1868">
      <c r="A1868" s="11" t="n"/>
      <c r="B1868" s="12" t="n"/>
      <c r="C1868" s="12" t="n"/>
      <c r="D1868" s="12" t="n"/>
      <c r="E1868" s="13" t="n"/>
      <c r="F1868" s="12" t="n"/>
      <c r="G1868" s="13" t="n"/>
      <c r="H1868" s="12" t="n"/>
      <c r="I1868" s="12" t="n"/>
      <c r="J1868" s="12" t="n"/>
      <c r="K1868" s="12" t="n"/>
      <c r="L1868" s="11" t="n"/>
      <c r="M1868" s="11" t="n"/>
      <c r="N1868" s="11" t="n"/>
      <c r="O1868" s="11" t="n"/>
      <c r="P1868" s="12" t="n"/>
      <c r="Q1868" s="11" t="n"/>
      <c r="R1868" s="12" t="n"/>
      <c r="S1868" s="11" t="n"/>
      <c r="T1868" s="12" t="n"/>
      <c r="U1868" s="12" t="n"/>
      <c r="V1868" s="14">
        <f>IF($AN1868="",IF($B1868="","",$H1868),IF(INDEX(職員マスタ!$B$6:$B$405,$AN1868)="",$H1868,INDEX(職員マスタ!$B$6:$B$405,$AN1868)))</f>
        <v/>
      </c>
      <c r="W1868" s="14">
        <f>IF($AN1868="",IF($B1868="","",$R1868),IF(INDEX(職員マスタ!$C$6:$C$405,$AN1868)="",$R1868,INDEX(職員マスタ!$C$6:$C$405,$AN1868)))</f>
        <v/>
      </c>
      <c r="X1868" s="14">
        <f>IF($AO1868="","","R"&amp;$C1868&amp;"."&amp;$D1868)</f>
        <v/>
      </c>
      <c r="Y1868" s="15">
        <f>IF($AN1868="","",IF(INDEX(職員マスタ!$K$6:$K$405,$AN1868)="","",INDEX(職員マスタ!$K$6:$K$405,$AN1868)))</f>
        <v/>
      </c>
      <c r="Z1868" s="14">
        <f>IF(OR($E1868="",$Y1868=""),"",IF($E1868&gt;=$Y1868,"×",IF($E1868&gt;=$Y1868*設定!$C$5,"△","○")))</f>
        <v/>
      </c>
      <c r="AA1868" s="15">
        <f>IF($Z1868="","",IF($Z1868="×",0,IF($Z1868="○",ROUNDDOWN($E1868*設定!$C$4,0),ROUNDDOWN($E1868*ROUND((9*$Y1868-9*$E1868)/(10*$E1868),4),0))))</f>
        <v/>
      </c>
      <c r="AB1868" s="13" t="n"/>
      <c r="AC1868" s="15">
        <f>IF($B1868="","",IF($AB1868&lt;&gt;"",$AB1868,IF($AA1868="","",IF($AA1868&lt;=設定!$C$3,0,$AA1868))))</f>
        <v/>
      </c>
      <c r="AD1868" s="14">
        <f>IF($B1868="","",IF(AND($AE1868&lt;&gt;"",$AG1868="",$AJ1868=""),"保留中",IF($AJ1868&lt;&gt;"",IF(N($AC1868)&gt;0,"支給済","不支給"),IF($AC1868="","要確認",IF($AC1868=0,"不支給","未処理")))))</f>
        <v/>
      </c>
      <c r="AE1868" s="12" t="n"/>
      <c r="AF1868" s="11" t="n"/>
      <c r="AG1868" s="11" t="n"/>
      <c r="AH1868" s="11" t="n"/>
      <c r="AI1868" s="14">
        <f>IF(AND($AD1868="保留中",$AF1868&lt;&gt;""),TODAY()-$AF1868,"")</f>
        <v/>
      </c>
      <c r="AJ1868" s="12" t="n"/>
      <c r="AK1868" s="14">
        <f>IF($B1868="","",IF($AO1868="","対象年月が未入力／","")&amp;IF($B1868="","",IF($AN1868="","職員マスタに未登録の職員番号／",IF($Y1868="","標準報酬月額が未登録／","")&amp;IF(AND($AO1868&lt;&gt;"",OR(AND(INDEX(職員マスタ!$G$6:$G$405,$AN1868)&lt;&gt;"",INDEX(職員マスタ!$G$6:$G$405,$AN1868)&gt;EOMONTH($AO1868,0)),AND(INDEX(職員マスタ!$H$6:$H$405,$AN1868)&lt;&gt;"",INDEX(職員マスタ!$H$6:$H$405,$AN1868)&lt;$AO1868))),"対象月が時短期間外／","")&amp;IF(AND(INDEX(職員マスタ!$F$6:$F$405,$AN1868)&lt;&gt;"",$AO1868&lt;&gt;"",INDEX(職員マスタ!$F$6:$F$405,$AN1868)&lt;$AO1868),"対象月に子が2歳到達済／","")&amp;IF(AND($H1868&lt;&gt;"",INDEX(職員マスタ!$B$6:$B$405,$AN1868)&lt;&gt;"",SUBSTITUTE(SUBSTITUTE($H1868," ","")," ","")&lt;&gt;SUBSTITUTE(SUBSTITUTE(INDEX(職員マスタ!$B$6:$B$405,$AN1868)," ","")," ","")),"氏名がマスタと相違／","")&amp;IF(AND($Q1868&lt;&gt;"",INDEX(職員マスタ!$E$6:$E$405,$AN1868)&lt;&gt;"",$Q1868&lt;&gt;INDEX(職員マスタ!$E$6:$E$405,$AN1868)),"子の生年月日がマスタと相違／","")&amp;IF(AND($L1868&lt;&gt;"",INDEX(職員マスタ!$G$6:$G$405,$AN1868)&lt;&gt;"",$L1868&lt;&gt;INDEX(職員マスタ!$G$6:$G$405,$AN1868)),"時短開始日がマスタと相違／","")&amp;IF(AND($M1868&lt;&gt;"",INDEX(職員マスタ!$H$6:$H$405,$AN1868)&lt;&gt;"",$M1868&lt;&gt;INDEX(職員マスタ!$H$6:$H$405,$AN1868)),"時短終了日がマスタと相違／","")))&amp;IF(AND($B1868&lt;&gt;"",$E1868=""),"報酬額が未入力／","")&amp;IF(N($U1868)&gt;0,"申請書に入力エラーが残っています／","")&amp;IF(AND($B1868&lt;&gt;"",$AO1868&lt;&gt;""),IF(COUNTIFS($B$6:$B$3005,$B1868,$C$6:$C$3005,$C1868,$D$6:$D$3005,$D1868)&gt;1,"同じ月の請求が重複しています／",""),"")&amp;IF(AND(N($E1868)&gt;0,$Z1868&lt;&gt;"",$Z1868&lt;&gt;"×",$AC1868=0,$AB1868=""),"計算額が下限以下のため不支給／",""))</f>
        <v/>
      </c>
      <c r="AL1868" s="12" t="n"/>
      <c r="AM1868" s="14">
        <f>IF($AD1868="保留中",COUNTIF($AD$6:$AD1868,"保留中"),"")</f>
        <v/>
      </c>
      <c r="AN1868" s="14">
        <f>IF($AO1868="","",IF(SUMPRODUCT(MAX((職員マスタ!$A$6:$A$405=$B1868)*(((職員マスタ!$G$6:$G$405="")+(職員マスタ!$G$6:$G$405&lt;=EOMONTH($AO1868,0)))&gt;0)*(((職員マスタ!$H$6:$H$405="")+(職員マスタ!$H$6:$H$405&gt;=$AO1868))&gt;0)*(ROW(職員マスタ!$A$6:$A$405)-5)))&gt;0,SUMPRODUCT(MAX((職員マスタ!$A$6:$A$405=$B1868)*(((職員マスタ!$G$6:$G$405="")+(職員マスタ!$G$6:$G$405&lt;=EOMONTH($AO1868,0)))&gt;0)*(((職員マスタ!$H$6:$H$405="")+(職員マスタ!$H$6:$H$405&gt;=$AO1868))&gt;0)*(ROW(職員マスタ!$A$6:$A$405)-5))),IFERROR(MATCH($B1868,職員マスタ!$A$6:$A$405,0),"")))</f>
        <v/>
      </c>
      <c r="AO1868" s="16">
        <f>IF(OR($B1868="",$C1868="",$D1868=""),"",DATE($C1868+2018,$D1868,1))</f>
        <v/>
      </c>
    </row>
    <row r="1869">
      <c r="A1869" s="11" t="n"/>
      <c r="B1869" s="12" t="n"/>
      <c r="C1869" s="12" t="n"/>
      <c r="D1869" s="12" t="n"/>
      <c r="E1869" s="13" t="n"/>
      <c r="F1869" s="12" t="n"/>
      <c r="G1869" s="13" t="n"/>
      <c r="H1869" s="12" t="n"/>
      <c r="I1869" s="12" t="n"/>
      <c r="J1869" s="12" t="n"/>
      <c r="K1869" s="12" t="n"/>
      <c r="L1869" s="11" t="n"/>
      <c r="M1869" s="11" t="n"/>
      <c r="N1869" s="11" t="n"/>
      <c r="O1869" s="11" t="n"/>
      <c r="P1869" s="12" t="n"/>
      <c r="Q1869" s="11" t="n"/>
      <c r="R1869" s="12" t="n"/>
      <c r="S1869" s="11" t="n"/>
      <c r="T1869" s="12" t="n"/>
      <c r="U1869" s="12" t="n"/>
      <c r="V1869" s="14">
        <f>IF($AN1869="",IF($B1869="","",$H1869),IF(INDEX(職員マスタ!$B$6:$B$405,$AN1869)="",$H1869,INDEX(職員マスタ!$B$6:$B$405,$AN1869)))</f>
        <v/>
      </c>
      <c r="W1869" s="14">
        <f>IF($AN1869="",IF($B1869="","",$R1869),IF(INDEX(職員マスタ!$C$6:$C$405,$AN1869)="",$R1869,INDEX(職員マスタ!$C$6:$C$405,$AN1869)))</f>
        <v/>
      </c>
      <c r="X1869" s="14">
        <f>IF($AO1869="","","R"&amp;$C1869&amp;"."&amp;$D1869)</f>
        <v/>
      </c>
      <c r="Y1869" s="15">
        <f>IF($AN1869="","",IF(INDEX(職員マスタ!$K$6:$K$405,$AN1869)="","",INDEX(職員マスタ!$K$6:$K$405,$AN1869)))</f>
        <v/>
      </c>
      <c r="Z1869" s="14">
        <f>IF(OR($E1869="",$Y1869=""),"",IF($E1869&gt;=$Y1869,"×",IF($E1869&gt;=$Y1869*設定!$C$5,"△","○")))</f>
        <v/>
      </c>
      <c r="AA1869" s="15">
        <f>IF($Z1869="","",IF($Z1869="×",0,IF($Z1869="○",ROUNDDOWN($E1869*設定!$C$4,0),ROUNDDOWN($E1869*ROUND((9*$Y1869-9*$E1869)/(10*$E1869),4),0))))</f>
        <v/>
      </c>
      <c r="AB1869" s="13" t="n"/>
      <c r="AC1869" s="15">
        <f>IF($B1869="","",IF($AB1869&lt;&gt;"",$AB1869,IF($AA1869="","",IF($AA1869&lt;=設定!$C$3,0,$AA1869))))</f>
        <v/>
      </c>
      <c r="AD1869" s="14">
        <f>IF($B1869="","",IF(AND($AE1869&lt;&gt;"",$AG1869="",$AJ1869=""),"保留中",IF($AJ1869&lt;&gt;"",IF(N($AC1869)&gt;0,"支給済","不支給"),IF($AC1869="","要確認",IF($AC1869=0,"不支給","未処理")))))</f>
        <v/>
      </c>
      <c r="AE1869" s="12" t="n"/>
      <c r="AF1869" s="11" t="n"/>
      <c r="AG1869" s="11" t="n"/>
      <c r="AH1869" s="11" t="n"/>
      <c r="AI1869" s="14">
        <f>IF(AND($AD1869="保留中",$AF1869&lt;&gt;""),TODAY()-$AF1869,"")</f>
        <v/>
      </c>
      <c r="AJ1869" s="12" t="n"/>
      <c r="AK1869" s="14">
        <f>IF($B1869="","",IF($AO1869="","対象年月が未入力／","")&amp;IF($B1869="","",IF($AN1869="","職員マスタに未登録の職員番号／",IF($Y1869="","標準報酬月額が未登録／","")&amp;IF(AND($AO1869&lt;&gt;"",OR(AND(INDEX(職員マスタ!$G$6:$G$405,$AN1869)&lt;&gt;"",INDEX(職員マスタ!$G$6:$G$405,$AN1869)&gt;EOMONTH($AO1869,0)),AND(INDEX(職員マスタ!$H$6:$H$405,$AN1869)&lt;&gt;"",INDEX(職員マスタ!$H$6:$H$405,$AN1869)&lt;$AO1869))),"対象月が時短期間外／","")&amp;IF(AND(INDEX(職員マスタ!$F$6:$F$405,$AN1869)&lt;&gt;"",$AO1869&lt;&gt;"",INDEX(職員マスタ!$F$6:$F$405,$AN1869)&lt;$AO1869),"対象月に子が2歳到達済／","")&amp;IF(AND($H1869&lt;&gt;"",INDEX(職員マスタ!$B$6:$B$405,$AN1869)&lt;&gt;"",SUBSTITUTE(SUBSTITUTE($H1869," ","")," ","")&lt;&gt;SUBSTITUTE(SUBSTITUTE(INDEX(職員マスタ!$B$6:$B$405,$AN1869)," ","")," ","")),"氏名がマスタと相違／","")&amp;IF(AND($Q1869&lt;&gt;"",INDEX(職員マスタ!$E$6:$E$405,$AN1869)&lt;&gt;"",$Q1869&lt;&gt;INDEX(職員マスタ!$E$6:$E$405,$AN1869)),"子の生年月日がマスタと相違／","")&amp;IF(AND($L1869&lt;&gt;"",INDEX(職員マスタ!$G$6:$G$405,$AN1869)&lt;&gt;"",$L1869&lt;&gt;INDEX(職員マスタ!$G$6:$G$405,$AN1869)),"時短開始日がマスタと相違／","")&amp;IF(AND($M1869&lt;&gt;"",INDEX(職員マスタ!$H$6:$H$405,$AN1869)&lt;&gt;"",$M1869&lt;&gt;INDEX(職員マスタ!$H$6:$H$405,$AN1869)),"時短終了日がマスタと相違／","")))&amp;IF(AND($B1869&lt;&gt;"",$E1869=""),"報酬額が未入力／","")&amp;IF(N($U1869)&gt;0,"申請書に入力エラーが残っています／","")&amp;IF(AND($B1869&lt;&gt;"",$AO1869&lt;&gt;""),IF(COUNTIFS($B$6:$B$3005,$B1869,$C$6:$C$3005,$C1869,$D$6:$D$3005,$D1869)&gt;1,"同じ月の請求が重複しています／",""),"")&amp;IF(AND(N($E1869)&gt;0,$Z1869&lt;&gt;"",$Z1869&lt;&gt;"×",$AC1869=0,$AB1869=""),"計算額が下限以下のため不支給／",""))</f>
        <v/>
      </c>
      <c r="AL1869" s="12" t="n"/>
      <c r="AM1869" s="14">
        <f>IF($AD1869="保留中",COUNTIF($AD$6:$AD1869,"保留中"),"")</f>
        <v/>
      </c>
      <c r="AN1869" s="14">
        <f>IF($AO1869="","",IF(SUMPRODUCT(MAX((職員マスタ!$A$6:$A$405=$B1869)*(((職員マスタ!$G$6:$G$405="")+(職員マスタ!$G$6:$G$405&lt;=EOMONTH($AO1869,0)))&gt;0)*(((職員マスタ!$H$6:$H$405="")+(職員マスタ!$H$6:$H$405&gt;=$AO1869))&gt;0)*(ROW(職員マスタ!$A$6:$A$405)-5)))&gt;0,SUMPRODUCT(MAX((職員マスタ!$A$6:$A$405=$B1869)*(((職員マスタ!$G$6:$G$405="")+(職員マスタ!$G$6:$G$405&lt;=EOMONTH($AO1869,0)))&gt;0)*(((職員マスタ!$H$6:$H$405="")+(職員マスタ!$H$6:$H$405&gt;=$AO1869))&gt;0)*(ROW(職員マスタ!$A$6:$A$405)-5))),IFERROR(MATCH($B1869,職員マスタ!$A$6:$A$405,0),"")))</f>
        <v/>
      </c>
      <c r="AO1869" s="16">
        <f>IF(OR($B1869="",$C1869="",$D1869=""),"",DATE($C1869+2018,$D1869,1))</f>
        <v/>
      </c>
    </row>
    <row r="1870">
      <c r="A1870" s="11" t="n"/>
      <c r="B1870" s="12" t="n"/>
      <c r="C1870" s="12" t="n"/>
      <c r="D1870" s="12" t="n"/>
      <c r="E1870" s="13" t="n"/>
      <c r="F1870" s="12" t="n"/>
      <c r="G1870" s="13" t="n"/>
      <c r="H1870" s="12" t="n"/>
      <c r="I1870" s="12" t="n"/>
      <c r="J1870" s="12" t="n"/>
      <c r="K1870" s="12" t="n"/>
      <c r="L1870" s="11" t="n"/>
      <c r="M1870" s="11" t="n"/>
      <c r="N1870" s="11" t="n"/>
      <c r="O1870" s="11" t="n"/>
      <c r="P1870" s="12" t="n"/>
      <c r="Q1870" s="11" t="n"/>
      <c r="R1870" s="12" t="n"/>
      <c r="S1870" s="11" t="n"/>
      <c r="T1870" s="12" t="n"/>
      <c r="U1870" s="12" t="n"/>
      <c r="V1870" s="14">
        <f>IF($AN1870="",IF($B1870="","",$H1870),IF(INDEX(職員マスタ!$B$6:$B$405,$AN1870)="",$H1870,INDEX(職員マスタ!$B$6:$B$405,$AN1870)))</f>
        <v/>
      </c>
      <c r="W1870" s="14">
        <f>IF($AN1870="",IF($B1870="","",$R1870),IF(INDEX(職員マスタ!$C$6:$C$405,$AN1870)="",$R1870,INDEX(職員マスタ!$C$6:$C$405,$AN1870)))</f>
        <v/>
      </c>
      <c r="X1870" s="14">
        <f>IF($AO1870="","","R"&amp;$C1870&amp;"."&amp;$D1870)</f>
        <v/>
      </c>
      <c r="Y1870" s="15">
        <f>IF($AN1870="","",IF(INDEX(職員マスタ!$K$6:$K$405,$AN1870)="","",INDEX(職員マスタ!$K$6:$K$405,$AN1870)))</f>
        <v/>
      </c>
      <c r="Z1870" s="14">
        <f>IF(OR($E1870="",$Y1870=""),"",IF($E1870&gt;=$Y1870,"×",IF($E1870&gt;=$Y1870*設定!$C$5,"△","○")))</f>
        <v/>
      </c>
      <c r="AA1870" s="15">
        <f>IF($Z1870="","",IF($Z1870="×",0,IF($Z1870="○",ROUNDDOWN($E1870*設定!$C$4,0),ROUNDDOWN($E1870*ROUND((9*$Y1870-9*$E1870)/(10*$E1870),4),0))))</f>
        <v/>
      </c>
      <c r="AB1870" s="13" t="n"/>
      <c r="AC1870" s="15">
        <f>IF($B1870="","",IF($AB1870&lt;&gt;"",$AB1870,IF($AA1870="","",IF($AA1870&lt;=設定!$C$3,0,$AA1870))))</f>
        <v/>
      </c>
      <c r="AD1870" s="14">
        <f>IF($B1870="","",IF(AND($AE1870&lt;&gt;"",$AG1870="",$AJ1870=""),"保留中",IF($AJ1870&lt;&gt;"",IF(N($AC1870)&gt;0,"支給済","不支給"),IF($AC1870="","要確認",IF($AC1870=0,"不支給","未処理")))))</f>
        <v/>
      </c>
      <c r="AE1870" s="12" t="n"/>
      <c r="AF1870" s="11" t="n"/>
      <c r="AG1870" s="11" t="n"/>
      <c r="AH1870" s="11" t="n"/>
      <c r="AI1870" s="14">
        <f>IF(AND($AD1870="保留中",$AF1870&lt;&gt;""),TODAY()-$AF1870,"")</f>
        <v/>
      </c>
      <c r="AJ1870" s="12" t="n"/>
      <c r="AK1870" s="14">
        <f>IF($B1870="","",IF($AO1870="","対象年月が未入力／","")&amp;IF($B1870="","",IF($AN1870="","職員マスタに未登録の職員番号／",IF($Y1870="","標準報酬月額が未登録／","")&amp;IF(AND($AO1870&lt;&gt;"",OR(AND(INDEX(職員マスタ!$G$6:$G$405,$AN1870)&lt;&gt;"",INDEX(職員マスタ!$G$6:$G$405,$AN1870)&gt;EOMONTH($AO1870,0)),AND(INDEX(職員マスタ!$H$6:$H$405,$AN1870)&lt;&gt;"",INDEX(職員マスタ!$H$6:$H$405,$AN1870)&lt;$AO1870))),"対象月が時短期間外／","")&amp;IF(AND(INDEX(職員マスタ!$F$6:$F$405,$AN1870)&lt;&gt;"",$AO1870&lt;&gt;"",INDEX(職員マスタ!$F$6:$F$405,$AN1870)&lt;$AO1870),"対象月に子が2歳到達済／","")&amp;IF(AND($H1870&lt;&gt;"",INDEX(職員マスタ!$B$6:$B$405,$AN1870)&lt;&gt;"",SUBSTITUTE(SUBSTITUTE($H1870," ","")," ","")&lt;&gt;SUBSTITUTE(SUBSTITUTE(INDEX(職員マスタ!$B$6:$B$405,$AN1870)," ","")," ","")),"氏名がマスタと相違／","")&amp;IF(AND($Q1870&lt;&gt;"",INDEX(職員マスタ!$E$6:$E$405,$AN1870)&lt;&gt;"",$Q1870&lt;&gt;INDEX(職員マスタ!$E$6:$E$405,$AN1870)),"子の生年月日がマスタと相違／","")&amp;IF(AND($L1870&lt;&gt;"",INDEX(職員マスタ!$G$6:$G$405,$AN1870)&lt;&gt;"",$L1870&lt;&gt;INDEX(職員マスタ!$G$6:$G$405,$AN1870)),"時短開始日がマスタと相違／","")&amp;IF(AND($M1870&lt;&gt;"",INDEX(職員マスタ!$H$6:$H$405,$AN1870)&lt;&gt;"",$M1870&lt;&gt;INDEX(職員マスタ!$H$6:$H$405,$AN1870)),"時短終了日がマスタと相違／","")))&amp;IF(AND($B1870&lt;&gt;"",$E1870=""),"報酬額が未入力／","")&amp;IF(N($U1870)&gt;0,"申請書に入力エラーが残っています／","")&amp;IF(AND($B1870&lt;&gt;"",$AO1870&lt;&gt;""),IF(COUNTIFS($B$6:$B$3005,$B1870,$C$6:$C$3005,$C1870,$D$6:$D$3005,$D1870)&gt;1,"同じ月の請求が重複しています／",""),"")&amp;IF(AND(N($E1870)&gt;0,$Z1870&lt;&gt;"",$Z1870&lt;&gt;"×",$AC1870=0,$AB1870=""),"計算額が下限以下のため不支給／",""))</f>
        <v/>
      </c>
      <c r="AL1870" s="12" t="n"/>
      <c r="AM1870" s="14">
        <f>IF($AD1870="保留中",COUNTIF($AD$6:$AD1870,"保留中"),"")</f>
        <v/>
      </c>
      <c r="AN1870" s="14">
        <f>IF($AO1870="","",IF(SUMPRODUCT(MAX((職員マスタ!$A$6:$A$405=$B1870)*(((職員マスタ!$G$6:$G$405="")+(職員マスタ!$G$6:$G$405&lt;=EOMONTH($AO1870,0)))&gt;0)*(((職員マスタ!$H$6:$H$405="")+(職員マスタ!$H$6:$H$405&gt;=$AO1870))&gt;0)*(ROW(職員マスタ!$A$6:$A$405)-5)))&gt;0,SUMPRODUCT(MAX((職員マスタ!$A$6:$A$405=$B1870)*(((職員マスタ!$G$6:$G$405="")+(職員マスタ!$G$6:$G$405&lt;=EOMONTH($AO1870,0)))&gt;0)*(((職員マスタ!$H$6:$H$405="")+(職員マスタ!$H$6:$H$405&gt;=$AO1870))&gt;0)*(ROW(職員マスタ!$A$6:$A$405)-5))),IFERROR(MATCH($B1870,職員マスタ!$A$6:$A$405,0),"")))</f>
        <v/>
      </c>
      <c r="AO1870" s="16">
        <f>IF(OR($B1870="",$C1870="",$D1870=""),"",DATE($C1870+2018,$D1870,1))</f>
        <v/>
      </c>
    </row>
    <row r="1871">
      <c r="A1871" s="11" t="n"/>
      <c r="B1871" s="12" t="n"/>
      <c r="C1871" s="12" t="n"/>
      <c r="D1871" s="12" t="n"/>
      <c r="E1871" s="13" t="n"/>
      <c r="F1871" s="12" t="n"/>
      <c r="G1871" s="13" t="n"/>
      <c r="H1871" s="12" t="n"/>
      <c r="I1871" s="12" t="n"/>
      <c r="J1871" s="12" t="n"/>
      <c r="K1871" s="12" t="n"/>
      <c r="L1871" s="11" t="n"/>
      <c r="M1871" s="11" t="n"/>
      <c r="N1871" s="11" t="n"/>
      <c r="O1871" s="11" t="n"/>
      <c r="P1871" s="12" t="n"/>
      <c r="Q1871" s="11" t="n"/>
      <c r="R1871" s="12" t="n"/>
      <c r="S1871" s="11" t="n"/>
      <c r="T1871" s="12" t="n"/>
      <c r="U1871" s="12" t="n"/>
      <c r="V1871" s="14">
        <f>IF($AN1871="",IF($B1871="","",$H1871),IF(INDEX(職員マスタ!$B$6:$B$405,$AN1871)="",$H1871,INDEX(職員マスタ!$B$6:$B$405,$AN1871)))</f>
        <v/>
      </c>
      <c r="W1871" s="14">
        <f>IF($AN1871="",IF($B1871="","",$R1871),IF(INDEX(職員マスタ!$C$6:$C$405,$AN1871)="",$R1871,INDEX(職員マスタ!$C$6:$C$405,$AN1871)))</f>
        <v/>
      </c>
      <c r="X1871" s="14">
        <f>IF($AO1871="","","R"&amp;$C1871&amp;"."&amp;$D1871)</f>
        <v/>
      </c>
      <c r="Y1871" s="15">
        <f>IF($AN1871="","",IF(INDEX(職員マスタ!$K$6:$K$405,$AN1871)="","",INDEX(職員マスタ!$K$6:$K$405,$AN1871)))</f>
        <v/>
      </c>
      <c r="Z1871" s="14">
        <f>IF(OR($E1871="",$Y1871=""),"",IF($E1871&gt;=$Y1871,"×",IF($E1871&gt;=$Y1871*設定!$C$5,"△","○")))</f>
        <v/>
      </c>
      <c r="AA1871" s="15">
        <f>IF($Z1871="","",IF($Z1871="×",0,IF($Z1871="○",ROUNDDOWN($E1871*設定!$C$4,0),ROUNDDOWN($E1871*ROUND((9*$Y1871-9*$E1871)/(10*$E1871),4),0))))</f>
        <v/>
      </c>
      <c r="AB1871" s="13" t="n"/>
      <c r="AC1871" s="15">
        <f>IF($B1871="","",IF($AB1871&lt;&gt;"",$AB1871,IF($AA1871="","",IF($AA1871&lt;=設定!$C$3,0,$AA1871))))</f>
        <v/>
      </c>
      <c r="AD1871" s="14">
        <f>IF($B1871="","",IF(AND($AE1871&lt;&gt;"",$AG1871="",$AJ1871=""),"保留中",IF($AJ1871&lt;&gt;"",IF(N($AC1871)&gt;0,"支給済","不支給"),IF($AC1871="","要確認",IF($AC1871=0,"不支給","未処理")))))</f>
        <v/>
      </c>
      <c r="AE1871" s="12" t="n"/>
      <c r="AF1871" s="11" t="n"/>
      <c r="AG1871" s="11" t="n"/>
      <c r="AH1871" s="11" t="n"/>
      <c r="AI1871" s="14">
        <f>IF(AND($AD1871="保留中",$AF1871&lt;&gt;""),TODAY()-$AF1871,"")</f>
        <v/>
      </c>
      <c r="AJ1871" s="12" t="n"/>
      <c r="AK1871" s="14">
        <f>IF($B1871="","",IF($AO1871="","対象年月が未入力／","")&amp;IF($B1871="","",IF($AN1871="","職員マスタに未登録の職員番号／",IF($Y1871="","標準報酬月額が未登録／","")&amp;IF(AND($AO1871&lt;&gt;"",OR(AND(INDEX(職員マスタ!$G$6:$G$405,$AN1871)&lt;&gt;"",INDEX(職員マスタ!$G$6:$G$405,$AN1871)&gt;EOMONTH($AO1871,0)),AND(INDEX(職員マスタ!$H$6:$H$405,$AN1871)&lt;&gt;"",INDEX(職員マスタ!$H$6:$H$405,$AN1871)&lt;$AO1871))),"対象月が時短期間外／","")&amp;IF(AND(INDEX(職員マスタ!$F$6:$F$405,$AN1871)&lt;&gt;"",$AO1871&lt;&gt;"",INDEX(職員マスタ!$F$6:$F$405,$AN1871)&lt;$AO1871),"対象月に子が2歳到達済／","")&amp;IF(AND($H1871&lt;&gt;"",INDEX(職員マスタ!$B$6:$B$405,$AN1871)&lt;&gt;"",SUBSTITUTE(SUBSTITUTE($H1871," ","")," ","")&lt;&gt;SUBSTITUTE(SUBSTITUTE(INDEX(職員マスタ!$B$6:$B$405,$AN1871)," ","")," ","")),"氏名がマスタと相違／","")&amp;IF(AND($Q1871&lt;&gt;"",INDEX(職員マスタ!$E$6:$E$405,$AN1871)&lt;&gt;"",$Q1871&lt;&gt;INDEX(職員マスタ!$E$6:$E$405,$AN1871)),"子の生年月日がマスタと相違／","")&amp;IF(AND($L1871&lt;&gt;"",INDEX(職員マスタ!$G$6:$G$405,$AN1871)&lt;&gt;"",$L1871&lt;&gt;INDEX(職員マスタ!$G$6:$G$405,$AN1871)),"時短開始日がマスタと相違／","")&amp;IF(AND($M1871&lt;&gt;"",INDEX(職員マスタ!$H$6:$H$405,$AN1871)&lt;&gt;"",$M1871&lt;&gt;INDEX(職員マスタ!$H$6:$H$405,$AN1871)),"時短終了日がマスタと相違／","")))&amp;IF(AND($B1871&lt;&gt;"",$E1871=""),"報酬額が未入力／","")&amp;IF(N($U1871)&gt;0,"申請書に入力エラーが残っています／","")&amp;IF(AND($B1871&lt;&gt;"",$AO1871&lt;&gt;""),IF(COUNTIFS($B$6:$B$3005,$B1871,$C$6:$C$3005,$C1871,$D$6:$D$3005,$D1871)&gt;1,"同じ月の請求が重複しています／",""),"")&amp;IF(AND(N($E1871)&gt;0,$Z1871&lt;&gt;"",$Z1871&lt;&gt;"×",$AC1871=0,$AB1871=""),"計算額が下限以下のため不支給／",""))</f>
        <v/>
      </c>
      <c r="AL1871" s="12" t="n"/>
      <c r="AM1871" s="14">
        <f>IF($AD1871="保留中",COUNTIF($AD$6:$AD1871,"保留中"),"")</f>
        <v/>
      </c>
      <c r="AN1871" s="14">
        <f>IF($AO1871="","",IF(SUMPRODUCT(MAX((職員マスタ!$A$6:$A$405=$B1871)*(((職員マスタ!$G$6:$G$405="")+(職員マスタ!$G$6:$G$405&lt;=EOMONTH($AO1871,0)))&gt;0)*(((職員マスタ!$H$6:$H$405="")+(職員マスタ!$H$6:$H$405&gt;=$AO1871))&gt;0)*(ROW(職員マスタ!$A$6:$A$405)-5)))&gt;0,SUMPRODUCT(MAX((職員マスタ!$A$6:$A$405=$B1871)*(((職員マスタ!$G$6:$G$405="")+(職員マスタ!$G$6:$G$405&lt;=EOMONTH($AO1871,0)))&gt;0)*(((職員マスタ!$H$6:$H$405="")+(職員マスタ!$H$6:$H$405&gt;=$AO1871))&gt;0)*(ROW(職員マスタ!$A$6:$A$405)-5))),IFERROR(MATCH($B1871,職員マスタ!$A$6:$A$405,0),"")))</f>
        <v/>
      </c>
      <c r="AO1871" s="16">
        <f>IF(OR($B1871="",$C1871="",$D1871=""),"",DATE($C1871+2018,$D1871,1))</f>
        <v/>
      </c>
    </row>
    <row r="1872">
      <c r="A1872" s="11" t="n"/>
      <c r="B1872" s="12" t="n"/>
      <c r="C1872" s="12" t="n"/>
      <c r="D1872" s="12" t="n"/>
      <c r="E1872" s="13" t="n"/>
      <c r="F1872" s="12" t="n"/>
      <c r="G1872" s="13" t="n"/>
      <c r="H1872" s="12" t="n"/>
      <c r="I1872" s="12" t="n"/>
      <c r="J1872" s="12" t="n"/>
      <c r="K1872" s="12" t="n"/>
      <c r="L1872" s="11" t="n"/>
      <c r="M1872" s="11" t="n"/>
      <c r="N1872" s="11" t="n"/>
      <c r="O1872" s="11" t="n"/>
      <c r="P1872" s="12" t="n"/>
      <c r="Q1872" s="11" t="n"/>
      <c r="R1872" s="12" t="n"/>
      <c r="S1872" s="11" t="n"/>
      <c r="T1872" s="12" t="n"/>
      <c r="U1872" s="12" t="n"/>
      <c r="V1872" s="14">
        <f>IF($AN1872="",IF($B1872="","",$H1872),IF(INDEX(職員マスタ!$B$6:$B$405,$AN1872)="",$H1872,INDEX(職員マスタ!$B$6:$B$405,$AN1872)))</f>
        <v/>
      </c>
      <c r="W1872" s="14">
        <f>IF($AN1872="",IF($B1872="","",$R1872),IF(INDEX(職員マスタ!$C$6:$C$405,$AN1872)="",$R1872,INDEX(職員マスタ!$C$6:$C$405,$AN1872)))</f>
        <v/>
      </c>
      <c r="X1872" s="14">
        <f>IF($AO1872="","","R"&amp;$C1872&amp;"."&amp;$D1872)</f>
        <v/>
      </c>
      <c r="Y1872" s="15">
        <f>IF($AN1872="","",IF(INDEX(職員マスタ!$K$6:$K$405,$AN1872)="","",INDEX(職員マスタ!$K$6:$K$405,$AN1872)))</f>
        <v/>
      </c>
      <c r="Z1872" s="14">
        <f>IF(OR($E1872="",$Y1872=""),"",IF($E1872&gt;=$Y1872,"×",IF($E1872&gt;=$Y1872*設定!$C$5,"△","○")))</f>
        <v/>
      </c>
      <c r="AA1872" s="15">
        <f>IF($Z1872="","",IF($Z1872="×",0,IF($Z1872="○",ROUNDDOWN($E1872*設定!$C$4,0),ROUNDDOWN($E1872*ROUND((9*$Y1872-9*$E1872)/(10*$E1872),4),0))))</f>
        <v/>
      </c>
      <c r="AB1872" s="13" t="n"/>
      <c r="AC1872" s="15">
        <f>IF($B1872="","",IF($AB1872&lt;&gt;"",$AB1872,IF($AA1872="","",IF($AA1872&lt;=設定!$C$3,0,$AA1872))))</f>
        <v/>
      </c>
      <c r="AD1872" s="14">
        <f>IF($B1872="","",IF(AND($AE1872&lt;&gt;"",$AG1872="",$AJ1872=""),"保留中",IF($AJ1872&lt;&gt;"",IF(N($AC1872)&gt;0,"支給済","不支給"),IF($AC1872="","要確認",IF($AC1872=0,"不支給","未処理")))))</f>
        <v/>
      </c>
      <c r="AE1872" s="12" t="n"/>
      <c r="AF1872" s="11" t="n"/>
      <c r="AG1872" s="11" t="n"/>
      <c r="AH1872" s="11" t="n"/>
      <c r="AI1872" s="14">
        <f>IF(AND($AD1872="保留中",$AF1872&lt;&gt;""),TODAY()-$AF1872,"")</f>
        <v/>
      </c>
      <c r="AJ1872" s="12" t="n"/>
      <c r="AK1872" s="14">
        <f>IF($B1872="","",IF($AO1872="","対象年月が未入力／","")&amp;IF($B1872="","",IF($AN1872="","職員マスタに未登録の職員番号／",IF($Y1872="","標準報酬月額が未登録／","")&amp;IF(AND($AO1872&lt;&gt;"",OR(AND(INDEX(職員マスタ!$G$6:$G$405,$AN1872)&lt;&gt;"",INDEX(職員マスタ!$G$6:$G$405,$AN1872)&gt;EOMONTH($AO1872,0)),AND(INDEX(職員マスタ!$H$6:$H$405,$AN1872)&lt;&gt;"",INDEX(職員マスタ!$H$6:$H$405,$AN1872)&lt;$AO1872))),"対象月が時短期間外／","")&amp;IF(AND(INDEX(職員マスタ!$F$6:$F$405,$AN1872)&lt;&gt;"",$AO1872&lt;&gt;"",INDEX(職員マスタ!$F$6:$F$405,$AN1872)&lt;$AO1872),"対象月に子が2歳到達済／","")&amp;IF(AND($H1872&lt;&gt;"",INDEX(職員マスタ!$B$6:$B$405,$AN1872)&lt;&gt;"",SUBSTITUTE(SUBSTITUTE($H1872," ","")," ","")&lt;&gt;SUBSTITUTE(SUBSTITUTE(INDEX(職員マスタ!$B$6:$B$405,$AN1872)," ","")," ","")),"氏名がマスタと相違／","")&amp;IF(AND($Q1872&lt;&gt;"",INDEX(職員マスタ!$E$6:$E$405,$AN1872)&lt;&gt;"",$Q1872&lt;&gt;INDEX(職員マスタ!$E$6:$E$405,$AN1872)),"子の生年月日がマスタと相違／","")&amp;IF(AND($L1872&lt;&gt;"",INDEX(職員マスタ!$G$6:$G$405,$AN1872)&lt;&gt;"",$L1872&lt;&gt;INDEX(職員マスタ!$G$6:$G$405,$AN1872)),"時短開始日がマスタと相違／","")&amp;IF(AND($M1872&lt;&gt;"",INDEX(職員マスタ!$H$6:$H$405,$AN1872)&lt;&gt;"",$M1872&lt;&gt;INDEX(職員マスタ!$H$6:$H$405,$AN1872)),"時短終了日がマスタと相違／","")))&amp;IF(AND($B1872&lt;&gt;"",$E1872=""),"報酬額が未入力／","")&amp;IF(N($U1872)&gt;0,"申請書に入力エラーが残っています／","")&amp;IF(AND($B1872&lt;&gt;"",$AO1872&lt;&gt;""),IF(COUNTIFS($B$6:$B$3005,$B1872,$C$6:$C$3005,$C1872,$D$6:$D$3005,$D1872)&gt;1,"同じ月の請求が重複しています／",""),"")&amp;IF(AND(N($E1872)&gt;0,$Z1872&lt;&gt;"",$Z1872&lt;&gt;"×",$AC1872=0,$AB1872=""),"計算額が下限以下のため不支給／",""))</f>
        <v/>
      </c>
      <c r="AL1872" s="12" t="n"/>
      <c r="AM1872" s="14">
        <f>IF($AD1872="保留中",COUNTIF($AD$6:$AD1872,"保留中"),"")</f>
        <v/>
      </c>
      <c r="AN1872" s="14">
        <f>IF($AO1872="","",IF(SUMPRODUCT(MAX((職員マスタ!$A$6:$A$405=$B1872)*(((職員マスタ!$G$6:$G$405="")+(職員マスタ!$G$6:$G$405&lt;=EOMONTH($AO1872,0)))&gt;0)*(((職員マスタ!$H$6:$H$405="")+(職員マスタ!$H$6:$H$405&gt;=$AO1872))&gt;0)*(ROW(職員マスタ!$A$6:$A$405)-5)))&gt;0,SUMPRODUCT(MAX((職員マスタ!$A$6:$A$405=$B1872)*(((職員マスタ!$G$6:$G$405="")+(職員マスタ!$G$6:$G$405&lt;=EOMONTH($AO1872,0)))&gt;0)*(((職員マスタ!$H$6:$H$405="")+(職員マスタ!$H$6:$H$405&gt;=$AO1872))&gt;0)*(ROW(職員マスタ!$A$6:$A$405)-5))),IFERROR(MATCH($B1872,職員マスタ!$A$6:$A$405,0),"")))</f>
        <v/>
      </c>
      <c r="AO1872" s="16">
        <f>IF(OR($B1872="",$C1872="",$D1872=""),"",DATE($C1872+2018,$D1872,1))</f>
        <v/>
      </c>
    </row>
    <row r="1873">
      <c r="A1873" s="11" t="n"/>
      <c r="B1873" s="12" t="n"/>
      <c r="C1873" s="12" t="n"/>
      <c r="D1873" s="12" t="n"/>
      <c r="E1873" s="13" t="n"/>
      <c r="F1873" s="12" t="n"/>
      <c r="G1873" s="13" t="n"/>
      <c r="H1873" s="12" t="n"/>
      <c r="I1873" s="12" t="n"/>
      <c r="J1873" s="12" t="n"/>
      <c r="K1873" s="12" t="n"/>
      <c r="L1873" s="11" t="n"/>
      <c r="M1873" s="11" t="n"/>
      <c r="N1873" s="11" t="n"/>
      <c r="O1873" s="11" t="n"/>
      <c r="P1873" s="12" t="n"/>
      <c r="Q1873" s="11" t="n"/>
      <c r="R1873" s="12" t="n"/>
      <c r="S1873" s="11" t="n"/>
      <c r="T1873" s="12" t="n"/>
      <c r="U1873" s="12" t="n"/>
      <c r="V1873" s="14">
        <f>IF($AN1873="",IF($B1873="","",$H1873),IF(INDEX(職員マスタ!$B$6:$B$405,$AN1873)="",$H1873,INDEX(職員マスタ!$B$6:$B$405,$AN1873)))</f>
        <v/>
      </c>
      <c r="W1873" s="14">
        <f>IF($AN1873="",IF($B1873="","",$R1873),IF(INDEX(職員マスタ!$C$6:$C$405,$AN1873)="",$R1873,INDEX(職員マスタ!$C$6:$C$405,$AN1873)))</f>
        <v/>
      </c>
      <c r="X1873" s="14">
        <f>IF($AO1873="","","R"&amp;$C1873&amp;"."&amp;$D1873)</f>
        <v/>
      </c>
      <c r="Y1873" s="15">
        <f>IF($AN1873="","",IF(INDEX(職員マスタ!$K$6:$K$405,$AN1873)="","",INDEX(職員マスタ!$K$6:$K$405,$AN1873)))</f>
        <v/>
      </c>
      <c r="Z1873" s="14">
        <f>IF(OR($E1873="",$Y1873=""),"",IF($E1873&gt;=$Y1873,"×",IF($E1873&gt;=$Y1873*設定!$C$5,"△","○")))</f>
        <v/>
      </c>
      <c r="AA1873" s="15">
        <f>IF($Z1873="","",IF($Z1873="×",0,IF($Z1873="○",ROUNDDOWN($E1873*設定!$C$4,0),ROUNDDOWN($E1873*ROUND((9*$Y1873-9*$E1873)/(10*$E1873),4),0))))</f>
        <v/>
      </c>
      <c r="AB1873" s="13" t="n"/>
      <c r="AC1873" s="15">
        <f>IF($B1873="","",IF($AB1873&lt;&gt;"",$AB1873,IF($AA1873="","",IF($AA1873&lt;=設定!$C$3,0,$AA1873))))</f>
        <v/>
      </c>
      <c r="AD1873" s="14">
        <f>IF($B1873="","",IF(AND($AE1873&lt;&gt;"",$AG1873="",$AJ1873=""),"保留中",IF($AJ1873&lt;&gt;"",IF(N($AC1873)&gt;0,"支給済","不支給"),IF($AC1873="","要確認",IF($AC1873=0,"不支給","未処理")))))</f>
        <v/>
      </c>
      <c r="AE1873" s="12" t="n"/>
      <c r="AF1873" s="11" t="n"/>
      <c r="AG1873" s="11" t="n"/>
      <c r="AH1873" s="11" t="n"/>
      <c r="AI1873" s="14">
        <f>IF(AND($AD1873="保留中",$AF1873&lt;&gt;""),TODAY()-$AF1873,"")</f>
        <v/>
      </c>
      <c r="AJ1873" s="12" t="n"/>
      <c r="AK1873" s="14">
        <f>IF($B1873="","",IF($AO1873="","対象年月が未入力／","")&amp;IF($B1873="","",IF($AN1873="","職員マスタに未登録の職員番号／",IF($Y1873="","標準報酬月額が未登録／","")&amp;IF(AND($AO1873&lt;&gt;"",OR(AND(INDEX(職員マスタ!$G$6:$G$405,$AN1873)&lt;&gt;"",INDEX(職員マスタ!$G$6:$G$405,$AN1873)&gt;EOMONTH($AO1873,0)),AND(INDEX(職員マスタ!$H$6:$H$405,$AN1873)&lt;&gt;"",INDEX(職員マスタ!$H$6:$H$405,$AN1873)&lt;$AO1873))),"対象月が時短期間外／","")&amp;IF(AND(INDEX(職員マスタ!$F$6:$F$405,$AN1873)&lt;&gt;"",$AO1873&lt;&gt;"",INDEX(職員マスタ!$F$6:$F$405,$AN1873)&lt;$AO1873),"対象月に子が2歳到達済／","")&amp;IF(AND($H1873&lt;&gt;"",INDEX(職員マスタ!$B$6:$B$405,$AN1873)&lt;&gt;"",SUBSTITUTE(SUBSTITUTE($H1873," ","")," ","")&lt;&gt;SUBSTITUTE(SUBSTITUTE(INDEX(職員マスタ!$B$6:$B$405,$AN1873)," ","")," ","")),"氏名がマスタと相違／","")&amp;IF(AND($Q1873&lt;&gt;"",INDEX(職員マスタ!$E$6:$E$405,$AN1873)&lt;&gt;"",$Q1873&lt;&gt;INDEX(職員マスタ!$E$6:$E$405,$AN1873)),"子の生年月日がマスタと相違／","")&amp;IF(AND($L1873&lt;&gt;"",INDEX(職員マスタ!$G$6:$G$405,$AN1873)&lt;&gt;"",$L1873&lt;&gt;INDEX(職員マスタ!$G$6:$G$405,$AN1873)),"時短開始日がマスタと相違／","")&amp;IF(AND($M1873&lt;&gt;"",INDEX(職員マスタ!$H$6:$H$405,$AN1873)&lt;&gt;"",$M1873&lt;&gt;INDEX(職員マスタ!$H$6:$H$405,$AN1873)),"時短終了日がマスタと相違／","")))&amp;IF(AND($B1873&lt;&gt;"",$E1873=""),"報酬額が未入力／","")&amp;IF(N($U1873)&gt;0,"申請書に入力エラーが残っています／","")&amp;IF(AND($B1873&lt;&gt;"",$AO1873&lt;&gt;""),IF(COUNTIFS($B$6:$B$3005,$B1873,$C$6:$C$3005,$C1873,$D$6:$D$3005,$D1873)&gt;1,"同じ月の請求が重複しています／",""),"")&amp;IF(AND(N($E1873)&gt;0,$Z1873&lt;&gt;"",$Z1873&lt;&gt;"×",$AC1873=0,$AB1873=""),"計算額が下限以下のため不支給／",""))</f>
        <v/>
      </c>
      <c r="AL1873" s="12" t="n"/>
      <c r="AM1873" s="14">
        <f>IF($AD1873="保留中",COUNTIF($AD$6:$AD1873,"保留中"),"")</f>
        <v/>
      </c>
      <c r="AN1873" s="14">
        <f>IF($AO1873="","",IF(SUMPRODUCT(MAX((職員マスタ!$A$6:$A$405=$B1873)*(((職員マスタ!$G$6:$G$405="")+(職員マスタ!$G$6:$G$405&lt;=EOMONTH($AO1873,0)))&gt;0)*(((職員マスタ!$H$6:$H$405="")+(職員マスタ!$H$6:$H$405&gt;=$AO1873))&gt;0)*(ROW(職員マスタ!$A$6:$A$405)-5)))&gt;0,SUMPRODUCT(MAX((職員マスタ!$A$6:$A$405=$B1873)*(((職員マスタ!$G$6:$G$405="")+(職員マスタ!$G$6:$G$405&lt;=EOMONTH($AO1873,0)))&gt;0)*(((職員マスタ!$H$6:$H$405="")+(職員マスタ!$H$6:$H$405&gt;=$AO1873))&gt;0)*(ROW(職員マスタ!$A$6:$A$405)-5))),IFERROR(MATCH($B1873,職員マスタ!$A$6:$A$405,0),"")))</f>
        <v/>
      </c>
      <c r="AO1873" s="16">
        <f>IF(OR($B1873="",$C1873="",$D1873=""),"",DATE($C1873+2018,$D1873,1))</f>
        <v/>
      </c>
    </row>
    <row r="1874">
      <c r="A1874" s="11" t="n"/>
      <c r="B1874" s="12" t="n"/>
      <c r="C1874" s="12" t="n"/>
      <c r="D1874" s="12" t="n"/>
      <c r="E1874" s="13" t="n"/>
      <c r="F1874" s="12" t="n"/>
      <c r="G1874" s="13" t="n"/>
      <c r="H1874" s="12" t="n"/>
      <c r="I1874" s="12" t="n"/>
      <c r="J1874" s="12" t="n"/>
      <c r="K1874" s="12" t="n"/>
      <c r="L1874" s="11" t="n"/>
      <c r="M1874" s="11" t="n"/>
      <c r="N1874" s="11" t="n"/>
      <c r="O1874" s="11" t="n"/>
      <c r="P1874" s="12" t="n"/>
      <c r="Q1874" s="11" t="n"/>
      <c r="R1874" s="12" t="n"/>
      <c r="S1874" s="11" t="n"/>
      <c r="T1874" s="12" t="n"/>
      <c r="U1874" s="12" t="n"/>
      <c r="V1874" s="14">
        <f>IF($AN1874="",IF($B1874="","",$H1874),IF(INDEX(職員マスタ!$B$6:$B$405,$AN1874)="",$H1874,INDEX(職員マスタ!$B$6:$B$405,$AN1874)))</f>
        <v/>
      </c>
      <c r="W1874" s="14">
        <f>IF($AN1874="",IF($B1874="","",$R1874),IF(INDEX(職員マスタ!$C$6:$C$405,$AN1874)="",$R1874,INDEX(職員マスタ!$C$6:$C$405,$AN1874)))</f>
        <v/>
      </c>
      <c r="X1874" s="14">
        <f>IF($AO1874="","","R"&amp;$C1874&amp;"."&amp;$D1874)</f>
        <v/>
      </c>
      <c r="Y1874" s="15">
        <f>IF($AN1874="","",IF(INDEX(職員マスタ!$K$6:$K$405,$AN1874)="","",INDEX(職員マスタ!$K$6:$K$405,$AN1874)))</f>
        <v/>
      </c>
      <c r="Z1874" s="14">
        <f>IF(OR($E1874="",$Y1874=""),"",IF($E1874&gt;=$Y1874,"×",IF($E1874&gt;=$Y1874*設定!$C$5,"△","○")))</f>
        <v/>
      </c>
      <c r="AA1874" s="15">
        <f>IF($Z1874="","",IF($Z1874="×",0,IF($Z1874="○",ROUNDDOWN($E1874*設定!$C$4,0),ROUNDDOWN($E1874*ROUND((9*$Y1874-9*$E1874)/(10*$E1874),4),0))))</f>
        <v/>
      </c>
      <c r="AB1874" s="13" t="n"/>
      <c r="AC1874" s="15">
        <f>IF($B1874="","",IF($AB1874&lt;&gt;"",$AB1874,IF($AA1874="","",IF($AA1874&lt;=設定!$C$3,0,$AA1874))))</f>
        <v/>
      </c>
      <c r="AD1874" s="14">
        <f>IF($B1874="","",IF(AND($AE1874&lt;&gt;"",$AG1874="",$AJ1874=""),"保留中",IF($AJ1874&lt;&gt;"",IF(N($AC1874)&gt;0,"支給済","不支給"),IF($AC1874="","要確認",IF($AC1874=0,"不支給","未処理")))))</f>
        <v/>
      </c>
      <c r="AE1874" s="12" t="n"/>
      <c r="AF1874" s="11" t="n"/>
      <c r="AG1874" s="11" t="n"/>
      <c r="AH1874" s="11" t="n"/>
      <c r="AI1874" s="14">
        <f>IF(AND($AD1874="保留中",$AF1874&lt;&gt;""),TODAY()-$AF1874,"")</f>
        <v/>
      </c>
      <c r="AJ1874" s="12" t="n"/>
      <c r="AK1874" s="14">
        <f>IF($B1874="","",IF($AO1874="","対象年月が未入力／","")&amp;IF($B1874="","",IF($AN1874="","職員マスタに未登録の職員番号／",IF($Y1874="","標準報酬月額が未登録／","")&amp;IF(AND($AO1874&lt;&gt;"",OR(AND(INDEX(職員マスタ!$G$6:$G$405,$AN1874)&lt;&gt;"",INDEX(職員マスタ!$G$6:$G$405,$AN1874)&gt;EOMONTH($AO1874,0)),AND(INDEX(職員マスタ!$H$6:$H$405,$AN1874)&lt;&gt;"",INDEX(職員マスタ!$H$6:$H$405,$AN1874)&lt;$AO1874))),"対象月が時短期間外／","")&amp;IF(AND(INDEX(職員マスタ!$F$6:$F$405,$AN1874)&lt;&gt;"",$AO1874&lt;&gt;"",INDEX(職員マスタ!$F$6:$F$405,$AN1874)&lt;$AO1874),"対象月に子が2歳到達済／","")&amp;IF(AND($H1874&lt;&gt;"",INDEX(職員マスタ!$B$6:$B$405,$AN1874)&lt;&gt;"",SUBSTITUTE(SUBSTITUTE($H1874," ","")," ","")&lt;&gt;SUBSTITUTE(SUBSTITUTE(INDEX(職員マスタ!$B$6:$B$405,$AN1874)," ","")," ","")),"氏名がマスタと相違／","")&amp;IF(AND($Q1874&lt;&gt;"",INDEX(職員マスタ!$E$6:$E$405,$AN1874)&lt;&gt;"",$Q1874&lt;&gt;INDEX(職員マスタ!$E$6:$E$405,$AN1874)),"子の生年月日がマスタと相違／","")&amp;IF(AND($L1874&lt;&gt;"",INDEX(職員マスタ!$G$6:$G$405,$AN1874)&lt;&gt;"",$L1874&lt;&gt;INDEX(職員マスタ!$G$6:$G$405,$AN1874)),"時短開始日がマスタと相違／","")&amp;IF(AND($M1874&lt;&gt;"",INDEX(職員マスタ!$H$6:$H$405,$AN1874)&lt;&gt;"",$M1874&lt;&gt;INDEX(職員マスタ!$H$6:$H$405,$AN1874)),"時短終了日がマスタと相違／","")))&amp;IF(AND($B1874&lt;&gt;"",$E1874=""),"報酬額が未入力／","")&amp;IF(N($U1874)&gt;0,"申請書に入力エラーが残っています／","")&amp;IF(AND($B1874&lt;&gt;"",$AO1874&lt;&gt;""),IF(COUNTIFS($B$6:$B$3005,$B1874,$C$6:$C$3005,$C1874,$D$6:$D$3005,$D1874)&gt;1,"同じ月の請求が重複しています／",""),"")&amp;IF(AND(N($E1874)&gt;0,$Z1874&lt;&gt;"",$Z1874&lt;&gt;"×",$AC1874=0,$AB1874=""),"計算額が下限以下のため不支給／",""))</f>
        <v/>
      </c>
      <c r="AL1874" s="12" t="n"/>
      <c r="AM1874" s="14">
        <f>IF($AD1874="保留中",COUNTIF($AD$6:$AD1874,"保留中"),"")</f>
        <v/>
      </c>
      <c r="AN1874" s="14">
        <f>IF($AO1874="","",IF(SUMPRODUCT(MAX((職員マスタ!$A$6:$A$405=$B1874)*(((職員マスタ!$G$6:$G$405="")+(職員マスタ!$G$6:$G$405&lt;=EOMONTH($AO1874,0)))&gt;0)*(((職員マスタ!$H$6:$H$405="")+(職員マスタ!$H$6:$H$405&gt;=$AO1874))&gt;0)*(ROW(職員マスタ!$A$6:$A$405)-5)))&gt;0,SUMPRODUCT(MAX((職員マスタ!$A$6:$A$405=$B1874)*(((職員マスタ!$G$6:$G$405="")+(職員マスタ!$G$6:$G$405&lt;=EOMONTH($AO1874,0)))&gt;0)*(((職員マスタ!$H$6:$H$405="")+(職員マスタ!$H$6:$H$405&gt;=$AO1874))&gt;0)*(ROW(職員マスタ!$A$6:$A$405)-5))),IFERROR(MATCH($B1874,職員マスタ!$A$6:$A$405,0),"")))</f>
        <v/>
      </c>
      <c r="AO1874" s="16">
        <f>IF(OR($B1874="",$C1874="",$D1874=""),"",DATE($C1874+2018,$D1874,1))</f>
        <v/>
      </c>
    </row>
    <row r="1875">
      <c r="A1875" s="11" t="n"/>
      <c r="B1875" s="12" t="n"/>
      <c r="C1875" s="12" t="n"/>
      <c r="D1875" s="12" t="n"/>
      <c r="E1875" s="13" t="n"/>
      <c r="F1875" s="12" t="n"/>
      <c r="G1875" s="13" t="n"/>
      <c r="H1875" s="12" t="n"/>
      <c r="I1875" s="12" t="n"/>
      <c r="J1875" s="12" t="n"/>
      <c r="K1875" s="12" t="n"/>
      <c r="L1875" s="11" t="n"/>
      <c r="M1875" s="11" t="n"/>
      <c r="N1875" s="11" t="n"/>
      <c r="O1875" s="11" t="n"/>
      <c r="P1875" s="12" t="n"/>
      <c r="Q1875" s="11" t="n"/>
      <c r="R1875" s="12" t="n"/>
      <c r="S1875" s="11" t="n"/>
      <c r="T1875" s="12" t="n"/>
      <c r="U1875" s="12" t="n"/>
      <c r="V1875" s="14">
        <f>IF($AN1875="",IF($B1875="","",$H1875),IF(INDEX(職員マスタ!$B$6:$B$405,$AN1875)="",$H1875,INDEX(職員マスタ!$B$6:$B$405,$AN1875)))</f>
        <v/>
      </c>
      <c r="W1875" s="14">
        <f>IF($AN1875="",IF($B1875="","",$R1875),IF(INDEX(職員マスタ!$C$6:$C$405,$AN1875)="",$R1875,INDEX(職員マスタ!$C$6:$C$405,$AN1875)))</f>
        <v/>
      </c>
      <c r="X1875" s="14">
        <f>IF($AO1875="","","R"&amp;$C1875&amp;"."&amp;$D1875)</f>
        <v/>
      </c>
      <c r="Y1875" s="15">
        <f>IF($AN1875="","",IF(INDEX(職員マスタ!$K$6:$K$405,$AN1875)="","",INDEX(職員マスタ!$K$6:$K$405,$AN1875)))</f>
        <v/>
      </c>
      <c r="Z1875" s="14">
        <f>IF(OR($E1875="",$Y1875=""),"",IF($E1875&gt;=$Y1875,"×",IF($E1875&gt;=$Y1875*設定!$C$5,"△","○")))</f>
        <v/>
      </c>
      <c r="AA1875" s="15">
        <f>IF($Z1875="","",IF($Z1875="×",0,IF($Z1875="○",ROUNDDOWN($E1875*設定!$C$4,0),ROUNDDOWN($E1875*ROUND((9*$Y1875-9*$E1875)/(10*$E1875),4),0))))</f>
        <v/>
      </c>
      <c r="AB1875" s="13" t="n"/>
      <c r="AC1875" s="15">
        <f>IF($B1875="","",IF($AB1875&lt;&gt;"",$AB1875,IF($AA1875="","",IF($AA1875&lt;=設定!$C$3,0,$AA1875))))</f>
        <v/>
      </c>
      <c r="AD1875" s="14">
        <f>IF($B1875="","",IF(AND($AE1875&lt;&gt;"",$AG1875="",$AJ1875=""),"保留中",IF($AJ1875&lt;&gt;"",IF(N($AC1875)&gt;0,"支給済","不支給"),IF($AC1875="","要確認",IF($AC1875=0,"不支給","未処理")))))</f>
        <v/>
      </c>
      <c r="AE1875" s="12" t="n"/>
      <c r="AF1875" s="11" t="n"/>
      <c r="AG1875" s="11" t="n"/>
      <c r="AH1875" s="11" t="n"/>
      <c r="AI1875" s="14">
        <f>IF(AND($AD1875="保留中",$AF1875&lt;&gt;""),TODAY()-$AF1875,"")</f>
        <v/>
      </c>
      <c r="AJ1875" s="12" t="n"/>
      <c r="AK1875" s="14">
        <f>IF($B1875="","",IF($AO1875="","対象年月が未入力／","")&amp;IF($B1875="","",IF($AN1875="","職員マスタに未登録の職員番号／",IF($Y1875="","標準報酬月額が未登録／","")&amp;IF(AND($AO1875&lt;&gt;"",OR(AND(INDEX(職員マスタ!$G$6:$G$405,$AN1875)&lt;&gt;"",INDEX(職員マスタ!$G$6:$G$405,$AN1875)&gt;EOMONTH($AO1875,0)),AND(INDEX(職員マスタ!$H$6:$H$405,$AN1875)&lt;&gt;"",INDEX(職員マスタ!$H$6:$H$405,$AN1875)&lt;$AO1875))),"対象月が時短期間外／","")&amp;IF(AND(INDEX(職員マスタ!$F$6:$F$405,$AN1875)&lt;&gt;"",$AO1875&lt;&gt;"",INDEX(職員マスタ!$F$6:$F$405,$AN1875)&lt;$AO1875),"対象月に子が2歳到達済／","")&amp;IF(AND($H1875&lt;&gt;"",INDEX(職員マスタ!$B$6:$B$405,$AN1875)&lt;&gt;"",SUBSTITUTE(SUBSTITUTE($H1875," ","")," ","")&lt;&gt;SUBSTITUTE(SUBSTITUTE(INDEX(職員マスタ!$B$6:$B$405,$AN1875)," ","")," ","")),"氏名がマスタと相違／","")&amp;IF(AND($Q1875&lt;&gt;"",INDEX(職員マスタ!$E$6:$E$405,$AN1875)&lt;&gt;"",$Q1875&lt;&gt;INDEX(職員マスタ!$E$6:$E$405,$AN1875)),"子の生年月日がマスタと相違／","")&amp;IF(AND($L1875&lt;&gt;"",INDEX(職員マスタ!$G$6:$G$405,$AN1875)&lt;&gt;"",$L1875&lt;&gt;INDEX(職員マスタ!$G$6:$G$405,$AN1875)),"時短開始日がマスタと相違／","")&amp;IF(AND($M1875&lt;&gt;"",INDEX(職員マスタ!$H$6:$H$405,$AN1875)&lt;&gt;"",$M1875&lt;&gt;INDEX(職員マスタ!$H$6:$H$405,$AN1875)),"時短終了日がマスタと相違／","")))&amp;IF(AND($B1875&lt;&gt;"",$E1875=""),"報酬額が未入力／","")&amp;IF(N($U1875)&gt;0,"申請書に入力エラーが残っています／","")&amp;IF(AND($B1875&lt;&gt;"",$AO1875&lt;&gt;""),IF(COUNTIFS($B$6:$B$3005,$B1875,$C$6:$C$3005,$C1875,$D$6:$D$3005,$D1875)&gt;1,"同じ月の請求が重複しています／",""),"")&amp;IF(AND(N($E1875)&gt;0,$Z1875&lt;&gt;"",$Z1875&lt;&gt;"×",$AC1875=0,$AB1875=""),"計算額が下限以下のため不支給／",""))</f>
        <v/>
      </c>
      <c r="AL1875" s="12" t="n"/>
      <c r="AM1875" s="14">
        <f>IF($AD1875="保留中",COUNTIF($AD$6:$AD1875,"保留中"),"")</f>
        <v/>
      </c>
      <c r="AN1875" s="14">
        <f>IF($AO1875="","",IF(SUMPRODUCT(MAX((職員マスタ!$A$6:$A$405=$B1875)*(((職員マスタ!$G$6:$G$405="")+(職員マスタ!$G$6:$G$405&lt;=EOMONTH($AO1875,0)))&gt;0)*(((職員マスタ!$H$6:$H$405="")+(職員マスタ!$H$6:$H$405&gt;=$AO1875))&gt;0)*(ROW(職員マスタ!$A$6:$A$405)-5)))&gt;0,SUMPRODUCT(MAX((職員マスタ!$A$6:$A$405=$B1875)*(((職員マスタ!$G$6:$G$405="")+(職員マスタ!$G$6:$G$405&lt;=EOMONTH($AO1875,0)))&gt;0)*(((職員マスタ!$H$6:$H$405="")+(職員マスタ!$H$6:$H$405&gt;=$AO1875))&gt;0)*(ROW(職員マスタ!$A$6:$A$405)-5))),IFERROR(MATCH($B1875,職員マスタ!$A$6:$A$405,0),"")))</f>
        <v/>
      </c>
      <c r="AO1875" s="16">
        <f>IF(OR($B1875="",$C1875="",$D1875=""),"",DATE($C1875+2018,$D1875,1))</f>
        <v/>
      </c>
    </row>
    <row r="1876">
      <c r="A1876" s="11" t="n"/>
      <c r="B1876" s="12" t="n"/>
      <c r="C1876" s="12" t="n"/>
      <c r="D1876" s="12" t="n"/>
      <c r="E1876" s="13" t="n"/>
      <c r="F1876" s="12" t="n"/>
      <c r="G1876" s="13" t="n"/>
      <c r="H1876" s="12" t="n"/>
      <c r="I1876" s="12" t="n"/>
      <c r="J1876" s="12" t="n"/>
      <c r="K1876" s="12" t="n"/>
      <c r="L1876" s="11" t="n"/>
      <c r="M1876" s="11" t="n"/>
      <c r="N1876" s="11" t="n"/>
      <c r="O1876" s="11" t="n"/>
      <c r="P1876" s="12" t="n"/>
      <c r="Q1876" s="11" t="n"/>
      <c r="R1876" s="12" t="n"/>
      <c r="S1876" s="11" t="n"/>
      <c r="T1876" s="12" t="n"/>
      <c r="U1876" s="12" t="n"/>
      <c r="V1876" s="14">
        <f>IF($AN1876="",IF($B1876="","",$H1876),IF(INDEX(職員マスタ!$B$6:$B$405,$AN1876)="",$H1876,INDEX(職員マスタ!$B$6:$B$405,$AN1876)))</f>
        <v/>
      </c>
      <c r="W1876" s="14">
        <f>IF($AN1876="",IF($B1876="","",$R1876),IF(INDEX(職員マスタ!$C$6:$C$405,$AN1876)="",$R1876,INDEX(職員マスタ!$C$6:$C$405,$AN1876)))</f>
        <v/>
      </c>
      <c r="X1876" s="14">
        <f>IF($AO1876="","","R"&amp;$C1876&amp;"."&amp;$D1876)</f>
        <v/>
      </c>
      <c r="Y1876" s="15">
        <f>IF($AN1876="","",IF(INDEX(職員マスタ!$K$6:$K$405,$AN1876)="","",INDEX(職員マスタ!$K$6:$K$405,$AN1876)))</f>
        <v/>
      </c>
      <c r="Z1876" s="14">
        <f>IF(OR($E1876="",$Y1876=""),"",IF($E1876&gt;=$Y1876,"×",IF($E1876&gt;=$Y1876*設定!$C$5,"△","○")))</f>
        <v/>
      </c>
      <c r="AA1876" s="15">
        <f>IF($Z1876="","",IF($Z1876="×",0,IF($Z1876="○",ROUNDDOWN($E1876*設定!$C$4,0),ROUNDDOWN($E1876*ROUND((9*$Y1876-9*$E1876)/(10*$E1876),4),0))))</f>
        <v/>
      </c>
      <c r="AB1876" s="13" t="n"/>
      <c r="AC1876" s="15">
        <f>IF($B1876="","",IF($AB1876&lt;&gt;"",$AB1876,IF($AA1876="","",IF($AA1876&lt;=設定!$C$3,0,$AA1876))))</f>
        <v/>
      </c>
      <c r="AD1876" s="14">
        <f>IF($B1876="","",IF(AND($AE1876&lt;&gt;"",$AG1876="",$AJ1876=""),"保留中",IF($AJ1876&lt;&gt;"",IF(N($AC1876)&gt;0,"支給済","不支給"),IF($AC1876="","要確認",IF($AC1876=0,"不支給","未処理")))))</f>
        <v/>
      </c>
      <c r="AE1876" s="12" t="n"/>
      <c r="AF1876" s="11" t="n"/>
      <c r="AG1876" s="11" t="n"/>
      <c r="AH1876" s="11" t="n"/>
      <c r="AI1876" s="14">
        <f>IF(AND($AD1876="保留中",$AF1876&lt;&gt;""),TODAY()-$AF1876,"")</f>
        <v/>
      </c>
      <c r="AJ1876" s="12" t="n"/>
      <c r="AK1876" s="14">
        <f>IF($B1876="","",IF($AO1876="","対象年月が未入力／","")&amp;IF($B1876="","",IF($AN1876="","職員マスタに未登録の職員番号／",IF($Y1876="","標準報酬月額が未登録／","")&amp;IF(AND($AO1876&lt;&gt;"",OR(AND(INDEX(職員マスタ!$G$6:$G$405,$AN1876)&lt;&gt;"",INDEX(職員マスタ!$G$6:$G$405,$AN1876)&gt;EOMONTH($AO1876,0)),AND(INDEX(職員マスタ!$H$6:$H$405,$AN1876)&lt;&gt;"",INDEX(職員マスタ!$H$6:$H$405,$AN1876)&lt;$AO1876))),"対象月が時短期間外／","")&amp;IF(AND(INDEX(職員マスタ!$F$6:$F$405,$AN1876)&lt;&gt;"",$AO1876&lt;&gt;"",INDEX(職員マスタ!$F$6:$F$405,$AN1876)&lt;$AO1876),"対象月に子が2歳到達済／","")&amp;IF(AND($H1876&lt;&gt;"",INDEX(職員マスタ!$B$6:$B$405,$AN1876)&lt;&gt;"",SUBSTITUTE(SUBSTITUTE($H1876," ","")," ","")&lt;&gt;SUBSTITUTE(SUBSTITUTE(INDEX(職員マスタ!$B$6:$B$405,$AN1876)," ","")," ","")),"氏名がマスタと相違／","")&amp;IF(AND($Q1876&lt;&gt;"",INDEX(職員マスタ!$E$6:$E$405,$AN1876)&lt;&gt;"",$Q1876&lt;&gt;INDEX(職員マスタ!$E$6:$E$405,$AN1876)),"子の生年月日がマスタと相違／","")&amp;IF(AND($L1876&lt;&gt;"",INDEX(職員マスタ!$G$6:$G$405,$AN1876)&lt;&gt;"",$L1876&lt;&gt;INDEX(職員マスタ!$G$6:$G$405,$AN1876)),"時短開始日がマスタと相違／","")&amp;IF(AND($M1876&lt;&gt;"",INDEX(職員マスタ!$H$6:$H$405,$AN1876)&lt;&gt;"",$M1876&lt;&gt;INDEX(職員マスタ!$H$6:$H$405,$AN1876)),"時短終了日がマスタと相違／","")))&amp;IF(AND($B1876&lt;&gt;"",$E1876=""),"報酬額が未入力／","")&amp;IF(N($U1876)&gt;0,"申請書に入力エラーが残っています／","")&amp;IF(AND($B1876&lt;&gt;"",$AO1876&lt;&gt;""),IF(COUNTIFS($B$6:$B$3005,$B1876,$C$6:$C$3005,$C1876,$D$6:$D$3005,$D1876)&gt;1,"同じ月の請求が重複しています／",""),"")&amp;IF(AND(N($E1876)&gt;0,$Z1876&lt;&gt;"",$Z1876&lt;&gt;"×",$AC1876=0,$AB1876=""),"計算額が下限以下のため不支給／",""))</f>
        <v/>
      </c>
      <c r="AL1876" s="12" t="n"/>
      <c r="AM1876" s="14">
        <f>IF($AD1876="保留中",COUNTIF($AD$6:$AD1876,"保留中"),"")</f>
        <v/>
      </c>
      <c r="AN1876" s="14">
        <f>IF($AO1876="","",IF(SUMPRODUCT(MAX((職員マスタ!$A$6:$A$405=$B1876)*(((職員マスタ!$G$6:$G$405="")+(職員マスタ!$G$6:$G$405&lt;=EOMONTH($AO1876,0)))&gt;0)*(((職員マスタ!$H$6:$H$405="")+(職員マスタ!$H$6:$H$405&gt;=$AO1876))&gt;0)*(ROW(職員マスタ!$A$6:$A$405)-5)))&gt;0,SUMPRODUCT(MAX((職員マスタ!$A$6:$A$405=$B1876)*(((職員マスタ!$G$6:$G$405="")+(職員マスタ!$G$6:$G$405&lt;=EOMONTH($AO1876,0)))&gt;0)*(((職員マスタ!$H$6:$H$405="")+(職員マスタ!$H$6:$H$405&gt;=$AO1876))&gt;0)*(ROW(職員マスタ!$A$6:$A$405)-5))),IFERROR(MATCH($B1876,職員マスタ!$A$6:$A$405,0),"")))</f>
        <v/>
      </c>
      <c r="AO1876" s="16">
        <f>IF(OR($B1876="",$C1876="",$D1876=""),"",DATE($C1876+2018,$D1876,1))</f>
        <v/>
      </c>
    </row>
    <row r="1877">
      <c r="A1877" s="11" t="n"/>
      <c r="B1877" s="12" t="n"/>
      <c r="C1877" s="12" t="n"/>
      <c r="D1877" s="12" t="n"/>
      <c r="E1877" s="13" t="n"/>
      <c r="F1877" s="12" t="n"/>
      <c r="G1877" s="13" t="n"/>
      <c r="H1877" s="12" t="n"/>
      <c r="I1877" s="12" t="n"/>
      <c r="J1877" s="12" t="n"/>
      <c r="K1877" s="12" t="n"/>
      <c r="L1877" s="11" t="n"/>
      <c r="M1877" s="11" t="n"/>
      <c r="N1877" s="11" t="n"/>
      <c r="O1877" s="11" t="n"/>
      <c r="P1877" s="12" t="n"/>
      <c r="Q1877" s="11" t="n"/>
      <c r="R1877" s="12" t="n"/>
      <c r="S1877" s="11" t="n"/>
      <c r="T1877" s="12" t="n"/>
      <c r="U1877" s="12" t="n"/>
      <c r="V1877" s="14">
        <f>IF($AN1877="",IF($B1877="","",$H1877),IF(INDEX(職員マスタ!$B$6:$B$405,$AN1877)="",$H1877,INDEX(職員マスタ!$B$6:$B$405,$AN1877)))</f>
        <v/>
      </c>
      <c r="W1877" s="14">
        <f>IF($AN1877="",IF($B1877="","",$R1877),IF(INDEX(職員マスタ!$C$6:$C$405,$AN1877)="",$R1877,INDEX(職員マスタ!$C$6:$C$405,$AN1877)))</f>
        <v/>
      </c>
      <c r="X1877" s="14">
        <f>IF($AO1877="","","R"&amp;$C1877&amp;"."&amp;$D1877)</f>
        <v/>
      </c>
      <c r="Y1877" s="15">
        <f>IF($AN1877="","",IF(INDEX(職員マスタ!$K$6:$K$405,$AN1877)="","",INDEX(職員マスタ!$K$6:$K$405,$AN1877)))</f>
        <v/>
      </c>
      <c r="Z1877" s="14">
        <f>IF(OR($E1877="",$Y1877=""),"",IF($E1877&gt;=$Y1877,"×",IF($E1877&gt;=$Y1877*設定!$C$5,"△","○")))</f>
        <v/>
      </c>
      <c r="AA1877" s="15">
        <f>IF($Z1877="","",IF($Z1877="×",0,IF($Z1877="○",ROUNDDOWN($E1877*設定!$C$4,0),ROUNDDOWN($E1877*ROUND((9*$Y1877-9*$E1877)/(10*$E1877),4),0))))</f>
        <v/>
      </c>
      <c r="AB1877" s="13" t="n"/>
      <c r="AC1877" s="15">
        <f>IF($B1877="","",IF($AB1877&lt;&gt;"",$AB1877,IF($AA1877="","",IF($AA1877&lt;=設定!$C$3,0,$AA1877))))</f>
        <v/>
      </c>
      <c r="AD1877" s="14">
        <f>IF($B1877="","",IF(AND($AE1877&lt;&gt;"",$AG1877="",$AJ1877=""),"保留中",IF($AJ1877&lt;&gt;"",IF(N($AC1877)&gt;0,"支給済","不支給"),IF($AC1877="","要確認",IF($AC1877=0,"不支給","未処理")))))</f>
        <v/>
      </c>
      <c r="AE1877" s="12" t="n"/>
      <c r="AF1877" s="11" t="n"/>
      <c r="AG1877" s="11" t="n"/>
      <c r="AH1877" s="11" t="n"/>
      <c r="AI1877" s="14">
        <f>IF(AND($AD1877="保留中",$AF1877&lt;&gt;""),TODAY()-$AF1877,"")</f>
        <v/>
      </c>
      <c r="AJ1877" s="12" t="n"/>
      <c r="AK1877" s="14">
        <f>IF($B1877="","",IF($AO1877="","対象年月が未入力／","")&amp;IF($B1877="","",IF($AN1877="","職員マスタに未登録の職員番号／",IF($Y1877="","標準報酬月額が未登録／","")&amp;IF(AND($AO1877&lt;&gt;"",OR(AND(INDEX(職員マスタ!$G$6:$G$405,$AN1877)&lt;&gt;"",INDEX(職員マスタ!$G$6:$G$405,$AN1877)&gt;EOMONTH($AO1877,0)),AND(INDEX(職員マスタ!$H$6:$H$405,$AN1877)&lt;&gt;"",INDEX(職員マスタ!$H$6:$H$405,$AN1877)&lt;$AO1877))),"対象月が時短期間外／","")&amp;IF(AND(INDEX(職員マスタ!$F$6:$F$405,$AN1877)&lt;&gt;"",$AO1877&lt;&gt;"",INDEX(職員マスタ!$F$6:$F$405,$AN1877)&lt;$AO1877),"対象月に子が2歳到達済／","")&amp;IF(AND($H1877&lt;&gt;"",INDEX(職員マスタ!$B$6:$B$405,$AN1877)&lt;&gt;"",SUBSTITUTE(SUBSTITUTE($H1877," ","")," ","")&lt;&gt;SUBSTITUTE(SUBSTITUTE(INDEX(職員マスタ!$B$6:$B$405,$AN1877)," ","")," ","")),"氏名がマスタと相違／","")&amp;IF(AND($Q1877&lt;&gt;"",INDEX(職員マスタ!$E$6:$E$405,$AN1877)&lt;&gt;"",$Q1877&lt;&gt;INDEX(職員マスタ!$E$6:$E$405,$AN1877)),"子の生年月日がマスタと相違／","")&amp;IF(AND($L1877&lt;&gt;"",INDEX(職員マスタ!$G$6:$G$405,$AN1877)&lt;&gt;"",$L1877&lt;&gt;INDEX(職員マスタ!$G$6:$G$405,$AN1877)),"時短開始日がマスタと相違／","")&amp;IF(AND($M1877&lt;&gt;"",INDEX(職員マスタ!$H$6:$H$405,$AN1877)&lt;&gt;"",$M1877&lt;&gt;INDEX(職員マスタ!$H$6:$H$405,$AN1877)),"時短終了日がマスタと相違／","")))&amp;IF(AND($B1877&lt;&gt;"",$E1877=""),"報酬額が未入力／","")&amp;IF(N($U1877)&gt;0,"申請書に入力エラーが残っています／","")&amp;IF(AND($B1877&lt;&gt;"",$AO1877&lt;&gt;""),IF(COUNTIFS($B$6:$B$3005,$B1877,$C$6:$C$3005,$C1877,$D$6:$D$3005,$D1877)&gt;1,"同じ月の請求が重複しています／",""),"")&amp;IF(AND(N($E1877)&gt;0,$Z1877&lt;&gt;"",$Z1877&lt;&gt;"×",$AC1877=0,$AB1877=""),"計算額が下限以下のため不支給／",""))</f>
        <v/>
      </c>
      <c r="AL1877" s="12" t="n"/>
      <c r="AM1877" s="14">
        <f>IF($AD1877="保留中",COUNTIF($AD$6:$AD1877,"保留中"),"")</f>
        <v/>
      </c>
      <c r="AN1877" s="14">
        <f>IF($AO1877="","",IF(SUMPRODUCT(MAX((職員マスタ!$A$6:$A$405=$B1877)*(((職員マスタ!$G$6:$G$405="")+(職員マスタ!$G$6:$G$405&lt;=EOMONTH($AO1877,0)))&gt;0)*(((職員マスタ!$H$6:$H$405="")+(職員マスタ!$H$6:$H$405&gt;=$AO1877))&gt;0)*(ROW(職員マスタ!$A$6:$A$405)-5)))&gt;0,SUMPRODUCT(MAX((職員マスタ!$A$6:$A$405=$B1877)*(((職員マスタ!$G$6:$G$405="")+(職員マスタ!$G$6:$G$405&lt;=EOMONTH($AO1877,0)))&gt;0)*(((職員マスタ!$H$6:$H$405="")+(職員マスタ!$H$6:$H$405&gt;=$AO1877))&gt;0)*(ROW(職員マスタ!$A$6:$A$405)-5))),IFERROR(MATCH($B1877,職員マスタ!$A$6:$A$405,0),"")))</f>
        <v/>
      </c>
      <c r="AO1877" s="16">
        <f>IF(OR($B1877="",$C1877="",$D1877=""),"",DATE($C1877+2018,$D1877,1))</f>
        <v/>
      </c>
    </row>
    <row r="1878">
      <c r="A1878" s="11" t="n"/>
      <c r="B1878" s="12" t="n"/>
      <c r="C1878" s="12" t="n"/>
      <c r="D1878" s="12" t="n"/>
      <c r="E1878" s="13" t="n"/>
      <c r="F1878" s="12" t="n"/>
      <c r="G1878" s="13" t="n"/>
      <c r="H1878" s="12" t="n"/>
      <c r="I1878" s="12" t="n"/>
      <c r="J1878" s="12" t="n"/>
      <c r="K1878" s="12" t="n"/>
      <c r="L1878" s="11" t="n"/>
      <c r="M1878" s="11" t="n"/>
      <c r="N1878" s="11" t="n"/>
      <c r="O1878" s="11" t="n"/>
      <c r="P1878" s="12" t="n"/>
      <c r="Q1878" s="11" t="n"/>
      <c r="R1878" s="12" t="n"/>
      <c r="S1878" s="11" t="n"/>
      <c r="T1878" s="12" t="n"/>
      <c r="U1878" s="12" t="n"/>
      <c r="V1878" s="14">
        <f>IF($AN1878="",IF($B1878="","",$H1878),IF(INDEX(職員マスタ!$B$6:$B$405,$AN1878)="",$H1878,INDEX(職員マスタ!$B$6:$B$405,$AN1878)))</f>
        <v/>
      </c>
      <c r="W1878" s="14">
        <f>IF($AN1878="",IF($B1878="","",$R1878),IF(INDEX(職員マスタ!$C$6:$C$405,$AN1878)="",$R1878,INDEX(職員マスタ!$C$6:$C$405,$AN1878)))</f>
        <v/>
      </c>
      <c r="X1878" s="14">
        <f>IF($AO1878="","","R"&amp;$C1878&amp;"."&amp;$D1878)</f>
        <v/>
      </c>
      <c r="Y1878" s="15">
        <f>IF($AN1878="","",IF(INDEX(職員マスタ!$K$6:$K$405,$AN1878)="","",INDEX(職員マスタ!$K$6:$K$405,$AN1878)))</f>
        <v/>
      </c>
      <c r="Z1878" s="14">
        <f>IF(OR($E1878="",$Y1878=""),"",IF($E1878&gt;=$Y1878,"×",IF($E1878&gt;=$Y1878*設定!$C$5,"△","○")))</f>
        <v/>
      </c>
      <c r="AA1878" s="15">
        <f>IF($Z1878="","",IF($Z1878="×",0,IF($Z1878="○",ROUNDDOWN($E1878*設定!$C$4,0),ROUNDDOWN($E1878*ROUND((9*$Y1878-9*$E1878)/(10*$E1878),4),0))))</f>
        <v/>
      </c>
      <c r="AB1878" s="13" t="n"/>
      <c r="AC1878" s="15">
        <f>IF($B1878="","",IF($AB1878&lt;&gt;"",$AB1878,IF($AA1878="","",IF($AA1878&lt;=設定!$C$3,0,$AA1878))))</f>
        <v/>
      </c>
      <c r="AD1878" s="14">
        <f>IF($B1878="","",IF(AND($AE1878&lt;&gt;"",$AG1878="",$AJ1878=""),"保留中",IF($AJ1878&lt;&gt;"",IF(N($AC1878)&gt;0,"支給済","不支給"),IF($AC1878="","要確認",IF($AC1878=0,"不支給","未処理")))))</f>
        <v/>
      </c>
      <c r="AE1878" s="12" t="n"/>
      <c r="AF1878" s="11" t="n"/>
      <c r="AG1878" s="11" t="n"/>
      <c r="AH1878" s="11" t="n"/>
      <c r="AI1878" s="14">
        <f>IF(AND($AD1878="保留中",$AF1878&lt;&gt;""),TODAY()-$AF1878,"")</f>
        <v/>
      </c>
      <c r="AJ1878" s="12" t="n"/>
      <c r="AK1878" s="14">
        <f>IF($B1878="","",IF($AO1878="","対象年月が未入力／","")&amp;IF($B1878="","",IF($AN1878="","職員マスタに未登録の職員番号／",IF($Y1878="","標準報酬月額が未登録／","")&amp;IF(AND($AO1878&lt;&gt;"",OR(AND(INDEX(職員マスタ!$G$6:$G$405,$AN1878)&lt;&gt;"",INDEX(職員マスタ!$G$6:$G$405,$AN1878)&gt;EOMONTH($AO1878,0)),AND(INDEX(職員マスタ!$H$6:$H$405,$AN1878)&lt;&gt;"",INDEX(職員マスタ!$H$6:$H$405,$AN1878)&lt;$AO1878))),"対象月が時短期間外／","")&amp;IF(AND(INDEX(職員マスタ!$F$6:$F$405,$AN1878)&lt;&gt;"",$AO1878&lt;&gt;"",INDEX(職員マスタ!$F$6:$F$405,$AN1878)&lt;$AO1878),"対象月に子が2歳到達済／","")&amp;IF(AND($H1878&lt;&gt;"",INDEX(職員マスタ!$B$6:$B$405,$AN1878)&lt;&gt;"",SUBSTITUTE(SUBSTITUTE($H1878," ","")," ","")&lt;&gt;SUBSTITUTE(SUBSTITUTE(INDEX(職員マスタ!$B$6:$B$405,$AN1878)," ","")," ","")),"氏名がマスタと相違／","")&amp;IF(AND($Q1878&lt;&gt;"",INDEX(職員マスタ!$E$6:$E$405,$AN1878)&lt;&gt;"",$Q1878&lt;&gt;INDEX(職員マスタ!$E$6:$E$405,$AN1878)),"子の生年月日がマスタと相違／","")&amp;IF(AND($L1878&lt;&gt;"",INDEX(職員マスタ!$G$6:$G$405,$AN1878)&lt;&gt;"",$L1878&lt;&gt;INDEX(職員マスタ!$G$6:$G$405,$AN1878)),"時短開始日がマスタと相違／","")&amp;IF(AND($M1878&lt;&gt;"",INDEX(職員マスタ!$H$6:$H$405,$AN1878)&lt;&gt;"",$M1878&lt;&gt;INDEX(職員マスタ!$H$6:$H$405,$AN1878)),"時短終了日がマスタと相違／","")))&amp;IF(AND($B1878&lt;&gt;"",$E1878=""),"報酬額が未入力／","")&amp;IF(N($U1878)&gt;0,"申請書に入力エラーが残っています／","")&amp;IF(AND($B1878&lt;&gt;"",$AO1878&lt;&gt;""),IF(COUNTIFS($B$6:$B$3005,$B1878,$C$6:$C$3005,$C1878,$D$6:$D$3005,$D1878)&gt;1,"同じ月の請求が重複しています／",""),"")&amp;IF(AND(N($E1878)&gt;0,$Z1878&lt;&gt;"",$Z1878&lt;&gt;"×",$AC1878=0,$AB1878=""),"計算額が下限以下のため不支給／",""))</f>
        <v/>
      </c>
      <c r="AL1878" s="12" t="n"/>
      <c r="AM1878" s="14">
        <f>IF($AD1878="保留中",COUNTIF($AD$6:$AD1878,"保留中"),"")</f>
        <v/>
      </c>
      <c r="AN1878" s="14">
        <f>IF($AO1878="","",IF(SUMPRODUCT(MAX((職員マスタ!$A$6:$A$405=$B1878)*(((職員マスタ!$G$6:$G$405="")+(職員マスタ!$G$6:$G$405&lt;=EOMONTH($AO1878,0)))&gt;0)*(((職員マスタ!$H$6:$H$405="")+(職員マスタ!$H$6:$H$405&gt;=$AO1878))&gt;0)*(ROW(職員マスタ!$A$6:$A$405)-5)))&gt;0,SUMPRODUCT(MAX((職員マスタ!$A$6:$A$405=$B1878)*(((職員マスタ!$G$6:$G$405="")+(職員マスタ!$G$6:$G$405&lt;=EOMONTH($AO1878,0)))&gt;0)*(((職員マスタ!$H$6:$H$405="")+(職員マスタ!$H$6:$H$405&gt;=$AO1878))&gt;0)*(ROW(職員マスタ!$A$6:$A$405)-5))),IFERROR(MATCH($B1878,職員マスタ!$A$6:$A$405,0),"")))</f>
        <v/>
      </c>
      <c r="AO1878" s="16">
        <f>IF(OR($B1878="",$C1878="",$D1878=""),"",DATE($C1878+2018,$D1878,1))</f>
        <v/>
      </c>
    </row>
    <row r="1879">
      <c r="A1879" s="11" t="n"/>
      <c r="B1879" s="12" t="n"/>
      <c r="C1879" s="12" t="n"/>
      <c r="D1879" s="12" t="n"/>
      <c r="E1879" s="13" t="n"/>
      <c r="F1879" s="12" t="n"/>
      <c r="G1879" s="13" t="n"/>
      <c r="H1879" s="12" t="n"/>
      <c r="I1879" s="12" t="n"/>
      <c r="J1879" s="12" t="n"/>
      <c r="K1879" s="12" t="n"/>
      <c r="L1879" s="11" t="n"/>
      <c r="M1879" s="11" t="n"/>
      <c r="N1879" s="11" t="n"/>
      <c r="O1879" s="11" t="n"/>
      <c r="P1879" s="12" t="n"/>
      <c r="Q1879" s="11" t="n"/>
      <c r="R1879" s="12" t="n"/>
      <c r="S1879" s="11" t="n"/>
      <c r="T1879" s="12" t="n"/>
      <c r="U1879" s="12" t="n"/>
      <c r="V1879" s="14">
        <f>IF($AN1879="",IF($B1879="","",$H1879),IF(INDEX(職員マスタ!$B$6:$B$405,$AN1879)="",$H1879,INDEX(職員マスタ!$B$6:$B$405,$AN1879)))</f>
        <v/>
      </c>
      <c r="W1879" s="14">
        <f>IF($AN1879="",IF($B1879="","",$R1879),IF(INDEX(職員マスタ!$C$6:$C$405,$AN1879)="",$R1879,INDEX(職員マスタ!$C$6:$C$405,$AN1879)))</f>
        <v/>
      </c>
      <c r="X1879" s="14">
        <f>IF($AO1879="","","R"&amp;$C1879&amp;"."&amp;$D1879)</f>
        <v/>
      </c>
      <c r="Y1879" s="15">
        <f>IF($AN1879="","",IF(INDEX(職員マスタ!$K$6:$K$405,$AN1879)="","",INDEX(職員マスタ!$K$6:$K$405,$AN1879)))</f>
        <v/>
      </c>
      <c r="Z1879" s="14">
        <f>IF(OR($E1879="",$Y1879=""),"",IF($E1879&gt;=$Y1879,"×",IF($E1879&gt;=$Y1879*設定!$C$5,"△","○")))</f>
        <v/>
      </c>
      <c r="AA1879" s="15">
        <f>IF($Z1879="","",IF($Z1879="×",0,IF($Z1879="○",ROUNDDOWN($E1879*設定!$C$4,0),ROUNDDOWN($E1879*ROUND((9*$Y1879-9*$E1879)/(10*$E1879),4),0))))</f>
        <v/>
      </c>
      <c r="AB1879" s="13" t="n"/>
      <c r="AC1879" s="15">
        <f>IF($B1879="","",IF($AB1879&lt;&gt;"",$AB1879,IF($AA1879="","",IF($AA1879&lt;=設定!$C$3,0,$AA1879))))</f>
        <v/>
      </c>
      <c r="AD1879" s="14">
        <f>IF($B1879="","",IF(AND($AE1879&lt;&gt;"",$AG1879="",$AJ1879=""),"保留中",IF($AJ1879&lt;&gt;"",IF(N($AC1879)&gt;0,"支給済","不支給"),IF($AC1879="","要確認",IF($AC1879=0,"不支給","未処理")))))</f>
        <v/>
      </c>
      <c r="AE1879" s="12" t="n"/>
      <c r="AF1879" s="11" t="n"/>
      <c r="AG1879" s="11" t="n"/>
      <c r="AH1879" s="11" t="n"/>
      <c r="AI1879" s="14">
        <f>IF(AND($AD1879="保留中",$AF1879&lt;&gt;""),TODAY()-$AF1879,"")</f>
        <v/>
      </c>
      <c r="AJ1879" s="12" t="n"/>
      <c r="AK1879" s="14">
        <f>IF($B1879="","",IF($AO1879="","対象年月が未入力／","")&amp;IF($B1879="","",IF($AN1879="","職員マスタに未登録の職員番号／",IF($Y1879="","標準報酬月額が未登録／","")&amp;IF(AND($AO1879&lt;&gt;"",OR(AND(INDEX(職員マスタ!$G$6:$G$405,$AN1879)&lt;&gt;"",INDEX(職員マスタ!$G$6:$G$405,$AN1879)&gt;EOMONTH($AO1879,0)),AND(INDEX(職員マスタ!$H$6:$H$405,$AN1879)&lt;&gt;"",INDEX(職員マスタ!$H$6:$H$405,$AN1879)&lt;$AO1879))),"対象月が時短期間外／","")&amp;IF(AND(INDEX(職員マスタ!$F$6:$F$405,$AN1879)&lt;&gt;"",$AO1879&lt;&gt;"",INDEX(職員マスタ!$F$6:$F$405,$AN1879)&lt;$AO1879),"対象月に子が2歳到達済／","")&amp;IF(AND($H1879&lt;&gt;"",INDEX(職員マスタ!$B$6:$B$405,$AN1879)&lt;&gt;"",SUBSTITUTE(SUBSTITUTE($H1879," ","")," ","")&lt;&gt;SUBSTITUTE(SUBSTITUTE(INDEX(職員マスタ!$B$6:$B$405,$AN1879)," ","")," ","")),"氏名がマスタと相違／","")&amp;IF(AND($Q1879&lt;&gt;"",INDEX(職員マスタ!$E$6:$E$405,$AN1879)&lt;&gt;"",$Q1879&lt;&gt;INDEX(職員マスタ!$E$6:$E$405,$AN1879)),"子の生年月日がマスタと相違／","")&amp;IF(AND($L1879&lt;&gt;"",INDEX(職員マスタ!$G$6:$G$405,$AN1879)&lt;&gt;"",$L1879&lt;&gt;INDEX(職員マスタ!$G$6:$G$405,$AN1879)),"時短開始日がマスタと相違／","")&amp;IF(AND($M1879&lt;&gt;"",INDEX(職員マスタ!$H$6:$H$405,$AN1879)&lt;&gt;"",$M1879&lt;&gt;INDEX(職員マスタ!$H$6:$H$405,$AN1879)),"時短終了日がマスタと相違／","")))&amp;IF(AND($B1879&lt;&gt;"",$E1879=""),"報酬額が未入力／","")&amp;IF(N($U1879)&gt;0,"申請書に入力エラーが残っています／","")&amp;IF(AND($B1879&lt;&gt;"",$AO1879&lt;&gt;""),IF(COUNTIFS($B$6:$B$3005,$B1879,$C$6:$C$3005,$C1879,$D$6:$D$3005,$D1879)&gt;1,"同じ月の請求が重複しています／",""),"")&amp;IF(AND(N($E1879)&gt;0,$Z1879&lt;&gt;"",$Z1879&lt;&gt;"×",$AC1879=0,$AB1879=""),"計算額が下限以下のため不支給／",""))</f>
        <v/>
      </c>
      <c r="AL1879" s="12" t="n"/>
      <c r="AM1879" s="14">
        <f>IF($AD1879="保留中",COUNTIF($AD$6:$AD1879,"保留中"),"")</f>
        <v/>
      </c>
      <c r="AN1879" s="14">
        <f>IF($AO1879="","",IF(SUMPRODUCT(MAX((職員マスタ!$A$6:$A$405=$B1879)*(((職員マスタ!$G$6:$G$405="")+(職員マスタ!$G$6:$G$405&lt;=EOMONTH($AO1879,0)))&gt;0)*(((職員マスタ!$H$6:$H$405="")+(職員マスタ!$H$6:$H$405&gt;=$AO1879))&gt;0)*(ROW(職員マスタ!$A$6:$A$405)-5)))&gt;0,SUMPRODUCT(MAX((職員マスタ!$A$6:$A$405=$B1879)*(((職員マスタ!$G$6:$G$405="")+(職員マスタ!$G$6:$G$405&lt;=EOMONTH($AO1879,0)))&gt;0)*(((職員マスタ!$H$6:$H$405="")+(職員マスタ!$H$6:$H$405&gt;=$AO1879))&gt;0)*(ROW(職員マスタ!$A$6:$A$405)-5))),IFERROR(MATCH($B1879,職員マスタ!$A$6:$A$405,0),"")))</f>
        <v/>
      </c>
      <c r="AO1879" s="16">
        <f>IF(OR($B1879="",$C1879="",$D1879=""),"",DATE($C1879+2018,$D1879,1))</f>
        <v/>
      </c>
    </row>
    <row r="1880">
      <c r="A1880" s="11" t="n"/>
      <c r="B1880" s="12" t="n"/>
      <c r="C1880" s="12" t="n"/>
      <c r="D1880" s="12" t="n"/>
      <c r="E1880" s="13" t="n"/>
      <c r="F1880" s="12" t="n"/>
      <c r="G1880" s="13" t="n"/>
      <c r="H1880" s="12" t="n"/>
      <c r="I1880" s="12" t="n"/>
      <c r="J1880" s="12" t="n"/>
      <c r="K1880" s="12" t="n"/>
      <c r="L1880" s="11" t="n"/>
      <c r="M1880" s="11" t="n"/>
      <c r="N1880" s="11" t="n"/>
      <c r="O1880" s="11" t="n"/>
      <c r="P1880" s="12" t="n"/>
      <c r="Q1880" s="11" t="n"/>
      <c r="R1880" s="12" t="n"/>
      <c r="S1880" s="11" t="n"/>
      <c r="T1880" s="12" t="n"/>
      <c r="U1880" s="12" t="n"/>
      <c r="V1880" s="14">
        <f>IF($AN1880="",IF($B1880="","",$H1880),IF(INDEX(職員マスタ!$B$6:$B$405,$AN1880)="",$H1880,INDEX(職員マスタ!$B$6:$B$405,$AN1880)))</f>
        <v/>
      </c>
      <c r="W1880" s="14">
        <f>IF($AN1880="",IF($B1880="","",$R1880),IF(INDEX(職員マスタ!$C$6:$C$405,$AN1880)="",$R1880,INDEX(職員マスタ!$C$6:$C$405,$AN1880)))</f>
        <v/>
      </c>
      <c r="X1880" s="14">
        <f>IF($AO1880="","","R"&amp;$C1880&amp;"."&amp;$D1880)</f>
        <v/>
      </c>
      <c r="Y1880" s="15">
        <f>IF($AN1880="","",IF(INDEX(職員マスタ!$K$6:$K$405,$AN1880)="","",INDEX(職員マスタ!$K$6:$K$405,$AN1880)))</f>
        <v/>
      </c>
      <c r="Z1880" s="14">
        <f>IF(OR($E1880="",$Y1880=""),"",IF($E1880&gt;=$Y1880,"×",IF($E1880&gt;=$Y1880*設定!$C$5,"△","○")))</f>
        <v/>
      </c>
      <c r="AA1880" s="15">
        <f>IF($Z1880="","",IF($Z1880="×",0,IF($Z1880="○",ROUNDDOWN($E1880*設定!$C$4,0),ROUNDDOWN($E1880*ROUND((9*$Y1880-9*$E1880)/(10*$E1880),4),0))))</f>
        <v/>
      </c>
      <c r="AB1880" s="13" t="n"/>
      <c r="AC1880" s="15">
        <f>IF($B1880="","",IF($AB1880&lt;&gt;"",$AB1880,IF($AA1880="","",IF($AA1880&lt;=設定!$C$3,0,$AA1880))))</f>
        <v/>
      </c>
      <c r="AD1880" s="14">
        <f>IF($B1880="","",IF(AND($AE1880&lt;&gt;"",$AG1880="",$AJ1880=""),"保留中",IF($AJ1880&lt;&gt;"",IF(N($AC1880)&gt;0,"支給済","不支給"),IF($AC1880="","要確認",IF($AC1880=0,"不支給","未処理")))))</f>
        <v/>
      </c>
      <c r="AE1880" s="12" t="n"/>
      <c r="AF1880" s="11" t="n"/>
      <c r="AG1880" s="11" t="n"/>
      <c r="AH1880" s="11" t="n"/>
      <c r="AI1880" s="14">
        <f>IF(AND($AD1880="保留中",$AF1880&lt;&gt;""),TODAY()-$AF1880,"")</f>
        <v/>
      </c>
      <c r="AJ1880" s="12" t="n"/>
      <c r="AK1880" s="14">
        <f>IF($B1880="","",IF($AO1880="","対象年月が未入力／","")&amp;IF($B1880="","",IF($AN1880="","職員マスタに未登録の職員番号／",IF($Y1880="","標準報酬月額が未登録／","")&amp;IF(AND($AO1880&lt;&gt;"",OR(AND(INDEX(職員マスタ!$G$6:$G$405,$AN1880)&lt;&gt;"",INDEX(職員マスタ!$G$6:$G$405,$AN1880)&gt;EOMONTH($AO1880,0)),AND(INDEX(職員マスタ!$H$6:$H$405,$AN1880)&lt;&gt;"",INDEX(職員マスタ!$H$6:$H$405,$AN1880)&lt;$AO1880))),"対象月が時短期間外／","")&amp;IF(AND(INDEX(職員マスタ!$F$6:$F$405,$AN1880)&lt;&gt;"",$AO1880&lt;&gt;"",INDEX(職員マスタ!$F$6:$F$405,$AN1880)&lt;$AO1880),"対象月に子が2歳到達済／","")&amp;IF(AND($H1880&lt;&gt;"",INDEX(職員マスタ!$B$6:$B$405,$AN1880)&lt;&gt;"",SUBSTITUTE(SUBSTITUTE($H1880," ","")," ","")&lt;&gt;SUBSTITUTE(SUBSTITUTE(INDEX(職員マスタ!$B$6:$B$405,$AN1880)," ","")," ","")),"氏名がマスタと相違／","")&amp;IF(AND($Q1880&lt;&gt;"",INDEX(職員マスタ!$E$6:$E$405,$AN1880)&lt;&gt;"",$Q1880&lt;&gt;INDEX(職員マスタ!$E$6:$E$405,$AN1880)),"子の生年月日がマスタと相違／","")&amp;IF(AND($L1880&lt;&gt;"",INDEX(職員マスタ!$G$6:$G$405,$AN1880)&lt;&gt;"",$L1880&lt;&gt;INDEX(職員マスタ!$G$6:$G$405,$AN1880)),"時短開始日がマスタと相違／","")&amp;IF(AND($M1880&lt;&gt;"",INDEX(職員マスタ!$H$6:$H$405,$AN1880)&lt;&gt;"",$M1880&lt;&gt;INDEX(職員マスタ!$H$6:$H$405,$AN1880)),"時短終了日がマスタと相違／","")))&amp;IF(AND($B1880&lt;&gt;"",$E1880=""),"報酬額が未入力／","")&amp;IF(N($U1880)&gt;0,"申請書に入力エラーが残っています／","")&amp;IF(AND($B1880&lt;&gt;"",$AO1880&lt;&gt;""),IF(COUNTIFS($B$6:$B$3005,$B1880,$C$6:$C$3005,$C1880,$D$6:$D$3005,$D1880)&gt;1,"同じ月の請求が重複しています／",""),"")&amp;IF(AND(N($E1880)&gt;0,$Z1880&lt;&gt;"",$Z1880&lt;&gt;"×",$AC1880=0,$AB1880=""),"計算額が下限以下のため不支給／",""))</f>
        <v/>
      </c>
      <c r="AL1880" s="12" t="n"/>
      <c r="AM1880" s="14">
        <f>IF($AD1880="保留中",COUNTIF($AD$6:$AD1880,"保留中"),"")</f>
        <v/>
      </c>
      <c r="AN1880" s="14">
        <f>IF($AO1880="","",IF(SUMPRODUCT(MAX((職員マスタ!$A$6:$A$405=$B1880)*(((職員マスタ!$G$6:$G$405="")+(職員マスタ!$G$6:$G$405&lt;=EOMONTH($AO1880,0)))&gt;0)*(((職員マスタ!$H$6:$H$405="")+(職員マスタ!$H$6:$H$405&gt;=$AO1880))&gt;0)*(ROW(職員マスタ!$A$6:$A$405)-5)))&gt;0,SUMPRODUCT(MAX((職員マスタ!$A$6:$A$405=$B1880)*(((職員マスタ!$G$6:$G$405="")+(職員マスタ!$G$6:$G$405&lt;=EOMONTH($AO1880,0)))&gt;0)*(((職員マスタ!$H$6:$H$405="")+(職員マスタ!$H$6:$H$405&gt;=$AO1880))&gt;0)*(ROW(職員マスタ!$A$6:$A$405)-5))),IFERROR(MATCH($B1880,職員マスタ!$A$6:$A$405,0),"")))</f>
        <v/>
      </c>
      <c r="AO1880" s="16">
        <f>IF(OR($B1880="",$C1880="",$D1880=""),"",DATE($C1880+2018,$D1880,1))</f>
        <v/>
      </c>
    </row>
    <row r="1881">
      <c r="A1881" s="11" t="n"/>
      <c r="B1881" s="12" t="n"/>
      <c r="C1881" s="12" t="n"/>
      <c r="D1881" s="12" t="n"/>
      <c r="E1881" s="13" t="n"/>
      <c r="F1881" s="12" t="n"/>
      <c r="G1881" s="13" t="n"/>
      <c r="H1881" s="12" t="n"/>
      <c r="I1881" s="12" t="n"/>
      <c r="J1881" s="12" t="n"/>
      <c r="K1881" s="12" t="n"/>
      <c r="L1881" s="11" t="n"/>
      <c r="M1881" s="11" t="n"/>
      <c r="N1881" s="11" t="n"/>
      <c r="O1881" s="11" t="n"/>
      <c r="P1881" s="12" t="n"/>
      <c r="Q1881" s="11" t="n"/>
      <c r="R1881" s="12" t="n"/>
      <c r="S1881" s="11" t="n"/>
      <c r="T1881" s="12" t="n"/>
      <c r="U1881" s="12" t="n"/>
      <c r="V1881" s="14">
        <f>IF($AN1881="",IF($B1881="","",$H1881),IF(INDEX(職員マスタ!$B$6:$B$405,$AN1881)="",$H1881,INDEX(職員マスタ!$B$6:$B$405,$AN1881)))</f>
        <v/>
      </c>
      <c r="W1881" s="14">
        <f>IF($AN1881="",IF($B1881="","",$R1881),IF(INDEX(職員マスタ!$C$6:$C$405,$AN1881)="",$R1881,INDEX(職員マスタ!$C$6:$C$405,$AN1881)))</f>
        <v/>
      </c>
      <c r="X1881" s="14">
        <f>IF($AO1881="","","R"&amp;$C1881&amp;"."&amp;$D1881)</f>
        <v/>
      </c>
      <c r="Y1881" s="15">
        <f>IF($AN1881="","",IF(INDEX(職員マスタ!$K$6:$K$405,$AN1881)="","",INDEX(職員マスタ!$K$6:$K$405,$AN1881)))</f>
        <v/>
      </c>
      <c r="Z1881" s="14">
        <f>IF(OR($E1881="",$Y1881=""),"",IF($E1881&gt;=$Y1881,"×",IF($E1881&gt;=$Y1881*設定!$C$5,"△","○")))</f>
        <v/>
      </c>
      <c r="AA1881" s="15">
        <f>IF($Z1881="","",IF($Z1881="×",0,IF($Z1881="○",ROUNDDOWN($E1881*設定!$C$4,0),ROUNDDOWN($E1881*ROUND((9*$Y1881-9*$E1881)/(10*$E1881),4),0))))</f>
        <v/>
      </c>
      <c r="AB1881" s="13" t="n"/>
      <c r="AC1881" s="15">
        <f>IF($B1881="","",IF($AB1881&lt;&gt;"",$AB1881,IF($AA1881="","",IF($AA1881&lt;=設定!$C$3,0,$AA1881))))</f>
        <v/>
      </c>
      <c r="AD1881" s="14">
        <f>IF($B1881="","",IF(AND($AE1881&lt;&gt;"",$AG1881="",$AJ1881=""),"保留中",IF($AJ1881&lt;&gt;"",IF(N($AC1881)&gt;0,"支給済","不支給"),IF($AC1881="","要確認",IF($AC1881=0,"不支給","未処理")))))</f>
        <v/>
      </c>
      <c r="AE1881" s="12" t="n"/>
      <c r="AF1881" s="11" t="n"/>
      <c r="AG1881" s="11" t="n"/>
      <c r="AH1881" s="11" t="n"/>
      <c r="AI1881" s="14">
        <f>IF(AND($AD1881="保留中",$AF1881&lt;&gt;""),TODAY()-$AF1881,"")</f>
        <v/>
      </c>
      <c r="AJ1881" s="12" t="n"/>
      <c r="AK1881" s="14">
        <f>IF($B1881="","",IF($AO1881="","対象年月が未入力／","")&amp;IF($B1881="","",IF($AN1881="","職員マスタに未登録の職員番号／",IF($Y1881="","標準報酬月額が未登録／","")&amp;IF(AND($AO1881&lt;&gt;"",OR(AND(INDEX(職員マスタ!$G$6:$G$405,$AN1881)&lt;&gt;"",INDEX(職員マスタ!$G$6:$G$405,$AN1881)&gt;EOMONTH($AO1881,0)),AND(INDEX(職員マスタ!$H$6:$H$405,$AN1881)&lt;&gt;"",INDEX(職員マスタ!$H$6:$H$405,$AN1881)&lt;$AO1881))),"対象月が時短期間外／","")&amp;IF(AND(INDEX(職員マスタ!$F$6:$F$405,$AN1881)&lt;&gt;"",$AO1881&lt;&gt;"",INDEX(職員マスタ!$F$6:$F$405,$AN1881)&lt;$AO1881),"対象月に子が2歳到達済／","")&amp;IF(AND($H1881&lt;&gt;"",INDEX(職員マスタ!$B$6:$B$405,$AN1881)&lt;&gt;"",SUBSTITUTE(SUBSTITUTE($H1881," ","")," ","")&lt;&gt;SUBSTITUTE(SUBSTITUTE(INDEX(職員マスタ!$B$6:$B$405,$AN1881)," ","")," ","")),"氏名がマスタと相違／","")&amp;IF(AND($Q1881&lt;&gt;"",INDEX(職員マスタ!$E$6:$E$405,$AN1881)&lt;&gt;"",$Q1881&lt;&gt;INDEX(職員マスタ!$E$6:$E$405,$AN1881)),"子の生年月日がマスタと相違／","")&amp;IF(AND($L1881&lt;&gt;"",INDEX(職員マスタ!$G$6:$G$405,$AN1881)&lt;&gt;"",$L1881&lt;&gt;INDEX(職員マスタ!$G$6:$G$405,$AN1881)),"時短開始日がマスタと相違／","")&amp;IF(AND($M1881&lt;&gt;"",INDEX(職員マスタ!$H$6:$H$405,$AN1881)&lt;&gt;"",$M1881&lt;&gt;INDEX(職員マスタ!$H$6:$H$405,$AN1881)),"時短終了日がマスタと相違／","")))&amp;IF(AND($B1881&lt;&gt;"",$E1881=""),"報酬額が未入力／","")&amp;IF(N($U1881)&gt;0,"申請書に入力エラーが残っています／","")&amp;IF(AND($B1881&lt;&gt;"",$AO1881&lt;&gt;""),IF(COUNTIFS($B$6:$B$3005,$B1881,$C$6:$C$3005,$C1881,$D$6:$D$3005,$D1881)&gt;1,"同じ月の請求が重複しています／",""),"")&amp;IF(AND(N($E1881)&gt;0,$Z1881&lt;&gt;"",$Z1881&lt;&gt;"×",$AC1881=0,$AB1881=""),"計算額が下限以下のため不支給／",""))</f>
        <v/>
      </c>
      <c r="AL1881" s="12" t="n"/>
      <c r="AM1881" s="14">
        <f>IF($AD1881="保留中",COUNTIF($AD$6:$AD1881,"保留中"),"")</f>
        <v/>
      </c>
      <c r="AN1881" s="14">
        <f>IF($AO1881="","",IF(SUMPRODUCT(MAX((職員マスタ!$A$6:$A$405=$B1881)*(((職員マスタ!$G$6:$G$405="")+(職員マスタ!$G$6:$G$405&lt;=EOMONTH($AO1881,0)))&gt;0)*(((職員マスタ!$H$6:$H$405="")+(職員マスタ!$H$6:$H$405&gt;=$AO1881))&gt;0)*(ROW(職員マスタ!$A$6:$A$405)-5)))&gt;0,SUMPRODUCT(MAX((職員マスタ!$A$6:$A$405=$B1881)*(((職員マスタ!$G$6:$G$405="")+(職員マスタ!$G$6:$G$405&lt;=EOMONTH($AO1881,0)))&gt;0)*(((職員マスタ!$H$6:$H$405="")+(職員マスタ!$H$6:$H$405&gt;=$AO1881))&gt;0)*(ROW(職員マスタ!$A$6:$A$405)-5))),IFERROR(MATCH($B1881,職員マスタ!$A$6:$A$405,0),"")))</f>
        <v/>
      </c>
      <c r="AO1881" s="16">
        <f>IF(OR($B1881="",$C1881="",$D1881=""),"",DATE($C1881+2018,$D1881,1))</f>
        <v/>
      </c>
    </row>
    <row r="1882">
      <c r="A1882" s="11" t="n"/>
      <c r="B1882" s="12" t="n"/>
      <c r="C1882" s="12" t="n"/>
      <c r="D1882" s="12" t="n"/>
      <c r="E1882" s="13" t="n"/>
      <c r="F1882" s="12" t="n"/>
      <c r="G1882" s="13" t="n"/>
      <c r="H1882" s="12" t="n"/>
      <c r="I1882" s="12" t="n"/>
      <c r="J1882" s="12" t="n"/>
      <c r="K1882" s="12" t="n"/>
      <c r="L1882" s="11" t="n"/>
      <c r="M1882" s="11" t="n"/>
      <c r="N1882" s="11" t="n"/>
      <c r="O1882" s="11" t="n"/>
      <c r="P1882" s="12" t="n"/>
      <c r="Q1882" s="11" t="n"/>
      <c r="R1882" s="12" t="n"/>
      <c r="S1882" s="11" t="n"/>
      <c r="T1882" s="12" t="n"/>
      <c r="U1882" s="12" t="n"/>
      <c r="V1882" s="14">
        <f>IF($AN1882="",IF($B1882="","",$H1882),IF(INDEX(職員マスタ!$B$6:$B$405,$AN1882)="",$H1882,INDEX(職員マスタ!$B$6:$B$405,$AN1882)))</f>
        <v/>
      </c>
      <c r="W1882" s="14">
        <f>IF($AN1882="",IF($B1882="","",$R1882),IF(INDEX(職員マスタ!$C$6:$C$405,$AN1882)="",$R1882,INDEX(職員マスタ!$C$6:$C$405,$AN1882)))</f>
        <v/>
      </c>
      <c r="X1882" s="14">
        <f>IF($AO1882="","","R"&amp;$C1882&amp;"."&amp;$D1882)</f>
        <v/>
      </c>
      <c r="Y1882" s="15">
        <f>IF($AN1882="","",IF(INDEX(職員マスタ!$K$6:$K$405,$AN1882)="","",INDEX(職員マスタ!$K$6:$K$405,$AN1882)))</f>
        <v/>
      </c>
      <c r="Z1882" s="14">
        <f>IF(OR($E1882="",$Y1882=""),"",IF($E1882&gt;=$Y1882,"×",IF($E1882&gt;=$Y1882*設定!$C$5,"△","○")))</f>
        <v/>
      </c>
      <c r="AA1882" s="15">
        <f>IF($Z1882="","",IF($Z1882="×",0,IF($Z1882="○",ROUNDDOWN($E1882*設定!$C$4,0),ROUNDDOWN($E1882*ROUND((9*$Y1882-9*$E1882)/(10*$E1882),4),0))))</f>
        <v/>
      </c>
      <c r="AB1882" s="13" t="n"/>
      <c r="AC1882" s="15">
        <f>IF($B1882="","",IF($AB1882&lt;&gt;"",$AB1882,IF($AA1882="","",IF($AA1882&lt;=設定!$C$3,0,$AA1882))))</f>
        <v/>
      </c>
      <c r="AD1882" s="14">
        <f>IF($B1882="","",IF(AND($AE1882&lt;&gt;"",$AG1882="",$AJ1882=""),"保留中",IF($AJ1882&lt;&gt;"",IF(N($AC1882)&gt;0,"支給済","不支給"),IF($AC1882="","要確認",IF($AC1882=0,"不支給","未処理")))))</f>
        <v/>
      </c>
      <c r="AE1882" s="12" t="n"/>
      <c r="AF1882" s="11" t="n"/>
      <c r="AG1882" s="11" t="n"/>
      <c r="AH1882" s="11" t="n"/>
      <c r="AI1882" s="14">
        <f>IF(AND($AD1882="保留中",$AF1882&lt;&gt;""),TODAY()-$AF1882,"")</f>
        <v/>
      </c>
      <c r="AJ1882" s="12" t="n"/>
      <c r="AK1882" s="14">
        <f>IF($B1882="","",IF($AO1882="","対象年月が未入力／","")&amp;IF($B1882="","",IF($AN1882="","職員マスタに未登録の職員番号／",IF($Y1882="","標準報酬月額が未登録／","")&amp;IF(AND($AO1882&lt;&gt;"",OR(AND(INDEX(職員マスタ!$G$6:$G$405,$AN1882)&lt;&gt;"",INDEX(職員マスタ!$G$6:$G$405,$AN1882)&gt;EOMONTH($AO1882,0)),AND(INDEX(職員マスタ!$H$6:$H$405,$AN1882)&lt;&gt;"",INDEX(職員マスタ!$H$6:$H$405,$AN1882)&lt;$AO1882))),"対象月が時短期間外／","")&amp;IF(AND(INDEX(職員マスタ!$F$6:$F$405,$AN1882)&lt;&gt;"",$AO1882&lt;&gt;"",INDEX(職員マスタ!$F$6:$F$405,$AN1882)&lt;$AO1882),"対象月に子が2歳到達済／","")&amp;IF(AND($H1882&lt;&gt;"",INDEX(職員マスタ!$B$6:$B$405,$AN1882)&lt;&gt;"",SUBSTITUTE(SUBSTITUTE($H1882," ","")," ","")&lt;&gt;SUBSTITUTE(SUBSTITUTE(INDEX(職員マスタ!$B$6:$B$405,$AN1882)," ","")," ","")),"氏名がマスタと相違／","")&amp;IF(AND($Q1882&lt;&gt;"",INDEX(職員マスタ!$E$6:$E$405,$AN1882)&lt;&gt;"",$Q1882&lt;&gt;INDEX(職員マスタ!$E$6:$E$405,$AN1882)),"子の生年月日がマスタと相違／","")&amp;IF(AND($L1882&lt;&gt;"",INDEX(職員マスタ!$G$6:$G$405,$AN1882)&lt;&gt;"",$L1882&lt;&gt;INDEX(職員マスタ!$G$6:$G$405,$AN1882)),"時短開始日がマスタと相違／","")&amp;IF(AND($M1882&lt;&gt;"",INDEX(職員マスタ!$H$6:$H$405,$AN1882)&lt;&gt;"",$M1882&lt;&gt;INDEX(職員マスタ!$H$6:$H$405,$AN1882)),"時短終了日がマスタと相違／","")))&amp;IF(AND($B1882&lt;&gt;"",$E1882=""),"報酬額が未入力／","")&amp;IF(N($U1882)&gt;0,"申請書に入力エラーが残っています／","")&amp;IF(AND($B1882&lt;&gt;"",$AO1882&lt;&gt;""),IF(COUNTIFS($B$6:$B$3005,$B1882,$C$6:$C$3005,$C1882,$D$6:$D$3005,$D1882)&gt;1,"同じ月の請求が重複しています／",""),"")&amp;IF(AND(N($E1882)&gt;0,$Z1882&lt;&gt;"",$Z1882&lt;&gt;"×",$AC1882=0,$AB1882=""),"計算額が下限以下のため不支給／",""))</f>
        <v/>
      </c>
      <c r="AL1882" s="12" t="n"/>
      <c r="AM1882" s="14">
        <f>IF($AD1882="保留中",COUNTIF($AD$6:$AD1882,"保留中"),"")</f>
        <v/>
      </c>
      <c r="AN1882" s="14">
        <f>IF($AO1882="","",IF(SUMPRODUCT(MAX((職員マスタ!$A$6:$A$405=$B1882)*(((職員マスタ!$G$6:$G$405="")+(職員マスタ!$G$6:$G$405&lt;=EOMONTH($AO1882,0)))&gt;0)*(((職員マスタ!$H$6:$H$405="")+(職員マスタ!$H$6:$H$405&gt;=$AO1882))&gt;0)*(ROW(職員マスタ!$A$6:$A$405)-5)))&gt;0,SUMPRODUCT(MAX((職員マスタ!$A$6:$A$405=$B1882)*(((職員マスタ!$G$6:$G$405="")+(職員マスタ!$G$6:$G$405&lt;=EOMONTH($AO1882,0)))&gt;0)*(((職員マスタ!$H$6:$H$405="")+(職員マスタ!$H$6:$H$405&gt;=$AO1882))&gt;0)*(ROW(職員マスタ!$A$6:$A$405)-5))),IFERROR(MATCH($B1882,職員マスタ!$A$6:$A$405,0),"")))</f>
        <v/>
      </c>
      <c r="AO1882" s="16">
        <f>IF(OR($B1882="",$C1882="",$D1882=""),"",DATE($C1882+2018,$D1882,1))</f>
        <v/>
      </c>
    </row>
    <row r="1883">
      <c r="A1883" s="11" t="n"/>
      <c r="B1883" s="12" t="n"/>
      <c r="C1883" s="12" t="n"/>
      <c r="D1883" s="12" t="n"/>
      <c r="E1883" s="13" t="n"/>
      <c r="F1883" s="12" t="n"/>
      <c r="G1883" s="13" t="n"/>
      <c r="H1883" s="12" t="n"/>
      <c r="I1883" s="12" t="n"/>
      <c r="J1883" s="12" t="n"/>
      <c r="K1883" s="12" t="n"/>
      <c r="L1883" s="11" t="n"/>
      <c r="M1883" s="11" t="n"/>
      <c r="N1883" s="11" t="n"/>
      <c r="O1883" s="11" t="n"/>
      <c r="P1883" s="12" t="n"/>
      <c r="Q1883" s="11" t="n"/>
      <c r="R1883" s="12" t="n"/>
      <c r="S1883" s="11" t="n"/>
      <c r="T1883" s="12" t="n"/>
      <c r="U1883" s="12" t="n"/>
      <c r="V1883" s="14">
        <f>IF($AN1883="",IF($B1883="","",$H1883),IF(INDEX(職員マスタ!$B$6:$B$405,$AN1883)="",$H1883,INDEX(職員マスタ!$B$6:$B$405,$AN1883)))</f>
        <v/>
      </c>
      <c r="W1883" s="14">
        <f>IF($AN1883="",IF($B1883="","",$R1883),IF(INDEX(職員マスタ!$C$6:$C$405,$AN1883)="",$R1883,INDEX(職員マスタ!$C$6:$C$405,$AN1883)))</f>
        <v/>
      </c>
      <c r="X1883" s="14">
        <f>IF($AO1883="","","R"&amp;$C1883&amp;"."&amp;$D1883)</f>
        <v/>
      </c>
      <c r="Y1883" s="15">
        <f>IF($AN1883="","",IF(INDEX(職員マスタ!$K$6:$K$405,$AN1883)="","",INDEX(職員マスタ!$K$6:$K$405,$AN1883)))</f>
        <v/>
      </c>
      <c r="Z1883" s="14">
        <f>IF(OR($E1883="",$Y1883=""),"",IF($E1883&gt;=$Y1883,"×",IF($E1883&gt;=$Y1883*設定!$C$5,"△","○")))</f>
        <v/>
      </c>
      <c r="AA1883" s="15">
        <f>IF($Z1883="","",IF($Z1883="×",0,IF($Z1883="○",ROUNDDOWN($E1883*設定!$C$4,0),ROUNDDOWN($E1883*ROUND((9*$Y1883-9*$E1883)/(10*$E1883),4),0))))</f>
        <v/>
      </c>
      <c r="AB1883" s="13" t="n"/>
      <c r="AC1883" s="15">
        <f>IF($B1883="","",IF($AB1883&lt;&gt;"",$AB1883,IF($AA1883="","",IF($AA1883&lt;=設定!$C$3,0,$AA1883))))</f>
        <v/>
      </c>
      <c r="AD1883" s="14">
        <f>IF($B1883="","",IF(AND($AE1883&lt;&gt;"",$AG1883="",$AJ1883=""),"保留中",IF($AJ1883&lt;&gt;"",IF(N($AC1883)&gt;0,"支給済","不支給"),IF($AC1883="","要確認",IF($AC1883=0,"不支給","未処理")))))</f>
        <v/>
      </c>
      <c r="AE1883" s="12" t="n"/>
      <c r="AF1883" s="11" t="n"/>
      <c r="AG1883" s="11" t="n"/>
      <c r="AH1883" s="11" t="n"/>
      <c r="AI1883" s="14">
        <f>IF(AND($AD1883="保留中",$AF1883&lt;&gt;""),TODAY()-$AF1883,"")</f>
        <v/>
      </c>
      <c r="AJ1883" s="12" t="n"/>
      <c r="AK1883" s="14">
        <f>IF($B1883="","",IF($AO1883="","対象年月が未入力／","")&amp;IF($B1883="","",IF($AN1883="","職員マスタに未登録の職員番号／",IF($Y1883="","標準報酬月額が未登録／","")&amp;IF(AND($AO1883&lt;&gt;"",OR(AND(INDEX(職員マスタ!$G$6:$G$405,$AN1883)&lt;&gt;"",INDEX(職員マスタ!$G$6:$G$405,$AN1883)&gt;EOMONTH($AO1883,0)),AND(INDEX(職員マスタ!$H$6:$H$405,$AN1883)&lt;&gt;"",INDEX(職員マスタ!$H$6:$H$405,$AN1883)&lt;$AO1883))),"対象月が時短期間外／","")&amp;IF(AND(INDEX(職員マスタ!$F$6:$F$405,$AN1883)&lt;&gt;"",$AO1883&lt;&gt;"",INDEX(職員マスタ!$F$6:$F$405,$AN1883)&lt;$AO1883),"対象月に子が2歳到達済／","")&amp;IF(AND($H1883&lt;&gt;"",INDEX(職員マスタ!$B$6:$B$405,$AN1883)&lt;&gt;"",SUBSTITUTE(SUBSTITUTE($H1883," ","")," ","")&lt;&gt;SUBSTITUTE(SUBSTITUTE(INDEX(職員マスタ!$B$6:$B$405,$AN1883)," ","")," ","")),"氏名がマスタと相違／","")&amp;IF(AND($Q1883&lt;&gt;"",INDEX(職員マスタ!$E$6:$E$405,$AN1883)&lt;&gt;"",$Q1883&lt;&gt;INDEX(職員マスタ!$E$6:$E$405,$AN1883)),"子の生年月日がマスタと相違／","")&amp;IF(AND($L1883&lt;&gt;"",INDEX(職員マスタ!$G$6:$G$405,$AN1883)&lt;&gt;"",$L1883&lt;&gt;INDEX(職員マスタ!$G$6:$G$405,$AN1883)),"時短開始日がマスタと相違／","")&amp;IF(AND($M1883&lt;&gt;"",INDEX(職員マスタ!$H$6:$H$405,$AN1883)&lt;&gt;"",$M1883&lt;&gt;INDEX(職員マスタ!$H$6:$H$405,$AN1883)),"時短終了日がマスタと相違／","")))&amp;IF(AND($B1883&lt;&gt;"",$E1883=""),"報酬額が未入力／","")&amp;IF(N($U1883)&gt;0,"申請書に入力エラーが残っています／","")&amp;IF(AND($B1883&lt;&gt;"",$AO1883&lt;&gt;""),IF(COUNTIFS($B$6:$B$3005,$B1883,$C$6:$C$3005,$C1883,$D$6:$D$3005,$D1883)&gt;1,"同じ月の請求が重複しています／",""),"")&amp;IF(AND(N($E1883)&gt;0,$Z1883&lt;&gt;"",$Z1883&lt;&gt;"×",$AC1883=0,$AB1883=""),"計算額が下限以下のため不支給／",""))</f>
        <v/>
      </c>
      <c r="AL1883" s="12" t="n"/>
      <c r="AM1883" s="14">
        <f>IF($AD1883="保留中",COUNTIF($AD$6:$AD1883,"保留中"),"")</f>
        <v/>
      </c>
      <c r="AN1883" s="14">
        <f>IF($AO1883="","",IF(SUMPRODUCT(MAX((職員マスタ!$A$6:$A$405=$B1883)*(((職員マスタ!$G$6:$G$405="")+(職員マスタ!$G$6:$G$405&lt;=EOMONTH($AO1883,0)))&gt;0)*(((職員マスタ!$H$6:$H$405="")+(職員マスタ!$H$6:$H$405&gt;=$AO1883))&gt;0)*(ROW(職員マスタ!$A$6:$A$405)-5)))&gt;0,SUMPRODUCT(MAX((職員マスタ!$A$6:$A$405=$B1883)*(((職員マスタ!$G$6:$G$405="")+(職員マスタ!$G$6:$G$405&lt;=EOMONTH($AO1883,0)))&gt;0)*(((職員マスタ!$H$6:$H$405="")+(職員マスタ!$H$6:$H$405&gt;=$AO1883))&gt;0)*(ROW(職員マスタ!$A$6:$A$405)-5))),IFERROR(MATCH($B1883,職員マスタ!$A$6:$A$405,0),"")))</f>
        <v/>
      </c>
      <c r="AO1883" s="16">
        <f>IF(OR($B1883="",$C1883="",$D1883=""),"",DATE($C1883+2018,$D1883,1))</f>
        <v/>
      </c>
    </row>
    <row r="1884">
      <c r="A1884" s="11" t="n"/>
      <c r="B1884" s="12" t="n"/>
      <c r="C1884" s="12" t="n"/>
      <c r="D1884" s="12" t="n"/>
      <c r="E1884" s="13" t="n"/>
      <c r="F1884" s="12" t="n"/>
      <c r="G1884" s="13" t="n"/>
      <c r="H1884" s="12" t="n"/>
      <c r="I1884" s="12" t="n"/>
      <c r="J1884" s="12" t="n"/>
      <c r="K1884" s="12" t="n"/>
      <c r="L1884" s="11" t="n"/>
      <c r="M1884" s="11" t="n"/>
      <c r="N1884" s="11" t="n"/>
      <c r="O1884" s="11" t="n"/>
      <c r="P1884" s="12" t="n"/>
      <c r="Q1884" s="11" t="n"/>
      <c r="R1884" s="12" t="n"/>
      <c r="S1884" s="11" t="n"/>
      <c r="T1884" s="12" t="n"/>
      <c r="U1884" s="12" t="n"/>
      <c r="V1884" s="14">
        <f>IF($AN1884="",IF($B1884="","",$H1884),IF(INDEX(職員マスタ!$B$6:$B$405,$AN1884)="",$H1884,INDEX(職員マスタ!$B$6:$B$405,$AN1884)))</f>
        <v/>
      </c>
      <c r="W1884" s="14">
        <f>IF($AN1884="",IF($B1884="","",$R1884),IF(INDEX(職員マスタ!$C$6:$C$405,$AN1884)="",$R1884,INDEX(職員マスタ!$C$6:$C$405,$AN1884)))</f>
        <v/>
      </c>
      <c r="X1884" s="14">
        <f>IF($AO1884="","","R"&amp;$C1884&amp;"."&amp;$D1884)</f>
        <v/>
      </c>
      <c r="Y1884" s="15">
        <f>IF($AN1884="","",IF(INDEX(職員マスタ!$K$6:$K$405,$AN1884)="","",INDEX(職員マスタ!$K$6:$K$405,$AN1884)))</f>
        <v/>
      </c>
      <c r="Z1884" s="14">
        <f>IF(OR($E1884="",$Y1884=""),"",IF($E1884&gt;=$Y1884,"×",IF($E1884&gt;=$Y1884*設定!$C$5,"△","○")))</f>
        <v/>
      </c>
      <c r="AA1884" s="15">
        <f>IF($Z1884="","",IF($Z1884="×",0,IF($Z1884="○",ROUNDDOWN($E1884*設定!$C$4,0),ROUNDDOWN($E1884*ROUND((9*$Y1884-9*$E1884)/(10*$E1884),4),0))))</f>
        <v/>
      </c>
      <c r="AB1884" s="13" t="n"/>
      <c r="AC1884" s="15">
        <f>IF($B1884="","",IF($AB1884&lt;&gt;"",$AB1884,IF($AA1884="","",IF($AA1884&lt;=設定!$C$3,0,$AA1884))))</f>
        <v/>
      </c>
      <c r="AD1884" s="14">
        <f>IF($B1884="","",IF(AND($AE1884&lt;&gt;"",$AG1884="",$AJ1884=""),"保留中",IF($AJ1884&lt;&gt;"",IF(N($AC1884)&gt;0,"支給済","不支給"),IF($AC1884="","要確認",IF($AC1884=0,"不支給","未処理")))))</f>
        <v/>
      </c>
      <c r="AE1884" s="12" t="n"/>
      <c r="AF1884" s="11" t="n"/>
      <c r="AG1884" s="11" t="n"/>
      <c r="AH1884" s="11" t="n"/>
      <c r="AI1884" s="14">
        <f>IF(AND($AD1884="保留中",$AF1884&lt;&gt;""),TODAY()-$AF1884,"")</f>
        <v/>
      </c>
      <c r="AJ1884" s="12" t="n"/>
      <c r="AK1884" s="14">
        <f>IF($B1884="","",IF($AO1884="","対象年月が未入力／","")&amp;IF($B1884="","",IF($AN1884="","職員マスタに未登録の職員番号／",IF($Y1884="","標準報酬月額が未登録／","")&amp;IF(AND($AO1884&lt;&gt;"",OR(AND(INDEX(職員マスタ!$G$6:$G$405,$AN1884)&lt;&gt;"",INDEX(職員マスタ!$G$6:$G$405,$AN1884)&gt;EOMONTH($AO1884,0)),AND(INDEX(職員マスタ!$H$6:$H$405,$AN1884)&lt;&gt;"",INDEX(職員マスタ!$H$6:$H$405,$AN1884)&lt;$AO1884))),"対象月が時短期間外／","")&amp;IF(AND(INDEX(職員マスタ!$F$6:$F$405,$AN1884)&lt;&gt;"",$AO1884&lt;&gt;"",INDEX(職員マスタ!$F$6:$F$405,$AN1884)&lt;$AO1884),"対象月に子が2歳到達済／","")&amp;IF(AND($H1884&lt;&gt;"",INDEX(職員マスタ!$B$6:$B$405,$AN1884)&lt;&gt;"",SUBSTITUTE(SUBSTITUTE($H1884," ","")," ","")&lt;&gt;SUBSTITUTE(SUBSTITUTE(INDEX(職員マスタ!$B$6:$B$405,$AN1884)," ","")," ","")),"氏名がマスタと相違／","")&amp;IF(AND($Q1884&lt;&gt;"",INDEX(職員マスタ!$E$6:$E$405,$AN1884)&lt;&gt;"",$Q1884&lt;&gt;INDEX(職員マスタ!$E$6:$E$405,$AN1884)),"子の生年月日がマスタと相違／","")&amp;IF(AND($L1884&lt;&gt;"",INDEX(職員マスタ!$G$6:$G$405,$AN1884)&lt;&gt;"",$L1884&lt;&gt;INDEX(職員マスタ!$G$6:$G$405,$AN1884)),"時短開始日がマスタと相違／","")&amp;IF(AND($M1884&lt;&gt;"",INDEX(職員マスタ!$H$6:$H$405,$AN1884)&lt;&gt;"",$M1884&lt;&gt;INDEX(職員マスタ!$H$6:$H$405,$AN1884)),"時短終了日がマスタと相違／","")))&amp;IF(AND($B1884&lt;&gt;"",$E1884=""),"報酬額が未入力／","")&amp;IF(N($U1884)&gt;0,"申請書に入力エラーが残っています／","")&amp;IF(AND($B1884&lt;&gt;"",$AO1884&lt;&gt;""),IF(COUNTIFS($B$6:$B$3005,$B1884,$C$6:$C$3005,$C1884,$D$6:$D$3005,$D1884)&gt;1,"同じ月の請求が重複しています／",""),"")&amp;IF(AND(N($E1884)&gt;0,$Z1884&lt;&gt;"",$Z1884&lt;&gt;"×",$AC1884=0,$AB1884=""),"計算額が下限以下のため不支給／",""))</f>
        <v/>
      </c>
      <c r="AL1884" s="12" t="n"/>
      <c r="AM1884" s="14">
        <f>IF($AD1884="保留中",COUNTIF($AD$6:$AD1884,"保留中"),"")</f>
        <v/>
      </c>
      <c r="AN1884" s="14">
        <f>IF($AO1884="","",IF(SUMPRODUCT(MAX((職員マスタ!$A$6:$A$405=$B1884)*(((職員マスタ!$G$6:$G$405="")+(職員マスタ!$G$6:$G$405&lt;=EOMONTH($AO1884,0)))&gt;0)*(((職員マスタ!$H$6:$H$405="")+(職員マスタ!$H$6:$H$405&gt;=$AO1884))&gt;0)*(ROW(職員マスタ!$A$6:$A$405)-5)))&gt;0,SUMPRODUCT(MAX((職員マスタ!$A$6:$A$405=$B1884)*(((職員マスタ!$G$6:$G$405="")+(職員マスタ!$G$6:$G$405&lt;=EOMONTH($AO1884,0)))&gt;0)*(((職員マスタ!$H$6:$H$405="")+(職員マスタ!$H$6:$H$405&gt;=$AO1884))&gt;0)*(ROW(職員マスタ!$A$6:$A$405)-5))),IFERROR(MATCH($B1884,職員マスタ!$A$6:$A$405,0),"")))</f>
        <v/>
      </c>
      <c r="AO1884" s="16">
        <f>IF(OR($B1884="",$C1884="",$D1884=""),"",DATE($C1884+2018,$D1884,1))</f>
        <v/>
      </c>
    </row>
    <row r="1885">
      <c r="A1885" s="11" t="n"/>
      <c r="B1885" s="12" t="n"/>
      <c r="C1885" s="12" t="n"/>
      <c r="D1885" s="12" t="n"/>
      <c r="E1885" s="13" t="n"/>
      <c r="F1885" s="12" t="n"/>
      <c r="G1885" s="13" t="n"/>
      <c r="H1885" s="12" t="n"/>
      <c r="I1885" s="12" t="n"/>
      <c r="J1885" s="12" t="n"/>
      <c r="K1885" s="12" t="n"/>
      <c r="L1885" s="11" t="n"/>
      <c r="M1885" s="11" t="n"/>
      <c r="N1885" s="11" t="n"/>
      <c r="O1885" s="11" t="n"/>
      <c r="P1885" s="12" t="n"/>
      <c r="Q1885" s="11" t="n"/>
      <c r="R1885" s="12" t="n"/>
      <c r="S1885" s="11" t="n"/>
      <c r="T1885" s="12" t="n"/>
      <c r="U1885" s="12" t="n"/>
      <c r="V1885" s="14">
        <f>IF($AN1885="",IF($B1885="","",$H1885),IF(INDEX(職員マスタ!$B$6:$B$405,$AN1885)="",$H1885,INDEX(職員マスタ!$B$6:$B$405,$AN1885)))</f>
        <v/>
      </c>
      <c r="W1885" s="14">
        <f>IF($AN1885="",IF($B1885="","",$R1885),IF(INDEX(職員マスタ!$C$6:$C$405,$AN1885)="",$R1885,INDEX(職員マスタ!$C$6:$C$405,$AN1885)))</f>
        <v/>
      </c>
      <c r="X1885" s="14">
        <f>IF($AO1885="","","R"&amp;$C1885&amp;"."&amp;$D1885)</f>
        <v/>
      </c>
      <c r="Y1885" s="15">
        <f>IF($AN1885="","",IF(INDEX(職員マスタ!$K$6:$K$405,$AN1885)="","",INDEX(職員マスタ!$K$6:$K$405,$AN1885)))</f>
        <v/>
      </c>
      <c r="Z1885" s="14">
        <f>IF(OR($E1885="",$Y1885=""),"",IF($E1885&gt;=$Y1885,"×",IF($E1885&gt;=$Y1885*設定!$C$5,"△","○")))</f>
        <v/>
      </c>
      <c r="AA1885" s="15">
        <f>IF($Z1885="","",IF($Z1885="×",0,IF($Z1885="○",ROUNDDOWN($E1885*設定!$C$4,0),ROUNDDOWN($E1885*ROUND((9*$Y1885-9*$E1885)/(10*$E1885),4),0))))</f>
        <v/>
      </c>
      <c r="AB1885" s="13" t="n"/>
      <c r="AC1885" s="15">
        <f>IF($B1885="","",IF($AB1885&lt;&gt;"",$AB1885,IF($AA1885="","",IF($AA1885&lt;=設定!$C$3,0,$AA1885))))</f>
        <v/>
      </c>
      <c r="AD1885" s="14">
        <f>IF($B1885="","",IF(AND($AE1885&lt;&gt;"",$AG1885="",$AJ1885=""),"保留中",IF($AJ1885&lt;&gt;"",IF(N($AC1885)&gt;0,"支給済","不支給"),IF($AC1885="","要確認",IF($AC1885=0,"不支給","未処理")))))</f>
        <v/>
      </c>
      <c r="AE1885" s="12" t="n"/>
      <c r="AF1885" s="11" t="n"/>
      <c r="AG1885" s="11" t="n"/>
      <c r="AH1885" s="11" t="n"/>
      <c r="AI1885" s="14">
        <f>IF(AND($AD1885="保留中",$AF1885&lt;&gt;""),TODAY()-$AF1885,"")</f>
        <v/>
      </c>
      <c r="AJ1885" s="12" t="n"/>
      <c r="AK1885" s="14">
        <f>IF($B1885="","",IF($AO1885="","対象年月が未入力／","")&amp;IF($B1885="","",IF($AN1885="","職員マスタに未登録の職員番号／",IF($Y1885="","標準報酬月額が未登録／","")&amp;IF(AND($AO1885&lt;&gt;"",OR(AND(INDEX(職員マスタ!$G$6:$G$405,$AN1885)&lt;&gt;"",INDEX(職員マスタ!$G$6:$G$405,$AN1885)&gt;EOMONTH($AO1885,0)),AND(INDEX(職員マスタ!$H$6:$H$405,$AN1885)&lt;&gt;"",INDEX(職員マスタ!$H$6:$H$405,$AN1885)&lt;$AO1885))),"対象月が時短期間外／","")&amp;IF(AND(INDEX(職員マスタ!$F$6:$F$405,$AN1885)&lt;&gt;"",$AO1885&lt;&gt;"",INDEX(職員マスタ!$F$6:$F$405,$AN1885)&lt;$AO1885),"対象月に子が2歳到達済／","")&amp;IF(AND($H1885&lt;&gt;"",INDEX(職員マスタ!$B$6:$B$405,$AN1885)&lt;&gt;"",SUBSTITUTE(SUBSTITUTE($H1885," ","")," ","")&lt;&gt;SUBSTITUTE(SUBSTITUTE(INDEX(職員マスタ!$B$6:$B$405,$AN1885)," ","")," ","")),"氏名がマスタと相違／","")&amp;IF(AND($Q1885&lt;&gt;"",INDEX(職員マスタ!$E$6:$E$405,$AN1885)&lt;&gt;"",$Q1885&lt;&gt;INDEX(職員マスタ!$E$6:$E$405,$AN1885)),"子の生年月日がマスタと相違／","")&amp;IF(AND($L1885&lt;&gt;"",INDEX(職員マスタ!$G$6:$G$405,$AN1885)&lt;&gt;"",$L1885&lt;&gt;INDEX(職員マスタ!$G$6:$G$405,$AN1885)),"時短開始日がマスタと相違／","")&amp;IF(AND($M1885&lt;&gt;"",INDEX(職員マスタ!$H$6:$H$405,$AN1885)&lt;&gt;"",$M1885&lt;&gt;INDEX(職員マスタ!$H$6:$H$405,$AN1885)),"時短終了日がマスタと相違／","")))&amp;IF(AND($B1885&lt;&gt;"",$E1885=""),"報酬額が未入力／","")&amp;IF(N($U1885)&gt;0,"申請書に入力エラーが残っています／","")&amp;IF(AND($B1885&lt;&gt;"",$AO1885&lt;&gt;""),IF(COUNTIFS($B$6:$B$3005,$B1885,$C$6:$C$3005,$C1885,$D$6:$D$3005,$D1885)&gt;1,"同じ月の請求が重複しています／",""),"")&amp;IF(AND(N($E1885)&gt;0,$Z1885&lt;&gt;"",$Z1885&lt;&gt;"×",$AC1885=0,$AB1885=""),"計算額が下限以下のため不支給／",""))</f>
        <v/>
      </c>
      <c r="AL1885" s="12" t="n"/>
      <c r="AM1885" s="14">
        <f>IF($AD1885="保留中",COUNTIF($AD$6:$AD1885,"保留中"),"")</f>
        <v/>
      </c>
      <c r="AN1885" s="14">
        <f>IF($AO1885="","",IF(SUMPRODUCT(MAX((職員マスタ!$A$6:$A$405=$B1885)*(((職員マスタ!$G$6:$G$405="")+(職員マスタ!$G$6:$G$405&lt;=EOMONTH($AO1885,0)))&gt;0)*(((職員マスタ!$H$6:$H$405="")+(職員マスタ!$H$6:$H$405&gt;=$AO1885))&gt;0)*(ROW(職員マスタ!$A$6:$A$405)-5)))&gt;0,SUMPRODUCT(MAX((職員マスタ!$A$6:$A$405=$B1885)*(((職員マスタ!$G$6:$G$405="")+(職員マスタ!$G$6:$G$405&lt;=EOMONTH($AO1885,0)))&gt;0)*(((職員マスタ!$H$6:$H$405="")+(職員マスタ!$H$6:$H$405&gt;=$AO1885))&gt;0)*(ROW(職員マスタ!$A$6:$A$405)-5))),IFERROR(MATCH($B1885,職員マスタ!$A$6:$A$405,0),"")))</f>
        <v/>
      </c>
      <c r="AO1885" s="16">
        <f>IF(OR($B1885="",$C1885="",$D1885=""),"",DATE($C1885+2018,$D1885,1))</f>
        <v/>
      </c>
    </row>
    <row r="1886">
      <c r="A1886" s="11" t="n"/>
      <c r="B1886" s="12" t="n"/>
      <c r="C1886" s="12" t="n"/>
      <c r="D1886" s="12" t="n"/>
      <c r="E1886" s="13" t="n"/>
      <c r="F1886" s="12" t="n"/>
      <c r="G1886" s="13" t="n"/>
      <c r="H1886" s="12" t="n"/>
      <c r="I1886" s="12" t="n"/>
      <c r="J1886" s="12" t="n"/>
      <c r="K1886" s="12" t="n"/>
      <c r="L1886" s="11" t="n"/>
      <c r="M1886" s="11" t="n"/>
      <c r="N1886" s="11" t="n"/>
      <c r="O1886" s="11" t="n"/>
      <c r="P1886" s="12" t="n"/>
      <c r="Q1886" s="11" t="n"/>
      <c r="R1886" s="12" t="n"/>
      <c r="S1886" s="11" t="n"/>
      <c r="T1886" s="12" t="n"/>
      <c r="U1886" s="12" t="n"/>
      <c r="V1886" s="14">
        <f>IF($AN1886="",IF($B1886="","",$H1886),IF(INDEX(職員マスタ!$B$6:$B$405,$AN1886)="",$H1886,INDEX(職員マスタ!$B$6:$B$405,$AN1886)))</f>
        <v/>
      </c>
      <c r="W1886" s="14">
        <f>IF($AN1886="",IF($B1886="","",$R1886),IF(INDEX(職員マスタ!$C$6:$C$405,$AN1886)="",$R1886,INDEX(職員マスタ!$C$6:$C$405,$AN1886)))</f>
        <v/>
      </c>
      <c r="X1886" s="14">
        <f>IF($AO1886="","","R"&amp;$C1886&amp;"."&amp;$D1886)</f>
        <v/>
      </c>
      <c r="Y1886" s="15">
        <f>IF($AN1886="","",IF(INDEX(職員マスタ!$K$6:$K$405,$AN1886)="","",INDEX(職員マスタ!$K$6:$K$405,$AN1886)))</f>
        <v/>
      </c>
      <c r="Z1886" s="14">
        <f>IF(OR($E1886="",$Y1886=""),"",IF($E1886&gt;=$Y1886,"×",IF($E1886&gt;=$Y1886*設定!$C$5,"△","○")))</f>
        <v/>
      </c>
      <c r="AA1886" s="15">
        <f>IF($Z1886="","",IF($Z1886="×",0,IF($Z1886="○",ROUNDDOWN($E1886*設定!$C$4,0),ROUNDDOWN($E1886*ROUND((9*$Y1886-9*$E1886)/(10*$E1886),4),0))))</f>
        <v/>
      </c>
      <c r="AB1886" s="13" t="n"/>
      <c r="AC1886" s="15">
        <f>IF($B1886="","",IF($AB1886&lt;&gt;"",$AB1886,IF($AA1886="","",IF($AA1886&lt;=設定!$C$3,0,$AA1886))))</f>
        <v/>
      </c>
      <c r="AD1886" s="14">
        <f>IF($B1886="","",IF(AND($AE1886&lt;&gt;"",$AG1886="",$AJ1886=""),"保留中",IF($AJ1886&lt;&gt;"",IF(N($AC1886)&gt;0,"支給済","不支給"),IF($AC1886="","要確認",IF($AC1886=0,"不支給","未処理")))))</f>
        <v/>
      </c>
      <c r="AE1886" s="12" t="n"/>
      <c r="AF1886" s="11" t="n"/>
      <c r="AG1886" s="11" t="n"/>
      <c r="AH1886" s="11" t="n"/>
      <c r="AI1886" s="14">
        <f>IF(AND($AD1886="保留中",$AF1886&lt;&gt;""),TODAY()-$AF1886,"")</f>
        <v/>
      </c>
      <c r="AJ1886" s="12" t="n"/>
      <c r="AK1886" s="14">
        <f>IF($B1886="","",IF($AO1886="","対象年月が未入力／","")&amp;IF($B1886="","",IF($AN1886="","職員マスタに未登録の職員番号／",IF($Y1886="","標準報酬月額が未登録／","")&amp;IF(AND($AO1886&lt;&gt;"",OR(AND(INDEX(職員マスタ!$G$6:$G$405,$AN1886)&lt;&gt;"",INDEX(職員マスタ!$G$6:$G$405,$AN1886)&gt;EOMONTH($AO1886,0)),AND(INDEX(職員マスタ!$H$6:$H$405,$AN1886)&lt;&gt;"",INDEX(職員マスタ!$H$6:$H$405,$AN1886)&lt;$AO1886))),"対象月が時短期間外／","")&amp;IF(AND(INDEX(職員マスタ!$F$6:$F$405,$AN1886)&lt;&gt;"",$AO1886&lt;&gt;"",INDEX(職員マスタ!$F$6:$F$405,$AN1886)&lt;$AO1886),"対象月に子が2歳到達済／","")&amp;IF(AND($H1886&lt;&gt;"",INDEX(職員マスタ!$B$6:$B$405,$AN1886)&lt;&gt;"",SUBSTITUTE(SUBSTITUTE($H1886," ","")," ","")&lt;&gt;SUBSTITUTE(SUBSTITUTE(INDEX(職員マスタ!$B$6:$B$405,$AN1886)," ","")," ","")),"氏名がマスタと相違／","")&amp;IF(AND($Q1886&lt;&gt;"",INDEX(職員マスタ!$E$6:$E$405,$AN1886)&lt;&gt;"",$Q1886&lt;&gt;INDEX(職員マスタ!$E$6:$E$405,$AN1886)),"子の生年月日がマスタと相違／","")&amp;IF(AND($L1886&lt;&gt;"",INDEX(職員マスタ!$G$6:$G$405,$AN1886)&lt;&gt;"",$L1886&lt;&gt;INDEX(職員マスタ!$G$6:$G$405,$AN1886)),"時短開始日がマスタと相違／","")&amp;IF(AND($M1886&lt;&gt;"",INDEX(職員マスタ!$H$6:$H$405,$AN1886)&lt;&gt;"",$M1886&lt;&gt;INDEX(職員マスタ!$H$6:$H$405,$AN1886)),"時短終了日がマスタと相違／","")))&amp;IF(AND($B1886&lt;&gt;"",$E1886=""),"報酬額が未入力／","")&amp;IF(N($U1886)&gt;0,"申請書に入力エラーが残っています／","")&amp;IF(AND($B1886&lt;&gt;"",$AO1886&lt;&gt;""),IF(COUNTIFS($B$6:$B$3005,$B1886,$C$6:$C$3005,$C1886,$D$6:$D$3005,$D1886)&gt;1,"同じ月の請求が重複しています／",""),"")&amp;IF(AND(N($E1886)&gt;0,$Z1886&lt;&gt;"",$Z1886&lt;&gt;"×",$AC1886=0,$AB1886=""),"計算額が下限以下のため不支給／",""))</f>
        <v/>
      </c>
      <c r="AL1886" s="12" t="n"/>
      <c r="AM1886" s="14">
        <f>IF($AD1886="保留中",COUNTIF($AD$6:$AD1886,"保留中"),"")</f>
        <v/>
      </c>
      <c r="AN1886" s="14">
        <f>IF($AO1886="","",IF(SUMPRODUCT(MAX((職員マスタ!$A$6:$A$405=$B1886)*(((職員マスタ!$G$6:$G$405="")+(職員マスタ!$G$6:$G$405&lt;=EOMONTH($AO1886,0)))&gt;0)*(((職員マスタ!$H$6:$H$405="")+(職員マスタ!$H$6:$H$405&gt;=$AO1886))&gt;0)*(ROW(職員マスタ!$A$6:$A$405)-5)))&gt;0,SUMPRODUCT(MAX((職員マスタ!$A$6:$A$405=$B1886)*(((職員マスタ!$G$6:$G$405="")+(職員マスタ!$G$6:$G$405&lt;=EOMONTH($AO1886,0)))&gt;0)*(((職員マスタ!$H$6:$H$405="")+(職員マスタ!$H$6:$H$405&gt;=$AO1886))&gt;0)*(ROW(職員マスタ!$A$6:$A$405)-5))),IFERROR(MATCH($B1886,職員マスタ!$A$6:$A$405,0),"")))</f>
        <v/>
      </c>
      <c r="AO1886" s="16">
        <f>IF(OR($B1886="",$C1886="",$D1886=""),"",DATE($C1886+2018,$D1886,1))</f>
        <v/>
      </c>
    </row>
    <row r="1887">
      <c r="A1887" s="11" t="n"/>
      <c r="B1887" s="12" t="n"/>
      <c r="C1887" s="12" t="n"/>
      <c r="D1887" s="12" t="n"/>
      <c r="E1887" s="13" t="n"/>
      <c r="F1887" s="12" t="n"/>
      <c r="G1887" s="13" t="n"/>
      <c r="H1887" s="12" t="n"/>
      <c r="I1887" s="12" t="n"/>
      <c r="J1887" s="12" t="n"/>
      <c r="K1887" s="12" t="n"/>
      <c r="L1887" s="11" t="n"/>
      <c r="M1887" s="11" t="n"/>
      <c r="N1887" s="11" t="n"/>
      <c r="O1887" s="11" t="n"/>
      <c r="P1887" s="12" t="n"/>
      <c r="Q1887" s="11" t="n"/>
      <c r="R1887" s="12" t="n"/>
      <c r="S1887" s="11" t="n"/>
      <c r="T1887" s="12" t="n"/>
      <c r="U1887" s="12" t="n"/>
      <c r="V1887" s="14">
        <f>IF($AN1887="",IF($B1887="","",$H1887),IF(INDEX(職員マスタ!$B$6:$B$405,$AN1887)="",$H1887,INDEX(職員マスタ!$B$6:$B$405,$AN1887)))</f>
        <v/>
      </c>
      <c r="W1887" s="14">
        <f>IF($AN1887="",IF($B1887="","",$R1887),IF(INDEX(職員マスタ!$C$6:$C$405,$AN1887)="",$R1887,INDEX(職員マスタ!$C$6:$C$405,$AN1887)))</f>
        <v/>
      </c>
      <c r="X1887" s="14">
        <f>IF($AO1887="","","R"&amp;$C1887&amp;"."&amp;$D1887)</f>
        <v/>
      </c>
      <c r="Y1887" s="15">
        <f>IF($AN1887="","",IF(INDEX(職員マスタ!$K$6:$K$405,$AN1887)="","",INDEX(職員マスタ!$K$6:$K$405,$AN1887)))</f>
        <v/>
      </c>
      <c r="Z1887" s="14">
        <f>IF(OR($E1887="",$Y1887=""),"",IF($E1887&gt;=$Y1887,"×",IF($E1887&gt;=$Y1887*設定!$C$5,"△","○")))</f>
        <v/>
      </c>
      <c r="AA1887" s="15">
        <f>IF($Z1887="","",IF($Z1887="×",0,IF($Z1887="○",ROUNDDOWN($E1887*設定!$C$4,0),ROUNDDOWN($E1887*ROUND((9*$Y1887-9*$E1887)/(10*$E1887),4),0))))</f>
        <v/>
      </c>
      <c r="AB1887" s="13" t="n"/>
      <c r="AC1887" s="15">
        <f>IF($B1887="","",IF($AB1887&lt;&gt;"",$AB1887,IF($AA1887="","",IF($AA1887&lt;=設定!$C$3,0,$AA1887))))</f>
        <v/>
      </c>
      <c r="AD1887" s="14">
        <f>IF($B1887="","",IF(AND($AE1887&lt;&gt;"",$AG1887="",$AJ1887=""),"保留中",IF($AJ1887&lt;&gt;"",IF(N($AC1887)&gt;0,"支給済","不支給"),IF($AC1887="","要確認",IF($AC1887=0,"不支給","未処理")))))</f>
        <v/>
      </c>
      <c r="AE1887" s="12" t="n"/>
      <c r="AF1887" s="11" t="n"/>
      <c r="AG1887" s="11" t="n"/>
      <c r="AH1887" s="11" t="n"/>
      <c r="AI1887" s="14">
        <f>IF(AND($AD1887="保留中",$AF1887&lt;&gt;""),TODAY()-$AF1887,"")</f>
        <v/>
      </c>
      <c r="AJ1887" s="12" t="n"/>
      <c r="AK1887" s="14">
        <f>IF($B1887="","",IF($AO1887="","対象年月が未入力／","")&amp;IF($B1887="","",IF($AN1887="","職員マスタに未登録の職員番号／",IF($Y1887="","標準報酬月額が未登録／","")&amp;IF(AND($AO1887&lt;&gt;"",OR(AND(INDEX(職員マスタ!$G$6:$G$405,$AN1887)&lt;&gt;"",INDEX(職員マスタ!$G$6:$G$405,$AN1887)&gt;EOMONTH($AO1887,0)),AND(INDEX(職員マスタ!$H$6:$H$405,$AN1887)&lt;&gt;"",INDEX(職員マスタ!$H$6:$H$405,$AN1887)&lt;$AO1887))),"対象月が時短期間外／","")&amp;IF(AND(INDEX(職員マスタ!$F$6:$F$405,$AN1887)&lt;&gt;"",$AO1887&lt;&gt;"",INDEX(職員マスタ!$F$6:$F$405,$AN1887)&lt;$AO1887),"対象月に子が2歳到達済／","")&amp;IF(AND($H1887&lt;&gt;"",INDEX(職員マスタ!$B$6:$B$405,$AN1887)&lt;&gt;"",SUBSTITUTE(SUBSTITUTE($H1887," ","")," ","")&lt;&gt;SUBSTITUTE(SUBSTITUTE(INDEX(職員マスタ!$B$6:$B$405,$AN1887)," ","")," ","")),"氏名がマスタと相違／","")&amp;IF(AND($Q1887&lt;&gt;"",INDEX(職員マスタ!$E$6:$E$405,$AN1887)&lt;&gt;"",$Q1887&lt;&gt;INDEX(職員マスタ!$E$6:$E$405,$AN1887)),"子の生年月日がマスタと相違／","")&amp;IF(AND($L1887&lt;&gt;"",INDEX(職員マスタ!$G$6:$G$405,$AN1887)&lt;&gt;"",$L1887&lt;&gt;INDEX(職員マスタ!$G$6:$G$405,$AN1887)),"時短開始日がマスタと相違／","")&amp;IF(AND($M1887&lt;&gt;"",INDEX(職員マスタ!$H$6:$H$405,$AN1887)&lt;&gt;"",$M1887&lt;&gt;INDEX(職員マスタ!$H$6:$H$405,$AN1887)),"時短終了日がマスタと相違／","")))&amp;IF(AND($B1887&lt;&gt;"",$E1887=""),"報酬額が未入力／","")&amp;IF(N($U1887)&gt;0,"申請書に入力エラーが残っています／","")&amp;IF(AND($B1887&lt;&gt;"",$AO1887&lt;&gt;""),IF(COUNTIFS($B$6:$B$3005,$B1887,$C$6:$C$3005,$C1887,$D$6:$D$3005,$D1887)&gt;1,"同じ月の請求が重複しています／",""),"")&amp;IF(AND(N($E1887)&gt;0,$Z1887&lt;&gt;"",$Z1887&lt;&gt;"×",$AC1887=0,$AB1887=""),"計算額が下限以下のため不支給／",""))</f>
        <v/>
      </c>
      <c r="AL1887" s="12" t="n"/>
      <c r="AM1887" s="14">
        <f>IF($AD1887="保留中",COUNTIF($AD$6:$AD1887,"保留中"),"")</f>
        <v/>
      </c>
      <c r="AN1887" s="14">
        <f>IF($AO1887="","",IF(SUMPRODUCT(MAX((職員マスタ!$A$6:$A$405=$B1887)*(((職員マスタ!$G$6:$G$405="")+(職員マスタ!$G$6:$G$405&lt;=EOMONTH($AO1887,0)))&gt;0)*(((職員マスタ!$H$6:$H$405="")+(職員マスタ!$H$6:$H$405&gt;=$AO1887))&gt;0)*(ROW(職員マスタ!$A$6:$A$405)-5)))&gt;0,SUMPRODUCT(MAX((職員マスタ!$A$6:$A$405=$B1887)*(((職員マスタ!$G$6:$G$405="")+(職員マスタ!$G$6:$G$405&lt;=EOMONTH($AO1887,0)))&gt;0)*(((職員マスタ!$H$6:$H$405="")+(職員マスタ!$H$6:$H$405&gt;=$AO1887))&gt;0)*(ROW(職員マスタ!$A$6:$A$405)-5))),IFERROR(MATCH($B1887,職員マスタ!$A$6:$A$405,0),"")))</f>
        <v/>
      </c>
      <c r="AO1887" s="16">
        <f>IF(OR($B1887="",$C1887="",$D1887=""),"",DATE($C1887+2018,$D1887,1))</f>
        <v/>
      </c>
    </row>
    <row r="1888">
      <c r="A1888" s="11" t="n"/>
      <c r="B1888" s="12" t="n"/>
      <c r="C1888" s="12" t="n"/>
      <c r="D1888" s="12" t="n"/>
      <c r="E1888" s="13" t="n"/>
      <c r="F1888" s="12" t="n"/>
      <c r="G1888" s="13" t="n"/>
      <c r="H1888" s="12" t="n"/>
      <c r="I1888" s="12" t="n"/>
      <c r="J1888" s="12" t="n"/>
      <c r="K1888" s="12" t="n"/>
      <c r="L1888" s="11" t="n"/>
      <c r="M1888" s="11" t="n"/>
      <c r="N1888" s="11" t="n"/>
      <c r="O1888" s="11" t="n"/>
      <c r="P1888" s="12" t="n"/>
      <c r="Q1888" s="11" t="n"/>
      <c r="R1888" s="12" t="n"/>
      <c r="S1888" s="11" t="n"/>
      <c r="T1888" s="12" t="n"/>
      <c r="U1888" s="12" t="n"/>
      <c r="V1888" s="14">
        <f>IF($AN1888="",IF($B1888="","",$H1888),IF(INDEX(職員マスタ!$B$6:$B$405,$AN1888)="",$H1888,INDEX(職員マスタ!$B$6:$B$405,$AN1888)))</f>
        <v/>
      </c>
      <c r="W1888" s="14">
        <f>IF($AN1888="",IF($B1888="","",$R1888),IF(INDEX(職員マスタ!$C$6:$C$405,$AN1888)="",$R1888,INDEX(職員マスタ!$C$6:$C$405,$AN1888)))</f>
        <v/>
      </c>
      <c r="X1888" s="14">
        <f>IF($AO1888="","","R"&amp;$C1888&amp;"."&amp;$D1888)</f>
        <v/>
      </c>
      <c r="Y1888" s="15">
        <f>IF($AN1888="","",IF(INDEX(職員マスタ!$K$6:$K$405,$AN1888)="","",INDEX(職員マスタ!$K$6:$K$405,$AN1888)))</f>
        <v/>
      </c>
      <c r="Z1888" s="14">
        <f>IF(OR($E1888="",$Y1888=""),"",IF($E1888&gt;=$Y1888,"×",IF($E1888&gt;=$Y1888*設定!$C$5,"△","○")))</f>
        <v/>
      </c>
      <c r="AA1888" s="15">
        <f>IF($Z1888="","",IF($Z1888="×",0,IF($Z1888="○",ROUNDDOWN($E1888*設定!$C$4,0),ROUNDDOWN($E1888*ROUND((9*$Y1888-9*$E1888)/(10*$E1888),4),0))))</f>
        <v/>
      </c>
      <c r="AB1888" s="13" t="n"/>
      <c r="AC1888" s="15">
        <f>IF($B1888="","",IF($AB1888&lt;&gt;"",$AB1888,IF($AA1888="","",IF($AA1888&lt;=設定!$C$3,0,$AA1888))))</f>
        <v/>
      </c>
      <c r="AD1888" s="14">
        <f>IF($B1888="","",IF(AND($AE1888&lt;&gt;"",$AG1888="",$AJ1888=""),"保留中",IF($AJ1888&lt;&gt;"",IF(N($AC1888)&gt;0,"支給済","不支給"),IF($AC1888="","要確認",IF($AC1888=0,"不支給","未処理")))))</f>
        <v/>
      </c>
      <c r="AE1888" s="12" t="n"/>
      <c r="AF1888" s="11" t="n"/>
      <c r="AG1888" s="11" t="n"/>
      <c r="AH1888" s="11" t="n"/>
      <c r="AI1888" s="14">
        <f>IF(AND($AD1888="保留中",$AF1888&lt;&gt;""),TODAY()-$AF1888,"")</f>
        <v/>
      </c>
      <c r="AJ1888" s="12" t="n"/>
      <c r="AK1888" s="14">
        <f>IF($B1888="","",IF($AO1888="","対象年月が未入力／","")&amp;IF($B1888="","",IF($AN1888="","職員マスタに未登録の職員番号／",IF($Y1888="","標準報酬月額が未登録／","")&amp;IF(AND($AO1888&lt;&gt;"",OR(AND(INDEX(職員マスタ!$G$6:$G$405,$AN1888)&lt;&gt;"",INDEX(職員マスタ!$G$6:$G$405,$AN1888)&gt;EOMONTH($AO1888,0)),AND(INDEX(職員マスタ!$H$6:$H$405,$AN1888)&lt;&gt;"",INDEX(職員マスタ!$H$6:$H$405,$AN1888)&lt;$AO1888))),"対象月が時短期間外／","")&amp;IF(AND(INDEX(職員マスタ!$F$6:$F$405,$AN1888)&lt;&gt;"",$AO1888&lt;&gt;"",INDEX(職員マスタ!$F$6:$F$405,$AN1888)&lt;$AO1888),"対象月に子が2歳到達済／","")&amp;IF(AND($H1888&lt;&gt;"",INDEX(職員マスタ!$B$6:$B$405,$AN1888)&lt;&gt;"",SUBSTITUTE(SUBSTITUTE($H1888," ","")," ","")&lt;&gt;SUBSTITUTE(SUBSTITUTE(INDEX(職員マスタ!$B$6:$B$405,$AN1888)," ","")," ","")),"氏名がマスタと相違／","")&amp;IF(AND($Q1888&lt;&gt;"",INDEX(職員マスタ!$E$6:$E$405,$AN1888)&lt;&gt;"",$Q1888&lt;&gt;INDEX(職員マスタ!$E$6:$E$405,$AN1888)),"子の生年月日がマスタと相違／","")&amp;IF(AND($L1888&lt;&gt;"",INDEX(職員マスタ!$G$6:$G$405,$AN1888)&lt;&gt;"",$L1888&lt;&gt;INDEX(職員マスタ!$G$6:$G$405,$AN1888)),"時短開始日がマスタと相違／","")&amp;IF(AND($M1888&lt;&gt;"",INDEX(職員マスタ!$H$6:$H$405,$AN1888)&lt;&gt;"",$M1888&lt;&gt;INDEX(職員マスタ!$H$6:$H$405,$AN1888)),"時短終了日がマスタと相違／","")))&amp;IF(AND($B1888&lt;&gt;"",$E1888=""),"報酬額が未入力／","")&amp;IF(N($U1888)&gt;0,"申請書に入力エラーが残っています／","")&amp;IF(AND($B1888&lt;&gt;"",$AO1888&lt;&gt;""),IF(COUNTIFS($B$6:$B$3005,$B1888,$C$6:$C$3005,$C1888,$D$6:$D$3005,$D1888)&gt;1,"同じ月の請求が重複しています／",""),"")&amp;IF(AND(N($E1888)&gt;0,$Z1888&lt;&gt;"",$Z1888&lt;&gt;"×",$AC1888=0,$AB1888=""),"計算額が下限以下のため不支給／",""))</f>
        <v/>
      </c>
      <c r="AL1888" s="12" t="n"/>
      <c r="AM1888" s="14">
        <f>IF($AD1888="保留中",COUNTIF($AD$6:$AD1888,"保留中"),"")</f>
        <v/>
      </c>
      <c r="AN1888" s="14">
        <f>IF($AO1888="","",IF(SUMPRODUCT(MAX((職員マスタ!$A$6:$A$405=$B1888)*(((職員マスタ!$G$6:$G$405="")+(職員マスタ!$G$6:$G$405&lt;=EOMONTH($AO1888,0)))&gt;0)*(((職員マスタ!$H$6:$H$405="")+(職員マスタ!$H$6:$H$405&gt;=$AO1888))&gt;0)*(ROW(職員マスタ!$A$6:$A$405)-5)))&gt;0,SUMPRODUCT(MAX((職員マスタ!$A$6:$A$405=$B1888)*(((職員マスタ!$G$6:$G$405="")+(職員マスタ!$G$6:$G$405&lt;=EOMONTH($AO1888,0)))&gt;0)*(((職員マスタ!$H$6:$H$405="")+(職員マスタ!$H$6:$H$405&gt;=$AO1888))&gt;0)*(ROW(職員マスタ!$A$6:$A$405)-5))),IFERROR(MATCH($B1888,職員マスタ!$A$6:$A$405,0),"")))</f>
        <v/>
      </c>
      <c r="AO1888" s="16">
        <f>IF(OR($B1888="",$C1888="",$D1888=""),"",DATE($C1888+2018,$D1888,1))</f>
        <v/>
      </c>
    </row>
    <row r="1889">
      <c r="A1889" s="11" t="n"/>
      <c r="B1889" s="12" t="n"/>
      <c r="C1889" s="12" t="n"/>
      <c r="D1889" s="12" t="n"/>
      <c r="E1889" s="13" t="n"/>
      <c r="F1889" s="12" t="n"/>
      <c r="G1889" s="13" t="n"/>
      <c r="H1889" s="12" t="n"/>
      <c r="I1889" s="12" t="n"/>
      <c r="J1889" s="12" t="n"/>
      <c r="K1889" s="12" t="n"/>
      <c r="L1889" s="11" t="n"/>
      <c r="M1889" s="11" t="n"/>
      <c r="N1889" s="11" t="n"/>
      <c r="O1889" s="11" t="n"/>
      <c r="P1889" s="12" t="n"/>
      <c r="Q1889" s="11" t="n"/>
      <c r="R1889" s="12" t="n"/>
      <c r="S1889" s="11" t="n"/>
      <c r="T1889" s="12" t="n"/>
      <c r="U1889" s="12" t="n"/>
      <c r="V1889" s="14">
        <f>IF($AN1889="",IF($B1889="","",$H1889),IF(INDEX(職員マスタ!$B$6:$B$405,$AN1889)="",$H1889,INDEX(職員マスタ!$B$6:$B$405,$AN1889)))</f>
        <v/>
      </c>
      <c r="W1889" s="14">
        <f>IF($AN1889="",IF($B1889="","",$R1889),IF(INDEX(職員マスタ!$C$6:$C$405,$AN1889)="",$R1889,INDEX(職員マスタ!$C$6:$C$405,$AN1889)))</f>
        <v/>
      </c>
      <c r="X1889" s="14">
        <f>IF($AO1889="","","R"&amp;$C1889&amp;"."&amp;$D1889)</f>
        <v/>
      </c>
      <c r="Y1889" s="15">
        <f>IF($AN1889="","",IF(INDEX(職員マスタ!$K$6:$K$405,$AN1889)="","",INDEX(職員マスタ!$K$6:$K$405,$AN1889)))</f>
        <v/>
      </c>
      <c r="Z1889" s="14">
        <f>IF(OR($E1889="",$Y1889=""),"",IF($E1889&gt;=$Y1889,"×",IF($E1889&gt;=$Y1889*設定!$C$5,"△","○")))</f>
        <v/>
      </c>
      <c r="AA1889" s="15">
        <f>IF($Z1889="","",IF($Z1889="×",0,IF($Z1889="○",ROUNDDOWN($E1889*設定!$C$4,0),ROUNDDOWN($E1889*ROUND((9*$Y1889-9*$E1889)/(10*$E1889),4),0))))</f>
        <v/>
      </c>
      <c r="AB1889" s="13" t="n"/>
      <c r="AC1889" s="15">
        <f>IF($B1889="","",IF($AB1889&lt;&gt;"",$AB1889,IF($AA1889="","",IF($AA1889&lt;=設定!$C$3,0,$AA1889))))</f>
        <v/>
      </c>
      <c r="AD1889" s="14">
        <f>IF($B1889="","",IF(AND($AE1889&lt;&gt;"",$AG1889="",$AJ1889=""),"保留中",IF($AJ1889&lt;&gt;"",IF(N($AC1889)&gt;0,"支給済","不支給"),IF($AC1889="","要確認",IF($AC1889=0,"不支給","未処理")))))</f>
        <v/>
      </c>
      <c r="AE1889" s="12" t="n"/>
      <c r="AF1889" s="11" t="n"/>
      <c r="AG1889" s="11" t="n"/>
      <c r="AH1889" s="11" t="n"/>
      <c r="AI1889" s="14">
        <f>IF(AND($AD1889="保留中",$AF1889&lt;&gt;""),TODAY()-$AF1889,"")</f>
        <v/>
      </c>
      <c r="AJ1889" s="12" t="n"/>
      <c r="AK1889" s="14">
        <f>IF($B1889="","",IF($AO1889="","対象年月が未入力／","")&amp;IF($B1889="","",IF($AN1889="","職員マスタに未登録の職員番号／",IF($Y1889="","標準報酬月額が未登録／","")&amp;IF(AND($AO1889&lt;&gt;"",OR(AND(INDEX(職員マスタ!$G$6:$G$405,$AN1889)&lt;&gt;"",INDEX(職員マスタ!$G$6:$G$405,$AN1889)&gt;EOMONTH($AO1889,0)),AND(INDEX(職員マスタ!$H$6:$H$405,$AN1889)&lt;&gt;"",INDEX(職員マスタ!$H$6:$H$405,$AN1889)&lt;$AO1889))),"対象月が時短期間外／","")&amp;IF(AND(INDEX(職員マスタ!$F$6:$F$405,$AN1889)&lt;&gt;"",$AO1889&lt;&gt;"",INDEX(職員マスタ!$F$6:$F$405,$AN1889)&lt;$AO1889),"対象月に子が2歳到達済／","")&amp;IF(AND($H1889&lt;&gt;"",INDEX(職員マスタ!$B$6:$B$405,$AN1889)&lt;&gt;"",SUBSTITUTE(SUBSTITUTE($H1889," ","")," ","")&lt;&gt;SUBSTITUTE(SUBSTITUTE(INDEX(職員マスタ!$B$6:$B$405,$AN1889)," ","")," ","")),"氏名がマスタと相違／","")&amp;IF(AND($Q1889&lt;&gt;"",INDEX(職員マスタ!$E$6:$E$405,$AN1889)&lt;&gt;"",$Q1889&lt;&gt;INDEX(職員マスタ!$E$6:$E$405,$AN1889)),"子の生年月日がマスタと相違／","")&amp;IF(AND($L1889&lt;&gt;"",INDEX(職員マスタ!$G$6:$G$405,$AN1889)&lt;&gt;"",$L1889&lt;&gt;INDEX(職員マスタ!$G$6:$G$405,$AN1889)),"時短開始日がマスタと相違／","")&amp;IF(AND($M1889&lt;&gt;"",INDEX(職員マスタ!$H$6:$H$405,$AN1889)&lt;&gt;"",$M1889&lt;&gt;INDEX(職員マスタ!$H$6:$H$405,$AN1889)),"時短終了日がマスタと相違／","")))&amp;IF(AND($B1889&lt;&gt;"",$E1889=""),"報酬額が未入力／","")&amp;IF(N($U1889)&gt;0,"申請書に入力エラーが残っています／","")&amp;IF(AND($B1889&lt;&gt;"",$AO1889&lt;&gt;""),IF(COUNTIFS($B$6:$B$3005,$B1889,$C$6:$C$3005,$C1889,$D$6:$D$3005,$D1889)&gt;1,"同じ月の請求が重複しています／",""),"")&amp;IF(AND(N($E1889)&gt;0,$Z1889&lt;&gt;"",$Z1889&lt;&gt;"×",$AC1889=0,$AB1889=""),"計算額が下限以下のため不支給／",""))</f>
        <v/>
      </c>
      <c r="AL1889" s="12" t="n"/>
      <c r="AM1889" s="14">
        <f>IF($AD1889="保留中",COUNTIF($AD$6:$AD1889,"保留中"),"")</f>
        <v/>
      </c>
      <c r="AN1889" s="14">
        <f>IF($AO1889="","",IF(SUMPRODUCT(MAX((職員マスタ!$A$6:$A$405=$B1889)*(((職員マスタ!$G$6:$G$405="")+(職員マスタ!$G$6:$G$405&lt;=EOMONTH($AO1889,0)))&gt;0)*(((職員マスタ!$H$6:$H$405="")+(職員マスタ!$H$6:$H$405&gt;=$AO1889))&gt;0)*(ROW(職員マスタ!$A$6:$A$405)-5)))&gt;0,SUMPRODUCT(MAX((職員マスタ!$A$6:$A$405=$B1889)*(((職員マスタ!$G$6:$G$405="")+(職員マスタ!$G$6:$G$405&lt;=EOMONTH($AO1889,0)))&gt;0)*(((職員マスタ!$H$6:$H$405="")+(職員マスタ!$H$6:$H$405&gt;=$AO1889))&gt;0)*(ROW(職員マスタ!$A$6:$A$405)-5))),IFERROR(MATCH($B1889,職員マスタ!$A$6:$A$405,0),"")))</f>
        <v/>
      </c>
      <c r="AO1889" s="16">
        <f>IF(OR($B1889="",$C1889="",$D1889=""),"",DATE($C1889+2018,$D1889,1))</f>
        <v/>
      </c>
    </row>
    <row r="1890">
      <c r="A1890" s="11" t="n"/>
      <c r="B1890" s="12" t="n"/>
      <c r="C1890" s="12" t="n"/>
      <c r="D1890" s="12" t="n"/>
      <c r="E1890" s="13" t="n"/>
      <c r="F1890" s="12" t="n"/>
      <c r="G1890" s="13" t="n"/>
      <c r="H1890" s="12" t="n"/>
      <c r="I1890" s="12" t="n"/>
      <c r="J1890" s="12" t="n"/>
      <c r="K1890" s="12" t="n"/>
      <c r="L1890" s="11" t="n"/>
      <c r="M1890" s="11" t="n"/>
      <c r="N1890" s="11" t="n"/>
      <c r="O1890" s="11" t="n"/>
      <c r="P1890" s="12" t="n"/>
      <c r="Q1890" s="11" t="n"/>
      <c r="R1890" s="12" t="n"/>
      <c r="S1890" s="11" t="n"/>
      <c r="T1890" s="12" t="n"/>
      <c r="U1890" s="12" t="n"/>
      <c r="V1890" s="14">
        <f>IF($AN1890="",IF($B1890="","",$H1890),IF(INDEX(職員マスタ!$B$6:$B$405,$AN1890)="",$H1890,INDEX(職員マスタ!$B$6:$B$405,$AN1890)))</f>
        <v/>
      </c>
      <c r="W1890" s="14">
        <f>IF($AN1890="",IF($B1890="","",$R1890),IF(INDEX(職員マスタ!$C$6:$C$405,$AN1890)="",$R1890,INDEX(職員マスタ!$C$6:$C$405,$AN1890)))</f>
        <v/>
      </c>
      <c r="X1890" s="14">
        <f>IF($AO1890="","","R"&amp;$C1890&amp;"."&amp;$D1890)</f>
        <v/>
      </c>
      <c r="Y1890" s="15">
        <f>IF($AN1890="","",IF(INDEX(職員マスタ!$K$6:$K$405,$AN1890)="","",INDEX(職員マスタ!$K$6:$K$405,$AN1890)))</f>
        <v/>
      </c>
      <c r="Z1890" s="14">
        <f>IF(OR($E1890="",$Y1890=""),"",IF($E1890&gt;=$Y1890,"×",IF($E1890&gt;=$Y1890*設定!$C$5,"△","○")))</f>
        <v/>
      </c>
      <c r="AA1890" s="15">
        <f>IF($Z1890="","",IF($Z1890="×",0,IF($Z1890="○",ROUNDDOWN($E1890*設定!$C$4,0),ROUNDDOWN($E1890*ROUND((9*$Y1890-9*$E1890)/(10*$E1890),4),0))))</f>
        <v/>
      </c>
      <c r="AB1890" s="13" t="n"/>
      <c r="AC1890" s="15">
        <f>IF($B1890="","",IF($AB1890&lt;&gt;"",$AB1890,IF($AA1890="","",IF($AA1890&lt;=設定!$C$3,0,$AA1890))))</f>
        <v/>
      </c>
      <c r="AD1890" s="14">
        <f>IF($B1890="","",IF(AND($AE1890&lt;&gt;"",$AG1890="",$AJ1890=""),"保留中",IF($AJ1890&lt;&gt;"",IF(N($AC1890)&gt;0,"支給済","不支給"),IF($AC1890="","要確認",IF($AC1890=0,"不支給","未処理")))))</f>
        <v/>
      </c>
      <c r="AE1890" s="12" t="n"/>
      <c r="AF1890" s="11" t="n"/>
      <c r="AG1890" s="11" t="n"/>
      <c r="AH1890" s="11" t="n"/>
      <c r="AI1890" s="14">
        <f>IF(AND($AD1890="保留中",$AF1890&lt;&gt;""),TODAY()-$AF1890,"")</f>
        <v/>
      </c>
      <c r="AJ1890" s="12" t="n"/>
      <c r="AK1890" s="14">
        <f>IF($B1890="","",IF($AO1890="","対象年月が未入力／","")&amp;IF($B1890="","",IF($AN1890="","職員マスタに未登録の職員番号／",IF($Y1890="","標準報酬月額が未登録／","")&amp;IF(AND($AO1890&lt;&gt;"",OR(AND(INDEX(職員マスタ!$G$6:$G$405,$AN1890)&lt;&gt;"",INDEX(職員マスタ!$G$6:$G$405,$AN1890)&gt;EOMONTH($AO1890,0)),AND(INDEX(職員マスタ!$H$6:$H$405,$AN1890)&lt;&gt;"",INDEX(職員マスタ!$H$6:$H$405,$AN1890)&lt;$AO1890))),"対象月が時短期間外／","")&amp;IF(AND(INDEX(職員マスタ!$F$6:$F$405,$AN1890)&lt;&gt;"",$AO1890&lt;&gt;"",INDEX(職員マスタ!$F$6:$F$405,$AN1890)&lt;$AO1890),"対象月に子が2歳到達済／","")&amp;IF(AND($H1890&lt;&gt;"",INDEX(職員マスタ!$B$6:$B$405,$AN1890)&lt;&gt;"",SUBSTITUTE(SUBSTITUTE($H1890," ","")," ","")&lt;&gt;SUBSTITUTE(SUBSTITUTE(INDEX(職員マスタ!$B$6:$B$405,$AN1890)," ","")," ","")),"氏名がマスタと相違／","")&amp;IF(AND($Q1890&lt;&gt;"",INDEX(職員マスタ!$E$6:$E$405,$AN1890)&lt;&gt;"",$Q1890&lt;&gt;INDEX(職員マスタ!$E$6:$E$405,$AN1890)),"子の生年月日がマスタと相違／","")&amp;IF(AND($L1890&lt;&gt;"",INDEX(職員マスタ!$G$6:$G$405,$AN1890)&lt;&gt;"",$L1890&lt;&gt;INDEX(職員マスタ!$G$6:$G$405,$AN1890)),"時短開始日がマスタと相違／","")&amp;IF(AND($M1890&lt;&gt;"",INDEX(職員マスタ!$H$6:$H$405,$AN1890)&lt;&gt;"",$M1890&lt;&gt;INDEX(職員マスタ!$H$6:$H$405,$AN1890)),"時短終了日がマスタと相違／","")))&amp;IF(AND($B1890&lt;&gt;"",$E1890=""),"報酬額が未入力／","")&amp;IF(N($U1890)&gt;0,"申請書に入力エラーが残っています／","")&amp;IF(AND($B1890&lt;&gt;"",$AO1890&lt;&gt;""),IF(COUNTIFS($B$6:$B$3005,$B1890,$C$6:$C$3005,$C1890,$D$6:$D$3005,$D1890)&gt;1,"同じ月の請求が重複しています／",""),"")&amp;IF(AND(N($E1890)&gt;0,$Z1890&lt;&gt;"",$Z1890&lt;&gt;"×",$AC1890=0,$AB1890=""),"計算額が下限以下のため不支給／",""))</f>
        <v/>
      </c>
      <c r="AL1890" s="12" t="n"/>
      <c r="AM1890" s="14">
        <f>IF($AD1890="保留中",COUNTIF($AD$6:$AD1890,"保留中"),"")</f>
        <v/>
      </c>
      <c r="AN1890" s="14">
        <f>IF($AO1890="","",IF(SUMPRODUCT(MAX((職員マスタ!$A$6:$A$405=$B1890)*(((職員マスタ!$G$6:$G$405="")+(職員マスタ!$G$6:$G$405&lt;=EOMONTH($AO1890,0)))&gt;0)*(((職員マスタ!$H$6:$H$405="")+(職員マスタ!$H$6:$H$405&gt;=$AO1890))&gt;0)*(ROW(職員マスタ!$A$6:$A$405)-5)))&gt;0,SUMPRODUCT(MAX((職員マスタ!$A$6:$A$405=$B1890)*(((職員マスタ!$G$6:$G$405="")+(職員マスタ!$G$6:$G$405&lt;=EOMONTH($AO1890,0)))&gt;0)*(((職員マスタ!$H$6:$H$405="")+(職員マスタ!$H$6:$H$405&gt;=$AO1890))&gt;0)*(ROW(職員マスタ!$A$6:$A$405)-5))),IFERROR(MATCH($B1890,職員マスタ!$A$6:$A$405,0),"")))</f>
        <v/>
      </c>
      <c r="AO1890" s="16">
        <f>IF(OR($B1890="",$C1890="",$D1890=""),"",DATE($C1890+2018,$D1890,1))</f>
        <v/>
      </c>
    </row>
    <row r="1891">
      <c r="A1891" s="11" t="n"/>
      <c r="B1891" s="12" t="n"/>
      <c r="C1891" s="12" t="n"/>
      <c r="D1891" s="12" t="n"/>
      <c r="E1891" s="13" t="n"/>
      <c r="F1891" s="12" t="n"/>
      <c r="G1891" s="13" t="n"/>
      <c r="H1891" s="12" t="n"/>
      <c r="I1891" s="12" t="n"/>
      <c r="J1891" s="12" t="n"/>
      <c r="K1891" s="12" t="n"/>
      <c r="L1891" s="11" t="n"/>
      <c r="M1891" s="11" t="n"/>
      <c r="N1891" s="11" t="n"/>
      <c r="O1891" s="11" t="n"/>
      <c r="P1891" s="12" t="n"/>
      <c r="Q1891" s="11" t="n"/>
      <c r="R1891" s="12" t="n"/>
      <c r="S1891" s="11" t="n"/>
      <c r="T1891" s="12" t="n"/>
      <c r="U1891" s="12" t="n"/>
      <c r="V1891" s="14">
        <f>IF($AN1891="",IF($B1891="","",$H1891),IF(INDEX(職員マスタ!$B$6:$B$405,$AN1891)="",$H1891,INDEX(職員マスタ!$B$6:$B$405,$AN1891)))</f>
        <v/>
      </c>
      <c r="W1891" s="14">
        <f>IF($AN1891="",IF($B1891="","",$R1891),IF(INDEX(職員マスタ!$C$6:$C$405,$AN1891)="",$R1891,INDEX(職員マスタ!$C$6:$C$405,$AN1891)))</f>
        <v/>
      </c>
      <c r="X1891" s="14">
        <f>IF($AO1891="","","R"&amp;$C1891&amp;"."&amp;$D1891)</f>
        <v/>
      </c>
      <c r="Y1891" s="15">
        <f>IF($AN1891="","",IF(INDEX(職員マスタ!$K$6:$K$405,$AN1891)="","",INDEX(職員マスタ!$K$6:$K$405,$AN1891)))</f>
        <v/>
      </c>
      <c r="Z1891" s="14">
        <f>IF(OR($E1891="",$Y1891=""),"",IF($E1891&gt;=$Y1891,"×",IF($E1891&gt;=$Y1891*設定!$C$5,"△","○")))</f>
        <v/>
      </c>
      <c r="AA1891" s="15">
        <f>IF($Z1891="","",IF($Z1891="×",0,IF($Z1891="○",ROUNDDOWN($E1891*設定!$C$4,0),ROUNDDOWN($E1891*ROUND((9*$Y1891-9*$E1891)/(10*$E1891),4),0))))</f>
        <v/>
      </c>
      <c r="AB1891" s="13" t="n"/>
      <c r="AC1891" s="15">
        <f>IF($B1891="","",IF($AB1891&lt;&gt;"",$AB1891,IF($AA1891="","",IF($AA1891&lt;=設定!$C$3,0,$AA1891))))</f>
        <v/>
      </c>
      <c r="AD1891" s="14">
        <f>IF($B1891="","",IF(AND($AE1891&lt;&gt;"",$AG1891="",$AJ1891=""),"保留中",IF($AJ1891&lt;&gt;"",IF(N($AC1891)&gt;0,"支給済","不支給"),IF($AC1891="","要確認",IF($AC1891=0,"不支給","未処理")))))</f>
        <v/>
      </c>
      <c r="AE1891" s="12" t="n"/>
      <c r="AF1891" s="11" t="n"/>
      <c r="AG1891" s="11" t="n"/>
      <c r="AH1891" s="11" t="n"/>
      <c r="AI1891" s="14">
        <f>IF(AND($AD1891="保留中",$AF1891&lt;&gt;""),TODAY()-$AF1891,"")</f>
        <v/>
      </c>
      <c r="AJ1891" s="12" t="n"/>
      <c r="AK1891" s="14">
        <f>IF($B1891="","",IF($AO1891="","対象年月が未入力／","")&amp;IF($B1891="","",IF($AN1891="","職員マスタに未登録の職員番号／",IF($Y1891="","標準報酬月額が未登録／","")&amp;IF(AND($AO1891&lt;&gt;"",OR(AND(INDEX(職員マスタ!$G$6:$G$405,$AN1891)&lt;&gt;"",INDEX(職員マスタ!$G$6:$G$405,$AN1891)&gt;EOMONTH($AO1891,0)),AND(INDEX(職員マスタ!$H$6:$H$405,$AN1891)&lt;&gt;"",INDEX(職員マスタ!$H$6:$H$405,$AN1891)&lt;$AO1891))),"対象月が時短期間外／","")&amp;IF(AND(INDEX(職員マスタ!$F$6:$F$405,$AN1891)&lt;&gt;"",$AO1891&lt;&gt;"",INDEX(職員マスタ!$F$6:$F$405,$AN1891)&lt;$AO1891),"対象月に子が2歳到達済／","")&amp;IF(AND($H1891&lt;&gt;"",INDEX(職員マスタ!$B$6:$B$405,$AN1891)&lt;&gt;"",SUBSTITUTE(SUBSTITUTE($H1891," ","")," ","")&lt;&gt;SUBSTITUTE(SUBSTITUTE(INDEX(職員マスタ!$B$6:$B$405,$AN1891)," ","")," ","")),"氏名がマスタと相違／","")&amp;IF(AND($Q1891&lt;&gt;"",INDEX(職員マスタ!$E$6:$E$405,$AN1891)&lt;&gt;"",$Q1891&lt;&gt;INDEX(職員マスタ!$E$6:$E$405,$AN1891)),"子の生年月日がマスタと相違／","")&amp;IF(AND($L1891&lt;&gt;"",INDEX(職員マスタ!$G$6:$G$405,$AN1891)&lt;&gt;"",$L1891&lt;&gt;INDEX(職員マスタ!$G$6:$G$405,$AN1891)),"時短開始日がマスタと相違／","")&amp;IF(AND($M1891&lt;&gt;"",INDEX(職員マスタ!$H$6:$H$405,$AN1891)&lt;&gt;"",$M1891&lt;&gt;INDEX(職員マスタ!$H$6:$H$405,$AN1891)),"時短終了日がマスタと相違／","")))&amp;IF(AND($B1891&lt;&gt;"",$E1891=""),"報酬額が未入力／","")&amp;IF(N($U1891)&gt;0,"申請書に入力エラーが残っています／","")&amp;IF(AND($B1891&lt;&gt;"",$AO1891&lt;&gt;""),IF(COUNTIFS($B$6:$B$3005,$B1891,$C$6:$C$3005,$C1891,$D$6:$D$3005,$D1891)&gt;1,"同じ月の請求が重複しています／",""),"")&amp;IF(AND(N($E1891)&gt;0,$Z1891&lt;&gt;"",$Z1891&lt;&gt;"×",$AC1891=0,$AB1891=""),"計算額が下限以下のため不支給／",""))</f>
        <v/>
      </c>
      <c r="AL1891" s="12" t="n"/>
      <c r="AM1891" s="14">
        <f>IF($AD1891="保留中",COUNTIF($AD$6:$AD1891,"保留中"),"")</f>
        <v/>
      </c>
      <c r="AN1891" s="14">
        <f>IF($AO1891="","",IF(SUMPRODUCT(MAX((職員マスタ!$A$6:$A$405=$B1891)*(((職員マスタ!$G$6:$G$405="")+(職員マスタ!$G$6:$G$405&lt;=EOMONTH($AO1891,0)))&gt;0)*(((職員マスタ!$H$6:$H$405="")+(職員マスタ!$H$6:$H$405&gt;=$AO1891))&gt;0)*(ROW(職員マスタ!$A$6:$A$405)-5)))&gt;0,SUMPRODUCT(MAX((職員マスタ!$A$6:$A$405=$B1891)*(((職員マスタ!$G$6:$G$405="")+(職員マスタ!$G$6:$G$405&lt;=EOMONTH($AO1891,0)))&gt;0)*(((職員マスタ!$H$6:$H$405="")+(職員マスタ!$H$6:$H$405&gt;=$AO1891))&gt;0)*(ROW(職員マスタ!$A$6:$A$405)-5))),IFERROR(MATCH($B1891,職員マスタ!$A$6:$A$405,0),"")))</f>
        <v/>
      </c>
      <c r="AO1891" s="16">
        <f>IF(OR($B1891="",$C1891="",$D1891=""),"",DATE($C1891+2018,$D1891,1))</f>
        <v/>
      </c>
    </row>
    <row r="1892">
      <c r="A1892" s="11" t="n"/>
      <c r="B1892" s="12" t="n"/>
      <c r="C1892" s="12" t="n"/>
      <c r="D1892" s="12" t="n"/>
      <c r="E1892" s="13" t="n"/>
      <c r="F1892" s="12" t="n"/>
      <c r="G1892" s="13" t="n"/>
      <c r="H1892" s="12" t="n"/>
      <c r="I1892" s="12" t="n"/>
      <c r="J1892" s="12" t="n"/>
      <c r="K1892" s="12" t="n"/>
      <c r="L1892" s="11" t="n"/>
      <c r="M1892" s="11" t="n"/>
      <c r="N1892" s="11" t="n"/>
      <c r="O1892" s="11" t="n"/>
      <c r="P1892" s="12" t="n"/>
      <c r="Q1892" s="11" t="n"/>
      <c r="R1892" s="12" t="n"/>
      <c r="S1892" s="11" t="n"/>
      <c r="T1892" s="12" t="n"/>
      <c r="U1892" s="12" t="n"/>
      <c r="V1892" s="14">
        <f>IF($AN1892="",IF($B1892="","",$H1892),IF(INDEX(職員マスタ!$B$6:$B$405,$AN1892)="",$H1892,INDEX(職員マスタ!$B$6:$B$405,$AN1892)))</f>
        <v/>
      </c>
      <c r="W1892" s="14">
        <f>IF($AN1892="",IF($B1892="","",$R1892),IF(INDEX(職員マスタ!$C$6:$C$405,$AN1892)="",$R1892,INDEX(職員マスタ!$C$6:$C$405,$AN1892)))</f>
        <v/>
      </c>
      <c r="X1892" s="14">
        <f>IF($AO1892="","","R"&amp;$C1892&amp;"."&amp;$D1892)</f>
        <v/>
      </c>
      <c r="Y1892" s="15">
        <f>IF($AN1892="","",IF(INDEX(職員マスタ!$K$6:$K$405,$AN1892)="","",INDEX(職員マスタ!$K$6:$K$405,$AN1892)))</f>
        <v/>
      </c>
      <c r="Z1892" s="14">
        <f>IF(OR($E1892="",$Y1892=""),"",IF($E1892&gt;=$Y1892,"×",IF($E1892&gt;=$Y1892*設定!$C$5,"△","○")))</f>
        <v/>
      </c>
      <c r="AA1892" s="15">
        <f>IF($Z1892="","",IF($Z1892="×",0,IF($Z1892="○",ROUNDDOWN($E1892*設定!$C$4,0),ROUNDDOWN($E1892*ROUND((9*$Y1892-9*$E1892)/(10*$E1892),4),0))))</f>
        <v/>
      </c>
      <c r="AB1892" s="13" t="n"/>
      <c r="AC1892" s="15">
        <f>IF($B1892="","",IF($AB1892&lt;&gt;"",$AB1892,IF($AA1892="","",IF($AA1892&lt;=設定!$C$3,0,$AA1892))))</f>
        <v/>
      </c>
      <c r="AD1892" s="14">
        <f>IF($B1892="","",IF(AND($AE1892&lt;&gt;"",$AG1892="",$AJ1892=""),"保留中",IF($AJ1892&lt;&gt;"",IF(N($AC1892)&gt;0,"支給済","不支給"),IF($AC1892="","要確認",IF($AC1892=0,"不支給","未処理")))))</f>
        <v/>
      </c>
      <c r="AE1892" s="12" t="n"/>
      <c r="AF1892" s="11" t="n"/>
      <c r="AG1892" s="11" t="n"/>
      <c r="AH1892" s="11" t="n"/>
      <c r="AI1892" s="14">
        <f>IF(AND($AD1892="保留中",$AF1892&lt;&gt;""),TODAY()-$AF1892,"")</f>
        <v/>
      </c>
      <c r="AJ1892" s="12" t="n"/>
      <c r="AK1892" s="14">
        <f>IF($B1892="","",IF($AO1892="","対象年月が未入力／","")&amp;IF($B1892="","",IF($AN1892="","職員マスタに未登録の職員番号／",IF($Y1892="","標準報酬月額が未登録／","")&amp;IF(AND($AO1892&lt;&gt;"",OR(AND(INDEX(職員マスタ!$G$6:$G$405,$AN1892)&lt;&gt;"",INDEX(職員マスタ!$G$6:$G$405,$AN1892)&gt;EOMONTH($AO1892,0)),AND(INDEX(職員マスタ!$H$6:$H$405,$AN1892)&lt;&gt;"",INDEX(職員マスタ!$H$6:$H$405,$AN1892)&lt;$AO1892))),"対象月が時短期間外／","")&amp;IF(AND(INDEX(職員マスタ!$F$6:$F$405,$AN1892)&lt;&gt;"",$AO1892&lt;&gt;"",INDEX(職員マスタ!$F$6:$F$405,$AN1892)&lt;$AO1892),"対象月に子が2歳到達済／","")&amp;IF(AND($H1892&lt;&gt;"",INDEX(職員マスタ!$B$6:$B$405,$AN1892)&lt;&gt;"",SUBSTITUTE(SUBSTITUTE($H1892," ","")," ","")&lt;&gt;SUBSTITUTE(SUBSTITUTE(INDEX(職員マスタ!$B$6:$B$405,$AN1892)," ","")," ","")),"氏名がマスタと相違／","")&amp;IF(AND($Q1892&lt;&gt;"",INDEX(職員マスタ!$E$6:$E$405,$AN1892)&lt;&gt;"",$Q1892&lt;&gt;INDEX(職員マスタ!$E$6:$E$405,$AN1892)),"子の生年月日がマスタと相違／","")&amp;IF(AND($L1892&lt;&gt;"",INDEX(職員マスタ!$G$6:$G$405,$AN1892)&lt;&gt;"",$L1892&lt;&gt;INDEX(職員マスタ!$G$6:$G$405,$AN1892)),"時短開始日がマスタと相違／","")&amp;IF(AND($M1892&lt;&gt;"",INDEX(職員マスタ!$H$6:$H$405,$AN1892)&lt;&gt;"",$M1892&lt;&gt;INDEX(職員マスタ!$H$6:$H$405,$AN1892)),"時短終了日がマスタと相違／","")))&amp;IF(AND($B1892&lt;&gt;"",$E1892=""),"報酬額が未入力／","")&amp;IF(N($U1892)&gt;0,"申請書に入力エラーが残っています／","")&amp;IF(AND($B1892&lt;&gt;"",$AO1892&lt;&gt;""),IF(COUNTIFS($B$6:$B$3005,$B1892,$C$6:$C$3005,$C1892,$D$6:$D$3005,$D1892)&gt;1,"同じ月の請求が重複しています／",""),"")&amp;IF(AND(N($E1892)&gt;0,$Z1892&lt;&gt;"",$Z1892&lt;&gt;"×",$AC1892=0,$AB1892=""),"計算額が下限以下のため不支給／",""))</f>
        <v/>
      </c>
      <c r="AL1892" s="12" t="n"/>
      <c r="AM1892" s="14">
        <f>IF($AD1892="保留中",COUNTIF($AD$6:$AD1892,"保留中"),"")</f>
        <v/>
      </c>
      <c r="AN1892" s="14">
        <f>IF($AO1892="","",IF(SUMPRODUCT(MAX((職員マスタ!$A$6:$A$405=$B1892)*(((職員マスタ!$G$6:$G$405="")+(職員マスタ!$G$6:$G$405&lt;=EOMONTH($AO1892,0)))&gt;0)*(((職員マスタ!$H$6:$H$405="")+(職員マスタ!$H$6:$H$405&gt;=$AO1892))&gt;0)*(ROW(職員マスタ!$A$6:$A$405)-5)))&gt;0,SUMPRODUCT(MAX((職員マスタ!$A$6:$A$405=$B1892)*(((職員マスタ!$G$6:$G$405="")+(職員マスタ!$G$6:$G$405&lt;=EOMONTH($AO1892,0)))&gt;0)*(((職員マスタ!$H$6:$H$405="")+(職員マスタ!$H$6:$H$405&gt;=$AO1892))&gt;0)*(ROW(職員マスタ!$A$6:$A$405)-5))),IFERROR(MATCH($B1892,職員マスタ!$A$6:$A$405,0),"")))</f>
        <v/>
      </c>
      <c r="AO1892" s="16">
        <f>IF(OR($B1892="",$C1892="",$D1892=""),"",DATE($C1892+2018,$D1892,1))</f>
        <v/>
      </c>
    </row>
    <row r="1893">
      <c r="A1893" s="11" t="n"/>
      <c r="B1893" s="12" t="n"/>
      <c r="C1893" s="12" t="n"/>
      <c r="D1893" s="12" t="n"/>
      <c r="E1893" s="13" t="n"/>
      <c r="F1893" s="12" t="n"/>
      <c r="G1893" s="13" t="n"/>
      <c r="H1893" s="12" t="n"/>
      <c r="I1893" s="12" t="n"/>
      <c r="J1893" s="12" t="n"/>
      <c r="K1893" s="12" t="n"/>
      <c r="L1893" s="11" t="n"/>
      <c r="M1893" s="11" t="n"/>
      <c r="N1893" s="11" t="n"/>
      <c r="O1893" s="11" t="n"/>
      <c r="P1893" s="12" t="n"/>
      <c r="Q1893" s="11" t="n"/>
      <c r="R1893" s="12" t="n"/>
      <c r="S1893" s="11" t="n"/>
      <c r="T1893" s="12" t="n"/>
      <c r="U1893" s="12" t="n"/>
      <c r="V1893" s="14">
        <f>IF($AN1893="",IF($B1893="","",$H1893),IF(INDEX(職員マスタ!$B$6:$B$405,$AN1893)="",$H1893,INDEX(職員マスタ!$B$6:$B$405,$AN1893)))</f>
        <v/>
      </c>
      <c r="W1893" s="14">
        <f>IF($AN1893="",IF($B1893="","",$R1893),IF(INDEX(職員マスタ!$C$6:$C$405,$AN1893)="",$R1893,INDEX(職員マスタ!$C$6:$C$405,$AN1893)))</f>
        <v/>
      </c>
      <c r="X1893" s="14">
        <f>IF($AO1893="","","R"&amp;$C1893&amp;"."&amp;$D1893)</f>
        <v/>
      </c>
      <c r="Y1893" s="15">
        <f>IF($AN1893="","",IF(INDEX(職員マスタ!$K$6:$K$405,$AN1893)="","",INDEX(職員マスタ!$K$6:$K$405,$AN1893)))</f>
        <v/>
      </c>
      <c r="Z1893" s="14">
        <f>IF(OR($E1893="",$Y1893=""),"",IF($E1893&gt;=$Y1893,"×",IF($E1893&gt;=$Y1893*設定!$C$5,"△","○")))</f>
        <v/>
      </c>
      <c r="AA1893" s="15">
        <f>IF($Z1893="","",IF($Z1893="×",0,IF($Z1893="○",ROUNDDOWN($E1893*設定!$C$4,0),ROUNDDOWN($E1893*ROUND((9*$Y1893-9*$E1893)/(10*$E1893),4),0))))</f>
        <v/>
      </c>
      <c r="AB1893" s="13" t="n"/>
      <c r="AC1893" s="15">
        <f>IF($B1893="","",IF($AB1893&lt;&gt;"",$AB1893,IF($AA1893="","",IF($AA1893&lt;=設定!$C$3,0,$AA1893))))</f>
        <v/>
      </c>
      <c r="AD1893" s="14">
        <f>IF($B1893="","",IF(AND($AE1893&lt;&gt;"",$AG1893="",$AJ1893=""),"保留中",IF($AJ1893&lt;&gt;"",IF(N($AC1893)&gt;0,"支給済","不支給"),IF($AC1893="","要確認",IF($AC1893=0,"不支給","未処理")))))</f>
        <v/>
      </c>
      <c r="AE1893" s="12" t="n"/>
      <c r="AF1893" s="11" t="n"/>
      <c r="AG1893" s="11" t="n"/>
      <c r="AH1893" s="11" t="n"/>
      <c r="AI1893" s="14">
        <f>IF(AND($AD1893="保留中",$AF1893&lt;&gt;""),TODAY()-$AF1893,"")</f>
        <v/>
      </c>
      <c r="AJ1893" s="12" t="n"/>
      <c r="AK1893" s="14">
        <f>IF($B1893="","",IF($AO1893="","対象年月が未入力／","")&amp;IF($B1893="","",IF($AN1893="","職員マスタに未登録の職員番号／",IF($Y1893="","標準報酬月額が未登録／","")&amp;IF(AND($AO1893&lt;&gt;"",OR(AND(INDEX(職員マスタ!$G$6:$G$405,$AN1893)&lt;&gt;"",INDEX(職員マスタ!$G$6:$G$405,$AN1893)&gt;EOMONTH($AO1893,0)),AND(INDEX(職員マスタ!$H$6:$H$405,$AN1893)&lt;&gt;"",INDEX(職員マスタ!$H$6:$H$405,$AN1893)&lt;$AO1893))),"対象月が時短期間外／","")&amp;IF(AND(INDEX(職員マスタ!$F$6:$F$405,$AN1893)&lt;&gt;"",$AO1893&lt;&gt;"",INDEX(職員マスタ!$F$6:$F$405,$AN1893)&lt;$AO1893),"対象月に子が2歳到達済／","")&amp;IF(AND($H1893&lt;&gt;"",INDEX(職員マスタ!$B$6:$B$405,$AN1893)&lt;&gt;"",SUBSTITUTE(SUBSTITUTE($H1893," ","")," ","")&lt;&gt;SUBSTITUTE(SUBSTITUTE(INDEX(職員マスタ!$B$6:$B$405,$AN1893)," ","")," ","")),"氏名がマスタと相違／","")&amp;IF(AND($Q1893&lt;&gt;"",INDEX(職員マスタ!$E$6:$E$405,$AN1893)&lt;&gt;"",$Q1893&lt;&gt;INDEX(職員マスタ!$E$6:$E$405,$AN1893)),"子の生年月日がマスタと相違／","")&amp;IF(AND($L1893&lt;&gt;"",INDEX(職員マスタ!$G$6:$G$405,$AN1893)&lt;&gt;"",$L1893&lt;&gt;INDEX(職員マスタ!$G$6:$G$405,$AN1893)),"時短開始日がマスタと相違／","")&amp;IF(AND($M1893&lt;&gt;"",INDEX(職員マスタ!$H$6:$H$405,$AN1893)&lt;&gt;"",$M1893&lt;&gt;INDEX(職員マスタ!$H$6:$H$405,$AN1893)),"時短終了日がマスタと相違／","")))&amp;IF(AND($B1893&lt;&gt;"",$E1893=""),"報酬額が未入力／","")&amp;IF(N($U1893)&gt;0,"申請書に入力エラーが残っています／","")&amp;IF(AND($B1893&lt;&gt;"",$AO1893&lt;&gt;""),IF(COUNTIFS($B$6:$B$3005,$B1893,$C$6:$C$3005,$C1893,$D$6:$D$3005,$D1893)&gt;1,"同じ月の請求が重複しています／",""),"")&amp;IF(AND(N($E1893)&gt;0,$Z1893&lt;&gt;"",$Z1893&lt;&gt;"×",$AC1893=0,$AB1893=""),"計算額が下限以下のため不支給／",""))</f>
        <v/>
      </c>
      <c r="AL1893" s="12" t="n"/>
      <c r="AM1893" s="14">
        <f>IF($AD1893="保留中",COUNTIF($AD$6:$AD1893,"保留中"),"")</f>
        <v/>
      </c>
      <c r="AN1893" s="14">
        <f>IF($AO1893="","",IF(SUMPRODUCT(MAX((職員マスタ!$A$6:$A$405=$B1893)*(((職員マスタ!$G$6:$G$405="")+(職員マスタ!$G$6:$G$405&lt;=EOMONTH($AO1893,0)))&gt;0)*(((職員マスタ!$H$6:$H$405="")+(職員マスタ!$H$6:$H$405&gt;=$AO1893))&gt;0)*(ROW(職員マスタ!$A$6:$A$405)-5)))&gt;0,SUMPRODUCT(MAX((職員マスタ!$A$6:$A$405=$B1893)*(((職員マスタ!$G$6:$G$405="")+(職員マスタ!$G$6:$G$405&lt;=EOMONTH($AO1893,0)))&gt;0)*(((職員マスタ!$H$6:$H$405="")+(職員マスタ!$H$6:$H$405&gt;=$AO1893))&gt;0)*(ROW(職員マスタ!$A$6:$A$405)-5))),IFERROR(MATCH($B1893,職員マスタ!$A$6:$A$405,0),"")))</f>
        <v/>
      </c>
      <c r="AO1893" s="16">
        <f>IF(OR($B1893="",$C1893="",$D1893=""),"",DATE($C1893+2018,$D1893,1))</f>
        <v/>
      </c>
    </row>
    <row r="1894">
      <c r="A1894" s="11" t="n"/>
      <c r="B1894" s="12" t="n"/>
      <c r="C1894" s="12" t="n"/>
      <c r="D1894" s="12" t="n"/>
      <c r="E1894" s="13" t="n"/>
      <c r="F1894" s="12" t="n"/>
      <c r="G1894" s="13" t="n"/>
      <c r="H1894" s="12" t="n"/>
      <c r="I1894" s="12" t="n"/>
      <c r="J1894" s="12" t="n"/>
      <c r="K1894" s="12" t="n"/>
      <c r="L1894" s="11" t="n"/>
      <c r="M1894" s="11" t="n"/>
      <c r="N1894" s="11" t="n"/>
      <c r="O1894" s="11" t="n"/>
      <c r="P1894" s="12" t="n"/>
      <c r="Q1894" s="11" t="n"/>
      <c r="R1894" s="12" t="n"/>
      <c r="S1894" s="11" t="n"/>
      <c r="T1894" s="12" t="n"/>
      <c r="U1894" s="12" t="n"/>
      <c r="V1894" s="14">
        <f>IF($AN1894="",IF($B1894="","",$H1894),IF(INDEX(職員マスタ!$B$6:$B$405,$AN1894)="",$H1894,INDEX(職員マスタ!$B$6:$B$405,$AN1894)))</f>
        <v/>
      </c>
      <c r="W1894" s="14">
        <f>IF($AN1894="",IF($B1894="","",$R1894),IF(INDEX(職員マスタ!$C$6:$C$405,$AN1894)="",$R1894,INDEX(職員マスタ!$C$6:$C$405,$AN1894)))</f>
        <v/>
      </c>
      <c r="X1894" s="14">
        <f>IF($AO1894="","","R"&amp;$C1894&amp;"."&amp;$D1894)</f>
        <v/>
      </c>
      <c r="Y1894" s="15">
        <f>IF($AN1894="","",IF(INDEX(職員マスタ!$K$6:$K$405,$AN1894)="","",INDEX(職員マスタ!$K$6:$K$405,$AN1894)))</f>
        <v/>
      </c>
      <c r="Z1894" s="14">
        <f>IF(OR($E1894="",$Y1894=""),"",IF($E1894&gt;=$Y1894,"×",IF($E1894&gt;=$Y1894*設定!$C$5,"△","○")))</f>
        <v/>
      </c>
      <c r="AA1894" s="15">
        <f>IF($Z1894="","",IF($Z1894="×",0,IF($Z1894="○",ROUNDDOWN($E1894*設定!$C$4,0),ROUNDDOWN($E1894*ROUND((9*$Y1894-9*$E1894)/(10*$E1894),4),0))))</f>
        <v/>
      </c>
      <c r="AB1894" s="13" t="n"/>
      <c r="AC1894" s="15">
        <f>IF($B1894="","",IF($AB1894&lt;&gt;"",$AB1894,IF($AA1894="","",IF($AA1894&lt;=設定!$C$3,0,$AA1894))))</f>
        <v/>
      </c>
      <c r="AD1894" s="14">
        <f>IF($B1894="","",IF(AND($AE1894&lt;&gt;"",$AG1894="",$AJ1894=""),"保留中",IF($AJ1894&lt;&gt;"",IF(N($AC1894)&gt;0,"支給済","不支給"),IF($AC1894="","要確認",IF($AC1894=0,"不支給","未処理")))))</f>
        <v/>
      </c>
      <c r="AE1894" s="12" t="n"/>
      <c r="AF1894" s="11" t="n"/>
      <c r="AG1894" s="11" t="n"/>
      <c r="AH1894" s="11" t="n"/>
      <c r="AI1894" s="14">
        <f>IF(AND($AD1894="保留中",$AF1894&lt;&gt;""),TODAY()-$AF1894,"")</f>
        <v/>
      </c>
      <c r="AJ1894" s="12" t="n"/>
      <c r="AK1894" s="14">
        <f>IF($B1894="","",IF($AO1894="","対象年月が未入力／","")&amp;IF($B1894="","",IF($AN1894="","職員マスタに未登録の職員番号／",IF($Y1894="","標準報酬月額が未登録／","")&amp;IF(AND($AO1894&lt;&gt;"",OR(AND(INDEX(職員マスタ!$G$6:$G$405,$AN1894)&lt;&gt;"",INDEX(職員マスタ!$G$6:$G$405,$AN1894)&gt;EOMONTH($AO1894,0)),AND(INDEX(職員マスタ!$H$6:$H$405,$AN1894)&lt;&gt;"",INDEX(職員マスタ!$H$6:$H$405,$AN1894)&lt;$AO1894))),"対象月が時短期間外／","")&amp;IF(AND(INDEX(職員マスタ!$F$6:$F$405,$AN1894)&lt;&gt;"",$AO1894&lt;&gt;"",INDEX(職員マスタ!$F$6:$F$405,$AN1894)&lt;$AO1894),"対象月に子が2歳到達済／","")&amp;IF(AND($H1894&lt;&gt;"",INDEX(職員マスタ!$B$6:$B$405,$AN1894)&lt;&gt;"",SUBSTITUTE(SUBSTITUTE($H1894," ","")," ","")&lt;&gt;SUBSTITUTE(SUBSTITUTE(INDEX(職員マスタ!$B$6:$B$405,$AN1894)," ","")," ","")),"氏名がマスタと相違／","")&amp;IF(AND($Q1894&lt;&gt;"",INDEX(職員マスタ!$E$6:$E$405,$AN1894)&lt;&gt;"",$Q1894&lt;&gt;INDEX(職員マスタ!$E$6:$E$405,$AN1894)),"子の生年月日がマスタと相違／","")&amp;IF(AND($L1894&lt;&gt;"",INDEX(職員マスタ!$G$6:$G$405,$AN1894)&lt;&gt;"",$L1894&lt;&gt;INDEX(職員マスタ!$G$6:$G$405,$AN1894)),"時短開始日がマスタと相違／","")&amp;IF(AND($M1894&lt;&gt;"",INDEX(職員マスタ!$H$6:$H$405,$AN1894)&lt;&gt;"",$M1894&lt;&gt;INDEX(職員マスタ!$H$6:$H$405,$AN1894)),"時短終了日がマスタと相違／","")))&amp;IF(AND($B1894&lt;&gt;"",$E1894=""),"報酬額が未入力／","")&amp;IF(N($U1894)&gt;0,"申請書に入力エラーが残っています／","")&amp;IF(AND($B1894&lt;&gt;"",$AO1894&lt;&gt;""),IF(COUNTIFS($B$6:$B$3005,$B1894,$C$6:$C$3005,$C1894,$D$6:$D$3005,$D1894)&gt;1,"同じ月の請求が重複しています／",""),"")&amp;IF(AND(N($E1894)&gt;0,$Z1894&lt;&gt;"",$Z1894&lt;&gt;"×",$AC1894=0,$AB1894=""),"計算額が下限以下のため不支給／",""))</f>
        <v/>
      </c>
      <c r="AL1894" s="12" t="n"/>
      <c r="AM1894" s="14">
        <f>IF($AD1894="保留中",COUNTIF($AD$6:$AD1894,"保留中"),"")</f>
        <v/>
      </c>
      <c r="AN1894" s="14">
        <f>IF($AO1894="","",IF(SUMPRODUCT(MAX((職員マスタ!$A$6:$A$405=$B1894)*(((職員マスタ!$G$6:$G$405="")+(職員マスタ!$G$6:$G$405&lt;=EOMONTH($AO1894,0)))&gt;0)*(((職員マスタ!$H$6:$H$405="")+(職員マスタ!$H$6:$H$405&gt;=$AO1894))&gt;0)*(ROW(職員マスタ!$A$6:$A$405)-5)))&gt;0,SUMPRODUCT(MAX((職員マスタ!$A$6:$A$405=$B1894)*(((職員マスタ!$G$6:$G$405="")+(職員マスタ!$G$6:$G$405&lt;=EOMONTH($AO1894,0)))&gt;0)*(((職員マスタ!$H$6:$H$405="")+(職員マスタ!$H$6:$H$405&gt;=$AO1894))&gt;0)*(ROW(職員マスタ!$A$6:$A$405)-5))),IFERROR(MATCH($B1894,職員マスタ!$A$6:$A$405,0),"")))</f>
        <v/>
      </c>
      <c r="AO1894" s="16">
        <f>IF(OR($B1894="",$C1894="",$D1894=""),"",DATE($C1894+2018,$D1894,1))</f>
        <v/>
      </c>
    </row>
    <row r="1895">
      <c r="A1895" s="11" t="n"/>
      <c r="B1895" s="12" t="n"/>
      <c r="C1895" s="12" t="n"/>
      <c r="D1895" s="12" t="n"/>
      <c r="E1895" s="13" t="n"/>
      <c r="F1895" s="12" t="n"/>
      <c r="G1895" s="13" t="n"/>
      <c r="H1895" s="12" t="n"/>
      <c r="I1895" s="12" t="n"/>
      <c r="J1895" s="12" t="n"/>
      <c r="K1895" s="12" t="n"/>
      <c r="L1895" s="11" t="n"/>
      <c r="M1895" s="11" t="n"/>
      <c r="N1895" s="11" t="n"/>
      <c r="O1895" s="11" t="n"/>
      <c r="P1895" s="12" t="n"/>
      <c r="Q1895" s="11" t="n"/>
      <c r="R1895" s="12" t="n"/>
      <c r="S1895" s="11" t="n"/>
      <c r="T1895" s="12" t="n"/>
      <c r="U1895" s="12" t="n"/>
      <c r="V1895" s="14">
        <f>IF($AN1895="",IF($B1895="","",$H1895),IF(INDEX(職員マスタ!$B$6:$B$405,$AN1895)="",$H1895,INDEX(職員マスタ!$B$6:$B$405,$AN1895)))</f>
        <v/>
      </c>
      <c r="W1895" s="14">
        <f>IF($AN1895="",IF($B1895="","",$R1895),IF(INDEX(職員マスタ!$C$6:$C$405,$AN1895)="",$R1895,INDEX(職員マスタ!$C$6:$C$405,$AN1895)))</f>
        <v/>
      </c>
      <c r="X1895" s="14">
        <f>IF($AO1895="","","R"&amp;$C1895&amp;"."&amp;$D1895)</f>
        <v/>
      </c>
      <c r="Y1895" s="15">
        <f>IF($AN1895="","",IF(INDEX(職員マスタ!$K$6:$K$405,$AN1895)="","",INDEX(職員マスタ!$K$6:$K$405,$AN1895)))</f>
        <v/>
      </c>
      <c r="Z1895" s="14">
        <f>IF(OR($E1895="",$Y1895=""),"",IF($E1895&gt;=$Y1895,"×",IF($E1895&gt;=$Y1895*設定!$C$5,"△","○")))</f>
        <v/>
      </c>
      <c r="AA1895" s="15">
        <f>IF($Z1895="","",IF($Z1895="×",0,IF($Z1895="○",ROUNDDOWN($E1895*設定!$C$4,0),ROUNDDOWN($E1895*ROUND((9*$Y1895-9*$E1895)/(10*$E1895),4),0))))</f>
        <v/>
      </c>
      <c r="AB1895" s="13" t="n"/>
      <c r="AC1895" s="15">
        <f>IF($B1895="","",IF($AB1895&lt;&gt;"",$AB1895,IF($AA1895="","",IF($AA1895&lt;=設定!$C$3,0,$AA1895))))</f>
        <v/>
      </c>
      <c r="AD1895" s="14">
        <f>IF($B1895="","",IF(AND($AE1895&lt;&gt;"",$AG1895="",$AJ1895=""),"保留中",IF($AJ1895&lt;&gt;"",IF(N($AC1895)&gt;0,"支給済","不支給"),IF($AC1895="","要確認",IF($AC1895=0,"不支給","未処理")))))</f>
        <v/>
      </c>
      <c r="AE1895" s="12" t="n"/>
      <c r="AF1895" s="11" t="n"/>
      <c r="AG1895" s="11" t="n"/>
      <c r="AH1895" s="11" t="n"/>
      <c r="AI1895" s="14">
        <f>IF(AND($AD1895="保留中",$AF1895&lt;&gt;""),TODAY()-$AF1895,"")</f>
        <v/>
      </c>
      <c r="AJ1895" s="12" t="n"/>
      <c r="AK1895" s="14">
        <f>IF($B1895="","",IF($AO1895="","対象年月が未入力／","")&amp;IF($B1895="","",IF($AN1895="","職員マスタに未登録の職員番号／",IF($Y1895="","標準報酬月額が未登録／","")&amp;IF(AND($AO1895&lt;&gt;"",OR(AND(INDEX(職員マスタ!$G$6:$G$405,$AN1895)&lt;&gt;"",INDEX(職員マスタ!$G$6:$G$405,$AN1895)&gt;EOMONTH($AO1895,0)),AND(INDEX(職員マスタ!$H$6:$H$405,$AN1895)&lt;&gt;"",INDEX(職員マスタ!$H$6:$H$405,$AN1895)&lt;$AO1895))),"対象月が時短期間外／","")&amp;IF(AND(INDEX(職員マスタ!$F$6:$F$405,$AN1895)&lt;&gt;"",$AO1895&lt;&gt;"",INDEX(職員マスタ!$F$6:$F$405,$AN1895)&lt;$AO1895),"対象月に子が2歳到達済／","")&amp;IF(AND($H1895&lt;&gt;"",INDEX(職員マスタ!$B$6:$B$405,$AN1895)&lt;&gt;"",SUBSTITUTE(SUBSTITUTE($H1895," ","")," ","")&lt;&gt;SUBSTITUTE(SUBSTITUTE(INDEX(職員マスタ!$B$6:$B$405,$AN1895)," ","")," ","")),"氏名がマスタと相違／","")&amp;IF(AND($Q1895&lt;&gt;"",INDEX(職員マスタ!$E$6:$E$405,$AN1895)&lt;&gt;"",$Q1895&lt;&gt;INDEX(職員マスタ!$E$6:$E$405,$AN1895)),"子の生年月日がマスタと相違／","")&amp;IF(AND($L1895&lt;&gt;"",INDEX(職員マスタ!$G$6:$G$405,$AN1895)&lt;&gt;"",$L1895&lt;&gt;INDEX(職員マスタ!$G$6:$G$405,$AN1895)),"時短開始日がマスタと相違／","")&amp;IF(AND($M1895&lt;&gt;"",INDEX(職員マスタ!$H$6:$H$405,$AN1895)&lt;&gt;"",$M1895&lt;&gt;INDEX(職員マスタ!$H$6:$H$405,$AN1895)),"時短終了日がマスタと相違／","")))&amp;IF(AND($B1895&lt;&gt;"",$E1895=""),"報酬額が未入力／","")&amp;IF(N($U1895)&gt;0,"申請書に入力エラーが残っています／","")&amp;IF(AND($B1895&lt;&gt;"",$AO1895&lt;&gt;""),IF(COUNTIFS($B$6:$B$3005,$B1895,$C$6:$C$3005,$C1895,$D$6:$D$3005,$D1895)&gt;1,"同じ月の請求が重複しています／",""),"")&amp;IF(AND(N($E1895)&gt;0,$Z1895&lt;&gt;"",$Z1895&lt;&gt;"×",$AC1895=0,$AB1895=""),"計算額が下限以下のため不支給／",""))</f>
        <v/>
      </c>
      <c r="AL1895" s="12" t="n"/>
      <c r="AM1895" s="14">
        <f>IF($AD1895="保留中",COUNTIF($AD$6:$AD1895,"保留中"),"")</f>
        <v/>
      </c>
      <c r="AN1895" s="14">
        <f>IF($AO1895="","",IF(SUMPRODUCT(MAX((職員マスタ!$A$6:$A$405=$B1895)*(((職員マスタ!$G$6:$G$405="")+(職員マスタ!$G$6:$G$405&lt;=EOMONTH($AO1895,0)))&gt;0)*(((職員マスタ!$H$6:$H$405="")+(職員マスタ!$H$6:$H$405&gt;=$AO1895))&gt;0)*(ROW(職員マスタ!$A$6:$A$405)-5)))&gt;0,SUMPRODUCT(MAX((職員マスタ!$A$6:$A$405=$B1895)*(((職員マスタ!$G$6:$G$405="")+(職員マスタ!$G$6:$G$405&lt;=EOMONTH($AO1895,0)))&gt;0)*(((職員マスタ!$H$6:$H$405="")+(職員マスタ!$H$6:$H$405&gt;=$AO1895))&gt;0)*(ROW(職員マスタ!$A$6:$A$405)-5))),IFERROR(MATCH($B1895,職員マスタ!$A$6:$A$405,0),"")))</f>
        <v/>
      </c>
      <c r="AO1895" s="16">
        <f>IF(OR($B1895="",$C1895="",$D1895=""),"",DATE($C1895+2018,$D1895,1))</f>
        <v/>
      </c>
    </row>
    <row r="1896">
      <c r="A1896" s="11" t="n"/>
      <c r="B1896" s="12" t="n"/>
      <c r="C1896" s="12" t="n"/>
      <c r="D1896" s="12" t="n"/>
      <c r="E1896" s="13" t="n"/>
      <c r="F1896" s="12" t="n"/>
      <c r="G1896" s="13" t="n"/>
      <c r="H1896" s="12" t="n"/>
      <c r="I1896" s="12" t="n"/>
      <c r="J1896" s="12" t="n"/>
      <c r="K1896" s="12" t="n"/>
      <c r="L1896" s="11" t="n"/>
      <c r="M1896" s="11" t="n"/>
      <c r="N1896" s="11" t="n"/>
      <c r="O1896" s="11" t="n"/>
      <c r="P1896" s="12" t="n"/>
      <c r="Q1896" s="11" t="n"/>
      <c r="R1896" s="12" t="n"/>
      <c r="S1896" s="11" t="n"/>
      <c r="T1896" s="12" t="n"/>
      <c r="U1896" s="12" t="n"/>
      <c r="V1896" s="14">
        <f>IF($AN1896="",IF($B1896="","",$H1896),IF(INDEX(職員マスタ!$B$6:$B$405,$AN1896)="",$H1896,INDEX(職員マスタ!$B$6:$B$405,$AN1896)))</f>
        <v/>
      </c>
      <c r="W1896" s="14">
        <f>IF($AN1896="",IF($B1896="","",$R1896),IF(INDEX(職員マスタ!$C$6:$C$405,$AN1896)="",$R1896,INDEX(職員マスタ!$C$6:$C$405,$AN1896)))</f>
        <v/>
      </c>
      <c r="X1896" s="14">
        <f>IF($AO1896="","","R"&amp;$C1896&amp;"."&amp;$D1896)</f>
        <v/>
      </c>
      <c r="Y1896" s="15">
        <f>IF($AN1896="","",IF(INDEX(職員マスタ!$K$6:$K$405,$AN1896)="","",INDEX(職員マスタ!$K$6:$K$405,$AN1896)))</f>
        <v/>
      </c>
      <c r="Z1896" s="14">
        <f>IF(OR($E1896="",$Y1896=""),"",IF($E1896&gt;=$Y1896,"×",IF($E1896&gt;=$Y1896*設定!$C$5,"△","○")))</f>
        <v/>
      </c>
      <c r="AA1896" s="15">
        <f>IF($Z1896="","",IF($Z1896="×",0,IF($Z1896="○",ROUNDDOWN($E1896*設定!$C$4,0),ROUNDDOWN($E1896*ROUND((9*$Y1896-9*$E1896)/(10*$E1896),4),0))))</f>
        <v/>
      </c>
      <c r="AB1896" s="13" t="n"/>
      <c r="AC1896" s="15">
        <f>IF($B1896="","",IF($AB1896&lt;&gt;"",$AB1896,IF($AA1896="","",IF($AA1896&lt;=設定!$C$3,0,$AA1896))))</f>
        <v/>
      </c>
      <c r="AD1896" s="14">
        <f>IF($B1896="","",IF(AND($AE1896&lt;&gt;"",$AG1896="",$AJ1896=""),"保留中",IF($AJ1896&lt;&gt;"",IF(N($AC1896)&gt;0,"支給済","不支給"),IF($AC1896="","要確認",IF($AC1896=0,"不支給","未処理")))))</f>
        <v/>
      </c>
      <c r="AE1896" s="12" t="n"/>
      <c r="AF1896" s="11" t="n"/>
      <c r="AG1896" s="11" t="n"/>
      <c r="AH1896" s="11" t="n"/>
      <c r="AI1896" s="14">
        <f>IF(AND($AD1896="保留中",$AF1896&lt;&gt;""),TODAY()-$AF1896,"")</f>
        <v/>
      </c>
      <c r="AJ1896" s="12" t="n"/>
      <c r="AK1896" s="14">
        <f>IF($B1896="","",IF($AO1896="","対象年月が未入力／","")&amp;IF($B1896="","",IF($AN1896="","職員マスタに未登録の職員番号／",IF($Y1896="","標準報酬月額が未登録／","")&amp;IF(AND($AO1896&lt;&gt;"",OR(AND(INDEX(職員マスタ!$G$6:$G$405,$AN1896)&lt;&gt;"",INDEX(職員マスタ!$G$6:$G$405,$AN1896)&gt;EOMONTH($AO1896,0)),AND(INDEX(職員マスタ!$H$6:$H$405,$AN1896)&lt;&gt;"",INDEX(職員マスタ!$H$6:$H$405,$AN1896)&lt;$AO1896))),"対象月が時短期間外／","")&amp;IF(AND(INDEX(職員マスタ!$F$6:$F$405,$AN1896)&lt;&gt;"",$AO1896&lt;&gt;"",INDEX(職員マスタ!$F$6:$F$405,$AN1896)&lt;$AO1896),"対象月に子が2歳到達済／","")&amp;IF(AND($H1896&lt;&gt;"",INDEX(職員マスタ!$B$6:$B$405,$AN1896)&lt;&gt;"",SUBSTITUTE(SUBSTITUTE($H1896," ","")," ","")&lt;&gt;SUBSTITUTE(SUBSTITUTE(INDEX(職員マスタ!$B$6:$B$405,$AN1896)," ","")," ","")),"氏名がマスタと相違／","")&amp;IF(AND($Q1896&lt;&gt;"",INDEX(職員マスタ!$E$6:$E$405,$AN1896)&lt;&gt;"",$Q1896&lt;&gt;INDEX(職員マスタ!$E$6:$E$405,$AN1896)),"子の生年月日がマスタと相違／","")&amp;IF(AND($L1896&lt;&gt;"",INDEX(職員マスタ!$G$6:$G$405,$AN1896)&lt;&gt;"",$L1896&lt;&gt;INDEX(職員マスタ!$G$6:$G$405,$AN1896)),"時短開始日がマスタと相違／","")&amp;IF(AND($M1896&lt;&gt;"",INDEX(職員マスタ!$H$6:$H$405,$AN1896)&lt;&gt;"",$M1896&lt;&gt;INDEX(職員マスタ!$H$6:$H$405,$AN1896)),"時短終了日がマスタと相違／","")))&amp;IF(AND($B1896&lt;&gt;"",$E1896=""),"報酬額が未入力／","")&amp;IF(N($U1896)&gt;0,"申請書に入力エラーが残っています／","")&amp;IF(AND($B1896&lt;&gt;"",$AO1896&lt;&gt;""),IF(COUNTIFS($B$6:$B$3005,$B1896,$C$6:$C$3005,$C1896,$D$6:$D$3005,$D1896)&gt;1,"同じ月の請求が重複しています／",""),"")&amp;IF(AND(N($E1896)&gt;0,$Z1896&lt;&gt;"",$Z1896&lt;&gt;"×",$AC1896=0,$AB1896=""),"計算額が下限以下のため不支給／",""))</f>
        <v/>
      </c>
      <c r="AL1896" s="12" t="n"/>
      <c r="AM1896" s="14">
        <f>IF($AD1896="保留中",COUNTIF($AD$6:$AD1896,"保留中"),"")</f>
        <v/>
      </c>
      <c r="AN1896" s="14">
        <f>IF($AO1896="","",IF(SUMPRODUCT(MAX((職員マスタ!$A$6:$A$405=$B1896)*(((職員マスタ!$G$6:$G$405="")+(職員マスタ!$G$6:$G$405&lt;=EOMONTH($AO1896,0)))&gt;0)*(((職員マスタ!$H$6:$H$405="")+(職員マスタ!$H$6:$H$405&gt;=$AO1896))&gt;0)*(ROW(職員マスタ!$A$6:$A$405)-5)))&gt;0,SUMPRODUCT(MAX((職員マスタ!$A$6:$A$405=$B1896)*(((職員マスタ!$G$6:$G$405="")+(職員マスタ!$G$6:$G$405&lt;=EOMONTH($AO1896,0)))&gt;0)*(((職員マスタ!$H$6:$H$405="")+(職員マスタ!$H$6:$H$405&gt;=$AO1896))&gt;0)*(ROW(職員マスタ!$A$6:$A$405)-5))),IFERROR(MATCH($B1896,職員マスタ!$A$6:$A$405,0),"")))</f>
        <v/>
      </c>
      <c r="AO1896" s="16">
        <f>IF(OR($B1896="",$C1896="",$D1896=""),"",DATE($C1896+2018,$D1896,1))</f>
        <v/>
      </c>
    </row>
    <row r="1897">
      <c r="A1897" s="11" t="n"/>
      <c r="B1897" s="12" t="n"/>
      <c r="C1897" s="12" t="n"/>
      <c r="D1897" s="12" t="n"/>
      <c r="E1897" s="13" t="n"/>
      <c r="F1897" s="12" t="n"/>
      <c r="G1897" s="13" t="n"/>
      <c r="H1897" s="12" t="n"/>
      <c r="I1897" s="12" t="n"/>
      <c r="J1897" s="12" t="n"/>
      <c r="K1897" s="12" t="n"/>
      <c r="L1897" s="11" t="n"/>
      <c r="M1897" s="11" t="n"/>
      <c r="N1897" s="11" t="n"/>
      <c r="O1897" s="11" t="n"/>
      <c r="P1897" s="12" t="n"/>
      <c r="Q1897" s="11" t="n"/>
      <c r="R1897" s="12" t="n"/>
      <c r="S1897" s="11" t="n"/>
      <c r="T1897" s="12" t="n"/>
      <c r="U1897" s="12" t="n"/>
      <c r="V1897" s="14">
        <f>IF($AN1897="",IF($B1897="","",$H1897),IF(INDEX(職員マスタ!$B$6:$B$405,$AN1897)="",$H1897,INDEX(職員マスタ!$B$6:$B$405,$AN1897)))</f>
        <v/>
      </c>
      <c r="W1897" s="14">
        <f>IF($AN1897="",IF($B1897="","",$R1897),IF(INDEX(職員マスタ!$C$6:$C$405,$AN1897)="",$R1897,INDEX(職員マスタ!$C$6:$C$405,$AN1897)))</f>
        <v/>
      </c>
      <c r="X1897" s="14">
        <f>IF($AO1897="","","R"&amp;$C1897&amp;"."&amp;$D1897)</f>
        <v/>
      </c>
      <c r="Y1897" s="15">
        <f>IF($AN1897="","",IF(INDEX(職員マスタ!$K$6:$K$405,$AN1897)="","",INDEX(職員マスタ!$K$6:$K$405,$AN1897)))</f>
        <v/>
      </c>
      <c r="Z1897" s="14">
        <f>IF(OR($E1897="",$Y1897=""),"",IF($E1897&gt;=$Y1897,"×",IF($E1897&gt;=$Y1897*設定!$C$5,"△","○")))</f>
        <v/>
      </c>
      <c r="AA1897" s="15">
        <f>IF($Z1897="","",IF($Z1897="×",0,IF($Z1897="○",ROUNDDOWN($E1897*設定!$C$4,0),ROUNDDOWN($E1897*ROUND((9*$Y1897-9*$E1897)/(10*$E1897),4),0))))</f>
        <v/>
      </c>
      <c r="AB1897" s="13" t="n"/>
      <c r="AC1897" s="15">
        <f>IF($B1897="","",IF($AB1897&lt;&gt;"",$AB1897,IF($AA1897="","",IF($AA1897&lt;=設定!$C$3,0,$AA1897))))</f>
        <v/>
      </c>
      <c r="AD1897" s="14">
        <f>IF($B1897="","",IF(AND($AE1897&lt;&gt;"",$AG1897="",$AJ1897=""),"保留中",IF($AJ1897&lt;&gt;"",IF(N($AC1897)&gt;0,"支給済","不支給"),IF($AC1897="","要確認",IF($AC1897=0,"不支給","未処理")))))</f>
        <v/>
      </c>
      <c r="AE1897" s="12" t="n"/>
      <c r="AF1897" s="11" t="n"/>
      <c r="AG1897" s="11" t="n"/>
      <c r="AH1897" s="11" t="n"/>
      <c r="AI1897" s="14">
        <f>IF(AND($AD1897="保留中",$AF1897&lt;&gt;""),TODAY()-$AF1897,"")</f>
        <v/>
      </c>
      <c r="AJ1897" s="12" t="n"/>
      <c r="AK1897" s="14">
        <f>IF($B1897="","",IF($AO1897="","対象年月が未入力／","")&amp;IF($B1897="","",IF($AN1897="","職員マスタに未登録の職員番号／",IF($Y1897="","標準報酬月額が未登録／","")&amp;IF(AND($AO1897&lt;&gt;"",OR(AND(INDEX(職員マスタ!$G$6:$G$405,$AN1897)&lt;&gt;"",INDEX(職員マスタ!$G$6:$G$405,$AN1897)&gt;EOMONTH($AO1897,0)),AND(INDEX(職員マスタ!$H$6:$H$405,$AN1897)&lt;&gt;"",INDEX(職員マスタ!$H$6:$H$405,$AN1897)&lt;$AO1897))),"対象月が時短期間外／","")&amp;IF(AND(INDEX(職員マスタ!$F$6:$F$405,$AN1897)&lt;&gt;"",$AO1897&lt;&gt;"",INDEX(職員マスタ!$F$6:$F$405,$AN1897)&lt;$AO1897),"対象月に子が2歳到達済／","")&amp;IF(AND($H1897&lt;&gt;"",INDEX(職員マスタ!$B$6:$B$405,$AN1897)&lt;&gt;"",SUBSTITUTE(SUBSTITUTE($H1897," ","")," ","")&lt;&gt;SUBSTITUTE(SUBSTITUTE(INDEX(職員マスタ!$B$6:$B$405,$AN1897)," ","")," ","")),"氏名がマスタと相違／","")&amp;IF(AND($Q1897&lt;&gt;"",INDEX(職員マスタ!$E$6:$E$405,$AN1897)&lt;&gt;"",$Q1897&lt;&gt;INDEX(職員マスタ!$E$6:$E$405,$AN1897)),"子の生年月日がマスタと相違／","")&amp;IF(AND($L1897&lt;&gt;"",INDEX(職員マスタ!$G$6:$G$405,$AN1897)&lt;&gt;"",$L1897&lt;&gt;INDEX(職員マスタ!$G$6:$G$405,$AN1897)),"時短開始日がマスタと相違／","")&amp;IF(AND($M1897&lt;&gt;"",INDEX(職員マスタ!$H$6:$H$405,$AN1897)&lt;&gt;"",$M1897&lt;&gt;INDEX(職員マスタ!$H$6:$H$405,$AN1897)),"時短終了日がマスタと相違／","")))&amp;IF(AND($B1897&lt;&gt;"",$E1897=""),"報酬額が未入力／","")&amp;IF(N($U1897)&gt;0,"申請書に入力エラーが残っています／","")&amp;IF(AND($B1897&lt;&gt;"",$AO1897&lt;&gt;""),IF(COUNTIFS($B$6:$B$3005,$B1897,$C$6:$C$3005,$C1897,$D$6:$D$3005,$D1897)&gt;1,"同じ月の請求が重複しています／",""),"")&amp;IF(AND(N($E1897)&gt;0,$Z1897&lt;&gt;"",$Z1897&lt;&gt;"×",$AC1897=0,$AB1897=""),"計算額が下限以下のため不支給／",""))</f>
        <v/>
      </c>
      <c r="AL1897" s="12" t="n"/>
      <c r="AM1897" s="14">
        <f>IF($AD1897="保留中",COUNTIF($AD$6:$AD1897,"保留中"),"")</f>
        <v/>
      </c>
      <c r="AN1897" s="14">
        <f>IF($AO1897="","",IF(SUMPRODUCT(MAX((職員マスタ!$A$6:$A$405=$B1897)*(((職員マスタ!$G$6:$G$405="")+(職員マスタ!$G$6:$G$405&lt;=EOMONTH($AO1897,0)))&gt;0)*(((職員マスタ!$H$6:$H$405="")+(職員マスタ!$H$6:$H$405&gt;=$AO1897))&gt;0)*(ROW(職員マスタ!$A$6:$A$405)-5)))&gt;0,SUMPRODUCT(MAX((職員マスタ!$A$6:$A$405=$B1897)*(((職員マスタ!$G$6:$G$405="")+(職員マスタ!$G$6:$G$405&lt;=EOMONTH($AO1897,0)))&gt;0)*(((職員マスタ!$H$6:$H$405="")+(職員マスタ!$H$6:$H$405&gt;=$AO1897))&gt;0)*(ROW(職員マスタ!$A$6:$A$405)-5))),IFERROR(MATCH($B1897,職員マスタ!$A$6:$A$405,0),"")))</f>
        <v/>
      </c>
      <c r="AO1897" s="16">
        <f>IF(OR($B1897="",$C1897="",$D1897=""),"",DATE($C1897+2018,$D1897,1))</f>
        <v/>
      </c>
    </row>
    <row r="1898">
      <c r="A1898" s="11" t="n"/>
      <c r="B1898" s="12" t="n"/>
      <c r="C1898" s="12" t="n"/>
      <c r="D1898" s="12" t="n"/>
      <c r="E1898" s="13" t="n"/>
      <c r="F1898" s="12" t="n"/>
      <c r="G1898" s="13" t="n"/>
      <c r="H1898" s="12" t="n"/>
      <c r="I1898" s="12" t="n"/>
      <c r="J1898" s="12" t="n"/>
      <c r="K1898" s="12" t="n"/>
      <c r="L1898" s="11" t="n"/>
      <c r="M1898" s="11" t="n"/>
      <c r="N1898" s="11" t="n"/>
      <c r="O1898" s="11" t="n"/>
      <c r="P1898" s="12" t="n"/>
      <c r="Q1898" s="11" t="n"/>
      <c r="R1898" s="12" t="n"/>
      <c r="S1898" s="11" t="n"/>
      <c r="T1898" s="12" t="n"/>
      <c r="U1898" s="12" t="n"/>
      <c r="V1898" s="14">
        <f>IF($AN1898="",IF($B1898="","",$H1898),IF(INDEX(職員マスタ!$B$6:$B$405,$AN1898)="",$H1898,INDEX(職員マスタ!$B$6:$B$405,$AN1898)))</f>
        <v/>
      </c>
      <c r="W1898" s="14">
        <f>IF($AN1898="",IF($B1898="","",$R1898),IF(INDEX(職員マスタ!$C$6:$C$405,$AN1898)="",$R1898,INDEX(職員マスタ!$C$6:$C$405,$AN1898)))</f>
        <v/>
      </c>
      <c r="X1898" s="14">
        <f>IF($AO1898="","","R"&amp;$C1898&amp;"."&amp;$D1898)</f>
        <v/>
      </c>
      <c r="Y1898" s="15">
        <f>IF($AN1898="","",IF(INDEX(職員マスタ!$K$6:$K$405,$AN1898)="","",INDEX(職員マスタ!$K$6:$K$405,$AN1898)))</f>
        <v/>
      </c>
      <c r="Z1898" s="14">
        <f>IF(OR($E1898="",$Y1898=""),"",IF($E1898&gt;=$Y1898,"×",IF($E1898&gt;=$Y1898*設定!$C$5,"△","○")))</f>
        <v/>
      </c>
      <c r="AA1898" s="15">
        <f>IF($Z1898="","",IF($Z1898="×",0,IF($Z1898="○",ROUNDDOWN($E1898*設定!$C$4,0),ROUNDDOWN($E1898*ROUND((9*$Y1898-9*$E1898)/(10*$E1898),4),0))))</f>
        <v/>
      </c>
      <c r="AB1898" s="13" t="n"/>
      <c r="AC1898" s="15">
        <f>IF($B1898="","",IF($AB1898&lt;&gt;"",$AB1898,IF($AA1898="","",IF($AA1898&lt;=設定!$C$3,0,$AA1898))))</f>
        <v/>
      </c>
      <c r="AD1898" s="14">
        <f>IF($B1898="","",IF(AND($AE1898&lt;&gt;"",$AG1898="",$AJ1898=""),"保留中",IF($AJ1898&lt;&gt;"",IF(N($AC1898)&gt;0,"支給済","不支給"),IF($AC1898="","要確認",IF($AC1898=0,"不支給","未処理")))))</f>
        <v/>
      </c>
      <c r="AE1898" s="12" t="n"/>
      <c r="AF1898" s="11" t="n"/>
      <c r="AG1898" s="11" t="n"/>
      <c r="AH1898" s="11" t="n"/>
      <c r="AI1898" s="14">
        <f>IF(AND($AD1898="保留中",$AF1898&lt;&gt;""),TODAY()-$AF1898,"")</f>
        <v/>
      </c>
      <c r="AJ1898" s="12" t="n"/>
      <c r="AK1898" s="14">
        <f>IF($B1898="","",IF($AO1898="","対象年月が未入力／","")&amp;IF($B1898="","",IF($AN1898="","職員マスタに未登録の職員番号／",IF($Y1898="","標準報酬月額が未登録／","")&amp;IF(AND($AO1898&lt;&gt;"",OR(AND(INDEX(職員マスタ!$G$6:$G$405,$AN1898)&lt;&gt;"",INDEX(職員マスタ!$G$6:$G$405,$AN1898)&gt;EOMONTH($AO1898,0)),AND(INDEX(職員マスタ!$H$6:$H$405,$AN1898)&lt;&gt;"",INDEX(職員マスタ!$H$6:$H$405,$AN1898)&lt;$AO1898))),"対象月が時短期間外／","")&amp;IF(AND(INDEX(職員マスタ!$F$6:$F$405,$AN1898)&lt;&gt;"",$AO1898&lt;&gt;"",INDEX(職員マスタ!$F$6:$F$405,$AN1898)&lt;$AO1898),"対象月に子が2歳到達済／","")&amp;IF(AND($H1898&lt;&gt;"",INDEX(職員マスタ!$B$6:$B$405,$AN1898)&lt;&gt;"",SUBSTITUTE(SUBSTITUTE($H1898," ","")," ","")&lt;&gt;SUBSTITUTE(SUBSTITUTE(INDEX(職員マスタ!$B$6:$B$405,$AN1898)," ","")," ","")),"氏名がマスタと相違／","")&amp;IF(AND($Q1898&lt;&gt;"",INDEX(職員マスタ!$E$6:$E$405,$AN1898)&lt;&gt;"",$Q1898&lt;&gt;INDEX(職員マスタ!$E$6:$E$405,$AN1898)),"子の生年月日がマスタと相違／","")&amp;IF(AND($L1898&lt;&gt;"",INDEX(職員マスタ!$G$6:$G$405,$AN1898)&lt;&gt;"",$L1898&lt;&gt;INDEX(職員マスタ!$G$6:$G$405,$AN1898)),"時短開始日がマスタと相違／","")&amp;IF(AND($M1898&lt;&gt;"",INDEX(職員マスタ!$H$6:$H$405,$AN1898)&lt;&gt;"",$M1898&lt;&gt;INDEX(職員マスタ!$H$6:$H$405,$AN1898)),"時短終了日がマスタと相違／","")))&amp;IF(AND($B1898&lt;&gt;"",$E1898=""),"報酬額が未入力／","")&amp;IF(N($U1898)&gt;0,"申請書に入力エラーが残っています／","")&amp;IF(AND($B1898&lt;&gt;"",$AO1898&lt;&gt;""),IF(COUNTIFS($B$6:$B$3005,$B1898,$C$6:$C$3005,$C1898,$D$6:$D$3005,$D1898)&gt;1,"同じ月の請求が重複しています／",""),"")&amp;IF(AND(N($E1898)&gt;0,$Z1898&lt;&gt;"",$Z1898&lt;&gt;"×",$AC1898=0,$AB1898=""),"計算額が下限以下のため不支給／",""))</f>
        <v/>
      </c>
      <c r="AL1898" s="12" t="n"/>
      <c r="AM1898" s="14">
        <f>IF($AD1898="保留中",COUNTIF($AD$6:$AD1898,"保留中"),"")</f>
        <v/>
      </c>
      <c r="AN1898" s="14">
        <f>IF($AO1898="","",IF(SUMPRODUCT(MAX((職員マスタ!$A$6:$A$405=$B1898)*(((職員マスタ!$G$6:$G$405="")+(職員マスタ!$G$6:$G$405&lt;=EOMONTH($AO1898,0)))&gt;0)*(((職員マスタ!$H$6:$H$405="")+(職員マスタ!$H$6:$H$405&gt;=$AO1898))&gt;0)*(ROW(職員マスタ!$A$6:$A$405)-5)))&gt;0,SUMPRODUCT(MAX((職員マスタ!$A$6:$A$405=$B1898)*(((職員マスタ!$G$6:$G$405="")+(職員マスタ!$G$6:$G$405&lt;=EOMONTH($AO1898,0)))&gt;0)*(((職員マスタ!$H$6:$H$405="")+(職員マスタ!$H$6:$H$405&gt;=$AO1898))&gt;0)*(ROW(職員マスタ!$A$6:$A$405)-5))),IFERROR(MATCH($B1898,職員マスタ!$A$6:$A$405,0),"")))</f>
        <v/>
      </c>
      <c r="AO1898" s="16">
        <f>IF(OR($B1898="",$C1898="",$D1898=""),"",DATE($C1898+2018,$D1898,1))</f>
        <v/>
      </c>
    </row>
    <row r="1899">
      <c r="A1899" s="11" t="n"/>
      <c r="B1899" s="12" t="n"/>
      <c r="C1899" s="12" t="n"/>
      <c r="D1899" s="12" t="n"/>
      <c r="E1899" s="13" t="n"/>
      <c r="F1899" s="12" t="n"/>
      <c r="G1899" s="13" t="n"/>
      <c r="H1899" s="12" t="n"/>
      <c r="I1899" s="12" t="n"/>
      <c r="J1899" s="12" t="n"/>
      <c r="K1899" s="12" t="n"/>
      <c r="L1899" s="11" t="n"/>
      <c r="M1899" s="11" t="n"/>
      <c r="N1899" s="11" t="n"/>
      <c r="O1899" s="11" t="n"/>
      <c r="P1899" s="12" t="n"/>
      <c r="Q1899" s="11" t="n"/>
      <c r="R1899" s="12" t="n"/>
      <c r="S1899" s="11" t="n"/>
      <c r="T1899" s="12" t="n"/>
      <c r="U1899" s="12" t="n"/>
      <c r="V1899" s="14">
        <f>IF($AN1899="",IF($B1899="","",$H1899),IF(INDEX(職員マスタ!$B$6:$B$405,$AN1899)="",$H1899,INDEX(職員マスタ!$B$6:$B$405,$AN1899)))</f>
        <v/>
      </c>
      <c r="W1899" s="14">
        <f>IF($AN1899="",IF($B1899="","",$R1899),IF(INDEX(職員マスタ!$C$6:$C$405,$AN1899)="",$R1899,INDEX(職員マスタ!$C$6:$C$405,$AN1899)))</f>
        <v/>
      </c>
      <c r="X1899" s="14">
        <f>IF($AO1899="","","R"&amp;$C1899&amp;"."&amp;$D1899)</f>
        <v/>
      </c>
      <c r="Y1899" s="15">
        <f>IF($AN1899="","",IF(INDEX(職員マスタ!$K$6:$K$405,$AN1899)="","",INDEX(職員マスタ!$K$6:$K$405,$AN1899)))</f>
        <v/>
      </c>
      <c r="Z1899" s="14">
        <f>IF(OR($E1899="",$Y1899=""),"",IF($E1899&gt;=$Y1899,"×",IF($E1899&gt;=$Y1899*設定!$C$5,"△","○")))</f>
        <v/>
      </c>
      <c r="AA1899" s="15">
        <f>IF($Z1899="","",IF($Z1899="×",0,IF($Z1899="○",ROUNDDOWN($E1899*設定!$C$4,0),ROUNDDOWN($E1899*ROUND((9*$Y1899-9*$E1899)/(10*$E1899),4),0))))</f>
        <v/>
      </c>
      <c r="AB1899" s="13" t="n"/>
      <c r="AC1899" s="15">
        <f>IF($B1899="","",IF($AB1899&lt;&gt;"",$AB1899,IF($AA1899="","",IF($AA1899&lt;=設定!$C$3,0,$AA1899))))</f>
        <v/>
      </c>
      <c r="AD1899" s="14">
        <f>IF($B1899="","",IF(AND($AE1899&lt;&gt;"",$AG1899="",$AJ1899=""),"保留中",IF($AJ1899&lt;&gt;"",IF(N($AC1899)&gt;0,"支給済","不支給"),IF($AC1899="","要確認",IF($AC1899=0,"不支給","未処理")))))</f>
        <v/>
      </c>
      <c r="AE1899" s="12" t="n"/>
      <c r="AF1899" s="11" t="n"/>
      <c r="AG1899" s="11" t="n"/>
      <c r="AH1899" s="11" t="n"/>
      <c r="AI1899" s="14">
        <f>IF(AND($AD1899="保留中",$AF1899&lt;&gt;""),TODAY()-$AF1899,"")</f>
        <v/>
      </c>
      <c r="AJ1899" s="12" t="n"/>
      <c r="AK1899" s="14">
        <f>IF($B1899="","",IF($AO1899="","対象年月が未入力／","")&amp;IF($B1899="","",IF($AN1899="","職員マスタに未登録の職員番号／",IF($Y1899="","標準報酬月額が未登録／","")&amp;IF(AND($AO1899&lt;&gt;"",OR(AND(INDEX(職員マスタ!$G$6:$G$405,$AN1899)&lt;&gt;"",INDEX(職員マスタ!$G$6:$G$405,$AN1899)&gt;EOMONTH($AO1899,0)),AND(INDEX(職員マスタ!$H$6:$H$405,$AN1899)&lt;&gt;"",INDEX(職員マスタ!$H$6:$H$405,$AN1899)&lt;$AO1899))),"対象月が時短期間外／","")&amp;IF(AND(INDEX(職員マスタ!$F$6:$F$405,$AN1899)&lt;&gt;"",$AO1899&lt;&gt;"",INDEX(職員マスタ!$F$6:$F$405,$AN1899)&lt;$AO1899),"対象月に子が2歳到達済／","")&amp;IF(AND($H1899&lt;&gt;"",INDEX(職員マスタ!$B$6:$B$405,$AN1899)&lt;&gt;"",SUBSTITUTE(SUBSTITUTE($H1899," ","")," ","")&lt;&gt;SUBSTITUTE(SUBSTITUTE(INDEX(職員マスタ!$B$6:$B$405,$AN1899)," ","")," ","")),"氏名がマスタと相違／","")&amp;IF(AND($Q1899&lt;&gt;"",INDEX(職員マスタ!$E$6:$E$405,$AN1899)&lt;&gt;"",$Q1899&lt;&gt;INDEX(職員マスタ!$E$6:$E$405,$AN1899)),"子の生年月日がマスタと相違／","")&amp;IF(AND($L1899&lt;&gt;"",INDEX(職員マスタ!$G$6:$G$405,$AN1899)&lt;&gt;"",$L1899&lt;&gt;INDEX(職員マスタ!$G$6:$G$405,$AN1899)),"時短開始日がマスタと相違／","")&amp;IF(AND($M1899&lt;&gt;"",INDEX(職員マスタ!$H$6:$H$405,$AN1899)&lt;&gt;"",$M1899&lt;&gt;INDEX(職員マスタ!$H$6:$H$405,$AN1899)),"時短終了日がマスタと相違／","")))&amp;IF(AND($B1899&lt;&gt;"",$E1899=""),"報酬額が未入力／","")&amp;IF(N($U1899)&gt;0,"申請書に入力エラーが残っています／","")&amp;IF(AND($B1899&lt;&gt;"",$AO1899&lt;&gt;""),IF(COUNTIFS($B$6:$B$3005,$B1899,$C$6:$C$3005,$C1899,$D$6:$D$3005,$D1899)&gt;1,"同じ月の請求が重複しています／",""),"")&amp;IF(AND(N($E1899)&gt;0,$Z1899&lt;&gt;"",$Z1899&lt;&gt;"×",$AC1899=0,$AB1899=""),"計算額が下限以下のため不支給／",""))</f>
        <v/>
      </c>
      <c r="AL1899" s="12" t="n"/>
      <c r="AM1899" s="14">
        <f>IF($AD1899="保留中",COUNTIF($AD$6:$AD1899,"保留中"),"")</f>
        <v/>
      </c>
      <c r="AN1899" s="14">
        <f>IF($AO1899="","",IF(SUMPRODUCT(MAX((職員マスタ!$A$6:$A$405=$B1899)*(((職員マスタ!$G$6:$G$405="")+(職員マスタ!$G$6:$G$405&lt;=EOMONTH($AO1899,0)))&gt;0)*(((職員マスタ!$H$6:$H$405="")+(職員マスタ!$H$6:$H$405&gt;=$AO1899))&gt;0)*(ROW(職員マスタ!$A$6:$A$405)-5)))&gt;0,SUMPRODUCT(MAX((職員マスタ!$A$6:$A$405=$B1899)*(((職員マスタ!$G$6:$G$405="")+(職員マスタ!$G$6:$G$405&lt;=EOMONTH($AO1899,0)))&gt;0)*(((職員マスタ!$H$6:$H$405="")+(職員マスタ!$H$6:$H$405&gt;=$AO1899))&gt;0)*(ROW(職員マスタ!$A$6:$A$405)-5))),IFERROR(MATCH($B1899,職員マスタ!$A$6:$A$405,0),"")))</f>
        <v/>
      </c>
      <c r="AO1899" s="16">
        <f>IF(OR($B1899="",$C1899="",$D1899=""),"",DATE($C1899+2018,$D1899,1))</f>
        <v/>
      </c>
    </row>
    <row r="1900">
      <c r="A1900" s="11" t="n"/>
      <c r="B1900" s="12" t="n"/>
      <c r="C1900" s="12" t="n"/>
      <c r="D1900" s="12" t="n"/>
      <c r="E1900" s="13" t="n"/>
      <c r="F1900" s="12" t="n"/>
      <c r="G1900" s="13" t="n"/>
      <c r="H1900" s="12" t="n"/>
      <c r="I1900" s="12" t="n"/>
      <c r="J1900" s="12" t="n"/>
      <c r="K1900" s="12" t="n"/>
      <c r="L1900" s="11" t="n"/>
      <c r="M1900" s="11" t="n"/>
      <c r="N1900" s="11" t="n"/>
      <c r="O1900" s="11" t="n"/>
      <c r="P1900" s="12" t="n"/>
      <c r="Q1900" s="11" t="n"/>
      <c r="R1900" s="12" t="n"/>
      <c r="S1900" s="11" t="n"/>
      <c r="T1900" s="12" t="n"/>
      <c r="U1900" s="12" t="n"/>
      <c r="V1900" s="14">
        <f>IF($AN1900="",IF($B1900="","",$H1900),IF(INDEX(職員マスタ!$B$6:$B$405,$AN1900)="",$H1900,INDEX(職員マスタ!$B$6:$B$405,$AN1900)))</f>
        <v/>
      </c>
      <c r="W1900" s="14">
        <f>IF($AN1900="",IF($B1900="","",$R1900),IF(INDEX(職員マスタ!$C$6:$C$405,$AN1900)="",$R1900,INDEX(職員マスタ!$C$6:$C$405,$AN1900)))</f>
        <v/>
      </c>
      <c r="X1900" s="14">
        <f>IF($AO1900="","","R"&amp;$C1900&amp;"."&amp;$D1900)</f>
        <v/>
      </c>
      <c r="Y1900" s="15">
        <f>IF($AN1900="","",IF(INDEX(職員マスタ!$K$6:$K$405,$AN1900)="","",INDEX(職員マスタ!$K$6:$K$405,$AN1900)))</f>
        <v/>
      </c>
      <c r="Z1900" s="14">
        <f>IF(OR($E1900="",$Y1900=""),"",IF($E1900&gt;=$Y1900,"×",IF($E1900&gt;=$Y1900*設定!$C$5,"△","○")))</f>
        <v/>
      </c>
      <c r="AA1900" s="15">
        <f>IF($Z1900="","",IF($Z1900="×",0,IF($Z1900="○",ROUNDDOWN($E1900*設定!$C$4,0),ROUNDDOWN($E1900*ROUND((9*$Y1900-9*$E1900)/(10*$E1900),4),0))))</f>
        <v/>
      </c>
      <c r="AB1900" s="13" t="n"/>
      <c r="AC1900" s="15">
        <f>IF($B1900="","",IF($AB1900&lt;&gt;"",$AB1900,IF($AA1900="","",IF($AA1900&lt;=設定!$C$3,0,$AA1900))))</f>
        <v/>
      </c>
      <c r="AD1900" s="14">
        <f>IF($B1900="","",IF(AND($AE1900&lt;&gt;"",$AG1900="",$AJ1900=""),"保留中",IF($AJ1900&lt;&gt;"",IF(N($AC1900)&gt;0,"支給済","不支給"),IF($AC1900="","要確認",IF($AC1900=0,"不支給","未処理")))))</f>
        <v/>
      </c>
      <c r="AE1900" s="12" t="n"/>
      <c r="AF1900" s="11" t="n"/>
      <c r="AG1900" s="11" t="n"/>
      <c r="AH1900" s="11" t="n"/>
      <c r="AI1900" s="14">
        <f>IF(AND($AD1900="保留中",$AF1900&lt;&gt;""),TODAY()-$AF1900,"")</f>
        <v/>
      </c>
      <c r="AJ1900" s="12" t="n"/>
      <c r="AK1900" s="14">
        <f>IF($B1900="","",IF($AO1900="","対象年月が未入力／","")&amp;IF($B1900="","",IF($AN1900="","職員マスタに未登録の職員番号／",IF($Y1900="","標準報酬月額が未登録／","")&amp;IF(AND($AO1900&lt;&gt;"",OR(AND(INDEX(職員マスタ!$G$6:$G$405,$AN1900)&lt;&gt;"",INDEX(職員マスタ!$G$6:$G$405,$AN1900)&gt;EOMONTH($AO1900,0)),AND(INDEX(職員マスタ!$H$6:$H$405,$AN1900)&lt;&gt;"",INDEX(職員マスタ!$H$6:$H$405,$AN1900)&lt;$AO1900))),"対象月が時短期間外／","")&amp;IF(AND(INDEX(職員マスタ!$F$6:$F$405,$AN1900)&lt;&gt;"",$AO1900&lt;&gt;"",INDEX(職員マスタ!$F$6:$F$405,$AN1900)&lt;$AO1900),"対象月に子が2歳到達済／","")&amp;IF(AND($H1900&lt;&gt;"",INDEX(職員マスタ!$B$6:$B$405,$AN1900)&lt;&gt;"",SUBSTITUTE(SUBSTITUTE($H1900," ","")," ","")&lt;&gt;SUBSTITUTE(SUBSTITUTE(INDEX(職員マスタ!$B$6:$B$405,$AN1900)," ","")," ","")),"氏名がマスタと相違／","")&amp;IF(AND($Q1900&lt;&gt;"",INDEX(職員マスタ!$E$6:$E$405,$AN1900)&lt;&gt;"",$Q1900&lt;&gt;INDEX(職員マスタ!$E$6:$E$405,$AN1900)),"子の生年月日がマスタと相違／","")&amp;IF(AND($L1900&lt;&gt;"",INDEX(職員マスタ!$G$6:$G$405,$AN1900)&lt;&gt;"",$L1900&lt;&gt;INDEX(職員マスタ!$G$6:$G$405,$AN1900)),"時短開始日がマスタと相違／","")&amp;IF(AND($M1900&lt;&gt;"",INDEX(職員マスタ!$H$6:$H$405,$AN1900)&lt;&gt;"",$M1900&lt;&gt;INDEX(職員マスタ!$H$6:$H$405,$AN1900)),"時短終了日がマスタと相違／","")))&amp;IF(AND($B1900&lt;&gt;"",$E1900=""),"報酬額が未入力／","")&amp;IF(N($U1900)&gt;0,"申請書に入力エラーが残っています／","")&amp;IF(AND($B1900&lt;&gt;"",$AO1900&lt;&gt;""),IF(COUNTIFS($B$6:$B$3005,$B1900,$C$6:$C$3005,$C1900,$D$6:$D$3005,$D1900)&gt;1,"同じ月の請求が重複しています／",""),"")&amp;IF(AND(N($E1900)&gt;0,$Z1900&lt;&gt;"",$Z1900&lt;&gt;"×",$AC1900=0,$AB1900=""),"計算額が下限以下のため不支給／",""))</f>
        <v/>
      </c>
      <c r="AL1900" s="12" t="n"/>
      <c r="AM1900" s="14">
        <f>IF($AD1900="保留中",COUNTIF($AD$6:$AD1900,"保留中"),"")</f>
        <v/>
      </c>
      <c r="AN1900" s="14">
        <f>IF($AO1900="","",IF(SUMPRODUCT(MAX((職員マスタ!$A$6:$A$405=$B1900)*(((職員マスタ!$G$6:$G$405="")+(職員マスタ!$G$6:$G$405&lt;=EOMONTH($AO1900,0)))&gt;0)*(((職員マスタ!$H$6:$H$405="")+(職員マスタ!$H$6:$H$405&gt;=$AO1900))&gt;0)*(ROW(職員マスタ!$A$6:$A$405)-5)))&gt;0,SUMPRODUCT(MAX((職員マスタ!$A$6:$A$405=$B1900)*(((職員マスタ!$G$6:$G$405="")+(職員マスタ!$G$6:$G$405&lt;=EOMONTH($AO1900,0)))&gt;0)*(((職員マスタ!$H$6:$H$405="")+(職員マスタ!$H$6:$H$405&gt;=$AO1900))&gt;0)*(ROW(職員マスタ!$A$6:$A$405)-5))),IFERROR(MATCH($B1900,職員マスタ!$A$6:$A$405,0),"")))</f>
        <v/>
      </c>
      <c r="AO1900" s="16">
        <f>IF(OR($B1900="",$C1900="",$D1900=""),"",DATE($C1900+2018,$D1900,1))</f>
        <v/>
      </c>
    </row>
    <row r="1901">
      <c r="A1901" s="11" t="n"/>
      <c r="B1901" s="12" t="n"/>
      <c r="C1901" s="12" t="n"/>
      <c r="D1901" s="12" t="n"/>
      <c r="E1901" s="13" t="n"/>
      <c r="F1901" s="12" t="n"/>
      <c r="G1901" s="13" t="n"/>
      <c r="H1901" s="12" t="n"/>
      <c r="I1901" s="12" t="n"/>
      <c r="J1901" s="12" t="n"/>
      <c r="K1901" s="12" t="n"/>
      <c r="L1901" s="11" t="n"/>
      <c r="M1901" s="11" t="n"/>
      <c r="N1901" s="11" t="n"/>
      <c r="O1901" s="11" t="n"/>
      <c r="P1901" s="12" t="n"/>
      <c r="Q1901" s="11" t="n"/>
      <c r="R1901" s="12" t="n"/>
      <c r="S1901" s="11" t="n"/>
      <c r="T1901" s="12" t="n"/>
      <c r="U1901" s="12" t="n"/>
      <c r="V1901" s="14">
        <f>IF($AN1901="",IF($B1901="","",$H1901),IF(INDEX(職員マスタ!$B$6:$B$405,$AN1901)="",$H1901,INDEX(職員マスタ!$B$6:$B$405,$AN1901)))</f>
        <v/>
      </c>
      <c r="W1901" s="14">
        <f>IF($AN1901="",IF($B1901="","",$R1901),IF(INDEX(職員マスタ!$C$6:$C$405,$AN1901)="",$R1901,INDEX(職員マスタ!$C$6:$C$405,$AN1901)))</f>
        <v/>
      </c>
      <c r="X1901" s="14">
        <f>IF($AO1901="","","R"&amp;$C1901&amp;"."&amp;$D1901)</f>
        <v/>
      </c>
      <c r="Y1901" s="15">
        <f>IF($AN1901="","",IF(INDEX(職員マスタ!$K$6:$K$405,$AN1901)="","",INDEX(職員マスタ!$K$6:$K$405,$AN1901)))</f>
        <v/>
      </c>
      <c r="Z1901" s="14">
        <f>IF(OR($E1901="",$Y1901=""),"",IF($E1901&gt;=$Y1901,"×",IF($E1901&gt;=$Y1901*設定!$C$5,"△","○")))</f>
        <v/>
      </c>
      <c r="AA1901" s="15">
        <f>IF($Z1901="","",IF($Z1901="×",0,IF($Z1901="○",ROUNDDOWN($E1901*設定!$C$4,0),ROUNDDOWN($E1901*ROUND((9*$Y1901-9*$E1901)/(10*$E1901),4),0))))</f>
        <v/>
      </c>
      <c r="AB1901" s="13" t="n"/>
      <c r="AC1901" s="15">
        <f>IF($B1901="","",IF($AB1901&lt;&gt;"",$AB1901,IF($AA1901="","",IF($AA1901&lt;=設定!$C$3,0,$AA1901))))</f>
        <v/>
      </c>
      <c r="AD1901" s="14">
        <f>IF($B1901="","",IF(AND($AE1901&lt;&gt;"",$AG1901="",$AJ1901=""),"保留中",IF($AJ1901&lt;&gt;"",IF(N($AC1901)&gt;0,"支給済","不支給"),IF($AC1901="","要確認",IF($AC1901=0,"不支給","未処理")))))</f>
        <v/>
      </c>
      <c r="AE1901" s="12" t="n"/>
      <c r="AF1901" s="11" t="n"/>
      <c r="AG1901" s="11" t="n"/>
      <c r="AH1901" s="11" t="n"/>
      <c r="AI1901" s="14">
        <f>IF(AND($AD1901="保留中",$AF1901&lt;&gt;""),TODAY()-$AF1901,"")</f>
        <v/>
      </c>
      <c r="AJ1901" s="12" t="n"/>
      <c r="AK1901" s="14">
        <f>IF($B1901="","",IF($AO1901="","対象年月が未入力／","")&amp;IF($B1901="","",IF($AN1901="","職員マスタに未登録の職員番号／",IF($Y1901="","標準報酬月額が未登録／","")&amp;IF(AND($AO1901&lt;&gt;"",OR(AND(INDEX(職員マスタ!$G$6:$G$405,$AN1901)&lt;&gt;"",INDEX(職員マスタ!$G$6:$G$405,$AN1901)&gt;EOMONTH($AO1901,0)),AND(INDEX(職員マスタ!$H$6:$H$405,$AN1901)&lt;&gt;"",INDEX(職員マスタ!$H$6:$H$405,$AN1901)&lt;$AO1901))),"対象月が時短期間外／","")&amp;IF(AND(INDEX(職員マスタ!$F$6:$F$405,$AN1901)&lt;&gt;"",$AO1901&lt;&gt;"",INDEX(職員マスタ!$F$6:$F$405,$AN1901)&lt;$AO1901),"対象月に子が2歳到達済／","")&amp;IF(AND($H1901&lt;&gt;"",INDEX(職員マスタ!$B$6:$B$405,$AN1901)&lt;&gt;"",SUBSTITUTE(SUBSTITUTE($H1901," ","")," ","")&lt;&gt;SUBSTITUTE(SUBSTITUTE(INDEX(職員マスタ!$B$6:$B$405,$AN1901)," ","")," ","")),"氏名がマスタと相違／","")&amp;IF(AND($Q1901&lt;&gt;"",INDEX(職員マスタ!$E$6:$E$405,$AN1901)&lt;&gt;"",$Q1901&lt;&gt;INDEX(職員マスタ!$E$6:$E$405,$AN1901)),"子の生年月日がマスタと相違／","")&amp;IF(AND($L1901&lt;&gt;"",INDEX(職員マスタ!$G$6:$G$405,$AN1901)&lt;&gt;"",$L1901&lt;&gt;INDEX(職員マスタ!$G$6:$G$405,$AN1901)),"時短開始日がマスタと相違／","")&amp;IF(AND($M1901&lt;&gt;"",INDEX(職員マスタ!$H$6:$H$405,$AN1901)&lt;&gt;"",$M1901&lt;&gt;INDEX(職員マスタ!$H$6:$H$405,$AN1901)),"時短終了日がマスタと相違／","")))&amp;IF(AND($B1901&lt;&gt;"",$E1901=""),"報酬額が未入力／","")&amp;IF(N($U1901)&gt;0,"申請書に入力エラーが残っています／","")&amp;IF(AND($B1901&lt;&gt;"",$AO1901&lt;&gt;""),IF(COUNTIFS($B$6:$B$3005,$B1901,$C$6:$C$3005,$C1901,$D$6:$D$3005,$D1901)&gt;1,"同じ月の請求が重複しています／",""),"")&amp;IF(AND(N($E1901)&gt;0,$Z1901&lt;&gt;"",$Z1901&lt;&gt;"×",$AC1901=0,$AB1901=""),"計算額が下限以下のため不支給／",""))</f>
        <v/>
      </c>
      <c r="AL1901" s="12" t="n"/>
      <c r="AM1901" s="14">
        <f>IF($AD1901="保留中",COUNTIF($AD$6:$AD1901,"保留中"),"")</f>
        <v/>
      </c>
      <c r="AN1901" s="14">
        <f>IF($AO1901="","",IF(SUMPRODUCT(MAX((職員マスタ!$A$6:$A$405=$B1901)*(((職員マスタ!$G$6:$G$405="")+(職員マスタ!$G$6:$G$405&lt;=EOMONTH($AO1901,0)))&gt;0)*(((職員マスタ!$H$6:$H$405="")+(職員マスタ!$H$6:$H$405&gt;=$AO1901))&gt;0)*(ROW(職員マスタ!$A$6:$A$405)-5)))&gt;0,SUMPRODUCT(MAX((職員マスタ!$A$6:$A$405=$B1901)*(((職員マスタ!$G$6:$G$405="")+(職員マスタ!$G$6:$G$405&lt;=EOMONTH($AO1901,0)))&gt;0)*(((職員マスタ!$H$6:$H$405="")+(職員マスタ!$H$6:$H$405&gt;=$AO1901))&gt;0)*(ROW(職員マスタ!$A$6:$A$405)-5))),IFERROR(MATCH($B1901,職員マスタ!$A$6:$A$405,0),"")))</f>
        <v/>
      </c>
      <c r="AO1901" s="16">
        <f>IF(OR($B1901="",$C1901="",$D1901=""),"",DATE($C1901+2018,$D1901,1))</f>
        <v/>
      </c>
    </row>
    <row r="1902">
      <c r="A1902" s="11" t="n"/>
      <c r="B1902" s="12" t="n"/>
      <c r="C1902" s="12" t="n"/>
      <c r="D1902" s="12" t="n"/>
      <c r="E1902" s="13" t="n"/>
      <c r="F1902" s="12" t="n"/>
      <c r="G1902" s="13" t="n"/>
      <c r="H1902" s="12" t="n"/>
      <c r="I1902" s="12" t="n"/>
      <c r="J1902" s="12" t="n"/>
      <c r="K1902" s="12" t="n"/>
      <c r="L1902" s="11" t="n"/>
      <c r="M1902" s="11" t="n"/>
      <c r="N1902" s="11" t="n"/>
      <c r="O1902" s="11" t="n"/>
      <c r="P1902" s="12" t="n"/>
      <c r="Q1902" s="11" t="n"/>
      <c r="R1902" s="12" t="n"/>
      <c r="S1902" s="11" t="n"/>
      <c r="T1902" s="12" t="n"/>
      <c r="U1902" s="12" t="n"/>
      <c r="V1902" s="14">
        <f>IF($AN1902="",IF($B1902="","",$H1902),IF(INDEX(職員マスタ!$B$6:$B$405,$AN1902)="",$H1902,INDEX(職員マスタ!$B$6:$B$405,$AN1902)))</f>
        <v/>
      </c>
      <c r="W1902" s="14">
        <f>IF($AN1902="",IF($B1902="","",$R1902),IF(INDEX(職員マスタ!$C$6:$C$405,$AN1902)="",$R1902,INDEX(職員マスタ!$C$6:$C$405,$AN1902)))</f>
        <v/>
      </c>
      <c r="X1902" s="14">
        <f>IF($AO1902="","","R"&amp;$C1902&amp;"."&amp;$D1902)</f>
        <v/>
      </c>
      <c r="Y1902" s="15">
        <f>IF($AN1902="","",IF(INDEX(職員マスタ!$K$6:$K$405,$AN1902)="","",INDEX(職員マスタ!$K$6:$K$405,$AN1902)))</f>
        <v/>
      </c>
      <c r="Z1902" s="14">
        <f>IF(OR($E1902="",$Y1902=""),"",IF($E1902&gt;=$Y1902,"×",IF($E1902&gt;=$Y1902*設定!$C$5,"△","○")))</f>
        <v/>
      </c>
      <c r="AA1902" s="15">
        <f>IF($Z1902="","",IF($Z1902="×",0,IF($Z1902="○",ROUNDDOWN($E1902*設定!$C$4,0),ROUNDDOWN($E1902*ROUND((9*$Y1902-9*$E1902)/(10*$E1902),4),0))))</f>
        <v/>
      </c>
      <c r="AB1902" s="13" t="n"/>
      <c r="AC1902" s="15">
        <f>IF($B1902="","",IF($AB1902&lt;&gt;"",$AB1902,IF($AA1902="","",IF($AA1902&lt;=設定!$C$3,0,$AA1902))))</f>
        <v/>
      </c>
      <c r="AD1902" s="14">
        <f>IF($B1902="","",IF(AND($AE1902&lt;&gt;"",$AG1902="",$AJ1902=""),"保留中",IF($AJ1902&lt;&gt;"",IF(N($AC1902)&gt;0,"支給済","不支給"),IF($AC1902="","要確認",IF($AC1902=0,"不支給","未処理")))))</f>
        <v/>
      </c>
      <c r="AE1902" s="12" t="n"/>
      <c r="AF1902" s="11" t="n"/>
      <c r="AG1902" s="11" t="n"/>
      <c r="AH1902" s="11" t="n"/>
      <c r="AI1902" s="14">
        <f>IF(AND($AD1902="保留中",$AF1902&lt;&gt;""),TODAY()-$AF1902,"")</f>
        <v/>
      </c>
      <c r="AJ1902" s="12" t="n"/>
      <c r="AK1902" s="14">
        <f>IF($B1902="","",IF($AO1902="","対象年月が未入力／","")&amp;IF($B1902="","",IF($AN1902="","職員マスタに未登録の職員番号／",IF($Y1902="","標準報酬月額が未登録／","")&amp;IF(AND($AO1902&lt;&gt;"",OR(AND(INDEX(職員マスタ!$G$6:$G$405,$AN1902)&lt;&gt;"",INDEX(職員マスタ!$G$6:$G$405,$AN1902)&gt;EOMONTH($AO1902,0)),AND(INDEX(職員マスタ!$H$6:$H$405,$AN1902)&lt;&gt;"",INDEX(職員マスタ!$H$6:$H$405,$AN1902)&lt;$AO1902))),"対象月が時短期間外／","")&amp;IF(AND(INDEX(職員マスタ!$F$6:$F$405,$AN1902)&lt;&gt;"",$AO1902&lt;&gt;"",INDEX(職員マスタ!$F$6:$F$405,$AN1902)&lt;$AO1902),"対象月に子が2歳到達済／","")&amp;IF(AND($H1902&lt;&gt;"",INDEX(職員マスタ!$B$6:$B$405,$AN1902)&lt;&gt;"",SUBSTITUTE(SUBSTITUTE($H1902," ","")," ","")&lt;&gt;SUBSTITUTE(SUBSTITUTE(INDEX(職員マスタ!$B$6:$B$405,$AN1902)," ","")," ","")),"氏名がマスタと相違／","")&amp;IF(AND($Q1902&lt;&gt;"",INDEX(職員マスタ!$E$6:$E$405,$AN1902)&lt;&gt;"",$Q1902&lt;&gt;INDEX(職員マスタ!$E$6:$E$405,$AN1902)),"子の生年月日がマスタと相違／","")&amp;IF(AND($L1902&lt;&gt;"",INDEX(職員マスタ!$G$6:$G$405,$AN1902)&lt;&gt;"",$L1902&lt;&gt;INDEX(職員マスタ!$G$6:$G$405,$AN1902)),"時短開始日がマスタと相違／","")&amp;IF(AND($M1902&lt;&gt;"",INDEX(職員マスタ!$H$6:$H$405,$AN1902)&lt;&gt;"",$M1902&lt;&gt;INDEX(職員マスタ!$H$6:$H$405,$AN1902)),"時短終了日がマスタと相違／","")))&amp;IF(AND($B1902&lt;&gt;"",$E1902=""),"報酬額が未入力／","")&amp;IF(N($U1902)&gt;0,"申請書に入力エラーが残っています／","")&amp;IF(AND($B1902&lt;&gt;"",$AO1902&lt;&gt;""),IF(COUNTIFS($B$6:$B$3005,$B1902,$C$6:$C$3005,$C1902,$D$6:$D$3005,$D1902)&gt;1,"同じ月の請求が重複しています／",""),"")&amp;IF(AND(N($E1902)&gt;0,$Z1902&lt;&gt;"",$Z1902&lt;&gt;"×",$AC1902=0,$AB1902=""),"計算額が下限以下のため不支給／",""))</f>
        <v/>
      </c>
      <c r="AL1902" s="12" t="n"/>
      <c r="AM1902" s="14">
        <f>IF($AD1902="保留中",COUNTIF($AD$6:$AD1902,"保留中"),"")</f>
        <v/>
      </c>
      <c r="AN1902" s="14">
        <f>IF($AO1902="","",IF(SUMPRODUCT(MAX((職員マスタ!$A$6:$A$405=$B1902)*(((職員マスタ!$G$6:$G$405="")+(職員マスタ!$G$6:$G$405&lt;=EOMONTH($AO1902,0)))&gt;0)*(((職員マスタ!$H$6:$H$405="")+(職員マスタ!$H$6:$H$405&gt;=$AO1902))&gt;0)*(ROW(職員マスタ!$A$6:$A$405)-5)))&gt;0,SUMPRODUCT(MAX((職員マスタ!$A$6:$A$405=$B1902)*(((職員マスタ!$G$6:$G$405="")+(職員マスタ!$G$6:$G$405&lt;=EOMONTH($AO1902,0)))&gt;0)*(((職員マスタ!$H$6:$H$405="")+(職員マスタ!$H$6:$H$405&gt;=$AO1902))&gt;0)*(ROW(職員マスタ!$A$6:$A$405)-5))),IFERROR(MATCH($B1902,職員マスタ!$A$6:$A$405,0),"")))</f>
        <v/>
      </c>
      <c r="AO1902" s="16">
        <f>IF(OR($B1902="",$C1902="",$D1902=""),"",DATE($C1902+2018,$D1902,1))</f>
        <v/>
      </c>
    </row>
    <row r="1903">
      <c r="A1903" s="11" t="n"/>
      <c r="B1903" s="12" t="n"/>
      <c r="C1903" s="12" t="n"/>
      <c r="D1903" s="12" t="n"/>
      <c r="E1903" s="13" t="n"/>
      <c r="F1903" s="12" t="n"/>
      <c r="G1903" s="13" t="n"/>
      <c r="H1903" s="12" t="n"/>
      <c r="I1903" s="12" t="n"/>
      <c r="J1903" s="12" t="n"/>
      <c r="K1903" s="12" t="n"/>
      <c r="L1903" s="11" t="n"/>
      <c r="M1903" s="11" t="n"/>
      <c r="N1903" s="11" t="n"/>
      <c r="O1903" s="11" t="n"/>
      <c r="P1903" s="12" t="n"/>
      <c r="Q1903" s="11" t="n"/>
      <c r="R1903" s="12" t="n"/>
      <c r="S1903" s="11" t="n"/>
      <c r="T1903" s="12" t="n"/>
      <c r="U1903" s="12" t="n"/>
      <c r="V1903" s="14">
        <f>IF($AN1903="",IF($B1903="","",$H1903),IF(INDEX(職員マスタ!$B$6:$B$405,$AN1903)="",$H1903,INDEX(職員マスタ!$B$6:$B$405,$AN1903)))</f>
        <v/>
      </c>
      <c r="W1903" s="14">
        <f>IF($AN1903="",IF($B1903="","",$R1903),IF(INDEX(職員マスタ!$C$6:$C$405,$AN1903)="",$R1903,INDEX(職員マスタ!$C$6:$C$405,$AN1903)))</f>
        <v/>
      </c>
      <c r="X1903" s="14">
        <f>IF($AO1903="","","R"&amp;$C1903&amp;"."&amp;$D1903)</f>
        <v/>
      </c>
      <c r="Y1903" s="15">
        <f>IF($AN1903="","",IF(INDEX(職員マスタ!$K$6:$K$405,$AN1903)="","",INDEX(職員マスタ!$K$6:$K$405,$AN1903)))</f>
        <v/>
      </c>
      <c r="Z1903" s="14">
        <f>IF(OR($E1903="",$Y1903=""),"",IF($E1903&gt;=$Y1903,"×",IF($E1903&gt;=$Y1903*設定!$C$5,"△","○")))</f>
        <v/>
      </c>
      <c r="AA1903" s="15">
        <f>IF($Z1903="","",IF($Z1903="×",0,IF($Z1903="○",ROUNDDOWN($E1903*設定!$C$4,0),ROUNDDOWN($E1903*ROUND((9*$Y1903-9*$E1903)/(10*$E1903),4),0))))</f>
        <v/>
      </c>
      <c r="AB1903" s="13" t="n"/>
      <c r="AC1903" s="15">
        <f>IF($B1903="","",IF($AB1903&lt;&gt;"",$AB1903,IF($AA1903="","",IF($AA1903&lt;=設定!$C$3,0,$AA1903))))</f>
        <v/>
      </c>
      <c r="AD1903" s="14">
        <f>IF($B1903="","",IF(AND($AE1903&lt;&gt;"",$AG1903="",$AJ1903=""),"保留中",IF($AJ1903&lt;&gt;"",IF(N($AC1903)&gt;0,"支給済","不支給"),IF($AC1903="","要確認",IF($AC1903=0,"不支給","未処理")))))</f>
        <v/>
      </c>
      <c r="AE1903" s="12" t="n"/>
      <c r="AF1903" s="11" t="n"/>
      <c r="AG1903" s="11" t="n"/>
      <c r="AH1903" s="11" t="n"/>
      <c r="AI1903" s="14">
        <f>IF(AND($AD1903="保留中",$AF1903&lt;&gt;""),TODAY()-$AF1903,"")</f>
        <v/>
      </c>
      <c r="AJ1903" s="12" t="n"/>
      <c r="AK1903" s="14">
        <f>IF($B1903="","",IF($AO1903="","対象年月が未入力／","")&amp;IF($B1903="","",IF($AN1903="","職員マスタに未登録の職員番号／",IF($Y1903="","標準報酬月額が未登録／","")&amp;IF(AND($AO1903&lt;&gt;"",OR(AND(INDEX(職員マスタ!$G$6:$G$405,$AN1903)&lt;&gt;"",INDEX(職員マスタ!$G$6:$G$405,$AN1903)&gt;EOMONTH($AO1903,0)),AND(INDEX(職員マスタ!$H$6:$H$405,$AN1903)&lt;&gt;"",INDEX(職員マスタ!$H$6:$H$405,$AN1903)&lt;$AO1903))),"対象月が時短期間外／","")&amp;IF(AND(INDEX(職員マスタ!$F$6:$F$405,$AN1903)&lt;&gt;"",$AO1903&lt;&gt;"",INDEX(職員マスタ!$F$6:$F$405,$AN1903)&lt;$AO1903),"対象月に子が2歳到達済／","")&amp;IF(AND($H1903&lt;&gt;"",INDEX(職員マスタ!$B$6:$B$405,$AN1903)&lt;&gt;"",SUBSTITUTE(SUBSTITUTE($H1903," ","")," ","")&lt;&gt;SUBSTITUTE(SUBSTITUTE(INDEX(職員マスタ!$B$6:$B$405,$AN1903)," ","")," ","")),"氏名がマスタと相違／","")&amp;IF(AND($Q1903&lt;&gt;"",INDEX(職員マスタ!$E$6:$E$405,$AN1903)&lt;&gt;"",$Q1903&lt;&gt;INDEX(職員マスタ!$E$6:$E$405,$AN1903)),"子の生年月日がマスタと相違／","")&amp;IF(AND($L1903&lt;&gt;"",INDEX(職員マスタ!$G$6:$G$405,$AN1903)&lt;&gt;"",$L1903&lt;&gt;INDEX(職員マスタ!$G$6:$G$405,$AN1903)),"時短開始日がマスタと相違／","")&amp;IF(AND($M1903&lt;&gt;"",INDEX(職員マスタ!$H$6:$H$405,$AN1903)&lt;&gt;"",$M1903&lt;&gt;INDEX(職員マスタ!$H$6:$H$405,$AN1903)),"時短終了日がマスタと相違／","")))&amp;IF(AND($B1903&lt;&gt;"",$E1903=""),"報酬額が未入力／","")&amp;IF(N($U1903)&gt;0,"申請書に入力エラーが残っています／","")&amp;IF(AND($B1903&lt;&gt;"",$AO1903&lt;&gt;""),IF(COUNTIFS($B$6:$B$3005,$B1903,$C$6:$C$3005,$C1903,$D$6:$D$3005,$D1903)&gt;1,"同じ月の請求が重複しています／",""),"")&amp;IF(AND(N($E1903)&gt;0,$Z1903&lt;&gt;"",$Z1903&lt;&gt;"×",$AC1903=0,$AB1903=""),"計算額が下限以下のため不支給／",""))</f>
        <v/>
      </c>
      <c r="AL1903" s="12" t="n"/>
      <c r="AM1903" s="14">
        <f>IF($AD1903="保留中",COUNTIF($AD$6:$AD1903,"保留中"),"")</f>
        <v/>
      </c>
      <c r="AN1903" s="14">
        <f>IF($AO1903="","",IF(SUMPRODUCT(MAX((職員マスタ!$A$6:$A$405=$B1903)*(((職員マスタ!$G$6:$G$405="")+(職員マスタ!$G$6:$G$405&lt;=EOMONTH($AO1903,0)))&gt;0)*(((職員マスタ!$H$6:$H$405="")+(職員マスタ!$H$6:$H$405&gt;=$AO1903))&gt;0)*(ROW(職員マスタ!$A$6:$A$405)-5)))&gt;0,SUMPRODUCT(MAX((職員マスタ!$A$6:$A$405=$B1903)*(((職員マスタ!$G$6:$G$405="")+(職員マスタ!$G$6:$G$405&lt;=EOMONTH($AO1903,0)))&gt;0)*(((職員マスタ!$H$6:$H$405="")+(職員マスタ!$H$6:$H$405&gt;=$AO1903))&gt;0)*(ROW(職員マスタ!$A$6:$A$405)-5))),IFERROR(MATCH($B1903,職員マスタ!$A$6:$A$405,0),"")))</f>
        <v/>
      </c>
      <c r="AO1903" s="16">
        <f>IF(OR($B1903="",$C1903="",$D1903=""),"",DATE($C1903+2018,$D1903,1))</f>
        <v/>
      </c>
    </row>
    <row r="1904">
      <c r="A1904" s="11" t="n"/>
      <c r="B1904" s="12" t="n"/>
      <c r="C1904" s="12" t="n"/>
      <c r="D1904" s="12" t="n"/>
      <c r="E1904" s="13" t="n"/>
      <c r="F1904" s="12" t="n"/>
      <c r="G1904" s="13" t="n"/>
      <c r="H1904" s="12" t="n"/>
      <c r="I1904" s="12" t="n"/>
      <c r="J1904" s="12" t="n"/>
      <c r="K1904" s="12" t="n"/>
      <c r="L1904" s="11" t="n"/>
      <c r="M1904" s="11" t="n"/>
      <c r="N1904" s="11" t="n"/>
      <c r="O1904" s="11" t="n"/>
      <c r="P1904" s="12" t="n"/>
      <c r="Q1904" s="11" t="n"/>
      <c r="R1904" s="12" t="n"/>
      <c r="S1904" s="11" t="n"/>
      <c r="T1904" s="12" t="n"/>
      <c r="U1904" s="12" t="n"/>
      <c r="V1904" s="14">
        <f>IF($AN1904="",IF($B1904="","",$H1904),IF(INDEX(職員マスタ!$B$6:$B$405,$AN1904)="",$H1904,INDEX(職員マスタ!$B$6:$B$405,$AN1904)))</f>
        <v/>
      </c>
      <c r="W1904" s="14">
        <f>IF($AN1904="",IF($B1904="","",$R1904),IF(INDEX(職員マスタ!$C$6:$C$405,$AN1904)="",$R1904,INDEX(職員マスタ!$C$6:$C$405,$AN1904)))</f>
        <v/>
      </c>
      <c r="X1904" s="14">
        <f>IF($AO1904="","","R"&amp;$C1904&amp;"."&amp;$D1904)</f>
        <v/>
      </c>
      <c r="Y1904" s="15">
        <f>IF($AN1904="","",IF(INDEX(職員マスタ!$K$6:$K$405,$AN1904)="","",INDEX(職員マスタ!$K$6:$K$405,$AN1904)))</f>
        <v/>
      </c>
      <c r="Z1904" s="14">
        <f>IF(OR($E1904="",$Y1904=""),"",IF($E1904&gt;=$Y1904,"×",IF($E1904&gt;=$Y1904*設定!$C$5,"△","○")))</f>
        <v/>
      </c>
      <c r="AA1904" s="15">
        <f>IF($Z1904="","",IF($Z1904="×",0,IF($Z1904="○",ROUNDDOWN($E1904*設定!$C$4,0),ROUNDDOWN($E1904*ROUND((9*$Y1904-9*$E1904)/(10*$E1904),4),0))))</f>
        <v/>
      </c>
      <c r="AB1904" s="13" t="n"/>
      <c r="AC1904" s="15">
        <f>IF($B1904="","",IF($AB1904&lt;&gt;"",$AB1904,IF($AA1904="","",IF($AA1904&lt;=設定!$C$3,0,$AA1904))))</f>
        <v/>
      </c>
      <c r="AD1904" s="14">
        <f>IF($B1904="","",IF(AND($AE1904&lt;&gt;"",$AG1904="",$AJ1904=""),"保留中",IF($AJ1904&lt;&gt;"",IF(N($AC1904)&gt;0,"支給済","不支給"),IF($AC1904="","要確認",IF($AC1904=0,"不支給","未処理")))))</f>
        <v/>
      </c>
      <c r="AE1904" s="12" t="n"/>
      <c r="AF1904" s="11" t="n"/>
      <c r="AG1904" s="11" t="n"/>
      <c r="AH1904" s="11" t="n"/>
      <c r="AI1904" s="14">
        <f>IF(AND($AD1904="保留中",$AF1904&lt;&gt;""),TODAY()-$AF1904,"")</f>
        <v/>
      </c>
      <c r="AJ1904" s="12" t="n"/>
      <c r="AK1904" s="14">
        <f>IF($B1904="","",IF($AO1904="","対象年月が未入力／","")&amp;IF($B1904="","",IF($AN1904="","職員マスタに未登録の職員番号／",IF($Y1904="","標準報酬月額が未登録／","")&amp;IF(AND($AO1904&lt;&gt;"",OR(AND(INDEX(職員マスタ!$G$6:$G$405,$AN1904)&lt;&gt;"",INDEX(職員マスタ!$G$6:$G$405,$AN1904)&gt;EOMONTH($AO1904,0)),AND(INDEX(職員マスタ!$H$6:$H$405,$AN1904)&lt;&gt;"",INDEX(職員マスタ!$H$6:$H$405,$AN1904)&lt;$AO1904))),"対象月が時短期間外／","")&amp;IF(AND(INDEX(職員マスタ!$F$6:$F$405,$AN1904)&lt;&gt;"",$AO1904&lt;&gt;"",INDEX(職員マスタ!$F$6:$F$405,$AN1904)&lt;$AO1904),"対象月に子が2歳到達済／","")&amp;IF(AND($H1904&lt;&gt;"",INDEX(職員マスタ!$B$6:$B$405,$AN1904)&lt;&gt;"",SUBSTITUTE(SUBSTITUTE($H1904," ","")," ","")&lt;&gt;SUBSTITUTE(SUBSTITUTE(INDEX(職員マスタ!$B$6:$B$405,$AN1904)," ","")," ","")),"氏名がマスタと相違／","")&amp;IF(AND($Q1904&lt;&gt;"",INDEX(職員マスタ!$E$6:$E$405,$AN1904)&lt;&gt;"",$Q1904&lt;&gt;INDEX(職員マスタ!$E$6:$E$405,$AN1904)),"子の生年月日がマスタと相違／","")&amp;IF(AND($L1904&lt;&gt;"",INDEX(職員マスタ!$G$6:$G$405,$AN1904)&lt;&gt;"",$L1904&lt;&gt;INDEX(職員マスタ!$G$6:$G$405,$AN1904)),"時短開始日がマスタと相違／","")&amp;IF(AND($M1904&lt;&gt;"",INDEX(職員マスタ!$H$6:$H$405,$AN1904)&lt;&gt;"",$M1904&lt;&gt;INDEX(職員マスタ!$H$6:$H$405,$AN1904)),"時短終了日がマスタと相違／","")))&amp;IF(AND($B1904&lt;&gt;"",$E1904=""),"報酬額が未入力／","")&amp;IF(N($U1904)&gt;0,"申請書に入力エラーが残っています／","")&amp;IF(AND($B1904&lt;&gt;"",$AO1904&lt;&gt;""),IF(COUNTIFS($B$6:$B$3005,$B1904,$C$6:$C$3005,$C1904,$D$6:$D$3005,$D1904)&gt;1,"同じ月の請求が重複しています／",""),"")&amp;IF(AND(N($E1904)&gt;0,$Z1904&lt;&gt;"",$Z1904&lt;&gt;"×",$AC1904=0,$AB1904=""),"計算額が下限以下のため不支給／",""))</f>
        <v/>
      </c>
      <c r="AL1904" s="12" t="n"/>
      <c r="AM1904" s="14">
        <f>IF($AD1904="保留中",COUNTIF($AD$6:$AD1904,"保留中"),"")</f>
        <v/>
      </c>
      <c r="AN1904" s="14">
        <f>IF($AO1904="","",IF(SUMPRODUCT(MAX((職員マスタ!$A$6:$A$405=$B1904)*(((職員マスタ!$G$6:$G$405="")+(職員マスタ!$G$6:$G$405&lt;=EOMONTH($AO1904,0)))&gt;0)*(((職員マスタ!$H$6:$H$405="")+(職員マスタ!$H$6:$H$405&gt;=$AO1904))&gt;0)*(ROW(職員マスタ!$A$6:$A$405)-5)))&gt;0,SUMPRODUCT(MAX((職員マスタ!$A$6:$A$405=$B1904)*(((職員マスタ!$G$6:$G$405="")+(職員マスタ!$G$6:$G$405&lt;=EOMONTH($AO1904,0)))&gt;0)*(((職員マスタ!$H$6:$H$405="")+(職員マスタ!$H$6:$H$405&gt;=$AO1904))&gt;0)*(ROW(職員マスタ!$A$6:$A$405)-5))),IFERROR(MATCH($B1904,職員マスタ!$A$6:$A$405,0),"")))</f>
        <v/>
      </c>
      <c r="AO1904" s="16">
        <f>IF(OR($B1904="",$C1904="",$D1904=""),"",DATE($C1904+2018,$D1904,1))</f>
        <v/>
      </c>
    </row>
    <row r="1905">
      <c r="A1905" s="11" t="n"/>
      <c r="B1905" s="12" t="n"/>
      <c r="C1905" s="12" t="n"/>
      <c r="D1905" s="12" t="n"/>
      <c r="E1905" s="13" t="n"/>
      <c r="F1905" s="12" t="n"/>
      <c r="G1905" s="13" t="n"/>
      <c r="H1905" s="12" t="n"/>
      <c r="I1905" s="12" t="n"/>
      <c r="J1905" s="12" t="n"/>
      <c r="K1905" s="12" t="n"/>
      <c r="L1905" s="11" t="n"/>
      <c r="M1905" s="11" t="n"/>
      <c r="N1905" s="11" t="n"/>
      <c r="O1905" s="11" t="n"/>
      <c r="P1905" s="12" t="n"/>
      <c r="Q1905" s="11" t="n"/>
      <c r="R1905" s="12" t="n"/>
      <c r="S1905" s="11" t="n"/>
      <c r="T1905" s="12" t="n"/>
      <c r="U1905" s="12" t="n"/>
      <c r="V1905" s="14">
        <f>IF($AN1905="",IF($B1905="","",$H1905),IF(INDEX(職員マスタ!$B$6:$B$405,$AN1905)="",$H1905,INDEX(職員マスタ!$B$6:$B$405,$AN1905)))</f>
        <v/>
      </c>
      <c r="W1905" s="14">
        <f>IF($AN1905="",IF($B1905="","",$R1905),IF(INDEX(職員マスタ!$C$6:$C$405,$AN1905)="",$R1905,INDEX(職員マスタ!$C$6:$C$405,$AN1905)))</f>
        <v/>
      </c>
      <c r="X1905" s="14">
        <f>IF($AO1905="","","R"&amp;$C1905&amp;"."&amp;$D1905)</f>
        <v/>
      </c>
      <c r="Y1905" s="15">
        <f>IF($AN1905="","",IF(INDEX(職員マスタ!$K$6:$K$405,$AN1905)="","",INDEX(職員マスタ!$K$6:$K$405,$AN1905)))</f>
        <v/>
      </c>
      <c r="Z1905" s="14">
        <f>IF(OR($E1905="",$Y1905=""),"",IF($E1905&gt;=$Y1905,"×",IF($E1905&gt;=$Y1905*設定!$C$5,"△","○")))</f>
        <v/>
      </c>
      <c r="AA1905" s="15">
        <f>IF($Z1905="","",IF($Z1905="×",0,IF($Z1905="○",ROUNDDOWN($E1905*設定!$C$4,0),ROUNDDOWN($E1905*ROUND((9*$Y1905-9*$E1905)/(10*$E1905),4),0))))</f>
        <v/>
      </c>
      <c r="AB1905" s="13" t="n"/>
      <c r="AC1905" s="15">
        <f>IF($B1905="","",IF($AB1905&lt;&gt;"",$AB1905,IF($AA1905="","",IF($AA1905&lt;=設定!$C$3,0,$AA1905))))</f>
        <v/>
      </c>
      <c r="AD1905" s="14">
        <f>IF($B1905="","",IF(AND($AE1905&lt;&gt;"",$AG1905="",$AJ1905=""),"保留中",IF($AJ1905&lt;&gt;"",IF(N($AC1905)&gt;0,"支給済","不支給"),IF($AC1905="","要確認",IF($AC1905=0,"不支給","未処理")))))</f>
        <v/>
      </c>
      <c r="AE1905" s="12" t="n"/>
      <c r="AF1905" s="11" t="n"/>
      <c r="AG1905" s="11" t="n"/>
      <c r="AH1905" s="11" t="n"/>
      <c r="AI1905" s="14">
        <f>IF(AND($AD1905="保留中",$AF1905&lt;&gt;""),TODAY()-$AF1905,"")</f>
        <v/>
      </c>
      <c r="AJ1905" s="12" t="n"/>
      <c r="AK1905" s="14">
        <f>IF($B1905="","",IF($AO1905="","対象年月が未入力／","")&amp;IF($B1905="","",IF($AN1905="","職員マスタに未登録の職員番号／",IF($Y1905="","標準報酬月額が未登録／","")&amp;IF(AND($AO1905&lt;&gt;"",OR(AND(INDEX(職員マスタ!$G$6:$G$405,$AN1905)&lt;&gt;"",INDEX(職員マスタ!$G$6:$G$405,$AN1905)&gt;EOMONTH($AO1905,0)),AND(INDEX(職員マスタ!$H$6:$H$405,$AN1905)&lt;&gt;"",INDEX(職員マスタ!$H$6:$H$405,$AN1905)&lt;$AO1905))),"対象月が時短期間外／","")&amp;IF(AND(INDEX(職員マスタ!$F$6:$F$405,$AN1905)&lt;&gt;"",$AO1905&lt;&gt;"",INDEX(職員マスタ!$F$6:$F$405,$AN1905)&lt;$AO1905),"対象月に子が2歳到達済／","")&amp;IF(AND($H1905&lt;&gt;"",INDEX(職員マスタ!$B$6:$B$405,$AN1905)&lt;&gt;"",SUBSTITUTE(SUBSTITUTE($H1905," ","")," ","")&lt;&gt;SUBSTITUTE(SUBSTITUTE(INDEX(職員マスタ!$B$6:$B$405,$AN1905)," ","")," ","")),"氏名がマスタと相違／","")&amp;IF(AND($Q1905&lt;&gt;"",INDEX(職員マスタ!$E$6:$E$405,$AN1905)&lt;&gt;"",$Q1905&lt;&gt;INDEX(職員マスタ!$E$6:$E$405,$AN1905)),"子の生年月日がマスタと相違／","")&amp;IF(AND($L1905&lt;&gt;"",INDEX(職員マスタ!$G$6:$G$405,$AN1905)&lt;&gt;"",$L1905&lt;&gt;INDEX(職員マスタ!$G$6:$G$405,$AN1905)),"時短開始日がマスタと相違／","")&amp;IF(AND($M1905&lt;&gt;"",INDEX(職員マスタ!$H$6:$H$405,$AN1905)&lt;&gt;"",$M1905&lt;&gt;INDEX(職員マスタ!$H$6:$H$405,$AN1905)),"時短終了日がマスタと相違／","")))&amp;IF(AND($B1905&lt;&gt;"",$E1905=""),"報酬額が未入力／","")&amp;IF(N($U1905)&gt;0,"申請書に入力エラーが残っています／","")&amp;IF(AND($B1905&lt;&gt;"",$AO1905&lt;&gt;""),IF(COUNTIFS($B$6:$B$3005,$B1905,$C$6:$C$3005,$C1905,$D$6:$D$3005,$D1905)&gt;1,"同じ月の請求が重複しています／",""),"")&amp;IF(AND(N($E1905)&gt;0,$Z1905&lt;&gt;"",$Z1905&lt;&gt;"×",$AC1905=0,$AB1905=""),"計算額が下限以下のため不支給／",""))</f>
        <v/>
      </c>
      <c r="AL1905" s="12" t="n"/>
      <c r="AM1905" s="14">
        <f>IF($AD1905="保留中",COUNTIF($AD$6:$AD1905,"保留中"),"")</f>
        <v/>
      </c>
      <c r="AN1905" s="14">
        <f>IF($AO1905="","",IF(SUMPRODUCT(MAX((職員マスタ!$A$6:$A$405=$B1905)*(((職員マスタ!$G$6:$G$405="")+(職員マスタ!$G$6:$G$405&lt;=EOMONTH($AO1905,0)))&gt;0)*(((職員マスタ!$H$6:$H$405="")+(職員マスタ!$H$6:$H$405&gt;=$AO1905))&gt;0)*(ROW(職員マスタ!$A$6:$A$405)-5)))&gt;0,SUMPRODUCT(MAX((職員マスタ!$A$6:$A$405=$B1905)*(((職員マスタ!$G$6:$G$405="")+(職員マスタ!$G$6:$G$405&lt;=EOMONTH($AO1905,0)))&gt;0)*(((職員マスタ!$H$6:$H$405="")+(職員マスタ!$H$6:$H$405&gt;=$AO1905))&gt;0)*(ROW(職員マスタ!$A$6:$A$405)-5))),IFERROR(MATCH($B1905,職員マスタ!$A$6:$A$405,0),"")))</f>
        <v/>
      </c>
      <c r="AO1905" s="16">
        <f>IF(OR($B1905="",$C1905="",$D1905=""),"",DATE($C1905+2018,$D1905,1))</f>
        <v/>
      </c>
    </row>
    <row r="1906">
      <c r="A1906" s="11" t="n"/>
      <c r="B1906" s="12" t="n"/>
      <c r="C1906" s="12" t="n"/>
      <c r="D1906" s="12" t="n"/>
      <c r="E1906" s="13" t="n"/>
      <c r="F1906" s="12" t="n"/>
      <c r="G1906" s="13" t="n"/>
      <c r="H1906" s="12" t="n"/>
      <c r="I1906" s="12" t="n"/>
      <c r="J1906" s="12" t="n"/>
      <c r="K1906" s="12" t="n"/>
      <c r="L1906" s="11" t="n"/>
      <c r="M1906" s="11" t="n"/>
      <c r="N1906" s="11" t="n"/>
      <c r="O1906" s="11" t="n"/>
      <c r="P1906" s="12" t="n"/>
      <c r="Q1906" s="11" t="n"/>
      <c r="R1906" s="12" t="n"/>
      <c r="S1906" s="11" t="n"/>
      <c r="T1906" s="12" t="n"/>
      <c r="U1906" s="12" t="n"/>
      <c r="V1906" s="14">
        <f>IF($AN1906="",IF($B1906="","",$H1906),IF(INDEX(職員マスタ!$B$6:$B$405,$AN1906)="",$H1906,INDEX(職員マスタ!$B$6:$B$405,$AN1906)))</f>
        <v/>
      </c>
      <c r="W1906" s="14">
        <f>IF($AN1906="",IF($B1906="","",$R1906),IF(INDEX(職員マスタ!$C$6:$C$405,$AN1906)="",$R1906,INDEX(職員マスタ!$C$6:$C$405,$AN1906)))</f>
        <v/>
      </c>
      <c r="X1906" s="14">
        <f>IF($AO1906="","","R"&amp;$C1906&amp;"."&amp;$D1906)</f>
        <v/>
      </c>
      <c r="Y1906" s="15">
        <f>IF($AN1906="","",IF(INDEX(職員マスタ!$K$6:$K$405,$AN1906)="","",INDEX(職員マスタ!$K$6:$K$405,$AN1906)))</f>
        <v/>
      </c>
      <c r="Z1906" s="14">
        <f>IF(OR($E1906="",$Y1906=""),"",IF($E1906&gt;=$Y1906,"×",IF($E1906&gt;=$Y1906*設定!$C$5,"△","○")))</f>
        <v/>
      </c>
      <c r="AA1906" s="15">
        <f>IF($Z1906="","",IF($Z1906="×",0,IF($Z1906="○",ROUNDDOWN($E1906*設定!$C$4,0),ROUNDDOWN($E1906*ROUND((9*$Y1906-9*$E1906)/(10*$E1906),4),0))))</f>
        <v/>
      </c>
      <c r="AB1906" s="13" t="n"/>
      <c r="AC1906" s="15">
        <f>IF($B1906="","",IF($AB1906&lt;&gt;"",$AB1906,IF($AA1906="","",IF($AA1906&lt;=設定!$C$3,0,$AA1906))))</f>
        <v/>
      </c>
      <c r="AD1906" s="14">
        <f>IF($B1906="","",IF(AND($AE1906&lt;&gt;"",$AG1906="",$AJ1906=""),"保留中",IF($AJ1906&lt;&gt;"",IF(N($AC1906)&gt;0,"支給済","不支給"),IF($AC1906="","要確認",IF($AC1906=0,"不支給","未処理")))))</f>
        <v/>
      </c>
      <c r="AE1906" s="12" t="n"/>
      <c r="AF1906" s="11" t="n"/>
      <c r="AG1906" s="11" t="n"/>
      <c r="AH1906" s="11" t="n"/>
      <c r="AI1906" s="14">
        <f>IF(AND($AD1906="保留中",$AF1906&lt;&gt;""),TODAY()-$AF1906,"")</f>
        <v/>
      </c>
      <c r="AJ1906" s="12" t="n"/>
      <c r="AK1906" s="14">
        <f>IF($B1906="","",IF($AO1906="","対象年月が未入力／","")&amp;IF($B1906="","",IF($AN1906="","職員マスタに未登録の職員番号／",IF($Y1906="","標準報酬月額が未登録／","")&amp;IF(AND($AO1906&lt;&gt;"",OR(AND(INDEX(職員マスタ!$G$6:$G$405,$AN1906)&lt;&gt;"",INDEX(職員マスタ!$G$6:$G$405,$AN1906)&gt;EOMONTH($AO1906,0)),AND(INDEX(職員マスタ!$H$6:$H$405,$AN1906)&lt;&gt;"",INDEX(職員マスタ!$H$6:$H$405,$AN1906)&lt;$AO1906))),"対象月が時短期間外／","")&amp;IF(AND(INDEX(職員マスタ!$F$6:$F$405,$AN1906)&lt;&gt;"",$AO1906&lt;&gt;"",INDEX(職員マスタ!$F$6:$F$405,$AN1906)&lt;$AO1906),"対象月に子が2歳到達済／","")&amp;IF(AND($H1906&lt;&gt;"",INDEX(職員マスタ!$B$6:$B$405,$AN1906)&lt;&gt;"",SUBSTITUTE(SUBSTITUTE($H1906," ","")," ","")&lt;&gt;SUBSTITUTE(SUBSTITUTE(INDEX(職員マスタ!$B$6:$B$405,$AN1906)," ","")," ","")),"氏名がマスタと相違／","")&amp;IF(AND($Q1906&lt;&gt;"",INDEX(職員マスタ!$E$6:$E$405,$AN1906)&lt;&gt;"",$Q1906&lt;&gt;INDEX(職員マスタ!$E$6:$E$405,$AN1906)),"子の生年月日がマスタと相違／","")&amp;IF(AND($L1906&lt;&gt;"",INDEX(職員マスタ!$G$6:$G$405,$AN1906)&lt;&gt;"",$L1906&lt;&gt;INDEX(職員マスタ!$G$6:$G$405,$AN1906)),"時短開始日がマスタと相違／","")&amp;IF(AND($M1906&lt;&gt;"",INDEX(職員マスタ!$H$6:$H$405,$AN1906)&lt;&gt;"",$M1906&lt;&gt;INDEX(職員マスタ!$H$6:$H$405,$AN1906)),"時短終了日がマスタと相違／","")))&amp;IF(AND($B1906&lt;&gt;"",$E1906=""),"報酬額が未入力／","")&amp;IF(N($U1906)&gt;0,"申請書に入力エラーが残っています／","")&amp;IF(AND($B1906&lt;&gt;"",$AO1906&lt;&gt;""),IF(COUNTIFS($B$6:$B$3005,$B1906,$C$6:$C$3005,$C1906,$D$6:$D$3005,$D1906)&gt;1,"同じ月の請求が重複しています／",""),"")&amp;IF(AND(N($E1906)&gt;0,$Z1906&lt;&gt;"",$Z1906&lt;&gt;"×",$AC1906=0,$AB1906=""),"計算額が下限以下のため不支給／",""))</f>
        <v/>
      </c>
      <c r="AL1906" s="12" t="n"/>
      <c r="AM1906" s="14">
        <f>IF($AD1906="保留中",COUNTIF($AD$6:$AD1906,"保留中"),"")</f>
        <v/>
      </c>
      <c r="AN1906" s="14">
        <f>IF($AO1906="","",IF(SUMPRODUCT(MAX((職員マスタ!$A$6:$A$405=$B1906)*(((職員マスタ!$G$6:$G$405="")+(職員マスタ!$G$6:$G$405&lt;=EOMONTH($AO1906,0)))&gt;0)*(((職員マスタ!$H$6:$H$405="")+(職員マスタ!$H$6:$H$405&gt;=$AO1906))&gt;0)*(ROW(職員マスタ!$A$6:$A$405)-5)))&gt;0,SUMPRODUCT(MAX((職員マスタ!$A$6:$A$405=$B1906)*(((職員マスタ!$G$6:$G$405="")+(職員マスタ!$G$6:$G$405&lt;=EOMONTH($AO1906,0)))&gt;0)*(((職員マスタ!$H$6:$H$405="")+(職員マスタ!$H$6:$H$405&gt;=$AO1906))&gt;0)*(ROW(職員マスタ!$A$6:$A$405)-5))),IFERROR(MATCH($B1906,職員マスタ!$A$6:$A$405,0),"")))</f>
        <v/>
      </c>
      <c r="AO1906" s="16">
        <f>IF(OR($B1906="",$C1906="",$D1906=""),"",DATE($C1906+2018,$D1906,1))</f>
        <v/>
      </c>
    </row>
    <row r="1907">
      <c r="A1907" s="11" t="n"/>
      <c r="B1907" s="12" t="n"/>
      <c r="C1907" s="12" t="n"/>
      <c r="D1907" s="12" t="n"/>
      <c r="E1907" s="13" t="n"/>
      <c r="F1907" s="12" t="n"/>
      <c r="G1907" s="13" t="n"/>
      <c r="H1907" s="12" t="n"/>
      <c r="I1907" s="12" t="n"/>
      <c r="J1907" s="12" t="n"/>
      <c r="K1907" s="12" t="n"/>
      <c r="L1907" s="11" t="n"/>
      <c r="M1907" s="11" t="n"/>
      <c r="N1907" s="11" t="n"/>
      <c r="O1907" s="11" t="n"/>
      <c r="P1907" s="12" t="n"/>
      <c r="Q1907" s="11" t="n"/>
      <c r="R1907" s="12" t="n"/>
      <c r="S1907" s="11" t="n"/>
      <c r="T1907" s="12" t="n"/>
      <c r="U1907" s="12" t="n"/>
      <c r="V1907" s="14">
        <f>IF($AN1907="",IF($B1907="","",$H1907),IF(INDEX(職員マスタ!$B$6:$B$405,$AN1907)="",$H1907,INDEX(職員マスタ!$B$6:$B$405,$AN1907)))</f>
        <v/>
      </c>
      <c r="W1907" s="14">
        <f>IF($AN1907="",IF($B1907="","",$R1907),IF(INDEX(職員マスタ!$C$6:$C$405,$AN1907)="",$R1907,INDEX(職員マスタ!$C$6:$C$405,$AN1907)))</f>
        <v/>
      </c>
      <c r="X1907" s="14">
        <f>IF($AO1907="","","R"&amp;$C1907&amp;"."&amp;$D1907)</f>
        <v/>
      </c>
      <c r="Y1907" s="15">
        <f>IF($AN1907="","",IF(INDEX(職員マスタ!$K$6:$K$405,$AN1907)="","",INDEX(職員マスタ!$K$6:$K$405,$AN1907)))</f>
        <v/>
      </c>
      <c r="Z1907" s="14">
        <f>IF(OR($E1907="",$Y1907=""),"",IF($E1907&gt;=$Y1907,"×",IF($E1907&gt;=$Y1907*設定!$C$5,"△","○")))</f>
        <v/>
      </c>
      <c r="AA1907" s="15">
        <f>IF($Z1907="","",IF($Z1907="×",0,IF($Z1907="○",ROUNDDOWN($E1907*設定!$C$4,0),ROUNDDOWN($E1907*ROUND((9*$Y1907-9*$E1907)/(10*$E1907),4),0))))</f>
        <v/>
      </c>
      <c r="AB1907" s="13" t="n"/>
      <c r="AC1907" s="15">
        <f>IF($B1907="","",IF($AB1907&lt;&gt;"",$AB1907,IF($AA1907="","",IF($AA1907&lt;=設定!$C$3,0,$AA1907))))</f>
        <v/>
      </c>
      <c r="AD1907" s="14">
        <f>IF($B1907="","",IF(AND($AE1907&lt;&gt;"",$AG1907="",$AJ1907=""),"保留中",IF($AJ1907&lt;&gt;"",IF(N($AC1907)&gt;0,"支給済","不支給"),IF($AC1907="","要確認",IF($AC1907=0,"不支給","未処理")))))</f>
        <v/>
      </c>
      <c r="AE1907" s="12" t="n"/>
      <c r="AF1907" s="11" t="n"/>
      <c r="AG1907" s="11" t="n"/>
      <c r="AH1907" s="11" t="n"/>
      <c r="AI1907" s="14">
        <f>IF(AND($AD1907="保留中",$AF1907&lt;&gt;""),TODAY()-$AF1907,"")</f>
        <v/>
      </c>
      <c r="AJ1907" s="12" t="n"/>
      <c r="AK1907" s="14">
        <f>IF($B1907="","",IF($AO1907="","対象年月が未入力／","")&amp;IF($B1907="","",IF($AN1907="","職員マスタに未登録の職員番号／",IF($Y1907="","標準報酬月額が未登録／","")&amp;IF(AND($AO1907&lt;&gt;"",OR(AND(INDEX(職員マスタ!$G$6:$G$405,$AN1907)&lt;&gt;"",INDEX(職員マスタ!$G$6:$G$405,$AN1907)&gt;EOMONTH($AO1907,0)),AND(INDEX(職員マスタ!$H$6:$H$405,$AN1907)&lt;&gt;"",INDEX(職員マスタ!$H$6:$H$405,$AN1907)&lt;$AO1907))),"対象月が時短期間外／","")&amp;IF(AND(INDEX(職員マスタ!$F$6:$F$405,$AN1907)&lt;&gt;"",$AO1907&lt;&gt;"",INDEX(職員マスタ!$F$6:$F$405,$AN1907)&lt;$AO1907),"対象月に子が2歳到達済／","")&amp;IF(AND($H1907&lt;&gt;"",INDEX(職員マスタ!$B$6:$B$405,$AN1907)&lt;&gt;"",SUBSTITUTE(SUBSTITUTE($H1907," ","")," ","")&lt;&gt;SUBSTITUTE(SUBSTITUTE(INDEX(職員マスタ!$B$6:$B$405,$AN1907)," ","")," ","")),"氏名がマスタと相違／","")&amp;IF(AND($Q1907&lt;&gt;"",INDEX(職員マスタ!$E$6:$E$405,$AN1907)&lt;&gt;"",$Q1907&lt;&gt;INDEX(職員マスタ!$E$6:$E$405,$AN1907)),"子の生年月日がマスタと相違／","")&amp;IF(AND($L1907&lt;&gt;"",INDEX(職員マスタ!$G$6:$G$405,$AN1907)&lt;&gt;"",$L1907&lt;&gt;INDEX(職員マスタ!$G$6:$G$405,$AN1907)),"時短開始日がマスタと相違／","")&amp;IF(AND($M1907&lt;&gt;"",INDEX(職員マスタ!$H$6:$H$405,$AN1907)&lt;&gt;"",$M1907&lt;&gt;INDEX(職員マスタ!$H$6:$H$405,$AN1907)),"時短終了日がマスタと相違／","")))&amp;IF(AND($B1907&lt;&gt;"",$E1907=""),"報酬額が未入力／","")&amp;IF(N($U1907)&gt;0,"申請書に入力エラーが残っています／","")&amp;IF(AND($B1907&lt;&gt;"",$AO1907&lt;&gt;""),IF(COUNTIFS($B$6:$B$3005,$B1907,$C$6:$C$3005,$C1907,$D$6:$D$3005,$D1907)&gt;1,"同じ月の請求が重複しています／",""),"")&amp;IF(AND(N($E1907)&gt;0,$Z1907&lt;&gt;"",$Z1907&lt;&gt;"×",$AC1907=0,$AB1907=""),"計算額が下限以下のため不支給／",""))</f>
        <v/>
      </c>
      <c r="AL1907" s="12" t="n"/>
      <c r="AM1907" s="14">
        <f>IF($AD1907="保留中",COUNTIF($AD$6:$AD1907,"保留中"),"")</f>
        <v/>
      </c>
      <c r="AN1907" s="14">
        <f>IF($AO1907="","",IF(SUMPRODUCT(MAX((職員マスタ!$A$6:$A$405=$B1907)*(((職員マスタ!$G$6:$G$405="")+(職員マスタ!$G$6:$G$405&lt;=EOMONTH($AO1907,0)))&gt;0)*(((職員マスタ!$H$6:$H$405="")+(職員マスタ!$H$6:$H$405&gt;=$AO1907))&gt;0)*(ROW(職員マスタ!$A$6:$A$405)-5)))&gt;0,SUMPRODUCT(MAX((職員マスタ!$A$6:$A$405=$B1907)*(((職員マスタ!$G$6:$G$405="")+(職員マスタ!$G$6:$G$405&lt;=EOMONTH($AO1907,0)))&gt;0)*(((職員マスタ!$H$6:$H$405="")+(職員マスタ!$H$6:$H$405&gt;=$AO1907))&gt;0)*(ROW(職員マスタ!$A$6:$A$405)-5))),IFERROR(MATCH($B1907,職員マスタ!$A$6:$A$405,0),"")))</f>
        <v/>
      </c>
      <c r="AO1907" s="16">
        <f>IF(OR($B1907="",$C1907="",$D1907=""),"",DATE($C1907+2018,$D1907,1))</f>
        <v/>
      </c>
    </row>
    <row r="1908">
      <c r="A1908" s="11" t="n"/>
      <c r="B1908" s="12" t="n"/>
      <c r="C1908" s="12" t="n"/>
      <c r="D1908" s="12" t="n"/>
      <c r="E1908" s="13" t="n"/>
      <c r="F1908" s="12" t="n"/>
      <c r="G1908" s="13" t="n"/>
      <c r="H1908" s="12" t="n"/>
      <c r="I1908" s="12" t="n"/>
      <c r="J1908" s="12" t="n"/>
      <c r="K1908" s="12" t="n"/>
      <c r="L1908" s="11" t="n"/>
      <c r="M1908" s="11" t="n"/>
      <c r="N1908" s="11" t="n"/>
      <c r="O1908" s="11" t="n"/>
      <c r="P1908" s="12" t="n"/>
      <c r="Q1908" s="11" t="n"/>
      <c r="R1908" s="12" t="n"/>
      <c r="S1908" s="11" t="n"/>
      <c r="T1908" s="12" t="n"/>
      <c r="U1908" s="12" t="n"/>
      <c r="V1908" s="14">
        <f>IF($AN1908="",IF($B1908="","",$H1908),IF(INDEX(職員マスタ!$B$6:$B$405,$AN1908)="",$H1908,INDEX(職員マスタ!$B$6:$B$405,$AN1908)))</f>
        <v/>
      </c>
      <c r="W1908" s="14">
        <f>IF($AN1908="",IF($B1908="","",$R1908),IF(INDEX(職員マスタ!$C$6:$C$405,$AN1908)="",$R1908,INDEX(職員マスタ!$C$6:$C$405,$AN1908)))</f>
        <v/>
      </c>
      <c r="X1908" s="14">
        <f>IF($AO1908="","","R"&amp;$C1908&amp;"."&amp;$D1908)</f>
        <v/>
      </c>
      <c r="Y1908" s="15">
        <f>IF($AN1908="","",IF(INDEX(職員マスタ!$K$6:$K$405,$AN1908)="","",INDEX(職員マスタ!$K$6:$K$405,$AN1908)))</f>
        <v/>
      </c>
      <c r="Z1908" s="14">
        <f>IF(OR($E1908="",$Y1908=""),"",IF($E1908&gt;=$Y1908,"×",IF($E1908&gt;=$Y1908*設定!$C$5,"△","○")))</f>
        <v/>
      </c>
      <c r="AA1908" s="15">
        <f>IF($Z1908="","",IF($Z1908="×",0,IF($Z1908="○",ROUNDDOWN($E1908*設定!$C$4,0),ROUNDDOWN($E1908*ROUND((9*$Y1908-9*$E1908)/(10*$E1908),4),0))))</f>
        <v/>
      </c>
      <c r="AB1908" s="13" t="n"/>
      <c r="AC1908" s="15">
        <f>IF($B1908="","",IF($AB1908&lt;&gt;"",$AB1908,IF($AA1908="","",IF($AA1908&lt;=設定!$C$3,0,$AA1908))))</f>
        <v/>
      </c>
      <c r="AD1908" s="14">
        <f>IF($B1908="","",IF(AND($AE1908&lt;&gt;"",$AG1908="",$AJ1908=""),"保留中",IF($AJ1908&lt;&gt;"",IF(N($AC1908)&gt;0,"支給済","不支給"),IF($AC1908="","要確認",IF($AC1908=0,"不支給","未処理")))))</f>
        <v/>
      </c>
      <c r="AE1908" s="12" t="n"/>
      <c r="AF1908" s="11" t="n"/>
      <c r="AG1908" s="11" t="n"/>
      <c r="AH1908" s="11" t="n"/>
      <c r="AI1908" s="14">
        <f>IF(AND($AD1908="保留中",$AF1908&lt;&gt;""),TODAY()-$AF1908,"")</f>
        <v/>
      </c>
      <c r="AJ1908" s="12" t="n"/>
      <c r="AK1908" s="14">
        <f>IF($B1908="","",IF($AO1908="","対象年月が未入力／","")&amp;IF($B1908="","",IF($AN1908="","職員マスタに未登録の職員番号／",IF($Y1908="","標準報酬月額が未登録／","")&amp;IF(AND($AO1908&lt;&gt;"",OR(AND(INDEX(職員マスタ!$G$6:$G$405,$AN1908)&lt;&gt;"",INDEX(職員マスタ!$G$6:$G$405,$AN1908)&gt;EOMONTH($AO1908,0)),AND(INDEX(職員マスタ!$H$6:$H$405,$AN1908)&lt;&gt;"",INDEX(職員マスタ!$H$6:$H$405,$AN1908)&lt;$AO1908))),"対象月が時短期間外／","")&amp;IF(AND(INDEX(職員マスタ!$F$6:$F$405,$AN1908)&lt;&gt;"",$AO1908&lt;&gt;"",INDEX(職員マスタ!$F$6:$F$405,$AN1908)&lt;$AO1908),"対象月に子が2歳到達済／","")&amp;IF(AND($H1908&lt;&gt;"",INDEX(職員マスタ!$B$6:$B$405,$AN1908)&lt;&gt;"",SUBSTITUTE(SUBSTITUTE($H1908," ","")," ","")&lt;&gt;SUBSTITUTE(SUBSTITUTE(INDEX(職員マスタ!$B$6:$B$405,$AN1908)," ","")," ","")),"氏名がマスタと相違／","")&amp;IF(AND($Q1908&lt;&gt;"",INDEX(職員マスタ!$E$6:$E$405,$AN1908)&lt;&gt;"",$Q1908&lt;&gt;INDEX(職員マスタ!$E$6:$E$405,$AN1908)),"子の生年月日がマスタと相違／","")&amp;IF(AND($L1908&lt;&gt;"",INDEX(職員マスタ!$G$6:$G$405,$AN1908)&lt;&gt;"",$L1908&lt;&gt;INDEX(職員マスタ!$G$6:$G$405,$AN1908)),"時短開始日がマスタと相違／","")&amp;IF(AND($M1908&lt;&gt;"",INDEX(職員マスタ!$H$6:$H$405,$AN1908)&lt;&gt;"",$M1908&lt;&gt;INDEX(職員マスタ!$H$6:$H$405,$AN1908)),"時短終了日がマスタと相違／","")))&amp;IF(AND($B1908&lt;&gt;"",$E1908=""),"報酬額が未入力／","")&amp;IF(N($U1908)&gt;0,"申請書に入力エラーが残っています／","")&amp;IF(AND($B1908&lt;&gt;"",$AO1908&lt;&gt;""),IF(COUNTIFS($B$6:$B$3005,$B1908,$C$6:$C$3005,$C1908,$D$6:$D$3005,$D1908)&gt;1,"同じ月の請求が重複しています／",""),"")&amp;IF(AND(N($E1908)&gt;0,$Z1908&lt;&gt;"",$Z1908&lt;&gt;"×",$AC1908=0,$AB1908=""),"計算額が下限以下のため不支給／",""))</f>
        <v/>
      </c>
      <c r="AL1908" s="12" t="n"/>
      <c r="AM1908" s="14">
        <f>IF($AD1908="保留中",COUNTIF($AD$6:$AD1908,"保留中"),"")</f>
        <v/>
      </c>
      <c r="AN1908" s="14">
        <f>IF($AO1908="","",IF(SUMPRODUCT(MAX((職員マスタ!$A$6:$A$405=$B1908)*(((職員マスタ!$G$6:$G$405="")+(職員マスタ!$G$6:$G$405&lt;=EOMONTH($AO1908,0)))&gt;0)*(((職員マスタ!$H$6:$H$405="")+(職員マスタ!$H$6:$H$405&gt;=$AO1908))&gt;0)*(ROW(職員マスタ!$A$6:$A$405)-5)))&gt;0,SUMPRODUCT(MAX((職員マスタ!$A$6:$A$405=$B1908)*(((職員マスタ!$G$6:$G$405="")+(職員マスタ!$G$6:$G$405&lt;=EOMONTH($AO1908,0)))&gt;0)*(((職員マスタ!$H$6:$H$405="")+(職員マスタ!$H$6:$H$405&gt;=$AO1908))&gt;0)*(ROW(職員マスタ!$A$6:$A$405)-5))),IFERROR(MATCH($B1908,職員マスタ!$A$6:$A$405,0),"")))</f>
        <v/>
      </c>
      <c r="AO1908" s="16">
        <f>IF(OR($B1908="",$C1908="",$D1908=""),"",DATE($C1908+2018,$D1908,1))</f>
        <v/>
      </c>
    </row>
    <row r="1909">
      <c r="A1909" s="11" t="n"/>
      <c r="B1909" s="12" t="n"/>
      <c r="C1909" s="12" t="n"/>
      <c r="D1909" s="12" t="n"/>
      <c r="E1909" s="13" t="n"/>
      <c r="F1909" s="12" t="n"/>
      <c r="G1909" s="13" t="n"/>
      <c r="H1909" s="12" t="n"/>
      <c r="I1909" s="12" t="n"/>
      <c r="J1909" s="12" t="n"/>
      <c r="K1909" s="12" t="n"/>
      <c r="L1909" s="11" t="n"/>
      <c r="M1909" s="11" t="n"/>
      <c r="N1909" s="11" t="n"/>
      <c r="O1909" s="11" t="n"/>
      <c r="P1909" s="12" t="n"/>
      <c r="Q1909" s="11" t="n"/>
      <c r="R1909" s="12" t="n"/>
      <c r="S1909" s="11" t="n"/>
      <c r="T1909" s="12" t="n"/>
      <c r="U1909" s="12" t="n"/>
      <c r="V1909" s="14">
        <f>IF($AN1909="",IF($B1909="","",$H1909),IF(INDEX(職員マスタ!$B$6:$B$405,$AN1909)="",$H1909,INDEX(職員マスタ!$B$6:$B$405,$AN1909)))</f>
        <v/>
      </c>
      <c r="W1909" s="14">
        <f>IF($AN1909="",IF($B1909="","",$R1909),IF(INDEX(職員マスタ!$C$6:$C$405,$AN1909)="",$R1909,INDEX(職員マスタ!$C$6:$C$405,$AN1909)))</f>
        <v/>
      </c>
      <c r="X1909" s="14">
        <f>IF($AO1909="","","R"&amp;$C1909&amp;"."&amp;$D1909)</f>
        <v/>
      </c>
      <c r="Y1909" s="15">
        <f>IF($AN1909="","",IF(INDEX(職員マスタ!$K$6:$K$405,$AN1909)="","",INDEX(職員マスタ!$K$6:$K$405,$AN1909)))</f>
        <v/>
      </c>
      <c r="Z1909" s="14">
        <f>IF(OR($E1909="",$Y1909=""),"",IF($E1909&gt;=$Y1909,"×",IF($E1909&gt;=$Y1909*設定!$C$5,"△","○")))</f>
        <v/>
      </c>
      <c r="AA1909" s="15">
        <f>IF($Z1909="","",IF($Z1909="×",0,IF($Z1909="○",ROUNDDOWN($E1909*設定!$C$4,0),ROUNDDOWN($E1909*ROUND((9*$Y1909-9*$E1909)/(10*$E1909),4),0))))</f>
        <v/>
      </c>
      <c r="AB1909" s="13" t="n"/>
      <c r="AC1909" s="15">
        <f>IF($B1909="","",IF($AB1909&lt;&gt;"",$AB1909,IF($AA1909="","",IF($AA1909&lt;=設定!$C$3,0,$AA1909))))</f>
        <v/>
      </c>
      <c r="AD1909" s="14">
        <f>IF($B1909="","",IF(AND($AE1909&lt;&gt;"",$AG1909="",$AJ1909=""),"保留中",IF($AJ1909&lt;&gt;"",IF(N($AC1909)&gt;0,"支給済","不支給"),IF($AC1909="","要確認",IF($AC1909=0,"不支給","未処理")))))</f>
        <v/>
      </c>
      <c r="AE1909" s="12" t="n"/>
      <c r="AF1909" s="11" t="n"/>
      <c r="AG1909" s="11" t="n"/>
      <c r="AH1909" s="11" t="n"/>
      <c r="AI1909" s="14">
        <f>IF(AND($AD1909="保留中",$AF1909&lt;&gt;""),TODAY()-$AF1909,"")</f>
        <v/>
      </c>
      <c r="AJ1909" s="12" t="n"/>
      <c r="AK1909" s="14">
        <f>IF($B1909="","",IF($AO1909="","対象年月が未入力／","")&amp;IF($B1909="","",IF($AN1909="","職員マスタに未登録の職員番号／",IF($Y1909="","標準報酬月額が未登録／","")&amp;IF(AND($AO1909&lt;&gt;"",OR(AND(INDEX(職員マスタ!$G$6:$G$405,$AN1909)&lt;&gt;"",INDEX(職員マスタ!$G$6:$G$405,$AN1909)&gt;EOMONTH($AO1909,0)),AND(INDEX(職員マスタ!$H$6:$H$405,$AN1909)&lt;&gt;"",INDEX(職員マスタ!$H$6:$H$405,$AN1909)&lt;$AO1909))),"対象月が時短期間外／","")&amp;IF(AND(INDEX(職員マスタ!$F$6:$F$405,$AN1909)&lt;&gt;"",$AO1909&lt;&gt;"",INDEX(職員マスタ!$F$6:$F$405,$AN1909)&lt;$AO1909),"対象月に子が2歳到達済／","")&amp;IF(AND($H1909&lt;&gt;"",INDEX(職員マスタ!$B$6:$B$405,$AN1909)&lt;&gt;"",SUBSTITUTE(SUBSTITUTE($H1909," ","")," ","")&lt;&gt;SUBSTITUTE(SUBSTITUTE(INDEX(職員マスタ!$B$6:$B$405,$AN1909)," ","")," ","")),"氏名がマスタと相違／","")&amp;IF(AND($Q1909&lt;&gt;"",INDEX(職員マスタ!$E$6:$E$405,$AN1909)&lt;&gt;"",$Q1909&lt;&gt;INDEX(職員マスタ!$E$6:$E$405,$AN1909)),"子の生年月日がマスタと相違／","")&amp;IF(AND($L1909&lt;&gt;"",INDEX(職員マスタ!$G$6:$G$405,$AN1909)&lt;&gt;"",$L1909&lt;&gt;INDEX(職員マスタ!$G$6:$G$405,$AN1909)),"時短開始日がマスタと相違／","")&amp;IF(AND($M1909&lt;&gt;"",INDEX(職員マスタ!$H$6:$H$405,$AN1909)&lt;&gt;"",$M1909&lt;&gt;INDEX(職員マスタ!$H$6:$H$405,$AN1909)),"時短終了日がマスタと相違／","")))&amp;IF(AND($B1909&lt;&gt;"",$E1909=""),"報酬額が未入力／","")&amp;IF(N($U1909)&gt;0,"申請書に入力エラーが残っています／","")&amp;IF(AND($B1909&lt;&gt;"",$AO1909&lt;&gt;""),IF(COUNTIFS($B$6:$B$3005,$B1909,$C$6:$C$3005,$C1909,$D$6:$D$3005,$D1909)&gt;1,"同じ月の請求が重複しています／",""),"")&amp;IF(AND(N($E1909)&gt;0,$Z1909&lt;&gt;"",$Z1909&lt;&gt;"×",$AC1909=0,$AB1909=""),"計算額が下限以下のため不支給／",""))</f>
        <v/>
      </c>
      <c r="AL1909" s="12" t="n"/>
      <c r="AM1909" s="14">
        <f>IF($AD1909="保留中",COUNTIF($AD$6:$AD1909,"保留中"),"")</f>
        <v/>
      </c>
      <c r="AN1909" s="14">
        <f>IF($AO1909="","",IF(SUMPRODUCT(MAX((職員マスタ!$A$6:$A$405=$B1909)*(((職員マスタ!$G$6:$G$405="")+(職員マスタ!$G$6:$G$405&lt;=EOMONTH($AO1909,0)))&gt;0)*(((職員マスタ!$H$6:$H$405="")+(職員マスタ!$H$6:$H$405&gt;=$AO1909))&gt;0)*(ROW(職員マスタ!$A$6:$A$405)-5)))&gt;0,SUMPRODUCT(MAX((職員マスタ!$A$6:$A$405=$B1909)*(((職員マスタ!$G$6:$G$405="")+(職員マスタ!$G$6:$G$405&lt;=EOMONTH($AO1909,0)))&gt;0)*(((職員マスタ!$H$6:$H$405="")+(職員マスタ!$H$6:$H$405&gt;=$AO1909))&gt;0)*(ROW(職員マスタ!$A$6:$A$405)-5))),IFERROR(MATCH($B1909,職員マスタ!$A$6:$A$405,0),"")))</f>
        <v/>
      </c>
      <c r="AO1909" s="16">
        <f>IF(OR($B1909="",$C1909="",$D1909=""),"",DATE($C1909+2018,$D1909,1))</f>
        <v/>
      </c>
    </row>
    <row r="1910">
      <c r="A1910" s="11" t="n"/>
      <c r="B1910" s="12" t="n"/>
      <c r="C1910" s="12" t="n"/>
      <c r="D1910" s="12" t="n"/>
      <c r="E1910" s="13" t="n"/>
      <c r="F1910" s="12" t="n"/>
      <c r="G1910" s="13" t="n"/>
      <c r="H1910" s="12" t="n"/>
      <c r="I1910" s="12" t="n"/>
      <c r="J1910" s="12" t="n"/>
      <c r="K1910" s="12" t="n"/>
      <c r="L1910" s="11" t="n"/>
      <c r="M1910" s="11" t="n"/>
      <c r="N1910" s="11" t="n"/>
      <c r="O1910" s="11" t="n"/>
      <c r="P1910" s="12" t="n"/>
      <c r="Q1910" s="11" t="n"/>
      <c r="R1910" s="12" t="n"/>
      <c r="S1910" s="11" t="n"/>
      <c r="T1910" s="12" t="n"/>
      <c r="U1910" s="12" t="n"/>
      <c r="V1910" s="14">
        <f>IF($AN1910="",IF($B1910="","",$H1910),IF(INDEX(職員マスタ!$B$6:$B$405,$AN1910)="",$H1910,INDEX(職員マスタ!$B$6:$B$405,$AN1910)))</f>
        <v/>
      </c>
      <c r="W1910" s="14">
        <f>IF($AN1910="",IF($B1910="","",$R1910),IF(INDEX(職員マスタ!$C$6:$C$405,$AN1910)="",$R1910,INDEX(職員マスタ!$C$6:$C$405,$AN1910)))</f>
        <v/>
      </c>
      <c r="X1910" s="14">
        <f>IF($AO1910="","","R"&amp;$C1910&amp;"."&amp;$D1910)</f>
        <v/>
      </c>
      <c r="Y1910" s="15">
        <f>IF($AN1910="","",IF(INDEX(職員マスタ!$K$6:$K$405,$AN1910)="","",INDEX(職員マスタ!$K$6:$K$405,$AN1910)))</f>
        <v/>
      </c>
      <c r="Z1910" s="14">
        <f>IF(OR($E1910="",$Y1910=""),"",IF($E1910&gt;=$Y1910,"×",IF($E1910&gt;=$Y1910*設定!$C$5,"△","○")))</f>
        <v/>
      </c>
      <c r="AA1910" s="15">
        <f>IF($Z1910="","",IF($Z1910="×",0,IF($Z1910="○",ROUNDDOWN($E1910*設定!$C$4,0),ROUNDDOWN($E1910*ROUND((9*$Y1910-9*$E1910)/(10*$E1910),4),0))))</f>
        <v/>
      </c>
      <c r="AB1910" s="13" t="n"/>
      <c r="AC1910" s="15">
        <f>IF($B1910="","",IF($AB1910&lt;&gt;"",$AB1910,IF($AA1910="","",IF($AA1910&lt;=設定!$C$3,0,$AA1910))))</f>
        <v/>
      </c>
      <c r="AD1910" s="14">
        <f>IF($B1910="","",IF(AND($AE1910&lt;&gt;"",$AG1910="",$AJ1910=""),"保留中",IF($AJ1910&lt;&gt;"",IF(N($AC1910)&gt;0,"支給済","不支給"),IF($AC1910="","要確認",IF($AC1910=0,"不支給","未処理")))))</f>
        <v/>
      </c>
      <c r="AE1910" s="12" t="n"/>
      <c r="AF1910" s="11" t="n"/>
      <c r="AG1910" s="11" t="n"/>
      <c r="AH1910" s="11" t="n"/>
      <c r="AI1910" s="14">
        <f>IF(AND($AD1910="保留中",$AF1910&lt;&gt;""),TODAY()-$AF1910,"")</f>
        <v/>
      </c>
      <c r="AJ1910" s="12" t="n"/>
      <c r="AK1910" s="14">
        <f>IF($B1910="","",IF($AO1910="","対象年月が未入力／","")&amp;IF($B1910="","",IF($AN1910="","職員マスタに未登録の職員番号／",IF($Y1910="","標準報酬月額が未登録／","")&amp;IF(AND($AO1910&lt;&gt;"",OR(AND(INDEX(職員マスタ!$G$6:$G$405,$AN1910)&lt;&gt;"",INDEX(職員マスタ!$G$6:$G$405,$AN1910)&gt;EOMONTH($AO1910,0)),AND(INDEX(職員マスタ!$H$6:$H$405,$AN1910)&lt;&gt;"",INDEX(職員マスタ!$H$6:$H$405,$AN1910)&lt;$AO1910))),"対象月が時短期間外／","")&amp;IF(AND(INDEX(職員マスタ!$F$6:$F$405,$AN1910)&lt;&gt;"",$AO1910&lt;&gt;"",INDEX(職員マスタ!$F$6:$F$405,$AN1910)&lt;$AO1910),"対象月に子が2歳到達済／","")&amp;IF(AND($H1910&lt;&gt;"",INDEX(職員マスタ!$B$6:$B$405,$AN1910)&lt;&gt;"",SUBSTITUTE(SUBSTITUTE($H1910," ","")," ","")&lt;&gt;SUBSTITUTE(SUBSTITUTE(INDEX(職員マスタ!$B$6:$B$405,$AN1910)," ","")," ","")),"氏名がマスタと相違／","")&amp;IF(AND($Q1910&lt;&gt;"",INDEX(職員マスタ!$E$6:$E$405,$AN1910)&lt;&gt;"",$Q1910&lt;&gt;INDEX(職員マスタ!$E$6:$E$405,$AN1910)),"子の生年月日がマスタと相違／","")&amp;IF(AND($L1910&lt;&gt;"",INDEX(職員マスタ!$G$6:$G$405,$AN1910)&lt;&gt;"",$L1910&lt;&gt;INDEX(職員マスタ!$G$6:$G$405,$AN1910)),"時短開始日がマスタと相違／","")&amp;IF(AND($M1910&lt;&gt;"",INDEX(職員マスタ!$H$6:$H$405,$AN1910)&lt;&gt;"",$M1910&lt;&gt;INDEX(職員マスタ!$H$6:$H$405,$AN1910)),"時短終了日がマスタと相違／","")))&amp;IF(AND($B1910&lt;&gt;"",$E1910=""),"報酬額が未入力／","")&amp;IF(N($U1910)&gt;0,"申請書に入力エラーが残っています／","")&amp;IF(AND($B1910&lt;&gt;"",$AO1910&lt;&gt;""),IF(COUNTIFS($B$6:$B$3005,$B1910,$C$6:$C$3005,$C1910,$D$6:$D$3005,$D1910)&gt;1,"同じ月の請求が重複しています／",""),"")&amp;IF(AND(N($E1910)&gt;0,$Z1910&lt;&gt;"",$Z1910&lt;&gt;"×",$AC1910=0,$AB1910=""),"計算額が下限以下のため不支給／",""))</f>
        <v/>
      </c>
      <c r="AL1910" s="12" t="n"/>
      <c r="AM1910" s="14">
        <f>IF($AD1910="保留中",COUNTIF($AD$6:$AD1910,"保留中"),"")</f>
        <v/>
      </c>
      <c r="AN1910" s="14">
        <f>IF($AO1910="","",IF(SUMPRODUCT(MAX((職員マスタ!$A$6:$A$405=$B1910)*(((職員マスタ!$G$6:$G$405="")+(職員マスタ!$G$6:$G$405&lt;=EOMONTH($AO1910,0)))&gt;0)*(((職員マスタ!$H$6:$H$405="")+(職員マスタ!$H$6:$H$405&gt;=$AO1910))&gt;0)*(ROW(職員マスタ!$A$6:$A$405)-5)))&gt;0,SUMPRODUCT(MAX((職員マスタ!$A$6:$A$405=$B1910)*(((職員マスタ!$G$6:$G$405="")+(職員マスタ!$G$6:$G$405&lt;=EOMONTH($AO1910,0)))&gt;0)*(((職員マスタ!$H$6:$H$405="")+(職員マスタ!$H$6:$H$405&gt;=$AO1910))&gt;0)*(ROW(職員マスタ!$A$6:$A$405)-5))),IFERROR(MATCH($B1910,職員マスタ!$A$6:$A$405,0),"")))</f>
        <v/>
      </c>
      <c r="AO1910" s="16">
        <f>IF(OR($B1910="",$C1910="",$D1910=""),"",DATE($C1910+2018,$D1910,1))</f>
        <v/>
      </c>
    </row>
    <row r="1911">
      <c r="A1911" s="11" t="n"/>
      <c r="B1911" s="12" t="n"/>
      <c r="C1911" s="12" t="n"/>
      <c r="D1911" s="12" t="n"/>
      <c r="E1911" s="13" t="n"/>
      <c r="F1911" s="12" t="n"/>
      <c r="G1911" s="13" t="n"/>
      <c r="H1911" s="12" t="n"/>
      <c r="I1911" s="12" t="n"/>
      <c r="J1911" s="12" t="n"/>
      <c r="K1911" s="12" t="n"/>
      <c r="L1911" s="11" t="n"/>
      <c r="M1911" s="11" t="n"/>
      <c r="N1911" s="11" t="n"/>
      <c r="O1911" s="11" t="n"/>
      <c r="P1911" s="12" t="n"/>
      <c r="Q1911" s="11" t="n"/>
      <c r="R1911" s="12" t="n"/>
      <c r="S1911" s="11" t="n"/>
      <c r="T1911" s="12" t="n"/>
      <c r="U1911" s="12" t="n"/>
      <c r="V1911" s="14">
        <f>IF($AN1911="",IF($B1911="","",$H1911),IF(INDEX(職員マスタ!$B$6:$B$405,$AN1911)="",$H1911,INDEX(職員マスタ!$B$6:$B$405,$AN1911)))</f>
        <v/>
      </c>
      <c r="W1911" s="14">
        <f>IF($AN1911="",IF($B1911="","",$R1911),IF(INDEX(職員マスタ!$C$6:$C$405,$AN1911)="",$R1911,INDEX(職員マスタ!$C$6:$C$405,$AN1911)))</f>
        <v/>
      </c>
      <c r="X1911" s="14">
        <f>IF($AO1911="","","R"&amp;$C1911&amp;"."&amp;$D1911)</f>
        <v/>
      </c>
      <c r="Y1911" s="15">
        <f>IF($AN1911="","",IF(INDEX(職員マスタ!$K$6:$K$405,$AN1911)="","",INDEX(職員マスタ!$K$6:$K$405,$AN1911)))</f>
        <v/>
      </c>
      <c r="Z1911" s="14">
        <f>IF(OR($E1911="",$Y1911=""),"",IF($E1911&gt;=$Y1911,"×",IF($E1911&gt;=$Y1911*設定!$C$5,"△","○")))</f>
        <v/>
      </c>
      <c r="AA1911" s="15">
        <f>IF($Z1911="","",IF($Z1911="×",0,IF($Z1911="○",ROUNDDOWN($E1911*設定!$C$4,0),ROUNDDOWN($E1911*ROUND((9*$Y1911-9*$E1911)/(10*$E1911),4),0))))</f>
        <v/>
      </c>
      <c r="AB1911" s="13" t="n"/>
      <c r="AC1911" s="15">
        <f>IF($B1911="","",IF($AB1911&lt;&gt;"",$AB1911,IF($AA1911="","",IF($AA1911&lt;=設定!$C$3,0,$AA1911))))</f>
        <v/>
      </c>
      <c r="AD1911" s="14">
        <f>IF($B1911="","",IF(AND($AE1911&lt;&gt;"",$AG1911="",$AJ1911=""),"保留中",IF($AJ1911&lt;&gt;"",IF(N($AC1911)&gt;0,"支給済","不支給"),IF($AC1911="","要確認",IF($AC1911=0,"不支給","未処理")))))</f>
        <v/>
      </c>
      <c r="AE1911" s="12" t="n"/>
      <c r="AF1911" s="11" t="n"/>
      <c r="AG1911" s="11" t="n"/>
      <c r="AH1911" s="11" t="n"/>
      <c r="AI1911" s="14">
        <f>IF(AND($AD1911="保留中",$AF1911&lt;&gt;""),TODAY()-$AF1911,"")</f>
        <v/>
      </c>
      <c r="AJ1911" s="12" t="n"/>
      <c r="AK1911" s="14">
        <f>IF($B1911="","",IF($AO1911="","対象年月が未入力／","")&amp;IF($B1911="","",IF($AN1911="","職員マスタに未登録の職員番号／",IF($Y1911="","標準報酬月額が未登録／","")&amp;IF(AND($AO1911&lt;&gt;"",OR(AND(INDEX(職員マスタ!$G$6:$G$405,$AN1911)&lt;&gt;"",INDEX(職員マスタ!$G$6:$G$405,$AN1911)&gt;EOMONTH($AO1911,0)),AND(INDEX(職員マスタ!$H$6:$H$405,$AN1911)&lt;&gt;"",INDEX(職員マスタ!$H$6:$H$405,$AN1911)&lt;$AO1911))),"対象月が時短期間外／","")&amp;IF(AND(INDEX(職員マスタ!$F$6:$F$405,$AN1911)&lt;&gt;"",$AO1911&lt;&gt;"",INDEX(職員マスタ!$F$6:$F$405,$AN1911)&lt;$AO1911),"対象月に子が2歳到達済／","")&amp;IF(AND($H1911&lt;&gt;"",INDEX(職員マスタ!$B$6:$B$405,$AN1911)&lt;&gt;"",SUBSTITUTE(SUBSTITUTE($H1911," ","")," ","")&lt;&gt;SUBSTITUTE(SUBSTITUTE(INDEX(職員マスタ!$B$6:$B$405,$AN1911)," ","")," ","")),"氏名がマスタと相違／","")&amp;IF(AND($Q1911&lt;&gt;"",INDEX(職員マスタ!$E$6:$E$405,$AN1911)&lt;&gt;"",$Q1911&lt;&gt;INDEX(職員マスタ!$E$6:$E$405,$AN1911)),"子の生年月日がマスタと相違／","")&amp;IF(AND($L1911&lt;&gt;"",INDEX(職員マスタ!$G$6:$G$405,$AN1911)&lt;&gt;"",$L1911&lt;&gt;INDEX(職員マスタ!$G$6:$G$405,$AN1911)),"時短開始日がマスタと相違／","")&amp;IF(AND($M1911&lt;&gt;"",INDEX(職員マスタ!$H$6:$H$405,$AN1911)&lt;&gt;"",$M1911&lt;&gt;INDEX(職員マスタ!$H$6:$H$405,$AN1911)),"時短終了日がマスタと相違／","")))&amp;IF(AND($B1911&lt;&gt;"",$E1911=""),"報酬額が未入力／","")&amp;IF(N($U1911)&gt;0,"申請書に入力エラーが残っています／","")&amp;IF(AND($B1911&lt;&gt;"",$AO1911&lt;&gt;""),IF(COUNTIFS($B$6:$B$3005,$B1911,$C$6:$C$3005,$C1911,$D$6:$D$3005,$D1911)&gt;1,"同じ月の請求が重複しています／",""),"")&amp;IF(AND(N($E1911)&gt;0,$Z1911&lt;&gt;"",$Z1911&lt;&gt;"×",$AC1911=0,$AB1911=""),"計算額が下限以下のため不支給／",""))</f>
        <v/>
      </c>
      <c r="AL1911" s="12" t="n"/>
      <c r="AM1911" s="14">
        <f>IF($AD1911="保留中",COUNTIF($AD$6:$AD1911,"保留中"),"")</f>
        <v/>
      </c>
      <c r="AN1911" s="14">
        <f>IF($AO1911="","",IF(SUMPRODUCT(MAX((職員マスタ!$A$6:$A$405=$B1911)*(((職員マスタ!$G$6:$G$405="")+(職員マスタ!$G$6:$G$405&lt;=EOMONTH($AO1911,0)))&gt;0)*(((職員マスタ!$H$6:$H$405="")+(職員マスタ!$H$6:$H$405&gt;=$AO1911))&gt;0)*(ROW(職員マスタ!$A$6:$A$405)-5)))&gt;0,SUMPRODUCT(MAX((職員マスタ!$A$6:$A$405=$B1911)*(((職員マスタ!$G$6:$G$405="")+(職員マスタ!$G$6:$G$405&lt;=EOMONTH($AO1911,0)))&gt;0)*(((職員マスタ!$H$6:$H$405="")+(職員マスタ!$H$6:$H$405&gt;=$AO1911))&gt;0)*(ROW(職員マスタ!$A$6:$A$405)-5))),IFERROR(MATCH($B1911,職員マスタ!$A$6:$A$405,0),"")))</f>
        <v/>
      </c>
      <c r="AO1911" s="16">
        <f>IF(OR($B1911="",$C1911="",$D1911=""),"",DATE($C1911+2018,$D1911,1))</f>
        <v/>
      </c>
    </row>
    <row r="1912">
      <c r="A1912" s="11" t="n"/>
      <c r="B1912" s="12" t="n"/>
      <c r="C1912" s="12" t="n"/>
      <c r="D1912" s="12" t="n"/>
      <c r="E1912" s="13" t="n"/>
      <c r="F1912" s="12" t="n"/>
      <c r="G1912" s="13" t="n"/>
      <c r="H1912" s="12" t="n"/>
      <c r="I1912" s="12" t="n"/>
      <c r="J1912" s="12" t="n"/>
      <c r="K1912" s="12" t="n"/>
      <c r="L1912" s="11" t="n"/>
      <c r="M1912" s="11" t="n"/>
      <c r="N1912" s="11" t="n"/>
      <c r="O1912" s="11" t="n"/>
      <c r="P1912" s="12" t="n"/>
      <c r="Q1912" s="11" t="n"/>
      <c r="R1912" s="12" t="n"/>
      <c r="S1912" s="11" t="n"/>
      <c r="T1912" s="12" t="n"/>
      <c r="U1912" s="12" t="n"/>
      <c r="V1912" s="14">
        <f>IF($AN1912="",IF($B1912="","",$H1912),IF(INDEX(職員マスタ!$B$6:$B$405,$AN1912)="",$H1912,INDEX(職員マスタ!$B$6:$B$405,$AN1912)))</f>
        <v/>
      </c>
      <c r="W1912" s="14">
        <f>IF($AN1912="",IF($B1912="","",$R1912),IF(INDEX(職員マスタ!$C$6:$C$405,$AN1912)="",$R1912,INDEX(職員マスタ!$C$6:$C$405,$AN1912)))</f>
        <v/>
      </c>
      <c r="X1912" s="14">
        <f>IF($AO1912="","","R"&amp;$C1912&amp;"."&amp;$D1912)</f>
        <v/>
      </c>
      <c r="Y1912" s="15">
        <f>IF($AN1912="","",IF(INDEX(職員マスタ!$K$6:$K$405,$AN1912)="","",INDEX(職員マスタ!$K$6:$K$405,$AN1912)))</f>
        <v/>
      </c>
      <c r="Z1912" s="14">
        <f>IF(OR($E1912="",$Y1912=""),"",IF($E1912&gt;=$Y1912,"×",IF($E1912&gt;=$Y1912*設定!$C$5,"△","○")))</f>
        <v/>
      </c>
      <c r="AA1912" s="15">
        <f>IF($Z1912="","",IF($Z1912="×",0,IF($Z1912="○",ROUNDDOWN($E1912*設定!$C$4,0),ROUNDDOWN($E1912*ROUND((9*$Y1912-9*$E1912)/(10*$E1912),4),0))))</f>
        <v/>
      </c>
      <c r="AB1912" s="13" t="n"/>
      <c r="AC1912" s="15">
        <f>IF($B1912="","",IF($AB1912&lt;&gt;"",$AB1912,IF($AA1912="","",IF($AA1912&lt;=設定!$C$3,0,$AA1912))))</f>
        <v/>
      </c>
      <c r="AD1912" s="14">
        <f>IF($B1912="","",IF(AND($AE1912&lt;&gt;"",$AG1912="",$AJ1912=""),"保留中",IF($AJ1912&lt;&gt;"",IF(N($AC1912)&gt;0,"支給済","不支給"),IF($AC1912="","要確認",IF($AC1912=0,"不支給","未処理")))))</f>
        <v/>
      </c>
      <c r="AE1912" s="12" t="n"/>
      <c r="AF1912" s="11" t="n"/>
      <c r="AG1912" s="11" t="n"/>
      <c r="AH1912" s="11" t="n"/>
      <c r="AI1912" s="14">
        <f>IF(AND($AD1912="保留中",$AF1912&lt;&gt;""),TODAY()-$AF1912,"")</f>
        <v/>
      </c>
      <c r="AJ1912" s="12" t="n"/>
      <c r="AK1912" s="14">
        <f>IF($B1912="","",IF($AO1912="","対象年月が未入力／","")&amp;IF($B1912="","",IF($AN1912="","職員マスタに未登録の職員番号／",IF($Y1912="","標準報酬月額が未登録／","")&amp;IF(AND($AO1912&lt;&gt;"",OR(AND(INDEX(職員マスタ!$G$6:$G$405,$AN1912)&lt;&gt;"",INDEX(職員マスタ!$G$6:$G$405,$AN1912)&gt;EOMONTH($AO1912,0)),AND(INDEX(職員マスタ!$H$6:$H$405,$AN1912)&lt;&gt;"",INDEX(職員マスタ!$H$6:$H$405,$AN1912)&lt;$AO1912))),"対象月が時短期間外／","")&amp;IF(AND(INDEX(職員マスタ!$F$6:$F$405,$AN1912)&lt;&gt;"",$AO1912&lt;&gt;"",INDEX(職員マスタ!$F$6:$F$405,$AN1912)&lt;$AO1912),"対象月に子が2歳到達済／","")&amp;IF(AND($H1912&lt;&gt;"",INDEX(職員マスタ!$B$6:$B$405,$AN1912)&lt;&gt;"",SUBSTITUTE(SUBSTITUTE($H1912," ","")," ","")&lt;&gt;SUBSTITUTE(SUBSTITUTE(INDEX(職員マスタ!$B$6:$B$405,$AN1912)," ","")," ","")),"氏名がマスタと相違／","")&amp;IF(AND($Q1912&lt;&gt;"",INDEX(職員マスタ!$E$6:$E$405,$AN1912)&lt;&gt;"",$Q1912&lt;&gt;INDEX(職員マスタ!$E$6:$E$405,$AN1912)),"子の生年月日がマスタと相違／","")&amp;IF(AND($L1912&lt;&gt;"",INDEX(職員マスタ!$G$6:$G$405,$AN1912)&lt;&gt;"",$L1912&lt;&gt;INDEX(職員マスタ!$G$6:$G$405,$AN1912)),"時短開始日がマスタと相違／","")&amp;IF(AND($M1912&lt;&gt;"",INDEX(職員マスタ!$H$6:$H$405,$AN1912)&lt;&gt;"",$M1912&lt;&gt;INDEX(職員マスタ!$H$6:$H$405,$AN1912)),"時短終了日がマスタと相違／","")))&amp;IF(AND($B1912&lt;&gt;"",$E1912=""),"報酬額が未入力／","")&amp;IF(N($U1912)&gt;0,"申請書に入力エラーが残っています／","")&amp;IF(AND($B1912&lt;&gt;"",$AO1912&lt;&gt;""),IF(COUNTIFS($B$6:$B$3005,$B1912,$C$6:$C$3005,$C1912,$D$6:$D$3005,$D1912)&gt;1,"同じ月の請求が重複しています／",""),"")&amp;IF(AND(N($E1912)&gt;0,$Z1912&lt;&gt;"",$Z1912&lt;&gt;"×",$AC1912=0,$AB1912=""),"計算額が下限以下のため不支給／",""))</f>
        <v/>
      </c>
      <c r="AL1912" s="12" t="n"/>
      <c r="AM1912" s="14">
        <f>IF($AD1912="保留中",COUNTIF($AD$6:$AD1912,"保留中"),"")</f>
        <v/>
      </c>
      <c r="AN1912" s="14">
        <f>IF($AO1912="","",IF(SUMPRODUCT(MAX((職員マスタ!$A$6:$A$405=$B1912)*(((職員マスタ!$G$6:$G$405="")+(職員マスタ!$G$6:$G$405&lt;=EOMONTH($AO1912,0)))&gt;0)*(((職員マスタ!$H$6:$H$405="")+(職員マスタ!$H$6:$H$405&gt;=$AO1912))&gt;0)*(ROW(職員マスタ!$A$6:$A$405)-5)))&gt;0,SUMPRODUCT(MAX((職員マスタ!$A$6:$A$405=$B1912)*(((職員マスタ!$G$6:$G$405="")+(職員マスタ!$G$6:$G$405&lt;=EOMONTH($AO1912,0)))&gt;0)*(((職員マスタ!$H$6:$H$405="")+(職員マスタ!$H$6:$H$405&gt;=$AO1912))&gt;0)*(ROW(職員マスタ!$A$6:$A$405)-5))),IFERROR(MATCH($B1912,職員マスタ!$A$6:$A$405,0),"")))</f>
        <v/>
      </c>
      <c r="AO1912" s="16">
        <f>IF(OR($B1912="",$C1912="",$D1912=""),"",DATE($C1912+2018,$D1912,1))</f>
        <v/>
      </c>
    </row>
    <row r="1913">
      <c r="A1913" s="11" t="n"/>
      <c r="B1913" s="12" t="n"/>
      <c r="C1913" s="12" t="n"/>
      <c r="D1913" s="12" t="n"/>
      <c r="E1913" s="13" t="n"/>
      <c r="F1913" s="12" t="n"/>
      <c r="G1913" s="13" t="n"/>
      <c r="H1913" s="12" t="n"/>
      <c r="I1913" s="12" t="n"/>
      <c r="J1913" s="12" t="n"/>
      <c r="K1913" s="12" t="n"/>
      <c r="L1913" s="11" t="n"/>
      <c r="M1913" s="11" t="n"/>
      <c r="N1913" s="11" t="n"/>
      <c r="O1913" s="11" t="n"/>
      <c r="P1913" s="12" t="n"/>
      <c r="Q1913" s="11" t="n"/>
      <c r="R1913" s="12" t="n"/>
      <c r="S1913" s="11" t="n"/>
      <c r="T1913" s="12" t="n"/>
      <c r="U1913" s="12" t="n"/>
      <c r="V1913" s="14">
        <f>IF($AN1913="",IF($B1913="","",$H1913),IF(INDEX(職員マスタ!$B$6:$B$405,$AN1913)="",$H1913,INDEX(職員マスタ!$B$6:$B$405,$AN1913)))</f>
        <v/>
      </c>
      <c r="W1913" s="14">
        <f>IF($AN1913="",IF($B1913="","",$R1913),IF(INDEX(職員マスタ!$C$6:$C$405,$AN1913)="",$R1913,INDEX(職員マスタ!$C$6:$C$405,$AN1913)))</f>
        <v/>
      </c>
      <c r="X1913" s="14">
        <f>IF($AO1913="","","R"&amp;$C1913&amp;"."&amp;$D1913)</f>
        <v/>
      </c>
      <c r="Y1913" s="15">
        <f>IF($AN1913="","",IF(INDEX(職員マスタ!$K$6:$K$405,$AN1913)="","",INDEX(職員マスタ!$K$6:$K$405,$AN1913)))</f>
        <v/>
      </c>
      <c r="Z1913" s="14">
        <f>IF(OR($E1913="",$Y1913=""),"",IF($E1913&gt;=$Y1913,"×",IF($E1913&gt;=$Y1913*設定!$C$5,"△","○")))</f>
        <v/>
      </c>
      <c r="AA1913" s="15">
        <f>IF($Z1913="","",IF($Z1913="×",0,IF($Z1913="○",ROUNDDOWN($E1913*設定!$C$4,0),ROUNDDOWN($E1913*ROUND((9*$Y1913-9*$E1913)/(10*$E1913),4),0))))</f>
        <v/>
      </c>
      <c r="AB1913" s="13" t="n"/>
      <c r="AC1913" s="15">
        <f>IF($B1913="","",IF($AB1913&lt;&gt;"",$AB1913,IF($AA1913="","",IF($AA1913&lt;=設定!$C$3,0,$AA1913))))</f>
        <v/>
      </c>
      <c r="AD1913" s="14">
        <f>IF($B1913="","",IF(AND($AE1913&lt;&gt;"",$AG1913="",$AJ1913=""),"保留中",IF($AJ1913&lt;&gt;"",IF(N($AC1913)&gt;0,"支給済","不支給"),IF($AC1913="","要確認",IF($AC1913=0,"不支給","未処理")))))</f>
        <v/>
      </c>
      <c r="AE1913" s="12" t="n"/>
      <c r="AF1913" s="11" t="n"/>
      <c r="AG1913" s="11" t="n"/>
      <c r="AH1913" s="11" t="n"/>
      <c r="AI1913" s="14">
        <f>IF(AND($AD1913="保留中",$AF1913&lt;&gt;""),TODAY()-$AF1913,"")</f>
        <v/>
      </c>
      <c r="AJ1913" s="12" t="n"/>
      <c r="AK1913" s="14">
        <f>IF($B1913="","",IF($AO1913="","対象年月が未入力／","")&amp;IF($B1913="","",IF($AN1913="","職員マスタに未登録の職員番号／",IF($Y1913="","標準報酬月額が未登録／","")&amp;IF(AND($AO1913&lt;&gt;"",OR(AND(INDEX(職員マスタ!$G$6:$G$405,$AN1913)&lt;&gt;"",INDEX(職員マスタ!$G$6:$G$405,$AN1913)&gt;EOMONTH($AO1913,0)),AND(INDEX(職員マスタ!$H$6:$H$405,$AN1913)&lt;&gt;"",INDEX(職員マスタ!$H$6:$H$405,$AN1913)&lt;$AO1913))),"対象月が時短期間外／","")&amp;IF(AND(INDEX(職員マスタ!$F$6:$F$405,$AN1913)&lt;&gt;"",$AO1913&lt;&gt;"",INDEX(職員マスタ!$F$6:$F$405,$AN1913)&lt;$AO1913),"対象月に子が2歳到達済／","")&amp;IF(AND($H1913&lt;&gt;"",INDEX(職員マスタ!$B$6:$B$405,$AN1913)&lt;&gt;"",SUBSTITUTE(SUBSTITUTE($H1913," ","")," ","")&lt;&gt;SUBSTITUTE(SUBSTITUTE(INDEX(職員マスタ!$B$6:$B$405,$AN1913)," ","")," ","")),"氏名がマスタと相違／","")&amp;IF(AND($Q1913&lt;&gt;"",INDEX(職員マスタ!$E$6:$E$405,$AN1913)&lt;&gt;"",$Q1913&lt;&gt;INDEX(職員マスタ!$E$6:$E$405,$AN1913)),"子の生年月日がマスタと相違／","")&amp;IF(AND($L1913&lt;&gt;"",INDEX(職員マスタ!$G$6:$G$405,$AN1913)&lt;&gt;"",$L1913&lt;&gt;INDEX(職員マスタ!$G$6:$G$405,$AN1913)),"時短開始日がマスタと相違／","")&amp;IF(AND($M1913&lt;&gt;"",INDEX(職員マスタ!$H$6:$H$405,$AN1913)&lt;&gt;"",$M1913&lt;&gt;INDEX(職員マスタ!$H$6:$H$405,$AN1913)),"時短終了日がマスタと相違／","")))&amp;IF(AND($B1913&lt;&gt;"",$E1913=""),"報酬額が未入力／","")&amp;IF(N($U1913)&gt;0,"申請書に入力エラーが残っています／","")&amp;IF(AND($B1913&lt;&gt;"",$AO1913&lt;&gt;""),IF(COUNTIFS($B$6:$B$3005,$B1913,$C$6:$C$3005,$C1913,$D$6:$D$3005,$D1913)&gt;1,"同じ月の請求が重複しています／",""),"")&amp;IF(AND(N($E1913)&gt;0,$Z1913&lt;&gt;"",$Z1913&lt;&gt;"×",$AC1913=0,$AB1913=""),"計算額が下限以下のため不支給／",""))</f>
        <v/>
      </c>
      <c r="AL1913" s="12" t="n"/>
      <c r="AM1913" s="14">
        <f>IF($AD1913="保留中",COUNTIF($AD$6:$AD1913,"保留中"),"")</f>
        <v/>
      </c>
      <c r="AN1913" s="14">
        <f>IF($AO1913="","",IF(SUMPRODUCT(MAX((職員マスタ!$A$6:$A$405=$B1913)*(((職員マスタ!$G$6:$G$405="")+(職員マスタ!$G$6:$G$405&lt;=EOMONTH($AO1913,0)))&gt;0)*(((職員マスタ!$H$6:$H$405="")+(職員マスタ!$H$6:$H$405&gt;=$AO1913))&gt;0)*(ROW(職員マスタ!$A$6:$A$405)-5)))&gt;0,SUMPRODUCT(MAX((職員マスタ!$A$6:$A$405=$B1913)*(((職員マスタ!$G$6:$G$405="")+(職員マスタ!$G$6:$G$405&lt;=EOMONTH($AO1913,0)))&gt;0)*(((職員マスタ!$H$6:$H$405="")+(職員マスタ!$H$6:$H$405&gt;=$AO1913))&gt;0)*(ROW(職員マスタ!$A$6:$A$405)-5))),IFERROR(MATCH($B1913,職員マスタ!$A$6:$A$405,0),"")))</f>
        <v/>
      </c>
      <c r="AO1913" s="16">
        <f>IF(OR($B1913="",$C1913="",$D1913=""),"",DATE($C1913+2018,$D1913,1))</f>
        <v/>
      </c>
    </row>
    <row r="1914">
      <c r="A1914" s="11" t="n"/>
      <c r="B1914" s="12" t="n"/>
      <c r="C1914" s="12" t="n"/>
      <c r="D1914" s="12" t="n"/>
      <c r="E1914" s="13" t="n"/>
      <c r="F1914" s="12" t="n"/>
      <c r="G1914" s="13" t="n"/>
      <c r="H1914" s="12" t="n"/>
      <c r="I1914" s="12" t="n"/>
      <c r="J1914" s="12" t="n"/>
      <c r="K1914" s="12" t="n"/>
      <c r="L1914" s="11" t="n"/>
      <c r="M1914" s="11" t="n"/>
      <c r="N1914" s="11" t="n"/>
      <c r="O1914" s="11" t="n"/>
      <c r="P1914" s="12" t="n"/>
      <c r="Q1914" s="11" t="n"/>
      <c r="R1914" s="12" t="n"/>
      <c r="S1914" s="11" t="n"/>
      <c r="T1914" s="12" t="n"/>
      <c r="U1914" s="12" t="n"/>
      <c r="V1914" s="14">
        <f>IF($AN1914="",IF($B1914="","",$H1914),IF(INDEX(職員マスタ!$B$6:$B$405,$AN1914)="",$H1914,INDEX(職員マスタ!$B$6:$B$405,$AN1914)))</f>
        <v/>
      </c>
      <c r="W1914" s="14">
        <f>IF($AN1914="",IF($B1914="","",$R1914),IF(INDEX(職員マスタ!$C$6:$C$405,$AN1914)="",$R1914,INDEX(職員マスタ!$C$6:$C$405,$AN1914)))</f>
        <v/>
      </c>
      <c r="X1914" s="14">
        <f>IF($AO1914="","","R"&amp;$C1914&amp;"."&amp;$D1914)</f>
        <v/>
      </c>
      <c r="Y1914" s="15">
        <f>IF($AN1914="","",IF(INDEX(職員マスタ!$K$6:$K$405,$AN1914)="","",INDEX(職員マスタ!$K$6:$K$405,$AN1914)))</f>
        <v/>
      </c>
      <c r="Z1914" s="14">
        <f>IF(OR($E1914="",$Y1914=""),"",IF($E1914&gt;=$Y1914,"×",IF($E1914&gt;=$Y1914*設定!$C$5,"△","○")))</f>
        <v/>
      </c>
      <c r="AA1914" s="15">
        <f>IF($Z1914="","",IF($Z1914="×",0,IF($Z1914="○",ROUNDDOWN($E1914*設定!$C$4,0),ROUNDDOWN($E1914*ROUND((9*$Y1914-9*$E1914)/(10*$E1914),4),0))))</f>
        <v/>
      </c>
      <c r="AB1914" s="13" t="n"/>
      <c r="AC1914" s="15">
        <f>IF($B1914="","",IF($AB1914&lt;&gt;"",$AB1914,IF($AA1914="","",IF($AA1914&lt;=設定!$C$3,0,$AA1914))))</f>
        <v/>
      </c>
      <c r="AD1914" s="14">
        <f>IF($B1914="","",IF(AND($AE1914&lt;&gt;"",$AG1914="",$AJ1914=""),"保留中",IF($AJ1914&lt;&gt;"",IF(N($AC1914)&gt;0,"支給済","不支給"),IF($AC1914="","要確認",IF($AC1914=0,"不支給","未処理")))))</f>
        <v/>
      </c>
      <c r="AE1914" s="12" t="n"/>
      <c r="AF1914" s="11" t="n"/>
      <c r="AG1914" s="11" t="n"/>
      <c r="AH1914" s="11" t="n"/>
      <c r="AI1914" s="14">
        <f>IF(AND($AD1914="保留中",$AF1914&lt;&gt;""),TODAY()-$AF1914,"")</f>
        <v/>
      </c>
      <c r="AJ1914" s="12" t="n"/>
      <c r="AK1914" s="14">
        <f>IF($B1914="","",IF($AO1914="","対象年月が未入力／","")&amp;IF($B1914="","",IF($AN1914="","職員マスタに未登録の職員番号／",IF($Y1914="","標準報酬月額が未登録／","")&amp;IF(AND($AO1914&lt;&gt;"",OR(AND(INDEX(職員マスタ!$G$6:$G$405,$AN1914)&lt;&gt;"",INDEX(職員マスタ!$G$6:$G$405,$AN1914)&gt;EOMONTH($AO1914,0)),AND(INDEX(職員マスタ!$H$6:$H$405,$AN1914)&lt;&gt;"",INDEX(職員マスタ!$H$6:$H$405,$AN1914)&lt;$AO1914))),"対象月が時短期間外／","")&amp;IF(AND(INDEX(職員マスタ!$F$6:$F$405,$AN1914)&lt;&gt;"",$AO1914&lt;&gt;"",INDEX(職員マスタ!$F$6:$F$405,$AN1914)&lt;$AO1914),"対象月に子が2歳到達済／","")&amp;IF(AND($H1914&lt;&gt;"",INDEX(職員マスタ!$B$6:$B$405,$AN1914)&lt;&gt;"",SUBSTITUTE(SUBSTITUTE($H1914," ","")," ","")&lt;&gt;SUBSTITUTE(SUBSTITUTE(INDEX(職員マスタ!$B$6:$B$405,$AN1914)," ","")," ","")),"氏名がマスタと相違／","")&amp;IF(AND($Q1914&lt;&gt;"",INDEX(職員マスタ!$E$6:$E$405,$AN1914)&lt;&gt;"",$Q1914&lt;&gt;INDEX(職員マスタ!$E$6:$E$405,$AN1914)),"子の生年月日がマスタと相違／","")&amp;IF(AND($L1914&lt;&gt;"",INDEX(職員マスタ!$G$6:$G$405,$AN1914)&lt;&gt;"",$L1914&lt;&gt;INDEX(職員マスタ!$G$6:$G$405,$AN1914)),"時短開始日がマスタと相違／","")&amp;IF(AND($M1914&lt;&gt;"",INDEX(職員マスタ!$H$6:$H$405,$AN1914)&lt;&gt;"",$M1914&lt;&gt;INDEX(職員マスタ!$H$6:$H$405,$AN1914)),"時短終了日がマスタと相違／","")))&amp;IF(AND($B1914&lt;&gt;"",$E1914=""),"報酬額が未入力／","")&amp;IF(N($U1914)&gt;0,"申請書に入力エラーが残っています／","")&amp;IF(AND($B1914&lt;&gt;"",$AO1914&lt;&gt;""),IF(COUNTIFS($B$6:$B$3005,$B1914,$C$6:$C$3005,$C1914,$D$6:$D$3005,$D1914)&gt;1,"同じ月の請求が重複しています／",""),"")&amp;IF(AND(N($E1914)&gt;0,$Z1914&lt;&gt;"",$Z1914&lt;&gt;"×",$AC1914=0,$AB1914=""),"計算額が下限以下のため不支給／",""))</f>
        <v/>
      </c>
      <c r="AL1914" s="12" t="n"/>
      <c r="AM1914" s="14">
        <f>IF($AD1914="保留中",COUNTIF($AD$6:$AD1914,"保留中"),"")</f>
        <v/>
      </c>
      <c r="AN1914" s="14">
        <f>IF($AO1914="","",IF(SUMPRODUCT(MAX((職員マスタ!$A$6:$A$405=$B1914)*(((職員マスタ!$G$6:$G$405="")+(職員マスタ!$G$6:$G$405&lt;=EOMONTH($AO1914,0)))&gt;0)*(((職員マスタ!$H$6:$H$405="")+(職員マスタ!$H$6:$H$405&gt;=$AO1914))&gt;0)*(ROW(職員マスタ!$A$6:$A$405)-5)))&gt;0,SUMPRODUCT(MAX((職員マスタ!$A$6:$A$405=$B1914)*(((職員マスタ!$G$6:$G$405="")+(職員マスタ!$G$6:$G$405&lt;=EOMONTH($AO1914,0)))&gt;0)*(((職員マスタ!$H$6:$H$405="")+(職員マスタ!$H$6:$H$405&gt;=$AO1914))&gt;0)*(ROW(職員マスタ!$A$6:$A$405)-5))),IFERROR(MATCH($B1914,職員マスタ!$A$6:$A$405,0),"")))</f>
        <v/>
      </c>
      <c r="AO1914" s="16">
        <f>IF(OR($B1914="",$C1914="",$D1914=""),"",DATE($C1914+2018,$D1914,1))</f>
        <v/>
      </c>
    </row>
    <row r="1915">
      <c r="A1915" s="11" t="n"/>
      <c r="B1915" s="12" t="n"/>
      <c r="C1915" s="12" t="n"/>
      <c r="D1915" s="12" t="n"/>
      <c r="E1915" s="13" t="n"/>
      <c r="F1915" s="12" t="n"/>
      <c r="G1915" s="13" t="n"/>
      <c r="H1915" s="12" t="n"/>
      <c r="I1915" s="12" t="n"/>
      <c r="J1915" s="12" t="n"/>
      <c r="K1915" s="12" t="n"/>
      <c r="L1915" s="11" t="n"/>
      <c r="M1915" s="11" t="n"/>
      <c r="N1915" s="11" t="n"/>
      <c r="O1915" s="11" t="n"/>
      <c r="P1915" s="12" t="n"/>
      <c r="Q1915" s="11" t="n"/>
      <c r="R1915" s="12" t="n"/>
      <c r="S1915" s="11" t="n"/>
      <c r="T1915" s="12" t="n"/>
      <c r="U1915" s="12" t="n"/>
      <c r="V1915" s="14">
        <f>IF($AN1915="",IF($B1915="","",$H1915),IF(INDEX(職員マスタ!$B$6:$B$405,$AN1915)="",$H1915,INDEX(職員マスタ!$B$6:$B$405,$AN1915)))</f>
        <v/>
      </c>
      <c r="W1915" s="14">
        <f>IF($AN1915="",IF($B1915="","",$R1915),IF(INDEX(職員マスタ!$C$6:$C$405,$AN1915)="",$R1915,INDEX(職員マスタ!$C$6:$C$405,$AN1915)))</f>
        <v/>
      </c>
      <c r="X1915" s="14">
        <f>IF($AO1915="","","R"&amp;$C1915&amp;"."&amp;$D1915)</f>
        <v/>
      </c>
      <c r="Y1915" s="15">
        <f>IF($AN1915="","",IF(INDEX(職員マスタ!$K$6:$K$405,$AN1915)="","",INDEX(職員マスタ!$K$6:$K$405,$AN1915)))</f>
        <v/>
      </c>
      <c r="Z1915" s="14">
        <f>IF(OR($E1915="",$Y1915=""),"",IF($E1915&gt;=$Y1915,"×",IF($E1915&gt;=$Y1915*設定!$C$5,"△","○")))</f>
        <v/>
      </c>
      <c r="AA1915" s="15">
        <f>IF($Z1915="","",IF($Z1915="×",0,IF($Z1915="○",ROUNDDOWN($E1915*設定!$C$4,0),ROUNDDOWN($E1915*ROUND((9*$Y1915-9*$E1915)/(10*$E1915),4),0))))</f>
        <v/>
      </c>
      <c r="AB1915" s="13" t="n"/>
      <c r="AC1915" s="15">
        <f>IF($B1915="","",IF($AB1915&lt;&gt;"",$AB1915,IF($AA1915="","",IF($AA1915&lt;=設定!$C$3,0,$AA1915))))</f>
        <v/>
      </c>
      <c r="AD1915" s="14">
        <f>IF($B1915="","",IF(AND($AE1915&lt;&gt;"",$AG1915="",$AJ1915=""),"保留中",IF($AJ1915&lt;&gt;"",IF(N($AC1915)&gt;0,"支給済","不支給"),IF($AC1915="","要確認",IF($AC1915=0,"不支給","未処理")))))</f>
        <v/>
      </c>
      <c r="AE1915" s="12" t="n"/>
      <c r="AF1915" s="11" t="n"/>
      <c r="AG1915" s="11" t="n"/>
      <c r="AH1915" s="11" t="n"/>
      <c r="AI1915" s="14">
        <f>IF(AND($AD1915="保留中",$AF1915&lt;&gt;""),TODAY()-$AF1915,"")</f>
        <v/>
      </c>
      <c r="AJ1915" s="12" t="n"/>
      <c r="AK1915" s="14">
        <f>IF($B1915="","",IF($AO1915="","対象年月が未入力／","")&amp;IF($B1915="","",IF($AN1915="","職員マスタに未登録の職員番号／",IF($Y1915="","標準報酬月額が未登録／","")&amp;IF(AND($AO1915&lt;&gt;"",OR(AND(INDEX(職員マスタ!$G$6:$G$405,$AN1915)&lt;&gt;"",INDEX(職員マスタ!$G$6:$G$405,$AN1915)&gt;EOMONTH($AO1915,0)),AND(INDEX(職員マスタ!$H$6:$H$405,$AN1915)&lt;&gt;"",INDEX(職員マスタ!$H$6:$H$405,$AN1915)&lt;$AO1915))),"対象月が時短期間外／","")&amp;IF(AND(INDEX(職員マスタ!$F$6:$F$405,$AN1915)&lt;&gt;"",$AO1915&lt;&gt;"",INDEX(職員マスタ!$F$6:$F$405,$AN1915)&lt;$AO1915),"対象月に子が2歳到達済／","")&amp;IF(AND($H1915&lt;&gt;"",INDEX(職員マスタ!$B$6:$B$405,$AN1915)&lt;&gt;"",SUBSTITUTE(SUBSTITUTE($H1915," ","")," ","")&lt;&gt;SUBSTITUTE(SUBSTITUTE(INDEX(職員マスタ!$B$6:$B$405,$AN1915)," ","")," ","")),"氏名がマスタと相違／","")&amp;IF(AND($Q1915&lt;&gt;"",INDEX(職員マスタ!$E$6:$E$405,$AN1915)&lt;&gt;"",$Q1915&lt;&gt;INDEX(職員マスタ!$E$6:$E$405,$AN1915)),"子の生年月日がマスタと相違／","")&amp;IF(AND($L1915&lt;&gt;"",INDEX(職員マスタ!$G$6:$G$405,$AN1915)&lt;&gt;"",$L1915&lt;&gt;INDEX(職員マスタ!$G$6:$G$405,$AN1915)),"時短開始日がマスタと相違／","")&amp;IF(AND($M1915&lt;&gt;"",INDEX(職員マスタ!$H$6:$H$405,$AN1915)&lt;&gt;"",$M1915&lt;&gt;INDEX(職員マスタ!$H$6:$H$405,$AN1915)),"時短終了日がマスタと相違／","")))&amp;IF(AND($B1915&lt;&gt;"",$E1915=""),"報酬額が未入力／","")&amp;IF(N($U1915)&gt;0,"申請書に入力エラーが残っています／","")&amp;IF(AND($B1915&lt;&gt;"",$AO1915&lt;&gt;""),IF(COUNTIFS($B$6:$B$3005,$B1915,$C$6:$C$3005,$C1915,$D$6:$D$3005,$D1915)&gt;1,"同じ月の請求が重複しています／",""),"")&amp;IF(AND(N($E1915)&gt;0,$Z1915&lt;&gt;"",$Z1915&lt;&gt;"×",$AC1915=0,$AB1915=""),"計算額が下限以下のため不支給／",""))</f>
        <v/>
      </c>
      <c r="AL1915" s="12" t="n"/>
      <c r="AM1915" s="14">
        <f>IF($AD1915="保留中",COUNTIF($AD$6:$AD1915,"保留中"),"")</f>
        <v/>
      </c>
      <c r="AN1915" s="14">
        <f>IF($AO1915="","",IF(SUMPRODUCT(MAX((職員マスタ!$A$6:$A$405=$B1915)*(((職員マスタ!$G$6:$G$405="")+(職員マスタ!$G$6:$G$405&lt;=EOMONTH($AO1915,0)))&gt;0)*(((職員マスタ!$H$6:$H$405="")+(職員マスタ!$H$6:$H$405&gt;=$AO1915))&gt;0)*(ROW(職員マスタ!$A$6:$A$405)-5)))&gt;0,SUMPRODUCT(MAX((職員マスタ!$A$6:$A$405=$B1915)*(((職員マスタ!$G$6:$G$405="")+(職員マスタ!$G$6:$G$405&lt;=EOMONTH($AO1915,0)))&gt;0)*(((職員マスタ!$H$6:$H$405="")+(職員マスタ!$H$6:$H$405&gt;=$AO1915))&gt;0)*(ROW(職員マスタ!$A$6:$A$405)-5))),IFERROR(MATCH($B1915,職員マスタ!$A$6:$A$405,0),"")))</f>
        <v/>
      </c>
      <c r="AO1915" s="16">
        <f>IF(OR($B1915="",$C1915="",$D1915=""),"",DATE($C1915+2018,$D1915,1))</f>
        <v/>
      </c>
    </row>
    <row r="1916">
      <c r="A1916" s="11" t="n"/>
      <c r="B1916" s="12" t="n"/>
      <c r="C1916" s="12" t="n"/>
      <c r="D1916" s="12" t="n"/>
      <c r="E1916" s="13" t="n"/>
      <c r="F1916" s="12" t="n"/>
      <c r="G1916" s="13" t="n"/>
      <c r="H1916" s="12" t="n"/>
      <c r="I1916" s="12" t="n"/>
      <c r="J1916" s="12" t="n"/>
      <c r="K1916" s="12" t="n"/>
      <c r="L1916" s="11" t="n"/>
      <c r="M1916" s="11" t="n"/>
      <c r="N1916" s="11" t="n"/>
      <c r="O1916" s="11" t="n"/>
      <c r="P1916" s="12" t="n"/>
      <c r="Q1916" s="11" t="n"/>
      <c r="R1916" s="12" t="n"/>
      <c r="S1916" s="11" t="n"/>
      <c r="T1916" s="12" t="n"/>
      <c r="U1916" s="12" t="n"/>
      <c r="V1916" s="14">
        <f>IF($AN1916="",IF($B1916="","",$H1916),IF(INDEX(職員マスタ!$B$6:$B$405,$AN1916)="",$H1916,INDEX(職員マスタ!$B$6:$B$405,$AN1916)))</f>
        <v/>
      </c>
      <c r="W1916" s="14">
        <f>IF($AN1916="",IF($B1916="","",$R1916),IF(INDEX(職員マスタ!$C$6:$C$405,$AN1916)="",$R1916,INDEX(職員マスタ!$C$6:$C$405,$AN1916)))</f>
        <v/>
      </c>
      <c r="X1916" s="14">
        <f>IF($AO1916="","","R"&amp;$C1916&amp;"."&amp;$D1916)</f>
        <v/>
      </c>
      <c r="Y1916" s="15">
        <f>IF($AN1916="","",IF(INDEX(職員マスタ!$K$6:$K$405,$AN1916)="","",INDEX(職員マスタ!$K$6:$K$405,$AN1916)))</f>
        <v/>
      </c>
      <c r="Z1916" s="14">
        <f>IF(OR($E1916="",$Y1916=""),"",IF($E1916&gt;=$Y1916,"×",IF($E1916&gt;=$Y1916*設定!$C$5,"△","○")))</f>
        <v/>
      </c>
      <c r="AA1916" s="15">
        <f>IF($Z1916="","",IF($Z1916="×",0,IF($Z1916="○",ROUNDDOWN($E1916*設定!$C$4,0),ROUNDDOWN($E1916*ROUND((9*$Y1916-9*$E1916)/(10*$E1916),4),0))))</f>
        <v/>
      </c>
      <c r="AB1916" s="13" t="n"/>
      <c r="AC1916" s="15">
        <f>IF($B1916="","",IF($AB1916&lt;&gt;"",$AB1916,IF($AA1916="","",IF($AA1916&lt;=設定!$C$3,0,$AA1916))))</f>
        <v/>
      </c>
      <c r="AD1916" s="14">
        <f>IF($B1916="","",IF(AND($AE1916&lt;&gt;"",$AG1916="",$AJ1916=""),"保留中",IF($AJ1916&lt;&gt;"",IF(N($AC1916)&gt;0,"支給済","不支給"),IF($AC1916="","要確認",IF($AC1916=0,"不支給","未処理")))))</f>
        <v/>
      </c>
      <c r="AE1916" s="12" t="n"/>
      <c r="AF1916" s="11" t="n"/>
      <c r="AG1916" s="11" t="n"/>
      <c r="AH1916" s="11" t="n"/>
      <c r="AI1916" s="14">
        <f>IF(AND($AD1916="保留中",$AF1916&lt;&gt;""),TODAY()-$AF1916,"")</f>
        <v/>
      </c>
      <c r="AJ1916" s="12" t="n"/>
      <c r="AK1916" s="14">
        <f>IF($B1916="","",IF($AO1916="","対象年月が未入力／","")&amp;IF($B1916="","",IF($AN1916="","職員マスタに未登録の職員番号／",IF($Y1916="","標準報酬月額が未登録／","")&amp;IF(AND($AO1916&lt;&gt;"",OR(AND(INDEX(職員マスタ!$G$6:$G$405,$AN1916)&lt;&gt;"",INDEX(職員マスタ!$G$6:$G$405,$AN1916)&gt;EOMONTH($AO1916,0)),AND(INDEX(職員マスタ!$H$6:$H$405,$AN1916)&lt;&gt;"",INDEX(職員マスタ!$H$6:$H$405,$AN1916)&lt;$AO1916))),"対象月が時短期間外／","")&amp;IF(AND(INDEX(職員マスタ!$F$6:$F$405,$AN1916)&lt;&gt;"",$AO1916&lt;&gt;"",INDEX(職員マスタ!$F$6:$F$405,$AN1916)&lt;$AO1916),"対象月に子が2歳到達済／","")&amp;IF(AND($H1916&lt;&gt;"",INDEX(職員マスタ!$B$6:$B$405,$AN1916)&lt;&gt;"",SUBSTITUTE(SUBSTITUTE($H1916," ","")," ","")&lt;&gt;SUBSTITUTE(SUBSTITUTE(INDEX(職員マスタ!$B$6:$B$405,$AN1916)," ","")," ","")),"氏名がマスタと相違／","")&amp;IF(AND($Q1916&lt;&gt;"",INDEX(職員マスタ!$E$6:$E$405,$AN1916)&lt;&gt;"",$Q1916&lt;&gt;INDEX(職員マスタ!$E$6:$E$405,$AN1916)),"子の生年月日がマスタと相違／","")&amp;IF(AND($L1916&lt;&gt;"",INDEX(職員マスタ!$G$6:$G$405,$AN1916)&lt;&gt;"",$L1916&lt;&gt;INDEX(職員マスタ!$G$6:$G$405,$AN1916)),"時短開始日がマスタと相違／","")&amp;IF(AND($M1916&lt;&gt;"",INDEX(職員マスタ!$H$6:$H$405,$AN1916)&lt;&gt;"",$M1916&lt;&gt;INDEX(職員マスタ!$H$6:$H$405,$AN1916)),"時短終了日がマスタと相違／","")))&amp;IF(AND($B1916&lt;&gt;"",$E1916=""),"報酬額が未入力／","")&amp;IF(N($U1916)&gt;0,"申請書に入力エラーが残っています／","")&amp;IF(AND($B1916&lt;&gt;"",$AO1916&lt;&gt;""),IF(COUNTIFS($B$6:$B$3005,$B1916,$C$6:$C$3005,$C1916,$D$6:$D$3005,$D1916)&gt;1,"同じ月の請求が重複しています／",""),"")&amp;IF(AND(N($E1916)&gt;0,$Z1916&lt;&gt;"",$Z1916&lt;&gt;"×",$AC1916=0,$AB1916=""),"計算額が下限以下のため不支給／",""))</f>
        <v/>
      </c>
      <c r="AL1916" s="12" t="n"/>
      <c r="AM1916" s="14">
        <f>IF($AD1916="保留中",COUNTIF($AD$6:$AD1916,"保留中"),"")</f>
        <v/>
      </c>
      <c r="AN1916" s="14">
        <f>IF($AO1916="","",IF(SUMPRODUCT(MAX((職員マスタ!$A$6:$A$405=$B1916)*(((職員マスタ!$G$6:$G$405="")+(職員マスタ!$G$6:$G$405&lt;=EOMONTH($AO1916,0)))&gt;0)*(((職員マスタ!$H$6:$H$405="")+(職員マスタ!$H$6:$H$405&gt;=$AO1916))&gt;0)*(ROW(職員マスタ!$A$6:$A$405)-5)))&gt;0,SUMPRODUCT(MAX((職員マスタ!$A$6:$A$405=$B1916)*(((職員マスタ!$G$6:$G$405="")+(職員マスタ!$G$6:$G$405&lt;=EOMONTH($AO1916,0)))&gt;0)*(((職員マスタ!$H$6:$H$405="")+(職員マスタ!$H$6:$H$405&gt;=$AO1916))&gt;0)*(ROW(職員マスタ!$A$6:$A$405)-5))),IFERROR(MATCH($B1916,職員マスタ!$A$6:$A$405,0),"")))</f>
        <v/>
      </c>
      <c r="AO1916" s="16">
        <f>IF(OR($B1916="",$C1916="",$D1916=""),"",DATE($C1916+2018,$D1916,1))</f>
        <v/>
      </c>
    </row>
    <row r="1917">
      <c r="A1917" s="11" t="n"/>
      <c r="B1917" s="12" t="n"/>
      <c r="C1917" s="12" t="n"/>
      <c r="D1917" s="12" t="n"/>
      <c r="E1917" s="13" t="n"/>
      <c r="F1917" s="12" t="n"/>
      <c r="G1917" s="13" t="n"/>
      <c r="H1917" s="12" t="n"/>
      <c r="I1917" s="12" t="n"/>
      <c r="J1917" s="12" t="n"/>
      <c r="K1917" s="12" t="n"/>
      <c r="L1917" s="11" t="n"/>
      <c r="M1917" s="11" t="n"/>
      <c r="N1917" s="11" t="n"/>
      <c r="O1917" s="11" t="n"/>
      <c r="P1917" s="12" t="n"/>
      <c r="Q1917" s="11" t="n"/>
      <c r="R1917" s="12" t="n"/>
      <c r="S1917" s="11" t="n"/>
      <c r="T1917" s="12" t="n"/>
      <c r="U1917" s="12" t="n"/>
      <c r="V1917" s="14">
        <f>IF($AN1917="",IF($B1917="","",$H1917),IF(INDEX(職員マスタ!$B$6:$B$405,$AN1917)="",$H1917,INDEX(職員マスタ!$B$6:$B$405,$AN1917)))</f>
        <v/>
      </c>
      <c r="W1917" s="14">
        <f>IF($AN1917="",IF($B1917="","",$R1917),IF(INDEX(職員マスタ!$C$6:$C$405,$AN1917)="",$R1917,INDEX(職員マスタ!$C$6:$C$405,$AN1917)))</f>
        <v/>
      </c>
      <c r="X1917" s="14">
        <f>IF($AO1917="","","R"&amp;$C1917&amp;"."&amp;$D1917)</f>
        <v/>
      </c>
      <c r="Y1917" s="15">
        <f>IF($AN1917="","",IF(INDEX(職員マスタ!$K$6:$K$405,$AN1917)="","",INDEX(職員マスタ!$K$6:$K$405,$AN1917)))</f>
        <v/>
      </c>
      <c r="Z1917" s="14">
        <f>IF(OR($E1917="",$Y1917=""),"",IF($E1917&gt;=$Y1917,"×",IF($E1917&gt;=$Y1917*設定!$C$5,"△","○")))</f>
        <v/>
      </c>
      <c r="AA1917" s="15">
        <f>IF($Z1917="","",IF($Z1917="×",0,IF($Z1917="○",ROUNDDOWN($E1917*設定!$C$4,0),ROUNDDOWN($E1917*ROUND((9*$Y1917-9*$E1917)/(10*$E1917),4),0))))</f>
        <v/>
      </c>
      <c r="AB1917" s="13" t="n"/>
      <c r="AC1917" s="15">
        <f>IF($B1917="","",IF($AB1917&lt;&gt;"",$AB1917,IF($AA1917="","",IF($AA1917&lt;=設定!$C$3,0,$AA1917))))</f>
        <v/>
      </c>
      <c r="AD1917" s="14">
        <f>IF($B1917="","",IF(AND($AE1917&lt;&gt;"",$AG1917="",$AJ1917=""),"保留中",IF($AJ1917&lt;&gt;"",IF(N($AC1917)&gt;0,"支給済","不支給"),IF($AC1917="","要確認",IF($AC1917=0,"不支給","未処理")))))</f>
        <v/>
      </c>
      <c r="AE1917" s="12" t="n"/>
      <c r="AF1917" s="11" t="n"/>
      <c r="AG1917" s="11" t="n"/>
      <c r="AH1917" s="11" t="n"/>
      <c r="AI1917" s="14">
        <f>IF(AND($AD1917="保留中",$AF1917&lt;&gt;""),TODAY()-$AF1917,"")</f>
        <v/>
      </c>
      <c r="AJ1917" s="12" t="n"/>
      <c r="AK1917" s="14">
        <f>IF($B1917="","",IF($AO1917="","対象年月が未入力／","")&amp;IF($B1917="","",IF($AN1917="","職員マスタに未登録の職員番号／",IF($Y1917="","標準報酬月額が未登録／","")&amp;IF(AND($AO1917&lt;&gt;"",OR(AND(INDEX(職員マスタ!$G$6:$G$405,$AN1917)&lt;&gt;"",INDEX(職員マスタ!$G$6:$G$405,$AN1917)&gt;EOMONTH($AO1917,0)),AND(INDEX(職員マスタ!$H$6:$H$405,$AN1917)&lt;&gt;"",INDEX(職員マスタ!$H$6:$H$405,$AN1917)&lt;$AO1917))),"対象月が時短期間外／","")&amp;IF(AND(INDEX(職員マスタ!$F$6:$F$405,$AN1917)&lt;&gt;"",$AO1917&lt;&gt;"",INDEX(職員マスタ!$F$6:$F$405,$AN1917)&lt;$AO1917),"対象月に子が2歳到達済／","")&amp;IF(AND($H1917&lt;&gt;"",INDEX(職員マスタ!$B$6:$B$405,$AN1917)&lt;&gt;"",SUBSTITUTE(SUBSTITUTE($H1917," ","")," ","")&lt;&gt;SUBSTITUTE(SUBSTITUTE(INDEX(職員マスタ!$B$6:$B$405,$AN1917)," ","")," ","")),"氏名がマスタと相違／","")&amp;IF(AND($Q1917&lt;&gt;"",INDEX(職員マスタ!$E$6:$E$405,$AN1917)&lt;&gt;"",$Q1917&lt;&gt;INDEX(職員マスタ!$E$6:$E$405,$AN1917)),"子の生年月日がマスタと相違／","")&amp;IF(AND($L1917&lt;&gt;"",INDEX(職員マスタ!$G$6:$G$405,$AN1917)&lt;&gt;"",$L1917&lt;&gt;INDEX(職員マスタ!$G$6:$G$405,$AN1917)),"時短開始日がマスタと相違／","")&amp;IF(AND($M1917&lt;&gt;"",INDEX(職員マスタ!$H$6:$H$405,$AN1917)&lt;&gt;"",$M1917&lt;&gt;INDEX(職員マスタ!$H$6:$H$405,$AN1917)),"時短終了日がマスタと相違／","")))&amp;IF(AND($B1917&lt;&gt;"",$E1917=""),"報酬額が未入力／","")&amp;IF(N($U1917)&gt;0,"申請書に入力エラーが残っています／","")&amp;IF(AND($B1917&lt;&gt;"",$AO1917&lt;&gt;""),IF(COUNTIFS($B$6:$B$3005,$B1917,$C$6:$C$3005,$C1917,$D$6:$D$3005,$D1917)&gt;1,"同じ月の請求が重複しています／",""),"")&amp;IF(AND(N($E1917)&gt;0,$Z1917&lt;&gt;"",$Z1917&lt;&gt;"×",$AC1917=0,$AB1917=""),"計算額が下限以下のため不支給／",""))</f>
        <v/>
      </c>
      <c r="AL1917" s="12" t="n"/>
      <c r="AM1917" s="14">
        <f>IF($AD1917="保留中",COUNTIF($AD$6:$AD1917,"保留中"),"")</f>
        <v/>
      </c>
      <c r="AN1917" s="14">
        <f>IF($AO1917="","",IF(SUMPRODUCT(MAX((職員マスタ!$A$6:$A$405=$B1917)*(((職員マスタ!$G$6:$G$405="")+(職員マスタ!$G$6:$G$405&lt;=EOMONTH($AO1917,0)))&gt;0)*(((職員マスタ!$H$6:$H$405="")+(職員マスタ!$H$6:$H$405&gt;=$AO1917))&gt;0)*(ROW(職員マスタ!$A$6:$A$405)-5)))&gt;0,SUMPRODUCT(MAX((職員マスタ!$A$6:$A$405=$B1917)*(((職員マスタ!$G$6:$G$405="")+(職員マスタ!$G$6:$G$405&lt;=EOMONTH($AO1917,0)))&gt;0)*(((職員マスタ!$H$6:$H$405="")+(職員マスタ!$H$6:$H$405&gt;=$AO1917))&gt;0)*(ROW(職員マスタ!$A$6:$A$405)-5))),IFERROR(MATCH($B1917,職員マスタ!$A$6:$A$405,0),"")))</f>
        <v/>
      </c>
      <c r="AO1917" s="16">
        <f>IF(OR($B1917="",$C1917="",$D1917=""),"",DATE($C1917+2018,$D1917,1))</f>
        <v/>
      </c>
    </row>
    <row r="1918">
      <c r="A1918" s="11" t="n"/>
      <c r="B1918" s="12" t="n"/>
      <c r="C1918" s="12" t="n"/>
      <c r="D1918" s="12" t="n"/>
      <c r="E1918" s="13" t="n"/>
      <c r="F1918" s="12" t="n"/>
      <c r="G1918" s="13" t="n"/>
      <c r="H1918" s="12" t="n"/>
      <c r="I1918" s="12" t="n"/>
      <c r="J1918" s="12" t="n"/>
      <c r="K1918" s="12" t="n"/>
      <c r="L1918" s="11" t="n"/>
      <c r="M1918" s="11" t="n"/>
      <c r="N1918" s="11" t="n"/>
      <c r="O1918" s="11" t="n"/>
      <c r="P1918" s="12" t="n"/>
      <c r="Q1918" s="11" t="n"/>
      <c r="R1918" s="12" t="n"/>
      <c r="S1918" s="11" t="n"/>
      <c r="T1918" s="12" t="n"/>
      <c r="U1918" s="12" t="n"/>
      <c r="V1918" s="14">
        <f>IF($AN1918="",IF($B1918="","",$H1918),IF(INDEX(職員マスタ!$B$6:$B$405,$AN1918)="",$H1918,INDEX(職員マスタ!$B$6:$B$405,$AN1918)))</f>
        <v/>
      </c>
      <c r="W1918" s="14">
        <f>IF($AN1918="",IF($B1918="","",$R1918),IF(INDEX(職員マスタ!$C$6:$C$405,$AN1918)="",$R1918,INDEX(職員マスタ!$C$6:$C$405,$AN1918)))</f>
        <v/>
      </c>
      <c r="X1918" s="14">
        <f>IF($AO1918="","","R"&amp;$C1918&amp;"."&amp;$D1918)</f>
        <v/>
      </c>
      <c r="Y1918" s="15">
        <f>IF($AN1918="","",IF(INDEX(職員マスタ!$K$6:$K$405,$AN1918)="","",INDEX(職員マスタ!$K$6:$K$405,$AN1918)))</f>
        <v/>
      </c>
      <c r="Z1918" s="14">
        <f>IF(OR($E1918="",$Y1918=""),"",IF($E1918&gt;=$Y1918,"×",IF($E1918&gt;=$Y1918*設定!$C$5,"△","○")))</f>
        <v/>
      </c>
      <c r="AA1918" s="15">
        <f>IF($Z1918="","",IF($Z1918="×",0,IF($Z1918="○",ROUNDDOWN($E1918*設定!$C$4,0),ROUNDDOWN($E1918*ROUND((9*$Y1918-9*$E1918)/(10*$E1918),4),0))))</f>
        <v/>
      </c>
      <c r="AB1918" s="13" t="n"/>
      <c r="AC1918" s="15">
        <f>IF($B1918="","",IF($AB1918&lt;&gt;"",$AB1918,IF($AA1918="","",IF($AA1918&lt;=設定!$C$3,0,$AA1918))))</f>
        <v/>
      </c>
      <c r="AD1918" s="14">
        <f>IF($B1918="","",IF(AND($AE1918&lt;&gt;"",$AG1918="",$AJ1918=""),"保留中",IF($AJ1918&lt;&gt;"",IF(N($AC1918)&gt;0,"支給済","不支給"),IF($AC1918="","要確認",IF($AC1918=0,"不支給","未処理")))))</f>
        <v/>
      </c>
      <c r="AE1918" s="12" t="n"/>
      <c r="AF1918" s="11" t="n"/>
      <c r="AG1918" s="11" t="n"/>
      <c r="AH1918" s="11" t="n"/>
      <c r="AI1918" s="14">
        <f>IF(AND($AD1918="保留中",$AF1918&lt;&gt;""),TODAY()-$AF1918,"")</f>
        <v/>
      </c>
      <c r="AJ1918" s="12" t="n"/>
      <c r="AK1918" s="14">
        <f>IF($B1918="","",IF($AO1918="","対象年月が未入力／","")&amp;IF($B1918="","",IF($AN1918="","職員マスタに未登録の職員番号／",IF($Y1918="","標準報酬月額が未登録／","")&amp;IF(AND($AO1918&lt;&gt;"",OR(AND(INDEX(職員マスタ!$G$6:$G$405,$AN1918)&lt;&gt;"",INDEX(職員マスタ!$G$6:$G$405,$AN1918)&gt;EOMONTH($AO1918,0)),AND(INDEX(職員マスタ!$H$6:$H$405,$AN1918)&lt;&gt;"",INDEX(職員マスタ!$H$6:$H$405,$AN1918)&lt;$AO1918))),"対象月が時短期間外／","")&amp;IF(AND(INDEX(職員マスタ!$F$6:$F$405,$AN1918)&lt;&gt;"",$AO1918&lt;&gt;"",INDEX(職員マスタ!$F$6:$F$405,$AN1918)&lt;$AO1918),"対象月に子が2歳到達済／","")&amp;IF(AND($H1918&lt;&gt;"",INDEX(職員マスタ!$B$6:$B$405,$AN1918)&lt;&gt;"",SUBSTITUTE(SUBSTITUTE($H1918," ","")," ","")&lt;&gt;SUBSTITUTE(SUBSTITUTE(INDEX(職員マスタ!$B$6:$B$405,$AN1918)," ","")," ","")),"氏名がマスタと相違／","")&amp;IF(AND($Q1918&lt;&gt;"",INDEX(職員マスタ!$E$6:$E$405,$AN1918)&lt;&gt;"",$Q1918&lt;&gt;INDEX(職員マスタ!$E$6:$E$405,$AN1918)),"子の生年月日がマスタと相違／","")&amp;IF(AND($L1918&lt;&gt;"",INDEX(職員マスタ!$G$6:$G$405,$AN1918)&lt;&gt;"",$L1918&lt;&gt;INDEX(職員マスタ!$G$6:$G$405,$AN1918)),"時短開始日がマスタと相違／","")&amp;IF(AND($M1918&lt;&gt;"",INDEX(職員マスタ!$H$6:$H$405,$AN1918)&lt;&gt;"",$M1918&lt;&gt;INDEX(職員マスタ!$H$6:$H$405,$AN1918)),"時短終了日がマスタと相違／","")))&amp;IF(AND($B1918&lt;&gt;"",$E1918=""),"報酬額が未入力／","")&amp;IF(N($U1918)&gt;0,"申請書に入力エラーが残っています／","")&amp;IF(AND($B1918&lt;&gt;"",$AO1918&lt;&gt;""),IF(COUNTIFS($B$6:$B$3005,$B1918,$C$6:$C$3005,$C1918,$D$6:$D$3005,$D1918)&gt;1,"同じ月の請求が重複しています／",""),"")&amp;IF(AND(N($E1918)&gt;0,$Z1918&lt;&gt;"",$Z1918&lt;&gt;"×",$AC1918=0,$AB1918=""),"計算額が下限以下のため不支給／",""))</f>
        <v/>
      </c>
      <c r="AL1918" s="12" t="n"/>
      <c r="AM1918" s="14">
        <f>IF($AD1918="保留中",COUNTIF($AD$6:$AD1918,"保留中"),"")</f>
        <v/>
      </c>
      <c r="AN1918" s="14">
        <f>IF($AO1918="","",IF(SUMPRODUCT(MAX((職員マスタ!$A$6:$A$405=$B1918)*(((職員マスタ!$G$6:$G$405="")+(職員マスタ!$G$6:$G$405&lt;=EOMONTH($AO1918,0)))&gt;0)*(((職員マスタ!$H$6:$H$405="")+(職員マスタ!$H$6:$H$405&gt;=$AO1918))&gt;0)*(ROW(職員マスタ!$A$6:$A$405)-5)))&gt;0,SUMPRODUCT(MAX((職員マスタ!$A$6:$A$405=$B1918)*(((職員マスタ!$G$6:$G$405="")+(職員マスタ!$G$6:$G$405&lt;=EOMONTH($AO1918,0)))&gt;0)*(((職員マスタ!$H$6:$H$405="")+(職員マスタ!$H$6:$H$405&gt;=$AO1918))&gt;0)*(ROW(職員マスタ!$A$6:$A$405)-5))),IFERROR(MATCH($B1918,職員マスタ!$A$6:$A$405,0),"")))</f>
        <v/>
      </c>
      <c r="AO1918" s="16">
        <f>IF(OR($B1918="",$C1918="",$D1918=""),"",DATE($C1918+2018,$D1918,1))</f>
        <v/>
      </c>
    </row>
    <row r="1919">
      <c r="A1919" s="11" t="n"/>
      <c r="B1919" s="12" t="n"/>
      <c r="C1919" s="12" t="n"/>
      <c r="D1919" s="12" t="n"/>
      <c r="E1919" s="13" t="n"/>
      <c r="F1919" s="12" t="n"/>
      <c r="G1919" s="13" t="n"/>
      <c r="H1919" s="12" t="n"/>
      <c r="I1919" s="12" t="n"/>
      <c r="J1919" s="12" t="n"/>
      <c r="K1919" s="12" t="n"/>
      <c r="L1919" s="11" t="n"/>
      <c r="M1919" s="11" t="n"/>
      <c r="N1919" s="11" t="n"/>
      <c r="O1919" s="11" t="n"/>
      <c r="P1919" s="12" t="n"/>
      <c r="Q1919" s="11" t="n"/>
      <c r="R1919" s="12" t="n"/>
      <c r="S1919" s="11" t="n"/>
      <c r="T1919" s="12" t="n"/>
      <c r="U1919" s="12" t="n"/>
      <c r="V1919" s="14">
        <f>IF($AN1919="",IF($B1919="","",$H1919),IF(INDEX(職員マスタ!$B$6:$B$405,$AN1919)="",$H1919,INDEX(職員マスタ!$B$6:$B$405,$AN1919)))</f>
        <v/>
      </c>
      <c r="W1919" s="14">
        <f>IF($AN1919="",IF($B1919="","",$R1919),IF(INDEX(職員マスタ!$C$6:$C$405,$AN1919)="",$R1919,INDEX(職員マスタ!$C$6:$C$405,$AN1919)))</f>
        <v/>
      </c>
      <c r="X1919" s="14">
        <f>IF($AO1919="","","R"&amp;$C1919&amp;"."&amp;$D1919)</f>
        <v/>
      </c>
      <c r="Y1919" s="15">
        <f>IF($AN1919="","",IF(INDEX(職員マスタ!$K$6:$K$405,$AN1919)="","",INDEX(職員マスタ!$K$6:$K$405,$AN1919)))</f>
        <v/>
      </c>
      <c r="Z1919" s="14">
        <f>IF(OR($E1919="",$Y1919=""),"",IF($E1919&gt;=$Y1919,"×",IF($E1919&gt;=$Y1919*設定!$C$5,"△","○")))</f>
        <v/>
      </c>
      <c r="AA1919" s="15">
        <f>IF($Z1919="","",IF($Z1919="×",0,IF($Z1919="○",ROUNDDOWN($E1919*設定!$C$4,0),ROUNDDOWN($E1919*ROUND((9*$Y1919-9*$E1919)/(10*$E1919),4),0))))</f>
        <v/>
      </c>
      <c r="AB1919" s="13" t="n"/>
      <c r="AC1919" s="15">
        <f>IF($B1919="","",IF($AB1919&lt;&gt;"",$AB1919,IF($AA1919="","",IF($AA1919&lt;=設定!$C$3,0,$AA1919))))</f>
        <v/>
      </c>
      <c r="AD1919" s="14">
        <f>IF($B1919="","",IF(AND($AE1919&lt;&gt;"",$AG1919="",$AJ1919=""),"保留中",IF($AJ1919&lt;&gt;"",IF(N($AC1919)&gt;0,"支給済","不支給"),IF($AC1919="","要確認",IF($AC1919=0,"不支給","未処理")))))</f>
        <v/>
      </c>
      <c r="AE1919" s="12" t="n"/>
      <c r="AF1919" s="11" t="n"/>
      <c r="AG1919" s="11" t="n"/>
      <c r="AH1919" s="11" t="n"/>
      <c r="AI1919" s="14">
        <f>IF(AND($AD1919="保留中",$AF1919&lt;&gt;""),TODAY()-$AF1919,"")</f>
        <v/>
      </c>
      <c r="AJ1919" s="12" t="n"/>
      <c r="AK1919" s="14">
        <f>IF($B1919="","",IF($AO1919="","対象年月が未入力／","")&amp;IF($B1919="","",IF($AN1919="","職員マスタに未登録の職員番号／",IF($Y1919="","標準報酬月額が未登録／","")&amp;IF(AND($AO1919&lt;&gt;"",OR(AND(INDEX(職員マスタ!$G$6:$G$405,$AN1919)&lt;&gt;"",INDEX(職員マスタ!$G$6:$G$405,$AN1919)&gt;EOMONTH($AO1919,0)),AND(INDEX(職員マスタ!$H$6:$H$405,$AN1919)&lt;&gt;"",INDEX(職員マスタ!$H$6:$H$405,$AN1919)&lt;$AO1919))),"対象月が時短期間外／","")&amp;IF(AND(INDEX(職員マスタ!$F$6:$F$405,$AN1919)&lt;&gt;"",$AO1919&lt;&gt;"",INDEX(職員マスタ!$F$6:$F$405,$AN1919)&lt;$AO1919),"対象月に子が2歳到達済／","")&amp;IF(AND($H1919&lt;&gt;"",INDEX(職員マスタ!$B$6:$B$405,$AN1919)&lt;&gt;"",SUBSTITUTE(SUBSTITUTE($H1919," ","")," ","")&lt;&gt;SUBSTITUTE(SUBSTITUTE(INDEX(職員マスタ!$B$6:$B$405,$AN1919)," ","")," ","")),"氏名がマスタと相違／","")&amp;IF(AND($Q1919&lt;&gt;"",INDEX(職員マスタ!$E$6:$E$405,$AN1919)&lt;&gt;"",$Q1919&lt;&gt;INDEX(職員マスタ!$E$6:$E$405,$AN1919)),"子の生年月日がマスタと相違／","")&amp;IF(AND($L1919&lt;&gt;"",INDEX(職員マスタ!$G$6:$G$405,$AN1919)&lt;&gt;"",$L1919&lt;&gt;INDEX(職員マスタ!$G$6:$G$405,$AN1919)),"時短開始日がマスタと相違／","")&amp;IF(AND($M1919&lt;&gt;"",INDEX(職員マスタ!$H$6:$H$405,$AN1919)&lt;&gt;"",$M1919&lt;&gt;INDEX(職員マスタ!$H$6:$H$405,$AN1919)),"時短終了日がマスタと相違／","")))&amp;IF(AND($B1919&lt;&gt;"",$E1919=""),"報酬額が未入力／","")&amp;IF(N($U1919)&gt;0,"申請書に入力エラーが残っています／","")&amp;IF(AND($B1919&lt;&gt;"",$AO1919&lt;&gt;""),IF(COUNTIFS($B$6:$B$3005,$B1919,$C$6:$C$3005,$C1919,$D$6:$D$3005,$D1919)&gt;1,"同じ月の請求が重複しています／",""),"")&amp;IF(AND(N($E1919)&gt;0,$Z1919&lt;&gt;"",$Z1919&lt;&gt;"×",$AC1919=0,$AB1919=""),"計算額が下限以下のため不支給／",""))</f>
        <v/>
      </c>
      <c r="AL1919" s="12" t="n"/>
      <c r="AM1919" s="14">
        <f>IF($AD1919="保留中",COUNTIF($AD$6:$AD1919,"保留中"),"")</f>
        <v/>
      </c>
      <c r="AN1919" s="14">
        <f>IF($AO1919="","",IF(SUMPRODUCT(MAX((職員マスタ!$A$6:$A$405=$B1919)*(((職員マスタ!$G$6:$G$405="")+(職員マスタ!$G$6:$G$405&lt;=EOMONTH($AO1919,0)))&gt;0)*(((職員マスタ!$H$6:$H$405="")+(職員マスタ!$H$6:$H$405&gt;=$AO1919))&gt;0)*(ROW(職員マスタ!$A$6:$A$405)-5)))&gt;0,SUMPRODUCT(MAX((職員マスタ!$A$6:$A$405=$B1919)*(((職員マスタ!$G$6:$G$405="")+(職員マスタ!$G$6:$G$405&lt;=EOMONTH($AO1919,0)))&gt;0)*(((職員マスタ!$H$6:$H$405="")+(職員マスタ!$H$6:$H$405&gt;=$AO1919))&gt;0)*(ROW(職員マスタ!$A$6:$A$405)-5))),IFERROR(MATCH($B1919,職員マスタ!$A$6:$A$405,0),"")))</f>
        <v/>
      </c>
      <c r="AO1919" s="16">
        <f>IF(OR($B1919="",$C1919="",$D1919=""),"",DATE($C1919+2018,$D1919,1))</f>
        <v/>
      </c>
    </row>
    <row r="1920">
      <c r="A1920" s="11" t="n"/>
      <c r="B1920" s="12" t="n"/>
      <c r="C1920" s="12" t="n"/>
      <c r="D1920" s="12" t="n"/>
      <c r="E1920" s="13" t="n"/>
      <c r="F1920" s="12" t="n"/>
      <c r="G1920" s="13" t="n"/>
      <c r="H1920" s="12" t="n"/>
      <c r="I1920" s="12" t="n"/>
      <c r="J1920" s="12" t="n"/>
      <c r="K1920" s="12" t="n"/>
      <c r="L1920" s="11" t="n"/>
      <c r="M1920" s="11" t="n"/>
      <c r="N1920" s="11" t="n"/>
      <c r="O1920" s="11" t="n"/>
      <c r="P1920" s="12" t="n"/>
      <c r="Q1920" s="11" t="n"/>
      <c r="R1920" s="12" t="n"/>
      <c r="S1920" s="11" t="n"/>
      <c r="T1920" s="12" t="n"/>
      <c r="U1920" s="12" t="n"/>
      <c r="V1920" s="14">
        <f>IF($AN1920="",IF($B1920="","",$H1920),IF(INDEX(職員マスタ!$B$6:$B$405,$AN1920)="",$H1920,INDEX(職員マスタ!$B$6:$B$405,$AN1920)))</f>
        <v/>
      </c>
      <c r="W1920" s="14">
        <f>IF($AN1920="",IF($B1920="","",$R1920),IF(INDEX(職員マスタ!$C$6:$C$405,$AN1920)="",$R1920,INDEX(職員マスタ!$C$6:$C$405,$AN1920)))</f>
        <v/>
      </c>
      <c r="X1920" s="14">
        <f>IF($AO1920="","","R"&amp;$C1920&amp;"."&amp;$D1920)</f>
        <v/>
      </c>
      <c r="Y1920" s="15">
        <f>IF($AN1920="","",IF(INDEX(職員マスタ!$K$6:$K$405,$AN1920)="","",INDEX(職員マスタ!$K$6:$K$405,$AN1920)))</f>
        <v/>
      </c>
      <c r="Z1920" s="14">
        <f>IF(OR($E1920="",$Y1920=""),"",IF($E1920&gt;=$Y1920,"×",IF($E1920&gt;=$Y1920*設定!$C$5,"△","○")))</f>
        <v/>
      </c>
      <c r="AA1920" s="15">
        <f>IF($Z1920="","",IF($Z1920="×",0,IF($Z1920="○",ROUNDDOWN($E1920*設定!$C$4,0),ROUNDDOWN($E1920*ROUND((9*$Y1920-9*$E1920)/(10*$E1920),4),0))))</f>
        <v/>
      </c>
      <c r="AB1920" s="13" t="n"/>
      <c r="AC1920" s="15">
        <f>IF($B1920="","",IF($AB1920&lt;&gt;"",$AB1920,IF($AA1920="","",IF($AA1920&lt;=設定!$C$3,0,$AA1920))))</f>
        <v/>
      </c>
      <c r="AD1920" s="14">
        <f>IF($B1920="","",IF(AND($AE1920&lt;&gt;"",$AG1920="",$AJ1920=""),"保留中",IF($AJ1920&lt;&gt;"",IF(N($AC1920)&gt;0,"支給済","不支給"),IF($AC1920="","要確認",IF($AC1920=0,"不支給","未処理")))))</f>
        <v/>
      </c>
      <c r="AE1920" s="12" t="n"/>
      <c r="AF1920" s="11" t="n"/>
      <c r="AG1920" s="11" t="n"/>
      <c r="AH1920" s="11" t="n"/>
      <c r="AI1920" s="14">
        <f>IF(AND($AD1920="保留中",$AF1920&lt;&gt;""),TODAY()-$AF1920,"")</f>
        <v/>
      </c>
      <c r="AJ1920" s="12" t="n"/>
      <c r="AK1920" s="14">
        <f>IF($B1920="","",IF($AO1920="","対象年月が未入力／","")&amp;IF($B1920="","",IF($AN1920="","職員マスタに未登録の職員番号／",IF($Y1920="","標準報酬月額が未登録／","")&amp;IF(AND($AO1920&lt;&gt;"",OR(AND(INDEX(職員マスタ!$G$6:$G$405,$AN1920)&lt;&gt;"",INDEX(職員マスタ!$G$6:$G$405,$AN1920)&gt;EOMONTH($AO1920,0)),AND(INDEX(職員マスタ!$H$6:$H$405,$AN1920)&lt;&gt;"",INDEX(職員マスタ!$H$6:$H$405,$AN1920)&lt;$AO1920))),"対象月が時短期間外／","")&amp;IF(AND(INDEX(職員マスタ!$F$6:$F$405,$AN1920)&lt;&gt;"",$AO1920&lt;&gt;"",INDEX(職員マスタ!$F$6:$F$405,$AN1920)&lt;$AO1920),"対象月に子が2歳到達済／","")&amp;IF(AND($H1920&lt;&gt;"",INDEX(職員マスタ!$B$6:$B$405,$AN1920)&lt;&gt;"",SUBSTITUTE(SUBSTITUTE($H1920," ","")," ","")&lt;&gt;SUBSTITUTE(SUBSTITUTE(INDEX(職員マスタ!$B$6:$B$405,$AN1920)," ","")," ","")),"氏名がマスタと相違／","")&amp;IF(AND($Q1920&lt;&gt;"",INDEX(職員マスタ!$E$6:$E$405,$AN1920)&lt;&gt;"",$Q1920&lt;&gt;INDEX(職員マスタ!$E$6:$E$405,$AN1920)),"子の生年月日がマスタと相違／","")&amp;IF(AND($L1920&lt;&gt;"",INDEX(職員マスタ!$G$6:$G$405,$AN1920)&lt;&gt;"",$L1920&lt;&gt;INDEX(職員マスタ!$G$6:$G$405,$AN1920)),"時短開始日がマスタと相違／","")&amp;IF(AND($M1920&lt;&gt;"",INDEX(職員マスタ!$H$6:$H$405,$AN1920)&lt;&gt;"",$M1920&lt;&gt;INDEX(職員マスタ!$H$6:$H$405,$AN1920)),"時短終了日がマスタと相違／","")))&amp;IF(AND($B1920&lt;&gt;"",$E1920=""),"報酬額が未入力／","")&amp;IF(N($U1920)&gt;0,"申請書に入力エラーが残っています／","")&amp;IF(AND($B1920&lt;&gt;"",$AO1920&lt;&gt;""),IF(COUNTIFS($B$6:$B$3005,$B1920,$C$6:$C$3005,$C1920,$D$6:$D$3005,$D1920)&gt;1,"同じ月の請求が重複しています／",""),"")&amp;IF(AND(N($E1920)&gt;0,$Z1920&lt;&gt;"",$Z1920&lt;&gt;"×",$AC1920=0,$AB1920=""),"計算額が下限以下のため不支給／",""))</f>
        <v/>
      </c>
      <c r="AL1920" s="12" t="n"/>
      <c r="AM1920" s="14">
        <f>IF($AD1920="保留中",COUNTIF($AD$6:$AD1920,"保留中"),"")</f>
        <v/>
      </c>
      <c r="AN1920" s="14">
        <f>IF($AO1920="","",IF(SUMPRODUCT(MAX((職員マスタ!$A$6:$A$405=$B1920)*(((職員マスタ!$G$6:$G$405="")+(職員マスタ!$G$6:$G$405&lt;=EOMONTH($AO1920,0)))&gt;0)*(((職員マスタ!$H$6:$H$405="")+(職員マスタ!$H$6:$H$405&gt;=$AO1920))&gt;0)*(ROW(職員マスタ!$A$6:$A$405)-5)))&gt;0,SUMPRODUCT(MAX((職員マスタ!$A$6:$A$405=$B1920)*(((職員マスタ!$G$6:$G$405="")+(職員マスタ!$G$6:$G$405&lt;=EOMONTH($AO1920,0)))&gt;0)*(((職員マスタ!$H$6:$H$405="")+(職員マスタ!$H$6:$H$405&gt;=$AO1920))&gt;0)*(ROW(職員マスタ!$A$6:$A$405)-5))),IFERROR(MATCH($B1920,職員マスタ!$A$6:$A$405,0),"")))</f>
        <v/>
      </c>
      <c r="AO1920" s="16">
        <f>IF(OR($B1920="",$C1920="",$D1920=""),"",DATE($C1920+2018,$D1920,1))</f>
        <v/>
      </c>
    </row>
    <row r="1921">
      <c r="A1921" s="11" t="n"/>
      <c r="B1921" s="12" t="n"/>
      <c r="C1921" s="12" t="n"/>
      <c r="D1921" s="12" t="n"/>
      <c r="E1921" s="13" t="n"/>
      <c r="F1921" s="12" t="n"/>
      <c r="G1921" s="13" t="n"/>
      <c r="H1921" s="12" t="n"/>
      <c r="I1921" s="12" t="n"/>
      <c r="J1921" s="12" t="n"/>
      <c r="K1921" s="12" t="n"/>
      <c r="L1921" s="11" t="n"/>
      <c r="M1921" s="11" t="n"/>
      <c r="N1921" s="11" t="n"/>
      <c r="O1921" s="11" t="n"/>
      <c r="P1921" s="12" t="n"/>
      <c r="Q1921" s="11" t="n"/>
      <c r="R1921" s="12" t="n"/>
      <c r="S1921" s="11" t="n"/>
      <c r="T1921" s="12" t="n"/>
      <c r="U1921" s="12" t="n"/>
      <c r="V1921" s="14">
        <f>IF($AN1921="",IF($B1921="","",$H1921),IF(INDEX(職員マスタ!$B$6:$B$405,$AN1921)="",$H1921,INDEX(職員マスタ!$B$6:$B$405,$AN1921)))</f>
        <v/>
      </c>
      <c r="W1921" s="14">
        <f>IF($AN1921="",IF($B1921="","",$R1921),IF(INDEX(職員マスタ!$C$6:$C$405,$AN1921)="",$R1921,INDEX(職員マスタ!$C$6:$C$405,$AN1921)))</f>
        <v/>
      </c>
      <c r="X1921" s="14">
        <f>IF($AO1921="","","R"&amp;$C1921&amp;"."&amp;$D1921)</f>
        <v/>
      </c>
      <c r="Y1921" s="15">
        <f>IF($AN1921="","",IF(INDEX(職員マスタ!$K$6:$K$405,$AN1921)="","",INDEX(職員マスタ!$K$6:$K$405,$AN1921)))</f>
        <v/>
      </c>
      <c r="Z1921" s="14">
        <f>IF(OR($E1921="",$Y1921=""),"",IF($E1921&gt;=$Y1921,"×",IF($E1921&gt;=$Y1921*設定!$C$5,"△","○")))</f>
        <v/>
      </c>
      <c r="AA1921" s="15">
        <f>IF($Z1921="","",IF($Z1921="×",0,IF($Z1921="○",ROUNDDOWN($E1921*設定!$C$4,0),ROUNDDOWN($E1921*ROUND((9*$Y1921-9*$E1921)/(10*$E1921),4),0))))</f>
        <v/>
      </c>
      <c r="AB1921" s="13" t="n"/>
      <c r="AC1921" s="15">
        <f>IF($B1921="","",IF($AB1921&lt;&gt;"",$AB1921,IF($AA1921="","",IF($AA1921&lt;=設定!$C$3,0,$AA1921))))</f>
        <v/>
      </c>
      <c r="AD1921" s="14">
        <f>IF($B1921="","",IF(AND($AE1921&lt;&gt;"",$AG1921="",$AJ1921=""),"保留中",IF($AJ1921&lt;&gt;"",IF(N($AC1921)&gt;0,"支給済","不支給"),IF($AC1921="","要確認",IF($AC1921=0,"不支給","未処理")))))</f>
        <v/>
      </c>
      <c r="AE1921" s="12" t="n"/>
      <c r="AF1921" s="11" t="n"/>
      <c r="AG1921" s="11" t="n"/>
      <c r="AH1921" s="11" t="n"/>
      <c r="AI1921" s="14">
        <f>IF(AND($AD1921="保留中",$AF1921&lt;&gt;""),TODAY()-$AF1921,"")</f>
        <v/>
      </c>
      <c r="AJ1921" s="12" t="n"/>
      <c r="AK1921" s="14">
        <f>IF($B1921="","",IF($AO1921="","対象年月が未入力／","")&amp;IF($B1921="","",IF($AN1921="","職員マスタに未登録の職員番号／",IF($Y1921="","標準報酬月額が未登録／","")&amp;IF(AND($AO1921&lt;&gt;"",OR(AND(INDEX(職員マスタ!$G$6:$G$405,$AN1921)&lt;&gt;"",INDEX(職員マスタ!$G$6:$G$405,$AN1921)&gt;EOMONTH($AO1921,0)),AND(INDEX(職員マスタ!$H$6:$H$405,$AN1921)&lt;&gt;"",INDEX(職員マスタ!$H$6:$H$405,$AN1921)&lt;$AO1921))),"対象月が時短期間外／","")&amp;IF(AND(INDEX(職員マスタ!$F$6:$F$405,$AN1921)&lt;&gt;"",$AO1921&lt;&gt;"",INDEX(職員マスタ!$F$6:$F$405,$AN1921)&lt;$AO1921),"対象月に子が2歳到達済／","")&amp;IF(AND($H1921&lt;&gt;"",INDEX(職員マスタ!$B$6:$B$405,$AN1921)&lt;&gt;"",SUBSTITUTE(SUBSTITUTE($H1921," ","")," ","")&lt;&gt;SUBSTITUTE(SUBSTITUTE(INDEX(職員マスタ!$B$6:$B$405,$AN1921)," ","")," ","")),"氏名がマスタと相違／","")&amp;IF(AND($Q1921&lt;&gt;"",INDEX(職員マスタ!$E$6:$E$405,$AN1921)&lt;&gt;"",$Q1921&lt;&gt;INDEX(職員マスタ!$E$6:$E$405,$AN1921)),"子の生年月日がマスタと相違／","")&amp;IF(AND($L1921&lt;&gt;"",INDEX(職員マスタ!$G$6:$G$405,$AN1921)&lt;&gt;"",$L1921&lt;&gt;INDEX(職員マスタ!$G$6:$G$405,$AN1921)),"時短開始日がマスタと相違／","")&amp;IF(AND($M1921&lt;&gt;"",INDEX(職員マスタ!$H$6:$H$405,$AN1921)&lt;&gt;"",$M1921&lt;&gt;INDEX(職員マスタ!$H$6:$H$405,$AN1921)),"時短終了日がマスタと相違／","")))&amp;IF(AND($B1921&lt;&gt;"",$E1921=""),"報酬額が未入力／","")&amp;IF(N($U1921)&gt;0,"申請書に入力エラーが残っています／","")&amp;IF(AND($B1921&lt;&gt;"",$AO1921&lt;&gt;""),IF(COUNTIFS($B$6:$B$3005,$B1921,$C$6:$C$3005,$C1921,$D$6:$D$3005,$D1921)&gt;1,"同じ月の請求が重複しています／",""),"")&amp;IF(AND(N($E1921)&gt;0,$Z1921&lt;&gt;"",$Z1921&lt;&gt;"×",$AC1921=0,$AB1921=""),"計算額が下限以下のため不支給／",""))</f>
        <v/>
      </c>
      <c r="AL1921" s="12" t="n"/>
      <c r="AM1921" s="14">
        <f>IF($AD1921="保留中",COUNTIF($AD$6:$AD1921,"保留中"),"")</f>
        <v/>
      </c>
      <c r="AN1921" s="14">
        <f>IF($AO1921="","",IF(SUMPRODUCT(MAX((職員マスタ!$A$6:$A$405=$B1921)*(((職員マスタ!$G$6:$G$405="")+(職員マスタ!$G$6:$G$405&lt;=EOMONTH($AO1921,0)))&gt;0)*(((職員マスタ!$H$6:$H$405="")+(職員マスタ!$H$6:$H$405&gt;=$AO1921))&gt;0)*(ROW(職員マスタ!$A$6:$A$405)-5)))&gt;0,SUMPRODUCT(MAX((職員マスタ!$A$6:$A$405=$B1921)*(((職員マスタ!$G$6:$G$405="")+(職員マスタ!$G$6:$G$405&lt;=EOMONTH($AO1921,0)))&gt;0)*(((職員マスタ!$H$6:$H$405="")+(職員マスタ!$H$6:$H$405&gt;=$AO1921))&gt;0)*(ROW(職員マスタ!$A$6:$A$405)-5))),IFERROR(MATCH($B1921,職員マスタ!$A$6:$A$405,0),"")))</f>
        <v/>
      </c>
      <c r="AO1921" s="16">
        <f>IF(OR($B1921="",$C1921="",$D1921=""),"",DATE($C1921+2018,$D1921,1))</f>
        <v/>
      </c>
    </row>
    <row r="1922">
      <c r="A1922" s="11" t="n"/>
      <c r="B1922" s="12" t="n"/>
      <c r="C1922" s="12" t="n"/>
      <c r="D1922" s="12" t="n"/>
      <c r="E1922" s="13" t="n"/>
      <c r="F1922" s="12" t="n"/>
      <c r="G1922" s="13" t="n"/>
      <c r="H1922" s="12" t="n"/>
      <c r="I1922" s="12" t="n"/>
      <c r="J1922" s="12" t="n"/>
      <c r="K1922" s="12" t="n"/>
      <c r="L1922" s="11" t="n"/>
      <c r="M1922" s="11" t="n"/>
      <c r="N1922" s="11" t="n"/>
      <c r="O1922" s="11" t="n"/>
      <c r="P1922" s="12" t="n"/>
      <c r="Q1922" s="11" t="n"/>
      <c r="R1922" s="12" t="n"/>
      <c r="S1922" s="11" t="n"/>
      <c r="T1922" s="12" t="n"/>
      <c r="U1922" s="12" t="n"/>
      <c r="V1922" s="14">
        <f>IF($AN1922="",IF($B1922="","",$H1922),IF(INDEX(職員マスタ!$B$6:$B$405,$AN1922)="",$H1922,INDEX(職員マスタ!$B$6:$B$405,$AN1922)))</f>
        <v/>
      </c>
      <c r="W1922" s="14">
        <f>IF($AN1922="",IF($B1922="","",$R1922),IF(INDEX(職員マスタ!$C$6:$C$405,$AN1922)="",$R1922,INDEX(職員マスタ!$C$6:$C$405,$AN1922)))</f>
        <v/>
      </c>
      <c r="X1922" s="14">
        <f>IF($AO1922="","","R"&amp;$C1922&amp;"."&amp;$D1922)</f>
        <v/>
      </c>
      <c r="Y1922" s="15">
        <f>IF($AN1922="","",IF(INDEX(職員マスタ!$K$6:$K$405,$AN1922)="","",INDEX(職員マスタ!$K$6:$K$405,$AN1922)))</f>
        <v/>
      </c>
      <c r="Z1922" s="14">
        <f>IF(OR($E1922="",$Y1922=""),"",IF($E1922&gt;=$Y1922,"×",IF($E1922&gt;=$Y1922*設定!$C$5,"△","○")))</f>
        <v/>
      </c>
      <c r="AA1922" s="15">
        <f>IF($Z1922="","",IF($Z1922="×",0,IF($Z1922="○",ROUNDDOWN($E1922*設定!$C$4,0),ROUNDDOWN($E1922*ROUND((9*$Y1922-9*$E1922)/(10*$E1922),4),0))))</f>
        <v/>
      </c>
      <c r="AB1922" s="13" t="n"/>
      <c r="AC1922" s="15">
        <f>IF($B1922="","",IF($AB1922&lt;&gt;"",$AB1922,IF($AA1922="","",IF($AA1922&lt;=設定!$C$3,0,$AA1922))))</f>
        <v/>
      </c>
      <c r="AD1922" s="14">
        <f>IF($B1922="","",IF(AND($AE1922&lt;&gt;"",$AG1922="",$AJ1922=""),"保留中",IF($AJ1922&lt;&gt;"",IF(N($AC1922)&gt;0,"支給済","不支給"),IF($AC1922="","要確認",IF($AC1922=0,"不支給","未処理")))))</f>
        <v/>
      </c>
      <c r="AE1922" s="12" t="n"/>
      <c r="AF1922" s="11" t="n"/>
      <c r="AG1922" s="11" t="n"/>
      <c r="AH1922" s="11" t="n"/>
      <c r="AI1922" s="14">
        <f>IF(AND($AD1922="保留中",$AF1922&lt;&gt;""),TODAY()-$AF1922,"")</f>
        <v/>
      </c>
      <c r="AJ1922" s="12" t="n"/>
      <c r="AK1922" s="14">
        <f>IF($B1922="","",IF($AO1922="","対象年月が未入力／","")&amp;IF($B1922="","",IF($AN1922="","職員マスタに未登録の職員番号／",IF($Y1922="","標準報酬月額が未登録／","")&amp;IF(AND($AO1922&lt;&gt;"",OR(AND(INDEX(職員マスタ!$G$6:$G$405,$AN1922)&lt;&gt;"",INDEX(職員マスタ!$G$6:$G$405,$AN1922)&gt;EOMONTH($AO1922,0)),AND(INDEX(職員マスタ!$H$6:$H$405,$AN1922)&lt;&gt;"",INDEX(職員マスタ!$H$6:$H$405,$AN1922)&lt;$AO1922))),"対象月が時短期間外／","")&amp;IF(AND(INDEX(職員マスタ!$F$6:$F$405,$AN1922)&lt;&gt;"",$AO1922&lt;&gt;"",INDEX(職員マスタ!$F$6:$F$405,$AN1922)&lt;$AO1922),"対象月に子が2歳到達済／","")&amp;IF(AND($H1922&lt;&gt;"",INDEX(職員マスタ!$B$6:$B$405,$AN1922)&lt;&gt;"",SUBSTITUTE(SUBSTITUTE($H1922," ","")," ","")&lt;&gt;SUBSTITUTE(SUBSTITUTE(INDEX(職員マスタ!$B$6:$B$405,$AN1922)," ","")," ","")),"氏名がマスタと相違／","")&amp;IF(AND($Q1922&lt;&gt;"",INDEX(職員マスタ!$E$6:$E$405,$AN1922)&lt;&gt;"",$Q1922&lt;&gt;INDEX(職員マスタ!$E$6:$E$405,$AN1922)),"子の生年月日がマスタと相違／","")&amp;IF(AND($L1922&lt;&gt;"",INDEX(職員マスタ!$G$6:$G$405,$AN1922)&lt;&gt;"",$L1922&lt;&gt;INDEX(職員マスタ!$G$6:$G$405,$AN1922)),"時短開始日がマスタと相違／","")&amp;IF(AND($M1922&lt;&gt;"",INDEX(職員マスタ!$H$6:$H$405,$AN1922)&lt;&gt;"",$M1922&lt;&gt;INDEX(職員マスタ!$H$6:$H$405,$AN1922)),"時短終了日がマスタと相違／","")))&amp;IF(AND($B1922&lt;&gt;"",$E1922=""),"報酬額が未入力／","")&amp;IF(N($U1922)&gt;0,"申請書に入力エラーが残っています／","")&amp;IF(AND($B1922&lt;&gt;"",$AO1922&lt;&gt;""),IF(COUNTIFS($B$6:$B$3005,$B1922,$C$6:$C$3005,$C1922,$D$6:$D$3005,$D1922)&gt;1,"同じ月の請求が重複しています／",""),"")&amp;IF(AND(N($E1922)&gt;0,$Z1922&lt;&gt;"",$Z1922&lt;&gt;"×",$AC1922=0,$AB1922=""),"計算額が下限以下のため不支給／",""))</f>
        <v/>
      </c>
      <c r="AL1922" s="12" t="n"/>
      <c r="AM1922" s="14">
        <f>IF($AD1922="保留中",COUNTIF($AD$6:$AD1922,"保留中"),"")</f>
        <v/>
      </c>
      <c r="AN1922" s="14">
        <f>IF($AO1922="","",IF(SUMPRODUCT(MAX((職員マスタ!$A$6:$A$405=$B1922)*(((職員マスタ!$G$6:$G$405="")+(職員マスタ!$G$6:$G$405&lt;=EOMONTH($AO1922,0)))&gt;0)*(((職員マスタ!$H$6:$H$405="")+(職員マスタ!$H$6:$H$405&gt;=$AO1922))&gt;0)*(ROW(職員マスタ!$A$6:$A$405)-5)))&gt;0,SUMPRODUCT(MAX((職員マスタ!$A$6:$A$405=$B1922)*(((職員マスタ!$G$6:$G$405="")+(職員マスタ!$G$6:$G$405&lt;=EOMONTH($AO1922,0)))&gt;0)*(((職員マスタ!$H$6:$H$405="")+(職員マスタ!$H$6:$H$405&gt;=$AO1922))&gt;0)*(ROW(職員マスタ!$A$6:$A$405)-5))),IFERROR(MATCH($B1922,職員マスタ!$A$6:$A$405,0),"")))</f>
        <v/>
      </c>
      <c r="AO1922" s="16">
        <f>IF(OR($B1922="",$C1922="",$D1922=""),"",DATE($C1922+2018,$D1922,1))</f>
        <v/>
      </c>
    </row>
    <row r="1923">
      <c r="A1923" s="11" t="n"/>
      <c r="B1923" s="12" t="n"/>
      <c r="C1923" s="12" t="n"/>
      <c r="D1923" s="12" t="n"/>
      <c r="E1923" s="13" t="n"/>
      <c r="F1923" s="12" t="n"/>
      <c r="G1923" s="13" t="n"/>
      <c r="H1923" s="12" t="n"/>
      <c r="I1923" s="12" t="n"/>
      <c r="J1923" s="12" t="n"/>
      <c r="K1923" s="12" t="n"/>
      <c r="L1923" s="11" t="n"/>
      <c r="M1923" s="11" t="n"/>
      <c r="N1923" s="11" t="n"/>
      <c r="O1923" s="11" t="n"/>
      <c r="P1923" s="12" t="n"/>
      <c r="Q1923" s="11" t="n"/>
      <c r="R1923" s="12" t="n"/>
      <c r="S1923" s="11" t="n"/>
      <c r="T1923" s="12" t="n"/>
      <c r="U1923" s="12" t="n"/>
      <c r="V1923" s="14">
        <f>IF($AN1923="",IF($B1923="","",$H1923),IF(INDEX(職員マスタ!$B$6:$B$405,$AN1923)="",$H1923,INDEX(職員マスタ!$B$6:$B$405,$AN1923)))</f>
        <v/>
      </c>
      <c r="W1923" s="14">
        <f>IF($AN1923="",IF($B1923="","",$R1923),IF(INDEX(職員マスタ!$C$6:$C$405,$AN1923)="",$R1923,INDEX(職員マスタ!$C$6:$C$405,$AN1923)))</f>
        <v/>
      </c>
      <c r="X1923" s="14">
        <f>IF($AO1923="","","R"&amp;$C1923&amp;"."&amp;$D1923)</f>
        <v/>
      </c>
      <c r="Y1923" s="15">
        <f>IF($AN1923="","",IF(INDEX(職員マスタ!$K$6:$K$405,$AN1923)="","",INDEX(職員マスタ!$K$6:$K$405,$AN1923)))</f>
        <v/>
      </c>
      <c r="Z1923" s="14">
        <f>IF(OR($E1923="",$Y1923=""),"",IF($E1923&gt;=$Y1923,"×",IF($E1923&gt;=$Y1923*設定!$C$5,"△","○")))</f>
        <v/>
      </c>
      <c r="AA1923" s="15">
        <f>IF($Z1923="","",IF($Z1923="×",0,IF($Z1923="○",ROUNDDOWN($E1923*設定!$C$4,0),ROUNDDOWN($E1923*ROUND((9*$Y1923-9*$E1923)/(10*$E1923),4),0))))</f>
        <v/>
      </c>
      <c r="AB1923" s="13" t="n"/>
      <c r="AC1923" s="15">
        <f>IF($B1923="","",IF($AB1923&lt;&gt;"",$AB1923,IF($AA1923="","",IF($AA1923&lt;=設定!$C$3,0,$AA1923))))</f>
        <v/>
      </c>
      <c r="AD1923" s="14">
        <f>IF($B1923="","",IF(AND($AE1923&lt;&gt;"",$AG1923="",$AJ1923=""),"保留中",IF($AJ1923&lt;&gt;"",IF(N($AC1923)&gt;0,"支給済","不支給"),IF($AC1923="","要確認",IF($AC1923=0,"不支給","未処理")))))</f>
        <v/>
      </c>
      <c r="AE1923" s="12" t="n"/>
      <c r="AF1923" s="11" t="n"/>
      <c r="AG1923" s="11" t="n"/>
      <c r="AH1923" s="11" t="n"/>
      <c r="AI1923" s="14">
        <f>IF(AND($AD1923="保留中",$AF1923&lt;&gt;""),TODAY()-$AF1923,"")</f>
        <v/>
      </c>
      <c r="AJ1923" s="12" t="n"/>
      <c r="AK1923" s="14">
        <f>IF($B1923="","",IF($AO1923="","対象年月が未入力／","")&amp;IF($B1923="","",IF($AN1923="","職員マスタに未登録の職員番号／",IF($Y1923="","標準報酬月額が未登録／","")&amp;IF(AND($AO1923&lt;&gt;"",OR(AND(INDEX(職員マスタ!$G$6:$G$405,$AN1923)&lt;&gt;"",INDEX(職員マスタ!$G$6:$G$405,$AN1923)&gt;EOMONTH($AO1923,0)),AND(INDEX(職員マスタ!$H$6:$H$405,$AN1923)&lt;&gt;"",INDEX(職員マスタ!$H$6:$H$405,$AN1923)&lt;$AO1923))),"対象月が時短期間外／","")&amp;IF(AND(INDEX(職員マスタ!$F$6:$F$405,$AN1923)&lt;&gt;"",$AO1923&lt;&gt;"",INDEX(職員マスタ!$F$6:$F$405,$AN1923)&lt;$AO1923),"対象月に子が2歳到達済／","")&amp;IF(AND($H1923&lt;&gt;"",INDEX(職員マスタ!$B$6:$B$405,$AN1923)&lt;&gt;"",SUBSTITUTE(SUBSTITUTE($H1923," ","")," ","")&lt;&gt;SUBSTITUTE(SUBSTITUTE(INDEX(職員マスタ!$B$6:$B$405,$AN1923)," ","")," ","")),"氏名がマスタと相違／","")&amp;IF(AND($Q1923&lt;&gt;"",INDEX(職員マスタ!$E$6:$E$405,$AN1923)&lt;&gt;"",$Q1923&lt;&gt;INDEX(職員マスタ!$E$6:$E$405,$AN1923)),"子の生年月日がマスタと相違／","")&amp;IF(AND($L1923&lt;&gt;"",INDEX(職員マスタ!$G$6:$G$405,$AN1923)&lt;&gt;"",$L1923&lt;&gt;INDEX(職員マスタ!$G$6:$G$405,$AN1923)),"時短開始日がマスタと相違／","")&amp;IF(AND($M1923&lt;&gt;"",INDEX(職員マスタ!$H$6:$H$405,$AN1923)&lt;&gt;"",$M1923&lt;&gt;INDEX(職員マスタ!$H$6:$H$405,$AN1923)),"時短終了日がマスタと相違／","")))&amp;IF(AND($B1923&lt;&gt;"",$E1923=""),"報酬額が未入力／","")&amp;IF(N($U1923)&gt;0,"申請書に入力エラーが残っています／","")&amp;IF(AND($B1923&lt;&gt;"",$AO1923&lt;&gt;""),IF(COUNTIFS($B$6:$B$3005,$B1923,$C$6:$C$3005,$C1923,$D$6:$D$3005,$D1923)&gt;1,"同じ月の請求が重複しています／",""),"")&amp;IF(AND(N($E1923)&gt;0,$Z1923&lt;&gt;"",$Z1923&lt;&gt;"×",$AC1923=0,$AB1923=""),"計算額が下限以下のため不支給／",""))</f>
        <v/>
      </c>
      <c r="AL1923" s="12" t="n"/>
      <c r="AM1923" s="14">
        <f>IF($AD1923="保留中",COUNTIF($AD$6:$AD1923,"保留中"),"")</f>
        <v/>
      </c>
      <c r="AN1923" s="14">
        <f>IF($AO1923="","",IF(SUMPRODUCT(MAX((職員マスタ!$A$6:$A$405=$B1923)*(((職員マスタ!$G$6:$G$405="")+(職員マスタ!$G$6:$G$405&lt;=EOMONTH($AO1923,0)))&gt;0)*(((職員マスタ!$H$6:$H$405="")+(職員マスタ!$H$6:$H$405&gt;=$AO1923))&gt;0)*(ROW(職員マスタ!$A$6:$A$405)-5)))&gt;0,SUMPRODUCT(MAX((職員マスタ!$A$6:$A$405=$B1923)*(((職員マスタ!$G$6:$G$405="")+(職員マスタ!$G$6:$G$405&lt;=EOMONTH($AO1923,0)))&gt;0)*(((職員マスタ!$H$6:$H$405="")+(職員マスタ!$H$6:$H$405&gt;=$AO1923))&gt;0)*(ROW(職員マスタ!$A$6:$A$405)-5))),IFERROR(MATCH($B1923,職員マスタ!$A$6:$A$405,0),"")))</f>
        <v/>
      </c>
      <c r="AO1923" s="16">
        <f>IF(OR($B1923="",$C1923="",$D1923=""),"",DATE($C1923+2018,$D1923,1))</f>
        <v/>
      </c>
    </row>
    <row r="1924">
      <c r="A1924" s="11" t="n"/>
      <c r="B1924" s="12" t="n"/>
      <c r="C1924" s="12" t="n"/>
      <c r="D1924" s="12" t="n"/>
      <c r="E1924" s="13" t="n"/>
      <c r="F1924" s="12" t="n"/>
      <c r="G1924" s="13" t="n"/>
      <c r="H1924" s="12" t="n"/>
      <c r="I1924" s="12" t="n"/>
      <c r="J1924" s="12" t="n"/>
      <c r="K1924" s="12" t="n"/>
      <c r="L1924" s="11" t="n"/>
      <c r="M1924" s="11" t="n"/>
      <c r="N1924" s="11" t="n"/>
      <c r="O1924" s="11" t="n"/>
      <c r="P1924" s="12" t="n"/>
      <c r="Q1924" s="11" t="n"/>
      <c r="R1924" s="12" t="n"/>
      <c r="S1924" s="11" t="n"/>
      <c r="T1924" s="12" t="n"/>
      <c r="U1924" s="12" t="n"/>
      <c r="V1924" s="14">
        <f>IF($AN1924="",IF($B1924="","",$H1924),IF(INDEX(職員マスタ!$B$6:$B$405,$AN1924)="",$H1924,INDEX(職員マスタ!$B$6:$B$405,$AN1924)))</f>
        <v/>
      </c>
      <c r="W1924" s="14">
        <f>IF($AN1924="",IF($B1924="","",$R1924),IF(INDEX(職員マスタ!$C$6:$C$405,$AN1924)="",$R1924,INDEX(職員マスタ!$C$6:$C$405,$AN1924)))</f>
        <v/>
      </c>
      <c r="X1924" s="14">
        <f>IF($AO1924="","","R"&amp;$C1924&amp;"."&amp;$D1924)</f>
        <v/>
      </c>
      <c r="Y1924" s="15">
        <f>IF($AN1924="","",IF(INDEX(職員マスタ!$K$6:$K$405,$AN1924)="","",INDEX(職員マスタ!$K$6:$K$405,$AN1924)))</f>
        <v/>
      </c>
      <c r="Z1924" s="14">
        <f>IF(OR($E1924="",$Y1924=""),"",IF($E1924&gt;=$Y1924,"×",IF($E1924&gt;=$Y1924*設定!$C$5,"△","○")))</f>
        <v/>
      </c>
      <c r="AA1924" s="15">
        <f>IF($Z1924="","",IF($Z1924="×",0,IF($Z1924="○",ROUNDDOWN($E1924*設定!$C$4,0),ROUNDDOWN($E1924*ROUND((9*$Y1924-9*$E1924)/(10*$E1924),4),0))))</f>
        <v/>
      </c>
      <c r="AB1924" s="13" t="n"/>
      <c r="AC1924" s="15">
        <f>IF($B1924="","",IF($AB1924&lt;&gt;"",$AB1924,IF($AA1924="","",IF($AA1924&lt;=設定!$C$3,0,$AA1924))))</f>
        <v/>
      </c>
      <c r="AD1924" s="14">
        <f>IF($B1924="","",IF(AND($AE1924&lt;&gt;"",$AG1924="",$AJ1924=""),"保留中",IF($AJ1924&lt;&gt;"",IF(N($AC1924)&gt;0,"支給済","不支給"),IF($AC1924="","要確認",IF($AC1924=0,"不支給","未処理")))))</f>
        <v/>
      </c>
      <c r="AE1924" s="12" t="n"/>
      <c r="AF1924" s="11" t="n"/>
      <c r="AG1924" s="11" t="n"/>
      <c r="AH1924" s="11" t="n"/>
      <c r="AI1924" s="14">
        <f>IF(AND($AD1924="保留中",$AF1924&lt;&gt;""),TODAY()-$AF1924,"")</f>
        <v/>
      </c>
      <c r="AJ1924" s="12" t="n"/>
      <c r="AK1924" s="14">
        <f>IF($B1924="","",IF($AO1924="","対象年月が未入力／","")&amp;IF($B1924="","",IF($AN1924="","職員マスタに未登録の職員番号／",IF($Y1924="","標準報酬月額が未登録／","")&amp;IF(AND($AO1924&lt;&gt;"",OR(AND(INDEX(職員マスタ!$G$6:$G$405,$AN1924)&lt;&gt;"",INDEX(職員マスタ!$G$6:$G$405,$AN1924)&gt;EOMONTH($AO1924,0)),AND(INDEX(職員マスタ!$H$6:$H$405,$AN1924)&lt;&gt;"",INDEX(職員マスタ!$H$6:$H$405,$AN1924)&lt;$AO1924))),"対象月が時短期間外／","")&amp;IF(AND(INDEX(職員マスタ!$F$6:$F$405,$AN1924)&lt;&gt;"",$AO1924&lt;&gt;"",INDEX(職員マスタ!$F$6:$F$405,$AN1924)&lt;$AO1924),"対象月に子が2歳到達済／","")&amp;IF(AND($H1924&lt;&gt;"",INDEX(職員マスタ!$B$6:$B$405,$AN1924)&lt;&gt;"",SUBSTITUTE(SUBSTITUTE($H1924," ","")," ","")&lt;&gt;SUBSTITUTE(SUBSTITUTE(INDEX(職員マスタ!$B$6:$B$405,$AN1924)," ","")," ","")),"氏名がマスタと相違／","")&amp;IF(AND($Q1924&lt;&gt;"",INDEX(職員マスタ!$E$6:$E$405,$AN1924)&lt;&gt;"",$Q1924&lt;&gt;INDEX(職員マスタ!$E$6:$E$405,$AN1924)),"子の生年月日がマスタと相違／","")&amp;IF(AND($L1924&lt;&gt;"",INDEX(職員マスタ!$G$6:$G$405,$AN1924)&lt;&gt;"",$L1924&lt;&gt;INDEX(職員マスタ!$G$6:$G$405,$AN1924)),"時短開始日がマスタと相違／","")&amp;IF(AND($M1924&lt;&gt;"",INDEX(職員マスタ!$H$6:$H$405,$AN1924)&lt;&gt;"",$M1924&lt;&gt;INDEX(職員マスタ!$H$6:$H$405,$AN1924)),"時短終了日がマスタと相違／","")))&amp;IF(AND($B1924&lt;&gt;"",$E1924=""),"報酬額が未入力／","")&amp;IF(N($U1924)&gt;0,"申請書に入力エラーが残っています／","")&amp;IF(AND($B1924&lt;&gt;"",$AO1924&lt;&gt;""),IF(COUNTIFS($B$6:$B$3005,$B1924,$C$6:$C$3005,$C1924,$D$6:$D$3005,$D1924)&gt;1,"同じ月の請求が重複しています／",""),"")&amp;IF(AND(N($E1924)&gt;0,$Z1924&lt;&gt;"",$Z1924&lt;&gt;"×",$AC1924=0,$AB1924=""),"計算額が下限以下のため不支給／",""))</f>
        <v/>
      </c>
      <c r="AL1924" s="12" t="n"/>
      <c r="AM1924" s="14">
        <f>IF($AD1924="保留中",COUNTIF($AD$6:$AD1924,"保留中"),"")</f>
        <v/>
      </c>
      <c r="AN1924" s="14">
        <f>IF($AO1924="","",IF(SUMPRODUCT(MAX((職員マスタ!$A$6:$A$405=$B1924)*(((職員マスタ!$G$6:$G$405="")+(職員マスタ!$G$6:$G$405&lt;=EOMONTH($AO1924,0)))&gt;0)*(((職員マスタ!$H$6:$H$405="")+(職員マスタ!$H$6:$H$405&gt;=$AO1924))&gt;0)*(ROW(職員マスタ!$A$6:$A$405)-5)))&gt;0,SUMPRODUCT(MAX((職員マスタ!$A$6:$A$405=$B1924)*(((職員マスタ!$G$6:$G$405="")+(職員マスタ!$G$6:$G$405&lt;=EOMONTH($AO1924,0)))&gt;0)*(((職員マスタ!$H$6:$H$405="")+(職員マスタ!$H$6:$H$405&gt;=$AO1924))&gt;0)*(ROW(職員マスタ!$A$6:$A$405)-5))),IFERROR(MATCH($B1924,職員マスタ!$A$6:$A$405,0),"")))</f>
        <v/>
      </c>
      <c r="AO1924" s="16">
        <f>IF(OR($B1924="",$C1924="",$D1924=""),"",DATE($C1924+2018,$D1924,1))</f>
        <v/>
      </c>
    </row>
    <row r="1925">
      <c r="A1925" s="11" t="n"/>
      <c r="B1925" s="12" t="n"/>
      <c r="C1925" s="12" t="n"/>
      <c r="D1925" s="12" t="n"/>
      <c r="E1925" s="13" t="n"/>
      <c r="F1925" s="12" t="n"/>
      <c r="G1925" s="13" t="n"/>
      <c r="H1925" s="12" t="n"/>
      <c r="I1925" s="12" t="n"/>
      <c r="J1925" s="12" t="n"/>
      <c r="K1925" s="12" t="n"/>
      <c r="L1925" s="11" t="n"/>
      <c r="M1925" s="11" t="n"/>
      <c r="N1925" s="11" t="n"/>
      <c r="O1925" s="11" t="n"/>
      <c r="P1925" s="12" t="n"/>
      <c r="Q1925" s="11" t="n"/>
      <c r="R1925" s="12" t="n"/>
      <c r="S1925" s="11" t="n"/>
      <c r="T1925" s="12" t="n"/>
      <c r="U1925" s="12" t="n"/>
      <c r="V1925" s="14">
        <f>IF($AN1925="",IF($B1925="","",$H1925),IF(INDEX(職員マスタ!$B$6:$B$405,$AN1925)="",$H1925,INDEX(職員マスタ!$B$6:$B$405,$AN1925)))</f>
        <v/>
      </c>
      <c r="W1925" s="14">
        <f>IF($AN1925="",IF($B1925="","",$R1925),IF(INDEX(職員マスタ!$C$6:$C$405,$AN1925)="",$R1925,INDEX(職員マスタ!$C$6:$C$405,$AN1925)))</f>
        <v/>
      </c>
      <c r="X1925" s="14">
        <f>IF($AO1925="","","R"&amp;$C1925&amp;"."&amp;$D1925)</f>
        <v/>
      </c>
      <c r="Y1925" s="15">
        <f>IF($AN1925="","",IF(INDEX(職員マスタ!$K$6:$K$405,$AN1925)="","",INDEX(職員マスタ!$K$6:$K$405,$AN1925)))</f>
        <v/>
      </c>
      <c r="Z1925" s="14">
        <f>IF(OR($E1925="",$Y1925=""),"",IF($E1925&gt;=$Y1925,"×",IF($E1925&gt;=$Y1925*設定!$C$5,"△","○")))</f>
        <v/>
      </c>
      <c r="AA1925" s="15">
        <f>IF($Z1925="","",IF($Z1925="×",0,IF($Z1925="○",ROUNDDOWN($E1925*設定!$C$4,0),ROUNDDOWN($E1925*ROUND((9*$Y1925-9*$E1925)/(10*$E1925),4),0))))</f>
        <v/>
      </c>
      <c r="AB1925" s="13" t="n"/>
      <c r="AC1925" s="15">
        <f>IF($B1925="","",IF($AB1925&lt;&gt;"",$AB1925,IF($AA1925="","",IF($AA1925&lt;=設定!$C$3,0,$AA1925))))</f>
        <v/>
      </c>
      <c r="AD1925" s="14">
        <f>IF($B1925="","",IF(AND($AE1925&lt;&gt;"",$AG1925="",$AJ1925=""),"保留中",IF($AJ1925&lt;&gt;"",IF(N($AC1925)&gt;0,"支給済","不支給"),IF($AC1925="","要確認",IF($AC1925=0,"不支給","未処理")))))</f>
        <v/>
      </c>
      <c r="AE1925" s="12" t="n"/>
      <c r="AF1925" s="11" t="n"/>
      <c r="AG1925" s="11" t="n"/>
      <c r="AH1925" s="11" t="n"/>
      <c r="AI1925" s="14">
        <f>IF(AND($AD1925="保留中",$AF1925&lt;&gt;""),TODAY()-$AF1925,"")</f>
        <v/>
      </c>
      <c r="AJ1925" s="12" t="n"/>
      <c r="AK1925" s="14">
        <f>IF($B1925="","",IF($AO1925="","対象年月が未入力／","")&amp;IF($B1925="","",IF($AN1925="","職員マスタに未登録の職員番号／",IF($Y1925="","標準報酬月額が未登録／","")&amp;IF(AND($AO1925&lt;&gt;"",OR(AND(INDEX(職員マスタ!$G$6:$G$405,$AN1925)&lt;&gt;"",INDEX(職員マスタ!$G$6:$G$405,$AN1925)&gt;EOMONTH($AO1925,0)),AND(INDEX(職員マスタ!$H$6:$H$405,$AN1925)&lt;&gt;"",INDEX(職員マスタ!$H$6:$H$405,$AN1925)&lt;$AO1925))),"対象月が時短期間外／","")&amp;IF(AND(INDEX(職員マスタ!$F$6:$F$405,$AN1925)&lt;&gt;"",$AO1925&lt;&gt;"",INDEX(職員マスタ!$F$6:$F$405,$AN1925)&lt;$AO1925),"対象月に子が2歳到達済／","")&amp;IF(AND($H1925&lt;&gt;"",INDEX(職員マスタ!$B$6:$B$405,$AN1925)&lt;&gt;"",SUBSTITUTE(SUBSTITUTE($H1925," ","")," ","")&lt;&gt;SUBSTITUTE(SUBSTITUTE(INDEX(職員マスタ!$B$6:$B$405,$AN1925)," ","")," ","")),"氏名がマスタと相違／","")&amp;IF(AND($Q1925&lt;&gt;"",INDEX(職員マスタ!$E$6:$E$405,$AN1925)&lt;&gt;"",$Q1925&lt;&gt;INDEX(職員マスタ!$E$6:$E$405,$AN1925)),"子の生年月日がマスタと相違／","")&amp;IF(AND($L1925&lt;&gt;"",INDEX(職員マスタ!$G$6:$G$405,$AN1925)&lt;&gt;"",$L1925&lt;&gt;INDEX(職員マスタ!$G$6:$G$405,$AN1925)),"時短開始日がマスタと相違／","")&amp;IF(AND($M1925&lt;&gt;"",INDEX(職員マスタ!$H$6:$H$405,$AN1925)&lt;&gt;"",$M1925&lt;&gt;INDEX(職員マスタ!$H$6:$H$405,$AN1925)),"時短終了日がマスタと相違／","")))&amp;IF(AND($B1925&lt;&gt;"",$E1925=""),"報酬額が未入力／","")&amp;IF(N($U1925)&gt;0,"申請書に入力エラーが残っています／","")&amp;IF(AND($B1925&lt;&gt;"",$AO1925&lt;&gt;""),IF(COUNTIFS($B$6:$B$3005,$B1925,$C$6:$C$3005,$C1925,$D$6:$D$3005,$D1925)&gt;1,"同じ月の請求が重複しています／",""),"")&amp;IF(AND(N($E1925)&gt;0,$Z1925&lt;&gt;"",$Z1925&lt;&gt;"×",$AC1925=0,$AB1925=""),"計算額が下限以下のため不支給／",""))</f>
        <v/>
      </c>
      <c r="AL1925" s="12" t="n"/>
      <c r="AM1925" s="14">
        <f>IF($AD1925="保留中",COUNTIF($AD$6:$AD1925,"保留中"),"")</f>
        <v/>
      </c>
      <c r="AN1925" s="14">
        <f>IF($AO1925="","",IF(SUMPRODUCT(MAX((職員マスタ!$A$6:$A$405=$B1925)*(((職員マスタ!$G$6:$G$405="")+(職員マスタ!$G$6:$G$405&lt;=EOMONTH($AO1925,0)))&gt;0)*(((職員マスタ!$H$6:$H$405="")+(職員マスタ!$H$6:$H$405&gt;=$AO1925))&gt;0)*(ROW(職員マスタ!$A$6:$A$405)-5)))&gt;0,SUMPRODUCT(MAX((職員マスタ!$A$6:$A$405=$B1925)*(((職員マスタ!$G$6:$G$405="")+(職員マスタ!$G$6:$G$405&lt;=EOMONTH($AO1925,0)))&gt;0)*(((職員マスタ!$H$6:$H$405="")+(職員マスタ!$H$6:$H$405&gt;=$AO1925))&gt;0)*(ROW(職員マスタ!$A$6:$A$405)-5))),IFERROR(MATCH($B1925,職員マスタ!$A$6:$A$405,0),"")))</f>
        <v/>
      </c>
      <c r="AO1925" s="16">
        <f>IF(OR($B1925="",$C1925="",$D1925=""),"",DATE($C1925+2018,$D1925,1))</f>
        <v/>
      </c>
    </row>
    <row r="1926">
      <c r="A1926" s="11" t="n"/>
      <c r="B1926" s="12" t="n"/>
      <c r="C1926" s="12" t="n"/>
      <c r="D1926" s="12" t="n"/>
      <c r="E1926" s="13" t="n"/>
      <c r="F1926" s="12" t="n"/>
      <c r="G1926" s="13" t="n"/>
      <c r="H1926" s="12" t="n"/>
      <c r="I1926" s="12" t="n"/>
      <c r="J1926" s="12" t="n"/>
      <c r="K1926" s="12" t="n"/>
      <c r="L1926" s="11" t="n"/>
      <c r="M1926" s="11" t="n"/>
      <c r="N1926" s="11" t="n"/>
      <c r="O1926" s="11" t="n"/>
      <c r="P1926" s="12" t="n"/>
      <c r="Q1926" s="11" t="n"/>
      <c r="R1926" s="12" t="n"/>
      <c r="S1926" s="11" t="n"/>
      <c r="T1926" s="12" t="n"/>
      <c r="U1926" s="12" t="n"/>
      <c r="V1926" s="14">
        <f>IF($AN1926="",IF($B1926="","",$H1926),IF(INDEX(職員マスタ!$B$6:$B$405,$AN1926)="",$H1926,INDEX(職員マスタ!$B$6:$B$405,$AN1926)))</f>
        <v/>
      </c>
      <c r="W1926" s="14">
        <f>IF($AN1926="",IF($B1926="","",$R1926),IF(INDEX(職員マスタ!$C$6:$C$405,$AN1926)="",$R1926,INDEX(職員マスタ!$C$6:$C$405,$AN1926)))</f>
        <v/>
      </c>
      <c r="X1926" s="14">
        <f>IF($AO1926="","","R"&amp;$C1926&amp;"."&amp;$D1926)</f>
        <v/>
      </c>
      <c r="Y1926" s="15">
        <f>IF($AN1926="","",IF(INDEX(職員マスタ!$K$6:$K$405,$AN1926)="","",INDEX(職員マスタ!$K$6:$K$405,$AN1926)))</f>
        <v/>
      </c>
      <c r="Z1926" s="14">
        <f>IF(OR($E1926="",$Y1926=""),"",IF($E1926&gt;=$Y1926,"×",IF($E1926&gt;=$Y1926*設定!$C$5,"△","○")))</f>
        <v/>
      </c>
      <c r="AA1926" s="15">
        <f>IF($Z1926="","",IF($Z1926="×",0,IF($Z1926="○",ROUNDDOWN($E1926*設定!$C$4,0),ROUNDDOWN($E1926*ROUND((9*$Y1926-9*$E1926)/(10*$E1926),4),0))))</f>
        <v/>
      </c>
      <c r="AB1926" s="13" t="n"/>
      <c r="AC1926" s="15">
        <f>IF($B1926="","",IF($AB1926&lt;&gt;"",$AB1926,IF($AA1926="","",IF($AA1926&lt;=設定!$C$3,0,$AA1926))))</f>
        <v/>
      </c>
      <c r="AD1926" s="14">
        <f>IF($B1926="","",IF(AND($AE1926&lt;&gt;"",$AG1926="",$AJ1926=""),"保留中",IF($AJ1926&lt;&gt;"",IF(N($AC1926)&gt;0,"支給済","不支給"),IF($AC1926="","要確認",IF($AC1926=0,"不支給","未処理")))))</f>
        <v/>
      </c>
      <c r="AE1926" s="12" t="n"/>
      <c r="AF1926" s="11" t="n"/>
      <c r="AG1926" s="11" t="n"/>
      <c r="AH1926" s="11" t="n"/>
      <c r="AI1926" s="14">
        <f>IF(AND($AD1926="保留中",$AF1926&lt;&gt;""),TODAY()-$AF1926,"")</f>
        <v/>
      </c>
      <c r="AJ1926" s="12" t="n"/>
      <c r="AK1926" s="14">
        <f>IF($B1926="","",IF($AO1926="","対象年月が未入力／","")&amp;IF($B1926="","",IF($AN1926="","職員マスタに未登録の職員番号／",IF($Y1926="","標準報酬月額が未登録／","")&amp;IF(AND($AO1926&lt;&gt;"",OR(AND(INDEX(職員マスタ!$G$6:$G$405,$AN1926)&lt;&gt;"",INDEX(職員マスタ!$G$6:$G$405,$AN1926)&gt;EOMONTH($AO1926,0)),AND(INDEX(職員マスタ!$H$6:$H$405,$AN1926)&lt;&gt;"",INDEX(職員マスタ!$H$6:$H$405,$AN1926)&lt;$AO1926))),"対象月が時短期間外／","")&amp;IF(AND(INDEX(職員マスタ!$F$6:$F$405,$AN1926)&lt;&gt;"",$AO1926&lt;&gt;"",INDEX(職員マスタ!$F$6:$F$405,$AN1926)&lt;$AO1926),"対象月に子が2歳到達済／","")&amp;IF(AND($H1926&lt;&gt;"",INDEX(職員マスタ!$B$6:$B$405,$AN1926)&lt;&gt;"",SUBSTITUTE(SUBSTITUTE($H1926," ","")," ","")&lt;&gt;SUBSTITUTE(SUBSTITUTE(INDEX(職員マスタ!$B$6:$B$405,$AN1926)," ","")," ","")),"氏名がマスタと相違／","")&amp;IF(AND($Q1926&lt;&gt;"",INDEX(職員マスタ!$E$6:$E$405,$AN1926)&lt;&gt;"",$Q1926&lt;&gt;INDEX(職員マスタ!$E$6:$E$405,$AN1926)),"子の生年月日がマスタと相違／","")&amp;IF(AND($L1926&lt;&gt;"",INDEX(職員マスタ!$G$6:$G$405,$AN1926)&lt;&gt;"",$L1926&lt;&gt;INDEX(職員マスタ!$G$6:$G$405,$AN1926)),"時短開始日がマスタと相違／","")&amp;IF(AND($M1926&lt;&gt;"",INDEX(職員マスタ!$H$6:$H$405,$AN1926)&lt;&gt;"",$M1926&lt;&gt;INDEX(職員マスタ!$H$6:$H$405,$AN1926)),"時短終了日がマスタと相違／","")))&amp;IF(AND($B1926&lt;&gt;"",$E1926=""),"報酬額が未入力／","")&amp;IF(N($U1926)&gt;0,"申請書に入力エラーが残っています／","")&amp;IF(AND($B1926&lt;&gt;"",$AO1926&lt;&gt;""),IF(COUNTIFS($B$6:$B$3005,$B1926,$C$6:$C$3005,$C1926,$D$6:$D$3005,$D1926)&gt;1,"同じ月の請求が重複しています／",""),"")&amp;IF(AND(N($E1926)&gt;0,$Z1926&lt;&gt;"",$Z1926&lt;&gt;"×",$AC1926=0,$AB1926=""),"計算額が下限以下のため不支給／",""))</f>
        <v/>
      </c>
      <c r="AL1926" s="12" t="n"/>
      <c r="AM1926" s="14">
        <f>IF($AD1926="保留中",COUNTIF($AD$6:$AD1926,"保留中"),"")</f>
        <v/>
      </c>
      <c r="AN1926" s="14">
        <f>IF($AO1926="","",IF(SUMPRODUCT(MAX((職員マスタ!$A$6:$A$405=$B1926)*(((職員マスタ!$G$6:$G$405="")+(職員マスタ!$G$6:$G$405&lt;=EOMONTH($AO1926,0)))&gt;0)*(((職員マスタ!$H$6:$H$405="")+(職員マスタ!$H$6:$H$405&gt;=$AO1926))&gt;0)*(ROW(職員マスタ!$A$6:$A$405)-5)))&gt;0,SUMPRODUCT(MAX((職員マスタ!$A$6:$A$405=$B1926)*(((職員マスタ!$G$6:$G$405="")+(職員マスタ!$G$6:$G$405&lt;=EOMONTH($AO1926,0)))&gt;0)*(((職員マスタ!$H$6:$H$405="")+(職員マスタ!$H$6:$H$405&gt;=$AO1926))&gt;0)*(ROW(職員マスタ!$A$6:$A$405)-5))),IFERROR(MATCH($B1926,職員マスタ!$A$6:$A$405,0),"")))</f>
        <v/>
      </c>
      <c r="AO1926" s="16">
        <f>IF(OR($B1926="",$C1926="",$D1926=""),"",DATE($C1926+2018,$D1926,1))</f>
        <v/>
      </c>
    </row>
    <row r="1927">
      <c r="A1927" s="11" t="n"/>
      <c r="B1927" s="12" t="n"/>
      <c r="C1927" s="12" t="n"/>
      <c r="D1927" s="12" t="n"/>
      <c r="E1927" s="13" t="n"/>
      <c r="F1927" s="12" t="n"/>
      <c r="G1927" s="13" t="n"/>
      <c r="H1927" s="12" t="n"/>
      <c r="I1927" s="12" t="n"/>
      <c r="J1927" s="12" t="n"/>
      <c r="K1927" s="12" t="n"/>
      <c r="L1927" s="11" t="n"/>
      <c r="M1927" s="11" t="n"/>
      <c r="N1927" s="11" t="n"/>
      <c r="O1927" s="11" t="n"/>
      <c r="P1927" s="12" t="n"/>
      <c r="Q1927" s="11" t="n"/>
      <c r="R1927" s="12" t="n"/>
      <c r="S1927" s="11" t="n"/>
      <c r="T1927" s="12" t="n"/>
      <c r="U1927" s="12" t="n"/>
      <c r="V1927" s="14">
        <f>IF($AN1927="",IF($B1927="","",$H1927),IF(INDEX(職員マスタ!$B$6:$B$405,$AN1927)="",$H1927,INDEX(職員マスタ!$B$6:$B$405,$AN1927)))</f>
        <v/>
      </c>
      <c r="W1927" s="14">
        <f>IF($AN1927="",IF($B1927="","",$R1927),IF(INDEX(職員マスタ!$C$6:$C$405,$AN1927)="",$R1927,INDEX(職員マスタ!$C$6:$C$405,$AN1927)))</f>
        <v/>
      </c>
      <c r="X1927" s="14">
        <f>IF($AO1927="","","R"&amp;$C1927&amp;"."&amp;$D1927)</f>
        <v/>
      </c>
      <c r="Y1927" s="15">
        <f>IF($AN1927="","",IF(INDEX(職員マスタ!$K$6:$K$405,$AN1927)="","",INDEX(職員マスタ!$K$6:$K$405,$AN1927)))</f>
        <v/>
      </c>
      <c r="Z1927" s="14">
        <f>IF(OR($E1927="",$Y1927=""),"",IF($E1927&gt;=$Y1927,"×",IF($E1927&gt;=$Y1927*設定!$C$5,"△","○")))</f>
        <v/>
      </c>
      <c r="AA1927" s="15">
        <f>IF($Z1927="","",IF($Z1927="×",0,IF($Z1927="○",ROUNDDOWN($E1927*設定!$C$4,0),ROUNDDOWN($E1927*ROUND((9*$Y1927-9*$E1927)/(10*$E1927),4),0))))</f>
        <v/>
      </c>
      <c r="AB1927" s="13" t="n"/>
      <c r="AC1927" s="15">
        <f>IF($B1927="","",IF($AB1927&lt;&gt;"",$AB1927,IF($AA1927="","",IF($AA1927&lt;=設定!$C$3,0,$AA1927))))</f>
        <v/>
      </c>
      <c r="AD1927" s="14">
        <f>IF($B1927="","",IF(AND($AE1927&lt;&gt;"",$AG1927="",$AJ1927=""),"保留中",IF($AJ1927&lt;&gt;"",IF(N($AC1927)&gt;0,"支給済","不支給"),IF($AC1927="","要確認",IF($AC1927=0,"不支給","未処理")))))</f>
        <v/>
      </c>
      <c r="AE1927" s="12" t="n"/>
      <c r="AF1927" s="11" t="n"/>
      <c r="AG1927" s="11" t="n"/>
      <c r="AH1927" s="11" t="n"/>
      <c r="AI1927" s="14">
        <f>IF(AND($AD1927="保留中",$AF1927&lt;&gt;""),TODAY()-$AF1927,"")</f>
        <v/>
      </c>
      <c r="AJ1927" s="12" t="n"/>
      <c r="AK1927" s="14">
        <f>IF($B1927="","",IF($AO1927="","対象年月が未入力／","")&amp;IF($B1927="","",IF($AN1927="","職員マスタに未登録の職員番号／",IF($Y1927="","標準報酬月額が未登録／","")&amp;IF(AND($AO1927&lt;&gt;"",OR(AND(INDEX(職員マスタ!$G$6:$G$405,$AN1927)&lt;&gt;"",INDEX(職員マスタ!$G$6:$G$405,$AN1927)&gt;EOMONTH($AO1927,0)),AND(INDEX(職員マスタ!$H$6:$H$405,$AN1927)&lt;&gt;"",INDEX(職員マスタ!$H$6:$H$405,$AN1927)&lt;$AO1927))),"対象月が時短期間外／","")&amp;IF(AND(INDEX(職員マスタ!$F$6:$F$405,$AN1927)&lt;&gt;"",$AO1927&lt;&gt;"",INDEX(職員マスタ!$F$6:$F$405,$AN1927)&lt;$AO1927),"対象月に子が2歳到達済／","")&amp;IF(AND($H1927&lt;&gt;"",INDEX(職員マスタ!$B$6:$B$405,$AN1927)&lt;&gt;"",SUBSTITUTE(SUBSTITUTE($H1927," ","")," ","")&lt;&gt;SUBSTITUTE(SUBSTITUTE(INDEX(職員マスタ!$B$6:$B$405,$AN1927)," ","")," ","")),"氏名がマスタと相違／","")&amp;IF(AND($Q1927&lt;&gt;"",INDEX(職員マスタ!$E$6:$E$405,$AN1927)&lt;&gt;"",$Q1927&lt;&gt;INDEX(職員マスタ!$E$6:$E$405,$AN1927)),"子の生年月日がマスタと相違／","")&amp;IF(AND($L1927&lt;&gt;"",INDEX(職員マスタ!$G$6:$G$405,$AN1927)&lt;&gt;"",$L1927&lt;&gt;INDEX(職員マスタ!$G$6:$G$405,$AN1927)),"時短開始日がマスタと相違／","")&amp;IF(AND($M1927&lt;&gt;"",INDEX(職員マスタ!$H$6:$H$405,$AN1927)&lt;&gt;"",$M1927&lt;&gt;INDEX(職員マスタ!$H$6:$H$405,$AN1927)),"時短終了日がマスタと相違／","")))&amp;IF(AND($B1927&lt;&gt;"",$E1927=""),"報酬額が未入力／","")&amp;IF(N($U1927)&gt;0,"申請書に入力エラーが残っています／","")&amp;IF(AND($B1927&lt;&gt;"",$AO1927&lt;&gt;""),IF(COUNTIFS($B$6:$B$3005,$B1927,$C$6:$C$3005,$C1927,$D$6:$D$3005,$D1927)&gt;1,"同じ月の請求が重複しています／",""),"")&amp;IF(AND(N($E1927)&gt;0,$Z1927&lt;&gt;"",$Z1927&lt;&gt;"×",$AC1927=0,$AB1927=""),"計算額が下限以下のため不支給／",""))</f>
        <v/>
      </c>
      <c r="AL1927" s="12" t="n"/>
      <c r="AM1927" s="14">
        <f>IF($AD1927="保留中",COUNTIF($AD$6:$AD1927,"保留中"),"")</f>
        <v/>
      </c>
      <c r="AN1927" s="14">
        <f>IF($AO1927="","",IF(SUMPRODUCT(MAX((職員マスタ!$A$6:$A$405=$B1927)*(((職員マスタ!$G$6:$G$405="")+(職員マスタ!$G$6:$G$405&lt;=EOMONTH($AO1927,0)))&gt;0)*(((職員マスタ!$H$6:$H$405="")+(職員マスタ!$H$6:$H$405&gt;=$AO1927))&gt;0)*(ROW(職員マスタ!$A$6:$A$405)-5)))&gt;0,SUMPRODUCT(MAX((職員マスタ!$A$6:$A$405=$B1927)*(((職員マスタ!$G$6:$G$405="")+(職員マスタ!$G$6:$G$405&lt;=EOMONTH($AO1927,0)))&gt;0)*(((職員マスタ!$H$6:$H$405="")+(職員マスタ!$H$6:$H$405&gt;=$AO1927))&gt;0)*(ROW(職員マスタ!$A$6:$A$405)-5))),IFERROR(MATCH($B1927,職員マスタ!$A$6:$A$405,0),"")))</f>
        <v/>
      </c>
      <c r="AO1927" s="16">
        <f>IF(OR($B1927="",$C1927="",$D1927=""),"",DATE($C1927+2018,$D1927,1))</f>
        <v/>
      </c>
    </row>
    <row r="1928">
      <c r="A1928" s="11" t="n"/>
      <c r="B1928" s="12" t="n"/>
      <c r="C1928" s="12" t="n"/>
      <c r="D1928" s="12" t="n"/>
      <c r="E1928" s="13" t="n"/>
      <c r="F1928" s="12" t="n"/>
      <c r="G1928" s="13" t="n"/>
      <c r="H1928" s="12" t="n"/>
      <c r="I1928" s="12" t="n"/>
      <c r="J1928" s="12" t="n"/>
      <c r="K1928" s="12" t="n"/>
      <c r="L1928" s="11" t="n"/>
      <c r="M1928" s="11" t="n"/>
      <c r="N1928" s="11" t="n"/>
      <c r="O1928" s="11" t="n"/>
      <c r="P1928" s="12" t="n"/>
      <c r="Q1928" s="11" t="n"/>
      <c r="R1928" s="12" t="n"/>
      <c r="S1928" s="11" t="n"/>
      <c r="T1928" s="12" t="n"/>
      <c r="U1928" s="12" t="n"/>
      <c r="V1928" s="14">
        <f>IF($AN1928="",IF($B1928="","",$H1928),IF(INDEX(職員マスタ!$B$6:$B$405,$AN1928)="",$H1928,INDEX(職員マスタ!$B$6:$B$405,$AN1928)))</f>
        <v/>
      </c>
      <c r="W1928" s="14">
        <f>IF($AN1928="",IF($B1928="","",$R1928),IF(INDEX(職員マスタ!$C$6:$C$405,$AN1928)="",$R1928,INDEX(職員マスタ!$C$6:$C$405,$AN1928)))</f>
        <v/>
      </c>
      <c r="X1928" s="14">
        <f>IF($AO1928="","","R"&amp;$C1928&amp;"."&amp;$D1928)</f>
        <v/>
      </c>
      <c r="Y1928" s="15">
        <f>IF($AN1928="","",IF(INDEX(職員マスタ!$K$6:$K$405,$AN1928)="","",INDEX(職員マスタ!$K$6:$K$405,$AN1928)))</f>
        <v/>
      </c>
      <c r="Z1928" s="14">
        <f>IF(OR($E1928="",$Y1928=""),"",IF($E1928&gt;=$Y1928,"×",IF($E1928&gt;=$Y1928*設定!$C$5,"△","○")))</f>
        <v/>
      </c>
      <c r="AA1928" s="15">
        <f>IF($Z1928="","",IF($Z1928="×",0,IF($Z1928="○",ROUNDDOWN($E1928*設定!$C$4,0),ROUNDDOWN($E1928*ROUND((9*$Y1928-9*$E1928)/(10*$E1928),4),0))))</f>
        <v/>
      </c>
      <c r="AB1928" s="13" t="n"/>
      <c r="AC1928" s="15">
        <f>IF($B1928="","",IF($AB1928&lt;&gt;"",$AB1928,IF($AA1928="","",IF($AA1928&lt;=設定!$C$3,0,$AA1928))))</f>
        <v/>
      </c>
      <c r="AD1928" s="14">
        <f>IF($B1928="","",IF(AND($AE1928&lt;&gt;"",$AG1928="",$AJ1928=""),"保留中",IF($AJ1928&lt;&gt;"",IF(N($AC1928)&gt;0,"支給済","不支給"),IF($AC1928="","要確認",IF($AC1928=0,"不支給","未処理")))))</f>
        <v/>
      </c>
      <c r="AE1928" s="12" t="n"/>
      <c r="AF1928" s="11" t="n"/>
      <c r="AG1928" s="11" t="n"/>
      <c r="AH1928" s="11" t="n"/>
      <c r="AI1928" s="14">
        <f>IF(AND($AD1928="保留中",$AF1928&lt;&gt;""),TODAY()-$AF1928,"")</f>
        <v/>
      </c>
      <c r="AJ1928" s="12" t="n"/>
      <c r="AK1928" s="14">
        <f>IF($B1928="","",IF($AO1928="","対象年月が未入力／","")&amp;IF($B1928="","",IF($AN1928="","職員マスタに未登録の職員番号／",IF($Y1928="","標準報酬月額が未登録／","")&amp;IF(AND($AO1928&lt;&gt;"",OR(AND(INDEX(職員マスタ!$G$6:$G$405,$AN1928)&lt;&gt;"",INDEX(職員マスタ!$G$6:$G$405,$AN1928)&gt;EOMONTH($AO1928,0)),AND(INDEX(職員マスタ!$H$6:$H$405,$AN1928)&lt;&gt;"",INDEX(職員マスタ!$H$6:$H$405,$AN1928)&lt;$AO1928))),"対象月が時短期間外／","")&amp;IF(AND(INDEX(職員マスタ!$F$6:$F$405,$AN1928)&lt;&gt;"",$AO1928&lt;&gt;"",INDEX(職員マスタ!$F$6:$F$405,$AN1928)&lt;$AO1928),"対象月に子が2歳到達済／","")&amp;IF(AND($H1928&lt;&gt;"",INDEX(職員マスタ!$B$6:$B$405,$AN1928)&lt;&gt;"",SUBSTITUTE(SUBSTITUTE($H1928," ","")," ","")&lt;&gt;SUBSTITUTE(SUBSTITUTE(INDEX(職員マスタ!$B$6:$B$405,$AN1928)," ","")," ","")),"氏名がマスタと相違／","")&amp;IF(AND($Q1928&lt;&gt;"",INDEX(職員マスタ!$E$6:$E$405,$AN1928)&lt;&gt;"",$Q1928&lt;&gt;INDEX(職員マスタ!$E$6:$E$405,$AN1928)),"子の生年月日がマスタと相違／","")&amp;IF(AND($L1928&lt;&gt;"",INDEX(職員マスタ!$G$6:$G$405,$AN1928)&lt;&gt;"",$L1928&lt;&gt;INDEX(職員マスタ!$G$6:$G$405,$AN1928)),"時短開始日がマスタと相違／","")&amp;IF(AND($M1928&lt;&gt;"",INDEX(職員マスタ!$H$6:$H$405,$AN1928)&lt;&gt;"",$M1928&lt;&gt;INDEX(職員マスタ!$H$6:$H$405,$AN1928)),"時短終了日がマスタと相違／","")))&amp;IF(AND($B1928&lt;&gt;"",$E1928=""),"報酬額が未入力／","")&amp;IF(N($U1928)&gt;0,"申請書に入力エラーが残っています／","")&amp;IF(AND($B1928&lt;&gt;"",$AO1928&lt;&gt;""),IF(COUNTIFS($B$6:$B$3005,$B1928,$C$6:$C$3005,$C1928,$D$6:$D$3005,$D1928)&gt;1,"同じ月の請求が重複しています／",""),"")&amp;IF(AND(N($E1928)&gt;0,$Z1928&lt;&gt;"",$Z1928&lt;&gt;"×",$AC1928=0,$AB1928=""),"計算額が下限以下のため不支給／",""))</f>
        <v/>
      </c>
      <c r="AL1928" s="12" t="n"/>
      <c r="AM1928" s="14">
        <f>IF($AD1928="保留中",COUNTIF($AD$6:$AD1928,"保留中"),"")</f>
        <v/>
      </c>
      <c r="AN1928" s="14">
        <f>IF($AO1928="","",IF(SUMPRODUCT(MAX((職員マスタ!$A$6:$A$405=$B1928)*(((職員マスタ!$G$6:$G$405="")+(職員マスタ!$G$6:$G$405&lt;=EOMONTH($AO1928,0)))&gt;0)*(((職員マスタ!$H$6:$H$405="")+(職員マスタ!$H$6:$H$405&gt;=$AO1928))&gt;0)*(ROW(職員マスタ!$A$6:$A$405)-5)))&gt;0,SUMPRODUCT(MAX((職員マスタ!$A$6:$A$405=$B1928)*(((職員マスタ!$G$6:$G$405="")+(職員マスタ!$G$6:$G$405&lt;=EOMONTH($AO1928,0)))&gt;0)*(((職員マスタ!$H$6:$H$405="")+(職員マスタ!$H$6:$H$405&gt;=$AO1928))&gt;0)*(ROW(職員マスタ!$A$6:$A$405)-5))),IFERROR(MATCH($B1928,職員マスタ!$A$6:$A$405,0),"")))</f>
        <v/>
      </c>
      <c r="AO1928" s="16">
        <f>IF(OR($B1928="",$C1928="",$D1928=""),"",DATE($C1928+2018,$D1928,1))</f>
        <v/>
      </c>
    </row>
    <row r="1929">
      <c r="A1929" s="11" t="n"/>
      <c r="B1929" s="12" t="n"/>
      <c r="C1929" s="12" t="n"/>
      <c r="D1929" s="12" t="n"/>
      <c r="E1929" s="13" t="n"/>
      <c r="F1929" s="12" t="n"/>
      <c r="G1929" s="13" t="n"/>
      <c r="H1929" s="12" t="n"/>
      <c r="I1929" s="12" t="n"/>
      <c r="J1929" s="12" t="n"/>
      <c r="K1929" s="12" t="n"/>
      <c r="L1929" s="11" t="n"/>
      <c r="M1929" s="11" t="n"/>
      <c r="N1929" s="11" t="n"/>
      <c r="O1929" s="11" t="n"/>
      <c r="P1929" s="12" t="n"/>
      <c r="Q1929" s="11" t="n"/>
      <c r="R1929" s="12" t="n"/>
      <c r="S1929" s="11" t="n"/>
      <c r="T1929" s="12" t="n"/>
      <c r="U1929" s="12" t="n"/>
      <c r="V1929" s="14">
        <f>IF($AN1929="",IF($B1929="","",$H1929),IF(INDEX(職員マスタ!$B$6:$B$405,$AN1929)="",$H1929,INDEX(職員マスタ!$B$6:$B$405,$AN1929)))</f>
        <v/>
      </c>
      <c r="W1929" s="14">
        <f>IF($AN1929="",IF($B1929="","",$R1929),IF(INDEX(職員マスタ!$C$6:$C$405,$AN1929)="",$R1929,INDEX(職員マスタ!$C$6:$C$405,$AN1929)))</f>
        <v/>
      </c>
      <c r="X1929" s="14">
        <f>IF($AO1929="","","R"&amp;$C1929&amp;"."&amp;$D1929)</f>
        <v/>
      </c>
      <c r="Y1929" s="15">
        <f>IF($AN1929="","",IF(INDEX(職員マスタ!$K$6:$K$405,$AN1929)="","",INDEX(職員マスタ!$K$6:$K$405,$AN1929)))</f>
        <v/>
      </c>
      <c r="Z1929" s="14">
        <f>IF(OR($E1929="",$Y1929=""),"",IF($E1929&gt;=$Y1929,"×",IF($E1929&gt;=$Y1929*設定!$C$5,"△","○")))</f>
        <v/>
      </c>
      <c r="AA1929" s="15">
        <f>IF($Z1929="","",IF($Z1929="×",0,IF($Z1929="○",ROUNDDOWN($E1929*設定!$C$4,0),ROUNDDOWN($E1929*ROUND((9*$Y1929-9*$E1929)/(10*$E1929),4),0))))</f>
        <v/>
      </c>
      <c r="AB1929" s="13" t="n"/>
      <c r="AC1929" s="15">
        <f>IF($B1929="","",IF($AB1929&lt;&gt;"",$AB1929,IF($AA1929="","",IF($AA1929&lt;=設定!$C$3,0,$AA1929))))</f>
        <v/>
      </c>
      <c r="AD1929" s="14">
        <f>IF($B1929="","",IF(AND($AE1929&lt;&gt;"",$AG1929="",$AJ1929=""),"保留中",IF($AJ1929&lt;&gt;"",IF(N($AC1929)&gt;0,"支給済","不支給"),IF($AC1929="","要確認",IF($AC1929=0,"不支給","未処理")))))</f>
        <v/>
      </c>
      <c r="AE1929" s="12" t="n"/>
      <c r="AF1929" s="11" t="n"/>
      <c r="AG1929" s="11" t="n"/>
      <c r="AH1929" s="11" t="n"/>
      <c r="AI1929" s="14">
        <f>IF(AND($AD1929="保留中",$AF1929&lt;&gt;""),TODAY()-$AF1929,"")</f>
        <v/>
      </c>
      <c r="AJ1929" s="12" t="n"/>
      <c r="AK1929" s="14">
        <f>IF($B1929="","",IF($AO1929="","対象年月が未入力／","")&amp;IF($B1929="","",IF($AN1929="","職員マスタに未登録の職員番号／",IF($Y1929="","標準報酬月額が未登録／","")&amp;IF(AND($AO1929&lt;&gt;"",OR(AND(INDEX(職員マスタ!$G$6:$G$405,$AN1929)&lt;&gt;"",INDEX(職員マスタ!$G$6:$G$405,$AN1929)&gt;EOMONTH($AO1929,0)),AND(INDEX(職員マスタ!$H$6:$H$405,$AN1929)&lt;&gt;"",INDEX(職員マスタ!$H$6:$H$405,$AN1929)&lt;$AO1929))),"対象月が時短期間外／","")&amp;IF(AND(INDEX(職員マスタ!$F$6:$F$405,$AN1929)&lt;&gt;"",$AO1929&lt;&gt;"",INDEX(職員マスタ!$F$6:$F$405,$AN1929)&lt;$AO1929),"対象月に子が2歳到達済／","")&amp;IF(AND($H1929&lt;&gt;"",INDEX(職員マスタ!$B$6:$B$405,$AN1929)&lt;&gt;"",SUBSTITUTE(SUBSTITUTE($H1929," ","")," ","")&lt;&gt;SUBSTITUTE(SUBSTITUTE(INDEX(職員マスタ!$B$6:$B$405,$AN1929)," ","")," ","")),"氏名がマスタと相違／","")&amp;IF(AND($Q1929&lt;&gt;"",INDEX(職員マスタ!$E$6:$E$405,$AN1929)&lt;&gt;"",$Q1929&lt;&gt;INDEX(職員マスタ!$E$6:$E$405,$AN1929)),"子の生年月日がマスタと相違／","")&amp;IF(AND($L1929&lt;&gt;"",INDEX(職員マスタ!$G$6:$G$405,$AN1929)&lt;&gt;"",$L1929&lt;&gt;INDEX(職員マスタ!$G$6:$G$405,$AN1929)),"時短開始日がマスタと相違／","")&amp;IF(AND($M1929&lt;&gt;"",INDEX(職員マスタ!$H$6:$H$405,$AN1929)&lt;&gt;"",$M1929&lt;&gt;INDEX(職員マスタ!$H$6:$H$405,$AN1929)),"時短終了日がマスタと相違／","")))&amp;IF(AND($B1929&lt;&gt;"",$E1929=""),"報酬額が未入力／","")&amp;IF(N($U1929)&gt;0,"申請書に入力エラーが残っています／","")&amp;IF(AND($B1929&lt;&gt;"",$AO1929&lt;&gt;""),IF(COUNTIFS($B$6:$B$3005,$B1929,$C$6:$C$3005,$C1929,$D$6:$D$3005,$D1929)&gt;1,"同じ月の請求が重複しています／",""),"")&amp;IF(AND(N($E1929)&gt;0,$Z1929&lt;&gt;"",$Z1929&lt;&gt;"×",$AC1929=0,$AB1929=""),"計算額が下限以下のため不支給／",""))</f>
        <v/>
      </c>
      <c r="AL1929" s="12" t="n"/>
      <c r="AM1929" s="14">
        <f>IF($AD1929="保留中",COUNTIF($AD$6:$AD1929,"保留中"),"")</f>
        <v/>
      </c>
      <c r="AN1929" s="14">
        <f>IF($AO1929="","",IF(SUMPRODUCT(MAX((職員マスタ!$A$6:$A$405=$B1929)*(((職員マスタ!$G$6:$G$405="")+(職員マスタ!$G$6:$G$405&lt;=EOMONTH($AO1929,0)))&gt;0)*(((職員マスタ!$H$6:$H$405="")+(職員マスタ!$H$6:$H$405&gt;=$AO1929))&gt;0)*(ROW(職員マスタ!$A$6:$A$405)-5)))&gt;0,SUMPRODUCT(MAX((職員マスタ!$A$6:$A$405=$B1929)*(((職員マスタ!$G$6:$G$405="")+(職員マスタ!$G$6:$G$405&lt;=EOMONTH($AO1929,0)))&gt;0)*(((職員マスタ!$H$6:$H$405="")+(職員マスタ!$H$6:$H$405&gt;=$AO1929))&gt;0)*(ROW(職員マスタ!$A$6:$A$405)-5))),IFERROR(MATCH($B1929,職員マスタ!$A$6:$A$405,0),"")))</f>
        <v/>
      </c>
      <c r="AO1929" s="16">
        <f>IF(OR($B1929="",$C1929="",$D1929=""),"",DATE($C1929+2018,$D1929,1))</f>
        <v/>
      </c>
    </row>
    <row r="1930">
      <c r="A1930" s="11" t="n"/>
      <c r="B1930" s="12" t="n"/>
      <c r="C1930" s="12" t="n"/>
      <c r="D1930" s="12" t="n"/>
      <c r="E1930" s="13" t="n"/>
      <c r="F1930" s="12" t="n"/>
      <c r="G1930" s="13" t="n"/>
      <c r="H1930" s="12" t="n"/>
      <c r="I1930" s="12" t="n"/>
      <c r="J1930" s="12" t="n"/>
      <c r="K1930" s="12" t="n"/>
      <c r="L1930" s="11" t="n"/>
      <c r="M1930" s="11" t="n"/>
      <c r="N1930" s="11" t="n"/>
      <c r="O1930" s="11" t="n"/>
      <c r="P1930" s="12" t="n"/>
      <c r="Q1930" s="11" t="n"/>
      <c r="R1930" s="12" t="n"/>
      <c r="S1930" s="11" t="n"/>
      <c r="T1930" s="12" t="n"/>
      <c r="U1930" s="12" t="n"/>
      <c r="V1930" s="14">
        <f>IF($AN1930="",IF($B1930="","",$H1930),IF(INDEX(職員マスタ!$B$6:$B$405,$AN1930)="",$H1930,INDEX(職員マスタ!$B$6:$B$405,$AN1930)))</f>
        <v/>
      </c>
      <c r="W1930" s="14">
        <f>IF($AN1930="",IF($B1930="","",$R1930),IF(INDEX(職員マスタ!$C$6:$C$405,$AN1930)="",$R1930,INDEX(職員マスタ!$C$6:$C$405,$AN1930)))</f>
        <v/>
      </c>
      <c r="X1930" s="14">
        <f>IF($AO1930="","","R"&amp;$C1930&amp;"."&amp;$D1930)</f>
        <v/>
      </c>
      <c r="Y1930" s="15">
        <f>IF($AN1930="","",IF(INDEX(職員マスタ!$K$6:$K$405,$AN1930)="","",INDEX(職員マスタ!$K$6:$K$405,$AN1930)))</f>
        <v/>
      </c>
      <c r="Z1930" s="14">
        <f>IF(OR($E1930="",$Y1930=""),"",IF($E1930&gt;=$Y1930,"×",IF($E1930&gt;=$Y1930*設定!$C$5,"△","○")))</f>
        <v/>
      </c>
      <c r="AA1930" s="15">
        <f>IF($Z1930="","",IF($Z1930="×",0,IF($Z1930="○",ROUNDDOWN($E1930*設定!$C$4,0),ROUNDDOWN($E1930*ROUND((9*$Y1930-9*$E1930)/(10*$E1930),4),0))))</f>
        <v/>
      </c>
      <c r="AB1930" s="13" t="n"/>
      <c r="AC1930" s="15">
        <f>IF($B1930="","",IF($AB1930&lt;&gt;"",$AB1930,IF($AA1930="","",IF($AA1930&lt;=設定!$C$3,0,$AA1930))))</f>
        <v/>
      </c>
      <c r="AD1930" s="14">
        <f>IF($B1930="","",IF(AND($AE1930&lt;&gt;"",$AG1930="",$AJ1930=""),"保留中",IF($AJ1930&lt;&gt;"",IF(N($AC1930)&gt;0,"支給済","不支給"),IF($AC1930="","要確認",IF($AC1930=0,"不支給","未処理")))))</f>
        <v/>
      </c>
      <c r="AE1930" s="12" t="n"/>
      <c r="AF1930" s="11" t="n"/>
      <c r="AG1930" s="11" t="n"/>
      <c r="AH1930" s="11" t="n"/>
      <c r="AI1930" s="14">
        <f>IF(AND($AD1930="保留中",$AF1930&lt;&gt;""),TODAY()-$AF1930,"")</f>
        <v/>
      </c>
      <c r="AJ1930" s="12" t="n"/>
      <c r="AK1930" s="14">
        <f>IF($B1930="","",IF($AO1930="","対象年月が未入力／","")&amp;IF($B1930="","",IF($AN1930="","職員マスタに未登録の職員番号／",IF($Y1930="","標準報酬月額が未登録／","")&amp;IF(AND($AO1930&lt;&gt;"",OR(AND(INDEX(職員マスタ!$G$6:$G$405,$AN1930)&lt;&gt;"",INDEX(職員マスタ!$G$6:$G$405,$AN1930)&gt;EOMONTH($AO1930,0)),AND(INDEX(職員マスタ!$H$6:$H$405,$AN1930)&lt;&gt;"",INDEX(職員マスタ!$H$6:$H$405,$AN1930)&lt;$AO1930))),"対象月が時短期間外／","")&amp;IF(AND(INDEX(職員マスタ!$F$6:$F$405,$AN1930)&lt;&gt;"",$AO1930&lt;&gt;"",INDEX(職員マスタ!$F$6:$F$405,$AN1930)&lt;$AO1930),"対象月に子が2歳到達済／","")&amp;IF(AND($H1930&lt;&gt;"",INDEX(職員マスタ!$B$6:$B$405,$AN1930)&lt;&gt;"",SUBSTITUTE(SUBSTITUTE($H1930," ","")," ","")&lt;&gt;SUBSTITUTE(SUBSTITUTE(INDEX(職員マスタ!$B$6:$B$405,$AN1930)," ","")," ","")),"氏名がマスタと相違／","")&amp;IF(AND($Q1930&lt;&gt;"",INDEX(職員マスタ!$E$6:$E$405,$AN1930)&lt;&gt;"",$Q1930&lt;&gt;INDEX(職員マスタ!$E$6:$E$405,$AN1930)),"子の生年月日がマスタと相違／","")&amp;IF(AND($L1930&lt;&gt;"",INDEX(職員マスタ!$G$6:$G$405,$AN1930)&lt;&gt;"",$L1930&lt;&gt;INDEX(職員マスタ!$G$6:$G$405,$AN1930)),"時短開始日がマスタと相違／","")&amp;IF(AND($M1930&lt;&gt;"",INDEX(職員マスタ!$H$6:$H$405,$AN1930)&lt;&gt;"",$M1930&lt;&gt;INDEX(職員マスタ!$H$6:$H$405,$AN1930)),"時短終了日がマスタと相違／","")))&amp;IF(AND($B1930&lt;&gt;"",$E1930=""),"報酬額が未入力／","")&amp;IF(N($U1930)&gt;0,"申請書に入力エラーが残っています／","")&amp;IF(AND($B1930&lt;&gt;"",$AO1930&lt;&gt;""),IF(COUNTIFS($B$6:$B$3005,$B1930,$C$6:$C$3005,$C1930,$D$6:$D$3005,$D1930)&gt;1,"同じ月の請求が重複しています／",""),"")&amp;IF(AND(N($E1930)&gt;0,$Z1930&lt;&gt;"",$Z1930&lt;&gt;"×",$AC1930=0,$AB1930=""),"計算額が下限以下のため不支給／",""))</f>
        <v/>
      </c>
      <c r="AL1930" s="12" t="n"/>
      <c r="AM1930" s="14">
        <f>IF($AD1930="保留中",COUNTIF($AD$6:$AD1930,"保留中"),"")</f>
        <v/>
      </c>
      <c r="AN1930" s="14">
        <f>IF($AO1930="","",IF(SUMPRODUCT(MAX((職員マスタ!$A$6:$A$405=$B1930)*(((職員マスタ!$G$6:$G$405="")+(職員マスタ!$G$6:$G$405&lt;=EOMONTH($AO1930,0)))&gt;0)*(((職員マスタ!$H$6:$H$405="")+(職員マスタ!$H$6:$H$405&gt;=$AO1930))&gt;0)*(ROW(職員マスタ!$A$6:$A$405)-5)))&gt;0,SUMPRODUCT(MAX((職員マスタ!$A$6:$A$405=$B1930)*(((職員マスタ!$G$6:$G$405="")+(職員マスタ!$G$6:$G$405&lt;=EOMONTH($AO1930,0)))&gt;0)*(((職員マスタ!$H$6:$H$405="")+(職員マスタ!$H$6:$H$405&gt;=$AO1930))&gt;0)*(ROW(職員マスタ!$A$6:$A$405)-5))),IFERROR(MATCH($B1930,職員マスタ!$A$6:$A$405,0),"")))</f>
        <v/>
      </c>
      <c r="AO1930" s="16">
        <f>IF(OR($B1930="",$C1930="",$D1930=""),"",DATE($C1930+2018,$D1930,1))</f>
        <v/>
      </c>
    </row>
    <row r="1931">
      <c r="A1931" s="11" t="n"/>
      <c r="B1931" s="12" t="n"/>
      <c r="C1931" s="12" t="n"/>
      <c r="D1931" s="12" t="n"/>
      <c r="E1931" s="13" t="n"/>
      <c r="F1931" s="12" t="n"/>
      <c r="G1931" s="13" t="n"/>
      <c r="H1931" s="12" t="n"/>
      <c r="I1931" s="12" t="n"/>
      <c r="J1931" s="12" t="n"/>
      <c r="K1931" s="12" t="n"/>
      <c r="L1931" s="11" t="n"/>
      <c r="M1931" s="11" t="n"/>
      <c r="N1931" s="11" t="n"/>
      <c r="O1931" s="11" t="n"/>
      <c r="P1931" s="12" t="n"/>
      <c r="Q1931" s="11" t="n"/>
      <c r="R1931" s="12" t="n"/>
      <c r="S1931" s="11" t="n"/>
      <c r="T1931" s="12" t="n"/>
      <c r="U1931" s="12" t="n"/>
      <c r="V1931" s="14">
        <f>IF($AN1931="",IF($B1931="","",$H1931),IF(INDEX(職員マスタ!$B$6:$B$405,$AN1931)="",$H1931,INDEX(職員マスタ!$B$6:$B$405,$AN1931)))</f>
        <v/>
      </c>
      <c r="W1931" s="14">
        <f>IF($AN1931="",IF($B1931="","",$R1931),IF(INDEX(職員マスタ!$C$6:$C$405,$AN1931)="",$R1931,INDEX(職員マスタ!$C$6:$C$405,$AN1931)))</f>
        <v/>
      </c>
      <c r="X1931" s="14">
        <f>IF($AO1931="","","R"&amp;$C1931&amp;"."&amp;$D1931)</f>
        <v/>
      </c>
      <c r="Y1931" s="15">
        <f>IF($AN1931="","",IF(INDEX(職員マスタ!$K$6:$K$405,$AN1931)="","",INDEX(職員マスタ!$K$6:$K$405,$AN1931)))</f>
        <v/>
      </c>
      <c r="Z1931" s="14">
        <f>IF(OR($E1931="",$Y1931=""),"",IF($E1931&gt;=$Y1931,"×",IF($E1931&gt;=$Y1931*設定!$C$5,"△","○")))</f>
        <v/>
      </c>
      <c r="AA1931" s="15">
        <f>IF($Z1931="","",IF($Z1931="×",0,IF($Z1931="○",ROUNDDOWN($E1931*設定!$C$4,0),ROUNDDOWN($E1931*ROUND((9*$Y1931-9*$E1931)/(10*$E1931),4),0))))</f>
        <v/>
      </c>
      <c r="AB1931" s="13" t="n"/>
      <c r="AC1931" s="15">
        <f>IF($B1931="","",IF($AB1931&lt;&gt;"",$AB1931,IF($AA1931="","",IF($AA1931&lt;=設定!$C$3,0,$AA1931))))</f>
        <v/>
      </c>
      <c r="AD1931" s="14">
        <f>IF($B1931="","",IF(AND($AE1931&lt;&gt;"",$AG1931="",$AJ1931=""),"保留中",IF($AJ1931&lt;&gt;"",IF(N($AC1931)&gt;0,"支給済","不支給"),IF($AC1931="","要確認",IF($AC1931=0,"不支給","未処理")))))</f>
        <v/>
      </c>
      <c r="AE1931" s="12" t="n"/>
      <c r="AF1931" s="11" t="n"/>
      <c r="AG1931" s="11" t="n"/>
      <c r="AH1931" s="11" t="n"/>
      <c r="AI1931" s="14">
        <f>IF(AND($AD1931="保留中",$AF1931&lt;&gt;""),TODAY()-$AF1931,"")</f>
        <v/>
      </c>
      <c r="AJ1931" s="12" t="n"/>
      <c r="AK1931" s="14">
        <f>IF($B1931="","",IF($AO1931="","対象年月が未入力／","")&amp;IF($B1931="","",IF($AN1931="","職員マスタに未登録の職員番号／",IF($Y1931="","標準報酬月額が未登録／","")&amp;IF(AND($AO1931&lt;&gt;"",OR(AND(INDEX(職員マスタ!$G$6:$G$405,$AN1931)&lt;&gt;"",INDEX(職員マスタ!$G$6:$G$405,$AN1931)&gt;EOMONTH($AO1931,0)),AND(INDEX(職員マスタ!$H$6:$H$405,$AN1931)&lt;&gt;"",INDEX(職員マスタ!$H$6:$H$405,$AN1931)&lt;$AO1931))),"対象月が時短期間外／","")&amp;IF(AND(INDEX(職員マスタ!$F$6:$F$405,$AN1931)&lt;&gt;"",$AO1931&lt;&gt;"",INDEX(職員マスタ!$F$6:$F$405,$AN1931)&lt;$AO1931),"対象月に子が2歳到達済／","")&amp;IF(AND($H1931&lt;&gt;"",INDEX(職員マスタ!$B$6:$B$405,$AN1931)&lt;&gt;"",SUBSTITUTE(SUBSTITUTE($H1931," ","")," ","")&lt;&gt;SUBSTITUTE(SUBSTITUTE(INDEX(職員マスタ!$B$6:$B$405,$AN1931)," ","")," ","")),"氏名がマスタと相違／","")&amp;IF(AND($Q1931&lt;&gt;"",INDEX(職員マスタ!$E$6:$E$405,$AN1931)&lt;&gt;"",$Q1931&lt;&gt;INDEX(職員マスタ!$E$6:$E$405,$AN1931)),"子の生年月日がマスタと相違／","")&amp;IF(AND($L1931&lt;&gt;"",INDEX(職員マスタ!$G$6:$G$405,$AN1931)&lt;&gt;"",$L1931&lt;&gt;INDEX(職員マスタ!$G$6:$G$405,$AN1931)),"時短開始日がマスタと相違／","")&amp;IF(AND($M1931&lt;&gt;"",INDEX(職員マスタ!$H$6:$H$405,$AN1931)&lt;&gt;"",$M1931&lt;&gt;INDEX(職員マスタ!$H$6:$H$405,$AN1931)),"時短終了日がマスタと相違／","")))&amp;IF(AND($B1931&lt;&gt;"",$E1931=""),"報酬額が未入力／","")&amp;IF(N($U1931)&gt;0,"申請書に入力エラーが残っています／","")&amp;IF(AND($B1931&lt;&gt;"",$AO1931&lt;&gt;""),IF(COUNTIFS($B$6:$B$3005,$B1931,$C$6:$C$3005,$C1931,$D$6:$D$3005,$D1931)&gt;1,"同じ月の請求が重複しています／",""),"")&amp;IF(AND(N($E1931)&gt;0,$Z1931&lt;&gt;"",$Z1931&lt;&gt;"×",$AC1931=0,$AB1931=""),"計算額が下限以下のため不支給／",""))</f>
        <v/>
      </c>
      <c r="AL1931" s="12" t="n"/>
      <c r="AM1931" s="14">
        <f>IF($AD1931="保留中",COUNTIF($AD$6:$AD1931,"保留中"),"")</f>
        <v/>
      </c>
      <c r="AN1931" s="14">
        <f>IF($AO1931="","",IF(SUMPRODUCT(MAX((職員マスタ!$A$6:$A$405=$B1931)*(((職員マスタ!$G$6:$G$405="")+(職員マスタ!$G$6:$G$405&lt;=EOMONTH($AO1931,0)))&gt;0)*(((職員マスタ!$H$6:$H$405="")+(職員マスタ!$H$6:$H$405&gt;=$AO1931))&gt;0)*(ROW(職員マスタ!$A$6:$A$405)-5)))&gt;0,SUMPRODUCT(MAX((職員マスタ!$A$6:$A$405=$B1931)*(((職員マスタ!$G$6:$G$405="")+(職員マスタ!$G$6:$G$405&lt;=EOMONTH($AO1931,0)))&gt;0)*(((職員マスタ!$H$6:$H$405="")+(職員マスタ!$H$6:$H$405&gt;=$AO1931))&gt;0)*(ROW(職員マスタ!$A$6:$A$405)-5))),IFERROR(MATCH($B1931,職員マスタ!$A$6:$A$405,0),"")))</f>
        <v/>
      </c>
      <c r="AO1931" s="16">
        <f>IF(OR($B1931="",$C1931="",$D1931=""),"",DATE($C1931+2018,$D1931,1))</f>
        <v/>
      </c>
    </row>
    <row r="1932">
      <c r="A1932" s="11" t="n"/>
      <c r="B1932" s="12" t="n"/>
      <c r="C1932" s="12" t="n"/>
      <c r="D1932" s="12" t="n"/>
      <c r="E1932" s="13" t="n"/>
      <c r="F1932" s="12" t="n"/>
      <c r="G1932" s="13" t="n"/>
      <c r="H1932" s="12" t="n"/>
      <c r="I1932" s="12" t="n"/>
      <c r="J1932" s="12" t="n"/>
      <c r="K1932" s="12" t="n"/>
      <c r="L1932" s="11" t="n"/>
      <c r="M1932" s="11" t="n"/>
      <c r="N1932" s="11" t="n"/>
      <c r="O1932" s="11" t="n"/>
      <c r="P1932" s="12" t="n"/>
      <c r="Q1932" s="11" t="n"/>
      <c r="R1932" s="12" t="n"/>
      <c r="S1932" s="11" t="n"/>
      <c r="T1932" s="12" t="n"/>
      <c r="U1932" s="12" t="n"/>
      <c r="V1932" s="14">
        <f>IF($AN1932="",IF($B1932="","",$H1932),IF(INDEX(職員マスタ!$B$6:$B$405,$AN1932)="",$H1932,INDEX(職員マスタ!$B$6:$B$405,$AN1932)))</f>
        <v/>
      </c>
      <c r="W1932" s="14">
        <f>IF($AN1932="",IF($B1932="","",$R1932),IF(INDEX(職員マスタ!$C$6:$C$405,$AN1932)="",$R1932,INDEX(職員マスタ!$C$6:$C$405,$AN1932)))</f>
        <v/>
      </c>
      <c r="X1932" s="14">
        <f>IF($AO1932="","","R"&amp;$C1932&amp;"."&amp;$D1932)</f>
        <v/>
      </c>
      <c r="Y1932" s="15">
        <f>IF($AN1932="","",IF(INDEX(職員マスタ!$K$6:$K$405,$AN1932)="","",INDEX(職員マスタ!$K$6:$K$405,$AN1932)))</f>
        <v/>
      </c>
      <c r="Z1932" s="14">
        <f>IF(OR($E1932="",$Y1932=""),"",IF($E1932&gt;=$Y1932,"×",IF($E1932&gt;=$Y1932*設定!$C$5,"△","○")))</f>
        <v/>
      </c>
      <c r="AA1932" s="15">
        <f>IF($Z1932="","",IF($Z1932="×",0,IF($Z1932="○",ROUNDDOWN($E1932*設定!$C$4,0),ROUNDDOWN($E1932*ROUND((9*$Y1932-9*$E1932)/(10*$E1932),4),0))))</f>
        <v/>
      </c>
      <c r="AB1932" s="13" t="n"/>
      <c r="AC1932" s="15">
        <f>IF($B1932="","",IF($AB1932&lt;&gt;"",$AB1932,IF($AA1932="","",IF($AA1932&lt;=設定!$C$3,0,$AA1932))))</f>
        <v/>
      </c>
      <c r="AD1932" s="14">
        <f>IF($B1932="","",IF(AND($AE1932&lt;&gt;"",$AG1932="",$AJ1932=""),"保留中",IF($AJ1932&lt;&gt;"",IF(N($AC1932)&gt;0,"支給済","不支給"),IF($AC1932="","要確認",IF($AC1932=0,"不支給","未処理")))))</f>
        <v/>
      </c>
      <c r="AE1932" s="12" t="n"/>
      <c r="AF1932" s="11" t="n"/>
      <c r="AG1932" s="11" t="n"/>
      <c r="AH1932" s="11" t="n"/>
      <c r="AI1932" s="14">
        <f>IF(AND($AD1932="保留中",$AF1932&lt;&gt;""),TODAY()-$AF1932,"")</f>
        <v/>
      </c>
      <c r="AJ1932" s="12" t="n"/>
      <c r="AK1932" s="14">
        <f>IF($B1932="","",IF($AO1932="","対象年月が未入力／","")&amp;IF($B1932="","",IF($AN1932="","職員マスタに未登録の職員番号／",IF($Y1932="","標準報酬月額が未登録／","")&amp;IF(AND($AO1932&lt;&gt;"",OR(AND(INDEX(職員マスタ!$G$6:$G$405,$AN1932)&lt;&gt;"",INDEX(職員マスタ!$G$6:$G$405,$AN1932)&gt;EOMONTH($AO1932,0)),AND(INDEX(職員マスタ!$H$6:$H$405,$AN1932)&lt;&gt;"",INDEX(職員マスタ!$H$6:$H$405,$AN1932)&lt;$AO1932))),"対象月が時短期間外／","")&amp;IF(AND(INDEX(職員マスタ!$F$6:$F$405,$AN1932)&lt;&gt;"",$AO1932&lt;&gt;"",INDEX(職員マスタ!$F$6:$F$405,$AN1932)&lt;$AO1932),"対象月に子が2歳到達済／","")&amp;IF(AND($H1932&lt;&gt;"",INDEX(職員マスタ!$B$6:$B$405,$AN1932)&lt;&gt;"",SUBSTITUTE(SUBSTITUTE($H1932," ","")," ","")&lt;&gt;SUBSTITUTE(SUBSTITUTE(INDEX(職員マスタ!$B$6:$B$405,$AN1932)," ","")," ","")),"氏名がマスタと相違／","")&amp;IF(AND($Q1932&lt;&gt;"",INDEX(職員マスタ!$E$6:$E$405,$AN1932)&lt;&gt;"",$Q1932&lt;&gt;INDEX(職員マスタ!$E$6:$E$405,$AN1932)),"子の生年月日がマスタと相違／","")&amp;IF(AND($L1932&lt;&gt;"",INDEX(職員マスタ!$G$6:$G$405,$AN1932)&lt;&gt;"",$L1932&lt;&gt;INDEX(職員マスタ!$G$6:$G$405,$AN1932)),"時短開始日がマスタと相違／","")&amp;IF(AND($M1932&lt;&gt;"",INDEX(職員マスタ!$H$6:$H$405,$AN1932)&lt;&gt;"",$M1932&lt;&gt;INDEX(職員マスタ!$H$6:$H$405,$AN1932)),"時短終了日がマスタと相違／","")))&amp;IF(AND($B1932&lt;&gt;"",$E1932=""),"報酬額が未入力／","")&amp;IF(N($U1932)&gt;0,"申請書に入力エラーが残っています／","")&amp;IF(AND($B1932&lt;&gt;"",$AO1932&lt;&gt;""),IF(COUNTIFS($B$6:$B$3005,$B1932,$C$6:$C$3005,$C1932,$D$6:$D$3005,$D1932)&gt;1,"同じ月の請求が重複しています／",""),"")&amp;IF(AND(N($E1932)&gt;0,$Z1932&lt;&gt;"",$Z1932&lt;&gt;"×",$AC1932=0,$AB1932=""),"計算額が下限以下のため不支給／",""))</f>
        <v/>
      </c>
      <c r="AL1932" s="12" t="n"/>
      <c r="AM1932" s="14">
        <f>IF($AD1932="保留中",COUNTIF($AD$6:$AD1932,"保留中"),"")</f>
        <v/>
      </c>
      <c r="AN1932" s="14">
        <f>IF($AO1932="","",IF(SUMPRODUCT(MAX((職員マスタ!$A$6:$A$405=$B1932)*(((職員マスタ!$G$6:$G$405="")+(職員マスタ!$G$6:$G$405&lt;=EOMONTH($AO1932,0)))&gt;0)*(((職員マスタ!$H$6:$H$405="")+(職員マスタ!$H$6:$H$405&gt;=$AO1932))&gt;0)*(ROW(職員マスタ!$A$6:$A$405)-5)))&gt;0,SUMPRODUCT(MAX((職員マスタ!$A$6:$A$405=$B1932)*(((職員マスタ!$G$6:$G$405="")+(職員マスタ!$G$6:$G$405&lt;=EOMONTH($AO1932,0)))&gt;0)*(((職員マスタ!$H$6:$H$405="")+(職員マスタ!$H$6:$H$405&gt;=$AO1932))&gt;0)*(ROW(職員マスタ!$A$6:$A$405)-5))),IFERROR(MATCH($B1932,職員マスタ!$A$6:$A$405,0),"")))</f>
        <v/>
      </c>
      <c r="AO1932" s="16">
        <f>IF(OR($B1932="",$C1932="",$D1932=""),"",DATE($C1932+2018,$D1932,1))</f>
        <v/>
      </c>
    </row>
    <row r="1933">
      <c r="A1933" s="11" t="n"/>
      <c r="B1933" s="12" t="n"/>
      <c r="C1933" s="12" t="n"/>
      <c r="D1933" s="12" t="n"/>
      <c r="E1933" s="13" t="n"/>
      <c r="F1933" s="12" t="n"/>
      <c r="G1933" s="13" t="n"/>
      <c r="H1933" s="12" t="n"/>
      <c r="I1933" s="12" t="n"/>
      <c r="J1933" s="12" t="n"/>
      <c r="K1933" s="12" t="n"/>
      <c r="L1933" s="11" t="n"/>
      <c r="M1933" s="11" t="n"/>
      <c r="N1933" s="11" t="n"/>
      <c r="O1933" s="11" t="n"/>
      <c r="P1933" s="12" t="n"/>
      <c r="Q1933" s="11" t="n"/>
      <c r="R1933" s="12" t="n"/>
      <c r="S1933" s="11" t="n"/>
      <c r="T1933" s="12" t="n"/>
      <c r="U1933" s="12" t="n"/>
      <c r="V1933" s="14">
        <f>IF($AN1933="",IF($B1933="","",$H1933),IF(INDEX(職員マスタ!$B$6:$B$405,$AN1933)="",$H1933,INDEX(職員マスタ!$B$6:$B$405,$AN1933)))</f>
        <v/>
      </c>
      <c r="W1933" s="14">
        <f>IF($AN1933="",IF($B1933="","",$R1933),IF(INDEX(職員マスタ!$C$6:$C$405,$AN1933)="",$R1933,INDEX(職員マスタ!$C$6:$C$405,$AN1933)))</f>
        <v/>
      </c>
      <c r="X1933" s="14">
        <f>IF($AO1933="","","R"&amp;$C1933&amp;"."&amp;$D1933)</f>
        <v/>
      </c>
      <c r="Y1933" s="15">
        <f>IF($AN1933="","",IF(INDEX(職員マスタ!$K$6:$K$405,$AN1933)="","",INDEX(職員マスタ!$K$6:$K$405,$AN1933)))</f>
        <v/>
      </c>
      <c r="Z1933" s="14">
        <f>IF(OR($E1933="",$Y1933=""),"",IF($E1933&gt;=$Y1933,"×",IF($E1933&gt;=$Y1933*設定!$C$5,"△","○")))</f>
        <v/>
      </c>
      <c r="AA1933" s="15">
        <f>IF($Z1933="","",IF($Z1933="×",0,IF($Z1933="○",ROUNDDOWN($E1933*設定!$C$4,0),ROUNDDOWN($E1933*ROUND((9*$Y1933-9*$E1933)/(10*$E1933),4),0))))</f>
        <v/>
      </c>
      <c r="AB1933" s="13" t="n"/>
      <c r="AC1933" s="15">
        <f>IF($B1933="","",IF($AB1933&lt;&gt;"",$AB1933,IF($AA1933="","",IF($AA1933&lt;=設定!$C$3,0,$AA1933))))</f>
        <v/>
      </c>
      <c r="AD1933" s="14">
        <f>IF($B1933="","",IF(AND($AE1933&lt;&gt;"",$AG1933="",$AJ1933=""),"保留中",IF($AJ1933&lt;&gt;"",IF(N($AC1933)&gt;0,"支給済","不支給"),IF($AC1933="","要確認",IF($AC1933=0,"不支給","未処理")))))</f>
        <v/>
      </c>
      <c r="AE1933" s="12" t="n"/>
      <c r="AF1933" s="11" t="n"/>
      <c r="AG1933" s="11" t="n"/>
      <c r="AH1933" s="11" t="n"/>
      <c r="AI1933" s="14">
        <f>IF(AND($AD1933="保留中",$AF1933&lt;&gt;""),TODAY()-$AF1933,"")</f>
        <v/>
      </c>
      <c r="AJ1933" s="12" t="n"/>
      <c r="AK1933" s="14">
        <f>IF($B1933="","",IF($AO1933="","対象年月が未入力／","")&amp;IF($B1933="","",IF($AN1933="","職員マスタに未登録の職員番号／",IF($Y1933="","標準報酬月額が未登録／","")&amp;IF(AND($AO1933&lt;&gt;"",OR(AND(INDEX(職員マスタ!$G$6:$G$405,$AN1933)&lt;&gt;"",INDEX(職員マスタ!$G$6:$G$405,$AN1933)&gt;EOMONTH($AO1933,0)),AND(INDEX(職員マスタ!$H$6:$H$405,$AN1933)&lt;&gt;"",INDEX(職員マスタ!$H$6:$H$405,$AN1933)&lt;$AO1933))),"対象月が時短期間外／","")&amp;IF(AND(INDEX(職員マスタ!$F$6:$F$405,$AN1933)&lt;&gt;"",$AO1933&lt;&gt;"",INDEX(職員マスタ!$F$6:$F$405,$AN1933)&lt;$AO1933),"対象月に子が2歳到達済／","")&amp;IF(AND($H1933&lt;&gt;"",INDEX(職員マスタ!$B$6:$B$405,$AN1933)&lt;&gt;"",SUBSTITUTE(SUBSTITUTE($H1933," ","")," ","")&lt;&gt;SUBSTITUTE(SUBSTITUTE(INDEX(職員マスタ!$B$6:$B$405,$AN1933)," ","")," ","")),"氏名がマスタと相違／","")&amp;IF(AND($Q1933&lt;&gt;"",INDEX(職員マスタ!$E$6:$E$405,$AN1933)&lt;&gt;"",$Q1933&lt;&gt;INDEX(職員マスタ!$E$6:$E$405,$AN1933)),"子の生年月日がマスタと相違／","")&amp;IF(AND($L1933&lt;&gt;"",INDEX(職員マスタ!$G$6:$G$405,$AN1933)&lt;&gt;"",$L1933&lt;&gt;INDEX(職員マスタ!$G$6:$G$405,$AN1933)),"時短開始日がマスタと相違／","")&amp;IF(AND($M1933&lt;&gt;"",INDEX(職員マスタ!$H$6:$H$405,$AN1933)&lt;&gt;"",$M1933&lt;&gt;INDEX(職員マスタ!$H$6:$H$405,$AN1933)),"時短終了日がマスタと相違／","")))&amp;IF(AND($B1933&lt;&gt;"",$E1933=""),"報酬額が未入力／","")&amp;IF(N($U1933)&gt;0,"申請書に入力エラーが残っています／","")&amp;IF(AND($B1933&lt;&gt;"",$AO1933&lt;&gt;""),IF(COUNTIFS($B$6:$B$3005,$B1933,$C$6:$C$3005,$C1933,$D$6:$D$3005,$D1933)&gt;1,"同じ月の請求が重複しています／",""),"")&amp;IF(AND(N($E1933)&gt;0,$Z1933&lt;&gt;"",$Z1933&lt;&gt;"×",$AC1933=0,$AB1933=""),"計算額が下限以下のため不支給／",""))</f>
        <v/>
      </c>
      <c r="AL1933" s="12" t="n"/>
      <c r="AM1933" s="14">
        <f>IF($AD1933="保留中",COUNTIF($AD$6:$AD1933,"保留中"),"")</f>
        <v/>
      </c>
      <c r="AN1933" s="14">
        <f>IF($AO1933="","",IF(SUMPRODUCT(MAX((職員マスタ!$A$6:$A$405=$B1933)*(((職員マスタ!$G$6:$G$405="")+(職員マスタ!$G$6:$G$405&lt;=EOMONTH($AO1933,0)))&gt;0)*(((職員マスタ!$H$6:$H$405="")+(職員マスタ!$H$6:$H$405&gt;=$AO1933))&gt;0)*(ROW(職員マスタ!$A$6:$A$405)-5)))&gt;0,SUMPRODUCT(MAX((職員マスタ!$A$6:$A$405=$B1933)*(((職員マスタ!$G$6:$G$405="")+(職員マスタ!$G$6:$G$405&lt;=EOMONTH($AO1933,0)))&gt;0)*(((職員マスタ!$H$6:$H$405="")+(職員マスタ!$H$6:$H$405&gt;=$AO1933))&gt;0)*(ROW(職員マスタ!$A$6:$A$405)-5))),IFERROR(MATCH($B1933,職員マスタ!$A$6:$A$405,0),"")))</f>
        <v/>
      </c>
      <c r="AO1933" s="16">
        <f>IF(OR($B1933="",$C1933="",$D1933=""),"",DATE($C1933+2018,$D1933,1))</f>
        <v/>
      </c>
    </row>
    <row r="1934">
      <c r="A1934" s="11" t="n"/>
      <c r="B1934" s="12" t="n"/>
      <c r="C1934" s="12" t="n"/>
      <c r="D1934" s="12" t="n"/>
      <c r="E1934" s="13" t="n"/>
      <c r="F1934" s="12" t="n"/>
      <c r="G1934" s="13" t="n"/>
      <c r="H1934" s="12" t="n"/>
      <c r="I1934" s="12" t="n"/>
      <c r="J1934" s="12" t="n"/>
      <c r="K1934" s="12" t="n"/>
      <c r="L1934" s="11" t="n"/>
      <c r="M1934" s="11" t="n"/>
      <c r="N1934" s="11" t="n"/>
      <c r="O1934" s="11" t="n"/>
      <c r="P1934" s="12" t="n"/>
      <c r="Q1934" s="11" t="n"/>
      <c r="R1934" s="12" t="n"/>
      <c r="S1934" s="11" t="n"/>
      <c r="T1934" s="12" t="n"/>
      <c r="U1934" s="12" t="n"/>
      <c r="V1934" s="14">
        <f>IF($AN1934="",IF($B1934="","",$H1934),IF(INDEX(職員マスタ!$B$6:$B$405,$AN1934)="",$H1934,INDEX(職員マスタ!$B$6:$B$405,$AN1934)))</f>
        <v/>
      </c>
      <c r="W1934" s="14">
        <f>IF($AN1934="",IF($B1934="","",$R1934),IF(INDEX(職員マスタ!$C$6:$C$405,$AN1934)="",$R1934,INDEX(職員マスタ!$C$6:$C$405,$AN1934)))</f>
        <v/>
      </c>
      <c r="X1934" s="14">
        <f>IF($AO1934="","","R"&amp;$C1934&amp;"."&amp;$D1934)</f>
        <v/>
      </c>
      <c r="Y1934" s="15">
        <f>IF($AN1934="","",IF(INDEX(職員マスタ!$K$6:$K$405,$AN1934)="","",INDEX(職員マスタ!$K$6:$K$405,$AN1934)))</f>
        <v/>
      </c>
      <c r="Z1934" s="14">
        <f>IF(OR($E1934="",$Y1934=""),"",IF($E1934&gt;=$Y1934,"×",IF($E1934&gt;=$Y1934*設定!$C$5,"△","○")))</f>
        <v/>
      </c>
      <c r="AA1934" s="15">
        <f>IF($Z1934="","",IF($Z1934="×",0,IF($Z1934="○",ROUNDDOWN($E1934*設定!$C$4,0),ROUNDDOWN($E1934*ROUND((9*$Y1934-9*$E1934)/(10*$E1934),4),0))))</f>
        <v/>
      </c>
      <c r="AB1934" s="13" t="n"/>
      <c r="AC1934" s="15">
        <f>IF($B1934="","",IF($AB1934&lt;&gt;"",$AB1934,IF($AA1934="","",IF($AA1934&lt;=設定!$C$3,0,$AA1934))))</f>
        <v/>
      </c>
      <c r="AD1934" s="14">
        <f>IF($B1934="","",IF(AND($AE1934&lt;&gt;"",$AG1934="",$AJ1934=""),"保留中",IF($AJ1934&lt;&gt;"",IF(N($AC1934)&gt;0,"支給済","不支給"),IF($AC1934="","要確認",IF($AC1934=0,"不支給","未処理")))))</f>
        <v/>
      </c>
      <c r="AE1934" s="12" t="n"/>
      <c r="AF1934" s="11" t="n"/>
      <c r="AG1934" s="11" t="n"/>
      <c r="AH1934" s="11" t="n"/>
      <c r="AI1934" s="14">
        <f>IF(AND($AD1934="保留中",$AF1934&lt;&gt;""),TODAY()-$AF1934,"")</f>
        <v/>
      </c>
      <c r="AJ1934" s="12" t="n"/>
      <c r="AK1934" s="14">
        <f>IF($B1934="","",IF($AO1934="","対象年月が未入力／","")&amp;IF($B1934="","",IF($AN1934="","職員マスタに未登録の職員番号／",IF($Y1934="","標準報酬月額が未登録／","")&amp;IF(AND($AO1934&lt;&gt;"",OR(AND(INDEX(職員マスタ!$G$6:$G$405,$AN1934)&lt;&gt;"",INDEX(職員マスタ!$G$6:$G$405,$AN1934)&gt;EOMONTH($AO1934,0)),AND(INDEX(職員マスタ!$H$6:$H$405,$AN1934)&lt;&gt;"",INDEX(職員マスタ!$H$6:$H$405,$AN1934)&lt;$AO1934))),"対象月が時短期間外／","")&amp;IF(AND(INDEX(職員マスタ!$F$6:$F$405,$AN1934)&lt;&gt;"",$AO1934&lt;&gt;"",INDEX(職員マスタ!$F$6:$F$405,$AN1934)&lt;$AO1934),"対象月に子が2歳到達済／","")&amp;IF(AND($H1934&lt;&gt;"",INDEX(職員マスタ!$B$6:$B$405,$AN1934)&lt;&gt;"",SUBSTITUTE(SUBSTITUTE($H1934," ","")," ","")&lt;&gt;SUBSTITUTE(SUBSTITUTE(INDEX(職員マスタ!$B$6:$B$405,$AN1934)," ","")," ","")),"氏名がマスタと相違／","")&amp;IF(AND($Q1934&lt;&gt;"",INDEX(職員マスタ!$E$6:$E$405,$AN1934)&lt;&gt;"",$Q1934&lt;&gt;INDEX(職員マスタ!$E$6:$E$405,$AN1934)),"子の生年月日がマスタと相違／","")&amp;IF(AND($L1934&lt;&gt;"",INDEX(職員マスタ!$G$6:$G$405,$AN1934)&lt;&gt;"",$L1934&lt;&gt;INDEX(職員マスタ!$G$6:$G$405,$AN1934)),"時短開始日がマスタと相違／","")&amp;IF(AND($M1934&lt;&gt;"",INDEX(職員マスタ!$H$6:$H$405,$AN1934)&lt;&gt;"",$M1934&lt;&gt;INDEX(職員マスタ!$H$6:$H$405,$AN1934)),"時短終了日がマスタと相違／","")))&amp;IF(AND($B1934&lt;&gt;"",$E1934=""),"報酬額が未入力／","")&amp;IF(N($U1934)&gt;0,"申請書に入力エラーが残っています／","")&amp;IF(AND($B1934&lt;&gt;"",$AO1934&lt;&gt;""),IF(COUNTIFS($B$6:$B$3005,$B1934,$C$6:$C$3005,$C1934,$D$6:$D$3005,$D1934)&gt;1,"同じ月の請求が重複しています／",""),"")&amp;IF(AND(N($E1934)&gt;0,$Z1934&lt;&gt;"",$Z1934&lt;&gt;"×",$AC1934=0,$AB1934=""),"計算額が下限以下のため不支給／",""))</f>
        <v/>
      </c>
      <c r="AL1934" s="12" t="n"/>
      <c r="AM1934" s="14">
        <f>IF($AD1934="保留中",COUNTIF($AD$6:$AD1934,"保留中"),"")</f>
        <v/>
      </c>
      <c r="AN1934" s="14">
        <f>IF($AO1934="","",IF(SUMPRODUCT(MAX((職員マスタ!$A$6:$A$405=$B1934)*(((職員マスタ!$G$6:$G$405="")+(職員マスタ!$G$6:$G$405&lt;=EOMONTH($AO1934,0)))&gt;0)*(((職員マスタ!$H$6:$H$405="")+(職員マスタ!$H$6:$H$405&gt;=$AO1934))&gt;0)*(ROW(職員マスタ!$A$6:$A$405)-5)))&gt;0,SUMPRODUCT(MAX((職員マスタ!$A$6:$A$405=$B1934)*(((職員マスタ!$G$6:$G$405="")+(職員マスタ!$G$6:$G$405&lt;=EOMONTH($AO1934,0)))&gt;0)*(((職員マスタ!$H$6:$H$405="")+(職員マスタ!$H$6:$H$405&gt;=$AO1934))&gt;0)*(ROW(職員マスタ!$A$6:$A$405)-5))),IFERROR(MATCH($B1934,職員マスタ!$A$6:$A$405,0),"")))</f>
        <v/>
      </c>
      <c r="AO1934" s="16">
        <f>IF(OR($B1934="",$C1934="",$D1934=""),"",DATE($C1934+2018,$D1934,1))</f>
        <v/>
      </c>
    </row>
    <row r="1935">
      <c r="A1935" s="11" t="n"/>
      <c r="B1935" s="12" t="n"/>
      <c r="C1935" s="12" t="n"/>
      <c r="D1935" s="12" t="n"/>
      <c r="E1935" s="13" t="n"/>
      <c r="F1935" s="12" t="n"/>
      <c r="G1935" s="13" t="n"/>
      <c r="H1935" s="12" t="n"/>
      <c r="I1935" s="12" t="n"/>
      <c r="J1935" s="12" t="n"/>
      <c r="K1935" s="12" t="n"/>
      <c r="L1935" s="11" t="n"/>
      <c r="M1935" s="11" t="n"/>
      <c r="N1935" s="11" t="n"/>
      <c r="O1935" s="11" t="n"/>
      <c r="P1935" s="12" t="n"/>
      <c r="Q1935" s="11" t="n"/>
      <c r="R1935" s="12" t="n"/>
      <c r="S1935" s="11" t="n"/>
      <c r="T1935" s="12" t="n"/>
      <c r="U1935" s="12" t="n"/>
      <c r="V1935" s="14">
        <f>IF($AN1935="",IF($B1935="","",$H1935),IF(INDEX(職員マスタ!$B$6:$B$405,$AN1935)="",$H1935,INDEX(職員マスタ!$B$6:$B$405,$AN1935)))</f>
        <v/>
      </c>
      <c r="W1935" s="14">
        <f>IF($AN1935="",IF($B1935="","",$R1935),IF(INDEX(職員マスタ!$C$6:$C$405,$AN1935)="",$R1935,INDEX(職員マスタ!$C$6:$C$405,$AN1935)))</f>
        <v/>
      </c>
      <c r="X1935" s="14">
        <f>IF($AO1935="","","R"&amp;$C1935&amp;"."&amp;$D1935)</f>
        <v/>
      </c>
      <c r="Y1935" s="15">
        <f>IF($AN1935="","",IF(INDEX(職員マスタ!$K$6:$K$405,$AN1935)="","",INDEX(職員マスタ!$K$6:$K$405,$AN1935)))</f>
        <v/>
      </c>
      <c r="Z1935" s="14">
        <f>IF(OR($E1935="",$Y1935=""),"",IF($E1935&gt;=$Y1935,"×",IF($E1935&gt;=$Y1935*設定!$C$5,"△","○")))</f>
        <v/>
      </c>
      <c r="AA1935" s="15">
        <f>IF($Z1935="","",IF($Z1935="×",0,IF($Z1935="○",ROUNDDOWN($E1935*設定!$C$4,0),ROUNDDOWN($E1935*ROUND((9*$Y1935-9*$E1935)/(10*$E1935),4),0))))</f>
        <v/>
      </c>
      <c r="AB1935" s="13" t="n"/>
      <c r="AC1935" s="15">
        <f>IF($B1935="","",IF($AB1935&lt;&gt;"",$AB1935,IF($AA1935="","",IF($AA1935&lt;=設定!$C$3,0,$AA1935))))</f>
        <v/>
      </c>
      <c r="AD1935" s="14">
        <f>IF($B1935="","",IF(AND($AE1935&lt;&gt;"",$AG1935="",$AJ1935=""),"保留中",IF($AJ1935&lt;&gt;"",IF(N($AC1935)&gt;0,"支給済","不支給"),IF($AC1935="","要確認",IF($AC1935=0,"不支給","未処理")))))</f>
        <v/>
      </c>
      <c r="AE1935" s="12" t="n"/>
      <c r="AF1935" s="11" t="n"/>
      <c r="AG1935" s="11" t="n"/>
      <c r="AH1935" s="11" t="n"/>
      <c r="AI1935" s="14">
        <f>IF(AND($AD1935="保留中",$AF1935&lt;&gt;""),TODAY()-$AF1935,"")</f>
        <v/>
      </c>
      <c r="AJ1935" s="12" t="n"/>
      <c r="AK1935" s="14">
        <f>IF($B1935="","",IF($AO1935="","対象年月が未入力／","")&amp;IF($B1935="","",IF($AN1935="","職員マスタに未登録の職員番号／",IF($Y1935="","標準報酬月額が未登録／","")&amp;IF(AND($AO1935&lt;&gt;"",OR(AND(INDEX(職員マスタ!$G$6:$G$405,$AN1935)&lt;&gt;"",INDEX(職員マスタ!$G$6:$G$405,$AN1935)&gt;EOMONTH($AO1935,0)),AND(INDEX(職員マスタ!$H$6:$H$405,$AN1935)&lt;&gt;"",INDEX(職員マスタ!$H$6:$H$405,$AN1935)&lt;$AO1935))),"対象月が時短期間外／","")&amp;IF(AND(INDEX(職員マスタ!$F$6:$F$405,$AN1935)&lt;&gt;"",$AO1935&lt;&gt;"",INDEX(職員マスタ!$F$6:$F$405,$AN1935)&lt;$AO1935),"対象月に子が2歳到達済／","")&amp;IF(AND($H1935&lt;&gt;"",INDEX(職員マスタ!$B$6:$B$405,$AN1935)&lt;&gt;"",SUBSTITUTE(SUBSTITUTE($H1935," ","")," ","")&lt;&gt;SUBSTITUTE(SUBSTITUTE(INDEX(職員マスタ!$B$6:$B$405,$AN1935)," ","")," ","")),"氏名がマスタと相違／","")&amp;IF(AND($Q1935&lt;&gt;"",INDEX(職員マスタ!$E$6:$E$405,$AN1935)&lt;&gt;"",$Q1935&lt;&gt;INDEX(職員マスタ!$E$6:$E$405,$AN1935)),"子の生年月日がマスタと相違／","")&amp;IF(AND($L1935&lt;&gt;"",INDEX(職員マスタ!$G$6:$G$405,$AN1935)&lt;&gt;"",$L1935&lt;&gt;INDEX(職員マスタ!$G$6:$G$405,$AN1935)),"時短開始日がマスタと相違／","")&amp;IF(AND($M1935&lt;&gt;"",INDEX(職員マスタ!$H$6:$H$405,$AN1935)&lt;&gt;"",$M1935&lt;&gt;INDEX(職員マスタ!$H$6:$H$405,$AN1935)),"時短終了日がマスタと相違／","")))&amp;IF(AND($B1935&lt;&gt;"",$E1935=""),"報酬額が未入力／","")&amp;IF(N($U1935)&gt;0,"申請書に入力エラーが残っています／","")&amp;IF(AND($B1935&lt;&gt;"",$AO1935&lt;&gt;""),IF(COUNTIFS($B$6:$B$3005,$B1935,$C$6:$C$3005,$C1935,$D$6:$D$3005,$D1935)&gt;1,"同じ月の請求が重複しています／",""),"")&amp;IF(AND(N($E1935)&gt;0,$Z1935&lt;&gt;"",$Z1935&lt;&gt;"×",$AC1935=0,$AB1935=""),"計算額が下限以下のため不支給／",""))</f>
        <v/>
      </c>
      <c r="AL1935" s="12" t="n"/>
      <c r="AM1935" s="14">
        <f>IF($AD1935="保留中",COUNTIF($AD$6:$AD1935,"保留中"),"")</f>
        <v/>
      </c>
      <c r="AN1935" s="14">
        <f>IF($AO1935="","",IF(SUMPRODUCT(MAX((職員マスタ!$A$6:$A$405=$B1935)*(((職員マスタ!$G$6:$G$405="")+(職員マスタ!$G$6:$G$405&lt;=EOMONTH($AO1935,0)))&gt;0)*(((職員マスタ!$H$6:$H$405="")+(職員マスタ!$H$6:$H$405&gt;=$AO1935))&gt;0)*(ROW(職員マスタ!$A$6:$A$405)-5)))&gt;0,SUMPRODUCT(MAX((職員マスタ!$A$6:$A$405=$B1935)*(((職員マスタ!$G$6:$G$405="")+(職員マスタ!$G$6:$G$405&lt;=EOMONTH($AO1935,0)))&gt;0)*(((職員マスタ!$H$6:$H$405="")+(職員マスタ!$H$6:$H$405&gt;=$AO1935))&gt;0)*(ROW(職員マスタ!$A$6:$A$405)-5))),IFERROR(MATCH($B1935,職員マスタ!$A$6:$A$405,0),"")))</f>
        <v/>
      </c>
      <c r="AO1935" s="16">
        <f>IF(OR($B1935="",$C1935="",$D1935=""),"",DATE($C1935+2018,$D1935,1))</f>
        <v/>
      </c>
    </row>
    <row r="1936">
      <c r="A1936" s="11" t="n"/>
      <c r="B1936" s="12" t="n"/>
      <c r="C1936" s="12" t="n"/>
      <c r="D1936" s="12" t="n"/>
      <c r="E1936" s="13" t="n"/>
      <c r="F1936" s="12" t="n"/>
      <c r="G1936" s="13" t="n"/>
      <c r="H1936" s="12" t="n"/>
      <c r="I1936" s="12" t="n"/>
      <c r="J1936" s="12" t="n"/>
      <c r="K1936" s="12" t="n"/>
      <c r="L1936" s="11" t="n"/>
      <c r="M1936" s="11" t="n"/>
      <c r="N1936" s="11" t="n"/>
      <c r="O1936" s="11" t="n"/>
      <c r="P1936" s="12" t="n"/>
      <c r="Q1936" s="11" t="n"/>
      <c r="R1936" s="12" t="n"/>
      <c r="S1936" s="11" t="n"/>
      <c r="T1936" s="12" t="n"/>
      <c r="U1936" s="12" t="n"/>
      <c r="V1936" s="14">
        <f>IF($AN1936="",IF($B1936="","",$H1936),IF(INDEX(職員マスタ!$B$6:$B$405,$AN1936)="",$H1936,INDEX(職員マスタ!$B$6:$B$405,$AN1936)))</f>
        <v/>
      </c>
      <c r="W1936" s="14">
        <f>IF($AN1936="",IF($B1936="","",$R1936),IF(INDEX(職員マスタ!$C$6:$C$405,$AN1936)="",$R1936,INDEX(職員マスタ!$C$6:$C$405,$AN1936)))</f>
        <v/>
      </c>
      <c r="X1936" s="14">
        <f>IF($AO1936="","","R"&amp;$C1936&amp;"."&amp;$D1936)</f>
        <v/>
      </c>
      <c r="Y1936" s="15">
        <f>IF($AN1936="","",IF(INDEX(職員マスタ!$K$6:$K$405,$AN1936)="","",INDEX(職員マスタ!$K$6:$K$405,$AN1936)))</f>
        <v/>
      </c>
      <c r="Z1936" s="14">
        <f>IF(OR($E1936="",$Y1936=""),"",IF($E1936&gt;=$Y1936,"×",IF($E1936&gt;=$Y1936*設定!$C$5,"△","○")))</f>
        <v/>
      </c>
      <c r="AA1936" s="15">
        <f>IF($Z1936="","",IF($Z1936="×",0,IF($Z1936="○",ROUNDDOWN($E1936*設定!$C$4,0),ROUNDDOWN($E1936*ROUND((9*$Y1936-9*$E1936)/(10*$E1936),4),0))))</f>
        <v/>
      </c>
      <c r="AB1936" s="13" t="n"/>
      <c r="AC1936" s="15">
        <f>IF($B1936="","",IF($AB1936&lt;&gt;"",$AB1936,IF($AA1936="","",IF($AA1936&lt;=設定!$C$3,0,$AA1936))))</f>
        <v/>
      </c>
      <c r="AD1936" s="14">
        <f>IF($B1936="","",IF(AND($AE1936&lt;&gt;"",$AG1936="",$AJ1936=""),"保留中",IF($AJ1936&lt;&gt;"",IF(N($AC1936)&gt;0,"支給済","不支給"),IF($AC1936="","要確認",IF($AC1936=0,"不支給","未処理")))))</f>
        <v/>
      </c>
      <c r="AE1936" s="12" t="n"/>
      <c r="AF1936" s="11" t="n"/>
      <c r="AG1936" s="11" t="n"/>
      <c r="AH1936" s="11" t="n"/>
      <c r="AI1936" s="14">
        <f>IF(AND($AD1936="保留中",$AF1936&lt;&gt;""),TODAY()-$AF1936,"")</f>
        <v/>
      </c>
      <c r="AJ1936" s="12" t="n"/>
      <c r="AK1936" s="14">
        <f>IF($B1936="","",IF($AO1936="","対象年月が未入力／","")&amp;IF($B1936="","",IF($AN1936="","職員マスタに未登録の職員番号／",IF($Y1936="","標準報酬月額が未登録／","")&amp;IF(AND($AO1936&lt;&gt;"",OR(AND(INDEX(職員マスタ!$G$6:$G$405,$AN1936)&lt;&gt;"",INDEX(職員マスタ!$G$6:$G$405,$AN1936)&gt;EOMONTH($AO1936,0)),AND(INDEX(職員マスタ!$H$6:$H$405,$AN1936)&lt;&gt;"",INDEX(職員マスタ!$H$6:$H$405,$AN1936)&lt;$AO1936))),"対象月が時短期間外／","")&amp;IF(AND(INDEX(職員マスタ!$F$6:$F$405,$AN1936)&lt;&gt;"",$AO1936&lt;&gt;"",INDEX(職員マスタ!$F$6:$F$405,$AN1936)&lt;$AO1936),"対象月に子が2歳到達済／","")&amp;IF(AND($H1936&lt;&gt;"",INDEX(職員マスタ!$B$6:$B$405,$AN1936)&lt;&gt;"",SUBSTITUTE(SUBSTITUTE($H1936," ","")," ","")&lt;&gt;SUBSTITUTE(SUBSTITUTE(INDEX(職員マスタ!$B$6:$B$405,$AN1936)," ","")," ","")),"氏名がマスタと相違／","")&amp;IF(AND($Q1936&lt;&gt;"",INDEX(職員マスタ!$E$6:$E$405,$AN1936)&lt;&gt;"",$Q1936&lt;&gt;INDEX(職員マスタ!$E$6:$E$405,$AN1936)),"子の生年月日がマスタと相違／","")&amp;IF(AND($L1936&lt;&gt;"",INDEX(職員マスタ!$G$6:$G$405,$AN1936)&lt;&gt;"",$L1936&lt;&gt;INDEX(職員マスタ!$G$6:$G$405,$AN1936)),"時短開始日がマスタと相違／","")&amp;IF(AND($M1936&lt;&gt;"",INDEX(職員マスタ!$H$6:$H$405,$AN1936)&lt;&gt;"",$M1936&lt;&gt;INDEX(職員マスタ!$H$6:$H$405,$AN1936)),"時短終了日がマスタと相違／","")))&amp;IF(AND($B1936&lt;&gt;"",$E1936=""),"報酬額が未入力／","")&amp;IF(N($U1936)&gt;0,"申請書に入力エラーが残っています／","")&amp;IF(AND($B1936&lt;&gt;"",$AO1936&lt;&gt;""),IF(COUNTIFS($B$6:$B$3005,$B1936,$C$6:$C$3005,$C1936,$D$6:$D$3005,$D1936)&gt;1,"同じ月の請求が重複しています／",""),"")&amp;IF(AND(N($E1936)&gt;0,$Z1936&lt;&gt;"",$Z1936&lt;&gt;"×",$AC1936=0,$AB1936=""),"計算額が下限以下のため不支給／",""))</f>
        <v/>
      </c>
      <c r="AL1936" s="12" t="n"/>
      <c r="AM1936" s="14">
        <f>IF($AD1936="保留中",COUNTIF($AD$6:$AD1936,"保留中"),"")</f>
        <v/>
      </c>
      <c r="AN1936" s="14">
        <f>IF($AO1936="","",IF(SUMPRODUCT(MAX((職員マスタ!$A$6:$A$405=$B1936)*(((職員マスタ!$G$6:$G$405="")+(職員マスタ!$G$6:$G$405&lt;=EOMONTH($AO1936,0)))&gt;0)*(((職員マスタ!$H$6:$H$405="")+(職員マスタ!$H$6:$H$405&gt;=$AO1936))&gt;0)*(ROW(職員マスタ!$A$6:$A$405)-5)))&gt;0,SUMPRODUCT(MAX((職員マスタ!$A$6:$A$405=$B1936)*(((職員マスタ!$G$6:$G$405="")+(職員マスタ!$G$6:$G$405&lt;=EOMONTH($AO1936,0)))&gt;0)*(((職員マスタ!$H$6:$H$405="")+(職員マスタ!$H$6:$H$405&gt;=$AO1936))&gt;0)*(ROW(職員マスタ!$A$6:$A$405)-5))),IFERROR(MATCH($B1936,職員マスタ!$A$6:$A$405,0),"")))</f>
        <v/>
      </c>
      <c r="AO1936" s="16">
        <f>IF(OR($B1936="",$C1936="",$D1936=""),"",DATE($C1936+2018,$D1936,1))</f>
        <v/>
      </c>
    </row>
    <row r="1937">
      <c r="A1937" s="11" t="n"/>
      <c r="B1937" s="12" t="n"/>
      <c r="C1937" s="12" t="n"/>
      <c r="D1937" s="12" t="n"/>
      <c r="E1937" s="13" t="n"/>
      <c r="F1937" s="12" t="n"/>
      <c r="G1937" s="13" t="n"/>
      <c r="H1937" s="12" t="n"/>
      <c r="I1937" s="12" t="n"/>
      <c r="J1937" s="12" t="n"/>
      <c r="K1937" s="12" t="n"/>
      <c r="L1937" s="11" t="n"/>
      <c r="M1937" s="11" t="n"/>
      <c r="N1937" s="11" t="n"/>
      <c r="O1937" s="11" t="n"/>
      <c r="P1937" s="12" t="n"/>
      <c r="Q1937" s="11" t="n"/>
      <c r="R1937" s="12" t="n"/>
      <c r="S1937" s="11" t="n"/>
      <c r="T1937" s="12" t="n"/>
      <c r="U1937" s="12" t="n"/>
      <c r="V1937" s="14">
        <f>IF($AN1937="",IF($B1937="","",$H1937),IF(INDEX(職員マスタ!$B$6:$B$405,$AN1937)="",$H1937,INDEX(職員マスタ!$B$6:$B$405,$AN1937)))</f>
        <v/>
      </c>
      <c r="W1937" s="14">
        <f>IF($AN1937="",IF($B1937="","",$R1937),IF(INDEX(職員マスタ!$C$6:$C$405,$AN1937)="",$R1937,INDEX(職員マスタ!$C$6:$C$405,$AN1937)))</f>
        <v/>
      </c>
      <c r="X1937" s="14">
        <f>IF($AO1937="","","R"&amp;$C1937&amp;"."&amp;$D1937)</f>
        <v/>
      </c>
      <c r="Y1937" s="15">
        <f>IF($AN1937="","",IF(INDEX(職員マスタ!$K$6:$K$405,$AN1937)="","",INDEX(職員マスタ!$K$6:$K$405,$AN1937)))</f>
        <v/>
      </c>
      <c r="Z1937" s="14">
        <f>IF(OR($E1937="",$Y1937=""),"",IF($E1937&gt;=$Y1937,"×",IF($E1937&gt;=$Y1937*設定!$C$5,"△","○")))</f>
        <v/>
      </c>
      <c r="AA1937" s="15">
        <f>IF($Z1937="","",IF($Z1937="×",0,IF($Z1937="○",ROUNDDOWN($E1937*設定!$C$4,0),ROUNDDOWN($E1937*ROUND((9*$Y1937-9*$E1937)/(10*$E1937),4),0))))</f>
        <v/>
      </c>
      <c r="AB1937" s="13" t="n"/>
      <c r="AC1937" s="15">
        <f>IF($B1937="","",IF($AB1937&lt;&gt;"",$AB1937,IF($AA1937="","",IF($AA1937&lt;=設定!$C$3,0,$AA1937))))</f>
        <v/>
      </c>
      <c r="AD1937" s="14">
        <f>IF($B1937="","",IF(AND($AE1937&lt;&gt;"",$AG1937="",$AJ1937=""),"保留中",IF($AJ1937&lt;&gt;"",IF(N($AC1937)&gt;0,"支給済","不支給"),IF($AC1937="","要確認",IF($AC1937=0,"不支給","未処理")))))</f>
        <v/>
      </c>
      <c r="AE1937" s="12" t="n"/>
      <c r="AF1937" s="11" t="n"/>
      <c r="AG1937" s="11" t="n"/>
      <c r="AH1937" s="11" t="n"/>
      <c r="AI1937" s="14">
        <f>IF(AND($AD1937="保留中",$AF1937&lt;&gt;""),TODAY()-$AF1937,"")</f>
        <v/>
      </c>
      <c r="AJ1937" s="12" t="n"/>
      <c r="AK1937" s="14">
        <f>IF($B1937="","",IF($AO1937="","対象年月が未入力／","")&amp;IF($B1937="","",IF($AN1937="","職員マスタに未登録の職員番号／",IF($Y1937="","標準報酬月額が未登録／","")&amp;IF(AND($AO1937&lt;&gt;"",OR(AND(INDEX(職員マスタ!$G$6:$G$405,$AN1937)&lt;&gt;"",INDEX(職員マスタ!$G$6:$G$405,$AN1937)&gt;EOMONTH($AO1937,0)),AND(INDEX(職員マスタ!$H$6:$H$405,$AN1937)&lt;&gt;"",INDEX(職員マスタ!$H$6:$H$405,$AN1937)&lt;$AO1937))),"対象月が時短期間外／","")&amp;IF(AND(INDEX(職員マスタ!$F$6:$F$405,$AN1937)&lt;&gt;"",$AO1937&lt;&gt;"",INDEX(職員マスタ!$F$6:$F$405,$AN1937)&lt;$AO1937),"対象月に子が2歳到達済／","")&amp;IF(AND($H1937&lt;&gt;"",INDEX(職員マスタ!$B$6:$B$405,$AN1937)&lt;&gt;"",SUBSTITUTE(SUBSTITUTE($H1937," ","")," ","")&lt;&gt;SUBSTITUTE(SUBSTITUTE(INDEX(職員マスタ!$B$6:$B$405,$AN1937)," ","")," ","")),"氏名がマスタと相違／","")&amp;IF(AND($Q1937&lt;&gt;"",INDEX(職員マスタ!$E$6:$E$405,$AN1937)&lt;&gt;"",$Q1937&lt;&gt;INDEX(職員マスタ!$E$6:$E$405,$AN1937)),"子の生年月日がマスタと相違／","")&amp;IF(AND($L1937&lt;&gt;"",INDEX(職員マスタ!$G$6:$G$405,$AN1937)&lt;&gt;"",$L1937&lt;&gt;INDEX(職員マスタ!$G$6:$G$405,$AN1937)),"時短開始日がマスタと相違／","")&amp;IF(AND($M1937&lt;&gt;"",INDEX(職員マスタ!$H$6:$H$405,$AN1937)&lt;&gt;"",$M1937&lt;&gt;INDEX(職員マスタ!$H$6:$H$405,$AN1937)),"時短終了日がマスタと相違／","")))&amp;IF(AND($B1937&lt;&gt;"",$E1937=""),"報酬額が未入力／","")&amp;IF(N($U1937)&gt;0,"申請書に入力エラーが残っています／","")&amp;IF(AND($B1937&lt;&gt;"",$AO1937&lt;&gt;""),IF(COUNTIFS($B$6:$B$3005,$B1937,$C$6:$C$3005,$C1937,$D$6:$D$3005,$D1937)&gt;1,"同じ月の請求が重複しています／",""),"")&amp;IF(AND(N($E1937)&gt;0,$Z1937&lt;&gt;"",$Z1937&lt;&gt;"×",$AC1937=0,$AB1937=""),"計算額が下限以下のため不支給／",""))</f>
        <v/>
      </c>
      <c r="AL1937" s="12" t="n"/>
      <c r="AM1937" s="14">
        <f>IF($AD1937="保留中",COUNTIF($AD$6:$AD1937,"保留中"),"")</f>
        <v/>
      </c>
      <c r="AN1937" s="14">
        <f>IF($AO1937="","",IF(SUMPRODUCT(MAX((職員マスタ!$A$6:$A$405=$B1937)*(((職員マスタ!$G$6:$G$405="")+(職員マスタ!$G$6:$G$405&lt;=EOMONTH($AO1937,0)))&gt;0)*(((職員マスタ!$H$6:$H$405="")+(職員マスタ!$H$6:$H$405&gt;=$AO1937))&gt;0)*(ROW(職員マスタ!$A$6:$A$405)-5)))&gt;0,SUMPRODUCT(MAX((職員マスタ!$A$6:$A$405=$B1937)*(((職員マスタ!$G$6:$G$405="")+(職員マスタ!$G$6:$G$405&lt;=EOMONTH($AO1937,0)))&gt;0)*(((職員マスタ!$H$6:$H$405="")+(職員マスタ!$H$6:$H$405&gt;=$AO1937))&gt;0)*(ROW(職員マスタ!$A$6:$A$405)-5))),IFERROR(MATCH($B1937,職員マスタ!$A$6:$A$405,0),"")))</f>
        <v/>
      </c>
      <c r="AO1937" s="16">
        <f>IF(OR($B1937="",$C1937="",$D1937=""),"",DATE($C1937+2018,$D1937,1))</f>
        <v/>
      </c>
    </row>
    <row r="1938">
      <c r="A1938" s="11" t="n"/>
      <c r="B1938" s="12" t="n"/>
      <c r="C1938" s="12" t="n"/>
      <c r="D1938" s="12" t="n"/>
      <c r="E1938" s="13" t="n"/>
      <c r="F1938" s="12" t="n"/>
      <c r="G1938" s="13" t="n"/>
      <c r="H1938" s="12" t="n"/>
      <c r="I1938" s="12" t="n"/>
      <c r="J1938" s="12" t="n"/>
      <c r="K1938" s="12" t="n"/>
      <c r="L1938" s="11" t="n"/>
      <c r="M1938" s="11" t="n"/>
      <c r="N1938" s="11" t="n"/>
      <c r="O1938" s="11" t="n"/>
      <c r="P1938" s="12" t="n"/>
      <c r="Q1938" s="11" t="n"/>
      <c r="R1938" s="12" t="n"/>
      <c r="S1938" s="11" t="n"/>
      <c r="T1938" s="12" t="n"/>
      <c r="U1938" s="12" t="n"/>
      <c r="V1938" s="14">
        <f>IF($AN1938="",IF($B1938="","",$H1938),IF(INDEX(職員マスタ!$B$6:$B$405,$AN1938)="",$H1938,INDEX(職員マスタ!$B$6:$B$405,$AN1938)))</f>
        <v/>
      </c>
      <c r="W1938" s="14">
        <f>IF($AN1938="",IF($B1938="","",$R1938),IF(INDEX(職員マスタ!$C$6:$C$405,$AN1938)="",$R1938,INDEX(職員マスタ!$C$6:$C$405,$AN1938)))</f>
        <v/>
      </c>
      <c r="X1938" s="14">
        <f>IF($AO1938="","","R"&amp;$C1938&amp;"."&amp;$D1938)</f>
        <v/>
      </c>
      <c r="Y1938" s="15">
        <f>IF($AN1938="","",IF(INDEX(職員マスタ!$K$6:$K$405,$AN1938)="","",INDEX(職員マスタ!$K$6:$K$405,$AN1938)))</f>
        <v/>
      </c>
      <c r="Z1938" s="14">
        <f>IF(OR($E1938="",$Y1938=""),"",IF($E1938&gt;=$Y1938,"×",IF($E1938&gt;=$Y1938*設定!$C$5,"△","○")))</f>
        <v/>
      </c>
      <c r="AA1938" s="15">
        <f>IF($Z1938="","",IF($Z1938="×",0,IF($Z1938="○",ROUNDDOWN($E1938*設定!$C$4,0),ROUNDDOWN($E1938*ROUND((9*$Y1938-9*$E1938)/(10*$E1938),4),0))))</f>
        <v/>
      </c>
      <c r="AB1938" s="13" t="n"/>
      <c r="AC1938" s="15">
        <f>IF($B1938="","",IF($AB1938&lt;&gt;"",$AB1938,IF($AA1938="","",IF($AA1938&lt;=設定!$C$3,0,$AA1938))))</f>
        <v/>
      </c>
      <c r="AD1938" s="14">
        <f>IF($B1938="","",IF(AND($AE1938&lt;&gt;"",$AG1938="",$AJ1938=""),"保留中",IF($AJ1938&lt;&gt;"",IF(N($AC1938)&gt;0,"支給済","不支給"),IF($AC1938="","要確認",IF($AC1938=0,"不支給","未処理")))))</f>
        <v/>
      </c>
      <c r="AE1938" s="12" t="n"/>
      <c r="AF1938" s="11" t="n"/>
      <c r="AG1938" s="11" t="n"/>
      <c r="AH1938" s="11" t="n"/>
      <c r="AI1938" s="14">
        <f>IF(AND($AD1938="保留中",$AF1938&lt;&gt;""),TODAY()-$AF1938,"")</f>
        <v/>
      </c>
      <c r="AJ1938" s="12" t="n"/>
      <c r="AK1938" s="14">
        <f>IF($B1938="","",IF($AO1938="","対象年月が未入力／","")&amp;IF($B1938="","",IF($AN1938="","職員マスタに未登録の職員番号／",IF($Y1938="","標準報酬月額が未登録／","")&amp;IF(AND($AO1938&lt;&gt;"",OR(AND(INDEX(職員マスタ!$G$6:$G$405,$AN1938)&lt;&gt;"",INDEX(職員マスタ!$G$6:$G$405,$AN1938)&gt;EOMONTH($AO1938,0)),AND(INDEX(職員マスタ!$H$6:$H$405,$AN1938)&lt;&gt;"",INDEX(職員マスタ!$H$6:$H$405,$AN1938)&lt;$AO1938))),"対象月が時短期間外／","")&amp;IF(AND(INDEX(職員マスタ!$F$6:$F$405,$AN1938)&lt;&gt;"",$AO1938&lt;&gt;"",INDEX(職員マスタ!$F$6:$F$405,$AN1938)&lt;$AO1938),"対象月に子が2歳到達済／","")&amp;IF(AND($H1938&lt;&gt;"",INDEX(職員マスタ!$B$6:$B$405,$AN1938)&lt;&gt;"",SUBSTITUTE(SUBSTITUTE($H1938," ","")," ","")&lt;&gt;SUBSTITUTE(SUBSTITUTE(INDEX(職員マスタ!$B$6:$B$405,$AN1938)," ","")," ","")),"氏名がマスタと相違／","")&amp;IF(AND($Q1938&lt;&gt;"",INDEX(職員マスタ!$E$6:$E$405,$AN1938)&lt;&gt;"",$Q1938&lt;&gt;INDEX(職員マスタ!$E$6:$E$405,$AN1938)),"子の生年月日がマスタと相違／","")&amp;IF(AND($L1938&lt;&gt;"",INDEX(職員マスタ!$G$6:$G$405,$AN1938)&lt;&gt;"",$L1938&lt;&gt;INDEX(職員マスタ!$G$6:$G$405,$AN1938)),"時短開始日がマスタと相違／","")&amp;IF(AND($M1938&lt;&gt;"",INDEX(職員マスタ!$H$6:$H$405,$AN1938)&lt;&gt;"",$M1938&lt;&gt;INDEX(職員マスタ!$H$6:$H$405,$AN1938)),"時短終了日がマスタと相違／","")))&amp;IF(AND($B1938&lt;&gt;"",$E1938=""),"報酬額が未入力／","")&amp;IF(N($U1938)&gt;0,"申請書に入力エラーが残っています／","")&amp;IF(AND($B1938&lt;&gt;"",$AO1938&lt;&gt;""),IF(COUNTIFS($B$6:$B$3005,$B1938,$C$6:$C$3005,$C1938,$D$6:$D$3005,$D1938)&gt;1,"同じ月の請求が重複しています／",""),"")&amp;IF(AND(N($E1938)&gt;0,$Z1938&lt;&gt;"",$Z1938&lt;&gt;"×",$AC1938=0,$AB1938=""),"計算額が下限以下のため不支給／",""))</f>
        <v/>
      </c>
      <c r="AL1938" s="12" t="n"/>
      <c r="AM1938" s="14">
        <f>IF($AD1938="保留中",COUNTIF($AD$6:$AD1938,"保留中"),"")</f>
        <v/>
      </c>
      <c r="AN1938" s="14">
        <f>IF($AO1938="","",IF(SUMPRODUCT(MAX((職員マスタ!$A$6:$A$405=$B1938)*(((職員マスタ!$G$6:$G$405="")+(職員マスタ!$G$6:$G$405&lt;=EOMONTH($AO1938,0)))&gt;0)*(((職員マスタ!$H$6:$H$405="")+(職員マスタ!$H$6:$H$405&gt;=$AO1938))&gt;0)*(ROW(職員マスタ!$A$6:$A$405)-5)))&gt;0,SUMPRODUCT(MAX((職員マスタ!$A$6:$A$405=$B1938)*(((職員マスタ!$G$6:$G$405="")+(職員マスタ!$G$6:$G$405&lt;=EOMONTH($AO1938,0)))&gt;0)*(((職員マスタ!$H$6:$H$405="")+(職員マスタ!$H$6:$H$405&gt;=$AO1938))&gt;0)*(ROW(職員マスタ!$A$6:$A$405)-5))),IFERROR(MATCH($B1938,職員マスタ!$A$6:$A$405,0),"")))</f>
        <v/>
      </c>
      <c r="AO1938" s="16">
        <f>IF(OR($B1938="",$C1938="",$D1938=""),"",DATE($C1938+2018,$D1938,1))</f>
        <v/>
      </c>
    </row>
    <row r="1939">
      <c r="A1939" s="11" t="n"/>
      <c r="B1939" s="12" t="n"/>
      <c r="C1939" s="12" t="n"/>
      <c r="D1939" s="12" t="n"/>
      <c r="E1939" s="13" t="n"/>
      <c r="F1939" s="12" t="n"/>
      <c r="G1939" s="13" t="n"/>
      <c r="H1939" s="12" t="n"/>
      <c r="I1939" s="12" t="n"/>
      <c r="J1939" s="12" t="n"/>
      <c r="K1939" s="12" t="n"/>
      <c r="L1939" s="11" t="n"/>
      <c r="M1939" s="11" t="n"/>
      <c r="N1939" s="11" t="n"/>
      <c r="O1939" s="11" t="n"/>
      <c r="P1939" s="12" t="n"/>
      <c r="Q1939" s="11" t="n"/>
      <c r="R1939" s="12" t="n"/>
      <c r="S1939" s="11" t="n"/>
      <c r="T1939" s="12" t="n"/>
      <c r="U1939" s="12" t="n"/>
      <c r="V1939" s="14">
        <f>IF($AN1939="",IF($B1939="","",$H1939),IF(INDEX(職員マスタ!$B$6:$B$405,$AN1939)="",$H1939,INDEX(職員マスタ!$B$6:$B$405,$AN1939)))</f>
        <v/>
      </c>
      <c r="W1939" s="14">
        <f>IF($AN1939="",IF($B1939="","",$R1939),IF(INDEX(職員マスタ!$C$6:$C$405,$AN1939)="",$R1939,INDEX(職員マスタ!$C$6:$C$405,$AN1939)))</f>
        <v/>
      </c>
      <c r="X1939" s="14">
        <f>IF($AO1939="","","R"&amp;$C1939&amp;"."&amp;$D1939)</f>
        <v/>
      </c>
      <c r="Y1939" s="15">
        <f>IF($AN1939="","",IF(INDEX(職員マスタ!$K$6:$K$405,$AN1939)="","",INDEX(職員マスタ!$K$6:$K$405,$AN1939)))</f>
        <v/>
      </c>
      <c r="Z1939" s="14">
        <f>IF(OR($E1939="",$Y1939=""),"",IF($E1939&gt;=$Y1939,"×",IF($E1939&gt;=$Y1939*設定!$C$5,"△","○")))</f>
        <v/>
      </c>
      <c r="AA1939" s="15">
        <f>IF($Z1939="","",IF($Z1939="×",0,IF($Z1939="○",ROUNDDOWN($E1939*設定!$C$4,0),ROUNDDOWN($E1939*ROUND((9*$Y1939-9*$E1939)/(10*$E1939),4),0))))</f>
        <v/>
      </c>
      <c r="AB1939" s="13" t="n"/>
      <c r="AC1939" s="15">
        <f>IF($B1939="","",IF($AB1939&lt;&gt;"",$AB1939,IF($AA1939="","",IF($AA1939&lt;=設定!$C$3,0,$AA1939))))</f>
        <v/>
      </c>
      <c r="AD1939" s="14">
        <f>IF($B1939="","",IF(AND($AE1939&lt;&gt;"",$AG1939="",$AJ1939=""),"保留中",IF($AJ1939&lt;&gt;"",IF(N($AC1939)&gt;0,"支給済","不支給"),IF($AC1939="","要確認",IF($AC1939=0,"不支給","未処理")))))</f>
        <v/>
      </c>
      <c r="AE1939" s="12" t="n"/>
      <c r="AF1939" s="11" t="n"/>
      <c r="AG1939" s="11" t="n"/>
      <c r="AH1939" s="11" t="n"/>
      <c r="AI1939" s="14">
        <f>IF(AND($AD1939="保留中",$AF1939&lt;&gt;""),TODAY()-$AF1939,"")</f>
        <v/>
      </c>
      <c r="AJ1939" s="12" t="n"/>
      <c r="AK1939" s="14">
        <f>IF($B1939="","",IF($AO1939="","対象年月が未入力／","")&amp;IF($B1939="","",IF($AN1939="","職員マスタに未登録の職員番号／",IF($Y1939="","標準報酬月額が未登録／","")&amp;IF(AND($AO1939&lt;&gt;"",OR(AND(INDEX(職員マスタ!$G$6:$G$405,$AN1939)&lt;&gt;"",INDEX(職員マスタ!$G$6:$G$405,$AN1939)&gt;EOMONTH($AO1939,0)),AND(INDEX(職員マスタ!$H$6:$H$405,$AN1939)&lt;&gt;"",INDEX(職員マスタ!$H$6:$H$405,$AN1939)&lt;$AO1939))),"対象月が時短期間外／","")&amp;IF(AND(INDEX(職員マスタ!$F$6:$F$405,$AN1939)&lt;&gt;"",$AO1939&lt;&gt;"",INDEX(職員マスタ!$F$6:$F$405,$AN1939)&lt;$AO1939),"対象月に子が2歳到達済／","")&amp;IF(AND($H1939&lt;&gt;"",INDEX(職員マスタ!$B$6:$B$405,$AN1939)&lt;&gt;"",SUBSTITUTE(SUBSTITUTE($H1939," ","")," ","")&lt;&gt;SUBSTITUTE(SUBSTITUTE(INDEX(職員マスタ!$B$6:$B$405,$AN1939)," ","")," ","")),"氏名がマスタと相違／","")&amp;IF(AND($Q1939&lt;&gt;"",INDEX(職員マスタ!$E$6:$E$405,$AN1939)&lt;&gt;"",$Q1939&lt;&gt;INDEX(職員マスタ!$E$6:$E$405,$AN1939)),"子の生年月日がマスタと相違／","")&amp;IF(AND($L1939&lt;&gt;"",INDEX(職員マスタ!$G$6:$G$405,$AN1939)&lt;&gt;"",$L1939&lt;&gt;INDEX(職員マスタ!$G$6:$G$405,$AN1939)),"時短開始日がマスタと相違／","")&amp;IF(AND($M1939&lt;&gt;"",INDEX(職員マスタ!$H$6:$H$405,$AN1939)&lt;&gt;"",$M1939&lt;&gt;INDEX(職員マスタ!$H$6:$H$405,$AN1939)),"時短終了日がマスタと相違／","")))&amp;IF(AND($B1939&lt;&gt;"",$E1939=""),"報酬額が未入力／","")&amp;IF(N($U1939)&gt;0,"申請書に入力エラーが残っています／","")&amp;IF(AND($B1939&lt;&gt;"",$AO1939&lt;&gt;""),IF(COUNTIFS($B$6:$B$3005,$B1939,$C$6:$C$3005,$C1939,$D$6:$D$3005,$D1939)&gt;1,"同じ月の請求が重複しています／",""),"")&amp;IF(AND(N($E1939)&gt;0,$Z1939&lt;&gt;"",$Z1939&lt;&gt;"×",$AC1939=0,$AB1939=""),"計算額が下限以下のため不支給／",""))</f>
        <v/>
      </c>
      <c r="AL1939" s="12" t="n"/>
      <c r="AM1939" s="14">
        <f>IF($AD1939="保留中",COUNTIF($AD$6:$AD1939,"保留中"),"")</f>
        <v/>
      </c>
      <c r="AN1939" s="14">
        <f>IF($AO1939="","",IF(SUMPRODUCT(MAX((職員マスタ!$A$6:$A$405=$B1939)*(((職員マスタ!$G$6:$G$405="")+(職員マスタ!$G$6:$G$405&lt;=EOMONTH($AO1939,0)))&gt;0)*(((職員マスタ!$H$6:$H$405="")+(職員マスタ!$H$6:$H$405&gt;=$AO1939))&gt;0)*(ROW(職員マスタ!$A$6:$A$405)-5)))&gt;0,SUMPRODUCT(MAX((職員マスタ!$A$6:$A$405=$B1939)*(((職員マスタ!$G$6:$G$405="")+(職員マスタ!$G$6:$G$405&lt;=EOMONTH($AO1939,0)))&gt;0)*(((職員マスタ!$H$6:$H$405="")+(職員マスタ!$H$6:$H$405&gt;=$AO1939))&gt;0)*(ROW(職員マスタ!$A$6:$A$405)-5))),IFERROR(MATCH($B1939,職員マスタ!$A$6:$A$405,0),"")))</f>
        <v/>
      </c>
      <c r="AO1939" s="16">
        <f>IF(OR($B1939="",$C1939="",$D1939=""),"",DATE($C1939+2018,$D1939,1))</f>
        <v/>
      </c>
    </row>
    <row r="1940">
      <c r="A1940" s="11" t="n"/>
      <c r="B1940" s="12" t="n"/>
      <c r="C1940" s="12" t="n"/>
      <c r="D1940" s="12" t="n"/>
      <c r="E1940" s="13" t="n"/>
      <c r="F1940" s="12" t="n"/>
      <c r="G1940" s="13" t="n"/>
      <c r="H1940" s="12" t="n"/>
      <c r="I1940" s="12" t="n"/>
      <c r="J1940" s="12" t="n"/>
      <c r="K1940" s="12" t="n"/>
      <c r="L1940" s="11" t="n"/>
      <c r="M1940" s="11" t="n"/>
      <c r="N1940" s="11" t="n"/>
      <c r="O1940" s="11" t="n"/>
      <c r="P1940" s="12" t="n"/>
      <c r="Q1940" s="11" t="n"/>
      <c r="R1940" s="12" t="n"/>
      <c r="S1940" s="11" t="n"/>
      <c r="T1940" s="12" t="n"/>
      <c r="U1940" s="12" t="n"/>
      <c r="V1940" s="14">
        <f>IF($AN1940="",IF($B1940="","",$H1940),IF(INDEX(職員マスタ!$B$6:$B$405,$AN1940)="",$H1940,INDEX(職員マスタ!$B$6:$B$405,$AN1940)))</f>
        <v/>
      </c>
      <c r="W1940" s="14">
        <f>IF($AN1940="",IF($B1940="","",$R1940),IF(INDEX(職員マスタ!$C$6:$C$405,$AN1940)="",$R1940,INDEX(職員マスタ!$C$6:$C$405,$AN1940)))</f>
        <v/>
      </c>
      <c r="X1940" s="14">
        <f>IF($AO1940="","","R"&amp;$C1940&amp;"."&amp;$D1940)</f>
        <v/>
      </c>
      <c r="Y1940" s="15">
        <f>IF($AN1940="","",IF(INDEX(職員マスタ!$K$6:$K$405,$AN1940)="","",INDEX(職員マスタ!$K$6:$K$405,$AN1940)))</f>
        <v/>
      </c>
      <c r="Z1940" s="14">
        <f>IF(OR($E1940="",$Y1940=""),"",IF($E1940&gt;=$Y1940,"×",IF($E1940&gt;=$Y1940*設定!$C$5,"△","○")))</f>
        <v/>
      </c>
      <c r="AA1940" s="15">
        <f>IF($Z1940="","",IF($Z1940="×",0,IF($Z1940="○",ROUNDDOWN($E1940*設定!$C$4,0),ROUNDDOWN($E1940*ROUND((9*$Y1940-9*$E1940)/(10*$E1940),4),0))))</f>
        <v/>
      </c>
      <c r="AB1940" s="13" t="n"/>
      <c r="AC1940" s="15">
        <f>IF($B1940="","",IF($AB1940&lt;&gt;"",$AB1940,IF($AA1940="","",IF($AA1940&lt;=設定!$C$3,0,$AA1940))))</f>
        <v/>
      </c>
      <c r="AD1940" s="14">
        <f>IF($B1940="","",IF(AND($AE1940&lt;&gt;"",$AG1940="",$AJ1940=""),"保留中",IF($AJ1940&lt;&gt;"",IF(N($AC1940)&gt;0,"支給済","不支給"),IF($AC1940="","要確認",IF($AC1940=0,"不支給","未処理")))))</f>
        <v/>
      </c>
      <c r="AE1940" s="12" t="n"/>
      <c r="AF1940" s="11" t="n"/>
      <c r="AG1940" s="11" t="n"/>
      <c r="AH1940" s="11" t="n"/>
      <c r="AI1940" s="14">
        <f>IF(AND($AD1940="保留中",$AF1940&lt;&gt;""),TODAY()-$AF1940,"")</f>
        <v/>
      </c>
      <c r="AJ1940" s="12" t="n"/>
      <c r="AK1940" s="14">
        <f>IF($B1940="","",IF($AO1940="","対象年月が未入力／","")&amp;IF($B1940="","",IF($AN1940="","職員マスタに未登録の職員番号／",IF($Y1940="","標準報酬月額が未登録／","")&amp;IF(AND($AO1940&lt;&gt;"",OR(AND(INDEX(職員マスタ!$G$6:$G$405,$AN1940)&lt;&gt;"",INDEX(職員マスタ!$G$6:$G$405,$AN1940)&gt;EOMONTH($AO1940,0)),AND(INDEX(職員マスタ!$H$6:$H$405,$AN1940)&lt;&gt;"",INDEX(職員マスタ!$H$6:$H$405,$AN1940)&lt;$AO1940))),"対象月が時短期間外／","")&amp;IF(AND(INDEX(職員マスタ!$F$6:$F$405,$AN1940)&lt;&gt;"",$AO1940&lt;&gt;"",INDEX(職員マスタ!$F$6:$F$405,$AN1940)&lt;$AO1940),"対象月に子が2歳到達済／","")&amp;IF(AND($H1940&lt;&gt;"",INDEX(職員マスタ!$B$6:$B$405,$AN1940)&lt;&gt;"",SUBSTITUTE(SUBSTITUTE($H1940," ","")," ","")&lt;&gt;SUBSTITUTE(SUBSTITUTE(INDEX(職員マスタ!$B$6:$B$405,$AN1940)," ","")," ","")),"氏名がマスタと相違／","")&amp;IF(AND($Q1940&lt;&gt;"",INDEX(職員マスタ!$E$6:$E$405,$AN1940)&lt;&gt;"",$Q1940&lt;&gt;INDEX(職員マスタ!$E$6:$E$405,$AN1940)),"子の生年月日がマスタと相違／","")&amp;IF(AND($L1940&lt;&gt;"",INDEX(職員マスタ!$G$6:$G$405,$AN1940)&lt;&gt;"",$L1940&lt;&gt;INDEX(職員マスタ!$G$6:$G$405,$AN1940)),"時短開始日がマスタと相違／","")&amp;IF(AND($M1940&lt;&gt;"",INDEX(職員マスタ!$H$6:$H$405,$AN1940)&lt;&gt;"",$M1940&lt;&gt;INDEX(職員マスタ!$H$6:$H$405,$AN1940)),"時短終了日がマスタと相違／","")))&amp;IF(AND($B1940&lt;&gt;"",$E1940=""),"報酬額が未入力／","")&amp;IF(N($U1940)&gt;0,"申請書に入力エラーが残っています／","")&amp;IF(AND($B1940&lt;&gt;"",$AO1940&lt;&gt;""),IF(COUNTIFS($B$6:$B$3005,$B1940,$C$6:$C$3005,$C1940,$D$6:$D$3005,$D1940)&gt;1,"同じ月の請求が重複しています／",""),"")&amp;IF(AND(N($E1940)&gt;0,$Z1940&lt;&gt;"",$Z1940&lt;&gt;"×",$AC1940=0,$AB1940=""),"計算額が下限以下のため不支給／",""))</f>
        <v/>
      </c>
      <c r="AL1940" s="12" t="n"/>
      <c r="AM1940" s="14">
        <f>IF($AD1940="保留中",COUNTIF($AD$6:$AD1940,"保留中"),"")</f>
        <v/>
      </c>
      <c r="AN1940" s="14">
        <f>IF($AO1940="","",IF(SUMPRODUCT(MAX((職員マスタ!$A$6:$A$405=$B1940)*(((職員マスタ!$G$6:$G$405="")+(職員マスタ!$G$6:$G$405&lt;=EOMONTH($AO1940,0)))&gt;0)*(((職員マスタ!$H$6:$H$405="")+(職員マスタ!$H$6:$H$405&gt;=$AO1940))&gt;0)*(ROW(職員マスタ!$A$6:$A$405)-5)))&gt;0,SUMPRODUCT(MAX((職員マスタ!$A$6:$A$405=$B1940)*(((職員マスタ!$G$6:$G$405="")+(職員マスタ!$G$6:$G$405&lt;=EOMONTH($AO1940,0)))&gt;0)*(((職員マスタ!$H$6:$H$405="")+(職員マスタ!$H$6:$H$405&gt;=$AO1940))&gt;0)*(ROW(職員マスタ!$A$6:$A$405)-5))),IFERROR(MATCH($B1940,職員マスタ!$A$6:$A$405,0),"")))</f>
        <v/>
      </c>
      <c r="AO1940" s="16">
        <f>IF(OR($B1940="",$C1940="",$D1940=""),"",DATE($C1940+2018,$D1940,1))</f>
        <v/>
      </c>
    </row>
    <row r="1941">
      <c r="A1941" s="11" t="n"/>
      <c r="B1941" s="12" t="n"/>
      <c r="C1941" s="12" t="n"/>
      <c r="D1941" s="12" t="n"/>
      <c r="E1941" s="13" t="n"/>
      <c r="F1941" s="12" t="n"/>
      <c r="G1941" s="13" t="n"/>
      <c r="H1941" s="12" t="n"/>
      <c r="I1941" s="12" t="n"/>
      <c r="J1941" s="12" t="n"/>
      <c r="K1941" s="12" t="n"/>
      <c r="L1941" s="11" t="n"/>
      <c r="M1941" s="11" t="n"/>
      <c r="N1941" s="11" t="n"/>
      <c r="O1941" s="11" t="n"/>
      <c r="P1941" s="12" t="n"/>
      <c r="Q1941" s="11" t="n"/>
      <c r="R1941" s="12" t="n"/>
      <c r="S1941" s="11" t="n"/>
      <c r="T1941" s="12" t="n"/>
      <c r="U1941" s="12" t="n"/>
      <c r="V1941" s="14">
        <f>IF($AN1941="",IF($B1941="","",$H1941),IF(INDEX(職員マスタ!$B$6:$B$405,$AN1941)="",$H1941,INDEX(職員マスタ!$B$6:$B$405,$AN1941)))</f>
        <v/>
      </c>
      <c r="W1941" s="14">
        <f>IF($AN1941="",IF($B1941="","",$R1941),IF(INDEX(職員マスタ!$C$6:$C$405,$AN1941)="",$R1941,INDEX(職員マスタ!$C$6:$C$405,$AN1941)))</f>
        <v/>
      </c>
      <c r="X1941" s="14">
        <f>IF($AO1941="","","R"&amp;$C1941&amp;"."&amp;$D1941)</f>
        <v/>
      </c>
      <c r="Y1941" s="15">
        <f>IF($AN1941="","",IF(INDEX(職員マスタ!$K$6:$K$405,$AN1941)="","",INDEX(職員マスタ!$K$6:$K$405,$AN1941)))</f>
        <v/>
      </c>
      <c r="Z1941" s="14">
        <f>IF(OR($E1941="",$Y1941=""),"",IF($E1941&gt;=$Y1941,"×",IF($E1941&gt;=$Y1941*設定!$C$5,"△","○")))</f>
        <v/>
      </c>
      <c r="AA1941" s="15">
        <f>IF($Z1941="","",IF($Z1941="×",0,IF($Z1941="○",ROUNDDOWN($E1941*設定!$C$4,0),ROUNDDOWN($E1941*ROUND((9*$Y1941-9*$E1941)/(10*$E1941),4),0))))</f>
        <v/>
      </c>
      <c r="AB1941" s="13" t="n"/>
      <c r="AC1941" s="15">
        <f>IF($B1941="","",IF($AB1941&lt;&gt;"",$AB1941,IF($AA1941="","",IF($AA1941&lt;=設定!$C$3,0,$AA1941))))</f>
        <v/>
      </c>
      <c r="AD1941" s="14">
        <f>IF($B1941="","",IF(AND($AE1941&lt;&gt;"",$AG1941="",$AJ1941=""),"保留中",IF($AJ1941&lt;&gt;"",IF(N($AC1941)&gt;0,"支給済","不支給"),IF($AC1941="","要確認",IF($AC1941=0,"不支給","未処理")))))</f>
        <v/>
      </c>
      <c r="AE1941" s="12" t="n"/>
      <c r="AF1941" s="11" t="n"/>
      <c r="AG1941" s="11" t="n"/>
      <c r="AH1941" s="11" t="n"/>
      <c r="AI1941" s="14">
        <f>IF(AND($AD1941="保留中",$AF1941&lt;&gt;""),TODAY()-$AF1941,"")</f>
        <v/>
      </c>
      <c r="AJ1941" s="12" t="n"/>
      <c r="AK1941" s="14">
        <f>IF($B1941="","",IF($AO1941="","対象年月が未入力／","")&amp;IF($B1941="","",IF($AN1941="","職員マスタに未登録の職員番号／",IF($Y1941="","標準報酬月額が未登録／","")&amp;IF(AND($AO1941&lt;&gt;"",OR(AND(INDEX(職員マスタ!$G$6:$G$405,$AN1941)&lt;&gt;"",INDEX(職員マスタ!$G$6:$G$405,$AN1941)&gt;EOMONTH($AO1941,0)),AND(INDEX(職員マスタ!$H$6:$H$405,$AN1941)&lt;&gt;"",INDEX(職員マスタ!$H$6:$H$405,$AN1941)&lt;$AO1941))),"対象月が時短期間外／","")&amp;IF(AND(INDEX(職員マスタ!$F$6:$F$405,$AN1941)&lt;&gt;"",$AO1941&lt;&gt;"",INDEX(職員マスタ!$F$6:$F$405,$AN1941)&lt;$AO1941),"対象月に子が2歳到達済／","")&amp;IF(AND($H1941&lt;&gt;"",INDEX(職員マスタ!$B$6:$B$405,$AN1941)&lt;&gt;"",SUBSTITUTE(SUBSTITUTE($H1941," ","")," ","")&lt;&gt;SUBSTITUTE(SUBSTITUTE(INDEX(職員マスタ!$B$6:$B$405,$AN1941)," ","")," ","")),"氏名がマスタと相違／","")&amp;IF(AND($Q1941&lt;&gt;"",INDEX(職員マスタ!$E$6:$E$405,$AN1941)&lt;&gt;"",$Q1941&lt;&gt;INDEX(職員マスタ!$E$6:$E$405,$AN1941)),"子の生年月日がマスタと相違／","")&amp;IF(AND($L1941&lt;&gt;"",INDEX(職員マスタ!$G$6:$G$405,$AN1941)&lt;&gt;"",$L1941&lt;&gt;INDEX(職員マスタ!$G$6:$G$405,$AN1941)),"時短開始日がマスタと相違／","")&amp;IF(AND($M1941&lt;&gt;"",INDEX(職員マスタ!$H$6:$H$405,$AN1941)&lt;&gt;"",$M1941&lt;&gt;INDEX(職員マスタ!$H$6:$H$405,$AN1941)),"時短終了日がマスタと相違／","")))&amp;IF(AND($B1941&lt;&gt;"",$E1941=""),"報酬額が未入力／","")&amp;IF(N($U1941)&gt;0,"申請書に入力エラーが残っています／","")&amp;IF(AND($B1941&lt;&gt;"",$AO1941&lt;&gt;""),IF(COUNTIFS($B$6:$B$3005,$B1941,$C$6:$C$3005,$C1941,$D$6:$D$3005,$D1941)&gt;1,"同じ月の請求が重複しています／",""),"")&amp;IF(AND(N($E1941)&gt;0,$Z1941&lt;&gt;"",$Z1941&lt;&gt;"×",$AC1941=0,$AB1941=""),"計算額が下限以下のため不支給／",""))</f>
        <v/>
      </c>
      <c r="AL1941" s="12" t="n"/>
      <c r="AM1941" s="14">
        <f>IF($AD1941="保留中",COUNTIF($AD$6:$AD1941,"保留中"),"")</f>
        <v/>
      </c>
      <c r="AN1941" s="14">
        <f>IF($AO1941="","",IF(SUMPRODUCT(MAX((職員マスタ!$A$6:$A$405=$B1941)*(((職員マスタ!$G$6:$G$405="")+(職員マスタ!$G$6:$G$405&lt;=EOMONTH($AO1941,0)))&gt;0)*(((職員マスタ!$H$6:$H$405="")+(職員マスタ!$H$6:$H$405&gt;=$AO1941))&gt;0)*(ROW(職員マスタ!$A$6:$A$405)-5)))&gt;0,SUMPRODUCT(MAX((職員マスタ!$A$6:$A$405=$B1941)*(((職員マスタ!$G$6:$G$405="")+(職員マスタ!$G$6:$G$405&lt;=EOMONTH($AO1941,0)))&gt;0)*(((職員マスタ!$H$6:$H$405="")+(職員マスタ!$H$6:$H$405&gt;=$AO1941))&gt;0)*(ROW(職員マスタ!$A$6:$A$405)-5))),IFERROR(MATCH($B1941,職員マスタ!$A$6:$A$405,0),"")))</f>
        <v/>
      </c>
      <c r="AO1941" s="16">
        <f>IF(OR($B1941="",$C1941="",$D1941=""),"",DATE($C1941+2018,$D1941,1))</f>
        <v/>
      </c>
    </row>
    <row r="1942">
      <c r="A1942" s="11" t="n"/>
      <c r="B1942" s="12" t="n"/>
      <c r="C1942" s="12" t="n"/>
      <c r="D1942" s="12" t="n"/>
      <c r="E1942" s="13" t="n"/>
      <c r="F1942" s="12" t="n"/>
      <c r="G1942" s="13" t="n"/>
      <c r="H1942" s="12" t="n"/>
      <c r="I1942" s="12" t="n"/>
      <c r="J1942" s="12" t="n"/>
      <c r="K1942" s="12" t="n"/>
      <c r="L1942" s="11" t="n"/>
      <c r="M1942" s="11" t="n"/>
      <c r="N1942" s="11" t="n"/>
      <c r="O1942" s="11" t="n"/>
      <c r="P1942" s="12" t="n"/>
      <c r="Q1942" s="11" t="n"/>
      <c r="R1942" s="12" t="n"/>
      <c r="S1942" s="11" t="n"/>
      <c r="T1942" s="12" t="n"/>
      <c r="U1942" s="12" t="n"/>
      <c r="V1942" s="14">
        <f>IF($AN1942="",IF($B1942="","",$H1942),IF(INDEX(職員マスタ!$B$6:$B$405,$AN1942)="",$H1942,INDEX(職員マスタ!$B$6:$B$405,$AN1942)))</f>
        <v/>
      </c>
      <c r="W1942" s="14">
        <f>IF($AN1942="",IF($B1942="","",$R1942),IF(INDEX(職員マスタ!$C$6:$C$405,$AN1942)="",$R1942,INDEX(職員マスタ!$C$6:$C$405,$AN1942)))</f>
        <v/>
      </c>
      <c r="X1942" s="14">
        <f>IF($AO1942="","","R"&amp;$C1942&amp;"."&amp;$D1942)</f>
        <v/>
      </c>
      <c r="Y1942" s="15">
        <f>IF($AN1942="","",IF(INDEX(職員マスタ!$K$6:$K$405,$AN1942)="","",INDEX(職員マスタ!$K$6:$K$405,$AN1942)))</f>
        <v/>
      </c>
      <c r="Z1942" s="14">
        <f>IF(OR($E1942="",$Y1942=""),"",IF($E1942&gt;=$Y1942,"×",IF($E1942&gt;=$Y1942*設定!$C$5,"△","○")))</f>
        <v/>
      </c>
      <c r="AA1942" s="15">
        <f>IF($Z1942="","",IF($Z1942="×",0,IF($Z1942="○",ROUNDDOWN($E1942*設定!$C$4,0),ROUNDDOWN($E1942*ROUND((9*$Y1942-9*$E1942)/(10*$E1942),4),0))))</f>
        <v/>
      </c>
      <c r="AB1942" s="13" t="n"/>
      <c r="AC1942" s="15">
        <f>IF($B1942="","",IF($AB1942&lt;&gt;"",$AB1942,IF($AA1942="","",IF($AA1942&lt;=設定!$C$3,0,$AA1942))))</f>
        <v/>
      </c>
      <c r="AD1942" s="14">
        <f>IF($B1942="","",IF(AND($AE1942&lt;&gt;"",$AG1942="",$AJ1942=""),"保留中",IF($AJ1942&lt;&gt;"",IF(N($AC1942)&gt;0,"支給済","不支給"),IF($AC1942="","要確認",IF($AC1942=0,"不支給","未処理")))))</f>
        <v/>
      </c>
      <c r="AE1942" s="12" t="n"/>
      <c r="AF1942" s="11" t="n"/>
      <c r="AG1942" s="11" t="n"/>
      <c r="AH1942" s="11" t="n"/>
      <c r="AI1942" s="14">
        <f>IF(AND($AD1942="保留中",$AF1942&lt;&gt;""),TODAY()-$AF1942,"")</f>
        <v/>
      </c>
      <c r="AJ1942" s="12" t="n"/>
      <c r="AK1942" s="14">
        <f>IF($B1942="","",IF($AO1942="","対象年月が未入力／","")&amp;IF($B1942="","",IF($AN1942="","職員マスタに未登録の職員番号／",IF($Y1942="","標準報酬月額が未登録／","")&amp;IF(AND($AO1942&lt;&gt;"",OR(AND(INDEX(職員マスタ!$G$6:$G$405,$AN1942)&lt;&gt;"",INDEX(職員マスタ!$G$6:$G$405,$AN1942)&gt;EOMONTH($AO1942,0)),AND(INDEX(職員マスタ!$H$6:$H$405,$AN1942)&lt;&gt;"",INDEX(職員マスタ!$H$6:$H$405,$AN1942)&lt;$AO1942))),"対象月が時短期間外／","")&amp;IF(AND(INDEX(職員マスタ!$F$6:$F$405,$AN1942)&lt;&gt;"",$AO1942&lt;&gt;"",INDEX(職員マスタ!$F$6:$F$405,$AN1942)&lt;$AO1942),"対象月に子が2歳到達済／","")&amp;IF(AND($H1942&lt;&gt;"",INDEX(職員マスタ!$B$6:$B$405,$AN1942)&lt;&gt;"",SUBSTITUTE(SUBSTITUTE($H1942," ","")," ","")&lt;&gt;SUBSTITUTE(SUBSTITUTE(INDEX(職員マスタ!$B$6:$B$405,$AN1942)," ","")," ","")),"氏名がマスタと相違／","")&amp;IF(AND($Q1942&lt;&gt;"",INDEX(職員マスタ!$E$6:$E$405,$AN1942)&lt;&gt;"",$Q1942&lt;&gt;INDEX(職員マスタ!$E$6:$E$405,$AN1942)),"子の生年月日がマスタと相違／","")&amp;IF(AND($L1942&lt;&gt;"",INDEX(職員マスタ!$G$6:$G$405,$AN1942)&lt;&gt;"",$L1942&lt;&gt;INDEX(職員マスタ!$G$6:$G$405,$AN1942)),"時短開始日がマスタと相違／","")&amp;IF(AND($M1942&lt;&gt;"",INDEX(職員マスタ!$H$6:$H$405,$AN1942)&lt;&gt;"",$M1942&lt;&gt;INDEX(職員マスタ!$H$6:$H$405,$AN1942)),"時短終了日がマスタと相違／","")))&amp;IF(AND($B1942&lt;&gt;"",$E1942=""),"報酬額が未入力／","")&amp;IF(N($U1942)&gt;0,"申請書に入力エラーが残っています／","")&amp;IF(AND($B1942&lt;&gt;"",$AO1942&lt;&gt;""),IF(COUNTIFS($B$6:$B$3005,$B1942,$C$6:$C$3005,$C1942,$D$6:$D$3005,$D1942)&gt;1,"同じ月の請求が重複しています／",""),"")&amp;IF(AND(N($E1942)&gt;0,$Z1942&lt;&gt;"",$Z1942&lt;&gt;"×",$AC1942=0,$AB1942=""),"計算額が下限以下のため不支給／",""))</f>
        <v/>
      </c>
      <c r="AL1942" s="12" t="n"/>
      <c r="AM1942" s="14">
        <f>IF($AD1942="保留中",COUNTIF($AD$6:$AD1942,"保留中"),"")</f>
        <v/>
      </c>
      <c r="AN1942" s="14">
        <f>IF($AO1942="","",IF(SUMPRODUCT(MAX((職員マスタ!$A$6:$A$405=$B1942)*(((職員マスタ!$G$6:$G$405="")+(職員マスタ!$G$6:$G$405&lt;=EOMONTH($AO1942,0)))&gt;0)*(((職員マスタ!$H$6:$H$405="")+(職員マスタ!$H$6:$H$405&gt;=$AO1942))&gt;0)*(ROW(職員マスタ!$A$6:$A$405)-5)))&gt;0,SUMPRODUCT(MAX((職員マスタ!$A$6:$A$405=$B1942)*(((職員マスタ!$G$6:$G$405="")+(職員マスタ!$G$6:$G$405&lt;=EOMONTH($AO1942,0)))&gt;0)*(((職員マスタ!$H$6:$H$405="")+(職員マスタ!$H$6:$H$405&gt;=$AO1942))&gt;0)*(ROW(職員マスタ!$A$6:$A$405)-5))),IFERROR(MATCH($B1942,職員マスタ!$A$6:$A$405,0),"")))</f>
        <v/>
      </c>
      <c r="AO1942" s="16">
        <f>IF(OR($B1942="",$C1942="",$D1942=""),"",DATE($C1942+2018,$D1942,1))</f>
        <v/>
      </c>
    </row>
    <row r="1943">
      <c r="A1943" s="11" t="n"/>
      <c r="B1943" s="12" t="n"/>
      <c r="C1943" s="12" t="n"/>
      <c r="D1943" s="12" t="n"/>
      <c r="E1943" s="13" t="n"/>
      <c r="F1943" s="12" t="n"/>
      <c r="G1943" s="13" t="n"/>
      <c r="H1943" s="12" t="n"/>
      <c r="I1943" s="12" t="n"/>
      <c r="J1943" s="12" t="n"/>
      <c r="K1943" s="12" t="n"/>
      <c r="L1943" s="11" t="n"/>
      <c r="M1943" s="11" t="n"/>
      <c r="N1943" s="11" t="n"/>
      <c r="O1943" s="11" t="n"/>
      <c r="P1943" s="12" t="n"/>
      <c r="Q1943" s="11" t="n"/>
      <c r="R1943" s="12" t="n"/>
      <c r="S1943" s="11" t="n"/>
      <c r="T1943" s="12" t="n"/>
      <c r="U1943" s="12" t="n"/>
      <c r="V1943" s="14">
        <f>IF($AN1943="",IF($B1943="","",$H1943),IF(INDEX(職員マスタ!$B$6:$B$405,$AN1943)="",$H1943,INDEX(職員マスタ!$B$6:$B$405,$AN1943)))</f>
        <v/>
      </c>
      <c r="W1943" s="14">
        <f>IF($AN1943="",IF($B1943="","",$R1943),IF(INDEX(職員マスタ!$C$6:$C$405,$AN1943)="",$R1943,INDEX(職員マスタ!$C$6:$C$405,$AN1943)))</f>
        <v/>
      </c>
      <c r="X1943" s="14">
        <f>IF($AO1943="","","R"&amp;$C1943&amp;"."&amp;$D1943)</f>
        <v/>
      </c>
      <c r="Y1943" s="15">
        <f>IF($AN1943="","",IF(INDEX(職員マスタ!$K$6:$K$405,$AN1943)="","",INDEX(職員マスタ!$K$6:$K$405,$AN1943)))</f>
        <v/>
      </c>
      <c r="Z1943" s="14">
        <f>IF(OR($E1943="",$Y1943=""),"",IF($E1943&gt;=$Y1943,"×",IF($E1943&gt;=$Y1943*設定!$C$5,"△","○")))</f>
        <v/>
      </c>
      <c r="AA1943" s="15">
        <f>IF($Z1943="","",IF($Z1943="×",0,IF($Z1943="○",ROUNDDOWN($E1943*設定!$C$4,0),ROUNDDOWN($E1943*ROUND((9*$Y1943-9*$E1943)/(10*$E1943),4),0))))</f>
        <v/>
      </c>
      <c r="AB1943" s="13" t="n"/>
      <c r="AC1943" s="15">
        <f>IF($B1943="","",IF($AB1943&lt;&gt;"",$AB1943,IF($AA1943="","",IF($AA1943&lt;=設定!$C$3,0,$AA1943))))</f>
        <v/>
      </c>
      <c r="AD1943" s="14">
        <f>IF($B1943="","",IF(AND($AE1943&lt;&gt;"",$AG1943="",$AJ1943=""),"保留中",IF($AJ1943&lt;&gt;"",IF(N($AC1943)&gt;0,"支給済","不支給"),IF($AC1943="","要確認",IF($AC1943=0,"不支給","未処理")))))</f>
        <v/>
      </c>
      <c r="AE1943" s="12" t="n"/>
      <c r="AF1943" s="11" t="n"/>
      <c r="AG1943" s="11" t="n"/>
      <c r="AH1943" s="11" t="n"/>
      <c r="AI1943" s="14">
        <f>IF(AND($AD1943="保留中",$AF1943&lt;&gt;""),TODAY()-$AF1943,"")</f>
        <v/>
      </c>
      <c r="AJ1943" s="12" t="n"/>
      <c r="AK1943" s="14">
        <f>IF($B1943="","",IF($AO1943="","対象年月が未入力／","")&amp;IF($B1943="","",IF($AN1943="","職員マスタに未登録の職員番号／",IF($Y1943="","標準報酬月額が未登録／","")&amp;IF(AND($AO1943&lt;&gt;"",OR(AND(INDEX(職員マスタ!$G$6:$G$405,$AN1943)&lt;&gt;"",INDEX(職員マスタ!$G$6:$G$405,$AN1943)&gt;EOMONTH($AO1943,0)),AND(INDEX(職員マスタ!$H$6:$H$405,$AN1943)&lt;&gt;"",INDEX(職員マスタ!$H$6:$H$405,$AN1943)&lt;$AO1943))),"対象月が時短期間外／","")&amp;IF(AND(INDEX(職員マスタ!$F$6:$F$405,$AN1943)&lt;&gt;"",$AO1943&lt;&gt;"",INDEX(職員マスタ!$F$6:$F$405,$AN1943)&lt;$AO1943),"対象月に子が2歳到達済／","")&amp;IF(AND($H1943&lt;&gt;"",INDEX(職員マスタ!$B$6:$B$405,$AN1943)&lt;&gt;"",SUBSTITUTE(SUBSTITUTE($H1943," ","")," ","")&lt;&gt;SUBSTITUTE(SUBSTITUTE(INDEX(職員マスタ!$B$6:$B$405,$AN1943)," ","")," ","")),"氏名がマスタと相違／","")&amp;IF(AND($Q1943&lt;&gt;"",INDEX(職員マスタ!$E$6:$E$405,$AN1943)&lt;&gt;"",$Q1943&lt;&gt;INDEX(職員マスタ!$E$6:$E$405,$AN1943)),"子の生年月日がマスタと相違／","")&amp;IF(AND($L1943&lt;&gt;"",INDEX(職員マスタ!$G$6:$G$405,$AN1943)&lt;&gt;"",$L1943&lt;&gt;INDEX(職員マスタ!$G$6:$G$405,$AN1943)),"時短開始日がマスタと相違／","")&amp;IF(AND($M1943&lt;&gt;"",INDEX(職員マスタ!$H$6:$H$405,$AN1943)&lt;&gt;"",$M1943&lt;&gt;INDEX(職員マスタ!$H$6:$H$405,$AN1943)),"時短終了日がマスタと相違／","")))&amp;IF(AND($B1943&lt;&gt;"",$E1943=""),"報酬額が未入力／","")&amp;IF(N($U1943)&gt;0,"申請書に入力エラーが残っています／","")&amp;IF(AND($B1943&lt;&gt;"",$AO1943&lt;&gt;""),IF(COUNTIFS($B$6:$B$3005,$B1943,$C$6:$C$3005,$C1943,$D$6:$D$3005,$D1943)&gt;1,"同じ月の請求が重複しています／",""),"")&amp;IF(AND(N($E1943)&gt;0,$Z1943&lt;&gt;"",$Z1943&lt;&gt;"×",$AC1943=0,$AB1943=""),"計算額が下限以下のため不支給／",""))</f>
        <v/>
      </c>
      <c r="AL1943" s="12" t="n"/>
      <c r="AM1943" s="14">
        <f>IF($AD1943="保留中",COUNTIF($AD$6:$AD1943,"保留中"),"")</f>
        <v/>
      </c>
      <c r="AN1943" s="14">
        <f>IF($AO1943="","",IF(SUMPRODUCT(MAX((職員マスタ!$A$6:$A$405=$B1943)*(((職員マスタ!$G$6:$G$405="")+(職員マスタ!$G$6:$G$405&lt;=EOMONTH($AO1943,0)))&gt;0)*(((職員マスタ!$H$6:$H$405="")+(職員マスタ!$H$6:$H$405&gt;=$AO1943))&gt;0)*(ROW(職員マスタ!$A$6:$A$405)-5)))&gt;0,SUMPRODUCT(MAX((職員マスタ!$A$6:$A$405=$B1943)*(((職員マスタ!$G$6:$G$405="")+(職員マスタ!$G$6:$G$405&lt;=EOMONTH($AO1943,0)))&gt;0)*(((職員マスタ!$H$6:$H$405="")+(職員マスタ!$H$6:$H$405&gt;=$AO1943))&gt;0)*(ROW(職員マスタ!$A$6:$A$405)-5))),IFERROR(MATCH($B1943,職員マスタ!$A$6:$A$405,0),"")))</f>
        <v/>
      </c>
      <c r="AO1943" s="16">
        <f>IF(OR($B1943="",$C1943="",$D1943=""),"",DATE($C1943+2018,$D1943,1))</f>
        <v/>
      </c>
    </row>
    <row r="1944">
      <c r="A1944" s="11" t="n"/>
      <c r="B1944" s="12" t="n"/>
      <c r="C1944" s="12" t="n"/>
      <c r="D1944" s="12" t="n"/>
      <c r="E1944" s="13" t="n"/>
      <c r="F1944" s="12" t="n"/>
      <c r="G1944" s="13" t="n"/>
      <c r="H1944" s="12" t="n"/>
      <c r="I1944" s="12" t="n"/>
      <c r="J1944" s="12" t="n"/>
      <c r="K1944" s="12" t="n"/>
      <c r="L1944" s="11" t="n"/>
      <c r="M1944" s="11" t="n"/>
      <c r="N1944" s="11" t="n"/>
      <c r="O1944" s="11" t="n"/>
      <c r="P1944" s="12" t="n"/>
      <c r="Q1944" s="11" t="n"/>
      <c r="R1944" s="12" t="n"/>
      <c r="S1944" s="11" t="n"/>
      <c r="T1944" s="12" t="n"/>
      <c r="U1944" s="12" t="n"/>
      <c r="V1944" s="14">
        <f>IF($AN1944="",IF($B1944="","",$H1944),IF(INDEX(職員マスタ!$B$6:$B$405,$AN1944)="",$H1944,INDEX(職員マスタ!$B$6:$B$405,$AN1944)))</f>
        <v/>
      </c>
      <c r="W1944" s="14">
        <f>IF($AN1944="",IF($B1944="","",$R1944),IF(INDEX(職員マスタ!$C$6:$C$405,$AN1944)="",$R1944,INDEX(職員マスタ!$C$6:$C$405,$AN1944)))</f>
        <v/>
      </c>
      <c r="X1944" s="14">
        <f>IF($AO1944="","","R"&amp;$C1944&amp;"."&amp;$D1944)</f>
        <v/>
      </c>
      <c r="Y1944" s="15">
        <f>IF($AN1944="","",IF(INDEX(職員マスタ!$K$6:$K$405,$AN1944)="","",INDEX(職員マスタ!$K$6:$K$405,$AN1944)))</f>
        <v/>
      </c>
      <c r="Z1944" s="14">
        <f>IF(OR($E1944="",$Y1944=""),"",IF($E1944&gt;=$Y1944,"×",IF($E1944&gt;=$Y1944*設定!$C$5,"△","○")))</f>
        <v/>
      </c>
      <c r="AA1944" s="15">
        <f>IF($Z1944="","",IF($Z1944="×",0,IF($Z1944="○",ROUNDDOWN($E1944*設定!$C$4,0),ROUNDDOWN($E1944*ROUND((9*$Y1944-9*$E1944)/(10*$E1944),4),0))))</f>
        <v/>
      </c>
      <c r="AB1944" s="13" t="n"/>
      <c r="AC1944" s="15">
        <f>IF($B1944="","",IF($AB1944&lt;&gt;"",$AB1944,IF($AA1944="","",IF($AA1944&lt;=設定!$C$3,0,$AA1944))))</f>
        <v/>
      </c>
      <c r="AD1944" s="14">
        <f>IF($B1944="","",IF(AND($AE1944&lt;&gt;"",$AG1944="",$AJ1944=""),"保留中",IF($AJ1944&lt;&gt;"",IF(N($AC1944)&gt;0,"支給済","不支給"),IF($AC1944="","要確認",IF($AC1944=0,"不支給","未処理")))))</f>
        <v/>
      </c>
      <c r="AE1944" s="12" t="n"/>
      <c r="AF1944" s="11" t="n"/>
      <c r="AG1944" s="11" t="n"/>
      <c r="AH1944" s="11" t="n"/>
      <c r="AI1944" s="14">
        <f>IF(AND($AD1944="保留中",$AF1944&lt;&gt;""),TODAY()-$AF1944,"")</f>
        <v/>
      </c>
      <c r="AJ1944" s="12" t="n"/>
      <c r="AK1944" s="14">
        <f>IF($B1944="","",IF($AO1944="","対象年月が未入力／","")&amp;IF($B1944="","",IF($AN1944="","職員マスタに未登録の職員番号／",IF($Y1944="","標準報酬月額が未登録／","")&amp;IF(AND($AO1944&lt;&gt;"",OR(AND(INDEX(職員マスタ!$G$6:$G$405,$AN1944)&lt;&gt;"",INDEX(職員マスタ!$G$6:$G$405,$AN1944)&gt;EOMONTH($AO1944,0)),AND(INDEX(職員マスタ!$H$6:$H$405,$AN1944)&lt;&gt;"",INDEX(職員マスタ!$H$6:$H$405,$AN1944)&lt;$AO1944))),"対象月が時短期間外／","")&amp;IF(AND(INDEX(職員マスタ!$F$6:$F$405,$AN1944)&lt;&gt;"",$AO1944&lt;&gt;"",INDEX(職員マスタ!$F$6:$F$405,$AN1944)&lt;$AO1944),"対象月に子が2歳到達済／","")&amp;IF(AND($H1944&lt;&gt;"",INDEX(職員マスタ!$B$6:$B$405,$AN1944)&lt;&gt;"",SUBSTITUTE(SUBSTITUTE($H1944," ","")," ","")&lt;&gt;SUBSTITUTE(SUBSTITUTE(INDEX(職員マスタ!$B$6:$B$405,$AN1944)," ","")," ","")),"氏名がマスタと相違／","")&amp;IF(AND($Q1944&lt;&gt;"",INDEX(職員マスタ!$E$6:$E$405,$AN1944)&lt;&gt;"",$Q1944&lt;&gt;INDEX(職員マスタ!$E$6:$E$405,$AN1944)),"子の生年月日がマスタと相違／","")&amp;IF(AND($L1944&lt;&gt;"",INDEX(職員マスタ!$G$6:$G$405,$AN1944)&lt;&gt;"",$L1944&lt;&gt;INDEX(職員マスタ!$G$6:$G$405,$AN1944)),"時短開始日がマスタと相違／","")&amp;IF(AND($M1944&lt;&gt;"",INDEX(職員マスタ!$H$6:$H$405,$AN1944)&lt;&gt;"",$M1944&lt;&gt;INDEX(職員マスタ!$H$6:$H$405,$AN1944)),"時短終了日がマスタと相違／","")))&amp;IF(AND($B1944&lt;&gt;"",$E1944=""),"報酬額が未入力／","")&amp;IF(N($U1944)&gt;0,"申請書に入力エラーが残っています／","")&amp;IF(AND($B1944&lt;&gt;"",$AO1944&lt;&gt;""),IF(COUNTIFS($B$6:$B$3005,$B1944,$C$6:$C$3005,$C1944,$D$6:$D$3005,$D1944)&gt;1,"同じ月の請求が重複しています／",""),"")&amp;IF(AND(N($E1944)&gt;0,$Z1944&lt;&gt;"",$Z1944&lt;&gt;"×",$AC1944=0,$AB1944=""),"計算額が下限以下のため不支給／",""))</f>
        <v/>
      </c>
      <c r="AL1944" s="12" t="n"/>
      <c r="AM1944" s="14">
        <f>IF($AD1944="保留中",COUNTIF($AD$6:$AD1944,"保留中"),"")</f>
        <v/>
      </c>
      <c r="AN1944" s="14">
        <f>IF($AO1944="","",IF(SUMPRODUCT(MAX((職員マスタ!$A$6:$A$405=$B1944)*(((職員マスタ!$G$6:$G$405="")+(職員マスタ!$G$6:$G$405&lt;=EOMONTH($AO1944,0)))&gt;0)*(((職員マスタ!$H$6:$H$405="")+(職員マスタ!$H$6:$H$405&gt;=$AO1944))&gt;0)*(ROW(職員マスタ!$A$6:$A$405)-5)))&gt;0,SUMPRODUCT(MAX((職員マスタ!$A$6:$A$405=$B1944)*(((職員マスタ!$G$6:$G$405="")+(職員マスタ!$G$6:$G$405&lt;=EOMONTH($AO1944,0)))&gt;0)*(((職員マスタ!$H$6:$H$405="")+(職員マスタ!$H$6:$H$405&gt;=$AO1944))&gt;0)*(ROW(職員マスタ!$A$6:$A$405)-5))),IFERROR(MATCH($B1944,職員マスタ!$A$6:$A$405,0),"")))</f>
        <v/>
      </c>
      <c r="AO1944" s="16">
        <f>IF(OR($B1944="",$C1944="",$D1944=""),"",DATE($C1944+2018,$D1944,1))</f>
        <v/>
      </c>
    </row>
    <row r="1945">
      <c r="A1945" s="11" t="n"/>
      <c r="B1945" s="12" t="n"/>
      <c r="C1945" s="12" t="n"/>
      <c r="D1945" s="12" t="n"/>
      <c r="E1945" s="13" t="n"/>
      <c r="F1945" s="12" t="n"/>
      <c r="G1945" s="13" t="n"/>
      <c r="H1945" s="12" t="n"/>
      <c r="I1945" s="12" t="n"/>
      <c r="J1945" s="12" t="n"/>
      <c r="K1945" s="12" t="n"/>
      <c r="L1945" s="11" t="n"/>
      <c r="M1945" s="11" t="n"/>
      <c r="N1945" s="11" t="n"/>
      <c r="O1945" s="11" t="n"/>
      <c r="P1945" s="12" t="n"/>
      <c r="Q1945" s="11" t="n"/>
      <c r="R1945" s="12" t="n"/>
      <c r="S1945" s="11" t="n"/>
      <c r="T1945" s="12" t="n"/>
      <c r="U1945" s="12" t="n"/>
      <c r="V1945" s="14">
        <f>IF($AN1945="",IF($B1945="","",$H1945),IF(INDEX(職員マスタ!$B$6:$B$405,$AN1945)="",$H1945,INDEX(職員マスタ!$B$6:$B$405,$AN1945)))</f>
        <v/>
      </c>
      <c r="W1945" s="14">
        <f>IF($AN1945="",IF($B1945="","",$R1945),IF(INDEX(職員マスタ!$C$6:$C$405,$AN1945)="",$R1945,INDEX(職員マスタ!$C$6:$C$405,$AN1945)))</f>
        <v/>
      </c>
      <c r="X1945" s="14">
        <f>IF($AO1945="","","R"&amp;$C1945&amp;"."&amp;$D1945)</f>
        <v/>
      </c>
      <c r="Y1945" s="15">
        <f>IF($AN1945="","",IF(INDEX(職員マスタ!$K$6:$K$405,$AN1945)="","",INDEX(職員マスタ!$K$6:$K$405,$AN1945)))</f>
        <v/>
      </c>
      <c r="Z1945" s="14">
        <f>IF(OR($E1945="",$Y1945=""),"",IF($E1945&gt;=$Y1945,"×",IF($E1945&gt;=$Y1945*設定!$C$5,"△","○")))</f>
        <v/>
      </c>
      <c r="AA1945" s="15">
        <f>IF($Z1945="","",IF($Z1945="×",0,IF($Z1945="○",ROUNDDOWN($E1945*設定!$C$4,0),ROUNDDOWN($E1945*ROUND((9*$Y1945-9*$E1945)/(10*$E1945),4),0))))</f>
        <v/>
      </c>
      <c r="AB1945" s="13" t="n"/>
      <c r="AC1945" s="15">
        <f>IF($B1945="","",IF($AB1945&lt;&gt;"",$AB1945,IF($AA1945="","",IF($AA1945&lt;=設定!$C$3,0,$AA1945))))</f>
        <v/>
      </c>
      <c r="AD1945" s="14">
        <f>IF($B1945="","",IF(AND($AE1945&lt;&gt;"",$AG1945="",$AJ1945=""),"保留中",IF($AJ1945&lt;&gt;"",IF(N($AC1945)&gt;0,"支給済","不支給"),IF($AC1945="","要確認",IF($AC1945=0,"不支給","未処理")))))</f>
        <v/>
      </c>
      <c r="AE1945" s="12" t="n"/>
      <c r="AF1945" s="11" t="n"/>
      <c r="AG1945" s="11" t="n"/>
      <c r="AH1945" s="11" t="n"/>
      <c r="AI1945" s="14">
        <f>IF(AND($AD1945="保留中",$AF1945&lt;&gt;""),TODAY()-$AF1945,"")</f>
        <v/>
      </c>
      <c r="AJ1945" s="12" t="n"/>
      <c r="AK1945" s="14">
        <f>IF($B1945="","",IF($AO1945="","対象年月が未入力／","")&amp;IF($B1945="","",IF($AN1945="","職員マスタに未登録の職員番号／",IF($Y1945="","標準報酬月額が未登録／","")&amp;IF(AND($AO1945&lt;&gt;"",OR(AND(INDEX(職員マスタ!$G$6:$G$405,$AN1945)&lt;&gt;"",INDEX(職員マスタ!$G$6:$G$405,$AN1945)&gt;EOMONTH($AO1945,0)),AND(INDEX(職員マスタ!$H$6:$H$405,$AN1945)&lt;&gt;"",INDEX(職員マスタ!$H$6:$H$405,$AN1945)&lt;$AO1945))),"対象月が時短期間外／","")&amp;IF(AND(INDEX(職員マスタ!$F$6:$F$405,$AN1945)&lt;&gt;"",$AO1945&lt;&gt;"",INDEX(職員マスタ!$F$6:$F$405,$AN1945)&lt;$AO1945),"対象月に子が2歳到達済／","")&amp;IF(AND($H1945&lt;&gt;"",INDEX(職員マスタ!$B$6:$B$405,$AN1945)&lt;&gt;"",SUBSTITUTE(SUBSTITUTE($H1945," ","")," ","")&lt;&gt;SUBSTITUTE(SUBSTITUTE(INDEX(職員マスタ!$B$6:$B$405,$AN1945)," ","")," ","")),"氏名がマスタと相違／","")&amp;IF(AND($Q1945&lt;&gt;"",INDEX(職員マスタ!$E$6:$E$405,$AN1945)&lt;&gt;"",$Q1945&lt;&gt;INDEX(職員マスタ!$E$6:$E$405,$AN1945)),"子の生年月日がマスタと相違／","")&amp;IF(AND($L1945&lt;&gt;"",INDEX(職員マスタ!$G$6:$G$405,$AN1945)&lt;&gt;"",$L1945&lt;&gt;INDEX(職員マスタ!$G$6:$G$405,$AN1945)),"時短開始日がマスタと相違／","")&amp;IF(AND($M1945&lt;&gt;"",INDEX(職員マスタ!$H$6:$H$405,$AN1945)&lt;&gt;"",$M1945&lt;&gt;INDEX(職員マスタ!$H$6:$H$405,$AN1945)),"時短終了日がマスタと相違／","")))&amp;IF(AND($B1945&lt;&gt;"",$E1945=""),"報酬額が未入力／","")&amp;IF(N($U1945)&gt;0,"申請書に入力エラーが残っています／","")&amp;IF(AND($B1945&lt;&gt;"",$AO1945&lt;&gt;""),IF(COUNTIFS($B$6:$B$3005,$B1945,$C$6:$C$3005,$C1945,$D$6:$D$3005,$D1945)&gt;1,"同じ月の請求が重複しています／",""),"")&amp;IF(AND(N($E1945)&gt;0,$Z1945&lt;&gt;"",$Z1945&lt;&gt;"×",$AC1945=0,$AB1945=""),"計算額が下限以下のため不支給／",""))</f>
        <v/>
      </c>
      <c r="AL1945" s="12" t="n"/>
      <c r="AM1945" s="14">
        <f>IF($AD1945="保留中",COUNTIF($AD$6:$AD1945,"保留中"),"")</f>
        <v/>
      </c>
      <c r="AN1945" s="14">
        <f>IF($AO1945="","",IF(SUMPRODUCT(MAX((職員マスタ!$A$6:$A$405=$B1945)*(((職員マスタ!$G$6:$G$405="")+(職員マスタ!$G$6:$G$405&lt;=EOMONTH($AO1945,0)))&gt;0)*(((職員マスタ!$H$6:$H$405="")+(職員マスタ!$H$6:$H$405&gt;=$AO1945))&gt;0)*(ROW(職員マスタ!$A$6:$A$405)-5)))&gt;0,SUMPRODUCT(MAX((職員マスタ!$A$6:$A$405=$B1945)*(((職員マスタ!$G$6:$G$405="")+(職員マスタ!$G$6:$G$405&lt;=EOMONTH($AO1945,0)))&gt;0)*(((職員マスタ!$H$6:$H$405="")+(職員マスタ!$H$6:$H$405&gt;=$AO1945))&gt;0)*(ROW(職員マスタ!$A$6:$A$405)-5))),IFERROR(MATCH($B1945,職員マスタ!$A$6:$A$405,0),"")))</f>
        <v/>
      </c>
      <c r="AO1945" s="16">
        <f>IF(OR($B1945="",$C1945="",$D1945=""),"",DATE($C1945+2018,$D1945,1))</f>
        <v/>
      </c>
    </row>
    <row r="1946">
      <c r="A1946" s="11" t="n"/>
      <c r="B1946" s="12" t="n"/>
      <c r="C1946" s="12" t="n"/>
      <c r="D1946" s="12" t="n"/>
      <c r="E1946" s="13" t="n"/>
      <c r="F1946" s="12" t="n"/>
      <c r="G1946" s="13" t="n"/>
      <c r="H1946" s="12" t="n"/>
      <c r="I1946" s="12" t="n"/>
      <c r="J1946" s="12" t="n"/>
      <c r="K1946" s="12" t="n"/>
      <c r="L1946" s="11" t="n"/>
      <c r="M1946" s="11" t="n"/>
      <c r="N1946" s="11" t="n"/>
      <c r="O1946" s="11" t="n"/>
      <c r="P1946" s="12" t="n"/>
      <c r="Q1946" s="11" t="n"/>
      <c r="R1946" s="12" t="n"/>
      <c r="S1946" s="11" t="n"/>
      <c r="T1946" s="12" t="n"/>
      <c r="U1946" s="12" t="n"/>
      <c r="V1946" s="14">
        <f>IF($AN1946="",IF($B1946="","",$H1946),IF(INDEX(職員マスタ!$B$6:$B$405,$AN1946)="",$H1946,INDEX(職員マスタ!$B$6:$B$405,$AN1946)))</f>
        <v/>
      </c>
      <c r="W1946" s="14">
        <f>IF($AN1946="",IF($B1946="","",$R1946),IF(INDEX(職員マスタ!$C$6:$C$405,$AN1946)="",$R1946,INDEX(職員マスタ!$C$6:$C$405,$AN1946)))</f>
        <v/>
      </c>
      <c r="X1946" s="14">
        <f>IF($AO1946="","","R"&amp;$C1946&amp;"."&amp;$D1946)</f>
        <v/>
      </c>
      <c r="Y1946" s="15">
        <f>IF($AN1946="","",IF(INDEX(職員マスタ!$K$6:$K$405,$AN1946)="","",INDEX(職員マスタ!$K$6:$K$405,$AN1946)))</f>
        <v/>
      </c>
      <c r="Z1946" s="14">
        <f>IF(OR($E1946="",$Y1946=""),"",IF($E1946&gt;=$Y1946,"×",IF($E1946&gt;=$Y1946*設定!$C$5,"△","○")))</f>
        <v/>
      </c>
      <c r="AA1946" s="15">
        <f>IF($Z1946="","",IF($Z1946="×",0,IF($Z1946="○",ROUNDDOWN($E1946*設定!$C$4,0),ROUNDDOWN($E1946*ROUND((9*$Y1946-9*$E1946)/(10*$E1946),4),0))))</f>
        <v/>
      </c>
      <c r="AB1946" s="13" t="n"/>
      <c r="AC1946" s="15">
        <f>IF($B1946="","",IF($AB1946&lt;&gt;"",$AB1946,IF($AA1946="","",IF($AA1946&lt;=設定!$C$3,0,$AA1946))))</f>
        <v/>
      </c>
      <c r="AD1946" s="14">
        <f>IF($B1946="","",IF(AND($AE1946&lt;&gt;"",$AG1946="",$AJ1946=""),"保留中",IF($AJ1946&lt;&gt;"",IF(N($AC1946)&gt;0,"支給済","不支給"),IF($AC1946="","要確認",IF($AC1946=0,"不支給","未処理")))))</f>
        <v/>
      </c>
      <c r="AE1946" s="12" t="n"/>
      <c r="AF1946" s="11" t="n"/>
      <c r="AG1946" s="11" t="n"/>
      <c r="AH1946" s="11" t="n"/>
      <c r="AI1946" s="14">
        <f>IF(AND($AD1946="保留中",$AF1946&lt;&gt;""),TODAY()-$AF1946,"")</f>
        <v/>
      </c>
      <c r="AJ1946" s="12" t="n"/>
      <c r="AK1946" s="14">
        <f>IF($B1946="","",IF($AO1946="","対象年月が未入力／","")&amp;IF($B1946="","",IF($AN1946="","職員マスタに未登録の職員番号／",IF($Y1946="","標準報酬月額が未登録／","")&amp;IF(AND($AO1946&lt;&gt;"",OR(AND(INDEX(職員マスタ!$G$6:$G$405,$AN1946)&lt;&gt;"",INDEX(職員マスタ!$G$6:$G$405,$AN1946)&gt;EOMONTH($AO1946,0)),AND(INDEX(職員マスタ!$H$6:$H$405,$AN1946)&lt;&gt;"",INDEX(職員マスタ!$H$6:$H$405,$AN1946)&lt;$AO1946))),"対象月が時短期間外／","")&amp;IF(AND(INDEX(職員マスタ!$F$6:$F$405,$AN1946)&lt;&gt;"",$AO1946&lt;&gt;"",INDEX(職員マスタ!$F$6:$F$405,$AN1946)&lt;$AO1946),"対象月に子が2歳到達済／","")&amp;IF(AND($H1946&lt;&gt;"",INDEX(職員マスタ!$B$6:$B$405,$AN1946)&lt;&gt;"",SUBSTITUTE(SUBSTITUTE($H1946," ","")," ","")&lt;&gt;SUBSTITUTE(SUBSTITUTE(INDEX(職員マスタ!$B$6:$B$405,$AN1946)," ","")," ","")),"氏名がマスタと相違／","")&amp;IF(AND($Q1946&lt;&gt;"",INDEX(職員マスタ!$E$6:$E$405,$AN1946)&lt;&gt;"",$Q1946&lt;&gt;INDEX(職員マスタ!$E$6:$E$405,$AN1946)),"子の生年月日がマスタと相違／","")&amp;IF(AND($L1946&lt;&gt;"",INDEX(職員マスタ!$G$6:$G$405,$AN1946)&lt;&gt;"",$L1946&lt;&gt;INDEX(職員マスタ!$G$6:$G$405,$AN1946)),"時短開始日がマスタと相違／","")&amp;IF(AND($M1946&lt;&gt;"",INDEX(職員マスタ!$H$6:$H$405,$AN1946)&lt;&gt;"",$M1946&lt;&gt;INDEX(職員マスタ!$H$6:$H$405,$AN1946)),"時短終了日がマスタと相違／","")))&amp;IF(AND($B1946&lt;&gt;"",$E1946=""),"報酬額が未入力／","")&amp;IF(N($U1946)&gt;0,"申請書に入力エラーが残っています／","")&amp;IF(AND($B1946&lt;&gt;"",$AO1946&lt;&gt;""),IF(COUNTIFS($B$6:$B$3005,$B1946,$C$6:$C$3005,$C1946,$D$6:$D$3005,$D1946)&gt;1,"同じ月の請求が重複しています／",""),"")&amp;IF(AND(N($E1946)&gt;0,$Z1946&lt;&gt;"",$Z1946&lt;&gt;"×",$AC1946=0,$AB1946=""),"計算額が下限以下のため不支給／",""))</f>
        <v/>
      </c>
      <c r="AL1946" s="12" t="n"/>
      <c r="AM1946" s="14">
        <f>IF($AD1946="保留中",COUNTIF($AD$6:$AD1946,"保留中"),"")</f>
        <v/>
      </c>
      <c r="AN1946" s="14">
        <f>IF($AO1946="","",IF(SUMPRODUCT(MAX((職員マスタ!$A$6:$A$405=$B1946)*(((職員マスタ!$G$6:$G$405="")+(職員マスタ!$G$6:$G$405&lt;=EOMONTH($AO1946,0)))&gt;0)*(((職員マスタ!$H$6:$H$405="")+(職員マスタ!$H$6:$H$405&gt;=$AO1946))&gt;0)*(ROW(職員マスタ!$A$6:$A$405)-5)))&gt;0,SUMPRODUCT(MAX((職員マスタ!$A$6:$A$405=$B1946)*(((職員マスタ!$G$6:$G$405="")+(職員マスタ!$G$6:$G$405&lt;=EOMONTH($AO1946,0)))&gt;0)*(((職員マスタ!$H$6:$H$405="")+(職員マスタ!$H$6:$H$405&gt;=$AO1946))&gt;0)*(ROW(職員マスタ!$A$6:$A$405)-5))),IFERROR(MATCH($B1946,職員マスタ!$A$6:$A$405,0),"")))</f>
        <v/>
      </c>
      <c r="AO1946" s="16">
        <f>IF(OR($B1946="",$C1946="",$D1946=""),"",DATE($C1946+2018,$D1946,1))</f>
        <v/>
      </c>
    </row>
    <row r="1947">
      <c r="A1947" s="11" t="n"/>
      <c r="B1947" s="12" t="n"/>
      <c r="C1947" s="12" t="n"/>
      <c r="D1947" s="12" t="n"/>
      <c r="E1947" s="13" t="n"/>
      <c r="F1947" s="12" t="n"/>
      <c r="G1947" s="13" t="n"/>
      <c r="H1947" s="12" t="n"/>
      <c r="I1947" s="12" t="n"/>
      <c r="J1947" s="12" t="n"/>
      <c r="K1947" s="12" t="n"/>
      <c r="L1947" s="11" t="n"/>
      <c r="M1947" s="11" t="n"/>
      <c r="N1947" s="11" t="n"/>
      <c r="O1947" s="11" t="n"/>
      <c r="P1947" s="12" t="n"/>
      <c r="Q1947" s="11" t="n"/>
      <c r="R1947" s="12" t="n"/>
      <c r="S1947" s="11" t="n"/>
      <c r="T1947" s="12" t="n"/>
      <c r="U1947" s="12" t="n"/>
      <c r="V1947" s="14">
        <f>IF($AN1947="",IF($B1947="","",$H1947),IF(INDEX(職員マスタ!$B$6:$B$405,$AN1947)="",$H1947,INDEX(職員マスタ!$B$6:$B$405,$AN1947)))</f>
        <v/>
      </c>
      <c r="W1947" s="14">
        <f>IF($AN1947="",IF($B1947="","",$R1947),IF(INDEX(職員マスタ!$C$6:$C$405,$AN1947)="",$R1947,INDEX(職員マスタ!$C$6:$C$405,$AN1947)))</f>
        <v/>
      </c>
      <c r="X1947" s="14">
        <f>IF($AO1947="","","R"&amp;$C1947&amp;"."&amp;$D1947)</f>
        <v/>
      </c>
      <c r="Y1947" s="15">
        <f>IF($AN1947="","",IF(INDEX(職員マスタ!$K$6:$K$405,$AN1947)="","",INDEX(職員マスタ!$K$6:$K$405,$AN1947)))</f>
        <v/>
      </c>
      <c r="Z1947" s="14">
        <f>IF(OR($E1947="",$Y1947=""),"",IF($E1947&gt;=$Y1947,"×",IF($E1947&gt;=$Y1947*設定!$C$5,"△","○")))</f>
        <v/>
      </c>
      <c r="AA1947" s="15">
        <f>IF($Z1947="","",IF($Z1947="×",0,IF($Z1947="○",ROUNDDOWN($E1947*設定!$C$4,0),ROUNDDOWN($E1947*ROUND((9*$Y1947-9*$E1947)/(10*$E1947),4),0))))</f>
        <v/>
      </c>
      <c r="AB1947" s="13" t="n"/>
      <c r="AC1947" s="15">
        <f>IF($B1947="","",IF($AB1947&lt;&gt;"",$AB1947,IF($AA1947="","",IF($AA1947&lt;=設定!$C$3,0,$AA1947))))</f>
        <v/>
      </c>
      <c r="AD1947" s="14">
        <f>IF($B1947="","",IF(AND($AE1947&lt;&gt;"",$AG1947="",$AJ1947=""),"保留中",IF($AJ1947&lt;&gt;"",IF(N($AC1947)&gt;0,"支給済","不支給"),IF($AC1947="","要確認",IF($AC1947=0,"不支給","未処理")))))</f>
        <v/>
      </c>
      <c r="AE1947" s="12" t="n"/>
      <c r="AF1947" s="11" t="n"/>
      <c r="AG1947" s="11" t="n"/>
      <c r="AH1947" s="11" t="n"/>
      <c r="AI1947" s="14">
        <f>IF(AND($AD1947="保留中",$AF1947&lt;&gt;""),TODAY()-$AF1947,"")</f>
        <v/>
      </c>
      <c r="AJ1947" s="12" t="n"/>
      <c r="AK1947" s="14">
        <f>IF($B1947="","",IF($AO1947="","対象年月が未入力／","")&amp;IF($B1947="","",IF($AN1947="","職員マスタに未登録の職員番号／",IF($Y1947="","標準報酬月額が未登録／","")&amp;IF(AND($AO1947&lt;&gt;"",OR(AND(INDEX(職員マスタ!$G$6:$G$405,$AN1947)&lt;&gt;"",INDEX(職員マスタ!$G$6:$G$405,$AN1947)&gt;EOMONTH($AO1947,0)),AND(INDEX(職員マスタ!$H$6:$H$405,$AN1947)&lt;&gt;"",INDEX(職員マスタ!$H$6:$H$405,$AN1947)&lt;$AO1947))),"対象月が時短期間外／","")&amp;IF(AND(INDEX(職員マスタ!$F$6:$F$405,$AN1947)&lt;&gt;"",$AO1947&lt;&gt;"",INDEX(職員マスタ!$F$6:$F$405,$AN1947)&lt;$AO1947),"対象月に子が2歳到達済／","")&amp;IF(AND($H1947&lt;&gt;"",INDEX(職員マスタ!$B$6:$B$405,$AN1947)&lt;&gt;"",SUBSTITUTE(SUBSTITUTE($H1947," ","")," ","")&lt;&gt;SUBSTITUTE(SUBSTITUTE(INDEX(職員マスタ!$B$6:$B$405,$AN1947)," ","")," ","")),"氏名がマスタと相違／","")&amp;IF(AND($Q1947&lt;&gt;"",INDEX(職員マスタ!$E$6:$E$405,$AN1947)&lt;&gt;"",$Q1947&lt;&gt;INDEX(職員マスタ!$E$6:$E$405,$AN1947)),"子の生年月日がマスタと相違／","")&amp;IF(AND($L1947&lt;&gt;"",INDEX(職員マスタ!$G$6:$G$405,$AN1947)&lt;&gt;"",$L1947&lt;&gt;INDEX(職員マスタ!$G$6:$G$405,$AN1947)),"時短開始日がマスタと相違／","")&amp;IF(AND($M1947&lt;&gt;"",INDEX(職員マスタ!$H$6:$H$405,$AN1947)&lt;&gt;"",$M1947&lt;&gt;INDEX(職員マスタ!$H$6:$H$405,$AN1947)),"時短終了日がマスタと相違／","")))&amp;IF(AND($B1947&lt;&gt;"",$E1947=""),"報酬額が未入力／","")&amp;IF(N($U1947)&gt;0,"申請書に入力エラーが残っています／","")&amp;IF(AND($B1947&lt;&gt;"",$AO1947&lt;&gt;""),IF(COUNTIFS($B$6:$B$3005,$B1947,$C$6:$C$3005,$C1947,$D$6:$D$3005,$D1947)&gt;1,"同じ月の請求が重複しています／",""),"")&amp;IF(AND(N($E1947)&gt;0,$Z1947&lt;&gt;"",$Z1947&lt;&gt;"×",$AC1947=0,$AB1947=""),"計算額が下限以下のため不支給／",""))</f>
        <v/>
      </c>
      <c r="AL1947" s="12" t="n"/>
      <c r="AM1947" s="14">
        <f>IF($AD1947="保留中",COUNTIF($AD$6:$AD1947,"保留中"),"")</f>
        <v/>
      </c>
      <c r="AN1947" s="14">
        <f>IF($AO1947="","",IF(SUMPRODUCT(MAX((職員マスタ!$A$6:$A$405=$B1947)*(((職員マスタ!$G$6:$G$405="")+(職員マスタ!$G$6:$G$405&lt;=EOMONTH($AO1947,0)))&gt;0)*(((職員マスタ!$H$6:$H$405="")+(職員マスタ!$H$6:$H$405&gt;=$AO1947))&gt;0)*(ROW(職員マスタ!$A$6:$A$405)-5)))&gt;0,SUMPRODUCT(MAX((職員マスタ!$A$6:$A$405=$B1947)*(((職員マスタ!$G$6:$G$405="")+(職員マスタ!$G$6:$G$405&lt;=EOMONTH($AO1947,0)))&gt;0)*(((職員マスタ!$H$6:$H$405="")+(職員マスタ!$H$6:$H$405&gt;=$AO1947))&gt;0)*(ROW(職員マスタ!$A$6:$A$405)-5))),IFERROR(MATCH($B1947,職員マスタ!$A$6:$A$405,0),"")))</f>
        <v/>
      </c>
      <c r="AO1947" s="16">
        <f>IF(OR($B1947="",$C1947="",$D1947=""),"",DATE($C1947+2018,$D1947,1))</f>
        <v/>
      </c>
    </row>
    <row r="1948">
      <c r="A1948" s="11" t="n"/>
      <c r="B1948" s="12" t="n"/>
      <c r="C1948" s="12" t="n"/>
      <c r="D1948" s="12" t="n"/>
      <c r="E1948" s="13" t="n"/>
      <c r="F1948" s="12" t="n"/>
      <c r="G1948" s="13" t="n"/>
      <c r="H1948" s="12" t="n"/>
      <c r="I1948" s="12" t="n"/>
      <c r="J1948" s="12" t="n"/>
      <c r="K1948" s="12" t="n"/>
      <c r="L1948" s="11" t="n"/>
      <c r="M1948" s="11" t="n"/>
      <c r="N1948" s="11" t="n"/>
      <c r="O1948" s="11" t="n"/>
      <c r="P1948" s="12" t="n"/>
      <c r="Q1948" s="11" t="n"/>
      <c r="R1948" s="12" t="n"/>
      <c r="S1948" s="11" t="n"/>
      <c r="T1948" s="12" t="n"/>
      <c r="U1948" s="12" t="n"/>
      <c r="V1948" s="14">
        <f>IF($AN1948="",IF($B1948="","",$H1948),IF(INDEX(職員マスタ!$B$6:$B$405,$AN1948)="",$H1948,INDEX(職員マスタ!$B$6:$B$405,$AN1948)))</f>
        <v/>
      </c>
      <c r="W1948" s="14">
        <f>IF($AN1948="",IF($B1948="","",$R1948),IF(INDEX(職員マスタ!$C$6:$C$405,$AN1948)="",$R1948,INDEX(職員マスタ!$C$6:$C$405,$AN1948)))</f>
        <v/>
      </c>
      <c r="X1948" s="14">
        <f>IF($AO1948="","","R"&amp;$C1948&amp;"."&amp;$D1948)</f>
        <v/>
      </c>
      <c r="Y1948" s="15">
        <f>IF($AN1948="","",IF(INDEX(職員マスタ!$K$6:$K$405,$AN1948)="","",INDEX(職員マスタ!$K$6:$K$405,$AN1948)))</f>
        <v/>
      </c>
      <c r="Z1948" s="14">
        <f>IF(OR($E1948="",$Y1948=""),"",IF($E1948&gt;=$Y1948,"×",IF($E1948&gt;=$Y1948*設定!$C$5,"△","○")))</f>
        <v/>
      </c>
      <c r="AA1948" s="15">
        <f>IF($Z1948="","",IF($Z1948="×",0,IF($Z1948="○",ROUNDDOWN($E1948*設定!$C$4,0),ROUNDDOWN($E1948*ROUND((9*$Y1948-9*$E1948)/(10*$E1948),4),0))))</f>
        <v/>
      </c>
      <c r="AB1948" s="13" t="n"/>
      <c r="AC1948" s="15">
        <f>IF($B1948="","",IF($AB1948&lt;&gt;"",$AB1948,IF($AA1948="","",IF($AA1948&lt;=設定!$C$3,0,$AA1948))))</f>
        <v/>
      </c>
      <c r="AD1948" s="14">
        <f>IF($B1948="","",IF(AND($AE1948&lt;&gt;"",$AG1948="",$AJ1948=""),"保留中",IF($AJ1948&lt;&gt;"",IF(N($AC1948)&gt;0,"支給済","不支給"),IF($AC1948="","要確認",IF($AC1948=0,"不支給","未処理")))))</f>
        <v/>
      </c>
      <c r="AE1948" s="12" t="n"/>
      <c r="AF1948" s="11" t="n"/>
      <c r="AG1948" s="11" t="n"/>
      <c r="AH1948" s="11" t="n"/>
      <c r="AI1948" s="14">
        <f>IF(AND($AD1948="保留中",$AF1948&lt;&gt;""),TODAY()-$AF1948,"")</f>
        <v/>
      </c>
      <c r="AJ1948" s="12" t="n"/>
      <c r="AK1948" s="14">
        <f>IF($B1948="","",IF($AO1948="","対象年月が未入力／","")&amp;IF($B1948="","",IF($AN1948="","職員マスタに未登録の職員番号／",IF($Y1948="","標準報酬月額が未登録／","")&amp;IF(AND($AO1948&lt;&gt;"",OR(AND(INDEX(職員マスタ!$G$6:$G$405,$AN1948)&lt;&gt;"",INDEX(職員マスタ!$G$6:$G$405,$AN1948)&gt;EOMONTH($AO1948,0)),AND(INDEX(職員マスタ!$H$6:$H$405,$AN1948)&lt;&gt;"",INDEX(職員マスタ!$H$6:$H$405,$AN1948)&lt;$AO1948))),"対象月が時短期間外／","")&amp;IF(AND(INDEX(職員マスタ!$F$6:$F$405,$AN1948)&lt;&gt;"",$AO1948&lt;&gt;"",INDEX(職員マスタ!$F$6:$F$405,$AN1948)&lt;$AO1948),"対象月に子が2歳到達済／","")&amp;IF(AND($H1948&lt;&gt;"",INDEX(職員マスタ!$B$6:$B$405,$AN1948)&lt;&gt;"",SUBSTITUTE(SUBSTITUTE($H1948," ","")," ","")&lt;&gt;SUBSTITUTE(SUBSTITUTE(INDEX(職員マスタ!$B$6:$B$405,$AN1948)," ","")," ","")),"氏名がマスタと相違／","")&amp;IF(AND($Q1948&lt;&gt;"",INDEX(職員マスタ!$E$6:$E$405,$AN1948)&lt;&gt;"",$Q1948&lt;&gt;INDEX(職員マスタ!$E$6:$E$405,$AN1948)),"子の生年月日がマスタと相違／","")&amp;IF(AND($L1948&lt;&gt;"",INDEX(職員マスタ!$G$6:$G$405,$AN1948)&lt;&gt;"",$L1948&lt;&gt;INDEX(職員マスタ!$G$6:$G$405,$AN1948)),"時短開始日がマスタと相違／","")&amp;IF(AND($M1948&lt;&gt;"",INDEX(職員マスタ!$H$6:$H$405,$AN1948)&lt;&gt;"",$M1948&lt;&gt;INDEX(職員マスタ!$H$6:$H$405,$AN1948)),"時短終了日がマスタと相違／","")))&amp;IF(AND($B1948&lt;&gt;"",$E1948=""),"報酬額が未入力／","")&amp;IF(N($U1948)&gt;0,"申請書に入力エラーが残っています／","")&amp;IF(AND($B1948&lt;&gt;"",$AO1948&lt;&gt;""),IF(COUNTIFS($B$6:$B$3005,$B1948,$C$6:$C$3005,$C1948,$D$6:$D$3005,$D1948)&gt;1,"同じ月の請求が重複しています／",""),"")&amp;IF(AND(N($E1948)&gt;0,$Z1948&lt;&gt;"",$Z1948&lt;&gt;"×",$AC1948=0,$AB1948=""),"計算額が下限以下のため不支給／",""))</f>
        <v/>
      </c>
      <c r="AL1948" s="12" t="n"/>
      <c r="AM1948" s="14">
        <f>IF($AD1948="保留中",COUNTIF($AD$6:$AD1948,"保留中"),"")</f>
        <v/>
      </c>
      <c r="AN1948" s="14">
        <f>IF($AO1948="","",IF(SUMPRODUCT(MAX((職員マスタ!$A$6:$A$405=$B1948)*(((職員マスタ!$G$6:$G$405="")+(職員マスタ!$G$6:$G$405&lt;=EOMONTH($AO1948,0)))&gt;0)*(((職員マスタ!$H$6:$H$405="")+(職員マスタ!$H$6:$H$405&gt;=$AO1948))&gt;0)*(ROW(職員マスタ!$A$6:$A$405)-5)))&gt;0,SUMPRODUCT(MAX((職員マスタ!$A$6:$A$405=$B1948)*(((職員マスタ!$G$6:$G$405="")+(職員マスタ!$G$6:$G$405&lt;=EOMONTH($AO1948,0)))&gt;0)*(((職員マスタ!$H$6:$H$405="")+(職員マスタ!$H$6:$H$405&gt;=$AO1948))&gt;0)*(ROW(職員マスタ!$A$6:$A$405)-5))),IFERROR(MATCH($B1948,職員マスタ!$A$6:$A$405,0),"")))</f>
        <v/>
      </c>
      <c r="AO1948" s="16">
        <f>IF(OR($B1948="",$C1948="",$D1948=""),"",DATE($C1948+2018,$D1948,1))</f>
        <v/>
      </c>
    </row>
    <row r="1949">
      <c r="A1949" s="11" t="n"/>
      <c r="B1949" s="12" t="n"/>
      <c r="C1949" s="12" t="n"/>
      <c r="D1949" s="12" t="n"/>
      <c r="E1949" s="13" t="n"/>
      <c r="F1949" s="12" t="n"/>
      <c r="G1949" s="13" t="n"/>
      <c r="H1949" s="12" t="n"/>
      <c r="I1949" s="12" t="n"/>
      <c r="J1949" s="12" t="n"/>
      <c r="K1949" s="12" t="n"/>
      <c r="L1949" s="11" t="n"/>
      <c r="M1949" s="11" t="n"/>
      <c r="N1949" s="11" t="n"/>
      <c r="O1949" s="11" t="n"/>
      <c r="P1949" s="12" t="n"/>
      <c r="Q1949" s="11" t="n"/>
      <c r="R1949" s="12" t="n"/>
      <c r="S1949" s="11" t="n"/>
      <c r="T1949" s="12" t="n"/>
      <c r="U1949" s="12" t="n"/>
      <c r="V1949" s="14">
        <f>IF($AN1949="",IF($B1949="","",$H1949),IF(INDEX(職員マスタ!$B$6:$B$405,$AN1949)="",$H1949,INDEX(職員マスタ!$B$6:$B$405,$AN1949)))</f>
        <v/>
      </c>
      <c r="W1949" s="14">
        <f>IF($AN1949="",IF($B1949="","",$R1949),IF(INDEX(職員マスタ!$C$6:$C$405,$AN1949)="",$R1949,INDEX(職員マスタ!$C$6:$C$405,$AN1949)))</f>
        <v/>
      </c>
      <c r="X1949" s="14">
        <f>IF($AO1949="","","R"&amp;$C1949&amp;"."&amp;$D1949)</f>
        <v/>
      </c>
      <c r="Y1949" s="15">
        <f>IF($AN1949="","",IF(INDEX(職員マスタ!$K$6:$K$405,$AN1949)="","",INDEX(職員マスタ!$K$6:$K$405,$AN1949)))</f>
        <v/>
      </c>
      <c r="Z1949" s="14">
        <f>IF(OR($E1949="",$Y1949=""),"",IF($E1949&gt;=$Y1949,"×",IF($E1949&gt;=$Y1949*設定!$C$5,"△","○")))</f>
        <v/>
      </c>
      <c r="AA1949" s="15">
        <f>IF($Z1949="","",IF($Z1949="×",0,IF($Z1949="○",ROUNDDOWN($E1949*設定!$C$4,0),ROUNDDOWN($E1949*ROUND((9*$Y1949-9*$E1949)/(10*$E1949),4),0))))</f>
        <v/>
      </c>
      <c r="AB1949" s="13" t="n"/>
      <c r="AC1949" s="15">
        <f>IF($B1949="","",IF($AB1949&lt;&gt;"",$AB1949,IF($AA1949="","",IF($AA1949&lt;=設定!$C$3,0,$AA1949))))</f>
        <v/>
      </c>
      <c r="AD1949" s="14">
        <f>IF($B1949="","",IF(AND($AE1949&lt;&gt;"",$AG1949="",$AJ1949=""),"保留中",IF($AJ1949&lt;&gt;"",IF(N($AC1949)&gt;0,"支給済","不支給"),IF($AC1949="","要確認",IF($AC1949=0,"不支給","未処理")))))</f>
        <v/>
      </c>
      <c r="AE1949" s="12" t="n"/>
      <c r="AF1949" s="11" t="n"/>
      <c r="AG1949" s="11" t="n"/>
      <c r="AH1949" s="11" t="n"/>
      <c r="AI1949" s="14">
        <f>IF(AND($AD1949="保留中",$AF1949&lt;&gt;""),TODAY()-$AF1949,"")</f>
        <v/>
      </c>
      <c r="AJ1949" s="12" t="n"/>
      <c r="AK1949" s="14">
        <f>IF($B1949="","",IF($AO1949="","対象年月が未入力／","")&amp;IF($B1949="","",IF($AN1949="","職員マスタに未登録の職員番号／",IF($Y1949="","標準報酬月額が未登録／","")&amp;IF(AND($AO1949&lt;&gt;"",OR(AND(INDEX(職員マスタ!$G$6:$G$405,$AN1949)&lt;&gt;"",INDEX(職員マスタ!$G$6:$G$405,$AN1949)&gt;EOMONTH($AO1949,0)),AND(INDEX(職員マスタ!$H$6:$H$405,$AN1949)&lt;&gt;"",INDEX(職員マスタ!$H$6:$H$405,$AN1949)&lt;$AO1949))),"対象月が時短期間外／","")&amp;IF(AND(INDEX(職員マスタ!$F$6:$F$405,$AN1949)&lt;&gt;"",$AO1949&lt;&gt;"",INDEX(職員マスタ!$F$6:$F$405,$AN1949)&lt;$AO1949),"対象月に子が2歳到達済／","")&amp;IF(AND($H1949&lt;&gt;"",INDEX(職員マスタ!$B$6:$B$405,$AN1949)&lt;&gt;"",SUBSTITUTE(SUBSTITUTE($H1949," ","")," ","")&lt;&gt;SUBSTITUTE(SUBSTITUTE(INDEX(職員マスタ!$B$6:$B$405,$AN1949)," ","")," ","")),"氏名がマスタと相違／","")&amp;IF(AND($Q1949&lt;&gt;"",INDEX(職員マスタ!$E$6:$E$405,$AN1949)&lt;&gt;"",$Q1949&lt;&gt;INDEX(職員マスタ!$E$6:$E$405,$AN1949)),"子の生年月日がマスタと相違／","")&amp;IF(AND($L1949&lt;&gt;"",INDEX(職員マスタ!$G$6:$G$405,$AN1949)&lt;&gt;"",$L1949&lt;&gt;INDEX(職員マスタ!$G$6:$G$405,$AN1949)),"時短開始日がマスタと相違／","")&amp;IF(AND($M1949&lt;&gt;"",INDEX(職員マスタ!$H$6:$H$405,$AN1949)&lt;&gt;"",$M1949&lt;&gt;INDEX(職員マスタ!$H$6:$H$405,$AN1949)),"時短終了日がマスタと相違／","")))&amp;IF(AND($B1949&lt;&gt;"",$E1949=""),"報酬額が未入力／","")&amp;IF(N($U1949)&gt;0,"申請書に入力エラーが残っています／","")&amp;IF(AND($B1949&lt;&gt;"",$AO1949&lt;&gt;""),IF(COUNTIFS($B$6:$B$3005,$B1949,$C$6:$C$3005,$C1949,$D$6:$D$3005,$D1949)&gt;1,"同じ月の請求が重複しています／",""),"")&amp;IF(AND(N($E1949)&gt;0,$Z1949&lt;&gt;"",$Z1949&lt;&gt;"×",$AC1949=0,$AB1949=""),"計算額が下限以下のため不支給／",""))</f>
        <v/>
      </c>
      <c r="AL1949" s="12" t="n"/>
      <c r="AM1949" s="14">
        <f>IF($AD1949="保留中",COUNTIF($AD$6:$AD1949,"保留中"),"")</f>
        <v/>
      </c>
      <c r="AN1949" s="14">
        <f>IF($AO1949="","",IF(SUMPRODUCT(MAX((職員マスタ!$A$6:$A$405=$B1949)*(((職員マスタ!$G$6:$G$405="")+(職員マスタ!$G$6:$G$405&lt;=EOMONTH($AO1949,0)))&gt;0)*(((職員マスタ!$H$6:$H$405="")+(職員マスタ!$H$6:$H$405&gt;=$AO1949))&gt;0)*(ROW(職員マスタ!$A$6:$A$405)-5)))&gt;0,SUMPRODUCT(MAX((職員マスタ!$A$6:$A$405=$B1949)*(((職員マスタ!$G$6:$G$405="")+(職員マスタ!$G$6:$G$405&lt;=EOMONTH($AO1949,0)))&gt;0)*(((職員マスタ!$H$6:$H$405="")+(職員マスタ!$H$6:$H$405&gt;=$AO1949))&gt;0)*(ROW(職員マスタ!$A$6:$A$405)-5))),IFERROR(MATCH($B1949,職員マスタ!$A$6:$A$405,0),"")))</f>
        <v/>
      </c>
      <c r="AO1949" s="16">
        <f>IF(OR($B1949="",$C1949="",$D1949=""),"",DATE($C1949+2018,$D1949,1))</f>
        <v/>
      </c>
    </row>
    <row r="1950">
      <c r="A1950" s="11" t="n"/>
      <c r="B1950" s="12" t="n"/>
      <c r="C1950" s="12" t="n"/>
      <c r="D1950" s="12" t="n"/>
      <c r="E1950" s="13" t="n"/>
      <c r="F1950" s="12" t="n"/>
      <c r="G1950" s="13" t="n"/>
      <c r="H1950" s="12" t="n"/>
      <c r="I1950" s="12" t="n"/>
      <c r="J1950" s="12" t="n"/>
      <c r="K1950" s="12" t="n"/>
      <c r="L1950" s="11" t="n"/>
      <c r="M1950" s="11" t="n"/>
      <c r="N1950" s="11" t="n"/>
      <c r="O1950" s="11" t="n"/>
      <c r="P1950" s="12" t="n"/>
      <c r="Q1950" s="11" t="n"/>
      <c r="R1950" s="12" t="n"/>
      <c r="S1950" s="11" t="n"/>
      <c r="T1950" s="12" t="n"/>
      <c r="U1950" s="12" t="n"/>
      <c r="V1950" s="14">
        <f>IF($AN1950="",IF($B1950="","",$H1950),IF(INDEX(職員マスタ!$B$6:$B$405,$AN1950)="",$H1950,INDEX(職員マスタ!$B$6:$B$405,$AN1950)))</f>
        <v/>
      </c>
      <c r="W1950" s="14">
        <f>IF($AN1950="",IF($B1950="","",$R1950),IF(INDEX(職員マスタ!$C$6:$C$405,$AN1950)="",$R1950,INDEX(職員マスタ!$C$6:$C$405,$AN1950)))</f>
        <v/>
      </c>
      <c r="X1950" s="14">
        <f>IF($AO1950="","","R"&amp;$C1950&amp;"."&amp;$D1950)</f>
        <v/>
      </c>
      <c r="Y1950" s="15">
        <f>IF($AN1950="","",IF(INDEX(職員マスタ!$K$6:$K$405,$AN1950)="","",INDEX(職員マスタ!$K$6:$K$405,$AN1950)))</f>
        <v/>
      </c>
      <c r="Z1950" s="14">
        <f>IF(OR($E1950="",$Y1950=""),"",IF($E1950&gt;=$Y1950,"×",IF($E1950&gt;=$Y1950*設定!$C$5,"△","○")))</f>
        <v/>
      </c>
      <c r="AA1950" s="15">
        <f>IF($Z1950="","",IF($Z1950="×",0,IF($Z1950="○",ROUNDDOWN($E1950*設定!$C$4,0),ROUNDDOWN($E1950*ROUND((9*$Y1950-9*$E1950)/(10*$E1950),4),0))))</f>
        <v/>
      </c>
      <c r="AB1950" s="13" t="n"/>
      <c r="AC1950" s="15">
        <f>IF($B1950="","",IF($AB1950&lt;&gt;"",$AB1950,IF($AA1950="","",IF($AA1950&lt;=設定!$C$3,0,$AA1950))))</f>
        <v/>
      </c>
      <c r="AD1950" s="14">
        <f>IF($B1950="","",IF(AND($AE1950&lt;&gt;"",$AG1950="",$AJ1950=""),"保留中",IF($AJ1950&lt;&gt;"",IF(N($AC1950)&gt;0,"支給済","不支給"),IF($AC1950="","要確認",IF($AC1950=0,"不支給","未処理")))))</f>
        <v/>
      </c>
      <c r="AE1950" s="12" t="n"/>
      <c r="AF1950" s="11" t="n"/>
      <c r="AG1950" s="11" t="n"/>
      <c r="AH1950" s="11" t="n"/>
      <c r="AI1950" s="14">
        <f>IF(AND($AD1950="保留中",$AF1950&lt;&gt;""),TODAY()-$AF1950,"")</f>
        <v/>
      </c>
      <c r="AJ1950" s="12" t="n"/>
      <c r="AK1950" s="14">
        <f>IF($B1950="","",IF($AO1950="","対象年月が未入力／","")&amp;IF($B1950="","",IF($AN1950="","職員マスタに未登録の職員番号／",IF($Y1950="","標準報酬月額が未登録／","")&amp;IF(AND($AO1950&lt;&gt;"",OR(AND(INDEX(職員マスタ!$G$6:$G$405,$AN1950)&lt;&gt;"",INDEX(職員マスタ!$G$6:$G$405,$AN1950)&gt;EOMONTH($AO1950,0)),AND(INDEX(職員マスタ!$H$6:$H$405,$AN1950)&lt;&gt;"",INDEX(職員マスタ!$H$6:$H$405,$AN1950)&lt;$AO1950))),"対象月が時短期間外／","")&amp;IF(AND(INDEX(職員マスタ!$F$6:$F$405,$AN1950)&lt;&gt;"",$AO1950&lt;&gt;"",INDEX(職員マスタ!$F$6:$F$405,$AN1950)&lt;$AO1950),"対象月に子が2歳到達済／","")&amp;IF(AND($H1950&lt;&gt;"",INDEX(職員マスタ!$B$6:$B$405,$AN1950)&lt;&gt;"",SUBSTITUTE(SUBSTITUTE($H1950," ","")," ","")&lt;&gt;SUBSTITUTE(SUBSTITUTE(INDEX(職員マスタ!$B$6:$B$405,$AN1950)," ","")," ","")),"氏名がマスタと相違／","")&amp;IF(AND($Q1950&lt;&gt;"",INDEX(職員マスタ!$E$6:$E$405,$AN1950)&lt;&gt;"",$Q1950&lt;&gt;INDEX(職員マスタ!$E$6:$E$405,$AN1950)),"子の生年月日がマスタと相違／","")&amp;IF(AND($L1950&lt;&gt;"",INDEX(職員マスタ!$G$6:$G$405,$AN1950)&lt;&gt;"",$L1950&lt;&gt;INDEX(職員マスタ!$G$6:$G$405,$AN1950)),"時短開始日がマスタと相違／","")&amp;IF(AND($M1950&lt;&gt;"",INDEX(職員マスタ!$H$6:$H$405,$AN1950)&lt;&gt;"",$M1950&lt;&gt;INDEX(職員マスタ!$H$6:$H$405,$AN1950)),"時短終了日がマスタと相違／","")))&amp;IF(AND($B1950&lt;&gt;"",$E1950=""),"報酬額が未入力／","")&amp;IF(N($U1950)&gt;0,"申請書に入力エラーが残っています／","")&amp;IF(AND($B1950&lt;&gt;"",$AO1950&lt;&gt;""),IF(COUNTIFS($B$6:$B$3005,$B1950,$C$6:$C$3005,$C1950,$D$6:$D$3005,$D1950)&gt;1,"同じ月の請求が重複しています／",""),"")&amp;IF(AND(N($E1950)&gt;0,$Z1950&lt;&gt;"",$Z1950&lt;&gt;"×",$AC1950=0,$AB1950=""),"計算額が下限以下のため不支給／",""))</f>
        <v/>
      </c>
      <c r="AL1950" s="12" t="n"/>
      <c r="AM1950" s="14">
        <f>IF($AD1950="保留中",COUNTIF($AD$6:$AD1950,"保留中"),"")</f>
        <v/>
      </c>
      <c r="AN1950" s="14">
        <f>IF($AO1950="","",IF(SUMPRODUCT(MAX((職員マスタ!$A$6:$A$405=$B1950)*(((職員マスタ!$G$6:$G$405="")+(職員マスタ!$G$6:$G$405&lt;=EOMONTH($AO1950,0)))&gt;0)*(((職員マスタ!$H$6:$H$405="")+(職員マスタ!$H$6:$H$405&gt;=$AO1950))&gt;0)*(ROW(職員マスタ!$A$6:$A$405)-5)))&gt;0,SUMPRODUCT(MAX((職員マスタ!$A$6:$A$405=$B1950)*(((職員マスタ!$G$6:$G$405="")+(職員マスタ!$G$6:$G$405&lt;=EOMONTH($AO1950,0)))&gt;0)*(((職員マスタ!$H$6:$H$405="")+(職員マスタ!$H$6:$H$405&gt;=$AO1950))&gt;0)*(ROW(職員マスタ!$A$6:$A$405)-5))),IFERROR(MATCH($B1950,職員マスタ!$A$6:$A$405,0),"")))</f>
        <v/>
      </c>
      <c r="AO1950" s="16">
        <f>IF(OR($B1950="",$C1950="",$D1950=""),"",DATE($C1950+2018,$D1950,1))</f>
        <v/>
      </c>
    </row>
    <row r="1951">
      <c r="A1951" s="11" t="n"/>
      <c r="B1951" s="12" t="n"/>
      <c r="C1951" s="12" t="n"/>
      <c r="D1951" s="12" t="n"/>
      <c r="E1951" s="13" t="n"/>
      <c r="F1951" s="12" t="n"/>
      <c r="G1951" s="13" t="n"/>
      <c r="H1951" s="12" t="n"/>
      <c r="I1951" s="12" t="n"/>
      <c r="J1951" s="12" t="n"/>
      <c r="K1951" s="12" t="n"/>
      <c r="L1951" s="11" t="n"/>
      <c r="M1951" s="11" t="n"/>
      <c r="N1951" s="11" t="n"/>
      <c r="O1951" s="11" t="n"/>
      <c r="P1951" s="12" t="n"/>
      <c r="Q1951" s="11" t="n"/>
      <c r="R1951" s="12" t="n"/>
      <c r="S1951" s="11" t="n"/>
      <c r="T1951" s="12" t="n"/>
      <c r="U1951" s="12" t="n"/>
      <c r="V1951" s="14">
        <f>IF($AN1951="",IF($B1951="","",$H1951),IF(INDEX(職員マスタ!$B$6:$B$405,$AN1951)="",$H1951,INDEX(職員マスタ!$B$6:$B$405,$AN1951)))</f>
        <v/>
      </c>
      <c r="W1951" s="14">
        <f>IF($AN1951="",IF($B1951="","",$R1951),IF(INDEX(職員マスタ!$C$6:$C$405,$AN1951)="",$R1951,INDEX(職員マスタ!$C$6:$C$405,$AN1951)))</f>
        <v/>
      </c>
      <c r="X1951" s="14">
        <f>IF($AO1951="","","R"&amp;$C1951&amp;"."&amp;$D1951)</f>
        <v/>
      </c>
      <c r="Y1951" s="15">
        <f>IF($AN1951="","",IF(INDEX(職員マスタ!$K$6:$K$405,$AN1951)="","",INDEX(職員マスタ!$K$6:$K$405,$AN1951)))</f>
        <v/>
      </c>
      <c r="Z1951" s="14">
        <f>IF(OR($E1951="",$Y1951=""),"",IF($E1951&gt;=$Y1951,"×",IF($E1951&gt;=$Y1951*設定!$C$5,"△","○")))</f>
        <v/>
      </c>
      <c r="AA1951" s="15">
        <f>IF($Z1951="","",IF($Z1951="×",0,IF($Z1951="○",ROUNDDOWN($E1951*設定!$C$4,0),ROUNDDOWN($E1951*ROUND((9*$Y1951-9*$E1951)/(10*$E1951),4),0))))</f>
        <v/>
      </c>
      <c r="AB1951" s="13" t="n"/>
      <c r="AC1951" s="15">
        <f>IF($B1951="","",IF($AB1951&lt;&gt;"",$AB1951,IF($AA1951="","",IF($AA1951&lt;=設定!$C$3,0,$AA1951))))</f>
        <v/>
      </c>
      <c r="AD1951" s="14">
        <f>IF($B1951="","",IF(AND($AE1951&lt;&gt;"",$AG1951="",$AJ1951=""),"保留中",IF($AJ1951&lt;&gt;"",IF(N($AC1951)&gt;0,"支給済","不支給"),IF($AC1951="","要確認",IF($AC1951=0,"不支給","未処理")))))</f>
        <v/>
      </c>
      <c r="AE1951" s="12" t="n"/>
      <c r="AF1951" s="11" t="n"/>
      <c r="AG1951" s="11" t="n"/>
      <c r="AH1951" s="11" t="n"/>
      <c r="AI1951" s="14">
        <f>IF(AND($AD1951="保留中",$AF1951&lt;&gt;""),TODAY()-$AF1951,"")</f>
        <v/>
      </c>
      <c r="AJ1951" s="12" t="n"/>
      <c r="AK1951" s="14">
        <f>IF($B1951="","",IF($AO1951="","対象年月が未入力／","")&amp;IF($B1951="","",IF($AN1951="","職員マスタに未登録の職員番号／",IF($Y1951="","標準報酬月額が未登録／","")&amp;IF(AND($AO1951&lt;&gt;"",OR(AND(INDEX(職員マスタ!$G$6:$G$405,$AN1951)&lt;&gt;"",INDEX(職員マスタ!$G$6:$G$405,$AN1951)&gt;EOMONTH($AO1951,0)),AND(INDEX(職員マスタ!$H$6:$H$405,$AN1951)&lt;&gt;"",INDEX(職員マスタ!$H$6:$H$405,$AN1951)&lt;$AO1951))),"対象月が時短期間外／","")&amp;IF(AND(INDEX(職員マスタ!$F$6:$F$405,$AN1951)&lt;&gt;"",$AO1951&lt;&gt;"",INDEX(職員マスタ!$F$6:$F$405,$AN1951)&lt;$AO1951),"対象月に子が2歳到達済／","")&amp;IF(AND($H1951&lt;&gt;"",INDEX(職員マスタ!$B$6:$B$405,$AN1951)&lt;&gt;"",SUBSTITUTE(SUBSTITUTE($H1951," ","")," ","")&lt;&gt;SUBSTITUTE(SUBSTITUTE(INDEX(職員マスタ!$B$6:$B$405,$AN1951)," ","")," ","")),"氏名がマスタと相違／","")&amp;IF(AND($Q1951&lt;&gt;"",INDEX(職員マスタ!$E$6:$E$405,$AN1951)&lt;&gt;"",$Q1951&lt;&gt;INDEX(職員マスタ!$E$6:$E$405,$AN1951)),"子の生年月日がマスタと相違／","")&amp;IF(AND($L1951&lt;&gt;"",INDEX(職員マスタ!$G$6:$G$405,$AN1951)&lt;&gt;"",$L1951&lt;&gt;INDEX(職員マスタ!$G$6:$G$405,$AN1951)),"時短開始日がマスタと相違／","")&amp;IF(AND($M1951&lt;&gt;"",INDEX(職員マスタ!$H$6:$H$405,$AN1951)&lt;&gt;"",$M1951&lt;&gt;INDEX(職員マスタ!$H$6:$H$405,$AN1951)),"時短終了日がマスタと相違／","")))&amp;IF(AND($B1951&lt;&gt;"",$E1951=""),"報酬額が未入力／","")&amp;IF(N($U1951)&gt;0,"申請書に入力エラーが残っています／","")&amp;IF(AND($B1951&lt;&gt;"",$AO1951&lt;&gt;""),IF(COUNTIFS($B$6:$B$3005,$B1951,$C$6:$C$3005,$C1951,$D$6:$D$3005,$D1951)&gt;1,"同じ月の請求が重複しています／",""),"")&amp;IF(AND(N($E1951)&gt;0,$Z1951&lt;&gt;"",$Z1951&lt;&gt;"×",$AC1951=0,$AB1951=""),"計算額が下限以下のため不支給／",""))</f>
        <v/>
      </c>
      <c r="AL1951" s="12" t="n"/>
      <c r="AM1951" s="14">
        <f>IF($AD1951="保留中",COUNTIF($AD$6:$AD1951,"保留中"),"")</f>
        <v/>
      </c>
      <c r="AN1951" s="14">
        <f>IF($AO1951="","",IF(SUMPRODUCT(MAX((職員マスタ!$A$6:$A$405=$B1951)*(((職員マスタ!$G$6:$G$405="")+(職員マスタ!$G$6:$G$405&lt;=EOMONTH($AO1951,0)))&gt;0)*(((職員マスタ!$H$6:$H$405="")+(職員マスタ!$H$6:$H$405&gt;=$AO1951))&gt;0)*(ROW(職員マスタ!$A$6:$A$405)-5)))&gt;0,SUMPRODUCT(MAX((職員マスタ!$A$6:$A$405=$B1951)*(((職員マスタ!$G$6:$G$405="")+(職員マスタ!$G$6:$G$405&lt;=EOMONTH($AO1951,0)))&gt;0)*(((職員マスタ!$H$6:$H$405="")+(職員マスタ!$H$6:$H$405&gt;=$AO1951))&gt;0)*(ROW(職員マスタ!$A$6:$A$405)-5))),IFERROR(MATCH($B1951,職員マスタ!$A$6:$A$405,0),"")))</f>
        <v/>
      </c>
      <c r="AO1951" s="16">
        <f>IF(OR($B1951="",$C1951="",$D1951=""),"",DATE($C1951+2018,$D1951,1))</f>
        <v/>
      </c>
    </row>
    <row r="1952">
      <c r="A1952" s="11" t="n"/>
      <c r="B1952" s="12" t="n"/>
      <c r="C1952" s="12" t="n"/>
      <c r="D1952" s="12" t="n"/>
      <c r="E1952" s="13" t="n"/>
      <c r="F1952" s="12" t="n"/>
      <c r="G1952" s="13" t="n"/>
      <c r="H1952" s="12" t="n"/>
      <c r="I1952" s="12" t="n"/>
      <c r="J1952" s="12" t="n"/>
      <c r="K1952" s="12" t="n"/>
      <c r="L1952" s="11" t="n"/>
      <c r="M1952" s="11" t="n"/>
      <c r="N1952" s="11" t="n"/>
      <c r="O1952" s="11" t="n"/>
      <c r="P1952" s="12" t="n"/>
      <c r="Q1952" s="11" t="n"/>
      <c r="R1952" s="12" t="n"/>
      <c r="S1952" s="11" t="n"/>
      <c r="T1952" s="12" t="n"/>
      <c r="U1952" s="12" t="n"/>
      <c r="V1952" s="14">
        <f>IF($AN1952="",IF($B1952="","",$H1952),IF(INDEX(職員マスタ!$B$6:$B$405,$AN1952)="",$H1952,INDEX(職員マスタ!$B$6:$B$405,$AN1952)))</f>
        <v/>
      </c>
      <c r="W1952" s="14">
        <f>IF($AN1952="",IF($B1952="","",$R1952),IF(INDEX(職員マスタ!$C$6:$C$405,$AN1952)="",$R1952,INDEX(職員マスタ!$C$6:$C$405,$AN1952)))</f>
        <v/>
      </c>
      <c r="X1952" s="14">
        <f>IF($AO1952="","","R"&amp;$C1952&amp;"."&amp;$D1952)</f>
        <v/>
      </c>
      <c r="Y1952" s="15">
        <f>IF($AN1952="","",IF(INDEX(職員マスタ!$K$6:$K$405,$AN1952)="","",INDEX(職員マスタ!$K$6:$K$405,$AN1952)))</f>
        <v/>
      </c>
      <c r="Z1952" s="14">
        <f>IF(OR($E1952="",$Y1952=""),"",IF($E1952&gt;=$Y1952,"×",IF($E1952&gt;=$Y1952*設定!$C$5,"△","○")))</f>
        <v/>
      </c>
      <c r="AA1952" s="15">
        <f>IF($Z1952="","",IF($Z1952="×",0,IF($Z1952="○",ROUNDDOWN($E1952*設定!$C$4,0),ROUNDDOWN($E1952*ROUND((9*$Y1952-9*$E1952)/(10*$E1952),4),0))))</f>
        <v/>
      </c>
      <c r="AB1952" s="13" t="n"/>
      <c r="AC1952" s="15">
        <f>IF($B1952="","",IF($AB1952&lt;&gt;"",$AB1952,IF($AA1952="","",IF($AA1952&lt;=設定!$C$3,0,$AA1952))))</f>
        <v/>
      </c>
      <c r="AD1952" s="14">
        <f>IF($B1952="","",IF(AND($AE1952&lt;&gt;"",$AG1952="",$AJ1952=""),"保留中",IF($AJ1952&lt;&gt;"",IF(N($AC1952)&gt;0,"支給済","不支給"),IF($AC1952="","要確認",IF($AC1952=0,"不支給","未処理")))))</f>
        <v/>
      </c>
      <c r="AE1952" s="12" t="n"/>
      <c r="AF1952" s="11" t="n"/>
      <c r="AG1952" s="11" t="n"/>
      <c r="AH1952" s="11" t="n"/>
      <c r="AI1952" s="14">
        <f>IF(AND($AD1952="保留中",$AF1952&lt;&gt;""),TODAY()-$AF1952,"")</f>
        <v/>
      </c>
      <c r="AJ1952" s="12" t="n"/>
      <c r="AK1952" s="14">
        <f>IF($B1952="","",IF($AO1952="","対象年月が未入力／","")&amp;IF($B1952="","",IF($AN1952="","職員マスタに未登録の職員番号／",IF($Y1952="","標準報酬月額が未登録／","")&amp;IF(AND($AO1952&lt;&gt;"",OR(AND(INDEX(職員マスタ!$G$6:$G$405,$AN1952)&lt;&gt;"",INDEX(職員マスタ!$G$6:$G$405,$AN1952)&gt;EOMONTH($AO1952,0)),AND(INDEX(職員マスタ!$H$6:$H$405,$AN1952)&lt;&gt;"",INDEX(職員マスタ!$H$6:$H$405,$AN1952)&lt;$AO1952))),"対象月が時短期間外／","")&amp;IF(AND(INDEX(職員マスタ!$F$6:$F$405,$AN1952)&lt;&gt;"",$AO1952&lt;&gt;"",INDEX(職員マスタ!$F$6:$F$405,$AN1952)&lt;$AO1952),"対象月に子が2歳到達済／","")&amp;IF(AND($H1952&lt;&gt;"",INDEX(職員マスタ!$B$6:$B$405,$AN1952)&lt;&gt;"",SUBSTITUTE(SUBSTITUTE($H1952," ","")," ","")&lt;&gt;SUBSTITUTE(SUBSTITUTE(INDEX(職員マスタ!$B$6:$B$405,$AN1952)," ","")," ","")),"氏名がマスタと相違／","")&amp;IF(AND($Q1952&lt;&gt;"",INDEX(職員マスタ!$E$6:$E$405,$AN1952)&lt;&gt;"",$Q1952&lt;&gt;INDEX(職員マスタ!$E$6:$E$405,$AN1952)),"子の生年月日がマスタと相違／","")&amp;IF(AND($L1952&lt;&gt;"",INDEX(職員マスタ!$G$6:$G$405,$AN1952)&lt;&gt;"",$L1952&lt;&gt;INDEX(職員マスタ!$G$6:$G$405,$AN1952)),"時短開始日がマスタと相違／","")&amp;IF(AND($M1952&lt;&gt;"",INDEX(職員マスタ!$H$6:$H$405,$AN1952)&lt;&gt;"",$M1952&lt;&gt;INDEX(職員マスタ!$H$6:$H$405,$AN1952)),"時短終了日がマスタと相違／","")))&amp;IF(AND($B1952&lt;&gt;"",$E1952=""),"報酬額が未入力／","")&amp;IF(N($U1952)&gt;0,"申請書に入力エラーが残っています／","")&amp;IF(AND($B1952&lt;&gt;"",$AO1952&lt;&gt;""),IF(COUNTIFS($B$6:$B$3005,$B1952,$C$6:$C$3005,$C1952,$D$6:$D$3005,$D1952)&gt;1,"同じ月の請求が重複しています／",""),"")&amp;IF(AND(N($E1952)&gt;0,$Z1952&lt;&gt;"",$Z1952&lt;&gt;"×",$AC1952=0,$AB1952=""),"計算額が下限以下のため不支給／",""))</f>
        <v/>
      </c>
      <c r="AL1952" s="12" t="n"/>
      <c r="AM1952" s="14">
        <f>IF($AD1952="保留中",COUNTIF($AD$6:$AD1952,"保留中"),"")</f>
        <v/>
      </c>
      <c r="AN1952" s="14">
        <f>IF($AO1952="","",IF(SUMPRODUCT(MAX((職員マスタ!$A$6:$A$405=$B1952)*(((職員マスタ!$G$6:$G$405="")+(職員マスタ!$G$6:$G$405&lt;=EOMONTH($AO1952,0)))&gt;0)*(((職員マスタ!$H$6:$H$405="")+(職員マスタ!$H$6:$H$405&gt;=$AO1952))&gt;0)*(ROW(職員マスタ!$A$6:$A$405)-5)))&gt;0,SUMPRODUCT(MAX((職員マスタ!$A$6:$A$405=$B1952)*(((職員マスタ!$G$6:$G$405="")+(職員マスタ!$G$6:$G$405&lt;=EOMONTH($AO1952,0)))&gt;0)*(((職員マスタ!$H$6:$H$405="")+(職員マスタ!$H$6:$H$405&gt;=$AO1952))&gt;0)*(ROW(職員マスタ!$A$6:$A$405)-5))),IFERROR(MATCH($B1952,職員マスタ!$A$6:$A$405,0),"")))</f>
        <v/>
      </c>
      <c r="AO1952" s="16">
        <f>IF(OR($B1952="",$C1952="",$D1952=""),"",DATE($C1952+2018,$D1952,1))</f>
        <v/>
      </c>
    </row>
    <row r="1953">
      <c r="A1953" s="11" t="n"/>
      <c r="B1953" s="12" t="n"/>
      <c r="C1953" s="12" t="n"/>
      <c r="D1953" s="12" t="n"/>
      <c r="E1953" s="13" t="n"/>
      <c r="F1953" s="12" t="n"/>
      <c r="G1953" s="13" t="n"/>
      <c r="H1953" s="12" t="n"/>
      <c r="I1953" s="12" t="n"/>
      <c r="J1953" s="12" t="n"/>
      <c r="K1953" s="12" t="n"/>
      <c r="L1953" s="11" t="n"/>
      <c r="M1953" s="11" t="n"/>
      <c r="N1953" s="11" t="n"/>
      <c r="O1953" s="11" t="n"/>
      <c r="P1953" s="12" t="n"/>
      <c r="Q1953" s="11" t="n"/>
      <c r="R1953" s="12" t="n"/>
      <c r="S1953" s="11" t="n"/>
      <c r="T1953" s="12" t="n"/>
      <c r="U1953" s="12" t="n"/>
      <c r="V1953" s="14">
        <f>IF($AN1953="",IF($B1953="","",$H1953),IF(INDEX(職員マスタ!$B$6:$B$405,$AN1953)="",$H1953,INDEX(職員マスタ!$B$6:$B$405,$AN1953)))</f>
        <v/>
      </c>
      <c r="W1953" s="14">
        <f>IF($AN1953="",IF($B1953="","",$R1953),IF(INDEX(職員マスタ!$C$6:$C$405,$AN1953)="",$R1953,INDEX(職員マスタ!$C$6:$C$405,$AN1953)))</f>
        <v/>
      </c>
      <c r="X1953" s="14">
        <f>IF($AO1953="","","R"&amp;$C1953&amp;"."&amp;$D1953)</f>
        <v/>
      </c>
      <c r="Y1953" s="15">
        <f>IF($AN1953="","",IF(INDEX(職員マスタ!$K$6:$K$405,$AN1953)="","",INDEX(職員マスタ!$K$6:$K$405,$AN1953)))</f>
        <v/>
      </c>
      <c r="Z1953" s="14">
        <f>IF(OR($E1953="",$Y1953=""),"",IF($E1953&gt;=$Y1953,"×",IF($E1953&gt;=$Y1953*設定!$C$5,"△","○")))</f>
        <v/>
      </c>
      <c r="AA1953" s="15">
        <f>IF($Z1953="","",IF($Z1953="×",0,IF($Z1953="○",ROUNDDOWN($E1953*設定!$C$4,0),ROUNDDOWN($E1953*ROUND((9*$Y1953-9*$E1953)/(10*$E1953),4),0))))</f>
        <v/>
      </c>
      <c r="AB1953" s="13" t="n"/>
      <c r="AC1953" s="15">
        <f>IF($B1953="","",IF($AB1953&lt;&gt;"",$AB1953,IF($AA1953="","",IF($AA1953&lt;=設定!$C$3,0,$AA1953))))</f>
        <v/>
      </c>
      <c r="AD1953" s="14">
        <f>IF($B1953="","",IF(AND($AE1953&lt;&gt;"",$AG1953="",$AJ1953=""),"保留中",IF($AJ1953&lt;&gt;"",IF(N($AC1953)&gt;0,"支給済","不支給"),IF($AC1953="","要確認",IF($AC1953=0,"不支給","未処理")))))</f>
        <v/>
      </c>
      <c r="AE1953" s="12" t="n"/>
      <c r="AF1953" s="11" t="n"/>
      <c r="AG1953" s="11" t="n"/>
      <c r="AH1953" s="11" t="n"/>
      <c r="AI1953" s="14">
        <f>IF(AND($AD1953="保留中",$AF1953&lt;&gt;""),TODAY()-$AF1953,"")</f>
        <v/>
      </c>
      <c r="AJ1953" s="12" t="n"/>
      <c r="AK1953" s="14">
        <f>IF($B1953="","",IF($AO1953="","対象年月が未入力／","")&amp;IF($B1953="","",IF($AN1953="","職員マスタに未登録の職員番号／",IF($Y1953="","標準報酬月額が未登録／","")&amp;IF(AND($AO1953&lt;&gt;"",OR(AND(INDEX(職員マスタ!$G$6:$G$405,$AN1953)&lt;&gt;"",INDEX(職員マスタ!$G$6:$G$405,$AN1953)&gt;EOMONTH($AO1953,0)),AND(INDEX(職員マスタ!$H$6:$H$405,$AN1953)&lt;&gt;"",INDEX(職員マスタ!$H$6:$H$405,$AN1953)&lt;$AO1953))),"対象月が時短期間外／","")&amp;IF(AND(INDEX(職員マスタ!$F$6:$F$405,$AN1953)&lt;&gt;"",$AO1953&lt;&gt;"",INDEX(職員マスタ!$F$6:$F$405,$AN1953)&lt;$AO1953),"対象月に子が2歳到達済／","")&amp;IF(AND($H1953&lt;&gt;"",INDEX(職員マスタ!$B$6:$B$405,$AN1953)&lt;&gt;"",SUBSTITUTE(SUBSTITUTE($H1953," ","")," ","")&lt;&gt;SUBSTITUTE(SUBSTITUTE(INDEX(職員マスタ!$B$6:$B$405,$AN1953)," ","")," ","")),"氏名がマスタと相違／","")&amp;IF(AND($Q1953&lt;&gt;"",INDEX(職員マスタ!$E$6:$E$405,$AN1953)&lt;&gt;"",$Q1953&lt;&gt;INDEX(職員マスタ!$E$6:$E$405,$AN1953)),"子の生年月日がマスタと相違／","")&amp;IF(AND($L1953&lt;&gt;"",INDEX(職員マスタ!$G$6:$G$405,$AN1953)&lt;&gt;"",$L1953&lt;&gt;INDEX(職員マスタ!$G$6:$G$405,$AN1953)),"時短開始日がマスタと相違／","")&amp;IF(AND($M1953&lt;&gt;"",INDEX(職員マスタ!$H$6:$H$405,$AN1953)&lt;&gt;"",$M1953&lt;&gt;INDEX(職員マスタ!$H$6:$H$405,$AN1953)),"時短終了日がマスタと相違／","")))&amp;IF(AND($B1953&lt;&gt;"",$E1953=""),"報酬額が未入力／","")&amp;IF(N($U1953)&gt;0,"申請書に入力エラーが残っています／","")&amp;IF(AND($B1953&lt;&gt;"",$AO1953&lt;&gt;""),IF(COUNTIFS($B$6:$B$3005,$B1953,$C$6:$C$3005,$C1953,$D$6:$D$3005,$D1953)&gt;1,"同じ月の請求が重複しています／",""),"")&amp;IF(AND(N($E1953)&gt;0,$Z1953&lt;&gt;"",$Z1953&lt;&gt;"×",$AC1953=0,$AB1953=""),"計算額が下限以下のため不支給／",""))</f>
        <v/>
      </c>
      <c r="AL1953" s="12" t="n"/>
      <c r="AM1953" s="14">
        <f>IF($AD1953="保留中",COUNTIF($AD$6:$AD1953,"保留中"),"")</f>
        <v/>
      </c>
      <c r="AN1953" s="14">
        <f>IF($AO1953="","",IF(SUMPRODUCT(MAX((職員マスタ!$A$6:$A$405=$B1953)*(((職員マスタ!$G$6:$G$405="")+(職員マスタ!$G$6:$G$405&lt;=EOMONTH($AO1953,0)))&gt;0)*(((職員マスタ!$H$6:$H$405="")+(職員マスタ!$H$6:$H$405&gt;=$AO1953))&gt;0)*(ROW(職員マスタ!$A$6:$A$405)-5)))&gt;0,SUMPRODUCT(MAX((職員マスタ!$A$6:$A$405=$B1953)*(((職員マスタ!$G$6:$G$405="")+(職員マスタ!$G$6:$G$405&lt;=EOMONTH($AO1953,0)))&gt;0)*(((職員マスタ!$H$6:$H$405="")+(職員マスタ!$H$6:$H$405&gt;=$AO1953))&gt;0)*(ROW(職員マスタ!$A$6:$A$405)-5))),IFERROR(MATCH($B1953,職員マスタ!$A$6:$A$405,0),"")))</f>
        <v/>
      </c>
      <c r="AO1953" s="16">
        <f>IF(OR($B1953="",$C1953="",$D1953=""),"",DATE($C1953+2018,$D1953,1))</f>
        <v/>
      </c>
    </row>
    <row r="1954">
      <c r="A1954" s="11" t="n"/>
      <c r="B1954" s="12" t="n"/>
      <c r="C1954" s="12" t="n"/>
      <c r="D1954" s="12" t="n"/>
      <c r="E1954" s="13" t="n"/>
      <c r="F1954" s="12" t="n"/>
      <c r="G1954" s="13" t="n"/>
      <c r="H1954" s="12" t="n"/>
      <c r="I1954" s="12" t="n"/>
      <c r="J1954" s="12" t="n"/>
      <c r="K1954" s="12" t="n"/>
      <c r="L1954" s="11" t="n"/>
      <c r="M1954" s="11" t="n"/>
      <c r="N1954" s="11" t="n"/>
      <c r="O1954" s="11" t="n"/>
      <c r="P1954" s="12" t="n"/>
      <c r="Q1954" s="11" t="n"/>
      <c r="R1954" s="12" t="n"/>
      <c r="S1954" s="11" t="n"/>
      <c r="T1954" s="12" t="n"/>
      <c r="U1954" s="12" t="n"/>
      <c r="V1954" s="14">
        <f>IF($AN1954="",IF($B1954="","",$H1954),IF(INDEX(職員マスタ!$B$6:$B$405,$AN1954)="",$H1954,INDEX(職員マスタ!$B$6:$B$405,$AN1954)))</f>
        <v/>
      </c>
      <c r="W1954" s="14">
        <f>IF($AN1954="",IF($B1954="","",$R1954),IF(INDEX(職員マスタ!$C$6:$C$405,$AN1954)="",$R1954,INDEX(職員マスタ!$C$6:$C$405,$AN1954)))</f>
        <v/>
      </c>
      <c r="X1954" s="14">
        <f>IF($AO1954="","","R"&amp;$C1954&amp;"."&amp;$D1954)</f>
        <v/>
      </c>
      <c r="Y1954" s="15">
        <f>IF($AN1954="","",IF(INDEX(職員マスタ!$K$6:$K$405,$AN1954)="","",INDEX(職員マスタ!$K$6:$K$405,$AN1954)))</f>
        <v/>
      </c>
      <c r="Z1954" s="14">
        <f>IF(OR($E1954="",$Y1954=""),"",IF($E1954&gt;=$Y1954,"×",IF($E1954&gt;=$Y1954*設定!$C$5,"△","○")))</f>
        <v/>
      </c>
      <c r="AA1954" s="15">
        <f>IF($Z1954="","",IF($Z1954="×",0,IF($Z1954="○",ROUNDDOWN($E1954*設定!$C$4,0),ROUNDDOWN($E1954*ROUND((9*$Y1954-9*$E1954)/(10*$E1954),4),0))))</f>
        <v/>
      </c>
      <c r="AB1954" s="13" t="n"/>
      <c r="AC1954" s="15">
        <f>IF($B1954="","",IF($AB1954&lt;&gt;"",$AB1954,IF($AA1954="","",IF($AA1954&lt;=設定!$C$3,0,$AA1954))))</f>
        <v/>
      </c>
      <c r="AD1954" s="14">
        <f>IF($B1954="","",IF(AND($AE1954&lt;&gt;"",$AG1954="",$AJ1954=""),"保留中",IF($AJ1954&lt;&gt;"",IF(N($AC1954)&gt;0,"支給済","不支給"),IF($AC1954="","要確認",IF($AC1954=0,"不支給","未処理")))))</f>
        <v/>
      </c>
      <c r="AE1954" s="12" t="n"/>
      <c r="AF1954" s="11" t="n"/>
      <c r="AG1954" s="11" t="n"/>
      <c r="AH1954" s="11" t="n"/>
      <c r="AI1954" s="14">
        <f>IF(AND($AD1954="保留中",$AF1954&lt;&gt;""),TODAY()-$AF1954,"")</f>
        <v/>
      </c>
      <c r="AJ1954" s="12" t="n"/>
      <c r="AK1954" s="14">
        <f>IF($B1954="","",IF($AO1954="","対象年月が未入力／","")&amp;IF($B1954="","",IF($AN1954="","職員マスタに未登録の職員番号／",IF($Y1954="","標準報酬月額が未登録／","")&amp;IF(AND($AO1954&lt;&gt;"",OR(AND(INDEX(職員マスタ!$G$6:$G$405,$AN1954)&lt;&gt;"",INDEX(職員マスタ!$G$6:$G$405,$AN1954)&gt;EOMONTH($AO1954,0)),AND(INDEX(職員マスタ!$H$6:$H$405,$AN1954)&lt;&gt;"",INDEX(職員マスタ!$H$6:$H$405,$AN1954)&lt;$AO1954))),"対象月が時短期間外／","")&amp;IF(AND(INDEX(職員マスタ!$F$6:$F$405,$AN1954)&lt;&gt;"",$AO1954&lt;&gt;"",INDEX(職員マスタ!$F$6:$F$405,$AN1954)&lt;$AO1954),"対象月に子が2歳到達済／","")&amp;IF(AND($H1954&lt;&gt;"",INDEX(職員マスタ!$B$6:$B$405,$AN1954)&lt;&gt;"",SUBSTITUTE(SUBSTITUTE($H1954," ","")," ","")&lt;&gt;SUBSTITUTE(SUBSTITUTE(INDEX(職員マスタ!$B$6:$B$405,$AN1954)," ","")," ","")),"氏名がマスタと相違／","")&amp;IF(AND($Q1954&lt;&gt;"",INDEX(職員マスタ!$E$6:$E$405,$AN1954)&lt;&gt;"",$Q1954&lt;&gt;INDEX(職員マスタ!$E$6:$E$405,$AN1954)),"子の生年月日がマスタと相違／","")&amp;IF(AND($L1954&lt;&gt;"",INDEX(職員マスタ!$G$6:$G$405,$AN1954)&lt;&gt;"",$L1954&lt;&gt;INDEX(職員マスタ!$G$6:$G$405,$AN1954)),"時短開始日がマスタと相違／","")&amp;IF(AND($M1954&lt;&gt;"",INDEX(職員マスタ!$H$6:$H$405,$AN1954)&lt;&gt;"",$M1954&lt;&gt;INDEX(職員マスタ!$H$6:$H$405,$AN1954)),"時短終了日がマスタと相違／","")))&amp;IF(AND($B1954&lt;&gt;"",$E1954=""),"報酬額が未入力／","")&amp;IF(N($U1954)&gt;0,"申請書に入力エラーが残っています／","")&amp;IF(AND($B1954&lt;&gt;"",$AO1954&lt;&gt;""),IF(COUNTIFS($B$6:$B$3005,$B1954,$C$6:$C$3005,$C1954,$D$6:$D$3005,$D1954)&gt;1,"同じ月の請求が重複しています／",""),"")&amp;IF(AND(N($E1954)&gt;0,$Z1954&lt;&gt;"",$Z1954&lt;&gt;"×",$AC1954=0,$AB1954=""),"計算額が下限以下のため不支給／",""))</f>
        <v/>
      </c>
      <c r="AL1954" s="12" t="n"/>
      <c r="AM1954" s="14">
        <f>IF($AD1954="保留中",COUNTIF($AD$6:$AD1954,"保留中"),"")</f>
        <v/>
      </c>
      <c r="AN1954" s="14">
        <f>IF($AO1954="","",IF(SUMPRODUCT(MAX((職員マスタ!$A$6:$A$405=$B1954)*(((職員マスタ!$G$6:$G$405="")+(職員マスタ!$G$6:$G$405&lt;=EOMONTH($AO1954,0)))&gt;0)*(((職員マスタ!$H$6:$H$405="")+(職員マスタ!$H$6:$H$405&gt;=$AO1954))&gt;0)*(ROW(職員マスタ!$A$6:$A$405)-5)))&gt;0,SUMPRODUCT(MAX((職員マスタ!$A$6:$A$405=$B1954)*(((職員マスタ!$G$6:$G$405="")+(職員マスタ!$G$6:$G$405&lt;=EOMONTH($AO1954,0)))&gt;0)*(((職員マスタ!$H$6:$H$405="")+(職員マスタ!$H$6:$H$405&gt;=$AO1954))&gt;0)*(ROW(職員マスタ!$A$6:$A$405)-5))),IFERROR(MATCH($B1954,職員マスタ!$A$6:$A$405,0),"")))</f>
        <v/>
      </c>
      <c r="AO1954" s="16">
        <f>IF(OR($B1954="",$C1954="",$D1954=""),"",DATE($C1954+2018,$D1954,1))</f>
        <v/>
      </c>
    </row>
    <row r="1955">
      <c r="A1955" s="11" t="n"/>
      <c r="B1955" s="12" t="n"/>
      <c r="C1955" s="12" t="n"/>
      <c r="D1955" s="12" t="n"/>
      <c r="E1955" s="13" t="n"/>
      <c r="F1955" s="12" t="n"/>
      <c r="G1955" s="13" t="n"/>
      <c r="H1955" s="12" t="n"/>
      <c r="I1955" s="12" t="n"/>
      <c r="J1955" s="12" t="n"/>
      <c r="K1955" s="12" t="n"/>
      <c r="L1955" s="11" t="n"/>
      <c r="M1955" s="11" t="n"/>
      <c r="N1955" s="11" t="n"/>
      <c r="O1955" s="11" t="n"/>
      <c r="P1955" s="12" t="n"/>
      <c r="Q1955" s="11" t="n"/>
      <c r="R1955" s="12" t="n"/>
      <c r="S1955" s="11" t="n"/>
      <c r="T1955" s="12" t="n"/>
      <c r="U1955" s="12" t="n"/>
      <c r="V1955" s="14">
        <f>IF($AN1955="",IF($B1955="","",$H1955),IF(INDEX(職員マスタ!$B$6:$B$405,$AN1955)="",$H1955,INDEX(職員マスタ!$B$6:$B$405,$AN1955)))</f>
        <v/>
      </c>
      <c r="W1955" s="14">
        <f>IF($AN1955="",IF($B1955="","",$R1955),IF(INDEX(職員マスタ!$C$6:$C$405,$AN1955)="",$R1955,INDEX(職員マスタ!$C$6:$C$405,$AN1955)))</f>
        <v/>
      </c>
      <c r="X1955" s="14">
        <f>IF($AO1955="","","R"&amp;$C1955&amp;"."&amp;$D1955)</f>
        <v/>
      </c>
      <c r="Y1955" s="15">
        <f>IF($AN1955="","",IF(INDEX(職員マスタ!$K$6:$K$405,$AN1955)="","",INDEX(職員マスタ!$K$6:$K$405,$AN1955)))</f>
        <v/>
      </c>
      <c r="Z1955" s="14">
        <f>IF(OR($E1955="",$Y1955=""),"",IF($E1955&gt;=$Y1955,"×",IF($E1955&gt;=$Y1955*設定!$C$5,"△","○")))</f>
        <v/>
      </c>
      <c r="AA1955" s="15">
        <f>IF($Z1955="","",IF($Z1955="×",0,IF($Z1955="○",ROUNDDOWN($E1955*設定!$C$4,0),ROUNDDOWN($E1955*ROUND((9*$Y1955-9*$E1955)/(10*$E1955),4),0))))</f>
        <v/>
      </c>
      <c r="AB1955" s="13" t="n"/>
      <c r="AC1955" s="15">
        <f>IF($B1955="","",IF($AB1955&lt;&gt;"",$AB1955,IF($AA1955="","",IF($AA1955&lt;=設定!$C$3,0,$AA1955))))</f>
        <v/>
      </c>
      <c r="AD1955" s="14">
        <f>IF($B1955="","",IF(AND($AE1955&lt;&gt;"",$AG1955="",$AJ1955=""),"保留中",IF($AJ1955&lt;&gt;"",IF(N($AC1955)&gt;0,"支給済","不支給"),IF($AC1955="","要確認",IF($AC1955=0,"不支給","未処理")))))</f>
        <v/>
      </c>
      <c r="AE1955" s="12" t="n"/>
      <c r="AF1955" s="11" t="n"/>
      <c r="AG1955" s="11" t="n"/>
      <c r="AH1955" s="11" t="n"/>
      <c r="AI1955" s="14">
        <f>IF(AND($AD1955="保留中",$AF1955&lt;&gt;""),TODAY()-$AF1955,"")</f>
        <v/>
      </c>
      <c r="AJ1955" s="12" t="n"/>
      <c r="AK1955" s="14">
        <f>IF($B1955="","",IF($AO1955="","対象年月が未入力／","")&amp;IF($B1955="","",IF($AN1955="","職員マスタに未登録の職員番号／",IF($Y1955="","標準報酬月額が未登録／","")&amp;IF(AND($AO1955&lt;&gt;"",OR(AND(INDEX(職員マスタ!$G$6:$G$405,$AN1955)&lt;&gt;"",INDEX(職員マスタ!$G$6:$G$405,$AN1955)&gt;EOMONTH($AO1955,0)),AND(INDEX(職員マスタ!$H$6:$H$405,$AN1955)&lt;&gt;"",INDEX(職員マスタ!$H$6:$H$405,$AN1955)&lt;$AO1955))),"対象月が時短期間外／","")&amp;IF(AND(INDEX(職員マスタ!$F$6:$F$405,$AN1955)&lt;&gt;"",$AO1955&lt;&gt;"",INDEX(職員マスタ!$F$6:$F$405,$AN1955)&lt;$AO1955),"対象月に子が2歳到達済／","")&amp;IF(AND($H1955&lt;&gt;"",INDEX(職員マスタ!$B$6:$B$405,$AN1955)&lt;&gt;"",SUBSTITUTE(SUBSTITUTE($H1955," ","")," ","")&lt;&gt;SUBSTITUTE(SUBSTITUTE(INDEX(職員マスタ!$B$6:$B$405,$AN1955)," ","")," ","")),"氏名がマスタと相違／","")&amp;IF(AND($Q1955&lt;&gt;"",INDEX(職員マスタ!$E$6:$E$405,$AN1955)&lt;&gt;"",$Q1955&lt;&gt;INDEX(職員マスタ!$E$6:$E$405,$AN1955)),"子の生年月日がマスタと相違／","")&amp;IF(AND($L1955&lt;&gt;"",INDEX(職員マスタ!$G$6:$G$405,$AN1955)&lt;&gt;"",$L1955&lt;&gt;INDEX(職員マスタ!$G$6:$G$405,$AN1955)),"時短開始日がマスタと相違／","")&amp;IF(AND($M1955&lt;&gt;"",INDEX(職員マスタ!$H$6:$H$405,$AN1955)&lt;&gt;"",$M1955&lt;&gt;INDEX(職員マスタ!$H$6:$H$405,$AN1955)),"時短終了日がマスタと相違／","")))&amp;IF(AND($B1955&lt;&gt;"",$E1955=""),"報酬額が未入力／","")&amp;IF(N($U1955)&gt;0,"申請書に入力エラーが残っています／","")&amp;IF(AND($B1955&lt;&gt;"",$AO1955&lt;&gt;""),IF(COUNTIFS($B$6:$B$3005,$B1955,$C$6:$C$3005,$C1955,$D$6:$D$3005,$D1955)&gt;1,"同じ月の請求が重複しています／",""),"")&amp;IF(AND(N($E1955)&gt;0,$Z1955&lt;&gt;"",$Z1955&lt;&gt;"×",$AC1955=0,$AB1955=""),"計算額が下限以下のため不支給／",""))</f>
        <v/>
      </c>
      <c r="AL1955" s="12" t="n"/>
      <c r="AM1955" s="14">
        <f>IF($AD1955="保留中",COUNTIF($AD$6:$AD1955,"保留中"),"")</f>
        <v/>
      </c>
      <c r="AN1955" s="14">
        <f>IF($AO1955="","",IF(SUMPRODUCT(MAX((職員マスタ!$A$6:$A$405=$B1955)*(((職員マスタ!$G$6:$G$405="")+(職員マスタ!$G$6:$G$405&lt;=EOMONTH($AO1955,0)))&gt;0)*(((職員マスタ!$H$6:$H$405="")+(職員マスタ!$H$6:$H$405&gt;=$AO1955))&gt;0)*(ROW(職員マスタ!$A$6:$A$405)-5)))&gt;0,SUMPRODUCT(MAX((職員マスタ!$A$6:$A$405=$B1955)*(((職員マスタ!$G$6:$G$405="")+(職員マスタ!$G$6:$G$405&lt;=EOMONTH($AO1955,0)))&gt;0)*(((職員マスタ!$H$6:$H$405="")+(職員マスタ!$H$6:$H$405&gt;=$AO1955))&gt;0)*(ROW(職員マスタ!$A$6:$A$405)-5))),IFERROR(MATCH($B1955,職員マスタ!$A$6:$A$405,0),"")))</f>
        <v/>
      </c>
      <c r="AO1955" s="16">
        <f>IF(OR($B1955="",$C1955="",$D1955=""),"",DATE($C1955+2018,$D1955,1))</f>
        <v/>
      </c>
    </row>
    <row r="1956">
      <c r="A1956" s="11" t="n"/>
      <c r="B1956" s="12" t="n"/>
      <c r="C1956" s="12" t="n"/>
      <c r="D1956" s="12" t="n"/>
      <c r="E1956" s="13" t="n"/>
      <c r="F1956" s="12" t="n"/>
      <c r="G1956" s="13" t="n"/>
      <c r="H1956" s="12" t="n"/>
      <c r="I1956" s="12" t="n"/>
      <c r="J1956" s="12" t="n"/>
      <c r="K1956" s="12" t="n"/>
      <c r="L1956" s="11" t="n"/>
      <c r="M1956" s="11" t="n"/>
      <c r="N1956" s="11" t="n"/>
      <c r="O1956" s="11" t="n"/>
      <c r="P1956" s="12" t="n"/>
      <c r="Q1956" s="11" t="n"/>
      <c r="R1956" s="12" t="n"/>
      <c r="S1956" s="11" t="n"/>
      <c r="T1956" s="12" t="n"/>
      <c r="U1956" s="12" t="n"/>
      <c r="V1956" s="14">
        <f>IF($AN1956="",IF($B1956="","",$H1956),IF(INDEX(職員マスタ!$B$6:$B$405,$AN1956)="",$H1956,INDEX(職員マスタ!$B$6:$B$405,$AN1956)))</f>
        <v/>
      </c>
      <c r="W1956" s="14">
        <f>IF($AN1956="",IF($B1956="","",$R1956),IF(INDEX(職員マスタ!$C$6:$C$405,$AN1956)="",$R1956,INDEX(職員マスタ!$C$6:$C$405,$AN1956)))</f>
        <v/>
      </c>
      <c r="X1956" s="14">
        <f>IF($AO1956="","","R"&amp;$C1956&amp;"."&amp;$D1956)</f>
        <v/>
      </c>
      <c r="Y1956" s="15">
        <f>IF($AN1956="","",IF(INDEX(職員マスタ!$K$6:$K$405,$AN1956)="","",INDEX(職員マスタ!$K$6:$K$405,$AN1956)))</f>
        <v/>
      </c>
      <c r="Z1956" s="14">
        <f>IF(OR($E1956="",$Y1956=""),"",IF($E1956&gt;=$Y1956,"×",IF($E1956&gt;=$Y1956*設定!$C$5,"△","○")))</f>
        <v/>
      </c>
      <c r="AA1956" s="15">
        <f>IF($Z1956="","",IF($Z1956="×",0,IF($Z1956="○",ROUNDDOWN($E1956*設定!$C$4,0),ROUNDDOWN($E1956*ROUND((9*$Y1956-9*$E1956)/(10*$E1956),4),0))))</f>
        <v/>
      </c>
      <c r="AB1956" s="13" t="n"/>
      <c r="AC1956" s="15">
        <f>IF($B1956="","",IF($AB1956&lt;&gt;"",$AB1956,IF($AA1956="","",IF($AA1956&lt;=設定!$C$3,0,$AA1956))))</f>
        <v/>
      </c>
      <c r="AD1956" s="14">
        <f>IF($B1956="","",IF(AND($AE1956&lt;&gt;"",$AG1956="",$AJ1956=""),"保留中",IF($AJ1956&lt;&gt;"",IF(N($AC1956)&gt;0,"支給済","不支給"),IF($AC1956="","要確認",IF($AC1956=0,"不支給","未処理")))))</f>
        <v/>
      </c>
      <c r="AE1956" s="12" t="n"/>
      <c r="AF1956" s="11" t="n"/>
      <c r="AG1956" s="11" t="n"/>
      <c r="AH1956" s="11" t="n"/>
      <c r="AI1956" s="14">
        <f>IF(AND($AD1956="保留中",$AF1956&lt;&gt;""),TODAY()-$AF1956,"")</f>
        <v/>
      </c>
      <c r="AJ1956" s="12" t="n"/>
      <c r="AK1956" s="14">
        <f>IF($B1956="","",IF($AO1956="","対象年月が未入力／","")&amp;IF($B1956="","",IF($AN1956="","職員マスタに未登録の職員番号／",IF($Y1956="","標準報酬月額が未登録／","")&amp;IF(AND($AO1956&lt;&gt;"",OR(AND(INDEX(職員マスタ!$G$6:$G$405,$AN1956)&lt;&gt;"",INDEX(職員マスタ!$G$6:$G$405,$AN1956)&gt;EOMONTH($AO1956,0)),AND(INDEX(職員マスタ!$H$6:$H$405,$AN1956)&lt;&gt;"",INDEX(職員マスタ!$H$6:$H$405,$AN1956)&lt;$AO1956))),"対象月が時短期間外／","")&amp;IF(AND(INDEX(職員マスタ!$F$6:$F$405,$AN1956)&lt;&gt;"",$AO1956&lt;&gt;"",INDEX(職員マスタ!$F$6:$F$405,$AN1956)&lt;$AO1956),"対象月に子が2歳到達済／","")&amp;IF(AND($H1956&lt;&gt;"",INDEX(職員マスタ!$B$6:$B$405,$AN1956)&lt;&gt;"",SUBSTITUTE(SUBSTITUTE($H1956," ","")," ","")&lt;&gt;SUBSTITUTE(SUBSTITUTE(INDEX(職員マスタ!$B$6:$B$405,$AN1956)," ","")," ","")),"氏名がマスタと相違／","")&amp;IF(AND($Q1956&lt;&gt;"",INDEX(職員マスタ!$E$6:$E$405,$AN1956)&lt;&gt;"",$Q1956&lt;&gt;INDEX(職員マスタ!$E$6:$E$405,$AN1956)),"子の生年月日がマスタと相違／","")&amp;IF(AND($L1956&lt;&gt;"",INDEX(職員マスタ!$G$6:$G$405,$AN1956)&lt;&gt;"",$L1956&lt;&gt;INDEX(職員マスタ!$G$6:$G$405,$AN1956)),"時短開始日がマスタと相違／","")&amp;IF(AND($M1956&lt;&gt;"",INDEX(職員マスタ!$H$6:$H$405,$AN1956)&lt;&gt;"",$M1956&lt;&gt;INDEX(職員マスタ!$H$6:$H$405,$AN1956)),"時短終了日がマスタと相違／","")))&amp;IF(AND($B1956&lt;&gt;"",$E1956=""),"報酬額が未入力／","")&amp;IF(N($U1956)&gt;0,"申請書に入力エラーが残っています／","")&amp;IF(AND($B1956&lt;&gt;"",$AO1956&lt;&gt;""),IF(COUNTIFS($B$6:$B$3005,$B1956,$C$6:$C$3005,$C1956,$D$6:$D$3005,$D1956)&gt;1,"同じ月の請求が重複しています／",""),"")&amp;IF(AND(N($E1956)&gt;0,$Z1956&lt;&gt;"",$Z1956&lt;&gt;"×",$AC1956=0,$AB1956=""),"計算額が下限以下のため不支給／",""))</f>
        <v/>
      </c>
      <c r="AL1956" s="12" t="n"/>
      <c r="AM1956" s="14">
        <f>IF($AD1956="保留中",COUNTIF($AD$6:$AD1956,"保留中"),"")</f>
        <v/>
      </c>
      <c r="AN1956" s="14">
        <f>IF($AO1956="","",IF(SUMPRODUCT(MAX((職員マスタ!$A$6:$A$405=$B1956)*(((職員マスタ!$G$6:$G$405="")+(職員マスタ!$G$6:$G$405&lt;=EOMONTH($AO1956,0)))&gt;0)*(((職員マスタ!$H$6:$H$405="")+(職員マスタ!$H$6:$H$405&gt;=$AO1956))&gt;0)*(ROW(職員マスタ!$A$6:$A$405)-5)))&gt;0,SUMPRODUCT(MAX((職員マスタ!$A$6:$A$405=$B1956)*(((職員マスタ!$G$6:$G$405="")+(職員マスタ!$G$6:$G$405&lt;=EOMONTH($AO1956,0)))&gt;0)*(((職員マスタ!$H$6:$H$405="")+(職員マスタ!$H$6:$H$405&gt;=$AO1956))&gt;0)*(ROW(職員マスタ!$A$6:$A$405)-5))),IFERROR(MATCH($B1956,職員マスタ!$A$6:$A$405,0),"")))</f>
        <v/>
      </c>
      <c r="AO1956" s="16">
        <f>IF(OR($B1956="",$C1956="",$D1956=""),"",DATE($C1956+2018,$D1956,1))</f>
        <v/>
      </c>
    </row>
    <row r="1957">
      <c r="A1957" s="11" t="n"/>
      <c r="B1957" s="12" t="n"/>
      <c r="C1957" s="12" t="n"/>
      <c r="D1957" s="12" t="n"/>
      <c r="E1957" s="13" t="n"/>
      <c r="F1957" s="12" t="n"/>
      <c r="G1957" s="13" t="n"/>
      <c r="H1957" s="12" t="n"/>
      <c r="I1957" s="12" t="n"/>
      <c r="J1957" s="12" t="n"/>
      <c r="K1957" s="12" t="n"/>
      <c r="L1957" s="11" t="n"/>
      <c r="M1957" s="11" t="n"/>
      <c r="N1957" s="11" t="n"/>
      <c r="O1957" s="11" t="n"/>
      <c r="P1957" s="12" t="n"/>
      <c r="Q1957" s="11" t="n"/>
      <c r="R1957" s="12" t="n"/>
      <c r="S1957" s="11" t="n"/>
      <c r="T1957" s="12" t="n"/>
      <c r="U1957" s="12" t="n"/>
      <c r="V1957" s="14">
        <f>IF($AN1957="",IF($B1957="","",$H1957),IF(INDEX(職員マスタ!$B$6:$B$405,$AN1957)="",$H1957,INDEX(職員マスタ!$B$6:$B$405,$AN1957)))</f>
        <v/>
      </c>
      <c r="W1957" s="14">
        <f>IF($AN1957="",IF($B1957="","",$R1957),IF(INDEX(職員マスタ!$C$6:$C$405,$AN1957)="",$R1957,INDEX(職員マスタ!$C$6:$C$405,$AN1957)))</f>
        <v/>
      </c>
      <c r="X1957" s="14">
        <f>IF($AO1957="","","R"&amp;$C1957&amp;"."&amp;$D1957)</f>
        <v/>
      </c>
      <c r="Y1957" s="15">
        <f>IF($AN1957="","",IF(INDEX(職員マスタ!$K$6:$K$405,$AN1957)="","",INDEX(職員マスタ!$K$6:$K$405,$AN1957)))</f>
        <v/>
      </c>
      <c r="Z1957" s="14">
        <f>IF(OR($E1957="",$Y1957=""),"",IF($E1957&gt;=$Y1957,"×",IF($E1957&gt;=$Y1957*設定!$C$5,"△","○")))</f>
        <v/>
      </c>
      <c r="AA1957" s="15">
        <f>IF($Z1957="","",IF($Z1957="×",0,IF($Z1957="○",ROUNDDOWN($E1957*設定!$C$4,0),ROUNDDOWN($E1957*ROUND((9*$Y1957-9*$E1957)/(10*$E1957),4),0))))</f>
        <v/>
      </c>
      <c r="AB1957" s="13" t="n"/>
      <c r="AC1957" s="15">
        <f>IF($B1957="","",IF($AB1957&lt;&gt;"",$AB1957,IF($AA1957="","",IF($AA1957&lt;=設定!$C$3,0,$AA1957))))</f>
        <v/>
      </c>
      <c r="AD1957" s="14">
        <f>IF($B1957="","",IF(AND($AE1957&lt;&gt;"",$AG1957="",$AJ1957=""),"保留中",IF($AJ1957&lt;&gt;"",IF(N($AC1957)&gt;0,"支給済","不支給"),IF($AC1957="","要確認",IF($AC1957=0,"不支給","未処理")))))</f>
        <v/>
      </c>
      <c r="AE1957" s="12" t="n"/>
      <c r="AF1957" s="11" t="n"/>
      <c r="AG1957" s="11" t="n"/>
      <c r="AH1957" s="11" t="n"/>
      <c r="AI1957" s="14">
        <f>IF(AND($AD1957="保留中",$AF1957&lt;&gt;""),TODAY()-$AF1957,"")</f>
        <v/>
      </c>
      <c r="AJ1957" s="12" t="n"/>
      <c r="AK1957" s="14">
        <f>IF($B1957="","",IF($AO1957="","対象年月が未入力／","")&amp;IF($B1957="","",IF($AN1957="","職員マスタに未登録の職員番号／",IF($Y1957="","標準報酬月額が未登録／","")&amp;IF(AND($AO1957&lt;&gt;"",OR(AND(INDEX(職員マスタ!$G$6:$G$405,$AN1957)&lt;&gt;"",INDEX(職員マスタ!$G$6:$G$405,$AN1957)&gt;EOMONTH($AO1957,0)),AND(INDEX(職員マスタ!$H$6:$H$405,$AN1957)&lt;&gt;"",INDEX(職員マスタ!$H$6:$H$405,$AN1957)&lt;$AO1957))),"対象月が時短期間外／","")&amp;IF(AND(INDEX(職員マスタ!$F$6:$F$405,$AN1957)&lt;&gt;"",$AO1957&lt;&gt;"",INDEX(職員マスタ!$F$6:$F$405,$AN1957)&lt;$AO1957),"対象月に子が2歳到達済／","")&amp;IF(AND($H1957&lt;&gt;"",INDEX(職員マスタ!$B$6:$B$405,$AN1957)&lt;&gt;"",SUBSTITUTE(SUBSTITUTE($H1957," ","")," ","")&lt;&gt;SUBSTITUTE(SUBSTITUTE(INDEX(職員マスタ!$B$6:$B$405,$AN1957)," ","")," ","")),"氏名がマスタと相違／","")&amp;IF(AND($Q1957&lt;&gt;"",INDEX(職員マスタ!$E$6:$E$405,$AN1957)&lt;&gt;"",$Q1957&lt;&gt;INDEX(職員マスタ!$E$6:$E$405,$AN1957)),"子の生年月日がマスタと相違／","")&amp;IF(AND($L1957&lt;&gt;"",INDEX(職員マスタ!$G$6:$G$405,$AN1957)&lt;&gt;"",$L1957&lt;&gt;INDEX(職員マスタ!$G$6:$G$405,$AN1957)),"時短開始日がマスタと相違／","")&amp;IF(AND($M1957&lt;&gt;"",INDEX(職員マスタ!$H$6:$H$405,$AN1957)&lt;&gt;"",$M1957&lt;&gt;INDEX(職員マスタ!$H$6:$H$405,$AN1957)),"時短終了日がマスタと相違／","")))&amp;IF(AND($B1957&lt;&gt;"",$E1957=""),"報酬額が未入力／","")&amp;IF(N($U1957)&gt;0,"申請書に入力エラーが残っています／","")&amp;IF(AND($B1957&lt;&gt;"",$AO1957&lt;&gt;""),IF(COUNTIFS($B$6:$B$3005,$B1957,$C$6:$C$3005,$C1957,$D$6:$D$3005,$D1957)&gt;1,"同じ月の請求が重複しています／",""),"")&amp;IF(AND(N($E1957)&gt;0,$Z1957&lt;&gt;"",$Z1957&lt;&gt;"×",$AC1957=0,$AB1957=""),"計算額が下限以下のため不支給／",""))</f>
        <v/>
      </c>
      <c r="AL1957" s="12" t="n"/>
      <c r="AM1957" s="14">
        <f>IF($AD1957="保留中",COUNTIF($AD$6:$AD1957,"保留中"),"")</f>
        <v/>
      </c>
      <c r="AN1957" s="14">
        <f>IF($AO1957="","",IF(SUMPRODUCT(MAX((職員マスタ!$A$6:$A$405=$B1957)*(((職員マスタ!$G$6:$G$405="")+(職員マスタ!$G$6:$G$405&lt;=EOMONTH($AO1957,0)))&gt;0)*(((職員マスタ!$H$6:$H$405="")+(職員マスタ!$H$6:$H$405&gt;=$AO1957))&gt;0)*(ROW(職員マスタ!$A$6:$A$405)-5)))&gt;0,SUMPRODUCT(MAX((職員マスタ!$A$6:$A$405=$B1957)*(((職員マスタ!$G$6:$G$405="")+(職員マスタ!$G$6:$G$405&lt;=EOMONTH($AO1957,0)))&gt;0)*(((職員マスタ!$H$6:$H$405="")+(職員マスタ!$H$6:$H$405&gt;=$AO1957))&gt;0)*(ROW(職員マスタ!$A$6:$A$405)-5))),IFERROR(MATCH($B1957,職員マスタ!$A$6:$A$405,0),"")))</f>
        <v/>
      </c>
      <c r="AO1957" s="16">
        <f>IF(OR($B1957="",$C1957="",$D1957=""),"",DATE($C1957+2018,$D1957,1))</f>
        <v/>
      </c>
    </row>
    <row r="1958">
      <c r="A1958" s="11" t="n"/>
      <c r="B1958" s="12" t="n"/>
      <c r="C1958" s="12" t="n"/>
      <c r="D1958" s="12" t="n"/>
      <c r="E1958" s="13" t="n"/>
      <c r="F1958" s="12" t="n"/>
      <c r="G1958" s="13" t="n"/>
      <c r="H1958" s="12" t="n"/>
      <c r="I1958" s="12" t="n"/>
      <c r="J1958" s="12" t="n"/>
      <c r="K1958" s="12" t="n"/>
      <c r="L1958" s="11" t="n"/>
      <c r="M1958" s="11" t="n"/>
      <c r="N1958" s="11" t="n"/>
      <c r="O1958" s="11" t="n"/>
      <c r="P1958" s="12" t="n"/>
      <c r="Q1958" s="11" t="n"/>
      <c r="R1958" s="12" t="n"/>
      <c r="S1958" s="11" t="n"/>
      <c r="T1958" s="12" t="n"/>
      <c r="U1958" s="12" t="n"/>
      <c r="V1958" s="14">
        <f>IF($AN1958="",IF($B1958="","",$H1958),IF(INDEX(職員マスタ!$B$6:$B$405,$AN1958)="",$H1958,INDEX(職員マスタ!$B$6:$B$405,$AN1958)))</f>
        <v/>
      </c>
      <c r="W1958" s="14">
        <f>IF($AN1958="",IF($B1958="","",$R1958),IF(INDEX(職員マスタ!$C$6:$C$405,$AN1958)="",$R1958,INDEX(職員マスタ!$C$6:$C$405,$AN1958)))</f>
        <v/>
      </c>
      <c r="X1958" s="14">
        <f>IF($AO1958="","","R"&amp;$C1958&amp;"."&amp;$D1958)</f>
        <v/>
      </c>
      <c r="Y1958" s="15">
        <f>IF($AN1958="","",IF(INDEX(職員マスタ!$K$6:$K$405,$AN1958)="","",INDEX(職員マスタ!$K$6:$K$405,$AN1958)))</f>
        <v/>
      </c>
      <c r="Z1958" s="14">
        <f>IF(OR($E1958="",$Y1958=""),"",IF($E1958&gt;=$Y1958,"×",IF($E1958&gt;=$Y1958*設定!$C$5,"△","○")))</f>
        <v/>
      </c>
      <c r="AA1958" s="15">
        <f>IF($Z1958="","",IF($Z1958="×",0,IF($Z1958="○",ROUNDDOWN($E1958*設定!$C$4,0),ROUNDDOWN($E1958*ROUND((9*$Y1958-9*$E1958)/(10*$E1958),4),0))))</f>
        <v/>
      </c>
      <c r="AB1958" s="13" t="n"/>
      <c r="AC1958" s="15">
        <f>IF($B1958="","",IF($AB1958&lt;&gt;"",$AB1958,IF($AA1958="","",IF($AA1958&lt;=設定!$C$3,0,$AA1958))))</f>
        <v/>
      </c>
      <c r="AD1958" s="14">
        <f>IF($B1958="","",IF(AND($AE1958&lt;&gt;"",$AG1958="",$AJ1958=""),"保留中",IF($AJ1958&lt;&gt;"",IF(N($AC1958)&gt;0,"支給済","不支給"),IF($AC1958="","要確認",IF($AC1958=0,"不支給","未処理")))))</f>
        <v/>
      </c>
      <c r="AE1958" s="12" t="n"/>
      <c r="AF1958" s="11" t="n"/>
      <c r="AG1958" s="11" t="n"/>
      <c r="AH1958" s="11" t="n"/>
      <c r="AI1958" s="14">
        <f>IF(AND($AD1958="保留中",$AF1958&lt;&gt;""),TODAY()-$AF1958,"")</f>
        <v/>
      </c>
      <c r="AJ1958" s="12" t="n"/>
      <c r="AK1958" s="14">
        <f>IF($B1958="","",IF($AO1958="","対象年月が未入力／","")&amp;IF($B1958="","",IF($AN1958="","職員マスタに未登録の職員番号／",IF($Y1958="","標準報酬月額が未登録／","")&amp;IF(AND($AO1958&lt;&gt;"",OR(AND(INDEX(職員マスタ!$G$6:$G$405,$AN1958)&lt;&gt;"",INDEX(職員マスタ!$G$6:$G$405,$AN1958)&gt;EOMONTH($AO1958,0)),AND(INDEX(職員マスタ!$H$6:$H$405,$AN1958)&lt;&gt;"",INDEX(職員マスタ!$H$6:$H$405,$AN1958)&lt;$AO1958))),"対象月が時短期間外／","")&amp;IF(AND(INDEX(職員マスタ!$F$6:$F$405,$AN1958)&lt;&gt;"",$AO1958&lt;&gt;"",INDEX(職員マスタ!$F$6:$F$405,$AN1958)&lt;$AO1958),"対象月に子が2歳到達済／","")&amp;IF(AND($H1958&lt;&gt;"",INDEX(職員マスタ!$B$6:$B$405,$AN1958)&lt;&gt;"",SUBSTITUTE(SUBSTITUTE($H1958," ","")," ","")&lt;&gt;SUBSTITUTE(SUBSTITUTE(INDEX(職員マスタ!$B$6:$B$405,$AN1958)," ","")," ","")),"氏名がマスタと相違／","")&amp;IF(AND($Q1958&lt;&gt;"",INDEX(職員マスタ!$E$6:$E$405,$AN1958)&lt;&gt;"",$Q1958&lt;&gt;INDEX(職員マスタ!$E$6:$E$405,$AN1958)),"子の生年月日がマスタと相違／","")&amp;IF(AND($L1958&lt;&gt;"",INDEX(職員マスタ!$G$6:$G$405,$AN1958)&lt;&gt;"",$L1958&lt;&gt;INDEX(職員マスタ!$G$6:$G$405,$AN1958)),"時短開始日がマスタと相違／","")&amp;IF(AND($M1958&lt;&gt;"",INDEX(職員マスタ!$H$6:$H$405,$AN1958)&lt;&gt;"",$M1958&lt;&gt;INDEX(職員マスタ!$H$6:$H$405,$AN1958)),"時短終了日がマスタと相違／","")))&amp;IF(AND($B1958&lt;&gt;"",$E1958=""),"報酬額が未入力／","")&amp;IF(N($U1958)&gt;0,"申請書に入力エラーが残っています／","")&amp;IF(AND($B1958&lt;&gt;"",$AO1958&lt;&gt;""),IF(COUNTIFS($B$6:$B$3005,$B1958,$C$6:$C$3005,$C1958,$D$6:$D$3005,$D1958)&gt;1,"同じ月の請求が重複しています／",""),"")&amp;IF(AND(N($E1958)&gt;0,$Z1958&lt;&gt;"",$Z1958&lt;&gt;"×",$AC1958=0,$AB1958=""),"計算額が下限以下のため不支給／",""))</f>
        <v/>
      </c>
      <c r="AL1958" s="12" t="n"/>
      <c r="AM1958" s="14">
        <f>IF($AD1958="保留中",COUNTIF($AD$6:$AD1958,"保留中"),"")</f>
        <v/>
      </c>
      <c r="AN1958" s="14">
        <f>IF($AO1958="","",IF(SUMPRODUCT(MAX((職員マスタ!$A$6:$A$405=$B1958)*(((職員マスタ!$G$6:$G$405="")+(職員マスタ!$G$6:$G$405&lt;=EOMONTH($AO1958,0)))&gt;0)*(((職員マスタ!$H$6:$H$405="")+(職員マスタ!$H$6:$H$405&gt;=$AO1958))&gt;0)*(ROW(職員マスタ!$A$6:$A$405)-5)))&gt;0,SUMPRODUCT(MAX((職員マスタ!$A$6:$A$405=$B1958)*(((職員マスタ!$G$6:$G$405="")+(職員マスタ!$G$6:$G$405&lt;=EOMONTH($AO1958,0)))&gt;0)*(((職員マスタ!$H$6:$H$405="")+(職員マスタ!$H$6:$H$405&gt;=$AO1958))&gt;0)*(ROW(職員マスタ!$A$6:$A$405)-5))),IFERROR(MATCH($B1958,職員マスタ!$A$6:$A$405,0),"")))</f>
        <v/>
      </c>
      <c r="AO1958" s="16">
        <f>IF(OR($B1958="",$C1958="",$D1958=""),"",DATE($C1958+2018,$D1958,1))</f>
        <v/>
      </c>
    </row>
    <row r="1959">
      <c r="A1959" s="11" t="n"/>
      <c r="B1959" s="12" t="n"/>
      <c r="C1959" s="12" t="n"/>
      <c r="D1959" s="12" t="n"/>
      <c r="E1959" s="13" t="n"/>
      <c r="F1959" s="12" t="n"/>
      <c r="G1959" s="13" t="n"/>
      <c r="H1959" s="12" t="n"/>
      <c r="I1959" s="12" t="n"/>
      <c r="J1959" s="12" t="n"/>
      <c r="K1959" s="12" t="n"/>
      <c r="L1959" s="11" t="n"/>
      <c r="M1959" s="11" t="n"/>
      <c r="N1959" s="11" t="n"/>
      <c r="O1959" s="11" t="n"/>
      <c r="P1959" s="12" t="n"/>
      <c r="Q1959" s="11" t="n"/>
      <c r="R1959" s="12" t="n"/>
      <c r="S1959" s="11" t="n"/>
      <c r="T1959" s="12" t="n"/>
      <c r="U1959" s="12" t="n"/>
      <c r="V1959" s="14">
        <f>IF($AN1959="",IF($B1959="","",$H1959),IF(INDEX(職員マスタ!$B$6:$B$405,$AN1959)="",$H1959,INDEX(職員マスタ!$B$6:$B$405,$AN1959)))</f>
        <v/>
      </c>
      <c r="W1959" s="14">
        <f>IF($AN1959="",IF($B1959="","",$R1959),IF(INDEX(職員マスタ!$C$6:$C$405,$AN1959)="",$R1959,INDEX(職員マスタ!$C$6:$C$405,$AN1959)))</f>
        <v/>
      </c>
      <c r="X1959" s="14">
        <f>IF($AO1959="","","R"&amp;$C1959&amp;"."&amp;$D1959)</f>
        <v/>
      </c>
      <c r="Y1959" s="15">
        <f>IF($AN1959="","",IF(INDEX(職員マスタ!$K$6:$K$405,$AN1959)="","",INDEX(職員マスタ!$K$6:$K$405,$AN1959)))</f>
        <v/>
      </c>
      <c r="Z1959" s="14">
        <f>IF(OR($E1959="",$Y1959=""),"",IF($E1959&gt;=$Y1959,"×",IF($E1959&gt;=$Y1959*設定!$C$5,"△","○")))</f>
        <v/>
      </c>
      <c r="AA1959" s="15">
        <f>IF($Z1959="","",IF($Z1959="×",0,IF($Z1959="○",ROUNDDOWN($E1959*設定!$C$4,0),ROUNDDOWN($E1959*ROUND((9*$Y1959-9*$E1959)/(10*$E1959),4),0))))</f>
        <v/>
      </c>
      <c r="AB1959" s="13" t="n"/>
      <c r="AC1959" s="15">
        <f>IF($B1959="","",IF($AB1959&lt;&gt;"",$AB1959,IF($AA1959="","",IF($AA1959&lt;=設定!$C$3,0,$AA1959))))</f>
        <v/>
      </c>
      <c r="AD1959" s="14">
        <f>IF($B1959="","",IF(AND($AE1959&lt;&gt;"",$AG1959="",$AJ1959=""),"保留中",IF($AJ1959&lt;&gt;"",IF(N($AC1959)&gt;0,"支給済","不支給"),IF($AC1959="","要確認",IF($AC1959=0,"不支給","未処理")))))</f>
        <v/>
      </c>
      <c r="AE1959" s="12" t="n"/>
      <c r="AF1959" s="11" t="n"/>
      <c r="AG1959" s="11" t="n"/>
      <c r="AH1959" s="11" t="n"/>
      <c r="AI1959" s="14">
        <f>IF(AND($AD1959="保留中",$AF1959&lt;&gt;""),TODAY()-$AF1959,"")</f>
        <v/>
      </c>
      <c r="AJ1959" s="12" t="n"/>
      <c r="AK1959" s="14">
        <f>IF($B1959="","",IF($AO1959="","対象年月が未入力／","")&amp;IF($B1959="","",IF($AN1959="","職員マスタに未登録の職員番号／",IF($Y1959="","標準報酬月額が未登録／","")&amp;IF(AND($AO1959&lt;&gt;"",OR(AND(INDEX(職員マスタ!$G$6:$G$405,$AN1959)&lt;&gt;"",INDEX(職員マスタ!$G$6:$G$405,$AN1959)&gt;EOMONTH($AO1959,0)),AND(INDEX(職員マスタ!$H$6:$H$405,$AN1959)&lt;&gt;"",INDEX(職員マスタ!$H$6:$H$405,$AN1959)&lt;$AO1959))),"対象月が時短期間外／","")&amp;IF(AND(INDEX(職員マスタ!$F$6:$F$405,$AN1959)&lt;&gt;"",$AO1959&lt;&gt;"",INDEX(職員マスタ!$F$6:$F$405,$AN1959)&lt;$AO1959),"対象月に子が2歳到達済／","")&amp;IF(AND($H1959&lt;&gt;"",INDEX(職員マスタ!$B$6:$B$405,$AN1959)&lt;&gt;"",SUBSTITUTE(SUBSTITUTE($H1959," ","")," ","")&lt;&gt;SUBSTITUTE(SUBSTITUTE(INDEX(職員マスタ!$B$6:$B$405,$AN1959)," ","")," ","")),"氏名がマスタと相違／","")&amp;IF(AND($Q1959&lt;&gt;"",INDEX(職員マスタ!$E$6:$E$405,$AN1959)&lt;&gt;"",$Q1959&lt;&gt;INDEX(職員マスタ!$E$6:$E$405,$AN1959)),"子の生年月日がマスタと相違／","")&amp;IF(AND($L1959&lt;&gt;"",INDEX(職員マスタ!$G$6:$G$405,$AN1959)&lt;&gt;"",$L1959&lt;&gt;INDEX(職員マスタ!$G$6:$G$405,$AN1959)),"時短開始日がマスタと相違／","")&amp;IF(AND($M1959&lt;&gt;"",INDEX(職員マスタ!$H$6:$H$405,$AN1959)&lt;&gt;"",$M1959&lt;&gt;INDEX(職員マスタ!$H$6:$H$405,$AN1959)),"時短終了日がマスタと相違／","")))&amp;IF(AND($B1959&lt;&gt;"",$E1959=""),"報酬額が未入力／","")&amp;IF(N($U1959)&gt;0,"申請書に入力エラーが残っています／","")&amp;IF(AND($B1959&lt;&gt;"",$AO1959&lt;&gt;""),IF(COUNTIFS($B$6:$B$3005,$B1959,$C$6:$C$3005,$C1959,$D$6:$D$3005,$D1959)&gt;1,"同じ月の請求が重複しています／",""),"")&amp;IF(AND(N($E1959)&gt;0,$Z1959&lt;&gt;"",$Z1959&lt;&gt;"×",$AC1959=0,$AB1959=""),"計算額が下限以下のため不支給／",""))</f>
        <v/>
      </c>
      <c r="AL1959" s="12" t="n"/>
      <c r="AM1959" s="14">
        <f>IF($AD1959="保留中",COUNTIF($AD$6:$AD1959,"保留中"),"")</f>
        <v/>
      </c>
      <c r="AN1959" s="14">
        <f>IF($AO1959="","",IF(SUMPRODUCT(MAX((職員マスタ!$A$6:$A$405=$B1959)*(((職員マスタ!$G$6:$G$405="")+(職員マスタ!$G$6:$G$405&lt;=EOMONTH($AO1959,0)))&gt;0)*(((職員マスタ!$H$6:$H$405="")+(職員マスタ!$H$6:$H$405&gt;=$AO1959))&gt;0)*(ROW(職員マスタ!$A$6:$A$405)-5)))&gt;0,SUMPRODUCT(MAX((職員マスタ!$A$6:$A$405=$B1959)*(((職員マスタ!$G$6:$G$405="")+(職員マスタ!$G$6:$G$405&lt;=EOMONTH($AO1959,0)))&gt;0)*(((職員マスタ!$H$6:$H$405="")+(職員マスタ!$H$6:$H$405&gt;=$AO1959))&gt;0)*(ROW(職員マスタ!$A$6:$A$405)-5))),IFERROR(MATCH($B1959,職員マスタ!$A$6:$A$405,0),"")))</f>
        <v/>
      </c>
      <c r="AO1959" s="16">
        <f>IF(OR($B1959="",$C1959="",$D1959=""),"",DATE($C1959+2018,$D1959,1))</f>
        <v/>
      </c>
    </row>
    <row r="1960">
      <c r="A1960" s="11" t="n"/>
      <c r="B1960" s="12" t="n"/>
      <c r="C1960" s="12" t="n"/>
      <c r="D1960" s="12" t="n"/>
      <c r="E1960" s="13" t="n"/>
      <c r="F1960" s="12" t="n"/>
      <c r="G1960" s="13" t="n"/>
      <c r="H1960" s="12" t="n"/>
      <c r="I1960" s="12" t="n"/>
      <c r="J1960" s="12" t="n"/>
      <c r="K1960" s="12" t="n"/>
      <c r="L1960" s="11" t="n"/>
      <c r="M1960" s="11" t="n"/>
      <c r="N1960" s="11" t="n"/>
      <c r="O1960" s="11" t="n"/>
      <c r="P1960" s="12" t="n"/>
      <c r="Q1960" s="11" t="n"/>
      <c r="R1960" s="12" t="n"/>
      <c r="S1960" s="11" t="n"/>
      <c r="T1960" s="12" t="n"/>
      <c r="U1960" s="12" t="n"/>
      <c r="V1960" s="14">
        <f>IF($AN1960="",IF($B1960="","",$H1960),IF(INDEX(職員マスタ!$B$6:$B$405,$AN1960)="",$H1960,INDEX(職員マスタ!$B$6:$B$405,$AN1960)))</f>
        <v/>
      </c>
      <c r="W1960" s="14">
        <f>IF($AN1960="",IF($B1960="","",$R1960),IF(INDEX(職員マスタ!$C$6:$C$405,$AN1960)="",$R1960,INDEX(職員マスタ!$C$6:$C$405,$AN1960)))</f>
        <v/>
      </c>
      <c r="X1960" s="14">
        <f>IF($AO1960="","","R"&amp;$C1960&amp;"."&amp;$D1960)</f>
        <v/>
      </c>
      <c r="Y1960" s="15">
        <f>IF($AN1960="","",IF(INDEX(職員マスタ!$K$6:$K$405,$AN1960)="","",INDEX(職員マスタ!$K$6:$K$405,$AN1960)))</f>
        <v/>
      </c>
      <c r="Z1960" s="14">
        <f>IF(OR($E1960="",$Y1960=""),"",IF($E1960&gt;=$Y1960,"×",IF($E1960&gt;=$Y1960*設定!$C$5,"△","○")))</f>
        <v/>
      </c>
      <c r="AA1960" s="15">
        <f>IF($Z1960="","",IF($Z1960="×",0,IF($Z1960="○",ROUNDDOWN($E1960*設定!$C$4,0),ROUNDDOWN($E1960*ROUND((9*$Y1960-9*$E1960)/(10*$E1960),4),0))))</f>
        <v/>
      </c>
      <c r="AB1960" s="13" t="n"/>
      <c r="AC1960" s="15">
        <f>IF($B1960="","",IF($AB1960&lt;&gt;"",$AB1960,IF($AA1960="","",IF($AA1960&lt;=設定!$C$3,0,$AA1960))))</f>
        <v/>
      </c>
      <c r="AD1960" s="14">
        <f>IF($B1960="","",IF(AND($AE1960&lt;&gt;"",$AG1960="",$AJ1960=""),"保留中",IF($AJ1960&lt;&gt;"",IF(N($AC1960)&gt;0,"支給済","不支給"),IF($AC1960="","要確認",IF($AC1960=0,"不支給","未処理")))))</f>
        <v/>
      </c>
      <c r="AE1960" s="12" t="n"/>
      <c r="AF1960" s="11" t="n"/>
      <c r="AG1960" s="11" t="n"/>
      <c r="AH1960" s="11" t="n"/>
      <c r="AI1960" s="14">
        <f>IF(AND($AD1960="保留中",$AF1960&lt;&gt;""),TODAY()-$AF1960,"")</f>
        <v/>
      </c>
      <c r="AJ1960" s="12" t="n"/>
      <c r="AK1960" s="14">
        <f>IF($B1960="","",IF($AO1960="","対象年月が未入力／","")&amp;IF($B1960="","",IF($AN1960="","職員マスタに未登録の職員番号／",IF($Y1960="","標準報酬月額が未登録／","")&amp;IF(AND($AO1960&lt;&gt;"",OR(AND(INDEX(職員マスタ!$G$6:$G$405,$AN1960)&lt;&gt;"",INDEX(職員マスタ!$G$6:$G$405,$AN1960)&gt;EOMONTH($AO1960,0)),AND(INDEX(職員マスタ!$H$6:$H$405,$AN1960)&lt;&gt;"",INDEX(職員マスタ!$H$6:$H$405,$AN1960)&lt;$AO1960))),"対象月が時短期間外／","")&amp;IF(AND(INDEX(職員マスタ!$F$6:$F$405,$AN1960)&lt;&gt;"",$AO1960&lt;&gt;"",INDEX(職員マスタ!$F$6:$F$405,$AN1960)&lt;$AO1960),"対象月に子が2歳到達済／","")&amp;IF(AND($H1960&lt;&gt;"",INDEX(職員マスタ!$B$6:$B$405,$AN1960)&lt;&gt;"",SUBSTITUTE(SUBSTITUTE($H1960," ","")," ","")&lt;&gt;SUBSTITUTE(SUBSTITUTE(INDEX(職員マスタ!$B$6:$B$405,$AN1960)," ","")," ","")),"氏名がマスタと相違／","")&amp;IF(AND($Q1960&lt;&gt;"",INDEX(職員マスタ!$E$6:$E$405,$AN1960)&lt;&gt;"",$Q1960&lt;&gt;INDEX(職員マスタ!$E$6:$E$405,$AN1960)),"子の生年月日がマスタと相違／","")&amp;IF(AND($L1960&lt;&gt;"",INDEX(職員マスタ!$G$6:$G$405,$AN1960)&lt;&gt;"",$L1960&lt;&gt;INDEX(職員マスタ!$G$6:$G$405,$AN1960)),"時短開始日がマスタと相違／","")&amp;IF(AND($M1960&lt;&gt;"",INDEX(職員マスタ!$H$6:$H$405,$AN1960)&lt;&gt;"",$M1960&lt;&gt;INDEX(職員マスタ!$H$6:$H$405,$AN1960)),"時短終了日がマスタと相違／","")))&amp;IF(AND($B1960&lt;&gt;"",$E1960=""),"報酬額が未入力／","")&amp;IF(N($U1960)&gt;0,"申請書に入力エラーが残っています／","")&amp;IF(AND($B1960&lt;&gt;"",$AO1960&lt;&gt;""),IF(COUNTIFS($B$6:$B$3005,$B1960,$C$6:$C$3005,$C1960,$D$6:$D$3005,$D1960)&gt;1,"同じ月の請求が重複しています／",""),"")&amp;IF(AND(N($E1960)&gt;0,$Z1960&lt;&gt;"",$Z1960&lt;&gt;"×",$AC1960=0,$AB1960=""),"計算額が下限以下のため不支給／",""))</f>
        <v/>
      </c>
      <c r="AL1960" s="12" t="n"/>
      <c r="AM1960" s="14">
        <f>IF($AD1960="保留中",COUNTIF($AD$6:$AD1960,"保留中"),"")</f>
        <v/>
      </c>
      <c r="AN1960" s="14">
        <f>IF($AO1960="","",IF(SUMPRODUCT(MAX((職員マスタ!$A$6:$A$405=$B1960)*(((職員マスタ!$G$6:$G$405="")+(職員マスタ!$G$6:$G$405&lt;=EOMONTH($AO1960,0)))&gt;0)*(((職員マスタ!$H$6:$H$405="")+(職員マスタ!$H$6:$H$405&gt;=$AO1960))&gt;0)*(ROW(職員マスタ!$A$6:$A$405)-5)))&gt;0,SUMPRODUCT(MAX((職員マスタ!$A$6:$A$405=$B1960)*(((職員マスタ!$G$6:$G$405="")+(職員マスタ!$G$6:$G$405&lt;=EOMONTH($AO1960,0)))&gt;0)*(((職員マスタ!$H$6:$H$405="")+(職員マスタ!$H$6:$H$405&gt;=$AO1960))&gt;0)*(ROW(職員マスタ!$A$6:$A$405)-5))),IFERROR(MATCH($B1960,職員マスタ!$A$6:$A$405,0),"")))</f>
        <v/>
      </c>
      <c r="AO1960" s="16">
        <f>IF(OR($B1960="",$C1960="",$D1960=""),"",DATE($C1960+2018,$D1960,1))</f>
        <v/>
      </c>
    </row>
    <row r="1961">
      <c r="A1961" s="11" t="n"/>
      <c r="B1961" s="12" t="n"/>
      <c r="C1961" s="12" t="n"/>
      <c r="D1961" s="12" t="n"/>
      <c r="E1961" s="13" t="n"/>
      <c r="F1961" s="12" t="n"/>
      <c r="G1961" s="13" t="n"/>
      <c r="H1961" s="12" t="n"/>
      <c r="I1961" s="12" t="n"/>
      <c r="J1961" s="12" t="n"/>
      <c r="K1961" s="12" t="n"/>
      <c r="L1961" s="11" t="n"/>
      <c r="M1961" s="11" t="n"/>
      <c r="N1961" s="11" t="n"/>
      <c r="O1961" s="11" t="n"/>
      <c r="P1961" s="12" t="n"/>
      <c r="Q1961" s="11" t="n"/>
      <c r="R1961" s="12" t="n"/>
      <c r="S1961" s="11" t="n"/>
      <c r="T1961" s="12" t="n"/>
      <c r="U1961" s="12" t="n"/>
      <c r="V1961" s="14">
        <f>IF($AN1961="",IF($B1961="","",$H1961),IF(INDEX(職員マスタ!$B$6:$B$405,$AN1961)="",$H1961,INDEX(職員マスタ!$B$6:$B$405,$AN1961)))</f>
        <v/>
      </c>
      <c r="W1961" s="14">
        <f>IF($AN1961="",IF($B1961="","",$R1961),IF(INDEX(職員マスタ!$C$6:$C$405,$AN1961)="",$R1961,INDEX(職員マスタ!$C$6:$C$405,$AN1961)))</f>
        <v/>
      </c>
      <c r="X1961" s="14">
        <f>IF($AO1961="","","R"&amp;$C1961&amp;"."&amp;$D1961)</f>
        <v/>
      </c>
      <c r="Y1961" s="15">
        <f>IF($AN1961="","",IF(INDEX(職員マスタ!$K$6:$K$405,$AN1961)="","",INDEX(職員マスタ!$K$6:$K$405,$AN1961)))</f>
        <v/>
      </c>
      <c r="Z1961" s="14">
        <f>IF(OR($E1961="",$Y1961=""),"",IF($E1961&gt;=$Y1961,"×",IF($E1961&gt;=$Y1961*設定!$C$5,"△","○")))</f>
        <v/>
      </c>
      <c r="AA1961" s="15">
        <f>IF($Z1961="","",IF($Z1961="×",0,IF($Z1961="○",ROUNDDOWN($E1961*設定!$C$4,0),ROUNDDOWN($E1961*ROUND((9*$Y1961-9*$E1961)/(10*$E1961),4),0))))</f>
        <v/>
      </c>
      <c r="AB1961" s="13" t="n"/>
      <c r="AC1961" s="15">
        <f>IF($B1961="","",IF($AB1961&lt;&gt;"",$AB1961,IF($AA1961="","",IF($AA1961&lt;=設定!$C$3,0,$AA1961))))</f>
        <v/>
      </c>
      <c r="AD1961" s="14">
        <f>IF($B1961="","",IF(AND($AE1961&lt;&gt;"",$AG1961="",$AJ1961=""),"保留中",IF($AJ1961&lt;&gt;"",IF(N($AC1961)&gt;0,"支給済","不支給"),IF($AC1961="","要確認",IF($AC1961=0,"不支給","未処理")))))</f>
        <v/>
      </c>
      <c r="AE1961" s="12" t="n"/>
      <c r="AF1961" s="11" t="n"/>
      <c r="AG1961" s="11" t="n"/>
      <c r="AH1961" s="11" t="n"/>
      <c r="AI1961" s="14">
        <f>IF(AND($AD1961="保留中",$AF1961&lt;&gt;""),TODAY()-$AF1961,"")</f>
        <v/>
      </c>
      <c r="AJ1961" s="12" t="n"/>
      <c r="AK1961" s="14">
        <f>IF($B1961="","",IF($AO1961="","対象年月が未入力／","")&amp;IF($B1961="","",IF($AN1961="","職員マスタに未登録の職員番号／",IF($Y1961="","標準報酬月額が未登録／","")&amp;IF(AND($AO1961&lt;&gt;"",OR(AND(INDEX(職員マスタ!$G$6:$G$405,$AN1961)&lt;&gt;"",INDEX(職員マスタ!$G$6:$G$405,$AN1961)&gt;EOMONTH($AO1961,0)),AND(INDEX(職員マスタ!$H$6:$H$405,$AN1961)&lt;&gt;"",INDEX(職員マスタ!$H$6:$H$405,$AN1961)&lt;$AO1961))),"対象月が時短期間外／","")&amp;IF(AND(INDEX(職員マスタ!$F$6:$F$405,$AN1961)&lt;&gt;"",$AO1961&lt;&gt;"",INDEX(職員マスタ!$F$6:$F$405,$AN1961)&lt;$AO1961),"対象月に子が2歳到達済／","")&amp;IF(AND($H1961&lt;&gt;"",INDEX(職員マスタ!$B$6:$B$405,$AN1961)&lt;&gt;"",SUBSTITUTE(SUBSTITUTE($H1961," ","")," ","")&lt;&gt;SUBSTITUTE(SUBSTITUTE(INDEX(職員マスタ!$B$6:$B$405,$AN1961)," ","")," ","")),"氏名がマスタと相違／","")&amp;IF(AND($Q1961&lt;&gt;"",INDEX(職員マスタ!$E$6:$E$405,$AN1961)&lt;&gt;"",$Q1961&lt;&gt;INDEX(職員マスタ!$E$6:$E$405,$AN1961)),"子の生年月日がマスタと相違／","")&amp;IF(AND($L1961&lt;&gt;"",INDEX(職員マスタ!$G$6:$G$405,$AN1961)&lt;&gt;"",$L1961&lt;&gt;INDEX(職員マスタ!$G$6:$G$405,$AN1961)),"時短開始日がマスタと相違／","")&amp;IF(AND($M1961&lt;&gt;"",INDEX(職員マスタ!$H$6:$H$405,$AN1961)&lt;&gt;"",$M1961&lt;&gt;INDEX(職員マスタ!$H$6:$H$405,$AN1961)),"時短終了日がマスタと相違／","")))&amp;IF(AND($B1961&lt;&gt;"",$E1961=""),"報酬額が未入力／","")&amp;IF(N($U1961)&gt;0,"申請書に入力エラーが残っています／","")&amp;IF(AND($B1961&lt;&gt;"",$AO1961&lt;&gt;""),IF(COUNTIFS($B$6:$B$3005,$B1961,$C$6:$C$3005,$C1961,$D$6:$D$3005,$D1961)&gt;1,"同じ月の請求が重複しています／",""),"")&amp;IF(AND(N($E1961)&gt;0,$Z1961&lt;&gt;"",$Z1961&lt;&gt;"×",$AC1961=0,$AB1961=""),"計算額が下限以下のため不支給／",""))</f>
        <v/>
      </c>
      <c r="AL1961" s="12" t="n"/>
      <c r="AM1961" s="14">
        <f>IF($AD1961="保留中",COUNTIF($AD$6:$AD1961,"保留中"),"")</f>
        <v/>
      </c>
      <c r="AN1961" s="14">
        <f>IF($AO1961="","",IF(SUMPRODUCT(MAX((職員マスタ!$A$6:$A$405=$B1961)*(((職員マスタ!$G$6:$G$405="")+(職員マスタ!$G$6:$G$405&lt;=EOMONTH($AO1961,0)))&gt;0)*(((職員マスタ!$H$6:$H$405="")+(職員マスタ!$H$6:$H$405&gt;=$AO1961))&gt;0)*(ROW(職員マスタ!$A$6:$A$405)-5)))&gt;0,SUMPRODUCT(MAX((職員マスタ!$A$6:$A$405=$B1961)*(((職員マスタ!$G$6:$G$405="")+(職員マスタ!$G$6:$G$405&lt;=EOMONTH($AO1961,0)))&gt;0)*(((職員マスタ!$H$6:$H$405="")+(職員マスタ!$H$6:$H$405&gt;=$AO1961))&gt;0)*(ROW(職員マスタ!$A$6:$A$405)-5))),IFERROR(MATCH($B1961,職員マスタ!$A$6:$A$405,0),"")))</f>
        <v/>
      </c>
      <c r="AO1961" s="16">
        <f>IF(OR($B1961="",$C1961="",$D1961=""),"",DATE($C1961+2018,$D1961,1))</f>
        <v/>
      </c>
    </row>
    <row r="1962">
      <c r="A1962" s="11" t="n"/>
      <c r="B1962" s="12" t="n"/>
      <c r="C1962" s="12" t="n"/>
      <c r="D1962" s="12" t="n"/>
      <c r="E1962" s="13" t="n"/>
      <c r="F1962" s="12" t="n"/>
      <c r="G1962" s="13" t="n"/>
      <c r="H1962" s="12" t="n"/>
      <c r="I1962" s="12" t="n"/>
      <c r="J1962" s="12" t="n"/>
      <c r="K1962" s="12" t="n"/>
      <c r="L1962" s="11" t="n"/>
      <c r="M1962" s="11" t="n"/>
      <c r="N1962" s="11" t="n"/>
      <c r="O1962" s="11" t="n"/>
      <c r="P1962" s="12" t="n"/>
      <c r="Q1962" s="11" t="n"/>
      <c r="R1962" s="12" t="n"/>
      <c r="S1962" s="11" t="n"/>
      <c r="T1962" s="12" t="n"/>
      <c r="U1962" s="12" t="n"/>
      <c r="V1962" s="14">
        <f>IF($AN1962="",IF($B1962="","",$H1962),IF(INDEX(職員マスタ!$B$6:$B$405,$AN1962)="",$H1962,INDEX(職員マスタ!$B$6:$B$405,$AN1962)))</f>
        <v/>
      </c>
      <c r="W1962" s="14">
        <f>IF($AN1962="",IF($B1962="","",$R1962),IF(INDEX(職員マスタ!$C$6:$C$405,$AN1962)="",$R1962,INDEX(職員マスタ!$C$6:$C$405,$AN1962)))</f>
        <v/>
      </c>
      <c r="X1962" s="14">
        <f>IF($AO1962="","","R"&amp;$C1962&amp;"."&amp;$D1962)</f>
        <v/>
      </c>
      <c r="Y1962" s="15">
        <f>IF($AN1962="","",IF(INDEX(職員マスタ!$K$6:$K$405,$AN1962)="","",INDEX(職員マスタ!$K$6:$K$405,$AN1962)))</f>
        <v/>
      </c>
      <c r="Z1962" s="14">
        <f>IF(OR($E1962="",$Y1962=""),"",IF($E1962&gt;=$Y1962,"×",IF($E1962&gt;=$Y1962*設定!$C$5,"△","○")))</f>
        <v/>
      </c>
      <c r="AA1962" s="15">
        <f>IF($Z1962="","",IF($Z1962="×",0,IF($Z1962="○",ROUNDDOWN($E1962*設定!$C$4,0),ROUNDDOWN($E1962*ROUND((9*$Y1962-9*$E1962)/(10*$E1962),4),0))))</f>
        <v/>
      </c>
      <c r="AB1962" s="13" t="n"/>
      <c r="AC1962" s="15">
        <f>IF($B1962="","",IF($AB1962&lt;&gt;"",$AB1962,IF($AA1962="","",IF($AA1962&lt;=設定!$C$3,0,$AA1962))))</f>
        <v/>
      </c>
      <c r="AD1962" s="14">
        <f>IF($B1962="","",IF(AND($AE1962&lt;&gt;"",$AG1962="",$AJ1962=""),"保留中",IF($AJ1962&lt;&gt;"",IF(N($AC1962)&gt;0,"支給済","不支給"),IF($AC1962="","要確認",IF($AC1962=0,"不支給","未処理")))))</f>
        <v/>
      </c>
      <c r="AE1962" s="12" t="n"/>
      <c r="AF1962" s="11" t="n"/>
      <c r="AG1962" s="11" t="n"/>
      <c r="AH1962" s="11" t="n"/>
      <c r="AI1962" s="14">
        <f>IF(AND($AD1962="保留中",$AF1962&lt;&gt;""),TODAY()-$AF1962,"")</f>
        <v/>
      </c>
      <c r="AJ1962" s="12" t="n"/>
      <c r="AK1962" s="14">
        <f>IF($B1962="","",IF($AO1962="","対象年月が未入力／","")&amp;IF($B1962="","",IF($AN1962="","職員マスタに未登録の職員番号／",IF($Y1962="","標準報酬月額が未登録／","")&amp;IF(AND($AO1962&lt;&gt;"",OR(AND(INDEX(職員マスタ!$G$6:$G$405,$AN1962)&lt;&gt;"",INDEX(職員マスタ!$G$6:$G$405,$AN1962)&gt;EOMONTH($AO1962,0)),AND(INDEX(職員マスタ!$H$6:$H$405,$AN1962)&lt;&gt;"",INDEX(職員マスタ!$H$6:$H$405,$AN1962)&lt;$AO1962))),"対象月が時短期間外／","")&amp;IF(AND(INDEX(職員マスタ!$F$6:$F$405,$AN1962)&lt;&gt;"",$AO1962&lt;&gt;"",INDEX(職員マスタ!$F$6:$F$405,$AN1962)&lt;$AO1962),"対象月に子が2歳到達済／","")&amp;IF(AND($H1962&lt;&gt;"",INDEX(職員マスタ!$B$6:$B$405,$AN1962)&lt;&gt;"",SUBSTITUTE(SUBSTITUTE($H1962," ","")," ","")&lt;&gt;SUBSTITUTE(SUBSTITUTE(INDEX(職員マスタ!$B$6:$B$405,$AN1962)," ","")," ","")),"氏名がマスタと相違／","")&amp;IF(AND($Q1962&lt;&gt;"",INDEX(職員マスタ!$E$6:$E$405,$AN1962)&lt;&gt;"",$Q1962&lt;&gt;INDEX(職員マスタ!$E$6:$E$405,$AN1962)),"子の生年月日がマスタと相違／","")&amp;IF(AND($L1962&lt;&gt;"",INDEX(職員マスタ!$G$6:$G$405,$AN1962)&lt;&gt;"",$L1962&lt;&gt;INDEX(職員マスタ!$G$6:$G$405,$AN1962)),"時短開始日がマスタと相違／","")&amp;IF(AND($M1962&lt;&gt;"",INDEX(職員マスタ!$H$6:$H$405,$AN1962)&lt;&gt;"",$M1962&lt;&gt;INDEX(職員マスタ!$H$6:$H$405,$AN1962)),"時短終了日がマスタと相違／","")))&amp;IF(AND($B1962&lt;&gt;"",$E1962=""),"報酬額が未入力／","")&amp;IF(N($U1962)&gt;0,"申請書に入力エラーが残っています／","")&amp;IF(AND($B1962&lt;&gt;"",$AO1962&lt;&gt;""),IF(COUNTIFS($B$6:$B$3005,$B1962,$C$6:$C$3005,$C1962,$D$6:$D$3005,$D1962)&gt;1,"同じ月の請求が重複しています／",""),"")&amp;IF(AND(N($E1962)&gt;0,$Z1962&lt;&gt;"",$Z1962&lt;&gt;"×",$AC1962=0,$AB1962=""),"計算額が下限以下のため不支給／",""))</f>
        <v/>
      </c>
      <c r="AL1962" s="12" t="n"/>
      <c r="AM1962" s="14">
        <f>IF($AD1962="保留中",COUNTIF($AD$6:$AD1962,"保留中"),"")</f>
        <v/>
      </c>
      <c r="AN1962" s="14">
        <f>IF($AO1962="","",IF(SUMPRODUCT(MAX((職員マスタ!$A$6:$A$405=$B1962)*(((職員マスタ!$G$6:$G$405="")+(職員マスタ!$G$6:$G$405&lt;=EOMONTH($AO1962,0)))&gt;0)*(((職員マスタ!$H$6:$H$405="")+(職員マスタ!$H$6:$H$405&gt;=$AO1962))&gt;0)*(ROW(職員マスタ!$A$6:$A$405)-5)))&gt;0,SUMPRODUCT(MAX((職員マスタ!$A$6:$A$405=$B1962)*(((職員マスタ!$G$6:$G$405="")+(職員マスタ!$G$6:$G$405&lt;=EOMONTH($AO1962,0)))&gt;0)*(((職員マスタ!$H$6:$H$405="")+(職員マスタ!$H$6:$H$405&gt;=$AO1962))&gt;0)*(ROW(職員マスタ!$A$6:$A$405)-5))),IFERROR(MATCH($B1962,職員マスタ!$A$6:$A$405,0),"")))</f>
        <v/>
      </c>
      <c r="AO1962" s="16">
        <f>IF(OR($B1962="",$C1962="",$D1962=""),"",DATE($C1962+2018,$D1962,1))</f>
        <v/>
      </c>
    </row>
    <row r="1963">
      <c r="A1963" s="11" t="n"/>
      <c r="B1963" s="12" t="n"/>
      <c r="C1963" s="12" t="n"/>
      <c r="D1963" s="12" t="n"/>
      <c r="E1963" s="13" t="n"/>
      <c r="F1963" s="12" t="n"/>
      <c r="G1963" s="13" t="n"/>
      <c r="H1963" s="12" t="n"/>
      <c r="I1963" s="12" t="n"/>
      <c r="J1963" s="12" t="n"/>
      <c r="K1963" s="12" t="n"/>
      <c r="L1963" s="11" t="n"/>
      <c r="M1963" s="11" t="n"/>
      <c r="N1963" s="11" t="n"/>
      <c r="O1963" s="11" t="n"/>
      <c r="P1963" s="12" t="n"/>
      <c r="Q1963" s="11" t="n"/>
      <c r="R1963" s="12" t="n"/>
      <c r="S1963" s="11" t="n"/>
      <c r="T1963" s="12" t="n"/>
      <c r="U1963" s="12" t="n"/>
      <c r="V1963" s="14">
        <f>IF($AN1963="",IF($B1963="","",$H1963),IF(INDEX(職員マスタ!$B$6:$B$405,$AN1963)="",$H1963,INDEX(職員マスタ!$B$6:$B$405,$AN1963)))</f>
        <v/>
      </c>
      <c r="W1963" s="14">
        <f>IF($AN1963="",IF($B1963="","",$R1963),IF(INDEX(職員マスタ!$C$6:$C$405,$AN1963)="",$R1963,INDEX(職員マスタ!$C$6:$C$405,$AN1963)))</f>
        <v/>
      </c>
      <c r="X1963" s="14">
        <f>IF($AO1963="","","R"&amp;$C1963&amp;"."&amp;$D1963)</f>
        <v/>
      </c>
      <c r="Y1963" s="15">
        <f>IF($AN1963="","",IF(INDEX(職員マスタ!$K$6:$K$405,$AN1963)="","",INDEX(職員マスタ!$K$6:$K$405,$AN1963)))</f>
        <v/>
      </c>
      <c r="Z1963" s="14">
        <f>IF(OR($E1963="",$Y1963=""),"",IF($E1963&gt;=$Y1963,"×",IF($E1963&gt;=$Y1963*設定!$C$5,"△","○")))</f>
        <v/>
      </c>
      <c r="AA1963" s="15">
        <f>IF($Z1963="","",IF($Z1963="×",0,IF($Z1963="○",ROUNDDOWN($E1963*設定!$C$4,0),ROUNDDOWN($E1963*ROUND((9*$Y1963-9*$E1963)/(10*$E1963),4),0))))</f>
        <v/>
      </c>
      <c r="AB1963" s="13" t="n"/>
      <c r="AC1963" s="15">
        <f>IF($B1963="","",IF($AB1963&lt;&gt;"",$AB1963,IF($AA1963="","",IF($AA1963&lt;=設定!$C$3,0,$AA1963))))</f>
        <v/>
      </c>
      <c r="AD1963" s="14">
        <f>IF($B1963="","",IF(AND($AE1963&lt;&gt;"",$AG1963="",$AJ1963=""),"保留中",IF($AJ1963&lt;&gt;"",IF(N($AC1963)&gt;0,"支給済","不支給"),IF($AC1963="","要確認",IF($AC1963=0,"不支給","未処理")))))</f>
        <v/>
      </c>
      <c r="AE1963" s="12" t="n"/>
      <c r="AF1963" s="11" t="n"/>
      <c r="AG1963" s="11" t="n"/>
      <c r="AH1963" s="11" t="n"/>
      <c r="AI1963" s="14">
        <f>IF(AND($AD1963="保留中",$AF1963&lt;&gt;""),TODAY()-$AF1963,"")</f>
        <v/>
      </c>
      <c r="AJ1963" s="12" t="n"/>
      <c r="AK1963" s="14">
        <f>IF($B1963="","",IF($AO1963="","対象年月が未入力／","")&amp;IF($B1963="","",IF($AN1963="","職員マスタに未登録の職員番号／",IF($Y1963="","標準報酬月額が未登録／","")&amp;IF(AND($AO1963&lt;&gt;"",OR(AND(INDEX(職員マスタ!$G$6:$G$405,$AN1963)&lt;&gt;"",INDEX(職員マスタ!$G$6:$G$405,$AN1963)&gt;EOMONTH($AO1963,0)),AND(INDEX(職員マスタ!$H$6:$H$405,$AN1963)&lt;&gt;"",INDEX(職員マスタ!$H$6:$H$405,$AN1963)&lt;$AO1963))),"対象月が時短期間外／","")&amp;IF(AND(INDEX(職員マスタ!$F$6:$F$405,$AN1963)&lt;&gt;"",$AO1963&lt;&gt;"",INDEX(職員マスタ!$F$6:$F$405,$AN1963)&lt;$AO1963),"対象月に子が2歳到達済／","")&amp;IF(AND($H1963&lt;&gt;"",INDEX(職員マスタ!$B$6:$B$405,$AN1963)&lt;&gt;"",SUBSTITUTE(SUBSTITUTE($H1963," ","")," ","")&lt;&gt;SUBSTITUTE(SUBSTITUTE(INDEX(職員マスタ!$B$6:$B$405,$AN1963)," ","")," ","")),"氏名がマスタと相違／","")&amp;IF(AND($Q1963&lt;&gt;"",INDEX(職員マスタ!$E$6:$E$405,$AN1963)&lt;&gt;"",$Q1963&lt;&gt;INDEX(職員マスタ!$E$6:$E$405,$AN1963)),"子の生年月日がマスタと相違／","")&amp;IF(AND($L1963&lt;&gt;"",INDEX(職員マスタ!$G$6:$G$405,$AN1963)&lt;&gt;"",$L1963&lt;&gt;INDEX(職員マスタ!$G$6:$G$405,$AN1963)),"時短開始日がマスタと相違／","")&amp;IF(AND($M1963&lt;&gt;"",INDEX(職員マスタ!$H$6:$H$405,$AN1963)&lt;&gt;"",$M1963&lt;&gt;INDEX(職員マスタ!$H$6:$H$405,$AN1963)),"時短終了日がマスタと相違／","")))&amp;IF(AND($B1963&lt;&gt;"",$E1963=""),"報酬額が未入力／","")&amp;IF(N($U1963)&gt;0,"申請書に入力エラーが残っています／","")&amp;IF(AND($B1963&lt;&gt;"",$AO1963&lt;&gt;""),IF(COUNTIFS($B$6:$B$3005,$B1963,$C$6:$C$3005,$C1963,$D$6:$D$3005,$D1963)&gt;1,"同じ月の請求が重複しています／",""),"")&amp;IF(AND(N($E1963)&gt;0,$Z1963&lt;&gt;"",$Z1963&lt;&gt;"×",$AC1963=0,$AB1963=""),"計算額が下限以下のため不支給／",""))</f>
        <v/>
      </c>
      <c r="AL1963" s="12" t="n"/>
      <c r="AM1963" s="14">
        <f>IF($AD1963="保留中",COUNTIF($AD$6:$AD1963,"保留中"),"")</f>
        <v/>
      </c>
      <c r="AN1963" s="14">
        <f>IF($AO1963="","",IF(SUMPRODUCT(MAX((職員マスタ!$A$6:$A$405=$B1963)*(((職員マスタ!$G$6:$G$405="")+(職員マスタ!$G$6:$G$405&lt;=EOMONTH($AO1963,0)))&gt;0)*(((職員マスタ!$H$6:$H$405="")+(職員マスタ!$H$6:$H$405&gt;=$AO1963))&gt;0)*(ROW(職員マスタ!$A$6:$A$405)-5)))&gt;0,SUMPRODUCT(MAX((職員マスタ!$A$6:$A$405=$B1963)*(((職員マスタ!$G$6:$G$405="")+(職員マスタ!$G$6:$G$405&lt;=EOMONTH($AO1963,0)))&gt;0)*(((職員マスタ!$H$6:$H$405="")+(職員マスタ!$H$6:$H$405&gt;=$AO1963))&gt;0)*(ROW(職員マスタ!$A$6:$A$405)-5))),IFERROR(MATCH($B1963,職員マスタ!$A$6:$A$405,0),"")))</f>
        <v/>
      </c>
      <c r="AO1963" s="16">
        <f>IF(OR($B1963="",$C1963="",$D1963=""),"",DATE($C1963+2018,$D1963,1))</f>
        <v/>
      </c>
    </row>
    <row r="1964">
      <c r="A1964" s="11" t="n"/>
      <c r="B1964" s="12" t="n"/>
      <c r="C1964" s="12" t="n"/>
      <c r="D1964" s="12" t="n"/>
      <c r="E1964" s="13" t="n"/>
      <c r="F1964" s="12" t="n"/>
      <c r="G1964" s="13" t="n"/>
      <c r="H1964" s="12" t="n"/>
      <c r="I1964" s="12" t="n"/>
      <c r="J1964" s="12" t="n"/>
      <c r="K1964" s="12" t="n"/>
      <c r="L1964" s="11" t="n"/>
      <c r="M1964" s="11" t="n"/>
      <c r="N1964" s="11" t="n"/>
      <c r="O1964" s="11" t="n"/>
      <c r="P1964" s="12" t="n"/>
      <c r="Q1964" s="11" t="n"/>
      <c r="R1964" s="12" t="n"/>
      <c r="S1964" s="11" t="n"/>
      <c r="T1964" s="12" t="n"/>
      <c r="U1964" s="12" t="n"/>
      <c r="V1964" s="14">
        <f>IF($AN1964="",IF($B1964="","",$H1964),IF(INDEX(職員マスタ!$B$6:$B$405,$AN1964)="",$H1964,INDEX(職員マスタ!$B$6:$B$405,$AN1964)))</f>
        <v/>
      </c>
      <c r="W1964" s="14">
        <f>IF($AN1964="",IF($B1964="","",$R1964),IF(INDEX(職員マスタ!$C$6:$C$405,$AN1964)="",$R1964,INDEX(職員マスタ!$C$6:$C$405,$AN1964)))</f>
        <v/>
      </c>
      <c r="X1964" s="14">
        <f>IF($AO1964="","","R"&amp;$C1964&amp;"."&amp;$D1964)</f>
        <v/>
      </c>
      <c r="Y1964" s="15">
        <f>IF($AN1964="","",IF(INDEX(職員マスタ!$K$6:$K$405,$AN1964)="","",INDEX(職員マスタ!$K$6:$K$405,$AN1964)))</f>
        <v/>
      </c>
      <c r="Z1964" s="14">
        <f>IF(OR($E1964="",$Y1964=""),"",IF($E1964&gt;=$Y1964,"×",IF($E1964&gt;=$Y1964*設定!$C$5,"△","○")))</f>
        <v/>
      </c>
      <c r="AA1964" s="15">
        <f>IF($Z1964="","",IF($Z1964="×",0,IF($Z1964="○",ROUNDDOWN($E1964*設定!$C$4,0),ROUNDDOWN($E1964*ROUND((9*$Y1964-9*$E1964)/(10*$E1964),4),0))))</f>
        <v/>
      </c>
      <c r="AB1964" s="13" t="n"/>
      <c r="AC1964" s="15">
        <f>IF($B1964="","",IF($AB1964&lt;&gt;"",$AB1964,IF($AA1964="","",IF($AA1964&lt;=設定!$C$3,0,$AA1964))))</f>
        <v/>
      </c>
      <c r="AD1964" s="14">
        <f>IF($B1964="","",IF(AND($AE1964&lt;&gt;"",$AG1964="",$AJ1964=""),"保留中",IF($AJ1964&lt;&gt;"",IF(N($AC1964)&gt;0,"支給済","不支給"),IF($AC1964="","要確認",IF($AC1964=0,"不支給","未処理")))))</f>
        <v/>
      </c>
      <c r="AE1964" s="12" t="n"/>
      <c r="AF1964" s="11" t="n"/>
      <c r="AG1964" s="11" t="n"/>
      <c r="AH1964" s="11" t="n"/>
      <c r="AI1964" s="14">
        <f>IF(AND($AD1964="保留中",$AF1964&lt;&gt;""),TODAY()-$AF1964,"")</f>
        <v/>
      </c>
      <c r="AJ1964" s="12" t="n"/>
      <c r="AK1964" s="14">
        <f>IF($B1964="","",IF($AO1964="","対象年月が未入力／","")&amp;IF($B1964="","",IF($AN1964="","職員マスタに未登録の職員番号／",IF($Y1964="","標準報酬月額が未登録／","")&amp;IF(AND($AO1964&lt;&gt;"",OR(AND(INDEX(職員マスタ!$G$6:$G$405,$AN1964)&lt;&gt;"",INDEX(職員マスタ!$G$6:$G$405,$AN1964)&gt;EOMONTH($AO1964,0)),AND(INDEX(職員マスタ!$H$6:$H$405,$AN1964)&lt;&gt;"",INDEX(職員マスタ!$H$6:$H$405,$AN1964)&lt;$AO1964))),"対象月が時短期間外／","")&amp;IF(AND(INDEX(職員マスタ!$F$6:$F$405,$AN1964)&lt;&gt;"",$AO1964&lt;&gt;"",INDEX(職員マスタ!$F$6:$F$405,$AN1964)&lt;$AO1964),"対象月に子が2歳到達済／","")&amp;IF(AND($H1964&lt;&gt;"",INDEX(職員マスタ!$B$6:$B$405,$AN1964)&lt;&gt;"",SUBSTITUTE(SUBSTITUTE($H1964," ","")," ","")&lt;&gt;SUBSTITUTE(SUBSTITUTE(INDEX(職員マスタ!$B$6:$B$405,$AN1964)," ","")," ","")),"氏名がマスタと相違／","")&amp;IF(AND($Q1964&lt;&gt;"",INDEX(職員マスタ!$E$6:$E$405,$AN1964)&lt;&gt;"",$Q1964&lt;&gt;INDEX(職員マスタ!$E$6:$E$405,$AN1964)),"子の生年月日がマスタと相違／","")&amp;IF(AND($L1964&lt;&gt;"",INDEX(職員マスタ!$G$6:$G$405,$AN1964)&lt;&gt;"",$L1964&lt;&gt;INDEX(職員マスタ!$G$6:$G$405,$AN1964)),"時短開始日がマスタと相違／","")&amp;IF(AND($M1964&lt;&gt;"",INDEX(職員マスタ!$H$6:$H$405,$AN1964)&lt;&gt;"",$M1964&lt;&gt;INDEX(職員マスタ!$H$6:$H$405,$AN1964)),"時短終了日がマスタと相違／","")))&amp;IF(AND($B1964&lt;&gt;"",$E1964=""),"報酬額が未入力／","")&amp;IF(N($U1964)&gt;0,"申請書に入力エラーが残っています／","")&amp;IF(AND($B1964&lt;&gt;"",$AO1964&lt;&gt;""),IF(COUNTIFS($B$6:$B$3005,$B1964,$C$6:$C$3005,$C1964,$D$6:$D$3005,$D1964)&gt;1,"同じ月の請求が重複しています／",""),"")&amp;IF(AND(N($E1964)&gt;0,$Z1964&lt;&gt;"",$Z1964&lt;&gt;"×",$AC1964=0,$AB1964=""),"計算額が下限以下のため不支給／",""))</f>
        <v/>
      </c>
      <c r="AL1964" s="12" t="n"/>
      <c r="AM1964" s="14">
        <f>IF($AD1964="保留中",COUNTIF($AD$6:$AD1964,"保留中"),"")</f>
        <v/>
      </c>
      <c r="AN1964" s="14">
        <f>IF($AO1964="","",IF(SUMPRODUCT(MAX((職員マスタ!$A$6:$A$405=$B1964)*(((職員マスタ!$G$6:$G$405="")+(職員マスタ!$G$6:$G$405&lt;=EOMONTH($AO1964,0)))&gt;0)*(((職員マスタ!$H$6:$H$405="")+(職員マスタ!$H$6:$H$405&gt;=$AO1964))&gt;0)*(ROW(職員マスタ!$A$6:$A$405)-5)))&gt;0,SUMPRODUCT(MAX((職員マスタ!$A$6:$A$405=$B1964)*(((職員マスタ!$G$6:$G$405="")+(職員マスタ!$G$6:$G$405&lt;=EOMONTH($AO1964,0)))&gt;0)*(((職員マスタ!$H$6:$H$405="")+(職員マスタ!$H$6:$H$405&gt;=$AO1964))&gt;0)*(ROW(職員マスタ!$A$6:$A$405)-5))),IFERROR(MATCH($B1964,職員マスタ!$A$6:$A$405,0),"")))</f>
        <v/>
      </c>
      <c r="AO1964" s="16">
        <f>IF(OR($B1964="",$C1964="",$D1964=""),"",DATE($C1964+2018,$D1964,1))</f>
        <v/>
      </c>
    </row>
    <row r="1965">
      <c r="A1965" s="11" t="n"/>
      <c r="B1965" s="12" t="n"/>
      <c r="C1965" s="12" t="n"/>
      <c r="D1965" s="12" t="n"/>
      <c r="E1965" s="13" t="n"/>
      <c r="F1965" s="12" t="n"/>
      <c r="G1965" s="13" t="n"/>
      <c r="H1965" s="12" t="n"/>
      <c r="I1965" s="12" t="n"/>
      <c r="J1965" s="12" t="n"/>
      <c r="K1965" s="12" t="n"/>
      <c r="L1965" s="11" t="n"/>
      <c r="M1965" s="11" t="n"/>
      <c r="N1965" s="11" t="n"/>
      <c r="O1965" s="11" t="n"/>
      <c r="P1965" s="12" t="n"/>
      <c r="Q1965" s="11" t="n"/>
      <c r="R1965" s="12" t="n"/>
      <c r="S1965" s="11" t="n"/>
      <c r="T1965" s="12" t="n"/>
      <c r="U1965" s="12" t="n"/>
      <c r="V1965" s="14">
        <f>IF($AN1965="",IF($B1965="","",$H1965),IF(INDEX(職員マスタ!$B$6:$B$405,$AN1965)="",$H1965,INDEX(職員マスタ!$B$6:$B$405,$AN1965)))</f>
        <v/>
      </c>
      <c r="W1965" s="14">
        <f>IF($AN1965="",IF($B1965="","",$R1965),IF(INDEX(職員マスタ!$C$6:$C$405,$AN1965)="",$R1965,INDEX(職員マスタ!$C$6:$C$405,$AN1965)))</f>
        <v/>
      </c>
      <c r="X1965" s="14">
        <f>IF($AO1965="","","R"&amp;$C1965&amp;"."&amp;$D1965)</f>
        <v/>
      </c>
      <c r="Y1965" s="15">
        <f>IF($AN1965="","",IF(INDEX(職員マスタ!$K$6:$K$405,$AN1965)="","",INDEX(職員マスタ!$K$6:$K$405,$AN1965)))</f>
        <v/>
      </c>
      <c r="Z1965" s="14">
        <f>IF(OR($E1965="",$Y1965=""),"",IF($E1965&gt;=$Y1965,"×",IF($E1965&gt;=$Y1965*設定!$C$5,"△","○")))</f>
        <v/>
      </c>
      <c r="AA1965" s="15">
        <f>IF($Z1965="","",IF($Z1965="×",0,IF($Z1965="○",ROUNDDOWN($E1965*設定!$C$4,0),ROUNDDOWN($E1965*ROUND((9*$Y1965-9*$E1965)/(10*$E1965),4),0))))</f>
        <v/>
      </c>
      <c r="AB1965" s="13" t="n"/>
      <c r="AC1965" s="15">
        <f>IF($B1965="","",IF($AB1965&lt;&gt;"",$AB1965,IF($AA1965="","",IF($AA1965&lt;=設定!$C$3,0,$AA1965))))</f>
        <v/>
      </c>
      <c r="AD1965" s="14">
        <f>IF($B1965="","",IF(AND($AE1965&lt;&gt;"",$AG1965="",$AJ1965=""),"保留中",IF($AJ1965&lt;&gt;"",IF(N($AC1965)&gt;0,"支給済","不支給"),IF($AC1965="","要確認",IF($AC1965=0,"不支給","未処理")))))</f>
        <v/>
      </c>
      <c r="AE1965" s="12" t="n"/>
      <c r="AF1965" s="11" t="n"/>
      <c r="AG1965" s="11" t="n"/>
      <c r="AH1965" s="11" t="n"/>
      <c r="AI1965" s="14">
        <f>IF(AND($AD1965="保留中",$AF1965&lt;&gt;""),TODAY()-$AF1965,"")</f>
        <v/>
      </c>
      <c r="AJ1965" s="12" t="n"/>
      <c r="AK1965" s="14">
        <f>IF($B1965="","",IF($AO1965="","対象年月が未入力／","")&amp;IF($B1965="","",IF($AN1965="","職員マスタに未登録の職員番号／",IF($Y1965="","標準報酬月額が未登録／","")&amp;IF(AND($AO1965&lt;&gt;"",OR(AND(INDEX(職員マスタ!$G$6:$G$405,$AN1965)&lt;&gt;"",INDEX(職員マスタ!$G$6:$G$405,$AN1965)&gt;EOMONTH($AO1965,0)),AND(INDEX(職員マスタ!$H$6:$H$405,$AN1965)&lt;&gt;"",INDEX(職員マスタ!$H$6:$H$405,$AN1965)&lt;$AO1965))),"対象月が時短期間外／","")&amp;IF(AND(INDEX(職員マスタ!$F$6:$F$405,$AN1965)&lt;&gt;"",$AO1965&lt;&gt;"",INDEX(職員マスタ!$F$6:$F$405,$AN1965)&lt;$AO1965),"対象月に子が2歳到達済／","")&amp;IF(AND($H1965&lt;&gt;"",INDEX(職員マスタ!$B$6:$B$405,$AN1965)&lt;&gt;"",SUBSTITUTE(SUBSTITUTE($H1965," ","")," ","")&lt;&gt;SUBSTITUTE(SUBSTITUTE(INDEX(職員マスタ!$B$6:$B$405,$AN1965)," ","")," ","")),"氏名がマスタと相違／","")&amp;IF(AND($Q1965&lt;&gt;"",INDEX(職員マスタ!$E$6:$E$405,$AN1965)&lt;&gt;"",$Q1965&lt;&gt;INDEX(職員マスタ!$E$6:$E$405,$AN1965)),"子の生年月日がマスタと相違／","")&amp;IF(AND($L1965&lt;&gt;"",INDEX(職員マスタ!$G$6:$G$405,$AN1965)&lt;&gt;"",$L1965&lt;&gt;INDEX(職員マスタ!$G$6:$G$405,$AN1965)),"時短開始日がマスタと相違／","")&amp;IF(AND($M1965&lt;&gt;"",INDEX(職員マスタ!$H$6:$H$405,$AN1965)&lt;&gt;"",$M1965&lt;&gt;INDEX(職員マスタ!$H$6:$H$405,$AN1965)),"時短終了日がマスタと相違／","")))&amp;IF(AND($B1965&lt;&gt;"",$E1965=""),"報酬額が未入力／","")&amp;IF(N($U1965)&gt;0,"申請書に入力エラーが残っています／","")&amp;IF(AND($B1965&lt;&gt;"",$AO1965&lt;&gt;""),IF(COUNTIFS($B$6:$B$3005,$B1965,$C$6:$C$3005,$C1965,$D$6:$D$3005,$D1965)&gt;1,"同じ月の請求が重複しています／",""),"")&amp;IF(AND(N($E1965)&gt;0,$Z1965&lt;&gt;"",$Z1965&lt;&gt;"×",$AC1965=0,$AB1965=""),"計算額が下限以下のため不支給／",""))</f>
        <v/>
      </c>
      <c r="AL1965" s="12" t="n"/>
      <c r="AM1965" s="14">
        <f>IF($AD1965="保留中",COUNTIF($AD$6:$AD1965,"保留中"),"")</f>
        <v/>
      </c>
      <c r="AN1965" s="14">
        <f>IF($AO1965="","",IF(SUMPRODUCT(MAX((職員マスタ!$A$6:$A$405=$B1965)*(((職員マスタ!$G$6:$G$405="")+(職員マスタ!$G$6:$G$405&lt;=EOMONTH($AO1965,0)))&gt;0)*(((職員マスタ!$H$6:$H$405="")+(職員マスタ!$H$6:$H$405&gt;=$AO1965))&gt;0)*(ROW(職員マスタ!$A$6:$A$405)-5)))&gt;0,SUMPRODUCT(MAX((職員マスタ!$A$6:$A$405=$B1965)*(((職員マスタ!$G$6:$G$405="")+(職員マスタ!$G$6:$G$405&lt;=EOMONTH($AO1965,0)))&gt;0)*(((職員マスタ!$H$6:$H$405="")+(職員マスタ!$H$6:$H$405&gt;=$AO1965))&gt;0)*(ROW(職員マスタ!$A$6:$A$405)-5))),IFERROR(MATCH($B1965,職員マスタ!$A$6:$A$405,0),"")))</f>
        <v/>
      </c>
      <c r="AO1965" s="16">
        <f>IF(OR($B1965="",$C1965="",$D1965=""),"",DATE($C1965+2018,$D1965,1))</f>
        <v/>
      </c>
    </row>
    <row r="1966">
      <c r="A1966" s="11" t="n"/>
      <c r="B1966" s="12" t="n"/>
      <c r="C1966" s="12" t="n"/>
      <c r="D1966" s="12" t="n"/>
      <c r="E1966" s="13" t="n"/>
      <c r="F1966" s="12" t="n"/>
      <c r="G1966" s="13" t="n"/>
      <c r="H1966" s="12" t="n"/>
      <c r="I1966" s="12" t="n"/>
      <c r="J1966" s="12" t="n"/>
      <c r="K1966" s="12" t="n"/>
      <c r="L1966" s="11" t="n"/>
      <c r="M1966" s="11" t="n"/>
      <c r="N1966" s="11" t="n"/>
      <c r="O1966" s="11" t="n"/>
      <c r="P1966" s="12" t="n"/>
      <c r="Q1966" s="11" t="n"/>
      <c r="R1966" s="12" t="n"/>
      <c r="S1966" s="11" t="n"/>
      <c r="T1966" s="12" t="n"/>
      <c r="U1966" s="12" t="n"/>
      <c r="V1966" s="14">
        <f>IF($AN1966="",IF($B1966="","",$H1966),IF(INDEX(職員マスタ!$B$6:$B$405,$AN1966)="",$H1966,INDEX(職員マスタ!$B$6:$B$405,$AN1966)))</f>
        <v/>
      </c>
      <c r="W1966" s="14">
        <f>IF($AN1966="",IF($B1966="","",$R1966),IF(INDEX(職員マスタ!$C$6:$C$405,$AN1966)="",$R1966,INDEX(職員マスタ!$C$6:$C$405,$AN1966)))</f>
        <v/>
      </c>
      <c r="X1966" s="14">
        <f>IF($AO1966="","","R"&amp;$C1966&amp;"."&amp;$D1966)</f>
        <v/>
      </c>
      <c r="Y1966" s="15">
        <f>IF($AN1966="","",IF(INDEX(職員マスタ!$K$6:$K$405,$AN1966)="","",INDEX(職員マスタ!$K$6:$K$405,$AN1966)))</f>
        <v/>
      </c>
      <c r="Z1966" s="14">
        <f>IF(OR($E1966="",$Y1966=""),"",IF($E1966&gt;=$Y1966,"×",IF($E1966&gt;=$Y1966*設定!$C$5,"△","○")))</f>
        <v/>
      </c>
      <c r="AA1966" s="15">
        <f>IF($Z1966="","",IF($Z1966="×",0,IF($Z1966="○",ROUNDDOWN($E1966*設定!$C$4,0),ROUNDDOWN($E1966*ROUND((9*$Y1966-9*$E1966)/(10*$E1966),4),0))))</f>
        <v/>
      </c>
      <c r="AB1966" s="13" t="n"/>
      <c r="AC1966" s="15">
        <f>IF($B1966="","",IF($AB1966&lt;&gt;"",$AB1966,IF($AA1966="","",IF($AA1966&lt;=設定!$C$3,0,$AA1966))))</f>
        <v/>
      </c>
      <c r="AD1966" s="14">
        <f>IF($B1966="","",IF(AND($AE1966&lt;&gt;"",$AG1966="",$AJ1966=""),"保留中",IF($AJ1966&lt;&gt;"",IF(N($AC1966)&gt;0,"支給済","不支給"),IF($AC1966="","要確認",IF($AC1966=0,"不支給","未処理")))))</f>
        <v/>
      </c>
      <c r="AE1966" s="12" t="n"/>
      <c r="AF1966" s="11" t="n"/>
      <c r="AG1966" s="11" t="n"/>
      <c r="AH1966" s="11" t="n"/>
      <c r="AI1966" s="14">
        <f>IF(AND($AD1966="保留中",$AF1966&lt;&gt;""),TODAY()-$AF1966,"")</f>
        <v/>
      </c>
      <c r="AJ1966" s="12" t="n"/>
      <c r="AK1966" s="14">
        <f>IF($B1966="","",IF($AO1966="","対象年月が未入力／","")&amp;IF($B1966="","",IF($AN1966="","職員マスタに未登録の職員番号／",IF($Y1966="","標準報酬月額が未登録／","")&amp;IF(AND($AO1966&lt;&gt;"",OR(AND(INDEX(職員マスタ!$G$6:$G$405,$AN1966)&lt;&gt;"",INDEX(職員マスタ!$G$6:$G$405,$AN1966)&gt;EOMONTH($AO1966,0)),AND(INDEX(職員マスタ!$H$6:$H$405,$AN1966)&lt;&gt;"",INDEX(職員マスタ!$H$6:$H$405,$AN1966)&lt;$AO1966))),"対象月が時短期間外／","")&amp;IF(AND(INDEX(職員マスタ!$F$6:$F$405,$AN1966)&lt;&gt;"",$AO1966&lt;&gt;"",INDEX(職員マスタ!$F$6:$F$405,$AN1966)&lt;$AO1966),"対象月に子が2歳到達済／","")&amp;IF(AND($H1966&lt;&gt;"",INDEX(職員マスタ!$B$6:$B$405,$AN1966)&lt;&gt;"",SUBSTITUTE(SUBSTITUTE($H1966," ","")," ","")&lt;&gt;SUBSTITUTE(SUBSTITUTE(INDEX(職員マスタ!$B$6:$B$405,$AN1966)," ","")," ","")),"氏名がマスタと相違／","")&amp;IF(AND($Q1966&lt;&gt;"",INDEX(職員マスタ!$E$6:$E$405,$AN1966)&lt;&gt;"",$Q1966&lt;&gt;INDEX(職員マスタ!$E$6:$E$405,$AN1966)),"子の生年月日がマスタと相違／","")&amp;IF(AND($L1966&lt;&gt;"",INDEX(職員マスタ!$G$6:$G$405,$AN1966)&lt;&gt;"",$L1966&lt;&gt;INDEX(職員マスタ!$G$6:$G$405,$AN1966)),"時短開始日がマスタと相違／","")&amp;IF(AND($M1966&lt;&gt;"",INDEX(職員マスタ!$H$6:$H$405,$AN1966)&lt;&gt;"",$M1966&lt;&gt;INDEX(職員マスタ!$H$6:$H$405,$AN1966)),"時短終了日がマスタと相違／","")))&amp;IF(AND($B1966&lt;&gt;"",$E1966=""),"報酬額が未入力／","")&amp;IF(N($U1966)&gt;0,"申請書に入力エラーが残っています／","")&amp;IF(AND($B1966&lt;&gt;"",$AO1966&lt;&gt;""),IF(COUNTIFS($B$6:$B$3005,$B1966,$C$6:$C$3005,$C1966,$D$6:$D$3005,$D1966)&gt;1,"同じ月の請求が重複しています／",""),"")&amp;IF(AND(N($E1966)&gt;0,$Z1966&lt;&gt;"",$Z1966&lt;&gt;"×",$AC1966=0,$AB1966=""),"計算額が下限以下のため不支給／",""))</f>
        <v/>
      </c>
      <c r="AL1966" s="12" t="n"/>
      <c r="AM1966" s="14">
        <f>IF($AD1966="保留中",COUNTIF($AD$6:$AD1966,"保留中"),"")</f>
        <v/>
      </c>
      <c r="AN1966" s="14">
        <f>IF($AO1966="","",IF(SUMPRODUCT(MAX((職員マスタ!$A$6:$A$405=$B1966)*(((職員マスタ!$G$6:$G$405="")+(職員マスタ!$G$6:$G$405&lt;=EOMONTH($AO1966,0)))&gt;0)*(((職員マスタ!$H$6:$H$405="")+(職員マスタ!$H$6:$H$405&gt;=$AO1966))&gt;0)*(ROW(職員マスタ!$A$6:$A$405)-5)))&gt;0,SUMPRODUCT(MAX((職員マスタ!$A$6:$A$405=$B1966)*(((職員マスタ!$G$6:$G$405="")+(職員マスタ!$G$6:$G$405&lt;=EOMONTH($AO1966,0)))&gt;0)*(((職員マスタ!$H$6:$H$405="")+(職員マスタ!$H$6:$H$405&gt;=$AO1966))&gt;0)*(ROW(職員マスタ!$A$6:$A$405)-5))),IFERROR(MATCH($B1966,職員マスタ!$A$6:$A$405,0),"")))</f>
        <v/>
      </c>
      <c r="AO1966" s="16">
        <f>IF(OR($B1966="",$C1966="",$D1966=""),"",DATE($C1966+2018,$D1966,1))</f>
        <v/>
      </c>
    </row>
    <row r="1967">
      <c r="A1967" s="11" t="n"/>
      <c r="B1967" s="12" t="n"/>
      <c r="C1967" s="12" t="n"/>
      <c r="D1967" s="12" t="n"/>
      <c r="E1967" s="13" t="n"/>
      <c r="F1967" s="12" t="n"/>
      <c r="G1967" s="13" t="n"/>
      <c r="H1967" s="12" t="n"/>
      <c r="I1967" s="12" t="n"/>
      <c r="J1967" s="12" t="n"/>
      <c r="K1967" s="12" t="n"/>
      <c r="L1967" s="11" t="n"/>
      <c r="M1967" s="11" t="n"/>
      <c r="N1967" s="11" t="n"/>
      <c r="O1967" s="11" t="n"/>
      <c r="P1967" s="12" t="n"/>
      <c r="Q1967" s="11" t="n"/>
      <c r="R1967" s="12" t="n"/>
      <c r="S1967" s="11" t="n"/>
      <c r="T1967" s="12" t="n"/>
      <c r="U1967" s="12" t="n"/>
      <c r="V1967" s="14">
        <f>IF($AN1967="",IF($B1967="","",$H1967),IF(INDEX(職員マスタ!$B$6:$B$405,$AN1967)="",$H1967,INDEX(職員マスタ!$B$6:$B$405,$AN1967)))</f>
        <v/>
      </c>
      <c r="W1967" s="14">
        <f>IF($AN1967="",IF($B1967="","",$R1967),IF(INDEX(職員マスタ!$C$6:$C$405,$AN1967)="",$R1967,INDEX(職員マスタ!$C$6:$C$405,$AN1967)))</f>
        <v/>
      </c>
      <c r="X1967" s="14">
        <f>IF($AO1967="","","R"&amp;$C1967&amp;"."&amp;$D1967)</f>
        <v/>
      </c>
      <c r="Y1967" s="15">
        <f>IF($AN1967="","",IF(INDEX(職員マスタ!$K$6:$K$405,$AN1967)="","",INDEX(職員マスタ!$K$6:$K$405,$AN1967)))</f>
        <v/>
      </c>
      <c r="Z1967" s="14">
        <f>IF(OR($E1967="",$Y1967=""),"",IF($E1967&gt;=$Y1967,"×",IF($E1967&gt;=$Y1967*設定!$C$5,"△","○")))</f>
        <v/>
      </c>
      <c r="AA1967" s="15">
        <f>IF($Z1967="","",IF($Z1967="×",0,IF($Z1967="○",ROUNDDOWN($E1967*設定!$C$4,0),ROUNDDOWN($E1967*ROUND((9*$Y1967-9*$E1967)/(10*$E1967),4),0))))</f>
        <v/>
      </c>
      <c r="AB1967" s="13" t="n"/>
      <c r="AC1967" s="15">
        <f>IF($B1967="","",IF($AB1967&lt;&gt;"",$AB1967,IF($AA1967="","",IF($AA1967&lt;=設定!$C$3,0,$AA1967))))</f>
        <v/>
      </c>
      <c r="AD1967" s="14">
        <f>IF($B1967="","",IF(AND($AE1967&lt;&gt;"",$AG1967="",$AJ1967=""),"保留中",IF($AJ1967&lt;&gt;"",IF(N($AC1967)&gt;0,"支給済","不支給"),IF($AC1967="","要確認",IF($AC1967=0,"不支給","未処理")))))</f>
        <v/>
      </c>
      <c r="AE1967" s="12" t="n"/>
      <c r="AF1967" s="11" t="n"/>
      <c r="AG1967" s="11" t="n"/>
      <c r="AH1967" s="11" t="n"/>
      <c r="AI1967" s="14">
        <f>IF(AND($AD1967="保留中",$AF1967&lt;&gt;""),TODAY()-$AF1967,"")</f>
        <v/>
      </c>
      <c r="AJ1967" s="12" t="n"/>
      <c r="AK1967" s="14">
        <f>IF($B1967="","",IF($AO1967="","対象年月が未入力／","")&amp;IF($B1967="","",IF($AN1967="","職員マスタに未登録の職員番号／",IF($Y1967="","標準報酬月額が未登録／","")&amp;IF(AND($AO1967&lt;&gt;"",OR(AND(INDEX(職員マスタ!$G$6:$G$405,$AN1967)&lt;&gt;"",INDEX(職員マスタ!$G$6:$G$405,$AN1967)&gt;EOMONTH($AO1967,0)),AND(INDEX(職員マスタ!$H$6:$H$405,$AN1967)&lt;&gt;"",INDEX(職員マスタ!$H$6:$H$405,$AN1967)&lt;$AO1967))),"対象月が時短期間外／","")&amp;IF(AND(INDEX(職員マスタ!$F$6:$F$405,$AN1967)&lt;&gt;"",$AO1967&lt;&gt;"",INDEX(職員マスタ!$F$6:$F$405,$AN1967)&lt;$AO1967),"対象月に子が2歳到達済／","")&amp;IF(AND($H1967&lt;&gt;"",INDEX(職員マスタ!$B$6:$B$405,$AN1967)&lt;&gt;"",SUBSTITUTE(SUBSTITUTE($H1967," ","")," ","")&lt;&gt;SUBSTITUTE(SUBSTITUTE(INDEX(職員マスタ!$B$6:$B$405,$AN1967)," ","")," ","")),"氏名がマスタと相違／","")&amp;IF(AND($Q1967&lt;&gt;"",INDEX(職員マスタ!$E$6:$E$405,$AN1967)&lt;&gt;"",$Q1967&lt;&gt;INDEX(職員マスタ!$E$6:$E$405,$AN1967)),"子の生年月日がマスタと相違／","")&amp;IF(AND($L1967&lt;&gt;"",INDEX(職員マスタ!$G$6:$G$405,$AN1967)&lt;&gt;"",$L1967&lt;&gt;INDEX(職員マスタ!$G$6:$G$405,$AN1967)),"時短開始日がマスタと相違／","")&amp;IF(AND($M1967&lt;&gt;"",INDEX(職員マスタ!$H$6:$H$405,$AN1967)&lt;&gt;"",$M1967&lt;&gt;INDEX(職員マスタ!$H$6:$H$405,$AN1967)),"時短終了日がマスタと相違／","")))&amp;IF(AND($B1967&lt;&gt;"",$E1967=""),"報酬額が未入力／","")&amp;IF(N($U1967)&gt;0,"申請書に入力エラーが残っています／","")&amp;IF(AND($B1967&lt;&gt;"",$AO1967&lt;&gt;""),IF(COUNTIFS($B$6:$B$3005,$B1967,$C$6:$C$3005,$C1967,$D$6:$D$3005,$D1967)&gt;1,"同じ月の請求が重複しています／",""),"")&amp;IF(AND(N($E1967)&gt;0,$Z1967&lt;&gt;"",$Z1967&lt;&gt;"×",$AC1967=0,$AB1967=""),"計算額が下限以下のため不支給／",""))</f>
        <v/>
      </c>
      <c r="AL1967" s="12" t="n"/>
      <c r="AM1967" s="14">
        <f>IF($AD1967="保留中",COUNTIF($AD$6:$AD1967,"保留中"),"")</f>
        <v/>
      </c>
      <c r="AN1967" s="14">
        <f>IF($AO1967="","",IF(SUMPRODUCT(MAX((職員マスタ!$A$6:$A$405=$B1967)*(((職員マスタ!$G$6:$G$405="")+(職員マスタ!$G$6:$G$405&lt;=EOMONTH($AO1967,0)))&gt;0)*(((職員マスタ!$H$6:$H$405="")+(職員マスタ!$H$6:$H$405&gt;=$AO1967))&gt;0)*(ROW(職員マスタ!$A$6:$A$405)-5)))&gt;0,SUMPRODUCT(MAX((職員マスタ!$A$6:$A$405=$B1967)*(((職員マスタ!$G$6:$G$405="")+(職員マスタ!$G$6:$G$405&lt;=EOMONTH($AO1967,0)))&gt;0)*(((職員マスタ!$H$6:$H$405="")+(職員マスタ!$H$6:$H$405&gt;=$AO1967))&gt;0)*(ROW(職員マスタ!$A$6:$A$405)-5))),IFERROR(MATCH($B1967,職員マスタ!$A$6:$A$405,0),"")))</f>
        <v/>
      </c>
      <c r="AO1967" s="16">
        <f>IF(OR($B1967="",$C1967="",$D1967=""),"",DATE($C1967+2018,$D1967,1))</f>
        <v/>
      </c>
    </row>
    <row r="1968">
      <c r="A1968" s="11" t="n"/>
      <c r="B1968" s="12" t="n"/>
      <c r="C1968" s="12" t="n"/>
      <c r="D1968" s="12" t="n"/>
      <c r="E1968" s="13" t="n"/>
      <c r="F1968" s="12" t="n"/>
      <c r="G1968" s="13" t="n"/>
      <c r="H1968" s="12" t="n"/>
      <c r="I1968" s="12" t="n"/>
      <c r="J1968" s="12" t="n"/>
      <c r="K1968" s="12" t="n"/>
      <c r="L1968" s="11" t="n"/>
      <c r="M1968" s="11" t="n"/>
      <c r="N1968" s="11" t="n"/>
      <c r="O1968" s="11" t="n"/>
      <c r="P1968" s="12" t="n"/>
      <c r="Q1968" s="11" t="n"/>
      <c r="R1968" s="12" t="n"/>
      <c r="S1968" s="11" t="n"/>
      <c r="T1968" s="12" t="n"/>
      <c r="U1968" s="12" t="n"/>
      <c r="V1968" s="14">
        <f>IF($AN1968="",IF($B1968="","",$H1968),IF(INDEX(職員マスタ!$B$6:$B$405,$AN1968)="",$H1968,INDEX(職員マスタ!$B$6:$B$405,$AN1968)))</f>
        <v/>
      </c>
      <c r="W1968" s="14">
        <f>IF($AN1968="",IF($B1968="","",$R1968),IF(INDEX(職員マスタ!$C$6:$C$405,$AN1968)="",$R1968,INDEX(職員マスタ!$C$6:$C$405,$AN1968)))</f>
        <v/>
      </c>
      <c r="X1968" s="14">
        <f>IF($AO1968="","","R"&amp;$C1968&amp;"."&amp;$D1968)</f>
        <v/>
      </c>
      <c r="Y1968" s="15">
        <f>IF($AN1968="","",IF(INDEX(職員マスタ!$K$6:$K$405,$AN1968)="","",INDEX(職員マスタ!$K$6:$K$405,$AN1968)))</f>
        <v/>
      </c>
      <c r="Z1968" s="14">
        <f>IF(OR($E1968="",$Y1968=""),"",IF($E1968&gt;=$Y1968,"×",IF($E1968&gt;=$Y1968*設定!$C$5,"△","○")))</f>
        <v/>
      </c>
      <c r="AA1968" s="15">
        <f>IF($Z1968="","",IF($Z1968="×",0,IF($Z1968="○",ROUNDDOWN($E1968*設定!$C$4,0),ROUNDDOWN($E1968*ROUND((9*$Y1968-9*$E1968)/(10*$E1968),4),0))))</f>
        <v/>
      </c>
      <c r="AB1968" s="13" t="n"/>
      <c r="AC1968" s="15">
        <f>IF($B1968="","",IF($AB1968&lt;&gt;"",$AB1968,IF($AA1968="","",IF($AA1968&lt;=設定!$C$3,0,$AA1968))))</f>
        <v/>
      </c>
      <c r="AD1968" s="14">
        <f>IF($B1968="","",IF(AND($AE1968&lt;&gt;"",$AG1968="",$AJ1968=""),"保留中",IF($AJ1968&lt;&gt;"",IF(N($AC1968)&gt;0,"支給済","不支給"),IF($AC1968="","要確認",IF($AC1968=0,"不支給","未処理")))))</f>
        <v/>
      </c>
      <c r="AE1968" s="12" t="n"/>
      <c r="AF1968" s="11" t="n"/>
      <c r="AG1968" s="11" t="n"/>
      <c r="AH1968" s="11" t="n"/>
      <c r="AI1968" s="14">
        <f>IF(AND($AD1968="保留中",$AF1968&lt;&gt;""),TODAY()-$AF1968,"")</f>
        <v/>
      </c>
      <c r="AJ1968" s="12" t="n"/>
      <c r="AK1968" s="14">
        <f>IF($B1968="","",IF($AO1968="","対象年月が未入力／","")&amp;IF($B1968="","",IF($AN1968="","職員マスタに未登録の職員番号／",IF($Y1968="","標準報酬月額が未登録／","")&amp;IF(AND($AO1968&lt;&gt;"",OR(AND(INDEX(職員マスタ!$G$6:$G$405,$AN1968)&lt;&gt;"",INDEX(職員マスタ!$G$6:$G$405,$AN1968)&gt;EOMONTH($AO1968,0)),AND(INDEX(職員マスタ!$H$6:$H$405,$AN1968)&lt;&gt;"",INDEX(職員マスタ!$H$6:$H$405,$AN1968)&lt;$AO1968))),"対象月が時短期間外／","")&amp;IF(AND(INDEX(職員マスタ!$F$6:$F$405,$AN1968)&lt;&gt;"",$AO1968&lt;&gt;"",INDEX(職員マスタ!$F$6:$F$405,$AN1968)&lt;$AO1968),"対象月に子が2歳到達済／","")&amp;IF(AND($H1968&lt;&gt;"",INDEX(職員マスタ!$B$6:$B$405,$AN1968)&lt;&gt;"",SUBSTITUTE(SUBSTITUTE($H1968," ","")," ","")&lt;&gt;SUBSTITUTE(SUBSTITUTE(INDEX(職員マスタ!$B$6:$B$405,$AN1968)," ","")," ","")),"氏名がマスタと相違／","")&amp;IF(AND($Q1968&lt;&gt;"",INDEX(職員マスタ!$E$6:$E$405,$AN1968)&lt;&gt;"",$Q1968&lt;&gt;INDEX(職員マスタ!$E$6:$E$405,$AN1968)),"子の生年月日がマスタと相違／","")&amp;IF(AND($L1968&lt;&gt;"",INDEX(職員マスタ!$G$6:$G$405,$AN1968)&lt;&gt;"",$L1968&lt;&gt;INDEX(職員マスタ!$G$6:$G$405,$AN1968)),"時短開始日がマスタと相違／","")&amp;IF(AND($M1968&lt;&gt;"",INDEX(職員マスタ!$H$6:$H$405,$AN1968)&lt;&gt;"",$M1968&lt;&gt;INDEX(職員マスタ!$H$6:$H$405,$AN1968)),"時短終了日がマスタと相違／","")))&amp;IF(AND($B1968&lt;&gt;"",$E1968=""),"報酬額が未入力／","")&amp;IF(N($U1968)&gt;0,"申請書に入力エラーが残っています／","")&amp;IF(AND($B1968&lt;&gt;"",$AO1968&lt;&gt;""),IF(COUNTIFS($B$6:$B$3005,$B1968,$C$6:$C$3005,$C1968,$D$6:$D$3005,$D1968)&gt;1,"同じ月の請求が重複しています／",""),"")&amp;IF(AND(N($E1968)&gt;0,$Z1968&lt;&gt;"",$Z1968&lt;&gt;"×",$AC1968=0,$AB1968=""),"計算額が下限以下のため不支給／",""))</f>
        <v/>
      </c>
      <c r="AL1968" s="12" t="n"/>
      <c r="AM1968" s="14">
        <f>IF($AD1968="保留中",COUNTIF($AD$6:$AD1968,"保留中"),"")</f>
        <v/>
      </c>
      <c r="AN1968" s="14">
        <f>IF($AO1968="","",IF(SUMPRODUCT(MAX((職員マスタ!$A$6:$A$405=$B1968)*(((職員マスタ!$G$6:$G$405="")+(職員マスタ!$G$6:$G$405&lt;=EOMONTH($AO1968,0)))&gt;0)*(((職員マスタ!$H$6:$H$405="")+(職員マスタ!$H$6:$H$405&gt;=$AO1968))&gt;0)*(ROW(職員マスタ!$A$6:$A$405)-5)))&gt;0,SUMPRODUCT(MAX((職員マスタ!$A$6:$A$405=$B1968)*(((職員マスタ!$G$6:$G$405="")+(職員マスタ!$G$6:$G$405&lt;=EOMONTH($AO1968,0)))&gt;0)*(((職員マスタ!$H$6:$H$405="")+(職員マスタ!$H$6:$H$405&gt;=$AO1968))&gt;0)*(ROW(職員マスタ!$A$6:$A$405)-5))),IFERROR(MATCH($B1968,職員マスタ!$A$6:$A$405,0),"")))</f>
        <v/>
      </c>
      <c r="AO1968" s="16">
        <f>IF(OR($B1968="",$C1968="",$D1968=""),"",DATE($C1968+2018,$D1968,1))</f>
        <v/>
      </c>
    </row>
    <row r="1969">
      <c r="A1969" s="11" t="n"/>
      <c r="B1969" s="12" t="n"/>
      <c r="C1969" s="12" t="n"/>
      <c r="D1969" s="12" t="n"/>
      <c r="E1969" s="13" t="n"/>
      <c r="F1969" s="12" t="n"/>
      <c r="G1969" s="13" t="n"/>
      <c r="H1969" s="12" t="n"/>
      <c r="I1969" s="12" t="n"/>
      <c r="J1969" s="12" t="n"/>
      <c r="K1969" s="12" t="n"/>
      <c r="L1969" s="11" t="n"/>
      <c r="M1969" s="11" t="n"/>
      <c r="N1969" s="11" t="n"/>
      <c r="O1969" s="11" t="n"/>
      <c r="P1969" s="12" t="n"/>
      <c r="Q1969" s="11" t="n"/>
      <c r="R1969" s="12" t="n"/>
      <c r="S1969" s="11" t="n"/>
      <c r="T1969" s="12" t="n"/>
      <c r="U1969" s="12" t="n"/>
      <c r="V1969" s="14">
        <f>IF($AN1969="",IF($B1969="","",$H1969),IF(INDEX(職員マスタ!$B$6:$B$405,$AN1969)="",$H1969,INDEX(職員マスタ!$B$6:$B$405,$AN1969)))</f>
        <v/>
      </c>
      <c r="W1969" s="14">
        <f>IF($AN1969="",IF($B1969="","",$R1969),IF(INDEX(職員マスタ!$C$6:$C$405,$AN1969)="",$R1969,INDEX(職員マスタ!$C$6:$C$405,$AN1969)))</f>
        <v/>
      </c>
      <c r="X1969" s="14">
        <f>IF($AO1969="","","R"&amp;$C1969&amp;"."&amp;$D1969)</f>
        <v/>
      </c>
      <c r="Y1969" s="15">
        <f>IF($AN1969="","",IF(INDEX(職員マスタ!$K$6:$K$405,$AN1969)="","",INDEX(職員マスタ!$K$6:$K$405,$AN1969)))</f>
        <v/>
      </c>
      <c r="Z1969" s="14">
        <f>IF(OR($E1969="",$Y1969=""),"",IF($E1969&gt;=$Y1969,"×",IF($E1969&gt;=$Y1969*設定!$C$5,"△","○")))</f>
        <v/>
      </c>
      <c r="AA1969" s="15">
        <f>IF($Z1969="","",IF($Z1969="×",0,IF($Z1969="○",ROUNDDOWN($E1969*設定!$C$4,0),ROUNDDOWN($E1969*ROUND((9*$Y1969-9*$E1969)/(10*$E1969),4),0))))</f>
        <v/>
      </c>
      <c r="AB1969" s="13" t="n"/>
      <c r="AC1969" s="15">
        <f>IF($B1969="","",IF($AB1969&lt;&gt;"",$AB1969,IF($AA1969="","",IF($AA1969&lt;=設定!$C$3,0,$AA1969))))</f>
        <v/>
      </c>
      <c r="AD1969" s="14">
        <f>IF($B1969="","",IF(AND($AE1969&lt;&gt;"",$AG1969="",$AJ1969=""),"保留中",IF($AJ1969&lt;&gt;"",IF(N($AC1969)&gt;0,"支給済","不支給"),IF($AC1969="","要確認",IF($AC1969=0,"不支給","未処理")))))</f>
        <v/>
      </c>
      <c r="AE1969" s="12" t="n"/>
      <c r="AF1969" s="11" t="n"/>
      <c r="AG1969" s="11" t="n"/>
      <c r="AH1969" s="11" t="n"/>
      <c r="AI1969" s="14">
        <f>IF(AND($AD1969="保留中",$AF1969&lt;&gt;""),TODAY()-$AF1969,"")</f>
        <v/>
      </c>
      <c r="AJ1969" s="12" t="n"/>
      <c r="AK1969" s="14">
        <f>IF($B1969="","",IF($AO1969="","対象年月が未入力／","")&amp;IF($B1969="","",IF($AN1969="","職員マスタに未登録の職員番号／",IF($Y1969="","標準報酬月額が未登録／","")&amp;IF(AND($AO1969&lt;&gt;"",OR(AND(INDEX(職員マスタ!$G$6:$G$405,$AN1969)&lt;&gt;"",INDEX(職員マスタ!$G$6:$G$405,$AN1969)&gt;EOMONTH($AO1969,0)),AND(INDEX(職員マスタ!$H$6:$H$405,$AN1969)&lt;&gt;"",INDEX(職員マスタ!$H$6:$H$405,$AN1969)&lt;$AO1969))),"対象月が時短期間外／","")&amp;IF(AND(INDEX(職員マスタ!$F$6:$F$405,$AN1969)&lt;&gt;"",$AO1969&lt;&gt;"",INDEX(職員マスタ!$F$6:$F$405,$AN1969)&lt;$AO1969),"対象月に子が2歳到達済／","")&amp;IF(AND($H1969&lt;&gt;"",INDEX(職員マスタ!$B$6:$B$405,$AN1969)&lt;&gt;"",SUBSTITUTE(SUBSTITUTE($H1969," ","")," ","")&lt;&gt;SUBSTITUTE(SUBSTITUTE(INDEX(職員マスタ!$B$6:$B$405,$AN1969)," ","")," ","")),"氏名がマスタと相違／","")&amp;IF(AND($Q1969&lt;&gt;"",INDEX(職員マスタ!$E$6:$E$405,$AN1969)&lt;&gt;"",$Q1969&lt;&gt;INDEX(職員マスタ!$E$6:$E$405,$AN1969)),"子の生年月日がマスタと相違／","")&amp;IF(AND($L1969&lt;&gt;"",INDEX(職員マスタ!$G$6:$G$405,$AN1969)&lt;&gt;"",$L1969&lt;&gt;INDEX(職員マスタ!$G$6:$G$405,$AN1969)),"時短開始日がマスタと相違／","")&amp;IF(AND($M1969&lt;&gt;"",INDEX(職員マスタ!$H$6:$H$405,$AN1969)&lt;&gt;"",$M1969&lt;&gt;INDEX(職員マスタ!$H$6:$H$405,$AN1969)),"時短終了日がマスタと相違／","")))&amp;IF(AND($B1969&lt;&gt;"",$E1969=""),"報酬額が未入力／","")&amp;IF(N($U1969)&gt;0,"申請書に入力エラーが残っています／","")&amp;IF(AND($B1969&lt;&gt;"",$AO1969&lt;&gt;""),IF(COUNTIFS($B$6:$B$3005,$B1969,$C$6:$C$3005,$C1969,$D$6:$D$3005,$D1969)&gt;1,"同じ月の請求が重複しています／",""),"")&amp;IF(AND(N($E1969)&gt;0,$Z1969&lt;&gt;"",$Z1969&lt;&gt;"×",$AC1969=0,$AB1969=""),"計算額が下限以下のため不支給／",""))</f>
        <v/>
      </c>
      <c r="AL1969" s="12" t="n"/>
      <c r="AM1969" s="14">
        <f>IF($AD1969="保留中",COUNTIF($AD$6:$AD1969,"保留中"),"")</f>
        <v/>
      </c>
      <c r="AN1969" s="14">
        <f>IF($AO1969="","",IF(SUMPRODUCT(MAX((職員マスタ!$A$6:$A$405=$B1969)*(((職員マスタ!$G$6:$G$405="")+(職員マスタ!$G$6:$G$405&lt;=EOMONTH($AO1969,0)))&gt;0)*(((職員マスタ!$H$6:$H$405="")+(職員マスタ!$H$6:$H$405&gt;=$AO1969))&gt;0)*(ROW(職員マスタ!$A$6:$A$405)-5)))&gt;0,SUMPRODUCT(MAX((職員マスタ!$A$6:$A$405=$B1969)*(((職員マスタ!$G$6:$G$405="")+(職員マスタ!$G$6:$G$405&lt;=EOMONTH($AO1969,0)))&gt;0)*(((職員マスタ!$H$6:$H$405="")+(職員マスタ!$H$6:$H$405&gt;=$AO1969))&gt;0)*(ROW(職員マスタ!$A$6:$A$405)-5))),IFERROR(MATCH($B1969,職員マスタ!$A$6:$A$405,0),"")))</f>
        <v/>
      </c>
      <c r="AO1969" s="16">
        <f>IF(OR($B1969="",$C1969="",$D1969=""),"",DATE($C1969+2018,$D1969,1))</f>
        <v/>
      </c>
    </row>
    <row r="1970">
      <c r="A1970" s="11" t="n"/>
      <c r="B1970" s="12" t="n"/>
      <c r="C1970" s="12" t="n"/>
      <c r="D1970" s="12" t="n"/>
      <c r="E1970" s="13" t="n"/>
      <c r="F1970" s="12" t="n"/>
      <c r="G1970" s="13" t="n"/>
      <c r="H1970" s="12" t="n"/>
      <c r="I1970" s="12" t="n"/>
      <c r="J1970" s="12" t="n"/>
      <c r="K1970" s="12" t="n"/>
      <c r="L1970" s="11" t="n"/>
      <c r="M1970" s="11" t="n"/>
      <c r="N1970" s="11" t="n"/>
      <c r="O1970" s="11" t="n"/>
      <c r="P1970" s="12" t="n"/>
      <c r="Q1970" s="11" t="n"/>
      <c r="R1970" s="12" t="n"/>
      <c r="S1970" s="11" t="n"/>
      <c r="T1970" s="12" t="n"/>
      <c r="U1970" s="12" t="n"/>
      <c r="V1970" s="14">
        <f>IF($AN1970="",IF($B1970="","",$H1970),IF(INDEX(職員マスタ!$B$6:$B$405,$AN1970)="",$H1970,INDEX(職員マスタ!$B$6:$B$405,$AN1970)))</f>
        <v/>
      </c>
      <c r="W1970" s="14">
        <f>IF($AN1970="",IF($B1970="","",$R1970),IF(INDEX(職員マスタ!$C$6:$C$405,$AN1970)="",$R1970,INDEX(職員マスタ!$C$6:$C$405,$AN1970)))</f>
        <v/>
      </c>
      <c r="X1970" s="14">
        <f>IF($AO1970="","","R"&amp;$C1970&amp;"."&amp;$D1970)</f>
        <v/>
      </c>
      <c r="Y1970" s="15">
        <f>IF($AN1970="","",IF(INDEX(職員マスタ!$K$6:$K$405,$AN1970)="","",INDEX(職員マスタ!$K$6:$K$405,$AN1970)))</f>
        <v/>
      </c>
      <c r="Z1970" s="14">
        <f>IF(OR($E1970="",$Y1970=""),"",IF($E1970&gt;=$Y1970,"×",IF($E1970&gt;=$Y1970*設定!$C$5,"△","○")))</f>
        <v/>
      </c>
      <c r="AA1970" s="15">
        <f>IF($Z1970="","",IF($Z1970="×",0,IF($Z1970="○",ROUNDDOWN($E1970*設定!$C$4,0),ROUNDDOWN($E1970*ROUND((9*$Y1970-9*$E1970)/(10*$E1970),4),0))))</f>
        <v/>
      </c>
      <c r="AB1970" s="13" t="n"/>
      <c r="AC1970" s="15">
        <f>IF($B1970="","",IF($AB1970&lt;&gt;"",$AB1970,IF($AA1970="","",IF($AA1970&lt;=設定!$C$3,0,$AA1970))))</f>
        <v/>
      </c>
      <c r="AD1970" s="14">
        <f>IF($B1970="","",IF(AND($AE1970&lt;&gt;"",$AG1970="",$AJ1970=""),"保留中",IF($AJ1970&lt;&gt;"",IF(N($AC1970)&gt;0,"支給済","不支給"),IF($AC1970="","要確認",IF($AC1970=0,"不支給","未処理")))))</f>
        <v/>
      </c>
      <c r="AE1970" s="12" t="n"/>
      <c r="AF1970" s="11" t="n"/>
      <c r="AG1970" s="11" t="n"/>
      <c r="AH1970" s="11" t="n"/>
      <c r="AI1970" s="14">
        <f>IF(AND($AD1970="保留中",$AF1970&lt;&gt;""),TODAY()-$AF1970,"")</f>
        <v/>
      </c>
      <c r="AJ1970" s="12" t="n"/>
      <c r="AK1970" s="14">
        <f>IF($B1970="","",IF($AO1970="","対象年月が未入力／","")&amp;IF($B1970="","",IF($AN1970="","職員マスタに未登録の職員番号／",IF($Y1970="","標準報酬月額が未登録／","")&amp;IF(AND($AO1970&lt;&gt;"",OR(AND(INDEX(職員マスタ!$G$6:$G$405,$AN1970)&lt;&gt;"",INDEX(職員マスタ!$G$6:$G$405,$AN1970)&gt;EOMONTH($AO1970,0)),AND(INDEX(職員マスタ!$H$6:$H$405,$AN1970)&lt;&gt;"",INDEX(職員マスタ!$H$6:$H$405,$AN1970)&lt;$AO1970))),"対象月が時短期間外／","")&amp;IF(AND(INDEX(職員マスタ!$F$6:$F$405,$AN1970)&lt;&gt;"",$AO1970&lt;&gt;"",INDEX(職員マスタ!$F$6:$F$405,$AN1970)&lt;$AO1970),"対象月に子が2歳到達済／","")&amp;IF(AND($H1970&lt;&gt;"",INDEX(職員マスタ!$B$6:$B$405,$AN1970)&lt;&gt;"",SUBSTITUTE(SUBSTITUTE($H1970," ","")," ","")&lt;&gt;SUBSTITUTE(SUBSTITUTE(INDEX(職員マスタ!$B$6:$B$405,$AN1970)," ","")," ","")),"氏名がマスタと相違／","")&amp;IF(AND($Q1970&lt;&gt;"",INDEX(職員マスタ!$E$6:$E$405,$AN1970)&lt;&gt;"",$Q1970&lt;&gt;INDEX(職員マスタ!$E$6:$E$405,$AN1970)),"子の生年月日がマスタと相違／","")&amp;IF(AND($L1970&lt;&gt;"",INDEX(職員マスタ!$G$6:$G$405,$AN1970)&lt;&gt;"",$L1970&lt;&gt;INDEX(職員マスタ!$G$6:$G$405,$AN1970)),"時短開始日がマスタと相違／","")&amp;IF(AND($M1970&lt;&gt;"",INDEX(職員マスタ!$H$6:$H$405,$AN1970)&lt;&gt;"",$M1970&lt;&gt;INDEX(職員マスタ!$H$6:$H$405,$AN1970)),"時短終了日がマスタと相違／","")))&amp;IF(AND($B1970&lt;&gt;"",$E1970=""),"報酬額が未入力／","")&amp;IF(N($U1970)&gt;0,"申請書に入力エラーが残っています／","")&amp;IF(AND($B1970&lt;&gt;"",$AO1970&lt;&gt;""),IF(COUNTIFS($B$6:$B$3005,$B1970,$C$6:$C$3005,$C1970,$D$6:$D$3005,$D1970)&gt;1,"同じ月の請求が重複しています／",""),"")&amp;IF(AND(N($E1970)&gt;0,$Z1970&lt;&gt;"",$Z1970&lt;&gt;"×",$AC1970=0,$AB1970=""),"計算額が下限以下のため不支給／",""))</f>
        <v/>
      </c>
      <c r="AL1970" s="12" t="n"/>
      <c r="AM1970" s="14">
        <f>IF($AD1970="保留中",COUNTIF($AD$6:$AD1970,"保留中"),"")</f>
        <v/>
      </c>
      <c r="AN1970" s="14">
        <f>IF($AO1970="","",IF(SUMPRODUCT(MAX((職員マスタ!$A$6:$A$405=$B1970)*(((職員マスタ!$G$6:$G$405="")+(職員マスタ!$G$6:$G$405&lt;=EOMONTH($AO1970,0)))&gt;0)*(((職員マスタ!$H$6:$H$405="")+(職員マスタ!$H$6:$H$405&gt;=$AO1970))&gt;0)*(ROW(職員マスタ!$A$6:$A$405)-5)))&gt;0,SUMPRODUCT(MAX((職員マスタ!$A$6:$A$405=$B1970)*(((職員マスタ!$G$6:$G$405="")+(職員マスタ!$G$6:$G$405&lt;=EOMONTH($AO1970,0)))&gt;0)*(((職員マスタ!$H$6:$H$405="")+(職員マスタ!$H$6:$H$405&gt;=$AO1970))&gt;0)*(ROW(職員マスタ!$A$6:$A$405)-5))),IFERROR(MATCH($B1970,職員マスタ!$A$6:$A$405,0),"")))</f>
        <v/>
      </c>
      <c r="AO1970" s="16">
        <f>IF(OR($B1970="",$C1970="",$D1970=""),"",DATE($C1970+2018,$D1970,1))</f>
        <v/>
      </c>
    </row>
    <row r="1971">
      <c r="A1971" s="11" t="n"/>
      <c r="B1971" s="12" t="n"/>
      <c r="C1971" s="12" t="n"/>
      <c r="D1971" s="12" t="n"/>
      <c r="E1971" s="13" t="n"/>
      <c r="F1971" s="12" t="n"/>
      <c r="G1971" s="13" t="n"/>
      <c r="H1971" s="12" t="n"/>
      <c r="I1971" s="12" t="n"/>
      <c r="J1971" s="12" t="n"/>
      <c r="K1971" s="12" t="n"/>
      <c r="L1971" s="11" t="n"/>
      <c r="M1971" s="11" t="n"/>
      <c r="N1971" s="11" t="n"/>
      <c r="O1971" s="11" t="n"/>
      <c r="P1971" s="12" t="n"/>
      <c r="Q1971" s="11" t="n"/>
      <c r="R1971" s="12" t="n"/>
      <c r="S1971" s="11" t="n"/>
      <c r="T1971" s="12" t="n"/>
      <c r="U1971" s="12" t="n"/>
      <c r="V1971" s="14">
        <f>IF($AN1971="",IF($B1971="","",$H1971),IF(INDEX(職員マスタ!$B$6:$B$405,$AN1971)="",$H1971,INDEX(職員マスタ!$B$6:$B$405,$AN1971)))</f>
        <v/>
      </c>
      <c r="W1971" s="14">
        <f>IF($AN1971="",IF($B1971="","",$R1971),IF(INDEX(職員マスタ!$C$6:$C$405,$AN1971)="",$R1971,INDEX(職員マスタ!$C$6:$C$405,$AN1971)))</f>
        <v/>
      </c>
      <c r="X1971" s="14">
        <f>IF($AO1971="","","R"&amp;$C1971&amp;"."&amp;$D1971)</f>
        <v/>
      </c>
      <c r="Y1971" s="15">
        <f>IF($AN1971="","",IF(INDEX(職員マスタ!$K$6:$K$405,$AN1971)="","",INDEX(職員マスタ!$K$6:$K$405,$AN1971)))</f>
        <v/>
      </c>
      <c r="Z1971" s="14">
        <f>IF(OR($E1971="",$Y1971=""),"",IF($E1971&gt;=$Y1971,"×",IF($E1971&gt;=$Y1971*設定!$C$5,"△","○")))</f>
        <v/>
      </c>
      <c r="AA1971" s="15">
        <f>IF($Z1971="","",IF($Z1971="×",0,IF($Z1971="○",ROUNDDOWN($E1971*設定!$C$4,0),ROUNDDOWN($E1971*ROUND((9*$Y1971-9*$E1971)/(10*$E1971),4),0))))</f>
        <v/>
      </c>
      <c r="AB1971" s="13" t="n"/>
      <c r="AC1971" s="15">
        <f>IF($B1971="","",IF($AB1971&lt;&gt;"",$AB1971,IF($AA1971="","",IF($AA1971&lt;=設定!$C$3,0,$AA1971))))</f>
        <v/>
      </c>
      <c r="AD1971" s="14">
        <f>IF($B1971="","",IF(AND($AE1971&lt;&gt;"",$AG1971="",$AJ1971=""),"保留中",IF($AJ1971&lt;&gt;"",IF(N($AC1971)&gt;0,"支給済","不支給"),IF($AC1971="","要確認",IF($AC1971=0,"不支給","未処理")))))</f>
        <v/>
      </c>
      <c r="AE1971" s="12" t="n"/>
      <c r="AF1971" s="11" t="n"/>
      <c r="AG1971" s="11" t="n"/>
      <c r="AH1971" s="11" t="n"/>
      <c r="AI1971" s="14">
        <f>IF(AND($AD1971="保留中",$AF1971&lt;&gt;""),TODAY()-$AF1971,"")</f>
        <v/>
      </c>
      <c r="AJ1971" s="12" t="n"/>
      <c r="AK1971" s="14">
        <f>IF($B1971="","",IF($AO1971="","対象年月が未入力／","")&amp;IF($B1971="","",IF($AN1971="","職員マスタに未登録の職員番号／",IF($Y1971="","標準報酬月額が未登録／","")&amp;IF(AND($AO1971&lt;&gt;"",OR(AND(INDEX(職員マスタ!$G$6:$G$405,$AN1971)&lt;&gt;"",INDEX(職員マスタ!$G$6:$G$405,$AN1971)&gt;EOMONTH($AO1971,0)),AND(INDEX(職員マスタ!$H$6:$H$405,$AN1971)&lt;&gt;"",INDEX(職員マスタ!$H$6:$H$405,$AN1971)&lt;$AO1971))),"対象月が時短期間外／","")&amp;IF(AND(INDEX(職員マスタ!$F$6:$F$405,$AN1971)&lt;&gt;"",$AO1971&lt;&gt;"",INDEX(職員マスタ!$F$6:$F$405,$AN1971)&lt;$AO1971),"対象月に子が2歳到達済／","")&amp;IF(AND($H1971&lt;&gt;"",INDEX(職員マスタ!$B$6:$B$405,$AN1971)&lt;&gt;"",SUBSTITUTE(SUBSTITUTE($H1971," ","")," ","")&lt;&gt;SUBSTITUTE(SUBSTITUTE(INDEX(職員マスタ!$B$6:$B$405,$AN1971)," ","")," ","")),"氏名がマスタと相違／","")&amp;IF(AND($Q1971&lt;&gt;"",INDEX(職員マスタ!$E$6:$E$405,$AN1971)&lt;&gt;"",$Q1971&lt;&gt;INDEX(職員マスタ!$E$6:$E$405,$AN1971)),"子の生年月日がマスタと相違／","")&amp;IF(AND($L1971&lt;&gt;"",INDEX(職員マスタ!$G$6:$G$405,$AN1971)&lt;&gt;"",$L1971&lt;&gt;INDEX(職員マスタ!$G$6:$G$405,$AN1971)),"時短開始日がマスタと相違／","")&amp;IF(AND($M1971&lt;&gt;"",INDEX(職員マスタ!$H$6:$H$405,$AN1971)&lt;&gt;"",$M1971&lt;&gt;INDEX(職員マスタ!$H$6:$H$405,$AN1971)),"時短終了日がマスタと相違／","")))&amp;IF(AND($B1971&lt;&gt;"",$E1971=""),"報酬額が未入力／","")&amp;IF(N($U1971)&gt;0,"申請書に入力エラーが残っています／","")&amp;IF(AND($B1971&lt;&gt;"",$AO1971&lt;&gt;""),IF(COUNTIFS($B$6:$B$3005,$B1971,$C$6:$C$3005,$C1971,$D$6:$D$3005,$D1971)&gt;1,"同じ月の請求が重複しています／",""),"")&amp;IF(AND(N($E1971)&gt;0,$Z1971&lt;&gt;"",$Z1971&lt;&gt;"×",$AC1971=0,$AB1971=""),"計算額が下限以下のため不支給／",""))</f>
        <v/>
      </c>
      <c r="AL1971" s="12" t="n"/>
      <c r="AM1971" s="14">
        <f>IF($AD1971="保留中",COUNTIF($AD$6:$AD1971,"保留中"),"")</f>
        <v/>
      </c>
      <c r="AN1971" s="14">
        <f>IF($AO1971="","",IF(SUMPRODUCT(MAX((職員マスタ!$A$6:$A$405=$B1971)*(((職員マスタ!$G$6:$G$405="")+(職員マスタ!$G$6:$G$405&lt;=EOMONTH($AO1971,0)))&gt;0)*(((職員マスタ!$H$6:$H$405="")+(職員マスタ!$H$6:$H$405&gt;=$AO1971))&gt;0)*(ROW(職員マスタ!$A$6:$A$405)-5)))&gt;0,SUMPRODUCT(MAX((職員マスタ!$A$6:$A$405=$B1971)*(((職員マスタ!$G$6:$G$405="")+(職員マスタ!$G$6:$G$405&lt;=EOMONTH($AO1971,0)))&gt;0)*(((職員マスタ!$H$6:$H$405="")+(職員マスタ!$H$6:$H$405&gt;=$AO1971))&gt;0)*(ROW(職員マスタ!$A$6:$A$405)-5))),IFERROR(MATCH($B1971,職員マスタ!$A$6:$A$405,0),"")))</f>
        <v/>
      </c>
      <c r="AO1971" s="16">
        <f>IF(OR($B1971="",$C1971="",$D1971=""),"",DATE($C1971+2018,$D1971,1))</f>
        <v/>
      </c>
    </row>
    <row r="1972">
      <c r="A1972" s="11" t="n"/>
      <c r="B1972" s="12" t="n"/>
      <c r="C1972" s="12" t="n"/>
      <c r="D1972" s="12" t="n"/>
      <c r="E1972" s="13" t="n"/>
      <c r="F1972" s="12" t="n"/>
      <c r="G1972" s="13" t="n"/>
      <c r="H1972" s="12" t="n"/>
      <c r="I1972" s="12" t="n"/>
      <c r="J1972" s="12" t="n"/>
      <c r="K1972" s="12" t="n"/>
      <c r="L1972" s="11" t="n"/>
      <c r="M1972" s="11" t="n"/>
      <c r="N1972" s="11" t="n"/>
      <c r="O1972" s="11" t="n"/>
      <c r="P1972" s="12" t="n"/>
      <c r="Q1972" s="11" t="n"/>
      <c r="R1972" s="12" t="n"/>
      <c r="S1972" s="11" t="n"/>
      <c r="T1972" s="12" t="n"/>
      <c r="U1972" s="12" t="n"/>
      <c r="V1972" s="14">
        <f>IF($AN1972="",IF($B1972="","",$H1972),IF(INDEX(職員マスタ!$B$6:$B$405,$AN1972)="",$H1972,INDEX(職員マスタ!$B$6:$B$405,$AN1972)))</f>
        <v/>
      </c>
      <c r="W1972" s="14">
        <f>IF($AN1972="",IF($B1972="","",$R1972),IF(INDEX(職員マスタ!$C$6:$C$405,$AN1972)="",$R1972,INDEX(職員マスタ!$C$6:$C$405,$AN1972)))</f>
        <v/>
      </c>
      <c r="X1972" s="14">
        <f>IF($AO1972="","","R"&amp;$C1972&amp;"."&amp;$D1972)</f>
        <v/>
      </c>
      <c r="Y1972" s="15">
        <f>IF($AN1972="","",IF(INDEX(職員マスタ!$K$6:$K$405,$AN1972)="","",INDEX(職員マスタ!$K$6:$K$405,$AN1972)))</f>
        <v/>
      </c>
      <c r="Z1972" s="14">
        <f>IF(OR($E1972="",$Y1972=""),"",IF($E1972&gt;=$Y1972,"×",IF($E1972&gt;=$Y1972*設定!$C$5,"△","○")))</f>
        <v/>
      </c>
      <c r="AA1972" s="15">
        <f>IF($Z1972="","",IF($Z1972="×",0,IF($Z1972="○",ROUNDDOWN($E1972*設定!$C$4,0),ROUNDDOWN($E1972*ROUND((9*$Y1972-9*$E1972)/(10*$E1972),4),0))))</f>
        <v/>
      </c>
      <c r="AB1972" s="13" t="n"/>
      <c r="AC1972" s="15">
        <f>IF($B1972="","",IF($AB1972&lt;&gt;"",$AB1972,IF($AA1972="","",IF($AA1972&lt;=設定!$C$3,0,$AA1972))))</f>
        <v/>
      </c>
      <c r="AD1972" s="14">
        <f>IF($B1972="","",IF(AND($AE1972&lt;&gt;"",$AG1972="",$AJ1972=""),"保留中",IF($AJ1972&lt;&gt;"",IF(N($AC1972)&gt;0,"支給済","不支給"),IF($AC1972="","要確認",IF($AC1972=0,"不支給","未処理")))))</f>
        <v/>
      </c>
      <c r="AE1972" s="12" t="n"/>
      <c r="AF1972" s="11" t="n"/>
      <c r="AG1972" s="11" t="n"/>
      <c r="AH1972" s="11" t="n"/>
      <c r="AI1972" s="14">
        <f>IF(AND($AD1972="保留中",$AF1972&lt;&gt;""),TODAY()-$AF1972,"")</f>
        <v/>
      </c>
      <c r="AJ1972" s="12" t="n"/>
      <c r="AK1972" s="14">
        <f>IF($B1972="","",IF($AO1972="","対象年月が未入力／","")&amp;IF($B1972="","",IF($AN1972="","職員マスタに未登録の職員番号／",IF($Y1972="","標準報酬月額が未登録／","")&amp;IF(AND($AO1972&lt;&gt;"",OR(AND(INDEX(職員マスタ!$G$6:$G$405,$AN1972)&lt;&gt;"",INDEX(職員マスタ!$G$6:$G$405,$AN1972)&gt;EOMONTH($AO1972,0)),AND(INDEX(職員マスタ!$H$6:$H$405,$AN1972)&lt;&gt;"",INDEX(職員マスタ!$H$6:$H$405,$AN1972)&lt;$AO1972))),"対象月が時短期間外／","")&amp;IF(AND(INDEX(職員マスタ!$F$6:$F$405,$AN1972)&lt;&gt;"",$AO1972&lt;&gt;"",INDEX(職員マスタ!$F$6:$F$405,$AN1972)&lt;$AO1972),"対象月に子が2歳到達済／","")&amp;IF(AND($H1972&lt;&gt;"",INDEX(職員マスタ!$B$6:$B$405,$AN1972)&lt;&gt;"",SUBSTITUTE(SUBSTITUTE($H1972," ","")," ","")&lt;&gt;SUBSTITUTE(SUBSTITUTE(INDEX(職員マスタ!$B$6:$B$405,$AN1972)," ","")," ","")),"氏名がマスタと相違／","")&amp;IF(AND($Q1972&lt;&gt;"",INDEX(職員マスタ!$E$6:$E$405,$AN1972)&lt;&gt;"",$Q1972&lt;&gt;INDEX(職員マスタ!$E$6:$E$405,$AN1972)),"子の生年月日がマスタと相違／","")&amp;IF(AND($L1972&lt;&gt;"",INDEX(職員マスタ!$G$6:$G$405,$AN1972)&lt;&gt;"",$L1972&lt;&gt;INDEX(職員マスタ!$G$6:$G$405,$AN1972)),"時短開始日がマスタと相違／","")&amp;IF(AND($M1972&lt;&gt;"",INDEX(職員マスタ!$H$6:$H$405,$AN1972)&lt;&gt;"",$M1972&lt;&gt;INDEX(職員マスタ!$H$6:$H$405,$AN1972)),"時短終了日がマスタと相違／","")))&amp;IF(AND($B1972&lt;&gt;"",$E1972=""),"報酬額が未入力／","")&amp;IF(N($U1972)&gt;0,"申請書に入力エラーが残っています／","")&amp;IF(AND($B1972&lt;&gt;"",$AO1972&lt;&gt;""),IF(COUNTIFS($B$6:$B$3005,$B1972,$C$6:$C$3005,$C1972,$D$6:$D$3005,$D1972)&gt;1,"同じ月の請求が重複しています／",""),"")&amp;IF(AND(N($E1972)&gt;0,$Z1972&lt;&gt;"",$Z1972&lt;&gt;"×",$AC1972=0,$AB1972=""),"計算額が下限以下のため不支給／",""))</f>
        <v/>
      </c>
      <c r="AL1972" s="12" t="n"/>
      <c r="AM1972" s="14">
        <f>IF($AD1972="保留中",COUNTIF($AD$6:$AD1972,"保留中"),"")</f>
        <v/>
      </c>
      <c r="AN1972" s="14">
        <f>IF($AO1972="","",IF(SUMPRODUCT(MAX((職員マスタ!$A$6:$A$405=$B1972)*(((職員マスタ!$G$6:$G$405="")+(職員マスタ!$G$6:$G$405&lt;=EOMONTH($AO1972,0)))&gt;0)*(((職員マスタ!$H$6:$H$405="")+(職員マスタ!$H$6:$H$405&gt;=$AO1972))&gt;0)*(ROW(職員マスタ!$A$6:$A$405)-5)))&gt;0,SUMPRODUCT(MAX((職員マスタ!$A$6:$A$405=$B1972)*(((職員マスタ!$G$6:$G$405="")+(職員マスタ!$G$6:$G$405&lt;=EOMONTH($AO1972,0)))&gt;0)*(((職員マスタ!$H$6:$H$405="")+(職員マスタ!$H$6:$H$405&gt;=$AO1972))&gt;0)*(ROW(職員マスタ!$A$6:$A$405)-5))),IFERROR(MATCH($B1972,職員マスタ!$A$6:$A$405,0),"")))</f>
        <v/>
      </c>
      <c r="AO1972" s="16">
        <f>IF(OR($B1972="",$C1972="",$D1972=""),"",DATE($C1972+2018,$D1972,1))</f>
        <v/>
      </c>
    </row>
    <row r="1973">
      <c r="A1973" s="11" t="n"/>
      <c r="B1973" s="12" t="n"/>
      <c r="C1973" s="12" t="n"/>
      <c r="D1973" s="12" t="n"/>
      <c r="E1973" s="13" t="n"/>
      <c r="F1973" s="12" t="n"/>
      <c r="G1973" s="13" t="n"/>
      <c r="H1973" s="12" t="n"/>
      <c r="I1973" s="12" t="n"/>
      <c r="J1973" s="12" t="n"/>
      <c r="K1973" s="12" t="n"/>
      <c r="L1973" s="11" t="n"/>
      <c r="M1973" s="11" t="n"/>
      <c r="N1973" s="11" t="n"/>
      <c r="O1973" s="11" t="n"/>
      <c r="P1973" s="12" t="n"/>
      <c r="Q1973" s="11" t="n"/>
      <c r="R1973" s="12" t="n"/>
      <c r="S1973" s="11" t="n"/>
      <c r="T1973" s="12" t="n"/>
      <c r="U1973" s="12" t="n"/>
      <c r="V1973" s="14">
        <f>IF($AN1973="",IF($B1973="","",$H1973),IF(INDEX(職員マスタ!$B$6:$B$405,$AN1973)="",$H1973,INDEX(職員マスタ!$B$6:$B$405,$AN1973)))</f>
        <v/>
      </c>
      <c r="W1973" s="14">
        <f>IF($AN1973="",IF($B1973="","",$R1973),IF(INDEX(職員マスタ!$C$6:$C$405,$AN1973)="",$R1973,INDEX(職員マスタ!$C$6:$C$405,$AN1973)))</f>
        <v/>
      </c>
      <c r="X1973" s="14">
        <f>IF($AO1973="","","R"&amp;$C1973&amp;"."&amp;$D1973)</f>
        <v/>
      </c>
      <c r="Y1973" s="15">
        <f>IF($AN1973="","",IF(INDEX(職員マスタ!$K$6:$K$405,$AN1973)="","",INDEX(職員マスタ!$K$6:$K$405,$AN1973)))</f>
        <v/>
      </c>
      <c r="Z1973" s="14">
        <f>IF(OR($E1973="",$Y1973=""),"",IF($E1973&gt;=$Y1973,"×",IF($E1973&gt;=$Y1973*設定!$C$5,"△","○")))</f>
        <v/>
      </c>
      <c r="AA1973" s="15">
        <f>IF($Z1973="","",IF($Z1973="×",0,IF($Z1973="○",ROUNDDOWN($E1973*設定!$C$4,0),ROUNDDOWN($E1973*ROUND((9*$Y1973-9*$E1973)/(10*$E1973),4),0))))</f>
        <v/>
      </c>
      <c r="AB1973" s="13" t="n"/>
      <c r="AC1973" s="15">
        <f>IF($B1973="","",IF($AB1973&lt;&gt;"",$AB1973,IF($AA1973="","",IF($AA1973&lt;=設定!$C$3,0,$AA1973))))</f>
        <v/>
      </c>
      <c r="AD1973" s="14">
        <f>IF($B1973="","",IF(AND($AE1973&lt;&gt;"",$AG1973="",$AJ1973=""),"保留中",IF($AJ1973&lt;&gt;"",IF(N($AC1973)&gt;0,"支給済","不支給"),IF($AC1973="","要確認",IF($AC1973=0,"不支給","未処理")))))</f>
        <v/>
      </c>
      <c r="AE1973" s="12" t="n"/>
      <c r="AF1973" s="11" t="n"/>
      <c r="AG1973" s="11" t="n"/>
      <c r="AH1973" s="11" t="n"/>
      <c r="AI1973" s="14">
        <f>IF(AND($AD1973="保留中",$AF1973&lt;&gt;""),TODAY()-$AF1973,"")</f>
        <v/>
      </c>
      <c r="AJ1973" s="12" t="n"/>
      <c r="AK1973" s="14">
        <f>IF($B1973="","",IF($AO1973="","対象年月が未入力／","")&amp;IF($B1973="","",IF($AN1973="","職員マスタに未登録の職員番号／",IF($Y1973="","標準報酬月額が未登録／","")&amp;IF(AND($AO1973&lt;&gt;"",OR(AND(INDEX(職員マスタ!$G$6:$G$405,$AN1973)&lt;&gt;"",INDEX(職員マスタ!$G$6:$G$405,$AN1973)&gt;EOMONTH($AO1973,0)),AND(INDEX(職員マスタ!$H$6:$H$405,$AN1973)&lt;&gt;"",INDEX(職員マスタ!$H$6:$H$405,$AN1973)&lt;$AO1973))),"対象月が時短期間外／","")&amp;IF(AND(INDEX(職員マスタ!$F$6:$F$405,$AN1973)&lt;&gt;"",$AO1973&lt;&gt;"",INDEX(職員マスタ!$F$6:$F$405,$AN1973)&lt;$AO1973),"対象月に子が2歳到達済／","")&amp;IF(AND($H1973&lt;&gt;"",INDEX(職員マスタ!$B$6:$B$405,$AN1973)&lt;&gt;"",SUBSTITUTE(SUBSTITUTE($H1973," ","")," ","")&lt;&gt;SUBSTITUTE(SUBSTITUTE(INDEX(職員マスタ!$B$6:$B$405,$AN1973)," ","")," ","")),"氏名がマスタと相違／","")&amp;IF(AND($Q1973&lt;&gt;"",INDEX(職員マスタ!$E$6:$E$405,$AN1973)&lt;&gt;"",$Q1973&lt;&gt;INDEX(職員マスタ!$E$6:$E$405,$AN1973)),"子の生年月日がマスタと相違／","")&amp;IF(AND($L1973&lt;&gt;"",INDEX(職員マスタ!$G$6:$G$405,$AN1973)&lt;&gt;"",$L1973&lt;&gt;INDEX(職員マスタ!$G$6:$G$405,$AN1973)),"時短開始日がマスタと相違／","")&amp;IF(AND($M1973&lt;&gt;"",INDEX(職員マスタ!$H$6:$H$405,$AN1973)&lt;&gt;"",$M1973&lt;&gt;INDEX(職員マスタ!$H$6:$H$405,$AN1973)),"時短終了日がマスタと相違／","")))&amp;IF(AND($B1973&lt;&gt;"",$E1973=""),"報酬額が未入力／","")&amp;IF(N($U1973)&gt;0,"申請書に入力エラーが残っています／","")&amp;IF(AND($B1973&lt;&gt;"",$AO1973&lt;&gt;""),IF(COUNTIFS($B$6:$B$3005,$B1973,$C$6:$C$3005,$C1973,$D$6:$D$3005,$D1973)&gt;1,"同じ月の請求が重複しています／",""),"")&amp;IF(AND(N($E1973)&gt;0,$Z1973&lt;&gt;"",$Z1973&lt;&gt;"×",$AC1973=0,$AB1973=""),"計算額が下限以下のため不支給／",""))</f>
        <v/>
      </c>
      <c r="AL1973" s="12" t="n"/>
      <c r="AM1973" s="14">
        <f>IF($AD1973="保留中",COUNTIF($AD$6:$AD1973,"保留中"),"")</f>
        <v/>
      </c>
      <c r="AN1973" s="14">
        <f>IF($AO1973="","",IF(SUMPRODUCT(MAX((職員マスタ!$A$6:$A$405=$B1973)*(((職員マスタ!$G$6:$G$405="")+(職員マスタ!$G$6:$G$405&lt;=EOMONTH($AO1973,0)))&gt;0)*(((職員マスタ!$H$6:$H$405="")+(職員マスタ!$H$6:$H$405&gt;=$AO1973))&gt;0)*(ROW(職員マスタ!$A$6:$A$405)-5)))&gt;0,SUMPRODUCT(MAX((職員マスタ!$A$6:$A$405=$B1973)*(((職員マスタ!$G$6:$G$405="")+(職員マスタ!$G$6:$G$405&lt;=EOMONTH($AO1973,0)))&gt;0)*(((職員マスタ!$H$6:$H$405="")+(職員マスタ!$H$6:$H$405&gt;=$AO1973))&gt;0)*(ROW(職員マスタ!$A$6:$A$405)-5))),IFERROR(MATCH($B1973,職員マスタ!$A$6:$A$405,0),"")))</f>
        <v/>
      </c>
      <c r="AO1973" s="16">
        <f>IF(OR($B1973="",$C1973="",$D1973=""),"",DATE($C1973+2018,$D1973,1))</f>
        <v/>
      </c>
    </row>
    <row r="1974">
      <c r="A1974" s="11" t="n"/>
      <c r="B1974" s="12" t="n"/>
      <c r="C1974" s="12" t="n"/>
      <c r="D1974" s="12" t="n"/>
      <c r="E1974" s="13" t="n"/>
      <c r="F1974" s="12" t="n"/>
      <c r="G1974" s="13" t="n"/>
      <c r="H1974" s="12" t="n"/>
      <c r="I1974" s="12" t="n"/>
      <c r="J1974" s="12" t="n"/>
      <c r="K1974" s="12" t="n"/>
      <c r="L1974" s="11" t="n"/>
      <c r="M1974" s="11" t="n"/>
      <c r="N1974" s="11" t="n"/>
      <c r="O1974" s="11" t="n"/>
      <c r="P1974" s="12" t="n"/>
      <c r="Q1974" s="11" t="n"/>
      <c r="R1974" s="12" t="n"/>
      <c r="S1974" s="11" t="n"/>
      <c r="T1974" s="12" t="n"/>
      <c r="U1974" s="12" t="n"/>
      <c r="V1974" s="14">
        <f>IF($AN1974="",IF($B1974="","",$H1974),IF(INDEX(職員マスタ!$B$6:$B$405,$AN1974)="",$H1974,INDEX(職員マスタ!$B$6:$B$405,$AN1974)))</f>
        <v/>
      </c>
      <c r="W1974" s="14">
        <f>IF($AN1974="",IF($B1974="","",$R1974),IF(INDEX(職員マスタ!$C$6:$C$405,$AN1974)="",$R1974,INDEX(職員マスタ!$C$6:$C$405,$AN1974)))</f>
        <v/>
      </c>
      <c r="X1974" s="14">
        <f>IF($AO1974="","","R"&amp;$C1974&amp;"."&amp;$D1974)</f>
        <v/>
      </c>
      <c r="Y1974" s="15">
        <f>IF($AN1974="","",IF(INDEX(職員マスタ!$K$6:$K$405,$AN1974)="","",INDEX(職員マスタ!$K$6:$K$405,$AN1974)))</f>
        <v/>
      </c>
      <c r="Z1974" s="14">
        <f>IF(OR($E1974="",$Y1974=""),"",IF($E1974&gt;=$Y1974,"×",IF($E1974&gt;=$Y1974*設定!$C$5,"△","○")))</f>
        <v/>
      </c>
      <c r="AA1974" s="15">
        <f>IF($Z1974="","",IF($Z1974="×",0,IF($Z1974="○",ROUNDDOWN($E1974*設定!$C$4,0),ROUNDDOWN($E1974*ROUND((9*$Y1974-9*$E1974)/(10*$E1974),4),0))))</f>
        <v/>
      </c>
      <c r="AB1974" s="13" t="n"/>
      <c r="AC1974" s="15">
        <f>IF($B1974="","",IF($AB1974&lt;&gt;"",$AB1974,IF($AA1974="","",IF($AA1974&lt;=設定!$C$3,0,$AA1974))))</f>
        <v/>
      </c>
      <c r="AD1974" s="14">
        <f>IF($B1974="","",IF(AND($AE1974&lt;&gt;"",$AG1974="",$AJ1974=""),"保留中",IF($AJ1974&lt;&gt;"",IF(N($AC1974)&gt;0,"支給済","不支給"),IF($AC1974="","要確認",IF($AC1974=0,"不支給","未処理")))))</f>
        <v/>
      </c>
      <c r="AE1974" s="12" t="n"/>
      <c r="AF1974" s="11" t="n"/>
      <c r="AG1974" s="11" t="n"/>
      <c r="AH1974" s="11" t="n"/>
      <c r="AI1974" s="14">
        <f>IF(AND($AD1974="保留中",$AF1974&lt;&gt;""),TODAY()-$AF1974,"")</f>
        <v/>
      </c>
      <c r="AJ1974" s="12" t="n"/>
      <c r="AK1974" s="14">
        <f>IF($B1974="","",IF($AO1974="","対象年月が未入力／","")&amp;IF($B1974="","",IF($AN1974="","職員マスタに未登録の職員番号／",IF($Y1974="","標準報酬月額が未登録／","")&amp;IF(AND($AO1974&lt;&gt;"",OR(AND(INDEX(職員マスタ!$G$6:$G$405,$AN1974)&lt;&gt;"",INDEX(職員マスタ!$G$6:$G$405,$AN1974)&gt;EOMONTH($AO1974,0)),AND(INDEX(職員マスタ!$H$6:$H$405,$AN1974)&lt;&gt;"",INDEX(職員マスタ!$H$6:$H$405,$AN1974)&lt;$AO1974))),"対象月が時短期間外／","")&amp;IF(AND(INDEX(職員マスタ!$F$6:$F$405,$AN1974)&lt;&gt;"",$AO1974&lt;&gt;"",INDEX(職員マスタ!$F$6:$F$405,$AN1974)&lt;$AO1974),"対象月に子が2歳到達済／","")&amp;IF(AND($H1974&lt;&gt;"",INDEX(職員マスタ!$B$6:$B$405,$AN1974)&lt;&gt;"",SUBSTITUTE(SUBSTITUTE($H1974," ","")," ","")&lt;&gt;SUBSTITUTE(SUBSTITUTE(INDEX(職員マスタ!$B$6:$B$405,$AN1974)," ","")," ","")),"氏名がマスタと相違／","")&amp;IF(AND($Q1974&lt;&gt;"",INDEX(職員マスタ!$E$6:$E$405,$AN1974)&lt;&gt;"",$Q1974&lt;&gt;INDEX(職員マスタ!$E$6:$E$405,$AN1974)),"子の生年月日がマスタと相違／","")&amp;IF(AND($L1974&lt;&gt;"",INDEX(職員マスタ!$G$6:$G$405,$AN1974)&lt;&gt;"",$L1974&lt;&gt;INDEX(職員マスタ!$G$6:$G$405,$AN1974)),"時短開始日がマスタと相違／","")&amp;IF(AND($M1974&lt;&gt;"",INDEX(職員マスタ!$H$6:$H$405,$AN1974)&lt;&gt;"",$M1974&lt;&gt;INDEX(職員マスタ!$H$6:$H$405,$AN1974)),"時短終了日がマスタと相違／","")))&amp;IF(AND($B1974&lt;&gt;"",$E1974=""),"報酬額が未入力／","")&amp;IF(N($U1974)&gt;0,"申請書に入力エラーが残っています／","")&amp;IF(AND($B1974&lt;&gt;"",$AO1974&lt;&gt;""),IF(COUNTIFS($B$6:$B$3005,$B1974,$C$6:$C$3005,$C1974,$D$6:$D$3005,$D1974)&gt;1,"同じ月の請求が重複しています／",""),"")&amp;IF(AND(N($E1974)&gt;0,$Z1974&lt;&gt;"",$Z1974&lt;&gt;"×",$AC1974=0,$AB1974=""),"計算額が下限以下のため不支給／",""))</f>
        <v/>
      </c>
      <c r="AL1974" s="12" t="n"/>
      <c r="AM1974" s="14">
        <f>IF($AD1974="保留中",COUNTIF($AD$6:$AD1974,"保留中"),"")</f>
        <v/>
      </c>
      <c r="AN1974" s="14">
        <f>IF($AO1974="","",IF(SUMPRODUCT(MAX((職員マスタ!$A$6:$A$405=$B1974)*(((職員マスタ!$G$6:$G$405="")+(職員マスタ!$G$6:$G$405&lt;=EOMONTH($AO1974,0)))&gt;0)*(((職員マスタ!$H$6:$H$405="")+(職員マスタ!$H$6:$H$405&gt;=$AO1974))&gt;0)*(ROW(職員マスタ!$A$6:$A$405)-5)))&gt;0,SUMPRODUCT(MAX((職員マスタ!$A$6:$A$405=$B1974)*(((職員マスタ!$G$6:$G$405="")+(職員マスタ!$G$6:$G$405&lt;=EOMONTH($AO1974,0)))&gt;0)*(((職員マスタ!$H$6:$H$405="")+(職員マスタ!$H$6:$H$405&gt;=$AO1974))&gt;0)*(ROW(職員マスタ!$A$6:$A$405)-5))),IFERROR(MATCH($B1974,職員マスタ!$A$6:$A$405,0),"")))</f>
        <v/>
      </c>
      <c r="AO1974" s="16">
        <f>IF(OR($B1974="",$C1974="",$D1974=""),"",DATE($C1974+2018,$D1974,1))</f>
        <v/>
      </c>
    </row>
    <row r="1975">
      <c r="A1975" s="11" t="n"/>
      <c r="B1975" s="12" t="n"/>
      <c r="C1975" s="12" t="n"/>
      <c r="D1975" s="12" t="n"/>
      <c r="E1975" s="13" t="n"/>
      <c r="F1975" s="12" t="n"/>
      <c r="G1975" s="13" t="n"/>
      <c r="H1975" s="12" t="n"/>
      <c r="I1975" s="12" t="n"/>
      <c r="J1975" s="12" t="n"/>
      <c r="K1975" s="12" t="n"/>
      <c r="L1975" s="11" t="n"/>
      <c r="M1975" s="11" t="n"/>
      <c r="N1975" s="11" t="n"/>
      <c r="O1975" s="11" t="n"/>
      <c r="P1975" s="12" t="n"/>
      <c r="Q1975" s="11" t="n"/>
      <c r="R1975" s="12" t="n"/>
      <c r="S1975" s="11" t="n"/>
      <c r="T1975" s="12" t="n"/>
      <c r="U1975" s="12" t="n"/>
      <c r="V1975" s="14">
        <f>IF($AN1975="",IF($B1975="","",$H1975),IF(INDEX(職員マスタ!$B$6:$B$405,$AN1975)="",$H1975,INDEX(職員マスタ!$B$6:$B$405,$AN1975)))</f>
        <v/>
      </c>
      <c r="W1975" s="14">
        <f>IF($AN1975="",IF($B1975="","",$R1975),IF(INDEX(職員マスタ!$C$6:$C$405,$AN1975)="",$R1975,INDEX(職員マスタ!$C$6:$C$405,$AN1975)))</f>
        <v/>
      </c>
      <c r="X1975" s="14">
        <f>IF($AO1975="","","R"&amp;$C1975&amp;"."&amp;$D1975)</f>
        <v/>
      </c>
      <c r="Y1975" s="15">
        <f>IF($AN1975="","",IF(INDEX(職員マスタ!$K$6:$K$405,$AN1975)="","",INDEX(職員マスタ!$K$6:$K$405,$AN1975)))</f>
        <v/>
      </c>
      <c r="Z1975" s="14">
        <f>IF(OR($E1975="",$Y1975=""),"",IF($E1975&gt;=$Y1975,"×",IF($E1975&gt;=$Y1975*設定!$C$5,"△","○")))</f>
        <v/>
      </c>
      <c r="AA1975" s="15">
        <f>IF($Z1975="","",IF($Z1975="×",0,IF($Z1975="○",ROUNDDOWN($E1975*設定!$C$4,0),ROUNDDOWN($E1975*ROUND((9*$Y1975-9*$E1975)/(10*$E1975),4),0))))</f>
        <v/>
      </c>
      <c r="AB1975" s="13" t="n"/>
      <c r="AC1975" s="15">
        <f>IF($B1975="","",IF($AB1975&lt;&gt;"",$AB1975,IF($AA1975="","",IF($AA1975&lt;=設定!$C$3,0,$AA1975))))</f>
        <v/>
      </c>
      <c r="AD1975" s="14">
        <f>IF($B1975="","",IF(AND($AE1975&lt;&gt;"",$AG1975="",$AJ1975=""),"保留中",IF($AJ1975&lt;&gt;"",IF(N($AC1975)&gt;0,"支給済","不支給"),IF($AC1975="","要確認",IF($AC1975=0,"不支給","未処理")))))</f>
        <v/>
      </c>
      <c r="AE1975" s="12" t="n"/>
      <c r="AF1975" s="11" t="n"/>
      <c r="AG1975" s="11" t="n"/>
      <c r="AH1975" s="11" t="n"/>
      <c r="AI1975" s="14">
        <f>IF(AND($AD1975="保留中",$AF1975&lt;&gt;""),TODAY()-$AF1975,"")</f>
        <v/>
      </c>
      <c r="AJ1975" s="12" t="n"/>
      <c r="AK1975" s="14">
        <f>IF($B1975="","",IF($AO1975="","対象年月が未入力／","")&amp;IF($B1975="","",IF($AN1975="","職員マスタに未登録の職員番号／",IF($Y1975="","標準報酬月額が未登録／","")&amp;IF(AND($AO1975&lt;&gt;"",OR(AND(INDEX(職員マスタ!$G$6:$G$405,$AN1975)&lt;&gt;"",INDEX(職員マスタ!$G$6:$G$405,$AN1975)&gt;EOMONTH($AO1975,0)),AND(INDEX(職員マスタ!$H$6:$H$405,$AN1975)&lt;&gt;"",INDEX(職員マスタ!$H$6:$H$405,$AN1975)&lt;$AO1975))),"対象月が時短期間外／","")&amp;IF(AND(INDEX(職員マスタ!$F$6:$F$405,$AN1975)&lt;&gt;"",$AO1975&lt;&gt;"",INDEX(職員マスタ!$F$6:$F$405,$AN1975)&lt;$AO1975),"対象月に子が2歳到達済／","")&amp;IF(AND($H1975&lt;&gt;"",INDEX(職員マスタ!$B$6:$B$405,$AN1975)&lt;&gt;"",SUBSTITUTE(SUBSTITUTE($H1975," ","")," ","")&lt;&gt;SUBSTITUTE(SUBSTITUTE(INDEX(職員マスタ!$B$6:$B$405,$AN1975)," ","")," ","")),"氏名がマスタと相違／","")&amp;IF(AND($Q1975&lt;&gt;"",INDEX(職員マスタ!$E$6:$E$405,$AN1975)&lt;&gt;"",$Q1975&lt;&gt;INDEX(職員マスタ!$E$6:$E$405,$AN1975)),"子の生年月日がマスタと相違／","")&amp;IF(AND($L1975&lt;&gt;"",INDEX(職員マスタ!$G$6:$G$405,$AN1975)&lt;&gt;"",$L1975&lt;&gt;INDEX(職員マスタ!$G$6:$G$405,$AN1975)),"時短開始日がマスタと相違／","")&amp;IF(AND($M1975&lt;&gt;"",INDEX(職員マスタ!$H$6:$H$405,$AN1975)&lt;&gt;"",$M1975&lt;&gt;INDEX(職員マスタ!$H$6:$H$405,$AN1975)),"時短終了日がマスタと相違／","")))&amp;IF(AND($B1975&lt;&gt;"",$E1975=""),"報酬額が未入力／","")&amp;IF(N($U1975)&gt;0,"申請書に入力エラーが残っています／","")&amp;IF(AND($B1975&lt;&gt;"",$AO1975&lt;&gt;""),IF(COUNTIFS($B$6:$B$3005,$B1975,$C$6:$C$3005,$C1975,$D$6:$D$3005,$D1975)&gt;1,"同じ月の請求が重複しています／",""),"")&amp;IF(AND(N($E1975)&gt;0,$Z1975&lt;&gt;"",$Z1975&lt;&gt;"×",$AC1975=0,$AB1975=""),"計算額が下限以下のため不支給／",""))</f>
        <v/>
      </c>
      <c r="AL1975" s="12" t="n"/>
      <c r="AM1975" s="14">
        <f>IF($AD1975="保留中",COUNTIF($AD$6:$AD1975,"保留中"),"")</f>
        <v/>
      </c>
      <c r="AN1975" s="14">
        <f>IF($AO1975="","",IF(SUMPRODUCT(MAX((職員マスタ!$A$6:$A$405=$B1975)*(((職員マスタ!$G$6:$G$405="")+(職員マスタ!$G$6:$G$405&lt;=EOMONTH($AO1975,0)))&gt;0)*(((職員マスタ!$H$6:$H$405="")+(職員マスタ!$H$6:$H$405&gt;=$AO1975))&gt;0)*(ROW(職員マスタ!$A$6:$A$405)-5)))&gt;0,SUMPRODUCT(MAX((職員マスタ!$A$6:$A$405=$B1975)*(((職員マスタ!$G$6:$G$405="")+(職員マスタ!$G$6:$G$405&lt;=EOMONTH($AO1975,0)))&gt;0)*(((職員マスタ!$H$6:$H$405="")+(職員マスタ!$H$6:$H$405&gt;=$AO1975))&gt;0)*(ROW(職員マスタ!$A$6:$A$405)-5))),IFERROR(MATCH($B1975,職員マスタ!$A$6:$A$405,0),"")))</f>
        <v/>
      </c>
      <c r="AO1975" s="16">
        <f>IF(OR($B1975="",$C1975="",$D1975=""),"",DATE($C1975+2018,$D1975,1))</f>
        <v/>
      </c>
    </row>
    <row r="1976">
      <c r="A1976" s="11" t="n"/>
      <c r="B1976" s="12" t="n"/>
      <c r="C1976" s="12" t="n"/>
      <c r="D1976" s="12" t="n"/>
      <c r="E1976" s="13" t="n"/>
      <c r="F1976" s="12" t="n"/>
      <c r="G1976" s="13" t="n"/>
      <c r="H1976" s="12" t="n"/>
      <c r="I1976" s="12" t="n"/>
      <c r="J1976" s="12" t="n"/>
      <c r="K1976" s="12" t="n"/>
      <c r="L1976" s="11" t="n"/>
      <c r="M1976" s="11" t="n"/>
      <c r="N1976" s="11" t="n"/>
      <c r="O1976" s="11" t="n"/>
      <c r="P1976" s="12" t="n"/>
      <c r="Q1976" s="11" t="n"/>
      <c r="R1976" s="12" t="n"/>
      <c r="S1976" s="11" t="n"/>
      <c r="T1976" s="12" t="n"/>
      <c r="U1976" s="12" t="n"/>
      <c r="V1976" s="14">
        <f>IF($AN1976="",IF($B1976="","",$H1976),IF(INDEX(職員マスタ!$B$6:$B$405,$AN1976)="",$H1976,INDEX(職員マスタ!$B$6:$B$405,$AN1976)))</f>
        <v/>
      </c>
      <c r="W1976" s="14">
        <f>IF($AN1976="",IF($B1976="","",$R1976),IF(INDEX(職員マスタ!$C$6:$C$405,$AN1976)="",$R1976,INDEX(職員マスタ!$C$6:$C$405,$AN1976)))</f>
        <v/>
      </c>
      <c r="X1976" s="14">
        <f>IF($AO1976="","","R"&amp;$C1976&amp;"."&amp;$D1976)</f>
        <v/>
      </c>
      <c r="Y1976" s="15">
        <f>IF($AN1976="","",IF(INDEX(職員マスタ!$K$6:$K$405,$AN1976)="","",INDEX(職員マスタ!$K$6:$K$405,$AN1976)))</f>
        <v/>
      </c>
      <c r="Z1976" s="14">
        <f>IF(OR($E1976="",$Y1976=""),"",IF($E1976&gt;=$Y1976,"×",IF($E1976&gt;=$Y1976*設定!$C$5,"△","○")))</f>
        <v/>
      </c>
      <c r="AA1976" s="15">
        <f>IF($Z1976="","",IF($Z1976="×",0,IF($Z1976="○",ROUNDDOWN($E1976*設定!$C$4,0),ROUNDDOWN($E1976*ROUND((9*$Y1976-9*$E1976)/(10*$E1976),4),0))))</f>
        <v/>
      </c>
      <c r="AB1976" s="13" t="n"/>
      <c r="AC1976" s="15">
        <f>IF($B1976="","",IF($AB1976&lt;&gt;"",$AB1976,IF($AA1976="","",IF($AA1976&lt;=設定!$C$3,0,$AA1976))))</f>
        <v/>
      </c>
      <c r="AD1976" s="14">
        <f>IF($B1976="","",IF(AND($AE1976&lt;&gt;"",$AG1976="",$AJ1976=""),"保留中",IF($AJ1976&lt;&gt;"",IF(N($AC1976)&gt;0,"支給済","不支給"),IF($AC1976="","要確認",IF($AC1976=0,"不支給","未処理")))))</f>
        <v/>
      </c>
      <c r="AE1976" s="12" t="n"/>
      <c r="AF1976" s="11" t="n"/>
      <c r="AG1976" s="11" t="n"/>
      <c r="AH1976" s="11" t="n"/>
      <c r="AI1976" s="14">
        <f>IF(AND($AD1976="保留中",$AF1976&lt;&gt;""),TODAY()-$AF1976,"")</f>
        <v/>
      </c>
      <c r="AJ1976" s="12" t="n"/>
      <c r="AK1976" s="14">
        <f>IF($B1976="","",IF($AO1976="","対象年月が未入力／","")&amp;IF($B1976="","",IF($AN1976="","職員マスタに未登録の職員番号／",IF($Y1976="","標準報酬月額が未登録／","")&amp;IF(AND($AO1976&lt;&gt;"",OR(AND(INDEX(職員マスタ!$G$6:$G$405,$AN1976)&lt;&gt;"",INDEX(職員マスタ!$G$6:$G$405,$AN1976)&gt;EOMONTH($AO1976,0)),AND(INDEX(職員マスタ!$H$6:$H$405,$AN1976)&lt;&gt;"",INDEX(職員マスタ!$H$6:$H$405,$AN1976)&lt;$AO1976))),"対象月が時短期間外／","")&amp;IF(AND(INDEX(職員マスタ!$F$6:$F$405,$AN1976)&lt;&gt;"",$AO1976&lt;&gt;"",INDEX(職員マスタ!$F$6:$F$405,$AN1976)&lt;$AO1976),"対象月に子が2歳到達済／","")&amp;IF(AND($H1976&lt;&gt;"",INDEX(職員マスタ!$B$6:$B$405,$AN1976)&lt;&gt;"",SUBSTITUTE(SUBSTITUTE($H1976," ","")," ","")&lt;&gt;SUBSTITUTE(SUBSTITUTE(INDEX(職員マスタ!$B$6:$B$405,$AN1976)," ","")," ","")),"氏名がマスタと相違／","")&amp;IF(AND($Q1976&lt;&gt;"",INDEX(職員マスタ!$E$6:$E$405,$AN1976)&lt;&gt;"",$Q1976&lt;&gt;INDEX(職員マスタ!$E$6:$E$405,$AN1976)),"子の生年月日がマスタと相違／","")&amp;IF(AND($L1976&lt;&gt;"",INDEX(職員マスタ!$G$6:$G$405,$AN1976)&lt;&gt;"",$L1976&lt;&gt;INDEX(職員マスタ!$G$6:$G$405,$AN1976)),"時短開始日がマスタと相違／","")&amp;IF(AND($M1976&lt;&gt;"",INDEX(職員マスタ!$H$6:$H$405,$AN1976)&lt;&gt;"",$M1976&lt;&gt;INDEX(職員マスタ!$H$6:$H$405,$AN1976)),"時短終了日がマスタと相違／","")))&amp;IF(AND($B1976&lt;&gt;"",$E1976=""),"報酬額が未入力／","")&amp;IF(N($U1976)&gt;0,"申請書に入力エラーが残っています／","")&amp;IF(AND($B1976&lt;&gt;"",$AO1976&lt;&gt;""),IF(COUNTIFS($B$6:$B$3005,$B1976,$C$6:$C$3005,$C1976,$D$6:$D$3005,$D1976)&gt;1,"同じ月の請求が重複しています／",""),"")&amp;IF(AND(N($E1976)&gt;0,$Z1976&lt;&gt;"",$Z1976&lt;&gt;"×",$AC1976=0,$AB1976=""),"計算額が下限以下のため不支給／",""))</f>
        <v/>
      </c>
      <c r="AL1976" s="12" t="n"/>
      <c r="AM1976" s="14">
        <f>IF($AD1976="保留中",COUNTIF($AD$6:$AD1976,"保留中"),"")</f>
        <v/>
      </c>
      <c r="AN1976" s="14">
        <f>IF($AO1976="","",IF(SUMPRODUCT(MAX((職員マスタ!$A$6:$A$405=$B1976)*(((職員マスタ!$G$6:$G$405="")+(職員マスタ!$G$6:$G$405&lt;=EOMONTH($AO1976,0)))&gt;0)*(((職員マスタ!$H$6:$H$405="")+(職員マスタ!$H$6:$H$405&gt;=$AO1976))&gt;0)*(ROW(職員マスタ!$A$6:$A$405)-5)))&gt;0,SUMPRODUCT(MAX((職員マスタ!$A$6:$A$405=$B1976)*(((職員マスタ!$G$6:$G$405="")+(職員マスタ!$G$6:$G$405&lt;=EOMONTH($AO1976,0)))&gt;0)*(((職員マスタ!$H$6:$H$405="")+(職員マスタ!$H$6:$H$405&gt;=$AO1976))&gt;0)*(ROW(職員マスタ!$A$6:$A$405)-5))),IFERROR(MATCH($B1976,職員マスタ!$A$6:$A$405,0),"")))</f>
        <v/>
      </c>
      <c r="AO1976" s="16">
        <f>IF(OR($B1976="",$C1976="",$D1976=""),"",DATE($C1976+2018,$D1976,1))</f>
        <v/>
      </c>
    </row>
    <row r="1977">
      <c r="A1977" s="11" t="n"/>
      <c r="B1977" s="12" t="n"/>
      <c r="C1977" s="12" t="n"/>
      <c r="D1977" s="12" t="n"/>
      <c r="E1977" s="13" t="n"/>
      <c r="F1977" s="12" t="n"/>
      <c r="G1977" s="13" t="n"/>
      <c r="H1977" s="12" t="n"/>
      <c r="I1977" s="12" t="n"/>
      <c r="J1977" s="12" t="n"/>
      <c r="K1977" s="12" t="n"/>
      <c r="L1977" s="11" t="n"/>
      <c r="M1977" s="11" t="n"/>
      <c r="N1977" s="11" t="n"/>
      <c r="O1977" s="11" t="n"/>
      <c r="P1977" s="12" t="n"/>
      <c r="Q1977" s="11" t="n"/>
      <c r="R1977" s="12" t="n"/>
      <c r="S1977" s="11" t="n"/>
      <c r="T1977" s="12" t="n"/>
      <c r="U1977" s="12" t="n"/>
      <c r="V1977" s="14">
        <f>IF($AN1977="",IF($B1977="","",$H1977),IF(INDEX(職員マスタ!$B$6:$B$405,$AN1977)="",$H1977,INDEX(職員マスタ!$B$6:$B$405,$AN1977)))</f>
        <v/>
      </c>
      <c r="W1977" s="14">
        <f>IF($AN1977="",IF($B1977="","",$R1977),IF(INDEX(職員マスタ!$C$6:$C$405,$AN1977)="",$R1977,INDEX(職員マスタ!$C$6:$C$405,$AN1977)))</f>
        <v/>
      </c>
      <c r="X1977" s="14">
        <f>IF($AO1977="","","R"&amp;$C1977&amp;"."&amp;$D1977)</f>
        <v/>
      </c>
      <c r="Y1977" s="15">
        <f>IF($AN1977="","",IF(INDEX(職員マスタ!$K$6:$K$405,$AN1977)="","",INDEX(職員マスタ!$K$6:$K$405,$AN1977)))</f>
        <v/>
      </c>
      <c r="Z1977" s="14">
        <f>IF(OR($E1977="",$Y1977=""),"",IF($E1977&gt;=$Y1977,"×",IF($E1977&gt;=$Y1977*設定!$C$5,"△","○")))</f>
        <v/>
      </c>
      <c r="AA1977" s="15">
        <f>IF($Z1977="","",IF($Z1977="×",0,IF($Z1977="○",ROUNDDOWN($E1977*設定!$C$4,0),ROUNDDOWN($E1977*ROUND((9*$Y1977-9*$E1977)/(10*$E1977),4),0))))</f>
        <v/>
      </c>
      <c r="AB1977" s="13" t="n"/>
      <c r="AC1977" s="15">
        <f>IF($B1977="","",IF($AB1977&lt;&gt;"",$AB1977,IF($AA1977="","",IF($AA1977&lt;=設定!$C$3,0,$AA1977))))</f>
        <v/>
      </c>
      <c r="AD1977" s="14">
        <f>IF($B1977="","",IF(AND($AE1977&lt;&gt;"",$AG1977="",$AJ1977=""),"保留中",IF($AJ1977&lt;&gt;"",IF(N($AC1977)&gt;0,"支給済","不支給"),IF($AC1977="","要確認",IF($AC1977=0,"不支給","未処理")))))</f>
        <v/>
      </c>
      <c r="AE1977" s="12" t="n"/>
      <c r="AF1977" s="11" t="n"/>
      <c r="AG1977" s="11" t="n"/>
      <c r="AH1977" s="11" t="n"/>
      <c r="AI1977" s="14">
        <f>IF(AND($AD1977="保留中",$AF1977&lt;&gt;""),TODAY()-$AF1977,"")</f>
        <v/>
      </c>
      <c r="AJ1977" s="12" t="n"/>
      <c r="AK1977" s="14">
        <f>IF($B1977="","",IF($AO1977="","対象年月が未入力／","")&amp;IF($B1977="","",IF($AN1977="","職員マスタに未登録の職員番号／",IF($Y1977="","標準報酬月額が未登録／","")&amp;IF(AND($AO1977&lt;&gt;"",OR(AND(INDEX(職員マスタ!$G$6:$G$405,$AN1977)&lt;&gt;"",INDEX(職員マスタ!$G$6:$G$405,$AN1977)&gt;EOMONTH($AO1977,0)),AND(INDEX(職員マスタ!$H$6:$H$405,$AN1977)&lt;&gt;"",INDEX(職員マスタ!$H$6:$H$405,$AN1977)&lt;$AO1977))),"対象月が時短期間外／","")&amp;IF(AND(INDEX(職員マスタ!$F$6:$F$405,$AN1977)&lt;&gt;"",$AO1977&lt;&gt;"",INDEX(職員マスタ!$F$6:$F$405,$AN1977)&lt;$AO1977),"対象月に子が2歳到達済／","")&amp;IF(AND($H1977&lt;&gt;"",INDEX(職員マスタ!$B$6:$B$405,$AN1977)&lt;&gt;"",SUBSTITUTE(SUBSTITUTE($H1977," ","")," ","")&lt;&gt;SUBSTITUTE(SUBSTITUTE(INDEX(職員マスタ!$B$6:$B$405,$AN1977)," ","")," ","")),"氏名がマスタと相違／","")&amp;IF(AND($Q1977&lt;&gt;"",INDEX(職員マスタ!$E$6:$E$405,$AN1977)&lt;&gt;"",$Q1977&lt;&gt;INDEX(職員マスタ!$E$6:$E$405,$AN1977)),"子の生年月日がマスタと相違／","")&amp;IF(AND($L1977&lt;&gt;"",INDEX(職員マスタ!$G$6:$G$405,$AN1977)&lt;&gt;"",$L1977&lt;&gt;INDEX(職員マスタ!$G$6:$G$405,$AN1977)),"時短開始日がマスタと相違／","")&amp;IF(AND($M1977&lt;&gt;"",INDEX(職員マスタ!$H$6:$H$405,$AN1977)&lt;&gt;"",$M1977&lt;&gt;INDEX(職員マスタ!$H$6:$H$405,$AN1977)),"時短終了日がマスタと相違／","")))&amp;IF(AND($B1977&lt;&gt;"",$E1977=""),"報酬額が未入力／","")&amp;IF(N($U1977)&gt;0,"申請書に入力エラーが残っています／","")&amp;IF(AND($B1977&lt;&gt;"",$AO1977&lt;&gt;""),IF(COUNTIFS($B$6:$B$3005,$B1977,$C$6:$C$3005,$C1977,$D$6:$D$3005,$D1977)&gt;1,"同じ月の請求が重複しています／",""),"")&amp;IF(AND(N($E1977)&gt;0,$Z1977&lt;&gt;"",$Z1977&lt;&gt;"×",$AC1977=0,$AB1977=""),"計算額が下限以下のため不支給／",""))</f>
        <v/>
      </c>
      <c r="AL1977" s="12" t="n"/>
      <c r="AM1977" s="14">
        <f>IF($AD1977="保留中",COUNTIF($AD$6:$AD1977,"保留中"),"")</f>
        <v/>
      </c>
      <c r="AN1977" s="14">
        <f>IF($AO1977="","",IF(SUMPRODUCT(MAX((職員マスタ!$A$6:$A$405=$B1977)*(((職員マスタ!$G$6:$G$405="")+(職員マスタ!$G$6:$G$405&lt;=EOMONTH($AO1977,0)))&gt;0)*(((職員マスタ!$H$6:$H$405="")+(職員マスタ!$H$6:$H$405&gt;=$AO1977))&gt;0)*(ROW(職員マスタ!$A$6:$A$405)-5)))&gt;0,SUMPRODUCT(MAX((職員マスタ!$A$6:$A$405=$B1977)*(((職員マスタ!$G$6:$G$405="")+(職員マスタ!$G$6:$G$405&lt;=EOMONTH($AO1977,0)))&gt;0)*(((職員マスタ!$H$6:$H$405="")+(職員マスタ!$H$6:$H$405&gt;=$AO1977))&gt;0)*(ROW(職員マスタ!$A$6:$A$405)-5))),IFERROR(MATCH($B1977,職員マスタ!$A$6:$A$405,0),"")))</f>
        <v/>
      </c>
      <c r="AO1977" s="16">
        <f>IF(OR($B1977="",$C1977="",$D1977=""),"",DATE($C1977+2018,$D1977,1))</f>
        <v/>
      </c>
    </row>
    <row r="1978">
      <c r="A1978" s="11" t="n"/>
      <c r="B1978" s="12" t="n"/>
      <c r="C1978" s="12" t="n"/>
      <c r="D1978" s="12" t="n"/>
      <c r="E1978" s="13" t="n"/>
      <c r="F1978" s="12" t="n"/>
      <c r="G1978" s="13" t="n"/>
      <c r="H1978" s="12" t="n"/>
      <c r="I1978" s="12" t="n"/>
      <c r="J1978" s="12" t="n"/>
      <c r="K1978" s="12" t="n"/>
      <c r="L1978" s="11" t="n"/>
      <c r="M1978" s="11" t="n"/>
      <c r="N1978" s="11" t="n"/>
      <c r="O1978" s="11" t="n"/>
      <c r="P1978" s="12" t="n"/>
      <c r="Q1978" s="11" t="n"/>
      <c r="R1978" s="12" t="n"/>
      <c r="S1978" s="11" t="n"/>
      <c r="T1978" s="12" t="n"/>
      <c r="U1978" s="12" t="n"/>
      <c r="V1978" s="14">
        <f>IF($AN1978="",IF($B1978="","",$H1978),IF(INDEX(職員マスタ!$B$6:$B$405,$AN1978)="",$H1978,INDEX(職員マスタ!$B$6:$B$405,$AN1978)))</f>
        <v/>
      </c>
      <c r="W1978" s="14">
        <f>IF($AN1978="",IF($B1978="","",$R1978),IF(INDEX(職員マスタ!$C$6:$C$405,$AN1978)="",$R1978,INDEX(職員マスタ!$C$6:$C$405,$AN1978)))</f>
        <v/>
      </c>
      <c r="X1978" s="14">
        <f>IF($AO1978="","","R"&amp;$C1978&amp;"."&amp;$D1978)</f>
        <v/>
      </c>
      <c r="Y1978" s="15">
        <f>IF($AN1978="","",IF(INDEX(職員マスタ!$K$6:$K$405,$AN1978)="","",INDEX(職員マスタ!$K$6:$K$405,$AN1978)))</f>
        <v/>
      </c>
      <c r="Z1978" s="14">
        <f>IF(OR($E1978="",$Y1978=""),"",IF($E1978&gt;=$Y1978,"×",IF($E1978&gt;=$Y1978*設定!$C$5,"△","○")))</f>
        <v/>
      </c>
      <c r="AA1978" s="15">
        <f>IF($Z1978="","",IF($Z1978="×",0,IF($Z1978="○",ROUNDDOWN($E1978*設定!$C$4,0),ROUNDDOWN($E1978*ROUND((9*$Y1978-9*$E1978)/(10*$E1978),4),0))))</f>
        <v/>
      </c>
      <c r="AB1978" s="13" t="n"/>
      <c r="AC1978" s="15">
        <f>IF($B1978="","",IF($AB1978&lt;&gt;"",$AB1978,IF($AA1978="","",IF($AA1978&lt;=設定!$C$3,0,$AA1978))))</f>
        <v/>
      </c>
      <c r="AD1978" s="14">
        <f>IF($B1978="","",IF(AND($AE1978&lt;&gt;"",$AG1978="",$AJ1978=""),"保留中",IF($AJ1978&lt;&gt;"",IF(N($AC1978)&gt;0,"支給済","不支給"),IF($AC1978="","要確認",IF($AC1978=0,"不支給","未処理")))))</f>
        <v/>
      </c>
      <c r="AE1978" s="12" t="n"/>
      <c r="AF1978" s="11" t="n"/>
      <c r="AG1978" s="11" t="n"/>
      <c r="AH1978" s="11" t="n"/>
      <c r="AI1978" s="14">
        <f>IF(AND($AD1978="保留中",$AF1978&lt;&gt;""),TODAY()-$AF1978,"")</f>
        <v/>
      </c>
      <c r="AJ1978" s="12" t="n"/>
      <c r="AK1978" s="14">
        <f>IF($B1978="","",IF($AO1978="","対象年月が未入力／","")&amp;IF($B1978="","",IF($AN1978="","職員マスタに未登録の職員番号／",IF($Y1978="","標準報酬月額が未登録／","")&amp;IF(AND($AO1978&lt;&gt;"",OR(AND(INDEX(職員マスタ!$G$6:$G$405,$AN1978)&lt;&gt;"",INDEX(職員マスタ!$G$6:$G$405,$AN1978)&gt;EOMONTH($AO1978,0)),AND(INDEX(職員マスタ!$H$6:$H$405,$AN1978)&lt;&gt;"",INDEX(職員マスタ!$H$6:$H$405,$AN1978)&lt;$AO1978))),"対象月が時短期間外／","")&amp;IF(AND(INDEX(職員マスタ!$F$6:$F$405,$AN1978)&lt;&gt;"",$AO1978&lt;&gt;"",INDEX(職員マスタ!$F$6:$F$405,$AN1978)&lt;$AO1978),"対象月に子が2歳到達済／","")&amp;IF(AND($H1978&lt;&gt;"",INDEX(職員マスタ!$B$6:$B$405,$AN1978)&lt;&gt;"",SUBSTITUTE(SUBSTITUTE($H1978," ","")," ","")&lt;&gt;SUBSTITUTE(SUBSTITUTE(INDEX(職員マスタ!$B$6:$B$405,$AN1978)," ","")," ","")),"氏名がマスタと相違／","")&amp;IF(AND($Q1978&lt;&gt;"",INDEX(職員マスタ!$E$6:$E$405,$AN1978)&lt;&gt;"",$Q1978&lt;&gt;INDEX(職員マスタ!$E$6:$E$405,$AN1978)),"子の生年月日がマスタと相違／","")&amp;IF(AND($L1978&lt;&gt;"",INDEX(職員マスタ!$G$6:$G$405,$AN1978)&lt;&gt;"",$L1978&lt;&gt;INDEX(職員マスタ!$G$6:$G$405,$AN1978)),"時短開始日がマスタと相違／","")&amp;IF(AND($M1978&lt;&gt;"",INDEX(職員マスタ!$H$6:$H$405,$AN1978)&lt;&gt;"",$M1978&lt;&gt;INDEX(職員マスタ!$H$6:$H$405,$AN1978)),"時短終了日がマスタと相違／","")))&amp;IF(AND($B1978&lt;&gt;"",$E1978=""),"報酬額が未入力／","")&amp;IF(N($U1978)&gt;0,"申請書に入力エラーが残っています／","")&amp;IF(AND($B1978&lt;&gt;"",$AO1978&lt;&gt;""),IF(COUNTIFS($B$6:$B$3005,$B1978,$C$6:$C$3005,$C1978,$D$6:$D$3005,$D1978)&gt;1,"同じ月の請求が重複しています／",""),"")&amp;IF(AND(N($E1978)&gt;0,$Z1978&lt;&gt;"",$Z1978&lt;&gt;"×",$AC1978=0,$AB1978=""),"計算額が下限以下のため不支給／",""))</f>
        <v/>
      </c>
      <c r="AL1978" s="12" t="n"/>
      <c r="AM1978" s="14">
        <f>IF($AD1978="保留中",COUNTIF($AD$6:$AD1978,"保留中"),"")</f>
        <v/>
      </c>
      <c r="AN1978" s="14">
        <f>IF($AO1978="","",IF(SUMPRODUCT(MAX((職員マスタ!$A$6:$A$405=$B1978)*(((職員マスタ!$G$6:$G$405="")+(職員マスタ!$G$6:$G$405&lt;=EOMONTH($AO1978,0)))&gt;0)*(((職員マスタ!$H$6:$H$405="")+(職員マスタ!$H$6:$H$405&gt;=$AO1978))&gt;0)*(ROW(職員マスタ!$A$6:$A$405)-5)))&gt;0,SUMPRODUCT(MAX((職員マスタ!$A$6:$A$405=$B1978)*(((職員マスタ!$G$6:$G$405="")+(職員マスタ!$G$6:$G$405&lt;=EOMONTH($AO1978,0)))&gt;0)*(((職員マスタ!$H$6:$H$405="")+(職員マスタ!$H$6:$H$405&gt;=$AO1978))&gt;0)*(ROW(職員マスタ!$A$6:$A$405)-5))),IFERROR(MATCH($B1978,職員マスタ!$A$6:$A$405,0),"")))</f>
        <v/>
      </c>
      <c r="AO1978" s="16">
        <f>IF(OR($B1978="",$C1978="",$D1978=""),"",DATE($C1978+2018,$D1978,1))</f>
        <v/>
      </c>
    </row>
    <row r="1979">
      <c r="A1979" s="11" t="n"/>
      <c r="B1979" s="12" t="n"/>
      <c r="C1979" s="12" t="n"/>
      <c r="D1979" s="12" t="n"/>
      <c r="E1979" s="13" t="n"/>
      <c r="F1979" s="12" t="n"/>
      <c r="G1979" s="13" t="n"/>
      <c r="H1979" s="12" t="n"/>
      <c r="I1979" s="12" t="n"/>
      <c r="J1979" s="12" t="n"/>
      <c r="K1979" s="12" t="n"/>
      <c r="L1979" s="11" t="n"/>
      <c r="M1979" s="11" t="n"/>
      <c r="N1979" s="11" t="n"/>
      <c r="O1979" s="11" t="n"/>
      <c r="P1979" s="12" t="n"/>
      <c r="Q1979" s="11" t="n"/>
      <c r="R1979" s="12" t="n"/>
      <c r="S1979" s="11" t="n"/>
      <c r="T1979" s="12" t="n"/>
      <c r="U1979" s="12" t="n"/>
      <c r="V1979" s="14">
        <f>IF($AN1979="",IF($B1979="","",$H1979),IF(INDEX(職員マスタ!$B$6:$B$405,$AN1979)="",$H1979,INDEX(職員マスタ!$B$6:$B$405,$AN1979)))</f>
        <v/>
      </c>
      <c r="W1979" s="14">
        <f>IF($AN1979="",IF($B1979="","",$R1979),IF(INDEX(職員マスタ!$C$6:$C$405,$AN1979)="",$R1979,INDEX(職員マスタ!$C$6:$C$405,$AN1979)))</f>
        <v/>
      </c>
      <c r="X1979" s="14">
        <f>IF($AO1979="","","R"&amp;$C1979&amp;"."&amp;$D1979)</f>
        <v/>
      </c>
      <c r="Y1979" s="15">
        <f>IF($AN1979="","",IF(INDEX(職員マスタ!$K$6:$K$405,$AN1979)="","",INDEX(職員マスタ!$K$6:$K$405,$AN1979)))</f>
        <v/>
      </c>
      <c r="Z1979" s="14">
        <f>IF(OR($E1979="",$Y1979=""),"",IF($E1979&gt;=$Y1979,"×",IF($E1979&gt;=$Y1979*設定!$C$5,"△","○")))</f>
        <v/>
      </c>
      <c r="AA1979" s="15">
        <f>IF($Z1979="","",IF($Z1979="×",0,IF($Z1979="○",ROUNDDOWN($E1979*設定!$C$4,0),ROUNDDOWN($E1979*ROUND((9*$Y1979-9*$E1979)/(10*$E1979),4),0))))</f>
        <v/>
      </c>
      <c r="AB1979" s="13" t="n"/>
      <c r="AC1979" s="15">
        <f>IF($B1979="","",IF($AB1979&lt;&gt;"",$AB1979,IF($AA1979="","",IF($AA1979&lt;=設定!$C$3,0,$AA1979))))</f>
        <v/>
      </c>
      <c r="AD1979" s="14">
        <f>IF($B1979="","",IF(AND($AE1979&lt;&gt;"",$AG1979="",$AJ1979=""),"保留中",IF($AJ1979&lt;&gt;"",IF(N($AC1979)&gt;0,"支給済","不支給"),IF($AC1979="","要確認",IF($AC1979=0,"不支給","未処理")))))</f>
        <v/>
      </c>
      <c r="AE1979" s="12" t="n"/>
      <c r="AF1979" s="11" t="n"/>
      <c r="AG1979" s="11" t="n"/>
      <c r="AH1979" s="11" t="n"/>
      <c r="AI1979" s="14">
        <f>IF(AND($AD1979="保留中",$AF1979&lt;&gt;""),TODAY()-$AF1979,"")</f>
        <v/>
      </c>
      <c r="AJ1979" s="12" t="n"/>
      <c r="AK1979" s="14">
        <f>IF($B1979="","",IF($AO1979="","対象年月が未入力／","")&amp;IF($B1979="","",IF($AN1979="","職員マスタに未登録の職員番号／",IF($Y1979="","標準報酬月額が未登録／","")&amp;IF(AND($AO1979&lt;&gt;"",OR(AND(INDEX(職員マスタ!$G$6:$G$405,$AN1979)&lt;&gt;"",INDEX(職員マスタ!$G$6:$G$405,$AN1979)&gt;EOMONTH($AO1979,0)),AND(INDEX(職員マスタ!$H$6:$H$405,$AN1979)&lt;&gt;"",INDEX(職員マスタ!$H$6:$H$405,$AN1979)&lt;$AO1979))),"対象月が時短期間外／","")&amp;IF(AND(INDEX(職員マスタ!$F$6:$F$405,$AN1979)&lt;&gt;"",$AO1979&lt;&gt;"",INDEX(職員マスタ!$F$6:$F$405,$AN1979)&lt;$AO1979),"対象月に子が2歳到達済／","")&amp;IF(AND($H1979&lt;&gt;"",INDEX(職員マスタ!$B$6:$B$405,$AN1979)&lt;&gt;"",SUBSTITUTE(SUBSTITUTE($H1979," ","")," ","")&lt;&gt;SUBSTITUTE(SUBSTITUTE(INDEX(職員マスタ!$B$6:$B$405,$AN1979)," ","")," ","")),"氏名がマスタと相違／","")&amp;IF(AND($Q1979&lt;&gt;"",INDEX(職員マスタ!$E$6:$E$405,$AN1979)&lt;&gt;"",$Q1979&lt;&gt;INDEX(職員マスタ!$E$6:$E$405,$AN1979)),"子の生年月日がマスタと相違／","")&amp;IF(AND($L1979&lt;&gt;"",INDEX(職員マスタ!$G$6:$G$405,$AN1979)&lt;&gt;"",$L1979&lt;&gt;INDEX(職員マスタ!$G$6:$G$405,$AN1979)),"時短開始日がマスタと相違／","")&amp;IF(AND($M1979&lt;&gt;"",INDEX(職員マスタ!$H$6:$H$405,$AN1979)&lt;&gt;"",$M1979&lt;&gt;INDEX(職員マスタ!$H$6:$H$405,$AN1979)),"時短終了日がマスタと相違／","")))&amp;IF(AND($B1979&lt;&gt;"",$E1979=""),"報酬額が未入力／","")&amp;IF(N($U1979)&gt;0,"申請書に入力エラーが残っています／","")&amp;IF(AND($B1979&lt;&gt;"",$AO1979&lt;&gt;""),IF(COUNTIFS($B$6:$B$3005,$B1979,$C$6:$C$3005,$C1979,$D$6:$D$3005,$D1979)&gt;1,"同じ月の請求が重複しています／",""),"")&amp;IF(AND(N($E1979)&gt;0,$Z1979&lt;&gt;"",$Z1979&lt;&gt;"×",$AC1979=0,$AB1979=""),"計算額が下限以下のため不支給／",""))</f>
        <v/>
      </c>
      <c r="AL1979" s="12" t="n"/>
      <c r="AM1979" s="14">
        <f>IF($AD1979="保留中",COUNTIF($AD$6:$AD1979,"保留中"),"")</f>
        <v/>
      </c>
      <c r="AN1979" s="14">
        <f>IF($AO1979="","",IF(SUMPRODUCT(MAX((職員マスタ!$A$6:$A$405=$B1979)*(((職員マスタ!$G$6:$G$405="")+(職員マスタ!$G$6:$G$405&lt;=EOMONTH($AO1979,0)))&gt;0)*(((職員マスタ!$H$6:$H$405="")+(職員マスタ!$H$6:$H$405&gt;=$AO1979))&gt;0)*(ROW(職員マスタ!$A$6:$A$405)-5)))&gt;0,SUMPRODUCT(MAX((職員マスタ!$A$6:$A$405=$B1979)*(((職員マスタ!$G$6:$G$405="")+(職員マスタ!$G$6:$G$405&lt;=EOMONTH($AO1979,0)))&gt;0)*(((職員マスタ!$H$6:$H$405="")+(職員マスタ!$H$6:$H$405&gt;=$AO1979))&gt;0)*(ROW(職員マスタ!$A$6:$A$405)-5))),IFERROR(MATCH($B1979,職員マスタ!$A$6:$A$405,0),"")))</f>
        <v/>
      </c>
      <c r="AO1979" s="16">
        <f>IF(OR($B1979="",$C1979="",$D1979=""),"",DATE($C1979+2018,$D1979,1))</f>
        <v/>
      </c>
    </row>
    <row r="1980">
      <c r="A1980" s="11" t="n"/>
      <c r="B1980" s="12" t="n"/>
      <c r="C1980" s="12" t="n"/>
      <c r="D1980" s="12" t="n"/>
      <c r="E1980" s="13" t="n"/>
      <c r="F1980" s="12" t="n"/>
      <c r="G1980" s="13" t="n"/>
      <c r="H1980" s="12" t="n"/>
      <c r="I1980" s="12" t="n"/>
      <c r="J1980" s="12" t="n"/>
      <c r="K1980" s="12" t="n"/>
      <c r="L1980" s="11" t="n"/>
      <c r="M1980" s="11" t="n"/>
      <c r="N1980" s="11" t="n"/>
      <c r="O1980" s="11" t="n"/>
      <c r="P1980" s="12" t="n"/>
      <c r="Q1980" s="11" t="n"/>
      <c r="R1980" s="12" t="n"/>
      <c r="S1980" s="11" t="n"/>
      <c r="T1980" s="12" t="n"/>
      <c r="U1980" s="12" t="n"/>
      <c r="V1980" s="14">
        <f>IF($AN1980="",IF($B1980="","",$H1980),IF(INDEX(職員マスタ!$B$6:$B$405,$AN1980)="",$H1980,INDEX(職員マスタ!$B$6:$B$405,$AN1980)))</f>
        <v/>
      </c>
      <c r="W1980" s="14">
        <f>IF($AN1980="",IF($B1980="","",$R1980),IF(INDEX(職員マスタ!$C$6:$C$405,$AN1980)="",$R1980,INDEX(職員マスタ!$C$6:$C$405,$AN1980)))</f>
        <v/>
      </c>
      <c r="X1980" s="14">
        <f>IF($AO1980="","","R"&amp;$C1980&amp;"."&amp;$D1980)</f>
        <v/>
      </c>
      <c r="Y1980" s="15">
        <f>IF($AN1980="","",IF(INDEX(職員マスタ!$K$6:$K$405,$AN1980)="","",INDEX(職員マスタ!$K$6:$K$405,$AN1980)))</f>
        <v/>
      </c>
      <c r="Z1980" s="14">
        <f>IF(OR($E1980="",$Y1980=""),"",IF($E1980&gt;=$Y1980,"×",IF($E1980&gt;=$Y1980*設定!$C$5,"△","○")))</f>
        <v/>
      </c>
      <c r="AA1980" s="15">
        <f>IF($Z1980="","",IF($Z1980="×",0,IF($Z1980="○",ROUNDDOWN($E1980*設定!$C$4,0),ROUNDDOWN($E1980*ROUND((9*$Y1980-9*$E1980)/(10*$E1980),4),0))))</f>
        <v/>
      </c>
      <c r="AB1980" s="13" t="n"/>
      <c r="AC1980" s="15">
        <f>IF($B1980="","",IF($AB1980&lt;&gt;"",$AB1980,IF($AA1980="","",IF($AA1980&lt;=設定!$C$3,0,$AA1980))))</f>
        <v/>
      </c>
      <c r="AD1980" s="14">
        <f>IF($B1980="","",IF(AND($AE1980&lt;&gt;"",$AG1980="",$AJ1980=""),"保留中",IF($AJ1980&lt;&gt;"",IF(N($AC1980)&gt;0,"支給済","不支給"),IF($AC1980="","要確認",IF($AC1980=0,"不支給","未処理")))))</f>
        <v/>
      </c>
      <c r="AE1980" s="12" t="n"/>
      <c r="AF1980" s="11" t="n"/>
      <c r="AG1980" s="11" t="n"/>
      <c r="AH1980" s="11" t="n"/>
      <c r="AI1980" s="14">
        <f>IF(AND($AD1980="保留中",$AF1980&lt;&gt;""),TODAY()-$AF1980,"")</f>
        <v/>
      </c>
      <c r="AJ1980" s="12" t="n"/>
      <c r="AK1980" s="14">
        <f>IF($B1980="","",IF($AO1980="","対象年月が未入力／","")&amp;IF($B1980="","",IF($AN1980="","職員マスタに未登録の職員番号／",IF($Y1980="","標準報酬月額が未登録／","")&amp;IF(AND($AO1980&lt;&gt;"",OR(AND(INDEX(職員マスタ!$G$6:$G$405,$AN1980)&lt;&gt;"",INDEX(職員マスタ!$G$6:$G$405,$AN1980)&gt;EOMONTH($AO1980,0)),AND(INDEX(職員マスタ!$H$6:$H$405,$AN1980)&lt;&gt;"",INDEX(職員マスタ!$H$6:$H$405,$AN1980)&lt;$AO1980))),"対象月が時短期間外／","")&amp;IF(AND(INDEX(職員マスタ!$F$6:$F$405,$AN1980)&lt;&gt;"",$AO1980&lt;&gt;"",INDEX(職員マスタ!$F$6:$F$405,$AN1980)&lt;$AO1980),"対象月に子が2歳到達済／","")&amp;IF(AND($H1980&lt;&gt;"",INDEX(職員マスタ!$B$6:$B$405,$AN1980)&lt;&gt;"",SUBSTITUTE(SUBSTITUTE($H1980," ","")," ","")&lt;&gt;SUBSTITUTE(SUBSTITUTE(INDEX(職員マスタ!$B$6:$B$405,$AN1980)," ","")," ","")),"氏名がマスタと相違／","")&amp;IF(AND($Q1980&lt;&gt;"",INDEX(職員マスタ!$E$6:$E$405,$AN1980)&lt;&gt;"",$Q1980&lt;&gt;INDEX(職員マスタ!$E$6:$E$405,$AN1980)),"子の生年月日がマスタと相違／","")&amp;IF(AND($L1980&lt;&gt;"",INDEX(職員マスタ!$G$6:$G$405,$AN1980)&lt;&gt;"",$L1980&lt;&gt;INDEX(職員マスタ!$G$6:$G$405,$AN1980)),"時短開始日がマスタと相違／","")&amp;IF(AND($M1980&lt;&gt;"",INDEX(職員マスタ!$H$6:$H$405,$AN1980)&lt;&gt;"",$M1980&lt;&gt;INDEX(職員マスタ!$H$6:$H$405,$AN1980)),"時短終了日がマスタと相違／","")))&amp;IF(AND($B1980&lt;&gt;"",$E1980=""),"報酬額が未入力／","")&amp;IF(N($U1980)&gt;0,"申請書に入力エラーが残っています／","")&amp;IF(AND($B1980&lt;&gt;"",$AO1980&lt;&gt;""),IF(COUNTIFS($B$6:$B$3005,$B1980,$C$6:$C$3005,$C1980,$D$6:$D$3005,$D1980)&gt;1,"同じ月の請求が重複しています／",""),"")&amp;IF(AND(N($E1980)&gt;0,$Z1980&lt;&gt;"",$Z1980&lt;&gt;"×",$AC1980=0,$AB1980=""),"計算額が下限以下のため不支給／",""))</f>
        <v/>
      </c>
      <c r="AL1980" s="12" t="n"/>
      <c r="AM1980" s="14">
        <f>IF($AD1980="保留中",COUNTIF($AD$6:$AD1980,"保留中"),"")</f>
        <v/>
      </c>
      <c r="AN1980" s="14">
        <f>IF($AO1980="","",IF(SUMPRODUCT(MAX((職員マスタ!$A$6:$A$405=$B1980)*(((職員マスタ!$G$6:$G$405="")+(職員マスタ!$G$6:$G$405&lt;=EOMONTH($AO1980,0)))&gt;0)*(((職員マスタ!$H$6:$H$405="")+(職員マスタ!$H$6:$H$405&gt;=$AO1980))&gt;0)*(ROW(職員マスタ!$A$6:$A$405)-5)))&gt;0,SUMPRODUCT(MAX((職員マスタ!$A$6:$A$405=$B1980)*(((職員マスタ!$G$6:$G$405="")+(職員マスタ!$G$6:$G$405&lt;=EOMONTH($AO1980,0)))&gt;0)*(((職員マスタ!$H$6:$H$405="")+(職員マスタ!$H$6:$H$405&gt;=$AO1980))&gt;0)*(ROW(職員マスタ!$A$6:$A$405)-5))),IFERROR(MATCH($B1980,職員マスタ!$A$6:$A$405,0),"")))</f>
        <v/>
      </c>
      <c r="AO1980" s="16">
        <f>IF(OR($B1980="",$C1980="",$D1980=""),"",DATE($C1980+2018,$D1980,1))</f>
        <v/>
      </c>
    </row>
    <row r="1981">
      <c r="A1981" s="11" t="n"/>
      <c r="B1981" s="12" t="n"/>
      <c r="C1981" s="12" t="n"/>
      <c r="D1981" s="12" t="n"/>
      <c r="E1981" s="13" t="n"/>
      <c r="F1981" s="12" t="n"/>
      <c r="G1981" s="13" t="n"/>
      <c r="H1981" s="12" t="n"/>
      <c r="I1981" s="12" t="n"/>
      <c r="J1981" s="12" t="n"/>
      <c r="K1981" s="12" t="n"/>
      <c r="L1981" s="11" t="n"/>
      <c r="M1981" s="11" t="n"/>
      <c r="N1981" s="11" t="n"/>
      <c r="O1981" s="11" t="n"/>
      <c r="P1981" s="12" t="n"/>
      <c r="Q1981" s="11" t="n"/>
      <c r="R1981" s="12" t="n"/>
      <c r="S1981" s="11" t="n"/>
      <c r="T1981" s="12" t="n"/>
      <c r="U1981" s="12" t="n"/>
      <c r="V1981" s="14">
        <f>IF($AN1981="",IF($B1981="","",$H1981),IF(INDEX(職員マスタ!$B$6:$B$405,$AN1981)="",$H1981,INDEX(職員マスタ!$B$6:$B$405,$AN1981)))</f>
        <v/>
      </c>
      <c r="W1981" s="14">
        <f>IF($AN1981="",IF($B1981="","",$R1981),IF(INDEX(職員マスタ!$C$6:$C$405,$AN1981)="",$R1981,INDEX(職員マスタ!$C$6:$C$405,$AN1981)))</f>
        <v/>
      </c>
      <c r="X1981" s="14">
        <f>IF($AO1981="","","R"&amp;$C1981&amp;"."&amp;$D1981)</f>
        <v/>
      </c>
      <c r="Y1981" s="15">
        <f>IF($AN1981="","",IF(INDEX(職員マスタ!$K$6:$K$405,$AN1981)="","",INDEX(職員マスタ!$K$6:$K$405,$AN1981)))</f>
        <v/>
      </c>
      <c r="Z1981" s="14">
        <f>IF(OR($E1981="",$Y1981=""),"",IF($E1981&gt;=$Y1981,"×",IF($E1981&gt;=$Y1981*設定!$C$5,"△","○")))</f>
        <v/>
      </c>
      <c r="AA1981" s="15">
        <f>IF($Z1981="","",IF($Z1981="×",0,IF($Z1981="○",ROUNDDOWN($E1981*設定!$C$4,0),ROUNDDOWN($E1981*ROUND((9*$Y1981-9*$E1981)/(10*$E1981),4),0))))</f>
        <v/>
      </c>
      <c r="AB1981" s="13" t="n"/>
      <c r="AC1981" s="15">
        <f>IF($B1981="","",IF($AB1981&lt;&gt;"",$AB1981,IF($AA1981="","",IF($AA1981&lt;=設定!$C$3,0,$AA1981))))</f>
        <v/>
      </c>
      <c r="AD1981" s="14">
        <f>IF($B1981="","",IF(AND($AE1981&lt;&gt;"",$AG1981="",$AJ1981=""),"保留中",IF($AJ1981&lt;&gt;"",IF(N($AC1981)&gt;0,"支給済","不支給"),IF($AC1981="","要確認",IF($AC1981=0,"不支給","未処理")))))</f>
        <v/>
      </c>
      <c r="AE1981" s="12" t="n"/>
      <c r="AF1981" s="11" t="n"/>
      <c r="AG1981" s="11" t="n"/>
      <c r="AH1981" s="11" t="n"/>
      <c r="AI1981" s="14">
        <f>IF(AND($AD1981="保留中",$AF1981&lt;&gt;""),TODAY()-$AF1981,"")</f>
        <v/>
      </c>
      <c r="AJ1981" s="12" t="n"/>
      <c r="AK1981" s="14">
        <f>IF($B1981="","",IF($AO1981="","対象年月が未入力／","")&amp;IF($B1981="","",IF($AN1981="","職員マスタに未登録の職員番号／",IF($Y1981="","標準報酬月額が未登録／","")&amp;IF(AND($AO1981&lt;&gt;"",OR(AND(INDEX(職員マスタ!$G$6:$G$405,$AN1981)&lt;&gt;"",INDEX(職員マスタ!$G$6:$G$405,$AN1981)&gt;EOMONTH($AO1981,0)),AND(INDEX(職員マスタ!$H$6:$H$405,$AN1981)&lt;&gt;"",INDEX(職員マスタ!$H$6:$H$405,$AN1981)&lt;$AO1981))),"対象月が時短期間外／","")&amp;IF(AND(INDEX(職員マスタ!$F$6:$F$405,$AN1981)&lt;&gt;"",$AO1981&lt;&gt;"",INDEX(職員マスタ!$F$6:$F$405,$AN1981)&lt;$AO1981),"対象月に子が2歳到達済／","")&amp;IF(AND($H1981&lt;&gt;"",INDEX(職員マスタ!$B$6:$B$405,$AN1981)&lt;&gt;"",SUBSTITUTE(SUBSTITUTE($H1981," ","")," ","")&lt;&gt;SUBSTITUTE(SUBSTITUTE(INDEX(職員マスタ!$B$6:$B$405,$AN1981)," ","")," ","")),"氏名がマスタと相違／","")&amp;IF(AND($Q1981&lt;&gt;"",INDEX(職員マスタ!$E$6:$E$405,$AN1981)&lt;&gt;"",$Q1981&lt;&gt;INDEX(職員マスタ!$E$6:$E$405,$AN1981)),"子の生年月日がマスタと相違／","")&amp;IF(AND($L1981&lt;&gt;"",INDEX(職員マスタ!$G$6:$G$405,$AN1981)&lt;&gt;"",$L1981&lt;&gt;INDEX(職員マスタ!$G$6:$G$405,$AN1981)),"時短開始日がマスタと相違／","")&amp;IF(AND($M1981&lt;&gt;"",INDEX(職員マスタ!$H$6:$H$405,$AN1981)&lt;&gt;"",$M1981&lt;&gt;INDEX(職員マスタ!$H$6:$H$405,$AN1981)),"時短終了日がマスタと相違／","")))&amp;IF(AND($B1981&lt;&gt;"",$E1981=""),"報酬額が未入力／","")&amp;IF(N($U1981)&gt;0,"申請書に入力エラーが残っています／","")&amp;IF(AND($B1981&lt;&gt;"",$AO1981&lt;&gt;""),IF(COUNTIFS($B$6:$B$3005,$B1981,$C$6:$C$3005,$C1981,$D$6:$D$3005,$D1981)&gt;1,"同じ月の請求が重複しています／",""),"")&amp;IF(AND(N($E1981)&gt;0,$Z1981&lt;&gt;"",$Z1981&lt;&gt;"×",$AC1981=0,$AB1981=""),"計算額が下限以下のため不支給／",""))</f>
        <v/>
      </c>
      <c r="AL1981" s="12" t="n"/>
      <c r="AM1981" s="14">
        <f>IF($AD1981="保留中",COUNTIF($AD$6:$AD1981,"保留中"),"")</f>
        <v/>
      </c>
      <c r="AN1981" s="14">
        <f>IF($AO1981="","",IF(SUMPRODUCT(MAX((職員マスタ!$A$6:$A$405=$B1981)*(((職員マスタ!$G$6:$G$405="")+(職員マスタ!$G$6:$G$405&lt;=EOMONTH($AO1981,0)))&gt;0)*(((職員マスタ!$H$6:$H$405="")+(職員マスタ!$H$6:$H$405&gt;=$AO1981))&gt;0)*(ROW(職員マスタ!$A$6:$A$405)-5)))&gt;0,SUMPRODUCT(MAX((職員マスタ!$A$6:$A$405=$B1981)*(((職員マスタ!$G$6:$G$405="")+(職員マスタ!$G$6:$G$405&lt;=EOMONTH($AO1981,0)))&gt;0)*(((職員マスタ!$H$6:$H$405="")+(職員マスタ!$H$6:$H$405&gt;=$AO1981))&gt;0)*(ROW(職員マスタ!$A$6:$A$405)-5))),IFERROR(MATCH($B1981,職員マスタ!$A$6:$A$405,0),"")))</f>
        <v/>
      </c>
      <c r="AO1981" s="16">
        <f>IF(OR($B1981="",$C1981="",$D1981=""),"",DATE($C1981+2018,$D1981,1))</f>
        <v/>
      </c>
    </row>
    <row r="1982">
      <c r="A1982" s="11" t="n"/>
      <c r="B1982" s="12" t="n"/>
      <c r="C1982" s="12" t="n"/>
      <c r="D1982" s="12" t="n"/>
      <c r="E1982" s="13" t="n"/>
      <c r="F1982" s="12" t="n"/>
      <c r="G1982" s="13" t="n"/>
      <c r="H1982" s="12" t="n"/>
      <c r="I1982" s="12" t="n"/>
      <c r="J1982" s="12" t="n"/>
      <c r="K1982" s="12" t="n"/>
      <c r="L1982" s="11" t="n"/>
      <c r="M1982" s="11" t="n"/>
      <c r="N1982" s="11" t="n"/>
      <c r="O1982" s="11" t="n"/>
      <c r="P1982" s="12" t="n"/>
      <c r="Q1982" s="11" t="n"/>
      <c r="R1982" s="12" t="n"/>
      <c r="S1982" s="11" t="n"/>
      <c r="T1982" s="12" t="n"/>
      <c r="U1982" s="12" t="n"/>
      <c r="V1982" s="14">
        <f>IF($AN1982="",IF($B1982="","",$H1982),IF(INDEX(職員マスタ!$B$6:$B$405,$AN1982)="",$H1982,INDEX(職員マスタ!$B$6:$B$405,$AN1982)))</f>
        <v/>
      </c>
      <c r="W1982" s="14">
        <f>IF($AN1982="",IF($B1982="","",$R1982),IF(INDEX(職員マスタ!$C$6:$C$405,$AN1982)="",$R1982,INDEX(職員マスタ!$C$6:$C$405,$AN1982)))</f>
        <v/>
      </c>
      <c r="X1982" s="14">
        <f>IF($AO1982="","","R"&amp;$C1982&amp;"."&amp;$D1982)</f>
        <v/>
      </c>
      <c r="Y1982" s="15">
        <f>IF($AN1982="","",IF(INDEX(職員マスタ!$K$6:$K$405,$AN1982)="","",INDEX(職員マスタ!$K$6:$K$405,$AN1982)))</f>
        <v/>
      </c>
      <c r="Z1982" s="14">
        <f>IF(OR($E1982="",$Y1982=""),"",IF($E1982&gt;=$Y1982,"×",IF($E1982&gt;=$Y1982*設定!$C$5,"△","○")))</f>
        <v/>
      </c>
      <c r="AA1982" s="15">
        <f>IF($Z1982="","",IF($Z1982="×",0,IF($Z1982="○",ROUNDDOWN($E1982*設定!$C$4,0),ROUNDDOWN($E1982*ROUND((9*$Y1982-9*$E1982)/(10*$E1982),4),0))))</f>
        <v/>
      </c>
      <c r="AB1982" s="13" t="n"/>
      <c r="AC1982" s="15">
        <f>IF($B1982="","",IF($AB1982&lt;&gt;"",$AB1982,IF($AA1982="","",IF($AA1982&lt;=設定!$C$3,0,$AA1982))))</f>
        <v/>
      </c>
      <c r="AD1982" s="14">
        <f>IF($B1982="","",IF(AND($AE1982&lt;&gt;"",$AG1982="",$AJ1982=""),"保留中",IF($AJ1982&lt;&gt;"",IF(N($AC1982)&gt;0,"支給済","不支給"),IF($AC1982="","要確認",IF($AC1982=0,"不支給","未処理")))))</f>
        <v/>
      </c>
      <c r="AE1982" s="12" t="n"/>
      <c r="AF1982" s="11" t="n"/>
      <c r="AG1982" s="11" t="n"/>
      <c r="AH1982" s="11" t="n"/>
      <c r="AI1982" s="14">
        <f>IF(AND($AD1982="保留中",$AF1982&lt;&gt;""),TODAY()-$AF1982,"")</f>
        <v/>
      </c>
      <c r="AJ1982" s="12" t="n"/>
      <c r="AK1982" s="14">
        <f>IF($B1982="","",IF($AO1982="","対象年月が未入力／","")&amp;IF($B1982="","",IF($AN1982="","職員マスタに未登録の職員番号／",IF($Y1982="","標準報酬月額が未登録／","")&amp;IF(AND($AO1982&lt;&gt;"",OR(AND(INDEX(職員マスタ!$G$6:$G$405,$AN1982)&lt;&gt;"",INDEX(職員マスタ!$G$6:$G$405,$AN1982)&gt;EOMONTH($AO1982,0)),AND(INDEX(職員マスタ!$H$6:$H$405,$AN1982)&lt;&gt;"",INDEX(職員マスタ!$H$6:$H$405,$AN1982)&lt;$AO1982))),"対象月が時短期間外／","")&amp;IF(AND(INDEX(職員マスタ!$F$6:$F$405,$AN1982)&lt;&gt;"",$AO1982&lt;&gt;"",INDEX(職員マスタ!$F$6:$F$405,$AN1982)&lt;$AO1982),"対象月に子が2歳到達済／","")&amp;IF(AND($H1982&lt;&gt;"",INDEX(職員マスタ!$B$6:$B$405,$AN1982)&lt;&gt;"",SUBSTITUTE(SUBSTITUTE($H1982," ","")," ","")&lt;&gt;SUBSTITUTE(SUBSTITUTE(INDEX(職員マスタ!$B$6:$B$405,$AN1982)," ","")," ","")),"氏名がマスタと相違／","")&amp;IF(AND($Q1982&lt;&gt;"",INDEX(職員マスタ!$E$6:$E$405,$AN1982)&lt;&gt;"",$Q1982&lt;&gt;INDEX(職員マスタ!$E$6:$E$405,$AN1982)),"子の生年月日がマスタと相違／","")&amp;IF(AND($L1982&lt;&gt;"",INDEX(職員マスタ!$G$6:$G$405,$AN1982)&lt;&gt;"",$L1982&lt;&gt;INDEX(職員マスタ!$G$6:$G$405,$AN1982)),"時短開始日がマスタと相違／","")&amp;IF(AND($M1982&lt;&gt;"",INDEX(職員マスタ!$H$6:$H$405,$AN1982)&lt;&gt;"",$M1982&lt;&gt;INDEX(職員マスタ!$H$6:$H$405,$AN1982)),"時短終了日がマスタと相違／","")))&amp;IF(AND($B1982&lt;&gt;"",$E1982=""),"報酬額が未入力／","")&amp;IF(N($U1982)&gt;0,"申請書に入力エラーが残っています／","")&amp;IF(AND($B1982&lt;&gt;"",$AO1982&lt;&gt;""),IF(COUNTIFS($B$6:$B$3005,$B1982,$C$6:$C$3005,$C1982,$D$6:$D$3005,$D1982)&gt;1,"同じ月の請求が重複しています／",""),"")&amp;IF(AND(N($E1982)&gt;0,$Z1982&lt;&gt;"",$Z1982&lt;&gt;"×",$AC1982=0,$AB1982=""),"計算額が下限以下のため不支給／",""))</f>
        <v/>
      </c>
      <c r="AL1982" s="12" t="n"/>
      <c r="AM1982" s="14">
        <f>IF($AD1982="保留中",COUNTIF($AD$6:$AD1982,"保留中"),"")</f>
        <v/>
      </c>
      <c r="AN1982" s="14">
        <f>IF($AO1982="","",IF(SUMPRODUCT(MAX((職員マスタ!$A$6:$A$405=$B1982)*(((職員マスタ!$G$6:$G$405="")+(職員マスタ!$G$6:$G$405&lt;=EOMONTH($AO1982,0)))&gt;0)*(((職員マスタ!$H$6:$H$405="")+(職員マスタ!$H$6:$H$405&gt;=$AO1982))&gt;0)*(ROW(職員マスタ!$A$6:$A$405)-5)))&gt;0,SUMPRODUCT(MAX((職員マスタ!$A$6:$A$405=$B1982)*(((職員マスタ!$G$6:$G$405="")+(職員マスタ!$G$6:$G$405&lt;=EOMONTH($AO1982,0)))&gt;0)*(((職員マスタ!$H$6:$H$405="")+(職員マスタ!$H$6:$H$405&gt;=$AO1982))&gt;0)*(ROW(職員マスタ!$A$6:$A$405)-5))),IFERROR(MATCH($B1982,職員マスタ!$A$6:$A$405,0),"")))</f>
        <v/>
      </c>
      <c r="AO1982" s="16">
        <f>IF(OR($B1982="",$C1982="",$D1982=""),"",DATE($C1982+2018,$D1982,1))</f>
        <v/>
      </c>
    </row>
    <row r="1983">
      <c r="A1983" s="11" t="n"/>
      <c r="B1983" s="12" t="n"/>
      <c r="C1983" s="12" t="n"/>
      <c r="D1983" s="12" t="n"/>
      <c r="E1983" s="13" t="n"/>
      <c r="F1983" s="12" t="n"/>
      <c r="G1983" s="13" t="n"/>
      <c r="H1983" s="12" t="n"/>
      <c r="I1983" s="12" t="n"/>
      <c r="J1983" s="12" t="n"/>
      <c r="K1983" s="12" t="n"/>
      <c r="L1983" s="11" t="n"/>
      <c r="M1983" s="11" t="n"/>
      <c r="N1983" s="11" t="n"/>
      <c r="O1983" s="11" t="n"/>
      <c r="P1983" s="12" t="n"/>
      <c r="Q1983" s="11" t="n"/>
      <c r="R1983" s="12" t="n"/>
      <c r="S1983" s="11" t="n"/>
      <c r="T1983" s="12" t="n"/>
      <c r="U1983" s="12" t="n"/>
      <c r="V1983" s="14">
        <f>IF($AN1983="",IF($B1983="","",$H1983),IF(INDEX(職員マスタ!$B$6:$B$405,$AN1983)="",$H1983,INDEX(職員マスタ!$B$6:$B$405,$AN1983)))</f>
        <v/>
      </c>
      <c r="W1983" s="14">
        <f>IF($AN1983="",IF($B1983="","",$R1983),IF(INDEX(職員マスタ!$C$6:$C$405,$AN1983)="",$R1983,INDEX(職員マスタ!$C$6:$C$405,$AN1983)))</f>
        <v/>
      </c>
      <c r="X1983" s="14">
        <f>IF($AO1983="","","R"&amp;$C1983&amp;"."&amp;$D1983)</f>
        <v/>
      </c>
      <c r="Y1983" s="15">
        <f>IF($AN1983="","",IF(INDEX(職員マスタ!$K$6:$K$405,$AN1983)="","",INDEX(職員マスタ!$K$6:$K$405,$AN1983)))</f>
        <v/>
      </c>
      <c r="Z1983" s="14">
        <f>IF(OR($E1983="",$Y1983=""),"",IF($E1983&gt;=$Y1983,"×",IF($E1983&gt;=$Y1983*設定!$C$5,"△","○")))</f>
        <v/>
      </c>
      <c r="AA1983" s="15">
        <f>IF($Z1983="","",IF($Z1983="×",0,IF($Z1983="○",ROUNDDOWN($E1983*設定!$C$4,0),ROUNDDOWN($E1983*ROUND((9*$Y1983-9*$E1983)/(10*$E1983),4),0))))</f>
        <v/>
      </c>
      <c r="AB1983" s="13" t="n"/>
      <c r="AC1983" s="15">
        <f>IF($B1983="","",IF($AB1983&lt;&gt;"",$AB1983,IF($AA1983="","",IF($AA1983&lt;=設定!$C$3,0,$AA1983))))</f>
        <v/>
      </c>
      <c r="AD1983" s="14">
        <f>IF($B1983="","",IF(AND($AE1983&lt;&gt;"",$AG1983="",$AJ1983=""),"保留中",IF($AJ1983&lt;&gt;"",IF(N($AC1983)&gt;0,"支給済","不支給"),IF($AC1983="","要確認",IF($AC1983=0,"不支給","未処理")))))</f>
        <v/>
      </c>
      <c r="AE1983" s="12" t="n"/>
      <c r="AF1983" s="11" t="n"/>
      <c r="AG1983" s="11" t="n"/>
      <c r="AH1983" s="11" t="n"/>
      <c r="AI1983" s="14">
        <f>IF(AND($AD1983="保留中",$AF1983&lt;&gt;""),TODAY()-$AF1983,"")</f>
        <v/>
      </c>
      <c r="AJ1983" s="12" t="n"/>
      <c r="AK1983" s="14">
        <f>IF($B1983="","",IF($AO1983="","対象年月が未入力／","")&amp;IF($B1983="","",IF($AN1983="","職員マスタに未登録の職員番号／",IF($Y1983="","標準報酬月額が未登録／","")&amp;IF(AND($AO1983&lt;&gt;"",OR(AND(INDEX(職員マスタ!$G$6:$G$405,$AN1983)&lt;&gt;"",INDEX(職員マスタ!$G$6:$G$405,$AN1983)&gt;EOMONTH($AO1983,0)),AND(INDEX(職員マスタ!$H$6:$H$405,$AN1983)&lt;&gt;"",INDEX(職員マスタ!$H$6:$H$405,$AN1983)&lt;$AO1983))),"対象月が時短期間外／","")&amp;IF(AND(INDEX(職員マスタ!$F$6:$F$405,$AN1983)&lt;&gt;"",$AO1983&lt;&gt;"",INDEX(職員マスタ!$F$6:$F$405,$AN1983)&lt;$AO1983),"対象月に子が2歳到達済／","")&amp;IF(AND($H1983&lt;&gt;"",INDEX(職員マスタ!$B$6:$B$405,$AN1983)&lt;&gt;"",SUBSTITUTE(SUBSTITUTE($H1983," ","")," ","")&lt;&gt;SUBSTITUTE(SUBSTITUTE(INDEX(職員マスタ!$B$6:$B$405,$AN1983)," ","")," ","")),"氏名がマスタと相違／","")&amp;IF(AND($Q1983&lt;&gt;"",INDEX(職員マスタ!$E$6:$E$405,$AN1983)&lt;&gt;"",$Q1983&lt;&gt;INDEX(職員マスタ!$E$6:$E$405,$AN1983)),"子の生年月日がマスタと相違／","")&amp;IF(AND($L1983&lt;&gt;"",INDEX(職員マスタ!$G$6:$G$405,$AN1983)&lt;&gt;"",$L1983&lt;&gt;INDEX(職員マスタ!$G$6:$G$405,$AN1983)),"時短開始日がマスタと相違／","")&amp;IF(AND($M1983&lt;&gt;"",INDEX(職員マスタ!$H$6:$H$405,$AN1983)&lt;&gt;"",$M1983&lt;&gt;INDEX(職員マスタ!$H$6:$H$405,$AN1983)),"時短終了日がマスタと相違／","")))&amp;IF(AND($B1983&lt;&gt;"",$E1983=""),"報酬額が未入力／","")&amp;IF(N($U1983)&gt;0,"申請書に入力エラーが残っています／","")&amp;IF(AND($B1983&lt;&gt;"",$AO1983&lt;&gt;""),IF(COUNTIFS($B$6:$B$3005,$B1983,$C$6:$C$3005,$C1983,$D$6:$D$3005,$D1983)&gt;1,"同じ月の請求が重複しています／",""),"")&amp;IF(AND(N($E1983)&gt;0,$Z1983&lt;&gt;"",$Z1983&lt;&gt;"×",$AC1983=0,$AB1983=""),"計算額が下限以下のため不支給／",""))</f>
        <v/>
      </c>
      <c r="AL1983" s="12" t="n"/>
      <c r="AM1983" s="14">
        <f>IF($AD1983="保留中",COUNTIF($AD$6:$AD1983,"保留中"),"")</f>
        <v/>
      </c>
      <c r="AN1983" s="14">
        <f>IF($AO1983="","",IF(SUMPRODUCT(MAX((職員マスタ!$A$6:$A$405=$B1983)*(((職員マスタ!$G$6:$G$405="")+(職員マスタ!$G$6:$G$405&lt;=EOMONTH($AO1983,0)))&gt;0)*(((職員マスタ!$H$6:$H$405="")+(職員マスタ!$H$6:$H$405&gt;=$AO1983))&gt;0)*(ROW(職員マスタ!$A$6:$A$405)-5)))&gt;0,SUMPRODUCT(MAX((職員マスタ!$A$6:$A$405=$B1983)*(((職員マスタ!$G$6:$G$405="")+(職員マスタ!$G$6:$G$405&lt;=EOMONTH($AO1983,0)))&gt;0)*(((職員マスタ!$H$6:$H$405="")+(職員マスタ!$H$6:$H$405&gt;=$AO1983))&gt;0)*(ROW(職員マスタ!$A$6:$A$405)-5))),IFERROR(MATCH($B1983,職員マスタ!$A$6:$A$405,0),"")))</f>
        <v/>
      </c>
      <c r="AO1983" s="16">
        <f>IF(OR($B1983="",$C1983="",$D1983=""),"",DATE($C1983+2018,$D1983,1))</f>
        <v/>
      </c>
    </row>
    <row r="1984">
      <c r="A1984" s="11" t="n"/>
      <c r="B1984" s="12" t="n"/>
      <c r="C1984" s="12" t="n"/>
      <c r="D1984" s="12" t="n"/>
      <c r="E1984" s="13" t="n"/>
      <c r="F1984" s="12" t="n"/>
      <c r="G1984" s="13" t="n"/>
      <c r="H1984" s="12" t="n"/>
      <c r="I1984" s="12" t="n"/>
      <c r="J1984" s="12" t="n"/>
      <c r="K1984" s="12" t="n"/>
      <c r="L1984" s="11" t="n"/>
      <c r="M1984" s="11" t="n"/>
      <c r="N1984" s="11" t="n"/>
      <c r="O1984" s="11" t="n"/>
      <c r="P1984" s="12" t="n"/>
      <c r="Q1984" s="11" t="n"/>
      <c r="R1984" s="12" t="n"/>
      <c r="S1984" s="11" t="n"/>
      <c r="T1984" s="12" t="n"/>
      <c r="U1984" s="12" t="n"/>
      <c r="V1984" s="14">
        <f>IF($AN1984="",IF($B1984="","",$H1984),IF(INDEX(職員マスタ!$B$6:$B$405,$AN1984)="",$H1984,INDEX(職員マスタ!$B$6:$B$405,$AN1984)))</f>
        <v/>
      </c>
      <c r="W1984" s="14">
        <f>IF($AN1984="",IF($B1984="","",$R1984),IF(INDEX(職員マスタ!$C$6:$C$405,$AN1984)="",$R1984,INDEX(職員マスタ!$C$6:$C$405,$AN1984)))</f>
        <v/>
      </c>
      <c r="X1984" s="14">
        <f>IF($AO1984="","","R"&amp;$C1984&amp;"."&amp;$D1984)</f>
        <v/>
      </c>
      <c r="Y1984" s="15">
        <f>IF($AN1984="","",IF(INDEX(職員マスタ!$K$6:$K$405,$AN1984)="","",INDEX(職員マスタ!$K$6:$K$405,$AN1984)))</f>
        <v/>
      </c>
      <c r="Z1984" s="14">
        <f>IF(OR($E1984="",$Y1984=""),"",IF($E1984&gt;=$Y1984,"×",IF($E1984&gt;=$Y1984*設定!$C$5,"△","○")))</f>
        <v/>
      </c>
      <c r="AA1984" s="15">
        <f>IF($Z1984="","",IF($Z1984="×",0,IF($Z1984="○",ROUNDDOWN($E1984*設定!$C$4,0),ROUNDDOWN($E1984*ROUND((9*$Y1984-9*$E1984)/(10*$E1984),4),0))))</f>
        <v/>
      </c>
      <c r="AB1984" s="13" t="n"/>
      <c r="AC1984" s="15">
        <f>IF($B1984="","",IF($AB1984&lt;&gt;"",$AB1984,IF($AA1984="","",IF($AA1984&lt;=設定!$C$3,0,$AA1984))))</f>
        <v/>
      </c>
      <c r="AD1984" s="14">
        <f>IF($B1984="","",IF(AND($AE1984&lt;&gt;"",$AG1984="",$AJ1984=""),"保留中",IF($AJ1984&lt;&gt;"",IF(N($AC1984)&gt;0,"支給済","不支給"),IF($AC1984="","要確認",IF($AC1984=0,"不支給","未処理")))))</f>
        <v/>
      </c>
      <c r="AE1984" s="12" t="n"/>
      <c r="AF1984" s="11" t="n"/>
      <c r="AG1984" s="11" t="n"/>
      <c r="AH1984" s="11" t="n"/>
      <c r="AI1984" s="14">
        <f>IF(AND($AD1984="保留中",$AF1984&lt;&gt;""),TODAY()-$AF1984,"")</f>
        <v/>
      </c>
      <c r="AJ1984" s="12" t="n"/>
      <c r="AK1984" s="14">
        <f>IF($B1984="","",IF($AO1984="","対象年月が未入力／","")&amp;IF($B1984="","",IF($AN1984="","職員マスタに未登録の職員番号／",IF($Y1984="","標準報酬月額が未登録／","")&amp;IF(AND($AO1984&lt;&gt;"",OR(AND(INDEX(職員マスタ!$G$6:$G$405,$AN1984)&lt;&gt;"",INDEX(職員マスタ!$G$6:$G$405,$AN1984)&gt;EOMONTH($AO1984,0)),AND(INDEX(職員マスタ!$H$6:$H$405,$AN1984)&lt;&gt;"",INDEX(職員マスタ!$H$6:$H$405,$AN1984)&lt;$AO1984))),"対象月が時短期間外／","")&amp;IF(AND(INDEX(職員マスタ!$F$6:$F$405,$AN1984)&lt;&gt;"",$AO1984&lt;&gt;"",INDEX(職員マスタ!$F$6:$F$405,$AN1984)&lt;$AO1984),"対象月に子が2歳到達済／","")&amp;IF(AND($H1984&lt;&gt;"",INDEX(職員マスタ!$B$6:$B$405,$AN1984)&lt;&gt;"",SUBSTITUTE(SUBSTITUTE($H1984," ","")," ","")&lt;&gt;SUBSTITUTE(SUBSTITUTE(INDEX(職員マスタ!$B$6:$B$405,$AN1984)," ","")," ","")),"氏名がマスタと相違／","")&amp;IF(AND($Q1984&lt;&gt;"",INDEX(職員マスタ!$E$6:$E$405,$AN1984)&lt;&gt;"",$Q1984&lt;&gt;INDEX(職員マスタ!$E$6:$E$405,$AN1984)),"子の生年月日がマスタと相違／","")&amp;IF(AND($L1984&lt;&gt;"",INDEX(職員マスタ!$G$6:$G$405,$AN1984)&lt;&gt;"",$L1984&lt;&gt;INDEX(職員マスタ!$G$6:$G$405,$AN1984)),"時短開始日がマスタと相違／","")&amp;IF(AND($M1984&lt;&gt;"",INDEX(職員マスタ!$H$6:$H$405,$AN1984)&lt;&gt;"",$M1984&lt;&gt;INDEX(職員マスタ!$H$6:$H$405,$AN1984)),"時短終了日がマスタと相違／","")))&amp;IF(AND($B1984&lt;&gt;"",$E1984=""),"報酬額が未入力／","")&amp;IF(N($U1984)&gt;0,"申請書に入力エラーが残っています／","")&amp;IF(AND($B1984&lt;&gt;"",$AO1984&lt;&gt;""),IF(COUNTIFS($B$6:$B$3005,$B1984,$C$6:$C$3005,$C1984,$D$6:$D$3005,$D1984)&gt;1,"同じ月の請求が重複しています／",""),"")&amp;IF(AND(N($E1984)&gt;0,$Z1984&lt;&gt;"",$Z1984&lt;&gt;"×",$AC1984=0,$AB1984=""),"計算額が下限以下のため不支給／",""))</f>
        <v/>
      </c>
      <c r="AL1984" s="12" t="n"/>
      <c r="AM1984" s="14">
        <f>IF($AD1984="保留中",COUNTIF($AD$6:$AD1984,"保留中"),"")</f>
        <v/>
      </c>
      <c r="AN1984" s="14">
        <f>IF($AO1984="","",IF(SUMPRODUCT(MAX((職員マスタ!$A$6:$A$405=$B1984)*(((職員マスタ!$G$6:$G$405="")+(職員マスタ!$G$6:$G$405&lt;=EOMONTH($AO1984,0)))&gt;0)*(((職員マスタ!$H$6:$H$405="")+(職員マスタ!$H$6:$H$405&gt;=$AO1984))&gt;0)*(ROW(職員マスタ!$A$6:$A$405)-5)))&gt;0,SUMPRODUCT(MAX((職員マスタ!$A$6:$A$405=$B1984)*(((職員マスタ!$G$6:$G$405="")+(職員マスタ!$G$6:$G$405&lt;=EOMONTH($AO1984,0)))&gt;0)*(((職員マスタ!$H$6:$H$405="")+(職員マスタ!$H$6:$H$405&gt;=$AO1984))&gt;0)*(ROW(職員マスタ!$A$6:$A$405)-5))),IFERROR(MATCH($B1984,職員マスタ!$A$6:$A$405,0),"")))</f>
        <v/>
      </c>
      <c r="AO1984" s="16">
        <f>IF(OR($B1984="",$C1984="",$D1984=""),"",DATE($C1984+2018,$D1984,1))</f>
        <v/>
      </c>
    </row>
    <row r="1985">
      <c r="A1985" s="11" t="n"/>
      <c r="B1985" s="12" t="n"/>
      <c r="C1985" s="12" t="n"/>
      <c r="D1985" s="12" t="n"/>
      <c r="E1985" s="13" t="n"/>
      <c r="F1985" s="12" t="n"/>
      <c r="G1985" s="13" t="n"/>
      <c r="H1985" s="12" t="n"/>
      <c r="I1985" s="12" t="n"/>
      <c r="J1985" s="12" t="n"/>
      <c r="K1985" s="12" t="n"/>
      <c r="L1985" s="11" t="n"/>
      <c r="M1985" s="11" t="n"/>
      <c r="N1985" s="11" t="n"/>
      <c r="O1985" s="11" t="n"/>
      <c r="P1985" s="12" t="n"/>
      <c r="Q1985" s="11" t="n"/>
      <c r="R1985" s="12" t="n"/>
      <c r="S1985" s="11" t="n"/>
      <c r="T1985" s="12" t="n"/>
      <c r="U1985" s="12" t="n"/>
      <c r="V1985" s="14">
        <f>IF($AN1985="",IF($B1985="","",$H1985),IF(INDEX(職員マスタ!$B$6:$B$405,$AN1985)="",$H1985,INDEX(職員マスタ!$B$6:$B$405,$AN1985)))</f>
        <v/>
      </c>
      <c r="W1985" s="14">
        <f>IF($AN1985="",IF($B1985="","",$R1985),IF(INDEX(職員マスタ!$C$6:$C$405,$AN1985)="",$R1985,INDEX(職員マスタ!$C$6:$C$405,$AN1985)))</f>
        <v/>
      </c>
      <c r="X1985" s="14">
        <f>IF($AO1985="","","R"&amp;$C1985&amp;"."&amp;$D1985)</f>
        <v/>
      </c>
      <c r="Y1985" s="15">
        <f>IF($AN1985="","",IF(INDEX(職員マスタ!$K$6:$K$405,$AN1985)="","",INDEX(職員マスタ!$K$6:$K$405,$AN1985)))</f>
        <v/>
      </c>
      <c r="Z1985" s="14">
        <f>IF(OR($E1985="",$Y1985=""),"",IF($E1985&gt;=$Y1985,"×",IF($E1985&gt;=$Y1985*設定!$C$5,"△","○")))</f>
        <v/>
      </c>
      <c r="AA1985" s="15">
        <f>IF($Z1985="","",IF($Z1985="×",0,IF($Z1985="○",ROUNDDOWN($E1985*設定!$C$4,0),ROUNDDOWN($E1985*ROUND((9*$Y1985-9*$E1985)/(10*$E1985),4),0))))</f>
        <v/>
      </c>
      <c r="AB1985" s="13" t="n"/>
      <c r="AC1985" s="15">
        <f>IF($B1985="","",IF($AB1985&lt;&gt;"",$AB1985,IF($AA1985="","",IF($AA1985&lt;=設定!$C$3,0,$AA1985))))</f>
        <v/>
      </c>
      <c r="AD1985" s="14">
        <f>IF($B1985="","",IF(AND($AE1985&lt;&gt;"",$AG1985="",$AJ1985=""),"保留中",IF($AJ1985&lt;&gt;"",IF(N($AC1985)&gt;0,"支給済","不支給"),IF($AC1985="","要確認",IF($AC1985=0,"不支給","未処理")))))</f>
        <v/>
      </c>
      <c r="AE1985" s="12" t="n"/>
      <c r="AF1985" s="11" t="n"/>
      <c r="AG1985" s="11" t="n"/>
      <c r="AH1985" s="11" t="n"/>
      <c r="AI1985" s="14">
        <f>IF(AND($AD1985="保留中",$AF1985&lt;&gt;""),TODAY()-$AF1985,"")</f>
        <v/>
      </c>
      <c r="AJ1985" s="12" t="n"/>
      <c r="AK1985" s="14">
        <f>IF($B1985="","",IF($AO1985="","対象年月が未入力／","")&amp;IF($B1985="","",IF($AN1985="","職員マスタに未登録の職員番号／",IF($Y1985="","標準報酬月額が未登録／","")&amp;IF(AND($AO1985&lt;&gt;"",OR(AND(INDEX(職員マスタ!$G$6:$G$405,$AN1985)&lt;&gt;"",INDEX(職員マスタ!$G$6:$G$405,$AN1985)&gt;EOMONTH($AO1985,0)),AND(INDEX(職員マスタ!$H$6:$H$405,$AN1985)&lt;&gt;"",INDEX(職員マスタ!$H$6:$H$405,$AN1985)&lt;$AO1985))),"対象月が時短期間外／","")&amp;IF(AND(INDEX(職員マスタ!$F$6:$F$405,$AN1985)&lt;&gt;"",$AO1985&lt;&gt;"",INDEX(職員マスタ!$F$6:$F$405,$AN1985)&lt;$AO1985),"対象月に子が2歳到達済／","")&amp;IF(AND($H1985&lt;&gt;"",INDEX(職員マスタ!$B$6:$B$405,$AN1985)&lt;&gt;"",SUBSTITUTE(SUBSTITUTE($H1985," ","")," ","")&lt;&gt;SUBSTITUTE(SUBSTITUTE(INDEX(職員マスタ!$B$6:$B$405,$AN1985)," ","")," ","")),"氏名がマスタと相違／","")&amp;IF(AND($Q1985&lt;&gt;"",INDEX(職員マスタ!$E$6:$E$405,$AN1985)&lt;&gt;"",$Q1985&lt;&gt;INDEX(職員マスタ!$E$6:$E$405,$AN1985)),"子の生年月日がマスタと相違／","")&amp;IF(AND($L1985&lt;&gt;"",INDEX(職員マスタ!$G$6:$G$405,$AN1985)&lt;&gt;"",$L1985&lt;&gt;INDEX(職員マスタ!$G$6:$G$405,$AN1985)),"時短開始日がマスタと相違／","")&amp;IF(AND($M1985&lt;&gt;"",INDEX(職員マスタ!$H$6:$H$405,$AN1985)&lt;&gt;"",$M1985&lt;&gt;INDEX(職員マスタ!$H$6:$H$405,$AN1985)),"時短終了日がマスタと相違／","")))&amp;IF(AND($B1985&lt;&gt;"",$E1985=""),"報酬額が未入力／","")&amp;IF(N($U1985)&gt;0,"申請書に入力エラーが残っています／","")&amp;IF(AND($B1985&lt;&gt;"",$AO1985&lt;&gt;""),IF(COUNTIFS($B$6:$B$3005,$B1985,$C$6:$C$3005,$C1985,$D$6:$D$3005,$D1985)&gt;1,"同じ月の請求が重複しています／",""),"")&amp;IF(AND(N($E1985)&gt;0,$Z1985&lt;&gt;"",$Z1985&lt;&gt;"×",$AC1985=0,$AB1985=""),"計算額が下限以下のため不支給／",""))</f>
        <v/>
      </c>
      <c r="AL1985" s="12" t="n"/>
      <c r="AM1985" s="14">
        <f>IF($AD1985="保留中",COUNTIF($AD$6:$AD1985,"保留中"),"")</f>
        <v/>
      </c>
      <c r="AN1985" s="14">
        <f>IF($AO1985="","",IF(SUMPRODUCT(MAX((職員マスタ!$A$6:$A$405=$B1985)*(((職員マスタ!$G$6:$G$405="")+(職員マスタ!$G$6:$G$405&lt;=EOMONTH($AO1985,0)))&gt;0)*(((職員マスタ!$H$6:$H$405="")+(職員マスタ!$H$6:$H$405&gt;=$AO1985))&gt;0)*(ROW(職員マスタ!$A$6:$A$405)-5)))&gt;0,SUMPRODUCT(MAX((職員マスタ!$A$6:$A$405=$B1985)*(((職員マスタ!$G$6:$G$405="")+(職員マスタ!$G$6:$G$405&lt;=EOMONTH($AO1985,0)))&gt;0)*(((職員マスタ!$H$6:$H$405="")+(職員マスタ!$H$6:$H$405&gt;=$AO1985))&gt;0)*(ROW(職員マスタ!$A$6:$A$405)-5))),IFERROR(MATCH($B1985,職員マスタ!$A$6:$A$405,0),"")))</f>
        <v/>
      </c>
      <c r="AO1985" s="16">
        <f>IF(OR($B1985="",$C1985="",$D1985=""),"",DATE($C1985+2018,$D1985,1))</f>
        <v/>
      </c>
    </row>
    <row r="1986">
      <c r="A1986" s="11" t="n"/>
      <c r="B1986" s="12" t="n"/>
      <c r="C1986" s="12" t="n"/>
      <c r="D1986" s="12" t="n"/>
      <c r="E1986" s="13" t="n"/>
      <c r="F1986" s="12" t="n"/>
      <c r="G1986" s="13" t="n"/>
      <c r="H1986" s="12" t="n"/>
      <c r="I1986" s="12" t="n"/>
      <c r="J1986" s="12" t="n"/>
      <c r="K1986" s="12" t="n"/>
      <c r="L1986" s="11" t="n"/>
      <c r="M1986" s="11" t="n"/>
      <c r="N1986" s="11" t="n"/>
      <c r="O1986" s="11" t="n"/>
      <c r="P1986" s="12" t="n"/>
      <c r="Q1986" s="11" t="n"/>
      <c r="R1986" s="12" t="n"/>
      <c r="S1986" s="11" t="n"/>
      <c r="T1986" s="12" t="n"/>
      <c r="U1986" s="12" t="n"/>
      <c r="V1986" s="14">
        <f>IF($AN1986="",IF($B1986="","",$H1986),IF(INDEX(職員マスタ!$B$6:$B$405,$AN1986)="",$H1986,INDEX(職員マスタ!$B$6:$B$405,$AN1986)))</f>
        <v/>
      </c>
      <c r="W1986" s="14">
        <f>IF($AN1986="",IF($B1986="","",$R1986),IF(INDEX(職員マスタ!$C$6:$C$405,$AN1986)="",$R1986,INDEX(職員マスタ!$C$6:$C$405,$AN1986)))</f>
        <v/>
      </c>
      <c r="X1986" s="14">
        <f>IF($AO1986="","","R"&amp;$C1986&amp;"."&amp;$D1986)</f>
        <v/>
      </c>
      <c r="Y1986" s="15">
        <f>IF($AN1986="","",IF(INDEX(職員マスタ!$K$6:$K$405,$AN1986)="","",INDEX(職員マスタ!$K$6:$K$405,$AN1986)))</f>
        <v/>
      </c>
      <c r="Z1986" s="14">
        <f>IF(OR($E1986="",$Y1986=""),"",IF($E1986&gt;=$Y1986,"×",IF($E1986&gt;=$Y1986*設定!$C$5,"△","○")))</f>
        <v/>
      </c>
      <c r="AA1986" s="15">
        <f>IF($Z1986="","",IF($Z1986="×",0,IF($Z1986="○",ROUNDDOWN($E1986*設定!$C$4,0),ROUNDDOWN($E1986*ROUND((9*$Y1986-9*$E1986)/(10*$E1986),4),0))))</f>
        <v/>
      </c>
      <c r="AB1986" s="13" t="n"/>
      <c r="AC1986" s="15">
        <f>IF($B1986="","",IF($AB1986&lt;&gt;"",$AB1986,IF($AA1986="","",IF($AA1986&lt;=設定!$C$3,0,$AA1986))))</f>
        <v/>
      </c>
      <c r="AD1986" s="14">
        <f>IF($B1986="","",IF(AND($AE1986&lt;&gt;"",$AG1986="",$AJ1986=""),"保留中",IF($AJ1986&lt;&gt;"",IF(N($AC1986)&gt;0,"支給済","不支給"),IF($AC1986="","要確認",IF($AC1986=0,"不支給","未処理")))))</f>
        <v/>
      </c>
      <c r="AE1986" s="12" t="n"/>
      <c r="AF1986" s="11" t="n"/>
      <c r="AG1986" s="11" t="n"/>
      <c r="AH1986" s="11" t="n"/>
      <c r="AI1986" s="14">
        <f>IF(AND($AD1986="保留中",$AF1986&lt;&gt;""),TODAY()-$AF1986,"")</f>
        <v/>
      </c>
      <c r="AJ1986" s="12" t="n"/>
      <c r="AK1986" s="14">
        <f>IF($B1986="","",IF($AO1986="","対象年月が未入力／","")&amp;IF($B1986="","",IF($AN1986="","職員マスタに未登録の職員番号／",IF($Y1986="","標準報酬月額が未登録／","")&amp;IF(AND($AO1986&lt;&gt;"",OR(AND(INDEX(職員マスタ!$G$6:$G$405,$AN1986)&lt;&gt;"",INDEX(職員マスタ!$G$6:$G$405,$AN1986)&gt;EOMONTH($AO1986,0)),AND(INDEX(職員マスタ!$H$6:$H$405,$AN1986)&lt;&gt;"",INDEX(職員マスタ!$H$6:$H$405,$AN1986)&lt;$AO1986))),"対象月が時短期間外／","")&amp;IF(AND(INDEX(職員マスタ!$F$6:$F$405,$AN1986)&lt;&gt;"",$AO1986&lt;&gt;"",INDEX(職員マスタ!$F$6:$F$405,$AN1986)&lt;$AO1986),"対象月に子が2歳到達済／","")&amp;IF(AND($H1986&lt;&gt;"",INDEX(職員マスタ!$B$6:$B$405,$AN1986)&lt;&gt;"",SUBSTITUTE(SUBSTITUTE($H1986," ","")," ","")&lt;&gt;SUBSTITUTE(SUBSTITUTE(INDEX(職員マスタ!$B$6:$B$405,$AN1986)," ","")," ","")),"氏名がマスタと相違／","")&amp;IF(AND($Q1986&lt;&gt;"",INDEX(職員マスタ!$E$6:$E$405,$AN1986)&lt;&gt;"",$Q1986&lt;&gt;INDEX(職員マスタ!$E$6:$E$405,$AN1986)),"子の生年月日がマスタと相違／","")&amp;IF(AND($L1986&lt;&gt;"",INDEX(職員マスタ!$G$6:$G$405,$AN1986)&lt;&gt;"",$L1986&lt;&gt;INDEX(職員マスタ!$G$6:$G$405,$AN1986)),"時短開始日がマスタと相違／","")&amp;IF(AND($M1986&lt;&gt;"",INDEX(職員マスタ!$H$6:$H$405,$AN1986)&lt;&gt;"",$M1986&lt;&gt;INDEX(職員マスタ!$H$6:$H$405,$AN1986)),"時短終了日がマスタと相違／","")))&amp;IF(AND($B1986&lt;&gt;"",$E1986=""),"報酬額が未入力／","")&amp;IF(N($U1986)&gt;0,"申請書に入力エラーが残っています／","")&amp;IF(AND($B1986&lt;&gt;"",$AO1986&lt;&gt;""),IF(COUNTIFS($B$6:$B$3005,$B1986,$C$6:$C$3005,$C1986,$D$6:$D$3005,$D1986)&gt;1,"同じ月の請求が重複しています／",""),"")&amp;IF(AND(N($E1986)&gt;0,$Z1986&lt;&gt;"",$Z1986&lt;&gt;"×",$AC1986=0,$AB1986=""),"計算額が下限以下のため不支給／",""))</f>
        <v/>
      </c>
      <c r="AL1986" s="12" t="n"/>
      <c r="AM1986" s="14">
        <f>IF($AD1986="保留中",COUNTIF($AD$6:$AD1986,"保留中"),"")</f>
        <v/>
      </c>
      <c r="AN1986" s="14">
        <f>IF($AO1986="","",IF(SUMPRODUCT(MAX((職員マスタ!$A$6:$A$405=$B1986)*(((職員マスタ!$G$6:$G$405="")+(職員マスタ!$G$6:$G$405&lt;=EOMONTH($AO1986,0)))&gt;0)*(((職員マスタ!$H$6:$H$405="")+(職員マスタ!$H$6:$H$405&gt;=$AO1986))&gt;0)*(ROW(職員マスタ!$A$6:$A$405)-5)))&gt;0,SUMPRODUCT(MAX((職員マスタ!$A$6:$A$405=$B1986)*(((職員マスタ!$G$6:$G$405="")+(職員マスタ!$G$6:$G$405&lt;=EOMONTH($AO1986,0)))&gt;0)*(((職員マスタ!$H$6:$H$405="")+(職員マスタ!$H$6:$H$405&gt;=$AO1986))&gt;0)*(ROW(職員マスタ!$A$6:$A$405)-5))),IFERROR(MATCH($B1986,職員マスタ!$A$6:$A$405,0),"")))</f>
        <v/>
      </c>
      <c r="AO1986" s="16">
        <f>IF(OR($B1986="",$C1986="",$D1986=""),"",DATE($C1986+2018,$D1986,1))</f>
        <v/>
      </c>
    </row>
    <row r="1987">
      <c r="A1987" s="11" t="n"/>
      <c r="B1987" s="12" t="n"/>
      <c r="C1987" s="12" t="n"/>
      <c r="D1987" s="12" t="n"/>
      <c r="E1987" s="13" t="n"/>
      <c r="F1987" s="12" t="n"/>
      <c r="G1987" s="13" t="n"/>
      <c r="H1987" s="12" t="n"/>
      <c r="I1987" s="12" t="n"/>
      <c r="J1987" s="12" t="n"/>
      <c r="K1987" s="12" t="n"/>
      <c r="L1987" s="11" t="n"/>
      <c r="M1987" s="11" t="n"/>
      <c r="N1987" s="11" t="n"/>
      <c r="O1987" s="11" t="n"/>
      <c r="P1987" s="12" t="n"/>
      <c r="Q1987" s="11" t="n"/>
      <c r="R1987" s="12" t="n"/>
      <c r="S1987" s="11" t="n"/>
      <c r="T1987" s="12" t="n"/>
      <c r="U1987" s="12" t="n"/>
      <c r="V1987" s="14">
        <f>IF($AN1987="",IF($B1987="","",$H1987),IF(INDEX(職員マスタ!$B$6:$B$405,$AN1987)="",$H1987,INDEX(職員マスタ!$B$6:$B$405,$AN1987)))</f>
        <v/>
      </c>
      <c r="W1987" s="14">
        <f>IF($AN1987="",IF($B1987="","",$R1987),IF(INDEX(職員マスタ!$C$6:$C$405,$AN1987)="",$R1987,INDEX(職員マスタ!$C$6:$C$405,$AN1987)))</f>
        <v/>
      </c>
      <c r="X1987" s="14">
        <f>IF($AO1987="","","R"&amp;$C1987&amp;"."&amp;$D1987)</f>
        <v/>
      </c>
      <c r="Y1987" s="15">
        <f>IF($AN1987="","",IF(INDEX(職員マスタ!$K$6:$K$405,$AN1987)="","",INDEX(職員マスタ!$K$6:$K$405,$AN1987)))</f>
        <v/>
      </c>
      <c r="Z1987" s="14">
        <f>IF(OR($E1987="",$Y1987=""),"",IF($E1987&gt;=$Y1987,"×",IF($E1987&gt;=$Y1987*設定!$C$5,"△","○")))</f>
        <v/>
      </c>
      <c r="AA1987" s="15">
        <f>IF($Z1987="","",IF($Z1987="×",0,IF($Z1987="○",ROUNDDOWN($E1987*設定!$C$4,0),ROUNDDOWN($E1987*ROUND((9*$Y1987-9*$E1987)/(10*$E1987),4),0))))</f>
        <v/>
      </c>
      <c r="AB1987" s="13" t="n"/>
      <c r="AC1987" s="15">
        <f>IF($B1987="","",IF($AB1987&lt;&gt;"",$AB1987,IF($AA1987="","",IF($AA1987&lt;=設定!$C$3,0,$AA1987))))</f>
        <v/>
      </c>
      <c r="AD1987" s="14">
        <f>IF($B1987="","",IF(AND($AE1987&lt;&gt;"",$AG1987="",$AJ1987=""),"保留中",IF($AJ1987&lt;&gt;"",IF(N($AC1987)&gt;0,"支給済","不支給"),IF($AC1987="","要確認",IF($AC1987=0,"不支給","未処理")))))</f>
        <v/>
      </c>
      <c r="AE1987" s="12" t="n"/>
      <c r="AF1987" s="11" t="n"/>
      <c r="AG1987" s="11" t="n"/>
      <c r="AH1987" s="11" t="n"/>
      <c r="AI1987" s="14">
        <f>IF(AND($AD1987="保留中",$AF1987&lt;&gt;""),TODAY()-$AF1987,"")</f>
        <v/>
      </c>
      <c r="AJ1987" s="12" t="n"/>
      <c r="AK1987" s="14">
        <f>IF($B1987="","",IF($AO1987="","対象年月が未入力／","")&amp;IF($B1987="","",IF($AN1987="","職員マスタに未登録の職員番号／",IF($Y1987="","標準報酬月額が未登録／","")&amp;IF(AND($AO1987&lt;&gt;"",OR(AND(INDEX(職員マスタ!$G$6:$G$405,$AN1987)&lt;&gt;"",INDEX(職員マスタ!$G$6:$G$405,$AN1987)&gt;EOMONTH($AO1987,0)),AND(INDEX(職員マスタ!$H$6:$H$405,$AN1987)&lt;&gt;"",INDEX(職員マスタ!$H$6:$H$405,$AN1987)&lt;$AO1987))),"対象月が時短期間外／","")&amp;IF(AND(INDEX(職員マスタ!$F$6:$F$405,$AN1987)&lt;&gt;"",$AO1987&lt;&gt;"",INDEX(職員マスタ!$F$6:$F$405,$AN1987)&lt;$AO1987),"対象月に子が2歳到達済／","")&amp;IF(AND($H1987&lt;&gt;"",INDEX(職員マスタ!$B$6:$B$405,$AN1987)&lt;&gt;"",SUBSTITUTE(SUBSTITUTE($H1987," ","")," ","")&lt;&gt;SUBSTITUTE(SUBSTITUTE(INDEX(職員マスタ!$B$6:$B$405,$AN1987)," ","")," ","")),"氏名がマスタと相違／","")&amp;IF(AND($Q1987&lt;&gt;"",INDEX(職員マスタ!$E$6:$E$405,$AN1987)&lt;&gt;"",$Q1987&lt;&gt;INDEX(職員マスタ!$E$6:$E$405,$AN1987)),"子の生年月日がマスタと相違／","")&amp;IF(AND($L1987&lt;&gt;"",INDEX(職員マスタ!$G$6:$G$405,$AN1987)&lt;&gt;"",$L1987&lt;&gt;INDEX(職員マスタ!$G$6:$G$405,$AN1987)),"時短開始日がマスタと相違／","")&amp;IF(AND($M1987&lt;&gt;"",INDEX(職員マスタ!$H$6:$H$405,$AN1987)&lt;&gt;"",$M1987&lt;&gt;INDEX(職員マスタ!$H$6:$H$405,$AN1987)),"時短終了日がマスタと相違／","")))&amp;IF(AND($B1987&lt;&gt;"",$E1987=""),"報酬額が未入力／","")&amp;IF(N($U1987)&gt;0,"申請書に入力エラーが残っています／","")&amp;IF(AND($B1987&lt;&gt;"",$AO1987&lt;&gt;""),IF(COUNTIFS($B$6:$B$3005,$B1987,$C$6:$C$3005,$C1987,$D$6:$D$3005,$D1987)&gt;1,"同じ月の請求が重複しています／",""),"")&amp;IF(AND(N($E1987)&gt;0,$Z1987&lt;&gt;"",$Z1987&lt;&gt;"×",$AC1987=0,$AB1987=""),"計算額が下限以下のため不支給／",""))</f>
        <v/>
      </c>
      <c r="AL1987" s="12" t="n"/>
      <c r="AM1987" s="14">
        <f>IF($AD1987="保留中",COUNTIF($AD$6:$AD1987,"保留中"),"")</f>
        <v/>
      </c>
      <c r="AN1987" s="14">
        <f>IF($AO1987="","",IF(SUMPRODUCT(MAX((職員マスタ!$A$6:$A$405=$B1987)*(((職員マスタ!$G$6:$G$405="")+(職員マスタ!$G$6:$G$405&lt;=EOMONTH($AO1987,0)))&gt;0)*(((職員マスタ!$H$6:$H$405="")+(職員マスタ!$H$6:$H$405&gt;=$AO1987))&gt;0)*(ROW(職員マスタ!$A$6:$A$405)-5)))&gt;0,SUMPRODUCT(MAX((職員マスタ!$A$6:$A$405=$B1987)*(((職員マスタ!$G$6:$G$405="")+(職員マスタ!$G$6:$G$405&lt;=EOMONTH($AO1987,0)))&gt;0)*(((職員マスタ!$H$6:$H$405="")+(職員マスタ!$H$6:$H$405&gt;=$AO1987))&gt;0)*(ROW(職員マスタ!$A$6:$A$405)-5))),IFERROR(MATCH($B1987,職員マスタ!$A$6:$A$405,0),"")))</f>
        <v/>
      </c>
      <c r="AO1987" s="16">
        <f>IF(OR($B1987="",$C1987="",$D1987=""),"",DATE($C1987+2018,$D1987,1))</f>
        <v/>
      </c>
    </row>
    <row r="1988">
      <c r="A1988" s="11" t="n"/>
      <c r="B1988" s="12" t="n"/>
      <c r="C1988" s="12" t="n"/>
      <c r="D1988" s="12" t="n"/>
      <c r="E1988" s="13" t="n"/>
      <c r="F1988" s="12" t="n"/>
      <c r="G1988" s="13" t="n"/>
      <c r="H1988" s="12" t="n"/>
      <c r="I1988" s="12" t="n"/>
      <c r="J1988" s="12" t="n"/>
      <c r="K1988" s="12" t="n"/>
      <c r="L1988" s="11" t="n"/>
      <c r="M1988" s="11" t="n"/>
      <c r="N1988" s="11" t="n"/>
      <c r="O1988" s="11" t="n"/>
      <c r="P1988" s="12" t="n"/>
      <c r="Q1988" s="11" t="n"/>
      <c r="R1988" s="12" t="n"/>
      <c r="S1988" s="11" t="n"/>
      <c r="T1988" s="12" t="n"/>
      <c r="U1988" s="12" t="n"/>
      <c r="V1988" s="14">
        <f>IF($AN1988="",IF($B1988="","",$H1988),IF(INDEX(職員マスタ!$B$6:$B$405,$AN1988)="",$H1988,INDEX(職員マスタ!$B$6:$B$405,$AN1988)))</f>
        <v/>
      </c>
      <c r="W1988" s="14">
        <f>IF($AN1988="",IF($B1988="","",$R1988),IF(INDEX(職員マスタ!$C$6:$C$405,$AN1988)="",$R1988,INDEX(職員マスタ!$C$6:$C$405,$AN1988)))</f>
        <v/>
      </c>
      <c r="X1988" s="14">
        <f>IF($AO1988="","","R"&amp;$C1988&amp;"."&amp;$D1988)</f>
        <v/>
      </c>
      <c r="Y1988" s="15">
        <f>IF($AN1988="","",IF(INDEX(職員マスタ!$K$6:$K$405,$AN1988)="","",INDEX(職員マスタ!$K$6:$K$405,$AN1988)))</f>
        <v/>
      </c>
      <c r="Z1988" s="14">
        <f>IF(OR($E1988="",$Y1988=""),"",IF($E1988&gt;=$Y1988,"×",IF($E1988&gt;=$Y1988*設定!$C$5,"△","○")))</f>
        <v/>
      </c>
      <c r="AA1988" s="15">
        <f>IF($Z1988="","",IF($Z1988="×",0,IF($Z1988="○",ROUNDDOWN($E1988*設定!$C$4,0),ROUNDDOWN($E1988*ROUND((9*$Y1988-9*$E1988)/(10*$E1988),4),0))))</f>
        <v/>
      </c>
      <c r="AB1988" s="13" t="n"/>
      <c r="AC1988" s="15">
        <f>IF($B1988="","",IF($AB1988&lt;&gt;"",$AB1988,IF($AA1988="","",IF($AA1988&lt;=設定!$C$3,0,$AA1988))))</f>
        <v/>
      </c>
      <c r="AD1988" s="14">
        <f>IF($B1988="","",IF(AND($AE1988&lt;&gt;"",$AG1988="",$AJ1988=""),"保留中",IF($AJ1988&lt;&gt;"",IF(N($AC1988)&gt;0,"支給済","不支給"),IF($AC1988="","要確認",IF($AC1988=0,"不支給","未処理")))))</f>
        <v/>
      </c>
      <c r="AE1988" s="12" t="n"/>
      <c r="AF1988" s="11" t="n"/>
      <c r="AG1988" s="11" t="n"/>
      <c r="AH1988" s="11" t="n"/>
      <c r="AI1988" s="14">
        <f>IF(AND($AD1988="保留中",$AF1988&lt;&gt;""),TODAY()-$AF1988,"")</f>
        <v/>
      </c>
      <c r="AJ1988" s="12" t="n"/>
      <c r="AK1988" s="14">
        <f>IF($B1988="","",IF($AO1988="","対象年月が未入力／","")&amp;IF($B1988="","",IF($AN1988="","職員マスタに未登録の職員番号／",IF($Y1988="","標準報酬月額が未登録／","")&amp;IF(AND($AO1988&lt;&gt;"",OR(AND(INDEX(職員マスタ!$G$6:$G$405,$AN1988)&lt;&gt;"",INDEX(職員マスタ!$G$6:$G$405,$AN1988)&gt;EOMONTH($AO1988,0)),AND(INDEX(職員マスタ!$H$6:$H$405,$AN1988)&lt;&gt;"",INDEX(職員マスタ!$H$6:$H$405,$AN1988)&lt;$AO1988))),"対象月が時短期間外／","")&amp;IF(AND(INDEX(職員マスタ!$F$6:$F$405,$AN1988)&lt;&gt;"",$AO1988&lt;&gt;"",INDEX(職員マスタ!$F$6:$F$405,$AN1988)&lt;$AO1988),"対象月に子が2歳到達済／","")&amp;IF(AND($H1988&lt;&gt;"",INDEX(職員マスタ!$B$6:$B$405,$AN1988)&lt;&gt;"",SUBSTITUTE(SUBSTITUTE($H1988," ","")," ","")&lt;&gt;SUBSTITUTE(SUBSTITUTE(INDEX(職員マスタ!$B$6:$B$405,$AN1988)," ","")," ","")),"氏名がマスタと相違／","")&amp;IF(AND($Q1988&lt;&gt;"",INDEX(職員マスタ!$E$6:$E$405,$AN1988)&lt;&gt;"",$Q1988&lt;&gt;INDEX(職員マスタ!$E$6:$E$405,$AN1988)),"子の生年月日がマスタと相違／","")&amp;IF(AND($L1988&lt;&gt;"",INDEX(職員マスタ!$G$6:$G$405,$AN1988)&lt;&gt;"",$L1988&lt;&gt;INDEX(職員マスタ!$G$6:$G$405,$AN1988)),"時短開始日がマスタと相違／","")&amp;IF(AND($M1988&lt;&gt;"",INDEX(職員マスタ!$H$6:$H$405,$AN1988)&lt;&gt;"",$M1988&lt;&gt;INDEX(職員マスタ!$H$6:$H$405,$AN1988)),"時短終了日がマスタと相違／","")))&amp;IF(AND($B1988&lt;&gt;"",$E1988=""),"報酬額が未入力／","")&amp;IF(N($U1988)&gt;0,"申請書に入力エラーが残っています／","")&amp;IF(AND($B1988&lt;&gt;"",$AO1988&lt;&gt;""),IF(COUNTIFS($B$6:$B$3005,$B1988,$C$6:$C$3005,$C1988,$D$6:$D$3005,$D1988)&gt;1,"同じ月の請求が重複しています／",""),"")&amp;IF(AND(N($E1988)&gt;0,$Z1988&lt;&gt;"",$Z1988&lt;&gt;"×",$AC1988=0,$AB1988=""),"計算額が下限以下のため不支給／",""))</f>
        <v/>
      </c>
      <c r="AL1988" s="12" t="n"/>
      <c r="AM1988" s="14">
        <f>IF($AD1988="保留中",COUNTIF($AD$6:$AD1988,"保留中"),"")</f>
        <v/>
      </c>
      <c r="AN1988" s="14">
        <f>IF($AO1988="","",IF(SUMPRODUCT(MAX((職員マスタ!$A$6:$A$405=$B1988)*(((職員マスタ!$G$6:$G$405="")+(職員マスタ!$G$6:$G$405&lt;=EOMONTH($AO1988,0)))&gt;0)*(((職員マスタ!$H$6:$H$405="")+(職員マスタ!$H$6:$H$405&gt;=$AO1988))&gt;0)*(ROW(職員マスタ!$A$6:$A$405)-5)))&gt;0,SUMPRODUCT(MAX((職員マスタ!$A$6:$A$405=$B1988)*(((職員マスタ!$G$6:$G$405="")+(職員マスタ!$G$6:$G$405&lt;=EOMONTH($AO1988,0)))&gt;0)*(((職員マスタ!$H$6:$H$405="")+(職員マスタ!$H$6:$H$405&gt;=$AO1988))&gt;0)*(ROW(職員マスタ!$A$6:$A$405)-5))),IFERROR(MATCH($B1988,職員マスタ!$A$6:$A$405,0),"")))</f>
        <v/>
      </c>
      <c r="AO1988" s="16">
        <f>IF(OR($B1988="",$C1988="",$D1988=""),"",DATE($C1988+2018,$D1988,1))</f>
        <v/>
      </c>
    </row>
    <row r="1989">
      <c r="A1989" s="11" t="n"/>
      <c r="B1989" s="12" t="n"/>
      <c r="C1989" s="12" t="n"/>
      <c r="D1989" s="12" t="n"/>
      <c r="E1989" s="13" t="n"/>
      <c r="F1989" s="12" t="n"/>
      <c r="G1989" s="13" t="n"/>
      <c r="H1989" s="12" t="n"/>
      <c r="I1989" s="12" t="n"/>
      <c r="J1989" s="12" t="n"/>
      <c r="K1989" s="12" t="n"/>
      <c r="L1989" s="11" t="n"/>
      <c r="M1989" s="11" t="n"/>
      <c r="N1989" s="11" t="n"/>
      <c r="O1989" s="11" t="n"/>
      <c r="P1989" s="12" t="n"/>
      <c r="Q1989" s="11" t="n"/>
      <c r="R1989" s="12" t="n"/>
      <c r="S1989" s="11" t="n"/>
      <c r="T1989" s="12" t="n"/>
      <c r="U1989" s="12" t="n"/>
      <c r="V1989" s="14">
        <f>IF($AN1989="",IF($B1989="","",$H1989),IF(INDEX(職員マスタ!$B$6:$B$405,$AN1989)="",$H1989,INDEX(職員マスタ!$B$6:$B$405,$AN1989)))</f>
        <v/>
      </c>
      <c r="W1989" s="14">
        <f>IF($AN1989="",IF($B1989="","",$R1989),IF(INDEX(職員マスタ!$C$6:$C$405,$AN1989)="",$R1989,INDEX(職員マスタ!$C$6:$C$405,$AN1989)))</f>
        <v/>
      </c>
      <c r="X1989" s="14">
        <f>IF($AO1989="","","R"&amp;$C1989&amp;"."&amp;$D1989)</f>
        <v/>
      </c>
      <c r="Y1989" s="15">
        <f>IF($AN1989="","",IF(INDEX(職員マスタ!$K$6:$K$405,$AN1989)="","",INDEX(職員マスタ!$K$6:$K$405,$AN1989)))</f>
        <v/>
      </c>
      <c r="Z1989" s="14">
        <f>IF(OR($E1989="",$Y1989=""),"",IF($E1989&gt;=$Y1989,"×",IF($E1989&gt;=$Y1989*設定!$C$5,"△","○")))</f>
        <v/>
      </c>
      <c r="AA1989" s="15">
        <f>IF($Z1989="","",IF($Z1989="×",0,IF($Z1989="○",ROUNDDOWN($E1989*設定!$C$4,0),ROUNDDOWN($E1989*ROUND((9*$Y1989-9*$E1989)/(10*$E1989),4),0))))</f>
        <v/>
      </c>
      <c r="AB1989" s="13" t="n"/>
      <c r="AC1989" s="15">
        <f>IF($B1989="","",IF($AB1989&lt;&gt;"",$AB1989,IF($AA1989="","",IF($AA1989&lt;=設定!$C$3,0,$AA1989))))</f>
        <v/>
      </c>
      <c r="AD1989" s="14">
        <f>IF($B1989="","",IF(AND($AE1989&lt;&gt;"",$AG1989="",$AJ1989=""),"保留中",IF($AJ1989&lt;&gt;"",IF(N($AC1989)&gt;0,"支給済","不支給"),IF($AC1989="","要確認",IF($AC1989=0,"不支給","未処理")))))</f>
        <v/>
      </c>
      <c r="AE1989" s="12" t="n"/>
      <c r="AF1989" s="11" t="n"/>
      <c r="AG1989" s="11" t="n"/>
      <c r="AH1989" s="11" t="n"/>
      <c r="AI1989" s="14">
        <f>IF(AND($AD1989="保留中",$AF1989&lt;&gt;""),TODAY()-$AF1989,"")</f>
        <v/>
      </c>
      <c r="AJ1989" s="12" t="n"/>
      <c r="AK1989" s="14">
        <f>IF($B1989="","",IF($AO1989="","対象年月が未入力／","")&amp;IF($B1989="","",IF($AN1989="","職員マスタに未登録の職員番号／",IF($Y1989="","標準報酬月額が未登録／","")&amp;IF(AND($AO1989&lt;&gt;"",OR(AND(INDEX(職員マスタ!$G$6:$G$405,$AN1989)&lt;&gt;"",INDEX(職員マスタ!$G$6:$G$405,$AN1989)&gt;EOMONTH($AO1989,0)),AND(INDEX(職員マスタ!$H$6:$H$405,$AN1989)&lt;&gt;"",INDEX(職員マスタ!$H$6:$H$405,$AN1989)&lt;$AO1989))),"対象月が時短期間外／","")&amp;IF(AND(INDEX(職員マスタ!$F$6:$F$405,$AN1989)&lt;&gt;"",$AO1989&lt;&gt;"",INDEX(職員マスタ!$F$6:$F$405,$AN1989)&lt;$AO1989),"対象月に子が2歳到達済／","")&amp;IF(AND($H1989&lt;&gt;"",INDEX(職員マスタ!$B$6:$B$405,$AN1989)&lt;&gt;"",SUBSTITUTE(SUBSTITUTE($H1989," ","")," ","")&lt;&gt;SUBSTITUTE(SUBSTITUTE(INDEX(職員マスタ!$B$6:$B$405,$AN1989)," ","")," ","")),"氏名がマスタと相違／","")&amp;IF(AND($Q1989&lt;&gt;"",INDEX(職員マスタ!$E$6:$E$405,$AN1989)&lt;&gt;"",$Q1989&lt;&gt;INDEX(職員マスタ!$E$6:$E$405,$AN1989)),"子の生年月日がマスタと相違／","")&amp;IF(AND($L1989&lt;&gt;"",INDEX(職員マスタ!$G$6:$G$405,$AN1989)&lt;&gt;"",$L1989&lt;&gt;INDEX(職員マスタ!$G$6:$G$405,$AN1989)),"時短開始日がマスタと相違／","")&amp;IF(AND($M1989&lt;&gt;"",INDEX(職員マスタ!$H$6:$H$405,$AN1989)&lt;&gt;"",$M1989&lt;&gt;INDEX(職員マスタ!$H$6:$H$405,$AN1989)),"時短終了日がマスタと相違／","")))&amp;IF(AND($B1989&lt;&gt;"",$E1989=""),"報酬額が未入力／","")&amp;IF(N($U1989)&gt;0,"申請書に入力エラーが残っています／","")&amp;IF(AND($B1989&lt;&gt;"",$AO1989&lt;&gt;""),IF(COUNTIFS($B$6:$B$3005,$B1989,$C$6:$C$3005,$C1989,$D$6:$D$3005,$D1989)&gt;1,"同じ月の請求が重複しています／",""),"")&amp;IF(AND(N($E1989)&gt;0,$Z1989&lt;&gt;"",$Z1989&lt;&gt;"×",$AC1989=0,$AB1989=""),"計算額が下限以下のため不支給／",""))</f>
        <v/>
      </c>
      <c r="AL1989" s="12" t="n"/>
      <c r="AM1989" s="14">
        <f>IF($AD1989="保留中",COUNTIF($AD$6:$AD1989,"保留中"),"")</f>
        <v/>
      </c>
      <c r="AN1989" s="14">
        <f>IF($AO1989="","",IF(SUMPRODUCT(MAX((職員マスタ!$A$6:$A$405=$B1989)*(((職員マスタ!$G$6:$G$405="")+(職員マスタ!$G$6:$G$405&lt;=EOMONTH($AO1989,0)))&gt;0)*(((職員マスタ!$H$6:$H$405="")+(職員マスタ!$H$6:$H$405&gt;=$AO1989))&gt;0)*(ROW(職員マスタ!$A$6:$A$405)-5)))&gt;0,SUMPRODUCT(MAX((職員マスタ!$A$6:$A$405=$B1989)*(((職員マスタ!$G$6:$G$405="")+(職員マスタ!$G$6:$G$405&lt;=EOMONTH($AO1989,0)))&gt;0)*(((職員マスタ!$H$6:$H$405="")+(職員マスタ!$H$6:$H$405&gt;=$AO1989))&gt;0)*(ROW(職員マスタ!$A$6:$A$405)-5))),IFERROR(MATCH($B1989,職員マスタ!$A$6:$A$405,0),"")))</f>
        <v/>
      </c>
      <c r="AO1989" s="16">
        <f>IF(OR($B1989="",$C1989="",$D1989=""),"",DATE($C1989+2018,$D1989,1))</f>
        <v/>
      </c>
    </row>
    <row r="1990">
      <c r="A1990" s="11" t="n"/>
      <c r="B1990" s="12" t="n"/>
      <c r="C1990" s="12" t="n"/>
      <c r="D1990" s="12" t="n"/>
      <c r="E1990" s="13" t="n"/>
      <c r="F1990" s="12" t="n"/>
      <c r="G1990" s="13" t="n"/>
      <c r="H1990" s="12" t="n"/>
      <c r="I1990" s="12" t="n"/>
      <c r="J1990" s="12" t="n"/>
      <c r="K1990" s="12" t="n"/>
      <c r="L1990" s="11" t="n"/>
      <c r="M1990" s="11" t="n"/>
      <c r="N1990" s="11" t="n"/>
      <c r="O1990" s="11" t="n"/>
      <c r="P1990" s="12" t="n"/>
      <c r="Q1990" s="11" t="n"/>
      <c r="R1990" s="12" t="n"/>
      <c r="S1990" s="11" t="n"/>
      <c r="T1990" s="12" t="n"/>
      <c r="U1990" s="12" t="n"/>
      <c r="V1990" s="14">
        <f>IF($AN1990="",IF($B1990="","",$H1990),IF(INDEX(職員マスタ!$B$6:$B$405,$AN1990)="",$H1990,INDEX(職員マスタ!$B$6:$B$405,$AN1990)))</f>
        <v/>
      </c>
      <c r="W1990" s="14">
        <f>IF($AN1990="",IF($B1990="","",$R1990),IF(INDEX(職員マスタ!$C$6:$C$405,$AN1990)="",$R1990,INDEX(職員マスタ!$C$6:$C$405,$AN1990)))</f>
        <v/>
      </c>
      <c r="X1990" s="14">
        <f>IF($AO1990="","","R"&amp;$C1990&amp;"."&amp;$D1990)</f>
        <v/>
      </c>
      <c r="Y1990" s="15">
        <f>IF($AN1990="","",IF(INDEX(職員マスタ!$K$6:$K$405,$AN1990)="","",INDEX(職員マスタ!$K$6:$K$405,$AN1990)))</f>
        <v/>
      </c>
      <c r="Z1990" s="14">
        <f>IF(OR($E1990="",$Y1990=""),"",IF($E1990&gt;=$Y1990,"×",IF($E1990&gt;=$Y1990*設定!$C$5,"△","○")))</f>
        <v/>
      </c>
      <c r="AA1990" s="15">
        <f>IF($Z1990="","",IF($Z1990="×",0,IF($Z1990="○",ROUNDDOWN($E1990*設定!$C$4,0),ROUNDDOWN($E1990*ROUND((9*$Y1990-9*$E1990)/(10*$E1990),4),0))))</f>
        <v/>
      </c>
      <c r="AB1990" s="13" t="n"/>
      <c r="AC1990" s="15">
        <f>IF($B1990="","",IF($AB1990&lt;&gt;"",$AB1990,IF($AA1990="","",IF($AA1990&lt;=設定!$C$3,0,$AA1990))))</f>
        <v/>
      </c>
      <c r="AD1990" s="14">
        <f>IF($B1990="","",IF(AND($AE1990&lt;&gt;"",$AG1990="",$AJ1990=""),"保留中",IF($AJ1990&lt;&gt;"",IF(N($AC1990)&gt;0,"支給済","不支給"),IF($AC1990="","要確認",IF($AC1990=0,"不支給","未処理")))))</f>
        <v/>
      </c>
      <c r="AE1990" s="12" t="n"/>
      <c r="AF1990" s="11" t="n"/>
      <c r="AG1990" s="11" t="n"/>
      <c r="AH1990" s="11" t="n"/>
      <c r="AI1990" s="14">
        <f>IF(AND($AD1990="保留中",$AF1990&lt;&gt;""),TODAY()-$AF1990,"")</f>
        <v/>
      </c>
      <c r="AJ1990" s="12" t="n"/>
      <c r="AK1990" s="14">
        <f>IF($B1990="","",IF($AO1990="","対象年月が未入力／","")&amp;IF($B1990="","",IF($AN1990="","職員マスタに未登録の職員番号／",IF($Y1990="","標準報酬月額が未登録／","")&amp;IF(AND($AO1990&lt;&gt;"",OR(AND(INDEX(職員マスタ!$G$6:$G$405,$AN1990)&lt;&gt;"",INDEX(職員マスタ!$G$6:$G$405,$AN1990)&gt;EOMONTH($AO1990,0)),AND(INDEX(職員マスタ!$H$6:$H$405,$AN1990)&lt;&gt;"",INDEX(職員マスタ!$H$6:$H$405,$AN1990)&lt;$AO1990))),"対象月が時短期間外／","")&amp;IF(AND(INDEX(職員マスタ!$F$6:$F$405,$AN1990)&lt;&gt;"",$AO1990&lt;&gt;"",INDEX(職員マスタ!$F$6:$F$405,$AN1990)&lt;$AO1990),"対象月に子が2歳到達済／","")&amp;IF(AND($H1990&lt;&gt;"",INDEX(職員マスタ!$B$6:$B$405,$AN1990)&lt;&gt;"",SUBSTITUTE(SUBSTITUTE($H1990," ","")," ","")&lt;&gt;SUBSTITUTE(SUBSTITUTE(INDEX(職員マスタ!$B$6:$B$405,$AN1990)," ","")," ","")),"氏名がマスタと相違／","")&amp;IF(AND($Q1990&lt;&gt;"",INDEX(職員マスタ!$E$6:$E$405,$AN1990)&lt;&gt;"",$Q1990&lt;&gt;INDEX(職員マスタ!$E$6:$E$405,$AN1990)),"子の生年月日がマスタと相違／","")&amp;IF(AND($L1990&lt;&gt;"",INDEX(職員マスタ!$G$6:$G$405,$AN1990)&lt;&gt;"",$L1990&lt;&gt;INDEX(職員マスタ!$G$6:$G$405,$AN1990)),"時短開始日がマスタと相違／","")&amp;IF(AND($M1990&lt;&gt;"",INDEX(職員マスタ!$H$6:$H$405,$AN1990)&lt;&gt;"",$M1990&lt;&gt;INDEX(職員マスタ!$H$6:$H$405,$AN1990)),"時短終了日がマスタと相違／","")))&amp;IF(AND($B1990&lt;&gt;"",$E1990=""),"報酬額が未入力／","")&amp;IF(N($U1990)&gt;0,"申請書に入力エラーが残っています／","")&amp;IF(AND($B1990&lt;&gt;"",$AO1990&lt;&gt;""),IF(COUNTIFS($B$6:$B$3005,$B1990,$C$6:$C$3005,$C1990,$D$6:$D$3005,$D1990)&gt;1,"同じ月の請求が重複しています／",""),"")&amp;IF(AND(N($E1990)&gt;0,$Z1990&lt;&gt;"",$Z1990&lt;&gt;"×",$AC1990=0,$AB1990=""),"計算額が下限以下のため不支給／",""))</f>
        <v/>
      </c>
      <c r="AL1990" s="12" t="n"/>
      <c r="AM1990" s="14">
        <f>IF($AD1990="保留中",COUNTIF($AD$6:$AD1990,"保留中"),"")</f>
        <v/>
      </c>
      <c r="AN1990" s="14">
        <f>IF($AO1990="","",IF(SUMPRODUCT(MAX((職員マスタ!$A$6:$A$405=$B1990)*(((職員マスタ!$G$6:$G$405="")+(職員マスタ!$G$6:$G$405&lt;=EOMONTH($AO1990,0)))&gt;0)*(((職員マスタ!$H$6:$H$405="")+(職員マスタ!$H$6:$H$405&gt;=$AO1990))&gt;0)*(ROW(職員マスタ!$A$6:$A$405)-5)))&gt;0,SUMPRODUCT(MAX((職員マスタ!$A$6:$A$405=$B1990)*(((職員マスタ!$G$6:$G$405="")+(職員マスタ!$G$6:$G$405&lt;=EOMONTH($AO1990,0)))&gt;0)*(((職員マスタ!$H$6:$H$405="")+(職員マスタ!$H$6:$H$405&gt;=$AO1990))&gt;0)*(ROW(職員マスタ!$A$6:$A$405)-5))),IFERROR(MATCH($B1990,職員マスタ!$A$6:$A$405,0),"")))</f>
        <v/>
      </c>
      <c r="AO1990" s="16">
        <f>IF(OR($B1990="",$C1990="",$D1990=""),"",DATE($C1990+2018,$D1990,1))</f>
        <v/>
      </c>
    </row>
    <row r="1991">
      <c r="A1991" s="11" t="n"/>
      <c r="B1991" s="12" t="n"/>
      <c r="C1991" s="12" t="n"/>
      <c r="D1991" s="12" t="n"/>
      <c r="E1991" s="13" t="n"/>
      <c r="F1991" s="12" t="n"/>
      <c r="G1991" s="13" t="n"/>
      <c r="H1991" s="12" t="n"/>
      <c r="I1991" s="12" t="n"/>
      <c r="J1991" s="12" t="n"/>
      <c r="K1991" s="12" t="n"/>
      <c r="L1991" s="11" t="n"/>
      <c r="M1991" s="11" t="n"/>
      <c r="N1991" s="11" t="n"/>
      <c r="O1991" s="11" t="n"/>
      <c r="P1991" s="12" t="n"/>
      <c r="Q1991" s="11" t="n"/>
      <c r="R1991" s="12" t="n"/>
      <c r="S1991" s="11" t="n"/>
      <c r="T1991" s="12" t="n"/>
      <c r="U1991" s="12" t="n"/>
      <c r="V1991" s="14">
        <f>IF($AN1991="",IF($B1991="","",$H1991),IF(INDEX(職員マスタ!$B$6:$B$405,$AN1991)="",$H1991,INDEX(職員マスタ!$B$6:$B$405,$AN1991)))</f>
        <v/>
      </c>
      <c r="W1991" s="14">
        <f>IF($AN1991="",IF($B1991="","",$R1991),IF(INDEX(職員マスタ!$C$6:$C$405,$AN1991)="",$R1991,INDEX(職員マスタ!$C$6:$C$405,$AN1991)))</f>
        <v/>
      </c>
      <c r="X1991" s="14">
        <f>IF($AO1991="","","R"&amp;$C1991&amp;"."&amp;$D1991)</f>
        <v/>
      </c>
      <c r="Y1991" s="15">
        <f>IF($AN1991="","",IF(INDEX(職員マスタ!$K$6:$K$405,$AN1991)="","",INDEX(職員マスタ!$K$6:$K$405,$AN1991)))</f>
        <v/>
      </c>
      <c r="Z1991" s="14">
        <f>IF(OR($E1991="",$Y1991=""),"",IF($E1991&gt;=$Y1991,"×",IF($E1991&gt;=$Y1991*設定!$C$5,"△","○")))</f>
        <v/>
      </c>
      <c r="AA1991" s="15">
        <f>IF($Z1991="","",IF($Z1991="×",0,IF($Z1991="○",ROUNDDOWN($E1991*設定!$C$4,0),ROUNDDOWN($E1991*ROUND((9*$Y1991-9*$E1991)/(10*$E1991),4),0))))</f>
        <v/>
      </c>
      <c r="AB1991" s="13" t="n"/>
      <c r="AC1991" s="15">
        <f>IF($B1991="","",IF($AB1991&lt;&gt;"",$AB1991,IF($AA1991="","",IF($AA1991&lt;=設定!$C$3,0,$AA1991))))</f>
        <v/>
      </c>
      <c r="AD1991" s="14">
        <f>IF($B1991="","",IF(AND($AE1991&lt;&gt;"",$AG1991="",$AJ1991=""),"保留中",IF($AJ1991&lt;&gt;"",IF(N($AC1991)&gt;0,"支給済","不支給"),IF($AC1991="","要確認",IF($AC1991=0,"不支給","未処理")))))</f>
        <v/>
      </c>
      <c r="AE1991" s="12" t="n"/>
      <c r="AF1991" s="11" t="n"/>
      <c r="AG1991" s="11" t="n"/>
      <c r="AH1991" s="11" t="n"/>
      <c r="AI1991" s="14">
        <f>IF(AND($AD1991="保留中",$AF1991&lt;&gt;""),TODAY()-$AF1991,"")</f>
        <v/>
      </c>
      <c r="AJ1991" s="12" t="n"/>
      <c r="AK1991" s="14">
        <f>IF($B1991="","",IF($AO1991="","対象年月が未入力／","")&amp;IF($B1991="","",IF($AN1991="","職員マスタに未登録の職員番号／",IF($Y1991="","標準報酬月額が未登録／","")&amp;IF(AND($AO1991&lt;&gt;"",OR(AND(INDEX(職員マスタ!$G$6:$G$405,$AN1991)&lt;&gt;"",INDEX(職員マスタ!$G$6:$G$405,$AN1991)&gt;EOMONTH($AO1991,0)),AND(INDEX(職員マスタ!$H$6:$H$405,$AN1991)&lt;&gt;"",INDEX(職員マスタ!$H$6:$H$405,$AN1991)&lt;$AO1991))),"対象月が時短期間外／","")&amp;IF(AND(INDEX(職員マスタ!$F$6:$F$405,$AN1991)&lt;&gt;"",$AO1991&lt;&gt;"",INDEX(職員マスタ!$F$6:$F$405,$AN1991)&lt;$AO1991),"対象月に子が2歳到達済／","")&amp;IF(AND($H1991&lt;&gt;"",INDEX(職員マスタ!$B$6:$B$405,$AN1991)&lt;&gt;"",SUBSTITUTE(SUBSTITUTE($H1991," ","")," ","")&lt;&gt;SUBSTITUTE(SUBSTITUTE(INDEX(職員マスタ!$B$6:$B$405,$AN1991)," ","")," ","")),"氏名がマスタと相違／","")&amp;IF(AND($Q1991&lt;&gt;"",INDEX(職員マスタ!$E$6:$E$405,$AN1991)&lt;&gt;"",$Q1991&lt;&gt;INDEX(職員マスタ!$E$6:$E$405,$AN1991)),"子の生年月日がマスタと相違／","")&amp;IF(AND($L1991&lt;&gt;"",INDEX(職員マスタ!$G$6:$G$405,$AN1991)&lt;&gt;"",$L1991&lt;&gt;INDEX(職員マスタ!$G$6:$G$405,$AN1991)),"時短開始日がマスタと相違／","")&amp;IF(AND($M1991&lt;&gt;"",INDEX(職員マスタ!$H$6:$H$405,$AN1991)&lt;&gt;"",$M1991&lt;&gt;INDEX(職員マスタ!$H$6:$H$405,$AN1991)),"時短終了日がマスタと相違／","")))&amp;IF(AND($B1991&lt;&gt;"",$E1991=""),"報酬額が未入力／","")&amp;IF(N($U1991)&gt;0,"申請書に入力エラーが残っています／","")&amp;IF(AND($B1991&lt;&gt;"",$AO1991&lt;&gt;""),IF(COUNTIFS($B$6:$B$3005,$B1991,$C$6:$C$3005,$C1991,$D$6:$D$3005,$D1991)&gt;1,"同じ月の請求が重複しています／",""),"")&amp;IF(AND(N($E1991)&gt;0,$Z1991&lt;&gt;"",$Z1991&lt;&gt;"×",$AC1991=0,$AB1991=""),"計算額が下限以下のため不支給／",""))</f>
        <v/>
      </c>
      <c r="AL1991" s="12" t="n"/>
      <c r="AM1991" s="14">
        <f>IF($AD1991="保留中",COUNTIF($AD$6:$AD1991,"保留中"),"")</f>
        <v/>
      </c>
      <c r="AN1991" s="14">
        <f>IF($AO1991="","",IF(SUMPRODUCT(MAX((職員マスタ!$A$6:$A$405=$B1991)*(((職員マスタ!$G$6:$G$405="")+(職員マスタ!$G$6:$G$405&lt;=EOMONTH($AO1991,0)))&gt;0)*(((職員マスタ!$H$6:$H$405="")+(職員マスタ!$H$6:$H$405&gt;=$AO1991))&gt;0)*(ROW(職員マスタ!$A$6:$A$405)-5)))&gt;0,SUMPRODUCT(MAX((職員マスタ!$A$6:$A$405=$B1991)*(((職員マスタ!$G$6:$G$405="")+(職員マスタ!$G$6:$G$405&lt;=EOMONTH($AO1991,0)))&gt;0)*(((職員マスタ!$H$6:$H$405="")+(職員マスタ!$H$6:$H$405&gt;=$AO1991))&gt;0)*(ROW(職員マスタ!$A$6:$A$405)-5))),IFERROR(MATCH($B1991,職員マスタ!$A$6:$A$405,0),"")))</f>
        <v/>
      </c>
      <c r="AO1991" s="16">
        <f>IF(OR($B1991="",$C1991="",$D1991=""),"",DATE($C1991+2018,$D1991,1))</f>
        <v/>
      </c>
    </row>
    <row r="1992">
      <c r="A1992" s="11" t="n"/>
      <c r="B1992" s="12" t="n"/>
      <c r="C1992" s="12" t="n"/>
      <c r="D1992" s="12" t="n"/>
      <c r="E1992" s="13" t="n"/>
      <c r="F1992" s="12" t="n"/>
      <c r="G1992" s="13" t="n"/>
      <c r="H1992" s="12" t="n"/>
      <c r="I1992" s="12" t="n"/>
      <c r="J1992" s="12" t="n"/>
      <c r="K1992" s="12" t="n"/>
      <c r="L1992" s="11" t="n"/>
      <c r="M1992" s="11" t="n"/>
      <c r="N1992" s="11" t="n"/>
      <c r="O1992" s="11" t="n"/>
      <c r="P1992" s="12" t="n"/>
      <c r="Q1992" s="11" t="n"/>
      <c r="R1992" s="12" t="n"/>
      <c r="S1992" s="11" t="n"/>
      <c r="T1992" s="12" t="n"/>
      <c r="U1992" s="12" t="n"/>
      <c r="V1992" s="14">
        <f>IF($AN1992="",IF($B1992="","",$H1992),IF(INDEX(職員マスタ!$B$6:$B$405,$AN1992)="",$H1992,INDEX(職員マスタ!$B$6:$B$405,$AN1992)))</f>
        <v/>
      </c>
      <c r="W1992" s="14">
        <f>IF($AN1992="",IF($B1992="","",$R1992),IF(INDEX(職員マスタ!$C$6:$C$405,$AN1992)="",$R1992,INDEX(職員マスタ!$C$6:$C$405,$AN1992)))</f>
        <v/>
      </c>
      <c r="X1992" s="14">
        <f>IF($AO1992="","","R"&amp;$C1992&amp;"."&amp;$D1992)</f>
        <v/>
      </c>
      <c r="Y1992" s="15">
        <f>IF($AN1992="","",IF(INDEX(職員マスタ!$K$6:$K$405,$AN1992)="","",INDEX(職員マスタ!$K$6:$K$405,$AN1992)))</f>
        <v/>
      </c>
      <c r="Z1992" s="14">
        <f>IF(OR($E1992="",$Y1992=""),"",IF($E1992&gt;=$Y1992,"×",IF($E1992&gt;=$Y1992*設定!$C$5,"△","○")))</f>
        <v/>
      </c>
      <c r="AA1992" s="15">
        <f>IF($Z1992="","",IF($Z1992="×",0,IF($Z1992="○",ROUNDDOWN($E1992*設定!$C$4,0),ROUNDDOWN($E1992*ROUND((9*$Y1992-9*$E1992)/(10*$E1992),4),0))))</f>
        <v/>
      </c>
      <c r="AB1992" s="13" t="n"/>
      <c r="AC1992" s="15">
        <f>IF($B1992="","",IF($AB1992&lt;&gt;"",$AB1992,IF($AA1992="","",IF($AA1992&lt;=設定!$C$3,0,$AA1992))))</f>
        <v/>
      </c>
      <c r="AD1992" s="14">
        <f>IF($B1992="","",IF(AND($AE1992&lt;&gt;"",$AG1992="",$AJ1992=""),"保留中",IF($AJ1992&lt;&gt;"",IF(N($AC1992)&gt;0,"支給済","不支給"),IF($AC1992="","要確認",IF($AC1992=0,"不支給","未処理")))))</f>
        <v/>
      </c>
      <c r="AE1992" s="12" t="n"/>
      <c r="AF1992" s="11" t="n"/>
      <c r="AG1992" s="11" t="n"/>
      <c r="AH1992" s="11" t="n"/>
      <c r="AI1992" s="14">
        <f>IF(AND($AD1992="保留中",$AF1992&lt;&gt;""),TODAY()-$AF1992,"")</f>
        <v/>
      </c>
      <c r="AJ1992" s="12" t="n"/>
      <c r="AK1992" s="14">
        <f>IF($B1992="","",IF($AO1992="","対象年月が未入力／","")&amp;IF($B1992="","",IF($AN1992="","職員マスタに未登録の職員番号／",IF($Y1992="","標準報酬月額が未登録／","")&amp;IF(AND($AO1992&lt;&gt;"",OR(AND(INDEX(職員マスタ!$G$6:$G$405,$AN1992)&lt;&gt;"",INDEX(職員マスタ!$G$6:$G$405,$AN1992)&gt;EOMONTH($AO1992,0)),AND(INDEX(職員マスタ!$H$6:$H$405,$AN1992)&lt;&gt;"",INDEX(職員マスタ!$H$6:$H$405,$AN1992)&lt;$AO1992))),"対象月が時短期間外／","")&amp;IF(AND(INDEX(職員マスタ!$F$6:$F$405,$AN1992)&lt;&gt;"",$AO1992&lt;&gt;"",INDEX(職員マスタ!$F$6:$F$405,$AN1992)&lt;$AO1992),"対象月に子が2歳到達済／","")&amp;IF(AND($H1992&lt;&gt;"",INDEX(職員マスタ!$B$6:$B$405,$AN1992)&lt;&gt;"",SUBSTITUTE(SUBSTITUTE($H1992," ","")," ","")&lt;&gt;SUBSTITUTE(SUBSTITUTE(INDEX(職員マスタ!$B$6:$B$405,$AN1992)," ","")," ","")),"氏名がマスタと相違／","")&amp;IF(AND($Q1992&lt;&gt;"",INDEX(職員マスタ!$E$6:$E$405,$AN1992)&lt;&gt;"",$Q1992&lt;&gt;INDEX(職員マスタ!$E$6:$E$405,$AN1992)),"子の生年月日がマスタと相違／","")&amp;IF(AND($L1992&lt;&gt;"",INDEX(職員マスタ!$G$6:$G$405,$AN1992)&lt;&gt;"",$L1992&lt;&gt;INDEX(職員マスタ!$G$6:$G$405,$AN1992)),"時短開始日がマスタと相違／","")&amp;IF(AND($M1992&lt;&gt;"",INDEX(職員マスタ!$H$6:$H$405,$AN1992)&lt;&gt;"",$M1992&lt;&gt;INDEX(職員マスタ!$H$6:$H$405,$AN1992)),"時短終了日がマスタと相違／","")))&amp;IF(AND($B1992&lt;&gt;"",$E1992=""),"報酬額が未入力／","")&amp;IF(N($U1992)&gt;0,"申請書に入力エラーが残っています／","")&amp;IF(AND($B1992&lt;&gt;"",$AO1992&lt;&gt;""),IF(COUNTIFS($B$6:$B$3005,$B1992,$C$6:$C$3005,$C1992,$D$6:$D$3005,$D1992)&gt;1,"同じ月の請求が重複しています／",""),"")&amp;IF(AND(N($E1992)&gt;0,$Z1992&lt;&gt;"",$Z1992&lt;&gt;"×",$AC1992=0,$AB1992=""),"計算額が下限以下のため不支給／",""))</f>
        <v/>
      </c>
      <c r="AL1992" s="12" t="n"/>
      <c r="AM1992" s="14">
        <f>IF($AD1992="保留中",COUNTIF($AD$6:$AD1992,"保留中"),"")</f>
        <v/>
      </c>
      <c r="AN1992" s="14">
        <f>IF($AO1992="","",IF(SUMPRODUCT(MAX((職員マスタ!$A$6:$A$405=$B1992)*(((職員マスタ!$G$6:$G$405="")+(職員マスタ!$G$6:$G$405&lt;=EOMONTH($AO1992,0)))&gt;0)*(((職員マスタ!$H$6:$H$405="")+(職員マスタ!$H$6:$H$405&gt;=$AO1992))&gt;0)*(ROW(職員マスタ!$A$6:$A$405)-5)))&gt;0,SUMPRODUCT(MAX((職員マスタ!$A$6:$A$405=$B1992)*(((職員マスタ!$G$6:$G$405="")+(職員マスタ!$G$6:$G$405&lt;=EOMONTH($AO1992,0)))&gt;0)*(((職員マスタ!$H$6:$H$405="")+(職員マスタ!$H$6:$H$405&gt;=$AO1992))&gt;0)*(ROW(職員マスタ!$A$6:$A$405)-5))),IFERROR(MATCH($B1992,職員マスタ!$A$6:$A$405,0),"")))</f>
        <v/>
      </c>
      <c r="AO1992" s="16">
        <f>IF(OR($B1992="",$C1992="",$D1992=""),"",DATE($C1992+2018,$D1992,1))</f>
        <v/>
      </c>
    </row>
    <row r="1993">
      <c r="A1993" s="11" t="n"/>
      <c r="B1993" s="12" t="n"/>
      <c r="C1993" s="12" t="n"/>
      <c r="D1993" s="12" t="n"/>
      <c r="E1993" s="13" t="n"/>
      <c r="F1993" s="12" t="n"/>
      <c r="G1993" s="13" t="n"/>
      <c r="H1993" s="12" t="n"/>
      <c r="I1993" s="12" t="n"/>
      <c r="J1993" s="12" t="n"/>
      <c r="K1993" s="12" t="n"/>
      <c r="L1993" s="11" t="n"/>
      <c r="M1993" s="11" t="n"/>
      <c r="N1993" s="11" t="n"/>
      <c r="O1993" s="11" t="n"/>
      <c r="P1993" s="12" t="n"/>
      <c r="Q1993" s="11" t="n"/>
      <c r="R1993" s="12" t="n"/>
      <c r="S1993" s="11" t="n"/>
      <c r="T1993" s="12" t="n"/>
      <c r="U1993" s="12" t="n"/>
      <c r="V1993" s="14">
        <f>IF($AN1993="",IF($B1993="","",$H1993),IF(INDEX(職員マスタ!$B$6:$B$405,$AN1993)="",$H1993,INDEX(職員マスタ!$B$6:$B$405,$AN1993)))</f>
        <v/>
      </c>
      <c r="W1993" s="14">
        <f>IF($AN1993="",IF($B1993="","",$R1993),IF(INDEX(職員マスタ!$C$6:$C$405,$AN1993)="",$R1993,INDEX(職員マスタ!$C$6:$C$405,$AN1993)))</f>
        <v/>
      </c>
      <c r="X1993" s="14">
        <f>IF($AO1993="","","R"&amp;$C1993&amp;"."&amp;$D1993)</f>
        <v/>
      </c>
      <c r="Y1993" s="15">
        <f>IF($AN1993="","",IF(INDEX(職員マスタ!$K$6:$K$405,$AN1993)="","",INDEX(職員マスタ!$K$6:$K$405,$AN1993)))</f>
        <v/>
      </c>
      <c r="Z1993" s="14">
        <f>IF(OR($E1993="",$Y1993=""),"",IF($E1993&gt;=$Y1993,"×",IF($E1993&gt;=$Y1993*設定!$C$5,"△","○")))</f>
        <v/>
      </c>
      <c r="AA1993" s="15">
        <f>IF($Z1993="","",IF($Z1993="×",0,IF($Z1993="○",ROUNDDOWN($E1993*設定!$C$4,0),ROUNDDOWN($E1993*ROUND((9*$Y1993-9*$E1993)/(10*$E1993),4),0))))</f>
        <v/>
      </c>
      <c r="AB1993" s="13" t="n"/>
      <c r="AC1993" s="15">
        <f>IF($B1993="","",IF($AB1993&lt;&gt;"",$AB1993,IF($AA1993="","",IF($AA1993&lt;=設定!$C$3,0,$AA1993))))</f>
        <v/>
      </c>
      <c r="AD1993" s="14">
        <f>IF($B1993="","",IF(AND($AE1993&lt;&gt;"",$AG1993="",$AJ1993=""),"保留中",IF($AJ1993&lt;&gt;"",IF(N($AC1993)&gt;0,"支給済","不支給"),IF($AC1993="","要確認",IF($AC1993=0,"不支給","未処理")))))</f>
        <v/>
      </c>
      <c r="AE1993" s="12" t="n"/>
      <c r="AF1993" s="11" t="n"/>
      <c r="AG1993" s="11" t="n"/>
      <c r="AH1993" s="11" t="n"/>
      <c r="AI1993" s="14">
        <f>IF(AND($AD1993="保留中",$AF1993&lt;&gt;""),TODAY()-$AF1993,"")</f>
        <v/>
      </c>
      <c r="AJ1993" s="12" t="n"/>
      <c r="AK1993" s="14">
        <f>IF($B1993="","",IF($AO1993="","対象年月が未入力／","")&amp;IF($B1993="","",IF($AN1993="","職員マスタに未登録の職員番号／",IF($Y1993="","標準報酬月額が未登録／","")&amp;IF(AND($AO1993&lt;&gt;"",OR(AND(INDEX(職員マスタ!$G$6:$G$405,$AN1993)&lt;&gt;"",INDEX(職員マスタ!$G$6:$G$405,$AN1993)&gt;EOMONTH($AO1993,0)),AND(INDEX(職員マスタ!$H$6:$H$405,$AN1993)&lt;&gt;"",INDEX(職員マスタ!$H$6:$H$405,$AN1993)&lt;$AO1993))),"対象月が時短期間外／","")&amp;IF(AND(INDEX(職員マスタ!$F$6:$F$405,$AN1993)&lt;&gt;"",$AO1993&lt;&gt;"",INDEX(職員マスタ!$F$6:$F$405,$AN1993)&lt;$AO1993),"対象月に子が2歳到達済／","")&amp;IF(AND($H1993&lt;&gt;"",INDEX(職員マスタ!$B$6:$B$405,$AN1993)&lt;&gt;"",SUBSTITUTE(SUBSTITUTE($H1993," ","")," ","")&lt;&gt;SUBSTITUTE(SUBSTITUTE(INDEX(職員マスタ!$B$6:$B$405,$AN1993)," ","")," ","")),"氏名がマスタと相違／","")&amp;IF(AND($Q1993&lt;&gt;"",INDEX(職員マスタ!$E$6:$E$405,$AN1993)&lt;&gt;"",$Q1993&lt;&gt;INDEX(職員マスタ!$E$6:$E$405,$AN1993)),"子の生年月日がマスタと相違／","")&amp;IF(AND($L1993&lt;&gt;"",INDEX(職員マスタ!$G$6:$G$405,$AN1993)&lt;&gt;"",$L1993&lt;&gt;INDEX(職員マスタ!$G$6:$G$405,$AN1993)),"時短開始日がマスタと相違／","")&amp;IF(AND($M1993&lt;&gt;"",INDEX(職員マスタ!$H$6:$H$405,$AN1993)&lt;&gt;"",$M1993&lt;&gt;INDEX(職員マスタ!$H$6:$H$405,$AN1993)),"時短終了日がマスタと相違／","")))&amp;IF(AND($B1993&lt;&gt;"",$E1993=""),"報酬額が未入力／","")&amp;IF(N($U1993)&gt;0,"申請書に入力エラーが残っています／","")&amp;IF(AND($B1993&lt;&gt;"",$AO1993&lt;&gt;""),IF(COUNTIFS($B$6:$B$3005,$B1993,$C$6:$C$3005,$C1993,$D$6:$D$3005,$D1993)&gt;1,"同じ月の請求が重複しています／",""),"")&amp;IF(AND(N($E1993)&gt;0,$Z1993&lt;&gt;"",$Z1993&lt;&gt;"×",$AC1993=0,$AB1993=""),"計算額が下限以下のため不支給／",""))</f>
        <v/>
      </c>
      <c r="AL1993" s="12" t="n"/>
      <c r="AM1993" s="14">
        <f>IF($AD1993="保留中",COUNTIF($AD$6:$AD1993,"保留中"),"")</f>
        <v/>
      </c>
      <c r="AN1993" s="14">
        <f>IF($AO1993="","",IF(SUMPRODUCT(MAX((職員マスタ!$A$6:$A$405=$B1993)*(((職員マスタ!$G$6:$G$405="")+(職員マスタ!$G$6:$G$405&lt;=EOMONTH($AO1993,0)))&gt;0)*(((職員マスタ!$H$6:$H$405="")+(職員マスタ!$H$6:$H$405&gt;=$AO1993))&gt;0)*(ROW(職員マスタ!$A$6:$A$405)-5)))&gt;0,SUMPRODUCT(MAX((職員マスタ!$A$6:$A$405=$B1993)*(((職員マスタ!$G$6:$G$405="")+(職員マスタ!$G$6:$G$405&lt;=EOMONTH($AO1993,0)))&gt;0)*(((職員マスタ!$H$6:$H$405="")+(職員マスタ!$H$6:$H$405&gt;=$AO1993))&gt;0)*(ROW(職員マスタ!$A$6:$A$405)-5))),IFERROR(MATCH($B1993,職員マスタ!$A$6:$A$405,0),"")))</f>
        <v/>
      </c>
      <c r="AO1993" s="16">
        <f>IF(OR($B1993="",$C1993="",$D1993=""),"",DATE($C1993+2018,$D1993,1))</f>
        <v/>
      </c>
    </row>
    <row r="1994">
      <c r="A1994" s="11" t="n"/>
      <c r="B1994" s="12" t="n"/>
      <c r="C1994" s="12" t="n"/>
      <c r="D1994" s="12" t="n"/>
      <c r="E1994" s="13" t="n"/>
      <c r="F1994" s="12" t="n"/>
      <c r="G1994" s="13" t="n"/>
      <c r="H1994" s="12" t="n"/>
      <c r="I1994" s="12" t="n"/>
      <c r="J1994" s="12" t="n"/>
      <c r="K1994" s="12" t="n"/>
      <c r="L1994" s="11" t="n"/>
      <c r="M1994" s="11" t="n"/>
      <c r="N1994" s="11" t="n"/>
      <c r="O1994" s="11" t="n"/>
      <c r="P1994" s="12" t="n"/>
      <c r="Q1994" s="11" t="n"/>
      <c r="R1994" s="12" t="n"/>
      <c r="S1994" s="11" t="n"/>
      <c r="T1994" s="12" t="n"/>
      <c r="U1994" s="12" t="n"/>
      <c r="V1994" s="14">
        <f>IF($AN1994="",IF($B1994="","",$H1994),IF(INDEX(職員マスタ!$B$6:$B$405,$AN1994)="",$H1994,INDEX(職員マスタ!$B$6:$B$405,$AN1994)))</f>
        <v/>
      </c>
      <c r="W1994" s="14">
        <f>IF($AN1994="",IF($B1994="","",$R1994),IF(INDEX(職員マスタ!$C$6:$C$405,$AN1994)="",$R1994,INDEX(職員マスタ!$C$6:$C$405,$AN1994)))</f>
        <v/>
      </c>
      <c r="X1994" s="14">
        <f>IF($AO1994="","","R"&amp;$C1994&amp;"."&amp;$D1994)</f>
        <v/>
      </c>
      <c r="Y1994" s="15">
        <f>IF($AN1994="","",IF(INDEX(職員マスタ!$K$6:$K$405,$AN1994)="","",INDEX(職員マスタ!$K$6:$K$405,$AN1994)))</f>
        <v/>
      </c>
      <c r="Z1994" s="14">
        <f>IF(OR($E1994="",$Y1994=""),"",IF($E1994&gt;=$Y1994,"×",IF($E1994&gt;=$Y1994*設定!$C$5,"△","○")))</f>
        <v/>
      </c>
      <c r="AA1994" s="15">
        <f>IF($Z1994="","",IF($Z1994="×",0,IF($Z1994="○",ROUNDDOWN($E1994*設定!$C$4,0),ROUNDDOWN($E1994*ROUND((9*$Y1994-9*$E1994)/(10*$E1994),4),0))))</f>
        <v/>
      </c>
      <c r="AB1994" s="13" t="n"/>
      <c r="AC1994" s="15">
        <f>IF($B1994="","",IF($AB1994&lt;&gt;"",$AB1994,IF($AA1994="","",IF($AA1994&lt;=設定!$C$3,0,$AA1994))))</f>
        <v/>
      </c>
      <c r="AD1994" s="14">
        <f>IF($B1994="","",IF(AND($AE1994&lt;&gt;"",$AG1994="",$AJ1994=""),"保留中",IF($AJ1994&lt;&gt;"",IF(N($AC1994)&gt;0,"支給済","不支給"),IF($AC1994="","要確認",IF($AC1994=0,"不支給","未処理")))))</f>
        <v/>
      </c>
      <c r="AE1994" s="12" t="n"/>
      <c r="AF1994" s="11" t="n"/>
      <c r="AG1994" s="11" t="n"/>
      <c r="AH1994" s="11" t="n"/>
      <c r="AI1994" s="14">
        <f>IF(AND($AD1994="保留中",$AF1994&lt;&gt;""),TODAY()-$AF1994,"")</f>
        <v/>
      </c>
      <c r="AJ1994" s="12" t="n"/>
      <c r="AK1994" s="14">
        <f>IF($B1994="","",IF($AO1994="","対象年月が未入力／","")&amp;IF($B1994="","",IF($AN1994="","職員マスタに未登録の職員番号／",IF($Y1994="","標準報酬月額が未登録／","")&amp;IF(AND($AO1994&lt;&gt;"",OR(AND(INDEX(職員マスタ!$G$6:$G$405,$AN1994)&lt;&gt;"",INDEX(職員マスタ!$G$6:$G$405,$AN1994)&gt;EOMONTH($AO1994,0)),AND(INDEX(職員マスタ!$H$6:$H$405,$AN1994)&lt;&gt;"",INDEX(職員マスタ!$H$6:$H$405,$AN1994)&lt;$AO1994))),"対象月が時短期間外／","")&amp;IF(AND(INDEX(職員マスタ!$F$6:$F$405,$AN1994)&lt;&gt;"",$AO1994&lt;&gt;"",INDEX(職員マスタ!$F$6:$F$405,$AN1994)&lt;$AO1994),"対象月に子が2歳到達済／","")&amp;IF(AND($H1994&lt;&gt;"",INDEX(職員マスタ!$B$6:$B$405,$AN1994)&lt;&gt;"",SUBSTITUTE(SUBSTITUTE($H1994," ","")," ","")&lt;&gt;SUBSTITUTE(SUBSTITUTE(INDEX(職員マスタ!$B$6:$B$405,$AN1994)," ","")," ","")),"氏名がマスタと相違／","")&amp;IF(AND($Q1994&lt;&gt;"",INDEX(職員マスタ!$E$6:$E$405,$AN1994)&lt;&gt;"",$Q1994&lt;&gt;INDEX(職員マスタ!$E$6:$E$405,$AN1994)),"子の生年月日がマスタと相違／","")&amp;IF(AND($L1994&lt;&gt;"",INDEX(職員マスタ!$G$6:$G$405,$AN1994)&lt;&gt;"",$L1994&lt;&gt;INDEX(職員マスタ!$G$6:$G$405,$AN1994)),"時短開始日がマスタと相違／","")&amp;IF(AND($M1994&lt;&gt;"",INDEX(職員マスタ!$H$6:$H$405,$AN1994)&lt;&gt;"",$M1994&lt;&gt;INDEX(職員マスタ!$H$6:$H$405,$AN1994)),"時短終了日がマスタと相違／","")))&amp;IF(AND($B1994&lt;&gt;"",$E1994=""),"報酬額が未入力／","")&amp;IF(N($U1994)&gt;0,"申請書に入力エラーが残っています／","")&amp;IF(AND($B1994&lt;&gt;"",$AO1994&lt;&gt;""),IF(COUNTIFS($B$6:$B$3005,$B1994,$C$6:$C$3005,$C1994,$D$6:$D$3005,$D1994)&gt;1,"同じ月の請求が重複しています／",""),"")&amp;IF(AND(N($E1994)&gt;0,$Z1994&lt;&gt;"",$Z1994&lt;&gt;"×",$AC1994=0,$AB1994=""),"計算額が下限以下のため不支給／",""))</f>
        <v/>
      </c>
      <c r="AL1994" s="12" t="n"/>
      <c r="AM1994" s="14">
        <f>IF($AD1994="保留中",COUNTIF($AD$6:$AD1994,"保留中"),"")</f>
        <v/>
      </c>
      <c r="AN1994" s="14">
        <f>IF($AO1994="","",IF(SUMPRODUCT(MAX((職員マスタ!$A$6:$A$405=$B1994)*(((職員マスタ!$G$6:$G$405="")+(職員マスタ!$G$6:$G$405&lt;=EOMONTH($AO1994,0)))&gt;0)*(((職員マスタ!$H$6:$H$405="")+(職員マスタ!$H$6:$H$405&gt;=$AO1994))&gt;0)*(ROW(職員マスタ!$A$6:$A$405)-5)))&gt;0,SUMPRODUCT(MAX((職員マスタ!$A$6:$A$405=$B1994)*(((職員マスタ!$G$6:$G$405="")+(職員マスタ!$G$6:$G$405&lt;=EOMONTH($AO1994,0)))&gt;0)*(((職員マスタ!$H$6:$H$405="")+(職員マスタ!$H$6:$H$405&gt;=$AO1994))&gt;0)*(ROW(職員マスタ!$A$6:$A$405)-5))),IFERROR(MATCH($B1994,職員マスタ!$A$6:$A$405,0),"")))</f>
        <v/>
      </c>
      <c r="AO1994" s="16">
        <f>IF(OR($B1994="",$C1994="",$D1994=""),"",DATE($C1994+2018,$D1994,1))</f>
        <v/>
      </c>
    </row>
    <row r="1995">
      <c r="A1995" s="11" t="n"/>
      <c r="B1995" s="12" t="n"/>
      <c r="C1995" s="12" t="n"/>
      <c r="D1995" s="12" t="n"/>
      <c r="E1995" s="13" t="n"/>
      <c r="F1995" s="12" t="n"/>
      <c r="G1995" s="13" t="n"/>
      <c r="H1995" s="12" t="n"/>
      <c r="I1995" s="12" t="n"/>
      <c r="J1995" s="12" t="n"/>
      <c r="K1995" s="12" t="n"/>
      <c r="L1995" s="11" t="n"/>
      <c r="M1995" s="11" t="n"/>
      <c r="N1995" s="11" t="n"/>
      <c r="O1995" s="11" t="n"/>
      <c r="P1995" s="12" t="n"/>
      <c r="Q1995" s="11" t="n"/>
      <c r="R1995" s="12" t="n"/>
      <c r="S1995" s="11" t="n"/>
      <c r="T1995" s="12" t="n"/>
      <c r="U1995" s="12" t="n"/>
      <c r="V1995" s="14">
        <f>IF($AN1995="",IF($B1995="","",$H1995),IF(INDEX(職員マスタ!$B$6:$B$405,$AN1995)="",$H1995,INDEX(職員マスタ!$B$6:$B$405,$AN1995)))</f>
        <v/>
      </c>
      <c r="W1995" s="14">
        <f>IF($AN1995="",IF($B1995="","",$R1995),IF(INDEX(職員マスタ!$C$6:$C$405,$AN1995)="",$R1995,INDEX(職員マスタ!$C$6:$C$405,$AN1995)))</f>
        <v/>
      </c>
      <c r="X1995" s="14">
        <f>IF($AO1995="","","R"&amp;$C1995&amp;"."&amp;$D1995)</f>
        <v/>
      </c>
      <c r="Y1995" s="15">
        <f>IF($AN1995="","",IF(INDEX(職員マスタ!$K$6:$K$405,$AN1995)="","",INDEX(職員マスタ!$K$6:$K$405,$AN1995)))</f>
        <v/>
      </c>
      <c r="Z1995" s="14">
        <f>IF(OR($E1995="",$Y1995=""),"",IF($E1995&gt;=$Y1995,"×",IF($E1995&gt;=$Y1995*設定!$C$5,"△","○")))</f>
        <v/>
      </c>
      <c r="AA1995" s="15">
        <f>IF($Z1995="","",IF($Z1995="×",0,IF($Z1995="○",ROUNDDOWN($E1995*設定!$C$4,0),ROUNDDOWN($E1995*ROUND((9*$Y1995-9*$E1995)/(10*$E1995),4),0))))</f>
        <v/>
      </c>
      <c r="AB1995" s="13" t="n"/>
      <c r="AC1995" s="15">
        <f>IF($B1995="","",IF($AB1995&lt;&gt;"",$AB1995,IF($AA1995="","",IF($AA1995&lt;=設定!$C$3,0,$AA1995))))</f>
        <v/>
      </c>
      <c r="AD1995" s="14">
        <f>IF($B1995="","",IF(AND($AE1995&lt;&gt;"",$AG1995="",$AJ1995=""),"保留中",IF($AJ1995&lt;&gt;"",IF(N($AC1995)&gt;0,"支給済","不支給"),IF($AC1995="","要確認",IF($AC1995=0,"不支給","未処理")))))</f>
        <v/>
      </c>
      <c r="AE1995" s="12" t="n"/>
      <c r="AF1995" s="11" t="n"/>
      <c r="AG1995" s="11" t="n"/>
      <c r="AH1995" s="11" t="n"/>
      <c r="AI1995" s="14">
        <f>IF(AND($AD1995="保留中",$AF1995&lt;&gt;""),TODAY()-$AF1995,"")</f>
        <v/>
      </c>
      <c r="AJ1995" s="12" t="n"/>
      <c r="AK1995" s="14">
        <f>IF($B1995="","",IF($AO1995="","対象年月が未入力／","")&amp;IF($B1995="","",IF($AN1995="","職員マスタに未登録の職員番号／",IF($Y1995="","標準報酬月額が未登録／","")&amp;IF(AND($AO1995&lt;&gt;"",OR(AND(INDEX(職員マスタ!$G$6:$G$405,$AN1995)&lt;&gt;"",INDEX(職員マスタ!$G$6:$G$405,$AN1995)&gt;EOMONTH($AO1995,0)),AND(INDEX(職員マスタ!$H$6:$H$405,$AN1995)&lt;&gt;"",INDEX(職員マスタ!$H$6:$H$405,$AN1995)&lt;$AO1995))),"対象月が時短期間外／","")&amp;IF(AND(INDEX(職員マスタ!$F$6:$F$405,$AN1995)&lt;&gt;"",$AO1995&lt;&gt;"",INDEX(職員マスタ!$F$6:$F$405,$AN1995)&lt;$AO1995),"対象月に子が2歳到達済／","")&amp;IF(AND($H1995&lt;&gt;"",INDEX(職員マスタ!$B$6:$B$405,$AN1995)&lt;&gt;"",SUBSTITUTE(SUBSTITUTE($H1995," ","")," ","")&lt;&gt;SUBSTITUTE(SUBSTITUTE(INDEX(職員マスタ!$B$6:$B$405,$AN1995)," ","")," ","")),"氏名がマスタと相違／","")&amp;IF(AND($Q1995&lt;&gt;"",INDEX(職員マスタ!$E$6:$E$405,$AN1995)&lt;&gt;"",$Q1995&lt;&gt;INDEX(職員マスタ!$E$6:$E$405,$AN1995)),"子の生年月日がマスタと相違／","")&amp;IF(AND($L1995&lt;&gt;"",INDEX(職員マスタ!$G$6:$G$405,$AN1995)&lt;&gt;"",$L1995&lt;&gt;INDEX(職員マスタ!$G$6:$G$405,$AN1995)),"時短開始日がマスタと相違／","")&amp;IF(AND($M1995&lt;&gt;"",INDEX(職員マスタ!$H$6:$H$405,$AN1995)&lt;&gt;"",$M1995&lt;&gt;INDEX(職員マスタ!$H$6:$H$405,$AN1995)),"時短終了日がマスタと相違／","")))&amp;IF(AND($B1995&lt;&gt;"",$E1995=""),"報酬額が未入力／","")&amp;IF(N($U1995)&gt;0,"申請書に入力エラーが残っています／","")&amp;IF(AND($B1995&lt;&gt;"",$AO1995&lt;&gt;""),IF(COUNTIFS($B$6:$B$3005,$B1995,$C$6:$C$3005,$C1995,$D$6:$D$3005,$D1995)&gt;1,"同じ月の請求が重複しています／",""),"")&amp;IF(AND(N($E1995)&gt;0,$Z1995&lt;&gt;"",$Z1995&lt;&gt;"×",$AC1995=0,$AB1995=""),"計算額が下限以下のため不支給／",""))</f>
        <v/>
      </c>
      <c r="AL1995" s="12" t="n"/>
      <c r="AM1995" s="14">
        <f>IF($AD1995="保留中",COUNTIF($AD$6:$AD1995,"保留中"),"")</f>
        <v/>
      </c>
      <c r="AN1995" s="14">
        <f>IF($AO1995="","",IF(SUMPRODUCT(MAX((職員マスタ!$A$6:$A$405=$B1995)*(((職員マスタ!$G$6:$G$405="")+(職員マスタ!$G$6:$G$405&lt;=EOMONTH($AO1995,0)))&gt;0)*(((職員マスタ!$H$6:$H$405="")+(職員マスタ!$H$6:$H$405&gt;=$AO1995))&gt;0)*(ROW(職員マスタ!$A$6:$A$405)-5)))&gt;0,SUMPRODUCT(MAX((職員マスタ!$A$6:$A$405=$B1995)*(((職員マスタ!$G$6:$G$405="")+(職員マスタ!$G$6:$G$405&lt;=EOMONTH($AO1995,0)))&gt;0)*(((職員マスタ!$H$6:$H$405="")+(職員マスタ!$H$6:$H$405&gt;=$AO1995))&gt;0)*(ROW(職員マスタ!$A$6:$A$405)-5))),IFERROR(MATCH($B1995,職員マスタ!$A$6:$A$405,0),"")))</f>
        <v/>
      </c>
      <c r="AO1995" s="16">
        <f>IF(OR($B1995="",$C1995="",$D1995=""),"",DATE($C1995+2018,$D1995,1))</f>
        <v/>
      </c>
    </row>
    <row r="1996">
      <c r="A1996" s="11" t="n"/>
      <c r="B1996" s="12" t="n"/>
      <c r="C1996" s="12" t="n"/>
      <c r="D1996" s="12" t="n"/>
      <c r="E1996" s="13" t="n"/>
      <c r="F1996" s="12" t="n"/>
      <c r="G1996" s="13" t="n"/>
      <c r="H1996" s="12" t="n"/>
      <c r="I1996" s="12" t="n"/>
      <c r="J1996" s="12" t="n"/>
      <c r="K1996" s="12" t="n"/>
      <c r="L1996" s="11" t="n"/>
      <c r="M1996" s="11" t="n"/>
      <c r="N1996" s="11" t="n"/>
      <c r="O1996" s="11" t="n"/>
      <c r="P1996" s="12" t="n"/>
      <c r="Q1996" s="11" t="n"/>
      <c r="R1996" s="12" t="n"/>
      <c r="S1996" s="11" t="n"/>
      <c r="T1996" s="12" t="n"/>
      <c r="U1996" s="12" t="n"/>
      <c r="V1996" s="14">
        <f>IF($AN1996="",IF($B1996="","",$H1996),IF(INDEX(職員マスタ!$B$6:$B$405,$AN1996)="",$H1996,INDEX(職員マスタ!$B$6:$B$405,$AN1996)))</f>
        <v/>
      </c>
      <c r="W1996" s="14">
        <f>IF($AN1996="",IF($B1996="","",$R1996),IF(INDEX(職員マスタ!$C$6:$C$405,$AN1996)="",$R1996,INDEX(職員マスタ!$C$6:$C$405,$AN1996)))</f>
        <v/>
      </c>
      <c r="X1996" s="14">
        <f>IF($AO1996="","","R"&amp;$C1996&amp;"."&amp;$D1996)</f>
        <v/>
      </c>
      <c r="Y1996" s="15">
        <f>IF($AN1996="","",IF(INDEX(職員マスタ!$K$6:$K$405,$AN1996)="","",INDEX(職員マスタ!$K$6:$K$405,$AN1996)))</f>
        <v/>
      </c>
      <c r="Z1996" s="14">
        <f>IF(OR($E1996="",$Y1996=""),"",IF($E1996&gt;=$Y1996,"×",IF($E1996&gt;=$Y1996*設定!$C$5,"△","○")))</f>
        <v/>
      </c>
      <c r="AA1996" s="15">
        <f>IF($Z1996="","",IF($Z1996="×",0,IF($Z1996="○",ROUNDDOWN($E1996*設定!$C$4,0),ROUNDDOWN($E1996*ROUND((9*$Y1996-9*$E1996)/(10*$E1996),4),0))))</f>
        <v/>
      </c>
      <c r="AB1996" s="13" t="n"/>
      <c r="AC1996" s="15">
        <f>IF($B1996="","",IF($AB1996&lt;&gt;"",$AB1996,IF($AA1996="","",IF($AA1996&lt;=設定!$C$3,0,$AA1996))))</f>
        <v/>
      </c>
      <c r="AD1996" s="14">
        <f>IF($B1996="","",IF(AND($AE1996&lt;&gt;"",$AG1996="",$AJ1996=""),"保留中",IF($AJ1996&lt;&gt;"",IF(N($AC1996)&gt;0,"支給済","不支給"),IF($AC1996="","要確認",IF($AC1996=0,"不支給","未処理")))))</f>
        <v/>
      </c>
      <c r="AE1996" s="12" t="n"/>
      <c r="AF1996" s="11" t="n"/>
      <c r="AG1996" s="11" t="n"/>
      <c r="AH1996" s="11" t="n"/>
      <c r="AI1996" s="14">
        <f>IF(AND($AD1996="保留中",$AF1996&lt;&gt;""),TODAY()-$AF1996,"")</f>
        <v/>
      </c>
      <c r="AJ1996" s="12" t="n"/>
      <c r="AK1996" s="14">
        <f>IF($B1996="","",IF($AO1996="","対象年月が未入力／","")&amp;IF($B1996="","",IF($AN1996="","職員マスタに未登録の職員番号／",IF($Y1996="","標準報酬月額が未登録／","")&amp;IF(AND($AO1996&lt;&gt;"",OR(AND(INDEX(職員マスタ!$G$6:$G$405,$AN1996)&lt;&gt;"",INDEX(職員マスタ!$G$6:$G$405,$AN1996)&gt;EOMONTH($AO1996,0)),AND(INDEX(職員マスタ!$H$6:$H$405,$AN1996)&lt;&gt;"",INDEX(職員マスタ!$H$6:$H$405,$AN1996)&lt;$AO1996))),"対象月が時短期間外／","")&amp;IF(AND(INDEX(職員マスタ!$F$6:$F$405,$AN1996)&lt;&gt;"",$AO1996&lt;&gt;"",INDEX(職員マスタ!$F$6:$F$405,$AN1996)&lt;$AO1996),"対象月に子が2歳到達済／","")&amp;IF(AND($H1996&lt;&gt;"",INDEX(職員マスタ!$B$6:$B$405,$AN1996)&lt;&gt;"",SUBSTITUTE(SUBSTITUTE($H1996," ","")," ","")&lt;&gt;SUBSTITUTE(SUBSTITUTE(INDEX(職員マスタ!$B$6:$B$405,$AN1996)," ","")," ","")),"氏名がマスタと相違／","")&amp;IF(AND($Q1996&lt;&gt;"",INDEX(職員マスタ!$E$6:$E$405,$AN1996)&lt;&gt;"",$Q1996&lt;&gt;INDEX(職員マスタ!$E$6:$E$405,$AN1996)),"子の生年月日がマスタと相違／","")&amp;IF(AND($L1996&lt;&gt;"",INDEX(職員マスタ!$G$6:$G$405,$AN1996)&lt;&gt;"",$L1996&lt;&gt;INDEX(職員マスタ!$G$6:$G$405,$AN1996)),"時短開始日がマスタと相違／","")&amp;IF(AND($M1996&lt;&gt;"",INDEX(職員マスタ!$H$6:$H$405,$AN1996)&lt;&gt;"",$M1996&lt;&gt;INDEX(職員マスタ!$H$6:$H$405,$AN1996)),"時短終了日がマスタと相違／","")))&amp;IF(AND($B1996&lt;&gt;"",$E1996=""),"報酬額が未入力／","")&amp;IF(N($U1996)&gt;0,"申請書に入力エラーが残っています／","")&amp;IF(AND($B1996&lt;&gt;"",$AO1996&lt;&gt;""),IF(COUNTIFS($B$6:$B$3005,$B1996,$C$6:$C$3005,$C1996,$D$6:$D$3005,$D1996)&gt;1,"同じ月の請求が重複しています／",""),"")&amp;IF(AND(N($E1996)&gt;0,$Z1996&lt;&gt;"",$Z1996&lt;&gt;"×",$AC1996=0,$AB1996=""),"計算額が下限以下のため不支給／",""))</f>
        <v/>
      </c>
      <c r="AL1996" s="12" t="n"/>
      <c r="AM1996" s="14">
        <f>IF($AD1996="保留中",COUNTIF($AD$6:$AD1996,"保留中"),"")</f>
        <v/>
      </c>
      <c r="AN1996" s="14">
        <f>IF($AO1996="","",IF(SUMPRODUCT(MAX((職員マスタ!$A$6:$A$405=$B1996)*(((職員マスタ!$G$6:$G$405="")+(職員マスタ!$G$6:$G$405&lt;=EOMONTH($AO1996,0)))&gt;0)*(((職員マスタ!$H$6:$H$405="")+(職員マスタ!$H$6:$H$405&gt;=$AO1996))&gt;0)*(ROW(職員マスタ!$A$6:$A$405)-5)))&gt;0,SUMPRODUCT(MAX((職員マスタ!$A$6:$A$405=$B1996)*(((職員マスタ!$G$6:$G$405="")+(職員マスタ!$G$6:$G$405&lt;=EOMONTH($AO1996,0)))&gt;0)*(((職員マスタ!$H$6:$H$405="")+(職員マスタ!$H$6:$H$405&gt;=$AO1996))&gt;0)*(ROW(職員マスタ!$A$6:$A$405)-5))),IFERROR(MATCH($B1996,職員マスタ!$A$6:$A$405,0),"")))</f>
        <v/>
      </c>
      <c r="AO1996" s="16">
        <f>IF(OR($B1996="",$C1996="",$D1996=""),"",DATE($C1996+2018,$D1996,1))</f>
        <v/>
      </c>
    </row>
    <row r="1997">
      <c r="A1997" s="11" t="n"/>
      <c r="B1997" s="12" t="n"/>
      <c r="C1997" s="12" t="n"/>
      <c r="D1997" s="12" t="n"/>
      <c r="E1997" s="13" t="n"/>
      <c r="F1997" s="12" t="n"/>
      <c r="G1997" s="13" t="n"/>
      <c r="H1997" s="12" t="n"/>
      <c r="I1997" s="12" t="n"/>
      <c r="J1997" s="12" t="n"/>
      <c r="K1997" s="12" t="n"/>
      <c r="L1997" s="11" t="n"/>
      <c r="M1997" s="11" t="n"/>
      <c r="N1997" s="11" t="n"/>
      <c r="O1997" s="11" t="n"/>
      <c r="P1997" s="12" t="n"/>
      <c r="Q1997" s="11" t="n"/>
      <c r="R1997" s="12" t="n"/>
      <c r="S1997" s="11" t="n"/>
      <c r="T1997" s="12" t="n"/>
      <c r="U1997" s="12" t="n"/>
      <c r="V1997" s="14">
        <f>IF($AN1997="",IF($B1997="","",$H1997),IF(INDEX(職員マスタ!$B$6:$B$405,$AN1997)="",$H1997,INDEX(職員マスタ!$B$6:$B$405,$AN1997)))</f>
        <v/>
      </c>
      <c r="W1997" s="14">
        <f>IF($AN1997="",IF($B1997="","",$R1997),IF(INDEX(職員マスタ!$C$6:$C$405,$AN1997)="",$R1997,INDEX(職員マスタ!$C$6:$C$405,$AN1997)))</f>
        <v/>
      </c>
      <c r="X1997" s="14">
        <f>IF($AO1997="","","R"&amp;$C1997&amp;"."&amp;$D1997)</f>
        <v/>
      </c>
      <c r="Y1997" s="15">
        <f>IF($AN1997="","",IF(INDEX(職員マスタ!$K$6:$K$405,$AN1997)="","",INDEX(職員マスタ!$K$6:$K$405,$AN1997)))</f>
        <v/>
      </c>
      <c r="Z1997" s="14">
        <f>IF(OR($E1997="",$Y1997=""),"",IF($E1997&gt;=$Y1997,"×",IF($E1997&gt;=$Y1997*設定!$C$5,"△","○")))</f>
        <v/>
      </c>
      <c r="AA1997" s="15">
        <f>IF($Z1997="","",IF($Z1997="×",0,IF($Z1997="○",ROUNDDOWN($E1997*設定!$C$4,0),ROUNDDOWN($E1997*ROUND((9*$Y1997-9*$E1997)/(10*$E1997),4),0))))</f>
        <v/>
      </c>
      <c r="AB1997" s="13" t="n"/>
      <c r="AC1997" s="15">
        <f>IF($B1997="","",IF($AB1997&lt;&gt;"",$AB1997,IF($AA1997="","",IF($AA1997&lt;=設定!$C$3,0,$AA1997))))</f>
        <v/>
      </c>
      <c r="AD1997" s="14">
        <f>IF($B1997="","",IF(AND($AE1997&lt;&gt;"",$AG1997="",$AJ1997=""),"保留中",IF($AJ1997&lt;&gt;"",IF(N($AC1997)&gt;0,"支給済","不支給"),IF($AC1997="","要確認",IF($AC1997=0,"不支給","未処理")))))</f>
        <v/>
      </c>
      <c r="AE1997" s="12" t="n"/>
      <c r="AF1997" s="11" t="n"/>
      <c r="AG1997" s="11" t="n"/>
      <c r="AH1997" s="11" t="n"/>
      <c r="AI1997" s="14">
        <f>IF(AND($AD1997="保留中",$AF1997&lt;&gt;""),TODAY()-$AF1997,"")</f>
        <v/>
      </c>
      <c r="AJ1997" s="12" t="n"/>
      <c r="AK1997" s="14">
        <f>IF($B1997="","",IF($AO1997="","対象年月が未入力／","")&amp;IF($B1997="","",IF($AN1997="","職員マスタに未登録の職員番号／",IF($Y1997="","標準報酬月額が未登録／","")&amp;IF(AND($AO1997&lt;&gt;"",OR(AND(INDEX(職員マスタ!$G$6:$G$405,$AN1997)&lt;&gt;"",INDEX(職員マスタ!$G$6:$G$405,$AN1997)&gt;EOMONTH($AO1997,0)),AND(INDEX(職員マスタ!$H$6:$H$405,$AN1997)&lt;&gt;"",INDEX(職員マスタ!$H$6:$H$405,$AN1997)&lt;$AO1997))),"対象月が時短期間外／","")&amp;IF(AND(INDEX(職員マスタ!$F$6:$F$405,$AN1997)&lt;&gt;"",$AO1997&lt;&gt;"",INDEX(職員マスタ!$F$6:$F$405,$AN1997)&lt;$AO1997),"対象月に子が2歳到達済／","")&amp;IF(AND($H1997&lt;&gt;"",INDEX(職員マスタ!$B$6:$B$405,$AN1997)&lt;&gt;"",SUBSTITUTE(SUBSTITUTE($H1997," ","")," ","")&lt;&gt;SUBSTITUTE(SUBSTITUTE(INDEX(職員マスタ!$B$6:$B$405,$AN1997)," ","")," ","")),"氏名がマスタと相違／","")&amp;IF(AND($Q1997&lt;&gt;"",INDEX(職員マスタ!$E$6:$E$405,$AN1997)&lt;&gt;"",$Q1997&lt;&gt;INDEX(職員マスタ!$E$6:$E$405,$AN1997)),"子の生年月日がマスタと相違／","")&amp;IF(AND($L1997&lt;&gt;"",INDEX(職員マスタ!$G$6:$G$405,$AN1997)&lt;&gt;"",$L1997&lt;&gt;INDEX(職員マスタ!$G$6:$G$405,$AN1997)),"時短開始日がマスタと相違／","")&amp;IF(AND($M1997&lt;&gt;"",INDEX(職員マスタ!$H$6:$H$405,$AN1997)&lt;&gt;"",$M1997&lt;&gt;INDEX(職員マスタ!$H$6:$H$405,$AN1997)),"時短終了日がマスタと相違／","")))&amp;IF(AND($B1997&lt;&gt;"",$E1997=""),"報酬額が未入力／","")&amp;IF(N($U1997)&gt;0,"申請書に入力エラーが残っています／","")&amp;IF(AND($B1997&lt;&gt;"",$AO1997&lt;&gt;""),IF(COUNTIFS($B$6:$B$3005,$B1997,$C$6:$C$3005,$C1997,$D$6:$D$3005,$D1997)&gt;1,"同じ月の請求が重複しています／",""),"")&amp;IF(AND(N($E1997)&gt;0,$Z1997&lt;&gt;"",$Z1997&lt;&gt;"×",$AC1997=0,$AB1997=""),"計算額が下限以下のため不支給／",""))</f>
        <v/>
      </c>
      <c r="AL1997" s="12" t="n"/>
      <c r="AM1997" s="14">
        <f>IF($AD1997="保留中",COUNTIF($AD$6:$AD1997,"保留中"),"")</f>
        <v/>
      </c>
      <c r="AN1997" s="14">
        <f>IF($AO1997="","",IF(SUMPRODUCT(MAX((職員マスタ!$A$6:$A$405=$B1997)*(((職員マスタ!$G$6:$G$405="")+(職員マスタ!$G$6:$G$405&lt;=EOMONTH($AO1997,0)))&gt;0)*(((職員マスタ!$H$6:$H$405="")+(職員マスタ!$H$6:$H$405&gt;=$AO1997))&gt;0)*(ROW(職員マスタ!$A$6:$A$405)-5)))&gt;0,SUMPRODUCT(MAX((職員マスタ!$A$6:$A$405=$B1997)*(((職員マスタ!$G$6:$G$405="")+(職員マスタ!$G$6:$G$405&lt;=EOMONTH($AO1997,0)))&gt;0)*(((職員マスタ!$H$6:$H$405="")+(職員マスタ!$H$6:$H$405&gt;=$AO1997))&gt;0)*(ROW(職員マスタ!$A$6:$A$405)-5))),IFERROR(MATCH($B1997,職員マスタ!$A$6:$A$405,0),"")))</f>
        <v/>
      </c>
      <c r="AO1997" s="16">
        <f>IF(OR($B1997="",$C1997="",$D1997=""),"",DATE($C1997+2018,$D1997,1))</f>
        <v/>
      </c>
    </row>
    <row r="1998">
      <c r="A1998" s="11" t="n"/>
      <c r="B1998" s="12" t="n"/>
      <c r="C1998" s="12" t="n"/>
      <c r="D1998" s="12" t="n"/>
      <c r="E1998" s="13" t="n"/>
      <c r="F1998" s="12" t="n"/>
      <c r="G1998" s="13" t="n"/>
      <c r="H1998" s="12" t="n"/>
      <c r="I1998" s="12" t="n"/>
      <c r="J1998" s="12" t="n"/>
      <c r="K1998" s="12" t="n"/>
      <c r="L1998" s="11" t="n"/>
      <c r="M1998" s="11" t="n"/>
      <c r="N1998" s="11" t="n"/>
      <c r="O1998" s="11" t="n"/>
      <c r="P1998" s="12" t="n"/>
      <c r="Q1998" s="11" t="n"/>
      <c r="R1998" s="12" t="n"/>
      <c r="S1998" s="11" t="n"/>
      <c r="T1998" s="12" t="n"/>
      <c r="U1998" s="12" t="n"/>
      <c r="V1998" s="14">
        <f>IF($AN1998="",IF($B1998="","",$H1998),IF(INDEX(職員マスタ!$B$6:$B$405,$AN1998)="",$H1998,INDEX(職員マスタ!$B$6:$B$405,$AN1998)))</f>
        <v/>
      </c>
      <c r="W1998" s="14">
        <f>IF($AN1998="",IF($B1998="","",$R1998),IF(INDEX(職員マスタ!$C$6:$C$405,$AN1998)="",$R1998,INDEX(職員マスタ!$C$6:$C$405,$AN1998)))</f>
        <v/>
      </c>
      <c r="X1998" s="14">
        <f>IF($AO1998="","","R"&amp;$C1998&amp;"."&amp;$D1998)</f>
        <v/>
      </c>
      <c r="Y1998" s="15">
        <f>IF($AN1998="","",IF(INDEX(職員マスタ!$K$6:$K$405,$AN1998)="","",INDEX(職員マスタ!$K$6:$K$405,$AN1998)))</f>
        <v/>
      </c>
      <c r="Z1998" s="14">
        <f>IF(OR($E1998="",$Y1998=""),"",IF($E1998&gt;=$Y1998,"×",IF($E1998&gt;=$Y1998*設定!$C$5,"△","○")))</f>
        <v/>
      </c>
      <c r="AA1998" s="15">
        <f>IF($Z1998="","",IF($Z1998="×",0,IF($Z1998="○",ROUNDDOWN($E1998*設定!$C$4,0),ROUNDDOWN($E1998*ROUND((9*$Y1998-9*$E1998)/(10*$E1998),4),0))))</f>
        <v/>
      </c>
      <c r="AB1998" s="13" t="n"/>
      <c r="AC1998" s="15">
        <f>IF($B1998="","",IF($AB1998&lt;&gt;"",$AB1998,IF($AA1998="","",IF($AA1998&lt;=設定!$C$3,0,$AA1998))))</f>
        <v/>
      </c>
      <c r="AD1998" s="14">
        <f>IF($B1998="","",IF(AND($AE1998&lt;&gt;"",$AG1998="",$AJ1998=""),"保留中",IF($AJ1998&lt;&gt;"",IF(N($AC1998)&gt;0,"支給済","不支給"),IF($AC1998="","要確認",IF($AC1998=0,"不支給","未処理")))))</f>
        <v/>
      </c>
      <c r="AE1998" s="12" t="n"/>
      <c r="AF1998" s="11" t="n"/>
      <c r="AG1998" s="11" t="n"/>
      <c r="AH1998" s="11" t="n"/>
      <c r="AI1998" s="14">
        <f>IF(AND($AD1998="保留中",$AF1998&lt;&gt;""),TODAY()-$AF1998,"")</f>
        <v/>
      </c>
      <c r="AJ1998" s="12" t="n"/>
      <c r="AK1998" s="14">
        <f>IF($B1998="","",IF($AO1998="","対象年月が未入力／","")&amp;IF($B1998="","",IF($AN1998="","職員マスタに未登録の職員番号／",IF($Y1998="","標準報酬月額が未登録／","")&amp;IF(AND($AO1998&lt;&gt;"",OR(AND(INDEX(職員マスタ!$G$6:$G$405,$AN1998)&lt;&gt;"",INDEX(職員マスタ!$G$6:$G$405,$AN1998)&gt;EOMONTH($AO1998,0)),AND(INDEX(職員マスタ!$H$6:$H$405,$AN1998)&lt;&gt;"",INDEX(職員マスタ!$H$6:$H$405,$AN1998)&lt;$AO1998))),"対象月が時短期間外／","")&amp;IF(AND(INDEX(職員マスタ!$F$6:$F$405,$AN1998)&lt;&gt;"",$AO1998&lt;&gt;"",INDEX(職員マスタ!$F$6:$F$405,$AN1998)&lt;$AO1998),"対象月に子が2歳到達済／","")&amp;IF(AND($H1998&lt;&gt;"",INDEX(職員マスタ!$B$6:$B$405,$AN1998)&lt;&gt;"",SUBSTITUTE(SUBSTITUTE($H1998," ","")," ","")&lt;&gt;SUBSTITUTE(SUBSTITUTE(INDEX(職員マスタ!$B$6:$B$405,$AN1998)," ","")," ","")),"氏名がマスタと相違／","")&amp;IF(AND($Q1998&lt;&gt;"",INDEX(職員マスタ!$E$6:$E$405,$AN1998)&lt;&gt;"",$Q1998&lt;&gt;INDEX(職員マスタ!$E$6:$E$405,$AN1998)),"子の生年月日がマスタと相違／","")&amp;IF(AND($L1998&lt;&gt;"",INDEX(職員マスタ!$G$6:$G$405,$AN1998)&lt;&gt;"",$L1998&lt;&gt;INDEX(職員マスタ!$G$6:$G$405,$AN1998)),"時短開始日がマスタと相違／","")&amp;IF(AND($M1998&lt;&gt;"",INDEX(職員マスタ!$H$6:$H$405,$AN1998)&lt;&gt;"",$M1998&lt;&gt;INDEX(職員マスタ!$H$6:$H$405,$AN1998)),"時短終了日がマスタと相違／","")))&amp;IF(AND($B1998&lt;&gt;"",$E1998=""),"報酬額が未入力／","")&amp;IF(N($U1998)&gt;0,"申請書に入力エラーが残っています／","")&amp;IF(AND($B1998&lt;&gt;"",$AO1998&lt;&gt;""),IF(COUNTIFS($B$6:$B$3005,$B1998,$C$6:$C$3005,$C1998,$D$6:$D$3005,$D1998)&gt;1,"同じ月の請求が重複しています／",""),"")&amp;IF(AND(N($E1998)&gt;0,$Z1998&lt;&gt;"",$Z1998&lt;&gt;"×",$AC1998=0,$AB1998=""),"計算額が下限以下のため不支給／",""))</f>
        <v/>
      </c>
      <c r="AL1998" s="12" t="n"/>
      <c r="AM1998" s="14">
        <f>IF($AD1998="保留中",COUNTIF($AD$6:$AD1998,"保留中"),"")</f>
        <v/>
      </c>
      <c r="AN1998" s="14">
        <f>IF($AO1998="","",IF(SUMPRODUCT(MAX((職員マスタ!$A$6:$A$405=$B1998)*(((職員マスタ!$G$6:$G$405="")+(職員マスタ!$G$6:$G$405&lt;=EOMONTH($AO1998,0)))&gt;0)*(((職員マスタ!$H$6:$H$405="")+(職員マスタ!$H$6:$H$405&gt;=$AO1998))&gt;0)*(ROW(職員マスタ!$A$6:$A$405)-5)))&gt;0,SUMPRODUCT(MAX((職員マスタ!$A$6:$A$405=$B1998)*(((職員マスタ!$G$6:$G$405="")+(職員マスタ!$G$6:$G$405&lt;=EOMONTH($AO1998,0)))&gt;0)*(((職員マスタ!$H$6:$H$405="")+(職員マスタ!$H$6:$H$405&gt;=$AO1998))&gt;0)*(ROW(職員マスタ!$A$6:$A$405)-5))),IFERROR(MATCH($B1998,職員マスタ!$A$6:$A$405,0),"")))</f>
        <v/>
      </c>
      <c r="AO1998" s="16">
        <f>IF(OR($B1998="",$C1998="",$D1998=""),"",DATE($C1998+2018,$D1998,1))</f>
        <v/>
      </c>
    </row>
    <row r="1999">
      <c r="A1999" s="11" t="n"/>
      <c r="B1999" s="12" t="n"/>
      <c r="C1999" s="12" t="n"/>
      <c r="D1999" s="12" t="n"/>
      <c r="E1999" s="13" t="n"/>
      <c r="F1999" s="12" t="n"/>
      <c r="G1999" s="13" t="n"/>
      <c r="H1999" s="12" t="n"/>
      <c r="I1999" s="12" t="n"/>
      <c r="J1999" s="12" t="n"/>
      <c r="K1999" s="12" t="n"/>
      <c r="L1999" s="11" t="n"/>
      <c r="M1999" s="11" t="n"/>
      <c r="N1999" s="11" t="n"/>
      <c r="O1999" s="11" t="n"/>
      <c r="P1999" s="12" t="n"/>
      <c r="Q1999" s="11" t="n"/>
      <c r="R1999" s="12" t="n"/>
      <c r="S1999" s="11" t="n"/>
      <c r="T1999" s="12" t="n"/>
      <c r="U1999" s="12" t="n"/>
      <c r="V1999" s="14">
        <f>IF($AN1999="",IF($B1999="","",$H1999),IF(INDEX(職員マスタ!$B$6:$B$405,$AN1999)="",$H1999,INDEX(職員マスタ!$B$6:$B$405,$AN1999)))</f>
        <v/>
      </c>
      <c r="W1999" s="14">
        <f>IF($AN1999="",IF($B1999="","",$R1999),IF(INDEX(職員マスタ!$C$6:$C$405,$AN1999)="",$R1999,INDEX(職員マスタ!$C$6:$C$405,$AN1999)))</f>
        <v/>
      </c>
      <c r="X1999" s="14">
        <f>IF($AO1999="","","R"&amp;$C1999&amp;"."&amp;$D1999)</f>
        <v/>
      </c>
      <c r="Y1999" s="15">
        <f>IF($AN1999="","",IF(INDEX(職員マスタ!$K$6:$K$405,$AN1999)="","",INDEX(職員マスタ!$K$6:$K$405,$AN1999)))</f>
        <v/>
      </c>
      <c r="Z1999" s="14">
        <f>IF(OR($E1999="",$Y1999=""),"",IF($E1999&gt;=$Y1999,"×",IF($E1999&gt;=$Y1999*設定!$C$5,"△","○")))</f>
        <v/>
      </c>
      <c r="AA1999" s="15">
        <f>IF($Z1999="","",IF($Z1999="×",0,IF($Z1999="○",ROUNDDOWN($E1999*設定!$C$4,0),ROUNDDOWN($E1999*ROUND((9*$Y1999-9*$E1999)/(10*$E1999),4),0))))</f>
        <v/>
      </c>
      <c r="AB1999" s="13" t="n"/>
      <c r="AC1999" s="15">
        <f>IF($B1999="","",IF($AB1999&lt;&gt;"",$AB1999,IF($AA1999="","",IF($AA1999&lt;=設定!$C$3,0,$AA1999))))</f>
        <v/>
      </c>
      <c r="AD1999" s="14">
        <f>IF($B1999="","",IF(AND($AE1999&lt;&gt;"",$AG1999="",$AJ1999=""),"保留中",IF($AJ1999&lt;&gt;"",IF(N($AC1999)&gt;0,"支給済","不支給"),IF($AC1999="","要確認",IF($AC1999=0,"不支給","未処理")))))</f>
        <v/>
      </c>
      <c r="AE1999" s="12" t="n"/>
      <c r="AF1999" s="11" t="n"/>
      <c r="AG1999" s="11" t="n"/>
      <c r="AH1999" s="11" t="n"/>
      <c r="AI1999" s="14">
        <f>IF(AND($AD1999="保留中",$AF1999&lt;&gt;""),TODAY()-$AF1999,"")</f>
        <v/>
      </c>
      <c r="AJ1999" s="12" t="n"/>
      <c r="AK1999" s="14">
        <f>IF($B1999="","",IF($AO1999="","対象年月が未入力／","")&amp;IF($B1999="","",IF($AN1999="","職員マスタに未登録の職員番号／",IF($Y1999="","標準報酬月額が未登録／","")&amp;IF(AND($AO1999&lt;&gt;"",OR(AND(INDEX(職員マスタ!$G$6:$G$405,$AN1999)&lt;&gt;"",INDEX(職員マスタ!$G$6:$G$405,$AN1999)&gt;EOMONTH($AO1999,0)),AND(INDEX(職員マスタ!$H$6:$H$405,$AN1999)&lt;&gt;"",INDEX(職員マスタ!$H$6:$H$405,$AN1999)&lt;$AO1999))),"対象月が時短期間外／","")&amp;IF(AND(INDEX(職員マスタ!$F$6:$F$405,$AN1999)&lt;&gt;"",$AO1999&lt;&gt;"",INDEX(職員マスタ!$F$6:$F$405,$AN1999)&lt;$AO1999),"対象月に子が2歳到達済／","")&amp;IF(AND($H1999&lt;&gt;"",INDEX(職員マスタ!$B$6:$B$405,$AN1999)&lt;&gt;"",SUBSTITUTE(SUBSTITUTE($H1999," ","")," ","")&lt;&gt;SUBSTITUTE(SUBSTITUTE(INDEX(職員マスタ!$B$6:$B$405,$AN1999)," ","")," ","")),"氏名がマスタと相違／","")&amp;IF(AND($Q1999&lt;&gt;"",INDEX(職員マスタ!$E$6:$E$405,$AN1999)&lt;&gt;"",$Q1999&lt;&gt;INDEX(職員マスタ!$E$6:$E$405,$AN1999)),"子の生年月日がマスタと相違／","")&amp;IF(AND($L1999&lt;&gt;"",INDEX(職員マスタ!$G$6:$G$405,$AN1999)&lt;&gt;"",$L1999&lt;&gt;INDEX(職員マスタ!$G$6:$G$405,$AN1999)),"時短開始日がマスタと相違／","")&amp;IF(AND($M1999&lt;&gt;"",INDEX(職員マスタ!$H$6:$H$405,$AN1999)&lt;&gt;"",$M1999&lt;&gt;INDEX(職員マスタ!$H$6:$H$405,$AN1999)),"時短終了日がマスタと相違／","")))&amp;IF(AND($B1999&lt;&gt;"",$E1999=""),"報酬額が未入力／","")&amp;IF(N($U1999)&gt;0,"申請書に入力エラーが残っています／","")&amp;IF(AND($B1999&lt;&gt;"",$AO1999&lt;&gt;""),IF(COUNTIFS($B$6:$B$3005,$B1999,$C$6:$C$3005,$C1999,$D$6:$D$3005,$D1999)&gt;1,"同じ月の請求が重複しています／",""),"")&amp;IF(AND(N($E1999)&gt;0,$Z1999&lt;&gt;"",$Z1999&lt;&gt;"×",$AC1999=0,$AB1999=""),"計算額が下限以下のため不支給／",""))</f>
        <v/>
      </c>
      <c r="AL1999" s="12" t="n"/>
      <c r="AM1999" s="14">
        <f>IF($AD1999="保留中",COUNTIF($AD$6:$AD1999,"保留中"),"")</f>
        <v/>
      </c>
      <c r="AN1999" s="14">
        <f>IF($AO1999="","",IF(SUMPRODUCT(MAX((職員マスタ!$A$6:$A$405=$B1999)*(((職員マスタ!$G$6:$G$405="")+(職員マスタ!$G$6:$G$405&lt;=EOMONTH($AO1999,0)))&gt;0)*(((職員マスタ!$H$6:$H$405="")+(職員マスタ!$H$6:$H$405&gt;=$AO1999))&gt;0)*(ROW(職員マスタ!$A$6:$A$405)-5)))&gt;0,SUMPRODUCT(MAX((職員マスタ!$A$6:$A$405=$B1999)*(((職員マスタ!$G$6:$G$405="")+(職員マスタ!$G$6:$G$405&lt;=EOMONTH($AO1999,0)))&gt;0)*(((職員マスタ!$H$6:$H$405="")+(職員マスタ!$H$6:$H$405&gt;=$AO1999))&gt;0)*(ROW(職員マスタ!$A$6:$A$405)-5))),IFERROR(MATCH($B1999,職員マスタ!$A$6:$A$405,0),"")))</f>
        <v/>
      </c>
      <c r="AO1999" s="16">
        <f>IF(OR($B1999="",$C1999="",$D1999=""),"",DATE($C1999+2018,$D1999,1))</f>
        <v/>
      </c>
    </row>
    <row r="2000">
      <c r="A2000" s="11" t="n"/>
      <c r="B2000" s="12" t="n"/>
      <c r="C2000" s="12" t="n"/>
      <c r="D2000" s="12" t="n"/>
      <c r="E2000" s="13" t="n"/>
      <c r="F2000" s="12" t="n"/>
      <c r="G2000" s="13" t="n"/>
      <c r="H2000" s="12" t="n"/>
      <c r="I2000" s="12" t="n"/>
      <c r="J2000" s="12" t="n"/>
      <c r="K2000" s="12" t="n"/>
      <c r="L2000" s="11" t="n"/>
      <c r="M2000" s="11" t="n"/>
      <c r="N2000" s="11" t="n"/>
      <c r="O2000" s="11" t="n"/>
      <c r="P2000" s="12" t="n"/>
      <c r="Q2000" s="11" t="n"/>
      <c r="R2000" s="12" t="n"/>
      <c r="S2000" s="11" t="n"/>
      <c r="T2000" s="12" t="n"/>
      <c r="U2000" s="12" t="n"/>
      <c r="V2000" s="14">
        <f>IF($AN2000="",IF($B2000="","",$H2000),IF(INDEX(職員マスタ!$B$6:$B$405,$AN2000)="",$H2000,INDEX(職員マスタ!$B$6:$B$405,$AN2000)))</f>
        <v/>
      </c>
      <c r="W2000" s="14">
        <f>IF($AN2000="",IF($B2000="","",$R2000),IF(INDEX(職員マスタ!$C$6:$C$405,$AN2000)="",$R2000,INDEX(職員マスタ!$C$6:$C$405,$AN2000)))</f>
        <v/>
      </c>
      <c r="X2000" s="14">
        <f>IF($AO2000="","","R"&amp;$C2000&amp;"."&amp;$D2000)</f>
        <v/>
      </c>
      <c r="Y2000" s="15">
        <f>IF($AN2000="","",IF(INDEX(職員マスタ!$K$6:$K$405,$AN2000)="","",INDEX(職員マスタ!$K$6:$K$405,$AN2000)))</f>
        <v/>
      </c>
      <c r="Z2000" s="14">
        <f>IF(OR($E2000="",$Y2000=""),"",IF($E2000&gt;=$Y2000,"×",IF($E2000&gt;=$Y2000*設定!$C$5,"△","○")))</f>
        <v/>
      </c>
      <c r="AA2000" s="15">
        <f>IF($Z2000="","",IF($Z2000="×",0,IF($Z2000="○",ROUNDDOWN($E2000*設定!$C$4,0),ROUNDDOWN($E2000*ROUND((9*$Y2000-9*$E2000)/(10*$E2000),4),0))))</f>
        <v/>
      </c>
      <c r="AB2000" s="13" t="n"/>
      <c r="AC2000" s="15">
        <f>IF($B2000="","",IF($AB2000&lt;&gt;"",$AB2000,IF($AA2000="","",IF($AA2000&lt;=設定!$C$3,0,$AA2000))))</f>
        <v/>
      </c>
      <c r="AD2000" s="14">
        <f>IF($B2000="","",IF(AND($AE2000&lt;&gt;"",$AG2000="",$AJ2000=""),"保留中",IF($AJ2000&lt;&gt;"",IF(N($AC2000)&gt;0,"支給済","不支給"),IF($AC2000="","要確認",IF($AC2000=0,"不支給","未処理")))))</f>
        <v/>
      </c>
      <c r="AE2000" s="12" t="n"/>
      <c r="AF2000" s="11" t="n"/>
      <c r="AG2000" s="11" t="n"/>
      <c r="AH2000" s="11" t="n"/>
      <c r="AI2000" s="14">
        <f>IF(AND($AD2000="保留中",$AF2000&lt;&gt;""),TODAY()-$AF2000,"")</f>
        <v/>
      </c>
      <c r="AJ2000" s="12" t="n"/>
      <c r="AK2000" s="14">
        <f>IF($B2000="","",IF($AO2000="","対象年月が未入力／","")&amp;IF($B2000="","",IF($AN2000="","職員マスタに未登録の職員番号／",IF($Y2000="","標準報酬月額が未登録／","")&amp;IF(AND($AO2000&lt;&gt;"",OR(AND(INDEX(職員マスタ!$G$6:$G$405,$AN2000)&lt;&gt;"",INDEX(職員マスタ!$G$6:$G$405,$AN2000)&gt;EOMONTH($AO2000,0)),AND(INDEX(職員マスタ!$H$6:$H$405,$AN2000)&lt;&gt;"",INDEX(職員マスタ!$H$6:$H$405,$AN2000)&lt;$AO2000))),"対象月が時短期間外／","")&amp;IF(AND(INDEX(職員マスタ!$F$6:$F$405,$AN2000)&lt;&gt;"",$AO2000&lt;&gt;"",INDEX(職員マスタ!$F$6:$F$405,$AN2000)&lt;$AO2000),"対象月に子が2歳到達済／","")&amp;IF(AND($H2000&lt;&gt;"",INDEX(職員マスタ!$B$6:$B$405,$AN2000)&lt;&gt;"",SUBSTITUTE(SUBSTITUTE($H2000," ","")," ","")&lt;&gt;SUBSTITUTE(SUBSTITUTE(INDEX(職員マスタ!$B$6:$B$405,$AN2000)," ","")," ","")),"氏名がマスタと相違／","")&amp;IF(AND($Q2000&lt;&gt;"",INDEX(職員マスタ!$E$6:$E$405,$AN2000)&lt;&gt;"",$Q2000&lt;&gt;INDEX(職員マスタ!$E$6:$E$405,$AN2000)),"子の生年月日がマスタと相違／","")&amp;IF(AND($L2000&lt;&gt;"",INDEX(職員マスタ!$G$6:$G$405,$AN2000)&lt;&gt;"",$L2000&lt;&gt;INDEX(職員マスタ!$G$6:$G$405,$AN2000)),"時短開始日がマスタと相違／","")&amp;IF(AND($M2000&lt;&gt;"",INDEX(職員マスタ!$H$6:$H$405,$AN2000)&lt;&gt;"",$M2000&lt;&gt;INDEX(職員マスタ!$H$6:$H$405,$AN2000)),"時短終了日がマスタと相違／","")))&amp;IF(AND($B2000&lt;&gt;"",$E2000=""),"報酬額が未入力／","")&amp;IF(N($U2000)&gt;0,"申請書に入力エラーが残っています／","")&amp;IF(AND($B2000&lt;&gt;"",$AO2000&lt;&gt;""),IF(COUNTIFS($B$6:$B$3005,$B2000,$C$6:$C$3005,$C2000,$D$6:$D$3005,$D2000)&gt;1,"同じ月の請求が重複しています／",""),"")&amp;IF(AND(N($E2000)&gt;0,$Z2000&lt;&gt;"",$Z2000&lt;&gt;"×",$AC2000=0,$AB2000=""),"計算額が下限以下のため不支給／",""))</f>
        <v/>
      </c>
      <c r="AL2000" s="12" t="n"/>
      <c r="AM2000" s="14">
        <f>IF($AD2000="保留中",COUNTIF($AD$6:$AD2000,"保留中"),"")</f>
        <v/>
      </c>
      <c r="AN2000" s="14">
        <f>IF($AO2000="","",IF(SUMPRODUCT(MAX((職員マスタ!$A$6:$A$405=$B2000)*(((職員マスタ!$G$6:$G$405="")+(職員マスタ!$G$6:$G$405&lt;=EOMONTH($AO2000,0)))&gt;0)*(((職員マスタ!$H$6:$H$405="")+(職員マスタ!$H$6:$H$405&gt;=$AO2000))&gt;0)*(ROW(職員マスタ!$A$6:$A$405)-5)))&gt;0,SUMPRODUCT(MAX((職員マスタ!$A$6:$A$405=$B2000)*(((職員マスタ!$G$6:$G$405="")+(職員マスタ!$G$6:$G$405&lt;=EOMONTH($AO2000,0)))&gt;0)*(((職員マスタ!$H$6:$H$405="")+(職員マスタ!$H$6:$H$405&gt;=$AO2000))&gt;0)*(ROW(職員マスタ!$A$6:$A$405)-5))),IFERROR(MATCH($B2000,職員マスタ!$A$6:$A$405,0),"")))</f>
        <v/>
      </c>
      <c r="AO2000" s="16">
        <f>IF(OR($B2000="",$C2000="",$D2000=""),"",DATE($C2000+2018,$D2000,1))</f>
        <v/>
      </c>
    </row>
    <row r="2001">
      <c r="A2001" s="11" t="n"/>
      <c r="B2001" s="12" t="n"/>
      <c r="C2001" s="12" t="n"/>
      <c r="D2001" s="12" t="n"/>
      <c r="E2001" s="13" t="n"/>
      <c r="F2001" s="12" t="n"/>
      <c r="G2001" s="13" t="n"/>
      <c r="H2001" s="12" t="n"/>
      <c r="I2001" s="12" t="n"/>
      <c r="J2001" s="12" t="n"/>
      <c r="K2001" s="12" t="n"/>
      <c r="L2001" s="11" t="n"/>
      <c r="M2001" s="11" t="n"/>
      <c r="N2001" s="11" t="n"/>
      <c r="O2001" s="11" t="n"/>
      <c r="P2001" s="12" t="n"/>
      <c r="Q2001" s="11" t="n"/>
      <c r="R2001" s="12" t="n"/>
      <c r="S2001" s="11" t="n"/>
      <c r="T2001" s="12" t="n"/>
      <c r="U2001" s="12" t="n"/>
      <c r="V2001" s="14">
        <f>IF($AN2001="",IF($B2001="","",$H2001),IF(INDEX(職員マスタ!$B$6:$B$405,$AN2001)="",$H2001,INDEX(職員マスタ!$B$6:$B$405,$AN2001)))</f>
        <v/>
      </c>
      <c r="W2001" s="14">
        <f>IF($AN2001="",IF($B2001="","",$R2001),IF(INDEX(職員マスタ!$C$6:$C$405,$AN2001)="",$R2001,INDEX(職員マスタ!$C$6:$C$405,$AN2001)))</f>
        <v/>
      </c>
      <c r="X2001" s="14">
        <f>IF($AO2001="","","R"&amp;$C2001&amp;"."&amp;$D2001)</f>
        <v/>
      </c>
      <c r="Y2001" s="15">
        <f>IF($AN2001="","",IF(INDEX(職員マスタ!$K$6:$K$405,$AN2001)="","",INDEX(職員マスタ!$K$6:$K$405,$AN2001)))</f>
        <v/>
      </c>
      <c r="Z2001" s="14">
        <f>IF(OR($E2001="",$Y2001=""),"",IF($E2001&gt;=$Y2001,"×",IF($E2001&gt;=$Y2001*設定!$C$5,"△","○")))</f>
        <v/>
      </c>
      <c r="AA2001" s="15">
        <f>IF($Z2001="","",IF($Z2001="×",0,IF($Z2001="○",ROUNDDOWN($E2001*設定!$C$4,0),ROUNDDOWN($E2001*ROUND((9*$Y2001-9*$E2001)/(10*$E2001),4),0))))</f>
        <v/>
      </c>
      <c r="AB2001" s="13" t="n"/>
      <c r="AC2001" s="15">
        <f>IF($B2001="","",IF($AB2001&lt;&gt;"",$AB2001,IF($AA2001="","",IF($AA2001&lt;=設定!$C$3,0,$AA2001))))</f>
        <v/>
      </c>
      <c r="AD2001" s="14">
        <f>IF($B2001="","",IF(AND($AE2001&lt;&gt;"",$AG2001="",$AJ2001=""),"保留中",IF($AJ2001&lt;&gt;"",IF(N($AC2001)&gt;0,"支給済","不支給"),IF($AC2001="","要確認",IF($AC2001=0,"不支給","未処理")))))</f>
        <v/>
      </c>
      <c r="AE2001" s="12" t="n"/>
      <c r="AF2001" s="11" t="n"/>
      <c r="AG2001" s="11" t="n"/>
      <c r="AH2001" s="11" t="n"/>
      <c r="AI2001" s="14">
        <f>IF(AND($AD2001="保留中",$AF2001&lt;&gt;""),TODAY()-$AF2001,"")</f>
        <v/>
      </c>
      <c r="AJ2001" s="12" t="n"/>
      <c r="AK2001" s="14">
        <f>IF($B2001="","",IF($AO2001="","対象年月が未入力／","")&amp;IF($B2001="","",IF($AN2001="","職員マスタに未登録の職員番号／",IF($Y2001="","標準報酬月額が未登録／","")&amp;IF(AND($AO2001&lt;&gt;"",OR(AND(INDEX(職員マスタ!$G$6:$G$405,$AN2001)&lt;&gt;"",INDEX(職員マスタ!$G$6:$G$405,$AN2001)&gt;EOMONTH($AO2001,0)),AND(INDEX(職員マスタ!$H$6:$H$405,$AN2001)&lt;&gt;"",INDEX(職員マスタ!$H$6:$H$405,$AN2001)&lt;$AO2001))),"対象月が時短期間外／","")&amp;IF(AND(INDEX(職員マスタ!$F$6:$F$405,$AN2001)&lt;&gt;"",$AO2001&lt;&gt;"",INDEX(職員マスタ!$F$6:$F$405,$AN2001)&lt;$AO2001),"対象月に子が2歳到達済／","")&amp;IF(AND($H2001&lt;&gt;"",INDEX(職員マスタ!$B$6:$B$405,$AN2001)&lt;&gt;"",SUBSTITUTE(SUBSTITUTE($H2001," ","")," ","")&lt;&gt;SUBSTITUTE(SUBSTITUTE(INDEX(職員マスタ!$B$6:$B$405,$AN2001)," ","")," ","")),"氏名がマスタと相違／","")&amp;IF(AND($Q2001&lt;&gt;"",INDEX(職員マスタ!$E$6:$E$405,$AN2001)&lt;&gt;"",$Q2001&lt;&gt;INDEX(職員マスタ!$E$6:$E$405,$AN2001)),"子の生年月日がマスタと相違／","")&amp;IF(AND($L2001&lt;&gt;"",INDEX(職員マスタ!$G$6:$G$405,$AN2001)&lt;&gt;"",$L2001&lt;&gt;INDEX(職員マスタ!$G$6:$G$405,$AN2001)),"時短開始日がマスタと相違／","")&amp;IF(AND($M2001&lt;&gt;"",INDEX(職員マスタ!$H$6:$H$405,$AN2001)&lt;&gt;"",$M2001&lt;&gt;INDEX(職員マスタ!$H$6:$H$405,$AN2001)),"時短終了日がマスタと相違／","")))&amp;IF(AND($B2001&lt;&gt;"",$E2001=""),"報酬額が未入力／","")&amp;IF(N($U2001)&gt;0,"申請書に入力エラーが残っています／","")&amp;IF(AND($B2001&lt;&gt;"",$AO2001&lt;&gt;""),IF(COUNTIFS($B$6:$B$3005,$B2001,$C$6:$C$3005,$C2001,$D$6:$D$3005,$D2001)&gt;1,"同じ月の請求が重複しています／",""),"")&amp;IF(AND(N($E2001)&gt;0,$Z2001&lt;&gt;"",$Z2001&lt;&gt;"×",$AC2001=0,$AB2001=""),"計算額が下限以下のため不支給／",""))</f>
        <v/>
      </c>
      <c r="AL2001" s="12" t="n"/>
      <c r="AM2001" s="14">
        <f>IF($AD2001="保留中",COUNTIF($AD$6:$AD2001,"保留中"),"")</f>
        <v/>
      </c>
      <c r="AN2001" s="14">
        <f>IF($AO2001="","",IF(SUMPRODUCT(MAX((職員マスタ!$A$6:$A$405=$B2001)*(((職員マスタ!$G$6:$G$405="")+(職員マスタ!$G$6:$G$405&lt;=EOMONTH($AO2001,0)))&gt;0)*(((職員マスタ!$H$6:$H$405="")+(職員マスタ!$H$6:$H$405&gt;=$AO2001))&gt;0)*(ROW(職員マスタ!$A$6:$A$405)-5)))&gt;0,SUMPRODUCT(MAX((職員マスタ!$A$6:$A$405=$B2001)*(((職員マスタ!$G$6:$G$405="")+(職員マスタ!$G$6:$G$405&lt;=EOMONTH($AO2001,0)))&gt;0)*(((職員マスタ!$H$6:$H$405="")+(職員マスタ!$H$6:$H$405&gt;=$AO2001))&gt;0)*(ROW(職員マスタ!$A$6:$A$405)-5))),IFERROR(MATCH($B2001,職員マスタ!$A$6:$A$405,0),"")))</f>
        <v/>
      </c>
      <c r="AO2001" s="16">
        <f>IF(OR($B2001="",$C2001="",$D2001=""),"",DATE($C2001+2018,$D2001,1))</f>
        <v/>
      </c>
    </row>
    <row r="2002">
      <c r="A2002" s="11" t="n"/>
      <c r="B2002" s="12" t="n"/>
      <c r="C2002" s="12" t="n"/>
      <c r="D2002" s="12" t="n"/>
      <c r="E2002" s="13" t="n"/>
      <c r="F2002" s="12" t="n"/>
      <c r="G2002" s="13" t="n"/>
      <c r="H2002" s="12" t="n"/>
      <c r="I2002" s="12" t="n"/>
      <c r="J2002" s="12" t="n"/>
      <c r="K2002" s="12" t="n"/>
      <c r="L2002" s="11" t="n"/>
      <c r="M2002" s="11" t="n"/>
      <c r="N2002" s="11" t="n"/>
      <c r="O2002" s="11" t="n"/>
      <c r="P2002" s="12" t="n"/>
      <c r="Q2002" s="11" t="n"/>
      <c r="R2002" s="12" t="n"/>
      <c r="S2002" s="11" t="n"/>
      <c r="T2002" s="12" t="n"/>
      <c r="U2002" s="12" t="n"/>
      <c r="V2002" s="14">
        <f>IF($AN2002="",IF($B2002="","",$H2002),IF(INDEX(職員マスタ!$B$6:$B$405,$AN2002)="",$H2002,INDEX(職員マスタ!$B$6:$B$405,$AN2002)))</f>
        <v/>
      </c>
      <c r="W2002" s="14">
        <f>IF($AN2002="",IF($B2002="","",$R2002),IF(INDEX(職員マスタ!$C$6:$C$405,$AN2002)="",$R2002,INDEX(職員マスタ!$C$6:$C$405,$AN2002)))</f>
        <v/>
      </c>
      <c r="X2002" s="14">
        <f>IF($AO2002="","","R"&amp;$C2002&amp;"."&amp;$D2002)</f>
        <v/>
      </c>
      <c r="Y2002" s="15">
        <f>IF($AN2002="","",IF(INDEX(職員マスタ!$K$6:$K$405,$AN2002)="","",INDEX(職員マスタ!$K$6:$K$405,$AN2002)))</f>
        <v/>
      </c>
      <c r="Z2002" s="14">
        <f>IF(OR($E2002="",$Y2002=""),"",IF($E2002&gt;=$Y2002,"×",IF($E2002&gt;=$Y2002*設定!$C$5,"△","○")))</f>
        <v/>
      </c>
      <c r="AA2002" s="15">
        <f>IF($Z2002="","",IF($Z2002="×",0,IF($Z2002="○",ROUNDDOWN($E2002*設定!$C$4,0),ROUNDDOWN($E2002*ROUND((9*$Y2002-9*$E2002)/(10*$E2002),4),0))))</f>
        <v/>
      </c>
      <c r="AB2002" s="13" t="n"/>
      <c r="AC2002" s="15">
        <f>IF($B2002="","",IF($AB2002&lt;&gt;"",$AB2002,IF($AA2002="","",IF($AA2002&lt;=設定!$C$3,0,$AA2002))))</f>
        <v/>
      </c>
      <c r="AD2002" s="14">
        <f>IF($B2002="","",IF(AND($AE2002&lt;&gt;"",$AG2002="",$AJ2002=""),"保留中",IF($AJ2002&lt;&gt;"",IF(N($AC2002)&gt;0,"支給済","不支給"),IF($AC2002="","要確認",IF($AC2002=0,"不支給","未処理")))))</f>
        <v/>
      </c>
      <c r="AE2002" s="12" t="n"/>
      <c r="AF2002" s="11" t="n"/>
      <c r="AG2002" s="11" t="n"/>
      <c r="AH2002" s="11" t="n"/>
      <c r="AI2002" s="14">
        <f>IF(AND($AD2002="保留中",$AF2002&lt;&gt;""),TODAY()-$AF2002,"")</f>
        <v/>
      </c>
      <c r="AJ2002" s="12" t="n"/>
      <c r="AK2002" s="14">
        <f>IF($B2002="","",IF($AO2002="","対象年月が未入力／","")&amp;IF($B2002="","",IF($AN2002="","職員マスタに未登録の職員番号／",IF($Y2002="","標準報酬月額が未登録／","")&amp;IF(AND($AO2002&lt;&gt;"",OR(AND(INDEX(職員マスタ!$G$6:$G$405,$AN2002)&lt;&gt;"",INDEX(職員マスタ!$G$6:$G$405,$AN2002)&gt;EOMONTH($AO2002,0)),AND(INDEX(職員マスタ!$H$6:$H$405,$AN2002)&lt;&gt;"",INDEX(職員マスタ!$H$6:$H$405,$AN2002)&lt;$AO2002))),"対象月が時短期間外／","")&amp;IF(AND(INDEX(職員マスタ!$F$6:$F$405,$AN2002)&lt;&gt;"",$AO2002&lt;&gt;"",INDEX(職員マスタ!$F$6:$F$405,$AN2002)&lt;$AO2002),"対象月に子が2歳到達済／","")&amp;IF(AND($H2002&lt;&gt;"",INDEX(職員マスタ!$B$6:$B$405,$AN2002)&lt;&gt;"",SUBSTITUTE(SUBSTITUTE($H2002," ","")," ","")&lt;&gt;SUBSTITUTE(SUBSTITUTE(INDEX(職員マスタ!$B$6:$B$405,$AN2002)," ","")," ","")),"氏名がマスタと相違／","")&amp;IF(AND($Q2002&lt;&gt;"",INDEX(職員マスタ!$E$6:$E$405,$AN2002)&lt;&gt;"",$Q2002&lt;&gt;INDEX(職員マスタ!$E$6:$E$405,$AN2002)),"子の生年月日がマスタと相違／","")&amp;IF(AND($L2002&lt;&gt;"",INDEX(職員マスタ!$G$6:$G$405,$AN2002)&lt;&gt;"",$L2002&lt;&gt;INDEX(職員マスタ!$G$6:$G$405,$AN2002)),"時短開始日がマスタと相違／","")&amp;IF(AND($M2002&lt;&gt;"",INDEX(職員マスタ!$H$6:$H$405,$AN2002)&lt;&gt;"",$M2002&lt;&gt;INDEX(職員マスタ!$H$6:$H$405,$AN2002)),"時短終了日がマスタと相違／","")))&amp;IF(AND($B2002&lt;&gt;"",$E2002=""),"報酬額が未入力／","")&amp;IF(N($U2002)&gt;0,"申請書に入力エラーが残っています／","")&amp;IF(AND($B2002&lt;&gt;"",$AO2002&lt;&gt;""),IF(COUNTIFS($B$6:$B$3005,$B2002,$C$6:$C$3005,$C2002,$D$6:$D$3005,$D2002)&gt;1,"同じ月の請求が重複しています／",""),"")&amp;IF(AND(N($E2002)&gt;0,$Z2002&lt;&gt;"",$Z2002&lt;&gt;"×",$AC2002=0,$AB2002=""),"計算額が下限以下のため不支給／",""))</f>
        <v/>
      </c>
      <c r="AL2002" s="12" t="n"/>
      <c r="AM2002" s="14">
        <f>IF($AD2002="保留中",COUNTIF($AD$6:$AD2002,"保留中"),"")</f>
        <v/>
      </c>
      <c r="AN2002" s="14">
        <f>IF($AO2002="","",IF(SUMPRODUCT(MAX((職員マスタ!$A$6:$A$405=$B2002)*(((職員マスタ!$G$6:$G$405="")+(職員マスタ!$G$6:$G$405&lt;=EOMONTH($AO2002,0)))&gt;0)*(((職員マスタ!$H$6:$H$405="")+(職員マスタ!$H$6:$H$405&gt;=$AO2002))&gt;0)*(ROW(職員マスタ!$A$6:$A$405)-5)))&gt;0,SUMPRODUCT(MAX((職員マスタ!$A$6:$A$405=$B2002)*(((職員マスタ!$G$6:$G$405="")+(職員マスタ!$G$6:$G$405&lt;=EOMONTH($AO2002,0)))&gt;0)*(((職員マスタ!$H$6:$H$405="")+(職員マスタ!$H$6:$H$405&gt;=$AO2002))&gt;0)*(ROW(職員マスタ!$A$6:$A$405)-5))),IFERROR(MATCH($B2002,職員マスタ!$A$6:$A$405,0),"")))</f>
        <v/>
      </c>
      <c r="AO2002" s="16">
        <f>IF(OR($B2002="",$C2002="",$D2002=""),"",DATE($C2002+2018,$D2002,1))</f>
        <v/>
      </c>
    </row>
    <row r="2003">
      <c r="A2003" s="11" t="n"/>
      <c r="B2003" s="12" t="n"/>
      <c r="C2003" s="12" t="n"/>
      <c r="D2003" s="12" t="n"/>
      <c r="E2003" s="13" t="n"/>
      <c r="F2003" s="12" t="n"/>
      <c r="G2003" s="13" t="n"/>
      <c r="H2003" s="12" t="n"/>
      <c r="I2003" s="12" t="n"/>
      <c r="J2003" s="12" t="n"/>
      <c r="K2003" s="12" t="n"/>
      <c r="L2003" s="11" t="n"/>
      <c r="M2003" s="11" t="n"/>
      <c r="N2003" s="11" t="n"/>
      <c r="O2003" s="11" t="n"/>
      <c r="P2003" s="12" t="n"/>
      <c r="Q2003" s="11" t="n"/>
      <c r="R2003" s="12" t="n"/>
      <c r="S2003" s="11" t="n"/>
      <c r="T2003" s="12" t="n"/>
      <c r="U2003" s="12" t="n"/>
      <c r="V2003" s="14">
        <f>IF($AN2003="",IF($B2003="","",$H2003),IF(INDEX(職員マスタ!$B$6:$B$405,$AN2003)="",$H2003,INDEX(職員マスタ!$B$6:$B$405,$AN2003)))</f>
        <v/>
      </c>
      <c r="W2003" s="14">
        <f>IF($AN2003="",IF($B2003="","",$R2003),IF(INDEX(職員マスタ!$C$6:$C$405,$AN2003)="",$R2003,INDEX(職員マスタ!$C$6:$C$405,$AN2003)))</f>
        <v/>
      </c>
      <c r="X2003" s="14">
        <f>IF($AO2003="","","R"&amp;$C2003&amp;"."&amp;$D2003)</f>
        <v/>
      </c>
      <c r="Y2003" s="15">
        <f>IF($AN2003="","",IF(INDEX(職員マスタ!$K$6:$K$405,$AN2003)="","",INDEX(職員マスタ!$K$6:$K$405,$AN2003)))</f>
        <v/>
      </c>
      <c r="Z2003" s="14">
        <f>IF(OR($E2003="",$Y2003=""),"",IF($E2003&gt;=$Y2003,"×",IF($E2003&gt;=$Y2003*設定!$C$5,"△","○")))</f>
        <v/>
      </c>
      <c r="AA2003" s="15">
        <f>IF($Z2003="","",IF($Z2003="×",0,IF($Z2003="○",ROUNDDOWN($E2003*設定!$C$4,0),ROUNDDOWN($E2003*ROUND((9*$Y2003-9*$E2003)/(10*$E2003),4),0))))</f>
        <v/>
      </c>
      <c r="AB2003" s="13" t="n"/>
      <c r="AC2003" s="15">
        <f>IF($B2003="","",IF($AB2003&lt;&gt;"",$AB2003,IF($AA2003="","",IF($AA2003&lt;=設定!$C$3,0,$AA2003))))</f>
        <v/>
      </c>
      <c r="AD2003" s="14">
        <f>IF($B2003="","",IF(AND($AE2003&lt;&gt;"",$AG2003="",$AJ2003=""),"保留中",IF($AJ2003&lt;&gt;"",IF(N($AC2003)&gt;0,"支給済","不支給"),IF($AC2003="","要確認",IF($AC2003=0,"不支給","未処理")))))</f>
        <v/>
      </c>
      <c r="AE2003" s="12" t="n"/>
      <c r="AF2003" s="11" t="n"/>
      <c r="AG2003" s="11" t="n"/>
      <c r="AH2003" s="11" t="n"/>
      <c r="AI2003" s="14">
        <f>IF(AND($AD2003="保留中",$AF2003&lt;&gt;""),TODAY()-$AF2003,"")</f>
        <v/>
      </c>
      <c r="AJ2003" s="12" t="n"/>
      <c r="AK2003" s="14">
        <f>IF($B2003="","",IF($AO2003="","対象年月が未入力／","")&amp;IF($B2003="","",IF($AN2003="","職員マスタに未登録の職員番号／",IF($Y2003="","標準報酬月額が未登録／","")&amp;IF(AND($AO2003&lt;&gt;"",OR(AND(INDEX(職員マスタ!$G$6:$G$405,$AN2003)&lt;&gt;"",INDEX(職員マスタ!$G$6:$G$405,$AN2003)&gt;EOMONTH($AO2003,0)),AND(INDEX(職員マスタ!$H$6:$H$405,$AN2003)&lt;&gt;"",INDEX(職員マスタ!$H$6:$H$405,$AN2003)&lt;$AO2003))),"対象月が時短期間外／","")&amp;IF(AND(INDEX(職員マスタ!$F$6:$F$405,$AN2003)&lt;&gt;"",$AO2003&lt;&gt;"",INDEX(職員マスタ!$F$6:$F$405,$AN2003)&lt;$AO2003),"対象月に子が2歳到達済／","")&amp;IF(AND($H2003&lt;&gt;"",INDEX(職員マスタ!$B$6:$B$405,$AN2003)&lt;&gt;"",SUBSTITUTE(SUBSTITUTE($H2003," ","")," ","")&lt;&gt;SUBSTITUTE(SUBSTITUTE(INDEX(職員マスタ!$B$6:$B$405,$AN2003)," ","")," ","")),"氏名がマスタと相違／","")&amp;IF(AND($Q2003&lt;&gt;"",INDEX(職員マスタ!$E$6:$E$405,$AN2003)&lt;&gt;"",$Q2003&lt;&gt;INDEX(職員マスタ!$E$6:$E$405,$AN2003)),"子の生年月日がマスタと相違／","")&amp;IF(AND($L2003&lt;&gt;"",INDEX(職員マスタ!$G$6:$G$405,$AN2003)&lt;&gt;"",$L2003&lt;&gt;INDEX(職員マスタ!$G$6:$G$405,$AN2003)),"時短開始日がマスタと相違／","")&amp;IF(AND($M2003&lt;&gt;"",INDEX(職員マスタ!$H$6:$H$405,$AN2003)&lt;&gt;"",$M2003&lt;&gt;INDEX(職員マスタ!$H$6:$H$405,$AN2003)),"時短終了日がマスタと相違／","")))&amp;IF(AND($B2003&lt;&gt;"",$E2003=""),"報酬額が未入力／","")&amp;IF(N($U2003)&gt;0,"申請書に入力エラーが残っています／","")&amp;IF(AND($B2003&lt;&gt;"",$AO2003&lt;&gt;""),IF(COUNTIFS($B$6:$B$3005,$B2003,$C$6:$C$3005,$C2003,$D$6:$D$3005,$D2003)&gt;1,"同じ月の請求が重複しています／",""),"")&amp;IF(AND(N($E2003)&gt;0,$Z2003&lt;&gt;"",$Z2003&lt;&gt;"×",$AC2003=0,$AB2003=""),"計算額が下限以下のため不支給／",""))</f>
        <v/>
      </c>
      <c r="AL2003" s="12" t="n"/>
      <c r="AM2003" s="14">
        <f>IF($AD2003="保留中",COUNTIF($AD$6:$AD2003,"保留中"),"")</f>
        <v/>
      </c>
      <c r="AN2003" s="14">
        <f>IF($AO2003="","",IF(SUMPRODUCT(MAX((職員マスタ!$A$6:$A$405=$B2003)*(((職員マスタ!$G$6:$G$405="")+(職員マスタ!$G$6:$G$405&lt;=EOMONTH($AO2003,0)))&gt;0)*(((職員マスタ!$H$6:$H$405="")+(職員マスタ!$H$6:$H$405&gt;=$AO2003))&gt;0)*(ROW(職員マスタ!$A$6:$A$405)-5)))&gt;0,SUMPRODUCT(MAX((職員マスタ!$A$6:$A$405=$B2003)*(((職員マスタ!$G$6:$G$405="")+(職員マスタ!$G$6:$G$405&lt;=EOMONTH($AO2003,0)))&gt;0)*(((職員マスタ!$H$6:$H$405="")+(職員マスタ!$H$6:$H$405&gt;=$AO2003))&gt;0)*(ROW(職員マスタ!$A$6:$A$405)-5))),IFERROR(MATCH($B2003,職員マスタ!$A$6:$A$405,0),"")))</f>
        <v/>
      </c>
      <c r="AO2003" s="16">
        <f>IF(OR($B2003="",$C2003="",$D2003=""),"",DATE($C2003+2018,$D2003,1))</f>
        <v/>
      </c>
    </row>
    <row r="2004">
      <c r="A2004" s="11" t="n"/>
      <c r="B2004" s="12" t="n"/>
      <c r="C2004" s="12" t="n"/>
      <c r="D2004" s="12" t="n"/>
      <c r="E2004" s="13" t="n"/>
      <c r="F2004" s="12" t="n"/>
      <c r="G2004" s="13" t="n"/>
      <c r="H2004" s="12" t="n"/>
      <c r="I2004" s="12" t="n"/>
      <c r="J2004" s="12" t="n"/>
      <c r="K2004" s="12" t="n"/>
      <c r="L2004" s="11" t="n"/>
      <c r="M2004" s="11" t="n"/>
      <c r="N2004" s="11" t="n"/>
      <c r="O2004" s="11" t="n"/>
      <c r="P2004" s="12" t="n"/>
      <c r="Q2004" s="11" t="n"/>
      <c r="R2004" s="12" t="n"/>
      <c r="S2004" s="11" t="n"/>
      <c r="T2004" s="12" t="n"/>
      <c r="U2004" s="12" t="n"/>
      <c r="V2004" s="14">
        <f>IF($AN2004="",IF($B2004="","",$H2004),IF(INDEX(職員マスタ!$B$6:$B$405,$AN2004)="",$H2004,INDEX(職員マスタ!$B$6:$B$405,$AN2004)))</f>
        <v/>
      </c>
      <c r="W2004" s="14">
        <f>IF($AN2004="",IF($B2004="","",$R2004),IF(INDEX(職員マスタ!$C$6:$C$405,$AN2004)="",$R2004,INDEX(職員マスタ!$C$6:$C$405,$AN2004)))</f>
        <v/>
      </c>
      <c r="X2004" s="14">
        <f>IF($AO2004="","","R"&amp;$C2004&amp;"."&amp;$D2004)</f>
        <v/>
      </c>
      <c r="Y2004" s="15">
        <f>IF($AN2004="","",IF(INDEX(職員マスタ!$K$6:$K$405,$AN2004)="","",INDEX(職員マスタ!$K$6:$K$405,$AN2004)))</f>
        <v/>
      </c>
      <c r="Z2004" s="14">
        <f>IF(OR($E2004="",$Y2004=""),"",IF($E2004&gt;=$Y2004,"×",IF($E2004&gt;=$Y2004*設定!$C$5,"△","○")))</f>
        <v/>
      </c>
      <c r="AA2004" s="15">
        <f>IF($Z2004="","",IF($Z2004="×",0,IF($Z2004="○",ROUNDDOWN($E2004*設定!$C$4,0),ROUNDDOWN($E2004*ROUND((9*$Y2004-9*$E2004)/(10*$E2004),4),0))))</f>
        <v/>
      </c>
      <c r="AB2004" s="13" t="n"/>
      <c r="AC2004" s="15">
        <f>IF($B2004="","",IF($AB2004&lt;&gt;"",$AB2004,IF($AA2004="","",IF($AA2004&lt;=設定!$C$3,0,$AA2004))))</f>
        <v/>
      </c>
      <c r="AD2004" s="14">
        <f>IF($B2004="","",IF(AND($AE2004&lt;&gt;"",$AG2004="",$AJ2004=""),"保留中",IF($AJ2004&lt;&gt;"",IF(N($AC2004)&gt;0,"支給済","不支給"),IF($AC2004="","要確認",IF($AC2004=0,"不支給","未処理")))))</f>
        <v/>
      </c>
      <c r="AE2004" s="12" t="n"/>
      <c r="AF2004" s="11" t="n"/>
      <c r="AG2004" s="11" t="n"/>
      <c r="AH2004" s="11" t="n"/>
      <c r="AI2004" s="14">
        <f>IF(AND($AD2004="保留中",$AF2004&lt;&gt;""),TODAY()-$AF2004,"")</f>
        <v/>
      </c>
      <c r="AJ2004" s="12" t="n"/>
      <c r="AK2004" s="14">
        <f>IF($B2004="","",IF($AO2004="","対象年月が未入力／","")&amp;IF($B2004="","",IF($AN2004="","職員マスタに未登録の職員番号／",IF($Y2004="","標準報酬月額が未登録／","")&amp;IF(AND($AO2004&lt;&gt;"",OR(AND(INDEX(職員マスタ!$G$6:$G$405,$AN2004)&lt;&gt;"",INDEX(職員マスタ!$G$6:$G$405,$AN2004)&gt;EOMONTH($AO2004,0)),AND(INDEX(職員マスタ!$H$6:$H$405,$AN2004)&lt;&gt;"",INDEX(職員マスタ!$H$6:$H$405,$AN2004)&lt;$AO2004))),"対象月が時短期間外／","")&amp;IF(AND(INDEX(職員マスタ!$F$6:$F$405,$AN2004)&lt;&gt;"",$AO2004&lt;&gt;"",INDEX(職員マスタ!$F$6:$F$405,$AN2004)&lt;$AO2004),"対象月に子が2歳到達済／","")&amp;IF(AND($H2004&lt;&gt;"",INDEX(職員マスタ!$B$6:$B$405,$AN2004)&lt;&gt;"",SUBSTITUTE(SUBSTITUTE($H2004," ","")," ","")&lt;&gt;SUBSTITUTE(SUBSTITUTE(INDEX(職員マスタ!$B$6:$B$405,$AN2004)," ","")," ","")),"氏名がマスタと相違／","")&amp;IF(AND($Q2004&lt;&gt;"",INDEX(職員マスタ!$E$6:$E$405,$AN2004)&lt;&gt;"",$Q2004&lt;&gt;INDEX(職員マスタ!$E$6:$E$405,$AN2004)),"子の生年月日がマスタと相違／","")&amp;IF(AND($L2004&lt;&gt;"",INDEX(職員マスタ!$G$6:$G$405,$AN2004)&lt;&gt;"",$L2004&lt;&gt;INDEX(職員マスタ!$G$6:$G$405,$AN2004)),"時短開始日がマスタと相違／","")&amp;IF(AND($M2004&lt;&gt;"",INDEX(職員マスタ!$H$6:$H$405,$AN2004)&lt;&gt;"",$M2004&lt;&gt;INDEX(職員マスタ!$H$6:$H$405,$AN2004)),"時短終了日がマスタと相違／","")))&amp;IF(AND($B2004&lt;&gt;"",$E2004=""),"報酬額が未入力／","")&amp;IF(N($U2004)&gt;0,"申請書に入力エラーが残っています／","")&amp;IF(AND($B2004&lt;&gt;"",$AO2004&lt;&gt;""),IF(COUNTIFS($B$6:$B$3005,$B2004,$C$6:$C$3005,$C2004,$D$6:$D$3005,$D2004)&gt;1,"同じ月の請求が重複しています／",""),"")&amp;IF(AND(N($E2004)&gt;0,$Z2004&lt;&gt;"",$Z2004&lt;&gt;"×",$AC2004=0,$AB2004=""),"計算額が下限以下のため不支給／",""))</f>
        <v/>
      </c>
      <c r="AL2004" s="12" t="n"/>
      <c r="AM2004" s="14">
        <f>IF($AD2004="保留中",COUNTIF($AD$6:$AD2004,"保留中"),"")</f>
        <v/>
      </c>
      <c r="AN2004" s="14">
        <f>IF($AO2004="","",IF(SUMPRODUCT(MAX((職員マスタ!$A$6:$A$405=$B2004)*(((職員マスタ!$G$6:$G$405="")+(職員マスタ!$G$6:$G$405&lt;=EOMONTH($AO2004,0)))&gt;0)*(((職員マスタ!$H$6:$H$405="")+(職員マスタ!$H$6:$H$405&gt;=$AO2004))&gt;0)*(ROW(職員マスタ!$A$6:$A$405)-5)))&gt;0,SUMPRODUCT(MAX((職員マスタ!$A$6:$A$405=$B2004)*(((職員マスタ!$G$6:$G$405="")+(職員マスタ!$G$6:$G$405&lt;=EOMONTH($AO2004,0)))&gt;0)*(((職員マスタ!$H$6:$H$405="")+(職員マスタ!$H$6:$H$405&gt;=$AO2004))&gt;0)*(ROW(職員マスタ!$A$6:$A$405)-5))),IFERROR(MATCH($B2004,職員マスタ!$A$6:$A$405,0),"")))</f>
        <v/>
      </c>
      <c r="AO2004" s="16">
        <f>IF(OR($B2004="",$C2004="",$D2004=""),"",DATE($C2004+2018,$D2004,1))</f>
        <v/>
      </c>
    </row>
    <row r="2005">
      <c r="A2005" s="11" t="n"/>
      <c r="B2005" s="12" t="n"/>
      <c r="C2005" s="12" t="n"/>
      <c r="D2005" s="12" t="n"/>
      <c r="E2005" s="13" t="n"/>
      <c r="F2005" s="12" t="n"/>
      <c r="G2005" s="13" t="n"/>
      <c r="H2005" s="12" t="n"/>
      <c r="I2005" s="12" t="n"/>
      <c r="J2005" s="12" t="n"/>
      <c r="K2005" s="12" t="n"/>
      <c r="L2005" s="11" t="n"/>
      <c r="M2005" s="11" t="n"/>
      <c r="N2005" s="11" t="n"/>
      <c r="O2005" s="11" t="n"/>
      <c r="P2005" s="12" t="n"/>
      <c r="Q2005" s="11" t="n"/>
      <c r="R2005" s="12" t="n"/>
      <c r="S2005" s="11" t="n"/>
      <c r="T2005" s="12" t="n"/>
      <c r="U2005" s="12" t="n"/>
      <c r="V2005" s="14">
        <f>IF($AN2005="",IF($B2005="","",$H2005),IF(INDEX(職員マスタ!$B$6:$B$405,$AN2005)="",$H2005,INDEX(職員マスタ!$B$6:$B$405,$AN2005)))</f>
        <v/>
      </c>
      <c r="W2005" s="14">
        <f>IF($AN2005="",IF($B2005="","",$R2005),IF(INDEX(職員マスタ!$C$6:$C$405,$AN2005)="",$R2005,INDEX(職員マスタ!$C$6:$C$405,$AN2005)))</f>
        <v/>
      </c>
      <c r="X2005" s="14">
        <f>IF($AO2005="","","R"&amp;$C2005&amp;"."&amp;$D2005)</f>
        <v/>
      </c>
      <c r="Y2005" s="15">
        <f>IF($AN2005="","",IF(INDEX(職員マスタ!$K$6:$K$405,$AN2005)="","",INDEX(職員マスタ!$K$6:$K$405,$AN2005)))</f>
        <v/>
      </c>
      <c r="Z2005" s="14">
        <f>IF(OR($E2005="",$Y2005=""),"",IF($E2005&gt;=$Y2005,"×",IF($E2005&gt;=$Y2005*設定!$C$5,"△","○")))</f>
        <v/>
      </c>
      <c r="AA2005" s="15">
        <f>IF($Z2005="","",IF($Z2005="×",0,IF($Z2005="○",ROUNDDOWN($E2005*設定!$C$4,0),ROUNDDOWN($E2005*ROUND((9*$Y2005-9*$E2005)/(10*$E2005),4),0))))</f>
        <v/>
      </c>
      <c r="AB2005" s="13" t="n"/>
      <c r="AC2005" s="15">
        <f>IF($B2005="","",IF($AB2005&lt;&gt;"",$AB2005,IF($AA2005="","",IF($AA2005&lt;=設定!$C$3,0,$AA2005))))</f>
        <v/>
      </c>
      <c r="AD2005" s="14">
        <f>IF($B2005="","",IF(AND($AE2005&lt;&gt;"",$AG2005="",$AJ2005=""),"保留中",IF($AJ2005&lt;&gt;"",IF(N($AC2005)&gt;0,"支給済","不支給"),IF($AC2005="","要確認",IF($AC2005=0,"不支給","未処理")))))</f>
        <v/>
      </c>
      <c r="AE2005" s="12" t="n"/>
      <c r="AF2005" s="11" t="n"/>
      <c r="AG2005" s="11" t="n"/>
      <c r="AH2005" s="11" t="n"/>
      <c r="AI2005" s="14">
        <f>IF(AND($AD2005="保留中",$AF2005&lt;&gt;""),TODAY()-$AF2005,"")</f>
        <v/>
      </c>
      <c r="AJ2005" s="12" t="n"/>
      <c r="AK2005" s="14">
        <f>IF($B2005="","",IF($AO2005="","対象年月が未入力／","")&amp;IF($B2005="","",IF($AN2005="","職員マスタに未登録の職員番号／",IF($Y2005="","標準報酬月額が未登録／","")&amp;IF(AND($AO2005&lt;&gt;"",OR(AND(INDEX(職員マスタ!$G$6:$G$405,$AN2005)&lt;&gt;"",INDEX(職員マスタ!$G$6:$G$405,$AN2005)&gt;EOMONTH($AO2005,0)),AND(INDEX(職員マスタ!$H$6:$H$405,$AN2005)&lt;&gt;"",INDEX(職員マスタ!$H$6:$H$405,$AN2005)&lt;$AO2005))),"対象月が時短期間外／","")&amp;IF(AND(INDEX(職員マスタ!$F$6:$F$405,$AN2005)&lt;&gt;"",$AO2005&lt;&gt;"",INDEX(職員マスタ!$F$6:$F$405,$AN2005)&lt;$AO2005),"対象月に子が2歳到達済／","")&amp;IF(AND($H2005&lt;&gt;"",INDEX(職員マスタ!$B$6:$B$405,$AN2005)&lt;&gt;"",SUBSTITUTE(SUBSTITUTE($H2005," ","")," ","")&lt;&gt;SUBSTITUTE(SUBSTITUTE(INDEX(職員マスタ!$B$6:$B$405,$AN2005)," ","")," ","")),"氏名がマスタと相違／","")&amp;IF(AND($Q2005&lt;&gt;"",INDEX(職員マスタ!$E$6:$E$405,$AN2005)&lt;&gt;"",$Q2005&lt;&gt;INDEX(職員マスタ!$E$6:$E$405,$AN2005)),"子の生年月日がマスタと相違／","")&amp;IF(AND($L2005&lt;&gt;"",INDEX(職員マスタ!$G$6:$G$405,$AN2005)&lt;&gt;"",$L2005&lt;&gt;INDEX(職員マスタ!$G$6:$G$405,$AN2005)),"時短開始日がマスタと相違／","")&amp;IF(AND($M2005&lt;&gt;"",INDEX(職員マスタ!$H$6:$H$405,$AN2005)&lt;&gt;"",$M2005&lt;&gt;INDEX(職員マスタ!$H$6:$H$405,$AN2005)),"時短終了日がマスタと相違／","")))&amp;IF(AND($B2005&lt;&gt;"",$E2005=""),"報酬額が未入力／","")&amp;IF(N($U2005)&gt;0,"申請書に入力エラーが残っています／","")&amp;IF(AND($B2005&lt;&gt;"",$AO2005&lt;&gt;""),IF(COUNTIFS($B$6:$B$3005,$B2005,$C$6:$C$3005,$C2005,$D$6:$D$3005,$D2005)&gt;1,"同じ月の請求が重複しています／",""),"")&amp;IF(AND(N($E2005)&gt;0,$Z2005&lt;&gt;"",$Z2005&lt;&gt;"×",$AC2005=0,$AB2005=""),"計算額が下限以下のため不支給／",""))</f>
        <v/>
      </c>
      <c r="AL2005" s="12" t="n"/>
      <c r="AM2005" s="14">
        <f>IF($AD2005="保留中",COUNTIF($AD$6:$AD2005,"保留中"),"")</f>
        <v/>
      </c>
      <c r="AN2005" s="14">
        <f>IF($AO2005="","",IF(SUMPRODUCT(MAX((職員マスタ!$A$6:$A$405=$B2005)*(((職員マスタ!$G$6:$G$405="")+(職員マスタ!$G$6:$G$405&lt;=EOMONTH($AO2005,0)))&gt;0)*(((職員マスタ!$H$6:$H$405="")+(職員マスタ!$H$6:$H$405&gt;=$AO2005))&gt;0)*(ROW(職員マスタ!$A$6:$A$405)-5)))&gt;0,SUMPRODUCT(MAX((職員マスタ!$A$6:$A$405=$B2005)*(((職員マスタ!$G$6:$G$405="")+(職員マスタ!$G$6:$G$405&lt;=EOMONTH($AO2005,0)))&gt;0)*(((職員マスタ!$H$6:$H$405="")+(職員マスタ!$H$6:$H$405&gt;=$AO2005))&gt;0)*(ROW(職員マスタ!$A$6:$A$405)-5))),IFERROR(MATCH($B2005,職員マスタ!$A$6:$A$405,0),"")))</f>
        <v/>
      </c>
      <c r="AO2005" s="16">
        <f>IF(OR($B2005="",$C2005="",$D2005=""),"",DATE($C2005+2018,$D2005,1))</f>
        <v/>
      </c>
    </row>
    <row r="2006">
      <c r="A2006" s="11" t="n"/>
      <c r="B2006" s="12" t="n"/>
      <c r="C2006" s="12" t="n"/>
      <c r="D2006" s="12" t="n"/>
      <c r="E2006" s="13" t="n"/>
      <c r="F2006" s="12" t="n"/>
      <c r="G2006" s="13" t="n"/>
      <c r="H2006" s="12" t="n"/>
      <c r="I2006" s="12" t="n"/>
      <c r="J2006" s="12" t="n"/>
      <c r="K2006" s="12" t="n"/>
      <c r="L2006" s="11" t="n"/>
      <c r="M2006" s="11" t="n"/>
      <c r="N2006" s="11" t="n"/>
      <c r="O2006" s="11" t="n"/>
      <c r="P2006" s="12" t="n"/>
      <c r="Q2006" s="11" t="n"/>
      <c r="R2006" s="12" t="n"/>
      <c r="S2006" s="11" t="n"/>
      <c r="T2006" s="12" t="n"/>
      <c r="U2006" s="12" t="n"/>
      <c r="V2006" s="14">
        <f>IF($AN2006="",IF($B2006="","",$H2006),IF(INDEX(職員マスタ!$B$6:$B$405,$AN2006)="",$H2006,INDEX(職員マスタ!$B$6:$B$405,$AN2006)))</f>
        <v/>
      </c>
      <c r="W2006" s="14">
        <f>IF($AN2006="",IF($B2006="","",$R2006),IF(INDEX(職員マスタ!$C$6:$C$405,$AN2006)="",$R2006,INDEX(職員マスタ!$C$6:$C$405,$AN2006)))</f>
        <v/>
      </c>
      <c r="X2006" s="14">
        <f>IF($AO2006="","","R"&amp;$C2006&amp;"."&amp;$D2006)</f>
        <v/>
      </c>
      <c r="Y2006" s="15">
        <f>IF($AN2006="","",IF(INDEX(職員マスタ!$K$6:$K$405,$AN2006)="","",INDEX(職員マスタ!$K$6:$K$405,$AN2006)))</f>
        <v/>
      </c>
      <c r="Z2006" s="14">
        <f>IF(OR($E2006="",$Y2006=""),"",IF($E2006&gt;=$Y2006,"×",IF($E2006&gt;=$Y2006*設定!$C$5,"△","○")))</f>
        <v/>
      </c>
      <c r="AA2006" s="15">
        <f>IF($Z2006="","",IF($Z2006="×",0,IF($Z2006="○",ROUNDDOWN($E2006*設定!$C$4,0),ROUNDDOWN($E2006*ROUND((9*$Y2006-9*$E2006)/(10*$E2006),4),0))))</f>
        <v/>
      </c>
      <c r="AB2006" s="13" t="n"/>
      <c r="AC2006" s="15">
        <f>IF($B2006="","",IF($AB2006&lt;&gt;"",$AB2006,IF($AA2006="","",IF($AA2006&lt;=設定!$C$3,0,$AA2006))))</f>
        <v/>
      </c>
      <c r="AD2006" s="14">
        <f>IF($B2006="","",IF(AND($AE2006&lt;&gt;"",$AG2006="",$AJ2006=""),"保留中",IF($AJ2006&lt;&gt;"",IF(N($AC2006)&gt;0,"支給済","不支給"),IF($AC2006="","要確認",IF($AC2006=0,"不支給","未処理")))))</f>
        <v/>
      </c>
      <c r="AE2006" s="12" t="n"/>
      <c r="AF2006" s="11" t="n"/>
      <c r="AG2006" s="11" t="n"/>
      <c r="AH2006" s="11" t="n"/>
      <c r="AI2006" s="14">
        <f>IF(AND($AD2006="保留中",$AF2006&lt;&gt;""),TODAY()-$AF2006,"")</f>
        <v/>
      </c>
      <c r="AJ2006" s="12" t="n"/>
      <c r="AK2006" s="14">
        <f>IF($B2006="","",IF($AO2006="","対象年月が未入力／","")&amp;IF($B2006="","",IF($AN2006="","職員マスタに未登録の職員番号／",IF($Y2006="","標準報酬月額が未登録／","")&amp;IF(AND($AO2006&lt;&gt;"",OR(AND(INDEX(職員マスタ!$G$6:$G$405,$AN2006)&lt;&gt;"",INDEX(職員マスタ!$G$6:$G$405,$AN2006)&gt;EOMONTH($AO2006,0)),AND(INDEX(職員マスタ!$H$6:$H$405,$AN2006)&lt;&gt;"",INDEX(職員マスタ!$H$6:$H$405,$AN2006)&lt;$AO2006))),"対象月が時短期間外／","")&amp;IF(AND(INDEX(職員マスタ!$F$6:$F$405,$AN2006)&lt;&gt;"",$AO2006&lt;&gt;"",INDEX(職員マスタ!$F$6:$F$405,$AN2006)&lt;$AO2006),"対象月に子が2歳到達済／","")&amp;IF(AND($H2006&lt;&gt;"",INDEX(職員マスタ!$B$6:$B$405,$AN2006)&lt;&gt;"",SUBSTITUTE(SUBSTITUTE($H2006," ","")," ","")&lt;&gt;SUBSTITUTE(SUBSTITUTE(INDEX(職員マスタ!$B$6:$B$405,$AN2006)," ","")," ","")),"氏名がマスタと相違／","")&amp;IF(AND($Q2006&lt;&gt;"",INDEX(職員マスタ!$E$6:$E$405,$AN2006)&lt;&gt;"",$Q2006&lt;&gt;INDEX(職員マスタ!$E$6:$E$405,$AN2006)),"子の生年月日がマスタと相違／","")&amp;IF(AND($L2006&lt;&gt;"",INDEX(職員マスタ!$G$6:$G$405,$AN2006)&lt;&gt;"",$L2006&lt;&gt;INDEX(職員マスタ!$G$6:$G$405,$AN2006)),"時短開始日がマスタと相違／","")&amp;IF(AND($M2006&lt;&gt;"",INDEX(職員マスタ!$H$6:$H$405,$AN2006)&lt;&gt;"",$M2006&lt;&gt;INDEX(職員マスタ!$H$6:$H$405,$AN2006)),"時短終了日がマスタと相違／","")))&amp;IF(AND($B2006&lt;&gt;"",$E2006=""),"報酬額が未入力／","")&amp;IF(N($U2006)&gt;0,"申請書に入力エラーが残っています／","")&amp;IF(AND($B2006&lt;&gt;"",$AO2006&lt;&gt;""),IF(COUNTIFS($B$6:$B$3005,$B2006,$C$6:$C$3005,$C2006,$D$6:$D$3005,$D2006)&gt;1,"同じ月の請求が重複しています／",""),"")&amp;IF(AND(N($E2006)&gt;0,$Z2006&lt;&gt;"",$Z2006&lt;&gt;"×",$AC2006=0,$AB2006=""),"計算額が下限以下のため不支給／",""))</f>
        <v/>
      </c>
      <c r="AL2006" s="12" t="n"/>
      <c r="AM2006" s="14">
        <f>IF($AD2006="保留中",COUNTIF($AD$6:$AD2006,"保留中"),"")</f>
        <v/>
      </c>
      <c r="AN2006" s="14">
        <f>IF($AO2006="","",IF(SUMPRODUCT(MAX((職員マスタ!$A$6:$A$405=$B2006)*(((職員マスタ!$G$6:$G$405="")+(職員マスタ!$G$6:$G$405&lt;=EOMONTH($AO2006,0)))&gt;0)*(((職員マスタ!$H$6:$H$405="")+(職員マスタ!$H$6:$H$405&gt;=$AO2006))&gt;0)*(ROW(職員マスタ!$A$6:$A$405)-5)))&gt;0,SUMPRODUCT(MAX((職員マスタ!$A$6:$A$405=$B2006)*(((職員マスタ!$G$6:$G$405="")+(職員マスタ!$G$6:$G$405&lt;=EOMONTH($AO2006,0)))&gt;0)*(((職員マスタ!$H$6:$H$405="")+(職員マスタ!$H$6:$H$405&gt;=$AO2006))&gt;0)*(ROW(職員マスタ!$A$6:$A$405)-5))),IFERROR(MATCH($B2006,職員マスタ!$A$6:$A$405,0),"")))</f>
        <v/>
      </c>
      <c r="AO2006" s="16">
        <f>IF(OR($B2006="",$C2006="",$D2006=""),"",DATE($C2006+2018,$D2006,1))</f>
        <v/>
      </c>
    </row>
    <row r="2007">
      <c r="A2007" s="11" t="n"/>
      <c r="B2007" s="12" t="n"/>
      <c r="C2007" s="12" t="n"/>
      <c r="D2007" s="12" t="n"/>
      <c r="E2007" s="13" t="n"/>
      <c r="F2007" s="12" t="n"/>
      <c r="G2007" s="13" t="n"/>
      <c r="H2007" s="12" t="n"/>
      <c r="I2007" s="12" t="n"/>
      <c r="J2007" s="12" t="n"/>
      <c r="K2007" s="12" t="n"/>
      <c r="L2007" s="11" t="n"/>
      <c r="M2007" s="11" t="n"/>
      <c r="N2007" s="11" t="n"/>
      <c r="O2007" s="11" t="n"/>
      <c r="P2007" s="12" t="n"/>
      <c r="Q2007" s="11" t="n"/>
      <c r="R2007" s="12" t="n"/>
      <c r="S2007" s="11" t="n"/>
      <c r="T2007" s="12" t="n"/>
      <c r="U2007" s="12" t="n"/>
      <c r="V2007" s="14">
        <f>IF($AN2007="",IF($B2007="","",$H2007),IF(INDEX(職員マスタ!$B$6:$B$405,$AN2007)="",$H2007,INDEX(職員マスタ!$B$6:$B$405,$AN2007)))</f>
        <v/>
      </c>
      <c r="W2007" s="14">
        <f>IF($AN2007="",IF($B2007="","",$R2007),IF(INDEX(職員マスタ!$C$6:$C$405,$AN2007)="",$R2007,INDEX(職員マスタ!$C$6:$C$405,$AN2007)))</f>
        <v/>
      </c>
      <c r="X2007" s="14">
        <f>IF($AO2007="","","R"&amp;$C2007&amp;"."&amp;$D2007)</f>
        <v/>
      </c>
      <c r="Y2007" s="15">
        <f>IF($AN2007="","",IF(INDEX(職員マスタ!$K$6:$K$405,$AN2007)="","",INDEX(職員マスタ!$K$6:$K$405,$AN2007)))</f>
        <v/>
      </c>
      <c r="Z2007" s="14">
        <f>IF(OR($E2007="",$Y2007=""),"",IF($E2007&gt;=$Y2007,"×",IF($E2007&gt;=$Y2007*設定!$C$5,"△","○")))</f>
        <v/>
      </c>
      <c r="AA2007" s="15">
        <f>IF($Z2007="","",IF($Z2007="×",0,IF($Z2007="○",ROUNDDOWN($E2007*設定!$C$4,0),ROUNDDOWN($E2007*ROUND((9*$Y2007-9*$E2007)/(10*$E2007),4),0))))</f>
        <v/>
      </c>
      <c r="AB2007" s="13" t="n"/>
      <c r="AC2007" s="15">
        <f>IF($B2007="","",IF($AB2007&lt;&gt;"",$AB2007,IF($AA2007="","",IF($AA2007&lt;=設定!$C$3,0,$AA2007))))</f>
        <v/>
      </c>
      <c r="AD2007" s="14">
        <f>IF($B2007="","",IF(AND($AE2007&lt;&gt;"",$AG2007="",$AJ2007=""),"保留中",IF($AJ2007&lt;&gt;"",IF(N($AC2007)&gt;0,"支給済","不支給"),IF($AC2007="","要確認",IF($AC2007=0,"不支給","未処理")))))</f>
        <v/>
      </c>
      <c r="AE2007" s="12" t="n"/>
      <c r="AF2007" s="11" t="n"/>
      <c r="AG2007" s="11" t="n"/>
      <c r="AH2007" s="11" t="n"/>
      <c r="AI2007" s="14">
        <f>IF(AND($AD2007="保留中",$AF2007&lt;&gt;""),TODAY()-$AF2007,"")</f>
        <v/>
      </c>
      <c r="AJ2007" s="12" t="n"/>
      <c r="AK2007" s="14">
        <f>IF($B2007="","",IF($AO2007="","対象年月が未入力／","")&amp;IF($B2007="","",IF($AN2007="","職員マスタに未登録の職員番号／",IF($Y2007="","標準報酬月額が未登録／","")&amp;IF(AND($AO2007&lt;&gt;"",OR(AND(INDEX(職員マスタ!$G$6:$G$405,$AN2007)&lt;&gt;"",INDEX(職員マスタ!$G$6:$G$405,$AN2007)&gt;EOMONTH($AO2007,0)),AND(INDEX(職員マスタ!$H$6:$H$405,$AN2007)&lt;&gt;"",INDEX(職員マスタ!$H$6:$H$405,$AN2007)&lt;$AO2007))),"対象月が時短期間外／","")&amp;IF(AND(INDEX(職員マスタ!$F$6:$F$405,$AN2007)&lt;&gt;"",$AO2007&lt;&gt;"",INDEX(職員マスタ!$F$6:$F$405,$AN2007)&lt;$AO2007),"対象月に子が2歳到達済／","")&amp;IF(AND($H2007&lt;&gt;"",INDEX(職員マスタ!$B$6:$B$405,$AN2007)&lt;&gt;"",SUBSTITUTE(SUBSTITUTE($H2007," ","")," ","")&lt;&gt;SUBSTITUTE(SUBSTITUTE(INDEX(職員マスタ!$B$6:$B$405,$AN2007)," ","")," ","")),"氏名がマスタと相違／","")&amp;IF(AND($Q2007&lt;&gt;"",INDEX(職員マスタ!$E$6:$E$405,$AN2007)&lt;&gt;"",$Q2007&lt;&gt;INDEX(職員マスタ!$E$6:$E$405,$AN2007)),"子の生年月日がマスタと相違／","")&amp;IF(AND($L2007&lt;&gt;"",INDEX(職員マスタ!$G$6:$G$405,$AN2007)&lt;&gt;"",$L2007&lt;&gt;INDEX(職員マスタ!$G$6:$G$405,$AN2007)),"時短開始日がマスタと相違／","")&amp;IF(AND($M2007&lt;&gt;"",INDEX(職員マスタ!$H$6:$H$405,$AN2007)&lt;&gt;"",$M2007&lt;&gt;INDEX(職員マスタ!$H$6:$H$405,$AN2007)),"時短終了日がマスタと相違／","")))&amp;IF(AND($B2007&lt;&gt;"",$E2007=""),"報酬額が未入力／","")&amp;IF(N($U2007)&gt;0,"申請書に入力エラーが残っています／","")&amp;IF(AND($B2007&lt;&gt;"",$AO2007&lt;&gt;""),IF(COUNTIFS($B$6:$B$3005,$B2007,$C$6:$C$3005,$C2007,$D$6:$D$3005,$D2007)&gt;1,"同じ月の請求が重複しています／",""),"")&amp;IF(AND(N($E2007)&gt;0,$Z2007&lt;&gt;"",$Z2007&lt;&gt;"×",$AC2007=0,$AB2007=""),"計算額が下限以下のため不支給／",""))</f>
        <v/>
      </c>
      <c r="AL2007" s="12" t="n"/>
      <c r="AM2007" s="14">
        <f>IF($AD2007="保留中",COUNTIF($AD$6:$AD2007,"保留中"),"")</f>
        <v/>
      </c>
      <c r="AN2007" s="14">
        <f>IF($AO2007="","",IF(SUMPRODUCT(MAX((職員マスタ!$A$6:$A$405=$B2007)*(((職員マスタ!$G$6:$G$405="")+(職員マスタ!$G$6:$G$405&lt;=EOMONTH($AO2007,0)))&gt;0)*(((職員マスタ!$H$6:$H$405="")+(職員マスタ!$H$6:$H$405&gt;=$AO2007))&gt;0)*(ROW(職員マスタ!$A$6:$A$405)-5)))&gt;0,SUMPRODUCT(MAX((職員マスタ!$A$6:$A$405=$B2007)*(((職員マスタ!$G$6:$G$405="")+(職員マスタ!$G$6:$G$405&lt;=EOMONTH($AO2007,0)))&gt;0)*(((職員マスタ!$H$6:$H$405="")+(職員マスタ!$H$6:$H$405&gt;=$AO2007))&gt;0)*(ROW(職員マスタ!$A$6:$A$405)-5))),IFERROR(MATCH($B2007,職員マスタ!$A$6:$A$405,0),"")))</f>
        <v/>
      </c>
      <c r="AO2007" s="16">
        <f>IF(OR($B2007="",$C2007="",$D2007=""),"",DATE($C2007+2018,$D2007,1))</f>
        <v/>
      </c>
    </row>
    <row r="2008">
      <c r="A2008" s="11" t="n"/>
      <c r="B2008" s="12" t="n"/>
      <c r="C2008" s="12" t="n"/>
      <c r="D2008" s="12" t="n"/>
      <c r="E2008" s="13" t="n"/>
      <c r="F2008" s="12" t="n"/>
      <c r="G2008" s="13" t="n"/>
      <c r="H2008" s="12" t="n"/>
      <c r="I2008" s="12" t="n"/>
      <c r="J2008" s="12" t="n"/>
      <c r="K2008" s="12" t="n"/>
      <c r="L2008" s="11" t="n"/>
      <c r="M2008" s="11" t="n"/>
      <c r="N2008" s="11" t="n"/>
      <c r="O2008" s="11" t="n"/>
      <c r="P2008" s="12" t="n"/>
      <c r="Q2008" s="11" t="n"/>
      <c r="R2008" s="12" t="n"/>
      <c r="S2008" s="11" t="n"/>
      <c r="T2008" s="12" t="n"/>
      <c r="U2008" s="12" t="n"/>
      <c r="V2008" s="14">
        <f>IF($AN2008="",IF($B2008="","",$H2008),IF(INDEX(職員マスタ!$B$6:$B$405,$AN2008)="",$H2008,INDEX(職員マスタ!$B$6:$B$405,$AN2008)))</f>
        <v/>
      </c>
      <c r="W2008" s="14">
        <f>IF($AN2008="",IF($B2008="","",$R2008),IF(INDEX(職員マスタ!$C$6:$C$405,$AN2008)="",$R2008,INDEX(職員マスタ!$C$6:$C$405,$AN2008)))</f>
        <v/>
      </c>
      <c r="X2008" s="14">
        <f>IF($AO2008="","","R"&amp;$C2008&amp;"."&amp;$D2008)</f>
        <v/>
      </c>
      <c r="Y2008" s="15">
        <f>IF($AN2008="","",IF(INDEX(職員マスタ!$K$6:$K$405,$AN2008)="","",INDEX(職員マスタ!$K$6:$K$405,$AN2008)))</f>
        <v/>
      </c>
      <c r="Z2008" s="14">
        <f>IF(OR($E2008="",$Y2008=""),"",IF($E2008&gt;=$Y2008,"×",IF($E2008&gt;=$Y2008*設定!$C$5,"△","○")))</f>
        <v/>
      </c>
      <c r="AA2008" s="15">
        <f>IF($Z2008="","",IF($Z2008="×",0,IF($Z2008="○",ROUNDDOWN($E2008*設定!$C$4,0),ROUNDDOWN($E2008*ROUND((9*$Y2008-9*$E2008)/(10*$E2008),4),0))))</f>
        <v/>
      </c>
      <c r="AB2008" s="13" t="n"/>
      <c r="AC2008" s="15">
        <f>IF($B2008="","",IF($AB2008&lt;&gt;"",$AB2008,IF($AA2008="","",IF($AA2008&lt;=設定!$C$3,0,$AA2008))))</f>
        <v/>
      </c>
      <c r="AD2008" s="14">
        <f>IF($B2008="","",IF(AND($AE2008&lt;&gt;"",$AG2008="",$AJ2008=""),"保留中",IF($AJ2008&lt;&gt;"",IF(N($AC2008)&gt;0,"支給済","不支給"),IF($AC2008="","要確認",IF($AC2008=0,"不支給","未処理")))))</f>
        <v/>
      </c>
      <c r="AE2008" s="12" t="n"/>
      <c r="AF2008" s="11" t="n"/>
      <c r="AG2008" s="11" t="n"/>
      <c r="AH2008" s="11" t="n"/>
      <c r="AI2008" s="14">
        <f>IF(AND($AD2008="保留中",$AF2008&lt;&gt;""),TODAY()-$AF2008,"")</f>
        <v/>
      </c>
      <c r="AJ2008" s="12" t="n"/>
      <c r="AK2008" s="14">
        <f>IF($B2008="","",IF($AO2008="","対象年月が未入力／","")&amp;IF($B2008="","",IF($AN2008="","職員マスタに未登録の職員番号／",IF($Y2008="","標準報酬月額が未登録／","")&amp;IF(AND($AO2008&lt;&gt;"",OR(AND(INDEX(職員マスタ!$G$6:$G$405,$AN2008)&lt;&gt;"",INDEX(職員マスタ!$G$6:$G$405,$AN2008)&gt;EOMONTH($AO2008,0)),AND(INDEX(職員マスタ!$H$6:$H$405,$AN2008)&lt;&gt;"",INDEX(職員マスタ!$H$6:$H$405,$AN2008)&lt;$AO2008))),"対象月が時短期間外／","")&amp;IF(AND(INDEX(職員マスタ!$F$6:$F$405,$AN2008)&lt;&gt;"",$AO2008&lt;&gt;"",INDEX(職員マスタ!$F$6:$F$405,$AN2008)&lt;$AO2008),"対象月に子が2歳到達済／","")&amp;IF(AND($H2008&lt;&gt;"",INDEX(職員マスタ!$B$6:$B$405,$AN2008)&lt;&gt;"",SUBSTITUTE(SUBSTITUTE($H2008," ","")," ","")&lt;&gt;SUBSTITUTE(SUBSTITUTE(INDEX(職員マスタ!$B$6:$B$405,$AN2008)," ","")," ","")),"氏名がマスタと相違／","")&amp;IF(AND($Q2008&lt;&gt;"",INDEX(職員マスタ!$E$6:$E$405,$AN2008)&lt;&gt;"",$Q2008&lt;&gt;INDEX(職員マスタ!$E$6:$E$405,$AN2008)),"子の生年月日がマスタと相違／","")&amp;IF(AND($L2008&lt;&gt;"",INDEX(職員マスタ!$G$6:$G$405,$AN2008)&lt;&gt;"",$L2008&lt;&gt;INDEX(職員マスタ!$G$6:$G$405,$AN2008)),"時短開始日がマスタと相違／","")&amp;IF(AND($M2008&lt;&gt;"",INDEX(職員マスタ!$H$6:$H$405,$AN2008)&lt;&gt;"",$M2008&lt;&gt;INDEX(職員マスタ!$H$6:$H$405,$AN2008)),"時短終了日がマスタと相違／","")))&amp;IF(AND($B2008&lt;&gt;"",$E2008=""),"報酬額が未入力／","")&amp;IF(N($U2008)&gt;0,"申請書に入力エラーが残っています／","")&amp;IF(AND($B2008&lt;&gt;"",$AO2008&lt;&gt;""),IF(COUNTIFS($B$6:$B$3005,$B2008,$C$6:$C$3005,$C2008,$D$6:$D$3005,$D2008)&gt;1,"同じ月の請求が重複しています／",""),"")&amp;IF(AND(N($E2008)&gt;0,$Z2008&lt;&gt;"",$Z2008&lt;&gt;"×",$AC2008=0,$AB2008=""),"計算額が下限以下のため不支給／",""))</f>
        <v/>
      </c>
      <c r="AL2008" s="12" t="n"/>
      <c r="AM2008" s="14">
        <f>IF($AD2008="保留中",COUNTIF($AD$6:$AD2008,"保留中"),"")</f>
        <v/>
      </c>
      <c r="AN2008" s="14">
        <f>IF($AO2008="","",IF(SUMPRODUCT(MAX((職員マスタ!$A$6:$A$405=$B2008)*(((職員マスタ!$G$6:$G$405="")+(職員マスタ!$G$6:$G$405&lt;=EOMONTH($AO2008,0)))&gt;0)*(((職員マスタ!$H$6:$H$405="")+(職員マスタ!$H$6:$H$405&gt;=$AO2008))&gt;0)*(ROW(職員マスタ!$A$6:$A$405)-5)))&gt;0,SUMPRODUCT(MAX((職員マスタ!$A$6:$A$405=$B2008)*(((職員マスタ!$G$6:$G$405="")+(職員マスタ!$G$6:$G$405&lt;=EOMONTH($AO2008,0)))&gt;0)*(((職員マスタ!$H$6:$H$405="")+(職員マスタ!$H$6:$H$405&gt;=$AO2008))&gt;0)*(ROW(職員マスタ!$A$6:$A$405)-5))),IFERROR(MATCH($B2008,職員マスタ!$A$6:$A$405,0),"")))</f>
        <v/>
      </c>
      <c r="AO2008" s="16">
        <f>IF(OR($B2008="",$C2008="",$D2008=""),"",DATE($C2008+2018,$D2008,1))</f>
        <v/>
      </c>
    </row>
    <row r="2009">
      <c r="A2009" s="11" t="n"/>
      <c r="B2009" s="12" t="n"/>
      <c r="C2009" s="12" t="n"/>
      <c r="D2009" s="12" t="n"/>
      <c r="E2009" s="13" t="n"/>
      <c r="F2009" s="12" t="n"/>
      <c r="G2009" s="13" t="n"/>
      <c r="H2009" s="12" t="n"/>
      <c r="I2009" s="12" t="n"/>
      <c r="J2009" s="12" t="n"/>
      <c r="K2009" s="12" t="n"/>
      <c r="L2009" s="11" t="n"/>
      <c r="M2009" s="11" t="n"/>
      <c r="N2009" s="11" t="n"/>
      <c r="O2009" s="11" t="n"/>
      <c r="P2009" s="12" t="n"/>
      <c r="Q2009" s="11" t="n"/>
      <c r="R2009" s="12" t="n"/>
      <c r="S2009" s="11" t="n"/>
      <c r="T2009" s="12" t="n"/>
      <c r="U2009" s="12" t="n"/>
      <c r="V2009" s="14">
        <f>IF($AN2009="",IF($B2009="","",$H2009),IF(INDEX(職員マスタ!$B$6:$B$405,$AN2009)="",$H2009,INDEX(職員マスタ!$B$6:$B$405,$AN2009)))</f>
        <v/>
      </c>
      <c r="W2009" s="14">
        <f>IF($AN2009="",IF($B2009="","",$R2009),IF(INDEX(職員マスタ!$C$6:$C$405,$AN2009)="",$R2009,INDEX(職員マスタ!$C$6:$C$405,$AN2009)))</f>
        <v/>
      </c>
      <c r="X2009" s="14">
        <f>IF($AO2009="","","R"&amp;$C2009&amp;"."&amp;$D2009)</f>
        <v/>
      </c>
      <c r="Y2009" s="15">
        <f>IF($AN2009="","",IF(INDEX(職員マスタ!$K$6:$K$405,$AN2009)="","",INDEX(職員マスタ!$K$6:$K$405,$AN2009)))</f>
        <v/>
      </c>
      <c r="Z2009" s="14">
        <f>IF(OR($E2009="",$Y2009=""),"",IF($E2009&gt;=$Y2009,"×",IF($E2009&gt;=$Y2009*設定!$C$5,"△","○")))</f>
        <v/>
      </c>
      <c r="AA2009" s="15">
        <f>IF($Z2009="","",IF($Z2009="×",0,IF($Z2009="○",ROUNDDOWN($E2009*設定!$C$4,0),ROUNDDOWN($E2009*ROUND((9*$Y2009-9*$E2009)/(10*$E2009),4),0))))</f>
        <v/>
      </c>
      <c r="AB2009" s="13" t="n"/>
      <c r="AC2009" s="15">
        <f>IF($B2009="","",IF($AB2009&lt;&gt;"",$AB2009,IF($AA2009="","",IF($AA2009&lt;=設定!$C$3,0,$AA2009))))</f>
        <v/>
      </c>
      <c r="AD2009" s="14">
        <f>IF($B2009="","",IF(AND($AE2009&lt;&gt;"",$AG2009="",$AJ2009=""),"保留中",IF($AJ2009&lt;&gt;"",IF(N($AC2009)&gt;0,"支給済","不支給"),IF($AC2009="","要確認",IF($AC2009=0,"不支給","未処理")))))</f>
        <v/>
      </c>
      <c r="AE2009" s="12" t="n"/>
      <c r="AF2009" s="11" t="n"/>
      <c r="AG2009" s="11" t="n"/>
      <c r="AH2009" s="11" t="n"/>
      <c r="AI2009" s="14">
        <f>IF(AND($AD2009="保留中",$AF2009&lt;&gt;""),TODAY()-$AF2009,"")</f>
        <v/>
      </c>
      <c r="AJ2009" s="12" t="n"/>
      <c r="AK2009" s="14">
        <f>IF($B2009="","",IF($AO2009="","対象年月が未入力／","")&amp;IF($B2009="","",IF($AN2009="","職員マスタに未登録の職員番号／",IF($Y2009="","標準報酬月額が未登録／","")&amp;IF(AND($AO2009&lt;&gt;"",OR(AND(INDEX(職員マスタ!$G$6:$G$405,$AN2009)&lt;&gt;"",INDEX(職員マスタ!$G$6:$G$405,$AN2009)&gt;EOMONTH($AO2009,0)),AND(INDEX(職員マスタ!$H$6:$H$405,$AN2009)&lt;&gt;"",INDEX(職員マスタ!$H$6:$H$405,$AN2009)&lt;$AO2009))),"対象月が時短期間外／","")&amp;IF(AND(INDEX(職員マスタ!$F$6:$F$405,$AN2009)&lt;&gt;"",$AO2009&lt;&gt;"",INDEX(職員マスタ!$F$6:$F$405,$AN2009)&lt;$AO2009),"対象月に子が2歳到達済／","")&amp;IF(AND($H2009&lt;&gt;"",INDEX(職員マスタ!$B$6:$B$405,$AN2009)&lt;&gt;"",SUBSTITUTE(SUBSTITUTE($H2009," ","")," ","")&lt;&gt;SUBSTITUTE(SUBSTITUTE(INDEX(職員マスタ!$B$6:$B$405,$AN2009)," ","")," ","")),"氏名がマスタと相違／","")&amp;IF(AND($Q2009&lt;&gt;"",INDEX(職員マスタ!$E$6:$E$405,$AN2009)&lt;&gt;"",$Q2009&lt;&gt;INDEX(職員マスタ!$E$6:$E$405,$AN2009)),"子の生年月日がマスタと相違／","")&amp;IF(AND($L2009&lt;&gt;"",INDEX(職員マスタ!$G$6:$G$405,$AN2009)&lt;&gt;"",$L2009&lt;&gt;INDEX(職員マスタ!$G$6:$G$405,$AN2009)),"時短開始日がマスタと相違／","")&amp;IF(AND($M2009&lt;&gt;"",INDEX(職員マスタ!$H$6:$H$405,$AN2009)&lt;&gt;"",$M2009&lt;&gt;INDEX(職員マスタ!$H$6:$H$405,$AN2009)),"時短終了日がマスタと相違／","")))&amp;IF(AND($B2009&lt;&gt;"",$E2009=""),"報酬額が未入力／","")&amp;IF(N($U2009)&gt;0,"申請書に入力エラーが残っています／","")&amp;IF(AND($B2009&lt;&gt;"",$AO2009&lt;&gt;""),IF(COUNTIFS($B$6:$B$3005,$B2009,$C$6:$C$3005,$C2009,$D$6:$D$3005,$D2009)&gt;1,"同じ月の請求が重複しています／",""),"")&amp;IF(AND(N($E2009)&gt;0,$Z2009&lt;&gt;"",$Z2009&lt;&gt;"×",$AC2009=0,$AB2009=""),"計算額が下限以下のため不支給／",""))</f>
        <v/>
      </c>
      <c r="AL2009" s="12" t="n"/>
      <c r="AM2009" s="14">
        <f>IF($AD2009="保留中",COUNTIF($AD$6:$AD2009,"保留中"),"")</f>
        <v/>
      </c>
      <c r="AN2009" s="14">
        <f>IF($AO2009="","",IF(SUMPRODUCT(MAX((職員マスタ!$A$6:$A$405=$B2009)*(((職員マスタ!$G$6:$G$405="")+(職員マスタ!$G$6:$G$405&lt;=EOMONTH($AO2009,0)))&gt;0)*(((職員マスタ!$H$6:$H$405="")+(職員マスタ!$H$6:$H$405&gt;=$AO2009))&gt;0)*(ROW(職員マスタ!$A$6:$A$405)-5)))&gt;0,SUMPRODUCT(MAX((職員マスタ!$A$6:$A$405=$B2009)*(((職員マスタ!$G$6:$G$405="")+(職員マスタ!$G$6:$G$405&lt;=EOMONTH($AO2009,0)))&gt;0)*(((職員マスタ!$H$6:$H$405="")+(職員マスタ!$H$6:$H$405&gt;=$AO2009))&gt;0)*(ROW(職員マスタ!$A$6:$A$405)-5))),IFERROR(MATCH($B2009,職員マスタ!$A$6:$A$405,0),"")))</f>
        <v/>
      </c>
      <c r="AO2009" s="16">
        <f>IF(OR($B2009="",$C2009="",$D2009=""),"",DATE($C2009+2018,$D2009,1))</f>
        <v/>
      </c>
    </row>
    <row r="2010">
      <c r="A2010" s="11" t="n"/>
      <c r="B2010" s="12" t="n"/>
      <c r="C2010" s="12" t="n"/>
      <c r="D2010" s="12" t="n"/>
      <c r="E2010" s="13" t="n"/>
      <c r="F2010" s="12" t="n"/>
      <c r="G2010" s="13" t="n"/>
      <c r="H2010" s="12" t="n"/>
      <c r="I2010" s="12" t="n"/>
      <c r="J2010" s="12" t="n"/>
      <c r="K2010" s="12" t="n"/>
      <c r="L2010" s="11" t="n"/>
      <c r="M2010" s="11" t="n"/>
      <c r="N2010" s="11" t="n"/>
      <c r="O2010" s="11" t="n"/>
      <c r="P2010" s="12" t="n"/>
      <c r="Q2010" s="11" t="n"/>
      <c r="R2010" s="12" t="n"/>
      <c r="S2010" s="11" t="n"/>
      <c r="T2010" s="12" t="n"/>
      <c r="U2010" s="12" t="n"/>
      <c r="V2010" s="14">
        <f>IF($AN2010="",IF($B2010="","",$H2010),IF(INDEX(職員マスタ!$B$6:$B$405,$AN2010)="",$H2010,INDEX(職員マスタ!$B$6:$B$405,$AN2010)))</f>
        <v/>
      </c>
      <c r="W2010" s="14">
        <f>IF($AN2010="",IF($B2010="","",$R2010),IF(INDEX(職員マスタ!$C$6:$C$405,$AN2010)="",$R2010,INDEX(職員マスタ!$C$6:$C$405,$AN2010)))</f>
        <v/>
      </c>
      <c r="X2010" s="14">
        <f>IF($AO2010="","","R"&amp;$C2010&amp;"."&amp;$D2010)</f>
        <v/>
      </c>
      <c r="Y2010" s="15">
        <f>IF($AN2010="","",IF(INDEX(職員マスタ!$K$6:$K$405,$AN2010)="","",INDEX(職員マスタ!$K$6:$K$405,$AN2010)))</f>
        <v/>
      </c>
      <c r="Z2010" s="14">
        <f>IF(OR($E2010="",$Y2010=""),"",IF($E2010&gt;=$Y2010,"×",IF($E2010&gt;=$Y2010*設定!$C$5,"△","○")))</f>
        <v/>
      </c>
      <c r="AA2010" s="15">
        <f>IF($Z2010="","",IF($Z2010="×",0,IF($Z2010="○",ROUNDDOWN($E2010*設定!$C$4,0),ROUNDDOWN($E2010*ROUND((9*$Y2010-9*$E2010)/(10*$E2010),4),0))))</f>
        <v/>
      </c>
      <c r="AB2010" s="13" t="n"/>
      <c r="AC2010" s="15">
        <f>IF($B2010="","",IF($AB2010&lt;&gt;"",$AB2010,IF($AA2010="","",IF($AA2010&lt;=設定!$C$3,0,$AA2010))))</f>
        <v/>
      </c>
      <c r="AD2010" s="14">
        <f>IF($B2010="","",IF(AND($AE2010&lt;&gt;"",$AG2010="",$AJ2010=""),"保留中",IF($AJ2010&lt;&gt;"",IF(N($AC2010)&gt;0,"支給済","不支給"),IF($AC2010="","要確認",IF($AC2010=0,"不支給","未処理")))))</f>
        <v/>
      </c>
      <c r="AE2010" s="12" t="n"/>
      <c r="AF2010" s="11" t="n"/>
      <c r="AG2010" s="11" t="n"/>
      <c r="AH2010" s="11" t="n"/>
      <c r="AI2010" s="14">
        <f>IF(AND($AD2010="保留中",$AF2010&lt;&gt;""),TODAY()-$AF2010,"")</f>
        <v/>
      </c>
      <c r="AJ2010" s="12" t="n"/>
      <c r="AK2010" s="14">
        <f>IF($B2010="","",IF($AO2010="","対象年月が未入力／","")&amp;IF($B2010="","",IF($AN2010="","職員マスタに未登録の職員番号／",IF($Y2010="","標準報酬月額が未登録／","")&amp;IF(AND($AO2010&lt;&gt;"",OR(AND(INDEX(職員マスタ!$G$6:$G$405,$AN2010)&lt;&gt;"",INDEX(職員マスタ!$G$6:$G$405,$AN2010)&gt;EOMONTH($AO2010,0)),AND(INDEX(職員マスタ!$H$6:$H$405,$AN2010)&lt;&gt;"",INDEX(職員マスタ!$H$6:$H$405,$AN2010)&lt;$AO2010))),"対象月が時短期間外／","")&amp;IF(AND(INDEX(職員マスタ!$F$6:$F$405,$AN2010)&lt;&gt;"",$AO2010&lt;&gt;"",INDEX(職員マスタ!$F$6:$F$405,$AN2010)&lt;$AO2010),"対象月に子が2歳到達済／","")&amp;IF(AND($H2010&lt;&gt;"",INDEX(職員マスタ!$B$6:$B$405,$AN2010)&lt;&gt;"",SUBSTITUTE(SUBSTITUTE($H2010," ","")," ","")&lt;&gt;SUBSTITUTE(SUBSTITUTE(INDEX(職員マスタ!$B$6:$B$405,$AN2010)," ","")," ","")),"氏名がマスタと相違／","")&amp;IF(AND($Q2010&lt;&gt;"",INDEX(職員マスタ!$E$6:$E$405,$AN2010)&lt;&gt;"",$Q2010&lt;&gt;INDEX(職員マスタ!$E$6:$E$405,$AN2010)),"子の生年月日がマスタと相違／","")&amp;IF(AND($L2010&lt;&gt;"",INDEX(職員マスタ!$G$6:$G$405,$AN2010)&lt;&gt;"",$L2010&lt;&gt;INDEX(職員マスタ!$G$6:$G$405,$AN2010)),"時短開始日がマスタと相違／","")&amp;IF(AND($M2010&lt;&gt;"",INDEX(職員マスタ!$H$6:$H$405,$AN2010)&lt;&gt;"",$M2010&lt;&gt;INDEX(職員マスタ!$H$6:$H$405,$AN2010)),"時短終了日がマスタと相違／","")))&amp;IF(AND($B2010&lt;&gt;"",$E2010=""),"報酬額が未入力／","")&amp;IF(N($U2010)&gt;0,"申請書に入力エラーが残っています／","")&amp;IF(AND($B2010&lt;&gt;"",$AO2010&lt;&gt;""),IF(COUNTIFS($B$6:$B$3005,$B2010,$C$6:$C$3005,$C2010,$D$6:$D$3005,$D2010)&gt;1,"同じ月の請求が重複しています／",""),"")&amp;IF(AND(N($E2010)&gt;0,$Z2010&lt;&gt;"",$Z2010&lt;&gt;"×",$AC2010=0,$AB2010=""),"計算額が下限以下のため不支給／",""))</f>
        <v/>
      </c>
      <c r="AL2010" s="12" t="n"/>
      <c r="AM2010" s="14">
        <f>IF($AD2010="保留中",COUNTIF($AD$6:$AD2010,"保留中"),"")</f>
        <v/>
      </c>
      <c r="AN2010" s="14">
        <f>IF($AO2010="","",IF(SUMPRODUCT(MAX((職員マスタ!$A$6:$A$405=$B2010)*(((職員マスタ!$G$6:$G$405="")+(職員マスタ!$G$6:$G$405&lt;=EOMONTH($AO2010,0)))&gt;0)*(((職員マスタ!$H$6:$H$405="")+(職員マスタ!$H$6:$H$405&gt;=$AO2010))&gt;0)*(ROW(職員マスタ!$A$6:$A$405)-5)))&gt;0,SUMPRODUCT(MAX((職員マスタ!$A$6:$A$405=$B2010)*(((職員マスタ!$G$6:$G$405="")+(職員マスタ!$G$6:$G$405&lt;=EOMONTH($AO2010,0)))&gt;0)*(((職員マスタ!$H$6:$H$405="")+(職員マスタ!$H$6:$H$405&gt;=$AO2010))&gt;0)*(ROW(職員マスタ!$A$6:$A$405)-5))),IFERROR(MATCH($B2010,職員マスタ!$A$6:$A$405,0),"")))</f>
        <v/>
      </c>
      <c r="AO2010" s="16">
        <f>IF(OR($B2010="",$C2010="",$D2010=""),"",DATE($C2010+2018,$D2010,1))</f>
        <v/>
      </c>
    </row>
    <row r="2011">
      <c r="A2011" s="11" t="n"/>
      <c r="B2011" s="12" t="n"/>
      <c r="C2011" s="12" t="n"/>
      <c r="D2011" s="12" t="n"/>
      <c r="E2011" s="13" t="n"/>
      <c r="F2011" s="12" t="n"/>
      <c r="G2011" s="13" t="n"/>
      <c r="H2011" s="12" t="n"/>
      <c r="I2011" s="12" t="n"/>
      <c r="J2011" s="12" t="n"/>
      <c r="K2011" s="12" t="n"/>
      <c r="L2011" s="11" t="n"/>
      <c r="M2011" s="11" t="n"/>
      <c r="N2011" s="11" t="n"/>
      <c r="O2011" s="11" t="n"/>
      <c r="P2011" s="12" t="n"/>
      <c r="Q2011" s="11" t="n"/>
      <c r="R2011" s="12" t="n"/>
      <c r="S2011" s="11" t="n"/>
      <c r="T2011" s="12" t="n"/>
      <c r="U2011" s="12" t="n"/>
      <c r="V2011" s="14">
        <f>IF($AN2011="",IF($B2011="","",$H2011),IF(INDEX(職員マスタ!$B$6:$B$405,$AN2011)="",$H2011,INDEX(職員マスタ!$B$6:$B$405,$AN2011)))</f>
        <v/>
      </c>
      <c r="W2011" s="14">
        <f>IF($AN2011="",IF($B2011="","",$R2011),IF(INDEX(職員マスタ!$C$6:$C$405,$AN2011)="",$R2011,INDEX(職員マスタ!$C$6:$C$405,$AN2011)))</f>
        <v/>
      </c>
      <c r="X2011" s="14">
        <f>IF($AO2011="","","R"&amp;$C2011&amp;"."&amp;$D2011)</f>
        <v/>
      </c>
      <c r="Y2011" s="15">
        <f>IF($AN2011="","",IF(INDEX(職員マスタ!$K$6:$K$405,$AN2011)="","",INDEX(職員マスタ!$K$6:$K$405,$AN2011)))</f>
        <v/>
      </c>
      <c r="Z2011" s="14">
        <f>IF(OR($E2011="",$Y2011=""),"",IF($E2011&gt;=$Y2011,"×",IF($E2011&gt;=$Y2011*設定!$C$5,"△","○")))</f>
        <v/>
      </c>
      <c r="AA2011" s="15">
        <f>IF($Z2011="","",IF($Z2011="×",0,IF($Z2011="○",ROUNDDOWN($E2011*設定!$C$4,0),ROUNDDOWN($E2011*ROUND((9*$Y2011-9*$E2011)/(10*$E2011),4),0))))</f>
        <v/>
      </c>
      <c r="AB2011" s="13" t="n"/>
      <c r="AC2011" s="15">
        <f>IF($B2011="","",IF($AB2011&lt;&gt;"",$AB2011,IF($AA2011="","",IF($AA2011&lt;=設定!$C$3,0,$AA2011))))</f>
        <v/>
      </c>
      <c r="AD2011" s="14">
        <f>IF($B2011="","",IF(AND($AE2011&lt;&gt;"",$AG2011="",$AJ2011=""),"保留中",IF($AJ2011&lt;&gt;"",IF(N($AC2011)&gt;0,"支給済","不支給"),IF($AC2011="","要確認",IF($AC2011=0,"不支給","未処理")))))</f>
        <v/>
      </c>
      <c r="AE2011" s="12" t="n"/>
      <c r="AF2011" s="11" t="n"/>
      <c r="AG2011" s="11" t="n"/>
      <c r="AH2011" s="11" t="n"/>
      <c r="AI2011" s="14">
        <f>IF(AND($AD2011="保留中",$AF2011&lt;&gt;""),TODAY()-$AF2011,"")</f>
        <v/>
      </c>
      <c r="AJ2011" s="12" t="n"/>
      <c r="AK2011" s="14">
        <f>IF($B2011="","",IF($AO2011="","対象年月が未入力／","")&amp;IF($B2011="","",IF($AN2011="","職員マスタに未登録の職員番号／",IF($Y2011="","標準報酬月額が未登録／","")&amp;IF(AND($AO2011&lt;&gt;"",OR(AND(INDEX(職員マスタ!$G$6:$G$405,$AN2011)&lt;&gt;"",INDEX(職員マスタ!$G$6:$G$405,$AN2011)&gt;EOMONTH($AO2011,0)),AND(INDEX(職員マスタ!$H$6:$H$405,$AN2011)&lt;&gt;"",INDEX(職員マスタ!$H$6:$H$405,$AN2011)&lt;$AO2011))),"対象月が時短期間外／","")&amp;IF(AND(INDEX(職員マスタ!$F$6:$F$405,$AN2011)&lt;&gt;"",$AO2011&lt;&gt;"",INDEX(職員マスタ!$F$6:$F$405,$AN2011)&lt;$AO2011),"対象月に子が2歳到達済／","")&amp;IF(AND($H2011&lt;&gt;"",INDEX(職員マスタ!$B$6:$B$405,$AN2011)&lt;&gt;"",SUBSTITUTE(SUBSTITUTE($H2011," ","")," ","")&lt;&gt;SUBSTITUTE(SUBSTITUTE(INDEX(職員マスタ!$B$6:$B$405,$AN2011)," ","")," ","")),"氏名がマスタと相違／","")&amp;IF(AND($Q2011&lt;&gt;"",INDEX(職員マスタ!$E$6:$E$405,$AN2011)&lt;&gt;"",$Q2011&lt;&gt;INDEX(職員マスタ!$E$6:$E$405,$AN2011)),"子の生年月日がマスタと相違／","")&amp;IF(AND($L2011&lt;&gt;"",INDEX(職員マスタ!$G$6:$G$405,$AN2011)&lt;&gt;"",$L2011&lt;&gt;INDEX(職員マスタ!$G$6:$G$405,$AN2011)),"時短開始日がマスタと相違／","")&amp;IF(AND($M2011&lt;&gt;"",INDEX(職員マスタ!$H$6:$H$405,$AN2011)&lt;&gt;"",$M2011&lt;&gt;INDEX(職員マスタ!$H$6:$H$405,$AN2011)),"時短終了日がマスタと相違／","")))&amp;IF(AND($B2011&lt;&gt;"",$E2011=""),"報酬額が未入力／","")&amp;IF(N($U2011)&gt;0,"申請書に入力エラーが残っています／","")&amp;IF(AND($B2011&lt;&gt;"",$AO2011&lt;&gt;""),IF(COUNTIFS($B$6:$B$3005,$B2011,$C$6:$C$3005,$C2011,$D$6:$D$3005,$D2011)&gt;1,"同じ月の請求が重複しています／",""),"")&amp;IF(AND(N($E2011)&gt;0,$Z2011&lt;&gt;"",$Z2011&lt;&gt;"×",$AC2011=0,$AB2011=""),"計算額が下限以下のため不支給／",""))</f>
        <v/>
      </c>
      <c r="AL2011" s="12" t="n"/>
      <c r="AM2011" s="14">
        <f>IF($AD2011="保留中",COUNTIF($AD$6:$AD2011,"保留中"),"")</f>
        <v/>
      </c>
      <c r="AN2011" s="14">
        <f>IF($AO2011="","",IF(SUMPRODUCT(MAX((職員マスタ!$A$6:$A$405=$B2011)*(((職員マスタ!$G$6:$G$405="")+(職員マスタ!$G$6:$G$405&lt;=EOMONTH($AO2011,0)))&gt;0)*(((職員マスタ!$H$6:$H$405="")+(職員マスタ!$H$6:$H$405&gt;=$AO2011))&gt;0)*(ROW(職員マスタ!$A$6:$A$405)-5)))&gt;0,SUMPRODUCT(MAX((職員マスタ!$A$6:$A$405=$B2011)*(((職員マスタ!$G$6:$G$405="")+(職員マスタ!$G$6:$G$405&lt;=EOMONTH($AO2011,0)))&gt;0)*(((職員マスタ!$H$6:$H$405="")+(職員マスタ!$H$6:$H$405&gt;=$AO2011))&gt;0)*(ROW(職員マスタ!$A$6:$A$405)-5))),IFERROR(MATCH($B2011,職員マスタ!$A$6:$A$405,0),"")))</f>
        <v/>
      </c>
      <c r="AO2011" s="16">
        <f>IF(OR($B2011="",$C2011="",$D2011=""),"",DATE($C2011+2018,$D2011,1))</f>
        <v/>
      </c>
    </row>
    <row r="2012">
      <c r="A2012" s="11" t="n"/>
      <c r="B2012" s="12" t="n"/>
      <c r="C2012" s="12" t="n"/>
      <c r="D2012" s="12" t="n"/>
      <c r="E2012" s="13" t="n"/>
      <c r="F2012" s="12" t="n"/>
      <c r="G2012" s="13" t="n"/>
      <c r="H2012" s="12" t="n"/>
      <c r="I2012" s="12" t="n"/>
      <c r="J2012" s="12" t="n"/>
      <c r="K2012" s="12" t="n"/>
      <c r="L2012" s="11" t="n"/>
      <c r="M2012" s="11" t="n"/>
      <c r="N2012" s="11" t="n"/>
      <c r="O2012" s="11" t="n"/>
      <c r="P2012" s="12" t="n"/>
      <c r="Q2012" s="11" t="n"/>
      <c r="R2012" s="12" t="n"/>
      <c r="S2012" s="11" t="n"/>
      <c r="T2012" s="12" t="n"/>
      <c r="U2012" s="12" t="n"/>
      <c r="V2012" s="14">
        <f>IF($AN2012="",IF($B2012="","",$H2012),IF(INDEX(職員マスタ!$B$6:$B$405,$AN2012)="",$H2012,INDEX(職員マスタ!$B$6:$B$405,$AN2012)))</f>
        <v/>
      </c>
      <c r="W2012" s="14">
        <f>IF($AN2012="",IF($B2012="","",$R2012),IF(INDEX(職員マスタ!$C$6:$C$405,$AN2012)="",$R2012,INDEX(職員マスタ!$C$6:$C$405,$AN2012)))</f>
        <v/>
      </c>
      <c r="X2012" s="14">
        <f>IF($AO2012="","","R"&amp;$C2012&amp;"."&amp;$D2012)</f>
        <v/>
      </c>
      <c r="Y2012" s="15">
        <f>IF($AN2012="","",IF(INDEX(職員マスタ!$K$6:$K$405,$AN2012)="","",INDEX(職員マスタ!$K$6:$K$405,$AN2012)))</f>
        <v/>
      </c>
      <c r="Z2012" s="14">
        <f>IF(OR($E2012="",$Y2012=""),"",IF($E2012&gt;=$Y2012,"×",IF($E2012&gt;=$Y2012*設定!$C$5,"△","○")))</f>
        <v/>
      </c>
      <c r="AA2012" s="15">
        <f>IF($Z2012="","",IF($Z2012="×",0,IF($Z2012="○",ROUNDDOWN($E2012*設定!$C$4,0),ROUNDDOWN($E2012*ROUND((9*$Y2012-9*$E2012)/(10*$E2012),4),0))))</f>
        <v/>
      </c>
      <c r="AB2012" s="13" t="n"/>
      <c r="AC2012" s="15">
        <f>IF($B2012="","",IF($AB2012&lt;&gt;"",$AB2012,IF($AA2012="","",IF($AA2012&lt;=設定!$C$3,0,$AA2012))))</f>
        <v/>
      </c>
      <c r="AD2012" s="14">
        <f>IF($B2012="","",IF(AND($AE2012&lt;&gt;"",$AG2012="",$AJ2012=""),"保留中",IF($AJ2012&lt;&gt;"",IF(N($AC2012)&gt;0,"支給済","不支給"),IF($AC2012="","要確認",IF($AC2012=0,"不支給","未処理")))))</f>
        <v/>
      </c>
      <c r="AE2012" s="12" t="n"/>
      <c r="AF2012" s="11" t="n"/>
      <c r="AG2012" s="11" t="n"/>
      <c r="AH2012" s="11" t="n"/>
      <c r="AI2012" s="14">
        <f>IF(AND($AD2012="保留中",$AF2012&lt;&gt;""),TODAY()-$AF2012,"")</f>
        <v/>
      </c>
      <c r="AJ2012" s="12" t="n"/>
      <c r="AK2012" s="14">
        <f>IF($B2012="","",IF($AO2012="","対象年月が未入力／","")&amp;IF($B2012="","",IF($AN2012="","職員マスタに未登録の職員番号／",IF($Y2012="","標準報酬月額が未登録／","")&amp;IF(AND($AO2012&lt;&gt;"",OR(AND(INDEX(職員マスタ!$G$6:$G$405,$AN2012)&lt;&gt;"",INDEX(職員マスタ!$G$6:$G$405,$AN2012)&gt;EOMONTH($AO2012,0)),AND(INDEX(職員マスタ!$H$6:$H$405,$AN2012)&lt;&gt;"",INDEX(職員マスタ!$H$6:$H$405,$AN2012)&lt;$AO2012))),"対象月が時短期間外／","")&amp;IF(AND(INDEX(職員マスタ!$F$6:$F$405,$AN2012)&lt;&gt;"",$AO2012&lt;&gt;"",INDEX(職員マスタ!$F$6:$F$405,$AN2012)&lt;$AO2012),"対象月に子が2歳到達済／","")&amp;IF(AND($H2012&lt;&gt;"",INDEX(職員マスタ!$B$6:$B$405,$AN2012)&lt;&gt;"",SUBSTITUTE(SUBSTITUTE($H2012," ","")," ","")&lt;&gt;SUBSTITUTE(SUBSTITUTE(INDEX(職員マスタ!$B$6:$B$405,$AN2012)," ","")," ","")),"氏名がマスタと相違／","")&amp;IF(AND($Q2012&lt;&gt;"",INDEX(職員マスタ!$E$6:$E$405,$AN2012)&lt;&gt;"",$Q2012&lt;&gt;INDEX(職員マスタ!$E$6:$E$405,$AN2012)),"子の生年月日がマスタと相違／","")&amp;IF(AND($L2012&lt;&gt;"",INDEX(職員マスタ!$G$6:$G$405,$AN2012)&lt;&gt;"",$L2012&lt;&gt;INDEX(職員マスタ!$G$6:$G$405,$AN2012)),"時短開始日がマスタと相違／","")&amp;IF(AND($M2012&lt;&gt;"",INDEX(職員マスタ!$H$6:$H$405,$AN2012)&lt;&gt;"",$M2012&lt;&gt;INDEX(職員マスタ!$H$6:$H$405,$AN2012)),"時短終了日がマスタと相違／","")))&amp;IF(AND($B2012&lt;&gt;"",$E2012=""),"報酬額が未入力／","")&amp;IF(N($U2012)&gt;0,"申請書に入力エラーが残っています／","")&amp;IF(AND($B2012&lt;&gt;"",$AO2012&lt;&gt;""),IF(COUNTIFS($B$6:$B$3005,$B2012,$C$6:$C$3005,$C2012,$D$6:$D$3005,$D2012)&gt;1,"同じ月の請求が重複しています／",""),"")&amp;IF(AND(N($E2012)&gt;0,$Z2012&lt;&gt;"",$Z2012&lt;&gt;"×",$AC2012=0,$AB2012=""),"計算額が下限以下のため不支給／",""))</f>
        <v/>
      </c>
      <c r="AL2012" s="12" t="n"/>
      <c r="AM2012" s="14">
        <f>IF($AD2012="保留中",COUNTIF($AD$6:$AD2012,"保留中"),"")</f>
        <v/>
      </c>
      <c r="AN2012" s="14">
        <f>IF($AO2012="","",IF(SUMPRODUCT(MAX((職員マスタ!$A$6:$A$405=$B2012)*(((職員マスタ!$G$6:$G$405="")+(職員マスタ!$G$6:$G$405&lt;=EOMONTH($AO2012,0)))&gt;0)*(((職員マスタ!$H$6:$H$405="")+(職員マスタ!$H$6:$H$405&gt;=$AO2012))&gt;0)*(ROW(職員マスタ!$A$6:$A$405)-5)))&gt;0,SUMPRODUCT(MAX((職員マスタ!$A$6:$A$405=$B2012)*(((職員マスタ!$G$6:$G$405="")+(職員マスタ!$G$6:$G$405&lt;=EOMONTH($AO2012,0)))&gt;0)*(((職員マスタ!$H$6:$H$405="")+(職員マスタ!$H$6:$H$405&gt;=$AO2012))&gt;0)*(ROW(職員マスタ!$A$6:$A$405)-5))),IFERROR(MATCH($B2012,職員マスタ!$A$6:$A$405,0),"")))</f>
        <v/>
      </c>
      <c r="AO2012" s="16">
        <f>IF(OR($B2012="",$C2012="",$D2012=""),"",DATE($C2012+2018,$D2012,1))</f>
        <v/>
      </c>
    </row>
    <row r="2013">
      <c r="A2013" s="11" t="n"/>
      <c r="B2013" s="12" t="n"/>
      <c r="C2013" s="12" t="n"/>
      <c r="D2013" s="12" t="n"/>
      <c r="E2013" s="13" t="n"/>
      <c r="F2013" s="12" t="n"/>
      <c r="G2013" s="13" t="n"/>
      <c r="H2013" s="12" t="n"/>
      <c r="I2013" s="12" t="n"/>
      <c r="J2013" s="12" t="n"/>
      <c r="K2013" s="12" t="n"/>
      <c r="L2013" s="11" t="n"/>
      <c r="M2013" s="11" t="n"/>
      <c r="N2013" s="11" t="n"/>
      <c r="O2013" s="11" t="n"/>
      <c r="P2013" s="12" t="n"/>
      <c r="Q2013" s="11" t="n"/>
      <c r="R2013" s="12" t="n"/>
      <c r="S2013" s="11" t="n"/>
      <c r="T2013" s="12" t="n"/>
      <c r="U2013" s="12" t="n"/>
      <c r="V2013" s="14">
        <f>IF($AN2013="",IF($B2013="","",$H2013),IF(INDEX(職員マスタ!$B$6:$B$405,$AN2013)="",$H2013,INDEX(職員マスタ!$B$6:$B$405,$AN2013)))</f>
        <v/>
      </c>
      <c r="W2013" s="14">
        <f>IF($AN2013="",IF($B2013="","",$R2013),IF(INDEX(職員マスタ!$C$6:$C$405,$AN2013)="",$R2013,INDEX(職員マスタ!$C$6:$C$405,$AN2013)))</f>
        <v/>
      </c>
      <c r="X2013" s="14">
        <f>IF($AO2013="","","R"&amp;$C2013&amp;"."&amp;$D2013)</f>
        <v/>
      </c>
      <c r="Y2013" s="15">
        <f>IF($AN2013="","",IF(INDEX(職員マスタ!$K$6:$K$405,$AN2013)="","",INDEX(職員マスタ!$K$6:$K$405,$AN2013)))</f>
        <v/>
      </c>
      <c r="Z2013" s="14">
        <f>IF(OR($E2013="",$Y2013=""),"",IF($E2013&gt;=$Y2013,"×",IF($E2013&gt;=$Y2013*設定!$C$5,"△","○")))</f>
        <v/>
      </c>
      <c r="AA2013" s="15">
        <f>IF($Z2013="","",IF($Z2013="×",0,IF($Z2013="○",ROUNDDOWN($E2013*設定!$C$4,0),ROUNDDOWN($E2013*ROUND((9*$Y2013-9*$E2013)/(10*$E2013),4),0))))</f>
        <v/>
      </c>
      <c r="AB2013" s="13" t="n"/>
      <c r="AC2013" s="15">
        <f>IF($B2013="","",IF($AB2013&lt;&gt;"",$AB2013,IF($AA2013="","",IF($AA2013&lt;=設定!$C$3,0,$AA2013))))</f>
        <v/>
      </c>
      <c r="AD2013" s="14">
        <f>IF($B2013="","",IF(AND($AE2013&lt;&gt;"",$AG2013="",$AJ2013=""),"保留中",IF($AJ2013&lt;&gt;"",IF(N($AC2013)&gt;0,"支給済","不支給"),IF($AC2013="","要確認",IF($AC2013=0,"不支給","未処理")))))</f>
        <v/>
      </c>
      <c r="AE2013" s="12" t="n"/>
      <c r="AF2013" s="11" t="n"/>
      <c r="AG2013" s="11" t="n"/>
      <c r="AH2013" s="11" t="n"/>
      <c r="AI2013" s="14">
        <f>IF(AND($AD2013="保留中",$AF2013&lt;&gt;""),TODAY()-$AF2013,"")</f>
        <v/>
      </c>
      <c r="AJ2013" s="12" t="n"/>
      <c r="AK2013" s="14">
        <f>IF($B2013="","",IF($AO2013="","対象年月が未入力／","")&amp;IF($B2013="","",IF($AN2013="","職員マスタに未登録の職員番号／",IF($Y2013="","標準報酬月額が未登録／","")&amp;IF(AND($AO2013&lt;&gt;"",OR(AND(INDEX(職員マスタ!$G$6:$G$405,$AN2013)&lt;&gt;"",INDEX(職員マスタ!$G$6:$G$405,$AN2013)&gt;EOMONTH($AO2013,0)),AND(INDEX(職員マスタ!$H$6:$H$405,$AN2013)&lt;&gt;"",INDEX(職員マスタ!$H$6:$H$405,$AN2013)&lt;$AO2013))),"対象月が時短期間外／","")&amp;IF(AND(INDEX(職員マスタ!$F$6:$F$405,$AN2013)&lt;&gt;"",$AO2013&lt;&gt;"",INDEX(職員マスタ!$F$6:$F$405,$AN2013)&lt;$AO2013),"対象月に子が2歳到達済／","")&amp;IF(AND($H2013&lt;&gt;"",INDEX(職員マスタ!$B$6:$B$405,$AN2013)&lt;&gt;"",SUBSTITUTE(SUBSTITUTE($H2013," ","")," ","")&lt;&gt;SUBSTITUTE(SUBSTITUTE(INDEX(職員マスタ!$B$6:$B$405,$AN2013)," ","")," ","")),"氏名がマスタと相違／","")&amp;IF(AND($Q2013&lt;&gt;"",INDEX(職員マスタ!$E$6:$E$405,$AN2013)&lt;&gt;"",$Q2013&lt;&gt;INDEX(職員マスタ!$E$6:$E$405,$AN2013)),"子の生年月日がマスタと相違／","")&amp;IF(AND($L2013&lt;&gt;"",INDEX(職員マスタ!$G$6:$G$405,$AN2013)&lt;&gt;"",$L2013&lt;&gt;INDEX(職員マスタ!$G$6:$G$405,$AN2013)),"時短開始日がマスタと相違／","")&amp;IF(AND($M2013&lt;&gt;"",INDEX(職員マスタ!$H$6:$H$405,$AN2013)&lt;&gt;"",$M2013&lt;&gt;INDEX(職員マスタ!$H$6:$H$405,$AN2013)),"時短終了日がマスタと相違／","")))&amp;IF(AND($B2013&lt;&gt;"",$E2013=""),"報酬額が未入力／","")&amp;IF(N($U2013)&gt;0,"申請書に入力エラーが残っています／","")&amp;IF(AND($B2013&lt;&gt;"",$AO2013&lt;&gt;""),IF(COUNTIFS($B$6:$B$3005,$B2013,$C$6:$C$3005,$C2013,$D$6:$D$3005,$D2013)&gt;1,"同じ月の請求が重複しています／",""),"")&amp;IF(AND(N($E2013)&gt;0,$Z2013&lt;&gt;"",$Z2013&lt;&gt;"×",$AC2013=0,$AB2013=""),"計算額が下限以下のため不支給／",""))</f>
        <v/>
      </c>
      <c r="AL2013" s="12" t="n"/>
      <c r="AM2013" s="14">
        <f>IF($AD2013="保留中",COUNTIF($AD$6:$AD2013,"保留中"),"")</f>
        <v/>
      </c>
      <c r="AN2013" s="14">
        <f>IF($AO2013="","",IF(SUMPRODUCT(MAX((職員マスタ!$A$6:$A$405=$B2013)*(((職員マスタ!$G$6:$G$405="")+(職員マスタ!$G$6:$G$405&lt;=EOMONTH($AO2013,0)))&gt;0)*(((職員マスタ!$H$6:$H$405="")+(職員マスタ!$H$6:$H$405&gt;=$AO2013))&gt;0)*(ROW(職員マスタ!$A$6:$A$405)-5)))&gt;0,SUMPRODUCT(MAX((職員マスタ!$A$6:$A$405=$B2013)*(((職員マスタ!$G$6:$G$405="")+(職員マスタ!$G$6:$G$405&lt;=EOMONTH($AO2013,0)))&gt;0)*(((職員マスタ!$H$6:$H$405="")+(職員マスタ!$H$6:$H$405&gt;=$AO2013))&gt;0)*(ROW(職員マスタ!$A$6:$A$405)-5))),IFERROR(MATCH($B2013,職員マスタ!$A$6:$A$405,0),"")))</f>
        <v/>
      </c>
      <c r="AO2013" s="16">
        <f>IF(OR($B2013="",$C2013="",$D2013=""),"",DATE($C2013+2018,$D2013,1))</f>
        <v/>
      </c>
    </row>
    <row r="2014">
      <c r="A2014" s="11" t="n"/>
      <c r="B2014" s="12" t="n"/>
      <c r="C2014" s="12" t="n"/>
      <c r="D2014" s="12" t="n"/>
      <c r="E2014" s="13" t="n"/>
      <c r="F2014" s="12" t="n"/>
      <c r="G2014" s="13" t="n"/>
      <c r="H2014" s="12" t="n"/>
      <c r="I2014" s="12" t="n"/>
      <c r="J2014" s="12" t="n"/>
      <c r="K2014" s="12" t="n"/>
      <c r="L2014" s="11" t="n"/>
      <c r="M2014" s="11" t="n"/>
      <c r="N2014" s="11" t="n"/>
      <c r="O2014" s="11" t="n"/>
      <c r="P2014" s="12" t="n"/>
      <c r="Q2014" s="11" t="n"/>
      <c r="R2014" s="12" t="n"/>
      <c r="S2014" s="11" t="n"/>
      <c r="T2014" s="12" t="n"/>
      <c r="U2014" s="12" t="n"/>
      <c r="V2014" s="14">
        <f>IF($AN2014="",IF($B2014="","",$H2014),IF(INDEX(職員マスタ!$B$6:$B$405,$AN2014)="",$H2014,INDEX(職員マスタ!$B$6:$B$405,$AN2014)))</f>
        <v/>
      </c>
      <c r="W2014" s="14">
        <f>IF($AN2014="",IF($B2014="","",$R2014),IF(INDEX(職員マスタ!$C$6:$C$405,$AN2014)="",$R2014,INDEX(職員マスタ!$C$6:$C$405,$AN2014)))</f>
        <v/>
      </c>
      <c r="X2014" s="14">
        <f>IF($AO2014="","","R"&amp;$C2014&amp;"."&amp;$D2014)</f>
        <v/>
      </c>
      <c r="Y2014" s="15">
        <f>IF($AN2014="","",IF(INDEX(職員マスタ!$K$6:$K$405,$AN2014)="","",INDEX(職員マスタ!$K$6:$K$405,$AN2014)))</f>
        <v/>
      </c>
      <c r="Z2014" s="14">
        <f>IF(OR($E2014="",$Y2014=""),"",IF($E2014&gt;=$Y2014,"×",IF($E2014&gt;=$Y2014*設定!$C$5,"△","○")))</f>
        <v/>
      </c>
      <c r="AA2014" s="15">
        <f>IF($Z2014="","",IF($Z2014="×",0,IF($Z2014="○",ROUNDDOWN($E2014*設定!$C$4,0),ROUNDDOWN($E2014*ROUND((9*$Y2014-9*$E2014)/(10*$E2014),4),0))))</f>
        <v/>
      </c>
      <c r="AB2014" s="13" t="n"/>
      <c r="AC2014" s="15">
        <f>IF($B2014="","",IF($AB2014&lt;&gt;"",$AB2014,IF($AA2014="","",IF($AA2014&lt;=設定!$C$3,0,$AA2014))))</f>
        <v/>
      </c>
      <c r="AD2014" s="14">
        <f>IF($B2014="","",IF(AND($AE2014&lt;&gt;"",$AG2014="",$AJ2014=""),"保留中",IF($AJ2014&lt;&gt;"",IF(N($AC2014)&gt;0,"支給済","不支給"),IF($AC2014="","要確認",IF($AC2014=0,"不支給","未処理")))))</f>
        <v/>
      </c>
      <c r="AE2014" s="12" t="n"/>
      <c r="AF2014" s="11" t="n"/>
      <c r="AG2014" s="11" t="n"/>
      <c r="AH2014" s="11" t="n"/>
      <c r="AI2014" s="14">
        <f>IF(AND($AD2014="保留中",$AF2014&lt;&gt;""),TODAY()-$AF2014,"")</f>
        <v/>
      </c>
      <c r="AJ2014" s="12" t="n"/>
      <c r="AK2014" s="14">
        <f>IF($B2014="","",IF($AO2014="","対象年月が未入力／","")&amp;IF($B2014="","",IF($AN2014="","職員マスタに未登録の職員番号／",IF($Y2014="","標準報酬月額が未登録／","")&amp;IF(AND($AO2014&lt;&gt;"",OR(AND(INDEX(職員マスタ!$G$6:$G$405,$AN2014)&lt;&gt;"",INDEX(職員マスタ!$G$6:$G$405,$AN2014)&gt;EOMONTH($AO2014,0)),AND(INDEX(職員マスタ!$H$6:$H$405,$AN2014)&lt;&gt;"",INDEX(職員マスタ!$H$6:$H$405,$AN2014)&lt;$AO2014))),"対象月が時短期間外／","")&amp;IF(AND(INDEX(職員マスタ!$F$6:$F$405,$AN2014)&lt;&gt;"",$AO2014&lt;&gt;"",INDEX(職員マスタ!$F$6:$F$405,$AN2014)&lt;$AO2014),"対象月に子が2歳到達済／","")&amp;IF(AND($H2014&lt;&gt;"",INDEX(職員マスタ!$B$6:$B$405,$AN2014)&lt;&gt;"",SUBSTITUTE(SUBSTITUTE($H2014," ","")," ","")&lt;&gt;SUBSTITUTE(SUBSTITUTE(INDEX(職員マスタ!$B$6:$B$405,$AN2014)," ","")," ","")),"氏名がマスタと相違／","")&amp;IF(AND($Q2014&lt;&gt;"",INDEX(職員マスタ!$E$6:$E$405,$AN2014)&lt;&gt;"",$Q2014&lt;&gt;INDEX(職員マスタ!$E$6:$E$405,$AN2014)),"子の生年月日がマスタと相違／","")&amp;IF(AND($L2014&lt;&gt;"",INDEX(職員マスタ!$G$6:$G$405,$AN2014)&lt;&gt;"",$L2014&lt;&gt;INDEX(職員マスタ!$G$6:$G$405,$AN2014)),"時短開始日がマスタと相違／","")&amp;IF(AND($M2014&lt;&gt;"",INDEX(職員マスタ!$H$6:$H$405,$AN2014)&lt;&gt;"",$M2014&lt;&gt;INDEX(職員マスタ!$H$6:$H$405,$AN2014)),"時短終了日がマスタと相違／","")))&amp;IF(AND($B2014&lt;&gt;"",$E2014=""),"報酬額が未入力／","")&amp;IF(N($U2014)&gt;0,"申請書に入力エラーが残っています／","")&amp;IF(AND($B2014&lt;&gt;"",$AO2014&lt;&gt;""),IF(COUNTIFS($B$6:$B$3005,$B2014,$C$6:$C$3005,$C2014,$D$6:$D$3005,$D2014)&gt;1,"同じ月の請求が重複しています／",""),"")&amp;IF(AND(N($E2014)&gt;0,$Z2014&lt;&gt;"",$Z2014&lt;&gt;"×",$AC2014=0,$AB2014=""),"計算額が下限以下のため不支給／",""))</f>
        <v/>
      </c>
      <c r="AL2014" s="12" t="n"/>
      <c r="AM2014" s="14">
        <f>IF($AD2014="保留中",COUNTIF($AD$6:$AD2014,"保留中"),"")</f>
        <v/>
      </c>
      <c r="AN2014" s="14">
        <f>IF($AO2014="","",IF(SUMPRODUCT(MAX((職員マスタ!$A$6:$A$405=$B2014)*(((職員マスタ!$G$6:$G$405="")+(職員マスタ!$G$6:$G$405&lt;=EOMONTH($AO2014,0)))&gt;0)*(((職員マスタ!$H$6:$H$405="")+(職員マスタ!$H$6:$H$405&gt;=$AO2014))&gt;0)*(ROW(職員マスタ!$A$6:$A$405)-5)))&gt;0,SUMPRODUCT(MAX((職員マスタ!$A$6:$A$405=$B2014)*(((職員マスタ!$G$6:$G$405="")+(職員マスタ!$G$6:$G$405&lt;=EOMONTH($AO2014,0)))&gt;0)*(((職員マスタ!$H$6:$H$405="")+(職員マスタ!$H$6:$H$405&gt;=$AO2014))&gt;0)*(ROW(職員マスタ!$A$6:$A$405)-5))),IFERROR(MATCH($B2014,職員マスタ!$A$6:$A$405,0),"")))</f>
        <v/>
      </c>
      <c r="AO2014" s="16">
        <f>IF(OR($B2014="",$C2014="",$D2014=""),"",DATE($C2014+2018,$D2014,1))</f>
        <v/>
      </c>
    </row>
    <row r="2015">
      <c r="A2015" s="11" t="n"/>
      <c r="B2015" s="12" t="n"/>
      <c r="C2015" s="12" t="n"/>
      <c r="D2015" s="12" t="n"/>
      <c r="E2015" s="13" t="n"/>
      <c r="F2015" s="12" t="n"/>
      <c r="G2015" s="13" t="n"/>
      <c r="H2015" s="12" t="n"/>
      <c r="I2015" s="12" t="n"/>
      <c r="J2015" s="12" t="n"/>
      <c r="K2015" s="12" t="n"/>
      <c r="L2015" s="11" t="n"/>
      <c r="M2015" s="11" t="n"/>
      <c r="N2015" s="11" t="n"/>
      <c r="O2015" s="11" t="n"/>
      <c r="P2015" s="12" t="n"/>
      <c r="Q2015" s="11" t="n"/>
      <c r="R2015" s="12" t="n"/>
      <c r="S2015" s="11" t="n"/>
      <c r="T2015" s="12" t="n"/>
      <c r="U2015" s="12" t="n"/>
      <c r="V2015" s="14">
        <f>IF($AN2015="",IF($B2015="","",$H2015),IF(INDEX(職員マスタ!$B$6:$B$405,$AN2015)="",$H2015,INDEX(職員マスタ!$B$6:$B$405,$AN2015)))</f>
        <v/>
      </c>
      <c r="W2015" s="14">
        <f>IF($AN2015="",IF($B2015="","",$R2015),IF(INDEX(職員マスタ!$C$6:$C$405,$AN2015)="",$R2015,INDEX(職員マスタ!$C$6:$C$405,$AN2015)))</f>
        <v/>
      </c>
      <c r="X2015" s="14">
        <f>IF($AO2015="","","R"&amp;$C2015&amp;"."&amp;$D2015)</f>
        <v/>
      </c>
      <c r="Y2015" s="15">
        <f>IF($AN2015="","",IF(INDEX(職員マスタ!$K$6:$K$405,$AN2015)="","",INDEX(職員マスタ!$K$6:$K$405,$AN2015)))</f>
        <v/>
      </c>
      <c r="Z2015" s="14">
        <f>IF(OR($E2015="",$Y2015=""),"",IF($E2015&gt;=$Y2015,"×",IF($E2015&gt;=$Y2015*設定!$C$5,"△","○")))</f>
        <v/>
      </c>
      <c r="AA2015" s="15">
        <f>IF($Z2015="","",IF($Z2015="×",0,IF($Z2015="○",ROUNDDOWN($E2015*設定!$C$4,0),ROUNDDOWN($E2015*ROUND((9*$Y2015-9*$E2015)/(10*$E2015),4),0))))</f>
        <v/>
      </c>
      <c r="AB2015" s="13" t="n"/>
      <c r="AC2015" s="15">
        <f>IF($B2015="","",IF($AB2015&lt;&gt;"",$AB2015,IF($AA2015="","",IF($AA2015&lt;=設定!$C$3,0,$AA2015))))</f>
        <v/>
      </c>
      <c r="AD2015" s="14">
        <f>IF($B2015="","",IF(AND($AE2015&lt;&gt;"",$AG2015="",$AJ2015=""),"保留中",IF($AJ2015&lt;&gt;"",IF(N($AC2015)&gt;0,"支給済","不支給"),IF($AC2015="","要確認",IF($AC2015=0,"不支給","未処理")))))</f>
        <v/>
      </c>
      <c r="AE2015" s="12" t="n"/>
      <c r="AF2015" s="11" t="n"/>
      <c r="AG2015" s="11" t="n"/>
      <c r="AH2015" s="11" t="n"/>
      <c r="AI2015" s="14">
        <f>IF(AND($AD2015="保留中",$AF2015&lt;&gt;""),TODAY()-$AF2015,"")</f>
        <v/>
      </c>
      <c r="AJ2015" s="12" t="n"/>
      <c r="AK2015" s="14">
        <f>IF($B2015="","",IF($AO2015="","対象年月が未入力／","")&amp;IF($B2015="","",IF($AN2015="","職員マスタに未登録の職員番号／",IF($Y2015="","標準報酬月額が未登録／","")&amp;IF(AND($AO2015&lt;&gt;"",OR(AND(INDEX(職員マスタ!$G$6:$G$405,$AN2015)&lt;&gt;"",INDEX(職員マスタ!$G$6:$G$405,$AN2015)&gt;EOMONTH($AO2015,0)),AND(INDEX(職員マスタ!$H$6:$H$405,$AN2015)&lt;&gt;"",INDEX(職員マスタ!$H$6:$H$405,$AN2015)&lt;$AO2015))),"対象月が時短期間外／","")&amp;IF(AND(INDEX(職員マスタ!$F$6:$F$405,$AN2015)&lt;&gt;"",$AO2015&lt;&gt;"",INDEX(職員マスタ!$F$6:$F$405,$AN2015)&lt;$AO2015),"対象月に子が2歳到達済／","")&amp;IF(AND($H2015&lt;&gt;"",INDEX(職員マスタ!$B$6:$B$405,$AN2015)&lt;&gt;"",SUBSTITUTE(SUBSTITUTE($H2015," ","")," ","")&lt;&gt;SUBSTITUTE(SUBSTITUTE(INDEX(職員マスタ!$B$6:$B$405,$AN2015)," ","")," ","")),"氏名がマスタと相違／","")&amp;IF(AND($Q2015&lt;&gt;"",INDEX(職員マスタ!$E$6:$E$405,$AN2015)&lt;&gt;"",$Q2015&lt;&gt;INDEX(職員マスタ!$E$6:$E$405,$AN2015)),"子の生年月日がマスタと相違／","")&amp;IF(AND($L2015&lt;&gt;"",INDEX(職員マスタ!$G$6:$G$405,$AN2015)&lt;&gt;"",$L2015&lt;&gt;INDEX(職員マスタ!$G$6:$G$405,$AN2015)),"時短開始日がマスタと相違／","")&amp;IF(AND($M2015&lt;&gt;"",INDEX(職員マスタ!$H$6:$H$405,$AN2015)&lt;&gt;"",$M2015&lt;&gt;INDEX(職員マスタ!$H$6:$H$405,$AN2015)),"時短終了日がマスタと相違／","")))&amp;IF(AND($B2015&lt;&gt;"",$E2015=""),"報酬額が未入力／","")&amp;IF(N($U2015)&gt;0,"申請書に入力エラーが残っています／","")&amp;IF(AND($B2015&lt;&gt;"",$AO2015&lt;&gt;""),IF(COUNTIFS($B$6:$B$3005,$B2015,$C$6:$C$3005,$C2015,$D$6:$D$3005,$D2015)&gt;1,"同じ月の請求が重複しています／",""),"")&amp;IF(AND(N($E2015)&gt;0,$Z2015&lt;&gt;"",$Z2015&lt;&gt;"×",$AC2015=0,$AB2015=""),"計算額が下限以下のため不支給／",""))</f>
        <v/>
      </c>
      <c r="AL2015" s="12" t="n"/>
      <c r="AM2015" s="14">
        <f>IF($AD2015="保留中",COUNTIF($AD$6:$AD2015,"保留中"),"")</f>
        <v/>
      </c>
      <c r="AN2015" s="14">
        <f>IF($AO2015="","",IF(SUMPRODUCT(MAX((職員マスタ!$A$6:$A$405=$B2015)*(((職員マスタ!$G$6:$G$405="")+(職員マスタ!$G$6:$G$405&lt;=EOMONTH($AO2015,0)))&gt;0)*(((職員マスタ!$H$6:$H$405="")+(職員マスタ!$H$6:$H$405&gt;=$AO2015))&gt;0)*(ROW(職員マスタ!$A$6:$A$405)-5)))&gt;0,SUMPRODUCT(MAX((職員マスタ!$A$6:$A$405=$B2015)*(((職員マスタ!$G$6:$G$405="")+(職員マスタ!$G$6:$G$405&lt;=EOMONTH($AO2015,0)))&gt;0)*(((職員マスタ!$H$6:$H$405="")+(職員マスタ!$H$6:$H$405&gt;=$AO2015))&gt;0)*(ROW(職員マスタ!$A$6:$A$405)-5))),IFERROR(MATCH($B2015,職員マスタ!$A$6:$A$405,0),"")))</f>
        <v/>
      </c>
      <c r="AO2015" s="16">
        <f>IF(OR($B2015="",$C2015="",$D2015=""),"",DATE($C2015+2018,$D2015,1))</f>
        <v/>
      </c>
    </row>
    <row r="2016">
      <c r="A2016" s="11" t="n"/>
      <c r="B2016" s="12" t="n"/>
      <c r="C2016" s="12" t="n"/>
      <c r="D2016" s="12" t="n"/>
      <c r="E2016" s="13" t="n"/>
      <c r="F2016" s="12" t="n"/>
      <c r="G2016" s="13" t="n"/>
      <c r="H2016" s="12" t="n"/>
      <c r="I2016" s="12" t="n"/>
      <c r="J2016" s="12" t="n"/>
      <c r="K2016" s="12" t="n"/>
      <c r="L2016" s="11" t="n"/>
      <c r="M2016" s="11" t="n"/>
      <c r="N2016" s="11" t="n"/>
      <c r="O2016" s="11" t="n"/>
      <c r="P2016" s="12" t="n"/>
      <c r="Q2016" s="11" t="n"/>
      <c r="R2016" s="12" t="n"/>
      <c r="S2016" s="11" t="n"/>
      <c r="T2016" s="12" t="n"/>
      <c r="U2016" s="12" t="n"/>
      <c r="V2016" s="14">
        <f>IF($AN2016="",IF($B2016="","",$H2016),IF(INDEX(職員マスタ!$B$6:$B$405,$AN2016)="",$H2016,INDEX(職員マスタ!$B$6:$B$405,$AN2016)))</f>
        <v/>
      </c>
      <c r="W2016" s="14">
        <f>IF($AN2016="",IF($B2016="","",$R2016),IF(INDEX(職員マスタ!$C$6:$C$405,$AN2016)="",$R2016,INDEX(職員マスタ!$C$6:$C$405,$AN2016)))</f>
        <v/>
      </c>
      <c r="X2016" s="14">
        <f>IF($AO2016="","","R"&amp;$C2016&amp;"."&amp;$D2016)</f>
        <v/>
      </c>
      <c r="Y2016" s="15">
        <f>IF($AN2016="","",IF(INDEX(職員マスタ!$K$6:$K$405,$AN2016)="","",INDEX(職員マスタ!$K$6:$K$405,$AN2016)))</f>
        <v/>
      </c>
      <c r="Z2016" s="14">
        <f>IF(OR($E2016="",$Y2016=""),"",IF($E2016&gt;=$Y2016,"×",IF($E2016&gt;=$Y2016*設定!$C$5,"△","○")))</f>
        <v/>
      </c>
      <c r="AA2016" s="15">
        <f>IF($Z2016="","",IF($Z2016="×",0,IF($Z2016="○",ROUNDDOWN($E2016*設定!$C$4,0),ROUNDDOWN($E2016*ROUND((9*$Y2016-9*$E2016)/(10*$E2016),4),0))))</f>
        <v/>
      </c>
      <c r="AB2016" s="13" t="n"/>
      <c r="AC2016" s="15">
        <f>IF($B2016="","",IF($AB2016&lt;&gt;"",$AB2016,IF($AA2016="","",IF($AA2016&lt;=設定!$C$3,0,$AA2016))))</f>
        <v/>
      </c>
      <c r="AD2016" s="14">
        <f>IF($B2016="","",IF(AND($AE2016&lt;&gt;"",$AG2016="",$AJ2016=""),"保留中",IF($AJ2016&lt;&gt;"",IF(N($AC2016)&gt;0,"支給済","不支給"),IF($AC2016="","要確認",IF($AC2016=0,"不支給","未処理")))))</f>
        <v/>
      </c>
      <c r="AE2016" s="12" t="n"/>
      <c r="AF2016" s="11" t="n"/>
      <c r="AG2016" s="11" t="n"/>
      <c r="AH2016" s="11" t="n"/>
      <c r="AI2016" s="14">
        <f>IF(AND($AD2016="保留中",$AF2016&lt;&gt;""),TODAY()-$AF2016,"")</f>
        <v/>
      </c>
      <c r="AJ2016" s="12" t="n"/>
      <c r="AK2016" s="14">
        <f>IF($B2016="","",IF($AO2016="","対象年月が未入力／","")&amp;IF($B2016="","",IF($AN2016="","職員マスタに未登録の職員番号／",IF($Y2016="","標準報酬月額が未登録／","")&amp;IF(AND($AO2016&lt;&gt;"",OR(AND(INDEX(職員マスタ!$G$6:$G$405,$AN2016)&lt;&gt;"",INDEX(職員マスタ!$G$6:$G$405,$AN2016)&gt;EOMONTH($AO2016,0)),AND(INDEX(職員マスタ!$H$6:$H$405,$AN2016)&lt;&gt;"",INDEX(職員マスタ!$H$6:$H$405,$AN2016)&lt;$AO2016))),"対象月が時短期間外／","")&amp;IF(AND(INDEX(職員マスタ!$F$6:$F$405,$AN2016)&lt;&gt;"",$AO2016&lt;&gt;"",INDEX(職員マスタ!$F$6:$F$405,$AN2016)&lt;$AO2016),"対象月に子が2歳到達済／","")&amp;IF(AND($H2016&lt;&gt;"",INDEX(職員マスタ!$B$6:$B$405,$AN2016)&lt;&gt;"",SUBSTITUTE(SUBSTITUTE($H2016," ","")," ","")&lt;&gt;SUBSTITUTE(SUBSTITUTE(INDEX(職員マスタ!$B$6:$B$405,$AN2016)," ","")," ","")),"氏名がマスタと相違／","")&amp;IF(AND($Q2016&lt;&gt;"",INDEX(職員マスタ!$E$6:$E$405,$AN2016)&lt;&gt;"",$Q2016&lt;&gt;INDEX(職員マスタ!$E$6:$E$405,$AN2016)),"子の生年月日がマスタと相違／","")&amp;IF(AND($L2016&lt;&gt;"",INDEX(職員マスタ!$G$6:$G$405,$AN2016)&lt;&gt;"",$L2016&lt;&gt;INDEX(職員マスタ!$G$6:$G$405,$AN2016)),"時短開始日がマスタと相違／","")&amp;IF(AND($M2016&lt;&gt;"",INDEX(職員マスタ!$H$6:$H$405,$AN2016)&lt;&gt;"",$M2016&lt;&gt;INDEX(職員マスタ!$H$6:$H$405,$AN2016)),"時短終了日がマスタと相違／","")))&amp;IF(AND($B2016&lt;&gt;"",$E2016=""),"報酬額が未入力／","")&amp;IF(N($U2016)&gt;0,"申請書に入力エラーが残っています／","")&amp;IF(AND($B2016&lt;&gt;"",$AO2016&lt;&gt;""),IF(COUNTIFS($B$6:$B$3005,$B2016,$C$6:$C$3005,$C2016,$D$6:$D$3005,$D2016)&gt;1,"同じ月の請求が重複しています／",""),"")&amp;IF(AND(N($E2016)&gt;0,$Z2016&lt;&gt;"",$Z2016&lt;&gt;"×",$AC2016=0,$AB2016=""),"計算額が下限以下のため不支給／",""))</f>
        <v/>
      </c>
      <c r="AL2016" s="12" t="n"/>
      <c r="AM2016" s="14">
        <f>IF($AD2016="保留中",COUNTIF($AD$6:$AD2016,"保留中"),"")</f>
        <v/>
      </c>
      <c r="AN2016" s="14">
        <f>IF($AO2016="","",IF(SUMPRODUCT(MAX((職員マスタ!$A$6:$A$405=$B2016)*(((職員マスタ!$G$6:$G$405="")+(職員マスタ!$G$6:$G$405&lt;=EOMONTH($AO2016,0)))&gt;0)*(((職員マスタ!$H$6:$H$405="")+(職員マスタ!$H$6:$H$405&gt;=$AO2016))&gt;0)*(ROW(職員マスタ!$A$6:$A$405)-5)))&gt;0,SUMPRODUCT(MAX((職員マスタ!$A$6:$A$405=$B2016)*(((職員マスタ!$G$6:$G$405="")+(職員マスタ!$G$6:$G$405&lt;=EOMONTH($AO2016,0)))&gt;0)*(((職員マスタ!$H$6:$H$405="")+(職員マスタ!$H$6:$H$405&gt;=$AO2016))&gt;0)*(ROW(職員マスタ!$A$6:$A$405)-5))),IFERROR(MATCH($B2016,職員マスタ!$A$6:$A$405,0),"")))</f>
        <v/>
      </c>
      <c r="AO2016" s="16">
        <f>IF(OR($B2016="",$C2016="",$D2016=""),"",DATE($C2016+2018,$D2016,1))</f>
        <v/>
      </c>
    </row>
    <row r="2017">
      <c r="A2017" s="11" t="n"/>
      <c r="B2017" s="12" t="n"/>
      <c r="C2017" s="12" t="n"/>
      <c r="D2017" s="12" t="n"/>
      <c r="E2017" s="13" t="n"/>
      <c r="F2017" s="12" t="n"/>
      <c r="G2017" s="13" t="n"/>
      <c r="H2017" s="12" t="n"/>
      <c r="I2017" s="12" t="n"/>
      <c r="J2017" s="12" t="n"/>
      <c r="K2017" s="12" t="n"/>
      <c r="L2017" s="11" t="n"/>
      <c r="M2017" s="11" t="n"/>
      <c r="N2017" s="11" t="n"/>
      <c r="O2017" s="11" t="n"/>
      <c r="P2017" s="12" t="n"/>
      <c r="Q2017" s="11" t="n"/>
      <c r="R2017" s="12" t="n"/>
      <c r="S2017" s="11" t="n"/>
      <c r="T2017" s="12" t="n"/>
      <c r="U2017" s="12" t="n"/>
      <c r="V2017" s="14">
        <f>IF($AN2017="",IF($B2017="","",$H2017),IF(INDEX(職員マスタ!$B$6:$B$405,$AN2017)="",$H2017,INDEX(職員マスタ!$B$6:$B$405,$AN2017)))</f>
        <v/>
      </c>
      <c r="W2017" s="14">
        <f>IF($AN2017="",IF($B2017="","",$R2017),IF(INDEX(職員マスタ!$C$6:$C$405,$AN2017)="",$R2017,INDEX(職員マスタ!$C$6:$C$405,$AN2017)))</f>
        <v/>
      </c>
      <c r="X2017" s="14">
        <f>IF($AO2017="","","R"&amp;$C2017&amp;"."&amp;$D2017)</f>
        <v/>
      </c>
      <c r="Y2017" s="15">
        <f>IF($AN2017="","",IF(INDEX(職員マスタ!$K$6:$K$405,$AN2017)="","",INDEX(職員マスタ!$K$6:$K$405,$AN2017)))</f>
        <v/>
      </c>
      <c r="Z2017" s="14">
        <f>IF(OR($E2017="",$Y2017=""),"",IF($E2017&gt;=$Y2017,"×",IF($E2017&gt;=$Y2017*設定!$C$5,"△","○")))</f>
        <v/>
      </c>
      <c r="AA2017" s="15">
        <f>IF($Z2017="","",IF($Z2017="×",0,IF($Z2017="○",ROUNDDOWN($E2017*設定!$C$4,0),ROUNDDOWN($E2017*ROUND((9*$Y2017-9*$E2017)/(10*$E2017),4),0))))</f>
        <v/>
      </c>
      <c r="AB2017" s="13" t="n"/>
      <c r="AC2017" s="15">
        <f>IF($B2017="","",IF($AB2017&lt;&gt;"",$AB2017,IF($AA2017="","",IF($AA2017&lt;=設定!$C$3,0,$AA2017))))</f>
        <v/>
      </c>
      <c r="AD2017" s="14">
        <f>IF($B2017="","",IF(AND($AE2017&lt;&gt;"",$AG2017="",$AJ2017=""),"保留中",IF($AJ2017&lt;&gt;"",IF(N($AC2017)&gt;0,"支給済","不支給"),IF($AC2017="","要確認",IF($AC2017=0,"不支給","未処理")))))</f>
        <v/>
      </c>
      <c r="AE2017" s="12" t="n"/>
      <c r="AF2017" s="11" t="n"/>
      <c r="AG2017" s="11" t="n"/>
      <c r="AH2017" s="11" t="n"/>
      <c r="AI2017" s="14">
        <f>IF(AND($AD2017="保留中",$AF2017&lt;&gt;""),TODAY()-$AF2017,"")</f>
        <v/>
      </c>
      <c r="AJ2017" s="12" t="n"/>
      <c r="AK2017" s="14">
        <f>IF($B2017="","",IF($AO2017="","対象年月が未入力／","")&amp;IF($B2017="","",IF($AN2017="","職員マスタに未登録の職員番号／",IF($Y2017="","標準報酬月額が未登録／","")&amp;IF(AND($AO2017&lt;&gt;"",OR(AND(INDEX(職員マスタ!$G$6:$G$405,$AN2017)&lt;&gt;"",INDEX(職員マスタ!$G$6:$G$405,$AN2017)&gt;EOMONTH($AO2017,0)),AND(INDEX(職員マスタ!$H$6:$H$405,$AN2017)&lt;&gt;"",INDEX(職員マスタ!$H$6:$H$405,$AN2017)&lt;$AO2017))),"対象月が時短期間外／","")&amp;IF(AND(INDEX(職員マスタ!$F$6:$F$405,$AN2017)&lt;&gt;"",$AO2017&lt;&gt;"",INDEX(職員マスタ!$F$6:$F$405,$AN2017)&lt;$AO2017),"対象月に子が2歳到達済／","")&amp;IF(AND($H2017&lt;&gt;"",INDEX(職員マスタ!$B$6:$B$405,$AN2017)&lt;&gt;"",SUBSTITUTE(SUBSTITUTE($H2017," ","")," ","")&lt;&gt;SUBSTITUTE(SUBSTITUTE(INDEX(職員マスタ!$B$6:$B$405,$AN2017)," ","")," ","")),"氏名がマスタと相違／","")&amp;IF(AND($Q2017&lt;&gt;"",INDEX(職員マスタ!$E$6:$E$405,$AN2017)&lt;&gt;"",$Q2017&lt;&gt;INDEX(職員マスタ!$E$6:$E$405,$AN2017)),"子の生年月日がマスタと相違／","")&amp;IF(AND($L2017&lt;&gt;"",INDEX(職員マスタ!$G$6:$G$405,$AN2017)&lt;&gt;"",$L2017&lt;&gt;INDEX(職員マスタ!$G$6:$G$405,$AN2017)),"時短開始日がマスタと相違／","")&amp;IF(AND($M2017&lt;&gt;"",INDEX(職員マスタ!$H$6:$H$405,$AN2017)&lt;&gt;"",$M2017&lt;&gt;INDEX(職員マスタ!$H$6:$H$405,$AN2017)),"時短終了日がマスタと相違／","")))&amp;IF(AND($B2017&lt;&gt;"",$E2017=""),"報酬額が未入力／","")&amp;IF(N($U2017)&gt;0,"申請書に入力エラーが残っています／","")&amp;IF(AND($B2017&lt;&gt;"",$AO2017&lt;&gt;""),IF(COUNTIFS($B$6:$B$3005,$B2017,$C$6:$C$3005,$C2017,$D$6:$D$3005,$D2017)&gt;1,"同じ月の請求が重複しています／",""),"")&amp;IF(AND(N($E2017)&gt;0,$Z2017&lt;&gt;"",$Z2017&lt;&gt;"×",$AC2017=0,$AB2017=""),"計算額が下限以下のため不支給／",""))</f>
        <v/>
      </c>
      <c r="AL2017" s="12" t="n"/>
      <c r="AM2017" s="14">
        <f>IF($AD2017="保留中",COUNTIF($AD$6:$AD2017,"保留中"),"")</f>
        <v/>
      </c>
      <c r="AN2017" s="14">
        <f>IF($AO2017="","",IF(SUMPRODUCT(MAX((職員マスタ!$A$6:$A$405=$B2017)*(((職員マスタ!$G$6:$G$405="")+(職員マスタ!$G$6:$G$405&lt;=EOMONTH($AO2017,0)))&gt;0)*(((職員マスタ!$H$6:$H$405="")+(職員マスタ!$H$6:$H$405&gt;=$AO2017))&gt;0)*(ROW(職員マスタ!$A$6:$A$405)-5)))&gt;0,SUMPRODUCT(MAX((職員マスタ!$A$6:$A$405=$B2017)*(((職員マスタ!$G$6:$G$405="")+(職員マスタ!$G$6:$G$405&lt;=EOMONTH($AO2017,0)))&gt;0)*(((職員マスタ!$H$6:$H$405="")+(職員マスタ!$H$6:$H$405&gt;=$AO2017))&gt;0)*(ROW(職員マスタ!$A$6:$A$405)-5))),IFERROR(MATCH($B2017,職員マスタ!$A$6:$A$405,0),"")))</f>
        <v/>
      </c>
      <c r="AO2017" s="16">
        <f>IF(OR($B2017="",$C2017="",$D2017=""),"",DATE($C2017+2018,$D2017,1))</f>
        <v/>
      </c>
    </row>
    <row r="2018">
      <c r="A2018" s="11" t="n"/>
      <c r="B2018" s="12" t="n"/>
      <c r="C2018" s="12" t="n"/>
      <c r="D2018" s="12" t="n"/>
      <c r="E2018" s="13" t="n"/>
      <c r="F2018" s="12" t="n"/>
      <c r="G2018" s="13" t="n"/>
      <c r="H2018" s="12" t="n"/>
      <c r="I2018" s="12" t="n"/>
      <c r="J2018" s="12" t="n"/>
      <c r="K2018" s="12" t="n"/>
      <c r="L2018" s="11" t="n"/>
      <c r="M2018" s="11" t="n"/>
      <c r="N2018" s="11" t="n"/>
      <c r="O2018" s="11" t="n"/>
      <c r="P2018" s="12" t="n"/>
      <c r="Q2018" s="11" t="n"/>
      <c r="R2018" s="12" t="n"/>
      <c r="S2018" s="11" t="n"/>
      <c r="T2018" s="12" t="n"/>
      <c r="U2018" s="12" t="n"/>
      <c r="V2018" s="14">
        <f>IF($AN2018="",IF($B2018="","",$H2018),IF(INDEX(職員マスタ!$B$6:$B$405,$AN2018)="",$H2018,INDEX(職員マスタ!$B$6:$B$405,$AN2018)))</f>
        <v/>
      </c>
      <c r="W2018" s="14">
        <f>IF($AN2018="",IF($B2018="","",$R2018),IF(INDEX(職員マスタ!$C$6:$C$405,$AN2018)="",$R2018,INDEX(職員マスタ!$C$6:$C$405,$AN2018)))</f>
        <v/>
      </c>
      <c r="X2018" s="14">
        <f>IF($AO2018="","","R"&amp;$C2018&amp;"."&amp;$D2018)</f>
        <v/>
      </c>
      <c r="Y2018" s="15">
        <f>IF($AN2018="","",IF(INDEX(職員マスタ!$K$6:$K$405,$AN2018)="","",INDEX(職員マスタ!$K$6:$K$405,$AN2018)))</f>
        <v/>
      </c>
      <c r="Z2018" s="14">
        <f>IF(OR($E2018="",$Y2018=""),"",IF($E2018&gt;=$Y2018,"×",IF($E2018&gt;=$Y2018*設定!$C$5,"△","○")))</f>
        <v/>
      </c>
      <c r="AA2018" s="15">
        <f>IF($Z2018="","",IF($Z2018="×",0,IF($Z2018="○",ROUNDDOWN($E2018*設定!$C$4,0),ROUNDDOWN($E2018*ROUND((9*$Y2018-9*$E2018)/(10*$E2018),4),0))))</f>
        <v/>
      </c>
      <c r="AB2018" s="13" t="n"/>
      <c r="AC2018" s="15">
        <f>IF($B2018="","",IF($AB2018&lt;&gt;"",$AB2018,IF($AA2018="","",IF($AA2018&lt;=設定!$C$3,0,$AA2018))))</f>
        <v/>
      </c>
      <c r="AD2018" s="14">
        <f>IF($B2018="","",IF(AND($AE2018&lt;&gt;"",$AG2018="",$AJ2018=""),"保留中",IF($AJ2018&lt;&gt;"",IF(N($AC2018)&gt;0,"支給済","不支給"),IF($AC2018="","要確認",IF($AC2018=0,"不支給","未処理")))))</f>
        <v/>
      </c>
      <c r="AE2018" s="12" t="n"/>
      <c r="AF2018" s="11" t="n"/>
      <c r="AG2018" s="11" t="n"/>
      <c r="AH2018" s="11" t="n"/>
      <c r="AI2018" s="14">
        <f>IF(AND($AD2018="保留中",$AF2018&lt;&gt;""),TODAY()-$AF2018,"")</f>
        <v/>
      </c>
      <c r="AJ2018" s="12" t="n"/>
      <c r="AK2018" s="14">
        <f>IF($B2018="","",IF($AO2018="","対象年月が未入力／","")&amp;IF($B2018="","",IF($AN2018="","職員マスタに未登録の職員番号／",IF($Y2018="","標準報酬月額が未登録／","")&amp;IF(AND($AO2018&lt;&gt;"",OR(AND(INDEX(職員マスタ!$G$6:$G$405,$AN2018)&lt;&gt;"",INDEX(職員マスタ!$G$6:$G$405,$AN2018)&gt;EOMONTH($AO2018,0)),AND(INDEX(職員マスタ!$H$6:$H$405,$AN2018)&lt;&gt;"",INDEX(職員マスタ!$H$6:$H$405,$AN2018)&lt;$AO2018))),"対象月が時短期間外／","")&amp;IF(AND(INDEX(職員マスタ!$F$6:$F$405,$AN2018)&lt;&gt;"",$AO2018&lt;&gt;"",INDEX(職員マスタ!$F$6:$F$405,$AN2018)&lt;$AO2018),"対象月に子が2歳到達済／","")&amp;IF(AND($H2018&lt;&gt;"",INDEX(職員マスタ!$B$6:$B$405,$AN2018)&lt;&gt;"",SUBSTITUTE(SUBSTITUTE($H2018," ","")," ","")&lt;&gt;SUBSTITUTE(SUBSTITUTE(INDEX(職員マスタ!$B$6:$B$405,$AN2018)," ","")," ","")),"氏名がマスタと相違／","")&amp;IF(AND($Q2018&lt;&gt;"",INDEX(職員マスタ!$E$6:$E$405,$AN2018)&lt;&gt;"",$Q2018&lt;&gt;INDEX(職員マスタ!$E$6:$E$405,$AN2018)),"子の生年月日がマスタと相違／","")&amp;IF(AND($L2018&lt;&gt;"",INDEX(職員マスタ!$G$6:$G$405,$AN2018)&lt;&gt;"",$L2018&lt;&gt;INDEX(職員マスタ!$G$6:$G$405,$AN2018)),"時短開始日がマスタと相違／","")&amp;IF(AND($M2018&lt;&gt;"",INDEX(職員マスタ!$H$6:$H$405,$AN2018)&lt;&gt;"",$M2018&lt;&gt;INDEX(職員マスタ!$H$6:$H$405,$AN2018)),"時短終了日がマスタと相違／","")))&amp;IF(AND($B2018&lt;&gt;"",$E2018=""),"報酬額が未入力／","")&amp;IF(N($U2018)&gt;0,"申請書に入力エラーが残っています／","")&amp;IF(AND($B2018&lt;&gt;"",$AO2018&lt;&gt;""),IF(COUNTIFS($B$6:$B$3005,$B2018,$C$6:$C$3005,$C2018,$D$6:$D$3005,$D2018)&gt;1,"同じ月の請求が重複しています／",""),"")&amp;IF(AND(N($E2018)&gt;0,$Z2018&lt;&gt;"",$Z2018&lt;&gt;"×",$AC2018=0,$AB2018=""),"計算額が下限以下のため不支給／",""))</f>
        <v/>
      </c>
      <c r="AL2018" s="12" t="n"/>
      <c r="AM2018" s="14">
        <f>IF($AD2018="保留中",COUNTIF($AD$6:$AD2018,"保留中"),"")</f>
        <v/>
      </c>
      <c r="AN2018" s="14">
        <f>IF($AO2018="","",IF(SUMPRODUCT(MAX((職員マスタ!$A$6:$A$405=$B2018)*(((職員マスタ!$G$6:$G$405="")+(職員マスタ!$G$6:$G$405&lt;=EOMONTH($AO2018,0)))&gt;0)*(((職員マスタ!$H$6:$H$405="")+(職員マスタ!$H$6:$H$405&gt;=$AO2018))&gt;0)*(ROW(職員マスタ!$A$6:$A$405)-5)))&gt;0,SUMPRODUCT(MAX((職員マスタ!$A$6:$A$405=$B2018)*(((職員マスタ!$G$6:$G$405="")+(職員マスタ!$G$6:$G$405&lt;=EOMONTH($AO2018,0)))&gt;0)*(((職員マスタ!$H$6:$H$405="")+(職員マスタ!$H$6:$H$405&gt;=$AO2018))&gt;0)*(ROW(職員マスタ!$A$6:$A$405)-5))),IFERROR(MATCH($B2018,職員マスタ!$A$6:$A$405,0),"")))</f>
        <v/>
      </c>
      <c r="AO2018" s="16">
        <f>IF(OR($B2018="",$C2018="",$D2018=""),"",DATE($C2018+2018,$D2018,1))</f>
        <v/>
      </c>
    </row>
    <row r="2019">
      <c r="A2019" s="11" t="n"/>
      <c r="B2019" s="12" t="n"/>
      <c r="C2019" s="12" t="n"/>
      <c r="D2019" s="12" t="n"/>
      <c r="E2019" s="13" t="n"/>
      <c r="F2019" s="12" t="n"/>
      <c r="G2019" s="13" t="n"/>
      <c r="H2019" s="12" t="n"/>
      <c r="I2019" s="12" t="n"/>
      <c r="J2019" s="12" t="n"/>
      <c r="K2019" s="12" t="n"/>
      <c r="L2019" s="11" t="n"/>
      <c r="M2019" s="11" t="n"/>
      <c r="N2019" s="11" t="n"/>
      <c r="O2019" s="11" t="n"/>
      <c r="P2019" s="12" t="n"/>
      <c r="Q2019" s="11" t="n"/>
      <c r="R2019" s="12" t="n"/>
      <c r="S2019" s="11" t="n"/>
      <c r="T2019" s="12" t="n"/>
      <c r="U2019" s="12" t="n"/>
      <c r="V2019" s="14">
        <f>IF($AN2019="",IF($B2019="","",$H2019),IF(INDEX(職員マスタ!$B$6:$B$405,$AN2019)="",$H2019,INDEX(職員マスタ!$B$6:$B$405,$AN2019)))</f>
        <v/>
      </c>
      <c r="W2019" s="14">
        <f>IF($AN2019="",IF($B2019="","",$R2019),IF(INDEX(職員マスタ!$C$6:$C$405,$AN2019)="",$R2019,INDEX(職員マスタ!$C$6:$C$405,$AN2019)))</f>
        <v/>
      </c>
      <c r="X2019" s="14">
        <f>IF($AO2019="","","R"&amp;$C2019&amp;"."&amp;$D2019)</f>
        <v/>
      </c>
      <c r="Y2019" s="15">
        <f>IF($AN2019="","",IF(INDEX(職員マスタ!$K$6:$K$405,$AN2019)="","",INDEX(職員マスタ!$K$6:$K$405,$AN2019)))</f>
        <v/>
      </c>
      <c r="Z2019" s="14">
        <f>IF(OR($E2019="",$Y2019=""),"",IF($E2019&gt;=$Y2019,"×",IF($E2019&gt;=$Y2019*設定!$C$5,"△","○")))</f>
        <v/>
      </c>
      <c r="AA2019" s="15">
        <f>IF($Z2019="","",IF($Z2019="×",0,IF($Z2019="○",ROUNDDOWN($E2019*設定!$C$4,0),ROUNDDOWN($E2019*ROUND((9*$Y2019-9*$E2019)/(10*$E2019),4),0))))</f>
        <v/>
      </c>
      <c r="AB2019" s="13" t="n"/>
      <c r="AC2019" s="15">
        <f>IF($B2019="","",IF($AB2019&lt;&gt;"",$AB2019,IF($AA2019="","",IF($AA2019&lt;=設定!$C$3,0,$AA2019))))</f>
        <v/>
      </c>
      <c r="AD2019" s="14">
        <f>IF($B2019="","",IF(AND($AE2019&lt;&gt;"",$AG2019="",$AJ2019=""),"保留中",IF($AJ2019&lt;&gt;"",IF(N($AC2019)&gt;0,"支給済","不支給"),IF($AC2019="","要確認",IF($AC2019=0,"不支給","未処理")))))</f>
        <v/>
      </c>
      <c r="AE2019" s="12" t="n"/>
      <c r="AF2019" s="11" t="n"/>
      <c r="AG2019" s="11" t="n"/>
      <c r="AH2019" s="11" t="n"/>
      <c r="AI2019" s="14">
        <f>IF(AND($AD2019="保留中",$AF2019&lt;&gt;""),TODAY()-$AF2019,"")</f>
        <v/>
      </c>
      <c r="AJ2019" s="12" t="n"/>
      <c r="AK2019" s="14">
        <f>IF($B2019="","",IF($AO2019="","対象年月が未入力／","")&amp;IF($B2019="","",IF($AN2019="","職員マスタに未登録の職員番号／",IF($Y2019="","標準報酬月額が未登録／","")&amp;IF(AND($AO2019&lt;&gt;"",OR(AND(INDEX(職員マスタ!$G$6:$G$405,$AN2019)&lt;&gt;"",INDEX(職員マスタ!$G$6:$G$405,$AN2019)&gt;EOMONTH($AO2019,0)),AND(INDEX(職員マスタ!$H$6:$H$405,$AN2019)&lt;&gt;"",INDEX(職員マスタ!$H$6:$H$405,$AN2019)&lt;$AO2019))),"対象月が時短期間外／","")&amp;IF(AND(INDEX(職員マスタ!$F$6:$F$405,$AN2019)&lt;&gt;"",$AO2019&lt;&gt;"",INDEX(職員マスタ!$F$6:$F$405,$AN2019)&lt;$AO2019),"対象月に子が2歳到達済／","")&amp;IF(AND($H2019&lt;&gt;"",INDEX(職員マスタ!$B$6:$B$405,$AN2019)&lt;&gt;"",SUBSTITUTE(SUBSTITUTE($H2019," ","")," ","")&lt;&gt;SUBSTITUTE(SUBSTITUTE(INDEX(職員マスタ!$B$6:$B$405,$AN2019)," ","")," ","")),"氏名がマスタと相違／","")&amp;IF(AND($Q2019&lt;&gt;"",INDEX(職員マスタ!$E$6:$E$405,$AN2019)&lt;&gt;"",$Q2019&lt;&gt;INDEX(職員マスタ!$E$6:$E$405,$AN2019)),"子の生年月日がマスタと相違／","")&amp;IF(AND($L2019&lt;&gt;"",INDEX(職員マスタ!$G$6:$G$405,$AN2019)&lt;&gt;"",$L2019&lt;&gt;INDEX(職員マスタ!$G$6:$G$405,$AN2019)),"時短開始日がマスタと相違／","")&amp;IF(AND($M2019&lt;&gt;"",INDEX(職員マスタ!$H$6:$H$405,$AN2019)&lt;&gt;"",$M2019&lt;&gt;INDEX(職員マスタ!$H$6:$H$405,$AN2019)),"時短終了日がマスタと相違／","")))&amp;IF(AND($B2019&lt;&gt;"",$E2019=""),"報酬額が未入力／","")&amp;IF(N($U2019)&gt;0,"申請書に入力エラーが残っています／","")&amp;IF(AND($B2019&lt;&gt;"",$AO2019&lt;&gt;""),IF(COUNTIFS($B$6:$B$3005,$B2019,$C$6:$C$3005,$C2019,$D$6:$D$3005,$D2019)&gt;1,"同じ月の請求が重複しています／",""),"")&amp;IF(AND(N($E2019)&gt;0,$Z2019&lt;&gt;"",$Z2019&lt;&gt;"×",$AC2019=0,$AB2019=""),"計算額が下限以下のため不支給／",""))</f>
        <v/>
      </c>
      <c r="AL2019" s="12" t="n"/>
      <c r="AM2019" s="14">
        <f>IF($AD2019="保留中",COUNTIF($AD$6:$AD2019,"保留中"),"")</f>
        <v/>
      </c>
      <c r="AN2019" s="14">
        <f>IF($AO2019="","",IF(SUMPRODUCT(MAX((職員マスタ!$A$6:$A$405=$B2019)*(((職員マスタ!$G$6:$G$405="")+(職員マスタ!$G$6:$G$405&lt;=EOMONTH($AO2019,0)))&gt;0)*(((職員マスタ!$H$6:$H$405="")+(職員マスタ!$H$6:$H$405&gt;=$AO2019))&gt;0)*(ROW(職員マスタ!$A$6:$A$405)-5)))&gt;0,SUMPRODUCT(MAX((職員マスタ!$A$6:$A$405=$B2019)*(((職員マスタ!$G$6:$G$405="")+(職員マスタ!$G$6:$G$405&lt;=EOMONTH($AO2019,0)))&gt;0)*(((職員マスタ!$H$6:$H$405="")+(職員マスタ!$H$6:$H$405&gt;=$AO2019))&gt;0)*(ROW(職員マスタ!$A$6:$A$405)-5))),IFERROR(MATCH($B2019,職員マスタ!$A$6:$A$405,0),"")))</f>
        <v/>
      </c>
      <c r="AO2019" s="16">
        <f>IF(OR($B2019="",$C2019="",$D2019=""),"",DATE($C2019+2018,$D2019,1))</f>
        <v/>
      </c>
    </row>
    <row r="2020">
      <c r="A2020" s="11" t="n"/>
      <c r="B2020" s="12" t="n"/>
      <c r="C2020" s="12" t="n"/>
      <c r="D2020" s="12" t="n"/>
      <c r="E2020" s="13" t="n"/>
      <c r="F2020" s="12" t="n"/>
      <c r="G2020" s="13" t="n"/>
      <c r="H2020" s="12" t="n"/>
      <c r="I2020" s="12" t="n"/>
      <c r="J2020" s="12" t="n"/>
      <c r="K2020" s="12" t="n"/>
      <c r="L2020" s="11" t="n"/>
      <c r="M2020" s="11" t="n"/>
      <c r="N2020" s="11" t="n"/>
      <c r="O2020" s="11" t="n"/>
      <c r="P2020" s="12" t="n"/>
      <c r="Q2020" s="11" t="n"/>
      <c r="R2020" s="12" t="n"/>
      <c r="S2020" s="11" t="n"/>
      <c r="T2020" s="12" t="n"/>
      <c r="U2020" s="12" t="n"/>
      <c r="V2020" s="14">
        <f>IF($AN2020="",IF($B2020="","",$H2020),IF(INDEX(職員マスタ!$B$6:$B$405,$AN2020)="",$H2020,INDEX(職員マスタ!$B$6:$B$405,$AN2020)))</f>
        <v/>
      </c>
      <c r="W2020" s="14">
        <f>IF($AN2020="",IF($B2020="","",$R2020),IF(INDEX(職員マスタ!$C$6:$C$405,$AN2020)="",$R2020,INDEX(職員マスタ!$C$6:$C$405,$AN2020)))</f>
        <v/>
      </c>
      <c r="X2020" s="14">
        <f>IF($AO2020="","","R"&amp;$C2020&amp;"."&amp;$D2020)</f>
        <v/>
      </c>
      <c r="Y2020" s="15">
        <f>IF($AN2020="","",IF(INDEX(職員マスタ!$K$6:$K$405,$AN2020)="","",INDEX(職員マスタ!$K$6:$K$405,$AN2020)))</f>
        <v/>
      </c>
      <c r="Z2020" s="14">
        <f>IF(OR($E2020="",$Y2020=""),"",IF($E2020&gt;=$Y2020,"×",IF($E2020&gt;=$Y2020*設定!$C$5,"△","○")))</f>
        <v/>
      </c>
      <c r="AA2020" s="15">
        <f>IF($Z2020="","",IF($Z2020="×",0,IF($Z2020="○",ROUNDDOWN($E2020*設定!$C$4,0),ROUNDDOWN($E2020*ROUND((9*$Y2020-9*$E2020)/(10*$E2020),4),0))))</f>
        <v/>
      </c>
      <c r="AB2020" s="13" t="n"/>
      <c r="AC2020" s="15">
        <f>IF($B2020="","",IF($AB2020&lt;&gt;"",$AB2020,IF($AA2020="","",IF($AA2020&lt;=設定!$C$3,0,$AA2020))))</f>
        <v/>
      </c>
      <c r="AD2020" s="14">
        <f>IF($B2020="","",IF(AND($AE2020&lt;&gt;"",$AG2020="",$AJ2020=""),"保留中",IF($AJ2020&lt;&gt;"",IF(N($AC2020)&gt;0,"支給済","不支給"),IF($AC2020="","要確認",IF($AC2020=0,"不支給","未処理")))))</f>
        <v/>
      </c>
      <c r="AE2020" s="12" t="n"/>
      <c r="AF2020" s="11" t="n"/>
      <c r="AG2020" s="11" t="n"/>
      <c r="AH2020" s="11" t="n"/>
      <c r="AI2020" s="14">
        <f>IF(AND($AD2020="保留中",$AF2020&lt;&gt;""),TODAY()-$AF2020,"")</f>
        <v/>
      </c>
      <c r="AJ2020" s="12" t="n"/>
      <c r="AK2020" s="14">
        <f>IF($B2020="","",IF($AO2020="","対象年月が未入力／","")&amp;IF($B2020="","",IF($AN2020="","職員マスタに未登録の職員番号／",IF($Y2020="","標準報酬月額が未登録／","")&amp;IF(AND($AO2020&lt;&gt;"",OR(AND(INDEX(職員マスタ!$G$6:$G$405,$AN2020)&lt;&gt;"",INDEX(職員マスタ!$G$6:$G$405,$AN2020)&gt;EOMONTH($AO2020,0)),AND(INDEX(職員マスタ!$H$6:$H$405,$AN2020)&lt;&gt;"",INDEX(職員マスタ!$H$6:$H$405,$AN2020)&lt;$AO2020))),"対象月が時短期間外／","")&amp;IF(AND(INDEX(職員マスタ!$F$6:$F$405,$AN2020)&lt;&gt;"",$AO2020&lt;&gt;"",INDEX(職員マスタ!$F$6:$F$405,$AN2020)&lt;$AO2020),"対象月に子が2歳到達済／","")&amp;IF(AND($H2020&lt;&gt;"",INDEX(職員マスタ!$B$6:$B$405,$AN2020)&lt;&gt;"",SUBSTITUTE(SUBSTITUTE($H2020," ","")," ","")&lt;&gt;SUBSTITUTE(SUBSTITUTE(INDEX(職員マスタ!$B$6:$B$405,$AN2020)," ","")," ","")),"氏名がマスタと相違／","")&amp;IF(AND($Q2020&lt;&gt;"",INDEX(職員マスタ!$E$6:$E$405,$AN2020)&lt;&gt;"",$Q2020&lt;&gt;INDEX(職員マスタ!$E$6:$E$405,$AN2020)),"子の生年月日がマスタと相違／","")&amp;IF(AND($L2020&lt;&gt;"",INDEX(職員マスタ!$G$6:$G$405,$AN2020)&lt;&gt;"",$L2020&lt;&gt;INDEX(職員マスタ!$G$6:$G$405,$AN2020)),"時短開始日がマスタと相違／","")&amp;IF(AND($M2020&lt;&gt;"",INDEX(職員マスタ!$H$6:$H$405,$AN2020)&lt;&gt;"",$M2020&lt;&gt;INDEX(職員マスタ!$H$6:$H$405,$AN2020)),"時短終了日がマスタと相違／","")))&amp;IF(AND($B2020&lt;&gt;"",$E2020=""),"報酬額が未入力／","")&amp;IF(N($U2020)&gt;0,"申請書に入力エラーが残っています／","")&amp;IF(AND($B2020&lt;&gt;"",$AO2020&lt;&gt;""),IF(COUNTIFS($B$6:$B$3005,$B2020,$C$6:$C$3005,$C2020,$D$6:$D$3005,$D2020)&gt;1,"同じ月の請求が重複しています／",""),"")&amp;IF(AND(N($E2020)&gt;0,$Z2020&lt;&gt;"",$Z2020&lt;&gt;"×",$AC2020=0,$AB2020=""),"計算額が下限以下のため不支給／",""))</f>
        <v/>
      </c>
      <c r="AL2020" s="12" t="n"/>
      <c r="AM2020" s="14">
        <f>IF($AD2020="保留中",COUNTIF($AD$6:$AD2020,"保留中"),"")</f>
        <v/>
      </c>
      <c r="AN2020" s="14">
        <f>IF($AO2020="","",IF(SUMPRODUCT(MAX((職員マスタ!$A$6:$A$405=$B2020)*(((職員マスタ!$G$6:$G$405="")+(職員マスタ!$G$6:$G$405&lt;=EOMONTH($AO2020,0)))&gt;0)*(((職員マスタ!$H$6:$H$405="")+(職員マスタ!$H$6:$H$405&gt;=$AO2020))&gt;0)*(ROW(職員マスタ!$A$6:$A$405)-5)))&gt;0,SUMPRODUCT(MAX((職員マスタ!$A$6:$A$405=$B2020)*(((職員マスタ!$G$6:$G$405="")+(職員マスタ!$G$6:$G$405&lt;=EOMONTH($AO2020,0)))&gt;0)*(((職員マスタ!$H$6:$H$405="")+(職員マスタ!$H$6:$H$405&gt;=$AO2020))&gt;0)*(ROW(職員マスタ!$A$6:$A$405)-5))),IFERROR(MATCH($B2020,職員マスタ!$A$6:$A$405,0),"")))</f>
        <v/>
      </c>
      <c r="AO2020" s="16">
        <f>IF(OR($B2020="",$C2020="",$D2020=""),"",DATE($C2020+2018,$D2020,1))</f>
        <v/>
      </c>
    </row>
    <row r="2021">
      <c r="A2021" s="11" t="n"/>
      <c r="B2021" s="12" t="n"/>
      <c r="C2021" s="12" t="n"/>
      <c r="D2021" s="12" t="n"/>
      <c r="E2021" s="13" t="n"/>
      <c r="F2021" s="12" t="n"/>
      <c r="G2021" s="13" t="n"/>
      <c r="H2021" s="12" t="n"/>
      <c r="I2021" s="12" t="n"/>
      <c r="J2021" s="12" t="n"/>
      <c r="K2021" s="12" t="n"/>
      <c r="L2021" s="11" t="n"/>
      <c r="M2021" s="11" t="n"/>
      <c r="N2021" s="11" t="n"/>
      <c r="O2021" s="11" t="n"/>
      <c r="P2021" s="12" t="n"/>
      <c r="Q2021" s="11" t="n"/>
      <c r="R2021" s="12" t="n"/>
      <c r="S2021" s="11" t="n"/>
      <c r="T2021" s="12" t="n"/>
      <c r="U2021" s="12" t="n"/>
      <c r="V2021" s="14">
        <f>IF($AN2021="",IF($B2021="","",$H2021),IF(INDEX(職員マスタ!$B$6:$B$405,$AN2021)="",$H2021,INDEX(職員マスタ!$B$6:$B$405,$AN2021)))</f>
        <v/>
      </c>
      <c r="W2021" s="14">
        <f>IF($AN2021="",IF($B2021="","",$R2021),IF(INDEX(職員マスタ!$C$6:$C$405,$AN2021)="",$R2021,INDEX(職員マスタ!$C$6:$C$405,$AN2021)))</f>
        <v/>
      </c>
      <c r="X2021" s="14">
        <f>IF($AO2021="","","R"&amp;$C2021&amp;"."&amp;$D2021)</f>
        <v/>
      </c>
      <c r="Y2021" s="15">
        <f>IF($AN2021="","",IF(INDEX(職員マスタ!$K$6:$K$405,$AN2021)="","",INDEX(職員マスタ!$K$6:$K$405,$AN2021)))</f>
        <v/>
      </c>
      <c r="Z2021" s="14">
        <f>IF(OR($E2021="",$Y2021=""),"",IF($E2021&gt;=$Y2021,"×",IF($E2021&gt;=$Y2021*設定!$C$5,"△","○")))</f>
        <v/>
      </c>
      <c r="AA2021" s="15">
        <f>IF($Z2021="","",IF($Z2021="×",0,IF($Z2021="○",ROUNDDOWN($E2021*設定!$C$4,0),ROUNDDOWN($E2021*ROUND((9*$Y2021-9*$E2021)/(10*$E2021),4),0))))</f>
        <v/>
      </c>
      <c r="AB2021" s="13" t="n"/>
      <c r="AC2021" s="15">
        <f>IF($B2021="","",IF($AB2021&lt;&gt;"",$AB2021,IF($AA2021="","",IF($AA2021&lt;=設定!$C$3,0,$AA2021))))</f>
        <v/>
      </c>
      <c r="AD2021" s="14">
        <f>IF($B2021="","",IF(AND($AE2021&lt;&gt;"",$AG2021="",$AJ2021=""),"保留中",IF($AJ2021&lt;&gt;"",IF(N($AC2021)&gt;0,"支給済","不支給"),IF($AC2021="","要確認",IF($AC2021=0,"不支給","未処理")))))</f>
        <v/>
      </c>
      <c r="AE2021" s="12" t="n"/>
      <c r="AF2021" s="11" t="n"/>
      <c r="AG2021" s="11" t="n"/>
      <c r="AH2021" s="11" t="n"/>
      <c r="AI2021" s="14">
        <f>IF(AND($AD2021="保留中",$AF2021&lt;&gt;""),TODAY()-$AF2021,"")</f>
        <v/>
      </c>
      <c r="AJ2021" s="12" t="n"/>
      <c r="AK2021" s="14">
        <f>IF($B2021="","",IF($AO2021="","対象年月が未入力／","")&amp;IF($B2021="","",IF($AN2021="","職員マスタに未登録の職員番号／",IF($Y2021="","標準報酬月額が未登録／","")&amp;IF(AND($AO2021&lt;&gt;"",OR(AND(INDEX(職員マスタ!$G$6:$G$405,$AN2021)&lt;&gt;"",INDEX(職員マスタ!$G$6:$G$405,$AN2021)&gt;EOMONTH($AO2021,0)),AND(INDEX(職員マスタ!$H$6:$H$405,$AN2021)&lt;&gt;"",INDEX(職員マスタ!$H$6:$H$405,$AN2021)&lt;$AO2021))),"対象月が時短期間外／","")&amp;IF(AND(INDEX(職員マスタ!$F$6:$F$405,$AN2021)&lt;&gt;"",$AO2021&lt;&gt;"",INDEX(職員マスタ!$F$6:$F$405,$AN2021)&lt;$AO2021),"対象月に子が2歳到達済／","")&amp;IF(AND($H2021&lt;&gt;"",INDEX(職員マスタ!$B$6:$B$405,$AN2021)&lt;&gt;"",SUBSTITUTE(SUBSTITUTE($H2021," ","")," ","")&lt;&gt;SUBSTITUTE(SUBSTITUTE(INDEX(職員マスタ!$B$6:$B$405,$AN2021)," ","")," ","")),"氏名がマスタと相違／","")&amp;IF(AND($Q2021&lt;&gt;"",INDEX(職員マスタ!$E$6:$E$405,$AN2021)&lt;&gt;"",$Q2021&lt;&gt;INDEX(職員マスタ!$E$6:$E$405,$AN2021)),"子の生年月日がマスタと相違／","")&amp;IF(AND($L2021&lt;&gt;"",INDEX(職員マスタ!$G$6:$G$405,$AN2021)&lt;&gt;"",$L2021&lt;&gt;INDEX(職員マスタ!$G$6:$G$405,$AN2021)),"時短開始日がマスタと相違／","")&amp;IF(AND($M2021&lt;&gt;"",INDEX(職員マスタ!$H$6:$H$405,$AN2021)&lt;&gt;"",$M2021&lt;&gt;INDEX(職員マスタ!$H$6:$H$405,$AN2021)),"時短終了日がマスタと相違／","")))&amp;IF(AND($B2021&lt;&gt;"",$E2021=""),"報酬額が未入力／","")&amp;IF(N($U2021)&gt;0,"申請書に入力エラーが残っています／","")&amp;IF(AND($B2021&lt;&gt;"",$AO2021&lt;&gt;""),IF(COUNTIFS($B$6:$B$3005,$B2021,$C$6:$C$3005,$C2021,$D$6:$D$3005,$D2021)&gt;1,"同じ月の請求が重複しています／",""),"")&amp;IF(AND(N($E2021)&gt;0,$Z2021&lt;&gt;"",$Z2021&lt;&gt;"×",$AC2021=0,$AB2021=""),"計算額が下限以下のため不支給／",""))</f>
        <v/>
      </c>
      <c r="AL2021" s="12" t="n"/>
      <c r="AM2021" s="14">
        <f>IF($AD2021="保留中",COUNTIF($AD$6:$AD2021,"保留中"),"")</f>
        <v/>
      </c>
      <c r="AN2021" s="14">
        <f>IF($AO2021="","",IF(SUMPRODUCT(MAX((職員マスタ!$A$6:$A$405=$B2021)*(((職員マスタ!$G$6:$G$405="")+(職員マスタ!$G$6:$G$405&lt;=EOMONTH($AO2021,0)))&gt;0)*(((職員マスタ!$H$6:$H$405="")+(職員マスタ!$H$6:$H$405&gt;=$AO2021))&gt;0)*(ROW(職員マスタ!$A$6:$A$405)-5)))&gt;0,SUMPRODUCT(MAX((職員マスタ!$A$6:$A$405=$B2021)*(((職員マスタ!$G$6:$G$405="")+(職員マスタ!$G$6:$G$405&lt;=EOMONTH($AO2021,0)))&gt;0)*(((職員マスタ!$H$6:$H$405="")+(職員マスタ!$H$6:$H$405&gt;=$AO2021))&gt;0)*(ROW(職員マスタ!$A$6:$A$405)-5))),IFERROR(MATCH($B2021,職員マスタ!$A$6:$A$405,0),"")))</f>
        <v/>
      </c>
      <c r="AO2021" s="16">
        <f>IF(OR($B2021="",$C2021="",$D2021=""),"",DATE($C2021+2018,$D2021,1))</f>
        <v/>
      </c>
    </row>
    <row r="2022">
      <c r="A2022" s="11" t="n"/>
      <c r="B2022" s="12" t="n"/>
      <c r="C2022" s="12" t="n"/>
      <c r="D2022" s="12" t="n"/>
      <c r="E2022" s="13" t="n"/>
      <c r="F2022" s="12" t="n"/>
      <c r="G2022" s="13" t="n"/>
      <c r="H2022" s="12" t="n"/>
      <c r="I2022" s="12" t="n"/>
      <c r="J2022" s="12" t="n"/>
      <c r="K2022" s="12" t="n"/>
      <c r="L2022" s="11" t="n"/>
      <c r="M2022" s="11" t="n"/>
      <c r="N2022" s="11" t="n"/>
      <c r="O2022" s="11" t="n"/>
      <c r="P2022" s="12" t="n"/>
      <c r="Q2022" s="11" t="n"/>
      <c r="R2022" s="12" t="n"/>
      <c r="S2022" s="11" t="n"/>
      <c r="T2022" s="12" t="n"/>
      <c r="U2022" s="12" t="n"/>
      <c r="V2022" s="14">
        <f>IF($AN2022="",IF($B2022="","",$H2022),IF(INDEX(職員マスタ!$B$6:$B$405,$AN2022)="",$H2022,INDEX(職員マスタ!$B$6:$B$405,$AN2022)))</f>
        <v/>
      </c>
      <c r="W2022" s="14">
        <f>IF($AN2022="",IF($B2022="","",$R2022),IF(INDEX(職員マスタ!$C$6:$C$405,$AN2022)="",$R2022,INDEX(職員マスタ!$C$6:$C$405,$AN2022)))</f>
        <v/>
      </c>
      <c r="X2022" s="14">
        <f>IF($AO2022="","","R"&amp;$C2022&amp;"."&amp;$D2022)</f>
        <v/>
      </c>
      <c r="Y2022" s="15">
        <f>IF($AN2022="","",IF(INDEX(職員マスタ!$K$6:$K$405,$AN2022)="","",INDEX(職員マスタ!$K$6:$K$405,$AN2022)))</f>
        <v/>
      </c>
      <c r="Z2022" s="14">
        <f>IF(OR($E2022="",$Y2022=""),"",IF($E2022&gt;=$Y2022,"×",IF($E2022&gt;=$Y2022*設定!$C$5,"△","○")))</f>
        <v/>
      </c>
      <c r="AA2022" s="15">
        <f>IF($Z2022="","",IF($Z2022="×",0,IF($Z2022="○",ROUNDDOWN($E2022*設定!$C$4,0),ROUNDDOWN($E2022*ROUND((9*$Y2022-9*$E2022)/(10*$E2022),4),0))))</f>
        <v/>
      </c>
      <c r="AB2022" s="13" t="n"/>
      <c r="AC2022" s="15">
        <f>IF($B2022="","",IF($AB2022&lt;&gt;"",$AB2022,IF($AA2022="","",IF($AA2022&lt;=設定!$C$3,0,$AA2022))))</f>
        <v/>
      </c>
      <c r="AD2022" s="14">
        <f>IF($B2022="","",IF(AND($AE2022&lt;&gt;"",$AG2022="",$AJ2022=""),"保留中",IF($AJ2022&lt;&gt;"",IF(N($AC2022)&gt;0,"支給済","不支給"),IF($AC2022="","要確認",IF($AC2022=0,"不支給","未処理")))))</f>
        <v/>
      </c>
      <c r="AE2022" s="12" t="n"/>
      <c r="AF2022" s="11" t="n"/>
      <c r="AG2022" s="11" t="n"/>
      <c r="AH2022" s="11" t="n"/>
      <c r="AI2022" s="14">
        <f>IF(AND($AD2022="保留中",$AF2022&lt;&gt;""),TODAY()-$AF2022,"")</f>
        <v/>
      </c>
      <c r="AJ2022" s="12" t="n"/>
      <c r="AK2022" s="14">
        <f>IF($B2022="","",IF($AO2022="","対象年月が未入力／","")&amp;IF($B2022="","",IF($AN2022="","職員マスタに未登録の職員番号／",IF($Y2022="","標準報酬月額が未登録／","")&amp;IF(AND($AO2022&lt;&gt;"",OR(AND(INDEX(職員マスタ!$G$6:$G$405,$AN2022)&lt;&gt;"",INDEX(職員マスタ!$G$6:$G$405,$AN2022)&gt;EOMONTH($AO2022,0)),AND(INDEX(職員マスタ!$H$6:$H$405,$AN2022)&lt;&gt;"",INDEX(職員マスタ!$H$6:$H$405,$AN2022)&lt;$AO2022))),"対象月が時短期間外／","")&amp;IF(AND(INDEX(職員マスタ!$F$6:$F$405,$AN2022)&lt;&gt;"",$AO2022&lt;&gt;"",INDEX(職員マスタ!$F$6:$F$405,$AN2022)&lt;$AO2022),"対象月に子が2歳到達済／","")&amp;IF(AND($H2022&lt;&gt;"",INDEX(職員マスタ!$B$6:$B$405,$AN2022)&lt;&gt;"",SUBSTITUTE(SUBSTITUTE($H2022," ","")," ","")&lt;&gt;SUBSTITUTE(SUBSTITUTE(INDEX(職員マスタ!$B$6:$B$405,$AN2022)," ","")," ","")),"氏名がマスタと相違／","")&amp;IF(AND($Q2022&lt;&gt;"",INDEX(職員マスタ!$E$6:$E$405,$AN2022)&lt;&gt;"",$Q2022&lt;&gt;INDEX(職員マスタ!$E$6:$E$405,$AN2022)),"子の生年月日がマスタと相違／","")&amp;IF(AND($L2022&lt;&gt;"",INDEX(職員マスタ!$G$6:$G$405,$AN2022)&lt;&gt;"",$L2022&lt;&gt;INDEX(職員マスタ!$G$6:$G$405,$AN2022)),"時短開始日がマスタと相違／","")&amp;IF(AND($M2022&lt;&gt;"",INDEX(職員マスタ!$H$6:$H$405,$AN2022)&lt;&gt;"",$M2022&lt;&gt;INDEX(職員マスタ!$H$6:$H$405,$AN2022)),"時短終了日がマスタと相違／","")))&amp;IF(AND($B2022&lt;&gt;"",$E2022=""),"報酬額が未入力／","")&amp;IF(N($U2022)&gt;0,"申請書に入力エラーが残っています／","")&amp;IF(AND($B2022&lt;&gt;"",$AO2022&lt;&gt;""),IF(COUNTIFS($B$6:$B$3005,$B2022,$C$6:$C$3005,$C2022,$D$6:$D$3005,$D2022)&gt;1,"同じ月の請求が重複しています／",""),"")&amp;IF(AND(N($E2022)&gt;0,$Z2022&lt;&gt;"",$Z2022&lt;&gt;"×",$AC2022=0,$AB2022=""),"計算額が下限以下のため不支給／",""))</f>
        <v/>
      </c>
      <c r="AL2022" s="12" t="n"/>
      <c r="AM2022" s="14">
        <f>IF($AD2022="保留中",COUNTIF($AD$6:$AD2022,"保留中"),"")</f>
        <v/>
      </c>
      <c r="AN2022" s="14">
        <f>IF($AO2022="","",IF(SUMPRODUCT(MAX((職員マスタ!$A$6:$A$405=$B2022)*(((職員マスタ!$G$6:$G$405="")+(職員マスタ!$G$6:$G$405&lt;=EOMONTH($AO2022,0)))&gt;0)*(((職員マスタ!$H$6:$H$405="")+(職員マスタ!$H$6:$H$405&gt;=$AO2022))&gt;0)*(ROW(職員マスタ!$A$6:$A$405)-5)))&gt;0,SUMPRODUCT(MAX((職員マスタ!$A$6:$A$405=$B2022)*(((職員マスタ!$G$6:$G$405="")+(職員マスタ!$G$6:$G$405&lt;=EOMONTH($AO2022,0)))&gt;0)*(((職員マスタ!$H$6:$H$405="")+(職員マスタ!$H$6:$H$405&gt;=$AO2022))&gt;0)*(ROW(職員マスタ!$A$6:$A$405)-5))),IFERROR(MATCH($B2022,職員マスタ!$A$6:$A$405,0),"")))</f>
        <v/>
      </c>
      <c r="AO2022" s="16">
        <f>IF(OR($B2022="",$C2022="",$D2022=""),"",DATE($C2022+2018,$D2022,1))</f>
        <v/>
      </c>
    </row>
    <row r="2023">
      <c r="A2023" s="11" t="n"/>
      <c r="B2023" s="12" t="n"/>
      <c r="C2023" s="12" t="n"/>
      <c r="D2023" s="12" t="n"/>
      <c r="E2023" s="13" t="n"/>
      <c r="F2023" s="12" t="n"/>
      <c r="G2023" s="13" t="n"/>
      <c r="H2023" s="12" t="n"/>
      <c r="I2023" s="12" t="n"/>
      <c r="J2023" s="12" t="n"/>
      <c r="K2023" s="12" t="n"/>
      <c r="L2023" s="11" t="n"/>
      <c r="M2023" s="11" t="n"/>
      <c r="N2023" s="11" t="n"/>
      <c r="O2023" s="11" t="n"/>
      <c r="P2023" s="12" t="n"/>
      <c r="Q2023" s="11" t="n"/>
      <c r="R2023" s="12" t="n"/>
      <c r="S2023" s="11" t="n"/>
      <c r="T2023" s="12" t="n"/>
      <c r="U2023" s="12" t="n"/>
      <c r="V2023" s="14">
        <f>IF($AN2023="",IF($B2023="","",$H2023),IF(INDEX(職員マスタ!$B$6:$B$405,$AN2023)="",$H2023,INDEX(職員マスタ!$B$6:$B$405,$AN2023)))</f>
        <v/>
      </c>
      <c r="W2023" s="14">
        <f>IF($AN2023="",IF($B2023="","",$R2023),IF(INDEX(職員マスタ!$C$6:$C$405,$AN2023)="",$R2023,INDEX(職員マスタ!$C$6:$C$405,$AN2023)))</f>
        <v/>
      </c>
      <c r="X2023" s="14">
        <f>IF($AO2023="","","R"&amp;$C2023&amp;"."&amp;$D2023)</f>
        <v/>
      </c>
      <c r="Y2023" s="15">
        <f>IF($AN2023="","",IF(INDEX(職員マスタ!$K$6:$K$405,$AN2023)="","",INDEX(職員マスタ!$K$6:$K$405,$AN2023)))</f>
        <v/>
      </c>
      <c r="Z2023" s="14">
        <f>IF(OR($E2023="",$Y2023=""),"",IF($E2023&gt;=$Y2023,"×",IF($E2023&gt;=$Y2023*設定!$C$5,"△","○")))</f>
        <v/>
      </c>
      <c r="AA2023" s="15">
        <f>IF($Z2023="","",IF($Z2023="×",0,IF($Z2023="○",ROUNDDOWN($E2023*設定!$C$4,0),ROUNDDOWN($E2023*ROUND((9*$Y2023-9*$E2023)/(10*$E2023),4),0))))</f>
        <v/>
      </c>
      <c r="AB2023" s="13" t="n"/>
      <c r="AC2023" s="15">
        <f>IF($B2023="","",IF($AB2023&lt;&gt;"",$AB2023,IF($AA2023="","",IF($AA2023&lt;=設定!$C$3,0,$AA2023))))</f>
        <v/>
      </c>
      <c r="AD2023" s="14">
        <f>IF($B2023="","",IF(AND($AE2023&lt;&gt;"",$AG2023="",$AJ2023=""),"保留中",IF($AJ2023&lt;&gt;"",IF(N($AC2023)&gt;0,"支給済","不支給"),IF($AC2023="","要確認",IF($AC2023=0,"不支給","未処理")))))</f>
        <v/>
      </c>
      <c r="AE2023" s="12" t="n"/>
      <c r="AF2023" s="11" t="n"/>
      <c r="AG2023" s="11" t="n"/>
      <c r="AH2023" s="11" t="n"/>
      <c r="AI2023" s="14">
        <f>IF(AND($AD2023="保留中",$AF2023&lt;&gt;""),TODAY()-$AF2023,"")</f>
        <v/>
      </c>
      <c r="AJ2023" s="12" t="n"/>
      <c r="AK2023" s="14">
        <f>IF($B2023="","",IF($AO2023="","対象年月が未入力／","")&amp;IF($B2023="","",IF($AN2023="","職員マスタに未登録の職員番号／",IF($Y2023="","標準報酬月額が未登録／","")&amp;IF(AND($AO2023&lt;&gt;"",OR(AND(INDEX(職員マスタ!$G$6:$G$405,$AN2023)&lt;&gt;"",INDEX(職員マスタ!$G$6:$G$405,$AN2023)&gt;EOMONTH($AO2023,0)),AND(INDEX(職員マスタ!$H$6:$H$405,$AN2023)&lt;&gt;"",INDEX(職員マスタ!$H$6:$H$405,$AN2023)&lt;$AO2023))),"対象月が時短期間外／","")&amp;IF(AND(INDEX(職員マスタ!$F$6:$F$405,$AN2023)&lt;&gt;"",$AO2023&lt;&gt;"",INDEX(職員マスタ!$F$6:$F$405,$AN2023)&lt;$AO2023),"対象月に子が2歳到達済／","")&amp;IF(AND($H2023&lt;&gt;"",INDEX(職員マスタ!$B$6:$B$405,$AN2023)&lt;&gt;"",SUBSTITUTE(SUBSTITUTE($H2023," ","")," ","")&lt;&gt;SUBSTITUTE(SUBSTITUTE(INDEX(職員マスタ!$B$6:$B$405,$AN2023)," ","")," ","")),"氏名がマスタと相違／","")&amp;IF(AND($Q2023&lt;&gt;"",INDEX(職員マスタ!$E$6:$E$405,$AN2023)&lt;&gt;"",$Q2023&lt;&gt;INDEX(職員マスタ!$E$6:$E$405,$AN2023)),"子の生年月日がマスタと相違／","")&amp;IF(AND($L2023&lt;&gt;"",INDEX(職員マスタ!$G$6:$G$405,$AN2023)&lt;&gt;"",$L2023&lt;&gt;INDEX(職員マスタ!$G$6:$G$405,$AN2023)),"時短開始日がマスタと相違／","")&amp;IF(AND($M2023&lt;&gt;"",INDEX(職員マスタ!$H$6:$H$405,$AN2023)&lt;&gt;"",$M2023&lt;&gt;INDEX(職員マスタ!$H$6:$H$405,$AN2023)),"時短終了日がマスタと相違／","")))&amp;IF(AND($B2023&lt;&gt;"",$E2023=""),"報酬額が未入力／","")&amp;IF(N($U2023)&gt;0,"申請書に入力エラーが残っています／","")&amp;IF(AND($B2023&lt;&gt;"",$AO2023&lt;&gt;""),IF(COUNTIFS($B$6:$B$3005,$B2023,$C$6:$C$3005,$C2023,$D$6:$D$3005,$D2023)&gt;1,"同じ月の請求が重複しています／",""),"")&amp;IF(AND(N($E2023)&gt;0,$Z2023&lt;&gt;"",$Z2023&lt;&gt;"×",$AC2023=0,$AB2023=""),"計算額が下限以下のため不支給／",""))</f>
        <v/>
      </c>
      <c r="AL2023" s="12" t="n"/>
      <c r="AM2023" s="14">
        <f>IF($AD2023="保留中",COUNTIF($AD$6:$AD2023,"保留中"),"")</f>
        <v/>
      </c>
      <c r="AN2023" s="14">
        <f>IF($AO2023="","",IF(SUMPRODUCT(MAX((職員マスタ!$A$6:$A$405=$B2023)*(((職員マスタ!$G$6:$G$405="")+(職員マスタ!$G$6:$G$405&lt;=EOMONTH($AO2023,0)))&gt;0)*(((職員マスタ!$H$6:$H$405="")+(職員マスタ!$H$6:$H$405&gt;=$AO2023))&gt;0)*(ROW(職員マスタ!$A$6:$A$405)-5)))&gt;0,SUMPRODUCT(MAX((職員マスタ!$A$6:$A$405=$B2023)*(((職員マスタ!$G$6:$G$405="")+(職員マスタ!$G$6:$G$405&lt;=EOMONTH($AO2023,0)))&gt;0)*(((職員マスタ!$H$6:$H$405="")+(職員マスタ!$H$6:$H$405&gt;=$AO2023))&gt;0)*(ROW(職員マスタ!$A$6:$A$405)-5))),IFERROR(MATCH($B2023,職員マスタ!$A$6:$A$405,0),"")))</f>
        <v/>
      </c>
      <c r="AO2023" s="16">
        <f>IF(OR($B2023="",$C2023="",$D2023=""),"",DATE($C2023+2018,$D2023,1))</f>
        <v/>
      </c>
    </row>
    <row r="2024">
      <c r="A2024" s="11" t="n"/>
      <c r="B2024" s="12" t="n"/>
      <c r="C2024" s="12" t="n"/>
      <c r="D2024" s="12" t="n"/>
      <c r="E2024" s="13" t="n"/>
      <c r="F2024" s="12" t="n"/>
      <c r="G2024" s="13" t="n"/>
      <c r="H2024" s="12" t="n"/>
      <c r="I2024" s="12" t="n"/>
      <c r="J2024" s="12" t="n"/>
      <c r="K2024" s="12" t="n"/>
      <c r="L2024" s="11" t="n"/>
      <c r="M2024" s="11" t="n"/>
      <c r="N2024" s="11" t="n"/>
      <c r="O2024" s="11" t="n"/>
      <c r="P2024" s="12" t="n"/>
      <c r="Q2024" s="11" t="n"/>
      <c r="R2024" s="12" t="n"/>
      <c r="S2024" s="11" t="n"/>
      <c r="T2024" s="12" t="n"/>
      <c r="U2024" s="12" t="n"/>
      <c r="V2024" s="14">
        <f>IF($AN2024="",IF($B2024="","",$H2024),IF(INDEX(職員マスタ!$B$6:$B$405,$AN2024)="",$H2024,INDEX(職員マスタ!$B$6:$B$405,$AN2024)))</f>
        <v/>
      </c>
      <c r="W2024" s="14">
        <f>IF($AN2024="",IF($B2024="","",$R2024),IF(INDEX(職員マスタ!$C$6:$C$405,$AN2024)="",$R2024,INDEX(職員マスタ!$C$6:$C$405,$AN2024)))</f>
        <v/>
      </c>
      <c r="X2024" s="14">
        <f>IF($AO2024="","","R"&amp;$C2024&amp;"."&amp;$D2024)</f>
        <v/>
      </c>
      <c r="Y2024" s="15">
        <f>IF($AN2024="","",IF(INDEX(職員マスタ!$K$6:$K$405,$AN2024)="","",INDEX(職員マスタ!$K$6:$K$405,$AN2024)))</f>
        <v/>
      </c>
      <c r="Z2024" s="14">
        <f>IF(OR($E2024="",$Y2024=""),"",IF($E2024&gt;=$Y2024,"×",IF($E2024&gt;=$Y2024*設定!$C$5,"△","○")))</f>
        <v/>
      </c>
      <c r="AA2024" s="15">
        <f>IF($Z2024="","",IF($Z2024="×",0,IF($Z2024="○",ROUNDDOWN($E2024*設定!$C$4,0),ROUNDDOWN($E2024*ROUND((9*$Y2024-9*$E2024)/(10*$E2024),4),0))))</f>
        <v/>
      </c>
      <c r="AB2024" s="13" t="n"/>
      <c r="AC2024" s="15">
        <f>IF($B2024="","",IF($AB2024&lt;&gt;"",$AB2024,IF($AA2024="","",IF($AA2024&lt;=設定!$C$3,0,$AA2024))))</f>
        <v/>
      </c>
      <c r="AD2024" s="14">
        <f>IF($B2024="","",IF(AND($AE2024&lt;&gt;"",$AG2024="",$AJ2024=""),"保留中",IF($AJ2024&lt;&gt;"",IF(N($AC2024)&gt;0,"支給済","不支給"),IF($AC2024="","要確認",IF($AC2024=0,"不支給","未処理")))))</f>
        <v/>
      </c>
      <c r="AE2024" s="12" t="n"/>
      <c r="AF2024" s="11" t="n"/>
      <c r="AG2024" s="11" t="n"/>
      <c r="AH2024" s="11" t="n"/>
      <c r="AI2024" s="14">
        <f>IF(AND($AD2024="保留中",$AF2024&lt;&gt;""),TODAY()-$AF2024,"")</f>
        <v/>
      </c>
      <c r="AJ2024" s="12" t="n"/>
      <c r="AK2024" s="14">
        <f>IF($B2024="","",IF($AO2024="","対象年月が未入力／","")&amp;IF($B2024="","",IF($AN2024="","職員マスタに未登録の職員番号／",IF($Y2024="","標準報酬月額が未登録／","")&amp;IF(AND($AO2024&lt;&gt;"",OR(AND(INDEX(職員マスタ!$G$6:$G$405,$AN2024)&lt;&gt;"",INDEX(職員マスタ!$G$6:$G$405,$AN2024)&gt;EOMONTH($AO2024,0)),AND(INDEX(職員マスタ!$H$6:$H$405,$AN2024)&lt;&gt;"",INDEX(職員マスタ!$H$6:$H$405,$AN2024)&lt;$AO2024))),"対象月が時短期間外／","")&amp;IF(AND(INDEX(職員マスタ!$F$6:$F$405,$AN2024)&lt;&gt;"",$AO2024&lt;&gt;"",INDEX(職員マスタ!$F$6:$F$405,$AN2024)&lt;$AO2024),"対象月に子が2歳到達済／","")&amp;IF(AND($H2024&lt;&gt;"",INDEX(職員マスタ!$B$6:$B$405,$AN2024)&lt;&gt;"",SUBSTITUTE(SUBSTITUTE($H2024," ","")," ","")&lt;&gt;SUBSTITUTE(SUBSTITUTE(INDEX(職員マスタ!$B$6:$B$405,$AN2024)," ","")," ","")),"氏名がマスタと相違／","")&amp;IF(AND($Q2024&lt;&gt;"",INDEX(職員マスタ!$E$6:$E$405,$AN2024)&lt;&gt;"",$Q2024&lt;&gt;INDEX(職員マスタ!$E$6:$E$405,$AN2024)),"子の生年月日がマスタと相違／","")&amp;IF(AND($L2024&lt;&gt;"",INDEX(職員マスタ!$G$6:$G$405,$AN2024)&lt;&gt;"",$L2024&lt;&gt;INDEX(職員マスタ!$G$6:$G$405,$AN2024)),"時短開始日がマスタと相違／","")&amp;IF(AND($M2024&lt;&gt;"",INDEX(職員マスタ!$H$6:$H$405,$AN2024)&lt;&gt;"",$M2024&lt;&gt;INDEX(職員マスタ!$H$6:$H$405,$AN2024)),"時短終了日がマスタと相違／","")))&amp;IF(AND($B2024&lt;&gt;"",$E2024=""),"報酬額が未入力／","")&amp;IF(N($U2024)&gt;0,"申請書に入力エラーが残っています／","")&amp;IF(AND($B2024&lt;&gt;"",$AO2024&lt;&gt;""),IF(COUNTIFS($B$6:$B$3005,$B2024,$C$6:$C$3005,$C2024,$D$6:$D$3005,$D2024)&gt;1,"同じ月の請求が重複しています／",""),"")&amp;IF(AND(N($E2024)&gt;0,$Z2024&lt;&gt;"",$Z2024&lt;&gt;"×",$AC2024=0,$AB2024=""),"計算額が下限以下のため不支給／",""))</f>
        <v/>
      </c>
      <c r="AL2024" s="12" t="n"/>
      <c r="AM2024" s="14">
        <f>IF($AD2024="保留中",COUNTIF($AD$6:$AD2024,"保留中"),"")</f>
        <v/>
      </c>
      <c r="AN2024" s="14">
        <f>IF($AO2024="","",IF(SUMPRODUCT(MAX((職員マスタ!$A$6:$A$405=$B2024)*(((職員マスタ!$G$6:$G$405="")+(職員マスタ!$G$6:$G$405&lt;=EOMONTH($AO2024,0)))&gt;0)*(((職員マスタ!$H$6:$H$405="")+(職員マスタ!$H$6:$H$405&gt;=$AO2024))&gt;0)*(ROW(職員マスタ!$A$6:$A$405)-5)))&gt;0,SUMPRODUCT(MAX((職員マスタ!$A$6:$A$405=$B2024)*(((職員マスタ!$G$6:$G$405="")+(職員マスタ!$G$6:$G$405&lt;=EOMONTH($AO2024,0)))&gt;0)*(((職員マスタ!$H$6:$H$405="")+(職員マスタ!$H$6:$H$405&gt;=$AO2024))&gt;0)*(ROW(職員マスタ!$A$6:$A$405)-5))),IFERROR(MATCH($B2024,職員マスタ!$A$6:$A$405,0),"")))</f>
        <v/>
      </c>
      <c r="AO2024" s="16">
        <f>IF(OR($B2024="",$C2024="",$D2024=""),"",DATE($C2024+2018,$D2024,1))</f>
        <v/>
      </c>
    </row>
    <row r="2025">
      <c r="A2025" s="11" t="n"/>
      <c r="B2025" s="12" t="n"/>
      <c r="C2025" s="12" t="n"/>
      <c r="D2025" s="12" t="n"/>
      <c r="E2025" s="13" t="n"/>
      <c r="F2025" s="12" t="n"/>
      <c r="G2025" s="13" t="n"/>
      <c r="H2025" s="12" t="n"/>
      <c r="I2025" s="12" t="n"/>
      <c r="J2025" s="12" t="n"/>
      <c r="K2025" s="12" t="n"/>
      <c r="L2025" s="11" t="n"/>
      <c r="M2025" s="11" t="n"/>
      <c r="N2025" s="11" t="n"/>
      <c r="O2025" s="11" t="n"/>
      <c r="P2025" s="12" t="n"/>
      <c r="Q2025" s="11" t="n"/>
      <c r="R2025" s="12" t="n"/>
      <c r="S2025" s="11" t="n"/>
      <c r="T2025" s="12" t="n"/>
      <c r="U2025" s="12" t="n"/>
      <c r="V2025" s="14">
        <f>IF($AN2025="",IF($B2025="","",$H2025),IF(INDEX(職員マスタ!$B$6:$B$405,$AN2025)="",$H2025,INDEX(職員マスタ!$B$6:$B$405,$AN2025)))</f>
        <v/>
      </c>
      <c r="W2025" s="14">
        <f>IF($AN2025="",IF($B2025="","",$R2025),IF(INDEX(職員マスタ!$C$6:$C$405,$AN2025)="",$R2025,INDEX(職員マスタ!$C$6:$C$405,$AN2025)))</f>
        <v/>
      </c>
      <c r="X2025" s="14">
        <f>IF($AO2025="","","R"&amp;$C2025&amp;"."&amp;$D2025)</f>
        <v/>
      </c>
      <c r="Y2025" s="15">
        <f>IF($AN2025="","",IF(INDEX(職員マスタ!$K$6:$K$405,$AN2025)="","",INDEX(職員マスタ!$K$6:$K$405,$AN2025)))</f>
        <v/>
      </c>
      <c r="Z2025" s="14">
        <f>IF(OR($E2025="",$Y2025=""),"",IF($E2025&gt;=$Y2025,"×",IF($E2025&gt;=$Y2025*設定!$C$5,"△","○")))</f>
        <v/>
      </c>
      <c r="AA2025" s="15">
        <f>IF($Z2025="","",IF($Z2025="×",0,IF($Z2025="○",ROUNDDOWN($E2025*設定!$C$4,0),ROUNDDOWN($E2025*ROUND((9*$Y2025-9*$E2025)/(10*$E2025),4),0))))</f>
        <v/>
      </c>
      <c r="AB2025" s="13" t="n"/>
      <c r="AC2025" s="15">
        <f>IF($B2025="","",IF($AB2025&lt;&gt;"",$AB2025,IF($AA2025="","",IF($AA2025&lt;=設定!$C$3,0,$AA2025))))</f>
        <v/>
      </c>
      <c r="AD2025" s="14">
        <f>IF($B2025="","",IF(AND($AE2025&lt;&gt;"",$AG2025="",$AJ2025=""),"保留中",IF($AJ2025&lt;&gt;"",IF(N($AC2025)&gt;0,"支給済","不支給"),IF($AC2025="","要確認",IF($AC2025=0,"不支給","未処理")))))</f>
        <v/>
      </c>
      <c r="AE2025" s="12" t="n"/>
      <c r="AF2025" s="11" t="n"/>
      <c r="AG2025" s="11" t="n"/>
      <c r="AH2025" s="11" t="n"/>
      <c r="AI2025" s="14">
        <f>IF(AND($AD2025="保留中",$AF2025&lt;&gt;""),TODAY()-$AF2025,"")</f>
        <v/>
      </c>
      <c r="AJ2025" s="12" t="n"/>
      <c r="AK2025" s="14">
        <f>IF($B2025="","",IF($AO2025="","対象年月が未入力／","")&amp;IF($B2025="","",IF($AN2025="","職員マスタに未登録の職員番号／",IF($Y2025="","標準報酬月額が未登録／","")&amp;IF(AND($AO2025&lt;&gt;"",OR(AND(INDEX(職員マスタ!$G$6:$G$405,$AN2025)&lt;&gt;"",INDEX(職員マスタ!$G$6:$G$405,$AN2025)&gt;EOMONTH($AO2025,0)),AND(INDEX(職員マスタ!$H$6:$H$405,$AN2025)&lt;&gt;"",INDEX(職員マスタ!$H$6:$H$405,$AN2025)&lt;$AO2025))),"対象月が時短期間外／","")&amp;IF(AND(INDEX(職員マスタ!$F$6:$F$405,$AN2025)&lt;&gt;"",$AO2025&lt;&gt;"",INDEX(職員マスタ!$F$6:$F$405,$AN2025)&lt;$AO2025),"対象月に子が2歳到達済／","")&amp;IF(AND($H2025&lt;&gt;"",INDEX(職員マスタ!$B$6:$B$405,$AN2025)&lt;&gt;"",SUBSTITUTE(SUBSTITUTE($H2025," ","")," ","")&lt;&gt;SUBSTITUTE(SUBSTITUTE(INDEX(職員マスタ!$B$6:$B$405,$AN2025)," ","")," ","")),"氏名がマスタと相違／","")&amp;IF(AND($Q2025&lt;&gt;"",INDEX(職員マスタ!$E$6:$E$405,$AN2025)&lt;&gt;"",$Q2025&lt;&gt;INDEX(職員マスタ!$E$6:$E$405,$AN2025)),"子の生年月日がマスタと相違／","")&amp;IF(AND($L2025&lt;&gt;"",INDEX(職員マスタ!$G$6:$G$405,$AN2025)&lt;&gt;"",$L2025&lt;&gt;INDEX(職員マスタ!$G$6:$G$405,$AN2025)),"時短開始日がマスタと相違／","")&amp;IF(AND($M2025&lt;&gt;"",INDEX(職員マスタ!$H$6:$H$405,$AN2025)&lt;&gt;"",$M2025&lt;&gt;INDEX(職員マスタ!$H$6:$H$405,$AN2025)),"時短終了日がマスタと相違／","")))&amp;IF(AND($B2025&lt;&gt;"",$E2025=""),"報酬額が未入力／","")&amp;IF(N($U2025)&gt;0,"申請書に入力エラーが残っています／","")&amp;IF(AND($B2025&lt;&gt;"",$AO2025&lt;&gt;""),IF(COUNTIFS($B$6:$B$3005,$B2025,$C$6:$C$3005,$C2025,$D$6:$D$3005,$D2025)&gt;1,"同じ月の請求が重複しています／",""),"")&amp;IF(AND(N($E2025)&gt;0,$Z2025&lt;&gt;"",$Z2025&lt;&gt;"×",$AC2025=0,$AB2025=""),"計算額が下限以下のため不支給／",""))</f>
        <v/>
      </c>
      <c r="AL2025" s="12" t="n"/>
      <c r="AM2025" s="14">
        <f>IF($AD2025="保留中",COUNTIF($AD$6:$AD2025,"保留中"),"")</f>
        <v/>
      </c>
      <c r="AN2025" s="14">
        <f>IF($AO2025="","",IF(SUMPRODUCT(MAX((職員マスタ!$A$6:$A$405=$B2025)*(((職員マスタ!$G$6:$G$405="")+(職員マスタ!$G$6:$G$405&lt;=EOMONTH($AO2025,0)))&gt;0)*(((職員マスタ!$H$6:$H$405="")+(職員マスタ!$H$6:$H$405&gt;=$AO2025))&gt;0)*(ROW(職員マスタ!$A$6:$A$405)-5)))&gt;0,SUMPRODUCT(MAX((職員マスタ!$A$6:$A$405=$B2025)*(((職員マスタ!$G$6:$G$405="")+(職員マスタ!$G$6:$G$405&lt;=EOMONTH($AO2025,0)))&gt;0)*(((職員マスタ!$H$6:$H$405="")+(職員マスタ!$H$6:$H$405&gt;=$AO2025))&gt;0)*(ROW(職員マスタ!$A$6:$A$405)-5))),IFERROR(MATCH($B2025,職員マスタ!$A$6:$A$405,0),"")))</f>
        <v/>
      </c>
      <c r="AO2025" s="16">
        <f>IF(OR($B2025="",$C2025="",$D2025=""),"",DATE($C2025+2018,$D2025,1))</f>
        <v/>
      </c>
    </row>
    <row r="2026">
      <c r="A2026" s="11" t="n"/>
      <c r="B2026" s="12" t="n"/>
      <c r="C2026" s="12" t="n"/>
      <c r="D2026" s="12" t="n"/>
      <c r="E2026" s="13" t="n"/>
      <c r="F2026" s="12" t="n"/>
      <c r="G2026" s="13" t="n"/>
      <c r="H2026" s="12" t="n"/>
      <c r="I2026" s="12" t="n"/>
      <c r="J2026" s="12" t="n"/>
      <c r="K2026" s="12" t="n"/>
      <c r="L2026" s="11" t="n"/>
      <c r="M2026" s="11" t="n"/>
      <c r="N2026" s="11" t="n"/>
      <c r="O2026" s="11" t="n"/>
      <c r="P2026" s="12" t="n"/>
      <c r="Q2026" s="11" t="n"/>
      <c r="R2026" s="12" t="n"/>
      <c r="S2026" s="11" t="n"/>
      <c r="T2026" s="12" t="n"/>
      <c r="U2026" s="12" t="n"/>
      <c r="V2026" s="14">
        <f>IF($AN2026="",IF($B2026="","",$H2026),IF(INDEX(職員マスタ!$B$6:$B$405,$AN2026)="",$H2026,INDEX(職員マスタ!$B$6:$B$405,$AN2026)))</f>
        <v/>
      </c>
      <c r="W2026" s="14">
        <f>IF($AN2026="",IF($B2026="","",$R2026),IF(INDEX(職員マスタ!$C$6:$C$405,$AN2026)="",$R2026,INDEX(職員マスタ!$C$6:$C$405,$AN2026)))</f>
        <v/>
      </c>
      <c r="X2026" s="14">
        <f>IF($AO2026="","","R"&amp;$C2026&amp;"."&amp;$D2026)</f>
        <v/>
      </c>
      <c r="Y2026" s="15">
        <f>IF($AN2026="","",IF(INDEX(職員マスタ!$K$6:$K$405,$AN2026)="","",INDEX(職員マスタ!$K$6:$K$405,$AN2026)))</f>
        <v/>
      </c>
      <c r="Z2026" s="14">
        <f>IF(OR($E2026="",$Y2026=""),"",IF($E2026&gt;=$Y2026,"×",IF($E2026&gt;=$Y2026*設定!$C$5,"△","○")))</f>
        <v/>
      </c>
      <c r="AA2026" s="15">
        <f>IF($Z2026="","",IF($Z2026="×",0,IF($Z2026="○",ROUNDDOWN($E2026*設定!$C$4,0),ROUNDDOWN($E2026*ROUND((9*$Y2026-9*$E2026)/(10*$E2026),4),0))))</f>
        <v/>
      </c>
      <c r="AB2026" s="13" t="n"/>
      <c r="AC2026" s="15">
        <f>IF($B2026="","",IF($AB2026&lt;&gt;"",$AB2026,IF($AA2026="","",IF($AA2026&lt;=設定!$C$3,0,$AA2026))))</f>
        <v/>
      </c>
      <c r="AD2026" s="14">
        <f>IF($B2026="","",IF(AND($AE2026&lt;&gt;"",$AG2026="",$AJ2026=""),"保留中",IF($AJ2026&lt;&gt;"",IF(N($AC2026)&gt;0,"支給済","不支給"),IF($AC2026="","要確認",IF($AC2026=0,"不支給","未処理")))))</f>
        <v/>
      </c>
      <c r="AE2026" s="12" t="n"/>
      <c r="AF2026" s="11" t="n"/>
      <c r="AG2026" s="11" t="n"/>
      <c r="AH2026" s="11" t="n"/>
      <c r="AI2026" s="14">
        <f>IF(AND($AD2026="保留中",$AF2026&lt;&gt;""),TODAY()-$AF2026,"")</f>
        <v/>
      </c>
      <c r="AJ2026" s="12" t="n"/>
      <c r="AK2026" s="14">
        <f>IF($B2026="","",IF($AO2026="","対象年月が未入力／","")&amp;IF($B2026="","",IF($AN2026="","職員マスタに未登録の職員番号／",IF($Y2026="","標準報酬月額が未登録／","")&amp;IF(AND($AO2026&lt;&gt;"",OR(AND(INDEX(職員マスタ!$G$6:$G$405,$AN2026)&lt;&gt;"",INDEX(職員マスタ!$G$6:$G$405,$AN2026)&gt;EOMONTH($AO2026,0)),AND(INDEX(職員マスタ!$H$6:$H$405,$AN2026)&lt;&gt;"",INDEX(職員マスタ!$H$6:$H$405,$AN2026)&lt;$AO2026))),"対象月が時短期間外／","")&amp;IF(AND(INDEX(職員マスタ!$F$6:$F$405,$AN2026)&lt;&gt;"",$AO2026&lt;&gt;"",INDEX(職員マスタ!$F$6:$F$405,$AN2026)&lt;$AO2026),"対象月に子が2歳到達済／","")&amp;IF(AND($H2026&lt;&gt;"",INDEX(職員マスタ!$B$6:$B$405,$AN2026)&lt;&gt;"",SUBSTITUTE(SUBSTITUTE($H2026," ","")," ","")&lt;&gt;SUBSTITUTE(SUBSTITUTE(INDEX(職員マスタ!$B$6:$B$405,$AN2026)," ","")," ","")),"氏名がマスタと相違／","")&amp;IF(AND($Q2026&lt;&gt;"",INDEX(職員マスタ!$E$6:$E$405,$AN2026)&lt;&gt;"",$Q2026&lt;&gt;INDEX(職員マスタ!$E$6:$E$405,$AN2026)),"子の生年月日がマスタと相違／","")&amp;IF(AND($L2026&lt;&gt;"",INDEX(職員マスタ!$G$6:$G$405,$AN2026)&lt;&gt;"",$L2026&lt;&gt;INDEX(職員マスタ!$G$6:$G$405,$AN2026)),"時短開始日がマスタと相違／","")&amp;IF(AND($M2026&lt;&gt;"",INDEX(職員マスタ!$H$6:$H$405,$AN2026)&lt;&gt;"",$M2026&lt;&gt;INDEX(職員マスタ!$H$6:$H$405,$AN2026)),"時短終了日がマスタと相違／","")))&amp;IF(AND($B2026&lt;&gt;"",$E2026=""),"報酬額が未入力／","")&amp;IF(N($U2026)&gt;0,"申請書に入力エラーが残っています／","")&amp;IF(AND($B2026&lt;&gt;"",$AO2026&lt;&gt;""),IF(COUNTIFS($B$6:$B$3005,$B2026,$C$6:$C$3005,$C2026,$D$6:$D$3005,$D2026)&gt;1,"同じ月の請求が重複しています／",""),"")&amp;IF(AND(N($E2026)&gt;0,$Z2026&lt;&gt;"",$Z2026&lt;&gt;"×",$AC2026=0,$AB2026=""),"計算額が下限以下のため不支給／",""))</f>
        <v/>
      </c>
      <c r="AL2026" s="12" t="n"/>
      <c r="AM2026" s="14">
        <f>IF($AD2026="保留中",COUNTIF($AD$6:$AD2026,"保留中"),"")</f>
        <v/>
      </c>
      <c r="AN2026" s="14">
        <f>IF($AO2026="","",IF(SUMPRODUCT(MAX((職員マスタ!$A$6:$A$405=$B2026)*(((職員マスタ!$G$6:$G$405="")+(職員マスタ!$G$6:$G$405&lt;=EOMONTH($AO2026,0)))&gt;0)*(((職員マスタ!$H$6:$H$405="")+(職員マスタ!$H$6:$H$405&gt;=$AO2026))&gt;0)*(ROW(職員マスタ!$A$6:$A$405)-5)))&gt;0,SUMPRODUCT(MAX((職員マスタ!$A$6:$A$405=$B2026)*(((職員マスタ!$G$6:$G$405="")+(職員マスタ!$G$6:$G$405&lt;=EOMONTH($AO2026,0)))&gt;0)*(((職員マスタ!$H$6:$H$405="")+(職員マスタ!$H$6:$H$405&gt;=$AO2026))&gt;0)*(ROW(職員マスタ!$A$6:$A$405)-5))),IFERROR(MATCH($B2026,職員マスタ!$A$6:$A$405,0),"")))</f>
        <v/>
      </c>
      <c r="AO2026" s="16">
        <f>IF(OR($B2026="",$C2026="",$D2026=""),"",DATE($C2026+2018,$D2026,1))</f>
        <v/>
      </c>
    </row>
    <row r="2027">
      <c r="A2027" s="11" t="n"/>
      <c r="B2027" s="12" t="n"/>
      <c r="C2027" s="12" t="n"/>
      <c r="D2027" s="12" t="n"/>
      <c r="E2027" s="13" t="n"/>
      <c r="F2027" s="12" t="n"/>
      <c r="G2027" s="13" t="n"/>
      <c r="H2027" s="12" t="n"/>
      <c r="I2027" s="12" t="n"/>
      <c r="J2027" s="12" t="n"/>
      <c r="K2027" s="12" t="n"/>
      <c r="L2027" s="11" t="n"/>
      <c r="M2027" s="11" t="n"/>
      <c r="N2027" s="11" t="n"/>
      <c r="O2027" s="11" t="n"/>
      <c r="P2027" s="12" t="n"/>
      <c r="Q2027" s="11" t="n"/>
      <c r="R2027" s="12" t="n"/>
      <c r="S2027" s="11" t="n"/>
      <c r="T2027" s="12" t="n"/>
      <c r="U2027" s="12" t="n"/>
      <c r="V2027" s="14">
        <f>IF($AN2027="",IF($B2027="","",$H2027),IF(INDEX(職員マスタ!$B$6:$B$405,$AN2027)="",$H2027,INDEX(職員マスタ!$B$6:$B$405,$AN2027)))</f>
        <v/>
      </c>
      <c r="W2027" s="14">
        <f>IF($AN2027="",IF($B2027="","",$R2027),IF(INDEX(職員マスタ!$C$6:$C$405,$AN2027)="",$R2027,INDEX(職員マスタ!$C$6:$C$405,$AN2027)))</f>
        <v/>
      </c>
      <c r="X2027" s="14">
        <f>IF($AO2027="","","R"&amp;$C2027&amp;"."&amp;$D2027)</f>
        <v/>
      </c>
      <c r="Y2027" s="15">
        <f>IF($AN2027="","",IF(INDEX(職員マスタ!$K$6:$K$405,$AN2027)="","",INDEX(職員マスタ!$K$6:$K$405,$AN2027)))</f>
        <v/>
      </c>
      <c r="Z2027" s="14">
        <f>IF(OR($E2027="",$Y2027=""),"",IF($E2027&gt;=$Y2027,"×",IF($E2027&gt;=$Y2027*設定!$C$5,"△","○")))</f>
        <v/>
      </c>
      <c r="AA2027" s="15">
        <f>IF($Z2027="","",IF($Z2027="×",0,IF($Z2027="○",ROUNDDOWN($E2027*設定!$C$4,0),ROUNDDOWN($E2027*ROUND((9*$Y2027-9*$E2027)/(10*$E2027),4),0))))</f>
        <v/>
      </c>
      <c r="AB2027" s="13" t="n"/>
      <c r="AC2027" s="15">
        <f>IF($B2027="","",IF($AB2027&lt;&gt;"",$AB2027,IF($AA2027="","",IF($AA2027&lt;=設定!$C$3,0,$AA2027))))</f>
        <v/>
      </c>
      <c r="AD2027" s="14">
        <f>IF($B2027="","",IF(AND($AE2027&lt;&gt;"",$AG2027="",$AJ2027=""),"保留中",IF($AJ2027&lt;&gt;"",IF(N($AC2027)&gt;0,"支給済","不支給"),IF($AC2027="","要確認",IF($AC2027=0,"不支給","未処理")))))</f>
        <v/>
      </c>
      <c r="AE2027" s="12" t="n"/>
      <c r="AF2027" s="11" t="n"/>
      <c r="AG2027" s="11" t="n"/>
      <c r="AH2027" s="11" t="n"/>
      <c r="AI2027" s="14">
        <f>IF(AND($AD2027="保留中",$AF2027&lt;&gt;""),TODAY()-$AF2027,"")</f>
        <v/>
      </c>
      <c r="AJ2027" s="12" t="n"/>
      <c r="AK2027" s="14">
        <f>IF($B2027="","",IF($AO2027="","対象年月が未入力／","")&amp;IF($B2027="","",IF($AN2027="","職員マスタに未登録の職員番号／",IF($Y2027="","標準報酬月額が未登録／","")&amp;IF(AND($AO2027&lt;&gt;"",OR(AND(INDEX(職員マスタ!$G$6:$G$405,$AN2027)&lt;&gt;"",INDEX(職員マスタ!$G$6:$G$405,$AN2027)&gt;EOMONTH($AO2027,0)),AND(INDEX(職員マスタ!$H$6:$H$405,$AN2027)&lt;&gt;"",INDEX(職員マスタ!$H$6:$H$405,$AN2027)&lt;$AO2027))),"対象月が時短期間外／","")&amp;IF(AND(INDEX(職員マスタ!$F$6:$F$405,$AN2027)&lt;&gt;"",$AO2027&lt;&gt;"",INDEX(職員マスタ!$F$6:$F$405,$AN2027)&lt;$AO2027),"対象月に子が2歳到達済／","")&amp;IF(AND($H2027&lt;&gt;"",INDEX(職員マスタ!$B$6:$B$405,$AN2027)&lt;&gt;"",SUBSTITUTE(SUBSTITUTE($H2027," ","")," ","")&lt;&gt;SUBSTITUTE(SUBSTITUTE(INDEX(職員マスタ!$B$6:$B$405,$AN2027)," ","")," ","")),"氏名がマスタと相違／","")&amp;IF(AND($Q2027&lt;&gt;"",INDEX(職員マスタ!$E$6:$E$405,$AN2027)&lt;&gt;"",$Q2027&lt;&gt;INDEX(職員マスタ!$E$6:$E$405,$AN2027)),"子の生年月日がマスタと相違／","")&amp;IF(AND($L2027&lt;&gt;"",INDEX(職員マスタ!$G$6:$G$405,$AN2027)&lt;&gt;"",$L2027&lt;&gt;INDEX(職員マスタ!$G$6:$G$405,$AN2027)),"時短開始日がマスタと相違／","")&amp;IF(AND($M2027&lt;&gt;"",INDEX(職員マスタ!$H$6:$H$405,$AN2027)&lt;&gt;"",$M2027&lt;&gt;INDEX(職員マスタ!$H$6:$H$405,$AN2027)),"時短終了日がマスタと相違／","")))&amp;IF(AND($B2027&lt;&gt;"",$E2027=""),"報酬額が未入力／","")&amp;IF(N($U2027)&gt;0,"申請書に入力エラーが残っています／","")&amp;IF(AND($B2027&lt;&gt;"",$AO2027&lt;&gt;""),IF(COUNTIFS($B$6:$B$3005,$B2027,$C$6:$C$3005,$C2027,$D$6:$D$3005,$D2027)&gt;1,"同じ月の請求が重複しています／",""),"")&amp;IF(AND(N($E2027)&gt;0,$Z2027&lt;&gt;"",$Z2027&lt;&gt;"×",$AC2027=0,$AB2027=""),"計算額が下限以下のため不支給／",""))</f>
        <v/>
      </c>
      <c r="AL2027" s="12" t="n"/>
      <c r="AM2027" s="14">
        <f>IF($AD2027="保留中",COUNTIF($AD$6:$AD2027,"保留中"),"")</f>
        <v/>
      </c>
      <c r="AN2027" s="14">
        <f>IF($AO2027="","",IF(SUMPRODUCT(MAX((職員マスタ!$A$6:$A$405=$B2027)*(((職員マスタ!$G$6:$G$405="")+(職員マスタ!$G$6:$G$405&lt;=EOMONTH($AO2027,0)))&gt;0)*(((職員マスタ!$H$6:$H$405="")+(職員マスタ!$H$6:$H$405&gt;=$AO2027))&gt;0)*(ROW(職員マスタ!$A$6:$A$405)-5)))&gt;0,SUMPRODUCT(MAX((職員マスタ!$A$6:$A$405=$B2027)*(((職員マスタ!$G$6:$G$405="")+(職員マスタ!$G$6:$G$405&lt;=EOMONTH($AO2027,0)))&gt;0)*(((職員マスタ!$H$6:$H$405="")+(職員マスタ!$H$6:$H$405&gt;=$AO2027))&gt;0)*(ROW(職員マスタ!$A$6:$A$405)-5))),IFERROR(MATCH($B2027,職員マスタ!$A$6:$A$405,0),"")))</f>
        <v/>
      </c>
      <c r="AO2027" s="16">
        <f>IF(OR($B2027="",$C2027="",$D2027=""),"",DATE($C2027+2018,$D2027,1))</f>
        <v/>
      </c>
    </row>
    <row r="2028">
      <c r="A2028" s="11" t="n"/>
      <c r="B2028" s="12" t="n"/>
      <c r="C2028" s="12" t="n"/>
      <c r="D2028" s="12" t="n"/>
      <c r="E2028" s="13" t="n"/>
      <c r="F2028" s="12" t="n"/>
      <c r="G2028" s="13" t="n"/>
      <c r="H2028" s="12" t="n"/>
      <c r="I2028" s="12" t="n"/>
      <c r="J2028" s="12" t="n"/>
      <c r="K2028" s="12" t="n"/>
      <c r="L2028" s="11" t="n"/>
      <c r="M2028" s="11" t="n"/>
      <c r="N2028" s="11" t="n"/>
      <c r="O2028" s="11" t="n"/>
      <c r="P2028" s="12" t="n"/>
      <c r="Q2028" s="11" t="n"/>
      <c r="R2028" s="12" t="n"/>
      <c r="S2028" s="11" t="n"/>
      <c r="T2028" s="12" t="n"/>
      <c r="U2028" s="12" t="n"/>
      <c r="V2028" s="14">
        <f>IF($AN2028="",IF($B2028="","",$H2028),IF(INDEX(職員マスタ!$B$6:$B$405,$AN2028)="",$H2028,INDEX(職員マスタ!$B$6:$B$405,$AN2028)))</f>
        <v/>
      </c>
      <c r="W2028" s="14">
        <f>IF($AN2028="",IF($B2028="","",$R2028),IF(INDEX(職員マスタ!$C$6:$C$405,$AN2028)="",$R2028,INDEX(職員マスタ!$C$6:$C$405,$AN2028)))</f>
        <v/>
      </c>
      <c r="X2028" s="14">
        <f>IF($AO2028="","","R"&amp;$C2028&amp;"."&amp;$D2028)</f>
        <v/>
      </c>
      <c r="Y2028" s="15">
        <f>IF($AN2028="","",IF(INDEX(職員マスタ!$K$6:$K$405,$AN2028)="","",INDEX(職員マスタ!$K$6:$K$405,$AN2028)))</f>
        <v/>
      </c>
      <c r="Z2028" s="14">
        <f>IF(OR($E2028="",$Y2028=""),"",IF($E2028&gt;=$Y2028,"×",IF($E2028&gt;=$Y2028*設定!$C$5,"△","○")))</f>
        <v/>
      </c>
      <c r="AA2028" s="15">
        <f>IF($Z2028="","",IF($Z2028="×",0,IF($Z2028="○",ROUNDDOWN($E2028*設定!$C$4,0),ROUNDDOWN($E2028*ROUND((9*$Y2028-9*$E2028)/(10*$E2028),4),0))))</f>
        <v/>
      </c>
      <c r="AB2028" s="13" t="n"/>
      <c r="AC2028" s="15">
        <f>IF($B2028="","",IF($AB2028&lt;&gt;"",$AB2028,IF($AA2028="","",IF($AA2028&lt;=設定!$C$3,0,$AA2028))))</f>
        <v/>
      </c>
      <c r="AD2028" s="14">
        <f>IF($B2028="","",IF(AND($AE2028&lt;&gt;"",$AG2028="",$AJ2028=""),"保留中",IF($AJ2028&lt;&gt;"",IF(N($AC2028)&gt;0,"支給済","不支給"),IF($AC2028="","要確認",IF($AC2028=0,"不支給","未処理")))))</f>
        <v/>
      </c>
      <c r="AE2028" s="12" t="n"/>
      <c r="AF2028" s="11" t="n"/>
      <c r="AG2028" s="11" t="n"/>
      <c r="AH2028" s="11" t="n"/>
      <c r="AI2028" s="14">
        <f>IF(AND($AD2028="保留中",$AF2028&lt;&gt;""),TODAY()-$AF2028,"")</f>
        <v/>
      </c>
      <c r="AJ2028" s="12" t="n"/>
      <c r="AK2028" s="14">
        <f>IF($B2028="","",IF($AO2028="","対象年月が未入力／","")&amp;IF($B2028="","",IF($AN2028="","職員マスタに未登録の職員番号／",IF($Y2028="","標準報酬月額が未登録／","")&amp;IF(AND($AO2028&lt;&gt;"",OR(AND(INDEX(職員マスタ!$G$6:$G$405,$AN2028)&lt;&gt;"",INDEX(職員マスタ!$G$6:$G$405,$AN2028)&gt;EOMONTH($AO2028,0)),AND(INDEX(職員マスタ!$H$6:$H$405,$AN2028)&lt;&gt;"",INDEX(職員マスタ!$H$6:$H$405,$AN2028)&lt;$AO2028))),"対象月が時短期間外／","")&amp;IF(AND(INDEX(職員マスタ!$F$6:$F$405,$AN2028)&lt;&gt;"",$AO2028&lt;&gt;"",INDEX(職員マスタ!$F$6:$F$405,$AN2028)&lt;$AO2028),"対象月に子が2歳到達済／","")&amp;IF(AND($H2028&lt;&gt;"",INDEX(職員マスタ!$B$6:$B$405,$AN2028)&lt;&gt;"",SUBSTITUTE(SUBSTITUTE($H2028," ","")," ","")&lt;&gt;SUBSTITUTE(SUBSTITUTE(INDEX(職員マスタ!$B$6:$B$405,$AN2028)," ","")," ","")),"氏名がマスタと相違／","")&amp;IF(AND($Q2028&lt;&gt;"",INDEX(職員マスタ!$E$6:$E$405,$AN2028)&lt;&gt;"",$Q2028&lt;&gt;INDEX(職員マスタ!$E$6:$E$405,$AN2028)),"子の生年月日がマスタと相違／","")&amp;IF(AND($L2028&lt;&gt;"",INDEX(職員マスタ!$G$6:$G$405,$AN2028)&lt;&gt;"",$L2028&lt;&gt;INDEX(職員マスタ!$G$6:$G$405,$AN2028)),"時短開始日がマスタと相違／","")&amp;IF(AND($M2028&lt;&gt;"",INDEX(職員マスタ!$H$6:$H$405,$AN2028)&lt;&gt;"",$M2028&lt;&gt;INDEX(職員マスタ!$H$6:$H$405,$AN2028)),"時短終了日がマスタと相違／","")))&amp;IF(AND($B2028&lt;&gt;"",$E2028=""),"報酬額が未入力／","")&amp;IF(N($U2028)&gt;0,"申請書に入力エラーが残っています／","")&amp;IF(AND($B2028&lt;&gt;"",$AO2028&lt;&gt;""),IF(COUNTIFS($B$6:$B$3005,$B2028,$C$6:$C$3005,$C2028,$D$6:$D$3005,$D2028)&gt;1,"同じ月の請求が重複しています／",""),"")&amp;IF(AND(N($E2028)&gt;0,$Z2028&lt;&gt;"",$Z2028&lt;&gt;"×",$AC2028=0,$AB2028=""),"計算額が下限以下のため不支給／",""))</f>
        <v/>
      </c>
      <c r="AL2028" s="12" t="n"/>
      <c r="AM2028" s="14">
        <f>IF($AD2028="保留中",COUNTIF($AD$6:$AD2028,"保留中"),"")</f>
        <v/>
      </c>
      <c r="AN2028" s="14">
        <f>IF($AO2028="","",IF(SUMPRODUCT(MAX((職員マスタ!$A$6:$A$405=$B2028)*(((職員マスタ!$G$6:$G$405="")+(職員マスタ!$G$6:$G$405&lt;=EOMONTH($AO2028,0)))&gt;0)*(((職員マスタ!$H$6:$H$405="")+(職員マスタ!$H$6:$H$405&gt;=$AO2028))&gt;0)*(ROW(職員マスタ!$A$6:$A$405)-5)))&gt;0,SUMPRODUCT(MAX((職員マスタ!$A$6:$A$405=$B2028)*(((職員マスタ!$G$6:$G$405="")+(職員マスタ!$G$6:$G$405&lt;=EOMONTH($AO2028,0)))&gt;0)*(((職員マスタ!$H$6:$H$405="")+(職員マスタ!$H$6:$H$405&gt;=$AO2028))&gt;0)*(ROW(職員マスタ!$A$6:$A$405)-5))),IFERROR(MATCH($B2028,職員マスタ!$A$6:$A$405,0),"")))</f>
        <v/>
      </c>
      <c r="AO2028" s="16">
        <f>IF(OR($B2028="",$C2028="",$D2028=""),"",DATE($C2028+2018,$D2028,1))</f>
        <v/>
      </c>
    </row>
    <row r="2029">
      <c r="A2029" s="11" t="n"/>
      <c r="B2029" s="12" t="n"/>
      <c r="C2029" s="12" t="n"/>
      <c r="D2029" s="12" t="n"/>
      <c r="E2029" s="13" t="n"/>
      <c r="F2029" s="12" t="n"/>
      <c r="G2029" s="13" t="n"/>
      <c r="H2029" s="12" t="n"/>
      <c r="I2029" s="12" t="n"/>
      <c r="J2029" s="12" t="n"/>
      <c r="K2029" s="12" t="n"/>
      <c r="L2029" s="11" t="n"/>
      <c r="M2029" s="11" t="n"/>
      <c r="N2029" s="11" t="n"/>
      <c r="O2029" s="11" t="n"/>
      <c r="P2029" s="12" t="n"/>
      <c r="Q2029" s="11" t="n"/>
      <c r="R2029" s="12" t="n"/>
      <c r="S2029" s="11" t="n"/>
      <c r="T2029" s="12" t="n"/>
      <c r="U2029" s="12" t="n"/>
      <c r="V2029" s="14">
        <f>IF($AN2029="",IF($B2029="","",$H2029),IF(INDEX(職員マスタ!$B$6:$B$405,$AN2029)="",$H2029,INDEX(職員マスタ!$B$6:$B$405,$AN2029)))</f>
        <v/>
      </c>
      <c r="W2029" s="14">
        <f>IF($AN2029="",IF($B2029="","",$R2029),IF(INDEX(職員マスタ!$C$6:$C$405,$AN2029)="",$R2029,INDEX(職員マスタ!$C$6:$C$405,$AN2029)))</f>
        <v/>
      </c>
      <c r="X2029" s="14">
        <f>IF($AO2029="","","R"&amp;$C2029&amp;"."&amp;$D2029)</f>
        <v/>
      </c>
      <c r="Y2029" s="15">
        <f>IF($AN2029="","",IF(INDEX(職員マスタ!$K$6:$K$405,$AN2029)="","",INDEX(職員マスタ!$K$6:$K$405,$AN2029)))</f>
        <v/>
      </c>
      <c r="Z2029" s="14">
        <f>IF(OR($E2029="",$Y2029=""),"",IF($E2029&gt;=$Y2029,"×",IF($E2029&gt;=$Y2029*設定!$C$5,"△","○")))</f>
        <v/>
      </c>
      <c r="AA2029" s="15">
        <f>IF($Z2029="","",IF($Z2029="×",0,IF($Z2029="○",ROUNDDOWN($E2029*設定!$C$4,0),ROUNDDOWN($E2029*ROUND((9*$Y2029-9*$E2029)/(10*$E2029),4),0))))</f>
        <v/>
      </c>
      <c r="AB2029" s="13" t="n"/>
      <c r="AC2029" s="15">
        <f>IF($B2029="","",IF($AB2029&lt;&gt;"",$AB2029,IF($AA2029="","",IF($AA2029&lt;=設定!$C$3,0,$AA2029))))</f>
        <v/>
      </c>
      <c r="AD2029" s="14">
        <f>IF($B2029="","",IF(AND($AE2029&lt;&gt;"",$AG2029="",$AJ2029=""),"保留中",IF($AJ2029&lt;&gt;"",IF(N($AC2029)&gt;0,"支給済","不支給"),IF($AC2029="","要確認",IF($AC2029=0,"不支給","未処理")))))</f>
        <v/>
      </c>
      <c r="AE2029" s="12" t="n"/>
      <c r="AF2029" s="11" t="n"/>
      <c r="AG2029" s="11" t="n"/>
      <c r="AH2029" s="11" t="n"/>
      <c r="AI2029" s="14">
        <f>IF(AND($AD2029="保留中",$AF2029&lt;&gt;""),TODAY()-$AF2029,"")</f>
        <v/>
      </c>
      <c r="AJ2029" s="12" t="n"/>
      <c r="AK2029" s="14">
        <f>IF($B2029="","",IF($AO2029="","対象年月が未入力／","")&amp;IF($B2029="","",IF($AN2029="","職員マスタに未登録の職員番号／",IF($Y2029="","標準報酬月額が未登録／","")&amp;IF(AND($AO2029&lt;&gt;"",OR(AND(INDEX(職員マスタ!$G$6:$G$405,$AN2029)&lt;&gt;"",INDEX(職員マスタ!$G$6:$G$405,$AN2029)&gt;EOMONTH($AO2029,0)),AND(INDEX(職員マスタ!$H$6:$H$405,$AN2029)&lt;&gt;"",INDEX(職員マスタ!$H$6:$H$405,$AN2029)&lt;$AO2029))),"対象月が時短期間外／","")&amp;IF(AND(INDEX(職員マスタ!$F$6:$F$405,$AN2029)&lt;&gt;"",$AO2029&lt;&gt;"",INDEX(職員マスタ!$F$6:$F$405,$AN2029)&lt;$AO2029),"対象月に子が2歳到達済／","")&amp;IF(AND($H2029&lt;&gt;"",INDEX(職員マスタ!$B$6:$B$405,$AN2029)&lt;&gt;"",SUBSTITUTE(SUBSTITUTE($H2029," ","")," ","")&lt;&gt;SUBSTITUTE(SUBSTITUTE(INDEX(職員マスタ!$B$6:$B$405,$AN2029)," ","")," ","")),"氏名がマスタと相違／","")&amp;IF(AND($Q2029&lt;&gt;"",INDEX(職員マスタ!$E$6:$E$405,$AN2029)&lt;&gt;"",$Q2029&lt;&gt;INDEX(職員マスタ!$E$6:$E$405,$AN2029)),"子の生年月日がマスタと相違／","")&amp;IF(AND($L2029&lt;&gt;"",INDEX(職員マスタ!$G$6:$G$405,$AN2029)&lt;&gt;"",$L2029&lt;&gt;INDEX(職員マスタ!$G$6:$G$405,$AN2029)),"時短開始日がマスタと相違／","")&amp;IF(AND($M2029&lt;&gt;"",INDEX(職員マスタ!$H$6:$H$405,$AN2029)&lt;&gt;"",$M2029&lt;&gt;INDEX(職員マスタ!$H$6:$H$405,$AN2029)),"時短終了日がマスタと相違／","")))&amp;IF(AND($B2029&lt;&gt;"",$E2029=""),"報酬額が未入力／","")&amp;IF(N($U2029)&gt;0,"申請書に入力エラーが残っています／","")&amp;IF(AND($B2029&lt;&gt;"",$AO2029&lt;&gt;""),IF(COUNTIFS($B$6:$B$3005,$B2029,$C$6:$C$3005,$C2029,$D$6:$D$3005,$D2029)&gt;1,"同じ月の請求が重複しています／",""),"")&amp;IF(AND(N($E2029)&gt;0,$Z2029&lt;&gt;"",$Z2029&lt;&gt;"×",$AC2029=0,$AB2029=""),"計算額が下限以下のため不支給／",""))</f>
        <v/>
      </c>
      <c r="AL2029" s="12" t="n"/>
      <c r="AM2029" s="14">
        <f>IF($AD2029="保留中",COUNTIF($AD$6:$AD2029,"保留中"),"")</f>
        <v/>
      </c>
      <c r="AN2029" s="14">
        <f>IF($AO2029="","",IF(SUMPRODUCT(MAX((職員マスタ!$A$6:$A$405=$B2029)*(((職員マスタ!$G$6:$G$405="")+(職員マスタ!$G$6:$G$405&lt;=EOMONTH($AO2029,0)))&gt;0)*(((職員マスタ!$H$6:$H$405="")+(職員マスタ!$H$6:$H$405&gt;=$AO2029))&gt;0)*(ROW(職員マスタ!$A$6:$A$405)-5)))&gt;0,SUMPRODUCT(MAX((職員マスタ!$A$6:$A$405=$B2029)*(((職員マスタ!$G$6:$G$405="")+(職員マスタ!$G$6:$G$405&lt;=EOMONTH($AO2029,0)))&gt;0)*(((職員マスタ!$H$6:$H$405="")+(職員マスタ!$H$6:$H$405&gt;=$AO2029))&gt;0)*(ROW(職員マスタ!$A$6:$A$405)-5))),IFERROR(MATCH($B2029,職員マスタ!$A$6:$A$405,0),"")))</f>
        <v/>
      </c>
      <c r="AO2029" s="16">
        <f>IF(OR($B2029="",$C2029="",$D2029=""),"",DATE($C2029+2018,$D2029,1))</f>
        <v/>
      </c>
    </row>
    <row r="2030">
      <c r="A2030" s="11" t="n"/>
      <c r="B2030" s="12" t="n"/>
      <c r="C2030" s="12" t="n"/>
      <c r="D2030" s="12" t="n"/>
      <c r="E2030" s="13" t="n"/>
      <c r="F2030" s="12" t="n"/>
      <c r="G2030" s="13" t="n"/>
      <c r="H2030" s="12" t="n"/>
      <c r="I2030" s="12" t="n"/>
      <c r="J2030" s="12" t="n"/>
      <c r="K2030" s="12" t="n"/>
      <c r="L2030" s="11" t="n"/>
      <c r="M2030" s="11" t="n"/>
      <c r="N2030" s="11" t="n"/>
      <c r="O2030" s="11" t="n"/>
      <c r="P2030" s="12" t="n"/>
      <c r="Q2030" s="11" t="n"/>
      <c r="R2030" s="12" t="n"/>
      <c r="S2030" s="11" t="n"/>
      <c r="T2030" s="12" t="n"/>
      <c r="U2030" s="12" t="n"/>
      <c r="V2030" s="14">
        <f>IF($AN2030="",IF($B2030="","",$H2030),IF(INDEX(職員マスタ!$B$6:$B$405,$AN2030)="",$H2030,INDEX(職員マスタ!$B$6:$B$405,$AN2030)))</f>
        <v/>
      </c>
      <c r="W2030" s="14">
        <f>IF($AN2030="",IF($B2030="","",$R2030),IF(INDEX(職員マスタ!$C$6:$C$405,$AN2030)="",$R2030,INDEX(職員マスタ!$C$6:$C$405,$AN2030)))</f>
        <v/>
      </c>
      <c r="X2030" s="14">
        <f>IF($AO2030="","","R"&amp;$C2030&amp;"."&amp;$D2030)</f>
        <v/>
      </c>
      <c r="Y2030" s="15">
        <f>IF($AN2030="","",IF(INDEX(職員マスタ!$K$6:$K$405,$AN2030)="","",INDEX(職員マスタ!$K$6:$K$405,$AN2030)))</f>
        <v/>
      </c>
      <c r="Z2030" s="14">
        <f>IF(OR($E2030="",$Y2030=""),"",IF($E2030&gt;=$Y2030,"×",IF($E2030&gt;=$Y2030*設定!$C$5,"△","○")))</f>
        <v/>
      </c>
      <c r="AA2030" s="15">
        <f>IF($Z2030="","",IF($Z2030="×",0,IF($Z2030="○",ROUNDDOWN($E2030*設定!$C$4,0),ROUNDDOWN($E2030*ROUND((9*$Y2030-9*$E2030)/(10*$E2030),4),0))))</f>
        <v/>
      </c>
      <c r="AB2030" s="13" t="n"/>
      <c r="AC2030" s="15">
        <f>IF($B2030="","",IF($AB2030&lt;&gt;"",$AB2030,IF($AA2030="","",IF($AA2030&lt;=設定!$C$3,0,$AA2030))))</f>
        <v/>
      </c>
      <c r="AD2030" s="14">
        <f>IF($B2030="","",IF(AND($AE2030&lt;&gt;"",$AG2030="",$AJ2030=""),"保留中",IF($AJ2030&lt;&gt;"",IF(N($AC2030)&gt;0,"支給済","不支給"),IF($AC2030="","要確認",IF($AC2030=0,"不支給","未処理")))))</f>
        <v/>
      </c>
      <c r="AE2030" s="12" t="n"/>
      <c r="AF2030" s="11" t="n"/>
      <c r="AG2030" s="11" t="n"/>
      <c r="AH2030" s="11" t="n"/>
      <c r="AI2030" s="14">
        <f>IF(AND($AD2030="保留中",$AF2030&lt;&gt;""),TODAY()-$AF2030,"")</f>
        <v/>
      </c>
      <c r="AJ2030" s="12" t="n"/>
      <c r="AK2030" s="14">
        <f>IF($B2030="","",IF($AO2030="","対象年月が未入力／","")&amp;IF($B2030="","",IF($AN2030="","職員マスタに未登録の職員番号／",IF($Y2030="","標準報酬月額が未登録／","")&amp;IF(AND($AO2030&lt;&gt;"",OR(AND(INDEX(職員マスタ!$G$6:$G$405,$AN2030)&lt;&gt;"",INDEX(職員マスタ!$G$6:$G$405,$AN2030)&gt;EOMONTH($AO2030,0)),AND(INDEX(職員マスタ!$H$6:$H$405,$AN2030)&lt;&gt;"",INDEX(職員マスタ!$H$6:$H$405,$AN2030)&lt;$AO2030))),"対象月が時短期間外／","")&amp;IF(AND(INDEX(職員マスタ!$F$6:$F$405,$AN2030)&lt;&gt;"",$AO2030&lt;&gt;"",INDEX(職員マスタ!$F$6:$F$405,$AN2030)&lt;$AO2030),"対象月に子が2歳到達済／","")&amp;IF(AND($H2030&lt;&gt;"",INDEX(職員マスタ!$B$6:$B$405,$AN2030)&lt;&gt;"",SUBSTITUTE(SUBSTITUTE($H2030," ","")," ","")&lt;&gt;SUBSTITUTE(SUBSTITUTE(INDEX(職員マスタ!$B$6:$B$405,$AN2030)," ","")," ","")),"氏名がマスタと相違／","")&amp;IF(AND($Q2030&lt;&gt;"",INDEX(職員マスタ!$E$6:$E$405,$AN2030)&lt;&gt;"",$Q2030&lt;&gt;INDEX(職員マスタ!$E$6:$E$405,$AN2030)),"子の生年月日がマスタと相違／","")&amp;IF(AND($L2030&lt;&gt;"",INDEX(職員マスタ!$G$6:$G$405,$AN2030)&lt;&gt;"",$L2030&lt;&gt;INDEX(職員マスタ!$G$6:$G$405,$AN2030)),"時短開始日がマスタと相違／","")&amp;IF(AND($M2030&lt;&gt;"",INDEX(職員マスタ!$H$6:$H$405,$AN2030)&lt;&gt;"",$M2030&lt;&gt;INDEX(職員マスタ!$H$6:$H$405,$AN2030)),"時短終了日がマスタと相違／","")))&amp;IF(AND($B2030&lt;&gt;"",$E2030=""),"報酬額が未入力／","")&amp;IF(N($U2030)&gt;0,"申請書に入力エラーが残っています／","")&amp;IF(AND($B2030&lt;&gt;"",$AO2030&lt;&gt;""),IF(COUNTIFS($B$6:$B$3005,$B2030,$C$6:$C$3005,$C2030,$D$6:$D$3005,$D2030)&gt;1,"同じ月の請求が重複しています／",""),"")&amp;IF(AND(N($E2030)&gt;0,$Z2030&lt;&gt;"",$Z2030&lt;&gt;"×",$AC2030=0,$AB2030=""),"計算額が下限以下のため不支給／",""))</f>
        <v/>
      </c>
      <c r="AL2030" s="12" t="n"/>
      <c r="AM2030" s="14">
        <f>IF($AD2030="保留中",COUNTIF($AD$6:$AD2030,"保留中"),"")</f>
        <v/>
      </c>
      <c r="AN2030" s="14">
        <f>IF($AO2030="","",IF(SUMPRODUCT(MAX((職員マスタ!$A$6:$A$405=$B2030)*(((職員マスタ!$G$6:$G$405="")+(職員マスタ!$G$6:$G$405&lt;=EOMONTH($AO2030,0)))&gt;0)*(((職員マスタ!$H$6:$H$405="")+(職員マスタ!$H$6:$H$405&gt;=$AO2030))&gt;0)*(ROW(職員マスタ!$A$6:$A$405)-5)))&gt;0,SUMPRODUCT(MAX((職員マスタ!$A$6:$A$405=$B2030)*(((職員マスタ!$G$6:$G$405="")+(職員マスタ!$G$6:$G$405&lt;=EOMONTH($AO2030,0)))&gt;0)*(((職員マスタ!$H$6:$H$405="")+(職員マスタ!$H$6:$H$405&gt;=$AO2030))&gt;0)*(ROW(職員マスタ!$A$6:$A$405)-5))),IFERROR(MATCH($B2030,職員マスタ!$A$6:$A$405,0),"")))</f>
        <v/>
      </c>
      <c r="AO2030" s="16">
        <f>IF(OR($B2030="",$C2030="",$D2030=""),"",DATE($C2030+2018,$D2030,1))</f>
        <v/>
      </c>
    </row>
    <row r="2031">
      <c r="A2031" s="11" t="n"/>
      <c r="B2031" s="12" t="n"/>
      <c r="C2031" s="12" t="n"/>
      <c r="D2031" s="12" t="n"/>
      <c r="E2031" s="13" t="n"/>
      <c r="F2031" s="12" t="n"/>
      <c r="G2031" s="13" t="n"/>
      <c r="H2031" s="12" t="n"/>
      <c r="I2031" s="12" t="n"/>
      <c r="J2031" s="12" t="n"/>
      <c r="K2031" s="12" t="n"/>
      <c r="L2031" s="11" t="n"/>
      <c r="M2031" s="11" t="n"/>
      <c r="N2031" s="11" t="n"/>
      <c r="O2031" s="11" t="n"/>
      <c r="P2031" s="12" t="n"/>
      <c r="Q2031" s="11" t="n"/>
      <c r="R2031" s="12" t="n"/>
      <c r="S2031" s="11" t="n"/>
      <c r="T2031" s="12" t="n"/>
      <c r="U2031" s="12" t="n"/>
      <c r="V2031" s="14">
        <f>IF($AN2031="",IF($B2031="","",$H2031),IF(INDEX(職員マスタ!$B$6:$B$405,$AN2031)="",$H2031,INDEX(職員マスタ!$B$6:$B$405,$AN2031)))</f>
        <v/>
      </c>
      <c r="W2031" s="14">
        <f>IF($AN2031="",IF($B2031="","",$R2031),IF(INDEX(職員マスタ!$C$6:$C$405,$AN2031)="",$R2031,INDEX(職員マスタ!$C$6:$C$405,$AN2031)))</f>
        <v/>
      </c>
      <c r="X2031" s="14">
        <f>IF($AO2031="","","R"&amp;$C2031&amp;"."&amp;$D2031)</f>
        <v/>
      </c>
      <c r="Y2031" s="15">
        <f>IF($AN2031="","",IF(INDEX(職員マスタ!$K$6:$K$405,$AN2031)="","",INDEX(職員マスタ!$K$6:$K$405,$AN2031)))</f>
        <v/>
      </c>
      <c r="Z2031" s="14">
        <f>IF(OR($E2031="",$Y2031=""),"",IF($E2031&gt;=$Y2031,"×",IF($E2031&gt;=$Y2031*設定!$C$5,"△","○")))</f>
        <v/>
      </c>
      <c r="AA2031" s="15">
        <f>IF($Z2031="","",IF($Z2031="×",0,IF($Z2031="○",ROUNDDOWN($E2031*設定!$C$4,0),ROUNDDOWN($E2031*ROUND((9*$Y2031-9*$E2031)/(10*$E2031),4),0))))</f>
        <v/>
      </c>
      <c r="AB2031" s="13" t="n"/>
      <c r="AC2031" s="15">
        <f>IF($B2031="","",IF($AB2031&lt;&gt;"",$AB2031,IF($AA2031="","",IF($AA2031&lt;=設定!$C$3,0,$AA2031))))</f>
        <v/>
      </c>
      <c r="AD2031" s="14">
        <f>IF($B2031="","",IF(AND($AE2031&lt;&gt;"",$AG2031="",$AJ2031=""),"保留中",IF($AJ2031&lt;&gt;"",IF(N($AC2031)&gt;0,"支給済","不支給"),IF($AC2031="","要確認",IF($AC2031=0,"不支給","未処理")))))</f>
        <v/>
      </c>
      <c r="AE2031" s="12" t="n"/>
      <c r="AF2031" s="11" t="n"/>
      <c r="AG2031" s="11" t="n"/>
      <c r="AH2031" s="11" t="n"/>
      <c r="AI2031" s="14">
        <f>IF(AND($AD2031="保留中",$AF2031&lt;&gt;""),TODAY()-$AF2031,"")</f>
        <v/>
      </c>
      <c r="AJ2031" s="12" t="n"/>
      <c r="AK2031" s="14">
        <f>IF($B2031="","",IF($AO2031="","対象年月が未入力／","")&amp;IF($B2031="","",IF($AN2031="","職員マスタに未登録の職員番号／",IF($Y2031="","標準報酬月額が未登録／","")&amp;IF(AND($AO2031&lt;&gt;"",OR(AND(INDEX(職員マスタ!$G$6:$G$405,$AN2031)&lt;&gt;"",INDEX(職員マスタ!$G$6:$G$405,$AN2031)&gt;EOMONTH($AO2031,0)),AND(INDEX(職員マスタ!$H$6:$H$405,$AN2031)&lt;&gt;"",INDEX(職員マスタ!$H$6:$H$405,$AN2031)&lt;$AO2031))),"対象月が時短期間外／","")&amp;IF(AND(INDEX(職員マスタ!$F$6:$F$405,$AN2031)&lt;&gt;"",$AO2031&lt;&gt;"",INDEX(職員マスタ!$F$6:$F$405,$AN2031)&lt;$AO2031),"対象月に子が2歳到達済／","")&amp;IF(AND($H2031&lt;&gt;"",INDEX(職員マスタ!$B$6:$B$405,$AN2031)&lt;&gt;"",SUBSTITUTE(SUBSTITUTE($H2031," ","")," ","")&lt;&gt;SUBSTITUTE(SUBSTITUTE(INDEX(職員マスタ!$B$6:$B$405,$AN2031)," ","")," ","")),"氏名がマスタと相違／","")&amp;IF(AND($Q2031&lt;&gt;"",INDEX(職員マスタ!$E$6:$E$405,$AN2031)&lt;&gt;"",$Q2031&lt;&gt;INDEX(職員マスタ!$E$6:$E$405,$AN2031)),"子の生年月日がマスタと相違／","")&amp;IF(AND($L2031&lt;&gt;"",INDEX(職員マスタ!$G$6:$G$405,$AN2031)&lt;&gt;"",$L2031&lt;&gt;INDEX(職員マスタ!$G$6:$G$405,$AN2031)),"時短開始日がマスタと相違／","")&amp;IF(AND($M2031&lt;&gt;"",INDEX(職員マスタ!$H$6:$H$405,$AN2031)&lt;&gt;"",$M2031&lt;&gt;INDEX(職員マスタ!$H$6:$H$405,$AN2031)),"時短終了日がマスタと相違／","")))&amp;IF(AND($B2031&lt;&gt;"",$E2031=""),"報酬額が未入力／","")&amp;IF(N($U2031)&gt;0,"申請書に入力エラーが残っています／","")&amp;IF(AND($B2031&lt;&gt;"",$AO2031&lt;&gt;""),IF(COUNTIFS($B$6:$B$3005,$B2031,$C$6:$C$3005,$C2031,$D$6:$D$3005,$D2031)&gt;1,"同じ月の請求が重複しています／",""),"")&amp;IF(AND(N($E2031)&gt;0,$Z2031&lt;&gt;"",$Z2031&lt;&gt;"×",$AC2031=0,$AB2031=""),"計算額が下限以下のため不支給／",""))</f>
        <v/>
      </c>
      <c r="AL2031" s="12" t="n"/>
      <c r="AM2031" s="14">
        <f>IF($AD2031="保留中",COUNTIF($AD$6:$AD2031,"保留中"),"")</f>
        <v/>
      </c>
      <c r="AN2031" s="14">
        <f>IF($AO2031="","",IF(SUMPRODUCT(MAX((職員マスタ!$A$6:$A$405=$B2031)*(((職員マスタ!$G$6:$G$405="")+(職員マスタ!$G$6:$G$405&lt;=EOMONTH($AO2031,0)))&gt;0)*(((職員マスタ!$H$6:$H$405="")+(職員マスタ!$H$6:$H$405&gt;=$AO2031))&gt;0)*(ROW(職員マスタ!$A$6:$A$405)-5)))&gt;0,SUMPRODUCT(MAX((職員マスタ!$A$6:$A$405=$B2031)*(((職員マスタ!$G$6:$G$405="")+(職員マスタ!$G$6:$G$405&lt;=EOMONTH($AO2031,0)))&gt;0)*(((職員マスタ!$H$6:$H$405="")+(職員マスタ!$H$6:$H$405&gt;=$AO2031))&gt;0)*(ROW(職員マスタ!$A$6:$A$405)-5))),IFERROR(MATCH($B2031,職員マスタ!$A$6:$A$405,0),"")))</f>
        <v/>
      </c>
      <c r="AO2031" s="16">
        <f>IF(OR($B2031="",$C2031="",$D2031=""),"",DATE($C2031+2018,$D2031,1))</f>
        <v/>
      </c>
    </row>
    <row r="2032">
      <c r="A2032" s="11" t="n"/>
      <c r="B2032" s="12" t="n"/>
      <c r="C2032" s="12" t="n"/>
      <c r="D2032" s="12" t="n"/>
      <c r="E2032" s="13" t="n"/>
      <c r="F2032" s="12" t="n"/>
      <c r="G2032" s="13" t="n"/>
      <c r="H2032" s="12" t="n"/>
      <c r="I2032" s="12" t="n"/>
      <c r="J2032" s="12" t="n"/>
      <c r="K2032" s="12" t="n"/>
      <c r="L2032" s="11" t="n"/>
      <c r="M2032" s="11" t="n"/>
      <c r="N2032" s="11" t="n"/>
      <c r="O2032" s="11" t="n"/>
      <c r="P2032" s="12" t="n"/>
      <c r="Q2032" s="11" t="n"/>
      <c r="R2032" s="12" t="n"/>
      <c r="S2032" s="11" t="n"/>
      <c r="T2032" s="12" t="n"/>
      <c r="U2032" s="12" t="n"/>
      <c r="V2032" s="14">
        <f>IF($AN2032="",IF($B2032="","",$H2032),IF(INDEX(職員マスタ!$B$6:$B$405,$AN2032)="",$H2032,INDEX(職員マスタ!$B$6:$B$405,$AN2032)))</f>
        <v/>
      </c>
      <c r="W2032" s="14">
        <f>IF($AN2032="",IF($B2032="","",$R2032),IF(INDEX(職員マスタ!$C$6:$C$405,$AN2032)="",$R2032,INDEX(職員マスタ!$C$6:$C$405,$AN2032)))</f>
        <v/>
      </c>
      <c r="X2032" s="14">
        <f>IF($AO2032="","","R"&amp;$C2032&amp;"."&amp;$D2032)</f>
        <v/>
      </c>
      <c r="Y2032" s="15">
        <f>IF($AN2032="","",IF(INDEX(職員マスタ!$K$6:$K$405,$AN2032)="","",INDEX(職員マスタ!$K$6:$K$405,$AN2032)))</f>
        <v/>
      </c>
      <c r="Z2032" s="14">
        <f>IF(OR($E2032="",$Y2032=""),"",IF($E2032&gt;=$Y2032,"×",IF($E2032&gt;=$Y2032*設定!$C$5,"△","○")))</f>
        <v/>
      </c>
      <c r="AA2032" s="15">
        <f>IF($Z2032="","",IF($Z2032="×",0,IF($Z2032="○",ROUNDDOWN($E2032*設定!$C$4,0),ROUNDDOWN($E2032*ROUND((9*$Y2032-9*$E2032)/(10*$E2032),4),0))))</f>
        <v/>
      </c>
      <c r="AB2032" s="13" t="n"/>
      <c r="AC2032" s="15">
        <f>IF($B2032="","",IF($AB2032&lt;&gt;"",$AB2032,IF($AA2032="","",IF($AA2032&lt;=設定!$C$3,0,$AA2032))))</f>
        <v/>
      </c>
      <c r="AD2032" s="14">
        <f>IF($B2032="","",IF(AND($AE2032&lt;&gt;"",$AG2032="",$AJ2032=""),"保留中",IF($AJ2032&lt;&gt;"",IF(N($AC2032)&gt;0,"支給済","不支給"),IF($AC2032="","要確認",IF($AC2032=0,"不支給","未処理")))))</f>
        <v/>
      </c>
      <c r="AE2032" s="12" t="n"/>
      <c r="AF2032" s="11" t="n"/>
      <c r="AG2032" s="11" t="n"/>
      <c r="AH2032" s="11" t="n"/>
      <c r="AI2032" s="14">
        <f>IF(AND($AD2032="保留中",$AF2032&lt;&gt;""),TODAY()-$AF2032,"")</f>
        <v/>
      </c>
      <c r="AJ2032" s="12" t="n"/>
      <c r="AK2032" s="14">
        <f>IF($B2032="","",IF($AO2032="","対象年月が未入力／","")&amp;IF($B2032="","",IF($AN2032="","職員マスタに未登録の職員番号／",IF($Y2032="","標準報酬月額が未登録／","")&amp;IF(AND($AO2032&lt;&gt;"",OR(AND(INDEX(職員マスタ!$G$6:$G$405,$AN2032)&lt;&gt;"",INDEX(職員マスタ!$G$6:$G$405,$AN2032)&gt;EOMONTH($AO2032,0)),AND(INDEX(職員マスタ!$H$6:$H$405,$AN2032)&lt;&gt;"",INDEX(職員マスタ!$H$6:$H$405,$AN2032)&lt;$AO2032))),"対象月が時短期間外／","")&amp;IF(AND(INDEX(職員マスタ!$F$6:$F$405,$AN2032)&lt;&gt;"",$AO2032&lt;&gt;"",INDEX(職員マスタ!$F$6:$F$405,$AN2032)&lt;$AO2032),"対象月に子が2歳到達済／","")&amp;IF(AND($H2032&lt;&gt;"",INDEX(職員マスタ!$B$6:$B$405,$AN2032)&lt;&gt;"",SUBSTITUTE(SUBSTITUTE($H2032," ","")," ","")&lt;&gt;SUBSTITUTE(SUBSTITUTE(INDEX(職員マスタ!$B$6:$B$405,$AN2032)," ","")," ","")),"氏名がマスタと相違／","")&amp;IF(AND($Q2032&lt;&gt;"",INDEX(職員マスタ!$E$6:$E$405,$AN2032)&lt;&gt;"",$Q2032&lt;&gt;INDEX(職員マスタ!$E$6:$E$405,$AN2032)),"子の生年月日がマスタと相違／","")&amp;IF(AND($L2032&lt;&gt;"",INDEX(職員マスタ!$G$6:$G$405,$AN2032)&lt;&gt;"",$L2032&lt;&gt;INDEX(職員マスタ!$G$6:$G$405,$AN2032)),"時短開始日がマスタと相違／","")&amp;IF(AND($M2032&lt;&gt;"",INDEX(職員マスタ!$H$6:$H$405,$AN2032)&lt;&gt;"",$M2032&lt;&gt;INDEX(職員マスタ!$H$6:$H$405,$AN2032)),"時短終了日がマスタと相違／","")))&amp;IF(AND($B2032&lt;&gt;"",$E2032=""),"報酬額が未入力／","")&amp;IF(N($U2032)&gt;0,"申請書に入力エラーが残っています／","")&amp;IF(AND($B2032&lt;&gt;"",$AO2032&lt;&gt;""),IF(COUNTIFS($B$6:$B$3005,$B2032,$C$6:$C$3005,$C2032,$D$6:$D$3005,$D2032)&gt;1,"同じ月の請求が重複しています／",""),"")&amp;IF(AND(N($E2032)&gt;0,$Z2032&lt;&gt;"",$Z2032&lt;&gt;"×",$AC2032=0,$AB2032=""),"計算額が下限以下のため不支給／",""))</f>
        <v/>
      </c>
      <c r="AL2032" s="12" t="n"/>
      <c r="AM2032" s="14">
        <f>IF($AD2032="保留中",COUNTIF($AD$6:$AD2032,"保留中"),"")</f>
        <v/>
      </c>
      <c r="AN2032" s="14">
        <f>IF($AO2032="","",IF(SUMPRODUCT(MAX((職員マスタ!$A$6:$A$405=$B2032)*(((職員マスタ!$G$6:$G$405="")+(職員マスタ!$G$6:$G$405&lt;=EOMONTH($AO2032,0)))&gt;0)*(((職員マスタ!$H$6:$H$405="")+(職員マスタ!$H$6:$H$405&gt;=$AO2032))&gt;0)*(ROW(職員マスタ!$A$6:$A$405)-5)))&gt;0,SUMPRODUCT(MAX((職員マスタ!$A$6:$A$405=$B2032)*(((職員マスタ!$G$6:$G$405="")+(職員マスタ!$G$6:$G$405&lt;=EOMONTH($AO2032,0)))&gt;0)*(((職員マスタ!$H$6:$H$405="")+(職員マスタ!$H$6:$H$405&gt;=$AO2032))&gt;0)*(ROW(職員マスタ!$A$6:$A$405)-5))),IFERROR(MATCH($B2032,職員マスタ!$A$6:$A$405,0),"")))</f>
        <v/>
      </c>
      <c r="AO2032" s="16">
        <f>IF(OR($B2032="",$C2032="",$D2032=""),"",DATE($C2032+2018,$D2032,1))</f>
        <v/>
      </c>
    </row>
    <row r="2033">
      <c r="A2033" s="11" t="n"/>
      <c r="B2033" s="12" t="n"/>
      <c r="C2033" s="12" t="n"/>
      <c r="D2033" s="12" t="n"/>
      <c r="E2033" s="13" t="n"/>
      <c r="F2033" s="12" t="n"/>
      <c r="G2033" s="13" t="n"/>
      <c r="H2033" s="12" t="n"/>
      <c r="I2033" s="12" t="n"/>
      <c r="J2033" s="12" t="n"/>
      <c r="K2033" s="12" t="n"/>
      <c r="L2033" s="11" t="n"/>
      <c r="M2033" s="11" t="n"/>
      <c r="N2033" s="11" t="n"/>
      <c r="O2033" s="11" t="n"/>
      <c r="P2033" s="12" t="n"/>
      <c r="Q2033" s="11" t="n"/>
      <c r="R2033" s="12" t="n"/>
      <c r="S2033" s="11" t="n"/>
      <c r="T2033" s="12" t="n"/>
      <c r="U2033" s="12" t="n"/>
      <c r="V2033" s="14">
        <f>IF($AN2033="",IF($B2033="","",$H2033),IF(INDEX(職員マスタ!$B$6:$B$405,$AN2033)="",$H2033,INDEX(職員マスタ!$B$6:$B$405,$AN2033)))</f>
        <v/>
      </c>
      <c r="W2033" s="14">
        <f>IF($AN2033="",IF($B2033="","",$R2033),IF(INDEX(職員マスタ!$C$6:$C$405,$AN2033)="",$R2033,INDEX(職員マスタ!$C$6:$C$405,$AN2033)))</f>
        <v/>
      </c>
      <c r="X2033" s="14">
        <f>IF($AO2033="","","R"&amp;$C2033&amp;"."&amp;$D2033)</f>
        <v/>
      </c>
      <c r="Y2033" s="15">
        <f>IF($AN2033="","",IF(INDEX(職員マスタ!$K$6:$K$405,$AN2033)="","",INDEX(職員マスタ!$K$6:$K$405,$AN2033)))</f>
        <v/>
      </c>
      <c r="Z2033" s="14">
        <f>IF(OR($E2033="",$Y2033=""),"",IF($E2033&gt;=$Y2033,"×",IF($E2033&gt;=$Y2033*設定!$C$5,"△","○")))</f>
        <v/>
      </c>
      <c r="AA2033" s="15">
        <f>IF($Z2033="","",IF($Z2033="×",0,IF($Z2033="○",ROUNDDOWN($E2033*設定!$C$4,0),ROUNDDOWN($E2033*ROUND((9*$Y2033-9*$E2033)/(10*$E2033),4),0))))</f>
        <v/>
      </c>
      <c r="AB2033" s="13" t="n"/>
      <c r="AC2033" s="15">
        <f>IF($B2033="","",IF($AB2033&lt;&gt;"",$AB2033,IF($AA2033="","",IF($AA2033&lt;=設定!$C$3,0,$AA2033))))</f>
        <v/>
      </c>
      <c r="AD2033" s="14">
        <f>IF($B2033="","",IF(AND($AE2033&lt;&gt;"",$AG2033="",$AJ2033=""),"保留中",IF($AJ2033&lt;&gt;"",IF(N($AC2033)&gt;0,"支給済","不支給"),IF($AC2033="","要確認",IF($AC2033=0,"不支給","未処理")))))</f>
        <v/>
      </c>
      <c r="AE2033" s="12" t="n"/>
      <c r="AF2033" s="11" t="n"/>
      <c r="AG2033" s="11" t="n"/>
      <c r="AH2033" s="11" t="n"/>
      <c r="AI2033" s="14">
        <f>IF(AND($AD2033="保留中",$AF2033&lt;&gt;""),TODAY()-$AF2033,"")</f>
        <v/>
      </c>
      <c r="AJ2033" s="12" t="n"/>
      <c r="AK2033" s="14">
        <f>IF($B2033="","",IF($AO2033="","対象年月が未入力／","")&amp;IF($B2033="","",IF($AN2033="","職員マスタに未登録の職員番号／",IF($Y2033="","標準報酬月額が未登録／","")&amp;IF(AND($AO2033&lt;&gt;"",OR(AND(INDEX(職員マスタ!$G$6:$G$405,$AN2033)&lt;&gt;"",INDEX(職員マスタ!$G$6:$G$405,$AN2033)&gt;EOMONTH($AO2033,0)),AND(INDEX(職員マスタ!$H$6:$H$405,$AN2033)&lt;&gt;"",INDEX(職員マスタ!$H$6:$H$405,$AN2033)&lt;$AO2033))),"対象月が時短期間外／","")&amp;IF(AND(INDEX(職員マスタ!$F$6:$F$405,$AN2033)&lt;&gt;"",$AO2033&lt;&gt;"",INDEX(職員マスタ!$F$6:$F$405,$AN2033)&lt;$AO2033),"対象月に子が2歳到達済／","")&amp;IF(AND($H2033&lt;&gt;"",INDEX(職員マスタ!$B$6:$B$405,$AN2033)&lt;&gt;"",SUBSTITUTE(SUBSTITUTE($H2033," ","")," ","")&lt;&gt;SUBSTITUTE(SUBSTITUTE(INDEX(職員マスタ!$B$6:$B$405,$AN2033)," ","")," ","")),"氏名がマスタと相違／","")&amp;IF(AND($Q2033&lt;&gt;"",INDEX(職員マスタ!$E$6:$E$405,$AN2033)&lt;&gt;"",$Q2033&lt;&gt;INDEX(職員マスタ!$E$6:$E$405,$AN2033)),"子の生年月日がマスタと相違／","")&amp;IF(AND($L2033&lt;&gt;"",INDEX(職員マスタ!$G$6:$G$405,$AN2033)&lt;&gt;"",$L2033&lt;&gt;INDEX(職員マスタ!$G$6:$G$405,$AN2033)),"時短開始日がマスタと相違／","")&amp;IF(AND($M2033&lt;&gt;"",INDEX(職員マスタ!$H$6:$H$405,$AN2033)&lt;&gt;"",$M2033&lt;&gt;INDEX(職員マスタ!$H$6:$H$405,$AN2033)),"時短終了日がマスタと相違／","")))&amp;IF(AND($B2033&lt;&gt;"",$E2033=""),"報酬額が未入力／","")&amp;IF(N($U2033)&gt;0,"申請書に入力エラーが残っています／","")&amp;IF(AND($B2033&lt;&gt;"",$AO2033&lt;&gt;""),IF(COUNTIFS($B$6:$B$3005,$B2033,$C$6:$C$3005,$C2033,$D$6:$D$3005,$D2033)&gt;1,"同じ月の請求が重複しています／",""),"")&amp;IF(AND(N($E2033)&gt;0,$Z2033&lt;&gt;"",$Z2033&lt;&gt;"×",$AC2033=0,$AB2033=""),"計算額が下限以下のため不支給／",""))</f>
        <v/>
      </c>
      <c r="AL2033" s="12" t="n"/>
      <c r="AM2033" s="14">
        <f>IF($AD2033="保留中",COUNTIF($AD$6:$AD2033,"保留中"),"")</f>
        <v/>
      </c>
      <c r="AN2033" s="14">
        <f>IF($AO2033="","",IF(SUMPRODUCT(MAX((職員マスタ!$A$6:$A$405=$B2033)*(((職員マスタ!$G$6:$G$405="")+(職員マスタ!$G$6:$G$405&lt;=EOMONTH($AO2033,0)))&gt;0)*(((職員マスタ!$H$6:$H$405="")+(職員マスタ!$H$6:$H$405&gt;=$AO2033))&gt;0)*(ROW(職員マスタ!$A$6:$A$405)-5)))&gt;0,SUMPRODUCT(MAX((職員マスタ!$A$6:$A$405=$B2033)*(((職員マスタ!$G$6:$G$405="")+(職員マスタ!$G$6:$G$405&lt;=EOMONTH($AO2033,0)))&gt;0)*(((職員マスタ!$H$6:$H$405="")+(職員マスタ!$H$6:$H$405&gt;=$AO2033))&gt;0)*(ROW(職員マスタ!$A$6:$A$405)-5))),IFERROR(MATCH($B2033,職員マスタ!$A$6:$A$405,0),"")))</f>
        <v/>
      </c>
      <c r="AO2033" s="16">
        <f>IF(OR($B2033="",$C2033="",$D2033=""),"",DATE($C2033+2018,$D2033,1))</f>
        <v/>
      </c>
    </row>
    <row r="2034">
      <c r="A2034" s="11" t="n"/>
      <c r="B2034" s="12" t="n"/>
      <c r="C2034" s="12" t="n"/>
      <c r="D2034" s="12" t="n"/>
      <c r="E2034" s="13" t="n"/>
      <c r="F2034" s="12" t="n"/>
      <c r="G2034" s="13" t="n"/>
      <c r="H2034" s="12" t="n"/>
      <c r="I2034" s="12" t="n"/>
      <c r="J2034" s="12" t="n"/>
      <c r="K2034" s="12" t="n"/>
      <c r="L2034" s="11" t="n"/>
      <c r="M2034" s="11" t="n"/>
      <c r="N2034" s="11" t="n"/>
      <c r="O2034" s="11" t="n"/>
      <c r="P2034" s="12" t="n"/>
      <c r="Q2034" s="11" t="n"/>
      <c r="R2034" s="12" t="n"/>
      <c r="S2034" s="11" t="n"/>
      <c r="T2034" s="12" t="n"/>
      <c r="U2034" s="12" t="n"/>
      <c r="V2034" s="14">
        <f>IF($AN2034="",IF($B2034="","",$H2034),IF(INDEX(職員マスタ!$B$6:$B$405,$AN2034)="",$H2034,INDEX(職員マスタ!$B$6:$B$405,$AN2034)))</f>
        <v/>
      </c>
      <c r="W2034" s="14">
        <f>IF($AN2034="",IF($B2034="","",$R2034),IF(INDEX(職員マスタ!$C$6:$C$405,$AN2034)="",$R2034,INDEX(職員マスタ!$C$6:$C$405,$AN2034)))</f>
        <v/>
      </c>
      <c r="X2034" s="14">
        <f>IF($AO2034="","","R"&amp;$C2034&amp;"."&amp;$D2034)</f>
        <v/>
      </c>
      <c r="Y2034" s="15">
        <f>IF($AN2034="","",IF(INDEX(職員マスタ!$K$6:$K$405,$AN2034)="","",INDEX(職員マスタ!$K$6:$K$405,$AN2034)))</f>
        <v/>
      </c>
      <c r="Z2034" s="14">
        <f>IF(OR($E2034="",$Y2034=""),"",IF($E2034&gt;=$Y2034,"×",IF($E2034&gt;=$Y2034*設定!$C$5,"△","○")))</f>
        <v/>
      </c>
      <c r="AA2034" s="15">
        <f>IF($Z2034="","",IF($Z2034="×",0,IF($Z2034="○",ROUNDDOWN($E2034*設定!$C$4,0),ROUNDDOWN($E2034*ROUND((9*$Y2034-9*$E2034)/(10*$E2034),4),0))))</f>
        <v/>
      </c>
      <c r="AB2034" s="13" t="n"/>
      <c r="AC2034" s="15">
        <f>IF($B2034="","",IF($AB2034&lt;&gt;"",$AB2034,IF($AA2034="","",IF($AA2034&lt;=設定!$C$3,0,$AA2034))))</f>
        <v/>
      </c>
      <c r="AD2034" s="14">
        <f>IF($B2034="","",IF(AND($AE2034&lt;&gt;"",$AG2034="",$AJ2034=""),"保留中",IF($AJ2034&lt;&gt;"",IF(N($AC2034)&gt;0,"支給済","不支給"),IF($AC2034="","要確認",IF($AC2034=0,"不支給","未処理")))))</f>
        <v/>
      </c>
      <c r="AE2034" s="12" t="n"/>
      <c r="AF2034" s="11" t="n"/>
      <c r="AG2034" s="11" t="n"/>
      <c r="AH2034" s="11" t="n"/>
      <c r="AI2034" s="14">
        <f>IF(AND($AD2034="保留中",$AF2034&lt;&gt;""),TODAY()-$AF2034,"")</f>
        <v/>
      </c>
      <c r="AJ2034" s="12" t="n"/>
      <c r="AK2034" s="14">
        <f>IF($B2034="","",IF($AO2034="","対象年月が未入力／","")&amp;IF($B2034="","",IF($AN2034="","職員マスタに未登録の職員番号／",IF($Y2034="","標準報酬月額が未登録／","")&amp;IF(AND($AO2034&lt;&gt;"",OR(AND(INDEX(職員マスタ!$G$6:$G$405,$AN2034)&lt;&gt;"",INDEX(職員マスタ!$G$6:$G$405,$AN2034)&gt;EOMONTH($AO2034,0)),AND(INDEX(職員マスタ!$H$6:$H$405,$AN2034)&lt;&gt;"",INDEX(職員マスタ!$H$6:$H$405,$AN2034)&lt;$AO2034))),"対象月が時短期間外／","")&amp;IF(AND(INDEX(職員マスタ!$F$6:$F$405,$AN2034)&lt;&gt;"",$AO2034&lt;&gt;"",INDEX(職員マスタ!$F$6:$F$405,$AN2034)&lt;$AO2034),"対象月に子が2歳到達済／","")&amp;IF(AND($H2034&lt;&gt;"",INDEX(職員マスタ!$B$6:$B$405,$AN2034)&lt;&gt;"",SUBSTITUTE(SUBSTITUTE($H2034," ","")," ","")&lt;&gt;SUBSTITUTE(SUBSTITUTE(INDEX(職員マスタ!$B$6:$B$405,$AN2034)," ","")," ","")),"氏名がマスタと相違／","")&amp;IF(AND($Q2034&lt;&gt;"",INDEX(職員マスタ!$E$6:$E$405,$AN2034)&lt;&gt;"",$Q2034&lt;&gt;INDEX(職員マスタ!$E$6:$E$405,$AN2034)),"子の生年月日がマスタと相違／","")&amp;IF(AND($L2034&lt;&gt;"",INDEX(職員マスタ!$G$6:$G$405,$AN2034)&lt;&gt;"",$L2034&lt;&gt;INDEX(職員マスタ!$G$6:$G$405,$AN2034)),"時短開始日がマスタと相違／","")&amp;IF(AND($M2034&lt;&gt;"",INDEX(職員マスタ!$H$6:$H$405,$AN2034)&lt;&gt;"",$M2034&lt;&gt;INDEX(職員マスタ!$H$6:$H$405,$AN2034)),"時短終了日がマスタと相違／","")))&amp;IF(AND($B2034&lt;&gt;"",$E2034=""),"報酬額が未入力／","")&amp;IF(N($U2034)&gt;0,"申請書に入力エラーが残っています／","")&amp;IF(AND($B2034&lt;&gt;"",$AO2034&lt;&gt;""),IF(COUNTIFS($B$6:$B$3005,$B2034,$C$6:$C$3005,$C2034,$D$6:$D$3005,$D2034)&gt;1,"同じ月の請求が重複しています／",""),"")&amp;IF(AND(N($E2034)&gt;0,$Z2034&lt;&gt;"",$Z2034&lt;&gt;"×",$AC2034=0,$AB2034=""),"計算額が下限以下のため不支給／",""))</f>
        <v/>
      </c>
      <c r="AL2034" s="12" t="n"/>
      <c r="AM2034" s="14">
        <f>IF($AD2034="保留中",COUNTIF($AD$6:$AD2034,"保留中"),"")</f>
        <v/>
      </c>
      <c r="AN2034" s="14">
        <f>IF($AO2034="","",IF(SUMPRODUCT(MAX((職員マスタ!$A$6:$A$405=$B2034)*(((職員マスタ!$G$6:$G$405="")+(職員マスタ!$G$6:$G$405&lt;=EOMONTH($AO2034,0)))&gt;0)*(((職員マスタ!$H$6:$H$405="")+(職員マスタ!$H$6:$H$405&gt;=$AO2034))&gt;0)*(ROW(職員マスタ!$A$6:$A$405)-5)))&gt;0,SUMPRODUCT(MAX((職員マスタ!$A$6:$A$405=$B2034)*(((職員マスタ!$G$6:$G$405="")+(職員マスタ!$G$6:$G$405&lt;=EOMONTH($AO2034,0)))&gt;0)*(((職員マスタ!$H$6:$H$405="")+(職員マスタ!$H$6:$H$405&gt;=$AO2034))&gt;0)*(ROW(職員マスタ!$A$6:$A$405)-5))),IFERROR(MATCH($B2034,職員マスタ!$A$6:$A$405,0),"")))</f>
        <v/>
      </c>
      <c r="AO2034" s="16">
        <f>IF(OR($B2034="",$C2034="",$D2034=""),"",DATE($C2034+2018,$D2034,1))</f>
        <v/>
      </c>
    </row>
    <row r="2035">
      <c r="A2035" s="11" t="n"/>
      <c r="B2035" s="12" t="n"/>
      <c r="C2035" s="12" t="n"/>
      <c r="D2035" s="12" t="n"/>
      <c r="E2035" s="13" t="n"/>
      <c r="F2035" s="12" t="n"/>
      <c r="G2035" s="13" t="n"/>
      <c r="H2035" s="12" t="n"/>
      <c r="I2035" s="12" t="n"/>
      <c r="J2035" s="12" t="n"/>
      <c r="K2035" s="12" t="n"/>
      <c r="L2035" s="11" t="n"/>
      <c r="M2035" s="11" t="n"/>
      <c r="N2035" s="11" t="n"/>
      <c r="O2035" s="11" t="n"/>
      <c r="P2035" s="12" t="n"/>
      <c r="Q2035" s="11" t="n"/>
      <c r="R2035" s="12" t="n"/>
      <c r="S2035" s="11" t="n"/>
      <c r="T2035" s="12" t="n"/>
      <c r="U2035" s="12" t="n"/>
      <c r="V2035" s="14">
        <f>IF($AN2035="",IF($B2035="","",$H2035),IF(INDEX(職員マスタ!$B$6:$B$405,$AN2035)="",$H2035,INDEX(職員マスタ!$B$6:$B$405,$AN2035)))</f>
        <v/>
      </c>
      <c r="W2035" s="14">
        <f>IF($AN2035="",IF($B2035="","",$R2035),IF(INDEX(職員マスタ!$C$6:$C$405,$AN2035)="",$R2035,INDEX(職員マスタ!$C$6:$C$405,$AN2035)))</f>
        <v/>
      </c>
      <c r="X2035" s="14">
        <f>IF($AO2035="","","R"&amp;$C2035&amp;"."&amp;$D2035)</f>
        <v/>
      </c>
      <c r="Y2035" s="15">
        <f>IF($AN2035="","",IF(INDEX(職員マスタ!$K$6:$K$405,$AN2035)="","",INDEX(職員マスタ!$K$6:$K$405,$AN2035)))</f>
        <v/>
      </c>
      <c r="Z2035" s="14">
        <f>IF(OR($E2035="",$Y2035=""),"",IF($E2035&gt;=$Y2035,"×",IF($E2035&gt;=$Y2035*設定!$C$5,"△","○")))</f>
        <v/>
      </c>
      <c r="AA2035" s="15">
        <f>IF($Z2035="","",IF($Z2035="×",0,IF($Z2035="○",ROUNDDOWN($E2035*設定!$C$4,0),ROUNDDOWN($E2035*ROUND((9*$Y2035-9*$E2035)/(10*$E2035),4),0))))</f>
        <v/>
      </c>
      <c r="AB2035" s="13" t="n"/>
      <c r="AC2035" s="15">
        <f>IF($B2035="","",IF($AB2035&lt;&gt;"",$AB2035,IF($AA2035="","",IF($AA2035&lt;=設定!$C$3,0,$AA2035))))</f>
        <v/>
      </c>
      <c r="AD2035" s="14">
        <f>IF($B2035="","",IF(AND($AE2035&lt;&gt;"",$AG2035="",$AJ2035=""),"保留中",IF($AJ2035&lt;&gt;"",IF(N($AC2035)&gt;0,"支給済","不支給"),IF($AC2035="","要確認",IF($AC2035=0,"不支給","未処理")))))</f>
        <v/>
      </c>
      <c r="AE2035" s="12" t="n"/>
      <c r="AF2035" s="11" t="n"/>
      <c r="AG2035" s="11" t="n"/>
      <c r="AH2035" s="11" t="n"/>
      <c r="AI2035" s="14">
        <f>IF(AND($AD2035="保留中",$AF2035&lt;&gt;""),TODAY()-$AF2035,"")</f>
        <v/>
      </c>
      <c r="AJ2035" s="12" t="n"/>
      <c r="AK2035" s="14">
        <f>IF($B2035="","",IF($AO2035="","対象年月が未入力／","")&amp;IF($B2035="","",IF($AN2035="","職員マスタに未登録の職員番号／",IF($Y2035="","標準報酬月額が未登録／","")&amp;IF(AND($AO2035&lt;&gt;"",OR(AND(INDEX(職員マスタ!$G$6:$G$405,$AN2035)&lt;&gt;"",INDEX(職員マスタ!$G$6:$G$405,$AN2035)&gt;EOMONTH($AO2035,0)),AND(INDEX(職員マスタ!$H$6:$H$405,$AN2035)&lt;&gt;"",INDEX(職員マスタ!$H$6:$H$405,$AN2035)&lt;$AO2035))),"対象月が時短期間外／","")&amp;IF(AND(INDEX(職員マスタ!$F$6:$F$405,$AN2035)&lt;&gt;"",$AO2035&lt;&gt;"",INDEX(職員マスタ!$F$6:$F$405,$AN2035)&lt;$AO2035),"対象月に子が2歳到達済／","")&amp;IF(AND($H2035&lt;&gt;"",INDEX(職員マスタ!$B$6:$B$405,$AN2035)&lt;&gt;"",SUBSTITUTE(SUBSTITUTE($H2035," ","")," ","")&lt;&gt;SUBSTITUTE(SUBSTITUTE(INDEX(職員マスタ!$B$6:$B$405,$AN2035)," ","")," ","")),"氏名がマスタと相違／","")&amp;IF(AND($Q2035&lt;&gt;"",INDEX(職員マスタ!$E$6:$E$405,$AN2035)&lt;&gt;"",$Q2035&lt;&gt;INDEX(職員マスタ!$E$6:$E$405,$AN2035)),"子の生年月日がマスタと相違／","")&amp;IF(AND($L2035&lt;&gt;"",INDEX(職員マスタ!$G$6:$G$405,$AN2035)&lt;&gt;"",$L2035&lt;&gt;INDEX(職員マスタ!$G$6:$G$405,$AN2035)),"時短開始日がマスタと相違／","")&amp;IF(AND($M2035&lt;&gt;"",INDEX(職員マスタ!$H$6:$H$405,$AN2035)&lt;&gt;"",$M2035&lt;&gt;INDEX(職員マスタ!$H$6:$H$405,$AN2035)),"時短終了日がマスタと相違／","")))&amp;IF(AND($B2035&lt;&gt;"",$E2035=""),"報酬額が未入力／","")&amp;IF(N($U2035)&gt;0,"申請書に入力エラーが残っています／","")&amp;IF(AND($B2035&lt;&gt;"",$AO2035&lt;&gt;""),IF(COUNTIFS($B$6:$B$3005,$B2035,$C$6:$C$3005,$C2035,$D$6:$D$3005,$D2035)&gt;1,"同じ月の請求が重複しています／",""),"")&amp;IF(AND(N($E2035)&gt;0,$Z2035&lt;&gt;"",$Z2035&lt;&gt;"×",$AC2035=0,$AB2035=""),"計算額が下限以下のため不支給／",""))</f>
        <v/>
      </c>
      <c r="AL2035" s="12" t="n"/>
      <c r="AM2035" s="14">
        <f>IF($AD2035="保留中",COUNTIF($AD$6:$AD2035,"保留中"),"")</f>
        <v/>
      </c>
      <c r="AN2035" s="14">
        <f>IF($AO2035="","",IF(SUMPRODUCT(MAX((職員マスタ!$A$6:$A$405=$B2035)*(((職員マスタ!$G$6:$G$405="")+(職員マスタ!$G$6:$G$405&lt;=EOMONTH($AO2035,0)))&gt;0)*(((職員マスタ!$H$6:$H$405="")+(職員マスタ!$H$6:$H$405&gt;=$AO2035))&gt;0)*(ROW(職員マスタ!$A$6:$A$405)-5)))&gt;0,SUMPRODUCT(MAX((職員マスタ!$A$6:$A$405=$B2035)*(((職員マスタ!$G$6:$G$405="")+(職員マスタ!$G$6:$G$405&lt;=EOMONTH($AO2035,0)))&gt;0)*(((職員マスタ!$H$6:$H$405="")+(職員マスタ!$H$6:$H$405&gt;=$AO2035))&gt;0)*(ROW(職員マスタ!$A$6:$A$405)-5))),IFERROR(MATCH($B2035,職員マスタ!$A$6:$A$405,0),"")))</f>
        <v/>
      </c>
      <c r="AO2035" s="16">
        <f>IF(OR($B2035="",$C2035="",$D2035=""),"",DATE($C2035+2018,$D2035,1))</f>
        <v/>
      </c>
    </row>
    <row r="2036">
      <c r="A2036" s="11" t="n"/>
      <c r="B2036" s="12" t="n"/>
      <c r="C2036" s="12" t="n"/>
      <c r="D2036" s="12" t="n"/>
      <c r="E2036" s="13" t="n"/>
      <c r="F2036" s="12" t="n"/>
      <c r="G2036" s="13" t="n"/>
      <c r="H2036" s="12" t="n"/>
      <c r="I2036" s="12" t="n"/>
      <c r="J2036" s="12" t="n"/>
      <c r="K2036" s="12" t="n"/>
      <c r="L2036" s="11" t="n"/>
      <c r="M2036" s="11" t="n"/>
      <c r="N2036" s="11" t="n"/>
      <c r="O2036" s="11" t="n"/>
      <c r="P2036" s="12" t="n"/>
      <c r="Q2036" s="11" t="n"/>
      <c r="R2036" s="12" t="n"/>
      <c r="S2036" s="11" t="n"/>
      <c r="T2036" s="12" t="n"/>
      <c r="U2036" s="12" t="n"/>
      <c r="V2036" s="14">
        <f>IF($AN2036="",IF($B2036="","",$H2036),IF(INDEX(職員マスタ!$B$6:$B$405,$AN2036)="",$H2036,INDEX(職員マスタ!$B$6:$B$405,$AN2036)))</f>
        <v/>
      </c>
      <c r="W2036" s="14">
        <f>IF($AN2036="",IF($B2036="","",$R2036),IF(INDEX(職員マスタ!$C$6:$C$405,$AN2036)="",$R2036,INDEX(職員マスタ!$C$6:$C$405,$AN2036)))</f>
        <v/>
      </c>
      <c r="X2036" s="14">
        <f>IF($AO2036="","","R"&amp;$C2036&amp;"."&amp;$D2036)</f>
        <v/>
      </c>
      <c r="Y2036" s="15">
        <f>IF($AN2036="","",IF(INDEX(職員マスタ!$K$6:$K$405,$AN2036)="","",INDEX(職員マスタ!$K$6:$K$405,$AN2036)))</f>
        <v/>
      </c>
      <c r="Z2036" s="14">
        <f>IF(OR($E2036="",$Y2036=""),"",IF($E2036&gt;=$Y2036,"×",IF($E2036&gt;=$Y2036*設定!$C$5,"△","○")))</f>
        <v/>
      </c>
      <c r="AA2036" s="15">
        <f>IF($Z2036="","",IF($Z2036="×",0,IF($Z2036="○",ROUNDDOWN($E2036*設定!$C$4,0),ROUNDDOWN($E2036*ROUND((9*$Y2036-9*$E2036)/(10*$E2036),4),0))))</f>
        <v/>
      </c>
      <c r="AB2036" s="13" t="n"/>
      <c r="AC2036" s="15">
        <f>IF($B2036="","",IF($AB2036&lt;&gt;"",$AB2036,IF($AA2036="","",IF($AA2036&lt;=設定!$C$3,0,$AA2036))))</f>
        <v/>
      </c>
      <c r="AD2036" s="14">
        <f>IF($B2036="","",IF(AND($AE2036&lt;&gt;"",$AG2036="",$AJ2036=""),"保留中",IF($AJ2036&lt;&gt;"",IF(N($AC2036)&gt;0,"支給済","不支給"),IF($AC2036="","要確認",IF($AC2036=0,"不支給","未処理")))))</f>
        <v/>
      </c>
      <c r="AE2036" s="12" t="n"/>
      <c r="AF2036" s="11" t="n"/>
      <c r="AG2036" s="11" t="n"/>
      <c r="AH2036" s="11" t="n"/>
      <c r="AI2036" s="14">
        <f>IF(AND($AD2036="保留中",$AF2036&lt;&gt;""),TODAY()-$AF2036,"")</f>
        <v/>
      </c>
      <c r="AJ2036" s="12" t="n"/>
      <c r="AK2036" s="14">
        <f>IF($B2036="","",IF($AO2036="","対象年月が未入力／","")&amp;IF($B2036="","",IF($AN2036="","職員マスタに未登録の職員番号／",IF($Y2036="","標準報酬月額が未登録／","")&amp;IF(AND($AO2036&lt;&gt;"",OR(AND(INDEX(職員マスタ!$G$6:$G$405,$AN2036)&lt;&gt;"",INDEX(職員マスタ!$G$6:$G$405,$AN2036)&gt;EOMONTH($AO2036,0)),AND(INDEX(職員マスタ!$H$6:$H$405,$AN2036)&lt;&gt;"",INDEX(職員マスタ!$H$6:$H$405,$AN2036)&lt;$AO2036))),"対象月が時短期間外／","")&amp;IF(AND(INDEX(職員マスタ!$F$6:$F$405,$AN2036)&lt;&gt;"",$AO2036&lt;&gt;"",INDEX(職員マスタ!$F$6:$F$405,$AN2036)&lt;$AO2036),"対象月に子が2歳到達済／","")&amp;IF(AND($H2036&lt;&gt;"",INDEX(職員マスタ!$B$6:$B$405,$AN2036)&lt;&gt;"",SUBSTITUTE(SUBSTITUTE($H2036," ","")," ","")&lt;&gt;SUBSTITUTE(SUBSTITUTE(INDEX(職員マスタ!$B$6:$B$405,$AN2036)," ","")," ","")),"氏名がマスタと相違／","")&amp;IF(AND($Q2036&lt;&gt;"",INDEX(職員マスタ!$E$6:$E$405,$AN2036)&lt;&gt;"",$Q2036&lt;&gt;INDEX(職員マスタ!$E$6:$E$405,$AN2036)),"子の生年月日がマスタと相違／","")&amp;IF(AND($L2036&lt;&gt;"",INDEX(職員マスタ!$G$6:$G$405,$AN2036)&lt;&gt;"",$L2036&lt;&gt;INDEX(職員マスタ!$G$6:$G$405,$AN2036)),"時短開始日がマスタと相違／","")&amp;IF(AND($M2036&lt;&gt;"",INDEX(職員マスタ!$H$6:$H$405,$AN2036)&lt;&gt;"",$M2036&lt;&gt;INDEX(職員マスタ!$H$6:$H$405,$AN2036)),"時短終了日がマスタと相違／","")))&amp;IF(AND($B2036&lt;&gt;"",$E2036=""),"報酬額が未入力／","")&amp;IF(N($U2036)&gt;0,"申請書に入力エラーが残っています／","")&amp;IF(AND($B2036&lt;&gt;"",$AO2036&lt;&gt;""),IF(COUNTIFS($B$6:$B$3005,$B2036,$C$6:$C$3005,$C2036,$D$6:$D$3005,$D2036)&gt;1,"同じ月の請求が重複しています／",""),"")&amp;IF(AND(N($E2036)&gt;0,$Z2036&lt;&gt;"",$Z2036&lt;&gt;"×",$AC2036=0,$AB2036=""),"計算額が下限以下のため不支給／",""))</f>
        <v/>
      </c>
      <c r="AL2036" s="12" t="n"/>
      <c r="AM2036" s="14">
        <f>IF($AD2036="保留中",COUNTIF($AD$6:$AD2036,"保留中"),"")</f>
        <v/>
      </c>
      <c r="AN2036" s="14">
        <f>IF($AO2036="","",IF(SUMPRODUCT(MAX((職員マスタ!$A$6:$A$405=$B2036)*(((職員マスタ!$G$6:$G$405="")+(職員マスタ!$G$6:$G$405&lt;=EOMONTH($AO2036,0)))&gt;0)*(((職員マスタ!$H$6:$H$405="")+(職員マスタ!$H$6:$H$405&gt;=$AO2036))&gt;0)*(ROW(職員マスタ!$A$6:$A$405)-5)))&gt;0,SUMPRODUCT(MAX((職員マスタ!$A$6:$A$405=$B2036)*(((職員マスタ!$G$6:$G$405="")+(職員マスタ!$G$6:$G$405&lt;=EOMONTH($AO2036,0)))&gt;0)*(((職員マスタ!$H$6:$H$405="")+(職員マスタ!$H$6:$H$405&gt;=$AO2036))&gt;0)*(ROW(職員マスタ!$A$6:$A$405)-5))),IFERROR(MATCH($B2036,職員マスタ!$A$6:$A$405,0),"")))</f>
        <v/>
      </c>
      <c r="AO2036" s="16">
        <f>IF(OR($B2036="",$C2036="",$D2036=""),"",DATE($C2036+2018,$D2036,1))</f>
        <v/>
      </c>
    </row>
    <row r="2037">
      <c r="A2037" s="11" t="n"/>
      <c r="B2037" s="12" t="n"/>
      <c r="C2037" s="12" t="n"/>
      <c r="D2037" s="12" t="n"/>
      <c r="E2037" s="13" t="n"/>
      <c r="F2037" s="12" t="n"/>
      <c r="G2037" s="13" t="n"/>
      <c r="H2037" s="12" t="n"/>
      <c r="I2037" s="12" t="n"/>
      <c r="J2037" s="12" t="n"/>
      <c r="K2037" s="12" t="n"/>
      <c r="L2037" s="11" t="n"/>
      <c r="M2037" s="11" t="n"/>
      <c r="N2037" s="11" t="n"/>
      <c r="O2037" s="11" t="n"/>
      <c r="P2037" s="12" t="n"/>
      <c r="Q2037" s="11" t="n"/>
      <c r="R2037" s="12" t="n"/>
      <c r="S2037" s="11" t="n"/>
      <c r="T2037" s="12" t="n"/>
      <c r="U2037" s="12" t="n"/>
      <c r="V2037" s="14">
        <f>IF($AN2037="",IF($B2037="","",$H2037),IF(INDEX(職員マスタ!$B$6:$B$405,$AN2037)="",$H2037,INDEX(職員マスタ!$B$6:$B$405,$AN2037)))</f>
        <v/>
      </c>
      <c r="W2037" s="14">
        <f>IF($AN2037="",IF($B2037="","",$R2037),IF(INDEX(職員マスタ!$C$6:$C$405,$AN2037)="",$R2037,INDEX(職員マスタ!$C$6:$C$405,$AN2037)))</f>
        <v/>
      </c>
      <c r="X2037" s="14">
        <f>IF($AO2037="","","R"&amp;$C2037&amp;"."&amp;$D2037)</f>
        <v/>
      </c>
      <c r="Y2037" s="15">
        <f>IF($AN2037="","",IF(INDEX(職員マスタ!$K$6:$K$405,$AN2037)="","",INDEX(職員マスタ!$K$6:$K$405,$AN2037)))</f>
        <v/>
      </c>
      <c r="Z2037" s="14">
        <f>IF(OR($E2037="",$Y2037=""),"",IF($E2037&gt;=$Y2037,"×",IF($E2037&gt;=$Y2037*設定!$C$5,"△","○")))</f>
        <v/>
      </c>
      <c r="AA2037" s="15">
        <f>IF($Z2037="","",IF($Z2037="×",0,IF($Z2037="○",ROUNDDOWN($E2037*設定!$C$4,0),ROUNDDOWN($E2037*ROUND((9*$Y2037-9*$E2037)/(10*$E2037),4),0))))</f>
        <v/>
      </c>
      <c r="AB2037" s="13" t="n"/>
      <c r="AC2037" s="15">
        <f>IF($B2037="","",IF($AB2037&lt;&gt;"",$AB2037,IF($AA2037="","",IF($AA2037&lt;=設定!$C$3,0,$AA2037))))</f>
        <v/>
      </c>
      <c r="AD2037" s="14">
        <f>IF($B2037="","",IF(AND($AE2037&lt;&gt;"",$AG2037="",$AJ2037=""),"保留中",IF($AJ2037&lt;&gt;"",IF(N($AC2037)&gt;0,"支給済","不支給"),IF($AC2037="","要確認",IF($AC2037=0,"不支給","未処理")))))</f>
        <v/>
      </c>
      <c r="AE2037" s="12" t="n"/>
      <c r="AF2037" s="11" t="n"/>
      <c r="AG2037" s="11" t="n"/>
      <c r="AH2037" s="11" t="n"/>
      <c r="AI2037" s="14">
        <f>IF(AND($AD2037="保留中",$AF2037&lt;&gt;""),TODAY()-$AF2037,"")</f>
        <v/>
      </c>
      <c r="AJ2037" s="12" t="n"/>
      <c r="AK2037" s="14">
        <f>IF($B2037="","",IF($AO2037="","対象年月が未入力／","")&amp;IF($B2037="","",IF($AN2037="","職員マスタに未登録の職員番号／",IF($Y2037="","標準報酬月額が未登録／","")&amp;IF(AND($AO2037&lt;&gt;"",OR(AND(INDEX(職員マスタ!$G$6:$G$405,$AN2037)&lt;&gt;"",INDEX(職員マスタ!$G$6:$G$405,$AN2037)&gt;EOMONTH($AO2037,0)),AND(INDEX(職員マスタ!$H$6:$H$405,$AN2037)&lt;&gt;"",INDEX(職員マスタ!$H$6:$H$405,$AN2037)&lt;$AO2037))),"対象月が時短期間外／","")&amp;IF(AND(INDEX(職員マスタ!$F$6:$F$405,$AN2037)&lt;&gt;"",$AO2037&lt;&gt;"",INDEX(職員マスタ!$F$6:$F$405,$AN2037)&lt;$AO2037),"対象月に子が2歳到達済／","")&amp;IF(AND($H2037&lt;&gt;"",INDEX(職員マスタ!$B$6:$B$405,$AN2037)&lt;&gt;"",SUBSTITUTE(SUBSTITUTE($H2037," ","")," ","")&lt;&gt;SUBSTITUTE(SUBSTITUTE(INDEX(職員マスタ!$B$6:$B$405,$AN2037)," ","")," ","")),"氏名がマスタと相違／","")&amp;IF(AND($Q2037&lt;&gt;"",INDEX(職員マスタ!$E$6:$E$405,$AN2037)&lt;&gt;"",$Q2037&lt;&gt;INDEX(職員マスタ!$E$6:$E$405,$AN2037)),"子の生年月日がマスタと相違／","")&amp;IF(AND($L2037&lt;&gt;"",INDEX(職員マスタ!$G$6:$G$405,$AN2037)&lt;&gt;"",$L2037&lt;&gt;INDEX(職員マスタ!$G$6:$G$405,$AN2037)),"時短開始日がマスタと相違／","")&amp;IF(AND($M2037&lt;&gt;"",INDEX(職員マスタ!$H$6:$H$405,$AN2037)&lt;&gt;"",$M2037&lt;&gt;INDEX(職員マスタ!$H$6:$H$405,$AN2037)),"時短終了日がマスタと相違／","")))&amp;IF(AND($B2037&lt;&gt;"",$E2037=""),"報酬額が未入力／","")&amp;IF(N($U2037)&gt;0,"申請書に入力エラーが残っています／","")&amp;IF(AND($B2037&lt;&gt;"",$AO2037&lt;&gt;""),IF(COUNTIFS($B$6:$B$3005,$B2037,$C$6:$C$3005,$C2037,$D$6:$D$3005,$D2037)&gt;1,"同じ月の請求が重複しています／",""),"")&amp;IF(AND(N($E2037)&gt;0,$Z2037&lt;&gt;"",$Z2037&lt;&gt;"×",$AC2037=0,$AB2037=""),"計算額が下限以下のため不支給／",""))</f>
        <v/>
      </c>
      <c r="AL2037" s="12" t="n"/>
      <c r="AM2037" s="14">
        <f>IF($AD2037="保留中",COUNTIF($AD$6:$AD2037,"保留中"),"")</f>
        <v/>
      </c>
      <c r="AN2037" s="14">
        <f>IF($AO2037="","",IF(SUMPRODUCT(MAX((職員マスタ!$A$6:$A$405=$B2037)*(((職員マスタ!$G$6:$G$405="")+(職員マスタ!$G$6:$G$405&lt;=EOMONTH($AO2037,0)))&gt;0)*(((職員マスタ!$H$6:$H$405="")+(職員マスタ!$H$6:$H$405&gt;=$AO2037))&gt;0)*(ROW(職員マスタ!$A$6:$A$405)-5)))&gt;0,SUMPRODUCT(MAX((職員マスタ!$A$6:$A$405=$B2037)*(((職員マスタ!$G$6:$G$405="")+(職員マスタ!$G$6:$G$405&lt;=EOMONTH($AO2037,0)))&gt;0)*(((職員マスタ!$H$6:$H$405="")+(職員マスタ!$H$6:$H$405&gt;=$AO2037))&gt;0)*(ROW(職員マスタ!$A$6:$A$405)-5))),IFERROR(MATCH($B2037,職員マスタ!$A$6:$A$405,0),"")))</f>
        <v/>
      </c>
      <c r="AO2037" s="16">
        <f>IF(OR($B2037="",$C2037="",$D2037=""),"",DATE($C2037+2018,$D2037,1))</f>
        <v/>
      </c>
    </row>
    <row r="2038">
      <c r="A2038" s="11" t="n"/>
      <c r="B2038" s="12" t="n"/>
      <c r="C2038" s="12" t="n"/>
      <c r="D2038" s="12" t="n"/>
      <c r="E2038" s="13" t="n"/>
      <c r="F2038" s="12" t="n"/>
      <c r="G2038" s="13" t="n"/>
      <c r="H2038" s="12" t="n"/>
      <c r="I2038" s="12" t="n"/>
      <c r="J2038" s="12" t="n"/>
      <c r="K2038" s="12" t="n"/>
      <c r="L2038" s="11" t="n"/>
      <c r="M2038" s="11" t="n"/>
      <c r="N2038" s="11" t="n"/>
      <c r="O2038" s="11" t="n"/>
      <c r="P2038" s="12" t="n"/>
      <c r="Q2038" s="11" t="n"/>
      <c r="R2038" s="12" t="n"/>
      <c r="S2038" s="11" t="n"/>
      <c r="T2038" s="12" t="n"/>
      <c r="U2038" s="12" t="n"/>
      <c r="V2038" s="14">
        <f>IF($AN2038="",IF($B2038="","",$H2038),IF(INDEX(職員マスタ!$B$6:$B$405,$AN2038)="",$H2038,INDEX(職員マスタ!$B$6:$B$405,$AN2038)))</f>
        <v/>
      </c>
      <c r="W2038" s="14">
        <f>IF($AN2038="",IF($B2038="","",$R2038),IF(INDEX(職員マスタ!$C$6:$C$405,$AN2038)="",$R2038,INDEX(職員マスタ!$C$6:$C$405,$AN2038)))</f>
        <v/>
      </c>
      <c r="X2038" s="14">
        <f>IF($AO2038="","","R"&amp;$C2038&amp;"."&amp;$D2038)</f>
        <v/>
      </c>
      <c r="Y2038" s="15">
        <f>IF($AN2038="","",IF(INDEX(職員マスタ!$K$6:$K$405,$AN2038)="","",INDEX(職員マスタ!$K$6:$K$405,$AN2038)))</f>
        <v/>
      </c>
      <c r="Z2038" s="14">
        <f>IF(OR($E2038="",$Y2038=""),"",IF($E2038&gt;=$Y2038,"×",IF($E2038&gt;=$Y2038*設定!$C$5,"△","○")))</f>
        <v/>
      </c>
      <c r="AA2038" s="15">
        <f>IF($Z2038="","",IF($Z2038="×",0,IF($Z2038="○",ROUNDDOWN($E2038*設定!$C$4,0),ROUNDDOWN($E2038*ROUND((9*$Y2038-9*$E2038)/(10*$E2038),4),0))))</f>
        <v/>
      </c>
      <c r="AB2038" s="13" t="n"/>
      <c r="AC2038" s="15">
        <f>IF($B2038="","",IF($AB2038&lt;&gt;"",$AB2038,IF($AA2038="","",IF($AA2038&lt;=設定!$C$3,0,$AA2038))))</f>
        <v/>
      </c>
      <c r="AD2038" s="14">
        <f>IF($B2038="","",IF(AND($AE2038&lt;&gt;"",$AG2038="",$AJ2038=""),"保留中",IF($AJ2038&lt;&gt;"",IF(N($AC2038)&gt;0,"支給済","不支給"),IF($AC2038="","要確認",IF($AC2038=0,"不支給","未処理")))))</f>
        <v/>
      </c>
      <c r="AE2038" s="12" t="n"/>
      <c r="AF2038" s="11" t="n"/>
      <c r="AG2038" s="11" t="n"/>
      <c r="AH2038" s="11" t="n"/>
      <c r="AI2038" s="14">
        <f>IF(AND($AD2038="保留中",$AF2038&lt;&gt;""),TODAY()-$AF2038,"")</f>
        <v/>
      </c>
      <c r="AJ2038" s="12" t="n"/>
      <c r="AK2038" s="14">
        <f>IF($B2038="","",IF($AO2038="","対象年月が未入力／","")&amp;IF($B2038="","",IF($AN2038="","職員マスタに未登録の職員番号／",IF($Y2038="","標準報酬月額が未登録／","")&amp;IF(AND($AO2038&lt;&gt;"",OR(AND(INDEX(職員マスタ!$G$6:$G$405,$AN2038)&lt;&gt;"",INDEX(職員マスタ!$G$6:$G$405,$AN2038)&gt;EOMONTH($AO2038,0)),AND(INDEX(職員マスタ!$H$6:$H$405,$AN2038)&lt;&gt;"",INDEX(職員マスタ!$H$6:$H$405,$AN2038)&lt;$AO2038))),"対象月が時短期間外／","")&amp;IF(AND(INDEX(職員マスタ!$F$6:$F$405,$AN2038)&lt;&gt;"",$AO2038&lt;&gt;"",INDEX(職員マスタ!$F$6:$F$405,$AN2038)&lt;$AO2038),"対象月に子が2歳到達済／","")&amp;IF(AND($H2038&lt;&gt;"",INDEX(職員マスタ!$B$6:$B$405,$AN2038)&lt;&gt;"",SUBSTITUTE(SUBSTITUTE($H2038," ","")," ","")&lt;&gt;SUBSTITUTE(SUBSTITUTE(INDEX(職員マスタ!$B$6:$B$405,$AN2038)," ","")," ","")),"氏名がマスタと相違／","")&amp;IF(AND($Q2038&lt;&gt;"",INDEX(職員マスタ!$E$6:$E$405,$AN2038)&lt;&gt;"",$Q2038&lt;&gt;INDEX(職員マスタ!$E$6:$E$405,$AN2038)),"子の生年月日がマスタと相違／","")&amp;IF(AND($L2038&lt;&gt;"",INDEX(職員マスタ!$G$6:$G$405,$AN2038)&lt;&gt;"",$L2038&lt;&gt;INDEX(職員マスタ!$G$6:$G$405,$AN2038)),"時短開始日がマスタと相違／","")&amp;IF(AND($M2038&lt;&gt;"",INDEX(職員マスタ!$H$6:$H$405,$AN2038)&lt;&gt;"",$M2038&lt;&gt;INDEX(職員マスタ!$H$6:$H$405,$AN2038)),"時短終了日がマスタと相違／","")))&amp;IF(AND($B2038&lt;&gt;"",$E2038=""),"報酬額が未入力／","")&amp;IF(N($U2038)&gt;0,"申請書に入力エラーが残っています／","")&amp;IF(AND($B2038&lt;&gt;"",$AO2038&lt;&gt;""),IF(COUNTIFS($B$6:$B$3005,$B2038,$C$6:$C$3005,$C2038,$D$6:$D$3005,$D2038)&gt;1,"同じ月の請求が重複しています／",""),"")&amp;IF(AND(N($E2038)&gt;0,$Z2038&lt;&gt;"",$Z2038&lt;&gt;"×",$AC2038=0,$AB2038=""),"計算額が下限以下のため不支給／",""))</f>
        <v/>
      </c>
      <c r="AL2038" s="12" t="n"/>
      <c r="AM2038" s="14">
        <f>IF($AD2038="保留中",COUNTIF($AD$6:$AD2038,"保留中"),"")</f>
        <v/>
      </c>
      <c r="AN2038" s="14">
        <f>IF($AO2038="","",IF(SUMPRODUCT(MAX((職員マスタ!$A$6:$A$405=$B2038)*(((職員マスタ!$G$6:$G$405="")+(職員マスタ!$G$6:$G$405&lt;=EOMONTH($AO2038,0)))&gt;0)*(((職員マスタ!$H$6:$H$405="")+(職員マスタ!$H$6:$H$405&gt;=$AO2038))&gt;0)*(ROW(職員マスタ!$A$6:$A$405)-5)))&gt;0,SUMPRODUCT(MAX((職員マスタ!$A$6:$A$405=$B2038)*(((職員マスタ!$G$6:$G$405="")+(職員マスタ!$G$6:$G$405&lt;=EOMONTH($AO2038,0)))&gt;0)*(((職員マスタ!$H$6:$H$405="")+(職員マスタ!$H$6:$H$405&gt;=$AO2038))&gt;0)*(ROW(職員マスタ!$A$6:$A$405)-5))),IFERROR(MATCH($B2038,職員マスタ!$A$6:$A$405,0),"")))</f>
        <v/>
      </c>
      <c r="AO2038" s="16">
        <f>IF(OR($B2038="",$C2038="",$D2038=""),"",DATE($C2038+2018,$D2038,1))</f>
        <v/>
      </c>
    </row>
    <row r="2039">
      <c r="A2039" s="11" t="n"/>
      <c r="B2039" s="12" t="n"/>
      <c r="C2039" s="12" t="n"/>
      <c r="D2039" s="12" t="n"/>
      <c r="E2039" s="13" t="n"/>
      <c r="F2039" s="12" t="n"/>
      <c r="G2039" s="13" t="n"/>
      <c r="H2039" s="12" t="n"/>
      <c r="I2039" s="12" t="n"/>
      <c r="J2039" s="12" t="n"/>
      <c r="K2039" s="12" t="n"/>
      <c r="L2039" s="11" t="n"/>
      <c r="M2039" s="11" t="n"/>
      <c r="N2039" s="11" t="n"/>
      <c r="O2039" s="11" t="n"/>
      <c r="P2039" s="12" t="n"/>
      <c r="Q2039" s="11" t="n"/>
      <c r="R2039" s="12" t="n"/>
      <c r="S2039" s="11" t="n"/>
      <c r="T2039" s="12" t="n"/>
      <c r="U2039" s="12" t="n"/>
      <c r="V2039" s="14">
        <f>IF($AN2039="",IF($B2039="","",$H2039),IF(INDEX(職員マスタ!$B$6:$B$405,$AN2039)="",$H2039,INDEX(職員マスタ!$B$6:$B$405,$AN2039)))</f>
        <v/>
      </c>
      <c r="W2039" s="14">
        <f>IF($AN2039="",IF($B2039="","",$R2039),IF(INDEX(職員マスタ!$C$6:$C$405,$AN2039)="",$R2039,INDEX(職員マスタ!$C$6:$C$405,$AN2039)))</f>
        <v/>
      </c>
      <c r="X2039" s="14">
        <f>IF($AO2039="","","R"&amp;$C2039&amp;"."&amp;$D2039)</f>
        <v/>
      </c>
      <c r="Y2039" s="15">
        <f>IF($AN2039="","",IF(INDEX(職員マスタ!$K$6:$K$405,$AN2039)="","",INDEX(職員マスタ!$K$6:$K$405,$AN2039)))</f>
        <v/>
      </c>
      <c r="Z2039" s="14">
        <f>IF(OR($E2039="",$Y2039=""),"",IF($E2039&gt;=$Y2039,"×",IF($E2039&gt;=$Y2039*設定!$C$5,"△","○")))</f>
        <v/>
      </c>
      <c r="AA2039" s="15">
        <f>IF($Z2039="","",IF($Z2039="×",0,IF($Z2039="○",ROUNDDOWN($E2039*設定!$C$4,0),ROUNDDOWN($E2039*ROUND((9*$Y2039-9*$E2039)/(10*$E2039),4),0))))</f>
        <v/>
      </c>
      <c r="AB2039" s="13" t="n"/>
      <c r="AC2039" s="15">
        <f>IF($B2039="","",IF($AB2039&lt;&gt;"",$AB2039,IF($AA2039="","",IF($AA2039&lt;=設定!$C$3,0,$AA2039))))</f>
        <v/>
      </c>
      <c r="AD2039" s="14">
        <f>IF($B2039="","",IF(AND($AE2039&lt;&gt;"",$AG2039="",$AJ2039=""),"保留中",IF($AJ2039&lt;&gt;"",IF(N($AC2039)&gt;0,"支給済","不支給"),IF($AC2039="","要確認",IF($AC2039=0,"不支給","未処理")))))</f>
        <v/>
      </c>
      <c r="AE2039" s="12" t="n"/>
      <c r="AF2039" s="11" t="n"/>
      <c r="AG2039" s="11" t="n"/>
      <c r="AH2039" s="11" t="n"/>
      <c r="AI2039" s="14">
        <f>IF(AND($AD2039="保留中",$AF2039&lt;&gt;""),TODAY()-$AF2039,"")</f>
        <v/>
      </c>
      <c r="AJ2039" s="12" t="n"/>
      <c r="AK2039" s="14">
        <f>IF($B2039="","",IF($AO2039="","対象年月が未入力／","")&amp;IF($B2039="","",IF($AN2039="","職員マスタに未登録の職員番号／",IF($Y2039="","標準報酬月額が未登録／","")&amp;IF(AND($AO2039&lt;&gt;"",OR(AND(INDEX(職員マスタ!$G$6:$G$405,$AN2039)&lt;&gt;"",INDEX(職員マスタ!$G$6:$G$405,$AN2039)&gt;EOMONTH($AO2039,0)),AND(INDEX(職員マスタ!$H$6:$H$405,$AN2039)&lt;&gt;"",INDEX(職員マスタ!$H$6:$H$405,$AN2039)&lt;$AO2039))),"対象月が時短期間外／","")&amp;IF(AND(INDEX(職員マスタ!$F$6:$F$405,$AN2039)&lt;&gt;"",$AO2039&lt;&gt;"",INDEX(職員マスタ!$F$6:$F$405,$AN2039)&lt;$AO2039),"対象月に子が2歳到達済／","")&amp;IF(AND($H2039&lt;&gt;"",INDEX(職員マスタ!$B$6:$B$405,$AN2039)&lt;&gt;"",SUBSTITUTE(SUBSTITUTE($H2039," ","")," ","")&lt;&gt;SUBSTITUTE(SUBSTITUTE(INDEX(職員マスタ!$B$6:$B$405,$AN2039)," ","")," ","")),"氏名がマスタと相違／","")&amp;IF(AND($Q2039&lt;&gt;"",INDEX(職員マスタ!$E$6:$E$405,$AN2039)&lt;&gt;"",$Q2039&lt;&gt;INDEX(職員マスタ!$E$6:$E$405,$AN2039)),"子の生年月日がマスタと相違／","")&amp;IF(AND($L2039&lt;&gt;"",INDEX(職員マスタ!$G$6:$G$405,$AN2039)&lt;&gt;"",$L2039&lt;&gt;INDEX(職員マスタ!$G$6:$G$405,$AN2039)),"時短開始日がマスタと相違／","")&amp;IF(AND($M2039&lt;&gt;"",INDEX(職員マスタ!$H$6:$H$405,$AN2039)&lt;&gt;"",$M2039&lt;&gt;INDEX(職員マスタ!$H$6:$H$405,$AN2039)),"時短終了日がマスタと相違／","")))&amp;IF(AND($B2039&lt;&gt;"",$E2039=""),"報酬額が未入力／","")&amp;IF(N($U2039)&gt;0,"申請書に入力エラーが残っています／","")&amp;IF(AND($B2039&lt;&gt;"",$AO2039&lt;&gt;""),IF(COUNTIFS($B$6:$B$3005,$B2039,$C$6:$C$3005,$C2039,$D$6:$D$3005,$D2039)&gt;1,"同じ月の請求が重複しています／",""),"")&amp;IF(AND(N($E2039)&gt;0,$Z2039&lt;&gt;"",$Z2039&lt;&gt;"×",$AC2039=0,$AB2039=""),"計算額が下限以下のため不支給／",""))</f>
        <v/>
      </c>
      <c r="AL2039" s="12" t="n"/>
      <c r="AM2039" s="14">
        <f>IF($AD2039="保留中",COUNTIF($AD$6:$AD2039,"保留中"),"")</f>
        <v/>
      </c>
      <c r="AN2039" s="14">
        <f>IF($AO2039="","",IF(SUMPRODUCT(MAX((職員マスタ!$A$6:$A$405=$B2039)*(((職員マスタ!$G$6:$G$405="")+(職員マスタ!$G$6:$G$405&lt;=EOMONTH($AO2039,0)))&gt;0)*(((職員マスタ!$H$6:$H$405="")+(職員マスタ!$H$6:$H$405&gt;=$AO2039))&gt;0)*(ROW(職員マスタ!$A$6:$A$405)-5)))&gt;0,SUMPRODUCT(MAX((職員マスタ!$A$6:$A$405=$B2039)*(((職員マスタ!$G$6:$G$405="")+(職員マスタ!$G$6:$G$405&lt;=EOMONTH($AO2039,0)))&gt;0)*(((職員マスタ!$H$6:$H$405="")+(職員マスタ!$H$6:$H$405&gt;=$AO2039))&gt;0)*(ROW(職員マスタ!$A$6:$A$405)-5))),IFERROR(MATCH($B2039,職員マスタ!$A$6:$A$405,0),"")))</f>
        <v/>
      </c>
      <c r="AO2039" s="16">
        <f>IF(OR($B2039="",$C2039="",$D2039=""),"",DATE($C2039+2018,$D2039,1))</f>
        <v/>
      </c>
    </row>
    <row r="2040">
      <c r="A2040" s="11" t="n"/>
      <c r="B2040" s="12" t="n"/>
      <c r="C2040" s="12" t="n"/>
      <c r="D2040" s="12" t="n"/>
      <c r="E2040" s="13" t="n"/>
      <c r="F2040" s="12" t="n"/>
      <c r="G2040" s="13" t="n"/>
      <c r="H2040" s="12" t="n"/>
      <c r="I2040" s="12" t="n"/>
      <c r="J2040" s="12" t="n"/>
      <c r="K2040" s="12" t="n"/>
      <c r="L2040" s="11" t="n"/>
      <c r="M2040" s="11" t="n"/>
      <c r="N2040" s="11" t="n"/>
      <c r="O2040" s="11" t="n"/>
      <c r="P2040" s="12" t="n"/>
      <c r="Q2040" s="11" t="n"/>
      <c r="R2040" s="12" t="n"/>
      <c r="S2040" s="11" t="n"/>
      <c r="T2040" s="12" t="n"/>
      <c r="U2040" s="12" t="n"/>
      <c r="V2040" s="14">
        <f>IF($AN2040="",IF($B2040="","",$H2040),IF(INDEX(職員マスタ!$B$6:$B$405,$AN2040)="",$H2040,INDEX(職員マスタ!$B$6:$B$405,$AN2040)))</f>
        <v/>
      </c>
      <c r="W2040" s="14">
        <f>IF($AN2040="",IF($B2040="","",$R2040),IF(INDEX(職員マスタ!$C$6:$C$405,$AN2040)="",$R2040,INDEX(職員マスタ!$C$6:$C$405,$AN2040)))</f>
        <v/>
      </c>
      <c r="X2040" s="14">
        <f>IF($AO2040="","","R"&amp;$C2040&amp;"."&amp;$D2040)</f>
        <v/>
      </c>
      <c r="Y2040" s="15">
        <f>IF($AN2040="","",IF(INDEX(職員マスタ!$K$6:$K$405,$AN2040)="","",INDEX(職員マスタ!$K$6:$K$405,$AN2040)))</f>
        <v/>
      </c>
      <c r="Z2040" s="14">
        <f>IF(OR($E2040="",$Y2040=""),"",IF($E2040&gt;=$Y2040,"×",IF($E2040&gt;=$Y2040*設定!$C$5,"△","○")))</f>
        <v/>
      </c>
      <c r="AA2040" s="15">
        <f>IF($Z2040="","",IF($Z2040="×",0,IF($Z2040="○",ROUNDDOWN($E2040*設定!$C$4,0),ROUNDDOWN($E2040*ROUND((9*$Y2040-9*$E2040)/(10*$E2040),4),0))))</f>
        <v/>
      </c>
      <c r="AB2040" s="13" t="n"/>
      <c r="AC2040" s="15">
        <f>IF($B2040="","",IF($AB2040&lt;&gt;"",$AB2040,IF($AA2040="","",IF($AA2040&lt;=設定!$C$3,0,$AA2040))))</f>
        <v/>
      </c>
      <c r="AD2040" s="14">
        <f>IF($B2040="","",IF(AND($AE2040&lt;&gt;"",$AG2040="",$AJ2040=""),"保留中",IF($AJ2040&lt;&gt;"",IF(N($AC2040)&gt;0,"支給済","不支給"),IF($AC2040="","要確認",IF($AC2040=0,"不支給","未処理")))))</f>
        <v/>
      </c>
      <c r="AE2040" s="12" t="n"/>
      <c r="AF2040" s="11" t="n"/>
      <c r="AG2040" s="11" t="n"/>
      <c r="AH2040" s="11" t="n"/>
      <c r="AI2040" s="14">
        <f>IF(AND($AD2040="保留中",$AF2040&lt;&gt;""),TODAY()-$AF2040,"")</f>
        <v/>
      </c>
      <c r="AJ2040" s="12" t="n"/>
      <c r="AK2040" s="14">
        <f>IF($B2040="","",IF($AO2040="","対象年月が未入力／","")&amp;IF($B2040="","",IF($AN2040="","職員マスタに未登録の職員番号／",IF($Y2040="","標準報酬月額が未登録／","")&amp;IF(AND($AO2040&lt;&gt;"",OR(AND(INDEX(職員マスタ!$G$6:$G$405,$AN2040)&lt;&gt;"",INDEX(職員マスタ!$G$6:$G$405,$AN2040)&gt;EOMONTH($AO2040,0)),AND(INDEX(職員マスタ!$H$6:$H$405,$AN2040)&lt;&gt;"",INDEX(職員マスタ!$H$6:$H$405,$AN2040)&lt;$AO2040))),"対象月が時短期間外／","")&amp;IF(AND(INDEX(職員マスタ!$F$6:$F$405,$AN2040)&lt;&gt;"",$AO2040&lt;&gt;"",INDEX(職員マスタ!$F$6:$F$405,$AN2040)&lt;$AO2040),"対象月に子が2歳到達済／","")&amp;IF(AND($H2040&lt;&gt;"",INDEX(職員マスタ!$B$6:$B$405,$AN2040)&lt;&gt;"",SUBSTITUTE(SUBSTITUTE($H2040," ","")," ","")&lt;&gt;SUBSTITUTE(SUBSTITUTE(INDEX(職員マスタ!$B$6:$B$405,$AN2040)," ","")," ","")),"氏名がマスタと相違／","")&amp;IF(AND($Q2040&lt;&gt;"",INDEX(職員マスタ!$E$6:$E$405,$AN2040)&lt;&gt;"",$Q2040&lt;&gt;INDEX(職員マスタ!$E$6:$E$405,$AN2040)),"子の生年月日がマスタと相違／","")&amp;IF(AND($L2040&lt;&gt;"",INDEX(職員マスタ!$G$6:$G$405,$AN2040)&lt;&gt;"",$L2040&lt;&gt;INDEX(職員マスタ!$G$6:$G$405,$AN2040)),"時短開始日がマスタと相違／","")&amp;IF(AND($M2040&lt;&gt;"",INDEX(職員マスタ!$H$6:$H$405,$AN2040)&lt;&gt;"",$M2040&lt;&gt;INDEX(職員マスタ!$H$6:$H$405,$AN2040)),"時短終了日がマスタと相違／","")))&amp;IF(AND($B2040&lt;&gt;"",$E2040=""),"報酬額が未入力／","")&amp;IF(N($U2040)&gt;0,"申請書に入力エラーが残っています／","")&amp;IF(AND($B2040&lt;&gt;"",$AO2040&lt;&gt;""),IF(COUNTIFS($B$6:$B$3005,$B2040,$C$6:$C$3005,$C2040,$D$6:$D$3005,$D2040)&gt;1,"同じ月の請求が重複しています／",""),"")&amp;IF(AND(N($E2040)&gt;0,$Z2040&lt;&gt;"",$Z2040&lt;&gt;"×",$AC2040=0,$AB2040=""),"計算額が下限以下のため不支給／",""))</f>
        <v/>
      </c>
      <c r="AL2040" s="12" t="n"/>
      <c r="AM2040" s="14">
        <f>IF($AD2040="保留中",COUNTIF($AD$6:$AD2040,"保留中"),"")</f>
        <v/>
      </c>
      <c r="AN2040" s="14">
        <f>IF($AO2040="","",IF(SUMPRODUCT(MAX((職員マスタ!$A$6:$A$405=$B2040)*(((職員マスタ!$G$6:$G$405="")+(職員マスタ!$G$6:$G$405&lt;=EOMONTH($AO2040,0)))&gt;0)*(((職員マスタ!$H$6:$H$405="")+(職員マスタ!$H$6:$H$405&gt;=$AO2040))&gt;0)*(ROW(職員マスタ!$A$6:$A$405)-5)))&gt;0,SUMPRODUCT(MAX((職員マスタ!$A$6:$A$405=$B2040)*(((職員マスタ!$G$6:$G$405="")+(職員マスタ!$G$6:$G$405&lt;=EOMONTH($AO2040,0)))&gt;0)*(((職員マスタ!$H$6:$H$405="")+(職員マスタ!$H$6:$H$405&gt;=$AO2040))&gt;0)*(ROW(職員マスタ!$A$6:$A$405)-5))),IFERROR(MATCH($B2040,職員マスタ!$A$6:$A$405,0),"")))</f>
        <v/>
      </c>
      <c r="AO2040" s="16">
        <f>IF(OR($B2040="",$C2040="",$D2040=""),"",DATE($C2040+2018,$D2040,1))</f>
        <v/>
      </c>
    </row>
    <row r="2041">
      <c r="A2041" s="11" t="n"/>
      <c r="B2041" s="12" t="n"/>
      <c r="C2041" s="12" t="n"/>
      <c r="D2041" s="12" t="n"/>
      <c r="E2041" s="13" t="n"/>
      <c r="F2041" s="12" t="n"/>
      <c r="G2041" s="13" t="n"/>
      <c r="H2041" s="12" t="n"/>
      <c r="I2041" s="12" t="n"/>
      <c r="J2041" s="12" t="n"/>
      <c r="K2041" s="12" t="n"/>
      <c r="L2041" s="11" t="n"/>
      <c r="M2041" s="11" t="n"/>
      <c r="N2041" s="11" t="n"/>
      <c r="O2041" s="11" t="n"/>
      <c r="P2041" s="12" t="n"/>
      <c r="Q2041" s="11" t="n"/>
      <c r="R2041" s="12" t="n"/>
      <c r="S2041" s="11" t="n"/>
      <c r="T2041" s="12" t="n"/>
      <c r="U2041" s="12" t="n"/>
      <c r="V2041" s="14">
        <f>IF($AN2041="",IF($B2041="","",$H2041),IF(INDEX(職員マスタ!$B$6:$B$405,$AN2041)="",$H2041,INDEX(職員マスタ!$B$6:$B$405,$AN2041)))</f>
        <v/>
      </c>
      <c r="W2041" s="14">
        <f>IF($AN2041="",IF($B2041="","",$R2041),IF(INDEX(職員マスタ!$C$6:$C$405,$AN2041)="",$R2041,INDEX(職員マスタ!$C$6:$C$405,$AN2041)))</f>
        <v/>
      </c>
      <c r="X2041" s="14">
        <f>IF($AO2041="","","R"&amp;$C2041&amp;"."&amp;$D2041)</f>
        <v/>
      </c>
      <c r="Y2041" s="15">
        <f>IF($AN2041="","",IF(INDEX(職員マスタ!$K$6:$K$405,$AN2041)="","",INDEX(職員マスタ!$K$6:$K$405,$AN2041)))</f>
        <v/>
      </c>
      <c r="Z2041" s="14">
        <f>IF(OR($E2041="",$Y2041=""),"",IF($E2041&gt;=$Y2041,"×",IF($E2041&gt;=$Y2041*設定!$C$5,"△","○")))</f>
        <v/>
      </c>
      <c r="AA2041" s="15">
        <f>IF($Z2041="","",IF($Z2041="×",0,IF($Z2041="○",ROUNDDOWN($E2041*設定!$C$4,0),ROUNDDOWN($E2041*ROUND((9*$Y2041-9*$E2041)/(10*$E2041),4),0))))</f>
        <v/>
      </c>
      <c r="AB2041" s="13" t="n"/>
      <c r="AC2041" s="15">
        <f>IF($B2041="","",IF($AB2041&lt;&gt;"",$AB2041,IF($AA2041="","",IF($AA2041&lt;=設定!$C$3,0,$AA2041))))</f>
        <v/>
      </c>
      <c r="AD2041" s="14">
        <f>IF($B2041="","",IF(AND($AE2041&lt;&gt;"",$AG2041="",$AJ2041=""),"保留中",IF($AJ2041&lt;&gt;"",IF(N($AC2041)&gt;0,"支給済","不支給"),IF($AC2041="","要確認",IF($AC2041=0,"不支給","未処理")))))</f>
        <v/>
      </c>
      <c r="AE2041" s="12" t="n"/>
      <c r="AF2041" s="11" t="n"/>
      <c r="AG2041" s="11" t="n"/>
      <c r="AH2041" s="11" t="n"/>
      <c r="AI2041" s="14">
        <f>IF(AND($AD2041="保留中",$AF2041&lt;&gt;""),TODAY()-$AF2041,"")</f>
        <v/>
      </c>
      <c r="AJ2041" s="12" t="n"/>
      <c r="AK2041" s="14">
        <f>IF($B2041="","",IF($AO2041="","対象年月が未入力／","")&amp;IF($B2041="","",IF($AN2041="","職員マスタに未登録の職員番号／",IF($Y2041="","標準報酬月額が未登録／","")&amp;IF(AND($AO2041&lt;&gt;"",OR(AND(INDEX(職員マスタ!$G$6:$G$405,$AN2041)&lt;&gt;"",INDEX(職員マスタ!$G$6:$G$405,$AN2041)&gt;EOMONTH($AO2041,0)),AND(INDEX(職員マスタ!$H$6:$H$405,$AN2041)&lt;&gt;"",INDEX(職員マスタ!$H$6:$H$405,$AN2041)&lt;$AO2041))),"対象月が時短期間外／","")&amp;IF(AND(INDEX(職員マスタ!$F$6:$F$405,$AN2041)&lt;&gt;"",$AO2041&lt;&gt;"",INDEX(職員マスタ!$F$6:$F$405,$AN2041)&lt;$AO2041),"対象月に子が2歳到達済／","")&amp;IF(AND($H2041&lt;&gt;"",INDEX(職員マスタ!$B$6:$B$405,$AN2041)&lt;&gt;"",SUBSTITUTE(SUBSTITUTE($H2041," ","")," ","")&lt;&gt;SUBSTITUTE(SUBSTITUTE(INDEX(職員マスタ!$B$6:$B$405,$AN2041)," ","")," ","")),"氏名がマスタと相違／","")&amp;IF(AND($Q2041&lt;&gt;"",INDEX(職員マスタ!$E$6:$E$405,$AN2041)&lt;&gt;"",$Q2041&lt;&gt;INDEX(職員マスタ!$E$6:$E$405,$AN2041)),"子の生年月日がマスタと相違／","")&amp;IF(AND($L2041&lt;&gt;"",INDEX(職員マスタ!$G$6:$G$405,$AN2041)&lt;&gt;"",$L2041&lt;&gt;INDEX(職員マスタ!$G$6:$G$405,$AN2041)),"時短開始日がマスタと相違／","")&amp;IF(AND($M2041&lt;&gt;"",INDEX(職員マスタ!$H$6:$H$405,$AN2041)&lt;&gt;"",$M2041&lt;&gt;INDEX(職員マスタ!$H$6:$H$405,$AN2041)),"時短終了日がマスタと相違／","")))&amp;IF(AND($B2041&lt;&gt;"",$E2041=""),"報酬額が未入力／","")&amp;IF(N($U2041)&gt;0,"申請書に入力エラーが残っています／","")&amp;IF(AND($B2041&lt;&gt;"",$AO2041&lt;&gt;""),IF(COUNTIFS($B$6:$B$3005,$B2041,$C$6:$C$3005,$C2041,$D$6:$D$3005,$D2041)&gt;1,"同じ月の請求が重複しています／",""),"")&amp;IF(AND(N($E2041)&gt;0,$Z2041&lt;&gt;"",$Z2041&lt;&gt;"×",$AC2041=0,$AB2041=""),"計算額が下限以下のため不支給／",""))</f>
        <v/>
      </c>
      <c r="AL2041" s="12" t="n"/>
      <c r="AM2041" s="14">
        <f>IF($AD2041="保留中",COUNTIF($AD$6:$AD2041,"保留中"),"")</f>
        <v/>
      </c>
      <c r="AN2041" s="14">
        <f>IF($AO2041="","",IF(SUMPRODUCT(MAX((職員マスタ!$A$6:$A$405=$B2041)*(((職員マスタ!$G$6:$G$405="")+(職員マスタ!$G$6:$G$405&lt;=EOMONTH($AO2041,0)))&gt;0)*(((職員マスタ!$H$6:$H$405="")+(職員マスタ!$H$6:$H$405&gt;=$AO2041))&gt;0)*(ROW(職員マスタ!$A$6:$A$405)-5)))&gt;0,SUMPRODUCT(MAX((職員マスタ!$A$6:$A$405=$B2041)*(((職員マスタ!$G$6:$G$405="")+(職員マスタ!$G$6:$G$405&lt;=EOMONTH($AO2041,0)))&gt;0)*(((職員マスタ!$H$6:$H$405="")+(職員マスタ!$H$6:$H$405&gt;=$AO2041))&gt;0)*(ROW(職員マスタ!$A$6:$A$405)-5))),IFERROR(MATCH($B2041,職員マスタ!$A$6:$A$405,0),"")))</f>
        <v/>
      </c>
      <c r="AO2041" s="16">
        <f>IF(OR($B2041="",$C2041="",$D2041=""),"",DATE($C2041+2018,$D2041,1))</f>
        <v/>
      </c>
    </row>
    <row r="2042">
      <c r="A2042" s="11" t="n"/>
      <c r="B2042" s="12" t="n"/>
      <c r="C2042" s="12" t="n"/>
      <c r="D2042" s="12" t="n"/>
      <c r="E2042" s="13" t="n"/>
      <c r="F2042" s="12" t="n"/>
      <c r="G2042" s="13" t="n"/>
      <c r="H2042" s="12" t="n"/>
      <c r="I2042" s="12" t="n"/>
      <c r="J2042" s="12" t="n"/>
      <c r="K2042" s="12" t="n"/>
      <c r="L2042" s="11" t="n"/>
      <c r="M2042" s="11" t="n"/>
      <c r="N2042" s="11" t="n"/>
      <c r="O2042" s="11" t="n"/>
      <c r="P2042" s="12" t="n"/>
      <c r="Q2042" s="11" t="n"/>
      <c r="R2042" s="12" t="n"/>
      <c r="S2042" s="11" t="n"/>
      <c r="T2042" s="12" t="n"/>
      <c r="U2042" s="12" t="n"/>
      <c r="V2042" s="14">
        <f>IF($AN2042="",IF($B2042="","",$H2042),IF(INDEX(職員マスタ!$B$6:$B$405,$AN2042)="",$H2042,INDEX(職員マスタ!$B$6:$B$405,$AN2042)))</f>
        <v/>
      </c>
      <c r="W2042" s="14">
        <f>IF($AN2042="",IF($B2042="","",$R2042),IF(INDEX(職員マスタ!$C$6:$C$405,$AN2042)="",$R2042,INDEX(職員マスタ!$C$6:$C$405,$AN2042)))</f>
        <v/>
      </c>
      <c r="X2042" s="14">
        <f>IF($AO2042="","","R"&amp;$C2042&amp;"."&amp;$D2042)</f>
        <v/>
      </c>
      <c r="Y2042" s="15">
        <f>IF($AN2042="","",IF(INDEX(職員マスタ!$K$6:$K$405,$AN2042)="","",INDEX(職員マスタ!$K$6:$K$405,$AN2042)))</f>
        <v/>
      </c>
      <c r="Z2042" s="14">
        <f>IF(OR($E2042="",$Y2042=""),"",IF($E2042&gt;=$Y2042,"×",IF($E2042&gt;=$Y2042*設定!$C$5,"△","○")))</f>
        <v/>
      </c>
      <c r="AA2042" s="15">
        <f>IF($Z2042="","",IF($Z2042="×",0,IF($Z2042="○",ROUNDDOWN($E2042*設定!$C$4,0),ROUNDDOWN($E2042*ROUND((9*$Y2042-9*$E2042)/(10*$E2042),4),0))))</f>
        <v/>
      </c>
      <c r="AB2042" s="13" t="n"/>
      <c r="AC2042" s="15">
        <f>IF($B2042="","",IF($AB2042&lt;&gt;"",$AB2042,IF($AA2042="","",IF($AA2042&lt;=設定!$C$3,0,$AA2042))))</f>
        <v/>
      </c>
      <c r="AD2042" s="14">
        <f>IF($B2042="","",IF(AND($AE2042&lt;&gt;"",$AG2042="",$AJ2042=""),"保留中",IF($AJ2042&lt;&gt;"",IF(N($AC2042)&gt;0,"支給済","不支給"),IF($AC2042="","要確認",IF($AC2042=0,"不支給","未処理")))))</f>
        <v/>
      </c>
      <c r="AE2042" s="12" t="n"/>
      <c r="AF2042" s="11" t="n"/>
      <c r="AG2042" s="11" t="n"/>
      <c r="AH2042" s="11" t="n"/>
      <c r="AI2042" s="14">
        <f>IF(AND($AD2042="保留中",$AF2042&lt;&gt;""),TODAY()-$AF2042,"")</f>
        <v/>
      </c>
      <c r="AJ2042" s="12" t="n"/>
      <c r="AK2042" s="14">
        <f>IF($B2042="","",IF($AO2042="","対象年月が未入力／","")&amp;IF($B2042="","",IF($AN2042="","職員マスタに未登録の職員番号／",IF($Y2042="","標準報酬月額が未登録／","")&amp;IF(AND($AO2042&lt;&gt;"",OR(AND(INDEX(職員マスタ!$G$6:$G$405,$AN2042)&lt;&gt;"",INDEX(職員マスタ!$G$6:$G$405,$AN2042)&gt;EOMONTH($AO2042,0)),AND(INDEX(職員マスタ!$H$6:$H$405,$AN2042)&lt;&gt;"",INDEX(職員マスタ!$H$6:$H$405,$AN2042)&lt;$AO2042))),"対象月が時短期間外／","")&amp;IF(AND(INDEX(職員マスタ!$F$6:$F$405,$AN2042)&lt;&gt;"",$AO2042&lt;&gt;"",INDEX(職員マスタ!$F$6:$F$405,$AN2042)&lt;$AO2042),"対象月に子が2歳到達済／","")&amp;IF(AND($H2042&lt;&gt;"",INDEX(職員マスタ!$B$6:$B$405,$AN2042)&lt;&gt;"",SUBSTITUTE(SUBSTITUTE($H2042," ","")," ","")&lt;&gt;SUBSTITUTE(SUBSTITUTE(INDEX(職員マスタ!$B$6:$B$405,$AN2042)," ","")," ","")),"氏名がマスタと相違／","")&amp;IF(AND($Q2042&lt;&gt;"",INDEX(職員マスタ!$E$6:$E$405,$AN2042)&lt;&gt;"",$Q2042&lt;&gt;INDEX(職員マスタ!$E$6:$E$405,$AN2042)),"子の生年月日がマスタと相違／","")&amp;IF(AND($L2042&lt;&gt;"",INDEX(職員マスタ!$G$6:$G$405,$AN2042)&lt;&gt;"",$L2042&lt;&gt;INDEX(職員マスタ!$G$6:$G$405,$AN2042)),"時短開始日がマスタと相違／","")&amp;IF(AND($M2042&lt;&gt;"",INDEX(職員マスタ!$H$6:$H$405,$AN2042)&lt;&gt;"",$M2042&lt;&gt;INDEX(職員マスタ!$H$6:$H$405,$AN2042)),"時短終了日がマスタと相違／","")))&amp;IF(AND($B2042&lt;&gt;"",$E2042=""),"報酬額が未入力／","")&amp;IF(N($U2042)&gt;0,"申請書に入力エラーが残っています／","")&amp;IF(AND($B2042&lt;&gt;"",$AO2042&lt;&gt;""),IF(COUNTIFS($B$6:$B$3005,$B2042,$C$6:$C$3005,$C2042,$D$6:$D$3005,$D2042)&gt;1,"同じ月の請求が重複しています／",""),"")&amp;IF(AND(N($E2042)&gt;0,$Z2042&lt;&gt;"",$Z2042&lt;&gt;"×",$AC2042=0,$AB2042=""),"計算額が下限以下のため不支給／",""))</f>
        <v/>
      </c>
      <c r="AL2042" s="12" t="n"/>
      <c r="AM2042" s="14">
        <f>IF($AD2042="保留中",COUNTIF($AD$6:$AD2042,"保留中"),"")</f>
        <v/>
      </c>
      <c r="AN2042" s="14">
        <f>IF($AO2042="","",IF(SUMPRODUCT(MAX((職員マスタ!$A$6:$A$405=$B2042)*(((職員マスタ!$G$6:$G$405="")+(職員マスタ!$G$6:$G$405&lt;=EOMONTH($AO2042,0)))&gt;0)*(((職員マスタ!$H$6:$H$405="")+(職員マスタ!$H$6:$H$405&gt;=$AO2042))&gt;0)*(ROW(職員マスタ!$A$6:$A$405)-5)))&gt;0,SUMPRODUCT(MAX((職員マスタ!$A$6:$A$405=$B2042)*(((職員マスタ!$G$6:$G$405="")+(職員マスタ!$G$6:$G$405&lt;=EOMONTH($AO2042,0)))&gt;0)*(((職員マスタ!$H$6:$H$405="")+(職員マスタ!$H$6:$H$405&gt;=$AO2042))&gt;0)*(ROW(職員マスタ!$A$6:$A$405)-5))),IFERROR(MATCH($B2042,職員マスタ!$A$6:$A$405,0),"")))</f>
        <v/>
      </c>
      <c r="AO2042" s="16">
        <f>IF(OR($B2042="",$C2042="",$D2042=""),"",DATE($C2042+2018,$D2042,1))</f>
        <v/>
      </c>
    </row>
    <row r="2043">
      <c r="A2043" s="11" t="n"/>
      <c r="B2043" s="12" t="n"/>
      <c r="C2043" s="12" t="n"/>
      <c r="D2043" s="12" t="n"/>
      <c r="E2043" s="13" t="n"/>
      <c r="F2043" s="12" t="n"/>
      <c r="G2043" s="13" t="n"/>
      <c r="H2043" s="12" t="n"/>
      <c r="I2043" s="12" t="n"/>
      <c r="J2043" s="12" t="n"/>
      <c r="K2043" s="12" t="n"/>
      <c r="L2043" s="11" t="n"/>
      <c r="M2043" s="11" t="n"/>
      <c r="N2043" s="11" t="n"/>
      <c r="O2043" s="11" t="n"/>
      <c r="P2043" s="12" t="n"/>
      <c r="Q2043" s="11" t="n"/>
      <c r="R2043" s="12" t="n"/>
      <c r="S2043" s="11" t="n"/>
      <c r="T2043" s="12" t="n"/>
      <c r="U2043" s="12" t="n"/>
      <c r="V2043" s="14">
        <f>IF($AN2043="",IF($B2043="","",$H2043),IF(INDEX(職員マスタ!$B$6:$B$405,$AN2043)="",$H2043,INDEX(職員マスタ!$B$6:$B$405,$AN2043)))</f>
        <v/>
      </c>
      <c r="W2043" s="14">
        <f>IF($AN2043="",IF($B2043="","",$R2043),IF(INDEX(職員マスタ!$C$6:$C$405,$AN2043)="",$R2043,INDEX(職員マスタ!$C$6:$C$405,$AN2043)))</f>
        <v/>
      </c>
      <c r="X2043" s="14">
        <f>IF($AO2043="","","R"&amp;$C2043&amp;"."&amp;$D2043)</f>
        <v/>
      </c>
      <c r="Y2043" s="15">
        <f>IF($AN2043="","",IF(INDEX(職員マスタ!$K$6:$K$405,$AN2043)="","",INDEX(職員マスタ!$K$6:$K$405,$AN2043)))</f>
        <v/>
      </c>
      <c r="Z2043" s="14">
        <f>IF(OR($E2043="",$Y2043=""),"",IF($E2043&gt;=$Y2043,"×",IF($E2043&gt;=$Y2043*設定!$C$5,"△","○")))</f>
        <v/>
      </c>
      <c r="AA2043" s="15">
        <f>IF($Z2043="","",IF($Z2043="×",0,IF($Z2043="○",ROUNDDOWN($E2043*設定!$C$4,0),ROUNDDOWN($E2043*ROUND((9*$Y2043-9*$E2043)/(10*$E2043),4),0))))</f>
        <v/>
      </c>
      <c r="AB2043" s="13" t="n"/>
      <c r="AC2043" s="15">
        <f>IF($B2043="","",IF($AB2043&lt;&gt;"",$AB2043,IF($AA2043="","",IF($AA2043&lt;=設定!$C$3,0,$AA2043))))</f>
        <v/>
      </c>
      <c r="AD2043" s="14">
        <f>IF($B2043="","",IF(AND($AE2043&lt;&gt;"",$AG2043="",$AJ2043=""),"保留中",IF($AJ2043&lt;&gt;"",IF(N($AC2043)&gt;0,"支給済","不支給"),IF($AC2043="","要確認",IF($AC2043=0,"不支給","未処理")))))</f>
        <v/>
      </c>
      <c r="AE2043" s="12" t="n"/>
      <c r="AF2043" s="11" t="n"/>
      <c r="AG2043" s="11" t="n"/>
      <c r="AH2043" s="11" t="n"/>
      <c r="AI2043" s="14">
        <f>IF(AND($AD2043="保留中",$AF2043&lt;&gt;""),TODAY()-$AF2043,"")</f>
        <v/>
      </c>
      <c r="AJ2043" s="12" t="n"/>
      <c r="AK2043" s="14">
        <f>IF($B2043="","",IF($AO2043="","対象年月が未入力／","")&amp;IF($B2043="","",IF($AN2043="","職員マスタに未登録の職員番号／",IF($Y2043="","標準報酬月額が未登録／","")&amp;IF(AND($AO2043&lt;&gt;"",OR(AND(INDEX(職員マスタ!$G$6:$G$405,$AN2043)&lt;&gt;"",INDEX(職員マスタ!$G$6:$G$405,$AN2043)&gt;EOMONTH($AO2043,0)),AND(INDEX(職員マスタ!$H$6:$H$405,$AN2043)&lt;&gt;"",INDEX(職員マスタ!$H$6:$H$405,$AN2043)&lt;$AO2043))),"対象月が時短期間外／","")&amp;IF(AND(INDEX(職員マスタ!$F$6:$F$405,$AN2043)&lt;&gt;"",$AO2043&lt;&gt;"",INDEX(職員マスタ!$F$6:$F$405,$AN2043)&lt;$AO2043),"対象月に子が2歳到達済／","")&amp;IF(AND($H2043&lt;&gt;"",INDEX(職員マスタ!$B$6:$B$405,$AN2043)&lt;&gt;"",SUBSTITUTE(SUBSTITUTE($H2043," ","")," ","")&lt;&gt;SUBSTITUTE(SUBSTITUTE(INDEX(職員マスタ!$B$6:$B$405,$AN2043)," ","")," ","")),"氏名がマスタと相違／","")&amp;IF(AND($Q2043&lt;&gt;"",INDEX(職員マスタ!$E$6:$E$405,$AN2043)&lt;&gt;"",$Q2043&lt;&gt;INDEX(職員マスタ!$E$6:$E$405,$AN2043)),"子の生年月日がマスタと相違／","")&amp;IF(AND($L2043&lt;&gt;"",INDEX(職員マスタ!$G$6:$G$405,$AN2043)&lt;&gt;"",$L2043&lt;&gt;INDEX(職員マスタ!$G$6:$G$405,$AN2043)),"時短開始日がマスタと相違／","")&amp;IF(AND($M2043&lt;&gt;"",INDEX(職員マスタ!$H$6:$H$405,$AN2043)&lt;&gt;"",$M2043&lt;&gt;INDEX(職員マスタ!$H$6:$H$405,$AN2043)),"時短終了日がマスタと相違／","")))&amp;IF(AND($B2043&lt;&gt;"",$E2043=""),"報酬額が未入力／","")&amp;IF(N($U2043)&gt;0,"申請書に入力エラーが残っています／","")&amp;IF(AND($B2043&lt;&gt;"",$AO2043&lt;&gt;""),IF(COUNTIFS($B$6:$B$3005,$B2043,$C$6:$C$3005,$C2043,$D$6:$D$3005,$D2043)&gt;1,"同じ月の請求が重複しています／",""),"")&amp;IF(AND(N($E2043)&gt;0,$Z2043&lt;&gt;"",$Z2043&lt;&gt;"×",$AC2043=0,$AB2043=""),"計算額が下限以下のため不支給／",""))</f>
        <v/>
      </c>
      <c r="AL2043" s="12" t="n"/>
      <c r="AM2043" s="14">
        <f>IF($AD2043="保留中",COUNTIF($AD$6:$AD2043,"保留中"),"")</f>
        <v/>
      </c>
      <c r="AN2043" s="14">
        <f>IF($AO2043="","",IF(SUMPRODUCT(MAX((職員マスタ!$A$6:$A$405=$B2043)*(((職員マスタ!$G$6:$G$405="")+(職員マスタ!$G$6:$G$405&lt;=EOMONTH($AO2043,0)))&gt;0)*(((職員マスタ!$H$6:$H$405="")+(職員マスタ!$H$6:$H$405&gt;=$AO2043))&gt;0)*(ROW(職員マスタ!$A$6:$A$405)-5)))&gt;0,SUMPRODUCT(MAX((職員マスタ!$A$6:$A$405=$B2043)*(((職員マスタ!$G$6:$G$405="")+(職員マスタ!$G$6:$G$405&lt;=EOMONTH($AO2043,0)))&gt;0)*(((職員マスタ!$H$6:$H$405="")+(職員マスタ!$H$6:$H$405&gt;=$AO2043))&gt;0)*(ROW(職員マスタ!$A$6:$A$405)-5))),IFERROR(MATCH($B2043,職員マスタ!$A$6:$A$405,0),"")))</f>
        <v/>
      </c>
      <c r="AO2043" s="16">
        <f>IF(OR($B2043="",$C2043="",$D2043=""),"",DATE($C2043+2018,$D2043,1))</f>
        <v/>
      </c>
    </row>
    <row r="2044">
      <c r="A2044" s="11" t="n"/>
      <c r="B2044" s="12" t="n"/>
      <c r="C2044" s="12" t="n"/>
      <c r="D2044" s="12" t="n"/>
      <c r="E2044" s="13" t="n"/>
      <c r="F2044" s="12" t="n"/>
      <c r="G2044" s="13" t="n"/>
      <c r="H2044" s="12" t="n"/>
      <c r="I2044" s="12" t="n"/>
      <c r="J2044" s="12" t="n"/>
      <c r="K2044" s="12" t="n"/>
      <c r="L2044" s="11" t="n"/>
      <c r="M2044" s="11" t="n"/>
      <c r="N2044" s="11" t="n"/>
      <c r="O2044" s="11" t="n"/>
      <c r="P2044" s="12" t="n"/>
      <c r="Q2044" s="11" t="n"/>
      <c r="R2044" s="12" t="n"/>
      <c r="S2044" s="11" t="n"/>
      <c r="T2044" s="12" t="n"/>
      <c r="U2044" s="12" t="n"/>
      <c r="V2044" s="14">
        <f>IF($AN2044="",IF($B2044="","",$H2044),IF(INDEX(職員マスタ!$B$6:$B$405,$AN2044)="",$H2044,INDEX(職員マスタ!$B$6:$B$405,$AN2044)))</f>
        <v/>
      </c>
      <c r="W2044" s="14">
        <f>IF($AN2044="",IF($B2044="","",$R2044),IF(INDEX(職員マスタ!$C$6:$C$405,$AN2044)="",$R2044,INDEX(職員マスタ!$C$6:$C$405,$AN2044)))</f>
        <v/>
      </c>
      <c r="X2044" s="14">
        <f>IF($AO2044="","","R"&amp;$C2044&amp;"."&amp;$D2044)</f>
        <v/>
      </c>
      <c r="Y2044" s="15">
        <f>IF($AN2044="","",IF(INDEX(職員マスタ!$K$6:$K$405,$AN2044)="","",INDEX(職員マスタ!$K$6:$K$405,$AN2044)))</f>
        <v/>
      </c>
      <c r="Z2044" s="14">
        <f>IF(OR($E2044="",$Y2044=""),"",IF($E2044&gt;=$Y2044,"×",IF($E2044&gt;=$Y2044*設定!$C$5,"△","○")))</f>
        <v/>
      </c>
      <c r="AA2044" s="15">
        <f>IF($Z2044="","",IF($Z2044="×",0,IF($Z2044="○",ROUNDDOWN($E2044*設定!$C$4,0),ROUNDDOWN($E2044*ROUND((9*$Y2044-9*$E2044)/(10*$E2044),4),0))))</f>
        <v/>
      </c>
      <c r="AB2044" s="13" t="n"/>
      <c r="AC2044" s="15">
        <f>IF($B2044="","",IF($AB2044&lt;&gt;"",$AB2044,IF($AA2044="","",IF($AA2044&lt;=設定!$C$3,0,$AA2044))))</f>
        <v/>
      </c>
      <c r="AD2044" s="14">
        <f>IF($B2044="","",IF(AND($AE2044&lt;&gt;"",$AG2044="",$AJ2044=""),"保留中",IF($AJ2044&lt;&gt;"",IF(N($AC2044)&gt;0,"支給済","不支給"),IF($AC2044="","要確認",IF($AC2044=0,"不支給","未処理")))))</f>
        <v/>
      </c>
      <c r="AE2044" s="12" t="n"/>
      <c r="AF2044" s="11" t="n"/>
      <c r="AG2044" s="11" t="n"/>
      <c r="AH2044" s="11" t="n"/>
      <c r="AI2044" s="14">
        <f>IF(AND($AD2044="保留中",$AF2044&lt;&gt;""),TODAY()-$AF2044,"")</f>
        <v/>
      </c>
      <c r="AJ2044" s="12" t="n"/>
      <c r="AK2044" s="14">
        <f>IF($B2044="","",IF($AO2044="","対象年月が未入力／","")&amp;IF($B2044="","",IF($AN2044="","職員マスタに未登録の職員番号／",IF($Y2044="","標準報酬月額が未登録／","")&amp;IF(AND($AO2044&lt;&gt;"",OR(AND(INDEX(職員マスタ!$G$6:$G$405,$AN2044)&lt;&gt;"",INDEX(職員マスタ!$G$6:$G$405,$AN2044)&gt;EOMONTH($AO2044,0)),AND(INDEX(職員マスタ!$H$6:$H$405,$AN2044)&lt;&gt;"",INDEX(職員マスタ!$H$6:$H$405,$AN2044)&lt;$AO2044))),"対象月が時短期間外／","")&amp;IF(AND(INDEX(職員マスタ!$F$6:$F$405,$AN2044)&lt;&gt;"",$AO2044&lt;&gt;"",INDEX(職員マスタ!$F$6:$F$405,$AN2044)&lt;$AO2044),"対象月に子が2歳到達済／","")&amp;IF(AND($H2044&lt;&gt;"",INDEX(職員マスタ!$B$6:$B$405,$AN2044)&lt;&gt;"",SUBSTITUTE(SUBSTITUTE($H2044," ","")," ","")&lt;&gt;SUBSTITUTE(SUBSTITUTE(INDEX(職員マスタ!$B$6:$B$405,$AN2044)," ","")," ","")),"氏名がマスタと相違／","")&amp;IF(AND($Q2044&lt;&gt;"",INDEX(職員マスタ!$E$6:$E$405,$AN2044)&lt;&gt;"",$Q2044&lt;&gt;INDEX(職員マスタ!$E$6:$E$405,$AN2044)),"子の生年月日がマスタと相違／","")&amp;IF(AND($L2044&lt;&gt;"",INDEX(職員マスタ!$G$6:$G$405,$AN2044)&lt;&gt;"",$L2044&lt;&gt;INDEX(職員マスタ!$G$6:$G$405,$AN2044)),"時短開始日がマスタと相違／","")&amp;IF(AND($M2044&lt;&gt;"",INDEX(職員マスタ!$H$6:$H$405,$AN2044)&lt;&gt;"",$M2044&lt;&gt;INDEX(職員マスタ!$H$6:$H$405,$AN2044)),"時短終了日がマスタと相違／","")))&amp;IF(AND($B2044&lt;&gt;"",$E2044=""),"報酬額が未入力／","")&amp;IF(N($U2044)&gt;0,"申請書に入力エラーが残っています／","")&amp;IF(AND($B2044&lt;&gt;"",$AO2044&lt;&gt;""),IF(COUNTIFS($B$6:$B$3005,$B2044,$C$6:$C$3005,$C2044,$D$6:$D$3005,$D2044)&gt;1,"同じ月の請求が重複しています／",""),"")&amp;IF(AND(N($E2044)&gt;0,$Z2044&lt;&gt;"",$Z2044&lt;&gt;"×",$AC2044=0,$AB2044=""),"計算額が下限以下のため不支給／",""))</f>
        <v/>
      </c>
      <c r="AL2044" s="12" t="n"/>
      <c r="AM2044" s="14">
        <f>IF($AD2044="保留中",COUNTIF($AD$6:$AD2044,"保留中"),"")</f>
        <v/>
      </c>
      <c r="AN2044" s="14">
        <f>IF($AO2044="","",IF(SUMPRODUCT(MAX((職員マスタ!$A$6:$A$405=$B2044)*(((職員マスタ!$G$6:$G$405="")+(職員マスタ!$G$6:$G$405&lt;=EOMONTH($AO2044,0)))&gt;0)*(((職員マスタ!$H$6:$H$405="")+(職員マスタ!$H$6:$H$405&gt;=$AO2044))&gt;0)*(ROW(職員マスタ!$A$6:$A$405)-5)))&gt;0,SUMPRODUCT(MAX((職員マスタ!$A$6:$A$405=$B2044)*(((職員マスタ!$G$6:$G$405="")+(職員マスタ!$G$6:$G$405&lt;=EOMONTH($AO2044,0)))&gt;0)*(((職員マスタ!$H$6:$H$405="")+(職員マスタ!$H$6:$H$405&gt;=$AO2044))&gt;0)*(ROW(職員マスタ!$A$6:$A$405)-5))),IFERROR(MATCH($B2044,職員マスタ!$A$6:$A$405,0),"")))</f>
        <v/>
      </c>
      <c r="AO2044" s="16">
        <f>IF(OR($B2044="",$C2044="",$D2044=""),"",DATE($C2044+2018,$D2044,1))</f>
        <v/>
      </c>
    </row>
    <row r="2045">
      <c r="A2045" s="11" t="n"/>
      <c r="B2045" s="12" t="n"/>
      <c r="C2045" s="12" t="n"/>
      <c r="D2045" s="12" t="n"/>
      <c r="E2045" s="13" t="n"/>
      <c r="F2045" s="12" t="n"/>
      <c r="G2045" s="13" t="n"/>
      <c r="H2045" s="12" t="n"/>
      <c r="I2045" s="12" t="n"/>
      <c r="J2045" s="12" t="n"/>
      <c r="K2045" s="12" t="n"/>
      <c r="L2045" s="11" t="n"/>
      <c r="M2045" s="11" t="n"/>
      <c r="N2045" s="11" t="n"/>
      <c r="O2045" s="11" t="n"/>
      <c r="P2045" s="12" t="n"/>
      <c r="Q2045" s="11" t="n"/>
      <c r="R2045" s="12" t="n"/>
      <c r="S2045" s="11" t="n"/>
      <c r="T2045" s="12" t="n"/>
      <c r="U2045" s="12" t="n"/>
      <c r="V2045" s="14">
        <f>IF($AN2045="",IF($B2045="","",$H2045),IF(INDEX(職員マスタ!$B$6:$B$405,$AN2045)="",$H2045,INDEX(職員マスタ!$B$6:$B$405,$AN2045)))</f>
        <v/>
      </c>
      <c r="W2045" s="14">
        <f>IF($AN2045="",IF($B2045="","",$R2045),IF(INDEX(職員マスタ!$C$6:$C$405,$AN2045)="",$R2045,INDEX(職員マスタ!$C$6:$C$405,$AN2045)))</f>
        <v/>
      </c>
      <c r="X2045" s="14">
        <f>IF($AO2045="","","R"&amp;$C2045&amp;"."&amp;$D2045)</f>
        <v/>
      </c>
      <c r="Y2045" s="15">
        <f>IF($AN2045="","",IF(INDEX(職員マスタ!$K$6:$K$405,$AN2045)="","",INDEX(職員マスタ!$K$6:$K$405,$AN2045)))</f>
        <v/>
      </c>
      <c r="Z2045" s="14">
        <f>IF(OR($E2045="",$Y2045=""),"",IF($E2045&gt;=$Y2045,"×",IF($E2045&gt;=$Y2045*設定!$C$5,"△","○")))</f>
        <v/>
      </c>
      <c r="AA2045" s="15">
        <f>IF($Z2045="","",IF($Z2045="×",0,IF($Z2045="○",ROUNDDOWN($E2045*設定!$C$4,0),ROUNDDOWN($E2045*ROUND((9*$Y2045-9*$E2045)/(10*$E2045),4),0))))</f>
        <v/>
      </c>
      <c r="AB2045" s="13" t="n"/>
      <c r="AC2045" s="15">
        <f>IF($B2045="","",IF($AB2045&lt;&gt;"",$AB2045,IF($AA2045="","",IF($AA2045&lt;=設定!$C$3,0,$AA2045))))</f>
        <v/>
      </c>
      <c r="AD2045" s="14">
        <f>IF($B2045="","",IF(AND($AE2045&lt;&gt;"",$AG2045="",$AJ2045=""),"保留中",IF($AJ2045&lt;&gt;"",IF(N($AC2045)&gt;0,"支給済","不支給"),IF($AC2045="","要確認",IF($AC2045=0,"不支給","未処理")))))</f>
        <v/>
      </c>
      <c r="AE2045" s="12" t="n"/>
      <c r="AF2045" s="11" t="n"/>
      <c r="AG2045" s="11" t="n"/>
      <c r="AH2045" s="11" t="n"/>
      <c r="AI2045" s="14">
        <f>IF(AND($AD2045="保留中",$AF2045&lt;&gt;""),TODAY()-$AF2045,"")</f>
        <v/>
      </c>
      <c r="AJ2045" s="12" t="n"/>
      <c r="AK2045" s="14">
        <f>IF($B2045="","",IF($AO2045="","対象年月が未入力／","")&amp;IF($B2045="","",IF($AN2045="","職員マスタに未登録の職員番号／",IF($Y2045="","標準報酬月額が未登録／","")&amp;IF(AND($AO2045&lt;&gt;"",OR(AND(INDEX(職員マスタ!$G$6:$G$405,$AN2045)&lt;&gt;"",INDEX(職員マスタ!$G$6:$G$405,$AN2045)&gt;EOMONTH($AO2045,0)),AND(INDEX(職員マスタ!$H$6:$H$405,$AN2045)&lt;&gt;"",INDEX(職員マスタ!$H$6:$H$405,$AN2045)&lt;$AO2045))),"対象月が時短期間外／","")&amp;IF(AND(INDEX(職員マスタ!$F$6:$F$405,$AN2045)&lt;&gt;"",$AO2045&lt;&gt;"",INDEX(職員マスタ!$F$6:$F$405,$AN2045)&lt;$AO2045),"対象月に子が2歳到達済／","")&amp;IF(AND($H2045&lt;&gt;"",INDEX(職員マスタ!$B$6:$B$405,$AN2045)&lt;&gt;"",SUBSTITUTE(SUBSTITUTE($H2045," ","")," ","")&lt;&gt;SUBSTITUTE(SUBSTITUTE(INDEX(職員マスタ!$B$6:$B$405,$AN2045)," ","")," ","")),"氏名がマスタと相違／","")&amp;IF(AND($Q2045&lt;&gt;"",INDEX(職員マスタ!$E$6:$E$405,$AN2045)&lt;&gt;"",$Q2045&lt;&gt;INDEX(職員マスタ!$E$6:$E$405,$AN2045)),"子の生年月日がマスタと相違／","")&amp;IF(AND($L2045&lt;&gt;"",INDEX(職員マスタ!$G$6:$G$405,$AN2045)&lt;&gt;"",$L2045&lt;&gt;INDEX(職員マスタ!$G$6:$G$405,$AN2045)),"時短開始日がマスタと相違／","")&amp;IF(AND($M2045&lt;&gt;"",INDEX(職員マスタ!$H$6:$H$405,$AN2045)&lt;&gt;"",$M2045&lt;&gt;INDEX(職員マスタ!$H$6:$H$405,$AN2045)),"時短終了日がマスタと相違／","")))&amp;IF(AND($B2045&lt;&gt;"",$E2045=""),"報酬額が未入力／","")&amp;IF(N($U2045)&gt;0,"申請書に入力エラーが残っています／","")&amp;IF(AND($B2045&lt;&gt;"",$AO2045&lt;&gt;""),IF(COUNTIFS($B$6:$B$3005,$B2045,$C$6:$C$3005,$C2045,$D$6:$D$3005,$D2045)&gt;1,"同じ月の請求が重複しています／",""),"")&amp;IF(AND(N($E2045)&gt;0,$Z2045&lt;&gt;"",$Z2045&lt;&gt;"×",$AC2045=0,$AB2045=""),"計算額が下限以下のため不支給／",""))</f>
        <v/>
      </c>
      <c r="AL2045" s="12" t="n"/>
      <c r="AM2045" s="14">
        <f>IF($AD2045="保留中",COUNTIF($AD$6:$AD2045,"保留中"),"")</f>
        <v/>
      </c>
      <c r="AN2045" s="14">
        <f>IF($AO2045="","",IF(SUMPRODUCT(MAX((職員マスタ!$A$6:$A$405=$B2045)*(((職員マスタ!$G$6:$G$405="")+(職員マスタ!$G$6:$G$405&lt;=EOMONTH($AO2045,0)))&gt;0)*(((職員マスタ!$H$6:$H$405="")+(職員マスタ!$H$6:$H$405&gt;=$AO2045))&gt;0)*(ROW(職員マスタ!$A$6:$A$405)-5)))&gt;0,SUMPRODUCT(MAX((職員マスタ!$A$6:$A$405=$B2045)*(((職員マスタ!$G$6:$G$405="")+(職員マスタ!$G$6:$G$405&lt;=EOMONTH($AO2045,0)))&gt;0)*(((職員マスタ!$H$6:$H$405="")+(職員マスタ!$H$6:$H$405&gt;=$AO2045))&gt;0)*(ROW(職員マスタ!$A$6:$A$405)-5))),IFERROR(MATCH($B2045,職員マスタ!$A$6:$A$405,0),"")))</f>
        <v/>
      </c>
      <c r="AO2045" s="16">
        <f>IF(OR($B2045="",$C2045="",$D2045=""),"",DATE($C2045+2018,$D2045,1))</f>
        <v/>
      </c>
    </row>
    <row r="2046">
      <c r="A2046" s="11" t="n"/>
      <c r="B2046" s="12" t="n"/>
      <c r="C2046" s="12" t="n"/>
      <c r="D2046" s="12" t="n"/>
      <c r="E2046" s="13" t="n"/>
      <c r="F2046" s="12" t="n"/>
      <c r="G2046" s="13" t="n"/>
      <c r="H2046" s="12" t="n"/>
      <c r="I2046" s="12" t="n"/>
      <c r="J2046" s="12" t="n"/>
      <c r="K2046" s="12" t="n"/>
      <c r="L2046" s="11" t="n"/>
      <c r="M2046" s="11" t="n"/>
      <c r="N2046" s="11" t="n"/>
      <c r="O2046" s="11" t="n"/>
      <c r="P2046" s="12" t="n"/>
      <c r="Q2046" s="11" t="n"/>
      <c r="R2046" s="12" t="n"/>
      <c r="S2046" s="11" t="n"/>
      <c r="T2046" s="12" t="n"/>
      <c r="U2046" s="12" t="n"/>
      <c r="V2046" s="14">
        <f>IF($AN2046="",IF($B2046="","",$H2046),IF(INDEX(職員マスタ!$B$6:$B$405,$AN2046)="",$H2046,INDEX(職員マスタ!$B$6:$B$405,$AN2046)))</f>
        <v/>
      </c>
      <c r="W2046" s="14">
        <f>IF($AN2046="",IF($B2046="","",$R2046),IF(INDEX(職員マスタ!$C$6:$C$405,$AN2046)="",$R2046,INDEX(職員マスタ!$C$6:$C$405,$AN2046)))</f>
        <v/>
      </c>
      <c r="X2046" s="14">
        <f>IF($AO2046="","","R"&amp;$C2046&amp;"."&amp;$D2046)</f>
        <v/>
      </c>
      <c r="Y2046" s="15">
        <f>IF($AN2046="","",IF(INDEX(職員マスタ!$K$6:$K$405,$AN2046)="","",INDEX(職員マスタ!$K$6:$K$405,$AN2046)))</f>
        <v/>
      </c>
      <c r="Z2046" s="14">
        <f>IF(OR($E2046="",$Y2046=""),"",IF($E2046&gt;=$Y2046,"×",IF($E2046&gt;=$Y2046*設定!$C$5,"△","○")))</f>
        <v/>
      </c>
      <c r="AA2046" s="15">
        <f>IF($Z2046="","",IF($Z2046="×",0,IF($Z2046="○",ROUNDDOWN($E2046*設定!$C$4,0),ROUNDDOWN($E2046*ROUND((9*$Y2046-9*$E2046)/(10*$E2046),4),0))))</f>
        <v/>
      </c>
      <c r="AB2046" s="13" t="n"/>
      <c r="AC2046" s="15">
        <f>IF($B2046="","",IF($AB2046&lt;&gt;"",$AB2046,IF($AA2046="","",IF($AA2046&lt;=設定!$C$3,0,$AA2046))))</f>
        <v/>
      </c>
      <c r="AD2046" s="14">
        <f>IF($B2046="","",IF(AND($AE2046&lt;&gt;"",$AG2046="",$AJ2046=""),"保留中",IF($AJ2046&lt;&gt;"",IF(N($AC2046)&gt;0,"支給済","不支給"),IF($AC2046="","要確認",IF($AC2046=0,"不支給","未処理")))))</f>
        <v/>
      </c>
      <c r="AE2046" s="12" t="n"/>
      <c r="AF2046" s="11" t="n"/>
      <c r="AG2046" s="11" t="n"/>
      <c r="AH2046" s="11" t="n"/>
      <c r="AI2046" s="14">
        <f>IF(AND($AD2046="保留中",$AF2046&lt;&gt;""),TODAY()-$AF2046,"")</f>
        <v/>
      </c>
      <c r="AJ2046" s="12" t="n"/>
      <c r="AK2046" s="14">
        <f>IF($B2046="","",IF($AO2046="","対象年月が未入力／","")&amp;IF($B2046="","",IF($AN2046="","職員マスタに未登録の職員番号／",IF($Y2046="","標準報酬月額が未登録／","")&amp;IF(AND($AO2046&lt;&gt;"",OR(AND(INDEX(職員マスタ!$G$6:$G$405,$AN2046)&lt;&gt;"",INDEX(職員マスタ!$G$6:$G$405,$AN2046)&gt;EOMONTH($AO2046,0)),AND(INDEX(職員マスタ!$H$6:$H$405,$AN2046)&lt;&gt;"",INDEX(職員マスタ!$H$6:$H$405,$AN2046)&lt;$AO2046))),"対象月が時短期間外／","")&amp;IF(AND(INDEX(職員マスタ!$F$6:$F$405,$AN2046)&lt;&gt;"",$AO2046&lt;&gt;"",INDEX(職員マスタ!$F$6:$F$405,$AN2046)&lt;$AO2046),"対象月に子が2歳到達済／","")&amp;IF(AND($H2046&lt;&gt;"",INDEX(職員マスタ!$B$6:$B$405,$AN2046)&lt;&gt;"",SUBSTITUTE(SUBSTITUTE($H2046," ","")," ","")&lt;&gt;SUBSTITUTE(SUBSTITUTE(INDEX(職員マスタ!$B$6:$B$405,$AN2046)," ","")," ","")),"氏名がマスタと相違／","")&amp;IF(AND($Q2046&lt;&gt;"",INDEX(職員マスタ!$E$6:$E$405,$AN2046)&lt;&gt;"",$Q2046&lt;&gt;INDEX(職員マスタ!$E$6:$E$405,$AN2046)),"子の生年月日がマスタと相違／","")&amp;IF(AND($L2046&lt;&gt;"",INDEX(職員マスタ!$G$6:$G$405,$AN2046)&lt;&gt;"",$L2046&lt;&gt;INDEX(職員マスタ!$G$6:$G$405,$AN2046)),"時短開始日がマスタと相違／","")&amp;IF(AND($M2046&lt;&gt;"",INDEX(職員マスタ!$H$6:$H$405,$AN2046)&lt;&gt;"",$M2046&lt;&gt;INDEX(職員マスタ!$H$6:$H$405,$AN2046)),"時短終了日がマスタと相違／","")))&amp;IF(AND($B2046&lt;&gt;"",$E2046=""),"報酬額が未入力／","")&amp;IF(N($U2046)&gt;0,"申請書に入力エラーが残っています／","")&amp;IF(AND($B2046&lt;&gt;"",$AO2046&lt;&gt;""),IF(COUNTIFS($B$6:$B$3005,$B2046,$C$6:$C$3005,$C2046,$D$6:$D$3005,$D2046)&gt;1,"同じ月の請求が重複しています／",""),"")&amp;IF(AND(N($E2046)&gt;0,$Z2046&lt;&gt;"",$Z2046&lt;&gt;"×",$AC2046=0,$AB2046=""),"計算額が下限以下のため不支給／",""))</f>
        <v/>
      </c>
      <c r="AL2046" s="12" t="n"/>
      <c r="AM2046" s="14">
        <f>IF($AD2046="保留中",COUNTIF($AD$6:$AD2046,"保留中"),"")</f>
        <v/>
      </c>
      <c r="AN2046" s="14">
        <f>IF($AO2046="","",IF(SUMPRODUCT(MAX((職員マスタ!$A$6:$A$405=$B2046)*(((職員マスタ!$G$6:$G$405="")+(職員マスタ!$G$6:$G$405&lt;=EOMONTH($AO2046,0)))&gt;0)*(((職員マスタ!$H$6:$H$405="")+(職員マスタ!$H$6:$H$405&gt;=$AO2046))&gt;0)*(ROW(職員マスタ!$A$6:$A$405)-5)))&gt;0,SUMPRODUCT(MAX((職員マスタ!$A$6:$A$405=$B2046)*(((職員マスタ!$G$6:$G$405="")+(職員マスタ!$G$6:$G$405&lt;=EOMONTH($AO2046,0)))&gt;0)*(((職員マスタ!$H$6:$H$405="")+(職員マスタ!$H$6:$H$405&gt;=$AO2046))&gt;0)*(ROW(職員マスタ!$A$6:$A$405)-5))),IFERROR(MATCH($B2046,職員マスタ!$A$6:$A$405,0),"")))</f>
        <v/>
      </c>
      <c r="AO2046" s="16">
        <f>IF(OR($B2046="",$C2046="",$D2046=""),"",DATE($C2046+2018,$D2046,1))</f>
        <v/>
      </c>
    </row>
    <row r="2047">
      <c r="A2047" s="11" t="n"/>
      <c r="B2047" s="12" t="n"/>
      <c r="C2047" s="12" t="n"/>
      <c r="D2047" s="12" t="n"/>
      <c r="E2047" s="13" t="n"/>
      <c r="F2047" s="12" t="n"/>
      <c r="G2047" s="13" t="n"/>
      <c r="H2047" s="12" t="n"/>
      <c r="I2047" s="12" t="n"/>
      <c r="J2047" s="12" t="n"/>
      <c r="K2047" s="12" t="n"/>
      <c r="L2047" s="11" t="n"/>
      <c r="M2047" s="11" t="n"/>
      <c r="N2047" s="11" t="n"/>
      <c r="O2047" s="11" t="n"/>
      <c r="P2047" s="12" t="n"/>
      <c r="Q2047" s="11" t="n"/>
      <c r="R2047" s="12" t="n"/>
      <c r="S2047" s="11" t="n"/>
      <c r="T2047" s="12" t="n"/>
      <c r="U2047" s="12" t="n"/>
      <c r="V2047" s="14">
        <f>IF($AN2047="",IF($B2047="","",$H2047),IF(INDEX(職員マスタ!$B$6:$B$405,$AN2047)="",$H2047,INDEX(職員マスタ!$B$6:$B$405,$AN2047)))</f>
        <v/>
      </c>
      <c r="W2047" s="14">
        <f>IF($AN2047="",IF($B2047="","",$R2047),IF(INDEX(職員マスタ!$C$6:$C$405,$AN2047)="",$R2047,INDEX(職員マスタ!$C$6:$C$405,$AN2047)))</f>
        <v/>
      </c>
      <c r="X2047" s="14">
        <f>IF($AO2047="","","R"&amp;$C2047&amp;"."&amp;$D2047)</f>
        <v/>
      </c>
      <c r="Y2047" s="15">
        <f>IF($AN2047="","",IF(INDEX(職員マスタ!$K$6:$K$405,$AN2047)="","",INDEX(職員マスタ!$K$6:$K$405,$AN2047)))</f>
        <v/>
      </c>
      <c r="Z2047" s="14">
        <f>IF(OR($E2047="",$Y2047=""),"",IF($E2047&gt;=$Y2047,"×",IF($E2047&gt;=$Y2047*設定!$C$5,"△","○")))</f>
        <v/>
      </c>
      <c r="AA2047" s="15">
        <f>IF($Z2047="","",IF($Z2047="×",0,IF($Z2047="○",ROUNDDOWN($E2047*設定!$C$4,0),ROUNDDOWN($E2047*ROUND((9*$Y2047-9*$E2047)/(10*$E2047),4),0))))</f>
        <v/>
      </c>
      <c r="AB2047" s="13" t="n"/>
      <c r="AC2047" s="15">
        <f>IF($B2047="","",IF($AB2047&lt;&gt;"",$AB2047,IF($AA2047="","",IF($AA2047&lt;=設定!$C$3,0,$AA2047))))</f>
        <v/>
      </c>
      <c r="AD2047" s="14">
        <f>IF($B2047="","",IF(AND($AE2047&lt;&gt;"",$AG2047="",$AJ2047=""),"保留中",IF($AJ2047&lt;&gt;"",IF(N($AC2047)&gt;0,"支給済","不支給"),IF($AC2047="","要確認",IF($AC2047=0,"不支給","未処理")))))</f>
        <v/>
      </c>
      <c r="AE2047" s="12" t="n"/>
      <c r="AF2047" s="11" t="n"/>
      <c r="AG2047" s="11" t="n"/>
      <c r="AH2047" s="11" t="n"/>
      <c r="AI2047" s="14">
        <f>IF(AND($AD2047="保留中",$AF2047&lt;&gt;""),TODAY()-$AF2047,"")</f>
        <v/>
      </c>
      <c r="AJ2047" s="12" t="n"/>
      <c r="AK2047" s="14">
        <f>IF($B2047="","",IF($AO2047="","対象年月が未入力／","")&amp;IF($B2047="","",IF($AN2047="","職員マスタに未登録の職員番号／",IF($Y2047="","標準報酬月額が未登録／","")&amp;IF(AND($AO2047&lt;&gt;"",OR(AND(INDEX(職員マスタ!$G$6:$G$405,$AN2047)&lt;&gt;"",INDEX(職員マスタ!$G$6:$G$405,$AN2047)&gt;EOMONTH($AO2047,0)),AND(INDEX(職員マスタ!$H$6:$H$405,$AN2047)&lt;&gt;"",INDEX(職員マスタ!$H$6:$H$405,$AN2047)&lt;$AO2047))),"対象月が時短期間外／","")&amp;IF(AND(INDEX(職員マスタ!$F$6:$F$405,$AN2047)&lt;&gt;"",$AO2047&lt;&gt;"",INDEX(職員マスタ!$F$6:$F$405,$AN2047)&lt;$AO2047),"対象月に子が2歳到達済／","")&amp;IF(AND($H2047&lt;&gt;"",INDEX(職員マスタ!$B$6:$B$405,$AN2047)&lt;&gt;"",SUBSTITUTE(SUBSTITUTE($H2047," ","")," ","")&lt;&gt;SUBSTITUTE(SUBSTITUTE(INDEX(職員マスタ!$B$6:$B$405,$AN2047)," ","")," ","")),"氏名がマスタと相違／","")&amp;IF(AND($Q2047&lt;&gt;"",INDEX(職員マスタ!$E$6:$E$405,$AN2047)&lt;&gt;"",$Q2047&lt;&gt;INDEX(職員マスタ!$E$6:$E$405,$AN2047)),"子の生年月日がマスタと相違／","")&amp;IF(AND($L2047&lt;&gt;"",INDEX(職員マスタ!$G$6:$G$405,$AN2047)&lt;&gt;"",$L2047&lt;&gt;INDEX(職員マスタ!$G$6:$G$405,$AN2047)),"時短開始日がマスタと相違／","")&amp;IF(AND($M2047&lt;&gt;"",INDEX(職員マスタ!$H$6:$H$405,$AN2047)&lt;&gt;"",$M2047&lt;&gt;INDEX(職員マスタ!$H$6:$H$405,$AN2047)),"時短終了日がマスタと相違／","")))&amp;IF(AND($B2047&lt;&gt;"",$E2047=""),"報酬額が未入力／","")&amp;IF(N($U2047)&gt;0,"申請書に入力エラーが残っています／","")&amp;IF(AND($B2047&lt;&gt;"",$AO2047&lt;&gt;""),IF(COUNTIFS($B$6:$B$3005,$B2047,$C$6:$C$3005,$C2047,$D$6:$D$3005,$D2047)&gt;1,"同じ月の請求が重複しています／",""),"")&amp;IF(AND(N($E2047)&gt;0,$Z2047&lt;&gt;"",$Z2047&lt;&gt;"×",$AC2047=0,$AB2047=""),"計算額が下限以下のため不支給／",""))</f>
        <v/>
      </c>
      <c r="AL2047" s="12" t="n"/>
      <c r="AM2047" s="14">
        <f>IF($AD2047="保留中",COUNTIF($AD$6:$AD2047,"保留中"),"")</f>
        <v/>
      </c>
      <c r="AN2047" s="14">
        <f>IF($AO2047="","",IF(SUMPRODUCT(MAX((職員マスタ!$A$6:$A$405=$B2047)*(((職員マスタ!$G$6:$G$405="")+(職員マスタ!$G$6:$G$405&lt;=EOMONTH($AO2047,0)))&gt;0)*(((職員マスタ!$H$6:$H$405="")+(職員マスタ!$H$6:$H$405&gt;=$AO2047))&gt;0)*(ROW(職員マスタ!$A$6:$A$405)-5)))&gt;0,SUMPRODUCT(MAX((職員マスタ!$A$6:$A$405=$B2047)*(((職員マスタ!$G$6:$G$405="")+(職員マスタ!$G$6:$G$405&lt;=EOMONTH($AO2047,0)))&gt;0)*(((職員マスタ!$H$6:$H$405="")+(職員マスタ!$H$6:$H$405&gt;=$AO2047))&gt;0)*(ROW(職員マスタ!$A$6:$A$405)-5))),IFERROR(MATCH($B2047,職員マスタ!$A$6:$A$405,0),"")))</f>
        <v/>
      </c>
      <c r="AO2047" s="16">
        <f>IF(OR($B2047="",$C2047="",$D2047=""),"",DATE($C2047+2018,$D2047,1))</f>
        <v/>
      </c>
    </row>
    <row r="2048">
      <c r="A2048" s="11" t="n"/>
      <c r="B2048" s="12" t="n"/>
      <c r="C2048" s="12" t="n"/>
      <c r="D2048" s="12" t="n"/>
      <c r="E2048" s="13" t="n"/>
      <c r="F2048" s="12" t="n"/>
      <c r="G2048" s="13" t="n"/>
      <c r="H2048" s="12" t="n"/>
      <c r="I2048" s="12" t="n"/>
      <c r="J2048" s="12" t="n"/>
      <c r="K2048" s="12" t="n"/>
      <c r="L2048" s="11" t="n"/>
      <c r="M2048" s="11" t="n"/>
      <c r="N2048" s="11" t="n"/>
      <c r="O2048" s="11" t="n"/>
      <c r="P2048" s="12" t="n"/>
      <c r="Q2048" s="11" t="n"/>
      <c r="R2048" s="12" t="n"/>
      <c r="S2048" s="11" t="n"/>
      <c r="T2048" s="12" t="n"/>
      <c r="U2048" s="12" t="n"/>
      <c r="V2048" s="14">
        <f>IF($AN2048="",IF($B2048="","",$H2048),IF(INDEX(職員マスタ!$B$6:$B$405,$AN2048)="",$H2048,INDEX(職員マスタ!$B$6:$B$405,$AN2048)))</f>
        <v/>
      </c>
      <c r="W2048" s="14">
        <f>IF($AN2048="",IF($B2048="","",$R2048),IF(INDEX(職員マスタ!$C$6:$C$405,$AN2048)="",$R2048,INDEX(職員マスタ!$C$6:$C$405,$AN2048)))</f>
        <v/>
      </c>
      <c r="X2048" s="14">
        <f>IF($AO2048="","","R"&amp;$C2048&amp;"."&amp;$D2048)</f>
        <v/>
      </c>
      <c r="Y2048" s="15">
        <f>IF($AN2048="","",IF(INDEX(職員マスタ!$K$6:$K$405,$AN2048)="","",INDEX(職員マスタ!$K$6:$K$405,$AN2048)))</f>
        <v/>
      </c>
      <c r="Z2048" s="14">
        <f>IF(OR($E2048="",$Y2048=""),"",IF($E2048&gt;=$Y2048,"×",IF($E2048&gt;=$Y2048*設定!$C$5,"△","○")))</f>
        <v/>
      </c>
      <c r="AA2048" s="15">
        <f>IF($Z2048="","",IF($Z2048="×",0,IF($Z2048="○",ROUNDDOWN($E2048*設定!$C$4,0),ROUNDDOWN($E2048*ROUND((9*$Y2048-9*$E2048)/(10*$E2048),4),0))))</f>
        <v/>
      </c>
      <c r="AB2048" s="13" t="n"/>
      <c r="AC2048" s="15">
        <f>IF($B2048="","",IF($AB2048&lt;&gt;"",$AB2048,IF($AA2048="","",IF($AA2048&lt;=設定!$C$3,0,$AA2048))))</f>
        <v/>
      </c>
      <c r="AD2048" s="14">
        <f>IF($B2048="","",IF(AND($AE2048&lt;&gt;"",$AG2048="",$AJ2048=""),"保留中",IF($AJ2048&lt;&gt;"",IF(N($AC2048)&gt;0,"支給済","不支給"),IF($AC2048="","要確認",IF($AC2048=0,"不支給","未処理")))))</f>
        <v/>
      </c>
      <c r="AE2048" s="12" t="n"/>
      <c r="AF2048" s="11" t="n"/>
      <c r="AG2048" s="11" t="n"/>
      <c r="AH2048" s="11" t="n"/>
      <c r="AI2048" s="14">
        <f>IF(AND($AD2048="保留中",$AF2048&lt;&gt;""),TODAY()-$AF2048,"")</f>
        <v/>
      </c>
      <c r="AJ2048" s="12" t="n"/>
      <c r="AK2048" s="14">
        <f>IF($B2048="","",IF($AO2048="","対象年月が未入力／","")&amp;IF($B2048="","",IF($AN2048="","職員マスタに未登録の職員番号／",IF($Y2048="","標準報酬月額が未登録／","")&amp;IF(AND($AO2048&lt;&gt;"",OR(AND(INDEX(職員マスタ!$G$6:$G$405,$AN2048)&lt;&gt;"",INDEX(職員マスタ!$G$6:$G$405,$AN2048)&gt;EOMONTH($AO2048,0)),AND(INDEX(職員マスタ!$H$6:$H$405,$AN2048)&lt;&gt;"",INDEX(職員マスタ!$H$6:$H$405,$AN2048)&lt;$AO2048))),"対象月が時短期間外／","")&amp;IF(AND(INDEX(職員マスタ!$F$6:$F$405,$AN2048)&lt;&gt;"",$AO2048&lt;&gt;"",INDEX(職員マスタ!$F$6:$F$405,$AN2048)&lt;$AO2048),"対象月に子が2歳到達済／","")&amp;IF(AND($H2048&lt;&gt;"",INDEX(職員マスタ!$B$6:$B$405,$AN2048)&lt;&gt;"",SUBSTITUTE(SUBSTITUTE($H2048," ","")," ","")&lt;&gt;SUBSTITUTE(SUBSTITUTE(INDEX(職員マスタ!$B$6:$B$405,$AN2048)," ","")," ","")),"氏名がマスタと相違／","")&amp;IF(AND($Q2048&lt;&gt;"",INDEX(職員マスタ!$E$6:$E$405,$AN2048)&lt;&gt;"",$Q2048&lt;&gt;INDEX(職員マスタ!$E$6:$E$405,$AN2048)),"子の生年月日がマスタと相違／","")&amp;IF(AND($L2048&lt;&gt;"",INDEX(職員マスタ!$G$6:$G$405,$AN2048)&lt;&gt;"",$L2048&lt;&gt;INDEX(職員マスタ!$G$6:$G$405,$AN2048)),"時短開始日がマスタと相違／","")&amp;IF(AND($M2048&lt;&gt;"",INDEX(職員マスタ!$H$6:$H$405,$AN2048)&lt;&gt;"",$M2048&lt;&gt;INDEX(職員マスタ!$H$6:$H$405,$AN2048)),"時短終了日がマスタと相違／","")))&amp;IF(AND($B2048&lt;&gt;"",$E2048=""),"報酬額が未入力／","")&amp;IF(N($U2048)&gt;0,"申請書に入力エラーが残っています／","")&amp;IF(AND($B2048&lt;&gt;"",$AO2048&lt;&gt;""),IF(COUNTIFS($B$6:$B$3005,$B2048,$C$6:$C$3005,$C2048,$D$6:$D$3005,$D2048)&gt;1,"同じ月の請求が重複しています／",""),"")&amp;IF(AND(N($E2048)&gt;0,$Z2048&lt;&gt;"",$Z2048&lt;&gt;"×",$AC2048=0,$AB2048=""),"計算額が下限以下のため不支給／",""))</f>
        <v/>
      </c>
      <c r="AL2048" s="12" t="n"/>
      <c r="AM2048" s="14">
        <f>IF($AD2048="保留中",COUNTIF($AD$6:$AD2048,"保留中"),"")</f>
        <v/>
      </c>
      <c r="AN2048" s="14">
        <f>IF($AO2048="","",IF(SUMPRODUCT(MAX((職員マスタ!$A$6:$A$405=$B2048)*(((職員マスタ!$G$6:$G$405="")+(職員マスタ!$G$6:$G$405&lt;=EOMONTH($AO2048,0)))&gt;0)*(((職員マスタ!$H$6:$H$405="")+(職員マスタ!$H$6:$H$405&gt;=$AO2048))&gt;0)*(ROW(職員マスタ!$A$6:$A$405)-5)))&gt;0,SUMPRODUCT(MAX((職員マスタ!$A$6:$A$405=$B2048)*(((職員マスタ!$G$6:$G$405="")+(職員マスタ!$G$6:$G$405&lt;=EOMONTH($AO2048,0)))&gt;0)*(((職員マスタ!$H$6:$H$405="")+(職員マスタ!$H$6:$H$405&gt;=$AO2048))&gt;0)*(ROW(職員マスタ!$A$6:$A$405)-5))),IFERROR(MATCH($B2048,職員マスタ!$A$6:$A$405,0),"")))</f>
        <v/>
      </c>
      <c r="AO2048" s="16">
        <f>IF(OR($B2048="",$C2048="",$D2048=""),"",DATE($C2048+2018,$D2048,1))</f>
        <v/>
      </c>
    </row>
    <row r="2049">
      <c r="A2049" s="11" t="n"/>
      <c r="B2049" s="12" t="n"/>
      <c r="C2049" s="12" t="n"/>
      <c r="D2049" s="12" t="n"/>
      <c r="E2049" s="13" t="n"/>
      <c r="F2049" s="12" t="n"/>
      <c r="G2049" s="13" t="n"/>
      <c r="H2049" s="12" t="n"/>
      <c r="I2049" s="12" t="n"/>
      <c r="J2049" s="12" t="n"/>
      <c r="K2049" s="12" t="n"/>
      <c r="L2049" s="11" t="n"/>
      <c r="M2049" s="11" t="n"/>
      <c r="N2049" s="11" t="n"/>
      <c r="O2049" s="11" t="n"/>
      <c r="P2049" s="12" t="n"/>
      <c r="Q2049" s="11" t="n"/>
      <c r="R2049" s="12" t="n"/>
      <c r="S2049" s="11" t="n"/>
      <c r="T2049" s="12" t="n"/>
      <c r="U2049" s="12" t="n"/>
      <c r="V2049" s="14">
        <f>IF($AN2049="",IF($B2049="","",$H2049),IF(INDEX(職員マスタ!$B$6:$B$405,$AN2049)="",$H2049,INDEX(職員マスタ!$B$6:$B$405,$AN2049)))</f>
        <v/>
      </c>
      <c r="W2049" s="14">
        <f>IF($AN2049="",IF($B2049="","",$R2049),IF(INDEX(職員マスタ!$C$6:$C$405,$AN2049)="",$R2049,INDEX(職員マスタ!$C$6:$C$405,$AN2049)))</f>
        <v/>
      </c>
      <c r="X2049" s="14">
        <f>IF($AO2049="","","R"&amp;$C2049&amp;"."&amp;$D2049)</f>
        <v/>
      </c>
      <c r="Y2049" s="15">
        <f>IF($AN2049="","",IF(INDEX(職員マスタ!$K$6:$K$405,$AN2049)="","",INDEX(職員マスタ!$K$6:$K$405,$AN2049)))</f>
        <v/>
      </c>
      <c r="Z2049" s="14">
        <f>IF(OR($E2049="",$Y2049=""),"",IF($E2049&gt;=$Y2049,"×",IF($E2049&gt;=$Y2049*設定!$C$5,"△","○")))</f>
        <v/>
      </c>
      <c r="AA2049" s="15">
        <f>IF($Z2049="","",IF($Z2049="×",0,IF($Z2049="○",ROUNDDOWN($E2049*設定!$C$4,0),ROUNDDOWN($E2049*ROUND((9*$Y2049-9*$E2049)/(10*$E2049),4),0))))</f>
        <v/>
      </c>
      <c r="AB2049" s="13" t="n"/>
      <c r="AC2049" s="15">
        <f>IF($B2049="","",IF($AB2049&lt;&gt;"",$AB2049,IF($AA2049="","",IF($AA2049&lt;=設定!$C$3,0,$AA2049))))</f>
        <v/>
      </c>
      <c r="AD2049" s="14">
        <f>IF($B2049="","",IF(AND($AE2049&lt;&gt;"",$AG2049="",$AJ2049=""),"保留中",IF($AJ2049&lt;&gt;"",IF(N($AC2049)&gt;0,"支給済","不支給"),IF($AC2049="","要確認",IF($AC2049=0,"不支給","未処理")))))</f>
        <v/>
      </c>
      <c r="AE2049" s="12" t="n"/>
      <c r="AF2049" s="11" t="n"/>
      <c r="AG2049" s="11" t="n"/>
      <c r="AH2049" s="11" t="n"/>
      <c r="AI2049" s="14">
        <f>IF(AND($AD2049="保留中",$AF2049&lt;&gt;""),TODAY()-$AF2049,"")</f>
        <v/>
      </c>
      <c r="AJ2049" s="12" t="n"/>
      <c r="AK2049" s="14">
        <f>IF($B2049="","",IF($AO2049="","対象年月が未入力／","")&amp;IF($B2049="","",IF($AN2049="","職員マスタに未登録の職員番号／",IF($Y2049="","標準報酬月額が未登録／","")&amp;IF(AND($AO2049&lt;&gt;"",OR(AND(INDEX(職員マスタ!$G$6:$G$405,$AN2049)&lt;&gt;"",INDEX(職員マスタ!$G$6:$G$405,$AN2049)&gt;EOMONTH($AO2049,0)),AND(INDEX(職員マスタ!$H$6:$H$405,$AN2049)&lt;&gt;"",INDEX(職員マスタ!$H$6:$H$405,$AN2049)&lt;$AO2049))),"対象月が時短期間外／","")&amp;IF(AND(INDEX(職員マスタ!$F$6:$F$405,$AN2049)&lt;&gt;"",$AO2049&lt;&gt;"",INDEX(職員マスタ!$F$6:$F$405,$AN2049)&lt;$AO2049),"対象月に子が2歳到達済／","")&amp;IF(AND($H2049&lt;&gt;"",INDEX(職員マスタ!$B$6:$B$405,$AN2049)&lt;&gt;"",SUBSTITUTE(SUBSTITUTE($H2049," ","")," ","")&lt;&gt;SUBSTITUTE(SUBSTITUTE(INDEX(職員マスタ!$B$6:$B$405,$AN2049)," ","")," ","")),"氏名がマスタと相違／","")&amp;IF(AND($Q2049&lt;&gt;"",INDEX(職員マスタ!$E$6:$E$405,$AN2049)&lt;&gt;"",$Q2049&lt;&gt;INDEX(職員マスタ!$E$6:$E$405,$AN2049)),"子の生年月日がマスタと相違／","")&amp;IF(AND($L2049&lt;&gt;"",INDEX(職員マスタ!$G$6:$G$405,$AN2049)&lt;&gt;"",$L2049&lt;&gt;INDEX(職員マスタ!$G$6:$G$405,$AN2049)),"時短開始日がマスタと相違／","")&amp;IF(AND($M2049&lt;&gt;"",INDEX(職員マスタ!$H$6:$H$405,$AN2049)&lt;&gt;"",$M2049&lt;&gt;INDEX(職員マスタ!$H$6:$H$405,$AN2049)),"時短終了日がマスタと相違／","")))&amp;IF(AND($B2049&lt;&gt;"",$E2049=""),"報酬額が未入力／","")&amp;IF(N($U2049)&gt;0,"申請書に入力エラーが残っています／","")&amp;IF(AND($B2049&lt;&gt;"",$AO2049&lt;&gt;""),IF(COUNTIFS($B$6:$B$3005,$B2049,$C$6:$C$3005,$C2049,$D$6:$D$3005,$D2049)&gt;1,"同じ月の請求が重複しています／",""),"")&amp;IF(AND(N($E2049)&gt;0,$Z2049&lt;&gt;"",$Z2049&lt;&gt;"×",$AC2049=0,$AB2049=""),"計算額が下限以下のため不支給／",""))</f>
        <v/>
      </c>
      <c r="AL2049" s="12" t="n"/>
      <c r="AM2049" s="14">
        <f>IF($AD2049="保留中",COUNTIF($AD$6:$AD2049,"保留中"),"")</f>
        <v/>
      </c>
      <c r="AN2049" s="14">
        <f>IF($AO2049="","",IF(SUMPRODUCT(MAX((職員マスタ!$A$6:$A$405=$B2049)*(((職員マスタ!$G$6:$G$405="")+(職員マスタ!$G$6:$G$405&lt;=EOMONTH($AO2049,0)))&gt;0)*(((職員マスタ!$H$6:$H$405="")+(職員マスタ!$H$6:$H$405&gt;=$AO2049))&gt;0)*(ROW(職員マスタ!$A$6:$A$405)-5)))&gt;0,SUMPRODUCT(MAX((職員マスタ!$A$6:$A$405=$B2049)*(((職員マスタ!$G$6:$G$405="")+(職員マスタ!$G$6:$G$405&lt;=EOMONTH($AO2049,0)))&gt;0)*(((職員マスタ!$H$6:$H$405="")+(職員マスタ!$H$6:$H$405&gt;=$AO2049))&gt;0)*(ROW(職員マスタ!$A$6:$A$405)-5))),IFERROR(MATCH($B2049,職員マスタ!$A$6:$A$405,0),"")))</f>
        <v/>
      </c>
      <c r="AO2049" s="16">
        <f>IF(OR($B2049="",$C2049="",$D2049=""),"",DATE($C2049+2018,$D2049,1))</f>
        <v/>
      </c>
    </row>
    <row r="2050">
      <c r="A2050" s="11" t="n"/>
      <c r="B2050" s="12" t="n"/>
      <c r="C2050" s="12" t="n"/>
      <c r="D2050" s="12" t="n"/>
      <c r="E2050" s="13" t="n"/>
      <c r="F2050" s="12" t="n"/>
      <c r="G2050" s="13" t="n"/>
      <c r="H2050" s="12" t="n"/>
      <c r="I2050" s="12" t="n"/>
      <c r="J2050" s="12" t="n"/>
      <c r="K2050" s="12" t="n"/>
      <c r="L2050" s="11" t="n"/>
      <c r="M2050" s="11" t="n"/>
      <c r="N2050" s="11" t="n"/>
      <c r="O2050" s="11" t="n"/>
      <c r="P2050" s="12" t="n"/>
      <c r="Q2050" s="11" t="n"/>
      <c r="R2050" s="12" t="n"/>
      <c r="S2050" s="11" t="n"/>
      <c r="T2050" s="12" t="n"/>
      <c r="U2050" s="12" t="n"/>
      <c r="V2050" s="14">
        <f>IF($AN2050="",IF($B2050="","",$H2050),IF(INDEX(職員マスタ!$B$6:$B$405,$AN2050)="",$H2050,INDEX(職員マスタ!$B$6:$B$405,$AN2050)))</f>
        <v/>
      </c>
      <c r="W2050" s="14">
        <f>IF($AN2050="",IF($B2050="","",$R2050),IF(INDEX(職員マスタ!$C$6:$C$405,$AN2050)="",$R2050,INDEX(職員マスタ!$C$6:$C$405,$AN2050)))</f>
        <v/>
      </c>
      <c r="X2050" s="14">
        <f>IF($AO2050="","","R"&amp;$C2050&amp;"."&amp;$D2050)</f>
        <v/>
      </c>
      <c r="Y2050" s="15">
        <f>IF($AN2050="","",IF(INDEX(職員マスタ!$K$6:$K$405,$AN2050)="","",INDEX(職員マスタ!$K$6:$K$405,$AN2050)))</f>
        <v/>
      </c>
      <c r="Z2050" s="14">
        <f>IF(OR($E2050="",$Y2050=""),"",IF($E2050&gt;=$Y2050,"×",IF($E2050&gt;=$Y2050*設定!$C$5,"△","○")))</f>
        <v/>
      </c>
      <c r="AA2050" s="15">
        <f>IF($Z2050="","",IF($Z2050="×",0,IF($Z2050="○",ROUNDDOWN($E2050*設定!$C$4,0),ROUNDDOWN($E2050*ROUND((9*$Y2050-9*$E2050)/(10*$E2050),4),0))))</f>
        <v/>
      </c>
      <c r="AB2050" s="13" t="n"/>
      <c r="AC2050" s="15">
        <f>IF($B2050="","",IF($AB2050&lt;&gt;"",$AB2050,IF($AA2050="","",IF($AA2050&lt;=設定!$C$3,0,$AA2050))))</f>
        <v/>
      </c>
      <c r="AD2050" s="14">
        <f>IF($B2050="","",IF(AND($AE2050&lt;&gt;"",$AG2050="",$AJ2050=""),"保留中",IF($AJ2050&lt;&gt;"",IF(N($AC2050)&gt;0,"支給済","不支給"),IF($AC2050="","要確認",IF($AC2050=0,"不支給","未処理")))))</f>
        <v/>
      </c>
      <c r="AE2050" s="12" t="n"/>
      <c r="AF2050" s="11" t="n"/>
      <c r="AG2050" s="11" t="n"/>
      <c r="AH2050" s="11" t="n"/>
      <c r="AI2050" s="14">
        <f>IF(AND($AD2050="保留中",$AF2050&lt;&gt;""),TODAY()-$AF2050,"")</f>
        <v/>
      </c>
      <c r="AJ2050" s="12" t="n"/>
      <c r="AK2050" s="14">
        <f>IF($B2050="","",IF($AO2050="","対象年月が未入力／","")&amp;IF($B2050="","",IF($AN2050="","職員マスタに未登録の職員番号／",IF($Y2050="","標準報酬月額が未登録／","")&amp;IF(AND($AO2050&lt;&gt;"",OR(AND(INDEX(職員マスタ!$G$6:$G$405,$AN2050)&lt;&gt;"",INDEX(職員マスタ!$G$6:$G$405,$AN2050)&gt;EOMONTH($AO2050,0)),AND(INDEX(職員マスタ!$H$6:$H$405,$AN2050)&lt;&gt;"",INDEX(職員マスタ!$H$6:$H$405,$AN2050)&lt;$AO2050))),"対象月が時短期間外／","")&amp;IF(AND(INDEX(職員マスタ!$F$6:$F$405,$AN2050)&lt;&gt;"",$AO2050&lt;&gt;"",INDEX(職員マスタ!$F$6:$F$405,$AN2050)&lt;$AO2050),"対象月に子が2歳到達済／","")&amp;IF(AND($H2050&lt;&gt;"",INDEX(職員マスタ!$B$6:$B$405,$AN2050)&lt;&gt;"",SUBSTITUTE(SUBSTITUTE($H2050," ","")," ","")&lt;&gt;SUBSTITUTE(SUBSTITUTE(INDEX(職員マスタ!$B$6:$B$405,$AN2050)," ","")," ","")),"氏名がマスタと相違／","")&amp;IF(AND($Q2050&lt;&gt;"",INDEX(職員マスタ!$E$6:$E$405,$AN2050)&lt;&gt;"",$Q2050&lt;&gt;INDEX(職員マスタ!$E$6:$E$405,$AN2050)),"子の生年月日がマスタと相違／","")&amp;IF(AND($L2050&lt;&gt;"",INDEX(職員マスタ!$G$6:$G$405,$AN2050)&lt;&gt;"",$L2050&lt;&gt;INDEX(職員マスタ!$G$6:$G$405,$AN2050)),"時短開始日がマスタと相違／","")&amp;IF(AND($M2050&lt;&gt;"",INDEX(職員マスタ!$H$6:$H$405,$AN2050)&lt;&gt;"",$M2050&lt;&gt;INDEX(職員マスタ!$H$6:$H$405,$AN2050)),"時短終了日がマスタと相違／","")))&amp;IF(AND($B2050&lt;&gt;"",$E2050=""),"報酬額が未入力／","")&amp;IF(N($U2050)&gt;0,"申請書に入力エラーが残っています／","")&amp;IF(AND($B2050&lt;&gt;"",$AO2050&lt;&gt;""),IF(COUNTIFS($B$6:$B$3005,$B2050,$C$6:$C$3005,$C2050,$D$6:$D$3005,$D2050)&gt;1,"同じ月の請求が重複しています／",""),"")&amp;IF(AND(N($E2050)&gt;0,$Z2050&lt;&gt;"",$Z2050&lt;&gt;"×",$AC2050=0,$AB2050=""),"計算額が下限以下のため不支給／",""))</f>
        <v/>
      </c>
      <c r="AL2050" s="12" t="n"/>
      <c r="AM2050" s="14">
        <f>IF($AD2050="保留中",COUNTIF($AD$6:$AD2050,"保留中"),"")</f>
        <v/>
      </c>
      <c r="AN2050" s="14">
        <f>IF($AO2050="","",IF(SUMPRODUCT(MAX((職員マスタ!$A$6:$A$405=$B2050)*(((職員マスタ!$G$6:$G$405="")+(職員マスタ!$G$6:$G$405&lt;=EOMONTH($AO2050,0)))&gt;0)*(((職員マスタ!$H$6:$H$405="")+(職員マスタ!$H$6:$H$405&gt;=$AO2050))&gt;0)*(ROW(職員マスタ!$A$6:$A$405)-5)))&gt;0,SUMPRODUCT(MAX((職員マスタ!$A$6:$A$405=$B2050)*(((職員マスタ!$G$6:$G$405="")+(職員マスタ!$G$6:$G$405&lt;=EOMONTH($AO2050,0)))&gt;0)*(((職員マスタ!$H$6:$H$405="")+(職員マスタ!$H$6:$H$405&gt;=$AO2050))&gt;0)*(ROW(職員マスタ!$A$6:$A$405)-5))),IFERROR(MATCH($B2050,職員マスタ!$A$6:$A$405,0),"")))</f>
        <v/>
      </c>
      <c r="AO2050" s="16">
        <f>IF(OR($B2050="",$C2050="",$D2050=""),"",DATE($C2050+2018,$D2050,1))</f>
        <v/>
      </c>
    </row>
    <row r="2051">
      <c r="A2051" s="11" t="n"/>
      <c r="B2051" s="12" t="n"/>
      <c r="C2051" s="12" t="n"/>
      <c r="D2051" s="12" t="n"/>
      <c r="E2051" s="13" t="n"/>
      <c r="F2051" s="12" t="n"/>
      <c r="G2051" s="13" t="n"/>
      <c r="H2051" s="12" t="n"/>
      <c r="I2051" s="12" t="n"/>
      <c r="J2051" s="12" t="n"/>
      <c r="K2051" s="12" t="n"/>
      <c r="L2051" s="11" t="n"/>
      <c r="M2051" s="11" t="n"/>
      <c r="N2051" s="11" t="n"/>
      <c r="O2051" s="11" t="n"/>
      <c r="P2051" s="12" t="n"/>
      <c r="Q2051" s="11" t="n"/>
      <c r="R2051" s="12" t="n"/>
      <c r="S2051" s="11" t="n"/>
      <c r="T2051" s="12" t="n"/>
      <c r="U2051" s="12" t="n"/>
      <c r="V2051" s="14">
        <f>IF($AN2051="",IF($B2051="","",$H2051),IF(INDEX(職員マスタ!$B$6:$B$405,$AN2051)="",$H2051,INDEX(職員マスタ!$B$6:$B$405,$AN2051)))</f>
        <v/>
      </c>
      <c r="W2051" s="14">
        <f>IF($AN2051="",IF($B2051="","",$R2051),IF(INDEX(職員マスタ!$C$6:$C$405,$AN2051)="",$R2051,INDEX(職員マスタ!$C$6:$C$405,$AN2051)))</f>
        <v/>
      </c>
      <c r="X2051" s="14">
        <f>IF($AO2051="","","R"&amp;$C2051&amp;"."&amp;$D2051)</f>
        <v/>
      </c>
      <c r="Y2051" s="15">
        <f>IF($AN2051="","",IF(INDEX(職員マスタ!$K$6:$K$405,$AN2051)="","",INDEX(職員マスタ!$K$6:$K$405,$AN2051)))</f>
        <v/>
      </c>
      <c r="Z2051" s="14">
        <f>IF(OR($E2051="",$Y2051=""),"",IF($E2051&gt;=$Y2051,"×",IF($E2051&gt;=$Y2051*設定!$C$5,"△","○")))</f>
        <v/>
      </c>
      <c r="AA2051" s="15">
        <f>IF($Z2051="","",IF($Z2051="×",0,IF($Z2051="○",ROUNDDOWN($E2051*設定!$C$4,0),ROUNDDOWN($E2051*ROUND((9*$Y2051-9*$E2051)/(10*$E2051),4),0))))</f>
        <v/>
      </c>
      <c r="AB2051" s="13" t="n"/>
      <c r="AC2051" s="15">
        <f>IF($B2051="","",IF($AB2051&lt;&gt;"",$AB2051,IF($AA2051="","",IF($AA2051&lt;=設定!$C$3,0,$AA2051))))</f>
        <v/>
      </c>
      <c r="AD2051" s="14">
        <f>IF($B2051="","",IF(AND($AE2051&lt;&gt;"",$AG2051="",$AJ2051=""),"保留中",IF($AJ2051&lt;&gt;"",IF(N($AC2051)&gt;0,"支給済","不支給"),IF($AC2051="","要確認",IF($AC2051=0,"不支給","未処理")))))</f>
        <v/>
      </c>
      <c r="AE2051" s="12" t="n"/>
      <c r="AF2051" s="11" t="n"/>
      <c r="AG2051" s="11" t="n"/>
      <c r="AH2051" s="11" t="n"/>
      <c r="AI2051" s="14">
        <f>IF(AND($AD2051="保留中",$AF2051&lt;&gt;""),TODAY()-$AF2051,"")</f>
        <v/>
      </c>
      <c r="AJ2051" s="12" t="n"/>
      <c r="AK2051" s="14">
        <f>IF($B2051="","",IF($AO2051="","対象年月が未入力／","")&amp;IF($B2051="","",IF($AN2051="","職員マスタに未登録の職員番号／",IF($Y2051="","標準報酬月額が未登録／","")&amp;IF(AND($AO2051&lt;&gt;"",OR(AND(INDEX(職員マスタ!$G$6:$G$405,$AN2051)&lt;&gt;"",INDEX(職員マスタ!$G$6:$G$405,$AN2051)&gt;EOMONTH($AO2051,0)),AND(INDEX(職員マスタ!$H$6:$H$405,$AN2051)&lt;&gt;"",INDEX(職員マスタ!$H$6:$H$405,$AN2051)&lt;$AO2051))),"対象月が時短期間外／","")&amp;IF(AND(INDEX(職員マスタ!$F$6:$F$405,$AN2051)&lt;&gt;"",$AO2051&lt;&gt;"",INDEX(職員マスタ!$F$6:$F$405,$AN2051)&lt;$AO2051),"対象月に子が2歳到達済／","")&amp;IF(AND($H2051&lt;&gt;"",INDEX(職員マスタ!$B$6:$B$405,$AN2051)&lt;&gt;"",SUBSTITUTE(SUBSTITUTE($H2051," ","")," ","")&lt;&gt;SUBSTITUTE(SUBSTITUTE(INDEX(職員マスタ!$B$6:$B$405,$AN2051)," ","")," ","")),"氏名がマスタと相違／","")&amp;IF(AND($Q2051&lt;&gt;"",INDEX(職員マスタ!$E$6:$E$405,$AN2051)&lt;&gt;"",$Q2051&lt;&gt;INDEX(職員マスタ!$E$6:$E$405,$AN2051)),"子の生年月日がマスタと相違／","")&amp;IF(AND($L2051&lt;&gt;"",INDEX(職員マスタ!$G$6:$G$405,$AN2051)&lt;&gt;"",$L2051&lt;&gt;INDEX(職員マスタ!$G$6:$G$405,$AN2051)),"時短開始日がマスタと相違／","")&amp;IF(AND($M2051&lt;&gt;"",INDEX(職員マスタ!$H$6:$H$405,$AN2051)&lt;&gt;"",$M2051&lt;&gt;INDEX(職員マスタ!$H$6:$H$405,$AN2051)),"時短終了日がマスタと相違／","")))&amp;IF(AND($B2051&lt;&gt;"",$E2051=""),"報酬額が未入力／","")&amp;IF(N($U2051)&gt;0,"申請書に入力エラーが残っています／","")&amp;IF(AND($B2051&lt;&gt;"",$AO2051&lt;&gt;""),IF(COUNTIFS($B$6:$B$3005,$B2051,$C$6:$C$3005,$C2051,$D$6:$D$3005,$D2051)&gt;1,"同じ月の請求が重複しています／",""),"")&amp;IF(AND(N($E2051)&gt;0,$Z2051&lt;&gt;"",$Z2051&lt;&gt;"×",$AC2051=0,$AB2051=""),"計算額が下限以下のため不支給／",""))</f>
        <v/>
      </c>
      <c r="AL2051" s="12" t="n"/>
      <c r="AM2051" s="14">
        <f>IF($AD2051="保留中",COUNTIF($AD$6:$AD2051,"保留中"),"")</f>
        <v/>
      </c>
      <c r="AN2051" s="14">
        <f>IF($AO2051="","",IF(SUMPRODUCT(MAX((職員マスタ!$A$6:$A$405=$B2051)*(((職員マスタ!$G$6:$G$405="")+(職員マスタ!$G$6:$G$405&lt;=EOMONTH($AO2051,0)))&gt;0)*(((職員マスタ!$H$6:$H$405="")+(職員マスタ!$H$6:$H$405&gt;=$AO2051))&gt;0)*(ROW(職員マスタ!$A$6:$A$405)-5)))&gt;0,SUMPRODUCT(MAX((職員マスタ!$A$6:$A$405=$B2051)*(((職員マスタ!$G$6:$G$405="")+(職員マスタ!$G$6:$G$405&lt;=EOMONTH($AO2051,0)))&gt;0)*(((職員マスタ!$H$6:$H$405="")+(職員マスタ!$H$6:$H$405&gt;=$AO2051))&gt;0)*(ROW(職員マスタ!$A$6:$A$405)-5))),IFERROR(MATCH($B2051,職員マスタ!$A$6:$A$405,0),"")))</f>
        <v/>
      </c>
      <c r="AO2051" s="16">
        <f>IF(OR($B2051="",$C2051="",$D2051=""),"",DATE($C2051+2018,$D2051,1))</f>
        <v/>
      </c>
    </row>
    <row r="2052">
      <c r="A2052" s="11" t="n"/>
      <c r="B2052" s="12" t="n"/>
      <c r="C2052" s="12" t="n"/>
      <c r="D2052" s="12" t="n"/>
      <c r="E2052" s="13" t="n"/>
      <c r="F2052" s="12" t="n"/>
      <c r="G2052" s="13" t="n"/>
      <c r="H2052" s="12" t="n"/>
      <c r="I2052" s="12" t="n"/>
      <c r="J2052" s="12" t="n"/>
      <c r="K2052" s="12" t="n"/>
      <c r="L2052" s="11" t="n"/>
      <c r="M2052" s="11" t="n"/>
      <c r="N2052" s="11" t="n"/>
      <c r="O2052" s="11" t="n"/>
      <c r="P2052" s="12" t="n"/>
      <c r="Q2052" s="11" t="n"/>
      <c r="R2052" s="12" t="n"/>
      <c r="S2052" s="11" t="n"/>
      <c r="T2052" s="12" t="n"/>
      <c r="U2052" s="12" t="n"/>
      <c r="V2052" s="14">
        <f>IF($AN2052="",IF($B2052="","",$H2052),IF(INDEX(職員マスタ!$B$6:$B$405,$AN2052)="",$H2052,INDEX(職員マスタ!$B$6:$B$405,$AN2052)))</f>
        <v/>
      </c>
      <c r="W2052" s="14">
        <f>IF($AN2052="",IF($B2052="","",$R2052),IF(INDEX(職員マスタ!$C$6:$C$405,$AN2052)="",$R2052,INDEX(職員マスタ!$C$6:$C$405,$AN2052)))</f>
        <v/>
      </c>
      <c r="X2052" s="14">
        <f>IF($AO2052="","","R"&amp;$C2052&amp;"."&amp;$D2052)</f>
        <v/>
      </c>
      <c r="Y2052" s="15">
        <f>IF($AN2052="","",IF(INDEX(職員マスタ!$K$6:$K$405,$AN2052)="","",INDEX(職員マスタ!$K$6:$K$405,$AN2052)))</f>
        <v/>
      </c>
      <c r="Z2052" s="14">
        <f>IF(OR($E2052="",$Y2052=""),"",IF($E2052&gt;=$Y2052,"×",IF($E2052&gt;=$Y2052*設定!$C$5,"△","○")))</f>
        <v/>
      </c>
      <c r="AA2052" s="15">
        <f>IF($Z2052="","",IF($Z2052="×",0,IF($Z2052="○",ROUNDDOWN($E2052*設定!$C$4,0),ROUNDDOWN($E2052*ROUND((9*$Y2052-9*$E2052)/(10*$E2052),4),0))))</f>
        <v/>
      </c>
      <c r="AB2052" s="13" t="n"/>
      <c r="AC2052" s="15">
        <f>IF($B2052="","",IF($AB2052&lt;&gt;"",$AB2052,IF($AA2052="","",IF($AA2052&lt;=設定!$C$3,0,$AA2052))))</f>
        <v/>
      </c>
      <c r="AD2052" s="14">
        <f>IF($B2052="","",IF(AND($AE2052&lt;&gt;"",$AG2052="",$AJ2052=""),"保留中",IF($AJ2052&lt;&gt;"",IF(N($AC2052)&gt;0,"支給済","不支給"),IF($AC2052="","要確認",IF($AC2052=0,"不支給","未処理")))))</f>
        <v/>
      </c>
      <c r="AE2052" s="12" t="n"/>
      <c r="AF2052" s="11" t="n"/>
      <c r="AG2052" s="11" t="n"/>
      <c r="AH2052" s="11" t="n"/>
      <c r="AI2052" s="14">
        <f>IF(AND($AD2052="保留中",$AF2052&lt;&gt;""),TODAY()-$AF2052,"")</f>
        <v/>
      </c>
      <c r="AJ2052" s="12" t="n"/>
      <c r="AK2052" s="14">
        <f>IF($B2052="","",IF($AO2052="","対象年月が未入力／","")&amp;IF($B2052="","",IF($AN2052="","職員マスタに未登録の職員番号／",IF($Y2052="","標準報酬月額が未登録／","")&amp;IF(AND($AO2052&lt;&gt;"",OR(AND(INDEX(職員マスタ!$G$6:$G$405,$AN2052)&lt;&gt;"",INDEX(職員マスタ!$G$6:$G$405,$AN2052)&gt;EOMONTH($AO2052,0)),AND(INDEX(職員マスタ!$H$6:$H$405,$AN2052)&lt;&gt;"",INDEX(職員マスタ!$H$6:$H$405,$AN2052)&lt;$AO2052))),"対象月が時短期間外／","")&amp;IF(AND(INDEX(職員マスタ!$F$6:$F$405,$AN2052)&lt;&gt;"",$AO2052&lt;&gt;"",INDEX(職員マスタ!$F$6:$F$405,$AN2052)&lt;$AO2052),"対象月に子が2歳到達済／","")&amp;IF(AND($H2052&lt;&gt;"",INDEX(職員マスタ!$B$6:$B$405,$AN2052)&lt;&gt;"",SUBSTITUTE(SUBSTITUTE($H2052," ","")," ","")&lt;&gt;SUBSTITUTE(SUBSTITUTE(INDEX(職員マスタ!$B$6:$B$405,$AN2052)," ","")," ","")),"氏名がマスタと相違／","")&amp;IF(AND($Q2052&lt;&gt;"",INDEX(職員マスタ!$E$6:$E$405,$AN2052)&lt;&gt;"",$Q2052&lt;&gt;INDEX(職員マスタ!$E$6:$E$405,$AN2052)),"子の生年月日がマスタと相違／","")&amp;IF(AND($L2052&lt;&gt;"",INDEX(職員マスタ!$G$6:$G$405,$AN2052)&lt;&gt;"",$L2052&lt;&gt;INDEX(職員マスタ!$G$6:$G$405,$AN2052)),"時短開始日がマスタと相違／","")&amp;IF(AND($M2052&lt;&gt;"",INDEX(職員マスタ!$H$6:$H$405,$AN2052)&lt;&gt;"",$M2052&lt;&gt;INDEX(職員マスタ!$H$6:$H$405,$AN2052)),"時短終了日がマスタと相違／","")))&amp;IF(AND($B2052&lt;&gt;"",$E2052=""),"報酬額が未入力／","")&amp;IF(N($U2052)&gt;0,"申請書に入力エラーが残っています／","")&amp;IF(AND($B2052&lt;&gt;"",$AO2052&lt;&gt;""),IF(COUNTIFS($B$6:$B$3005,$B2052,$C$6:$C$3005,$C2052,$D$6:$D$3005,$D2052)&gt;1,"同じ月の請求が重複しています／",""),"")&amp;IF(AND(N($E2052)&gt;0,$Z2052&lt;&gt;"",$Z2052&lt;&gt;"×",$AC2052=0,$AB2052=""),"計算額が下限以下のため不支給／",""))</f>
        <v/>
      </c>
      <c r="AL2052" s="12" t="n"/>
      <c r="AM2052" s="14">
        <f>IF($AD2052="保留中",COUNTIF($AD$6:$AD2052,"保留中"),"")</f>
        <v/>
      </c>
      <c r="AN2052" s="14">
        <f>IF($AO2052="","",IF(SUMPRODUCT(MAX((職員マスタ!$A$6:$A$405=$B2052)*(((職員マスタ!$G$6:$G$405="")+(職員マスタ!$G$6:$G$405&lt;=EOMONTH($AO2052,0)))&gt;0)*(((職員マスタ!$H$6:$H$405="")+(職員マスタ!$H$6:$H$405&gt;=$AO2052))&gt;0)*(ROW(職員マスタ!$A$6:$A$405)-5)))&gt;0,SUMPRODUCT(MAX((職員マスタ!$A$6:$A$405=$B2052)*(((職員マスタ!$G$6:$G$405="")+(職員マスタ!$G$6:$G$405&lt;=EOMONTH($AO2052,0)))&gt;0)*(((職員マスタ!$H$6:$H$405="")+(職員マスタ!$H$6:$H$405&gt;=$AO2052))&gt;0)*(ROW(職員マスタ!$A$6:$A$405)-5))),IFERROR(MATCH($B2052,職員マスタ!$A$6:$A$405,0),"")))</f>
        <v/>
      </c>
      <c r="AO2052" s="16">
        <f>IF(OR($B2052="",$C2052="",$D2052=""),"",DATE($C2052+2018,$D2052,1))</f>
        <v/>
      </c>
    </row>
    <row r="2053">
      <c r="A2053" s="11" t="n"/>
      <c r="B2053" s="12" t="n"/>
      <c r="C2053" s="12" t="n"/>
      <c r="D2053" s="12" t="n"/>
      <c r="E2053" s="13" t="n"/>
      <c r="F2053" s="12" t="n"/>
      <c r="G2053" s="13" t="n"/>
      <c r="H2053" s="12" t="n"/>
      <c r="I2053" s="12" t="n"/>
      <c r="J2053" s="12" t="n"/>
      <c r="K2053" s="12" t="n"/>
      <c r="L2053" s="11" t="n"/>
      <c r="M2053" s="11" t="n"/>
      <c r="N2053" s="11" t="n"/>
      <c r="O2053" s="11" t="n"/>
      <c r="P2053" s="12" t="n"/>
      <c r="Q2053" s="11" t="n"/>
      <c r="R2053" s="12" t="n"/>
      <c r="S2053" s="11" t="n"/>
      <c r="T2053" s="12" t="n"/>
      <c r="U2053" s="12" t="n"/>
      <c r="V2053" s="14">
        <f>IF($AN2053="",IF($B2053="","",$H2053),IF(INDEX(職員マスタ!$B$6:$B$405,$AN2053)="",$H2053,INDEX(職員マスタ!$B$6:$B$405,$AN2053)))</f>
        <v/>
      </c>
      <c r="W2053" s="14">
        <f>IF($AN2053="",IF($B2053="","",$R2053),IF(INDEX(職員マスタ!$C$6:$C$405,$AN2053)="",$R2053,INDEX(職員マスタ!$C$6:$C$405,$AN2053)))</f>
        <v/>
      </c>
      <c r="X2053" s="14">
        <f>IF($AO2053="","","R"&amp;$C2053&amp;"."&amp;$D2053)</f>
        <v/>
      </c>
      <c r="Y2053" s="15">
        <f>IF($AN2053="","",IF(INDEX(職員マスタ!$K$6:$K$405,$AN2053)="","",INDEX(職員マスタ!$K$6:$K$405,$AN2053)))</f>
        <v/>
      </c>
      <c r="Z2053" s="14">
        <f>IF(OR($E2053="",$Y2053=""),"",IF($E2053&gt;=$Y2053,"×",IF($E2053&gt;=$Y2053*設定!$C$5,"△","○")))</f>
        <v/>
      </c>
      <c r="AA2053" s="15">
        <f>IF($Z2053="","",IF($Z2053="×",0,IF($Z2053="○",ROUNDDOWN($E2053*設定!$C$4,0),ROUNDDOWN($E2053*ROUND((9*$Y2053-9*$E2053)/(10*$E2053),4),0))))</f>
        <v/>
      </c>
      <c r="AB2053" s="13" t="n"/>
      <c r="AC2053" s="15">
        <f>IF($B2053="","",IF($AB2053&lt;&gt;"",$AB2053,IF($AA2053="","",IF($AA2053&lt;=設定!$C$3,0,$AA2053))))</f>
        <v/>
      </c>
      <c r="AD2053" s="14">
        <f>IF($B2053="","",IF(AND($AE2053&lt;&gt;"",$AG2053="",$AJ2053=""),"保留中",IF($AJ2053&lt;&gt;"",IF(N($AC2053)&gt;0,"支給済","不支給"),IF($AC2053="","要確認",IF($AC2053=0,"不支給","未処理")))))</f>
        <v/>
      </c>
      <c r="AE2053" s="12" t="n"/>
      <c r="AF2053" s="11" t="n"/>
      <c r="AG2053" s="11" t="n"/>
      <c r="AH2053" s="11" t="n"/>
      <c r="AI2053" s="14">
        <f>IF(AND($AD2053="保留中",$AF2053&lt;&gt;""),TODAY()-$AF2053,"")</f>
        <v/>
      </c>
      <c r="AJ2053" s="12" t="n"/>
      <c r="AK2053" s="14">
        <f>IF($B2053="","",IF($AO2053="","対象年月が未入力／","")&amp;IF($B2053="","",IF($AN2053="","職員マスタに未登録の職員番号／",IF($Y2053="","標準報酬月額が未登録／","")&amp;IF(AND($AO2053&lt;&gt;"",OR(AND(INDEX(職員マスタ!$G$6:$G$405,$AN2053)&lt;&gt;"",INDEX(職員マスタ!$G$6:$G$405,$AN2053)&gt;EOMONTH($AO2053,0)),AND(INDEX(職員マスタ!$H$6:$H$405,$AN2053)&lt;&gt;"",INDEX(職員マスタ!$H$6:$H$405,$AN2053)&lt;$AO2053))),"対象月が時短期間外／","")&amp;IF(AND(INDEX(職員マスタ!$F$6:$F$405,$AN2053)&lt;&gt;"",$AO2053&lt;&gt;"",INDEX(職員マスタ!$F$6:$F$405,$AN2053)&lt;$AO2053),"対象月に子が2歳到達済／","")&amp;IF(AND($H2053&lt;&gt;"",INDEX(職員マスタ!$B$6:$B$405,$AN2053)&lt;&gt;"",SUBSTITUTE(SUBSTITUTE($H2053," ","")," ","")&lt;&gt;SUBSTITUTE(SUBSTITUTE(INDEX(職員マスタ!$B$6:$B$405,$AN2053)," ","")," ","")),"氏名がマスタと相違／","")&amp;IF(AND($Q2053&lt;&gt;"",INDEX(職員マスタ!$E$6:$E$405,$AN2053)&lt;&gt;"",$Q2053&lt;&gt;INDEX(職員マスタ!$E$6:$E$405,$AN2053)),"子の生年月日がマスタと相違／","")&amp;IF(AND($L2053&lt;&gt;"",INDEX(職員マスタ!$G$6:$G$405,$AN2053)&lt;&gt;"",$L2053&lt;&gt;INDEX(職員マスタ!$G$6:$G$405,$AN2053)),"時短開始日がマスタと相違／","")&amp;IF(AND($M2053&lt;&gt;"",INDEX(職員マスタ!$H$6:$H$405,$AN2053)&lt;&gt;"",$M2053&lt;&gt;INDEX(職員マスタ!$H$6:$H$405,$AN2053)),"時短終了日がマスタと相違／","")))&amp;IF(AND($B2053&lt;&gt;"",$E2053=""),"報酬額が未入力／","")&amp;IF(N($U2053)&gt;0,"申請書に入力エラーが残っています／","")&amp;IF(AND($B2053&lt;&gt;"",$AO2053&lt;&gt;""),IF(COUNTIFS($B$6:$B$3005,$B2053,$C$6:$C$3005,$C2053,$D$6:$D$3005,$D2053)&gt;1,"同じ月の請求が重複しています／",""),"")&amp;IF(AND(N($E2053)&gt;0,$Z2053&lt;&gt;"",$Z2053&lt;&gt;"×",$AC2053=0,$AB2053=""),"計算額が下限以下のため不支給／",""))</f>
        <v/>
      </c>
      <c r="AL2053" s="12" t="n"/>
      <c r="AM2053" s="14">
        <f>IF($AD2053="保留中",COUNTIF($AD$6:$AD2053,"保留中"),"")</f>
        <v/>
      </c>
      <c r="AN2053" s="14">
        <f>IF($AO2053="","",IF(SUMPRODUCT(MAX((職員マスタ!$A$6:$A$405=$B2053)*(((職員マスタ!$G$6:$G$405="")+(職員マスタ!$G$6:$G$405&lt;=EOMONTH($AO2053,0)))&gt;0)*(((職員マスタ!$H$6:$H$405="")+(職員マスタ!$H$6:$H$405&gt;=$AO2053))&gt;0)*(ROW(職員マスタ!$A$6:$A$405)-5)))&gt;0,SUMPRODUCT(MAX((職員マスタ!$A$6:$A$405=$B2053)*(((職員マスタ!$G$6:$G$405="")+(職員マスタ!$G$6:$G$405&lt;=EOMONTH($AO2053,0)))&gt;0)*(((職員マスタ!$H$6:$H$405="")+(職員マスタ!$H$6:$H$405&gt;=$AO2053))&gt;0)*(ROW(職員マスタ!$A$6:$A$405)-5))),IFERROR(MATCH($B2053,職員マスタ!$A$6:$A$405,0),"")))</f>
        <v/>
      </c>
      <c r="AO2053" s="16">
        <f>IF(OR($B2053="",$C2053="",$D2053=""),"",DATE($C2053+2018,$D2053,1))</f>
        <v/>
      </c>
    </row>
    <row r="2054">
      <c r="A2054" s="11" t="n"/>
      <c r="B2054" s="12" t="n"/>
      <c r="C2054" s="12" t="n"/>
      <c r="D2054" s="12" t="n"/>
      <c r="E2054" s="13" t="n"/>
      <c r="F2054" s="12" t="n"/>
      <c r="G2054" s="13" t="n"/>
      <c r="H2054" s="12" t="n"/>
      <c r="I2054" s="12" t="n"/>
      <c r="J2054" s="12" t="n"/>
      <c r="K2054" s="12" t="n"/>
      <c r="L2054" s="11" t="n"/>
      <c r="M2054" s="11" t="n"/>
      <c r="N2054" s="11" t="n"/>
      <c r="O2054" s="11" t="n"/>
      <c r="P2054" s="12" t="n"/>
      <c r="Q2054" s="11" t="n"/>
      <c r="R2054" s="12" t="n"/>
      <c r="S2054" s="11" t="n"/>
      <c r="T2054" s="12" t="n"/>
      <c r="U2054" s="12" t="n"/>
      <c r="V2054" s="14">
        <f>IF($AN2054="",IF($B2054="","",$H2054),IF(INDEX(職員マスタ!$B$6:$B$405,$AN2054)="",$H2054,INDEX(職員マスタ!$B$6:$B$405,$AN2054)))</f>
        <v/>
      </c>
      <c r="W2054" s="14">
        <f>IF($AN2054="",IF($B2054="","",$R2054),IF(INDEX(職員マスタ!$C$6:$C$405,$AN2054)="",$R2054,INDEX(職員マスタ!$C$6:$C$405,$AN2054)))</f>
        <v/>
      </c>
      <c r="X2054" s="14">
        <f>IF($AO2054="","","R"&amp;$C2054&amp;"."&amp;$D2054)</f>
        <v/>
      </c>
      <c r="Y2054" s="15">
        <f>IF($AN2054="","",IF(INDEX(職員マスタ!$K$6:$K$405,$AN2054)="","",INDEX(職員マスタ!$K$6:$K$405,$AN2054)))</f>
        <v/>
      </c>
      <c r="Z2054" s="14">
        <f>IF(OR($E2054="",$Y2054=""),"",IF($E2054&gt;=$Y2054,"×",IF($E2054&gt;=$Y2054*設定!$C$5,"△","○")))</f>
        <v/>
      </c>
      <c r="AA2054" s="15">
        <f>IF($Z2054="","",IF($Z2054="×",0,IF($Z2054="○",ROUNDDOWN($E2054*設定!$C$4,0),ROUNDDOWN($E2054*ROUND((9*$Y2054-9*$E2054)/(10*$E2054),4),0))))</f>
        <v/>
      </c>
      <c r="AB2054" s="13" t="n"/>
      <c r="AC2054" s="15">
        <f>IF($B2054="","",IF($AB2054&lt;&gt;"",$AB2054,IF($AA2054="","",IF($AA2054&lt;=設定!$C$3,0,$AA2054))))</f>
        <v/>
      </c>
      <c r="AD2054" s="14">
        <f>IF($B2054="","",IF(AND($AE2054&lt;&gt;"",$AG2054="",$AJ2054=""),"保留中",IF($AJ2054&lt;&gt;"",IF(N($AC2054)&gt;0,"支給済","不支給"),IF($AC2054="","要確認",IF($AC2054=0,"不支給","未処理")))))</f>
        <v/>
      </c>
      <c r="AE2054" s="12" t="n"/>
      <c r="AF2054" s="11" t="n"/>
      <c r="AG2054" s="11" t="n"/>
      <c r="AH2054" s="11" t="n"/>
      <c r="AI2054" s="14">
        <f>IF(AND($AD2054="保留中",$AF2054&lt;&gt;""),TODAY()-$AF2054,"")</f>
        <v/>
      </c>
      <c r="AJ2054" s="12" t="n"/>
      <c r="AK2054" s="14">
        <f>IF($B2054="","",IF($AO2054="","対象年月が未入力／","")&amp;IF($B2054="","",IF($AN2054="","職員マスタに未登録の職員番号／",IF($Y2054="","標準報酬月額が未登録／","")&amp;IF(AND($AO2054&lt;&gt;"",OR(AND(INDEX(職員マスタ!$G$6:$G$405,$AN2054)&lt;&gt;"",INDEX(職員マスタ!$G$6:$G$405,$AN2054)&gt;EOMONTH($AO2054,0)),AND(INDEX(職員マスタ!$H$6:$H$405,$AN2054)&lt;&gt;"",INDEX(職員マスタ!$H$6:$H$405,$AN2054)&lt;$AO2054))),"対象月が時短期間外／","")&amp;IF(AND(INDEX(職員マスタ!$F$6:$F$405,$AN2054)&lt;&gt;"",$AO2054&lt;&gt;"",INDEX(職員マスタ!$F$6:$F$405,$AN2054)&lt;$AO2054),"対象月に子が2歳到達済／","")&amp;IF(AND($H2054&lt;&gt;"",INDEX(職員マスタ!$B$6:$B$405,$AN2054)&lt;&gt;"",SUBSTITUTE(SUBSTITUTE($H2054," ","")," ","")&lt;&gt;SUBSTITUTE(SUBSTITUTE(INDEX(職員マスタ!$B$6:$B$405,$AN2054)," ","")," ","")),"氏名がマスタと相違／","")&amp;IF(AND($Q2054&lt;&gt;"",INDEX(職員マスタ!$E$6:$E$405,$AN2054)&lt;&gt;"",$Q2054&lt;&gt;INDEX(職員マスタ!$E$6:$E$405,$AN2054)),"子の生年月日がマスタと相違／","")&amp;IF(AND($L2054&lt;&gt;"",INDEX(職員マスタ!$G$6:$G$405,$AN2054)&lt;&gt;"",$L2054&lt;&gt;INDEX(職員マスタ!$G$6:$G$405,$AN2054)),"時短開始日がマスタと相違／","")&amp;IF(AND($M2054&lt;&gt;"",INDEX(職員マスタ!$H$6:$H$405,$AN2054)&lt;&gt;"",$M2054&lt;&gt;INDEX(職員マスタ!$H$6:$H$405,$AN2054)),"時短終了日がマスタと相違／","")))&amp;IF(AND($B2054&lt;&gt;"",$E2054=""),"報酬額が未入力／","")&amp;IF(N($U2054)&gt;0,"申請書に入力エラーが残っています／","")&amp;IF(AND($B2054&lt;&gt;"",$AO2054&lt;&gt;""),IF(COUNTIFS($B$6:$B$3005,$B2054,$C$6:$C$3005,$C2054,$D$6:$D$3005,$D2054)&gt;1,"同じ月の請求が重複しています／",""),"")&amp;IF(AND(N($E2054)&gt;0,$Z2054&lt;&gt;"",$Z2054&lt;&gt;"×",$AC2054=0,$AB2054=""),"計算額が下限以下のため不支給／",""))</f>
        <v/>
      </c>
      <c r="AL2054" s="12" t="n"/>
      <c r="AM2054" s="14">
        <f>IF($AD2054="保留中",COUNTIF($AD$6:$AD2054,"保留中"),"")</f>
        <v/>
      </c>
      <c r="AN2054" s="14">
        <f>IF($AO2054="","",IF(SUMPRODUCT(MAX((職員マスタ!$A$6:$A$405=$B2054)*(((職員マスタ!$G$6:$G$405="")+(職員マスタ!$G$6:$G$405&lt;=EOMONTH($AO2054,0)))&gt;0)*(((職員マスタ!$H$6:$H$405="")+(職員マスタ!$H$6:$H$405&gt;=$AO2054))&gt;0)*(ROW(職員マスタ!$A$6:$A$405)-5)))&gt;0,SUMPRODUCT(MAX((職員マスタ!$A$6:$A$405=$B2054)*(((職員マスタ!$G$6:$G$405="")+(職員マスタ!$G$6:$G$405&lt;=EOMONTH($AO2054,0)))&gt;0)*(((職員マスタ!$H$6:$H$405="")+(職員マスタ!$H$6:$H$405&gt;=$AO2054))&gt;0)*(ROW(職員マスタ!$A$6:$A$405)-5))),IFERROR(MATCH($B2054,職員マスタ!$A$6:$A$405,0),"")))</f>
        <v/>
      </c>
      <c r="AO2054" s="16">
        <f>IF(OR($B2054="",$C2054="",$D2054=""),"",DATE($C2054+2018,$D2054,1))</f>
        <v/>
      </c>
    </row>
    <row r="2055">
      <c r="A2055" s="11" t="n"/>
      <c r="B2055" s="12" t="n"/>
      <c r="C2055" s="12" t="n"/>
      <c r="D2055" s="12" t="n"/>
      <c r="E2055" s="13" t="n"/>
      <c r="F2055" s="12" t="n"/>
      <c r="G2055" s="13" t="n"/>
      <c r="H2055" s="12" t="n"/>
      <c r="I2055" s="12" t="n"/>
      <c r="J2055" s="12" t="n"/>
      <c r="K2055" s="12" t="n"/>
      <c r="L2055" s="11" t="n"/>
      <c r="M2055" s="11" t="n"/>
      <c r="N2055" s="11" t="n"/>
      <c r="O2055" s="11" t="n"/>
      <c r="P2055" s="12" t="n"/>
      <c r="Q2055" s="11" t="n"/>
      <c r="R2055" s="12" t="n"/>
      <c r="S2055" s="11" t="n"/>
      <c r="T2055" s="12" t="n"/>
      <c r="U2055" s="12" t="n"/>
      <c r="V2055" s="14">
        <f>IF($AN2055="",IF($B2055="","",$H2055),IF(INDEX(職員マスタ!$B$6:$B$405,$AN2055)="",$H2055,INDEX(職員マスタ!$B$6:$B$405,$AN2055)))</f>
        <v/>
      </c>
      <c r="W2055" s="14">
        <f>IF($AN2055="",IF($B2055="","",$R2055),IF(INDEX(職員マスタ!$C$6:$C$405,$AN2055)="",$R2055,INDEX(職員マスタ!$C$6:$C$405,$AN2055)))</f>
        <v/>
      </c>
      <c r="X2055" s="14">
        <f>IF($AO2055="","","R"&amp;$C2055&amp;"."&amp;$D2055)</f>
        <v/>
      </c>
      <c r="Y2055" s="15">
        <f>IF($AN2055="","",IF(INDEX(職員マスタ!$K$6:$K$405,$AN2055)="","",INDEX(職員マスタ!$K$6:$K$405,$AN2055)))</f>
        <v/>
      </c>
      <c r="Z2055" s="14">
        <f>IF(OR($E2055="",$Y2055=""),"",IF($E2055&gt;=$Y2055,"×",IF($E2055&gt;=$Y2055*設定!$C$5,"△","○")))</f>
        <v/>
      </c>
      <c r="AA2055" s="15">
        <f>IF($Z2055="","",IF($Z2055="×",0,IF($Z2055="○",ROUNDDOWN($E2055*設定!$C$4,0),ROUNDDOWN($E2055*ROUND((9*$Y2055-9*$E2055)/(10*$E2055),4),0))))</f>
        <v/>
      </c>
      <c r="AB2055" s="13" t="n"/>
      <c r="AC2055" s="15">
        <f>IF($B2055="","",IF($AB2055&lt;&gt;"",$AB2055,IF($AA2055="","",IF($AA2055&lt;=設定!$C$3,0,$AA2055))))</f>
        <v/>
      </c>
      <c r="AD2055" s="14">
        <f>IF($B2055="","",IF(AND($AE2055&lt;&gt;"",$AG2055="",$AJ2055=""),"保留中",IF($AJ2055&lt;&gt;"",IF(N($AC2055)&gt;0,"支給済","不支給"),IF($AC2055="","要確認",IF($AC2055=0,"不支給","未処理")))))</f>
        <v/>
      </c>
      <c r="AE2055" s="12" t="n"/>
      <c r="AF2055" s="11" t="n"/>
      <c r="AG2055" s="11" t="n"/>
      <c r="AH2055" s="11" t="n"/>
      <c r="AI2055" s="14">
        <f>IF(AND($AD2055="保留中",$AF2055&lt;&gt;""),TODAY()-$AF2055,"")</f>
        <v/>
      </c>
      <c r="AJ2055" s="12" t="n"/>
      <c r="AK2055" s="14">
        <f>IF($B2055="","",IF($AO2055="","対象年月が未入力／","")&amp;IF($B2055="","",IF($AN2055="","職員マスタに未登録の職員番号／",IF($Y2055="","標準報酬月額が未登録／","")&amp;IF(AND($AO2055&lt;&gt;"",OR(AND(INDEX(職員マスタ!$G$6:$G$405,$AN2055)&lt;&gt;"",INDEX(職員マスタ!$G$6:$G$405,$AN2055)&gt;EOMONTH($AO2055,0)),AND(INDEX(職員マスタ!$H$6:$H$405,$AN2055)&lt;&gt;"",INDEX(職員マスタ!$H$6:$H$405,$AN2055)&lt;$AO2055))),"対象月が時短期間外／","")&amp;IF(AND(INDEX(職員マスタ!$F$6:$F$405,$AN2055)&lt;&gt;"",$AO2055&lt;&gt;"",INDEX(職員マスタ!$F$6:$F$405,$AN2055)&lt;$AO2055),"対象月に子が2歳到達済／","")&amp;IF(AND($H2055&lt;&gt;"",INDEX(職員マスタ!$B$6:$B$405,$AN2055)&lt;&gt;"",SUBSTITUTE(SUBSTITUTE($H2055," ","")," ","")&lt;&gt;SUBSTITUTE(SUBSTITUTE(INDEX(職員マスタ!$B$6:$B$405,$AN2055)," ","")," ","")),"氏名がマスタと相違／","")&amp;IF(AND($Q2055&lt;&gt;"",INDEX(職員マスタ!$E$6:$E$405,$AN2055)&lt;&gt;"",$Q2055&lt;&gt;INDEX(職員マスタ!$E$6:$E$405,$AN2055)),"子の生年月日がマスタと相違／","")&amp;IF(AND($L2055&lt;&gt;"",INDEX(職員マスタ!$G$6:$G$405,$AN2055)&lt;&gt;"",$L2055&lt;&gt;INDEX(職員マスタ!$G$6:$G$405,$AN2055)),"時短開始日がマスタと相違／","")&amp;IF(AND($M2055&lt;&gt;"",INDEX(職員マスタ!$H$6:$H$405,$AN2055)&lt;&gt;"",$M2055&lt;&gt;INDEX(職員マスタ!$H$6:$H$405,$AN2055)),"時短終了日がマスタと相違／","")))&amp;IF(AND($B2055&lt;&gt;"",$E2055=""),"報酬額が未入力／","")&amp;IF(N($U2055)&gt;0,"申請書に入力エラーが残っています／","")&amp;IF(AND($B2055&lt;&gt;"",$AO2055&lt;&gt;""),IF(COUNTIFS($B$6:$B$3005,$B2055,$C$6:$C$3005,$C2055,$D$6:$D$3005,$D2055)&gt;1,"同じ月の請求が重複しています／",""),"")&amp;IF(AND(N($E2055)&gt;0,$Z2055&lt;&gt;"",$Z2055&lt;&gt;"×",$AC2055=0,$AB2055=""),"計算額が下限以下のため不支給／",""))</f>
        <v/>
      </c>
      <c r="AL2055" s="12" t="n"/>
      <c r="AM2055" s="14">
        <f>IF($AD2055="保留中",COUNTIF($AD$6:$AD2055,"保留中"),"")</f>
        <v/>
      </c>
      <c r="AN2055" s="14">
        <f>IF($AO2055="","",IF(SUMPRODUCT(MAX((職員マスタ!$A$6:$A$405=$B2055)*(((職員マスタ!$G$6:$G$405="")+(職員マスタ!$G$6:$G$405&lt;=EOMONTH($AO2055,0)))&gt;0)*(((職員マスタ!$H$6:$H$405="")+(職員マスタ!$H$6:$H$405&gt;=$AO2055))&gt;0)*(ROW(職員マスタ!$A$6:$A$405)-5)))&gt;0,SUMPRODUCT(MAX((職員マスタ!$A$6:$A$405=$B2055)*(((職員マスタ!$G$6:$G$405="")+(職員マスタ!$G$6:$G$405&lt;=EOMONTH($AO2055,0)))&gt;0)*(((職員マスタ!$H$6:$H$405="")+(職員マスタ!$H$6:$H$405&gt;=$AO2055))&gt;0)*(ROW(職員マスタ!$A$6:$A$405)-5))),IFERROR(MATCH($B2055,職員マスタ!$A$6:$A$405,0),"")))</f>
        <v/>
      </c>
      <c r="AO2055" s="16">
        <f>IF(OR($B2055="",$C2055="",$D2055=""),"",DATE($C2055+2018,$D2055,1))</f>
        <v/>
      </c>
    </row>
    <row r="2056">
      <c r="A2056" s="11" t="n"/>
      <c r="B2056" s="12" t="n"/>
      <c r="C2056" s="12" t="n"/>
      <c r="D2056" s="12" t="n"/>
      <c r="E2056" s="13" t="n"/>
      <c r="F2056" s="12" t="n"/>
      <c r="G2056" s="13" t="n"/>
      <c r="H2056" s="12" t="n"/>
      <c r="I2056" s="12" t="n"/>
      <c r="J2056" s="12" t="n"/>
      <c r="K2056" s="12" t="n"/>
      <c r="L2056" s="11" t="n"/>
      <c r="M2056" s="11" t="n"/>
      <c r="N2056" s="11" t="n"/>
      <c r="O2056" s="11" t="n"/>
      <c r="P2056" s="12" t="n"/>
      <c r="Q2056" s="11" t="n"/>
      <c r="R2056" s="12" t="n"/>
      <c r="S2056" s="11" t="n"/>
      <c r="T2056" s="12" t="n"/>
      <c r="U2056" s="12" t="n"/>
      <c r="V2056" s="14">
        <f>IF($AN2056="",IF($B2056="","",$H2056),IF(INDEX(職員マスタ!$B$6:$B$405,$AN2056)="",$H2056,INDEX(職員マスタ!$B$6:$B$405,$AN2056)))</f>
        <v/>
      </c>
      <c r="W2056" s="14">
        <f>IF($AN2056="",IF($B2056="","",$R2056),IF(INDEX(職員マスタ!$C$6:$C$405,$AN2056)="",$R2056,INDEX(職員マスタ!$C$6:$C$405,$AN2056)))</f>
        <v/>
      </c>
      <c r="X2056" s="14">
        <f>IF($AO2056="","","R"&amp;$C2056&amp;"."&amp;$D2056)</f>
        <v/>
      </c>
      <c r="Y2056" s="15">
        <f>IF($AN2056="","",IF(INDEX(職員マスタ!$K$6:$K$405,$AN2056)="","",INDEX(職員マスタ!$K$6:$K$405,$AN2056)))</f>
        <v/>
      </c>
      <c r="Z2056" s="14">
        <f>IF(OR($E2056="",$Y2056=""),"",IF($E2056&gt;=$Y2056,"×",IF($E2056&gt;=$Y2056*設定!$C$5,"△","○")))</f>
        <v/>
      </c>
      <c r="AA2056" s="15">
        <f>IF($Z2056="","",IF($Z2056="×",0,IF($Z2056="○",ROUNDDOWN($E2056*設定!$C$4,0),ROUNDDOWN($E2056*ROUND((9*$Y2056-9*$E2056)/(10*$E2056),4),0))))</f>
        <v/>
      </c>
      <c r="AB2056" s="13" t="n"/>
      <c r="AC2056" s="15">
        <f>IF($B2056="","",IF($AB2056&lt;&gt;"",$AB2056,IF($AA2056="","",IF($AA2056&lt;=設定!$C$3,0,$AA2056))))</f>
        <v/>
      </c>
      <c r="AD2056" s="14">
        <f>IF($B2056="","",IF(AND($AE2056&lt;&gt;"",$AG2056="",$AJ2056=""),"保留中",IF($AJ2056&lt;&gt;"",IF(N($AC2056)&gt;0,"支給済","不支給"),IF($AC2056="","要確認",IF($AC2056=0,"不支給","未処理")))))</f>
        <v/>
      </c>
      <c r="AE2056" s="12" t="n"/>
      <c r="AF2056" s="11" t="n"/>
      <c r="AG2056" s="11" t="n"/>
      <c r="AH2056" s="11" t="n"/>
      <c r="AI2056" s="14">
        <f>IF(AND($AD2056="保留中",$AF2056&lt;&gt;""),TODAY()-$AF2056,"")</f>
        <v/>
      </c>
      <c r="AJ2056" s="12" t="n"/>
      <c r="AK2056" s="14">
        <f>IF($B2056="","",IF($AO2056="","対象年月が未入力／","")&amp;IF($B2056="","",IF($AN2056="","職員マスタに未登録の職員番号／",IF($Y2056="","標準報酬月額が未登録／","")&amp;IF(AND($AO2056&lt;&gt;"",OR(AND(INDEX(職員マスタ!$G$6:$G$405,$AN2056)&lt;&gt;"",INDEX(職員マスタ!$G$6:$G$405,$AN2056)&gt;EOMONTH($AO2056,0)),AND(INDEX(職員マスタ!$H$6:$H$405,$AN2056)&lt;&gt;"",INDEX(職員マスタ!$H$6:$H$405,$AN2056)&lt;$AO2056))),"対象月が時短期間外／","")&amp;IF(AND(INDEX(職員マスタ!$F$6:$F$405,$AN2056)&lt;&gt;"",$AO2056&lt;&gt;"",INDEX(職員マスタ!$F$6:$F$405,$AN2056)&lt;$AO2056),"対象月に子が2歳到達済／","")&amp;IF(AND($H2056&lt;&gt;"",INDEX(職員マスタ!$B$6:$B$405,$AN2056)&lt;&gt;"",SUBSTITUTE(SUBSTITUTE($H2056," ","")," ","")&lt;&gt;SUBSTITUTE(SUBSTITUTE(INDEX(職員マスタ!$B$6:$B$405,$AN2056)," ","")," ","")),"氏名がマスタと相違／","")&amp;IF(AND($Q2056&lt;&gt;"",INDEX(職員マスタ!$E$6:$E$405,$AN2056)&lt;&gt;"",$Q2056&lt;&gt;INDEX(職員マスタ!$E$6:$E$405,$AN2056)),"子の生年月日がマスタと相違／","")&amp;IF(AND($L2056&lt;&gt;"",INDEX(職員マスタ!$G$6:$G$405,$AN2056)&lt;&gt;"",$L2056&lt;&gt;INDEX(職員マスタ!$G$6:$G$405,$AN2056)),"時短開始日がマスタと相違／","")&amp;IF(AND($M2056&lt;&gt;"",INDEX(職員マスタ!$H$6:$H$405,$AN2056)&lt;&gt;"",$M2056&lt;&gt;INDEX(職員マスタ!$H$6:$H$405,$AN2056)),"時短終了日がマスタと相違／","")))&amp;IF(AND($B2056&lt;&gt;"",$E2056=""),"報酬額が未入力／","")&amp;IF(N($U2056)&gt;0,"申請書に入力エラーが残っています／","")&amp;IF(AND($B2056&lt;&gt;"",$AO2056&lt;&gt;""),IF(COUNTIFS($B$6:$B$3005,$B2056,$C$6:$C$3005,$C2056,$D$6:$D$3005,$D2056)&gt;1,"同じ月の請求が重複しています／",""),"")&amp;IF(AND(N($E2056)&gt;0,$Z2056&lt;&gt;"",$Z2056&lt;&gt;"×",$AC2056=0,$AB2056=""),"計算額が下限以下のため不支給／",""))</f>
        <v/>
      </c>
      <c r="AL2056" s="12" t="n"/>
      <c r="AM2056" s="14">
        <f>IF($AD2056="保留中",COUNTIF($AD$6:$AD2056,"保留中"),"")</f>
        <v/>
      </c>
      <c r="AN2056" s="14">
        <f>IF($AO2056="","",IF(SUMPRODUCT(MAX((職員マスタ!$A$6:$A$405=$B2056)*(((職員マスタ!$G$6:$G$405="")+(職員マスタ!$G$6:$G$405&lt;=EOMONTH($AO2056,0)))&gt;0)*(((職員マスタ!$H$6:$H$405="")+(職員マスタ!$H$6:$H$405&gt;=$AO2056))&gt;0)*(ROW(職員マスタ!$A$6:$A$405)-5)))&gt;0,SUMPRODUCT(MAX((職員マスタ!$A$6:$A$405=$B2056)*(((職員マスタ!$G$6:$G$405="")+(職員マスタ!$G$6:$G$405&lt;=EOMONTH($AO2056,0)))&gt;0)*(((職員マスタ!$H$6:$H$405="")+(職員マスタ!$H$6:$H$405&gt;=$AO2056))&gt;0)*(ROW(職員マスタ!$A$6:$A$405)-5))),IFERROR(MATCH($B2056,職員マスタ!$A$6:$A$405,0),"")))</f>
        <v/>
      </c>
      <c r="AO2056" s="16">
        <f>IF(OR($B2056="",$C2056="",$D2056=""),"",DATE($C2056+2018,$D2056,1))</f>
        <v/>
      </c>
    </row>
    <row r="2057">
      <c r="A2057" s="11" t="n"/>
      <c r="B2057" s="12" t="n"/>
      <c r="C2057" s="12" t="n"/>
      <c r="D2057" s="12" t="n"/>
      <c r="E2057" s="13" t="n"/>
      <c r="F2057" s="12" t="n"/>
      <c r="G2057" s="13" t="n"/>
      <c r="H2057" s="12" t="n"/>
      <c r="I2057" s="12" t="n"/>
      <c r="J2057" s="12" t="n"/>
      <c r="K2057" s="12" t="n"/>
      <c r="L2057" s="11" t="n"/>
      <c r="M2057" s="11" t="n"/>
      <c r="N2057" s="11" t="n"/>
      <c r="O2057" s="11" t="n"/>
      <c r="P2057" s="12" t="n"/>
      <c r="Q2057" s="11" t="n"/>
      <c r="R2057" s="12" t="n"/>
      <c r="S2057" s="11" t="n"/>
      <c r="T2057" s="12" t="n"/>
      <c r="U2057" s="12" t="n"/>
      <c r="V2057" s="14">
        <f>IF($AN2057="",IF($B2057="","",$H2057),IF(INDEX(職員マスタ!$B$6:$B$405,$AN2057)="",$H2057,INDEX(職員マスタ!$B$6:$B$405,$AN2057)))</f>
        <v/>
      </c>
      <c r="W2057" s="14">
        <f>IF($AN2057="",IF($B2057="","",$R2057),IF(INDEX(職員マスタ!$C$6:$C$405,$AN2057)="",$R2057,INDEX(職員マスタ!$C$6:$C$405,$AN2057)))</f>
        <v/>
      </c>
      <c r="X2057" s="14">
        <f>IF($AO2057="","","R"&amp;$C2057&amp;"."&amp;$D2057)</f>
        <v/>
      </c>
      <c r="Y2057" s="15">
        <f>IF($AN2057="","",IF(INDEX(職員マスタ!$K$6:$K$405,$AN2057)="","",INDEX(職員マスタ!$K$6:$K$405,$AN2057)))</f>
        <v/>
      </c>
      <c r="Z2057" s="14">
        <f>IF(OR($E2057="",$Y2057=""),"",IF($E2057&gt;=$Y2057,"×",IF($E2057&gt;=$Y2057*設定!$C$5,"△","○")))</f>
        <v/>
      </c>
      <c r="AA2057" s="15">
        <f>IF($Z2057="","",IF($Z2057="×",0,IF($Z2057="○",ROUNDDOWN($E2057*設定!$C$4,0),ROUNDDOWN($E2057*ROUND((9*$Y2057-9*$E2057)/(10*$E2057),4),0))))</f>
        <v/>
      </c>
      <c r="AB2057" s="13" t="n"/>
      <c r="AC2057" s="15">
        <f>IF($B2057="","",IF($AB2057&lt;&gt;"",$AB2057,IF($AA2057="","",IF($AA2057&lt;=設定!$C$3,0,$AA2057))))</f>
        <v/>
      </c>
      <c r="AD2057" s="14">
        <f>IF($B2057="","",IF(AND($AE2057&lt;&gt;"",$AG2057="",$AJ2057=""),"保留中",IF($AJ2057&lt;&gt;"",IF(N($AC2057)&gt;0,"支給済","不支給"),IF($AC2057="","要確認",IF($AC2057=0,"不支給","未処理")))))</f>
        <v/>
      </c>
      <c r="AE2057" s="12" t="n"/>
      <c r="AF2057" s="11" t="n"/>
      <c r="AG2057" s="11" t="n"/>
      <c r="AH2057" s="11" t="n"/>
      <c r="AI2057" s="14">
        <f>IF(AND($AD2057="保留中",$AF2057&lt;&gt;""),TODAY()-$AF2057,"")</f>
        <v/>
      </c>
      <c r="AJ2057" s="12" t="n"/>
      <c r="AK2057" s="14">
        <f>IF($B2057="","",IF($AO2057="","対象年月が未入力／","")&amp;IF($B2057="","",IF($AN2057="","職員マスタに未登録の職員番号／",IF($Y2057="","標準報酬月額が未登録／","")&amp;IF(AND($AO2057&lt;&gt;"",OR(AND(INDEX(職員マスタ!$G$6:$G$405,$AN2057)&lt;&gt;"",INDEX(職員マスタ!$G$6:$G$405,$AN2057)&gt;EOMONTH($AO2057,0)),AND(INDEX(職員マスタ!$H$6:$H$405,$AN2057)&lt;&gt;"",INDEX(職員マスタ!$H$6:$H$405,$AN2057)&lt;$AO2057))),"対象月が時短期間外／","")&amp;IF(AND(INDEX(職員マスタ!$F$6:$F$405,$AN2057)&lt;&gt;"",$AO2057&lt;&gt;"",INDEX(職員マスタ!$F$6:$F$405,$AN2057)&lt;$AO2057),"対象月に子が2歳到達済／","")&amp;IF(AND($H2057&lt;&gt;"",INDEX(職員マスタ!$B$6:$B$405,$AN2057)&lt;&gt;"",SUBSTITUTE(SUBSTITUTE($H2057," ","")," ","")&lt;&gt;SUBSTITUTE(SUBSTITUTE(INDEX(職員マスタ!$B$6:$B$405,$AN2057)," ","")," ","")),"氏名がマスタと相違／","")&amp;IF(AND($Q2057&lt;&gt;"",INDEX(職員マスタ!$E$6:$E$405,$AN2057)&lt;&gt;"",$Q2057&lt;&gt;INDEX(職員マスタ!$E$6:$E$405,$AN2057)),"子の生年月日がマスタと相違／","")&amp;IF(AND($L2057&lt;&gt;"",INDEX(職員マスタ!$G$6:$G$405,$AN2057)&lt;&gt;"",$L2057&lt;&gt;INDEX(職員マスタ!$G$6:$G$405,$AN2057)),"時短開始日がマスタと相違／","")&amp;IF(AND($M2057&lt;&gt;"",INDEX(職員マスタ!$H$6:$H$405,$AN2057)&lt;&gt;"",$M2057&lt;&gt;INDEX(職員マスタ!$H$6:$H$405,$AN2057)),"時短終了日がマスタと相違／","")))&amp;IF(AND($B2057&lt;&gt;"",$E2057=""),"報酬額が未入力／","")&amp;IF(N($U2057)&gt;0,"申請書に入力エラーが残っています／","")&amp;IF(AND($B2057&lt;&gt;"",$AO2057&lt;&gt;""),IF(COUNTIFS($B$6:$B$3005,$B2057,$C$6:$C$3005,$C2057,$D$6:$D$3005,$D2057)&gt;1,"同じ月の請求が重複しています／",""),"")&amp;IF(AND(N($E2057)&gt;0,$Z2057&lt;&gt;"",$Z2057&lt;&gt;"×",$AC2057=0,$AB2057=""),"計算額が下限以下のため不支給／",""))</f>
        <v/>
      </c>
      <c r="AL2057" s="12" t="n"/>
      <c r="AM2057" s="14">
        <f>IF($AD2057="保留中",COUNTIF($AD$6:$AD2057,"保留中"),"")</f>
        <v/>
      </c>
      <c r="AN2057" s="14">
        <f>IF($AO2057="","",IF(SUMPRODUCT(MAX((職員マスタ!$A$6:$A$405=$B2057)*(((職員マスタ!$G$6:$G$405="")+(職員マスタ!$G$6:$G$405&lt;=EOMONTH($AO2057,0)))&gt;0)*(((職員マスタ!$H$6:$H$405="")+(職員マスタ!$H$6:$H$405&gt;=$AO2057))&gt;0)*(ROW(職員マスタ!$A$6:$A$405)-5)))&gt;0,SUMPRODUCT(MAX((職員マスタ!$A$6:$A$405=$B2057)*(((職員マスタ!$G$6:$G$405="")+(職員マスタ!$G$6:$G$405&lt;=EOMONTH($AO2057,0)))&gt;0)*(((職員マスタ!$H$6:$H$405="")+(職員マスタ!$H$6:$H$405&gt;=$AO2057))&gt;0)*(ROW(職員マスタ!$A$6:$A$405)-5))),IFERROR(MATCH($B2057,職員マスタ!$A$6:$A$405,0),"")))</f>
        <v/>
      </c>
      <c r="AO2057" s="16">
        <f>IF(OR($B2057="",$C2057="",$D2057=""),"",DATE($C2057+2018,$D2057,1))</f>
        <v/>
      </c>
    </row>
    <row r="2058">
      <c r="A2058" s="11" t="n"/>
      <c r="B2058" s="12" t="n"/>
      <c r="C2058" s="12" t="n"/>
      <c r="D2058" s="12" t="n"/>
      <c r="E2058" s="13" t="n"/>
      <c r="F2058" s="12" t="n"/>
      <c r="G2058" s="13" t="n"/>
      <c r="H2058" s="12" t="n"/>
      <c r="I2058" s="12" t="n"/>
      <c r="J2058" s="12" t="n"/>
      <c r="K2058" s="12" t="n"/>
      <c r="L2058" s="11" t="n"/>
      <c r="M2058" s="11" t="n"/>
      <c r="N2058" s="11" t="n"/>
      <c r="O2058" s="11" t="n"/>
      <c r="P2058" s="12" t="n"/>
      <c r="Q2058" s="11" t="n"/>
      <c r="R2058" s="12" t="n"/>
      <c r="S2058" s="11" t="n"/>
      <c r="T2058" s="12" t="n"/>
      <c r="U2058" s="12" t="n"/>
      <c r="V2058" s="14">
        <f>IF($AN2058="",IF($B2058="","",$H2058),IF(INDEX(職員マスタ!$B$6:$B$405,$AN2058)="",$H2058,INDEX(職員マスタ!$B$6:$B$405,$AN2058)))</f>
        <v/>
      </c>
      <c r="W2058" s="14">
        <f>IF($AN2058="",IF($B2058="","",$R2058),IF(INDEX(職員マスタ!$C$6:$C$405,$AN2058)="",$R2058,INDEX(職員マスタ!$C$6:$C$405,$AN2058)))</f>
        <v/>
      </c>
      <c r="X2058" s="14">
        <f>IF($AO2058="","","R"&amp;$C2058&amp;"."&amp;$D2058)</f>
        <v/>
      </c>
      <c r="Y2058" s="15">
        <f>IF($AN2058="","",IF(INDEX(職員マスタ!$K$6:$K$405,$AN2058)="","",INDEX(職員マスタ!$K$6:$K$405,$AN2058)))</f>
        <v/>
      </c>
      <c r="Z2058" s="14">
        <f>IF(OR($E2058="",$Y2058=""),"",IF($E2058&gt;=$Y2058,"×",IF($E2058&gt;=$Y2058*設定!$C$5,"△","○")))</f>
        <v/>
      </c>
      <c r="AA2058" s="15">
        <f>IF($Z2058="","",IF($Z2058="×",0,IF($Z2058="○",ROUNDDOWN($E2058*設定!$C$4,0),ROUNDDOWN($E2058*ROUND((9*$Y2058-9*$E2058)/(10*$E2058),4),0))))</f>
        <v/>
      </c>
      <c r="AB2058" s="13" t="n"/>
      <c r="AC2058" s="15">
        <f>IF($B2058="","",IF($AB2058&lt;&gt;"",$AB2058,IF($AA2058="","",IF($AA2058&lt;=設定!$C$3,0,$AA2058))))</f>
        <v/>
      </c>
      <c r="AD2058" s="14">
        <f>IF($B2058="","",IF(AND($AE2058&lt;&gt;"",$AG2058="",$AJ2058=""),"保留中",IF($AJ2058&lt;&gt;"",IF(N($AC2058)&gt;0,"支給済","不支給"),IF($AC2058="","要確認",IF($AC2058=0,"不支給","未処理")))))</f>
        <v/>
      </c>
      <c r="AE2058" s="12" t="n"/>
      <c r="AF2058" s="11" t="n"/>
      <c r="AG2058" s="11" t="n"/>
      <c r="AH2058" s="11" t="n"/>
      <c r="AI2058" s="14">
        <f>IF(AND($AD2058="保留中",$AF2058&lt;&gt;""),TODAY()-$AF2058,"")</f>
        <v/>
      </c>
      <c r="AJ2058" s="12" t="n"/>
      <c r="AK2058" s="14">
        <f>IF($B2058="","",IF($AO2058="","対象年月が未入力／","")&amp;IF($B2058="","",IF($AN2058="","職員マスタに未登録の職員番号／",IF($Y2058="","標準報酬月額が未登録／","")&amp;IF(AND($AO2058&lt;&gt;"",OR(AND(INDEX(職員マスタ!$G$6:$G$405,$AN2058)&lt;&gt;"",INDEX(職員マスタ!$G$6:$G$405,$AN2058)&gt;EOMONTH($AO2058,0)),AND(INDEX(職員マスタ!$H$6:$H$405,$AN2058)&lt;&gt;"",INDEX(職員マスタ!$H$6:$H$405,$AN2058)&lt;$AO2058))),"対象月が時短期間外／","")&amp;IF(AND(INDEX(職員マスタ!$F$6:$F$405,$AN2058)&lt;&gt;"",$AO2058&lt;&gt;"",INDEX(職員マスタ!$F$6:$F$405,$AN2058)&lt;$AO2058),"対象月に子が2歳到達済／","")&amp;IF(AND($H2058&lt;&gt;"",INDEX(職員マスタ!$B$6:$B$405,$AN2058)&lt;&gt;"",SUBSTITUTE(SUBSTITUTE($H2058," ","")," ","")&lt;&gt;SUBSTITUTE(SUBSTITUTE(INDEX(職員マスタ!$B$6:$B$405,$AN2058)," ","")," ","")),"氏名がマスタと相違／","")&amp;IF(AND($Q2058&lt;&gt;"",INDEX(職員マスタ!$E$6:$E$405,$AN2058)&lt;&gt;"",$Q2058&lt;&gt;INDEX(職員マスタ!$E$6:$E$405,$AN2058)),"子の生年月日がマスタと相違／","")&amp;IF(AND($L2058&lt;&gt;"",INDEX(職員マスタ!$G$6:$G$405,$AN2058)&lt;&gt;"",$L2058&lt;&gt;INDEX(職員マスタ!$G$6:$G$405,$AN2058)),"時短開始日がマスタと相違／","")&amp;IF(AND($M2058&lt;&gt;"",INDEX(職員マスタ!$H$6:$H$405,$AN2058)&lt;&gt;"",$M2058&lt;&gt;INDEX(職員マスタ!$H$6:$H$405,$AN2058)),"時短終了日がマスタと相違／","")))&amp;IF(AND($B2058&lt;&gt;"",$E2058=""),"報酬額が未入力／","")&amp;IF(N($U2058)&gt;0,"申請書に入力エラーが残っています／","")&amp;IF(AND($B2058&lt;&gt;"",$AO2058&lt;&gt;""),IF(COUNTIFS($B$6:$B$3005,$B2058,$C$6:$C$3005,$C2058,$D$6:$D$3005,$D2058)&gt;1,"同じ月の請求が重複しています／",""),"")&amp;IF(AND(N($E2058)&gt;0,$Z2058&lt;&gt;"",$Z2058&lt;&gt;"×",$AC2058=0,$AB2058=""),"計算額が下限以下のため不支給／",""))</f>
        <v/>
      </c>
      <c r="AL2058" s="12" t="n"/>
      <c r="AM2058" s="14">
        <f>IF($AD2058="保留中",COUNTIF($AD$6:$AD2058,"保留中"),"")</f>
        <v/>
      </c>
      <c r="AN2058" s="14">
        <f>IF($AO2058="","",IF(SUMPRODUCT(MAX((職員マスタ!$A$6:$A$405=$B2058)*(((職員マスタ!$G$6:$G$405="")+(職員マスタ!$G$6:$G$405&lt;=EOMONTH($AO2058,0)))&gt;0)*(((職員マスタ!$H$6:$H$405="")+(職員マスタ!$H$6:$H$405&gt;=$AO2058))&gt;0)*(ROW(職員マスタ!$A$6:$A$405)-5)))&gt;0,SUMPRODUCT(MAX((職員マスタ!$A$6:$A$405=$B2058)*(((職員マスタ!$G$6:$G$405="")+(職員マスタ!$G$6:$G$405&lt;=EOMONTH($AO2058,0)))&gt;0)*(((職員マスタ!$H$6:$H$405="")+(職員マスタ!$H$6:$H$405&gt;=$AO2058))&gt;0)*(ROW(職員マスタ!$A$6:$A$405)-5))),IFERROR(MATCH($B2058,職員マスタ!$A$6:$A$405,0),"")))</f>
        <v/>
      </c>
      <c r="AO2058" s="16">
        <f>IF(OR($B2058="",$C2058="",$D2058=""),"",DATE($C2058+2018,$D2058,1))</f>
        <v/>
      </c>
    </row>
    <row r="2059">
      <c r="A2059" s="11" t="n"/>
      <c r="B2059" s="12" t="n"/>
      <c r="C2059" s="12" t="n"/>
      <c r="D2059" s="12" t="n"/>
      <c r="E2059" s="13" t="n"/>
      <c r="F2059" s="12" t="n"/>
      <c r="G2059" s="13" t="n"/>
      <c r="H2059" s="12" t="n"/>
      <c r="I2059" s="12" t="n"/>
      <c r="J2059" s="12" t="n"/>
      <c r="K2059" s="12" t="n"/>
      <c r="L2059" s="11" t="n"/>
      <c r="M2059" s="11" t="n"/>
      <c r="N2059" s="11" t="n"/>
      <c r="O2059" s="11" t="n"/>
      <c r="P2059" s="12" t="n"/>
      <c r="Q2059" s="11" t="n"/>
      <c r="R2059" s="12" t="n"/>
      <c r="S2059" s="11" t="n"/>
      <c r="T2059" s="12" t="n"/>
      <c r="U2059" s="12" t="n"/>
      <c r="V2059" s="14">
        <f>IF($AN2059="",IF($B2059="","",$H2059),IF(INDEX(職員マスタ!$B$6:$B$405,$AN2059)="",$H2059,INDEX(職員マスタ!$B$6:$B$405,$AN2059)))</f>
        <v/>
      </c>
      <c r="W2059" s="14">
        <f>IF($AN2059="",IF($B2059="","",$R2059),IF(INDEX(職員マスタ!$C$6:$C$405,$AN2059)="",$R2059,INDEX(職員マスタ!$C$6:$C$405,$AN2059)))</f>
        <v/>
      </c>
      <c r="X2059" s="14">
        <f>IF($AO2059="","","R"&amp;$C2059&amp;"."&amp;$D2059)</f>
        <v/>
      </c>
      <c r="Y2059" s="15">
        <f>IF($AN2059="","",IF(INDEX(職員マスタ!$K$6:$K$405,$AN2059)="","",INDEX(職員マスタ!$K$6:$K$405,$AN2059)))</f>
        <v/>
      </c>
      <c r="Z2059" s="14">
        <f>IF(OR($E2059="",$Y2059=""),"",IF($E2059&gt;=$Y2059,"×",IF($E2059&gt;=$Y2059*設定!$C$5,"△","○")))</f>
        <v/>
      </c>
      <c r="AA2059" s="15">
        <f>IF($Z2059="","",IF($Z2059="×",0,IF($Z2059="○",ROUNDDOWN($E2059*設定!$C$4,0),ROUNDDOWN($E2059*ROUND((9*$Y2059-9*$E2059)/(10*$E2059),4),0))))</f>
        <v/>
      </c>
      <c r="AB2059" s="13" t="n"/>
      <c r="AC2059" s="15">
        <f>IF($B2059="","",IF($AB2059&lt;&gt;"",$AB2059,IF($AA2059="","",IF($AA2059&lt;=設定!$C$3,0,$AA2059))))</f>
        <v/>
      </c>
      <c r="AD2059" s="14">
        <f>IF($B2059="","",IF(AND($AE2059&lt;&gt;"",$AG2059="",$AJ2059=""),"保留中",IF($AJ2059&lt;&gt;"",IF(N($AC2059)&gt;0,"支給済","不支給"),IF($AC2059="","要確認",IF($AC2059=0,"不支給","未処理")))))</f>
        <v/>
      </c>
      <c r="AE2059" s="12" t="n"/>
      <c r="AF2059" s="11" t="n"/>
      <c r="AG2059" s="11" t="n"/>
      <c r="AH2059" s="11" t="n"/>
      <c r="AI2059" s="14">
        <f>IF(AND($AD2059="保留中",$AF2059&lt;&gt;""),TODAY()-$AF2059,"")</f>
        <v/>
      </c>
      <c r="AJ2059" s="12" t="n"/>
      <c r="AK2059" s="14">
        <f>IF($B2059="","",IF($AO2059="","対象年月が未入力／","")&amp;IF($B2059="","",IF($AN2059="","職員マスタに未登録の職員番号／",IF($Y2059="","標準報酬月額が未登録／","")&amp;IF(AND($AO2059&lt;&gt;"",OR(AND(INDEX(職員マスタ!$G$6:$G$405,$AN2059)&lt;&gt;"",INDEX(職員マスタ!$G$6:$G$405,$AN2059)&gt;EOMONTH($AO2059,0)),AND(INDEX(職員マスタ!$H$6:$H$405,$AN2059)&lt;&gt;"",INDEX(職員マスタ!$H$6:$H$405,$AN2059)&lt;$AO2059))),"対象月が時短期間外／","")&amp;IF(AND(INDEX(職員マスタ!$F$6:$F$405,$AN2059)&lt;&gt;"",$AO2059&lt;&gt;"",INDEX(職員マスタ!$F$6:$F$405,$AN2059)&lt;$AO2059),"対象月に子が2歳到達済／","")&amp;IF(AND($H2059&lt;&gt;"",INDEX(職員マスタ!$B$6:$B$405,$AN2059)&lt;&gt;"",SUBSTITUTE(SUBSTITUTE($H2059," ","")," ","")&lt;&gt;SUBSTITUTE(SUBSTITUTE(INDEX(職員マスタ!$B$6:$B$405,$AN2059)," ","")," ","")),"氏名がマスタと相違／","")&amp;IF(AND($Q2059&lt;&gt;"",INDEX(職員マスタ!$E$6:$E$405,$AN2059)&lt;&gt;"",$Q2059&lt;&gt;INDEX(職員マスタ!$E$6:$E$405,$AN2059)),"子の生年月日がマスタと相違／","")&amp;IF(AND($L2059&lt;&gt;"",INDEX(職員マスタ!$G$6:$G$405,$AN2059)&lt;&gt;"",$L2059&lt;&gt;INDEX(職員マスタ!$G$6:$G$405,$AN2059)),"時短開始日がマスタと相違／","")&amp;IF(AND($M2059&lt;&gt;"",INDEX(職員マスタ!$H$6:$H$405,$AN2059)&lt;&gt;"",$M2059&lt;&gt;INDEX(職員マスタ!$H$6:$H$405,$AN2059)),"時短終了日がマスタと相違／","")))&amp;IF(AND($B2059&lt;&gt;"",$E2059=""),"報酬額が未入力／","")&amp;IF(N($U2059)&gt;0,"申請書に入力エラーが残っています／","")&amp;IF(AND($B2059&lt;&gt;"",$AO2059&lt;&gt;""),IF(COUNTIFS($B$6:$B$3005,$B2059,$C$6:$C$3005,$C2059,$D$6:$D$3005,$D2059)&gt;1,"同じ月の請求が重複しています／",""),"")&amp;IF(AND(N($E2059)&gt;0,$Z2059&lt;&gt;"",$Z2059&lt;&gt;"×",$AC2059=0,$AB2059=""),"計算額が下限以下のため不支給／",""))</f>
        <v/>
      </c>
      <c r="AL2059" s="12" t="n"/>
      <c r="AM2059" s="14">
        <f>IF($AD2059="保留中",COUNTIF($AD$6:$AD2059,"保留中"),"")</f>
        <v/>
      </c>
      <c r="AN2059" s="14">
        <f>IF($AO2059="","",IF(SUMPRODUCT(MAX((職員マスタ!$A$6:$A$405=$B2059)*(((職員マスタ!$G$6:$G$405="")+(職員マスタ!$G$6:$G$405&lt;=EOMONTH($AO2059,0)))&gt;0)*(((職員マスタ!$H$6:$H$405="")+(職員マスタ!$H$6:$H$405&gt;=$AO2059))&gt;0)*(ROW(職員マスタ!$A$6:$A$405)-5)))&gt;0,SUMPRODUCT(MAX((職員マスタ!$A$6:$A$405=$B2059)*(((職員マスタ!$G$6:$G$405="")+(職員マスタ!$G$6:$G$405&lt;=EOMONTH($AO2059,0)))&gt;0)*(((職員マスタ!$H$6:$H$405="")+(職員マスタ!$H$6:$H$405&gt;=$AO2059))&gt;0)*(ROW(職員マスタ!$A$6:$A$405)-5))),IFERROR(MATCH($B2059,職員マスタ!$A$6:$A$405,0),"")))</f>
        <v/>
      </c>
      <c r="AO2059" s="16">
        <f>IF(OR($B2059="",$C2059="",$D2059=""),"",DATE($C2059+2018,$D2059,1))</f>
        <v/>
      </c>
    </row>
    <row r="2060">
      <c r="A2060" s="11" t="n"/>
      <c r="B2060" s="12" t="n"/>
      <c r="C2060" s="12" t="n"/>
      <c r="D2060" s="12" t="n"/>
      <c r="E2060" s="13" t="n"/>
      <c r="F2060" s="12" t="n"/>
      <c r="G2060" s="13" t="n"/>
      <c r="H2060" s="12" t="n"/>
      <c r="I2060" s="12" t="n"/>
      <c r="J2060" s="12" t="n"/>
      <c r="K2060" s="12" t="n"/>
      <c r="L2060" s="11" t="n"/>
      <c r="M2060" s="11" t="n"/>
      <c r="N2060" s="11" t="n"/>
      <c r="O2060" s="11" t="n"/>
      <c r="P2060" s="12" t="n"/>
      <c r="Q2060" s="11" t="n"/>
      <c r="R2060" s="12" t="n"/>
      <c r="S2060" s="11" t="n"/>
      <c r="T2060" s="12" t="n"/>
      <c r="U2060" s="12" t="n"/>
      <c r="V2060" s="14">
        <f>IF($AN2060="",IF($B2060="","",$H2060),IF(INDEX(職員マスタ!$B$6:$B$405,$AN2060)="",$H2060,INDEX(職員マスタ!$B$6:$B$405,$AN2060)))</f>
        <v/>
      </c>
      <c r="W2060" s="14">
        <f>IF($AN2060="",IF($B2060="","",$R2060),IF(INDEX(職員マスタ!$C$6:$C$405,$AN2060)="",$R2060,INDEX(職員マスタ!$C$6:$C$405,$AN2060)))</f>
        <v/>
      </c>
      <c r="X2060" s="14">
        <f>IF($AO2060="","","R"&amp;$C2060&amp;"."&amp;$D2060)</f>
        <v/>
      </c>
      <c r="Y2060" s="15">
        <f>IF($AN2060="","",IF(INDEX(職員マスタ!$K$6:$K$405,$AN2060)="","",INDEX(職員マスタ!$K$6:$K$405,$AN2060)))</f>
        <v/>
      </c>
      <c r="Z2060" s="14">
        <f>IF(OR($E2060="",$Y2060=""),"",IF($E2060&gt;=$Y2060,"×",IF($E2060&gt;=$Y2060*設定!$C$5,"△","○")))</f>
        <v/>
      </c>
      <c r="AA2060" s="15">
        <f>IF($Z2060="","",IF($Z2060="×",0,IF($Z2060="○",ROUNDDOWN($E2060*設定!$C$4,0),ROUNDDOWN($E2060*ROUND((9*$Y2060-9*$E2060)/(10*$E2060),4),0))))</f>
        <v/>
      </c>
      <c r="AB2060" s="13" t="n"/>
      <c r="AC2060" s="15">
        <f>IF($B2060="","",IF($AB2060&lt;&gt;"",$AB2060,IF($AA2060="","",IF($AA2060&lt;=設定!$C$3,0,$AA2060))))</f>
        <v/>
      </c>
      <c r="AD2060" s="14">
        <f>IF($B2060="","",IF(AND($AE2060&lt;&gt;"",$AG2060="",$AJ2060=""),"保留中",IF($AJ2060&lt;&gt;"",IF(N($AC2060)&gt;0,"支給済","不支給"),IF($AC2060="","要確認",IF($AC2060=0,"不支給","未処理")))))</f>
        <v/>
      </c>
      <c r="AE2060" s="12" t="n"/>
      <c r="AF2060" s="11" t="n"/>
      <c r="AG2060" s="11" t="n"/>
      <c r="AH2060" s="11" t="n"/>
      <c r="AI2060" s="14">
        <f>IF(AND($AD2060="保留中",$AF2060&lt;&gt;""),TODAY()-$AF2060,"")</f>
        <v/>
      </c>
      <c r="AJ2060" s="12" t="n"/>
      <c r="AK2060" s="14">
        <f>IF($B2060="","",IF($AO2060="","対象年月が未入力／","")&amp;IF($B2060="","",IF($AN2060="","職員マスタに未登録の職員番号／",IF($Y2060="","標準報酬月額が未登録／","")&amp;IF(AND($AO2060&lt;&gt;"",OR(AND(INDEX(職員マスタ!$G$6:$G$405,$AN2060)&lt;&gt;"",INDEX(職員マスタ!$G$6:$G$405,$AN2060)&gt;EOMONTH($AO2060,0)),AND(INDEX(職員マスタ!$H$6:$H$405,$AN2060)&lt;&gt;"",INDEX(職員マスタ!$H$6:$H$405,$AN2060)&lt;$AO2060))),"対象月が時短期間外／","")&amp;IF(AND(INDEX(職員マスタ!$F$6:$F$405,$AN2060)&lt;&gt;"",$AO2060&lt;&gt;"",INDEX(職員マスタ!$F$6:$F$405,$AN2060)&lt;$AO2060),"対象月に子が2歳到達済／","")&amp;IF(AND($H2060&lt;&gt;"",INDEX(職員マスタ!$B$6:$B$405,$AN2060)&lt;&gt;"",SUBSTITUTE(SUBSTITUTE($H2060," ","")," ","")&lt;&gt;SUBSTITUTE(SUBSTITUTE(INDEX(職員マスタ!$B$6:$B$405,$AN2060)," ","")," ","")),"氏名がマスタと相違／","")&amp;IF(AND($Q2060&lt;&gt;"",INDEX(職員マスタ!$E$6:$E$405,$AN2060)&lt;&gt;"",$Q2060&lt;&gt;INDEX(職員マスタ!$E$6:$E$405,$AN2060)),"子の生年月日がマスタと相違／","")&amp;IF(AND($L2060&lt;&gt;"",INDEX(職員マスタ!$G$6:$G$405,$AN2060)&lt;&gt;"",$L2060&lt;&gt;INDEX(職員マスタ!$G$6:$G$405,$AN2060)),"時短開始日がマスタと相違／","")&amp;IF(AND($M2060&lt;&gt;"",INDEX(職員マスタ!$H$6:$H$405,$AN2060)&lt;&gt;"",$M2060&lt;&gt;INDEX(職員マスタ!$H$6:$H$405,$AN2060)),"時短終了日がマスタと相違／","")))&amp;IF(AND($B2060&lt;&gt;"",$E2060=""),"報酬額が未入力／","")&amp;IF(N($U2060)&gt;0,"申請書に入力エラーが残っています／","")&amp;IF(AND($B2060&lt;&gt;"",$AO2060&lt;&gt;""),IF(COUNTIFS($B$6:$B$3005,$B2060,$C$6:$C$3005,$C2060,$D$6:$D$3005,$D2060)&gt;1,"同じ月の請求が重複しています／",""),"")&amp;IF(AND(N($E2060)&gt;0,$Z2060&lt;&gt;"",$Z2060&lt;&gt;"×",$AC2060=0,$AB2060=""),"計算額が下限以下のため不支給／",""))</f>
        <v/>
      </c>
      <c r="AL2060" s="12" t="n"/>
      <c r="AM2060" s="14">
        <f>IF($AD2060="保留中",COUNTIF($AD$6:$AD2060,"保留中"),"")</f>
        <v/>
      </c>
      <c r="AN2060" s="14">
        <f>IF($AO2060="","",IF(SUMPRODUCT(MAX((職員マスタ!$A$6:$A$405=$B2060)*(((職員マスタ!$G$6:$G$405="")+(職員マスタ!$G$6:$G$405&lt;=EOMONTH($AO2060,0)))&gt;0)*(((職員マスタ!$H$6:$H$405="")+(職員マスタ!$H$6:$H$405&gt;=$AO2060))&gt;0)*(ROW(職員マスタ!$A$6:$A$405)-5)))&gt;0,SUMPRODUCT(MAX((職員マスタ!$A$6:$A$405=$B2060)*(((職員マスタ!$G$6:$G$405="")+(職員マスタ!$G$6:$G$405&lt;=EOMONTH($AO2060,0)))&gt;0)*(((職員マスタ!$H$6:$H$405="")+(職員マスタ!$H$6:$H$405&gt;=$AO2060))&gt;0)*(ROW(職員マスタ!$A$6:$A$405)-5))),IFERROR(MATCH($B2060,職員マスタ!$A$6:$A$405,0),"")))</f>
        <v/>
      </c>
      <c r="AO2060" s="16">
        <f>IF(OR($B2060="",$C2060="",$D2060=""),"",DATE($C2060+2018,$D2060,1))</f>
        <v/>
      </c>
    </row>
    <row r="2061">
      <c r="A2061" s="11" t="n"/>
      <c r="B2061" s="12" t="n"/>
      <c r="C2061" s="12" t="n"/>
      <c r="D2061" s="12" t="n"/>
      <c r="E2061" s="13" t="n"/>
      <c r="F2061" s="12" t="n"/>
      <c r="G2061" s="13" t="n"/>
      <c r="H2061" s="12" t="n"/>
      <c r="I2061" s="12" t="n"/>
      <c r="J2061" s="12" t="n"/>
      <c r="K2061" s="12" t="n"/>
      <c r="L2061" s="11" t="n"/>
      <c r="M2061" s="11" t="n"/>
      <c r="N2061" s="11" t="n"/>
      <c r="O2061" s="11" t="n"/>
      <c r="P2061" s="12" t="n"/>
      <c r="Q2061" s="11" t="n"/>
      <c r="R2061" s="12" t="n"/>
      <c r="S2061" s="11" t="n"/>
      <c r="T2061" s="12" t="n"/>
      <c r="U2061" s="12" t="n"/>
      <c r="V2061" s="14">
        <f>IF($AN2061="",IF($B2061="","",$H2061),IF(INDEX(職員マスタ!$B$6:$B$405,$AN2061)="",$H2061,INDEX(職員マスタ!$B$6:$B$405,$AN2061)))</f>
        <v/>
      </c>
      <c r="W2061" s="14">
        <f>IF($AN2061="",IF($B2061="","",$R2061),IF(INDEX(職員マスタ!$C$6:$C$405,$AN2061)="",$R2061,INDEX(職員マスタ!$C$6:$C$405,$AN2061)))</f>
        <v/>
      </c>
      <c r="X2061" s="14">
        <f>IF($AO2061="","","R"&amp;$C2061&amp;"."&amp;$D2061)</f>
        <v/>
      </c>
      <c r="Y2061" s="15">
        <f>IF($AN2061="","",IF(INDEX(職員マスタ!$K$6:$K$405,$AN2061)="","",INDEX(職員マスタ!$K$6:$K$405,$AN2061)))</f>
        <v/>
      </c>
      <c r="Z2061" s="14">
        <f>IF(OR($E2061="",$Y2061=""),"",IF($E2061&gt;=$Y2061,"×",IF($E2061&gt;=$Y2061*設定!$C$5,"△","○")))</f>
        <v/>
      </c>
      <c r="AA2061" s="15">
        <f>IF($Z2061="","",IF($Z2061="×",0,IF($Z2061="○",ROUNDDOWN($E2061*設定!$C$4,0),ROUNDDOWN($E2061*ROUND((9*$Y2061-9*$E2061)/(10*$E2061),4),0))))</f>
        <v/>
      </c>
      <c r="AB2061" s="13" t="n"/>
      <c r="AC2061" s="15">
        <f>IF($B2061="","",IF($AB2061&lt;&gt;"",$AB2061,IF($AA2061="","",IF($AA2061&lt;=設定!$C$3,0,$AA2061))))</f>
        <v/>
      </c>
      <c r="AD2061" s="14">
        <f>IF($B2061="","",IF(AND($AE2061&lt;&gt;"",$AG2061="",$AJ2061=""),"保留中",IF($AJ2061&lt;&gt;"",IF(N($AC2061)&gt;0,"支給済","不支給"),IF($AC2061="","要確認",IF($AC2061=0,"不支給","未処理")))))</f>
        <v/>
      </c>
      <c r="AE2061" s="12" t="n"/>
      <c r="AF2061" s="11" t="n"/>
      <c r="AG2061" s="11" t="n"/>
      <c r="AH2061" s="11" t="n"/>
      <c r="AI2061" s="14">
        <f>IF(AND($AD2061="保留中",$AF2061&lt;&gt;""),TODAY()-$AF2061,"")</f>
        <v/>
      </c>
      <c r="AJ2061" s="12" t="n"/>
      <c r="AK2061" s="14">
        <f>IF($B2061="","",IF($AO2061="","対象年月が未入力／","")&amp;IF($B2061="","",IF($AN2061="","職員マスタに未登録の職員番号／",IF($Y2061="","標準報酬月額が未登録／","")&amp;IF(AND($AO2061&lt;&gt;"",OR(AND(INDEX(職員マスタ!$G$6:$G$405,$AN2061)&lt;&gt;"",INDEX(職員マスタ!$G$6:$G$405,$AN2061)&gt;EOMONTH($AO2061,0)),AND(INDEX(職員マスタ!$H$6:$H$405,$AN2061)&lt;&gt;"",INDEX(職員マスタ!$H$6:$H$405,$AN2061)&lt;$AO2061))),"対象月が時短期間外／","")&amp;IF(AND(INDEX(職員マスタ!$F$6:$F$405,$AN2061)&lt;&gt;"",$AO2061&lt;&gt;"",INDEX(職員マスタ!$F$6:$F$405,$AN2061)&lt;$AO2061),"対象月に子が2歳到達済／","")&amp;IF(AND($H2061&lt;&gt;"",INDEX(職員マスタ!$B$6:$B$405,$AN2061)&lt;&gt;"",SUBSTITUTE(SUBSTITUTE($H2061," ","")," ","")&lt;&gt;SUBSTITUTE(SUBSTITUTE(INDEX(職員マスタ!$B$6:$B$405,$AN2061)," ","")," ","")),"氏名がマスタと相違／","")&amp;IF(AND($Q2061&lt;&gt;"",INDEX(職員マスタ!$E$6:$E$405,$AN2061)&lt;&gt;"",$Q2061&lt;&gt;INDEX(職員マスタ!$E$6:$E$405,$AN2061)),"子の生年月日がマスタと相違／","")&amp;IF(AND($L2061&lt;&gt;"",INDEX(職員マスタ!$G$6:$G$405,$AN2061)&lt;&gt;"",$L2061&lt;&gt;INDEX(職員マスタ!$G$6:$G$405,$AN2061)),"時短開始日がマスタと相違／","")&amp;IF(AND($M2061&lt;&gt;"",INDEX(職員マスタ!$H$6:$H$405,$AN2061)&lt;&gt;"",$M2061&lt;&gt;INDEX(職員マスタ!$H$6:$H$405,$AN2061)),"時短終了日がマスタと相違／","")))&amp;IF(AND($B2061&lt;&gt;"",$E2061=""),"報酬額が未入力／","")&amp;IF(N($U2061)&gt;0,"申請書に入力エラーが残っています／","")&amp;IF(AND($B2061&lt;&gt;"",$AO2061&lt;&gt;""),IF(COUNTIFS($B$6:$B$3005,$B2061,$C$6:$C$3005,$C2061,$D$6:$D$3005,$D2061)&gt;1,"同じ月の請求が重複しています／",""),"")&amp;IF(AND(N($E2061)&gt;0,$Z2061&lt;&gt;"",$Z2061&lt;&gt;"×",$AC2061=0,$AB2061=""),"計算額が下限以下のため不支給／",""))</f>
        <v/>
      </c>
      <c r="AL2061" s="12" t="n"/>
      <c r="AM2061" s="14">
        <f>IF($AD2061="保留中",COUNTIF($AD$6:$AD2061,"保留中"),"")</f>
        <v/>
      </c>
      <c r="AN2061" s="14">
        <f>IF($AO2061="","",IF(SUMPRODUCT(MAX((職員マスタ!$A$6:$A$405=$B2061)*(((職員マスタ!$G$6:$G$405="")+(職員マスタ!$G$6:$G$405&lt;=EOMONTH($AO2061,0)))&gt;0)*(((職員マスタ!$H$6:$H$405="")+(職員マスタ!$H$6:$H$405&gt;=$AO2061))&gt;0)*(ROW(職員マスタ!$A$6:$A$405)-5)))&gt;0,SUMPRODUCT(MAX((職員マスタ!$A$6:$A$405=$B2061)*(((職員マスタ!$G$6:$G$405="")+(職員マスタ!$G$6:$G$405&lt;=EOMONTH($AO2061,0)))&gt;0)*(((職員マスタ!$H$6:$H$405="")+(職員マスタ!$H$6:$H$405&gt;=$AO2061))&gt;0)*(ROW(職員マスタ!$A$6:$A$405)-5))),IFERROR(MATCH($B2061,職員マスタ!$A$6:$A$405,0),"")))</f>
        <v/>
      </c>
      <c r="AO2061" s="16">
        <f>IF(OR($B2061="",$C2061="",$D2061=""),"",DATE($C2061+2018,$D2061,1))</f>
        <v/>
      </c>
    </row>
    <row r="2062">
      <c r="A2062" s="11" t="n"/>
      <c r="B2062" s="12" t="n"/>
      <c r="C2062" s="12" t="n"/>
      <c r="D2062" s="12" t="n"/>
      <c r="E2062" s="13" t="n"/>
      <c r="F2062" s="12" t="n"/>
      <c r="G2062" s="13" t="n"/>
      <c r="H2062" s="12" t="n"/>
      <c r="I2062" s="12" t="n"/>
      <c r="J2062" s="12" t="n"/>
      <c r="K2062" s="12" t="n"/>
      <c r="L2062" s="11" t="n"/>
      <c r="M2062" s="11" t="n"/>
      <c r="N2062" s="11" t="n"/>
      <c r="O2062" s="11" t="n"/>
      <c r="P2062" s="12" t="n"/>
      <c r="Q2062" s="11" t="n"/>
      <c r="R2062" s="12" t="n"/>
      <c r="S2062" s="11" t="n"/>
      <c r="T2062" s="12" t="n"/>
      <c r="U2062" s="12" t="n"/>
      <c r="V2062" s="14">
        <f>IF($AN2062="",IF($B2062="","",$H2062),IF(INDEX(職員マスタ!$B$6:$B$405,$AN2062)="",$H2062,INDEX(職員マスタ!$B$6:$B$405,$AN2062)))</f>
        <v/>
      </c>
      <c r="W2062" s="14">
        <f>IF($AN2062="",IF($B2062="","",$R2062),IF(INDEX(職員マスタ!$C$6:$C$405,$AN2062)="",$R2062,INDEX(職員マスタ!$C$6:$C$405,$AN2062)))</f>
        <v/>
      </c>
      <c r="X2062" s="14">
        <f>IF($AO2062="","","R"&amp;$C2062&amp;"."&amp;$D2062)</f>
        <v/>
      </c>
      <c r="Y2062" s="15">
        <f>IF($AN2062="","",IF(INDEX(職員マスタ!$K$6:$K$405,$AN2062)="","",INDEX(職員マスタ!$K$6:$K$405,$AN2062)))</f>
        <v/>
      </c>
      <c r="Z2062" s="14">
        <f>IF(OR($E2062="",$Y2062=""),"",IF($E2062&gt;=$Y2062,"×",IF($E2062&gt;=$Y2062*設定!$C$5,"△","○")))</f>
        <v/>
      </c>
      <c r="AA2062" s="15">
        <f>IF($Z2062="","",IF($Z2062="×",0,IF($Z2062="○",ROUNDDOWN($E2062*設定!$C$4,0),ROUNDDOWN($E2062*ROUND((9*$Y2062-9*$E2062)/(10*$E2062),4),0))))</f>
        <v/>
      </c>
      <c r="AB2062" s="13" t="n"/>
      <c r="AC2062" s="15">
        <f>IF($B2062="","",IF($AB2062&lt;&gt;"",$AB2062,IF($AA2062="","",IF($AA2062&lt;=設定!$C$3,0,$AA2062))))</f>
        <v/>
      </c>
      <c r="AD2062" s="14">
        <f>IF($B2062="","",IF(AND($AE2062&lt;&gt;"",$AG2062="",$AJ2062=""),"保留中",IF($AJ2062&lt;&gt;"",IF(N($AC2062)&gt;0,"支給済","不支給"),IF($AC2062="","要確認",IF($AC2062=0,"不支給","未処理")))))</f>
        <v/>
      </c>
      <c r="AE2062" s="12" t="n"/>
      <c r="AF2062" s="11" t="n"/>
      <c r="AG2062" s="11" t="n"/>
      <c r="AH2062" s="11" t="n"/>
      <c r="AI2062" s="14">
        <f>IF(AND($AD2062="保留中",$AF2062&lt;&gt;""),TODAY()-$AF2062,"")</f>
        <v/>
      </c>
      <c r="AJ2062" s="12" t="n"/>
      <c r="AK2062" s="14">
        <f>IF($B2062="","",IF($AO2062="","対象年月が未入力／","")&amp;IF($B2062="","",IF($AN2062="","職員マスタに未登録の職員番号／",IF($Y2062="","標準報酬月額が未登録／","")&amp;IF(AND($AO2062&lt;&gt;"",OR(AND(INDEX(職員マスタ!$G$6:$G$405,$AN2062)&lt;&gt;"",INDEX(職員マスタ!$G$6:$G$405,$AN2062)&gt;EOMONTH($AO2062,0)),AND(INDEX(職員マスタ!$H$6:$H$405,$AN2062)&lt;&gt;"",INDEX(職員マスタ!$H$6:$H$405,$AN2062)&lt;$AO2062))),"対象月が時短期間外／","")&amp;IF(AND(INDEX(職員マスタ!$F$6:$F$405,$AN2062)&lt;&gt;"",$AO2062&lt;&gt;"",INDEX(職員マスタ!$F$6:$F$405,$AN2062)&lt;$AO2062),"対象月に子が2歳到達済／","")&amp;IF(AND($H2062&lt;&gt;"",INDEX(職員マスタ!$B$6:$B$405,$AN2062)&lt;&gt;"",SUBSTITUTE(SUBSTITUTE($H2062," ","")," ","")&lt;&gt;SUBSTITUTE(SUBSTITUTE(INDEX(職員マスタ!$B$6:$B$405,$AN2062)," ","")," ","")),"氏名がマスタと相違／","")&amp;IF(AND($Q2062&lt;&gt;"",INDEX(職員マスタ!$E$6:$E$405,$AN2062)&lt;&gt;"",$Q2062&lt;&gt;INDEX(職員マスタ!$E$6:$E$405,$AN2062)),"子の生年月日がマスタと相違／","")&amp;IF(AND($L2062&lt;&gt;"",INDEX(職員マスタ!$G$6:$G$405,$AN2062)&lt;&gt;"",$L2062&lt;&gt;INDEX(職員マスタ!$G$6:$G$405,$AN2062)),"時短開始日がマスタと相違／","")&amp;IF(AND($M2062&lt;&gt;"",INDEX(職員マスタ!$H$6:$H$405,$AN2062)&lt;&gt;"",$M2062&lt;&gt;INDEX(職員マスタ!$H$6:$H$405,$AN2062)),"時短終了日がマスタと相違／","")))&amp;IF(AND($B2062&lt;&gt;"",$E2062=""),"報酬額が未入力／","")&amp;IF(N($U2062)&gt;0,"申請書に入力エラーが残っています／","")&amp;IF(AND($B2062&lt;&gt;"",$AO2062&lt;&gt;""),IF(COUNTIFS($B$6:$B$3005,$B2062,$C$6:$C$3005,$C2062,$D$6:$D$3005,$D2062)&gt;1,"同じ月の請求が重複しています／",""),"")&amp;IF(AND(N($E2062)&gt;0,$Z2062&lt;&gt;"",$Z2062&lt;&gt;"×",$AC2062=0,$AB2062=""),"計算額が下限以下のため不支給／",""))</f>
        <v/>
      </c>
      <c r="AL2062" s="12" t="n"/>
      <c r="AM2062" s="14">
        <f>IF($AD2062="保留中",COUNTIF($AD$6:$AD2062,"保留中"),"")</f>
        <v/>
      </c>
      <c r="AN2062" s="14">
        <f>IF($AO2062="","",IF(SUMPRODUCT(MAX((職員マスタ!$A$6:$A$405=$B2062)*(((職員マスタ!$G$6:$G$405="")+(職員マスタ!$G$6:$G$405&lt;=EOMONTH($AO2062,0)))&gt;0)*(((職員マスタ!$H$6:$H$405="")+(職員マスタ!$H$6:$H$405&gt;=$AO2062))&gt;0)*(ROW(職員マスタ!$A$6:$A$405)-5)))&gt;0,SUMPRODUCT(MAX((職員マスタ!$A$6:$A$405=$B2062)*(((職員マスタ!$G$6:$G$405="")+(職員マスタ!$G$6:$G$405&lt;=EOMONTH($AO2062,0)))&gt;0)*(((職員マスタ!$H$6:$H$405="")+(職員マスタ!$H$6:$H$405&gt;=$AO2062))&gt;0)*(ROW(職員マスタ!$A$6:$A$405)-5))),IFERROR(MATCH($B2062,職員マスタ!$A$6:$A$405,0),"")))</f>
        <v/>
      </c>
      <c r="AO2062" s="16">
        <f>IF(OR($B2062="",$C2062="",$D2062=""),"",DATE($C2062+2018,$D2062,1))</f>
        <v/>
      </c>
    </row>
    <row r="2063">
      <c r="A2063" s="11" t="n"/>
      <c r="B2063" s="12" t="n"/>
      <c r="C2063" s="12" t="n"/>
      <c r="D2063" s="12" t="n"/>
      <c r="E2063" s="13" t="n"/>
      <c r="F2063" s="12" t="n"/>
      <c r="G2063" s="13" t="n"/>
      <c r="H2063" s="12" t="n"/>
      <c r="I2063" s="12" t="n"/>
      <c r="J2063" s="12" t="n"/>
      <c r="K2063" s="12" t="n"/>
      <c r="L2063" s="11" t="n"/>
      <c r="M2063" s="11" t="n"/>
      <c r="N2063" s="11" t="n"/>
      <c r="O2063" s="11" t="n"/>
      <c r="P2063" s="12" t="n"/>
      <c r="Q2063" s="11" t="n"/>
      <c r="R2063" s="12" t="n"/>
      <c r="S2063" s="11" t="n"/>
      <c r="T2063" s="12" t="n"/>
      <c r="U2063" s="12" t="n"/>
      <c r="V2063" s="14">
        <f>IF($AN2063="",IF($B2063="","",$H2063),IF(INDEX(職員マスタ!$B$6:$B$405,$AN2063)="",$H2063,INDEX(職員マスタ!$B$6:$B$405,$AN2063)))</f>
        <v/>
      </c>
      <c r="W2063" s="14">
        <f>IF($AN2063="",IF($B2063="","",$R2063),IF(INDEX(職員マスタ!$C$6:$C$405,$AN2063)="",$R2063,INDEX(職員マスタ!$C$6:$C$405,$AN2063)))</f>
        <v/>
      </c>
      <c r="X2063" s="14">
        <f>IF($AO2063="","","R"&amp;$C2063&amp;"."&amp;$D2063)</f>
        <v/>
      </c>
      <c r="Y2063" s="15">
        <f>IF($AN2063="","",IF(INDEX(職員マスタ!$K$6:$K$405,$AN2063)="","",INDEX(職員マスタ!$K$6:$K$405,$AN2063)))</f>
        <v/>
      </c>
      <c r="Z2063" s="14">
        <f>IF(OR($E2063="",$Y2063=""),"",IF($E2063&gt;=$Y2063,"×",IF($E2063&gt;=$Y2063*設定!$C$5,"△","○")))</f>
        <v/>
      </c>
      <c r="AA2063" s="15">
        <f>IF($Z2063="","",IF($Z2063="×",0,IF($Z2063="○",ROUNDDOWN($E2063*設定!$C$4,0),ROUNDDOWN($E2063*ROUND((9*$Y2063-9*$E2063)/(10*$E2063),4),0))))</f>
        <v/>
      </c>
      <c r="AB2063" s="13" t="n"/>
      <c r="AC2063" s="15">
        <f>IF($B2063="","",IF($AB2063&lt;&gt;"",$AB2063,IF($AA2063="","",IF($AA2063&lt;=設定!$C$3,0,$AA2063))))</f>
        <v/>
      </c>
      <c r="AD2063" s="14">
        <f>IF($B2063="","",IF(AND($AE2063&lt;&gt;"",$AG2063="",$AJ2063=""),"保留中",IF($AJ2063&lt;&gt;"",IF(N($AC2063)&gt;0,"支給済","不支給"),IF($AC2063="","要確認",IF($AC2063=0,"不支給","未処理")))))</f>
        <v/>
      </c>
      <c r="AE2063" s="12" t="n"/>
      <c r="AF2063" s="11" t="n"/>
      <c r="AG2063" s="11" t="n"/>
      <c r="AH2063" s="11" t="n"/>
      <c r="AI2063" s="14">
        <f>IF(AND($AD2063="保留中",$AF2063&lt;&gt;""),TODAY()-$AF2063,"")</f>
        <v/>
      </c>
      <c r="AJ2063" s="12" t="n"/>
      <c r="AK2063" s="14">
        <f>IF($B2063="","",IF($AO2063="","対象年月が未入力／","")&amp;IF($B2063="","",IF($AN2063="","職員マスタに未登録の職員番号／",IF($Y2063="","標準報酬月額が未登録／","")&amp;IF(AND($AO2063&lt;&gt;"",OR(AND(INDEX(職員マスタ!$G$6:$G$405,$AN2063)&lt;&gt;"",INDEX(職員マスタ!$G$6:$G$405,$AN2063)&gt;EOMONTH($AO2063,0)),AND(INDEX(職員マスタ!$H$6:$H$405,$AN2063)&lt;&gt;"",INDEX(職員マスタ!$H$6:$H$405,$AN2063)&lt;$AO2063))),"対象月が時短期間外／","")&amp;IF(AND(INDEX(職員マスタ!$F$6:$F$405,$AN2063)&lt;&gt;"",$AO2063&lt;&gt;"",INDEX(職員マスタ!$F$6:$F$405,$AN2063)&lt;$AO2063),"対象月に子が2歳到達済／","")&amp;IF(AND($H2063&lt;&gt;"",INDEX(職員マスタ!$B$6:$B$405,$AN2063)&lt;&gt;"",SUBSTITUTE(SUBSTITUTE($H2063," ","")," ","")&lt;&gt;SUBSTITUTE(SUBSTITUTE(INDEX(職員マスタ!$B$6:$B$405,$AN2063)," ","")," ","")),"氏名がマスタと相違／","")&amp;IF(AND($Q2063&lt;&gt;"",INDEX(職員マスタ!$E$6:$E$405,$AN2063)&lt;&gt;"",$Q2063&lt;&gt;INDEX(職員マスタ!$E$6:$E$405,$AN2063)),"子の生年月日がマスタと相違／","")&amp;IF(AND($L2063&lt;&gt;"",INDEX(職員マスタ!$G$6:$G$405,$AN2063)&lt;&gt;"",$L2063&lt;&gt;INDEX(職員マスタ!$G$6:$G$405,$AN2063)),"時短開始日がマスタと相違／","")&amp;IF(AND($M2063&lt;&gt;"",INDEX(職員マスタ!$H$6:$H$405,$AN2063)&lt;&gt;"",$M2063&lt;&gt;INDEX(職員マスタ!$H$6:$H$405,$AN2063)),"時短終了日がマスタと相違／","")))&amp;IF(AND($B2063&lt;&gt;"",$E2063=""),"報酬額が未入力／","")&amp;IF(N($U2063)&gt;0,"申請書に入力エラーが残っています／","")&amp;IF(AND($B2063&lt;&gt;"",$AO2063&lt;&gt;""),IF(COUNTIFS($B$6:$B$3005,$B2063,$C$6:$C$3005,$C2063,$D$6:$D$3005,$D2063)&gt;1,"同じ月の請求が重複しています／",""),"")&amp;IF(AND(N($E2063)&gt;0,$Z2063&lt;&gt;"",$Z2063&lt;&gt;"×",$AC2063=0,$AB2063=""),"計算額が下限以下のため不支給／",""))</f>
        <v/>
      </c>
      <c r="AL2063" s="12" t="n"/>
      <c r="AM2063" s="14">
        <f>IF($AD2063="保留中",COUNTIF($AD$6:$AD2063,"保留中"),"")</f>
        <v/>
      </c>
      <c r="AN2063" s="14">
        <f>IF($AO2063="","",IF(SUMPRODUCT(MAX((職員マスタ!$A$6:$A$405=$B2063)*(((職員マスタ!$G$6:$G$405="")+(職員マスタ!$G$6:$G$405&lt;=EOMONTH($AO2063,0)))&gt;0)*(((職員マスタ!$H$6:$H$405="")+(職員マスタ!$H$6:$H$405&gt;=$AO2063))&gt;0)*(ROW(職員マスタ!$A$6:$A$405)-5)))&gt;0,SUMPRODUCT(MAX((職員マスタ!$A$6:$A$405=$B2063)*(((職員マスタ!$G$6:$G$405="")+(職員マスタ!$G$6:$G$405&lt;=EOMONTH($AO2063,0)))&gt;0)*(((職員マスタ!$H$6:$H$405="")+(職員マスタ!$H$6:$H$405&gt;=$AO2063))&gt;0)*(ROW(職員マスタ!$A$6:$A$405)-5))),IFERROR(MATCH($B2063,職員マスタ!$A$6:$A$405,0),"")))</f>
        <v/>
      </c>
      <c r="AO2063" s="16">
        <f>IF(OR($B2063="",$C2063="",$D2063=""),"",DATE($C2063+2018,$D2063,1))</f>
        <v/>
      </c>
    </row>
    <row r="2064">
      <c r="A2064" s="11" t="n"/>
      <c r="B2064" s="12" t="n"/>
      <c r="C2064" s="12" t="n"/>
      <c r="D2064" s="12" t="n"/>
      <c r="E2064" s="13" t="n"/>
      <c r="F2064" s="12" t="n"/>
      <c r="G2064" s="13" t="n"/>
      <c r="H2064" s="12" t="n"/>
      <c r="I2064" s="12" t="n"/>
      <c r="J2064" s="12" t="n"/>
      <c r="K2064" s="12" t="n"/>
      <c r="L2064" s="11" t="n"/>
      <c r="M2064" s="11" t="n"/>
      <c r="N2064" s="11" t="n"/>
      <c r="O2064" s="11" t="n"/>
      <c r="P2064" s="12" t="n"/>
      <c r="Q2064" s="11" t="n"/>
      <c r="R2064" s="12" t="n"/>
      <c r="S2064" s="11" t="n"/>
      <c r="T2064" s="12" t="n"/>
      <c r="U2064" s="12" t="n"/>
      <c r="V2064" s="14">
        <f>IF($AN2064="",IF($B2064="","",$H2064),IF(INDEX(職員マスタ!$B$6:$B$405,$AN2064)="",$H2064,INDEX(職員マスタ!$B$6:$B$405,$AN2064)))</f>
        <v/>
      </c>
      <c r="W2064" s="14">
        <f>IF($AN2064="",IF($B2064="","",$R2064),IF(INDEX(職員マスタ!$C$6:$C$405,$AN2064)="",$R2064,INDEX(職員マスタ!$C$6:$C$405,$AN2064)))</f>
        <v/>
      </c>
      <c r="X2064" s="14">
        <f>IF($AO2064="","","R"&amp;$C2064&amp;"."&amp;$D2064)</f>
        <v/>
      </c>
      <c r="Y2064" s="15">
        <f>IF($AN2064="","",IF(INDEX(職員マスタ!$K$6:$K$405,$AN2064)="","",INDEX(職員マスタ!$K$6:$K$405,$AN2064)))</f>
        <v/>
      </c>
      <c r="Z2064" s="14">
        <f>IF(OR($E2064="",$Y2064=""),"",IF($E2064&gt;=$Y2064,"×",IF($E2064&gt;=$Y2064*設定!$C$5,"△","○")))</f>
        <v/>
      </c>
      <c r="AA2064" s="15">
        <f>IF($Z2064="","",IF($Z2064="×",0,IF($Z2064="○",ROUNDDOWN($E2064*設定!$C$4,0),ROUNDDOWN($E2064*ROUND((9*$Y2064-9*$E2064)/(10*$E2064),4),0))))</f>
        <v/>
      </c>
      <c r="AB2064" s="13" t="n"/>
      <c r="AC2064" s="15">
        <f>IF($B2064="","",IF($AB2064&lt;&gt;"",$AB2064,IF($AA2064="","",IF($AA2064&lt;=設定!$C$3,0,$AA2064))))</f>
        <v/>
      </c>
      <c r="AD2064" s="14">
        <f>IF($B2064="","",IF(AND($AE2064&lt;&gt;"",$AG2064="",$AJ2064=""),"保留中",IF($AJ2064&lt;&gt;"",IF(N($AC2064)&gt;0,"支給済","不支給"),IF($AC2064="","要確認",IF($AC2064=0,"不支給","未処理")))))</f>
        <v/>
      </c>
      <c r="AE2064" s="12" t="n"/>
      <c r="AF2064" s="11" t="n"/>
      <c r="AG2064" s="11" t="n"/>
      <c r="AH2064" s="11" t="n"/>
      <c r="AI2064" s="14">
        <f>IF(AND($AD2064="保留中",$AF2064&lt;&gt;""),TODAY()-$AF2064,"")</f>
        <v/>
      </c>
      <c r="AJ2064" s="12" t="n"/>
      <c r="AK2064" s="14">
        <f>IF($B2064="","",IF($AO2064="","対象年月が未入力／","")&amp;IF($B2064="","",IF($AN2064="","職員マスタに未登録の職員番号／",IF($Y2064="","標準報酬月額が未登録／","")&amp;IF(AND($AO2064&lt;&gt;"",OR(AND(INDEX(職員マスタ!$G$6:$G$405,$AN2064)&lt;&gt;"",INDEX(職員マスタ!$G$6:$G$405,$AN2064)&gt;EOMONTH($AO2064,0)),AND(INDEX(職員マスタ!$H$6:$H$405,$AN2064)&lt;&gt;"",INDEX(職員マスタ!$H$6:$H$405,$AN2064)&lt;$AO2064))),"対象月が時短期間外／","")&amp;IF(AND(INDEX(職員マスタ!$F$6:$F$405,$AN2064)&lt;&gt;"",$AO2064&lt;&gt;"",INDEX(職員マスタ!$F$6:$F$405,$AN2064)&lt;$AO2064),"対象月に子が2歳到達済／","")&amp;IF(AND($H2064&lt;&gt;"",INDEX(職員マスタ!$B$6:$B$405,$AN2064)&lt;&gt;"",SUBSTITUTE(SUBSTITUTE($H2064," ","")," ","")&lt;&gt;SUBSTITUTE(SUBSTITUTE(INDEX(職員マスタ!$B$6:$B$405,$AN2064)," ","")," ","")),"氏名がマスタと相違／","")&amp;IF(AND($Q2064&lt;&gt;"",INDEX(職員マスタ!$E$6:$E$405,$AN2064)&lt;&gt;"",$Q2064&lt;&gt;INDEX(職員マスタ!$E$6:$E$405,$AN2064)),"子の生年月日がマスタと相違／","")&amp;IF(AND($L2064&lt;&gt;"",INDEX(職員マスタ!$G$6:$G$405,$AN2064)&lt;&gt;"",$L2064&lt;&gt;INDEX(職員マスタ!$G$6:$G$405,$AN2064)),"時短開始日がマスタと相違／","")&amp;IF(AND($M2064&lt;&gt;"",INDEX(職員マスタ!$H$6:$H$405,$AN2064)&lt;&gt;"",$M2064&lt;&gt;INDEX(職員マスタ!$H$6:$H$405,$AN2064)),"時短終了日がマスタと相違／","")))&amp;IF(AND($B2064&lt;&gt;"",$E2064=""),"報酬額が未入力／","")&amp;IF(N($U2064)&gt;0,"申請書に入力エラーが残っています／","")&amp;IF(AND($B2064&lt;&gt;"",$AO2064&lt;&gt;""),IF(COUNTIFS($B$6:$B$3005,$B2064,$C$6:$C$3005,$C2064,$D$6:$D$3005,$D2064)&gt;1,"同じ月の請求が重複しています／",""),"")&amp;IF(AND(N($E2064)&gt;0,$Z2064&lt;&gt;"",$Z2064&lt;&gt;"×",$AC2064=0,$AB2064=""),"計算額が下限以下のため不支給／",""))</f>
        <v/>
      </c>
      <c r="AL2064" s="12" t="n"/>
      <c r="AM2064" s="14">
        <f>IF($AD2064="保留中",COUNTIF($AD$6:$AD2064,"保留中"),"")</f>
        <v/>
      </c>
      <c r="AN2064" s="14">
        <f>IF($AO2064="","",IF(SUMPRODUCT(MAX((職員マスタ!$A$6:$A$405=$B2064)*(((職員マスタ!$G$6:$G$405="")+(職員マスタ!$G$6:$G$405&lt;=EOMONTH($AO2064,0)))&gt;0)*(((職員マスタ!$H$6:$H$405="")+(職員マスタ!$H$6:$H$405&gt;=$AO2064))&gt;0)*(ROW(職員マスタ!$A$6:$A$405)-5)))&gt;0,SUMPRODUCT(MAX((職員マスタ!$A$6:$A$405=$B2064)*(((職員マスタ!$G$6:$G$405="")+(職員マスタ!$G$6:$G$405&lt;=EOMONTH($AO2064,0)))&gt;0)*(((職員マスタ!$H$6:$H$405="")+(職員マスタ!$H$6:$H$405&gt;=$AO2064))&gt;0)*(ROW(職員マスタ!$A$6:$A$405)-5))),IFERROR(MATCH($B2064,職員マスタ!$A$6:$A$405,0),"")))</f>
        <v/>
      </c>
      <c r="AO2064" s="16">
        <f>IF(OR($B2064="",$C2064="",$D2064=""),"",DATE($C2064+2018,$D2064,1))</f>
        <v/>
      </c>
    </row>
    <row r="2065">
      <c r="A2065" s="11" t="n"/>
      <c r="B2065" s="12" t="n"/>
      <c r="C2065" s="12" t="n"/>
      <c r="D2065" s="12" t="n"/>
      <c r="E2065" s="13" t="n"/>
      <c r="F2065" s="12" t="n"/>
      <c r="G2065" s="13" t="n"/>
      <c r="H2065" s="12" t="n"/>
      <c r="I2065" s="12" t="n"/>
      <c r="J2065" s="12" t="n"/>
      <c r="K2065" s="12" t="n"/>
      <c r="L2065" s="11" t="n"/>
      <c r="M2065" s="11" t="n"/>
      <c r="N2065" s="11" t="n"/>
      <c r="O2065" s="11" t="n"/>
      <c r="P2065" s="12" t="n"/>
      <c r="Q2065" s="11" t="n"/>
      <c r="R2065" s="12" t="n"/>
      <c r="S2065" s="11" t="n"/>
      <c r="T2065" s="12" t="n"/>
      <c r="U2065" s="12" t="n"/>
      <c r="V2065" s="14">
        <f>IF($AN2065="",IF($B2065="","",$H2065),IF(INDEX(職員マスタ!$B$6:$B$405,$AN2065)="",$H2065,INDEX(職員マスタ!$B$6:$B$405,$AN2065)))</f>
        <v/>
      </c>
      <c r="W2065" s="14">
        <f>IF($AN2065="",IF($B2065="","",$R2065),IF(INDEX(職員マスタ!$C$6:$C$405,$AN2065)="",$R2065,INDEX(職員マスタ!$C$6:$C$405,$AN2065)))</f>
        <v/>
      </c>
      <c r="X2065" s="14">
        <f>IF($AO2065="","","R"&amp;$C2065&amp;"."&amp;$D2065)</f>
        <v/>
      </c>
      <c r="Y2065" s="15">
        <f>IF($AN2065="","",IF(INDEX(職員マスタ!$K$6:$K$405,$AN2065)="","",INDEX(職員マスタ!$K$6:$K$405,$AN2065)))</f>
        <v/>
      </c>
      <c r="Z2065" s="14">
        <f>IF(OR($E2065="",$Y2065=""),"",IF($E2065&gt;=$Y2065,"×",IF($E2065&gt;=$Y2065*設定!$C$5,"△","○")))</f>
        <v/>
      </c>
      <c r="AA2065" s="15">
        <f>IF($Z2065="","",IF($Z2065="×",0,IF($Z2065="○",ROUNDDOWN($E2065*設定!$C$4,0),ROUNDDOWN($E2065*ROUND((9*$Y2065-9*$E2065)/(10*$E2065),4),0))))</f>
        <v/>
      </c>
      <c r="AB2065" s="13" t="n"/>
      <c r="AC2065" s="15">
        <f>IF($B2065="","",IF($AB2065&lt;&gt;"",$AB2065,IF($AA2065="","",IF($AA2065&lt;=設定!$C$3,0,$AA2065))))</f>
        <v/>
      </c>
      <c r="AD2065" s="14">
        <f>IF($B2065="","",IF(AND($AE2065&lt;&gt;"",$AG2065="",$AJ2065=""),"保留中",IF($AJ2065&lt;&gt;"",IF(N($AC2065)&gt;0,"支給済","不支給"),IF($AC2065="","要確認",IF($AC2065=0,"不支給","未処理")))))</f>
        <v/>
      </c>
      <c r="AE2065" s="12" t="n"/>
      <c r="AF2065" s="11" t="n"/>
      <c r="AG2065" s="11" t="n"/>
      <c r="AH2065" s="11" t="n"/>
      <c r="AI2065" s="14">
        <f>IF(AND($AD2065="保留中",$AF2065&lt;&gt;""),TODAY()-$AF2065,"")</f>
        <v/>
      </c>
      <c r="AJ2065" s="12" t="n"/>
      <c r="AK2065" s="14">
        <f>IF($B2065="","",IF($AO2065="","対象年月が未入力／","")&amp;IF($B2065="","",IF($AN2065="","職員マスタに未登録の職員番号／",IF($Y2065="","標準報酬月額が未登録／","")&amp;IF(AND($AO2065&lt;&gt;"",OR(AND(INDEX(職員マスタ!$G$6:$G$405,$AN2065)&lt;&gt;"",INDEX(職員マスタ!$G$6:$G$405,$AN2065)&gt;EOMONTH($AO2065,0)),AND(INDEX(職員マスタ!$H$6:$H$405,$AN2065)&lt;&gt;"",INDEX(職員マスタ!$H$6:$H$405,$AN2065)&lt;$AO2065))),"対象月が時短期間外／","")&amp;IF(AND(INDEX(職員マスタ!$F$6:$F$405,$AN2065)&lt;&gt;"",$AO2065&lt;&gt;"",INDEX(職員マスタ!$F$6:$F$405,$AN2065)&lt;$AO2065),"対象月に子が2歳到達済／","")&amp;IF(AND($H2065&lt;&gt;"",INDEX(職員マスタ!$B$6:$B$405,$AN2065)&lt;&gt;"",SUBSTITUTE(SUBSTITUTE($H2065," ","")," ","")&lt;&gt;SUBSTITUTE(SUBSTITUTE(INDEX(職員マスタ!$B$6:$B$405,$AN2065)," ","")," ","")),"氏名がマスタと相違／","")&amp;IF(AND($Q2065&lt;&gt;"",INDEX(職員マスタ!$E$6:$E$405,$AN2065)&lt;&gt;"",$Q2065&lt;&gt;INDEX(職員マスタ!$E$6:$E$405,$AN2065)),"子の生年月日がマスタと相違／","")&amp;IF(AND($L2065&lt;&gt;"",INDEX(職員マスタ!$G$6:$G$405,$AN2065)&lt;&gt;"",$L2065&lt;&gt;INDEX(職員マスタ!$G$6:$G$405,$AN2065)),"時短開始日がマスタと相違／","")&amp;IF(AND($M2065&lt;&gt;"",INDEX(職員マスタ!$H$6:$H$405,$AN2065)&lt;&gt;"",$M2065&lt;&gt;INDEX(職員マスタ!$H$6:$H$405,$AN2065)),"時短終了日がマスタと相違／","")))&amp;IF(AND($B2065&lt;&gt;"",$E2065=""),"報酬額が未入力／","")&amp;IF(N($U2065)&gt;0,"申請書に入力エラーが残っています／","")&amp;IF(AND($B2065&lt;&gt;"",$AO2065&lt;&gt;""),IF(COUNTIFS($B$6:$B$3005,$B2065,$C$6:$C$3005,$C2065,$D$6:$D$3005,$D2065)&gt;1,"同じ月の請求が重複しています／",""),"")&amp;IF(AND(N($E2065)&gt;0,$Z2065&lt;&gt;"",$Z2065&lt;&gt;"×",$AC2065=0,$AB2065=""),"計算額が下限以下のため不支給／",""))</f>
        <v/>
      </c>
      <c r="AL2065" s="12" t="n"/>
      <c r="AM2065" s="14">
        <f>IF($AD2065="保留中",COUNTIF($AD$6:$AD2065,"保留中"),"")</f>
        <v/>
      </c>
      <c r="AN2065" s="14">
        <f>IF($AO2065="","",IF(SUMPRODUCT(MAX((職員マスタ!$A$6:$A$405=$B2065)*(((職員マスタ!$G$6:$G$405="")+(職員マスタ!$G$6:$G$405&lt;=EOMONTH($AO2065,0)))&gt;0)*(((職員マスタ!$H$6:$H$405="")+(職員マスタ!$H$6:$H$405&gt;=$AO2065))&gt;0)*(ROW(職員マスタ!$A$6:$A$405)-5)))&gt;0,SUMPRODUCT(MAX((職員マスタ!$A$6:$A$405=$B2065)*(((職員マスタ!$G$6:$G$405="")+(職員マスタ!$G$6:$G$405&lt;=EOMONTH($AO2065,0)))&gt;0)*(((職員マスタ!$H$6:$H$405="")+(職員マスタ!$H$6:$H$405&gt;=$AO2065))&gt;0)*(ROW(職員マスタ!$A$6:$A$405)-5))),IFERROR(MATCH($B2065,職員マスタ!$A$6:$A$405,0),"")))</f>
        <v/>
      </c>
      <c r="AO2065" s="16">
        <f>IF(OR($B2065="",$C2065="",$D2065=""),"",DATE($C2065+2018,$D2065,1))</f>
        <v/>
      </c>
    </row>
    <row r="2066">
      <c r="A2066" s="11" t="n"/>
      <c r="B2066" s="12" t="n"/>
      <c r="C2066" s="12" t="n"/>
      <c r="D2066" s="12" t="n"/>
      <c r="E2066" s="13" t="n"/>
      <c r="F2066" s="12" t="n"/>
      <c r="G2066" s="13" t="n"/>
      <c r="H2066" s="12" t="n"/>
      <c r="I2066" s="12" t="n"/>
      <c r="J2066" s="12" t="n"/>
      <c r="K2066" s="12" t="n"/>
      <c r="L2066" s="11" t="n"/>
      <c r="M2066" s="11" t="n"/>
      <c r="N2066" s="11" t="n"/>
      <c r="O2066" s="11" t="n"/>
      <c r="P2066" s="12" t="n"/>
      <c r="Q2066" s="11" t="n"/>
      <c r="R2066" s="12" t="n"/>
      <c r="S2066" s="11" t="n"/>
      <c r="T2066" s="12" t="n"/>
      <c r="U2066" s="12" t="n"/>
      <c r="V2066" s="14">
        <f>IF($AN2066="",IF($B2066="","",$H2066),IF(INDEX(職員マスタ!$B$6:$B$405,$AN2066)="",$H2066,INDEX(職員マスタ!$B$6:$B$405,$AN2066)))</f>
        <v/>
      </c>
      <c r="W2066" s="14">
        <f>IF($AN2066="",IF($B2066="","",$R2066),IF(INDEX(職員マスタ!$C$6:$C$405,$AN2066)="",$R2066,INDEX(職員マスタ!$C$6:$C$405,$AN2066)))</f>
        <v/>
      </c>
      <c r="X2066" s="14">
        <f>IF($AO2066="","","R"&amp;$C2066&amp;"."&amp;$D2066)</f>
        <v/>
      </c>
      <c r="Y2066" s="15">
        <f>IF($AN2066="","",IF(INDEX(職員マスタ!$K$6:$K$405,$AN2066)="","",INDEX(職員マスタ!$K$6:$K$405,$AN2066)))</f>
        <v/>
      </c>
      <c r="Z2066" s="14">
        <f>IF(OR($E2066="",$Y2066=""),"",IF($E2066&gt;=$Y2066,"×",IF($E2066&gt;=$Y2066*設定!$C$5,"△","○")))</f>
        <v/>
      </c>
      <c r="AA2066" s="15">
        <f>IF($Z2066="","",IF($Z2066="×",0,IF($Z2066="○",ROUNDDOWN($E2066*設定!$C$4,0),ROUNDDOWN($E2066*ROUND((9*$Y2066-9*$E2066)/(10*$E2066),4),0))))</f>
        <v/>
      </c>
      <c r="AB2066" s="13" t="n"/>
      <c r="AC2066" s="15">
        <f>IF($B2066="","",IF($AB2066&lt;&gt;"",$AB2066,IF($AA2066="","",IF($AA2066&lt;=設定!$C$3,0,$AA2066))))</f>
        <v/>
      </c>
      <c r="AD2066" s="14">
        <f>IF($B2066="","",IF(AND($AE2066&lt;&gt;"",$AG2066="",$AJ2066=""),"保留中",IF($AJ2066&lt;&gt;"",IF(N($AC2066)&gt;0,"支給済","不支給"),IF($AC2066="","要確認",IF($AC2066=0,"不支給","未処理")))))</f>
        <v/>
      </c>
      <c r="AE2066" s="12" t="n"/>
      <c r="AF2066" s="11" t="n"/>
      <c r="AG2066" s="11" t="n"/>
      <c r="AH2066" s="11" t="n"/>
      <c r="AI2066" s="14">
        <f>IF(AND($AD2066="保留中",$AF2066&lt;&gt;""),TODAY()-$AF2066,"")</f>
        <v/>
      </c>
      <c r="AJ2066" s="12" t="n"/>
      <c r="AK2066" s="14">
        <f>IF($B2066="","",IF($AO2066="","対象年月が未入力／","")&amp;IF($B2066="","",IF($AN2066="","職員マスタに未登録の職員番号／",IF($Y2066="","標準報酬月額が未登録／","")&amp;IF(AND($AO2066&lt;&gt;"",OR(AND(INDEX(職員マスタ!$G$6:$G$405,$AN2066)&lt;&gt;"",INDEX(職員マスタ!$G$6:$G$405,$AN2066)&gt;EOMONTH($AO2066,0)),AND(INDEX(職員マスタ!$H$6:$H$405,$AN2066)&lt;&gt;"",INDEX(職員マスタ!$H$6:$H$405,$AN2066)&lt;$AO2066))),"対象月が時短期間外／","")&amp;IF(AND(INDEX(職員マスタ!$F$6:$F$405,$AN2066)&lt;&gt;"",$AO2066&lt;&gt;"",INDEX(職員マスタ!$F$6:$F$405,$AN2066)&lt;$AO2066),"対象月に子が2歳到達済／","")&amp;IF(AND($H2066&lt;&gt;"",INDEX(職員マスタ!$B$6:$B$405,$AN2066)&lt;&gt;"",SUBSTITUTE(SUBSTITUTE($H2066," ","")," ","")&lt;&gt;SUBSTITUTE(SUBSTITUTE(INDEX(職員マスタ!$B$6:$B$405,$AN2066)," ","")," ","")),"氏名がマスタと相違／","")&amp;IF(AND($Q2066&lt;&gt;"",INDEX(職員マスタ!$E$6:$E$405,$AN2066)&lt;&gt;"",$Q2066&lt;&gt;INDEX(職員マスタ!$E$6:$E$405,$AN2066)),"子の生年月日がマスタと相違／","")&amp;IF(AND($L2066&lt;&gt;"",INDEX(職員マスタ!$G$6:$G$405,$AN2066)&lt;&gt;"",$L2066&lt;&gt;INDEX(職員マスタ!$G$6:$G$405,$AN2066)),"時短開始日がマスタと相違／","")&amp;IF(AND($M2066&lt;&gt;"",INDEX(職員マスタ!$H$6:$H$405,$AN2066)&lt;&gt;"",$M2066&lt;&gt;INDEX(職員マスタ!$H$6:$H$405,$AN2066)),"時短終了日がマスタと相違／","")))&amp;IF(AND($B2066&lt;&gt;"",$E2066=""),"報酬額が未入力／","")&amp;IF(N($U2066)&gt;0,"申請書に入力エラーが残っています／","")&amp;IF(AND($B2066&lt;&gt;"",$AO2066&lt;&gt;""),IF(COUNTIFS($B$6:$B$3005,$B2066,$C$6:$C$3005,$C2066,$D$6:$D$3005,$D2066)&gt;1,"同じ月の請求が重複しています／",""),"")&amp;IF(AND(N($E2066)&gt;0,$Z2066&lt;&gt;"",$Z2066&lt;&gt;"×",$AC2066=0,$AB2066=""),"計算額が下限以下のため不支給／",""))</f>
        <v/>
      </c>
      <c r="AL2066" s="12" t="n"/>
      <c r="AM2066" s="14">
        <f>IF($AD2066="保留中",COUNTIF($AD$6:$AD2066,"保留中"),"")</f>
        <v/>
      </c>
      <c r="AN2066" s="14">
        <f>IF($AO2066="","",IF(SUMPRODUCT(MAX((職員マスタ!$A$6:$A$405=$B2066)*(((職員マスタ!$G$6:$G$405="")+(職員マスタ!$G$6:$G$405&lt;=EOMONTH($AO2066,0)))&gt;0)*(((職員マスタ!$H$6:$H$405="")+(職員マスタ!$H$6:$H$405&gt;=$AO2066))&gt;0)*(ROW(職員マスタ!$A$6:$A$405)-5)))&gt;0,SUMPRODUCT(MAX((職員マスタ!$A$6:$A$405=$B2066)*(((職員マスタ!$G$6:$G$405="")+(職員マスタ!$G$6:$G$405&lt;=EOMONTH($AO2066,0)))&gt;0)*(((職員マスタ!$H$6:$H$405="")+(職員マスタ!$H$6:$H$405&gt;=$AO2066))&gt;0)*(ROW(職員マスタ!$A$6:$A$405)-5))),IFERROR(MATCH($B2066,職員マスタ!$A$6:$A$405,0),"")))</f>
        <v/>
      </c>
      <c r="AO2066" s="16">
        <f>IF(OR($B2066="",$C2066="",$D2066=""),"",DATE($C2066+2018,$D2066,1))</f>
        <v/>
      </c>
    </row>
    <row r="2067">
      <c r="A2067" s="11" t="n"/>
      <c r="B2067" s="12" t="n"/>
      <c r="C2067" s="12" t="n"/>
      <c r="D2067" s="12" t="n"/>
      <c r="E2067" s="13" t="n"/>
      <c r="F2067" s="12" t="n"/>
      <c r="G2067" s="13" t="n"/>
      <c r="H2067" s="12" t="n"/>
      <c r="I2067" s="12" t="n"/>
      <c r="J2067" s="12" t="n"/>
      <c r="K2067" s="12" t="n"/>
      <c r="L2067" s="11" t="n"/>
      <c r="M2067" s="11" t="n"/>
      <c r="N2067" s="11" t="n"/>
      <c r="O2067" s="11" t="n"/>
      <c r="P2067" s="12" t="n"/>
      <c r="Q2067" s="11" t="n"/>
      <c r="R2067" s="12" t="n"/>
      <c r="S2067" s="11" t="n"/>
      <c r="T2067" s="12" t="n"/>
      <c r="U2067" s="12" t="n"/>
      <c r="V2067" s="14">
        <f>IF($AN2067="",IF($B2067="","",$H2067),IF(INDEX(職員マスタ!$B$6:$B$405,$AN2067)="",$H2067,INDEX(職員マスタ!$B$6:$B$405,$AN2067)))</f>
        <v/>
      </c>
      <c r="W2067" s="14">
        <f>IF($AN2067="",IF($B2067="","",$R2067),IF(INDEX(職員マスタ!$C$6:$C$405,$AN2067)="",$R2067,INDEX(職員マスタ!$C$6:$C$405,$AN2067)))</f>
        <v/>
      </c>
      <c r="X2067" s="14">
        <f>IF($AO2067="","","R"&amp;$C2067&amp;"."&amp;$D2067)</f>
        <v/>
      </c>
      <c r="Y2067" s="15">
        <f>IF($AN2067="","",IF(INDEX(職員マスタ!$K$6:$K$405,$AN2067)="","",INDEX(職員マスタ!$K$6:$K$405,$AN2067)))</f>
        <v/>
      </c>
      <c r="Z2067" s="14">
        <f>IF(OR($E2067="",$Y2067=""),"",IF($E2067&gt;=$Y2067,"×",IF($E2067&gt;=$Y2067*設定!$C$5,"△","○")))</f>
        <v/>
      </c>
      <c r="AA2067" s="15">
        <f>IF($Z2067="","",IF($Z2067="×",0,IF($Z2067="○",ROUNDDOWN($E2067*設定!$C$4,0),ROUNDDOWN($E2067*ROUND((9*$Y2067-9*$E2067)/(10*$E2067),4),0))))</f>
        <v/>
      </c>
      <c r="AB2067" s="13" t="n"/>
      <c r="AC2067" s="15">
        <f>IF($B2067="","",IF($AB2067&lt;&gt;"",$AB2067,IF($AA2067="","",IF($AA2067&lt;=設定!$C$3,0,$AA2067))))</f>
        <v/>
      </c>
      <c r="AD2067" s="14">
        <f>IF($B2067="","",IF(AND($AE2067&lt;&gt;"",$AG2067="",$AJ2067=""),"保留中",IF($AJ2067&lt;&gt;"",IF(N($AC2067)&gt;0,"支給済","不支給"),IF($AC2067="","要確認",IF($AC2067=0,"不支給","未処理")))))</f>
        <v/>
      </c>
      <c r="AE2067" s="12" t="n"/>
      <c r="AF2067" s="11" t="n"/>
      <c r="AG2067" s="11" t="n"/>
      <c r="AH2067" s="11" t="n"/>
      <c r="AI2067" s="14">
        <f>IF(AND($AD2067="保留中",$AF2067&lt;&gt;""),TODAY()-$AF2067,"")</f>
        <v/>
      </c>
      <c r="AJ2067" s="12" t="n"/>
      <c r="AK2067" s="14">
        <f>IF($B2067="","",IF($AO2067="","対象年月が未入力／","")&amp;IF($B2067="","",IF($AN2067="","職員マスタに未登録の職員番号／",IF($Y2067="","標準報酬月額が未登録／","")&amp;IF(AND($AO2067&lt;&gt;"",OR(AND(INDEX(職員マスタ!$G$6:$G$405,$AN2067)&lt;&gt;"",INDEX(職員マスタ!$G$6:$G$405,$AN2067)&gt;EOMONTH($AO2067,0)),AND(INDEX(職員マスタ!$H$6:$H$405,$AN2067)&lt;&gt;"",INDEX(職員マスタ!$H$6:$H$405,$AN2067)&lt;$AO2067))),"対象月が時短期間外／","")&amp;IF(AND(INDEX(職員マスタ!$F$6:$F$405,$AN2067)&lt;&gt;"",$AO2067&lt;&gt;"",INDEX(職員マスタ!$F$6:$F$405,$AN2067)&lt;$AO2067),"対象月に子が2歳到達済／","")&amp;IF(AND($H2067&lt;&gt;"",INDEX(職員マスタ!$B$6:$B$405,$AN2067)&lt;&gt;"",SUBSTITUTE(SUBSTITUTE($H2067," ","")," ","")&lt;&gt;SUBSTITUTE(SUBSTITUTE(INDEX(職員マスタ!$B$6:$B$405,$AN2067)," ","")," ","")),"氏名がマスタと相違／","")&amp;IF(AND($Q2067&lt;&gt;"",INDEX(職員マスタ!$E$6:$E$405,$AN2067)&lt;&gt;"",$Q2067&lt;&gt;INDEX(職員マスタ!$E$6:$E$405,$AN2067)),"子の生年月日がマスタと相違／","")&amp;IF(AND($L2067&lt;&gt;"",INDEX(職員マスタ!$G$6:$G$405,$AN2067)&lt;&gt;"",$L2067&lt;&gt;INDEX(職員マスタ!$G$6:$G$405,$AN2067)),"時短開始日がマスタと相違／","")&amp;IF(AND($M2067&lt;&gt;"",INDEX(職員マスタ!$H$6:$H$405,$AN2067)&lt;&gt;"",$M2067&lt;&gt;INDEX(職員マスタ!$H$6:$H$405,$AN2067)),"時短終了日がマスタと相違／","")))&amp;IF(AND($B2067&lt;&gt;"",$E2067=""),"報酬額が未入力／","")&amp;IF(N($U2067)&gt;0,"申請書に入力エラーが残っています／","")&amp;IF(AND($B2067&lt;&gt;"",$AO2067&lt;&gt;""),IF(COUNTIFS($B$6:$B$3005,$B2067,$C$6:$C$3005,$C2067,$D$6:$D$3005,$D2067)&gt;1,"同じ月の請求が重複しています／",""),"")&amp;IF(AND(N($E2067)&gt;0,$Z2067&lt;&gt;"",$Z2067&lt;&gt;"×",$AC2067=0,$AB2067=""),"計算額が下限以下のため不支給／",""))</f>
        <v/>
      </c>
      <c r="AL2067" s="12" t="n"/>
      <c r="AM2067" s="14">
        <f>IF($AD2067="保留中",COUNTIF($AD$6:$AD2067,"保留中"),"")</f>
        <v/>
      </c>
      <c r="AN2067" s="14">
        <f>IF($AO2067="","",IF(SUMPRODUCT(MAX((職員マスタ!$A$6:$A$405=$B2067)*(((職員マスタ!$G$6:$G$405="")+(職員マスタ!$G$6:$G$405&lt;=EOMONTH($AO2067,0)))&gt;0)*(((職員マスタ!$H$6:$H$405="")+(職員マスタ!$H$6:$H$405&gt;=$AO2067))&gt;0)*(ROW(職員マスタ!$A$6:$A$405)-5)))&gt;0,SUMPRODUCT(MAX((職員マスタ!$A$6:$A$405=$B2067)*(((職員マスタ!$G$6:$G$405="")+(職員マスタ!$G$6:$G$405&lt;=EOMONTH($AO2067,0)))&gt;0)*(((職員マスタ!$H$6:$H$405="")+(職員マスタ!$H$6:$H$405&gt;=$AO2067))&gt;0)*(ROW(職員マスタ!$A$6:$A$405)-5))),IFERROR(MATCH($B2067,職員マスタ!$A$6:$A$405,0),"")))</f>
        <v/>
      </c>
      <c r="AO2067" s="16">
        <f>IF(OR($B2067="",$C2067="",$D2067=""),"",DATE($C2067+2018,$D2067,1))</f>
        <v/>
      </c>
    </row>
    <row r="2068">
      <c r="A2068" s="11" t="n"/>
      <c r="B2068" s="12" t="n"/>
      <c r="C2068" s="12" t="n"/>
      <c r="D2068" s="12" t="n"/>
      <c r="E2068" s="13" t="n"/>
      <c r="F2068" s="12" t="n"/>
      <c r="G2068" s="13" t="n"/>
      <c r="H2068" s="12" t="n"/>
      <c r="I2068" s="12" t="n"/>
      <c r="J2068" s="12" t="n"/>
      <c r="K2068" s="12" t="n"/>
      <c r="L2068" s="11" t="n"/>
      <c r="M2068" s="11" t="n"/>
      <c r="N2068" s="11" t="n"/>
      <c r="O2068" s="11" t="n"/>
      <c r="P2068" s="12" t="n"/>
      <c r="Q2068" s="11" t="n"/>
      <c r="R2068" s="12" t="n"/>
      <c r="S2068" s="11" t="n"/>
      <c r="T2068" s="12" t="n"/>
      <c r="U2068" s="12" t="n"/>
      <c r="V2068" s="14">
        <f>IF($AN2068="",IF($B2068="","",$H2068),IF(INDEX(職員マスタ!$B$6:$B$405,$AN2068)="",$H2068,INDEX(職員マスタ!$B$6:$B$405,$AN2068)))</f>
        <v/>
      </c>
      <c r="W2068" s="14">
        <f>IF($AN2068="",IF($B2068="","",$R2068),IF(INDEX(職員マスタ!$C$6:$C$405,$AN2068)="",$R2068,INDEX(職員マスタ!$C$6:$C$405,$AN2068)))</f>
        <v/>
      </c>
      <c r="X2068" s="14">
        <f>IF($AO2068="","","R"&amp;$C2068&amp;"."&amp;$D2068)</f>
        <v/>
      </c>
      <c r="Y2068" s="15">
        <f>IF($AN2068="","",IF(INDEX(職員マスタ!$K$6:$K$405,$AN2068)="","",INDEX(職員マスタ!$K$6:$K$405,$AN2068)))</f>
        <v/>
      </c>
      <c r="Z2068" s="14">
        <f>IF(OR($E2068="",$Y2068=""),"",IF($E2068&gt;=$Y2068,"×",IF($E2068&gt;=$Y2068*設定!$C$5,"△","○")))</f>
        <v/>
      </c>
      <c r="AA2068" s="15">
        <f>IF($Z2068="","",IF($Z2068="×",0,IF($Z2068="○",ROUNDDOWN($E2068*設定!$C$4,0),ROUNDDOWN($E2068*ROUND((9*$Y2068-9*$E2068)/(10*$E2068),4),0))))</f>
        <v/>
      </c>
      <c r="AB2068" s="13" t="n"/>
      <c r="AC2068" s="15">
        <f>IF($B2068="","",IF($AB2068&lt;&gt;"",$AB2068,IF($AA2068="","",IF($AA2068&lt;=設定!$C$3,0,$AA2068))))</f>
        <v/>
      </c>
      <c r="AD2068" s="14">
        <f>IF($B2068="","",IF(AND($AE2068&lt;&gt;"",$AG2068="",$AJ2068=""),"保留中",IF($AJ2068&lt;&gt;"",IF(N($AC2068)&gt;0,"支給済","不支給"),IF($AC2068="","要確認",IF($AC2068=0,"不支給","未処理")))))</f>
        <v/>
      </c>
      <c r="AE2068" s="12" t="n"/>
      <c r="AF2068" s="11" t="n"/>
      <c r="AG2068" s="11" t="n"/>
      <c r="AH2068" s="11" t="n"/>
      <c r="AI2068" s="14">
        <f>IF(AND($AD2068="保留中",$AF2068&lt;&gt;""),TODAY()-$AF2068,"")</f>
        <v/>
      </c>
      <c r="AJ2068" s="12" t="n"/>
      <c r="AK2068" s="14">
        <f>IF($B2068="","",IF($AO2068="","対象年月が未入力／","")&amp;IF($B2068="","",IF($AN2068="","職員マスタに未登録の職員番号／",IF($Y2068="","標準報酬月額が未登録／","")&amp;IF(AND($AO2068&lt;&gt;"",OR(AND(INDEX(職員マスタ!$G$6:$G$405,$AN2068)&lt;&gt;"",INDEX(職員マスタ!$G$6:$G$405,$AN2068)&gt;EOMONTH($AO2068,0)),AND(INDEX(職員マスタ!$H$6:$H$405,$AN2068)&lt;&gt;"",INDEX(職員マスタ!$H$6:$H$405,$AN2068)&lt;$AO2068))),"対象月が時短期間外／","")&amp;IF(AND(INDEX(職員マスタ!$F$6:$F$405,$AN2068)&lt;&gt;"",$AO2068&lt;&gt;"",INDEX(職員マスタ!$F$6:$F$405,$AN2068)&lt;$AO2068),"対象月に子が2歳到達済／","")&amp;IF(AND($H2068&lt;&gt;"",INDEX(職員マスタ!$B$6:$B$405,$AN2068)&lt;&gt;"",SUBSTITUTE(SUBSTITUTE($H2068," ","")," ","")&lt;&gt;SUBSTITUTE(SUBSTITUTE(INDEX(職員マスタ!$B$6:$B$405,$AN2068)," ","")," ","")),"氏名がマスタと相違／","")&amp;IF(AND($Q2068&lt;&gt;"",INDEX(職員マスタ!$E$6:$E$405,$AN2068)&lt;&gt;"",$Q2068&lt;&gt;INDEX(職員マスタ!$E$6:$E$405,$AN2068)),"子の生年月日がマスタと相違／","")&amp;IF(AND($L2068&lt;&gt;"",INDEX(職員マスタ!$G$6:$G$405,$AN2068)&lt;&gt;"",$L2068&lt;&gt;INDEX(職員マスタ!$G$6:$G$405,$AN2068)),"時短開始日がマスタと相違／","")&amp;IF(AND($M2068&lt;&gt;"",INDEX(職員マスタ!$H$6:$H$405,$AN2068)&lt;&gt;"",$M2068&lt;&gt;INDEX(職員マスタ!$H$6:$H$405,$AN2068)),"時短終了日がマスタと相違／","")))&amp;IF(AND($B2068&lt;&gt;"",$E2068=""),"報酬額が未入力／","")&amp;IF(N($U2068)&gt;0,"申請書に入力エラーが残っています／","")&amp;IF(AND($B2068&lt;&gt;"",$AO2068&lt;&gt;""),IF(COUNTIFS($B$6:$B$3005,$B2068,$C$6:$C$3005,$C2068,$D$6:$D$3005,$D2068)&gt;1,"同じ月の請求が重複しています／",""),"")&amp;IF(AND(N($E2068)&gt;0,$Z2068&lt;&gt;"",$Z2068&lt;&gt;"×",$AC2068=0,$AB2068=""),"計算額が下限以下のため不支給／",""))</f>
        <v/>
      </c>
      <c r="AL2068" s="12" t="n"/>
      <c r="AM2068" s="14">
        <f>IF($AD2068="保留中",COUNTIF($AD$6:$AD2068,"保留中"),"")</f>
        <v/>
      </c>
      <c r="AN2068" s="14">
        <f>IF($AO2068="","",IF(SUMPRODUCT(MAX((職員マスタ!$A$6:$A$405=$B2068)*(((職員マスタ!$G$6:$G$405="")+(職員マスタ!$G$6:$G$405&lt;=EOMONTH($AO2068,0)))&gt;0)*(((職員マスタ!$H$6:$H$405="")+(職員マスタ!$H$6:$H$405&gt;=$AO2068))&gt;0)*(ROW(職員マスタ!$A$6:$A$405)-5)))&gt;0,SUMPRODUCT(MAX((職員マスタ!$A$6:$A$405=$B2068)*(((職員マスタ!$G$6:$G$405="")+(職員マスタ!$G$6:$G$405&lt;=EOMONTH($AO2068,0)))&gt;0)*(((職員マスタ!$H$6:$H$405="")+(職員マスタ!$H$6:$H$405&gt;=$AO2068))&gt;0)*(ROW(職員マスタ!$A$6:$A$405)-5))),IFERROR(MATCH($B2068,職員マスタ!$A$6:$A$405,0),"")))</f>
        <v/>
      </c>
      <c r="AO2068" s="16">
        <f>IF(OR($B2068="",$C2068="",$D2068=""),"",DATE($C2068+2018,$D2068,1))</f>
        <v/>
      </c>
    </row>
    <row r="2069">
      <c r="A2069" s="11" t="n"/>
      <c r="B2069" s="12" t="n"/>
      <c r="C2069" s="12" t="n"/>
      <c r="D2069" s="12" t="n"/>
      <c r="E2069" s="13" t="n"/>
      <c r="F2069" s="12" t="n"/>
      <c r="G2069" s="13" t="n"/>
      <c r="H2069" s="12" t="n"/>
      <c r="I2069" s="12" t="n"/>
      <c r="J2069" s="12" t="n"/>
      <c r="K2069" s="12" t="n"/>
      <c r="L2069" s="11" t="n"/>
      <c r="M2069" s="11" t="n"/>
      <c r="N2069" s="11" t="n"/>
      <c r="O2069" s="11" t="n"/>
      <c r="P2069" s="12" t="n"/>
      <c r="Q2069" s="11" t="n"/>
      <c r="R2069" s="12" t="n"/>
      <c r="S2069" s="11" t="n"/>
      <c r="T2069" s="12" t="n"/>
      <c r="U2069" s="12" t="n"/>
      <c r="V2069" s="14">
        <f>IF($AN2069="",IF($B2069="","",$H2069),IF(INDEX(職員マスタ!$B$6:$B$405,$AN2069)="",$H2069,INDEX(職員マスタ!$B$6:$B$405,$AN2069)))</f>
        <v/>
      </c>
      <c r="W2069" s="14">
        <f>IF($AN2069="",IF($B2069="","",$R2069),IF(INDEX(職員マスタ!$C$6:$C$405,$AN2069)="",$R2069,INDEX(職員マスタ!$C$6:$C$405,$AN2069)))</f>
        <v/>
      </c>
      <c r="X2069" s="14">
        <f>IF($AO2069="","","R"&amp;$C2069&amp;"."&amp;$D2069)</f>
        <v/>
      </c>
      <c r="Y2069" s="15">
        <f>IF($AN2069="","",IF(INDEX(職員マスタ!$K$6:$K$405,$AN2069)="","",INDEX(職員マスタ!$K$6:$K$405,$AN2069)))</f>
        <v/>
      </c>
      <c r="Z2069" s="14">
        <f>IF(OR($E2069="",$Y2069=""),"",IF($E2069&gt;=$Y2069,"×",IF($E2069&gt;=$Y2069*設定!$C$5,"△","○")))</f>
        <v/>
      </c>
      <c r="AA2069" s="15">
        <f>IF($Z2069="","",IF($Z2069="×",0,IF($Z2069="○",ROUNDDOWN($E2069*設定!$C$4,0),ROUNDDOWN($E2069*ROUND((9*$Y2069-9*$E2069)/(10*$E2069),4),0))))</f>
        <v/>
      </c>
      <c r="AB2069" s="13" t="n"/>
      <c r="AC2069" s="15">
        <f>IF($B2069="","",IF($AB2069&lt;&gt;"",$AB2069,IF($AA2069="","",IF($AA2069&lt;=設定!$C$3,0,$AA2069))))</f>
        <v/>
      </c>
      <c r="AD2069" s="14">
        <f>IF($B2069="","",IF(AND($AE2069&lt;&gt;"",$AG2069="",$AJ2069=""),"保留中",IF($AJ2069&lt;&gt;"",IF(N($AC2069)&gt;0,"支給済","不支給"),IF($AC2069="","要確認",IF($AC2069=0,"不支給","未処理")))))</f>
        <v/>
      </c>
      <c r="AE2069" s="12" t="n"/>
      <c r="AF2069" s="11" t="n"/>
      <c r="AG2069" s="11" t="n"/>
      <c r="AH2069" s="11" t="n"/>
      <c r="AI2069" s="14">
        <f>IF(AND($AD2069="保留中",$AF2069&lt;&gt;""),TODAY()-$AF2069,"")</f>
        <v/>
      </c>
      <c r="AJ2069" s="12" t="n"/>
      <c r="AK2069" s="14">
        <f>IF($B2069="","",IF($AO2069="","対象年月が未入力／","")&amp;IF($B2069="","",IF($AN2069="","職員マスタに未登録の職員番号／",IF($Y2069="","標準報酬月額が未登録／","")&amp;IF(AND($AO2069&lt;&gt;"",OR(AND(INDEX(職員マスタ!$G$6:$G$405,$AN2069)&lt;&gt;"",INDEX(職員マスタ!$G$6:$G$405,$AN2069)&gt;EOMONTH($AO2069,0)),AND(INDEX(職員マスタ!$H$6:$H$405,$AN2069)&lt;&gt;"",INDEX(職員マスタ!$H$6:$H$405,$AN2069)&lt;$AO2069))),"対象月が時短期間外／","")&amp;IF(AND(INDEX(職員マスタ!$F$6:$F$405,$AN2069)&lt;&gt;"",$AO2069&lt;&gt;"",INDEX(職員マスタ!$F$6:$F$405,$AN2069)&lt;$AO2069),"対象月に子が2歳到達済／","")&amp;IF(AND($H2069&lt;&gt;"",INDEX(職員マスタ!$B$6:$B$405,$AN2069)&lt;&gt;"",SUBSTITUTE(SUBSTITUTE($H2069," ","")," ","")&lt;&gt;SUBSTITUTE(SUBSTITUTE(INDEX(職員マスタ!$B$6:$B$405,$AN2069)," ","")," ","")),"氏名がマスタと相違／","")&amp;IF(AND($Q2069&lt;&gt;"",INDEX(職員マスタ!$E$6:$E$405,$AN2069)&lt;&gt;"",$Q2069&lt;&gt;INDEX(職員マスタ!$E$6:$E$405,$AN2069)),"子の生年月日がマスタと相違／","")&amp;IF(AND($L2069&lt;&gt;"",INDEX(職員マスタ!$G$6:$G$405,$AN2069)&lt;&gt;"",$L2069&lt;&gt;INDEX(職員マスタ!$G$6:$G$405,$AN2069)),"時短開始日がマスタと相違／","")&amp;IF(AND($M2069&lt;&gt;"",INDEX(職員マスタ!$H$6:$H$405,$AN2069)&lt;&gt;"",$M2069&lt;&gt;INDEX(職員マスタ!$H$6:$H$405,$AN2069)),"時短終了日がマスタと相違／","")))&amp;IF(AND($B2069&lt;&gt;"",$E2069=""),"報酬額が未入力／","")&amp;IF(N($U2069)&gt;0,"申請書に入力エラーが残っています／","")&amp;IF(AND($B2069&lt;&gt;"",$AO2069&lt;&gt;""),IF(COUNTIFS($B$6:$B$3005,$B2069,$C$6:$C$3005,$C2069,$D$6:$D$3005,$D2069)&gt;1,"同じ月の請求が重複しています／",""),"")&amp;IF(AND(N($E2069)&gt;0,$Z2069&lt;&gt;"",$Z2069&lt;&gt;"×",$AC2069=0,$AB2069=""),"計算額が下限以下のため不支給／",""))</f>
        <v/>
      </c>
      <c r="AL2069" s="12" t="n"/>
      <c r="AM2069" s="14">
        <f>IF($AD2069="保留中",COUNTIF($AD$6:$AD2069,"保留中"),"")</f>
        <v/>
      </c>
      <c r="AN2069" s="14">
        <f>IF($AO2069="","",IF(SUMPRODUCT(MAX((職員マスタ!$A$6:$A$405=$B2069)*(((職員マスタ!$G$6:$G$405="")+(職員マスタ!$G$6:$G$405&lt;=EOMONTH($AO2069,0)))&gt;0)*(((職員マスタ!$H$6:$H$405="")+(職員マスタ!$H$6:$H$405&gt;=$AO2069))&gt;0)*(ROW(職員マスタ!$A$6:$A$405)-5)))&gt;0,SUMPRODUCT(MAX((職員マスタ!$A$6:$A$405=$B2069)*(((職員マスタ!$G$6:$G$405="")+(職員マスタ!$G$6:$G$405&lt;=EOMONTH($AO2069,0)))&gt;0)*(((職員マスタ!$H$6:$H$405="")+(職員マスタ!$H$6:$H$405&gt;=$AO2069))&gt;0)*(ROW(職員マスタ!$A$6:$A$405)-5))),IFERROR(MATCH($B2069,職員マスタ!$A$6:$A$405,0),"")))</f>
        <v/>
      </c>
      <c r="AO2069" s="16">
        <f>IF(OR($B2069="",$C2069="",$D2069=""),"",DATE($C2069+2018,$D2069,1))</f>
        <v/>
      </c>
    </row>
    <row r="2070">
      <c r="A2070" s="11" t="n"/>
      <c r="B2070" s="12" t="n"/>
      <c r="C2070" s="12" t="n"/>
      <c r="D2070" s="12" t="n"/>
      <c r="E2070" s="13" t="n"/>
      <c r="F2070" s="12" t="n"/>
      <c r="G2070" s="13" t="n"/>
      <c r="H2070" s="12" t="n"/>
      <c r="I2070" s="12" t="n"/>
      <c r="J2070" s="12" t="n"/>
      <c r="K2070" s="12" t="n"/>
      <c r="L2070" s="11" t="n"/>
      <c r="M2070" s="11" t="n"/>
      <c r="N2070" s="11" t="n"/>
      <c r="O2070" s="11" t="n"/>
      <c r="P2070" s="12" t="n"/>
      <c r="Q2070" s="11" t="n"/>
      <c r="R2070" s="12" t="n"/>
      <c r="S2070" s="11" t="n"/>
      <c r="T2070" s="12" t="n"/>
      <c r="U2070" s="12" t="n"/>
      <c r="V2070" s="14">
        <f>IF($AN2070="",IF($B2070="","",$H2070),IF(INDEX(職員マスタ!$B$6:$B$405,$AN2070)="",$H2070,INDEX(職員マスタ!$B$6:$B$405,$AN2070)))</f>
        <v/>
      </c>
      <c r="W2070" s="14">
        <f>IF($AN2070="",IF($B2070="","",$R2070),IF(INDEX(職員マスタ!$C$6:$C$405,$AN2070)="",$R2070,INDEX(職員マスタ!$C$6:$C$405,$AN2070)))</f>
        <v/>
      </c>
      <c r="X2070" s="14">
        <f>IF($AO2070="","","R"&amp;$C2070&amp;"."&amp;$D2070)</f>
        <v/>
      </c>
      <c r="Y2070" s="15">
        <f>IF($AN2070="","",IF(INDEX(職員マスタ!$K$6:$K$405,$AN2070)="","",INDEX(職員マスタ!$K$6:$K$405,$AN2070)))</f>
        <v/>
      </c>
      <c r="Z2070" s="14">
        <f>IF(OR($E2070="",$Y2070=""),"",IF($E2070&gt;=$Y2070,"×",IF($E2070&gt;=$Y2070*設定!$C$5,"△","○")))</f>
        <v/>
      </c>
      <c r="AA2070" s="15">
        <f>IF($Z2070="","",IF($Z2070="×",0,IF($Z2070="○",ROUNDDOWN($E2070*設定!$C$4,0),ROUNDDOWN($E2070*ROUND((9*$Y2070-9*$E2070)/(10*$E2070),4),0))))</f>
        <v/>
      </c>
      <c r="AB2070" s="13" t="n"/>
      <c r="AC2070" s="15">
        <f>IF($B2070="","",IF($AB2070&lt;&gt;"",$AB2070,IF($AA2070="","",IF($AA2070&lt;=設定!$C$3,0,$AA2070))))</f>
        <v/>
      </c>
      <c r="AD2070" s="14">
        <f>IF($B2070="","",IF(AND($AE2070&lt;&gt;"",$AG2070="",$AJ2070=""),"保留中",IF($AJ2070&lt;&gt;"",IF(N($AC2070)&gt;0,"支給済","不支給"),IF($AC2070="","要確認",IF($AC2070=0,"不支給","未処理")))))</f>
        <v/>
      </c>
      <c r="AE2070" s="12" t="n"/>
      <c r="AF2070" s="11" t="n"/>
      <c r="AG2070" s="11" t="n"/>
      <c r="AH2070" s="11" t="n"/>
      <c r="AI2070" s="14">
        <f>IF(AND($AD2070="保留中",$AF2070&lt;&gt;""),TODAY()-$AF2070,"")</f>
        <v/>
      </c>
      <c r="AJ2070" s="12" t="n"/>
      <c r="AK2070" s="14">
        <f>IF($B2070="","",IF($AO2070="","対象年月が未入力／","")&amp;IF($B2070="","",IF($AN2070="","職員マスタに未登録の職員番号／",IF($Y2070="","標準報酬月額が未登録／","")&amp;IF(AND($AO2070&lt;&gt;"",OR(AND(INDEX(職員マスタ!$G$6:$G$405,$AN2070)&lt;&gt;"",INDEX(職員マスタ!$G$6:$G$405,$AN2070)&gt;EOMONTH($AO2070,0)),AND(INDEX(職員マスタ!$H$6:$H$405,$AN2070)&lt;&gt;"",INDEX(職員マスタ!$H$6:$H$405,$AN2070)&lt;$AO2070))),"対象月が時短期間外／","")&amp;IF(AND(INDEX(職員マスタ!$F$6:$F$405,$AN2070)&lt;&gt;"",$AO2070&lt;&gt;"",INDEX(職員マスタ!$F$6:$F$405,$AN2070)&lt;$AO2070),"対象月に子が2歳到達済／","")&amp;IF(AND($H2070&lt;&gt;"",INDEX(職員マスタ!$B$6:$B$405,$AN2070)&lt;&gt;"",SUBSTITUTE(SUBSTITUTE($H2070," ","")," ","")&lt;&gt;SUBSTITUTE(SUBSTITUTE(INDEX(職員マスタ!$B$6:$B$405,$AN2070)," ","")," ","")),"氏名がマスタと相違／","")&amp;IF(AND($Q2070&lt;&gt;"",INDEX(職員マスタ!$E$6:$E$405,$AN2070)&lt;&gt;"",$Q2070&lt;&gt;INDEX(職員マスタ!$E$6:$E$405,$AN2070)),"子の生年月日がマスタと相違／","")&amp;IF(AND($L2070&lt;&gt;"",INDEX(職員マスタ!$G$6:$G$405,$AN2070)&lt;&gt;"",$L2070&lt;&gt;INDEX(職員マスタ!$G$6:$G$405,$AN2070)),"時短開始日がマスタと相違／","")&amp;IF(AND($M2070&lt;&gt;"",INDEX(職員マスタ!$H$6:$H$405,$AN2070)&lt;&gt;"",$M2070&lt;&gt;INDEX(職員マスタ!$H$6:$H$405,$AN2070)),"時短終了日がマスタと相違／","")))&amp;IF(AND($B2070&lt;&gt;"",$E2070=""),"報酬額が未入力／","")&amp;IF(N($U2070)&gt;0,"申請書に入力エラーが残っています／","")&amp;IF(AND($B2070&lt;&gt;"",$AO2070&lt;&gt;""),IF(COUNTIFS($B$6:$B$3005,$B2070,$C$6:$C$3005,$C2070,$D$6:$D$3005,$D2070)&gt;1,"同じ月の請求が重複しています／",""),"")&amp;IF(AND(N($E2070)&gt;0,$Z2070&lt;&gt;"",$Z2070&lt;&gt;"×",$AC2070=0,$AB2070=""),"計算額が下限以下のため不支給／",""))</f>
        <v/>
      </c>
      <c r="AL2070" s="12" t="n"/>
      <c r="AM2070" s="14">
        <f>IF($AD2070="保留中",COUNTIF($AD$6:$AD2070,"保留中"),"")</f>
        <v/>
      </c>
      <c r="AN2070" s="14">
        <f>IF($AO2070="","",IF(SUMPRODUCT(MAX((職員マスタ!$A$6:$A$405=$B2070)*(((職員マスタ!$G$6:$G$405="")+(職員マスタ!$G$6:$G$405&lt;=EOMONTH($AO2070,0)))&gt;0)*(((職員マスタ!$H$6:$H$405="")+(職員マスタ!$H$6:$H$405&gt;=$AO2070))&gt;0)*(ROW(職員マスタ!$A$6:$A$405)-5)))&gt;0,SUMPRODUCT(MAX((職員マスタ!$A$6:$A$405=$B2070)*(((職員マスタ!$G$6:$G$405="")+(職員マスタ!$G$6:$G$405&lt;=EOMONTH($AO2070,0)))&gt;0)*(((職員マスタ!$H$6:$H$405="")+(職員マスタ!$H$6:$H$405&gt;=$AO2070))&gt;0)*(ROW(職員マスタ!$A$6:$A$405)-5))),IFERROR(MATCH($B2070,職員マスタ!$A$6:$A$405,0),"")))</f>
        <v/>
      </c>
      <c r="AO2070" s="16">
        <f>IF(OR($B2070="",$C2070="",$D2070=""),"",DATE($C2070+2018,$D2070,1))</f>
        <v/>
      </c>
    </row>
    <row r="2071">
      <c r="A2071" s="11" t="n"/>
      <c r="B2071" s="12" t="n"/>
      <c r="C2071" s="12" t="n"/>
      <c r="D2071" s="12" t="n"/>
      <c r="E2071" s="13" t="n"/>
      <c r="F2071" s="12" t="n"/>
      <c r="G2071" s="13" t="n"/>
      <c r="H2071" s="12" t="n"/>
      <c r="I2071" s="12" t="n"/>
      <c r="J2071" s="12" t="n"/>
      <c r="K2071" s="12" t="n"/>
      <c r="L2071" s="11" t="n"/>
      <c r="M2071" s="11" t="n"/>
      <c r="N2071" s="11" t="n"/>
      <c r="O2071" s="11" t="n"/>
      <c r="P2071" s="12" t="n"/>
      <c r="Q2071" s="11" t="n"/>
      <c r="R2071" s="12" t="n"/>
      <c r="S2071" s="11" t="n"/>
      <c r="T2071" s="12" t="n"/>
      <c r="U2071" s="12" t="n"/>
      <c r="V2071" s="14">
        <f>IF($AN2071="",IF($B2071="","",$H2071),IF(INDEX(職員マスタ!$B$6:$B$405,$AN2071)="",$H2071,INDEX(職員マスタ!$B$6:$B$405,$AN2071)))</f>
        <v/>
      </c>
      <c r="W2071" s="14">
        <f>IF($AN2071="",IF($B2071="","",$R2071),IF(INDEX(職員マスタ!$C$6:$C$405,$AN2071)="",$R2071,INDEX(職員マスタ!$C$6:$C$405,$AN2071)))</f>
        <v/>
      </c>
      <c r="X2071" s="14">
        <f>IF($AO2071="","","R"&amp;$C2071&amp;"."&amp;$D2071)</f>
        <v/>
      </c>
      <c r="Y2071" s="15">
        <f>IF($AN2071="","",IF(INDEX(職員マスタ!$K$6:$K$405,$AN2071)="","",INDEX(職員マスタ!$K$6:$K$405,$AN2071)))</f>
        <v/>
      </c>
      <c r="Z2071" s="14">
        <f>IF(OR($E2071="",$Y2071=""),"",IF($E2071&gt;=$Y2071,"×",IF($E2071&gt;=$Y2071*設定!$C$5,"△","○")))</f>
        <v/>
      </c>
      <c r="AA2071" s="15">
        <f>IF($Z2071="","",IF($Z2071="×",0,IF($Z2071="○",ROUNDDOWN($E2071*設定!$C$4,0),ROUNDDOWN($E2071*ROUND((9*$Y2071-9*$E2071)/(10*$E2071),4),0))))</f>
        <v/>
      </c>
      <c r="AB2071" s="13" t="n"/>
      <c r="AC2071" s="15">
        <f>IF($B2071="","",IF($AB2071&lt;&gt;"",$AB2071,IF($AA2071="","",IF($AA2071&lt;=設定!$C$3,0,$AA2071))))</f>
        <v/>
      </c>
      <c r="AD2071" s="14">
        <f>IF($B2071="","",IF(AND($AE2071&lt;&gt;"",$AG2071="",$AJ2071=""),"保留中",IF($AJ2071&lt;&gt;"",IF(N($AC2071)&gt;0,"支給済","不支給"),IF($AC2071="","要確認",IF($AC2071=0,"不支給","未処理")))))</f>
        <v/>
      </c>
      <c r="AE2071" s="12" t="n"/>
      <c r="AF2071" s="11" t="n"/>
      <c r="AG2071" s="11" t="n"/>
      <c r="AH2071" s="11" t="n"/>
      <c r="AI2071" s="14">
        <f>IF(AND($AD2071="保留中",$AF2071&lt;&gt;""),TODAY()-$AF2071,"")</f>
        <v/>
      </c>
      <c r="AJ2071" s="12" t="n"/>
      <c r="AK2071" s="14">
        <f>IF($B2071="","",IF($AO2071="","対象年月が未入力／","")&amp;IF($B2071="","",IF($AN2071="","職員マスタに未登録の職員番号／",IF($Y2071="","標準報酬月額が未登録／","")&amp;IF(AND($AO2071&lt;&gt;"",OR(AND(INDEX(職員マスタ!$G$6:$G$405,$AN2071)&lt;&gt;"",INDEX(職員マスタ!$G$6:$G$405,$AN2071)&gt;EOMONTH($AO2071,0)),AND(INDEX(職員マスタ!$H$6:$H$405,$AN2071)&lt;&gt;"",INDEX(職員マスタ!$H$6:$H$405,$AN2071)&lt;$AO2071))),"対象月が時短期間外／","")&amp;IF(AND(INDEX(職員マスタ!$F$6:$F$405,$AN2071)&lt;&gt;"",$AO2071&lt;&gt;"",INDEX(職員マスタ!$F$6:$F$405,$AN2071)&lt;$AO2071),"対象月に子が2歳到達済／","")&amp;IF(AND($H2071&lt;&gt;"",INDEX(職員マスタ!$B$6:$B$405,$AN2071)&lt;&gt;"",SUBSTITUTE(SUBSTITUTE($H2071," ","")," ","")&lt;&gt;SUBSTITUTE(SUBSTITUTE(INDEX(職員マスタ!$B$6:$B$405,$AN2071)," ","")," ","")),"氏名がマスタと相違／","")&amp;IF(AND($Q2071&lt;&gt;"",INDEX(職員マスタ!$E$6:$E$405,$AN2071)&lt;&gt;"",$Q2071&lt;&gt;INDEX(職員マスタ!$E$6:$E$405,$AN2071)),"子の生年月日がマスタと相違／","")&amp;IF(AND($L2071&lt;&gt;"",INDEX(職員マスタ!$G$6:$G$405,$AN2071)&lt;&gt;"",$L2071&lt;&gt;INDEX(職員マスタ!$G$6:$G$405,$AN2071)),"時短開始日がマスタと相違／","")&amp;IF(AND($M2071&lt;&gt;"",INDEX(職員マスタ!$H$6:$H$405,$AN2071)&lt;&gt;"",$M2071&lt;&gt;INDEX(職員マスタ!$H$6:$H$405,$AN2071)),"時短終了日がマスタと相違／","")))&amp;IF(AND($B2071&lt;&gt;"",$E2071=""),"報酬額が未入力／","")&amp;IF(N($U2071)&gt;0,"申請書に入力エラーが残っています／","")&amp;IF(AND($B2071&lt;&gt;"",$AO2071&lt;&gt;""),IF(COUNTIFS($B$6:$B$3005,$B2071,$C$6:$C$3005,$C2071,$D$6:$D$3005,$D2071)&gt;1,"同じ月の請求が重複しています／",""),"")&amp;IF(AND(N($E2071)&gt;0,$Z2071&lt;&gt;"",$Z2071&lt;&gt;"×",$AC2071=0,$AB2071=""),"計算額が下限以下のため不支給／",""))</f>
        <v/>
      </c>
      <c r="AL2071" s="12" t="n"/>
      <c r="AM2071" s="14">
        <f>IF($AD2071="保留中",COUNTIF($AD$6:$AD2071,"保留中"),"")</f>
        <v/>
      </c>
      <c r="AN2071" s="14">
        <f>IF($AO2071="","",IF(SUMPRODUCT(MAX((職員マスタ!$A$6:$A$405=$B2071)*(((職員マスタ!$G$6:$G$405="")+(職員マスタ!$G$6:$G$405&lt;=EOMONTH($AO2071,0)))&gt;0)*(((職員マスタ!$H$6:$H$405="")+(職員マスタ!$H$6:$H$405&gt;=$AO2071))&gt;0)*(ROW(職員マスタ!$A$6:$A$405)-5)))&gt;0,SUMPRODUCT(MAX((職員マスタ!$A$6:$A$405=$B2071)*(((職員マスタ!$G$6:$G$405="")+(職員マスタ!$G$6:$G$405&lt;=EOMONTH($AO2071,0)))&gt;0)*(((職員マスタ!$H$6:$H$405="")+(職員マスタ!$H$6:$H$405&gt;=$AO2071))&gt;0)*(ROW(職員マスタ!$A$6:$A$405)-5))),IFERROR(MATCH($B2071,職員マスタ!$A$6:$A$405,0),"")))</f>
        <v/>
      </c>
      <c r="AO2071" s="16">
        <f>IF(OR($B2071="",$C2071="",$D2071=""),"",DATE($C2071+2018,$D2071,1))</f>
        <v/>
      </c>
    </row>
    <row r="2072">
      <c r="A2072" s="11" t="n"/>
      <c r="B2072" s="12" t="n"/>
      <c r="C2072" s="12" t="n"/>
      <c r="D2072" s="12" t="n"/>
      <c r="E2072" s="13" t="n"/>
      <c r="F2072" s="12" t="n"/>
      <c r="G2072" s="13" t="n"/>
      <c r="H2072" s="12" t="n"/>
      <c r="I2072" s="12" t="n"/>
      <c r="J2072" s="12" t="n"/>
      <c r="K2072" s="12" t="n"/>
      <c r="L2072" s="11" t="n"/>
      <c r="M2072" s="11" t="n"/>
      <c r="N2072" s="11" t="n"/>
      <c r="O2072" s="11" t="n"/>
      <c r="P2072" s="12" t="n"/>
      <c r="Q2072" s="11" t="n"/>
      <c r="R2072" s="12" t="n"/>
      <c r="S2072" s="11" t="n"/>
      <c r="T2072" s="12" t="n"/>
      <c r="U2072" s="12" t="n"/>
      <c r="V2072" s="14">
        <f>IF($AN2072="",IF($B2072="","",$H2072),IF(INDEX(職員マスタ!$B$6:$B$405,$AN2072)="",$H2072,INDEX(職員マスタ!$B$6:$B$405,$AN2072)))</f>
        <v/>
      </c>
      <c r="W2072" s="14">
        <f>IF($AN2072="",IF($B2072="","",$R2072),IF(INDEX(職員マスタ!$C$6:$C$405,$AN2072)="",$R2072,INDEX(職員マスタ!$C$6:$C$405,$AN2072)))</f>
        <v/>
      </c>
      <c r="X2072" s="14">
        <f>IF($AO2072="","","R"&amp;$C2072&amp;"."&amp;$D2072)</f>
        <v/>
      </c>
      <c r="Y2072" s="15">
        <f>IF($AN2072="","",IF(INDEX(職員マスタ!$K$6:$K$405,$AN2072)="","",INDEX(職員マスタ!$K$6:$K$405,$AN2072)))</f>
        <v/>
      </c>
      <c r="Z2072" s="14">
        <f>IF(OR($E2072="",$Y2072=""),"",IF($E2072&gt;=$Y2072,"×",IF($E2072&gt;=$Y2072*設定!$C$5,"△","○")))</f>
        <v/>
      </c>
      <c r="AA2072" s="15">
        <f>IF($Z2072="","",IF($Z2072="×",0,IF($Z2072="○",ROUNDDOWN($E2072*設定!$C$4,0),ROUNDDOWN($E2072*ROUND((9*$Y2072-9*$E2072)/(10*$E2072),4),0))))</f>
        <v/>
      </c>
      <c r="AB2072" s="13" t="n"/>
      <c r="AC2072" s="15">
        <f>IF($B2072="","",IF($AB2072&lt;&gt;"",$AB2072,IF($AA2072="","",IF($AA2072&lt;=設定!$C$3,0,$AA2072))))</f>
        <v/>
      </c>
      <c r="AD2072" s="14">
        <f>IF($B2072="","",IF(AND($AE2072&lt;&gt;"",$AG2072="",$AJ2072=""),"保留中",IF($AJ2072&lt;&gt;"",IF(N($AC2072)&gt;0,"支給済","不支給"),IF($AC2072="","要確認",IF($AC2072=0,"不支給","未処理")))))</f>
        <v/>
      </c>
      <c r="AE2072" s="12" t="n"/>
      <c r="AF2072" s="11" t="n"/>
      <c r="AG2072" s="11" t="n"/>
      <c r="AH2072" s="11" t="n"/>
      <c r="AI2072" s="14">
        <f>IF(AND($AD2072="保留中",$AF2072&lt;&gt;""),TODAY()-$AF2072,"")</f>
        <v/>
      </c>
      <c r="AJ2072" s="12" t="n"/>
      <c r="AK2072" s="14">
        <f>IF($B2072="","",IF($AO2072="","対象年月が未入力／","")&amp;IF($B2072="","",IF($AN2072="","職員マスタに未登録の職員番号／",IF($Y2072="","標準報酬月額が未登録／","")&amp;IF(AND($AO2072&lt;&gt;"",OR(AND(INDEX(職員マスタ!$G$6:$G$405,$AN2072)&lt;&gt;"",INDEX(職員マスタ!$G$6:$G$405,$AN2072)&gt;EOMONTH($AO2072,0)),AND(INDEX(職員マスタ!$H$6:$H$405,$AN2072)&lt;&gt;"",INDEX(職員マスタ!$H$6:$H$405,$AN2072)&lt;$AO2072))),"対象月が時短期間外／","")&amp;IF(AND(INDEX(職員マスタ!$F$6:$F$405,$AN2072)&lt;&gt;"",$AO2072&lt;&gt;"",INDEX(職員マスタ!$F$6:$F$405,$AN2072)&lt;$AO2072),"対象月に子が2歳到達済／","")&amp;IF(AND($H2072&lt;&gt;"",INDEX(職員マスタ!$B$6:$B$405,$AN2072)&lt;&gt;"",SUBSTITUTE(SUBSTITUTE($H2072," ","")," ","")&lt;&gt;SUBSTITUTE(SUBSTITUTE(INDEX(職員マスタ!$B$6:$B$405,$AN2072)," ","")," ","")),"氏名がマスタと相違／","")&amp;IF(AND($Q2072&lt;&gt;"",INDEX(職員マスタ!$E$6:$E$405,$AN2072)&lt;&gt;"",$Q2072&lt;&gt;INDEX(職員マスタ!$E$6:$E$405,$AN2072)),"子の生年月日がマスタと相違／","")&amp;IF(AND($L2072&lt;&gt;"",INDEX(職員マスタ!$G$6:$G$405,$AN2072)&lt;&gt;"",$L2072&lt;&gt;INDEX(職員マスタ!$G$6:$G$405,$AN2072)),"時短開始日がマスタと相違／","")&amp;IF(AND($M2072&lt;&gt;"",INDEX(職員マスタ!$H$6:$H$405,$AN2072)&lt;&gt;"",$M2072&lt;&gt;INDEX(職員マスタ!$H$6:$H$405,$AN2072)),"時短終了日がマスタと相違／","")))&amp;IF(AND($B2072&lt;&gt;"",$E2072=""),"報酬額が未入力／","")&amp;IF(N($U2072)&gt;0,"申請書に入力エラーが残っています／","")&amp;IF(AND($B2072&lt;&gt;"",$AO2072&lt;&gt;""),IF(COUNTIFS($B$6:$B$3005,$B2072,$C$6:$C$3005,$C2072,$D$6:$D$3005,$D2072)&gt;1,"同じ月の請求が重複しています／",""),"")&amp;IF(AND(N($E2072)&gt;0,$Z2072&lt;&gt;"",$Z2072&lt;&gt;"×",$AC2072=0,$AB2072=""),"計算額が下限以下のため不支給／",""))</f>
        <v/>
      </c>
      <c r="AL2072" s="12" t="n"/>
      <c r="AM2072" s="14">
        <f>IF($AD2072="保留中",COUNTIF($AD$6:$AD2072,"保留中"),"")</f>
        <v/>
      </c>
      <c r="AN2072" s="14">
        <f>IF($AO2072="","",IF(SUMPRODUCT(MAX((職員マスタ!$A$6:$A$405=$B2072)*(((職員マスタ!$G$6:$G$405="")+(職員マスタ!$G$6:$G$405&lt;=EOMONTH($AO2072,0)))&gt;0)*(((職員マスタ!$H$6:$H$405="")+(職員マスタ!$H$6:$H$405&gt;=$AO2072))&gt;0)*(ROW(職員マスタ!$A$6:$A$405)-5)))&gt;0,SUMPRODUCT(MAX((職員マスタ!$A$6:$A$405=$B2072)*(((職員マスタ!$G$6:$G$405="")+(職員マスタ!$G$6:$G$405&lt;=EOMONTH($AO2072,0)))&gt;0)*(((職員マスタ!$H$6:$H$405="")+(職員マスタ!$H$6:$H$405&gt;=$AO2072))&gt;0)*(ROW(職員マスタ!$A$6:$A$405)-5))),IFERROR(MATCH($B2072,職員マスタ!$A$6:$A$405,0),"")))</f>
        <v/>
      </c>
      <c r="AO2072" s="16">
        <f>IF(OR($B2072="",$C2072="",$D2072=""),"",DATE($C2072+2018,$D2072,1))</f>
        <v/>
      </c>
    </row>
    <row r="2073">
      <c r="A2073" s="11" t="n"/>
      <c r="B2073" s="12" t="n"/>
      <c r="C2073" s="12" t="n"/>
      <c r="D2073" s="12" t="n"/>
      <c r="E2073" s="13" t="n"/>
      <c r="F2073" s="12" t="n"/>
      <c r="G2073" s="13" t="n"/>
      <c r="H2073" s="12" t="n"/>
      <c r="I2073" s="12" t="n"/>
      <c r="J2073" s="12" t="n"/>
      <c r="K2073" s="12" t="n"/>
      <c r="L2073" s="11" t="n"/>
      <c r="M2073" s="11" t="n"/>
      <c r="N2073" s="11" t="n"/>
      <c r="O2073" s="11" t="n"/>
      <c r="P2073" s="12" t="n"/>
      <c r="Q2073" s="11" t="n"/>
      <c r="R2073" s="12" t="n"/>
      <c r="S2073" s="11" t="n"/>
      <c r="T2073" s="12" t="n"/>
      <c r="U2073" s="12" t="n"/>
      <c r="V2073" s="14">
        <f>IF($AN2073="",IF($B2073="","",$H2073),IF(INDEX(職員マスタ!$B$6:$B$405,$AN2073)="",$H2073,INDEX(職員マスタ!$B$6:$B$405,$AN2073)))</f>
        <v/>
      </c>
      <c r="W2073" s="14">
        <f>IF($AN2073="",IF($B2073="","",$R2073),IF(INDEX(職員マスタ!$C$6:$C$405,$AN2073)="",$R2073,INDEX(職員マスタ!$C$6:$C$405,$AN2073)))</f>
        <v/>
      </c>
      <c r="X2073" s="14">
        <f>IF($AO2073="","","R"&amp;$C2073&amp;"."&amp;$D2073)</f>
        <v/>
      </c>
      <c r="Y2073" s="15">
        <f>IF($AN2073="","",IF(INDEX(職員マスタ!$K$6:$K$405,$AN2073)="","",INDEX(職員マスタ!$K$6:$K$405,$AN2073)))</f>
        <v/>
      </c>
      <c r="Z2073" s="14">
        <f>IF(OR($E2073="",$Y2073=""),"",IF($E2073&gt;=$Y2073,"×",IF($E2073&gt;=$Y2073*設定!$C$5,"△","○")))</f>
        <v/>
      </c>
      <c r="AA2073" s="15">
        <f>IF($Z2073="","",IF($Z2073="×",0,IF($Z2073="○",ROUNDDOWN($E2073*設定!$C$4,0),ROUNDDOWN($E2073*ROUND((9*$Y2073-9*$E2073)/(10*$E2073),4),0))))</f>
        <v/>
      </c>
      <c r="AB2073" s="13" t="n"/>
      <c r="AC2073" s="15">
        <f>IF($B2073="","",IF($AB2073&lt;&gt;"",$AB2073,IF($AA2073="","",IF($AA2073&lt;=設定!$C$3,0,$AA2073))))</f>
        <v/>
      </c>
      <c r="AD2073" s="14">
        <f>IF($B2073="","",IF(AND($AE2073&lt;&gt;"",$AG2073="",$AJ2073=""),"保留中",IF($AJ2073&lt;&gt;"",IF(N($AC2073)&gt;0,"支給済","不支給"),IF($AC2073="","要確認",IF($AC2073=0,"不支給","未処理")))))</f>
        <v/>
      </c>
      <c r="AE2073" s="12" t="n"/>
      <c r="AF2073" s="11" t="n"/>
      <c r="AG2073" s="11" t="n"/>
      <c r="AH2073" s="11" t="n"/>
      <c r="AI2073" s="14">
        <f>IF(AND($AD2073="保留中",$AF2073&lt;&gt;""),TODAY()-$AF2073,"")</f>
        <v/>
      </c>
      <c r="AJ2073" s="12" t="n"/>
      <c r="AK2073" s="14">
        <f>IF($B2073="","",IF($AO2073="","対象年月が未入力／","")&amp;IF($B2073="","",IF($AN2073="","職員マスタに未登録の職員番号／",IF($Y2073="","標準報酬月額が未登録／","")&amp;IF(AND($AO2073&lt;&gt;"",OR(AND(INDEX(職員マスタ!$G$6:$G$405,$AN2073)&lt;&gt;"",INDEX(職員マスタ!$G$6:$G$405,$AN2073)&gt;EOMONTH($AO2073,0)),AND(INDEX(職員マスタ!$H$6:$H$405,$AN2073)&lt;&gt;"",INDEX(職員マスタ!$H$6:$H$405,$AN2073)&lt;$AO2073))),"対象月が時短期間外／","")&amp;IF(AND(INDEX(職員マスタ!$F$6:$F$405,$AN2073)&lt;&gt;"",$AO2073&lt;&gt;"",INDEX(職員マスタ!$F$6:$F$405,$AN2073)&lt;$AO2073),"対象月に子が2歳到達済／","")&amp;IF(AND($H2073&lt;&gt;"",INDEX(職員マスタ!$B$6:$B$405,$AN2073)&lt;&gt;"",SUBSTITUTE(SUBSTITUTE($H2073," ","")," ","")&lt;&gt;SUBSTITUTE(SUBSTITUTE(INDEX(職員マスタ!$B$6:$B$405,$AN2073)," ","")," ","")),"氏名がマスタと相違／","")&amp;IF(AND($Q2073&lt;&gt;"",INDEX(職員マスタ!$E$6:$E$405,$AN2073)&lt;&gt;"",$Q2073&lt;&gt;INDEX(職員マスタ!$E$6:$E$405,$AN2073)),"子の生年月日がマスタと相違／","")&amp;IF(AND($L2073&lt;&gt;"",INDEX(職員マスタ!$G$6:$G$405,$AN2073)&lt;&gt;"",$L2073&lt;&gt;INDEX(職員マスタ!$G$6:$G$405,$AN2073)),"時短開始日がマスタと相違／","")&amp;IF(AND($M2073&lt;&gt;"",INDEX(職員マスタ!$H$6:$H$405,$AN2073)&lt;&gt;"",$M2073&lt;&gt;INDEX(職員マスタ!$H$6:$H$405,$AN2073)),"時短終了日がマスタと相違／","")))&amp;IF(AND($B2073&lt;&gt;"",$E2073=""),"報酬額が未入力／","")&amp;IF(N($U2073)&gt;0,"申請書に入力エラーが残っています／","")&amp;IF(AND($B2073&lt;&gt;"",$AO2073&lt;&gt;""),IF(COUNTIFS($B$6:$B$3005,$B2073,$C$6:$C$3005,$C2073,$D$6:$D$3005,$D2073)&gt;1,"同じ月の請求が重複しています／",""),"")&amp;IF(AND(N($E2073)&gt;0,$Z2073&lt;&gt;"",$Z2073&lt;&gt;"×",$AC2073=0,$AB2073=""),"計算額が下限以下のため不支給／",""))</f>
        <v/>
      </c>
      <c r="AL2073" s="12" t="n"/>
      <c r="AM2073" s="14">
        <f>IF($AD2073="保留中",COUNTIF($AD$6:$AD2073,"保留中"),"")</f>
        <v/>
      </c>
      <c r="AN2073" s="14">
        <f>IF($AO2073="","",IF(SUMPRODUCT(MAX((職員マスタ!$A$6:$A$405=$B2073)*(((職員マスタ!$G$6:$G$405="")+(職員マスタ!$G$6:$G$405&lt;=EOMONTH($AO2073,0)))&gt;0)*(((職員マスタ!$H$6:$H$405="")+(職員マスタ!$H$6:$H$405&gt;=$AO2073))&gt;0)*(ROW(職員マスタ!$A$6:$A$405)-5)))&gt;0,SUMPRODUCT(MAX((職員マスタ!$A$6:$A$405=$B2073)*(((職員マスタ!$G$6:$G$405="")+(職員マスタ!$G$6:$G$405&lt;=EOMONTH($AO2073,0)))&gt;0)*(((職員マスタ!$H$6:$H$405="")+(職員マスタ!$H$6:$H$405&gt;=$AO2073))&gt;0)*(ROW(職員マスタ!$A$6:$A$405)-5))),IFERROR(MATCH($B2073,職員マスタ!$A$6:$A$405,0),"")))</f>
        <v/>
      </c>
      <c r="AO2073" s="16">
        <f>IF(OR($B2073="",$C2073="",$D2073=""),"",DATE($C2073+2018,$D2073,1))</f>
        <v/>
      </c>
    </row>
    <row r="2074">
      <c r="A2074" s="11" t="n"/>
      <c r="B2074" s="12" t="n"/>
      <c r="C2074" s="12" t="n"/>
      <c r="D2074" s="12" t="n"/>
      <c r="E2074" s="13" t="n"/>
      <c r="F2074" s="12" t="n"/>
      <c r="G2074" s="13" t="n"/>
      <c r="H2074" s="12" t="n"/>
      <c r="I2074" s="12" t="n"/>
      <c r="J2074" s="12" t="n"/>
      <c r="K2074" s="12" t="n"/>
      <c r="L2074" s="11" t="n"/>
      <c r="M2074" s="11" t="n"/>
      <c r="N2074" s="11" t="n"/>
      <c r="O2074" s="11" t="n"/>
      <c r="P2074" s="12" t="n"/>
      <c r="Q2074" s="11" t="n"/>
      <c r="R2074" s="12" t="n"/>
      <c r="S2074" s="11" t="n"/>
      <c r="T2074" s="12" t="n"/>
      <c r="U2074" s="12" t="n"/>
      <c r="V2074" s="14">
        <f>IF($AN2074="",IF($B2074="","",$H2074),IF(INDEX(職員マスタ!$B$6:$B$405,$AN2074)="",$H2074,INDEX(職員マスタ!$B$6:$B$405,$AN2074)))</f>
        <v/>
      </c>
      <c r="W2074" s="14">
        <f>IF($AN2074="",IF($B2074="","",$R2074),IF(INDEX(職員マスタ!$C$6:$C$405,$AN2074)="",$R2074,INDEX(職員マスタ!$C$6:$C$405,$AN2074)))</f>
        <v/>
      </c>
      <c r="X2074" s="14">
        <f>IF($AO2074="","","R"&amp;$C2074&amp;"."&amp;$D2074)</f>
        <v/>
      </c>
      <c r="Y2074" s="15">
        <f>IF($AN2074="","",IF(INDEX(職員マスタ!$K$6:$K$405,$AN2074)="","",INDEX(職員マスタ!$K$6:$K$405,$AN2074)))</f>
        <v/>
      </c>
      <c r="Z2074" s="14">
        <f>IF(OR($E2074="",$Y2074=""),"",IF($E2074&gt;=$Y2074,"×",IF($E2074&gt;=$Y2074*設定!$C$5,"△","○")))</f>
        <v/>
      </c>
      <c r="AA2074" s="15">
        <f>IF($Z2074="","",IF($Z2074="×",0,IF($Z2074="○",ROUNDDOWN($E2074*設定!$C$4,0),ROUNDDOWN($E2074*ROUND((9*$Y2074-9*$E2074)/(10*$E2074),4),0))))</f>
        <v/>
      </c>
      <c r="AB2074" s="13" t="n"/>
      <c r="AC2074" s="15">
        <f>IF($B2074="","",IF($AB2074&lt;&gt;"",$AB2074,IF($AA2074="","",IF($AA2074&lt;=設定!$C$3,0,$AA2074))))</f>
        <v/>
      </c>
      <c r="AD2074" s="14">
        <f>IF($B2074="","",IF(AND($AE2074&lt;&gt;"",$AG2074="",$AJ2074=""),"保留中",IF($AJ2074&lt;&gt;"",IF(N($AC2074)&gt;0,"支給済","不支給"),IF($AC2074="","要確認",IF($AC2074=0,"不支給","未処理")))))</f>
        <v/>
      </c>
      <c r="AE2074" s="12" t="n"/>
      <c r="AF2074" s="11" t="n"/>
      <c r="AG2074" s="11" t="n"/>
      <c r="AH2074" s="11" t="n"/>
      <c r="AI2074" s="14">
        <f>IF(AND($AD2074="保留中",$AF2074&lt;&gt;""),TODAY()-$AF2074,"")</f>
        <v/>
      </c>
      <c r="AJ2074" s="12" t="n"/>
      <c r="AK2074" s="14">
        <f>IF($B2074="","",IF($AO2074="","対象年月が未入力／","")&amp;IF($B2074="","",IF($AN2074="","職員マスタに未登録の職員番号／",IF($Y2074="","標準報酬月額が未登録／","")&amp;IF(AND($AO2074&lt;&gt;"",OR(AND(INDEX(職員マスタ!$G$6:$G$405,$AN2074)&lt;&gt;"",INDEX(職員マスタ!$G$6:$G$405,$AN2074)&gt;EOMONTH($AO2074,0)),AND(INDEX(職員マスタ!$H$6:$H$405,$AN2074)&lt;&gt;"",INDEX(職員マスタ!$H$6:$H$405,$AN2074)&lt;$AO2074))),"対象月が時短期間外／","")&amp;IF(AND(INDEX(職員マスタ!$F$6:$F$405,$AN2074)&lt;&gt;"",$AO2074&lt;&gt;"",INDEX(職員マスタ!$F$6:$F$405,$AN2074)&lt;$AO2074),"対象月に子が2歳到達済／","")&amp;IF(AND($H2074&lt;&gt;"",INDEX(職員マスタ!$B$6:$B$405,$AN2074)&lt;&gt;"",SUBSTITUTE(SUBSTITUTE($H2074," ","")," ","")&lt;&gt;SUBSTITUTE(SUBSTITUTE(INDEX(職員マスタ!$B$6:$B$405,$AN2074)," ","")," ","")),"氏名がマスタと相違／","")&amp;IF(AND($Q2074&lt;&gt;"",INDEX(職員マスタ!$E$6:$E$405,$AN2074)&lt;&gt;"",$Q2074&lt;&gt;INDEX(職員マスタ!$E$6:$E$405,$AN2074)),"子の生年月日がマスタと相違／","")&amp;IF(AND($L2074&lt;&gt;"",INDEX(職員マスタ!$G$6:$G$405,$AN2074)&lt;&gt;"",$L2074&lt;&gt;INDEX(職員マスタ!$G$6:$G$405,$AN2074)),"時短開始日がマスタと相違／","")&amp;IF(AND($M2074&lt;&gt;"",INDEX(職員マスタ!$H$6:$H$405,$AN2074)&lt;&gt;"",$M2074&lt;&gt;INDEX(職員マスタ!$H$6:$H$405,$AN2074)),"時短終了日がマスタと相違／","")))&amp;IF(AND($B2074&lt;&gt;"",$E2074=""),"報酬額が未入力／","")&amp;IF(N($U2074)&gt;0,"申請書に入力エラーが残っています／","")&amp;IF(AND($B2074&lt;&gt;"",$AO2074&lt;&gt;""),IF(COUNTIFS($B$6:$B$3005,$B2074,$C$6:$C$3005,$C2074,$D$6:$D$3005,$D2074)&gt;1,"同じ月の請求が重複しています／",""),"")&amp;IF(AND(N($E2074)&gt;0,$Z2074&lt;&gt;"",$Z2074&lt;&gt;"×",$AC2074=0,$AB2074=""),"計算額が下限以下のため不支給／",""))</f>
        <v/>
      </c>
      <c r="AL2074" s="12" t="n"/>
      <c r="AM2074" s="14">
        <f>IF($AD2074="保留中",COUNTIF($AD$6:$AD2074,"保留中"),"")</f>
        <v/>
      </c>
      <c r="AN2074" s="14">
        <f>IF($AO2074="","",IF(SUMPRODUCT(MAX((職員マスタ!$A$6:$A$405=$B2074)*(((職員マスタ!$G$6:$G$405="")+(職員マスタ!$G$6:$G$405&lt;=EOMONTH($AO2074,0)))&gt;0)*(((職員マスタ!$H$6:$H$405="")+(職員マスタ!$H$6:$H$405&gt;=$AO2074))&gt;0)*(ROW(職員マスタ!$A$6:$A$405)-5)))&gt;0,SUMPRODUCT(MAX((職員マスタ!$A$6:$A$405=$B2074)*(((職員マスタ!$G$6:$G$405="")+(職員マスタ!$G$6:$G$405&lt;=EOMONTH($AO2074,0)))&gt;0)*(((職員マスタ!$H$6:$H$405="")+(職員マスタ!$H$6:$H$405&gt;=$AO2074))&gt;0)*(ROW(職員マスタ!$A$6:$A$405)-5))),IFERROR(MATCH($B2074,職員マスタ!$A$6:$A$405,0),"")))</f>
        <v/>
      </c>
      <c r="AO2074" s="16">
        <f>IF(OR($B2074="",$C2074="",$D2074=""),"",DATE($C2074+2018,$D2074,1))</f>
        <v/>
      </c>
    </row>
    <row r="2075">
      <c r="A2075" s="11" t="n"/>
      <c r="B2075" s="12" t="n"/>
      <c r="C2075" s="12" t="n"/>
      <c r="D2075" s="12" t="n"/>
      <c r="E2075" s="13" t="n"/>
      <c r="F2075" s="12" t="n"/>
      <c r="G2075" s="13" t="n"/>
      <c r="H2075" s="12" t="n"/>
      <c r="I2075" s="12" t="n"/>
      <c r="J2075" s="12" t="n"/>
      <c r="K2075" s="12" t="n"/>
      <c r="L2075" s="11" t="n"/>
      <c r="M2075" s="11" t="n"/>
      <c r="N2075" s="11" t="n"/>
      <c r="O2075" s="11" t="n"/>
      <c r="P2075" s="12" t="n"/>
      <c r="Q2075" s="11" t="n"/>
      <c r="R2075" s="12" t="n"/>
      <c r="S2075" s="11" t="n"/>
      <c r="T2075" s="12" t="n"/>
      <c r="U2075" s="12" t="n"/>
      <c r="V2075" s="14">
        <f>IF($AN2075="",IF($B2075="","",$H2075),IF(INDEX(職員マスタ!$B$6:$B$405,$AN2075)="",$H2075,INDEX(職員マスタ!$B$6:$B$405,$AN2075)))</f>
        <v/>
      </c>
      <c r="W2075" s="14">
        <f>IF($AN2075="",IF($B2075="","",$R2075),IF(INDEX(職員マスタ!$C$6:$C$405,$AN2075)="",$R2075,INDEX(職員マスタ!$C$6:$C$405,$AN2075)))</f>
        <v/>
      </c>
      <c r="X2075" s="14">
        <f>IF($AO2075="","","R"&amp;$C2075&amp;"."&amp;$D2075)</f>
        <v/>
      </c>
      <c r="Y2075" s="15">
        <f>IF($AN2075="","",IF(INDEX(職員マスタ!$K$6:$K$405,$AN2075)="","",INDEX(職員マスタ!$K$6:$K$405,$AN2075)))</f>
        <v/>
      </c>
      <c r="Z2075" s="14">
        <f>IF(OR($E2075="",$Y2075=""),"",IF($E2075&gt;=$Y2075,"×",IF($E2075&gt;=$Y2075*設定!$C$5,"△","○")))</f>
        <v/>
      </c>
      <c r="AA2075" s="15">
        <f>IF($Z2075="","",IF($Z2075="×",0,IF($Z2075="○",ROUNDDOWN($E2075*設定!$C$4,0),ROUNDDOWN($E2075*ROUND((9*$Y2075-9*$E2075)/(10*$E2075),4),0))))</f>
        <v/>
      </c>
      <c r="AB2075" s="13" t="n"/>
      <c r="AC2075" s="15">
        <f>IF($B2075="","",IF($AB2075&lt;&gt;"",$AB2075,IF($AA2075="","",IF($AA2075&lt;=設定!$C$3,0,$AA2075))))</f>
        <v/>
      </c>
      <c r="AD2075" s="14">
        <f>IF($B2075="","",IF(AND($AE2075&lt;&gt;"",$AG2075="",$AJ2075=""),"保留中",IF($AJ2075&lt;&gt;"",IF(N($AC2075)&gt;0,"支給済","不支給"),IF($AC2075="","要確認",IF($AC2075=0,"不支給","未処理")))))</f>
        <v/>
      </c>
      <c r="AE2075" s="12" t="n"/>
      <c r="AF2075" s="11" t="n"/>
      <c r="AG2075" s="11" t="n"/>
      <c r="AH2075" s="11" t="n"/>
      <c r="AI2075" s="14">
        <f>IF(AND($AD2075="保留中",$AF2075&lt;&gt;""),TODAY()-$AF2075,"")</f>
        <v/>
      </c>
      <c r="AJ2075" s="12" t="n"/>
      <c r="AK2075" s="14">
        <f>IF($B2075="","",IF($AO2075="","対象年月が未入力／","")&amp;IF($B2075="","",IF($AN2075="","職員マスタに未登録の職員番号／",IF($Y2075="","標準報酬月額が未登録／","")&amp;IF(AND($AO2075&lt;&gt;"",OR(AND(INDEX(職員マスタ!$G$6:$G$405,$AN2075)&lt;&gt;"",INDEX(職員マスタ!$G$6:$G$405,$AN2075)&gt;EOMONTH($AO2075,0)),AND(INDEX(職員マスタ!$H$6:$H$405,$AN2075)&lt;&gt;"",INDEX(職員マスタ!$H$6:$H$405,$AN2075)&lt;$AO2075))),"対象月が時短期間外／","")&amp;IF(AND(INDEX(職員マスタ!$F$6:$F$405,$AN2075)&lt;&gt;"",$AO2075&lt;&gt;"",INDEX(職員マスタ!$F$6:$F$405,$AN2075)&lt;$AO2075),"対象月に子が2歳到達済／","")&amp;IF(AND($H2075&lt;&gt;"",INDEX(職員マスタ!$B$6:$B$405,$AN2075)&lt;&gt;"",SUBSTITUTE(SUBSTITUTE($H2075," ","")," ","")&lt;&gt;SUBSTITUTE(SUBSTITUTE(INDEX(職員マスタ!$B$6:$B$405,$AN2075)," ","")," ","")),"氏名がマスタと相違／","")&amp;IF(AND($Q2075&lt;&gt;"",INDEX(職員マスタ!$E$6:$E$405,$AN2075)&lt;&gt;"",$Q2075&lt;&gt;INDEX(職員マスタ!$E$6:$E$405,$AN2075)),"子の生年月日がマスタと相違／","")&amp;IF(AND($L2075&lt;&gt;"",INDEX(職員マスタ!$G$6:$G$405,$AN2075)&lt;&gt;"",$L2075&lt;&gt;INDEX(職員マスタ!$G$6:$G$405,$AN2075)),"時短開始日がマスタと相違／","")&amp;IF(AND($M2075&lt;&gt;"",INDEX(職員マスタ!$H$6:$H$405,$AN2075)&lt;&gt;"",$M2075&lt;&gt;INDEX(職員マスタ!$H$6:$H$405,$AN2075)),"時短終了日がマスタと相違／","")))&amp;IF(AND($B2075&lt;&gt;"",$E2075=""),"報酬額が未入力／","")&amp;IF(N($U2075)&gt;0,"申請書に入力エラーが残っています／","")&amp;IF(AND($B2075&lt;&gt;"",$AO2075&lt;&gt;""),IF(COUNTIFS($B$6:$B$3005,$B2075,$C$6:$C$3005,$C2075,$D$6:$D$3005,$D2075)&gt;1,"同じ月の請求が重複しています／",""),"")&amp;IF(AND(N($E2075)&gt;0,$Z2075&lt;&gt;"",$Z2075&lt;&gt;"×",$AC2075=0,$AB2075=""),"計算額が下限以下のため不支給／",""))</f>
        <v/>
      </c>
      <c r="AL2075" s="12" t="n"/>
      <c r="AM2075" s="14">
        <f>IF($AD2075="保留中",COUNTIF($AD$6:$AD2075,"保留中"),"")</f>
        <v/>
      </c>
      <c r="AN2075" s="14">
        <f>IF($AO2075="","",IF(SUMPRODUCT(MAX((職員マスタ!$A$6:$A$405=$B2075)*(((職員マスタ!$G$6:$G$405="")+(職員マスタ!$G$6:$G$405&lt;=EOMONTH($AO2075,0)))&gt;0)*(((職員マスタ!$H$6:$H$405="")+(職員マスタ!$H$6:$H$405&gt;=$AO2075))&gt;0)*(ROW(職員マスタ!$A$6:$A$405)-5)))&gt;0,SUMPRODUCT(MAX((職員マスタ!$A$6:$A$405=$B2075)*(((職員マスタ!$G$6:$G$405="")+(職員マスタ!$G$6:$G$405&lt;=EOMONTH($AO2075,0)))&gt;0)*(((職員マスタ!$H$6:$H$405="")+(職員マスタ!$H$6:$H$405&gt;=$AO2075))&gt;0)*(ROW(職員マスタ!$A$6:$A$405)-5))),IFERROR(MATCH($B2075,職員マスタ!$A$6:$A$405,0),"")))</f>
        <v/>
      </c>
      <c r="AO2075" s="16">
        <f>IF(OR($B2075="",$C2075="",$D2075=""),"",DATE($C2075+2018,$D2075,1))</f>
        <v/>
      </c>
    </row>
    <row r="2076">
      <c r="A2076" s="11" t="n"/>
      <c r="B2076" s="12" t="n"/>
      <c r="C2076" s="12" t="n"/>
      <c r="D2076" s="12" t="n"/>
      <c r="E2076" s="13" t="n"/>
      <c r="F2076" s="12" t="n"/>
      <c r="G2076" s="13" t="n"/>
      <c r="H2076" s="12" t="n"/>
      <c r="I2076" s="12" t="n"/>
      <c r="J2076" s="12" t="n"/>
      <c r="K2076" s="12" t="n"/>
      <c r="L2076" s="11" t="n"/>
      <c r="M2076" s="11" t="n"/>
      <c r="N2076" s="11" t="n"/>
      <c r="O2076" s="11" t="n"/>
      <c r="P2076" s="12" t="n"/>
      <c r="Q2076" s="11" t="n"/>
      <c r="R2076" s="12" t="n"/>
      <c r="S2076" s="11" t="n"/>
      <c r="T2076" s="12" t="n"/>
      <c r="U2076" s="12" t="n"/>
      <c r="V2076" s="14">
        <f>IF($AN2076="",IF($B2076="","",$H2076),IF(INDEX(職員マスタ!$B$6:$B$405,$AN2076)="",$H2076,INDEX(職員マスタ!$B$6:$B$405,$AN2076)))</f>
        <v/>
      </c>
      <c r="W2076" s="14">
        <f>IF($AN2076="",IF($B2076="","",$R2076),IF(INDEX(職員マスタ!$C$6:$C$405,$AN2076)="",$R2076,INDEX(職員マスタ!$C$6:$C$405,$AN2076)))</f>
        <v/>
      </c>
      <c r="X2076" s="14">
        <f>IF($AO2076="","","R"&amp;$C2076&amp;"."&amp;$D2076)</f>
        <v/>
      </c>
      <c r="Y2076" s="15">
        <f>IF($AN2076="","",IF(INDEX(職員マスタ!$K$6:$K$405,$AN2076)="","",INDEX(職員マスタ!$K$6:$K$405,$AN2076)))</f>
        <v/>
      </c>
      <c r="Z2076" s="14">
        <f>IF(OR($E2076="",$Y2076=""),"",IF($E2076&gt;=$Y2076,"×",IF($E2076&gt;=$Y2076*設定!$C$5,"△","○")))</f>
        <v/>
      </c>
      <c r="AA2076" s="15">
        <f>IF($Z2076="","",IF($Z2076="×",0,IF($Z2076="○",ROUNDDOWN($E2076*設定!$C$4,0),ROUNDDOWN($E2076*ROUND((9*$Y2076-9*$E2076)/(10*$E2076),4),0))))</f>
        <v/>
      </c>
      <c r="AB2076" s="13" t="n"/>
      <c r="AC2076" s="15">
        <f>IF($B2076="","",IF($AB2076&lt;&gt;"",$AB2076,IF($AA2076="","",IF($AA2076&lt;=設定!$C$3,0,$AA2076))))</f>
        <v/>
      </c>
      <c r="AD2076" s="14">
        <f>IF($B2076="","",IF(AND($AE2076&lt;&gt;"",$AG2076="",$AJ2076=""),"保留中",IF($AJ2076&lt;&gt;"",IF(N($AC2076)&gt;0,"支給済","不支給"),IF($AC2076="","要確認",IF($AC2076=0,"不支給","未処理")))))</f>
        <v/>
      </c>
      <c r="AE2076" s="12" t="n"/>
      <c r="AF2076" s="11" t="n"/>
      <c r="AG2076" s="11" t="n"/>
      <c r="AH2076" s="11" t="n"/>
      <c r="AI2076" s="14">
        <f>IF(AND($AD2076="保留中",$AF2076&lt;&gt;""),TODAY()-$AF2076,"")</f>
        <v/>
      </c>
      <c r="AJ2076" s="12" t="n"/>
      <c r="AK2076" s="14">
        <f>IF($B2076="","",IF($AO2076="","対象年月が未入力／","")&amp;IF($B2076="","",IF($AN2076="","職員マスタに未登録の職員番号／",IF($Y2076="","標準報酬月額が未登録／","")&amp;IF(AND($AO2076&lt;&gt;"",OR(AND(INDEX(職員マスタ!$G$6:$G$405,$AN2076)&lt;&gt;"",INDEX(職員マスタ!$G$6:$G$405,$AN2076)&gt;EOMONTH($AO2076,0)),AND(INDEX(職員マスタ!$H$6:$H$405,$AN2076)&lt;&gt;"",INDEX(職員マスタ!$H$6:$H$405,$AN2076)&lt;$AO2076))),"対象月が時短期間外／","")&amp;IF(AND(INDEX(職員マスタ!$F$6:$F$405,$AN2076)&lt;&gt;"",$AO2076&lt;&gt;"",INDEX(職員マスタ!$F$6:$F$405,$AN2076)&lt;$AO2076),"対象月に子が2歳到達済／","")&amp;IF(AND($H2076&lt;&gt;"",INDEX(職員マスタ!$B$6:$B$405,$AN2076)&lt;&gt;"",SUBSTITUTE(SUBSTITUTE($H2076," ","")," ","")&lt;&gt;SUBSTITUTE(SUBSTITUTE(INDEX(職員マスタ!$B$6:$B$405,$AN2076)," ","")," ","")),"氏名がマスタと相違／","")&amp;IF(AND($Q2076&lt;&gt;"",INDEX(職員マスタ!$E$6:$E$405,$AN2076)&lt;&gt;"",$Q2076&lt;&gt;INDEX(職員マスタ!$E$6:$E$405,$AN2076)),"子の生年月日がマスタと相違／","")&amp;IF(AND($L2076&lt;&gt;"",INDEX(職員マスタ!$G$6:$G$405,$AN2076)&lt;&gt;"",$L2076&lt;&gt;INDEX(職員マスタ!$G$6:$G$405,$AN2076)),"時短開始日がマスタと相違／","")&amp;IF(AND($M2076&lt;&gt;"",INDEX(職員マスタ!$H$6:$H$405,$AN2076)&lt;&gt;"",$M2076&lt;&gt;INDEX(職員マスタ!$H$6:$H$405,$AN2076)),"時短終了日がマスタと相違／","")))&amp;IF(AND($B2076&lt;&gt;"",$E2076=""),"報酬額が未入力／","")&amp;IF(N($U2076)&gt;0,"申請書に入力エラーが残っています／","")&amp;IF(AND($B2076&lt;&gt;"",$AO2076&lt;&gt;""),IF(COUNTIFS($B$6:$B$3005,$B2076,$C$6:$C$3005,$C2076,$D$6:$D$3005,$D2076)&gt;1,"同じ月の請求が重複しています／",""),"")&amp;IF(AND(N($E2076)&gt;0,$Z2076&lt;&gt;"",$Z2076&lt;&gt;"×",$AC2076=0,$AB2076=""),"計算額が下限以下のため不支給／",""))</f>
        <v/>
      </c>
      <c r="AL2076" s="12" t="n"/>
      <c r="AM2076" s="14">
        <f>IF($AD2076="保留中",COUNTIF($AD$6:$AD2076,"保留中"),"")</f>
        <v/>
      </c>
      <c r="AN2076" s="14">
        <f>IF($AO2076="","",IF(SUMPRODUCT(MAX((職員マスタ!$A$6:$A$405=$B2076)*(((職員マスタ!$G$6:$G$405="")+(職員マスタ!$G$6:$G$405&lt;=EOMONTH($AO2076,0)))&gt;0)*(((職員マスタ!$H$6:$H$405="")+(職員マスタ!$H$6:$H$405&gt;=$AO2076))&gt;0)*(ROW(職員マスタ!$A$6:$A$405)-5)))&gt;0,SUMPRODUCT(MAX((職員マスタ!$A$6:$A$405=$B2076)*(((職員マスタ!$G$6:$G$405="")+(職員マスタ!$G$6:$G$405&lt;=EOMONTH($AO2076,0)))&gt;0)*(((職員マスタ!$H$6:$H$405="")+(職員マスタ!$H$6:$H$405&gt;=$AO2076))&gt;0)*(ROW(職員マスタ!$A$6:$A$405)-5))),IFERROR(MATCH($B2076,職員マスタ!$A$6:$A$405,0),"")))</f>
        <v/>
      </c>
      <c r="AO2076" s="16">
        <f>IF(OR($B2076="",$C2076="",$D2076=""),"",DATE($C2076+2018,$D2076,1))</f>
        <v/>
      </c>
    </row>
    <row r="2077">
      <c r="A2077" s="11" t="n"/>
      <c r="B2077" s="12" t="n"/>
      <c r="C2077" s="12" t="n"/>
      <c r="D2077" s="12" t="n"/>
      <c r="E2077" s="13" t="n"/>
      <c r="F2077" s="12" t="n"/>
      <c r="G2077" s="13" t="n"/>
      <c r="H2077" s="12" t="n"/>
      <c r="I2077" s="12" t="n"/>
      <c r="J2077" s="12" t="n"/>
      <c r="K2077" s="12" t="n"/>
      <c r="L2077" s="11" t="n"/>
      <c r="M2077" s="11" t="n"/>
      <c r="N2077" s="11" t="n"/>
      <c r="O2077" s="11" t="n"/>
      <c r="P2077" s="12" t="n"/>
      <c r="Q2077" s="11" t="n"/>
      <c r="R2077" s="12" t="n"/>
      <c r="S2077" s="11" t="n"/>
      <c r="T2077" s="12" t="n"/>
      <c r="U2077" s="12" t="n"/>
      <c r="V2077" s="14">
        <f>IF($AN2077="",IF($B2077="","",$H2077),IF(INDEX(職員マスタ!$B$6:$B$405,$AN2077)="",$H2077,INDEX(職員マスタ!$B$6:$B$405,$AN2077)))</f>
        <v/>
      </c>
      <c r="W2077" s="14">
        <f>IF($AN2077="",IF($B2077="","",$R2077),IF(INDEX(職員マスタ!$C$6:$C$405,$AN2077)="",$R2077,INDEX(職員マスタ!$C$6:$C$405,$AN2077)))</f>
        <v/>
      </c>
      <c r="X2077" s="14">
        <f>IF($AO2077="","","R"&amp;$C2077&amp;"."&amp;$D2077)</f>
        <v/>
      </c>
      <c r="Y2077" s="15">
        <f>IF($AN2077="","",IF(INDEX(職員マスタ!$K$6:$K$405,$AN2077)="","",INDEX(職員マスタ!$K$6:$K$405,$AN2077)))</f>
        <v/>
      </c>
      <c r="Z2077" s="14">
        <f>IF(OR($E2077="",$Y2077=""),"",IF($E2077&gt;=$Y2077,"×",IF($E2077&gt;=$Y2077*設定!$C$5,"△","○")))</f>
        <v/>
      </c>
      <c r="AA2077" s="15">
        <f>IF($Z2077="","",IF($Z2077="×",0,IF($Z2077="○",ROUNDDOWN($E2077*設定!$C$4,0),ROUNDDOWN($E2077*ROUND((9*$Y2077-9*$E2077)/(10*$E2077),4),0))))</f>
        <v/>
      </c>
      <c r="AB2077" s="13" t="n"/>
      <c r="AC2077" s="15">
        <f>IF($B2077="","",IF($AB2077&lt;&gt;"",$AB2077,IF($AA2077="","",IF($AA2077&lt;=設定!$C$3,0,$AA2077))))</f>
        <v/>
      </c>
      <c r="AD2077" s="14">
        <f>IF($B2077="","",IF(AND($AE2077&lt;&gt;"",$AG2077="",$AJ2077=""),"保留中",IF($AJ2077&lt;&gt;"",IF(N($AC2077)&gt;0,"支給済","不支給"),IF($AC2077="","要確認",IF($AC2077=0,"不支給","未処理")))))</f>
        <v/>
      </c>
      <c r="AE2077" s="12" t="n"/>
      <c r="AF2077" s="11" t="n"/>
      <c r="AG2077" s="11" t="n"/>
      <c r="AH2077" s="11" t="n"/>
      <c r="AI2077" s="14">
        <f>IF(AND($AD2077="保留中",$AF2077&lt;&gt;""),TODAY()-$AF2077,"")</f>
        <v/>
      </c>
      <c r="AJ2077" s="12" t="n"/>
      <c r="AK2077" s="14">
        <f>IF($B2077="","",IF($AO2077="","対象年月が未入力／","")&amp;IF($B2077="","",IF($AN2077="","職員マスタに未登録の職員番号／",IF($Y2077="","標準報酬月額が未登録／","")&amp;IF(AND($AO2077&lt;&gt;"",OR(AND(INDEX(職員マスタ!$G$6:$G$405,$AN2077)&lt;&gt;"",INDEX(職員マスタ!$G$6:$G$405,$AN2077)&gt;EOMONTH($AO2077,0)),AND(INDEX(職員マスタ!$H$6:$H$405,$AN2077)&lt;&gt;"",INDEX(職員マスタ!$H$6:$H$405,$AN2077)&lt;$AO2077))),"対象月が時短期間外／","")&amp;IF(AND(INDEX(職員マスタ!$F$6:$F$405,$AN2077)&lt;&gt;"",$AO2077&lt;&gt;"",INDEX(職員マスタ!$F$6:$F$405,$AN2077)&lt;$AO2077),"対象月に子が2歳到達済／","")&amp;IF(AND($H2077&lt;&gt;"",INDEX(職員マスタ!$B$6:$B$405,$AN2077)&lt;&gt;"",SUBSTITUTE(SUBSTITUTE($H2077," ","")," ","")&lt;&gt;SUBSTITUTE(SUBSTITUTE(INDEX(職員マスタ!$B$6:$B$405,$AN2077)," ","")," ","")),"氏名がマスタと相違／","")&amp;IF(AND($Q2077&lt;&gt;"",INDEX(職員マスタ!$E$6:$E$405,$AN2077)&lt;&gt;"",$Q2077&lt;&gt;INDEX(職員マスタ!$E$6:$E$405,$AN2077)),"子の生年月日がマスタと相違／","")&amp;IF(AND($L2077&lt;&gt;"",INDEX(職員マスタ!$G$6:$G$405,$AN2077)&lt;&gt;"",$L2077&lt;&gt;INDEX(職員マスタ!$G$6:$G$405,$AN2077)),"時短開始日がマスタと相違／","")&amp;IF(AND($M2077&lt;&gt;"",INDEX(職員マスタ!$H$6:$H$405,$AN2077)&lt;&gt;"",$M2077&lt;&gt;INDEX(職員マスタ!$H$6:$H$405,$AN2077)),"時短終了日がマスタと相違／","")))&amp;IF(AND($B2077&lt;&gt;"",$E2077=""),"報酬額が未入力／","")&amp;IF(N($U2077)&gt;0,"申請書に入力エラーが残っています／","")&amp;IF(AND($B2077&lt;&gt;"",$AO2077&lt;&gt;""),IF(COUNTIFS($B$6:$B$3005,$B2077,$C$6:$C$3005,$C2077,$D$6:$D$3005,$D2077)&gt;1,"同じ月の請求が重複しています／",""),"")&amp;IF(AND(N($E2077)&gt;0,$Z2077&lt;&gt;"",$Z2077&lt;&gt;"×",$AC2077=0,$AB2077=""),"計算額が下限以下のため不支給／",""))</f>
        <v/>
      </c>
      <c r="AL2077" s="12" t="n"/>
      <c r="AM2077" s="14">
        <f>IF($AD2077="保留中",COUNTIF($AD$6:$AD2077,"保留中"),"")</f>
        <v/>
      </c>
      <c r="AN2077" s="14">
        <f>IF($AO2077="","",IF(SUMPRODUCT(MAX((職員マスタ!$A$6:$A$405=$B2077)*(((職員マスタ!$G$6:$G$405="")+(職員マスタ!$G$6:$G$405&lt;=EOMONTH($AO2077,0)))&gt;0)*(((職員マスタ!$H$6:$H$405="")+(職員マスタ!$H$6:$H$405&gt;=$AO2077))&gt;0)*(ROW(職員マスタ!$A$6:$A$405)-5)))&gt;0,SUMPRODUCT(MAX((職員マスタ!$A$6:$A$405=$B2077)*(((職員マスタ!$G$6:$G$405="")+(職員マスタ!$G$6:$G$405&lt;=EOMONTH($AO2077,0)))&gt;0)*(((職員マスタ!$H$6:$H$405="")+(職員マスタ!$H$6:$H$405&gt;=$AO2077))&gt;0)*(ROW(職員マスタ!$A$6:$A$405)-5))),IFERROR(MATCH($B2077,職員マスタ!$A$6:$A$405,0),"")))</f>
        <v/>
      </c>
      <c r="AO2077" s="16">
        <f>IF(OR($B2077="",$C2077="",$D2077=""),"",DATE($C2077+2018,$D2077,1))</f>
        <v/>
      </c>
    </row>
    <row r="2078">
      <c r="A2078" s="11" t="n"/>
      <c r="B2078" s="12" t="n"/>
      <c r="C2078" s="12" t="n"/>
      <c r="D2078" s="12" t="n"/>
      <c r="E2078" s="13" t="n"/>
      <c r="F2078" s="12" t="n"/>
      <c r="G2078" s="13" t="n"/>
      <c r="H2078" s="12" t="n"/>
      <c r="I2078" s="12" t="n"/>
      <c r="J2078" s="12" t="n"/>
      <c r="K2078" s="12" t="n"/>
      <c r="L2078" s="11" t="n"/>
      <c r="M2078" s="11" t="n"/>
      <c r="N2078" s="11" t="n"/>
      <c r="O2078" s="11" t="n"/>
      <c r="P2078" s="12" t="n"/>
      <c r="Q2078" s="11" t="n"/>
      <c r="R2078" s="12" t="n"/>
      <c r="S2078" s="11" t="n"/>
      <c r="T2078" s="12" t="n"/>
      <c r="U2078" s="12" t="n"/>
      <c r="V2078" s="14">
        <f>IF($AN2078="",IF($B2078="","",$H2078),IF(INDEX(職員マスタ!$B$6:$B$405,$AN2078)="",$H2078,INDEX(職員マスタ!$B$6:$B$405,$AN2078)))</f>
        <v/>
      </c>
      <c r="W2078" s="14">
        <f>IF($AN2078="",IF($B2078="","",$R2078),IF(INDEX(職員マスタ!$C$6:$C$405,$AN2078)="",$R2078,INDEX(職員マスタ!$C$6:$C$405,$AN2078)))</f>
        <v/>
      </c>
      <c r="X2078" s="14">
        <f>IF($AO2078="","","R"&amp;$C2078&amp;"."&amp;$D2078)</f>
        <v/>
      </c>
      <c r="Y2078" s="15">
        <f>IF($AN2078="","",IF(INDEX(職員マスタ!$K$6:$K$405,$AN2078)="","",INDEX(職員マスタ!$K$6:$K$405,$AN2078)))</f>
        <v/>
      </c>
      <c r="Z2078" s="14">
        <f>IF(OR($E2078="",$Y2078=""),"",IF($E2078&gt;=$Y2078,"×",IF($E2078&gt;=$Y2078*設定!$C$5,"△","○")))</f>
        <v/>
      </c>
      <c r="AA2078" s="15">
        <f>IF($Z2078="","",IF($Z2078="×",0,IF($Z2078="○",ROUNDDOWN($E2078*設定!$C$4,0),ROUNDDOWN($E2078*ROUND((9*$Y2078-9*$E2078)/(10*$E2078),4),0))))</f>
        <v/>
      </c>
      <c r="AB2078" s="13" t="n"/>
      <c r="AC2078" s="15">
        <f>IF($B2078="","",IF($AB2078&lt;&gt;"",$AB2078,IF($AA2078="","",IF($AA2078&lt;=設定!$C$3,0,$AA2078))))</f>
        <v/>
      </c>
      <c r="AD2078" s="14">
        <f>IF($B2078="","",IF(AND($AE2078&lt;&gt;"",$AG2078="",$AJ2078=""),"保留中",IF($AJ2078&lt;&gt;"",IF(N($AC2078)&gt;0,"支給済","不支給"),IF($AC2078="","要確認",IF($AC2078=0,"不支給","未処理")))))</f>
        <v/>
      </c>
      <c r="AE2078" s="12" t="n"/>
      <c r="AF2078" s="11" t="n"/>
      <c r="AG2078" s="11" t="n"/>
      <c r="AH2078" s="11" t="n"/>
      <c r="AI2078" s="14">
        <f>IF(AND($AD2078="保留中",$AF2078&lt;&gt;""),TODAY()-$AF2078,"")</f>
        <v/>
      </c>
      <c r="AJ2078" s="12" t="n"/>
      <c r="AK2078" s="14">
        <f>IF($B2078="","",IF($AO2078="","対象年月が未入力／","")&amp;IF($B2078="","",IF($AN2078="","職員マスタに未登録の職員番号／",IF($Y2078="","標準報酬月額が未登録／","")&amp;IF(AND($AO2078&lt;&gt;"",OR(AND(INDEX(職員マスタ!$G$6:$G$405,$AN2078)&lt;&gt;"",INDEX(職員マスタ!$G$6:$G$405,$AN2078)&gt;EOMONTH($AO2078,0)),AND(INDEX(職員マスタ!$H$6:$H$405,$AN2078)&lt;&gt;"",INDEX(職員マスタ!$H$6:$H$405,$AN2078)&lt;$AO2078))),"対象月が時短期間外／","")&amp;IF(AND(INDEX(職員マスタ!$F$6:$F$405,$AN2078)&lt;&gt;"",$AO2078&lt;&gt;"",INDEX(職員マスタ!$F$6:$F$405,$AN2078)&lt;$AO2078),"対象月に子が2歳到達済／","")&amp;IF(AND($H2078&lt;&gt;"",INDEX(職員マスタ!$B$6:$B$405,$AN2078)&lt;&gt;"",SUBSTITUTE(SUBSTITUTE($H2078," ","")," ","")&lt;&gt;SUBSTITUTE(SUBSTITUTE(INDEX(職員マスタ!$B$6:$B$405,$AN2078)," ","")," ","")),"氏名がマスタと相違／","")&amp;IF(AND($Q2078&lt;&gt;"",INDEX(職員マスタ!$E$6:$E$405,$AN2078)&lt;&gt;"",$Q2078&lt;&gt;INDEX(職員マスタ!$E$6:$E$405,$AN2078)),"子の生年月日がマスタと相違／","")&amp;IF(AND($L2078&lt;&gt;"",INDEX(職員マスタ!$G$6:$G$405,$AN2078)&lt;&gt;"",$L2078&lt;&gt;INDEX(職員マスタ!$G$6:$G$405,$AN2078)),"時短開始日がマスタと相違／","")&amp;IF(AND($M2078&lt;&gt;"",INDEX(職員マスタ!$H$6:$H$405,$AN2078)&lt;&gt;"",$M2078&lt;&gt;INDEX(職員マスタ!$H$6:$H$405,$AN2078)),"時短終了日がマスタと相違／","")))&amp;IF(AND($B2078&lt;&gt;"",$E2078=""),"報酬額が未入力／","")&amp;IF(N($U2078)&gt;0,"申請書に入力エラーが残っています／","")&amp;IF(AND($B2078&lt;&gt;"",$AO2078&lt;&gt;""),IF(COUNTIFS($B$6:$B$3005,$B2078,$C$6:$C$3005,$C2078,$D$6:$D$3005,$D2078)&gt;1,"同じ月の請求が重複しています／",""),"")&amp;IF(AND(N($E2078)&gt;0,$Z2078&lt;&gt;"",$Z2078&lt;&gt;"×",$AC2078=0,$AB2078=""),"計算額が下限以下のため不支給／",""))</f>
        <v/>
      </c>
      <c r="AL2078" s="12" t="n"/>
      <c r="AM2078" s="14">
        <f>IF($AD2078="保留中",COUNTIF($AD$6:$AD2078,"保留中"),"")</f>
        <v/>
      </c>
      <c r="AN2078" s="14">
        <f>IF($AO2078="","",IF(SUMPRODUCT(MAX((職員マスタ!$A$6:$A$405=$B2078)*(((職員マスタ!$G$6:$G$405="")+(職員マスタ!$G$6:$G$405&lt;=EOMONTH($AO2078,0)))&gt;0)*(((職員マスタ!$H$6:$H$405="")+(職員マスタ!$H$6:$H$405&gt;=$AO2078))&gt;0)*(ROW(職員マスタ!$A$6:$A$405)-5)))&gt;0,SUMPRODUCT(MAX((職員マスタ!$A$6:$A$405=$B2078)*(((職員マスタ!$G$6:$G$405="")+(職員マスタ!$G$6:$G$405&lt;=EOMONTH($AO2078,0)))&gt;0)*(((職員マスタ!$H$6:$H$405="")+(職員マスタ!$H$6:$H$405&gt;=$AO2078))&gt;0)*(ROW(職員マスタ!$A$6:$A$405)-5))),IFERROR(MATCH($B2078,職員マスタ!$A$6:$A$405,0),"")))</f>
        <v/>
      </c>
      <c r="AO2078" s="16">
        <f>IF(OR($B2078="",$C2078="",$D2078=""),"",DATE($C2078+2018,$D2078,1))</f>
        <v/>
      </c>
    </row>
    <row r="2079">
      <c r="A2079" s="11" t="n"/>
      <c r="B2079" s="12" t="n"/>
      <c r="C2079" s="12" t="n"/>
      <c r="D2079" s="12" t="n"/>
      <c r="E2079" s="13" t="n"/>
      <c r="F2079" s="12" t="n"/>
      <c r="G2079" s="13" t="n"/>
      <c r="H2079" s="12" t="n"/>
      <c r="I2079" s="12" t="n"/>
      <c r="J2079" s="12" t="n"/>
      <c r="K2079" s="12" t="n"/>
      <c r="L2079" s="11" t="n"/>
      <c r="M2079" s="11" t="n"/>
      <c r="N2079" s="11" t="n"/>
      <c r="O2079" s="11" t="n"/>
      <c r="P2079" s="12" t="n"/>
      <c r="Q2079" s="11" t="n"/>
      <c r="R2079" s="12" t="n"/>
      <c r="S2079" s="11" t="n"/>
      <c r="T2079" s="12" t="n"/>
      <c r="U2079" s="12" t="n"/>
      <c r="V2079" s="14">
        <f>IF($AN2079="",IF($B2079="","",$H2079),IF(INDEX(職員マスタ!$B$6:$B$405,$AN2079)="",$H2079,INDEX(職員マスタ!$B$6:$B$405,$AN2079)))</f>
        <v/>
      </c>
      <c r="W2079" s="14">
        <f>IF($AN2079="",IF($B2079="","",$R2079),IF(INDEX(職員マスタ!$C$6:$C$405,$AN2079)="",$R2079,INDEX(職員マスタ!$C$6:$C$405,$AN2079)))</f>
        <v/>
      </c>
      <c r="X2079" s="14">
        <f>IF($AO2079="","","R"&amp;$C2079&amp;"."&amp;$D2079)</f>
        <v/>
      </c>
      <c r="Y2079" s="15">
        <f>IF($AN2079="","",IF(INDEX(職員マスタ!$K$6:$K$405,$AN2079)="","",INDEX(職員マスタ!$K$6:$K$405,$AN2079)))</f>
        <v/>
      </c>
      <c r="Z2079" s="14">
        <f>IF(OR($E2079="",$Y2079=""),"",IF($E2079&gt;=$Y2079,"×",IF($E2079&gt;=$Y2079*設定!$C$5,"△","○")))</f>
        <v/>
      </c>
      <c r="AA2079" s="15">
        <f>IF($Z2079="","",IF($Z2079="×",0,IF($Z2079="○",ROUNDDOWN($E2079*設定!$C$4,0),ROUNDDOWN($E2079*ROUND((9*$Y2079-9*$E2079)/(10*$E2079),4),0))))</f>
        <v/>
      </c>
      <c r="AB2079" s="13" t="n"/>
      <c r="AC2079" s="15">
        <f>IF($B2079="","",IF($AB2079&lt;&gt;"",$AB2079,IF($AA2079="","",IF($AA2079&lt;=設定!$C$3,0,$AA2079))))</f>
        <v/>
      </c>
      <c r="AD2079" s="14">
        <f>IF($B2079="","",IF(AND($AE2079&lt;&gt;"",$AG2079="",$AJ2079=""),"保留中",IF($AJ2079&lt;&gt;"",IF(N($AC2079)&gt;0,"支給済","不支給"),IF($AC2079="","要確認",IF($AC2079=0,"不支給","未処理")))))</f>
        <v/>
      </c>
      <c r="AE2079" s="12" t="n"/>
      <c r="AF2079" s="11" t="n"/>
      <c r="AG2079" s="11" t="n"/>
      <c r="AH2079" s="11" t="n"/>
      <c r="AI2079" s="14">
        <f>IF(AND($AD2079="保留中",$AF2079&lt;&gt;""),TODAY()-$AF2079,"")</f>
        <v/>
      </c>
      <c r="AJ2079" s="12" t="n"/>
      <c r="AK2079" s="14">
        <f>IF($B2079="","",IF($AO2079="","対象年月が未入力／","")&amp;IF($B2079="","",IF($AN2079="","職員マスタに未登録の職員番号／",IF($Y2079="","標準報酬月額が未登録／","")&amp;IF(AND($AO2079&lt;&gt;"",OR(AND(INDEX(職員マスタ!$G$6:$G$405,$AN2079)&lt;&gt;"",INDEX(職員マスタ!$G$6:$G$405,$AN2079)&gt;EOMONTH($AO2079,0)),AND(INDEX(職員マスタ!$H$6:$H$405,$AN2079)&lt;&gt;"",INDEX(職員マスタ!$H$6:$H$405,$AN2079)&lt;$AO2079))),"対象月が時短期間外／","")&amp;IF(AND(INDEX(職員マスタ!$F$6:$F$405,$AN2079)&lt;&gt;"",$AO2079&lt;&gt;"",INDEX(職員マスタ!$F$6:$F$405,$AN2079)&lt;$AO2079),"対象月に子が2歳到達済／","")&amp;IF(AND($H2079&lt;&gt;"",INDEX(職員マスタ!$B$6:$B$405,$AN2079)&lt;&gt;"",SUBSTITUTE(SUBSTITUTE($H2079," ","")," ","")&lt;&gt;SUBSTITUTE(SUBSTITUTE(INDEX(職員マスタ!$B$6:$B$405,$AN2079)," ","")," ","")),"氏名がマスタと相違／","")&amp;IF(AND($Q2079&lt;&gt;"",INDEX(職員マスタ!$E$6:$E$405,$AN2079)&lt;&gt;"",$Q2079&lt;&gt;INDEX(職員マスタ!$E$6:$E$405,$AN2079)),"子の生年月日がマスタと相違／","")&amp;IF(AND($L2079&lt;&gt;"",INDEX(職員マスタ!$G$6:$G$405,$AN2079)&lt;&gt;"",$L2079&lt;&gt;INDEX(職員マスタ!$G$6:$G$405,$AN2079)),"時短開始日がマスタと相違／","")&amp;IF(AND($M2079&lt;&gt;"",INDEX(職員マスタ!$H$6:$H$405,$AN2079)&lt;&gt;"",$M2079&lt;&gt;INDEX(職員マスタ!$H$6:$H$405,$AN2079)),"時短終了日がマスタと相違／","")))&amp;IF(AND($B2079&lt;&gt;"",$E2079=""),"報酬額が未入力／","")&amp;IF(N($U2079)&gt;0,"申請書に入力エラーが残っています／","")&amp;IF(AND($B2079&lt;&gt;"",$AO2079&lt;&gt;""),IF(COUNTIFS($B$6:$B$3005,$B2079,$C$6:$C$3005,$C2079,$D$6:$D$3005,$D2079)&gt;1,"同じ月の請求が重複しています／",""),"")&amp;IF(AND(N($E2079)&gt;0,$Z2079&lt;&gt;"",$Z2079&lt;&gt;"×",$AC2079=0,$AB2079=""),"計算額が下限以下のため不支給／",""))</f>
        <v/>
      </c>
      <c r="AL2079" s="12" t="n"/>
      <c r="AM2079" s="14">
        <f>IF($AD2079="保留中",COUNTIF($AD$6:$AD2079,"保留中"),"")</f>
        <v/>
      </c>
      <c r="AN2079" s="14">
        <f>IF($AO2079="","",IF(SUMPRODUCT(MAX((職員マスタ!$A$6:$A$405=$B2079)*(((職員マスタ!$G$6:$G$405="")+(職員マスタ!$G$6:$G$405&lt;=EOMONTH($AO2079,0)))&gt;0)*(((職員マスタ!$H$6:$H$405="")+(職員マスタ!$H$6:$H$405&gt;=$AO2079))&gt;0)*(ROW(職員マスタ!$A$6:$A$405)-5)))&gt;0,SUMPRODUCT(MAX((職員マスタ!$A$6:$A$405=$B2079)*(((職員マスタ!$G$6:$G$405="")+(職員マスタ!$G$6:$G$405&lt;=EOMONTH($AO2079,0)))&gt;0)*(((職員マスタ!$H$6:$H$405="")+(職員マスタ!$H$6:$H$405&gt;=$AO2079))&gt;0)*(ROW(職員マスタ!$A$6:$A$405)-5))),IFERROR(MATCH($B2079,職員マスタ!$A$6:$A$405,0),"")))</f>
        <v/>
      </c>
      <c r="AO2079" s="16">
        <f>IF(OR($B2079="",$C2079="",$D2079=""),"",DATE($C2079+2018,$D2079,1))</f>
        <v/>
      </c>
    </row>
    <row r="2080">
      <c r="A2080" s="11" t="n"/>
      <c r="B2080" s="12" t="n"/>
      <c r="C2080" s="12" t="n"/>
      <c r="D2080" s="12" t="n"/>
      <c r="E2080" s="13" t="n"/>
      <c r="F2080" s="12" t="n"/>
      <c r="G2080" s="13" t="n"/>
      <c r="H2080" s="12" t="n"/>
      <c r="I2080" s="12" t="n"/>
      <c r="J2080" s="12" t="n"/>
      <c r="K2080" s="12" t="n"/>
      <c r="L2080" s="11" t="n"/>
      <c r="M2080" s="11" t="n"/>
      <c r="N2080" s="11" t="n"/>
      <c r="O2080" s="11" t="n"/>
      <c r="P2080" s="12" t="n"/>
      <c r="Q2080" s="11" t="n"/>
      <c r="R2080" s="12" t="n"/>
      <c r="S2080" s="11" t="n"/>
      <c r="T2080" s="12" t="n"/>
      <c r="U2080" s="12" t="n"/>
      <c r="V2080" s="14">
        <f>IF($AN2080="",IF($B2080="","",$H2080),IF(INDEX(職員マスタ!$B$6:$B$405,$AN2080)="",$H2080,INDEX(職員マスタ!$B$6:$B$405,$AN2080)))</f>
        <v/>
      </c>
      <c r="W2080" s="14">
        <f>IF($AN2080="",IF($B2080="","",$R2080),IF(INDEX(職員マスタ!$C$6:$C$405,$AN2080)="",$R2080,INDEX(職員マスタ!$C$6:$C$405,$AN2080)))</f>
        <v/>
      </c>
      <c r="X2080" s="14">
        <f>IF($AO2080="","","R"&amp;$C2080&amp;"."&amp;$D2080)</f>
        <v/>
      </c>
      <c r="Y2080" s="15">
        <f>IF($AN2080="","",IF(INDEX(職員マスタ!$K$6:$K$405,$AN2080)="","",INDEX(職員マスタ!$K$6:$K$405,$AN2080)))</f>
        <v/>
      </c>
      <c r="Z2080" s="14">
        <f>IF(OR($E2080="",$Y2080=""),"",IF($E2080&gt;=$Y2080,"×",IF($E2080&gt;=$Y2080*設定!$C$5,"△","○")))</f>
        <v/>
      </c>
      <c r="AA2080" s="15">
        <f>IF($Z2080="","",IF($Z2080="×",0,IF($Z2080="○",ROUNDDOWN($E2080*設定!$C$4,0),ROUNDDOWN($E2080*ROUND((9*$Y2080-9*$E2080)/(10*$E2080),4),0))))</f>
        <v/>
      </c>
      <c r="AB2080" s="13" t="n"/>
      <c r="AC2080" s="15">
        <f>IF($B2080="","",IF($AB2080&lt;&gt;"",$AB2080,IF($AA2080="","",IF($AA2080&lt;=設定!$C$3,0,$AA2080))))</f>
        <v/>
      </c>
      <c r="AD2080" s="14">
        <f>IF($B2080="","",IF(AND($AE2080&lt;&gt;"",$AG2080="",$AJ2080=""),"保留中",IF($AJ2080&lt;&gt;"",IF(N($AC2080)&gt;0,"支給済","不支給"),IF($AC2080="","要確認",IF($AC2080=0,"不支給","未処理")))))</f>
        <v/>
      </c>
      <c r="AE2080" s="12" t="n"/>
      <c r="AF2080" s="11" t="n"/>
      <c r="AG2080" s="11" t="n"/>
      <c r="AH2080" s="11" t="n"/>
      <c r="AI2080" s="14">
        <f>IF(AND($AD2080="保留中",$AF2080&lt;&gt;""),TODAY()-$AF2080,"")</f>
        <v/>
      </c>
      <c r="AJ2080" s="12" t="n"/>
      <c r="AK2080" s="14">
        <f>IF($B2080="","",IF($AO2080="","対象年月が未入力／","")&amp;IF($B2080="","",IF($AN2080="","職員マスタに未登録の職員番号／",IF($Y2080="","標準報酬月額が未登録／","")&amp;IF(AND($AO2080&lt;&gt;"",OR(AND(INDEX(職員マスタ!$G$6:$G$405,$AN2080)&lt;&gt;"",INDEX(職員マスタ!$G$6:$G$405,$AN2080)&gt;EOMONTH($AO2080,0)),AND(INDEX(職員マスタ!$H$6:$H$405,$AN2080)&lt;&gt;"",INDEX(職員マスタ!$H$6:$H$405,$AN2080)&lt;$AO2080))),"対象月が時短期間外／","")&amp;IF(AND(INDEX(職員マスタ!$F$6:$F$405,$AN2080)&lt;&gt;"",$AO2080&lt;&gt;"",INDEX(職員マスタ!$F$6:$F$405,$AN2080)&lt;$AO2080),"対象月に子が2歳到達済／","")&amp;IF(AND($H2080&lt;&gt;"",INDEX(職員マスタ!$B$6:$B$405,$AN2080)&lt;&gt;"",SUBSTITUTE(SUBSTITUTE($H2080," ","")," ","")&lt;&gt;SUBSTITUTE(SUBSTITUTE(INDEX(職員マスタ!$B$6:$B$405,$AN2080)," ","")," ","")),"氏名がマスタと相違／","")&amp;IF(AND($Q2080&lt;&gt;"",INDEX(職員マスタ!$E$6:$E$405,$AN2080)&lt;&gt;"",$Q2080&lt;&gt;INDEX(職員マスタ!$E$6:$E$405,$AN2080)),"子の生年月日がマスタと相違／","")&amp;IF(AND($L2080&lt;&gt;"",INDEX(職員マスタ!$G$6:$G$405,$AN2080)&lt;&gt;"",$L2080&lt;&gt;INDEX(職員マスタ!$G$6:$G$405,$AN2080)),"時短開始日がマスタと相違／","")&amp;IF(AND($M2080&lt;&gt;"",INDEX(職員マスタ!$H$6:$H$405,$AN2080)&lt;&gt;"",$M2080&lt;&gt;INDEX(職員マスタ!$H$6:$H$405,$AN2080)),"時短終了日がマスタと相違／","")))&amp;IF(AND($B2080&lt;&gt;"",$E2080=""),"報酬額が未入力／","")&amp;IF(N($U2080)&gt;0,"申請書に入力エラーが残っています／","")&amp;IF(AND($B2080&lt;&gt;"",$AO2080&lt;&gt;""),IF(COUNTIFS($B$6:$B$3005,$B2080,$C$6:$C$3005,$C2080,$D$6:$D$3005,$D2080)&gt;1,"同じ月の請求が重複しています／",""),"")&amp;IF(AND(N($E2080)&gt;0,$Z2080&lt;&gt;"",$Z2080&lt;&gt;"×",$AC2080=0,$AB2080=""),"計算額が下限以下のため不支給／",""))</f>
        <v/>
      </c>
      <c r="AL2080" s="12" t="n"/>
      <c r="AM2080" s="14">
        <f>IF($AD2080="保留中",COUNTIF($AD$6:$AD2080,"保留中"),"")</f>
        <v/>
      </c>
      <c r="AN2080" s="14">
        <f>IF($AO2080="","",IF(SUMPRODUCT(MAX((職員マスタ!$A$6:$A$405=$B2080)*(((職員マスタ!$G$6:$G$405="")+(職員マスタ!$G$6:$G$405&lt;=EOMONTH($AO2080,0)))&gt;0)*(((職員マスタ!$H$6:$H$405="")+(職員マスタ!$H$6:$H$405&gt;=$AO2080))&gt;0)*(ROW(職員マスタ!$A$6:$A$405)-5)))&gt;0,SUMPRODUCT(MAX((職員マスタ!$A$6:$A$405=$B2080)*(((職員マスタ!$G$6:$G$405="")+(職員マスタ!$G$6:$G$405&lt;=EOMONTH($AO2080,0)))&gt;0)*(((職員マスタ!$H$6:$H$405="")+(職員マスタ!$H$6:$H$405&gt;=$AO2080))&gt;0)*(ROW(職員マスタ!$A$6:$A$405)-5))),IFERROR(MATCH($B2080,職員マスタ!$A$6:$A$405,0),"")))</f>
        <v/>
      </c>
      <c r="AO2080" s="16">
        <f>IF(OR($B2080="",$C2080="",$D2080=""),"",DATE($C2080+2018,$D2080,1))</f>
        <v/>
      </c>
    </row>
    <row r="2081">
      <c r="A2081" s="11" t="n"/>
      <c r="B2081" s="12" t="n"/>
      <c r="C2081" s="12" t="n"/>
      <c r="D2081" s="12" t="n"/>
      <c r="E2081" s="13" t="n"/>
      <c r="F2081" s="12" t="n"/>
      <c r="G2081" s="13" t="n"/>
      <c r="H2081" s="12" t="n"/>
      <c r="I2081" s="12" t="n"/>
      <c r="J2081" s="12" t="n"/>
      <c r="K2081" s="12" t="n"/>
      <c r="L2081" s="11" t="n"/>
      <c r="M2081" s="11" t="n"/>
      <c r="N2081" s="11" t="n"/>
      <c r="O2081" s="11" t="n"/>
      <c r="P2081" s="12" t="n"/>
      <c r="Q2081" s="11" t="n"/>
      <c r="R2081" s="12" t="n"/>
      <c r="S2081" s="11" t="n"/>
      <c r="T2081" s="12" t="n"/>
      <c r="U2081" s="12" t="n"/>
      <c r="V2081" s="14">
        <f>IF($AN2081="",IF($B2081="","",$H2081),IF(INDEX(職員マスタ!$B$6:$B$405,$AN2081)="",$H2081,INDEX(職員マスタ!$B$6:$B$405,$AN2081)))</f>
        <v/>
      </c>
      <c r="W2081" s="14">
        <f>IF($AN2081="",IF($B2081="","",$R2081),IF(INDEX(職員マスタ!$C$6:$C$405,$AN2081)="",$R2081,INDEX(職員マスタ!$C$6:$C$405,$AN2081)))</f>
        <v/>
      </c>
      <c r="X2081" s="14">
        <f>IF($AO2081="","","R"&amp;$C2081&amp;"."&amp;$D2081)</f>
        <v/>
      </c>
      <c r="Y2081" s="15">
        <f>IF($AN2081="","",IF(INDEX(職員マスタ!$K$6:$K$405,$AN2081)="","",INDEX(職員マスタ!$K$6:$K$405,$AN2081)))</f>
        <v/>
      </c>
      <c r="Z2081" s="14">
        <f>IF(OR($E2081="",$Y2081=""),"",IF($E2081&gt;=$Y2081,"×",IF($E2081&gt;=$Y2081*設定!$C$5,"△","○")))</f>
        <v/>
      </c>
      <c r="AA2081" s="15">
        <f>IF($Z2081="","",IF($Z2081="×",0,IF($Z2081="○",ROUNDDOWN($E2081*設定!$C$4,0),ROUNDDOWN($E2081*ROUND((9*$Y2081-9*$E2081)/(10*$E2081),4),0))))</f>
        <v/>
      </c>
      <c r="AB2081" s="13" t="n"/>
      <c r="AC2081" s="15">
        <f>IF($B2081="","",IF($AB2081&lt;&gt;"",$AB2081,IF($AA2081="","",IF($AA2081&lt;=設定!$C$3,0,$AA2081))))</f>
        <v/>
      </c>
      <c r="AD2081" s="14">
        <f>IF($B2081="","",IF(AND($AE2081&lt;&gt;"",$AG2081="",$AJ2081=""),"保留中",IF($AJ2081&lt;&gt;"",IF(N($AC2081)&gt;0,"支給済","不支給"),IF($AC2081="","要確認",IF($AC2081=0,"不支給","未処理")))))</f>
        <v/>
      </c>
      <c r="AE2081" s="12" t="n"/>
      <c r="AF2081" s="11" t="n"/>
      <c r="AG2081" s="11" t="n"/>
      <c r="AH2081" s="11" t="n"/>
      <c r="AI2081" s="14">
        <f>IF(AND($AD2081="保留中",$AF2081&lt;&gt;""),TODAY()-$AF2081,"")</f>
        <v/>
      </c>
      <c r="AJ2081" s="12" t="n"/>
      <c r="AK2081" s="14">
        <f>IF($B2081="","",IF($AO2081="","対象年月が未入力／","")&amp;IF($B2081="","",IF($AN2081="","職員マスタに未登録の職員番号／",IF($Y2081="","標準報酬月額が未登録／","")&amp;IF(AND($AO2081&lt;&gt;"",OR(AND(INDEX(職員マスタ!$G$6:$G$405,$AN2081)&lt;&gt;"",INDEX(職員マスタ!$G$6:$G$405,$AN2081)&gt;EOMONTH($AO2081,0)),AND(INDEX(職員マスタ!$H$6:$H$405,$AN2081)&lt;&gt;"",INDEX(職員マスタ!$H$6:$H$405,$AN2081)&lt;$AO2081))),"対象月が時短期間外／","")&amp;IF(AND(INDEX(職員マスタ!$F$6:$F$405,$AN2081)&lt;&gt;"",$AO2081&lt;&gt;"",INDEX(職員マスタ!$F$6:$F$405,$AN2081)&lt;$AO2081),"対象月に子が2歳到達済／","")&amp;IF(AND($H2081&lt;&gt;"",INDEX(職員マスタ!$B$6:$B$405,$AN2081)&lt;&gt;"",SUBSTITUTE(SUBSTITUTE($H2081," ","")," ","")&lt;&gt;SUBSTITUTE(SUBSTITUTE(INDEX(職員マスタ!$B$6:$B$405,$AN2081)," ","")," ","")),"氏名がマスタと相違／","")&amp;IF(AND($Q2081&lt;&gt;"",INDEX(職員マスタ!$E$6:$E$405,$AN2081)&lt;&gt;"",$Q2081&lt;&gt;INDEX(職員マスタ!$E$6:$E$405,$AN2081)),"子の生年月日がマスタと相違／","")&amp;IF(AND($L2081&lt;&gt;"",INDEX(職員マスタ!$G$6:$G$405,$AN2081)&lt;&gt;"",$L2081&lt;&gt;INDEX(職員マスタ!$G$6:$G$405,$AN2081)),"時短開始日がマスタと相違／","")&amp;IF(AND($M2081&lt;&gt;"",INDEX(職員マスタ!$H$6:$H$405,$AN2081)&lt;&gt;"",$M2081&lt;&gt;INDEX(職員マスタ!$H$6:$H$405,$AN2081)),"時短終了日がマスタと相違／","")))&amp;IF(AND($B2081&lt;&gt;"",$E2081=""),"報酬額が未入力／","")&amp;IF(N($U2081)&gt;0,"申請書に入力エラーが残っています／","")&amp;IF(AND($B2081&lt;&gt;"",$AO2081&lt;&gt;""),IF(COUNTIFS($B$6:$B$3005,$B2081,$C$6:$C$3005,$C2081,$D$6:$D$3005,$D2081)&gt;1,"同じ月の請求が重複しています／",""),"")&amp;IF(AND(N($E2081)&gt;0,$Z2081&lt;&gt;"",$Z2081&lt;&gt;"×",$AC2081=0,$AB2081=""),"計算額が下限以下のため不支給／",""))</f>
        <v/>
      </c>
      <c r="AL2081" s="12" t="n"/>
      <c r="AM2081" s="14">
        <f>IF($AD2081="保留中",COUNTIF($AD$6:$AD2081,"保留中"),"")</f>
        <v/>
      </c>
      <c r="AN2081" s="14">
        <f>IF($AO2081="","",IF(SUMPRODUCT(MAX((職員マスタ!$A$6:$A$405=$B2081)*(((職員マスタ!$G$6:$G$405="")+(職員マスタ!$G$6:$G$405&lt;=EOMONTH($AO2081,0)))&gt;0)*(((職員マスタ!$H$6:$H$405="")+(職員マスタ!$H$6:$H$405&gt;=$AO2081))&gt;0)*(ROW(職員マスタ!$A$6:$A$405)-5)))&gt;0,SUMPRODUCT(MAX((職員マスタ!$A$6:$A$405=$B2081)*(((職員マスタ!$G$6:$G$405="")+(職員マスタ!$G$6:$G$405&lt;=EOMONTH($AO2081,0)))&gt;0)*(((職員マスタ!$H$6:$H$405="")+(職員マスタ!$H$6:$H$405&gt;=$AO2081))&gt;0)*(ROW(職員マスタ!$A$6:$A$405)-5))),IFERROR(MATCH($B2081,職員マスタ!$A$6:$A$405,0),"")))</f>
        <v/>
      </c>
      <c r="AO2081" s="16">
        <f>IF(OR($B2081="",$C2081="",$D2081=""),"",DATE($C2081+2018,$D2081,1))</f>
        <v/>
      </c>
    </row>
    <row r="2082">
      <c r="A2082" s="11" t="n"/>
      <c r="B2082" s="12" t="n"/>
      <c r="C2082" s="12" t="n"/>
      <c r="D2082" s="12" t="n"/>
      <c r="E2082" s="13" t="n"/>
      <c r="F2082" s="12" t="n"/>
      <c r="G2082" s="13" t="n"/>
      <c r="H2082" s="12" t="n"/>
      <c r="I2082" s="12" t="n"/>
      <c r="J2082" s="12" t="n"/>
      <c r="K2082" s="12" t="n"/>
      <c r="L2082" s="11" t="n"/>
      <c r="M2082" s="11" t="n"/>
      <c r="N2082" s="11" t="n"/>
      <c r="O2082" s="11" t="n"/>
      <c r="P2082" s="12" t="n"/>
      <c r="Q2082" s="11" t="n"/>
      <c r="R2082" s="12" t="n"/>
      <c r="S2082" s="11" t="n"/>
      <c r="T2082" s="12" t="n"/>
      <c r="U2082" s="12" t="n"/>
      <c r="V2082" s="14">
        <f>IF($AN2082="",IF($B2082="","",$H2082),IF(INDEX(職員マスタ!$B$6:$B$405,$AN2082)="",$H2082,INDEX(職員マスタ!$B$6:$B$405,$AN2082)))</f>
        <v/>
      </c>
      <c r="W2082" s="14">
        <f>IF($AN2082="",IF($B2082="","",$R2082),IF(INDEX(職員マスタ!$C$6:$C$405,$AN2082)="",$R2082,INDEX(職員マスタ!$C$6:$C$405,$AN2082)))</f>
        <v/>
      </c>
      <c r="X2082" s="14">
        <f>IF($AO2082="","","R"&amp;$C2082&amp;"."&amp;$D2082)</f>
        <v/>
      </c>
      <c r="Y2082" s="15">
        <f>IF($AN2082="","",IF(INDEX(職員マスタ!$K$6:$K$405,$AN2082)="","",INDEX(職員マスタ!$K$6:$K$405,$AN2082)))</f>
        <v/>
      </c>
      <c r="Z2082" s="14">
        <f>IF(OR($E2082="",$Y2082=""),"",IF($E2082&gt;=$Y2082,"×",IF($E2082&gt;=$Y2082*設定!$C$5,"△","○")))</f>
        <v/>
      </c>
      <c r="AA2082" s="15">
        <f>IF($Z2082="","",IF($Z2082="×",0,IF($Z2082="○",ROUNDDOWN($E2082*設定!$C$4,0),ROUNDDOWN($E2082*ROUND((9*$Y2082-9*$E2082)/(10*$E2082),4),0))))</f>
        <v/>
      </c>
      <c r="AB2082" s="13" t="n"/>
      <c r="AC2082" s="15">
        <f>IF($B2082="","",IF($AB2082&lt;&gt;"",$AB2082,IF($AA2082="","",IF($AA2082&lt;=設定!$C$3,0,$AA2082))))</f>
        <v/>
      </c>
      <c r="AD2082" s="14">
        <f>IF($B2082="","",IF(AND($AE2082&lt;&gt;"",$AG2082="",$AJ2082=""),"保留中",IF($AJ2082&lt;&gt;"",IF(N($AC2082)&gt;0,"支給済","不支給"),IF($AC2082="","要確認",IF($AC2082=0,"不支給","未処理")))))</f>
        <v/>
      </c>
      <c r="AE2082" s="12" t="n"/>
      <c r="AF2082" s="11" t="n"/>
      <c r="AG2082" s="11" t="n"/>
      <c r="AH2082" s="11" t="n"/>
      <c r="AI2082" s="14">
        <f>IF(AND($AD2082="保留中",$AF2082&lt;&gt;""),TODAY()-$AF2082,"")</f>
        <v/>
      </c>
      <c r="AJ2082" s="12" t="n"/>
      <c r="AK2082" s="14">
        <f>IF($B2082="","",IF($AO2082="","対象年月が未入力／","")&amp;IF($B2082="","",IF($AN2082="","職員マスタに未登録の職員番号／",IF($Y2082="","標準報酬月額が未登録／","")&amp;IF(AND($AO2082&lt;&gt;"",OR(AND(INDEX(職員マスタ!$G$6:$G$405,$AN2082)&lt;&gt;"",INDEX(職員マスタ!$G$6:$G$405,$AN2082)&gt;EOMONTH($AO2082,0)),AND(INDEX(職員マスタ!$H$6:$H$405,$AN2082)&lt;&gt;"",INDEX(職員マスタ!$H$6:$H$405,$AN2082)&lt;$AO2082))),"対象月が時短期間外／","")&amp;IF(AND(INDEX(職員マスタ!$F$6:$F$405,$AN2082)&lt;&gt;"",$AO2082&lt;&gt;"",INDEX(職員マスタ!$F$6:$F$405,$AN2082)&lt;$AO2082),"対象月に子が2歳到達済／","")&amp;IF(AND($H2082&lt;&gt;"",INDEX(職員マスタ!$B$6:$B$405,$AN2082)&lt;&gt;"",SUBSTITUTE(SUBSTITUTE($H2082," ","")," ","")&lt;&gt;SUBSTITUTE(SUBSTITUTE(INDEX(職員マスタ!$B$6:$B$405,$AN2082)," ","")," ","")),"氏名がマスタと相違／","")&amp;IF(AND($Q2082&lt;&gt;"",INDEX(職員マスタ!$E$6:$E$405,$AN2082)&lt;&gt;"",$Q2082&lt;&gt;INDEX(職員マスタ!$E$6:$E$405,$AN2082)),"子の生年月日がマスタと相違／","")&amp;IF(AND($L2082&lt;&gt;"",INDEX(職員マスタ!$G$6:$G$405,$AN2082)&lt;&gt;"",$L2082&lt;&gt;INDEX(職員マスタ!$G$6:$G$405,$AN2082)),"時短開始日がマスタと相違／","")&amp;IF(AND($M2082&lt;&gt;"",INDEX(職員マスタ!$H$6:$H$405,$AN2082)&lt;&gt;"",$M2082&lt;&gt;INDEX(職員マスタ!$H$6:$H$405,$AN2082)),"時短終了日がマスタと相違／","")))&amp;IF(AND($B2082&lt;&gt;"",$E2082=""),"報酬額が未入力／","")&amp;IF(N($U2082)&gt;0,"申請書に入力エラーが残っています／","")&amp;IF(AND($B2082&lt;&gt;"",$AO2082&lt;&gt;""),IF(COUNTIFS($B$6:$B$3005,$B2082,$C$6:$C$3005,$C2082,$D$6:$D$3005,$D2082)&gt;1,"同じ月の請求が重複しています／",""),"")&amp;IF(AND(N($E2082)&gt;0,$Z2082&lt;&gt;"",$Z2082&lt;&gt;"×",$AC2082=0,$AB2082=""),"計算額が下限以下のため不支給／",""))</f>
        <v/>
      </c>
      <c r="AL2082" s="12" t="n"/>
      <c r="AM2082" s="14">
        <f>IF($AD2082="保留中",COUNTIF($AD$6:$AD2082,"保留中"),"")</f>
        <v/>
      </c>
      <c r="AN2082" s="14">
        <f>IF($AO2082="","",IF(SUMPRODUCT(MAX((職員マスタ!$A$6:$A$405=$B2082)*(((職員マスタ!$G$6:$G$405="")+(職員マスタ!$G$6:$G$405&lt;=EOMONTH($AO2082,0)))&gt;0)*(((職員マスタ!$H$6:$H$405="")+(職員マスタ!$H$6:$H$405&gt;=$AO2082))&gt;0)*(ROW(職員マスタ!$A$6:$A$405)-5)))&gt;0,SUMPRODUCT(MAX((職員マスタ!$A$6:$A$405=$B2082)*(((職員マスタ!$G$6:$G$405="")+(職員マスタ!$G$6:$G$405&lt;=EOMONTH($AO2082,0)))&gt;0)*(((職員マスタ!$H$6:$H$405="")+(職員マスタ!$H$6:$H$405&gt;=$AO2082))&gt;0)*(ROW(職員マスタ!$A$6:$A$405)-5))),IFERROR(MATCH($B2082,職員マスタ!$A$6:$A$405,0),"")))</f>
        <v/>
      </c>
      <c r="AO2082" s="16">
        <f>IF(OR($B2082="",$C2082="",$D2082=""),"",DATE($C2082+2018,$D2082,1))</f>
        <v/>
      </c>
    </row>
    <row r="2083">
      <c r="A2083" s="11" t="n"/>
      <c r="B2083" s="12" t="n"/>
      <c r="C2083" s="12" t="n"/>
      <c r="D2083" s="12" t="n"/>
      <c r="E2083" s="13" t="n"/>
      <c r="F2083" s="12" t="n"/>
      <c r="G2083" s="13" t="n"/>
      <c r="H2083" s="12" t="n"/>
      <c r="I2083" s="12" t="n"/>
      <c r="J2083" s="12" t="n"/>
      <c r="K2083" s="12" t="n"/>
      <c r="L2083" s="11" t="n"/>
      <c r="M2083" s="11" t="n"/>
      <c r="N2083" s="11" t="n"/>
      <c r="O2083" s="11" t="n"/>
      <c r="P2083" s="12" t="n"/>
      <c r="Q2083" s="11" t="n"/>
      <c r="R2083" s="12" t="n"/>
      <c r="S2083" s="11" t="n"/>
      <c r="T2083" s="12" t="n"/>
      <c r="U2083" s="12" t="n"/>
      <c r="V2083" s="14">
        <f>IF($AN2083="",IF($B2083="","",$H2083),IF(INDEX(職員マスタ!$B$6:$B$405,$AN2083)="",$H2083,INDEX(職員マスタ!$B$6:$B$405,$AN2083)))</f>
        <v/>
      </c>
      <c r="W2083" s="14">
        <f>IF($AN2083="",IF($B2083="","",$R2083),IF(INDEX(職員マスタ!$C$6:$C$405,$AN2083)="",$R2083,INDEX(職員マスタ!$C$6:$C$405,$AN2083)))</f>
        <v/>
      </c>
      <c r="X2083" s="14">
        <f>IF($AO2083="","","R"&amp;$C2083&amp;"."&amp;$D2083)</f>
        <v/>
      </c>
      <c r="Y2083" s="15">
        <f>IF($AN2083="","",IF(INDEX(職員マスタ!$K$6:$K$405,$AN2083)="","",INDEX(職員マスタ!$K$6:$K$405,$AN2083)))</f>
        <v/>
      </c>
      <c r="Z2083" s="14">
        <f>IF(OR($E2083="",$Y2083=""),"",IF($E2083&gt;=$Y2083,"×",IF($E2083&gt;=$Y2083*設定!$C$5,"△","○")))</f>
        <v/>
      </c>
      <c r="AA2083" s="15">
        <f>IF($Z2083="","",IF($Z2083="×",0,IF($Z2083="○",ROUNDDOWN($E2083*設定!$C$4,0),ROUNDDOWN($E2083*ROUND((9*$Y2083-9*$E2083)/(10*$E2083),4),0))))</f>
        <v/>
      </c>
      <c r="AB2083" s="13" t="n"/>
      <c r="AC2083" s="15">
        <f>IF($B2083="","",IF($AB2083&lt;&gt;"",$AB2083,IF($AA2083="","",IF($AA2083&lt;=設定!$C$3,0,$AA2083))))</f>
        <v/>
      </c>
      <c r="AD2083" s="14">
        <f>IF($B2083="","",IF(AND($AE2083&lt;&gt;"",$AG2083="",$AJ2083=""),"保留中",IF($AJ2083&lt;&gt;"",IF(N($AC2083)&gt;0,"支給済","不支給"),IF($AC2083="","要確認",IF($AC2083=0,"不支給","未処理")))))</f>
        <v/>
      </c>
      <c r="AE2083" s="12" t="n"/>
      <c r="AF2083" s="11" t="n"/>
      <c r="AG2083" s="11" t="n"/>
      <c r="AH2083" s="11" t="n"/>
      <c r="AI2083" s="14">
        <f>IF(AND($AD2083="保留中",$AF2083&lt;&gt;""),TODAY()-$AF2083,"")</f>
        <v/>
      </c>
      <c r="AJ2083" s="12" t="n"/>
      <c r="AK2083" s="14">
        <f>IF($B2083="","",IF($AO2083="","対象年月が未入力／","")&amp;IF($B2083="","",IF($AN2083="","職員マスタに未登録の職員番号／",IF($Y2083="","標準報酬月額が未登録／","")&amp;IF(AND($AO2083&lt;&gt;"",OR(AND(INDEX(職員マスタ!$G$6:$G$405,$AN2083)&lt;&gt;"",INDEX(職員マスタ!$G$6:$G$405,$AN2083)&gt;EOMONTH($AO2083,0)),AND(INDEX(職員マスタ!$H$6:$H$405,$AN2083)&lt;&gt;"",INDEX(職員マスタ!$H$6:$H$405,$AN2083)&lt;$AO2083))),"対象月が時短期間外／","")&amp;IF(AND(INDEX(職員マスタ!$F$6:$F$405,$AN2083)&lt;&gt;"",$AO2083&lt;&gt;"",INDEX(職員マスタ!$F$6:$F$405,$AN2083)&lt;$AO2083),"対象月に子が2歳到達済／","")&amp;IF(AND($H2083&lt;&gt;"",INDEX(職員マスタ!$B$6:$B$405,$AN2083)&lt;&gt;"",SUBSTITUTE(SUBSTITUTE($H2083," ","")," ","")&lt;&gt;SUBSTITUTE(SUBSTITUTE(INDEX(職員マスタ!$B$6:$B$405,$AN2083)," ","")," ","")),"氏名がマスタと相違／","")&amp;IF(AND($Q2083&lt;&gt;"",INDEX(職員マスタ!$E$6:$E$405,$AN2083)&lt;&gt;"",$Q2083&lt;&gt;INDEX(職員マスタ!$E$6:$E$405,$AN2083)),"子の生年月日がマスタと相違／","")&amp;IF(AND($L2083&lt;&gt;"",INDEX(職員マスタ!$G$6:$G$405,$AN2083)&lt;&gt;"",$L2083&lt;&gt;INDEX(職員マスタ!$G$6:$G$405,$AN2083)),"時短開始日がマスタと相違／","")&amp;IF(AND($M2083&lt;&gt;"",INDEX(職員マスタ!$H$6:$H$405,$AN2083)&lt;&gt;"",$M2083&lt;&gt;INDEX(職員マスタ!$H$6:$H$405,$AN2083)),"時短終了日がマスタと相違／","")))&amp;IF(AND($B2083&lt;&gt;"",$E2083=""),"報酬額が未入力／","")&amp;IF(N($U2083)&gt;0,"申請書に入力エラーが残っています／","")&amp;IF(AND($B2083&lt;&gt;"",$AO2083&lt;&gt;""),IF(COUNTIFS($B$6:$B$3005,$B2083,$C$6:$C$3005,$C2083,$D$6:$D$3005,$D2083)&gt;1,"同じ月の請求が重複しています／",""),"")&amp;IF(AND(N($E2083)&gt;0,$Z2083&lt;&gt;"",$Z2083&lt;&gt;"×",$AC2083=0,$AB2083=""),"計算額が下限以下のため不支給／",""))</f>
        <v/>
      </c>
      <c r="AL2083" s="12" t="n"/>
      <c r="AM2083" s="14">
        <f>IF($AD2083="保留中",COUNTIF($AD$6:$AD2083,"保留中"),"")</f>
        <v/>
      </c>
      <c r="AN2083" s="14">
        <f>IF($AO2083="","",IF(SUMPRODUCT(MAX((職員マスタ!$A$6:$A$405=$B2083)*(((職員マスタ!$G$6:$G$405="")+(職員マスタ!$G$6:$G$405&lt;=EOMONTH($AO2083,0)))&gt;0)*(((職員マスタ!$H$6:$H$405="")+(職員マスタ!$H$6:$H$405&gt;=$AO2083))&gt;0)*(ROW(職員マスタ!$A$6:$A$405)-5)))&gt;0,SUMPRODUCT(MAX((職員マスタ!$A$6:$A$405=$B2083)*(((職員マスタ!$G$6:$G$405="")+(職員マスタ!$G$6:$G$405&lt;=EOMONTH($AO2083,0)))&gt;0)*(((職員マスタ!$H$6:$H$405="")+(職員マスタ!$H$6:$H$405&gt;=$AO2083))&gt;0)*(ROW(職員マスタ!$A$6:$A$405)-5))),IFERROR(MATCH($B2083,職員マスタ!$A$6:$A$405,0),"")))</f>
        <v/>
      </c>
      <c r="AO2083" s="16">
        <f>IF(OR($B2083="",$C2083="",$D2083=""),"",DATE($C2083+2018,$D2083,1))</f>
        <v/>
      </c>
    </row>
    <row r="2084">
      <c r="A2084" s="11" t="n"/>
      <c r="B2084" s="12" t="n"/>
      <c r="C2084" s="12" t="n"/>
      <c r="D2084" s="12" t="n"/>
      <c r="E2084" s="13" t="n"/>
      <c r="F2084" s="12" t="n"/>
      <c r="G2084" s="13" t="n"/>
      <c r="H2084" s="12" t="n"/>
      <c r="I2084" s="12" t="n"/>
      <c r="J2084" s="12" t="n"/>
      <c r="K2084" s="12" t="n"/>
      <c r="L2084" s="11" t="n"/>
      <c r="M2084" s="11" t="n"/>
      <c r="N2084" s="11" t="n"/>
      <c r="O2084" s="11" t="n"/>
      <c r="P2084" s="12" t="n"/>
      <c r="Q2084" s="11" t="n"/>
      <c r="R2084" s="12" t="n"/>
      <c r="S2084" s="11" t="n"/>
      <c r="T2084" s="12" t="n"/>
      <c r="U2084" s="12" t="n"/>
      <c r="V2084" s="14">
        <f>IF($AN2084="",IF($B2084="","",$H2084),IF(INDEX(職員マスタ!$B$6:$B$405,$AN2084)="",$H2084,INDEX(職員マスタ!$B$6:$B$405,$AN2084)))</f>
        <v/>
      </c>
      <c r="W2084" s="14">
        <f>IF($AN2084="",IF($B2084="","",$R2084),IF(INDEX(職員マスタ!$C$6:$C$405,$AN2084)="",$R2084,INDEX(職員マスタ!$C$6:$C$405,$AN2084)))</f>
        <v/>
      </c>
      <c r="X2084" s="14">
        <f>IF($AO2084="","","R"&amp;$C2084&amp;"."&amp;$D2084)</f>
        <v/>
      </c>
      <c r="Y2084" s="15">
        <f>IF($AN2084="","",IF(INDEX(職員マスタ!$K$6:$K$405,$AN2084)="","",INDEX(職員マスタ!$K$6:$K$405,$AN2084)))</f>
        <v/>
      </c>
      <c r="Z2084" s="14">
        <f>IF(OR($E2084="",$Y2084=""),"",IF($E2084&gt;=$Y2084,"×",IF($E2084&gt;=$Y2084*設定!$C$5,"△","○")))</f>
        <v/>
      </c>
      <c r="AA2084" s="15">
        <f>IF($Z2084="","",IF($Z2084="×",0,IF($Z2084="○",ROUNDDOWN($E2084*設定!$C$4,0),ROUNDDOWN($E2084*ROUND((9*$Y2084-9*$E2084)/(10*$E2084),4),0))))</f>
        <v/>
      </c>
      <c r="AB2084" s="13" t="n"/>
      <c r="AC2084" s="15">
        <f>IF($B2084="","",IF($AB2084&lt;&gt;"",$AB2084,IF($AA2084="","",IF($AA2084&lt;=設定!$C$3,0,$AA2084))))</f>
        <v/>
      </c>
      <c r="AD2084" s="14">
        <f>IF($B2084="","",IF(AND($AE2084&lt;&gt;"",$AG2084="",$AJ2084=""),"保留中",IF($AJ2084&lt;&gt;"",IF(N($AC2084)&gt;0,"支給済","不支給"),IF($AC2084="","要確認",IF($AC2084=0,"不支給","未処理")))))</f>
        <v/>
      </c>
      <c r="AE2084" s="12" t="n"/>
      <c r="AF2084" s="11" t="n"/>
      <c r="AG2084" s="11" t="n"/>
      <c r="AH2084" s="11" t="n"/>
      <c r="AI2084" s="14">
        <f>IF(AND($AD2084="保留中",$AF2084&lt;&gt;""),TODAY()-$AF2084,"")</f>
        <v/>
      </c>
      <c r="AJ2084" s="12" t="n"/>
      <c r="AK2084" s="14">
        <f>IF($B2084="","",IF($AO2084="","対象年月が未入力／","")&amp;IF($B2084="","",IF($AN2084="","職員マスタに未登録の職員番号／",IF($Y2084="","標準報酬月額が未登録／","")&amp;IF(AND($AO2084&lt;&gt;"",OR(AND(INDEX(職員マスタ!$G$6:$G$405,$AN2084)&lt;&gt;"",INDEX(職員マスタ!$G$6:$G$405,$AN2084)&gt;EOMONTH($AO2084,0)),AND(INDEX(職員マスタ!$H$6:$H$405,$AN2084)&lt;&gt;"",INDEX(職員マスタ!$H$6:$H$405,$AN2084)&lt;$AO2084))),"対象月が時短期間外／","")&amp;IF(AND(INDEX(職員マスタ!$F$6:$F$405,$AN2084)&lt;&gt;"",$AO2084&lt;&gt;"",INDEX(職員マスタ!$F$6:$F$405,$AN2084)&lt;$AO2084),"対象月に子が2歳到達済／","")&amp;IF(AND($H2084&lt;&gt;"",INDEX(職員マスタ!$B$6:$B$405,$AN2084)&lt;&gt;"",SUBSTITUTE(SUBSTITUTE($H2084," ","")," ","")&lt;&gt;SUBSTITUTE(SUBSTITUTE(INDEX(職員マスタ!$B$6:$B$405,$AN2084)," ","")," ","")),"氏名がマスタと相違／","")&amp;IF(AND($Q2084&lt;&gt;"",INDEX(職員マスタ!$E$6:$E$405,$AN2084)&lt;&gt;"",$Q2084&lt;&gt;INDEX(職員マスタ!$E$6:$E$405,$AN2084)),"子の生年月日がマスタと相違／","")&amp;IF(AND($L2084&lt;&gt;"",INDEX(職員マスタ!$G$6:$G$405,$AN2084)&lt;&gt;"",$L2084&lt;&gt;INDEX(職員マスタ!$G$6:$G$405,$AN2084)),"時短開始日がマスタと相違／","")&amp;IF(AND($M2084&lt;&gt;"",INDEX(職員マスタ!$H$6:$H$405,$AN2084)&lt;&gt;"",$M2084&lt;&gt;INDEX(職員マスタ!$H$6:$H$405,$AN2084)),"時短終了日がマスタと相違／","")))&amp;IF(AND($B2084&lt;&gt;"",$E2084=""),"報酬額が未入力／","")&amp;IF(N($U2084)&gt;0,"申請書に入力エラーが残っています／","")&amp;IF(AND($B2084&lt;&gt;"",$AO2084&lt;&gt;""),IF(COUNTIFS($B$6:$B$3005,$B2084,$C$6:$C$3005,$C2084,$D$6:$D$3005,$D2084)&gt;1,"同じ月の請求が重複しています／",""),"")&amp;IF(AND(N($E2084)&gt;0,$Z2084&lt;&gt;"",$Z2084&lt;&gt;"×",$AC2084=0,$AB2084=""),"計算額が下限以下のため不支給／",""))</f>
        <v/>
      </c>
      <c r="AL2084" s="12" t="n"/>
      <c r="AM2084" s="14">
        <f>IF($AD2084="保留中",COUNTIF($AD$6:$AD2084,"保留中"),"")</f>
        <v/>
      </c>
      <c r="AN2084" s="14">
        <f>IF($AO2084="","",IF(SUMPRODUCT(MAX((職員マスタ!$A$6:$A$405=$B2084)*(((職員マスタ!$G$6:$G$405="")+(職員マスタ!$G$6:$G$405&lt;=EOMONTH($AO2084,0)))&gt;0)*(((職員マスタ!$H$6:$H$405="")+(職員マスタ!$H$6:$H$405&gt;=$AO2084))&gt;0)*(ROW(職員マスタ!$A$6:$A$405)-5)))&gt;0,SUMPRODUCT(MAX((職員マスタ!$A$6:$A$405=$B2084)*(((職員マスタ!$G$6:$G$405="")+(職員マスタ!$G$6:$G$405&lt;=EOMONTH($AO2084,0)))&gt;0)*(((職員マスタ!$H$6:$H$405="")+(職員マスタ!$H$6:$H$405&gt;=$AO2084))&gt;0)*(ROW(職員マスタ!$A$6:$A$405)-5))),IFERROR(MATCH($B2084,職員マスタ!$A$6:$A$405,0),"")))</f>
        <v/>
      </c>
      <c r="AO2084" s="16">
        <f>IF(OR($B2084="",$C2084="",$D2084=""),"",DATE($C2084+2018,$D2084,1))</f>
        <v/>
      </c>
    </row>
    <row r="2085">
      <c r="A2085" s="11" t="n"/>
      <c r="B2085" s="12" t="n"/>
      <c r="C2085" s="12" t="n"/>
      <c r="D2085" s="12" t="n"/>
      <c r="E2085" s="13" t="n"/>
      <c r="F2085" s="12" t="n"/>
      <c r="G2085" s="13" t="n"/>
      <c r="H2085" s="12" t="n"/>
      <c r="I2085" s="12" t="n"/>
      <c r="J2085" s="12" t="n"/>
      <c r="K2085" s="12" t="n"/>
      <c r="L2085" s="11" t="n"/>
      <c r="M2085" s="11" t="n"/>
      <c r="N2085" s="11" t="n"/>
      <c r="O2085" s="11" t="n"/>
      <c r="P2085" s="12" t="n"/>
      <c r="Q2085" s="11" t="n"/>
      <c r="R2085" s="12" t="n"/>
      <c r="S2085" s="11" t="n"/>
      <c r="T2085" s="12" t="n"/>
      <c r="U2085" s="12" t="n"/>
      <c r="V2085" s="14">
        <f>IF($AN2085="",IF($B2085="","",$H2085),IF(INDEX(職員マスタ!$B$6:$B$405,$AN2085)="",$H2085,INDEX(職員マスタ!$B$6:$B$405,$AN2085)))</f>
        <v/>
      </c>
      <c r="W2085" s="14">
        <f>IF($AN2085="",IF($B2085="","",$R2085),IF(INDEX(職員マスタ!$C$6:$C$405,$AN2085)="",$R2085,INDEX(職員マスタ!$C$6:$C$405,$AN2085)))</f>
        <v/>
      </c>
      <c r="X2085" s="14">
        <f>IF($AO2085="","","R"&amp;$C2085&amp;"."&amp;$D2085)</f>
        <v/>
      </c>
      <c r="Y2085" s="15">
        <f>IF($AN2085="","",IF(INDEX(職員マスタ!$K$6:$K$405,$AN2085)="","",INDEX(職員マスタ!$K$6:$K$405,$AN2085)))</f>
        <v/>
      </c>
      <c r="Z2085" s="14">
        <f>IF(OR($E2085="",$Y2085=""),"",IF($E2085&gt;=$Y2085,"×",IF($E2085&gt;=$Y2085*設定!$C$5,"△","○")))</f>
        <v/>
      </c>
      <c r="AA2085" s="15">
        <f>IF($Z2085="","",IF($Z2085="×",0,IF($Z2085="○",ROUNDDOWN($E2085*設定!$C$4,0),ROUNDDOWN($E2085*ROUND((9*$Y2085-9*$E2085)/(10*$E2085),4),0))))</f>
        <v/>
      </c>
      <c r="AB2085" s="13" t="n"/>
      <c r="AC2085" s="15">
        <f>IF($B2085="","",IF($AB2085&lt;&gt;"",$AB2085,IF($AA2085="","",IF($AA2085&lt;=設定!$C$3,0,$AA2085))))</f>
        <v/>
      </c>
      <c r="AD2085" s="14">
        <f>IF($B2085="","",IF(AND($AE2085&lt;&gt;"",$AG2085="",$AJ2085=""),"保留中",IF($AJ2085&lt;&gt;"",IF(N($AC2085)&gt;0,"支給済","不支給"),IF($AC2085="","要確認",IF($AC2085=0,"不支給","未処理")))))</f>
        <v/>
      </c>
      <c r="AE2085" s="12" t="n"/>
      <c r="AF2085" s="11" t="n"/>
      <c r="AG2085" s="11" t="n"/>
      <c r="AH2085" s="11" t="n"/>
      <c r="AI2085" s="14">
        <f>IF(AND($AD2085="保留中",$AF2085&lt;&gt;""),TODAY()-$AF2085,"")</f>
        <v/>
      </c>
      <c r="AJ2085" s="12" t="n"/>
      <c r="AK2085" s="14">
        <f>IF($B2085="","",IF($AO2085="","対象年月が未入力／","")&amp;IF($B2085="","",IF($AN2085="","職員マスタに未登録の職員番号／",IF($Y2085="","標準報酬月額が未登録／","")&amp;IF(AND($AO2085&lt;&gt;"",OR(AND(INDEX(職員マスタ!$G$6:$G$405,$AN2085)&lt;&gt;"",INDEX(職員マスタ!$G$6:$G$405,$AN2085)&gt;EOMONTH($AO2085,0)),AND(INDEX(職員マスタ!$H$6:$H$405,$AN2085)&lt;&gt;"",INDEX(職員マスタ!$H$6:$H$405,$AN2085)&lt;$AO2085))),"対象月が時短期間外／","")&amp;IF(AND(INDEX(職員マスタ!$F$6:$F$405,$AN2085)&lt;&gt;"",$AO2085&lt;&gt;"",INDEX(職員マスタ!$F$6:$F$405,$AN2085)&lt;$AO2085),"対象月に子が2歳到達済／","")&amp;IF(AND($H2085&lt;&gt;"",INDEX(職員マスタ!$B$6:$B$405,$AN2085)&lt;&gt;"",SUBSTITUTE(SUBSTITUTE($H2085," ","")," ","")&lt;&gt;SUBSTITUTE(SUBSTITUTE(INDEX(職員マスタ!$B$6:$B$405,$AN2085)," ","")," ","")),"氏名がマスタと相違／","")&amp;IF(AND($Q2085&lt;&gt;"",INDEX(職員マスタ!$E$6:$E$405,$AN2085)&lt;&gt;"",$Q2085&lt;&gt;INDEX(職員マスタ!$E$6:$E$405,$AN2085)),"子の生年月日がマスタと相違／","")&amp;IF(AND($L2085&lt;&gt;"",INDEX(職員マスタ!$G$6:$G$405,$AN2085)&lt;&gt;"",$L2085&lt;&gt;INDEX(職員マスタ!$G$6:$G$405,$AN2085)),"時短開始日がマスタと相違／","")&amp;IF(AND($M2085&lt;&gt;"",INDEX(職員マスタ!$H$6:$H$405,$AN2085)&lt;&gt;"",$M2085&lt;&gt;INDEX(職員マスタ!$H$6:$H$405,$AN2085)),"時短終了日がマスタと相違／","")))&amp;IF(AND($B2085&lt;&gt;"",$E2085=""),"報酬額が未入力／","")&amp;IF(N($U2085)&gt;0,"申請書に入力エラーが残っています／","")&amp;IF(AND($B2085&lt;&gt;"",$AO2085&lt;&gt;""),IF(COUNTIFS($B$6:$B$3005,$B2085,$C$6:$C$3005,$C2085,$D$6:$D$3005,$D2085)&gt;1,"同じ月の請求が重複しています／",""),"")&amp;IF(AND(N($E2085)&gt;0,$Z2085&lt;&gt;"",$Z2085&lt;&gt;"×",$AC2085=0,$AB2085=""),"計算額が下限以下のため不支給／",""))</f>
        <v/>
      </c>
      <c r="AL2085" s="12" t="n"/>
      <c r="AM2085" s="14">
        <f>IF($AD2085="保留中",COUNTIF($AD$6:$AD2085,"保留中"),"")</f>
        <v/>
      </c>
      <c r="AN2085" s="14">
        <f>IF($AO2085="","",IF(SUMPRODUCT(MAX((職員マスタ!$A$6:$A$405=$B2085)*(((職員マスタ!$G$6:$G$405="")+(職員マスタ!$G$6:$G$405&lt;=EOMONTH($AO2085,0)))&gt;0)*(((職員マスタ!$H$6:$H$405="")+(職員マスタ!$H$6:$H$405&gt;=$AO2085))&gt;0)*(ROW(職員マスタ!$A$6:$A$405)-5)))&gt;0,SUMPRODUCT(MAX((職員マスタ!$A$6:$A$405=$B2085)*(((職員マスタ!$G$6:$G$405="")+(職員マスタ!$G$6:$G$405&lt;=EOMONTH($AO2085,0)))&gt;0)*(((職員マスタ!$H$6:$H$405="")+(職員マスタ!$H$6:$H$405&gt;=$AO2085))&gt;0)*(ROW(職員マスタ!$A$6:$A$405)-5))),IFERROR(MATCH($B2085,職員マスタ!$A$6:$A$405,0),"")))</f>
        <v/>
      </c>
      <c r="AO2085" s="16">
        <f>IF(OR($B2085="",$C2085="",$D2085=""),"",DATE($C2085+2018,$D2085,1))</f>
        <v/>
      </c>
    </row>
    <row r="2086">
      <c r="A2086" s="11" t="n"/>
      <c r="B2086" s="12" t="n"/>
      <c r="C2086" s="12" t="n"/>
      <c r="D2086" s="12" t="n"/>
      <c r="E2086" s="13" t="n"/>
      <c r="F2086" s="12" t="n"/>
      <c r="G2086" s="13" t="n"/>
      <c r="H2086" s="12" t="n"/>
      <c r="I2086" s="12" t="n"/>
      <c r="J2086" s="12" t="n"/>
      <c r="K2086" s="12" t="n"/>
      <c r="L2086" s="11" t="n"/>
      <c r="M2086" s="11" t="n"/>
      <c r="N2086" s="11" t="n"/>
      <c r="O2086" s="11" t="n"/>
      <c r="P2086" s="12" t="n"/>
      <c r="Q2086" s="11" t="n"/>
      <c r="R2086" s="12" t="n"/>
      <c r="S2086" s="11" t="n"/>
      <c r="T2086" s="12" t="n"/>
      <c r="U2086" s="12" t="n"/>
      <c r="V2086" s="14">
        <f>IF($AN2086="",IF($B2086="","",$H2086),IF(INDEX(職員マスタ!$B$6:$B$405,$AN2086)="",$H2086,INDEX(職員マスタ!$B$6:$B$405,$AN2086)))</f>
        <v/>
      </c>
      <c r="W2086" s="14">
        <f>IF($AN2086="",IF($B2086="","",$R2086),IF(INDEX(職員マスタ!$C$6:$C$405,$AN2086)="",$R2086,INDEX(職員マスタ!$C$6:$C$405,$AN2086)))</f>
        <v/>
      </c>
      <c r="X2086" s="14">
        <f>IF($AO2086="","","R"&amp;$C2086&amp;"."&amp;$D2086)</f>
        <v/>
      </c>
      <c r="Y2086" s="15">
        <f>IF($AN2086="","",IF(INDEX(職員マスタ!$K$6:$K$405,$AN2086)="","",INDEX(職員マスタ!$K$6:$K$405,$AN2086)))</f>
        <v/>
      </c>
      <c r="Z2086" s="14">
        <f>IF(OR($E2086="",$Y2086=""),"",IF($E2086&gt;=$Y2086,"×",IF($E2086&gt;=$Y2086*設定!$C$5,"△","○")))</f>
        <v/>
      </c>
      <c r="AA2086" s="15">
        <f>IF($Z2086="","",IF($Z2086="×",0,IF($Z2086="○",ROUNDDOWN($E2086*設定!$C$4,0),ROUNDDOWN($E2086*ROUND((9*$Y2086-9*$E2086)/(10*$E2086),4),0))))</f>
        <v/>
      </c>
      <c r="AB2086" s="13" t="n"/>
      <c r="AC2086" s="15">
        <f>IF($B2086="","",IF($AB2086&lt;&gt;"",$AB2086,IF($AA2086="","",IF($AA2086&lt;=設定!$C$3,0,$AA2086))))</f>
        <v/>
      </c>
      <c r="AD2086" s="14">
        <f>IF($B2086="","",IF(AND($AE2086&lt;&gt;"",$AG2086="",$AJ2086=""),"保留中",IF($AJ2086&lt;&gt;"",IF(N($AC2086)&gt;0,"支給済","不支給"),IF($AC2086="","要確認",IF($AC2086=0,"不支給","未処理")))))</f>
        <v/>
      </c>
      <c r="AE2086" s="12" t="n"/>
      <c r="AF2086" s="11" t="n"/>
      <c r="AG2086" s="11" t="n"/>
      <c r="AH2086" s="11" t="n"/>
      <c r="AI2086" s="14">
        <f>IF(AND($AD2086="保留中",$AF2086&lt;&gt;""),TODAY()-$AF2086,"")</f>
        <v/>
      </c>
      <c r="AJ2086" s="12" t="n"/>
      <c r="AK2086" s="14">
        <f>IF($B2086="","",IF($AO2086="","対象年月が未入力／","")&amp;IF($B2086="","",IF($AN2086="","職員マスタに未登録の職員番号／",IF($Y2086="","標準報酬月額が未登録／","")&amp;IF(AND($AO2086&lt;&gt;"",OR(AND(INDEX(職員マスタ!$G$6:$G$405,$AN2086)&lt;&gt;"",INDEX(職員マスタ!$G$6:$G$405,$AN2086)&gt;EOMONTH($AO2086,0)),AND(INDEX(職員マスタ!$H$6:$H$405,$AN2086)&lt;&gt;"",INDEX(職員マスタ!$H$6:$H$405,$AN2086)&lt;$AO2086))),"対象月が時短期間外／","")&amp;IF(AND(INDEX(職員マスタ!$F$6:$F$405,$AN2086)&lt;&gt;"",$AO2086&lt;&gt;"",INDEX(職員マスタ!$F$6:$F$405,$AN2086)&lt;$AO2086),"対象月に子が2歳到達済／","")&amp;IF(AND($H2086&lt;&gt;"",INDEX(職員マスタ!$B$6:$B$405,$AN2086)&lt;&gt;"",SUBSTITUTE(SUBSTITUTE($H2086," ","")," ","")&lt;&gt;SUBSTITUTE(SUBSTITUTE(INDEX(職員マスタ!$B$6:$B$405,$AN2086)," ","")," ","")),"氏名がマスタと相違／","")&amp;IF(AND($Q2086&lt;&gt;"",INDEX(職員マスタ!$E$6:$E$405,$AN2086)&lt;&gt;"",$Q2086&lt;&gt;INDEX(職員マスタ!$E$6:$E$405,$AN2086)),"子の生年月日がマスタと相違／","")&amp;IF(AND($L2086&lt;&gt;"",INDEX(職員マスタ!$G$6:$G$405,$AN2086)&lt;&gt;"",$L2086&lt;&gt;INDEX(職員マスタ!$G$6:$G$405,$AN2086)),"時短開始日がマスタと相違／","")&amp;IF(AND($M2086&lt;&gt;"",INDEX(職員マスタ!$H$6:$H$405,$AN2086)&lt;&gt;"",$M2086&lt;&gt;INDEX(職員マスタ!$H$6:$H$405,$AN2086)),"時短終了日がマスタと相違／","")))&amp;IF(AND($B2086&lt;&gt;"",$E2086=""),"報酬額が未入力／","")&amp;IF(N($U2086)&gt;0,"申請書に入力エラーが残っています／","")&amp;IF(AND($B2086&lt;&gt;"",$AO2086&lt;&gt;""),IF(COUNTIFS($B$6:$B$3005,$B2086,$C$6:$C$3005,$C2086,$D$6:$D$3005,$D2086)&gt;1,"同じ月の請求が重複しています／",""),"")&amp;IF(AND(N($E2086)&gt;0,$Z2086&lt;&gt;"",$Z2086&lt;&gt;"×",$AC2086=0,$AB2086=""),"計算額が下限以下のため不支給／",""))</f>
        <v/>
      </c>
      <c r="AL2086" s="12" t="n"/>
      <c r="AM2086" s="14">
        <f>IF($AD2086="保留中",COUNTIF($AD$6:$AD2086,"保留中"),"")</f>
        <v/>
      </c>
      <c r="AN2086" s="14">
        <f>IF($AO2086="","",IF(SUMPRODUCT(MAX((職員マスタ!$A$6:$A$405=$B2086)*(((職員マスタ!$G$6:$G$405="")+(職員マスタ!$G$6:$G$405&lt;=EOMONTH($AO2086,0)))&gt;0)*(((職員マスタ!$H$6:$H$405="")+(職員マスタ!$H$6:$H$405&gt;=$AO2086))&gt;0)*(ROW(職員マスタ!$A$6:$A$405)-5)))&gt;0,SUMPRODUCT(MAX((職員マスタ!$A$6:$A$405=$B2086)*(((職員マスタ!$G$6:$G$405="")+(職員マスタ!$G$6:$G$405&lt;=EOMONTH($AO2086,0)))&gt;0)*(((職員マスタ!$H$6:$H$405="")+(職員マスタ!$H$6:$H$405&gt;=$AO2086))&gt;0)*(ROW(職員マスタ!$A$6:$A$405)-5))),IFERROR(MATCH($B2086,職員マスタ!$A$6:$A$405,0),"")))</f>
        <v/>
      </c>
      <c r="AO2086" s="16">
        <f>IF(OR($B2086="",$C2086="",$D2086=""),"",DATE($C2086+2018,$D2086,1))</f>
        <v/>
      </c>
    </row>
    <row r="2087">
      <c r="A2087" s="11" t="n"/>
      <c r="B2087" s="12" t="n"/>
      <c r="C2087" s="12" t="n"/>
      <c r="D2087" s="12" t="n"/>
      <c r="E2087" s="13" t="n"/>
      <c r="F2087" s="12" t="n"/>
      <c r="G2087" s="13" t="n"/>
      <c r="H2087" s="12" t="n"/>
      <c r="I2087" s="12" t="n"/>
      <c r="J2087" s="12" t="n"/>
      <c r="K2087" s="12" t="n"/>
      <c r="L2087" s="11" t="n"/>
      <c r="M2087" s="11" t="n"/>
      <c r="N2087" s="11" t="n"/>
      <c r="O2087" s="11" t="n"/>
      <c r="P2087" s="12" t="n"/>
      <c r="Q2087" s="11" t="n"/>
      <c r="R2087" s="12" t="n"/>
      <c r="S2087" s="11" t="n"/>
      <c r="T2087" s="12" t="n"/>
      <c r="U2087" s="12" t="n"/>
      <c r="V2087" s="14">
        <f>IF($AN2087="",IF($B2087="","",$H2087),IF(INDEX(職員マスタ!$B$6:$B$405,$AN2087)="",$H2087,INDEX(職員マスタ!$B$6:$B$405,$AN2087)))</f>
        <v/>
      </c>
      <c r="W2087" s="14">
        <f>IF($AN2087="",IF($B2087="","",$R2087),IF(INDEX(職員マスタ!$C$6:$C$405,$AN2087)="",$R2087,INDEX(職員マスタ!$C$6:$C$405,$AN2087)))</f>
        <v/>
      </c>
      <c r="X2087" s="14">
        <f>IF($AO2087="","","R"&amp;$C2087&amp;"."&amp;$D2087)</f>
        <v/>
      </c>
      <c r="Y2087" s="15">
        <f>IF($AN2087="","",IF(INDEX(職員マスタ!$K$6:$K$405,$AN2087)="","",INDEX(職員マスタ!$K$6:$K$405,$AN2087)))</f>
        <v/>
      </c>
      <c r="Z2087" s="14">
        <f>IF(OR($E2087="",$Y2087=""),"",IF($E2087&gt;=$Y2087,"×",IF($E2087&gt;=$Y2087*設定!$C$5,"△","○")))</f>
        <v/>
      </c>
      <c r="AA2087" s="15">
        <f>IF($Z2087="","",IF($Z2087="×",0,IF($Z2087="○",ROUNDDOWN($E2087*設定!$C$4,0),ROUNDDOWN($E2087*ROUND((9*$Y2087-9*$E2087)/(10*$E2087),4),0))))</f>
        <v/>
      </c>
      <c r="AB2087" s="13" t="n"/>
      <c r="AC2087" s="15">
        <f>IF($B2087="","",IF($AB2087&lt;&gt;"",$AB2087,IF($AA2087="","",IF($AA2087&lt;=設定!$C$3,0,$AA2087))))</f>
        <v/>
      </c>
      <c r="AD2087" s="14">
        <f>IF($B2087="","",IF(AND($AE2087&lt;&gt;"",$AG2087="",$AJ2087=""),"保留中",IF($AJ2087&lt;&gt;"",IF(N($AC2087)&gt;0,"支給済","不支給"),IF($AC2087="","要確認",IF($AC2087=0,"不支給","未処理")))))</f>
        <v/>
      </c>
      <c r="AE2087" s="12" t="n"/>
      <c r="AF2087" s="11" t="n"/>
      <c r="AG2087" s="11" t="n"/>
      <c r="AH2087" s="11" t="n"/>
      <c r="AI2087" s="14">
        <f>IF(AND($AD2087="保留中",$AF2087&lt;&gt;""),TODAY()-$AF2087,"")</f>
        <v/>
      </c>
      <c r="AJ2087" s="12" t="n"/>
      <c r="AK2087" s="14">
        <f>IF($B2087="","",IF($AO2087="","対象年月が未入力／","")&amp;IF($B2087="","",IF($AN2087="","職員マスタに未登録の職員番号／",IF($Y2087="","標準報酬月額が未登録／","")&amp;IF(AND($AO2087&lt;&gt;"",OR(AND(INDEX(職員マスタ!$G$6:$G$405,$AN2087)&lt;&gt;"",INDEX(職員マスタ!$G$6:$G$405,$AN2087)&gt;EOMONTH($AO2087,0)),AND(INDEX(職員マスタ!$H$6:$H$405,$AN2087)&lt;&gt;"",INDEX(職員マスタ!$H$6:$H$405,$AN2087)&lt;$AO2087))),"対象月が時短期間外／","")&amp;IF(AND(INDEX(職員マスタ!$F$6:$F$405,$AN2087)&lt;&gt;"",$AO2087&lt;&gt;"",INDEX(職員マスタ!$F$6:$F$405,$AN2087)&lt;$AO2087),"対象月に子が2歳到達済／","")&amp;IF(AND($H2087&lt;&gt;"",INDEX(職員マスタ!$B$6:$B$405,$AN2087)&lt;&gt;"",SUBSTITUTE(SUBSTITUTE($H2087," ","")," ","")&lt;&gt;SUBSTITUTE(SUBSTITUTE(INDEX(職員マスタ!$B$6:$B$405,$AN2087)," ","")," ","")),"氏名がマスタと相違／","")&amp;IF(AND($Q2087&lt;&gt;"",INDEX(職員マスタ!$E$6:$E$405,$AN2087)&lt;&gt;"",$Q2087&lt;&gt;INDEX(職員マスタ!$E$6:$E$405,$AN2087)),"子の生年月日がマスタと相違／","")&amp;IF(AND($L2087&lt;&gt;"",INDEX(職員マスタ!$G$6:$G$405,$AN2087)&lt;&gt;"",$L2087&lt;&gt;INDEX(職員マスタ!$G$6:$G$405,$AN2087)),"時短開始日がマスタと相違／","")&amp;IF(AND($M2087&lt;&gt;"",INDEX(職員マスタ!$H$6:$H$405,$AN2087)&lt;&gt;"",$M2087&lt;&gt;INDEX(職員マスタ!$H$6:$H$405,$AN2087)),"時短終了日がマスタと相違／","")))&amp;IF(AND($B2087&lt;&gt;"",$E2087=""),"報酬額が未入力／","")&amp;IF(N($U2087)&gt;0,"申請書に入力エラーが残っています／","")&amp;IF(AND($B2087&lt;&gt;"",$AO2087&lt;&gt;""),IF(COUNTIFS($B$6:$B$3005,$B2087,$C$6:$C$3005,$C2087,$D$6:$D$3005,$D2087)&gt;1,"同じ月の請求が重複しています／",""),"")&amp;IF(AND(N($E2087)&gt;0,$Z2087&lt;&gt;"",$Z2087&lt;&gt;"×",$AC2087=0,$AB2087=""),"計算額が下限以下のため不支給／",""))</f>
        <v/>
      </c>
      <c r="AL2087" s="12" t="n"/>
      <c r="AM2087" s="14">
        <f>IF($AD2087="保留中",COUNTIF($AD$6:$AD2087,"保留中"),"")</f>
        <v/>
      </c>
      <c r="AN2087" s="14">
        <f>IF($AO2087="","",IF(SUMPRODUCT(MAX((職員マスタ!$A$6:$A$405=$B2087)*(((職員マスタ!$G$6:$G$405="")+(職員マスタ!$G$6:$G$405&lt;=EOMONTH($AO2087,0)))&gt;0)*(((職員マスタ!$H$6:$H$405="")+(職員マスタ!$H$6:$H$405&gt;=$AO2087))&gt;0)*(ROW(職員マスタ!$A$6:$A$405)-5)))&gt;0,SUMPRODUCT(MAX((職員マスタ!$A$6:$A$405=$B2087)*(((職員マスタ!$G$6:$G$405="")+(職員マスタ!$G$6:$G$405&lt;=EOMONTH($AO2087,0)))&gt;0)*(((職員マスタ!$H$6:$H$405="")+(職員マスタ!$H$6:$H$405&gt;=$AO2087))&gt;0)*(ROW(職員マスタ!$A$6:$A$405)-5))),IFERROR(MATCH($B2087,職員マスタ!$A$6:$A$405,0),"")))</f>
        <v/>
      </c>
      <c r="AO2087" s="16">
        <f>IF(OR($B2087="",$C2087="",$D2087=""),"",DATE($C2087+2018,$D2087,1))</f>
        <v/>
      </c>
    </row>
    <row r="2088">
      <c r="A2088" s="11" t="n"/>
      <c r="B2088" s="12" t="n"/>
      <c r="C2088" s="12" t="n"/>
      <c r="D2088" s="12" t="n"/>
      <c r="E2088" s="13" t="n"/>
      <c r="F2088" s="12" t="n"/>
      <c r="G2088" s="13" t="n"/>
      <c r="H2088" s="12" t="n"/>
      <c r="I2088" s="12" t="n"/>
      <c r="J2088" s="12" t="n"/>
      <c r="K2088" s="12" t="n"/>
      <c r="L2088" s="11" t="n"/>
      <c r="M2088" s="11" t="n"/>
      <c r="N2088" s="11" t="n"/>
      <c r="O2088" s="11" t="n"/>
      <c r="P2088" s="12" t="n"/>
      <c r="Q2088" s="11" t="n"/>
      <c r="R2088" s="12" t="n"/>
      <c r="S2088" s="11" t="n"/>
      <c r="T2088" s="12" t="n"/>
      <c r="U2088" s="12" t="n"/>
      <c r="V2088" s="14">
        <f>IF($AN2088="",IF($B2088="","",$H2088),IF(INDEX(職員マスタ!$B$6:$B$405,$AN2088)="",$H2088,INDEX(職員マスタ!$B$6:$B$405,$AN2088)))</f>
        <v/>
      </c>
      <c r="W2088" s="14">
        <f>IF($AN2088="",IF($B2088="","",$R2088),IF(INDEX(職員マスタ!$C$6:$C$405,$AN2088)="",$R2088,INDEX(職員マスタ!$C$6:$C$405,$AN2088)))</f>
        <v/>
      </c>
      <c r="X2088" s="14">
        <f>IF($AO2088="","","R"&amp;$C2088&amp;"."&amp;$D2088)</f>
        <v/>
      </c>
      <c r="Y2088" s="15">
        <f>IF($AN2088="","",IF(INDEX(職員マスタ!$K$6:$K$405,$AN2088)="","",INDEX(職員マスタ!$K$6:$K$405,$AN2088)))</f>
        <v/>
      </c>
      <c r="Z2088" s="14">
        <f>IF(OR($E2088="",$Y2088=""),"",IF($E2088&gt;=$Y2088,"×",IF($E2088&gt;=$Y2088*設定!$C$5,"△","○")))</f>
        <v/>
      </c>
      <c r="AA2088" s="15">
        <f>IF($Z2088="","",IF($Z2088="×",0,IF($Z2088="○",ROUNDDOWN($E2088*設定!$C$4,0),ROUNDDOWN($E2088*ROUND((9*$Y2088-9*$E2088)/(10*$E2088),4),0))))</f>
        <v/>
      </c>
      <c r="AB2088" s="13" t="n"/>
      <c r="AC2088" s="15">
        <f>IF($B2088="","",IF($AB2088&lt;&gt;"",$AB2088,IF($AA2088="","",IF($AA2088&lt;=設定!$C$3,0,$AA2088))))</f>
        <v/>
      </c>
      <c r="AD2088" s="14">
        <f>IF($B2088="","",IF(AND($AE2088&lt;&gt;"",$AG2088="",$AJ2088=""),"保留中",IF($AJ2088&lt;&gt;"",IF(N($AC2088)&gt;0,"支給済","不支給"),IF($AC2088="","要確認",IF($AC2088=0,"不支給","未処理")))))</f>
        <v/>
      </c>
      <c r="AE2088" s="12" t="n"/>
      <c r="AF2088" s="11" t="n"/>
      <c r="AG2088" s="11" t="n"/>
      <c r="AH2088" s="11" t="n"/>
      <c r="AI2088" s="14">
        <f>IF(AND($AD2088="保留中",$AF2088&lt;&gt;""),TODAY()-$AF2088,"")</f>
        <v/>
      </c>
      <c r="AJ2088" s="12" t="n"/>
      <c r="AK2088" s="14">
        <f>IF($B2088="","",IF($AO2088="","対象年月が未入力／","")&amp;IF($B2088="","",IF($AN2088="","職員マスタに未登録の職員番号／",IF($Y2088="","標準報酬月額が未登録／","")&amp;IF(AND($AO2088&lt;&gt;"",OR(AND(INDEX(職員マスタ!$G$6:$G$405,$AN2088)&lt;&gt;"",INDEX(職員マスタ!$G$6:$G$405,$AN2088)&gt;EOMONTH($AO2088,0)),AND(INDEX(職員マスタ!$H$6:$H$405,$AN2088)&lt;&gt;"",INDEX(職員マスタ!$H$6:$H$405,$AN2088)&lt;$AO2088))),"対象月が時短期間外／","")&amp;IF(AND(INDEX(職員マスタ!$F$6:$F$405,$AN2088)&lt;&gt;"",$AO2088&lt;&gt;"",INDEX(職員マスタ!$F$6:$F$405,$AN2088)&lt;$AO2088),"対象月に子が2歳到達済／","")&amp;IF(AND($H2088&lt;&gt;"",INDEX(職員マスタ!$B$6:$B$405,$AN2088)&lt;&gt;"",SUBSTITUTE(SUBSTITUTE($H2088," ","")," ","")&lt;&gt;SUBSTITUTE(SUBSTITUTE(INDEX(職員マスタ!$B$6:$B$405,$AN2088)," ","")," ","")),"氏名がマスタと相違／","")&amp;IF(AND($Q2088&lt;&gt;"",INDEX(職員マスタ!$E$6:$E$405,$AN2088)&lt;&gt;"",$Q2088&lt;&gt;INDEX(職員マスタ!$E$6:$E$405,$AN2088)),"子の生年月日がマスタと相違／","")&amp;IF(AND($L2088&lt;&gt;"",INDEX(職員マスタ!$G$6:$G$405,$AN2088)&lt;&gt;"",$L2088&lt;&gt;INDEX(職員マスタ!$G$6:$G$405,$AN2088)),"時短開始日がマスタと相違／","")&amp;IF(AND($M2088&lt;&gt;"",INDEX(職員マスタ!$H$6:$H$405,$AN2088)&lt;&gt;"",$M2088&lt;&gt;INDEX(職員マスタ!$H$6:$H$405,$AN2088)),"時短終了日がマスタと相違／","")))&amp;IF(AND($B2088&lt;&gt;"",$E2088=""),"報酬額が未入力／","")&amp;IF(N($U2088)&gt;0,"申請書に入力エラーが残っています／","")&amp;IF(AND($B2088&lt;&gt;"",$AO2088&lt;&gt;""),IF(COUNTIFS($B$6:$B$3005,$B2088,$C$6:$C$3005,$C2088,$D$6:$D$3005,$D2088)&gt;1,"同じ月の請求が重複しています／",""),"")&amp;IF(AND(N($E2088)&gt;0,$Z2088&lt;&gt;"",$Z2088&lt;&gt;"×",$AC2088=0,$AB2088=""),"計算額が下限以下のため不支給／",""))</f>
        <v/>
      </c>
      <c r="AL2088" s="12" t="n"/>
      <c r="AM2088" s="14">
        <f>IF($AD2088="保留中",COUNTIF($AD$6:$AD2088,"保留中"),"")</f>
        <v/>
      </c>
      <c r="AN2088" s="14">
        <f>IF($AO2088="","",IF(SUMPRODUCT(MAX((職員マスタ!$A$6:$A$405=$B2088)*(((職員マスタ!$G$6:$G$405="")+(職員マスタ!$G$6:$G$405&lt;=EOMONTH($AO2088,0)))&gt;0)*(((職員マスタ!$H$6:$H$405="")+(職員マスタ!$H$6:$H$405&gt;=$AO2088))&gt;0)*(ROW(職員マスタ!$A$6:$A$405)-5)))&gt;0,SUMPRODUCT(MAX((職員マスタ!$A$6:$A$405=$B2088)*(((職員マスタ!$G$6:$G$405="")+(職員マスタ!$G$6:$G$405&lt;=EOMONTH($AO2088,0)))&gt;0)*(((職員マスタ!$H$6:$H$405="")+(職員マスタ!$H$6:$H$405&gt;=$AO2088))&gt;0)*(ROW(職員マスタ!$A$6:$A$405)-5))),IFERROR(MATCH($B2088,職員マスタ!$A$6:$A$405,0),"")))</f>
        <v/>
      </c>
      <c r="AO2088" s="16">
        <f>IF(OR($B2088="",$C2088="",$D2088=""),"",DATE($C2088+2018,$D2088,1))</f>
        <v/>
      </c>
    </row>
    <row r="2089">
      <c r="A2089" s="11" t="n"/>
      <c r="B2089" s="12" t="n"/>
      <c r="C2089" s="12" t="n"/>
      <c r="D2089" s="12" t="n"/>
      <c r="E2089" s="13" t="n"/>
      <c r="F2089" s="12" t="n"/>
      <c r="G2089" s="13" t="n"/>
      <c r="H2089" s="12" t="n"/>
      <c r="I2089" s="12" t="n"/>
      <c r="J2089" s="12" t="n"/>
      <c r="K2089" s="12" t="n"/>
      <c r="L2089" s="11" t="n"/>
      <c r="M2089" s="11" t="n"/>
      <c r="N2089" s="11" t="n"/>
      <c r="O2089" s="11" t="n"/>
      <c r="P2089" s="12" t="n"/>
      <c r="Q2089" s="11" t="n"/>
      <c r="R2089" s="12" t="n"/>
      <c r="S2089" s="11" t="n"/>
      <c r="T2089" s="12" t="n"/>
      <c r="U2089" s="12" t="n"/>
      <c r="V2089" s="14">
        <f>IF($AN2089="",IF($B2089="","",$H2089),IF(INDEX(職員マスタ!$B$6:$B$405,$AN2089)="",$H2089,INDEX(職員マスタ!$B$6:$B$405,$AN2089)))</f>
        <v/>
      </c>
      <c r="W2089" s="14">
        <f>IF($AN2089="",IF($B2089="","",$R2089),IF(INDEX(職員マスタ!$C$6:$C$405,$AN2089)="",$R2089,INDEX(職員マスタ!$C$6:$C$405,$AN2089)))</f>
        <v/>
      </c>
      <c r="X2089" s="14">
        <f>IF($AO2089="","","R"&amp;$C2089&amp;"."&amp;$D2089)</f>
        <v/>
      </c>
      <c r="Y2089" s="15">
        <f>IF($AN2089="","",IF(INDEX(職員マスタ!$K$6:$K$405,$AN2089)="","",INDEX(職員マスタ!$K$6:$K$405,$AN2089)))</f>
        <v/>
      </c>
      <c r="Z2089" s="14">
        <f>IF(OR($E2089="",$Y2089=""),"",IF($E2089&gt;=$Y2089,"×",IF($E2089&gt;=$Y2089*設定!$C$5,"△","○")))</f>
        <v/>
      </c>
      <c r="AA2089" s="15">
        <f>IF($Z2089="","",IF($Z2089="×",0,IF($Z2089="○",ROUNDDOWN($E2089*設定!$C$4,0),ROUNDDOWN($E2089*ROUND((9*$Y2089-9*$E2089)/(10*$E2089),4),0))))</f>
        <v/>
      </c>
      <c r="AB2089" s="13" t="n"/>
      <c r="AC2089" s="15">
        <f>IF($B2089="","",IF($AB2089&lt;&gt;"",$AB2089,IF($AA2089="","",IF($AA2089&lt;=設定!$C$3,0,$AA2089))))</f>
        <v/>
      </c>
      <c r="AD2089" s="14">
        <f>IF($B2089="","",IF(AND($AE2089&lt;&gt;"",$AG2089="",$AJ2089=""),"保留中",IF($AJ2089&lt;&gt;"",IF(N($AC2089)&gt;0,"支給済","不支給"),IF($AC2089="","要確認",IF($AC2089=0,"不支給","未処理")))))</f>
        <v/>
      </c>
      <c r="AE2089" s="12" t="n"/>
      <c r="AF2089" s="11" t="n"/>
      <c r="AG2089" s="11" t="n"/>
      <c r="AH2089" s="11" t="n"/>
      <c r="AI2089" s="14">
        <f>IF(AND($AD2089="保留中",$AF2089&lt;&gt;""),TODAY()-$AF2089,"")</f>
        <v/>
      </c>
      <c r="AJ2089" s="12" t="n"/>
      <c r="AK2089" s="14">
        <f>IF($B2089="","",IF($AO2089="","対象年月が未入力／","")&amp;IF($B2089="","",IF($AN2089="","職員マスタに未登録の職員番号／",IF($Y2089="","標準報酬月額が未登録／","")&amp;IF(AND($AO2089&lt;&gt;"",OR(AND(INDEX(職員マスタ!$G$6:$G$405,$AN2089)&lt;&gt;"",INDEX(職員マスタ!$G$6:$G$405,$AN2089)&gt;EOMONTH($AO2089,0)),AND(INDEX(職員マスタ!$H$6:$H$405,$AN2089)&lt;&gt;"",INDEX(職員マスタ!$H$6:$H$405,$AN2089)&lt;$AO2089))),"対象月が時短期間外／","")&amp;IF(AND(INDEX(職員マスタ!$F$6:$F$405,$AN2089)&lt;&gt;"",$AO2089&lt;&gt;"",INDEX(職員マスタ!$F$6:$F$405,$AN2089)&lt;$AO2089),"対象月に子が2歳到達済／","")&amp;IF(AND($H2089&lt;&gt;"",INDEX(職員マスタ!$B$6:$B$405,$AN2089)&lt;&gt;"",SUBSTITUTE(SUBSTITUTE($H2089," ","")," ","")&lt;&gt;SUBSTITUTE(SUBSTITUTE(INDEX(職員マスタ!$B$6:$B$405,$AN2089)," ","")," ","")),"氏名がマスタと相違／","")&amp;IF(AND($Q2089&lt;&gt;"",INDEX(職員マスタ!$E$6:$E$405,$AN2089)&lt;&gt;"",$Q2089&lt;&gt;INDEX(職員マスタ!$E$6:$E$405,$AN2089)),"子の生年月日がマスタと相違／","")&amp;IF(AND($L2089&lt;&gt;"",INDEX(職員マスタ!$G$6:$G$405,$AN2089)&lt;&gt;"",$L2089&lt;&gt;INDEX(職員マスタ!$G$6:$G$405,$AN2089)),"時短開始日がマスタと相違／","")&amp;IF(AND($M2089&lt;&gt;"",INDEX(職員マスタ!$H$6:$H$405,$AN2089)&lt;&gt;"",$M2089&lt;&gt;INDEX(職員マスタ!$H$6:$H$405,$AN2089)),"時短終了日がマスタと相違／","")))&amp;IF(AND($B2089&lt;&gt;"",$E2089=""),"報酬額が未入力／","")&amp;IF(N($U2089)&gt;0,"申請書に入力エラーが残っています／","")&amp;IF(AND($B2089&lt;&gt;"",$AO2089&lt;&gt;""),IF(COUNTIFS($B$6:$B$3005,$B2089,$C$6:$C$3005,$C2089,$D$6:$D$3005,$D2089)&gt;1,"同じ月の請求が重複しています／",""),"")&amp;IF(AND(N($E2089)&gt;0,$Z2089&lt;&gt;"",$Z2089&lt;&gt;"×",$AC2089=0,$AB2089=""),"計算額が下限以下のため不支給／",""))</f>
        <v/>
      </c>
      <c r="AL2089" s="12" t="n"/>
      <c r="AM2089" s="14">
        <f>IF($AD2089="保留中",COUNTIF($AD$6:$AD2089,"保留中"),"")</f>
        <v/>
      </c>
      <c r="AN2089" s="14">
        <f>IF($AO2089="","",IF(SUMPRODUCT(MAX((職員マスタ!$A$6:$A$405=$B2089)*(((職員マスタ!$G$6:$G$405="")+(職員マスタ!$G$6:$G$405&lt;=EOMONTH($AO2089,0)))&gt;0)*(((職員マスタ!$H$6:$H$405="")+(職員マスタ!$H$6:$H$405&gt;=$AO2089))&gt;0)*(ROW(職員マスタ!$A$6:$A$405)-5)))&gt;0,SUMPRODUCT(MAX((職員マスタ!$A$6:$A$405=$B2089)*(((職員マスタ!$G$6:$G$405="")+(職員マスタ!$G$6:$G$405&lt;=EOMONTH($AO2089,0)))&gt;0)*(((職員マスタ!$H$6:$H$405="")+(職員マスタ!$H$6:$H$405&gt;=$AO2089))&gt;0)*(ROW(職員マスタ!$A$6:$A$405)-5))),IFERROR(MATCH($B2089,職員マスタ!$A$6:$A$405,0),"")))</f>
        <v/>
      </c>
      <c r="AO2089" s="16">
        <f>IF(OR($B2089="",$C2089="",$D2089=""),"",DATE($C2089+2018,$D2089,1))</f>
        <v/>
      </c>
    </row>
    <row r="2090">
      <c r="A2090" s="11" t="n"/>
      <c r="B2090" s="12" t="n"/>
      <c r="C2090" s="12" t="n"/>
      <c r="D2090" s="12" t="n"/>
      <c r="E2090" s="13" t="n"/>
      <c r="F2090" s="12" t="n"/>
      <c r="G2090" s="13" t="n"/>
      <c r="H2090" s="12" t="n"/>
      <c r="I2090" s="12" t="n"/>
      <c r="J2090" s="12" t="n"/>
      <c r="K2090" s="12" t="n"/>
      <c r="L2090" s="11" t="n"/>
      <c r="M2090" s="11" t="n"/>
      <c r="N2090" s="11" t="n"/>
      <c r="O2090" s="11" t="n"/>
      <c r="P2090" s="12" t="n"/>
      <c r="Q2090" s="11" t="n"/>
      <c r="R2090" s="12" t="n"/>
      <c r="S2090" s="11" t="n"/>
      <c r="T2090" s="12" t="n"/>
      <c r="U2090" s="12" t="n"/>
      <c r="V2090" s="14">
        <f>IF($AN2090="",IF($B2090="","",$H2090),IF(INDEX(職員マスタ!$B$6:$B$405,$AN2090)="",$H2090,INDEX(職員マスタ!$B$6:$B$405,$AN2090)))</f>
        <v/>
      </c>
      <c r="W2090" s="14">
        <f>IF($AN2090="",IF($B2090="","",$R2090),IF(INDEX(職員マスタ!$C$6:$C$405,$AN2090)="",$R2090,INDEX(職員マスタ!$C$6:$C$405,$AN2090)))</f>
        <v/>
      </c>
      <c r="X2090" s="14">
        <f>IF($AO2090="","","R"&amp;$C2090&amp;"."&amp;$D2090)</f>
        <v/>
      </c>
      <c r="Y2090" s="15">
        <f>IF($AN2090="","",IF(INDEX(職員マスタ!$K$6:$K$405,$AN2090)="","",INDEX(職員マスタ!$K$6:$K$405,$AN2090)))</f>
        <v/>
      </c>
      <c r="Z2090" s="14">
        <f>IF(OR($E2090="",$Y2090=""),"",IF($E2090&gt;=$Y2090,"×",IF($E2090&gt;=$Y2090*設定!$C$5,"△","○")))</f>
        <v/>
      </c>
      <c r="AA2090" s="15">
        <f>IF($Z2090="","",IF($Z2090="×",0,IF($Z2090="○",ROUNDDOWN($E2090*設定!$C$4,0),ROUNDDOWN($E2090*ROUND((9*$Y2090-9*$E2090)/(10*$E2090),4),0))))</f>
        <v/>
      </c>
      <c r="AB2090" s="13" t="n"/>
      <c r="AC2090" s="15">
        <f>IF($B2090="","",IF($AB2090&lt;&gt;"",$AB2090,IF($AA2090="","",IF($AA2090&lt;=設定!$C$3,0,$AA2090))))</f>
        <v/>
      </c>
      <c r="AD2090" s="14">
        <f>IF($B2090="","",IF(AND($AE2090&lt;&gt;"",$AG2090="",$AJ2090=""),"保留中",IF($AJ2090&lt;&gt;"",IF(N($AC2090)&gt;0,"支給済","不支給"),IF($AC2090="","要確認",IF($AC2090=0,"不支給","未処理")))))</f>
        <v/>
      </c>
      <c r="AE2090" s="12" t="n"/>
      <c r="AF2090" s="11" t="n"/>
      <c r="AG2090" s="11" t="n"/>
      <c r="AH2090" s="11" t="n"/>
      <c r="AI2090" s="14">
        <f>IF(AND($AD2090="保留中",$AF2090&lt;&gt;""),TODAY()-$AF2090,"")</f>
        <v/>
      </c>
      <c r="AJ2090" s="12" t="n"/>
      <c r="AK2090" s="14">
        <f>IF($B2090="","",IF($AO2090="","対象年月が未入力／","")&amp;IF($B2090="","",IF($AN2090="","職員マスタに未登録の職員番号／",IF($Y2090="","標準報酬月額が未登録／","")&amp;IF(AND($AO2090&lt;&gt;"",OR(AND(INDEX(職員マスタ!$G$6:$G$405,$AN2090)&lt;&gt;"",INDEX(職員マスタ!$G$6:$G$405,$AN2090)&gt;EOMONTH($AO2090,0)),AND(INDEX(職員マスタ!$H$6:$H$405,$AN2090)&lt;&gt;"",INDEX(職員マスタ!$H$6:$H$405,$AN2090)&lt;$AO2090))),"対象月が時短期間外／","")&amp;IF(AND(INDEX(職員マスタ!$F$6:$F$405,$AN2090)&lt;&gt;"",$AO2090&lt;&gt;"",INDEX(職員マスタ!$F$6:$F$405,$AN2090)&lt;$AO2090),"対象月に子が2歳到達済／","")&amp;IF(AND($H2090&lt;&gt;"",INDEX(職員マスタ!$B$6:$B$405,$AN2090)&lt;&gt;"",SUBSTITUTE(SUBSTITUTE($H2090," ","")," ","")&lt;&gt;SUBSTITUTE(SUBSTITUTE(INDEX(職員マスタ!$B$6:$B$405,$AN2090)," ","")," ","")),"氏名がマスタと相違／","")&amp;IF(AND($Q2090&lt;&gt;"",INDEX(職員マスタ!$E$6:$E$405,$AN2090)&lt;&gt;"",$Q2090&lt;&gt;INDEX(職員マスタ!$E$6:$E$405,$AN2090)),"子の生年月日がマスタと相違／","")&amp;IF(AND($L2090&lt;&gt;"",INDEX(職員マスタ!$G$6:$G$405,$AN2090)&lt;&gt;"",$L2090&lt;&gt;INDEX(職員マスタ!$G$6:$G$405,$AN2090)),"時短開始日がマスタと相違／","")&amp;IF(AND($M2090&lt;&gt;"",INDEX(職員マスタ!$H$6:$H$405,$AN2090)&lt;&gt;"",$M2090&lt;&gt;INDEX(職員マスタ!$H$6:$H$405,$AN2090)),"時短終了日がマスタと相違／","")))&amp;IF(AND($B2090&lt;&gt;"",$E2090=""),"報酬額が未入力／","")&amp;IF(N($U2090)&gt;0,"申請書に入力エラーが残っています／","")&amp;IF(AND($B2090&lt;&gt;"",$AO2090&lt;&gt;""),IF(COUNTIFS($B$6:$B$3005,$B2090,$C$6:$C$3005,$C2090,$D$6:$D$3005,$D2090)&gt;1,"同じ月の請求が重複しています／",""),"")&amp;IF(AND(N($E2090)&gt;0,$Z2090&lt;&gt;"",$Z2090&lt;&gt;"×",$AC2090=0,$AB2090=""),"計算額が下限以下のため不支給／",""))</f>
        <v/>
      </c>
      <c r="AL2090" s="12" t="n"/>
      <c r="AM2090" s="14">
        <f>IF($AD2090="保留中",COUNTIF($AD$6:$AD2090,"保留中"),"")</f>
        <v/>
      </c>
      <c r="AN2090" s="14">
        <f>IF($AO2090="","",IF(SUMPRODUCT(MAX((職員マスタ!$A$6:$A$405=$B2090)*(((職員マスタ!$G$6:$G$405="")+(職員マスタ!$G$6:$G$405&lt;=EOMONTH($AO2090,0)))&gt;0)*(((職員マスタ!$H$6:$H$405="")+(職員マスタ!$H$6:$H$405&gt;=$AO2090))&gt;0)*(ROW(職員マスタ!$A$6:$A$405)-5)))&gt;0,SUMPRODUCT(MAX((職員マスタ!$A$6:$A$405=$B2090)*(((職員マスタ!$G$6:$G$405="")+(職員マスタ!$G$6:$G$405&lt;=EOMONTH($AO2090,0)))&gt;0)*(((職員マスタ!$H$6:$H$405="")+(職員マスタ!$H$6:$H$405&gt;=$AO2090))&gt;0)*(ROW(職員マスタ!$A$6:$A$405)-5))),IFERROR(MATCH($B2090,職員マスタ!$A$6:$A$405,0),"")))</f>
        <v/>
      </c>
      <c r="AO2090" s="16">
        <f>IF(OR($B2090="",$C2090="",$D2090=""),"",DATE($C2090+2018,$D2090,1))</f>
        <v/>
      </c>
    </row>
    <row r="2091">
      <c r="A2091" s="11" t="n"/>
      <c r="B2091" s="12" t="n"/>
      <c r="C2091" s="12" t="n"/>
      <c r="D2091" s="12" t="n"/>
      <c r="E2091" s="13" t="n"/>
      <c r="F2091" s="12" t="n"/>
      <c r="G2091" s="13" t="n"/>
      <c r="H2091" s="12" t="n"/>
      <c r="I2091" s="12" t="n"/>
      <c r="J2091" s="12" t="n"/>
      <c r="K2091" s="12" t="n"/>
      <c r="L2091" s="11" t="n"/>
      <c r="M2091" s="11" t="n"/>
      <c r="N2091" s="11" t="n"/>
      <c r="O2091" s="11" t="n"/>
      <c r="P2091" s="12" t="n"/>
      <c r="Q2091" s="11" t="n"/>
      <c r="R2091" s="12" t="n"/>
      <c r="S2091" s="11" t="n"/>
      <c r="T2091" s="12" t="n"/>
      <c r="U2091" s="12" t="n"/>
      <c r="V2091" s="14">
        <f>IF($AN2091="",IF($B2091="","",$H2091),IF(INDEX(職員マスタ!$B$6:$B$405,$AN2091)="",$H2091,INDEX(職員マスタ!$B$6:$B$405,$AN2091)))</f>
        <v/>
      </c>
      <c r="W2091" s="14">
        <f>IF($AN2091="",IF($B2091="","",$R2091),IF(INDEX(職員マスタ!$C$6:$C$405,$AN2091)="",$R2091,INDEX(職員マスタ!$C$6:$C$405,$AN2091)))</f>
        <v/>
      </c>
      <c r="X2091" s="14">
        <f>IF($AO2091="","","R"&amp;$C2091&amp;"."&amp;$D2091)</f>
        <v/>
      </c>
      <c r="Y2091" s="15">
        <f>IF($AN2091="","",IF(INDEX(職員マスタ!$K$6:$K$405,$AN2091)="","",INDEX(職員マスタ!$K$6:$K$405,$AN2091)))</f>
        <v/>
      </c>
      <c r="Z2091" s="14">
        <f>IF(OR($E2091="",$Y2091=""),"",IF($E2091&gt;=$Y2091,"×",IF($E2091&gt;=$Y2091*設定!$C$5,"△","○")))</f>
        <v/>
      </c>
      <c r="AA2091" s="15">
        <f>IF($Z2091="","",IF($Z2091="×",0,IF($Z2091="○",ROUNDDOWN($E2091*設定!$C$4,0),ROUNDDOWN($E2091*ROUND((9*$Y2091-9*$E2091)/(10*$E2091),4),0))))</f>
        <v/>
      </c>
      <c r="AB2091" s="13" t="n"/>
      <c r="AC2091" s="15">
        <f>IF($B2091="","",IF($AB2091&lt;&gt;"",$AB2091,IF($AA2091="","",IF($AA2091&lt;=設定!$C$3,0,$AA2091))))</f>
        <v/>
      </c>
      <c r="AD2091" s="14">
        <f>IF($B2091="","",IF(AND($AE2091&lt;&gt;"",$AG2091="",$AJ2091=""),"保留中",IF($AJ2091&lt;&gt;"",IF(N($AC2091)&gt;0,"支給済","不支給"),IF($AC2091="","要確認",IF($AC2091=0,"不支給","未処理")))))</f>
        <v/>
      </c>
      <c r="AE2091" s="12" t="n"/>
      <c r="AF2091" s="11" t="n"/>
      <c r="AG2091" s="11" t="n"/>
      <c r="AH2091" s="11" t="n"/>
      <c r="AI2091" s="14">
        <f>IF(AND($AD2091="保留中",$AF2091&lt;&gt;""),TODAY()-$AF2091,"")</f>
        <v/>
      </c>
      <c r="AJ2091" s="12" t="n"/>
      <c r="AK2091" s="14">
        <f>IF($B2091="","",IF($AO2091="","対象年月が未入力／","")&amp;IF($B2091="","",IF($AN2091="","職員マスタに未登録の職員番号／",IF($Y2091="","標準報酬月額が未登録／","")&amp;IF(AND($AO2091&lt;&gt;"",OR(AND(INDEX(職員マスタ!$G$6:$G$405,$AN2091)&lt;&gt;"",INDEX(職員マスタ!$G$6:$G$405,$AN2091)&gt;EOMONTH($AO2091,0)),AND(INDEX(職員マスタ!$H$6:$H$405,$AN2091)&lt;&gt;"",INDEX(職員マスタ!$H$6:$H$405,$AN2091)&lt;$AO2091))),"対象月が時短期間外／","")&amp;IF(AND(INDEX(職員マスタ!$F$6:$F$405,$AN2091)&lt;&gt;"",$AO2091&lt;&gt;"",INDEX(職員マスタ!$F$6:$F$405,$AN2091)&lt;$AO2091),"対象月に子が2歳到達済／","")&amp;IF(AND($H2091&lt;&gt;"",INDEX(職員マスタ!$B$6:$B$405,$AN2091)&lt;&gt;"",SUBSTITUTE(SUBSTITUTE($H2091," ","")," ","")&lt;&gt;SUBSTITUTE(SUBSTITUTE(INDEX(職員マスタ!$B$6:$B$405,$AN2091)," ","")," ","")),"氏名がマスタと相違／","")&amp;IF(AND($Q2091&lt;&gt;"",INDEX(職員マスタ!$E$6:$E$405,$AN2091)&lt;&gt;"",$Q2091&lt;&gt;INDEX(職員マスタ!$E$6:$E$405,$AN2091)),"子の生年月日がマスタと相違／","")&amp;IF(AND($L2091&lt;&gt;"",INDEX(職員マスタ!$G$6:$G$405,$AN2091)&lt;&gt;"",$L2091&lt;&gt;INDEX(職員マスタ!$G$6:$G$405,$AN2091)),"時短開始日がマスタと相違／","")&amp;IF(AND($M2091&lt;&gt;"",INDEX(職員マスタ!$H$6:$H$405,$AN2091)&lt;&gt;"",$M2091&lt;&gt;INDEX(職員マスタ!$H$6:$H$405,$AN2091)),"時短終了日がマスタと相違／","")))&amp;IF(AND($B2091&lt;&gt;"",$E2091=""),"報酬額が未入力／","")&amp;IF(N($U2091)&gt;0,"申請書に入力エラーが残っています／","")&amp;IF(AND($B2091&lt;&gt;"",$AO2091&lt;&gt;""),IF(COUNTIFS($B$6:$B$3005,$B2091,$C$6:$C$3005,$C2091,$D$6:$D$3005,$D2091)&gt;1,"同じ月の請求が重複しています／",""),"")&amp;IF(AND(N($E2091)&gt;0,$Z2091&lt;&gt;"",$Z2091&lt;&gt;"×",$AC2091=0,$AB2091=""),"計算額が下限以下のため不支給／",""))</f>
        <v/>
      </c>
      <c r="AL2091" s="12" t="n"/>
      <c r="AM2091" s="14">
        <f>IF($AD2091="保留中",COUNTIF($AD$6:$AD2091,"保留中"),"")</f>
        <v/>
      </c>
      <c r="AN2091" s="14">
        <f>IF($AO2091="","",IF(SUMPRODUCT(MAX((職員マスタ!$A$6:$A$405=$B2091)*(((職員マスタ!$G$6:$G$405="")+(職員マスタ!$G$6:$G$405&lt;=EOMONTH($AO2091,0)))&gt;0)*(((職員マスタ!$H$6:$H$405="")+(職員マスタ!$H$6:$H$405&gt;=$AO2091))&gt;0)*(ROW(職員マスタ!$A$6:$A$405)-5)))&gt;0,SUMPRODUCT(MAX((職員マスタ!$A$6:$A$405=$B2091)*(((職員マスタ!$G$6:$G$405="")+(職員マスタ!$G$6:$G$405&lt;=EOMONTH($AO2091,0)))&gt;0)*(((職員マスタ!$H$6:$H$405="")+(職員マスタ!$H$6:$H$405&gt;=$AO2091))&gt;0)*(ROW(職員マスタ!$A$6:$A$405)-5))),IFERROR(MATCH($B2091,職員マスタ!$A$6:$A$405,0),"")))</f>
        <v/>
      </c>
      <c r="AO2091" s="16">
        <f>IF(OR($B2091="",$C2091="",$D2091=""),"",DATE($C2091+2018,$D2091,1))</f>
        <v/>
      </c>
    </row>
    <row r="2092">
      <c r="A2092" s="11" t="n"/>
      <c r="B2092" s="12" t="n"/>
      <c r="C2092" s="12" t="n"/>
      <c r="D2092" s="12" t="n"/>
      <c r="E2092" s="13" t="n"/>
      <c r="F2092" s="12" t="n"/>
      <c r="G2092" s="13" t="n"/>
      <c r="H2092" s="12" t="n"/>
      <c r="I2092" s="12" t="n"/>
      <c r="J2092" s="12" t="n"/>
      <c r="K2092" s="12" t="n"/>
      <c r="L2092" s="11" t="n"/>
      <c r="M2092" s="11" t="n"/>
      <c r="N2092" s="11" t="n"/>
      <c r="O2092" s="11" t="n"/>
      <c r="P2092" s="12" t="n"/>
      <c r="Q2092" s="11" t="n"/>
      <c r="R2092" s="12" t="n"/>
      <c r="S2092" s="11" t="n"/>
      <c r="T2092" s="12" t="n"/>
      <c r="U2092" s="12" t="n"/>
      <c r="V2092" s="14">
        <f>IF($AN2092="",IF($B2092="","",$H2092),IF(INDEX(職員マスタ!$B$6:$B$405,$AN2092)="",$H2092,INDEX(職員マスタ!$B$6:$B$405,$AN2092)))</f>
        <v/>
      </c>
      <c r="W2092" s="14">
        <f>IF($AN2092="",IF($B2092="","",$R2092),IF(INDEX(職員マスタ!$C$6:$C$405,$AN2092)="",$R2092,INDEX(職員マスタ!$C$6:$C$405,$AN2092)))</f>
        <v/>
      </c>
      <c r="X2092" s="14">
        <f>IF($AO2092="","","R"&amp;$C2092&amp;"."&amp;$D2092)</f>
        <v/>
      </c>
      <c r="Y2092" s="15">
        <f>IF($AN2092="","",IF(INDEX(職員マスタ!$K$6:$K$405,$AN2092)="","",INDEX(職員マスタ!$K$6:$K$405,$AN2092)))</f>
        <v/>
      </c>
      <c r="Z2092" s="14">
        <f>IF(OR($E2092="",$Y2092=""),"",IF($E2092&gt;=$Y2092,"×",IF($E2092&gt;=$Y2092*設定!$C$5,"△","○")))</f>
        <v/>
      </c>
      <c r="AA2092" s="15">
        <f>IF($Z2092="","",IF($Z2092="×",0,IF($Z2092="○",ROUNDDOWN($E2092*設定!$C$4,0),ROUNDDOWN($E2092*ROUND((9*$Y2092-9*$E2092)/(10*$E2092),4),0))))</f>
        <v/>
      </c>
      <c r="AB2092" s="13" t="n"/>
      <c r="AC2092" s="15">
        <f>IF($B2092="","",IF($AB2092&lt;&gt;"",$AB2092,IF($AA2092="","",IF($AA2092&lt;=設定!$C$3,0,$AA2092))))</f>
        <v/>
      </c>
      <c r="AD2092" s="14">
        <f>IF($B2092="","",IF(AND($AE2092&lt;&gt;"",$AG2092="",$AJ2092=""),"保留中",IF($AJ2092&lt;&gt;"",IF(N($AC2092)&gt;0,"支給済","不支給"),IF($AC2092="","要確認",IF($AC2092=0,"不支給","未処理")))))</f>
        <v/>
      </c>
      <c r="AE2092" s="12" t="n"/>
      <c r="AF2092" s="11" t="n"/>
      <c r="AG2092" s="11" t="n"/>
      <c r="AH2092" s="11" t="n"/>
      <c r="AI2092" s="14">
        <f>IF(AND($AD2092="保留中",$AF2092&lt;&gt;""),TODAY()-$AF2092,"")</f>
        <v/>
      </c>
      <c r="AJ2092" s="12" t="n"/>
      <c r="AK2092" s="14">
        <f>IF($B2092="","",IF($AO2092="","対象年月が未入力／","")&amp;IF($B2092="","",IF($AN2092="","職員マスタに未登録の職員番号／",IF($Y2092="","標準報酬月額が未登録／","")&amp;IF(AND($AO2092&lt;&gt;"",OR(AND(INDEX(職員マスタ!$G$6:$G$405,$AN2092)&lt;&gt;"",INDEX(職員マスタ!$G$6:$G$405,$AN2092)&gt;EOMONTH($AO2092,0)),AND(INDEX(職員マスタ!$H$6:$H$405,$AN2092)&lt;&gt;"",INDEX(職員マスタ!$H$6:$H$405,$AN2092)&lt;$AO2092))),"対象月が時短期間外／","")&amp;IF(AND(INDEX(職員マスタ!$F$6:$F$405,$AN2092)&lt;&gt;"",$AO2092&lt;&gt;"",INDEX(職員マスタ!$F$6:$F$405,$AN2092)&lt;$AO2092),"対象月に子が2歳到達済／","")&amp;IF(AND($H2092&lt;&gt;"",INDEX(職員マスタ!$B$6:$B$405,$AN2092)&lt;&gt;"",SUBSTITUTE(SUBSTITUTE($H2092," ","")," ","")&lt;&gt;SUBSTITUTE(SUBSTITUTE(INDEX(職員マスタ!$B$6:$B$405,$AN2092)," ","")," ","")),"氏名がマスタと相違／","")&amp;IF(AND($Q2092&lt;&gt;"",INDEX(職員マスタ!$E$6:$E$405,$AN2092)&lt;&gt;"",$Q2092&lt;&gt;INDEX(職員マスタ!$E$6:$E$405,$AN2092)),"子の生年月日がマスタと相違／","")&amp;IF(AND($L2092&lt;&gt;"",INDEX(職員マスタ!$G$6:$G$405,$AN2092)&lt;&gt;"",$L2092&lt;&gt;INDEX(職員マスタ!$G$6:$G$405,$AN2092)),"時短開始日がマスタと相違／","")&amp;IF(AND($M2092&lt;&gt;"",INDEX(職員マスタ!$H$6:$H$405,$AN2092)&lt;&gt;"",$M2092&lt;&gt;INDEX(職員マスタ!$H$6:$H$405,$AN2092)),"時短終了日がマスタと相違／","")))&amp;IF(AND($B2092&lt;&gt;"",$E2092=""),"報酬額が未入力／","")&amp;IF(N($U2092)&gt;0,"申請書に入力エラーが残っています／","")&amp;IF(AND($B2092&lt;&gt;"",$AO2092&lt;&gt;""),IF(COUNTIFS($B$6:$B$3005,$B2092,$C$6:$C$3005,$C2092,$D$6:$D$3005,$D2092)&gt;1,"同じ月の請求が重複しています／",""),"")&amp;IF(AND(N($E2092)&gt;0,$Z2092&lt;&gt;"",$Z2092&lt;&gt;"×",$AC2092=0,$AB2092=""),"計算額が下限以下のため不支給／",""))</f>
        <v/>
      </c>
      <c r="AL2092" s="12" t="n"/>
      <c r="AM2092" s="14">
        <f>IF($AD2092="保留中",COUNTIF($AD$6:$AD2092,"保留中"),"")</f>
        <v/>
      </c>
      <c r="AN2092" s="14">
        <f>IF($AO2092="","",IF(SUMPRODUCT(MAX((職員マスタ!$A$6:$A$405=$B2092)*(((職員マスタ!$G$6:$G$405="")+(職員マスタ!$G$6:$G$405&lt;=EOMONTH($AO2092,0)))&gt;0)*(((職員マスタ!$H$6:$H$405="")+(職員マスタ!$H$6:$H$405&gt;=$AO2092))&gt;0)*(ROW(職員マスタ!$A$6:$A$405)-5)))&gt;0,SUMPRODUCT(MAX((職員マスタ!$A$6:$A$405=$B2092)*(((職員マスタ!$G$6:$G$405="")+(職員マスタ!$G$6:$G$405&lt;=EOMONTH($AO2092,0)))&gt;0)*(((職員マスタ!$H$6:$H$405="")+(職員マスタ!$H$6:$H$405&gt;=$AO2092))&gt;0)*(ROW(職員マスタ!$A$6:$A$405)-5))),IFERROR(MATCH($B2092,職員マスタ!$A$6:$A$405,0),"")))</f>
        <v/>
      </c>
      <c r="AO2092" s="16">
        <f>IF(OR($B2092="",$C2092="",$D2092=""),"",DATE($C2092+2018,$D2092,1))</f>
        <v/>
      </c>
    </row>
    <row r="2093">
      <c r="A2093" s="11" t="n"/>
      <c r="B2093" s="12" t="n"/>
      <c r="C2093" s="12" t="n"/>
      <c r="D2093" s="12" t="n"/>
      <c r="E2093" s="13" t="n"/>
      <c r="F2093" s="12" t="n"/>
      <c r="G2093" s="13" t="n"/>
      <c r="H2093" s="12" t="n"/>
      <c r="I2093" s="12" t="n"/>
      <c r="J2093" s="12" t="n"/>
      <c r="K2093" s="12" t="n"/>
      <c r="L2093" s="11" t="n"/>
      <c r="M2093" s="11" t="n"/>
      <c r="N2093" s="11" t="n"/>
      <c r="O2093" s="11" t="n"/>
      <c r="P2093" s="12" t="n"/>
      <c r="Q2093" s="11" t="n"/>
      <c r="R2093" s="12" t="n"/>
      <c r="S2093" s="11" t="n"/>
      <c r="T2093" s="12" t="n"/>
      <c r="U2093" s="12" t="n"/>
      <c r="V2093" s="14">
        <f>IF($AN2093="",IF($B2093="","",$H2093),IF(INDEX(職員マスタ!$B$6:$B$405,$AN2093)="",$H2093,INDEX(職員マスタ!$B$6:$B$405,$AN2093)))</f>
        <v/>
      </c>
      <c r="W2093" s="14">
        <f>IF($AN2093="",IF($B2093="","",$R2093),IF(INDEX(職員マスタ!$C$6:$C$405,$AN2093)="",$R2093,INDEX(職員マスタ!$C$6:$C$405,$AN2093)))</f>
        <v/>
      </c>
      <c r="X2093" s="14">
        <f>IF($AO2093="","","R"&amp;$C2093&amp;"."&amp;$D2093)</f>
        <v/>
      </c>
      <c r="Y2093" s="15">
        <f>IF($AN2093="","",IF(INDEX(職員マスタ!$K$6:$K$405,$AN2093)="","",INDEX(職員マスタ!$K$6:$K$405,$AN2093)))</f>
        <v/>
      </c>
      <c r="Z2093" s="14">
        <f>IF(OR($E2093="",$Y2093=""),"",IF($E2093&gt;=$Y2093,"×",IF($E2093&gt;=$Y2093*設定!$C$5,"△","○")))</f>
        <v/>
      </c>
      <c r="AA2093" s="15">
        <f>IF($Z2093="","",IF($Z2093="×",0,IF($Z2093="○",ROUNDDOWN($E2093*設定!$C$4,0),ROUNDDOWN($E2093*ROUND((9*$Y2093-9*$E2093)/(10*$E2093),4),0))))</f>
        <v/>
      </c>
      <c r="AB2093" s="13" t="n"/>
      <c r="AC2093" s="15">
        <f>IF($B2093="","",IF($AB2093&lt;&gt;"",$AB2093,IF($AA2093="","",IF($AA2093&lt;=設定!$C$3,0,$AA2093))))</f>
        <v/>
      </c>
      <c r="AD2093" s="14">
        <f>IF($B2093="","",IF(AND($AE2093&lt;&gt;"",$AG2093="",$AJ2093=""),"保留中",IF($AJ2093&lt;&gt;"",IF(N($AC2093)&gt;0,"支給済","不支給"),IF($AC2093="","要確認",IF($AC2093=0,"不支給","未処理")))))</f>
        <v/>
      </c>
      <c r="AE2093" s="12" t="n"/>
      <c r="AF2093" s="11" t="n"/>
      <c r="AG2093" s="11" t="n"/>
      <c r="AH2093" s="11" t="n"/>
      <c r="AI2093" s="14">
        <f>IF(AND($AD2093="保留中",$AF2093&lt;&gt;""),TODAY()-$AF2093,"")</f>
        <v/>
      </c>
      <c r="AJ2093" s="12" t="n"/>
      <c r="AK2093" s="14">
        <f>IF($B2093="","",IF($AO2093="","対象年月が未入力／","")&amp;IF($B2093="","",IF($AN2093="","職員マスタに未登録の職員番号／",IF($Y2093="","標準報酬月額が未登録／","")&amp;IF(AND($AO2093&lt;&gt;"",OR(AND(INDEX(職員マスタ!$G$6:$G$405,$AN2093)&lt;&gt;"",INDEX(職員マスタ!$G$6:$G$405,$AN2093)&gt;EOMONTH($AO2093,0)),AND(INDEX(職員マスタ!$H$6:$H$405,$AN2093)&lt;&gt;"",INDEX(職員マスタ!$H$6:$H$405,$AN2093)&lt;$AO2093))),"対象月が時短期間外／","")&amp;IF(AND(INDEX(職員マスタ!$F$6:$F$405,$AN2093)&lt;&gt;"",$AO2093&lt;&gt;"",INDEX(職員マスタ!$F$6:$F$405,$AN2093)&lt;$AO2093),"対象月に子が2歳到達済／","")&amp;IF(AND($H2093&lt;&gt;"",INDEX(職員マスタ!$B$6:$B$405,$AN2093)&lt;&gt;"",SUBSTITUTE(SUBSTITUTE($H2093," ","")," ","")&lt;&gt;SUBSTITUTE(SUBSTITUTE(INDEX(職員マスタ!$B$6:$B$405,$AN2093)," ","")," ","")),"氏名がマスタと相違／","")&amp;IF(AND($Q2093&lt;&gt;"",INDEX(職員マスタ!$E$6:$E$405,$AN2093)&lt;&gt;"",$Q2093&lt;&gt;INDEX(職員マスタ!$E$6:$E$405,$AN2093)),"子の生年月日がマスタと相違／","")&amp;IF(AND($L2093&lt;&gt;"",INDEX(職員マスタ!$G$6:$G$405,$AN2093)&lt;&gt;"",$L2093&lt;&gt;INDEX(職員マスタ!$G$6:$G$405,$AN2093)),"時短開始日がマスタと相違／","")&amp;IF(AND($M2093&lt;&gt;"",INDEX(職員マスタ!$H$6:$H$405,$AN2093)&lt;&gt;"",$M2093&lt;&gt;INDEX(職員マスタ!$H$6:$H$405,$AN2093)),"時短終了日がマスタと相違／","")))&amp;IF(AND($B2093&lt;&gt;"",$E2093=""),"報酬額が未入力／","")&amp;IF(N($U2093)&gt;0,"申請書に入力エラーが残っています／","")&amp;IF(AND($B2093&lt;&gt;"",$AO2093&lt;&gt;""),IF(COUNTIFS($B$6:$B$3005,$B2093,$C$6:$C$3005,$C2093,$D$6:$D$3005,$D2093)&gt;1,"同じ月の請求が重複しています／",""),"")&amp;IF(AND(N($E2093)&gt;0,$Z2093&lt;&gt;"",$Z2093&lt;&gt;"×",$AC2093=0,$AB2093=""),"計算額が下限以下のため不支給／",""))</f>
        <v/>
      </c>
      <c r="AL2093" s="12" t="n"/>
      <c r="AM2093" s="14">
        <f>IF($AD2093="保留中",COUNTIF($AD$6:$AD2093,"保留中"),"")</f>
        <v/>
      </c>
      <c r="AN2093" s="14">
        <f>IF($AO2093="","",IF(SUMPRODUCT(MAX((職員マスタ!$A$6:$A$405=$B2093)*(((職員マスタ!$G$6:$G$405="")+(職員マスタ!$G$6:$G$405&lt;=EOMONTH($AO2093,0)))&gt;0)*(((職員マスタ!$H$6:$H$405="")+(職員マスタ!$H$6:$H$405&gt;=$AO2093))&gt;0)*(ROW(職員マスタ!$A$6:$A$405)-5)))&gt;0,SUMPRODUCT(MAX((職員マスタ!$A$6:$A$405=$B2093)*(((職員マスタ!$G$6:$G$405="")+(職員マスタ!$G$6:$G$405&lt;=EOMONTH($AO2093,0)))&gt;0)*(((職員マスタ!$H$6:$H$405="")+(職員マスタ!$H$6:$H$405&gt;=$AO2093))&gt;0)*(ROW(職員マスタ!$A$6:$A$405)-5))),IFERROR(MATCH($B2093,職員マスタ!$A$6:$A$405,0),"")))</f>
        <v/>
      </c>
      <c r="AO2093" s="16">
        <f>IF(OR($B2093="",$C2093="",$D2093=""),"",DATE($C2093+2018,$D2093,1))</f>
        <v/>
      </c>
    </row>
    <row r="2094">
      <c r="A2094" s="11" t="n"/>
      <c r="B2094" s="12" t="n"/>
      <c r="C2094" s="12" t="n"/>
      <c r="D2094" s="12" t="n"/>
      <c r="E2094" s="13" t="n"/>
      <c r="F2094" s="12" t="n"/>
      <c r="G2094" s="13" t="n"/>
      <c r="H2094" s="12" t="n"/>
      <c r="I2094" s="12" t="n"/>
      <c r="J2094" s="12" t="n"/>
      <c r="K2094" s="12" t="n"/>
      <c r="L2094" s="11" t="n"/>
      <c r="M2094" s="11" t="n"/>
      <c r="N2094" s="11" t="n"/>
      <c r="O2094" s="11" t="n"/>
      <c r="P2094" s="12" t="n"/>
      <c r="Q2094" s="11" t="n"/>
      <c r="R2094" s="12" t="n"/>
      <c r="S2094" s="11" t="n"/>
      <c r="T2094" s="12" t="n"/>
      <c r="U2094" s="12" t="n"/>
      <c r="V2094" s="14">
        <f>IF($AN2094="",IF($B2094="","",$H2094),IF(INDEX(職員マスタ!$B$6:$B$405,$AN2094)="",$H2094,INDEX(職員マスタ!$B$6:$B$405,$AN2094)))</f>
        <v/>
      </c>
      <c r="W2094" s="14">
        <f>IF($AN2094="",IF($B2094="","",$R2094),IF(INDEX(職員マスタ!$C$6:$C$405,$AN2094)="",$R2094,INDEX(職員マスタ!$C$6:$C$405,$AN2094)))</f>
        <v/>
      </c>
      <c r="X2094" s="14">
        <f>IF($AO2094="","","R"&amp;$C2094&amp;"."&amp;$D2094)</f>
        <v/>
      </c>
      <c r="Y2094" s="15">
        <f>IF($AN2094="","",IF(INDEX(職員マスタ!$K$6:$K$405,$AN2094)="","",INDEX(職員マスタ!$K$6:$K$405,$AN2094)))</f>
        <v/>
      </c>
      <c r="Z2094" s="14">
        <f>IF(OR($E2094="",$Y2094=""),"",IF($E2094&gt;=$Y2094,"×",IF($E2094&gt;=$Y2094*設定!$C$5,"△","○")))</f>
        <v/>
      </c>
      <c r="AA2094" s="15">
        <f>IF($Z2094="","",IF($Z2094="×",0,IF($Z2094="○",ROUNDDOWN($E2094*設定!$C$4,0),ROUNDDOWN($E2094*ROUND((9*$Y2094-9*$E2094)/(10*$E2094),4),0))))</f>
        <v/>
      </c>
      <c r="AB2094" s="13" t="n"/>
      <c r="AC2094" s="15">
        <f>IF($B2094="","",IF($AB2094&lt;&gt;"",$AB2094,IF($AA2094="","",IF($AA2094&lt;=設定!$C$3,0,$AA2094))))</f>
        <v/>
      </c>
      <c r="AD2094" s="14">
        <f>IF($B2094="","",IF(AND($AE2094&lt;&gt;"",$AG2094="",$AJ2094=""),"保留中",IF($AJ2094&lt;&gt;"",IF(N($AC2094)&gt;0,"支給済","不支給"),IF($AC2094="","要確認",IF($AC2094=0,"不支給","未処理")))))</f>
        <v/>
      </c>
      <c r="AE2094" s="12" t="n"/>
      <c r="AF2094" s="11" t="n"/>
      <c r="AG2094" s="11" t="n"/>
      <c r="AH2094" s="11" t="n"/>
      <c r="AI2094" s="14">
        <f>IF(AND($AD2094="保留中",$AF2094&lt;&gt;""),TODAY()-$AF2094,"")</f>
        <v/>
      </c>
      <c r="AJ2094" s="12" t="n"/>
      <c r="AK2094" s="14">
        <f>IF($B2094="","",IF($AO2094="","対象年月が未入力／","")&amp;IF($B2094="","",IF($AN2094="","職員マスタに未登録の職員番号／",IF($Y2094="","標準報酬月額が未登録／","")&amp;IF(AND($AO2094&lt;&gt;"",OR(AND(INDEX(職員マスタ!$G$6:$G$405,$AN2094)&lt;&gt;"",INDEX(職員マスタ!$G$6:$G$405,$AN2094)&gt;EOMONTH($AO2094,0)),AND(INDEX(職員マスタ!$H$6:$H$405,$AN2094)&lt;&gt;"",INDEX(職員マスタ!$H$6:$H$405,$AN2094)&lt;$AO2094))),"対象月が時短期間外／","")&amp;IF(AND(INDEX(職員マスタ!$F$6:$F$405,$AN2094)&lt;&gt;"",$AO2094&lt;&gt;"",INDEX(職員マスタ!$F$6:$F$405,$AN2094)&lt;$AO2094),"対象月に子が2歳到達済／","")&amp;IF(AND($H2094&lt;&gt;"",INDEX(職員マスタ!$B$6:$B$405,$AN2094)&lt;&gt;"",SUBSTITUTE(SUBSTITUTE($H2094," ","")," ","")&lt;&gt;SUBSTITUTE(SUBSTITUTE(INDEX(職員マスタ!$B$6:$B$405,$AN2094)," ","")," ","")),"氏名がマスタと相違／","")&amp;IF(AND($Q2094&lt;&gt;"",INDEX(職員マスタ!$E$6:$E$405,$AN2094)&lt;&gt;"",$Q2094&lt;&gt;INDEX(職員マスタ!$E$6:$E$405,$AN2094)),"子の生年月日がマスタと相違／","")&amp;IF(AND($L2094&lt;&gt;"",INDEX(職員マスタ!$G$6:$G$405,$AN2094)&lt;&gt;"",$L2094&lt;&gt;INDEX(職員マスタ!$G$6:$G$405,$AN2094)),"時短開始日がマスタと相違／","")&amp;IF(AND($M2094&lt;&gt;"",INDEX(職員マスタ!$H$6:$H$405,$AN2094)&lt;&gt;"",$M2094&lt;&gt;INDEX(職員マスタ!$H$6:$H$405,$AN2094)),"時短終了日がマスタと相違／","")))&amp;IF(AND($B2094&lt;&gt;"",$E2094=""),"報酬額が未入力／","")&amp;IF(N($U2094)&gt;0,"申請書に入力エラーが残っています／","")&amp;IF(AND($B2094&lt;&gt;"",$AO2094&lt;&gt;""),IF(COUNTIFS($B$6:$B$3005,$B2094,$C$6:$C$3005,$C2094,$D$6:$D$3005,$D2094)&gt;1,"同じ月の請求が重複しています／",""),"")&amp;IF(AND(N($E2094)&gt;0,$Z2094&lt;&gt;"",$Z2094&lt;&gt;"×",$AC2094=0,$AB2094=""),"計算額が下限以下のため不支給／",""))</f>
        <v/>
      </c>
      <c r="AL2094" s="12" t="n"/>
      <c r="AM2094" s="14">
        <f>IF($AD2094="保留中",COUNTIF($AD$6:$AD2094,"保留中"),"")</f>
        <v/>
      </c>
      <c r="AN2094" s="14">
        <f>IF($AO2094="","",IF(SUMPRODUCT(MAX((職員マスタ!$A$6:$A$405=$B2094)*(((職員マスタ!$G$6:$G$405="")+(職員マスタ!$G$6:$G$405&lt;=EOMONTH($AO2094,0)))&gt;0)*(((職員マスタ!$H$6:$H$405="")+(職員マスタ!$H$6:$H$405&gt;=$AO2094))&gt;0)*(ROW(職員マスタ!$A$6:$A$405)-5)))&gt;0,SUMPRODUCT(MAX((職員マスタ!$A$6:$A$405=$B2094)*(((職員マスタ!$G$6:$G$405="")+(職員マスタ!$G$6:$G$405&lt;=EOMONTH($AO2094,0)))&gt;0)*(((職員マスタ!$H$6:$H$405="")+(職員マスタ!$H$6:$H$405&gt;=$AO2094))&gt;0)*(ROW(職員マスタ!$A$6:$A$405)-5))),IFERROR(MATCH($B2094,職員マスタ!$A$6:$A$405,0),"")))</f>
        <v/>
      </c>
      <c r="AO2094" s="16">
        <f>IF(OR($B2094="",$C2094="",$D2094=""),"",DATE($C2094+2018,$D2094,1))</f>
        <v/>
      </c>
    </row>
    <row r="2095">
      <c r="A2095" s="11" t="n"/>
      <c r="B2095" s="12" t="n"/>
      <c r="C2095" s="12" t="n"/>
      <c r="D2095" s="12" t="n"/>
      <c r="E2095" s="13" t="n"/>
      <c r="F2095" s="12" t="n"/>
      <c r="G2095" s="13" t="n"/>
      <c r="H2095" s="12" t="n"/>
      <c r="I2095" s="12" t="n"/>
      <c r="J2095" s="12" t="n"/>
      <c r="K2095" s="12" t="n"/>
      <c r="L2095" s="11" t="n"/>
      <c r="M2095" s="11" t="n"/>
      <c r="N2095" s="11" t="n"/>
      <c r="O2095" s="11" t="n"/>
      <c r="P2095" s="12" t="n"/>
      <c r="Q2095" s="11" t="n"/>
      <c r="R2095" s="12" t="n"/>
      <c r="S2095" s="11" t="n"/>
      <c r="T2095" s="12" t="n"/>
      <c r="U2095" s="12" t="n"/>
      <c r="V2095" s="14">
        <f>IF($AN2095="",IF($B2095="","",$H2095),IF(INDEX(職員マスタ!$B$6:$B$405,$AN2095)="",$H2095,INDEX(職員マスタ!$B$6:$B$405,$AN2095)))</f>
        <v/>
      </c>
      <c r="W2095" s="14">
        <f>IF($AN2095="",IF($B2095="","",$R2095),IF(INDEX(職員マスタ!$C$6:$C$405,$AN2095)="",$R2095,INDEX(職員マスタ!$C$6:$C$405,$AN2095)))</f>
        <v/>
      </c>
      <c r="X2095" s="14">
        <f>IF($AO2095="","","R"&amp;$C2095&amp;"."&amp;$D2095)</f>
        <v/>
      </c>
      <c r="Y2095" s="15">
        <f>IF($AN2095="","",IF(INDEX(職員マスタ!$K$6:$K$405,$AN2095)="","",INDEX(職員マスタ!$K$6:$K$405,$AN2095)))</f>
        <v/>
      </c>
      <c r="Z2095" s="14">
        <f>IF(OR($E2095="",$Y2095=""),"",IF($E2095&gt;=$Y2095,"×",IF($E2095&gt;=$Y2095*設定!$C$5,"△","○")))</f>
        <v/>
      </c>
      <c r="AA2095" s="15">
        <f>IF($Z2095="","",IF($Z2095="×",0,IF($Z2095="○",ROUNDDOWN($E2095*設定!$C$4,0),ROUNDDOWN($E2095*ROUND((9*$Y2095-9*$E2095)/(10*$E2095),4),0))))</f>
        <v/>
      </c>
      <c r="AB2095" s="13" t="n"/>
      <c r="AC2095" s="15">
        <f>IF($B2095="","",IF($AB2095&lt;&gt;"",$AB2095,IF($AA2095="","",IF($AA2095&lt;=設定!$C$3,0,$AA2095))))</f>
        <v/>
      </c>
      <c r="AD2095" s="14">
        <f>IF($B2095="","",IF(AND($AE2095&lt;&gt;"",$AG2095="",$AJ2095=""),"保留中",IF($AJ2095&lt;&gt;"",IF(N($AC2095)&gt;0,"支給済","不支給"),IF($AC2095="","要確認",IF($AC2095=0,"不支給","未処理")))))</f>
        <v/>
      </c>
      <c r="AE2095" s="12" t="n"/>
      <c r="AF2095" s="11" t="n"/>
      <c r="AG2095" s="11" t="n"/>
      <c r="AH2095" s="11" t="n"/>
      <c r="AI2095" s="14">
        <f>IF(AND($AD2095="保留中",$AF2095&lt;&gt;""),TODAY()-$AF2095,"")</f>
        <v/>
      </c>
      <c r="AJ2095" s="12" t="n"/>
      <c r="AK2095" s="14">
        <f>IF($B2095="","",IF($AO2095="","対象年月が未入力／","")&amp;IF($B2095="","",IF($AN2095="","職員マスタに未登録の職員番号／",IF($Y2095="","標準報酬月額が未登録／","")&amp;IF(AND($AO2095&lt;&gt;"",OR(AND(INDEX(職員マスタ!$G$6:$G$405,$AN2095)&lt;&gt;"",INDEX(職員マスタ!$G$6:$G$405,$AN2095)&gt;EOMONTH($AO2095,0)),AND(INDEX(職員マスタ!$H$6:$H$405,$AN2095)&lt;&gt;"",INDEX(職員マスタ!$H$6:$H$405,$AN2095)&lt;$AO2095))),"対象月が時短期間外／","")&amp;IF(AND(INDEX(職員マスタ!$F$6:$F$405,$AN2095)&lt;&gt;"",$AO2095&lt;&gt;"",INDEX(職員マスタ!$F$6:$F$405,$AN2095)&lt;$AO2095),"対象月に子が2歳到達済／","")&amp;IF(AND($H2095&lt;&gt;"",INDEX(職員マスタ!$B$6:$B$405,$AN2095)&lt;&gt;"",SUBSTITUTE(SUBSTITUTE($H2095," ","")," ","")&lt;&gt;SUBSTITUTE(SUBSTITUTE(INDEX(職員マスタ!$B$6:$B$405,$AN2095)," ","")," ","")),"氏名がマスタと相違／","")&amp;IF(AND($Q2095&lt;&gt;"",INDEX(職員マスタ!$E$6:$E$405,$AN2095)&lt;&gt;"",$Q2095&lt;&gt;INDEX(職員マスタ!$E$6:$E$405,$AN2095)),"子の生年月日がマスタと相違／","")&amp;IF(AND($L2095&lt;&gt;"",INDEX(職員マスタ!$G$6:$G$405,$AN2095)&lt;&gt;"",$L2095&lt;&gt;INDEX(職員マスタ!$G$6:$G$405,$AN2095)),"時短開始日がマスタと相違／","")&amp;IF(AND($M2095&lt;&gt;"",INDEX(職員マスタ!$H$6:$H$405,$AN2095)&lt;&gt;"",$M2095&lt;&gt;INDEX(職員マスタ!$H$6:$H$405,$AN2095)),"時短終了日がマスタと相違／","")))&amp;IF(AND($B2095&lt;&gt;"",$E2095=""),"報酬額が未入力／","")&amp;IF(N($U2095)&gt;0,"申請書に入力エラーが残っています／","")&amp;IF(AND($B2095&lt;&gt;"",$AO2095&lt;&gt;""),IF(COUNTIFS($B$6:$B$3005,$B2095,$C$6:$C$3005,$C2095,$D$6:$D$3005,$D2095)&gt;1,"同じ月の請求が重複しています／",""),"")&amp;IF(AND(N($E2095)&gt;0,$Z2095&lt;&gt;"",$Z2095&lt;&gt;"×",$AC2095=0,$AB2095=""),"計算額が下限以下のため不支給／",""))</f>
        <v/>
      </c>
      <c r="AL2095" s="12" t="n"/>
      <c r="AM2095" s="14">
        <f>IF($AD2095="保留中",COUNTIF($AD$6:$AD2095,"保留中"),"")</f>
        <v/>
      </c>
      <c r="AN2095" s="14">
        <f>IF($AO2095="","",IF(SUMPRODUCT(MAX((職員マスタ!$A$6:$A$405=$B2095)*(((職員マスタ!$G$6:$G$405="")+(職員マスタ!$G$6:$G$405&lt;=EOMONTH($AO2095,0)))&gt;0)*(((職員マスタ!$H$6:$H$405="")+(職員マスタ!$H$6:$H$405&gt;=$AO2095))&gt;0)*(ROW(職員マスタ!$A$6:$A$405)-5)))&gt;0,SUMPRODUCT(MAX((職員マスタ!$A$6:$A$405=$B2095)*(((職員マスタ!$G$6:$G$405="")+(職員マスタ!$G$6:$G$405&lt;=EOMONTH($AO2095,0)))&gt;0)*(((職員マスタ!$H$6:$H$405="")+(職員マスタ!$H$6:$H$405&gt;=$AO2095))&gt;0)*(ROW(職員マスタ!$A$6:$A$405)-5))),IFERROR(MATCH($B2095,職員マスタ!$A$6:$A$405,0),"")))</f>
        <v/>
      </c>
      <c r="AO2095" s="16">
        <f>IF(OR($B2095="",$C2095="",$D2095=""),"",DATE($C2095+2018,$D2095,1))</f>
        <v/>
      </c>
    </row>
    <row r="2096">
      <c r="A2096" s="11" t="n"/>
      <c r="B2096" s="12" t="n"/>
      <c r="C2096" s="12" t="n"/>
      <c r="D2096" s="12" t="n"/>
      <c r="E2096" s="13" t="n"/>
      <c r="F2096" s="12" t="n"/>
      <c r="G2096" s="13" t="n"/>
      <c r="H2096" s="12" t="n"/>
      <c r="I2096" s="12" t="n"/>
      <c r="J2096" s="12" t="n"/>
      <c r="K2096" s="12" t="n"/>
      <c r="L2096" s="11" t="n"/>
      <c r="M2096" s="11" t="n"/>
      <c r="N2096" s="11" t="n"/>
      <c r="O2096" s="11" t="n"/>
      <c r="P2096" s="12" t="n"/>
      <c r="Q2096" s="11" t="n"/>
      <c r="R2096" s="12" t="n"/>
      <c r="S2096" s="11" t="n"/>
      <c r="T2096" s="12" t="n"/>
      <c r="U2096" s="12" t="n"/>
      <c r="V2096" s="14">
        <f>IF($AN2096="",IF($B2096="","",$H2096),IF(INDEX(職員マスタ!$B$6:$B$405,$AN2096)="",$H2096,INDEX(職員マスタ!$B$6:$B$405,$AN2096)))</f>
        <v/>
      </c>
      <c r="W2096" s="14">
        <f>IF($AN2096="",IF($B2096="","",$R2096),IF(INDEX(職員マスタ!$C$6:$C$405,$AN2096)="",$R2096,INDEX(職員マスタ!$C$6:$C$405,$AN2096)))</f>
        <v/>
      </c>
      <c r="X2096" s="14">
        <f>IF($AO2096="","","R"&amp;$C2096&amp;"."&amp;$D2096)</f>
        <v/>
      </c>
      <c r="Y2096" s="15">
        <f>IF($AN2096="","",IF(INDEX(職員マスタ!$K$6:$K$405,$AN2096)="","",INDEX(職員マスタ!$K$6:$K$405,$AN2096)))</f>
        <v/>
      </c>
      <c r="Z2096" s="14">
        <f>IF(OR($E2096="",$Y2096=""),"",IF($E2096&gt;=$Y2096,"×",IF($E2096&gt;=$Y2096*設定!$C$5,"△","○")))</f>
        <v/>
      </c>
      <c r="AA2096" s="15">
        <f>IF($Z2096="","",IF($Z2096="×",0,IF($Z2096="○",ROUNDDOWN($E2096*設定!$C$4,0),ROUNDDOWN($E2096*ROUND((9*$Y2096-9*$E2096)/(10*$E2096),4),0))))</f>
        <v/>
      </c>
      <c r="AB2096" s="13" t="n"/>
      <c r="AC2096" s="15">
        <f>IF($B2096="","",IF($AB2096&lt;&gt;"",$AB2096,IF($AA2096="","",IF($AA2096&lt;=設定!$C$3,0,$AA2096))))</f>
        <v/>
      </c>
      <c r="AD2096" s="14">
        <f>IF($B2096="","",IF(AND($AE2096&lt;&gt;"",$AG2096="",$AJ2096=""),"保留中",IF($AJ2096&lt;&gt;"",IF(N($AC2096)&gt;0,"支給済","不支給"),IF($AC2096="","要確認",IF($AC2096=0,"不支給","未処理")))))</f>
        <v/>
      </c>
      <c r="AE2096" s="12" t="n"/>
      <c r="AF2096" s="11" t="n"/>
      <c r="AG2096" s="11" t="n"/>
      <c r="AH2096" s="11" t="n"/>
      <c r="AI2096" s="14">
        <f>IF(AND($AD2096="保留中",$AF2096&lt;&gt;""),TODAY()-$AF2096,"")</f>
        <v/>
      </c>
      <c r="AJ2096" s="12" t="n"/>
      <c r="AK2096" s="14">
        <f>IF($B2096="","",IF($AO2096="","対象年月が未入力／","")&amp;IF($B2096="","",IF($AN2096="","職員マスタに未登録の職員番号／",IF($Y2096="","標準報酬月額が未登録／","")&amp;IF(AND($AO2096&lt;&gt;"",OR(AND(INDEX(職員マスタ!$G$6:$G$405,$AN2096)&lt;&gt;"",INDEX(職員マスタ!$G$6:$G$405,$AN2096)&gt;EOMONTH($AO2096,0)),AND(INDEX(職員マスタ!$H$6:$H$405,$AN2096)&lt;&gt;"",INDEX(職員マスタ!$H$6:$H$405,$AN2096)&lt;$AO2096))),"対象月が時短期間外／","")&amp;IF(AND(INDEX(職員マスタ!$F$6:$F$405,$AN2096)&lt;&gt;"",$AO2096&lt;&gt;"",INDEX(職員マスタ!$F$6:$F$405,$AN2096)&lt;$AO2096),"対象月に子が2歳到達済／","")&amp;IF(AND($H2096&lt;&gt;"",INDEX(職員マスタ!$B$6:$B$405,$AN2096)&lt;&gt;"",SUBSTITUTE(SUBSTITUTE($H2096," ","")," ","")&lt;&gt;SUBSTITUTE(SUBSTITUTE(INDEX(職員マスタ!$B$6:$B$405,$AN2096)," ","")," ","")),"氏名がマスタと相違／","")&amp;IF(AND($Q2096&lt;&gt;"",INDEX(職員マスタ!$E$6:$E$405,$AN2096)&lt;&gt;"",$Q2096&lt;&gt;INDEX(職員マスタ!$E$6:$E$405,$AN2096)),"子の生年月日がマスタと相違／","")&amp;IF(AND($L2096&lt;&gt;"",INDEX(職員マスタ!$G$6:$G$405,$AN2096)&lt;&gt;"",$L2096&lt;&gt;INDEX(職員マスタ!$G$6:$G$405,$AN2096)),"時短開始日がマスタと相違／","")&amp;IF(AND($M2096&lt;&gt;"",INDEX(職員マスタ!$H$6:$H$405,$AN2096)&lt;&gt;"",$M2096&lt;&gt;INDEX(職員マスタ!$H$6:$H$405,$AN2096)),"時短終了日がマスタと相違／","")))&amp;IF(AND($B2096&lt;&gt;"",$E2096=""),"報酬額が未入力／","")&amp;IF(N($U2096)&gt;0,"申請書に入力エラーが残っています／","")&amp;IF(AND($B2096&lt;&gt;"",$AO2096&lt;&gt;""),IF(COUNTIFS($B$6:$B$3005,$B2096,$C$6:$C$3005,$C2096,$D$6:$D$3005,$D2096)&gt;1,"同じ月の請求が重複しています／",""),"")&amp;IF(AND(N($E2096)&gt;0,$Z2096&lt;&gt;"",$Z2096&lt;&gt;"×",$AC2096=0,$AB2096=""),"計算額が下限以下のため不支給／",""))</f>
        <v/>
      </c>
      <c r="AL2096" s="12" t="n"/>
      <c r="AM2096" s="14">
        <f>IF($AD2096="保留中",COUNTIF($AD$6:$AD2096,"保留中"),"")</f>
        <v/>
      </c>
      <c r="AN2096" s="14">
        <f>IF($AO2096="","",IF(SUMPRODUCT(MAX((職員マスタ!$A$6:$A$405=$B2096)*(((職員マスタ!$G$6:$G$405="")+(職員マスタ!$G$6:$G$405&lt;=EOMONTH($AO2096,0)))&gt;0)*(((職員マスタ!$H$6:$H$405="")+(職員マスタ!$H$6:$H$405&gt;=$AO2096))&gt;0)*(ROW(職員マスタ!$A$6:$A$405)-5)))&gt;0,SUMPRODUCT(MAX((職員マスタ!$A$6:$A$405=$B2096)*(((職員マスタ!$G$6:$G$405="")+(職員マスタ!$G$6:$G$405&lt;=EOMONTH($AO2096,0)))&gt;0)*(((職員マスタ!$H$6:$H$405="")+(職員マスタ!$H$6:$H$405&gt;=$AO2096))&gt;0)*(ROW(職員マスタ!$A$6:$A$405)-5))),IFERROR(MATCH($B2096,職員マスタ!$A$6:$A$405,0),"")))</f>
        <v/>
      </c>
      <c r="AO2096" s="16">
        <f>IF(OR($B2096="",$C2096="",$D2096=""),"",DATE($C2096+2018,$D2096,1))</f>
        <v/>
      </c>
    </row>
    <row r="2097">
      <c r="A2097" s="11" t="n"/>
      <c r="B2097" s="12" t="n"/>
      <c r="C2097" s="12" t="n"/>
      <c r="D2097" s="12" t="n"/>
      <c r="E2097" s="13" t="n"/>
      <c r="F2097" s="12" t="n"/>
      <c r="G2097" s="13" t="n"/>
      <c r="H2097" s="12" t="n"/>
      <c r="I2097" s="12" t="n"/>
      <c r="J2097" s="12" t="n"/>
      <c r="K2097" s="12" t="n"/>
      <c r="L2097" s="11" t="n"/>
      <c r="M2097" s="11" t="n"/>
      <c r="N2097" s="11" t="n"/>
      <c r="O2097" s="11" t="n"/>
      <c r="P2097" s="12" t="n"/>
      <c r="Q2097" s="11" t="n"/>
      <c r="R2097" s="12" t="n"/>
      <c r="S2097" s="11" t="n"/>
      <c r="T2097" s="12" t="n"/>
      <c r="U2097" s="12" t="n"/>
      <c r="V2097" s="14">
        <f>IF($AN2097="",IF($B2097="","",$H2097),IF(INDEX(職員マスタ!$B$6:$B$405,$AN2097)="",$H2097,INDEX(職員マスタ!$B$6:$B$405,$AN2097)))</f>
        <v/>
      </c>
      <c r="W2097" s="14">
        <f>IF($AN2097="",IF($B2097="","",$R2097),IF(INDEX(職員マスタ!$C$6:$C$405,$AN2097)="",$R2097,INDEX(職員マスタ!$C$6:$C$405,$AN2097)))</f>
        <v/>
      </c>
      <c r="X2097" s="14">
        <f>IF($AO2097="","","R"&amp;$C2097&amp;"."&amp;$D2097)</f>
        <v/>
      </c>
      <c r="Y2097" s="15">
        <f>IF($AN2097="","",IF(INDEX(職員マスタ!$K$6:$K$405,$AN2097)="","",INDEX(職員マスタ!$K$6:$K$405,$AN2097)))</f>
        <v/>
      </c>
      <c r="Z2097" s="14">
        <f>IF(OR($E2097="",$Y2097=""),"",IF($E2097&gt;=$Y2097,"×",IF($E2097&gt;=$Y2097*設定!$C$5,"△","○")))</f>
        <v/>
      </c>
      <c r="AA2097" s="15">
        <f>IF($Z2097="","",IF($Z2097="×",0,IF($Z2097="○",ROUNDDOWN($E2097*設定!$C$4,0),ROUNDDOWN($E2097*ROUND((9*$Y2097-9*$E2097)/(10*$E2097),4),0))))</f>
        <v/>
      </c>
      <c r="AB2097" s="13" t="n"/>
      <c r="AC2097" s="15">
        <f>IF($B2097="","",IF($AB2097&lt;&gt;"",$AB2097,IF($AA2097="","",IF($AA2097&lt;=設定!$C$3,0,$AA2097))))</f>
        <v/>
      </c>
      <c r="AD2097" s="14">
        <f>IF($B2097="","",IF(AND($AE2097&lt;&gt;"",$AG2097="",$AJ2097=""),"保留中",IF($AJ2097&lt;&gt;"",IF(N($AC2097)&gt;0,"支給済","不支給"),IF($AC2097="","要確認",IF($AC2097=0,"不支給","未処理")))))</f>
        <v/>
      </c>
      <c r="AE2097" s="12" t="n"/>
      <c r="AF2097" s="11" t="n"/>
      <c r="AG2097" s="11" t="n"/>
      <c r="AH2097" s="11" t="n"/>
      <c r="AI2097" s="14">
        <f>IF(AND($AD2097="保留中",$AF2097&lt;&gt;""),TODAY()-$AF2097,"")</f>
        <v/>
      </c>
      <c r="AJ2097" s="12" t="n"/>
      <c r="AK2097" s="14">
        <f>IF($B2097="","",IF($AO2097="","対象年月が未入力／","")&amp;IF($B2097="","",IF($AN2097="","職員マスタに未登録の職員番号／",IF($Y2097="","標準報酬月額が未登録／","")&amp;IF(AND($AO2097&lt;&gt;"",OR(AND(INDEX(職員マスタ!$G$6:$G$405,$AN2097)&lt;&gt;"",INDEX(職員マスタ!$G$6:$G$405,$AN2097)&gt;EOMONTH($AO2097,0)),AND(INDEX(職員マスタ!$H$6:$H$405,$AN2097)&lt;&gt;"",INDEX(職員マスタ!$H$6:$H$405,$AN2097)&lt;$AO2097))),"対象月が時短期間外／","")&amp;IF(AND(INDEX(職員マスタ!$F$6:$F$405,$AN2097)&lt;&gt;"",$AO2097&lt;&gt;"",INDEX(職員マスタ!$F$6:$F$405,$AN2097)&lt;$AO2097),"対象月に子が2歳到達済／","")&amp;IF(AND($H2097&lt;&gt;"",INDEX(職員マスタ!$B$6:$B$405,$AN2097)&lt;&gt;"",SUBSTITUTE(SUBSTITUTE($H2097," ","")," ","")&lt;&gt;SUBSTITUTE(SUBSTITUTE(INDEX(職員マスタ!$B$6:$B$405,$AN2097)," ","")," ","")),"氏名がマスタと相違／","")&amp;IF(AND($Q2097&lt;&gt;"",INDEX(職員マスタ!$E$6:$E$405,$AN2097)&lt;&gt;"",$Q2097&lt;&gt;INDEX(職員マスタ!$E$6:$E$405,$AN2097)),"子の生年月日がマスタと相違／","")&amp;IF(AND($L2097&lt;&gt;"",INDEX(職員マスタ!$G$6:$G$405,$AN2097)&lt;&gt;"",$L2097&lt;&gt;INDEX(職員マスタ!$G$6:$G$405,$AN2097)),"時短開始日がマスタと相違／","")&amp;IF(AND($M2097&lt;&gt;"",INDEX(職員マスタ!$H$6:$H$405,$AN2097)&lt;&gt;"",$M2097&lt;&gt;INDEX(職員マスタ!$H$6:$H$405,$AN2097)),"時短終了日がマスタと相違／","")))&amp;IF(AND($B2097&lt;&gt;"",$E2097=""),"報酬額が未入力／","")&amp;IF(N($U2097)&gt;0,"申請書に入力エラーが残っています／","")&amp;IF(AND($B2097&lt;&gt;"",$AO2097&lt;&gt;""),IF(COUNTIFS($B$6:$B$3005,$B2097,$C$6:$C$3005,$C2097,$D$6:$D$3005,$D2097)&gt;1,"同じ月の請求が重複しています／",""),"")&amp;IF(AND(N($E2097)&gt;0,$Z2097&lt;&gt;"",$Z2097&lt;&gt;"×",$AC2097=0,$AB2097=""),"計算額が下限以下のため不支給／",""))</f>
        <v/>
      </c>
      <c r="AL2097" s="12" t="n"/>
      <c r="AM2097" s="14">
        <f>IF($AD2097="保留中",COUNTIF($AD$6:$AD2097,"保留中"),"")</f>
        <v/>
      </c>
      <c r="AN2097" s="14">
        <f>IF($AO2097="","",IF(SUMPRODUCT(MAX((職員マスタ!$A$6:$A$405=$B2097)*(((職員マスタ!$G$6:$G$405="")+(職員マスタ!$G$6:$G$405&lt;=EOMONTH($AO2097,0)))&gt;0)*(((職員マスタ!$H$6:$H$405="")+(職員マスタ!$H$6:$H$405&gt;=$AO2097))&gt;0)*(ROW(職員マスタ!$A$6:$A$405)-5)))&gt;0,SUMPRODUCT(MAX((職員マスタ!$A$6:$A$405=$B2097)*(((職員マスタ!$G$6:$G$405="")+(職員マスタ!$G$6:$G$405&lt;=EOMONTH($AO2097,0)))&gt;0)*(((職員マスタ!$H$6:$H$405="")+(職員マスタ!$H$6:$H$405&gt;=$AO2097))&gt;0)*(ROW(職員マスタ!$A$6:$A$405)-5))),IFERROR(MATCH($B2097,職員マスタ!$A$6:$A$405,0),"")))</f>
        <v/>
      </c>
      <c r="AO2097" s="16">
        <f>IF(OR($B2097="",$C2097="",$D2097=""),"",DATE($C2097+2018,$D2097,1))</f>
        <v/>
      </c>
    </row>
    <row r="2098">
      <c r="A2098" s="11" t="n"/>
      <c r="B2098" s="12" t="n"/>
      <c r="C2098" s="12" t="n"/>
      <c r="D2098" s="12" t="n"/>
      <c r="E2098" s="13" t="n"/>
      <c r="F2098" s="12" t="n"/>
      <c r="G2098" s="13" t="n"/>
      <c r="H2098" s="12" t="n"/>
      <c r="I2098" s="12" t="n"/>
      <c r="J2098" s="12" t="n"/>
      <c r="K2098" s="12" t="n"/>
      <c r="L2098" s="11" t="n"/>
      <c r="M2098" s="11" t="n"/>
      <c r="N2098" s="11" t="n"/>
      <c r="O2098" s="11" t="n"/>
      <c r="P2098" s="12" t="n"/>
      <c r="Q2098" s="11" t="n"/>
      <c r="R2098" s="12" t="n"/>
      <c r="S2098" s="11" t="n"/>
      <c r="T2098" s="12" t="n"/>
      <c r="U2098" s="12" t="n"/>
      <c r="V2098" s="14">
        <f>IF($AN2098="",IF($B2098="","",$H2098),IF(INDEX(職員マスタ!$B$6:$B$405,$AN2098)="",$H2098,INDEX(職員マスタ!$B$6:$B$405,$AN2098)))</f>
        <v/>
      </c>
      <c r="W2098" s="14">
        <f>IF($AN2098="",IF($B2098="","",$R2098),IF(INDEX(職員マスタ!$C$6:$C$405,$AN2098)="",$R2098,INDEX(職員マスタ!$C$6:$C$405,$AN2098)))</f>
        <v/>
      </c>
      <c r="X2098" s="14">
        <f>IF($AO2098="","","R"&amp;$C2098&amp;"."&amp;$D2098)</f>
        <v/>
      </c>
      <c r="Y2098" s="15">
        <f>IF($AN2098="","",IF(INDEX(職員マスタ!$K$6:$K$405,$AN2098)="","",INDEX(職員マスタ!$K$6:$K$405,$AN2098)))</f>
        <v/>
      </c>
      <c r="Z2098" s="14">
        <f>IF(OR($E2098="",$Y2098=""),"",IF($E2098&gt;=$Y2098,"×",IF($E2098&gt;=$Y2098*設定!$C$5,"△","○")))</f>
        <v/>
      </c>
      <c r="AA2098" s="15">
        <f>IF($Z2098="","",IF($Z2098="×",0,IF($Z2098="○",ROUNDDOWN($E2098*設定!$C$4,0),ROUNDDOWN($E2098*ROUND((9*$Y2098-9*$E2098)/(10*$E2098),4),0))))</f>
        <v/>
      </c>
      <c r="AB2098" s="13" t="n"/>
      <c r="AC2098" s="15">
        <f>IF($B2098="","",IF($AB2098&lt;&gt;"",$AB2098,IF($AA2098="","",IF($AA2098&lt;=設定!$C$3,0,$AA2098))))</f>
        <v/>
      </c>
      <c r="AD2098" s="14">
        <f>IF($B2098="","",IF(AND($AE2098&lt;&gt;"",$AG2098="",$AJ2098=""),"保留中",IF($AJ2098&lt;&gt;"",IF(N($AC2098)&gt;0,"支給済","不支給"),IF($AC2098="","要確認",IF($AC2098=0,"不支給","未処理")))))</f>
        <v/>
      </c>
      <c r="AE2098" s="12" t="n"/>
      <c r="AF2098" s="11" t="n"/>
      <c r="AG2098" s="11" t="n"/>
      <c r="AH2098" s="11" t="n"/>
      <c r="AI2098" s="14">
        <f>IF(AND($AD2098="保留中",$AF2098&lt;&gt;""),TODAY()-$AF2098,"")</f>
        <v/>
      </c>
      <c r="AJ2098" s="12" t="n"/>
      <c r="AK2098" s="14">
        <f>IF($B2098="","",IF($AO2098="","対象年月が未入力／","")&amp;IF($B2098="","",IF($AN2098="","職員マスタに未登録の職員番号／",IF($Y2098="","標準報酬月額が未登録／","")&amp;IF(AND($AO2098&lt;&gt;"",OR(AND(INDEX(職員マスタ!$G$6:$G$405,$AN2098)&lt;&gt;"",INDEX(職員マスタ!$G$6:$G$405,$AN2098)&gt;EOMONTH($AO2098,0)),AND(INDEX(職員マスタ!$H$6:$H$405,$AN2098)&lt;&gt;"",INDEX(職員マスタ!$H$6:$H$405,$AN2098)&lt;$AO2098))),"対象月が時短期間外／","")&amp;IF(AND(INDEX(職員マスタ!$F$6:$F$405,$AN2098)&lt;&gt;"",$AO2098&lt;&gt;"",INDEX(職員マスタ!$F$6:$F$405,$AN2098)&lt;$AO2098),"対象月に子が2歳到達済／","")&amp;IF(AND($H2098&lt;&gt;"",INDEX(職員マスタ!$B$6:$B$405,$AN2098)&lt;&gt;"",SUBSTITUTE(SUBSTITUTE($H2098," ","")," ","")&lt;&gt;SUBSTITUTE(SUBSTITUTE(INDEX(職員マスタ!$B$6:$B$405,$AN2098)," ","")," ","")),"氏名がマスタと相違／","")&amp;IF(AND($Q2098&lt;&gt;"",INDEX(職員マスタ!$E$6:$E$405,$AN2098)&lt;&gt;"",$Q2098&lt;&gt;INDEX(職員マスタ!$E$6:$E$405,$AN2098)),"子の生年月日がマスタと相違／","")&amp;IF(AND($L2098&lt;&gt;"",INDEX(職員マスタ!$G$6:$G$405,$AN2098)&lt;&gt;"",$L2098&lt;&gt;INDEX(職員マスタ!$G$6:$G$405,$AN2098)),"時短開始日がマスタと相違／","")&amp;IF(AND($M2098&lt;&gt;"",INDEX(職員マスタ!$H$6:$H$405,$AN2098)&lt;&gt;"",$M2098&lt;&gt;INDEX(職員マスタ!$H$6:$H$405,$AN2098)),"時短終了日がマスタと相違／","")))&amp;IF(AND($B2098&lt;&gt;"",$E2098=""),"報酬額が未入力／","")&amp;IF(N($U2098)&gt;0,"申請書に入力エラーが残っています／","")&amp;IF(AND($B2098&lt;&gt;"",$AO2098&lt;&gt;""),IF(COUNTIFS($B$6:$B$3005,$B2098,$C$6:$C$3005,$C2098,$D$6:$D$3005,$D2098)&gt;1,"同じ月の請求が重複しています／",""),"")&amp;IF(AND(N($E2098)&gt;0,$Z2098&lt;&gt;"",$Z2098&lt;&gt;"×",$AC2098=0,$AB2098=""),"計算額が下限以下のため不支給／",""))</f>
        <v/>
      </c>
      <c r="AL2098" s="12" t="n"/>
      <c r="AM2098" s="14">
        <f>IF($AD2098="保留中",COUNTIF($AD$6:$AD2098,"保留中"),"")</f>
        <v/>
      </c>
      <c r="AN2098" s="14">
        <f>IF($AO2098="","",IF(SUMPRODUCT(MAX((職員マスタ!$A$6:$A$405=$B2098)*(((職員マスタ!$G$6:$G$405="")+(職員マスタ!$G$6:$G$405&lt;=EOMONTH($AO2098,0)))&gt;0)*(((職員マスタ!$H$6:$H$405="")+(職員マスタ!$H$6:$H$405&gt;=$AO2098))&gt;0)*(ROW(職員マスタ!$A$6:$A$405)-5)))&gt;0,SUMPRODUCT(MAX((職員マスタ!$A$6:$A$405=$B2098)*(((職員マスタ!$G$6:$G$405="")+(職員マスタ!$G$6:$G$405&lt;=EOMONTH($AO2098,0)))&gt;0)*(((職員マスタ!$H$6:$H$405="")+(職員マスタ!$H$6:$H$405&gt;=$AO2098))&gt;0)*(ROW(職員マスタ!$A$6:$A$405)-5))),IFERROR(MATCH($B2098,職員マスタ!$A$6:$A$405,0),"")))</f>
        <v/>
      </c>
      <c r="AO2098" s="16">
        <f>IF(OR($B2098="",$C2098="",$D2098=""),"",DATE($C2098+2018,$D2098,1))</f>
        <v/>
      </c>
    </row>
    <row r="2099">
      <c r="A2099" s="11" t="n"/>
      <c r="B2099" s="12" t="n"/>
      <c r="C2099" s="12" t="n"/>
      <c r="D2099" s="12" t="n"/>
      <c r="E2099" s="13" t="n"/>
      <c r="F2099" s="12" t="n"/>
      <c r="G2099" s="13" t="n"/>
      <c r="H2099" s="12" t="n"/>
      <c r="I2099" s="12" t="n"/>
      <c r="J2099" s="12" t="n"/>
      <c r="K2099" s="12" t="n"/>
      <c r="L2099" s="11" t="n"/>
      <c r="M2099" s="11" t="n"/>
      <c r="N2099" s="11" t="n"/>
      <c r="O2099" s="11" t="n"/>
      <c r="P2099" s="12" t="n"/>
      <c r="Q2099" s="11" t="n"/>
      <c r="R2099" s="12" t="n"/>
      <c r="S2099" s="11" t="n"/>
      <c r="T2099" s="12" t="n"/>
      <c r="U2099" s="12" t="n"/>
      <c r="V2099" s="14">
        <f>IF($AN2099="",IF($B2099="","",$H2099),IF(INDEX(職員マスタ!$B$6:$B$405,$AN2099)="",$H2099,INDEX(職員マスタ!$B$6:$B$405,$AN2099)))</f>
        <v/>
      </c>
      <c r="W2099" s="14">
        <f>IF($AN2099="",IF($B2099="","",$R2099),IF(INDEX(職員マスタ!$C$6:$C$405,$AN2099)="",$R2099,INDEX(職員マスタ!$C$6:$C$405,$AN2099)))</f>
        <v/>
      </c>
      <c r="X2099" s="14">
        <f>IF($AO2099="","","R"&amp;$C2099&amp;"."&amp;$D2099)</f>
        <v/>
      </c>
      <c r="Y2099" s="15">
        <f>IF($AN2099="","",IF(INDEX(職員マスタ!$K$6:$K$405,$AN2099)="","",INDEX(職員マスタ!$K$6:$K$405,$AN2099)))</f>
        <v/>
      </c>
      <c r="Z2099" s="14">
        <f>IF(OR($E2099="",$Y2099=""),"",IF($E2099&gt;=$Y2099,"×",IF($E2099&gt;=$Y2099*設定!$C$5,"△","○")))</f>
        <v/>
      </c>
      <c r="AA2099" s="15">
        <f>IF($Z2099="","",IF($Z2099="×",0,IF($Z2099="○",ROUNDDOWN($E2099*設定!$C$4,0),ROUNDDOWN($E2099*ROUND((9*$Y2099-9*$E2099)/(10*$E2099),4),0))))</f>
        <v/>
      </c>
      <c r="AB2099" s="13" t="n"/>
      <c r="AC2099" s="15">
        <f>IF($B2099="","",IF($AB2099&lt;&gt;"",$AB2099,IF($AA2099="","",IF($AA2099&lt;=設定!$C$3,0,$AA2099))))</f>
        <v/>
      </c>
      <c r="AD2099" s="14">
        <f>IF($B2099="","",IF(AND($AE2099&lt;&gt;"",$AG2099="",$AJ2099=""),"保留中",IF($AJ2099&lt;&gt;"",IF(N($AC2099)&gt;0,"支給済","不支給"),IF($AC2099="","要確認",IF($AC2099=0,"不支給","未処理")))))</f>
        <v/>
      </c>
      <c r="AE2099" s="12" t="n"/>
      <c r="AF2099" s="11" t="n"/>
      <c r="AG2099" s="11" t="n"/>
      <c r="AH2099" s="11" t="n"/>
      <c r="AI2099" s="14">
        <f>IF(AND($AD2099="保留中",$AF2099&lt;&gt;""),TODAY()-$AF2099,"")</f>
        <v/>
      </c>
      <c r="AJ2099" s="12" t="n"/>
      <c r="AK2099" s="14">
        <f>IF($B2099="","",IF($AO2099="","対象年月が未入力／","")&amp;IF($B2099="","",IF($AN2099="","職員マスタに未登録の職員番号／",IF($Y2099="","標準報酬月額が未登録／","")&amp;IF(AND($AO2099&lt;&gt;"",OR(AND(INDEX(職員マスタ!$G$6:$G$405,$AN2099)&lt;&gt;"",INDEX(職員マスタ!$G$6:$G$405,$AN2099)&gt;EOMONTH($AO2099,0)),AND(INDEX(職員マスタ!$H$6:$H$405,$AN2099)&lt;&gt;"",INDEX(職員マスタ!$H$6:$H$405,$AN2099)&lt;$AO2099))),"対象月が時短期間外／","")&amp;IF(AND(INDEX(職員マスタ!$F$6:$F$405,$AN2099)&lt;&gt;"",$AO2099&lt;&gt;"",INDEX(職員マスタ!$F$6:$F$405,$AN2099)&lt;$AO2099),"対象月に子が2歳到達済／","")&amp;IF(AND($H2099&lt;&gt;"",INDEX(職員マスタ!$B$6:$B$405,$AN2099)&lt;&gt;"",SUBSTITUTE(SUBSTITUTE($H2099," ","")," ","")&lt;&gt;SUBSTITUTE(SUBSTITUTE(INDEX(職員マスタ!$B$6:$B$405,$AN2099)," ","")," ","")),"氏名がマスタと相違／","")&amp;IF(AND($Q2099&lt;&gt;"",INDEX(職員マスタ!$E$6:$E$405,$AN2099)&lt;&gt;"",$Q2099&lt;&gt;INDEX(職員マスタ!$E$6:$E$405,$AN2099)),"子の生年月日がマスタと相違／","")&amp;IF(AND($L2099&lt;&gt;"",INDEX(職員マスタ!$G$6:$G$405,$AN2099)&lt;&gt;"",$L2099&lt;&gt;INDEX(職員マスタ!$G$6:$G$405,$AN2099)),"時短開始日がマスタと相違／","")&amp;IF(AND($M2099&lt;&gt;"",INDEX(職員マスタ!$H$6:$H$405,$AN2099)&lt;&gt;"",$M2099&lt;&gt;INDEX(職員マスタ!$H$6:$H$405,$AN2099)),"時短終了日がマスタと相違／","")))&amp;IF(AND($B2099&lt;&gt;"",$E2099=""),"報酬額が未入力／","")&amp;IF(N($U2099)&gt;0,"申請書に入力エラーが残っています／","")&amp;IF(AND($B2099&lt;&gt;"",$AO2099&lt;&gt;""),IF(COUNTIFS($B$6:$B$3005,$B2099,$C$6:$C$3005,$C2099,$D$6:$D$3005,$D2099)&gt;1,"同じ月の請求が重複しています／",""),"")&amp;IF(AND(N($E2099)&gt;0,$Z2099&lt;&gt;"",$Z2099&lt;&gt;"×",$AC2099=0,$AB2099=""),"計算額が下限以下のため不支給／",""))</f>
        <v/>
      </c>
      <c r="AL2099" s="12" t="n"/>
      <c r="AM2099" s="14">
        <f>IF($AD2099="保留中",COUNTIF($AD$6:$AD2099,"保留中"),"")</f>
        <v/>
      </c>
      <c r="AN2099" s="14">
        <f>IF($AO2099="","",IF(SUMPRODUCT(MAX((職員マスタ!$A$6:$A$405=$B2099)*(((職員マスタ!$G$6:$G$405="")+(職員マスタ!$G$6:$G$405&lt;=EOMONTH($AO2099,0)))&gt;0)*(((職員マスタ!$H$6:$H$405="")+(職員マスタ!$H$6:$H$405&gt;=$AO2099))&gt;0)*(ROW(職員マスタ!$A$6:$A$405)-5)))&gt;0,SUMPRODUCT(MAX((職員マスタ!$A$6:$A$405=$B2099)*(((職員マスタ!$G$6:$G$405="")+(職員マスタ!$G$6:$G$405&lt;=EOMONTH($AO2099,0)))&gt;0)*(((職員マスタ!$H$6:$H$405="")+(職員マスタ!$H$6:$H$405&gt;=$AO2099))&gt;0)*(ROW(職員マスタ!$A$6:$A$405)-5))),IFERROR(MATCH($B2099,職員マスタ!$A$6:$A$405,0),"")))</f>
        <v/>
      </c>
      <c r="AO2099" s="16">
        <f>IF(OR($B2099="",$C2099="",$D2099=""),"",DATE($C2099+2018,$D2099,1))</f>
        <v/>
      </c>
    </row>
    <row r="2100">
      <c r="A2100" s="11" t="n"/>
      <c r="B2100" s="12" t="n"/>
      <c r="C2100" s="12" t="n"/>
      <c r="D2100" s="12" t="n"/>
      <c r="E2100" s="13" t="n"/>
      <c r="F2100" s="12" t="n"/>
      <c r="G2100" s="13" t="n"/>
      <c r="H2100" s="12" t="n"/>
      <c r="I2100" s="12" t="n"/>
      <c r="J2100" s="12" t="n"/>
      <c r="K2100" s="12" t="n"/>
      <c r="L2100" s="11" t="n"/>
      <c r="M2100" s="11" t="n"/>
      <c r="N2100" s="11" t="n"/>
      <c r="O2100" s="11" t="n"/>
      <c r="P2100" s="12" t="n"/>
      <c r="Q2100" s="11" t="n"/>
      <c r="R2100" s="12" t="n"/>
      <c r="S2100" s="11" t="n"/>
      <c r="T2100" s="12" t="n"/>
      <c r="U2100" s="12" t="n"/>
      <c r="V2100" s="14">
        <f>IF($AN2100="",IF($B2100="","",$H2100),IF(INDEX(職員マスタ!$B$6:$B$405,$AN2100)="",$H2100,INDEX(職員マスタ!$B$6:$B$405,$AN2100)))</f>
        <v/>
      </c>
      <c r="W2100" s="14">
        <f>IF($AN2100="",IF($B2100="","",$R2100),IF(INDEX(職員マスタ!$C$6:$C$405,$AN2100)="",$R2100,INDEX(職員マスタ!$C$6:$C$405,$AN2100)))</f>
        <v/>
      </c>
      <c r="X2100" s="14">
        <f>IF($AO2100="","","R"&amp;$C2100&amp;"."&amp;$D2100)</f>
        <v/>
      </c>
      <c r="Y2100" s="15">
        <f>IF($AN2100="","",IF(INDEX(職員マスタ!$K$6:$K$405,$AN2100)="","",INDEX(職員マスタ!$K$6:$K$405,$AN2100)))</f>
        <v/>
      </c>
      <c r="Z2100" s="14">
        <f>IF(OR($E2100="",$Y2100=""),"",IF($E2100&gt;=$Y2100,"×",IF($E2100&gt;=$Y2100*設定!$C$5,"△","○")))</f>
        <v/>
      </c>
      <c r="AA2100" s="15">
        <f>IF($Z2100="","",IF($Z2100="×",0,IF($Z2100="○",ROUNDDOWN($E2100*設定!$C$4,0),ROUNDDOWN($E2100*ROUND((9*$Y2100-9*$E2100)/(10*$E2100),4),0))))</f>
        <v/>
      </c>
      <c r="AB2100" s="13" t="n"/>
      <c r="AC2100" s="15">
        <f>IF($B2100="","",IF($AB2100&lt;&gt;"",$AB2100,IF($AA2100="","",IF($AA2100&lt;=設定!$C$3,0,$AA2100))))</f>
        <v/>
      </c>
      <c r="AD2100" s="14">
        <f>IF($B2100="","",IF(AND($AE2100&lt;&gt;"",$AG2100="",$AJ2100=""),"保留中",IF($AJ2100&lt;&gt;"",IF(N($AC2100)&gt;0,"支給済","不支給"),IF($AC2100="","要確認",IF($AC2100=0,"不支給","未処理")))))</f>
        <v/>
      </c>
      <c r="AE2100" s="12" t="n"/>
      <c r="AF2100" s="11" t="n"/>
      <c r="AG2100" s="11" t="n"/>
      <c r="AH2100" s="11" t="n"/>
      <c r="AI2100" s="14">
        <f>IF(AND($AD2100="保留中",$AF2100&lt;&gt;""),TODAY()-$AF2100,"")</f>
        <v/>
      </c>
      <c r="AJ2100" s="12" t="n"/>
      <c r="AK2100" s="14">
        <f>IF($B2100="","",IF($AO2100="","対象年月が未入力／","")&amp;IF($B2100="","",IF($AN2100="","職員マスタに未登録の職員番号／",IF($Y2100="","標準報酬月額が未登録／","")&amp;IF(AND($AO2100&lt;&gt;"",OR(AND(INDEX(職員マスタ!$G$6:$G$405,$AN2100)&lt;&gt;"",INDEX(職員マスタ!$G$6:$G$405,$AN2100)&gt;EOMONTH($AO2100,0)),AND(INDEX(職員マスタ!$H$6:$H$405,$AN2100)&lt;&gt;"",INDEX(職員マスタ!$H$6:$H$405,$AN2100)&lt;$AO2100))),"対象月が時短期間外／","")&amp;IF(AND(INDEX(職員マスタ!$F$6:$F$405,$AN2100)&lt;&gt;"",$AO2100&lt;&gt;"",INDEX(職員マスタ!$F$6:$F$405,$AN2100)&lt;$AO2100),"対象月に子が2歳到達済／","")&amp;IF(AND($H2100&lt;&gt;"",INDEX(職員マスタ!$B$6:$B$405,$AN2100)&lt;&gt;"",SUBSTITUTE(SUBSTITUTE($H2100," ","")," ","")&lt;&gt;SUBSTITUTE(SUBSTITUTE(INDEX(職員マスタ!$B$6:$B$405,$AN2100)," ","")," ","")),"氏名がマスタと相違／","")&amp;IF(AND($Q2100&lt;&gt;"",INDEX(職員マスタ!$E$6:$E$405,$AN2100)&lt;&gt;"",$Q2100&lt;&gt;INDEX(職員マスタ!$E$6:$E$405,$AN2100)),"子の生年月日がマスタと相違／","")&amp;IF(AND($L2100&lt;&gt;"",INDEX(職員マスタ!$G$6:$G$405,$AN2100)&lt;&gt;"",$L2100&lt;&gt;INDEX(職員マスタ!$G$6:$G$405,$AN2100)),"時短開始日がマスタと相違／","")&amp;IF(AND($M2100&lt;&gt;"",INDEX(職員マスタ!$H$6:$H$405,$AN2100)&lt;&gt;"",$M2100&lt;&gt;INDEX(職員マスタ!$H$6:$H$405,$AN2100)),"時短終了日がマスタと相違／","")))&amp;IF(AND($B2100&lt;&gt;"",$E2100=""),"報酬額が未入力／","")&amp;IF(N($U2100)&gt;0,"申請書に入力エラーが残っています／","")&amp;IF(AND($B2100&lt;&gt;"",$AO2100&lt;&gt;""),IF(COUNTIFS($B$6:$B$3005,$B2100,$C$6:$C$3005,$C2100,$D$6:$D$3005,$D2100)&gt;1,"同じ月の請求が重複しています／",""),"")&amp;IF(AND(N($E2100)&gt;0,$Z2100&lt;&gt;"",$Z2100&lt;&gt;"×",$AC2100=0,$AB2100=""),"計算額が下限以下のため不支給／",""))</f>
        <v/>
      </c>
      <c r="AL2100" s="12" t="n"/>
      <c r="AM2100" s="14">
        <f>IF($AD2100="保留中",COUNTIF($AD$6:$AD2100,"保留中"),"")</f>
        <v/>
      </c>
      <c r="AN2100" s="14">
        <f>IF($AO2100="","",IF(SUMPRODUCT(MAX((職員マスタ!$A$6:$A$405=$B2100)*(((職員マスタ!$G$6:$G$405="")+(職員マスタ!$G$6:$G$405&lt;=EOMONTH($AO2100,0)))&gt;0)*(((職員マスタ!$H$6:$H$405="")+(職員マスタ!$H$6:$H$405&gt;=$AO2100))&gt;0)*(ROW(職員マスタ!$A$6:$A$405)-5)))&gt;0,SUMPRODUCT(MAX((職員マスタ!$A$6:$A$405=$B2100)*(((職員マスタ!$G$6:$G$405="")+(職員マスタ!$G$6:$G$405&lt;=EOMONTH($AO2100,0)))&gt;0)*(((職員マスタ!$H$6:$H$405="")+(職員マスタ!$H$6:$H$405&gt;=$AO2100))&gt;0)*(ROW(職員マスタ!$A$6:$A$405)-5))),IFERROR(MATCH($B2100,職員マスタ!$A$6:$A$405,0),"")))</f>
        <v/>
      </c>
      <c r="AO2100" s="16">
        <f>IF(OR($B2100="",$C2100="",$D2100=""),"",DATE($C2100+2018,$D2100,1))</f>
        <v/>
      </c>
    </row>
    <row r="2101">
      <c r="A2101" s="11" t="n"/>
      <c r="B2101" s="12" t="n"/>
      <c r="C2101" s="12" t="n"/>
      <c r="D2101" s="12" t="n"/>
      <c r="E2101" s="13" t="n"/>
      <c r="F2101" s="12" t="n"/>
      <c r="G2101" s="13" t="n"/>
      <c r="H2101" s="12" t="n"/>
      <c r="I2101" s="12" t="n"/>
      <c r="J2101" s="12" t="n"/>
      <c r="K2101" s="12" t="n"/>
      <c r="L2101" s="11" t="n"/>
      <c r="M2101" s="11" t="n"/>
      <c r="N2101" s="11" t="n"/>
      <c r="O2101" s="11" t="n"/>
      <c r="P2101" s="12" t="n"/>
      <c r="Q2101" s="11" t="n"/>
      <c r="R2101" s="12" t="n"/>
      <c r="S2101" s="11" t="n"/>
      <c r="T2101" s="12" t="n"/>
      <c r="U2101" s="12" t="n"/>
      <c r="V2101" s="14">
        <f>IF($AN2101="",IF($B2101="","",$H2101),IF(INDEX(職員マスタ!$B$6:$B$405,$AN2101)="",$H2101,INDEX(職員マスタ!$B$6:$B$405,$AN2101)))</f>
        <v/>
      </c>
      <c r="W2101" s="14">
        <f>IF($AN2101="",IF($B2101="","",$R2101),IF(INDEX(職員マスタ!$C$6:$C$405,$AN2101)="",$R2101,INDEX(職員マスタ!$C$6:$C$405,$AN2101)))</f>
        <v/>
      </c>
      <c r="X2101" s="14">
        <f>IF($AO2101="","","R"&amp;$C2101&amp;"."&amp;$D2101)</f>
        <v/>
      </c>
      <c r="Y2101" s="15">
        <f>IF($AN2101="","",IF(INDEX(職員マスタ!$K$6:$K$405,$AN2101)="","",INDEX(職員マスタ!$K$6:$K$405,$AN2101)))</f>
        <v/>
      </c>
      <c r="Z2101" s="14">
        <f>IF(OR($E2101="",$Y2101=""),"",IF($E2101&gt;=$Y2101,"×",IF($E2101&gt;=$Y2101*設定!$C$5,"△","○")))</f>
        <v/>
      </c>
      <c r="AA2101" s="15">
        <f>IF($Z2101="","",IF($Z2101="×",0,IF($Z2101="○",ROUNDDOWN($E2101*設定!$C$4,0),ROUNDDOWN($E2101*ROUND((9*$Y2101-9*$E2101)/(10*$E2101),4),0))))</f>
        <v/>
      </c>
      <c r="AB2101" s="13" t="n"/>
      <c r="AC2101" s="15">
        <f>IF($B2101="","",IF($AB2101&lt;&gt;"",$AB2101,IF($AA2101="","",IF($AA2101&lt;=設定!$C$3,0,$AA2101))))</f>
        <v/>
      </c>
      <c r="AD2101" s="14">
        <f>IF($B2101="","",IF(AND($AE2101&lt;&gt;"",$AG2101="",$AJ2101=""),"保留中",IF($AJ2101&lt;&gt;"",IF(N($AC2101)&gt;0,"支給済","不支給"),IF($AC2101="","要確認",IF($AC2101=0,"不支給","未処理")))))</f>
        <v/>
      </c>
      <c r="AE2101" s="12" t="n"/>
      <c r="AF2101" s="11" t="n"/>
      <c r="AG2101" s="11" t="n"/>
      <c r="AH2101" s="11" t="n"/>
      <c r="AI2101" s="14">
        <f>IF(AND($AD2101="保留中",$AF2101&lt;&gt;""),TODAY()-$AF2101,"")</f>
        <v/>
      </c>
      <c r="AJ2101" s="12" t="n"/>
      <c r="AK2101" s="14">
        <f>IF($B2101="","",IF($AO2101="","対象年月が未入力／","")&amp;IF($B2101="","",IF($AN2101="","職員マスタに未登録の職員番号／",IF($Y2101="","標準報酬月額が未登録／","")&amp;IF(AND($AO2101&lt;&gt;"",OR(AND(INDEX(職員マスタ!$G$6:$G$405,$AN2101)&lt;&gt;"",INDEX(職員マスタ!$G$6:$G$405,$AN2101)&gt;EOMONTH($AO2101,0)),AND(INDEX(職員マスタ!$H$6:$H$405,$AN2101)&lt;&gt;"",INDEX(職員マスタ!$H$6:$H$405,$AN2101)&lt;$AO2101))),"対象月が時短期間外／","")&amp;IF(AND(INDEX(職員マスタ!$F$6:$F$405,$AN2101)&lt;&gt;"",$AO2101&lt;&gt;"",INDEX(職員マスタ!$F$6:$F$405,$AN2101)&lt;$AO2101),"対象月に子が2歳到達済／","")&amp;IF(AND($H2101&lt;&gt;"",INDEX(職員マスタ!$B$6:$B$405,$AN2101)&lt;&gt;"",SUBSTITUTE(SUBSTITUTE($H2101," ","")," ","")&lt;&gt;SUBSTITUTE(SUBSTITUTE(INDEX(職員マスタ!$B$6:$B$405,$AN2101)," ","")," ","")),"氏名がマスタと相違／","")&amp;IF(AND($Q2101&lt;&gt;"",INDEX(職員マスタ!$E$6:$E$405,$AN2101)&lt;&gt;"",$Q2101&lt;&gt;INDEX(職員マスタ!$E$6:$E$405,$AN2101)),"子の生年月日がマスタと相違／","")&amp;IF(AND($L2101&lt;&gt;"",INDEX(職員マスタ!$G$6:$G$405,$AN2101)&lt;&gt;"",$L2101&lt;&gt;INDEX(職員マスタ!$G$6:$G$405,$AN2101)),"時短開始日がマスタと相違／","")&amp;IF(AND($M2101&lt;&gt;"",INDEX(職員マスタ!$H$6:$H$405,$AN2101)&lt;&gt;"",$M2101&lt;&gt;INDEX(職員マスタ!$H$6:$H$405,$AN2101)),"時短終了日がマスタと相違／","")))&amp;IF(AND($B2101&lt;&gt;"",$E2101=""),"報酬額が未入力／","")&amp;IF(N($U2101)&gt;0,"申請書に入力エラーが残っています／","")&amp;IF(AND($B2101&lt;&gt;"",$AO2101&lt;&gt;""),IF(COUNTIFS($B$6:$B$3005,$B2101,$C$6:$C$3005,$C2101,$D$6:$D$3005,$D2101)&gt;1,"同じ月の請求が重複しています／",""),"")&amp;IF(AND(N($E2101)&gt;0,$Z2101&lt;&gt;"",$Z2101&lt;&gt;"×",$AC2101=0,$AB2101=""),"計算額が下限以下のため不支給／",""))</f>
        <v/>
      </c>
      <c r="AL2101" s="12" t="n"/>
      <c r="AM2101" s="14">
        <f>IF($AD2101="保留中",COUNTIF($AD$6:$AD2101,"保留中"),"")</f>
        <v/>
      </c>
      <c r="AN2101" s="14">
        <f>IF($AO2101="","",IF(SUMPRODUCT(MAX((職員マスタ!$A$6:$A$405=$B2101)*(((職員マスタ!$G$6:$G$405="")+(職員マスタ!$G$6:$G$405&lt;=EOMONTH($AO2101,0)))&gt;0)*(((職員マスタ!$H$6:$H$405="")+(職員マスタ!$H$6:$H$405&gt;=$AO2101))&gt;0)*(ROW(職員マスタ!$A$6:$A$405)-5)))&gt;0,SUMPRODUCT(MAX((職員マスタ!$A$6:$A$405=$B2101)*(((職員マスタ!$G$6:$G$405="")+(職員マスタ!$G$6:$G$405&lt;=EOMONTH($AO2101,0)))&gt;0)*(((職員マスタ!$H$6:$H$405="")+(職員マスタ!$H$6:$H$405&gt;=$AO2101))&gt;0)*(ROW(職員マスタ!$A$6:$A$405)-5))),IFERROR(MATCH($B2101,職員マスタ!$A$6:$A$405,0),"")))</f>
        <v/>
      </c>
      <c r="AO2101" s="16">
        <f>IF(OR($B2101="",$C2101="",$D2101=""),"",DATE($C2101+2018,$D2101,1))</f>
        <v/>
      </c>
    </row>
    <row r="2102">
      <c r="A2102" s="11" t="n"/>
      <c r="B2102" s="12" t="n"/>
      <c r="C2102" s="12" t="n"/>
      <c r="D2102" s="12" t="n"/>
      <c r="E2102" s="13" t="n"/>
      <c r="F2102" s="12" t="n"/>
      <c r="G2102" s="13" t="n"/>
      <c r="H2102" s="12" t="n"/>
      <c r="I2102" s="12" t="n"/>
      <c r="J2102" s="12" t="n"/>
      <c r="K2102" s="12" t="n"/>
      <c r="L2102" s="11" t="n"/>
      <c r="M2102" s="11" t="n"/>
      <c r="N2102" s="11" t="n"/>
      <c r="O2102" s="11" t="n"/>
      <c r="P2102" s="12" t="n"/>
      <c r="Q2102" s="11" t="n"/>
      <c r="R2102" s="12" t="n"/>
      <c r="S2102" s="11" t="n"/>
      <c r="T2102" s="12" t="n"/>
      <c r="U2102" s="12" t="n"/>
      <c r="V2102" s="14">
        <f>IF($AN2102="",IF($B2102="","",$H2102),IF(INDEX(職員マスタ!$B$6:$B$405,$AN2102)="",$H2102,INDEX(職員マスタ!$B$6:$B$405,$AN2102)))</f>
        <v/>
      </c>
      <c r="W2102" s="14">
        <f>IF($AN2102="",IF($B2102="","",$R2102),IF(INDEX(職員マスタ!$C$6:$C$405,$AN2102)="",$R2102,INDEX(職員マスタ!$C$6:$C$405,$AN2102)))</f>
        <v/>
      </c>
      <c r="X2102" s="14">
        <f>IF($AO2102="","","R"&amp;$C2102&amp;"."&amp;$D2102)</f>
        <v/>
      </c>
      <c r="Y2102" s="15">
        <f>IF($AN2102="","",IF(INDEX(職員マスタ!$K$6:$K$405,$AN2102)="","",INDEX(職員マスタ!$K$6:$K$405,$AN2102)))</f>
        <v/>
      </c>
      <c r="Z2102" s="14">
        <f>IF(OR($E2102="",$Y2102=""),"",IF($E2102&gt;=$Y2102,"×",IF($E2102&gt;=$Y2102*設定!$C$5,"△","○")))</f>
        <v/>
      </c>
      <c r="AA2102" s="15">
        <f>IF($Z2102="","",IF($Z2102="×",0,IF($Z2102="○",ROUNDDOWN($E2102*設定!$C$4,0),ROUNDDOWN($E2102*ROUND((9*$Y2102-9*$E2102)/(10*$E2102),4),0))))</f>
        <v/>
      </c>
      <c r="AB2102" s="13" t="n"/>
      <c r="AC2102" s="15">
        <f>IF($B2102="","",IF($AB2102&lt;&gt;"",$AB2102,IF($AA2102="","",IF($AA2102&lt;=設定!$C$3,0,$AA2102))))</f>
        <v/>
      </c>
      <c r="AD2102" s="14">
        <f>IF($B2102="","",IF(AND($AE2102&lt;&gt;"",$AG2102="",$AJ2102=""),"保留中",IF($AJ2102&lt;&gt;"",IF(N($AC2102)&gt;0,"支給済","不支給"),IF($AC2102="","要確認",IF($AC2102=0,"不支給","未処理")))))</f>
        <v/>
      </c>
      <c r="AE2102" s="12" t="n"/>
      <c r="AF2102" s="11" t="n"/>
      <c r="AG2102" s="11" t="n"/>
      <c r="AH2102" s="11" t="n"/>
      <c r="AI2102" s="14">
        <f>IF(AND($AD2102="保留中",$AF2102&lt;&gt;""),TODAY()-$AF2102,"")</f>
        <v/>
      </c>
      <c r="AJ2102" s="12" t="n"/>
      <c r="AK2102" s="14">
        <f>IF($B2102="","",IF($AO2102="","対象年月が未入力／","")&amp;IF($B2102="","",IF($AN2102="","職員マスタに未登録の職員番号／",IF($Y2102="","標準報酬月額が未登録／","")&amp;IF(AND($AO2102&lt;&gt;"",OR(AND(INDEX(職員マスタ!$G$6:$G$405,$AN2102)&lt;&gt;"",INDEX(職員マスタ!$G$6:$G$405,$AN2102)&gt;EOMONTH($AO2102,0)),AND(INDEX(職員マスタ!$H$6:$H$405,$AN2102)&lt;&gt;"",INDEX(職員マスタ!$H$6:$H$405,$AN2102)&lt;$AO2102))),"対象月が時短期間外／","")&amp;IF(AND(INDEX(職員マスタ!$F$6:$F$405,$AN2102)&lt;&gt;"",$AO2102&lt;&gt;"",INDEX(職員マスタ!$F$6:$F$405,$AN2102)&lt;$AO2102),"対象月に子が2歳到達済／","")&amp;IF(AND($H2102&lt;&gt;"",INDEX(職員マスタ!$B$6:$B$405,$AN2102)&lt;&gt;"",SUBSTITUTE(SUBSTITUTE($H2102," ","")," ","")&lt;&gt;SUBSTITUTE(SUBSTITUTE(INDEX(職員マスタ!$B$6:$B$405,$AN2102)," ","")," ","")),"氏名がマスタと相違／","")&amp;IF(AND($Q2102&lt;&gt;"",INDEX(職員マスタ!$E$6:$E$405,$AN2102)&lt;&gt;"",$Q2102&lt;&gt;INDEX(職員マスタ!$E$6:$E$405,$AN2102)),"子の生年月日がマスタと相違／","")&amp;IF(AND($L2102&lt;&gt;"",INDEX(職員マスタ!$G$6:$G$405,$AN2102)&lt;&gt;"",$L2102&lt;&gt;INDEX(職員マスタ!$G$6:$G$405,$AN2102)),"時短開始日がマスタと相違／","")&amp;IF(AND($M2102&lt;&gt;"",INDEX(職員マスタ!$H$6:$H$405,$AN2102)&lt;&gt;"",$M2102&lt;&gt;INDEX(職員マスタ!$H$6:$H$405,$AN2102)),"時短終了日がマスタと相違／","")))&amp;IF(AND($B2102&lt;&gt;"",$E2102=""),"報酬額が未入力／","")&amp;IF(N($U2102)&gt;0,"申請書に入力エラーが残っています／","")&amp;IF(AND($B2102&lt;&gt;"",$AO2102&lt;&gt;""),IF(COUNTIFS($B$6:$B$3005,$B2102,$C$6:$C$3005,$C2102,$D$6:$D$3005,$D2102)&gt;1,"同じ月の請求が重複しています／",""),"")&amp;IF(AND(N($E2102)&gt;0,$Z2102&lt;&gt;"",$Z2102&lt;&gt;"×",$AC2102=0,$AB2102=""),"計算額が下限以下のため不支給／",""))</f>
        <v/>
      </c>
      <c r="AL2102" s="12" t="n"/>
      <c r="AM2102" s="14">
        <f>IF($AD2102="保留中",COUNTIF($AD$6:$AD2102,"保留中"),"")</f>
        <v/>
      </c>
      <c r="AN2102" s="14">
        <f>IF($AO2102="","",IF(SUMPRODUCT(MAX((職員マスタ!$A$6:$A$405=$B2102)*(((職員マスタ!$G$6:$G$405="")+(職員マスタ!$G$6:$G$405&lt;=EOMONTH($AO2102,0)))&gt;0)*(((職員マスタ!$H$6:$H$405="")+(職員マスタ!$H$6:$H$405&gt;=$AO2102))&gt;0)*(ROW(職員マスタ!$A$6:$A$405)-5)))&gt;0,SUMPRODUCT(MAX((職員マスタ!$A$6:$A$405=$B2102)*(((職員マスタ!$G$6:$G$405="")+(職員マスタ!$G$6:$G$405&lt;=EOMONTH($AO2102,0)))&gt;0)*(((職員マスタ!$H$6:$H$405="")+(職員マスタ!$H$6:$H$405&gt;=$AO2102))&gt;0)*(ROW(職員マスタ!$A$6:$A$405)-5))),IFERROR(MATCH($B2102,職員マスタ!$A$6:$A$405,0),"")))</f>
        <v/>
      </c>
      <c r="AO2102" s="16">
        <f>IF(OR($B2102="",$C2102="",$D2102=""),"",DATE($C2102+2018,$D2102,1))</f>
        <v/>
      </c>
    </row>
    <row r="2103">
      <c r="A2103" s="11" t="n"/>
      <c r="B2103" s="12" t="n"/>
      <c r="C2103" s="12" t="n"/>
      <c r="D2103" s="12" t="n"/>
      <c r="E2103" s="13" t="n"/>
      <c r="F2103" s="12" t="n"/>
      <c r="G2103" s="13" t="n"/>
      <c r="H2103" s="12" t="n"/>
      <c r="I2103" s="12" t="n"/>
      <c r="J2103" s="12" t="n"/>
      <c r="K2103" s="12" t="n"/>
      <c r="L2103" s="11" t="n"/>
      <c r="M2103" s="11" t="n"/>
      <c r="N2103" s="11" t="n"/>
      <c r="O2103" s="11" t="n"/>
      <c r="P2103" s="12" t="n"/>
      <c r="Q2103" s="11" t="n"/>
      <c r="R2103" s="12" t="n"/>
      <c r="S2103" s="11" t="n"/>
      <c r="T2103" s="12" t="n"/>
      <c r="U2103" s="12" t="n"/>
      <c r="V2103" s="14">
        <f>IF($AN2103="",IF($B2103="","",$H2103),IF(INDEX(職員マスタ!$B$6:$B$405,$AN2103)="",$H2103,INDEX(職員マスタ!$B$6:$B$405,$AN2103)))</f>
        <v/>
      </c>
      <c r="W2103" s="14">
        <f>IF($AN2103="",IF($B2103="","",$R2103),IF(INDEX(職員マスタ!$C$6:$C$405,$AN2103)="",$R2103,INDEX(職員マスタ!$C$6:$C$405,$AN2103)))</f>
        <v/>
      </c>
      <c r="X2103" s="14">
        <f>IF($AO2103="","","R"&amp;$C2103&amp;"."&amp;$D2103)</f>
        <v/>
      </c>
      <c r="Y2103" s="15">
        <f>IF($AN2103="","",IF(INDEX(職員マスタ!$K$6:$K$405,$AN2103)="","",INDEX(職員マスタ!$K$6:$K$405,$AN2103)))</f>
        <v/>
      </c>
      <c r="Z2103" s="14">
        <f>IF(OR($E2103="",$Y2103=""),"",IF($E2103&gt;=$Y2103,"×",IF($E2103&gt;=$Y2103*設定!$C$5,"△","○")))</f>
        <v/>
      </c>
      <c r="AA2103" s="15">
        <f>IF($Z2103="","",IF($Z2103="×",0,IF($Z2103="○",ROUNDDOWN($E2103*設定!$C$4,0),ROUNDDOWN($E2103*ROUND((9*$Y2103-9*$E2103)/(10*$E2103),4),0))))</f>
        <v/>
      </c>
      <c r="AB2103" s="13" t="n"/>
      <c r="AC2103" s="15">
        <f>IF($B2103="","",IF($AB2103&lt;&gt;"",$AB2103,IF($AA2103="","",IF($AA2103&lt;=設定!$C$3,0,$AA2103))))</f>
        <v/>
      </c>
      <c r="AD2103" s="14">
        <f>IF($B2103="","",IF(AND($AE2103&lt;&gt;"",$AG2103="",$AJ2103=""),"保留中",IF($AJ2103&lt;&gt;"",IF(N($AC2103)&gt;0,"支給済","不支給"),IF($AC2103="","要確認",IF($AC2103=0,"不支給","未処理")))))</f>
        <v/>
      </c>
      <c r="AE2103" s="12" t="n"/>
      <c r="AF2103" s="11" t="n"/>
      <c r="AG2103" s="11" t="n"/>
      <c r="AH2103" s="11" t="n"/>
      <c r="AI2103" s="14">
        <f>IF(AND($AD2103="保留中",$AF2103&lt;&gt;""),TODAY()-$AF2103,"")</f>
        <v/>
      </c>
      <c r="AJ2103" s="12" t="n"/>
      <c r="AK2103" s="14">
        <f>IF($B2103="","",IF($AO2103="","対象年月が未入力／","")&amp;IF($B2103="","",IF($AN2103="","職員マスタに未登録の職員番号／",IF($Y2103="","標準報酬月額が未登録／","")&amp;IF(AND($AO2103&lt;&gt;"",OR(AND(INDEX(職員マスタ!$G$6:$G$405,$AN2103)&lt;&gt;"",INDEX(職員マスタ!$G$6:$G$405,$AN2103)&gt;EOMONTH($AO2103,0)),AND(INDEX(職員マスタ!$H$6:$H$405,$AN2103)&lt;&gt;"",INDEX(職員マスタ!$H$6:$H$405,$AN2103)&lt;$AO2103))),"対象月が時短期間外／","")&amp;IF(AND(INDEX(職員マスタ!$F$6:$F$405,$AN2103)&lt;&gt;"",$AO2103&lt;&gt;"",INDEX(職員マスタ!$F$6:$F$405,$AN2103)&lt;$AO2103),"対象月に子が2歳到達済／","")&amp;IF(AND($H2103&lt;&gt;"",INDEX(職員マスタ!$B$6:$B$405,$AN2103)&lt;&gt;"",SUBSTITUTE(SUBSTITUTE($H2103," ","")," ","")&lt;&gt;SUBSTITUTE(SUBSTITUTE(INDEX(職員マスタ!$B$6:$B$405,$AN2103)," ","")," ","")),"氏名がマスタと相違／","")&amp;IF(AND($Q2103&lt;&gt;"",INDEX(職員マスタ!$E$6:$E$405,$AN2103)&lt;&gt;"",$Q2103&lt;&gt;INDEX(職員マスタ!$E$6:$E$405,$AN2103)),"子の生年月日がマスタと相違／","")&amp;IF(AND($L2103&lt;&gt;"",INDEX(職員マスタ!$G$6:$G$405,$AN2103)&lt;&gt;"",$L2103&lt;&gt;INDEX(職員マスタ!$G$6:$G$405,$AN2103)),"時短開始日がマスタと相違／","")&amp;IF(AND($M2103&lt;&gt;"",INDEX(職員マスタ!$H$6:$H$405,$AN2103)&lt;&gt;"",$M2103&lt;&gt;INDEX(職員マスタ!$H$6:$H$405,$AN2103)),"時短終了日がマスタと相違／","")))&amp;IF(AND($B2103&lt;&gt;"",$E2103=""),"報酬額が未入力／","")&amp;IF(N($U2103)&gt;0,"申請書に入力エラーが残っています／","")&amp;IF(AND($B2103&lt;&gt;"",$AO2103&lt;&gt;""),IF(COUNTIFS($B$6:$B$3005,$B2103,$C$6:$C$3005,$C2103,$D$6:$D$3005,$D2103)&gt;1,"同じ月の請求が重複しています／",""),"")&amp;IF(AND(N($E2103)&gt;0,$Z2103&lt;&gt;"",$Z2103&lt;&gt;"×",$AC2103=0,$AB2103=""),"計算額が下限以下のため不支給／",""))</f>
        <v/>
      </c>
      <c r="AL2103" s="12" t="n"/>
      <c r="AM2103" s="14">
        <f>IF($AD2103="保留中",COUNTIF($AD$6:$AD2103,"保留中"),"")</f>
        <v/>
      </c>
      <c r="AN2103" s="14">
        <f>IF($AO2103="","",IF(SUMPRODUCT(MAX((職員マスタ!$A$6:$A$405=$B2103)*(((職員マスタ!$G$6:$G$405="")+(職員マスタ!$G$6:$G$405&lt;=EOMONTH($AO2103,0)))&gt;0)*(((職員マスタ!$H$6:$H$405="")+(職員マスタ!$H$6:$H$405&gt;=$AO2103))&gt;0)*(ROW(職員マスタ!$A$6:$A$405)-5)))&gt;0,SUMPRODUCT(MAX((職員マスタ!$A$6:$A$405=$B2103)*(((職員マスタ!$G$6:$G$405="")+(職員マスタ!$G$6:$G$405&lt;=EOMONTH($AO2103,0)))&gt;0)*(((職員マスタ!$H$6:$H$405="")+(職員マスタ!$H$6:$H$405&gt;=$AO2103))&gt;0)*(ROW(職員マスタ!$A$6:$A$405)-5))),IFERROR(MATCH($B2103,職員マスタ!$A$6:$A$405,0),"")))</f>
        <v/>
      </c>
      <c r="AO2103" s="16">
        <f>IF(OR($B2103="",$C2103="",$D2103=""),"",DATE($C2103+2018,$D2103,1))</f>
        <v/>
      </c>
    </row>
    <row r="2104">
      <c r="A2104" s="11" t="n"/>
      <c r="B2104" s="12" t="n"/>
      <c r="C2104" s="12" t="n"/>
      <c r="D2104" s="12" t="n"/>
      <c r="E2104" s="13" t="n"/>
      <c r="F2104" s="12" t="n"/>
      <c r="G2104" s="13" t="n"/>
      <c r="H2104" s="12" t="n"/>
      <c r="I2104" s="12" t="n"/>
      <c r="J2104" s="12" t="n"/>
      <c r="K2104" s="12" t="n"/>
      <c r="L2104" s="11" t="n"/>
      <c r="M2104" s="11" t="n"/>
      <c r="N2104" s="11" t="n"/>
      <c r="O2104" s="11" t="n"/>
      <c r="P2104" s="12" t="n"/>
      <c r="Q2104" s="11" t="n"/>
      <c r="R2104" s="12" t="n"/>
      <c r="S2104" s="11" t="n"/>
      <c r="T2104" s="12" t="n"/>
      <c r="U2104" s="12" t="n"/>
      <c r="V2104" s="14">
        <f>IF($AN2104="",IF($B2104="","",$H2104),IF(INDEX(職員マスタ!$B$6:$B$405,$AN2104)="",$H2104,INDEX(職員マスタ!$B$6:$B$405,$AN2104)))</f>
        <v/>
      </c>
      <c r="W2104" s="14">
        <f>IF($AN2104="",IF($B2104="","",$R2104),IF(INDEX(職員マスタ!$C$6:$C$405,$AN2104)="",$R2104,INDEX(職員マスタ!$C$6:$C$405,$AN2104)))</f>
        <v/>
      </c>
      <c r="X2104" s="14">
        <f>IF($AO2104="","","R"&amp;$C2104&amp;"."&amp;$D2104)</f>
        <v/>
      </c>
      <c r="Y2104" s="15">
        <f>IF($AN2104="","",IF(INDEX(職員マスタ!$K$6:$K$405,$AN2104)="","",INDEX(職員マスタ!$K$6:$K$405,$AN2104)))</f>
        <v/>
      </c>
      <c r="Z2104" s="14">
        <f>IF(OR($E2104="",$Y2104=""),"",IF($E2104&gt;=$Y2104,"×",IF($E2104&gt;=$Y2104*設定!$C$5,"△","○")))</f>
        <v/>
      </c>
      <c r="AA2104" s="15">
        <f>IF($Z2104="","",IF($Z2104="×",0,IF($Z2104="○",ROUNDDOWN($E2104*設定!$C$4,0),ROUNDDOWN($E2104*ROUND((9*$Y2104-9*$E2104)/(10*$E2104),4),0))))</f>
        <v/>
      </c>
      <c r="AB2104" s="13" t="n"/>
      <c r="AC2104" s="15">
        <f>IF($B2104="","",IF($AB2104&lt;&gt;"",$AB2104,IF($AA2104="","",IF($AA2104&lt;=設定!$C$3,0,$AA2104))))</f>
        <v/>
      </c>
      <c r="AD2104" s="14">
        <f>IF($B2104="","",IF(AND($AE2104&lt;&gt;"",$AG2104="",$AJ2104=""),"保留中",IF($AJ2104&lt;&gt;"",IF(N($AC2104)&gt;0,"支給済","不支給"),IF($AC2104="","要確認",IF($AC2104=0,"不支給","未処理")))))</f>
        <v/>
      </c>
      <c r="AE2104" s="12" t="n"/>
      <c r="AF2104" s="11" t="n"/>
      <c r="AG2104" s="11" t="n"/>
      <c r="AH2104" s="11" t="n"/>
      <c r="AI2104" s="14">
        <f>IF(AND($AD2104="保留中",$AF2104&lt;&gt;""),TODAY()-$AF2104,"")</f>
        <v/>
      </c>
      <c r="AJ2104" s="12" t="n"/>
      <c r="AK2104" s="14">
        <f>IF($B2104="","",IF($AO2104="","対象年月が未入力／","")&amp;IF($B2104="","",IF($AN2104="","職員マスタに未登録の職員番号／",IF($Y2104="","標準報酬月額が未登録／","")&amp;IF(AND($AO2104&lt;&gt;"",OR(AND(INDEX(職員マスタ!$G$6:$G$405,$AN2104)&lt;&gt;"",INDEX(職員マスタ!$G$6:$G$405,$AN2104)&gt;EOMONTH($AO2104,0)),AND(INDEX(職員マスタ!$H$6:$H$405,$AN2104)&lt;&gt;"",INDEX(職員マスタ!$H$6:$H$405,$AN2104)&lt;$AO2104))),"対象月が時短期間外／","")&amp;IF(AND(INDEX(職員マスタ!$F$6:$F$405,$AN2104)&lt;&gt;"",$AO2104&lt;&gt;"",INDEX(職員マスタ!$F$6:$F$405,$AN2104)&lt;$AO2104),"対象月に子が2歳到達済／","")&amp;IF(AND($H2104&lt;&gt;"",INDEX(職員マスタ!$B$6:$B$405,$AN2104)&lt;&gt;"",SUBSTITUTE(SUBSTITUTE($H2104," ","")," ","")&lt;&gt;SUBSTITUTE(SUBSTITUTE(INDEX(職員マスタ!$B$6:$B$405,$AN2104)," ","")," ","")),"氏名がマスタと相違／","")&amp;IF(AND($Q2104&lt;&gt;"",INDEX(職員マスタ!$E$6:$E$405,$AN2104)&lt;&gt;"",$Q2104&lt;&gt;INDEX(職員マスタ!$E$6:$E$405,$AN2104)),"子の生年月日がマスタと相違／","")&amp;IF(AND($L2104&lt;&gt;"",INDEX(職員マスタ!$G$6:$G$405,$AN2104)&lt;&gt;"",$L2104&lt;&gt;INDEX(職員マスタ!$G$6:$G$405,$AN2104)),"時短開始日がマスタと相違／","")&amp;IF(AND($M2104&lt;&gt;"",INDEX(職員マスタ!$H$6:$H$405,$AN2104)&lt;&gt;"",$M2104&lt;&gt;INDEX(職員マスタ!$H$6:$H$405,$AN2104)),"時短終了日がマスタと相違／","")))&amp;IF(AND($B2104&lt;&gt;"",$E2104=""),"報酬額が未入力／","")&amp;IF(N($U2104)&gt;0,"申請書に入力エラーが残っています／","")&amp;IF(AND($B2104&lt;&gt;"",$AO2104&lt;&gt;""),IF(COUNTIFS($B$6:$B$3005,$B2104,$C$6:$C$3005,$C2104,$D$6:$D$3005,$D2104)&gt;1,"同じ月の請求が重複しています／",""),"")&amp;IF(AND(N($E2104)&gt;0,$Z2104&lt;&gt;"",$Z2104&lt;&gt;"×",$AC2104=0,$AB2104=""),"計算額が下限以下のため不支給／",""))</f>
        <v/>
      </c>
      <c r="AL2104" s="12" t="n"/>
      <c r="AM2104" s="14">
        <f>IF($AD2104="保留中",COUNTIF($AD$6:$AD2104,"保留中"),"")</f>
        <v/>
      </c>
      <c r="AN2104" s="14">
        <f>IF($AO2104="","",IF(SUMPRODUCT(MAX((職員マスタ!$A$6:$A$405=$B2104)*(((職員マスタ!$G$6:$G$405="")+(職員マスタ!$G$6:$G$405&lt;=EOMONTH($AO2104,0)))&gt;0)*(((職員マスタ!$H$6:$H$405="")+(職員マスタ!$H$6:$H$405&gt;=$AO2104))&gt;0)*(ROW(職員マスタ!$A$6:$A$405)-5)))&gt;0,SUMPRODUCT(MAX((職員マスタ!$A$6:$A$405=$B2104)*(((職員マスタ!$G$6:$G$405="")+(職員マスタ!$G$6:$G$405&lt;=EOMONTH($AO2104,0)))&gt;0)*(((職員マスタ!$H$6:$H$405="")+(職員マスタ!$H$6:$H$405&gt;=$AO2104))&gt;0)*(ROW(職員マスタ!$A$6:$A$405)-5))),IFERROR(MATCH($B2104,職員マスタ!$A$6:$A$405,0),"")))</f>
        <v/>
      </c>
      <c r="AO2104" s="16">
        <f>IF(OR($B2104="",$C2104="",$D2104=""),"",DATE($C2104+2018,$D2104,1))</f>
        <v/>
      </c>
    </row>
    <row r="2105">
      <c r="A2105" s="11" t="n"/>
      <c r="B2105" s="12" t="n"/>
      <c r="C2105" s="12" t="n"/>
      <c r="D2105" s="12" t="n"/>
      <c r="E2105" s="13" t="n"/>
      <c r="F2105" s="12" t="n"/>
      <c r="G2105" s="13" t="n"/>
      <c r="H2105" s="12" t="n"/>
      <c r="I2105" s="12" t="n"/>
      <c r="J2105" s="12" t="n"/>
      <c r="K2105" s="12" t="n"/>
      <c r="L2105" s="11" t="n"/>
      <c r="M2105" s="11" t="n"/>
      <c r="N2105" s="11" t="n"/>
      <c r="O2105" s="11" t="n"/>
      <c r="P2105" s="12" t="n"/>
      <c r="Q2105" s="11" t="n"/>
      <c r="R2105" s="12" t="n"/>
      <c r="S2105" s="11" t="n"/>
      <c r="T2105" s="12" t="n"/>
      <c r="U2105" s="12" t="n"/>
      <c r="V2105" s="14">
        <f>IF($AN2105="",IF($B2105="","",$H2105),IF(INDEX(職員マスタ!$B$6:$B$405,$AN2105)="",$H2105,INDEX(職員マスタ!$B$6:$B$405,$AN2105)))</f>
        <v/>
      </c>
      <c r="W2105" s="14">
        <f>IF($AN2105="",IF($B2105="","",$R2105),IF(INDEX(職員マスタ!$C$6:$C$405,$AN2105)="",$R2105,INDEX(職員マスタ!$C$6:$C$405,$AN2105)))</f>
        <v/>
      </c>
      <c r="X2105" s="14">
        <f>IF($AO2105="","","R"&amp;$C2105&amp;"."&amp;$D2105)</f>
        <v/>
      </c>
      <c r="Y2105" s="15">
        <f>IF($AN2105="","",IF(INDEX(職員マスタ!$K$6:$K$405,$AN2105)="","",INDEX(職員マスタ!$K$6:$K$405,$AN2105)))</f>
        <v/>
      </c>
      <c r="Z2105" s="14">
        <f>IF(OR($E2105="",$Y2105=""),"",IF($E2105&gt;=$Y2105,"×",IF($E2105&gt;=$Y2105*設定!$C$5,"△","○")))</f>
        <v/>
      </c>
      <c r="AA2105" s="15">
        <f>IF($Z2105="","",IF($Z2105="×",0,IF($Z2105="○",ROUNDDOWN($E2105*設定!$C$4,0),ROUNDDOWN($E2105*ROUND((9*$Y2105-9*$E2105)/(10*$E2105),4),0))))</f>
        <v/>
      </c>
      <c r="AB2105" s="13" t="n"/>
      <c r="AC2105" s="15">
        <f>IF($B2105="","",IF($AB2105&lt;&gt;"",$AB2105,IF($AA2105="","",IF($AA2105&lt;=設定!$C$3,0,$AA2105))))</f>
        <v/>
      </c>
      <c r="AD2105" s="14">
        <f>IF($B2105="","",IF(AND($AE2105&lt;&gt;"",$AG2105="",$AJ2105=""),"保留中",IF($AJ2105&lt;&gt;"",IF(N($AC2105)&gt;0,"支給済","不支給"),IF($AC2105="","要確認",IF($AC2105=0,"不支給","未処理")))))</f>
        <v/>
      </c>
      <c r="AE2105" s="12" t="n"/>
      <c r="AF2105" s="11" t="n"/>
      <c r="AG2105" s="11" t="n"/>
      <c r="AH2105" s="11" t="n"/>
      <c r="AI2105" s="14">
        <f>IF(AND($AD2105="保留中",$AF2105&lt;&gt;""),TODAY()-$AF2105,"")</f>
        <v/>
      </c>
      <c r="AJ2105" s="12" t="n"/>
      <c r="AK2105" s="14">
        <f>IF($B2105="","",IF($AO2105="","対象年月が未入力／","")&amp;IF($B2105="","",IF($AN2105="","職員マスタに未登録の職員番号／",IF($Y2105="","標準報酬月額が未登録／","")&amp;IF(AND($AO2105&lt;&gt;"",OR(AND(INDEX(職員マスタ!$G$6:$G$405,$AN2105)&lt;&gt;"",INDEX(職員マスタ!$G$6:$G$405,$AN2105)&gt;EOMONTH($AO2105,0)),AND(INDEX(職員マスタ!$H$6:$H$405,$AN2105)&lt;&gt;"",INDEX(職員マスタ!$H$6:$H$405,$AN2105)&lt;$AO2105))),"対象月が時短期間外／","")&amp;IF(AND(INDEX(職員マスタ!$F$6:$F$405,$AN2105)&lt;&gt;"",$AO2105&lt;&gt;"",INDEX(職員マスタ!$F$6:$F$405,$AN2105)&lt;$AO2105),"対象月に子が2歳到達済／","")&amp;IF(AND($H2105&lt;&gt;"",INDEX(職員マスタ!$B$6:$B$405,$AN2105)&lt;&gt;"",SUBSTITUTE(SUBSTITUTE($H2105," ","")," ","")&lt;&gt;SUBSTITUTE(SUBSTITUTE(INDEX(職員マスタ!$B$6:$B$405,$AN2105)," ","")," ","")),"氏名がマスタと相違／","")&amp;IF(AND($Q2105&lt;&gt;"",INDEX(職員マスタ!$E$6:$E$405,$AN2105)&lt;&gt;"",$Q2105&lt;&gt;INDEX(職員マスタ!$E$6:$E$405,$AN2105)),"子の生年月日がマスタと相違／","")&amp;IF(AND($L2105&lt;&gt;"",INDEX(職員マスタ!$G$6:$G$405,$AN2105)&lt;&gt;"",$L2105&lt;&gt;INDEX(職員マスタ!$G$6:$G$405,$AN2105)),"時短開始日がマスタと相違／","")&amp;IF(AND($M2105&lt;&gt;"",INDEX(職員マスタ!$H$6:$H$405,$AN2105)&lt;&gt;"",$M2105&lt;&gt;INDEX(職員マスタ!$H$6:$H$405,$AN2105)),"時短終了日がマスタと相違／","")))&amp;IF(AND($B2105&lt;&gt;"",$E2105=""),"報酬額が未入力／","")&amp;IF(N($U2105)&gt;0,"申請書に入力エラーが残っています／","")&amp;IF(AND($B2105&lt;&gt;"",$AO2105&lt;&gt;""),IF(COUNTIFS($B$6:$B$3005,$B2105,$C$6:$C$3005,$C2105,$D$6:$D$3005,$D2105)&gt;1,"同じ月の請求が重複しています／",""),"")&amp;IF(AND(N($E2105)&gt;0,$Z2105&lt;&gt;"",$Z2105&lt;&gt;"×",$AC2105=0,$AB2105=""),"計算額が下限以下のため不支給／",""))</f>
        <v/>
      </c>
      <c r="AL2105" s="12" t="n"/>
      <c r="AM2105" s="14">
        <f>IF($AD2105="保留中",COUNTIF($AD$6:$AD2105,"保留中"),"")</f>
        <v/>
      </c>
      <c r="AN2105" s="14">
        <f>IF($AO2105="","",IF(SUMPRODUCT(MAX((職員マスタ!$A$6:$A$405=$B2105)*(((職員マスタ!$G$6:$G$405="")+(職員マスタ!$G$6:$G$405&lt;=EOMONTH($AO2105,0)))&gt;0)*(((職員マスタ!$H$6:$H$405="")+(職員マスタ!$H$6:$H$405&gt;=$AO2105))&gt;0)*(ROW(職員マスタ!$A$6:$A$405)-5)))&gt;0,SUMPRODUCT(MAX((職員マスタ!$A$6:$A$405=$B2105)*(((職員マスタ!$G$6:$G$405="")+(職員マスタ!$G$6:$G$405&lt;=EOMONTH($AO2105,0)))&gt;0)*(((職員マスタ!$H$6:$H$405="")+(職員マスタ!$H$6:$H$405&gt;=$AO2105))&gt;0)*(ROW(職員マスタ!$A$6:$A$405)-5))),IFERROR(MATCH($B2105,職員マスタ!$A$6:$A$405,0),"")))</f>
        <v/>
      </c>
      <c r="AO2105" s="16">
        <f>IF(OR($B2105="",$C2105="",$D2105=""),"",DATE($C2105+2018,$D2105,1))</f>
        <v/>
      </c>
    </row>
    <row r="2106">
      <c r="A2106" s="11" t="n"/>
      <c r="B2106" s="12" t="n"/>
      <c r="C2106" s="12" t="n"/>
      <c r="D2106" s="12" t="n"/>
      <c r="E2106" s="13" t="n"/>
      <c r="F2106" s="12" t="n"/>
      <c r="G2106" s="13" t="n"/>
      <c r="H2106" s="12" t="n"/>
      <c r="I2106" s="12" t="n"/>
      <c r="J2106" s="12" t="n"/>
      <c r="K2106" s="12" t="n"/>
      <c r="L2106" s="11" t="n"/>
      <c r="M2106" s="11" t="n"/>
      <c r="N2106" s="11" t="n"/>
      <c r="O2106" s="11" t="n"/>
      <c r="P2106" s="12" t="n"/>
      <c r="Q2106" s="11" t="n"/>
      <c r="R2106" s="12" t="n"/>
      <c r="S2106" s="11" t="n"/>
      <c r="T2106" s="12" t="n"/>
      <c r="U2106" s="12" t="n"/>
      <c r="V2106" s="14">
        <f>IF($AN2106="",IF($B2106="","",$H2106),IF(INDEX(職員マスタ!$B$6:$B$405,$AN2106)="",$H2106,INDEX(職員マスタ!$B$6:$B$405,$AN2106)))</f>
        <v/>
      </c>
      <c r="W2106" s="14">
        <f>IF($AN2106="",IF($B2106="","",$R2106),IF(INDEX(職員マスタ!$C$6:$C$405,$AN2106)="",$R2106,INDEX(職員マスタ!$C$6:$C$405,$AN2106)))</f>
        <v/>
      </c>
      <c r="X2106" s="14">
        <f>IF($AO2106="","","R"&amp;$C2106&amp;"."&amp;$D2106)</f>
        <v/>
      </c>
      <c r="Y2106" s="15">
        <f>IF($AN2106="","",IF(INDEX(職員マスタ!$K$6:$K$405,$AN2106)="","",INDEX(職員マスタ!$K$6:$K$405,$AN2106)))</f>
        <v/>
      </c>
      <c r="Z2106" s="14">
        <f>IF(OR($E2106="",$Y2106=""),"",IF($E2106&gt;=$Y2106,"×",IF($E2106&gt;=$Y2106*設定!$C$5,"△","○")))</f>
        <v/>
      </c>
      <c r="AA2106" s="15">
        <f>IF($Z2106="","",IF($Z2106="×",0,IF($Z2106="○",ROUNDDOWN($E2106*設定!$C$4,0),ROUNDDOWN($E2106*ROUND((9*$Y2106-9*$E2106)/(10*$E2106),4),0))))</f>
        <v/>
      </c>
      <c r="AB2106" s="13" t="n"/>
      <c r="AC2106" s="15">
        <f>IF($B2106="","",IF($AB2106&lt;&gt;"",$AB2106,IF($AA2106="","",IF($AA2106&lt;=設定!$C$3,0,$AA2106))))</f>
        <v/>
      </c>
      <c r="AD2106" s="14">
        <f>IF($B2106="","",IF(AND($AE2106&lt;&gt;"",$AG2106="",$AJ2106=""),"保留中",IF($AJ2106&lt;&gt;"",IF(N($AC2106)&gt;0,"支給済","不支給"),IF($AC2106="","要確認",IF($AC2106=0,"不支給","未処理")))))</f>
        <v/>
      </c>
      <c r="AE2106" s="12" t="n"/>
      <c r="AF2106" s="11" t="n"/>
      <c r="AG2106" s="11" t="n"/>
      <c r="AH2106" s="11" t="n"/>
      <c r="AI2106" s="14">
        <f>IF(AND($AD2106="保留中",$AF2106&lt;&gt;""),TODAY()-$AF2106,"")</f>
        <v/>
      </c>
      <c r="AJ2106" s="12" t="n"/>
      <c r="AK2106" s="14">
        <f>IF($B2106="","",IF($AO2106="","対象年月が未入力／","")&amp;IF($B2106="","",IF($AN2106="","職員マスタに未登録の職員番号／",IF($Y2106="","標準報酬月額が未登録／","")&amp;IF(AND($AO2106&lt;&gt;"",OR(AND(INDEX(職員マスタ!$G$6:$G$405,$AN2106)&lt;&gt;"",INDEX(職員マスタ!$G$6:$G$405,$AN2106)&gt;EOMONTH($AO2106,0)),AND(INDEX(職員マスタ!$H$6:$H$405,$AN2106)&lt;&gt;"",INDEX(職員マスタ!$H$6:$H$405,$AN2106)&lt;$AO2106))),"対象月が時短期間外／","")&amp;IF(AND(INDEX(職員マスタ!$F$6:$F$405,$AN2106)&lt;&gt;"",$AO2106&lt;&gt;"",INDEX(職員マスタ!$F$6:$F$405,$AN2106)&lt;$AO2106),"対象月に子が2歳到達済／","")&amp;IF(AND($H2106&lt;&gt;"",INDEX(職員マスタ!$B$6:$B$405,$AN2106)&lt;&gt;"",SUBSTITUTE(SUBSTITUTE($H2106," ","")," ","")&lt;&gt;SUBSTITUTE(SUBSTITUTE(INDEX(職員マスタ!$B$6:$B$405,$AN2106)," ","")," ","")),"氏名がマスタと相違／","")&amp;IF(AND($Q2106&lt;&gt;"",INDEX(職員マスタ!$E$6:$E$405,$AN2106)&lt;&gt;"",$Q2106&lt;&gt;INDEX(職員マスタ!$E$6:$E$405,$AN2106)),"子の生年月日がマスタと相違／","")&amp;IF(AND($L2106&lt;&gt;"",INDEX(職員マスタ!$G$6:$G$405,$AN2106)&lt;&gt;"",$L2106&lt;&gt;INDEX(職員マスタ!$G$6:$G$405,$AN2106)),"時短開始日がマスタと相違／","")&amp;IF(AND($M2106&lt;&gt;"",INDEX(職員マスタ!$H$6:$H$405,$AN2106)&lt;&gt;"",$M2106&lt;&gt;INDEX(職員マスタ!$H$6:$H$405,$AN2106)),"時短終了日がマスタと相違／","")))&amp;IF(AND($B2106&lt;&gt;"",$E2106=""),"報酬額が未入力／","")&amp;IF(N($U2106)&gt;0,"申請書に入力エラーが残っています／","")&amp;IF(AND($B2106&lt;&gt;"",$AO2106&lt;&gt;""),IF(COUNTIFS($B$6:$B$3005,$B2106,$C$6:$C$3005,$C2106,$D$6:$D$3005,$D2106)&gt;1,"同じ月の請求が重複しています／",""),"")&amp;IF(AND(N($E2106)&gt;0,$Z2106&lt;&gt;"",$Z2106&lt;&gt;"×",$AC2106=0,$AB2106=""),"計算額が下限以下のため不支給／",""))</f>
        <v/>
      </c>
      <c r="AL2106" s="12" t="n"/>
      <c r="AM2106" s="14">
        <f>IF($AD2106="保留中",COUNTIF($AD$6:$AD2106,"保留中"),"")</f>
        <v/>
      </c>
      <c r="AN2106" s="14">
        <f>IF($AO2106="","",IF(SUMPRODUCT(MAX((職員マスタ!$A$6:$A$405=$B2106)*(((職員マスタ!$G$6:$G$405="")+(職員マスタ!$G$6:$G$405&lt;=EOMONTH($AO2106,0)))&gt;0)*(((職員マスタ!$H$6:$H$405="")+(職員マスタ!$H$6:$H$405&gt;=$AO2106))&gt;0)*(ROW(職員マスタ!$A$6:$A$405)-5)))&gt;0,SUMPRODUCT(MAX((職員マスタ!$A$6:$A$405=$B2106)*(((職員マスタ!$G$6:$G$405="")+(職員マスタ!$G$6:$G$405&lt;=EOMONTH($AO2106,0)))&gt;0)*(((職員マスタ!$H$6:$H$405="")+(職員マスタ!$H$6:$H$405&gt;=$AO2106))&gt;0)*(ROW(職員マスタ!$A$6:$A$405)-5))),IFERROR(MATCH($B2106,職員マスタ!$A$6:$A$405,0),"")))</f>
        <v/>
      </c>
      <c r="AO2106" s="16">
        <f>IF(OR($B2106="",$C2106="",$D2106=""),"",DATE($C2106+2018,$D2106,1))</f>
        <v/>
      </c>
    </row>
    <row r="2107">
      <c r="A2107" s="11" t="n"/>
      <c r="B2107" s="12" t="n"/>
      <c r="C2107" s="12" t="n"/>
      <c r="D2107" s="12" t="n"/>
      <c r="E2107" s="13" t="n"/>
      <c r="F2107" s="12" t="n"/>
      <c r="G2107" s="13" t="n"/>
      <c r="H2107" s="12" t="n"/>
      <c r="I2107" s="12" t="n"/>
      <c r="J2107" s="12" t="n"/>
      <c r="K2107" s="12" t="n"/>
      <c r="L2107" s="11" t="n"/>
      <c r="M2107" s="11" t="n"/>
      <c r="N2107" s="11" t="n"/>
      <c r="O2107" s="11" t="n"/>
      <c r="P2107" s="12" t="n"/>
      <c r="Q2107" s="11" t="n"/>
      <c r="R2107" s="12" t="n"/>
      <c r="S2107" s="11" t="n"/>
      <c r="T2107" s="12" t="n"/>
      <c r="U2107" s="12" t="n"/>
      <c r="V2107" s="14">
        <f>IF($AN2107="",IF($B2107="","",$H2107),IF(INDEX(職員マスタ!$B$6:$B$405,$AN2107)="",$H2107,INDEX(職員マスタ!$B$6:$B$405,$AN2107)))</f>
        <v/>
      </c>
      <c r="W2107" s="14">
        <f>IF($AN2107="",IF($B2107="","",$R2107),IF(INDEX(職員マスタ!$C$6:$C$405,$AN2107)="",$R2107,INDEX(職員マスタ!$C$6:$C$405,$AN2107)))</f>
        <v/>
      </c>
      <c r="X2107" s="14">
        <f>IF($AO2107="","","R"&amp;$C2107&amp;"."&amp;$D2107)</f>
        <v/>
      </c>
      <c r="Y2107" s="15">
        <f>IF($AN2107="","",IF(INDEX(職員マスタ!$K$6:$K$405,$AN2107)="","",INDEX(職員マスタ!$K$6:$K$405,$AN2107)))</f>
        <v/>
      </c>
      <c r="Z2107" s="14">
        <f>IF(OR($E2107="",$Y2107=""),"",IF($E2107&gt;=$Y2107,"×",IF($E2107&gt;=$Y2107*設定!$C$5,"△","○")))</f>
        <v/>
      </c>
      <c r="AA2107" s="15">
        <f>IF($Z2107="","",IF($Z2107="×",0,IF($Z2107="○",ROUNDDOWN($E2107*設定!$C$4,0),ROUNDDOWN($E2107*ROUND((9*$Y2107-9*$E2107)/(10*$E2107),4),0))))</f>
        <v/>
      </c>
      <c r="AB2107" s="13" t="n"/>
      <c r="AC2107" s="15">
        <f>IF($B2107="","",IF($AB2107&lt;&gt;"",$AB2107,IF($AA2107="","",IF($AA2107&lt;=設定!$C$3,0,$AA2107))))</f>
        <v/>
      </c>
      <c r="AD2107" s="14">
        <f>IF($B2107="","",IF(AND($AE2107&lt;&gt;"",$AG2107="",$AJ2107=""),"保留中",IF($AJ2107&lt;&gt;"",IF(N($AC2107)&gt;0,"支給済","不支給"),IF($AC2107="","要確認",IF($AC2107=0,"不支給","未処理")))))</f>
        <v/>
      </c>
      <c r="AE2107" s="12" t="n"/>
      <c r="AF2107" s="11" t="n"/>
      <c r="AG2107" s="11" t="n"/>
      <c r="AH2107" s="11" t="n"/>
      <c r="AI2107" s="14">
        <f>IF(AND($AD2107="保留中",$AF2107&lt;&gt;""),TODAY()-$AF2107,"")</f>
        <v/>
      </c>
      <c r="AJ2107" s="12" t="n"/>
      <c r="AK2107" s="14">
        <f>IF($B2107="","",IF($AO2107="","対象年月が未入力／","")&amp;IF($B2107="","",IF($AN2107="","職員マスタに未登録の職員番号／",IF($Y2107="","標準報酬月額が未登録／","")&amp;IF(AND($AO2107&lt;&gt;"",OR(AND(INDEX(職員マスタ!$G$6:$G$405,$AN2107)&lt;&gt;"",INDEX(職員マスタ!$G$6:$G$405,$AN2107)&gt;EOMONTH($AO2107,0)),AND(INDEX(職員マスタ!$H$6:$H$405,$AN2107)&lt;&gt;"",INDEX(職員マスタ!$H$6:$H$405,$AN2107)&lt;$AO2107))),"対象月が時短期間外／","")&amp;IF(AND(INDEX(職員マスタ!$F$6:$F$405,$AN2107)&lt;&gt;"",$AO2107&lt;&gt;"",INDEX(職員マスタ!$F$6:$F$405,$AN2107)&lt;$AO2107),"対象月に子が2歳到達済／","")&amp;IF(AND($H2107&lt;&gt;"",INDEX(職員マスタ!$B$6:$B$405,$AN2107)&lt;&gt;"",SUBSTITUTE(SUBSTITUTE($H2107," ","")," ","")&lt;&gt;SUBSTITUTE(SUBSTITUTE(INDEX(職員マスタ!$B$6:$B$405,$AN2107)," ","")," ","")),"氏名がマスタと相違／","")&amp;IF(AND($Q2107&lt;&gt;"",INDEX(職員マスタ!$E$6:$E$405,$AN2107)&lt;&gt;"",$Q2107&lt;&gt;INDEX(職員マスタ!$E$6:$E$405,$AN2107)),"子の生年月日がマスタと相違／","")&amp;IF(AND($L2107&lt;&gt;"",INDEX(職員マスタ!$G$6:$G$405,$AN2107)&lt;&gt;"",$L2107&lt;&gt;INDEX(職員マスタ!$G$6:$G$405,$AN2107)),"時短開始日がマスタと相違／","")&amp;IF(AND($M2107&lt;&gt;"",INDEX(職員マスタ!$H$6:$H$405,$AN2107)&lt;&gt;"",$M2107&lt;&gt;INDEX(職員マスタ!$H$6:$H$405,$AN2107)),"時短終了日がマスタと相違／","")))&amp;IF(AND($B2107&lt;&gt;"",$E2107=""),"報酬額が未入力／","")&amp;IF(N($U2107)&gt;0,"申請書に入力エラーが残っています／","")&amp;IF(AND($B2107&lt;&gt;"",$AO2107&lt;&gt;""),IF(COUNTIFS($B$6:$B$3005,$B2107,$C$6:$C$3005,$C2107,$D$6:$D$3005,$D2107)&gt;1,"同じ月の請求が重複しています／",""),"")&amp;IF(AND(N($E2107)&gt;0,$Z2107&lt;&gt;"",$Z2107&lt;&gt;"×",$AC2107=0,$AB2107=""),"計算額が下限以下のため不支給／",""))</f>
        <v/>
      </c>
      <c r="AL2107" s="12" t="n"/>
      <c r="AM2107" s="14">
        <f>IF($AD2107="保留中",COUNTIF($AD$6:$AD2107,"保留中"),"")</f>
        <v/>
      </c>
      <c r="AN2107" s="14">
        <f>IF($AO2107="","",IF(SUMPRODUCT(MAX((職員マスタ!$A$6:$A$405=$B2107)*(((職員マスタ!$G$6:$G$405="")+(職員マスタ!$G$6:$G$405&lt;=EOMONTH($AO2107,0)))&gt;0)*(((職員マスタ!$H$6:$H$405="")+(職員マスタ!$H$6:$H$405&gt;=$AO2107))&gt;0)*(ROW(職員マスタ!$A$6:$A$405)-5)))&gt;0,SUMPRODUCT(MAX((職員マスタ!$A$6:$A$405=$B2107)*(((職員マスタ!$G$6:$G$405="")+(職員マスタ!$G$6:$G$405&lt;=EOMONTH($AO2107,0)))&gt;0)*(((職員マスタ!$H$6:$H$405="")+(職員マスタ!$H$6:$H$405&gt;=$AO2107))&gt;0)*(ROW(職員マスタ!$A$6:$A$405)-5))),IFERROR(MATCH($B2107,職員マスタ!$A$6:$A$405,0),"")))</f>
        <v/>
      </c>
      <c r="AO2107" s="16">
        <f>IF(OR($B2107="",$C2107="",$D2107=""),"",DATE($C2107+2018,$D2107,1))</f>
        <v/>
      </c>
    </row>
    <row r="2108">
      <c r="A2108" s="11" t="n"/>
      <c r="B2108" s="12" t="n"/>
      <c r="C2108" s="12" t="n"/>
      <c r="D2108" s="12" t="n"/>
      <c r="E2108" s="13" t="n"/>
      <c r="F2108" s="12" t="n"/>
      <c r="G2108" s="13" t="n"/>
      <c r="H2108" s="12" t="n"/>
      <c r="I2108" s="12" t="n"/>
      <c r="J2108" s="12" t="n"/>
      <c r="K2108" s="12" t="n"/>
      <c r="L2108" s="11" t="n"/>
      <c r="M2108" s="11" t="n"/>
      <c r="N2108" s="11" t="n"/>
      <c r="O2108" s="11" t="n"/>
      <c r="P2108" s="12" t="n"/>
      <c r="Q2108" s="11" t="n"/>
      <c r="R2108" s="12" t="n"/>
      <c r="S2108" s="11" t="n"/>
      <c r="T2108" s="12" t="n"/>
      <c r="U2108" s="12" t="n"/>
      <c r="V2108" s="14">
        <f>IF($AN2108="",IF($B2108="","",$H2108),IF(INDEX(職員マスタ!$B$6:$B$405,$AN2108)="",$H2108,INDEX(職員マスタ!$B$6:$B$405,$AN2108)))</f>
        <v/>
      </c>
      <c r="W2108" s="14">
        <f>IF($AN2108="",IF($B2108="","",$R2108),IF(INDEX(職員マスタ!$C$6:$C$405,$AN2108)="",$R2108,INDEX(職員マスタ!$C$6:$C$405,$AN2108)))</f>
        <v/>
      </c>
      <c r="X2108" s="14">
        <f>IF($AO2108="","","R"&amp;$C2108&amp;"."&amp;$D2108)</f>
        <v/>
      </c>
      <c r="Y2108" s="15">
        <f>IF($AN2108="","",IF(INDEX(職員マスタ!$K$6:$K$405,$AN2108)="","",INDEX(職員マスタ!$K$6:$K$405,$AN2108)))</f>
        <v/>
      </c>
      <c r="Z2108" s="14">
        <f>IF(OR($E2108="",$Y2108=""),"",IF($E2108&gt;=$Y2108,"×",IF($E2108&gt;=$Y2108*設定!$C$5,"△","○")))</f>
        <v/>
      </c>
      <c r="AA2108" s="15">
        <f>IF($Z2108="","",IF($Z2108="×",0,IF($Z2108="○",ROUNDDOWN($E2108*設定!$C$4,0),ROUNDDOWN($E2108*ROUND((9*$Y2108-9*$E2108)/(10*$E2108),4),0))))</f>
        <v/>
      </c>
      <c r="AB2108" s="13" t="n"/>
      <c r="AC2108" s="15">
        <f>IF($B2108="","",IF($AB2108&lt;&gt;"",$AB2108,IF($AA2108="","",IF($AA2108&lt;=設定!$C$3,0,$AA2108))))</f>
        <v/>
      </c>
      <c r="AD2108" s="14">
        <f>IF($B2108="","",IF(AND($AE2108&lt;&gt;"",$AG2108="",$AJ2108=""),"保留中",IF($AJ2108&lt;&gt;"",IF(N($AC2108)&gt;0,"支給済","不支給"),IF($AC2108="","要確認",IF($AC2108=0,"不支給","未処理")))))</f>
        <v/>
      </c>
      <c r="AE2108" s="12" t="n"/>
      <c r="AF2108" s="11" t="n"/>
      <c r="AG2108" s="11" t="n"/>
      <c r="AH2108" s="11" t="n"/>
      <c r="AI2108" s="14">
        <f>IF(AND($AD2108="保留中",$AF2108&lt;&gt;""),TODAY()-$AF2108,"")</f>
        <v/>
      </c>
      <c r="AJ2108" s="12" t="n"/>
      <c r="AK2108" s="14">
        <f>IF($B2108="","",IF($AO2108="","対象年月が未入力／","")&amp;IF($B2108="","",IF($AN2108="","職員マスタに未登録の職員番号／",IF($Y2108="","標準報酬月額が未登録／","")&amp;IF(AND($AO2108&lt;&gt;"",OR(AND(INDEX(職員マスタ!$G$6:$G$405,$AN2108)&lt;&gt;"",INDEX(職員マスタ!$G$6:$G$405,$AN2108)&gt;EOMONTH($AO2108,0)),AND(INDEX(職員マスタ!$H$6:$H$405,$AN2108)&lt;&gt;"",INDEX(職員マスタ!$H$6:$H$405,$AN2108)&lt;$AO2108))),"対象月が時短期間外／","")&amp;IF(AND(INDEX(職員マスタ!$F$6:$F$405,$AN2108)&lt;&gt;"",$AO2108&lt;&gt;"",INDEX(職員マスタ!$F$6:$F$405,$AN2108)&lt;$AO2108),"対象月に子が2歳到達済／","")&amp;IF(AND($H2108&lt;&gt;"",INDEX(職員マスタ!$B$6:$B$405,$AN2108)&lt;&gt;"",SUBSTITUTE(SUBSTITUTE($H2108," ","")," ","")&lt;&gt;SUBSTITUTE(SUBSTITUTE(INDEX(職員マスタ!$B$6:$B$405,$AN2108)," ","")," ","")),"氏名がマスタと相違／","")&amp;IF(AND($Q2108&lt;&gt;"",INDEX(職員マスタ!$E$6:$E$405,$AN2108)&lt;&gt;"",$Q2108&lt;&gt;INDEX(職員マスタ!$E$6:$E$405,$AN2108)),"子の生年月日がマスタと相違／","")&amp;IF(AND($L2108&lt;&gt;"",INDEX(職員マスタ!$G$6:$G$405,$AN2108)&lt;&gt;"",$L2108&lt;&gt;INDEX(職員マスタ!$G$6:$G$405,$AN2108)),"時短開始日がマスタと相違／","")&amp;IF(AND($M2108&lt;&gt;"",INDEX(職員マスタ!$H$6:$H$405,$AN2108)&lt;&gt;"",$M2108&lt;&gt;INDEX(職員マスタ!$H$6:$H$405,$AN2108)),"時短終了日がマスタと相違／","")))&amp;IF(AND($B2108&lt;&gt;"",$E2108=""),"報酬額が未入力／","")&amp;IF(N($U2108)&gt;0,"申請書に入力エラーが残っています／","")&amp;IF(AND($B2108&lt;&gt;"",$AO2108&lt;&gt;""),IF(COUNTIFS($B$6:$B$3005,$B2108,$C$6:$C$3005,$C2108,$D$6:$D$3005,$D2108)&gt;1,"同じ月の請求が重複しています／",""),"")&amp;IF(AND(N($E2108)&gt;0,$Z2108&lt;&gt;"",$Z2108&lt;&gt;"×",$AC2108=0,$AB2108=""),"計算額が下限以下のため不支給／",""))</f>
        <v/>
      </c>
      <c r="AL2108" s="12" t="n"/>
      <c r="AM2108" s="14">
        <f>IF($AD2108="保留中",COUNTIF($AD$6:$AD2108,"保留中"),"")</f>
        <v/>
      </c>
      <c r="AN2108" s="14">
        <f>IF($AO2108="","",IF(SUMPRODUCT(MAX((職員マスタ!$A$6:$A$405=$B2108)*(((職員マスタ!$G$6:$G$405="")+(職員マスタ!$G$6:$G$405&lt;=EOMONTH($AO2108,0)))&gt;0)*(((職員マスタ!$H$6:$H$405="")+(職員マスタ!$H$6:$H$405&gt;=$AO2108))&gt;0)*(ROW(職員マスタ!$A$6:$A$405)-5)))&gt;0,SUMPRODUCT(MAX((職員マスタ!$A$6:$A$405=$B2108)*(((職員マスタ!$G$6:$G$405="")+(職員マスタ!$G$6:$G$405&lt;=EOMONTH($AO2108,0)))&gt;0)*(((職員マスタ!$H$6:$H$405="")+(職員マスタ!$H$6:$H$405&gt;=$AO2108))&gt;0)*(ROW(職員マスタ!$A$6:$A$405)-5))),IFERROR(MATCH($B2108,職員マスタ!$A$6:$A$405,0),"")))</f>
        <v/>
      </c>
      <c r="AO2108" s="16">
        <f>IF(OR($B2108="",$C2108="",$D2108=""),"",DATE($C2108+2018,$D2108,1))</f>
        <v/>
      </c>
    </row>
    <row r="2109">
      <c r="A2109" s="11" t="n"/>
      <c r="B2109" s="12" t="n"/>
      <c r="C2109" s="12" t="n"/>
      <c r="D2109" s="12" t="n"/>
      <c r="E2109" s="13" t="n"/>
      <c r="F2109" s="12" t="n"/>
      <c r="G2109" s="13" t="n"/>
      <c r="H2109" s="12" t="n"/>
      <c r="I2109" s="12" t="n"/>
      <c r="J2109" s="12" t="n"/>
      <c r="K2109" s="12" t="n"/>
      <c r="L2109" s="11" t="n"/>
      <c r="M2109" s="11" t="n"/>
      <c r="N2109" s="11" t="n"/>
      <c r="O2109" s="11" t="n"/>
      <c r="P2109" s="12" t="n"/>
      <c r="Q2109" s="11" t="n"/>
      <c r="R2109" s="12" t="n"/>
      <c r="S2109" s="11" t="n"/>
      <c r="T2109" s="12" t="n"/>
      <c r="U2109" s="12" t="n"/>
      <c r="V2109" s="14">
        <f>IF($AN2109="",IF($B2109="","",$H2109),IF(INDEX(職員マスタ!$B$6:$B$405,$AN2109)="",$H2109,INDEX(職員マスタ!$B$6:$B$405,$AN2109)))</f>
        <v/>
      </c>
      <c r="W2109" s="14">
        <f>IF($AN2109="",IF($B2109="","",$R2109),IF(INDEX(職員マスタ!$C$6:$C$405,$AN2109)="",$R2109,INDEX(職員マスタ!$C$6:$C$405,$AN2109)))</f>
        <v/>
      </c>
      <c r="X2109" s="14">
        <f>IF($AO2109="","","R"&amp;$C2109&amp;"."&amp;$D2109)</f>
        <v/>
      </c>
      <c r="Y2109" s="15">
        <f>IF($AN2109="","",IF(INDEX(職員マスタ!$K$6:$K$405,$AN2109)="","",INDEX(職員マスタ!$K$6:$K$405,$AN2109)))</f>
        <v/>
      </c>
      <c r="Z2109" s="14">
        <f>IF(OR($E2109="",$Y2109=""),"",IF($E2109&gt;=$Y2109,"×",IF($E2109&gt;=$Y2109*設定!$C$5,"△","○")))</f>
        <v/>
      </c>
      <c r="AA2109" s="15">
        <f>IF($Z2109="","",IF($Z2109="×",0,IF($Z2109="○",ROUNDDOWN($E2109*設定!$C$4,0),ROUNDDOWN($E2109*ROUND((9*$Y2109-9*$E2109)/(10*$E2109),4),0))))</f>
        <v/>
      </c>
      <c r="AB2109" s="13" t="n"/>
      <c r="AC2109" s="15">
        <f>IF($B2109="","",IF($AB2109&lt;&gt;"",$AB2109,IF($AA2109="","",IF($AA2109&lt;=設定!$C$3,0,$AA2109))))</f>
        <v/>
      </c>
      <c r="AD2109" s="14">
        <f>IF($B2109="","",IF(AND($AE2109&lt;&gt;"",$AG2109="",$AJ2109=""),"保留中",IF($AJ2109&lt;&gt;"",IF(N($AC2109)&gt;0,"支給済","不支給"),IF($AC2109="","要確認",IF($AC2109=0,"不支給","未処理")))))</f>
        <v/>
      </c>
      <c r="AE2109" s="12" t="n"/>
      <c r="AF2109" s="11" t="n"/>
      <c r="AG2109" s="11" t="n"/>
      <c r="AH2109" s="11" t="n"/>
      <c r="AI2109" s="14">
        <f>IF(AND($AD2109="保留中",$AF2109&lt;&gt;""),TODAY()-$AF2109,"")</f>
        <v/>
      </c>
      <c r="AJ2109" s="12" t="n"/>
      <c r="AK2109" s="14">
        <f>IF($B2109="","",IF($AO2109="","対象年月が未入力／","")&amp;IF($B2109="","",IF($AN2109="","職員マスタに未登録の職員番号／",IF($Y2109="","標準報酬月額が未登録／","")&amp;IF(AND($AO2109&lt;&gt;"",OR(AND(INDEX(職員マスタ!$G$6:$G$405,$AN2109)&lt;&gt;"",INDEX(職員マスタ!$G$6:$G$405,$AN2109)&gt;EOMONTH($AO2109,0)),AND(INDEX(職員マスタ!$H$6:$H$405,$AN2109)&lt;&gt;"",INDEX(職員マスタ!$H$6:$H$405,$AN2109)&lt;$AO2109))),"対象月が時短期間外／","")&amp;IF(AND(INDEX(職員マスタ!$F$6:$F$405,$AN2109)&lt;&gt;"",$AO2109&lt;&gt;"",INDEX(職員マスタ!$F$6:$F$405,$AN2109)&lt;$AO2109),"対象月に子が2歳到達済／","")&amp;IF(AND($H2109&lt;&gt;"",INDEX(職員マスタ!$B$6:$B$405,$AN2109)&lt;&gt;"",SUBSTITUTE(SUBSTITUTE($H2109," ","")," ","")&lt;&gt;SUBSTITUTE(SUBSTITUTE(INDEX(職員マスタ!$B$6:$B$405,$AN2109)," ","")," ","")),"氏名がマスタと相違／","")&amp;IF(AND($Q2109&lt;&gt;"",INDEX(職員マスタ!$E$6:$E$405,$AN2109)&lt;&gt;"",$Q2109&lt;&gt;INDEX(職員マスタ!$E$6:$E$405,$AN2109)),"子の生年月日がマスタと相違／","")&amp;IF(AND($L2109&lt;&gt;"",INDEX(職員マスタ!$G$6:$G$405,$AN2109)&lt;&gt;"",$L2109&lt;&gt;INDEX(職員マスタ!$G$6:$G$405,$AN2109)),"時短開始日がマスタと相違／","")&amp;IF(AND($M2109&lt;&gt;"",INDEX(職員マスタ!$H$6:$H$405,$AN2109)&lt;&gt;"",$M2109&lt;&gt;INDEX(職員マスタ!$H$6:$H$405,$AN2109)),"時短終了日がマスタと相違／","")))&amp;IF(AND($B2109&lt;&gt;"",$E2109=""),"報酬額が未入力／","")&amp;IF(N($U2109)&gt;0,"申請書に入力エラーが残っています／","")&amp;IF(AND($B2109&lt;&gt;"",$AO2109&lt;&gt;""),IF(COUNTIFS($B$6:$B$3005,$B2109,$C$6:$C$3005,$C2109,$D$6:$D$3005,$D2109)&gt;1,"同じ月の請求が重複しています／",""),"")&amp;IF(AND(N($E2109)&gt;0,$Z2109&lt;&gt;"",$Z2109&lt;&gt;"×",$AC2109=0,$AB2109=""),"計算額が下限以下のため不支給／",""))</f>
        <v/>
      </c>
      <c r="AL2109" s="12" t="n"/>
      <c r="AM2109" s="14">
        <f>IF($AD2109="保留中",COUNTIF($AD$6:$AD2109,"保留中"),"")</f>
        <v/>
      </c>
      <c r="AN2109" s="14">
        <f>IF($AO2109="","",IF(SUMPRODUCT(MAX((職員マスタ!$A$6:$A$405=$B2109)*(((職員マスタ!$G$6:$G$405="")+(職員マスタ!$G$6:$G$405&lt;=EOMONTH($AO2109,0)))&gt;0)*(((職員マスタ!$H$6:$H$405="")+(職員マスタ!$H$6:$H$405&gt;=$AO2109))&gt;0)*(ROW(職員マスタ!$A$6:$A$405)-5)))&gt;0,SUMPRODUCT(MAX((職員マスタ!$A$6:$A$405=$B2109)*(((職員マスタ!$G$6:$G$405="")+(職員マスタ!$G$6:$G$405&lt;=EOMONTH($AO2109,0)))&gt;0)*(((職員マスタ!$H$6:$H$405="")+(職員マスタ!$H$6:$H$405&gt;=$AO2109))&gt;0)*(ROW(職員マスタ!$A$6:$A$405)-5))),IFERROR(MATCH($B2109,職員マスタ!$A$6:$A$405,0),"")))</f>
        <v/>
      </c>
      <c r="AO2109" s="16">
        <f>IF(OR($B2109="",$C2109="",$D2109=""),"",DATE($C2109+2018,$D2109,1))</f>
        <v/>
      </c>
    </row>
    <row r="2110">
      <c r="A2110" s="11" t="n"/>
      <c r="B2110" s="12" t="n"/>
      <c r="C2110" s="12" t="n"/>
      <c r="D2110" s="12" t="n"/>
      <c r="E2110" s="13" t="n"/>
      <c r="F2110" s="12" t="n"/>
      <c r="G2110" s="13" t="n"/>
      <c r="H2110" s="12" t="n"/>
      <c r="I2110" s="12" t="n"/>
      <c r="J2110" s="12" t="n"/>
      <c r="K2110" s="12" t="n"/>
      <c r="L2110" s="11" t="n"/>
      <c r="M2110" s="11" t="n"/>
      <c r="N2110" s="11" t="n"/>
      <c r="O2110" s="11" t="n"/>
      <c r="P2110" s="12" t="n"/>
      <c r="Q2110" s="11" t="n"/>
      <c r="R2110" s="12" t="n"/>
      <c r="S2110" s="11" t="n"/>
      <c r="T2110" s="12" t="n"/>
      <c r="U2110" s="12" t="n"/>
      <c r="V2110" s="14">
        <f>IF($AN2110="",IF($B2110="","",$H2110),IF(INDEX(職員マスタ!$B$6:$B$405,$AN2110)="",$H2110,INDEX(職員マスタ!$B$6:$B$405,$AN2110)))</f>
        <v/>
      </c>
      <c r="W2110" s="14">
        <f>IF($AN2110="",IF($B2110="","",$R2110),IF(INDEX(職員マスタ!$C$6:$C$405,$AN2110)="",$R2110,INDEX(職員マスタ!$C$6:$C$405,$AN2110)))</f>
        <v/>
      </c>
      <c r="X2110" s="14">
        <f>IF($AO2110="","","R"&amp;$C2110&amp;"."&amp;$D2110)</f>
        <v/>
      </c>
      <c r="Y2110" s="15">
        <f>IF($AN2110="","",IF(INDEX(職員マスタ!$K$6:$K$405,$AN2110)="","",INDEX(職員マスタ!$K$6:$K$405,$AN2110)))</f>
        <v/>
      </c>
      <c r="Z2110" s="14">
        <f>IF(OR($E2110="",$Y2110=""),"",IF($E2110&gt;=$Y2110,"×",IF($E2110&gt;=$Y2110*設定!$C$5,"△","○")))</f>
        <v/>
      </c>
      <c r="AA2110" s="15">
        <f>IF($Z2110="","",IF($Z2110="×",0,IF($Z2110="○",ROUNDDOWN($E2110*設定!$C$4,0),ROUNDDOWN($E2110*ROUND((9*$Y2110-9*$E2110)/(10*$E2110),4),0))))</f>
        <v/>
      </c>
      <c r="AB2110" s="13" t="n"/>
      <c r="AC2110" s="15">
        <f>IF($B2110="","",IF($AB2110&lt;&gt;"",$AB2110,IF($AA2110="","",IF($AA2110&lt;=設定!$C$3,0,$AA2110))))</f>
        <v/>
      </c>
      <c r="AD2110" s="14">
        <f>IF($B2110="","",IF(AND($AE2110&lt;&gt;"",$AG2110="",$AJ2110=""),"保留中",IF($AJ2110&lt;&gt;"",IF(N($AC2110)&gt;0,"支給済","不支給"),IF($AC2110="","要確認",IF($AC2110=0,"不支給","未処理")))))</f>
        <v/>
      </c>
      <c r="AE2110" s="12" t="n"/>
      <c r="AF2110" s="11" t="n"/>
      <c r="AG2110" s="11" t="n"/>
      <c r="AH2110" s="11" t="n"/>
      <c r="AI2110" s="14">
        <f>IF(AND($AD2110="保留中",$AF2110&lt;&gt;""),TODAY()-$AF2110,"")</f>
        <v/>
      </c>
      <c r="AJ2110" s="12" t="n"/>
      <c r="AK2110" s="14">
        <f>IF($B2110="","",IF($AO2110="","対象年月が未入力／","")&amp;IF($B2110="","",IF($AN2110="","職員マスタに未登録の職員番号／",IF($Y2110="","標準報酬月額が未登録／","")&amp;IF(AND($AO2110&lt;&gt;"",OR(AND(INDEX(職員マスタ!$G$6:$G$405,$AN2110)&lt;&gt;"",INDEX(職員マスタ!$G$6:$G$405,$AN2110)&gt;EOMONTH($AO2110,0)),AND(INDEX(職員マスタ!$H$6:$H$405,$AN2110)&lt;&gt;"",INDEX(職員マスタ!$H$6:$H$405,$AN2110)&lt;$AO2110))),"対象月が時短期間外／","")&amp;IF(AND(INDEX(職員マスタ!$F$6:$F$405,$AN2110)&lt;&gt;"",$AO2110&lt;&gt;"",INDEX(職員マスタ!$F$6:$F$405,$AN2110)&lt;$AO2110),"対象月に子が2歳到達済／","")&amp;IF(AND($H2110&lt;&gt;"",INDEX(職員マスタ!$B$6:$B$405,$AN2110)&lt;&gt;"",SUBSTITUTE(SUBSTITUTE($H2110," ","")," ","")&lt;&gt;SUBSTITUTE(SUBSTITUTE(INDEX(職員マスタ!$B$6:$B$405,$AN2110)," ","")," ","")),"氏名がマスタと相違／","")&amp;IF(AND($Q2110&lt;&gt;"",INDEX(職員マスタ!$E$6:$E$405,$AN2110)&lt;&gt;"",$Q2110&lt;&gt;INDEX(職員マスタ!$E$6:$E$405,$AN2110)),"子の生年月日がマスタと相違／","")&amp;IF(AND($L2110&lt;&gt;"",INDEX(職員マスタ!$G$6:$G$405,$AN2110)&lt;&gt;"",$L2110&lt;&gt;INDEX(職員マスタ!$G$6:$G$405,$AN2110)),"時短開始日がマスタと相違／","")&amp;IF(AND($M2110&lt;&gt;"",INDEX(職員マスタ!$H$6:$H$405,$AN2110)&lt;&gt;"",$M2110&lt;&gt;INDEX(職員マスタ!$H$6:$H$405,$AN2110)),"時短終了日がマスタと相違／","")))&amp;IF(AND($B2110&lt;&gt;"",$E2110=""),"報酬額が未入力／","")&amp;IF(N($U2110)&gt;0,"申請書に入力エラーが残っています／","")&amp;IF(AND($B2110&lt;&gt;"",$AO2110&lt;&gt;""),IF(COUNTIFS($B$6:$B$3005,$B2110,$C$6:$C$3005,$C2110,$D$6:$D$3005,$D2110)&gt;1,"同じ月の請求が重複しています／",""),"")&amp;IF(AND(N($E2110)&gt;0,$Z2110&lt;&gt;"",$Z2110&lt;&gt;"×",$AC2110=0,$AB2110=""),"計算額が下限以下のため不支給／",""))</f>
        <v/>
      </c>
      <c r="AL2110" s="12" t="n"/>
      <c r="AM2110" s="14">
        <f>IF($AD2110="保留中",COUNTIF($AD$6:$AD2110,"保留中"),"")</f>
        <v/>
      </c>
      <c r="AN2110" s="14">
        <f>IF($AO2110="","",IF(SUMPRODUCT(MAX((職員マスタ!$A$6:$A$405=$B2110)*(((職員マスタ!$G$6:$G$405="")+(職員マスタ!$G$6:$G$405&lt;=EOMONTH($AO2110,0)))&gt;0)*(((職員マスタ!$H$6:$H$405="")+(職員マスタ!$H$6:$H$405&gt;=$AO2110))&gt;0)*(ROW(職員マスタ!$A$6:$A$405)-5)))&gt;0,SUMPRODUCT(MAX((職員マスタ!$A$6:$A$405=$B2110)*(((職員マスタ!$G$6:$G$405="")+(職員マスタ!$G$6:$G$405&lt;=EOMONTH($AO2110,0)))&gt;0)*(((職員マスタ!$H$6:$H$405="")+(職員マスタ!$H$6:$H$405&gt;=$AO2110))&gt;0)*(ROW(職員マスタ!$A$6:$A$405)-5))),IFERROR(MATCH($B2110,職員マスタ!$A$6:$A$405,0),"")))</f>
        <v/>
      </c>
      <c r="AO2110" s="16">
        <f>IF(OR($B2110="",$C2110="",$D2110=""),"",DATE($C2110+2018,$D2110,1))</f>
        <v/>
      </c>
    </row>
    <row r="2111">
      <c r="A2111" s="11" t="n"/>
      <c r="B2111" s="12" t="n"/>
      <c r="C2111" s="12" t="n"/>
      <c r="D2111" s="12" t="n"/>
      <c r="E2111" s="13" t="n"/>
      <c r="F2111" s="12" t="n"/>
      <c r="G2111" s="13" t="n"/>
      <c r="H2111" s="12" t="n"/>
      <c r="I2111" s="12" t="n"/>
      <c r="J2111" s="12" t="n"/>
      <c r="K2111" s="12" t="n"/>
      <c r="L2111" s="11" t="n"/>
      <c r="M2111" s="11" t="n"/>
      <c r="N2111" s="11" t="n"/>
      <c r="O2111" s="11" t="n"/>
      <c r="P2111" s="12" t="n"/>
      <c r="Q2111" s="11" t="n"/>
      <c r="R2111" s="12" t="n"/>
      <c r="S2111" s="11" t="n"/>
      <c r="T2111" s="12" t="n"/>
      <c r="U2111" s="12" t="n"/>
      <c r="V2111" s="14">
        <f>IF($AN2111="",IF($B2111="","",$H2111),IF(INDEX(職員マスタ!$B$6:$B$405,$AN2111)="",$H2111,INDEX(職員マスタ!$B$6:$B$405,$AN2111)))</f>
        <v/>
      </c>
      <c r="W2111" s="14">
        <f>IF($AN2111="",IF($B2111="","",$R2111),IF(INDEX(職員マスタ!$C$6:$C$405,$AN2111)="",$R2111,INDEX(職員マスタ!$C$6:$C$405,$AN2111)))</f>
        <v/>
      </c>
      <c r="X2111" s="14">
        <f>IF($AO2111="","","R"&amp;$C2111&amp;"."&amp;$D2111)</f>
        <v/>
      </c>
      <c r="Y2111" s="15">
        <f>IF($AN2111="","",IF(INDEX(職員マスタ!$K$6:$K$405,$AN2111)="","",INDEX(職員マスタ!$K$6:$K$405,$AN2111)))</f>
        <v/>
      </c>
      <c r="Z2111" s="14">
        <f>IF(OR($E2111="",$Y2111=""),"",IF($E2111&gt;=$Y2111,"×",IF($E2111&gt;=$Y2111*設定!$C$5,"△","○")))</f>
        <v/>
      </c>
      <c r="AA2111" s="15">
        <f>IF($Z2111="","",IF($Z2111="×",0,IF($Z2111="○",ROUNDDOWN($E2111*設定!$C$4,0),ROUNDDOWN($E2111*ROUND((9*$Y2111-9*$E2111)/(10*$E2111),4),0))))</f>
        <v/>
      </c>
      <c r="AB2111" s="13" t="n"/>
      <c r="AC2111" s="15">
        <f>IF($B2111="","",IF($AB2111&lt;&gt;"",$AB2111,IF($AA2111="","",IF($AA2111&lt;=設定!$C$3,0,$AA2111))))</f>
        <v/>
      </c>
      <c r="AD2111" s="14">
        <f>IF($B2111="","",IF(AND($AE2111&lt;&gt;"",$AG2111="",$AJ2111=""),"保留中",IF($AJ2111&lt;&gt;"",IF(N($AC2111)&gt;0,"支給済","不支給"),IF($AC2111="","要確認",IF($AC2111=0,"不支給","未処理")))))</f>
        <v/>
      </c>
      <c r="AE2111" s="12" t="n"/>
      <c r="AF2111" s="11" t="n"/>
      <c r="AG2111" s="11" t="n"/>
      <c r="AH2111" s="11" t="n"/>
      <c r="AI2111" s="14">
        <f>IF(AND($AD2111="保留中",$AF2111&lt;&gt;""),TODAY()-$AF2111,"")</f>
        <v/>
      </c>
      <c r="AJ2111" s="12" t="n"/>
      <c r="AK2111" s="14">
        <f>IF($B2111="","",IF($AO2111="","対象年月が未入力／","")&amp;IF($B2111="","",IF($AN2111="","職員マスタに未登録の職員番号／",IF($Y2111="","標準報酬月額が未登録／","")&amp;IF(AND($AO2111&lt;&gt;"",OR(AND(INDEX(職員マスタ!$G$6:$G$405,$AN2111)&lt;&gt;"",INDEX(職員マスタ!$G$6:$G$405,$AN2111)&gt;EOMONTH($AO2111,0)),AND(INDEX(職員マスタ!$H$6:$H$405,$AN2111)&lt;&gt;"",INDEX(職員マスタ!$H$6:$H$405,$AN2111)&lt;$AO2111))),"対象月が時短期間外／","")&amp;IF(AND(INDEX(職員マスタ!$F$6:$F$405,$AN2111)&lt;&gt;"",$AO2111&lt;&gt;"",INDEX(職員マスタ!$F$6:$F$405,$AN2111)&lt;$AO2111),"対象月に子が2歳到達済／","")&amp;IF(AND($H2111&lt;&gt;"",INDEX(職員マスタ!$B$6:$B$405,$AN2111)&lt;&gt;"",SUBSTITUTE(SUBSTITUTE($H2111," ","")," ","")&lt;&gt;SUBSTITUTE(SUBSTITUTE(INDEX(職員マスタ!$B$6:$B$405,$AN2111)," ","")," ","")),"氏名がマスタと相違／","")&amp;IF(AND($Q2111&lt;&gt;"",INDEX(職員マスタ!$E$6:$E$405,$AN2111)&lt;&gt;"",$Q2111&lt;&gt;INDEX(職員マスタ!$E$6:$E$405,$AN2111)),"子の生年月日がマスタと相違／","")&amp;IF(AND($L2111&lt;&gt;"",INDEX(職員マスタ!$G$6:$G$405,$AN2111)&lt;&gt;"",$L2111&lt;&gt;INDEX(職員マスタ!$G$6:$G$405,$AN2111)),"時短開始日がマスタと相違／","")&amp;IF(AND($M2111&lt;&gt;"",INDEX(職員マスタ!$H$6:$H$405,$AN2111)&lt;&gt;"",$M2111&lt;&gt;INDEX(職員マスタ!$H$6:$H$405,$AN2111)),"時短終了日がマスタと相違／","")))&amp;IF(AND($B2111&lt;&gt;"",$E2111=""),"報酬額が未入力／","")&amp;IF(N($U2111)&gt;0,"申請書に入力エラーが残っています／","")&amp;IF(AND($B2111&lt;&gt;"",$AO2111&lt;&gt;""),IF(COUNTIFS($B$6:$B$3005,$B2111,$C$6:$C$3005,$C2111,$D$6:$D$3005,$D2111)&gt;1,"同じ月の請求が重複しています／",""),"")&amp;IF(AND(N($E2111)&gt;0,$Z2111&lt;&gt;"",$Z2111&lt;&gt;"×",$AC2111=0,$AB2111=""),"計算額が下限以下のため不支給／",""))</f>
        <v/>
      </c>
      <c r="AL2111" s="12" t="n"/>
      <c r="AM2111" s="14">
        <f>IF($AD2111="保留中",COUNTIF($AD$6:$AD2111,"保留中"),"")</f>
        <v/>
      </c>
      <c r="AN2111" s="14">
        <f>IF($AO2111="","",IF(SUMPRODUCT(MAX((職員マスタ!$A$6:$A$405=$B2111)*(((職員マスタ!$G$6:$G$405="")+(職員マスタ!$G$6:$G$405&lt;=EOMONTH($AO2111,0)))&gt;0)*(((職員マスタ!$H$6:$H$405="")+(職員マスタ!$H$6:$H$405&gt;=$AO2111))&gt;0)*(ROW(職員マスタ!$A$6:$A$405)-5)))&gt;0,SUMPRODUCT(MAX((職員マスタ!$A$6:$A$405=$B2111)*(((職員マスタ!$G$6:$G$405="")+(職員マスタ!$G$6:$G$405&lt;=EOMONTH($AO2111,0)))&gt;0)*(((職員マスタ!$H$6:$H$405="")+(職員マスタ!$H$6:$H$405&gt;=$AO2111))&gt;0)*(ROW(職員マスタ!$A$6:$A$405)-5))),IFERROR(MATCH($B2111,職員マスタ!$A$6:$A$405,0),"")))</f>
        <v/>
      </c>
      <c r="AO2111" s="16">
        <f>IF(OR($B2111="",$C2111="",$D2111=""),"",DATE($C2111+2018,$D2111,1))</f>
        <v/>
      </c>
    </row>
    <row r="2112">
      <c r="A2112" s="11" t="n"/>
      <c r="B2112" s="12" t="n"/>
      <c r="C2112" s="12" t="n"/>
      <c r="D2112" s="12" t="n"/>
      <c r="E2112" s="13" t="n"/>
      <c r="F2112" s="12" t="n"/>
      <c r="G2112" s="13" t="n"/>
      <c r="H2112" s="12" t="n"/>
      <c r="I2112" s="12" t="n"/>
      <c r="J2112" s="12" t="n"/>
      <c r="K2112" s="12" t="n"/>
      <c r="L2112" s="11" t="n"/>
      <c r="M2112" s="11" t="n"/>
      <c r="N2112" s="11" t="n"/>
      <c r="O2112" s="11" t="n"/>
      <c r="P2112" s="12" t="n"/>
      <c r="Q2112" s="11" t="n"/>
      <c r="R2112" s="12" t="n"/>
      <c r="S2112" s="11" t="n"/>
      <c r="T2112" s="12" t="n"/>
      <c r="U2112" s="12" t="n"/>
      <c r="V2112" s="14">
        <f>IF($AN2112="",IF($B2112="","",$H2112),IF(INDEX(職員マスタ!$B$6:$B$405,$AN2112)="",$H2112,INDEX(職員マスタ!$B$6:$B$405,$AN2112)))</f>
        <v/>
      </c>
      <c r="W2112" s="14">
        <f>IF($AN2112="",IF($B2112="","",$R2112),IF(INDEX(職員マスタ!$C$6:$C$405,$AN2112)="",$R2112,INDEX(職員マスタ!$C$6:$C$405,$AN2112)))</f>
        <v/>
      </c>
      <c r="X2112" s="14">
        <f>IF($AO2112="","","R"&amp;$C2112&amp;"."&amp;$D2112)</f>
        <v/>
      </c>
      <c r="Y2112" s="15">
        <f>IF($AN2112="","",IF(INDEX(職員マスタ!$K$6:$K$405,$AN2112)="","",INDEX(職員マスタ!$K$6:$K$405,$AN2112)))</f>
        <v/>
      </c>
      <c r="Z2112" s="14">
        <f>IF(OR($E2112="",$Y2112=""),"",IF($E2112&gt;=$Y2112,"×",IF($E2112&gt;=$Y2112*設定!$C$5,"△","○")))</f>
        <v/>
      </c>
      <c r="AA2112" s="15">
        <f>IF($Z2112="","",IF($Z2112="×",0,IF($Z2112="○",ROUNDDOWN($E2112*設定!$C$4,0),ROUNDDOWN($E2112*ROUND((9*$Y2112-9*$E2112)/(10*$E2112),4),0))))</f>
        <v/>
      </c>
      <c r="AB2112" s="13" t="n"/>
      <c r="AC2112" s="15">
        <f>IF($B2112="","",IF($AB2112&lt;&gt;"",$AB2112,IF($AA2112="","",IF($AA2112&lt;=設定!$C$3,0,$AA2112))))</f>
        <v/>
      </c>
      <c r="AD2112" s="14">
        <f>IF($B2112="","",IF(AND($AE2112&lt;&gt;"",$AG2112="",$AJ2112=""),"保留中",IF($AJ2112&lt;&gt;"",IF(N($AC2112)&gt;0,"支給済","不支給"),IF($AC2112="","要確認",IF($AC2112=0,"不支給","未処理")))))</f>
        <v/>
      </c>
      <c r="AE2112" s="12" t="n"/>
      <c r="AF2112" s="11" t="n"/>
      <c r="AG2112" s="11" t="n"/>
      <c r="AH2112" s="11" t="n"/>
      <c r="AI2112" s="14">
        <f>IF(AND($AD2112="保留中",$AF2112&lt;&gt;""),TODAY()-$AF2112,"")</f>
        <v/>
      </c>
      <c r="AJ2112" s="12" t="n"/>
      <c r="AK2112" s="14">
        <f>IF($B2112="","",IF($AO2112="","対象年月が未入力／","")&amp;IF($B2112="","",IF($AN2112="","職員マスタに未登録の職員番号／",IF($Y2112="","標準報酬月額が未登録／","")&amp;IF(AND($AO2112&lt;&gt;"",OR(AND(INDEX(職員マスタ!$G$6:$G$405,$AN2112)&lt;&gt;"",INDEX(職員マスタ!$G$6:$G$405,$AN2112)&gt;EOMONTH($AO2112,0)),AND(INDEX(職員マスタ!$H$6:$H$405,$AN2112)&lt;&gt;"",INDEX(職員マスタ!$H$6:$H$405,$AN2112)&lt;$AO2112))),"対象月が時短期間外／","")&amp;IF(AND(INDEX(職員マスタ!$F$6:$F$405,$AN2112)&lt;&gt;"",$AO2112&lt;&gt;"",INDEX(職員マスタ!$F$6:$F$405,$AN2112)&lt;$AO2112),"対象月に子が2歳到達済／","")&amp;IF(AND($H2112&lt;&gt;"",INDEX(職員マスタ!$B$6:$B$405,$AN2112)&lt;&gt;"",SUBSTITUTE(SUBSTITUTE($H2112," ","")," ","")&lt;&gt;SUBSTITUTE(SUBSTITUTE(INDEX(職員マスタ!$B$6:$B$405,$AN2112)," ","")," ","")),"氏名がマスタと相違／","")&amp;IF(AND($Q2112&lt;&gt;"",INDEX(職員マスタ!$E$6:$E$405,$AN2112)&lt;&gt;"",$Q2112&lt;&gt;INDEX(職員マスタ!$E$6:$E$405,$AN2112)),"子の生年月日がマスタと相違／","")&amp;IF(AND($L2112&lt;&gt;"",INDEX(職員マスタ!$G$6:$G$405,$AN2112)&lt;&gt;"",$L2112&lt;&gt;INDEX(職員マスタ!$G$6:$G$405,$AN2112)),"時短開始日がマスタと相違／","")&amp;IF(AND($M2112&lt;&gt;"",INDEX(職員マスタ!$H$6:$H$405,$AN2112)&lt;&gt;"",$M2112&lt;&gt;INDEX(職員マスタ!$H$6:$H$405,$AN2112)),"時短終了日がマスタと相違／","")))&amp;IF(AND($B2112&lt;&gt;"",$E2112=""),"報酬額が未入力／","")&amp;IF(N($U2112)&gt;0,"申請書に入力エラーが残っています／","")&amp;IF(AND($B2112&lt;&gt;"",$AO2112&lt;&gt;""),IF(COUNTIFS($B$6:$B$3005,$B2112,$C$6:$C$3005,$C2112,$D$6:$D$3005,$D2112)&gt;1,"同じ月の請求が重複しています／",""),"")&amp;IF(AND(N($E2112)&gt;0,$Z2112&lt;&gt;"",$Z2112&lt;&gt;"×",$AC2112=0,$AB2112=""),"計算額が下限以下のため不支給／",""))</f>
        <v/>
      </c>
      <c r="AL2112" s="12" t="n"/>
      <c r="AM2112" s="14">
        <f>IF($AD2112="保留中",COUNTIF($AD$6:$AD2112,"保留中"),"")</f>
        <v/>
      </c>
      <c r="AN2112" s="14">
        <f>IF($AO2112="","",IF(SUMPRODUCT(MAX((職員マスタ!$A$6:$A$405=$B2112)*(((職員マスタ!$G$6:$G$405="")+(職員マスタ!$G$6:$G$405&lt;=EOMONTH($AO2112,0)))&gt;0)*(((職員マスタ!$H$6:$H$405="")+(職員マスタ!$H$6:$H$405&gt;=$AO2112))&gt;0)*(ROW(職員マスタ!$A$6:$A$405)-5)))&gt;0,SUMPRODUCT(MAX((職員マスタ!$A$6:$A$405=$B2112)*(((職員マスタ!$G$6:$G$405="")+(職員マスタ!$G$6:$G$405&lt;=EOMONTH($AO2112,0)))&gt;0)*(((職員マスタ!$H$6:$H$405="")+(職員マスタ!$H$6:$H$405&gt;=$AO2112))&gt;0)*(ROW(職員マスタ!$A$6:$A$405)-5))),IFERROR(MATCH($B2112,職員マスタ!$A$6:$A$405,0),"")))</f>
        <v/>
      </c>
      <c r="AO2112" s="16">
        <f>IF(OR($B2112="",$C2112="",$D2112=""),"",DATE($C2112+2018,$D2112,1))</f>
        <v/>
      </c>
    </row>
    <row r="2113">
      <c r="A2113" s="11" t="n"/>
      <c r="B2113" s="12" t="n"/>
      <c r="C2113" s="12" t="n"/>
      <c r="D2113" s="12" t="n"/>
      <c r="E2113" s="13" t="n"/>
      <c r="F2113" s="12" t="n"/>
      <c r="G2113" s="13" t="n"/>
      <c r="H2113" s="12" t="n"/>
      <c r="I2113" s="12" t="n"/>
      <c r="J2113" s="12" t="n"/>
      <c r="K2113" s="12" t="n"/>
      <c r="L2113" s="11" t="n"/>
      <c r="M2113" s="11" t="n"/>
      <c r="N2113" s="11" t="n"/>
      <c r="O2113" s="11" t="n"/>
      <c r="P2113" s="12" t="n"/>
      <c r="Q2113" s="11" t="n"/>
      <c r="R2113" s="12" t="n"/>
      <c r="S2113" s="11" t="n"/>
      <c r="T2113" s="12" t="n"/>
      <c r="U2113" s="12" t="n"/>
      <c r="V2113" s="14">
        <f>IF($AN2113="",IF($B2113="","",$H2113),IF(INDEX(職員マスタ!$B$6:$B$405,$AN2113)="",$H2113,INDEX(職員マスタ!$B$6:$B$405,$AN2113)))</f>
        <v/>
      </c>
      <c r="W2113" s="14">
        <f>IF($AN2113="",IF($B2113="","",$R2113),IF(INDEX(職員マスタ!$C$6:$C$405,$AN2113)="",$R2113,INDEX(職員マスタ!$C$6:$C$405,$AN2113)))</f>
        <v/>
      </c>
      <c r="X2113" s="14">
        <f>IF($AO2113="","","R"&amp;$C2113&amp;"."&amp;$D2113)</f>
        <v/>
      </c>
      <c r="Y2113" s="15">
        <f>IF($AN2113="","",IF(INDEX(職員マスタ!$K$6:$K$405,$AN2113)="","",INDEX(職員マスタ!$K$6:$K$405,$AN2113)))</f>
        <v/>
      </c>
      <c r="Z2113" s="14">
        <f>IF(OR($E2113="",$Y2113=""),"",IF($E2113&gt;=$Y2113,"×",IF($E2113&gt;=$Y2113*設定!$C$5,"△","○")))</f>
        <v/>
      </c>
      <c r="AA2113" s="15">
        <f>IF($Z2113="","",IF($Z2113="×",0,IF($Z2113="○",ROUNDDOWN($E2113*設定!$C$4,0),ROUNDDOWN($E2113*ROUND((9*$Y2113-9*$E2113)/(10*$E2113),4),0))))</f>
        <v/>
      </c>
      <c r="AB2113" s="13" t="n"/>
      <c r="AC2113" s="15">
        <f>IF($B2113="","",IF($AB2113&lt;&gt;"",$AB2113,IF($AA2113="","",IF($AA2113&lt;=設定!$C$3,0,$AA2113))))</f>
        <v/>
      </c>
      <c r="AD2113" s="14">
        <f>IF($B2113="","",IF(AND($AE2113&lt;&gt;"",$AG2113="",$AJ2113=""),"保留中",IF($AJ2113&lt;&gt;"",IF(N($AC2113)&gt;0,"支給済","不支給"),IF($AC2113="","要確認",IF($AC2113=0,"不支給","未処理")))))</f>
        <v/>
      </c>
      <c r="AE2113" s="12" t="n"/>
      <c r="AF2113" s="11" t="n"/>
      <c r="AG2113" s="11" t="n"/>
      <c r="AH2113" s="11" t="n"/>
      <c r="AI2113" s="14">
        <f>IF(AND($AD2113="保留中",$AF2113&lt;&gt;""),TODAY()-$AF2113,"")</f>
        <v/>
      </c>
      <c r="AJ2113" s="12" t="n"/>
      <c r="AK2113" s="14">
        <f>IF($B2113="","",IF($AO2113="","対象年月が未入力／","")&amp;IF($B2113="","",IF($AN2113="","職員マスタに未登録の職員番号／",IF($Y2113="","標準報酬月額が未登録／","")&amp;IF(AND($AO2113&lt;&gt;"",OR(AND(INDEX(職員マスタ!$G$6:$G$405,$AN2113)&lt;&gt;"",INDEX(職員マスタ!$G$6:$G$405,$AN2113)&gt;EOMONTH($AO2113,0)),AND(INDEX(職員マスタ!$H$6:$H$405,$AN2113)&lt;&gt;"",INDEX(職員マスタ!$H$6:$H$405,$AN2113)&lt;$AO2113))),"対象月が時短期間外／","")&amp;IF(AND(INDEX(職員マスタ!$F$6:$F$405,$AN2113)&lt;&gt;"",$AO2113&lt;&gt;"",INDEX(職員マスタ!$F$6:$F$405,$AN2113)&lt;$AO2113),"対象月に子が2歳到達済／","")&amp;IF(AND($H2113&lt;&gt;"",INDEX(職員マスタ!$B$6:$B$405,$AN2113)&lt;&gt;"",SUBSTITUTE(SUBSTITUTE($H2113," ","")," ","")&lt;&gt;SUBSTITUTE(SUBSTITUTE(INDEX(職員マスタ!$B$6:$B$405,$AN2113)," ","")," ","")),"氏名がマスタと相違／","")&amp;IF(AND($Q2113&lt;&gt;"",INDEX(職員マスタ!$E$6:$E$405,$AN2113)&lt;&gt;"",$Q2113&lt;&gt;INDEX(職員マスタ!$E$6:$E$405,$AN2113)),"子の生年月日がマスタと相違／","")&amp;IF(AND($L2113&lt;&gt;"",INDEX(職員マスタ!$G$6:$G$405,$AN2113)&lt;&gt;"",$L2113&lt;&gt;INDEX(職員マスタ!$G$6:$G$405,$AN2113)),"時短開始日がマスタと相違／","")&amp;IF(AND($M2113&lt;&gt;"",INDEX(職員マスタ!$H$6:$H$405,$AN2113)&lt;&gt;"",$M2113&lt;&gt;INDEX(職員マスタ!$H$6:$H$405,$AN2113)),"時短終了日がマスタと相違／","")))&amp;IF(AND($B2113&lt;&gt;"",$E2113=""),"報酬額が未入力／","")&amp;IF(N($U2113)&gt;0,"申請書に入力エラーが残っています／","")&amp;IF(AND($B2113&lt;&gt;"",$AO2113&lt;&gt;""),IF(COUNTIFS($B$6:$B$3005,$B2113,$C$6:$C$3005,$C2113,$D$6:$D$3005,$D2113)&gt;1,"同じ月の請求が重複しています／",""),"")&amp;IF(AND(N($E2113)&gt;0,$Z2113&lt;&gt;"",$Z2113&lt;&gt;"×",$AC2113=0,$AB2113=""),"計算額が下限以下のため不支給／",""))</f>
        <v/>
      </c>
      <c r="AL2113" s="12" t="n"/>
      <c r="AM2113" s="14">
        <f>IF($AD2113="保留中",COUNTIF($AD$6:$AD2113,"保留中"),"")</f>
        <v/>
      </c>
      <c r="AN2113" s="14">
        <f>IF($AO2113="","",IF(SUMPRODUCT(MAX((職員マスタ!$A$6:$A$405=$B2113)*(((職員マスタ!$G$6:$G$405="")+(職員マスタ!$G$6:$G$405&lt;=EOMONTH($AO2113,0)))&gt;0)*(((職員マスタ!$H$6:$H$405="")+(職員マスタ!$H$6:$H$405&gt;=$AO2113))&gt;0)*(ROW(職員マスタ!$A$6:$A$405)-5)))&gt;0,SUMPRODUCT(MAX((職員マスタ!$A$6:$A$405=$B2113)*(((職員マスタ!$G$6:$G$405="")+(職員マスタ!$G$6:$G$405&lt;=EOMONTH($AO2113,0)))&gt;0)*(((職員マスタ!$H$6:$H$405="")+(職員マスタ!$H$6:$H$405&gt;=$AO2113))&gt;0)*(ROW(職員マスタ!$A$6:$A$405)-5))),IFERROR(MATCH($B2113,職員マスタ!$A$6:$A$405,0),"")))</f>
        <v/>
      </c>
      <c r="AO2113" s="16">
        <f>IF(OR($B2113="",$C2113="",$D2113=""),"",DATE($C2113+2018,$D2113,1))</f>
        <v/>
      </c>
    </row>
    <row r="2114">
      <c r="A2114" s="11" t="n"/>
      <c r="B2114" s="12" t="n"/>
      <c r="C2114" s="12" t="n"/>
      <c r="D2114" s="12" t="n"/>
      <c r="E2114" s="13" t="n"/>
      <c r="F2114" s="12" t="n"/>
      <c r="G2114" s="13" t="n"/>
      <c r="H2114" s="12" t="n"/>
      <c r="I2114" s="12" t="n"/>
      <c r="J2114" s="12" t="n"/>
      <c r="K2114" s="12" t="n"/>
      <c r="L2114" s="11" t="n"/>
      <c r="M2114" s="11" t="n"/>
      <c r="N2114" s="11" t="n"/>
      <c r="O2114" s="11" t="n"/>
      <c r="P2114" s="12" t="n"/>
      <c r="Q2114" s="11" t="n"/>
      <c r="R2114" s="12" t="n"/>
      <c r="S2114" s="11" t="n"/>
      <c r="T2114" s="12" t="n"/>
      <c r="U2114" s="12" t="n"/>
      <c r="V2114" s="14">
        <f>IF($AN2114="",IF($B2114="","",$H2114),IF(INDEX(職員マスタ!$B$6:$B$405,$AN2114)="",$H2114,INDEX(職員マスタ!$B$6:$B$405,$AN2114)))</f>
        <v/>
      </c>
      <c r="W2114" s="14">
        <f>IF($AN2114="",IF($B2114="","",$R2114),IF(INDEX(職員マスタ!$C$6:$C$405,$AN2114)="",$R2114,INDEX(職員マスタ!$C$6:$C$405,$AN2114)))</f>
        <v/>
      </c>
      <c r="X2114" s="14">
        <f>IF($AO2114="","","R"&amp;$C2114&amp;"."&amp;$D2114)</f>
        <v/>
      </c>
      <c r="Y2114" s="15">
        <f>IF($AN2114="","",IF(INDEX(職員マスタ!$K$6:$K$405,$AN2114)="","",INDEX(職員マスタ!$K$6:$K$405,$AN2114)))</f>
        <v/>
      </c>
      <c r="Z2114" s="14">
        <f>IF(OR($E2114="",$Y2114=""),"",IF($E2114&gt;=$Y2114,"×",IF($E2114&gt;=$Y2114*設定!$C$5,"△","○")))</f>
        <v/>
      </c>
      <c r="AA2114" s="15">
        <f>IF($Z2114="","",IF($Z2114="×",0,IF($Z2114="○",ROUNDDOWN($E2114*設定!$C$4,0),ROUNDDOWN($E2114*ROUND((9*$Y2114-9*$E2114)/(10*$E2114),4),0))))</f>
        <v/>
      </c>
      <c r="AB2114" s="13" t="n"/>
      <c r="AC2114" s="15">
        <f>IF($B2114="","",IF($AB2114&lt;&gt;"",$AB2114,IF($AA2114="","",IF($AA2114&lt;=設定!$C$3,0,$AA2114))))</f>
        <v/>
      </c>
      <c r="AD2114" s="14">
        <f>IF($B2114="","",IF(AND($AE2114&lt;&gt;"",$AG2114="",$AJ2114=""),"保留中",IF($AJ2114&lt;&gt;"",IF(N($AC2114)&gt;0,"支給済","不支給"),IF($AC2114="","要確認",IF($AC2114=0,"不支給","未処理")))))</f>
        <v/>
      </c>
      <c r="AE2114" s="12" t="n"/>
      <c r="AF2114" s="11" t="n"/>
      <c r="AG2114" s="11" t="n"/>
      <c r="AH2114" s="11" t="n"/>
      <c r="AI2114" s="14">
        <f>IF(AND($AD2114="保留中",$AF2114&lt;&gt;""),TODAY()-$AF2114,"")</f>
        <v/>
      </c>
      <c r="AJ2114" s="12" t="n"/>
      <c r="AK2114" s="14">
        <f>IF($B2114="","",IF($AO2114="","対象年月が未入力／","")&amp;IF($B2114="","",IF($AN2114="","職員マスタに未登録の職員番号／",IF($Y2114="","標準報酬月額が未登録／","")&amp;IF(AND($AO2114&lt;&gt;"",OR(AND(INDEX(職員マスタ!$G$6:$G$405,$AN2114)&lt;&gt;"",INDEX(職員マスタ!$G$6:$G$405,$AN2114)&gt;EOMONTH($AO2114,0)),AND(INDEX(職員マスタ!$H$6:$H$405,$AN2114)&lt;&gt;"",INDEX(職員マスタ!$H$6:$H$405,$AN2114)&lt;$AO2114))),"対象月が時短期間外／","")&amp;IF(AND(INDEX(職員マスタ!$F$6:$F$405,$AN2114)&lt;&gt;"",$AO2114&lt;&gt;"",INDEX(職員マスタ!$F$6:$F$405,$AN2114)&lt;$AO2114),"対象月に子が2歳到達済／","")&amp;IF(AND($H2114&lt;&gt;"",INDEX(職員マスタ!$B$6:$B$405,$AN2114)&lt;&gt;"",SUBSTITUTE(SUBSTITUTE($H2114," ","")," ","")&lt;&gt;SUBSTITUTE(SUBSTITUTE(INDEX(職員マスタ!$B$6:$B$405,$AN2114)," ","")," ","")),"氏名がマスタと相違／","")&amp;IF(AND($Q2114&lt;&gt;"",INDEX(職員マスタ!$E$6:$E$405,$AN2114)&lt;&gt;"",$Q2114&lt;&gt;INDEX(職員マスタ!$E$6:$E$405,$AN2114)),"子の生年月日がマスタと相違／","")&amp;IF(AND($L2114&lt;&gt;"",INDEX(職員マスタ!$G$6:$G$405,$AN2114)&lt;&gt;"",$L2114&lt;&gt;INDEX(職員マスタ!$G$6:$G$405,$AN2114)),"時短開始日がマスタと相違／","")&amp;IF(AND($M2114&lt;&gt;"",INDEX(職員マスタ!$H$6:$H$405,$AN2114)&lt;&gt;"",$M2114&lt;&gt;INDEX(職員マスタ!$H$6:$H$405,$AN2114)),"時短終了日がマスタと相違／","")))&amp;IF(AND($B2114&lt;&gt;"",$E2114=""),"報酬額が未入力／","")&amp;IF(N($U2114)&gt;0,"申請書に入力エラーが残っています／","")&amp;IF(AND($B2114&lt;&gt;"",$AO2114&lt;&gt;""),IF(COUNTIFS($B$6:$B$3005,$B2114,$C$6:$C$3005,$C2114,$D$6:$D$3005,$D2114)&gt;1,"同じ月の請求が重複しています／",""),"")&amp;IF(AND(N($E2114)&gt;0,$Z2114&lt;&gt;"",$Z2114&lt;&gt;"×",$AC2114=0,$AB2114=""),"計算額が下限以下のため不支給／",""))</f>
        <v/>
      </c>
      <c r="AL2114" s="12" t="n"/>
      <c r="AM2114" s="14">
        <f>IF($AD2114="保留中",COUNTIF($AD$6:$AD2114,"保留中"),"")</f>
        <v/>
      </c>
      <c r="AN2114" s="14">
        <f>IF($AO2114="","",IF(SUMPRODUCT(MAX((職員マスタ!$A$6:$A$405=$B2114)*(((職員マスタ!$G$6:$G$405="")+(職員マスタ!$G$6:$G$405&lt;=EOMONTH($AO2114,0)))&gt;0)*(((職員マスタ!$H$6:$H$405="")+(職員マスタ!$H$6:$H$405&gt;=$AO2114))&gt;0)*(ROW(職員マスタ!$A$6:$A$405)-5)))&gt;0,SUMPRODUCT(MAX((職員マスタ!$A$6:$A$405=$B2114)*(((職員マスタ!$G$6:$G$405="")+(職員マスタ!$G$6:$G$405&lt;=EOMONTH($AO2114,0)))&gt;0)*(((職員マスタ!$H$6:$H$405="")+(職員マスタ!$H$6:$H$405&gt;=$AO2114))&gt;0)*(ROW(職員マスタ!$A$6:$A$405)-5))),IFERROR(MATCH($B2114,職員マスタ!$A$6:$A$405,0),"")))</f>
        <v/>
      </c>
      <c r="AO2114" s="16">
        <f>IF(OR($B2114="",$C2114="",$D2114=""),"",DATE($C2114+2018,$D2114,1))</f>
        <v/>
      </c>
    </row>
    <row r="2115">
      <c r="A2115" s="11" t="n"/>
      <c r="B2115" s="12" t="n"/>
      <c r="C2115" s="12" t="n"/>
      <c r="D2115" s="12" t="n"/>
      <c r="E2115" s="13" t="n"/>
      <c r="F2115" s="12" t="n"/>
      <c r="G2115" s="13" t="n"/>
      <c r="H2115" s="12" t="n"/>
      <c r="I2115" s="12" t="n"/>
      <c r="J2115" s="12" t="n"/>
      <c r="K2115" s="12" t="n"/>
      <c r="L2115" s="11" t="n"/>
      <c r="M2115" s="11" t="n"/>
      <c r="N2115" s="11" t="n"/>
      <c r="O2115" s="11" t="n"/>
      <c r="P2115" s="12" t="n"/>
      <c r="Q2115" s="11" t="n"/>
      <c r="R2115" s="12" t="n"/>
      <c r="S2115" s="11" t="n"/>
      <c r="T2115" s="12" t="n"/>
      <c r="U2115" s="12" t="n"/>
      <c r="V2115" s="14">
        <f>IF($AN2115="",IF($B2115="","",$H2115),IF(INDEX(職員マスタ!$B$6:$B$405,$AN2115)="",$H2115,INDEX(職員マスタ!$B$6:$B$405,$AN2115)))</f>
        <v/>
      </c>
      <c r="W2115" s="14">
        <f>IF($AN2115="",IF($B2115="","",$R2115),IF(INDEX(職員マスタ!$C$6:$C$405,$AN2115)="",$R2115,INDEX(職員マスタ!$C$6:$C$405,$AN2115)))</f>
        <v/>
      </c>
      <c r="X2115" s="14">
        <f>IF($AO2115="","","R"&amp;$C2115&amp;"."&amp;$D2115)</f>
        <v/>
      </c>
      <c r="Y2115" s="15">
        <f>IF($AN2115="","",IF(INDEX(職員マスタ!$K$6:$K$405,$AN2115)="","",INDEX(職員マスタ!$K$6:$K$405,$AN2115)))</f>
        <v/>
      </c>
      <c r="Z2115" s="14">
        <f>IF(OR($E2115="",$Y2115=""),"",IF($E2115&gt;=$Y2115,"×",IF($E2115&gt;=$Y2115*設定!$C$5,"△","○")))</f>
        <v/>
      </c>
      <c r="AA2115" s="15">
        <f>IF($Z2115="","",IF($Z2115="×",0,IF($Z2115="○",ROUNDDOWN($E2115*設定!$C$4,0),ROUNDDOWN($E2115*ROUND((9*$Y2115-9*$E2115)/(10*$E2115),4),0))))</f>
        <v/>
      </c>
      <c r="AB2115" s="13" t="n"/>
      <c r="AC2115" s="15">
        <f>IF($B2115="","",IF($AB2115&lt;&gt;"",$AB2115,IF($AA2115="","",IF($AA2115&lt;=設定!$C$3,0,$AA2115))))</f>
        <v/>
      </c>
      <c r="AD2115" s="14">
        <f>IF($B2115="","",IF(AND($AE2115&lt;&gt;"",$AG2115="",$AJ2115=""),"保留中",IF($AJ2115&lt;&gt;"",IF(N($AC2115)&gt;0,"支給済","不支給"),IF($AC2115="","要確認",IF($AC2115=0,"不支給","未処理")))))</f>
        <v/>
      </c>
      <c r="AE2115" s="12" t="n"/>
      <c r="AF2115" s="11" t="n"/>
      <c r="AG2115" s="11" t="n"/>
      <c r="AH2115" s="11" t="n"/>
      <c r="AI2115" s="14">
        <f>IF(AND($AD2115="保留中",$AF2115&lt;&gt;""),TODAY()-$AF2115,"")</f>
        <v/>
      </c>
      <c r="AJ2115" s="12" t="n"/>
      <c r="AK2115" s="14">
        <f>IF($B2115="","",IF($AO2115="","対象年月が未入力／","")&amp;IF($B2115="","",IF($AN2115="","職員マスタに未登録の職員番号／",IF($Y2115="","標準報酬月額が未登録／","")&amp;IF(AND($AO2115&lt;&gt;"",OR(AND(INDEX(職員マスタ!$G$6:$G$405,$AN2115)&lt;&gt;"",INDEX(職員マスタ!$G$6:$G$405,$AN2115)&gt;EOMONTH($AO2115,0)),AND(INDEX(職員マスタ!$H$6:$H$405,$AN2115)&lt;&gt;"",INDEX(職員マスタ!$H$6:$H$405,$AN2115)&lt;$AO2115))),"対象月が時短期間外／","")&amp;IF(AND(INDEX(職員マスタ!$F$6:$F$405,$AN2115)&lt;&gt;"",$AO2115&lt;&gt;"",INDEX(職員マスタ!$F$6:$F$405,$AN2115)&lt;$AO2115),"対象月に子が2歳到達済／","")&amp;IF(AND($H2115&lt;&gt;"",INDEX(職員マスタ!$B$6:$B$405,$AN2115)&lt;&gt;"",SUBSTITUTE(SUBSTITUTE($H2115," ","")," ","")&lt;&gt;SUBSTITUTE(SUBSTITUTE(INDEX(職員マスタ!$B$6:$B$405,$AN2115)," ","")," ","")),"氏名がマスタと相違／","")&amp;IF(AND($Q2115&lt;&gt;"",INDEX(職員マスタ!$E$6:$E$405,$AN2115)&lt;&gt;"",$Q2115&lt;&gt;INDEX(職員マスタ!$E$6:$E$405,$AN2115)),"子の生年月日がマスタと相違／","")&amp;IF(AND($L2115&lt;&gt;"",INDEX(職員マスタ!$G$6:$G$405,$AN2115)&lt;&gt;"",$L2115&lt;&gt;INDEX(職員マスタ!$G$6:$G$405,$AN2115)),"時短開始日がマスタと相違／","")&amp;IF(AND($M2115&lt;&gt;"",INDEX(職員マスタ!$H$6:$H$405,$AN2115)&lt;&gt;"",$M2115&lt;&gt;INDEX(職員マスタ!$H$6:$H$405,$AN2115)),"時短終了日がマスタと相違／","")))&amp;IF(AND($B2115&lt;&gt;"",$E2115=""),"報酬額が未入力／","")&amp;IF(N($U2115)&gt;0,"申請書に入力エラーが残っています／","")&amp;IF(AND($B2115&lt;&gt;"",$AO2115&lt;&gt;""),IF(COUNTIFS($B$6:$B$3005,$B2115,$C$6:$C$3005,$C2115,$D$6:$D$3005,$D2115)&gt;1,"同じ月の請求が重複しています／",""),"")&amp;IF(AND(N($E2115)&gt;0,$Z2115&lt;&gt;"",$Z2115&lt;&gt;"×",$AC2115=0,$AB2115=""),"計算額が下限以下のため不支給／",""))</f>
        <v/>
      </c>
      <c r="AL2115" s="12" t="n"/>
      <c r="AM2115" s="14">
        <f>IF($AD2115="保留中",COUNTIF($AD$6:$AD2115,"保留中"),"")</f>
        <v/>
      </c>
      <c r="AN2115" s="14">
        <f>IF($AO2115="","",IF(SUMPRODUCT(MAX((職員マスタ!$A$6:$A$405=$B2115)*(((職員マスタ!$G$6:$G$405="")+(職員マスタ!$G$6:$G$405&lt;=EOMONTH($AO2115,0)))&gt;0)*(((職員マスタ!$H$6:$H$405="")+(職員マスタ!$H$6:$H$405&gt;=$AO2115))&gt;0)*(ROW(職員マスタ!$A$6:$A$405)-5)))&gt;0,SUMPRODUCT(MAX((職員マスタ!$A$6:$A$405=$B2115)*(((職員マスタ!$G$6:$G$405="")+(職員マスタ!$G$6:$G$405&lt;=EOMONTH($AO2115,0)))&gt;0)*(((職員マスタ!$H$6:$H$405="")+(職員マスタ!$H$6:$H$405&gt;=$AO2115))&gt;0)*(ROW(職員マスタ!$A$6:$A$405)-5))),IFERROR(MATCH($B2115,職員マスタ!$A$6:$A$405,0),"")))</f>
        <v/>
      </c>
      <c r="AO2115" s="16">
        <f>IF(OR($B2115="",$C2115="",$D2115=""),"",DATE($C2115+2018,$D2115,1))</f>
        <v/>
      </c>
    </row>
    <row r="2116">
      <c r="A2116" s="11" t="n"/>
      <c r="B2116" s="12" t="n"/>
      <c r="C2116" s="12" t="n"/>
      <c r="D2116" s="12" t="n"/>
      <c r="E2116" s="13" t="n"/>
      <c r="F2116" s="12" t="n"/>
      <c r="G2116" s="13" t="n"/>
      <c r="H2116" s="12" t="n"/>
      <c r="I2116" s="12" t="n"/>
      <c r="J2116" s="12" t="n"/>
      <c r="K2116" s="12" t="n"/>
      <c r="L2116" s="11" t="n"/>
      <c r="M2116" s="11" t="n"/>
      <c r="N2116" s="11" t="n"/>
      <c r="O2116" s="11" t="n"/>
      <c r="P2116" s="12" t="n"/>
      <c r="Q2116" s="11" t="n"/>
      <c r="R2116" s="12" t="n"/>
      <c r="S2116" s="11" t="n"/>
      <c r="T2116" s="12" t="n"/>
      <c r="U2116" s="12" t="n"/>
      <c r="V2116" s="14">
        <f>IF($AN2116="",IF($B2116="","",$H2116),IF(INDEX(職員マスタ!$B$6:$B$405,$AN2116)="",$H2116,INDEX(職員マスタ!$B$6:$B$405,$AN2116)))</f>
        <v/>
      </c>
      <c r="W2116" s="14">
        <f>IF($AN2116="",IF($B2116="","",$R2116),IF(INDEX(職員マスタ!$C$6:$C$405,$AN2116)="",$R2116,INDEX(職員マスタ!$C$6:$C$405,$AN2116)))</f>
        <v/>
      </c>
      <c r="X2116" s="14">
        <f>IF($AO2116="","","R"&amp;$C2116&amp;"."&amp;$D2116)</f>
        <v/>
      </c>
      <c r="Y2116" s="15">
        <f>IF($AN2116="","",IF(INDEX(職員マスタ!$K$6:$K$405,$AN2116)="","",INDEX(職員マスタ!$K$6:$K$405,$AN2116)))</f>
        <v/>
      </c>
      <c r="Z2116" s="14">
        <f>IF(OR($E2116="",$Y2116=""),"",IF($E2116&gt;=$Y2116,"×",IF($E2116&gt;=$Y2116*設定!$C$5,"△","○")))</f>
        <v/>
      </c>
      <c r="AA2116" s="15">
        <f>IF($Z2116="","",IF($Z2116="×",0,IF($Z2116="○",ROUNDDOWN($E2116*設定!$C$4,0),ROUNDDOWN($E2116*ROUND((9*$Y2116-9*$E2116)/(10*$E2116),4),0))))</f>
        <v/>
      </c>
      <c r="AB2116" s="13" t="n"/>
      <c r="AC2116" s="15">
        <f>IF($B2116="","",IF($AB2116&lt;&gt;"",$AB2116,IF($AA2116="","",IF($AA2116&lt;=設定!$C$3,0,$AA2116))))</f>
        <v/>
      </c>
      <c r="AD2116" s="14">
        <f>IF($B2116="","",IF(AND($AE2116&lt;&gt;"",$AG2116="",$AJ2116=""),"保留中",IF($AJ2116&lt;&gt;"",IF(N($AC2116)&gt;0,"支給済","不支給"),IF($AC2116="","要確認",IF($AC2116=0,"不支給","未処理")))))</f>
        <v/>
      </c>
      <c r="AE2116" s="12" t="n"/>
      <c r="AF2116" s="11" t="n"/>
      <c r="AG2116" s="11" t="n"/>
      <c r="AH2116" s="11" t="n"/>
      <c r="AI2116" s="14">
        <f>IF(AND($AD2116="保留中",$AF2116&lt;&gt;""),TODAY()-$AF2116,"")</f>
        <v/>
      </c>
      <c r="AJ2116" s="12" t="n"/>
      <c r="AK2116" s="14">
        <f>IF($B2116="","",IF($AO2116="","対象年月が未入力／","")&amp;IF($B2116="","",IF($AN2116="","職員マスタに未登録の職員番号／",IF($Y2116="","標準報酬月額が未登録／","")&amp;IF(AND($AO2116&lt;&gt;"",OR(AND(INDEX(職員マスタ!$G$6:$G$405,$AN2116)&lt;&gt;"",INDEX(職員マスタ!$G$6:$G$405,$AN2116)&gt;EOMONTH($AO2116,0)),AND(INDEX(職員マスタ!$H$6:$H$405,$AN2116)&lt;&gt;"",INDEX(職員マスタ!$H$6:$H$405,$AN2116)&lt;$AO2116))),"対象月が時短期間外／","")&amp;IF(AND(INDEX(職員マスタ!$F$6:$F$405,$AN2116)&lt;&gt;"",$AO2116&lt;&gt;"",INDEX(職員マスタ!$F$6:$F$405,$AN2116)&lt;$AO2116),"対象月に子が2歳到達済／","")&amp;IF(AND($H2116&lt;&gt;"",INDEX(職員マスタ!$B$6:$B$405,$AN2116)&lt;&gt;"",SUBSTITUTE(SUBSTITUTE($H2116," ","")," ","")&lt;&gt;SUBSTITUTE(SUBSTITUTE(INDEX(職員マスタ!$B$6:$B$405,$AN2116)," ","")," ","")),"氏名がマスタと相違／","")&amp;IF(AND($Q2116&lt;&gt;"",INDEX(職員マスタ!$E$6:$E$405,$AN2116)&lt;&gt;"",$Q2116&lt;&gt;INDEX(職員マスタ!$E$6:$E$405,$AN2116)),"子の生年月日がマスタと相違／","")&amp;IF(AND($L2116&lt;&gt;"",INDEX(職員マスタ!$G$6:$G$405,$AN2116)&lt;&gt;"",$L2116&lt;&gt;INDEX(職員マスタ!$G$6:$G$405,$AN2116)),"時短開始日がマスタと相違／","")&amp;IF(AND($M2116&lt;&gt;"",INDEX(職員マスタ!$H$6:$H$405,$AN2116)&lt;&gt;"",$M2116&lt;&gt;INDEX(職員マスタ!$H$6:$H$405,$AN2116)),"時短終了日がマスタと相違／","")))&amp;IF(AND($B2116&lt;&gt;"",$E2116=""),"報酬額が未入力／","")&amp;IF(N($U2116)&gt;0,"申請書に入力エラーが残っています／","")&amp;IF(AND($B2116&lt;&gt;"",$AO2116&lt;&gt;""),IF(COUNTIFS($B$6:$B$3005,$B2116,$C$6:$C$3005,$C2116,$D$6:$D$3005,$D2116)&gt;1,"同じ月の請求が重複しています／",""),"")&amp;IF(AND(N($E2116)&gt;0,$Z2116&lt;&gt;"",$Z2116&lt;&gt;"×",$AC2116=0,$AB2116=""),"計算額が下限以下のため不支給／",""))</f>
        <v/>
      </c>
      <c r="AL2116" s="12" t="n"/>
      <c r="AM2116" s="14">
        <f>IF($AD2116="保留中",COUNTIF($AD$6:$AD2116,"保留中"),"")</f>
        <v/>
      </c>
      <c r="AN2116" s="14">
        <f>IF($AO2116="","",IF(SUMPRODUCT(MAX((職員マスタ!$A$6:$A$405=$B2116)*(((職員マスタ!$G$6:$G$405="")+(職員マスタ!$G$6:$G$405&lt;=EOMONTH($AO2116,0)))&gt;0)*(((職員マスタ!$H$6:$H$405="")+(職員マスタ!$H$6:$H$405&gt;=$AO2116))&gt;0)*(ROW(職員マスタ!$A$6:$A$405)-5)))&gt;0,SUMPRODUCT(MAX((職員マスタ!$A$6:$A$405=$B2116)*(((職員マスタ!$G$6:$G$405="")+(職員マスタ!$G$6:$G$405&lt;=EOMONTH($AO2116,0)))&gt;0)*(((職員マスタ!$H$6:$H$405="")+(職員マスタ!$H$6:$H$405&gt;=$AO2116))&gt;0)*(ROW(職員マスタ!$A$6:$A$405)-5))),IFERROR(MATCH($B2116,職員マスタ!$A$6:$A$405,0),"")))</f>
        <v/>
      </c>
      <c r="AO2116" s="16">
        <f>IF(OR($B2116="",$C2116="",$D2116=""),"",DATE($C2116+2018,$D2116,1))</f>
        <v/>
      </c>
    </row>
    <row r="2117">
      <c r="A2117" s="11" t="n"/>
      <c r="B2117" s="12" t="n"/>
      <c r="C2117" s="12" t="n"/>
      <c r="D2117" s="12" t="n"/>
      <c r="E2117" s="13" t="n"/>
      <c r="F2117" s="12" t="n"/>
      <c r="G2117" s="13" t="n"/>
      <c r="H2117" s="12" t="n"/>
      <c r="I2117" s="12" t="n"/>
      <c r="J2117" s="12" t="n"/>
      <c r="K2117" s="12" t="n"/>
      <c r="L2117" s="11" t="n"/>
      <c r="M2117" s="11" t="n"/>
      <c r="N2117" s="11" t="n"/>
      <c r="O2117" s="11" t="n"/>
      <c r="P2117" s="12" t="n"/>
      <c r="Q2117" s="11" t="n"/>
      <c r="R2117" s="12" t="n"/>
      <c r="S2117" s="11" t="n"/>
      <c r="T2117" s="12" t="n"/>
      <c r="U2117" s="12" t="n"/>
      <c r="V2117" s="14">
        <f>IF($AN2117="",IF($B2117="","",$H2117),IF(INDEX(職員マスタ!$B$6:$B$405,$AN2117)="",$H2117,INDEX(職員マスタ!$B$6:$B$405,$AN2117)))</f>
        <v/>
      </c>
      <c r="W2117" s="14">
        <f>IF($AN2117="",IF($B2117="","",$R2117),IF(INDEX(職員マスタ!$C$6:$C$405,$AN2117)="",$R2117,INDEX(職員マスタ!$C$6:$C$405,$AN2117)))</f>
        <v/>
      </c>
      <c r="X2117" s="14">
        <f>IF($AO2117="","","R"&amp;$C2117&amp;"."&amp;$D2117)</f>
        <v/>
      </c>
      <c r="Y2117" s="15">
        <f>IF($AN2117="","",IF(INDEX(職員マスタ!$K$6:$K$405,$AN2117)="","",INDEX(職員マスタ!$K$6:$K$405,$AN2117)))</f>
        <v/>
      </c>
      <c r="Z2117" s="14">
        <f>IF(OR($E2117="",$Y2117=""),"",IF($E2117&gt;=$Y2117,"×",IF($E2117&gt;=$Y2117*設定!$C$5,"△","○")))</f>
        <v/>
      </c>
      <c r="AA2117" s="15">
        <f>IF($Z2117="","",IF($Z2117="×",0,IF($Z2117="○",ROUNDDOWN($E2117*設定!$C$4,0),ROUNDDOWN($E2117*ROUND((9*$Y2117-9*$E2117)/(10*$E2117),4),0))))</f>
        <v/>
      </c>
      <c r="AB2117" s="13" t="n"/>
      <c r="AC2117" s="15">
        <f>IF($B2117="","",IF($AB2117&lt;&gt;"",$AB2117,IF($AA2117="","",IF($AA2117&lt;=設定!$C$3,0,$AA2117))))</f>
        <v/>
      </c>
      <c r="AD2117" s="14">
        <f>IF($B2117="","",IF(AND($AE2117&lt;&gt;"",$AG2117="",$AJ2117=""),"保留中",IF($AJ2117&lt;&gt;"",IF(N($AC2117)&gt;0,"支給済","不支給"),IF($AC2117="","要確認",IF($AC2117=0,"不支給","未処理")))))</f>
        <v/>
      </c>
      <c r="AE2117" s="12" t="n"/>
      <c r="AF2117" s="11" t="n"/>
      <c r="AG2117" s="11" t="n"/>
      <c r="AH2117" s="11" t="n"/>
      <c r="AI2117" s="14">
        <f>IF(AND($AD2117="保留中",$AF2117&lt;&gt;""),TODAY()-$AF2117,"")</f>
        <v/>
      </c>
      <c r="AJ2117" s="12" t="n"/>
      <c r="AK2117" s="14">
        <f>IF($B2117="","",IF($AO2117="","対象年月が未入力／","")&amp;IF($B2117="","",IF($AN2117="","職員マスタに未登録の職員番号／",IF($Y2117="","標準報酬月額が未登録／","")&amp;IF(AND($AO2117&lt;&gt;"",OR(AND(INDEX(職員マスタ!$G$6:$G$405,$AN2117)&lt;&gt;"",INDEX(職員マスタ!$G$6:$G$405,$AN2117)&gt;EOMONTH($AO2117,0)),AND(INDEX(職員マスタ!$H$6:$H$405,$AN2117)&lt;&gt;"",INDEX(職員マスタ!$H$6:$H$405,$AN2117)&lt;$AO2117))),"対象月が時短期間外／","")&amp;IF(AND(INDEX(職員マスタ!$F$6:$F$405,$AN2117)&lt;&gt;"",$AO2117&lt;&gt;"",INDEX(職員マスタ!$F$6:$F$405,$AN2117)&lt;$AO2117),"対象月に子が2歳到達済／","")&amp;IF(AND($H2117&lt;&gt;"",INDEX(職員マスタ!$B$6:$B$405,$AN2117)&lt;&gt;"",SUBSTITUTE(SUBSTITUTE($H2117," ","")," ","")&lt;&gt;SUBSTITUTE(SUBSTITUTE(INDEX(職員マスタ!$B$6:$B$405,$AN2117)," ","")," ","")),"氏名がマスタと相違／","")&amp;IF(AND($Q2117&lt;&gt;"",INDEX(職員マスタ!$E$6:$E$405,$AN2117)&lt;&gt;"",$Q2117&lt;&gt;INDEX(職員マスタ!$E$6:$E$405,$AN2117)),"子の生年月日がマスタと相違／","")&amp;IF(AND($L2117&lt;&gt;"",INDEX(職員マスタ!$G$6:$G$405,$AN2117)&lt;&gt;"",$L2117&lt;&gt;INDEX(職員マスタ!$G$6:$G$405,$AN2117)),"時短開始日がマスタと相違／","")&amp;IF(AND($M2117&lt;&gt;"",INDEX(職員マスタ!$H$6:$H$405,$AN2117)&lt;&gt;"",$M2117&lt;&gt;INDEX(職員マスタ!$H$6:$H$405,$AN2117)),"時短終了日がマスタと相違／","")))&amp;IF(AND($B2117&lt;&gt;"",$E2117=""),"報酬額が未入力／","")&amp;IF(N($U2117)&gt;0,"申請書に入力エラーが残っています／","")&amp;IF(AND($B2117&lt;&gt;"",$AO2117&lt;&gt;""),IF(COUNTIFS($B$6:$B$3005,$B2117,$C$6:$C$3005,$C2117,$D$6:$D$3005,$D2117)&gt;1,"同じ月の請求が重複しています／",""),"")&amp;IF(AND(N($E2117)&gt;0,$Z2117&lt;&gt;"",$Z2117&lt;&gt;"×",$AC2117=0,$AB2117=""),"計算額が下限以下のため不支給／",""))</f>
        <v/>
      </c>
      <c r="AL2117" s="12" t="n"/>
      <c r="AM2117" s="14">
        <f>IF($AD2117="保留中",COUNTIF($AD$6:$AD2117,"保留中"),"")</f>
        <v/>
      </c>
      <c r="AN2117" s="14">
        <f>IF($AO2117="","",IF(SUMPRODUCT(MAX((職員マスタ!$A$6:$A$405=$B2117)*(((職員マスタ!$G$6:$G$405="")+(職員マスタ!$G$6:$G$405&lt;=EOMONTH($AO2117,0)))&gt;0)*(((職員マスタ!$H$6:$H$405="")+(職員マスタ!$H$6:$H$405&gt;=$AO2117))&gt;0)*(ROW(職員マスタ!$A$6:$A$405)-5)))&gt;0,SUMPRODUCT(MAX((職員マスタ!$A$6:$A$405=$B2117)*(((職員マスタ!$G$6:$G$405="")+(職員マスタ!$G$6:$G$405&lt;=EOMONTH($AO2117,0)))&gt;0)*(((職員マスタ!$H$6:$H$405="")+(職員マスタ!$H$6:$H$405&gt;=$AO2117))&gt;0)*(ROW(職員マスタ!$A$6:$A$405)-5))),IFERROR(MATCH($B2117,職員マスタ!$A$6:$A$405,0),"")))</f>
        <v/>
      </c>
      <c r="AO2117" s="16">
        <f>IF(OR($B2117="",$C2117="",$D2117=""),"",DATE($C2117+2018,$D2117,1))</f>
        <v/>
      </c>
    </row>
    <row r="2118">
      <c r="A2118" s="11" t="n"/>
      <c r="B2118" s="12" t="n"/>
      <c r="C2118" s="12" t="n"/>
      <c r="D2118" s="12" t="n"/>
      <c r="E2118" s="13" t="n"/>
      <c r="F2118" s="12" t="n"/>
      <c r="G2118" s="13" t="n"/>
      <c r="H2118" s="12" t="n"/>
      <c r="I2118" s="12" t="n"/>
      <c r="J2118" s="12" t="n"/>
      <c r="K2118" s="12" t="n"/>
      <c r="L2118" s="11" t="n"/>
      <c r="M2118" s="11" t="n"/>
      <c r="N2118" s="11" t="n"/>
      <c r="O2118" s="11" t="n"/>
      <c r="P2118" s="12" t="n"/>
      <c r="Q2118" s="11" t="n"/>
      <c r="R2118" s="12" t="n"/>
      <c r="S2118" s="11" t="n"/>
      <c r="T2118" s="12" t="n"/>
      <c r="U2118" s="12" t="n"/>
      <c r="V2118" s="14">
        <f>IF($AN2118="",IF($B2118="","",$H2118),IF(INDEX(職員マスタ!$B$6:$B$405,$AN2118)="",$H2118,INDEX(職員マスタ!$B$6:$B$405,$AN2118)))</f>
        <v/>
      </c>
      <c r="W2118" s="14">
        <f>IF($AN2118="",IF($B2118="","",$R2118),IF(INDEX(職員マスタ!$C$6:$C$405,$AN2118)="",$R2118,INDEX(職員マスタ!$C$6:$C$405,$AN2118)))</f>
        <v/>
      </c>
      <c r="X2118" s="14">
        <f>IF($AO2118="","","R"&amp;$C2118&amp;"."&amp;$D2118)</f>
        <v/>
      </c>
      <c r="Y2118" s="15">
        <f>IF($AN2118="","",IF(INDEX(職員マスタ!$K$6:$K$405,$AN2118)="","",INDEX(職員マスタ!$K$6:$K$405,$AN2118)))</f>
        <v/>
      </c>
      <c r="Z2118" s="14">
        <f>IF(OR($E2118="",$Y2118=""),"",IF($E2118&gt;=$Y2118,"×",IF($E2118&gt;=$Y2118*設定!$C$5,"△","○")))</f>
        <v/>
      </c>
      <c r="AA2118" s="15">
        <f>IF($Z2118="","",IF($Z2118="×",0,IF($Z2118="○",ROUNDDOWN($E2118*設定!$C$4,0),ROUNDDOWN($E2118*ROUND((9*$Y2118-9*$E2118)/(10*$E2118),4),0))))</f>
        <v/>
      </c>
      <c r="AB2118" s="13" t="n"/>
      <c r="AC2118" s="15">
        <f>IF($B2118="","",IF($AB2118&lt;&gt;"",$AB2118,IF($AA2118="","",IF($AA2118&lt;=設定!$C$3,0,$AA2118))))</f>
        <v/>
      </c>
      <c r="AD2118" s="14">
        <f>IF($B2118="","",IF(AND($AE2118&lt;&gt;"",$AG2118="",$AJ2118=""),"保留中",IF($AJ2118&lt;&gt;"",IF(N($AC2118)&gt;0,"支給済","不支給"),IF($AC2118="","要確認",IF($AC2118=0,"不支給","未処理")))))</f>
        <v/>
      </c>
      <c r="AE2118" s="12" t="n"/>
      <c r="AF2118" s="11" t="n"/>
      <c r="AG2118" s="11" t="n"/>
      <c r="AH2118" s="11" t="n"/>
      <c r="AI2118" s="14">
        <f>IF(AND($AD2118="保留中",$AF2118&lt;&gt;""),TODAY()-$AF2118,"")</f>
        <v/>
      </c>
      <c r="AJ2118" s="12" t="n"/>
      <c r="AK2118" s="14">
        <f>IF($B2118="","",IF($AO2118="","対象年月が未入力／","")&amp;IF($B2118="","",IF($AN2118="","職員マスタに未登録の職員番号／",IF($Y2118="","標準報酬月額が未登録／","")&amp;IF(AND($AO2118&lt;&gt;"",OR(AND(INDEX(職員マスタ!$G$6:$G$405,$AN2118)&lt;&gt;"",INDEX(職員マスタ!$G$6:$G$405,$AN2118)&gt;EOMONTH($AO2118,0)),AND(INDEX(職員マスタ!$H$6:$H$405,$AN2118)&lt;&gt;"",INDEX(職員マスタ!$H$6:$H$405,$AN2118)&lt;$AO2118))),"対象月が時短期間外／","")&amp;IF(AND(INDEX(職員マスタ!$F$6:$F$405,$AN2118)&lt;&gt;"",$AO2118&lt;&gt;"",INDEX(職員マスタ!$F$6:$F$405,$AN2118)&lt;$AO2118),"対象月に子が2歳到達済／","")&amp;IF(AND($H2118&lt;&gt;"",INDEX(職員マスタ!$B$6:$B$405,$AN2118)&lt;&gt;"",SUBSTITUTE(SUBSTITUTE($H2118," ","")," ","")&lt;&gt;SUBSTITUTE(SUBSTITUTE(INDEX(職員マスタ!$B$6:$B$405,$AN2118)," ","")," ","")),"氏名がマスタと相違／","")&amp;IF(AND($Q2118&lt;&gt;"",INDEX(職員マスタ!$E$6:$E$405,$AN2118)&lt;&gt;"",$Q2118&lt;&gt;INDEX(職員マスタ!$E$6:$E$405,$AN2118)),"子の生年月日がマスタと相違／","")&amp;IF(AND($L2118&lt;&gt;"",INDEX(職員マスタ!$G$6:$G$405,$AN2118)&lt;&gt;"",$L2118&lt;&gt;INDEX(職員マスタ!$G$6:$G$405,$AN2118)),"時短開始日がマスタと相違／","")&amp;IF(AND($M2118&lt;&gt;"",INDEX(職員マスタ!$H$6:$H$405,$AN2118)&lt;&gt;"",$M2118&lt;&gt;INDEX(職員マスタ!$H$6:$H$405,$AN2118)),"時短終了日がマスタと相違／","")))&amp;IF(AND($B2118&lt;&gt;"",$E2118=""),"報酬額が未入力／","")&amp;IF(N($U2118)&gt;0,"申請書に入力エラーが残っています／","")&amp;IF(AND($B2118&lt;&gt;"",$AO2118&lt;&gt;""),IF(COUNTIFS($B$6:$B$3005,$B2118,$C$6:$C$3005,$C2118,$D$6:$D$3005,$D2118)&gt;1,"同じ月の請求が重複しています／",""),"")&amp;IF(AND(N($E2118)&gt;0,$Z2118&lt;&gt;"",$Z2118&lt;&gt;"×",$AC2118=0,$AB2118=""),"計算額が下限以下のため不支給／",""))</f>
        <v/>
      </c>
      <c r="AL2118" s="12" t="n"/>
      <c r="AM2118" s="14">
        <f>IF($AD2118="保留中",COUNTIF($AD$6:$AD2118,"保留中"),"")</f>
        <v/>
      </c>
      <c r="AN2118" s="14">
        <f>IF($AO2118="","",IF(SUMPRODUCT(MAX((職員マスタ!$A$6:$A$405=$B2118)*(((職員マスタ!$G$6:$G$405="")+(職員マスタ!$G$6:$G$405&lt;=EOMONTH($AO2118,0)))&gt;0)*(((職員マスタ!$H$6:$H$405="")+(職員マスタ!$H$6:$H$405&gt;=$AO2118))&gt;0)*(ROW(職員マスタ!$A$6:$A$405)-5)))&gt;0,SUMPRODUCT(MAX((職員マスタ!$A$6:$A$405=$B2118)*(((職員マスタ!$G$6:$G$405="")+(職員マスタ!$G$6:$G$405&lt;=EOMONTH($AO2118,0)))&gt;0)*(((職員マスタ!$H$6:$H$405="")+(職員マスタ!$H$6:$H$405&gt;=$AO2118))&gt;0)*(ROW(職員マスタ!$A$6:$A$405)-5))),IFERROR(MATCH($B2118,職員マスタ!$A$6:$A$405,0),"")))</f>
        <v/>
      </c>
      <c r="AO2118" s="16">
        <f>IF(OR($B2118="",$C2118="",$D2118=""),"",DATE($C2118+2018,$D2118,1))</f>
        <v/>
      </c>
    </row>
    <row r="2119">
      <c r="A2119" s="11" t="n"/>
      <c r="B2119" s="12" t="n"/>
      <c r="C2119" s="12" t="n"/>
      <c r="D2119" s="12" t="n"/>
      <c r="E2119" s="13" t="n"/>
      <c r="F2119" s="12" t="n"/>
      <c r="G2119" s="13" t="n"/>
      <c r="H2119" s="12" t="n"/>
      <c r="I2119" s="12" t="n"/>
      <c r="J2119" s="12" t="n"/>
      <c r="K2119" s="12" t="n"/>
      <c r="L2119" s="11" t="n"/>
      <c r="M2119" s="11" t="n"/>
      <c r="N2119" s="11" t="n"/>
      <c r="O2119" s="11" t="n"/>
      <c r="P2119" s="12" t="n"/>
      <c r="Q2119" s="11" t="n"/>
      <c r="R2119" s="12" t="n"/>
      <c r="S2119" s="11" t="n"/>
      <c r="T2119" s="12" t="n"/>
      <c r="U2119" s="12" t="n"/>
      <c r="V2119" s="14">
        <f>IF($AN2119="",IF($B2119="","",$H2119),IF(INDEX(職員マスタ!$B$6:$B$405,$AN2119)="",$H2119,INDEX(職員マスタ!$B$6:$B$405,$AN2119)))</f>
        <v/>
      </c>
      <c r="W2119" s="14">
        <f>IF($AN2119="",IF($B2119="","",$R2119),IF(INDEX(職員マスタ!$C$6:$C$405,$AN2119)="",$R2119,INDEX(職員マスタ!$C$6:$C$405,$AN2119)))</f>
        <v/>
      </c>
      <c r="X2119" s="14">
        <f>IF($AO2119="","","R"&amp;$C2119&amp;"."&amp;$D2119)</f>
        <v/>
      </c>
      <c r="Y2119" s="15">
        <f>IF($AN2119="","",IF(INDEX(職員マスタ!$K$6:$K$405,$AN2119)="","",INDEX(職員マスタ!$K$6:$K$405,$AN2119)))</f>
        <v/>
      </c>
      <c r="Z2119" s="14">
        <f>IF(OR($E2119="",$Y2119=""),"",IF($E2119&gt;=$Y2119,"×",IF($E2119&gt;=$Y2119*設定!$C$5,"△","○")))</f>
        <v/>
      </c>
      <c r="AA2119" s="15">
        <f>IF($Z2119="","",IF($Z2119="×",0,IF($Z2119="○",ROUNDDOWN($E2119*設定!$C$4,0),ROUNDDOWN($E2119*ROUND((9*$Y2119-9*$E2119)/(10*$E2119),4),0))))</f>
        <v/>
      </c>
      <c r="AB2119" s="13" t="n"/>
      <c r="AC2119" s="15">
        <f>IF($B2119="","",IF($AB2119&lt;&gt;"",$AB2119,IF($AA2119="","",IF($AA2119&lt;=設定!$C$3,0,$AA2119))))</f>
        <v/>
      </c>
      <c r="AD2119" s="14">
        <f>IF($B2119="","",IF(AND($AE2119&lt;&gt;"",$AG2119="",$AJ2119=""),"保留中",IF($AJ2119&lt;&gt;"",IF(N($AC2119)&gt;0,"支給済","不支給"),IF($AC2119="","要確認",IF($AC2119=0,"不支給","未処理")))))</f>
        <v/>
      </c>
      <c r="AE2119" s="12" t="n"/>
      <c r="AF2119" s="11" t="n"/>
      <c r="AG2119" s="11" t="n"/>
      <c r="AH2119" s="11" t="n"/>
      <c r="AI2119" s="14">
        <f>IF(AND($AD2119="保留中",$AF2119&lt;&gt;""),TODAY()-$AF2119,"")</f>
        <v/>
      </c>
      <c r="AJ2119" s="12" t="n"/>
      <c r="AK2119" s="14">
        <f>IF($B2119="","",IF($AO2119="","対象年月が未入力／","")&amp;IF($B2119="","",IF($AN2119="","職員マスタに未登録の職員番号／",IF($Y2119="","標準報酬月額が未登録／","")&amp;IF(AND($AO2119&lt;&gt;"",OR(AND(INDEX(職員マスタ!$G$6:$G$405,$AN2119)&lt;&gt;"",INDEX(職員マスタ!$G$6:$G$405,$AN2119)&gt;EOMONTH($AO2119,0)),AND(INDEX(職員マスタ!$H$6:$H$405,$AN2119)&lt;&gt;"",INDEX(職員マスタ!$H$6:$H$405,$AN2119)&lt;$AO2119))),"対象月が時短期間外／","")&amp;IF(AND(INDEX(職員マスタ!$F$6:$F$405,$AN2119)&lt;&gt;"",$AO2119&lt;&gt;"",INDEX(職員マスタ!$F$6:$F$405,$AN2119)&lt;$AO2119),"対象月に子が2歳到達済／","")&amp;IF(AND($H2119&lt;&gt;"",INDEX(職員マスタ!$B$6:$B$405,$AN2119)&lt;&gt;"",SUBSTITUTE(SUBSTITUTE($H2119," ","")," ","")&lt;&gt;SUBSTITUTE(SUBSTITUTE(INDEX(職員マスタ!$B$6:$B$405,$AN2119)," ","")," ","")),"氏名がマスタと相違／","")&amp;IF(AND($Q2119&lt;&gt;"",INDEX(職員マスタ!$E$6:$E$405,$AN2119)&lt;&gt;"",$Q2119&lt;&gt;INDEX(職員マスタ!$E$6:$E$405,$AN2119)),"子の生年月日がマスタと相違／","")&amp;IF(AND($L2119&lt;&gt;"",INDEX(職員マスタ!$G$6:$G$405,$AN2119)&lt;&gt;"",$L2119&lt;&gt;INDEX(職員マスタ!$G$6:$G$405,$AN2119)),"時短開始日がマスタと相違／","")&amp;IF(AND($M2119&lt;&gt;"",INDEX(職員マスタ!$H$6:$H$405,$AN2119)&lt;&gt;"",$M2119&lt;&gt;INDEX(職員マスタ!$H$6:$H$405,$AN2119)),"時短終了日がマスタと相違／","")))&amp;IF(AND($B2119&lt;&gt;"",$E2119=""),"報酬額が未入力／","")&amp;IF(N($U2119)&gt;0,"申請書に入力エラーが残っています／","")&amp;IF(AND($B2119&lt;&gt;"",$AO2119&lt;&gt;""),IF(COUNTIFS($B$6:$B$3005,$B2119,$C$6:$C$3005,$C2119,$D$6:$D$3005,$D2119)&gt;1,"同じ月の請求が重複しています／",""),"")&amp;IF(AND(N($E2119)&gt;0,$Z2119&lt;&gt;"",$Z2119&lt;&gt;"×",$AC2119=0,$AB2119=""),"計算額が下限以下のため不支給／",""))</f>
        <v/>
      </c>
      <c r="AL2119" s="12" t="n"/>
      <c r="AM2119" s="14">
        <f>IF($AD2119="保留中",COUNTIF($AD$6:$AD2119,"保留中"),"")</f>
        <v/>
      </c>
      <c r="AN2119" s="14">
        <f>IF($AO2119="","",IF(SUMPRODUCT(MAX((職員マスタ!$A$6:$A$405=$B2119)*(((職員マスタ!$G$6:$G$405="")+(職員マスタ!$G$6:$G$405&lt;=EOMONTH($AO2119,0)))&gt;0)*(((職員マスタ!$H$6:$H$405="")+(職員マスタ!$H$6:$H$405&gt;=$AO2119))&gt;0)*(ROW(職員マスタ!$A$6:$A$405)-5)))&gt;0,SUMPRODUCT(MAX((職員マスタ!$A$6:$A$405=$B2119)*(((職員マスタ!$G$6:$G$405="")+(職員マスタ!$G$6:$G$405&lt;=EOMONTH($AO2119,0)))&gt;0)*(((職員マスタ!$H$6:$H$405="")+(職員マスタ!$H$6:$H$405&gt;=$AO2119))&gt;0)*(ROW(職員マスタ!$A$6:$A$405)-5))),IFERROR(MATCH($B2119,職員マスタ!$A$6:$A$405,0),"")))</f>
        <v/>
      </c>
      <c r="AO2119" s="16">
        <f>IF(OR($B2119="",$C2119="",$D2119=""),"",DATE($C2119+2018,$D2119,1))</f>
        <v/>
      </c>
    </row>
    <row r="2120">
      <c r="A2120" s="11" t="n"/>
      <c r="B2120" s="12" t="n"/>
      <c r="C2120" s="12" t="n"/>
      <c r="D2120" s="12" t="n"/>
      <c r="E2120" s="13" t="n"/>
      <c r="F2120" s="12" t="n"/>
      <c r="G2120" s="13" t="n"/>
      <c r="H2120" s="12" t="n"/>
      <c r="I2120" s="12" t="n"/>
      <c r="J2120" s="12" t="n"/>
      <c r="K2120" s="12" t="n"/>
      <c r="L2120" s="11" t="n"/>
      <c r="M2120" s="11" t="n"/>
      <c r="N2120" s="11" t="n"/>
      <c r="O2120" s="11" t="n"/>
      <c r="P2120" s="12" t="n"/>
      <c r="Q2120" s="11" t="n"/>
      <c r="R2120" s="12" t="n"/>
      <c r="S2120" s="11" t="n"/>
      <c r="T2120" s="12" t="n"/>
      <c r="U2120" s="12" t="n"/>
      <c r="V2120" s="14">
        <f>IF($AN2120="",IF($B2120="","",$H2120),IF(INDEX(職員マスタ!$B$6:$B$405,$AN2120)="",$H2120,INDEX(職員マスタ!$B$6:$B$405,$AN2120)))</f>
        <v/>
      </c>
      <c r="W2120" s="14">
        <f>IF($AN2120="",IF($B2120="","",$R2120),IF(INDEX(職員マスタ!$C$6:$C$405,$AN2120)="",$R2120,INDEX(職員マスタ!$C$6:$C$405,$AN2120)))</f>
        <v/>
      </c>
      <c r="X2120" s="14">
        <f>IF($AO2120="","","R"&amp;$C2120&amp;"."&amp;$D2120)</f>
        <v/>
      </c>
      <c r="Y2120" s="15">
        <f>IF($AN2120="","",IF(INDEX(職員マスタ!$K$6:$K$405,$AN2120)="","",INDEX(職員マスタ!$K$6:$K$405,$AN2120)))</f>
        <v/>
      </c>
      <c r="Z2120" s="14">
        <f>IF(OR($E2120="",$Y2120=""),"",IF($E2120&gt;=$Y2120,"×",IF($E2120&gt;=$Y2120*設定!$C$5,"△","○")))</f>
        <v/>
      </c>
      <c r="AA2120" s="15">
        <f>IF($Z2120="","",IF($Z2120="×",0,IF($Z2120="○",ROUNDDOWN($E2120*設定!$C$4,0),ROUNDDOWN($E2120*ROUND((9*$Y2120-9*$E2120)/(10*$E2120),4),0))))</f>
        <v/>
      </c>
      <c r="AB2120" s="13" t="n"/>
      <c r="AC2120" s="15">
        <f>IF($B2120="","",IF($AB2120&lt;&gt;"",$AB2120,IF($AA2120="","",IF($AA2120&lt;=設定!$C$3,0,$AA2120))))</f>
        <v/>
      </c>
      <c r="AD2120" s="14">
        <f>IF($B2120="","",IF(AND($AE2120&lt;&gt;"",$AG2120="",$AJ2120=""),"保留中",IF($AJ2120&lt;&gt;"",IF(N($AC2120)&gt;0,"支給済","不支給"),IF($AC2120="","要確認",IF($AC2120=0,"不支給","未処理")))))</f>
        <v/>
      </c>
      <c r="AE2120" s="12" t="n"/>
      <c r="AF2120" s="11" t="n"/>
      <c r="AG2120" s="11" t="n"/>
      <c r="AH2120" s="11" t="n"/>
      <c r="AI2120" s="14">
        <f>IF(AND($AD2120="保留中",$AF2120&lt;&gt;""),TODAY()-$AF2120,"")</f>
        <v/>
      </c>
      <c r="AJ2120" s="12" t="n"/>
      <c r="AK2120" s="14">
        <f>IF($B2120="","",IF($AO2120="","対象年月が未入力／","")&amp;IF($B2120="","",IF($AN2120="","職員マスタに未登録の職員番号／",IF($Y2120="","標準報酬月額が未登録／","")&amp;IF(AND($AO2120&lt;&gt;"",OR(AND(INDEX(職員マスタ!$G$6:$G$405,$AN2120)&lt;&gt;"",INDEX(職員マスタ!$G$6:$G$405,$AN2120)&gt;EOMONTH($AO2120,0)),AND(INDEX(職員マスタ!$H$6:$H$405,$AN2120)&lt;&gt;"",INDEX(職員マスタ!$H$6:$H$405,$AN2120)&lt;$AO2120))),"対象月が時短期間外／","")&amp;IF(AND(INDEX(職員マスタ!$F$6:$F$405,$AN2120)&lt;&gt;"",$AO2120&lt;&gt;"",INDEX(職員マスタ!$F$6:$F$405,$AN2120)&lt;$AO2120),"対象月に子が2歳到達済／","")&amp;IF(AND($H2120&lt;&gt;"",INDEX(職員マスタ!$B$6:$B$405,$AN2120)&lt;&gt;"",SUBSTITUTE(SUBSTITUTE($H2120," ","")," ","")&lt;&gt;SUBSTITUTE(SUBSTITUTE(INDEX(職員マスタ!$B$6:$B$405,$AN2120)," ","")," ","")),"氏名がマスタと相違／","")&amp;IF(AND($Q2120&lt;&gt;"",INDEX(職員マスタ!$E$6:$E$405,$AN2120)&lt;&gt;"",$Q2120&lt;&gt;INDEX(職員マスタ!$E$6:$E$405,$AN2120)),"子の生年月日がマスタと相違／","")&amp;IF(AND($L2120&lt;&gt;"",INDEX(職員マスタ!$G$6:$G$405,$AN2120)&lt;&gt;"",$L2120&lt;&gt;INDEX(職員マスタ!$G$6:$G$405,$AN2120)),"時短開始日がマスタと相違／","")&amp;IF(AND($M2120&lt;&gt;"",INDEX(職員マスタ!$H$6:$H$405,$AN2120)&lt;&gt;"",$M2120&lt;&gt;INDEX(職員マスタ!$H$6:$H$405,$AN2120)),"時短終了日がマスタと相違／","")))&amp;IF(AND($B2120&lt;&gt;"",$E2120=""),"報酬額が未入力／","")&amp;IF(N($U2120)&gt;0,"申請書に入力エラーが残っています／","")&amp;IF(AND($B2120&lt;&gt;"",$AO2120&lt;&gt;""),IF(COUNTIFS($B$6:$B$3005,$B2120,$C$6:$C$3005,$C2120,$D$6:$D$3005,$D2120)&gt;1,"同じ月の請求が重複しています／",""),"")&amp;IF(AND(N($E2120)&gt;0,$Z2120&lt;&gt;"",$Z2120&lt;&gt;"×",$AC2120=0,$AB2120=""),"計算額が下限以下のため不支給／",""))</f>
        <v/>
      </c>
      <c r="AL2120" s="12" t="n"/>
      <c r="AM2120" s="14">
        <f>IF($AD2120="保留中",COUNTIF($AD$6:$AD2120,"保留中"),"")</f>
        <v/>
      </c>
      <c r="AN2120" s="14">
        <f>IF($AO2120="","",IF(SUMPRODUCT(MAX((職員マスタ!$A$6:$A$405=$B2120)*(((職員マスタ!$G$6:$G$405="")+(職員マスタ!$G$6:$G$405&lt;=EOMONTH($AO2120,0)))&gt;0)*(((職員マスタ!$H$6:$H$405="")+(職員マスタ!$H$6:$H$405&gt;=$AO2120))&gt;0)*(ROW(職員マスタ!$A$6:$A$405)-5)))&gt;0,SUMPRODUCT(MAX((職員マスタ!$A$6:$A$405=$B2120)*(((職員マスタ!$G$6:$G$405="")+(職員マスタ!$G$6:$G$405&lt;=EOMONTH($AO2120,0)))&gt;0)*(((職員マスタ!$H$6:$H$405="")+(職員マスタ!$H$6:$H$405&gt;=$AO2120))&gt;0)*(ROW(職員マスタ!$A$6:$A$405)-5))),IFERROR(MATCH($B2120,職員マスタ!$A$6:$A$405,0),"")))</f>
        <v/>
      </c>
      <c r="AO2120" s="16">
        <f>IF(OR($B2120="",$C2120="",$D2120=""),"",DATE($C2120+2018,$D2120,1))</f>
        <v/>
      </c>
    </row>
    <row r="2121">
      <c r="A2121" s="11" t="n"/>
      <c r="B2121" s="12" t="n"/>
      <c r="C2121" s="12" t="n"/>
      <c r="D2121" s="12" t="n"/>
      <c r="E2121" s="13" t="n"/>
      <c r="F2121" s="12" t="n"/>
      <c r="G2121" s="13" t="n"/>
      <c r="H2121" s="12" t="n"/>
      <c r="I2121" s="12" t="n"/>
      <c r="J2121" s="12" t="n"/>
      <c r="K2121" s="12" t="n"/>
      <c r="L2121" s="11" t="n"/>
      <c r="M2121" s="11" t="n"/>
      <c r="N2121" s="11" t="n"/>
      <c r="O2121" s="11" t="n"/>
      <c r="P2121" s="12" t="n"/>
      <c r="Q2121" s="11" t="n"/>
      <c r="R2121" s="12" t="n"/>
      <c r="S2121" s="11" t="n"/>
      <c r="T2121" s="12" t="n"/>
      <c r="U2121" s="12" t="n"/>
      <c r="V2121" s="14">
        <f>IF($AN2121="",IF($B2121="","",$H2121),IF(INDEX(職員マスタ!$B$6:$B$405,$AN2121)="",$H2121,INDEX(職員マスタ!$B$6:$B$405,$AN2121)))</f>
        <v/>
      </c>
      <c r="W2121" s="14">
        <f>IF($AN2121="",IF($B2121="","",$R2121),IF(INDEX(職員マスタ!$C$6:$C$405,$AN2121)="",$R2121,INDEX(職員マスタ!$C$6:$C$405,$AN2121)))</f>
        <v/>
      </c>
      <c r="X2121" s="14">
        <f>IF($AO2121="","","R"&amp;$C2121&amp;"."&amp;$D2121)</f>
        <v/>
      </c>
      <c r="Y2121" s="15">
        <f>IF($AN2121="","",IF(INDEX(職員マスタ!$K$6:$K$405,$AN2121)="","",INDEX(職員マスタ!$K$6:$K$405,$AN2121)))</f>
        <v/>
      </c>
      <c r="Z2121" s="14">
        <f>IF(OR($E2121="",$Y2121=""),"",IF($E2121&gt;=$Y2121,"×",IF($E2121&gt;=$Y2121*設定!$C$5,"△","○")))</f>
        <v/>
      </c>
      <c r="AA2121" s="15">
        <f>IF($Z2121="","",IF($Z2121="×",0,IF($Z2121="○",ROUNDDOWN($E2121*設定!$C$4,0),ROUNDDOWN($E2121*ROUND((9*$Y2121-9*$E2121)/(10*$E2121),4),0))))</f>
        <v/>
      </c>
      <c r="AB2121" s="13" t="n"/>
      <c r="AC2121" s="15">
        <f>IF($B2121="","",IF($AB2121&lt;&gt;"",$AB2121,IF($AA2121="","",IF($AA2121&lt;=設定!$C$3,0,$AA2121))))</f>
        <v/>
      </c>
      <c r="AD2121" s="14">
        <f>IF($B2121="","",IF(AND($AE2121&lt;&gt;"",$AG2121="",$AJ2121=""),"保留中",IF($AJ2121&lt;&gt;"",IF(N($AC2121)&gt;0,"支給済","不支給"),IF($AC2121="","要確認",IF($AC2121=0,"不支給","未処理")))))</f>
        <v/>
      </c>
      <c r="AE2121" s="12" t="n"/>
      <c r="AF2121" s="11" t="n"/>
      <c r="AG2121" s="11" t="n"/>
      <c r="AH2121" s="11" t="n"/>
      <c r="AI2121" s="14">
        <f>IF(AND($AD2121="保留中",$AF2121&lt;&gt;""),TODAY()-$AF2121,"")</f>
        <v/>
      </c>
      <c r="AJ2121" s="12" t="n"/>
      <c r="AK2121" s="14">
        <f>IF($B2121="","",IF($AO2121="","対象年月が未入力／","")&amp;IF($B2121="","",IF($AN2121="","職員マスタに未登録の職員番号／",IF($Y2121="","標準報酬月額が未登録／","")&amp;IF(AND($AO2121&lt;&gt;"",OR(AND(INDEX(職員マスタ!$G$6:$G$405,$AN2121)&lt;&gt;"",INDEX(職員マスタ!$G$6:$G$405,$AN2121)&gt;EOMONTH($AO2121,0)),AND(INDEX(職員マスタ!$H$6:$H$405,$AN2121)&lt;&gt;"",INDEX(職員マスタ!$H$6:$H$405,$AN2121)&lt;$AO2121))),"対象月が時短期間外／","")&amp;IF(AND(INDEX(職員マスタ!$F$6:$F$405,$AN2121)&lt;&gt;"",$AO2121&lt;&gt;"",INDEX(職員マスタ!$F$6:$F$405,$AN2121)&lt;$AO2121),"対象月に子が2歳到達済／","")&amp;IF(AND($H2121&lt;&gt;"",INDEX(職員マスタ!$B$6:$B$405,$AN2121)&lt;&gt;"",SUBSTITUTE(SUBSTITUTE($H2121," ","")," ","")&lt;&gt;SUBSTITUTE(SUBSTITUTE(INDEX(職員マスタ!$B$6:$B$405,$AN2121)," ","")," ","")),"氏名がマスタと相違／","")&amp;IF(AND($Q2121&lt;&gt;"",INDEX(職員マスタ!$E$6:$E$405,$AN2121)&lt;&gt;"",$Q2121&lt;&gt;INDEX(職員マスタ!$E$6:$E$405,$AN2121)),"子の生年月日がマスタと相違／","")&amp;IF(AND($L2121&lt;&gt;"",INDEX(職員マスタ!$G$6:$G$405,$AN2121)&lt;&gt;"",$L2121&lt;&gt;INDEX(職員マスタ!$G$6:$G$405,$AN2121)),"時短開始日がマスタと相違／","")&amp;IF(AND($M2121&lt;&gt;"",INDEX(職員マスタ!$H$6:$H$405,$AN2121)&lt;&gt;"",$M2121&lt;&gt;INDEX(職員マスタ!$H$6:$H$405,$AN2121)),"時短終了日がマスタと相違／","")))&amp;IF(AND($B2121&lt;&gt;"",$E2121=""),"報酬額が未入力／","")&amp;IF(N($U2121)&gt;0,"申請書に入力エラーが残っています／","")&amp;IF(AND($B2121&lt;&gt;"",$AO2121&lt;&gt;""),IF(COUNTIFS($B$6:$B$3005,$B2121,$C$6:$C$3005,$C2121,$D$6:$D$3005,$D2121)&gt;1,"同じ月の請求が重複しています／",""),"")&amp;IF(AND(N($E2121)&gt;0,$Z2121&lt;&gt;"",$Z2121&lt;&gt;"×",$AC2121=0,$AB2121=""),"計算額が下限以下のため不支給／",""))</f>
        <v/>
      </c>
      <c r="AL2121" s="12" t="n"/>
      <c r="AM2121" s="14">
        <f>IF($AD2121="保留中",COUNTIF($AD$6:$AD2121,"保留中"),"")</f>
        <v/>
      </c>
      <c r="AN2121" s="14">
        <f>IF($AO2121="","",IF(SUMPRODUCT(MAX((職員マスタ!$A$6:$A$405=$B2121)*(((職員マスタ!$G$6:$G$405="")+(職員マスタ!$G$6:$G$405&lt;=EOMONTH($AO2121,0)))&gt;0)*(((職員マスタ!$H$6:$H$405="")+(職員マスタ!$H$6:$H$405&gt;=$AO2121))&gt;0)*(ROW(職員マスタ!$A$6:$A$405)-5)))&gt;0,SUMPRODUCT(MAX((職員マスタ!$A$6:$A$405=$B2121)*(((職員マスタ!$G$6:$G$405="")+(職員マスタ!$G$6:$G$405&lt;=EOMONTH($AO2121,0)))&gt;0)*(((職員マスタ!$H$6:$H$405="")+(職員マスタ!$H$6:$H$405&gt;=$AO2121))&gt;0)*(ROW(職員マスタ!$A$6:$A$405)-5))),IFERROR(MATCH($B2121,職員マスタ!$A$6:$A$405,0),"")))</f>
        <v/>
      </c>
      <c r="AO2121" s="16">
        <f>IF(OR($B2121="",$C2121="",$D2121=""),"",DATE($C2121+2018,$D2121,1))</f>
        <v/>
      </c>
    </row>
    <row r="2122">
      <c r="A2122" s="11" t="n"/>
      <c r="B2122" s="12" t="n"/>
      <c r="C2122" s="12" t="n"/>
      <c r="D2122" s="12" t="n"/>
      <c r="E2122" s="13" t="n"/>
      <c r="F2122" s="12" t="n"/>
      <c r="G2122" s="13" t="n"/>
      <c r="H2122" s="12" t="n"/>
      <c r="I2122" s="12" t="n"/>
      <c r="J2122" s="12" t="n"/>
      <c r="K2122" s="12" t="n"/>
      <c r="L2122" s="11" t="n"/>
      <c r="M2122" s="11" t="n"/>
      <c r="N2122" s="11" t="n"/>
      <c r="O2122" s="11" t="n"/>
      <c r="P2122" s="12" t="n"/>
      <c r="Q2122" s="11" t="n"/>
      <c r="R2122" s="12" t="n"/>
      <c r="S2122" s="11" t="n"/>
      <c r="T2122" s="12" t="n"/>
      <c r="U2122" s="12" t="n"/>
      <c r="V2122" s="14">
        <f>IF($AN2122="",IF($B2122="","",$H2122),IF(INDEX(職員マスタ!$B$6:$B$405,$AN2122)="",$H2122,INDEX(職員マスタ!$B$6:$B$405,$AN2122)))</f>
        <v/>
      </c>
      <c r="W2122" s="14">
        <f>IF($AN2122="",IF($B2122="","",$R2122),IF(INDEX(職員マスタ!$C$6:$C$405,$AN2122)="",$R2122,INDEX(職員マスタ!$C$6:$C$405,$AN2122)))</f>
        <v/>
      </c>
      <c r="X2122" s="14">
        <f>IF($AO2122="","","R"&amp;$C2122&amp;"."&amp;$D2122)</f>
        <v/>
      </c>
      <c r="Y2122" s="15">
        <f>IF($AN2122="","",IF(INDEX(職員マスタ!$K$6:$K$405,$AN2122)="","",INDEX(職員マスタ!$K$6:$K$405,$AN2122)))</f>
        <v/>
      </c>
      <c r="Z2122" s="14">
        <f>IF(OR($E2122="",$Y2122=""),"",IF($E2122&gt;=$Y2122,"×",IF($E2122&gt;=$Y2122*設定!$C$5,"△","○")))</f>
        <v/>
      </c>
      <c r="AA2122" s="15">
        <f>IF($Z2122="","",IF($Z2122="×",0,IF($Z2122="○",ROUNDDOWN($E2122*設定!$C$4,0),ROUNDDOWN($E2122*ROUND((9*$Y2122-9*$E2122)/(10*$E2122),4),0))))</f>
        <v/>
      </c>
      <c r="AB2122" s="13" t="n"/>
      <c r="AC2122" s="15">
        <f>IF($B2122="","",IF($AB2122&lt;&gt;"",$AB2122,IF($AA2122="","",IF($AA2122&lt;=設定!$C$3,0,$AA2122))))</f>
        <v/>
      </c>
      <c r="AD2122" s="14">
        <f>IF($B2122="","",IF(AND($AE2122&lt;&gt;"",$AG2122="",$AJ2122=""),"保留中",IF($AJ2122&lt;&gt;"",IF(N($AC2122)&gt;0,"支給済","不支給"),IF($AC2122="","要確認",IF($AC2122=0,"不支給","未処理")))))</f>
        <v/>
      </c>
      <c r="AE2122" s="12" t="n"/>
      <c r="AF2122" s="11" t="n"/>
      <c r="AG2122" s="11" t="n"/>
      <c r="AH2122" s="11" t="n"/>
      <c r="AI2122" s="14">
        <f>IF(AND($AD2122="保留中",$AF2122&lt;&gt;""),TODAY()-$AF2122,"")</f>
        <v/>
      </c>
      <c r="AJ2122" s="12" t="n"/>
      <c r="AK2122" s="14">
        <f>IF($B2122="","",IF($AO2122="","対象年月が未入力／","")&amp;IF($B2122="","",IF($AN2122="","職員マスタに未登録の職員番号／",IF($Y2122="","標準報酬月額が未登録／","")&amp;IF(AND($AO2122&lt;&gt;"",OR(AND(INDEX(職員マスタ!$G$6:$G$405,$AN2122)&lt;&gt;"",INDEX(職員マスタ!$G$6:$G$405,$AN2122)&gt;EOMONTH($AO2122,0)),AND(INDEX(職員マスタ!$H$6:$H$405,$AN2122)&lt;&gt;"",INDEX(職員マスタ!$H$6:$H$405,$AN2122)&lt;$AO2122))),"対象月が時短期間外／","")&amp;IF(AND(INDEX(職員マスタ!$F$6:$F$405,$AN2122)&lt;&gt;"",$AO2122&lt;&gt;"",INDEX(職員マスタ!$F$6:$F$405,$AN2122)&lt;$AO2122),"対象月に子が2歳到達済／","")&amp;IF(AND($H2122&lt;&gt;"",INDEX(職員マスタ!$B$6:$B$405,$AN2122)&lt;&gt;"",SUBSTITUTE(SUBSTITUTE($H2122," ","")," ","")&lt;&gt;SUBSTITUTE(SUBSTITUTE(INDEX(職員マスタ!$B$6:$B$405,$AN2122)," ","")," ","")),"氏名がマスタと相違／","")&amp;IF(AND($Q2122&lt;&gt;"",INDEX(職員マスタ!$E$6:$E$405,$AN2122)&lt;&gt;"",$Q2122&lt;&gt;INDEX(職員マスタ!$E$6:$E$405,$AN2122)),"子の生年月日がマスタと相違／","")&amp;IF(AND($L2122&lt;&gt;"",INDEX(職員マスタ!$G$6:$G$405,$AN2122)&lt;&gt;"",$L2122&lt;&gt;INDEX(職員マスタ!$G$6:$G$405,$AN2122)),"時短開始日がマスタと相違／","")&amp;IF(AND($M2122&lt;&gt;"",INDEX(職員マスタ!$H$6:$H$405,$AN2122)&lt;&gt;"",$M2122&lt;&gt;INDEX(職員マスタ!$H$6:$H$405,$AN2122)),"時短終了日がマスタと相違／","")))&amp;IF(AND($B2122&lt;&gt;"",$E2122=""),"報酬額が未入力／","")&amp;IF(N($U2122)&gt;0,"申請書に入力エラーが残っています／","")&amp;IF(AND($B2122&lt;&gt;"",$AO2122&lt;&gt;""),IF(COUNTIFS($B$6:$B$3005,$B2122,$C$6:$C$3005,$C2122,$D$6:$D$3005,$D2122)&gt;1,"同じ月の請求が重複しています／",""),"")&amp;IF(AND(N($E2122)&gt;0,$Z2122&lt;&gt;"",$Z2122&lt;&gt;"×",$AC2122=0,$AB2122=""),"計算額が下限以下のため不支給／",""))</f>
        <v/>
      </c>
      <c r="AL2122" s="12" t="n"/>
      <c r="AM2122" s="14">
        <f>IF($AD2122="保留中",COUNTIF($AD$6:$AD2122,"保留中"),"")</f>
        <v/>
      </c>
      <c r="AN2122" s="14">
        <f>IF($AO2122="","",IF(SUMPRODUCT(MAX((職員マスタ!$A$6:$A$405=$B2122)*(((職員マスタ!$G$6:$G$405="")+(職員マスタ!$G$6:$G$405&lt;=EOMONTH($AO2122,0)))&gt;0)*(((職員マスタ!$H$6:$H$405="")+(職員マスタ!$H$6:$H$405&gt;=$AO2122))&gt;0)*(ROW(職員マスタ!$A$6:$A$405)-5)))&gt;0,SUMPRODUCT(MAX((職員マスタ!$A$6:$A$405=$B2122)*(((職員マスタ!$G$6:$G$405="")+(職員マスタ!$G$6:$G$405&lt;=EOMONTH($AO2122,0)))&gt;0)*(((職員マスタ!$H$6:$H$405="")+(職員マスタ!$H$6:$H$405&gt;=$AO2122))&gt;0)*(ROW(職員マスタ!$A$6:$A$405)-5))),IFERROR(MATCH($B2122,職員マスタ!$A$6:$A$405,0),"")))</f>
        <v/>
      </c>
      <c r="AO2122" s="16">
        <f>IF(OR($B2122="",$C2122="",$D2122=""),"",DATE($C2122+2018,$D2122,1))</f>
        <v/>
      </c>
    </row>
    <row r="2123">
      <c r="A2123" s="11" t="n"/>
      <c r="B2123" s="12" t="n"/>
      <c r="C2123" s="12" t="n"/>
      <c r="D2123" s="12" t="n"/>
      <c r="E2123" s="13" t="n"/>
      <c r="F2123" s="12" t="n"/>
      <c r="G2123" s="13" t="n"/>
      <c r="H2123" s="12" t="n"/>
      <c r="I2123" s="12" t="n"/>
      <c r="J2123" s="12" t="n"/>
      <c r="K2123" s="12" t="n"/>
      <c r="L2123" s="11" t="n"/>
      <c r="M2123" s="11" t="n"/>
      <c r="N2123" s="11" t="n"/>
      <c r="O2123" s="11" t="n"/>
      <c r="P2123" s="12" t="n"/>
      <c r="Q2123" s="11" t="n"/>
      <c r="R2123" s="12" t="n"/>
      <c r="S2123" s="11" t="n"/>
      <c r="T2123" s="12" t="n"/>
      <c r="U2123" s="12" t="n"/>
      <c r="V2123" s="14">
        <f>IF($AN2123="",IF($B2123="","",$H2123),IF(INDEX(職員マスタ!$B$6:$B$405,$AN2123)="",$H2123,INDEX(職員マスタ!$B$6:$B$405,$AN2123)))</f>
        <v/>
      </c>
      <c r="W2123" s="14">
        <f>IF($AN2123="",IF($B2123="","",$R2123),IF(INDEX(職員マスタ!$C$6:$C$405,$AN2123)="",$R2123,INDEX(職員マスタ!$C$6:$C$405,$AN2123)))</f>
        <v/>
      </c>
      <c r="X2123" s="14">
        <f>IF($AO2123="","","R"&amp;$C2123&amp;"."&amp;$D2123)</f>
        <v/>
      </c>
      <c r="Y2123" s="15">
        <f>IF($AN2123="","",IF(INDEX(職員マスタ!$K$6:$K$405,$AN2123)="","",INDEX(職員マスタ!$K$6:$K$405,$AN2123)))</f>
        <v/>
      </c>
      <c r="Z2123" s="14">
        <f>IF(OR($E2123="",$Y2123=""),"",IF($E2123&gt;=$Y2123,"×",IF($E2123&gt;=$Y2123*設定!$C$5,"△","○")))</f>
        <v/>
      </c>
      <c r="AA2123" s="15">
        <f>IF($Z2123="","",IF($Z2123="×",0,IF($Z2123="○",ROUNDDOWN($E2123*設定!$C$4,0),ROUNDDOWN($E2123*ROUND((9*$Y2123-9*$E2123)/(10*$E2123),4),0))))</f>
        <v/>
      </c>
      <c r="AB2123" s="13" t="n"/>
      <c r="AC2123" s="15">
        <f>IF($B2123="","",IF($AB2123&lt;&gt;"",$AB2123,IF($AA2123="","",IF($AA2123&lt;=設定!$C$3,0,$AA2123))))</f>
        <v/>
      </c>
      <c r="AD2123" s="14">
        <f>IF($B2123="","",IF(AND($AE2123&lt;&gt;"",$AG2123="",$AJ2123=""),"保留中",IF($AJ2123&lt;&gt;"",IF(N($AC2123)&gt;0,"支給済","不支給"),IF($AC2123="","要確認",IF($AC2123=0,"不支給","未処理")))))</f>
        <v/>
      </c>
      <c r="AE2123" s="12" t="n"/>
      <c r="AF2123" s="11" t="n"/>
      <c r="AG2123" s="11" t="n"/>
      <c r="AH2123" s="11" t="n"/>
      <c r="AI2123" s="14">
        <f>IF(AND($AD2123="保留中",$AF2123&lt;&gt;""),TODAY()-$AF2123,"")</f>
        <v/>
      </c>
      <c r="AJ2123" s="12" t="n"/>
      <c r="AK2123" s="14">
        <f>IF($B2123="","",IF($AO2123="","対象年月が未入力／","")&amp;IF($B2123="","",IF($AN2123="","職員マスタに未登録の職員番号／",IF($Y2123="","標準報酬月額が未登録／","")&amp;IF(AND($AO2123&lt;&gt;"",OR(AND(INDEX(職員マスタ!$G$6:$G$405,$AN2123)&lt;&gt;"",INDEX(職員マスタ!$G$6:$G$405,$AN2123)&gt;EOMONTH($AO2123,0)),AND(INDEX(職員マスタ!$H$6:$H$405,$AN2123)&lt;&gt;"",INDEX(職員マスタ!$H$6:$H$405,$AN2123)&lt;$AO2123))),"対象月が時短期間外／","")&amp;IF(AND(INDEX(職員マスタ!$F$6:$F$405,$AN2123)&lt;&gt;"",$AO2123&lt;&gt;"",INDEX(職員マスタ!$F$6:$F$405,$AN2123)&lt;$AO2123),"対象月に子が2歳到達済／","")&amp;IF(AND($H2123&lt;&gt;"",INDEX(職員マスタ!$B$6:$B$405,$AN2123)&lt;&gt;"",SUBSTITUTE(SUBSTITUTE($H2123," ","")," ","")&lt;&gt;SUBSTITUTE(SUBSTITUTE(INDEX(職員マスタ!$B$6:$B$405,$AN2123)," ","")," ","")),"氏名がマスタと相違／","")&amp;IF(AND($Q2123&lt;&gt;"",INDEX(職員マスタ!$E$6:$E$405,$AN2123)&lt;&gt;"",$Q2123&lt;&gt;INDEX(職員マスタ!$E$6:$E$405,$AN2123)),"子の生年月日がマスタと相違／","")&amp;IF(AND($L2123&lt;&gt;"",INDEX(職員マスタ!$G$6:$G$405,$AN2123)&lt;&gt;"",$L2123&lt;&gt;INDEX(職員マスタ!$G$6:$G$405,$AN2123)),"時短開始日がマスタと相違／","")&amp;IF(AND($M2123&lt;&gt;"",INDEX(職員マスタ!$H$6:$H$405,$AN2123)&lt;&gt;"",$M2123&lt;&gt;INDEX(職員マスタ!$H$6:$H$405,$AN2123)),"時短終了日がマスタと相違／","")))&amp;IF(AND($B2123&lt;&gt;"",$E2123=""),"報酬額が未入力／","")&amp;IF(N($U2123)&gt;0,"申請書に入力エラーが残っています／","")&amp;IF(AND($B2123&lt;&gt;"",$AO2123&lt;&gt;""),IF(COUNTIFS($B$6:$B$3005,$B2123,$C$6:$C$3005,$C2123,$D$6:$D$3005,$D2123)&gt;1,"同じ月の請求が重複しています／",""),"")&amp;IF(AND(N($E2123)&gt;0,$Z2123&lt;&gt;"",$Z2123&lt;&gt;"×",$AC2123=0,$AB2123=""),"計算額が下限以下のため不支給／",""))</f>
        <v/>
      </c>
      <c r="AL2123" s="12" t="n"/>
      <c r="AM2123" s="14">
        <f>IF($AD2123="保留中",COUNTIF($AD$6:$AD2123,"保留中"),"")</f>
        <v/>
      </c>
      <c r="AN2123" s="14">
        <f>IF($AO2123="","",IF(SUMPRODUCT(MAX((職員マスタ!$A$6:$A$405=$B2123)*(((職員マスタ!$G$6:$G$405="")+(職員マスタ!$G$6:$G$405&lt;=EOMONTH($AO2123,0)))&gt;0)*(((職員マスタ!$H$6:$H$405="")+(職員マスタ!$H$6:$H$405&gt;=$AO2123))&gt;0)*(ROW(職員マスタ!$A$6:$A$405)-5)))&gt;0,SUMPRODUCT(MAX((職員マスタ!$A$6:$A$405=$B2123)*(((職員マスタ!$G$6:$G$405="")+(職員マスタ!$G$6:$G$405&lt;=EOMONTH($AO2123,0)))&gt;0)*(((職員マスタ!$H$6:$H$405="")+(職員マスタ!$H$6:$H$405&gt;=$AO2123))&gt;0)*(ROW(職員マスタ!$A$6:$A$405)-5))),IFERROR(MATCH($B2123,職員マスタ!$A$6:$A$405,0),"")))</f>
        <v/>
      </c>
      <c r="AO2123" s="16">
        <f>IF(OR($B2123="",$C2123="",$D2123=""),"",DATE($C2123+2018,$D2123,1))</f>
        <v/>
      </c>
    </row>
    <row r="2124">
      <c r="A2124" s="11" t="n"/>
      <c r="B2124" s="12" t="n"/>
      <c r="C2124" s="12" t="n"/>
      <c r="D2124" s="12" t="n"/>
      <c r="E2124" s="13" t="n"/>
      <c r="F2124" s="12" t="n"/>
      <c r="G2124" s="13" t="n"/>
      <c r="H2124" s="12" t="n"/>
      <c r="I2124" s="12" t="n"/>
      <c r="J2124" s="12" t="n"/>
      <c r="K2124" s="12" t="n"/>
      <c r="L2124" s="11" t="n"/>
      <c r="M2124" s="11" t="n"/>
      <c r="N2124" s="11" t="n"/>
      <c r="O2124" s="11" t="n"/>
      <c r="P2124" s="12" t="n"/>
      <c r="Q2124" s="11" t="n"/>
      <c r="R2124" s="12" t="n"/>
      <c r="S2124" s="11" t="n"/>
      <c r="T2124" s="12" t="n"/>
      <c r="U2124" s="12" t="n"/>
      <c r="V2124" s="14">
        <f>IF($AN2124="",IF($B2124="","",$H2124),IF(INDEX(職員マスタ!$B$6:$B$405,$AN2124)="",$H2124,INDEX(職員マスタ!$B$6:$B$405,$AN2124)))</f>
        <v/>
      </c>
      <c r="W2124" s="14">
        <f>IF($AN2124="",IF($B2124="","",$R2124),IF(INDEX(職員マスタ!$C$6:$C$405,$AN2124)="",$R2124,INDEX(職員マスタ!$C$6:$C$405,$AN2124)))</f>
        <v/>
      </c>
      <c r="X2124" s="14">
        <f>IF($AO2124="","","R"&amp;$C2124&amp;"."&amp;$D2124)</f>
        <v/>
      </c>
      <c r="Y2124" s="15">
        <f>IF($AN2124="","",IF(INDEX(職員マスタ!$K$6:$K$405,$AN2124)="","",INDEX(職員マスタ!$K$6:$K$405,$AN2124)))</f>
        <v/>
      </c>
      <c r="Z2124" s="14">
        <f>IF(OR($E2124="",$Y2124=""),"",IF($E2124&gt;=$Y2124,"×",IF($E2124&gt;=$Y2124*設定!$C$5,"△","○")))</f>
        <v/>
      </c>
      <c r="AA2124" s="15">
        <f>IF($Z2124="","",IF($Z2124="×",0,IF($Z2124="○",ROUNDDOWN($E2124*設定!$C$4,0),ROUNDDOWN($E2124*ROUND((9*$Y2124-9*$E2124)/(10*$E2124),4),0))))</f>
        <v/>
      </c>
      <c r="AB2124" s="13" t="n"/>
      <c r="AC2124" s="15">
        <f>IF($B2124="","",IF($AB2124&lt;&gt;"",$AB2124,IF($AA2124="","",IF($AA2124&lt;=設定!$C$3,0,$AA2124))))</f>
        <v/>
      </c>
      <c r="AD2124" s="14">
        <f>IF($B2124="","",IF(AND($AE2124&lt;&gt;"",$AG2124="",$AJ2124=""),"保留中",IF($AJ2124&lt;&gt;"",IF(N($AC2124)&gt;0,"支給済","不支給"),IF($AC2124="","要確認",IF($AC2124=0,"不支給","未処理")))))</f>
        <v/>
      </c>
      <c r="AE2124" s="12" t="n"/>
      <c r="AF2124" s="11" t="n"/>
      <c r="AG2124" s="11" t="n"/>
      <c r="AH2124" s="11" t="n"/>
      <c r="AI2124" s="14">
        <f>IF(AND($AD2124="保留中",$AF2124&lt;&gt;""),TODAY()-$AF2124,"")</f>
        <v/>
      </c>
      <c r="AJ2124" s="12" t="n"/>
      <c r="AK2124" s="14">
        <f>IF($B2124="","",IF($AO2124="","対象年月が未入力／","")&amp;IF($B2124="","",IF($AN2124="","職員マスタに未登録の職員番号／",IF($Y2124="","標準報酬月額が未登録／","")&amp;IF(AND($AO2124&lt;&gt;"",OR(AND(INDEX(職員マスタ!$G$6:$G$405,$AN2124)&lt;&gt;"",INDEX(職員マスタ!$G$6:$G$405,$AN2124)&gt;EOMONTH($AO2124,0)),AND(INDEX(職員マスタ!$H$6:$H$405,$AN2124)&lt;&gt;"",INDEX(職員マスタ!$H$6:$H$405,$AN2124)&lt;$AO2124))),"対象月が時短期間外／","")&amp;IF(AND(INDEX(職員マスタ!$F$6:$F$405,$AN2124)&lt;&gt;"",$AO2124&lt;&gt;"",INDEX(職員マスタ!$F$6:$F$405,$AN2124)&lt;$AO2124),"対象月に子が2歳到達済／","")&amp;IF(AND($H2124&lt;&gt;"",INDEX(職員マスタ!$B$6:$B$405,$AN2124)&lt;&gt;"",SUBSTITUTE(SUBSTITUTE($H2124," ","")," ","")&lt;&gt;SUBSTITUTE(SUBSTITUTE(INDEX(職員マスタ!$B$6:$B$405,$AN2124)," ","")," ","")),"氏名がマスタと相違／","")&amp;IF(AND($Q2124&lt;&gt;"",INDEX(職員マスタ!$E$6:$E$405,$AN2124)&lt;&gt;"",$Q2124&lt;&gt;INDEX(職員マスタ!$E$6:$E$405,$AN2124)),"子の生年月日がマスタと相違／","")&amp;IF(AND($L2124&lt;&gt;"",INDEX(職員マスタ!$G$6:$G$405,$AN2124)&lt;&gt;"",$L2124&lt;&gt;INDEX(職員マスタ!$G$6:$G$405,$AN2124)),"時短開始日がマスタと相違／","")&amp;IF(AND($M2124&lt;&gt;"",INDEX(職員マスタ!$H$6:$H$405,$AN2124)&lt;&gt;"",$M2124&lt;&gt;INDEX(職員マスタ!$H$6:$H$405,$AN2124)),"時短終了日がマスタと相違／","")))&amp;IF(AND($B2124&lt;&gt;"",$E2124=""),"報酬額が未入力／","")&amp;IF(N($U2124)&gt;0,"申請書に入力エラーが残っています／","")&amp;IF(AND($B2124&lt;&gt;"",$AO2124&lt;&gt;""),IF(COUNTIFS($B$6:$B$3005,$B2124,$C$6:$C$3005,$C2124,$D$6:$D$3005,$D2124)&gt;1,"同じ月の請求が重複しています／",""),"")&amp;IF(AND(N($E2124)&gt;0,$Z2124&lt;&gt;"",$Z2124&lt;&gt;"×",$AC2124=0,$AB2124=""),"計算額が下限以下のため不支給／",""))</f>
        <v/>
      </c>
      <c r="AL2124" s="12" t="n"/>
      <c r="AM2124" s="14">
        <f>IF($AD2124="保留中",COUNTIF($AD$6:$AD2124,"保留中"),"")</f>
        <v/>
      </c>
      <c r="AN2124" s="14">
        <f>IF($AO2124="","",IF(SUMPRODUCT(MAX((職員マスタ!$A$6:$A$405=$B2124)*(((職員マスタ!$G$6:$G$405="")+(職員マスタ!$G$6:$G$405&lt;=EOMONTH($AO2124,0)))&gt;0)*(((職員マスタ!$H$6:$H$405="")+(職員マスタ!$H$6:$H$405&gt;=$AO2124))&gt;0)*(ROW(職員マスタ!$A$6:$A$405)-5)))&gt;0,SUMPRODUCT(MAX((職員マスタ!$A$6:$A$405=$B2124)*(((職員マスタ!$G$6:$G$405="")+(職員マスタ!$G$6:$G$405&lt;=EOMONTH($AO2124,0)))&gt;0)*(((職員マスタ!$H$6:$H$405="")+(職員マスタ!$H$6:$H$405&gt;=$AO2124))&gt;0)*(ROW(職員マスタ!$A$6:$A$405)-5))),IFERROR(MATCH($B2124,職員マスタ!$A$6:$A$405,0),"")))</f>
        <v/>
      </c>
      <c r="AO2124" s="16">
        <f>IF(OR($B2124="",$C2124="",$D2124=""),"",DATE($C2124+2018,$D2124,1))</f>
        <v/>
      </c>
    </row>
    <row r="2125">
      <c r="A2125" s="11" t="n"/>
      <c r="B2125" s="12" t="n"/>
      <c r="C2125" s="12" t="n"/>
      <c r="D2125" s="12" t="n"/>
      <c r="E2125" s="13" t="n"/>
      <c r="F2125" s="12" t="n"/>
      <c r="G2125" s="13" t="n"/>
      <c r="H2125" s="12" t="n"/>
      <c r="I2125" s="12" t="n"/>
      <c r="J2125" s="12" t="n"/>
      <c r="K2125" s="12" t="n"/>
      <c r="L2125" s="11" t="n"/>
      <c r="M2125" s="11" t="n"/>
      <c r="N2125" s="11" t="n"/>
      <c r="O2125" s="11" t="n"/>
      <c r="P2125" s="12" t="n"/>
      <c r="Q2125" s="11" t="n"/>
      <c r="R2125" s="12" t="n"/>
      <c r="S2125" s="11" t="n"/>
      <c r="T2125" s="12" t="n"/>
      <c r="U2125" s="12" t="n"/>
      <c r="V2125" s="14">
        <f>IF($AN2125="",IF($B2125="","",$H2125),IF(INDEX(職員マスタ!$B$6:$B$405,$AN2125)="",$H2125,INDEX(職員マスタ!$B$6:$B$405,$AN2125)))</f>
        <v/>
      </c>
      <c r="W2125" s="14">
        <f>IF($AN2125="",IF($B2125="","",$R2125),IF(INDEX(職員マスタ!$C$6:$C$405,$AN2125)="",$R2125,INDEX(職員マスタ!$C$6:$C$405,$AN2125)))</f>
        <v/>
      </c>
      <c r="X2125" s="14">
        <f>IF($AO2125="","","R"&amp;$C2125&amp;"."&amp;$D2125)</f>
        <v/>
      </c>
      <c r="Y2125" s="15">
        <f>IF($AN2125="","",IF(INDEX(職員マスタ!$K$6:$K$405,$AN2125)="","",INDEX(職員マスタ!$K$6:$K$405,$AN2125)))</f>
        <v/>
      </c>
      <c r="Z2125" s="14">
        <f>IF(OR($E2125="",$Y2125=""),"",IF($E2125&gt;=$Y2125,"×",IF($E2125&gt;=$Y2125*設定!$C$5,"△","○")))</f>
        <v/>
      </c>
      <c r="AA2125" s="15">
        <f>IF($Z2125="","",IF($Z2125="×",0,IF($Z2125="○",ROUNDDOWN($E2125*設定!$C$4,0),ROUNDDOWN($E2125*ROUND((9*$Y2125-9*$E2125)/(10*$E2125),4),0))))</f>
        <v/>
      </c>
      <c r="AB2125" s="13" t="n"/>
      <c r="AC2125" s="15">
        <f>IF($B2125="","",IF($AB2125&lt;&gt;"",$AB2125,IF($AA2125="","",IF($AA2125&lt;=設定!$C$3,0,$AA2125))))</f>
        <v/>
      </c>
      <c r="AD2125" s="14">
        <f>IF($B2125="","",IF(AND($AE2125&lt;&gt;"",$AG2125="",$AJ2125=""),"保留中",IF($AJ2125&lt;&gt;"",IF(N($AC2125)&gt;0,"支給済","不支給"),IF($AC2125="","要確認",IF($AC2125=0,"不支給","未処理")))))</f>
        <v/>
      </c>
      <c r="AE2125" s="12" t="n"/>
      <c r="AF2125" s="11" t="n"/>
      <c r="AG2125" s="11" t="n"/>
      <c r="AH2125" s="11" t="n"/>
      <c r="AI2125" s="14">
        <f>IF(AND($AD2125="保留中",$AF2125&lt;&gt;""),TODAY()-$AF2125,"")</f>
        <v/>
      </c>
      <c r="AJ2125" s="12" t="n"/>
      <c r="AK2125" s="14">
        <f>IF($B2125="","",IF($AO2125="","対象年月が未入力／","")&amp;IF($B2125="","",IF($AN2125="","職員マスタに未登録の職員番号／",IF($Y2125="","標準報酬月額が未登録／","")&amp;IF(AND($AO2125&lt;&gt;"",OR(AND(INDEX(職員マスタ!$G$6:$G$405,$AN2125)&lt;&gt;"",INDEX(職員マスタ!$G$6:$G$405,$AN2125)&gt;EOMONTH($AO2125,0)),AND(INDEX(職員マスタ!$H$6:$H$405,$AN2125)&lt;&gt;"",INDEX(職員マスタ!$H$6:$H$405,$AN2125)&lt;$AO2125))),"対象月が時短期間外／","")&amp;IF(AND(INDEX(職員マスタ!$F$6:$F$405,$AN2125)&lt;&gt;"",$AO2125&lt;&gt;"",INDEX(職員マスタ!$F$6:$F$405,$AN2125)&lt;$AO2125),"対象月に子が2歳到達済／","")&amp;IF(AND($H2125&lt;&gt;"",INDEX(職員マスタ!$B$6:$B$405,$AN2125)&lt;&gt;"",SUBSTITUTE(SUBSTITUTE($H2125," ","")," ","")&lt;&gt;SUBSTITUTE(SUBSTITUTE(INDEX(職員マスタ!$B$6:$B$405,$AN2125)," ","")," ","")),"氏名がマスタと相違／","")&amp;IF(AND($Q2125&lt;&gt;"",INDEX(職員マスタ!$E$6:$E$405,$AN2125)&lt;&gt;"",$Q2125&lt;&gt;INDEX(職員マスタ!$E$6:$E$405,$AN2125)),"子の生年月日がマスタと相違／","")&amp;IF(AND($L2125&lt;&gt;"",INDEX(職員マスタ!$G$6:$G$405,$AN2125)&lt;&gt;"",$L2125&lt;&gt;INDEX(職員マスタ!$G$6:$G$405,$AN2125)),"時短開始日がマスタと相違／","")&amp;IF(AND($M2125&lt;&gt;"",INDEX(職員マスタ!$H$6:$H$405,$AN2125)&lt;&gt;"",$M2125&lt;&gt;INDEX(職員マスタ!$H$6:$H$405,$AN2125)),"時短終了日がマスタと相違／","")))&amp;IF(AND($B2125&lt;&gt;"",$E2125=""),"報酬額が未入力／","")&amp;IF(N($U2125)&gt;0,"申請書に入力エラーが残っています／","")&amp;IF(AND($B2125&lt;&gt;"",$AO2125&lt;&gt;""),IF(COUNTIFS($B$6:$B$3005,$B2125,$C$6:$C$3005,$C2125,$D$6:$D$3005,$D2125)&gt;1,"同じ月の請求が重複しています／",""),"")&amp;IF(AND(N($E2125)&gt;0,$Z2125&lt;&gt;"",$Z2125&lt;&gt;"×",$AC2125=0,$AB2125=""),"計算額が下限以下のため不支給／",""))</f>
        <v/>
      </c>
      <c r="AL2125" s="12" t="n"/>
      <c r="AM2125" s="14">
        <f>IF($AD2125="保留中",COUNTIF($AD$6:$AD2125,"保留中"),"")</f>
        <v/>
      </c>
      <c r="AN2125" s="14">
        <f>IF($AO2125="","",IF(SUMPRODUCT(MAX((職員マスタ!$A$6:$A$405=$B2125)*(((職員マスタ!$G$6:$G$405="")+(職員マスタ!$G$6:$G$405&lt;=EOMONTH($AO2125,0)))&gt;0)*(((職員マスタ!$H$6:$H$405="")+(職員マスタ!$H$6:$H$405&gt;=$AO2125))&gt;0)*(ROW(職員マスタ!$A$6:$A$405)-5)))&gt;0,SUMPRODUCT(MAX((職員マスタ!$A$6:$A$405=$B2125)*(((職員マスタ!$G$6:$G$405="")+(職員マスタ!$G$6:$G$405&lt;=EOMONTH($AO2125,0)))&gt;0)*(((職員マスタ!$H$6:$H$405="")+(職員マスタ!$H$6:$H$405&gt;=$AO2125))&gt;0)*(ROW(職員マスタ!$A$6:$A$405)-5))),IFERROR(MATCH($B2125,職員マスタ!$A$6:$A$405,0),"")))</f>
        <v/>
      </c>
      <c r="AO2125" s="16">
        <f>IF(OR($B2125="",$C2125="",$D2125=""),"",DATE($C2125+2018,$D2125,1))</f>
        <v/>
      </c>
    </row>
    <row r="2126">
      <c r="A2126" s="11" t="n"/>
      <c r="B2126" s="12" t="n"/>
      <c r="C2126" s="12" t="n"/>
      <c r="D2126" s="12" t="n"/>
      <c r="E2126" s="13" t="n"/>
      <c r="F2126" s="12" t="n"/>
      <c r="G2126" s="13" t="n"/>
      <c r="H2126" s="12" t="n"/>
      <c r="I2126" s="12" t="n"/>
      <c r="J2126" s="12" t="n"/>
      <c r="K2126" s="12" t="n"/>
      <c r="L2126" s="11" t="n"/>
      <c r="M2126" s="11" t="n"/>
      <c r="N2126" s="11" t="n"/>
      <c r="O2126" s="11" t="n"/>
      <c r="P2126" s="12" t="n"/>
      <c r="Q2126" s="11" t="n"/>
      <c r="R2126" s="12" t="n"/>
      <c r="S2126" s="11" t="n"/>
      <c r="T2126" s="12" t="n"/>
      <c r="U2126" s="12" t="n"/>
      <c r="V2126" s="14">
        <f>IF($AN2126="",IF($B2126="","",$H2126),IF(INDEX(職員マスタ!$B$6:$B$405,$AN2126)="",$H2126,INDEX(職員マスタ!$B$6:$B$405,$AN2126)))</f>
        <v/>
      </c>
      <c r="W2126" s="14">
        <f>IF($AN2126="",IF($B2126="","",$R2126),IF(INDEX(職員マスタ!$C$6:$C$405,$AN2126)="",$R2126,INDEX(職員マスタ!$C$6:$C$405,$AN2126)))</f>
        <v/>
      </c>
      <c r="X2126" s="14">
        <f>IF($AO2126="","","R"&amp;$C2126&amp;"."&amp;$D2126)</f>
        <v/>
      </c>
      <c r="Y2126" s="15">
        <f>IF($AN2126="","",IF(INDEX(職員マスタ!$K$6:$K$405,$AN2126)="","",INDEX(職員マスタ!$K$6:$K$405,$AN2126)))</f>
        <v/>
      </c>
      <c r="Z2126" s="14">
        <f>IF(OR($E2126="",$Y2126=""),"",IF($E2126&gt;=$Y2126,"×",IF($E2126&gt;=$Y2126*設定!$C$5,"△","○")))</f>
        <v/>
      </c>
      <c r="AA2126" s="15">
        <f>IF($Z2126="","",IF($Z2126="×",0,IF($Z2126="○",ROUNDDOWN($E2126*設定!$C$4,0),ROUNDDOWN($E2126*ROUND((9*$Y2126-9*$E2126)/(10*$E2126),4),0))))</f>
        <v/>
      </c>
      <c r="AB2126" s="13" t="n"/>
      <c r="AC2126" s="15">
        <f>IF($B2126="","",IF($AB2126&lt;&gt;"",$AB2126,IF($AA2126="","",IF($AA2126&lt;=設定!$C$3,0,$AA2126))))</f>
        <v/>
      </c>
      <c r="AD2126" s="14">
        <f>IF($B2126="","",IF(AND($AE2126&lt;&gt;"",$AG2126="",$AJ2126=""),"保留中",IF($AJ2126&lt;&gt;"",IF(N($AC2126)&gt;0,"支給済","不支給"),IF($AC2126="","要確認",IF($AC2126=0,"不支給","未処理")))))</f>
        <v/>
      </c>
      <c r="AE2126" s="12" t="n"/>
      <c r="AF2126" s="11" t="n"/>
      <c r="AG2126" s="11" t="n"/>
      <c r="AH2126" s="11" t="n"/>
      <c r="AI2126" s="14">
        <f>IF(AND($AD2126="保留中",$AF2126&lt;&gt;""),TODAY()-$AF2126,"")</f>
        <v/>
      </c>
      <c r="AJ2126" s="12" t="n"/>
      <c r="AK2126" s="14">
        <f>IF($B2126="","",IF($AO2126="","対象年月が未入力／","")&amp;IF($B2126="","",IF($AN2126="","職員マスタに未登録の職員番号／",IF($Y2126="","標準報酬月額が未登録／","")&amp;IF(AND($AO2126&lt;&gt;"",OR(AND(INDEX(職員マスタ!$G$6:$G$405,$AN2126)&lt;&gt;"",INDEX(職員マスタ!$G$6:$G$405,$AN2126)&gt;EOMONTH($AO2126,0)),AND(INDEX(職員マスタ!$H$6:$H$405,$AN2126)&lt;&gt;"",INDEX(職員マスタ!$H$6:$H$405,$AN2126)&lt;$AO2126))),"対象月が時短期間外／","")&amp;IF(AND(INDEX(職員マスタ!$F$6:$F$405,$AN2126)&lt;&gt;"",$AO2126&lt;&gt;"",INDEX(職員マスタ!$F$6:$F$405,$AN2126)&lt;$AO2126),"対象月に子が2歳到達済／","")&amp;IF(AND($H2126&lt;&gt;"",INDEX(職員マスタ!$B$6:$B$405,$AN2126)&lt;&gt;"",SUBSTITUTE(SUBSTITUTE($H2126," ","")," ","")&lt;&gt;SUBSTITUTE(SUBSTITUTE(INDEX(職員マスタ!$B$6:$B$405,$AN2126)," ","")," ","")),"氏名がマスタと相違／","")&amp;IF(AND($Q2126&lt;&gt;"",INDEX(職員マスタ!$E$6:$E$405,$AN2126)&lt;&gt;"",$Q2126&lt;&gt;INDEX(職員マスタ!$E$6:$E$405,$AN2126)),"子の生年月日がマスタと相違／","")&amp;IF(AND($L2126&lt;&gt;"",INDEX(職員マスタ!$G$6:$G$405,$AN2126)&lt;&gt;"",$L2126&lt;&gt;INDEX(職員マスタ!$G$6:$G$405,$AN2126)),"時短開始日がマスタと相違／","")&amp;IF(AND($M2126&lt;&gt;"",INDEX(職員マスタ!$H$6:$H$405,$AN2126)&lt;&gt;"",$M2126&lt;&gt;INDEX(職員マスタ!$H$6:$H$405,$AN2126)),"時短終了日がマスタと相違／","")))&amp;IF(AND($B2126&lt;&gt;"",$E2126=""),"報酬額が未入力／","")&amp;IF(N($U2126)&gt;0,"申請書に入力エラーが残っています／","")&amp;IF(AND($B2126&lt;&gt;"",$AO2126&lt;&gt;""),IF(COUNTIFS($B$6:$B$3005,$B2126,$C$6:$C$3005,$C2126,$D$6:$D$3005,$D2126)&gt;1,"同じ月の請求が重複しています／",""),"")&amp;IF(AND(N($E2126)&gt;0,$Z2126&lt;&gt;"",$Z2126&lt;&gt;"×",$AC2126=0,$AB2126=""),"計算額が下限以下のため不支給／",""))</f>
        <v/>
      </c>
      <c r="AL2126" s="12" t="n"/>
      <c r="AM2126" s="14">
        <f>IF($AD2126="保留中",COUNTIF($AD$6:$AD2126,"保留中"),"")</f>
        <v/>
      </c>
      <c r="AN2126" s="14">
        <f>IF($AO2126="","",IF(SUMPRODUCT(MAX((職員マスタ!$A$6:$A$405=$B2126)*(((職員マスタ!$G$6:$G$405="")+(職員マスタ!$G$6:$G$405&lt;=EOMONTH($AO2126,0)))&gt;0)*(((職員マスタ!$H$6:$H$405="")+(職員マスタ!$H$6:$H$405&gt;=$AO2126))&gt;0)*(ROW(職員マスタ!$A$6:$A$405)-5)))&gt;0,SUMPRODUCT(MAX((職員マスタ!$A$6:$A$405=$B2126)*(((職員マスタ!$G$6:$G$405="")+(職員マスタ!$G$6:$G$405&lt;=EOMONTH($AO2126,0)))&gt;0)*(((職員マスタ!$H$6:$H$405="")+(職員マスタ!$H$6:$H$405&gt;=$AO2126))&gt;0)*(ROW(職員マスタ!$A$6:$A$405)-5))),IFERROR(MATCH($B2126,職員マスタ!$A$6:$A$405,0),"")))</f>
        <v/>
      </c>
      <c r="AO2126" s="16">
        <f>IF(OR($B2126="",$C2126="",$D2126=""),"",DATE($C2126+2018,$D2126,1))</f>
        <v/>
      </c>
    </row>
    <row r="2127">
      <c r="A2127" s="11" t="n"/>
      <c r="B2127" s="12" t="n"/>
      <c r="C2127" s="12" t="n"/>
      <c r="D2127" s="12" t="n"/>
      <c r="E2127" s="13" t="n"/>
      <c r="F2127" s="12" t="n"/>
      <c r="G2127" s="13" t="n"/>
      <c r="H2127" s="12" t="n"/>
      <c r="I2127" s="12" t="n"/>
      <c r="J2127" s="12" t="n"/>
      <c r="K2127" s="12" t="n"/>
      <c r="L2127" s="11" t="n"/>
      <c r="M2127" s="11" t="n"/>
      <c r="N2127" s="11" t="n"/>
      <c r="O2127" s="11" t="n"/>
      <c r="P2127" s="12" t="n"/>
      <c r="Q2127" s="11" t="n"/>
      <c r="R2127" s="12" t="n"/>
      <c r="S2127" s="11" t="n"/>
      <c r="T2127" s="12" t="n"/>
      <c r="U2127" s="12" t="n"/>
      <c r="V2127" s="14">
        <f>IF($AN2127="",IF($B2127="","",$H2127),IF(INDEX(職員マスタ!$B$6:$B$405,$AN2127)="",$H2127,INDEX(職員マスタ!$B$6:$B$405,$AN2127)))</f>
        <v/>
      </c>
      <c r="W2127" s="14">
        <f>IF($AN2127="",IF($B2127="","",$R2127),IF(INDEX(職員マスタ!$C$6:$C$405,$AN2127)="",$R2127,INDEX(職員マスタ!$C$6:$C$405,$AN2127)))</f>
        <v/>
      </c>
      <c r="X2127" s="14">
        <f>IF($AO2127="","","R"&amp;$C2127&amp;"."&amp;$D2127)</f>
        <v/>
      </c>
      <c r="Y2127" s="15">
        <f>IF($AN2127="","",IF(INDEX(職員マスタ!$K$6:$K$405,$AN2127)="","",INDEX(職員マスタ!$K$6:$K$405,$AN2127)))</f>
        <v/>
      </c>
      <c r="Z2127" s="14">
        <f>IF(OR($E2127="",$Y2127=""),"",IF($E2127&gt;=$Y2127,"×",IF($E2127&gt;=$Y2127*設定!$C$5,"△","○")))</f>
        <v/>
      </c>
      <c r="AA2127" s="15">
        <f>IF($Z2127="","",IF($Z2127="×",0,IF($Z2127="○",ROUNDDOWN($E2127*設定!$C$4,0),ROUNDDOWN($E2127*ROUND((9*$Y2127-9*$E2127)/(10*$E2127),4),0))))</f>
        <v/>
      </c>
      <c r="AB2127" s="13" t="n"/>
      <c r="AC2127" s="15">
        <f>IF($B2127="","",IF($AB2127&lt;&gt;"",$AB2127,IF($AA2127="","",IF($AA2127&lt;=設定!$C$3,0,$AA2127))))</f>
        <v/>
      </c>
      <c r="AD2127" s="14">
        <f>IF($B2127="","",IF(AND($AE2127&lt;&gt;"",$AG2127="",$AJ2127=""),"保留中",IF($AJ2127&lt;&gt;"",IF(N($AC2127)&gt;0,"支給済","不支給"),IF($AC2127="","要確認",IF($AC2127=0,"不支給","未処理")))))</f>
        <v/>
      </c>
      <c r="AE2127" s="12" t="n"/>
      <c r="AF2127" s="11" t="n"/>
      <c r="AG2127" s="11" t="n"/>
      <c r="AH2127" s="11" t="n"/>
      <c r="AI2127" s="14">
        <f>IF(AND($AD2127="保留中",$AF2127&lt;&gt;""),TODAY()-$AF2127,"")</f>
        <v/>
      </c>
      <c r="AJ2127" s="12" t="n"/>
      <c r="AK2127" s="14">
        <f>IF($B2127="","",IF($AO2127="","対象年月が未入力／","")&amp;IF($B2127="","",IF($AN2127="","職員マスタに未登録の職員番号／",IF($Y2127="","標準報酬月額が未登録／","")&amp;IF(AND($AO2127&lt;&gt;"",OR(AND(INDEX(職員マスタ!$G$6:$G$405,$AN2127)&lt;&gt;"",INDEX(職員マスタ!$G$6:$G$405,$AN2127)&gt;EOMONTH($AO2127,0)),AND(INDEX(職員マスタ!$H$6:$H$405,$AN2127)&lt;&gt;"",INDEX(職員マスタ!$H$6:$H$405,$AN2127)&lt;$AO2127))),"対象月が時短期間外／","")&amp;IF(AND(INDEX(職員マスタ!$F$6:$F$405,$AN2127)&lt;&gt;"",$AO2127&lt;&gt;"",INDEX(職員マスタ!$F$6:$F$405,$AN2127)&lt;$AO2127),"対象月に子が2歳到達済／","")&amp;IF(AND($H2127&lt;&gt;"",INDEX(職員マスタ!$B$6:$B$405,$AN2127)&lt;&gt;"",SUBSTITUTE(SUBSTITUTE($H2127," ","")," ","")&lt;&gt;SUBSTITUTE(SUBSTITUTE(INDEX(職員マスタ!$B$6:$B$405,$AN2127)," ","")," ","")),"氏名がマスタと相違／","")&amp;IF(AND($Q2127&lt;&gt;"",INDEX(職員マスタ!$E$6:$E$405,$AN2127)&lt;&gt;"",$Q2127&lt;&gt;INDEX(職員マスタ!$E$6:$E$405,$AN2127)),"子の生年月日がマスタと相違／","")&amp;IF(AND($L2127&lt;&gt;"",INDEX(職員マスタ!$G$6:$G$405,$AN2127)&lt;&gt;"",$L2127&lt;&gt;INDEX(職員マスタ!$G$6:$G$405,$AN2127)),"時短開始日がマスタと相違／","")&amp;IF(AND($M2127&lt;&gt;"",INDEX(職員マスタ!$H$6:$H$405,$AN2127)&lt;&gt;"",$M2127&lt;&gt;INDEX(職員マスタ!$H$6:$H$405,$AN2127)),"時短終了日がマスタと相違／","")))&amp;IF(AND($B2127&lt;&gt;"",$E2127=""),"報酬額が未入力／","")&amp;IF(N($U2127)&gt;0,"申請書に入力エラーが残っています／","")&amp;IF(AND($B2127&lt;&gt;"",$AO2127&lt;&gt;""),IF(COUNTIFS($B$6:$B$3005,$B2127,$C$6:$C$3005,$C2127,$D$6:$D$3005,$D2127)&gt;1,"同じ月の請求が重複しています／",""),"")&amp;IF(AND(N($E2127)&gt;0,$Z2127&lt;&gt;"",$Z2127&lt;&gt;"×",$AC2127=0,$AB2127=""),"計算額が下限以下のため不支給／",""))</f>
        <v/>
      </c>
      <c r="AL2127" s="12" t="n"/>
      <c r="AM2127" s="14">
        <f>IF($AD2127="保留中",COUNTIF($AD$6:$AD2127,"保留中"),"")</f>
        <v/>
      </c>
      <c r="AN2127" s="14">
        <f>IF($AO2127="","",IF(SUMPRODUCT(MAX((職員マスタ!$A$6:$A$405=$B2127)*(((職員マスタ!$G$6:$G$405="")+(職員マスタ!$G$6:$G$405&lt;=EOMONTH($AO2127,0)))&gt;0)*(((職員マスタ!$H$6:$H$405="")+(職員マスタ!$H$6:$H$405&gt;=$AO2127))&gt;0)*(ROW(職員マスタ!$A$6:$A$405)-5)))&gt;0,SUMPRODUCT(MAX((職員マスタ!$A$6:$A$405=$B2127)*(((職員マスタ!$G$6:$G$405="")+(職員マスタ!$G$6:$G$405&lt;=EOMONTH($AO2127,0)))&gt;0)*(((職員マスタ!$H$6:$H$405="")+(職員マスタ!$H$6:$H$405&gt;=$AO2127))&gt;0)*(ROW(職員マスタ!$A$6:$A$405)-5))),IFERROR(MATCH($B2127,職員マスタ!$A$6:$A$405,0),"")))</f>
        <v/>
      </c>
      <c r="AO2127" s="16">
        <f>IF(OR($B2127="",$C2127="",$D2127=""),"",DATE($C2127+2018,$D2127,1))</f>
        <v/>
      </c>
    </row>
    <row r="2128">
      <c r="A2128" s="11" t="n"/>
      <c r="B2128" s="12" t="n"/>
      <c r="C2128" s="12" t="n"/>
      <c r="D2128" s="12" t="n"/>
      <c r="E2128" s="13" t="n"/>
      <c r="F2128" s="12" t="n"/>
      <c r="G2128" s="13" t="n"/>
      <c r="H2128" s="12" t="n"/>
      <c r="I2128" s="12" t="n"/>
      <c r="J2128" s="12" t="n"/>
      <c r="K2128" s="12" t="n"/>
      <c r="L2128" s="11" t="n"/>
      <c r="M2128" s="11" t="n"/>
      <c r="N2128" s="11" t="n"/>
      <c r="O2128" s="11" t="n"/>
      <c r="P2128" s="12" t="n"/>
      <c r="Q2128" s="11" t="n"/>
      <c r="R2128" s="12" t="n"/>
      <c r="S2128" s="11" t="n"/>
      <c r="T2128" s="12" t="n"/>
      <c r="U2128" s="12" t="n"/>
      <c r="V2128" s="14">
        <f>IF($AN2128="",IF($B2128="","",$H2128),IF(INDEX(職員マスタ!$B$6:$B$405,$AN2128)="",$H2128,INDEX(職員マスタ!$B$6:$B$405,$AN2128)))</f>
        <v/>
      </c>
      <c r="W2128" s="14">
        <f>IF($AN2128="",IF($B2128="","",$R2128),IF(INDEX(職員マスタ!$C$6:$C$405,$AN2128)="",$R2128,INDEX(職員マスタ!$C$6:$C$405,$AN2128)))</f>
        <v/>
      </c>
      <c r="X2128" s="14">
        <f>IF($AO2128="","","R"&amp;$C2128&amp;"."&amp;$D2128)</f>
        <v/>
      </c>
      <c r="Y2128" s="15">
        <f>IF($AN2128="","",IF(INDEX(職員マスタ!$K$6:$K$405,$AN2128)="","",INDEX(職員マスタ!$K$6:$K$405,$AN2128)))</f>
        <v/>
      </c>
      <c r="Z2128" s="14">
        <f>IF(OR($E2128="",$Y2128=""),"",IF($E2128&gt;=$Y2128,"×",IF($E2128&gt;=$Y2128*設定!$C$5,"△","○")))</f>
        <v/>
      </c>
      <c r="AA2128" s="15">
        <f>IF($Z2128="","",IF($Z2128="×",0,IF($Z2128="○",ROUNDDOWN($E2128*設定!$C$4,0),ROUNDDOWN($E2128*ROUND((9*$Y2128-9*$E2128)/(10*$E2128),4),0))))</f>
        <v/>
      </c>
      <c r="AB2128" s="13" t="n"/>
      <c r="AC2128" s="15">
        <f>IF($B2128="","",IF($AB2128&lt;&gt;"",$AB2128,IF($AA2128="","",IF($AA2128&lt;=設定!$C$3,0,$AA2128))))</f>
        <v/>
      </c>
      <c r="AD2128" s="14">
        <f>IF($B2128="","",IF(AND($AE2128&lt;&gt;"",$AG2128="",$AJ2128=""),"保留中",IF($AJ2128&lt;&gt;"",IF(N($AC2128)&gt;0,"支給済","不支給"),IF($AC2128="","要確認",IF($AC2128=0,"不支給","未処理")))))</f>
        <v/>
      </c>
      <c r="AE2128" s="12" t="n"/>
      <c r="AF2128" s="11" t="n"/>
      <c r="AG2128" s="11" t="n"/>
      <c r="AH2128" s="11" t="n"/>
      <c r="AI2128" s="14">
        <f>IF(AND($AD2128="保留中",$AF2128&lt;&gt;""),TODAY()-$AF2128,"")</f>
        <v/>
      </c>
      <c r="AJ2128" s="12" t="n"/>
      <c r="AK2128" s="14">
        <f>IF($B2128="","",IF($AO2128="","対象年月が未入力／","")&amp;IF($B2128="","",IF($AN2128="","職員マスタに未登録の職員番号／",IF($Y2128="","標準報酬月額が未登録／","")&amp;IF(AND($AO2128&lt;&gt;"",OR(AND(INDEX(職員マスタ!$G$6:$G$405,$AN2128)&lt;&gt;"",INDEX(職員マスタ!$G$6:$G$405,$AN2128)&gt;EOMONTH($AO2128,0)),AND(INDEX(職員マスタ!$H$6:$H$405,$AN2128)&lt;&gt;"",INDEX(職員マスタ!$H$6:$H$405,$AN2128)&lt;$AO2128))),"対象月が時短期間外／","")&amp;IF(AND(INDEX(職員マスタ!$F$6:$F$405,$AN2128)&lt;&gt;"",$AO2128&lt;&gt;"",INDEX(職員マスタ!$F$6:$F$405,$AN2128)&lt;$AO2128),"対象月に子が2歳到達済／","")&amp;IF(AND($H2128&lt;&gt;"",INDEX(職員マスタ!$B$6:$B$405,$AN2128)&lt;&gt;"",SUBSTITUTE(SUBSTITUTE($H2128," ","")," ","")&lt;&gt;SUBSTITUTE(SUBSTITUTE(INDEX(職員マスタ!$B$6:$B$405,$AN2128)," ","")," ","")),"氏名がマスタと相違／","")&amp;IF(AND($Q2128&lt;&gt;"",INDEX(職員マスタ!$E$6:$E$405,$AN2128)&lt;&gt;"",$Q2128&lt;&gt;INDEX(職員マスタ!$E$6:$E$405,$AN2128)),"子の生年月日がマスタと相違／","")&amp;IF(AND($L2128&lt;&gt;"",INDEX(職員マスタ!$G$6:$G$405,$AN2128)&lt;&gt;"",$L2128&lt;&gt;INDEX(職員マスタ!$G$6:$G$405,$AN2128)),"時短開始日がマスタと相違／","")&amp;IF(AND($M2128&lt;&gt;"",INDEX(職員マスタ!$H$6:$H$405,$AN2128)&lt;&gt;"",$M2128&lt;&gt;INDEX(職員マスタ!$H$6:$H$405,$AN2128)),"時短終了日がマスタと相違／","")))&amp;IF(AND($B2128&lt;&gt;"",$E2128=""),"報酬額が未入力／","")&amp;IF(N($U2128)&gt;0,"申請書に入力エラーが残っています／","")&amp;IF(AND($B2128&lt;&gt;"",$AO2128&lt;&gt;""),IF(COUNTIFS($B$6:$B$3005,$B2128,$C$6:$C$3005,$C2128,$D$6:$D$3005,$D2128)&gt;1,"同じ月の請求が重複しています／",""),"")&amp;IF(AND(N($E2128)&gt;0,$Z2128&lt;&gt;"",$Z2128&lt;&gt;"×",$AC2128=0,$AB2128=""),"計算額が下限以下のため不支給／",""))</f>
        <v/>
      </c>
      <c r="AL2128" s="12" t="n"/>
      <c r="AM2128" s="14">
        <f>IF($AD2128="保留中",COUNTIF($AD$6:$AD2128,"保留中"),"")</f>
        <v/>
      </c>
      <c r="AN2128" s="14">
        <f>IF($AO2128="","",IF(SUMPRODUCT(MAX((職員マスタ!$A$6:$A$405=$B2128)*(((職員マスタ!$G$6:$G$405="")+(職員マスタ!$G$6:$G$405&lt;=EOMONTH($AO2128,0)))&gt;0)*(((職員マスタ!$H$6:$H$405="")+(職員マスタ!$H$6:$H$405&gt;=$AO2128))&gt;0)*(ROW(職員マスタ!$A$6:$A$405)-5)))&gt;0,SUMPRODUCT(MAX((職員マスタ!$A$6:$A$405=$B2128)*(((職員マスタ!$G$6:$G$405="")+(職員マスタ!$G$6:$G$405&lt;=EOMONTH($AO2128,0)))&gt;0)*(((職員マスタ!$H$6:$H$405="")+(職員マスタ!$H$6:$H$405&gt;=$AO2128))&gt;0)*(ROW(職員マスタ!$A$6:$A$405)-5))),IFERROR(MATCH($B2128,職員マスタ!$A$6:$A$405,0),"")))</f>
        <v/>
      </c>
      <c r="AO2128" s="16">
        <f>IF(OR($B2128="",$C2128="",$D2128=""),"",DATE($C2128+2018,$D2128,1))</f>
        <v/>
      </c>
    </row>
    <row r="2129">
      <c r="A2129" s="11" t="n"/>
      <c r="B2129" s="12" t="n"/>
      <c r="C2129" s="12" t="n"/>
      <c r="D2129" s="12" t="n"/>
      <c r="E2129" s="13" t="n"/>
      <c r="F2129" s="12" t="n"/>
      <c r="G2129" s="13" t="n"/>
      <c r="H2129" s="12" t="n"/>
      <c r="I2129" s="12" t="n"/>
      <c r="J2129" s="12" t="n"/>
      <c r="K2129" s="12" t="n"/>
      <c r="L2129" s="11" t="n"/>
      <c r="M2129" s="11" t="n"/>
      <c r="N2129" s="11" t="n"/>
      <c r="O2129" s="11" t="n"/>
      <c r="P2129" s="12" t="n"/>
      <c r="Q2129" s="11" t="n"/>
      <c r="R2129" s="12" t="n"/>
      <c r="S2129" s="11" t="n"/>
      <c r="T2129" s="12" t="n"/>
      <c r="U2129" s="12" t="n"/>
      <c r="V2129" s="14">
        <f>IF($AN2129="",IF($B2129="","",$H2129),IF(INDEX(職員マスタ!$B$6:$B$405,$AN2129)="",$H2129,INDEX(職員マスタ!$B$6:$B$405,$AN2129)))</f>
        <v/>
      </c>
      <c r="W2129" s="14">
        <f>IF($AN2129="",IF($B2129="","",$R2129),IF(INDEX(職員マスタ!$C$6:$C$405,$AN2129)="",$R2129,INDEX(職員マスタ!$C$6:$C$405,$AN2129)))</f>
        <v/>
      </c>
      <c r="X2129" s="14">
        <f>IF($AO2129="","","R"&amp;$C2129&amp;"."&amp;$D2129)</f>
        <v/>
      </c>
      <c r="Y2129" s="15">
        <f>IF($AN2129="","",IF(INDEX(職員マスタ!$K$6:$K$405,$AN2129)="","",INDEX(職員マスタ!$K$6:$K$405,$AN2129)))</f>
        <v/>
      </c>
      <c r="Z2129" s="14">
        <f>IF(OR($E2129="",$Y2129=""),"",IF($E2129&gt;=$Y2129,"×",IF($E2129&gt;=$Y2129*設定!$C$5,"△","○")))</f>
        <v/>
      </c>
      <c r="AA2129" s="15">
        <f>IF($Z2129="","",IF($Z2129="×",0,IF($Z2129="○",ROUNDDOWN($E2129*設定!$C$4,0),ROUNDDOWN($E2129*ROUND((9*$Y2129-9*$E2129)/(10*$E2129),4),0))))</f>
        <v/>
      </c>
      <c r="AB2129" s="13" t="n"/>
      <c r="AC2129" s="15">
        <f>IF($B2129="","",IF($AB2129&lt;&gt;"",$AB2129,IF($AA2129="","",IF($AA2129&lt;=設定!$C$3,0,$AA2129))))</f>
        <v/>
      </c>
      <c r="AD2129" s="14">
        <f>IF($B2129="","",IF(AND($AE2129&lt;&gt;"",$AG2129="",$AJ2129=""),"保留中",IF($AJ2129&lt;&gt;"",IF(N($AC2129)&gt;0,"支給済","不支給"),IF($AC2129="","要確認",IF($AC2129=0,"不支給","未処理")))))</f>
        <v/>
      </c>
      <c r="AE2129" s="12" t="n"/>
      <c r="AF2129" s="11" t="n"/>
      <c r="AG2129" s="11" t="n"/>
      <c r="AH2129" s="11" t="n"/>
      <c r="AI2129" s="14">
        <f>IF(AND($AD2129="保留中",$AF2129&lt;&gt;""),TODAY()-$AF2129,"")</f>
        <v/>
      </c>
      <c r="AJ2129" s="12" t="n"/>
      <c r="AK2129" s="14">
        <f>IF($B2129="","",IF($AO2129="","対象年月が未入力／","")&amp;IF($B2129="","",IF($AN2129="","職員マスタに未登録の職員番号／",IF($Y2129="","標準報酬月額が未登録／","")&amp;IF(AND($AO2129&lt;&gt;"",OR(AND(INDEX(職員マスタ!$G$6:$G$405,$AN2129)&lt;&gt;"",INDEX(職員マスタ!$G$6:$G$405,$AN2129)&gt;EOMONTH($AO2129,0)),AND(INDEX(職員マスタ!$H$6:$H$405,$AN2129)&lt;&gt;"",INDEX(職員マスタ!$H$6:$H$405,$AN2129)&lt;$AO2129))),"対象月が時短期間外／","")&amp;IF(AND(INDEX(職員マスタ!$F$6:$F$405,$AN2129)&lt;&gt;"",$AO2129&lt;&gt;"",INDEX(職員マスタ!$F$6:$F$405,$AN2129)&lt;$AO2129),"対象月に子が2歳到達済／","")&amp;IF(AND($H2129&lt;&gt;"",INDEX(職員マスタ!$B$6:$B$405,$AN2129)&lt;&gt;"",SUBSTITUTE(SUBSTITUTE($H2129," ","")," ","")&lt;&gt;SUBSTITUTE(SUBSTITUTE(INDEX(職員マスタ!$B$6:$B$405,$AN2129)," ","")," ","")),"氏名がマスタと相違／","")&amp;IF(AND($Q2129&lt;&gt;"",INDEX(職員マスタ!$E$6:$E$405,$AN2129)&lt;&gt;"",$Q2129&lt;&gt;INDEX(職員マスタ!$E$6:$E$405,$AN2129)),"子の生年月日がマスタと相違／","")&amp;IF(AND($L2129&lt;&gt;"",INDEX(職員マスタ!$G$6:$G$405,$AN2129)&lt;&gt;"",$L2129&lt;&gt;INDEX(職員マスタ!$G$6:$G$405,$AN2129)),"時短開始日がマスタと相違／","")&amp;IF(AND($M2129&lt;&gt;"",INDEX(職員マスタ!$H$6:$H$405,$AN2129)&lt;&gt;"",$M2129&lt;&gt;INDEX(職員マスタ!$H$6:$H$405,$AN2129)),"時短終了日がマスタと相違／","")))&amp;IF(AND($B2129&lt;&gt;"",$E2129=""),"報酬額が未入力／","")&amp;IF(N($U2129)&gt;0,"申請書に入力エラーが残っています／","")&amp;IF(AND($B2129&lt;&gt;"",$AO2129&lt;&gt;""),IF(COUNTIFS($B$6:$B$3005,$B2129,$C$6:$C$3005,$C2129,$D$6:$D$3005,$D2129)&gt;1,"同じ月の請求が重複しています／",""),"")&amp;IF(AND(N($E2129)&gt;0,$Z2129&lt;&gt;"",$Z2129&lt;&gt;"×",$AC2129=0,$AB2129=""),"計算額が下限以下のため不支給／",""))</f>
        <v/>
      </c>
      <c r="AL2129" s="12" t="n"/>
      <c r="AM2129" s="14">
        <f>IF($AD2129="保留中",COUNTIF($AD$6:$AD2129,"保留中"),"")</f>
        <v/>
      </c>
      <c r="AN2129" s="14">
        <f>IF($AO2129="","",IF(SUMPRODUCT(MAX((職員マスタ!$A$6:$A$405=$B2129)*(((職員マスタ!$G$6:$G$405="")+(職員マスタ!$G$6:$G$405&lt;=EOMONTH($AO2129,0)))&gt;0)*(((職員マスタ!$H$6:$H$405="")+(職員マスタ!$H$6:$H$405&gt;=$AO2129))&gt;0)*(ROW(職員マスタ!$A$6:$A$405)-5)))&gt;0,SUMPRODUCT(MAX((職員マスタ!$A$6:$A$405=$B2129)*(((職員マスタ!$G$6:$G$405="")+(職員マスタ!$G$6:$G$405&lt;=EOMONTH($AO2129,0)))&gt;0)*(((職員マスタ!$H$6:$H$405="")+(職員マスタ!$H$6:$H$405&gt;=$AO2129))&gt;0)*(ROW(職員マスタ!$A$6:$A$405)-5))),IFERROR(MATCH($B2129,職員マスタ!$A$6:$A$405,0),"")))</f>
        <v/>
      </c>
      <c r="AO2129" s="16">
        <f>IF(OR($B2129="",$C2129="",$D2129=""),"",DATE($C2129+2018,$D2129,1))</f>
        <v/>
      </c>
    </row>
    <row r="2130">
      <c r="A2130" s="11" t="n"/>
      <c r="B2130" s="12" t="n"/>
      <c r="C2130" s="12" t="n"/>
      <c r="D2130" s="12" t="n"/>
      <c r="E2130" s="13" t="n"/>
      <c r="F2130" s="12" t="n"/>
      <c r="G2130" s="13" t="n"/>
      <c r="H2130" s="12" t="n"/>
      <c r="I2130" s="12" t="n"/>
      <c r="J2130" s="12" t="n"/>
      <c r="K2130" s="12" t="n"/>
      <c r="L2130" s="11" t="n"/>
      <c r="M2130" s="11" t="n"/>
      <c r="N2130" s="11" t="n"/>
      <c r="O2130" s="11" t="n"/>
      <c r="P2130" s="12" t="n"/>
      <c r="Q2130" s="11" t="n"/>
      <c r="R2130" s="12" t="n"/>
      <c r="S2130" s="11" t="n"/>
      <c r="T2130" s="12" t="n"/>
      <c r="U2130" s="12" t="n"/>
      <c r="V2130" s="14">
        <f>IF($AN2130="",IF($B2130="","",$H2130),IF(INDEX(職員マスタ!$B$6:$B$405,$AN2130)="",$H2130,INDEX(職員マスタ!$B$6:$B$405,$AN2130)))</f>
        <v/>
      </c>
      <c r="W2130" s="14">
        <f>IF($AN2130="",IF($B2130="","",$R2130),IF(INDEX(職員マスタ!$C$6:$C$405,$AN2130)="",$R2130,INDEX(職員マスタ!$C$6:$C$405,$AN2130)))</f>
        <v/>
      </c>
      <c r="X2130" s="14">
        <f>IF($AO2130="","","R"&amp;$C2130&amp;"."&amp;$D2130)</f>
        <v/>
      </c>
      <c r="Y2130" s="15">
        <f>IF($AN2130="","",IF(INDEX(職員マスタ!$K$6:$K$405,$AN2130)="","",INDEX(職員マスタ!$K$6:$K$405,$AN2130)))</f>
        <v/>
      </c>
      <c r="Z2130" s="14">
        <f>IF(OR($E2130="",$Y2130=""),"",IF($E2130&gt;=$Y2130,"×",IF($E2130&gt;=$Y2130*設定!$C$5,"△","○")))</f>
        <v/>
      </c>
      <c r="AA2130" s="15">
        <f>IF($Z2130="","",IF($Z2130="×",0,IF($Z2130="○",ROUNDDOWN($E2130*設定!$C$4,0),ROUNDDOWN($E2130*ROUND((9*$Y2130-9*$E2130)/(10*$E2130),4),0))))</f>
        <v/>
      </c>
      <c r="AB2130" s="13" t="n"/>
      <c r="AC2130" s="15">
        <f>IF($B2130="","",IF($AB2130&lt;&gt;"",$AB2130,IF($AA2130="","",IF($AA2130&lt;=設定!$C$3,0,$AA2130))))</f>
        <v/>
      </c>
      <c r="AD2130" s="14">
        <f>IF($B2130="","",IF(AND($AE2130&lt;&gt;"",$AG2130="",$AJ2130=""),"保留中",IF($AJ2130&lt;&gt;"",IF(N($AC2130)&gt;0,"支給済","不支給"),IF($AC2130="","要確認",IF($AC2130=0,"不支給","未処理")))))</f>
        <v/>
      </c>
      <c r="AE2130" s="12" t="n"/>
      <c r="AF2130" s="11" t="n"/>
      <c r="AG2130" s="11" t="n"/>
      <c r="AH2130" s="11" t="n"/>
      <c r="AI2130" s="14">
        <f>IF(AND($AD2130="保留中",$AF2130&lt;&gt;""),TODAY()-$AF2130,"")</f>
        <v/>
      </c>
      <c r="AJ2130" s="12" t="n"/>
      <c r="AK2130" s="14">
        <f>IF($B2130="","",IF($AO2130="","対象年月が未入力／","")&amp;IF($B2130="","",IF($AN2130="","職員マスタに未登録の職員番号／",IF($Y2130="","標準報酬月額が未登録／","")&amp;IF(AND($AO2130&lt;&gt;"",OR(AND(INDEX(職員マスタ!$G$6:$G$405,$AN2130)&lt;&gt;"",INDEX(職員マスタ!$G$6:$G$405,$AN2130)&gt;EOMONTH($AO2130,0)),AND(INDEX(職員マスタ!$H$6:$H$405,$AN2130)&lt;&gt;"",INDEX(職員マスタ!$H$6:$H$405,$AN2130)&lt;$AO2130))),"対象月が時短期間外／","")&amp;IF(AND(INDEX(職員マスタ!$F$6:$F$405,$AN2130)&lt;&gt;"",$AO2130&lt;&gt;"",INDEX(職員マスタ!$F$6:$F$405,$AN2130)&lt;$AO2130),"対象月に子が2歳到達済／","")&amp;IF(AND($H2130&lt;&gt;"",INDEX(職員マスタ!$B$6:$B$405,$AN2130)&lt;&gt;"",SUBSTITUTE(SUBSTITUTE($H2130," ","")," ","")&lt;&gt;SUBSTITUTE(SUBSTITUTE(INDEX(職員マスタ!$B$6:$B$405,$AN2130)," ","")," ","")),"氏名がマスタと相違／","")&amp;IF(AND($Q2130&lt;&gt;"",INDEX(職員マスタ!$E$6:$E$405,$AN2130)&lt;&gt;"",$Q2130&lt;&gt;INDEX(職員マスタ!$E$6:$E$405,$AN2130)),"子の生年月日がマスタと相違／","")&amp;IF(AND($L2130&lt;&gt;"",INDEX(職員マスタ!$G$6:$G$405,$AN2130)&lt;&gt;"",$L2130&lt;&gt;INDEX(職員マスタ!$G$6:$G$405,$AN2130)),"時短開始日がマスタと相違／","")&amp;IF(AND($M2130&lt;&gt;"",INDEX(職員マスタ!$H$6:$H$405,$AN2130)&lt;&gt;"",$M2130&lt;&gt;INDEX(職員マスタ!$H$6:$H$405,$AN2130)),"時短終了日がマスタと相違／","")))&amp;IF(AND($B2130&lt;&gt;"",$E2130=""),"報酬額が未入力／","")&amp;IF(N($U2130)&gt;0,"申請書に入力エラーが残っています／","")&amp;IF(AND($B2130&lt;&gt;"",$AO2130&lt;&gt;""),IF(COUNTIFS($B$6:$B$3005,$B2130,$C$6:$C$3005,$C2130,$D$6:$D$3005,$D2130)&gt;1,"同じ月の請求が重複しています／",""),"")&amp;IF(AND(N($E2130)&gt;0,$Z2130&lt;&gt;"",$Z2130&lt;&gt;"×",$AC2130=0,$AB2130=""),"計算額が下限以下のため不支給／",""))</f>
        <v/>
      </c>
      <c r="AL2130" s="12" t="n"/>
      <c r="AM2130" s="14">
        <f>IF($AD2130="保留中",COUNTIF($AD$6:$AD2130,"保留中"),"")</f>
        <v/>
      </c>
      <c r="AN2130" s="14">
        <f>IF($AO2130="","",IF(SUMPRODUCT(MAX((職員マスタ!$A$6:$A$405=$B2130)*(((職員マスタ!$G$6:$G$405="")+(職員マスタ!$G$6:$G$405&lt;=EOMONTH($AO2130,0)))&gt;0)*(((職員マスタ!$H$6:$H$405="")+(職員マスタ!$H$6:$H$405&gt;=$AO2130))&gt;0)*(ROW(職員マスタ!$A$6:$A$405)-5)))&gt;0,SUMPRODUCT(MAX((職員マスタ!$A$6:$A$405=$B2130)*(((職員マスタ!$G$6:$G$405="")+(職員マスタ!$G$6:$G$405&lt;=EOMONTH($AO2130,0)))&gt;0)*(((職員マスタ!$H$6:$H$405="")+(職員マスタ!$H$6:$H$405&gt;=$AO2130))&gt;0)*(ROW(職員マスタ!$A$6:$A$405)-5))),IFERROR(MATCH($B2130,職員マスタ!$A$6:$A$405,0),"")))</f>
        <v/>
      </c>
      <c r="AO2130" s="16">
        <f>IF(OR($B2130="",$C2130="",$D2130=""),"",DATE($C2130+2018,$D2130,1))</f>
        <v/>
      </c>
    </row>
    <row r="2131">
      <c r="A2131" s="11" t="n"/>
      <c r="B2131" s="12" t="n"/>
      <c r="C2131" s="12" t="n"/>
      <c r="D2131" s="12" t="n"/>
      <c r="E2131" s="13" t="n"/>
      <c r="F2131" s="12" t="n"/>
      <c r="G2131" s="13" t="n"/>
      <c r="H2131" s="12" t="n"/>
      <c r="I2131" s="12" t="n"/>
      <c r="J2131" s="12" t="n"/>
      <c r="K2131" s="12" t="n"/>
      <c r="L2131" s="11" t="n"/>
      <c r="M2131" s="11" t="n"/>
      <c r="N2131" s="11" t="n"/>
      <c r="O2131" s="11" t="n"/>
      <c r="P2131" s="12" t="n"/>
      <c r="Q2131" s="11" t="n"/>
      <c r="R2131" s="12" t="n"/>
      <c r="S2131" s="11" t="n"/>
      <c r="T2131" s="12" t="n"/>
      <c r="U2131" s="12" t="n"/>
      <c r="V2131" s="14">
        <f>IF($AN2131="",IF($B2131="","",$H2131),IF(INDEX(職員マスタ!$B$6:$B$405,$AN2131)="",$H2131,INDEX(職員マスタ!$B$6:$B$405,$AN2131)))</f>
        <v/>
      </c>
      <c r="W2131" s="14">
        <f>IF($AN2131="",IF($B2131="","",$R2131),IF(INDEX(職員マスタ!$C$6:$C$405,$AN2131)="",$R2131,INDEX(職員マスタ!$C$6:$C$405,$AN2131)))</f>
        <v/>
      </c>
      <c r="X2131" s="14">
        <f>IF($AO2131="","","R"&amp;$C2131&amp;"."&amp;$D2131)</f>
        <v/>
      </c>
      <c r="Y2131" s="15">
        <f>IF($AN2131="","",IF(INDEX(職員マスタ!$K$6:$K$405,$AN2131)="","",INDEX(職員マスタ!$K$6:$K$405,$AN2131)))</f>
        <v/>
      </c>
      <c r="Z2131" s="14">
        <f>IF(OR($E2131="",$Y2131=""),"",IF($E2131&gt;=$Y2131,"×",IF($E2131&gt;=$Y2131*設定!$C$5,"△","○")))</f>
        <v/>
      </c>
      <c r="AA2131" s="15">
        <f>IF($Z2131="","",IF($Z2131="×",0,IF($Z2131="○",ROUNDDOWN($E2131*設定!$C$4,0),ROUNDDOWN($E2131*ROUND((9*$Y2131-9*$E2131)/(10*$E2131),4),0))))</f>
        <v/>
      </c>
      <c r="AB2131" s="13" t="n"/>
      <c r="AC2131" s="15">
        <f>IF($B2131="","",IF($AB2131&lt;&gt;"",$AB2131,IF($AA2131="","",IF($AA2131&lt;=設定!$C$3,0,$AA2131))))</f>
        <v/>
      </c>
      <c r="AD2131" s="14">
        <f>IF($B2131="","",IF(AND($AE2131&lt;&gt;"",$AG2131="",$AJ2131=""),"保留中",IF($AJ2131&lt;&gt;"",IF(N($AC2131)&gt;0,"支給済","不支給"),IF($AC2131="","要確認",IF($AC2131=0,"不支給","未処理")))))</f>
        <v/>
      </c>
      <c r="AE2131" s="12" t="n"/>
      <c r="AF2131" s="11" t="n"/>
      <c r="AG2131" s="11" t="n"/>
      <c r="AH2131" s="11" t="n"/>
      <c r="AI2131" s="14">
        <f>IF(AND($AD2131="保留中",$AF2131&lt;&gt;""),TODAY()-$AF2131,"")</f>
        <v/>
      </c>
      <c r="AJ2131" s="12" t="n"/>
      <c r="AK2131" s="14">
        <f>IF($B2131="","",IF($AO2131="","対象年月が未入力／","")&amp;IF($B2131="","",IF($AN2131="","職員マスタに未登録の職員番号／",IF($Y2131="","標準報酬月額が未登録／","")&amp;IF(AND($AO2131&lt;&gt;"",OR(AND(INDEX(職員マスタ!$G$6:$G$405,$AN2131)&lt;&gt;"",INDEX(職員マスタ!$G$6:$G$405,$AN2131)&gt;EOMONTH($AO2131,0)),AND(INDEX(職員マスタ!$H$6:$H$405,$AN2131)&lt;&gt;"",INDEX(職員マスタ!$H$6:$H$405,$AN2131)&lt;$AO2131))),"対象月が時短期間外／","")&amp;IF(AND(INDEX(職員マスタ!$F$6:$F$405,$AN2131)&lt;&gt;"",$AO2131&lt;&gt;"",INDEX(職員マスタ!$F$6:$F$405,$AN2131)&lt;$AO2131),"対象月に子が2歳到達済／","")&amp;IF(AND($H2131&lt;&gt;"",INDEX(職員マスタ!$B$6:$B$405,$AN2131)&lt;&gt;"",SUBSTITUTE(SUBSTITUTE($H2131," ","")," ","")&lt;&gt;SUBSTITUTE(SUBSTITUTE(INDEX(職員マスタ!$B$6:$B$405,$AN2131)," ","")," ","")),"氏名がマスタと相違／","")&amp;IF(AND($Q2131&lt;&gt;"",INDEX(職員マスタ!$E$6:$E$405,$AN2131)&lt;&gt;"",$Q2131&lt;&gt;INDEX(職員マスタ!$E$6:$E$405,$AN2131)),"子の生年月日がマスタと相違／","")&amp;IF(AND($L2131&lt;&gt;"",INDEX(職員マスタ!$G$6:$G$405,$AN2131)&lt;&gt;"",$L2131&lt;&gt;INDEX(職員マスタ!$G$6:$G$405,$AN2131)),"時短開始日がマスタと相違／","")&amp;IF(AND($M2131&lt;&gt;"",INDEX(職員マスタ!$H$6:$H$405,$AN2131)&lt;&gt;"",$M2131&lt;&gt;INDEX(職員マスタ!$H$6:$H$405,$AN2131)),"時短終了日がマスタと相違／","")))&amp;IF(AND($B2131&lt;&gt;"",$E2131=""),"報酬額が未入力／","")&amp;IF(N($U2131)&gt;0,"申請書に入力エラーが残っています／","")&amp;IF(AND($B2131&lt;&gt;"",$AO2131&lt;&gt;""),IF(COUNTIFS($B$6:$B$3005,$B2131,$C$6:$C$3005,$C2131,$D$6:$D$3005,$D2131)&gt;1,"同じ月の請求が重複しています／",""),"")&amp;IF(AND(N($E2131)&gt;0,$Z2131&lt;&gt;"",$Z2131&lt;&gt;"×",$AC2131=0,$AB2131=""),"計算額が下限以下のため不支給／",""))</f>
        <v/>
      </c>
      <c r="AL2131" s="12" t="n"/>
      <c r="AM2131" s="14">
        <f>IF($AD2131="保留中",COUNTIF($AD$6:$AD2131,"保留中"),"")</f>
        <v/>
      </c>
      <c r="AN2131" s="14">
        <f>IF($AO2131="","",IF(SUMPRODUCT(MAX((職員マスタ!$A$6:$A$405=$B2131)*(((職員マスタ!$G$6:$G$405="")+(職員マスタ!$G$6:$G$405&lt;=EOMONTH($AO2131,0)))&gt;0)*(((職員マスタ!$H$6:$H$405="")+(職員マスタ!$H$6:$H$405&gt;=$AO2131))&gt;0)*(ROW(職員マスタ!$A$6:$A$405)-5)))&gt;0,SUMPRODUCT(MAX((職員マスタ!$A$6:$A$405=$B2131)*(((職員マスタ!$G$6:$G$405="")+(職員マスタ!$G$6:$G$405&lt;=EOMONTH($AO2131,0)))&gt;0)*(((職員マスタ!$H$6:$H$405="")+(職員マスタ!$H$6:$H$405&gt;=$AO2131))&gt;0)*(ROW(職員マスタ!$A$6:$A$405)-5))),IFERROR(MATCH($B2131,職員マスタ!$A$6:$A$405,0),"")))</f>
        <v/>
      </c>
      <c r="AO2131" s="16">
        <f>IF(OR($B2131="",$C2131="",$D2131=""),"",DATE($C2131+2018,$D2131,1))</f>
        <v/>
      </c>
    </row>
    <row r="2132">
      <c r="A2132" s="11" t="n"/>
      <c r="B2132" s="12" t="n"/>
      <c r="C2132" s="12" t="n"/>
      <c r="D2132" s="12" t="n"/>
      <c r="E2132" s="13" t="n"/>
      <c r="F2132" s="12" t="n"/>
      <c r="G2132" s="13" t="n"/>
      <c r="H2132" s="12" t="n"/>
      <c r="I2132" s="12" t="n"/>
      <c r="J2132" s="12" t="n"/>
      <c r="K2132" s="12" t="n"/>
      <c r="L2132" s="11" t="n"/>
      <c r="M2132" s="11" t="n"/>
      <c r="N2132" s="11" t="n"/>
      <c r="O2132" s="11" t="n"/>
      <c r="P2132" s="12" t="n"/>
      <c r="Q2132" s="11" t="n"/>
      <c r="R2132" s="12" t="n"/>
      <c r="S2132" s="11" t="n"/>
      <c r="T2132" s="12" t="n"/>
      <c r="U2132" s="12" t="n"/>
      <c r="V2132" s="14">
        <f>IF($AN2132="",IF($B2132="","",$H2132),IF(INDEX(職員マスタ!$B$6:$B$405,$AN2132)="",$H2132,INDEX(職員マスタ!$B$6:$B$405,$AN2132)))</f>
        <v/>
      </c>
      <c r="W2132" s="14">
        <f>IF($AN2132="",IF($B2132="","",$R2132),IF(INDEX(職員マスタ!$C$6:$C$405,$AN2132)="",$R2132,INDEX(職員マスタ!$C$6:$C$405,$AN2132)))</f>
        <v/>
      </c>
      <c r="X2132" s="14">
        <f>IF($AO2132="","","R"&amp;$C2132&amp;"."&amp;$D2132)</f>
        <v/>
      </c>
      <c r="Y2132" s="15">
        <f>IF($AN2132="","",IF(INDEX(職員マスタ!$K$6:$K$405,$AN2132)="","",INDEX(職員マスタ!$K$6:$K$405,$AN2132)))</f>
        <v/>
      </c>
      <c r="Z2132" s="14">
        <f>IF(OR($E2132="",$Y2132=""),"",IF($E2132&gt;=$Y2132,"×",IF($E2132&gt;=$Y2132*設定!$C$5,"△","○")))</f>
        <v/>
      </c>
      <c r="AA2132" s="15">
        <f>IF($Z2132="","",IF($Z2132="×",0,IF($Z2132="○",ROUNDDOWN($E2132*設定!$C$4,0),ROUNDDOWN($E2132*ROUND((9*$Y2132-9*$E2132)/(10*$E2132),4),0))))</f>
        <v/>
      </c>
      <c r="AB2132" s="13" t="n"/>
      <c r="AC2132" s="15">
        <f>IF($B2132="","",IF($AB2132&lt;&gt;"",$AB2132,IF($AA2132="","",IF($AA2132&lt;=設定!$C$3,0,$AA2132))))</f>
        <v/>
      </c>
      <c r="AD2132" s="14">
        <f>IF($B2132="","",IF(AND($AE2132&lt;&gt;"",$AG2132="",$AJ2132=""),"保留中",IF($AJ2132&lt;&gt;"",IF(N($AC2132)&gt;0,"支給済","不支給"),IF($AC2132="","要確認",IF($AC2132=0,"不支給","未処理")))))</f>
        <v/>
      </c>
      <c r="AE2132" s="12" t="n"/>
      <c r="AF2132" s="11" t="n"/>
      <c r="AG2132" s="11" t="n"/>
      <c r="AH2132" s="11" t="n"/>
      <c r="AI2132" s="14">
        <f>IF(AND($AD2132="保留中",$AF2132&lt;&gt;""),TODAY()-$AF2132,"")</f>
        <v/>
      </c>
      <c r="AJ2132" s="12" t="n"/>
      <c r="AK2132" s="14">
        <f>IF($B2132="","",IF($AO2132="","対象年月が未入力／","")&amp;IF($B2132="","",IF($AN2132="","職員マスタに未登録の職員番号／",IF($Y2132="","標準報酬月額が未登録／","")&amp;IF(AND($AO2132&lt;&gt;"",OR(AND(INDEX(職員マスタ!$G$6:$G$405,$AN2132)&lt;&gt;"",INDEX(職員マスタ!$G$6:$G$405,$AN2132)&gt;EOMONTH($AO2132,0)),AND(INDEX(職員マスタ!$H$6:$H$405,$AN2132)&lt;&gt;"",INDEX(職員マスタ!$H$6:$H$405,$AN2132)&lt;$AO2132))),"対象月が時短期間外／","")&amp;IF(AND(INDEX(職員マスタ!$F$6:$F$405,$AN2132)&lt;&gt;"",$AO2132&lt;&gt;"",INDEX(職員マスタ!$F$6:$F$405,$AN2132)&lt;$AO2132),"対象月に子が2歳到達済／","")&amp;IF(AND($H2132&lt;&gt;"",INDEX(職員マスタ!$B$6:$B$405,$AN2132)&lt;&gt;"",SUBSTITUTE(SUBSTITUTE($H2132," ","")," ","")&lt;&gt;SUBSTITUTE(SUBSTITUTE(INDEX(職員マスタ!$B$6:$B$405,$AN2132)," ","")," ","")),"氏名がマスタと相違／","")&amp;IF(AND($Q2132&lt;&gt;"",INDEX(職員マスタ!$E$6:$E$405,$AN2132)&lt;&gt;"",$Q2132&lt;&gt;INDEX(職員マスタ!$E$6:$E$405,$AN2132)),"子の生年月日がマスタと相違／","")&amp;IF(AND($L2132&lt;&gt;"",INDEX(職員マスタ!$G$6:$G$405,$AN2132)&lt;&gt;"",$L2132&lt;&gt;INDEX(職員マスタ!$G$6:$G$405,$AN2132)),"時短開始日がマスタと相違／","")&amp;IF(AND($M2132&lt;&gt;"",INDEX(職員マスタ!$H$6:$H$405,$AN2132)&lt;&gt;"",$M2132&lt;&gt;INDEX(職員マスタ!$H$6:$H$405,$AN2132)),"時短終了日がマスタと相違／","")))&amp;IF(AND($B2132&lt;&gt;"",$E2132=""),"報酬額が未入力／","")&amp;IF(N($U2132)&gt;0,"申請書に入力エラーが残っています／","")&amp;IF(AND($B2132&lt;&gt;"",$AO2132&lt;&gt;""),IF(COUNTIFS($B$6:$B$3005,$B2132,$C$6:$C$3005,$C2132,$D$6:$D$3005,$D2132)&gt;1,"同じ月の請求が重複しています／",""),"")&amp;IF(AND(N($E2132)&gt;0,$Z2132&lt;&gt;"",$Z2132&lt;&gt;"×",$AC2132=0,$AB2132=""),"計算額が下限以下のため不支給／",""))</f>
        <v/>
      </c>
      <c r="AL2132" s="12" t="n"/>
      <c r="AM2132" s="14">
        <f>IF($AD2132="保留中",COUNTIF($AD$6:$AD2132,"保留中"),"")</f>
        <v/>
      </c>
      <c r="AN2132" s="14">
        <f>IF($AO2132="","",IF(SUMPRODUCT(MAX((職員マスタ!$A$6:$A$405=$B2132)*(((職員マスタ!$G$6:$G$405="")+(職員マスタ!$G$6:$G$405&lt;=EOMONTH($AO2132,0)))&gt;0)*(((職員マスタ!$H$6:$H$405="")+(職員マスタ!$H$6:$H$405&gt;=$AO2132))&gt;0)*(ROW(職員マスタ!$A$6:$A$405)-5)))&gt;0,SUMPRODUCT(MAX((職員マスタ!$A$6:$A$405=$B2132)*(((職員マスタ!$G$6:$G$405="")+(職員マスタ!$G$6:$G$405&lt;=EOMONTH($AO2132,0)))&gt;0)*(((職員マスタ!$H$6:$H$405="")+(職員マスタ!$H$6:$H$405&gt;=$AO2132))&gt;0)*(ROW(職員マスタ!$A$6:$A$405)-5))),IFERROR(MATCH($B2132,職員マスタ!$A$6:$A$405,0),"")))</f>
        <v/>
      </c>
      <c r="AO2132" s="16">
        <f>IF(OR($B2132="",$C2132="",$D2132=""),"",DATE($C2132+2018,$D2132,1))</f>
        <v/>
      </c>
    </row>
    <row r="2133">
      <c r="A2133" s="11" t="n"/>
      <c r="B2133" s="12" t="n"/>
      <c r="C2133" s="12" t="n"/>
      <c r="D2133" s="12" t="n"/>
      <c r="E2133" s="13" t="n"/>
      <c r="F2133" s="12" t="n"/>
      <c r="G2133" s="13" t="n"/>
      <c r="H2133" s="12" t="n"/>
      <c r="I2133" s="12" t="n"/>
      <c r="J2133" s="12" t="n"/>
      <c r="K2133" s="12" t="n"/>
      <c r="L2133" s="11" t="n"/>
      <c r="M2133" s="11" t="n"/>
      <c r="N2133" s="11" t="n"/>
      <c r="O2133" s="11" t="n"/>
      <c r="P2133" s="12" t="n"/>
      <c r="Q2133" s="11" t="n"/>
      <c r="R2133" s="12" t="n"/>
      <c r="S2133" s="11" t="n"/>
      <c r="T2133" s="12" t="n"/>
      <c r="U2133" s="12" t="n"/>
      <c r="V2133" s="14">
        <f>IF($AN2133="",IF($B2133="","",$H2133),IF(INDEX(職員マスタ!$B$6:$B$405,$AN2133)="",$H2133,INDEX(職員マスタ!$B$6:$B$405,$AN2133)))</f>
        <v/>
      </c>
      <c r="W2133" s="14">
        <f>IF($AN2133="",IF($B2133="","",$R2133),IF(INDEX(職員マスタ!$C$6:$C$405,$AN2133)="",$R2133,INDEX(職員マスタ!$C$6:$C$405,$AN2133)))</f>
        <v/>
      </c>
      <c r="X2133" s="14">
        <f>IF($AO2133="","","R"&amp;$C2133&amp;"."&amp;$D2133)</f>
        <v/>
      </c>
      <c r="Y2133" s="15">
        <f>IF($AN2133="","",IF(INDEX(職員マスタ!$K$6:$K$405,$AN2133)="","",INDEX(職員マスタ!$K$6:$K$405,$AN2133)))</f>
        <v/>
      </c>
      <c r="Z2133" s="14">
        <f>IF(OR($E2133="",$Y2133=""),"",IF($E2133&gt;=$Y2133,"×",IF($E2133&gt;=$Y2133*設定!$C$5,"△","○")))</f>
        <v/>
      </c>
      <c r="AA2133" s="15">
        <f>IF($Z2133="","",IF($Z2133="×",0,IF($Z2133="○",ROUNDDOWN($E2133*設定!$C$4,0),ROUNDDOWN($E2133*ROUND((9*$Y2133-9*$E2133)/(10*$E2133),4),0))))</f>
        <v/>
      </c>
      <c r="AB2133" s="13" t="n"/>
      <c r="AC2133" s="15">
        <f>IF($B2133="","",IF($AB2133&lt;&gt;"",$AB2133,IF($AA2133="","",IF($AA2133&lt;=設定!$C$3,0,$AA2133))))</f>
        <v/>
      </c>
      <c r="AD2133" s="14">
        <f>IF($B2133="","",IF(AND($AE2133&lt;&gt;"",$AG2133="",$AJ2133=""),"保留中",IF($AJ2133&lt;&gt;"",IF(N($AC2133)&gt;0,"支給済","不支給"),IF($AC2133="","要確認",IF($AC2133=0,"不支給","未処理")))))</f>
        <v/>
      </c>
      <c r="AE2133" s="12" t="n"/>
      <c r="AF2133" s="11" t="n"/>
      <c r="AG2133" s="11" t="n"/>
      <c r="AH2133" s="11" t="n"/>
      <c r="AI2133" s="14">
        <f>IF(AND($AD2133="保留中",$AF2133&lt;&gt;""),TODAY()-$AF2133,"")</f>
        <v/>
      </c>
      <c r="AJ2133" s="12" t="n"/>
      <c r="AK2133" s="14">
        <f>IF($B2133="","",IF($AO2133="","対象年月が未入力／","")&amp;IF($B2133="","",IF($AN2133="","職員マスタに未登録の職員番号／",IF($Y2133="","標準報酬月額が未登録／","")&amp;IF(AND($AO2133&lt;&gt;"",OR(AND(INDEX(職員マスタ!$G$6:$G$405,$AN2133)&lt;&gt;"",INDEX(職員マスタ!$G$6:$G$405,$AN2133)&gt;EOMONTH($AO2133,0)),AND(INDEX(職員マスタ!$H$6:$H$405,$AN2133)&lt;&gt;"",INDEX(職員マスタ!$H$6:$H$405,$AN2133)&lt;$AO2133))),"対象月が時短期間外／","")&amp;IF(AND(INDEX(職員マスタ!$F$6:$F$405,$AN2133)&lt;&gt;"",$AO2133&lt;&gt;"",INDEX(職員マスタ!$F$6:$F$405,$AN2133)&lt;$AO2133),"対象月に子が2歳到達済／","")&amp;IF(AND($H2133&lt;&gt;"",INDEX(職員マスタ!$B$6:$B$405,$AN2133)&lt;&gt;"",SUBSTITUTE(SUBSTITUTE($H2133," ","")," ","")&lt;&gt;SUBSTITUTE(SUBSTITUTE(INDEX(職員マスタ!$B$6:$B$405,$AN2133)," ","")," ","")),"氏名がマスタと相違／","")&amp;IF(AND($Q2133&lt;&gt;"",INDEX(職員マスタ!$E$6:$E$405,$AN2133)&lt;&gt;"",$Q2133&lt;&gt;INDEX(職員マスタ!$E$6:$E$405,$AN2133)),"子の生年月日がマスタと相違／","")&amp;IF(AND($L2133&lt;&gt;"",INDEX(職員マスタ!$G$6:$G$405,$AN2133)&lt;&gt;"",$L2133&lt;&gt;INDEX(職員マスタ!$G$6:$G$405,$AN2133)),"時短開始日がマスタと相違／","")&amp;IF(AND($M2133&lt;&gt;"",INDEX(職員マスタ!$H$6:$H$405,$AN2133)&lt;&gt;"",$M2133&lt;&gt;INDEX(職員マスタ!$H$6:$H$405,$AN2133)),"時短終了日がマスタと相違／","")))&amp;IF(AND($B2133&lt;&gt;"",$E2133=""),"報酬額が未入力／","")&amp;IF(N($U2133)&gt;0,"申請書に入力エラーが残っています／","")&amp;IF(AND($B2133&lt;&gt;"",$AO2133&lt;&gt;""),IF(COUNTIFS($B$6:$B$3005,$B2133,$C$6:$C$3005,$C2133,$D$6:$D$3005,$D2133)&gt;1,"同じ月の請求が重複しています／",""),"")&amp;IF(AND(N($E2133)&gt;0,$Z2133&lt;&gt;"",$Z2133&lt;&gt;"×",$AC2133=0,$AB2133=""),"計算額が下限以下のため不支給／",""))</f>
        <v/>
      </c>
      <c r="AL2133" s="12" t="n"/>
      <c r="AM2133" s="14">
        <f>IF($AD2133="保留中",COUNTIF($AD$6:$AD2133,"保留中"),"")</f>
        <v/>
      </c>
      <c r="AN2133" s="14">
        <f>IF($AO2133="","",IF(SUMPRODUCT(MAX((職員マスタ!$A$6:$A$405=$B2133)*(((職員マスタ!$G$6:$G$405="")+(職員マスタ!$G$6:$G$405&lt;=EOMONTH($AO2133,0)))&gt;0)*(((職員マスタ!$H$6:$H$405="")+(職員マスタ!$H$6:$H$405&gt;=$AO2133))&gt;0)*(ROW(職員マスタ!$A$6:$A$405)-5)))&gt;0,SUMPRODUCT(MAX((職員マスタ!$A$6:$A$405=$B2133)*(((職員マスタ!$G$6:$G$405="")+(職員マスタ!$G$6:$G$405&lt;=EOMONTH($AO2133,0)))&gt;0)*(((職員マスタ!$H$6:$H$405="")+(職員マスタ!$H$6:$H$405&gt;=$AO2133))&gt;0)*(ROW(職員マスタ!$A$6:$A$405)-5))),IFERROR(MATCH($B2133,職員マスタ!$A$6:$A$405,0),"")))</f>
        <v/>
      </c>
      <c r="AO2133" s="16">
        <f>IF(OR($B2133="",$C2133="",$D2133=""),"",DATE($C2133+2018,$D2133,1))</f>
        <v/>
      </c>
    </row>
    <row r="2134">
      <c r="A2134" s="11" t="n"/>
      <c r="B2134" s="12" t="n"/>
      <c r="C2134" s="12" t="n"/>
      <c r="D2134" s="12" t="n"/>
      <c r="E2134" s="13" t="n"/>
      <c r="F2134" s="12" t="n"/>
      <c r="G2134" s="13" t="n"/>
      <c r="H2134" s="12" t="n"/>
      <c r="I2134" s="12" t="n"/>
      <c r="J2134" s="12" t="n"/>
      <c r="K2134" s="12" t="n"/>
      <c r="L2134" s="11" t="n"/>
      <c r="M2134" s="11" t="n"/>
      <c r="N2134" s="11" t="n"/>
      <c r="O2134" s="11" t="n"/>
      <c r="P2134" s="12" t="n"/>
      <c r="Q2134" s="11" t="n"/>
      <c r="R2134" s="12" t="n"/>
      <c r="S2134" s="11" t="n"/>
      <c r="T2134" s="12" t="n"/>
      <c r="U2134" s="12" t="n"/>
      <c r="V2134" s="14">
        <f>IF($AN2134="",IF($B2134="","",$H2134),IF(INDEX(職員マスタ!$B$6:$B$405,$AN2134)="",$H2134,INDEX(職員マスタ!$B$6:$B$405,$AN2134)))</f>
        <v/>
      </c>
      <c r="W2134" s="14">
        <f>IF($AN2134="",IF($B2134="","",$R2134),IF(INDEX(職員マスタ!$C$6:$C$405,$AN2134)="",$R2134,INDEX(職員マスタ!$C$6:$C$405,$AN2134)))</f>
        <v/>
      </c>
      <c r="X2134" s="14">
        <f>IF($AO2134="","","R"&amp;$C2134&amp;"."&amp;$D2134)</f>
        <v/>
      </c>
      <c r="Y2134" s="15">
        <f>IF($AN2134="","",IF(INDEX(職員マスタ!$K$6:$K$405,$AN2134)="","",INDEX(職員マスタ!$K$6:$K$405,$AN2134)))</f>
        <v/>
      </c>
      <c r="Z2134" s="14">
        <f>IF(OR($E2134="",$Y2134=""),"",IF($E2134&gt;=$Y2134,"×",IF($E2134&gt;=$Y2134*設定!$C$5,"△","○")))</f>
        <v/>
      </c>
      <c r="AA2134" s="15">
        <f>IF($Z2134="","",IF($Z2134="×",0,IF($Z2134="○",ROUNDDOWN($E2134*設定!$C$4,0),ROUNDDOWN($E2134*ROUND((9*$Y2134-9*$E2134)/(10*$E2134),4),0))))</f>
        <v/>
      </c>
      <c r="AB2134" s="13" t="n"/>
      <c r="AC2134" s="15">
        <f>IF($B2134="","",IF($AB2134&lt;&gt;"",$AB2134,IF($AA2134="","",IF($AA2134&lt;=設定!$C$3,0,$AA2134))))</f>
        <v/>
      </c>
      <c r="AD2134" s="14">
        <f>IF($B2134="","",IF(AND($AE2134&lt;&gt;"",$AG2134="",$AJ2134=""),"保留中",IF($AJ2134&lt;&gt;"",IF(N($AC2134)&gt;0,"支給済","不支給"),IF($AC2134="","要確認",IF($AC2134=0,"不支給","未処理")))))</f>
        <v/>
      </c>
      <c r="AE2134" s="12" t="n"/>
      <c r="AF2134" s="11" t="n"/>
      <c r="AG2134" s="11" t="n"/>
      <c r="AH2134" s="11" t="n"/>
      <c r="AI2134" s="14">
        <f>IF(AND($AD2134="保留中",$AF2134&lt;&gt;""),TODAY()-$AF2134,"")</f>
        <v/>
      </c>
      <c r="AJ2134" s="12" t="n"/>
      <c r="AK2134" s="14">
        <f>IF($B2134="","",IF($AO2134="","対象年月が未入力／","")&amp;IF($B2134="","",IF($AN2134="","職員マスタに未登録の職員番号／",IF($Y2134="","標準報酬月額が未登録／","")&amp;IF(AND($AO2134&lt;&gt;"",OR(AND(INDEX(職員マスタ!$G$6:$G$405,$AN2134)&lt;&gt;"",INDEX(職員マスタ!$G$6:$G$405,$AN2134)&gt;EOMONTH($AO2134,0)),AND(INDEX(職員マスタ!$H$6:$H$405,$AN2134)&lt;&gt;"",INDEX(職員マスタ!$H$6:$H$405,$AN2134)&lt;$AO2134))),"対象月が時短期間外／","")&amp;IF(AND(INDEX(職員マスタ!$F$6:$F$405,$AN2134)&lt;&gt;"",$AO2134&lt;&gt;"",INDEX(職員マスタ!$F$6:$F$405,$AN2134)&lt;$AO2134),"対象月に子が2歳到達済／","")&amp;IF(AND($H2134&lt;&gt;"",INDEX(職員マスタ!$B$6:$B$405,$AN2134)&lt;&gt;"",SUBSTITUTE(SUBSTITUTE($H2134," ","")," ","")&lt;&gt;SUBSTITUTE(SUBSTITUTE(INDEX(職員マスタ!$B$6:$B$405,$AN2134)," ","")," ","")),"氏名がマスタと相違／","")&amp;IF(AND($Q2134&lt;&gt;"",INDEX(職員マスタ!$E$6:$E$405,$AN2134)&lt;&gt;"",$Q2134&lt;&gt;INDEX(職員マスタ!$E$6:$E$405,$AN2134)),"子の生年月日がマスタと相違／","")&amp;IF(AND($L2134&lt;&gt;"",INDEX(職員マスタ!$G$6:$G$405,$AN2134)&lt;&gt;"",$L2134&lt;&gt;INDEX(職員マスタ!$G$6:$G$405,$AN2134)),"時短開始日がマスタと相違／","")&amp;IF(AND($M2134&lt;&gt;"",INDEX(職員マスタ!$H$6:$H$405,$AN2134)&lt;&gt;"",$M2134&lt;&gt;INDEX(職員マスタ!$H$6:$H$405,$AN2134)),"時短終了日がマスタと相違／","")))&amp;IF(AND($B2134&lt;&gt;"",$E2134=""),"報酬額が未入力／","")&amp;IF(N($U2134)&gt;0,"申請書に入力エラーが残っています／","")&amp;IF(AND($B2134&lt;&gt;"",$AO2134&lt;&gt;""),IF(COUNTIFS($B$6:$B$3005,$B2134,$C$6:$C$3005,$C2134,$D$6:$D$3005,$D2134)&gt;1,"同じ月の請求が重複しています／",""),"")&amp;IF(AND(N($E2134)&gt;0,$Z2134&lt;&gt;"",$Z2134&lt;&gt;"×",$AC2134=0,$AB2134=""),"計算額が下限以下のため不支給／",""))</f>
        <v/>
      </c>
      <c r="AL2134" s="12" t="n"/>
      <c r="AM2134" s="14">
        <f>IF($AD2134="保留中",COUNTIF($AD$6:$AD2134,"保留中"),"")</f>
        <v/>
      </c>
      <c r="AN2134" s="14">
        <f>IF($AO2134="","",IF(SUMPRODUCT(MAX((職員マスタ!$A$6:$A$405=$B2134)*(((職員マスタ!$G$6:$G$405="")+(職員マスタ!$G$6:$G$405&lt;=EOMONTH($AO2134,0)))&gt;0)*(((職員マスタ!$H$6:$H$405="")+(職員マスタ!$H$6:$H$405&gt;=$AO2134))&gt;0)*(ROW(職員マスタ!$A$6:$A$405)-5)))&gt;0,SUMPRODUCT(MAX((職員マスタ!$A$6:$A$405=$B2134)*(((職員マスタ!$G$6:$G$405="")+(職員マスタ!$G$6:$G$405&lt;=EOMONTH($AO2134,0)))&gt;0)*(((職員マスタ!$H$6:$H$405="")+(職員マスタ!$H$6:$H$405&gt;=$AO2134))&gt;0)*(ROW(職員マスタ!$A$6:$A$405)-5))),IFERROR(MATCH($B2134,職員マスタ!$A$6:$A$405,0),"")))</f>
        <v/>
      </c>
      <c r="AO2134" s="16">
        <f>IF(OR($B2134="",$C2134="",$D2134=""),"",DATE($C2134+2018,$D2134,1))</f>
        <v/>
      </c>
    </row>
    <row r="2135">
      <c r="A2135" s="11" t="n"/>
      <c r="B2135" s="12" t="n"/>
      <c r="C2135" s="12" t="n"/>
      <c r="D2135" s="12" t="n"/>
      <c r="E2135" s="13" t="n"/>
      <c r="F2135" s="12" t="n"/>
      <c r="G2135" s="13" t="n"/>
      <c r="H2135" s="12" t="n"/>
      <c r="I2135" s="12" t="n"/>
      <c r="J2135" s="12" t="n"/>
      <c r="K2135" s="12" t="n"/>
      <c r="L2135" s="11" t="n"/>
      <c r="M2135" s="11" t="n"/>
      <c r="N2135" s="11" t="n"/>
      <c r="O2135" s="11" t="n"/>
      <c r="P2135" s="12" t="n"/>
      <c r="Q2135" s="11" t="n"/>
      <c r="R2135" s="12" t="n"/>
      <c r="S2135" s="11" t="n"/>
      <c r="T2135" s="12" t="n"/>
      <c r="U2135" s="12" t="n"/>
      <c r="V2135" s="14">
        <f>IF($AN2135="",IF($B2135="","",$H2135),IF(INDEX(職員マスタ!$B$6:$B$405,$AN2135)="",$H2135,INDEX(職員マスタ!$B$6:$B$405,$AN2135)))</f>
        <v/>
      </c>
      <c r="W2135" s="14">
        <f>IF($AN2135="",IF($B2135="","",$R2135),IF(INDEX(職員マスタ!$C$6:$C$405,$AN2135)="",$R2135,INDEX(職員マスタ!$C$6:$C$405,$AN2135)))</f>
        <v/>
      </c>
      <c r="X2135" s="14">
        <f>IF($AO2135="","","R"&amp;$C2135&amp;"."&amp;$D2135)</f>
        <v/>
      </c>
      <c r="Y2135" s="15">
        <f>IF($AN2135="","",IF(INDEX(職員マスタ!$K$6:$K$405,$AN2135)="","",INDEX(職員マスタ!$K$6:$K$405,$AN2135)))</f>
        <v/>
      </c>
      <c r="Z2135" s="14">
        <f>IF(OR($E2135="",$Y2135=""),"",IF($E2135&gt;=$Y2135,"×",IF($E2135&gt;=$Y2135*設定!$C$5,"△","○")))</f>
        <v/>
      </c>
      <c r="AA2135" s="15">
        <f>IF($Z2135="","",IF($Z2135="×",0,IF($Z2135="○",ROUNDDOWN($E2135*設定!$C$4,0),ROUNDDOWN($E2135*ROUND((9*$Y2135-9*$E2135)/(10*$E2135),4),0))))</f>
        <v/>
      </c>
      <c r="AB2135" s="13" t="n"/>
      <c r="AC2135" s="15">
        <f>IF($B2135="","",IF($AB2135&lt;&gt;"",$AB2135,IF($AA2135="","",IF($AA2135&lt;=設定!$C$3,0,$AA2135))))</f>
        <v/>
      </c>
      <c r="AD2135" s="14">
        <f>IF($B2135="","",IF(AND($AE2135&lt;&gt;"",$AG2135="",$AJ2135=""),"保留中",IF($AJ2135&lt;&gt;"",IF(N($AC2135)&gt;0,"支給済","不支給"),IF($AC2135="","要確認",IF($AC2135=0,"不支給","未処理")))))</f>
        <v/>
      </c>
      <c r="AE2135" s="12" t="n"/>
      <c r="AF2135" s="11" t="n"/>
      <c r="AG2135" s="11" t="n"/>
      <c r="AH2135" s="11" t="n"/>
      <c r="AI2135" s="14">
        <f>IF(AND($AD2135="保留中",$AF2135&lt;&gt;""),TODAY()-$AF2135,"")</f>
        <v/>
      </c>
      <c r="AJ2135" s="12" t="n"/>
      <c r="AK2135" s="14">
        <f>IF($B2135="","",IF($AO2135="","対象年月が未入力／","")&amp;IF($B2135="","",IF($AN2135="","職員マスタに未登録の職員番号／",IF($Y2135="","標準報酬月額が未登録／","")&amp;IF(AND($AO2135&lt;&gt;"",OR(AND(INDEX(職員マスタ!$G$6:$G$405,$AN2135)&lt;&gt;"",INDEX(職員マスタ!$G$6:$G$405,$AN2135)&gt;EOMONTH($AO2135,0)),AND(INDEX(職員マスタ!$H$6:$H$405,$AN2135)&lt;&gt;"",INDEX(職員マスタ!$H$6:$H$405,$AN2135)&lt;$AO2135))),"対象月が時短期間外／","")&amp;IF(AND(INDEX(職員マスタ!$F$6:$F$405,$AN2135)&lt;&gt;"",$AO2135&lt;&gt;"",INDEX(職員マスタ!$F$6:$F$405,$AN2135)&lt;$AO2135),"対象月に子が2歳到達済／","")&amp;IF(AND($H2135&lt;&gt;"",INDEX(職員マスタ!$B$6:$B$405,$AN2135)&lt;&gt;"",SUBSTITUTE(SUBSTITUTE($H2135," ","")," ","")&lt;&gt;SUBSTITUTE(SUBSTITUTE(INDEX(職員マスタ!$B$6:$B$405,$AN2135)," ","")," ","")),"氏名がマスタと相違／","")&amp;IF(AND($Q2135&lt;&gt;"",INDEX(職員マスタ!$E$6:$E$405,$AN2135)&lt;&gt;"",$Q2135&lt;&gt;INDEX(職員マスタ!$E$6:$E$405,$AN2135)),"子の生年月日がマスタと相違／","")&amp;IF(AND($L2135&lt;&gt;"",INDEX(職員マスタ!$G$6:$G$405,$AN2135)&lt;&gt;"",$L2135&lt;&gt;INDEX(職員マスタ!$G$6:$G$405,$AN2135)),"時短開始日がマスタと相違／","")&amp;IF(AND($M2135&lt;&gt;"",INDEX(職員マスタ!$H$6:$H$405,$AN2135)&lt;&gt;"",$M2135&lt;&gt;INDEX(職員マスタ!$H$6:$H$405,$AN2135)),"時短終了日がマスタと相違／","")))&amp;IF(AND($B2135&lt;&gt;"",$E2135=""),"報酬額が未入力／","")&amp;IF(N($U2135)&gt;0,"申請書に入力エラーが残っています／","")&amp;IF(AND($B2135&lt;&gt;"",$AO2135&lt;&gt;""),IF(COUNTIFS($B$6:$B$3005,$B2135,$C$6:$C$3005,$C2135,$D$6:$D$3005,$D2135)&gt;1,"同じ月の請求が重複しています／",""),"")&amp;IF(AND(N($E2135)&gt;0,$Z2135&lt;&gt;"",$Z2135&lt;&gt;"×",$AC2135=0,$AB2135=""),"計算額が下限以下のため不支給／",""))</f>
        <v/>
      </c>
      <c r="AL2135" s="12" t="n"/>
      <c r="AM2135" s="14">
        <f>IF($AD2135="保留中",COUNTIF($AD$6:$AD2135,"保留中"),"")</f>
        <v/>
      </c>
      <c r="AN2135" s="14">
        <f>IF($AO2135="","",IF(SUMPRODUCT(MAX((職員マスタ!$A$6:$A$405=$B2135)*(((職員マスタ!$G$6:$G$405="")+(職員マスタ!$G$6:$G$405&lt;=EOMONTH($AO2135,0)))&gt;0)*(((職員マスタ!$H$6:$H$405="")+(職員マスタ!$H$6:$H$405&gt;=$AO2135))&gt;0)*(ROW(職員マスタ!$A$6:$A$405)-5)))&gt;0,SUMPRODUCT(MAX((職員マスタ!$A$6:$A$405=$B2135)*(((職員マスタ!$G$6:$G$405="")+(職員マスタ!$G$6:$G$405&lt;=EOMONTH($AO2135,0)))&gt;0)*(((職員マスタ!$H$6:$H$405="")+(職員マスタ!$H$6:$H$405&gt;=$AO2135))&gt;0)*(ROW(職員マスタ!$A$6:$A$405)-5))),IFERROR(MATCH($B2135,職員マスタ!$A$6:$A$405,0),"")))</f>
        <v/>
      </c>
      <c r="AO2135" s="16">
        <f>IF(OR($B2135="",$C2135="",$D2135=""),"",DATE($C2135+2018,$D2135,1))</f>
        <v/>
      </c>
    </row>
    <row r="2136">
      <c r="A2136" s="11" t="n"/>
      <c r="B2136" s="12" t="n"/>
      <c r="C2136" s="12" t="n"/>
      <c r="D2136" s="12" t="n"/>
      <c r="E2136" s="13" t="n"/>
      <c r="F2136" s="12" t="n"/>
      <c r="G2136" s="13" t="n"/>
      <c r="H2136" s="12" t="n"/>
      <c r="I2136" s="12" t="n"/>
      <c r="J2136" s="12" t="n"/>
      <c r="K2136" s="12" t="n"/>
      <c r="L2136" s="11" t="n"/>
      <c r="M2136" s="11" t="n"/>
      <c r="N2136" s="11" t="n"/>
      <c r="O2136" s="11" t="n"/>
      <c r="P2136" s="12" t="n"/>
      <c r="Q2136" s="11" t="n"/>
      <c r="R2136" s="12" t="n"/>
      <c r="S2136" s="11" t="n"/>
      <c r="T2136" s="12" t="n"/>
      <c r="U2136" s="12" t="n"/>
      <c r="V2136" s="14">
        <f>IF($AN2136="",IF($B2136="","",$H2136),IF(INDEX(職員マスタ!$B$6:$B$405,$AN2136)="",$H2136,INDEX(職員マスタ!$B$6:$B$405,$AN2136)))</f>
        <v/>
      </c>
      <c r="W2136" s="14">
        <f>IF($AN2136="",IF($B2136="","",$R2136),IF(INDEX(職員マスタ!$C$6:$C$405,$AN2136)="",$R2136,INDEX(職員マスタ!$C$6:$C$405,$AN2136)))</f>
        <v/>
      </c>
      <c r="X2136" s="14">
        <f>IF($AO2136="","","R"&amp;$C2136&amp;"."&amp;$D2136)</f>
        <v/>
      </c>
      <c r="Y2136" s="15">
        <f>IF($AN2136="","",IF(INDEX(職員マスタ!$K$6:$K$405,$AN2136)="","",INDEX(職員マスタ!$K$6:$K$405,$AN2136)))</f>
        <v/>
      </c>
      <c r="Z2136" s="14">
        <f>IF(OR($E2136="",$Y2136=""),"",IF($E2136&gt;=$Y2136,"×",IF($E2136&gt;=$Y2136*設定!$C$5,"△","○")))</f>
        <v/>
      </c>
      <c r="AA2136" s="15">
        <f>IF($Z2136="","",IF($Z2136="×",0,IF($Z2136="○",ROUNDDOWN($E2136*設定!$C$4,0),ROUNDDOWN($E2136*ROUND((9*$Y2136-9*$E2136)/(10*$E2136),4),0))))</f>
        <v/>
      </c>
      <c r="AB2136" s="13" t="n"/>
      <c r="AC2136" s="15">
        <f>IF($B2136="","",IF($AB2136&lt;&gt;"",$AB2136,IF($AA2136="","",IF($AA2136&lt;=設定!$C$3,0,$AA2136))))</f>
        <v/>
      </c>
      <c r="AD2136" s="14">
        <f>IF($B2136="","",IF(AND($AE2136&lt;&gt;"",$AG2136="",$AJ2136=""),"保留中",IF($AJ2136&lt;&gt;"",IF(N($AC2136)&gt;0,"支給済","不支給"),IF($AC2136="","要確認",IF($AC2136=0,"不支給","未処理")))))</f>
        <v/>
      </c>
      <c r="AE2136" s="12" t="n"/>
      <c r="AF2136" s="11" t="n"/>
      <c r="AG2136" s="11" t="n"/>
      <c r="AH2136" s="11" t="n"/>
      <c r="AI2136" s="14">
        <f>IF(AND($AD2136="保留中",$AF2136&lt;&gt;""),TODAY()-$AF2136,"")</f>
        <v/>
      </c>
      <c r="AJ2136" s="12" t="n"/>
      <c r="AK2136" s="14">
        <f>IF($B2136="","",IF($AO2136="","対象年月が未入力／","")&amp;IF($B2136="","",IF($AN2136="","職員マスタに未登録の職員番号／",IF($Y2136="","標準報酬月額が未登録／","")&amp;IF(AND($AO2136&lt;&gt;"",OR(AND(INDEX(職員マスタ!$G$6:$G$405,$AN2136)&lt;&gt;"",INDEX(職員マスタ!$G$6:$G$405,$AN2136)&gt;EOMONTH($AO2136,0)),AND(INDEX(職員マスタ!$H$6:$H$405,$AN2136)&lt;&gt;"",INDEX(職員マスタ!$H$6:$H$405,$AN2136)&lt;$AO2136))),"対象月が時短期間外／","")&amp;IF(AND(INDEX(職員マスタ!$F$6:$F$405,$AN2136)&lt;&gt;"",$AO2136&lt;&gt;"",INDEX(職員マスタ!$F$6:$F$405,$AN2136)&lt;$AO2136),"対象月に子が2歳到達済／","")&amp;IF(AND($H2136&lt;&gt;"",INDEX(職員マスタ!$B$6:$B$405,$AN2136)&lt;&gt;"",SUBSTITUTE(SUBSTITUTE($H2136," ","")," ","")&lt;&gt;SUBSTITUTE(SUBSTITUTE(INDEX(職員マスタ!$B$6:$B$405,$AN2136)," ","")," ","")),"氏名がマスタと相違／","")&amp;IF(AND($Q2136&lt;&gt;"",INDEX(職員マスタ!$E$6:$E$405,$AN2136)&lt;&gt;"",$Q2136&lt;&gt;INDEX(職員マスタ!$E$6:$E$405,$AN2136)),"子の生年月日がマスタと相違／","")&amp;IF(AND($L2136&lt;&gt;"",INDEX(職員マスタ!$G$6:$G$405,$AN2136)&lt;&gt;"",$L2136&lt;&gt;INDEX(職員マスタ!$G$6:$G$405,$AN2136)),"時短開始日がマスタと相違／","")&amp;IF(AND($M2136&lt;&gt;"",INDEX(職員マスタ!$H$6:$H$405,$AN2136)&lt;&gt;"",$M2136&lt;&gt;INDEX(職員マスタ!$H$6:$H$405,$AN2136)),"時短終了日がマスタと相違／","")))&amp;IF(AND($B2136&lt;&gt;"",$E2136=""),"報酬額が未入力／","")&amp;IF(N($U2136)&gt;0,"申請書に入力エラーが残っています／","")&amp;IF(AND($B2136&lt;&gt;"",$AO2136&lt;&gt;""),IF(COUNTIFS($B$6:$B$3005,$B2136,$C$6:$C$3005,$C2136,$D$6:$D$3005,$D2136)&gt;1,"同じ月の請求が重複しています／",""),"")&amp;IF(AND(N($E2136)&gt;0,$Z2136&lt;&gt;"",$Z2136&lt;&gt;"×",$AC2136=0,$AB2136=""),"計算額が下限以下のため不支給／",""))</f>
        <v/>
      </c>
      <c r="AL2136" s="12" t="n"/>
      <c r="AM2136" s="14">
        <f>IF($AD2136="保留中",COUNTIF($AD$6:$AD2136,"保留中"),"")</f>
        <v/>
      </c>
      <c r="AN2136" s="14">
        <f>IF($AO2136="","",IF(SUMPRODUCT(MAX((職員マスタ!$A$6:$A$405=$B2136)*(((職員マスタ!$G$6:$G$405="")+(職員マスタ!$G$6:$G$405&lt;=EOMONTH($AO2136,0)))&gt;0)*(((職員マスタ!$H$6:$H$405="")+(職員マスタ!$H$6:$H$405&gt;=$AO2136))&gt;0)*(ROW(職員マスタ!$A$6:$A$405)-5)))&gt;0,SUMPRODUCT(MAX((職員マスタ!$A$6:$A$405=$B2136)*(((職員マスタ!$G$6:$G$405="")+(職員マスタ!$G$6:$G$405&lt;=EOMONTH($AO2136,0)))&gt;0)*(((職員マスタ!$H$6:$H$405="")+(職員マスタ!$H$6:$H$405&gt;=$AO2136))&gt;0)*(ROW(職員マスタ!$A$6:$A$405)-5))),IFERROR(MATCH($B2136,職員マスタ!$A$6:$A$405,0),"")))</f>
        <v/>
      </c>
      <c r="AO2136" s="16">
        <f>IF(OR($B2136="",$C2136="",$D2136=""),"",DATE($C2136+2018,$D2136,1))</f>
        <v/>
      </c>
    </row>
    <row r="2137">
      <c r="A2137" s="11" t="n"/>
      <c r="B2137" s="12" t="n"/>
      <c r="C2137" s="12" t="n"/>
      <c r="D2137" s="12" t="n"/>
      <c r="E2137" s="13" t="n"/>
      <c r="F2137" s="12" t="n"/>
      <c r="G2137" s="13" t="n"/>
      <c r="H2137" s="12" t="n"/>
      <c r="I2137" s="12" t="n"/>
      <c r="J2137" s="12" t="n"/>
      <c r="K2137" s="12" t="n"/>
      <c r="L2137" s="11" t="n"/>
      <c r="M2137" s="11" t="n"/>
      <c r="N2137" s="11" t="n"/>
      <c r="O2137" s="11" t="n"/>
      <c r="P2137" s="12" t="n"/>
      <c r="Q2137" s="11" t="n"/>
      <c r="R2137" s="12" t="n"/>
      <c r="S2137" s="11" t="n"/>
      <c r="T2137" s="12" t="n"/>
      <c r="U2137" s="12" t="n"/>
      <c r="V2137" s="14">
        <f>IF($AN2137="",IF($B2137="","",$H2137),IF(INDEX(職員マスタ!$B$6:$B$405,$AN2137)="",$H2137,INDEX(職員マスタ!$B$6:$B$405,$AN2137)))</f>
        <v/>
      </c>
      <c r="W2137" s="14">
        <f>IF($AN2137="",IF($B2137="","",$R2137),IF(INDEX(職員マスタ!$C$6:$C$405,$AN2137)="",$R2137,INDEX(職員マスタ!$C$6:$C$405,$AN2137)))</f>
        <v/>
      </c>
      <c r="X2137" s="14">
        <f>IF($AO2137="","","R"&amp;$C2137&amp;"."&amp;$D2137)</f>
        <v/>
      </c>
      <c r="Y2137" s="15">
        <f>IF($AN2137="","",IF(INDEX(職員マスタ!$K$6:$K$405,$AN2137)="","",INDEX(職員マスタ!$K$6:$K$405,$AN2137)))</f>
        <v/>
      </c>
      <c r="Z2137" s="14">
        <f>IF(OR($E2137="",$Y2137=""),"",IF($E2137&gt;=$Y2137,"×",IF($E2137&gt;=$Y2137*設定!$C$5,"△","○")))</f>
        <v/>
      </c>
      <c r="AA2137" s="15">
        <f>IF($Z2137="","",IF($Z2137="×",0,IF($Z2137="○",ROUNDDOWN($E2137*設定!$C$4,0),ROUNDDOWN($E2137*ROUND((9*$Y2137-9*$E2137)/(10*$E2137),4),0))))</f>
        <v/>
      </c>
      <c r="AB2137" s="13" t="n"/>
      <c r="AC2137" s="15">
        <f>IF($B2137="","",IF($AB2137&lt;&gt;"",$AB2137,IF($AA2137="","",IF($AA2137&lt;=設定!$C$3,0,$AA2137))))</f>
        <v/>
      </c>
      <c r="AD2137" s="14">
        <f>IF($B2137="","",IF(AND($AE2137&lt;&gt;"",$AG2137="",$AJ2137=""),"保留中",IF($AJ2137&lt;&gt;"",IF(N($AC2137)&gt;0,"支給済","不支給"),IF($AC2137="","要確認",IF($AC2137=0,"不支給","未処理")))))</f>
        <v/>
      </c>
      <c r="AE2137" s="12" t="n"/>
      <c r="AF2137" s="11" t="n"/>
      <c r="AG2137" s="11" t="n"/>
      <c r="AH2137" s="11" t="n"/>
      <c r="AI2137" s="14">
        <f>IF(AND($AD2137="保留中",$AF2137&lt;&gt;""),TODAY()-$AF2137,"")</f>
        <v/>
      </c>
      <c r="AJ2137" s="12" t="n"/>
      <c r="AK2137" s="14">
        <f>IF($B2137="","",IF($AO2137="","対象年月が未入力／","")&amp;IF($B2137="","",IF($AN2137="","職員マスタに未登録の職員番号／",IF($Y2137="","標準報酬月額が未登録／","")&amp;IF(AND($AO2137&lt;&gt;"",OR(AND(INDEX(職員マスタ!$G$6:$G$405,$AN2137)&lt;&gt;"",INDEX(職員マスタ!$G$6:$G$405,$AN2137)&gt;EOMONTH($AO2137,0)),AND(INDEX(職員マスタ!$H$6:$H$405,$AN2137)&lt;&gt;"",INDEX(職員マスタ!$H$6:$H$405,$AN2137)&lt;$AO2137))),"対象月が時短期間外／","")&amp;IF(AND(INDEX(職員マスタ!$F$6:$F$405,$AN2137)&lt;&gt;"",$AO2137&lt;&gt;"",INDEX(職員マスタ!$F$6:$F$405,$AN2137)&lt;$AO2137),"対象月に子が2歳到達済／","")&amp;IF(AND($H2137&lt;&gt;"",INDEX(職員マスタ!$B$6:$B$405,$AN2137)&lt;&gt;"",SUBSTITUTE(SUBSTITUTE($H2137," ","")," ","")&lt;&gt;SUBSTITUTE(SUBSTITUTE(INDEX(職員マスタ!$B$6:$B$405,$AN2137)," ","")," ","")),"氏名がマスタと相違／","")&amp;IF(AND($Q2137&lt;&gt;"",INDEX(職員マスタ!$E$6:$E$405,$AN2137)&lt;&gt;"",$Q2137&lt;&gt;INDEX(職員マスタ!$E$6:$E$405,$AN2137)),"子の生年月日がマスタと相違／","")&amp;IF(AND($L2137&lt;&gt;"",INDEX(職員マスタ!$G$6:$G$405,$AN2137)&lt;&gt;"",$L2137&lt;&gt;INDEX(職員マスタ!$G$6:$G$405,$AN2137)),"時短開始日がマスタと相違／","")&amp;IF(AND($M2137&lt;&gt;"",INDEX(職員マスタ!$H$6:$H$405,$AN2137)&lt;&gt;"",$M2137&lt;&gt;INDEX(職員マスタ!$H$6:$H$405,$AN2137)),"時短終了日がマスタと相違／","")))&amp;IF(AND($B2137&lt;&gt;"",$E2137=""),"報酬額が未入力／","")&amp;IF(N($U2137)&gt;0,"申請書に入力エラーが残っています／","")&amp;IF(AND($B2137&lt;&gt;"",$AO2137&lt;&gt;""),IF(COUNTIFS($B$6:$B$3005,$B2137,$C$6:$C$3005,$C2137,$D$6:$D$3005,$D2137)&gt;1,"同じ月の請求が重複しています／",""),"")&amp;IF(AND(N($E2137)&gt;0,$Z2137&lt;&gt;"",$Z2137&lt;&gt;"×",$AC2137=0,$AB2137=""),"計算額が下限以下のため不支給／",""))</f>
        <v/>
      </c>
      <c r="AL2137" s="12" t="n"/>
      <c r="AM2137" s="14">
        <f>IF($AD2137="保留中",COUNTIF($AD$6:$AD2137,"保留中"),"")</f>
        <v/>
      </c>
      <c r="AN2137" s="14">
        <f>IF($AO2137="","",IF(SUMPRODUCT(MAX((職員マスタ!$A$6:$A$405=$B2137)*(((職員マスタ!$G$6:$G$405="")+(職員マスタ!$G$6:$G$405&lt;=EOMONTH($AO2137,0)))&gt;0)*(((職員マスタ!$H$6:$H$405="")+(職員マスタ!$H$6:$H$405&gt;=$AO2137))&gt;0)*(ROW(職員マスタ!$A$6:$A$405)-5)))&gt;0,SUMPRODUCT(MAX((職員マスタ!$A$6:$A$405=$B2137)*(((職員マスタ!$G$6:$G$405="")+(職員マスタ!$G$6:$G$405&lt;=EOMONTH($AO2137,0)))&gt;0)*(((職員マスタ!$H$6:$H$405="")+(職員マスタ!$H$6:$H$405&gt;=$AO2137))&gt;0)*(ROW(職員マスタ!$A$6:$A$405)-5))),IFERROR(MATCH($B2137,職員マスタ!$A$6:$A$405,0),"")))</f>
        <v/>
      </c>
      <c r="AO2137" s="16">
        <f>IF(OR($B2137="",$C2137="",$D2137=""),"",DATE($C2137+2018,$D2137,1))</f>
        <v/>
      </c>
    </row>
    <row r="2138">
      <c r="A2138" s="11" t="n"/>
      <c r="B2138" s="12" t="n"/>
      <c r="C2138" s="12" t="n"/>
      <c r="D2138" s="12" t="n"/>
      <c r="E2138" s="13" t="n"/>
      <c r="F2138" s="12" t="n"/>
      <c r="G2138" s="13" t="n"/>
      <c r="H2138" s="12" t="n"/>
      <c r="I2138" s="12" t="n"/>
      <c r="J2138" s="12" t="n"/>
      <c r="K2138" s="12" t="n"/>
      <c r="L2138" s="11" t="n"/>
      <c r="M2138" s="11" t="n"/>
      <c r="N2138" s="11" t="n"/>
      <c r="O2138" s="11" t="n"/>
      <c r="P2138" s="12" t="n"/>
      <c r="Q2138" s="11" t="n"/>
      <c r="R2138" s="12" t="n"/>
      <c r="S2138" s="11" t="n"/>
      <c r="T2138" s="12" t="n"/>
      <c r="U2138" s="12" t="n"/>
      <c r="V2138" s="14">
        <f>IF($AN2138="",IF($B2138="","",$H2138),IF(INDEX(職員マスタ!$B$6:$B$405,$AN2138)="",$H2138,INDEX(職員マスタ!$B$6:$B$405,$AN2138)))</f>
        <v/>
      </c>
      <c r="W2138" s="14">
        <f>IF($AN2138="",IF($B2138="","",$R2138),IF(INDEX(職員マスタ!$C$6:$C$405,$AN2138)="",$R2138,INDEX(職員マスタ!$C$6:$C$405,$AN2138)))</f>
        <v/>
      </c>
      <c r="X2138" s="14">
        <f>IF($AO2138="","","R"&amp;$C2138&amp;"."&amp;$D2138)</f>
        <v/>
      </c>
      <c r="Y2138" s="15">
        <f>IF($AN2138="","",IF(INDEX(職員マスタ!$K$6:$K$405,$AN2138)="","",INDEX(職員マスタ!$K$6:$K$405,$AN2138)))</f>
        <v/>
      </c>
      <c r="Z2138" s="14">
        <f>IF(OR($E2138="",$Y2138=""),"",IF($E2138&gt;=$Y2138,"×",IF($E2138&gt;=$Y2138*設定!$C$5,"△","○")))</f>
        <v/>
      </c>
      <c r="AA2138" s="15">
        <f>IF($Z2138="","",IF($Z2138="×",0,IF($Z2138="○",ROUNDDOWN($E2138*設定!$C$4,0),ROUNDDOWN($E2138*ROUND((9*$Y2138-9*$E2138)/(10*$E2138),4),0))))</f>
        <v/>
      </c>
      <c r="AB2138" s="13" t="n"/>
      <c r="AC2138" s="15">
        <f>IF($B2138="","",IF($AB2138&lt;&gt;"",$AB2138,IF($AA2138="","",IF($AA2138&lt;=設定!$C$3,0,$AA2138))))</f>
        <v/>
      </c>
      <c r="AD2138" s="14">
        <f>IF($B2138="","",IF(AND($AE2138&lt;&gt;"",$AG2138="",$AJ2138=""),"保留中",IF($AJ2138&lt;&gt;"",IF(N($AC2138)&gt;0,"支給済","不支給"),IF($AC2138="","要確認",IF($AC2138=0,"不支給","未処理")))))</f>
        <v/>
      </c>
      <c r="AE2138" s="12" t="n"/>
      <c r="AF2138" s="11" t="n"/>
      <c r="AG2138" s="11" t="n"/>
      <c r="AH2138" s="11" t="n"/>
      <c r="AI2138" s="14">
        <f>IF(AND($AD2138="保留中",$AF2138&lt;&gt;""),TODAY()-$AF2138,"")</f>
        <v/>
      </c>
      <c r="AJ2138" s="12" t="n"/>
      <c r="AK2138" s="14">
        <f>IF($B2138="","",IF($AO2138="","対象年月が未入力／","")&amp;IF($B2138="","",IF($AN2138="","職員マスタに未登録の職員番号／",IF($Y2138="","標準報酬月額が未登録／","")&amp;IF(AND($AO2138&lt;&gt;"",OR(AND(INDEX(職員マスタ!$G$6:$G$405,$AN2138)&lt;&gt;"",INDEX(職員マスタ!$G$6:$G$405,$AN2138)&gt;EOMONTH($AO2138,0)),AND(INDEX(職員マスタ!$H$6:$H$405,$AN2138)&lt;&gt;"",INDEX(職員マスタ!$H$6:$H$405,$AN2138)&lt;$AO2138))),"対象月が時短期間外／","")&amp;IF(AND(INDEX(職員マスタ!$F$6:$F$405,$AN2138)&lt;&gt;"",$AO2138&lt;&gt;"",INDEX(職員マスタ!$F$6:$F$405,$AN2138)&lt;$AO2138),"対象月に子が2歳到達済／","")&amp;IF(AND($H2138&lt;&gt;"",INDEX(職員マスタ!$B$6:$B$405,$AN2138)&lt;&gt;"",SUBSTITUTE(SUBSTITUTE($H2138," ","")," ","")&lt;&gt;SUBSTITUTE(SUBSTITUTE(INDEX(職員マスタ!$B$6:$B$405,$AN2138)," ","")," ","")),"氏名がマスタと相違／","")&amp;IF(AND($Q2138&lt;&gt;"",INDEX(職員マスタ!$E$6:$E$405,$AN2138)&lt;&gt;"",$Q2138&lt;&gt;INDEX(職員マスタ!$E$6:$E$405,$AN2138)),"子の生年月日がマスタと相違／","")&amp;IF(AND($L2138&lt;&gt;"",INDEX(職員マスタ!$G$6:$G$405,$AN2138)&lt;&gt;"",$L2138&lt;&gt;INDEX(職員マスタ!$G$6:$G$405,$AN2138)),"時短開始日がマスタと相違／","")&amp;IF(AND($M2138&lt;&gt;"",INDEX(職員マスタ!$H$6:$H$405,$AN2138)&lt;&gt;"",$M2138&lt;&gt;INDEX(職員マスタ!$H$6:$H$405,$AN2138)),"時短終了日がマスタと相違／","")))&amp;IF(AND($B2138&lt;&gt;"",$E2138=""),"報酬額が未入力／","")&amp;IF(N($U2138)&gt;0,"申請書に入力エラーが残っています／","")&amp;IF(AND($B2138&lt;&gt;"",$AO2138&lt;&gt;""),IF(COUNTIFS($B$6:$B$3005,$B2138,$C$6:$C$3005,$C2138,$D$6:$D$3005,$D2138)&gt;1,"同じ月の請求が重複しています／",""),"")&amp;IF(AND(N($E2138)&gt;0,$Z2138&lt;&gt;"",$Z2138&lt;&gt;"×",$AC2138=0,$AB2138=""),"計算額が下限以下のため不支給／",""))</f>
        <v/>
      </c>
      <c r="AL2138" s="12" t="n"/>
      <c r="AM2138" s="14">
        <f>IF($AD2138="保留中",COUNTIF($AD$6:$AD2138,"保留中"),"")</f>
        <v/>
      </c>
      <c r="AN2138" s="14">
        <f>IF($AO2138="","",IF(SUMPRODUCT(MAX((職員マスタ!$A$6:$A$405=$B2138)*(((職員マスタ!$G$6:$G$405="")+(職員マスタ!$G$6:$G$405&lt;=EOMONTH($AO2138,0)))&gt;0)*(((職員マスタ!$H$6:$H$405="")+(職員マスタ!$H$6:$H$405&gt;=$AO2138))&gt;0)*(ROW(職員マスタ!$A$6:$A$405)-5)))&gt;0,SUMPRODUCT(MAX((職員マスタ!$A$6:$A$405=$B2138)*(((職員マスタ!$G$6:$G$405="")+(職員マスタ!$G$6:$G$405&lt;=EOMONTH($AO2138,0)))&gt;0)*(((職員マスタ!$H$6:$H$405="")+(職員マスタ!$H$6:$H$405&gt;=$AO2138))&gt;0)*(ROW(職員マスタ!$A$6:$A$405)-5))),IFERROR(MATCH($B2138,職員マスタ!$A$6:$A$405,0),"")))</f>
        <v/>
      </c>
      <c r="AO2138" s="16">
        <f>IF(OR($B2138="",$C2138="",$D2138=""),"",DATE($C2138+2018,$D2138,1))</f>
        <v/>
      </c>
    </row>
    <row r="2139">
      <c r="A2139" s="11" t="n"/>
      <c r="B2139" s="12" t="n"/>
      <c r="C2139" s="12" t="n"/>
      <c r="D2139" s="12" t="n"/>
      <c r="E2139" s="13" t="n"/>
      <c r="F2139" s="12" t="n"/>
      <c r="G2139" s="13" t="n"/>
      <c r="H2139" s="12" t="n"/>
      <c r="I2139" s="12" t="n"/>
      <c r="J2139" s="12" t="n"/>
      <c r="K2139" s="12" t="n"/>
      <c r="L2139" s="11" t="n"/>
      <c r="M2139" s="11" t="n"/>
      <c r="N2139" s="11" t="n"/>
      <c r="O2139" s="11" t="n"/>
      <c r="P2139" s="12" t="n"/>
      <c r="Q2139" s="11" t="n"/>
      <c r="R2139" s="12" t="n"/>
      <c r="S2139" s="11" t="n"/>
      <c r="T2139" s="12" t="n"/>
      <c r="U2139" s="12" t="n"/>
      <c r="V2139" s="14">
        <f>IF($AN2139="",IF($B2139="","",$H2139),IF(INDEX(職員マスタ!$B$6:$B$405,$AN2139)="",$H2139,INDEX(職員マスタ!$B$6:$B$405,$AN2139)))</f>
        <v/>
      </c>
      <c r="W2139" s="14">
        <f>IF($AN2139="",IF($B2139="","",$R2139),IF(INDEX(職員マスタ!$C$6:$C$405,$AN2139)="",$R2139,INDEX(職員マスタ!$C$6:$C$405,$AN2139)))</f>
        <v/>
      </c>
      <c r="X2139" s="14">
        <f>IF($AO2139="","","R"&amp;$C2139&amp;"."&amp;$D2139)</f>
        <v/>
      </c>
      <c r="Y2139" s="15">
        <f>IF($AN2139="","",IF(INDEX(職員マスタ!$K$6:$K$405,$AN2139)="","",INDEX(職員マスタ!$K$6:$K$405,$AN2139)))</f>
        <v/>
      </c>
      <c r="Z2139" s="14">
        <f>IF(OR($E2139="",$Y2139=""),"",IF($E2139&gt;=$Y2139,"×",IF($E2139&gt;=$Y2139*設定!$C$5,"△","○")))</f>
        <v/>
      </c>
      <c r="AA2139" s="15">
        <f>IF($Z2139="","",IF($Z2139="×",0,IF($Z2139="○",ROUNDDOWN($E2139*設定!$C$4,0),ROUNDDOWN($E2139*ROUND((9*$Y2139-9*$E2139)/(10*$E2139),4),0))))</f>
        <v/>
      </c>
      <c r="AB2139" s="13" t="n"/>
      <c r="AC2139" s="15">
        <f>IF($B2139="","",IF($AB2139&lt;&gt;"",$AB2139,IF($AA2139="","",IF($AA2139&lt;=設定!$C$3,0,$AA2139))))</f>
        <v/>
      </c>
      <c r="AD2139" s="14">
        <f>IF($B2139="","",IF(AND($AE2139&lt;&gt;"",$AG2139="",$AJ2139=""),"保留中",IF($AJ2139&lt;&gt;"",IF(N($AC2139)&gt;0,"支給済","不支給"),IF($AC2139="","要確認",IF($AC2139=0,"不支給","未処理")))))</f>
        <v/>
      </c>
      <c r="AE2139" s="12" t="n"/>
      <c r="AF2139" s="11" t="n"/>
      <c r="AG2139" s="11" t="n"/>
      <c r="AH2139" s="11" t="n"/>
      <c r="AI2139" s="14">
        <f>IF(AND($AD2139="保留中",$AF2139&lt;&gt;""),TODAY()-$AF2139,"")</f>
        <v/>
      </c>
      <c r="AJ2139" s="12" t="n"/>
      <c r="AK2139" s="14">
        <f>IF($B2139="","",IF($AO2139="","対象年月が未入力／","")&amp;IF($B2139="","",IF($AN2139="","職員マスタに未登録の職員番号／",IF($Y2139="","標準報酬月額が未登録／","")&amp;IF(AND($AO2139&lt;&gt;"",OR(AND(INDEX(職員マスタ!$G$6:$G$405,$AN2139)&lt;&gt;"",INDEX(職員マスタ!$G$6:$G$405,$AN2139)&gt;EOMONTH($AO2139,0)),AND(INDEX(職員マスタ!$H$6:$H$405,$AN2139)&lt;&gt;"",INDEX(職員マスタ!$H$6:$H$405,$AN2139)&lt;$AO2139))),"対象月が時短期間外／","")&amp;IF(AND(INDEX(職員マスタ!$F$6:$F$405,$AN2139)&lt;&gt;"",$AO2139&lt;&gt;"",INDEX(職員マスタ!$F$6:$F$405,$AN2139)&lt;$AO2139),"対象月に子が2歳到達済／","")&amp;IF(AND($H2139&lt;&gt;"",INDEX(職員マスタ!$B$6:$B$405,$AN2139)&lt;&gt;"",SUBSTITUTE(SUBSTITUTE($H2139," ","")," ","")&lt;&gt;SUBSTITUTE(SUBSTITUTE(INDEX(職員マスタ!$B$6:$B$405,$AN2139)," ","")," ","")),"氏名がマスタと相違／","")&amp;IF(AND($Q2139&lt;&gt;"",INDEX(職員マスタ!$E$6:$E$405,$AN2139)&lt;&gt;"",$Q2139&lt;&gt;INDEX(職員マスタ!$E$6:$E$405,$AN2139)),"子の生年月日がマスタと相違／","")&amp;IF(AND($L2139&lt;&gt;"",INDEX(職員マスタ!$G$6:$G$405,$AN2139)&lt;&gt;"",$L2139&lt;&gt;INDEX(職員マスタ!$G$6:$G$405,$AN2139)),"時短開始日がマスタと相違／","")&amp;IF(AND($M2139&lt;&gt;"",INDEX(職員マスタ!$H$6:$H$405,$AN2139)&lt;&gt;"",$M2139&lt;&gt;INDEX(職員マスタ!$H$6:$H$405,$AN2139)),"時短終了日がマスタと相違／","")))&amp;IF(AND($B2139&lt;&gt;"",$E2139=""),"報酬額が未入力／","")&amp;IF(N($U2139)&gt;0,"申請書に入力エラーが残っています／","")&amp;IF(AND($B2139&lt;&gt;"",$AO2139&lt;&gt;""),IF(COUNTIFS($B$6:$B$3005,$B2139,$C$6:$C$3005,$C2139,$D$6:$D$3005,$D2139)&gt;1,"同じ月の請求が重複しています／",""),"")&amp;IF(AND(N($E2139)&gt;0,$Z2139&lt;&gt;"",$Z2139&lt;&gt;"×",$AC2139=0,$AB2139=""),"計算額が下限以下のため不支給／",""))</f>
        <v/>
      </c>
      <c r="AL2139" s="12" t="n"/>
      <c r="AM2139" s="14">
        <f>IF($AD2139="保留中",COUNTIF($AD$6:$AD2139,"保留中"),"")</f>
        <v/>
      </c>
      <c r="AN2139" s="14">
        <f>IF($AO2139="","",IF(SUMPRODUCT(MAX((職員マスタ!$A$6:$A$405=$B2139)*(((職員マスタ!$G$6:$G$405="")+(職員マスタ!$G$6:$G$405&lt;=EOMONTH($AO2139,0)))&gt;0)*(((職員マスタ!$H$6:$H$405="")+(職員マスタ!$H$6:$H$405&gt;=$AO2139))&gt;0)*(ROW(職員マスタ!$A$6:$A$405)-5)))&gt;0,SUMPRODUCT(MAX((職員マスタ!$A$6:$A$405=$B2139)*(((職員マスタ!$G$6:$G$405="")+(職員マスタ!$G$6:$G$405&lt;=EOMONTH($AO2139,0)))&gt;0)*(((職員マスタ!$H$6:$H$405="")+(職員マスタ!$H$6:$H$405&gt;=$AO2139))&gt;0)*(ROW(職員マスタ!$A$6:$A$405)-5))),IFERROR(MATCH($B2139,職員マスタ!$A$6:$A$405,0),"")))</f>
        <v/>
      </c>
      <c r="AO2139" s="16">
        <f>IF(OR($B2139="",$C2139="",$D2139=""),"",DATE($C2139+2018,$D2139,1))</f>
        <v/>
      </c>
    </row>
    <row r="2140">
      <c r="A2140" s="11" t="n"/>
      <c r="B2140" s="12" t="n"/>
      <c r="C2140" s="12" t="n"/>
      <c r="D2140" s="12" t="n"/>
      <c r="E2140" s="13" t="n"/>
      <c r="F2140" s="12" t="n"/>
      <c r="G2140" s="13" t="n"/>
      <c r="H2140" s="12" t="n"/>
      <c r="I2140" s="12" t="n"/>
      <c r="J2140" s="12" t="n"/>
      <c r="K2140" s="12" t="n"/>
      <c r="L2140" s="11" t="n"/>
      <c r="M2140" s="11" t="n"/>
      <c r="N2140" s="11" t="n"/>
      <c r="O2140" s="11" t="n"/>
      <c r="P2140" s="12" t="n"/>
      <c r="Q2140" s="11" t="n"/>
      <c r="R2140" s="12" t="n"/>
      <c r="S2140" s="11" t="n"/>
      <c r="T2140" s="12" t="n"/>
      <c r="U2140" s="12" t="n"/>
      <c r="V2140" s="14">
        <f>IF($AN2140="",IF($B2140="","",$H2140),IF(INDEX(職員マスタ!$B$6:$B$405,$AN2140)="",$H2140,INDEX(職員マスタ!$B$6:$B$405,$AN2140)))</f>
        <v/>
      </c>
      <c r="W2140" s="14">
        <f>IF($AN2140="",IF($B2140="","",$R2140),IF(INDEX(職員マスタ!$C$6:$C$405,$AN2140)="",$R2140,INDEX(職員マスタ!$C$6:$C$405,$AN2140)))</f>
        <v/>
      </c>
      <c r="X2140" s="14">
        <f>IF($AO2140="","","R"&amp;$C2140&amp;"."&amp;$D2140)</f>
        <v/>
      </c>
      <c r="Y2140" s="15">
        <f>IF($AN2140="","",IF(INDEX(職員マスタ!$K$6:$K$405,$AN2140)="","",INDEX(職員マスタ!$K$6:$K$405,$AN2140)))</f>
        <v/>
      </c>
      <c r="Z2140" s="14">
        <f>IF(OR($E2140="",$Y2140=""),"",IF($E2140&gt;=$Y2140,"×",IF($E2140&gt;=$Y2140*設定!$C$5,"△","○")))</f>
        <v/>
      </c>
      <c r="AA2140" s="15">
        <f>IF($Z2140="","",IF($Z2140="×",0,IF($Z2140="○",ROUNDDOWN($E2140*設定!$C$4,0),ROUNDDOWN($E2140*ROUND((9*$Y2140-9*$E2140)/(10*$E2140),4),0))))</f>
        <v/>
      </c>
      <c r="AB2140" s="13" t="n"/>
      <c r="AC2140" s="15">
        <f>IF($B2140="","",IF($AB2140&lt;&gt;"",$AB2140,IF($AA2140="","",IF($AA2140&lt;=設定!$C$3,0,$AA2140))))</f>
        <v/>
      </c>
      <c r="AD2140" s="14">
        <f>IF($B2140="","",IF(AND($AE2140&lt;&gt;"",$AG2140="",$AJ2140=""),"保留中",IF($AJ2140&lt;&gt;"",IF(N($AC2140)&gt;0,"支給済","不支給"),IF($AC2140="","要確認",IF($AC2140=0,"不支給","未処理")))))</f>
        <v/>
      </c>
      <c r="AE2140" s="12" t="n"/>
      <c r="AF2140" s="11" t="n"/>
      <c r="AG2140" s="11" t="n"/>
      <c r="AH2140" s="11" t="n"/>
      <c r="AI2140" s="14">
        <f>IF(AND($AD2140="保留中",$AF2140&lt;&gt;""),TODAY()-$AF2140,"")</f>
        <v/>
      </c>
      <c r="AJ2140" s="12" t="n"/>
      <c r="AK2140" s="14">
        <f>IF($B2140="","",IF($AO2140="","対象年月が未入力／","")&amp;IF($B2140="","",IF($AN2140="","職員マスタに未登録の職員番号／",IF($Y2140="","標準報酬月額が未登録／","")&amp;IF(AND($AO2140&lt;&gt;"",OR(AND(INDEX(職員マスタ!$G$6:$G$405,$AN2140)&lt;&gt;"",INDEX(職員マスタ!$G$6:$G$405,$AN2140)&gt;EOMONTH($AO2140,0)),AND(INDEX(職員マスタ!$H$6:$H$405,$AN2140)&lt;&gt;"",INDEX(職員マスタ!$H$6:$H$405,$AN2140)&lt;$AO2140))),"対象月が時短期間外／","")&amp;IF(AND(INDEX(職員マスタ!$F$6:$F$405,$AN2140)&lt;&gt;"",$AO2140&lt;&gt;"",INDEX(職員マスタ!$F$6:$F$405,$AN2140)&lt;$AO2140),"対象月に子が2歳到達済／","")&amp;IF(AND($H2140&lt;&gt;"",INDEX(職員マスタ!$B$6:$B$405,$AN2140)&lt;&gt;"",SUBSTITUTE(SUBSTITUTE($H2140," ","")," ","")&lt;&gt;SUBSTITUTE(SUBSTITUTE(INDEX(職員マスタ!$B$6:$B$405,$AN2140)," ","")," ","")),"氏名がマスタと相違／","")&amp;IF(AND($Q2140&lt;&gt;"",INDEX(職員マスタ!$E$6:$E$405,$AN2140)&lt;&gt;"",$Q2140&lt;&gt;INDEX(職員マスタ!$E$6:$E$405,$AN2140)),"子の生年月日がマスタと相違／","")&amp;IF(AND($L2140&lt;&gt;"",INDEX(職員マスタ!$G$6:$G$405,$AN2140)&lt;&gt;"",$L2140&lt;&gt;INDEX(職員マスタ!$G$6:$G$405,$AN2140)),"時短開始日がマスタと相違／","")&amp;IF(AND($M2140&lt;&gt;"",INDEX(職員マスタ!$H$6:$H$405,$AN2140)&lt;&gt;"",$M2140&lt;&gt;INDEX(職員マスタ!$H$6:$H$405,$AN2140)),"時短終了日がマスタと相違／","")))&amp;IF(AND($B2140&lt;&gt;"",$E2140=""),"報酬額が未入力／","")&amp;IF(N($U2140)&gt;0,"申請書に入力エラーが残っています／","")&amp;IF(AND($B2140&lt;&gt;"",$AO2140&lt;&gt;""),IF(COUNTIFS($B$6:$B$3005,$B2140,$C$6:$C$3005,$C2140,$D$6:$D$3005,$D2140)&gt;1,"同じ月の請求が重複しています／",""),"")&amp;IF(AND(N($E2140)&gt;0,$Z2140&lt;&gt;"",$Z2140&lt;&gt;"×",$AC2140=0,$AB2140=""),"計算額が下限以下のため不支給／",""))</f>
        <v/>
      </c>
      <c r="AL2140" s="12" t="n"/>
      <c r="AM2140" s="14">
        <f>IF($AD2140="保留中",COUNTIF($AD$6:$AD2140,"保留中"),"")</f>
        <v/>
      </c>
      <c r="AN2140" s="14">
        <f>IF($AO2140="","",IF(SUMPRODUCT(MAX((職員マスタ!$A$6:$A$405=$B2140)*(((職員マスタ!$G$6:$G$405="")+(職員マスタ!$G$6:$G$405&lt;=EOMONTH($AO2140,0)))&gt;0)*(((職員マスタ!$H$6:$H$405="")+(職員マスタ!$H$6:$H$405&gt;=$AO2140))&gt;0)*(ROW(職員マスタ!$A$6:$A$405)-5)))&gt;0,SUMPRODUCT(MAX((職員マスタ!$A$6:$A$405=$B2140)*(((職員マスタ!$G$6:$G$405="")+(職員マスタ!$G$6:$G$405&lt;=EOMONTH($AO2140,0)))&gt;0)*(((職員マスタ!$H$6:$H$405="")+(職員マスタ!$H$6:$H$405&gt;=$AO2140))&gt;0)*(ROW(職員マスタ!$A$6:$A$405)-5))),IFERROR(MATCH($B2140,職員マスタ!$A$6:$A$405,0),"")))</f>
        <v/>
      </c>
      <c r="AO2140" s="16">
        <f>IF(OR($B2140="",$C2140="",$D2140=""),"",DATE($C2140+2018,$D2140,1))</f>
        <v/>
      </c>
    </row>
    <row r="2141">
      <c r="A2141" s="11" t="n"/>
      <c r="B2141" s="12" t="n"/>
      <c r="C2141" s="12" t="n"/>
      <c r="D2141" s="12" t="n"/>
      <c r="E2141" s="13" t="n"/>
      <c r="F2141" s="12" t="n"/>
      <c r="G2141" s="13" t="n"/>
      <c r="H2141" s="12" t="n"/>
      <c r="I2141" s="12" t="n"/>
      <c r="J2141" s="12" t="n"/>
      <c r="K2141" s="12" t="n"/>
      <c r="L2141" s="11" t="n"/>
      <c r="M2141" s="11" t="n"/>
      <c r="N2141" s="11" t="n"/>
      <c r="O2141" s="11" t="n"/>
      <c r="P2141" s="12" t="n"/>
      <c r="Q2141" s="11" t="n"/>
      <c r="R2141" s="12" t="n"/>
      <c r="S2141" s="11" t="n"/>
      <c r="T2141" s="12" t="n"/>
      <c r="U2141" s="12" t="n"/>
      <c r="V2141" s="14">
        <f>IF($AN2141="",IF($B2141="","",$H2141),IF(INDEX(職員マスタ!$B$6:$B$405,$AN2141)="",$H2141,INDEX(職員マスタ!$B$6:$B$405,$AN2141)))</f>
        <v/>
      </c>
      <c r="W2141" s="14">
        <f>IF($AN2141="",IF($B2141="","",$R2141),IF(INDEX(職員マスタ!$C$6:$C$405,$AN2141)="",$R2141,INDEX(職員マスタ!$C$6:$C$405,$AN2141)))</f>
        <v/>
      </c>
      <c r="X2141" s="14">
        <f>IF($AO2141="","","R"&amp;$C2141&amp;"."&amp;$D2141)</f>
        <v/>
      </c>
      <c r="Y2141" s="15">
        <f>IF($AN2141="","",IF(INDEX(職員マスタ!$K$6:$K$405,$AN2141)="","",INDEX(職員マスタ!$K$6:$K$405,$AN2141)))</f>
        <v/>
      </c>
      <c r="Z2141" s="14">
        <f>IF(OR($E2141="",$Y2141=""),"",IF($E2141&gt;=$Y2141,"×",IF($E2141&gt;=$Y2141*設定!$C$5,"△","○")))</f>
        <v/>
      </c>
      <c r="AA2141" s="15">
        <f>IF($Z2141="","",IF($Z2141="×",0,IF($Z2141="○",ROUNDDOWN($E2141*設定!$C$4,0),ROUNDDOWN($E2141*ROUND((9*$Y2141-9*$E2141)/(10*$E2141),4),0))))</f>
        <v/>
      </c>
      <c r="AB2141" s="13" t="n"/>
      <c r="AC2141" s="15">
        <f>IF($B2141="","",IF($AB2141&lt;&gt;"",$AB2141,IF($AA2141="","",IF($AA2141&lt;=設定!$C$3,0,$AA2141))))</f>
        <v/>
      </c>
      <c r="AD2141" s="14">
        <f>IF($B2141="","",IF(AND($AE2141&lt;&gt;"",$AG2141="",$AJ2141=""),"保留中",IF($AJ2141&lt;&gt;"",IF(N($AC2141)&gt;0,"支給済","不支給"),IF($AC2141="","要確認",IF($AC2141=0,"不支給","未処理")))))</f>
        <v/>
      </c>
      <c r="AE2141" s="12" t="n"/>
      <c r="AF2141" s="11" t="n"/>
      <c r="AG2141" s="11" t="n"/>
      <c r="AH2141" s="11" t="n"/>
      <c r="AI2141" s="14">
        <f>IF(AND($AD2141="保留中",$AF2141&lt;&gt;""),TODAY()-$AF2141,"")</f>
        <v/>
      </c>
      <c r="AJ2141" s="12" t="n"/>
      <c r="AK2141" s="14">
        <f>IF($B2141="","",IF($AO2141="","対象年月が未入力／","")&amp;IF($B2141="","",IF($AN2141="","職員マスタに未登録の職員番号／",IF($Y2141="","標準報酬月額が未登録／","")&amp;IF(AND($AO2141&lt;&gt;"",OR(AND(INDEX(職員マスタ!$G$6:$G$405,$AN2141)&lt;&gt;"",INDEX(職員マスタ!$G$6:$G$405,$AN2141)&gt;EOMONTH($AO2141,0)),AND(INDEX(職員マスタ!$H$6:$H$405,$AN2141)&lt;&gt;"",INDEX(職員マスタ!$H$6:$H$405,$AN2141)&lt;$AO2141))),"対象月が時短期間外／","")&amp;IF(AND(INDEX(職員マスタ!$F$6:$F$405,$AN2141)&lt;&gt;"",$AO2141&lt;&gt;"",INDEX(職員マスタ!$F$6:$F$405,$AN2141)&lt;$AO2141),"対象月に子が2歳到達済／","")&amp;IF(AND($H2141&lt;&gt;"",INDEX(職員マスタ!$B$6:$B$405,$AN2141)&lt;&gt;"",SUBSTITUTE(SUBSTITUTE($H2141," ","")," ","")&lt;&gt;SUBSTITUTE(SUBSTITUTE(INDEX(職員マスタ!$B$6:$B$405,$AN2141)," ","")," ","")),"氏名がマスタと相違／","")&amp;IF(AND($Q2141&lt;&gt;"",INDEX(職員マスタ!$E$6:$E$405,$AN2141)&lt;&gt;"",$Q2141&lt;&gt;INDEX(職員マスタ!$E$6:$E$405,$AN2141)),"子の生年月日がマスタと相違／","")&amp;IF(AND($L2141&lt;&gt;"",INDEX(職員マスタ!$G$6:$G$405,$AN2141)&lt;&gt;"",$L2141&lt;&gt;INDEX(職員マスタ!$G$6:$G$405,$AN2141)),"時短開始日がマスタと相違／","")&amp;IF(AND($M2141&lt;&gt;"",INDEX(職員マスタ!$H$6:$H$405,$AN2141)&lt;&gt;"",$M2141&lt;&gt;INDEX(職員マスタ!$H$6:$H$405,$AN2141)),"時短終了日がマスタと相違／","")))&amp;IF(AND($B2141&lt;&gt;"",$E2141=""),"報酬額が未入力／","")&amp;IF(N($U2141)&gt;0,"申請書に入力エラーが残っています／","")&amp;IF(AND($B2141&lt;&gt;"",$AO2141&lt;&gt;""),IF(COUNTIFS($B$6:$B$3005,$B2141,$C$6:$C$3005,$C2141,$D$6:$D$3005,$D2141)&gt;1,"同じ月の請求が重複しています／",""),"")&amp;IF(AND(N($E2141)&gt;0,$Z2141&lt;&gt;"",$Z2141&lt;&gt;"×",$AC2141=0,$AB2141=""),"計算額が下限以下のため不支給／",""))</f>
        <v/>
      </c>
      <c r="AL2141" s="12" t="n"/>
      <c r="AM2141" s="14">
        <f>IF($AD2141="保留中",COUNTIF($AD$6:$AD2141,"保留中"),"")</f>
        <v/>
      </c>
      <c r="AN2141" s="14">
        <f>IF($AO2141="","",IF(SUMPRODUCT(MAX((職員マスタ!$A$6:$A$405=$B2141)*(((職員マスタ!$G$6:$G$405="")+(職員マスタ!$G$6:$G$405&lt;=EOMONTH($AO2141,0)))&gt;0)*(((職員マスタ!$H$6:$H$405="")+(職員マスタ!$H$6:$H$405&gt;=$AO2141))&gt;0)*(ROW(職員マスタ!$A$6:$A$405)-5)))&gt;0,SUMPRODUCT(MAX((職員マスタ!$A$6:$A$405=$B2141)*(((職員マスタ!$G$6:$G$405="")+(職員マスタ!$G$6:$G$405&lt;=EOMONTH($AO2141,0)))&gt;0)*(((職員マスタ!$H$6:$H$405="")+(職員マスタ!$H$6:$H$405&gt;=$AO2141))&gt;0)*(ROW(職員マスタ!$A$6:$A$405)-5))),IFERROR(MATCH($B2141,職員マスタ!$A$6:$A$405,0),"")))</f>
        <v/>
      </c>
      <c r="AO2141" s="16">
        <f>IF(OR($B2141="",$C2141="",$D2141=""),"",DATE($C2141+2018,$D2141,1))</f>
        <v/>
      </c>
    </row>
    <row r="2142">
      <c r="A2142" s="11" t="n"/>
      <c r="B2142" s="12" t="n"/>
      <c r="C2142" s="12" t="n"/>
      <c r="D2142" s="12" t="n"/>
      <c r="E2142" s="13" t="n"/>
      <c r="F2142" s="12" t="n"/>
      <c r="G2142" s="13" t="n"/>
      <c r="H2142" s="12" t="n"/>
      <c r="I2142" s="12" t="n"/>
      <c r="J2142" s="12" t="n"/>
      <c r="K2142" s="12" t="n"/>
      <c r="L2142" s="11" t="n"/>
      <c r="M2142" s="11" t="n"/>
      <c r="N2142" s="11" t="n"/>
      <c r="O2142" s="11" t="n"/>
      <c r="P2142" s="12" t="n"/>
      <c r="Q2142" s="11" t="n"/>
      <c r="R2142" s="12" t="n"/>
      <c r="S2142" s="11" t="n"/>
      <c r="T2142" s="12" t="n"/>
      <c r="U2142" s="12" t="n"/>
      <c r="V2142" s="14">
        <f>IF($AN2142="",IF($B2142="","",$H2142),IF(INDEX(職員マスタ!$B$6:$B$405,$AN2142)="",$H2142,INDEX(職員マスタ!$B$6:$B$405,$AN2142)))</f>
        <v/>
      </c>
      <c r="W2142" s="14">
        <f>IF($AN2142="",IF($B2142="","",$R2142),IF(INDEX(職員マスタ!$C$6:$C$405,$AN2142)="",$R2142,INDEX(職員マスタ!$C$6:$C$405,$AN2142)))</f>
        <v/>
      </c>
      <c r="X2142" s="14">
        <f>IF($AO2142="","","R"&amp;$C2142&amp;"."&amp;$D2142)</f>
        <v/>
      </c>
      <c r="Y2142" s="15">
        <f>IF($AN2142="","",IF(INDEX(職員マスタ!$K$6:$K$405,$AN2142)="","",INDEX(職員マスタ!$K$6:$K$405,$AN2142)))</f>
        <v/>
      </c>
      <c r="Z2142" s="14">
        <f>IF(OR($E2142="",$Y2142=""),"",IF($E2142&gt;=$Y2142,"×",IF($E2142&gt;=$Y2142*設定!$C$5,"△","○")))</f>
        <v/>
      </c>
      <c r="AA2142" s="15">
        <f>IF($Z2142="","",IF($Z2142="×",0,IF($Z2142="○",ROUNDDOWN($E2142*設定!$C$4,0),ROUNDDOWN($E2142*ROUND((9*$Y2142-9*$E2142)/(10*$E2142),4),0))))</f>
        <v/>
      </c>
      <c r="AB2142" s="13" t="n"/>
      <c r="AC2142" s="15">
        <f>IF($B2142="","",IF($AB2142&lt;&gt;"",$AB2142,IF($AA2142="","",IF($AA2142&lt;=設定!$C$3,0,$AA2142))))</f>
        <v/>
      </c>
      <c r="AD2142" s="14">
        <f>IF($B2142="","",IF(AND($AE2142&lt;&gt;"",$AG2142="",$AJ2142=""),"保留中",IF($AJ2142&lt;&gt;"",IF(N($AC2142)&gt;0,"支給済","不支給"),IF($AC2142="","要確認",IF($AC2142=0,"不支給","未処理")))))</f>
        <v/>
      </c>
      <c r="AE2142" s="12" t="n"/>
      <c r="AF2142" s="11" t="n"/>
      <c r="AG2142" s="11" t="n"/>
      <c r="AH2142" s="11" t="n"/>
      <c r="AI2142" s="14">
        <f>IF(AND($AD2142="保留中",$AF2142&lt;&gt;""),TODAY()-$AF2142,"")</f>
        <v/>
      </c>
      <c r="AJ2142" s="12" t="n"/>
      <c r="AK2142" s="14">
        <f>IF($B2142="","",IF($AO2142="","対象年月が未入力／","")&amp;IF($B2142="","",IF($AN2142="","職員マスタに未登録の職員番号／",IF($Y2142="","標準報酬月額が未登録／","")&amp;IF(AND($AO2142&lt;&gt;"",OR(AND(INDEX(職員マスタ!$G$6:$G$405,$AN2142)&lt;&gt;"",INDEX(職員マスタ!$G$6:$G$405,$AN2142)&gt;EOMONTH($AO2142,0)),AND(INDEX(職員マスタ!$H$6:$H$405,$AN2142)&lt;&gt;"",INDEX(職員マスタ!$H$6:$H$405,$AN2142)&lt;$AO2142))),"対象月が時短期間外／","")&amp;IF(AND(INDEX(職員マスタ!$F$6:$F$405,$AN2142)&lt;&gt;"",$AO2142&lt;&gt;"",INDEX(職員マスタ!$F$6:$F$405,$AN2142)&lt;$AO2142),"対象月に子が2歳到達済／","")&amp;IF(AND($H2142&lt;&gt;"",INDEX(職員マスタ!$B$6:$B$405,$AN2142)&lt;&gt;"",SUBSTITUTE(SUBSTITUTE($H2142," ","")," ","")&lt;&gt;SUBSTITUTE(SUBSTITUTE(INDEX(職員マスタ!$B$6:$B$405,$AN2142)," ","")," ","")),"氏名がマスタと相違／","")&amp;IF(AND($Q2142&lt;&gt;"",INDEX(職員マスタ!$E$6:$E$405,$AN2142)&lt;&gt;"",$Q2142&lt;&gt;INDEX(職員マスタ!$E$6:$E$405,$AN2142)),"子の生年月日がマスタと相違／","")&amp;IF(AND($L2142&lt;&gt;"",INDEX(職員マスタ!$G$6:$G$405,$AN2142)&lt;&gt;"",$L2142&lt;&gt;INDEX(職員マスタ!$G$6:$G$405,$AN2142)),"時短開始日がマスタと相違／","")&amp;IF(AND($M2142&lt;&gt;"",INDEX(職員マスタ!$H$6:$H$405,$AN2142)&lt;&gt;"",$M2142&lt;&gt;INDEX(職員マスタ!$H$6:$H$405,$AN2142)),"時短終了日がマスタと相違／","")))&amp;IF(AND($B2142&lt;&gt;"",$E2142=""),"報酬額が未入力／","")&amp;IF(N($U2142)&gt;0,"申請書に入力エラーが残っています／","")&amp;IF(AND($B2142&lt;&gt;"",$AO2142&lt;&gt;""),IF(COUNTIFS($B$6:$B$3005,$B2142,$C$6:$C$3005,$C2142,$D$6:$D$3005,$D2142)&gt;1,"同じ月の請求が重複しています／",""),"")&amp;IF(AND(N($E2142)&gt;0,$Z2142&lt;&gt;"",$Z2142&lt;&gt;"×",$AC2142=0,$AB2142=""),"計算額が下限以下のため不支給／",""))</f>
        <v/>
      </c>
      <c r="AL2142" s="12" t="n"/>
      <c r="AM2142" s="14">
        <f>IF($AD2142="保留中",COUNTIF($AD$6:$AD2142,"保留中"),"")</f>
        <v/>
      </c>
      <c r="AN2142" s="14">
        <f>IF($AO2142="","",IF(SUMPRODUCT(MAX((職員マスタ!$A$6:$A$405=$B2142)*(((職員マスタ!$G$6:$G$405="")+(職員マスタ!$G$6:$G$405&lt;=EOMONTH($AO2142,0)))&gt;0)*(((職員マスタ!$H$6:$H$405="")+(職員マスタ!$H$6:$H$405&gt;=$AO2142))&gt;0)*(ROW(職員マスタ!$A$6:$A$405)-5)))&gt;0,SUMPRODUCT(MAX((職員マスタ!$A$6:$A$405=$B2142)*(((職員マスタ!$G$6:$G$405="")+(職員マスタ!$G$6:$G$405&lt;=EOMONTH($AO2142,0)))&gt;0)*(((職員マスタ!$H$6:$H$405="")+(職員マスタ!$H$6:$H$405&gt;=$AO2142))&gt;0)*(ROW(職員マスタ!$A$6:$A$405)-5))),IFERROR(MATCH($B2142,職員マスタ!$A$6:$A$405,0),"")))</f>
        <v/>
      </c>
      <c r="AO2142" s="16">
        <f>IF(OR($B2142="",$C2142="",$D2142=""),"",DATE($C2142+2018,$D2142,1))</f>
        <v/>
      </c>
    </row>
    <row r="2143">
      <c r="A2143" s="11" t="n"/>
      <c r="B2143" s="12" t="n"/>
      <c r="C2143" s="12" t="n"/>
      <c r="D2143" s="12" t="n"/>
      <c r="E2143" s="13" t="n"/>
      <c r="F2143" s="12" t="n"/>
      <c r="G2143" s="13" t="n"/>
      <c r="H2143" s="12" t="n"/>
      <c r="I2143" s="12" t="n"/>
      <c r="J2143" s="12" t="n"/>
      <c r="K2143" s="12" t="n"/>
      <c r="L2143" s="11" t="n"/>
      <c r="M2143" s="11" t="n"/>
      <c r="N2143" s="11" t="n"/>
      <c r="O2143" s="11" t="n"/>
      <c r="P2143" s="12" t="n"/>
      <c r="Q2143" s="11" t="n"/>
      <c r="R2143" s="12" t="n"/>
      <c r="S2143" s="11" t="n"/>
      <c r="T2143" s="12" t="n"/>
      <c r="U2143" s="12" t="n"/>
      <c r="V2143" s="14">
        <f>IF($AN2143="",IF($B2143="","",$H2143),IF(INDEX(職員マスタ!$B$6:$B$405,$AN2143)="",$H2143,INDEX(職員マスタ!$B$6:$B$405,$AN2143)))</f>
        <v/>
      </c>
      <c r="W2143" s="14">
        <f>IF($AN2143="",IF($B2143="","",$R2143),IF(INDEX(職員マスタ!$C$6:$C$405,$AN2143)="",$R2143,INDEX(職員マスタ!$C$6:$C$405,$AN2143)))</f>
        <v/>
      </c>
      <c r="X2143" s="14">
        <f>IF($AO2143="","","R"&amp;$C2143&amp;"."&amp;$D2143)</f>
        <v/>
      </c>
      <c r="Y2143" s="15">
        <f>IF($AN2143="","",IF(INDEX(職員マスタ!$K$6:$K$405,$AN2143)="","",INDEX(職員マスタ!$K$6:$K$405,$AN2143)))</f>
        <v/>
      </c>
      <c r="Z2143" s="14">
        <f>IF(OR($E2143="",$Y2143=""),"",IF($E2143&gt;=$Y2143,"×",IF($E2143&gt;=$Y2143*設定!$C$5,"△","○")))</f>
        <v/>
      </c>
      <c r="AA2143" s="15">
        <f>IF($Z2143="","",IF($Z2143="×",0,IF($Z2143="○",ROUNDDOWN($E2143*設定!$C$4,0),ROUNDDOWN($E2143*ROUND((9*$Y2143-9*$E2143)/(10*$E2143),4),0))))</f>
        <v/>
      </c>
      <c r="AB2143" s="13" t="n"/>
      <c r="AC2143" s="15">
        <f>IF($B2143="","",IF($AB2143&lt;&gt;"",$AB2143,IF($AA2143="","",IF($AA2143&lt;=設定!$C$3,0,$AA2143))))</f>
        <v/>
      </c>
      <c r="AD2143" s="14">
        <f>IF($B2143="","",IF(AND($AE2143&lt;&gt;"",$AG2143="",$AJ2143=""),"保留中",IF($AJ2143&lt;&gt;"",IF(N($AC2143)&gt;0,"支給済","不支給"),IF($AC2143="","要確認",IF($AC2143=0,"不支給","未処理")))))</f>
        <v/>
      </c>
      <c r="AE2143" s="12" t="n"/>
      <c r="AF2143" s="11" t="n"/>
      <c r="AG2143" s="11" t="n"/>
      <c r="AH2143" s="11" t="n"/>
      <c r="AI2143" s="14">
        <f>IF(AND($AD2143="保留中",$AF2143&lt;&gt;""),TODAY()-$AF2143,"")</f>
        <v/>
      </c>
      <c r="AJ2143" s="12" t="n"/>
      <c r="AK2143" s="14">
        <f>IF($B2143="","",IF($AO2143="","対象年月が未入力／","")&amp;IF($B2143="","",IF($AN2143="","職員マスタに未登録の職員番号／",IF($Y2143="","標準報酬月額が未登録／","")&amp;IF(AND($AO2143&lt;&gt;"",OR(AND(INDEX(職員マスタ!$G$6:$G$405,$AN2143)&lt;&gt;"",INDEX(職員マスタ!$G$6:$G$405,$AN2143)&gt;EOMONTH($AO2143,0)),AND(INDEX(職員マスタ!$H$6:$H$405,$AN2143)&lt;&gt;"",INDEX(職員マスタ!$H$6:$H$405,$AN2143)&lt;$AO2143))),"対象月が時短期間外／","")&amp;IF(AND(INDEX(職員マスタ!$F$6:$F$405,$AN2143)&lt;&gt;"",$AO2143&lt;&gt;"",INDEX(職員マスタ!$F$6:$F$405,$AN2143)&lt;$AO2143),"対象月に子が2歳到達済／","")&amp;IF(AND($H2143&lt;&gt;"",INDEX(職員マスタ!$B$6:$B$405,$AN2143)&lt;&gt;"",SUBSTITUTE(SUBSTITUTE($H2143," ","")," ","")&lt;&gt;SUBSTITUTE(SUBSTITUTE(INDEX(職員マスタ!$B$6:$B$405,$AN2143)," ","")," ","")),"氏名がマスタと相違／","")&amp;IF(AND($Q2143&lt;&gt;"",INDEX(職員マスタ!$E$6:$E$405,$AN2143)&lt;&gt;"",$Q2143&lt;&gt;INDEX(職員マスタ!$E$6:$E$405,$AN2143)),"子の生年月日がマスタと相違／","")&amp;IF(AND($L2143&lt;&gt;"",INDEX(職員マスタ!$G$6:$G$405,$AN2143)&lt;&gt;"",$L2143&lt;&gt;INDEX(職員マスタ!$G$6:$G$405,$AN2143)),"時短開始日がマスタと相違／","")&amp;IF(AND($M2143&lt;&gt;"",INDEX(職員マスタ!$H$6:$H$405,$AN2143)&lt;&gt;"",$M2143&lt;&gt;INDEX(職員マスタ!$H$6:$H$405,$AN2143)),"時短終了日がマスタと相違／","")))&amp;IF(AND($B2143&lt;&gt;"",$E2143=""),"報酬額が未入力／","")&amp;IF(N($U2143)&gt;0,"申請書に入力エラーが残っています／","")&amp;IF(AND($B2143&lt;&gt;"",$AO2143&lt;&gt;""),IF(COUNTIFS($B$6:$B$3005,$B2143,$C$6:$C$3005,$C2143,$D$6:$D$3005,$D2143)&gt;1,"同じ月の請求が重複しています／",""),"")&amp;IF(AND(N($E2143)&gt;0,$Z2143&lt;&gt;"",$Z2143&lt;&gt;"×",$AC2143=0,$AB2143=""),"計算額が下限以下のため不支給／",""))</f>
        <v/>
      </c>
      <c r="AL2143" s="12" t="n"/>
      <c r="AM2143" s="14">
        <f>IF($AD2143="保留中",COUNTIF($AD$6:$AD2143,"保留中"),"")</f>
        <v/>
      </c>
      <c r="AN2143" s="14">
        <f>IF($AO2143="","",IF(SUMPRODUCT(MAX((職員マスタ!$A$6:$A$405=$B2143)*(((職員マスタ!$G$6:$G$405="")+(職員マスタ!$G$6:$G$405&lt;=EOMONTH($AO2143,0)))&gt;0)*(((職員マスタ!$H$6:$H$405="")+(職員マスタ!$H$6:$H$405&gt;=$AO2143))&gt;0)*(ROW(職員マスタ!$A$6:$A$405)-5)))&gt;0,SUMPRODUCT(MAX((職員マスタ!$A$6:$A$405=$B2143)*(((職員マスタ!$G$6:$G$405="")+(職員マスタ!$G$6:$G$405&lt;=EOMONTH($AO2143,0)))&gt;0)*(((職員マスタ!$H$6:$H$405="")+(職員マスタ!$H$6:$H$405&gt;=$AO2143))&gt;0)*(ROW(職員マスタ!$A$6:$A$405)-5))),IFERROR(MATCH($B2143,職員マスタ!$A$6:$A$405,0),"")))</f>
        <v/>
      </c>
      <c r="AO2143" s="16">
        <f>IF(OR($B2143="",$C2143="",$D2143=""),"",DATE($C2143+2018,$D2143,1))</f>
        <v/>
      </c>
    </row>
    <row r="2144">
      <c r="A2144" s="11" t="n"/>
      <c r="B2144" s="12" t="n"/>
      <c r="C2144" s="12" t="n"/>
      <c r="D2144" s="12" t="n"/>
      <c r="E2144" s="13" t="n"/>
      <c r="F2144" s="12" t="n"/>
      <c r="G2144" s="13" t="n"/>
      <c r="H2144" s="12" t="n"/>
      <c r="I2144" s="12" t="n"/>
      <c r="J2144" s="12" t="n"/>
      <c r="K2144" s="12" t="n"/>
      <c r="L2144" s="11" t="n"/>
      <c r="M2144" s="11" t="n"/>
      <c r="N2144" s="11" t="n"/>
      <c r="O2144" s="11" t="n"/>
      <c r="P2144" s="12" t="n"/>
      <c r="Q2144" s="11" t="n"/>
      <c r="R2144" s="12" t="n"/>
      <c r="S2144" s="11" t="n"/>
      <c r="T2144" s="12" t="n"/>
      <c r="U2144" s="12" t="n"/>
      <c r="V2144" s="14">
        <f>IF($AN2144="",IF($B2144="","",$H2144),IF(INDEX(職員マスタ!$B$6:$B$405,$AN2144)="",$H2144,INDEX(職員マスタ!$B$6:$B$405,$AN2144)))</f>
        <v/>
      </c>
      <c r="W2144" s="14">
        <f>IF($AN2144="",IF($B2144="","",$R2144),IF(INDEX(職員マスタ!$C$6:$C$405,$AN2144)="",$R2144,INDEX(職員マスタ!$C$6:$C$405,$AN2144)))</f>
        <v/>
      </c>
      <c r="X2144" s="14">
        <f>IF($AO2144="","","R"&amp;$C2144&amp;"."&amp;$D2144)</f>
        <v/>
      </c>
      <c r="Y2144" s="15">
        <f>IF($AN2144="","",IF(INDEX(職員マスタ!$K$6:$K$405,$AN2144)="","",INDEX(職員マスタ!$K$6:$K$405,$AN2144)))</f>
        <v/>
      </c>
      <c r="Z2144" s="14">
        <f>IF(OR($E2144="",$Y2144=""),"",IF($E2144&gt;=$Y2144,"×",IF($E2144&gt;=$Y2144*設定!$C$5,"△","○")))</f>
        <v/>
      </c>
      <c r="AA2144" s="15">
        <f>IF($Z2144="","",IF($Z2144="×",0,IF($Z2144="○",ROUNDDOWN($E2144*設定!$C$4,0),ROUNDDOWN($E2144*ROUND((9*$Y2144-9*$E2144)/(10*$E2144),4),0))))</f>
        <v/>
      </c>
      <c r="AB2144" s="13" t="n"/>
      <c r="AC2144" s="15">
        <f>IF($B2144="","",IF($AB2144&lt;&gt;"",$AB2144,IF($AA2144="","",IF($AA2144&lt;=設定!$C$3,0,$AA2144))))</f>
        <v/>
      </c>
      <c r="AD2144" s="14">
        <f>IF($B2144="","",IF(AND($AE2144&lt;&gt;"",$AG2144="",$AJ2144=""),"保留中",IF($AJ2144&lt;&gt;"",IF(N($AC2144)&gt;0,"支給済","不支給"),IF($AC2144="","要確認",IF($AC2144=0,"不支給","未処理")))))</f>
        <v/>
      </c>
      <c r="AE2144" s="12" t="n"/>
      <c r="AF2144" s="11" t="n"/>
      <c r="AG2144" s="11" t="n"/>
      <c r="AH2144" s="11" t="n"/>
      <c r="AI2144" s="14">
        <f>IF(AND($AD2144="保留中",$AF2144&lt;&gt;""),TODAY()-$AF2144,"")</f>
        <v/>
      </c>
      <c r="AJ2144" s="12" t="n"/>
      <c r="AK2144" s="14">
        <f>IF($B2144="","",IF($AO2144="","対象年月が未入力／","")&amp;IF($B2144="","",IF($AN2144="","職員マスタに未登録の職員番号／",IF($Y2144="","標準報酬月額が未登録／","")&amp;IF(AND($AO2144&lt;&gt;"",OR(AND(INDEX(職員マスタ!$G$6:$G$405,$AN2144)&lt;&gt;"",INDEX(職員マスタ!$G$6:$G$405,$AN2144)&gt;EOMONTH($AO2144,0)),AND(INDEX(職員マスタ!$H$6:$H$405,$AN2144)&lt;&gt;"",INDEX(職員マスタ!$H$6:$H$405,$AN2144)&lt;$AO2144))),"対象月が時短期間外／","")&amp;IF(AND(INDEX(職員マスタ!$F$6:$F$405,$AN2144)&lt;&gt;"",$AO2144&lt;&gt;"",INDEX(職員マスタ!$F$6:$F$405,$AN2144)&lt;$AO2144),"対象月に子が2歳到達済／","")&amp;IF(AND($H2144&lt;&gt;"",INDEX(職員マスタ!$B$6:$B$405,$AN2144)&lt;&gt;"",SUBSTITUTE(SUBSTITUTE($H2144," ","")," ","")&lt;&gt;SUBSTITUTE(SUBSTITUTE(INDEX(職員マスタ!$B$6:$B$405,$AN2144)," ","")," ","")),"氏名がマスタと相違／","")&amp;IF(AND($Q2144&lt;&gt;"",INDEX(職員マスタ!$E$6:$E$405,$AN2144)&lt;&gt;"",$Q2144&lt;&gt;INDEX(職員マスタ!$E$6:$E$405,$AN2144)),"子の生年月日がマスタと相違／","")&amp;IF(AND($L2144&lt;&gt;"",INDEX(職員マスタ!$G$6:$G$405,$AN2144)&lt;&gt;"",$L2144&lt;&gt;INDEX(職員マスタ!$G$6:$G$405,$AN2144)),"時短開始日がマスタと相違／","")&amp;IF(AND($M2144&lt;&gt;"",INDEX(職員マスタ!$H$6:$H$405,$AN2144)&lt;&gt;"",$M2144&lt;&gt;INDEX(職員マスタ!$H$6:$H$405,$AN2144)),"時短終了日がマスタと相違／","")))&amp;IF(AND($B2144&lt;&gt;"",$E2144=""),"報酬額が未入力／","")&amp;IF(N($U2144)&gt;0,"申請書に入力エラーが残っています／","")&amp;IF(AND($B2144&lt;&gt;"",$AO2144&lt;&gt;""),IF(COUNTIFS($B$6:$B$3005,$B2144,$C$6:$C$3005,$C2144,$D$6:$D$3005,$D2144)&gt;1,"同じ月の請求が重複しています／",""),"")&amp;IF(AND(N($E2144)&gt;0,$Z2144&lt;&gt;"",$Z2144&lt;&gt;"×",$AC2144=0,$AB2144=""),"計算額が下限以下のため不支給／",""))</f>
        <v/>
      </c>
      <c r="AL2144" s="12" t="n"/>
      <c r="AM2144" s="14">
        <f>IF($AD2144="保留中",COUNTIF($AD$6:$AD2144,"保留中"),"")</f>
        <v/>
      </c>
      <c r="AN2144" s="14">
        <f>IF($AO2144="","",IF(SUMPRODUCT(MAX((職員マスタ!$A$6:$A$405=$B2144)*(((職員マスタ!$G$6:$G$405="")+(職員マスタ!$G$6:$G$405&lt;=EOMONTH($AO2144,0)))&gt;0)*(((職員マスタ!$H$6:$H$405="")+(職員マスタ!$H$6:$H$405&gt;=$AO2144))&gt;0)*(ROW(職員マスタ!$A$6:$A$405)-5)))&gt;0,SUMPRODUCT(MAX((職員マスタ!$A$6:$A$405=$B2144)*(((職員マスタ!$G$6:$G$405="")+(職員マスタ!$G$6:$G$405&lt;=EOMONTH($AO2144,0)))&gt;0)*(((職員マスタ!$H$6:$H$405="")+(職員マスタ!$H$6:$H$405&gt;=$AO2144))&gt;0)*(ROW(職員マスタ!$A$6:$A$405)-5))),IFERROR(MATCH($B2144,職員マスタ!$A$6:$A$405,0),"")))</f>
        <v/>
      </c>
      <c r="AO2144" s="16">
        <f>IF(OR($B2144="",$C2144="",$D2144=""),"",DATE($C2144+2018,$D2144,1))</f>
        <v/>
      </c>
    </row>
    <row r="2145">
      <c r="A2145" s="11" t="n"/>
      <c r="B2145" s="12" t="n"/>
      <c r="C2145" s="12" t="n"/>
      <c r="D2145" s="12" t="n"/>
      <c r="E2145" s="13" t="n"/>
      <c r="F2145" s="12" t="n"/>
      <c r="G2145" s="13" t="n"/>
      <c r="H2145" s="12" t="n"/>
      <c r="I2145" s="12" t="n"/>
      <c r="J2145" s="12" t="n"/>
      <c r="K2145" s="12" t="n"/>
      <c r="L2145" s="11" t="n"/>
      <c r="M2145" s="11" t="n"/>
      <c r="N2145" s="11" t="n"/>
      <c r="O2145" s="11" t="n"/>
      <c r="P2145" s="12" t="n"/>
      <c r="Q2145" s="11" t="n"/>
      <c r="R2145" s="12" t="n"/>
      <c r="S2145" s="11" t="n"/>
      <c r="T2145" s="12" t="n"/>
      <c r="U2145" s="12" t="n"/>
      <c r="V2145" s="14">
        <f>IF($AN2145="",IF($B2145="","",$H2145),IF(INDEX(職員マスタ!$B$6:$B$405,$AN2145)="",$H2145,INDEX(職員マスタ!$B$6:$B$405,$AN2145)))</f>
        <v/>
      </c>
      <c r="W2145" s="14">
        <f>IF($AN2145="",IF($B2145="","",$R2145),IF(INDEX(職員マスタ!$C$6:$C$405,$AN2145)="",$R2145,INDEX(職員マスタ!$C$6:$C$405,$AN2145)))</f>
        <v/>
      </c>
      <c r="X2145" s="14">
        <f>IF($AO2145="","","R"&amp;$C2145&amp;"."&amp;$D2145)</f>
        <v/>
      </c>
      <c r="Y2145" s="15">
        <f>IF($AN2145="","",IF(INDEX(職員マスタ!$K$6:$K$405,$AN2145)="","",INDEX(職員マスタ!$K$6:$K$405,$AN2145)))</f>
        <v/>
      </c>
      <c r="Z2145" s="14">
        <f>IF(OR($E2145="",$Y2145=""),"",IF($E2145&gt;=$Y2145,"×",IF($E2145&gt;=$Y2145*設定!$C$5,"△","○")))</f>
        <v/>
      </c>
      <c r="AA2145" s="15">
        <f>IF($Z2145="","",IF($Z2145="×",0,IF($Z2145="○",ROUNDDOWN($E2145*設定!$C$4,0),ROUNDDOWN($E2145*ROUND((9*$Y2145-9*$E2145)/(10*$E2145),4),0))))</f>
        <v/>
      </c>
      <c r="AB2145" s="13" t="n"/>
      <c r="AC2145" s="15">
        <f>IF($B2145="","",IF($AB2145&lt;&gt;"",$AB2145,IF($AA2145="","",IF($AA2145&lt;=設定!$C$3,0,$AA2145))))</f>
        <v/>
      </c>
      <c r="AD2145" s="14">
        <f>IF($B2145="","",IF(AND($AE2145&lt;&gt;"",$AG2145="",$AJ2145=""),"保留中",IF($AJ2145&lt;&gt;"",IF(N($AC2145)&gt;0,"支給済","不支給"),IF($AC2145="","要確認",IF($AC2145=0,"不支給","未処理")))))</f>
        <v/>
      </c>
      <c r="AE2145" s="12" t="n"/>
      <c r="AF2145" s="11" t="n"/>
      <c r="AG2145" s="11" t="n"/>
      <c r="AH2145" s="11" t="n"/>
      <c r="AI2145" s="14">
        <f>IF(AND($AD2145="保留中",$AF2145&lt;&gt;""),TODAY()-$AF2145,"")</f>
        <v/>
      </c>
      <c r="AJ2145" s="12" t="n"/>
      <c r="AK2145" s="14">
        <f>IF($B2145="","",IF($AO2145="","対象年月が未入力／","")&amp;IF($B2145="","",IF($AN2145="","職員マスタに未登録の職員番号／",IF($Y2145="","標準報酬月額が未登録／","")&amp;IF(AND($AO2145&lt;&gt;"",OR(AND(INDEX(職員マスタ!$G$6:$G$405,$AN2145)&lt;&gt;"",INDEX(職員マスタ!$G$6:$G$405,$AN2145)&gt;EOMONTH($AO2145,0)),AND(INDEX(職員マスタ!$H$6:$H$405,$AN2145)&lt;&gt;"",INDEX(職員マスタ!$H$6:$H$405,$AN2145)&lt;$AO2145))),"対象月が時短期間外／","")&amp;IF(AND(INDEX(職員マスタ!$F$6:$F$405,$AN2145)&lt;&gt;"",$AO2145&lt;&gt;"",INDEX(職員マスタ!$F$6:$F$405,$AN2145)&lt;$AO2145),"対象月に子が2歳到達済／","")&amp;IF(AND($H2145&lt;&gt;"",INDEX(職員マスタ!$B$6:$B$405,$AN2145)&lt;&gt;"",SUBSTITUTE(SUBSTITUTE($H2145," ","")," ","")&lt;&gt;SUBSTITUTE(SUBSTITUTE(INDEX(職員マスタ!$B$6:$B$405,$AN2145)," ","")," ","")),"氏名がマスタと相違／","")&amp;IF(AND($Q2145&lt;&gt;"",INDEX(職員マスタ!$E$6:$E$405,$AN2145)&lt;&gt;"",$Q2145&lt;&gt;INDEX(職員マスタ!$E$6:$E$405,$AN2145)),"子の生年月日がマスタと相違／","")&amp;IF(AND($L2145&lt;&gt;"",INDEX(職員マスタ!$G$6:$G$405,$AN2145)&lt;&gt;"",$L2145&lt;&gt;INDEX(職員マスタ!$G$6:$G$405,$AN2145)),"時短開始日がマスタと相違／","")&amp;IF(AND($M2145&lt;&gt;"",INDEX(職員マスタ!$H$6:$H$405,$AN2145)&lt;&gt;"",$M2145&lt;&gt;INDEX(職員マスタ!$H$6:$H$405,$AN2145)),"時短終了日がマスタと相違／","")))&amp;IF(AND($B2145&lt;&gt;"",$E2145=""),"報酬額が未入力／","")&amp;IF(N($U2145)&gt;0,"申請書に入力エラーが残っています／","")&amp;IF(AND($B2145&lt;&gt;"",$AO2145&lt;&gt;""),IF(COUNTIFS($B$6:$B$3005,$B2145,$C$6:$C$3005,$C2145,$D$6:$D$3005,$D2145)&gt;1,"同じ月の請求が重複しています／",""),"")&amp;IF(AND(N($E2145)&gt;0,$Z2145&lt;&gt;"",$Z2145&lt;&gt;"×",$AC2145=0,$AB2145=""),"計算額が下限以下のため不支給／",""))</f>
        <v/>
      </c>
      <c r="AL2145" s="12" t="n"/>
      <c r="AM2145" s="14">
        <f>IF($AD2145="保留中",COUNTIF($AD$6:$AD2145,"保留中"),"")</f>
        <v/>
      </c>
      <c r="AN2145" s="14">
        <f>IF($AO2145="","",IF(SUMPRODUCT(MAX((職員マスタ!$A$6:$A$405=$B2145)*(((職員マスタ!$G$6:$G$405="")+(職員マスタ!$G$6:$G$405&lt;=EOMONTH($AO2145,0)))&gt;0)*(((職員マスタ!$H$6:$H$405="")+(職員マスタ!$H$6:$H$405&gt;=$AO2145))&gt;0)*(ROW(職員マスタ!$A$6:$A$405)-5)))&gt;0,SUMPRODUCT(MAX((職員マスタ!$A$6:$A$405=$B2145)*(((職員マスタ!$G$6:$G$405="")+(職員マスタ!$G$6:$G$405&lt;=EOMONTH($AO2145,0)))&gt;0)*(((職員マスタ!$H$6:$H$405="")+(職員マスタ!$H$6:$H$405&gt;=$AO2145))&gt;0)*(ROW(職員マスタ!$A$6:$A$405)-5))),IFERROR(MATCH($B2145,職員マスタ!$A$6:$A$405,0),"")))</f>
        <v/>
      </c>
      <c r="AO2145" s="16">
        <f>IF(OR($B2145="",$C2145="",$D2145=""),"",DATE($C2145+2018,$D2145,1))</f>
        <v/>
      </c>
    </row>
    <row r="2146">
      <c r="A2146" s="11" t="n"/>
      <c r="B2146" s="12" t="n"/>
      <c r="C2146" s="12" t="n"/>
      <c r="D2146" s="12" t="n"/>
      <c r="E2146" s="13" t="n"/>
      <c r="F2146" s="12" t="n"/>
      <c r="G2146" s="13" t="n"/>
      <c r="H2146" s="12" t="n"/>
      <c r="I2146" s="12" t="n"/>
      <c r="J2146" s="12" t="n"/>
      <c r="K2146" s="12" t="n"/>
      <c r="L2146" s="11" t="n"/>
      <c r="M2146" s="11" t="n"/>
      <c r="N2146" s="11" t="n"/>
      <c r="O2146" s="11" t="n"/>
      <c r="P2146" s="12" t="n"/>
      <c r="Q2146" s="11" t="n"/>
      <c r="R2146" s="12" t="n"/>
      <c r="S2146" s="11" t="n"/>
      <c r="T2146" s="12" t="n"/>
      <c r="U2146" s="12" t="n"/>
      <c r="V2146" s="14">
        <f>IF($AN2146="",IF($B2146="","",$H2146),IF(INDEX(職員マスタ!$B$6:$B$405,$AN2146)="",$H2146,INDEX(職員マスタ!$B$6:$B$405,$AN2146)))</f>
        <v/>
      </c>
      <c r="W2146" s="14">
        <f>IF($AN2146="",IF($B2146="","",$R2146),IF(INDEX(職員マスタ!$C$6:$C$405,$AN2146)="",$R2146,INDEX(職員マスタ!$C$6:$C$405,$AN2146)))</f>
        <v/>
      </c>
      <c r="X2146" s="14">
        <f>IF($AO2146="","","R"&amp;$C2146&amp;"."&amp;$D2146)</f>
        <v/>
      </c>
      <c r="Y2146" s="15">
        <f>IF($AN2146="","",IF(INDEX(職員マスタ!$K$6:$K$405,$AN2146)="","",INDEX(職員マスタ!$K$6:$K$405,$AN2146)))</f>
        <v/>
      </c>
      <c r="Z2146" s="14">
        <f>IF(OR($E2146="",$Y2146=""),"",IF($E2146&gt;=$Y2146,"×",IF($E2146&gt;=$Y2146*設定!$C$5,"△","○")))</f>
        <v/>
      </c>
      <c r="AA2146" s="15">
        <f>IF($Z2146="","",IF($Z2146="×",0,IF($Z2146="○",ROUNDDOWN($E2146*設定!$C$4,0),ROUNDDOWN($E2146*ROUND((9*$Y2146-9*$E2146)/(10*$E2146),4),0))))</f>
        <v/>
      </c>
      <c r="AB2146" s="13" t="n"/>
      <c r="AC2146" s="15">
        <f>IF($B2146="","",IF($AB2146&lt;&gt;"",$AB2146,IF($AA2146="","",IF($AA2146&lt;=設定!$C$3,0,$AA2146))))</f>
        <v/>
      </c>
      <c r="AD2146" s="14">
        <f>IF($B2146="","",IF(AND($AE2146&lt;&gt;"",$AG2146="",$AJ2146=""),"保留中",IF($AJ2146&lt;&gt;"",IF(N($AC2146)&gt;0,"支給済","不支給"),IF($AC2146="","要確認",IF($AC2146=0,"不支給","未処理")))))</f>
        <v/>
      </c>
      <c r="AE2146" s="12" t="n"/>
      <c r="AF2146" s="11" t="n"/>
      <c r="AG2146" s="11" t="n"/>
      <c r="AH2146" s="11" t="n"/>
      <c r="AI2146" s="14">
        <f>IF(AND($AD2146="保留中",$AF2146&lt;&gt;""),TODAY()-$AF2146,"")</f>
        <v/>
      </c>
      <c r="AJ2146" s="12" t="n"/>
      <c r="AK2146" s="14">
        <f>IF($B2146="","",IF($AO2146="","対象年月が未入力／","")&amp;IF($B2146="","",IF($AN2146="","職員マスタに未登録の職員番号／",IF($Y2146="","標準報酬月額が未登録／","")&amp;IF(AND($AO2146&lt;&gt;"",OR(AND(INDEX(職員マスタ!$G$6:$G$405,$AN2146)&lt;&gt;"",INDEX(職員マスタ!$G$6:$G$405,$AN2146)&gt;EOMONTH($AO2146,0)),AND(INDEX(職員マスタ!$H$6:$H$405,$AN2146)&lt;&gt;"",INDEX(職員マスタ!$H$6:$H$405,$AN2146)&lt;$AO2146))),"対象月が時短期間外／","")&amp;IF(AND(INDEX(職員マスタ!$F$6:$F$405,$AN2146)&lt;&gt;"",$AO2146&lt;&gt;"",INDEX(職員マスタ!$F$6:$F$405,$AN2146)&lt;$AO2146),"対象月に子が2歳到達済／","")&amp;IF(AND($H2146&lt;&gt;"",INDEX(職員マスタ!$B$6:$B$405,$AN2146)&lt;&gt;"",SUBSTITUTE(SUBSTITUTE($H2146," ","")," ","")&lt;&gt;SUBSTITUTE(SUBSTITUTE(INDEX(職員マスタ!$B$6:$B$405,$AN2146)," ","")," ","")),"氏名がマスタと相違／","")&amp;IF(AND($Q2146&lt;&gt;"",INDEX(職員マスタ!$E$6:$E$405,$AN2146)&lt;&gt;"",$Q2146&lt;&gt;INDEX(職員マスタ!$E$6:$E$405,$AN2146)),"子の生年月日がマスタと相違／","")&amp;IF(AND($L2146&lt;&gt;"",INDEX(職員マスタ!$G$6:$G$405,$AN2146)&lt;&gt;"",$L2146&lt;&gt;INDEX(職員マスタ!$G$6:$G$405,$AN2146)),"時短開始日がマスタと相違／","")&amp;IF(AND($M2146&lt;&gt;"",INDEX(職員マスタ!$H$6:$H$405,$AN2146)&lt;&gt;"",$M2146&lt;&gt;INDEX(職員マスタ!$H$6:$H$405,$AN2146)),"時短終了日がマスタと相違／","")))&amp;IF(AND($B2146&lt;&gt;"",$E2146=""),"報酬額が未入力／","")&amp;IF(N($U2146)&gt;0,"申請書に入力エラーが残っています／","")&amp;IF(AND($B2146&lt;&gt;"",$AO2146&lt;&gt;""),IF(COUNTIFS($B$6:$B$3005,$B2146,$C$6:$C$3005,$C2146,$D$6:$D$3005,$D2146)&gt;1,"同じ月の請求が重複しています／",""),"")&amp;IF(AND(N($E2146)&gt;0,$Z2146&lt;&gt;"",$Z2146&lt;&gt;"×",$AC2146=0,$AB2146=""),"計算額が下限以下のため不支給／",""))</f>
        <v/>
      </c>
      <c r="AL2146" s="12" t="n"/>
      <c r="AM2146" s="14">
        <f>IF($AD2146="保留中",COUNTIF($AD$6:$AD2146,"保留中"),"")</f>
        <v/>
      </c>
      <c r="AN2146" s="14">
        <f>IF($AO2146="","",IF(SUMPRODUCT(MAX((職員マスタ!$A$6:$A$405=$B2146)*(((職員マスタ!$G$6:$G$405="")+(職員マスタ!$G$6:$G$405&lt;=EOMONTH($AO2146,0)))&gt;0)*(((職員マスタ!$H$6:$H$405="")+(職員マスタ!$H$6:$H$405&gt;=$AO2146))&gt;0)*(ROW(職員マスタ!$A$6:$A$405)-5)))&gt;0,SUMPRODUCT(MAX((職員マスタ!$A$6:$A$405=$B2146)*(((職員マスタ!$G$6:$G$405="")+(職員マスタ!$G$6:$G$405&lt;=EOMONTH($AO2146,0)))&gt;0)*(((職員マスタ!$H$6:$H$405="")+(職員マスタ!$H$6:$H$405&gt;=$AO2146))&gt;0)*(ROW(職員マスタ!$A$6:$A$405)-5))),IFERROR(MATCH($B2146,職員マスタ!$A$6:$A$405,0),"")))</f>
        <v/>
      </c>
      <c r="AO2146" s="16">
        <f>IF(OR($B2146="",$C2146="",$D2146=""),"",DATE($C2146+2018,$D2146,1))</f>
        <v/>
      </c>
    </row>
    <row r="2147">
      <c r="A2147" s="11" t="n"/>
      <c r="B2147" s="12" t="n"/>
      <c r="C2147" s="12" t="n"/>
      <c r="D2147" s="12" t="n"/>
      <c r="E2147" s="13" t="n"/>
      <c r="F2147" s="12" t="n"/>
      <c r="G2147" s="13" t="n"/>
      <c r="H2147" s="12" t="n"/>
      <c r="I2147" s="12" t="n"/>
      <c r="J2147" s="12" t="n"/>
      <c r="K2147" s="12" t="n"/>
      <c r="L2147" s="11" t="n"/>
      <c r="M2147" s="11" t="n"/>
      <c r="N2147" s="11" t="n"/>
      <c r="O2147" s="11" t="n"/>
      <c r="P2147" s="12" t="n"/>
      <c r="Q2147" s="11" t="n"/>
      <c r="R2147" s="12" t="n"/>
      <c r="S2147" s="11" t="n"/>
      <c r="T2147" s="12" t="n"/>
      <c r="U2147" s="12" t="n"/>
      <c r="V2147" s="14">
        <f>IF($AN2147="",IF($B2147="","",$H2147),IF(INDEX(職員マスタ!$B$6:$B$405,$AN2147)="",$H2147,INDEX(職員マスタ!$B$6:$B$405,$AN2147)))</f>
        <v/>
      </c>
      <c r="W2147" s="14">
        <f>IF($AN2147="",IF($B2147="","",$R2147),IF(INDEX(職員マスタ!$C$6:$C$405,$AN2147)="",$R2147,INDEX(職員マスタ!$C$6:$C$405,$AN2147)))</f>
        <v/>
      </c>
      <c r="X2147" s="14">
        <f>IF($AO2147="","","R"&amp;$C2147&amp;"."&amp;$D2147)</f>
        <v/>
      </c>
      <c r="Y2147" s="15">
        <f>IF($AN2147="","",IF(INDEX(職員マスタ!$K$6:$K$405,$AN2147)="","",INDEX(職員マスタ!$K$6:$K$405,$AN2147)))</f>
        <v/>
      </c>
      <c r="Z2147" s="14">
        <f>IF(OR($E2147="",$Y2147=""),"",IF($E2147&gt;=$Y2147,"×",IF($E2147&gt;=$Y2147*設定!$C$5,"△","○")))</f>
        <v/>
      </c>
      <c r="AA2147" s="15">
        <f>IF($Z2147="","",IF($Z2147="×",0,IF($Z2147="○",ROUNDDOWN($E2147*設定!$C$4,0),ROUNDDOWN($E2147*ROUND((9*$Y2147-9*$E2147)/(10*$E2147),4),0))))</f>
        <v/>
      </c>
      <c r="AB2147" s="13" t="n"/>
      <c r="AC2147" s="15">
        <f>IF($B2147="","",IF($AB2147&lt;&gt;"",$AB2147,IF($AA2147="","",IF($AA2147&lt;=設定!$C$3,0,$AA2147))))</f>
        <v/>
      </c>
      <c r="AD2147" s="14">
        <f>IF($B2147="","",IF(AND($AE2147&lt;&gt;"",$AG2147="",$AJ2147=""),"保留中",IF($AJ2147&lt;&gt;"",IF(N($AC2147)&gt;0,"支給済","不支給"),IF($AC2147="","要確認",IF($AC2147=0,"不支給","未処理")))))</f>
        <v/>
      </c>
      <c r="AE2147" s="12" t="n"/>
      <c r="AF2147" s="11" t="n"/>
      <c r="AG2147" s="11" t="n"/>
      <c r="AH2147" s="11" t="n"/>
      <c r="AI2147" s="14">
        <f>IF(AND($AD2147="保留中",$AF2147&lt;&gt;""),TODAY()-$AF2147,"")</f>
        <v/>
      </c>
      <c r="AJ2147" s="12" t="n"/>
      <c r="AK2147" s="14">
        <f>IF($B2147="","",IF($AO2147="","対象年月が未入力／","")&amp;IF($B2147="","",IF($AN2147="","職員マスタに未登録の職員番号／",IF($Y2147="","標準報酬月額が未登録／","")&amp;IF(AND($AO2147&lt;&gt;"",OR(AND(INDEX(職員マスタ!$G$6:$G$405,$AN2147)&lt;&gt;"",INDEX(職員マスタ!$G$6:$G$405,$AN2147)&gt;EOMONTH($AO2147,0)),AND(INDEX(職員マスタ!$H$6:$H$405,$AN2147)&lt;&gt;"",INDEX(職員マスタ!$H$6:$H$405,$AN2147)&lt;$AO2147))),"対象月が時短期間外／","")&amp;IF(AND(INDEX(職員マスタ!$F$6:$F$405,$AN2147)&lt;&gt;"",$AO2147&lt;&gt;"",INDEX(職員マスタ!$F$6:$F$405,$AN2147)&lt;$AO2147),"対象月に子が2歳到達済／","")&amp;IF(AND($H2147&lt;&gt;"",INDEX(職員マスタ!$B$6:$B$405,$AN2147)&lt;&gt;"",SUBSTITUTE(SUBSTITUTE($H2147," ","")," ","")&lt;&gt;SUBSTITUTE(SUBSTITUTE(INDEX(職員マスタ!$B$6:$B$405,$AN2147)," ","")," ","")),"氏名がマスタと相違／","")&amp;IF(AND($Q2147&lt;&gt;"",INDEX(職員マスタ!$E$6:$E$405,$AN2147)&lt;&gt;"",$Q2147&lt;&gt;INDEX(職員マスタ!$E$6:$E$405,$AN2147)),"子の生年月日がマスタと相違／","")&amp;IF(AND($L2147&lt;&gt;"",INDEX(職員マスタ!$G$6:$G$405,$AN2147)&lt;&gt;"",$L2147&lt;&gt;INDEX(職員マスタ!$G$6:$G$405,$AN2147)),"時短開始日がマスタと相違／","")&amp;IF(AND($M2147&lt;&gt;"",INDEX(職員マスタ!$H$6:$H$405,$AN2147)&lt;&gt;"",$M2147&lt;&gt;INDEX(職員マスタ!$H$6:$H$405,$AN2147)),"時短終了日がマスタと相違／","")))&amp;IF(AND($B2147&lt;&gt;"",$E2147=""),"報酬額が未入力／","")&amp;IF(N($U2147)&gt;0,"申請書に入力エラーが残っています／","")&amp;IF(AND($B2147&lt;&gt;"",$AO2147&lt;&gt;""),IF(COUNTIFS($B$6:$B$3005,$B2147,$C$6:$C$3005,$C2147,$D$6:$D$3005,$D2147)&gt;1,"同じ月の請求が重複しています／",""),"")&amp;IF(AND(N($E2147)&gt;0,$Z2147&lt;&gt;"",$Z2147&lt;&gt;"×",$AC2147=0,$AB2147=""),"計算額が下限以下のため不支給／",""))</f>
        <v/>
      </c>
      <c r="AL2147" s="12" t="n"/>
      <c r="AM2147" s="14">
        <f>IF($AD2147="保留中",COUNTIF($AD$6:$AD2147,"保留中"),"")</f>
        <v/>
      </c>
      <c r="AN2147" s="14">
        <f>IF($AO2147="","",IF(SUMPRODUCT(MAX((職員マスタ!$A$6:$A$405=$B2147)*(((職員マスタ!$G$6:$G$405="")+(職員マスタ!$G$6:$G$405&lt;=EOMONTH($AO2147,0)))&gt;0)*(((職員マスタ!$H$6:$H$405="")+(職員マスタ!$H$6:$H$405&gt;=$AO2147))&gt;0)*(ROW(職員マスタ!$A$6:$A$405)-5)))&gt;0,SUMPRODUCT(MAX((職員マスタ!$A$6:$A$405=$B2147)*(((職員マスタ!$G$6:$G$405="")+(職員マスタ!$G$6:$G$405&lt;=EOMONTH($AO2147,0)))&gt;0)*(((職員マスタ!$H$6:$H$405="")+(職員マスタ!$H$6:$H$405&gt;=$AO2147))&gt;0)*(ROW(職員マスタ!$A$6:$A$405)-5))),IFERROR(MATCH($B2147,職員マスタ!$A$6:$A$405,0),"")))</f>
        <v/>
      </c>
      <c r="AO2147" s="16">
        <f>IF(OR($B2147="",$C2147="",$D2147=""),"",DATE($C2147+2018,$D2147,1))</f>
        <v/>
      </c>
    </row>
    <row r="2148">
      <c r="A2148" s="11" t="n"/>
      <c r="B2148" s="12" t="n"/>
      <c r="C2148" s="12" t="n"/>
      <c r="D2148" s="12" t="n"/>
      <c r="E2148" s="13" t="n"/>
      <c r="F2148" s="12" t="n"/>
      <c r="G2148" s="13" t="n"/>
      <c r="H2148" s="12" t="n"/>
      <c r="I2148" s="12" t="n"/>
      <c r="J2148" s="12" t="n"/>
      <c r="K2148" s="12" t="n"/>
      <c r="L2148" s="11" t="n"/>
      <c r="M2148" s="11" t="n"/>
      <c r="N2148" s="11" t="n"/>
      <c r="O2148" s="11" t="n"/>
      <c r="P2148" s="12" t="n"/>
      <c r="Q2148" s="11" t="n"/>
      <c r="R2148" s="12" t="n"/>
      <c r="S2148" s="11" t="n"/>
      <c r="T2148" s="12" t="n"/>
      <c r="U2148" s="12" t="n"/>
      <c r="V2148" s="14">
        <f>IF($AN2148="",IF($B2148="","",$H2148),IF(INDEX(職員マスタ!$B$6:$B$405,$AN2148)="",$H2148,INDEX(職員マスタ!$B$6:$B$405,$AN2148)))</f>
        <v/>
      </c>
      <c r="W2148" s="14">
        <f>IF($AN2148="",IF($B2148="","",$R2148),IF(INDEX(職員マスタ!$C$6:$C$405,$AN2148)="",$R2148,INDEX(職員マスタ!$C$6:$C$405,$AN2148)))</f>
        <v/>
      </c>
      <c r="X2148" s="14">
        <f>IF($AO2148="","","R"&amp;$C2148&amp;"."&amp;$D2148)</f>
        <v/>
      </c>
      <c r="Y2148" s="15">
        <f>IF($AN2148="","",IF(INDEX(職員マスタ!$K$6:$K$405,$AN2148)="","",INDEX(職員マスタ!$K$6:$K$405,$AN2148)))</f>
        <v/>
      </c>
      <c r="Z2148" s="14">
        <f>IF(OR($E2148="",$Y2148=""),"",IF($E2148&gt;=$Y2148,"×",IF($E2148&gt;=$Y2148*設定!$C$5,"△","○")))</f>
        <v/>
      </c>
      <c r="AA2148" s="15">
        <f>IF($Z2148="","",IF($Z2148="×",0,IF($Z2148="○",ROUNDDOWN($E2148*設定!$C$4,0),ROUNDDOWN($E2148*ROUND((9*$Y2148-9*$E2148)/(10*$E2148),4),0))))</f>
        <v/>
      </c>
      <c r="AB2148" s="13" t="n"/>
      <c r="AC2148" s="15">
        <f>IF($B2148="","",IF($AB2148&lt;&gt;"",$AB2148,IF($AA2148="","",IF($AA2148&lt;=設定!$C$3,0,$AA2148))))</f>
        <v/>
      </c>
      <c r="AD2148" s="14">
        <f>IF($B2148="","",IF(AND($AE2148&lt;&gt;"",$AG2148="",$AJ2148=""),"保留中",IF($AJ2148&lt;&gt;"",IF(N($AC2148)&gt;0,"支給済","不支給"),IF($AC2148="","要確認",IF($AC2148=0,"不支給","未処理")))))</f>
        <v/>
      </c>
      <c r="AE2148" s="12" t="n"/>
      <c r="AF2148" s="11" t="n"/>
      <c r="AG2148" s="11" t="n"/>
      <c r="AH2148" s="11" t="n"/>
      <c r="AI2148" s="14">
        <f>IF(AND($AD2148="保留中",$AF2148&lt;&gt;""),TODAY()-$AF2148,"")</f>
        <v/>
      </c>
      <c r="AJ2148" s="12" t="n"/>
      <c r="AK2148" s="14">
        <f>IF($B2148="","",IF($AO2148="","対象年月が未入力／","")&amp;IF($B2148="","",IF($AN2148="","職員マスタに未登録の職員番号／",IF($Y2148="","標準報酬月額が未登録／","")&amp;IF(AND($AO2148&lt;&gt;"",OR(AND(INDEX(職員マスタ!$G$6:$G$405,$AN2148)&lt;&gt;"",INDEX(職員マスタ!$G$6:$G$405,$AN2148)&gt;EOMONTH($AO2148,0)),AND(INDEX(職員マスタ!$H$6:$H$405,$AN2148)&lt;&gt;"",INDEX(職員マスタ!$H$6:$H$405,$AN2148)&lt;$AO2148))),"対象月が時短期間外／","")&amp;IF(AND(INDEX(職員マスタ!$F$6:$F$405,$AN2148)&lt;&gt;"",$AO2148&lt;&gt;"",INDEX(職員マスタ!$F$6:$F$405,$AN2148)&lt;$AO2148),"対象月に子が2歳到達済／","")&amp;IF(AND($H2148&lt;&gt;"",INDEX(職員マスタ!$B$6:$B$405,$AN2148)&lt;&gt;"",SUBSTITUTE(SUBSTITUTE($H2148," ","")," ","")&lt;&gt;SUBSTITUTE(SUBSTITUTE(INDEX(職員マスタ!$B$6:$B$405,$AN2148)," ","")," ","")),"氏名がマスタと相違／","")&amp;IF(AND($Q2148&lt;&gt;"",INDEX(職員マスタ!$E$6:$E$405,$AN2148)&lt;&gt;"",$Q2148&lt;&gt;INDEX(職員マスタ!$E$6:$E$405,$AN2148)),"子の生年月日がマスタと相違／","")&amp;IF(AND($L2148&lt;&gt;"",INDEX(職員マスタ!$G$6:$G$405,$AN2148)&lt;&gt;"",$L2148&lt;&gt;INDEX(職員マスタ!$G$6:$G$405,$AN2148)),"時短開始日がマスタと相違／","")&amp;IF(AND($M2148&lt;&gt;"",INDEX(職員マスタ!$H$6:$H$405,$AN2148)&lt;&gt;"",$M2148&lt;&gt;INDEX(職員マスタ!$H$6:$H$405,$AN2148)),"時短終了日がマスタと相違／","")))&amp;IF(AND($B2148&lt;&gt;"",$E2148=""),"報酬額が未入力／","")&amp;IF(N($U2148)&gt;0,"申請書に入力エラーが残っています／","")&amp;IF(AND($B2148&lt;&gt;"",$AO2148&lt;&gt;""),IF(COUNTIFS($B$6:$B$3005,$B2148,$C$6:$C$3005,$C2148,$D$6:$D$3005,$D2148)&gt;1,"同じ月の請求が重複しています／",""),"")&amp;IF(AND(N($E2148)&gt;0,$Z2148&lt;&gt;"",$Z2148&lt;&gt;"×",$AC2148=0,$AB2148=""),"計算額が下限以下のため不支給／",""))</f>
        <v/>
      </c>
      <c r="AL2148" s="12" t="n"/>
      <c r="AM2148" s="14">
        <f>IF($AD2148="保留中",COUNTIF($AD$6:$AD2148,"保留中"),"")</f>
        <v/>
      </c>
      <c r="AN2148" s="14">
        <f>IF($AO2148="","",IF(SUMPRODUCT(MAX((職員マスタ!$A$6:$A$405=$B2148)*(((職員マスタ!$G$6:$G$405="")+(職員マスタ!$G$6:$G$405&lt;=EOMONTH($AO2148,0)))&gt;0)*(((職員マスタ!$H$6:$H$405="")+(職員マスタ!$H$6:$H$405&gt;=$AO2148))&gt;0)*(ROW(職員マスタ!$A$6:$A$405)-5)))&gt;0,SUMPRODUCT(MAX((職員マスタ!$A$6:$A$405=$B2148)*(((職員マスタ!$G$6:$G$405="")+(職員マスタ!$G$6:$G$405&lt;=EOMONTH($AO2148,0)))&gt;0)*(((職員マスタ!$H$6:$H$405="")+(職員マスタ!$H$6:$H$405&gt;=$AO2148))&gt;0)*(ROW(職員マスタ!$A$6:$A$405)-5))),IFERROR(MATCH($B2148,職員マスタ!$A$6:$A$405,0),"")))</f>
        <v/>
      </c>
      <c r="AO2148" s="16">
        <f>IF(OR($B2148="",$C2148="",$D2148=""),"",DATE($C2148+2018,$D2148,1))</f>
        <v/>
      </c>
    </row>
    <row r="2149">
      <c r="A2149" s="11" t="n"/>
      <c r="B2149" s="12" t="n"/>
      <c r="C2149" s="12" t="n"/>
      <c r="D2149" s="12" t="n"/>
      <c r="E2149" s="13" t="n"/>
      <c r="F2149" s="12" t="n"/>
      <c r="G2149" s="13" t="n"/>
      <c r="H2149" s="12" t="n"/>
      <c r="I2149" s="12" t="n"/>
      <c r="J2149" s="12" t="n"/>
      <c r="K2149" s="12" t="n"/>
      <c r="L2149" s="11" t="n"/>
      <c r="M2149" s="11" t="n"/>
      <c r="N2149" s="11" t="n"/>
      <c r="O2149" s="11" t="n"/>
      <c r="P2149" s="12" t="n"/>
      <c r="Q2149" s="11" t="n"/>
      <c r="R2149" s="12" t="n"/>
      <c r="S2149" s="11" t="n"/>
      <c r="T2149" s="12" t="n"/>
      <c r="U2149" s="12" t="n"/>
      <c r="V2149" s="14">
        <f>IF($AN2149="",IF($B2149="","",$H2149),IF(INDEX(職員マスタ!$B$6:$B$405,$AN2149)="",$H2149,INDEX(職員マスタ!$B$6:$B$405,$AN2149)))</f>
        <v/>
      </c>
      <c r="W2149" s="14">
        <f>IF($AN2149="",IF($B2149="","",$R2149),IF(INDEX(職員マスタ!$C$6:$C$405,$AN2149)="",$R2149,INDEX(職員マスタ!$C$6:$C$405,$AN2149)))</f>
        <v/>
      </c>
      <c r="X2149" s="14">
        <f>IF($AO2149="","","R"&amp;$C2149&amp;"."&amp;$D2149)</f>
        <v/>
      </c>
      <c r="Y2149" s="15">
        <f>IF($AN2149="","",IF(INDEX(職員マスタ!$K$6:$K$405,$AN2149)="","",INDEX(職員マスタ!$K$6:$K$405,$AN2149)))</f>
        <v/>
      </c>
      <c r="Z2149" s="14">
        <f>IF(OR($E2149="",$Y2149=""),"",IF($E2149&gt;=$Y2149,"×",IF($E2149&gt;=$Y2149*設定!$C$5,"△","○")))</f>
        <v/>
      </c>
      <c r="AA2149" s="15">
        <f>IF($Z2149="","",IF($Z2149="×",0,IF($Z2149="○",ROUNDDOWN($E2149*設定!$C$4,0),ROUNDDOWN($E2149*ROUND((9*$Y2149-9*$E2149)/(10*$E2149),4),0))))</f>
        <v/>
      </c>
      <c r="AB2149" s="13" t="n"/>
      <c r="AC2149" s="15">
        <f>IF($B2149="","",IF($AB2149&lt;&gt;"",$AB2149,IF($AA2149="","",IF($AA2149&lt;=設定!$C$3,0,$AA2149))))</f>
        <v/>
      </c>
      <c r="AD2149" s="14">
        <f>IF($B2149="","",IF(AND($AE2149&lt;&gt;"",$AG2149="",$AJ2149=""),"保留中",IF($AJ2149&lt;&gt;"",IF(N($AC2149)&gt;0,"支給済","不支給"),IF($AC2149="","要確認",IF($AC2149=0,"不支給","未処理")))))</f>
        <v/>
      </c>
      <c r="AE2149" s="12" t="n"/>
      <c r="AF2149" s="11" t="n"/>
      <c r="AG2149" s="11" t="n"/>
      <c r="AH2149" s="11" t="n"/>
      <c r="AI2149" s="14">
        <f>IF(AND($AD2149="保留中",$AF2149&lt;&gt;""),TODAY()-$AF2149,"")</f>
        <v/>
      </c>
      <c r="AJ2149" s="12" t="n"/>
      <c r="AK2149" s="14">
        <f>IF($B2149="","",IF($AO2149="","対象年月が未入力／","")&amp;IF($B2149="","",IF($AN2149="","職員マスタに未登録の職員番号／",IF($Y2149="","標準報酬月額が未登録／","")&amp;IF(AND($AO2149&lt;&gt;"",OR(AND(INDEX(職員マスタ!$G$6:$G$405,$AN2149)&lt;&gt;"",INDEX(職員マスタ!$G$6:$G$405,$AN2149)&gt;EOMONTH($AO2149,0)),AND(INDEX(職員マスタ!$H$6:$H$405,$AN2149)&lt;&gt;"",INDEX(職員マスタ!$H$6:$H$405,$AN2149)&lt;$AO2149))),"対象月が時短期間外／","")&amp;IF(AND(INDEX(職員マスタ!$F$6:$F$405,$AN2149)&lt;&gt;"",$AO2149&lt;&gt;"",INDEX(職員マスタ!$F$6:$F$405,$AN2149)&lt;$AO2149),"対象月に子が2歳到達済／","")&amp;IF(AND($H2149&lt;&gt;"",INDEX(職員マスタ!$B$6:$B$405,$AN2149)&lt;&gt;"",SUBSTITUTE(SUBSTITUTE($H2149," ","")," ","")&lt;&gt;SUBSTITUTE(SUBSTITUTE(INDEX(職員マスタ!$B$6:$B$405,$AN2149)," ","")," ","")),"氏名がマスタと相違／","")&amp;IF(AND($Q2149&lt;&gt;"",INDEX(職員マスタ!$E$6:$E$405,$AN2149)&lt;&gt;"",$Q2149&lt;&gt;INDEX(職員マスタ!$E$6:$E$405,$AN2149)),"子の生年月日がマスタと相違／","")&amp;IF(AND($L2149&lt;&gt;"",INDEX(職員マスタ!$G$6:$G$405,$AN2149)&lt;&gt;"",$L2149&lt;&gt;INDEX(職員マスタ!$G$6:$G$405,$AN2149)),"時短開始日がマスタと相違／","")&amp;IF(AND($M2149&lt;&gt;"",INDEX(職員マスタ!$H$6:$H$405,$AN2149)&lt;&gt;"",$M2149&lt;&gt;INDEX(職員マスタ!$H$6:$H$405,$AN2149)),"時短終了日がマスタと相違／","")))&amp;IF(AND($B2149&lt;&gt;"",$E2149=""),"報酬額が未入力／","")&amp;IF(N($U2149)&gt;0,"申請書に入力エラーが残っています／","")&amp;IF(AND($B2149&lt;&gt;"",$AO2149&lt;&gt;""),IF(COUNTIFS($B$6:$B$3005,$B2149,$C$6:$C$3005,$C2149,$D$6:$D$3005,$D2149)&gt;1,"同じ月の請求が重複しています／",""),"")&amp;IF(AND(N($E2149)&gt;0,$Z2149&lt;&gt;"",$Z2149&lt;&gt;"×",$AC2149=0,$AB2149=""),"計算額が下限以下のため不支給／",""))</f>
        <v/>
      </c>
      <c r="AL2149" s="12" t="n"/>
      <c r="AM2149" s="14">
        <f>IF($AD2149="保留中",COUNTIF($AD$6:$AD2149,"保留中"),"")</f>
        <v/>
      </c>
      <c r="AN2149" s="14">
        <f>IF($AO2149="","",IF(SUMPRODUCT(MAX((職員マスタ!$A$6:$A$405=$B2149)*(((職員マスタ!$G$6:$G$405="")+(職員マスタ!$G$6:$G$405&lt;=EOMONTH($AO2149,0)))&gt;0)*(((職員マスタ!$H$6:$H$405="")+(職員マスタ!$H$6:$H$405&gt;=$AO2149))&gt;0)*(ROW(職員マスタ!$A$6:$A$405)-5)))&gt;0,SUMPRODUCT(MAX((職員マスタ!$A$6:$A$405=$B2149)*(((職員マスタ!$G$6:$G$405="")+(職員マスタ!$G$6:$G$405&lt;=EOMONTH($AO2149,0)))&gt;0)*(((職員マスタ!$H$6:$H$405="")+(職員マスタ!$H$6:$H$405&gt;=$AO2149))&gt;0)*(ROW(職員マスタ!$A$6:$A$405)-5))),IFERROR(MATCH($B2149,職員マスタ!$A$6:$A$405,0),"")))</f>
        <v/>
      </c>
      <c r="AO2149" s="16">
        <f>IF(OR($B2149="",$C2149="",$D2149=""),"",DATE($C2149+2018,$D2149,1))</f>
        <v/>
      </c>
    </row>
    <row r="2150">
      <c r="A2150" s="11" t="n"/>
      <c r="B2150" s="12" t="n"/>
      <c r="C2150" s="12" t="n"/>
      <c r="D2150" s="12" t="n"/>
      <c r="E2150" s="13" t="n"/>
      <c r="F2150" s="12" t="n"/>
      <c r="G2150" s="13" t="n"/>
      <c r="H2150" s="12" t="n"/>
      <c r="I2150" s="12" t="n"/>
      <c r="J2150" s="12" t="n"/>
      <c r="K2150" s="12" t="n"/>
      <c r="L2150" s="11" t="n"/>
      <c r="M2150" s="11" t="n"/>
      <c r="N2150" s="11" t="n"/>
      <c r="O2150" s="11" t="n"/>
      <c r="P2150" s="12" t="n"/>
      <c r="Q2150" s="11" t="n"/>
      <c r="R2150" s="12" t="n"/>
      <c r="S2150" s="11" t="n"/>
      <c r="T2150" s="12" t="n"/>
      <c r="U2150" s="12" t="n"/>
      <c r="V2150" s="14">
        <f>IF($AN2150="",IF($B2150="","",$H2150),IF(INDEX(職員マスタ!$B$6:$B$405,$AN2150)="",$H2150,INDEX(職員マスタ!$B$6:$B$405,$AN2150)))</f>
        <v/>
      </c>
      <c r="W2150" s="14">
        <f>IF($AN2150="",IF($B2150="","",$R2150),IF(INDEX(職員マスタ!$C$6:$C$405,$AN2150)="",$R2150,INDEX(職員マスタ!$C$6:$C$405,$AN2150)))</f>
        <v/>
      </c>
      <c r="X2150" s="14">
        <f>IF($AO2150="","","R"&amp;$C2150&amp;"."&amp;$D2150)</f>
        <v/>
      </c>
      <c r="Y2150" s="15">
        <f>IF($AN2150="","",IF(INDEX(職員マスタ!$K$6:$K$405,$AN2150)="","",INDEX(職員マスタ!$K$6:$K$405,$AN2150)))</f>
        <v/>
      </c>
      <c r="Z2150" s="14">
        <f>IF(OR($E2150="",$Y2150=""),"",IF($E2150&gt;=$Y2150,"×",IF($E2150&gt;=$Y2150*設定!$C$5,"△","○")))</f>
        <v/>
      </c>
      <c r="AA2150" s="15">
        <f>IF($Z2150="","",IF($Z2150="×",0,IF($Z2150="○",ROUNDDOWN($E2150*設定!$C$4,0),ROUNDDOWN($E2150*ROUND((9*$Y2150-9*$E2150)/(10*$E2150),4),0))))</f>
        <v/>
      </c>
      <c r="AB2150" s="13" t="n"/>
      <c r="AC2150" s="15">
        <f>IF($B2150="","",IF($AB2150&lt;&gt;"",$AB2150,IF($AA2150="","",IF($AA2150&lt;=設定!$C$3,0,$AA2150))))</f>
        <v/>
      </c>
      <c r="AD2150" s="14">
        <f>IF($B2150="","",IF(AND($AE2150&lt;&gt;"",$AG2150="",$AJ2150=""),"保留中",IF($AJ2150&lt;&gt;"",IF(N($AC2150)&gt;0,"支給済","不支給"),IF($AC2150="","要確認",IF($AC2150=0,"不支給","未処理")))))</f>
        <v/>
      </c>
      <c r="AE2150" s="12" t="n"/>
      <c r="AF2150" s="11" t="n"/>
      <c r="AG2150" s="11" t="n"/>
      <c r="AH2150" s="11" t="n"/>
      <c r="AI2150" s="14">
        <f>IF(AND($AD2150="保留中",$AF2150&lt;&gt;""),TODAY()-$AF2150,"")</f>
        <v/>
      </c>
      <c r="AJ2150" s="12" t="n"/>
      <c r="AK2150" s="14">
        <f>IF($B2150="","",IF($AO2150="","対象年月が未入力／","")&amp;IF($B2150="","",IF($AN2150="","職員マスタに未登録の職員番号／",IF($Y2150="","標準報酬月額が未登録／","")&amp;IF(AND($AO2150&lt;&gt;"",OR(AND(INDEX(職員マスタ!$G$6:$G$405,$AN2150)&lt;&gt;"",INDEX(職員マスタ!$G$6:$G$405,$AN2150)&gt;EOMONTH($AO2150,0)),AND(INDEX(職員マスタ!$H$6:$H$405,$AN2150)&lt;&gt;"",INDEX(職員マスタ!$H$6:$H$405,$AN2150)&lt;$AO2150))),"対象月が時短期間外／","")&amp;IF(AND(INDEX(職員マスタ!$F$6:$F$405,$AN2150)&lt;&gt;"",$AO2150&lt;&gt;"",INDEX(職員マスタ!$F$6:$F$405,$AN2150)&lt;$AO2150),"対象月に子が2歳到達済／","")&amp;IF(AND($H2150&lt;&gt;"",INDEX(職員マスタ!$B$6:$B$405,$AN2150)&lt;&gt;"",SUBSTITUTE(SUBSTITUTE($H2150," ","")," ","")&lt;&gt;SUBSTITUTE(SUBSTITUTE(INDEX(職員マスタ!$B$6:$B$405,$AN2150)," ","")," ","")),"氏名がマスタと相違／","")&amp;IF(AND($Q2150&lt;&gt;"",INDEX(職員マスタ!$E$6:$E$405,$AN2150)&lt;&gt;"",$Q2150&lt;&gt;INDEX(職員マスタ!$E$6:$E$405,$AN2150)),"子の生年月日がマスタと相違／","")&amp;IF(AND($L2150&lt;&gt;"",INDEX(職員マスタ!$G$6:$G$405,$AN2150)&lt;&gt;"",$L2150&lt;&gt;INDEX(職員マスタ!$G$6:$G$405,$AN2150)),"時短開始日がマスタと相違／","")&amp;IF(AND($M2150&lt;&gt;"",INDEX(職員マスタ!$H$6:$H$405,$AN2150)&lt;&gt;"",$M2150&lt;&gt;INDEX(職員マスタ!$H$6:$H$405,$AN2150)),"時短終了日がマスタと相違／","")))&amp;IF(AND($B2150&lt;&gt;"",$E2150=""),"報酬額が未入力／","")&amp;IF(N($U2150)&gt;0,"申請書に入力エラーが残っています／","")&amp;IF(AND($B2150&lt;&gt;"",$AO2150&lt;&gt;""),IF(COUNTIFS($B$6:$B$3005,$B2150,$C$6:$C$3005,$C2150,$D$6:$D$3005,$D2150)&gt;1,"同じ月の請求が重複しています／",""),"")&amp;IF(AND(N($E2150)&gt;0,$Z2150&lt;&gt;"",$Z2150&lt;&gt;"×",$AC2150=0,$AB2150=""),"計算額が下限以下のため不支給／",""))</f>
        <v/>
      </c>
      <c r="AL2150" s="12" t="n"/>
      <c r="AM2150" s="14">
        <f>IF($AD2150="保留中",COUNTIF($AD$6:$AD2150,"保留中"),"")</f>
        <v/>
      </c>
      <c r="AN2150" s="14">
        <f>IF($AO2150="","",IF(SUMPRODUCT(MAX((職員マスタ!$A$6:$A$405=$B2150)*(((職員マスタ!$G$6:$G$405="")+(職員マスタ!$G$6:$G$405&lt;=EOMONTH($AO2150,0)))&gt;0)*(((職員マスタ!$H$6:$H$405="")+(職員マスタ!$H$6:$H$405&gt;=$AO2150))&gt;0)*(ROW(職員マスタ!$A$6:$A$405)-5)))&gt;0,SUMPRODUCT(MAX((職員マスタ!$A$6:$A$405=$B2150)*(((職員マスタ!$G$6:$G$405="")+(職員マスタ!$G$6:$G$405&lt;=EOMONTH($AO2150,0)))&gt;0)*(((職員マスタ!$H$6:$H$405="")+(職員マスタ!$H$6:$H$405&gt;=$AO2150))&gt;0)*(ROW(職員マスタ!$A$6:$A$405)-5))),IFERROR(MATCH($B2150,職員マスタ!$A$6:$A$405,0),"")))</f>
        <v/>
      </c>
      <c r="AO2150" s="16">
        <f>IF(OR($B2150="",$C2150="",$D2150=""),"",DATE($C2150+2018,$D2150,1))</f>
        <v/>
      </c>
    </row>
    <row r="2151">
      <c r="A2151" s="11" t="n"/>
      <c r="B2151" s="12" t="n"/>
      <c r="C2151" s="12" t="n"/>
      <c r="D2151" s="12" t="n"/>
      <c r="E2151" s="13" t="n"/>
      <c r="F2151" s="12" t="n"/>
      <c r="G2151" s="13" t="n"/>
      <c r="H2151" s="12" t="n"/>
      <c r="I2151" s="12" t="n"/>
      <c r="J2151" s="12" t="n"/>
      <c r="K2151" s="12" t="n"/>
      <c r="L2151" s="11" t="n"/>
      <c r="M2151" s="11" t="n"/>
      <c r="N2151" s="11" t="n"/>
      <c r="O2151" s="11" t="n"/>
      <c r="P2151" s="12" t="n"/>
      <c r="Q2151" s="11" t="n"/>
      <c r="R2151" s="12" t="n"/>
      <c r="S2151" s="11" t="n"/>
      <c r="T2151" s="12" t="n"/>
      <c r="U2151" s="12" t="n"/>
      <c r="V2151" s="14">
        <f>IF($AN2151="",IF($B2151="","",$H2151),IF(INDEX(職員マスタ!$B$6:$B$405,$AN2151)="",$H2151,INDEX(職員マスタ!$B$6:$B$405,$AN2151)))</f>
        <v/>
      </c>
      <c r="W2151" s="14">
        <f>IF($AN2151="",IF($B2151="","",$R2151),IF(INDEX(職員マスタ!$C$6:$C$405,$AN2151)="",$R2151,INDEX(職員マスタ!$C$6:$C$405,$AN2151)))</f>
        <v/>
      </c>
      <c r="X2151" s="14">
        <f>IF($AO2151="","","R"&amp;$C2151&amp;"."&amp;$D2151)</f>
        <v/>
      </c>
      <c r="Y2151" s="15">
        <f>IF($AN2151="","",IF(INDEX(職員マスタ!$K$6:$K$405,$AN2151)="","",INDEX(職員マスタ!$K$6:$K$405,$AN2151)))</f>
        <v/>
      </c>
      <c r="Z2151" s="14">
        <f>IF(OR($E2151="",$Y2151=""),"",IF($E2151&gt;=$Y2151,"×",IF($E2151&gt;=$Y2151*設定!$C$5,"△","○")))</f>
        <v/>
      </c>
      <c r="AA2151" s="15">
        <f>IF($Z2151="","",IF($Z2151="×",0,IF($Z2151="○",ROUNDDOWN($E2151*設定!$C$4,0),ROUNDDOWN($E2151*ROUND((9*$Y2151-9*$E2151)/(10*$E2151),4),0))))</f>
        <v/>
      </c>
      <c r="AB2151" s="13" t="n"/>
      <c r="AC2151" s="15">
        <f>IF($B2151="","",IF($AB2151&lt;&gt;"",$AB2151,IF($AA2151="","",IF($AA2151&lt;=設定!$C$3,0,$AA2151))))</f>
        <v/>
      </c>
      <c r="AD2151" s="14">
        <f>IF($B2151="","",IF(AND($AE2151&lt;&gt;"",$AG2151="",$AJ2151=""),"保留中",IF($AJ2151&lt;&gt;"",IF(N($AC2151)&gt;0,"支給済","不支給"),IF($AC2151="","要確認",IF($AC2151=0,"不支給","未処理")))))</f>
        <v/>
      </c>
      <c r="AE2151" s="12" t="n"/>
      <c r="AF2151" s="11" t="n"/>
      <c r="AG2151" s="11" t="n"/>
      <c r="AH2151" s="11" t="n"/>
      <c r="AI2151" s="14">
        <f>IF(AND($AD2151="保留中",$AF2151&lt;&gt;""),TODAY()-$AF2151,"")</f>
        <v/>
      </c>
      <c r="AJ2151" s="12" t="n"/>
      <c r="AK2151" s="14">
        <f>IF($B2151="","",IF($AO2151="","対象年月が未入力／","")&amp;IF($B2151="","",IF($AN2151="","職員マスタに未登録の職員番号／",IF($Y2151="","標準報酬月額が未登録／","")&amp;IF(AND($AO2151&lt;&gt;"",OR(AND(INDEX(職員マスタ!$G$6:$G$405,$AN2151)&lt;&gt;"",INDEX(職員マスタ!$G$6:$G$405,$AN2151)&gt;EOMONTH($AO2151,0)),AND(INDEX(職員マスタ!$H$6:$H$405,$AN2151)&lt;&gt;"",INDEX(職員マスタ!$H$6:$H$405,$AN2151)&lt;$AO2151))),"対象月が時短期間外／","")&amp;IF(AND(INDEX(職員マスタ!$F$6:$F$405,$AN2151)&lt;&gt;"",$AO2151&lt;&gt;"",INDEX(職員マスタ!$F$6:$F$405,$AN2151)&lt;$AO2151),"対象月に子が2歳到達済／","")&amp;IF(AND($H2151&lt;&gt;"",INDEX(職員マスタ!$B$6:$B$405,$AN2151)&lt;&gt;"",SUBSTITUTE(SUBSTITUTE($H2151," ","")," ","")&lt;&gt;SUBSTITUTE(SUBSTITUTE(INDEX(職員マスタ!$B$6:$B$405,$AN2151)," ","")," ","")),"氏名がマスタと相違／","")&amp;IF(AND($Q2151&lt;&gt;"",INDEX(職員マスタ!$E$6:$E$405,$AN2151)&lt;&gt;"",$Q2151&lt;&gt;INDEX(職員マスタ!$E$6:$E$405,$AN2151)),"子の生年月日がマスタと相違／","")&amp;IF(AND($L2151&lt;&gt;"",INDEX(職員マスタ!$G$6:$G$405,$AN2151)&lt;&gt;"",$L2151&lt;&gt;INDEX(職員マスタ!$G$6:$G$405,$AN2151)),"時短開始日がマスタと相違／","")&amp;IF(AND($M2151&lt;&gt;"",INDEX(職員マスタ!$H$6:$H$405,$AN2151)&lt;&gt;"",$M2151&lt;&gt;INDEX(職員マスタ!$H$6:$H$405,$AN2151)),"時短終了日がマスタと相違／","")))&amp;IF(AND($B2151&lt;&gt;"",$E2151=""),"報酬額が未入力／","")&amp;IF(N($U2151)&gt;0,"申請書に入力エラーが残っています／","")&amp;IF(AND($B2151&lt;&gt;"",$AO2151&lt;&gt;""),IF(COUNTIFS($B$6:$B$3005,$B2151,$C$6:$C$3005,$C2151,$D$6:$D$3005,$D2151)&gt;1,"同じ月の請求が重複しています／",""),"")&amp;IF(AND(N($E2151)&gt;0,$Z2151&lt;&gt;"",$Z2151&lt;&gt;"×",$AC2151=0,$AB2151=""),"計算額が下限以下のため不支給／",""))</f>
        <v/>
      </c>
      <c r="AL2151" s="12" t="n"/>
      <c r="AM2151" s="14">
        <f>IF($AD2151="保留中",COUNTIF($AD$6:$AD2151,"保留中"),"")</f>
        <v/>
      </c>
      <c r="AN2151" s="14">
        <f>IF($AO2151="","",IF(SUMPRODUCT(MAX((職員マスタ!$A$6:$A$405=$B2151)*(((職員マスタ!$G$6:$G$405="")+(職員マスタ!$G$6:$G$405&lt;=EOMONTH($AO2151,0)))&gt;0)*(((職員マスタ!$H$6:$H$405="")+(職員マスタ!$H$6:$H$405&gt;=$AO2151))&gt;0)*(ROW(職員マスタ!$A$6:$A$405)-5)))&gt;0,SUMPRODUCT(MAX((職員マスタ!$A$6:$A$405=$B2151)*(((職員マスタ!$G$6:$G$405="")+(職員マスタ!$G$6:$G$405&lt;=EOMONTH($AO2151,0)))&gt;0)*(((職員マスタ!$H$6:$H$405="")+(職員マスタ!$H$6:$H$405&gt;=$AO2151))&gt;0)*(ROW(職員マスタ!$A$6:$A$405)-5))),IFERROR(MATCH($B2151,職員マスタ!$A$6:$A$405,0),"")))</f>
        <v/>
      </c>
      <c r="AO2151" s="16">
        <f>IF(OR($B2151="",$C2151="",$D2151=""),"",DATE($C2151+2018,$D2151,1))</f>
        <v/>
      </c>
    </row>
    <row r="2152">
      <c r="A2152" s="11" t="n"/>
      <c r="B2152" s="12" t="n"/>
      <c r="C2152" s="12" t="n"/>
      <c r="D2152" s="12" t="n"/>
      <c r="E2152" s="13" t="n"/>
      <c r="F2152" s="12" t="n"/>
      <c r="G2152" s="13" t="n"/>
      <c r="H2152" s="12" t="n"/>
      <c r="I2152" s="12" t="n"/>
      <c r="J2152" s="12" t="n"/>
      <c r="K2152" s="12" t="n"/>
      <c r="L2152" s="11" t="n"/>
      <c r="M2152" s="11" t="n"/>
      <c r="N2152" s="11" t="n"/>
      <c r="O2152" s="11" t="n"/>
      <c r="P2152" s="12" t="n"/>
      <c r="Q2152" s="11" t="n"/>
      <c r="R2152" s="12" t="n"/>
      <c r="S2152" s="11" t="n"/>
      <c r="T2152" s="12" t="n"/>
      <c r="U2152" s="12" t="n"/>
      <c r="V2152" s="14">
        <f>IF($AN2152="",IF($B2152="","",$H2152),IF(INDEX(職員マスタ!$B$6:$B$405,$AN2152)="",$H2152,INDEX(職員マスタ!$B$6:$B$405,$AN2152)))</f>
        <v/>
      </c>
      <c r="W2152" s="14">
        <f>IF($AN2152="",IF($B2152="","",$R2152),IF(INDEX(職員マスタ!$C$6:$C$405,$AN2152)="",$R2152,INDEX(職員マスタ!$C$6:$C$405,$AN2152)))</f>
        <v/>
      </c>
      <c r="X2152" s="14">
        <f>IF($AO2152="","","R"&amp;$C2152&amp;"."&amp;$D2152)</f>
        <v/>
      </c>
      <c r="Y2152" s="15">
        <f>IF($AN2152="","",IF(INDEX(職員マスタ!$K$6:$K$405,$AN2152)="","",INDEX(職員マスタ!$K$6:$K$405,$AN2152)))</f>
        <v/>
      </c>
      <c r="Z2152" s="14">
        <f>IF(OR($E2152="",$Y2152=""),"",IF($E2152&gt;=$Y2152,"×",IF($E2152&gt;=$Y2152*設定!$C$5,"△","○")))</f>
        <v/>
      </c>
      <c r="AA2152" s="15">
        <f>IF($Z2152="","",IF($Z2152="×",0,IF($Z2152="○",ROUNDDOWN($E2152*設定!$C$4,0),ROUNDDOWN($E2152*ROUND((9*$Y2152-9*$E2152)/(10*$E2152),4),0))))</f>
        <v/>
      </c>
      <c r="AB2152" s="13" t="n"/>
      <c r="AC2152" s="15">
        <f>IF($B2152="","",IF($AB2152&lt;&gt;"",$AB2152,IF($AA2152="","",IF($AA2152&lt;=設定!$C$3,0,$AA2152))))</f>
        <v/>
      </c>
      <c r="AD2152" s="14">
        <f>IF($B2152="","",IF(AND($AE2152&lt;&gt;"",$AG2152="",$AJ2152=""),"保留中",IF($AJ2152&lt;&gt;"",IF(N($AC2152)&gt;0,"支給済","不支給"),IF($AC2152="","要確認",IF($AC2152=0,"不支給","未処理")))))</f>
        <v/>
      </c>
      <c r="AE2152" s="12" t="n"/>
      <c r="AF2152" s="11" t="n"/>
      <c r="AG2152" s="11" t="n"/>
      <c r="AH2152" s="11" t="n"/>
      <c r="AI2152" s="14">
        <f>IF(AND($AD2152="保留中",$AF2152&lt;&gt;""),TODAY()-$AF2152,"")</f>
        <v/>
      </c>
      <c r="AJ2152" s="12" t="n"/>
      <c r="AK2152" s="14">
        <f>IF($B2152="","",IF($AO2152="","対象年月が未入力／","")&amp;IF($B2152="","",IF($AN2152="","職員マスタに未登録の職員番号／",IF($Y2152="","標準報酬月額が未登録／","")&amp;IF(AND($AO2152&lt;&gt;"",OR(AND(INDEX(職員マスタ!$G$6:$G$405,$AN2152)&lt;&gt;"",INDEX(職員マスタ!$G$6:$G$405,$AN2152)&gt;EOMONTH($AO2152,0)),AND(INDEX(職員マスタ!$H$6:$H$405,$AN2152)&lt;&gt;"",INDEX(職員マスタ!$H$6:$H$405,$AN2152)&lt;$AO2152))),"対象月が時短期間外／","")&amp;IF(AND(INDEX(職員マスタ!$F$6:$F$405,$AN2152)&lt;&gt;"",$AO2152&lt;&gt;"",INDEX(職員マスタ!$F$6:$F$405,$AN2152)&lt;$AO2152),"対象月に子が2歳到達済／","")&amp;IF(AND($H2152&lt;&gt;"",INDEX(職員マスタ!$B$6:$B$405,$AN2152)&lt;&gt;"",SUBSTITUTE(SUBSTITUTE($H2152," ","")," ","")&lt;&gt;SUBSTITUTE(SUBSTITUTE(INDEX(職員マスタ!$B$6:$B$405,$AN2152)," ","")," ","")),"氏名がマスタと相違／","")&amp;IF(AND($Q2152&lt;&gt;"",INDEX(職員マスタ!$E$6:$E$405,$AN2152)&lt;&gt;"",$Q2152&lt;&gt;INDEX(職員マスタ!$E$6:$E$405,$AN2152)),"子の生年月日がマスタと相違／","")&amp;IF(AND($L2152&lt;&gt;"",INDEX(職員マスタ!$G$6:$G$405,$AN2152)&lt;&gt;"",$L2152&lt;&gt;INDEX(職員マスタ!$G$6:$G$405,$AN2152)),"時短開始日がマスタと相違／","")&amp;IF(AND($M2152&lt;&gt;"",INDEX(職員マスタ!$H$6:$H$405,$AN2152)&lt;&gt;"",$M2152&lt;&gt;INDEX(職員マスタ!$H$6:$H$405,$AN2152)),"時短終了日がマスタと相違／","")))&amp;IF(AND($B2152&lt;&gt;"",$E2152=""),"報酬額が未入力／","")&amp;IF(N($U2152)&gt;0,"申請書に入力エラーが残っています／","")&amp;IF(AND($B2152&lt;&gt;"",$AO2152&lt;&gt;""),IF(COUNTIFS($B$6:$B$3005,$B2152,$C$6:$C$3005,$C2152,$D$6:$D$3005,$D2152)&gt;1,"同じ月の請求が重複しています／",""),"")&amp;IF(AND(N($E2152)&gt;0,$Z2152&lt;&gt;"",$Z2152&lt;&gt;"×",$AC2152=0,$AB2152=""),"計算額が下限以下のため不支給／",""))</f>
        <v/>
      </c>
      <c r="AL2152" s="12" t="n"/>
      <c r="AM2152" s="14">
        <f>IF($AD2152="保留中",COUNTIF($AD$6:$AD2152,"保留中"),"")</f>
        <v/>
      </c>
      <c r="AN2152" s="14">
        <f>IF($AO2152="","",IF(SUMPRODUCT(MAX((職員マスタ!$A$6:$A$405=$B2152)*(((職員マスタ!$G$6:$G$405="")+(職員マスタ!$G$6:$G$405&lt;=EOMONTH($AO2152,0)))&gt;0)*(((職員マスタ!$H$6:$H$405="")+(職員マスタ!$H$6:$H$405&gt;=$AO2152))&gt;0)*(ROW(職員マスタ!$A$6:$A$405)-5)))&gt;0,SUMPRODUCT(MAX((職員マスタ!$A$6:$A$405=$B2152)*(((職員マスタ!$G$6:$G$405="")+(職員マスタ!$G$6:$G$405&lt;=EOMONTH($AO2152,0)))&gt;0)*(((職員マスタ!$H$6:$H$405="")+(職員マスタ!$H$6:$H$405&gt;=$AO2152))&gt;0)*(ROW(職員マスタ!$A$6:$A$405)-5))),IFERROR(MATCH($B2152,職員マスタ!$A$6:$A$405,0),"")))</f>
        <v/>
      </c>
      <c r="AO2152" s="16">
        <f>IF(OR($B2152="",$C2152="",$D2152=""),"",DATE($C2152+2018,$D2152,1))</f>
        <v/>
      </c>
    </row>
    <row r="2153">
      <c r="A2153" s="11" t="n"/>
      <c r="B2153" s="12" t="n"/>
      <c r="C2153" s="12" t="n"/>
      <c r="D2153" s="12" t="n"/>
      <c r="E2153" s="13" t="n"/>
      <c r="F2153" s="12" t="n"/>
      <c r="G2153" s="13" t="n"/>
      <c r="H2153" s="12" t="n"/>
      <c r="I2153" s="12" t="n"/>
      <c r="J2153" s="12" t="n"/>
      <c r="K2153" s="12" t="n"/>
      <c r="L2153" s="11" t="n"/>
      <c r="M2153" s="11" t="n"/>
      <c r="N2153" s="11" t="n"/>
      <c r="O2153" s="11" t="n"/>
      <c r="P2153" s="12" t="n"/>
      <c r="Q2153" s="11" t="n"/>
      <c r="R2153" s="12" t="n"/>
      <c r="S2153" s="11" t="n"/>
      <c r="T2153" s="12" t="n"/>
      <c r="U2153" s="12" t="n"/>
      <c r="V2153" s="14">
        <f>IF($AN2153="",IF($B2153="","",$H2153),IF(INDEX(職員マスタ!$B$6:$B$405,$AN2153)="",$H2153,INDEX(職員マスタ!$B$6:$B$405,$AN2153)))</f>
        <v/>
      </c>
      <c r="W2153" s="14">
        <f>IF($AN2153="",IF($B2153="","",$R2153),IF(INDEX(職員マスタ!$C$6:$C$405,$AN2153)="",$R2153,INDEX(職員マスタ!$C$6:$C$405,$AN2153)))</f>
        <v/>
      </c>
      <c r="X2153" s="14">
        <f>IF($AO2153="","","R"&amp;$C2153&amp;"."&amp;$D2153)</f>
        <v/>
      </c>
      <c r="Y2153" s="15">
        <f>IF($AN2153="","",IF(INDEX(職員マスタ!$K$6:$K$405,$AN2153)="","",INDEX(職員マスタ!$K$6:$K$405,$AN2153)))</f>
        <v/>
      </c>
      <c r="Z2153" s="14">
        <f>IF(OR($E2153="",$Y2153=""),"",IF($E2153&gt;=$Y2153,"×",IF($E2153&gt;=$Y2153*設定!$C$5,"△","○")))</f>
        <v/>
      </c>
      <c r="AA2153" s="15">
        <f>IF($Z2153="","",IF($Z2153="×",0,IF($Z2153="○",ROUNDDOWN($E2153*設定!$C$4,0),ROUNDDOWN($E2153*ROUND((9*$Y2153-9*$E2153)/(10*$E2153),4),0))))</f>
        <v/>
      </c>
      <c r="AB2153" s="13" t="n"/>
      <c r="AC2153" s="15">
        <f>IF($B2153="","",IF($AB2153&lt;&gt;"",$AB2153,IF($AA2153="","",IF($AA2153&lt;=設定!$C$3,0,$AA2153))))</f>
        <v/>
      </c>
      <c r="AD2153" s="14">
        <f>IF($B2153="","",IF(AND($AE2153&lt;&gt;"",$AG2153="",$AJ2153=""),"保留中",IF($AJ2153&lt;&gt;"",IF(N($AC2153)&gt;0,"支給済","不支給"),IF($AC2153="","要確認",IF($AC2153=0,"不支給","未処理")))))</f>
        <v/>
      </c>
      <c r="AE2153" s="12" t="n"/>
      <c r="AF2153" s="11" t="n"/>
      <c r="AG2153" s="11" t="n"/>
      <c r="AH2153" s="11" t="n"/>
      <c r="AI2153" s="14">
        <f>IF(AND($AD2153="保留中",$AF2153&lt;&gt;""),TODAY()-$AF2153,"")</f>
        <v/>
      </c>
      <c r="AJ2153" s="12" t="n"/>
      <c r="AK2153" s="14">
        <f>IF($B2153="","",IF($AO2153="","対象年月が未入力／","")&amp;IF($B2153="","",IF($AN2153="","職員マスタに未登録の職員番号／",IF($Y2153="","標準報酬月額が未登録／","")&amp;IF(AND($AO2153&lt;&gt;"",OR(AND(INDEX(職員マスタ!$G$6:$G$405,$AN2153)&lt;&gt;"",INDEX(職員マスタ!$G$6:$G$405,$AN2153)&gt;EOMONTH($AO2153,0)),AND(INDEX(職員マスタ!$H$6:$H$405,$AN2153)&lt;&gt;"",INDEX(職員マスタ!$H$6:$H$405,$AN2153)&lt;$AO2153))),"対象月が時短期間外／","")&amp;IF(AND(INDEX(職員マスタ!$F$6:$F$405,$AN2153)&lt;&gt;"",$AO2153&lt;&gt;"",INDEX(職員マスタ!$F$6:$F$405,$AN2153)&lt;$AO2153),"対象月に子が2歳到達済／","")&amp;IF(AND($H2153&lt;&gt;"",INDEX(職員マスタ!$B$6:$B$405,$AN2153)&lt;&gt;"",SUBSTITUTE(SUBSTITUTE($H2153," ","")," ","")&lt;&gt;SUBSTITUTE(SUBSTITUTE(INDEX(職員マスタ!$B$6:$B$405,$AN2153)," ","")," ","")),"氏名がマスタと相違／","")&amp;IF(AND($Q2153&lt;&gt;"",INDEX(職員マスタ!$E$6:$E$405,$AN2153)&lt;&gt;"",$Q2153&lt;&gt;INDEX(職員マスタ!$E$6:$E$405,$AN2153)),"子の生年月日がマスタと相違／","")&amp;IF(AND($L2153&lt;&gt;"",INDEX(職員マスタ!$G$6:$G$405,$AN2153)&lt;&gt;"",$L2153&lt;&gt;INDEX(職員マスタ!$G$6:$G$405,$AN2153)),"時短開始日がマスタと相違／","")&amp;IF(AND($M2153&lt;&gt;"",INDEX(職員マスタ!$H$6:$H$405,$AN2153)&lt;&gt;"",$M2153&lt;&gt;INDEX(職員マスタ!$H$6:$H$405,$AN2153)),"時短終了日がマスタと相違／","")))&amp;IF(AND($B2153&lt;&gt;"",$E2153=""),"報酬額が未入力／","")&amp;IF(N($U2153)&gt;0,"申請書に入力エラーが残っています／","")&amp;IF(AND($B2153&lt;&gt;"",$AO2153&lt;&gt;""),IF(COUNTIFS($B$6:$B$3005,$B2153,$C$6:$C$3005,$C2153,$D$6:$D$3005,$D2153)&gt;1,"同じ月の請求が重複しています／",""),"")&amp;IF(AND(N($E2153)&gt;0,$Z2153&lt;&gt;"",$Z2153&lt;&gt;"×",$AC2153=0,$AB2153=""),"計算額が下限以下のため不支給／",""))</f>
        <v/>
      </c>
      <c r="AL2153" s="12" t="n"/>
      <c r="AM2153" s="14">
        <f>IF($AD2153="保留中",COUNTIF($AD$6:$AD2153,"保留中"),"")</f>
        <v/>
      </c>
      <c r="AN2153" s="14">
        <f>IF($AO2153="","",IF(SUMPRODUCT(MAX((職員マスタ!$A$6:$A$405=$B2153)*(((職員マスタ!$G$6:$G$405="")+(職員マスタ!$G$6:$G$405&lt;=EOMONTH($AO2153,0)))&gt;0)*(((職員マスタ!$H$6:$H$405="")+(職員マスタ!$H$6:$H$405&gt;=$AO2153))&gt;0)*(ROW(職員マスタ!$A$6:$A$405)-5)))&gt;0,SUMPRODUCT(MAX((職員マスタ!$A$6:$A$405=$B2153)*(((職員マスタ!$G$6:$G$405="")+(職員マスタ!$G$6:$G$405&lt;=EOMONTH($AO2153,0)))&gt;0)*(((職員マスタ!$H$6:$H$405="")+(職員マスタ!$H$6:$H$405&gt;=$AO2153))&gt;0)*(ROW(職員マスタ!$A$6:$A$405)-5))),IFERROR(MATCH($B2153,職員マスタ!$A$6:$A$405,0),"")))</f>
        <v/>
      </c>
      <c r="AO2153" s="16">
        <f>IF(OR($B2153="",$C2153="",$D2153=""),"",DATE($C2153+2018,$D2153,1))</f>
        <v/>
      </c>
    </row>
    <row r="2154">
      <c r="A2154" s="11" t="n"/>
      <c r="B2154" s="12" t="n"/>
      <c r="C2154" s="12" t="n"/>
      <c r="D2154" s="12" t="n"/>
      <c r="E2154" s="13" t="n"/>
      <c r="F2154" s="12" t="n"/>
      <c r="G2154" s="13" t="n"/>
      <c r="H2154" s="12" t="n"/>
      <c r="I2154" s="12" t="n"/>
      <c r="J2154" s="12" t="n"/>
      <c r="K2154" s="12" t="n"/>
      <c r="L2154" s="11" t="n"/>
      <c r="M2154" s="11" t="n"/>
      <c r="N2154" s="11" t="n"/>
      <c r="O2154" s="11" t="n"/>
      <c r="P2154" s="12" t="n"/>
      <c r="Q2154" s="11" t="n"/>
      <c r="R2154" s="12" t="n"/>
      <c r="S2154" s="11" t="n"/>
      <c r="T2154" s="12" t="n"/>
      <c r="U2154" s="12" t="n"/>
      <c r="V2154" s="14">
        <f>IF($AN2154="",IF($B2154="","",$H2154),IF(INDEX(職員マスタ!$B$6:$B$405,$AN2154)="",$H2154,INDEX(職員マスタ!$B$6:$B$405,$AN2154)))</f>
        <v/>
      </c>
      <c r="W2154" s="14">
        <f>IF($AN2154="",IF($B2154="","",$R2154),IF(INDEX(職員マスタ!$C$6:$C$405,$AN2154)="",$R2154,INDEX(職員マスタ!$C$6:$C$405,$AN2154)))</f>
        <v/>
      </c>
      <c r="X2154" s="14">
        <f>IF($AO2154="","","R"&amp;$C2154&amp;"."&amp;$D2154)</f>
        <v/>
      </c>
      <c r="Y2154" s="15">
        <f>IF($AN2154="","",IF(INDEX(職員マスタ!$K$6:$K$405,$AN2154)="","",INDEX(職員マスタ!$K$6:$K$405,$AN2154)))</f>
        <v/>
      </c>
      <c r="Z2154" s="14">
        <f>IF(OR($E2154="",$Y2154=""),"",IF($E2154&gt;=$Y2154,"×",IF($E2154&gt;=$Y2154*設定!$C$5,"△","○")))</f>
        <v/>
      </c>
      <c r="AA2154" s="15">
        <f>IF($Z2154="","",IF($Z2154="×",0,IF($Z2154="○",ROUNDDOWN($E2154*設定!$C$4,0),ROUNDDOWN($E2154*ROUND((9*$Y2154-9*$E2154)/(10*$E2154),4),0))))</f>
        <v/>
      </c>
      <c r="AB2154" s="13" t="n"/>
      <c r="AC2154" s="15">
        <f>IF($B2154="","",IF($AB2154&lt;&gt;"",$AB2154,IF($AA2154="","",IF($AA2154&lt;=設定!$C$3,0,$AA2154))))</f>
        <v/>
      </c>
      <c r="AD2154" s="14">
        <f>IF($B2154="","",IF(AND($AE2154&lt;&gt;"",$AG2154="",$AJ2154=""),"保留中",IF($AJ2154&lt;&gt;"",IF(N($AC2154)&gt;0,"支給済","不支給"),IF($AC2154="","要確認",IF($AC2154=0,"不支給","未処理")))))</f>
        <v/>
      </c>
      <c r="AE2154" s="12" t="n"/>
      <c r="AF2154" s="11" t="n"/>
      <c r="AG2154" s="11" t="n"/>
      <c r="AH2154" s="11" t="n"/>
      <c r="AI2154" s="14">
        <f>IF(AND($AD2154="保留中",$AF2154&lt;&gt;""),TODAY()-$AF2154,"")</f>
        <v/>
      </c>
      <c r="AJ2154" s="12" t="n"/>
      <c r="AK2154" s="14">
        <f>IF($B2154="","",IF($AO2154="","対象年月が未入力／","")&amp;IF($B2154="","",IF($AN2154="","職員マスタに未登録の職員番号／",IF($Y2154="","標準報酬月額が未登録／","")&amp;IF(AND($AO2154&lt;&gt;"",OR(AND(INDEX(職員マスタ!$G$6:$G$405,$AN2154)&lt;&gt;"",INDEX(職員マスタ!$G$6:$G$405,$AN2154)&gt;EOMONTH($AO2154,0)),AND(INDEX(職員マスタ!$H$6:$H$405,$AN2154)&lt;&gt;"",INDEX(職員マスタ!$H$6:$H$405,$AN2154)&lt;$AO2154))),"対象月が時短期間外／","")&amp;IF(AND(INDEX(職員マスタ!$F$6:$F$405,$AN2154)&lt;&gt;"",$AO2154&lt;&gt;"",INDEX(職員マスタ!$F$6:$F$405,$AN2154)&lt;$AO2154),"対象月に子が2歳到達済／","")&amp;IF(AND($H2154&lt;&gt;"",INDEX(職員マスタ!$B$6:$B$405,$AN2154)&lt;&gt;"",SUBSTITUTE(SUBSTITUTE($H2154," ","")," ","")&lt;&gt;SUBSTITUTE(SUBSTITUTE(INDEX(職員マスタ!$B$6:$B$405,$AN2154)," ","")," ","")),"氏名がマスタと相違／","")&amp;IF(AND($Q2154&lt;&gt;"",INDEX(職員マスタ!$E$6:$E$405,$AN2154)&lt;&gt;"",$Q2154&lt;&gt;INDEX(職員マスタ!$E$6:$E$405,$AN2154)),"子の生年月日がマスタと相違／","")&amp;IF(AND($L2154&lt;&gt;"",INDEX(職員マスタ!$G$6:$G$405,$AN2154)&lt;&gt;"",$L2154&lt;&gt;INDEX(職員マスタ!$G$6:$G$405,$AN2154)),"時短開始日がマスタと相違／","")&amp;IF(AND($M2154&lt;&gt;"",INDEX(職員マスタ!$H$6:$H$405,$AN2154)&lt;&gt;"",$M2154&lt;&gt;INDEX(職員マスタ!$H$6:$H$405,$AN2154)),"時短終了日がマスタと相違／","")))&amp;IF(AND($B2154&lt;&gt;"",$E2154=""),"報酬額が未入力／","")&amp;IF(N($U2154)&gt;0,"申請書に入力エラーが残っています／","")&amp;IF(AND($B2154&lt;&gt;"",$AO2154&lt;&gt;""),IF(COUNTIFS($B$6:$B$3005,$B2154,$C$6:$C$3005,$C2154,$D$6:$D$3005,$D2154)&gt;1,"同じ月の請求が重複しています／",""),"")&amp;IF(AND(N($E2154)&gt;0,$Z2154&lt;&gt;"",$Z2154&lt;&gt;"×",$AC2154=0,$AB2154=""),"計算額が下限以下のため不支給／",""))</f>
        <v/>
      </c>
      <c r="AL2154" s="12" t="n"/>
      <c r="AM2154" s="14">
        <f>IF($AD2154="保留中",COUNTIF($AD$6:$AD2154,"保留中"),"")</f>
        <v/>
      </c>
      <c r="AN2154" s="14">
        <f>IF($AO2154="","",IF(SUMPRODUCT(MAX((職員マスタ!$A$6:$A$405=$B2154)*(((職員マスタ!$G$6:$G$405="")+(職員マスタ!$G$6:$G$405&lt;=EOMONTH($AO2154,0)))&gt;0)*(((職員マスタ!$H$6:$H$405="")+(職員マスタ!$H$6:$H$405&gt;=$AO2154))&gt;0)*(ROW(職員マスタ!$A$6:$A$405)-5)))&gt;0,SUMPRODUCT(MAX((職員マスタ!$A$6:$A$405=$B2154)*(((職員マスタ!$G$6:$G$405="")+(職員マスタ!$G$6:$G$405&lt;=EOMONTH($AO2154,0)))&gt;0)*(((職員マスタ!$H$6:$H$405="")+(職員マスタ!$H$6:$H$405&gt;=$AO2154))&gt;0)*(ROW(職員マスタ!$A$6:$A$405)-5))),IFERROR(MATCH($B2154,職員マスタ!$A$6:$A$405,0),"")))</f>
        <v/>
      </c>
      <c r="AO2154" s="16">
        <f>IF(OR($B2154="",$C2154="",$D2154=""),"",DATE($C2154+2018,$D2154,1))</f>
        <v/>
      </c>
    </row>
    <row r="2155">
      <c r="A2155" s="11" t="n"/>
      <c r="B2155" s="12" t="n"/>
      <c r="C2155" s="12" t="n"/>
      <c r="D2155" s="12" t="n"/>
      <c r="E2155" s="13" t="n"/>
      <c r="F2155" s="12" t="n"/>
      <c r="G2155" s="13" t="n"/>
      <c r="H2155" s="12" t="n"/>
      <c r="I2155" s="12" t="n"/>
      <c r="J2155" s="12" t="n"/>
      <c r="K2155" s="12" t="n"/>
      <c r="L2155" s="11" t="n"/>
      <c r="M2155" s="11" t="n"/>
      <c r="N2155" s="11" t="n"/>
      <c r="O2155" s="11" t="n"/>
      <c r="P2155" s="12" t="n"/>
      <c r="Q2155" s="11" t="n"/>
      <c r="R2155" s="12" t="n"/>
      <c r="S2155" s="11" t="n"/>
      <c r="T2155" s="12" t="n"/>
      <c r="U2155" s="12" t="n"/>
      <c r="V2155" s="14">
        <f>IF($AN2155="",IF($B2155="","",$H2155),IF(INDEX(職員マスタ!$B$6:$B$405,$AN2155)="",$H2155,INDEX(職員マスタ!$B$6:$B$405,$AN2155)))</f>
        <v/>
      </c>
      <c r="W2155" s="14">
        <f>IF($AN2155="",IF($B2155="","",$R2155),IF(INDEX(職員マスタ!$C$6:$C$405,$AN2155)="",$R2155,INDEX(職員マスタ!$C$6:$C$405,$AN2155)))</f>
        <v/>
      </c>
      <c r="X2155" s="14">
        <f>IF($AO2155="","","R"&amp;$C2155&amp;"."&amp;$D2155)</f>
        <v/>
      </c>
      <c r="Y2155" s="15">
        <f>IF($AN2155="","",IF(INDEX(職員マスタ!$K$6:$K$405,$AN2155)="","",INDEX(職員マスタ!$K$6:$K$405,$AN2155)))</f>
        <v/>
      </c>
      <c r="Z2155" s="14">
        <f>IF(OR($E2155="",$Y2155=""),"",IF($E2155&gt;=$Y2155,"×",IF($E2155&gt;=$Y2155*設定!$C$5,"△","○")))</f>
        <v/>
      </c>
      <c r="AA2155" s="15">
        <f>IF($Z2155="","",IF($Z2155="×",0,IF($Z2155="○",ROUNDDOWN($E2155*設定!$C$4,0),ROUNDDOWN($E2155*ROUND((9*$Y2155-9*$E2155)/(10*$E2155),4),0))))</f>
        <v/>
      </c>
      <c r="AB2155" s="13" t="n"/>
      <c r="AC2155" s="15">
        <f>IF($B2155="","",IF($AB2155&lt;&gt;"",$AB2155,IF($AA2155="","",IF($AA2155&lt;=設定!$C$3,0,$AA2155))))</f>
        <v/>
      </c>
      <c r="AD2155" s="14">
        <f>IF($B2155="","",IF(AND($AE2155&lt;&gt;"",$AG2155="",$AJ2155=""),"保留中",IF($AJ2155&lt;&gt;"",IF(N($AC2155)&gt;0,"支給済","不支給"),IF($AC2155="","要確認",IF($AC2155=0,"不支給","未処理")))))</f>
        <v/>
      </c>
      <c r="AE2155" s="12" t="n"/>
      <c r="AF2155" s="11" t="n"/>
      <c r="AG2155" s="11" t="n"/>
      <c r="AH2155" s="11" t="n"/>
      <c r="AI2155" s="14">
        <f>IF(AND($AD2155="保留中",$AF2155&lt;&gt;""),TODAY()-$AF2155,"")</f>
        <v/>
      </c>
      <c r="AJ2155" s="12" t="n"/>
      <c r="AK2155" s="14">
        <f>IF($B2155="","",IF($AO2155="","対象年月が未入力／","")&amp;IF($B2155="","",IF($AN2155="","職員マスタに未登録の職員番号／",IF($Y2155="","標準報酬月額が未登録／","")&amp;IF(AND($AO2155&lt;&gt;"",OR(AND(INDEX(職員マスタ!$G$6:$G$405,$AN2155)&lt;&gt;"",INDEX(職員マスタ!$G$6:$G$405,$AN2155)&gt;EOMONTH($AO2155,0)),AND(INDEX(職員マスタ!$H$6:$H$405,$AN2155)&lt;&gt;"",INDEX(職員マスタ!$H$6:$H$405,$AN2155)&lt;$AO2155))),"対象月が時短期間外／","")&amp;IF(AND(INDEX(職員マスタ!$F$6:$F$405,$AN2155)&lt;&gt;"",$AO2155&lt;&gt;"",INDEX(職員マスタ!$F$6:$F$405,$AN2155)&lt;$AO2155),"対象月に子が2歳到達済／","")&amp;IF(AND($H2155&lt;&gt;"",INDEX(職員マスタ!$B$6:$B$405,$AN2155)&lt;&gt;"",SUBSTITUTE(SUBSTITUTE($H2155," ","")," ","")&lt;&gt;SUBSTITUTE(SUBSTITUTE(INDEX(職員マスタ!$B$6:$B$405,$AN2155)," ","")," ","")),"氏名がマスタと相違／","")&amp;IF(AND($Q2155&lt;&gt;"",INDEX(職員マスタ!$E$6:$E$405,$AN2155)&lt;&gt;"",$Q2155&lt;&gt;INDEX(職員マスタ!$E$6:$E$405,$AN2155)),"子の生年月日がマスタと相違／","")&amp;IF(AND($L2155&lt;&gt;"",INDEX(職員マスタ!$G$6:$G$405,$AN2155)&lt;&gt;"",$L2155&lt;&gt;INDEX(職員マスタ!$G$6:$G$405,$AN2155)),"時短開始日がマスタと相違／","")&amp;IF(AND($M2155&lt;&gt;"",INDEX(職員マスタ!$H$6:$H$405,$AN2155)&lt;&gt;"",$M2155&lt;&gt;INDEX(職員マスタ!$H$6:$H$405,$AN2155)),"時短終了日がマスタと相違／","")))&amp;IF(AND($B2155&lt;&gt;"",$E2155=""),"報酬額が未入力／","")&amp;IF(N($U2155)&gt;0,"申請書に入力エラーが残っています／","")&amp;IF(AND($B2155&lt;&gt;"",$AO2155&lt;&gt;""),IF(COUNTIFS($B$6:$B$3005,$B2155,$C$6:$C$3005,$C2155,$D$6:$D$3005,$D2155)&gt;1,"同じ月の請求が重複しています／",""),"")&amp;IF(AND(N($E2155)&gt;0,$Z2155&lt;&gt;"",$Z2155&lt;&gt;"×",$AC2155=0,$AB2155=""),"計算額が下限以下のため不支給／",""))</f>
        <v/>
      </c>
      <c r="AL2155" s="12" t="n"/>
      <c r="AM2155" s="14">
        <f>IF($AD2155="保留中",COUNTIF($AD$6:$AD2155,"保留中"),"")</f>
        <v/>
      </c>
      <c r="AN2155" s="14">
        <f>IF($AO2155="","",IF(SUMPRODUCT(MAX((職員マスタ!$A$6:$A$405=$B2155)*(((職員マスタ!$G$6:$G$405="")+(職員マスタ!$G$6:$G$405&lt;=EOMONTH($AO2155,0)))&gt;0)*(((職員マスタ!$H$6:$H$405="")+(職員マスタ!$H$6:$H$405&gt;=$AO2155))&gt;0)*(ROW(職員マスタ!$A$6:$A$405)-5)))&gt;0,SUMPRODUCT(MAX((職員マスタ!$A$6:$A$405=$B2155)*(((職員マスタ!$G$6:$G$405="")+(職員マスタ!$G$6:$G$405&lt;=EOMONTH($AO2155,0)))&gt;0)*(((職員マスタ!$H$6:$H$405="")+(職員マスタ!$H$6:$H$405&gt;=$AO2155))&gt;0)*(ROW(職員マスタ!$A$6:$A$405)-5))),IFERROR(MATCH($B2155,職員マスタ!$A$6:$A$405,0),"")))</f>
        <v/>
      </c>
      <c r="AO2155" s="16">
        <f>IF(OR($B2155="",$C2155="",$D2155=""),"",DATE($C2155+2018,$D2155,1))</f>
        <v/>
      </c>
    </row>
    <row r="2156">
      <c r="A2156" s="11" t="n"/>
      <c r="B2156" s="12" t="n"/>
      <c r="C2156" s="12" t="n"/>
      <c r="D2156" s="12" t="n"/>
      <c r="E2156" s="13" t="n"/>
      <c r="F2156" s="12" t="n"/>
      <c r="G2156" s="13" t="n"/>
      <c r="H2156" s="12" t="n"/>
      <c r="I2156" s="12" t="n"/>
      <c r="J2156" s="12" t="n"/>
      <c r="K2156" s="12" t="n"/>
      <c r="L2156" s="11" t="n"/>
      <c r="M2156" s="11" t="n"/>
      <c r="N2156" s="11" t="n"/>
      <c r="O2156" s="11" t="n"/>
      <c r="P2156" s="12" t="n"/>
      <c r="Q2156" s="11" t="n"/>
      <c r="R2156" s="12" t="n"/>
      <c r="S2156" s="11" t="n"/>
      <c r="T2156" s="12" t="n"/>
      <c r="U2156" s="12" t="n"/>
      <c r="V2156" s="14">
        <f>IF($AN2156="",IF($B2156="","",$H2156),IF(INDEX(職員マスタ!$B$6:$B$405,$AN2156)="",$H2156,INDEX(職員マスタ!$B$6:$B$405,$AN2156)))</f>
        <v/>
      </c>
      <c r="W2156" s="14">
        <f>IF($AN2156="",IF($B2156="","",$R2156),IF(INDEX(職員マスタ!$C$6:$C$405,$AN2156)="",$R2156,INDEX(職員マスタ!$C$6:$C$405,$AN2156)))</f>
        <v/>
      </c>
      <c r="X2156" s="14">
        <f>IF($AO2156="","","R"&amp;$C2156&amp;"."&amp;$D2156)</f>
        <v/>
      </c>
      <c r="Y2156" s="15">
        <f>IF($AN2156="","",IF(INDEX(職員マスタ!$K$6:$K$405,$AN2156)="","",INDEX(職員マスタ!$K$6:$K$405,$AN2156)))</f>
        <v/>
      </c>
      <c r="Z2156" s="14">
        <f>IF(OR($E2156="",$Y2156=""),"",IF($E2156&gt;=$Y2156,"×",IF($E2156&gt;=$Y2156*設定!$C$5,"△","○")))</f>
        <v/>
      </c>
      <c r="AA2156" s="15">
        <f>IF($Z2156="","",IF($Z2156="×",0,IF($Z2156="○",ROUNDDOWN($E2156*設定!$C$4,0),ROUNDDOWN($E2156*ROUND((9*$Y2156-9*$E2156)/(10*$E2156),4),0))))</f>
        <v/>
      </c>
      <c r="AB2156" s="13" t="n"/>
      <c r="AC2156" s="15">
        <f>IF($B2156="","",IF($AB2156&lt;&gt;"",$AB2156,IF($AA2156="","",IF($AA2156&lt;=設定!$C$3,0,$AA2156))))</f>
        <v/>
      </c>
      <c r="AD2156" s="14">
        <f>IF($B2156="","",IF(AND($AE2156&lt;&gt;"",$AG2156="",$AJ2156=""),"保留中",IF($AJ2156&lt;&gt;"",IF(N($AC2156)&gt;0,"支給済","不支給"),IF($AC2156="","要確認",IF($AC2156=0,"不支給","未処理")))))</f>
        <v/>
      </c>
      <c r="AE2156" s="12" t="n"/>
      <c r="AF2156" s="11" t="n"/>
      <c r="AG2156" s="11" t="n"/>
      <c r="AH2156" s="11" t="n"/>
      <c r="AI2156" s="14">
        <f>IF(AND($AD2156="保留中",$AF2156&lt;&gt;""),TODAY()-$AF2156,"")</f>
        <v/>
      </c>
      <c r="AJ2156" s="12" t="n"/>
      <c r="AK2156" s="14">
        <f>IF($B2156="","",IF($AO2156="","対象年月が未入力／","")&amp;IF($B2156="","",IF($AN2156="","職員マスタに未登録の職員番号／",IF($Y2156="","標準報酬月額が未登録／","")&amp;IF(AND($AO2156&lt;&gt;"",OR(AND(INDEX(職員マスタ!$G$6:$G$405,$AN2156)&lt;&gt;"",INDEX(職員マスタ!$G$6:$G$405,$AN2156)&gt;EOMONTH($AO2156,0)),AND(INDEX(職員マスタ!$H$6:$H$405,$AN2156)&lt;&gt;"",INDEX(職員マスタ!$H$6:$H$405,$AN2156)&lt;$AO2156))),"対象月が時短期間外／","")&amp;IF(AND(INDEX(職員マスタ!$F$6:$F$405,$AN2156)&lt;&gt;"",$AO2156&lt;&gt;"",INDEX(職員マスタ!$F$6:$F$405,$AN2156)&lt;$AO2156),"対象月に子が2歳到達済／","")&amp;IF(AND($H2156&lt;&gt;"",INDEX(職員マスタ!$B$6:$B$405,$AN2156)&lt;&gt;"",SUBSTITUTE(SUBSTITUTE($H2156," ","")," ","")&lt;&gt;SUBSTITUTE(SUBSTITUTE(INDEX(職員マスタ!$B$6:$B$405,$AN2156)," ","")," ","")),"氏名がマスタと相違／","")&amp;IF(AND($Q2156&lt;&gt;"",INDEX(職員マスタ!$E$6:$E$405,$AN2156)&lt;&gt;"",$Q2156&lt;&gt;INDEX(職員マスタ!$E$6:$E$405,$AN2156)),"子の生年月日がマスタと相違／","")&amp;IF(AND($L2156&lt;&gt;"",INDEX(職員マスタ!$G$6:$G$405,$AN2156)&lt;&gt;"",$L2156&lt;&gt;INDEX(職員マスタ!$G$6:$G$405,$AN2156)),"時短開始日がマスタと相違／","")&amp;IF(AND($M2156&lt;&gt;"",INDEX(職員マスタ!$H$6:$H$405,$AN2156)&lt;&gt;"",$M2156&lt;&gt;INDEX(職員マスタ!$H$6:$H$405,$AN2156)),"時短終了日がマスタと相違／","")))&amp;IF(AND($B2156&lt;&gt;"",$E2156=""),"報酬額が未入力／","")&amp;IF(N($U2156)&gt;0,"申請書に入力エラーが残っています／","")&amp;IF(AND($B2156&lt;&gt;"",$AO2156&lt;&gt;""),IF(COUNTIFS($B$6:$B$3005,$B2156,$C$6:$C$3005,$C2156,$D$6:$D$3005,$D2156)&gt;1,"同じ月の請求が重複しています／",""),"")&amp;IF(AND(N($E2156)&gt;0,$Z2156&lt;&gt;"",$Z2156&lt;&gt;"×",$AC2156=0,$AB2156=""),"計算額が下限以下のため不支給／",""))</f>
        <v/>
      </c>
      <c r="AL2156" s="12" t="n"/>
      <c r="AM2156" s="14">
        <f>IF($AD2156="保留中",COUNTIF($AD$6:$AD2156,"保留中"),"")</f>
        <v/>
      </c>
      <c r="AN2156" s="14">
        <f>IF($AO2156="","",IF(SUMPRODUCT(MAX((職員マスタ!$A$6:$A$405=$B2156)*(((職員マスタ!$G$6:$G$405="")+(職員マスタ!$G$6:$G$405&lt;=EOMONTH($AO2156,0)))&gt;0)*(((職員マスタ!$H$6:$H$405="")+(職員マスタ!$H$6:$H$405&gt;=$AO2156))&gt;0)*(ROW(職員マスタ!$A$6:$A$405)-5)))&gt;0,SUMPRODUCT(MAX((職員マスタ!$A$6:$A$405=$B2156)*(((職員マスタ!$G$6:$G$405="")+(職員マスタ!$G$6:$G$405&lt;=EOMONTH($AO2156,0)))&gt;0)*(((職員マスタ!$H$6:$H$405="")+(職員マスタ!$H$6:$H$405&gt;=$AO2156))&gt;0)*(ROW(職員マスタ!$A$6:$A$405)-5))),IFERROR(MATCH($B2156,職員マスタ!$A$6:$A$405,0),"")))</f>
        <v/>
      </c>
      <c r="AO2156" s="16">
        <f>IF(OR($B2156="",$C2156="",$D2156=""),"",DATE($C2156+2018,$D2156,1))</f>
        <v/>
      </c>
    </row>
    <row r="2157">
      <c r="A2157" s="11" t="n"/>
      <c r="B2157" s="12" t="n"/>
      <c r="C2157" s="12" t="n"/>
      <c r="D2157" s="12" t="n"/>
      <c r="E2157" s="13" t="n"/>
      <c r="F2157" s="12" t="n"/>
      <c r="G2157" s="13" t="n"/>
      <c r="H2157" s="12" t="n"/>
      <c r="I2157" s="12" t="n"/>
      <c r="J2157" s="12" t="n"/>
      <c r="K2157" s="12" t="n"/>
      <c r="L2157" s="11" t="n"/>
      <c r="M2157" s="11" t="n"/>
      <c r="N2157" s="11" t="n"/>
      <c r="O2157" s="11" t="n"/>
      <c r="P2157" s="12" t="n"/>
      <c r="Q2157" s="11" t="n"/>
      <c r="R2157" s="12" t="n"/>
      <c r="S2157" s="11" t="n"/>
      <c r="T2157" s="12" t="n"/>
      <c r="U2157" s="12" t="n"/>
      <c r="V2157" s="14">
        <f>IF($AN2157="",IF($B2157="","",$H2157),IF(INDEX(職員マスタ!$B$6:$B$405,$AN2157)="",$H2157,INDEX(職員マスタ!$B$6:$B$405,$AN2157)))</f>
        <v/>
      </c>
      <c r="W2157" s="14">
        <f>IF($AN2157="",IF($B2157="","",$R2157),IF(INDEX(職員マスタ!$C$6:$C$405,$AN2157)="",$R2157,INDEX(職員マスタ!$C$6:$C$405,$AN2157)))</f>
        <v/>
      </c>
      <c r="X2157" s="14">
        <f>IF($AO2157="","","R"&amp;$C2157&amp;"."&amp;$D2157)</f>
        <v/>
      </c>
      <c r="Y2157" s="15">
        <f>IF($AN2157="","",IF(INDEX(職員マスタ!$K$6:$K$405,$AN2157)="","",INDEX(職員マスタ!$K$6:$K$405,$AN2157)))</f>
        <v/>
      </c>
      <c r="Z2157" s="14">
        <f>IF(OR($E2157="",$Y2157=""),"",IF($E2157&gt;=$Y2157,"×",IF($E2157&gt;=$Y2157*設定!$C$5,"△","○")))</f>
        <v/>
      </c>
      <c r="AA2157" s="15">
        <f>IF($Z2157="","",IF($Z2157="×",0,IF($Z2157="○",ROUNDDOWN($E2157*設定!$C$4,0),ROUNDDOWN($E2157*ROUND((9*$Y2157-9*$E2157)/(10*$E2157),4),0))))</f>
        <v/>
      </c>
      <c r="AB2157" s="13" t="n"/>
      <c r="AC2157" s="15">
        <f>IF($B2157="","",IF($AB2157&lt;&gt;"",$AB2157,IF($AA2157="","",IF($AA2157&lt;=設定!$C$3,0,$AA2157))))</f>
        <v/>
      </c>
      <c r="AD2157" s="14">
        <f>IF($B2157="","",IF(AND($AE2157&lt;&gt;"",$AG2157="",$AJ2157=""),"保留中",IF($AJ2157&lt;&gt;"",IF(N($AC2157)&gt;0,"支給済","不支給"),IF($AC2157="","要確認",IF($AC2157=0,"不支給","未処理")))))</f>
        <v/>
      </c>
      <c r="AE2157" s="12" t="n"/>
      <c r="AF2157" s="11" t="n"/>
      <c r="AG2157" s="11" t="n"/>
      <c r="AH2157" s="11" t="n"/>
      <c r="AI2157" s="14">
        <f>IF(AND($AD2157="保留中",$AF2157&lt;&gt;""),TODAY()-$AF2157,"")</f>
        <v/>
      </c>
      <c r="AJ2157" s="12" t="n"/>
      <c r="AK2157" s="14">
        <f>IF($B2157="","",IF($AO2157="","対象年月が未入力／","")&amp;IF($B2157="","",IF($AN2157="","職員マスタに未登録の職員番号／",IF($Y2157="","標準報酬月額が未登録／","")&amp;IF(AND($AO2157&lt;&gt;"",OR(AND(INDEX(職員マスタ!$G$6:$G$405,$AN2157)&lt;&gt;"",INDEX(職員マスタ!$G$6:$G$405,$AN2157)&gt;EOMONTH($AO2157,0)),AND(INDEX(職員マスタ!$H$6:$H$405,$AN2157)&lt;&gt;"",INDEX(職員マスタ!$H$6:$H$405,$AN2157)&lt;$AO2157))),"対象月が時短期間外／","")&amp;IF(AND(INDEX(職員マスタ!$F$6:$F$405,$AN2157)&lt;&gt;"",$AO2157&lt;&gt;"",INDEX(職員マスタ!$F$6:$F$405,$AN2157)&lt;$AO2157),"対象月に子が2歳到達済／","")&amp;IF(AND($H2157&lt;&gt;"",INDEX(職員マスタ!$B$6:$B$405,$AN2157)&lt;&gt;"",SUBSTITUTE(SUBSTITUTE($H2157," ","")," ","")&lt;&gt;SUBSTITUTE(SUBSTITUTE(INDEX(職員マスタ!$B$6:$B$405,$AN2157)," ","")," ","")),"氏名がマスタと相違／","")&amp;IF(AND($Q2157&lt;&gt;"",INDEX(職員マスタ!$E$6:$E$405,$AN2157)&lt;&gt;"",$Q2157&lt;&gt;INDEX(職員マスタ!$E$6:$E$405,$AN2157)),"子の生年月日がマスタと相違／","")&amp;IF(AND($L2157&lt;&gt;"",INDEX(職員マスタ!$G$6:$G$405,$AN2157)&lt;&gt;"",$L2157&lt;&gt;INDEX(職員マスタ!$G$6:$G$405,$AN2157)),"時短開始日がマスタと相違／","")&amp;IF(AND($M2157&lt;&gt;"",INDEX(職員マスタ!$H$6:$H$405,$AN2157)&lt;&gt;"",$M2157&lt;&gt;INDEX(職員マスタ!$H$6:$H$405,$AN2157)),"時短終了日がマスタと相違／","")))&amp;IF(AND($B2157&lt;&gt;"",$E2157=""),"報酬額が未入力／","")&amp;IF(N($U2157)&gt;0,"申請書に入力エラーが残っています／","")&amp;IF(AND($B2157&lt;&gt;"",$AO2157&lt;&gt;""),IF(COUNTIFS($B$6:$B$3005,$B2157,$C$6:$C$3005,$C2157,$D$6:$D$3005,$D2157)&gt;1,"同じ月の請求が重複しています／",""),"")&amp;IF(AND(N($E2157)&gt;0,$Z2157&lt;&gt;"",$Z2157&lt;&gt;"×",$AC2157=0,$AB2157=""),"計算額が下限以下のため不支給／",""))</f>
        <v/>
      </c>
      <c r="AL2157" s="12" t="n"/>
      <c r="AM2157" s="14">
        <f>IF($AD2157="保留中",COUNTIF($AD$6:$AD2157,"保留中"),"")</f>
        <v/>
      </c>
      <c r="AN2157" s="14">
        <f>IF($AO2157="","",IF(SUMPRODUCT(MAX((職員マスタ!$A$6:$A$405=$B2157)*(((職員マスタ!$G$6:$G$405="")+(職員マスタ!$G$6:$G$405&lt;=EOMONTH($AO2157,0)))&gt;0)*(((職員マスタ!$H$6:$H$405="")+(職員マスタ!$H$6:$H$405&gt;=$AO2157))&gt;0)*(ROW(職員マスタ!$A$6:$A$405)-5)))&gt;0,SUMPRODUCT(MAX((職員マスタ!$A$6:$A$405=$B2157)*(((職員マスタ!$G$6:$G$405="")+(職員マスタ!$G$6:$G$405&lt;=EOMONTH($AO2157,0)))&gt;0)*(((職員マスタ!$H$6:$H$405="")+(職員マスタ!$H$6:$H$405&gt;=$AO2157))&gt;0)*(ROW(職員マスタ!$A$6:$A$405)-5))),IFERROR(MATCH($B2157,職員マスタ!$A$6:$A$405,0),"")))</f>
        <v/>
      </c>
      <c r="AO2157" s="16">
        <f>IF(OR($B2157="",$C2157="",$D2157=""),"",DATE($C2157+2018,$D2157,1))</f>
        <v/>
      </c>
    </row>
    <row r="2158">
      <c r="A2158" s="11" t="n"/>
      <c r="B2158" s="12" t="n"/>
      <c r="C2158" s="12" t="n"/>
      <c r="D2158" s="12" t="n"/>
      <c r="E2158" s="13" t="n"/>
      <c r="F2158" s="12" t="n"/>
      <c r="G2158" s="13" t="n"/>
      <c r="H2158" s="12" t="n"/>
      <c r="I2158" s="12" t="n"/>
      <c r="J2158" s="12" t="n"/>
      <c r="K2158" s="12" t="n"/>
      <c r="L2158" s="11" t="n"/>
      <c r="M2158" s="11" t="n"/>
      <c r="N2158" s="11" t="n"/>
      <c r="O2158" s="11" t="n"/>
      <c r="P2158" s="12" t="n"/>
      <c r="Q2158" s="11" t="n"/>
      <c r="R2158" s="12" t="n"/>
      <c r="S2158" s="11" t="n"/>
      <c r="T2158" s="12" t="n"/>
      <c r="U2158" s="12" t="n"/>
      <c r="V2158" s="14">
        <f>IF($AN2158="",IF($B2158="","",$H2158),IF(INDEX(職員マスタ!$B$6:$B$405,$AN2158)="",$H2158,INDEX(職員マスタ!$B$6:$B$405,$AN2158)))</f>
        <v/>
      </c>
      <c r="W2158" s="14">
        <f>IF($AN2158="",IF($B2158="","",$R2158),IF(INDEX(職員マスタ!$C$6:$C$405,$AN2158)="",$R2158,INDEX(職員マスタ!$C$6:$C$405,$AN2158)))</f>
        <v/>
      </c>
      <c r="X2158" s="14">
        <f>IF($AO2158="","","R"&amp;$C2158&amp;"."&amp;$D2158)</f>
        <v/>
      </c>
      <c r="Y2158" s="15">
        <f>IF($AN2158="","",IF(INDEX(職員マスタ!$K$6:$K$405,$AN2158)="","",INDEX(職員マスタ!$K$6:$K$405,$AN2158)))</f>
        <v/>
      </c>
      <c r="Z2158" s="14">
        <f>IF(OR($E2158="",$Y2158=""),"",IF($E2158&gt;=$Y2158,"×",IF($E2158&gt;=$Y2158*設定!$C$5,"△","○")))</f>
        <v/>
      </c>
      <c r="AA2158" s="15">
        <f>IF($Z2158="","",IF($Z2158="×",0,IF($Z2158="○",ROUNDDOWN($E2158*設定!$C$4,0),ROUNDDOWN($E2158*ROUND((9*$Y2158-9*$E2158)/(10*$E2158),4),0))))</f>
        <v/>
      </c>
      <c r="AB2158" s="13" t="n"/>
      <c r="AC2158" s="15">
        <f>IF($B2158="","",IF($AB2158&lt;&gt;"",$AB2158,IF($AA2158="","",IF($AA2158&lt;=設定!$C$3,0,$AA2158))))</f>
        <v/>
      </c>
      <c r="AD2158" s="14">
        <f>IF($B2158="","",IF(AND($AE2158&lt;&gt;"",$AG2158="",$AJ2158=""),"保留中",IF($AJ2158&lt;&gt;"",IF(N($AC2158)&gt;0,"支給済","不支給"),IF($AC2158="","要確認",IF($AC2158=0,"不支給","未処理")))))</f>
        <v/>
      </c>
      <c r="AE2158" s="12" t="n"/>
      <c r="AF2158" s="11" t="n"/>
      <c r="AG2158" s="11" t="n"/>
      <c r="AH2158" s="11" t="n"/>
      <c r="AI2158" s="14">
        <f>IF(AND($AD2158="保留中",$AF2158&lt;&gt;""),TODAY()-$AF2158,"")</f>
        <v/>
      </c>
      <c r="AJ2158" s="12" t="n"/>
      <c r="AK2158" s="14">
        <f>IF($B2158="","",IF($AO2158="","対象年月が未入力／","")&amp;IF($B2158="","",IF($AN2158="","職員マスタに未登録の職員番号／",IF($Y2158="","標準報酬月額が未登録／","")&amp;IF(AND($AO2158&lt;&gt;"",OR(AND(INDEX(職員マスタ!$G$6:$G$405,$AN2158)&lt;&gt;"",INDEX(職員マスタ!$G$6:$G$405,$AN2158)&gt;EOMONTH($AO2158,0)),AND(INDEX(職員マスタ!$H$6:$H$405,$AN2158)&lt;&gt;"",INDEX(職員マスタ!$H$6:$H$405,$AN2158)&lt;$AO2158))),"対象月が時短期間外／","")&amp;IF(AND(INDEX(職員マスタ!$F$6:$F$405,$AN2158)&lt;&gt;"",$AO2158&lt;&gt;"",INDEX(職員マスタ!$F$6:$F$405,$AN2158)&lt;$AO2158),"対象月に子が2歳到達済／","")&amp;IF(AND($H2158&lt;&gt;"",INDEX(職員マスタ!$B$6:$B$405,$AN2158)&lt;&gt;"",SUBSTITUTE(SUBSTITUTE($H2158," ","")," ","")&lt;&gt;SUBSTITUTE(SUBSTITUTE(INDEX(職員マスタ!$B$6:$B$405,$AN2158)," ","")," ","")),"氏名がマスタと相違／","")&amp;IF(AND($Q2158&lt;&gt;"",INDEX(職員マスタ!$E$6:$E$405,$AN2158)&lt;&gt;"",$Q2158&lt;&gt;INDEX(職員マスタ!$E$6:$E$405,$AN2158)),"子の生年月日がマスタと相違／","")&amp;IF(AND($L2158&lt;&gt;"",INDEX(職員マスタ!$G$6:$G$405,$AN2158)&lt;&gt;"",$L2158&lt;&gt;INDEX(職員マスタ!$G$6:$G$405,$AN2158)),"時短開始日がマスタと相違／","")&amp;IF(AND($M2158&lt;&gt;"",INDEX(職員マスタ!$H$6:$H$405,$AN2158)&lt;&gt;"",$M2158&lt;&gt;INDEX(職員マスタ!$H$6:$H$405,$AN2158)),"時短終了日がマスタと相違／","")))&amp;IF(AND($B2158&lt;&gt;"",$E2158=""),"報酬額が未入力／","")&amp;IF(N($U2158)&gt;0,"申請書に入力エラーが残っています／","")&amp;IF(AND($B2158&lt;&gt;"",$AO2158&lt;&gt;""),IF(COUNTIFS($B$6:$B$3005,$B2158,$C$6:$C$3005,$C2158,$D$6:$D$3005,$D2158)&gt;1,"同じ月の請求が重複しています／",""),"")&amp;IF(AND(N($E2158)&gt;0,$Z2158&lt;&gt;"",$Z2158&lt;&gt;"×",$AC2158=0,$AB2158=""),"計算額が下限以下のため不支給／",""))</f>
        <v/>
      </c>
      <c r="AL2158" s="12" t="n"/>
      <c r="AM2158" s="14">
        <f>IF($AD2158="保留中",COUNTIF($AD$6:$AD2158,"保留中"),"")</f>
        <v/>
      </c>
      <c r="AN2158" s="14">
        <f>IF($AO2158="","",IF(SUMPRODUCT(MAX((職員マスタ!$A$6:$A$405=$B2158)*(((職員マスタ!$G$6:$G$405="")+(職員マスタ!$G$6:$G$405&lt;=EOMONTH($AO2158,0)))&gt;0)*(((職員マスタ!$H$6:$H$405="")+(職員マスタ!$H$6:$H$405&gt;=$AO2158))&gt;0)*(ROW(職員マスタ!$A$6:$A$405)-5)))&gt;0,SUMPRODUCT(MAX((職員マスタ!$A$6:$A$405=$B2158)*(((職員マスタ!$G$6:$G$405="")+(職員マスタ!$G$6:$G$405&lt;=EOMONTH($AO2158,0)))&gt;0)*(((職員マスタ!$H$6:$H$405="")+(職員マスタ!$H$6:$H$405&gt;=$AO2158))&gt;0)*(ROW(職員マスタ!$A$6:$A$405)-5))),IFERROR(MATCH($B2158,職員マスタ!$A$6:$A$405,0),"")))</f>
        <v/>
      </c>
      <c r="AO2158" s="16">
        <f>IF(OR($B2158="",$C2158="",$D2158=""),"",DATE($C2158+2018,$D2158,1))</f>
        <v/>
      </c>
    </row>
    <row r="2159">
      <c r="A2159" s="11" t="n"/>
      <c r="B2159" s="12" t="n"/>
      <c r="C2159" s="12" t="n"/>
      <c r="D2159" s="12" t="n"/>
      <c r="E2159" s="13" t="n"/>
      <c r="F2159" s="12" t="n"/>
      <c r="G2159" s="13" t="n"/>
      <c r="H2159" s="12" t="n"/>
      <c r="I2159" s="12" t="n"/>
      <c r="J2159" s="12" t="n"/>
      <c r="K2159" s="12" t="n"/>
      <c r="L2159" s="11" t="n"/>
      <c r="M2159" s="11" t="n"/>
      <c r="N2159" s="11" t="n"/>
      <c r="O2159" s="11" t="n"/>
      <c r="P2159" s="12" t="n"/>
      <c r="Q2159" s="11" t="n"/>
      <c r="R2159" s="12" t="n"/>
      <c r="S2159" s="11" t="n"/>
      <c r="T2159" s="12" t="n"/>
      <c r="U2159" s="12" t="n"/>
      <c r="V2159" s="14">
        <f>IF($AN2159="",IF($B2159="","",$H2159),IF(INDEX(職員マスタ!$B$6:$B$405,$AN2159)="",$H2159,INDEX(職員マスタ!$B$6:$B$405,$AN2159)))</f>
        <v/>
      </c>
      <c r="W2159" s="14">
        <f>IF($AN2159="",IF($B2159="","",$R2159),IF(INDEX(職員マスタ!$C$6:$C$405,$AN2159)="",$R2159,INDEX(職員マスタ!$C$6:$C$405,$AN2159)))</f>
        <v/>
      </c>
      <c r="X2159" s="14">
        <f>IF($AO2159="","","R"&amp;$C2159&amp;"."&amp;$D2159)</f>
        <v/>
      </c>
      <c r="Y2159" s="15">
        <f>IF($AN2159="","",IF(INDEX(職員マスタ!$K$6:$K$405,$AN2159)="","",INDEX(職員マスタ!$K$6:$K$405,$AN2159)))</f>
        <v/>
      </c>
      <c r="Z2159" s="14">
        <f>IF(OR($E2159="",$Y2159=""),"",IF($E2159&gt;=$Y2159,"×",IF($E2159&gt;=$Y2159*設定!$C$5,"△","○")))</f>
        <v/>
      </c>
      <c r="AA2159" s="15">
        <f>IF($Z2159="","",IF($Z2159="×",0,IF($Z2159="○",ROUNDDOWN($E2159*設定!$C$4,0),ROUNDDOWN($E2159*ROUND((9*$Y2159-9*$E2159)/(10*$E2159),4),0))))</f>
        <v/>
      </c>
      <c r="AB2159" s="13" t="n"/>
      <c r="AC2159" s="15">
        <f>IF($B2159="","",IF($AB2159&lt;&gt;"",$AB2159,IF($AA2159="","",IF($AA2159&lt;=設定!$C$3,0,$AA2159))))</f>
        <v/>
      </c>
      <c r="AD2159" s="14">
        <f>IF($B2159="","",IF(AND($AE2159&lt;&gt;"",$AG2159="",$AJ2159=""),"保留中",IF($AJ2159&lt;&gt;"",IF(N($AC2159)&gt;0,"支給済","不支給"),IF($AC2159="","要確認",IF($AC2159=0,"不支給","未処理")))))</f>
        <v/>
      </c>
      <c r="AE2159" s="12" t="n"/>
      <c r="AF2159" s="11" t="n"/>
      <c r="AG2159" s="11" t="n"/>
      <c r="AH2159" s="11" t="n"/>
      <c r="AI2159" s="14">
        <f>IF(AND($AD2159="保留中",$AF2159&lt;&gt;""),TODAY()-$AF2159,"")</f>
        <v/>
      </c>
      <c r="AJ2159" s="12" t="n"/>
      <c r="AK2159" s="14">
        <f>IF($B2159="","",IF($AO2159="","対象年月が未入力／","")&amp;IF($B2159="","",IF($AN2159="","職員マスタに未登録の職員番号／",IF($Y2159="","標準報酬月額が未登録／","")&amp;IF(AND($AO2159&lt;&gt;"",OR(AND(INDEX(職員マスタ!$G$6:$G$405,$AN2159)&lt;&gt;"",INDEX(職員マスタ!$G$6:$G$405,$AN2159)&gt;EOMONTH($AO2159,0)),AND(INDEX(職員マスタ!$H$6:$H$405,$AN2159)&lt;&gt;"",INDEX(職員マスタ!$H$6:$H$405,$AN2159)&lt;$AO2159))),"対象月が時短期間外／","")&amp;IF(AND(INDEX(職員マスタ!$F$6:$F$405,$AN2159)&lt;&gt;"",$AO2159&lt;&gt;"",INDEX(職員マスタ!$F$6:$F$405,$AN2159)&lt;$AO2159),"対象月に子が2歳到達済／","")&amp;IF(AND($H2159&lt;&gt;"",INDEX(職員マスタ!$B$6:$B$405,$AN2159)&lt;&gt;"",SUBSTITUTE(SUBSTITUTE($H2159," ","")," ","")&lt;&gt;SUBSTITUTE(SUBSTITUTE(INDEX(職員マスタ!$B$6:$B$405,$AN2159)," ","")," ","")),"氏名がマスタと相違／","")&amp;IF(AND($Q2159&lt;&gt;"",INDEX(職員マスタ!$E$6:$E$405,$AN2159)&lt;&gt;"",$Q2159&lt;&gt;INDEX(職員マスタ!$E$6:$E$405,$AN2159)),"子の生年月日がマスタと相違／","")&amp;IF(AND($L2159&lt;&gt;"",INDEX(職員マスタ!$G$6:$G$405,$AN2159)&lt;&gt;"",$L2159&lt;&gt;INDEX(職員マスタ!$G$6:$G$405,$AN2159)),"時短開始日がマスタと相違／","")&amp;IF(AND($M2159&lt;&gt;"",INDEX(職員マスタ!$H$6:$H$405,$AN2159)&lt;&gt;"",$M2159&lt;&gt;INDEX(職員マスタ!$H$6:$H$405,$AN2159)),"時短終了日がマスタと相違／","")))&amp;IF(AND($B2159&lt;&gt;"",$E2159=""),"報酬額が未入力／","")&amp;IF(N($U2159)&gt;0,"申請書に入力エラーが残っています／","")&amp;IF(AND($B2159&lt;&gt;"",$AO2159&lt;&gt;""),IF(COUNTIFS($B$6:$B$3005,$B2159,$C$6:$C$3005,$C2159,$D$6:$D$3005,$D2159)&gt;1,"同じ月の請求が重複しています／",""),"")&amp;IF(AND(N($E2159)&gt;0,$Z2159&lt;&gt;"",$Z2159&lt;&gt;"×",$AC2159=0,$AB2159=""),"計算額が下限以下のため不支給／",""))</f>
        <v/>
      </c>
      <c r="AL2159" s="12" t="n"/>
      <c r="AM2159" s="14">
        <f>IF($AD2159="保留中",COUNTIF($AD$6:$AD2159,"保留中"),"")</f>
        <v/>
      </c>
      <c r="AN2159" s="14">
        <f>IF($AO2159="","",IF(SUMPRODUCT(MAX((職員マスタ!$A$6:$A$405=$B2159)*(((職員マスタ!$G$6:$G$405="")+(職員マスタ!$G$6:$G$405&lt;=EOMONTH($AO2159,0)))&gt;0)*(((職員マスタ!$H$6:$H$405="")+(職員マスタ!$H$6:$H$405&gt;=$AO2159))&gt;0)*(ROW(職員マスタ!$A$6:$A$405)-5)))&gt;0,SUMPRODUCT(MAX((職員マスタ!$A$6:$A$405=$B2159)*(((職員マスタ!$G$6:$G$405="")+(職員マスタ!$G$6:$G$405&lt;=EOMONTH($AO2159,0)))&gt;0)*(((職員マスタ!$H$6:$H$405="")+(職員マスタ!$H$6:$H$405&gt;=$AO2159))&gt;0)*(ROW(職員マスタ!$A$6:$A$405)-5))),IFERROR(MATCH($B2159,職員マスタ!$A$6:$A$405,0),"")))</f>
        <v/>
      </c>
      <c r="AO2159" s="16">
        <f>IF(OR($B2159="",$C2159="",$D2159=""),"",DATE($C2159+2018,$D2159,1))</f>
        <v/>
      </c>
    </row>
    <row r="2160">
      <c r="A2160" s="11" t="n"/>
      <c r="B2160" s="12" t="n"/>
      <c r="C2160" s="12" t="n"/>
      <c r="D2160" s="12" t="n"/>
      <c r="E2160" s="13" t="n"/>
      <c r="F2160" s="12" t="n"/>
      <c r="G2160" s="13" t="n"/>
      <c r="H2160" s="12" t="n"/>
      <c r="I2160" s="12" t="n"/>
      <c r="J2160" s="12" t="n"/>
      <c r="K2160" s="12" t="n"/>
      <c r="L2160" s="11" t="n"/>
      <c r="M2160" s="11" t="n"/>
      <c r="N2160" s="11" t="n"/>
      <c r="O2160" s="11" t="n"/>
      <c r="P2160" s="12" t="n"/>
      <c r="Q2160" s="11" t="n"/>
      <c r="R2160" s="12" t="n"/>
      <c r="S2160" s="11" t="n"/>
      <c r="T2160" s="12" t="n"/>
      <c r="U2160" s="12" t="n"/>
      <c r="V2160" s="14">
        <f>IF($AN2160="",IF($B2160="","",$H2160),IF(INDEX(職員マスタ!$B$6:$B$405,$AN2160)="",$H2160,INDEX(職員マスタ!$B$6:$B$405,$AN2160)))</f>
        <v/>
      </c>
      <c r="W2160" s="14">
        <f>IF($AN2160="",IF($B2160="","",$R2160),IF(INDEX(職員マスタ!$C$6:$C$405,$AN2160)="",$R2160,INDEX(職員マスタ!$C$6:$C$405,$AN2160)))</f>
        <v/>
      </c>
      <c r="X2160" s="14">
        <f>IF($AO2160="","","R"&amp;$C2160&amp;"."&amp;$D2160)</f>
        <v/>
      </c>
      <c r="Y2160" s="15">
        <f>IF($AN2160="","",IF(INDEX(職員マスタ!$K$6:$K$405,$AN2160)="","",INDEX(職員マスタ!$K$6:$K$405,$AN2160)))</f>
        <v/>
      </c>
      <c r="Z2160" s="14">
        <f>IF(OR($E2160="",$Y2160=""),"",IF($E2160&gt;=$Y2160,"×",IF($E2160&gt;=$Y2160*設定!$C$5,"△","○")))</f>
        <v/>
      </c>
      <c r="AA2160" s="15">
        <f>IF($Z2160="","",IF($Z2160="×",0,IF($Z2160="○",ROUNDDOWN($E2160*設定!$C$4,0),ROUNDDOWN($E2160*ROUND((9*$Y2160-9*$E2160)/(10*$E2160),4),0))))</f>
        <v/>
      </c>
      <c r="AB2160" s="13" t="n"/>
      <c r="AC2160" s="15">
        <f>IF($B2160="","",IF($AB2160&lt;&gt;"",$AB2160,IF($AA2160="","",IF($AA2160&lt;=設定!$C$3,0,$AA2160))))</f>
        <v/>
      </c>
      <c r="AD2160" s="14">
        <f>IF($B2160="","",IF(AND($AE2160&lt;&gt;"",$AG2160="",$AJ2160=""),"保留中",IF($AJ2160&lt;&gt;"",IF(N($AC2160)&gt;0,"支給済","不支給"),IF($AC2160="","要確認",IF($AC2160=0,"不支給","未処理")))))</f>
        <v/>
      </c>
      <c r="AE2160" s="12" t="n"/>
      <c r="AF2160" s="11" t="n"/>
      <c r="AG2160" s="11" t="n"/>
      <c r="AH2160" s="11" t="n"/>
      <c r="AI2160" s="14">
        <f>IF(AND($AD2160="保留中",$AF2160&lt;&gt;""),TODAY()-$AF2160,"")</f>
        <v/>
      </c>
      <c r="AJ2160" s="12" t="n"/>
      <c r="AK2160" s="14">
        <f>IF($B2160="","",IF($AO2160="","対象年月が未入力／","")&amp;IF($B2160="","",IF($AN2160="","職員マスタに未登録の職員番号／",IF($Y2160="","標準報酬月額が未登録／","")&amp;IF(AND($AO2160&lt;&gt;"",OR(AND(INDEX(職員マスタ!$G$6:$G$405,$AN2160)&lt;&gt;"",INDEX(職員マスタ!$G$6:$G$405,$AN2160)&gt;EOMONTH($AO2160,0)),AND(INDEX(職員マスタ!$H$6:$H$405,$AN2160)&lt;&gt;"",INDEX(職員マスタ!$H$6:$H$405,$AN2160)&lt;$AO2160))),"対象月が時短期間外／","")&amp;IF(AND(INDEX(職員マスタ!$F$6:$F$405,$AN2160)&lt;&gt;"",$AO2160&lt;&gt;"",INDEX(職員マスタ!$F$6:$F$405,$AN2160)&lt;$AO2160),"対象月に子が2歳到達済／","")&amp;IF(AND($H2160&lt;&gt;"",INDEX(職員マスタ!$B$6:$B$405,$AN2160)&lt;&gt;"",SUBSTITUTE(SUBSTITUTE($H2160," ","")," ","")&lt;&gt;SUBSTITUTE(SUBSTITUTE(INDEX(職員マスタ!$B$6:$B$405,$AN2160)," ","")," ","")),"氏名がマスタと相違／","")&amp;IF(AND($Q2160&lt;&gt;"",INDEX(職員マスタ!$E$6:$E$405,$AN2160)&lt;&gt;"",$Q2160&lt;&gt;INDEX(職員マスタ!$E$6:$E$405,$AN2160)),"子の生年月日がマスタと相違／","")&amp;IF(AND($L2160&lt;&gt;"",INDEX(職員マスタ!$G$6:$G$405,$AN2160)&lt;&gt;"",$L2160&lt;&gt;INDEX(職員マスタ!$G$6:$G$405,$AN2160)),"時短開始日がマスタと相違／","")&amp;IF(AND($M2160&lt;&gt;"",INDEX(職員マスタ!$H$6:$H$405,$AN2160)&lt;&gt;"",$M2160&lt;&gt;INDEX(職員マスタ!$H$6:$H$405,$AN2160)),"時短終了日がマスタと相違／","")))&amp;IF(AND($B2160&lt;&gt;"",$E2160=""),"報酬額が未入力／","")&amp;IF(N($U2160)&gt;0,"申請書に入力エラーが残っています／","")&amp;IF(AND($B2160&lt;&gt;"",$AO2160&lt;&gt;""),IF(COUNTIFS($B$6:$B$3005,$B2160,$C$6:$C$3005,$C2160,$D$6:$D$3005,$D2160)&gt;1,"同じ月の請求が重複しています／",""),"")&amp;IF(AND(N($E2160)&gt;0,$Z2160&lt;&gt;"",$Z2160&lt;&gt;"×",$AC2160=0,$AB2160=""),"計算額が下限以下のため不支給／",""))</f>
        <v/>
      </c>
      <c r="AL2160" s="12" t="n"/>
      <c r="AM2160" s="14">
        <f>IF($AD2160="保留中",COUNTIF($AD$6:$AD2160,"保留中"),"")</f>
        <v/>
      </c>
      <c r="AN2160" s="14">
        <f>IF($AO2160="","",IF(SUMPRODUCT(MAX((職員マスタ!$A$6:$A$405=$B2160)*(((職員マスタ!$G$6:$G$405="")+(職員マスタ!$G$6:$G$405&lt;=EOMONTH($AO2160,0)))&gt;0)*(((職員マスタ!$H$6:$H$405="")+(職員マスタ!$H$6:$H$405&gt;=$AO2160))&gt;0)*(ROW(職員マスタ!$A$6:$A$405)-5)))&gt;0,SUMPRODUCT(MAX((職員マスタ!$A$6:$A$405=$B2160)*(((職員マスタ!$G$6:$G$405="")+(職員マスタ!$G$6:$G$405&lt;=EOMONTH($AO2160,0)))&gt;0)*(((職員マスタ!$H$6:$H$405="")+(職員マスタ!$H$6:$H$405&gt;=$AO2160))&gt;0)*(ROW(職員マスタ!$A$6:$A$405)-5))),IFERROR(MATCH($B2160,職員マスタ!$A$6:$A$405,0),"")))</f>
        <v/>
      </c>
      <c r="AO2160" s="16">
        <f>IF(OR($B2160="",$C2160="",$D2160=""),"",DATE($C2160+2018,$D2160,1))</f>
        <v/>
      </c>
    </row>
    <row r="2161">
      <c r="A2161" s="11" t="n"/>
      <c r="B2161" s="12" t="n"/>
      <c r="C2161" s="12" t="n"/>
      <c r="D2161" s="12" t="n"/>
      <c r="E2161" s="13" t="n"/>
      <c r="F2161" s="12" t="n"/>
      <c r="G2161" s="13" t="n"/>
      <c r="H2161" s="12" t="n"/>
      <c r="I2161" s="12" t="n"/>
      <c r="J2161" s="12" t="n"/>
      <c r="K2161" s="12" t="n"/>
      <c r="L2161" s="11" t="n"/>
      <c r="M2161" s="11" t="n"/>
      <c r="N2161" s="11" t="n"/>
      <c r="O2161" s="11" t="n"/>
      <c r="P2161" s="12" t="n"/>
      <c r="Q2161" s="11" t="n"/>
      <c r="R2161" s="12" t="n"/>
      <c r="S2161" s="11" t="n"/>
      <c r="T2161" s="12" t="n"/>
      <c r="U2161" s="12" t="n"/>
      <c r="V2161" s="14">
        <f>IF($AN2161="",IF($B2161="","",$H2161),IF(INDEX(職員マスタ!$B$6:$B$405,$AN2161)="",$H2161,INDEX(職員マスタ!$B$6:$B$405,$AN2161)))</f>
        <v/>
      </c>
      <c r="W2161" s="14">
        <f>IF($AN2161="",IF($B2161="","",$R2161),IF(INDEX(職員マスタ!$C$6:$C$405,$AN2161)="",$R2161,INDEX(職員マスタ!$C$6:$C$405,$AN2161)))</f>
        <v/>
      </c>
      <c r="X2161" s="14">
        <f>IF($AO2161="","","R"&amp;$C2161&amp;"."&amp;$D2161)</f>
        <v/>
      </c>
      <c r="Y2161" s="15">
        <f>IF($AN2161="","",IF(INDEX(職員マスタ!$K$6:$K$405,$AN2161)="","",INDEX(職員マスタ!$K$6:$K$405,$AN2161)))</f>
        <v/>
      </c>
      <c r="Z2161" s="14">
        <f>IF(OR($E2161="",$Y2161=""),"",IF($E2161&gt;=$Y2161,"×",IF($E2161&gt;=$Y2161*設定!$C$5,"△","○")))</f>
        <v/>
      </c>
      <c r="AA2161" s="15">
        <f>IF($Z2161="","",IF($Z2161="×",0,IF($Z2161="○",ROUNDDOWN($E2161*設定!$C$4,0),ROUNDDOWN($E2161*ROUND((9*$Y2161-9*$E2161)/(10*$E2161),4),0))))</f>
        <v/>
      </c>
      <c r="AB2161" s="13" t="n"/>
      <c r="AC2161" s="15">
        <f>IF($B2161="","",IF($AB2161&lt;&gt;"",$AB2161,IF($AA2161="","",IF($AA2161&lt;=設定!$C$3,0,$AA2161))))</f>
        <v/>
      </c>
      <c r="AD2161" s="14">
        <f>IF($B2161="","",IF(AND($AE2161&lt;&gt;"",$AG2161="",$AJ2161=""),"保留中",IF($AJ2161&lt;&gt;"",IF(N($AC2161)&gt;0,"支給済","不支給"),IF($AC2161="","要確認",IF($AC2161=0,"不支給","未処理")))))</f>
        <v/>
      </c>
      <c r="AE2161" s="12" t="n"/>
      <c r="AF2161" s="11" t="n"/>
      <c r="AG2161" s="11" t="n"/>
      <c r="AH2161" s="11" t="n"/>
      <c r="AI2161" s="14">
        <f>IF(AND($AD2161="保留中",$AF2161&lt;&gt;""),TODAY()-$AF2161,"")</f>
        <v/>
      </c>
      <c r="AJ2161" s="12" t="n"/>
      <c r="AK2161" s="14">
        <f>IF($B2161="","",IF($AO2161="","対象年月が未入力／","")&amp;IF($B2161="","",IF($AN2161="","職員マスタに未登録の職員番号／",IF($Y2161="","標準報酬月額が未登録／","")&amp;IF(AND($AO2161&lt;&gt;"",OR(AND(INDEX(職員マスタ!$G$6:$G$405,$AN2161)&lt;&gt;"",INDEX(職員マスタ!$G$6:$G$405,$AN2161)&gt;EOMONTH($AO2161,0)),AND(INDEX(職員マスタ!$H$6:$H$405,$AN2161)&lt;&gt;"",INDEX(職員マスタ!$H$6:$H$405,$AN2161)&lt;$AO2161))),"対象月が時短期間外／","")&amp;IF(AND(INDEX(職員マスタ!$F$6:$F$405,$AN2161)&lt;&gt;"",$AO2161&lt;&gt;"",INDEX(職員マスタ!$F$6:$F$405,$AN2161)&lt;$AO2161),"対象月に子が2歳到達済／","")&amp;IF(AND($H2161&lt;&gt;"",INDEX(職員マスタ!$B$6:$B$405,$AN2161)&lt;&gt;"",SUBSTITUTE(SUBSTITUTE($H2161," ","")," ","")&lt;&gt;SUBSTITUTE(SUBSTITUTE(INDEX(職員マスタ!$B$6:$B$405,$AN2161)," ","")," ","")),"氏名がマスタと相違／","")&amp;IF(AND($Q2161&lt;&gt;"",INDEX(職員マスタ!$E$6:$E$405,$AN2161)&lt;&gt;"",$Q2161&lt;&gt;INDEX(職員マスタ!$E$6:$E$405,$AN2161)),"子の生年月日がマスタと相違／","")&amp;IF(AND($L2161&lt;&gt;"",INDEX(職員マスタ!$G$6:$G$405,$AN2161)&lt;&gt;"",$L2161&lt;&gt;INDEX(職員マスタ!$G$6:$G$405,$AN2161)),"時短開始日がマスタと相違／","")&amp;IF(AND($M2161&lt;&gt;"",INDEX(職員マスタ!$H$6:$H$405,$AN2161)&lt;&gt;"",$M2161&lt;&gt;INDEX(職員マスタ!$H$6:$H$405,$AN2161)),"時短終了日がマスタと相違／","")))&amp;IF(AND($B2161&lt;&gt;"",$E2161=""),"報酬額が未入力／","")&amp;IF(N($U2161)&gt;0,"申請書に入力エラーが残っています／","")&amp;IF(AND($B2161&lt;&gt;"",$AO2161&lt;&gt;""),IF(COUNTIFS($B$6:$B$3005,$B2161,$C$6:$C$3005,$C2161,$D$6:$D$3005,$D2161)&gt;1,"同じ月の請求が重複しています／",""),"")&amp;IF(AND(N($E2161)&gt;0,$Z2161&lt;&gt;"",$Z2161&lt;&gt;"×",$AC2161=0,$AB2161=""),"計算額が下限以下のため不支給／",""))</f>
        <v/>
      </c>
      <c r="AL2161" s="12" t="n"/>
      <c r="AM2161" s="14">
        <f>IF($AD2161="保留中",COUNTIF($AD$6:$AD2161,"保留中"),"")</f>
        <v/>
      </c>
      <c r="AN2161" s="14">
        <f>IF($AO2161="","",IF(SUMPRODUCT(MAX((職員マスタ!$A$6:$A$405=$B2161)*(((職員マスタ!$G$6:$G$405="")+(職員マスタ!$G$6:$G$405&lt;=EOMONTH($AO2161,0)))&gt;0)*(((職員マスタ!$H$6:$H$405="")+(職員マスタ!$H$6:$H$405&gt;=$AO2161))&gt;0)*(ROW(職員マスタ!$A$6:$A$405)-5)))&gt;0,SUMPRODUCT(MAX((職員マスタ!$A$6:$A$405=$B2161)*(((職員マスタ!$G$6:$G$405="")+(職員マスタ!$G$6:$G$405&lt;=EOMONTH($AO2161,0)))&gt;0)*(((職員マスタ!$H$6:$H$405="")+(職員マスタ!$H$6:$H$405&gt;=$AO2161))&gt;0)*(ROW(職員マスタ!$A$6:$A$405)-5))),IFERROR(MATCH($B2161,職員マスタ!$A$6:$A$405,0),"")))</f>
        <v/>
      </c>
      <c r="AO2161" s="16">
        <f>IF(OR($B2161="",$C2161="",$D2161=""),"",DATE($C2161+2018,$D2161,1))</f>
        <v/>
      </c>
    </row>
    <row r="2162">
      <c r="A2162" s="11" t="n"/>
      <c r="B2162" s="12" t="n"/>
      <c r="C2162" s="12" t="n"/>
      <c r="D2162" s="12" t="n"/>
      <c r="E2162" s="13" t="n"/>
      <c r="F2162" s="12" t="n"/>
      <c r="G2162" s="13" t="n"/>
      <c r="H2162" s="12" t="n"/>
      <c r="I2162" s="12" t="n"/>
      <c r="J2162" s="12" t="n"/>
      <c r="K2162" s="12" t="n"/>
      <c r="L2162" s="11" t="n"/>
      <c r="M2162" s="11" t="n"/>
      <c r="N2162" s="11" t="n"/>
      <c r="O2162" s="11" t="n"/>
      <c r="P2162" s="12" t="n"/>
      <c r="Q2162" s="11" t="n"/>
      <c r="R2162" s="12" t="n"/>
      <c r="S2162" s="11" t="n"/>
      <c r="T2162" s="12" t="n"/>
      <c r="U2162" s="12" t="n"/>
      <c r="V2162" s="14">
        <f>IF($AN2162="",IF($B2162="","",$H2162),IF(INDEX(職員マスタ!$B$6:$B$405,$AN2162)="",$H2162,INDEX(職員マスタ!$B$6:$B$405,$AN2162)))</f>
        <v/>
      </c>
      <c r="W2162" s="14">
        <f>IF($AN2162="",IF($B2162="","",$R2162),IF(INDEX(職員マスタ!$C$6:$C$405,$AN2162)="",$R2162,INDEX(職員マスタ!$C$6:$C$405,$AN2162)))</f>
        <v/>
      </c>
      <c r="X2162" s="14">
        <f>IF($AO2162="","","R"&amp;$C2162&amp;"."&amp;$D2162)</f>
        <v/>
      </c>
      <c r="Y2162" s="15">
        <f>IF($AN2162="","",IF(INDEX(職員マスタ!$K$6:$K$405,$AN2162)="","",INDEX(職員マスタ!$K$6:$K$405,$AN2162)))</f>
        <v/>
      </c>
      <c r="Z2162" s="14">
        <f>IF(OR($E2162="",$Y2162=""),"",IF($E2162&gt;=$Y2162,"×",IF($E2162&gt;=$Y2162*設定!$C$5,"△","○")))</f>
        <v/>
      </c>
      <c r="AA2162" s="15">
        <f>IF($Z2162="","",IF($Z2162="×",0,IF($Z2162="○",ROUNDDOWN($E2162*設定!$C$4,0),ROUNDDOWN($E2162*ROUND((9*$Y2162-9*$E2162)/(10*$E2162),4),0))))</f>
        <v/>
      </c>
      <c r="AB2162" s="13" t="n"/>
      <c r="AC2162" s="15">
        <f>IF($B2162="","",IF($AB2162&lt;&gt;"",$AB2162,IF($AA2162="","",IF($AA2162&lt;=設定!$C$3,0,$AA2162))))</f>
        <v/>
      </c>
      <c r="AD2162" s="14">
        <f>IF($B2162="","",IF(AND($AE2162&lt;&gt;"",$AG2162="",$AJ2162=""),"保留中",IF($AJ2162&lt;&gt;"",IF(N($AC2162)&gt;0,"支給済","不支給"),IF($AC2162="","要確認",IF($AC2162=0,"不支給","未処理")))))</f>
        <v/>
      </c>
      <c r="AE2162" s="12" t="n"/>
      <c r="AF2162" s="11" t="n"/>
      <c r="AG2162" s="11" t="n"/>
      <c r="AH2162" s="11" t="n"/>
      <c r="AI2162" s="14">
        <f>IF(AND($AD2162="保留中",$AF2162&lt;&gt;""),TODAY()-$AF2162,"")</f>
        <v/>
      </c>
      <c r="AJ2162" s="12" t="n"/>
      <c r="AK2162" s="14">
        <f>IF($B2162="","",IF($AO2162="","対象年月が未入力／","")&amp;IF($B2162="","",IF($AN2162="","職員マスタに未登録の職員番号／",IF($Y2162="","標準報酬月額が未登録／","")&amp;IF(AND($AO2162&lt;&gt;"",OR(AND(INDEX(職員マスタ!$G$6:$G$405,$AN2162)&lt;&gt;"",INDEX(職員マスタ!$G$6:$G$405,$AN2162)&gt;EOMONTH($AO2162,0)),AND(INDEX(職員マスタ!$H$6:$H$405,$AN2162)&lt;&gt;"",INDEX(職員マスタ!$H$6:$H$405,$AN2162)&lt;$AO2162))),"対象月が時短期間外／","")&amp;IF(AND(INDEX(職員マスタ!$F$6:$F$405,$AN2162)&lt;&gt;"",$AO2162&lt;&gt;"",INDEX(職員マスタ!$F$6:$F$405,$AN2162)&lt;$AO2162),"対象月に子が2歳到達済／","")&amp;IF(AND($H2162&lt;&gt;"",INDEX(職員マスタ!$B$6:$B$405,$AN2162)&lt;&gt;"",SUBSTITUTE(SUBSTITUTE($H2162," ","")," ","")&lt;&gt;SUBSTITUTE(SUBSTITUTE(INDEX(職員マスタ!$B$6:$B$405,$AN2162)," ","")," ","")),"氏名がマスタと相違／","")&amp;IF(AND($Q2162&lt;&gt;"",INDEX(職員マスタ!$E$6:$E$405,$AN2162)&lt;&gt;"",$Q2162&lt;&gt;INDEX(職員マスタ!$E$6:$E$405,$AN2162)),"子の生年月日がマスタと相違／","")&amp;IF(AND($L2162&lt;&gt;"",INDEX(職員マスタ!$G$6:$G$405,$AN2162)&lt;&gt;"",$L2162&lt;&gt;INDEX(職員マスタ!$G$6:$G$405,$AN2162)),"時短開始日がマスタと相違／","")&amp;IF(AND($M2162&lt;&gt;"",INDEX(職員マスタ!$H$6:$H$405,$AN2162)&lt;&gt;"",$M2162&lt;&gt;INDEX(職員マスタ!$H$6:$H$405,$AN2162)),"時短終了日がマスタと相違／","")))&amp;IF(AND($B2162&lt;&gt;"",$E2162=""),"報酬額が未入力／","")&amp;IF(N($U2162)&gt;0,"申請書に入力エラーが残っています／","")&amp;IF(AND($B2162&lt;&gt;"",$AO2162&lt;&gt;""),IF(COUNTIFS($B$6:$B$3005,$B2162,$C$6:$C$3005,$C2162,$D$6:$D$3005,$D2162)&gt;1,"同じ月の請求が重複しています／",""),"")&amp;IF(AND(N($E2162)&gt;0,$Z2162&lt;&gt;"",$Z2162&lt;&gt;"×",$AC2162=0,$AB2162=""),"計算額が下限以下のため不支給／",""))</f>
        <v/>
      </c>
      <c r="AL2162" s="12" t="n"/>
      <c r="AM2162" s="14">
        <f>IF($AD2162="保留中",COUNTIF($AD$6:$AD2162,"保留中"),"")</f>
        <v/>
      </c>
      <c r="AN2162" s="14">
        <f>IF($AO2162="","",IF(SUMPRODUCT(MAX((職員マスタ!$A$6:$A$405=$B2162)*(((職員マスタ!$G$6:$G$405="")+(職員マスタ!$G$6:$G$405&lt;=EOMONTH($AO2162,0)))&gt;0)*(((職員マスタ!$H$6:$H$405="")+(職員マスタ!$H$6:$H$405&gt;=$AO2162))&gt;0)*(ROW(職員マスタ!$A$6:$A$405)-5)))&gt;0,SUMPRODUCT(MAX((職員マスタ!$A$6:$A$405=$B2162)*(((職員マスタ!$G$6:$G$405="")+(職員マスタ!$G$6:$G$405&lt;=EOMONTH($AO2162,0)))&gt;0)*(((職員マスタ!$H$6:$H$405="")+(職員マスタ!$H$6:$H$405&gt;=$AO2162))&gt;0)*(ROW(職員マスタ!$A$6:$A$405)-5))),IFERROR(MATCH($B2162,職員マスタ!$A$6:$A$405,0),"")))</f>
        <v/>
      </c>
      <c r="AO2162" s="16">
        <f>IF(OR($B2162="",$C2162="",$D2162=""),"",DATE($C2162+2018,$D2162,1))</f>
        <v/>
      </c>
    </row>
    <row r="2163">
      <c r="A2163" s="11" t="n"/>
      <c r="B2163" s="12" t="n"/>
      <c r="C2163" s="12" t="n"/>
      <c r="D2163" s="12" t="n"/>
      <c r="E2163" s="13" t="n"/>
      <c r="F2163" s="12" t="n"/>
      <c r="G2163" s="13" t="n"/>
      <c r="H2163" s="12" t="n"/>
      <c r="I2163" s="12" t="n"/>
      <c r="J2163" s="12" t="n"/>
      <c r="K2163" s="12" t="n"/>
      <c r="L2163" s="11" t="n"/>
      <c r="M2163" s="11" t="n"/>
      <c r="N2163" s="11" t="n"/>
      <c r="O2163" s="11" t="n"/>
      <c r="P2163" s="12" t="n"/>
      <c r="Q2163" s="11" t="n"/>
      <c r="R2163" s="12" t="n"/>
      <c r="S2163" s="11" t="n"/>
      <c r="T2163" s="12" t="n"/>
      <c r="U2163" s="12" t="n"/>
      <c r="V2163" s="14">
        <f>IF($AN2163="",IF($B2163="","",$H2163),IF(INDEX(職員マスタ!$B$6:$B$405,$AN2163)="",$H2163,INDEX(職員マスタ!$B$6:$B$405,$AN2163)))</f>
        <v/>
      </c>
      <c r="W2163" s="14">
        <f>IF($AN2163="",IF($B2163="","",$R2163),IF(INDEX(職員マスタ!$C$6:$C$405,$AN2163)="",$R2163,INDEX(職員マスタ!$C$6:$C$405,$AN2163)))</f>
        <v/>
      </c>
      <c r="X2163" s="14">
        <f>IF($AO2163="","","R"&amp;$C2163&amp;"."&amp;$D2163)</f>
        <v/>
      </c>
      <c r="Y2163" s="15">
        <f>IF($AN2163="","",IF(INDEX(職員マスタ!$K$6:$K$405,$AN2163)="","",INDEX(職員マスタ!$K$6:$K$405,$AN2163)))</f>
        <v/>
      </c>
      <c r="Z2163" s="14">
        <f>IF(OR($E2163="",$Y2163=""),"",IF($E2163&gt;=$Y2163,"×",IF($E2163&gt;=$Y2163*設定!$C$5,"△","○")))</f>
        <v/>
      </c>
      <c r="AA2163" s="15">
        <f>IF($Z2163="","",IF($Z2163="×",0,IF($Z2163="○",ROUNDDOWN($E2163*設定!$C$4,0),ROUNDDOWN($E2163*ROUND((9*$Y2163-9*$E2163)/(10*$E2163),4),0))))</f>
        <v/>
      </c>
      <c r="AB2163" s="13" t="n"/>
      <c r="AC2163" s="15">
        <f>IF($B2163="","",IF($AB2163&lt;&gt;"",$AB2163,IF($AA2163="","",IF($AA2163&lt;=設定!$C$3,0,$AA2163))))</f>
        <v/>
      </c>
      <c r="AD2163" s="14">
        <f>IF($B2163="","",IF(AND($AE2163&lt;&gt;"",$AG2163="",$AJ2163=""),"保留中",IF($AJ2163&lt;&gt;"",IF(N($AC2163)&gt;0,"支給済","不支給"),IF($AC2163="","要確認",IF($AC2163=0,"不支給","未処理")))))</f>
        <v/>
      </c>
      <c r="AE2163" s="12" t="n"/>
      <c r="AF2163" s="11" t="n"/>
      <c r="AG2163" s="11" t="n"/>
      <c r="AH2163" s="11" t="n"/>
      <c r="AI2163" s="14">
        <f>IF(AND($AD2163="保留中",$AF2163&lt;&gt;""),TODAY()-$AF2163,"")</f>
        <v/>
      </c>
      <c r="AJ2163" s="12" t="n"/>
      <c r="AK2163" s="14">
        <f>IF($B2163="","",IF($AO2163="","対象年月が未入力／","")&amp;IF($B2163="","",IF($AN2163="","職員マスタに未登録の職員番号／",IF($Y2163="","標準報酬月額が未登録／","")&amp;IF(AND($AO2163&lt;&gt;"",OR(AND(INDEX(職員マスタ!$G$6:$G$405,$AN2163)&lt;&gt;"",INDEX(職員マスタ!$G$6:$G$405,$AN2163)&gt;EOMONTH($AO2163,0)),AND(INDEX(職員マスタ!$H$6:$H$405,$AN2163)&lt;&gt;"",INDEX(職員マスタ!$H$6:$H$405,$AN2163)&lt;$AO2163))),"対象月が時短期間外／","")&amp;IF(AND(INDEX(職員マスタ!$F$6:$F$405,$AN2163)&lt;&gt;"",$AO2163&lt;&gt;"",INDEX(職員マスタ!$F$6:$F$405,$AN2163)&lt;$AO2163),"対象月に子が2歳到達済／","")&amp;IF(AND($H2163&lt;&gt;"",INDEX(職員マスタ!$B$6:$B$405,$AN2163)&lt;&gt;"",SUBSTITUTE(SUBSTITUTE($H2163," ","")," ","")&lt;&gt;SUBSTITUTE(SUBSTITUTE(INDEX(職員マスタ!$B$6:$B$405,$AN2163)," ","")," ","")),"氏名がマスタと相違／","")&amp;IF(AND($Q2163&lt;&gt;"",INDEX(職員マスタ!$E$6:$E$405,$AN2163)&lt;&gt;"",$Q2163&lt;&gt;INDEX(職員マスタ!$E$6:$E$405,$AN2163)),"子の生年月日がマスタと相違／","")&amp;IF(AND($L2163&lt;&gt;"",INDEX(職員マスタ!$G$6:$G$405,$AN2163)&lt;&gt;"",$L2163&lt;&gt;INDEX(職員マスタ!$G$6:$G$405,$AN2163)),"時短開始日がマスタと相違／","")&amp;IF(AND($M2163&lt;&gt;"",INDEX(職員マスタ!$H$6:$H$405,$AN2163)&lt;&gt;"",$M2163&lt;&gt;INDEX(職員マスタ!$H$6:$H$405,$AN2163)),"時短終了日がマスタと相違／","")))&amp;IF(AND($B2163&lt;&gt;"",$E2163=""),"報酬額が未入力／","")&amp;IF(N($U2163)&gt;0,"申請書に入力エラーが残っています／","")&amp;IF(AND($B2163&lt;&gt;"",$AO2163&lt;&gt;""),IF(COUNTIFS($B$6:$B$3005,$B2163,$C$6:$C$3005,$C2163,$D$6:$D$3005,$D2163)&gt;1,"同じ月の請求が重複しています／",""),"")&amp;IF(AND(N($E2163)&gt;0,$Z2163&lt;&gt;"",$Z2163&lt;&gt;"×",$AC2163=0,$AB2163=""),"計算額が下限以下のため不支給／",""))</f>
        <v/>
      </c>
      <c r="AL2163" s="12" t="n"/>
      <c r="AM2163" s="14">
        <f>IF($AD2163="保留中",COUNTIF($AD$6:$AD2163,"保留中"),"")</f>
        <v/>
      </c>
      <c r="AN2163" s="14">
        <f>IF($AO2163="","",IF(SUMPRODUCT(MAX((職員マスタ!$A$6:$A$405=$B2163)*(((職員マスタ!$G$6:$G$405="")+(職員マスタ!$G$6:$G$405&lt;=EOMONTH($AO2163,0)))&gt;0)*(((職員マスタ!$H$6:$H$405="")+(職員マスタ!$H$6:$H$405&gt;=$AO2163))&gt;0)*(ROW(職員マスタ!$A$6:$A$405)-5)))&gt;0,SUMPRODUCT(MAX((職員マスタ!$A$6:$A$405=$B2163)*(((職員マスタ!$G$6:$G$405="")+(職員マスタ!$G$6:$G$405&lt;=EOMONTH($AO2163,0)))&gt;0)*(((職員マスタ!$H$6:$H$405="")+(職員マスタ!$H$6:$H$405&gt;=$AO2163))&gt;0)*(ROW(職員マスタ!$A$6:$A$405)-5))),IFERROR(MATCH($B2163,職員マスタ!$A$6:$A$405,0),"")))</f>
        <v/>
      </c>
      <c r="AO2163" s="16">
        <f>IF(OR($B2163="",$C2163="",$D2163=""),"",DATE($C2163+2018,$D2163,1))</f>
        <v/>
      </c>
    </row>
    <row r="2164">
      <c r="A2164" s="11" t="n"/>
      <c r="B2164" s="12" t="n"/>
      <c r="C2164" s="12" t="n"/>
      <c r="D2164" s="12" t="n"/>
      <c r="E2164" s="13" t="n"/>
      <c r="F2164" s="12" t="n"/>
      <c r="G2164" s="13" t="n"/>
      <c r="H2164" s="12" t="n"/>
      <c r="I2164" s="12" t="n"/>
      <c r="J2164" s="12" t="n"/>
      <c r="K2164" s="12" t="n"/>
      <c r="L2164" s="11" t="n"/>
      <c r="M2164" s="11" t="n"/>
      <c r="N2164" s="11" t="n"/>
      <c r="O2164" s="11" t="n"/>
      <c r="P2164" s="12" t="n"/>
      <c r="Q2164" s="11" t="n"/>
      <c r="R2164" s="12" t="n"/>
      <c r="S2164" s="11" t="n"/>
      <c r="T2164" s="12" t="n"/>
      <c r="U2164" s="12" t="n"/>
      <c r="V2164" s="14">
        <f>IF($AN2164="",IF($B2164="","",$H2164),IF(INDEX(職員マスタ!$B$6:$B$405,$AN2164)="",$H2164,INDEX(職員マスタ!$B$6:$B$405,$AN2164)))</f>
        <v/>
      </c>
      <c r="W2164" s="14">
        <f>IF($AN2164="",IF($B2164="","",$R2164),IF(INDEX(職員マスタ!$C$6:$C$405,$AN2164)="",$R2164,INDEX(職員マスタ!$C$6:$C$405,$AN2164)))</f>
        <v/>
      </c>
      <c r="X2164" s="14">
        <f>IF($AO2164="","","R"&amp;$C2164&amp;"."&amp;$D2164)</f>
        <v/>
      </c>
      <c r="Y2164" s="15">
        <f>IF($AN2164="","",IF(INDEX(職員マスタ!$K$6:$K$405,$AN2164)="","",INDEX(職員マスタ!$K$6:$K$405,$AN2164)))</f>
        <v/>
      </c>
      <c r="Z2164" s="14">
        <f>IF(OR($E2164="",$Y2164=""),"",IF($E2164&gt;=$Y2164,"×",IF($E2164&gt;=$Y2164*設定!$C$5,"△","○")))</f>
        <v/>
      </c>
      <c r="AA2164" s="15">
        <f>IF($Z2164="","",IF($Z2164="×",0,IF($Z2164="○",ROUNDDOWN($E2164*設定!$C$4,0),ROUNDDOWN($E2164*ROUND((9*$Y2164-9*$E2164)/(10*$E2164),4),0))))</f>
        <v/>
      </c>
      <c r="AB2164" s="13" t="n"/>
      <c r="AC2164" s="15">
        <f>IF($B2164="","",IF($AB2164&lt;&gt;"",$AB2164,IF($AA2164="","",IF($AA2164&lt;=設定!$C$3,0,$AA2164))))</f>
        <v/>
      </c>
      <c r="AD2164" s="14">
        <f>IF($B2164="","",IF(AND($AE2164&lt;&gt;"",$AG2164="",$AJ2164=""),"保留中",IF($AJ2164&lt;&gt;"",IF(N($AC2164)&gt;0,"支給済","不支給"),IF($AC2164="","要確認",IF($AC2164=0,"不支給","未処理")))))</f>
        <v/>
      </c>
      <c r="AE2164" s="12" t="n"/>
      <c r="AF2164" s="11" t="n"/>
      <c r="AG2164" s="11" t="n"/>
      <c r="AH2164" s="11" t="n"/>
      <c r="AI2164" s="14">
        <f>IF(AND($AD2164="保留中",$AF2164&lt;&gt;""),TODAY()-$AF2164,"")</f>
        <v/>
      </c>
      <c r="AJ2164" s="12" t="n"/>
      <c r="AK2164" s="14">
        <f>IF($B2164="","",IF($AO2164="","対象年月が未入力／","")&amp;IF($B2164="","",IF($AN2164="","職員マスタに未登録の職員番号／",IF($Y2164="","標準報酬月額が未登録／","")&amp;IF(AND($AO2164&lt;&gt;"",OR(AND(INDEX(職員マスタ!$G$6:$G$405,$AN2164)&lt;&gt;"",INDEX(職員マスタ!$G$6:$G$405,$AN2164)&gt;EOMONTH($AO2164,0)),AND(INDEX(職員マスタ!$H$6:$H$405,$AN2164)&lt;&gt;"",INDEX(職員マスタ!$H$6:$H$405,$AN2164)&lt;$AO2164))),"対象月が時短期間外／","")&amp;IF(AND(INDEX(職員マスタ!$F$6:$F$405,$AN2164)&lt;&gt;"",$AO2164&lt;&gt;"",INDEX(職員マスタ!$F$6:$F$405,$AN2164)&lt;$AO2164),"対象月に子が2歳到達済／","")&amp;IF(AND($H2164&lt;&gt;"",INDEX(職員マスタ!$B$6:$B$405,$AN2164)&lt;&gt;"",SUBSTITUTE(SUBSTITUTE($H2164," ","")," ","")&lt;&gt;SUBSTITUTE(SUBSTITUTE(INDEX(職員マスタ!$B$6:$B$405,$AN2164)," ","")," ","")),"氏名がマスタと相違／","")&amp;IF(AND($Q2164&lt;&gt;"",INDEX(職員マスタ!$E$6:$E$405,$AN2164)&lt;&gt;"",$Q2164&lt;&gt;INDEX(職員マスタ!$E$6:$E$405,$AN2164)),"子の生年月日がマスタと相違／","")&amp;IF(AND($L2164&lt;&gt;"",INDEX(職員マスタ!$G$6:$G$405,$AN2164)&lt;&gt;"",$L2164&lt;&gt;INDEX(職員マスタ!$G$6:$G$405,$AN2164)),"時短開始日がマスタと相違／","")&amp;IF(AND($M2164&lt;&gt;"",INDEX(職員マスタ!$H$6:$H$405,$AN2164)&lt;&gt;"",$M2164&lt;&gt;INDEX(職員マスタ!$H$6:$H$405,$AN2164)),"時短終了日がマスタと相違／","")))&amp;IF(AND($B2164&lt;&gt;"",$E2164=""),"報酬額が未入力／","")&amp;IF(N($U2164)&gt;0,"申請書に入力エラーが残っています／","")&amp;IF(AND($B2164&lt;&gt;"",$AO2164&lt;&gt;""),IF(COUNTIFS($B$6:$B$3005,$B2164,$C$6:$C$3005,$C2164,$D$6:$D$3005,$D2164)&gt;1,"同じ月の請求が重複しています／",""),"")&amp;IF(AND(N($E2164)&gt;0,$Z2164&lt;&gt;"",$Z2164&lt;&gt;"×",$AC2164=0,$AB2164=""),"計算額が下限以下のため不支給／",""))</f>
        <v/>
      </c>
      <c r="AL2164" s="12" t="n"/>
      <c r="AM2164" s="14">
        <f>IF($AD2164="保留中",COUNTIF($AD$6:$AD2164,"保留中"),"")</f>
        <v/>
      </c>
      <c r="AN2164" s="14">
        <f>IF($AO2164="","",IF(SUMPRODUCT(MAX((職員マスタ!$A$6:$A$405=$B2164)*(((職員マスタ!$G$6:$G$405="")+(職員マスタ!$G$6:$G$405&lt;=EOMONTH($AO2164,0)))&gt;0)*(((職員マスタ!$H$6:$H$405="")+(職員マスタ!$H$6:$H$405&gt;=$AO2164))&gt;0)*(ROW(職員マスタ!$A$6:$A$405)-5)))&gt;0,SUMPRODUCT(MAX((職員マスタ!$A$6:$A$405=$B2164)*(((職員マスタ!$G$6:$G$405="")+(職員マスタ!$G$6:$G$405&lt;=EOMONTH($AO2164,0)))&gt;0)*(((職員マスタ!$H$6:$H$405="")+(職員マスタ!$H$6:$H$405&gt;=$AO2164))&gt;0)*(ROW(職員マスタ!$A$6:$A$405)-5))),IFERROR(MATCH($B2164,職員マスタ!$A$6:$A$405,0),"")))</f>
        <v/>
      </c>
      <c r="AO2164" s="16">
        <f>IF(OR($B2164="",$C2164="",$D2164=""),"",DATE($C2164+2018,$D2164,1))</f>
        <v/>
      </c>
    </row>
    <row r="2165">
      <c r="A2165" s="11" t="n"/>
      <c r="B2165" s="12" t="n"/>
      <c r="C2165" s="12" t="n"/>
      <c r="D2165" s="12" t="n"/>
      <c r="E2165" s="13" t="n"/>
      <c r="F2165" s="12" t="n"/>
      <c r="G2165" s="13" t="n"/>
      <c r="H2165" s="12" t="n"/>
      <c r="I2165" s="12" t="n"/>
      <c r="J2165" s="12" t="n"/>
      <c r="K2165" s="12" t="n"/>
      <c r="L2165" s="11" t="n"/>
      <c r="M2165" s="11" t="n"/>
      <c r="N2165" s="11" t="n"/>
      <c r="O2165" s="11" t="n"/>
      <c r="P2165" s="12" t="n"/>
      <c r="Q2165" s="11" t="n"/>
      <c r="R2165" s="12" t="n"/>
      <c r="S2165" s="11" t="n"/>
      <c r="T2165" s="12" t="n"/>
      <c r="U2165" s="12" t="n"/>
      <c r="V2165" s="14">
        <f>IF($AN2165="",IF($B2165="","",$H2165),IF(INDEX(職員マスタ!$B$6:$B$405,$AN2165)="",$H2165,INDEX(職員マスタ!$B$6:$B$405,$AN2165)))</f>
        <v/>
      </c>
      <c r="W2165" s="14">
        <f>IF($AN2165="",IF($B2165="","",$R2165),IF(INDEX(職員マスタ!$C$6:$C$405,$AN2165)="",$R2165,INDEX(職員マスタ!$C$6:$C$405,$AN2165)))</f>
        <v/>
      </c>
      <c r="X2165" s="14">
        <f>IF($AO2165="","","R"&amp;$C2165&amp;"."&amp;$D2165)</f>
        <v/>
      </c>
      <c r="Y2165" s="15">
        <f>IF($AN2165="","",IF(INDEX(職員マスタ!$K$6:$K$405,$AN2165)="","",INDEX(職員マスタ!$K$6:$K$405,$AN2165)))</f>
        <v/>
      </c>
      <c r="Z2165" s="14">
        <f>IF(OR($E2165="",$Y2165=""),"",IF($E2165&gt;=$Y2165,"×",IF($E2165&gt;=$Y2165*設定!$C$5,"△","○")))</f>
        <v/>
      </c>
      <c r="AA2165" s="15">
        <f>IF($Z2165="","",IF($Z2165="×",0,IF($Z2165="○",ROUNDDOWN($E2165*設定!$C$4,0),ROUNDDOWN($E2165*ROUND((9*$Y2165-9*$E2165)/(10*$E2165),4),0))))</f>
        <v/>
      </c>
      <c r="AB2165" s="13" t="n"/>
      <c r="AC2165" s="15">
        <f>IF($B2165="","",IF($AB2165&lt;&gt;"",$AB2165,IF($AA2165="","",IF($AA2165&lt;=設定!$C$3,0,$AA2165))))</f>
        <v/>
      </c>
      <c r="AD2165" s="14">
        <f>IF($B2165="","",IF(AND($AE2165&lt;&gt;"",$AG2165="",$AJ2165=""),"保留中",IF($AJ2165&lt;&gt;"",IF(N($AC2165)&gt;0,"支給済","不支給"),IF($AC2165="","要確認",IF($AC2165=0,"不支給","未処理")))))</f>
        <v/>
      </c>
      <c r="AE2165" s="12" t="n"/>
      <c r="AF2165" s="11" t="n"/>
      <c r="AG2165" s="11" t="n"/>
      <c r="AH2165" s="11" t="n"/>
      <c r="AI2165" s="14">
        <f>IF(AND($AD2165="保留中",$AF2165&lt;&gt;""),TODAY()-$AF2165,"")</f>
        <v/>
      </c>
      <c r="AJ2165" s="12" t="n"/>
      <c r="AK2165" s="14">
        <f>IF($B2165="","",IF($AO2165="","対象年月が未入力／","")&amp;IF($B2165="","",IF($AN2165="","職員マスタに未登録の職員番号／",IF($Y2165="","標準報酬月額が未登録／","")&amp;IF(AND($AO2165&lt;&gt;"",OR(AND(INDEX(職員マスタ!$G$6:$G$405,$AN2165)&lt;&gt;"",INDEX(職員マスタ!$G$6:$G$405,$AN2165)&gt;EOMONTH($AO2165,0)),AND(INDEX(職員マスタ!$H$6:$H$405,$AN2165)&lt;&gt;"",INDEX(職員マスタ!$H$6:$H$405,$AN2165)&lt;$AO2165))),"対象月が時短期間外／","")&amp;IF(AND(INDEX(職員マスタ!$F$6:$F$405,$AN2165)&lt;&gt;"",$AO2165&lt;&gt;"",INDEX(職員マスタ!$F$6:$F$405,$AN2165)&lt;$AO2165),"対象月に子が2歳到達済／","")&amp;IF(AND($H2165&lt;&gt;"",INDEX(職員マスタ!$B$6:$B$405,$AN2165)&lt;&gt;"",SUBSTITUTE(SUBSTITUTE($H2165," ","")," ","")&lt;&gt;SUBSTITUTE(SUBSTITUTE(INDEX(職員マスタ!$B$6:$B$405,$AN2165)," ","")," ","")),"氏名がマスタと相違／","")&amp;IF(AND($Q2165&lt;&gt;"",INDEX(職員マスタ!$E$6:$E$405,$AN2165)&lt;&gt;"",$Q2165&lt;&gt;INDEX(職員マスタ!$E$6:$E$405,$AN2165)),"子の生年月日がマスタと相違／","")&amp;IF(AND($L2165&lt;&gt;"",INDEX(職員マスタ!$G$6:$G$405,$AN2165)&lt;&gt;"",$L2165&lt;&gt;INDEX(職員マスタ!$G$6:$G$405,$AN2165)),"時短開始日がマスタと相違／","")&amp;IF(AND($M2165&lt;&gt;"",INDEX(職員マスタ!$H$6:$H$405,$AN2165)&lt;&gt;"",$M2165&lt;&gt;INDEX(職員マスタ!$H$6:$H$405,$AN2165)),"時短終了日がマスタと相違／","")))&amp;IF(AND($B2165&lt;&gt;"",$E2165=""),"報酬額が未入力／","")&amp;IF(N($U2165)&gt;0,"申請書に入力エラーが残っています／","")&amp;IF(AND($B2165&lt;&gt;"",$AO2165&lt;&gt;""),IF(COUNTIFS($B$6:$B$3005,$B2165,$C$6:$C$3005,$C2165,$D$6:$D$3005,$D2165)&gt;1,"同じ月の請求が重複しています／",""),"")&amp;IF(AND(N($E2165)&gt;0,$Z2165&lt;&gt;"",$Z2165&lt;&gt;"×",$AC2165=0,$AB2165=""),"計算額が下限以下のため不支給／",""))</f>
        <v/>
      </c>
      <c r="AL2165" s="12" t="n"/>
      <c r="AM2165" s="14">
        <f>IF($AD2165="保留中",COUNTIF($AD$6:$AD2165,"保留中"),"")</f>
        <v/>
      </c>
      <c r="AN2165" s="14">
        <f>IF($AO2165="","",IF(SUMPRODUCT(MAX((職員マスタ!$A$6:$A$405=$B2165)*(((職員マスタ!$G$6:$G$405="")+(職員マスタ!$G$6:$G$405&lt;=EOMONTH($AO2165,0)))&gt;0)*(((職員マスタ!$H$6:$H$405="")+(職員マスタ!$H$6:$H$405&gt;=$AO2165))&gt;0)*(ROW(職員マスタ!$A$6:$A$405)-5)))&gt;0,SUMPRODUCT(MAX((職員マスタ!$A$6:$A$405=$B2165)*(((職員マスタ!$G$6:$G$405="")+(職員マスタ!$G$6:$G$405&lt;=EOMONTH($AO2165,0)))&gt;0)*(((職員マスタ!$H$6:$H$405="")+(職員マスタ!$H$6:$H$405&gt;=$AO2165))&gt;0)*(ROW(職員マスタ!$A$6:$A$405)-5))),IFERROR(MATCH($B2165,職員マスタ!$A$6:$A$405,0),"")))</f>
        <v/>
      </c>
      <c r="AO2165" s="16">
        <f>IF(OR($B2165="",$C2165="",$D2165=""),"",DATE($C2165+2018,$D2165,1))</f>
        <v/>
      </c>
    </row>
    <row r="2166">
      <c r="A2166" s="11" t="n"/>
      <c r="B2166" s="12" t="n"/>
      <c r="C2166" s="12" t="n"/>
      <c r="D2166" s="12" t="n"/>
      <c r="E2166" s="13" t="n"/>
      <c r="F2166" s="12" t="n"/>
      <c r="G2166" s="13" t="n"/>
      <c r="H2166" s="12" t="n"/>
      <c r="I2166" s="12" t="n"/>
      <c r="J2166" s="12" t="n"/>
      <c r="K2166" s="12" t="n"/>
      <c r="L2166" s="11" t="n"/>
      <c r="M2166" s="11" t="n"/>
      <c r="N2166" s="11" t="n"/>
      <c r="O2166" s="11" t="n"/>
      <c r="P2166" s="12" t="n"/>
      <c r="Q2166" s="11" t="n"/>
      <c r="R2166" s="12" t="n"/>
      <c r="S2166" s="11" t="n"/>
      <c r="T2166" s="12" t="n"/>
      <c r="U2166" s="12" t="n"/>
      <c r="V2166" s="14">
        <f>IF($AN2166="",IF($B2166="","",$H2166),IF(INDEX(職員マスタ!$B$6:$B$405,$AN2166)="",$H2166,INDEX(職員マスタ!$B$6:$B$405,$AN2166)))</f>
        <v/>
      </c>
      <c r="W2166" s="14">
        <f>IF($AN2166="",IF($B2166="","",$R2166),IF(INDEX(職員マスタ!$C$6:$C$405,$AN2166)="",$R2166,INDEX(職員マスタ!$C$6:$C$405,$AN2166)))</f>
        <v/>
      </c>
      <c r="X2166" s="14">
        <f>IF($AO2166="","","R"&amp;$C2166&amp;"."&amp;$D2166)</f>
        <v/>
      </c>
      <c r="Y2166" s="15">
        <f>IF($AN2166="","",IF(INDEX(職員マスタ!$K$6:$K$405,$AN2166)="","",INDEX(職員マスタ!$K$6:$K$405,$AN2166)))</f>
        <v/>
      </c>
      <c r="Z2166" s="14">
        <f>IF(OR($E2166="",$Y2166=""),"",IF($E2166&gt;=$Y2166,"×",IF($E2166&gt;=$Y2166*設定!$C$5,"△","○")))</f>
        <v/>
      </c>
      <c r="AA2166" s="15">
        <f>IF($Z2166="","",IF($Z2166="×",0,IF($Z2166="○",ROUNDDOWN($E2166*設定!$C$4,0),ROUNDDOWN($E2166*ROUND((9*$Y2166-9*$E2166)/(10*$E2166),4),0))))</f>
        <v/>
      </c>
      <c r="AB2166" s="13" t="n"/>
      <c r="AC2166" s="15">
        <f>IF($B2166="","",IF($AB2166&lt;&gt;"",$AB2166,IF($AA2166="","",IF($AA2166&lt;=設定!$C$3,0,$AA2166))))</f>
        <v/>
      </c>
      <c r="AD2166" s="14">
        <f>IF($B2166="","",IF(AND($AE2166&lt;&gt;"",$AG2166="",$AJ2166=""),"保留中",IF($AJ2166&lt;&gt;"",IF(N($AC2166)&gt;0,"支給済","不支給"),IF($AC2166="","要確認",IF($AC2166=0,"不支給","未処理")))))</f>
        <v/>
      </c>
      <c r="AE2166" s="12" t="n"/>
      <c r="AF2166" s="11" t="n"/>
      <c r="AG2166" s="11" t="n"/>
      <c r="AH2166" s="11" t="n"/>
      <c r="AI2166" s="14">
        <f>IF(AND($AD2166="保留中",$AF2166&lt;&gt;""),TODAY()-$AF2166,"")</f>
        <v/>
      </c>
      <c r="AJ2166" s="12" t="n"/>
      <c r="AK2166" s="14">
        <f>IF($B2166="","",IF($AO2166="","対象年月が未入力／","")&amp;IF($B2166="","",IF($AN2166="","職員マスタに未登録の職員番号／",IF($Y2166="","標準報酬月額が未登録／","")&amp;IF(AND($AO2166&lt;&gt;"",OR(AND(INDEX(職員マスタ!$G$6:$G$405,$AN2166)&lt;&gt;"",INDEX(職員マスタ!$G$6:$G$405,$AN2166)&gt;EOMONTH($AO2166,0)),AND(INDEX(職員マスタ!$H$6:$H$405,$AN2166)&lt;&gt;"",INDEX(職員マスタ!$H$6:$H$405,$AN2166)&lt;$AO2166))),"対象月が時短期間外／","")&amp;IF(AND(INDEX(職員マスタ!$F$6:$F$405,$AN2166)&lt;&gt;"",$AO2166&lt;&gt;"",INDEX(職員マスタ!$F$6:$F$405,$AN2166)&lt;$AO2166),"対象月に子が2歳到達済／","")&amp;IF(AND($H2166&lt;&gt;"",INDEX(職員マスタ!$B$6:$B$405,$AN2166)&lt;&gt;"",SUBSTITUTE(SUBSTITUTE($H2166," ","")," ","")&lt;&gt;SUBSTITUTE(SUBSTITUTE(INDEX(職員マスタ!$B$6:$B$405,$AN2166)," ","")," ","")),"氏名がマスタと相違／","")&amp;IF(AND($Q2166&lt;&gt;"",INDEX(職員マスタ!$E$6:$E$405,$AN2166)&lt;&gt;"",$Q2166&lt;&gt;INDEX(職員マスタ!$E$6:$E$405,$AN2166)),"子の生年月日がマスタと相違／","")&amp;IF(AND($L2166&lt;&gt;"",INDEX(職員マスタ!$G$6:$G$405,$AN2166)&lt;&gt;"",$L2166&lt;&gt;INDEX(職員マスタ!$G$6:$G$405,$AN2166)),"時短開始日がマスタと相違／","")&amp;IF(AND($M2166&lt;&gt;"",INDEX(職員マスタ!$H$6:$H$405,$AN2166)&lt;&gt;"",$M2166&lt;&gt;INDEX(職員マスタ!$H$6:$H$405,$AN2166)),"時短終了日がマスタと相違／","")))&amp;IF(AND($B2166&lt;&gt;"",$E2166=""),"報酬額が未入力／","")&amp;IF(N($U2166)&gt;0,"申請書に入力エラーが残っています／","")&amp;IF(AND($B2166&lt;&gt;"",$AO2166&lt;&gt;""),IF(COUNTIFS($B$6:$B$3005,$B2166,$C$6:$C$3005,$C2166,$D$6:$D$3005,$D2166)&gt;1,"同じ月の請求が重複しています／",""),"")&amp;IF(AND(N($E2166)&gt;0,$Z2166&lt;&gt;"",$Z2166&lt;&gt;"×",$AC2166=0,$AB2166=""),"計算額が下限以下のため不支給／",""))</f>
        <v/>
      </c>
      <c r="AL2166" s="12" t="n"/>
      <c r="AM2166" s="14">
        <f>IF($AD2166="保留中",COUNTIF($AD$6:$AD2166,"保留中"),"")</f>
        <v/>
      </c>
      <c r="AN2166" s="14">
        <f>IF($AO2166="","",IF(SUMPRODUCT(MAX((職員マスタ!$A$6:$A$405=$B2166)*(((職員マスタ!$G$6:$G$405="")+(職員マスタ!$G$6:$G$405&lt;=EOMONTH($AO2166,0)))&gt;0)*(((職員マスタ!$H$6:$H$405="")+(職員マスタ!$H$6:$H$405&gt;=$AO2166))&gt;0)*(ROW(職員マスタ!$A$6:$A$405)-5)))&gt;0,SUMPRODUCT(MAX((職員マスタ!$A$6:$A$405=$B2166)*(((職員マスタ!$G$6:$G$405="")+(職員マスタ!$G$6:$G$405&lt;=EOMONTH($AO2166,0)))&gt;0)*(((職員マスタ!$H$6:$H$405="")+(職員マスタ!$H$6:$H$405&gt;=$AO2166))&gt;0)*(ROW(職員マスタ!$A$6:$A$405)-5))),IFERROR(MATCH($B2166,職員マスタ!$A$6:$A$405,0),"")))</f>
        <v/>
      </c>
      <c r="AO2166" s="16">
        <f>IF(OR($B2166="",$C2166="",$D2166=""),"",DATE($C2166+2018,$D2166,1))</f>
        <v/>
      </c>
    </row>
    <row r="2167">
      <c r="A2167" s="11" t="n"/>
      <c r="B2167" s="12" t="n"/>
      <c r="C2167" s="12" t="n"/>
      <c r="D2167" s="12" t="n"/>
      <c r="E2167" s="13" t="n"/>
      <c r="F2167" s="12" t="n"/>
      <c r="G2167" s="13" t="n"/>
      <c r="H2167" s="12" t="n"/>
      <c r="I2167" s="12" t="n"/>
      <c r="J2167" s="12" t="n"/>
      <c r="K2167" s="12" t="n"/>
      <c r="L2167" s="11" t="n"/>
      <c r="M2167" s="11" t="n"/>
      <c r="N2167" s="11" t="n"/>
      <c r="O2167" s="11" t="n"/>
      <c r="P2167" s="12" t="n"/>
      <c r="Q2167" s="11" t="n"/>
      <c r="R2167" s="12" t="n"/>
      <c r="S2167" s="11" t="n"/>
      <c r="T2167" s="12" t="n"/>
      <c r="U2167" s="12" t="n"/>
      <c r="V2167" s="14">
        <f>IF($AN2167="",IF($B2167="","",$H2167),IF(INDEX(職員マスタ!$B$6:$B$405,$AN2167)="",$H2167,INDEX(職員マスタ!$B$6:$B$405,$AN2167)))</f>
        <v/>
      </c>
      <c r="W2167" s="14">
        <f>IF($AN2167="",IF($B2167="","",$R2167),IF(INDEX(職員マスタ!$C$6:$C$405,$AN2167)="",$R2167,INDEX(職員マスタ!$C$6:$C$405,$AN2167)))</f>
        <v/>
      </c>
      <c r="X2167" s="14">
        <f>IF($AO2167="","","R"&amp;$C2167&amp;"."&amp;$D2167)</f>
        <v/>
      </c>
      <c r="Y2167" s="15">
        <f>IF($AN2167="","",IF(INDEX(職員マスタ!$K$6:$K$405,$AN2167)="","",INDEX(職員マスタ!$K$6:$K$405,$AN2167)))</f>
        <v/>
      </c>
      <c r="Z2167" s="14">
        <f>IF(OR($E2167="",$Y2167=""),"",IF($E2167&gt;=$Y2167,"×",IF($E2167&gt;=$Y2167*設定!$C$5,"△","○")))</f>
        <v/>
      </c>
      <c r="AA2167" s="15">
        <f>IF($Z2167="","",IF($Z2167="×",0,IF($Z2167="○",ROUNDDOWN($E2167*設定!$C$4,0),ROUNDDOWN($E2167*ROUND((9*$Y2167-9*$E2167)/(10*$E2167),4),0))))</f>
        <v/>
      </c>
      <c r="AB2167" s="13" t="n"/>
      <c r="AC2167" s="15">
        <f>IF($B2167="","",IF($AB2167&lt;&gt;"",$AB2167,IF($AA2167="","",IF($AA2167&lt;=設定!$C$3,0,$AA2167))))</f>
        <v/>
      </c>
      <c r="AD2167" s="14">
        <f>IF($B2167="","",IF(AND($AE2167&lt;&gt;"",$AG2167="",$AJ2167=""),"保留中",IF($AJ2167&lt;&gt;"",IF(N($AC2167)&gt;0,"支給済","不支給"),IF($AC2167="","要確認",IF($AC2167=0,"不支給","未処理")))))</f>
        <v/>
      </c>
      <c r="AE2167" s="12" t="n"/>
      <c r="AF2167" s="11" t="n"/>
      <c r="AG2167" s="11" t="n"/>
      <c r="AH2167" s="11" t="n"/>
      <c r="AI2167" s="14">
        <f>IF(AND($AD2167="保留中",$AF2167&lt;&gt;""),TODAY()-$AF2167,"")</f>
        <v/>
      </c>
      <c r="AJ2167" s="12" t="n"/>
      <c r="AK2167" s="14">
        <f>IF($B2167="","",IF($AO2167="","対象年月が未入力／","")&amp;IF($B2167="","",IF($AN2167="","職員マスタに未登録の職員番号／",IF($Y2167="","標準報酬月額が未登録／","")&amp;IF(AND($AO2167&lt;&gt;"",OR(AND(INDEX(職員マスタ!$G$6:$G$405,$AN2167)&lt;&gt;"",INDEX(職員マスタ!$G$6:$G$405,$AN2167)&gt;EOMONTH($AO2167,0)),AND(INDEX(職員マスタ!$H$6:$H$405,$AN2167)&lt;&gt;"",INDEX(職員マスタ!$H$6:$H$405,$AN2167)&lt;$AO2167))),"対象月が時短期間外／","")&amp;IF(AND(INDEX(職員マスタ!$F$6:$F$405,$AN2167)&lt;&gt;"",$AO2167&lt;&gt;"",INDEX(職員マスタ!$F$6:$F$405,$AN2167)&lt;$AO2167),"対象月に子が2歳到達済／","")&amp;IF(AND($H2167&lt;&gt;"",INDEX(職員マスタ!$B$6:$B$405,$AN2167)&lt;&gt;"",SUBSTITUTE(SUBSTITUTE($H2167," ","")," ","")&lt;&gt;SUBSTITUTE(SUBSTITUTE(INDEX(職員マスタ!$B$6:$B$405,$AN2167)," ","")," ","")),"氏名がマスタと相違／","")&amp;IF(AND($Q2167&lt;&gt;"",INDEX(職員マスタ!$E$6:$E$405,$AN2167)&lt;&gt;"",$Q2167&lt;&gt;INDEX(職員マスタ!$E$6:$E$405,$AN2167)),"子の生年月日がマスタと相違／","")&amp;IF(AND($L2167&lt;&gt;"",INDEX(職員マスタ!$G$6:$G$405,$AN2167)&lt;&gt;"",$L2167&lt;&gt;INDEX(職員マスタ!$G$6:$G$405,$AN2167)),"時短開始日がマスタと相違／","")&amp;IF(AND($M2167&lt;&gt;"",INDEX(職員マスタ!$H$6:$H$405,$AN2167)&lt;&gt;"",$M2167&lt;&gt;INDEX(職員マスタ!$H$6:$H$405,$AN2167)),"時短終了日がマスタと相違／","")))&amp;IF(AND($B2167&lt;&gt;"",$E2167=""),"報酬額が未入力／","")&amp;IF(N($U2167)&gt;0,"申請書に入力エラーが残っています／","")&amp;IF(AND($B2167&lt;&gt;"",$AO2167&lt;&gt;""),IF(COUNTIFS($B$6:$B$3005,$B2167,$C$6:$C$3005,$C2167,$D$6:$D$3005,$D2167)&gt;1,"同じ月の請求が重複しています／",""),"")&amp;IF(AND(N($E2167)&gt;0,$Z2167&lt;&gt;"",$Z2167&lt;&gt;"×",$AC2167=0,$AB2167=""),"計算額が下限以下のため不支給／",""))</f>
        <v/>
      </c>
      <c r="AL2167" s="12" t="n"/>
      <c r="AM2167" s="14">
        <f>IF($AD2167="保留中",COUNTIF($AD$6:$AD2167,"保留中"),"")</f>
        <v/>
      </c>
      <c r="AN2167" s="14">
        <f>IF($AO2167="","",IF(SUMPRODUCT(MAX((職員マスタ!$A$6:$A$405=$B2167)*(((職員マスタ!$G$6:$G$405="")+(職員マスタ!$G$6:$G$405&lt;=EOMONTH($AO2167,0)))&gt;0)*(((職員マスタ!$H$6:$H$405="")+(職員マスタ!$H$6:$H$405&gt;=$AO2167))&gt;0)*(ROW(職員マスタ!$A$6:$A$405)-5)))&gt;0,SUMPRODUCT(MAX((職員マスタ!$A$6:$A$405=$B2167)*(((職員マスタ!$G$6:$G$405="")+(職員マスタ!$G$6:$G$405&lt;=EOMONTH($AO2167,0)))&gt;0)*(((職員マスタ!$H$6:$H$405="")+(職員マスタ!$H$6:$H$405&gt;=$AO2167))&gt;0)*(ROW(職員マスタ!$A$6:$A$405)-5))),IFERROR(MATCH($B2167,職員マスタ!$A$6:$A$405,0),"")))</f>
        <v/>
      </c>
      <c r="AO2167" s="16">
        <f>IF(OR($B2167="",$C2167="",$D2167=""),"",DATE($C2167+2018,$D2167,1))</f>
        <v/>
      </c>
    </row>
    <row r="2168">
      <c r="A2168" s="11" t="n"/>
      <c r="B2168" s="12" t="n"/>
      <c r="C2168" s="12" t="n"/>
      <c r="D2168" s="12" t="n"/>
      <c r="E2168" s="13" t="n"/>
      <c r="F2168" s="12" t="n"/>
      <c r="G2168" s="13" t="n"/>
      <c r="H2168" s="12" t="n"/>
      <c r="I2168" s="12" t="n"/>
      <c r="J2168" s="12" t="n"/>
      <c r="K2168" s="12" t="n"/>
      <c r="L2168" s="11" t="n"/>
      <c r="M2168" s="11" t="n"/>
      <c r="N2168" s="11" t="n"/>
      <c r="O2168" s="11" t="n"/>
      <c r="P2168" s="12" t="n"/>
      <c r="Q2168" s="11" t="n"/>
      <c r="R2168" s="12" t="n"/>
      <c r="S2168" s="11" t="n"/>
      <c r="T2168" s="12" t="n"/>
      <c r="U2168" s="12" t="n"/>
      <c r="V2168" s="14">
        <f>IF($AN2168="",IF($B2168="","",$H2168),IF(INDEX(職員マスタ!$B$6:$B$405,$AN2168)="",$H2168,INDEX(職員マスタ!$B$6:$B$405,$AN2168)))</f>
        <v/>
      </c>
      <c r="W2168" s="14">
        <f>IF($AN2168="",IF($B2168="","",$R2168),IF(INDEX(職員マスタ!$C$6:$C$405,$AN2168)="",$R2168,INDEX(職員マスタ!$C$6:$C$405,$AN2168)))</f>
        <v/>
      </c>
      <c r="X2168" s="14">
        <f>IF($AO2168="","","R"&amp;$C2168&amp;"."&amp;$D2168)</f>
        <v/>
      </c>
      <c r="Y2168" s="15">
        <f>IF($AN2168="","",IF(INDEX(職員マスタ!$K$6:$K$405,$AN2168)="","",INDEX(職員マスタ!$K$6:$K$405,$AN2168)))</f>
        <v/>
      </c>
      <c r="Z2168" s="14">
        <f>IF(OR($E2168="",$Y2168=""),"",IF($E2168&gt;=$Y2168,"×",IF($E2168&gt;=$Y2168*設定!$C$5,"△","○")))</f>
        <v/>
      </c>
      <c r="AA2168" s="15">
        <f>IF($Z2168="","",IF($Z2168="×",0,IF($Z2168="○",ROUNDDOWN($E2168*設定!$C$4,0),ROUNDDOWN($E2168*ROUND((9*$Y2168-9*$E2168)/(10*$E2168),4),0))))</f>
        <v/>
      </c>
      <c r="AB2168" s="13" t="n"/>
      <c r="AC2168" s="15">
        <f>IF($B2168="","",IF($AB2168&lt;&gt;"",$AB2168,IF($AA2168="","",IF($AA2168&lt;=設定!$C$3,0,$AA2168))))</f>
        <v/>
      </c>
      <c r="AD2168" s="14">
        <f>IF($B2168="","",IF(AND($AE2168&lt;&gt;"",$AG2168="",$AJ2168=""),"保留中",IF($AJ2168&lt;&gt;"",IF(N($AC2168)&gt;0,"支給済","不支給"),IF($AC2168="","要確認",IF($AC2168=0,"不支給","未処理")))))</f>
        <v/>
      </c>
      <c r="AE2168" s="12" t="n"/>
      <c r="AF2168" s="11" t="n"/>
      <c r="AG2168" s="11" t="n"/>
      <c r="AH2168" s="11" t="n"/>
      <c r="AI2168" s="14">
        <f>IF(AND($AD2168="保留中",$AF2168&lt;&gt;""),TODAY()-$AF2168,"")</f>
        <v/>
      </c>
      <c r="AJ2168" s="12" t="n"/>
      <c r="AK2168" s="14">
        <f>IF($B2168="","",IF($AO2168="","対象年月が未入力／","")&amp;IF($B2168="","",IF($AN2168="","職員マスタに未登録の職員番号／",IF($Y2168="","標準報酬月額が未登録／","")&amp;IF(AND($AO2168&lt;&gt;"",OR(AND(INDEX(職員マスタ!$G$6:$G$405,$AN2168)&lt;&gt;"",INDEX(職員マスタ!$G$6:$G$405,$AN2168)&gt;EOMONTH($AO2168,0)),AND(INDEX(職員マスタ!$H$6:$H$405,$AN2168)&lt;&gt;"",INDEX(職員マスタ!$H$6:$H$405,$AN2168)&lt;$AO2168))),"対象月が時短期間外／","")&amp;IF(AND(INDEX(職員マスタ!$F$6:$F$405,$AN2168)&lt;&gt;"",$AO2168&lt;&gt;"",INDEX(職員マスタ!$F$6:$F$405,$AN2168)&lt;$AO2168),"対象月に子が2歳到達済／","")&amp;IF(AND($H2168&lt;&gt;"",INDEX(職員マスタ!$B$6:$B$405,$AN2168)&lt;&gt;"",SUBSTITUTE(SUBSTITUTE($H2168," ","")," ","")&lt;&gt;SUBSTITUTE(SUBSTITUTE(INDEX(職員マスタ!$B$6:$B$405,$AN2168)," ","")," ","")),"氏名がマスタと相違／","")&amp;IF(AND($Q2168&lt;&gt;"",INDEX(職員マスタ!$E$6:$E$405,$AN2168)&lt;&gt;"",$Q2168&lt;&gt;INDEX(職員マスタ!$E$6:$E$405,$AN2168)),"子の生年月日がマスタと相違／","")&amp;IF(AND($L2168&lt;&gt;"",INDEX(職員マスタ!$G$6:$G$405,$AN2168)&lt;&gt;"",$L2168&lt;&gt;INDEX(職員マスタ!$G$6:$G$405,$AN2168)),"時短開始日がマスタと相違／","")&amp;IF(AND($M2168&lt;&gt;"",INDEX(職員マスタ!$H$6:$H$405,$AN2168)&lt;&gt;"",$M2168&lt;&gt;INDEX(職員マスタ!$H$6:$H$405,$AN2168)),"時短終了日がマスタと相違／","")))&amp;IF(AND($B2168&lt;&gt;"",$E2168=""),"報酬額が未入力／","")&amp;IF(N($U2168)&gt;0,"申請書に入力エラーが残っています／","")&amp;IF(AND($B2168&lt;&gt;"",$AO2168&lt;&gt;""),IF(COUNTIFS($B$6:$B$3005,$B2168,$C$6:$C$3005,$C2168,$D$6:$D$3005,$D2168)&gt;1,"同じ月の請求が重複しています／",""),"")&amp;IF(AND(N($E2168)&gt;0,$Z2168&lt;&gt;"",$Z2168&lt;&gt;"×",$AC2168=0,$AB2168=""),"計算額が下限以下のため不支給／",""))</f>
        <v/>
      </c>
      <c r="AL2168" s="12" t="n"/>
      <c r="AM2168" s="14">
        <f>IF($AD2168="保留中",COUNTIF($AD$6:$AD2168,"保留中"),"")</f>
        <v/>
      </c>
      <c r="AN2168" s="14">
        <f>IF($AO2168="","",IF(SUMPRODUCT(MAX((職員マスタ!$A$6:$A$405=$B2168)*(((職員マスタ!$G$6:$G$405="")+(職員マスタ!$G$6:$G$405&lt;=EOMONTH($AO2168,0)))&gt;0)*(((職員マスタ!$H$6:$H$405="")+(職員マスタ!$H$6:$H$405&gt;=$AO2168))&gt;0)*(ROW(職員マスタ!$A$6:$A$405)-5)))&gt;0,SUMPRODUCT(MAX((職員マスタ!$A$6:$A$405=$B2168)*(((職員マスタ!$G$6:$G$405="")+(職員マスタ!$G$6:$G$405&lt;=EOMONTH($AO2168,0)))&gt;0)*(((職員マスタ!$H$6:$H$405="")+(職員マスタ!$H$6:$H$405&gt;=$AO2168))&gt;0)*(ROW(職員マスタ!$A$6:$A$405)-5))),IFERROR(MATCH($B2168,職員マスタ!$A$6:$A$405,0),"")))</f>
        <v/>
      </c>
      <c r="AO2168" s="16">
        <f>IF(OR($B2168="",$C2168="",$D2168=""),"",DATE($C2168+2018,$D2168,1))</f>
        <v/>
      </c>
    </row>
    <row r="2169">
      <c r="A2169" s="11" t="n"/>
      <c r="B2169" s="12" t="n"/>
      <c r="C2169" s="12" t="n"/>
      <c r="D2169" s="12" t="n"/>
      <c r="E2169" s="13" t="n"/>
      <c r="F2169" s="12" t="n"/>
      <c r="G2169" s="13" t="n"/>
      <c r="H2169" s="12" t="n"/>
      <c r="I2169" s="12" t="n"/>
      <c r="J2169" s="12" t="n"/>
      <c r="K2169" s="12" t="n"/>
      <c r="L2169" s="11" t="n"/>
      <c r="M2169" s="11" t="n"/>
      <c r="N2169" s="11" t="n"/>
      <c r="O2169" s="11" t="n"/>
      <c r="P2169" s="12" t="n"/>
      <c r="Q2169" s="11" t="n"/>
      <c r="R2169" s="12" t="n"/>
      <c r="S2169" s="11" t="n"/>
      <c r="T2169" s="12" t="n"/>
      <c r="U2169" s="12" t="n"/>
      <c r="V2169" s="14">
        <f>IF($AN2169="",IF($B2169="","",$H2169),IF(INDEX(職員マスタ!$B$6:$B$405,$AN2169)="",$H2169,INDEX(職員マスタ!$B$6:$B$405,$AN2169)))</f>
        <v/>
      </c>
      <c r="W2169" s="14">
        <f>IF($AN2169="",IF($B2169="","",$R2169),IF(INDEX(職員マスタ!$C$6:$C$405,$AN2169)="",$R2169,INDEX(職員マスタ!$C$6:$C$405,$AN2169)))</f>
        <v/>
      </c>
      <c r="X2169" s="14">
        <f>IF($AO2169="","","R"&amp;$C2169&amp;"."&amp;$D2169)</f>
        <v/>
      </c>
      <c r="Y2169" s="15">
        <f>IF($AN2169="","",IF(INDEX(職員マスタ!$K$6:$K$405,$AN2169)="","",INDEX(職員マスタ!$K$6:$K$405,$AN2169)))</f>
        <v/>
      </c>
      <c r="Z2169" s="14">
        <f>IF(OR($E2169="",$Y2169=""),"",IF($E2169&gt;=$Y2169,"×",IF($E2169&gt;=$Y2169*設定!$C$5,"△","○")))</f>
        <v/>
      </c>
      <c r="AA2169" s="15">
        <f>IF($Z2169="","",IF($Z2169="×",0,IF($Z2169="○",ROUNDDOWN($E2169*設定!$C$4,0),ROUNDDOWN($E2169*ROUND((9*$Y2169-9*$E2169)/(10*$E2169),4),0))))</f>
        <v/>
      </c>
      <c r="AB2169" s="13" t="n"/>
      <c r="AC2169" s="15">
        <f>IF($B2169="","",IF($AB2169&lt;&gt;"",$AB2169,IF($AA2169="","",IF($AA2169&lt;=設定!$C$3,0,$AA2169))))</f>
        <v/>
      </c>
      <c r="AD2169" s="14">
        <f>IF($B2169="","",IF(AND($AE2169&lt;&gt;"",$AG2169="",$AJ2169=""),"保留中",IF($AJ2169&lt;&gt;"",IF(N($AC2169)&gt;0,"支給済","不支給"),IF($AC2169="","要確認",IF($AC2169=0,"不支給","未処理")))))</f>
        <v/>
      </c>
      <c r="AE2169" s="12" t="n"/>
      <c r="AF2169" s="11" t="n"/>
      <c r="AG2169" s="11" t="n"/>
      <c r="AH2169" s="11" t="n"/>
      <c r="AI2169" s="14">
        <f>IF(AND($AD2169="保留中",$AF2169&lt;&gt;""),TODAY()-$AF2169,"")</f>
        <v/>
      </c>
      <c r="AJ2169" s="12" t="n"/>
      <c r="AK2169" s="14">
        <f>IF($B2169="","",IF($AO2169="","対象年月が未入力／","")&amp;IF($B2169="","",IF($AN2169="","職員マスタに未登録の職員番号／",IF($Y2169="","標準報酬月額が未登録／","")&amp;IF(AND($AO2169&lt;&gt;"",OR(AND(INDEX(職員マスタ!$G$6:$G$405,$AN2169)&lt;&gt;"",INDEX(職員マスタ!$G$6:$G$405,$AN2169)&gt;EOMONTH($AO2169,0)),AND(INDEX(職員マスタ!$H$6:$H$405,$AN2169)&lt;&gt;"",INDEX(職員マスタ!$H$6:$H$405,$AN2169)&lt;$AO2169))),"対象月が時短期間外／","")&amp;IF(AND(INDEX(職員マスタ!$F$6:$F$405,$AN2169)&lt;&gt;"",$AO2169&lt;&gt;"",INDEX(職員マスタ!$F$6:$F$405,$AN2169)&lt;$AO2169),"対象月に子が2歳到達済／","")&amp;IF(AND($H2169&lt;&gt;"",INDEX(職員マスタ!$B$6:$B$405,$AN2169)&lt;&gt;"",SUBSTITUTE(SUBSTITUTE($H2169," ","")," ","")&lt;&gt;SUBSTITUTE(SUBSTITUTE(INDEX(職員マスタ!$B$6:$B$405,$AN2169)," ","")," ","")),"氏名がマスタと相違／","")&amp;IF(AND($Q2169&lt;&gt;"",INDEX(職員マスタ!$E$6:$E$405,$AN2169)&lt;&gt;"",$Q2169&lt;&gt;INDEX(職員マスタ!$E$6:$E$405,$AN2169)),"子の生年月日がマスタと相違／","")&amp;IF(AND($L2169&lt;&gt;"",INDEX(職員マスタ!$G$6:$G$405,$AN2169)&lt;&gt;"",$L2169&lt;&gt;INDEX(職員マスタ!$G$6:$G$405,$AN2169)),"時短開始日がマスタと相違／","")&amp;IF(AND($M2169&lt;&gt;"",INDEX(職員マスタ!$H$6:$H$405,$AN2169)&lt;&gt;"",$M2169&lt;&gt;INDEX(職員マスタ!$H$6:$H$405,$AN2169)),"時短終了日がマスタと相違／","")))&amp;IF(AND($B2169&lt;&gt;"",$E2169=""),"報酬額が未入力／","")&amp;IF(N($U2169)&gt;0,"申請書に入力エラーが残っています／","")&amp;IF(AND($B2169&lt;&gt;"",$AO2169&lt;&gt;""),IF(COUNTIFS($B$6:$B$3005,$B2169,$C$6:$C$3005,$C2169,$D$6:$D$3005,$D2169)&gt;1,"同じ月の請求が重複しています／",""),"")&amp;IF(AND(N($E2169)&gt;0,$Z2169&lt;&gt;"",$Z2169&lt;&gt;"×",$AC2169=0,$AB2169=""),"計算額が下限以下のため不支給／",""))</f>
        <v/>
      </c>
      <c r="AL2169" s="12" t="n"/>
      <c r="AM2169" s="14">
        <f>IF($AD2169="保留中",COUNTIF($AD$6:$AD2169,"保留中"),"")</f>
        <v/>
      </c>
      <c r="AN2169" s="14">
        <f>IF($AO2169="","",IF(SUMPRODUCT(MAX((職員マスタ!$A$6:$A$405=$B2169)*(((職員マスタ!$G$6:$G$405="")+(職員マスタ!$G$6:$G$405&lt;=EOMONTH($AO2169,0)))&gt;0)*(((職員マスタ!$H$6:$H$405="")+(職員マスタ!$H$6:$H$405&gt;=$AO2169))&gt;0)*(ROW(職員マスタ!$A$6:$A$405)-5)))&gt;0,SUMPRODUCT(MAX((職員マスタ!$A$6:$A$405=$B2169)*(((職員マスタ!$G$6:$G$405="")+(職員マスタ!$G$6:$G$405&lt;=EOMONTH($AO2169,0)))&gt;0)*(((職員マスタ!$H$6:$H$405="")+(職員マスタ!$H$6:$H$405&gt;=$AO2169))&gt;0)*(ROW(職員マスタ!$A$6:$A$405)-5))),IFERROR(MATCH($B2169,職員マスタ!$A$6:$A$405,0),"")))</f>
        <v/>
      </c>
      <c r="AO2169" s="16">
        <f>IF(OR($B2169="",$C2169="",$D2169=""),"",DATE($C2169+2018,$D2169,1))</f>
        <v/>
      </c>
    </row>
    <row r="2170">
      <c r="A2170" s="11" t="n"/>
      <c r="B2170" s="12" t="n"/>
      <c r="C2170" s="12" t="n"/>
      <c r="D2170" s="12" t="n"/>
      <c r="E2170" s="13" t="n"/>
      <c r="F2170" s="12" t="n"/>
      <c r="G2170" s="13" t="n"/>
      <c r="H2170" s="12" t="n"/>
      <c r="I2170" s="12" t="n"/>
      <c r="J2170" s="12" t="n"/>
      <c r="K2170" s="12" t="n"/>
      <c r="L2170" s="11" t="n"/>
      <c r="M2170" s="11" t="n"/>
      <c r="N2170" s="11" t="n"/>
      <c r="O2170" s="11" t="n"/>
      <c r="P2170" s="12" t="n"/>
      <c r="Q2170" s="11" t="n"/>
      <c r="R2170" s="12" t="n"/>
      <c r="S2170" s="11" t="n"/>
      <c r="T2170" s="12" t="n"/>
      <c r="U2170" s="12" t="n"/>
      <c r="V2170" s="14">
        <f>IF($AN2170="",IF($B2170="","",$H2170),IF(INDEX(職員マスタ!$B$6:$B$405,$AN2170)="",$H2170,INDEX(職員マスタ!$B$6:$B$405,$AN2170)))</f>
        <v/>
      </c>
      <c r="W2170" s="14">
        <f>IF($AN2170="",IF($B2170="","",$R2170),IF(INDEX(職員マスタ!$C$6:$C$405,$AN2170)="",$R2170,INDEX(職員マスタ!$C$6:$C$405,$AN2170)))</f>
        <v/>
      </c>
      <c r="X2170" s="14">
        <f>IF($AO2170="","","R"&amp;$C2170&amp;"."&amp;$D2170)</f>
        <v/>
      </c>
      <c r="Y2170" s="15">
        <f>IF($AN2170="","",IF(INDEX(職員マスタ!$K$6:$K$405,$AN2170)="","",INDEX(職員マスタ!$K$6:$K$405,$AN2170)))</f>
        <v/>
      </c>
      <c r="Z2170" s="14">
        <f>IF(OR($E2170="",$Y2170=""),"",IF($E2170&gt;=$Y2170,"×",IF($E2170&gt;=$Y2170*設定!$C$5,"△","○")))</f>
        <v/>
      </c>
      <c r="AA2170" s="15">
        <f>IF($Z2170="","",IF($Z2170="×",0,IF($Z2170="○",ROUNDDOWN($E2170*設定!$C$4,0),ROUNDDOWN($E2170*ROUND((9*$Y2170-9*$E2170)/(10*$E2170),4),0))))</f>
        <v/>
      </c>
      <c r="AB2170" s="13" t="n"/>
      <c r="AC2170" s="15">
        <f>IF($B2170="","",IF($AB2170&lt;&gt;"",$AB2170,IF($AA2170="","",IF($AA2170&lt;=設定!$C$3,0,$AA2170))))</f>
        <v/>
      </c>
      <c r="AD2170" s="14">
        <f>IF($B2170="","",IF(AND($AE2170&lt;&gt;"",$AG2170="",$AJ2170=""),"保留中",IF($AJ2170&lt;&gt;"",IF(N($AC2170)&gt;0,"支給済","不支給"),IF($AC2170="","要確認",IF($AC2170=0,"不支給","未処理")))))</f>
        <v/>
      </c>
      <c r="AE2170" s="12" t="n"/>
      <c r="AF2170" s="11" t="n"/>
      <c r="AG2170" s="11" t="n"/>
      <c r="AH2170" s="11" t="n"/>
      <c r="AI2170" s="14">
        <f>IF(AND($AD2170="保留中",$AF2170&lt;&gt;""),TODAY()-$AF2170,"")</f>
        <v/>
      </c>
      <c r="AJ2170" s="12" t="n"/>
      <c r="AK2170" s="14">
        <f>IF($B2170="","",IF($AO2170="","対象年月が未入力／","")&amp;IF($B2170="","",IF($AN2170="","職員マスタに未登録の職員番号／",IF($Y2170="","標準報酬月額が未登録／","")&amp;IF(AND($AO2170&lt;&gt;"",OR(AND(INDEX(職員マスタ!$G$6:$G$405,$AN2170)&lt;&gt;"",INDEX(職員マスタ!$G$6:$G$405,$AN2170)&gt;EOMONTH($AO2170,0)),AND(INDEX(職員マスタ!$H$6:$H$405,$AN2170)&lt;&gt;"",INDEX(職員マスタ!$H$6:$H$405,$AN2170)&lt;$AO2170))),"対象月が時短期間外／","")&amp;IF(AND(INDEX(職員マスタ!$F$6:$F$405,$AN2170)&lt;&gt;"",$AO2170&lt;&gt;"",INDEX(職員マスタ!$F$6:$F$405,$AN2170)&lt;$AO2170),"対象月に子が2歳到達済／","")&amp;IF(AND($H2170&lt;&gt;"",INDEX(職員マスタ!$B$6:$B$405,$AN2170)&lt;&gt;"",SUBSTITUTE(SUBSTITUTE($H2170," ","")," ","")&lt;&gt;SUBSTITUTE(SUBSTITUTE(INDEX(職員マスタ!$B$6:$B$405,$AN2170)," ","")," ","")),"氏名がマスタと相違／","")&amp;IF(AND($Q2170&lt;&gt;"",INDEX(職員マスタ!$E$6:$E$405,$AN2170)&lt;&gt;"",$Q2170&lt;&gt;INDEX(職員マスタ!$E$6:$E$405,$AN2170)),"子の生年月日がマスタと相違／","")&amp;IF(AND($L2170&lt;&gt;"",INDEX(職員マスタ!$G$6:$G$405,$AN2170)&lt;&gt;"",$L2170&lt;&gt;INDEX(職員マスタ!$G$6:$G$405,$AN2170)),"時短開始日がマスタと相違／","")&amp;IF(AND($M2170&lt;&gt;"",INDEX(職員マスタ!$H$6:$H$405,$AN2170)&lt;&gt;"",$M2170&lt;&gt;INDEX(職員マスタ!$H$6:$H$405,$AN2170)),"時短終了日がマスタと相違／","")))&amp;IF(AND($B2170&lt;&gt;"",$E2170=""),"報酬額が未入力／","")&amp;IF(N($U2170)&gt;0,"申請書に入力エラーが残っています／","")&amp;IF(AND($B2170&lt;&gt;"",$AO2170&lt;&gt;""),IF(COUNTIFS($B$6:$B$3005,$B2170,$C$6:$C$3005,$C2170,$D$6:$D$3005,$D2170)&gt;1,"同じ月の請求が重複しています／",""),"")&amp;IF(AND(N($E2170)&gt;0,$Z2170&lt;&gt;"",$Z2170&lt;&gt;"×",$AC2170=0,$AB2170=""),"計算額が下限以下のため不支給／",""))</f>
        <v/>
      </c>
      <c r="AL2170" s="12" t="n"/>
      <c r="AM2170" s="14">
        <f>IF($AD2170="保留中",COUNTIF($AD$6:$AD2170,"保留中"),"")</f>
        <v/>
      </c>
      <c r="AN2170" s="14">
        <f>IF($AO2170="","",IF(SUMPRODUCT(MAX((職員マスタ!$A$6:$A$405=$B2170)*(((職員マスタ!$G$6:$G$405="")+(職員マスタ!$G$6:$G$405&lt;=EOMONTH($AO2170,0)))&gt;0)*(((職員マスタ!$H$6:$H$405="")+(職員マスタ!$H$6:$H$405&gt;=$AO2170))&gt;0)*(ROW(職員マスタ!$A$6:$A$405)-5)))&gt;0,SUMPRODUCT(MAX((職員マスタ!$A$6:$A$405=$B2170)*(((職員マスタ!$G$6:$G$405="")+(職員マスタ!$G$6:$G$405&lt;=EOMONTH($AO2170,0)))&gt;0)*(((職員マスタ!$H$6:$H$405="")+(職員マスタ!$H$6:$H$405&gt;=$AO2170))&gt;0)*(ROW(職員マスタ!$A$6:$A$405)-5))),IFERROR(MATCH($B2170,職員マスタ!$A$6:$A$405,0),"")))</f>
        <v/>
      </c>
      <c r="AO2170" s="16">
        <f>IF(OR($B2170="",$C2170="",$D2170=""),"",DATE($C2170+2018,$D2170,1))</f>
        <v/>
      </c>
    </row>
    <row r="2171">
      <c r="A2171" s="11" t="n"/>
      <c r="B2171" s="12" t="n"/>
      <c r="C2171" s="12" t="n"/>
      <c r="D2171" s="12" t="n"/>
      <c r="E2171" s="13" t="n"/>
      <c r="F2171" s="12" t="n"/>
      <c r="G2171" s="13" t="n"/>
      <c r="H2171" s="12" t="n"/>
      <c r="I2171" s="12" t="n"/>
      <c r="J2171" s="12" t="n"/>
      <c r="K2171" s="12" t="n"/>
      <c r="L2171" s="11" t="n"/>
      <c r="M2171" s="11" t="n"/>
      <c r="N2171" s="11" t="n"/>
      <c r="O2171" s="11" t="n"/>
      <c r="P2171" s="12" t="n"/>
      <c r="Q2171" s="11" t="n"/>
      <c r="R2171" s="12" t="n"/>
      <c r="S2171" s="11" t="n"/>
      <c r="T2171" s="12" t="n"/>
      <c r="U2171" s="12" t="n"/>
      <c r="V2171" s="14">
        <f>IF($AN2171="",IF($B2171="","",$H2171),IF(INDEX(職員マスタ!$B$6:$B$405,$AN2171)="",$H2171,INDEX(職員マスタ!$B$6:$B$405,$AN2171)))</f>
        <v/>
      </c>
      <c r="W2171" s="14">
        <f>IF($AN2171="",IF($B2171="","",$R2171),IF(INDEX(職員マスタ!$C$6:$C$405,$AN2171)="",$R2171,INDEX(職員マスタ!$C$6:$C$405,$AN2171)))</f>
        <v/>
      </c>
      <c r="X2171" s="14">
        <f>IF($AO2171="","","R"&amp;$C2171&amp;"."&amp;$D2171)</f>
        <v/>
      </c>
      <c r="Y2171" s="15">
        <f>IF($AN2171="","",IF(INDEX(職員マスタ!$K$6:$K$405,$AN2171)="","",INDEX(職員マスタ!$K$6:$K$405,$AN2171)))</f>
        <v/>
      </c>
      <c r="Z2171" s="14">
        <f>IF(OR($E2171="",$Y2171=""),"",IF($E2171&gt;=$Y2171,"×",IF($E2171&gt;=$Y2171*設定!$C$5,"△","○")))</f>
        <v/>
      </c>
      <c r="AA2171" s="15">
        <f>IF($Z2171="","",IF($Z2171="×",0,IF($Z2171="○",ROUNDDOWN($E2171*設定!$C$4,0),ROUNDDOWN($E2171*ROUND((9*$Y2171-9*$E2171)/(10*$E2171),4),0))))</f>
        <v/>
      </c>
      <c r="AB2171" s="13" t="n"/>
      <c r="AC2171" s="15">
        <f>IF($B2171="","",IF($AB2171&lt;&gt;"",$AB2171,IF($AA2171="","",IF($AA2171&lt;=設定!$C$3,0,$AA2171))))</f>
        <v/>
      </c>
      <c r="AD2171" s="14">
        <f>IF($B2171="","",IF(AND($AE2171&lt;&gt;"",$AG2171="",$AJ2171=""),"保留中",IF($AJ2171&lt;&gt;"",IF(N($AC2171)&gt;0,"支給済","不支給"),IF($AC2171="","要確認",IF($AC2171=0,"不支給","未処理")))))</f>
        <v/>
      </c>
      <c r="AE2171" s="12" t="n"/>
      <c r="AF2171" s="11" t="n"/>
      <c r="AG2171" s="11" t="n"/>
      <c r="AH2171" s="11" t="n"/>
      <c r="AI2171" s="14">
        <f>IF(AND($AD2171="保留中",$AF2171&lt;&gt;""),TODAY()-$AF2171,"")</f>
        <v/>
      </c>
      <c r="AJ2171" s="12" t="n"/>
      <c r="AK2171" s="14">
        <f>IF($B2171="","",IF($AO2171="","対象年月が未入力／","")&amp;IF($B2171="","",IF($AN2171="","職員マスタに未登録の職員番号／",IF($Y2171="","標準報酬月額が未登録／","")&amp;IF(AND($AO2171&lt;&gt;"",OR(AND(INDEX(職員マスタ!$G$6:$G$405,$AN2171)&lt;&gt;"",INDEX(職員マスタ!$G$6:$G$405,$AN2171)&gt;EOMONTH($AO2171,0)),AND(INDEX(職員マスタ!$H$6:$H$405,$AN2171)&lt;&gt;"",INDEX(職員マスタ!$H$6:$H$405,$AN2171)&lt;$AO2171))),"対象月が時短期間外／","")&amp;IF(AND(INDEX(職員マスタ!$F$6:$F$405,$AN2171)&lt;&gt;"",$AO2171&lt;&gt;"",INDEX(職員マスタ!$F$6:$F$405,$AN2171)&lt;$AO2171),"対象月に子が2歳到達済／","")&amp;IF(AND($H2171&lt;&gt;"",INDEX(職員マスタ!$B$6:$B$405,$AN2171)&lt;&gt;"",SUBSTITUTE(SUBSTITUTE($H2171," ","")," ","")&lt;&gt;SUBSTITUTE(SUBSTITUTE(INDEX(職員マスタ!$B$6:$B$405,$AN2171)," ","")," ","")),"氏名がマスタと相違／","")&amp;IF(AND($Q2171&lt;&gt;"",INDEX(職員マスタ!$E$6:$E$405,$AN2171)&lt;&gt;"",$Q2171&lt;&gt;INDEX(職員マスタ!$E$6:$E$405,$AN2171)),"子の生年月日がマスタと相違／","")&amp;IF(AND($L2171&lt;&gt;"",INDEX(職員マスタ!$G$6:$G$405,$AN2171)&lt;&gt;"",$L2171&lt;&gt;INDEX(職員マスタ!$G$6:$G$405,$AN2171)),"時短開始日がマスタと相違／","")&amp;IF(AND($M2171&lt;&gt;"",INDEX(職員マスタ!$H$6:$H$405,$AN2171)&lt;&gt;"",$M2171&lt;&gt;INDEX(職員マスタ!$H$6:$H$405,$AN2171)),"時短終了日がマスタと相違／","")))&amp;IF(AND($B2171&lt;&gt;"",$E2171=""),"報酬額が未入力／","")&amp;IF(N($U2171)&gt;0,"申請書に入力エラーが残っています／","")&amp;IF(AND($B2171&lt;&gt;"",$AO2171&lt;&gt;""),IF(COUNTIFS($B$6:$B$3005,$B2171,$C$6:$C$3005,$C2171,$D$6:$D$3005,$D2171)&gt;1,"同じ月の請求が重複しています／",""),"")&amp;IF(AND(N($E2171)&gt;0,$Z2171&lt;&gt;"",$Z2171&lt;&gt;"×",$AC2171=0,$AB2171=""),"計算額が下限以下のため不支給／",""))</f>
        <v/>
      </c>
      <c r="AL2171" s="12" t="n"/>
      <c r="AM2171" s="14">
        <f>IF($AD2171="保留中",COUNTIF($AD$6:$AD2171,"保留中"),"")</f>
        <v/>
      </c>
      <c r="AN2171" s="14">
        <f>IF($AO2171="","",IF(SUMPRODUCT(MAX((職員マスタ!$A$6:$A$405=$B2171)*(((職員マスタ!$G$6:$G$405="")+(職員マスタ!$G$6:$G$405&lt;=EOMONTH($AO2171,0)))&gt;0)*(((職員マスタ!$H$6:$H$405="")+(職員マスタ!$H$6:$H$405&gt;=$AO2171))&gt;0)*(ROW(職員マスタ!$A$6:$A$405)-5)))&gt;0,SUMPRODUCT(MAX((職員マスタ!$A$6:$A$405=$B2171)*(((職員マスタ!$G$6:$G$405="")+(職員マスタ!$G$6:$G$405&lt;=EOMONTH($AO2171,0)))&gt;0)*(((職員マスタ!$H$6:$H$405="")+(職員マスタ!$H$6:$H$405&gt;=$AO2171))&gt;0)*(ROW(職員マスタ!$A$6:$A$405)-5))),IFERROR(MATCH($B2171,職員マスタ!$A$6:$A$405,0),"")))</f>
        <v/>
      </c>
      <c r="AO2171" s="16">
        <f>IF(OR($B2171="",$C2171="",$D2171=""),"",DATE($C2171+2018,$D2171,1))</f>
        <v/>
      </c>
    </row>
    <row r="2172">
      <c r="A2172" s="11" t="n"/>
      <c r="B2172" s="12" t="n"/>
      <c r="C2172" s="12" t="n"/>
      <c r="D2172" s="12" t="n"/>
      <c r="E2172" s="13" t="n"/>
      <c r="F2172" s="12" t="n"/>
      <c r="G2172" s="13" t="n"/>
      <c r="H2172" s="12" t="n"/>
      <c r="I2172" s="12" t="n"/>
      <c r="J2172" s="12" t="n"/>
      <c r="K2172" s="12" t="n"/>
      <c r="L2172" s="11" t="n"/>
      <c r="M2172" s="11" t="n"/>
      <c r="N2172" s="11" t="n"/>
      <c r="O2172" s="11" t="n"/>
      <c r="P2172" s="12" t="n"/>
      <c r="Q2172" s="11" t="n"/>
      <c r="R2172" s="12" t="n"/>
      <c r="S2172" s="11" t="n"/>
      <c r="T2172" s="12" t="n"/>
      <c r="U2172" s="12" t="n"/>
      <c r="V2172" s="14">
        <f>IF($AN2172="",IF($B2172="","",$H2172),IF(INDEX(職員マスタ!$B$6:$B$405,$AN2172)="",$H2172,INDEX(職員マスタ!$B$6:$B$405,$AN2172)))</f>
        <v/>
      </c>
      <c r="W2172" s="14">
        <f>IF($AN2172="",IF($B2172="","",$R2172),IF(INDEX(職員マスタ!$C$6:$C$405,$AN2172)="",$R2172,INDEX(職員マスタ!$C$6:$C$405,$AN2172)))</f>
        <v/>
      </c>
      <c r="X2172" s="14">
        <f>IF($AO2172="","","R"&amp;$C2172&amp;"."&amp;$D2172)</f>
        <v/>
      </c>
      <c r="Y2172" s="15">
        <f>IF($AN2172="","",IF(INDEX(職員マスタ!$K$6:$K$405,$AN2172)="","",INDEX(職員マスタ!$K$6:$K$405,$AN2172)))</f>
        <v/>
      </c>
      <c r="Z2172" s="14">
        <f>IF(OR($E2172="",$Y2172=""),"",IF($E2172&gt;=$Y2172,"×",IF($E2172&gt;=$Y2172*設定!$C$5,"△","○")))</f>
        <v/>
      </c>
      <c r="AA2172" s="15">
        <f>IF($Z2172="","",IF($Z2172="×",0,IF($Z2172="○",ROUNDDOWN($E2172*設定!$C$4,0),ROUNDDOWN($E2172*ROUND((9*$Y2172-9*$E2172)/(10*$E2172),4),0))))</f>
        <v/>
      </c>
      <c r="AB2172" s="13" t="n"/>
      <c r="AC2172" s="15">
        <f>IF($B2172="","",IF($AB2172&lt;&gt;"",$AB2172,IF($AA2172="","",IF($AA2172&lt;=設定!$C$3,0,$AA2172))))</f>
        <v/>
      </c>
      <c r="AD2172" s="14">
        <f>IF($B2172="","",IF(AND($AE2172&lt;&gt;"",$AG2172="",$AJ2172=""),"保留中",IF($AJ2172&lt;&gt;"",IF(N($AC2172)&gt;0,"支給済","不支給"),IF($AC2172="","要確認",IF($AC2172=0,"不支給","未処理")))))</f>
        <v/>
      </c>
      <c r="AE2172" s="12" t="n"/>
      <c r="AF2172" s="11" t="n"/>
      <c r="AG2172" s="11" t="n"/>
      <c r="AH2172" s="11" t="n"/>
      <c r="AI2172" s="14">
        <f>IF(AND($AD2172="保留中",$AF2172&lt;&gt;""),TODAY()-$AF2172,"")</f>
        <v/>
      </c>
      <c r="AJ2172" s="12" t="n"/>
      <c r="AK2172" s="14">
        <f>IF($B2172="","",IF($AO2172="","対象年月が未入力／","")&amp;IF($B2172="","",IF($AN2172="","職員マスタに未登録の職員番号／",IF($Y2172="","標準報酬月額が未登録／","")&amp;IF(AND($AO2172&lt;&gt;"",OR(AND(INDEX(職員マスタ!$G$6:$G$405,$AN2172)&lt;&gt;"",INDEX(職員マスタ!$G$6:$G$405,$AN2172)&gt;EOMONTH($AO2172,0)),AND(INDEX(職員マスタ!$H$6:$H$405,$AN2172)&lt;&gt;"",INDEX(職員マスタ!$H$6:$H$405,$AN2172)&lt;$AO2172))),"対象月が時短期間外／","")&amp;IF(AND(INDEX(職員マスタ!$F$6:$F$405,$AN2172)&lt;&gt;"",$AO2172&lt;&gt;"",INDEX(職員マスタ!$F$6:$F$405,$AN2172)&lt;$AO2172),"対象月に子が2歳到達済／","")&amp;IF(AND($H2172&lt;&gt;"",INDEX(職員マスタ!$B$6:$B$405,$AN2172)&lt;&gt;"",SUBSTITUTE(SUBSTITUTE($H2172," ","")," ","")&lt;&gt;SUBSTITUTE(SUBSTITUTE(INDEX(職員マスタ!$B$6:$B$405,$AN2172)," ","")," ","")),"氏名がマスタと相違／","")&amp;IF(AND($Q2172&lt;&gt;"",INDEX(職員マスタ!$E$6:$E$405,$AN2172)&lt;&gt;"",$Q2172&lt;&gt;INDEX(職員マスタ!$E$6:$E$405,$AN2172)),"子の生年月日がマスタと相違／","")&amp;IF(AND($L2172&lt;&gt;"",INDEX(職員マスタ!$G$6:$G$405,$AN2172)&lt;&gt;"",$L2172&lt;&gt;INDEX(職員マスタ!$G$6:$G$405,$AN2172)),"時短開始日がマスタと相違／","")&amp;IF(AND($M2172&lt;&gt;"",INDEX(職員マスタ!$H$6:$H$405,$AN2172)&lt;&gt;"",$M2172&lt;&gt;INDEX(職員マスタ!$H$6:$H$405,$AN2172)),"時短終了日がマスタと相違／","")))&amp;IF(AND($B2172&lt;&gt;"",$E2172=""),"報酬額が未入力／","")&amp;IF(N($U2172)&gt;0,"申請書に入力エラーが残っています／","")&amp;IF(AND($B2172&lt;&gt;"",$AO2172&lt;&gt;""),IF(COUNTIFS($B$6:$B$3005,$B2172,$C$6:$C$3005,$C2172,$D$6:$D$3005,$D2172)&gt;1,"同じ月の請求が重複しています／",""),"")&amp;IF(AND(N($E2172)&gt;0,$Z2172&lt;&gt;"",$Z2172&lt;&gt;"×",$AC2172=0,$AB2172=""),"計算額が下限以下のため不支給／",""))</f>
        <v/>
      </c>
      <c r="AL2172" s="12" t="n"/>
      <c r="AM2172" s="14">
        <f>IF($AD2172="保留中",COUNTIF($AD$6:$AD2172,"保留中"),"")</f>
        <v/>
      </c>
      <c r="AN2172" s="14">
        <f>IF($AO2172="","",IF(SUMPRODUCT(MAX((職員マスタ!$A$6:$A$405=$B2172)*(((職員マスタ!$G$6:$G$405="")+(職員マスタ!$G$6:$G$405&lt;=EOMONTH($AO2172,0)))&gt;0)*(((職員マスタ!$H$6:$H$405="")+(職員マスタ!$H$6:$H$405&gt;=$AO2172))&gt;0)*(ROW(職員マスタ!$A$6:$A$405)-5)))&gt;0,SUMPRODUCT(MAX((職員マスタ!$A$6:$A$405=$B2172)*(((職員マスタ!$G$6:$G$405="")+(職員マスタ!$G$6:$G$405&lt;=EOMONTH($AO2172,0)))&gt;0)*(((職員マスタ!$H$6:$H$405="")+(職員マスタ!$H$6:$H$405&gt;=$AO2172))&gt;0)*(ROW(職員マスタ!$A$6:$A$405)-5))),IFERROR(MATCH($B2172,職員マスタ!$A$6:$A$405,0),"")))</f>
        <v/>
      </c>
      <c r="AO2172" s="16">
        <f>IF(OR($B2172="",$C2172="",$D2172=""),"",DATE($C2172+2018,$D2172,1))</f>
        <v/>
      </c>
    </row>
    <row r="2173">
      <c r="A2173" s="11" t="n"/>
      <c r="B2173" s="12" t="n"/>
      <c r="C2173" s="12" t="n"/>
      <c r="D2173" s="12" t="n"/>
      <c r="E2173" s="13" t="n"/>
      <c r="F2173" s="12" t="n"/>
      <c r="G2173" s="13" t="n"/>
      <c r="H2173" s="12" t="n"/>
      <c r="I2173" s="12" t="n"/>
      <c r="J2173" s="12" t="n"/>
      <c r="K2173" s="12" t="n"/>
      <c r="L2173" s="11" t="n"/>
      <c r="M2173" s="11" t="n"/>
      <c r="N2173" s="11" t="n"/>
      <c r="O2173" s="11" t="n"/>
      <c r="P2173" s="12" t="n"/>
      <c r="Q2173" s="11" t="n"/>
      <c r="R2173" s="12" t="n"/>
      <c r="S2173" s="11" t="n"/>
      <c r="T2173" s="12" t="n"/>
      <c r="U2173" s="12" t="n"/>
      <c r="V2173" s="14">
        <f>IF($AN2173="",IF($B2173="","",$H2173),IF(INDEX(職員マスタ!$B$6:$B$405,$AN2173)="",$H2173,INDEX(職員マスタ!$B$6:$B$405,$AN2173)))</f>
        <v/>
      </c>
      <c r="W2173" s="14">
        <f>IF($AN2173="",IF($B2173="","",$R2173),IF(INDEX(職員マスタ!$C$6:$C$405,$AN2173)="",$R2173,INDEX(職員マスタ!$C$6:$C$405,$AN2173)))</f>
        <v/>
      </c>
      <c r="X2173" s="14">
        <f>IF($AO2173="","","R"&amp;$C2173&amp;"."&amp;$D2173)</f>
        <v/>
      </c>
      <c r="Y2173" s="15">
        <f>IF($AN2173="","",IF(INDEX(職員マスタ!$K$6:$K$405,$AN2173)="","",INDEX(職員マスタ!$K$6:$K$405,$AN2173)))</f>
        <v/>
      </c>
      <c r="Z2173" s="14">
        <f>IF(OR($E2173="",$Y2173=""),"",IF($E2173&gt;=$Y2173,"×",IF($E2173&gt;=$Y2173*設定!$C$5,"△","○")))</f>
        <v/>
      </c>
      <c r="AA2173" s="15">
        <f>IF($Z2173="","",IF($Z2173="×",0,IF($Z2173="○",ROUNDDOWN($E2173*設定!$C$4,0),ROUNDDOWN($E2173*ROUND((9*$Y2173-9*$E2173)/(10*$E2173),4),0))))</f>
        <v/>
      </c>
      <c r="AB2173" s="13" t="n"/>
      <c r="AC2173" s="15">
        <f>IF($B2173="","",IF($AB2173&lt;&gt;"",$AB2173,IF($AA2173="","",IF($AA2173&lt;=設定!$C$3,0,$AA2173))))</f>
        <v/>
      </c>
      <c r="AD2173" s="14">
        <f>IF($B2173="","",IF(AND($AE2173&lt;&gt;"",$AG2173="",$AJ2173=""),"保留中",IF($AJ2173&lt;&gt;"",IF(N($AC2173)&gt;0,"支給済","不支給"),IF($AC2173="","要確認",IF($AC2173=0,"不支給","未処理")))))</f>
        <v/>
      </c>
      <c r="AE2173" s="12" t="n"/>
      <c r="AF2173" s="11" t="n"/>
      <c r="AG2173" s="11" t="n"/>
      <c r="AH2173" s="11" t="n"/>
      <c r="AI2173" s="14">
        <f>IF(AND($AD2173="保留中",$AF2173&lt;&gt;""),TODAY()-$AF2173,"")</f>
        <v/>
      </c>
      <c r="AJ2173" s="12" t="n"/>
      <c r="AK2173" s="14">
        <f>IF($B2173="","",IF($AO2173="","対象年月が未入力／","")&amp;IF($B2173="","",IF($AN2173="","職員マスタに未登録の職員番号／",IF($Y2173="","標準報酬月額が未登録／","")&amp;IF(AND($AO2173&lt;&gt;"",OR(AND(INDEX(職員マスタ!$G$6:$G$405,$AN2173)&lt;&gt;"",INDEX(職員マスタ!$G$6:$G$405,$AN2173)&gt;EOMONTH($AO2173,0)),AND(INDEX(職員マスタ!$H$6:$H$405,$AN2173)&lt;&gt;"",INDEX(職員マスタ!$H$6:$H$405,$AN2173)&lt;$AO2173))),"対象月が時短期間外／","")&amp;IF(AND(INDEX(職員マスタ!$F$6:$F$405,$AN2173)&lt;&gt;"",$AO2173&lt;&gt;"",INDEX(職員マスタ!$F$6:$F$405,$AN2173)&lt;$AO2173),"対象月に子が2歳到達済／","")&amp;IF(AND($H2173&lt;&gt;"",INDEX(職員マスタ!$B$6:$B$405,$AN2173)&lt;&gt;"",SUBSTITUTE(SUBSTITUTE($H2173," ","")," ","")&lt;&gt;SUBSTITUTE(SUBSTITUTE(INDEX(職員マスタ!$B$6:$B$405,$AN2173)," ","")," ","")),"氏名がマスタと相違／","")&amp;IF(AND($Q2173&lt;&gt;"",INDEX(職員マスタ!$E$6:$E$405,$AN2173)&lt;&gt;"",$Q2173&lt;&gt;INDEX(職員マスタ!$E$6:$E$405,$AN2173)),"子の生年月日がマスタと相違／","")&amp;IF(AND($L2173&lt;&gt;"",INDEX(職員マスタ!$G$6:$G$405,$AN2173)&lt;&gt;"",$L2173&lt;&gt;INDEX(職員マスタ!$G$6:$G$405,$AN2173)),"時短開始日がマスタと相違／","")&amp;IF(AND($M2173&lt;&gt;"",INDEX(職員マスタ!$H$6:$H$405,$AN2173)&lt;&gt;"",$M2173&lt;&gt;INDEX(職員マスタ!$H$6:$H$405,$AN2173)),"時短終了日がマスタと相違／","")))&amp;IF(AND($B2173&lt;&gt;"",$E2173=""),"報酬額が未入力／","")&amp;IF(N($U2173)&gt;0,"申請書に入力エラーが残っています／","")&amp;IF(AND($B2173&lt;&gt;"",$AO2173&lt;&gt;""),IF(COUNTIFS($B$6:$B$3005,$B2173,$C$6:$C$3005,$C2173,$D$6:$D$3005,$D2173)&gt;1,"同じ月の請求が重複しています／",""),"")&amp;IF(AND(N($E2173)&gt;0,$Z2173&lt;&gt;"",$Z2173&lt;&gt;"×",$AC2173=0,$AB2173=""),"計算額が下限以下のため不支給／",""))</f>
        <v/>
      </c>
      <c r="AL2173" s="12" t="n"/>
      <c r="AM2173" s="14">
        <f>IF($AD2173="保留中",COUNTIF($AD$6:$AD2173,"保留中"),"")</f>
        <v/>
      </c>
      <c r="AN2173" s="14">
        <f>IF($AO2173="","",IF(SUMPRODUCT(MAX((職員マスタ!$A$6:$A$405=$B2173)*(((職員マスタ!$G$6:$G$405="")+(職員マスタ!$G$6:$G$405&lt;=EOMONTH($AO2173,0)))&gt;0)*(((職員マスタ!$H$6:$H$405="")+(職員マスタ!$H$6:$H$405&gt;=$AO2173))&gt;0)*(ROW(職員マスタ!$A$6:$A$405)-5)))&gt;0,SUMPRODUCT(MAX((職員マスタ!$A$6:$A$405=$B2173)*(((職員マスタ!$G$6:$G$405="")+(職員マスタ!$G$6:$G$405&lt;=EOMONTH($AO2173,0)))&gt;0)*(((職員マスタ!$H$6:$H$405="")+(職員マスタ!$H$6:$H$405&gt;=$AO2173))&gt;0)*(ROW(職員マスタ!$A$6:$A$405)-5))),IFERROR(MATCH($B2173,職員マスタ!$A$6:$A$405,0),"")))</f>
        <v/>
      </c>
      <c r="AO2173" s="16">
        <f>IF(OR($B2173="",$C2173="",$D2173=""),"",DATE($C2173+2018,$D2173,1))</f>
        <v/>
      </c>
    </row>
    <row r="2174">
      <c r="A2174" s="11" t="n"/>
      <c r="B2174" s="12" t="n"/>
      <c r="C2174" s="12" t="n"/>
      <c r="D2174" s="12" t="n"/>
      <c r="E2174" s="13" t="n"/>
      <c r="F2174" s="12" t="n"/>
      <c r="G2174" s="13" t="n"/>
      <c r="H2174" s="12" t="n"/>
      <c r="I2174" s="12" t="n"/>
      <c r="J2174" s="12" t="n"/>
      <c r="K2174" s="12" t="n"/>
      <c r="L2174" s="11" t="n"/>
      <c r="M2174" s="11" t="n"/>
      <c r="N2174" s="11" t="n"/>
      <c r="O2174" s="11" t="n"/>
      <c r="P2174" s="12" t="n"/>
      <c r="Q2174" s="11" t="n"/>
      <c r="R2174" s="12" t="n"/>
      <c r="S2174" s="11" t="n"/>
      <c r="T2174" s="12" t="n"/>
      <c r="U2174" s="12" t="n"/>
      <c r="V2174" s="14">
        <f>IF($AN2174="",IF($B2174="","",$H2174),IF(INDEX(職員マスタ!$B$6:$B$405,$AN2174)="",$H2174,INDEX(職員マスタ!$B$6:$B$405,$AN2174)))</f>
        <v/>
      </c>
      <c r="W2174" s="14">
        <f>IF($AN2174="",IF($B2174="","",$R2174),IF(INDEX(職員マスタ!$C$6:$C$405,$AN2174)="",$R2174,INDEX(職員マスタ!$C$6:$C$405,$AN2174)))</f>
        <v/>
      </c>
      <c r="X2174" s="14">
        <f>IF($AO2174="","","R"&amp;$C2174&amp;"."&amp;$D2174)</f>
        <v/>
      </c>
      <c r="Y2174" s="15">
        <f>IF($AN2174="","",IF(INDEX(職員マスタ!$K$6:$K$405,$AN2174)="","",INDEX(職員マスタ!$K$6:$K$405,$AN2174)))</f>
        <v/>
      </c>
      <c r="Z2174" s="14">
        <f>IF(OR($E2174="",$Y2174=""),"",IF($E2174&gt;=$Y2174,"×",IF($E2174&gt;=$Y2174*設定!$C$5,"△","○")))</f>
        <v/>
      </c>
      <c r="AA2174" s="15">
        <f>IF($Z2174="","",IF($Z2174="×",0,IF($Z2174="○",ROUNDDOWN($E2174*設定!$C$4,0),ROUNDDOWN($E2174*ROUND((9*$Y2174-9*$E2174)/(10*$E2174),4),0))))</f>
        <v/>
      </c>
      <c r="AB2174" s="13" t="n"/>
      <c r="AC2174" s="15">
        <f>IF($B2174="","",IF($AB2174&lt;&gt;"",$AB2174,IF($AA2174="","",IF($AA2174&lt;=設定!$C$3,0,$AA2174))))</f>
        <v/>
      </c>
      <c r="AD2174" s="14">
        <f>IF($B2174="","",IF(AND($AE2174&lt;&gt;"",$AG2174="",$AJ2174=""),"保留中",IF($AJ2174&lt;&gt;"",IF(N($AC2174)&gt;0,"支給済","不支給"),IF($AC2174="","要確認",IF($AC2174=0,"不支給","未処理")))))</f>
        <v/>
      </c>
      <c r="AE2174" s="12" t="n"/>
      <c r="AF2174" s="11" t="n"/>
      <c r="AG2174" s="11" t="n"/>
      <c r="AH2174" s="11" t="n"/>
      <c r="AI2174" s="14">
        <f>IF(AND($AD2174="保留中",$AF2174&lt;&gt;""),TODAY()-$AF2174,"")</f>
        <v/>
      </c>
      <c r="AJ2174" s="12" t="n"/>
      <c r="AK2174" s="14">
        <f>IF($B2174="","",IF($AO2174="","対象年月が未入力／","")&amp;IF($B2174="","",IF($AN2174="","職員マスタに未登録の職員番号／",IF($Y2174="","標準報酬月額が未登録／","")&amp;IF(AND($AO2174&lt;&gt;"",OR(AND(INDEX(職員マスタ!$G$6:$G$405,$AN2174)&lt;&gt;"",INDEX(職員マスタ!$G$6:$G$405,$AN2174)&gt;EOMONTH($AO2174,0)),AND(INDEX(職員マスタ!$H$6:$H$405,$AN2174)&lt;&gt;"",INDEX(職員マスタ!$H$6:$H$405,$AN2174)&lt;$AO2174))),"対象月が時短期間外／","")&amp;IF(AND(INDEX(職員マスタ!$F$6:$F$405,$AN2174)&lt;&gt;"",$AO2174&lt;&gt;"",INDEX(職員マスタ!$F$6:$F$405,$AN2174)&lt;$AO2174),"対象月に子が2歳到達済／","")&amp;IF(AND($H2174&lt;&gt;"",INDEX(職員マスタ!$B$6:$B$405,$AN2174)&lt;&gt;"",SUBSTITUTE(SUBSTITUTE($H2174," ","")," ","")&lt;&gt;SUBSTITUTE(SUBSTITUTE(INDEX(職員マスタ!$B$6:$B$405,$AN2174)," ","")," ","")),"氏名がマスタと相違／","")&amp;IF(AND($Q2174&lt;&gt;"",INDEX(職員マスタ!$E$6:$E$405,$AN2174)&lt;&gt;"",$Q2174&lt;&gt;INDEX(職員マスタ!$E$6:$E$405,$AN2174)),"子の生年月日がマスタと相違／","")&amp;IF(AND($L2174&lt;&gt;"",INDEX(職員マスタ!$G$6:$G$405,$AN2174)&lt;&gt;"",$L2174&lt;&gt;INDEX(職員マスタ!$G$6:$G$405,$AN2174)),"時短開始日がマスタと相違／","")&amp;IF(AND($M2174&lt;&gt;"",INDEX(職員マスタ!$H$6:$H$405,$AN2174)&lt;&gt;"",$M2174&lt;&gt;INDEX(職員マスタ!$H$6:$H$405,$AN2174)),"時短終了日がマスタと相違／","")))&amp;IF(AND($B2174&lt;&gt;"",$E2174=""),"報酬額が未入力／","")&amp;IF(N($U2174)&gt;0,"申請書に入力エラーが残っています／","")&amp;IF(AND($B2174&lt;&gt;"",$AO2174&lt;&gt;""),IF(COUNTIFS($B$6:$B$3005,$B2174,$C$6:$C$3005,$C2174,$D$6:$D$3005,$D2174)&gt;1,"同じ月の請求が重複しています／",""),"")&amp;IF(AND(N($E2174)&gt;0,$Z2174&lt;&gt;"",$Z2174&lt;&gt;"×",$AC2174=0,$AB2174=""),"計算額が下限以下のため不支給／",""))</f>
        <v/>
      </c>
      <c r="AL2174" s="12" t="n"/>
      <c r="AM2174" s="14">
        <f>IF($AD2174="保留中",COUNTIF($AD$6:$AD2174,"保留中"),"")</f>
        <v/>
      </c>
      <c r="AN2174" s="14">
        <f>IF($AO2174="","",IF(SUMPRODUCT(MAX((職員マスタ!$A$6:$A$405=$B2174)*(((職員マスタ!$G$6:$G$405="")+(職員マスタ!$G$6:$G$405&lt;=EOMONTH($AO2174,0)))&gt;0)*(((職員マスタ!$H$6:$H$405="")+(職員マスタ!$H$6:$H$405&gt;=$AO2174))&gt;0)*(ROW(職員マスタ!$A$6:$A$405)-5)))&gt;0,SUMPRODUCT(MAX((職員マスタ!$A$6:$A$405=$B2174)*(((職員マスタ!$G$6:$G$405="")+(職員マスタ!$G$6:$G$405&lt;=EOMONTH($AO2174,0)))&gt;0)*(((職員マスタ!$H$6:$H$405="")+(職員マスタ!$H$6:$H$405&gt;=$AO2174))&gt;0)*(ROW(職員マスタ!$A$6:$A$405)-5))),IFERROR(MATCH($B2174,職員マスタ!$A$6:$A$405,0),"")))</f>
        <v/>
      </c>
      <c r="AO2174" s="16">
        <f>IF(OR($B2174="",$C2174="",$D2174=""),"",DATE($C2174+2018,$D2174,1))</f>
        <v/>
      </c>
    </row>
    <row r="2175">
      <c r="A2175" s="11" t="n"/>
      <c r="B2175" s="12" t="n"/>
      <c r="C2175" s="12" t="n"/>
      <c r="D2175" s="12" t="n"/>
      <c r="E2175" s="13" t="n"/>
      <c r="F2175" s="12" t="n"/>
      <c r="G2175" s="13" t="n"/>
      <c r="H2175" s="12" t="n"/>
      <c r="I2175" s="12" t="n"/>
      <c r="J2175" s="12" t="n"/>
      <c r="K2175" s="12" t="n"/>
      <c r="L2175" s="11" t="n"/>
      <c r="M2175" s="11" t="n"/>
      <c r="N2175" s="11" t="n"/>
      <c r="O2175" s="11" t="n"/>
      <c r="P2175" s="12" t="n"/>
      <c r="Q2175" s="11" t="n"/>
      <c r="R2175" s="12" t="n"/>
      <c r="S2175" s="11" t="n"/>
      <c r="T2175" s="12" t="n"/>
      <c r="U2175" s="12" t="n"/>
      <c r="V2175" s="14">
        <f>IF($AN2175="",IF($B2175="","",$H2175),IF(INDEX(職員マスタ!$B$6:$B$405,$AN2175)="",$H2175,INDEX(職員マスタ!$B$6:$B$405,$AN2175)))</f>
        <v/>
      </c>
      <c r="W2175" s="14">
        <f>IF($AN2175="",IF($B2175="","",$R2175),IF(INDEX(職員マスタ!$C$6:$C$405,$AN2175)="",$R2175,INDEX(職員マスタ!$C$6:$C$405,$AN2175)))</f>
        <v/>
      </c>
      <c r="X2175" s="14">
        <f>IF($AO2175="","","R"&amp;$C2175&amp;"."&amp;$D2175)</f>
        <v/>
      </c>
      <c r="Y2175" s="15">
        <f>IF($AN2175="","",IF(INDEX(職員マスタ!$K$6:$K$405,$AN2175)="","",INDEX(職員マスタ!$K$6:$K$405,$AN2175)))</f>
        <v/>
      </c>
      <c r="Z2175" s="14">
        <f>IF(OR($E2175="",$Y2175=""),"",IF($E2175&gt;=$Y2175,"×",IF($E2175&gt;=$Y2175*設定!$C$5,"△","○")))</f>
        <v/>
      </c>
      <c r="AA2175" s="15">
        <f>IF($Z2175="","",IF($Z2175="×",0,IF($Z2175="○",ROUNDDOWN($E2175*設定!$C$4,0),ROUNDDOWN($E2175*ROUND((9*$Y2175-9*$E2175)/(10*$E2175),4),0))))</f>
        <v/>
      </c>
      <c r="AB2175" s="13" t="n"/>
      <c r="AC2175" s="15">
        <f>IF($B2175="","",IF($AB2175&lt;&gt;"",$AB2175,IF($AA2175="","",IF($AA2175&lt;=設定!$C$3,0,$AA2175))))</f>
        <v/>
      </c>
      <c r="AD2175" s="14">
        <f>IF($B2175="","",IF(AND($AE2175&lt;&gt;"",$AG2175="",$AJ2175=""),"保留中",IF($AJ2175&lt;&gt;"",IF(N($AC2175)&gt;0,"支給済","不支給"),IF($AC2175="","要確認",IF($AC2175=0,"不支給","未処理")))))</f>
        <v/>
      </c>
      <c r="AE2175" s="12" t="n"/>
      <c r="AF2175" s="11" t="n"/>
      <c r="AG2175" s="11" t="n"/>
      <c r="AH2175" s="11" t="n"/>
      <c r="AI2175" s="14">
        <f>IF(AND($AD2175="保留中",$AF2175&lt;&gt;""),TODAY()-$AF2175,"")</f>
        <v/>
      </c>
      <c r="AJ2175" s="12" t="n"/>
      <c r="AK2175" s="14">
        <f>IF($B2175="","",IF($AO2175="","対象年月が未入力／","")&amp;IF($B2175="","",IF($AN2175="","職員マスタに未登録の職員番号／",IF($Y2175="","標準報酬月額が未登録／","")&amp;IF(AND($AO2175&lt;&gt;"",OR(AND(INDEX(職員マスタ!$G$6:$G$405,$AN2175)&lt;&gt;"",INDEX(職員マスタ!$G$6:$G$405,$AN2175)&gt;EOMONTH($AO2175,0)),AND(INDEX(職員マスタ!$H$6:$H$405,$AN2175)&lt;&gt;"",INDEX(職員マスタ!$H$6:$H$405,$AN2175)&lt;$AO2175))),"対象月が時短期間外／","")&amp;IF(AND(INDEX(職員マスタ!$F$6:$F$405,$AN2175)&lt;&gt;"",$AO2175&lt;&gt;"",INDEX(職員マスタ!$F$6:$F$405,$AN2175)&lt;$AO2175),"対象月に子が2歳到達済／","")&amp;IF(AND($H2175&lt;&gt;"",INDEX(職員マスタ!$B$6:$B$405,$AN2175)&lt;&gt;"",SUBSTITUTE(SUBSTITUTE($H2175," ","")," ","")&lt;&gt;SUBSTITUTE(SUBSTITUTE(INDEX(職員マスタ!$B$6:$B$405,$AN2175)," ","")," ","")),"氏名がマスタと相違／","")&amp;IF(AND($Q2175&lt;&gt;"",INDEX(職員マスタ!$E$6:$E$405,$AN2175)&lt;&gt;"",$Q2175&lt;&gt;INDEX(職員マスタ!$E$6:$E$405,$AN2175)),"子の生年月日がマスタと相違／","")&amp;IF(AND($L2175&lt;&gt;"",INDEX(職員マスタ!$G$6:$G$405,$AN2175)&lt;&gt;"",$L2175&lt;&gt;INDEX(職員マスタ!$G$6:$G$405,$AN2175)),"時短開始日がマスタと相違／","")&amp;IF(AND($M2175&lt;&gt;"",INDEX(職員マスタ!$H$6:$H$405,$AN2175)&lt;&gt;"",$M2175&lt;&gt;INDEX(職員マスタ!$H$6:$H$405,$AN2175)),"時短終了日がマスタと相違／","")))&amp;IF(AND($B2175&lt;&gt;"",$E2175=""),"報酬額が未入力／","")&amp;IF(N($U2175)&gt;0,"申請書に入力エラーが残っています／","")&amp;IF(AND($B2175&lt;&gt;"",$AO2175&lt;&gt;""),IF(COUNTIFS($B$6:$B$3005,$B2175,$C$6:$C$3005,$C2175,$D$6:$D$3005,$D2175)&gt;1,"同じ月の請求が重複しています／",""),"")&amp;IF(AND(N($E2175)&gt;0,$Z2175&lt;&gt;"",$Z2175&lt;&gt;"×",$AC2175=0,$AB2175=""),"計算額が下限以下のため不支給／",""))</f>
        <v/>
      </c>
      <c r="AL2175" s="12" t="n"/>
      <c r="AM2175" s="14">
        <f>IF($AD2175="保留中",COUNTIF($AD$6:$AD2175,"保留中"),"")</f>
        <v/>
      </c>
      <c r="AN2175" s="14">
        <f>IF($AO2175="","",IF(SUMPRODUCT(MAX((職員マスタ!$A$6:$A$405=$B2175)*(((職員マスタ!$G$6:$G$405="")+(職員マスタ!$G$6:$G$405&lt;=EOMONTH($AO2175,0)))&gt;0)*(((職員マスタ!$H$6:$H$405="")+(職員マスタ!$H$6:$H$405&gt;=$AO2175))&gt;0)*(ROW(職員マスタ!$A$6:$A$405)-5)))&gt;0,SUMPRODUCT(MAX((職員マスタ!$A$6:$A$405=$B2175)*(((職員マスタ!$G$6:$G$405="")+(職員マスタ!$G$6:$G$405&lt;=EOMONTH($AO2175,0)))&gt;0)*(((職員マスタ!$H$6:$H$405="")+(職員マスタ!$H$6:$H$405&gt;=$AO2175))&gt;0)*(ROW(職員マスタ!$A$6:$A$405)-5))),IFERROR(MATCH($B2175,職員マスタ!$A$6:$A$405,0),"")))</f>
        <v/>
      </c>
      <c r="AO2175" s="16">
        <f>IF(OR($B2175="",$C2175="",$D2175=""),"",DATE($C2175+2018,$D2175,1))</f>
        <v/>
      </c>
    </row>
    <row r="2176">
      <c r="A2176" s="11" t="n"/>
      <c r="B2176" s="12" t="n"/>
      <c r="C2176" s="12" t="n"/>
      <c r="D2176" s="12" t="n"/>
      <c r="E2176" s="13" t="n"/>
      <c r="F2176" s="12" t="n"/>
      <c r="G2176" s="13" t="n"/>
      <c r="H2176" s="12" t="n"/>
      <c r="I2176" s="12" t="n"/>
      <c r="J2176" s="12" t="n"/>
      <c r="K2176" s="12" t="n"/>
      <c r="L2176" s="11" t="n"/>
      <c r="M2176" s="11" t="n"/>
      <c r="N2176" s="11" t="n"/>
      <c r="O2176" s="11" t="n"/>
      <c r="P2176" s="12" t="n"/>
      <c r="Q2176" s="11" t="n"/>
      <c r="R2176" s="12" t="n"/>
      <c r="S2176" s="11" t="n"/>
      <c r="T2176" s="12" t="n"/>
      <c r="U2176" s="12" t="n"/>
      <c r="V2176" s="14">
        <f>IF($AN2176="",IF($B2176="","",$H2176),IF(INDEX(職員マスタ!$B$6:$B$405,$AN2176)="",$H2176,INDEX(職員マスタ!$B$6:$B$405,$AN2176)))</f>
        <v/>
      </c>
      <c r="W2176" s="14">
        <f>IF($AN2176="",IF($B2176="","",$R2176),IF(INDEX(職員マスタ!$C$6:$C$405,$AN2176)="",$R2176,INDEX(職員マスタ!$C$6:$C$405,$AN2176)))</f>
        <v/>
      </c>
      <c r="X2176" s="14">
        <f>IF($AO2176="","","R"&amp;$C2176&amp;"."&amp;$D2176)</f>
        <v/>
      </c>
      <c r="Y2176" s="15">
        <f>IF($AN2176="","",IF(INDEX(職員マスタ!$K$6:$K$405,$AN2176)="","",INDEX(職員マスタ!$K$6:$K$405,$AN2176)))</f>
        <v/>
      </c>
      <c r="Z2176" s="14">
        <f>IF(OR($E2176="",$Y2176=""),"",IF($E2176&gt;=$Y2176,"×",IF($E2176&gt;=$Y2176*設定!$C$5,"△","○")))</f>
        <v/>
      </c>
      <c r="AA2176" s="15">
        <f>IF($Z2176="","",IF($Z2176="×",0,IF($Z2176="○",ROUNDDOWN($E2176*設定!$C$4,0),ROUNDDOWN($E2176*ROUND((9*$Y2176-9*$E2176)/(10*$E2176),4),0))))</f>
        <v/>
      </c>
      <c r="AB2176" s="13" t="n"/>
      <c r="AC2176" s="15">
        <f>IF($B2176="","",IF($AB2176&lt;&gt;"",$AB2176,IF($AA2176="","",IF($AA2176&lt;=設定!$C$3,0,$AA2176))))</f>
        <v/>
      </c>
      <c r="AD2176" s="14">
        <f>IF($B2176="","",IF(AND($AE2176&lt;&gt;"",$AG2176="",$AJ2176=""),"保留中",IF($AJ2176&lt;&gt;"",IF(N($AC2176)&gt;0,"支給済","不支給"),IF($AC2176="","要確認",IF($AC2176=0,"不支給","未処理")))))</f>
        <v/>
      </c>
      <c r="AE2176" s="12" t="n"/>
      <c r="AF2176" s="11" t="n"/>
      <c r="AG2176" s="11" t="n"/>
      <c r="AH2176" s="11" t="n"/>
      <c r="AI2176" s="14">
        <f>IF(AND($AD2176="保留中",$AF2176&lt;&gt;""),TODAY()-$AF2176,"")</f>
        <v/>
      </c>
      <c r="AJ2176" s="12" t="n"/>
      <c r="AK2176" s="14">
        <f>IF($B2176="","",IF($AO2176="","対象年月が未入力／","")&amp;IF($B2176="","",IF($AN2176="","職員マスタに未登録の職員番号／",IF($Y2176="","標準報酬月額が未登録／","")&amp;IF(AND($AO2176&lt;&gt;"",OR(AND(INDEX(職員マスタ!$G$6:$G$405,$AN2176)&lt;&gt;"",INDEX(職員マスタ!$G$6:$G$405,$AN2176)&gt;EOMONTH($AO2176,0)),AND(INDEX(職員マスタ!$H$6:$H$405,$AN2176)&lt;&gt;"",INDEX(職員マスタ!$H$6:$H$405,$AN2176)&lt;$AO2176))),"対象月が時短期間外／","")&amp;IF(AND(INDEX(職員マスタ!$F$6:$F$405,$AN2176)&lt;&gt;"",$AO2176&lt;&gt;"",INDEX(職員マスタ!$F$6:$F$405,$AN2176)&lt;$AO2176),"対象月に子が2歳到達済／","")&amp;IF(AND($H2176&lt;&gt;"",INDEX(職員マスタ!$B$6:$B$405,$AN2176)&lt;&gt;"",SUBSTITUTE(SUBSTITUTE($H2176," ","")," ","")&lt;&gt;SUBSTITUTE(SUBSTITUTE(INDEX(職員マスタ!$B$6:$B$405,$AN2176)," ","")," ","")),"氏名がマスタと相違／","")&amp;IF(AND($Q2176&lt;&gt;"",INDEX(職員マスタ!$E$6:$E$405,$AN2176)&lt;&gt;"",$Q2176&lt;&gt;INDEX(職員マスタ!$E$6:$E$405,$AN2176)),"子の生年月日がマスタと相違／","")&amp;IF(AND($L2176&lt;&gt;"",INDEX(職員マスタ!$G$6:$G$405,$AN2176)&lt;&gt;"",$L2176&lt;&gt;INDEX(職員マスタ!$G$6:$G$405,$AN2176)),"時短開始日がマスタと相違／","")&amp;IF(AND($M2176&lt;&gt;"",INDEX(職員マスタ!$H$6:$H$405,$AN2176)&lt;&gt;"",$M2176&lt;&gt;INDEX(職員マスタ!$H$6:$H$405,$AN2176)),"時短終了日がマスタと相違／","")))&amp;IF(AND($B2176&lt;&gt;"",$E2176=""),"報酬額が未入力／","")&amp;IF(N($U2176)&gt;0,"申請書に入力エラーが残っています／","")&amp;IF(AND($B2176&lt;&gt;"",$AO2176&lt;&gt;""),IF(COUNTIFS($B$6:$B$3005,$B2176,$C$6:$C$3005,$C2176,$D$6:$D$3005,$D2176)&gt;1,"同じ月の請求が重複しています／",""),"")&amp;IF(AND(N($E2176)&gt;0,$Z2176&lt;&gt;"",$Z2176&lt;&gt;"×",$AC2176=0,$AB2176=""),"計算額が下限以下のため不支給／",""))</f>
        <v/>
      </c>
      <c r="AL2176" s="12" t="n"/>
      <c r="AM2176" s="14">
        <f>IF($AD2176="保留中",COUNTIF($AD$6:$AD2176,"保留中"),"")</f>
        <v/>
      </c>
      <c r="AN2176" s="14">
        <f>IF($AO2176="","",IF(SUMPRODUCT(MAX((職員マスタ!$A$6:$A$405=$B2176)*(((職員マスタ!$G$6:$G$405="")+(職員マスタ!$G$6:$G$405&lt;=EOMONTH($AO2176,0)))&gt;0)*(((職員マスタ!$H$6:$H$405="")+(職員マスタ!$H$6:$H$405&gt;=$AO2176))&gt;0)*(ROW(職員マスタ!$A$6:$A$405)-5)))&gt;0,SUMPRODUCT(MAX((職員マスタ!$A$6:$A$405=$B2176)*(((職員マスタ!$G$6:$G$405="")+(職員マスタ!$G$6:$G$405&lt;=EOMONTH($AO2176,0)))&gt;0)*(((職員マスタ!$H$6:$H$405="")+(職員マスタ!$H$6:$H$405&gt;=$AO2176))&gt;0)*(ROW(職員マスタ!$A$6:$A$405)-5))),IFERROR(MATCH($B2176,職員マスタ!$A$6:$A$405,0),"")))</f>
        <v/>
      </c>
      <c r="AO2176" s="16">
        <f>IF(OR($B2176="",$C2176="",$D2176=""),"",DATE($C2176+2018,$D2176,1))</f>
        <v/>
      </c>
    </row>
    <row r="2177">
      <c r="A2177" s="11" t="n"/>
      <c r="B2177" s="12" t="n"/>
      <c r="C2177" s="12" t="n"/>
      <c r="D2177" s="12" t="n"/>
      <c r="E2177" s="13" t="n"/>
      <c r="F2177" s="12" t="n"/>
      <c r="G2177" s="13" t="n"/>
      <c r="H2177" s="12" t="n"/>
      <c r="I2177" s="12" t="n"/>
      <c r="J2177" s="12" t="n"/>
      <c r="K2177" s="12" t="n"/>
      <c r="L2177" s="11" t="n"/>
      <c r="M2177" s="11" t="n"/>
      <c r="N2177" s="11" t="n"/>
      <c r="O2177" s="11" t="n"/>
      <c r="P2177" s="12" t="n"/>
      <c r="Q2177" s="11" t="n"/>
      <c r="R2177" s="12" t="n"/>
      <c r="S2177" s="11" t="n"/>
      <c r="T2177" s="12" t="n"/>
      <c r="U2177" s="12" t="n"/>
      <c r="V2177" s="14">
        <f>IF($AN2177="",IF($B2177="","",$H2177),IF(INDEX(職員マスタ!$B$6:$B$405,$AN2177)="",$H2177,INDEX(職員マスタ!$B$6:$B$405,$AN2177)))</f>
        <v/>
      </c>
      <c r="W2177" s="14">
        <f>IF($AN2177="",IF($B2177="","",$R2177),IF(INDEX(職員マスタ!$C$6:$C$405,$AN2177)="",$R2177,INDEX(職員マスタ!$C$6:$C$405,$AN2177)))</f>
        <v/>
      </c>
      <c r="X2177" s="14">
        <f>IF($AO2177="","","R"&amp;$C2177&amp;"."&amp;$D2177)</f>
        <v/>
      </c>
      <c r="Y2177" s="15">
        <f>IF($AN2177="","",IF(INDEX(職員マスタ!$K$6:$K$405,$AN2177)="","",INDEX(職員マスタ!$K$6:$K$405,$AN2177)))</f>
        <v/>
      </c>
      <c r="Z2177" s="14">
        <f>IF(OR($E2177="",$Y2177=""),"",IF($E2177&gt;=$Y2177,"×",IF($E2177&gt;=$Y2177*設定!$C$5,"△","○")))</f>
        <v/>
      </c>
      <c r="AA2177" s="15">
        <f>IF($Z2177="","",IF($Z2177="×",0,IF($Z2177="○",ROUNDDOWN($E2177*設定!$C$4,0),ROUNDDOWN($E2177*ROUND((9*$Y2177-9*$E2177)/(10*$E2177),4),0))))</f>
        <v/>
      </c>
      <c r="AB2177" s="13" t="n"/>
      <c r="AC2177" s="15">
        <f>IF($B2177="","",IF($AB2177&lt;&gt;"",$AB2177,IF($AA2177="","",IF($AA2177&lt;=設定!$C$3,0,$AA2177))))</f>
        <v/>
      </c>
      <c r="AD2177" s="14">
        <f>IF($B2177="","",IF(AND($AE2177&lt;&gt;"",$AG2177="",$AJ2177=""),"保留中",IF($AJ2177&lt;&gt;"",IF(N($AC2177)&gt;0,"支給済","不支給"),IF($AC2177="","要確認",IF($AC2177=0,"不支給","未処理")))))</f>
        <v/>
      </c>
      <c r="AE2177" s="12" t="n"/>
      <c r="AF2177" s="11" t="n"/>
      <c r="AG2177" s="11" t="n"/>
      <c r="AH2177" s="11" t="n"/>
      <c r="AI2177" s="14">
        <f>IF(AND($AD2177="保留中",$AF2177&lt;&gt;""),TODAY()-$AF2177,"")</f>
        <v/>
      </c>
      <c r="AJ2177" s="12" t="n"/>
      <c r="AK2177" s="14">
        <f>IF($B2177="","",IF($AO2177="","対象年月が未入力／","")&amp;IF($B2177="","",IF($AN2177="","職員マスタに未登録の職員番号／",IF($Y2177="","標準報酬月額が未登録／","")&amp;IF(AND($AO2177&lt;&gt;"",OR(AND(INDEX(職員マスタ!$G$6:$G$405,$AN2177)&lt;&gt;"",INDEX(職員マスタ!$G$6:$G$405,$AN2177)&gt;EOMONTH($AO2177,0)),AND(INDEX(職員マスタ!$H$6:$H$405,$AN2177)&lt;&gt;"",INDEX(職員マスタ!$H$6:$H$405,$AN2177)&lt;$AO2177))),"対象月が時短期間外／","")&amp;IF(AND(INDEX(職員マスタ!$F$6:$F$405,$AN2177)&lt;&gt;"",$AO2177&lt;&gt;"",INDEX(職員マスタ!$F$6:$F$405,$AN2177)&lt;$AO2177),"対象月に子が2歳到達済／","")&amp;IF(AND($H2177&lt;&gt;"",INDEX(職員マスタ!$B$6:$B$405,$AN2177)&lt;&gt;"",SUBSTITUTE(SUBSTITUTE($H2177," ","")," ","")&lt;&gt;SUBSTITUTE(SUBSTITUTE(INDEX(職員マスタ!$B$6:$B$405,$AN2177)," ","")," ","")),"氏名がマスタと相違／","")&amp;IF(AND($Q2177&lt;&gt;"",INDEX(職員マスタ!$E$6:$E$405,$AN2177)&lt;&gt;"",$Q2177&lt;&gt;INDEX(職員マスタ!$E$6:$E$405,$AN2177)),"子の生年月日がマスタと相違／","")&amp;IF(AND($L2177&lt;&gt;"",INDEX(職員マスタ!$G$6:$G$405,$AN2177)&lt;&gt;"",$L2177&lt;&gt;INDEX(職員マスタ!$G$6:$G$405,$AN2177)),"時短開始日がマスタと相違／","")&amp;IF(AND($M2177&lt;&gt;"",INDEX(職員マスタ!$H$6:$H$405,$AN2177)&lt;&gt;"",$M2177&lt;&gt;INDEX(職員マスタ!$H$6:$H$405,$AN2177)),"時短終了日がマスタと相違／","")))&amp;IF(AND($B2177&lt;&gt;"",$E2177=""),"報酬額が未入力／","")&amp;IF(N($U2177)&gt;0,"申請書に入力エラーが残っています／","")&amp;IF(AND($B2177&lt;&gt;"",$AO2177&lt;&gt;""),IF(COUNTIFS($B$6:$B$3005,$B2177,$C$6:$C$3005,$C2177,$D$6:$D$3005,$D2177)&gt;1,"同じ月の請求が重複しています／",""),"")&amp;IF(AND(N($E2177)&gt;0,$Z2177&lt;&gt;"",$Z2177&lt;&gt;"×",$AC2177=0,$AB2177=""),"計算額が下限以下のため不支給／",""))</f>
        <v/>
      </c>
      <c r="AL2177" s="12" t="n"/>
      <c r="AM2177" s="14">
        <f>IF($AD2177="保留中",COUNTIF($AD$6:$AD2177,"保留中"),"")</f>
        <v/>
      </c>
      <c r="AN2177" s="14">
        <f>IF($AO2177="","",IF(SUMPRODUCT(MAX((職員マスタ!$A$6:$A$405=$B2177)*(((職員マスタ!$G$6:$G$405="")+(職員マスタ!$G$6:$G$405&lt;=EOMONTH($AO2177,0)))&gt;0)*(((職員マスタ!$H$6:$H$405="")+(職員マスタ!$H$6:$H$405&gt;=$AO2177))&gt;0)*(ROW(職員マスタ!$A$6:$A$405)-5)))&gt;0,SUMPRODUCT(MAX((職員マスタ!$A$6:$A$405=$B2177)*(((職員マスタ!$G$6:$G$405="")+(職員マスタ!$G$6:$G$405&lt;=EOMONTH($AO2177,0)))&gt;0)*(((職員マスタ!$H$6:$H$405="")+(職員マスタ!$H$6:$H$405&gt;=$AO2177))&gt;0)*(ROW(職員マスタ!$A$6:$A$405)-5))),IFERROR(MATCH($B2177,職員マスタ!$A$6:$A$405,0),"")))</f>
        <v/>
      </c>
      <c r="AO2177" s="16">
        <f>IF(OR($B2177="",$C2177="",$D2177=""),"",DATE($C2177+2018,$D2177,1))</f>
        <v/>
      </c>
    </row>
    <row r="2178">
      <c r="A2178" s="11" t="n"/>
      <c r="B2178" s="12" t="n"/>
      <c r="C2178" s="12" t="n"/>
      <c r="D2178" s="12" t="n"/>
      <c r="E2178" s="13" t="n"/>
      <c r="F2178" s="12" t="n"/>
      <c r="G2178" s="13" t="n"/>
      <c r="H2178" s="12" t="n"/>
      <c r="I2178" s="12" t="n"/>
      <c r="J2178" s="12" t="n"/>
      <c r="K2178" s="12" t="n"/>
      <c r="L2178" s="11" t="n"/>
      <c r="M2178" s="11" t="n"/>
      <c r="N2178" s="11" t="n"/>
      <c r="O2178" s="11" t="n"/>
      <c r="P2178" s="12" t="n"/>
      <c r="Q2178" s="11" t="n"/>
      <c r="R2178" s="12" t="n"/>
      <c r="S2178" s="11" t="n"/>
      <c r="T2178" s="12" t="n"/>
      <c r="U2178" s="12" t="n"/>
      <c r="V2178" s="14">
        <f>IF($AN2178="",IF($B2178="","",$H2178),IF(INDEX(職員マスタ!$B$6:$B$405,$AN2178)="",$H2178,INDEX(職員マスタ!$B$6:$B$405,$AN2178)))</f>
        <v/>
      </c>
      <c r="W2178" s="14">
        <f>IF($AN2178="",IF($B2178="","",$R2178),IF(INDEX(職員マスタ!$C$6:$C$405,$AN2178)="",$R2178,INDEX(職員マスタ!$C$6:$C$405,$AN2178)))</f>
        <v/>
      </c>
      <c r="X2178" s="14">
        <f>IF($AO2178="","","R"&amp;$C2178&amp;"."&amp;$D2178)</f>
        <v/>
      </c>
      <c r="Y2178" s="15">
        <f>IF($AN2178="","",IF(INDEX(職員マスタ!$K$6:$K$405,$AN2178)="","",INDEX(職員マスタ!$K$6:$K$405,$AN2178)))</f>
        <v/>
      </c>
      <c r="Z2178" s="14">
        <f>IF(OR($E2178="",$Y2178=""),"",IF($E2178&gt;=$Y2178,"×",IF($E2178&gt;=$Y2178*設定!$C$5,"△","○")))</f>
        <v/>
      </c>
      <c r="AA2178" s="15">
        <f>IF($Z2178="","",IF($Z2178="×",0,IF($Z2178="○",ROUNDDOWN($E2178*設定!$C$4,0),ROUNDDOWN($E2178*ROUND((9*$Y2178-9*$E2178)/(10*$E2178),4),0))))</f>
        <v/>
      </c>
      <c r="AB2178" s="13" t="n"/>
      <c r="AC2178" s="15">
        <f>IF($B2178="","",IF($AB2178&lt;&gt;"",$AB2178,IF($AA2178="","",IF($AA2178&lt;=設定!$C$3,0,$AA2178))))</f>
        <v/>
      </c>
      <c r="AD2178" s="14">
        <f>IF($B2178="","",IF(AND($AE2178&lt;&gt;"",$AG2178="",$AJ2178=""),"保留中",IF($AJ2178&lt;&gt;"",IF(N($AC2178)&gt;0,"支給済","不支給"),IF($AC2178="","要確認",IF($AC2178=0,"不支給","未処理")))))</f>
        <v/>
      </c>
      <c r="AE2178" s="12" t="n"/>
      <c r="AF2178" s="11" t="n"/>
      <c r="AG2178" s="11" t="n"/>
      <c r="AH2178" s="11" t="n"/>
      <c r="AI2178" s="14">
        <f>IF(AND($AD2178="保留中",$AF2178&lt;&gt;""),TODAY()-$AF2178,"")</f>
        <v/>
      </c>
      <c r="AJ2178" s="12" t="n"/>
      <c r="AK2178" s="14">
        <f>IF($B2178="","",IF($AO2178="","対象年月が未入力／","")&amp;IF($B2178="","",IF($AN2178="","職員マスタに未登録の職員番号／",IF($Y2178="","標準報酬月額が未登録／","")&amp;IF(AND($AO2178&lt;&gt;"",OR(AND(INDEX(職員マスタ!$G$6:$G$405,$AN2178)&lt;&gt;"",INDEX(職員マスタ!$G$6:$G$405,$AN2178)&gt;EOMONTH($AO2178,0)),AND(INDEX(職員マスタ!$H$6:$H$405,$AN2178)&lt;&gt;"",INDEX(職員マスタ!$H$6:$H$405,$AN2178)&lt;$AO2178))),"対象月が時短期間外／","")&amp;IF(AND(INDEX(職員マスタ!$F$6:$F$405,$AN2178)&lt;&gt;"",$AO2178&lt;&gt;"",INDEX(職員マスタ!$F$6:$F$405,$AN2178)&lt;$AO2178),"対象月に子が2歳到達済／","")&amp;IF(AND($H2178&lt;&gt;"",INDEX(職員マスタ!$B$6:$B$405,$AN2178)&lt;&gt;"",SUBSTITUTE(SUBSTITUTE($H2178," ","")," ","")&lt;&gt;SUBSTITUTE(SUBSTITUTE(INDEX(職員マスタ!$B$6:$B$405,$AN2178)," ","")," ","")),"氏名がマスタと相違／","")&amp;IF(AND($Q2178&lt;&gt;"",INDEX(職員マスタ!$E$6:$E$405,$AN2178)&lt;&gt;"",$Q2178&lt;&gt;INDEX(職員マスタ!$E$6:$E$405,$AN2178)),"子の生年月日がマスタと相違／","")&amp;IF(AND($L2178&lt;&gt;"",INDEX(職員マスタ!$G$6:$G$405,$AN2178)&lt;&gt;"",$L2178&lt;&gt;INDEX(職員マスタ!$G$6:$G$405,$AN2178)),"時短開始日がマスタと相違／","")&amp;IF(AND($M2178&lt;&gt;"",INDEX(職員マスタ!$H$6:$H$405,$AN2178)&lt;&gt;"",$M2178&lt;&gt;INDEX(職員マスタ!$H$6:$H$405,$AN2178)),"時短終了日がマスタと相違／","")))&amp;IF(AND($B2178&lt;&gt;"",$E2178=""),"報酬額が未入力／","")&amp;IF(N($U2178)&gt;0,"申請書に入力エラーが残っています／","")&amp;IF(AND($B2178&lt;&gt;"",$AO2178&lt;&gt;""),IF(COUNTIFS($B$6:$B$3005,$B2178,$C$6:$C$3005,$C2178,$D$6:$D$3005,$D2178)&gt;1,"同じ月の請求が重複しています／",""),"")&amp;IF(AND(N($E2178)&gt;0,$Z2178&lt;&gt;"",$Z2178&lt;&gt;"×",$AC2178=0,$AB2178=""),"計算額が下限以下のため不支給／",""))</f>
        <v/>
      </c>
      <c r="AL2178" s="12" t="n"/>
      <c r="AM2178" s="14">
        <f>IF($AD2178="保留中",COUNTIF($AD$6:$AD2178,"保留中"),"")</f>
        <v/>
      </c>
      <c r="AN2178" s="14">
        <f>IF($AO2178="","",IF(SUMPRODUCT(MAX((職員マスタ!$A$6:$A$405=$B2178)*(((職員マスタ!$G$6:$G$405="")+(職員マスタ!$G$6:$G$405&lt;=EOMONTH($AO2178,0)))&gt;0)*(((職員マスタ!$H$6:$H$405="")+(職員マスタ!$H$6:$H$405&gt;=$AO2178))&gt;0)*(ROW(職員マスタ!$A$6:$A$405)-5)))&gt;0,SUMPRODUCT(MAX((職員マスタ!$A$6:$A$405=$B2178)*(((職員マスタ!$G$6:$G$405="")+(職員マスタ!$G$6:$G$405&lt;=EOMONTH($AO2178,0)))&gt;0)*(((職員マスタ!$H$6:$H$405="")+(職員マスタ!$H$6:$H$405&gt;=$AO2178))&gt;0)*(ROW(職員マスタ!$A$6:$A$405)-5))),IFERROR(MATCH($B2178,職員マスタ!$A$6:$A$405,0),"")))</f>
        <v/>
      </c>
      <c r="AO2178" s="16">
        <f>IF(OR($B2178="",$C2178="",$D2178=""),"",DATE($C2178+2018,$D2178,1))</f>
        <v/>
      </c>
    </row>
    <row r="2179">
      <c r="A2179" s="11" t="n"/>
      <c r="B2179" s="12" t="n"/>
      <c r="C2179" s="12" t="n"/>
      <c r="D2179" s="12" t="n"/>
      <c r="E2179" s="13" t="n"/>
      <c r="F2179" s="12" t="n"/>
      <c r="G2179" s="13" t="n"/>
      <c r="H2179" s="12" t="n"/>
      <c r="I2179" s="12" t="n"/>
      <c r="J2179" s="12" t="n"/>
      <c r="K2179" s="12" t="n"/>
      <c r="L2179" s="11" t="n"/>
      <c r="M2179" s="11" t="n"/>
      <c r="N2179" s="11" t="n"/>
      <c r="O2179" s="11" t="n"/>
      <c r="P2179" s="12" t="n"/>
      <c r="Q2179" s="11" t="n"/>
      <c r="R2179" s="12" t="n"/>
      <c r="S2179" s="11" t="n"/>
      <c r="T2179" s="12" t="n"/>
      <c r="U2179" s="12" t="n"/>
      <c r="V2179" s="14">
        <f>IF($AN2179="",IF($B2179="","",$H2179),IF(INDEX(職員マスタ!$B$6:$B$405,$AN2179)="",$H2179,INDEX(職員マスタ!$B$6:$B$405,$AN2179)))</f>
        <v/>
      </c>
      <c r="W2179" s="14">
        <f>IF($AN2179="",IF($B2179="","",$R2179),IF(INDEX(職員マスタ!$C$6:$C$405,$AN2179)="",$R2179,INDEX(職員マスタ!$C$6:$C$405,$AN2179)))</f>
        <v/>
      </c>
      <c r="X2179" s="14">
        <f>IF($AO2179="","","R"&amp;$C2179&amp;"."&amp;$D2179)</f>
        <v/>
      </c>
      <c r="Y2179" s="15">
        <f>IF($AN2179="","",IF(INDEX(職員マスタ!$K$6:$K$405,$AN2179)="","",INDEX(職員マスタ!$K$6:$K$405,$AN2179)))</f>
        <v/>
      </c>
      <c r="Z2179" s="14">
        <f>IF(OR($E2179="",$Y2179=""),"",IF($E2179&gt;=$Y2179,"×",IF($E2179&gt;=$Y2179*設定!$C$5,"△","○")))</f>
        <v/>
      </c>
      <c r="AA2179" s="15">
        <f>IF($Z2179="","",IF($Z2179="×",0,IF($Z2179="○",ROUNDDOWN($E2179*設定!$C$4,0),ROUNDDOWN($E2179*ROUND((9*$Y2179-9*$E2179)/(10*$E2179),4),0))))</f>
        <v/>
      </c>
      <c r="AB2179" s="13" t="n"/>
      <c r="AC2179" s="15">
        <f>IF($B2179="","",IF($AB2179&lt;&gt;"",$AB2179,IF($AA2179="","",IF($AA2179&lt;=設定!$C$3,0,$AA2179))))</f>
        <v/>
      </c>
      <c r="AD2179" s="14">
        <f>IF($B2179="","",IF(AND($AE2179&lt;&gt;"",$AG2179="",$AJ2179=""),"保留中",IF($AJ2179&lt;&gt;"",IF(N($AC2179)&gt;0,"支給済","不支給"),IF($AC2179="","要確認",IF($AC2179=0,"不支給","未処理")))))</f>
        <v/>
      </c>
      <c r="AE2179" s="12" t="n"/>
      <c r="AF2179" s="11" t="n"/>
      <c r="AG2179" s="11" t="n"/>
      <c r="AH2179" s="11" t="n"/>
      <c r="AI2179" s="14">
        <f>IF(AND($AD2179="保留中",$AF2179&lt;&gt;""),TODAY()-$AF2179,"")</f>
        <v/>
      </c>
      <c r="AJ2179" s="12" t="n"/>
      <c r="AK2179" s="14">
        <f>IF($B2179="","",IF($AO2179="","対象年月が未入力／","")&amp;IF($B2179="","",IF($AN2179="","職員マスタに未登録の職員番号／",IF($Y2179="","標準報酬月額が未登録／","")&amp;IF(AND($AO2179&lt;&gt;"",OR(AND(INDEX(職員マスタ!$G$6:$G$405,$AN2179)&lt;&gt;"",INDEX(職員マスタ!$G$6:$G$405,$AN2179)&gt;EOMONTH($AO2179,0)),AND(INDEX(職員マスタ!$H$6:$H$405,$AN2179)&lt;&gt;"",INDEX(職員マスタ!$H$6:$H$405,$AN2179)&lt;$AO2179))),"対象月が時短期間外／","")&amp;IF(AND(INDEX(職員マスタ!$F$6:$F$405,$AN2179)&lt;&gt;"",$AO2179&lt;&gt;"",INDEX(職員マスタ!$F$6:$F$405,$AN2179)&lt;$AO2179),"対象月に子が2歳到達済／","")&amp;IF(AND($H2179&lt;&gt;"",INDEX(職員マスタ!$B$6:$B$405,$AN2179)&lt;&gt;"",SUBSTITUTE(SUBSTITUTE($H2179," ","")," ","")&lt;&gt;SUBSTITUTE(SUBSTITUTE(INDEX(職員マスタ!$B$6:$B$405,$AN2179)," ","")," ","")),"氏名がマスタと相違／","")&amp;IF(AND($Q2179&lt;&gt;"",INDEX(職員マスタ!$E$6:$E$405,$AN2179)&lt;&gt;"",$Q2179&lt;&gt;INDEX(職員マスタ!$E$6:$E$405,$AN2179)),"子の生年月日がマスタと相違／","")&amp;IF(AND($L2179&lt;&gt;"",INDEX(職員マスタ!$G$6:$G$405,$AN2179)&lt;&gt;"",$L2179&lt;&gt;INDEX(職員マスタ!$G$6:$G$405,$AN2179)),"時短開始日がマスタと相違／","")&amp;IF(AND($M2179&lt;&gt;"",INDEX(職員マスタ!$H$6:$H$405,$AN2179)&lt;&gt;"",$M2179&lt;&gt;INDEX(職員マスタ!$H$6:$H$405,$AN2179)),"時短終了日がマスタと相違／","")))&amp;IF(AND($B2179&lt;&gt;"",$E2179=""),"報酬額が未入力／","")&amp;IF(N($U2179)&gt;0,"申請書に入力エラーが残っています／","")&amp;IF(AND($B2179&lt;&gt;"",$AO2179&lt;&gt;""),IF(COUNTIFS($B$6:$B$3005,$B2179,$C$6:$C$3005,$C2179,$D$6:$D$3005,$D2179)&gt;1,"同じ月の請求が重複しています／",""),"")&amp;IF(AND(N($E2179)&gt;0,$Z2179&lt;&gt;"",$Z2179&lt;&gt;"×",$AC2179=0,$AB2179=""),"計算額が下限以下のため不支給／",""))</f>
        <v/>
      </c>
      <c r="AL2179" s="12" t="n"/>
      <c r="AM2179" s="14">
        <f>IF($AD2179="保留中",COUNTIF($AD$6:$AD2179,"保留中"),"")</f>
        <v/>
      </c>
      <c r="AN2179" s="14">
        <f>IF($AO2179="","",IF(SUMPRODUCT(MAX((職員マスタ!$A$6:$A$405=$B2179)*(((職員マスタ!$G$6:$G$405="")+(職員マスタ!$G$6:$G$405&lt;=EOMONTH($AO2179,0)))&gt;0)*(((職員マスタ!$H$6:$H$405="")+(職員マスタ!$H$6:$H$405&gt;=$AO2179))&gt;0)*(ROW(職員マスタ!$A$6:$A$405)-5)))&gt;0,SUMPRODUCT(MAX((職員マスタ!$A$6:$A$405=$B2179)*(((職員マスタ!$G$6:$G$405="")+(職員マスタ!$G$6:$G$405&lt;=EOMONTH($AO2179,0)))&gt;0)*(((職員マスタ!$H$6:$H$405="")+(職員マスタ!$H$6:$H$405&gt;=$AO2179))&gt;0)*(ROW(職員マスタ!$A$6:$A$405)-5))),IFERROR(MATCH($B2179,職員マスタ!$A$6:$A$405,0),"")))</f>
        <v/>
      </c>
      <c r="AO2179" s="16">
        <f>IF(OR($B2179="",$C2179="",$D2179=""),"",DATE($C2179+2018,$D2179,1))</f>
        <v/>
      </c>
    </row>
    <row r="2180">
      <c r="A2180" s="11" t="n"/>
      <c r="B2180" s="12" t="n"/>
      <c r="C2180" s="12" t="n"/>
      <c r="D2180" s="12" t="n"/>
      <c r="E2180" s="13" t="n"/>
      <c r="F2180" s="12" t="n"/>
      <c r="G2180" s="13" t="n"/>
      <c r="H2180" s="12" t="n"/>
      <c r="I2180" s="12" t="n"/>
      <c r="J2180" s="12" t="n"/>
      <c r="K2180" s="12" t="n"/>
      <c r="L2180" s="11" t="n"/>
      <c r="M2180" s="11" t="n"/>
      <c r="N2180" s="11" t="n"/>
      <c r="O2180" s="11" t="n"/>
      <c r="P2180" s="12" t="n"/>
      <c r="Q2180" s="11" t="n"/>
      <c r="R2180" s="12" t="n"/>
      <c r="S2180" s="11" t="n"/>
      <c r="T2180" s="12" t="n"/>
      <c r="U2180" s="12" t="n"/>
      <c r="V2180" s="14">
        <f>IF($AN2180="",IF($B2180="","",$H2180),IF(INDEX(職員マスタ!$B$6:$B$405,$AN2180)="",$H2180,INDEX(職員マスタ!$B$6:$B$405,$AN2180)))</f>
        <v/>
      </c>
      <c r="W2180" s="14">
        <f>IF($AN2180="",IF($B2180="","",$R2180),IF(INDEX(職員マスタ!$C$6:$C$405,$AN2180)="",$R2180,INDEX(職員マスタ!$C$6:$C$405,$AN2180)))</f>
        <v/>
      </c>
      <c r="X2180" s="14">
        <f>IF($AO2180="","","R"&amp;$C2180&amp;"."&amp;$D2180)</f>
        <v/>
      </c>
      <c r="Y2180" s="15">
        <f>IF($AN2180="","",IF(INDEX(職員マスタ!$K$6:$K$405,$AN2180)="","",INDEX(職員マスタ!$K$6:$K$405,$AN2180)))</f>
        <v/>
      </c>
      <c r="Z2180" s="14">
        <f>IF(OR($E2180="",$Y2180=""),"",IF($E2180&gt;=$Y2180,"×",IF($E2180&gt;=$Y2180*設定!$C$5,"△","○")))</f>
        <v/>
      </c>
      <c r="AA2180" s="15">
        <f>IF($Z2180="","",IF($Z2180="×",0,IF($Z2180="○",ROUNDDOWN($E2180*設定!$C$4,0),ROUNDDOWN($E2180*ROUND((9*$Y2180-9*$E2180)/(10*$E2180),4),0))))</f>
        <v/>
      </c>
      <c r="AB2180" s="13" t="n"/>
      <c r="AC2180" s="15">
        <f>IF($B2180="","",IF($AB2180&lt;&gt;"",$AB2180,IF($AA2180="","",IF($AA2180&lt;=設定!$C$3,0,$AA2180))))</f>
        <v/>
      </c>
      <c r="AD2180" s="14">
        <f>IF($B2180="","",IF(AND($AE2180&lt;&gt;"",$AG2180="",$AJ2180=""),"保留中",IF($AJ2180&lt;&gt;"",IF(N($AC2180)&gt;0,"支給済","不支給"),IF($AC2180="","要確認",IF($AC2180=0,"不支給","未処理")))))</f>
        <v/>
      </c>
      <c r="AE2180" s="12" t="n"/>
      <c r="AF2180" s="11" t="n"/>
      <c r="AG2180" s="11" t="n"/>
      <c r="AH2180" s="11" t="n"/>
      <c r="AI2180" s="14">
        <f>IF(AND($AD2180="保留中",$AF2180&lt;&gt;""),TODAY()-$AF2180,"")</f>
        <v/>
      </c>
      <c r="AJ2180" s="12" t="n"/>
      <c r="AK2180" s="14">
        <f>IF($B2180="","",IF($AO2180="","対象年月が未入力／","")&amp;IF($B2180="","",IF($AN2180="","職員マスタに未登録の職員番号／",IF($Y2180="","標準報酬月額が未登録／","")&amp;IF(AND($AO2180&lt;&gt;"",OR(AND(INDEX(職員マスタ!$G$6:$G$405,$AN2180)&lt;&gt;"",INDEX(職員マスタ!$G$6:$G$405,$AN2180)&gt;EOMONTH($AO2180,0)),AND(INDEX(職員マスタ!$H$6:$H$405,$AN2180)&lt;&gt;"",INDEX(職員マスタ!$H$6:$H$405,$AN2180)&lt;$AO2180))),"対象月が時短期間外／","")&amp;IF(AND(INDEX(職員マスタ!$F$6:$F$405,$AN2180)&lt;&gt;"",$AO2180&lt;&gt;"",INDEX(職員マスタ!$F$6:$F$405,$AN2180)&lt;$AO2180),"対象月に子が2歳到達済／","")&amp;IF(AND($H2180&lt;&gt;"",INDEX(職員マスタ!$B$6:$B$405,$AN2180)&lt;&gt;"",SUBSTITUTE(SUBSTITUTE($H2180," ","")," ","")&lt;&gt;SUBSTITUTE(SUBSTITUTE(INDEX(職員マスタ!$B$6:$B$405,$AN2180)," ","")," ","")),"氏名がマスタと相違／","")&amp;IF(AND($Q2180&lt;&gt;"",INDEX(職員マスタ!$E$6:$E$405,$AN2180)&lt;&gt;"",$Q2180&lt;&gt;INDEX(職員マスタ!$E$6:$E$405,$AN2180)),"子の生年月日がマスタと相違／","")&amp;IF(AND($L2180&lt;&gt;"",INDEX(職員マスタ!$G$6:$G$405,$AN2180)&lt;&gt;"",$L2180&lt;&gt;INDEX(職員マスタ!$G$6:$G$405,$AN2180)),"時短開始日がマスタと相違／","")&amp;IF(AND($M2180&lt;&gt;"",INDEX(職員マスタ!$H$6:$H$405,$AN2180)&lt;&gt;"",$M2180&lt;&gt;INDEX(職員マスタ!$H$6:$H$405,$AN2180)),"時短終了日がマスタと相違／","")))&amp;IF(AND($B2180&lt;&gt;"",$E2180=""),"報酬額が未入力／","")&amp;IF(N($U2180)&gt;0,"申請書に入力エラーが残っています／","")&amp;IF(AND($B2180&lt;&gt;"",$AO2180&lt;&gt;""),IF(COUNTIFS($B$6:$B$3005,$B2180,$C$6:$C$3005,$C2180,$D$6:$D$3005,$D2180)&gt;1,"同じ月の請求が重複しています／",""),"")&amp;IF(AND(N($E2180)&gt;0,$Z2180&lt;&gt;"",$Z2180&lt;&gt;"×",$AC2180=0,$AB2180=""),"計算額が下限以下のため不支給／",""))</f>
        <v/>
      </c>
      <c r="AL2180" s="12" t="n"/>
      <c r="AM2180" s="14">
        <f>IF($AD2180="保留中",COUNTIF($AD$6:$AD2180,"保留中"),"")</f>
        <v/>
      </c>
      <c r="AN2180" s="14">
        <f>IF($AO2180="","",IF(SUMPRODUCT(MAX((職員マスタ!$A$6:$A$405=$B2180)*(((職員マスタ!$G$6:$G$405="")+(職員マスタ!$G$6:$G$405&lt;=EOMONTH($AO2180,0)))&gt;0)*(((職員マスタ!$H$6:$H$405="")+(職員マスタ!$H$6:$H$405&gt;=$AO2180))&gt;0)*(ROW(職員マスタ!$A$6:$A$405)-5)))&gt;0,SUMPRODUCT(MAX((職員マスタ!$A$6:$A$405=$B2180)*(((職員マスタ!$G$6:$G$405="")+(職員マスタ!$G$6:$G$405&lt;=EOMONTH($AO2180,0)))&gt;0)*(((職員マスタ!$H$6:$H$405="")+(職員マスタ!$H$6:$H$405&gt;=$AO2180))&gt;0)*(ROW(職員マスタ!$A$6:$A$405)-5))),IFERROR(MATCH($B2180,職員マスタ!$A$6:$A$405,0),"")))</f>
        <v/>
      </c>
      <c r="AO2180" s="16">
        <f>IF(OR($B2180="",$C2180="",$D2180=""),"",DATE($C2180+2018,$D2180,1))</f>
        <v/>
      </c>
    </row>
    <row r="2181">
      <c r="A2181" s="11" t="n"/>
      <c r="B2181" s="12" t="n"/>
      <c r="C2181" s="12" t="n"/>
      <c r="D2181" s="12" t="n"/>
      <c r="E2181" s="13" t="n"/>
      <c r="F2181" s="12" t="n"/>
      <c r="G2181" s="13" t="n"/>
      <c r="H2181" s="12" t="n"/>
      <c r="I2181" s="12" t="n"/>
      <c r="J2181" s="12" t="n"/>
      <c r="K2181" s="12" t="n"/>
      <c r="L2181" s="11" t="n"/>
      <c r="M2181" s="11" t="n"/>
      <c r="N2181" s="11" t="n"/>
      <c r="O2181" s="11" t="n"/>
      <c r="P2181" s="12" t="n"/>
      <c r="Q2181" s="11" t="n"/>
      <c r="R2181" s="12" t="n"/>
      <c r="S2181" s="11" t="n"/>
      <c r="T2181" s="12" t="n"/>
      <c r="U2181" s="12" t="n"/>
      <c r="V2181" s="14">
        <f>IF($AN2181="",IF($B2181="","",$H2181),IF(INDEX(職員マスタ!$B$6:$B$405,$AN2181)="",$H2181,INDEX(職員マスタ!$B$6:$B$405,$AN2181)))</f>
        <v/>
      </c>
      <c r="W2181" s="14">
        <f>IF($AN2181="",IF($B2181="","",$R2181),IF(INDEX(職員マスタ!$C$6:$C$405,$AN2181)="",$R2181,INDEX(職員マスタ!$C$6:$C$405,$AN2181)))</f>
        <v/>
      </c>
      <c r="X2181" s="14">
        <f>IF($AO2181="","","R"&amp;$C2181&amp;"."&amp;$D2181)</f>
        <v/>
      </c>
      <c r="Y2181" s="15">
        <f>IF($AN2181="","",IF(INDEX(職員マスタ!$K$6:$K$405,$AN2181)="","",INDEX(職員マスタ!$K$6:$K$405,$AN2181)))</f>
        <v/>
      </c>
      <c r="Z2181" s="14">
        <f>IF(OR($E2181="",$Y2181=""),"",IF($E2181&gt;=$Y2181,"×",IF($E2181&gt;=$Y2181*設定!$C$5,"△","○")))</f>
        <v/>
      </c>
      <c r="AA2181" s="15">
        <f>IF($Z2181="","",IF($Z2181="×",0,IF($Z2181="○",ROUNDDOWN($E2181*設定!$C$4,0),ROUNDDOWN($E2181*ROUND((9*$Y2181-9*$E2181)/(10*$E2181),4),0))))</f>
        <v/>
      </c>
      <c r="AB2181" s="13" t="n"/>
      <c r="AC2181" s="15">
        <f>IF($B2181="","",IF($AB2181&lt;&gt;"",$AB2181,IF($AA2181="","",IF($AA2181&lt;=設定!$C$3,0,$AA2181))))</f>
        <v/>
      </c>
      <c r="AD2181" s="14">
        <f>IF($B2181="","",IF(AND($AE2181&lt;&gt;"",$AG2181="",$AJ2181=""),"保留中",IF($AJ2181&lt;&gt;"",IF(N($AC2181)&gt;0,"支給済","不支給"),IF($AC2181="","要確認",IF($AC2181=0,"不支給","未処理")))))</f>
        <v/>
      </c>
      <c r="AE2181" s="12" t="n"/>
      <c r="AF2181" s="11" t="n"/>
      <c r="AG2181" s="11" t="n"/>
      <c r="AH2181" s="11" t="n"/>
      <c r="AI2181" s="14">
        <f>IF(AND($AD2181="保留中",$AF2181&lt;&gt;""),TODAY()-$AF2181,"")</f>
        <v/>
      </c>
      <c r="AJ2181" s="12" t="n"/>
      <c r="AK2181" s="14">
        <f>IF($B2181="","",IF($AO2181="","対象年月が未入力／","")&amp;IF($B2181="","",IF($AN2181="","職員マスタに未登録の職員番号／",IF($Y2181="","標準報酬月額が未登録／","")&amp;IF(AND($AO2181&lt;&gt;"",OR(AND(INDEX(職員マスタ!$G$6:$G$405,$AN2181)&lt;&gt;"",INDEX(職員マスタ!$G$6:$G$405,$AN2181)&gt;EOMONTH($AO2181,0)),AND(INDEX(職員マスタ!$H$6:$H$405,$AN2181)&lt;&gt;"",INDEX(職員マスタ!$H$6:$H$405,$AN2181)&lt;$AO2181))),"対象月が時短期間外／","")&amp;IF(AND(INDEX(職員マスタ!$F$6:$F$405,$AN2181)&lt;&gt;"",$AO2181&lt;&gt;"",INDEX(職員マスタ!$F$6:$F$405,$AN2181)&lt;$AO2181),"対象月に子が2歳到達済／","")&amp;IF(AND($H2181&lt;&gt;"",INDEX(職員マスタ!$B$6:$B$405,$AN2181)&lt;&gt;"",SUBSTITUTE(SUBSTITUTE($H2181," ","")," ","")&lt;&gt;SUBSTITUTE(SUBSTITUTE(INDEX(職員マスタ!$B$6:$B$405,$AN2181)," ","")," ","")),"氏名がマスタと相違／","")&amp;IF(AND($Q2181&lt;&gt;"",INDEX(職員マスタ!$E$6:$E$405,$AN2181)&lt;&gt;"",$Q2181&lt;&gt;INDEX(職員マスタ!$E$6:$E$405,$AN2181)),"子の生年月日がマスタと相違／","")&amp;IF(AND($L2181&lt;&gt;"",INDEX(職員マスタ!$G$6:$G$405,$AN2181)&lt;&gt;"",$L2181&lt;&gt;INDEX(職員マスタ!$G$6:$G$405,$AN2181)),"時短開始日がマスタと相違／","")&amp;IF(AND($M2181&lt;&gt;"",INDEX(職員マスタ!$H$6:$H$405,$AN2181)&lt;&gt;"",$M2181&lt;&gt;INDEX(職員マスタ!$H$6:$H$405,$AN2181)),"時短終了日がマスタと相違／","")))&amp;IF(AND($B2181&lt;&gt;"",$E2181=""),"報酬額が未入力／","")&amp;IF(N($U2181)&gt;0,"申請書に入力エラーが残っています／","")&amp;IF(AND($B2181&lt;&gt;"",$AO2181&lt;&gt;""),IF(COUNTIFS($B$6:$B$3005,$B2181,$C$6:$C$3005,$C2181,$D$6:$D$3005,$D2181)&gt;1,"同じ月の請求が重複しています／",""),"")&amp;IF(AND(N($E2181)&gt;0,$Z2181&lt;&gt;"",$Z2181&lt;&gt;"×",$AC2181=0,$AB2181=""),"計算額が下限以下のため不支給／",""))</f>
        <v/>
      </c>
      <c r="AL2181" s="12" t="n"/>
      <c r="AM2181" s="14">
        <f>IF($AD2181="保留中",COUNTIF($AD$6:$AD2181,"保留中"),"")</f>
        <v/>
      </c>
      <c r="AN2181" s="14">
        <f>IF($AO2181="","",IF(SUMPRODUCT(MAX((職員マスタ!$A$6:$A$405=$B2181)*(((職員マスタ!$G$6:$G$405="")+(職員マスタ!$G$6:$G$405&lt;=EOMONTH($AO2181,0)))&gt;0)*(((職員マスタ!$H$6:$H$405="")+(職員マスタ!$H$6:$H$405&gt;=$AO2181))&gt;0)*(ROW(職員マスタ!$A$6:$A$405)-5)))&gt;0,SUMPRODUCT(MAX((職員マスタ!$A$6:$A$405=$B2181)*(((職員マスタ!$G$6:$G$405="")+(職員マスタ!$G$6:$G$405&lt;=EOMONTH($AO2181,0)))&gt;0)*(((職員マスタ!$H$6:$H$405="")+(職員マスタ!$H$6:$H$405&gt;=$AO2181))&gt;0)*(ROW(職員マスタ!$A$6:$A$405)-5))),IFERROR(MATCH($B2181,職員マスタ!$A$6:$A$405,0),"")))</f>
        <v/>
      </c>
      <c r="AO2181" s="16">
        <f>IF(OR($B2181="",$C2181="",$D2181=""),"",DATE($C2181+2018,$D2181,1))</f>
        <v/>
      </c>
    </row>
    <row r="2182">
      <c r="A2182" s="11" t="n"/>
      <c r="B2182" s="12" t="n"/>
      <c r="C2182" s="12" t="n"/>
      <c r="D2182" s="12" t="n"/>
      <c r="E2182" s="13" t="n"/>
      <c r="F2182" s="12" t="n"/>
      <c r="G2182" s="13" t="n"/>
      <c r="H2182" s="12" t="n"/>
      <c r="I2182" s="12" t="n"/>
      <c r="J2182" s="12" t="n"/>
      <c r="K2182" s="12" t="n"/>
      <c r="L2182" s="11" t="n"/>
      <c r="M2182" s="11" t="n"/>
      <c r="N2182" s="11" t="n"/>
      <c r="O2182" s="11" t="n"/>
      <c r="P2182" s="12" t="n"/>
      <c r="Q2182" s="11" t="n"/>
      <c r="R2182" s="12" t="n"/>
      <c r="S2182" s="11" t="n"/>
      <c r="T2182" s="12" t="n"/>
      <c r="U2182" s="12" t="n"/>
      <c r="V2182" s="14">
        <f>IF($AN2182="",IF($B2182="","",$H2182),IF(INDEX(職員マスタ!$B$6:$B$405,$AN2182)="",$H2182,INDEX(職員マスタ!$B$6:$B$405,$AN2182)))</f>
        <v/>
      </c>
      <c r="W2182" s="14">
        <f>IF($AN2182="",IF($B2182="","",$R2182),IF(INDEX(職員マスタ!$C$6:$C$405,$AN2182)="",$R2182,INDEX(職員マスタ!$C$6:$C$405,$AN2182)))</f>
        <v/>
      </c>
      <c r="X2182" s="14">
        <f>IF($AO2182="","","R"&amp;$C2182&amp;"."&amp;$D2182)</f>
        <v/>
      </c>
      <c r="Y2182" s="15">
        <f>IF($AN2182="","",IF(INDEX(職員マスタ!$K$6:$K$405,$AN2182)="","",INDEX(職員マスタ!$K$6:$K$405,$AN2182)))</f>
        <v/>
      </c>
      <c r="Z2182" s="14">
        <f>IF(OR($E2182="",$Y2182=""),"",IF($E2182&gt;=$Y2182,"×",IF($E2182&gt;=$Y2182*設定!$C$5,"△","○")))</f>
        <v/>
      </c>
      <c r="AA2182" s="15">
        <f>IF($Z2182="","",IF($Z2182="×",0,IF($Z2182="○",ROUNDDOWN($E2182*設定!$C$4,0),ROUNDDOWN($E2182*ROUND((9*$Y2182-9*$E2182)/(10*$E2182),4),0))))</f>
        <v/>
      </c>
      <c r="AB2182" s="13" t="n"/>
      <c r="AC2182" s="15">
        <f>IF($B2182="","",IF($AB2182&lt;&gt;"",$AB2182,IF($AA2182="","",IF($AA2182&lt;=設定!$C$3,0,$AA2182))))</f>
        <v/>
      </c>
      <c r="AD2182" s="14">
        <f>IF($B2182="","",IF(AND($AE2182&lt;&gt;"",$AG2182="",$AJ2182=""),"保留中",IF($AJ2182&lt;&gt;"",IF(N($AC2182)&gt;0,"支給済","不支給"),IF($AC2182="","要確認",IF($AC2182=0,"不支給","未処理")))))</f>
        <v/>
      </c>
      <c r="AE2182" s="12" t="n"/>
      <c r="AF2182" s="11" t="n"/>
      <c r="AG2182" s="11" t="n"/>
      <c r="AH2182" s="11" t="n"/>
      <c r="AI2182" s="14">
        <f>IF(AND($AD2182="保留中",$AF2182&lt;&gt;""),TODAY()-$AF2182,"")</f>
        <v/>
      </c>
      <c r="AJ2182" s="12" t="n"/>
      <c r="AK2182" s="14">
        <f>IF($B2182="","",IF($AO2182="","対象年月が未入力／","")&amp;IF($B2182="","",IF($AN2182="","職員マスタに未登録の職員番号／",IF($Y2182="","標準報酬月額が未登録／","")&amp;IF(AND($AO2182&lt;&gt;"",OR(AND(INDEX(職員マスタ!$G$6:$G$405,$AN2182)&lt;&gt;"",INDEX(職員マスタ!$G$6:$G$405,$AN2182)&gt;EOMONTH($AO2182,0)),AND(INDEX(職員マスタ!$H$6:$H$405,$AN2182)&lt;&gt;"",INDEX(職員マスタ!$H$6:$H$405,$AN2182)&lt;$AO2182))),"対象月が時短期間外／","")&amp;IF(AND(INDEX(職員マスタ!$F$6:$F$405,$AN2182)&lt;&gt;"",$AO2182&lt;&gt;"",INDEX(職員マスタ!$F$6:$F$405,$AN2182)&lt;$AO2182),"対象月に子が2歳到達済／","")&amp;IF(AND($H2182&lt;&gt;"",INDEX(職員マスタ!$B$6:$B$405,$AN2182)&lt;&gt;"",SUBSTITUTE(SUBSTITUTE($H2182," ","")," ","")&lt;&gt;SUBSTITUTE(SUBSTITUTE(INDEX(職員マスタ!$B$6:$B$405,$AN2182)," ","")," ","")),"氏名がマスタと相違／","")&amp;IF(AND($Q2182&lt;&gt;"",INDEX(職員マスタ!$E$6:$E$405,$AN2182)&lt;&gt;"",$Q2182&lt;&gt;INDEX(職員マスタ!$E$6:$E$405,$AN2182)),"子の生年月日がマスタと相違／","")&amp;IF(AND($L2182&lt;&gt;"",INDEX(職員マスタ!$G$6:$G$405,$AN2182)&lt;&gt;"",$L2182&lt;&gt;INDEX(職員マスタ!$G$6:$G$405,$AN2182)),"時短開始日がマスタと相違／","")&amp;IF(AND($M2182&lt;&gt;"",INDEX(職員マスタ!$H$6:$H$405,$AN2182)&lt;&gt;"",$M2182&lt;&gt;INDEX(職員マスタ!$H$6:$H$405,$AN2182)),"時短終了日がマスタと相違／","")))&amp;IF(AND($B2182&lt;&gt;"",$E2182=""),"報酬額が未入力／","")&amp;IF(N($U2182)&gt;0,"申請書に入力エラーが残っています／","")&amp;IF(AND($B2182&lt;&gt;"",$AO2182&lt;&gt;""),IF(COUNTIFS($B$6:$B$3005,$B2182,$C$6:$C$3005,$C2182,$D$6:$D$3005,$D2182)&gt;1,"同じ月の請求が重複しています／",""),"")&amp;IF(AND(N($E2182)&gt;0,$Z2182&lt;&gt;"",$Z2182&lt;&gt;"×",$AC2182=0,$AB2182=""),"計算額が下限以下のため不支給／",""))</f>
        <v/>
      </c>
      <c r="AL2182" s="12" t="n"/>
      <c r="AM2182" s="14">
        <f>IF($AD2182="保留中",COUNTIF($AD$6:$AD2182,"保留中"),"")</f>
        <v/>
      </c>
      <c r="AN2182" s="14">
        <f>IF($AO2182="","",IF(SUMPRODUCT(MAX((職員マスタ!$A$6:$A$405=$B2182)*(((職員マスタ!$G$6:$G$405="")+(職員マスタ!$G$6:$G$405&lt;=EOMONTH($AO2182,0)))&gt;0)*(((職員マスタ!$H$6:$H$405="")+(職員マスタ!$H$6:$H$405&gt;=$AO2182))&gt;0)*(ROW(職員マスタ!$A$6:$A$405)-5)))&gt;0,SUMPRODUCT(MAX((職員マスタ!$A$6:$A$405=$B2182)*(((職員マスタ!$G$6:$G$405="")+(職員マスタ!$G$6:$G$405&lt;=EOMONTH($AO2182,0)))&gt;0)*(((職員マスタ!$H$6:$H$405="")+(職員マスタ!$H$6:$H$405&gt;=$AO2182))&gt;0)*(ROW(職員マスタ!$A$6:$A$405)-5))),IFERROR(MATCH($B2182,職員マスタ!$A$6:$A$405,0),"")))</f>
        <v/>
      </c>
      <c r="AO2182" s="16">
        <f>IF(OR($B2182="",$C2182="",$D2182=""),"",DATE($C2182+2018,$D2182,1))</f>
        <v/>
      </c>
    </row>
    <row r="2183">
      <c r="A2183" s="11" t="n"/>
      <c r="B2183" s="12" t="n"/>
      <c r="C2183" s="12" t="n"/>
      <c r="D2183" s="12" t="n"/>
      <c r="E2183" s="13" t="n"/>
      <c r="F2183" s="12" t="n"/>
      <c r="G2183" s="13" t="n"/>
      <c r="H2183" s="12" t="n"/>
      <c r="I2183" s="12" t="n"/>
      <c r="J2183" s="12" t="n"/>
      <c r="K2183" s="12" t="n"/>
      <c r="L2183" s="11" t="n"/>
      <c r="M2183" s="11" t="n"/>
      <c r="N2183" s="11" t="n"/>
      <c r="O2183" s="11" t="n"/>
      <c r="P2183" s="12" t="n"/>
      <c r="Q2183" s="11" t="n"/>
      <c r="R2183" s="12" t="n"/>
      <c r="S2183" s="11" t="n"/>
      <c r="T2183" s="12" t="n"/>
      <c r="U2183" s="12" t="n"/>
      <c r="V2183" s="14">
        <f>IF($AN2183="",IF($B2183="","",$H2183),IF(INDEX(職員マスタ!$B$6:$B$405,$AN2183)="",$H2183,INDEX(職員マスタ!$B$6:$B$405,$AN2183)))</f>
        <v/>
      </c>
      <c r="W2183" s="14">
        <f>IF($AN2183="",IF($B2183="","",$R2183),IF(INDEX(職員マスタ!$C$6:$C$405,$AN2183)="",$R2183,INDEX(職員マスタ!$C$6:$C$405,$AN2183)))</f>
        <v/>
      </c>
      <c r="X2183" s="14">
        <f>IF($AO2183="","","R"&amp;$C2183&amp;"."&amp;$D2183)</f>
        <v/>
      </c>
      <c r="Y2183" s="15">
        <f>IF($AN2183="","",IF(INDEX(職員マスタ!$K$6:$K$405,$AN2183)="","",INDEX(職員マスタ!$K$6:$K$405,$AN2183)))</f>
        <v/>
      </c>
      <c r="Z2183" s="14">
        <f>IF(OR($E2183="",$Y2183=""),"",IF($E2183&gt;=$Y2183,"×",IF($E2183&gt;=$Y2183*設定!$C$5,"△","○")))</f>
        <v/>
      </c>
      <c r="AA2183" s="15">
        <f>IF($Z2183="","",IF($Z2183="×",0,IF($Z2183="○",ROUNDDOWN($E2183*設定!$C$4,0),ROUNDDOWN($E2183*ROUND((9*$Y2183-9*$E2183)/(10*$E2183),4),0))))</f>
        <v/>
      </c>
      <c r="AB2183" s="13" t="n"/>
      <c r="AC2183" s="15">
        <f>IF($B2183="","",IF($AB2183&lt;&gt;"",$AB2183,IF($AA2183="","",IF($AA2183&lt;=設定!$C$3,0,$AA2183))))</f>
        <v/>
      </c>
      <c r="AD2183" s="14">
        <f>IF($B2183="","",IF(AND($AE2183&lt;&gt;"",$AG2183="",$AJ2183=""),"保留中",IF($AJ2183&lt;&gt;"",IF(N($AC2183)&gt;0,"支給済","不支給"),IF($AC2183="","要確認",IF($AC2183=0,"不支給","未処理")))))</f>
        <v/>
      </c>
      <c r="AE2183" s="12" t="n"/>
      <c r="AF2183" s="11" t="n"/>
      <c r="AG2183" s="11" t="n"/>
      <c r="AH2183" s="11" t="n"/>
      <c r="AI2183" s="14">
        <f>IF(AND($AD2183="保留中",$AF2183&lt;&gt;""),TODAY()-$AF2183,"")</f>
        <v/>
      </c>
      <c r="AJ2183" s="12" t="n"/>
      <c r="AK2183" s="14">
        <f>IF($B2183="","",IF($AO2183="","対象年月が未入力／","")&amp;IF($B2183="","",IF($AN2183="","職員マスタに未登録の職員番号／",IF($Y2183="","標準報酬月額が未登録／","")&amp;IF(AND($AO2183&lt;&gt;"",OR(AND(INDEX(職員マスタ!$G$6:$G$405,$AN2183)&lt;&gt;"",INDEX(職員マスタ!$G$6:$G$405,$AN2183)&gt;EOMONTH($AO2183,0)),AND(INDEX(職員マスタ!$H$6:$H$405,$AN2183)&lt;&gt;"",INDEX(職員マスタ!$H$6:$H$405,$AN2183)&lt;$AO2183))),"対象月が時短期間外／","")&amp;IF(AND(INDEX(職員マスタ!$F$6:$F$405,$AN2183)&lt;&gt;"",$AO2183&lt;&gt;"",INDEX(職員マスタ!$F$6:$F$405,$AN2183)&lt;$AO2183),"対象月に子が2歳到達済／","")&amp;IF(AND($H2183&lt;&gt;"",INDEX(職員マスタ!$B$6:$B$405,$AN2183)&lt;&gt;"",SUBSTITUTE(SUBSTITUTE($H2183," ","")," ","")&lt;&gt;SUBSTITUTE(SUBSTITUTE(INDEX(職員マスタ!$B$6:$B$405,$AN2183)," ","")," ","")),"氏名がマスタと相違／","")&amp;IF(AND($Q2183&lt;&gt;"",INDEX(職員マスタ!$E$6:$E$405,$AN2183)&lt;&gt;"",$Q2183&lt;&gt;INDEX(職員マスタ!$E$6:$E$405,$AN2183)),"子の生年月日がマスタと相違／","")&amp;IF(AND($L2183&lt;&gt;"",INDEX(職員マスタ!$G$6:$G$405,$AN2183)&lt;&gt;"",$L2183&lt;&gt;INDEX(職員マスタ!$G$6:$G$405,$AN2183)),"時短開始日がマスタと相違／","")&amp;IF(AND($M2183&lt;&gt;"",INDEX(職員マスタ!$H$6:$H$405,$AN2183)&lt;&gt;"",$M2183&lt;&gt;INDEX(職員マスタ!$H$6:$H$405,$AN2183)),"時短終了日がマスタと相違／","")))&amp;IF(AND($B2183&lt;&gt;"",$E2183=""),"報酬額が未入力／","")&amp;IF(N($U2183)&gt;0,"申請書に入力エラーが残っています／","")&amp;IF(AND($B2183&lt;&gt;"",$AO2183&lt;&gt;""),IF(COUNTIFS($B$6:$B$3005,$B2183,$C$6:$C$3005,$C2183,$D$6:$D$3005,$D2183)&gt;1,"同じ月の請求が重複しています／",""),"")&amp;IF(AND(N($E2183)&gt;0,$Z2183&lt;&gt;"",$Z2183&lt;&gt;"×",$AC2183=0,$AB2183=""),"計算額が下限以下のため不支給／",""))</f>
        <v/>
      </c>
      <c r="AL2183" s="12" t="n"/>
      <c r="AM2183" s="14">
        <f>IF($AD2183="保留中",COUNTIF($AD$6:$AD2183,"保留中"),"")</f>
        <v/>
      </c>
      <c r="AN2183" s="14">
        <f>IF($AO2183="","",IF(SUMPRODUCT(MAX((職員マスタ!$A$6:$A$405=$B2183)*(((職員マスタ!$G$6:$G$405="")+(職員マスタ!$G$6:$G$405&lt;=EOMONTH($AO2183,0)))&gt;0)*(((職員マスタ!$H$6:$H$405="")+(職員マスタ!$H$6:$H$405&gt;=$AO2183))&gt;0)*(ROW(職員マスタ!$A$6:$A$405)-5)))&gt;0,SUMPRODUCT(MAX((職員マスタ!$A$6:$A$405=$B2183)*(((職員マスタ!$G$6:$G$405="")+(職員マスタ!$G$6:$G$405&lt;=EOMONTH($AO2183,0)))&gt;0)*(((職員マスタ!$H$6:$H$405="")+(職員マスタ!$H$6:$H$405&gt;=$AO2183))&gt;0)*(ROW(職員マスタ!$A$6:$A$405)-5))),IFERROR(MATCH($B2183,職員マスタ!$A$6:$A$405,0),"")))</f>
        <v/>
      </c>
      <c r="AO2183" s="16">
        <f>IF(OR($B2183="",$C2183="",$D2183=""),"",DATE($C2183+2018,$D2183,1))</f>
        <v/>
      </c>
    </row>
    <row r="2184">
      <c r="A2184" s="11" t="n"/>
      <c r="B2184" s="12" t="n"/>
      <c r="C2184" s="12" t="n"/>
      <c r="D2184" s="12" t="n"/>
      <c r="E2184" s="13" t="n"/>
      <c r="F2184" s="12" t="n"/>
      <c r="G2184" s="13" t="n"/>
      <c r="H2184" s="12" t="n"/>
      <c r="I2184" s="12" t="n"/>
      <c r="J2184" s="12" t="n"/>
      <c r="K2184" s="12" t="n"/>
      <c r="L2184" s="11" t="n"/>
      <c r="M2184" s="11" t="n"/>
      <c r="N2184" s="11" t="n"/>
      <c r="O2184" s="11" t="n"/>
      <c r="P2184" s="12" t="n"/>
      <c r="Q2184" s="11" t="n"/>
      <c r="R2184" s="12" t="n"/>
      <c r="S2184" s="11" t="n"/>
      <c r="T2184" s="12" t="n"/>
      <c r="U2184" s="12" t="n"/>
      <c r="V2184" s="14">
        <f>IF($AN2184="",IF($B2184="","",$H2184),IF(INDEX(職員マスタ!$B$6:$B$405,$AN2184)="",$H2184,INDEX(職員マスタ!$B$6:$B$405,$AN2184)))</f>
        <v/>
      </c>
      <c r="W2184" s="14">
        <f>IF($AN2184="",IF($B2184="","",$R2184),IF(INDEX(職員マスタ!$C$6:$C$405,$AN2184)="",$R2184,INDEX(職員マスタ!$C$6:$C$405,$AN2184)))</f>
        <v/>
      </c>
      <c r="X2184" s="14">
        <f>IF($AO2184="","","R"&amp;$C2184&amp;"."&amp;$D2184)</f>
        <v/>
      </c>
      <c r="Y2184" s="15">
        <f>IF($AN2184="","",IF(INDEX(職員マスタ!$K$6:$K$405,$AN2184)="","",INDEX(職員マスタ!$K$6:$K$405,$AN2184)))</f>
        <v/>
      </c>
      <c r="Z2184" s="14">
        <f>IF(OR($E2184="",$Y2184=""),"",IF($E2184&gt;=$Y2184,"×",IF($E2184&gt;=$Y2184*設定!$C$5,"△","○")))</f>
        <v/>
      </c>
      <c r="AA2184" s="15">
        <f>IF($Z2184="","",IF($Z2184="×",0,IF($Z2184="○",ROUNDDOWN($E2184*設定!$C$4,0),ROUNDDOWN($E2184*ROUND((9*$Y2184-9*$E2184)/(10*$E2184),4),0))))</f>
        <v/>
      </c>
      <c r="AB2184" s="13" t="n"/>
      <c r="AC2184" s="15">
        <f>IF($B2184="","",IF($AB2184&lt;&gt;"",$AB2184,IF($AA2184="","",IF($AA2184&lt;=設定!$C$3,0,$AA2184))))</f>
        <v/>
      </c>
      <c r="AD2184" s="14">
        <f>IF($B2184="","",IF(AND($AE2184&lt;&gt;"",$AG2184="",$AJ2184=""),"保留中",IF($AJ2184&lt;&gt;"",IF(N($AC2184)&gt;0,"支給済","不支給"),IF($AC2184="","要確認",IF($AC2184=0,"不支給","未処理")))))</f>
        <v/>
      </c>
      <c r="AE2184" s="12" t="n"/>
      <c r="AF2184" s="11" t="n"/>
      <c r="AG2184" s="11" t="n"/>
      <c r="AH2184" s="11" t="n"/>
      <c r="AI2184" s="14">
        <f>IF(AND($AD2184="保留中",$AF2184&lt;&gt;""),TODAY()-$AF2184,"")</f>
        <v/>
      </c>
      <c r="AJ2184" s="12" t="n"/>
      <c r="AK2184" s="14">
        <f>IF($B2184="","",IF($AO2184="","対象年月が未入力／","")&amp;IF($B2184="","",IF($AN2184="","職員マスタに未登録の職員番号／",IF($Y2184="","標準報酬月額が未登録／","")&amp;IF(AND($AO2184&lt;&gt;"",OR(AND(INDEX(職員マスタ!$G$6:$G$405,$AN2184)&lt;&gt;"",INDEX(職員マスタ!$G$6:$G$405,$AN2184)&gt;EOMONTH($AO2184,0)),AND(INDEX(職員マスタ!$H$6:$H$405,$AN2184)&lt;&gt;"",INDEX(職員マスタ!$H$6:$H$405,$AN2184)&lt;$AO2184))),"対象月が時短期間外／","")&amp;IF(AND(INDEX(職員マスタ!$F$6:$F$405,$AN2184)&lt;&gt;"",$AO2184&lt;&gt;"",INDEX(職員マスタ!$F$6:$F$405,$AN2184)&lt;$AO2184),"対象月に子が2歳到達済／","")&amp;IF(AND($H2184&lt;&gt;"",INDEX(職員マスタ!$B$6:$B$405,$AN2184)&lt;&gt;"",SUBSTITUTE(SUBSTITUTE($H2184," ","")," ","")&lt;&gt;SUBSTITUTE(SUBSTITUTE(INDEX(職員マスタ!$B$6:$B$405,$AN2184)," ","")," ","")),"氏名がマスタと相違／","")&amp;IF(AND($Q2184&lt;&gt;"",INDEX(職員マスタ!$E$6:$E$405,$AN2184)&lt;&gt;"",$Q2184&lt;&gt;INDEX(職員マスタ!$E$6:$E$405,$AN2184)),"子の生年月日がマスタと相違／","")&amp;IF(AND($L2184&lt;&gt;"",INDEX(職員マスタ!$G$6:$G$405,$AN2184)&lt;&gt;"",$L2184&lt;&gt;INDEX(職員マスタ!$G$6:$G$405,$AN2184)),"時短開始日がマスタと相違／","")&amp;IF(AND($M2184&lt;&gt;"",INDEX(職員マスタ!$H$6:$H$405,$AN2184)&lt;&gt;"",$M2184&lt;&gt;INDEX(職員マスタ!$H$6:$H$405,$AN2184)),"時短終了日がマスタと相違／","")))&amp;IF(AND($B2184&lt;&gt;"",$E2184=""),"報酬額が未入力／","")&amp;IF(N($U2184)&gt;0,"申請書に入力エラーが残っています／","")&amp;IF(AND($B2184&lt;&gt;"",$AO2184&lt;&gt;""),IF(COUNTIFS($B$6:$B$3005,$B2184,$C$6:$C$3005,$C2184,$D$6:$D$3005,$D2184)&gt;1,"同じ月の請求が重複しています／",""),"")&amp;IF(AND(N($E2184)&gt;0,$Z2184&lt;&gt;"",$Z2184&lt;&gt;"×",$AC2184=0,$AB2184=""),"計算額が下限以下のため不支給／",""))</f>
        <v/>
      </c>
      <c r="AL2184" s="12" t="n"/>
      <c r="AM2184" s="14">
        <f>IF($AD2184="保留中",COUNTIF($AD$6:$AD2184,"保留中"),"")</f>
        <v/>
      </c>
      <c r="AN2184" s="14">
        <f>IF($AO2184="","",IF(SUMPRODUCT(MAX((職員マスタ!$A$6:$A$405=$B2184)*(((職員マスタ!$G$6:$G$405="")+(職員マスタ!$G$6:$G$405&lt;=EOMONTH($AO2184,0)))&gt;0)*(((職員マスタ!$H$6:$H$405="")+(職員マスタ!$H$6:$H$405&gt;=$AO2184))&gt;0)*(ROW(職員マスタ!$A$6:$A$405)-5)))&gt;0,SUMPRODUCT(MAX((職員マスタ!$A$6:$A$405=$B2184)*(((職員マスタ!$G$6:$G$405="")+(職員マスタ!$G$6:$G$405&lt;=EOMONTH($AO2184,0)))&gt;0)*(((職員マスタ!$H$6:$H$405="")+(職員マスタ!$H$6:$H$405&gt;=$AO2184))&gt;0)*(ROW(職員マスタ!$A$6:$A$405)-5))),IFERROR(MATCH($B2184,職員マスタ!$A$6:$A$405,0),"")))</f>
        <v/>
      </c>
      <c r="AO2184" s="16">
        <f>IF(OR($B2184="",$C2184="",$D2184=""),"",DATE($C2184+2018,$D2184,1))</f>
        <v/>
      </c>
    </row>
    <row r="2185">
      <c r="A2185" s="11" t="n"/>
      <c r="B2185" s="12" t="n"/>
      <c r="C2185" s="12" t="n"/>
      <c r="D2185" s="12" t="n"/>
      <c r="E2185" s="13" t="n"/>
      <c r="F2185" s="12" t="n"/>
      <c r="G2185" s="13" t="n"/>
      <c r="H2185" s="12" t="n"/>
      <c r="I2185" s="12" t="n"/>
      <c r="J2185" s="12" t="n"/>
      <c r="K2185" s="12" t="n"/>
      <c r="L2185" s="11" t="n"/>
      <c r="M2185" s="11" t="n"/>
      <c r="N2185" s="11" t="n"/>
      <c r="O2185" s="11" t="n"/>
      <c r="P2185" s="12" t="n"/>
      <c r="Q2185" s="11" t="n"/>
      <c r="R2185" s="12" t="n"/>
      <c r="S2185" s="11" t="n"/>
      <c r="T2185" s="12" t="n"/>
      <c r="U2185" s="12" t="n"/>
      <c r="V2185" s="14">
        <f>IF($AN2185="",IF($B2185="","",$H2185),IF(INDEX(職員マスタ!$B$6:$B$405,$AN2185)="",$H2185,INDEX(職員マスタ!$B$6:$B$405,$AN2185)))</f>
        <v/>
      </c>
      <c r="W2185" s="14">
        <f>IF($AN2185="",IF($B2185="","",$R2185),IF(INDEX(職員マスタ!$C$6:$C$405,$AN2185)="",$R2185,INDEX(職員マスタ!$C$6:$C$405,$AN2185)))</f>
        <v/>
      </c>
      <c r="X2185" s="14">
        <f>IF($AO2185="","","R"&amp;$C2185&amp;"."&amp;$D2185)</f>
        <v/>
      </c>
      <c r="Y2185" s="15">
        <f>IF($AN2185="","",IF(INDEX(職員マスタ!$K$6:$K$405,$AN2185)="","",INDEX(職員マスタ!$K$6:$K$405,$AN2185)))</f>
        <v/>
      </c>
      <c r="Z2185" s="14">
        <f>IF(OR($E2185="",$Y2185=""),"",IF($E2185&gt;=$Y2185,"×",IF($E2185&gt;=$Y2185*設定!$C$5,"△","○")))</f>
        <v/>
      </c>
      <c r="AA2185" s="15">
        <f>IF($Z2185="","",IF($Z2185="×",0,IF($Z2185="○",ROUNDDOWN($E2185*設定!$C$4,0),ROUNDDOWN($E2185*ROUND((9*$Y2185-9*$E2185)/(10*$E2185),4),0))))</f>
        <v/>
      </c>
      <c r="AB2185" s="13" t="n"/>
      <c r="AC2185" s="15">
        <f>IF($B2185="","",IF($AB2185&lt;&gt;"",$AB2185,IF($AA2185="","",IF($AA2185&lt;=設定!$C$3,0,$AA2185))))</f>
        <v/>
      </c>
      <c r="AD2185" s="14">
        <f>IF($B2185="","",IF(AND($AE2185&lt;&gt;"",$AG2185="",$AJ2185=""),"保留中",IF($AJ2185&lt;&gt;"",IF(N($AC2185)&gt;0,"支給済","不支給"),IF($AC2185="","要確認",IF($AC2185=0,"不支給","未処理")))))</f>
        <v/>
      </c>
      <c r="AE2185" s="12" t="n"/>
      <c r="AF2185" s="11" t="n"/>
      <c r="AG2185" s="11" t="n"/>
      <c r="AH2185" s="11" t="n"/>
      <c r="AI2185" s="14">
        <f>IF(AND($AD2185="保留中",$AF2185&lt;&gt;""),TODAY()-$AF2185,"")</f>
        <v/>
      </c>
      <c r="AJ2185" s="12" t="n"/>
      <c r="AK2185" s="14">
        <f>IF($B2185="","",IF($AO2185="","対象年月が未入力／","")&amp;IF($B2185="","",IF($AN2185="","職員マスタに未登録の職員番号／",IF($Y2185="","標準報酬月額が未登録／","")&amp;IF(AND($AO2185&lt;&gt;"",OR(AND(INDEX(職員マスタ!$G$6:$G$405,$AN2185)&lt;&gt;"",INDEX(職員マスタ!$G$6:$G$405,$AN2185)&gt;EOMONTH($AO2185,0)),AND(INDEX(職員マスタ!$H$6:$H$405,$AN2185)&lt;&gt;"",INDEX(職員マスタ!$H$6:$H$405,$AN2185)&lt;$AO2185))),"対象月が時短期間外／","")&amp;IF(AND(INDEX(職員マスタ!$F$6:$F$405,$AN2185)&lt;&gt;"",$AO2185&lt;&gt;"",INDEX(職員マスタ!$F$6:$F$405,$AN2185)&lt;$AO2185),"対象月に子が2歳到達済／","")&amp;IF(AND($H2185&lt;&gt;"",INDEX(職員マスタ!$B$6:$B$405,$AN2185)&lt;&gt;"",SUBSTITUTE(SUBSTITUTE($H2185," ","")," ","")&lt;&gt;SUBSTITUTE(SUBSTITUTE(INDEX(職員マスタ!$B$6:$B$405,$AN2185)," ","")," ","")),"氏名がマスタと相違／","")&amp;IF(AND($Q2185&lt;&gt;"",INDEX(職員マスタ!$E$6:$E$405,$AN2185)&lt;&gt;"",$Q2185&lt;&gt;INDEX(職員マスタ!$E$6:$E$405,$AN2185)),"子の生年月日がマスタと相違／","")&amp;IF(AND($L2185&lt;&gt;"",INDEX(職員マスタ!$G$6:$G$405,$AN2185)&lt;&gt;"",$L2185&lt;&gt;INDEX(職員マスタ!$G$6:$G$405,$AN2185)),"時短開始日がマスタと相違／","")&amp;IF(AND($M2185&lt;&gt;"",INDEX(職員マスタ!$H$6:$H$405,$AN2185)&lt;&gt;"",$M2185&lt;&gt;INDEX(職員マスタ!$H$6:$H$405,$AN2185)),"時短終了日がマスタと相違／","")))&amp;IF(AND($B2185&lt;&gt;"",$E2185=""),"報酬額が未入力／","")&amp;IF(N($U2185)&gt;0,"申請書に入力エラーが残っています／","")&amp;IF(AND($B2185&lt;&gt;"",$AO2185&lt;&gt;""),IF(COUNTIFS($B$6:$B$3005,$B2185,$C$6:$C$3005,$C2185,$D$6:$D$3005,$D2185)&gt;1,"同じ月の請求が重複しています／",""),"")&amp;IF(AND(N($E2185)&gt;0,$Z2185&lt;&gt;"",$Z2185&lt;&gt;"×",$AC2185=0,$AB2185=""),"計算額が下限以下のため不支給／",""))</f>
        <v/>
      </c>
      <c r="AL2185" s="12" t="n"/>
      <c r="AM2185" s="14">
        <f>IF($AD2185="保留中",COUNTIF($AD$6:$AD2185,"保留中"),"")</f>
        <v/>
      </c>
      <c r="AN2185" s="14">
        <f>IF($AO2185="","",IF(SUMPRODUCT(MAX((職員マスタ!$A$6:$A$405=$B2185)*(((職員マスタ!$G$6:$G$405="")+(職員マスタ!$G$6:$G$405&lt;=EOMONTH($AO2185,0)))&gt;0)*(((職員マスタ!$H$6:$H$405="")+(職員マスタ!$H$6:$H$405&gt;=$AO2185))&gt;0)*(ROW(職員マスタ!$A$6:$A$405)-5)))&gt;0,SUMPRODUCT(MAX((職員マスタ!$A$6:$A$405=$B2185)*(((職員マスタ!$G$6:$G$405="")+(職員マスタ!$G$6:$G$405&lt;=EOMONTH($AO2185,0)))&gt;0)*(((職員マスタ!$H$6:$H$405="")+(職員マスタ!$H$6:$H$405&gt;=$AO2185))&gt;0)*(ROW(職員マスタ!$A$6:$A$405)-5))),IFERROR(MATCH($B2185,職員マスタ!$A$6:$A$405,0),"")))</f>
        <v/>
      </c>
      <c r="AO2185" s="16">
        <f>IF(OR($B2185="",$C2185="",$D2185=""),"",DATE($C2185+2018,$D2185,1))</f>
        <v/>
      </c>
    </row>
    <row r="2186">
      <c r="A2186" s="11" t="n"/>
      <c r="B2186" s="12" t="n"/>
      <c r="C2186" s="12" t="n"/>
      <c r="D2186" s="12" t="n"/>
      <c r="E2186" s="13" t="n"/>
      <c r="F2186" s="12" t="n"/>
      <c r="G2186" s="13" t="n"/>
      <c r="H2186" s="12" t="n"/>
      <c r="I2186" s="12" t="n"/>
      <c r="J2186" s="12" t="n"/>
      <c r="K2186" s="12" t="n"/>
      <c r="L2186" s="11" t="n"/>
      <c r="M2186" s="11" t="n"/>
      <c r="N2186" s="11" t="n"/>
      <c r="O2186" s="11" t="n"/>
      <c r="P2186" s="12" t="n"/>
      <c r="Q2186" s="11" t="n"/>
      <c r="R2186" s="12" t="n"/>
      <c r="S2186" s="11" t="n"/>
      <c r="T2186" s="12" t="n"/>
      <c r="U2186" s="12" t="n"/>
      <c r="V2186" s="14">
        <f>IF($AN2186="",IF($B2186="","",$H2186),IF(INDEX(職員マスタ!$B$6:$B$405,$AN2186)="",$H2186,INDEX(職員マスタ!$B$6:$B$405,$AN2186)))</f>
        <v/>
      </c>
      <c r="W2186" s="14">
        <f>IF($AN2186="",IF($B2186="","",$R2186),IF(INDEX(職員マスタ!$C$6:$C$405,$AN2186)="",$R2186,INDEX(職員マスタ!$C$6:$C$405,$AN2186)))</f>
        <v/>
      </c>
      <c r="X2186" s="14">
        <f>IF($AO2186="","","R"&amp;$C2186&amp;"."&amp;$D2186)</f>
        <v/>
      </c>
      <c r="Y2186" s="15">
        <f>IF($AN2186="","",IF(INDEX(職員マスタ!$K$6:$K$405,$AN2186)="","",INDEX(職員マスタ!$K$6:$K$405,$AN2186)))</f>
        <v/>
      </c>
      <c r="Z2186" s="14">
        <f>IF(OR($E2186="",$Y2186=""),"",IF($E2186&gt;=$Y2186,"×",IF($E2186&gt;=$Y2186*設定!$C$5,"△","○")))</f>
        <v/>
      </c>
      <c r="AA2186" s="15">
        <f>IF($Z2186="","",IF($Z2186="×",0,IF($Z2186="○",ROUNDDOWN($E2186*設定!$C$4,0),ROUNDDOWN($E2186*ROUND((9*$Y2186-9*$E2186)/(10*$E2186),4),0))))</f>
        <v/>
      </c>
      <c r="AB2186" s="13" t="n"/>
      <c r="AC2186" s="15">
        <f>IF($B2186="","",IF($AB2186&lt;&gt;"",$AB2186,IF($AA2186="","",IF($AA2186&lt;=設定!$C$3,0,$AA2186))))</f>
        <v/>
      </c>
      <c r="AD2186" s="14">
        <f>IF($B2186="","",IF(AND($AE2186&lt;&gt;"",$AG2186="",$AJ2186=""),"保留中",IF($AJ2186&lt;&gt;"",IF(N($AC2186)&gt;0,"支給済","不支給"),IF($AC2186="","要確認",IF($AC2186=0,"不支給","未処理")))))</f>
        <v/>
      </c>
      <c r="AE2186" s="12" t="n"/>
      <c r="AF2186" s="11" t="n"/>
      <c r="AG2186" s="11" t="n"/>
      <c r="AH2186" s="11" t="n"/>
      <c r="AI2186" s="14">
        <f>IF(AND($AD2186="保留中",$AF2186&lt;&gt;""),TODAY()-$AF2186,"")</f>
        <v/>
      </c>
      <c r="AJ2186" s="12" t="n"/>
      <c r="AK2186" s="14">
        <f>IF($B2186="","",IF($AO2186="","対象年月が未入力／","")&amp;IF($B2186="","",IF($AN2186="","職員マスタに未登録の職員番号／",IF($Y2186="","標準報酬月額が未登録／","")&amp;IF(AND($AO2186&lt;&gt;"",OR(AND(INDEX(職員マスタ!$G$6:$G$405,$AN2186)&lt;&gt;"",INDEX(職員マスタ!$G$6:$G$405,$AN2186)&gt;EOMONTH($AO2186,0)),AND(INDEX(職員マスタ!$H$6:$H$405,$AN2186)&lt;&gt;"",INDEX(職員マスタ!$H$6:$H$405,$AN2186)&lt;$AO2186))),"対象月が時短期間外／","")&amp;IF(AND(INDEX(職員マスタ!$F$6:$F$405,$AN2186)&lt;&gt;"",$AO2186&lt;&gt;"",INDEX(職員マスタ!$F$6:$F$405,$AN2186)&lt;$AO2186),"対象月に子が2歳到達済／","")&amp;IF(AND($H2186&lt;&gt;"",INDEX(職員マスタ!$B$6:$B$405,$AN2186)&lt;&gt;"",SUBSTITUTE(SUBSTITUTE($H2186," ","")," ","")&lt;&gt;SUBSTITUTE(SUBSTITUTE(INDEX(職員マスタ!$B$6:$B$405,$AN2186)," ","")," ","")),"氏名がマスタと相違／","")&amp;IF(AND($Q2186&lt;&gt;"",INDEX(職員マスタ!$E$6:$E$405,$AN2186)&lt;&gt;"",$Q2186&lt;&gt;INDEX(職員マスタ!$E$6:$E$405,$AN2186)),"子の生年月日がマスタと相違／","")&amp;IF(AND($L2186&lt;&gt;"",INDEX(職員マスタ!$G$6:$G$405,$AN2186)&lt;&gt;"",$L2186&lt;&gt;INDEX(職員マスタ!$G$6:$G$405,$AN2186)),"時短開始日がマスタと相違／","")&amp;IF(AND($M2186&lt;&gt;"",INDEX(職員マスタ!$H$6:$H$405,$AN2186)&lt;&gt;"",$M2186&lt;&gt;INDEX(職員マスタ!$H$6:$H$405,$AN2186)),"時短終了日がマスタと相違／","")))&amp;IF(AND($B2186&lt;&gt;"",$E2186=""),"報酬額が未入力／","")&amp;IF(N($U2186)&gt;0,"申請書に入力エラーが残っています／","")&amp;IF(AND($B2186&lt;&gt;"",$AO2186&lt;&gt;""),IF(COUNTIFS($B$6:$B$3005,$B2186,$C$6:$C$3005,$C2186,$D$6:$D$3005,$D2186)&gt;1,"同じ月の請求が重複しています／",""),"")&amp;IF(AND(N($E2186)&gt;0,$Z2186&lt;&gt;"",$Z2186&lt;&gt;"×",$AC2186=0,$AB2186=""),"計算額が下限以下のため不支給／",""))</f>
        <v/>
      </c>
      <c r="AL2186" s="12" t="n"/>
      <c r="AM2186" s="14">
        <f>IF($AD2186="保留中",COUNTIF($AD$6:$AD2186,"保留中"),"")</f>
        <v/>
      </c>
      <c r="AN2186" s="14">
        <f>IF($AO2186="","",IF(SUMPRODUCT(MAX((職員マスタ!$A$6:$A$405=$B2186)*(((職員マスタ!$G$6:$G$405="")+(職員マスタ!$G$6:$G$405&lt;=EOMONTH($AO2186,0)))&gt;0)*(((職員マスタ!$H$6:$H$405="")+(職員マスタ!$H$6:$H$405&gt;=$AO2186))&gt;0)*(ROW(職員マスタ!$A$6:$A$405)-5)))&gt;0,SUMPRODUCT(MAX((職員マスタ!$A$6:$A$405=$B2186)*(((職員マスタ!$G$6:$G$405="")+(職員マスタ!$G$6:$G$405&lt;=EOMONTH($AO2186,0)))&gt;0)*(((職員マスタ!$H$6:$H$405="")+(職員マスタ!$H$6:$H$405&gt;=$AO2186))&gt;0)*(ROW(職員マスタ!$A$6:$A$405)-5))),IFERROR(MATCH($B2186,職員マスタ!$A$6:$A$405,0),"")))</f>
        <v/>
      </c>
      <c r="AO2186" s="16">
        <f>IF(OR($B2186="",$C2186="",$D2186=""),"",DATE($C2186+2018,$D2186,1))</f>
        <v/>
      </c>
    </row>
    <row r="2187">
      <c r="A2187" s="11" t="n"/>
      <c r="B2187" s="12" t="n"/>
      <c r="C2187" s="12" t="n"/>
      <c r="D2187" s="12" t="n"/>
      <c r="E2187" s="13" t="n"/>
      <c r="F2187" s="12" t="n"/>
      <c r="G2187" s="13" t="n"/>
      <c r="H2187" s="12" t="n"/>
      <c r="I2187" s="12" t="n"/>
      <c r="J2187" s="12" t="n"/>
      <c r="K2187" s="12" t="n"/>
      <c r="L2187" s="11" t="n"/>
      <c r="M2187" s="11" t="n"/>
      <c r="N2187" s="11" t="n"/>
      <c r="O2187" s="11" t="n"/>
      <c r="P2187" s="12" t="n"/>
      <c r="Q2187" s="11" t="n"/>
      <c r="R2187" s="12" t="n"/>
      <c r="S2187" s="11" t="n"/>
      <c r="T2187" s="12" t="n"/>
      <c r="U2187" s="12" t="n"/>
      <c r="V2187" s="14">
        <f>IF($AN2187="",IF($B2187="","",$H2187),IF(INDEX(職員マスタ!$B$6:$B$405,$AN2187)="",$H2187,INDEX(職員マスタ!$B$6:$B$405,$AN2187)))</f>
        <v/>
      </c>
      <c r="W2187" s="14">
        <f>IF($AN2187="",IF($B2187="","",$R2187),IF(INDEX(職員マスタ!$C$6:$C$405,$AN2187)="",$R2187,INDEX(職員マスタ!$C$6:$C$405,$AN2187)))</f>
        <v/>
      </c>
      <c r="X2187" s="14">
        <f>IF($AO2187="","","R"&amp;$C2187&amp;"."&amp;$D2187)</f>
        <v/>
      </c>
      <c r="Y2187" s="15">
        <f>IF($AN2187="","",IF(INDEX(職員マスタ!$K$6:$K$405,$AN2187)="","",INDEX(職員マスタ!$K$6:$K$405,$AN2187)))</f>
        <v/>
      </c>
      <c r="Z2187" s="14">
        <f>IF(OR($E2187="",$Y2187=""),"",IF($E2187&gt;=$Y2187,"×",IF($E2187&gt;=$Y2187*設定!$C$5,"△","○")))</f>
        <v/>
      </c>
      <c r="AA2187" s="15">
        <f>IF($Z2187="","",IF($Z2187="×",0,IF($Z2187="○",ROUNDDOWN($E2187*設定!$C$4,0),ROUNDDOWN($E2187*ROUND((9*$Y2187-9*$E2187)/(10*$E2187),4),0))))</f>
        <v/>
      </c>
      <c r="AB2187" s="13" t="n"/>
      <c r="AC2187" s="15">
        <f>IF($B2187="","",IF($AB2187&lt;&gt;"",$AB2187,IF($AA2187="","",IF($AA2187&lt;=設定!$C$3,0,$AA2187))))</f>
        <v/>
      </c>
      <c r="AD2187" s="14">
        <f>IF($B2187="","",IF(AND($AE2187&lt;&gt;"",$AG2187="",$AJ2187=""),"保留中",IF($AJ2187&lt;&gt;"",IF(N($AC2187)&gt;0,"支給済","不支給"),IF($AC2187="","要確認",IF($AC2187=0,"不支給","未処理")))))</f>
        <v/>
      </c>
      <c r="AE2187" s="12" t="n"/>
      <c r="AF2187" s="11" t="n"/>
      <c r="AG2187" s="11" t="n"/>
      <c r="AH2187" s="11" t="n"/>
      <c r="AI2187" s="14">
        <f>IF(AND($AD2187="保留中",$AF2187&lt;&gt;""),TODAY()-$AF2187,"")</f>
        <v/>
      </c>
      <c r="AJ2187" s="12" t="n"/>
      <c r="AK2187" s="14">
        <f>IF($B2187="","",IF($AO2187="","対象年月が未入力／","")&amp;IF($B2187="","",IF($AN2187="","職員マスタに未登録の職員番号／",IF($Y2187="","標準報酬月額が未登録／","")&amp;IF(AND($AO2187&lt;&gt;"",OR(AND(INDEX(職員マスタ!$G$6:$G$405,$AN2187)&lt;&gt;"",INDEX(職員マスタ!$G$6:$G$405,$AN2187)&gt;EOMONTH($AO2187,0)),AND(INDEX(職員マスタ!$H$6:$H$405,$AN2187)&lt;&gt;"",INDEX(職員マスタ!$H$6:$H$405,$AN2187)&lt;$AO2187))),"対象月が時短期間外／","")&amp;IF(AND(INDEX(職員マスタ!$F$6:$F$405,$AN2187)&lt;&gt;"",$AO2187&lt;&gt;"",INDEX(職員マスタ!$F$6:$F$405,$AN2187)&lt;$AO2187),"対象月に子が2歳到達済／","")&amp;IF(AND($H2187&lt;&gt;"",INDEX(職員マスタ!$B$6:$B$405,$AN2187)&lt;&gt;"",SUBSTITUTE(SUBSTITUTE($H2187," ","")," ","")&lt;&gt;SUBSTITUTE(SUBSTITUTE(INDEX(職員マスタ!$B$6:$B$405,$AN2187)," ","")," ","")),"氏名がマスタと相違／","")&amp;IF(AND($Q2187&lt;&gt;"",INDEX(職員マスタ!$E$6:$E$405,$AN2187)&lt;&gt;"",$Q2187&lt;&gt;INDEX(職員マスタ!$E$6:$E$405,$AN2187)),"子の生年月日がマスタと相違／","")&amp;IF(AND($L2187&lt;&gt;"",INDEX(職員マスタ!$G$6:$G$405,$AN2187)&lt;&gt;"",$L2187&lt;&gt;INDEX(職員マスタ!$G$6:$G$405,$AN2187)),"時短開始日がマスタと相違／","")&amp;IF(AND($M2187&lt;&gt;"",INDEX(職員マスタ!$H$6:$H$405,$AN2187)&lt;&gt;"",$M2187&lt;&gt;INDEX(職員マスタ!$H$6:$H$405,$AN2187)),"時短終了日がマスタと相違／","")))&amp;IF(AND($B2187&lt;&gt;"",$E2187=""),"報酬額が未入力／","")&amp;IF(N($U2187)&gt;0,"申請書に入力エラーが残っています／","")&amp;IF(AND($B2187&lt;&gt;"",$AO2187&lt;&gt;""),IF(COUNTIFS($B$6:$B$3005,$B2187,$C$6:$C$3005,$C2187,$D$6:$D$3005,$D2187)&gt;1,"同じ月の請求が重複しています／",""),"")&amp;IF(AND(N($E2187)&gt;0,$Z2187&lt;&gt;"",$Z2187&lt;&gt;"×",$AC2187=0,$AB2187=""),"計算額が下限以下のため不支給／",""))</f>
        <v/>
      </c>
      <c r="AL2187" s="12" t="n"/>
      <c r="AM2187" s="14">
        <f>IF($AD2187="保留中",COUNTIF($AD$6:$AD2187,"保留中"),"")</f>
        <v/>
      </c>
      <c r="AN2187" s="14">
        <f>IF($AO2187="","",IF(SUMPRODUCT(MAX((職員マスタ!$A$6:$A$405=$B2187)*(((職員マスタ!$G$6:$G$405="")+(職員マスタ!$G$6:$G$405&lt;=EOMONTH($AO2187,0)))&gt;0)*(((職員マスタ!$H$6:$H$405="")+(職員マスタ!$H$6:$H$405&gt;=$AO2187))&gt;0)*(ROW(職員マスタ!$A$6:$A$405)-5)))&gt;0,SUMPRODUCT(MAX((職員マスタ!$A$6:$A$405=$B2187)*(((職員マスタ!$G$6:$G$405="")+(職員マスタ!$G$6:$G$405&lt;=EOMONTH($AO2187,0)))&gt;0)*(((職員マスタ!$H$6:$H$405="")+(職員マスタ!$H$6:$H$405&gt;=$AO2187))&gt;0)*(ROW(職員マスタ!$A$6:$A$405)-5))),IFERROR(MATCH($B2187,職員マスタ!$A$6:$A$405,0),"")))</f>
        <v/>
      </c>
      <c r="AO2187" s="16">
        <f>IF(OR($B2187="",$C2187="",$D2187=""),"",DATE($C2187+2018,$D2187,1))</f>
        <v/>
      </c>
    </row>
    <row r="2188">
      <c r="A2188" s="11" t="n"/>
      <c r="B2188" s="12" t="n"/>
      <c r="C2188" s="12" t="n"/>
      <c r="D2188" s="12" t="n"/>
      <c r="E2188" s="13" t="n"/>
      <c r="F2188" s="12" t="n"/>
      <c r="G2188" s="13" t="n"/>
      <c r="H2188" s="12" t="n"/>
      <c r="I2188" s="12" t="n"/>
      <c r="J2188" s="12" t="n"/>
      <c r="K2188" s="12" t="n"/>
      <c r="L2188" s="11" t="n"/>
      <c r="M2188" s="11" t="n"/>
      <c r="N2188" s="11" t="n"/>
      <c r="O2188" s="11" t="n"/>
      <c r="P2188" s="12" t="n"/>
      <c r="Q2188" s="11" t="n"/>
      <c r="R2188" s="12" t="n"/>
      <c r="S2188" s="11" t="n"/>
      <c r="T2188" s="12" t="n"/>
      <c r="U2188" s="12" t="n"/>
      <c r="V2188" s="14">
        <f>IF($AN2188="",IF($B2188="","",$H2188),IF(INDEX(職員マスタ!$B$6:$B$405,$AN2188)="",$H2188,INDEX(職員マスタ!$B$6:$B$405,$AN2188)))</f>
        <v/>
      </c>
      <c r="W2188" s="14">
        <f>IF($AN2188="",IF($B2188="","",$R2188),IF(INDEX(職員マスタ!$C$6:$C$405,$AN2188)="",$R2188,INDEX(職員マスタ!$C$6:$C$405,$AN2188)))</f>
        <v/>
      </c>
      <c r="X2188" s="14">
        <f>IF($AO2188="","","R"&amp;$C2188&amp;"."&amp;$D2188)</f>
        <v/>
      </c>
      <c r="Y2188" s="15">
        <f>IF($AN2188="","",IF(INDEX(職員マスタ!$K$6:$K$405,$AN2188)="","",INDEX(職員マスタ!$K$6:$K$405,$AN2188)))</f>
        <v/>
      </c>
      <c r="Z2188" s="14">
        <f>IF(OR($E2188="",$Y2188=""),"",IF($E2188&gt;=$Y2188,"×",IF($E2188&gt;=$Y2188*設定!$C$5,"△","○")))</f>
        <v/>
      </c>
      <c r="AA2188" s="15">
        <f>IF($Z2188="","",IF($Z2188="×",0,IF($Z2188="○",ROUNDDOWN($E2188*設定!$C$4,0),ROUNDDOWN($E2188*ROUND((9*$Y2188-9*$E2188)/(10*$E2188),4),0))))</f>
        <v/>
      </c>
      <c r="AB2188" s="13" t="n"/>
      <c r="AC2188" s="15">
        <f>IF($B2188="","",IF($AB2188&lt;&gt;"",$AB2188,IF($AA2188="","",IF($AA2188&lt;=設定!$C$3,0,$AA2188))))</f>
        <v/>
      </c>
      <c r="AD2188" s="14">
        <f>IF($B2188="","",IF(AND($AE2188&lt;&gt;"",$AG2188="",$AJ2188=""),"保留中",IF($AJ2188&lt;&gt;"",IF(N($AC2188)&gt;0,"支給済","不支給"),IF($AC2188="","要確認",IF($AC2188=0,"不支給","未処理")))))</f>
        <v/>
      </c>
      <c r="AE2188" s="12" t="n"/>
      <c r="AF2188" s="11" t="n"/>
      <c r="AG2188" s="11" t="n"/>
      <c r="AH2188" s="11" t="n"/>
      <c r="AI2188" s="14">
        <f>IF(AND($AD2188="保留中",$AF2188&lt;&gt;""),TODAY()-$AF2188,"")</f>
        <v/>
      </c>
      <c r="AJ2188" s="12" t="n"/>
      <c r="AK2188" s="14">
        <f>IF($B2188="","",IF($AO2188="","対象年月が未入力／","")&amp;IF($B2188="","",IF($AN2188="","職員マスタに未登録の職員番号／",IF($Y2188="","標準報酬月額が未登録／","")&amp;IF(AND($AO2188&lt;&gt;"",OR(AND(INDEX(職員マスタ!$G$6:$G$405,$AN2188)&lt;&gt;"",INDEX(職員マスタ!$G$6:$G$405,$AN2188)&gt;EOMONTH($AO2188,0)),AND(INDEX(職員マスタ!$H$6:$H$405,$AN2188)&lt;&gt;"",INDEX(職員マスタ!$H$6:$H$405,$AN2188)&lt;$AO2188))),"対象月が時短期間外／","")&amp;IF(AND(INDEX(職員マスタ!$F$6:$F$405,$AN2188)&lt;&gt;"",$AO2188&lt;&gt;"",INDEX(職員マスタ!$F$6:$F$405,$AN2188)&lt;$AO2188),"対象月に子が2歳到達済／","")&amp;IF(AND($H2188&lt;&gt;"",INDEX(職員マスタ!$B$6:$B$405,$AN2188)&lt;&gt;"",SUBSTITUTE(SUBSTITUTE($H2188," ","")," ","")&lt;&gt;SUBSTITUTE(SUBSTITUTE(INDEX(職員マスタ!$B$6:$B$405,$AN2188)," ","")," ","")),"氏名がマスタと相違／","")&amp;IF(AND($Q2188&lt;&gt;"",INDEX(職員マスタ!$E$6:$E$405,$AN2188)&lt;&gt;"",$Q2188&lt;&gt;INDEX(職員マスタ!$E$6:$E$405,$AN2188)),"子の生年月日がマスタと相違／","")&amp;IF(AND($L2188&lt;&gt;"",INDEX(職員マスタ!$G$6:$G$405,$AN2188)&lt;&gt;"",$L2188&lt;&gt;INDEX(職員マスタ!$G$6:$G$405,$AN2188)),"時短開始日がマスタと相違／","")&amp;IF(AND($M2188&lt;&gt;"",INDEX(職員マスタ!$H$6:$H$405,$AN2188)&lt;&gt;"",$M2188&lt;&gt;INDEX(職員マスタ!$H$6:$H$405,$AN2188)),"時短終了日がマスタと相違／","")))&amp;IF(AND($B2188&lt;&gt;"",$E2188=""),"報酬額が未入力／","")&amp;IF(N($U2188)&gt;0,"申請書に入力エラーが残っています／","")&amp;IF(AND($B2188&lt;&gt;"",$AO2188&lt;&gt;""),IF(COUNTIFS($B$6:$B$3005,$B2188,$C$6:$C$3005,$C2188,$D$6:$D$3005,$D2188)&gt;1,"同じ月の請求が重複しています／",""),"")&amp;IF(AND(N($E2188)&gt;0,$Z2188&lt;&gt;"",$Z2188&lt;&gt;"×",$AC2188=0,$AB2188=""),"計算額が下限以下のため不支給／",""))</f>
        <v/>
      </c>
      <c r="AL2188" s="12" t="n"/>
      <c r="AM2188" s="14">
        <f>IF($AD2188="保留中",COUNTIF($AD$6:$AD2188,"保留中"),"")</f>
        <v/>
      </c>
      <c r="AN2188" s="14">
        <f>IF($AO2188="","",IF(SUMPRODUCT(MAX((職員マスタ!$A$6:$A$405=$B2188)*(((職員マスタ!$G$6:$G$405="")+(職員マスタ!$G$6:$G$405&lt;=EOMONTH($AO2188,0)))&gt;0)*(((職員マスタ!$H$6:$H$405="")+(職員マスタ!$H$6:$H$405&gt;=$AO2188))&gt;0)*(ROW(職員マスタ!$A$6:$A$405)-5)))&gt;0,SUMPRODUCT(MAX((職員マスタ!$A$6:$A$405=$B2188)*(((職員マスタ!$G$6:$G$405="")+(職員マスタ!$G$6:$G$405&lt;=EOMONTH($AO2188,0)))&gt;0)*(((職員マスタ!$H$6:$H$405="")+(職員マスタ!$H$6:$H$405&gt;=$AO2188))&gt;0)*(ROW(職員マスタ!$A$6:$A$405)-5))),IFERROR(MATCH($B2188,職員マスタ!$A$6:$A$405,0),"")))</f>
        <v/>
      </c>
      <c r="AO2188" s="16">
        <f>IF(OR($B2188="",$C2188="",$D2188=""),"",DATE($C2188+2018,$D2188,1))</f>
        <v/>
      </c>
    </row>
    <row r="2189">
      <c r="A2189" s="11" t="n"/>
      <c r="B2189" s="12" t="n"/>
      <c r="C2189" s="12" t="n"/>
      <c r="D2189" s="12" t="n"/>
      <c r="E2189" s="13" t="n"/>
      <c r="F2189" s="12" t="n"/>
      <c r="G2189" s="13" t="n"/>
      <c r="H2189" s="12" t="n"/>
      <c r="I2189" s="12" t="n"/>
      <c r="J2189" s="12" t="n"/>
      <c r="K2189" s="12" t="n"/>
      <c r="L2189" s="11" t="n"/>
      <c r="M2189" s="11" t="n"/>
      <c r="N2189" s="11" t="n"/>
      <c r="O2189" s="11" t="n"/>
      <c r="P2189" s="12" t="n"/>
      <c r="Q2189" s="11" t="n"/>
      <c r="R2189" s="12" t="n"/>
      <c r="S2189" s="11" t="n"/>
      <c r="T2189" s="12" t="n"/>
      <c r="U2189" s="12" t="n"/>
      <c r="V2189" s="14">
        <f>IF($AN2189="",IF($B2189="","",$H2189),IF(INDEX(職員マスタ!$B$6:$B$405,$AN2189)="",$H2189,INDEX(職員マスタ!$B$6:$B$405,$AN2189)))</f>
        <v/>
      </c>
      <c r="W2189" s="14">
        <f>IF($AN2189="",IF($B2189="","",$R2189),IF(INDEX(職員マスタ!$C$6:$C$405,$AN2189)="",$R2189,INDEX(職員マスタ!$C$6:$C$405,$AN2189)))</f>
        <v/>
      </c>
      <c r="X2189" s="14">
        <f>IF($AO2189="","","R"&amp;$C2189&amp;"."&amp;$D2189)</f>
        <v/>
      </c>
      <c r="Y2189" s="15">
        <f>IF($AN2189="","",IF(INDEX(職員マスタ!$K$6:$K$405,$AN2189)="","",INDEX(職員マスタ!$K$6:$K$405,$AN2189)))</f>
        <v/>
      </c>
      <c r="Z2189" s="14">
        <f>IF(OR($E2189="",$Y2189=""),"",IF($E2189&gt;=$Y2189,"×",IF($E2189&gt;=$Y2189*設定!$C$5,"△","○")))</f>
        <v/>
      </c>
      <c r="AA2189" s="15">
        <f>IF($Z2189="","",IF($Z2189="×",0,IF($Z2189="○",ROUNDDOWN($E2189*設定!$C$4,0),ROUNDDOWN($E2189*ROUND((9*$Y2189-9*$E2189)/(10*$E2189),4),0))))</f>
        <v/>
      </c>
      <c r="AB2189" s="13" t="n"/>
      <c r="AC2189" s="15">
        <f>IF($B2189="","",IF($AB2189&lt;&gt;"",$AB2189,IF($AA2189="","",IF($AA2189&lt;=設定!$C$3,0,$AA2189))))</f>
        <v/>
      </c>
      <c r="AD2189" s="14">
        <f>IF($B2189="","",IF(AND($AE2189&lt;&gt;"",$AG2189="",$AJ2189=""),"保留中",IF($AJ2189&lt;&gt;"",IF(N($AC2189)&gt;0,"支給済","不支給"),IF($AC2189="","要確認",IF($AC2189=0,"不支給","未処理")))))</f>
        <v/>
      </c>
      <c r="AE2189" s="12" t="n"/>
      <c r="AF2189" s="11" t="n"/>
      <c r="AG2189" s="11" t="n"/>
      <c r="AH2189" s="11" t="n"/>
      <c r="AI2189" s="14">
        <f>IF(AND($AD2189="保留中",$AF2189&lt;&gt;""),TODAY()-$AF2189,"")</f>
        <v/>
      </c>
      <c r="AJ2189" s="12" t="n"/>
      <c r="AK2189" s="14">
        <f>IF($B2189="","",IF($AO2189="","対象年月が未入力／","")&amp;IF($B2189="","",IF($AN2189="","職員マスタに未登録の職員番号／",IF($Y2189="","標準報酬月額が未登録／","")&amp;IF(AND($AO2189&lt;&gt;"",OR(AND(INDEX(職員マスタ!$G$6:$G$405,$AN2189)&lt;&gt;"",INDEX(職員マスタ!$G$6:$G$405,$AN2189)&gt;EOMONTH($AO2189,0)),AND(INDEX(職員マスタ!$H$6:$H$405,$AN2189)&lt;&gt;"",INDEX(職員マスタ!$H$6:$H$405,$AN2189)&lt;$AO2189))),"対象月が時短期間外／","")&amp;IF(AND(INDEX(職員マスタ!$F$6:$F$405,$AN2189)&lt;&gt;"",$AO2189&lt;&gt;"",INDEX(職員マスタ!$F$6:$F$405,$AN2189)&lt;$AO2189),"対象月に子が2歳到達済／","")&amp;IF(AND($H2189&lt;&gt;"",INDEX(職員マスタ!$B$6:$B$405,$AN2189)&lt;&gt;"",SUBSTITUTE(SUBSTITUTE($H2189," ","")," ","")&lt;&gt;SUBSTITUTE(SUBSTITUTE(INDEX(職員マスタ!$B$6:$B$405,$AN2189)," ","")," ","")),"氏名がマスタと相違／","")&amp;IF(AND($Q2189&lt;&gt;"",INDEX(職員マスタ!$E$6:$E$405,$AN2189)&lt;&gt;"",$Q2189&lt;&gt;INDEX(職員マスタ!$E$6:$E$405,$AN2189)),"子の生年月日がマスタと相違／","")&amp;IF(AND($L2189&lt;&gt;"",INDEX(職員マスタ!$G$6:$G$405,$AN2189)&lt;&gt;"",$L2189&lt;&gt;INDEX(職員マスタ!$G$6:$G$405,$AN2189)),"時短開始日がマスタと相違／","")&amp;IF(AND($M2189&lt;&gt;"",INDEX(職員マスタ!$H$6:$H$405,$AN2189)&lt;&gt;"",$M2189&lt;&gt;INDEX(職員マスタ!$H$6:$H$405,$AN2189)),"時短終了日がマスタと相違／","")))&amp;IF(AND($B2189&lt;&gt;"",$E2189=""),"報酬額が未入力／","")&amp;IF(N($U2189)&gt;0,"申請書に入力エラーが残っています／","")&amp;IF(AND($B2189&lt;&gt;"",$AO2189&lt;&gt;""),IF(COUNTIFS($B$6:$B$3005,$B2189,$C$6:$C$3005,$C2189,$D$6:$D$3005,$D2189)&gt;1,"同じ月の請求が重複しています／",""),"")&amp;IF(AND(N($E2189)&gt;0,$Z2189&lt;&gt;"",$Z2189&lt;&gt;"×",$AC2189=0,$AB2189=""),"計算額が下限以下のため不支給／",""))</f>
        <v/>
      </c>
      <c r="AL2189" s="12" t="n"/>
      <c r="AM2189" s="14">
        <f>IF($AD2189="保留中",COUNTIF($AD$6:$AD2189,"保留中"),"")</f>
        <v/>
      </c>
      <c r="AN2189" s="14">
        <f>IF($AO2189="","",IF(SUMPRODUCT(MAX((職員マスタ!$A$6:$A$405=$B2189)*(((職員マスタ!$G$6:$G$405="")+(職員マスタ!$G$6:$G$405&lt;=EOMONTH($AO2189,0)))&gt;0)*(((職員マスタ!$H$6:$H$405="")+(職員マスタ!$H$6:$H$405&gt;=$AO2189))&gt;0)*(ROW(職員マスタ!$A$6:$A$405)-5)))&gt;0,SUMPRODUCT(MAX((職員マスタ!$A$6:$A$405=$B2189)*(((職員マスタ!$G$6:$G$405="")+(職員マスタ!$G$6:$G$405&lt;=EOMONTH($AO2189,0)))&gt;0)*(((職員マスタ!$H$6:$H$405="")+(職員マスタ!$H$6:$H$405&gt;=$AO2189))&gt;0)*(ROW(職員マスタ!$A$6:$A$405)-5))),IFERROR(MATCH($B2189,職員マスタ!$A$6:$A$405,0),"")))</f>
        <v/>
      </c>
      <c r="AO2189" s="16">
        <f>IF(OR($B2189="",$C2189="",$D2189=""),"",DATE($C2189+2018,$D2189,1))</f>
        <v/>
      </c>
    </row>
    <row r="2190">
      <c r="A2190" s="11" t="n"/>
      <c r="B2190" s="12" t="n"/>
      <c r="C2190" s="12" t="n"/>
      <c r="D2190" s="12" t="n"/>
      <c r="E2190" s="13" t="n"/>
      <c r="F2190" s="12" t="n"/>
      <c r="G2190" s="13" t="n"/>
      <c r="H2190" s="12" t="n"/>
      <c r="I2190" s="12" t="n"/>
      <c r="J2190" s="12" t="n"/>
      <c r="K2190" s="12" t="n"/>
      <c r="L2190" s="11" t="n"/>
      <c r="M2190" s="11" t="n"/>
      <c r="N2190" s="11" t="n"/>
      <c r="O2190" s="11" t="n"/>
      <c r="P2190" s="12" t="n"/>
      <c r="Q2190" s="11" t="n"/>
      <c r="R2190" s="12" t="n"/>
      <c r="S2190" s="11" t="n"/>
      <c r="T2190" s="12" t="n"/>
      <c r="U2190" s="12" t="n"/>
      <c r="V2190" s="14">
        <f>IF($AN2190="",IF($B2190="","",$H2190),IF(INDEX(職員マスタ!$B$6:$B$405,$AN2190)="",$H2190,INDEX(職員マスタ!$B$6:$B$405,$AN2190)))</f>
        <v/>
      </c>
      <c r="W2190" s="14">
        <f>IF($AN2190="",IF($B2190="","",$R2190),IF(INDEX(職員マスタ!$C$6:$C$405,$AN2190)="",$R2190,INDEX(職員マスタ!$C$6:$C$405,$AN2190)))</f>
        <v/>
      </c>
      <c r="X2190" s="14">
        <f>IF($AO2190="","","R"&amp;$C2190&amp;"."&amp;$D2190)</f>
        <v/>
      </c>
      <c r="Y2190" s="15">
        <f>IF($AN2190="","",IF(INDEX(職員マスタ!$K$6:$K$405,$AN2190)="","",INDEX(職員マスタ!$K$6:$K$405,$AN2190)))</f>
        <v/>
      </c>
      <c r="Z2190" s="14">
        <f>IF(OR($E2190="",$Y2190=""),"",IF($E2190&gt;=$Y2190,"×",IF($E2190&gt;=$Y2190*設定!$C$5,"△","○")))</f>
        <v/>
      </c>
      <c r="AA2190" s="15">
        <f>IF($Z2190="","",IF($Z2190="×",0,IF($Z2190="○",ROUNDDOWN($E2190*設定!$C$4,0),ROUNDDOWN($E2190*ROUND((9*$Y2190-9*$E2190)/(10*$E2190),4),0))))</f>
        <v/>
      </c>
      <c r="AB2190" s="13" t="n"/>
      <c r="AC2190" s="15">
        <f>IF($B2190="","",IF($AB2190&lt;&gt;"",$AB2190,IF($AA2190="","",IF($AA2190&lt;=設定!$C$3,0,$AA2190))))</f>
        <v/>
      </c>
      <c r="AD2190" s="14">
        <f>IF($B2190="","",IF(AND($AE2190&lt;&gt;"",$AG2190="",$AJ2190=""),"保留中",IF($AJ2190&lt;&gt;"",IF(N($AC2190)&gt;0,"支給済","不支給"),IF($AC2190="","要確認",IF($AC2190=0,"不支給","未処理")))))</f>
        <v/>
      </c>
      <c r="AE2190" s="12" t="n"/>
      <c r="AF2190" s="11" t="n"/>
      <c r="AG2190" s="11" t="n"/>
      <c r="AH2190" s="11" t="n"/>
      <c r="AI2190" s="14">
        <f>IF(AND($AD2190="保留中",$AF2190&lt;&gt;""),TODAY()-$AF2190,"")</f>
        <v/>
      </c>
      <c r="AJ2190" s="12" t="n"/>
      <c r="AK2190" s="14">
        <f>IF($B2190="","",IF($AO2190="","対象年月が未入力／","")&amp;IF($B2190="","",IF($AN2190="","職員マスタに未登録の職員番号／",IF($Y2190="","標準報酬月額が未登録／","")&amp;IF(AND($AO2190&lt;&gt;"",OR(AND(INDEX(職員マスタ!$G$6:$G$405,$AN2190)&lt;&gt;"",INDEX(職員マスタ!$G$6:$G$405,$AN2190)&gt;EOMONTH($AO2190,0)),AND(INDEX(職員マスタ!$H$6:$H$405,$AN2190)&lt;&gt;"",INDEX(職員マスタ!$H$6:$H$405,$AN2190)&lt;$AO2190))),"対象月が時短期間外／","")&amp;IF(AND(INDEX(職員マスタ!$F$6:$F$405,$AN2190)&lt;&gt;"",$AO2190&lt;&gt;"",INDEX(職員マスタ!$F$6:$F$405,$AN2190)&lt;$AO2190),"対象月に子が2歳到達済／","")&amp;IF(AND($H2190&lt;&gt;"",INDEX(職員マスタ!$B$6:$B$405,$AN2190)&lt;&gt;"",SUBSTITUTE(SUBSTITUTE($H2190," ","")," ","")&lt;&gt;SUBSTITUTE(SUBSTITUTE(INDEX(職員マスタ!$B$6:$B$405,$AN2190)," ","")," ","")),"氏名がマスタと相違／","")&amp;IF(AND($Q2190&lt;&gt;"",INDEX(職員マスタ!$E$6:$E$405,$AN2190)&lt;&gt;"",$Q2190&lt;&gt;INDEX(職員マスタ!$E$6:$E$405,$AN2190)),"子の生年月日がマスタと相違／","")&amp;IF(AND($L2190&lt;&gt;"",INDEX(職員マスタ!$G$6:$G$405,$AN2190)&lt;&gt;"",$L2190&lt;&gt;INDEX(職員マスタ!$G$6:$G$405,$AN2190)),"時短開始日がマスタと相違／","")&amp;IF(AND($M2190&lt;&gt;"",INDEX(職員マスタ!$H$6:$H$405,$AN2190)&lt;&gt;"",$M2190&lt;&gt;INDEX(職員マスタ!$H$6:$H$405,$AN2190)),"時短終了日がマスタと相違／","")))&amp;IF(AND($B2190&lt;&gt;"",$E2190=""),"報酬額が未入力／","")&amp;IF(N($U2190)&gt;0,"申請書に入力エラーが残っています／","")&amp;IF(AND($B2190&lt;&gt;"",$AO2190&lt;&gt;""),IF(COUNTIFS($B$6:$B$3005,$B2190,$C$6:$C$3005,$C2190,$D$6:$D$3005,$D2190)&gt;1,"同じ月の請求が重複しています／",""),"")&amp;IF(AND(N($E2190)&gt;0,$Z2190&lt;&gt;"",$Z2190&lt;&gt;"×",$AC2190=0,$AB2190=""),"計算額が下限以下のため不支給／",""))</f>
        <v/>
      </c>
      <c r="AL2190" s="12" t="n"/>
      <c r="AM2190" s="14">
        <f>IF($AD2190="保留中",COUNTIF($AD$6:$AD2190,"保留中"),"")</f>
        <v/>
      </c>
      <c r="AN2190" s="14">
        <f>IF($AO2190="","",IF(SUMPRODUCT(MAX((職員マスタ!$A$6:$A$405=$B2190)*(((職員マスタ!$G$6:$G$405="")+(職員マスタ!$G$6:$G$405&lt;=EOMONTH($AO2190,0)))&gt;0)*(((職員マスタ!$H$6:$H$405="")+(職員マスタ!$H$6:$H$405&gt;=$AO2190))&gt;0)*(ROW(職員マスタ!$A$6:$A$405)-5)))&gt;0,SUMPRODUCT(MAX((職員マスタ!$A$6:$A$405=$B2190)*(((職員マスタ!$G$6:$G$405="")+(職員マスタ!$G$6:$G$405&lt;=EOMONTH($AO2190,0)))&gt;0)*(((職員マスタ!$H$6:$H$405="")+(職員マスタ!$H$6:$H$405&gt;=$AO2190))&gt;0)*(ROW(職員マスタ!$A$6:$A$405)-5))),IFERROR(MATCH($B2190,職員マスタ!$A$6:$A$405,0),"")))</f>
        <v/>
      </c>
      <c r="AO2190" s="16">
        <f>IF(OR($B2190="",$C2190="",$D2190=""),"",DATE($C2190+2018,$D2190,1))</f>
        <v/>
      </c>
    </row>
    <row r="2191">
      <c r="A2191" s="11" t="n"/>
      <c r="B2191" s="12" t="n"/>
      <c r="C2191" s="12" t="n"/>
      <c r="D2191" s="12" t="n"/>
      <c r="E2191" s="13" t="n"/>
      <c r="F2191" s="12" t="n"/>
      <c r="G2191" s="13" t="n"/>
      <c r="H2191" s="12" t="n"/>
      <c r="I2191" s="12" t="n"/>
      <c r="J2191" s="12" t="n"/>
      <c r="K2191" s="12" t="n"/>
      <c r="L2191" s="11" t="n"/>
      <c r="M2191" s="11" t="n"/>
      <c r="N2191" s="11" t="n"/>
      <c r="O2191" s="11" t="n"/>
      <c r="P2191" s="12" t="n"/>
      <c r="Q2191" s="11" t="n"/>
      <c r="R2191" s="12" t="n"/>
      <c r="S2191" s="11" t="n"/>
      <c r="T2191" s="12" t="n"/>
      <c r="U2191" s="12" t="n"/>
      <c r="V2191" s="14">
        <f>IF($AN2191="",IF($B2191="","",$H2191),IF(INDEX(職員マスタ!$B$6:$B$405,$AN2191)="",$H2191,INDEX(職員マスタ!$B$6:$B$405,$AN2191)))</f>
        <v/>
      </c>
      <c r="W2191" s="14">
        <f>IF($AN2191="",IF($B2191="","",$R2191),IF(INDEX(職員マスタ!$C$6:$C$405,$AN2191)="",$R2191,INDEX(職員マスタ!$C$6:$C$405,$AN2191)))</f>
        <v/>
      </c>
      <c r="X2191" s="14">
        <f>IF($AO2191="","","R"&amp;$C2191&amp;"."&amp;$D2191)</f>
        <v/>
      </c>
      <c r="Y2191" s="15">
        <f>IF($AN2191="","",IF(INDEX(職員マスタ!$K$6:$K$405,$AN2191)="","",INDEX(職員マスタ!$K$6:$K$405,$AN2191)))</f>
        <v/>
      </c>
      <c r="Z2191" s="14">
        <f>IF(OR($E2191="",$Y2191=""),"",IF($E2191&gt;=$Y2191,"×",IF($E2191&gt;=$Y2191*設定!$C$5,"△","○")))</f>
        <v/>
      </c>
      <c r="AA2191" s="15">
        <f>IF($Z2191="","",IF($Z2191="×",0,IF($Z2191="○",ROUNDDOWN($E2191*設定!$C$4,0),ROUNDDOWN($E2191*ROUND((9*$Y2191-9*$E2191)/(10*$E2191),4),0))))</f>
        <v/>
      </c>
      <c r="AB2191" s="13" t="n"/>
      <c r="AC2191" s="15">
        <f>IF($B2191="","",IF($AB2191&lt;&gt;"",$AB2191,IF($AA2191="","",IF($AA2191&lt;=設定!$C$3,0,$AA2191))))</f>
        <v/>
      </c>
      <c r="AD2191" s="14">
        <f>IF($B2191="","",IF(AND($AE2191&lt;&gt;"",$AG2191="",$AJ2191=""),"保留中",IF($AJ2191&lt;&gt;"",IF(N($AC2191)&gt;0,"支給済","不支給"),IF($AC2191="","要確認",IF($AC2191=0,"不支給","未処理")))))</f>
        <v/>
      </c>
      <c r="AE2191" s="12" t="n"/>
      <c r="AF2191" s="11" t="n"/>
      <c r="AG2191" s="11" t="n"/>
      <c r="AH2191" s="11" t="n"/>
      <c r="AI2191" s="14">
        <f>IF(AND($AD2191="保留中",$AF2191&lt;&gt;""),TODAY()-$AF2191,"")</f>
        <v/>
      </c>
      <c r="AJ2191" s="12" t="n"/>
      <c r="AK2191" s="14">
        <f>IF($B2191="","",IF($AO2191="","対象年月が未入力／","")&amp;IF($B2191="","",IF($AN2191="","職員マスタに未登録の職員番号／",IF($Y2191="","標準報酬月額が未登録／","")&amp;IF(AND($AO2191&lt;&gt;"",OR(AND(INDEX(職員マスタ!$G$6:$G$405,$AN2191)&lt;&gt;"",INDEX(職員マスタ!$G$6:$G$405,$AN2191)&gt;EOMONTH($AO2191,0)),AND(INDEX(職員マスタ!$H$6:$H$405,$AN2191)&lt;&gt;"",INDEX(職員マスタ!$H$6:$H$405,$AN2191)&lt;$AO2191))),"対象月が時短期間外／","")&amp;IF(AND(INDEX(職員マスタ!$F$6:$F$405,$AN2191)&lt;&gt;"",$AO2191&lt;&gt;"",INDEX(職員マスタ!$F$6:$F$405,$AN2191)&lt;$AO2191),"対象月に子が2歳到達済／","")&amp;IF(AND($H2191&lt;&gt;"",INDEX(職員マスタ!$B$6:$B$405,$AN2191)&lt;&gt;"",SUBSTITUTE(SUBSTITUTE($H2191," ","")," ","")&lt;&gt;SUBSTITUTE(SUBSTITUTE(INDEX(職員マスタ!$B$6:$B$405,$AN2191)," ","")," ","")),"氏名がマスタと相違／","")&amp;IF(AND($Q2191&lt;&gt;"",INDEX(職員マスタ!$E$6:$E$405,$AN2191)&lt;&gt;"",$Q2191&lt;&gt;INDEX(職員マスタ!$E$6:$E$405,$AN2191)),"子の生年月日がマスタと相違／","")&amp;IF(AND($L2191&lt;&gt;"",INDEX(職員マスタ!$G$6:$G$405,$AN2191)&lt;&gt;"",$L2191&lt;&gt;INDEX(職員マスタ!$G$6:$G$405,$AN2191)),"時短開始日がマスタと相違／","")&amp;IF(AND($M2191&lt;&gt;"",INDEX(職員マスタ!$H$6:$H$405,$AN2191)&lt;&gt;"",$M2191&lt;&gt;INDEX(職員マスタ!$H$6:$H$405,$AN2191)),"時短終了日がマスタと相違／","")))&amp;IF(AND($B2191&lt;&gt;"",$E2191=""),"報酬額が未入力／","")&amp;IF(N($U2191)&gt;0,"申請書に入力エラーが残っています／","")&amp;IF(AND($B2191&lt;&gt;"",$AO2191&lt;&gt;""),IF(COUNTIFS($B$6:$B$3005,$B2191,$C$6:$C$3005,$C2191,$D$6:$D$3005,$D2191)&gt;1,"同じ月の請求が重複しています／",""),"")&amp;IF(AND(N($E2191)&gt;0,$Z2191&lt;&gt;"",$Z2191&lt;&gt;"×",$AC2191=0,$AB2191=""),"計算額が下限以下のため不支給／",""))</f>
        <v/>
      </c>
      <c r="AL2191" s="12" t="n"/>
      <c r="AM2191" s="14">
        <f>IF($AD2191="保留中",COUNTIF($AD$6:$AD2191,"保留中"),"")</f>
        <v/>
      </c>
      <c r="AN2191" s="14">
        <f>IF($AO2191="","",IF(SUMPRODUCT(MAX((職員マスタ!$A$6:$A$405=$B2191)*(((職員マスタ!$G$6:$G$405="")+(職員マスタ!$G$6:$G$405&lt;=EOMONTH($AO2191,0)))&gt;0)*(((職員マスタ!$H$6:$H$405="")+(職員マスタ!$H$6:$H$405&gt;=$AO2191))&gt;0)*(ROW(職員マスタ!$A$6:$A$405)-5)))&gt;0,SUMPRODUCT(MAX((職員マスタ!$A$6:$A$405=$B2191)*(((職員マスタ!$G$6:$G$405="")+(職員マスタ!$G$6:$G$405&lt;=EOMONTH($AO2191,0)))&gt;0)*(((職員マスタ!$H$6:$H$405="")+(職員マスタ!$H$6:$H$405&gt;=$AO2191))&gt;0)*(ROW(職員マスタ!$A$6:$A$405)-5))),IFERROR(MATCH($B2191,職員マスタ!$A$6:$A$405,0),"")))</f>
        <v/>
      </c>
      <c r="AO2191" s="16">
        <f>IF(OR($B2191="",$C2191="",$D2191=""),"",DATE($C2191+2018,$D2191,1))</f>
        <v/>
      </c>
    </row>
    <row r="2192">
      <c r="A2192" s="11" t="n"/>
      <c r="B2192" s="12" t="n"/>
      <c r="C2192" s="12" t="n"/>
      <c r="D2192" s="12" t="n"/>
      <c r="E2192" s="13" t="n"/>
      <c r="F2192" s="12" t="n"/>
      <c r="G2192" s="13" t="n"/>
      <c r="H2192" s="12" t="n"/>
      <c r="I2192" s="12" t="n"/>
      <c r="J2192" s="12" t="n"/>
      <c r="K2192" s="12" t="n"/>
      <c r="L2192" s="11" t="n"/>
      <c r="M2192" s="11" t="n"/>
      <c r="N2192" s="11" t="n"/>
      <c r="O2192" s="11" t="n"/>
      <c r="P2192" s="12" t="n"/>
      <c r="Q2192" s="11" t="n"/>
      <c r="R2192" s="12" t="n"/>
      <c r="S2192" s="11" t="n"/>
      <c r="T2192" s="12" t="n"/>
      <c r="U2192" s="12" t="n"/>
      <c r="V2192" s="14">
        <f>IF($AN2192="",IF($B2192="","",$H2192),IF(INDEX(職員マスタ!$B$6:$B$405,$AN2192)="",$H2192,INDEX(職員マスタ!$B$6:$B$405,$AN2192)))</f>
        <v/>
      </c>
      <c r="W2192" s="14">
        <f>IF($AN2192="",IF($B2192="","",$R2192),IF(INDEX(職員マスタ!$C$6:$C$405,$AN2192)="",$R2192,INDEX(職員マスタ!$C$6:$C$405,$AN2192)))</f>
        <v/>
      </c>
      <c r="X2192" s="14">
        <f>IF($AO2192="","","R"&amp;$C2192&amp;"."&amp;$D2192)</f>
        <v/>
      </c>
      <c r="Y2192" s="15">
        <f>IF($AN2192="","",IF(INDEX(職員マスタ!$K$6:$K$405,$AN2192)="","",INDEX(職員マスタ!$K$6:$K$405,$AN2192)))</f>
        <v/>
      </c>
      <c r="Z2192" s="14">
        <f>IF(OR($E2192="",$Y2192=""),"",IF($E2192&gt;=$Y2192,"×",IF($E2192&gt;=$Y2192*設定!$C$5,"△","○")))</f>
        <v/>
      </c>
      <c r="AA2192" s="15">
        <f>IF($Z2192="","",IF($Z2192="×",0,IF($Z2192="○",ROUNDDOWN($E2192*設定!$C$4,0),ROUNDDOWN($E2192*ROUND((9*$Y2192-9*$E2192)/(10*$E2192),4),0))))</f>
        <v/>
      </c>
      <c r="AB2192" s="13" t="n"/>
      <c r="AC2192" s="15">
        <f>IF($B2192="","",IF($AB2192&lt;&gt;"",$AB2192,IF($AA2192="","",IF($AA2192&lt;=設定!$C$3,0,$AA2192))))</f>
        <v/>
      </c>
      <c r="AD2192" s="14">
        <f>IF($B2192="","",IF(AND($AE2192&lt;&gt;"",$AG2192="",$AJ2192=""),"保留中",IF($AJ2192&lt;&gt;"",IF(N($AC2192)&gt;0,"支給済","不支給"),IF($AC2192="","要確認",IF($AC2192=0,"不支給","未処理")))))</f>
        <v/>
      </c>
      <c r="AE2192" s="12" t="n"/>
      <c r="AF2192" s="11" t="n"/>
      <c r="AG2192" s="11" t="n"/>
      <c r="AH2192" s="11" t="n"/>
      <c r="AI2192" s="14">
        <f>IF(AND($AD2192="保留中",$AF2192&lt;&gt;""),TODAY()-$AF2192,"")</f>
        <v/>
      </c>
      <c r="AJ2192" s="12" t="n"/>
      <c r="AK2192" s="14">
        <f>IF($B2192="","",IF($AO2192="","対象年月が未入力／","")&amp;IF($B2192="","",IF($AN2192="","職員マスタに未登録の職員番号／",IF($Y2192="","標準報酬月額が未登録／","")&amp;IF(AND($AO2192&lt;&gt;"",OR(AND(INDEX(職員マスタ!$G$6:$G$405,$AN2192)&lt;&gt;"",INDEX(職員マスタ!$G$6:$G$405,$AN2192)&gt;EOMONTH($AO2192,0)),AND(INDEX(職員マスタ!$H$6:$H$405,$AN2192)&lt;&gt;"",INDEX(職員マスタ!$H$6:$H$405,$AN2192)&lt;$AO2192))),"対象月が時短期間外／","")&amp;IF(AND(INDEX(職員マスタ!$F$6:$F$405,$AN2192)&lt;&gt;"",$AO2192&lt;&gt;"",INDEX(職員マスタ!$F$6:$F$405,$AN2192)&lt;$AO2192),"対象月に子が2歳到達済／","")&amp;IF(AND($H2192&lt;&gt;"",INDEX(職員マスタ!$B$6:$B$405,$AN2192)&lt;&gt;"",SUBSTITUTE(SUBSTITUTE($H2192," ","")," ","")&lt;&gt;SUBSTITUTE(SUBSTITUTE(INDEX(職員マスタ!$B$6:$B$405,$AN2192)," ","")," ","")),"氏名がマスタと相違／","")&amp;IF(AND($Q2192&lt;&gt;"",INDEX(職員マスタ!$E$6:$E$405,$AN2192)&lt;&gt;"",$Q2192&lt;&gt;INDEX(職員マスタ!$E$6:$E$405,$AN2192)),"子の生年月日がマスタと相違／","")&amp;IF(AND($L2192&lt;&gt;"",INDEX(職員マスタ!$G$6:$G$405,$AN2192)&lt;&gt;"",$L2192&lt;&gt;INDEX(職員マスタ!$G$6:$G$405,$AN2192)),"時短開始日がマスタと相違／","")&amp;IF(AND($M2192&lt;&gt;"",INDEX(職員マスタ!$H$6:$H$405,$AN2192)&lt;&gt;"",$M2192&lt;&gt;INDEX(職員マスタ!$H$6:$H$405,$AN2192)),"時短終了日がマスタと相違／","")))&amp;IF(AND($B2192&lt;&gt;"",$E2192=""),"報酬額が未入力／","")&amp;IF(N($U2192)&gt;0,"申請書に入力エラーが残っています／","")&amp;IF(AND($B2192&lt;&gt;"",$AO2192&lt;&gt;""),IF(COUNTIFS($B$6:$B$3005,$B2192,$C$6:$C$3005,$C2192,$D$6:$D$3005,$D2192)&gt;1,"同じ月の請求が重複しています／",""),"")&amp;IF(AND(N($E2192)&gt;0,$Z2192&lt;&gt;"",$Z2192&lt;&gt;"×",$AC2192=0,$AB2192=""),"計算額が下限以下のため不支給／",""))</f>
        <v/>
      </c>
      <c r="AL2192" s="12" t="n"/>
      <c r="AM2192" s="14">
        <f>IF($AD2192="保留中",COUNTIF($AD$6:$AD2192,"保留中"),"")</f>
        <v/>
      </c>
      <c r="AN2192" s="14">
        <f>IF($AO2192="","",IF(SUMPRODUCT(MAX((職員マスタ!$A$6:$A$405=$B2192)*(((職員マスタ!$G$6:$G$405="")+(職員マスタ!$G$6:$G$405&lt;=EOMONTH($AO2192,0)))&gt;0)*(((職員マスタ!$H$6:$H$405="")+(職員マスタ!$H$6:$H$405&gt;=$AO2192))&gt;0)*(ROW(職員マスタ!$A$6:$A$405)-5)))&gt;0,SUMPRODUCT(MAX((職員マスタ!$A$6:$A$405=$B2192)*(((職員マスタ!$G$6:$G$405="")+(職員マスタ!$G$6:$G$405&lt;=EOMONTH($AO2192,0)))&gt;0)*(((職員マスタ!$H$6:$H$405="")+(職員マスタ!$H$6:$H$405&gt;=$AO2192))&gt;0)*(ROW(職員マスタ!$A$6:$A$405)-5))),IFERROR(MATCH($B2192,職員マスタ!$A$6:$A$405,0),"")))</f>
        <v/>
      </c>
      <c r="AO2192" s="16">
        <f>IF(OR($B2192="",$C2192="",$D2192=""),"",DATE($C2192+2018,$D2192,1))</f>
        <v/>
      </c>
    </row>
    <row r="2193">
      <c r="A2193" s="11" t="n"/>
      <c r="B2193" s="12" t="n"/>
      <c r="C2193" s="12" t="n"/>
      <c r="D2193" s="12" t="n"/>
      <c r="E2193" s="13" t="n"/>
      <c r="F2193" s="12" t="n"/>
      <c r="G2193" s="13" t="n"/>
      <c r="H2193" s="12" t="n"/>
      <c r="I2193" s="12" t="n"/>
      <c r="J2193" s="12" t="n"/>
      <c r="K2193" s="12" t="n"/>
      <c r="L2193" s="11" t="n"/>
      <c r="M2193" s="11" t="n"/>
      <c r="N2193" s="11" t="n"/>
      <c r="O2193" s="11" t="n"/>
      <c r="P2193" s="12" t="n"/>
      <c r="Q2193" s="11" t="n"/>
      <c r="R2193" s="12" t="n"/>
      <c r="S2193" s="11" t="n"/>
      <c r="T2193" s="12" t="n"/>
      <c r="U2193" s="12" t="n"/>
      <c r="V2193" s="14">
        <f>IF($AN2193="",IF($B2193="","",$H2193),IF(INDEX(職員マスタ!$B$6:$B$405,$AN2193)="",$H2193,INDEX(職員マスタ!$B$6:$B$405,$AN2193)))</f>
        <v/>
      </c>
      <c r="W2193" s="14">
        <f>IF($AN2193="",IF($B2193="","",$R2193),IF(INDEX(職員マスタ!$C$6:$C$405,$AN2193)="",$R2193,INDEX(職員マスタ!$C$6:$C$405,$AN2193)))</f>
        <v/>
      </c>
      <c r="X2193" s="14">
        <f>IF($AO2193="","","R"&amp;$C2193&amp;"."&amp;$D2193)</f>
        <v/>
      </c>
      <c r="Y2193" s="15">
        <f>IF($AN2193="","",IF(INDEX(職員マスタ!$K$6:$K$405,$AN2193)="","",INDEX(職員マスタ!$K$6:$K$405,$AN2193)))</f>
        <v/>
      </c>
      <c r="Z2193" s="14">
        <f>IF(OR($E2193="",$Y2193=""),"",IF($E2193&gt;=$Y2193,"×",IF($E2193&gt;=$Y2193*設定!$C$5,"△","○")))</f>
        <v/>
      </c>
      <c r="AA2193" s="15">
        <f>IF($Z2193="","",IF($Z2193="×",0,IF($Z2193="○",ROUNDDOWN($E2193*設定!$C$4,0),ROUNDDOWN($E2193*ROUND((9*$Y2193-9*$E2193)/(10*$E2193),4),0))))</f>
        <v/>
      </c>
      <c r="AB2193" s="13" t="n"/>
      <c r="AC2193" s="15">
        <f>IF($B2193="","",IF($AB2193&lt;&gt;"",$AB2193,IF($AA2193="","",IF($AA2193&lt;=設定!$C$3,0,$AA2193))))</f>
        <v/>
      </c>
      <c r="AD2193" s="14">
        <f>IF($B2193="","",IF(AND($AE2193&lt;&gt;"",$AG2193="",$AJ2193=""),"保留中",IF($AJ2193&lt;&gt;"",IF(N($AC2193)&gt;0,"支給済","不支給"),IF($AC2193="","要確認",IF($AC2193=0,"不支給","未処理")))))</f>
        <v/>
      </c>
      <c r="AE2193" s="12" t="n"/>
      <c r="AF2193" s="11" t="n"/>
      <c r="AG2193" s="11" t="n"/>
      <c r="AH2193" s="11" t="n"/>
      <c r="AI2193" s="14">
        <f>IF(AND($AD2193="保留中",$AF2193&lt;&gt;""),TODAY()-$AF2193,"")</f>
        <v/>
      </c>
      <c r="AJ2193" s="12" t="n"/>
      <c r="AK2193" s="14">
        <f>IF($B2193="","",IF($AO2193="","対象年月が未入力／","")&amp;IF($B2193="","",IF($AN2193="","職員マスタに未登録の職員番号／",IF($Y2193="","標準報酬月額が未登録／","")&amp;IF(AND($AO2193&lt;&gt;"",OR(AND(INDEX(職員マスタ!$G$6:$G$405,$AN2193)&lt;&gt;"",INDEX(職員マスタ!$G$6:$G$405,$AN2193)&gt;EOMONTH($AO2193,0)),AND(INDEX(職員マスタ!$H$6:$H$405,$AN2193)&lt;&gt;"",INDEX(職員マスタ!$H$6:$H$405,$AN2193)&lt;$AO2193))),"対象月が時短期間外／","")&amp;IF(AND(INDEX(職員マスタ!$F$6:$F$405,$AN2193)&lt;&gt;"",$AO2193&lt;&gt;"",INDEX(職員マスタ!$F$6:$F$405,$AN2193)&lt;$AO2193),"対象月に子が2歳到達済／","")&amp;IF(AND($H2193&lt;&gt;"",INDEX(職員マスタ!$B$6:$B$405,$AN2193)&lt;&gt;"",SUBSTITUTE(SUBSTITUTE($H2193," ","")," ","")&lt;&gt;SUBSTITUTE(SUBSTITUTE(INDEX(職員マスタ!$B$6:$B$405,$AN2193)," ","")," ","")),"氏名がマスタと相違／","")&amp;IF(AND($Q2193&lt;&gt;"",INDEX(職員マスタ!$E$6:$E$405,$AN2193)&lt;&gt;"",$Q2193&lt;&gt;INDEX(職員マスタ!$E$6:$E$405,$AN2193)),"子の生年月日がマスタと相違／","")&amp;IF(AND($L2193&lt;&gt;"",INDEX(職員マスタ!$G$6:$G$405,$AN2193)&lt;&gt;"",$L2193&lt;&gt;INDEX(職員マスタ!$G$6:$G$405,$AN2193)),"時短開始日がマスタと相違／","")&amp;IF(AND($M2193&lt;&gt;"",INDEX(職員マスタ!$H$6:$H$405,$AN2193)&lt;&gt;"",$M2193&lt;&gt;INDEX(職員マスタ!$H$6:$H$405,$AN2193)),"時短終了日がマスタと相違／","")))&amp;IF(AND($B2193&lt;&gt;"",$E2193=""),"報酬額が未入力／","")&amp;IF(N($U2193)&gt;0,"申請書に入力エラーが残っています／","")&amp;IF(AND($B2193&lt;&gt;"",$AO2193&lt;&gt;""),IF(COUNTIFS($B$6:$B$3005,$B2193,$C$6:$C$3005,$C2193,$D$6:$D$3005,$D2193)&gt;1,"同じ月の請求が重複しています／",""),"")&amp;IF(AND(N($E2193)&gt;0,$Z2193&lt;&gt;"",$Z2193&lt;&gt;"×",$AC2193=0,$AB2193=""),"計算額が下限以下のため不支給／",""))</f>
        <v/>
      </c>
      <c r="AL2193" s="12" t="n"/>
      <c r="AM2193" s="14">
        <f>IF($AD2193="保留中",COUNTIF($AD$6:$AD2193,"保留中"),"")</f>
        <v/>
      </c>
      <c r="AN2193" s="14">
        <f>IF($AO2193="","",IF(SUMPRODUCT(MAX((職員マスタ!$A$6:$A$405=$B2193)*(((職員マスタ!$G$6:$G$405="")+(職員マスタ!$G$6:$G$405&lt;=EOMONTH($AO2193,0)))&gt;0)*(((職員マスタ!$H$6:$H$405="")+(職員マスタ!$H$6:$H$405&gt;=$AO2193))&gt;0)*(ROW(職員マスタ!$A$6:$A$405)-5)))&gt;0,SUMPRODUCT(MAX((職員マスタ!$A$6:$A$405=$B2193)*(((職員マスタ!$G$6:$G$405="")+(職員マスタ!$G$6:$G$405&lt;=EOMONTH($AO2193,0)))&gt;0)*(((職員マスタ!$H$6:$H$405="")+(職員マスタ!$H$6:$H$405&gt;=$AO2193))&gt;0)*(ROW(職員マスタ!$A$6:$A$405)-5))),IFERROR(MATCH($B2193,職員マスタ!$A$6:$A$405,0),"")))</f>
        <v/>
      </c>
      <c r="AO2193" s="16">
        <f>IF(OR($B2193="",$C2193="",$D2193=""),"",DATE($C2193+2018,$D2193,1))</f>
        <v/>
      </c>
    </row>
    <row r="2194">
      <c r="A2194" s="11" t="n"/>
      <c r="B2194" s="12" t="n"/>
      <c r="C2194" s="12" t="n"/>
      <c r="D2194" s="12" t="n"/>
      <c r="E2194" s="13" t="n"/>
      <c r="F2194" s="12" t="n"/>
      <c r="G2194" s="13" t="n"/>
      <c r="H2194" s="12" t="n"/>
      <c r="I2194" s="12" t="n"/>
      <c r="J2194" s="12" t="n"/>
      <c r="K2194" s="12" t="n"/>
      <c r="L2194" s="11" t="n"/>
      <c r="M2194" s="11" t="n"/>
      <c r="N2194" s="11" t="n"/>
      <c r="O2194" s="11" t="n"/>
      <c r="P2194" s="12" t="n"/>
      <c r="Q2194" s="11" t="n"/>
      <c r="R2194" s="12" t="n"/>
      <c r="S2194" s="11" t="n"/>
      <c r="T2194" s="12" t="n"/>
      <c r="U2194" s="12" t="n"/>
      <c r="V2194" s="14">
        <f>IF($AN2194="",IF($B2194="","",$H2194),IF(INDEX(職員マスタ!$B$6:$B$405,$AN2194)="",$H2194,INDEX(職員マスタ!$B$6:$B$405,$AN2194)))</f>
        <v/>
      </c>
      <c r="W2194" s="14">
        <f>IF($AN2194="",IF($B2194="","",$R2194),IF(INDEX(職員マスタ!$C$6:$C$405,$AN2194)="",$R2194,INDEX(職員マスタ!$C$6:$C$405,$AN2194)))</f>
        <v/>
      </c>
      <c r="X2194" s="14">
        <f>IF($AO2194="","","R"&amp;$C2194&amp;"."&amp;$D2194)</f>
        <v/>
      </c>
      <c r="Y2194" s="15">
        <f>IF($AN2194="","",IF(INDEX(職員マスタ!$K$6:$K$405,$AN2194)="","",INDEX(職員マスタ!$K$6:$K$405,$AN2194)))</f>
        <v/>
      </c>
      <c r="Z2194" s="14">
        <f>IF(OR($E2194="",$Y2194=""),"",IF($E2194&gt;=$Y2194,"×",IF($E2194&gt;=$Y2194*設定!$C$5,"△","○")))</f>
        <v/>
      </c>
      <c r="AA2194" s="15">
        <f>IF($Z2194="","",IF($Z2194="×",0,IF($Z2194="○",ROUNDDOWN($E2194*設定!$C$4,0),ROUNDDOWN($E2194*ROUND((9*$Y2194-9*$E2194)/(10*$E2194),4),0))))</f>
        <v/>
      </c>
      <c r="AB2194" s="13" t="n"/>
      <c r="AC2194" s="15">
        <f>IF($B2194="","",IF($AB2194&lt;&gt;"",$AB2194,IF($AA2194="","",IF($AA2194&lt;=設定!$C$3,0,$AA2194))))</f>
        <v/>
      </c>
      <c r="AD2194" s="14">
        <f>IF($B2194="","",IF(AND($AE2194&lt;&gt;"",$AG2194="",$AJ2194=""),"保留中",IF($AJ2194&lt;&gt;"",IF(N($AC2194)&gt;0,"支給済","不支給"),IF($AC2194="","要確認",IF($AC2194=0,"不支給","未処理")))))</f>
        <v/>
      </c>
      <c r="AE2194" s="12" t="n"/>
      <c r="AF2194" s="11" t="n"/>
      <c r="AG2194" s="11" t="n"/>
      <c r="AH2194" s="11" t="n"/>
      <c r="AI2194" s="14">
        <f>IF(AND($AD2194="保留中",$AF2194&lt;&gt;""),TODAY()-$AF2194,"")</f>
        <v/>
      </c>
      <c r="AJ2194" s="12" t="n"/>
      <c r="AK2194" s="14">
        <f>IF($B2194="","",IF($AO2194="","対象年月が未入力／","")&amp;IF($B2194="","",IF($AN2194="","職員マスタに未登録の職員番号／",IF($Y2194="","標準報酬月額が未登録／","")&amp;IF(AND($AO2194&lt;&gt;"",OR(AND(INDEX(職員マスタ!$G$6:$G$405,$AN2194)&lt;&gt;"",INDEX(職員マスタ!$G$6:$G$405,$AN2194)&gt;EOMONTH($AO2194,0)),AND(INDEX(職員マスタ!$H$6:$H$405,$AN2194)&lt;&gt;"",INDEX(職員マスタ!$H$6:$H$405,$AN2194)&lt;$AO2194))),"対象月が時短期間外／","")&amp;IF(AND(INDEX(職員マスタ!$F$6:$F$405,$AN2194)&lt;&gt;"",$AO2194&lt;&gt;"",INDEX(職員マスタ!$F$6:$F$405,$AN2194)&lt;$AO2194),"対象月に子が2歳到達済／","")&amp;IF(AND($H2194&lt;&gt;"",INDEX(職員マスタ!$B$6:$B$405,$AN2194)&lt;&gt;"",SUBSTITUTE(SUBSTITUTE($H2194," ","")," ","")&lt;&gt;SUBSTITUTE(SUBSTITUTE(INDEX(職員マスタ!$B$6:$B$405,$AN2194)," ","")," ","")),"氏名がマスタと相違／","")&amp;IF(AND($Q2194&lt;&gt;"",INDEX(職員マスタ!$E$6:$E$405,$AN2194)&lt;&gt;"",$Q2194&lt;&gt;INDEX(職員マスタ!$E$6:$E$405,$AN2194)),"子の生年月日がマスタと相違／","")&amp;IF(AND($L2194&lt;&gt;"",INDEX(職員マスタ!$G$6:$G$405,$AN2194)&lt;&gt;"",$L2194&lt;&gt;INDEX(職員マスタ!$G$6:$G$405,$AN2194)),"時短開始日がマスタと相違／","")&amp;IF(AND($M2194&lt;&gt;"",INDEX(職員マスタ!$H$6:$H$405,$AN2194)&lt;&gt;"",$M2194&lt;&gt;INDEX(職員マスタ!$H$6:$H$405,$AN2194)),"時短終了日がマスタと相違／","")))&amp;IF(AND($B2194&lt;&gt;"",$E2194=""),"報酬額が未入力／","")&amp;IF(N($U2194)&gt;0,"申請書に入力エラーが残っています／","")&amp;IF(AND($B2194&lt;&gt;"",$AO2194&lt;&gt;""),IF(COUNTIFS($B$6:$B$3005,$B2194,$C$6:$C$3005,$C2194,$D$6:$D$3005,$D2194)&gt;1,"同じ月の請求が重複しています／",""),"")&amp;IF(AND(N($E2194)&gt;0,$Z2194&lt;&gt;"",$Z2194&lt;&gt;"×",$AC2194=0,$AB2194=""),"計算額が下限以下のため不支給／",""))</f>
        <v/>
      </c>
      <c r="AL2194" s="12" t="n"/>
      <c r="AM2194" s="14">
        <f>IF($AD2194="保留中",COUNTIF($AD$6:$AD2194,"保留中"),"")</f>
        <v/>
      </c>
      <c r="AN2194" s="14">
        <f>IF($AO2194="","",IF(SUMPRODUCT(MAX((職員マスタ!$A$6:$A$405=$B2194)*(((職員マスタ!$G$6:$G$405="")+(職員マスタ!$G$6:$G$405&lt;=EOMONTH($AO2194,0)))&gt;0)*(((職員マスタ!$H$6:$H$405="")+(職員マスタ!$H$6:$H$405&gt;=$AO2194))&gt;0)*(ROW(職員マスタ!$A$6:$A$405)-5)))&gt;0,SUMPRODUCT(MAX((職員マスタ!$A$6:$A$405=$B2194)*(((職員マスタ!$G$6:$G$405="")+(職員マスタ!$G$6:$G$405&lt;=EOMONTH($AO2194,0)))&gt;0)*(((職員マスタ!$H$6:$H$405="")+(職員マスタ!$H$6:$H$405&gt;=$AO2194))&gt;0)*(ROW(職員マスタ!$A$6:$A$405)-5))),IFERROR(MATCH($B2194,職員マスタ!$A$6:$A$405,0),"")))</f>
        <v/>
      </c>
      <c r="AO2194" s="16">
        <f>IF(OR($B2194="",$C2194="",$D2194=""),"",DATE($C2194+2018,$D2194,1))</f>
        <v/>
      </c>
    </row>
    <row r="2195">
      <c r="A2195" s="11" t="n"/>
      <c r="B2195" s="12" t="n"/>
      <c r="C2195" s="12" t="n"/>
      <c r="D2195" s="12" t="n"/>
      <c r="E2195" s="13" t="n"/>
      <c r="F2195" s="12" t="n"/>
      <c r="G2195" s="13" t="n"/>
      <c r="H2195" s="12" t="n"/>
      <c r="I2195" s="12" t="n"/>
      <c r="J2195" s="12" t="n"/>
      <c r="K2195" s="12" t="n"/>
      <c r="L2195" s="11" t="n"/>
      <c r="M2195" s="11" t="n"/>
      <c r="N2195" s="11" t="n"/>
      <c r="O2195" s="11" t="n"/>
      <c r="P2195" s="12" t="n"/>
      <c r="Q2195" s="11" t="n"/>
      <c r="R2195" s="12" t="n"/>
      <c r="S2195" s="11" t="n"/>
      <c r="T2195" s="12" t="n"/>
      <c r="U2195" s="12" t="n"/>
      <c r="V2195" s="14">
        <f>IF($AN2195="",IF($B2195="","",$H2195),IF(INDEX(職員マスタ!$B$6:$B$405,$AN2195)="",$H2195,INDEX(職員マスタ!$B$6:$B$405,$AN2195)))</f>
        <v/>
      </c>
      <c r="W2195" s="14">
        <f>IF($AN2195="",IF($B2195="","",$R2195),IF(INDEX(職員マスタ!$C$6:$C$405,$AN2195)="",$R2195,INDEX(職員マスタ!$C$6:$C$405,$AN2195)))</f>
        <v/>
      </c>
      <c r="X2195" s="14">
        <f>IF($AO2195="","","R"&amp;$C2195&amp;"."&amp;$D2195)</f>
        <v/>
      </c>
      <c r="Y2195" s="15">
        <f>IF($AN2195="","",IF(INDEX(職員マスタ!$K$6:$K$405,$AN2195)="","",INDEX(職員マスタ!$K$6:$K$405,$AN2195)))</f>
        <v/>
      </c>
      <c r="Z2195" s="14">
        <f>IF(OR($E2195="",$Y2195=""),"",IF($E2195&gt;=$Y2195,"×",IF($E2195&gt;=$Y2195*設定!$C$5,"△","○")))</f>
        <v/>
      </c>
      <c r="AA2195" s="15">
        <f>IF($Z2195="","",IF($Z2195="×",0,IF($Z2195="○",ROUNDDOWN($E2195*設定!$C$4,0),ROUNDDOWN($E2195*ROUND((9*$Y2195-9*$E2195)/(10*$E2195),4),0))))</f>
        <v/>
      </c>
      <c r="AB2195" s="13" t="n"/>
      <c r="AC2195" s="15">
        <f>IF($B2195="","",IF($AB2195&lt;&gt;"",$AB2195,IF($AA2195="","",IF($AA2195&lt;=設定!$C$3,0,$AA2195))))</f>
        <v/>
      </c>
      <c r="AD2195" s="14">
        <f>IF($B2195="","",IF(AND($AE2195&lt;&gt;"",$AG2195="",$AJ2195=""),"保留中",IF($AJ2195&lt;&gt;"",IF(N($AC2195)&gt;0,"支給済","不支給"),IF($AC2195="","要確認",IF($AC2195=0,"不支給","未処理")))))</f>
        <v/>
      </c>
      <c r="AE2195" s="12" t="n"/>
      <c r="AF2195" s="11" t="n"/>
      <c r="AG2195" s="11" t="n"/>
      <c r="AH2195" s="11" t="n"/>
      <c r="AI2195" s="14">
        <f>IF(AND($AD2195="保留中",$AF2195&lt;&gt;""),TODAY()-$AF2195,"")</f>
        <v/>
      </c>
      <c r="AJ2195" s="12" t="n"/>
      <c r="AK2195" s="14">
        <f>IF($B2195="","",IF($AO2195="","対象年月が未入力／","")&amp;IF($B2195="","",IF($AN2195="","職員マスタに未登録の職員番号／",IF($Y2195="","標準報酬月額が未登録／","")&amp;IF(AND($AO2195&lt;&gt;"",OR(AND(INDEX(職員マスタ!$G$6:$G$405,$AN2195)&lt;&gt;"",INDEX(職員マスタ!$G$6:$G$405,$AN2195)&gt;EOMONTH($AO2195,0)),AND(INDEX(職員マスタ!$H$6:$H$405,$AN2195)&lt;&gt;"",INDEX(職員マスタ!$H$6:$H$405,$AN2195)&lt;$AO2195))),"対象月が時短期間外／","")&amp;IF(AND(INDEX(職員マスタ!$F$6:$F$405,$AN2195)&lt;&gt;"",$AO2195&lt;&gt;"",INDEX(職員マスタ!$F$6:$F$405,$AN2195)&lt;$AO2195),"対象月に子が2歳到達済／","")&amp;IF(AND($H2195&lt;&gt;"",INDEX(職員マスタ!$B$6:$B$405,$AN2195)&lt;&gt;"",SUBSTITUTE(SUBSTITUTE($H2195," ","")," ","")&lt;&gt;SUBSTITUTE(SUBSTITUTE(INDEX(職員マスタ!$B$6:$B$405,$AN2195)," ","")," ","")),"氏名がマスタと相違／","")&amp;IF(AND($Q2195&lt;&gt;"",INDEX(職員マスタ!$E$6:$E$405,$AN2195)&lt;&gt;"",$Q2195&lt;&gt;INDEX(職員マスタ!$E$6:$E$405,$AN2195)),"子の生年月日がマスタと相違／","")&amp;IF(AND($L2195&lt;&gt;"",INDEX(職員マスタ!$G$6:$G$405,$AN2195)&lt;&gt;"",$L2195&lt;&gt;INDEX(職員マスタ!$G$6:$G$405,$AN2195)),"時短開始日がマスタと相違／","")&amp;IF(AND($M2195&lt;&gt;"",INDEX(職員マスタ!$H$6:$H$405,$AN2195)&lt;&gt;"",$M2195&lt;&gt;INDEX(職員マスタ!$H$6:$H$405,$AN2195)),"時短終了日がマスタと相違／","")))&amp;IF(AND($B2195&lt;&gt;"",$E2195=""),"報酬額が未入力／","")&amp;IF(N($U2195)&gt;0,"申請書に入力エラーが残っています／","")&amp;IF(AND($B2195&lt;&gt;"",$AO2195&lt;&gt;""),IF(COUNTIFS($B$6:$B$3005,$B2195,$C$6:$C$3005,$C2195,$D$6:$D$3005,$D2195)&gt;1,"同じ月の請求が重複しています／",""),"")&amp;IF(AND(N($E2195)&gt;0,$Z2195&lt;&gt;"",$Z2195&lt;&gt;"×",$AC2195=0,$AB2195=""),"計算額が下限以下のため不支給／",""))</f>
        <v/>
      </c>
      <c r="AL2195" s="12" t="n"/>
      <c r="AM2195" s="14">
        <f>IF($AD2195="保留中",COUNTIF($AD$6:$AD2195,"保留中"),"")</f>
        <v/>
      </c>
      <c r="AN2195" s="14">
        <f>IF($AO2195="","",IF(SUMPRODUCT(MAX((職員マスタ!$A$6:$A$405=$B2195)*(((職員マスタ!$G$6:$G$405="")+(職員マスタ!$G$6:$G$405&lt;=EOMONTH($AO2195,0)))&gt;0)*(((職員マスタ!$H$6:$H$405="")+(職員マスタ!$H$6:$H$405&gt;=$AO2195))&gt;0)*(ROW(職員マスタ!$A$6:$A$405)-5)))&gt;0,SUMPRODUCT(MAX((職員マスタ!$A$6:$A$405=$B2195)*(((職員マスタ!$G$6:$G$405="")+(職員マスタ!$G$6:$G$405&lt;=EOMONTH($AO2195,0)))&gt;0)*(((職員マスタ!$H$6:$H$405="")+(職員マスタ!$H$6:$H$405&gt;=$AO2195))&gt;0)*(ROW(職員マスタ!$A$6:$A$405)-5))),IFERROR(MATCH($B2195,職員マスタ!$A$6:$A$405,0),"")))</f>
        <v/>
      </c>
      <c r="AO2195" s="16">
        <f>IF(OR($B2195="",$C2195="",$D2195=""),"",DATE($C2195+2018,$D2195,1))</f>
        <v/>
      </c>
    </row>
    <row r="2196">
      <c r="A2196" s="11" t="n"/>
      <c r="B2196" s="12" t="n"/>
      <c r="C2196" s="12" t="n"/>
      <c r="D2196" s="12" t="n"/>
      <c r="E2196" s="13" t="n"/>
      <c r="F2196" s="12" t="n"/>
      <c r="G2196" s="13" t="n"/>
      <c r="H2196" s="12" t="n"/>
      <c r="I2196" s="12" t="n"/>
      <c r="J2196" s="12" t="n"/>
      <c r="K2196" s="12" t="n"/>
      <c r="L2196" s="11" t="n"/>
      <c r="M2196" s="11" t="n"/>
      <c r="N2196" s="11" t="n"/>
      <c r="O2196" s="11" t="n"/>
      <c r="P2196" s="12" t="n"/>
      <c r="Q2196" s="11" t="n"/>
      <c r="R2196" s="12" t="n"/>
      <c r="S2196" s="11" t="n"/>
      <c r="T2196" s="12" t="n"/>
      <c r="U2196" s="12" t="n"/>
      <c r="V2196" s="14">
        <f>IF($AN2196="",IF($B2196="","",$H2196),IF(INDEX(職員マスタ!$B$6:$B$405,$AN2196)="",$H2196,INDEX(職員マスタ!$B$6:$B$405,$AN2196)))</f>
        <v/>
      </c>
      <c r="W2196" s="14">
        <f>IF($AN2196="",IF($B2196="","",$R2196),IF(INDEX(職員マスタ!$C$6:$C$405,$AN2196)="",$R2196,INDEX(職員マスタ!$C$6:$C$405,$AN2196)))</f>
        <v/>
      </c>
      <c r="X2196" s="14">
        <f>IF($AO2196="","","R"&amp;$C2196&amp;"."&amp;$D2196)</f>
        <v/>
      </c>
      <c r="Y2196" s="15">
        <f>IF($AN2196="","",IF(INDEX(職員マスタ!$K$6:$K$405,$AN2196)="","",INDEX(職員マスタ!$K$6:$K$405,$AN2196)))</f>
        <v/>
      </c>
      <c r="Z2196" s="14">
        <f>IF(OR($E2196="",$Y2196=""),"",IF($E2196&gt;=$Y2196,"×",IF($E2196&gt;=$Y2196*設定!$C$5,"△","○")))</f>
        <v/>
      </c>
      <c r="AA2196" s="15">
        <f>IF($Z2196="","",IF($Z2196="×",0,IF($Z2196="○",ROUNDDOWN($E2196*設定!$C$4,0),ROUNDDOWN($E2196*ROUND((9*$Y2196-9*$E2196)/(10*$E2196),4),0))))</f>
        <v/>
      </c>
      <c r="AB2196" s="13" t="n"/>
      <c r="AC2196" s="15">
        <f>IF($B2196="","",IF($AB2196&lt;&gt;"",$AB2196,IF($AA2196="","",IF($AA2196&lt;=設定!$C$3,0,$AA2196))))</f>
        <v/>
      </c>
      <c r="AD2196" s="14">
        <f>IF($B2196="","",IF(AND($AE2196&lt;&gt;"",$AG2196="",$AJ2196=""),"保留中",IF($AJ2196&lt;&gt;"",IF(N($AC2196)&gt;0,"支給済","不支給"),IF($AC2196="","要確認",IF($AC2196=0,"不支給","未処理")))))</f>
        <v/>
      </c>
      <c r="AE2196" s="12" t="n"/>
      <c r="AF2196" s="11" t="n"/>
      <c r="AG2196" s="11" t="n"/>
      <c r="AH2196" s="11" t="n"/>
      <c r="AI2196" s="14">
        <f>IF(AND($AD2196="保留中",$AF2196&lt;&gt;""),TODAY()-$AF2196,"")</f>
        <v/>
      </c>
      <c r="AJ2196" s="12" t="n"/>
      <c r="AK2196" s="14">
        <f>IF($B2196="","",IF($AO2196="","対象年月が未入力／","")&amp;IF($B2196="","",IF($AN2196="","職員マスタに未登録の職員番号／",IF($Y2196="","標準報酬月額が未登録／","")&amp;IF(AND($AO2196&lt;&gt;"",OR(AND(INDEX(職員マスタ!$G$6:$G$405,$AN2196)&lt;&gt;"",INDEX(職員マスタ!$G$6:$G$405,$AN2196)&gt;EOMONTH($AO2196,0)),AND(INDEX(職員マスタ!$H$6:$H$405,$AN2196)&lt;&gt;"",INDEX(職員マスタ!$H$6:$H$405,$AN2196)&lt;$AO2196))),"対象月が時短期間外／","")&amp;IF(AND(INDEX(職員マスタ!$F$6:$F$405,$AN2196)&lt;&gt;"",$AO2196&lt;&gt;"",INDEX(職員マスタ!$F$6:$F$405,$AN2196)&lt;$AO2196),"対象月に子が2歳到達済／","")&amp;IF(AND($H2196&lt;&gt;"",INDEX(職員マスタ!$B$6:$B$405,$AN2196)&lt;&gt;"",SUBSTITUTE(SUBSTITUTE($H2196," ","")," ","")&lt;&gt;SUBSTITUTE(SUBSTITUTE(INDEX(職員マスタ!$B$6:$B$405,$AN2196)," ","")," ","")),"氏名がマスタと相違／","")&amp;IF(AND($Q2196&lt;&gt;"",INDEX(職員マスタ!$E$6:$E$405,$AN2196)&lt;&gt;"",$Q2196&lt;&gt;INDEX(職員マスタ!$E$6:$E$405,$AN2196)),"子の生年月日がマスタと相違／","")&amp;IF(AND($L2196&lt;&gt;"",INDEX(職員マスタ!$G$6:$G$405,$AN2196)&lt;&gt;"",$L2196&lt;&gt;INDEX(職員マスタ!$G$6:$G$405,$AN2196)),"時短開始日がマスタと相違／","")&amp;IF(AND($M2196&lt;&gt;"",INDEX(職員マスタ!$H$6:$H$405,$AN2196)&lt;&gt;"",$M2196&lt;&gt;INDEX(職員マスタ!$H$6:$H$405,$AN2196)),"時短終了日がマスタと相違／","")))&amp;IF(AND($B2196&lt;&gt;"",$E2196=""),"報酬額が未入力／","")&amp;IF(N($U2196)&gt;0,"申請書に入力エラーが残っています／","")&amp;IF(AND($B2196&lt;&gt;"",$AO2196&lt;&gt;""),IF(COUNTIFS($B$6:$B$3005,$B2196,$C$6:$C$3005,$C2196,$D$6:$D$3005,$D2196)&gt;1,"同じ月の請求が重複しています／",""),"")&amp;IF(AND(N($E2196)&gt;0,$Z2196&lt;&gt;"",$Z2196&lt;&gt;"×",$AC2196=0,$AB2196=""),"計算額が下限以下のため不支給／",""))</f>
        <v/>
      </c>
      <c r="AL2196" s="12" t="n"/>
      <c r="AM2196" s="14">
        <f>IF($AD2196="保留中",COUNTIF($AD$6:$AD2196,"保留中"),"")</f>
        <v/>
      </c>
      <c r="AN2196" s="14">
        <f>IF($AO2196="","",IF(SUMPRODUCT(MAX((職員マスタ!$A$6:$A$405=$B2196)*(((職員マスタ!$G$6:$G$405="")+(職員マスタ!$G$6:$G$405&lt;=EOMONTH($AO2196,0)))&gt;0)*(((職員マスタ!$H$6:$H$405="")+(職員マスタ!$H$6:$H$405&gt;=$AO2196))&gt;0)*(ROW(職員マスタ!$A$6:$A$405)-5)))&gt;0,SUMPRODUCT(MAX((職員マスタ!$A$6:$A$405=$B2196)*(((職員マスタ!$G$6:$G$405="")+(職員マスタ!$G$6:$G$405&lt;=EOMONTH($AO2196,0)))&gt;0)*(((職員マスタ!$H$6:$H$405="")+(職員マスタ!$H$6:$H$405&gt;=$AO2196))&gt;0)*(ROW(職員マスタ!$A$6:$A$405)-5))),IFERROR(MATCH($B2196,職員マスタ!$A$6:$A$405,0),"")))</f>
        <v/>
      </c>
      <c r="AO2196" s="16">
        <f>IF(OR($B2196="",$C2196="",$D2196=""),"",DATE($C2196+2018,$D2196,1))</f>
        <v/>
      </c>
    </row>
    <row r="2197">
      <c r="A2197" s="11" t="n"/>
      <c r="B2197" s="12" t="n"/>
      <c r="C2197" s="12" t="n"/>
      <c r="D2197" s="12" t="n"/>
      <c r="E2197" s="13" t="n"/>
      <c r="F2197" s="12" t="n"/>
      <c r="G2197" s="13" t="n"/>
      <c r="H2197" s="12" t="n"/>
      <c r="I2197" s="12" t="n"/>
      <c r="J2197" s="12" t="n"/>
      <c r="K2197" s="12" t="n"/>
      <c r="L2197" s="11" t="n"/>
      <c r="M2197" s="11" t="n"/>
      <c r="N2197" s="11" t="n"/>
      <c r="O2197" s="11" t="n"/>
      <c r="P2197" s="12" t="n"/>
      <c r="Q2197" s="11" t="n"/>
      <c r="R2197" s="12" t="n"/>
      <c r="S2197" s="11" t="n"/>
      <c r="T2197" s="12" t="n"/>
      <c r="U2197" s="12" t="n"/>
      <c r="V2197" s="14">
        <f>IF($AN2197="",IF($B2197="","",$H2197),IF(INDEX(職員マスタ!$B$6:$B$405,$AN2197)="",$H2197,INDEX(職員マスタ!$B$6:$B$405,$AN2197)))</f>
        <v/>
      </c>
      <c r="W2197" s="14">
        <f>IF($AN2197="",IF($B2197="","",$R2197),IF(INDEX(職員マスタ!$C$6:$C$405,$AN2197)="",$R2197,INDEX(職員マスタ!$C$6:$C$405,$AN2197)))</f>
        <v/>
      </c>
      <c r="X2197" s="14">
        <f>IF($AO2197="","","R"&amp;$C2197&amp;"."&amp;$D2197)</f>
        <v/>
      </c>
      <c r="Y2197" s="15">
        <f>IF($AN2197="","",IF(INDEX(職員マスタ!$K$6:$K$405,$AN2197)="","",INDEX(職員マスタ!$K$6:$K$405,$AN2197)))</f>
        <v/>
      </c>
      <c r="Z2197" s="14">
        <f>IF(OR($E2197="",$Y2197=""),"",IF($E2197&gt;=$Y2197,"×",IF($E2197&gt;=$Y2197*設定!$C$5,"△","○")))</f>
        <v/>
      </c>
      <c r="AA2197" s="15">
        <f>IF($Z2197="","",IF($Z2197="×",0,IF($Z2197="○",ROUNDDOWN($E2197*設定!$C$4,0),ROUNDDOWN($E2197*ROUND((9*$Y2197-9*$E2197)/(10*$E2197),4),0))))</f>
        <v/>
      </c>
      <c r="AB2197" s="13" t="n"/>
      <c r="AC2197" s="15">
        <f>IF($B2197="","",IF($AB2197&lt;&gt;"",$AB2197,IF($AA2197="","",IF($AA2197&lt;=設定!$C$3,0,$AA2197))))</f>
        <v/>
      </c>
      <c r="AD2197" s="14">
        <f>IF($B2197="","",IF(AND($AE2197&lt;&gt;"",$AG2197="",$AJ2197=""),"保留中",IF($AJ2197&lt;&gt;"",IF(N($AC2197)&gt;0,"支給済","不支給"),IF($AC2197="","要確認",IF($AC2197=0,"不支給","未処理")))))</f>
        <v/>
      </c>
      <c r="AE2197" s="12" t="n"/>
      <c r="AF2197" s="11" t="n"/>
      <c r="AG2197" s="11" t="n"/>
      <c r="AH2197" s="11" t="n"/>
      <c r="AI2197" s="14">
        <f>IF(AND($AD2197="保留中",$AF2197&lt;&gt;""),TODAY()-$AF2197,"")</f>
        <v/>
      </c>
      <c r="AJ2197" s="12" t="n"/>
      <c r="AK2197" s="14">
        <f>IF($B2197="","",IF($AO2197="","対象年月が未入力／","")&amp;IF($B2197="","",IF($AN2197="","職員マスタに未登録の職員番号／",IF($Y2197="","標準報酬月額が未登録／","")&amp;IF(AND($AO2197&lt;&gt;"",OR(AND(INDEX(職員マスタ!$G$6:$G$405,$AN2197)&lt;&gt;"",INDEX(職員マスタ!$G$6:$G$405,$AN2197)&gt;EOMONTH($AO2197,0)),AND(INDEX(職員マスタ!$H$6:$H$405,$AN2197)&lt;&gt;"",INDEX(職員マスタ!$H$6:$H$405,$AN2197)&lt;$AO2197))),"対象月が時短期間外／","")&amp;IF(AND(INDEX(職員マスタ!$F$6:$F$405,$AN2197)&lt;&gt;"",$AO2197&lt;&gt;"",INDEX(職員マスタ!$F$6:$F$405,$AN2197)&lt;$AO2197),"対象月に子が2歳到達済／","")&amp;IF(AND($H2197&lt;&gt;"",INDEX(職員マスタ!$B$6:$B$405,$AN2197)&lt;&gt;"",SUBSTITUTE(SUBSTITUTE($H2197," ","")," ","")&lt;&gt;SUBSTITUTE(SUBSTITUTE(INDEX(職員マスタ!$B$6:$B$405,$AN2197)," ","")," ","")),"氏名がマスタと相違／","")&amp;IF(AND($Q2197&lt;&gt;"",INDEX(職員マスタ!$E$6:$E$405,$AN2197)&lt;&gt;"",$Q2197&lt;&gt;INDEX(職員マスタ!$E$6:$E$405,$AN2197)),"子の生年月日がマスタと相違／","")&amp;IF(AND($L2197&lt;&gt;"",INDEX(職員マスタ!$G$6:$G$405,$AN2197)&lt;&gt;"",$L2197&lt;&gt;INDEX(職員マスタ!$G$6:$G$405,$AN2197)),"時短開始日がマスタと相違／","")&amp;IF(AND($M2197&lt;&gt;"",INDEX(職員マスタ!$H$6:$H$405,$AN2197)&lt;&gt;"",$M2197&lt;&gt;INDEX(職員マスタ!$H$6:$H$405,$AN2197)),"時短終了日がマスタと相違／","")))&amp;IF(AND($B2197&lt;&gt;"",$E2197=""),"報酬額が未入力／","")&amp;IF(N($U2197)&gt;0,"申請書に入力エラーが残っています／","")&amp;IF(AND($B2197&lt;&gt;"",$AO2197&lt;&gt;""),IF(COUNTIFS($B$6:$B$3005,$B2197,$C$6:$C$3005,$C2197,$D$6:$D$3005,$D2197)&gt;1,"同じ月の請求が重複しています／",""),"")&amp;IF(AND(N($E2197)&gt;0,$Z2197&lt;&gt;"",$Z2197&lt;&gt;"×",$AC2197=0,$AB2197=""),"計算額が下限以下のため不支給／",""))</f>
        <v/>
      </c>
      <c r="AL2197" s="12" t="n"/>
      <c r="AM2197" s="14">
        <f>IF($AD2197="保留中",COUNTIF($AD$6:$AD2197,"保留中"),"")</f>
        <v/>
      </c>
      <c r="AN2197" s="14">
        <f>IF($AO2197="","",IF(SUMPRODUCT(MAX((職員マスタ!$A$6:$A$405=$B2197)*(((職員マスタ!$G$6:$G$405="")+(職員マスタ!$G$6:$G$405&lt;=EOMONTH($AO2197,0)))&gt;0)*(((職員マスタ!$H$6:$H$405="")+(職員マスタ!$H$6:$H$405&gt;=$AO2197))&gt;0)*(ROW(職員マスタ!$A$6:$A$405)-5)))&gt;0,SUMPRODUCT(MAX((職員マスタ!$A$6:$A$405=$B2197)*(((職員マスタ!$G$6:$G$405="")+(職員マスタ!$G$6:$G$405&lt;=EOMONTH($AO2197,0)))&gt;0)*(((職員マスタ!$H$6:$H$405="")+(職員マスタ!$H$6:$H$405&gt;=$AO2197))&gt;0)*(ROW(職員マスタ!$A$6:$A$405)-5))),IFERROR(MATCH($B2197,職員マスタ!$A$6:$A$405,0),"")))</f>
        <v/>
      </c>
      <c r="AO2197" s="16">
        <f>IF(OR($B2197="",$C2197="",$D2197=""),"",DATE($C2197+2018,$D2197,1))</f>
        <v/>
      </c>
    </row>
    <row r="2198">
      <c r="A2198" s="11" t="n"/>
      <c r="B2198" s="12" t="n"/>
      <c r="C2198" s="12" t="n"/>
      <c r="D2198" s="12" t="n"/>
      <c r="E2198" s="13" t="n"/>
      <c r="F2198" s="12" t="n"/>
      <c r="G2198" s="13" t="n"/>
      <c r="H2198" s="12" t="n"/>
      <c r="I2198" s="12" t="n"/>
      <c r="J2198" s="12" t="n"/>
      <c r="K2198" s="12" t="n"/>
      <c r="L2198" s="11" t="n"/>
      <c r="M2198" s="11" t="n"/>
      <c r="N2198" s="11" t="n"/>
      <c r="O2198" s="11" t="n"/>
      <c r="P2198" s="12" t="n"/>
      <c r="Q2198" s="11" t="n"/>
      <c r="R2198" s="12" t="n"/>
      <c r="S2198" s="11" t="n"/>
      <c r="T2198" s="12" t="n"/>
      <c r="U2198" s="12" t="n"/>
      <c r="V2198" s="14">
        <f>IF($AN2198="",IF($B2198="","",$H2198),IF(INDEX(職員マスタ!$B$6:$B$405,$AN2198)="",$H2198,INDEX(職員マスタ!$B$6:$B$405,$AN2198)))</f>
        <v/>
      </c>
      <c r="W2198" s="14">
        <f>IF($AN2198="",IF($B2198="","",$R2198),IF(INDEX(職員マスタ!$C$6:$C$405,$AN2198)="",$R2198,INDEX(職員マスタ!$C$6:$C$405,$AN2198)))</f>
        <v/>
      </c>
      <c r="X2198" s="14">
        <f>IF($AO2198="","","R"&amp;$C2198&amp;"."&amp;$D2198)</f>
        <v/>
      </c>
      <c r="Y2198" s="15">
        <f>IF($AN2198="","",IF(INDEX(職員マスタ!$K$6:$K$405,$AN2198)="","",INDEX(職員マスタ!$K$6:$K$405,$AN2198)))</f>
        <v/>
      </c>
      <c r="Z2198" s="14">
        <f>IF(OR($E2198="",$Y2198=""),"",IF($E2198&gt;=$Y2198,"×",IF($E2198&gt;=$Y2198*設定!$C$5,"△","○")))</f>
        <v/>
      </c>
      <c r="AA2198" s="15">
        <f>IF($Z2198="","",IF($Z2198="×",0,IF($Z2198="○",ROUNDDOWN($E2198*設定!$C$4,0),ROUNDDOWN($E2198*ROUND((9*$Y2198-9*$E2198)/(10*$E2198),4),0))))</f>
        <v/>
      </c>
      <c r="AB2198" s="13" t="n"/>
      <c r="AC2198" s="15">
        <f>IF($B2198="","",IF($AB2198&lt;&gt;"",$AB2198,IF($AA2198="","",IF($AA2198&lt;=設定!$C$3,0,$AA2198))))</f>
        <v/>
      </c>
      <c r="AD2198" s="14">
        <f>IF($B2198="","",IF(AND($AE2198&lt;&gt;"",$AG2198="",$AJ2198=""),"保留中",IF($AJ2198&lt;&gt;"",IF(N($AC2198)&gt;0,"支給済","不支給"),IF($AC2198="","要確認",IF($AC2198=0,"不支給","未処理")))))</f>
        <v/>
      </c>
      <c r="AE2198" s="12" t="n"/>
      <c r="AF2198" s="11" t="n"/>
      <c r="AG2198" s="11" t="n"/>
      <c r="AH2198" s="11" t="n"/>
      <c r="AI2198" s="14">
        <f>IF(AND($AD2198="保留中",$AF2198&lt;&gt;""),TODAY()-$AF2198,"")</f>
        <v/>
      </c>
      <c r="AJ2198" s="12" t="n"/>
      <c r="AK2198" s="14">
        <f>IF($B2198="","",IF($AO2198="","対象年月が未入力／","")&amp;IF($B2198="","",IF($AN2198="","職員マスタに未登録の職員番号／",IF($Y2198="","標準報酬月額が未登録／","")&amp;IF(AND($AO2198&lt;&gt;"",OR(AND(INDEX(職員マスタ!$G$6:$G$405,$AN2198)&lt;&gt;"",INDEX(職員マスタ!$G$6:$G$405,$AN2198)&gt;EOMONTH($AO2198,0)),AND(INDEX(職員マスタ!$H$6:$H$405,$AN2198)&lt;&gt;"",INDEX(職員マスタ!$H$6:$H$405,$AN2198)&lt;$AO2198))),"対象月が時短期間外／","")&amp;IF(AND(INDEX(職員マスタ!$F$6:$F$405,$AN2198)&lt;&gt;"",$AO2198&lt;&gt;"",INDEX(職員マスタ!$F$6:$F$405,$AN2198)&lt;$AO2198),"対象月に子が2歳到達済／","")&amp;IF(AND($H2198&lt;&gt;"",INDEX(職員マスタ!$B$6:$B$405,$AN2198)&lt;&gt;"",SUBSTITUTE(SUBSTITUTE($H2198," ","")," ","")&lt;&gt;SUBSTITUTE(SUBSTITUTE(INDEX(職員マスタ!$B$6:$B$405,$AN2198)," ","")," ","")),"氏名がマスタと相違／","")&amp;IF(AND($Q2198&lt;&gt;"",INDEX(職員マスタ!$E$6:$E$405,$AN2198)&lt;&gt;"",$Q2198&lt;&gt;INDEX(職員マスタ!$E$6:$E$405,$AN2198)),"子の生年月日がマスタと相違／","")&amp;IF(AND($L2198&lt;&gt;"",INDEX(職員マスタ!$G$6:$G$405,$AN2198)&lt;&gt;"",$L2198&lt;&gt;INDEX(職員マスタ!$G$6:$G$405,$AN2198)),"時短開始日がマスタと相違／","")&amp;IF(AND($M2198&lt;&gt;"",INDEX(職員マスタ!$H$6:$H$405,$AN2198)&lt;&gt;"",$M2198&lt;&gt;INDEX(職員マスタ!$H$6:$H$405,$AN2198)),"時短終了日がマスタと相違／","")))&amp;IF(AND($B2198&lt;&gt;"",$E2198=""),"報酬額が未入力／","")&amp;IF(N($U2198)&gt;0,"申請書に入力エラーが残っています／","")&amp;IF(AND($B2198&lt;&gt;"",$AO2198&lt;&gt;""),IF(COUNTIFS($B$6:$B$3005,$B2198,$C$6:$C$3005,$C2198,$D$6:$D$3005,$D2198)&gt;1,"同じ月の請求が重複しています／",""),"")&amp;IF(AND(N($E2198)&gt;0,$Z2198&lt;&gt;"",$Z2198&lt;&gt;"×",$AC2198=0,$AB2198=""),"計算額が下限以下のため不支給／",""))</f>
        <v/>
      </c>
      <c r="AL2198" s="12" t="n"/>
      <c r="AM2198" s="14">
        <f>IF($AD2198="保留中",COUNTIF($AD$6:$AD2198,"保留中"),"")</f>
        <v/>
      </c>
      <c r="AN2198" s="14">
        <f>IF($AO2198="","",IF(SUMPRODUCT(MAX((職員マスタ!$A$6:$A$405=$B2198)*(((職員マスタ!$G$6:$G$405="")+(職員マスタ!$G$6:$G$405&lt;=EOMONTH($AO2198,0)))&gt;0)*(((職員マスタ!$H$6:$H$405="")+(職員マスタ!$H$6:$H$405&gt;=$AO2198))&gt;0)*(ROW(職員マスタ!$A$6:$A$405)-5)))&gt;0,SUMPRODUCT(MAX((職員マスタ!$A$6:$A$405=$B2198)*(((職員マスタ!$G$6:$G$405="")+(職員マスタ!$G$6:$G$405&lt;=EOMONTH($AO2198,0)))&gt;0)*(((職員マスタ!$H$6:$H$405="")+(職員マスタ!$H$6:$H$405&gt;=$AO2198))&gt;0)*(ROW(職員マスタ!$A$6:$A$405)-5))),IFERROR(MATCH($B2198,職員マスタ!$A$6:$A$405,0),"")))</f>
        <v/>
      </c>
      <c r="AO2198" s="16">
        <f>IF(OR($B2198="",$C2198="",$D2198=""),"",DATE($C2198+2018,$D2198,1))</f>
        <v/>
      </c>
    </row>
    <row r="2199">
      <c r="A2199" s="11" t="n"/>
      <c r="B2199" s="12" t="n"/>
      <c r="C2199" s="12" t="n"/>
      <c r="D2199" s="12" t="n"/>
      <c r="E2199" s="13" t="n"/>
      <c r="F2199" s="12" t="n"/>
      <c r="G2199" s="13" t="n"/>
      <c r="H2199" s="12" t="n"/>
      <c r="I2199" s="12" t="n"/>
      <c r="J2199" s="12" t="n"/>
      <c r="K2199" s="12" t="n"/>
      <c r="L2199" s="11" t="n"/>
      <c r="M2199" s="11" t="n"/>
      <c r="N2199" s="11" t="n"/>
      <c r="O2199" s="11" t="n"/>
      <c r="P2199" s="12" t="n"/>
      <c r="Q2199" s="11" t="n"/>
      <c r="R2199" s="12" t="n"/>
      <c r="S2199" s="11" t="n"/>
      <c r="T2199" s="12" t="n"/>
      <c r="U2199" s="12" t="n"/>
      <c r="V2199" s="14">
        <f>IF($AN2199="",IF($B2199="","",$H2199),IF(INDEX(職員マスタ!$B$6:$B$405,$AN2199)="",$H2199,INDEX(職員マスタ!$B$6:$B$405,$AN2199)))</f>
        <v/>
      </c>
      <c r="W2199" s="14">
        <f>IF($AN2199="",IF($B2199="","",$R2199),IF(INDEX(職員マスタ!$C$6:$C$405,$AN2199)="",$R2199,INDEX(職員マスタ!$C$6:$C$405,$AN2199)))</f>
        <v/>
      </c>
      <c r="X2199" s="14">
        <f>IF($AO2199="","","R"&amp;$C2199&amp;"."&amp;$D2199)</f>
        <v/>
      </c>
      <c r="Y2199" s="15">
        <f>IF($AN2199="","",IF(INDEX(職員マスタ!$K$6:$K$405,$AN2199)="","",INDEX(職員マスタ!$K$6:$K$405,$AN2199)))</f>
        <v/>
      </c>
      <c r="Z2199" s="14">
        <f>IF(OR($E2199="",$Y2199=""),"",IF($E2199&gt;=$Y2199,"×",IF($E2199&gt;=$Y2199*設定!$C$5,"△","○")))</f>
        <v/>
      </c>
      <c r="AA2199" s="15">
        <f>IF($Z2199="","",IF($Z2199="×",0,IF($Z2199="○",ROUNDDOWN($E2199*設定!$C$4,0),ROUNDDOWN($E2199*ROUND((9*$Y2199-9*$E2199)/(10*$E2199),4),0))))</f>
        <v/>
      </c>
      <c r="AB2199" s="13" t="n"/>
      <c r="AC2199" s="15">
        <f>IF($B2199="","",IF($AB2199&lt;&gt;"",$AB2199,IF($AA2199="","",IF($AA2199&lt;=設定!$C$3,0,$AA2199))))</f>
        <v/>
      </c>
      <c r="AD2199" s="14">
        <f>IF($B2199="","",IF(AND($AE2199&lt;&gt;"",$AG2199="",$AJ2199=""),"保留中",IF($AJ2199&lt;&gt;"",IF(N($AC2199)&gt;0,"支給済","不支給"),IF($AC2199="","要確認",IF($AC2199=0,"不支給","未処理")))))</f>
        <v/>
      </c>
      <c r="AE2199" s="12" t="n"/>
      <c r="AF2199" s="11" t="n"/>
      <c r="AG2199" s="11" t="n"/>
      <c r="AH2199" s="11" t="n"/>
      <c r="AI2199" s="14">
        <f>IF(AND($AD2199="保留中",$AF2199&lt;&gt;""),TODAY()-$AF2199,"")</f>
        <v/>
      </c>
      <c r="AJ2199" s="12" t="n"/>
      <c r="AK2199" s="14">
        <f>IF($B2199="","",IF($AO2199="","対象年月が未入力／","")&amp;IF($B2199="","",IF($AN2199="","職員マスタに未登録の職員番号／",IF($Y2199="","標準報酬月額が未登録／","")&amp;IF(AND($AO2199&lt;&gt;"",OR(AND(INDEX(職員マスタ!$G$6:$G$405,$AN2199)&lt;&gt;"",INDEX(職員マスタ!$G$6:$G$405,$AN2199)&gt;EOMONTH($AO2199,0)),AND(INDEX(職員マスタ!$H$6:$H$405,$AN2199)&lt;&gt;"",INDEX(職員マスタ!$H$6:$H$405,$AN2199)&lt;$AO2199))),"対象月が時短期間外／","")&amp;IF(AND(INDEX(職員マスタ!$F$6:$F$405,$AN2199)&lt;&gt;"",$AO2199&lt;&gt;"",INDEX(職員マスタ!$F$6:$F$405,$AN2199)&lt;$AO2199),"対象月に子が2歳到達済／","")&amp;IF(AND($H2199&lt;&gt;"",INDEX(職員マスタ!$B$6:$B$405,$AN2199)&lt;&gt;"",SUBSTITUTE(SUBSTITUTE($H2199," ","")," ","")&lt;&gt;SUBSTITUTE(SUBSTITUTE(INDEX(職員マスタ!$B$6:$B$405,$AN2199)," ","")," ","")),"氏名がマスタと相違／","")&amp;IF(AND($Q2199&lt;&gt;"",INDEX(職員マスタ!$E$6:$E$405,$AN2199)&lt;&gt;"",$Q2199&lt;&gt;INDEX(職員マスタ!$E$6:$E$405,$AN2199)),"子の生年月日がマスタと相違／","")&amp;IF(AND($L2199&lt;&gt;"",INDEX(職員マスタ!$G$6:$G$405,$AN2199)&lt;&gt;"",$L2199&lt;&gt;INDEX(職員マスタ!$G$6:$G$405,$AN2199)),"時短開始日がマスタと相違／","")&amp;IF(AND($M2199&lt;&gt;"",INDEX(職員マスタ!$H$6:$H$405,$AN2199)&lt;&gt;"",$M2199&lt;&gt;INDEX(職員マスタ!$H$6:$H$405,$AN2199)),"時短終了日がマスタと相違／","")))&amp;IF(AND($B2199&lt;&gt;"",$E2199=""),"報酬額が未入力／","")&amp;IF(N($U2199)&gt;0,"申請書に入力エラーが残っています／","")&amp;IF(AND($B2199&lt;&gt;"",$AO2199&lt;&gt;""),IF(COUNTIFS($B$6:$B$3005,$B2199,$C$6:$C$3005,$C2199,$D$6:$D$3005,$D2199)&gt;1,"同じ月の請求が重複しています／",""),"")&amp;IF(AND(N($E2199)&gt;0,$Z2199&lt;&gt;"",$Z2199&lt;&gt;"×",$AC2199=0,$AB2199=""),"計算額が下限以下のため不支給／",""))</f>
        <v/>
      </c>
      <c r="AL2199" s="12" t="n"/>
      <c r="AM2199" s="14">
        <f>IF($AD2199="保留中",COUNTIF($AD$6:$AD2199,"保留中"),"")</f>
        <v/>
      </c>
      <c r="AN2199" s="14">
        <f>IF($AO2199="","",IF(SUMPRODUCT(MAX((職員マスタ!$A$6:$A$405=$B2199)*(((職員マスタ!$G$6:$G$405="")+(職員マスタ!$G$6:$G$405&lt;=EOMONTH($AO2199,0)))&gt;0)*(((職員マスタ!$H$6:$H$405="")+(職員マスタ!$H$6:$H$405&gt;=$AO2199))&gt;0)*(ROW(職員マスタ!$A$6:$A$405)-5)))&gt;0,SUMPRODUCT(MAX((職員マスタ!$A$6:$A$405=$B2199)*(((職員マスタ!$G$6:$G$405="")+(職員マスタ!$G$6:$G$405&lt;=EOMONTH($AO2199,0)))&gt;0)*(((職員マスタ!$H$6:$H$405="")+(職員マスタ!$H$6:$H$405&gt;=$AO2199))&gt;0)*(ROW(職員マスタ!$A$6:$A$405)-5))),IFERROR(MATCH($B2199,職員マスタ!$A$6:$A$405,0),"")))</f>
        <v/>
      </c>
      <c r="AO2199" s="16">
        <f>IF(OR($B2199="",$C2199="",$D2199=""),"",DATE($C2199+2018,$D2199,1))</f>
        <v/>
      </c>
    </row>
    <row r="2200">
      <c r="A2200" s="11" t="n"/>
      <c r="B2200" s="12" t="n"/>
      <c r="C2200" s="12" t="n"/>
      <c r="D2200" s="12" t="n"/>
      <c r="E2200" s="13" t="n"/>
      <c r="F2200" s="12" t="n"/>
      <c r="G2200" s="13" t="n"/>
      <c r="H2200" s="12" t="n"/>
      <c r="I2200" s="12" t="n"/>
      <c r="J2200" s="12" t="n"/>
      <c r="K2200" s="12" t="n"/>
      <c r="L2200" s="11" t="n"/>
      <c r="M2200" s="11" t="n"/>
      <c r="N2200" s="11" t="n"/>
      <c r="O2200" s="11" t="n"/>
      <c r="P2200" s="12" t="n"/>
      <c r="Q2200" s="11" t="n"/>
      <c r="R2200" s="12" t="n"/>
      <c r="S2200" s="11" t="n"/>
      <c r="T2200" s="12" t="n"/>
      <c r="U2200" s="12" t="n"/>
      <c r="V2200" s="14">
        <f>IF($AN2200="",IF($B2200="","",$H2200),IF(INDEX(職員マスタ!$B$6:$B$405,$AN2200)="",$H2200,INDEX(職員マスタ!$B$6:$B$405,$AN2200)))</f>
        <v/>
      </c>
      <c r="W2200" s="14">
        <f>IF($AN2200="",IF($B2200="","",$R2200),IF(INDEX(職員マスタ!$C$6:$C$405,$AN2200)="",$R2200,INDEX(職員マスタ!$C$6:$C$405,$AN2200)))</f>
        <v/>
      </c>
      <c r="X2200" s="14">
        <f>IF($AO2200="","","R"&amp;$C2200&amp;"."&amp;$D2200)</f>
        <v/>
      </c>
      <c r="Y2200" s="15">
        <f>IF($AN2200="","",IF(INDEX(職員マスタ!$K$6:$K$405,$AN2200)="","",INDEX(職員マスタ!$K$6:$K$405,$AN2200)))</f>
        <v/>
      </c>
      <c r="Z2200" s="14">
        <f>IF(OR($E2200="",$Y2200=""),"",IF($E2200&gt;=$Y2200,"×",IF($E2200&gt;=$Y2200*設定!$C$5,"△","○")))</f>
        <v/>
      </c>
      <c r="AA2200" s="15">
        <f>IF($Z2200="","",IF($Z2200="×",0,IF($Z2200="○",ROUNDDOWN($E2200*設定!$C$4,0),ROUNDDOWN($E2200*ROUND((9*$Y2200-9*$E2200)/(10*$E2200),4),0))))</f>
        <v/>
      </c>
      <c r="AB2200" s="13" t="n"/>
      <c r="AC2200" s="15">
        <f>IF($B2200="","",IF($AB2200&lt;&gt;"",$AB2200,IF($AA2200="","",IF($AA2200&lt;=設定!$C$3,0,$AA2200))))</f>
        <v/>
      </c>
      <c r="AD2200" s="14">
        <f>IF($B2200="","",IF(AND($AE2200&lt;&gt;"",$AG2200="",$AJ2200=""),"保留中",IF($AJ2200&lt;&gt;"",IF(N($AC2200)&gt;0,"支給済","不支給"),IF($AC2200="","要確認",IF($AC2200=0,"不支給","未処理")))))</f>
        <v/>
      </c>
      <c r="AE2200" s="12" t="n"/>
      <c r="AF2200" s="11" t="n"/>
      <c r="AG2200" s="11" t="n"/>
      <c r="AH2200" s="11" t="n"/>
      <c r="AI2200" s="14">
        <f>IF(AND($AD2200="保留中",$AF2200&lt;&gt;""),TODAY()-$AF2200,"")</f>
        <v/>
      </c>
      <c r="AJ2200" s="12" t="n"/>
      <c r="AK2200" s="14">
        <f>IF($B2200="","",IF($AO2200="","対象年月が未入力／","")&amp;IF($B2200="","",IF($AN2200="","職員マスタに未登録の職員番号／",IF($Y2200="","標準報酬月額が未登録／","")&amp;IF(AND($AO2200&lt;&gt;"",OR(AND(INDEX(職員マスタ!$G$6:$G$405,$AN2200)&lt;&gt;"",INDEX(職員マスタ!$G$6:$G$405,$AN2200)&gt;EOMONTH($AO2200,0)),AND(INDEX(職員マスタ!$H$6:$H$405,$AN2200)&lt;&gt;"",INDEX(職員マスタ!$H$6:$H$405,$AN2200)&lt;$AO2200))),"対象月が時短期間外／","")&amp;IF(AND(INDEX(職員マスタ!$F$6:$F$405,$AN2200)&lt;&gt;"",$AO2200&lt;&gt;"",INDEX(職員マスタ!$F$6:$F$405,$AN2200)&lt;$AO2200),"対象月に子が2歳到達済／","")&amp;IF(AND($H2200&lt;&gt;"",INDEX(職員マスタ!$B$6:$B$405,$AN2200)&lt;&gt;"",SUBSTITUTE(SUBSTITUTE($H2200," ","")," ","")&lt;&gt;SUBSTITUTE(SUBSTITUTE(INDEX(職員マスタ!$B$6:$B$405,$AN2200)," ","")," ","")),"氏名がマスタと相違／","")&amp;IF(AND($Q2200&lt;&gt;"",INDEX(職員マスタ!$E$6:$E$405,$AN2200)&lt;&gt;"",$Q2200&lt;&gt;INDEX(職員マスタ!$E$6:$E$405,$AN2200)),"子の生年月日がマスタと相違／","")&amp;IF(AND($L2200&lt;&gt;"",INDEX(職員マスタ!$G$6:$G$405,$AN2200)&lt;&gt;"",$L2200&lt;&gt;INDEX(職員マスタ!$G$6:$G$405,$AN2200)),"時短開始日がマスタと相違／","")&amp;IF(AND($M2200&lt;&gt;"",INDEX(職員マスタ!$H$6:$H$405,$AN2200)&lt;&gt;"",$M2200&lt;&gt;INDEX(職員マスタ!$H$6:$H$405,$AN2200)),"時短終了日がマスタと相違／","")))&amp;IF(AND($B2200&lt;&gt;"",$E2200=""),"報酬額が未入力／","")&amp;IF(N($U2200)&gt;0,"申請書に入力エラーが残っています／","")&amp;IF(AND($B2200&lt;&gt;"",$AO2200&lt;&gt;""),IF(COUNTIFS($B$6:$B$3005,$B2200,$C$6:$C$3005,$C2200,$D$6:$D$3005,$D2200)&gt;1,"同じ月の請求が重複しています／",""),"")&amp;IF(AND(N($E2200)&gt;0,$Z2200&lt;&gt;"",$Z2200&lt;&gt;"×",$AC2200=0,$AB2200=""),"計算額が下限以下のため不支給／",""))</f>
        <v/>
      </c>
      <c r="AL2200" s="12" t="n"/>
      <c r="AM2200" s="14">
        <f>IF($AD2200="保留中",COUNTIF($AD$6:$AD2200,"保留中"),"")</f>
        <v/>
      </c>
      <c r="AN2200" s="14">
        <f>IF($AO2200="","",IF(SUMPRODUCT(MAX((職員マスタ!$A$6:$A$405=$B2200)*(((職員マスタ!$G$6:$G$405="")+(職員マスタ!$G$6:$G$405&lt;=EOMONTH($AO2200,0)))&gt;0)*(((職員マスタ!$H$6:$H$405="")+(職員マスタ!$H$6:$H$405&gt;=$AO2200))&gt;0)*(ROW(職員マスタ!$A$6:$A$405)-5)))&gt;0,SUMPRODUCT(MAX((職員マスタ!$A$6:$A$405=$B2200)*(((職員マスタ!$G$6:$G$405="")+(職員マスタ!$G$6:$G$405&lt;=EOMONTH($AO2200,0)))&gt;0)*(((職員マスタ!$H$6:$H$405="")+(職員マスタ!$H$6:$H$405&gt;=$AO2200))&gt;0)*(ROW(職員マスタ!$A$6:$A$405)-5))),IFERROR(MATCH($B2200,職員マスタ!$A$6:$A$405,0),"")))</f>
        <v/>
      </c>
      <c r="AO2200" s="16">
        <f>IF(OR($B2200="",$C2200="",$D2200=""),"",DATE($C2200+2018,$D2200,1))</f>
        <v/>
      </c>
    </row>
    <row r="2201">
      <c r="A2201" s="11" t="n"/>
      <c r="B2201" s="12" t="n"/>
      <c r="C2201" s="12" t="n"/>
      <c r="D2201" s="12" t="n"/>
      <c r="E2201" s="13" t="n"/>
      <c r="F2201" s="12" t="n"/>
      <c r="G2201" s="13" t="n"/>
      <c r="H2201" s="12" t="n"/>
      <c r="I2201" s="12" t="n"/>
      <c r="J2201" s="12" t="n"/>
      <c r="K2201" s="12" t="n"/>
      <c r="L2201" s="11" t="n"/>
      <c r="M2201" s="11" t="n"/>
      <c r="N2201" s="11" t="n"/>
      <c r="O2201" s="11" t="n"/>
      <c r="P2201" s="12" t="n"/>
      <c r="Q2201" s="11" t="n"/>
      <c r="R2201" s="12" t="n"/>
      <c r="S2201" s="11" t="n"/>
      <c r="T2201" s="12" t="n"/>
      <c r="U2201" s="12" t="n"/>
      <c r="V2201" s="14">
        <f>IF($AN2201="",IF($B2201="","",$H2201),IF(INDEX(職員マスタ!$B$6:$B$405,$AN2201)="",$H2201,INDEX(職員マスタ!$B$6:$B$405,$AN2201)))</f>
        <v/>
      </c>
      <c r="W2201" s="14">
        <f>IF($AN2201="",IF($B2201="","",$R2201),IF(INDEX(職員マスタ!$C$6:$C$405,$AN2201)="",$R2201,INDEX(職員マスタ!$C$6:$C$405,$AN2201)))</f>
        <v/>
      </c>
      <c r="X2201" s="14">
        <f>IF($AO2201="","","R"&amp;$C2201&amp;"."&amp;$D2201)</f>
        <v/>
      </c>
      <c r="Y2201" s="15">
        <f>IF($AN2201="","",IF(INDEX(職員マスタ!$K$6:$K$405,$AN2201)="","",INDEX(職員マスタ!$K$6:$K$405,$AN2201)))</f>
        <v/>
      </c>
      <c r="Z2201" s="14">
        <f>IF(OR($E2201="",$Y2201=""),"",IF($E2201&gt;=$Y2201,"×",IF($E2201&gt;=$Y2201*設定!$C$5,"△","○")))</f>
        <v/>
      </c>
      <c r="AA2201" s="15">
        <f>IF($Z2201="","",IF($Z2201="×",0,IF($Z2201="○",ROUNDDOWN($E2201*設定!$C$4,0),ROUNDDOWN($E2201*ROUND((9*$Y2201-9*$E2201)/(10*$E2201),4),0))))</f>
        <v/>
      </c>
      <c r="AB2201" s="13" t="n"/>
      <c r="AC2201" s="15">
        <f>IF($B2201="","",IF($AB2201&lt;&gt;"",$AB2201,IF($AA2201="","",IF($AA2201&lt;=設定!$C$3,0,$AA2201))))</f>
        <v/>
      </c>
      <c r="AD2201" s="14">
        <f>IF($B2201="","",IF(AND($AE2201&lt;&gt;"",$AG2201="",$AJ2201=""),"保留中",IF($AJ2201&lt;&gt;"",IF(N($AC2201)&gt;0,"支給済","不支給"),IF($AC2201="","要確認",IF($AC2201=0,"不支給","未処理")))))</f>
        <v/>
      </c>
      <c r="AE2201" s="12" t="n"/>
      <c r="AF2201" s="11" t="n"/>
      <c r="AG2201" s="11" t="n"/>
      <c r="AH2201" s="11" t="n"/>
      <c r="AI2201" s="14">
        <f>IF(AND($AD2201="保留中",$AF2201&lt;&gt;""),TODAY()-$AF2201,"")</f>
        <v/>
      </c>
      <c r="AJ2201" s="12" t="n"/>
      <c r="AK2201" s="14">
        <f>IF($B2201="","",IF($AO2201="","対象年月が未入力／","")&amp;IF($B2201="","",IF($AN2201="","職員マスタに未登録の職員番号／",IF($Y2201="","標準報酬月額が未登録／","")&amp;IF(AND($AO2201&lt;&gt;"",OR(AND(INDEX(職員マスタ!$G$6:$G$405,$AN2201)&lt;&gt;"",INDEX(職員マスタ!$G$6:$G$405,$AN2201)&gt;EOMONTH($AO2201,0)),AND(INDEX(職員マスタ!$H$6:$H$405,$AN2201)&lt;&gt;"",INDEX(職員マスタ!$H$6:$H$405,$AN2201)&lt;$AO2201))),"対象月が時短期間外／","")&amp;IF(AND(INDEX(職員マスタ!$F$6:$F$405,$AN2201)&lt;&gt;"",$AO2201&lt;&gt;"",INDEX(職員マスタ!$F$6:$F$405,$AN2201)&lt;$AO2201),"対象月に子が2歳到達済／","")&amp;IF(AND($H2201&lt;&gt;"",INDEX(職員マスタ!$B$6:$B$405,$AN2201)&lt;&gt;"",SUBSTITUTE(SUBSTITUTE($H2201," ","")," ","")&lt;&gt;SUBSTITUTE(SUBSTITUTE(INDEX(職員マスタ!$B$6:$B$405,$AN2201)," ","")," ","")),"氏名がマスタと相違／","")&amp;IF(AND($Q2201&lt;&gt;"",INDEX(職員マスタ!$E$6:$E$405,$AN2201)&lt;&gt;"",$Q2201&lt;&gt;INDEX(職員マスタ!$E$6:$E$405,$AN2201)),"子の生年月日がマスタと相違／","")&amp;IF(AND($L2201&lt;&gt;"",INDEX(職員マスタ!$G$6:$G$405,$AN2201)&lt;&gt;"",$L2201&lt;&gt;INDEX(職員マスタ!$G$6:$G$405,$AN2201)),"時短開始日がマスタと相違／","")&amp;IF(AND($M2201&lt;&gt;"",INDEX(職員マスタ!$H$6:$H$405,$AN2201)&lt;&gt;"",$M2201&lt;&gt;INDEX(職員マスタ!$H$6:$H$405,$AN2201)),"時短終了日がマスタと相違／","")))&amp;IF(AND($B2201&lt;&gt;"",$E2201=""),"報酬額が未入力／","")&amp;IF(N($U2201)&gt;0,"申請書に入力エラーが残っています／","")&amp;IF(AND($B2201&lt;&gt;"",$AO2201&lt;&gt;""),IF(COUNTIFS($B$6:$B$3005,$B2201,$C$6:$C$3005,$C2201,$D$6:$D$3005,$D2201)&gt;1,"同じ月の請求が重複しています／",""),"")&amp;IF(AND(N($E2201)&gt;0,$Z2201&lt;&gt;"",$Z2201&lt;&gt;"×",$AC2201=0,$AB2201=""),"計算額が下限以下のため不支給／",""))</f>
        <v/>
      </c>
      <c r="AL2201" s="12" t="n"/>
      <c r="AM2201" s="14">
        <f>IF($AD2201="保留中",COUNTIF($AD$6:$AD2201,"保留中"),"")</f>
        <v/>
      </c>
      <c r="AN2201" s="14">
        <f>IF($AO2201="","",IF(SUMPRODUCT(MAX((職員マスタ!$A$6:$A$405=$B2201)*(((職員マスタ!$G$6:$G$405="")+(職員マスタ!$G$6:$G$405&lt;=EOMONTH($AO2201,0)))&gt;0)*(((職員マスタ!$H$6:$H$405="")+(職員マスタ!$H$6:$H$405&gt;=$AO2201))&gt;0)*(ROW(職員マスタ!$A$6:$A$405)-5)))&gt;0,SUMPRODUCT(MAX((職員マスタ!$A$6:$A$405=$B2201)*(((職員マスタ!$G$6:$G$405="")+(職員マスタ!$G$6:$G$405&lt;=EOMONTH($AO2201,0)))&gt;0)*(((職員マスタ!$H$6:$H$405="")+(職員マスタ!$H$6:$H$405&gt;=$AO2201))&gt;0)*(ROW(職員マスタ!$A$6:$A$405)-5))),IFERROR(MATCH($B2201,職員マスタ!$A$6:$A$405,0),"")))</f>
        <v/>
      </c>
      <c r="AO2201" s="16">
        <f>IF(OR($B2201="",$C2201="",$D2201=""),"",DATE($C2201+2018,$D2201,1))</f>
        <v/>
      </c>
    </row>
    <row r="2202">
      <c r="A2202" s="11" t="n"/>
      <c r="B2202" s="12" t="n"/>
      <c r="C2202" s="12" t="n"/>
      <c r="D2202" s="12" t="n"/>
      <c r="E2202" s="13" t="n"/>
      <c r="F2202" s="12" t="n"/>
      <c r="G2202" s="13" t="n"/>
      <c r="H2202" s="12" t="n"/>
      <c r="I2202" s="12" t="n"/>
      <c r="J2202" s="12" t="n"/>
      <c r="K2202" s="12" t="n"/>
      <c r="L2202" s="11" t="n"/>
      <c r="M2202" s="11" t="n"/>
      <c r="N2202" s="11" t="n"/>
      <c r="O2202" s="11" t="n"/>
      <c r="P2202" s="12" t="n"/>
      <c r="Q2202" s="11" t="n"/>
      <c r="R2202" s="12" t="n"/>
      <c r="S2202" s="11" t="n"/>
      <c r="T2202" s="12" t="n"/>
      <c r="U2202" s="12" t="n"/>
      <c r="V2202" s="14">
        <f>IF($AN2202="",IF($B2202="","",$H2202),IF(INDEX(職員マスタ!$B$6:$B$405,$AN2202)="",$H2202,INDEX(職員マスタ!$B$6:$B$405,$AN2202)))</f>
        <v/>
      </c>
      <c r="W2202" s="14">
        <f>IF($AN2202="",IF($B2202="","",$R2202),IF(INDEX(職員マスタ!$C$6:$C$405,$AN2202)="",$R2202,INDEX(職員マスタ!$C$6:$C$405,$AN2202)))</f>
        <v/>
      </c>
      <c r="X2202" s="14">
        <f>IF($AO2202="","","R"&amp;$C2202&amp;"."&amp;$D2202)</f>
        <v/>
      </c>
      <c r="Y2202" s="15">
        <f>IF($AN2202="","",IF(INDEX(職員マスタ!$K$6:$K$405,$AN2202)="","",INDEX(職員マスタ!$K$6:$K$405,$AN2202)))</f>
        <v/>
      </c>
      <c r="Z2202" s="14">
        <f>IF(OR($E2202="",$Y2202=""),"",IF($E2202&gt;=$Y2202,"×",IF($E2202&gt;=$Y2202*設定!$C$5,"△","○")))</f>
        <v/>
      </c>
      <c r="AA2202" s="15">
        <f>IF($Z2202="","",IF($Z2202="×",0,IF($Z2202="○",ROUNDDOWN($E2202*設定!$C$4,0),ROUNDDOWN($E2202*ROUND((9*$Y2202-9*$E2202)/(10*$E2202),4),0))))</f>
        <v/>
      </c>
      <c r="AB2202" s="13" t="n"/>
      <c r="AC2202" s="15">
        <f>IF($B2202="","",IF($AB2202&lt;&gt;"",$AB2202,IF($AA2202="","",IF($AA2202&lt;=設定!$C$3,0,$AA2202))))</f>
        <v/>
      </c>
      <c r="AD2202" s="14">
        <f>IF($B2202="","",IF(AND($AE2202&lt;&gt;"",$AG2202="",$AJ2202=""),"保留中",IF($AJ2202&lt;&gt;"",IF(N($AC2202)&gt;0,"支給済","不支給"),IF($AC2202="","要確認",IF($AC2202=0,"不支給","未処理")))))</f>
        <v/>
      </c>
      <c r="AE2202" s="12" t="n"/>
      <c r="AF2202" s="11" t="n"/>
      <c r="AG2202" s="11" t="n"/>
      <c r="AH2202" s="11" t="n"/>
      <c r="AI2202" s="14">
        <f>IF(AND($AD2202="保留中",$AF2202&lt;&gt;""),TODAY()-$AF2202,"")</f>
        <v/>
      </c>
      <c r="AJ2202" s="12" t="n"/>
      <c r="AK2202" s="14">
        <f>IF($B2202="","",IF($AO2202="","対象年月が未入力／","")&amp;IF($B2202="","",IF($AN2202="","職員マスタに未登録の職員番号／",IF($Y2202="","標準報酬月額が未登録／","")&amp;IF(AND($AO2202&lt;&gt;"",OR(AND(INDEX(職員マスタ!$G$6:$G$405,$AN2202)&lt;&gt;"",INDEX(職員マスタ!$G$6:$G$405,$AN2202)&gt;EOMONTH($AO2202,0)),AND(INDEX(職員マスタ!$H$6:$H$405,$AN2202)&lt;&gt;"",INDEX(職員マスタ!$H$6:$H$405,$AN2202)&lt;$AO2202))),"対象月が時短期間外／","")&amp;IF(AND(INDEX(職員マスタ!$F$6:$F$405,$AN2202)&lt;&gt;"",$AO2202&lt;&gt;"",INDEX(職員マスタ!$F$6:$F$405,$AN2202)&lt;$AO2202),"対象月に子が2歳到達済／","")&amp;IF(AND($H2202&lt;&gt;"",INDEX(職員マスタ!$B$6:$B$405,$AN2202)&lt;&gt;"",SUBSTITUTE(SUBSTITUTE($H2202," ","")," ","")&lt;&gt;SUBSTITUTE(SUBSTITUTE(INDEX(職員マスタ!$B$6:$B$405,$AN2202)," ","")," ","")),"氏名がマスタと相違／","")&amp;IF(AND($Q2202&lt;&gt;"",INDEX(職員マスタ!$E$6:$E$405,$AN2202)&lt;&gt;"",$Q2202&lt;&gt;INDEX(職員マスタ!$E$6:$E$405,$AN2202)),"子の生年月日がマスタと相違／","")&amp;IF(AND($L2202&lt;&gt;"",INDEX(職員マスタ!$G$6:$G$405,$AN2202)&lt;&gt;"",$L2202&lt;&gt;INDEX(職員マスタ!$G$6:$G$405,$AN2202)),"時短開始日がマスタと相違／","")&amp;IF(AND($M2202&lt;&gt;"",INDEX(職員マスタ!$H$6:$H$405,$AN2202)&lt;&gt;"",$M2202&lt;&gt;INDEX(職員マスタ!$H$6:$H$405,$AN2202)),"時短終了日がマスタと相違／","")))&amp;IF(AND($B2202&lt;&gt;"",$E2202=""),"報酬額が未入力／","")&amp;IF(N($U2202)&gt;0,"申請書に入力エラーが残っています／","")&amp;IF(AND($B2202&lt;&gt;"",$AO2202&lt;&gt;""),IF(COUNTIFS($B$6:$B$3005,$B2202,$C$6:$C$3005,$C2202,$D$6:$D$3005,$D2202)&gt;1,"同じ月の請求が重複しています／",""),"")&amp;IF(AND(N($E2202)&gt;0,$Z2202&lt;&gt;"",$Z2202&lt;&gt;"×",$AC2202=0,$AB2202=""),"計算額が下限以下のため不支給／",""))</f>
        <v/>
      </c>
      <c r="AL2202" s="12" t="n"/>
      <c r="AM2202" s="14">
        <f>IF($AD2202="保留中",COUNTIF($AD$6:$AD2202,"保留中"),"")</f>
        <v/>
      </c>
      <c r="AN2202" s="14">
        <f>IF($AO2202="","",IF(SUMPRODUCT(MAX((職員マスタ!$A$6:$A$405=$B2202)*(((職員マスタ!$G$6:$G$405="")+(職員マスタ!$G$6:$G$405&lt;=EOMONTH($AO2202,0)))&gt;0)*(((職員マスタ!$H$6:$H$405="")+(職員マスタ!$H$6:$H$405&gt;=$AO2202))&gt;0)*(ROW(職員マスタ!$A$6:$A$405)-5)))&gt;0,SUMPRODUCT(MAX((職員マスタ!$A$6:$A$405=$B2202)*(((職員マスタ!$G$6:$G$405="")+(職員マスタ!$G$6:$G$405&lt;=EOMONTH($AO2202,0)))&gt;0)*(((職員マスタ!$H$6:$H$405="")+(職員マスタ!$H$6:$H$405&gt;=$AO2202))&gt;0)*(ROW(職員マスタ!$A$6:$A$405)-5))),IFERROR(MATCH($B2202,職員マスタ!$A$6:$A$405,0),"")))</f>
        <v/>
      </c>
      <c r="AO2202" s="16">
        <f>IF(OR($B2202="",$C2202="",$D2202=""),"",DATE($C2202+2018,$D2202,1))</f>
        <v/>
      </c>
    </row>
    <row r="2203">
      <c r="A2203" s="11" t="n"/>
      <c r="B2203" s="12" t="n"/>
      <c r="C2203" s="12" t="n"/>
      <c r="D2203" s="12" t="n"/>
      <c r="E2203" s="13" t="n"/>
      <c r="F2203" s="12" t="n"/>
      <c r="G2203" s="13" t="n"/>
      <c r="H2203" s="12" t="n"/>
      <c r="I2203" s="12" t="n"/>
      <c r="J2203" s="12" t="n"/>
      <c r="K2203" s="12" t="n"/>
      <c r="L2203" s="11" t="n"/>
      <c r="M2203" s="11" t="n"/>
      <c r="N2203" s="11" t="n"/>
      <c r="O2203" s="11" t="n"/>
      <c r="P2203" s="12" t="n"/>
      <c r="Q2203" s="11" t="n"/>
      <c r="R2203" s="12" t="n"/>
      <c r="S2203" s="11" t="n"/>
      <c r="T2203" s="12" t="n"/>
      <c r="U2203" s="12" t="n"/>
      <c r="V2203" s="14">
        <f>IF($AN2203="",IF($B2203="","",$H2203),IF(INDEX(職員マスタ!$B$6:$B$405,$AN2203)="",$H2203,INDEX(職員マスタ!$B$6:$B$405,$AN2203)))</f>
        <v/>
      </c>
      <c r="W2203" s="14">
        <f>IF($AN2203="",IF($B2203="","",$R2203),IF(INDEX(職員マスタ!$C$6:$C$405,$AN2203)="",$R2203,INDEX(職員マスタ!$C$6:$C$405,$AN2203)))</f>
        <v/>
      </c>
      <c r="X2203" s="14">
        <f>IF($AO2203="","","R"&amp;$C2203&amp;"."&amp;$D2203)</f>
        <v/>
      </c>
      <c r="Y2203" s="15">
        <f>IF($AN2203="","",IF(INDEX(職員マスタ!$K$6:$K$405,$AN2203)="","",INDEX(職員マスタ!$K$6:$K$405,$AN2203)))</f>
        <v/>
      </c>
      <c r="Z2203" s="14">
        <f>IF(OR($E2203="",$Y2203=""),"",IF($E2203&gt;=$Y2203,"×",IF($E2203&gt;=$Y2203*設定!$C$5,"△","○")))</f>
        <v/>
      </c>
      <c r="AA2203" s="15">
        <f>IF($Z2203="","",IF($Z2203="×",0,IF($Z2203="○",ROUNDDOWN($E2203*設定!$C$4,0),ROUNDDOWN($E2203*ROUND((9*$Y2203-9*$E2203)/(10*$E2203),4),0))))</f>
        <v/>
      </c>
      <c r="AB2203" s="13" t="n"/>
      <c r="AC2203" s="15">
        <f>IF($B2203="","",IF($AB2203&lt;&gt;"",$AB2203,IF($AA2203="","",IF($AA2203&lt;=設定!$C$3,0,$AA2203))))</f>
        <v/>
      </c>
      <c r="AD2203" s="14">
        <f>IF($B2203="","",IF(AND($AE2203&lt;&gt;"",$AG2203="",$AJ2203=""),"保留中",IF($AJ2203&lt;&gt;"",IF(N($AC2203)&gt;0,"支給済","不支給"),IF($AC2203="","要確認",IF($AC2203=0,"不支給","未処理")))))</f>
        <v/>
      </c>
      <c r="AE2203" s="12" t="n"/>
      <c r="AF2203" s="11" t="n"/>
      <c r="AG2203" s="11" t="n"/>
      <c r="AH2203" s="11" t="n"/>
      <c r="AI2203" s="14">
        <f>IF(AND($AD2203="保留中",$AF2203&lt;&gt;""),TODAY()-$AF2203,"")</f>
        <v/>
      </c>
      <c r="AJ2203" s="12" t="n"/>
      <c r="AK2203" s="14">
        <f>IF($B2203="","",IF($AO2203="","対象年月が未入力／","")&amp;IF($B2203="","",IF($AN2203="","職員マスタに未登録の職員番号／",IF($Y2203="","標準報酬月額が未登録／","")&amp;IF(AND($AO2203&lt;&gt;"",OR(AND(INDEX(職員マスタ!$G$6:$G$405,$AN2203)&lt;&gt;"",INDEX(職員マスタ!$G$6:$G$405,$AN2203)&gt;EOMONTH($AO2203,0)),AND(INDEX(職員マスタ!$H$6:$H$405,$AN2203)&lt;&gt;"",INDEX(職員マスタ!$H$6:$H$405,$AN2203)&lt;$AO2203))),"対象月が時短期間外／","")&amp;IF(AND(INDEX(職員マスタ!$F$6:$F$405,$AN2203)&lt;&gt;"",$AO2203&lt;&gt;"",INDEX(職員マスタ!$F$6:$F$405,$AN2203)&lt;$AO2203),"対象月に子が2歳到達済／","")&amp;IF(AND($H2203&lt;&gt;"",INDEX(職員マスタ!$B$6:$B$405,$AN2203)&lt;&gt;"",SUBSTITUTE(SUBSTITUTE($H2203," ","")," ","")&lt;&gt;SUBSTITUTE(SUBSTITUTE(INDEX(職員マスタ!$B$6:$B$405,$AN2203)," ","")," ","")),"氏名がマスタと相違／","")&amp;IF(AND($Q2203&lt;&gt;"",INDEX(職員マスタ!$E$6:$E$405,$AN2203)&lt;&gt;"",$Q2203&lt;&gt;INDEX(職員マスタ!$E$6:$E$405,$AN2203)),"子の生年月日がマスタと相違／","")&amp;IF(AND($L2203&lt;&gt;"",INDEX(職員マスタ!$G$6:$G$405,$AN2203)&lt;&gt;"",$L2203&lt;&gt;INDEX(職員マスタ!$G$6:$G$405,$AN2203)),"時短開始日がマスタと相違／","")&amp;IF(AND($M2203&lt;&gt;"",INDEX(職員マスタ!$H$6:$H$405,$AN2203)&lt;&gt;"",$M2203&lt;&gt;INDEX(職員マスタ!$H$6:$H$405,$AN2203)),"時短終了日がマスタと相違／","")))&amp;IF(AND($B2203&lt;&gt;"",$E2203=""),"報酬額が未入力／","")&amp;IF(N($U2203)&gt;0,"申請書に入力エラーが残っています／","")&amp;IF(AND($B2203&lt;&gt;"",$AO2203&lt;&gt;""),IF(COUNTIFS($B$6:$B$3005,$B2203,$C$6:$C$3005,$C2203,$D$6:$D$3005,$D2203)&gt;1,"同じ月の請求が重複しています／",""),"")&amp;IF(AND(N($E2203)&gt;0,$Z2203&lt;&gt;"",$Z2203&lt;&gt;"×",$AC2203=0,$AB2203=""),"計算額が下限以下のため不支給／",""))</f>
        <v/>
      </c>
      <c r="AL2203" s="12" t="n"/>
      <c r="AM2203" s="14">
        <f>IF($AD2203="保留中",COUNTIF($AD$6:$AD2203,"保留中"),"")</f>
        <v/>
      </c>
      <c r="AN2203" s="14">
        <f>IF($AO2203="","",IF(SUMPRODUCT(MAX((職員マスタ!$A$6:$A$405=$B2203)*(((職員マスタ!$G$6:$G$405="")+(職員マスタ!$G$6:$G$405&lt;=EOMONTH($AO2203,0)))&gt;0)*(((職員マスタ!$H$6:$H$405="")+(職員マスタ!$H$6:$H$405&gt;=$AO2203))&gt;0)*(ROW(職員マスタ!$A$6:$A$405)-5)))&gt;0,SUMPRODUCT(MAX((職員マスタ!$A$6:$A$405=$B2203)*(((職員マスタ!$G$6:$G$405="")+(職員マスタ!$G$6:$G$405&lt;=EOMONTH($AO2203,0)))&gt;0)*(((職員マスタ!$H$6:$H$405="")+(職員マスタ!$H$6:$H$405&gt;=$AO2203))&gt;0)*(ROW(職員マスタ!$A$6:$A$405)-5))),IFERROR(MATCH($B2203,職員マスタ!$A$6:$A$405,0),"")))</f>
        <v/>
      </c>
      <c r="AO2203" s="16">
        <f>IF(OR($B2203="",$C2203="",$D2203=""),"",DATE($C2203+2018,$D2203,1))</f>
        <v/>
      </c>
    </row>
    <row r="2204">
      <c r="A2204" s="11" t="n"/>
      <c r="B2204" s="12" t="n"/>
      <c r="C2204" s="12" t="n"/>
      <c r="D2204" s="12" t="n"/>
      <c r="E2204" s="13" t="n"/>
      <c r="F2204" s="12" t="n"/>
      <c r="G2204" s="13" t="n"/>
      <c r="H2204" s="12" t="n"/>
      <c r="I2204" s="12" t="n"/>
      <c r="J2204" s="12" t="n"/>
      <c r="K2204" s="12" t="n"/>
      <c r="L2204" s="11" t="n"/>
      <c r="M2204" s="11" t="n"/>
      <c r="N2204" s="11" t="n"/>
      <c r="O2204" s="11" t="n"/>
      <c r="P2204" s="12" t="n"/>
      <c r="Q2204" s="11" t="n"/>
      <c r="R2204" s="12" t="n"/>
      <c r="S2204" s="11" t="n"/>
      <c r="T2204" s="12" t="n"/>
      <c r="U2204" s="12" t="n"/>
      <c r="V2204" s="14">
        <f>IF($AN2204="",IF($B2204="","",$H2204),IF(INDEX(職員マスタ!$B$6:$B$405,$AN2204)="",$H2204,INDEX(職員マスタ!$B$6:$B$405,$AN2204)))</f>
        <v/>
      </c>
      <c r="W2204" s="14">
        <f>IF($AN2204="",IF($B2204="","",$R2204),IF(INDEX(職員マスタ!$C$6:$C$405,$AN2204)="",$R2204,INDEX(職員マスタ!$C$6:$C$405,$AN2204)))</f>
        <v/>
      </c>
      <c r="X2204" s="14">
        <f>IF($AO2204="","","R"&amp;$C2204&amp;"."&amp;$D2204)</f>
        <v/>
      </c>
      <c r="Y2204" s="15">
        <f>IF($AN2204="","",IF(INDEX(職員マスタ!$K$6:$K$405,$AN2204)="","",INDEX(職員マスタ!$K$6:$K$405,$AN2204)))</f>
        <v/>
      </c>
      <c r="Z2204" s="14">
        <f>IF(OR($E2204="",$Y2204=""),"",IF($E2204&gt;=$Y2204,"×",IF($E2204&gt;=$Y2204*設定!$C$5,"△","○")))</f>
        <v/>
      </c>
      <c r="AA2204" s="15">
        <f>IF($Z2204="","",IF($Z2204="×",0,IF($Z2204="○",ROUNDDOWN($E2204*設定!$C$4,0),ROUNDDOWN($E2204*ROUND((9*$Y2204-9*$E2204)/(10*$E2204),4),0))))</f>
        <v/>
      </c>
      <c r="AB2204" s="13" t="n"/>
      <c r="AC2204" s="15">
        <f>IF($B2204="","",IF($AB2204&lt;&gt;"",$AB2204,IF($AA2204="","",IF($AA2204&lt;=設定!$C$3,0,$AA2204))))</f>
        <v/>
      </c>
      <c r="AD2204" s="14">
        <f>IF($B2204="","",IF(AND($AE2204&lt;&gt;"",$AG2204="",$AJ2204=""),"保留中",IF($AJ2204&lt;&gt;"",IF(N($AC2204)&gt;0,"支給済","不支給"),IF($AC2204="","要確認",IF($AC2204=0,"不支給","未処理")))))</f>
        <v/>
      </c>
      <c r="AE2204" s="12" t="n"/>
      <c r="AF2204" s="11" t="n"/>
      <c r="AG2204" s="11" t="n"/>
      <c r="AH2204" s="11" t="n"/>
      <c r="AI2204" s="14">
        <f>IF(AND($AD2204="保留中",$AF2204&lt;&gt;""),TODAY()-$AF2204,"")</f>
        <v/>
      </c>
      <c r="AJ2204" s="12" t="n"/>
      <c r="AK2204" s="14">
        <f>IF($B2204="","",IF($AO2204="","対象年月が未入力／","")&amp;IF($B2204="","",IF($AN2204="","職員マスタに未登録の職員番号／",IF($Y2204="","標準報酬月額が未登録／","")&amp;IF(AND($AO2204&lt;&gt;"",OR(AND(INDEX(職員マスタ!$G$6:$G$405,$AN2204)&lt;&gt;"",INDEX(職員マスタ!$G$6:$G$405,$AN2204)&gt;EOMONTH($AO2204,0)),AND(INDEX(職員マスタ!$H$6:$H$405,$AN2204)&lt;&gt;"",INDEX(職員マスタ!$H$6:$H$405,$AN2204)&lt;$AO2204))),"対象月が時短期間外／","")&amp;IF(AND(INDEX(職員マスタ!$F$6:$F$405,$AN2204)&lt;&gt;"",$AO2204&lt;&gt;"",INDEX(職員マスタ!$F$6:$F$405,$AN2204)&lt;$AO2204),"対象月に子が2歳到達済／","")&amp;IF(AND($H2204&lt;&gt;"",INDEX(職員マスタ!$B$6:$B$405,$AN2204)&lt;&gt;"",SUBSTITUTE(SUBSTITUTE($H2204," ","")," ","")&lt;&gt;SUBSTITUTE(SUBSTITUTE(INDEX(職員マスタ!$B$6:$B$405,$AN2204)," ","")," ","")),"氏名がマスタと相違／","")&amp;IF(AND($Q2204&lt;&gt;"",INDEX(職員マスタ!$E$6:$E$405,$AN2204)&lt;&gt;"",$Q2204&lt;&gt;INDEX(職員マスタ!$E$6:$E$405,$AN2204)),"子の生年月日がマスタと相違／","")&amp;IF(AND($L2204&lt;&gt;"",INDEX(職員マスタ!$G$6:$G$405,$AN2204)&lt;&gt;"",$L2204&lt;&gt;INDEX(職員マスタ!$G$6:$G$405,$AN2204)),"時短開始日がマスタと相違／","")&amp;IF(AND($M2204&lt;&gt;"",INDEX(職員マスタ!$H$6:$H$405,$AN2204)&lt;&gt;"",$M2204&lt;&gt;INDEX(職員マスタ!$H$6:$H$405,$AN2204)),"時短終了日がマスタと相違／","")))&amp;IF(AND($B2204&lt;&gt;"",$E2204=""),"報酬額が未入力／","")&amp;IF(N($U2204)&gt;0,"申請書に入力エラーが残っています／","")&amp;IF(AND($B2204&lt;&gt;"",$AO2204&lt;&gt;""),IF(COUNTIFS($B$6:$B$3005,$B2204,$C$6:$C$3005,$C2204,$D$6:$D$3005,$D2204)&gt;1,"同じ月の請求が重複しています／",""),"")&amp;IF(AND(N($E2204)&gt;0,$Z2204&lt;&gt;"",$Z2204&lt;&gt;"×",$AC2204=0,$AB2204=""),"計算額が下限以下のため不支給／",""))</f>
        <v/>
      </c>
      <c r="AL2204" s="12" t="n"/>
      <c r="AM2204" s="14">
        <f>IF($AD2204="保留中",COUNTIF($AD$6:$AD2204,"保留中"),"")</f>
        <v/>
      </c>
      <c r="AN2204" s="14">
        <f>IF($AO2204="","",IF(SUMPRODUCT(MAX((職員マスタ!$A$6:$A$405=$B2204)*(((職員マスタ!$G$6:$G$405="")+(職員マスタ!$G$6:$G$405&lt;=EOMONTH($AO2204,0)))&gt;0)*(((職員マスタ!$H$6:$H$405="")+(職員マスタ!$H$6:$H$405&gt;=$AO2204))&gt;0)*(ROW(職員マスタ!$A$6:$A$405)-5)))&gt;0,SUMPRODUCT(MAX((職員マスタ!$A$6:$A$405=$B2204)*(((職員マスタ!$G$6:$G$405="")+(職員マスタ!$G$6:$G$405&lt;=EOMONTH($AO2204,0)))&gt;0)*(((職員マスタ!$H$6:$H$405="")+(職員マスタ!$H$6:$H$405&gt;=$AO2204))&gt;0)*(ROW(職員マスタ!$A$6:$A$405)-5))),IFERROR(MATCH($B2204,職員マスタ!$A$6:$A$405,0),"")))</f>
        <v/>
      </c>
      <c r="AO2204" s="16">
        <f>IF(OR($B2204="",$C2204="",$D2204=""),"",DATE($C2204+2018,$D2204,1))</f>
        <v/>
      </c>
    </row>
    <row r="2205">
      <c r="A2205" s="11" t="n"/>
      <c r="B2205" s="12" t="n"/>
      <c r="C2205" s="12" t="n"/>
      <c r="D2205" s="12" t="n"/>
      <c r="E2205" s="13" t="n"/>
      <c r="F2205" s="12" t="n"/>
      <c r="G2205" s="13" t="n"/>
      <c r="H2205" s="12" t="n"/>
      <c r="I2205" s="12" t="n"/>
      <c r="J2205" s="12" t="n"/>
      <c r="K2205" s="12" t="n"/>
      <c r="L2205" s="11" t="n"/>
      <c r="M2205" s="11" t="n"/>
      <c r="N2205" s="11" t="n"/>
      <c r="O2205" s="11" t="n"/>
      <c r="P2205" s="12" t="n"/>
      <c r="Q2205" s="11" t="n"/>
      <c r="R2205" s="12" t="n"/>
      <c r="S2205" s="11" t="n"/>
      <c r="T2205" s="12" t="n"/>
      <c r="U2205" s="12" t="n"/>
      <c r="V2205" s="14">
        <f>IF($AN2205="",IF($B2205="","",$H2205),IF(INDEX(職員マスタ!$B$6:$B$405,$AN2205)="",$H2205,INDEX(職員マスタ!$B$6:$B$405,$AN2205)))</f>
        <v/>
      </c>
      <c r="W2205" s="14">
        <f>IF($AN2205="",IF($B2205="","",$R2205),IF(INDEX(職員マスタ!$C$6:$C$405,$AN2205)="",$R2205,INDEX(職員マスタ!$C$6:$C$405,$AN2205)))</f>
        <v/>
      </c>
      <c r="X2205" s="14">
        <f>IF($AO2205="","","R"&amp;$C2205&amp;"."&amp;$D2205)</f>
        <v/>
      </c>
      <c r="Y2205" s="15">
        <f>IF($AN2205="","",IF(INDEX(職員マスタ!$K$6:$K$405,$AN2205)="","",INDEX(職員マスタ!$K$6:$K$405,$AN2205)))</f>
        <v/>
      </c>
      <c r="Z2205" s="14">
        <f>IF(OR($E2205="",$Y2205=""),"",IF($E2205&gt;=$Y2205,"×",IF($E2205&gt;=$Y2205*設定!$C$5,"△","○")))</f>
        <v/>
      </c>
      <c r="AA2205" s="15">
        <f>IF($Z2205="","",IF($Z2205="×",0,IF($Z2205="○",ROUNDDOWN($E2205*設定!$C$4,0),ROUNDDOWN($E2205*ROUND((9*$Y2205-9*$E2205)/(10*$E2205),4),0))))</f>
        <v/>
      </c>
      <c r="AB2205" s="13" t="n"/>
      <c r="AC2205" s="15">
        <f>IF($B2205="","",IF($AB2205&lt;&gt;"",$AB2205,IF($AA2205="","",IF($AA2205&lt;=設定!$C$3,0,$AA2205))))</f>
        <v/>
      </c>
      <c r="AD2205" s="14">
        <f>IF($B2205="","",IF(AND($AE2205&lt;&gt;"",$AG2205="",$AJ2205=""),"保留中",IF($AJ2205&lt;&gt;"",IF(N($AC2205)&gt;0,"支給済","不支給"),IF($AC2205="","要確認",IF($AC2205=0,"不支給","未処理")))))</f>
        <v/>
      </c>
      <c r="AE2205" s="12" t="n"/>
      <c r="AF2205" s="11" t="n"/>
      <c r="AG2205" s="11" t="n"/>
      <c r="AH2205" s="11" t="n"/>
      <c r="AI2205" s="14">
        <f>IF(AND($AD2205="保留中",$AF2205&lt;&gt;""),TODAY()-$AF2205,"")</f>
        <v/>
      </c>
      <c r="AJ2205" s="12" t="n"/>
      <c r="AK2205" s="14">
        <f>IF($B2205="","",IF($AO2205="","対象年月が未入力／","")&amp;IF($B2205="","",IF($AN2205="","職員マスタに未登録の職員番号／",IF($Y2205="","標準報酬月額が未登録／","")&amp;IF(AND($AO2205&lt;&gt;"",OR(AND(INDEX(職員マスタ!$G$6:$G$405,$AN2205)&lt;&gt;"",INDEX(職員マスタ!$G$6:$G$405,$AN2205)&gt;EOMONTH($AO2205,0)),AND(INDEX(職員マスタ!$H$6:$H$405,$AN2205)&lt;&gt;"",INDEX(職員マスタ!$H$6:$H$405,$AN2205)&lt;$AO2205))),"対象月が時短期間外／","")&amp;IF(AND(INDEX(職員マスタ!$F$6:$F$405,$AN2205)&lt;&gt;"",$AO2205&lt;&gt;"",INDEX(職員マスタ!$F$6:$F$405,$AN2205)&lt;$AO2205),"対象月に子が2歳到達済／","")&amp;IF(AND($H2205&lt;&gt;"",INDEX(職員マスタ!$B$6:$B$405,$AN2205)&lt;&gt;"",SUBSTITUTE(SUBSTITUTE($H2205," ","")," ","")&lt;&gt;SUBSTITUTE(SUBSTITUTE(INDEX(職員マスタ!$B$6:$B$405,$AN2205)," ","")," ","")),"氏名がマスタと相違／","")&amp;IF(AND($Q2205&lt;&gt;"",INDEX(職員マスタ!$E$6:$E$405,$AN2205)&lt;&gt;"",$Q2205&lt;&gt;INDEX(職員マスタ!$E$6:$E$405,$AN2205)),"子の生年月日がマスタと相違／","")&amp;IF(AND($L2205&lt;&gt;"",INDEX(職員マスタ!$G$6:$G$405,$AN2205)&lt;&gt;"",$L2205&lt;&gt;INDEX(職員マスタ!$G$6:$G$405,$AN2205)),"時短開始日がマスタと相違／","")&amp;IF(AND($M2205&lt;&gt;"",INDEX(職員マスタ!$H$6:$H$405,$AN2205)&lt;&gt;"",$M2205&lt;&gt;INDEX(職員マスタ!$H$6:$H$405,$AN2205)),"時短終了日がマスタと相違／","")))&amp;IF(AND($B2205&lt;&gt;"",$E2205=""),"報酬額が未入力／","")&amp;IF(N($U2205)&gt;0,"申請書に入力エラーが残っています／","")&amp;IF(AND($B2205&lt;&gt;"",$AO2205&lt;&gt;""),IF(COUNTIFS($B$6:$B$3005,$B2205,$C$6:$C$3005,$C2205,$D$6:$D$3005,$D2205)&gt;1,"同じ月の請求が重複しています／",""),"")&amp;IF(AND(N($E2205)&gt;0,$Z2205&lt;&gt;"",$Z2205&lt;&gt;"×",$AC2205=0,$AB2205=""),"計算額が下限以下のため不支給／",""))</f>
        <v/>
      </c>
      <c r="AL2205" s="12" t="n"/>
      <c r="AM2205" s="14">
        <f>IF($AD2205="保留中",COUNTIF($AD$6:$AD2205,"保留中"),"")</f>
        <v/>
      </c>
      <c r="AN2205" s="14">
        <f>IF($AO2205="","",IF(SUMPRODUCT(MAX((職員マスタ!$A$6:$A$405=$B2205)*(((職員マスタ!$G$6:$G$405="")+(職員マスタ!$G$6:$G$405&lt;=EOMONTH($AO2205,0)))&gt;0)*(((職員マスタ!$H$6:$H$405="")+(職員マスタ!$H$6:$H$405&gt;=$AO2205))&gt;0)*(ROW(職員マスタ!$A$6:$A$405)-5)))&gt;0,SUMPRODUCT(MAX((職員マスタ!$A$6:$A$405=$B2205)*(((職員マスタ!$G$6:$G$405="")+(職員マスタ!$G$6:$G$405&lt;=EOMONTH($AO2205,0)))&gt;0)*(((職員マスタ!$H$6:$H$405="")+(職員マスタ!$H$6:$H$405&gt;=$AO2205))&gt;0)*(ROW(職員マスタ!$A$6:$A$405)-5))),IFERROR(MATCH($B2205,職員マスタ!$A$6:$A$405,0),"")))</f>
        <v/>
      </c>
      <c r="AO2205" s="16">
        <f>IF(OR($B2205="",$C2205="",$D2205=""),"",DATE($C2205+2018,$D2205,1))</f>
        <v/>
      </c>
    </row>
    <row r="2206">
      <c r="A2206" s="11" t="n"/>
      <c r="B2206" s="12" t="n"/>
      <c r="C2206" s="12" t="n"/>
      <c r="D2206" s="12" t="n"/>
      <c r="E2206" s="13" t="n"/>
      <c r="F2206" s="12" t="n"/>
      <c r="G2206" s="13" t="n"/>
      <c r="H2206" s="12" t="n"/>
      <c r="I2206" s="12" t="n"/>
      <c r="J2206" s="12" t="n"/>
      <c r="K2206" s="12" t="n"/>
      <c r="L2206" s="11" t="n"/>
      <c r="M2206" s="11" t="n"/>
      <c r="N2206" s="11" t="n"/>
      <c r="O2206" s="11" t="n"/>
      <c r="P2206" s="12" t="n"/>
      <c r="Q2206" s="11" t="n"/>
      <c r="R2206" s="12" t="n"/>
      <c r="S2206" s="11" t="n"/>
      <c r="T2206" s="12" t="n"/>
      <c r="U2206" s="12" t="n"/>
      <c r="V2206" s="14">
        <f>IF($AN2206="",IF($B2206="","",$H2206),IF(INDEX(職員マスタ!$B$6:$B$405,$AN2206)="",$H2206,INDEX(職員マスタ!$B$6:$B$405,$AN2206)))</f>
        <v/>
      </c>
      <c r="W2206" s="14">
        <f>IF($AN2206="",IF($B2206="","",$R2206),IF(INDEX(職員マスタ!$C$6:$C$405,$AN2206)="",$R2206,INDEX(職員マスタ!$C$6:$C$405,$AN2206)))</f>
        <v/>
      </c>
      <c r="X2206" s="14">
        <f>IF($AO2206="","","R"&amp;$C2206&amp;"."&amp;$D2206)</f>
        <v/>
      </c>
      <c r="Y2206" s="15">
        <f>IF($AN2206="","",IF(INDEX(職員マスタ!$K$6:$K$405,$AN2206)="","",INDEX(職員マスタ!$K$6:$K$405,$AN2206)))</f>
        <v/>
      </c>
      <c r="Z2206" s="14">
        <f>IF(OR($E2206="",$Y2206=""),"",IF($E2206&gt;=$Y2206,"×",IF($E2206&gt;=$Y2206*設定!$C$5,"△","○")))</f>
        <v/>
      </c>
      <c r="AA2206" s="15">
        <f>IF($Z2206="","",IF($Z2206="×",0,IF($Z2206="○",ROUNDDOWN($E2206*設定!$C$4,0),ROUNDDOWN($E2206*ROUND((9*$Y2206-9*$E2206)/(10*$E2206),4),0))))</f>
        <v/>
      </c>
      <c r="AB2206" s="13" t="n"/>
      <c r="AC2206" s="15">
        <f>IF($B2206="","",IF($AB2206&lt;&gt;"",$AB2206,IF($AA2206="","",IF($AA2206&lt;=設定!$C$3,0,$AA2206))))</f>
        <v/>
      </c>
      <c r="AD2206" s="14">
        <f>IF($B2206="","",IF(AND($AE2206&lt;&gt;"",$AG2206="",$AJ2206=""),"保留中",IF($AJ2206&lt;&gt;"",IF(N($AC2206)&gt;0,"支給済","不支給"),IF($AC2206="","要確認",IF($AC2206=0,"不支給","未処理")))))</f>
        <v/>
      </c>
      <c r="AE2206" s="12" t="n"/>
      <c r="AF2206" s="11" t="n"/>
      <c r="AG2206" s="11" t="n"/>
      <c r="AH2206" s="11" t="n"/>
      <c r="AI2206" s="14">
        <f>IF(AND($AD2206="保留中",$AF2206&lt;&gt;""),TODAY()-$AF2206,"")</f>
        <v/>
      </c>
      <c r="AJ2206" s="12" t="n"/>
      <c r="AK2206" s="14">
        <f>IF($B2206="","",IF($AO2206="","対象年月が未入力／","")&amp;IF($B2206="","",IF($AN2206="","職員マスタに未登録の職員番号／",IF($Y2206="","標準報酬月額が未登録／","")&amp;IF(AND($AO2206&lt;&gt;"",OR(AND(INDEX(職員マスタ!$G$6:$G$405,$AN2206)&lt;&gt;"",INDEX(職員マスタ!$G$6:$G$405,$AN2206)&gt;EOMONTH($AO2206,0)),AND(INDEX(職員マスタ!$H$6:$H$405,$AN2206)&lt;&gt;"",INDEX(職員マスタ!$H$6:$H$405,$AN2206)&lt;$AO2206))),"対象月が時短期間外／","")&amp;IF(AND(INDEX(職員マスタ!$F$6:$F$405,$AN2206)&lt;&gt;"",$AO2206&lt;&gt;"",INDEX(職員マスタ!$F$6:$F$405,$AN2206)&lt;$AO2206),"対象月に子が2歳到達済／","")&amp;IF(AND($H2206&lt;&gt;"",INDEX(職員マスタ!$B$6:$B$405,$AN2206)&lt;&gt;"",SUBSTITUTE(SUBSTITUTE($H2206," ","")," ","")&lt;&gt;SUBSTITUTE(SUBSTITUTE(INDEX(職員マスタ!$B$6:$B$405,$AN2206)," ","")," ","")),"氏名がマスタと相違／","")&amp;IF(AND($Q2206&lt;&gt;"",INDEX(職員マスタ!$E$6:$E$405,$AN2206)&lt;&gt;"",$Q2206&lt;&gt;INDEX(職員マスタ!$E$6:$E$405,$AN2206)),"子の生年月日がマスタと相違／","")&amp;IF(AND($L2206&lt;&gt;"",INDEX(職員マスタ!$G$6:$G$405,$AN2206)&lt;&gt;"",$L2206&lt;&gt;INDEX(職員マスタ!$G$6:$G$405,$AN2206)),"時短開始日がマスタと相違／","")&amp;IF(AND($M2206&lt;&gt;"",INDEX(職員マスタ!$H$6:$H$405,$AN2206)&lt;&gt;"",$M2206&lt;&gt;INDEX(職員マスタ!$H$6:$H$405,$AN2206)),"時短終了日がマスタと相違／","")))&amp;IF(AND($B2206&lt;&gt;"",$E2206=""),"報酬額が未入力／","")&amp;IF(N($U2206)&gt;0,"申請書に入力エラーが残っています／","")&amp;IF(AND($B2206&lt;&gt;"",$AO2206&lt;&gt;""),IF(COUNTIFS($B$6:$B$3005,$B2206,$C$6:$C$3005,$C2206,$D$6:$D$3005,$D2206)&gt;1,"同じ月の請求が重複しています／",""),"")&amp;IF(AND(N($E2206)&gt;0,$Z2206&lt;&gt;"",$Z2206&lt;&gt;"×",$AC2206=0,$AB2206=""),"計算額が下限以下のため不支給／",""))</f>
        <v/>
      </c>
      <c r="AL2206" s="12" t="n"/>
      <c r="AM2206" s="14">
        <f>IF($AD2206="保留中",COUNTIF($AD$6:$AD2206,"保留中"),"")</f>
        <v/>
      </c>
      <c r="AN2206" s="14">
        <f>IF($AO2206="","",IF(SUMPRODUCT(MAX((職員マスタ!$A$6:$A$405=$B2206)*(((職員マスタ!$G$6:$G$405="")+(職員マスタ!$G$6:$G$405&lt;=EOMONTH($AO2206,0)))&gt;0)*(((職員マスタ!$H$6:$H$405="")+(職員マスタ!$H$6:$H$405&gt;=$AO2206))&gt;0)*(ROW(職員マスタ!$A$6:$A$405)-5)))&gt;0,SUMPRODUCT(MAX((職員マスタ!$A$6:$A$405=$B2206)*(((職員マスタ!$G$6:$G$405="")+(職員マスタ!$G$6:$G$405&lt;=EOMONTH($AO2206,0)))&gt;0)*(((職員マスタ!$H$6:$H$405="")+(職員マスタ!$H$6:$H$405&gt;=$AO2206))&gt;0)*(ROW(職員マスタ!$A$6:$A$405)-5))),IFERROR(MATCH($B2206,職員マスタ!$A$6:$A$405,0),"")))</f>
        <v/>
      </c>
      <c r="AO2206" s="16">
        <f>IF(OR($B2206="",$C2206="",$D2206=""),"",DATE($C2206+2018,$D2206,1))</f>
        <v/>
      </c>
    </row>
    <row r="2207">
      <c r="A2207" s="11" t="n"/>
      <c r="B2207" s="12" t="n"/>
      <c r="C2207" s="12" t="n"/>
      <c r="D2207" s="12" t="n"/>
      <c r="E2207" s="13" t="n"/>
      <c r="F2207" s="12" t="n"/>
      <c r="G2207" s="13" t="n"/>
      <c r="H2207" s="12" t="n"/>
      <c r="I2207" s="12" t="n"/>
      <c r="J2207" s="12" t="n"/>
      <c r="K2207" s="12" t="n"/>
      <c r="L2207" s="11" t="n"/>
      <c r="M2207" s="11" t="n"/>
      <c r="N2207" s="11" t="n"/>
      <c r="O2207" s="11" t="n"/>
      <c r="P2207" s="12" t="n"/>
      <c r="Q2207" s="11" t="n"/>
      <c r="R2207" s="12" t="n"/>
      <c r="S2207" s="11" t="n"/>
      <c r="T2207" s="12" t="n"/>
      <c r="U2207" s="12" t="n"/>
      <c r="V2207" s="14">
        <f>IF($AN2207="",IF($B2207="","",$H2207),IF(INDEX(職員マスタ!$B$6:$B$405,$AN2207)="",$H2207,INDEX(職員マスタ!$B$6:$B$405,$AN2207)))</f>
        <v/>
      </c>
      <c r="W2207" s="14">
        <f>IF($AN2207="",IF($B2207="","",$R2207),IF(INDEX(職員マスタ!$C$6:$C$405,$AN2207)="",$R2207,INDEX(職員マスタ!$C$6:$C$405,$AN2207)))</f>
        <v/>
      </c>
      <c r="X2207" s="14">
        <f>IF($AO2207="","","R"&amp;$C2207&amp;"."&amp;$D2207)</f>
        <v/>
      </c>
      <c r="Y2207" s="15">
        <f>IF($AN2207="","",IF(INDEX(職員マスタ!$K$6:$K$405,$AN2207)="","",INDEX(職員マスタ!$K$6:$K$405,$AN2207)))</f>
        <v/>
      </c>
      <c r="Z2207" s="14">
        <f>IF(OR($E2207="",$Y2207=""),"",IF($E2207&gt;=$Y2207,"×",IF($E2207&gt;=$Y2207*設定!$C$5,"△","○")))</f>
        <v/>
      </c>
      <c r="AA2207" s="15">
        <f>IF($Z2207="","",IF($Z2207="×",0,IF($Z2207="○",ROUNDDOWN($E2207*設定!$C$4,0),ROUNDDOWN($E2207*ROUND((9*$Y2207-9*$E2207)/(10*$E2207),4),0))))</f>
        <v/>
      </c>
      <c r="AB2207" s="13" t="n"/>
      <c r="AC2207" s="15">
        <f>IF($B2207="","",IF($AB2207&lt;&gt;"",$AB2207,IF($AA2207="","",IF($AA2207&lt;=設定!$C$3,0,$AA2207))))</f>
        <v/>
      </c>
      <c r="AD2207" s="14">
        <f>IF($B2207="","",IF(AND($AE2207&lt;&gt;"",$AG2207="",$AJ2207=""),"保留中",IF($AJ2207&lt;&gt;"",IF(N($AC2207)&gt;0,"支給済","不支給"),IF($AC2207="","要確認",IF($AC2207=0,"不支給","未処理")))))</f>
        <v/>
      </c>
      <c r="AE2207" s="12" t="n"/>
      <c r="AF2207" s="11" t="n"/>
      <c r="AG2207" s="11" t="n"/>
      <c r="AH2207" s="11" t="n"/>
      <c r="AI2207" s="14">
        <f>IF(AND($AD2207="保留中",$AF2207&lt;&gt;""),TODAY()-$AF2207,"")</f>
        <v/>
      </c>
      <c r="AJ2207" s="12" t="n"/>
      <c r="AK2207" s="14">
        <f>IF($B2207="","",IF($AO2207="","対象年月が未入力／","")&amp;IF($B2207="","",IF($AN2207="","職員マスタに未登録の職員番号／",IF($Y2207="","標準報酬月額が未登録／","")&amp;IF(AND($AO2207&lt;&gt;"",OR(AND(INDEX(職員マスタ!$G$6:$G$405,$AN2207)&lt;&gt;"",INDEX(職員マスタ!$G$6:$G$405,$AN2207)&gt;EOMONTH($AO2207,0)),AND(INDEX(職員マスタ!$H$6:$H$405,$AN2207)&lt;&gt;"",INDEX(職員マスタ!$H$6:$H$405,$AN2207)&lt;$AO2207))),"対象月が時短期間外／","")&amp;IF(AND(INDEX(職員マスタ!$F$6:$F$405,$AN2207)&lt;&gt;"",$AO2207&lt;&gt;"",INDEX(職員マスタ!$F$6:$F$405,$AN2207)&lt;$AO2207),"対象月に子が2歳到達済／","")&amp;IF(AND($H2207&lt;&gt;"",INDEX(職員マスタ!$B$6:$B$405,$AN2207)&lt;&gt;"",SUBSTITUTE(SUBSTITUTE($H2207," ","")," ","")&lt;&gt;SUBSTITUTE(SUBSTITUTE(INDEX(職員マスタ!$B$6:$B$405,$AN2207)," ","")," ","")),"氏名がマスタと相違／","")&amp;IF(AND($Q2207&lt;&gt;"",INDEX(職員マスタ!$E$6:$E$405,$AN2207)&lt;&gt;"",$Q2207&lt;&gt;INDEX(職員マスタ!$E$6:$E$405,$AN2207)),"子の生年月日がマスタと相違／","")&amp;IF(AND($L2207&lt;&gt;"",INDEX(職員マスタ!$G$6:$G$405,$AN2207)&lt;&gt;"",$L2207&lt;&gt;INDEX(職員マスタ!$G$6:$G$405,$AN2207)),"時短開始日がマスタと相違／","")&amp;IF(AND($M2207&lt;&gt;"",INDEX(職員マスタ!$H$6:$H$405,$AN2207)&lt;&gt;"",$M2207&lt;&gt;INDEX(職員マスタ!$H$6:$H$405,$AN2207)),"時短終了日がマスタと相違／","")))&amp;IF(AND($B2207&lt;&gt;"",$E2207=""),"報酬額が未入力／","")&amp;IF(N($U2207)&gt;0,"申請書に入力エラーが残っています／","")&amp;IF(AND($B2207&lt;&gt;"",$AO2207&lt;&gt;""),IF(COUNTIFS($B$6:$B$3005,$B2207,$C$6:$C$3005,$C2207,$D$6:$D$3005,$D2207)&gt;1,"同じ月の請求が重複しています／",""),"")&amp;IF(AND(N($E2207)&gt;0,$Z2207&lt;&gt;"",$Z2207&lt;&gt;"×",$AC2207=0,$AB2207=""),"計算額が下限以下のため不支給／",""))</f>
        <v/>
      </c>
      <c r="AL2207" s="12" t="n"/>
      <c r="AM2207" s="14">
        <f>IF($AD2207="保留中",COUNTIF($AD$6:$AD2207,"保留中"),"")</f>
        <v/>
      </c>
      <c r="AN2207" s="14">
        <f>IF($AO2207="","",IF(SUMPRODUCT(MAX((職員マスタ!$A$6:$A$405=$B2207)*(((職員マスタ!$G$6:$G$405="")+(職員マスタ!$G$6:$G$405&lt;=EOMONTH($AO2207,0)))&gt;0)*(((職員マスタ!$H$6:$H$405="")+(職員マスタ!$H$6:$H$405&gt;=$AO2207))&gt;0)*(ROW(職員マスタ!$A$6:$A$405)-5)))&gt;0,SUMPRODUCT(MAX((職員マスタ!$A$6:$A$405=$B2207)*(((職員マスタ!$G$6:$G$405="")+(職員マスタ!$G$6:$G$405&lt;=EOMONTH($AO2207,0)))&gt;0)*(((職員マスタ!$H$6:$H$405="")+(職員マスタ!$H$6:$H$405&gt;=$AO2207))&gt;0)*(ROW(職員マスタ!$A$6:$A$405)-5))),IFERROR(MATCH($B2207,職員マスタ!$A$6:$A$405,0),"")))</f>
        <v/>
      </c>
      <c r="AO2207" s="16">
        <f>IF(OR($B2207="",$C2207="",$D2207=""),"",DATE($C2207+2018,$D2207,1))</f>
        <v/>
      </c>
    </row>
    <row r="2208">
      <c r="A2208" s="11" t="n"/>
      <c r="B2208" s="12" t="n"/>
      <c r="C2208" s="12" t="n"/>
      <c r="D2208" s="12" t="n"/>
      <c r="E2208" s="13" t="n"/>
      <c r="F2208" s="12" t="n"/>
      <c r="G2208" s="13" t="n"/>
      <c r="H2208" s="12" t="n"/>
      <c r="I2208" s="12" t="n"/>
      <c r="J2208" s="12" t="n"/>
      <c r="K2208" s="12" t="n"/>
      <c r="L2208" s="11" t="n"/>
      <c r="M2208" s="11" t="n"/>
      <c r="N2208" s="11" t="n"/>
      <c r="O2208" s="11" t="n"/>
      <c r="P2208" s="12" t="n"/>
      <c r="Q2208" s="11" t="n"/>
      <c r="R2208" s="12" t="n"/>
      <c r="S2208" s="11" t="n"/>
      <c r="T2208" s="12" t="n"/>
      <c r="U2208" s="12" t="n"/>
      <c r="V2208" s="14">
        <f>IF($AN2208="",IF($B2208="","",$H2208),IF(INDEX(職員マスタ!$B$6:$B$405,$AN2208)="",$H2208,INDEX(職員マスタ!$B$6:$B$405,$AN2208)))</f>
        <v/>
      </c>
      <c r="W2208" s="14">
        <f>IF($AN2208="",IF($B2208="","",$R2208),IF(INDEX(職員マスタ!$C$6:$C$405,$AN2208)="",$R2208,INDEX(職員マスタ!$C$6:$C$405,$AN2208)))</f>
        <v/>
      </c>
      <c r="X2208" s="14">
        <f>IF($AO2208="","","R"&amp;$C2208&amp;"."&amp;$D2208)</f>
        <v/>
      </c>
      <c r="Y2208" s="15">
        <f>IF($AN2208="","",IF(INDEX(職員マスタ!$K$6:$K$405,$AN2208)="","",INDEX(職員マスタ!$K$6:$K$405,$AN2208)))</f>
        <v/>
      </c>
      <c r="Z2208" s="14">
        <f>IF(OR($E2208="",$Y2208=""),"",IF($E2208&gt;=$Y2208,"×",IF($E2208&gt;=$Y2208*設定!$C$5,"△","○")))</f>
        <v/>
      </c>
      <c r="AA2208" s="15">
        <f>IF($Z2208="","",IF($Z2208="×",0,IF($Z2208="○",ROUNDDOWN($E2208*設定!$C$4,0),ROUNDDOWN($E2208*ROUND((9*$Y2208-9*$E2208)/(10*$E2208),4),0))))</f>
        <v/>
      </c>
      <c r="AB2208" s="13" t="n"/>
      <c r="AC2208" s="15">
        <f>IF($B2208="","",IF($AB2208&lt;&gt;"",$AB2208,IF($AA2208="","",IF($AA2208&lt;=設定!$C$3,0,$AA2208))))</f>
        <v/>
      </c>
      <c r="AD2208" s="14">
        <f>IF($B2208="","",IF(AND($AE2208&lt;&gt;"",$AG2208="",$AJ2208=""),"保留中",IF($AJ2208&lt;&gt;"",IF(N($AC2208)&gt;0,"支給済","不支給"),IF($AC2208="","要確認",IF($AC2208=0,"不支給","未処理")))))</f>
        <v/>
      </c>
      <c r="AE2208" s="12" t="n"/>
      <c r="AF2208" s="11" t="n"/>
      <c r="AG2208" s="11" t="n"/>
      <c r="AH2208" s="11" t="n"/>
      <c r="AI2208" s="14">
        <f>IF(AND($AD2208="保留中",$AF2208&lt;&gt;""),TODAY()-$AF2208,"")</f>
        <v/>
      </c>
      <c r="AJ2208" s="12" t="n"/>
      <c r="AK2208" s="14">
        <f>IF($B2208="","",IF($AO2208="","対象年月が未入力／","")&amp;IF($B2208="","",IF($AN2208="","職員マスタに未登録の職員番号／",IF($Y2208="","標準報酬月額が未登録／","")&amp;IF(AND($AO2208&lt;&gt;"",OR(AND(INDEX(職員マスタ!$G$6:$G$405,$AN2208)&lt;&gt;"",INDEX(職員マスタ!$G$6:$G$405,$AN2208)&gt;EOMONTH($AO2208,0)),AND(INDEX(職員マスタ!$H$6:$H$405,$AN2208)&lt;&gt;"",INDEX(職員マスタ!$H$6:$H$405,$AN2208)&lt;$AO2208))),"対象月が時短期間外／","")&amp;IF(AND(INDEX(職員マスタ!$F$6:$F$405,$AN2208)&lt;&gt;"",$AO2208&lt;&gt;"",INDEX(職員マスタ!$F$6:$F$405,$AN2208)&lt;$AO2208),"対象月に子が2歳到達済／","")&amp;IF(AND($H2208&lt;&gt;"",INDEX(職員マスタ!$B$6:$B$405,$AN2208)&lt;&gt;"",SUBSTITUTE(SUBSTITUTE($H2208," ","")," ","")&lt;&gt;SUBSTITUTE(SUBSTITUTE(INDEX(職員マスタ!$B$6:$B$405,$AN2208)," ","")," ","")),"氏名がマスタと相違／","")&amp;IF(AND($Q2208&lt;&gt;"",INDEX(職員マスタ!$E$6:$E$405,$AN2208)&lt;&gt;"",$Q2208&lt;&gt;INDEX(職員マスタ!$E$6:$E$405,$AN2208)),"子の生年月日がマスタと相違／","")&amp;IF(AND($L2208&lt;&gt;"",INDEX(職員マスタ!$G$6:$G$405,$AN2208)&lt;&gt;"",$L2208&lt;&gt;INDEX(職員マスタ!$G$6:$G$405,$AN2208)),"時短開始日がマスタと相違／","")&amp;IF(AND($M2208&lt;&gt;"",INDEX(職員マスタ!$H$6:$H$405,$AN2208)&lt;&gt;"",$M2208&lt;&gt;INDEX(職員マスタ!$H$6:$H$405,$AN2208)),"時短終了日がマスタと相違／","")))&amp;IF(AND($B2208&lt;&gt;"",$E2208=""),"報酬額が未入力／","")&amp;IF(N($U2208)&gt;0,"申請書に入力エラーが残っています／","")&amp;IF(AND($B2208&lt;&gt;"",$AO2208&lt;&gt;""),IF(COUNTIFS($B$6:$B$3005,$B2208,$C$6:$C$3005,$C2208,$D$6:$D$3005,$D2208)&gt;1,"同じ月の請求が重複しています／",""),"")&amp;IF(AND(N($E2208)&gt;0,$Z2208&lt;&gt;"",$Z2208&lt;&gt;"×",$AC2208=0,$AB2208=""),"計算額が下限以下のため不支給／",""))</f>
        <v/>
      </c>
      <c r="AL2208" s="12" t="n"/>
      <c r="AM2208" s="14">
        <f>IF($AD2208="保留中",COUNTIF($AD$6:$AD2208,"保留中"),"")</f>
        <v/>
      </c>
      <c r="AN2208" s="14">
        <f>IF($AO2208="","",IF(SUMPRODUCT(MAX((職員マスタ!$A$6:$A$405=$B2208)*(((職員マスタ!$G$6:$G$405="")+(職員マスタ!$G$6:$G$405&lt;=EOMONTH($AO2208,0)))&gt;0)*(((職員マスタ!$H$6:$H$405="")+(職員マスタ!$H$6:$H$405&gt;=$AO2208))&gt;0)*(ROW(職員マスタ!$A$6:$A$405)-5)))&gt;0,SUMPRODUCT(MAX((職員マスタ!$A$6:$A$405=$B2208)*(((職員マスタ!$G$6:$G$405="")+(職員マスタ!$G$6:$G$405&lt;=EOMONTH($AO2208,0)))&gt;0)*(((職員マスタ!$H$6:$H$405="")+(職員マスタ!$H$6:$H$405&gt;=$AO2208))&gt;0)*(ROW(職員マスタ!$A$6:$A$405)-5))),IFERROR(MATCH($B2208,職員マスタ!$A$6:$A$405,0),"")))</f>
        <v/>
      </c>
      <c r="AO2208" s="16">
        <f>IF(OR($B2208="",$C2208="",$D2208=""),"",DATE($C2208+2018,$D2208,1))</f>
        <v/>
      </c>
    </row>
    <row r="2209">
      <c r="A2209" s="11" t="n"/>
      <c r="B2209" s="12" t="n"/>
      <c r="C2209" s="12" t="n"/>
      <c r="D2209" s="12" t="n"/>
      <c r="E2209" s="13" t="n"/>
      <c r="F2209" s="12" t="n"/>
      <c r="G2209" s="13" t="n"/>
      <c r="H2209" s="12" t="n"/>
      <c r="I2209" s="12" t="n"/>
      <c r="J2209" s="12" t="n"/>
      <c r="K2209" s="12" t="n"/>
      <c r="L2209" s="11" t="n"/>
      <c r="M2209" s="11" t="n"/>
      <c r="N2209" s="11" t="n"/>
      <c r="O2209" s="11" t="n"/>
      <c r="P2209" s="12" t="n"/>
      <c r="Q2209" s="11" t="n"/>
      <c r="R2209" s="12" t="n"/>
      <c r="S2209" s="11" t="n"/>
      <c r="T2209" s="12" t="n"/>
      <c r="U2209" s="12" t="n"/>
      <c r="V2209" s="14">
        <f>IF($AN2209="",IF($B2209="","",$H2209),IF(INDEX(職員マスタ!$B$6:$B$405,$AN2209)="",$H2209,INDEX(職員マスタ!$B$6:$B$405,$AN2209)))</f>
        <v/>
      </c>
      <c r="W2209" s="14">
        <f>IF($AN2209="",IF($B2209="","",$R2209),IF(INDEX(職員マスタ!$C$6:$C$405,$AN2209)="",$R2209,INDEX(職員マスタ!$C$6:$C$405,$AN2209)))</f>
        <v/>
      </c>
      <c r="X2209" s="14">
        <f>IF($AO2209="","","R"&amp;$C2209&amp;"."&amp;$D2209)</f>
        <v/>
      </c>
      <c r="Y2209" s="15">
        <f>IF($AN2209="","",IF(INDEX(職員マスタ!$K$6:$K$405,$AN2209)="","",INDEX(職員マスタ!$K$6:$K$405,$AN2209)))</f>
        <v/>
      </c>
      <c r="Z2209" s="14">
        <f>IF(OR($E2209="",$Y2209=""),"",IF($E2209&gt;=$Y2209,"×",IF($E2209&gt;=$Y2209*設定!$C$5,"△","○")))</f>
        <v/>
      </c>
      <c r="AA2209" s="15">
        <f>IF($Z2209="","",IF($Z2209="×",0,IF($Z2209="○",ROUNDDOWN($E2209*設定!$C$4,0),ROUNDDOWN($E2209*ROUND((9*$Y2209-9*$E2209)/(10*$E2209),4),0))))</f>
        <v/>
      </c>
      <c r="AB2209" s="13" t="n"/>
      <c r="AC2209" s="15">
        <f>IF($B2209="","",IF($AB2209&lt;&gt;"",$AB2209,IF($AA2209="","",IF($AA2209&lt;=設定!$C$3,0,$AA2209))))</f>
        <v/>
      </c>
      <c r="AD2209" s="14">
        <f>IF($B2209="","",IF(AND($AE2209&lt;&gt;"",$AG2209="",$AJ2209=""),"保留中",IF($AJ2209&lt;&gt;"",IF(N($AC2209)&gt;0,"支給済","不支給"),IF($AC2209="","要確認",IF($AC2209=0,"不支給","未処理")))))</f>
        <v/>
      </c>
      <c r="AE2209" s="12" t="n"/>
      <c r="AF2209" s="11" t="n"/>
      <c r="AG2209" s="11" t="n"/>
      <c r="AH2209" s="11" t="n"/>
      <c r="AI2209" s="14">
        <f>IF(AND($AD2209="保留中",$AF2209&lt;&gt;""),TODAY()-$AF2209,"")</f>
        <v/>
      </c>
      <c r="AJ2209" s="12" t="n"/>
      <c r="AK2209" s="14">
        <f>IF($B2209="","",IF($AO2209="","対象年月が未入力／","")&amp;IF($B2209="","",IF($AN2209="","職員マスタに未登録の職員番号／",IF($Y2209="","標準報酬月額が未登録／","")&amp;IF(AND($AO2209&lt;&gt;"",OR(AND(INDEX(職員マスタ!$G$6:$G$405,$AN2209)&lt;&gt;"",INDEX(職員マスタ!$G$6:$G$405,$AN2209)&gt;EOMONTH($AO2209,0)),AND(INDEX(職員マスタ!$H$6:$H$405,$AN2209)&lt;&gt;"",INDEX(職員マスタ!$H$6:$H$405,$AN2209)&lt;$AO2209))),"対象月が時短期間外／","")&amp;IF(AND(INDEX(職員マスタ!$F$6:$F$405,$AN2209)&lt;&gt;"",$AO2209&lt;&gt;"",INDEX(職員マスタ!$F$6:$F$405,$AN2209)&lt;$AO2209),"対象月に子が2歳到達済／","")&amp;IF(AND($H2209&lt;&gt;"",INDEX(職員マスタ!$B$6:$B$405,$AN2209)&lt;&gt;"",SUBSTITUTE(SUBSTITUTE($H2209," ","")," ","")&lt;&gt;SUBSTITUTE(SUBSTITUTE(INDEX(職員マスタ!$B$6:$B$405,$AN2209)," ","")," ","")),"氏名がマスタと相違／","")&amp;IF(AND($Q2209&lt;&gt;"",INDEX(職員マスタ!$E$6:$E$405,$AN2209)&lt;&gt;"",$Q2209&lt;&gt;INDEX(職員マスタ!$E$6:$E$405,$AN2209)),"子の生年月日がマスタと相違／","")&amp;IF(AND($L2209&lt;&gt;"",INDEX(職員マスタ!$G$6:$G$405,$AN2209)&lt;&gt;"",$L2209&lt;&gt;INDEX(職員マスタ!$G$6:$G$405,$AN2209)),"時短開始日がマスタと相違／","")&amp;IF(AND($M2209&lt;&gt;"",INDEX(職員マスタ!$H$6:$H$405,$AN2209)&lt;&gt;"",$M2209&lt;&gt;INDEX(職員マスタ!$H$6:$H$405,$AN2209)),"時短終了日がマスタと相違／","")))&amp;IF(AND($B2209&lt;&gt;"",$E2209=""),"報酬額が未入力／","")&amp;IF(N($U2209)&gt;0,"申請書に入力エラーが残っています／","")&amp;IF(AND($B2209&lt;&gt;"",$AO2209&lt;&gt;""),IF(COUNTIFS($B$6:$B$3005,$B2209,$C$6:$C$3005,$C2209,$D$6:$D$3005,$D2209)&gt;1,"同じ月の請求が重複しています／",""),"")&amp;IF(AND(N($E2209)&gt;0,$Z2209&lt;&gt;"",$Z2209&lt;&gt;"×",$AC2209=0,$AB2209=""),"計算額が下限以下のため不支給／",""))</f>
        <v/>
      </c>
      <c r="AL2209" s="12" t="n"/>
      <c r="AM2209" s="14">
        <f>IF($AD2209="保留中",COUNTIF($AD$6:$AD2209,"保留中"),"")</f>
        <v/>
      </c>
      <c r="AN2209" s="14">
        <f>IF($AO2209="","",IF(SUMPRODUCT(MAX((職員マスタ!$A$6:$A$405=$B2209)*(((職員マスタ!$G$6:$G$405="")+(職員マスタ!$G$6:$G$405&lt;=EOMONTH($AO2209,0)))&gt;0)*(((職員マスタ!$H$6:$H$405="")+(職員マスタ!$H$6:$H$405&gt;=$AO2209))&gt;0)*(ROW(職員マスタ!$A$6:$A$405)-5)))&gt;0,SUMPRODUCT(MAX((職員マスタ!$A$6:$A$405=$B2209)*(((職員マスタ!$G$6:$G$405="")+(職員マスタ!$G$6:$G$405&lt;=EOMONTH($AO2209,0)))&gt;0)*(((職員マスタ!$H$6:$H$405="")+(職員マスタ!$H$6:$H$405&gt;=$AO2209))&gt;0)*(ROW(職員マスタ!$A$6:$A$405)-5))),IFERROR(MATCH($B2209,職員マスタ!$A$6:$A$405,0),"")))</f>
        <v/>
      </c>
      <c r="AO2209" s="16">
        <f>IF(OR($B2209="",$C2209="",$D2209=""),"",DATE($C2209+2018,$D2209,1))</f>
        <v/>
      </c>
    </row>
    <row r="2210">
      <c r="A2210" s="11" t="n"/>
      <c r="B2210" s="12" t="n"/>
      <c r="C2210" s="12" t="n"/>
      <c r="D2210" s="12" t="n"/>
      <c r="E2210" s="13" t="n"/>
      <c r="F2210" s="12" t="n"/>
      <c r="G2210" s="13" t="n"/>
      <c r="H2210" s="12" t="n"/>
      <c r="I2210" s="12" t="n"/>
      <c r="J2210" s="12" t="n"/>
      <c r="K2210" s="12" t="n"/>
      <c r="L2210" s="11" t="n"/>
      <c r="M2210" s="11" t="n"/>
      <c r="N2210" s="11" t="n"/>
      <c r="O2210" s="11" t="n"/>
      <c r="P2210" s="12" t="n"/>
      <c r="Q2210" s="11" t="n"/>
      <c r="R2210" s="12" t="n"/>
      <c r="S2210" s="11" t="n"/>
      <c r="T2210" s="12" t="n"/>
      <c r="U2210" s="12" t="n"/>
      <c r="V2210" s="14">
        <f>IF($AN2210="",IF($B2210="","",$H2210),IF(INDEX(職員マスタ!$B$6:$B$405,$AN2210)="",$H2210,INDEX(職員マスタ!$B$6:$B$405,$AN2210)))</f>
        <v/>
      </c>
      <c r="W2210" s="14">
        <f>IF($AN2210="",IF($B2210="","",$R2210),IF(INDEX(職員マスタ!$C$6:$C$405,$AN2210)="",$R2210,INDEX(職員マスタ!$C$6:$C$405,$AN2210)))</f>
        <v/>
      </c>
      <c r="X2210" s="14">
        <f>IF($AO2210="","","R"&amp;$C2210&amp;"."&amp;$D2210)</f>
        <v/>
      </c>
      <c r="Y2210" s="15">
        <f>IF($AN2210="","",IF(INDEX(職員マスタ!$K$6:$K$405,$AN2210)="","",INDEX(職員マスタ!$K$6:$K$405,$AN2210)))</f>
        <v/>
      </c>
      <c r="Z2210" s="14">
        <f>IF(OR($E2210="",$Y2210=""),"",IF($E2210&gt;=$Y2210,"×",IF($E2210&gt;=$Y2210*設定!$C$5,"△","○")))</f>
        <v/>
      </c>
      <c r="AA2210" s="15">
        <f>IF($Z2210="","",IF($Z2210="×",0,IF($Z2210="○",ROUNDDOWN($E2210*設定!$C$4,0),ROUNDDOWN($E2210*ROUND((9*$Y2210-9*$E2210)/(10*$E2210),4),0))))</f>
        <v/>
      </c>
      <c r="AB2210" s="13" t="n"/>
      <c r="AC2210" s="15">
        <f>IF($B2210="","",IF($AB2210&lt;&gt;"",$AB2210,IF($AA2210="","",IF($AA2210&lt;=設定!$C$3,0,$AA2210))))</f>
        <v/>
      </c>
      <c r="AD2210" s="14">
        <f>IF($B2210="","",IF(AND($AE2210&lt;&gt;"",$AG2210="",$AJ2210=""),"保留中",IF($AJ2210&lt;&gt;"",IF(N($AC2210)&gt;0,"支給済","不支給"),IF($AC2210="","要確認",IF($AC2210=0,"不支給","未処理")))))</f>
        <v/>
      </c>
      <c r="AE2210" s="12" t="n"/>
      <c r="AF2210" s="11" t="n"/>
      <c r="AG2210" s="11" t="n"/>
      <c r="AH2210" s="11" t="n"/>
      <c r="AI2210" s="14">
        <f>IF(AND($AD2210="保留中",$AF2210&lt;&gt;""),TODAY()-$AF2210,"")</f>
        <v/>
      </c>
      <c r="AJ2210" s="12" t="n"/>
      <c r="AK2210" s="14">
        <f>IF($B2210="","",IF($AO2210="","対象年月が未入力／","")&amp;IF($B2210="","",IF($AN2210="","職員マスタに未登録の職員番号／",IF($Y2210="","標準報酬月額が未登録／","")&amp;IF(AND($AO2210&lt;&gt;"",OR(AND(INDEX(職員マスタ!$G$6:$G$405,$AN2210)&lt;&gt;"",INDEX(職員マスタ!$G$6:$G$405,$AN2210)&gt;EOMONTH($AO2210,0)),AND(INDEX(職員マスタ!$H$6:$H$405,$AN2210)&lt;&gt;"",INDEX(職員マスタ!$H$6:$H$405,$AN2210)&lt;$AO2210))),"対象月が時短期間外／","")&amp;IF(AND(INDEX(職員マスタ!$F$6:$F$405,$AN2210)&lt;&gt;"",$AO2210&lt;&gt;"",INDEX(職員マスタ!$F$6:$F$405,$AN2210)&lt;$AO2210),"対象月に子が2歳到達済／","")&amp;IF(AND($H2210&lt;&gt;"",INDEX(職員マスタ!$B$6:$B$405,$AN2210)&lt;&gt;"",SUBSTITUTE(SUBSTITUTE($H2210," ","")," ","")&lt;&gt;SUBSTITUTE(SUBSTITUTE(INDEX(職員マスタ!$B$6:$B$405,$AN2210)," ","")," ","")),"氏名がマスタと相違／","")&amp;IF(AND($Q2210&lt;&gt;"",INDEX(職員マスタ!$E$6:$E$405,$AN2210)&lt;&gt;"",$Q2210&lt;&gt;INDEX(職員マスタ!$E$6:$E$405,$AN2210)),"子の生年月日がマスタと相違／","")&amp;IF(AND($L2210&lt;&gt;"",INDEX(職員マスタ!$G$6:$G$405,$AN2210)&lt;&gt;"",$L2210&lt;&gt;INDEX(職員マスタ!$G$6:$G$405,$AN2210)),"時短開始日がマスタと相違／","")&amp;IF(AND($M2210&lt;&gt;"",INDEX(職員マスタ!$H$6:$H$405,$AN2210)&lt;&gt;"",$M2210&lt;&gt;INDEX(職員マスタ!$H$6:$H$405,$AN2210)),"時短終了日がマスタと相違／","")))&amp;IF(AND($B2210&lt;&gt;"",$E2210=""),"報酬額が未入力／","")&amp;IF(N($U2210)&gt;0,"申請書に入力エラーが残っています／","")&amp;IF(AND($B2210&lt;&gt;"",$AO2210&lt;&gt;""),IF(COUNTIFS($B$6:$B$3005,$B2210,$C$6:$C$3005,$C2210,$D$6:$D$3005,$D2210)&gt;1,"同じ月の請求が重複しています／",""),"")&amp;IF(AND(N($E2210)&gt;0,$Z2210&lt;&gt;"",$Z2210&lt;&gt;"×",$AC2210=0,$AB2210=""),"計算額が下限以下のため不支給／",""))</f>
        <v/>
      </c>
      <c r="AL2210" s="12" t="n"/>
      <c r="AM2210" s="14">
        <f>IF($AD2210="保留中",COUNTIF($AD$6:$AD2210,"保留中"),"")</f>
        <v/>
      </c>
      <c r="AN2210" s="14">
        <f>IF($AO2210="","",IF(SUMPRODUCT(MAX((職員マスタ!$A$6:$A$405=$B2210)*(((職員マスタ!$G$6:$G$405="")+(職員マスタ!$G$6:$G$405&lt;=EOMONTH($AO2210,0)))&gt;0)*(((職員マスタ!$H$6:$H$405="")+(職員マスタ!$H$6:$H$405&gt;=$AO2210))&gt;0)*(ROW(職員マスタ!$A$6:$A$405)-5)))&gt;0,SUMPRODUCT(MAX((職員マスタ!$A$6:$A$405=$B2210)*(((職員マスタ!$G$6:$G$405="")+(職員マスタ!$G$6:$G$405&lt;=EOMONTH($AO2210,0)))&gt;0)*(((職員マスタ!$H$6:$H$405="")+(職員マスタ!$H$6:$H$405&gt;=$AO2210))&gt;0)*(ROW(職員マスタ!$A$6:$A$405)-5))),IFERROR(MATCH($B2210,職員マスタ!$A$6:$A$405,0),"")))</f>
        <v/>
      </c>
      <c r="AO2210" s="16">
        <f>IF(OR($B2210="",$C2210="",$D2210=""),"",DATE($C2210+2018,$D2210,1))</f>
        <v/>
      </c>
    </row>
    <row r="2211">
      <c r="A2211" s="11" t="n"/>
      <c r="B2211" s="12" t="n"/>
      <c r="C2211" s="12" t="n"/>
      <c r="D2211" s="12" t="n"/>
      <c r="E2211" s="13" t="n"/>
      <c r="F2211" s="12" t="n"/>
      <c r="G2211" s="13" t="n"/>
      <c r="H2211" s="12" t="n"/>
      <c r="I2211" s="12" t="n"/>
      <c r="J2211" s="12" t="n"/>
      <c r="K2211" s="12" t="n"/>
      <c r="L2211" s="11" t="n"/>
      <c r="M2211" s="11" t="n"/>
      <c r="N2211" s="11" t="n"/>
      <c r="O2211" s="11" t="n"/>
      <c r="P2211" s="12" t="n"/>
      <c r="Q2211" s="11" t="n"/>
      <c r="R2211" s="12" t="n"/>
      <c r="S2211" s="11" t="n"/>
      <c r="T2211" s="12" t="n"/>
      <c r="U2211" s="12" t="n"/>
      <c r="V2211" s="14">
        <f>IF($AN2211="",IF($B2211="","",$H2211),IF(INDEX(職員マスタ!$B$6:$B$405,$AN2211)="",$H2211,INDEX(職員マスタ!$B$6:$B$405,$AN2211)))</f>
        <v/>
      </c>
      <c r="W2211" s="14">
        <f>IF($AN2211="",IF($B2211="","",$R2211),IF(INDEX(職員マスタ!$C$6:$C$405,$AN2211)="",$R2211,INDEX(職員マスタ!$C$6:$C$405,$AN2211)))</f>
        <v/>
      </c>
      <c r="X2211" s="14">
        <f>IF($AO2211="","","R"&amp;$C2211&amp;"."&amp;$D2211)</f>
        <v/>
      </c>
      <c r="Y2211" s="15">
        <f>IF($AN2211="","",IF(INDEX(職員マスタ!$K$6:$K$405,$AN2211)="","",INDEX(職員マスタ!$K$6:$K$405,$AN2211)))</f>
        <v/>
      </c>
      <c r="Z2211" s="14">
        <f>IF(OR($E2211="",$Y2211=""),"",IF($E2211&gt;=$Y2211,"×",IF($E2211&gt;=$Y2211*設定!$C$5,"△","○")))</f>
        <v/>
      </c>
      <c r="AA2211" s="15">
        <f>IF($Z2211="","",IF($Z2211="×",0,IF($Z2211="○",ROUNDDOWN($E2211*設定!$C$4,0),ROUNDDOWN($E2211*ROUND((9*$Y2211-9*$E2211)/(10*$E2211),4),0))))</f>
        <v/>
      </c>
      <c r="AB2211" s="13" t="n"/>
      <c r="AC2211" s="15">
        <f>IF($B2211="","",IF($AB2211&lt;&gt;"",$AB2211,IF($AA2211="","",IF($AA2211&lt;=設定!$C$3,0,$AA2211))))</f>
        <v/>
      </c>
      <c r="AD2211" s="14">
        <f>IF($B2211="","",IF(AND($AE2211&lt;&gt;"",$AG2211="",$AJ2211=""),"保留中",IF($AJ2211&lt;&gt;"",IF(N($AC2211)&gt;0,"支給済","不支給"),IF($AC2211="","要確認",IF($AC2211=0,"不支給","未処理")))))</f>
        <v/>
      </c>
      <c r="AE2211" s="12" t="n"/>
      <c r="AF2211" s="11" t="n"/>
      <c r="AG2211" s="11" t="n"/>
      <c r="AH2211" s="11" t="n"/>
      <c r="AI2211" s="14">
        <f>IF(AND($AD2211="保留中",$AF2211&lt;&gt;""),TODAY()-$AF2211,"")</f>
        <v/>
      </c>
      <c r="AJ2211" s="12" t="n"/>
      <c r="AK2211" s="14">
        <f>IF($B2211="","",IF($AO2211="","対象年月が未入力／","")&amp;IF($B2211="","",IF($AN2211="","職員マスタに未登録の職員番号／",IF($Y2211="","標準報酬月額が未登録／","")&amp;IF(AND($AO2211&lt;&gt;"",OR(AND(INDEX(職員マスタ!$G$6:$G$405,$AN2211)&lt;&gt;"",INDEX(職員マスタ!$G$6:$G$405,$AN2211)&gt;EOMONTH($AO2211,0)),AND(INDEX(職員マスタ!$H$6:$H$405,$AN2211)&lt;&gt;"",INDEX(職員マスタ!$H$6:$H$405,$AN2211)&lt;$AO2211))),"対象月が時短期間外／","")&amp;IF(AND(INDEX(職員マスタ!$F$6:$F$405,$AN2211)&lt;&gt;"",$AO2211&lt;&gt;"",INDEX(職員マスタ!$F$6:$F$405,$AN2211)&lt;$AO2211),"対象月に子が2歳到達済／","")&amp;IF(AND($H2211&lt;&gt;"",INDEX(職員マスタ!$B$6:$B$405,$AN2211)&lt;&gt;"",SUBSTITUTE(SUBSTITUTE($H2211," ","")," ","")&lt;&gt;SUBSTITUTE(SUBSTITUTE(INDEX(職員マスタ!$B$6:$B$405,$AN2211)," ","")," ","")),"氏名がマスタと相違／","")&amp;IF(AND($Q2211&lt;&gt;"",INDEX(職員マスタ!$E$6:$E$405,$AN2211)&lt;&gt;"",$Q2211&lt;&gt;INDEX(職員マスタ!$E$6:$E$405,$AN2211)),"子の生年月日がマスタと相違／","")&amp;IF(AND($L2211&lt;&gt;"",INDEX(職員マスタ!$G$6:$G$405,$AN2211)&lt;&gt;"",$L2211&lt;&gt;INDEX(職員マスタ!$G$6:$G$405,$AN2211)),"時短開始日がマスタと相違／","")&amp;IF(AND($M2211&lt;&gt;"",INDEX(職員マスタ!$H$6:$H$405,$AN2211)&lt;&gt;"",$M2211&lt;&gt;INDEX(職員マスタ!$H$6:$H$405,$AN2211)),"時短終了日がマスタと相違／","")))&amp;IF(AND($B2211&lt;&gt;"",$E2211=""),"報酬額が未入力／","")&amp;IF(N($U2211)&gt;0,"申請書に入力エラーが残っています／","")&amp;IF(AND($B2211&lt;&gt;"",$AO2211&lt;&gt;""),IF(COUNTIFS($B$6:$B$3005,$B2211,$C$6:$C$3005,$C2211,$D$6:$D$3005,$D2211)&gt;1,"同じ月の請求が重複しています／",""),"")&amp;IF(AND(N($E2211)&gt;0,$Z2211&lt;&gt;"",$Z2211&lt;&gt;"×",$AC2211=0,$AB2211=""),"計算額が下限以下のため不支給／",""))</f>
        <v/>
      </c>
      <c r="AL2211" s="12" t="n"/>
      <c r="AM2211" s="14">
        <f>IF($AD2211="保留中",COUNTIF($AD$6:$AD2211,"保留中"),"")</f>
        <v/>
      </c>
      <c r="AN2211" s="14">
        <f>IF($AO2211="","",IF(SUMPRODUCT(MAX((職員マスタ!$A$6:$A$405=$B2211)*(((職員マスタ!$G$6:$G$405="")+(職員マスタ!$G$6:$G$405&lt;=EOMONTH($AO2211,0)))&gt;0)*(((職員マスタ!$H$6:$H$405="")+(職員マスタ!$H$6:$H$405&gt;=$AO2211))&gt;0)*(ROW(職員マスタ!$A$6:$A$405)-5)))&gt;0,SUMPRODUCT(MAX((職員マスタ!$A$6:$A$405=$B2211)*(((職員マスタ!$G$6:$G$405="")+(職員マスタ!$G$6:$G$405&lt;=EOMONTH($AO2211,0)))&gt;0)*(((職員マスタ!$H$6:$H$405="")+(職員マスタ!$H$6:$H$405&gt;=$AO2211))&gt;0)*(ROW(職員マスタ!$A$6:$A$405)-5))),IFERROR(MATCH($B2211,職員マスタ!$A$6:$A$405,0),"")))</f>
        <v/>
      </c>
      <c r="AO2211" s="16">
        <f>IF(OR($B2211="",$C2211="",$D2211=""),"",DATE($C2211+2018,$D2211,1))</f>
        <v/>
      </c>
    </row>
    <row r="2212">
      <c r="A2212" s="11" t="n"/>
      <c r="B2212" s="12" t="n"/>
      <c r="C2212" s="12" t="n"/>
      <c r="D2212" s="12" t="n"/>
      <c r="E2212" s="13" t="n"/>
      <c r="F2212" s="12" t="n"/>
      <c r="G2212" s="13" t="n"/>
      <c r="H2212" s="12" t="n"/>
      <c r="I2212" s="12" t="n"/>
      <c r="J2212" s="12" t="n"/>
      <c r="K2212" s="12" t="n"/>
      <c r="L2212" s="11" t="n"/>
      <c r="M2212" s="11" t="n"/>
      <c r="N2212" s="11" t="n"/>
      <c r="O2212" s="11" t="n"/>
      <c r="P2212" s="12" t="n"/>
      <c r="Q2212" s="11" t="n"/>
      <c r="R2212" s="12" t="n"/>
      <c r="S2212" s="11" t="n"/>
      <c r="T2212" s="12" t="n"/>
      <c r="U2212" s="12" t="n"/>
      <c r="V2212" s="14">
        <f>IF($AN2212="",IF($B2212="","",$H2212),IF(INDEX(職員マスタ!$B$6:$B$405,$AN2212)="",$H2212,INDEX(職員マスタ!$B$6:$B$405,$AN2212)))</f>
        <v/>
      </c>
      <c r="W2212" s="14">
        <f>IF($AN2212="",IF($B2212="","",$R2212),IF(INDEX(職員マスタ!$C$6:$C$405,$AN2212)="",$R2212,INDEX(職員マスタ!$C$6:$C$405,$AN2212)))</f>
        <v/>
      </c>
      <c r="X2212" s="14">
        <f>IF($AO2212="","","R"&amp;$C2212&amp;"."&amp;$D2212)</f>
        <v/>
      </c>
      <c r="Y2212" s="15">
        <f>IF($AN2212="","",IF(INDEX(職員マスタ!$K$6:$K$405,$AN2212)="","",INDEX(職員マスタ!$K$6:$K$405,$AN2212)))</f>
        <v/>
      </c>
      <c r="Z2212" s="14">
        <f>IF(OR($E2212="",$Y2212=""),"",IF($E2212&gt;=$Y2212,"×",IF($E2212&gt;=$Y2212*設定!$C$5,"△","○")))</f>
        <v/>
      </c>
      <c r="AA2212" s="15">
        <f>IF($Z2212="","",IF($Z2212="×",0,IF($Z2212="○",ROUNDDOWN($E2212*設定!$C$4,0),ROUNDDOWN($E2212*ROUND((9*$Y2212-9*$E2212)/(10*$E2212),4),0))))</f>
        <v/>
      </c>
      <c r="AB2212" s="13" t="n"/>
      <c r="AC2212" s="15">
        <f>IF($B2212="","",IF($AB2212&lt;&gt;"",$AB2212,IF($AA2212="","",IF($AA2212&lt;=設定!$C$3,0,$AA2212))))</f>
        <v/>
      </c>
      <c r="AD2212" s="14">
        <f>IF($B2212="","",IF(AND($AE2212&lt;&gt;"",$AG2212="",$AJ2212=""),"保留中",IF($AJ2212&lt;&gt;"",IF(N($AC2212)&gt;0,"支給済","不支給"),IF($AC2212="","要確認",IF($AC2212=0,"不支給","未処理")))))</f>
        <v/>
      </c>
      <c r="AE2212" s="12" t="n"/>
      <c r="AF2212" s="11" t="n"/>
      <c r="AG2212" s="11" t="n"/>
      <c r="AH2212" s="11" t="n"/>
      <c r="AI2212" s="14">
        <f>IF(AND($AD2212="保留中",$AF2212&lt;&gt;""),TODAY()-$AF2212,"")</f>
        <v/>
      </c>
      <c r="AJ2212" s="12" t="n"/>
      <c r="AK2212" s="14">
        <f>IF($B2212="","",IF($AO2212="","対象年月が未入力／","")&amp;IF($B2212="","",IF($AN2212="","職員マスタに未登録の職員番号／",IF($Y2212="","標準報酬月額が未登録／","")&amp;IF(AND($AO2212&lt;&gt;"",OR(AND(INDEX(職員マスタ!$G$6:$G$405,$AN2212)&lt;&gt;"",INDEX(職員マスタ!$G$6:$G$405,$AN2212)&gt;EOMONTH($AO2212,0)),AND(INDEX(職員マスタ!$H$6:$H$405,$AN2212)&lt;&gt;"",INDEX(職員マスタ!$H$6:$H$405,$AN2212)&lt;$AO2212))),"対象月が時短期間外／","")&amp;IF(AND(INDEX(職員マスタ!$F$6:$F$405,$AN2212)&lt;&gt;"",$AO2212&lt;&gt;"",INDEX(職員マスタ!$F$6:$F$405,$AN2212)&lt;$AO2212),"対象月に子が2歳到達済／","")&amp;IF(AND($H2212&lt;&gt;"",INDEX(職員マスタ!$B$6:$B$405,$AN2212)&lt;&gt;"",SUBSTITUTE(SUBSTITUTE($H2212," ","")," ","")&lt;&gt;SUBSTITUTE(SUBSTITUTE(INDEX(職員マスタ!$B$6:$B$405,$AN2212)," ","")," ","")),"氏名がマスタと相違／","")&amp;IF(AND($Q2212&lt;&gt;"",INDEX(職員マスタ!$E$6:$E$405,$AN2212)&lt;&gt;"",$Q2212&lt;&gt;INDEX(職員マスタ!$E$6:$E$405,$AN2212)),"子の生年月日がマスタと相違／","")&amp;IF(AND($L2212&lt;&gt;"",INDEX(職員マスタ!$G$6:$G$405,$AN2212)&lt;&gt;"",$L2212&lt;&gt;INDEX(職員マスタ!$G$6:$G$405,$AN2212)),"時短開始日がマスタと相違／","")&amp;IF(AND($M2212&lt;&gt;"",INDEX(職員マスタ!$H$6:$H$405,$AN2212)&lt;&gt;"",$M2212&lt;&gt;INDEX(職員マスタ!$H$6:$H$405,$AN2212)),"時短終了日がマスタと相違／","")))&amp;IF(AND($B2212&lt;&gt;"",$E2212=""),"報酬額が未入力／","")&amp;IF(N($U2212)&gt;0,"申請書に入力エラーが残っています／","")&amp;IF(AND($B2212&lt;&gt;"",$AO2212&lt;&gt;""),IF(COUNTIFS($B$6:$B$3005,$B2212,$C$6:$C$3005,$C2212,$D$6:$D$3005,$D2212)&gt;1,"同じ月の請求が重複しています／",""),"")&amp;IF(AND(N($E2212)&gt;0,$Z2212&lt;&gt;"",$Z2212&lt;&gt;"×",$AC2212=0,$AB2212=""),"計算額が下限以下のため不支給／",""))</f>
        <v/>
      </c>
      <c r="AL2212" s="12" t="n"/>
      <c r="AM2212" s="14">
        <f>IF($AD2212="保留中",COUNTIF($AD$6:$AD2212,"保留中"),"")</f>
        <v/>
      </c>
      <c r="AN2212" s="14">
        <f>IF($AO2212="","",IF(SUMPRODUCT(MAX((職員マスタ!$A$6:$A$405=$B2212)*(((職員マスタ!$G$6:$G$405="")+(職員マスタ!$G$6:$G$405&lt;=EOMONTH($AO2212,0)))&gt;0)*(((職員マスタ!$H$6:$H$405="")+(職員マスタ!$H$6:$H$405&gt;=$AO2212))&gt;0)*(ROW(職員マスタ!$A$6:$A$405)-5)))&gt;0,SUMPRODUCT(MAX((職員マスタ!$A$6:$A$405=$B2212)*(((職員マスタ!$G$6:$G$405="")+(職員マスタ!$G$6:$G$405&lt;=EOMONTH($AO2212,0)))&gt;0)*(((職員マスタ!$H$6:$H$405="")+(職員マスタ!$H$6:$H$405&gt;=$AO2212))&gt;0)*(ROW(職員マスタ!$A$6:$A$405)-5))),IFERROR(MATCH($B2212,職員マスタ!$A$6:$A$405,0),"")))</f>
        <v/>
      </c>
      <c r="AO2212" s="16">
        <f>IF(OR($B2212="",$C2212="",$D2212=""),"",DATE($C2212+2018,$D2212,1))</f>
        <v/>
      </c>
    </row>
    <row r="2213">
      <c r="A2213" s="11" t="n"/>
      <c r="B2213" s="12" t="n"/>
      <c r="C2213" s="12" t="n"/>
      <c r="D2213" s="12" t="n"/>
      <c r="E2213" s="13" t="n"/>
      <c r="F2213" s="12" t="n"/>
      <c r="G2213" s="13" t="n"/>
      <c r="H2213" s="12" t="n"/>
      <c r="I2213" s="12" t="n"/>
      <c r="J2213" s="12" t="n"/>
      <c r="K2213" s="12" t="n"/>
      <c r="L2213" s="11" t="n"/>
      <c r="M2213" s="11" t="n"/>
      <c r="N2213" s="11" t="n"/>
      <c r="O2213" s="11" t="n"/>
      <c r="P2213" s="12" t="n"/>
      <c r="Q2213" s="11" t="n"/>
      <c r="R2213" s="12" t="n"/>
      <c r="S2213" s="11" t="n"/>
      <c r="T2213" s="12" t="n"/>
      <c r="U2213" s="12" t="n"/>
      <c r="V2213" s="14">
        <f>IF($AN2213="",IF($B2213="","",$H2213),IF(INDEX(職員マスタ!$B$6:$B$405,$AN2213)="",$H2213,INDEX(職員マスタ!$B$6:$B$405,$AN2213)))</f>
        <v/>
      </c>
      <c r="W2213" s="14">
        <f>IF($AN2213="",IF($B2213="","",$R2213),IF(INDEX(職員マスタ!$C$6:$C$405,$AN2213)="",$R2213,INDEX(職員マスタ!$C$6:$C$405,$AN2213)))</f>
        <v/>
      </c>
      <c r="X2213" s="14">
        <f>IF($AO2213="","","R"&amp;$C2213&amp;"."&amp;$D2213)</f>
        <v/>
      </c>
      <c r="Y2213" s="15">
        <f>IF($AN2213="","",IF(INDEX(職員マスタ!$K$6:$K$405,$AN2213)="","",INDEX(職員マスタ!$K$6:$K$405,$AN2213)))</f>
        <v/>
      </c>
      <c r="Z2213" s="14">
        <f>IF(OR($E2213="",$Y2213=""),"",IF($E2213&gt;=$Y2213,"×",IF($E2213&gt;=$Y2213*設定!$C$5,"△","○")))</f>
        <v/>
      </c>
      <c r="AA2213" s="15">
        <f>IF($Z2213="","",IF($Z2213="×",0,IF($Z2213="○",ROUNDDOWN($E2213*設定!$C$4,0),ROUNDDOWN($E2213*ROUND((9*$Y2213-9*$E2213)/(10*$E2213),4),0))))</f>
        <v/>
      </c>
      <c r="AB2213" s="13" t="n"/>
      <c r="AC2213" s="15">
        <f>IF($B2213="","",IF($AB2213&lt;&gt;"",$AB2213,IF($AA2213="","",IF($AA2213&lt;=設定!$C$3,0,$AA2213))))</f>
        <v/>
      </c>
      <c r="AD2213" s="14">
        <f>IF($B2213="","",IF(AND($AE2213&lt;&gt;"",$AG2213="",$AJ2213=""),"保留中",IF($AJ2213&lt;&gt;"",IF(N($AC2213)&gt;0,"支給済","不支給"),IF($AC2213="","要確認",IF($AC2213=0,"不支給","未処理")))))</f>
        <v/>
      </c>
      <c r="AE2213" s="12" t="n"/>
      <c r="AF2213" s="11" t="n"/>
      <c r="AG2213" s="11" t="n"/>
      <c r="AH2213" s="11" t="n"/>
      <c r="AI2213" s="14">
        <f>IF(AND($AD2213="保留中",$AF2213&lt;&gt;""),TODAY()-$AF2213,"")</f>
        <v/>
      </c>
      <c r="AJ2213" s="12" t="n"/>
      <c r="AK2213" s="14">
        <f>IF($B2213="","",IF($AO2213="","対象年月が未入力／","")&amp;IF($B2213="","",IF($AN2213="","職員マスタに未登録の職員番号／",IF($Y2213="","標準報酬月額が未登録／","")&amp;IF(AND($AO2213&lt;&gt;"",OR(AND(INDEX(職員マスタ!$G$6:$G$405,$AN2213)&lt;&gt;"",INDEX(職員マスタ!$G$6:$G$405,$AN2213)&gt;EOMONTH($AO2213,0)),AND(INDEX(職員マスタ!$H$6:$H$405,$AN2213)&lt;&gt;"",INDEX(職員マスタ!$H$6:$H$405,$AN2213)&lt;$AO2213))),"対象月が時短期間外／","")&amp;IF(AND(INDEX(職員マスタ!$F$6:$F$405,$AN2213)&lt;&gt;"",$AO2213&lt;&gt;"",INDEX(職員マスタ!$F$6:$F$405,$AN2213)&lt;$AO2213),"対象月に子が2歳到達済／","")&amp;IF(AND($H2213&lt;&gt;"",INDEX(職員マスタ!$B$6:$B$405,$AN2213)&lt;&gt;"",SUBSTITUTE(SUBSTITUTE($H2213," ","")," ","")&lt;&gt;SUBSTITUTE(SUBSTITUTE(INDEX(職員マスタ!$B$6:$B$405,$AN2213)," ","")," ","")),"氏名がマスタと相違／","")&amp;IF(AND($Q2213&lt;&gt;"",INDEX(職員マスタ!$E$6:$E$405,$AN2213)&lt;&gt;"",$Q2213&lt;&gt;INDEX(職員マスタ!$E$6:$E$405,$AN2213)),"子の生年月日がマスタと相違／","")&amp;IF(AND($L2213&lt;&gt;"",INDEX(職員マスタ!$G$6:$G$405,$AN2213)&lt;&gt;"",$L2213&lt;&gt;INDEX(職員マスタ!$G$6:$G$405,$AN2213)),"時短開始日がマスタと相違／","")&amp;IF(AND($M2213&lt;&gt;"",INDEX(職員マスタ!$H$6:$H$405,$AN2213)&lt;&gt;"",$M2213&lt;&gt;INDEX(職員マスタ!$H$6:$H$405,$AN2213)),"時短終了日がマスタと相違／","")))&amp;IF(AND($B2213&lt;&gt;"",$E2213=""),"報酬額が未入力／","")&amp;IF(N($U2213)&gt;0,"申請書に入力エラーが残っています／","")&amp;IF(AND($B2213&lt;&gt;"",$AO2213&lt;&gt;""),IF(COUNTIFS($B$6:$B$3005,$B2213,$C$6:$C$3005,$C2213,$D$6:$D$3005,$D2213)&gt;1,"同じ月の請求が重複しています／",""),"")&amp;IF(AND(N($E2213)&gt;0,$Z2213&lt;&gt;"",$Z2213&lt;&gt;"×",$AC2213=0,$AB2213=""),"計算額が下限以下のため不支給／",""))</f>
        <v/>
      </c>
      <c r="AL2213" s="12" t="n"/>
      <c r="AM2213" s="14">
        <f>IF($AD2213="保留中",COUNTIF($AD$6:$AD2213,"保留中"),"")</f>
        <v/>
      </c>
      <c r="AN2213" s="14">
        <f>IF($AO2213="","",IF(SUMPRODUCT(MAX((職員マスタ!$A$6:$A$405=$B2213)*(((職員マスタ!$G$6:$G$405="")+(職員マスタ!$G$6:$G$405&lt;=EOMONTH($AO2213,0)))&gt;0)*(((職員マスタ!$H$6:$H$405="")+(職員マスタ!$H$6:$H$405&gt;=$AO2213))&gt;0)*(ROW(職員マスタ!$A$6:$A$405)-5)))&gt;0,SUMPRODUCT(MAX((職員マスタ!$A$6:$A$405=$B2213)*(((職員マスタ!$G$6:$G$405="")+(職員マスタ!$G$6:$G$405&lt;=EOMONTH($AO2213,0)))&gt;0)*(((職員マスタ!$H$6:$H$405="")+(職員マスタ!$H$6:$H$405&gt;=$AO2213))&gt;0)*(ROW(職員マスタ!$A$6:$A$405)-5))),IFERROR(MATCH($B2213,職員マスタ!$A$6:$A$405,0),"")))</f>
        <v/>
      </c>
      <c r="AO2213" s="16">
        <f>IF(OR($B2213="",$C2213="",$D2213=""),"",DATE($C2213+2018,$D2213,1))</f>
        <v/>
      </c>
    </row>
    <row r="2214">
      <c r="A2214" s="11" t="n"/>
      <c r="B2214" s="12" t="n"/>
      <c r="C2214" s="12" t="n"/>
      <c r="D2214" s="12" t="n"/>
      <c r="E2214" s="13" t="n"/>
      <c r="F2214" s="12" t="n"/>
      <c r="G2214" s="13" t="n"/>
      <c r="H2214" s="12" t="n"/>
      <c r="I2214" s="12" t="n"/>
      <c r="J2214" s="12" t="n"/>
      <c r="K2214" s="12" t="n"/>
      <c r="L2214" s="11" t="n"/>
      <c r="M2214" s="11" t="n"/>
      <c r="N2214" s="11" t="n"/>
      <c r="O2214" s="11" t="n"/>
      <c r="P2214" s="12" t="n"/>
      <c r="Q2214" s="11" t="n"/>
      <c r="R2214" s="12" t="n"/>
      <c r="S2214" s="11" t="n"/>
      <c r="T2214" s="12" t="n"/>
      <c r="U2214" s="12" t="n"/>
      <c r="V2214" s="14">
        <f>IF($AN2214="",IF($B2214="","",$H2214),IF(INDEX(職員マスタ!$B$6:$B$405,$AN2214)="",$H2214,INDEX(職員マスタ!$B$6:$B$405,$AN2214)))</f>
        <v/>
      </c>
      <c r="W2214" s="14">
        <f>IF($AN2214="",IF($B2214="","",$R2214),IF(INDEX(職員マスタ!$C$6:$C$405,$AN2214)="",$R2214,INDEX(職員マスタ!$C$6:$C$405,$AN2214)))</f>
        <v/>
      </c>
      <c r="X2214" s="14">
        <f>IF($AO2214="","","R"&amp;$C2214&amp;"."&amp;$D2214)</f>
        <v/>
      </c>
      <c r="Y2214" s="15">
        <f>IF($AN2214="","",IF(INDEX(職員マスタ!$K$6:$K$405,$AN2214)="","",INDEX(職員マスタ!$K$6:$K$405,$AN2214)))</f>
        <v/>
      </c>
      <c r="Z2214" s="14">
        <f>IF(OR($E2214="",$Y2214=""),"",IF($E2214&gt;=$Y2214,"×",IF($E2214&gt;=$Y2214*設定!$C$5,"△","○")))</f>
        <v/>
      </c>
      <c r="AA2214" s="15">
        <f>IF($Z2214="","",IF($Z2214="×",0,IF($Z2214="○",ROUNDDOWN($E2214*設定!$C$4,0),ROUNDDOWN($E2214*ROUND((9*$Y2214-9*$E2214)/(10*$E2214),4),0))))</f>
        <v/>
      </c>
      <c r="AB2214" s="13" t="n"/>
      <c r="AC2214" s="15">
        <f>IF($B2214="","",IF($AB2214&lt;&gt;"",$AB2214,IF($AA2214="","",IF($AA2214&lt;=設定!$C$3,0,$AA2214))))</f>
        <v/>
      </c>
      <c r="AD2214" s="14">
        <f>IF($B2214="","",IF(AND($AE2214&lt;&gt;"",$AG2214="",$AJ2214=""),"保留中",IF($AJ2214&lt;&gt;"",IF(N($AC2214)&gt;0,"支給済","不支給"),IF($AC2214="","要確認",IF($AC2214=0,"不支給","未処理")))))</f>
        <v/>
      </c>
      <c r="AE2214" s="12" t="n"/>
      <c r="AF2214" s="11" t="n"/>
      <c r="AG2214" s="11" t="n"/>
      <c r="AH2214" s="11" t="n"/>
      <c r="AI2214" s="14">
        <f>IF(AND($AD2214="保留中",$AF2214&lt;&gt;""),TODAY()-$AF2214,"")</f>
        <v/>
      </c>
      <c r="AJ2214" s="12" t="n"/>
      <c r="AK2214" s="14">
        <f>IF($B2214="","",IF($AO2214="","対象年月が未入力／","")&amp;IF($B2214="","",IF($AN2214="","職員マスタに未登録の職員番号／",IF($Y2214="","標準報酬月額が未登録／","")&amp;IF(AND($AO2214&lt;&gt;"",OR(AND(INDEX(職員マスタ!$G$6:$G$405,$AN2214)&lt;&gt;"",INDEX(職員マスタ!$G$6:$G$405,$AN2214)&gt;EOMONTH($AO2214,0)),AND(INDEX(職員マスタ!$H$6:$H$405,$AN2214)&lt;&gt;"",INDEX(職員マスタ!$H$6:$H$405,$AN2214)&lt;$AO2214))),"対象月が時短期間外／","")&amp;IF(AND(INDEX(職員マスタ!$F$6:$F$405,$AN2214)&lt;&gt;"",$AO2214&lt;&gt;"",INDEX(職員マスタ!$F$6:$F$405,$AN2214)&lt;$AO2214),"対象月に子が2歳到達済／","")&amp;IF(AND($H2214&lt;&gt;"",INDEX(職員マスタ!$B$6:$B$405,$AN2214)&lt;&gt;"",SUBSTITUTE(SUBSTITUTE($H2214," ","")," ","")&lt;&gt;SUBSTITUTE(SUBSTITUTE(INDEX(職員マスタ!$B$6:$B$405,$AN2214)," ","")," ","")),"氏名がマスタと相違／","")&amp;IF(AND($Q2214&lt;&gt;"",INDEX(職員マスタ!$E$6:$E$405,$AN2214)&lt;&gt;"",$Q2214&lt;&gt;INDEX(職員マスタ!$E$6:$E$405,$AN2214)),"子の生年月日がマスタと相違／","")&amp;IF(AND($L2214&lt;&gt;"",INDEX(職員マスタ!$G$6:$G$405,$AN2214)&lt;&gt;"",$L2214&lt;&gt;INDEX(職員マスタ!$G$6:$G$405,$AN2214)),"時短開始日がマスタと相違／","")&amp;IF(AND($M2214&lt;&gt;"",INDEX(職員マスタ!$H$6:$H$405,$AN2214)&lt;&gt;"",$M2214&lt;&gt;INDEX(職員マスタ!$H$6:$H$405,$AN2214)),"時短終了日がマスタと相違／","")))&amp;IF(AND($B2214&lt;&gt;"",$E2214=""),"報酬額が未入力／","")&amp;IF(N($U2214)&gt;0,"申請書に入力エラーが残っています／","")&amp;IF(AND($B2214&lt;&gt;"",$AO2214&lt;&gt;""),IF(COUNTIFS($B$6:$B$3005,$B2214,$C$6:$C$3005,$C2214,$D$6:$D$3005,$D2214)&gt;1,"同じ月の請求が重複しています／",""),"")&amp;IF(AND(N($E2214)&gt;0,$Z2214&lt;&gt;"",$Z2214&lt;&gt;"×",$AC2214=0,$AB2214=""),"計算額が下限以下のため不支給／",""))</f>
        <v/>
      </c>
      <c r="AL2214" s="12" t="n"/>
      <c r="AM2214" s="14">
        <f>IF($AD2214="保留中",COUNTIF($AD$6:$AD2214,"保留中"),"")</f>
        <v/>
      </c>
      <c r="AN2214" s="14">
        <f>IF($AO2214="","",IF(SUMPRODUCT(MAX((職員マスタ!$A$6:$A$405=$B2214)*(((職員マスタ!$G$6:$G$405="")+(職員マスタ!$G$6:$G$405&lt;=EOMONTH($AO2214,0)))&gt;0)*(((職員マスタ!$H$6:$H$405="")+(職員マスタ!$H$6:$H$405&gt;=$AO2214))&gt;0)*(ROW(職員マスタ!$A$6:$A$405)-5)))&gt;0,SUMPRODUCT(MAX((職員マスタ!$A$6:$A$405=$B2214)*(((職員マスタ!$G$6:$G$405="")+(職員マスタ!$G$6:$G$405&lt;=EOMONTH($AO2214,0)))&gt;0)*(((職員マスタ!$H$6:$H$405="")+(職員マスタ!$H$6:$H$405&gt;=$AO2214))&gt;0)*(ROW(職員マスタ!$A$6:$A$405)-5))),IFERROR(MATCH($B2214,職員マスタ!$A$6:$A$405,0),"")))</f>
        <v/>
      </c>
      <c r="AO2214" s="16">
        <f>IF(OR($B2214="",$C2214="",$D2214=""),"",DATE($C2214+2018,$D2214,1))</f>
        <v/>
      </c>
    </row>
    <row r="2215">
      <c r="A2215" s="11" t="n"/>
      <c r="B2215" s="12" t="n"/>
      <c r="C2215" s="12" t="n"/>
      <c r="D2215" s="12" t="n"/>
      <c r="E2215" s="13" t="n"/>
      <c r="F2215" s="12" t="n"/>
      <c r="G2215" s="13" t="n"/>
      <c r="H2215" s="12" t="n"/>
      <c r="I2215" s="12" t="n"/>
      <c r="J2215" s="12" t="n"/>
      <c r="K2215" s="12" t="n"/>
      <c r="L2215" s="11" t="n"/>
      <c r="M2215" s="11" t="n"/>
      <c r="N2215" s="11" t="n"/>
      <c r="O2215" s="11" t="n"/>
      <c r="P2215" s="12" t="n"/>
      <c r="Q2215" s="11" t="n"/>
      <c r="R2215" s="12" t="n"/>
      <c r="S2215" s="11" t="n"/>
      <c r="T2215" s="12" t="n"/>
      <c r="U2215" s="12" t="n"/>
      <c r="V2215" s="14">
        <f>IF($AN2215="",IF($B2215="","",$H2215),IF(INDEX(職員マスタ!$B$6:$B$405,$AN2215)="",$H2215,INDEX(職員マスタ!$B$6:$B$405,$AN2215)))</f>
        <v/>
      </c>
      <c r="W2215" s="14">
        <f>IF($AN2215="",IF($B2215="","",$R2215),IF(INDEX(職員マスタ!$C$6:$C$405,$AN2215)="",$R2215,INDEX(職員マスタ!$C$6:$C$405,$AN2215)))</f>
        <v/>
      </c>
      <c r="X2215" s="14">
        <f>IF($AO2215="","","R"&amp;$C2215&amp;"."&amp;$D2215)</f>
        <v/>
      </c>
      <c r="Y2215" s="15">
        <f>IF($AN2215="","",IF(INDEX(職員マスタ!$K$6:$K$405,$AN2215)="","",INDEX(職員マスタ!$K$6:$K$405,$AN2215)))</f>
        <v/>
      </c>
      <c r="Z2215" s="14">
        <f>IF(OR($E2215="",$Y2215=""),"",IF($E2215&gt;=$Y2215,"×",IF($E2215&gt;=$Y2215*設定!$C$5,"△","○")))</f>
        <v/>
      </c>
      <c r="AA2215" s="15">
        <f>IF($Z2215="","",IF($Z2215="×",0,IF($Z2215="○",ROUNDDOWN($E2215*設定!$C$4,0),ROUNDDOWN($E2215*ROUND((9*$Y2215-9*$E2215)/(10*$E2215),4),0))))</f>
        <v/>
      </c>
      <c r="AB2215" s="13" t="n"/>
      <c r="AC2215" s="15">
        <f>IF($B2215="","",IF($AB2215&lt;&gt;"",$AB2215,IF($AA2215="","",IF($AA2215&lt;=設定!$C$3,0,$AA2215))))</f>
        <v/>
      </c>
      <c r="AD2215" s="14">
        <f>IF($B2215="","",IF(AND($AE2215&lt;&gt;"",$AG2215="",$AJ2215=""),"保留中",IF($AJ2215&lt;&gt;"",IF(N($AC2215)&gt;0,"支給済","不支給"),IF($AC2215="","要確認",IF($AC2215=0,"不支給","未処理")))))</f>
        <v/>
      </c>
      <c r="AE2215" s="12" t="n"/>
      <c r="AF2215" s="11" t="n"/>
      <c r="AG2215" s="11" t="n"/>
      <c r="AH2215" s="11" t="n"/>
      <c r="AI2215" s="14">
        <f>IF(AND($AD2215="保留中",$AF2215&lt;&gt;""),TODAY()-$AF2215,"")</f>
        <v/>
      </c>
      <c r="AJ2215" s="12" t="n"/>
      <c r="AK2215" s="14">
        <f>IF($B2215="","",IF($AO2215="","対象年月が未入力／","")&amp;IF($B2215="","",IF($AN2215="","職員マスタに未登録の職員番号／",IF($Y2215="","標準報酬月額が未登録／","")&amp;IF(AND($AO2215&lt;&gt;"",OR(AND(INDEX(職員マスタ!$G$6:$G$405,$AN2215)&lt;&gt;"",INDEX(職員マスタ!$G$6:$G$405,$AN2215)&gt;EOMONTH($AO2215,0)),AND(INDEX(職員マスタ!$H$6:$H$405,$AN2215)&lt;&gt;"",INDEX(職員マスタ!$H$6:$H$405,$AN2215)&lt;$AO2215))),"対象月が時短期間外／","")&amp;IF(AND(INDEX(職員マスタ!$F$6:$F$405,$AN2215)&lt;&gt;"",$AO2215&lt;&gt;"",INDEX(職員マスタ!$F$6:$F$405,$AN2215)&lt;$AO2215),"対象月に子が2歳到達済／","")&amp;IF(AND($H2215&lt;&gt;"",INDEX(職員マスタ!$B$6:$B$405,$AN2215)&lt;&gt;"",SUBSTITUTE(SUBSTITUTE($H2215," ","")," ","")&lt;&gt;SUBSTITUTE(SUBSTITUTE(INDEX(職員マスタ!$B$6:$B$405,$AN2215)," ","")," ","")),"氏名がマスタと相違／","")&amp;IF(AND($Q2215&lt;&gt;"",INDEX(職員マスタ!$E$6:$E$405,$AN2215)&lt;&gt;"",$Q2215&lt;&gt;INDEX(職員マスタ!$E$6:$E$405,$AN2215)),"子の生年月日がマスタと相違／","")&amp;IF(AND($L2215&lt;&gt;"",INDEX(職員マスタ!$G$6:$G$405,$AN2215)&lt;&gt;"",$L2215&lt;&gt;INDEX(職員マスタ!$G$6:$G$405,$AN2215)),"時短開始日がマスタと相違／","")&amp;IF(AND($M2215&lt;&gt;"",INDEX(職員マスタ!$H$6:$H$405,$AN2215)&lt;&gt;"",$M2215&lt;&gt;INDEX(職員マスタ!$H$6:$H$405,$AN2215)),"時短終了日がマスタと相違／","")))&amp;IF(AND($B2215&lt;&gt;"",$E2215=""),"報酬額が未入力／","")&amp;IF(N($U2215)&gt;0,"申請書に入力エラーが残っています／","")&amp;IF(AND($B2215&lt;&gt;"",$AO2215&lt;&gt;""),IF(COUNTIFS($B$6:$B$3005,$B2215,$C$6:$C$3005,$C2215,$D$6:$D$3005,$D2215)&gt;1,"同じ月の請求が重複しています／",""),"")&amp;IF(AND(N($E2215)&gt;0,$Z2215&lt;&gt;"",$Z2215&lt;&gt;"×",$AC2215=0,$AB2215=""),"計算額が下限以下のため不支給／",""))</f>
        <v/>
      </c>
      <c r="AL2215" s="12" t="n"/>
      <c r="AM2215" s="14">
        <f>IF($AD2215="保留中",COUNTIF($AD$6:$AD2215,"保留中"),"")</f>
        <v/>
      </c>
      <c r="AN2215" s="14">
        <f>IF($AO2215="","",IF(SUMPRODUCT(MAX((職員マスタ!$A$6:$A$405=$B2215)*(((職員マスタ!$G$6:$G$405="")+(職員マスタ!$G$6:$G$405&lt;=EOMONTH($AO2215,0)))&gt;0)*(((職員マスタ!$H$6:$H$405="")+(職員マスタ!$H$6:$H$405&gt;=$AO2215))&gt;0)*(ROW(職員マスタ!$A$6:$A$405)-5)))&gt;0,SUMPRODUCT(MAX((職員マスタ!$A$6:$A$405=$B2215)*(((職員マスタ!$G$6:$G$405="")+(職員マスタ!$G$6:$G$405&lt;=EOMONTH($AO2215,0)))&gt;0)*(((職員マスタ!$H$6:$H$405="")+(職員マスタ!$H$6:$H$405&gt;=$AO2215))&gt;0)*(ROW(職員マスタ!$A$6:$A$405)-5))),IFERROR(MATCH($B2215,職員マスタ!$A$6:$A$405,0),"")))</f>
        <v/>
      </c>
      <c r="AO2215" s="16">
        <f>IF(OR($B2215="",$C2215="",$D2215=""),"",DATE($C2215+2018,$D2215,1))</f>
        <v/>
      </c>
    </row>
    <row r="2216">
      <c r="A2216" s="11" t="n"/>
      <c r="B2216" s="12" t="n"/>
      <c r="C2216" s="12" t="n"/>
      <c r="D2216" s="12" t="n"/>
      <c r="E2216" s="13" t="n"/>
      <c r="F2216" s="12" t="n"/>
      <c r="G2216" s="13" t="n"/>
      <c r="H2216" s="12" t="n"/>
      <c r="I2216" s="12" t="n"/>
      <c r="J2216" s="12" t="n"/>
      <c r="K2216" s="12" t="n"/>
      <c r="L2216" s="11" t="n"/>
      <c r="M2216" s="11" t="n"/>
      <c r="N2216" s="11" t="n"/>
      <c r="O2216" s="11" t="n"/>
      <c r="P2216" s="12" t="n"/>
      <c r="Q2216" s="11" t="n"/>
      <c r="R2216" s="12" t="n"/>
      <c r="S2216" s="11" t="n"/>
      <c r="T2216" s="12" t="n"/>
      <c r="U2216" s="12" t="n"/>
      <c r="V2216" s="14">
        <f>IF($AN2216="",IF($B2216="","",$H2216),IF(INDEX(職員マスタ!$B$6:$B$405,$AN2216)="",$H2216,INDEX(職員マスタ!$B$6:$B$405,$AN2216)))</f>
        <v/>
      </c>
      <c r="W2216" s="14">
        <f>IF($AN2216="",IF($B2216="","",$R2216),IF(INDEX(職員マスタ!$C$6:$C$405,$AN2216)="",$R2216,INDEX(職員マスタ!$C$6:$C$405,$AN2216)))</f>
        <v/>
      </c>
      <c r="X2216" s="14">
        <f>IF($AO2216="","","R"&amp;$C2216&amp;"."&amp;$D2216)</f>
        <v/>
      </c>
      <c r="Y2216" s="15">
        <f>IF($AN2216="","",IF(INDEX(職員マスタ!$K$6:$K$405,$AN2216)="","",INDEX(職員マスタ!$K$6:$K$405,$AN2216)))</f>
        <v/>
      </c>
      <c r="Z2216" s="14">
        <f>IF(OR($E2216="",$Y2216=""),"",IF($E2216&gt;=$Y2216,"×",IF($E2216&gt;=$Y2216*設定!$C$5,"△","○")))</f>
        <v/>
      </c>
      <c r="AA2216" s="15">
        <f>IF($Z2216="","",IF($Z2216="×",0,IF($Z2216="○",ROUNDDOWN($E2216*設定!$C$4,0),ROUNDDOWN($E2216*ROUND((9*$Y2216-9*$E2216)/(10*$E2216),4),0))))</f>
        <v/>
      </c>
      <c r="AB2216" s="13" t="n"/>
      <c r="AC2216" s="15">
        <f>IF($B2216="","",IF($AB2216&lt;&gt;"",$AB2216,IF($AA2216="","",IF($AA2216&lt;=設定!$C$3,0,$AA2216))))</f>
        <v/>
      </c>
      <c r="AD2216" s="14">
        <f>IF($B2216="","",IF(AND($AE2216&lt;&gt;"",$AG2216="",$AJ2216=""),"保留中",IF($AJ2216&lt;&gt;"",IF(N($AC2216)&gt;0,"支給済","不支給"),IF($AC2216="","要確認",IF($AC2216=0,"不支給","未処理")))))</f>
        <v/>
      </c>
      <c r="AE2216" s="12" t="n"/>
      <c r="AF2216" s="11" t="n"/>
      <c r="AG2216" s="11" t="n"/>
      <c r="AH2216" s="11" t="n"/>
      <c r="AI2216" s="14">
        <f>IF(AND($AD2216="保留中",$AF2216&lt;&gt;""),TODAY()-$AF2216,"")</f>
        <v/>
      </c>
      <c r="AJ2216" s="12" t="n"/>
      <c r="AK2216" s="14">
        <f>IF($B2216="","",IF($AO2216="","対象年月が未入力／","")&amp;IF($B2216="","",IF($AN2216="","職員マスタに未登録の職員番号／",IF($Y2216="","標準報酬月額が未登録／","")&amp;IF(AND($AO2216&lt;&gt;"",OR(AND(INDEX(職員マスタ!$G$6:$G$405,$AN2216)&lt;&gt;"",INDEX(職員マスタ!$G$6:$G$405,$AN2216)&gt;EOMONTH($AO2216,0)),AND(INDEX(職員マスタ!$H$6:$H$405,$AN2216)&lt;&gt;"",INDEX(職員マスタ!$H$6:$H$405,$AN2216)&lt;$AO2216))),"対象月が時短期間外／","")&amp;IF(AND(INDEX(職員マスタ!$F$6:$F$405,$AN2216)&lt;&gt;"",$AO2216&lt;&gt;"",INDEX(職員マスタ!$F$6:$F$405,$AN2216)&lt;$AO2216),"対象月に子が2歳到達済／","")&amp;IF(AND($H2216&lt;&gt;"",INDEX(職員マスタ!$B$6:$B$405,$AN2216)&lt;&gt;"",SUBSTITUTE(SUBSTITUTE($H2216," ","")," ","")&lt;&gt;SUBSTITUTE(SUBSTITUTE(INDEX(職員マスタ!$B$6:$B$405,$AN2216)," ","")," ","")),"氏名がマスタと相違／","")&amp;IF(AND($Q2216&lt;&gt;"",INDEX(職員マスタ!$E$6:$E$405,$AN2216)&lt;&gt;"",$Q2216&lt;&gt;INDEX(職員マスタ!$E$6:$E$405,$AN2216)),"子の生年月日がマスタと相違／","")&amp;IF(AND($L2216&lt;&gt;"",INDEX(職員マスタ!$G$6:$G$405,$AN2216)&lt;&gt;"",$L2216&lt;&gt;INDEX(職員マスタ!$G$6:$G$405,$AN2216)),"時短開始日がマスタと相違／","")&amp;IF(AND($M2216&lt;&gt;"",INDEX(職員マスタ!$H$6:$H$405,$AN2216)&lt;&gt;"",$M2216&lt;&gt;INDEX(職員マスタ!$H$6:$H$405,$AN2216)),"時短終了日がマスタと相違／","")))&amp;IF(AND($B2216&lt;&gt;"",$E2216=""),"報酬額が未入力／","")&amp;IF(N($U2216)&gt;0,"申請書に入力エラーが残っています／","")&amp;IF(AND($B2216&lt;&gt;"",$AO2216&lt;&gt;""),IF(COUNTIFS($B$6:$B$3005,$B2216,$C$6:$C$3005,$C2216,$D$6:$D$3005,$D2216)&gt;1,"同じ月の請求が重複しています／",""),"")&amp;IF(AND(N($E2216)&gt;0,$Z2216&lt;&gt;"",$Z2216&lt;&gt;"×",$AC2216=0,$AB2216=""),"計算額が下限以下のため不支給／",""))</f>
        <v/>
      </c>
      <c r="AL2216" s="12" t="n"/>
      <c r="AM2216" s="14">
        <f>IF($AD2216="保留中",COUNTIF($AD$6:$AD2216,"保留中"),"")</f>
        <v/>
      </c>
      <c r="AN2216" s="14">
        <f>IF($AO2216="","",IF(SUMPRODUCT(MAX((職員マスタ!$A$6:$A$405=$B2216)*(((職員マスタ!$G$6:$G$405="")+(職員マスタ!$G$6:$G$405&lt;=EOMONTH($AO2216,0)))&gt;0)*(((職員マスタ!$H$6:$H$405="")+(職員マスタ!$H$6:$H$405&gt;=$AO2216))&gt;0)*(ROW(職員マスタ!$A$6:$A$405)-5)))&gt;0,SUMPRODUCT(MAX((職員マスタ!$A$6:$A$405=$B2216)*(((職員マスタ!$G$6:$G$405="")+(職員マスタ!$G$6:$G$405&lt;=EOMONTH($AO2216,0)))&gt;0)*(((職員マスタ!$H$6:$H$405="")+(職員マスタ!$H$6:$H$405&gt;=$AO2216))&gt;0)*(ROW(職員マスタ!$A$6:$A$405)-5))),IFERROR(MATCH($B2216,職員マスタ!$A$6:$A$405,0),"")))</f>
        <v/>
      </c>
      <c r="AO2216" s="16">
        <f>IF(OR($B2216="",$C2216="",$D2216=""),"",DATE($C2216+2018,$D2216,1))</f>
        <v/>
      </c>
    </row>
    <row r="2217">
      <c r="A2217" s="11" t="n"/>
      <c r="B2217" s="12" t="n"/>
      <c r="C2217" s="12" t="n"/>
      <c r="D2217" s="12" t="n"/>
      <c r="E2217" s="13" t="n"/>
      <c r="F2217" s="12" t="n"/>
      <c r="G2217" s="13" t="n"/>
      <c r="H2217" s="12" t="n"/>
      <c r="I2217" s="12" t="n"/>
      <c r="J2217" s="12" t="n"/>
      <c r="K2217" s="12" t="n"/>
      <c r="L2217" s="11" t="n"/>
      <c r="M2217" s="11" t="n"/>
      <c r="N2217" s="11" t="n"/>
      <c r="O2217" s="11" t="n"/>
      <c r="P2217" s="12" t="n"/>
      <c r="Q2217" s="11" t="n"/>
      <c r="R2217" s="12" t="n"/>
      <c r="S2217" s="11" t="n"/>
      <c r="T2217" s="12" t="n"/>
      <c r="U2217" s="12" t="n"/>
      <c r="V2217" s="14">
        <f>IF($AN2217="",IF($B2217="","",$H2217),IF(INDEX(職員マスタ!$B$6:$B$405,$AN2217)="",$H2217,INDEX(職員マスタ!$B$6:$B$405,$AN2217)))</f>
        <v/>
      </c>
      <c r="W2217" s="14">
        <f>IF($AN2217="",IF($B2217="","",$R2217),IF(INDEX(職員マスタ!$C$6:$C$405,$AN2217)="",$R2217,INDEX(職員マスタ!$C$6:$C$405,$AN2217)))</f>
        <v/>
      </c>
      <c r="X2217" s="14">
        <f>IF($AO2217="","","R"&amp;$C2217&amp;"."&amp;$D2217)</f>
        <v/>
      </c>
      <c r="Y2217" s="15">
        <f>IF($AN2217="","",IF(INDEX(職員マスタ!$K$6:$K$405,$AN2217)="","",INDEX(職員マスタ!$K$6:$K$405,$AN2217)))</f>
        <v/>
      </c>
      <c r="Z2217" s="14">
        <f>IF(OR($E2217="",$Y2217=""),"",IF($E2217&gt;=$Y2217,"×",IF($E2217&gt;=$Y2217*設定!$C$5,"△","○")))</f>
        <v/>
      </c>
      <c r="AA2217" s="15">
        <f>IF($Z2217="","",IF($Z2217="×",0,IF($Z2217="○",ROUNDDOWN($E2217*設定!$C$4,0),ROUNDDOWN($E2217*ROUND((9*$Y2217-9*$E2217)/(10*$E2217),4),0))))</f>
        <v/>
      </c>
      <c r="AB2217" s="13" t="n"/>
      <c r="AC2217" s="15">
        <f>IF($B2217="","",IF($AB2217&lt;&gt;"",$AB2217,IF($AA2217="","",IF($AA2217&lt;=設定!$C$3,0,$AA2217))))</f>
        <v/>
      </c>
      <c r="AD2217" s="14">
        <f>IF($B2217="","",IF(AND($AE2217&lt;&gt;"",$AG2217="",$AJ2217=""),"保留中",IF($AJ2217&lt;&gt;"",IF(N($AC2217)&gt;0,"支給済","不支給"),IF($AC2217="","要確認",IF($AC2217=0,"不支給","未処理")))))</f>
        <v/>
      </c>
      <c r="AE2217" s="12" t="n"/>
      <c r="AF2217" s="11" t="n"/>
      <c r="AG2217" s="11" t="n"/>
      <c r="AH2217" s="11" t="n"/>
      <c r="AI2217" s="14">
        <f>IF(AND($AD2217="保留中",$AF2217&lt;&gt;""),TODAY()-$AF2217,"")</f>
        <v/>
      </c>
      <c r="AJ2217" s="12" t="n"/>
      <c r="AK2217" s="14">
        <f>IF($B2217="","",IF($AO2217="","対象年月が未入力／","")&amp;IF($B2217="","",IF($AN2217="","職員マスタに未登録の職員番号／",IF($Y2217="","標準報酬月額が未登録／","")&amp;IF(AND($AO2217&lt;&gt;"",OR(AND(INDEX(職員マスタ!$G$6:$G$405,$AN2217)&lt;&gt;"",INDEX(職員マスタ!$G$6:$G$405,$AN2217)&gt;EOMONTH($AO2217,0)),AND(INDEX(職員マスタ!$H$6:$H$405,$AN2217)&lt;&gt;"",INDEX(職員マスタ!$H$6:$H$405,$AN2217)&lt;$AO2217))),"対象月が時短期間外／","")&amp;IF(AND(INDEX(職員マスタ!$F$6:$F$405,$AN2217)&lt;&gt;"",$AO2217&lt;&gt;"",INDEX(職員マスタ!$F$6:$F$405,$AN2217)&lt;$AO2217),"対象月に子が2歳到達済／","")&amp;IF(AND($H2217&lt;&gt;"",INDEX(職員マスタ!$B$6:$B$405,$AN2217)&lt;&gt;"",SUBSTITUTE(SUBSTITUTE($H2217," ","")," ","")&lt;&gt;SUBSTITUTE(SUBSTITUTE(INDEX(職員マスタ!$B$6:$B$405,$AN2217)," ","")," ","")),"氏名がマスタと相違／","")&amp;IF(AND($Q2217&lt;&gt;"",INDEX(職員マスタ!$E$6:$E$405,$AN2217)&lt;&gt;"",$Q2217&lt;&gt;INDEX(職員マスタ!$E$6:$E$405,$AN2217)),"子の生年月日がマスタと相違／","")&amp;IF(AND($L2217&lt;&gt;"",INDEX(職員マスタ!$G$6:$G$405,$AN2217)&lt;&gt;"",$L2217&lt;&gt;INDEX(職員マスタ!$G$6:$G$405,$AN2217)),"時短開始日がマスタと相違／","")&amp;IF(AND($M2217&lt;&gt;"",INDEX(職員マスタ!$H$6:$H$405,$AN2217)&lt;&gt;"",$M2217&lt;&gt;INDEX(職員マスタ!$H$6:$H$405,$AN2217)),"時短終了日がマスタと相違／","")))&amp;IF(AND($B2217&lt;&gt;"",$E2217=""),"報酬額が未入力／","")&amp;IF(N($U2217)&gt;0,"申請書に入力エラーが残っています／","")&amp;IF(AND($B2217&lt;&gt;"",$AO2217&lt;&gt;""),IF(COUNTIFS($B$6:$B$3005,$B2217,$C$6:$C$3005,$C2217,$D$6:$D$3005,$D2217)&gt;1,"同じ月の請求が重複しています／",""),"")&amp;IF(AND(N($E2217)&gt;0,$Z2217&lt;&gt;"",$Z2217&lt;&gt;"×",$AC2217=0,$AB2217=""),"計算額が下限以下のため不支給／",""))</f>
        <v/>
      </c>
      <c r="AL2217" s="12" t="n"/>
      <c r="AM2217" s="14">
        <f>IF($AD2217="保留中",COUNTIF($AD$6:$AD2217,"保留中"),"")</f>
        <v/>
      </c>
      <c r="AN2217" s="14">
        <f>IF($AO2217="","",IF(SUMPRODUCT(MAX((職員マスタ!$A$6:$A$405=$B2217)*(((職員マスタ!$G$6:$G$405="")+(職員マスタ!$G$6:$G$405&lt;=EOMONTH($AO2217,0)))&gt;0)*(((職員マスタ!$H$6:$H$405="")+(職員マスタ!$H$6:$H$405&gt;=$AO2217))&gt;0)*(ROW(職員マスタ!$A$6:$A$405)-5)))&gt;0,SUMPRODUCT(MAX((職員マスタ!$A$6:$A$405=$B2217)*(((職員マスタ!$G$6:$G$405="")+(職員マスタ!$G$6:$G$405&lt;=EOMONTH($AO2217,0)))&gt;0)*(((職員マスタ!$H$6:$H$405="")+(職員マスタ!$H$6:$H$405&gt;=$AO2217))&gt;0)*(ROW(職員マスタ!$A$6:$A$405)-5))),IFERROR(MATCH($B2217,職員マスタ!$A$6:$A$405,0),"")))</f>
        <v/>
      </c>
      <c r="AO2217" s="16">
        <f>IF(OR($B2217="",$C2217="",$D2217=""),"",DATE($C2217+2018,$D2217,1))</f>
        <v/>
      </c>
    </row>
    <row r="2218">
      <c r="A2218" s="11" t="n"/>
      <c r="B2218" s="12" t="n"/>
      <c r="C2218" s="12" t="n"/>
      <c r="D2218" s="12" t="n"/>
      <c r="E2218" s="13" t="n"/>
      <c r="F2218" s="12" t="n"/>
      <c r="G2218" s="13" t="n"/>
      <c r="H2218" s="12" t="n"/>
      <c r="I2218" s="12" t="n"/>
      <c r="J2218" s="12" t="n"/>
      <c r="K2218" s="12" t="n"/>
      <c r="L2218" s="11" t="n"/>
      <c r="M2218" s="11" t="n"/>
      <c r="N2218" s="11" t="n"/>
      <c r="O2218" s="11" t="n"/>
      <c r="P2218" s="12" t="n"/>
      <c r="Q2218" s="11" t="n"/>
      <c r="R2218" s="12" t="n"/>
      <c r="S2218" s="11" t="n"/>
      <c r="T2218" s="12" t="n"/>
      <c r="U2218" s="12" t="n"/>
      <c r="V2218" s="14">
        <f>IF($AN2218="",IF($B2218="","",$H2218),IF(INDEX(職員マスタ!$B$6:$B$405,$AN2218)="",$H2218,INDEX(職員マスタ!$B$6:$B$405,$AN2218)))</f>
        <v/>
      </c>
      <c r="W2218" s="14">
        <f>IF($AN2218="",IF($B2218="","",$R2218),IF(INDEX(職員マスタ!$C$6:$C$405,$AN2218)="",$R2218,INDEX(職員マスタ!$C$6:$C$405,$AN2218)))</f>
        <v/>
      </c>
      <c r="X2218" s="14">
        <f>IF($AO2218="","","R"&amp;$C2218&amp;"."&amp;$D2218)</f>
        <v/>
      </c>
      <c r="Y2218" s="15">
        <f>IF($AN2218="","",IF(INDEX(職員マスタ!$K$6:$K$405,$AN2218)="","",INDEX(職員マスタ!$K$6:$K$405,$AN2218)))</f>
        <v/>
      </c>
      <c r="Z2218" s="14">
        <f>IF(OR($E2218="",$Y2218=""),"",IF($E2218&gt;=$Y2218,"×",IF($E2218&gt;=$Y2218*設定!$C$5,"△","○")))</f>
        <v/>
      </c>
      <c r="AA2218" s="15">
        <f>IF($Z2218="","",IF($Z2218="×",0,IF($Z2218="○",ROUNDDOWN($E2218*設定!$C$4,0),ROUNDDOWN($E2218*ROUND((9*$Y2218-9*$E2218)/(10*$E2218),4),0))))</f>
        <v/>
      </c>
      <c r="AB2218" s="13" t="n"/>
      <c r="AC2218" s="15">
        <f>IF($B2218="","",IF($AB2218&lt;&gt;"",$AB2218,IF($AA2218="","",IF($AA2218&lt;=設定!$C$3,0,$AA2218))))</f>
        <v/>
      </c>
      <c r="AD2218" s="14">
        <f>IF($B2218="","",IF(AND($AE2218&lt;&gt;"",$AG2218="",$AJ2218=""),"保留中",IF($AJ2218&lt;&gt;"",IF(N($AC2218)&gt;0,"支給済","不支給"),IF($AC2218="","要確認",IF($AC2218=0,"不支給","未処理")))))</f>
        <v/>
      </c>
      <c r="AE2218" s="12" t="n"/>
      <c r="AF2218" s="11" t="n"/>
      <c r="AG2218" s="11" t="n"/>
      <c r="AH2218" s="11" t="n"/>
      <c r="AI2218" s="14">
        <f>IF(AND($AD2218="保留中",$AF2218&lt;&gt;""),TODAY()-$AF2218,"")</f>
        <v/>
      </c>
      <c r="AJ2218" s="12" t="n"/>
      <c r="AK2218" s="14">
        <f>IF($B2218="","",IF($AO2218="","対象年月が未入力／","")&amp;IF($B2218="","",IF($AN2218="","職員マスタに未登録の職員番号／",IF($Y2218="","標準報酬月額が未登録／","")&amp;IF(AND($AO2218&lt;&gt;"",OR(AND(INDEX(職員マスタ!$G$6:$G$405,$AN2218)&lt;&gt;"",INDEX(職員マスタ!$G$6:$G$405,$AN2218)&gt;EOMONTH($AO2218,0)),AND(INDEX(職員マスタ!$H$6:$H$405,$AN2218)&lt;&gt;"",INDEX(職員マスタ!$H$6:$H$405,$AN2218)&lt;$AO2218))),"対象月が時短期間外／","")&amp;IF(AND(INDEX(職員マスタ!$F$6:$F$405,$AN2218)&lt;&gt;"",$AO2218&lt;&gt;"",INDEX(職員マスタ!$F$6:$F$405,$AN2218)&lt;$AO2218),"対象月に子が2歳到達済／","")&amp;IF(AND($H2218&lt;&gt;"",INDEX(職員マスタ!$B$6:$B$405,$AN2218)&lt;&gt;"",SUBSTITUTE(SUBSTITUTE($H2218," ","")," ","")&lt;&gt;SUBSTITUTE(SUBSTITUTE(INDEX(職員マスタ!$B$6:$B$405,$AN2218)," ","")," ","")),"氏名がマスタと相違／","")&amp;IF(AND($Q2218&lt;&gt;"",INDEX(職員マスタ!$E$6:$E$405,$AN2218)&lt;&gt;"",$Q2218&lt;&gt;INDEX(職員マスタ!$E$6:$E$405,$AN2218)),"子の生年月日がマスタと相違／","")&amp;IF(AND($L2218&lt;&gt;"",INDEX(職員マスタ!$G$6:$G$405,$AN2218)&lt;&gt;"",$L2218&lt;&gt;INDEX(職員マスタ!$G$6:$G$405,$AN2218)),"時短開始日がマスタと相違／","")&amp;IF(AND($M2218&lt;&gt;"",INDEX(職員マスタ!$H$6:$H$405,$AN2218)&lt;&gt;"",$M2218&lt;&gt;INDEX(職員マスタ!$H$6:$H$405,$AN2218)),"時短終了日がマスタと相違／","")))&amp;IF(AND($B2218&lt;&gt;"",$E2218=""),"報酬額が未入力／","")&amp;IF(N($U2218)&gt;0,"申請書に入力エラーが残っています／","")&amp;IF(AND($B2218&lt;&gt;"",$AO2218&lt;&gt;""),IF(COUNTIFS($B$6:$B$3005,$B2218,$C$6:$C$3005,$C2218,$D$6:$D$3005,$D2218)&gt;1,"同じ月の請求が重複しています／",""),"")&amp;IF(AND(N($E2218)&gt;0,$Z2218&lt;&gt;"",$Z2218&lt;&gt;"×",$AC2218=0,$AB2218=""),"計算額が下限以下のため不支給／",""))</f>
        <v/>
      </c>
      <c r="AL2218" s="12" t="n"/>
      <c r="AM2218" s="14">
        <f>IF($AD2218="保留中",COUNTIF($AD$6:$AD2218,"保留中"),"")</f>
        <v/>
      </c>
      <c r="AN2218" s="14">
        <f>IF($AO2218="","",IF(SUMPRODUCT(MAX((職員マスタ!$A$6:$A$405=$B2218)*(((職員マスタ!$G$6:$G$405="")+(職員マスタ!$G$6:$G$405&lt;=EOMONTH($AO2218,0)))&gt;0)*(((職員マスタ!$H$6:$H$405="")+(職員マスタ!$H$6:$H$405&gt;=$AO2218))&gt;0)*(ROW(職員マスタ!$A$6:$A$405)-5)))&gt;0,SUMPRODUCT(MAX((職員マスタ!$A$6:$A$405=$B2218)*(((職員マスタ!$G$6:$G$405="")+(職員マスタ!$G$6:$G$405&lt;=EOMONTH($AO2218,0)))&gt;0)*(((職員マスタ!$H$6:$H$405="")+(職員マスタ!$H$6:$H$405&gt;=$AO2218))&gt;0)*(ROW(職員マスタ!$A$6:$A$405)-5))),IFERROR(MATCH($B2218,職員マスタ!$A$6:$A$405,0),"")))</f>
        <v/>
      </c>
      <c r="AO2218" s="16">
        <f>IF(OR($B2218="",$C2218="",$D2218=""),"",DATE($C2218+2018,$D2218,1))</f>
        <v/>
      </c>
    </row>
    <row r="2219">
      <c r="A2219" s="11" t="n"/>
      <c r="B2219" s="12" t="n"/>
      <c r="C2219" s="12" t="n"/>
      <c r="D2219" s="12" t="n"/>
      <c r="E2219" s="13" t="n"/>
      <c r="F2219" s="12" t="n"/>
      <c r="G2219" s="13" t="n"/>
      <c r="H2219" s="12" t="n"/>
      <c r="I2219" s="12" t="n"/>
      <c r="J2219" s="12" t="n"/>
      <c r="K2219" s="12" t="n"/>
      <c r="L2219" s="11" t="n"/>
      <c r="M2219" s="11" t="n"/>
      <c r="N2219" s="11" t="n"/>
      <c r="O2219" s="11" t="n"/>
      <c r="P2219" s="12" t="n"/>
      <c r="Q2219" s="11" t="n"/>
      <c r="R2219" s="12" t="n"/>
      <c r="S2219" s="11" t="n"/>
      <c r="T2219" s="12" t="n"/>
      <c r="U2219" s="12" t="n"/>
      <c r="V2219" s="14">
        <f>IF($AN2219="",IF($B2219="","",$H2219),IF(INDEX(職員マスタ!$B$6:$B$405,$AN2219)="",$H2219,INDEX(職員マスタ!$B$6:$B$405,$AN2219)))</f>
        <v/>
      </c>
      <c r="W2219" s="14">
        <f>IF($AN2219="",IF($B2219="","",$R2219),IF(INDEX(職員マスタ!$C$6:$C$405,$AN2219)="",$R2219,INDEX(職員マスタ!$C$6:$C$405,$AN2219)))</f>
        <v/>
      </c>
      <c r="X2219" s="14">
        <f>IF($AO2219="","","R"&amp;$C2219&amp;"."&amp;$D2219)</f>
        <v/>
      </c>
      <c r="Y2219" s="15">
        <f>IF($AN2219="","",IF(INDEX(職員マスタ!$K$6:$K$405,$AN2219)="","",INDEX(職員マスタ!$K$6:$K$405,$AN2219)))</f>
        <v/>
      </c>
      <c r="Z2219" s="14">
        <f>IF(OR($E2219="",$Y2219=""),"",IF($E2219&gt;=$Y2219,"×",IF($E2219&gt;=$Y2219*設定!$C$5,"△","○")))</f>
        <v/>
      </c>
      <c r="AA2219" s="15">
        <f>IF($Z2219="","",IF($Z2219="×",0,IF($Z2219="○",ROUNDDOWN($E2219*設定!$C$4,0),ROUNDDOWN($E2219*ROUND((9*$Y2219-9*$E2219)/(10*$E2219),4),0))))</f>
        <v/>
      </c>
      <c r="AB2219" s="13" t="n"/>
      <c r="AC2219" s="15">
        <f>IF($B2219="","",IF($AB2219&lt;&gt;"",$AB2219,IF($AA2219="","",IF($AA2219&lt;=設定!$C$3,0,$AA2219))))</f>
        <v/>
      </c>
      <c r="AD2219" s="14">
        <f>IF($B2219="","",IF(AND($AE2219&lt;&gt;"",$AG2219="",$AJ2219=""),"保留中",IF($AJ2219&lt;&gt;"",IF(N($AC2219)&gt;0,"支給済","不支給"),IF($AC2219="","要確認",IF($AC2219=0,"不支給","未処理")))))</f>
        <v/>
      </c>
      <c r="AE2219" s="12" t="n"/>
      <c r="AF2219" s="11" t="n"/>
      <c r="AG2219" s="11" t="n"/>
      <c r="AH2219" s="11" t="n"/>
      <c r="AI2219" s="14">
        <f>IF(AND($AD2219="保留中",$AF2219&lt;&gt;""),TODAY()-$AF2219,"")</f>
        <v/>
      </c>
      <c r="AJ2219" s="12" t="n"/>
      <c r="AK2219" s="14">
        <f>IF($B2219="","",IF($AO2219="","対象年月が未入力／","")&amp;IF($B2219="","",IF($AN2219="","職員マスタに未登録の職員番号／",IF($Y2219="","標準報酬月額が未登録／","")&amp;IF(AND($AO2219&lt;&gt;"",OR(AND(INDEX(職員マスタ!$G$6:$G$405,$AN2219)&lt;&gt;"",INDEX(職員マスタ!$G$6:$G$405,$AN2219)&gt;EOMONTH($AO2219,0)),AND(INDEX(職員マスタ!$H$6:$H$405,$AN2219)&lt;&gt;"",INDEX(職員マスタ!$H$6:$H$405,$AN2219)&lt;$AO2219))),"対象月が時短期間外／","")&amp;IF(AND(INDEX(職員マスタ!$F$6:$F$405,$AN2219)&lt;&gt;"",$AO2219&lt;&gt;"",INDEX(職員マスタ!$F$6:$F$405,$AN2219)&lt;$AO2219),"対象月に子が2歳到達済／","")&amp;IF(AND($H2219&lt;&gt;"",INDEX(職員マスタ!$B$6:$B$405,$AN2219)&lt;&gt;"",SUBSTITUTE(SUBSTITUTE($H2219," ","")," ","")&lt;&gt;SUBSTITUTE(SUBSTITUTE(INDEX(職員マスタ!$B$6:$B$405,$AN2219)," ","")," ","")),"氏名がマスタと相違／","")&amp;IF(AND($Q2219&lt;&gt;"",INDEX(職員マスタ!$E$6:$E$405,$AN2219)&lt;&gt;"",$Q2219&lt;&gt;INDEX(職員マスタ!$E$6:$E$405,$AN2219)),"子の生年月日がマスタと相違／","")&amp;IF(AND($L2219&lt;&gt;"",INDEX(職員マスタ!$G$6:$G$405,$AN2219)&lt;&gt;"",$L2219&lt;&gt;INDEX(職員マスタ!$G$6:$G$405,$AN2219)),"時短開始日がマスタと相違／","")&amp;IF(AND($M2219&lt;&gt;"",INDEX(職員マスタ!$H$6:$H$405,$AN2219)&lt;&gt;"",$M2219&lt;&gt;INDEX(職員マスタ!$H$6:$H$405,$AN2219)),"時短終了日がマスタと相違／","")))&amp;IF(AND($B2219&lt;&gt;"",$E2219=""),"報酬額が未入力／","")&amp;IF(N($U2219)&gt;0,"申請書に入力エラーが残っています／","")&amp;IF(AND($B2219&lt;&gt;"",$AO2219&lt;&gt;""),IF(COUNTIFS($B$6:$B$3005,$B2219,$C$6:$C$3005,$C2219,$D$6:$D$3005,$D2219)&gt;1,"同じ月の請求が重複しています／",""),"")&amp;IF(AND(N($E2219)&gt;0,$Z2219&lt;&gt;"",$Z2219&lt;&gt;"×",$AC2219=0,$AB2219=""),"計算額が下限以下のため不支給／",""))</f>
        <v/>
      </c>
      <c r="AL2219" s="12" t="n"/>
      <c r="AM2219" s="14">
        <f>IF($AD2219="保留中",COUNTIF($AD$6:$AD2219,"保留中"),"")</f>
        <v/>
      </c>
      <c r="AN2219" s="14">
        <f>IF($AO2219="","",IF(SUMPRODUCT(MAX((職員マスタ!$A$6:$A$405=$B2219)*(((職員マスタ!$G$6:$G$405="")+(職員マスタ!$G$6:$G$405&lt;=EOMONTH($AO2219,0)))&gt;0)*(((職員マスタ!$H$6:$H$405="")+(職員マスタ!$H$6:$H$405&gt;=$AO2219))&gt;0)*(ROW(職員マスタ!$A$6:$A$405)-5)))&gt;0,SUMPRODUCT(MAX((職員マスタ!$A$6:$A$405=$B2219)*(((職員マスタ!$G$6:$G$405="")+(職員マスタ!$G$6:$G$405&lt;=EOMONTH($AO2219,0)))&gt;0)*(((職員マスタ!$H$6:$H$405="")+(職員マスタ!$H$6:$H$405&gt;=$AO2219))&gt;0)*(ROW(職員マスタ!$A$6:$A$405)-5))),IFERROR(MATCH($B2219,職員マスタ!$A$6:$A$405,0),"")))</f>
        <v/>
      </c>
      <c r="AO2219" s="16">
        <f>IF(OR($B2219="",$C2219="",$D2219=""),"",DATE($C2219+2018,$D2219,1))</f>
        <v/>
      </c>
    </row>
    <row r="2220">
      <c r="A2220" s="11" t="n"/>
      <c r="B2220" s="12" t="n"/>
      <c r="C2220" s="12" t="n"/>
      <c r="D2220" s="12" t="n"/>
      <c r="E2220" s="13" t="n"/>
      <c r="F2220" s="12" t="n"/>
      <c r="G2220" s="13" t="n"/>
      <c r="H2220" s="12" t="n"/>
      <c r="I2220" s="12" t="n"/>
      <c r="J2220" s="12" t="n"/>
      <c r="K2220" s="12" t="n"/>
      <c r="L2220" s="11" t="n"/>
      <c r="M2220" s="11" t="n"/>
      <c r="N2220" s="11" t="n"/>
      <c r="O2220" s="11" t="n"/>
      <c r="P2220" s="12" t="n"/>
      <c r="Q2220" s="11" t="n"/>
      <c r="R2220" s="12" t="n"/>
      <c r="S2220" s="11" t="n"/>
      <c r="T2220" s="12" t="n"/>
      <c r="U2220" s="12" t="n"/>
      <c r="V2220" s="14">
        <f>IF($AN2220="",IF($B2220="","",$H2220),IF(INDEX(職員マスタ!$B$6:$B$405,$AN2220)="",$H2220,INDEX(職員マスタ!$B$6:$B$405,$AN2220)))</f>
        <v/>
      </c>
      <c r="W2220" s="14">
        <f>IF($AN2220="",IF($B2220="","",$R2220),IF(INDEX(職員マスタ!$C$6:$C$405,$AN2220)="",$R2220,INDEX(職員マスタ!$C$6:$C$405,$AN2220)))</f>
        <v/>
      </c>
      <c r="X2220" s="14">
        <f>IF($AO2220="","","R"&amp;$C2220&amp;"."&amp;$D2220)</f>
        <v/>
      </c>
      <c r="Y2220" s="15">
        <f>IF($AN2220="","",IF(INDEX(職員マスタ!$K$6:$K$405,$AN2220)="","",INDEX(職員マスタ!$K$6:$K$405,$AN2220)))</f>
        <v/>
      </c>
      <c r="Z2220" s="14">
        <f>IF(OR($E2220="",$Y2220=""),"",IF($E2220&gt;=$Y2220,"×",IF($E2220&gt;=$Y2220*設定!$C$5,"△","○")))</f>
        <v/>
      </c>
      <c r="AA2220" s="15">
        <f>IF($Z2220="","",IF($Z2220="×",0,IF($Z2220="○",ROUNDDOWN($E2220*設定!$C$4,0),ROUNDDOWN($E2220*ROUND((9*$Y2220-9*$E2220)/(10*$E2220),4),0))))</f>
        <v/>
      </c>
      <c r="AB2220" s="13" t="n"/>
      <c r="AC2220" s="15">
        <f>IF($B2220="","",IF($AB2220&lt;&gt;"",$AB2220,IF($AA2220="","",IF($AA2220&lt;=設定!$C$3,0,$AA2220))))</f>
        <v/>
      </c>
      <c r="AD2220" s="14">
        <f>IF($B2220="","",IF(AND($AE2220&lt;&gt;"",$AG2220="",$AJ2220=""),"保留中",IF($AJ2220&lt;&gt;"",IF(N($AC2220)&gt;0,"支給済","不支給"),IF($AC2220="","要確認",IF($AC2220=0,"不支給","未処理")))))</f>
        <v/>
      </c>
      <c r="AE2220" s="12" t="n"/>
      <c r="AF2220" s="11" t="n"/>
      <c r="AG2220" s="11" t="n"/>
      <c r="AH2220" s="11" t="n"/>
      <c r="AI2220" s="14">
        <f>IF(AND($AD2220="保留中",$AF2220&lt;&gt;""),TODAY()-$AF2220,"")</f>
        <v/>
      </c>
      <c r="AJ2220" s="12" t="n"/>
      <c r="AK2220" s="14">
        <f>IF($B2220="","",IF($AO2220="","対象年月が未入力／","")&amp;IF($B2220="","",IF($AN2220="","職員マスタに未登録の職員番号／",IF($Y2220="","標準報酬月額が未登録／","")&amp;IF(AND($AO2220&lt;&gt;"",OR(AND(INDEX(職員マスタ!$G$6:$G$405,$AN2220)&lt;&gt;"",INDEX(職員マスタ!$G$6:$G$405,$AN2220)&gt;EOMONTH($AO2220,0)),AND(INDEX(職員マスタ!$H$6:$H$405,$AN2220)&lt;&gt;"",INDEX(職員マスタ!$H$6:$H$405,$AN2220)&lt;$AO2220))),"対象月が時短期間外／","")&amp;IF(AND(INDEX(職員マスタ!$F$6:$F$405,$AN2220)&lt;&gt;"",$AO2220&lt;&gt;"",INDEX(職員マスタ!$F$6:$F$405,$AN2220)&lt;$AO2220),"対象月に子が2歳到達済／","")&amp;IF(AND($H2220&lt;&gt;"",INDEX(職員マスタ!$B$6:$B$405,$AN2220)&lt;&gt;"",SUBSTITUTE(SUBSTITUTE($H2220," ","")," ","")&lt;&gt;SUBSTITUTE(SUBSTITUTE(INDEX(職員マスタ!$B$6:$B$405,$AN2220)," ","")," ","")),"氏名がマスタと相違／","")&amp;IF(AND($Q2220&lt;&gt;"",INDEX(職員マスタ!$E$6:$E$405,$AN2220)&lt;&gt;"",$Q2220&lt;&gt;INDEX(職員マスタ!$E$6:$E$405,$AN2220)),"子の生年月日がマスタと相違／","")&amp;IF(AND($L2220&lt;&gt;"",INDEX(職員マスタ!$G$6:$G$405,$AN2220)&lt;&gt;"",$L2220&lt;&gt;INDEX(職員マスタ!$G$6:$G$405,$AN2220)),"時短開始日がマスタと相違／","")&amp;IF(AND($M2220&lt;&gt;"",INDEX(職員マスタ!$H$6:$H$405,$AN2220)&lt;&gt;"",$M2220&lt;&gt;INDEX(職員マスタ!$H$6:$H$405,$AN2220)),"時短終了日がマスタと相違／","")))&amp;IF(AND($B2220&lt;&gt;"",$E2220=""),"報酬額が未入力／","")&amp;IF(N($U2220)&gt;0,"申請書に入力エラーが残っています／","")&amp;IF(AND($B2220&lt;&gt;"",$AO2220&lt;&gt;""),IF(COUNTIFS($B$6:$B$3005,$B2220,$C$6:$C$3005,$C2220,$D$6:$D$3005,$D2220)&gt;1,"同じ月の請求が重複しています／",""),"")&amp;IF(AND(N($E2220)&gt;0,$Z2220&lt;&gt;"",$Z2220&lt;&gt;"×",$AC2220=0,$AB2220=""),"計算額が下限以下のため不支給／",""))</f>
        <v/>
      </c>
      <c r="AL2220" s="12" t="n"/>
      <c r="AM2220" s="14">
        <f>IF($AD2220="保留中",COUNTIF($AD$6:$AD2220,"保留中"),"")</f>
        <v/>
      </c>
      <c r="AN2220" s="14">
        <f>IF($AO2220="","",IF(SUMPRODUCT(MAX((職員マスタ!$A$6:$A$405=$B2220)*(((職員マスタ!$G$6:$G$405="")+(職員マスタ!$G$6:$G$405&lt;=EOMONTH($AO2220,0)))&gt;0)*(((職員マスタ!$H$6:$H$405="")+(職員マスタ!$H$6:$H$405&gt;=$AO2220))&gt;0)*(ROW(職員マスタ!$A$6:$A$405)-5)))&gt;0,SUMPRODUCT(MAX((職員マスタ!$A$6:$A$405=$B2220)*(((職員マスタ!$G$6:$G$405="")+(職員マスタ!$G$6:$G$405&lt;=EOMONTH($AO2220,0)))&gt;0)*(((職員マスタ!$H$6:$H$405="")+(職員マスタ!$H$6:$H$405&gt;=$AO2220))&gt;0)*(ROW(職員マスタ!$A$6:$A$405)-5))),IFERROR(MATCH($B2220,職員マスタ!$A$6:$A$405,0),"")))</f>
        <v/>
      </c>
      <c r="AO2220" s="16">
        <f>IF(OR($B2220="",$C2220="",$D2220=""),"",DATE($C2220+2018,$D2220,1))</f>
        <v/>
      </c>
    </row>
    <row r="2221">
      <c r="A2221" s="11" t="n"/>
      <c r="B2221" s="12" t="n"/>
      <c r="C2221" s="12" t="n"/>
      <c r="D2221" s="12" t="n"/>
      <c r="E2221" s="13" t="n"/>
      <c r="F2221" s="12" t="n"/>
      <c r="G2221" s="13" t="n"/>
      <c r="H2221" s="12" t="n"/>
      <c r="I2221" s="12" t="n"/>
      <c r="J2221" s="12" t="n"/>
      <c r="K2221" s="12" t="n"/>
      <c r="L2221" s="11" t="n"/>
      <c r="M2221" s="11" t="n"/>
      <c r="N2221" s="11" t="n"/>
      <c r="O2221" s="11" t="n"/>
      <c r="P2221" s="12" t="n"/>
      <c r="Q2221" s="11" t="n"/>
      <c r="R2221" s="12" t="n"/>
      <c r="S2221" s="11" t="n"/>
      <c r="T2221" s="12" t="n"/>
      <c r="U2221" s="12" t="n"/>
      <c r="V2221" s="14">
        <f>IF($AN2221="",IF($B2221="","",$H2221),IF(INDEX(職員マスタ!$B$6:$B$405,$AN2221)="",$H2221,INDEX(職員マスタ!$B$6:$B$405,$AN2221)))</f>
        <v/>
      </c>
      <c r="W2221" s="14">
        <f>IF($AN2221="",IF($B2221="","",$R2221),IF(INDEX(職員マスタ!$C$6:$C$405,$AN2221)="",$R2221,INDEX(職員マスタ!$C$6:$C$405,$AN2221)))</f>
        <v/>
      </c>
      <c r="X2221" s="14">
        <f>IF($AO2221="","","R"&amp;$C2221&amp;"."&amp;$D2221)</f>
        <v/>
      </c>
      <c r="Y2221" s="15">
        <f>IF($AN2221="","",IF(INDEX(職員マスタ!$K$6:$K$405,$AN2221)="","",INDEX(職員マスタ!$K$6:$K$405,$AN2221)))</f>
        <v/>
      </c>
      <c r="Z2221" s="14">
        <f>IF(OR($E2221="",$Y2221=""),"",IF($E2221&gt;=$Y2221,"×",IF($E2221&gt;=$Y2221*設定!$C$5,"△","○")))</f>
        <v/>
      </c>
      <c r="AA2221" s="15">
        <f>IF($Z2221="","",IF($Z2221="×",0,IF($Z2221="○",ROUNDDOWN($E2221*設定!$C$4,0),ROUNDDOWN($E2221*ROUND((9*$Y2221-9*$E2221)/(10*$E2221),4),0))))</f>
        <v/>
      </c>
      <c r="AB2221" s="13" t="n"/>
      <c r="AC2221" s="15">
        <f>IF($B2221="","",IF($AB2221&lt;&gt;"",$AB2221,IF($AA2221="","",IF($AA2221&lt;=設定!$C$3,0,$AA2221))))</f>
        <v/>
      </c>
      <c r="AD2221" s="14">
        <f>IF($B2221="","",IF(AND($AE2221&lt;&gt;"",$AG2221="",$AJ2221=""),"保留中",IF($AJ2221&lt;&gt;"",IF(N($AC2221)&gt;0,"支給済","不支給"),IF($AC2221="","要確認",IF($AC2221=0,"不支給","未処理")))))</f>
        <v/>
      </c>
      <c r="AE2221" s="12" t="n"/>
      <c r="AF2221" s="11" t="n"/>
      <c r="AG2221" s="11" t="n"/>
      <c r="AH2221" s="11" t="n"/>
      <c r="AI2221" s="14">
        <f>IF(AND($AD2221="保留中",$AF2221&lt;&gt;""),TODAY()-$AF2221,"")</f>
        <v/>
      </c>
      <c r="AJ2221" s="12" t="n"/>
      <c r="AK2221" s="14">
        <f>IF($B2221="","",IF($AO2221="","対象年月が未入力／","")&amp;IF($B2221="","",IF($AN2221="","職員マスタに未登録の職員番号／",IF($Y2221="","標準報酬月額が未登録／","")&amp;IF(AND($AO2221&lt;&gt;"",OR(AND(INDEX(職員マスタ!$G$6:$G$405,$AN2221)&lt;&gt;"",INDEX(職員マスタ!$G$6:$G$405,$AN2221)&gt;EOMONTH($AO2221,0)),AND(INDEX(職員マスタ!$H$6:$H$405,$AN2221)&lt;&gt;"",INDEX(職員マスタ!$H$6:$H$405,$AN2221)&lt;$AO2221))),"対象月が時短期間外／","")&amp;IF(AND(INDEX(職員マスタ!$F$6:$F$405,$AN2221)&lt;&gt;"",$AO2221&lt;&gt;"",INDEX(職員マスタ!$F$6:$F$405,$AN2221)&lt;$AO2221),"対象月に子が2歳到達済／","")&amp;IF(AND($H2221&lt;&gt;"",INDEX(職員マスタ!$B$6:$B$405,$AN2221)&lt;&gt;"",SUBSTITUTE(SUBSTITUTE($H2221," ","")," ","")&lt;&gt;SUBSTITUTE(SUBSTITUTE(INDEX(職員マスタ!$B$6:$B$405,$AN2221)," ","")," ","")),"氏名がマスタと相違／","")&amp;IF(AND($Q2221&lt;&gt;"",INDEX(職員マスタ!$E$6:$E$405,$AN2221)&lt;&gt;"",$Q2221&lt;&gt;INDEX(職員マスタ!$E$6:$E$405,$AN2221)),"子の生年月日がマスタと相違／","")&amp;IF(AND($L2221&lt;&gt;"",INDEX(職員マスタ!$G$6:$G$405,$AN2221)&lt;&gt;"",$L2221&lt;&gt;INDEX(職員マスタ!$G$6:$G$405,$AN2221)),"時短開始日がマスタと相違／","")&amp;IF(AND($M2221&lt;&gt;"",INDEX(職員マスタ!$H$6:$H$405,$AN2221)&lt;&gt;"",$M2221&lt;&gt;INDEX(職員マスタ!$H$6:$H$405,$AN2221)),"時短終了日がマスタと相違／","")))&amp;IF(AND($B2221&lt;&gt;"",$E2221=""),"報酬額が未入力／","")&amp;IF(N($U2221)&gt;0,"申請書に入力エラーが残っています／","")&amp;IF(AND($B2221&lt;&gt;"",$AO2221&lt;&gt;""),IF(COUNTIFS($B$6:$B$3005,$B2221,$C$6:$C$3005,$C2221,$D$6:$D$3005,$D2221)&gt;1,"同じ月の請求が重複しています／",""),"")&amp;IF(AND(N($E2221)&gt;0,$Z2221&lt;&gt;"",$Z2221&lt;&gt;"×",$AC2221=0,$AB2221=""),"計算額が下限以下のため不支給／",""))</f>
        <v/>
      </c>
      <c r="AL2221" s="12" t="n"/>
      <c r="AM2221" s="14">
        <f>IF($AD2221="保留中",COUNTIF($AD$6:$AD2221,"保留中"),"")</f>
        <v/>
      </c>
      <c r="AN2221" s="14">
        <f>IF($AO2221="","",IF(SUMPRODUCT(MAX((職員マスタ!$A$6:$A$405=$B2221)*(((職員マスタ!$G$6:$G$405="")+(職員マスタ!$G$6:$G$405&lt;=EOMONTH($AO2221,0)))&gt;0)*(((職員マスタ!$H$6:$H$405="")+(職員マスタ!$H$6:$H$405&gt;=$AO2221))&gt;0)*(ROW(職員マスタ!$A$6:$A$405)-5)))&gt;0,SUMPRODUCT(MAX((職員マスタ!$A$6:$A$405=$B2221)*(((職員マスタ!$G$6:$G$405="")+(職員マスタ!$G$6:$G$405&lt;=EOMONTH($AO2221,0)))&gt;0)*(((職員マスタ!$H$6:$H$405="")+(職員マスタ!$H$6:$H$405&gt;=$AO2221))&gt;0)*(ROW(職員マスタ!$A$6:$A$405)-5))),IFERROR(MATCH($B2221,職員マスタ!$A$6:$A$405,0),"")))</f>
        <v/>
      </c>
      <c r="AO2221" s="16">
        <f>IF(OR($B2221="",$C2221="",$D2221=""),"",DATE($C2221+2018,$D2221,1))</f>
        <v/>
      </c>
    </row>
    <row r="2222">
      <c r="A2222" s="11" t="n"/>
      <c r="B2222" s="12" t="n"/>
      <c r="C2222" s="12" t="n"/>
      <c r="D2222" s="12" t="n"/>
      <c r="E2222" s="13" t="n"/>
      <c r="F2222" s="12" t="n"/>
      <c r="G2222" s="13" t="n"/>
      <c r="H2222" s="12" t="n"/>
      <c r="I2222" s="12" t="n"/>
      <c r="J2222" s="12" t="n"/>
      <c r="K2222" s="12" t="n"/>
      <c r="L2222" s="11" t="n"/>
      <c r="M2222" s="11" t="n"/>
      <c r="N2222" s="11" t="n"/>
      <c r="O2222" s="11" t="n"/>
      <c r="P2222" s="12" t="n"/>
      <c r="Q2222" s="11" t="n"/>
      <c r="R2222" s="12" t="n"/>
      <c r="S2222" s="11" t="n"/>
      <c r="T2222" s="12" t="n"/>
      <c r="U2222" s="12" t="n"/>
      <c r="V2222" s="14">
        <f>IF($AN2222="",IF($B2222="","",$H2222),IF(INDEX(職員マスタ!$B$6:$B$405,$AN2222)="",$H2222,INDEX(職員マスタ!$B$6:$B$405,$AN2222)))</f>
        <v/>
      </c>
      <c r="W2222" s="14">
        <f>IF($AN2222="",IF($B2222="","",$R2222),IF(INDEX(職員マスタ!$C$6:$C$405,$AN2222)="",$R2222,INDEX(職員マスタ!$C$6:$C$405,$AN2222)))</f>
        <v/>
      </c>
      <c r="X2222" s="14">
        <f>IF($AO2222="","","R"&amp;$C2222&amp;"."&amp;$D2222)</f>
        <v/>
      </c>
      <c r="Y2222" s="15">
        <f>IF($AN2222="","",IF(INDEX(職員マスタ!$K$6:$K$405,$AN2222)="","",INDEX(職員マスタ!$K$6:$K$405,$AN2222)))</f>
        <v/>
      </c>
      <c r="Z2222" s="14">
        <f>IF(OR($E2222="",$Y2222=""),"",IF($E2222&gt;=$Y2222,"×",IF($E2222&gt;=$Y2222*設定!$C$5,"△","○")))</f>
        <v/>
      </c>
      <c r="AA2222" s="15">
        <f>IF($Z2222="","",IF($Z2222="×",0,IF($Z2222="○",ROUNDDOWN($E2222*設定!$C$4,0),ROUNDDOWN($E2222*ROUND((9*$Y2222-9*$E2222)/(10*$E2222),4),0))))</f>
        <v/>
      </c>
      <c r="AB2222" s="13" t="n"/>
      <c r="AC2222" s="15">
        <f>IF($B2222="","",IF($AB2222&lt;&gt;"",$AB2222,IF($AA2222="","",IF($AA2222&lt;=設定!$C$3,0,$AA2222))))</f>
        <v/>
      </c>
      <c r="AD2222" s="14">
        <f>IF($B2222="","",IF(AND($AE2222&lt;&gt;"",$AG2222="",$AJ2222=""),"保留中",IF($AJ2222&lt;&gt;"",IF(N($AC2222)&gt;0,"支給済","不支給"),IF($AC2222="","要確認",IF($AC2222=0,"不支給","未処理")))))</f>
        <v/>
      </c>
      <c r="AE2222" s="12" t="n"/>
      <c r="AF2222" s="11" t="n"/>
      <c r="AG2222" s="11" t="n"/>
      <c r="AH2222" s="11" t="n"/>
      <c r="AI2222" s="14">
        <f>IF(AND($AD2222="保留中",$AF2222&lt;&gt;""),TODAY()-$AF2222,"")</f>
        <v/>
      </c>
      <c r="AJ2222" s="12" t="n"/>
      <c r="AK2222" s="14">
        <f>IF($B2222="","",IF($AO2222="","対象年月が未入力／","")&amp;IF($B2222="","",IF($AN2222="","職員マスタに未登録の職員番号／",IF($Y2222="","標準報酬月額が未登録／","")&amp;IF(AND($AO2222&lt;&gt;"",OR(AND(INDEX(職員マスタ!$G$6:$G$405,$AN2222)&lt;&gt;"",INDEX(職員マスタ!$G$6:$G$405,$AN2222)&gt;EOMONTH($AO2222,0)),AND(INDEX(職員マスタ!$H$6:$H$405,$AN2222)&lt;&gt;"",INDEX(職員マスタ!$H$6:$H$405,$AN2222)&lt;$AO2222))),"対象月が時短期間外／","")&amp;IF(AND(INDEX(職員マスタ!$F$6:$F$405,$AN2222)&lt;&gt;"",$AO2222&lt;&gt;"",INDEX(職員マスタ!$F$6:$F$405,$AN2222)&lt;$AO2222),"対象月に子が2歳到達済／","")&amp;IF(AND($H2222&lt;&gt;"",INDEX(職員マスタ!$B$6:$B$405,$AN2222)&lt;&gt;"",SUBSTITUTE(SUBSTITUTE($H2222," ","")," ","")&lt;&gt;SUBSTITUTE(SUBSTITUTE(INDEX(職員マスタ!$B$6:$B$405,$AN2222)," ","")," ","")),"氏名がマスタと相違／","")&amp;IF(AND($Q2222&lt;&gt;"",INDEX(職員マスタ!$E$6:$E$405,$AN2222)&lt;&gt;"",$Q2222&lt;&gt;INDEX(職員マスタ!$E$6:$E$405,$AN2222)),"子の生年月日がマスタと相違／","")&amp;IF(AND($L2222&lt;&gt;"",INDEX(職員マスタ!$G$6:$G$405,$AN2222)&lt;&gt;"",$L2222&lt;&gt;INDEX(職員マスタ!$G$6:$G$405,$AN2222)),"時短開始日がマスタと相違／","")&amp;IF(AND($M2222&lt;&gt;"",INDEX(職員マスタ!$H$6:$H$405,$AN2222)&lt;&gt;"",$M2222&lt;&gt;INDEX(職員マスタ!$H$6:$H$405,$AN2222)),"時短終了日がマスタと相違／","")))&amp;IF(AND($B2222&lt;&gt;"",$E2222=""),"報酬額が未入力／","")&amp;IF(N($U2222)&gt;0,"申請書に入力エラーが残っています／","")&amp;IF(AND($B2222&lt;&gt;"",$AO2222&lt;&gt;""),IF(COUNTIFS($B$6:$B$3005,$B2222,$C$6:$C$3005,$C2222,$D$6:$D$3005,$D2222)&gt;1,"同じ月の請求が重複しています／",""),"")&amp;IF(AND(N($E2222)&gt;0,$Z2222&lt;&gt;"",$Z2222&lt;&gt;"×",$AC2222=0,$AB2222=""),"計算額が下限以下のため不支給／",""))</f>
        <v/>
      </c>
      <c r="AL2222" s="12" t="n"/>
      <c r="AM2222" s="14">
        <f>IF($AD2222="保留中",COUNTIF($AD$6:$AD2222,"保留中"),"")</f>
        <v/>
      </c>
      <c r="AN2222" s="14">
        <f>IF($AO2222="","",IF(SUMPRODUCT(MAX((職員マスタ!$A$6:$A$405=$B2222)*(((職員マスタ!$G$6:$G$405="")+(職員マスタ!$G$6:$G$405&lt;=EOMONTH($AO2222,0)))&gt;0)*(((職員マスタ!$H$6:$H$405="")+(職員マスタ!$H$6:$H$405&gt;=$AO2222))&gt;0)*(ROW(職員マスタ!$A$6:$A$405)-5)))&gt;0,SUMPRODUCT(MAX((職員マスタ!$A$6:$A$405=$B2222)*(((職員マスタ!$G$6:$G$405="")+(職員マスタ!$G$6:$G$405&lt;=EOMONTH($AO2222,0)))&gt;0)*(((職員マスタ!$H$6:$H$405="")+(職員マスタ!$H$6:$H$405&gt;=$AO2222))&gt;0)*(ROW(職員マスタ!$A$6:$A$405)-5))),IFERROR(MATCH($B2222,職員マスタ!$A$6:$A$405,0),"")))</f>
        <v/>
      </c>
      <c r="AO2222" s="16">
        <f>IF(OR($B2222="",$C2222="",$D2222=""),"",DATE($C2222+2018,$D2222,1))</f>
        <v/>
      </c>
    </row>
    <row r="2223">
      <c r="A2223" s="11" t="n"/>
      <c r="B2223" s="12" t="n"/>
      <c r="C2223" s="12" t="n"/>
      <c r="D2223" s="12" t="n"/>
      <c r="E2223" s="13" t="n"/>
      <c r="F2223" s="12" t="n"/>
      <c r="G2223" s="13" t="n"/>
      <c r="H2223" s="12" t="n"/>
      <c r="I2223" s="12" t="n"/>
      <c r="J2223" s="12" t="n"/>
      <c r="K2223" s="12" t="n"/>
      <c r="L2223" s="11" t="n"/>
      <c r="M2223" s="11" t="n"/>
      <c r="N2223" s="11" t="n"/>
      <c r="O2223" s="11" t="n"/>
      <c r="P2223" s="12" t="n"/>
      <c r="Q2223" s="11" t="n"/>
      <c r="R2223" s="12" t="n"/>
      <c r="S2223" s="11" t="n"/>
      <c r="T2223" s="12" t="n"/>
      <c r="U2223" s="12" t="n"/>
      <c r="V2223" s="14">
        <f>IF($AN2223="",IF($B2223="","",$H2223),IF(INDEX(職員マスタ!$B$6:$B$405,$AN2223)="",$H2223,INDEX(職員マスタ!$B$6:$B$405,$AN2223)))</f>
        <v/>
      </c>
      <c r="W2223" s="14">
        <f>IF($AN2223="",IF($B2223="","",$R2223),IF(INDEX(職員マスタ!$C$6:$C$405,$AN2223)="",$R2223,INDEX(職員マスタ!$C$6:$C$405,$AN2223)))</f>
        <v/>
      </c>
      <c r="X2223" s="14">
        <f>IF($AO2223="","","R"&amp;$C2223&amp;"."&amp;$D2223)</f>
        <v/>
      </c>
      <c r="Y2223" s="15">
        <f>IF($AN2223="","",IF(INDEX(職員マスタ!$K$6:$K$405,$AN2223)="","",INDEX(職員マスタ!$K$6:$K$405,$AN2223)))</f>
        <v/>
      </c>
      <c r="Z2223" s="14">
        <f>IF(OR($E2223="",$Y2223=""),"",IF($E2223&gt;=$Y2223,"×",IF($E2223&gt;=$Y2223*設定!$C$5,"△","○")))</f>
        <v/>
      </c>
      <c r="AA2223" s="15">
        <f>IF($Z2223="","",IF($Z2223="×",0,IF($Z2223="○",ROUNDDOWN($E2223*設定!$C$4,0),ROUNDDOWN($E2223*ROUND((9*$Y2223-9*$E2223)/(10*$E2223),4),0))))</f>
        <v/>
      </c>
      <c r="AB2223" s="13" t="n"/>
      <c r="AC2223" s="15">
        <f>IF($B2223="","",IF($AB2223&lt;&gt;"",$AB2223,IF($AA2223="","",IF($AA2223&lt;=設定!$C$3,0,$AA2223))))</f>
        <v/>
      </c>
      <c r="AD2223" s="14">
        <f>IF($B2223="","",IF(AND($AE2223&lt;&gt;"",$AG2223="",$AJ2223=""),"保留中",IF($AJ2223&lt;&gt;"",IF(N($AC2223)&gt;0,"支給済","不支給"),IF($AC2223="","要確認",IF($AC2223=0,"不支給","未処理")))))</f>
        <v/>
      </c>
      <c r="AE2223" s="12" t="n"/>
      <c r="AF2223" s="11" t="n"/>
      <c r="AG2223" s="11" t="n"/>
      <c r="AH2223" s="11" t="n"/>
      <c r="AI2223" s="14">
        <f>IF(AND($AD2223="保留中",$AF2223&lt;&gt;""),TODAY()-$AF2223,"")</f>
        <v/>
      </c>
      <c r="AJ2223" s="12" t="n"/>
      <c r="AK2223" s="14">
        <f>IF($B2223="","",IF($AO2223="","対象年月が未入力／","")&amp;IF($B2223="","",IF($AN2223="","職員マスタに未登録の職員番号／",IF($Y2223="","標準報酬月額が未登録／","")&amp;IF(AND($AO2223&lt;&gt;"",OR(AND(INDEX(職員マスタ!$G$6:$G$405,$AN2223)&lt;&gt;"",INDEX(職員マスタ!$G$6:$G$405,$AN2223)&gt;EOMONTH($AO2223,0)),AND(INDEX(職員マスタ!$H$6:$H$405,$AN2223)&lt;&gt;"",INDEX(職員マスタ!$H$6:$H$405,$AN2223)&lt;$AO2223))),"対象月が時短期間外／","")&amp;IF(AND(INDEX(職員マスタ!$F$6:$F$405,$AN2223)&lt;&gt;"",$AO2223&lt;&gt;"",INDEX(職員マスタ!$F$6:$F$405,$AN2223)&lt;$AO2223),"対象月に子が2歳到達済／","")&amp;IF(AND($H2223&lt;&gt;"",INDEX(職員マスタ!$B$6:$B$405,$AN2223)&lt;&gt;"",SUBSTITUTE(SUBSTITUTE($H2223," ","")," ","")&lt;&gt;SUBSTITUTE(SUBSTITUTE(INDEX(職員マスタ!$B$6:$B$405,$AN2223)," ","")," ","")),"氏名がマスタと相違／","")&amp;IF(AND($Q2223&lt;&gt;"",INDEX(職員マスタ!$E$6:$E$405,$AN2223)&lt;&gt;"",$Q2223&lt;&gt;INDEX(職員マスタ!$E$6:$E$405,$AN2223)),"子の生年月日がマスタと相違／","")&amp;IF(AND($L2223&lt;&gt;"",INDEX(職員マスタ!$G$6:$G$405,$AN2223)&lt;&gt;"",$L2223&lt;&gt;INDEX(職員マスタ!$G$6:$G$405,$AN2223)),"時短開始日がマスタと相違／","")&amp;IF(AND($M2223&lt;&gt;"",INDEX(職員マスタ!$H$6:$H$405,$AN2223)&lt;&gt;"",$M2223&lt;&gt;INDEX(職員マスタ!$H$6:$H$405,$AN2223)),"時短終了日がマスタと相違／","")))&amp;IF(AND($B2223&lt;&gt;"",$E2223=""),"報酬額が未入力／","")&amp;IF(N($U2223)&gt;0,"申請書に入力エラーが残っています／","")&amp;IF(AND($B2223&lt;&gt;"",$AO2223&lt;&gt;""),IF(COUNTIFS($B$6:$B$3005,$B2223,$C$6:$C$3005,$C2223,$D$6:$D$3005,$D2223)&gt;1,"同じ月の請求が重複しています／",""),"")&amp;IF(AND(N($E2223)&gt;0,$Z2223&lt;&gt;"",$Z2223&lt;&gt;"×",$AC2223=0,$AB2223=""),"計算額が下限以下のため不支給／",""))</f>
        <v/>
      </c>
      <c r="AL2223" s="12" t="n"/>
      <c r="AM2223" s="14">
        <f>IF($AD2223="保留中",COUNTIF($AD$6:$AD2223,"保留中"),"")</f>
        <v/>
      </c>
      <c r="AN2223" s="14">
        <f>IF($AO2223="","",IF(SUMPRODUCT(MAX((職員マスタ!$A$6:$A$405=$B2223)*(((職員マスタ!$G$6:$G$405="")+(職員マスタ!$G$6:$G$405&lt;=EOMONTH($AO2223,0)))&gt;0)*(((職員マスタ!$H$6:$H$405="")+(職員マスタ!$H$6:$H$405&gt;=$AO2223))&gt;0)*(ROW(職員マスタ!$A$6:$A$405)-5)))&gt;0,SUMPRODUCT(MAX((職員マスタ!$A$6:$A$405=$B2223)*(((職員マスタ!$G$6:$G$405="")+(職員マスタ!$G$6:$G$405&lt;=EOMONTH($AO2223,0)))&gt;0)*(((職員マスタ!$H$6:$H$405="")+(職員マスタ!$H$6:$H$405&gt;=$AO2223))&gt;0)*(ROW(職員マスタ!$A$6:$A$405)-5))),IFERROR(MATCH($B2223,職員マスタ!$A$6:$A$405,0),"")))</f>
        <v/>
      </c>
      <c r="AO2223" s="16">
        <f>IF(OR($B2223="",$C2223="",$D2223=""),"",DATE($C2223+2018,$D2223,1))</f>
        <v/>
      </c>
    </row>
    <row r="2224">
      <c r="A2224" s="11" t="n"/>
      <c r="B2224" s="12" t="n"/>
      <c r="C2224" s="12" t="n"/>
      <c r="D2224" s="12" t="n"/>
      <c r="E2224" s="13" t="n"/>
      <c r="F2224" s="12" t="n"/>
      <c r="G2224" s="13" t="n"/>
      <c r="H2224" s="12" t="n"/>
      <c r="I2224" s="12" t="n"/>
      <c r="J2224" s="12" t="n"/>
      <c r="K2224" s="12" t="n"/>
      <c r="L2224" s="11" t="n"/>
      <c r="M2224" s="11" t="n"/>
      <c r="N2224" s="11" t="n"/>
      <c r="O2224" s="11" t="n"/>
      <c r="P2224" s="12" t="n"/>
      <c r="Q2224" s="11" t="n"/>
      <c r="R2224" s="12" t="n"/>
      <c r="S2224" s="11" t="n"/>
      <c r="T2224" s="12" t="n"/>
      <c r="U2224" s="12" t="n"/>
      <c r="V2224" s="14">
        <f>IF($AN2224="",IF($B2224="","",$H2224),IF(INDEX(職員マスタ!$B$6:$B$405,$AN2224)="",$H2224,INDEX(職員マスタ!$B$6:$B$405,$AN2224)))</f>
        <v/>
      </c>
      <c r="W2224" s="14">
        <f>IF($AN2224="",IF($B2224="","",$R2224),IF(INDEX(職員マスタ!$C$6:$C$405,$AN2224)="",$R2224,INDEX(職員マスタ!$C$6:$C$405,$AN2224)))</f>
        <v/>
      </c>
      <c r="X2224" s="14">
        <f>IF($AO2224="","","R"&amp;$C2224&amp;"."&amp;$D2224)</f>
        <v/>
      </c>
      <c r="Y2224" s="15">
        <f>IF($AN2224="","",IF(INDEX(職員マスタ!$K$6:$K$405,$AN2224)="","",INDEX(職員マスタ!$K$6:$K$405,$AN2224)))</f>
        <v/>
      </c>
      <c r="Z2224" s="14">
        <f>IF(OR($E2224="",$Y2224=""),"",IF($E2224&gt;=$Y2224,"×",IF($E2224&gt;=$Y2224*設定!$C$5,"△","○")))</f>
        <v/>
      </c>
      <c r="AA2224" s="15">
        <f>IF($Z2224="","",IF($Z2224="×",0,IF($Z2224="○",ROUNDDOWN($E2224*設定!$C$4,0),ROUNDDOWN($E2224*ROUND((9*$Y2224-9*$E2224)/(10*$E2224),4),0))))</f>
        <v/>
      </c>
      <c r="AB2224" s="13" t="n"/>
      <c r="AC2224" s="15">
        <f>IF($B2224="","",IF($AB2224&lt;&gt;"",$AB2224,IF($AA2224="","",IF($AA2224&lt;=設定!$C$3,0,$AA2224))))</f>
        <v/>
      </c>
      <c r="AD2224" s="14">
        <f>IF($B2224="","",IF(AND($AE2224&lt;&gt;"",$AG2224="",$AJ2224=""),"保留中",IF($AJ2224&lt;&gt;"",IF(N($AC2224)&gt;0,"支給済","不支給"),IF($AC2224="","要確認",IF($AC2224=0,"不支給","未処理")))))</f>
        <v/>
      </c>
      <c r="AE2224" s="12" t="n"/>
      <c r="AF2224" s="11" t="n"/>
      <c r="AG2224" s="11" t="n"/>
      <c r="AH2224" s="11" t="n"/>
      <c r="AI2224" s="14">
        <f>IF(AND($AD2224="保留中",$AF2224&lt;&gt;""),TODAY()-$AF2224,"")</f>
        <v/>
      </c>
      <c r="AJ2224" s="12" t="n"/>
      <c r="AK2224" s="14">
        <f>IF($B2224="","",IF($AO2224="","対象年月が未入力／","")&amp;IF($B2224="","",IF($AN2224="","職員マスタに未登録の職員番号／",IF($Y2224="","標準報酬月額が未登録／","")&amp;IF(AND($AO2224&lt;&gt;"",OR(AND(INDEX(職員マスタ!$G$6:$G$405,$AN2224)&lt;&gt;"",INDEX(職員マスタ!$G$6:$G$405,$AN2224)&gt;EOMONTH($AO2224,0)),AND(INDEX(職員マスタ!$H$6:$H$405,$AN2224)&lt;&gt;"",INDEX(職員マスタ!$H$6:$H$405,$AN2224)&lt;$AO2224))),"対象月が時短期間外／","")&amp;IF(AND(INDEX(職員マスタ!$F$6:$F$405,$AN2224)&lt;&gt;"",$AO2224&lt;&gt;"",INDEX(職員マスタ!$F$6:$F$405,$AN2224)&lt;$AO2224),"対象月に子が2歳到達済／","")&amp;IF(AND($H2224&lt;&gt;"",INDEX(職員マスタ!$B$6:$B$405,$AN2224)&lt;&gt;"",SUBSTITUTE(SUBSTITUTE($H2224," ","")," ","")&lt;&gt;SUBSTITUTE(SUBSTITUTE(INDEX(職員マスタ!$B$6:$B$405,$AN2224)," ","")," ","")),"氏名がマスタと相違／","")&amp;IF(AND($Q2224&lt;&gt;"",INDEX(職員マスタ!$E$6:$E$405,$AN2224)&lt;&gt;"",$Q2224&lt;&gt;INDEX(職員マスタ!$E$6:$E$405,$AN2224)),"子の生年月日がマスタと相違／","")&amp;IF(AND($L2224&lt;&gt;"",INDEX(職員マスタ!$G$6:$G$405,$AN2224)&lt;&gt;"",$L2224&lt;&gt;INDEX(職員マスタ!$G$6:$G$405,$AN2224)),"時短開始日がマスタと相違／","")&amp;IF(AND($M2224&lt;&gt;"",INDEX(職員マスタ!$H$6:$H$405,$AN2224)&lt;&gt;"",$M2224&lt;&gt;INDEX(職員マスタ!$H$6:$H$405,$AN2224)),"時短終了日がマスタと相違／","")))&amp;IF(AND($B2224&lt;&gt;"",$E2224=""),"報酬額が未入力／","")&amp;IF(N($U2224)&gt;0,"申請書に入力エラーが残っています／","")&amp;IF(AND($B2224&lt;&gt;"",$AO2224&lt;&gt;""),IF(COUNTIFS($B$6:$B$3005,$B2224,$C$6:$C$3005,$C2224,$D$6:$D$3005,$D2224)&gt;1,"同じ月の請求が重複しています／",""),"")&amp;IF(AND(N($E2224)&gt;0,$Z2224&lt;&gt;"",$Z2224&lt;&gt;"×",$AC2224=0,$AB2224=""),"計算額が下限以下のため不支給／",""))</f>
        <v/>
      </c>
      <c r="AL2224" s="12" t="n"/>
      <c r="AM2224" s="14">
        <f>IF($AD2224="保留中",COUNTIF($AD$6:$AD2224,"保留中"),"")</f>
        <v/>
      </c>
      <c r="AN2224" s="14">
        <f>IF($AO2224="","",IF(SUMPRODUCT(MAX((職員マスタ!$A$6:$A$405=$B2224)*(((職員マスタ!$G$6:$G$405="")+(職員マスタ!$G$6:$G$405&lt;=EOMONTH($AO2224,0)))&gt;0)*(((職員マスタ!$H$6:$H$405="")+(職員マスタ!$H$6:$H$405&gt;=$AO2224))&gt;0)*(ROW(職員マスタ!$A$6:$A$405)-5)))&gt;0,SUMPRODUCT(MAX((職員マスタ!$A$6:$A$405=$B2224)*(((職員マスタ!$G$6:$G$405="")+(職員マスタ!$G$6:$G$405&lt;=EOMONTH($AO2224,0)))&gt;0)*(((職員マスタ!$H$6:$H$405="")+(職員マスタ!$H$6:$H$405&gt;=$AO2224))&gt;0)*(ROW(職員マスタ!$A$6:$A$405)-5))),IFERROR(MATCH($B2224,職員マスタ!$A$6:$A$405,0),"")))</f>
        <v/>
      </c>
      <c r="AO2224" s="16">
        <f>IF(OR($B2224="",$C2224="",$D2224=""),"",DATE($C2224+2018,$D2224,1))</f>
        <v/>
      </c>
    </row>
    <row r="2225">
      <c r="A2225" s="11" t="n"/>
      <c r="B2225" s="12" t="n"/>
      <c r="C2225" s="12" t="n"/>
      <c r="D2225" s="12" t="n"/>
      <c r="E2225" s="13" t="n"/>
      <c r="F2225" s="12" t="n"/>
      <c r="G2225" s="13" t="n"/>
      <c r="H2225" s="12" t="n"/>
      <c r="I2225" s="12" t="n"/>
      <c r="J2225" s="12" t="n"/>
      <c r="K2225" s="12" t="n"/>
      <c r="L2225" s="11" t="n"/>
      <c r="M2225" s="11" t="n"/>
      <c r="N2225" s="11" t="n"/>
      <c r="O2225" s="11" t="n"/>
      <c r="P2225" s="12" t="n"/>
      <c r="Q2225" s="11" t="n"/>
      <c r="R2225" s="12" t="n"/>
      <c r="S2225" s="11" t="n"/>
      <c r="T2225" s="12" t="n"/>
      <c r="U2225" s="12" t="n"/>
      <c r="V2225" s="14">
        <f>IF($AN2225="",IF($B2225="","",$H2225),IF(INDEX(職員マスタ!$B$6:$B$405,$AN2225)="",$H2225,INDEX(職員マスタ!$B$6:$B$405,$AN2225)))</f>
        <v/>
      </c>
      <c r="W2225" s="14">
        <f>IF($AN2225="",IF($B2225="","",$R2225),IF(INDEX(職員マスタ!$C$6:$C$405,$AN2225)="",$R2225,INDEX(職員マスタ!$C$6:$C$405,$AN2225)))</f>
        <v/>
      </c>
      <c r="X2225" s="14">
        <f>IF($AO2225="","","R"&amp;$C2225&amp;"."&amp;$D2225)</f>
        <v/>
      </c>
      <c r="Y2225" s="15">
        <f>IF($AN2225="","",IF(INDEX(職員マスタ!$K$6:$K$405,$AN2225)="","",INDEX(職員マスタ!$K$6:$K$405,$AN2225)))</f>
        <v/>
      </c>
      <c r="Z2225" s="14">
        <f>IF(OR($E2225="",$Y2225=""),"",IF($E2225&gt;=$Y2225,"×",IF($E2225&gt;=$Y2225*設定!$C$5,"△","○")))</f>
        <v/>
      </c>
      <c r="AA2225" s="15">
        <f>IF($Z2225="","",IF($Z2225="×",0,IF($Z2225="○",ROUNDDOWN($E2225*設定!$C$4,0),ROUNDDOWN($E2225*ROUND((9*$Y2225-9*$E2225)/(10*$E2225),4),0))))</f>
        <v/>
      </c>
      <c r="AB2225" s="13" t="n"/>
      <c r="AC2225" s="15">
        <f>IF($B2225="","",IF($AB2225&lt;&gt;"",$AB2225,IF($AA2225="","",IF($AA2225&lt;=設定!$C$3,0,$AA2225))))</f>
        <v/>
      </c>
      <c r="AD2225" s="14">
        <f>IF($B2225="","",IF(AND($AE2225&lt;&gt;"",$AG2225="",$AJ2225=""),"保留中",IF($AJ2225&lt;&gt;"",IF(N($AC2225)&gt;0,"支給済","不支給"),IF($AC2225="","要確認",IF($AC2225=0,"不支給","未処理")))))</f>
        <v/>
      </c>
      <c r="AE2225" s="12" t="n"/>
      <c r="AF2225" s="11" t="n"/>
      <c r="AG2225" s="11" t="n"/>
      <c r="AH2225" s="11" t="n"/>
      <c r="AI2225" s="14">
        <f>IF(AND($AD2225="保留中",$AF2225&lt;&gt;""),TODAY()-$AF2225,"")</f>
        <v/>
      </c>
      <c r="AJ2225" s="12" t="n"/>
      <c r="AK2225" s="14">
        <f>IF($B2225="","",IF($AO2225="","対象年月が未入力／","")&amp;IF($B2225="","",IF($AN2225="","職員マスタに未登録の職員番号／",IF($Y2225="","標準報酬月額が未登録／","")&amp;IF(AND($AO2225&lt;&gt;"",OR(AND(INDEX(職員マスタ!$G$6:$G$405,$AN2225)&lt;&gt;"",INDEX(職員マスタ!$G$6:$G$405,$AN2225)&gt;EOMONTH($AO2225,0)),AND(INDEX(職員マスタ!$H$6:$H$405,$AN2225)&lt;&gt;"",INDEX(職員マスタ!$H$6:$H$405,$AN2225)&lt;$AO2225))),"対象月が時短期間外／","")&amp;IF(AND(INDEX(職員マスタ!$F$6:$F$405,$AN2225)&lt;&gt;"",$AO2225&lt;&gt;"",INDEX(職員マスタ!$F$6:$F$405,$AN2225)&lt;$AO2225),"対象月に子が2歳到達済／","")&amp;IF(AND($H2225&lt;&gt;"",INDEX(職員マスタ!$B$6:$B$405,$AN2225)&lt;&gt;"",SUBSTITUTE(SUBSTITUTE($H2225," ","")," ","")&lt;&gt;SUBSTITUTE(SUBSTITUTE(INDEX(職員マスタ!$B$6:$B$405,$AN2225)," ","")," ","")),"氏名がマスタと相違／","")&amp;IF(AND($Q2225&lt;&gt;"",INDEX(職員マスタ!$E$6:$E$405,$AN2225)&lt;&gt;"",$Q2225&lt;&gt;INDEX(職員マスタ!$E$6:$E$405,$AN2225)),"子の生年月日がマスタと相違／","")&amp;IF(AND($L2225&lt;&gt;"",INDEX(職員マスタ!$G$6:$G$405,$AN2225)&lt;&gt;"",$L2225&lt;&gt;INDEX(職員マスタ!$G$6:$G$405,$AN2225)),"時短開始日がマスタと相違／","")&amp;IF(AND($M2225&lt;&gt;"",INDEX(職員マスタ!$H$6:$H$405,$AN2225)&lt;&gt;"",$M2225&lt;&gt;INDEX(職員マスタ!$H$6:$H$405,$AN2225)),"時短終了日がマスタと相違／","")))&amp;IF(AND($B2225&lt;&gt;"",$E2225=""),"報酬額が未入力／","")&amp;IF(N($U2225)&gt;0,"申請書に入力エラーが残っています／","")&amp;IF(AND($B2225&lt;&gt;"",$AO2225&lt;&gt;""),IF(COUNTIFS($B$6:$B$3005,$B2225,$C$6:$C$3005,$C2225,$D$6:$D$3005,$D2225)&gt;1,"同じ月の請求が重複しています／",""),"")&amp;IF(AND(N($E2225)&gt;0,$Z2225&lt;&gt;"",$Z2225&lt;&gt;"×",$AC2225=0,$AB2225=""),"計算額が下限以下のため不支給／",""))</f>
        <v/>
      </c>
      <c r="AL2225" s="12" t="n"/>
      <c r="AM2225" s="14">
        <f>IF($AD2225="保留中",COUNTIF($AD$6:$AD2225,"保留中"),"")</f>
        <v/>
      </c>
      <c r="AN2225" s="14">
        <f>IF($AO2225="","",IF(SUMPRODUCT(MAX((職員マスタ!$A$6:$A$405=$B2225)*(((職員マスタ!$G$6:$G$405="")+(職員マスタ!$G$6:$G$405&lt;=EOMONTH($AO2225,0)))&gt;0)*(((職員マスタ!$H$6:$H$405="")+(職員マスタ!$H$6:$H$405&gt;=$AO2225))&gt;0)*(ROW(職員マスタ!$A$6:$A$405)-5)))&gt;0,SUMPRODUCT(MAX((職員マスタ!$A$6:$A$405=$B2225)*(((職員マスタ!$G$6:$G$405="")+(職員マスタ!$G$6:$G$405&lt;=EOMONTH($AO2225,0)))&gt;0)*(((職員マスタ!$H$6:$H$405="")+(職員マスタ!$H$6:$H$405&gt;=$AO2225))&gt;0)*(ROW(職員マスタ!$A$6:$A$405)-5))),IFERROR(MATCH($B2225,職員マスタ!$A$6:$A$405,0),"")))</f>
        <v/>
      </c>
      <c r="AO2225" s="16">
        <f>IF(OR($B2225="",$C2225="",$D2225=""),"",DATE($C2225+2018,$D2225,1))</f>
        <v/>
      </c>
    </row>
    <row r="2226">
      <c r="A2226" s="11" t="n"/>
      <c r="B2226" s="12" t="n"/>
      <c r="C2226" s="12" t="n"/>
      <c r="D2226" s="12" t="n"/>
      <c r="E2226" s="13" t="n"/>
      <c r="F2226" s="12" t="n"/>
      <c r="G2226" s="13" t="n"/>
      <c r="H2226" s="12" t="n"/>
      <c r="I2226" s="12" t="n"/>
      <c r="J2226" s="12" t="n"/>
      <c r="K2226" s="12" t="n"/>
      <c r="L2226" s="11" t="n"/>
      <c r="M2226" s="11" t="n"/>
      <c r="N2226" s="11" t="n"/>
      <c r="O2226" s="11" t="n"/>
      <c r="P2226" s="12" t="n"/>
      <c r="Q2226" s="11" t="n"/>
      <c r="R2226" s="12" t="n"/>
      <c r="S2226" s="11" t="n"/>
      <c r="T2226" s="12" t="n"/>
      <c r="U2226" s="12" t="n"/>
      <c r="V2226" s="14">
        <f>IF($AN2226="",IF($B2226="","",$H2226),IF(INDEX(職員マスタ!$B$6:$B$405,$AN2226)="",$H2226,INDEX(職員マスタ!$B$6:$B$405,$AN2226)))</f>
        <v/>
      </c>
      <c r="W2226" s="14">
        <f>IF($AN2226="",IF($B2226="","",$R2226),IF(INDEX(職員マスタ!$C$6:$C$405,$AN2226)="",$R2226,INDEX(職員マスタ!$C$6:$C$405,$AN2226)))</f>
        <v/>
      </c>
      <c r="X2226" s="14">
        <f>IF($AO2226="","","R"&amp;$C2226&amp;"."&amp;$D2226)</f>
        <v/>
      </c>
      <c r="Y2226" s="15">
        <f>IF($AN2226="","",IF(INDEX(職員マスタ!$K$6:$K$405,$AN2226)="","",INDEX(職員マスタ!$K$6:$K$405,$AN2226)))</f>
        <v/>
      </c>
      <c r="Z2226" s="14">
        <f>IF(OR($E2226="",$Y2226=""),"",IF($E2226&gt;=$Y2226,"×",IF($E2226&gt;=$Y2226*設定!$C$5,"△","○")))</f>
        <v/>
      </c>
      <c r="AA2226" s="15">
        <f>IF($Z2226="","",IF($Z2226="×",0,IF($Z2226="○",ROUNDDOWN($E2226*設定!$C$4,0),ROUNDDOWN($E2226*ROUND((9*$Y2226-9*$E2226)/(10*$E2226),4),0))))</f>
        <v/>
      </c>
      <c r="AB2226" s="13" t="n"/>
      <c r="AC2226" s="15">
        <f>IF($B2226="","",IF($AB2226&lt;&gt;"",$AB2226,IF($AA2226="","",IF($AA2226&lt;=設定!$C$3,0,$AA2226))))</f>
        <v/>
      </c>
      <c r="AD2226" s="14">
        <f>IF($B2226="","",IF(AND($AE2226&lt;&gt;"",$AG2226="",$AJ2226=""),"保留中",IF($AJ2226&lt;&gt;"",IF(N($AC2226)&gt;0,"支給済","不支給"),IF($AC2226="","要確認",IF($AC2226=0,"不支給","未処理")))))</f>
        <v/>
      </c>
      <c r="AE2226" s="12" t="n"/>
      <c r="AF2226" s="11" t="n"/>
      <c r="AG2226" s="11" t="n"/>
      <c r="AH2226" s="11" t="n"/>
      <c r="AI2226" s="14">
        <f>IF(AND($AD2226="保留中",$AF2226&lt;&gt;""),TODAY()-$AF2226,"")</f>
        <v/>
      </c>
      <c r="AJ2226" s="12" t="n"/>
      <c r="AK2226" s="14">
        <f>IF($B2226="","",IF($AO2226="","対象年月が未入力／","")&amp;IF($B2226="","",IF($AN2226="","職員マスタに未登録の職員番号／",IF($Y2226="","標準報酬月額が未登録／","")&amp;IF(AND($AO2226&lt;&gt;"",OR(AND(INDEX(職員マスタ!$G$6:$G$405,$AN2226)&lt;&gt;"",INDEX(職員マスタ!$G$6:$G$405,$AN2226)&gt;EOMONTH($AO2226,0)),AND(INDEX(職員マスタ!$H$6:$H$405,$AN2226)&lt;&gt;"",INDEX(職員マスタ!$H$6:$H$405,$AN2226)&lt;$AO2226))),"対象月が時短期間外／","")&amp;IF(AND(INDEX(職員マスタ!$F$6:$F$405,$AN2226)&lt;&gt;"",$AO2226&lt;&gt;"",INDEX(職員マスタ!$F$6:$F$405,$AN2226)&lt;$AO2226),"対象月に子が2歳到達済／","")&amp;IF(AND($H2226&lt;&gt;"",INDEX(職員マスタ!$B$6:$B$405,$AN2226)&lt;&gt;"",SUBSTITUTE(SUBSTITUTE($H2226," ","")," ","")&lt;&gt;SUBSTITUTE(SUBSTITUTE(INDEX(職員マスタ!$B$6:$B$405,$AN2226)," ","")," ","")),"氏名がマスタと相違／","")&amp;IF(AND($Q2226&lt;&gt;"",INDEX(職員マスタ!$E$6:$E$405,$AN2226)&lt;&gt;"",$Q2226&lt;&gt;INDEX(職員マスタ!$E$6:$E$405,$AN2226)),"子の生年月日がマスタと相違／","")&amp;IF(AND($L2226&lt;&gt;"",INDEX(職員マスタ!$G$6:$G$405,$AN2226)&lt;&gt;"",$L2226&lt;&gt;INDEX(職員マスタ!$G$6:$G$405,$AN2226)),"時短開始日がマスタと相違／","")&amp;IF(AND($M2226&lt;&gt;"",INDEX(職員マスタ!$H$6:$H$405,$AN2226)&lt;&gt;"",$M2226&lt;&gt;INDEX(職員マスタ!$H$6:$H$405,$AN2226)),"時短終了日がマスタと相違／","")))&amp;IF(AND($B2226&lt;&gt;"",$E2226=""),"報酬額が未入力／","")&amp;IF(N($U2226)&gt;0,"申請書に入力エラーが残っています／","")&amp;IF(AND($B2226&lt;&gt;"",$AO2226&lt;&gt;""),IF(COUNTIFS($B$6:$B$3005,$B2226,$C$6:$C$3005,$C2226,$D$6:$D$3005,$D2226)&gt;1,"同じ月の請求が重複しています／",""),"")&amp;IF(AND(N($E2226)&gt;0,$Z2226&lt;&gt;"",$Z2226&lt;&gt;"×",$AC2226=0,$AB2226=""),"計算額が下限以下のため不支給／",""))</f>
        <v/>
      </c>
      <c r="AL2226" s="12" t="n"/>
      <c r="AM2226" s="14">
        <f>IF($AD2226="保留中",COUNTIF($AD$6:$AD2226,"保留中"),"")</f>
        <v/>
      </c>
      <c r="AN2226" s="14">
        <f>IF($AO2226="","",IF(SUMPRODUCT(MAX((職員マスタ!$A$6:$A$405=$B2226)*(((職員マスタ!$G$6:$G$405="")+(職員マスタ!$G$6:$G$405&lt;=EOMONTH($AO2226,0)))&gt;0)*(((職員マスタ!$H$6:$H$405="")+(職員マスタ!$H$6:$H$405&gt;=$AO2226))&gt;0)*(ROW(職員マスタ!$A$6:$A$405)-5)))&gt;0,SUMPRODUCT(MAX((職員マスタ!$A$6:$A$405=$B2226)*(((職員マスタ!$G$6:$G$405="")+(職員マスタ!$G$6:$G$405&lt;=EOMONTH($AO2226,0)))&gt;0)*(((職員マスタ!$H$6:$H$405="")+(職員マスタ!$H$6:$H$405&gt;=$AO2226))&gt;0)*(ROW(職員マスタ!$A$6:$A$405)-5))),IFERROR(MATCH($B2226,職員マスタ!$A$6:$A$405,0),"")))</f>
        <v/>
      </c>
      <c r="AO2226" s="16">
        <f>IF(OR($B2226="",$C2226="",$D2226=""),"",DATE($C2226+2018,$D2226,1))</f>
        <v/>
      </c>
    </row>
    <row r="2227">
      <c r="A2227" s="11" t="n"/>
      <c r="B2227" s="12" t="n"/>
      <c r="C2227" s="12" t="n"/>
      <c r="D2227" s="12" t="n"/>
      <c r="E2227" s="13" t="n"/>
      <c r="F2227" s="12" t="n"/>
      <c r="G2227" s="13" t="n"/>
      <c r="H2227" s="12" t="n"/>
      <c r="I2227" s="12" t="n"/>
      <c r="J2227" s="12" t="n"/>
      <c r="K2227" s="12" t="n"/>
      <c r="L2227" s="11" t="n"/>
      <c r="M2227" s="11" t="n"/>
      <c r="N2227" s="11" t="n"/>
      <c r="O2227" s="11" t="n"/>
      <c r="P2227" s="12" t="n"/>
      <c r="Q2227" s="11" t="n"/>
      <c r="R2227" s="12" t="n"/>
      <c r="S2227" s="11" t="n"/>
      <c r="T2227" s="12" t="n"/>
      <c r="U2227" s="12" t="n"/>
      <c r="V2227" s="14">
        <f>IF($AN2227="",IF($B2227="","",$H2227),IF(INDEX(職員マスタ!$B$6:$B$405,$AN2227)="",$H2227,INDEX(職員マスタ!$B$6:$B$405,$AN2227)))</f>
        <v/>
      </c>
      <c r="W2227" s="14">
        <f>IF($AN2227="",IF($B2227="","",$R2227),IF(INDEX(職員マスタ!$C$6:$C$405,$AN2227)="",$R2227,INDEX(職員マスタ!$C$6:$C$405,$AN2227)))</f>
        <v/>
      </c>
      <c r="X2227" s="14">
        <f>IF($AO2227="","","R"&amp;$C2227&amp;"."&amp;$D2227)</f>
        <v/>
      </c>
      <c r="Y2227" s="15">
        <f>IF($AN2227="","",IF(INDEX(職員マスタ!$K$6:$K$405,$AN2227)="","",INDEX(職員マスタ!$K$6:$K$405,$AN2227)))</f>
        <v/>
      </c>
      <c r="Z2227" s="14">
        <f>IF(OR($E2227="",$Y2227=""),"",IF($E2227&gt;=$Y2227,"×",IF($E2227&gt;=$Y2227*設定!$C$5,"△","○")))</f>
        <v/>
      </c>
      <c r="AA2227" s="15">
        <f>IF($Z2227="","",IF($Z2227="×",0,IF($Z2227="○",ROUNDDOWN($E2227*設定!$C$4,0),ROUNDDOWN($E2227*ROUND((9*$Y2227-9*$E2227)/(10*$E2227),4),0))))</f>
        <v/>
      </c>
      <c r="AB2227" s="13" t="n"/>
      <c r="AC2227" s="15">
        <f>IF($B2227="","",IF($AB2227&lt;&gt;"",$AB2227,IF($AA2227="","",IF($AA2227&lt;=設定!$C$3,0,$AA2227))))</f>
        <v/>
      </c>
      <c r="AD2227" s="14">
        <f>IF($B2227="","",IF(AND($AE2227&lt;&gt;"",$AG2227="",$AJ2227=""),"保留中",IF($AJ2227&lt;&gt;"",IF(N($AC2227)&gt;0,"支給済","不支給"),IF($AC2227="","要確認",IF($AC2227=0,"不支給","未処理")))))</f>
        <v/>
      </c>
      <c r="AE2227" s="12" t="n"/>
      <c r="AF2227" s="11" t="n"/>
      <c r="AG2227" s="11" t="n"/>
      <c r="AH2227" s="11" t="n"/>
      <c r="AI2227" s="14">
        <f>IF(AND($AD2227="保留中",$AF2227&lt;&gt;""),TODAY()-$AF2227,"")</f>
        <v/>
      </c>
      <c r="AJ2227" s="12" t="n"/>
      <c r="AK2227" s="14">
        <f>IF($B2227="","",IF($AO2227="","対象年月が未入力／","")&amp;IF($B2227="","",IF($AN2227="","職員マスタに未登録の職員番号／",IF($Y2227="","標準報酬月額が未登録／","")&amp;IF(AND($AO2227&lt;&gt;"",OR(AND(INDEX(職員マスタ!$G$6:$G$405,$AN2227)&lt;&gt;"",INDEX(職員マスタ!$G$6:$G$405,$AN2227)&gt;EOMONTH($AO2227,0)),AND(INDEX(職員マスタ!$H$6:$H$405,$AN2227)&lt;&gt;"",INDEX(職員マスタ!$H$6:$H$405,$AN2227)&lt;$AO2227))),"対象月が時短期間外／","")&amp;IF(AND(INDEX(職員マスタ!$F$6:$F$405,$AN2227)&lt;&gt;"",$AO2227&lt;&gt;"",INDEX(職員マスタ!$F$6:$F$405,$AN2227)&lt;$AO2227),"対象月に子が2歳到達済／","")&amp;IF(AND($H2227&lt;&gt;"",INDEX(職員マスタ!$B$6:$B$405,$AN2227)&lt;&gt;"",SUBSTITUTE(SUBSTITUTE($H2227," ","")," ","")&lt;&gt;SUBSTITUTE(SUBSTITUTE(INDEX(職員マスタ!$B$6:$B$405,$AN2227)," ","")," ","")),"氏名がマスタと相違／","")&amp;IF(AND($Q2227&lt;&gt;"",INDEX(職員マスタ!$E$6:$E$405,$AN2227)&lt;&gt;"",$Q2227&lt;&gt;INDEX(職員マスタ!$E$6:$E$405,$AN2227)),"子の生年月日がマスタと相違／","")&amp;IF(AND($L2227&lt;&gt;"",INDEX(職員マスタ!$G$6:$G$405,$AN2227)&lt;&gt;"",$L2227&lt;&gt;INDEX(職員マスタ!$G$6:$G$405,$AN2227)),"時短開始日がマスタと相違／","")&amp;IF(AND($M2227&lt;&gt;"",INDEX(職員マスタ!$H$6:$H$405,$AN2227)&lt;&gt;"",$M2227&lt;&gt;INDEX(職員マスタ!$H$6:$H$405,$AN2227)),"時短終了日がマスタと相違／","")))&amp;IF(AND($B2227&lt;&gt;"",$E2227=""),"報酬額が未入力／","")&amp;IF(N($U2227)&gt;0,"申請書に入力エラーが残っています／","")&amp;IF(AND($B2227&lt;&gt;"",$AO2227&lt;&gt;""),IF(COUNTIFS($B$6:$B$3005,$B2227,$C$6:$C$3005,$C2227,$D$6:$D$3005,$D2227)&gt;1,"同じ月の請求が重複しています／",""),"")&amp;IF(AND(N($E2227)&gt;0,$Z2227&lt;&gt;"",$Z2227&lt;&gt;"×",$AC2227=0,$AB2227=""),"計算額が下限以下のため不支給／",""))</f>
        <v/>
      </c>
      <c r="AL2227" s="12" t="n"/>
      <c r="AM2227" s="14">
        <f>IF($AD2227="保留中",COUNTIF($AD$6:$AD2227,"保留中"),"")</f>
        <v/>
      </c>
      <c r="AN2227" s="14">
        <f>IF($AO2227="","",IF(SUMPRODUCT(MAX((職員マスタ!$A$6:$A$405=$B2227)*(((職員マスタ!$G$6:$G$405="")+(職員マスタ!$G$6:$G$405&lt;=EOMONTH($AO2227,0)))&gt;0)*(((職員マスタ!$H$6:$H$405="")+(職員マスタ!$H$6:$H$405&gt;=$AO2227))&gt;0)*(ROW(職員マスタ!$A$6:$A$405)-5)))&gt;0,SUMPRODUCT(MAX((職員マスタ!$A$6:$A$405=$B2227)*(((職員マスタ!$G$6:$G$405="")+(職員マスタ!$G$6:$G$405&lt;=EOMONTH($AO2227,0)))&gt;0)*(((職員マスタ!$H$6:$H$405="")+(職員マスタ!$H$6:$H$405&gt;=$AO2227))&gt;0)*(ROW(職員マスタ!$A$6:$A$405)-5))),IFERROR(MATCH($B2227,職員マスタ!$A$6:$A$405,0),"")))</f>
        <v/>
      </c>
      <c r="AO2227" s="16">
        <f>IF(OR($B2227="",$C2227="",$D2227=""),"",DATE($C2227+2018,$D2227,1))</f>
        <v/>
      </c>
    </row>
    <row r="2228">
      <c r="A2228" s="11" t="n"/>
      <c r="B2228" s="12" t="n"/>
      <c r="C2228" s="12" t="n"/>
      <c r="D2228" s="12" t="n"/>
      <c r="E2228" s="13" t="n"/>
      <c r="F2228" s="12" t="n"/>
      <c r="G2228" s="13" t="n"/>
      <c r="H2228" s="12" t="n"/>
      <c r="I2228" s="12" t="n"/>
      <c r="J2228" s="12" t="n"/>
      <c r="K2228" s="12" t="n"/>
      <c r="L2228" s="11" t="n"/>
      <c r="M2228" s="11" t="n"/>
      <c r="N2228" s="11" t="n"/>
      <c r="O2228" s="11" t="n"/>
      <c r="P2228" s="12" t="n"/>
      <c r="Q2228" s="11" t="n"/>
      <c r="R2228" s="12" t="n"/>
      <c r="S2228" s="11" t="n"/>
      <c r="T2228" s="12" t="n"/>
      <c r="U2228" s="12" t="n"/>
      <c r="V2228" s="14">
        <f>IF($AN2228="",IF($B2228="","",$H2228),IF(INDEX(職員マスタ!$B$6:$B$405,$AN2228)="",$H2228,INDEX(職員マスタ!$B$6:$B$405,$AN2228)))</f>
        <v/>
      </c>
      <c r="W2228" s="14">
        <f>IF($AN2228="",IF($B2228="","",$R2228),IF(INDEX(職員マスタ!$C$6:$C$405,$AN2228)="",$R2228,INDEX(職員マスタ!$C$6:$C$405,$AN2228)))</f>
        <v/>
      </c>
      <c r="X2228" s="14">
        <f>IF($AO2228="","","R"&amp;$C2228&amp;"."&amp;$D2228)</f>
        <v/>
      </c>
      <c r="Y2228" s="15">
        <f>IF($AN2228="","",IF(INDEX(職員マスタ!$K$6:$K$405,$AN2228)="","",INDEX(職員マスタ!$K$6:$K$405,$AN2228)))</f>
        <v/>
      </c>
      <c r="Z2228" s="14">
        <f>IF(OR($E2228="",$Y2228=""),"",IF($E2228&gt;=$Y2228,"×",IF($E2228&gt;=$Y2228*設定!$C$5,"△","○")))</f>
        <v/>
      </c>
      <c r="AA2228" s="15">
        <f>IF($Z2228="","",IF($Z2228="×",0,IF($Z2228="○",ROUNDDOWN($E2228*設定!$C$4,0),ROUNDDOWN($E2228*ROUND((9*$Y2228-9*$E2228)/(10*$E2228),4),0))))</f>
        <v/>
      </c>
      <c r="AB2228" s="13" t="n"/>
      <c r="AC2228" s="15">
        <f>IF($B2228="","",IF($AB2228&lt;&gt;"",$AB2228,IF($AA2228="","",IF($AA2228&lt;=設定!$C$3,0,$AA2228))))</f>
        <v/>
      </c>
      <c r="AD2228" s="14">
        <f>IF($B2228="","",IF(AND($AE2228&lt;&gt;"",$AG2228="",$AJ2228=""),"保留中",IF($AJ2228&lt;&gt;"",IF(N($AC2228)&gt;0,"支給済","不支給"),IF($AC2228="","要確認",IF($AC2228=0,"不支給","未処理")))))</f>
        <v/>
      </c>
      <c r="AE2228" s="12" t="n"/>
      <c r="AF2228" s="11" t="n"/>
      <c r="AG2228" s="11" t="n"/>
      <c r="AH2228" s="11" t="n"/>
      <c r="AI2228" s="14">
        <f>IF(AND($AD2228="保留中",$AF2228&lt;&gt;""),TODAY()-$AF2228,"")</f>
        <v/>
      </c>
      <c r="AJ2228" s="12" t="n"/>
      <c r="AK2228" s="14">
        <f>IF($B2228="","",IF($AO2228="","対象年月が未入力／","")&amp;IF($B2228="","",IF($AN2228="","職員マスタに未登録の職員番号／",IF($Y2228="","標準報酬月額が未登録／","")&amp;IF(AND($AO2228&lt;&gt;"",OR(AND(INDEX(職員マスタ!$G$6:$G$405,$AN2228)&lt;&gt;"",INDEX(職員マスタ!$G$6:$G$405,$AN2228)&gt;EOMONTH($AO2228,0)),AND(INDEX(職員マスタ!$H$6:$H$405,$AN2228)&lt;&gt;"",INDEX(職員マスタ!$H$6:$H$405,$AN2228)&lt;$AO2228))),"対象月が時短期間外／","")&amp;IF(AND(INDEX(職員マスタ!$F$6:$F$405,$AN2228)&lt;&gt;"",$AO2228&lt;&gt;"",INDEX(職員マスタ!$F$6:$F$405,$AN2228)&lt;$AO2228),"対象月に子が2歳到達済／","")&amp;IF(AND($H2228&lt;&gt;"",INDEX(職員マスタ!$B$6:$B$405,$AN2228)&lt;&gt;"",SUBSTITUTE(SUBSTITUTE($H2228," ","")," ","")&lt;&gt;SUBSTITUTE(SUBSTITUTE(INDEX(職員マスタ!$B$6:$B$405,$AN2228)," ","")," ","")),"氏名がマスタと相違／","")&amp;IF(AND($Q2228&lt;&gt;"",INDEX(職員マスタ!$E$6:$E$405,$AN2228)&lt;&gt;"",$Q2228&lt;&gt;INDEX(職員マスタ!$E$6:$E$405,$AN2228)),"子の生年月日がマスタと相違／","")&amp;IF(AND($L2228&lt;&gt;"",INDEX(職員マスタ!$G$6:$G$405,$AN2228)&lt;&gt;"",$L2228&lt;&gt;INDEX(職員マスタ!$G$6:$G$405,$AN2228)),"時短開始日がマスタと相違／","")&amp;IF(AND($M2228&lt;&gt;"",INDEX(職員マスタ!$H$6:$H$405,$AN2228)&lt;&gt;"",$M2228&lt;&gt;INDEX(職員マスタ!$H$6:$H$405,$AN2228)),"時短終了日がマスタと相違／","")))&amp;IF(AND($B2228&lt;&gt;"",$E2228=""),"報酬額が未入力／","")&amp;IF(N($U2228)&gt;0,"申請書に入力エラーが残っています／","")&amp;IF(AND($B2228&lt;&gt;"",$AO2228&lt;&gt;""),IF(COUNTIFS($B$6:$B$3005,$B2228,$C$6:$C$3005,$C2228,$D$6:$D$3005,$D2228)&gt;1,"同じ月の請求が重複しています／",""),"")&amp;IF(AND(N($E2228)&gt;0,$Z2228&lt;&gt;"",$Z2228&lt;&gt;"×",$AC2228=0,$AB2228=""),"計算額が下限以下のため不支給／",""))</f>
        <v/>
      </c>
      <c r="AL2228" s="12" t="n"/>
      <c r="AM2228" s="14">
        <f>IF($AD2228="保留中",COUNTIF($AD$6:$AD2228,"保留中"),"")</f>
        <v/>
      </c>
      <c r="AN2228" s="14">
        <f>IF($AO2228="","",IF(SUMPRODUCT(MAX((職員マスタ!$A$6:$A$405=$B2228)*(((職員マスタ!$G$6:$G$405="")+(職員マスタ!$G$6:$G$405&lt;=EOMONTH($AO2228,0)))&gt;0)*(((職員マスタ!$H$6:$H$405="")+(職員マスタ!$H$6:$H$405&gt;=$AO2228))&gt;0)*(ROW(職員マスタ!$A$6:$A$405)-5)))&gt;0,SUMPRODUCT(MAX((職員マスタ!$A$6:$A$405=$B2228)*(((職員マスタ!$G$6:$G$405="")+(職員マスタ!$G$6:$G$405&lt;=EOMONTH($AO2228,0)))&gt;0)*(((職員マスタ!$H$6:$H$405="")+(職員マスタ!$H$6:$H$405&gt;=$AO2228))&gt;0)*(ROW(職員マスタ!$A$6:$A$405)-5))),IFERROR(MATCH($B2228,職員マスタ!$A$6:$A$405,0),"")))</f>
        <v/>
      </c>
      <c r="AO2228" s="16">
        <f>IF(OR($B2228="",$C2228="",$D2228=""),"",DATE($C2228+2018,$D2228,1))</f>
        <v/>
      </c>
    </row>
    <row r="2229">
      <c r="A2229" s="11" t="n"/>
      <c r="B2229" s="12" t="n"/>
      <c r="C2229" s="12" t="n"/>
      <c r="D2229" s="12" t="n"/>
      <c r="E2229" s="13" t="n"/>
      <c r="F2229" s="12" t="n"/>
      <c r="G2229" s="13" t="n"/>
      <c r="H2229" s="12" t="n"/>
      <c r="I2229" s="12" t="n"/>
      <c r="J2229" s="12" t="n"/>
      <c r="K2229" s="12" t="n"/>
      <c r="L2229" s="11" t="n"/>
      <c r="M2229" s="11" t="n"/>
      <c r="N2229" s="11" t="n"/>
      <c r="O2229" s="11" t="n"/>
      <c r="P2229" s="12" t="n"/>
      <c r="Q2229" s="11" t="n"/>
      <c r="R2229" s="12" t="n"/>
      <c r="S2229" s="11" t="n"/>
      <c r="T2229" s="12" t="n"/>
      <c r="U2229" s="12" t="n"/>
      <c r="V2229" s="14">
        <f>IF($AN2229="",IF($B2229="","",$H2229),IF(INDEX(職員マスタ!$B$6:$B$405,$AN2229)="",$H2229,INDEX(職員マスタ!$B$6:$B$405,$AN2229)))</f>
        <v/>
      </c>
      <c r="W2229" s="14">
        <f>IF($AN2229="",IF($B2229="","",$R2229),IF(INDEX(職員マスタ!$C$6:$C$405,$AN2229)="",$R2229,INDEX(職員マスタ!$C$6:$C$405,$AN2229)))</f>
        <v/>
      </c>
      <c r="X2229" s="14">
        <f>IF($AO2229="","","R"&amp;$C2229&amp;"."&amp;$D2229)</f>
        <v/>
      </c>
      <c r="Y2229" s="15">
        <f>IF($AN2229="","",IF(INDEX(職員マスタ!$K$6:$K$405,$AN2229)="","",INDEX(職員マスタ!$K$6:$K$405,$AN2229)))</f>
        <v/>
      </c>
      <c r="Z2229" s="14">
        <f>IF(OR($E2229="",$Y2229=""),"",IF($E2229&gt;=$Y2229,"×",IF($E2229&gt;=$Y2229*設定!$C$5,"△","○")))</f>
        <v/>
      </c>
      <c r="AA2229" s="15">
        <f>IF($Z2229="","",IF($Z2229="×",0,IF($Z2229="○",ROUNDDOWN($E2229*設定!$C$4,0),ROUNDDOWN($E2229*ROUND((9*$Y2229-9*$E2229)/(10*$E2229),4),0))))</f>
        <v/>
      </c>
      <c r="AB2229" s="13" t="n"/>
      <c r="AC2229" s="15">
        <f>IF($B2229="","",IF($AB2229&lt;&gt;"",$AB2229,IF($AA2229="","",IF($AA2229&lt;=設定!$C$3,0,$AA2229))))</f>
        <v/>
      </c>
      <c r="AD2229" s="14">
        <f>IF($B2229="","",IF(AND($AE2229&lt;&gt;"",$AG2229="",$AJ2229=""),"保留中",IF($AJ2229&lt;&gt;"",IF(N($AC2229)&gt;0,"支給済","不支給"),IF($AC2229="","要確認",IF($AC2229=0,"不支給","未処理")))))</f>
        <v/>
      </c>
      <c r="AE2229" s="12" t="n"/>
      <c r="AF2229" s="11" t="n"/>
      <c r="AG2229" s="11" t="n"/>
      <c r="AH2229" s="11" t="n"/>
      <c r="AI2229" s="14">
        <f>IF(AND($AD2229="保留中",$AF2229&lt;&gt;""),TODAY()-$AF2229,"")</f>
        <v/>
      </c>
      <c r="AJ2229" s="12" t="n"/>
      <c r="AK2229" s="14">
        <f>IF($B2229="","",IF($AO2229="","対象年月が未入力／","")&amp;IF($B2229="","",IF($AN2229="","職員マスタに未登録の職員番号／",IF($Y2229="","標準報酬月額が未登録／","")&amp;IF(AND($AO2229&lt;&gt;"",OR(AND(INDEX(職員マスタ!$G$6:$G$405,$AN2229)&lt;&gt;"",INDEX(職員マスタ!$G$6:$G$405,$AN2229)&gt;EOMONTH($AO2229,0)),AND(INDEX(職員マスタ!$H$6:$H$405,$AN2229)&lt;&gt;"",INDEX(職員マスタ!$H$6:$H$405,$AN2229)&lt;$AO2229))),"対象月が時短期間外／","")&amp;IF(AND(INDEX(職員マスタ!$F$6:$F$405,$AN2229)&lt;&gt;"",$AO2229&lt;&gt;"",INDEX(職員マスタ!$F$6:$F$405,$AN2229)&lt;$AO2229),"対象月に子が2歳到達済／","")&amp;IF(AND($H2229&lt;&gt;"",INDEX(職員マスタ!$B$6:$B$405,$AN2229)&lt;&gt;"",SUBSTITUTE(SUBSTITUTE($H2229," ","")," ","")&lt;&gt;SUBSTITUTE(SUBSTITUTE(INDEX(職員マスタ!$B$6:$B$405,$AN2229)," ","")," ","")),"氏名がマスタと相違／","")&amp;IF(AND($Q2229&lt;&gt;"",INDEX(職員マスタ!$E$6:$E$405,$AN2229)&lt;&gt;"",$Q2229&lt;&gt;INDEX(職員マスタ!$E$6:$E$405,$AN2229)),"子の生年月日がマスタと相違／","")&amp;IF(AND($L2229&lt;&gt;"",INDEX(職員マスタ!$G$6:$G$405,$AN2229)&lt;&gt;"",$L2229&lt;&gt;INDEX(職員マスタ!$G$6:$G$405,$AN2229)),"時短開始日がマスタと相違／","")&amp;IF(AND($M2229&lt;&gt;"",INDEX(職員マスタ!$H$6:$H$405,$AN2229)&lt;&gt;"",$M2229&lt;&gt;INDEX(職員マスタ!$H$6:$H$405,$AN2229)),"時短終了日がマスタと相違／","")))&amp;IF(AND($B2229&lt;&gt;"",$E2229=""),"報酬額が未入力／","")&amp;IF(N($U2229)&gt;0,"申請書に入力エラーが残っています／","")&amp;IF(AND($B2229&lt;&gt;"",$AO2229&lt;&gt;""),IF(COUNTIFS($B$6:$B$3005,$B2229,$C$6:$C$3005,$C2229,$D$6:$D$3005,$D2229)&gt;1,"同じ月の請求が重複しています／",""),"")&amp;IF(AND(N($E2229)&gt;0,$Z2229&lt;&gt;"",$Z2229&lt;&gt;"×",$AC2229=0,$AB2229=""),"計算額が下限以下のため不支給／",""))</f>
        <v/>
      </c>
      <c r="AL2229" s="12" t="n"/>
      <c r="AM2229" s="14">
        <f>IF($AD2229="保留中",COUNTIF($AD$6:$AD2229,"保留中"),"")</f>
        <v/>
      </c>
      <c r="AN2229" s="14">
        <f>IF($AO2229="","",IF(SUMPRODUCT(MAX((職員マスタ!$A$6:$A$405=$B2229)*(((職員マスタ!$G$6:$G$405="")+(職員マスタ!$G$6:$G$405&lt;=EOMONTH($AO2229,0)))&gt;0)*(((職員マスタ!$H$6:$H$405="")+(職員マスタ!$H$6:$H$405&gt;=$AO2229))&gt;0)*(ROW(職員マスタ!$A$6:$A$405)-5)))&gt;0,SUMPRODUCT(MAX((職員マスタ!$A$6:$A$405=$B2229)*(((職員マスタ!$G$6:$G$405="")+(職員マスタ!$G$6:$G$405&lt;=EOMONTH($AO2229,0)))&gt;0)*(((職員マスタ!$H$6:$H$405="")+(職員マスタ!$H$6:$H$405&gt;=$AO2229))&gt;0)*(ROW(職員マスタ!$A$6:$A$405)-5))),IFERROR(MATCH($B2229,職員マスタ!$A$6:$A$405,0),"")))</f>
        <v/>
      </c>
      <c r="AO2229" s="16">
        <f>IF(OR($B2229="",$C2229="",$D2229=""),"",DATE($C2229+2018,$D2229,1))</f>
        <v/>
      </c>
    </row>
    <row r="2230">
      <c r="A2230" s="11" t="n"/>
      <c r="B2230" s="12" t="n"/>
      <c r="C2230" s="12" t="n"/>
      <c r="D2230" s="12" t="n"/>
      <c r="E2230" s="13" t="n"/>
      <c r="F2230" s="12" t="n"/>
      <c r="G2230" s="13" t="n"/>
      <c r="H2230" s="12" t="n"/>
      <c r="I2230" s="12" t="n"/>
      <c r="J2230" s="12" t="n"/>
      <c r="K2230" s="12" t="n"/>
      <c r="L2230" s="11" t="n"/>
      <c r="M2230" s="11" t="n"/>
      <c r="N2230" s="11" t="n"/>
      <c r="O2230" s="11" t="n"/>
      <c r="P2230" s="12" t="n"/>
      <c r="Q2230" s="11" t="n"/>
      <c r="R2230" s="12" t="n"/>
      <c r="S2230" s="11" t="n"/>
      <c r="T2230" s="12" t="n"/>
      <c r="U2230" s="12" t="n"/>
      <c r="V2230" s="14">
        <f>IF($AN2230="",IF($B2230="","",$H2230),IF(INDEX(職員マスタ!$B$6:$B$405,$AN2230)="",$H2230,INDEX(職員マスタ!$B$6:$B$405,$AN2230)))</f>
        <v/>
      </c>
      <c r="W2230" s="14">
        <f>IF($AN2230="",IF($B2230="","",$R2230),IF(INDEX(職員マスタ!$C$6:$C$405,$AN2230)="",$R2230,INDEX(職員マスタ!$C$6:$C$405,$AN2230)))</f>
        <v/>
      </c>
      <c r="X2230" s="14">
        <f>IF($AO2230="","","R"&amp;$C2230&amp;"."&amp;$D2230)</f>
        <v/>
      </c>
      <c r="Y2230" s="15">
        <f>IF($AN2230="","",IF(INDEX(職員マスタ!$K$6:$K$405,$AN2230)="","",INDEX(職員マスタ!$K$6:$K$405,$AN2230)))</f>
        <v/>
      </c>
      <c r="Z2230" s="14">
        <f>IF(OR($E2230="",$Y2230=""),"",IF($E2230&gt;=$Y2230,"×",IF($E2230&gt;=$Y2230*設定!$C$5,"△","○")))</f>
        <v/>
      </c>
      <c r="AA2230" s="15">
        <f>IF($Z2230="","",IF($Z2230="×",0,IF($Z2230="○",ROUNDDOWN($E2230*設定!$C$4,0),ROUNDDOWN($E2230*ROUND((9*$Y2230-9*$E2230)/(10*$E2230),4),0))))</f>
        <v/>
      </c>
      <c r="AB2230" s="13" t="n"/>
      <c r="AC2230" s="15">
        <f>IF($B2230="","",IF($AB2230&lt;&gt;"",$AB2230,IF($AA2230="","",IF($AA2230&lt;=設定!$C$3,0,$AA2230))))</f>
        <v/>
      </c>
      <c r="AD2230" s="14">
        <f>IF($B2230="","",IF(AND($AE2230&lt;&gt;"",$AG2230="",$AJ2230=""),"保留中",IF($AJ2230&lt;&gt;"",IF(N($AC2230)&gt;0,"支給済","不支給"),IF($AC2230="","要確認",IF($AC2230=0,"不支給","未処理")))))</f>
        <v/>
      </c>
      <c r="AE2230" s="12" t="n"/>
      <c r="AF2230" s="11" t="n"/>
      <c r="AG2230" s="11" t="n"/>
      <c r="AH2230" s="11" t="n"/>
      <c r="AI2230" s="14">
        <f>IF(AND($AD2230="保留中",$AF2230&lt;&gt;""),TODAY()-$AF2230,"")</f>
        <v/>
      </c>
      <c r="AJ2230" s="12" t="n"/>
      <c r="AK2230" s="14">
        <f>IF($B2230="","",IF($AO2230="","対象年月が未入力／","")&amp;IF($B2230="","",IF($AN2230="","職員マスタに未登録の職員番号／",IF($Y2230="","標準報酬月額が未登録／","")&amp;IF(AND($AO2230&lt;&gt;"",OR(AND(INDEX(職員マスタ!$G$6:$G$405,$AN2230)&lt;&gt;"",INDEX(職員マスタ!$G$6:$G$405,$AN2230)&gt;EOMONTH($AO2230,0)),AND(INDEX(職員マスタ!$H$6:$H$405,$AN2230)&lt;&gt;"",INDEX(職員マスタ!$H$6:$H$405,$AN2230)&lt;$AO2230))),"対象月が時短期間外／","")&amp;IF(AND(INDEX(職員マスタ!$F$6:$F$405,$AN2230)&lt;&gt;"",$AO2230&lt;&gt;"",INDEX(職員マスタ!$F$6:$F$405,$AN2230)&lt;$AO2230),"対象月に子が2歳到達済／","")&amp;IF(AND($H2230&lt;&gt;"",INDEX(職員マスタ!$B$6:$B$405,$AN2230)&lt;&gt;"",SUBSTITUTE(SUBSTITUTE($H2230," ","")," ","")&lt;&gt;SUBSTITUTE(SUBSTITUTE(INDEX(職員マスタ!$B$6:$B$405,$AN2230)," ","")," ","")),"氏名がマスタと相違／","")&amp;IF(AND($Q2230&lt;&gt;"",INDEX(職員マスタ!$E$6:$E$405,$AN2230)&lt;&gt;"",$Q2230&lt;&gt;INDEX(職員マスタ!$E$6:$E$405,$AN2230)),"子の生年月日がマスタと相違／","")&amp;IF(AND($L2230&lt;&gt;"",INDEX(職員マスタ!$G$6:$G$405,$AN2230)&lt;&gt;"",$L2230&lt;&gt;INDEX(職員マスタ!$G$6:$G$405,$AN2230)),"時短開始日がマスタと相違／","")&amp;IF(AND($M2230&lt;&gt;"",INDEX(職員マスタ!$H$6:$H$405,$AN2230)&lt;&gt;"",$M2230&lt;&gt;INDEX(職員マスタ!$H$6:$H$405,$AN2230)),"時短終了日がマスタと相違／","")))&amp;IF(AND($B2230&lt;&gt;"",$E2230=""),"報酬額が未入力／","")&amp;IF(N($U2230)&gt;0,"申請書に入力エラーが残っています／","")&amp;IF(AND($B2230&lt;&gt;"",$AO2230&lt;&gt;""),IF(COUNTIFS($B$6:$B$3005,$B2230,$C$6:$C$3005,$C2230,$D$6:$D$3005,$D2230)&gt;1,"同じ月の請求が重複しています／",""),"")&amp;IF(AND(N($E2230)&gt;0,$Z2230&lt;&gt;"",$Z2230&lt;&gt;"×",$AC2230=0,$AB2230=""),"計算額が下限以下のため不支給／",""))</f>
        <v/>
      </c>
      <c r="AL2230" s="12" t="n"/>
      <c r="AM2230" s="14">
        <f>IF($AD2230="保留中",COUNTIF($AD$6:$AD2230,"保留中"),"")</f>
        <v/>
      </c>
      <c r="AN2230" s="14">
        <f>IF($AO2230="","",IF(SUMPRODUCT(MAX((職員マスタ!$A$6:$A$405=$B2230)*(((職員マスタ!$G$6:$G$405="")+(職員マスタ!$G$6:$G$405&lt;=EOMONTH($AO2230,0)))&gt;0)*(((職員マスタ!$H$6:$H$405="")+(職員マスタ!$H$6:$H$405&gt;=$AO2230))&gt;0)*(ROW(職員マスタ!$A$6:$A$405)-5)))&gt;0,SUMPRODUCT(MAX((職員マスタ!$A$6:$A$405=$B2230)*(((職員マスタ!$G$6:$G$405="")+(職員マスタ!$G$6:$G$405&lt;=EOMONTH($AO2230,0)))&gt;0)*(((職員マスタ!$H$6:$H$405="")+(職員マスタ!$H$6:$H$405&gt;=$AO2230))&gt;0)*(ROW(職員マスタ!$A$6:$A$405)-5))),IFERROR(MATCH($B2230,職員マスタ!$A$6:$A$405,0),"")))</f>
        <v/>
      </c>
      <c r="AO2230" s="16">
        <f>IF(OR($B2230="",$C2230="",$D2230=""),"",DATE($C2230+2018,$D2230,1))</f>
        <v/>
      </c>
    </row>
    <row r="2231">
      <c r="A2231" s="11" t="n"/>
      <c r="B2231" s="12" t="n"/>
      <c r="C2231" s="12" t="n"/>
      <c r="D2231" s="12" t="n"/>
      <c r="E2231" s="13" t="n"/>
      <c r="F2231" s="12" t="n"/>
      <c r="G2231" s="13" t="n"/>
      <c r="H2231" s="12" t="n"/>
      <c r="I2231" s="12" t="n"/>
      <c r="J2231" s="12" t="n"/>
      <c r="K2231" s="12" t="n"/>
      <c r="L2231" s="11" t="n"/>
      <c r="M2231" s="11" t="n"/>
      <c r="N2231" s="11" t="n"/>
      <c r="O2231" s="11" t="n"/>
      <c r="P2231" s="12" t="n"/>
      <c r="Q2231" s="11" t="n"/>
      <c r="R2231" s="12" t="n"/>
      <c r="S2231" s="11" t="n"/>
      <c r="T2231" s="12" t="n"/>
      <c r="U2231" s="12" t="n"/>
      <c r="V2231" s="14">
        <f>IF($AN2231="",IF($B2231="","",$H2231),IF(INDEX(職員マスタ!$B$6:$B$405,$AN2231)="",$H2231,INDEX(職員マスタ!$B$6:$B$405,$AN2231)))</f>
        <v/>
      </c>
      <c r="W2231" s="14">
        <f>IF($AN2231="",IF($B2231="","",$R2231),IF(INDEX(職員マスタ!$C$6:$C$405,$AN2231)="",$R2231,INDEX(職員マスタ!$C$6:$C$405,$AN2231)))</f>
        <v/>
      </c>
      <c r="X2231" s="14">
        <f>IF($AO2231="","","R"&amp;$C2231&amp;"."&amp;$D2231)</f>
        <v/>
      </c>
      <c r="Y2231" s="15">
        <f>IF($AN2231="","",IF(INDEX(職員マスタ!$K$6:$K$405,$AN2231)="","",INDEX(職員マスタ!$K$6:$K$405,$AN2231)))</f>
        <v/>
      </c>
      <c r="Z2231" s="14">
        <f>IF(OR($E2231="",$Y2231=""),"",IF($E2231&gt;=$Y2231,"×",IF($E2231&gt;=$Y2231*設定!$C$5,"△","○")))</f>
        <v/>
      </c>
      <c r="AA2231" s="15">
        <f>IF($Z2231="","",IF($Z2231="×",0,IF($Z2231="○",ROUNDDOWN($E2231*設定!$C$4,0),ROUNDDOWN($E2231*ROUND((9*$Y2231-9*$E2231)/(10*$E2231),4),0))))</f>
        <v/>
      </c>
      <c r="AB2231" s="13" t="n"/>
      <c r="AC2231" s="15">
        <f>IF($B2231="","",IF($AB2231&lt;&gt;"",$AB2231,IF($AA2231="","",IF($AA2231&lt;=設定!$C$3,0,$AA2231))))</f>
        <v/>
      </c>
      <c r="AD2231" s="14">
        <f>IF($B2231="","",IF(AND($AE2231&lt;&gt;"",$AG2231="",$AJ2231=""),"保留中",IF($AJ2231&lt;&gt;"",IF(N($AC2231)&gt;0,"支給済","不支給"),IF($AC2231="","要確認",IF($AC2231=0,"不支給","未処理")))))</f>
        <v/>
      </c>
      <c r="AE2231" s="12" t="n"/>
      <c r="AF2231" s="11" t="n"/>
      <c r="AG2231" s="11" t="n"/>
      <c r="AH2231" s="11" t="n"/>
      <c r="AI2231" s="14">
        <f>IF(AND($AD2231="保留中",$AF2231&lt;&gt;""),TODAY()-$AF2231,"")</f>
        <v/>
      </c>
      <c r="AJ2231" s="12" t="n"/>
      <c r="AK2231" s="14">
        <f>IF($B2231="","",IF($AO2231="","対象年月が未入力／","")&amp;IF($B2231="","",IF($AN2231="","職員マスタに未登録の職員番号／",IF($Y2231="","標準報酬月額が未登録／","")&amp;IF(AND($AO2231&lt;&gt;"",OR(AND(INDEX(職員マスタ!$G$6:$G$405,$AN2231)&lt;&gt;"",INDEX(職員マスタ!$G$6:$G$405,$AN2231)&gt;EOMONTH($AO2231,0)),AND(INDEX(職員マスタ!$H$6:$H$405,$AN2231)&lt;&gt;"",INDEX(職員マスタ!$H$6:$H$405,$AN2231)&lt;$AO2231))),"対象月が時短期間外／","")&amp;IF(AND(INDEX(職員マスタ!$F$6:$F$405,$AN2231)&lt;&gt;"",$AO2231&lt;&gt;"",INDEX(職員マスタ!$F$6:$F$405,$AN2231)&lt;$AO2231),"対象月に子が2歳到達済／","")&amp;IF(AND($H2231&lt;&gt;"",INDEX(職員マスタ!$B$6:$B$405,$AN2231)&lt;&gt;"",SUBSTITUTE(SUBSTITUTE($H2231," ","")," ","")&lt;&gt;SUBSTITUTE(SUBSTITUTE(INDEX(職員マスタ!$B$6:$B$405,$AN2231)," ","")," ","")),"氏名がマスタと相違／","")&amp;IF(AND($Q2231&lt;&gt;"",INDEX(職員マスタ!$E$6:$E$405,$AN2231)&lt;&gt;"",$Q2231&lt;&gt;INDEX(職員マスタ!$E$6:$E$405,$AN2231)),"子の生年月日がマスタと相違／","")&amp;IF(AND($L2231&lt;&gt;"",INDEX(職員マスタ!$G$6:$G$405,$AN2231)&lt;&gt;"",$L2231&lt;&gt;INDEX(職員マスタ!$G$6:$G$405,$AN2231)),"時短開始日がマスタと相違／","")&amp;IF(AND($M2231&lt;&gt;"",INDEX(職員マスタ!$H$6:$H$405,$AN2231)&lt;&gt;"",$M2231&lt;&gt;INDEX(職員マスタ!$H$6:$H$405,$AN2231)),"時短終了日がマスタと相違／","")))&amp;IF(AND($B2231&lt;&gt;"",$E2231=""),"報酬額が未入力／","")&amp;IF(N($U2231)&gt;0,"申請書に入力エラーが残っています／","")&amp;IF(AND($B2231&lt;&gt;"",$AO2231&lt;&gt;""),IF(COUNTIFS($B$6:$B$3005,$B2231,$C$6:$C$3005,$C2231,$D$6:$D$3005,$D2231)&gt;1,"同じ月の請求が重複しています／",""),"")&amp;IF(AND(N($E2231)&gt;0,$Z2231&lt;&gt;"",$Z2231&lt;&gt;"×",$AC2231=0,$AB2231=""),"計算額が下限以下のため不支給／",""))</f>
        <v/>
      </c>
      <c r="AL2231" s="12" t="n"/>
      <c r="AM2231" s="14">
        <f>IF($AD2231="保留中",COUNTIF($AD$6:$AD2231,"保留中"),"")</f>
        <v/>
      </c>
      <c r="AN2231" s="14">
        <f>IF($AO2231="","",IF(SUMPRODUCT(MAX((職員マスタ!$A$6:$A$405=$B2231)*(((職員マスタ!$G$6:$G$405="")+(職員マスタ!$G$6:$G$405&lt;=EOMONTH($AO2231,0)))&gt;0)*(((職員マスタ!$H$6:$H$405="")+(職員マスタ!$H$6:$H$405&gt;=$AO2231))&gt;0)*(ROW(職員マスタ!$A$6:$A$405)-5)))&gt;0,SUMPRODUCT(MAX((職員マスタ!$A$6:$A$405=$B2231)*(((職員マスタ!$G$6:$G$405="")+(職員マスタ!$G$6:$G$405&lt;=EOMONTH($AO2231,0)))&gt;0)*(((職員マスタ!$H$6:$H$405="")+(職員マスタ!$H$6:$H$405&gt;=$AO2231))&gt;0)*(ROW(職員マスタ!$A$6:$A$405)-5))),IFERROR(MATCH($B2231,職員マスタ!$A$6:$A$405,0),"")))</f>
        <v/>
      </c>
      <c r="AO2231" s="16">
        <f>IF(OR($B2231="",$C2231="",$D2231=""),"",DATE($C2231+2018,$D2231,1))</f>
        <v/>
      </c>
    </row>
    <row r="2232">
      <c r="A2232" s="11" t="n"/>
      <c r="B2232" s="12" t="n"/>
      <c r="C2232" s="12" t="n"/>
      <c r="D2232" s="12" t="n"/>
      <c r="E2232" s="13" t="n"/>
      <c r="F2232" s="12" t="n"/>
      <c r="G2232" s="13" t="n"/>
      <c r="H2232" s="12" t="n"/>
      <c r="I2232" s="12" t="n"/>
      <c r="J2232" s="12" t="n"/>
      <c r="K2232" s="12" t="n"/>
      <c r="L2232" s="11" t="n"/>
      <c r="M2232" s="11" t="n"/>
      <c r="N2232" s="11" t="n"/>
      <c r="O2232" s="11" t="n"/>
      <c r="P2232" s="12" t="n"/>
      <c r="Q2232" s="11" t="n"/>
      <c r="R2232" s="12" t="n"/>
      <c r="S2232" s="11" t="n"/>
      <c r="T2232" s="12" t="n"/>
      <c r="U2232" s="12" t="n"/>
      <c r="V2232" s="14">
        <f>IF($AN2232="",IF($B2232="","",$H2232),IF(INDEX(職員マスタ!$B$6:$B$405,$AN2232)="",$H2232,INDEX(職員マスタ!$B$6:$B$405,$AN2232)))</f>
        <v/>
      </c>
      <c r="W2232" s="14">
        <f>IF($AN2232="",IF($B2232="","",$R2232),IF(INDEX(職員マスタ!$C$6:$C$405,$AN2232)="",$R2232,INDEX(職員マスタ!$C$6:$C$405,$AN2232)))</f>
        <v/>
      </c>
      <c r="X2232" s="14">
        <f>IF($AO2232="","","R"&amp;$C2232&amp;"."&amp;$D2232)</f>
        <v/>
      </c>
      <c r="Y2232" s="15">
        <f>IF($AN2232="","",IF(INDEX(職員マスタ!$K$6:$K$405,$AN2232)="","",INDEX(職員マスタ!$K$6:$K$405,$AN2232)))</f>
        <v/>
      </c>
      <c r="Z2232" s="14">
        <f>IF(OR($E2232="",$Y2232=""),"",IF($E2232&gt;=$Y2232,"×",IF($E2232&gt;=$Y2232*設定!$C$5,"△","○")))</f>
        <v/>
      </c>
      <c r="AA2232" s="15">
        <f>IF($Z2232="","",IF($Z2232="×",0,IF($Z2232="○",ROUNDDOWN($E2232*設定!$C$4,0),ROUNDDOWN($E2232*ROUND((9*$Y2232-9*$E2232)/(10*$E2232),4),0))))</f>
        <v/>
      </c>
      <c r="AB2232" s="13" t="n"/>
      <c r="AC2232" s="15">
        <f>IF($B2232="","",IF($AB2232&lt;&gt;"",$AB2232,IF($AA2232="","",IF($AA2232&lt;=設定!$C$3,0,$AA2232))))</f>
        <v/>
      </c>
      <c r="AD2232" s="14">
        <f>IF($B2232="","",IF(AND($AE2232&lt;&gt;"",$AG2232="",$AJ2232=""),"保留中",IF($AJ2232&lt;&gt;"",IF(N($AC2232)&gt;0,"支給済","不支給"),IF($AC2232="","要確認",IF($AC2232=0,"不支給","未処理")))))</f>
        <v/>
      </c>
      <c r="AE2232" s="12" t="n"/>
      <c r="AF2232" s="11" t="n"/>
      <c r="AG2232" s="11" t="n"/>
      <c r="AH2232" s="11" t="n"/>
      <c r="AI2232" s="14">
        <f>IF(AND($AD2232="保留中",$AF2232&lt;&gt;""),TODAY()-$AF2232,"")</f>
        <v/>
      </c>
      <c r="AJ2232" s="12" t="n"/>
      <c r="AK2232" s="14">
        <f>IF($B2232="","",IF($AO2232="","対象年月が未入力／","")&amp;IF($B2232="","",IF($AN2232="","職員マスタに未登録の職員番号／",IF($Y2232="","標準報酬月額が未登録／","")&amp;IF(AND($AO2232&lt;&gt;"",OR(AND(INDEX(職員マスタ!$G$6:$G$405,$AN2232)&lt;&gt;"",INDEX(職員マスタ!$G$6:$G$405,$AN2232)&gt;EOMONTH($AO2232,0)),AND(INDEX(職員マスタ!$H$6:$H$405,$AN2232)&lt;&gt;"",INDEX(職員マスタ!$H$6:$H$405,$AN2232)&lt;$AO2232))),"対象月が時短期間外／","")&amp;IF(AND(INDEX(職員マスタ!$F$6:$F$405,$AN2232)&lt;&gt;"",$AO2232&lt;&gt;"",INDEX(職員マスタ!$F$6:$F$405,$AN2232)&lt;$AO2232),"対象月に子が2歳到達済／","")&amp;IF(AND($H2232&lt;&gt;"",INDEX(職員マスタ!$B$6:$B$405,$AN2232)&lt;&gt;"",SUBSTITUTE(SUBSTITUTE($H2232," ","")," ","")&lt;&gt;SUBSTITUTE(SUBSTITUTE(INDEX(職員マスタ!$B$6:$B$405,$AN2232)," ","")," ","")),"氏名がマスタと相違／","")&amp;IF(AND($Q2232&lt;&gt;"",INDEX(職員マスタ!$E$6:$E$405,$AN2232)&lt;&gt;"",$Q2232&lt;&gt;INDEX(職員マスタ!$E$6:$E$405,$AN2232)),"子の生年月日がマスタと相違／","")&amp;IF(AND($L2232&lt;&gt;"",INDEX(職員マスタ!$G$6:$G$405,$AN2232)&lt;&gt;"",$L2232&lt;&gt;INDEX(職員マスタ!$G$6:$G$405,$AN2232)),"時短開始日がマスタと相違／","")&amp;IF(AND($M2232&lt;&gt;"",INDEX(職員マスタ!$H$6:$H$405,$AN2232)&lt;&gt;"",$M2232&lt;&gt;INDEX(職員マスタ!$H$6:$H$405,$AN2232)),"時短終了日がマスタと相違／","")))&amp;IF(AND($B2232&lt;&gt;"",$E2232=""),"報酬額が未入力／","")&amp;IF(N($U2232)&gt;0,"申請書に入力エラーが残っています／","")&amp;IF(AND($B2232&lt;&gt;"",$AO2232&lt;&gt;""),IF(COUNTIFS($B$6:$B$3005,$B2232,$C$6:$C$3005,$C2232,$D$6:$D$3005,$D2232)&gt;1,"同じ月の請求が重複しています／",""),"")&amp;IF(AND(N($E2232)&gt;0,$Z2232&lt;&gt;"",$Z2232&lt;&gt;"×",$AC2232=0,$AB2232=""),"計算額が下限以下のため不支給／",""))</f>
        <v/>
      </c>
      <c r="AL2232" s="12" t="n"/>
      <c r="AM2232" s="14">
        <f>IF($AD2232="保留中",COUNTIF($AD$6:$AD2232,"保留中"),"")</f>
        <v/>
      </c>
      <c r="AN2232" s="14">
        <f>IF($AO2232="","",IF(SUMPRODUCT(MAX((職員マスタ!$A$6:$A$405=$B2232)*(((職員マスタ!$G$6:$G$405="")+(職員マスタ!$G$6:$G$405&lt;=EOMONTH($AO2232,0)))&gt;0)*(((職員マスタ!$H$6:$H$405="")+(職員マスタ!$H$6:$H$405&gt;=$AO2232))&gt;0)*(ROW(職員マスタ!$A$6:$A$405)-5)))&gt;0,SUMPRODUCT(MAX((職員マスタ!$A$6:$A$405=$B2232)*(((職員マスタ!$G$6:$G$405="")+(職員マスタ!$G$6:$G$405&lt;=EOMONTH($AO2232,0)))&gt;0)*(((職員マスタ!$H$6:$H$405="")+(職員マスタ!$H$6:$H$405&gt;=$AO2232))&gt;0)*(ROW(職員マスタ!$A$6:$A$405)-5))),IFERROR(MATCH($B2232,職員マスタ!$A$6:$A$405,0),"")))</f>
        <v/>
      </c>
      <c r="AO2232" s="16">
        <f>IF(OR($B2232="",$C2232="",$D2232=""),"",DATE($C2232+2018,$D2232,1))</f>
        <v/>
      </c>
    </row>
    <row r="2233">
      <c r="A2233" s="11" t="n"/>
      <c r="B2233" s="12" t="n"/>
      <c r="C2233" s="12" t="n"/>
      <c r="D2233" s="12" t="n"/>
      <c r="E2233" s="13" t="n"/>
      <c r="F2233" s="12" t="n"/>
      <c r="G2233" s="13" t="n"/>
      <c r="H2233" s="12" t="n"/>
      <c r="I2233" s="12" t="n"/>
      <c r="J2233" s="12" t="n"/>
      <c r="K2233" s="12" t="n"/>
      <c r="L2233" s="11" t="n"/>
      <c r="M2233" s="11" t="n"/>
      <c r="N2233" s="11" t="n"/>
      <c r="O2233" s="11" t="n"/>
      <c r="P2233" s="12" t="n"/>
      <c r="Q2233" s="11" t="n"/>
      <c r="R2233" s="12" t="n"/>
      <c r="S2233" s="11" t="n"/>
      <c r="T2233" s="12" t="n"/>
      <c r="U2233" s="12" t="n"/>
      <c r="V2233" s="14">
        <f>IF($AN2233="",IF($B2233="","",$H2233),IF(INDEX(職員マスタ!$B$6:$B$405,$AN2233)="",$H2233,INDEX(職員マスタ!$B$6:$B$405,$AN2233)))</f>
        <v/>
      </c>
      <c r="W2233" s="14">
        <f>IF($AN2233="",IF($B2233="","",$R2233),IF(INDEX(職員マスタ!$C$6:$C$405,$AN2233)="",$R2233,INDEX(職員マスタ!$C$6:$C$405,$AN2233)))</f>
        <v/>
      </c>
      <c r="X2233" s="14">
        <f>IF($AO2233="","","R"&amp;$C2233&amp;"."&amp;$D2233)</f>
        <v/>
      </c>
      <c r="Y2233" s="15">
        <f>IF($AN2233="","",IF(INDEX(職員マスタ!$K$6:$K$405,$AN2233)="","",INDEX(職員マスタ!$K$6:$K$405,$AN2233)))</f>
        <v/>
      </c>
      <c r="Z2233" s="14">
        <f>IF(OR($E2233="",$Y2233=""),"",IF($E2233&gt;=$Y2233,"×",IF($E2233&gt;=$Y2233*設定!$C$5,"△","○")))</f>
        <v/>
      </c>
      <c r="AA2233" s="15">
        <f>IF($Z2233="","",IF($Z2233="×",0,IF($Z2233="○",ROUNDDOWN($E2233*設定!$C$4,0),ROUNDDOWN($E2233*ROUND((9*$Y2233-9*$E2233)/(10*$E2233),4),0))))</f>
        <v/>
      </c>
      <c r="AB2233" s="13" t="n"/>
      <c r="AC2233" s="15">
        <f>IF($B2233="","",IF($AB2233&lt;&gt;"",$AB2233,IF($AA2233="","",IF($AA2233&lt;=設定!$C$3,0,$AA2233))))</f>
        <v/>
      </c>
      <c r="AD2233" s="14">
        <f>IF($B2233="","",IF(AND($AE2233&lt;&gt;"",$AG2233="",$AJ2233=""),"保留中",IF($AJ2233&lt;&gt;"",IF(N($AC2233)&gt;0,"支給済","不支給"),IF($AC2233="","要確認",IF($AC2233=0,"不支給","未処理")))))</f>
        <v/>
      </c>
      <c r="AE2233" s="12" t="n"/>
      <c r="AF2233" s="11" t="n"/>
      <c r="AG2233" s="11" t="n"/>
      <c r="AH2233" s="11" t="n"/>
      <c r="AI2233" s="14">
        <f>IF(AND($AD2233="保留中",$AF2233&lt;&gt;""),TODAY()-$AF2233,"")</f>
        <v/>
      </c>
      <c r="AJ2233" s="12" t="n"/>
      <c r="AK2233" s="14">
        <f>IF($B2233="","",IF($AO2233="","対象年月が未入力／","")&amp;IF($B2233="","",IF($AN2233="","職員マスタに未登録の職員番号／",IF($Y2233="","標準報酬月額が未登録／","")&amp;IF(AND($AO2233&lt;&gt;"",OR(AND(INDEX(職員マスタ!$G$6:$G$405,$AN2233)&lt;&gt;"",INDEX(職員マスタ!$G$6:$G$405,$AN2233)&gt;EOMONTH($AO2233,0)),AND(INDEX(職員マスタ!$H$6:$H$405,$AN2233)&lt;&gt;"",INDEX(職員マスタ!$H$6:$H$405,$AN2233)&lt;$AO2233))),"対象月が時短期間外／","")&amp;IF(AND(INDEX(職員マスタ!$F$6:$F$405,$AN2233)&lt;&gt;"",$AO2233&lt;&gt;"",INDEX(職員マスタ!$F$6:$F$405,$AN2233)&lt;$AO2233),"対象月に子が2歳到達済／","")&amp;IF(AND($H2233&lt;&gt;"",INDEX(職員マスタ!$B$6:$B$405,$AN2233)&lt;&gt;"",SUBSTITUTE(SUBSTITUTE($H2233," ","")," ","")&lt;&gt;SUBSTITUTE(SUBSTITUTE(INDEX(職員マスタ!$B$6:$B$405,$AN2233)," ","")," ","")),"氏名がマスタと相違／","")&amp;IF(AND($Q2233&lt;&gt;"",INDEX(職員マスタ!$E$6:$E$405,$AN2233)&lt;&gt;"",$Q2233&lt;&gt;INDEX(職員マスタ!$E$6:$E$405,$AN2233)),"子の生年月日がマスタと相違／","")&amp;IF(AND($L2233&lt;&gt;"",INDEX(職員マスタ!$G$6:$G$405,$AN2233)&lt;&gt;"",$L2233&lt;&gt;INDEX(職員マスタ!$G$6:$G$405,$AN2233)),"時短開始日がマスタと相違／","")&amp;IF(AND($M2233&lt;&gt;"",INDEX(職員マスタ!$H$6:$H$405,$AN2233)&lt;&gt;"",$M2233&lt;&gt;INDEX(職員マスタ!$H$6:$H$405,$AN2233)),"時短終了日がマスタと相違／","")))&amp;IF(AND($B2233&lt;&gt;"",$E2233=""),"報酬額が未入力／","")&amp;IF(N($U2233)&gt;0,"申請書に入力エラーが残っています／","")&amp;IF(AND($B2233&lt;&gt;"",$AO2233&lt;&gt;""),IF(COUNTIFS($B$6:$B$3005,$B2233,$C$6:$C$3005,$C2233,$D$6:$D$3005,$D2233)&gt;1,"同じ月の請求が重複しています／",""),"")&amp;IF(AND(N($E2233)&gt;0,$Z2233&lt;&gt;"",$Z2233&lt;&gt;"×",$AC2233=0,$AB2233=""),"計算額が下限以下のため不支給／",""))</f>
        <v/>
      </c>
      <c r="AL2233" s="12" t="n"/>
      <c r="AM2233" s="14">
        <f>IF($AD2233="保留中",COUNTIF($AD$6:$AD2233,"保留中"),"")</f>
        <v/>
      </c>
      <c r="AN2233" s="14">
        <f>IF($AO2233="","",IF(SUMPRODUCT(MAX((職員マスタ!$A$6:$A$405=$B2233)*(((職員マスタ!$G$6:$G$405="")+(職員マスタ!$G$6:$G$405&lt;=EOMONTH($AO2233,0)))&gt;0)*(((職員マスタ!$H$6:$H$405="")+(職員マスタ!$H$6:$H$405&gt;=$AO2233))&gt;0)*(ROW(職員マスタ!$A$6:$A$405)-5)))&gt;0,SUMPRODUCT(MAX((職員マスタ!$A$6:$A$405=$B2233)*(((職員マスタ!$G$6:$G$405="")+(職員マスタ!$G$6:$G$405&lt;=EOMONTH($AO2233,0)))&gt;0)*(((職員マスタ!$H$6:$H$405="")+(職員マスタ!$H$6:$H$405&gt;=$AO2233))&gt;0)*(ROW(職員マスタ!$A$6:$A$405)-5))),IFERROR(MATCH($B2233,職員マスタ!$A$6:$A$405,0),"")))</f>
        <v/>
      </c>
      <c r="AO2233" s="16">
        <f>IF(OR($B2233="",$C2233="",$D2233=""),"",DATE($C2233+2018,$D2233,1))</f>
        <v/>
      </c>
    </row>
    <row r="2234">
      <c r="A2234" s="11" t="n"/>
      <c r="B2234" s="12" t="n"/>
      <c r="C2234" s="12" t="n"/>
      <c r="D2234" s="12" t="n"/>
      <c r="E2234" s="13" t="n"/>
      <c r="F2234" s="12" t="n"/>
      <c r="G2234" s="13" t="n"/>
      <c r="H2234" s="12" t="n"/>
      <c r="I2234" s="12" t="n"/>
      <c r="J2234" s="12" t="n"/>
      <c r="K2234" s="12" t="n"/>
      <c r="L2234" s="11" t="n"/>
      <c r="M2234" s="11" t="n"/>
      <c r="N2234" s="11" t="n"/>
      <c r="O2234" s="11" t="n"/>
      <c r="P2234" s="12" t="n"/>
      <c r="Q2234" s="11" t="n"/>
      <c r="R2234" s="12" t="n"/>
      <c r="S2234" s="11" t="n"/>
      <c r="T2234" s="12" t="n"/>
      <c r="U2234" s="12" t="n"/>
      <c r="V2234" s="14">
        <f>IF($AN2234="",IF($B2234="","",$H2234),IF(INDEX(職員マスタ!$B$6:$B$405,$AN2234)="",$H2234,INDEX(職員マスタ!$B$6:$B$405,$AN2234)))</f>
        <v/>
      </c>
      <c r="W2234" s="14">
        <f>IF($AN2234="",IF($B2234="","",$R2234),IF(INDEX(職員マスタ!$C$6:$C$405,$AN2234)="",$R2234,INDEX(職員マスタ!$C$6:$C$405,$AN2234)))</f>
        <v/>
      </c>
      <c r="X2234" s="14">
        <f>IF($AO2234="","","R"&amp;$C2234&amp;"."&amp;$D2234)</f>
        <v/>
      </c>
      <c r="Y2234" s="15">
        <f>IF($AN2234="","",IF(INDEX(職員マスタ!$K$6:$K$405,$AN2234)="","",INDEX(職員マスタ!$K$6:$K$405,$AN2234)))</f>
        <v/>
      </c>
      <c r="Z2234" s="14">
        <f>IF(OR($E2234="",$Y2234=""),"",IF($E2234&gt;=$Y2234,"×",IF($E2234&gt;=$Y2234*設定!$C$5,"△","○")))</f>
        <v/>
      </c>
      <c r="AA2234" s="15">
        <f>IF($Z2234="","",IF($Z2234="×",0,IF($Z2234="○",ROUNDDOWN($E2234*設定!$C$4,0),ROUNDDOWN($E2234*ROUND((9*$Y2234-9*$E2234)/(10*$E2234),4),0))))</f>
        <v/>
      </c>
      <c r="AB2234" s="13" t="n"/>
      <c r="AC2234" s="15">
        <f>IF($B2234="","",IF($AB2234&lt;&gt;"",$AB2234,IF($AA2234="","",IF($AA2234&lt;=設定!$C$3,0,$AA2234))))</f>
        <v/>
      </c>
      <c r="AD2234" s="14">
        <f>IF($B2234="","",IF(AND($AE2234&lt;&gt;"",$AG2234="",$AJ2234=""),"保留中",IF($AJ2234&lt;&gt;"",IF(N($AC2234)&gt;0,"支給済","不支給"),IF($AC2234="","要確認",IF($AC2234=0,"不支給","未処理")))))</f>
        <v/>
      </c>
      <c r="AE2234" s="12" t="n"/>
      <c r="AF2234" s="11" t="n"/>
      <c r="AG2234" s="11" t="n"/>
      <c r="AH2234" s="11" t="n"/>
      <c r="AI2234" s="14">
        <f>IF(AND($AD2234="保留中",$AF2234&lt;&gt;""),TODAY()-$AF2234,"")</f>
        <v/>
      </c>
      <c r="AJ2234" s="12" t="n"/>
      <c r="AK2234" s="14">
        <f>IF($B2234="","",IF($AO2234="","対象年月が未入力／","")&amp;IF($B2234="","",IF($AN2234="","職員マスタに未登録の職員番号／",IF($Y2234="","標準報酬月額が未登録／","")&amp;IF(AND($AO2234&lt;&gt;"",OR(AND(INDEX(職員マスタ!$G$6:$G$405,$AN2234)&lt;&gt;"",INDEX(職員マスタ!$G$6:$G$405,$AN2234)&gt;EOMONTH($AO2234,0)),AND(INDEX(職員マスタ!$H$6:$H$405,$AN2234)&lt;&gt;"",INDEX(職員マスタ!$H$6:$H$405,$AN2234)&lt;$AO2234))),"対象月が時短期間外／","")&amp;IF(AND(INDEX(職員マスタ!$F$6:$F$405,$AN2234)&lt;&gt;"",$AO2234&lt;&gt;"",INDEX(職員マスタ!$F$6:$F$405,$AN2234)&lt;$AO2234),"対象月に子が2歳到達済／","")&amp;IF(AND($H2234&lt;&gt;"",INDEX(職員マスタ!$B$6:$B$405,$AN2234)&lt;&gt;"",SUBSTITUTE(SUBSTITUTE($H2234," ","")," ","")&lt;&gt;SUBSTITUTE(SUBSTITUTE(INDEX(職員マスタ!$B$6:$B$405,$AN2234)," ","")," ","")),"氏名がマスタと相違／","")&amp;IF(AND($Q2234&lt;&gt;"",INDEX(職員マスタ!$E$6:$E$405,$AN2234)&lt;&gt;"",$Q2234&lt;&gt;INDEX(職員マスタ!$E$6:$E$405,$AN2234)),"子の生年月日がマスタと相違／","")&amp;IF(AND($L2234&lt;&gt;"",INDEX(職員マスタ!$G$6:$G$405,$AN2234)&lt;&gt;"",$L2234&lt;&gt;INDEX(職員マスタ!$G$6:$G$405,$AN2234)),"時短開始日がマスタと相違／","")&amp;IF(AND($M2234&lt;&gt;"",INDEX(職員マスタ!$H$6:$H$405,$AN2234)&lt;&gt;"",$M2234&lt;&gt;INDEX(職員マスタ!$H$6:$H$405,$AN2234)),"時短終了日がマスタと相違／","")))&amp;IF(AND($B2234&lt;&gt;"",$E2234=""),"報酬額が未入力／","")&amp;IF(N($U2234)&gt;0,"申請書に入力エラーが残っています／","")&amp;IF(AND($B2234&lt;&gt;"",$AO2234&lt;&gt;""),IF(COUNTIFS($B$6:$B$3005,$B2234,$C$6:$C$3005,$C2234,$D$6:$D$3005,$D2234)&gt;1,"同じ月の請求が重複しています／",""),"")&amp;IF(AND(N($E2234)&gt;0,$Z2234&lt;&gt;"",$Z2234&lt;&gt;"×",$AC2234=0,$AB2234=""),"計算額が下限以下のため不支給／",""))</f>
        <v/>
      </c>
      <c r="AL2234" s="12" t="n"/>
      <c r="AM2234" s="14">
        <f>IF($AD2234="保留中",COUNTIF($AD$6:$AD2234,"保留中"),"")</f>
        <v/>
      </c>
      <c r="AN2234" s="14">
        <f>IF($AO2234="","",IF(SUMPRODUCT(MAX((職員マスタ!$A$6:$A$405=$B2234)*(((職員マスタ!$G$6:$G$405="")+(職員マスタ!$G$6:$G$405&lt;=EOMONTH($AO2234,0)))&gt;0)*(((職員マスタ!$H$6:$H$405="")+(職員マスタ!$H$6:$H$405&gt;=$AO2234))&gt;0)*(ROW(職員マスタ!$A$6:$A$405)-5)))&gt;0,SUMPRODUCT(MAX((職員マスタ!$A$6:$A$405=$B2234)*(((職員マスタ!$G$6:$G$405="")+(職員マスタ!$G$6:$G$405&lt;=EOMONTH($AO2234,0)))&gt;0)*(((職員マスタ!$H$6:$H$405="")+(職員マスタ!$H$6:$H$405&gt;=$AO2234))&gt;0)*(ROW(職員マスタ!$A$6:$A$405)-5))),IFERROR(MATCH($B2234,職員マスタ!$A$6:$A$405,0),"")))</f>
        <v/>
      </c>
      <c r="AO2234" s="16">
        <f>IF(OR($B2234="",$C2234="",$D2234=""),"",DATE($C2234+2018,$D2234,1))</f>
        <v/>
      </c>
    </row>
    <row r="2235">
      <c r="A2235" s="11" t="n"/>
      <c r="B2235" s="12" t="n"/>
      <c r="C2235" s="12" t="n"/>
      <c r="D2235" s="12" t="n"/>
      <c r="E2235" s="13" t="n"/>
      <c r="F2235" s="12" t="n"/>
      <c r="G2235" s="13" t="n"/>
      <c r="H2235" s="12" t="n"/>
      <c r="I2235" s="12" t="n"/>
      <c r="J2235" s="12" t="n"/>
      <c r="K2235" s="12" t="n"/>
      <c r="L2235" s="11" t="n"/>
      <c r="M2235" s="11" t="n"/>
      <c r="N2235" s="11" t="n"/>
      <c r="O2235" s="11" t="n"/>
      <c r="P2235" s="12" t="n"/>
      <c r="Q2235" s="11" t="n"/>
      <c r="R2235" s="12" t="n"/>
      <c r="S2235" s="11" t="n"/>
      <c r="T2235" s="12" t="n"/>
      <c r="U2235" s="12" t="n"/>
      <c r="V2235" s="14">
        <f>IF($AN2235="",IF($B2235="","",$H2235),IF(INDEX(職員マスタ!$B$6:$B$405,$AN2235)="",$H2235,INDEX(職員マスタ!$B$6:$B$405,$AN2235)))</f>
        <v/>
      </c>
      <c r="W2235" s="14">
        <f>IF($AN2235="",IF($B2235="","",$R2235),IF(INDEX(職員マスタ!$C$6:$C$405,$AN2235)="",$R2235,INDEX(職員マスタ!$C$6:$C$405,$AN2235)))</f>
        <v/>
      </c>
      <c r="X2235" s="14">
        <f>IF($AO2235="","","R"&amp;$C2235&amp;"."&amp;$D2235)</f>
        <v/>
      </c>
      <c r="Y2235" s="15">
        <f>IF($AN2235="","",IF(INDEX(職員マスタ!$K$6:$K$405,$AN2235)="","",INDEX(職員マスタ!$K$6:$K$405,$AN2235)))</f>
        <v/>
      </c>
      <c r="Z2235" s="14">
        <f>IF(OR($E2235="",$Y2235=""),"",IF($E2235&gt;=$Y2235,"×",IF($E2235&gt;=$Y2235*設定!$C$5,"△","○")))</f>
        <v/>
      </c>
      <c r="AA2235" s="15">
        <f>IF($Z2235="","",IF($Z2235="×",0,IF($Z2235="○",ROUNDDOWN($E2235*設定!$C$4,0),ROUNDDOWN($E2235*ROUND((9*$Y2235-9*$E2235)/(10*$E2235),4),0))))</f>
        <v/>
      </c>
      <c r="AB2235" s="13" t="n"/>
      <c r="AC2235" s="15">
        <f>IF($B2235="","",IF($AB2235&lt;&gt;"",$AB2235,IF($AA2235="","",IF($AA2235&lt;=設定!$C$3,0,$AA2235))))</f>
        <v/>
      </c>
      <c r="AD2235" s="14">
        <f>IF($B2235="","",IF(AND($AE2235&lt;&gt;"",$AG2235="",$AJ2235=""),"保留中",IF($AJ2235&lt;&gt;"",IF(N($AC2235)&gt;0,"支給済","不支給"),IF($AC2235="","要確認",IF($AC2235=0,"不支給","未処理")))))</f>
        <v/>
      </c>
      <c r="AE2235" s="12" t="n"/>
      <c r="AF2235" s="11" t="n"/>
      <c r="AG2235" s="11" t="n"/>
      <c r="AH2235" s="11" t="n"/>
      <c r="AI2235" s="14">
        <f>IF(AND($AD2235="保留中",$AF2235&lt;&gt;""),TODAY()-$AF2235,"")</f>
        <v/>
      </c>
      <c r="AJ2235" s="12" t="n"/>
      <c r="AK2235" s="14">
        <f>IF($B2235="","",IF($AO2235="","対象年月が未入力／","")&amp;IF($B2235="","",IF($AN2235="","職員マスタに未登録の職員番号／",IF($Y2235="","標準報酬月額が未登録／","")&amp;IF(AND($AO2235&lt;&gt;"",OR(AND(INDEX(職員マスタ!$G$6:$G$405,$AN2235)&lt;&gt;"",INDEX(職員マスタ!$G$6:$G$405,$AN2235)&gt;EOMONTH($AO2235,0)),AND(INDEX(職員マスタ!$H$6:$H$405,$AN2235)&lt;&gt;"",INDEX(職員マスタ!$H$6:$H$405,$AN2235)&lt;$AO2235))),"対象月が時短期間外／","")&amp;IF(AND(INDEX(職員マスタ!$F$6:$F$405,$AN2235)&lt;&gt;"",$AO2235&lt;&gt;"",INDEX(職員マスタ!$F$6:$F$405,$AN2235)&lt;$AO2235),"対象月に子が2歳到達済／","")&amp;IF(AND($H2235&lt;&gt;"",INDEX(職員マスタ!$B$6:$B$405,$AN2235)&lt;&gt;"",SUBSTITUTE(SUBSTITUTE($H2235," ","")," ","")&lt;&gt;SUBSTITUTE(SUBSTITUTE(INDEX(職員マスタ!$B$6:$B$405,$AN2235)," ","")," ","")),"氏名がマスタと相違／","")&amp;IF(AND($Q2235&lt;&gt;"",INDEX(職員マスタ!$E$6:$E$405,$AN2235)&lt;&gt;"",$Q2235&lt;&gt;INDEX(職員マスタ!$E$6:$E$405,$AN2235)),"子の生年月日がマスタと相違／","")&amp;IF(AND($L2235&lt;&gt;"",INDEX(職員マスタ!$G$6:$G$405,$AN2235)&lt;&gt;"",$L2235&lt;&gt;INDEX(職員マスタ!$G$6:$G$405,$AN2235)),"時短開始日がマスタと相違／","")&amp;IF(AND($M2235&lt;&gt;"",INDEX(職員マスタ!$H$6:$H$405,$AN2235)&lt;&gt;"",$M2235&lt;&gt;INDEX(職員マスタ!$H$6:$H$405,$AN2235)),"時短終了日がマスタと相違／","")))&amp;IF(AND($B2235&lt;&gt;"",$E2235=""),"報酬額が未入力／","")&amp;IF(N($U2235)&gt;0,"申請書に入力エラーが残っています／","")&amp;IF(AND($B2235&lt;&gt;"",$AO2235&lt;&gt;""),IF(COUNTIFS($B$6:$B$3005,$B2235,$C$6:$C$3005,$C2235,$D$6:$D$3005,$D2235)&gt;1,"同じ月の請求が重複しています／",""),"")&amp;IF(AND(N($E2235)&gt;0,$Z2235&lt;&gt;"",$Z2235&lt;&gt;"×",$AC2235=0,$AB2235=""),"計算額が下限以下のため不支給／",""))</f>
        <v/>
      </c>
      <c r="AL2235" s="12" t="n"/>
      <c r="AM2235" s="14">
        <f>IF($AD2235="保留中",COUNTIF($AD$6:$AD2235,"保留中"),"")</f>
        <v/>
      </c>
      <c r="AN2235" s="14">
        <f>IF($AO2235="","",IF(SUMPRODUCT(MAX((職員マスタ!$A$6:$A$405=$B2235)*(((職員マスタ!$G$6:$G$405="")+(職員マスタ!$G$6:$G$405&lt;=EOMONTH($AO2235,0)))&gt;0)*(((職員マスタ!$H$6:$H$405="")+(職員マスタ!$H$6:$H$405&gt;=$AO2235))&gt;0)*(ROW(職員マスタ!$A$6:$A$405)-5)))&gt;0,SUMPRODUCT(MAX((職員マスタ!$A$6:$A$405=$B2235)*(((職員マスタ!$G$6:$G$405="")+(職員マスタ!$G$6:$G$405&lt;=EOMONTH($AO2235,0)))&gt;0)*(((職員マスタ!$H$6:$H$405="")+(職員マスタ!$H$6:$H$405&gt;=$AO2235))&gt;0)*(ROW(職員マスタ!$A$6:$A$405)-5))),IFERROR(MATCH($B2235,職員マスタ!$A$6:$A$405,0),"")))</f>
        <v/>
      </c>
      <c r="AO2235" s="16">
        <f>IF(OR($B2235="",$C2235="",$D2235=""),"",DATE($C2235+2018,$D2235,1))</f>
        <v/>
      </c>
    </row>
    <row r="2236">
      <c r="A2236" s="11" t="n"/>
      <c r="B2236" s="12" t="n"/>
      <c r="C2236" s="12" t="n"/>
      <c r="D2236" s="12" t="n"/>
      <c r="E2236" s="13" t="n"/>
      <c r="F2236" s="12" t="n"/>
      <c r="G2236" s="13" t="n"/>
      <c r="H2236" s="12" t="n"/>
      <c r="I2236" s="12" t="n"/>
      <c r="J2236" s="12" t="n"/>
      <c r="K2236" s="12" t="n"/>
      <c r="L2236" s="11" t="n"/>
      <c r="M2236" s="11" t="n"/>
      <c r="N2236" s="11" t="n"/>
      <c r="O2236" s="11" t="n"/>
      <c r="P2236" s="12" t="n"/>
      <c r="Q2236" s="11" t="n"/>
      <c r="R2236" s="12" t="n"/>
      <c r="S2236" s="11" t="n"/>
      <c r="T2236" s="12" t="n"/>
      <c r="U2236" s="12" t="n"/>
      <c r="V2236" s="14">
        <f>IF($AN2236="",IF($B2236="","",$H2236),IF(INDEX(職員マスタ!$B$6:$B$405,$AN2236)="",$H2236,INDEX(職員マスタ!$B$6:$B$405,$AN2236)))</f>
        <v/>
      </c>
      <c r="W2236" s="14">
        <f>IF($AN2236="",IF($B2236="","",$R2236),IF(INDEX(職員マスタ!$C$6:$C$405,$AN2236)="",$R2236,INDEX(職員マスタ!$C$6:$C$405,$AN2236)))</f>
        <v/>
      </c>
      <c r="X2236" s="14">
        <f>IF($AO2236="","","R"&amp;$C2236&amp;"."&amp;$D2236)</f>
        <v/>
      </c>
      <c r="Y2236" s="15">
        <f>IF($AN2236="","",IF(INDEX(職員マスタ!$K$6:$K$405,$AN2236)="","",INDEX(職員マスタ!$K$6:$K$405,$AN2236)))</f>
        <v/>
      </c>
      <c r="Z2236" s="14">
        <f>IF(OR($E2236="",$Y2236=""),"",IF($E2236&gt;=$Y2236,"×",IF($E2236&gt;=$Y2236*設定!$C$5,"△","○")))</f>
        <v/>
      </c>
      <c r="AA2236" s="15">
        <f>IF($Z2236="","",IF($Z2236="×",0,IF($Z2236="○",ROUNDDOWN($E2236*設定!$C$4,0),ROUNDDOWN($E2236*ROUND((9*$Y2236-9*$E2236)/(10*$E2236),4),0))))</f>
        <v/>
      </c>
      <c r="AB2236" s="13" t="n"/>
      <c r="AC2236" s="15">
        <f>IF($B2236="","",IF($AB2236&lt;&gt;"",$AB2236,IF($AA2236="","",IF($AA2236&lt;=設定!$C$3,0,$AA2236))))</f>
        <v/>
      </c>
      <c r="AD2236" s="14">
        <f>IF($B2236="","",IF(AND($AE2236&lt;&gt;"",$AG2236="",$AJ2236=""),"保留中",IF($AJ2236&lt;&gt;"",IF(N($AC2236)&gt;0,"支給済","不支給"),IF($AC2236="","要確認",IF($AC2236=0,"不支給","未処理")))))</f>
        <v/>
      </c>
      <c r="AE2236" s="12" t="n"/>
      <c r="AF2236" s="11" t="n"/>
      <c r="AG2236" s="11" t="n"/>
      <c r="AH2236" s="11" t="n"/>
      <c r="AI2236" s="14">
        <f>IF(AND($AD2236="保留中",$AF2236&lt;&gt;""),TODAY()-$AF2236,"")</f>
        <v/>
      </c>
      <c r="AJ2236" s="12" t="n"/>
      <c r="AK2236" s="14">
        <f>IF($B2236="","",IF($AO2236="","対象年月が未入力／","")&amp;IF($B2236="","",IF($AN2236="","職員マスタに未登録の職員番号／",IF($Y2236="","標準報酬月額が未登録／","")&amp;IF(AND($AO2236&lt;&gt;"",OR(AND(INDEX(職員マスタ!$G$6:$G$405,$AN2236)&lt;&gt;"",INDEX(職員マスタ!$G$6:$G$405,$AN2236)&gt;EOMONTH($AO2236,0)),AND(INDEX(職員マスタ!$H$6:$H$405,$AN2236)&lt;&gt;"",INDEX(職員マスタ!$H$6:$H$405,$AN2236)&lt;$AO2236))),"対象月が時短期間外／","")&amp;IF(AND(INDEX(職員マスタ!$F$6:$F$405,$AN2236)&lt;&gt;"",$AO2236&lt;&gt;"",INDEX(職員マスタ!$F$6:$F$405,$AN2236)&lt;$AO2236),"対象月に子が2歳到達済／","")&amp;IF(AND($H2236&lt;&gt;"",INDEX(職員マスタ!$B$6:$B$405,$AN2236)&lt;&gt;"",SUBSTITUTE(SUBSTITUTE($H2236," ","")," ","")&lt;&gt;SUBSTITUTE(SUBSTITUTE(INDEX(職員マスタ!$B$6:$B$405,$AN2236)," ","")," ","")),"氏名がマスタと相違／","")&amp;IF(AND($Q2236&lt;&gt;"",INDEX(職員マスタ!$E$6:$E$405,$AN2236)&lt;&gt;"",$Q2236&lt;&gt;INDEX(職員マスタ!$E$6:$E$405,$AN2236)),"子の生年月日がマスタと相違／","")&amp;IF(AND($L2236&lt;&gt;"",INDEX(職員マスタ!$G$6:$G$405,$AN2236)&lt;&gt;"",$L2236&lt;&gt;INDEX(職員マスタ!$G$6:$G$405,$AN2236)),"時短開始日がマスタと相違／","")&amp;IF(AND($M2236&lt;&gt;"",INDEX(職員マスタ!$H$6:$H$405,$AN2236)&lt;&gt;"",$M2236&lt;&gt;INDEX(職員マスタ!$H$6:$H$405,$AN2236)),"時短終了日がマスタと相違／","")))&amp;IF(AND($B2236&lt;&gt;"",$E2236=""),"報酬額が未入力／","")&amp;IF(N($U2236)&gt;0,"申請書に入力エラーが残っています／","")&amp;IF(AND($B2236&lt;&gt;"",$AO2236&lt;&gt;""),IF(COUNTIFS($B$6:$B$3005,$B2236,$C$6:$C$3005,$C2236,$D$6:$D$3005,$D2236)&gt;1,"同じ月の請求が重複しています／",""),"")&amp;IF(AND(N($E2236)&gt;0,$Z2236&lt;&gt;"",$Z2236&lt;&gt;"×",$AC2236=0,$AB2236=""),"計算額が下限以下のため不支給／",""))</f>
        <v/>
      </c>
      <c r="AL2236" s="12" t="n"/>
      <c r="AM2236" s="14">
        <f>IF($AD2236="保留中",COUNTIF($AD$6:$AD2236,"保留中"),"")</f>
        <v/>
      </c>
      <c r="AN2236" s="14">
        <f>IF($AO2236="","",IF(SUMPRODUCT(MAX((職員マスタ!$A$6:$A$405=$B2236)*(((職員マスタ!$G$6:$G$405="")+(職員マスタ!$G$6:$G$405&lt;=EOMONTH($AO2236,0)))&gt;0)*(((職員マスタ!$H$6:$H$405="")+(職員マスタ!$H$6:$H$405&gt;=$AO2236))&gt;0)*(ROW(職員マスタ!$A$6:$A$405)-5)))&gt;0,SUMPRODUCT(MAX((職員マスタ!$A$6:$A$405=$B2236)*(((職員マスタ!$G$6:$G$405="")+(職員マスタ!$G$6:$G$405&lt;=EOMONTH($AO2236,0)))&gt;0)*(((職員マスタ!$H$6:$H$405="")+(職員マスタ!$H$6:$H$405&gt;=$AO2236))&gt;0)*(ROW(職員マスタ!$A$6:$A$405)-5))),IFERROR(MATCH($B2236,職員マスタ!$A$6:$A$405,0),"")))</f>
        <v/>
      </c>
      <c r="AO2236" s="16">
        <f>IF(OR($B2236="",$C2236="",$D2236=""),"",DATE($C2236+2018,$D2236,1))</f>
        <v/>
      </c>
    </row>
    <row r="2237">
      <c r="A2237" s="11" t="n"/>
      <c r="B2237" s="12" t="n"/>
      <c r="C2237" s="12" t="n"/>
      <c r="D2237" s="12" t="n"/>
      <c r="E2237" s="13" t="n"/>
      <c r="F2237" s="12" t="n"/>
      <c r="G2237" s="13" t="n"/>
      <c r="H2237" s="12" t="n"/>
      <c r="I2237" s="12" t="n"/>
      <c r="J2237" s="12" t="n"/>
      <c r="K2237" s="12" t="n"/>
      <c r="L2237" s="11" t="n"/>
      <c r="M2237" s="11" t="n"/>
      <c r="N2237" s="11" t="n"/>
      <c r="O2237" s="11" t="n"/>
      <c r="P2237" s="12" t="n"/>
      <c r="Q2237" s="11" t="n"/>
      <c r="R2237" s="12" t="n"/>
      <c r="S2237" s="11" t="n"/>
      <c r="T2237" s="12" t="n"/>
      <c r="U2237" s="12" t="n"/>
      <c r="V2237" s="14">
        <f>IF($AN2237="",IF($B2237="","",$H2237),IF(INDEX(職員マスタ!$B$6:$B$405,$AN2237)="",$H2237,INDEX(職員マスタ!$B$6:$B$405,$AN2237)))</f>
        <v/>
      </c>
      <c r="W2237" s="14">
        <f>IF($AN2237="",IF($B2237="","",$R2237),IF(INDEX(職員マスタ!$C$6:$C$405,$AN2237)="",$R2237,INDEX(職員マスタ!$C$6:$C$405,$AN2237)))</f>
        <v/>
      </c>
      <c r="X2237" s="14">
        <f>IF($AO2237="","","R"&amp;$C2237&amp;"."&amp;$D2237)</f>
        <v/>
      </c>
      <c r="Y2237" s="15">
        <f>IF($AN2237="","",IF(INDEX(職員マスタ!$K$6:$K$405,$AN2237)="","",INDEX(職員マスタ!$K$6:$K$405,$AN2237)))</f>
        <v/>
      </c>
      <c r="Z2237" s="14">
        <f>IF(OR($E2237="",$Y2237=""),"",IF($E2237&gt;=$Y2237,"×",IF($E2237&gt;=$Y2237*設定!$C$5,"△","○")))</f>
        <v/>
      </c>
      <c r="AA2237" s="15">
        <f>IF($Z2237="","",IF($Z2237="×",0,IF($Z2237="○",ROUNDDOWN($E2237*設定!$C$4,0),ROUNDDOWN($E2237*ROUND((9*$Y2237-9*$E2237)/(10*$E2237),4),0))))</f>
        <v/>
      </c>
      <c r="AB2237" s="13" t="n"/>
      <c r="AC2237" s="15">
        <f>IF($B2237="","",IF($AB2237&lt;&gt;"",$AB2237,IF($AA2237="","",IF($AA2237&lt;=設定!$C$3,0,$AA2237))))</f>
        <v/>
      </c>
      <c r="AD2237" s="14">
        <f>IF($B2237="","",IF(AND($AE2237&lt;&gt;"",$AG2237="",$AJ2237=""),"保留中",IF($AJ2237&lt;&gt;"",IF(N($AC2237)&gt;0,"支給済","不支給"),IF($AC2237="","要確認",IF($AC2237=0,"不支給","未処理")))))</f>
        <v/>
      </c>
      <c r="AE2237" s="12" t="n"/>
      <c r="AF2237" s="11" t="n"/>
      <c r="AG2237" s="11" t="n"/>
      <c r="AH2237" s="11" t="n"/>
      <c r="AI2237" s="14">
        <f>IF(AND($AD2237="保留中",$AF2237&lt;&gt;""),TODAY()-$AF2237,"")</f>
        <v/>
      </c>
      <c r="AJ2237" s="12" t="n"/>
      <c r="AK2237" s="14">
        <f>IF($B2237="","",IF($AO2237="","対象年月が未入力／","")&amp;IF($B2237="","",IF($AN2237="","職員マスタに未登録の職員番号／",IF($Y2237="","標準報酬月額が未登録／","")&amp;IF(AND($AO2237&lt;&gt;"",OR(AND(INDEX(職員マスタ!$G$6:$G$405,$AN2237)&lt;&gt;"",INDEX(職員マスタ!$G$6:$G$405,$AN2237)&gt;EOMONTH($AO2237,0)),AND(INDEX(職員マスタ!$H$6:$H$405,$AN2237)&lt;&gt;"",INDEX(職員マスタ!$H$6:$H$405,$AN2237)&lt;$AO2237))),"対象月が時短期間外／","")&amp;IF(AND(INDEX(職員マスタ!$F$6:$F$405,$AN2237)&lt;&gt;"",$AO2237&lt;&gt;"",INDEX(職員マスタ!$F$6:$F$405,$AN2237)&lt;$AO2237),"対象月に子が2歳到達済／","")&amp;IF(AND($H2237&lt;&gt;"",INDEX(職員マスタ!$B$6:$B$405,$AN2237)&lt;&gt;"",SUBSTITUTE(SUBSTITUTE($H2237," ","")," ","")&lt;&gt;SUBSTITUTE(SUBSTITUTE(INDEX(職員マスタ!$B$6:$B$405,$AN2237)," ","")," ","")),"氏名がマスタと相違／","")&amp;IF(AND($Q2237&lt;&gt;"",INDEX(職員マスタ!$E$6:$E$405,$AN2237)&lt;&gt;"",$Q2237&lt;&gt;INDEX(職員マスタ!$E$6:$E$405,$AN2237)),"子の生年月日がマスタと相違／","")&amp;IF(AND($L2237&lt;&gt;"",INDEX(職員マスタ!$G$6:$G$405,$AN2237)&lt;&gt;"",$L2237&lt;&gt;INDEX(職員マスタ!$G$6:$G$405,$AN2237)),"時短開始日がマスタと相違／","")&amp;IF(AND($M2237&lt;&gt;"",INDEX(職員マスタ!$H$6:$H$405,$AN2237)&lt;&gt;"",$M2237&lt;&gt;INDEX(職員マスタ!$H$6:$H$405,$AN2237)),"時短終了日がマスタと相違／","")))&amp;IF(AND($B2237&lt;&gt;"",$E2237=""),"報酬額が未入力／","")&amp;IF(N($U2237)&gt;0,"申請書に入力エラーが残っています／","")&amp;IF(AND($B2237&lt;&gt;"",$AO2237&lt;&gt;""),IF(COUNTIFS($B$6:$B$3005,$B2237,$C$6:$C$3005,$C2237,$D$6:$D$3005,$D2237)&gt;1,"同じ月の請求が重複しています／",""),"")&amp;IF(AND(N($E2237)&gt;0,$Z2237&lt;&gt;"",$Z2237&lt;&gt;"×",$AC2237=0,$AB2237=""),"計算額が下限以下のため不支給／",""))</f>
        <v/>
      </c>
      <c r="AL2237" s="12" t="n"/>
      <c r="AM2237" s="14">
        <f>IF($AD2237="保留中",COUNTIF($AD$6:$AD2237,"保留中"),"")</f>
        <v/>
      </c>
      <c r="AN2237" s="14">
        <f>IF($AO2237="","",IF(SUMPRODUCT(MAX((職員マスタ!$A$6:$A$405=$B2237)*(((職員マスタ!$G$6:$G$405="")+(職員マスタ!$G$6:$G$405&lt;=EOMONTH($AO2237,0)))&gt;0)*(((職員マスタ!$H$6:$H$405="")+(職員マスタ!$H$6:$H$405&gt;=$AO2237))&gt;0)*(ROW(職員マスタ!$A$6:$A$405)-5)))&gt;0,SUMPRODUCT(MAX((職員マスタ!$A$6:$A$405=$B2237)*(((職員マスタ!$G$6:$G$405="")+(職員マスタ!$G$6:$G$405&lt;=EOMONTH($AO2237,0)))&gt;0)*(((職員マスタ!$H$6:$H$405="")+(職員マスタ!$H$6:$H$405&gt;=$AO2237))&gt;0)*(ROW(職員マスタ!$A$6:$A$405)-5))),IFERROR(MATCH($B2237,職員マスタ!$A$6:$A$405,0),"")))</f>
        <v/>
      </c>
      <c r="AO2237" s="16">
        <f>IF(OR($B2237="",$C2237="",$D2237=""),"",DATE($C2237+2018,$D2237,1))</f>
        <v/>
      </c>
    </row>
    <row r="2238">
      <c r="A2238" s="11" t="n"/>
      <c r="B2238" s="12" t="n"/>
      <c r="C2238" s="12" t="n"/>
      <c r="D2238" s="12" t="n"/>
      <c r="E2238" s="13" t="n"/>
      <c r="F2238" s="12" t="n"/>
      <c r="G2238" s="13" t="n"/>
      <c r="H2238" s="12" t="n"/>
      <c r="I2238" s="12" t="n"/>
      <c r="J2238" s="12" t="n"/>
      <c r="K2238" s="12" t="n"/>
      <c r="L2238" s="11" t="n"/>
      <c r="M2238" s="11" t="n"/>
      <c r="N2238" s="11" t="n"/>
      <c r="O2238" s="11" t="n"/>
      <c r="P2238" s="12" t="n"/>
      <c r="Q2238" s="11" t="n"/>
      <c r="R2238" s="12" t="n"/>
      <c r="S2238" s="11" t="n"/>
      <c r="T2238" s="12" t="n"/>
      <c r="U2238" s="12" t="n"/>
      <c r="V2238" s="14">
        <f>IF($AN2238="",IF($B2238="","",$H2238),IF(INDEX(職員マスタ!$B$6:$B$405,$AN2238)="",$H2238,INDEX(職員マスタ!$B$6:$B$405,$AN2238)))</f>
        <v/>
      </c>
      <c r="W2238" s="14">
        <f>IF($AN2238="",IF($B2238="","",$R2238),IF(INDEX(職員マスタ!$C$6:$C$405,$AN2238)="",$R2238,INDEX(職員マスタ!$C$6:$C$405,$AN2238)))</f>
        <v/>
      </c>
      <c r="X2238" s="14">
        <f>IF($AO2238="","","R"&amp;$C2238&amp;"."&amp;$D2238)</f>
        <v/>
      </c>
      <c r="Y2238" s="15">
        <f>IF($AN2238="","",IF(INDEX(職員マスタ!$K$6:$K$405,$AN2238)="","",INDEX(職員マスタ!$K$6:$K$405,$AN2238)))</f>
        <v/>
      </c>
      <c r="Z2238" s="14">
        <f>IF(OR($E2238="",$Y2238=""),"",IF($E2238&gt;=$Y2238,"×",IF($E2238&gt;=$Y2238*設定!$C$5,"△","○")))</f>
        <v/>
      </c>
      <c r="AA2238" s="15">
        <f>IF($Z2238="","",IF($Z2238="×",0,IF($Z2238="○",ROUNDDOWN($E2238*設定!$C$4,0),ROUNDDOWN($E2238*ROUND((9*$Y2238-9*$E2238)/(10*$E2238),4),0))))</f>
        <v/>
      </c>
      <c r="AB2238" s="13" t="n"/>
      <c r="AC2238" s="15">
        <f>IF($B2238="","",IF($AB2238&lt;&gt;"",$AB2238,IF($AA2238="","",IF($AA2238&lt;=設定!$C$3,0,$AA2238))))</f>
        <v/>
      </c>
      <c r="AD2238" s="14">
        <f>IF($B2238="","",IF(AND($AE2238&lt;&gt;"",$AG2238="",$AJ2238=""),"保留中",IF($AJ2238&lt;&gt;"",IF(N($AC2238)&gt;0,"支給済","不支給"),IF($AC2238="","要確認",IF($AC2238=0,"不支給","未処理")))))</f>
        <v/>
      </c>
      <c r="AE2238" s="12" t="n"/>
      <c r="AF2238" s="11" t="n"/>
      <c r="AG2238" s="11" t="n"/>
      <c r="AH2238" s="11" t="n"/>
      <c r="AI2238" s="14">
        <f>IF(AND($AD2238="保留中",$AF2238&lt;&gt;""),TODAY()-$AF2238,"")</f>
        <v/>
      </c>
      <c r="AJ2238" s="12" t="n"/>
      <c r="AK2238" s="14">
        <f>IF($B2238="","",IF($AO2238="","対象年月が未入力／","")&amp;IF($B2238="","",IF($AN2238="","職員マスタに未登録の職員番号／",IF($Y2238="","標準報酬月額が未登録／","")&amp;IF(AND($AO2238&lt;&gt;"",OR(AND(INDEX(職員マスタ!$G$6:$G$405,$AN2238)&lt;&gt;"",INDEX(職員マスタ!$G$6:$G$405,$AN2238)&gt;EOMONTH($AO2238,0)),AND(INDEX(職員マスタ!$H$6:$H$405,$AN2238)&lt;&gt;"",INDEX(職員マスタ!$H$6:$H$405,$AN2238)&lt;$AO2238))),"対象月が時短期間外／","")&amp;IF(AND(INDEX(職員マスタ!$F$6:$F$405,$AN2238)&lt;&gt;"",$AO2238&lt;&gt;"",INDEX(職員マスタ!$F$6:$F$405,$AN2238)&lt;$AO2238),"対象月に子が2歳到達済／","")&amp;IF(AND($H2238&lt;&gt;"",INDEX(職員マスタ!$B$6:$B$405,$AN2238)&lt;&gt;"",SUBSTITUTE(SUBSTITUTE($H2238," ","")," ","")&lt;&gt;SUBSTITUTE(SUBSTITUTE(INDEX(職員マスタ!$B$6:$B$405,$AN2238)," ","")," ","")),"氏名がマスタと相違／","")&amp;IF(AND($Q2238&lt;&gt;"",INDEX(職員マスタ!$E$6:$E$405,$AN2238)&lt;&gt;"",$Q2238&lt;&gt;INDEX(職員マスタ!$E$6:$E$405,$AN2238)),"子の生年月日がマスタと相違／","")&amp;IF(AND($L2238&lt;&gt;"",INDEX(職員マスタ!$G$6:$G$405,$AN2238)&lt;&gt;"",$L2238&lt;&gt;INDEX(職員マスタ!$G$6:$G$405,$AN2238)),"時短開始日がマスタと相違／","")&amp;IF(AND($M2238&lt;&gt;"",INDEX(職員マスタ!$H$6:$H$405,$AN2238)&lt;&gt;"",$M2238&lt;&gt;INDEX(職員マスタ!$H$6:$H$405,$AN2238)),"時短終了日がマスタと相違／","")))&amp;IF(AND($B2238&lt;&gt;"",$E2238=""),"報酬額が未入力／","")&amp;IF(N($U2238)&gt;0,"申請書に入力エラーが残っています／","")&amp;IF(AND($B2238&lt;&gt;"",$AO2238&lt;&gt;""),IF(COUNTIFS($B$6:$B$3005,$B2238,$C$6:$C$3005,$C2238,$D$6:$D$3005,$D2238)&gt;1,"同じ月の請求が重複しています／",""),"")&amp;IF(AND(N($E2238)&gt;0,$Z2238&lt;&gt;"",$Z2238&lt;&gt;"×",$AC2238=0,$AB2238=""),"計算額が下限以下のため不支給／",""))</f>
        <v/>
      </c>
      <c r="AL2238" s="12" t="n"/>
      <c r="AM2238" s="14">
        <f>IF($AD2238="保留中",COUNTIF($AD$6:$AD2238,"保留中"),"")</f>
        <v/>
      </c>
      <c r="AN2238" s="14">
        <f>IF($AO2238="","",IF(SUMPRODUCT(MAX((職員マスタ!$A$6:$A$405=$B2238)*(((職員マスタ!$G$6:$G$405="")+(職員マスタ!$G$6:$G$405&lt;=EOMONTH($AO2238,0)))&gt;0)*(((職員マスタ!$H$6:$H$405="")+(職員マスタ!$H$6:$H$405&gt;=$AO2238))&gt;0)*(ROW(職員マスタ!$A$6:$A$405)-5)))&gt;0,SUMPRODUCT(MAX((職員マスタ!$A$6:$A$405=$B2238)*(((職員マスタ!$G$6:$G$405="")+(職員マスタ!$G$6:$G$405&lt;=EOMONTH($AO2238,0)))&gt;0)*(((職員マスタ!$H$6:$H$405="")+(職員マスタ!$H$6:$H$405&gt;=$AO2238))&gt;0)*(ROW(職員マスタ!$A$6:$A$405)-5))),IFERROR(MATCH($B2238,職員マスタ!$A$6:$A$405,0),"")))</f>
        <v/>
      </c>
      <c r="AO2238" s="16">
        <f>IF(OR($B2238="",$C2238="",$D2238=""),"",DATE($C2238+2018,$D2238,1))</f>
        <v/>
      </c>
    </row>
    <row r="2239">
      <c r="A2239" s="11" t="n"/>
      <c r="B2239" s="12" t="n"/>
      <c r="C2239" s="12" t="n"/>
      <c r="D2239" s="12" t="n"/>
      <c r="E2239" s="13" t="n"/>
      <c r="F2239" s="12" t="n"/>
      <c r="G2239" s="13" t="n"/>
      <c r="H2239" s="12" t="n"/>
      <c r="I2239" s="12" t="n"/>
      <c r="J2239" s="12" t="n"/>
      <c r="K2239" s="12" t="n"/>
      <c r="L2239" s="11" t="n"/>
      <c r="M2239" s="11" t="n"/>
      <c r="N2239" s="11" t="n"/>
      <c r="O2239" s="11" t="n"/>
      <c r="P2239" s="12" t="n"/>
      <c r="Q2239" s="11" t="n"/>
      <c r="R2239" s="12" t="n"/>
      <c r="S2239" s="11" t="n"/>
      <c r="T2239" s="12" t="n"/>
      <c r="U2239" s="12" t="n"/>
      <c r="V2239" s="14">
        <f>IF($AN2239="",IF($B2239="","",$H2239),IF(INDEX(職員マスタ!$B$6:$B$405,$AN2239)="",$H2239,INDEX(職員マスタ!$B$6:$B$405,$AN2239)))</f>
        <v/>
      </c>
      <c r="W2239" s="14">
        <f>IF($AN2239="",IF($B2239="","",$R2239),IF(INDEX(職員マスタ!$C$6:$C$405,$AN2239)="",$R2239,INDEX(職員マスタ!$C$6:$C$405,$AN2239)))</f>
        <v/>
      </c>
      <c r="X2239" s="14">
        <f>IF($AO2239="","","R"&amp;$C2239&amp;"."&amp;$D2239)</f>
        <v/>
      </c>
      <c r="Y2239" s="15">
        <f>IF($AN2239="","",IF(INDEX(職員マスタ!$K$6:$K$405,$AN2239)="","",INDEX(職員マスタ!$K$6:$K$405,$AN2239)))</f>
        <v/>
      </c>
      <c r="Z2239" s="14">
        <f>IF(OR($E2239="",$Y2239=""),"",IF($E2239&gt;=$Y2239,"×",IF($E2239&gt;=$Y2239*設定!$C$5,"△","○")))</f>
        <v/>
      </c>
      <c r="AA2239" s="15">
        <f>IF($Z2239="","",IF($Z2239="×",0,IF($Z2239="○",ROUNDDOWN($E2239*設定!$C$4,0),ROUNDDOWN($E2239*ROUND((9*$Y2239-9*$E2239)/(10*$E2239),4),0))))</f>
        <v/>
      </c>
      <c r="AB2239" s="13" t="n"/>
      <c r="AC2239" s="15">
        <f>IF($B2239="","",IF($AB2239&lt;&gt;"",$AB2239,IF($AA2239="","",IF($AA2239&lt;=設定!$C$3,0,$AA2239))))</f>
        <v/>
      </c>
      <c r="AD2239" s="14">
        <f>IF($B2239="","",IF(AND($AE2239&lt;&gt;"",$AG2239="",$AJ2239=""),"保留中",IF($AJ2239&lt;&gt;"",IF(N($AC2239)&gt;0,"支給済","不支給"),IF($AC2239="","要確認",IF($AC2239=0,"不支給","未処理")))))</f>
        <v/>
      </c>
      <c r="AE2239" s="12" t="n"/>
      <c r="AF2239" s="11" t="n"/>
      <c r="AG2239" s="11" t="n"/>
      <c r="AH2239" s="11" t="n"/>
      <c r="AI2239" s="14">
        <f>IF(AND($AD2239="保留中",$AF2239&lt;&gt;""),TODAY()-$AF2239,"")</f>
        <v/>
      </c>
      <c r="AJ2239" s="12" t="n"/>
      <c r="AK2239" s="14">
        <f>IF($B2239="","",IF($AO2239="","対象年月が未入力／","")&amp;IF($B2239="","",IF($AN2239="","職員マスタに未登録の職員番号／",IF($Y2239="","標準報酬月額が未登録／","")&amp;IF(AND($AO2239&lt;&gt;"",OR(AND(INDEX(職員マスタ!$G$6:$G$405,$AN2239)&lt;&gt;"",INDEX(職員マスタ!$G$6:$G$405,$AN2239)&gt;EOMONTH($AO2239,0)),AND(INDEX(職員マスタ!$H$6:$H$405,$AN2239)&lt;&gt;"",INDEX(職員マスタ!$H$6:$H$405,$AN2239)&lt;$AO2239))),"対象月が時短期間外／","")&amp;IF(AND(INDEX(職員マスタ!$F$6:$F$405,$AN2239)&lt;&gt;"",$AO2239&lt;&gt;"",INDEX(職員マスタ!$F$6:$F$405,$AN2239)&lt;$AO2239),"対象月に子が2歳到達済／","")&amp;IF(AND($H2239&lt;&gt;"",INDEX(職員マスタ!$B$6:$B$405,$AN2239)&lt;&gt;"",SUBSTITUTE(SUBSTITUTE($H2239," ","")," ","")&lt;&gt;SUBSTITUTE(SUBSTITUTE(INDEX(職員マスタ!$B$6:$B$405,$AN2239)," ","")," ","")),"氏名がマスタと相違／","")&amp;IF(AND($Q2239&lt;&gt;"",INDEX(職員マスタ!$E$6:$E$405,$AN2239)&lt;&gt;"",$Q2239&lt;&gt;INDEX(職員マスタ!$E$6:$E$405,$AN2239)),"子の生年月日がマスタと相違／","")&amp;IF(AND($L2239&lt;&gt;"",INDEX(職員マスタ!$G$6:$G$405,$AN2239)&lt;&gt;"",$L2239&lt;&gt;INDEX(職員マスタ!$G$6:$G$405,$AN2239)),"時短開始日がマスタと相違／","")&amp;IF(AND($M2239&lt;&gt;"",INDEX(職員マスタ!$H$6:$H$405,$AN2239)&lt;&gt;"",$M2239&lt;&gt;INDEX(職員マスタ!$H$6:$H$405,$AN2239)),"時短終了日がマスタと相違／","")))&amp;IF(AND($B2239&lt;&gt;"",$E2239=""),"報酬額が未入力／","")&amp;IF(N($U2239)&gt;0,"申請書に入力エラーが残っています／","")&amp;IF(AND($B2239&lt;&gt;"",$AO2239&lt;&gt;""),IF(COUNTIFS($B$6:$B$3005,$B2239,$C$6:$C$3005,$C2239,$D$6:$D$3005,$D2239)&gt;1,"同じ月の請求が重複しています／",""),"")&amp;IF(AND(N($E2239)&gt;0,$Z2239&lt;&gt;"",$Z2239&lt;&gt;"×",$AC2239=0,$AB2239=""),"計算額が下限以下のため不支給／",""))</f>
        <v/>
      </c>
      <c r="AL2239" s="12" t="n"/>
      <c r="AM2239" s="14">
        <f>IF($AD2239="保留中",COUNTIF($AD$6:$AD2239,"保留中"),"")</f>
        <v/>
      </c>
      <c r="AN2239" s="14">
        <f>IF($AO2239="","",IF(SUMPRODUCT(MAX((職員マスタ!$A$6:$A$405=$B2239)*(((職員マスタ!$G$6:$G$405="")+(職員マスタ!$G$6:$G$405&lt;=EOMONTH($AO2239,0)))&gt;0)*(((職員マスタ!$H$6:$H$405="")+(職員マスタ!$H$6:$H$405&gt;=$AO2239))&gt;0)*(ROW(職員マスタ!$A$6:$A$405)-5)))&gt;0,SUMPRODUCT(MAX((職員マスタ!$A$6:$A$405=$B2239)*(((職員マスタ!$G$6:$G$405="")+(職員マスタ!$G$6:$G$405&lt;=EOMONTH($AO2239,0)))&gt;0)*(((職員マスタ!$H$6:$H$405="")+(職員マスタ!$H$6:$H$405&gt;=$AO2239))&gt;0)*(ROW(職員マスタ!$A$6:$A$405)-5))),IFERROR(MATCH($B2239,職員マスタ!$A$6:$A$405,0),"")))</f>
        <v/>
      </c>
      <c r="AO2239" s="16">
        <f>IF(OR($B2239="",$C2239="",$D2239=""),"",DATE($C2239+2018,$D2239,1))</f>
        <v/>
      </c>
    </row>
    <row r="2240">
      <c r="A2240" s="11" t="n"/>
      <c r="B2240" s="12" t="n"/>
      <c r="C2240" s="12" t="n"/>
      <c r="D2240" s="12" t="n"/>
      <c r="E2240" s="13" t="n"/>
      <c r="F2240" s="12" t="n"/>
      <c r="G2240" s="13" t="n"/>
      <c r="H2240" s="12" t="n"/>
      <c r="I2240" s="12" t="n"/>
      <c r="J2240" s="12" t="n"/>
      <c r="K2240" s="12" t="n"/>
      <c r="L2240" s="11" t="n"/>
      <c r="M2240" s="11" t="n"/>
      <c r="N2240" s="11" t="n"/>
      <c r="O2240" s="11" t="n"/>
      <c r="P2240" s="12" t="n"/>
      <c r="Q2240" s="11" t="n"/>
      <c r="R2240" s="12" t="n"/>
      <c r="S2240" s="11" t="n"/>
      <c r="T2240" s="12" t="n"/>
      <c r="U2240" s="12" t="n"/>
      <c r="V2240" s="14">
        <f>IF($AN2240="",IF($B2240="","",$H2240),IF(INDEX(職員マスタ!$B$6:$B$405,$AN2240)="",$H2240,INDEX(職員マスタ!$B$6:$B$405,$AN2240)))</f>
        <v/>
      </c>
      <c r="W2240" s="14">
        <f>IF($AN2240="",IF($B2240="","",$R2240),IF(INDEX(職員マスタ!$C$6:$C$405,$AN2240)="",$R2240,INDEX(職員マスタ!$C$6:$C$405,$AN2240)))</f>
        <v/>
      </c>
      <c r="X2240" s="14">
        <f>IF($AO2240="","","R"&amp;$C2240&amp;"."&amp;$D2240)</f>
        <v/>
      </c>
      <c r="Y2240" s="15">
        <f>IF($AN2240="","",IF(INDEX(職員マスタ!$K$6:$K$405,$AN2240)="","",INDEX(職員マスタ!$K$6:$K$405,$AN2240)))</f>
        <v/>
      </c>
      <c r="Z2240" s="14">
        <f>IF(OR($E2240="",$Y2240=""),"",IF($E2240&gt;=$Y2240,"×",IF($E2240&gt;=$Y2240*設定!$C$5,"△","○")))</f>
        <v/>
      </c>
      <c r="AA2240" s="15">
        <f>IF($Z2240="","",IF($Z2240="×",0,IF($Z2240="○",ROUNDDOWN($E2240*設定!$C$4,0),ROUNDDOWN($E2240*ROUND((9*$Y2240-9*$E2240)/(10*$E2240),4),0))))</f>
        <v/>
      </c>
      <c r="AB2240" s="13" t="n"/>
      <c r="AC2240" s="15">
        <f>IF($B2240="","",IF($AB2240&lt;&gt;"",$AB2240,IF($AA2240="","",IF($AA2240&lt;=設定!$C$3,0,$AA2240))))</f>
        <v/>
      </c>
      <c r="AD2240" s="14">
        <f>IF($B2240="","",IF(AND($AE2240&lt;&gt;"",$AG2240="",$AJ2240=""),"保留中",IF($AJ2240&lt;&gt;"",IF(N($AC2240)&gt;0,"支給済","不支給"),IF($AC2240="","要確認",IF($AC2240=0,"不支給","未処理")))))</f>
        <v/>
      </c>
      <c r="AE2240" s="12" t="n"/>
      <c r="AF2240" s="11" t="n"/>
      <c r="AG2240" s="11" t="n"/>
      <c r="AH2240" s="11" t="n"/>
      <c r="AI2240" s="14">
        <f>IF(AND($AD2240="保留中",$AF2240&lt;&gt;""),TODAY()-$AF2240,"")</f>
        <v/>
      </c>
      <c r="AJ2240" s="12" t="n"/>
      <c r="AK2240" s="14">
        <f>IF($B2240="","",IF($AO2240="","対象年月が未入力／","")&amp;IF($B2240="","",IF($AN2240="","職員マスタに未登録の職員番号／",IF($Y2240="","標準報酬月額が未登録／","")&amp;IF(AND($AO2240&lt;&gt;"",OR(AND(INDEX(職員マスタ!$G$6:$G$405,$AN2240)&lt;&gt;"",INDEX(職員マスタ!$G$6:$G$405,$AN2240)&gt;EOMONTH($AO2240,0)),AND(INDEX(職員マスタ!$H$6:$H$405,$AN2240)&lt;&gt;"",INDEX(職員マスタ!$H$6:$H$405,$AN2240)&lt;$AO2240))),"対象月が時短期間外／","")&amp;IF(AND(INDEX(職員マスタ!$F$6:$F$405,$AN2240)&lt;&gt;"",$AO2240&lt;&gt;"",INDEX(職員マスタ!$F$6:$F$405,$AN2240)&lt;$AO2240),"対象月に子が2歳到達済／","")&amp;IF(AND($H2240&lt;&gt;"",INDEX(職員マスタ!$B$6:$B$405,$AN2240)&lt;&gt;"",SUBSTITUTE(SUBSTITUTE($H2240," ","")," ","")&lt;&gt;SUBSTITUTE(SUBSTITUTE(INDEX(職員マスタ!$B$6:$B$405,$AN2240)," ","")," ","")),"氏名がマスタと相違／","")&amp;IF(AND($Q2240&lt;&gt;"",INDEX(職員マスタ!$E$6:$E$405,$AN2240)&lt;&gt;"",$Q2240&lt;&gt;INDEX(職員マスタ!$E$6:$E$405,$AN2240)),"子の生年月日がマスタと相違／","")&amp;IF(AND($L2240&lt;&gt;"",INDEX(職員マスタ!$G$6:$G$405,$AN2240)&lt;&gt;"",$L2240&lt;&gt;INDEX(職員マスタ!$G$6:$G$405,$AN2240)),"時短開始日がマスタと相違／","")&amp;IF(AND($M2240&lt;&gt;"",INDEX(職員マスタ!$H$6:$H$405,$AN2240)&lt;&gt;"",$M2240&lt;&gt;INDEX(職員マスタ!$H$6:$H$405,$AN2240)),"時短終了日がマスタと相違／","")))&amp;IF(AND($B2240&lt;&gt;"",$E2240=""),"報酬額が未入力／","")&amp;IF(N($U2240)&gt;0,"申請書に入力エラーが残っています／","")&amp;IF(AND($B2240&lt;&gt;"",$AO2240&lt;&gt;""),IF(COUNTIFS($B$6:$B$3005,$B2240,$C$6:$C$3005,$C2240,$D$6:$D$3005,$D2240)&gt;1,"同じ月の請求が重複しています／",""),"")&amp;IF(AND(N($E2240)&gt;0,$Z2240&lt;&gt;"",$Z2240&lt;&gt;"×",$AC2240=0,$AB2240=""),"計算額が下限以下のため不支給／",""))</f>
        <v/>
      </c>
      <c r="AL2240" s="12" t="n"/>
      <c r="AM2240" s="14">
        <f>IF($AD2240="保留中",COUNTIF($AD$6:$AD2240,"保留中"),"")</f>
        <v/>
      </c>
      <c r="AN2240" s="14">
        <f>IF($AO2240="","",IF(SUMPRODUCT(MAX((職員マスタ!$A$6:$A$405=$B2240)*(((職員マスタ!$G$6:$G$405="")+(職員マスタ!$G$6:$G$405&lt;=EOMONTH($AO2240,0)))&gt;0)*(((職員マスタ!$H$6:$H$405="")+(職員マスタ!$H$6:$H$405&gt;=$AO2240))&gt;0)*(ROW(職員マスタ!$A$6:$A$405)-5)))&gt;0,SUMPRODUCT(MAX((職員マスタ!$A$6:$A$405=$B2240)*(((職員マスタ!$G$6:$G$405="")+(職員マスタ!$G$6:$G$405&lt;=EOMONTH($AO2240,0)))&gt;0)*(((職員マスタ!$H$6:$H$405="")+(職員マスタ!$H$6:$H$405&gt;=$AO2240))&gt;0)*(ROW(職員マスタ!$A$6:$A$405)-5))),IFERROR(MATCH($B2240,職員マスタ!$A$6:$A$405,0),"")))</f>
        <v/>
      </c>
      <c r="AO2240" s="16">
        <f>IF(OR($B2240="",$C2240="",$D2240=""),"",DATE($C2240+2018,$D2240,1))</f>
        <v/>
      </c>
    </row>
    <row r="2241">
      <c r="A2241" s="11" t="n"/>
      <c r="B2241" s="12" t="n"/>
      <c r="C2241" s="12" t="n"/>
      <c r="D2241" s="12" t="n"/>
      <c r="E2241" s="13" t="n"/>
      <c r="F2241" s="12" t="n"/>
      <c r="G2241" s="13" t="n"/>
      <c r="H2241" s="12" t="n"/>
      <c r="I2241" s="12" t="n"/>
      <c r="J2241" s="12" t="n"/>
      <c r="K2241" s="12" t="n"/>
      <c r="L2241" s="11" t="n"/>
      <c r="M2241" s="11" t="n"/>
      <c r="N2241" s="11" t="n"/>
      <c r="O2241" s="11" t="n"/>
      <c r="P2241" s="12" t="n"/>
      <c r="Q2241" s="11" t="n"/>
      <c r="R2241" s="12" t="n"/>
      <c r="S2241" s="11" t="n"/>
      <c r="T2241" s="12" t="n"/>
      <c r="U2241" s="12" t="n"/>
      <c r="V2241" s="14">
        <f>IF($AN2241="",IF($B2241="","",$H2241),IF(INDEX(職員マスタ!$B$6:$B$405,$AN2241)="",$H2241,INDEX(職員マスタ!$B$6:$B$405,$AN2241)))</f>
        <v/>
      </c>
      <c r="W2241" s="14">
        <f>IF($AN2241="",IF($B2241="","",$R2241),IF(INDEX(職員マスタ!$C$6:$C$405,$AN2241)="",$R2241,INDEX(職員マスタ!$C$6:$C$405,$AN2241)))</f>
        <v/>
      </c>
      <c r="X2241" s="14">
        <f>IF($AO2241="","","R"&amp;$C2241&amp;"."&amp;$D2241)</f>
        <v/>
      </c>
      <c r="Y2241" s="15">
        <f>IF($AN2241="","",IF(INDEX(職員マスタ!$K$6:$K$405,$AN2241)="","",INDEX(職員マスタ!$K$6:$K$405,$AN2241)))</f>
        <v/>
      </c>
      <c r="Z2241" s="14">
        <f>IF(OR($E2241="",$Y2241=""),"",IF($E2241&gt;=$Y2241,"×",IF($E2241&gt;=$Y2241*設定!$C$5,"△","○")))</f>
        <v/>
      </c>
      <c r="AA2241" s="15">
        <f>IF($Z2241="","",IF($Z2241="×",0,IF($Z2241="○",ROUNDDOWN($E2241*設定!$C$4,0),ROUNDDOWN($E2241*ROUND((9*$Y2241-9*$E2241)/(10*$E2241),4),0))))</f>
        <v/>
      </c>
      <c r="AB2241" s="13" t="n"/>
      <c r="AC2241" s="15">
        <f>IF($B2241="","",IF($AB2241&lt;&gt;"",$AB2241,IF($AA2241="","",IF($AA2241&lt;=設定!$C$3,0,$AA2241))))</f>
        <v/>
      </c>
      <c r="AD2241" s="14">
        <f>IF($B2241="","",IF(AND($AE2241&lt;&gt;"",$AG2241="",$AJ2241=""),"保留中",IF($AJ2241&lt;&gt;"",IF(N($AC2241)&gt;0,"支給済","不支給"),IF($AC2241="","要確認",IF($AC2241=0,"不支給","未処理")))))</f>
        <v/>
      </c>
      <c r="AE2241" s="12" t="n"/>
      <c r="AF2241" s="11" t="n"/>
      <c r="AG2241" s="11" t="n"/>
      <c r="AH2241" s="11" t="n"/>
      <c r="AI2241" s="14">
        <f>IF(AND($AD2241="保留中",$AF2241&lt;&gt;""),TODAY()-$AF2241,"")</f>
        <v/>
      </c>
      <c r="AJ2241" s="12" t="n"/>
      <c r="AK2241" s="14">
        <f>IF($B2241="","",IF($AO2241="","対象年月が未入力／","")&amp;IF($B2241="","",IF($AN2241="","職員マスタに未登録の職員番号／",IF($Y2241="","標準報酬月額が未登録／","")&amp;IF(AND($AO2241&lt;&gt;"",OR(AND(INDEX(職員マスタ!$G$6:$G$405,$AN2241)&lt;&gt;"",INDEX(職員マスタ!$G$6:$G$405,$AN2241)&gt;EOMONTH($AO2241,0)),AND(INDEX(職員マスタ!$H$6:$H$405,$AN2241)&lt;&gt;"",INDEX(職員マスタ!$H$6:$H$405,$AN2241)&lt;$AO2241))),"対象月が時短期間外／","")&amp;IF(AND(INDEX(職員マスタ!$F$6:$F$405,$AN2241)&lt;&gt;"",$AO2241&lt;&gt;"",INDEX(職員マスタ!$F$6:$F$405,$AN2241)&lt;$AO2241),"対象月に子が2歳到達済／","")&amp;IF(AND($H2241&lt;&gt;"",INDEX(職員マスタ!$B$6:$B$405,$AN2241)&lt;&gt;"",SUBSTITUTE(SUBSTITUTE($H2241," ","")," ","")&lt;&gt;SUBSTITUTE(SUBSTITUTE(INDEX(職員マスタ!$B$6:$B$405,$AN2241)," ","")," ","")),"氏名がマスタと相違／","")&amp;IF(AND($Q2241&lt;&gt;"",INDEX(職員マスタ!$E$6:$E$405,$AN2241)&lt;&gt;"",$Q2241&lt;&gt;INDEX(職員マスタ!$E$6:$E$405,$AN2241)),"子の生年月日がマスタと相違／","")&amp;IF(AND($L2241&lt;&gt;"",INDEX(職員マスタ!$G$6:$G$405,$AN2241)&lt;&gt;"",$L2241&lt;&gt;INDEX(職員マスタ!$G$6:$G$405,$AN2241)),"時短開始日がマスタと相違／","")&amp;IF(AND($M2241&lt;&gt;"",INDEX(職員マスタ!$H$6:$H$405,$AN2241)&lt;&gt;"",$M2241&lt;&gt;INDEX(職員マスタ!$H$6:$H$405,$AN2241)),"時短終了日がマスタと相違／","")))&amp;IF(AND($B2241&lt;&gt;"",$E2241=""),"報酬額が未入力／","")&amp;IF(N($U2241)&gt;0,"申請書に入力エラーが残っています／","")&amp;IF(AND($B2241&lt;&gt;"",$AO2241&lt;&gt;""),IF(COUNTIFS($B$6:$B$3005,$B2241,$C$6:$C$3005,$C2241,$D$6:$D$3005,$D2241)&gt;1,"同じ月の請求が重複しています／",""),"")&amp;IF(AND(N($E2241)&gt;0,$Z2241&lt;&gt;"",$Z2241&lt;&gt;"×",$AC2241=0,$AB2241=""),"計算額が下限以下のため不支給／",""))</f>
        <v/>
      </c>
      <c r="AL2241" s="12" t="n"/>
      <c r="AM2241" s="14">
        <f>IF($AD2241="保留中",COUNTIF($AD$6:$AD2241,"保留中"),"")</f>
        <v/>
      </c>
      <c r="AN2241" s="14">
        <f>IF($AO2241="","",IF(SUMPRODUCT(MAX((職員マスタ!$A$6:$A$405=$B2241)*(((職員マスタ!$G$6:$G$405="")+(職員マスタ!$G$6:$G$405&lt;=EOMONTH($AO2241,0)))&gt;0)*(((職員マスタ!$H$6:$H$405="")+(職員マスタ!$H$6:$H$405&gt;=$AO2241))&gt;0)*(ROW(職員マスタ!$A$6:$A$405)-5)))&gt;0,SUMPRODUCT(MAX((職員マスタ!$A$6:$A$405=$B2241)*(((職員マスタ!$G$6:$G$405="")+(職員マスタ!$G$6:$G$405&lt;=EOMONTH($AO2241,0)))&gt;0)*(((職員マスタ!$H$6:$H$405="")+(職員マスタ!$H$6:$H$405&gt;=$AO2241))&gt;0)*(ROW(職員マスタ!$A$6:$A$405)-5))),IFERROR(MATCH($B2241,職員マスタ!$A$6:$A$405,0),"")))</f>
        <v/>
      </c>
      <c r="AO2241" s="16">
        <f>IF(OR($B2241="",$C2241="",$D2241=""),"",DATE($C2241+2018,$D2241,1))</f>
        <v/>
      </c>
    </row>
    <row r="2242">
      <c r="A2242" s="11" t="n"/>
      <c r="B2242" s="12" t="n"/>
      <c r="C2242" s="12" t="n"/>
      <c r="D2242" s="12" t="n"/>
      <c r="E2242" s="13" t="n"/>
      <c r="F2242" s="12" t="n"/>
      <c r="G2242" s="13" t="n"/>
      <c r="H2242" s="12" t="n"/>
      <c r="I2242" s="12" t="n"/>
      <c r="J2242" s="12" t="n"/>
      <c r="K2242" s="12" t="n"/>
      <c r="L2242" s="11" t="n"/>
      <c r="M2242" s="11" t="n"/>
      <c r="N2242" s="11" t="n"/>
      <c r="O2242" s="11" t="n"/>
      <c r="P2242" s="12" t="n"/>
      <c r="Q2242" s="11" t="n"/>
      <c r="R2242" s="12" t="n"/>
      <c r="S2242" s="11" t="n"/>
      <c r="T2242" s="12" t="n"/>
      <c r="U2242" s="12" t="n"/>
      <c r="V2242" s="14">
        <f>IF($AN2242="",IF($B2242="","",$H2242),IF(INDEX(職員マスタ!$B$6:$B$405,$AN2242)="",$H2242,INDEX(職員マスタ!$B$6:$B$405,$AN2242)))</f>
        <v/>
      </c>
      <c r="W2242" s="14">
        <f>IF($AN2242="",IF($B2242="","",$R2242),IF(INDEX(職員マスタ!$C$6:$C$405,$AN2242)="",$R2242,INDEX(職員マスタ!$C$6:$C$405,$AN2242)))</f>
        <v/>
      </c>
      <c r="X2242" s="14">
        <f>IF($AO2242="","","R"&amp;$C2242&amp;"."&amp;$D2242)</f>
        <v/>
      </c>
      <c r="Y2242" s="15">
        <f>IF($AN2242="","",IF(INDEX(職員マスタ!$K$6:$K$405,$AN2242)="","",INDEX(職員マスタ!$K$6:$K$405,$AN2242)))</f>
        <v/>
      </c>
      <c r="Z2242" s="14">
        <f>IF(OR($E2242="",$Y2242=""),"",IF($E2242&gt;=$Y2242,"×",IF($E2242&gt;=$Y2242*設定!$C$5,"△","○")))</f>
        <v/>
      </c>
      <c r="AA2242" s="15">
        <f>IF($Z2242="","",IF($Z2242="×",0,IF($Z2242="○",ROUNDDOWN($E2242*設定!$C$4,0),ROUNDDOWN($E2242*ROUND((9*$Y2242-9*$E2242)/(10*$E2242),4),0))))</f>
        <v/>
      </c>
      <c r="AB2242" s="13" t="n"/>
      <c r="AC2242" s="15">
        <f>IF($B2242="","",IF($AB2242&lt;&gt;"",$AB2242,IF($AA2242="","",IF($AA2242&lt;=設定!$C$3,0,$AA2242))))</f>
        <v/>
      </c>
      <c r="AD2242" s="14">
        <f>IF($B2242="","",IF(AND($AE2242&lt;&gt;"",$AG2242="",$AJ2242=""),"保留中",IF($AJ2242&lt;&gt;"",IF(N($AC2242)&gt;0,"支給済","不支給"),IF($AC2242="","要確認",IF($AC2242=0,"不支給","未処理")))))</f>
        <v/>
      </c>
      <c r="AE2242" s="12" t="n"/>
      <c r="AF2242" s="11" t="n"/>
      <c r="AG2242" s="11" t="n"/>
      <c r="AH2242" s="11" t="n"/>
      <c r="AI2242" s="14">
        <f>IF(AND($AD2242="保留中",$AF2242&lt;&gt;""),TODAY()-$AF2242,"")</f>
        <v/>
      </c>
      <c r="AJ2242" s="12" t="n"/>
      <c r="AK2242" s="14">
        <f>IF($B2242="","",IF($AO2242="","対象年月が未入力／","")&amp;IF($B2242="","",IF($AN2242="","職員マスタに未登録の職員番号／",IF($Y2242="","標準報酬月額が未登録／","")&amp;IF(AND($AO2242&lt;&gt;"",OR(AND(INDEX(職員マスタ!$G$6:$G$405,$AN2242)&lt;&gt;"",INDEX(職員マスタ!$G$6:$G$405,$AN2242)&gt;EOMONTH($AO2242,0)),AND(INDEX(職員マスタ!$H$6:$H$405,$AN2242)&lt;&gt;"",INDEX(職員マスタ!$H$6:$H$405,$AN2242)&lt;$AO2242))),"対象月が時短期間外／","")&amp;IF(AND(INDEX(職員マスタ!$F$6:$F$405,$AN2242)&lt;&gt;"",$AO2242&lt;&gt;"",INDEX(職員マスタ!$F$6:$F$405,$AN2242)&lt;$AO2242),"対象月に子が2歳到達済／","")&amp;IF(AND($H2242&lt;&gt;"",INDEX(職員マスタ!$B$6:$B$405,$AN2242)&lt;&gt;"",SUBSTITUTE(SUBSTITUTE($H2242," ","")," ","")&lt;&gt;SUBSTITUTE(SUBSTITUTE(INDEX(職員マスタ!$B$6:$B$405,$AN2242)," ","")," ","")),"氏名がマスタと相違／","")&amp;IF(AND($Q2242&lt;&gt;"",INDEX(職員マスタ!$E$6:$E$405,$AN2242)&lt;&gt;"",$Q2242&lt;&gt;INDEX(職員マスタ!$E$6:$E$405,$AN2242)),"子の生年月日がマスタと相違／","")&amp;IF(AND($L2242&lt;&gt;"",INDEX(職員マスタ!$G$6:$G$405,$AN2242)&lt;&gt;"",$L2242&lt;&gt;INDEX(職員マスタ!$G$6:$G$405,$AN2242)),"時短開始日がマスタと相違／","")&amp;IF(AND($M2242&lt;&gt;"",INDEX(職員マスタ!$H$6:$H$405,$AN2242)&lt;&gt;"",$M2242&lt;&gt;INDEX(職員マスタ!$H$6:$H$405,$AN2242)),"時短終了日がマスタと相違／","")))&amp;IF(AND($B2242&lt;&gt;"",$E2242=""),"報酬額が未入力／","")&amp;IF(N($U2242)&gt;0,"申請書に入力エラーが残っています／","")&amp;IF(AND($B2242&lt;&gt;"",$AO2242&lt;&gt;""),IF(COUNTIFS($B$6:$B$3005,$B2242,$C$6:$C$3005,$C2242,$D$6:$D$3005,$D2242)&gt;1,"同じ月の請求が重複しています／",""),"")&amp;IF(AND(N($E2242)&gt;0,$Z2242&lt;&gt;"",$Z2242&lt;&gt;"×",$AC2242=0,$AB2242=""),"計算額が下限以下のため不支給／",""))</f>
        <v/>
      </c>
      <c r="AL2242" s="12" t="n"/>
      <c r="AM2242" s="14">
        <f>IF($AD2242="保留中",COUNTIF($AD$6:$AD2242,"保留中"),"")</f>
        <v/>
      </c>
      <c r="AN2242" s="14">
        <f>IF($AO2242="","",IF(SUMPRODUCT(MAX((職員マスタ!$A$6:$A$405=$B2242)*(((職員マスタ!$G$6:$G$405="")+(職員マスタ!$G$6:$G$405&lt;=EOMONTH($AO2242,0)))&gt;0)*(((職員マスタ!$H$6:$H$405="")+(職員マスタ!$H$6:$H$405&gt;=$AO2242))&gt;0)*(ROW(職員マスタ!$A$6:$A$405)-5)))&gt;0,SUMPRODUCT(MAX((職員マスタ!$A$6:$A$405=$B2242)*(((職員マスタ!$G$6:$G$405="")+(職員マスタ!$G$6:$G$405&lt;=EOMONTH($AO2242,0)))&gt;0)*(((職員マスタ!$H$6:$H$405="")+(職員マスタ!$H$6:$H$405&gt;=$AO2242))&gt;0)*(ROW(職員マスタ!$A$6:$A$405)-5))),IFERROR(MATCH($B2242,職員マスタ!$A$6:$A$405,0),"")))</f>
        <v/>
      </c>
      <c r="AO2242" s="16">
        <f>IF(OR($B2242="",$C2242="",$D2242=""),"",DATE($C2242+2018,$D2242,1))</f>
        <v/>
      </c>
    </row>
    <row r="2243">
      <c r="A2243" s="11" t="n"/>
      <c r="B2243" s="12" t="n"/>
      <c r="C2243" s="12" t="n"/>
      <c r="D2243" s="12" t="n"/>
      <c r="E2243" s="13" t="n"/>
      <c r="F2243" s="12" t="n"/>
      <c r="G2243" s="13" t="n"/>
      <c r="H2243" s="12" t="n"/>
      <c r="I2243" s="12" t="n"/>
      <c r="J2243" s="12" t="n"/>
      <c r="K2243" s="12" t="n"/>
      <c r="L2243" s="11" t="n"/>
      <c r="M2243" s="11" t="n"/>
      <c r="N2243" s="11" t="n"/>
      <c r="O2243" s="11" t="n"/>
      <c r="P2243" s="12" t="n"/>
      <c r="Q2243" s="11" t="n"/>
      <c r="R2243" s="12" t="n"/>
      <c r="S2243" s="11" t="n"/>
      <c r="T2243" s="12" t="n"/>
      <c r="U2243" s="12" t="n"/>
      <c r="V2243" s="14">
        <f>IF($AN2243="",IF($B2243="","",$H2243),IF(INDEX(職員マスタ!$B$6:$B$405,$AN2243)="",$H2243,INDEX(職員マスタ!$B$6:$B$405,$AN2243)))</f>
        <v/>
      </c>
      <c r="W2243" s="14">
        <f>IF($AN2243="",IF($B2243="","",$R2243),IF(INDEX(職員マスタ!$C$6:$C$405,$AN2243)="",$R2243,INDEX(職員マスタ!$C$6:$C$405,$AN2243)))</f>
        <v/>
      </c>
      <c r="X2243" s="14">
        <f>IF($AO2243="","","R"&amp;$C2243&amp;"."&amp;$D2243)</f>
        <v/>
      </c>
      <c r="Y2243" s="15">
        <f>IF($AN2243="","",IF(INDEX(職員マスタ!$K$6:$K$405,$AN2243)="","",INDEX(職員マスタ!$K$6:$K$405,$AN2243)))</f>
        <v/>
      </c>
      <c r="Z2243" s="14">
        <f>IF(OR($E2243="",$Y2243=""),"",IF($E2243&gt;=$Y2243,"×",IF($E2243&gt;=$Y2243*設定!$C$5,"△","○")))</f>
        <v/>
      </c>
      <c r="AA2243" s="15">
        <f>IF($Z2243="","",IF($Z2243="×",0,IF($Z2243="○",ROUNDDOWN($E2243*設定!$C$4,0),ROUNDDOWN($E2243*ROUND((9*$Y2243-9*$E2243)/(10*$E2243),4),0))))</f>
        <v/>
      </c>
      <c r="AB2243" s="13" t="n"/>
      <c r="AC2243" s="15">
        <f>IF($B2243="","",IF($AB2243&lt;&gt;"",$AB2243,IF($AA2243="","",IF($AA2243&lt;=設定!$C$3,0,$AA2243))))</f>
        <v/>
      </c>
      <c r="AD2243" s="14">
        <f>IF($B2243="","",IF(AND($AE2243&lt;&gt;"",$AG2243="",$AJ2243=""),"保留中",IF($AJ2243&lt;&gt;"",IF(N($AC2243)&gt;0,"支給済","不支給"),IF($AC2243="","要確認",IF($AC2243=0,"不支給","未処理")))))</f>
        <v/>
      </c>
      <c r="AE2243" s="12" t="n"/>
      <c r="AF2243" s="11" t="n"/>
      <c r="AG2243" s="11" t="n"/>
      <c r="AH2243" s="11" t="n"/>
      <c r="AI2243" s="14">
        <f>IF(AND($AD2243="保留中",$AF2243&lt;&gt;""),TODAY()-$AF2243,"")</f>
        <v/>
      </c>
      <c r="AJ2243" s="12" t="n"/>
      <c r="AK2243" s="14">
        <f>IF($B2243="","",IF($AO2243="","対象年月が未入力／","")&amp;IF($B2243="","",IF($AN2243="","職員マスタに未登録の職員番号／",IF($Y2243="","標準報酬月額が未登録／","")&amp;IF(AND($AO2243&lt;&gt;"",OR(AND(INDEX(職員マスタ!$G$6:$G$405,$AN2243)&lt;&gt;"",INDEX(職員マスタ!$G$6:$G$405,$AN2243)&gt;EOMONTH($AO2243,0)),AND(INDEX(職員マスタ!$H$6:$H$405,$AN2243)&lt;&gt;"",INDEX(職員マスタ!$H$6:$H$405,$AN2243)&lt;$AO2243))),"対象月が時短期間外／","")&amp;IF(AND(INDEX(職員マスタ!$F$6:$F$405,$AN2243)&lt;&gt;"",$AO2243&lt;&gt;"",INDEX(職員マスタ!$F$6:$F$405,$AN2243)&lt;$AO2243),"対象月に子が2歳到達済／","")&amp;IF(AND($H2243&lt;&gt;"",INDEX(職員マスタ!$B$6:$B$405,$AN2243)&lt;&gt;"",SUBSTITUTE(SUBSTITUTE($H2243," ","")," ","")&lt;&gt;SUBSTITUTE(SUBSTITUTE(INDEX(職員マスタ!$B$6:$B$405,$AN2243)," ","")," ","")),"氏名がマスタと相違／","")&amp;IF(AND($Q2243&lt;&gt;"",INDEX(職員マスタ!$E$6:$E$405,$AN2243)&lt;&gt;"",$Q2243&lt;&gt;INDEX(職員マスタ!$E$6:$E$405,$AN2243)),"子の生年月日がマスタと相違／","")&amp;IF(AND($L2243&lt;&gt;"",INDEX(職員マスタ!$G$6:$G$405,$AN2243)&lt;&gt;"",$L2243&lt;&gt;INDEX(職員マスタ!$G$6:$G$405,$AN2243)),"時短開始日がマスタと相違／","")&amp;IF(AND($M2243&lt;&gt;"",INDEX(職員マスタ!$H$6:$H$405,$AN2243)&lt;&gt;"",$M2243&lt;&gt;INDEX(職員マスタ!$H$6:$H$405,$AN2243)),"時短終了日がマスタと相違／","")))&amp;IF(AND($B2243&lt;&gt;"",$E2243=""),"報酬額が未入力／","")&amp;IF(N($U2243)&gt;0,"申請書に入力エラーが残っています／","")&amp;IF(AND($B2243&lt;&gt;"",$AO2243&lt;&gt;""),IF(COUNTIFS($B$6:$B$3005,$B2243,$C$6:$C$3005,$C2243,$D$6:$D$3005,$D2243)&gt;1,"同じ月の請求が重複しています／",""),"")&amp;IF(AND(N($E2243)&gt;0,$Z2243&lt;&gt;"",$Z2243&lt;&gt;"×",$AC2243=0,$AB2243=""),"計算額が下限以下のため不支給／",""))</f>
        <v/>
      </c>
      <c r="AL2243" s="12" t="n"/>
      <c r="AM2243" s="14">
        <f>IF($AD2243="保留中",COUNTIF($AD$6:$AD2243,"保留中"),"")</f>
        <v/>
      </c>
      <c r="AN2243" s="14">
        <f>IF($AO2243="","",IF(SUMPRODUCT(MAX((職員マスタ!$A$6:$A$405=$B2243)*(((職員マスタ!$G$6:$G$405="")+(職員マスタ!$G$6:$G$405&lt;=EOMONTH($AO2243,0)))&gt;0)*(((職員マスタ!$H$6:$H$405="")+(職員マスタ!$H$6:$H$405&gt;=$AO2243))&gt;0)*(ROW(職員マスタ!$A$6:$A$405)-5)))&gt;0,SUMPRODUCT(MAX((職員マスタ!$A$6:$A$405=$B2243)*(((職員マスタ!$G$6:$G$405="")+(職員マスタ!$G$6:$G$405&lt;=EOMONTH($AO2243,0)))&gt;0)*(((職員マスタ!$H$6:$H$405="")+(職員マスタ!$H$6:$H$405&gt;=$AO2243))&gt;0)*(ROW(職員マスタ!$A$6:$A$405)-5))),IFERROR(MATCH($B2243,職員マスタ!$A$6:$A$405,0),"")))</f>
        <v/>
      </c>
      <c r="AO2243" s="16">
        <f>IF(OR($B2243="",$C2243="",$D2243=""),"",DATE($C2243+2018,$D2243,1))</f>
        <v/>
      </c>
    </row>
    <row r="2244">
      <c r="A2244" s="11" t="n"/>
      <c r="B2244" s="12" t="n"/>
      <c r="C2244" s="12" t="n"/>
      <c r="D2244" s="12" t="n"/>
      <c r="E2244" s="13" t="n"/>
      <c r="F2244" s="12" t="n"/>
      <c r="G2244" s="13" t="n"/>
      <c r="H2244" s="12" t="n"/>
      <c r="I2244" s="12" t="n"/>
      <c r="J2244" s="12" t="n"/>
      <c r="K2244" s="12" t="n"/>
      <c r="L2244" s="11" t="n"/>
      <c r="M2244" s="11" t="n"/>
      <c r="N2244" s="11" t="n"/>
      <c r="O2244" s="11" t="n"/>
      <c r="P2244" s="12" t="n"/>
      <c r="Q2244" s="11" t="n"/>
      <c r="R2244" s="12" t="n"/>
      <c r="S2244" s="11" t="n"/>
      <c r="T2244" s="12" t="n"/>
      <c r="U2244" s="12" t="n"/>
      <c r="V2244" s="14">
        <f>IF($AN2244="",IF($B2244="","",$H2244),IF(INDEX(職員マスタ!$B$6:$B$405,$AN2244)="",$H2244,INDEX(職員マスタ!$B$6:$B$405,$AN2244)))</f>
        <v/>
      </c>
      <c r="W2244" s="14">
        <f>IF($AN2244="",IF($B2244="","",$R2244),IF(INDEX(職員マスタ!$C$6:$C$405,$AN2244)="",$R2244,INDEX(職員マスタ!$C$6:$C$405,$AN2244)))</f>
        <v/>
      </c>
      <c r="X2244" s="14">
        <f>IF($AO2244="","","R"&amp;$C2244&amp;"."&amp;$D2244)</f>
        <v/>
      </c>
      <c r="Y2244" s="15">
        <f>IF($AN2244="","",IF(INDEX(職員マスタ!$K$6:$K$405,$AN2244)="","",INDEX(職員マスタ!$K$6:$K$405,$AN2244)))</f>
        <v/>
      </c>
      <c r="Z2244" s="14">
        <f>IF(OR($E2244="",$Y2244=""),"",IF($E2244&gt;=$Y2244,"×",IF($E2244&gt;=$Y2244*設定!$C$5,"△","○")))</f>
        <v/>
      </c>
      <c r="AA2244" s="15">
        <f>IF($Z2244="","",IF($Z2244="×",0,IF($Z2244="○",ROUNDDOWN($E2244*設定!$C$4,0),ROUNDDOWN($E2244*ROUND((9*$Y2244-9*$E2244)/(10*$E2244),4),0))))</f>
        <v/>
      </c>
      <c r="AB2244" s="13" t="n"/>
      <c r="AC2244" s="15">
        <f>IF($B2244="","",IF($AB2244&lt;&gt;"",$AB2244,IF($AA2244="","",IF($AA2244&lt;=設定!$C$3,0,$AA2244))))</f>
        <v/>
      </c>
      <c r="AD2244" s="14">
        <f>IF($B2244="","",IF(AND($AE2244&lt;&gt;"",$AG2244="",$AJ2244=""),"保留中",IF($AJ2244&lt;&gt;"",IF(N($AC2244)&gt;0,"支給済","不支給"),IF($AC2244="","要確認",IF($AC2244=0,"不支給","未処理")))))</f>
        <v/>
      </c>
      <c r="AE2244" s="12" t="n"/>
      <c r="AF2244" s="11" t="n"/>
      <c r="AG2244" s="11" t="n"/>
      <c r="AH2244" s="11" t="n"/>
      <c r="AI2244" s="14">
        <f>IF(AND($AD2244="保留中",$AF2244&lt;&gt;""),TODAY()-$AF2244,"")</f>
        <v/>
      </c>
      <c r="AJ2244" s="12" t="n"/>
      <c r="AK2244" s="14">
        <f>IF($B2244="","",IF($AO2244="","対象年月が未入力／","")&amp;IF($B2244="","",IF($AN2244="","職員マスタに未登録の職員番号／",IF($Y2244="","標準報酬月額が未登録／","")&amp;IF(AND($AO2244&lt;&gt;"",OR(AND(INDEX(職員マスタ!$G$6:$G$405,$AN2244)&lt;&gt;"",INDEX(職員マスタ!$G$6:$G$405,$AN2244)&gt;EOMONTH($AO2244,0)),AND(INDEX(職員マスタ!$H$6:$H$405,$AN2244)&lt;&gt;"",INDEX(職員マスタ!$H$6:$H$405,$AN2244)&lt;$AO2244))),"対象月が時短期間外／","")&amp;IF(AND(INDEX(職員マスタ!$F$6:$F$405,$AN2244)&lt;&gt;"",$AO2244&lt;&gt;"",INDEX(職員マスタ!$F$6:$F$405,$AN2244)&lt;$AO2244),"対象月に子が2歳到達済／","")&amp;IF(AND($H2244&lt;&gt;"",INDEX(職員マスタ!$B$6:$B$405,$AN2244)&lt;&gt;"",SUBSTITUTE(SUBSTITUTE($H2244," ","")," ","")&lt;&gt;SUBSTITUTE(SUBSTITUTE(INDEX(職員マスタ!$B$6:$B$405,$AN2244)," ","")," ","")),"氏名がマスタと相違／","")&amp;IF(AND($Q2244&lt;&gt;"",INDEX(職員マスタ!$E$6:$E$405,$AN2244)&lt;&gt;"",$Q2244&lt;&gt;INDEX(職員マスタ!$E$6:$E$405,$AN2244)),"子の生年月日がマスタと相違／","")&amp;IF(AND($L2244&lt;&gt;"",INDEX(職員マスタ!$G$6:$G$405,$AN2244)&lt;&gt;"",$L2244&lt;&gt;INDEX(職員マスタ!$G$6:$G$405,$AN2244)),"時短開始日がマスタと相違／","")&amp;IF(AND($M2244&lt;&gt;"",INDEX(職員マスタ!$H$6:$H$405,$AN2244)&lt;&gt;"",$M2244&lt;&gt;INDEX(職員マスタ!$H$6:$H$405,$AN2244)),"時短終了日がマスタと相違／","")))&amp;IF(AND($B2244&lt;&gt;"",$E2244=""),"報酬額が未入力／","")&amp;IF(N($U2244)&gt;0,"申請書に入力エラーが残っています／","")&amp;IF(AND($B2244&lt;&gt;"",$AO2244&lt;&gt;""),IF(COUNTIFS($B$6:$B$3005,$B2244,$C$6:$C$3005,$C2244,$D$6:$D$3005,$D2244)&gt;1,"同じ月の請求が重複しています／",""),"")&amp;IF(AND(N($E2244)&gt;0,$Z2244&lt;&gt;"",$Z2244&lt;&gt;"×",$AC2244=0,$AB2244=""),"計算額が下限以下のため不支給／",""))</f>
        <v/>
      </c>
      <c r="AL2244" s="12" t="n"/>
      <c r="AM2244" s="14">
        <f>IF($AD2244="保留中",COUNTIF($AD$6:$AD2244,"保留中"),"")</f>
        <v/>
      </c>
      <c r="AN2244" s="14">
        <f>IF($AO2244="","",IF(SUMPRODUCT(MAX((職員マスタ!$A$6:$A$405=$B2244)*(((職員マスタ!$G$6:$G$405="")+(職員マスタ!$G$6:$G$405&lt;=EOMONTH($AO2244,0)))&gt;0)*(((職員マスタ!$H$6:$H$405="")+(職員マスタ!$H$6:$H$405&gt;=$AO2244))&gt;0)*(ROW(職員マスタ!$A$6:$A$405)-5)))&gt;0,SUMPRODUCT(MAX((職員マスタ!$A$6:$A$405=$B2244)*(((職員マスタ!$G$6:$G$405="")+(職員マスタ!$G$6:$G$405&lt;=EOMONTH($AO2244,0)))&gt;0)*(((職員マスタ!$H$6:$H$405="")+(職員マスタ!$H$6:$H$405&gt;=$AO2244))&gt;0)*(ROW(職員マスタ!$A$6:$A$405)-5))),IFERROR(MATCH($B2244,職員マスタ!$A$6:$A$405,0),"")))</f>
        <v/>
      </c>
      <c r="AO2244" s="16">
        <f>IF(OR($B2244="",$C2244="",$D2244=""),"",DATE($C2244+2018,$D2244,1))</f>
        <v/>
      </c>
    </row>
    <row r="2245">
      <c r="A2245" s="11" t="n"/>
      <c r="B2245" s="12" t="n"/>
      <c r="C2245" s="12" t="n"/>
      <c r="D2245" s="12" t="n"/>
      <c r="E2245" s="13" t="n"/>
      <c r="F2245" s="12" t="n"/>
      <c r="G2245" s="13" t="n"/>
      <c r="H2245" s="12" t="n"/>
      <c r="I2245" s="12" t="n"/>
      <c r="J2245" s="12" t="n"/>
      <c r="K2245" s="12" t="n"/>
      <c r="L2245" s="11" t="n"/>
      <c r="M2245" s="11" t="n"/>
      <c r="N2245" s="11" t="n"/>
      <c r="O2245" s="11" t="n"/>
      <c r="P2245" s="12" t="n"/>
      <c r="Q2245" s="11" t="n"/>
      <c r="R2245" s="12" t="n"/>
      <c r="S2245" s="11" t="n"/>
      <c r="T2245" s="12" t="n"/>
      <c r="U2245" s="12" t="n"/>
      <c r="V2245" s="14">
        <f>IF($AN2245="",IF($B2245="","",$H2245),IF(INDEX(職員マスタ!$B$6:$B$405,$AN2245)="",$H2245,INDEX(職員マスタ!$B$6:$B$405,$AN2245)))</f>
        <v/>
      </c>
      <c r="W2245" s="14">
        <f>IF($AN2245="",IF($B2245="","",$R2245),IF(INDEX(職員マスタ!$C$6:$C$405,$AN2245)="",$R2245,INDEX(職員マスタ!$C$6:$C$405,$AN2245)))</f>
        <v/>
      </c>
      <c r="X2245" s="14">
        <f>IF($AO2245="","","R"&amp;$C2245&amp;"."&amp;$D2245)</f>
        <v/>
      </c>
      <c r="Y2245" s="15">
        <f>IF($AN2245="","",IF(INDEX(職員マスタ!$K$6:$K$405,$AN2245)="","",INDEX(職員マスタ!$K$6:$K$405,$AN2245)))</f>
        <v/>
      </c>
      <c r="Z2245" s="14">
        <f>IF(OR($E2245="",$Y2245=""),"",IF($E2245&gt;=$Y2245,"×",IF($E2245&gt;=$Y2245*設定!$C$5,"△","○")))</f>
        <v/>
      </c>
      <c r="AA2245" s="15">
        <f>IF($Z2245="","",IF($Z2245="×",0,IF($Z2245="○",ROUNDDOWN($E2245*設定!$C$4,0),ROUNDDOWN($E2245*ROUND((9*$Y2245-9*$E2245)/(10*$E2245),4),0))))</f>
        <v/>
      </c>
      <c r="AB2245" s="13" t="n"/>
      <c r="AC2245" s="15">
        <f>IF($B2245="","",IF($AB2245&lt;&gt;"",$AB2245,IF($AA2245="","",IF($AA2245&lt;=設定!$C$3,0,$AA2245))))</f>
        <v/>
      </c>
      <c r="AD2245" s="14">
        <f>IF($B2245="","",IF(AND($AE2245&lt;&gt;"",$AG2245="",$AJ2245=""),"保留中",IF($AJ2245&lt;&gt;"",IF(N($AC2245)&gt;0,"支給済","不支給"),IF($AC2245="","要確認",IF($AC2245=0,"不支給","未処理")))))</f>
        <v/>
      </c>
      <c r="AE2245" s="12" t="n"/>
      <c r="AF2245" s="11" t="n"/>
      <c r="AG2245" s="11" t="n"/>
      <c r="AH2245" s="11" t="n"/>
      <c r="AI2245" s="14">
        <f>IF(AND($AD2245="保留中",$AF2245&lt;&gt;""),TODAY()-$AF2245,"")</f>
        <v/>
      </c>
      <c r="AJ2245" s="12" t="n"/>
      <c r="AK2245" s="14">
        <f>IF($B2245="","",IF($AO2245="","対象年月が未入力／","")&amp;IF($B2245="","",IF($AN2245="","職員マスタに未登録の職員番号／",IF($Y2245="","標準報酬月額が未登録／","")&amp;IF(AND($AO2245&lt;&gt;"",OR(AND(INDEX(職員マスタ!$G$6:$G$405,$AN2245)&lt;&gt;"",INDEX(職員マスタ!$G$6:$G$405,$AN2245)&gt;EOMONTH($AO2245,0)),AND(INDEX(職員マスタ!$H$6:$H$405,$AN2245)&lt;&gt;"",INDEX(職員マスタ!$H$6:$H$405,$AN2245)&lt;$AO2245))),"対象月が時短期間外／","")&amp;IF(AND(INDEX(職員マスタ!$F$6:$F$405,$AN2245)&lt;&gt;"",$AO2245&lt;&gt;"",INDEX(職員マスタ!$F$6:$F$405,$AN2245)&lt;$AO2245),"対象月に子が2歳到達済／","")&amp;IF(AND($H2245&lt;&gt;"",INDEX(職員マスタ!$B$6:$B$405,$AN2245)&lt;&gt;"",SUBSTITUTE(SUBSTITUTE($H2245," ","")," ","")&lt;&gt;SUBSTITUTE(SUBSTITUTE(INDEX(職員マスタ!$B$6:$B$405,$AN2245)," ","")," ","")),"氏名がマスタと相違／","")&amp;IF(AND($Q2245&lt;&gt;"",INDEX(職員マスタ!$E$6:$E$405,$AN2245)&lt;&gt;"",$Q2245&lt;&gt;INDEX(職員マスタ!$E$6:$E$405,$AN2245)),"子の生年月日がマスタと相違／","")&amp;IF(AND($L2245&lt;&gt;"",INDEX(職員マスタ!$G$6:$G$405,$AN2245)&lt;&gt;"",$L2245&lt;&gt;INDEX(職員マスタ!$G$6:$G$405,$AN2245)),"時短開始日がマスタと相違／","")&amp;IF(AND($M2245&lt;&gt;"",INDEX(職員マスタ!$H$6:$H$405,$AN2245)&lt;&gt;"",$M2245&lt;&gt;INDEX(職員マスタ!$H$6:$H$405,$AN2245)),"時短終了日がマスタと相違／","")))&amp;IF(AND($B2245&lt;&gt;"",$E2245=""),"報酬額が未入力／","")&amp;IF(N($U2245)&gt;0,"申請書に入力エラーが残っています／","")&amp;IF(AND($B2245&lt;&gt;"",$AO2245&lt;&gt;""),IF(COUNTIFS($B$6:$B$3005,$B2245,$C$6:$C$3005,$C2245,$D$6:$D$3005,$D2245)&gt;1,"同じ月の請求が重複しています／",""),"")&amp;IF(AND(N($E2245)&gt;0,$Z2245&lt;&gt;"",$Z2245&lt;&gt;"×",$AC2245=0,$AB2245=""),"計算額が下限以下のため不支給／",""))</f>
        <v/>
      </c>
      <c r="AL2245" s="12" t="n"/>
      <c r="AM2245" s="14">
        <f>IF($AD2245="保留中",COUNTIF($AD$6:$AD2245,"保留中"),"")</f>
        <v/>
      </c>
      <c r="AN2245" s="14">
        <f>IF($AO2245="","",IF(SUMPRODUCT(MAX((職員マスタ!$A$6:$A$405=$B2245)*(((職員マスタ!$G$6:$G$405="")+(職員マスタ!$G$6:$G$405&lt;=EOMONTH($AO2245,0)))&gt;0)*(((職員マスタ!$H$6:$H$405="")+(職員マスタ!$H$6:$H$405&gt;=$AO2245))&gt;0)*(ROW(職員マスタ!$A$6:$A$405)-5)))&gt;0,SUMPRODUCT(MAX((職員マスタ!$A$6:$A$405=$B2245)*(((職員マスタ!$G$6:$G$405="")+(職員マスタ!$G$6:$G$405&lt;=EOMONTH($AO2245,0)))&gt;0)*(((職員マスタ!$H$6:$H$405="")+(職員マスタ!$H$6:$H$405&gt;=$AO2245))&gt;0)*(ROW(職員マスタ!$A$6:$A$405)-5))),IFERROR(MATCH($B2245,職員マスタ!$A$6:$A$405,0),"")))</f>
        <v/>
      </c>
      <c r="AO2245" s="16">
        <f>IF(OR($B2245="",$C2245="",$D2245=""),"",DATE($C2245+2018,$D2245,1))</f>
        <v/>
      </c>
    </row>
    <row r="2246">
      <c r="A2246" s="11" t="n"/>
      <c r="B2246" s="12" t="n"/>
      <c r="C2246" s="12" t="n"/>
      <c r="D2246" s="12" t="n"/>
      <c r="E2246" s="13" t="n"/>
      <c r="F2246" s="12" t="n"/>
      <c r="G2246" s="13" t="n"/>
      <c r="H2246" s="12" t="n"/>
      <c r="I2246" s="12" t="n"/>
      <c r="J2246" s="12" t="n"/>
      <c r="K2246" s="12" t="n"/>
      <c r="L2246" s="11" t="n"/>
      <c r="M2246" s="11" t="n"/>
      <c r="N2246" s="11" t="n"/>
      <c r="O2246" s="11" t="n"/>
      <c r="P2246" s="12" t="n"/>
      <c r="Q2246" s="11" t="n"/>
      <c r="R2246" s="12" t="n"/>
      <c r="S2246" s="11" t="n"/>
      <c r="T2246" s="12" t="n"/>
      <c r="U2246" s="12" t="n"/>
      <c r="V2246" s="14">
        <f>IF($AN2246="",IF($B2246="","",$H2246),IF(INDEX(職員マスタ!$B$6:$B$405,$AN2246)="",$H2246,INDEX(職員マスタ!$B$6:$B$405,$AN2246)))</f>
        <v/>
      </c>
      <c r="W2246" s="14">
        <f>IF($AN2246="",IF($B2246="","",$R2246),IF(INDEX(職員マスタ!$C$6:$C$405,$AN2246)="",$R2246,INDEX(職員マスタ!$C$6:$C$405,$AN2246)))</f>
        <v/>
      </c>
      <c r="X2246" s="14">
        <f>IF($AO2246="","","R"&amp;$C2246&amp;"."&amp;$D2246)</f>
        <v/>
      </c>
      <c r="Y2246" s="15">
        <f>IF($AN2246="","",IF(INDEX(職員マスタ!$K$6:$K$405,$AN2246)="","",INDEX(職員マスタ!$K$6:$K$405,$AN2246)))</f>
        <v/>
      </c>
      <c r="Z2246" s="14">
        <f>IF(OR($E2246="",$Y2246=""),"",IF($E2246&gt;=$Y2246,"×",IF($E2246&gt;=$Y2246*設定!$C$5,"△","○")))</f>
        <v/>
      </c>
      <c r="AA2246" s="15">
        <f>IF($Z2246="","",IF($Z2246="×",0,IF($Z2246="○",ROUNDDOWN($E2246*設定!$C$4,0),ROUNDDOWN($E2246*ROUND((9*$Y2246-9*$E2246)/(10*$E2246),4),0))))</f>
        <v/>
      </c>
      <c r="AB2246" s="13" t="n"/>
      <c r="AC2246" s="15">
        <f>IF($B2246="","",IF($AB2246&lt;&gt;"",$AB2246,IF($AA2246="","",IF($AA2246&lt;=設定!$C$3,0,$AA2246))))</f>
        <v/>
      </c>
      <c r="AD2246" s="14">
        <f>IF($B2246="","",IF(AND($AE2246&lt;&gt;"",$AG2246="",$AJ2246=""),"保留中",IF($AJ2246&lt;&gt;"",IF(N($AC2246)&gt;0,"支給済","不支給"),IF($AC2246="","要確認",IF($AC2246=0,"不支給","未処理")))))</f>
        <v/>
      </c>
      <c r="AE2246" s="12" t="n"/>
      <c r="AF2246" s="11" t="n"/>
      <c r="AG2246" s="11" t="n"/>
      <c r="AH2246" s="11" t="n"/>
      <c r="AI2246" s="14">
        <f>IF(AND($AD2246="保留中",$AF2246&lt;&gt;""),TODAY()-$AF2246,"")</f>
        <v/>
      </c>
      <c r="AJ2246" s="12" t="n"/>
      <c r="AK2246" s="14">
        <f>IF($B2246="","",IF($AO2246="","対象年月が未入力／","")&amp;IF($B2246="","",IF($AN2246="","職員マスタに未登録の職員番号／",IF($Y2246="","標準報酬月額が未登録／","")&amp;IF(AND($AO2246&lt;&gt;"",OR(AND(INDEX(職員マスタ!$G$6:$G$405,$AN2246)&lt;&gt;"",INDEX(職員マスタ!$G$6:$G$405,$AN2246)&gt;EOMONTH($AO2246,0)),AND(INDEX(職員マスタ!$H$6:$H$405,$AN2246)&lt;&gt;"",INDEX(職員マスタ!$H$6:$H$405,$AN2246)&lt;$AO2246))),"対象月が時短期間外／","")&amp;IF(AND(INDEX(職員マスタ!$F$6:$F$405,$AN2246)&lt;&gt;"",$AO2246&lt;&gt;"",INDEX(職員マスタ!$F$6:$F$405,$AN2246)&lt;$AO2246),"対象月に子が2歳到達済／","")&amp;IF(AND($H2246&lt;&gt;"",INDEX(職員マスタ!$B$6:$B$405,$AN2246)&lt;&gt;"",SUBSTITUTE(SUBSTITUTE($H2246," ","")," ","")&lt;&gt;SUBSTITUTE(SUBSTITUTE(INDEX(職員マスタ!$B$6:$B$405,$AN2246)," ","")," ","")),"氏名がマスタと相違／","")&amp;IF(AND($Q2246&lt;&gt;"",INDEX(職員マスタ!$E$6:$E$405,$AN2246)&lt;&gt;"",$Q2246&lt;&gt;INDEX(職員マスタ!$E$6:$E$405,$AN2246)),"子の生年月日がマスタと相違／","")&amp;IF(AND($L2246&lt;&gt;"",INDEX(職員マスタ!$G$6:$G$405,$AN2246)&lt;&gt;"",$L2246&lt;&gt;INDEX(職員マスタ!$G$6:$G$405,$AN2246)),"時短開始日がマスタと相違／","")&amp;IF(AND($M2246&lt;&gt;"",INDEX(職員マスタ!$H$6:$H$405,$AN2246)&lt;&gt;"",$M2246&lt;&gt;INDEX(職員マスタ!$H$6:$H$405,$AN2246)),"時短終了日がマスタと相違／","")))&amp;IF(AND($B2246&lt;&gt;"",$E2246=""),"報酬額が未入力／","")&amp;IF(N($U2246)&gt;0,"申請書に入力エラーが残っています／","")&amp;IF(AND($B2246&lt;&gt;"",$AO2246&lt;&gt;""),IF(COUNTIFS($B$6:$B$3005,$B2246,$C$6:$C$3005,$C2246,$D$6:$D$3005,$D2246)&gt;1,"同じ月の請求が重複しています／",""),"")&amp;IF(AND(N($E2246)&gt;0,$Z2246&lt;&gt;"",$Z2246&lt;&gt;"×",$AC2246=0,$AB2246=""),"計算額が下限以下のため不支給／",""))</f>
        <v/>
      </c>
      <c r="AL2246" s="12" t="n"/>
      <c r="AM2246" s="14">
        <f>IF($AD2246="保留中",COUNTIF($AD$6:$AD2246,"保留中"),"")</f>
        <v/>
      </c>
      <c r="AN2246" s="14">
        <f>IF($AO2246="","",IF(SUMPRODUCT(MAX((職員マスタ!$A$6:$A$405=$B2246)*(((職員マスタ!$G$6:$G$405="")+(職員マスタ!$G$6:$G$405&lt;=EOMONTH($AO2246,0)))&gt;0)*(((職員マスタ!$H$6:$H$405="")+(職員マスタ!$H$6:$H$405&gt;=$AO2246))&gt;0)*(ROW(職員マスタ!$A$6:$A$405)-5)))&gt;0,SUMPRODUCT(MAX((職員マスタ!$A$6:$A$405=$B2246)*(((職員マスタ!$G$6:$G$405="")+(職員マスタ!$G$6:$G$405&lt;=EOMONTH($AO2246,0)))&gt;0)*(((職員マスタ!$H$6:$H$405="")+(職員マスタ!$H$6:$H$405&gt;=$AO2246))&gt;0)*(ROW(職員マスタ!$A$6:$A$405)-5))),IFERROR(MATCH($B2246,職員マスタ!$A$6:$A$405,0),"")))</f>
        <v/>
      </c>
      <c r="AO2246" s="16">
        <f>IF(OR($B2246="",$C2246="",$D2246=""),"",DATE($C2246+2018,$D2246,1))</f>
        <v/>
      </c>
    </row>
    <row r="2247">
      <c r="A2247" s="11" t="n"/>
      <c r="B2247" s="12" t="n"/>
      <c r="C2247" s="12" t="n"/>
      <c r="D2247" s="12" t="n"/>
      <c r="E2247" s="13" t="n"/>
      <c r="F2247" s="12" t="n"/>
      <c r="G2247" s="13" t="n"/>
      <c r="H2247" s="12" t="n"/>
      <c r="I2247" s="12" t="n"/>
      <c r="J2247" s="12" t="n"/>
      <c r="K2247" s="12" t="n"/>
      <c r="L2247" s="11" t="n"/>
      <c r="M2247" s="11" t="n"/>
      <c r="N2247" s="11" t="n"/>
      <c r="O2247" s="11" t="n"/>
      <c r="P2247" s="12" t="n"/>
      <c r="Q2247" s="11" t="n"/>
      <c r="R2247" s="12" t="n"/>
      <c r="S2247" s="11" t="n"/>
      <c r="T2247" s="12" t="n"/>
      <c r="U2247" s="12" t="n"/>
      <c r="V2247" s="14">
        <f>IF($AN2247="",IF($B2247="","",$H2247),IF(INDEX(職員マスタ!$B$6:$B$405,$AN2247)="",$H2247,INDEX(職員マスタ!$B$6:$B$405,$AN2247)))</f>
        <v/>
      </c>
      <c r="W2247" s="14">
        <f>IF($AN2247="",IF($B2247="","",$R2247),IF(INDEX(職員マスタ!$C$6:$C$405,$AN2247)="",$R2247,INDEX(職員マスタ!$C$6:$C$405,$AN2247)))</f>
        <v/>
      </c>
      <c r="X2247" s="14">
        <f>IF($AO2247="","","R"&amp;$C2247&amp;"."&amp;$D2247)</f>
        <v/>
      </c>
      <c r="Y2247" s="15">
        <f>IF($AN2247="","",IF(INDEX(職員マスタ!$K$6:$K$405,$AN2247)="","",INDEX(職員マスタ!$K$6:$K$405,$AN2247)))</f>
        <v/>
      </c>
      <c r="Z2247" s="14">
        <f>IF(OR($E2247="",$Y2247=""),"",IF($E2247&gt;=$Y2247,"×",IF($E2247&gt;=$Y2247*設定!$C$5,"△","○")))</f>
        <v/>
      </c>
      <c r="AA2247" s="15">
        <f>IF($Z2247="","",IF($Z2247="×",0,IF($Z2247="○",ROUNDDOWN($E2247*設定!$C$4,0),ROUNDDOWN($E2247*ROUND((9*$Y2247-9*$E2247)/(10*$E2247),4),0))))</f>
        <v/>
      </c>
      <c r="AB2247" s="13" t="n"/>
      <c r="AC2247" s="15">
        <f>IF($B2247="","",IF($AB2247&lt;&gt;"",$AB2247,IF($AA2247="","",IF($AA2247&lt;=設定!$C$3,0,$AA2247))))</f>
        <v/>
      </c>
      <c r="AD2247" s="14">
        <f>IF($B2247="","",IF(AND($AE2247&lt;&gt;"",$AG2247="",$AJ2247=""),"保留中",IF($AJ2247&lt;&gt;"",IF(N($AC2247)&gt;0,"支給済","不支給"),IF($AC2247="","要確認",IF($AC2247=0,"不支給","未処理")))))</f>
        <v/>
      </c>
      <c r="AE2247" s="12" t="n"/>
      <c r="AF2247" s="11" t="n"/>
      <c r="AG2247" s="11" t="n"/>
      <c r="AH2247" s="11" t="n"/>
      <c r="AI2247" s="14">
        <f>IF(AND($AD2247="保留中",$AF2247&lt;&gt;""),TODAY()-$AF2247,"")</f>
        <v/>
      </c>
      <c r="AJ2247" s="12" t="n"/>
      <c r="AK2247" s="14">
        <f>IF($B2247="","",IF($AO2247="","対象年月が未入力／","")&amp;IF($B2247="","",IF($AN2247="","職員マスタに未登録の職員番号／",IF($Y2247="","標準報酬月額が未登録／","")&amp;IF(AND($AO2247&lt;&gt;"",OR(AND(INDEX(職員マスタ!$G$6:$G$405,$AN2247)&lt;&gt;"",INDEX(職員マスタ!$G$6:$G$405,$AN2247)&gt;EOMONTH($AO2247,0)),AND(INDEX(職員マスタ!$H$6:$H$405,$AN2247)&lt;&gt;"",INDEX(職員マスタ!$H$6:$H$405,$AN2247)&lt;$AO2247))),"対象月が時短期間外／","")&amp;IF(AND(INDEX(職員マスタ!$F$6:$F$405,$AN2247)&lt;&gt;"",$AO2247&lt;&gt;"",INDEX(職員マスタ!$F$6:$F$405,$AN2247)&lt;$AO2247),"対象月に子が2歳到達済／","")&amp;IF(AND($H2247&lt;&gt;"",INDEX(職員マスタ!$B$6:$B$405,$AN2247)&lt;&gt;"",SUBSTITUTE(SUBSTITUTE($H2247," ","")," ","")&lt;&gt;SUBSTITUTE(SUBSTITUTE(INDEX(職員マスタ!$B$6:$B$405,$AN2247)," ","")," ","")),"氏名がマスタと相違／","")&amp;IF(AND($Q2247&lt;&gt;"",INDEX(職員マスタ!$E$6:$E$405,$AN2247)&lt;&gt;"",$Q2247&lt;&gt;INDEX(職員マスタ!$E$6:$E$405,$AN2247)),"子の生年月日がマスタと相違／","")&amp;IF(AND($L2247&lt;&gt;"",INDEX(職員マスタ!$G$6:$G$405,$AN2247)&lt;&gt;"",$L2247&lt;&gt;INDEX(職員マスタ!$G$6:$G$405,$AN2247)),"時短開始日がマスタと相違／","")&amp;IF(AND($M2247&lt;&gt;"",INDEX(職員マスタ!$H$6:$H$405,$AN2247)&lt;&gt;"",$M2247&lt;&gt;INDEX(職員マスタ!$H$6:$H$405,$AN2247)),"時短終了日がマスタと相違／","")))&amp;IF(AND($B2247&lt;&gt;"",$E2247=""),"報酬額が未入力／","")&amp;IF(N($U2247)&gt;0,"申請書に入力エラーが残っています／","")&amp;IF(AND($B2247&lt;&gt;"",$AO2247&lt;&gt;""),IF(COUNTIFS($B$6:$B$3005,$B2247,$C$6:$C$3005,$C2247,$D$6:$D$3005,$D2247)&gt;1,"同じ月の請求が重複しています／",""),"")&amp;IF(AND(N($E2247)&gt;0,$Z2247&lt;&gt;"",$Z2247&lt;&gt;"×",$AC2247=0,$AB2247=""),"計算額が下限以下のため不支給／",""))</f>
        <v/>
      </c>
      <c r="AL2247" s="12" t="n"/>
      <c r="AM2247" s="14">
        <f>IF($AD2247="保留中",COUNTIF($AD$6:$AD2247,"保留中"),"")</f>
        <v/>
      </c>
      <c r="AN2247" s="14">
        <f>IF($AO2247="","",IF(SUMPRODUCT(MAX((職員マスタ!$A$6:$A$405=$B2247)*(((職員マスタ!$G$6:$G$405="")+(職員マスタ!$G$6:$G$405&lt;=EOMONTH($AO2247,0)))&gt;0)*(((職員マスタ!$H$6:$H$405="")+(職員マスタ!$H$6:$H$405&gt;=$AO2247))&gt;0)*(ROW(職員マスタ!$A$6:$A$405)-5)))&gt;0,SUMPRODUCT(MAX((職員マスタ!$A$6:$A$405=$B2247)*(((職員マスタ!$G$6:$G$405="")+(職員マスタ!$G$6:$G$405&lt;=EOMONTH($AO2247,0)))&gt;0)*(((職員マスタ!$H$6:$H$405="")+(職員マスタ!$H$6:$H$405&gt;=$AO2247))&gt;0)*(ROW(職員マスタ!$A$6:$A$405)-5))),IFERROR(MATCH($B2247,職員マスタ!$A$6:$A$405,0),"")))</f>
        <v/>
      </c>
      <c r="AO2247" s="16">
        <f>IF(OR($B2247="",$C2247="",$D2247=""),"",DATE($C2247+2018,$D2247,1))</f>
        <v/>
      </c>
    </row>
    <row r="2248">
      <c r="A2248" s="11" t="n"/>
      <c r="B2248" s="12" t="n"/>
      <c r="C2248" s="12" t="n"/>
      <c r="D2248" s="12" t="n"/>
      <c r="E2248" s="13" t="n"/>
      <c r="F2248" s="12" t="n"/>
      <c r="G2248" s="13" t="n"/>
      <c r="H2248" s="12" t="n"/>
      <c r="I2248" s="12" t="n"/>
      <c r="J2248" s="12" t="n"/>
      <c r="K2248" s="12" t="n"/>
      <c r="L2248" s="11" t="n"/>
      <c r="M2248" s="11" t="n"/>
      <c r="N2248" s="11" t="n"/>
      <c r="O2248" s="11" t="n"/>
      <c r="P2248" s="12" t="n"/>
      <c r="Q2248" s="11" t="n"/>
      <c r="R2248" s="12" t="n"/>
      <c r="S2248" s="11" t="n"/>
      <c r="T2248" s="12" t="n"/>
      <c r="U2248" s="12" t="n"/>
      <c r="V2248" s="14">
        <f>IF($AN2248="",IF($B2248="","",$H2248),IF(INDEX(職員マスタ!$B$6:$B$405,$AN2248)="",$H2248,INDEX(職員マスタ!$B$6:$B$405,$AN2248)))</f>
        <v/>
      </c>
      <c r="W2248" s="14">
        <f>IF($AN2248="",IF($B2248="","",$R2248),IF(INDEX(職員マスタ!$C$6:$C$405,$AN2248)="",$R2248,INDEX(職員マスタ!$C$6:$C$405,$AN2248)))</f>
        <v/>
      </c>
      <c r="X2248" s="14">
        <f>IF($AO2248="","","R"&amp;$C2248&amp;"."&amp;$D2248)</f>
        <v/>
      </c>
      <c r="Y2248" s="15">
        <f>IF($AN2248="","",IF(INDEX(職員マスタ!$K$6:$K$405,$AN2248)="","",INDEX(職員マスタ!$K$6:$K$405,$AN2248)))</f>
        <v/>
      </c>
      <c r="Z2248" s="14">
        <f>IF(OR($E2248="",$Y2248=""),"",IF($E2248&gt;=$Y2248,"×",IF($E2248&gt;=$Y2248*設定!$C$5,"△","○")))</f>
        <v/>
      </c>
      <c r="AA2248" s="15">
        <f>IF($Z2248="","",IF($Z2248="×",0,IF($Z2248="○",ROUNDDOWN($E2248*設定!$C$4,0),ROUNDDOWN($E2248*ROUND((9*$Y2248-9*$E2248)/(10*$E2248),4),0))))</f>
        <v/>
      </c>
      <c r="AB2248" s="13" t="n"/>
      <c r="AC2248" s="15">
        <f>IF($B2248="","",IF($AB2248&lt;&gt;"",$AB2248,IF($AA2248="","",IF($AA2248&lt;=設定!$C$3,0,$AA2248))))</f>
        <v/>
      </c>
      <c r="AD2248" s="14">
        <f>IF($B2248="","",IF(AND($AE2248&lt;&gt;"",$AG2248="",$AJ2248=""),"保留中",IF($AJ2248&lt;&gt;"",IF(N($AC2248)&gt;0,"支給済","不支給"),IF($AC2248="","要確認",IF($AC2248=0,"不支給","未処理")))))</f>
        <v/>
      </c>
      <c r="AE2248" s="12" t="n"/>
      <c r="AF2248" s="11" t="n"/>
      <c r="AG2248" s="11" t="n"/>
      <c r="AH2248" s="11" t="n"/>
      <c r="AI2248" s="14">
        <f>IF(AND($AD2248="保留中",$AF2248&lt;&gt;""),TODAY()-$AF2248,"")</f>
        <v/>
      </c>
      <c r="AJ2248" s="12" t="n"/>
      <c r="AK2248" s="14">
        <f>IF($B2248="","",IF($AO2248="","対象年月が未入力／","")&amp;IF($B2248="","",IF($AN2248="","職員マスタに未登録の職員番号／",IF($Y2248="","標準報酬月額が未登録／","")&amp;IF(AND($AO2248&lt;&gt;"",OR(AND(INDEX(職員マスタ!$G$6:$G$405,$AN2248)&lt;&gt;"",INDEX(職員マスタ!$G$6:$G$405,$AN2248)&gt;EOMONTH($AO2248,0)),AND(INDEX(職員マスタ!$H$6:$H$405,$AN2248)&lt;&gt;"",INDEX(職員マスタ!$H$6:$H$405,$AN2248)&lt;$AO2248))),"対象月が時短期間外／","")&amp;IF(AND(INDEX(職員マスタ!$F$6:$F$405,$AN2248)&lt;&gt;"",$AO2248&lt;&gt;"",INDEX(職員マスタ!$F$6:$F$405,$AN2248)&lt;$AO2248),"対象月に子が2歳到達済／","")&amp;IF(AND($H2248&lt;&gt;"",INDEX(職員マスタ!$B$6:$B$405,$AN2248)&lt;&gt;"",SUBSTITUTE(SUBSTITUTE($H2248," ","")," ","")&lt;&gt;SUBSTITUTE(SUBSTITUTE(INDEX(職員マスタ!$B$6:$B$405,$AN2248)," ","")," ","")),"氏名がマスタと相違／","")&amp;IF(AND($Q2248&lt;&gt;"",INDEX(職員マスタ!$E$6:$E$405,$AN2248)&lt;&gt;"",$Q2248&lt;&gt;INDEX(職員マスタ!$E$6:$E$405,$AN2248)),"子の生年月日がマスタと相違／","")&amp;IF(AND($L2248&lt;&gt;"",INDEX(職員マスタ!$G$6:$G$405,$AN2248)&lt;&gt;"",$L2248&lt;&gt;INDEX(職員マスタ!$G$6:$G$405,$AN2248)),"時短開始日がマスタと相違／","")&amp;IF(AND($M2248&lt;&gt;"",INDEX(職員マスタ!$H$6:$H$405,$AN2248)&lt;&gt;"",$M2248&lt;&gt;INDEX(職員マスタ!$H$6:$H$405,$AN2248)),"時短終了日がマスタと相違／","")))&amp;IF(AND($B2248&lt;&gt;"",$E2248=""),"報酬額が未入力／","")&amp;IF(N($U2248)&gt;0,"申請書に入力エラーが残っています／","")&amp;IF(AND($B2248&lt;&gt;"",$AO2248&lt;&gt;""),IF(COUNTIFS($B$6:$B$3005,$B2248,$C$6:$C$3005,$C2248,$D$6:$D$3005,$D2248)&gt;1,"同じ月の請求が重複しています／",""),"")&amp;IF(AND(N($E2248)&gt;0,$Z2248&lt;&gt;"",$Z2248&lt;&gt;"×",$AC2248=0,$AB2248=""),"計算額が下限以下のため不支給／",""))</f>
        <v/>
      </c>
      <c r="AL2248" s="12" t="n"/>
      <c r="AM2248" s="14">
        <f>IF($AD2248="保留中",COUNTIF($AD$6:$AD2248,"保留中"),"")</f>
        <v/>
      </c>
      <c r="AN2248" s="14">
        <f>IF($AO2248="","",IF(SUMPRODUCT(MAX((職員マスタ!$A$6:$A$405=$B2248)*(((職員マスタ!$G$6:$G$405="")+(職員マスタ!$G$6:$G$405&lt;=EOMONTH($AO2248,0)))&gt;0)*(((職員マスタ!$H$6:$H$405="")+(職員マスタ!$H$6:$H$405&gt;=$AO2248))&gt;0)*(ROW(職員マスタ!$A$6:$A$405)-5)))&gt;0,SUMPRODUCT(MAX((職員マスタ!$A$6:$A$405=$B2248)*(((職員マスタ!$G$6:$G$405="")+(職員マスタ!$G$6:$G$405&lt;=EOMONTH($AO2248,0)))&gt;0)*(((職員マスタ!$H$6:$H$405="")+(職員マスタ!$H$6:$H$405&gt;=$AO2248))&gt;0)*(ROW(職員マスタ!$A$6:$A$405)-5))),IFERROR(MATCH($B2248,職員マスタ!$A$6:$A$405,0),"")))</f>
        <v/>
      </c>
      <c r="AO2248" s="16">
        <f>IF(OR($B2248="",$C2248="",$D2248=""),"",DATE($C2248+2018,$D2248,1))</f>
        <v/>
      </c>
    </row>
    <row r="2249">
      <c r="A2249" s="11" t="n"/>
      <c r="B2249" s="12" t="n"/>
      <c r="C2249" s="12" t="n"/>
      <c r="D2249" s="12" t="n"/>
      <c r="E2249" s="13" t="n"/>
      <c r="F2249" s="12" t="n"/>
      <c r="G2249" s="13" t="n"/>
      <c r="H2249" s="12" t="n"/>
      <c r="I2249" s="12" t="n"/>
      <c r="J2249" s="12" t="n"/>
      <c r="K2249" s="12" t="n"/>
      <c r="L2249" s="11" t="n"/>
      <c r="M2249" s="11" t="n"/>
      <c r="N2249" s="11" t="n"/>
      <c r="O2249" s="11" t="n"/>
      <c r="P2249" s="12" t="n"/>
      <c r="Q2249" s="11" t="n"/>
      <c r="R2249" s="12" t="n"/>
      <c r="S2249" s="11" t="n"/>
      <c r="T2249" s="12" t="n"/>
      <c r="U2249" s="12" t="n"/>
      <c r="V2249" s="14">
        <f>IF($AN2249="",IF($B2249="","",$H2249),IF(INDEX(職員マスタ!$B$6:$B$405,$AN2249)="",$H2249,INDEX(職員マスタ!$B$6:$B$405,$AN2249)))</f>
        <v/>
      </c>
      <c r="W2249" s="14">
        <f>IF($AN2249="",IF($B2249="","",$R2249),IF(INDEX(職員マスタ!$C$6:$C$405,$AN2249)="",$R2249,INDEX(職員マスタ!$C$6:$C$405,$AN2249)))</f>
        <v/>
      </c>
      <c r="X2249" s="14">
        <f>IF($AO2249="","","R"&amp;$C2249&amp;"."&amp;$D2249)</f>
        <v/>
      </c>
      <c r="Y2249" s="15">
        <f>IF($AN2249="","",IF(INDEX(職員マスタ!$K$6:$K$405,$AN2249)="","",INDEX(職員マスタ!$K$6:$K$405,$AN2249)))</f>
        <v/>
      </c>
      <c r="Z2249" s="14">
        <f>IF(OR($E2249="",$Y2249=""),"",IF($E2249&gt;=$Y2249,"×",IF($E2249&gt;=$Y2249*設定!$C$5,"△","○")))</f>
        <v/>
      </c>
      <c r="AA2249" s="15">
        <f>IF($Z2249="","",IF($Z2249="×",0,IF($Z2249="○",ROUNDDOWN($E2249*設定!$C$4,0),ROUNDDOWN($E2249*ROUND((9*$Y2249-9*$E2249)/(10*$E2249),4),0))))</f>
        <v/>
      </c>
      <c r="AB2249" s="13" t="n"/>
      <c r="AC2249" s="15">
        <f>IF($B2249="","",IF($AB2249&lt;&gt;"",$AB2249,IF($AA2249="","",IF($AA2249&lt;=設定!$C$3,0,$AA2249))))</f>
        <v/>
      </c>
      <c r="AD2249" s="14">
        <f>IF($B2249="","",IF(AND($AE2249&lt;&gt;"",$AG2249="",$AJ2249=""),"保留中",IF($AJ2249&lt;&gt;"",IF(N($AC2249)&gt;0,"支給済","不支給"),IF($AC2249="","要確認",IF($AC2249=0,"不支給","未処理")))))</f>
        <v/>
      </c>
      <c r="AE2249" s="12" t="n"/>
      <c r="AF2249" s="11" t="n"/>
      <c r="AG2249" s="11" t="n"/>
      <c r="AH2249" s="11" t="n"/>
      <c r="AI2249" s="14">
        <f>IF(AND($AD2249="保留中",$AF2249&lt;&gt;""),TODAY()-$AF2249,"")</f>
        <v/>
      </c>
      <c r="AJ2249" s="12" t="n"/>
      <c r="AK2249" s="14">
        <f>IF($B2249="","",IF($AO2249="","対象年月が未入力／","")&amp;IF($B2249="","",IF($AN2249="","職員マスタに未登録の職員番号／",IF($Y2249="","標準報酬月額が未登録／","")&amp;IF(AND($AO2249&lt;&gt;"",OR(AND(INDEX(職員マスタ!$G$6:$G$405,$AN2249)&lt;&gt;"",INDEX(職員マスタ!$G$6:$G$405,$AN2249)&gt;EOMONTH($AO2249,0)),AND(INDEX(職員マスタ!$H$6:$H$405,$AN2249)&lt;&gt;"",INDEX(職員マスタ!$H$6:$H$405,$AN2249)&lt;$AO2249))),"対象月が時短期間外／","")&amp;IF(AND(INDEX(職員マスタ!$F$6:$F$405,$AN2249)&lt;&gt;"",$AO2249&lt;&gt;"",INDEX(職員マスタ!$F$6:$F$405,$AN2249)&lt;$AO2249),"対象月に子が2歳到達済／","")&amp;IF(AND($H2249&lt;&gt;"",INDEX(職員マスタ!$B$6:$B$405,$AN2249)&lt;&gt;"",SUBSTITUTE(SUBSTITUTE($H2249," ","")," ","")&lt;&gt;SUBSTITUTE(SUBSTITUTE(INDEX(職員マスタ!$B$6:$B$405,$AN2249)," ","")," ","")),"氏名がマスタと相違／","")&amp;IF(AND($Q2249&lt;&gt;"",INDEX(職員マスタ!$E$6:$E$405,$AN2249)&lt;&gt;"",$Q2249&lt;&gt;INDEX(職員マスタ!$E$6:$E$405,$AN2249)),"子の生年月日がマスタと相違／","")&amp;IF(AND($L2249&lt;&gt;"",INDEX(職員マスタ!$G$6:$G$405,$AN2249)&lt;&gt;"",$L2249&lt;&gt;INDEX(職員マスタ!$G$6:$G$405,$AN2249)),"時短開始日がマスタと相違／","")&amp;IF(AND($M2249&lt;&gt;"",INDEX(職員マスタ!$H$6:$H$405,$AN2249)&lt;&gt;"",$M2249&lt;&gt;INDEX(職員マスタ!$H$6:$H$405,$AN2249)),"時短終了日がマスタと相違／","")))&amp;IF(AND($B2249&lt;&gt;"",$E2249=""),"報酬額が未入力／","")&amp;IF(N($U2249)&gt;0,"申請書に入力エラーが残っています／","")&amp;IF(AND($B2249&lt;&gt;"",$AO2249&lt;&gt;""),IF(COUNTIFS($B$6:$B$3005,$B2249,$C$6:$C$3005,$C2249,$D$6:$D$3005,$D2249)&gt;1,"同じ月の請求が重複しています／",""),"")&amp;IF(AND(N($E2249)&gt;0,$Z2249&lt;&gt;"",$Z2249&lt;&gt;"×",$AC2249=0,$AB2249=""),"計算額が下限以下のため不支給／",""))</f>
        <v/>
      </c>
      <c r="AL2249" s="12" t="n"/>
      <c r="AM2249" s="14">
        <f>IF($AD2249="保留中",COUNTIF($AD$6:$AD2249,"保留中"),"")</f>
        <v/>
      </c>
      <c r="AN2249" s="14">
        <f>IF($AO2249="","",IF(SUMPRODUCT(MAX((職員マスタ!$A$6:$A$405=$B2249)*(((職員マスタ!$G$6:$G$405="")+(職員マスタ!$G$6:$G$405&lt;=EOMONTH($AO2249,0)))&gt;0)*(((職員マスタ!$H$6:$H$405="")+(職員マスタ!$H$6:$H$405&gt;=$AO2249))&gt;0)*(ROW(職員マスタ!$A$6:$A$405)-5)))&gt;0,SUMPRODUCT(MAX((職員マスタ!$A$6:$A$405=$B2249)*(((職員マスタ!$G$6:$G$405="")+(職員マスタ!$G$6:$G$405&lt;=EOMONTH($AO2249,0)))&gt;0)*(((職員マスタ!$H$6:$H$405="")+(職員マスタ!$H$6:$H$405&gt;=$AO2249))&gt;0)*(ROW(職員マスタ!$A$6:$A$405)-5))),IFERROR(MATCH($B2249,職員マスタ!$A$6:$A$405,0),"")))</f>
        <v/>
      </c>
      <c r="AO2249" s="16">
        <f>IF(OR($B2249="",$C2249="",$D2249=""),"",DATE($C2249+2018,$D2249,1))</f>
        <v/>
      </c>
    </row>
    <row r="2250">
      <c r="A2250" s="11" t="n"/>
      <c r="B2250" s="12" t="n"/>
      <c r="C2250" s="12" t="n"/>
      <c r="D2250" s="12" t="n"/>
      <c r="E2250" s="13" t="n"/>
      <c r="F2250" s="12" t="n"/>
      <c r="G2250" s="13" t="n"/>
      <c r="H2250" s="12" t="n"/>
      <c r="I2250" s="12" t="n"/>
      <c r="J2250" s="12" t="n"/>
      <c r="K2250" s="12" t="n"/>
      <c r="L2250" s="11" t="n"/>
      <c r="M2250" s="11" t="n"/>
      <c r="N2250" s="11" t="n"/>
      <c r="O2250" s="11" t="n"/>
      <c r="P2250" s="12" t="n"/>
      <c r="Q2250" s="11" t="n"/>
      <c r="R2250" s="12" t="n"/>
      <c r="S2250" s="11" t="n"/>
      <c r="T2250" s="12" t="n"/>
      <c r="U2250" s="12" t="n"/>
      <c r="V2250" s="14">
        <f>IF($AN2250="",IF($B2250="","",$H2250),IF(INDEX(職員マスタ!$B$6:$B$405,$AN2250)="",$H2250,INDEX(職員マスタ!$B$6:$B$405,$AN2250)))</f>
        <v/>
      </c>
      <c r="W2250" s="14">
        <f>IF($AN2250="",IF($B2250="","",$R2250),IF(INDEX(職員マスタ!$C$6:$C$405,$AN2250)="",$R2250,INDEX(職員マスタ!$C$6:$C$405,$AN2250)))</f>
        <v/>
      </c>
      <c r="X2250" s="14">
        <f>IF($AO2250="","","R"&amp;$C2250&amp;"."&amp;$D2250)</f>
        <v/>
      </c>
      <c r="Y2250" s="15">
        <f>IF($AN2250="","",IF(INDEX(職員マスタ!$K$6:$K$405,$AN2250)="","",INDEX(職員マスタ!$K$6:$K$405,$AN2250)))</f>
        <v/>
      </c>
      <c r="Z2250" s="14">
        <f>IF(OR($E2250="",$Y2250=""),"",IF($E2250&gt;=$Y2250,"×",IF($E2250&gt;=$Y2250*設定!$C$5,"△","○")))</f>
        <v/>
      </c>
      <c r="AA2250" s="15">
        <f>IF($Z2250="","",IF($Z2250="×",0,IF($Z2250="○",ROUNDDOWN($E2250*設定!$C$4,0),ROUNDDOWN($E2250*ROUND((9*$Y2250-9*$E2250)/(10*$E2250),4),0))))</f>
        <v/>
      </c>
      <c r="AB2250" s="13" t="n"/>
      <c r="AC2250" s="15">
        <f>IF($B2250="","",IF($AB2250&lt;&gt;"",$AB2250,IF($AA2250="","",IF($AA2250&lt;=設定!$C$3,0,$AA2250))))</f>
        <v/>
      </c>
      <c r="AD2250" s="14">
        <f>IF($B2250="","",IF(AND($AE2250&lt;&gt;"",$AG2250="",$AJ2250=""),"保留中",IF($AJ2250&lt;&gt;"",IF(N($AC2250)&gt;0,"支給済","不支給"),IF($AC2250="","要確認",IF($AC2250=0,"不支給","未処理")))))</f>
        <v/>
      </c>
      <c r="AE2250" s="12" t="n"/>
      <c r="AF2250" s="11" t="n"/>
      <c r="AG2250" s="11" t="n"/>
      <c r="AH2250" s="11" t="n"/>
      <c r="AI2250" s="14">
        <f>IF(AND($AD2250="保留中",$AF2250&lt;&gt;""),TODAY()-$AF2250,"")</f>
        <v/>
      </c>
      <c r="AJ2250" s="12" t="n"/>
      <c r="AK2250" s="14">
        <f>IF($B2250="","",IF($AO2250="","対象年月が未入力／","")&amp;IF($B2250="","",IF($AN2250="","職員マスタに未登録の職員番号／",IF($Y2250="","標準報酬月額が未登録／","")&amp;IF(AND($AO2250&lt;&gt;"",OR(AND(INDEX(職員マスタ!$G$6:$G$405,$AN2250)&lt;&gt;"",INDEX(職員マスタ!$G$6:$G$405,$AN2250)&gt;EOMONTH($AO2250,0)),AND(INDEX(職員マスタ!$H$6:$H$405,$AN2250)&lt;&gt;"",INDEX(職員マスタ!$H$6:$H$405,$AN2250)&lt;$AO2250))),"対象月が時短期間外／","")&amp;IF(AND(INDEX(職員マスタ!$F$6:$F$405,$AN2250)&lt;&gt;"",$AO2250&lt;&gt;"",INDEX(職員マスタ!$F$6:$F$405,$AN2250)&lt;$AO2250),"対象月に子が2歳到達済／","")&amp;IF(AND($H2250&lt;&gt;"",INDEX(職員マスタ!$B$6:$B$405,$AN2250)&lt;&gt;"",SUBSTITUTE(SUBSTITUTE($H2250," ","")," ","")&lt;&gt;SUBSTITUTE(SUBSTITUTE(INDEX(職員マスタ!$B$6:$B$405,$AN2250)," ","")," ","")),"氏名がマスタと相違／","")&amp;IF(AND($Q2250&lt;&gt;"",INDEX(職員マスタ!$E$6:$E$405,$AN2250)&lt;&gt;"",$Q2250&lt;&gt;INDEX(職員マスタ!$E$6:$E$405,$AN2250)),"子の生年月日がマスタと相違／","")&amp;IF(AND($L2250&lt;&gt;"",INDEX(職員マスタ!$G$6:$G$405,$AN2250)&lt;&gt;"",$L2250&lt;&gt;INDEX(職員マスタ!$G$6:$G$405,$AN2250)),"時短開始日がマスタと相違／","")&amp;IF(AND($M2250&lt;&gt;"",INDEX(職員マスタ!$H$6:$H$405,$AN2250)&lt;&gt;"",$M2250&lt;&gt;INDEX(職員マスタ!$H$6:$H$405,$AN2250)),"時短終了日がマスタと相違／","")))&amp;IF(AND($B2250&lt;&gt;"",$E2250=""),"報酬額が未入力／","")&amp;IF(N($U2250)&gt;0,"申請書に入力エラーが残っています／","")&amp;IF(AND($B2250&lt;&gt;"",$AO2250&lt;&gt;""),IF(COUNTIFS($B$6:$B$3005,$B2250,$C$6:$C$3005,$C2250,$D$6:$D$3005,$D2250)&gt;1,"同じ月の請求が重複しています／",""),"")&amp;IF(AND(N($E2250)&gt;0,$Z2250&lt;&gt;"",$Z2250&lt;&gt;"×",$AC2250=0,$AB2250=""),"計算額が下限以下のため不支給／",""))</f>
        <v/>
      </c>
      <c r="AL2250" s="12" t="n"/>
      <c r="AM2250" s="14">
        <f>IF($AD2250="保留中",COUNTIF($AD$6:$AD2250,"保留中"),"")</f>
        <v/>
      </c>
      <c r="AN2250" s="14">
        <f>IF($AO2250="","",IF(SUMPRODUCT(MAX((職員マスタ!$A$6:$A$405=$B2250)*(((職員マスタ!$G$6:$G$405="")+(職員マスタ!$G$6:$G$405&lt;=EOMONTH($AO2250,0)))&gt;0)*(((職員マスタ!$H$6:$H$405="")+(職員マスタ!$H$6:$H$405&gt;=$AO2250))&gt;0)*(ROW(職員マスタ!$A$6:$A$405)-5)))&gt;0,SUMPRODUCT(MAX((職員マスタ!$A$6:$A$405=$B2250)*(((職員マスタ!$G$6:$G$405="")+(職員マスタ!$G$6:$G$405&lt;=EOMONTH($AO2250,0)))&gt;0)*(((職員マスタ!$H$6:$H$405="")+(職員マスタ!$H$6:$H$405&gt;=$AO2250))&gt;0)*(ROW(職員マスタ!$A$6:$A$405)-5))),IFERROR(MATCH($B2250,職員マスタ!$A$6:$A$405,0),"")))</f>
        <v/>
      </c>
      <c r="AO2250" s="16">
        <f>IF(OR($B2250="",$C2250="",$D2250=""),"",DATE($C2250+2018,$D2250,1))</f>
        <v/>
      </c>
    </row>
    <row r="2251">
      <c r="A2251" s="11" t="n"/>
      <c r="B2251" s="12" t="n"/>
      <c r="C2251" s="12" t="n"/>
      <c r="D2251" s="12" t="n"/>
      <c r="E2251" s="13" t="n"/>
      <c r="F2251" s="12" t="n"/>
      <c r="G2251" s="13" t="n"/>
      <c r="H2251" s="12" t="n"/>
      <c r="I2251" s="12" t="n"/>
      <c r="J2251" s="12" t="n"/>
      <c r="K2251" s="12" t="n"/>
      <c r="L2251" s="11" t="n"/>
      <c r="M2251" s="11" t="n"/>
      <c r="N2251" s="11" t="n"/>
      <c r="O2251" s="11" t="n"/>
      <c r="P2251" s="12" t="n"/>
      <c r="Q2251" s="11" t="n"/>
      <c r="R2251" s="12" t="n"/>
      <c r="S2251" s="11" t="n"/>
      <c r="T2251" s="12" t="n"/>
      <c r="U2251" s="12" t="n"/>
      <c r="V2251" s="14">
        <f>IF($AN2251="",IF($B2251="","",$H2251),IF(INDEX(職員マスタ!$B$6:$B$405,$AN2251)="",$H2251,INDEX(職員マスタ!$B$6:$B$405,$AN2251)))</f>
        <v/>
      </c>
      <c r="W2251" s="14">
        <f>IF($AN2251="",IF($B2251="","",$R2251),IF(INDEX(職員マスタ!$C$6:$C$405,$AN2251)="",$R2251,INDEX(職員マスタ!$C$6:$C$405,$AN2251)))</f>
        <v/>
      </c>
      <c r="X2251" s="14">
        <f>IF($AO2251="","","R"&amp;$C2251&amp;"."&amp;$D2251)</f>
        <v/>
      </c>
      <c r="Y2251" s="15">
        <f>IF($AN2251="","",IF(INDEX(職員マスタ!$K$6:$K$405,$AN2251)="","",INDEX(職員マスタ!$K$6:$K$405,$AN2251)))</f>
        <v/>
      </c>
      <c r="Z2251" s="14">
        <f>IF(OR($E2251="",$Y2251=""),"",IF($E2251&gt;=$Y2251,"×",IF($E2251&gt;=$Y2251*設定!$C$5,"△","○")))</f>
        <v/>
      </c>
      <c r="AA2251" s="15">
        <f>IF($Z2251="","",IF($Z2251="×",0,IF($Z2251="○",ROUNDDOWN($E2251*設定!$C$4,0),ROUNDDOWN($E2251*ROUND((9*$Y2251-9*$E2251)/(10*$E2251),4),0))))</f>
        <v/>
      </c>
      <c r="AB2251" s="13" t="n"/>
      <c r="AC2251" s="15">
        <f>IF($B2251="","",IF($AB2251&lt;&gt;"",$AB2251,IF($AA2251="","",IF($AA2251&lt;=設定!$C$3,0,$AA2251))))</f>
        <v/>
      </c>
      <c r="AD2251" s="14">
        <f>IF($B2251="","",IF(AND($AE2251&lt;&gt;"",$AG2251="",$AJ2251=""),"保留中",IF($AJ2251&lt;&gt;"",IF(N($AC2251)&gt;0,"支給済","不支給"),IF($AC2251="","要確認",IF($AC2251=0,"不支給","未処理")))))</f>
        <v/>
      </c>
      <c r="AE2251" s="12" t="n"/>
      <c r="AF2251" s="11" t="n"/>
      <c r="AG2251" s="11" t="n"/>
      <c r="AH2251" s="11" t="n"/>
      <c r="AI2251" s="14">
        <f>IF(AND($AD2251="保留中",$AF2251&lt;&gt;""),TODAY()-$AF2251,"")</f>
        <v/>
      </c>
      <c r="AJ2251" s="12" t="n"/>
      <c r="AK2251" s="14">
        <f>IF($B2251="","",IF($AO2251="","対象年月が未入力／","")&amp;IF($B2251="","",IF($AN2251="","職員マスタに未登録の職員番号／",IF($Y2251="","標準報酬月額が未登録／","")&amp;IF(AND($AO2251&lt;&gt;"",OR(AND(INDEX(職員マスタ!$G$6:$G$405,$AN2251)&lt;&gt;"",INDEX(職員マスタ!$G$6:$G$405,$AN2251)&gt;EOMONTH($AO2251,0)),AND(INDEX(職員マスタ!$H$6:$H$405,$AN2251)&lt;&gt;"",INDEX(職員マスタ!$H$6:$H$405,$AN2251)&lt;$AO2251))),"対象月が時短期間外／","")&amp;IF(AND(INDEX(職員マスタ!$F$6:$F$405,$AN2251)&lt;&gt;"",$AO2251&lt;&gt;"",INDEX(職員マスタ!$F$6:$F$405,$AN2251)&lt;$AO2251),"対象月に子が2歳到達済／","")&amp;IF(AND($H2251&lt;&gt;"",INDEX(職員マスタ!$B$6:$B$405,$AN2251)&lt;&gt;"",SUBSTITUTE(SUBSTITUTE($H2251," ","")," ","")&lt;&gt;SUBSTITUTE(SUBSTITUTE(INDEX(職員マスタ!$B$6:$B$405,$AN2251)," ","")," ","")),"氏名がマスタと相違／","")&amp;IF(AND($Q2251&lt;&gt;"",INDEX(職員マスタ!$E$6:$E$405,$AN2251)&lt;&gt;"",$Q2251&lt;&gt;INDEX(職員マスタ!$E$6:$E$405,$AN2251)),"子の生年月日がマスタと相違／","")&amp;IF(AND($L2251&lt;&gt;"",INDEX(職員マスタ!$G$6:$G$405,$AN2251)&lt;&gt;"",$L2251&lt;&gt;INDEX(職員マスタ!$G$6:$G$405,$AN2251)),"時短開始日がマスタと相違／","")&amp;IF(AND($M2251&lt;&gt;"",INDEX(職員マスタ!$H$6:$H$405,$AN2251)&lt;&gt;"",$M2251&lt;&gt;INDEX(職員マスタ!$H$6:$H$405,$AN2251)),"時短終了日がマスタと相違／","")))&amp;IF(AND($B2251&lt;&gt;"",$E2251=""),"報酬額が未入力／","")&amp;IF(N($U2251)&gt;0,"申請書に入力エラーが残っています／","")&amp;IF(AND($B2251&lt;&gt;"",$AO2251&lt;&gt;""),IF(COUNTIFS($B$6:$B$3005,$B2251,$C$6:$C$3005,$C2251,$D$6:$D$3005,$D2251)&gt;1,"同じ月の請求が重複しています／",""),"")&amp;IF(AND(N($E2251)&gt;0,$Z2251&lt;&gt;"",$Z2251&lt;&gt;"×",$AC2251=0,$AB2251=""),"計算額が下限以下のため不支給／",""))</f>
        <v/>
      </c>
      <c r="AL2251" s="12" t="n"/>
      <c r="AM2251" s="14">
        <f>IF($AD2251="保留中",COUNTIF($AD$6:$AD2251,"保留中"),"")</f>
        <v/>
      </c>
      <c r="AN2251" s="14">
        <f>IF($AO2251="","",IF(SUMPRODUCT(MAX((職員マスタ!$A$6:$A$405=$B2251)*(((職員マスタ!$G$6:$G$405="")+(職員マスタ!$G$6:$G$405&lt;=EOMONTH($AO2251,0)))&gt;0)*(((職員マスタ!$H$6:$H$405="")+(職員マスタ!$H$6:$H$405&gt;=$AO2251))&gt;0)*(ROW(職員マスタ!$A$6:$A$405)-5)))&gt;0,SUMPRODUCT(MAX((職員マスタ!$A$6:$A$405=$B2251)*(((職員マスタ!$G$6:$G$405="")+(職員マスタ!$G$6:$G$405&lt;=EOMONTH($AO2251,0)))&gt;0)*(((職員マスタ!$H$6:$H$405="")+(職員マスタ!$H$6:$H$405&gt;=$AO2251))&gt;0)*(ROW(職員マスタ!$A$6:$A$405)-5))),IFERROR(MATCH($B2251,職員マスタ!$A$6:$A$405,0),"")))</f>
        <v/>
      </c>
      <c r="AO2251" s="16">
        <f>IF(OR($B2251="",$C2251="",$D2251=""),"",DATE($C2251+2018,$D2251,1))</f>
        <v/>
      </c>
    </row>
    <row r="2252">
      <c r="A2252" s="11" t="n"/>
      <c r="B2252" s="12" t="n"/>
      <c r="C2252" s="12" t="n"/>
      <c r="D2252" s="12" t="n"/>
      <c r="E2252" s="13" t="n"/>
      <c r="F2252" s="12" t="n"/>
      <c r="G2252" s="13" t="n"/>
      <c r="H2252" s="12" t="n"/>
      <c r="I2252" s="12" t="n"/>
      <c r="J2252" s="12" t="n"/>
      <c r="K2252" s="12" t="n"/>
      <c r="L2252" s="11" t="n"/>
      <c r="M2252" s="11" t="n"/>
      <c r="N2252" s="11" t="n"/>
      <c r="O2252" s="11" t="n"/>
      <c r="P2252" s="12" t="n"/>
      <c r="Q2252" s="11" t="n"/>
      <c r="R2252" s="12" t="n"/>
      <c r="S2252" s="11" t="n"/>
      <c r="T2252" s="12" t="n"/>
      <c r="U2252" s="12" t="n"/>
      <c r="V2252" s="14">
        <f>IF($AN2252="",IF($B2252="","",$H2252),IF(INDEX(職員マスタ!$B$6:$B$405,$AN2252)="",$H2252,INDEX(職員マスタ!$B$6:$B$405,$AN2252)))</f>
        <v/>
      </c>
      <c r="W2252" s="14">
        <f>IF($AN2252="",IF($B2252="","",$R2252),IF(INDEX(職員マスタ!$C$6:$C$405,$AN2252)="",$R2252,INDEX(職員マスタ!$C$6:$C$405,$AN2252)))</f>
        <v/>
      </c>
      <c r="X2252" s="14">
        <f>IF($AO2252="","","R"&amp;$C2252&amp;"."&amp;$D2252)</f>
        <v/>
      </c>
      <c r="Y2252" s="15">
        <f>IF($AN2252="","",IF(INDEX(職員マスタ!$K$6:$K$405,$AN2252)="","",INDEX(職員マスタ!$K$6:$K$405,$AN2252)))</f>
        <v/>
      </c>
      <c r="Z2252" s="14">
        <f>IF(OR($E2252="",$Y2252=""),"",IF($E2252&gt;=$Y2252,"×",IF($E2252&gt;=$Y2252*設定!$C$5,"△","○")))</f>
        <v/>
      </c>
      <c r="AA2252" s="15">
        <f>IF($Z2252="","",IF($Z2252="×",0,IF($Z2252="○",ROUNDDOWN($E2252*設定!$C$4,0),ROUNDDOWN($E2252*ROUND((9*$Y2252-9*$E2252)/(10*$E2252),4),0))))</f>
        <v/>
      </c>
      <c r="AB2252" s="13" t="n"/>
      <c r="AC2252" s="15">
        <f>IF($B2252="","",IF($AB2252&lt;&gt;"",$AB2252,IF($AA2252="","",IF($AA2252&lt;=設定!$C$3,0,$AA2252))))</f>
        <v/>
      </c>
      <c r="AD2252" s="14">
        <f>IF($B2252="","",IF(AND($AE2252&lt;&gt;"",$AG2252="",$AJ2252=""),"保留中",IF($AJ2252&lt;&gt;"",IF(N($AC2252)&gt;0,"支給済","不支給"),IF($AC2252="","要確認",IF($AC2252=0,"不支給","未処理")))))</f>
        <v/>
      </c>
      <c r="AE2252" s="12" t="n"/>
      <c r="AF2252" s="11" t="n"/>
      <c r="AG2252" s="11" t="n"/>
      <c r="AH2252" s="11" t="n"/>
      <c r="AI2252" s="14">
        <f>IF(AND($AD2252="保留中",$AF2252&lt;&gt;""),TODAY()-$AF2252,"")</f>
        <v/>
      </c>
      <c r="AJ2252" s="12" t="n"/>
      <c r="AK2252" s="14">
        <f>IF($B2252="","",IF($AO2252="","対象年月が未入力／","")&amp;IF($B2252="","",IF($AN2252="","職員マスタに未登録の職員番号／",IF($Y2252="","標準報酬月額が未登録／","")&amp;IF(AND($AO2252&lt;&gt;"",OR(AND(INDEX(職員マスタ!$G$6:$G$405,$AN2252)&lt;&gt;"",INDEX(職員マスタ!$G$6:$G$405,$AN2252)&gt;EOMONTH($AO2252,0)),AND(INDEX(職員マスタ!$H$6:$H$405,$AN2252)&lt;&gt;"",INDEX(職員マスタ!$H$6:$H$405,$AN2252)&lt;$AO2252))),"対象月が時短期間外／","")&amp;IF(AND(INDEX(職員マスタ!$F$6:$F$405,$AN2252)&lt;&gt;"",$AO2252&lt;&gt;"",INDEX(職員マスタ!$F$6:$F$405,$AN2252)&lt;$AO2252),"対象月に子が2歳到達済／","")&amp;IF(AND($H2252&lt;&gt;"",INDEX(職員マスタ!$B$6:$B$405,$AN2252)&lt;&gt;"",SUBSTITUTE(SUBSTITUTE($H2252," ","")," ","")&lt;&gt;SUBSTITUTE(SUBSTITUTE(INDEX(職員マスタ!$B$6:$B$405,$AN2252)," ","")," ","")),"氏名がマスタと相違／","")&amp;IF(AND($Q2252&lt;&gt;"",INDEX(職員マスタ!$E$6:$E$405,$AN2252)&lt;&gt;"",$Q2252&lt;&gt;INDEX(職員マスタ!$E$6:$E$405,$AN2252)),"子の生年月日がマスタと相違／","")&amp;IF(AND($L2252&lt;&gt;"",INDEX(職員マスタ!$G$6:$G$405,$AN2252)&lt;&gt;"",$L2252&lt;&gt;INDEX(職員マスタ!$G$6:$G$405,$AN2252)),"時短開始日がマスタと相違／","")&amp;IF(AND($M2252&lt;&gt;"",INDEX(職員マスタ!$H$6:$H$405,$AN2252)&lt;&gt;"",$M2252&lt;&gt;INDEX(職員マスタ!$H$6:$H$405,$AN2252)),"時短終了日がマスタと相違／","")))&amp;IF(AND($B2252&lt;&gt;"",$E2252=""),"報酬額が未入力／","")&amp;IF(N($U2252)&gt;0,"申請書に入力エラーが残っています／","")&amp;IF(AND($B2252&lt;&gt;"",$AO2252&lt;&gt;""),IF(COUNTIFS($B$6:$B$3005,$B2252,$C$6:$C$3005,$C2252,$D$6:$D$3005,$D2252)&gt;1,"同じ月の請求が重複しています／",""),"")&amp;IF(AND(N($E2252)&gt;0,$Z2252&lt;&gt;"",$Z2252&lt;&gt;"×",$AC2252=0,$AB2252=""),"計算額が下限以下のため不支給／",""))</f>
        <v/>
      </c>
      <c r="AL2252" s="12" t="n"/>
      <c r="AM2252" s="14">
        <f>IF($AD2252="保留中",COUNTIF($AD$6:$AD2252,"保留中"),"")</f>
        <v/>
      </c>
      <c r="AN2252" s="14">
        <f>IF($AO2252="","",IF(SUMPRODUCT(MAX((職員マスタ!$A$6:$A$405=$B2252)*(((職員マスタ!$G$6:$G$405="")+(職員マスタ!$G$6:$G$405&lt;=EOMONTH($AO2252,0)))&gt;0)*(((職員マスタ!$H$6:$H$405="")+(職員マスタ!$H$6:$H$405&gt;=$AO2252))&gt;0)*(ROW(職員マスタ!$A$6:$A$405)-5)))&gt;0,SUMPRODUCT(MAX((職員マスタ!$A$6:$A$405=$B2252)*(((職員マスタ!$G$6:$G$405="")+(職員マスタ!$G$6:$G$405&lt;=EOMONTH($AO2252,0)))&gt;0)*(((職員マスタ!$H$6:$H$405="")+(職員マスタ!$H$6:$H$405&gt;=$AO2252))&gt;0)*(ROW(職員マスタ!$A$6:$A$405)-5))),IFERROR(MATCH($B2252,職員マスタ!$A$6:$A$405,0),"")))</f>
        <v/>
      </c>
      <c r="AO2252" s="16">
        <f>IF(OR($B2252="",$C2252="",$D2252=""),"",DATE($C2252+2018,$D2252,1))</f>
        <v/>
      </c>
    </row>
    <row r="2253">
      <c r="A2253" s="11" t="n"/>
      <c r="B2253" s="12" t="n"/>
      <c r="C2253" s="12" t="n"/>
      <c r="D2253" s="12" t="n"/>
      <c r="E2253" s="13" t="n"/>
      <c r="F2253" s="12" t="n"/>
      <c r="G2253" s="13" t="n"/>
      <c r="H2253" s="12" t="n"/>
      <c r="I2253" s="12" t="n"/>
      <c r="J2253" s="12" t="n"/>
      <c r="K2253" s="12" t="n"/>
      <c r="L2253" s="11" t="n"/>
      <c r="M2253" s="11" t="n"/>
      <c r="N2253" s="11" t="n"/>
      <c r="O2253" s="11" t="n"/>
      <c r="P2253" s="12" t="n"/>
      <c r="Q2253" s="11" t="n"/>
      <c r="R2253" s="12" t="n"/>
      <c r="S2253" s="11" t="n"/>
      <c r="T2253" s="12" t="n"/>
      <c r="U2253" s="12" t="n"/>
      <c r="V2253" s="14">
        <f>IF($AN2253="",IF($B2253="","",$H2253),IF(INDEX(職員マスタ!$B$6:$B$405,$AN2253)="",$H2253,INDEX(職員マスタ!$B$6:$B$405,$AN2253)))</f>
        <v/>
      </c>
      <c r="W2253" s="14">
        <f>IF($AN2253="",IF($B2253="","",$R2253),IF(INDEX(職員マスタ!$C$6:$C$405,$AN2253)="",$R2253,INDEX(職員マスタ!$C$6:$C$405,$AN2253)))</f>
        <v/>
      </c>
      <c r="X2253" s="14">
        <f>IF($AO2253="","","R"&amp;$C2253&amp;"."&amp;$D2253)</f>
        <v/>
      </c>
      <c r="Y2253" s="15">
        <f>IF($AN2253="","",IF(INDEX(職員マスタ!$K$6:$K$405,$AN2253)="","",INDEX(職員マスタ!$K$6:$K$405,$AN2253)))</f>
        <v/>
      </c>
      <c r="Z2253" s="14">
        <f>IF(OR($E2253="",$Y2253=""),"",IF($E2253&gt;=$Y2253,"×",IF($E2253&gt;=$Y2253*設定!$C$5,"△","○")))</f>
        <v/>
      </c>
      <c r="AA2253" s="15">
        <f>IF($Z2253="","",IF($Z2253="×",0,IF($Z2253="○",ROUNDDOWN($E2253*設定!$C$4,0),ROUNDDOWN($E2253*ROUND((9*$Y2253-9*$E2253)/(10*$E2253),4),0))))</f>
        <v/>
      </c>
      <c r="AB2253" s="13" t="n"/>
      <c r="AC2253" s="15">
        <f>IF($B2253="","",IF($AB2253&lt;&gt;"",$AB2253,IF($AA2253="","",IF($AA2253&lt;=設定!$C$3,0,$AA2253))))</f>
        <v/>
      </c>
      <c r="AD2253" s="14">
        <f>IF($B2253="","",IF(AND($AE2253&lt;&gt;"",$AG2253="",$AJ2253=""),"保留中",IF($AJ2253&lt;&gt;"",IF(N($AC2253)&gt;0,"支給済","不支給"),IF($AC2253="","要確認",IF($AC2253=0,"不支給","未処理")))))</f>
        <v/>
      </c>
      <c r="AE2253" s="12" t="n"/>
      <c r="AF2253" s="11" t="n"/>
      <c r="AG2253" s="11" t="n"/>
      <c r="AH2253" s="11" t="n"/>
      <c r="AI2253" s="14">
        <f>IF(AND($AD2253="保留中",$AF2253&lt;&gt;""),TODAY()-$AF2253,"")</f>
        <v/>
      </c>
      <c r="AJ2253" s="12" t="n"/>
      <c r="AK2253" s="14">
        <f>IF($B2253="","",IF($AO2253="","対象年月が未入力／","")&amp;IF($B2253="","",IF($AN2253="","職員マスタに未登録の職員番号／",IF($Y2253="","標準報酬月額が未登録／","")&amp;IF(AND($AO2253&lt;&gt;"",OR(AND(INDEX(職員マスタ!$G$6:$G$405,$AN2253)&lt;&gt;"",INDEX(職員マスタ!$G$6:$G$405,$AN2253)&gt;EOMONTH($AO2253,0)),AND(INDEX(職員マスタ!$H$6:$H$405,$AN2253)&lt;&gt;"",INDEX(職員マスタ!$H$6:$H$405,$AN2253)&lt;$AO2253))),"対象月が時短期間外／","")&amp;IF(AND(INDEX(職員マスタ!$F$6:$F$405,$AN2253)&lt;&gt;"",$AO2253&lt;&gt;"",INDEX(職員マスタ!$F$6:$F$405,$AN2253)&lt;$AO2253),"対象月に子が2歳到達済／","")&amp;IF(AND($H2253&lt;&gt;"",INDEX(職員マスタ!$B$6:$B$405,$AN2253)&lt;&gt;"",SUBSTITUTE(SUBSTITUTE($H2253," ","")," ","")&lt;&gt;SUBSTITUTE(SUBSTITUTE(INDEX(職員マスタ!$B$6:$B$405,$AN2253)," ","")," ","")),"氏名がマスタと相違／","")&amp;IF(AND($Q2253&lt;&gt;"",INDEX(職員マスタ!$E$6:$E$405,$AN2253)&lt;&gt;"",$Q2253&lt;&gt;INDEX(職員マスタ!$E$6:$E$405,$AN2253)),"子の生年月日がマスタと相違／","")&amp;IF(AND($L2253&lt;&gt;"",INDEX(職員マスタ!$G$6:$G$405,$AN2253)&lt;&gt;"",$L2253&lt;&gt;INDEX(職員マスタ!$G$6:$G$405,$AN2253)),"時短開始日がマスタと相違／","")&amp;IF(AND($M2253&lt;&gt;"",INDEX(職員マスタ!$H$6:$H$405,$AN2253)&lt;&gt;"",$M2253&lt;&gt;INDEX(職員マスタ!$H$6:$H$405,$AN2253)),"時短終了日がマスタと相違／","")))&amp;IF(AND($B2253&lt;&gt;"",$E2253=""),"報酬額が未入力／","")&amp;IF(N($U2253)&gt;0,"申請書に入力エラーが残っています／","")&amp;IF(AND($B2253&lt;&gt;"",$AO2253&lt;&gt;""),IF(COUNTIFS($B$6:$B$3005,$B2253,$C$6:$C$3005,$C2253,$D$6:$D$3005,$D2253)&gt;1,"同じ月の請求が重複しています／",""),"")&amp;IF(AND(N($E2253)&gt;0,$Z2253&lt;&gt;"",$Z2253&lt;&gt;"×",$AC2253=0,$AB2253=""),"計算額が下限以下のため不支給／",""))</f>
        <v/>
      </c>
      <c r="AL2253" s="12" t="n"/>
      <c r="AM2253" s="14">
        <f>IF($AD2253="保留中",COUNTIF($AD$6:$AD2253,"保留中"),"")</f>
        <v/>
      </c>
      <c r="AN2253" s="14">
        <f>IF($AO2253="","",IF(SUMPRODUCT(MAX((職員マスタ!$A$6:$A$405=$B2253)*(((職員マスタ!$G$6:$G$405="")+(職員マスタ!$G$6:$G$405&lt;=EOMONTH($AO2253,0)))&gt;0)*(((職員マスタ!$H$6:$H$405="")+(職員マスタ!$H$6:$H$405&gt;=$AO2253))&gt;0)*(ROW(職員マスタ!$A$6:$A$405)-5)))&gt;0,SUMPRODUCT(MAX((職員マスタ!$A$6:$A$405=$B2253)*(((職員マスタ!$G$6:$G$405="")+(職員マスタ!$G$6:$G$405&lt;=EOMONTH($AO2253,0)))&gt;0)*(((職員マスタ!$H$6:$H$405="")+(職員マスタ!$H$6:$H$405&gt;=$AO2253))&gt;0)*(ROW(職員マスタ!$A$6:$A$405)-5))),IFERROR(MATCH($B2253,職員マスタ!$A$6:$A$405,0),"")))</f>
        <v/>
      </c>
      <c r="AO2253" s="16">
        <f>IF(OR($B2253="",$C2253="",$D2253=""),"",DATE($C2253+2018,$D2253,1))</f>
        <v/>
      </c>
    </row>
    <row r="2254">
      <c r="A2254" s="11" t="n"/>
      <c r="B2254" s="12" t="n"/>
      <c r="C2254" s="12" t="n"/>
      <c r="D2254" s="12" t="n"/>
      <c r="E2254" s="13" t="n"/>
      <c r="F2254" s="12" t="n"/>
      <c r="G2254" s="13" t="n"/>
      <c r="H2254" s="12" t="n"/>
      <c r="I2254" s="12" t="n"/>
      <c r="J2254" s="12" t="n"/>
      <c r="K2254" s="12" t="n"/>
      <c r="L2254" s="11" t="n"/>
      <c r="M2254" s="11" t="n"/>
      <c r="N2254" s="11" t="n"/>
      <c r="O2254" s="11" t="n"/>
      <c r="P2254" s="12" t="n"/>
      <c r="Q2254" s="11" t="n"/>
      <c r="R2254" s="12" t="n"/>
      <c r="S2254" s="11" t="n"/>
      <c r="T2254" s="12" t="n"/>
      <c r="U2254" s="12" t="n"/>
      <c r="V2254" s="14">
        <f>IF($AN2254="",IF($B2254="","",$H2254),IF(INDEX(職員マスタ!$B$6:$B$405,$AN2254)="",$H2254,INDEX(職員マスタ!$B$6:$B$405,$AN2254)))</f>
        <v/>
      </c>
      <c r="W2254" s="14">
        <f>IF($AN2254="",IF($B2254="","",$R2254),IF(INDEX(職員マスタ!$C$6:$C$405,$AN2254)="",$R2254,INDEX(職員マスタ!$C$6:$C$405,$AN2254)))</f>
        <v/>
      </c>
      <c r="X2254" s="14">
        <f>IF($AO2254="","","R"&amp;$C2254&amp;"."&amp;$D2254)</f>
        <v/>
      </c>
      <c r="Y2254" s="15">
        <f>IF($AN2254="","",IF(INDEX(職員マスタ!$K$6:$K$405,$AN2254)="","",INDEX(職員マスタ!$K$6:$K$405,$AN2254)))</f>
        <v/>
      </c>
      <c r="Z2254" s="14">
        <f>IF(OR($E2254="",$Y2254=""),"",IF($E2254&gt;=$Y2254,"×",IF($E2254&gt;=$Y2254*設定!$C$5,"△","○")))</f>
        <v/>
      </c>
      <c r="AA2254" s="15">
        <f>IF($Z2254="","",IF($Z2254="×",0,IF($Z2254="○",ROUNDDOWN($E2254*設定!$C$4,0),ROUNDDOWN($E2254*ROUND((9*$Y2254-9*$E2254)/(10*$E2254),4),0))))</f>
        <v/>
      </c>
      <c r="AB2254" s="13" t="n"/>
      <c r="AC2254" s="15">
        <f>IF($B2254="","",IF($AB2254&lt;&gt;"",$AB2254,IF($AA2254="","",IF($AA2254&lt;=設定!$C$3,0,$AA2254))))</f>
        <v/>
      </c>
      <c r="AD2254" s="14">
        <f>IF($B2254="","",IF(AND($AE2254&lt;&gt;"",$AG2254="",$AJ2254=""),"保留中",IF($AJ2254&lt;&gt;"",IF(N($AC2254)&gt;0,"支給済","不支給"),IF($AC2254="","要確認",IF($AC2254=0,"不支給","未処理")))))</f>
        <v/>
      </c>
      <c r="AE2254" s="12" t="n"/>
      <c r="AF2254" s="11" t="n"/>
      <c r="AG2254" s="11" t="n"/>
      <c r="AH2254" s="11" t="n"/>
      <c r="AI2254" s="14">
        <f>IF(AND($AD2254="保留中",$AF2254&lt;&gt;""),TODAY()-$AF2254,"")</f>
        <v/>
      </c>
      <c r="AJ2254" s="12" t="n"/>
      <c r="AK2254" s="14">
        <f>IF($B2254="","",IF($AO2254="","対象年月が未入力／","")&amp;IF($B2254="","",IF($AN2254="","職員マスタに未登録の職員番号／",IF($Y2254="","標準報酬月額が未登録／","")&amp;IF(AND($AO2254&lt;&gt;"",OR(AND(INDEX(職員マスタ!$G$6:$G$405,$AN2254)&lt;&gt;"",INDEX(職員マスタ!$G$6:$G$405,$AN2254)&gt;EOMONTH($AO2254,0)),AND(INDEX(職員マスタ!$H$6:$H$405,$AN2254)&lt;&gt;"",INDEX(職員マスタ!$H$6:$H$405,$AN2254)&lt;$AO2254))),"対象月が時短期間外／","")&amp;IF(AND(INDEX(職員マスタ!$F$6:$F$405,$AN2254)&lt;&gt;"",$AO2254&lt;&gt;"",INDEX(職員マスタ!$F$6:$F$405,$AN2254)&lt;$AO2254),"対象月に子が2歳到達済／","")&amp;IF(AND($H2254&lt;&gt;"",INDEX(職員マスタ!$B$6:$B$405,$AN2254)&lt;&gt;"",SUBSTITUTE(SUBSTITUTE($H2254," ","")," ","")&lt;&gt;SUBSTITUTE(SUBSTITUTE(INDEX(職員マスタ!$B$6:$B$405,$AN2254)," ","")," ","")),"氏名がマスタと相違／","")&amp;IF(AND($Q2254&lt;&gt;"",INDEX(職員マスタ!$E$6:$E$405,$AN2254)&lt;&gt;"",$Q2254&lt;&gt;INDEX(職員マスタ!$E$6:$E$405,$AN2254)),"子の生年月日がマスタと相違／","")&amp;IF(AND($L2254&lt;&gt;"",INDEX(職員マスタ!$G$6:$G$405,$AN2254)&lt;&gt;"",$L2254&lt;&gt;INDEX(職員マスタ!$G$6:$G$405,$AN2254)),"時短開始日がマスタと相違／","")&amp;IF(AND($M2254&lt;&gt;"",INDEX(職員マスタ!$H$6:$H$405,$AN2254)&lt;&gt;"",$M2254&lt;&gt;INDEX(職員マスタ!$H$6:$H$405,$AN2254)),"時短終了日がマスタと相違／","")))&amp;IF(AND($B2254&lt;&gt;"",$E2254=""),"報酬額が未入力／","")&amp;IF(N($U2254)&gt;0,"申請書に入力エラーが残っています／","")&amp;IF(AND($B2254&lt;&gt;"",$AO2254&lt;&gt;""),IF(COUNTIFS($B$6:$B$3005,$B2254,$C$6:$C$3005,$C2254,$D$6:$D$3005,$D2254)&gt;1,"同じ月の請求が重複しています／",""),"")&amp;IF(AND(N($E2254)&gt;0,$Z2254&lt;&gt;"",$Z2254&lt;&gt;"×",$AC2254=0,$AB2254=""),"計算額が下限以下のため不支給／",""))</f>
        <v/>
      </c>
      <c r="AL2254" s="12" t="n"/>
      <c r="AM2254" s="14">
        <f>IF($AD2254="保留中",COUNTIF($AD$6:$AD2254,"保留中"),"")</f>
        <v/>
      </c>
      <c r="AN2254" s="14">
        <f>IF($AO2254="","",IF(SUMPRODUCT(MAX((職員マスタ!$A$6:$A$405=$B2254)*(((職員マスタ!$G$6:$G$405="")+(職員マスタ!$G$6:$G$405&lt;=EOMONTH($AO2254,0)))&gt;0)*(((職員マスタ!$H$6:$H$405="")+(職員マスタ!$H$6:$H$405&gt;=$AO2254))&gt;0)*(ROW(職員マスタ!$A$6:$A$405)-5)))&gt;0,SUMPRODUCT(MAX((職員マスタ!$A$6:$A$405=$B2254)*(((職員マスタ!$G$6:$G$405="")+(職員マスタ!$G$6:$G$405&lt;=EOMONTH($AO2254,0)))&gt;0)*(((職員マスタ!$H$6:$H$405="")+(職員マスタ!$H$6:$H$405&gt;=$AO2254))&gt;0)*(ROW(職員マスタ!$A$6:$A$405)-5))),IFERROR(MATCH($B2254,職員マスタ!$A$6:$A$405,0),"")))</f>
        <v/>
      </c>
      <c r="AO2254" s="16">
        <f>IF(OR($B2254="",$C2254="",$D2254=""),"",DATE($C2254+2018,$D2254,1))</f>
        <v/>
      </c>
    </row>
    <row r="2255">
      <c r="A2255" s="11" t="n"/>
      <c r="B2255" s="12" t="n"/>
      <c r="C2255" s="12" t="n"/>
      <c r="D2255" s="12" t="n"/>
      <c r="E2255" s="13" t="n"/>
      <c r="F2255" s="12" t="n"/>
      <c r="G2255" s="13" t="n"/>
      <c r="H2255" s="12" t="n"/>
      <c r="I2255" s="12" t="n"/>
      <c r="J2255" s="12" t="n"/>
      <c r="K2255" s="12" t="n"/>
      <c r="L2255" s="11" t="n"/>
      <c r="M2255" s="11" t="n"/>
      <c r="N2255" s="11" t="n"/>
      <c r="O2255" s="11" t="n"/>
      <c r="P2255" s="12" t="n"/>
      <c r="Q2255" s="11" t="n"/>
      <c r="R2255" s="12" t="n"/>
      <c r="S2255" s="11" t="n"/>
      <c r="T2255" s="12" t="n"/>
      <c r="U2255" s="12" t="n"/>
      <c r="V2255" s="14">
        <f>IF($AN2255="",IF($B2255="","",$H2255),IF(INDEX(職員マスタ!$B$6:$B$405,$AN2255)="",$H2255,INDEX(職員マスタ!$B$6:$B$405,$AN2255)))</f>
        <v/>
      </c>
      <c r="W2255" s="14">
        <f>IF($AN2255="",IF($B2255="","",$R2255),IF(INDEX(職員マスタ!$C$6:$C$405,$AN2255)="",$R2255,INDEX(職員マスタ!$C$6:$C$405,$AN2255)))</f>
        <v/>
      </c>
      <c r="X2255" s="14">
        <f>IF($AO2255="","","R"&amp;$C2255&amp;"."&amp;$D2255)</f>
        <v/>
      </c>
      <c r="Y2255" s="15">
        <f>IF($AN2255="","",IF(INDEX(職員マスタ!$K$6:$K$405,$AN2255)="","",INDEX(職員マスタ!$K$6:$K$405,$AN2255)))</f>
        <v/>
      </c>
      <c r="Z2255" s="14">
        <f>IF(OR($E2255="",$Y2255=""),"",IF($E2255&gt;=$Y2255,"×",IF($E2255&gt;=$Y2255*設定!$C$5,"△","○")))</f>
        <v/>
      </c>
      <c r="AA2255" s="15">
        <f>IF($Z2255="","",IF($Z2255="×",0,IF($Z2255="○",ROUNDDOWN($E2255*設定!$C$4,0),ROUNDDOWN($E2255*ROUND((9*$Y2255-9*$E2255)/(10*$E2255),4),0))))</f>
        <v/>
      </c>
      <c r="AB2255" s="13" t="n"/>
      <c r="AC2255" s="15">
        <f>IF($B2255="","",IF($AB2255&lt;&gt;"",$AB2255,IF($AA2255="","",IF($AA2255&lt;=設定!$C$3,0,$AA2255))))</f>
        <v/>
      </c>
      <c r="AD2255" s="14">
        <f>IF($B2255="","",IF(AND($AE2255&lt;&gt;"",$AG2255="",$AJ2255=""),"保留中",IF($AJ2255&lt;&gt;"",IF(N($AC2255)&gt;0,"支給済","不支給"),IF($AC2255="","要確認",IF($AC2255=0,"不支給","未処理")))))</f>
        <v/>
      </c>
      <c r="AE2255" s="12" t="n"/>
      <c r="AF2255" s="11" t="n"/>
      <c r="AG2255" s="11" t="n"/>
      <c r="AH2255" s="11" t="n"/>
      <c r="AI2255" s="14">
        <f>IF(AND($AD2255="保留中",$AF2255&lt;&gt;""),TODAY()-$AF2255,"")</f>
        <v/>
      </c>
      <c r="AJ2255" s="12" t="n"/>
      <c r="AK2255" s="14">
        <f>IF($B2255="","",IF($AO2255="","対象年月が未入力／","")&amp;IF($B2255="","",IF($AN2255="","職員マスタに未登録の職員番号／",IF($Y2255="","標準報酬月額が未登録／","")&amp;IF(AND($AO2255&lt;&gt;"",OR(AND(INDEX(職員マスタ!$G$6:$G$405,$AN2255)&lt;&gt;"",INDEX(職員マスタ!$G$6:$G$405,$AN2255)&gt;EOMONTH($AO2255,0)),AND(INDEX(職員マスタ!$H$6:$H$405,$AN2255)&lt;&gt;"",INDEX(職員マスタ!$H$6:$H$405,$AN2255)&lt;$AO2255))),"対象月が時短期間外／","")&amp;IF(AND(INDEX(職員マスタ!$F$6:$F$405,$AN2255)&lt;&gt;"",$AO2255&lt;&gt;"",INDEX(職員マスタ!$F$6:$F$405,$AN2255)&lt;$AO2255),"対象月に子が2歳到達済／","")&amp;IF(AND($H2255&lt;&gt;"",INDEX(職員マスタ!$B$6:$B$405,$AN2255)&lt;&gt;"",SUBSTITUTE(SUBSTITUTE($H2255," ","")," ","")&lt;&gt;SUBSTITUTE(SUBSTITUTE(INDEX(職員マスタ!$B$6:$B$405,$AN2255)," ","")," ","")),"氏名がマスタと相違／","")&amp;IF(AND($Q2255&lt;&gt;"",INDEX(職員マスタ!$E$6:$E$405,$AN2255)&lt;&gt;"",$Q2255&lt;&gt;INDEX(職員マスタ!$E$6:$E$405,$AN2255)),"子の生年月日がマスタと相違／","")&amp;IF(AND($L2255&lt;&gt;"",INDEX(職員マスタ!$G$6:$G$405,$AN2255)&lt;&gt;"",$L2255&lt;&gt;INDEX(職員マスタ!$G$6:$G$405,$AN2255)),"時短開始日がマスタと相違／","")&amp;IF(AND($M2255&lt;&gt;"",INDEX(職員マスタ!$H$6:$H$405,$AN2255)&lt;&gt;"",$M2255&lt;&gt;INDEX(職員マスタ!$H$6:$H$405,$AN2255)),"時短終了日がマスタと相違／","")))&amp;IF(AND($B2255&lt;&gt;"",$E2255=""),"報酬額が未入力／","")&amp;IF(N($U2255)&gt;0,"申請書に入力エラーが残っています／","")&amp;IF(AND($B2255&lt;&gt;"",$AO2255&lt;&gt;""),IF(COUNTIFS($B$6:$B$3005,$B2255,$C$6:$C$3005,$C2255,$D$6:$D$3005,$D2255)&gt;1,"同じ月の請求が重複しています／",""),"")&amp;IF(AND(N($E2255)&gt;0,$Z2255&lt;&gt;"",$Z2255&lt;&gt;"×",$AC2255=0,$AB2255=""),"計算額が下限以下のため不支給／",""))</f>
        <v/>
      </c>
      <c r="AL2255" s="12" t="n"/>
      <c r="AM2255" s="14">
        <f>IF($AD2255="保留中",COUNTIF($AD$6:$AD2255,"保留中"),"")</f>
        <v/>
      </c>
      <c r="AN2255" s="14">
        <f>IF($AO2255="","",IF(SUMPRODUCT(MAX((職員マスタ!$A$6:$A$405=$B2255)*(((職員マスタ!$G$6:$G$405="")+(職員マスタ!$G$6:$G$405&lt;=EOMONTH($AO2255,0)))&gt;0)*(((職員マスタ!$H$6:$H$405="")+(職員マスタ!$H$6:$H$405&gt;=$AO2255))&gt;0)*(ROW(職員マスタ!$A$6:$A$405)-5)))&gt;0,SUMPRODUCT(MAX((職員マスタ!$A$6:$A$405=$B2255)*(((職員マスタ!$G$6:$G$405="")+(職員マスタ!$G$6:$G$405&lt;=EOMONTH($AO2255,0)))&gt;0)*(((職員マスタ!$H$6:$H$405="")+(職員マスタ!$H$6:$H$405&gt;=$AO2255))&gt;0)*(ROW(職員マスタ!$A$6:$A$405)-5))),IFERROR(MATCH($B2255,職員マスタ!$A$6:$A$405,0),"")))</f>
        <v/>
      </c>
      <c r="AO2255" s="16">
        <f>IF(OR($B2255="",$C2255="",$D2255=""),"",DATE($C2255+2018,$D2255,1))</f>
        <v/>
      </c>
    </row>
    <row r="2256">
      <c r="A2256" s="11" t="n"/>
      <c r="B2256" s="12" t="n"/>
      <c r="C2256" s="12" t="n"/>
      <c r="D2256" s="12" t="n"/>
      <c r="E2256" s="13" t="n"/>
      <c r="F2256" s="12" t="n"/>
      <c r="G2256" s="13" t="n"/>
      <c r="H2256" s="12" t="n"/>
      <c r="I2256" s="12" t="n"/>
      <c r="J2256" s="12" t="n"/>
      <c r="K2256" s="12" t="n"/>
      <c r="L2256" s="11" t="n"/>
      <c r="M2256" s="11" t="n"/>
      <c r="N2256" s="11" t="n"/>
      <c r="O2256" s="11" t="n"/>
      <c r="P2256" s="12" t="n"/>
      <c r="Q2256" s="11" t="n"/>
      <c r="R2256" s="12" t="n"/>
      <c r="S2256" s="11" t="n"/>
      <c r="T2256" s="12" t="n"/>
      <c r="U2256" s="12" t="n"/>
      <c r="V2256" s="14">
        <f>IF($AN2256="",IF($B2256="","",$H2256),IF(INDEX(職員マスタ!$B$6:$B$405,$AN2256)="",$H2256,INDEX(職員マスタ!$B$6:$B$405,$AN2256)))</f>
        <v/>
      </c>
      <c r="W2256" s="14">
        <f>IF($AN2256="",IF($B2256="","",$R2256),IF(INDEX(職員マスタ!$C$6:$C$405,$AN2256)="",$R2256,INDEX(職員マスタ!$C$6:$C$405,$AN2256)))</f>
        <v/>
      </c>
      <c r="X2256" s="14">
        <f>IF($AO2256="","","R"&amp;$C2256&amp;"."&amp;$D2256)</f>
        <v/>
      </c>
      <c r="Y2256" s="15">
        <f>IF($AN2256="","",IF(INDEX(職員マスタ!$K$6:$K$405,$AN2256)="","",INDEX(職員マスタ!$K$6:$K$405,$AN2256)))</f>
        <v/>
      </c>
      <c r="Z2256" s="14">
        <f>IF(OR($E2256="",$Y2256=""),"",IF($E2256&gt;=$Y2256,"×",IF($E2256&gt;=$Y2256*設定!$C$5,"△","○")))</f>
        <v/>
      </c>
      <c r="AA2256" s="15">
        <f>IF($Z2256="","",IF($Z2256="×",0,IF($Z2256="○",ROUNDDOWN($E2256*設定!$C$4,0),ROUNDDOWN($E2256*ROUND((9*$Y2256-9*$E2256)/(10*$E2256),4),0))))</f>
        <v/>
      </c>
      <c r="AB2256" s="13" t="n"/>
      <c r="AC2256" s="15">
        <f>IF($B2256="","",IF($AB2256&lt;&gt;"",$AB2256,IF($AA2256="","",IF($AA2256&lt;=設定!$C$3,0,$AA2256))))</f>
        <v/>
      </c>
      <c r="AD2256" s="14">
        <f>IF($B2256="","",IF(AND($AE2256&lt;&gt;"",$AG2256="",$AJ2256=""),"保留中",IF($AJ2256&lt;&gt;"",IF(N($AC2256)&gt;0,"支給済","不支給"),IF($AC2256="","要確認",IF($AC2256=0,"不支給","未処理")))))</f>
        <v/>
      </c>
      <c r="AE2256" s="12" t="n"/>
      <c r="AF2256" s="11" t="n"/>
      <c r="AG2256" s="11" t="n"/>
      <c r="AH2256" s="11" t="n"/>
      <c r="AI2256" s="14">
        <f>IF(AND($AD2256="保留中",$AF2256&lt;&gt;""),TODAY()-$AF2256,"")</f>
        <v/>
      </c>
      <c r="AJ2256" s="12" t="n"/>
      <c r="AK2256" s="14">
        <f>IF($B2256="","",IF($AO2256="","対象年月が未入力／","")&amp;IF($B2256="","",IF($AN2256="","職員マスタに未登録の職員番号／",IF($Y2256="","標準報酬月額が未登録／","")&amp;IF(AND($AO2256&lt;&gt;"",OR(AND(INDEX(職員マスタ!$G$6:$G$405,$AN2256)&lt;&gt;"",INDEX(職員マスタ!$G$6:$G$405,$AN2256)&gt;EOMONTH($AO2256,0)),AND(INDEX(職員マスタ!$H$6:$H$405,$AN2256)&lt;&gt;"",INDEX(職員マスタ!$H$6:$H$405,$AN2256)&lt;$AO2256))),"対象月が時短期間外／","")&amp;IF(AND(INDEX(職員マスタ!$F$6:$F$405,$AN2256)&lt;&gt;"",$AO2256&lt;&gt;"",INDEX(職員マスタ!$F$6:$F$405,$AN2256)&lt;$AO2256),"対象月に子が2歳到達済／","")&amp;IF(AND($H2256&lt;&gt;"",INDEX(職員マスタ!$B$6:$B$405,$AN2256)&lt;&gt;"",SUBSTITUTE(SUBSTITUTE($H2256," ","")," ","")&lt;&gt;SUBSTITUTE(SUBSTITUTE(INDEX(職員マスタ!$B$6:$B$405,$AN2256)," ","")," ","")),"氏名がマスタと相違／","")&amp;IF(AND($Q2256&lt;&gt;"",INDEX(職員マスタ!$E$6:$E$405,$AN2256)&lt;&gt;"",$Q2256&lt;&gt;INDEX(職員マスタ!$E$6:$E$405,$AN2256)),"子の生年月日がマスタと相違／","")&amp;IF(AND($L2256&lt;&gt;"",INDEX(職員マスタ!$G$6:$G$405,$AN2256)&lt;&gt;"",$L2256&lt;&gt;INDEX(職員マスタ!$G$6:$G$405,$AN2256)),"時短開始日がマスタと相違／","")&amp;IF(AND($M2256&lt;&gt;"",INDEX(職員マスタ!$H$6:$H$405,$AN2256)&lt;&gt;"",$M2256&lt;&gt;INDEX(職員マスタ!$H$6:$H$405,$AN2256)),"時短終了日がマスタと相違／","")))&amp;IF(AND($B2256&lt;&gt;"",$E2256=""),"報酬額が未入力／","")&amp;IF(N($U2256)&gt;0,"申請書に入力エラーが残っています／","")&amp;IF(AND($B2256&lt;&gt;"",$AO2256&lt;&gt;""),IF(COUNTIFS($B$6:$B$3005,$B2256,$C$6:$C$3005,$C2256,$D$6:$D$3005,$D2256)&gt;1,"同じ月の請求が重複しています／",""),"")&amp;IF(AND(N($E2256)&gt;0,$Z2256&lt;&gt;"",$Z2256&lt;&gt;"×",$AC2256=0,$AB2256=""),"計算額が下限以下のため不支給／",""))</f>
        <v/>
      </c>
      <c r="AL2256" s="12" t="n"/>
      <c r="AM2256" s="14">
        <f>IF($AD2256="保留中",COUNTIF($AD$6:$AD2256,"保留中"),"")</f>
        <v/>
      </c>
      <c r="AN2256" s="14">
        <f>IF($AO2256="","",IF(SUMPRODUCT(MAX((職員マスタ!$A$6:$A$405=$B2256)*(((職員マスタ!$G$6:$G$405="")+(職員マスタ!$G$6:$G$405&lt;=EOMONTH($AO2256,0)))&gt;0)*(((職員マスタ!$H$6:$H$405="")+(職員マスタ!$H$6:$H$405&gt;=$AO2256))&gt;0)*(ROW(職員マスタ!$A$6:$A$405)-5)))&gt;0,SUMPRODUCT(MAX((職員マスタ!$A$6:$A$405=$B2256)*(((職員マスタ!$G$6:$G$405="")+(職員マスタ!$G$6:$G$405&lt;=EOMONTH($AO2256,0)))&gt;0)*(((職員マスタ!$H$6:$H$405="")+(職員マスタ!$H$6:$H$405&gt;=$AO2256))&gt;0)*(ROW(職員マスタ!$A$6:$A$405)-5))),IFERROR(MATCH($B2256,職員マスタ!$A$6:$A$405,0),"")))</f>
        <v/>
      </c>
      <c r="AO2256" s="16">
        <f>IF(OR($B2256="",$C2256="",$D2256=""),"",DATE($C2256+2018,$D2256,1))</f>
        <v/>
      </c>
    </row>
    <row r="2257">
      <c r="A2257" s="11" t="n"/>
      <c r="B2257" s="12" t="n"/>
      <c r="C2257" s="12" t="n"/>
      <c r="D2257" s="12" t="n"/>
      <c r="E2257" s="13" t="n"/>
      <c r="F2257" s="12" t="n"/>
      <c r="G2257" s="13" t="n"/>
      <c r="H2257" s="12" t="n"/>
      <c r="I2257" s="12" t="n"/>
      <c r="J2257" s="12" t="n"/>
      <c r="K2257" s="12" t="n"/>
      <c r="L2257" s="11" t="n"/>
      <c r="M2257" s="11" t="n"/>
      <c r="N2257" s="11" t="n"/>
      <c r="O2257" s="11" t="n"/>
      <c r="P2257" s="12" t="n"/>
      <c r="Q2257" s="11" t="n"/>
      <c r="R2257" s="12" t="n"/>
      <c r="S2257" s="11" t="n"/>
      <c r="T2257" s="12" t="n"/>
      <c r="U2257" s="12" t="n"/>
      <c r="V2257" s="14">
        <f>IF($AN2257="",IF($B2257="","",$H2257),IF(INDEX(職員マスタ!$B$6:$B$405,$AN2257)="",$H2257,INDEX(職員マスタ!$B$6:$B$405,$AN2257)))</f>
        <v/>
      </c>
      <c r="W2257" s="14">
        <f>IF($AN2257="",IF($B2257="","",$R2257),IF(INDEX(職員マスタ!$C$6:$C$405,$AN2257)="",$R2257,INDEX(職員マスタ!$C$6:$C$405,$AN2257)))</f>
        <v/>
      </c>
      <c r="X2257" s="14">
        <f>IF($AO2257="","","R"&amp;$C2257&amp;"."&amp;$D2257)</f>
        <v/>
      </c>
      <c r="Y2257" s="15">
        <f>IF($AN2257="","",IF(INDEX(職員マスタ!$K$6:$K$405,$AN2257)="","",INDEX(職員マスタ!$K$6:$K$405,$AN2257)))</f>
        <v/>
      </c>
      <c r="Z2257" s="14">
        <f>IF(OR($E2257="",$Y2257=""),"",IF($E2257&gt;=$Y2257,"×",IF($E2257&gt;=$Y2257*設定!$C$5,"△","○")))</f>
        <v/>
      </c>
      <c r="AA2257" s="15">
        <f>IF($Z2257="","",IF($Z2257="×",0,IF($Z2257="○",ROUNDDOWN($E2257*設定!$C$4,0),ROUNDDOWN($E2257*ROUND((9*$Y2257-9*$E2257)/(10*$E2257),4),0))))</f>
        <v/>
      </c>
      <c r="AB2257" s="13" t="n"/>
      <c r="AC2257" s="15">
        <f>IF($B2257="","",IF($AB2257&lt;&gt;"",$AB2257,IF($AA2257="","",IF($AA2257&lt;=設定!$C$3,0,$AA2257))))</f>
        <v/>
      </c>
      <c r="AD2257" s="14">
        <f>IF($B2257="","",IF(AND($AE2257&lt;&gt;"",$AG2257="",$AJ2257=""),"保留中",IF($AJ2257&lt;&gt;"",IF(N($AC2257)&gt;0,"支給済","不支給"),IF($AC2257="","要確認",IF($AC2257=0,"不支給","未処理")))))</f>
        <v/>
      </c>
      <c r="AE2257" s="12" t="n"/>
      <c r="AF2257" s="11" t="n"/>
      <c r="AG2257" s="11" t="n"/>
      <c r="AH2257" s="11" t="n"/>
      <c r="AI2257" s="14">
        <f>IF(AND($AD2257="保留中",$AF2257&lt;&gt;""),TODAY()-$AF2257,"")</f>
        <v/>
      </c>
      <c r="AJ2257" s="12" t="n"/>
      <c r="AK2257" s="14">
        <f>IF($B2257="","",IF($AO2257="","対象年月が未入力／","")&amp;IF($B2257="","",IF($AN2257="","職員マスタに未登録の職員番号／",IF($Y2257="","標準報酬月額が未登録／","")&amp;IF(AND($AO2257&lt;&gt;"",OR(AND(INDEX(職員マスタ!$G$6:$G$405,$AN2257)&lt;&gt;"",INDEX(職員マスタ!$G$6:$G$405,$AN2257)&gt;EOMONTH($AO2257,0)),AND(INDEX(職員マスタ!$H$6:$H$405,$AN2257)&lt;&gt;"",INDEX(職員マスタ!$H$6:$H$405,$AN2257)&lt;$AO2257))),"対象月が時短期間外／","")&amp;IF(AND(INDEX(職員マスタ!$F$6:$F$405,$AN2257)&lt;&gt;"",$AO2257&lt;&gt;"",INDEX(職員マスタ!$F$6:$F$405,$AN2257)&lt;$AO2257),"対象月に子が2歳到達済／","")&amp;IF(AND($H2257&lt;&gt;"",INDEX(職員マスタ!$B$6:$B$405,$AN2257)&lt;&gt;"",SUBSTITUTE(SUBSTITUTE($H2257," ","")," ","")&lt;&gt;SUBSTITUTE(SUBSTITUTE(INDEX(職員マスタ!$B$6:$B$405,$AN2257)," ","")," ","")),"氏名がマスタと相違／","")&amp;IF(AND($Q2257&lt;&gt;"",INDEX(職員マスタ!$E$6:$E$405,$AN2257)&lt;&gt;"",$Q2257&lt;&gt;INDEX(職員マスタ!$E$6:$E$405,$AN2257)),"子の生年月日がマスタと相違／","")&amp;IF(AND($L2257&lt;&gt;"",INDEX(職員マスタ!$G$6:$G$405,$AN2257)&lt;&gt;"",$L2257&lt;&gt;INDEX(職員マスタ!$G$6:$G$405,$AN2257)),"時短開始日がマスタと相違／","")&amp;IF(AND($M2257&lt;&gt;"",INDEX(職員マスタ!$H$6:$H$405,$AN2257)&lt;&gt;"",$M2257&lt;&gt;INDEX(職員マスタ!$H$6:$H$405,$AN2257)),"時短終了日がマスタと相違／","")))&amp;IF(AND($B2257&lt;&gt;"",$E2257=""),"報酬額が未入力／","")&amp;IF(N($U2257)&gt;0,"申請書に入力エラーが残っています／","")&amp;IF(AND($B2257&lt;&gt;"",$AO2257&lt;&gt;""),IF(COUNTIFS($B$6:$B$3005,$B2257,$C$6:$C$3005,$C2257,$D$6:$D$3005,$D2257)&gt;1,"同じ月の請求が重複しています／",""),"")&amp;IF(AND(N($E2257)&gt;0,$Z2257&lt;&gt;"",$Z2257&lt;&gt;"×",$AC2257=0,$AB2257=""),"計算額が下限以下のため不支給／",""))</f>
        <v/>
      </c>
      <c r="AL2257" s="12" t="n"/>
      <c r="AM2257" s="14">
        <f>IF($AD2257="保留中",COUNTIF($AD$6:$AD2257,"保留中"),"")</f>
        <v/>
      </c>
      <c r="AN2257" s="14">
        <f>IF($AO2257="","",IF(SUMPRODUCT(MAX((職員マスタ!$A$6:$A$405=$B2257)*(((職員マスタ!$G$6:$G$405="")+(職員マスタ!$G$6:$G$405&lt;=EOMONTH($AO2257,0)))&gt;0)*(((職員マスタ!$H$6:$H$405="")+(職員マスタ!$H$6:$H$405&gt;=$AO2257))&gt;0)*(ROW(職員マスタ!$A$6:$A$405)-5)))&gt;0,SUMPRODUCT(MAX((職員マスタ!$A$6:$A$405=$B2257)*(((職員マスタ!$G$6:$G$405="")+(職員マスタ!$G$6:$G$405&lt;=EOMONTH($AO2257,0)))&gt;0)*(((職員マスタ!$H$6:$H$405="")+(職員マスタ!$H$6:$H$405&gt;=$AO2257))&gt;0)*(ROW(職員マスタ!$A$6:$A$405)-5))),IFERROR(MATCH($B2257,職員マスタ!$A$6:$A$405,0),"")))</f>
        <v/>
      </c>
      <c r="AO2257" s="16">
        <f>IF(OR($B2257="",$C2257="",$D2257=""),"",DATE($C2257+2018,$D2257,1))</f>
        <v/>
      </c>
    </row>
    <row r="2258">
      <c r="A2258" s="11" t="n"/>
      <c r="B2258" s="12" t="n"/>
      <c r="C2258" s="12" t="n"/>
      <c r="D2258" s="12" t="n"/>
      <c r="E2258" s="13" t="n"/>
      <c r="F2258" s="12" t="n"/>
      <c r="G2258" s="13" t="n"/>
      <c r="H2258" s="12" t="n"/>
      <c r="I2258" s="12" t="n"/>
      <c r="J2258" s="12" t="n"/>
      <c r="K2258" s="12" t="n"/>
      <c r="L2258" s="11" t="n"/>
      <c r="M2258" s="11" t="n"/>
      <c r="N2258" s="11" t="n"/>
      <c r="O2258" s="11" t="n"/>
      <c r="P2258" s="12" t="n"/>
      <c r="Q2258" s="11" t="n"/>
      <c r="R2258" s="12" t="n"/>
      <c r="S2258" s="11" t="n"/>
      <c r="T2258" s="12" t="n"/>
      <c r="U2258" s="12" t="n"/>
      <c r="V2258" s="14">
        <f>IF($AN2258="",IF($B2258="","",$H2258),IF(INDEX(職員マスタ!$B$6:$B$405,$AN2258)="",$H2258,INDEX(職員マスタ!$B$6:$B$405,$AN2258)))</f>
        <v/>
      </c>
      <c r="W2258" s="14">
        <f>IF($AN2258="",IF($B2258="","",$R2258),IF(INDEX(職員マスタ!$C$6:$C$405,$AN2258)="",$R2258,INDEX(職員マスタ!$C$6:$C$405,$AN2258)))</f>
        <v/>
      </c>
      <c r="X2258" s="14">
        <f>IF($AO2258="","","R"&amp;$C2258&amp;"."&amp;$D2258)</f>
        <v/>
      </c>
      <c r="Y2258" s="15">
        <f>IF($AN2258="","",IF(INDEX(職員マスタ!$K$6:$K$405,$AN2258)="","",INDEX(職員マスタ!$K$6:$K$405,$AN2258)))</f>
        <v/>
      </c>
      <c r="Z2258" s="14">
        <f>IF(OR($E2258="",$Y2258=""),"",IF($E2258&gt;=$Y2258,"×",IF($E2258&gt;=$Y2258*設定!$C$5,"△","○")))</f>
        <v/>
      </c>
      <c r="AA2258" s="15">
        <f>IF($Z2258="","",IF($Z2258="×",0,IF($Z2258="○",ROUNDDOWN($E2258*設定!$C$4,0),ROUNDDOWN($E2258*ROUND((9*$Y2258-9*$E2258)/(10*$E2258),4),0))))</f>
        <v/>
      </c>
      <c r="AB2258" s="13" t="n"/>
      <c r="AC2258" s="15">
        <f>IF($B2258="","",IF($AB2258&lt;&gt;"",$AB2258,IF($AA2258="","",IF($AA2258&lt;=設定!$C$3,0,$AA2258))))</f>
        <v/>
      </c>
      <c r="AD2258" s="14">
        <f>IF($B2258="","",IF(AND($AE2258&lt;&gt;"",$AG2258="",$AJ2258=""),"保留中",IF($AJ2258&lt;&gt;"",IF(N($AC2258)&gt;0,"支給済","不支給"),IF($AC2258="","要確認",IF($AC2258=0,"不支給","未処理")))))</f>
        <v/>
      </c>
      <c r="AE2258" s="12" t="n"/>
      <c r="AF2258" s="11" t="n"/>
      <c r="AG2258" s="11" t="n"/>
      <c r="AH2258" s="11" t="n"/>
      <c r="AI2258" s="14">
        <f>IF(AND($AD2258="保留中",$AF2258&lt;&gt;""),TODAY()-$AF2258,"")</f>
        <v/>
      </c>
      <c r="AJ2258" s="12" t="n"/>
      <c r="AK2258" s="14">
        <f>IF($B2258="","",IF($AO2258="","対象年月が未入力／","")&amp;IF($B2258="","",IF($AN2258="","職員マスタに未登録の職員番号／",IF($Y2258="","標準報酬月額が未登録／","")&amp;IF(AND($AO2258&lt;&gt;"",OR(AND(INDEX(職員マスタ!$G$6:$G$405,$AN2258)&lt;&gt;"",INDEX(職員マスタ!$G$6:$G$405,$AN2258)&gt;EOMONTH($AO2258,0)),AND(INDEX(職員マスタ!$H$6:$H$405,$AN2258)&lt;&gt;"",INDEX(職員マスタ!$H$6:$H$405,$AN2258)&lt;$AO2258))),"対象月が時短期間外／","")&amp;IF(AND(INDEX(職員マスタ!$F$6:$F$405,$AN2258)&lt;&gt;"",$AO2258&lt;&gt;"",INDEX(職員マスタ!$F$6:$F$405,$AN2258)&lt;$AO2258),"対象月に子が2歳到達済／","")&amp;IF(AND($H2258&lt;&gt;"",INDEX(職員マスタ!$B$6:$B$405,$AN2258)&lt;&gt;"",SUBSTITUTE(SUBSTITUTE($H2258," ","")," ","")&lt;&gt;SUBSTITUTE(SUBSTITUTE(INDEX(職員マスタ!$B$6:$B$405,$AN2258)," ","")," ","")),"氏名がマスタと相違／","")&amp;IF(AND($Q2258&lt;&gt;"",INDEX(職員マスタ!$E$6:$E$405,$AN2258)&lt;&gt;"",$Q2258&lt;&gt;INDEX(職員マスタ!$E$6:$E$405,$AN2258)),"子の生年月日がマスタと相違／","")&amp;IF(AND($L2258&lt;&gt;"",INDEX(職員マスタ!$G$6:$G$405,$AN2258)&lt;&gt;"",$L2258&lt;&gt;INDEX(職員マスタ!$G$6:$G$405,$AN2258)),"時短開始日がマスタと相違／","")&amp;IF(AND($M2258&lt;&gt;"",INDEX(職員マスタ!$H$6:$H$405,$AN2258)&lt;&gt;"",$M2258&lt;&gt;INDEX(職員マスタ!$H$6:$H$405,$AN2258)),"時短終了日がマスタと相違／","")))&amp;IF(AND($B2258&lt;&gt;"",$E2258=""),"報酬額が未入力／","")&amp;IF(N($U2258)&gt;0,"申請書に入力エラーが残っています／","")&amp;IF(AND($B2258&lt;&gt;"",$AO2258&lt;&gt;""),IF(COUNTIFS($B$6:$B$3005,$B2258,$C$6:$C$3005,$C2258,$D$6:$D$3005,$D2258)&gt;1,"同じ月の請求が重複しています／",""),"")&amp;IF(AND(N($E2258)&gt;0,$Z2258&lt;&gt;"",$Z2258&lt;&gt;"×",$AC2258=0,$AB2258=""),"計算額が下限以下のため不支給／",""))</f>
        <v/>
      </c>
      <c r="AL2258" s="12" t="n"/>
      <c r="AM2258" s="14">
        <f>IF($AD2258="保留中",COUNTIF($AD$6:$AD2258,"保留中"),"")</f>
        <v/>
      </c>
      <c r="AN2258" s="14">
        <f>IF($AO2258="","",IF(SUMPRODUCT(MAX((職員マスタ!$A$6:$A$405=$B2258)*(((職員マスタ!$G$6:$G$405="")+(職員マスタ!$G$6:$G$405&lt;=EOMONTH($AO2258,0)))&gt;0)*(((職員マスタ!$H$6:$H$405="")+(職員マスタ!$H$6:$H$405&gt;=$AO2258))&gt;0)*(ROW(職員マスタ!$A$6:$A$405)-5)))&gt;0,SUMPRODUCT(MAX((職員マスタ!$A$6:$A$405=$B2258)*(((職員マスタ!$G$6:$G$405="")+(職員マスタ!$G$6:$G$405&lt;=EOMONTH($AO2258,0)))&gt;0)*(((職員マスタ!$H$6:$H$405="")+(職員マスタ!$H$6:$H$405&gt;=$AO2258))&gt;0)*(ROW(職員マスタ!$A$6:$A$405)-5))),IFERROR(MATCH($B2258,職員マスタ!$A$6:$A$405,0),"")))</f>
        <v/>
      </c>
      <c r="AO2258" s="16">
        <f>IF(OR($B2258="",$C2258="",$D2258=""),"",DATE($C2258+2018,$D2258,1))</f>
        <v/>
      </c>
    </row>
    <row r="2259">
      <c r="A2259" s="11" t="n"/>
      <c r="B2259" s="12" t="n"/>
      <c r="C2259" s="12" t="n"/>
      <c r="D2259" s="12" t="n"/>
      <c r="E2259" s="13" t="n"/>
      <c r="F2259" s="12" t="n"/>
      <c r="G2259" s="13" t="n"/>
      <c r="H2259" s="12" t="n"/>
      <c r="I2259" s="12" t="n"/>
      <c r="J2259" s="12" t="n"/>
      <c r="K2259" s="12" t="n"/>
      <c r="L2259" s="11" t="n"/>
      <c r="M2259" s="11" t="n"/>
      <c r="N2259" s="11" t="n"/>
      <c r="O2259" s="11" t="n"/>
      <c r="P2259" s="12" t="n"/>
      <c r="Q2259" s="11" t="n"/>
      <c r="R2259" s="12" t="n"/>
      <c r="S2259" s="11" t="n"/>
      <c r="T2259" s="12" t="n"/>
      <c r="U2259" s="12" t="n"/>
      <c r="V2259" s="14">
        <f>IF($AN2259="",IF($B2259="","",$H2259),IF(INDEX(職員マスタ!$B$6:$B$405,$AN2259)="",$H2259,INDEX(職員マスタ!$B$6:$B$405,$AN2259)))</f>
        <v/>
      </c>
      <c r="W2259" s="14">
        <f>IF($AN2259="",IF($B2259="","",$R2259),IF(INDEX(職員マスタ!$C$6:$C$405,$AN2259)="",$R2259,INDEX(職員マスタ!$C$6:$C$405,$AN2259)))</f>
        <v/>
      </c>
      <c r="X2259" s="14">
        <f>IF($AO2259="","","R"&amp;$C2259&amp;"."&amp;$D2259)</f>
        <v/>
      </c>
      <c r="Y2259" s="15">
        <f>IF($AN2259="","",IF(INDEX(職員マスタ!$K$6:$K$405,$AN2259)="","",INDEX(職員マスタ!$K$6:$K$405,$AN2259)))</f>
        <v/>
      </c>
      <c r="Z2259" s="14">
        <f>IF(OR($E2259="",$Y2259=""),"",IF($E2259&gt;=$Y2259,"×",IF($E2259&gt;=$Y2259*設定!$C$5,"△","○")))</f>
        <v/>
      </c>
      <c r="AA2259" s="15">
        <f>IF($Z2259="","",IF($Z2259="×",0,IF($Z2259="○",ROUNDDOWN($E2259*設定!$C$4,0),ROUNDDOWN($E2259*ROUND((9*$Y2259-9*$E2259)/(10*$E2259),4),0))))</f>
        <v/>
      </c>
      <c r="AB2259" s="13" t="n"/>
      <c r="AC2259" s="15">
        <f>IF($B2259="","",IF($AB2259&lt;&gt;"",$AB2259,IF($AA2259="","",IF($AA2259&lt;=設定!$C$3,0,$AA2259))))</f>
        <v/>
      </c>
      <c r="AD2259" s="14">
        <f>IF($B2259="","",IF(AND($AE2259&lt;&gt;"",$AG2259="",$AJ2259=""),"保留中",IF($AJ2259&lt;&gt;"",IF(N($AC2259)&gt;0,"支給済","不支給"),IF($AC2259="","要確認",IF($AC2259=0,"不支給","未処理")))))</f>
        <v/>
      </c>
      <c r="AE2259" s="12" t="n"/>
      <c r="AF2259" s="11" t="n"/>
      <c r="AG2259" s="11" t="n"/>
      <c r="AH2259" s="11" t="n"/>
      <c r="AI2259" s="14">
        <f>IF(AND($AD2259="保留中",$AF2259&lt;&gt;""),TODAY()-$AF2259,"")</f>
        <v/>
      </c>
      <c r="AJ2259" s="12" t="n"/>
      <c r="AK2259" s="14">
        <f>IF($B2259="","",IF($AO2259="","対象年月が未入力／","")&amp;IF($B2259="","",IF($AN2259="","職員マスタに未登録の職員番号／",IF($Y2259="","標準報酬月額が未登録／","")&amp;IF(AND($AO2259&lt;&gt;"",OR(AND(INDEX(職員マスタ!$G$6:$G$405,$AN2259)&lt;&gt;"",INDEX(職員マスタ!$G$6:$G$405,$AN2259)&gt;EOMONTH($AO2259,0)),AND(INDEX(職員マスタ!$H$6:$H$405,$AN2259)&lt;&gt;"",INDEX(職員マスタ!$H$6:$H$405,$AN2259)&lt;$AO2259))),"対象月が時短期間外／","")&amp;IF(AND(INDEX(職員マスタ!$F$6:$F$405,$AN2259)&lt;&gt;"",$AO2259&lt;&gt;"",INDEX(職員マスタ!$F$6:$F$405,$AN2259)&lt;$AO2259),"対象月に子が2歳到達済／","")&amp;IF(AND($H2259&lt;&gt;"",INDEX(職員マスタ!$B$6:$B$405,$AN2259)&lt;&gt;"",SUBSTITUTE(SUBSTITUTE($H2259," ","")," ","")&lt;&gt;SUBSTITUTE(SUBSTITUTE(INDEX(職員マスタ!$B$6:$B$405,$AN2259)," ","")," ","")),"氏名がマスタと相違／","")&amp;IF(AND($Q2259&lt;&gt;"",INDEX(職員マスタ!$E$6:$E$405,$AN2259)&lt;&gt;"",$Q2259&lt;&gt;INDEX(職員マスタ!$E$6:$E$405,$AN2259)),"子の生年月日がマスタと相違／","")&amp;IF(AND($L2259&lt;&gt;"",INDEX(職員マスタ!$G$6:$G$405,$AN2259)&lt;&gt;"",$L2259&lt;&gt;INDEX(職員マスタ!$G$6:$G$405,$AN2259)),"時短開始日がマスタと相違／","")&amp;IF(AND($M2259&lt;&gt;"",INDEX(職員マスタ!$H$6:$H$405,$AN2259)&lt;&gt;"",$M2259&lt;&gt;INDEX(職員マスタ!$H$6:$H$405,$AN2259)),"時短終了日がマスタと相違／","")))&amp;IF(AND($B2259&lt;&gt;"",$E2259=""),"報酬額が未入力／","")&amp;IF(N($U2259)&gt;0,"申請書に入力エラーが残っています／","")&amp;IF(AND($B2259&lt;&gt;"",$AO2259&lt;&gt;""),IF(COUNTIFS($B$6:$B$3005,$B2259,$C$6:$C$3005,$C2259,$D$6:$D$3005,$D2259)&gt;1,"同じ月の請求が重複しています／",""),"")&amp;IF(AND(N($E2259)&gt;0,$Z2259&lt;&gt;"",$Z2259&lt;&gt;"×",$AC2259=0,$AB2259=""),"計算額が下限以下のため不支給／",""))</f>
        <v/>
      </c>
      <c r="AL2259" s="12" t="n"/>
      <c r="AM2259" s="14">
        <f>IF($AD2259="保留中",COUNTIF($AD$6:$AD2259,"保留中"),"")</f>
        <v/>
      </c>
      <c r="AN2259" s="14">
        <f>IF($AO2259="","",IF(SUMPRODUCT(MAX((職員マスタ!$A$6:$A$405=$B2259)*(((職員マスタ!$G$6:$G$405="")+(職員マスタ!$G$6:$G$405&lt;=EOMONTH($AO2259,0)))&gt;0)*(((職員マスタ!$H$6:$H$405="")+(職員マスタ!$H$6:$H$405&gt;=$AO2259))&gt;0)*(ROW(職員マスタ!$A$6:$A$405)-5)))&gt;0,SUMPRODUCT(MAX((職員マスタ!$A$6:$A$405=$B2259)*(((職員マスタ!$G$6:$G$405="")+(職員マスタ!$G$6:$G$405&lt;=EOMONTH($AO2259,0)))&gt;0)*(((職員マスタ!$H$6:$H$405="")+(職員マスタ!$H$6:$H$405&gt;=$AO2259))&gt;0)*(ROW(職員マスタ!$A$6:$A$405)-5))),IFERROR(MATCH($B2259,職員マスタ!$A$6:$A$405,0),"")))</f>
        <v/>
      </c>
      <c r="AO2259" s="16">
        <f>IF(OR($B2259="",$C2259="",$D2259=""),"",DATE($C2259+2018,$D2259,1))</f>
        <v/>
      </c>
    </row>
    <row r="2260">
      <c r="A2260" s="11" t="n"/>
      <c r="B2260" s="12" t="n"/>
      <c r="C2260" s="12" t="n"/>
      <c r="D2260" s="12" t="n"/>
      <c r="E2260" s="13" t="n"/>
      <c r="F2260" s="12" t="n"/>
      <c r="G2260" s="13" t="n"/>
      <c r="H2260" s="12" t="n"/>
      <c r="I2260" s="12" t="n"/>
      <c r="J2260" s="12" t="n"/>
      <c r="K2260" s="12" t="n"/>
      <c r="L2260" s="11" t="n"/>
      <c r="M2260" s="11" t="n"/>
      <c r="N2260" s="11" t="n"/>
      <c r="O2260" s="11" t="n"/>
      <c r="P2260" s="12" t="n"/>
      <c r="Q2260" s="11" t="n"/>
      <c r="R2260" s="12" t="n"/>
      <c r="S2260" s="11" t="n"/>
      <c r="T2260" s="12" t="n"/>
      <c r="U2260" s="12" t="n"/>
      <c r="V2260" s="14">
        <f>IF($AN2260="",IF($B2260="","",$H2260),IF(INDEX(職員マスタ!$B$6:$B$405,$AN2260)="",$H2260,INDEX(職員マスタ!$B$6:$B$405,$AN2260)))</f>
        <v/>
      </c>
      <c r="W2260" s="14">
        <f>IF($AN2260="",IF($B2260="","",$R2260),IF(INDEX(職員マスタ!$C$6:$C$405,$AN2260)="",$R2260,INDEX(職員マスタ!$C$6:$C$405,$AN2260)))</f>
        <v/>
      </c>
      <c r="X2260" s="14">
        <f>IF($AO2260="","","R"&amp;$C2260&amp;"."&amp;$D2260)</f>
        <v/>
      </c>
      <c r="Y2260" s="15">
        <f>IF($AN2260="","",IF(INDEX(職員マスタ!$K$6:$K$405,$AN2260)="","",INDEX(職員マスタ!$K$6:$K$405,$AN2260)))</f>
        <v/>
      </c>
      <c r="Z2260" s="14">
        <f>IF(OR($E2260="",$Y2260=""),"",IF($E2260&gt;=$Y2260,"×",IF($E2260&gt;=$Y2260*設定!$C$5,"△","○")))</f>
        <v/>
      </c>
      <c r="AA2260" s="15">
        <f>IF($Z2260="","",IF($Z2260="×",0,IF($Z2260="○",ROUNDDOWN($E2260*設定!$C$4,0),ROUNDDOWN($E2260*ROUND((9*$Y2260-9*$E2260)/(10*$E2260),4),0))))</f>
        <v/>
      </c>
      <c r="AB2260" s="13" t="n"/>
      <c r="AC2260" s="15">
        <f>IF($B2260="","",IF($AB2260&lt;&gt;"",$AB2260,IF($AA2260="","",IF($AA2260&lt;=設定!$C$3,0,$AA2260))))</f>
        <v/>
      </c>
      <c r="AD2260" s="14">
        <f>IF($B2260="","",IF(AND($AE2260&lt;&gt;"",$AG2260="",$AJ2260=""),"保留中",IF($AJ2260&lt;&gt;"",IF(N($AC2260)&gt;0,"支給済","不支給"),IF($AC2260="","要確認",IF($AC2260=0,"不支給","未処理")))))</f>
        <v/>
      </c>
      <c r="AE2260" s="12" t="n"/>
      <c r="AF2260" s="11" t="n"/>
      <c r="AG2260" s="11" t="n"/>
      <c r="AH2260" s="11" t="n"/>
      <c r="AI2260" s="14">
        <f>IF(AND($AD2260="保留中",$AF2260&lt;&gt;""),TODAY()-$AF2260,"")</f>
        <v/>
      </c>
      <c r="AJ2260" s="12" t="n"/>
      <c r="AK2260" s="14">
        <f>IF($B2260="","",IF($AO2260="","対象年月が未入力／","")&amp;IF($B2260="","",IF($AN2260="","職員マスタに未登録の職員番号／",IF($Y2260="","標準報酬月額が未登録／","")&amp;IF(AND($AO2260&lt;&gt;"",OR(AND(INDEX(職員マスタ!$G$6:$G$405,$AN2260)&lt;&gt;"",INDEX(職員マスタ!$G$6:$G$405,$AN2260)&gt;EOMONTH($AO2260,0)),AND(INDEX(職員マスタ!$H$6:$H$405,$AN2260)&lt;&gt;"",INDEX(職員マスタ!$H$6:$H$405,$AN2260)&lt;$AO2260))),"対象月が時短期間外／","")&amp;IF(AND(INDEX(職員マスタ!$F$6:$F$405,$AN2260)&lt;&gt;"",$AO2260&lt;&gt;"",INDEX(職員マスタ!$F$6:$F$405,$AN2260)&lt;$AO2260),"対象月に子が2歳到達済／","")&amp;IF(AND($H2260&lt;&gt;"",INDEX(職員マスタ!$B$6:$B$405,$AN2260)&lt;&gt;"",SUBSTITUTE(SUBSTITUTE($H2260," ","")," ","")&lt;&gt;SUBSTITUTE(SUBSTITUTE(INDEX(職員マスタ!$B$6:$B$405,$AN2260)," ","")," ","")),"氏名がマスタと相違／","")&amp;IF(AND($Q2260&lt;&gt;"",INDEX(職員マスタ!$E$6:$E$405,$AN2260)&lt;&gt;"",$Q2260&lt;&gt;INDEX(職員マスタ!$E$6:$E$405,$AN2260)),"子の生年月日がマスタと相違／","")&amp;IF(AND($L2260&lt;&gt;"",INDEX(職員マスタ!$G$6:$G$405,$AN2260)&lt;&gt;"",$L2260&lt;&gt;INDEX(職員マスタ!$G$6:$G$405,$AN2260)),"時短開始日がマスタと相違／","")&amp;IF(AND($M2260&lt;&gt;"",INDEX(職員マスタ!$H$6:$H$405,$AN2260)&lt;&gt;"",$M2260&lt;&gt;INDEX(職員マスタ!$H$6:$H$405,$AN2260)),"時短終了日がマスタと相違／","")))&amp;IF(AND($B2260&lt;&gt;"",$E2260=""),"報酬額が未入力／","")&amp;IF(N($U2260)&gt;0,"申請書に入力エラーが残っています／","")&amp;IF(AND($B2260&lt;&gt;"",$AO2260&lt;&gt;""),IF(COUNTIFS($B$6:$B$3005,$B2260,$C$6:$C$3005,$C2260,$D$6:$D$3005,$D2260)&gt;1,"同じ月の請求が重複しています／",""),"")&amp;IF(AND(N($E2260)&gt;0,$Z2260&lt;&gt;"",$Z2260&lt;&gt;"×",$AC2260=0,$AB2260=""),"計算額が下限以下のため不支給／",""))</f>
        <v/>
      </c>
      <c r="AL2260" s="12" t="n"/>
      <c r="AM2260" s="14">
        <f>IF($AD2260="保留中",COUNTIF($AD$6:$AD2260,"保留中"),"")</f>
        <v/>
      </c>
      <c r="AN2260" s="14">
        <f>IF($AO2260="","",IF(SUMPRODUCT(MAX((職員マスタ!$A$6:$A$405=$B2260)*(((職員マスタ!$G$6:$G$405="")+(職員マスタ!$G$6:$G$405&lt;=EOMONTH($AO2260,0)))&gt;0)*(((職員マスタ!$H$6:$H$405="")+(職員マスタ!$H$6:$H$405&gt;=$AO2260))&gt;0)*(ROW(職員マスタ!$A$6:$A$405)-5)))&gt;0,SUMPRODUCT(MAX((職員マスタ!$A$6:$A$405=$B2260)*(((職員マスタ!$G$6:$G$405="")+(職員マスタ!$G$6:$G$405&lt;=EOMONTH($AO2260,0)))&gt;0)*(((職員マスタ!$H$6:$H$405="")+(職員マスタ!$H$6:$H$405&gt;=$AO2260))&gt;0)*(ROW(職員マスタ!$A$6:$A$405)-5))),IFERROR(MATCH($B2260,職員マスタ!$A$6:$A$405,0),"")))</f>
        <v/>
      </c>
      <c r="AO2260" s="16">
        <f>IF(OR($B2260="",$C2260="",$D2260=""),"",DATE($C2260+2018,$D2260,1))</f>
        <v/>
      </c>
    </row>
    <row r="2261">
      <c r="A2261" s="11" t="n"/>
      <c r="B2261" s="12" t="n"/>
      <c r="C2261" s="12" t="n"/>
      <c r="D2261" s="12" t="n"/>
      <c r="E2261" s="13" t="n"/>
      <c r="F2261" s="12" t="n"/>
      <c r="G2261" s="13" t="n"/>
      <c r="H2261" s="12" t="n"/>
      <c r="I2261" s="12" t="n"/>
      <c r="J2261" s="12" t="n"/>
      <c r="K2261" s="12" t="n"/>
      <c r="L2261" s="11" t="n"/>
      <c r="M2261" s="11" t="n"/>
      <c r="N2261" s="11" t="n"/>
      <c r="O2261" s="11" t="n"/>
      <c r="P2261" s="12" t="n"/>
      <c r="Q2261" s="11" t="n"/>
      <c r="R2261" s="12" t="n"/>
      <c r="S2261" s="11" t="n"/>
      <c r="T2261" s="12" t="n"/>
      <c r="U2261" s="12" t="n"/>
      <c r="V2261" s="14">
        <f>IF($AN2261="",IF($B2261="","",$H2261),IF(INDEX(職員マスタ!$B$6:$B$405,$AN2261)="",$H2261,INDEX(職員マスタ!$B$6:$B$405,$AN2261)))</f>
        <v/>
      </c>
      <c r="W2261" s="14">
        <f>IF($AN2261="",IF($B2261="","",$R2261),IF(INDEX(職員マスタ!$C$6:$C$405,$AN2261)="",$R2261,INDEX(職員マスタ!$C$6:$C$405,$AN2261)))</f>
        <v/>
      </c>
      <c r="X2261" s="14">
        <f>IF($AO2261="","","R"&amp;$C2261&amp;"."&amp;$D2261)</f>
        <v/>
      </c>
      <c r="Y2261" s="15">
        <f>IF($AN2261="","",IF(INDEX(職員マスタ!$K$6:$K$405,$AN2261)="","",INDEX(職員マスタ!$K$6:$K$405,$AN2261)))</f>
        <v/>
      </c>
      <c r="Z2261" s="14">
        <f>IF(OR($E2261="",$Y2261=""),"",IF($E2261&gt;=$Y2261,"×",IF($E2261&gt;=$Y2261*設定!$C$5,"△","○")))</f>
        <v/>
      </c>
      <c r="AA2261" s="15">
        <f>IF($Z2261="","",IF($Z2261="×",0,IF($Z2261="○",ROUNDDOWN($E2261*設定!$C$4,0),ROUNDDOWN($E2261*ROUND((9*$Y2261-9*$E2261)/(10*$E2261),4),0))))</f>
        <v/>
      </c>
      <c r="AB2261" s="13" t="n"/>
      <c r="AC2261" s="15">
        <f>IF($B2261="","",IF($AB2261&lt;&gt;"",$AB2261,IF($AA2261="","",IF($AA2261&lt;=設定!$C$3,0,$AA2261))))</f>
        <v/>
      </c>
      <c r="AD2261" s="14">
        <f>IF($B2261="","",IF(AND($AE2261&lt;&gt;"",$AG2261="",$AJ2261=""),"保留中",IF($AJ2261&lt;&gt;"",IF(N($AC2261)&gt;0,"支給済","不支給"),IF($AC2261="","要確認",IF($AC2261=0,"不支給","未処理")))))</f>
        <v/>
      </c>
      <c r="AE2261" s="12" t="n"/>
      <c r="AF2261" s="11" t="n"/>
      <c r="AG2261" s="11" t="n"/>
      <c r="AH2261" s="11" t="n"/>
      <c r="AI2261" s="14">
        <f>IF(AND($AD2261="保留中",$AF2261&lt;&gt;""),TODAY()-$AF2261,"")</f>
        <v/>
      </c>
      <c r="AJ2261" s="12" t="n"/>
      <c r="AK2261" s="14">
        <f>IF($B2261="","",IF($AO2261="","対象年月が未入力／","")&amp;IF($B2261="","",IF($AN2261="","職員マスタに未登録の職員番号／",IF($Y2261="","標準報酬月額が未登録／","")&amp;IF(AND($AO2261&lt;&gt;"",OR(AND(INDEX(職員マスタ!$G$6:$G$405,$AN2261)&lt;&gt;"",INDEX(職員マスタ!$G$6:$G$405,$AN2261)&gt;EOMONTH($AO2261,0)),AND(INDEX(職員マスタ!$H$6:$H$405,$AN2261)&lt;&gt;"",INDEX(職員マスタ!$H$6:$H$405,$AN2261)&lt;$AO2261))),"対象月が時短期間外／","")&amp;IF(AND(INDEX(職員マスタ!$F$6:$F$405,$AN2261)&lt;&gt;"",$AO2261&lt;&gt;"",INDEX(職員マスタ!$F$6:$F$405,$AN2261)&lt;$AO2261),"対象月に子が2歳到達済／","")&amp;IF(AND($H2261&lt;&gt;"",INDEX(職員マスタ!$B$6:$B$405,$AN2261)&lt;&gt;"",SUBSTITUTE(SUBSTITUTE($H2261," ","")," ","")&lt;&gt;SUBSTITUTE(SUBSTITUTE(INDEX(職員マスタ!$B$6:$B$405,$AN2261)," ","")," ","")),"氏名がマスタと相違／","")&amp;IF(AND($Q2261&lt;&gt;"",INDEX(職員マスタ!$E$6:$E$405,$AN2261)&lt;&gt;"",$Q2261&lt;&gt;INDEX(職員マスタ!$E$6:$E$405,$AN2261)),"子の生年月日がマスタと相違／","")&amp;IF(AND($L2261&lt;&gt;"",INDEX(職員マスタ!$G$6:$G$405,$AN2261)&lt;&gt;"",$L2261&lt;&gt;INDEX(職員マスタ!$G$6:$G$405,$AN2261)),"時短開始日がマスタと相違／","")&amp;IF(AND($M2261&lt;&gt;"",INDEX(職員マスタ!$H$6:$H$405,$AN2261)&lt;&gt;"",$M2261&lt;&gt;INDEX(職員マスタ!$H$6:$H$405,$AN2261)),"時短終了日がマスタと相違／","")))&amp;IF(AND($B2261&lt;&gt;"",$E2261=""),"報酬額が未入力／","")&amp;IF(N($U2261)&gt;0,"申請書に入力エラーが残っています／","")&amp;IF(AND($B2261&lt;&gt;"",$AO2261&lt;&gt;""),IF(COUNTIFS($B$6:$B$3005,$B2261,$C$6:$C$3005,$C2261,$D$6:$D$3005,$D2261)&gt;1,"同じ月の請求が重複しています／",""),"")&amp;IF(AND(N($E2261)&gt;0,$Z2261&lt;&gt;"",$Z2261&lt;&gt;"×",$AC2261=0,$AB2261=""),"計算額が下限以下のため不支給／",""))</f>
        <v/>
      </c>
      <c r="AL2261" s="12" t="n"/>
      <c r="AM2261" s="14">
        <f>IF($AD2261="保留中",COUNTIF($AD$6:$AD2261,"保留中"),"")</f>
        <v/>
      </c>
      <c r="AN2261" s="14">
        <f>IF($AO2261="","",IF(SUMPRODUCT(MAX((職員マスタ!$A$6:$A$405=$B2261)*(((職員マスタ!$G$6:$G$405="")+(職員マスタ!$G$6:$G$405&lt;=EOMONTH($AO2261,0)))&gt;0)*(((職員マスタ!$H$6:$H$405="")+(職員マスタ!$H$6:$H$405&gt;=$AO2261))&gt;0)*(ROW(職員マスタ!$A$6:$A$405)-5)))&gt;0,SUMPRODUCT(MAX((職員マスタ!$A$6:$A$405=$B2261)*(((職員マスタ!$G$6:$G$405="")+(職員マスタ!$G$6:$G$405&lt;=EOMONTH($AO2261,0)))&gt;0)*(((職員マスタ!$H$6:$H$405="")+(職員マスタ!$H$6:$H$405&gt;=$AO2261))&gt;0)*(ROW(職員マスタ!$A$6:$A$405)-5))),IFERROR(MATCH($B2261,職員マスタ!$A$6:$A$405,0),"")))</f>
        <v/>
      </c>
      <c r="AO2261" s="16">
        <f>IF(OR($B2261="",$C2261="",$D2261=""),"",DATE($C2261+2018,$D2261,1))</f>
        <v/>
      </c>
    </row>
    <row r="2262">
      <c r="A2262" s="11" t="n"/>
      <c r="B2262" s="12" t="n"/>
      <c r="C2262" s="12" t="n"/>
      <c r="D2262" s="12" t="n"/>
      <c r="E2262" s="13" t="n"/>
      <c r="F2262" s="12" t="n"/>
      <c r="G2262" s="13" t="n"/>
      <c r="H2262" s="12" t="n"/>
      <c r="I2262" s="12" t="n"/>
      <c r="J2262" s="12" t="n"/>
      <c r="K2262" s="12" t="n"/>
      <c r="L2262" s="11" t="n"/>
      <c r="M2262" s="11" t="n"/>
      <c r="N2262" s="11" t="n"/>
      <c r="O2262" s="11" t="n"/>
      <c r="P2262" s="12" t="n"/>
      <c r="Q2262" s="11" t="n"/>
      <c r="R2262" s="12" t="n"/>
      <c r="S2262" s="11" t="n"/>
      <c r="T2262" s="12" t="n"/>
      <c r="U2262" s="12" t="n"/>
      <c r="V2262" s="14">
        <f>IF($AN2262="",IF($B2262="","",$H2262),IF(INDEX(職員マスタ!$B$6:$B$405,$AN2262)="",$H2262,INDEX(職員マスタ!$B$6:$B$405,$AN2262)))</f>
        <v/>
      </c>
      <c r="W2262" s="14">
        <f>IF($AN2262="",IF($B2262="","",$R2262),IF(INDEX(職員マスタ!$C$6:$C$405,$AN2262)="",$R2262,INDEX(職員マスタ!$C$6:$C$405,$AN2262)))</f>
        <v/>
      </c>
      <c r="X2262" s="14">
        <f>IF($AO2262="","","R"&amp;$C2262&amp;"."&amp;$D2262)</f>
        <v/>
      </c>
      <c r="Y2262" s="15">
        <f>IF($AN2262="","",IF(INDEX(職員マスタ!$K$6:$K$405,$AN2262)="","",INDEX(職員マスタ!$K$6:$K$405,$AN2262)))</f>
        <v/>
      </c>
      <c r="Z2262" s="14">
        <f>IF(OR($E2262="",$Y2262=""),"",IF($E2262&gt;=$Y2262,"×",IF($E2262&gt;=$Y2262*設定!$C$5,"△","○")))</f>
        <v/>
      </c>
      <c r="AA2262" s="15">
        <f>IF($Z2262="","",IF($Z2262="×",0,IF($Z2262="○",ROUNDDOWN($E2262*設定!$C$4,0),ROUNDDOWN($E2262*ROUND((9*$Y2262-9*$E2262)/(10*$E2262),4),0))))</f>
        <v/>
      </c>
      <c r="AB2262" s="13" t="n"/>
      <c r="AC2262" s="15">
        <f>IF($B2262="","",IF($AB2262&lt;&gt;"",$AB2262,IF($AA2262="","",IF($AA2262&lt;=設定!$C$3,0,$AA2262))))</f>
        <v/>
      </c>
      <c r="AD2262" s="14">
        <f>IF($B2262="","",IF(AND($AE2262&lt;&gt;"",$AG2262="",$AJ2262=""),"保留中",IF($AJ2262&lt;&gt;"",IF(N($AC2262)&gt;0,"支給済","不支給"),IF($AC2262="","要確認",IF($AC2262=0,"不支給","未処理")))))</f>
        <v/>
      </c>
      <c r="AE2262" s="12" t="n"/>
      <c r="AF2262" s="11" t="n"/>
      <c r="AG2262" s="11" t="n"/>
      <c r="AH2262" s="11" t="n"/>
      <c r="AI2262" s="14">
        <f>IF(AND($AD2262="保留中",$AF2262&lt;&gt;""),TODAY()-$AF2262,"")</f>
        <v/>
      </c>
      <c r="AJ2262" s="12" t="n"/>
      <c r="AK2262" s="14">
        <f>IF($B2262="","",IF($AO2262="","対象年月が未入力／","")&amp;IF($B2262="","",IF($AN2262="","職員マスタに未登録の職員番号／",IF($Y2262="","標準報酬月額が未登録／","")&amp;IF(AND($AO2262&lt;&gt;"",OR(AND(INDEX(職員マスタ!$G$6:$G$405,$AN2262)&lt;&gt;"",INDEX(職員マスタ!$G$6:$G$405,$AN2262)&gt;EOMONTH($AO2262,0)),AND(INDEX(職員マスタ!$H$6:$H$405,$AN2262)&lt;&gt;"",INDEX(職員マスタ!$H$6:$H$405,$AN2262)&lt;$AO2262))),"対象月が時短期間外／","")&amp;IF(AND(INDEX(職員マスタ!$F$6:$F$405,$AN2262)&lt;&gt;"",$AO2262&lt;&gt;"",INDEX(職員マスタ!$F$6:$F$405,$AN2262)&lt;$AO2262),"対象月に子が2歳到達済／","")&amp;IF(AND($H2262&lt;&gt;"",INDEX(職員マスタ!$B$6:$B$405,$AN2262)&lt;&gt;"",SUBSTITUTE(SUBSTITUTE($H2262," ","")," ","")&lt;&gt;SUBSTITUTE(SUBSTITUTE(INDEX(職員マスタ!$B$6:$B$405,$AN2262)," ","")," ","")),"氏名がマスタと相違／","")&amp;IF(AND($Q2262&lt;&gt;"",INDEX(職員マスタ!$E$6:$E$405,$AN2262)&lt;&gt;"",$Q2262&lt;&gt;INDEX(職員マスタ!$E$6:$E$405,$AN2262)),"子の生年月日がマスタと相違／","")&amp;IF(AND($L2262&lt;&gt;"",INDEX(職員マスタ!$G$6:$G$405,$AN2262)&lt;&gt;"",$L2262&lt;&gt;INDEX(職員マスタ!$G$6:$G$405,$AN2262)),"時短開始日がマスタと相違／","")&amp;IF(AND($M2262&lt;&gt;"",INDEX(職員マスタ!$H$6:$H$405,$AN2262)&lt;&gt;"",$M2262&lt;&gt;INDEX(職員マスタ!$H$6:$H$405,$AN2262)),"時短終了日がマスタと相違／","")))&amp;IF(AND($B2262&lt;&gt;"",$E2262=""),"報酬額が未入力／","")&amp;IF(N($U2262)&gt;0,"申請書に入力エラーが残っています／","")&amp;IF(AND($B2262&lt;&gt;"",$AO2262&lt;&gt;""),IF(COUNTIFS($B$6:$B$3005,$B2262,$C$6:$C$3005,$C2262,$D$6:$D$3005,$D2262)&gt;1,"同じ月の請求が重複しています／",""),"")&amp;IF(AND(N($E2262)&gt;0,$Z2262&lt;&gt;"",$Z2262&lt;&gt;"×",$AC2262=0,$AB2262=""),"計算額が下限以下のため不支給／",""))</f>
        <v/>
      </c>
      <c r="AL2262" s="12" t="n"/>
      <c r="AM2262" s="14">
        <f>IF($AD2262="保留中",COUNTIF($AD$6:$AD2262,"保留中"),"")</f>
        <v/>
      </c>
      <c r="AN2262" s="14">
        <f>IF($AO2262="","",IF(SUMPRODUCT(MAX((職員マスタ!$A$6:$A$405=$B2262)*(((職員マスタ!$G$6:$G$405="")+(職員マスタ!$G$6:$G$405&lt;=EOMONTH($AO2262,0)))&gt;0)*(((職員マスタ!$H$6:$H$405="")+(職員マスタ!$H$6:$H$405&gt;=$AO2262))&gt;0)*(ROW(職員マスタ!$A$6:$A$405)-5)))&gt;0,SUMPRODUCT(MAX((職員マスタ!$A$6:$A$405=$B2262)*(((職員マスタ!$G$6:$G$405="")+(職員マスタ!$G$6:$G$405&lt;=EOMONTH($AO2262,0)))&gt;0)*(((職員マスタ!$H$6:$H$405="")+(職員マスタ!$H$6:$H$405&gt;=$AO2262))&gt;0)*(ROW(職員マスタ!$A$6:$A$405)-5))),IFERROR(MATCH($B2262,職員マスタ!$A$6:$A$405,0),"")))</f>
        <v/>
      </c>
      <c r="AO2262" s="16">
        <f>IF(OR($B2262="",$C2262="",$D2262=""),"",DATE($C2262+2018,$D2262,1))</f>
        <v/>
      </c>
    </row>
    <row r="2263">
      <c r="A2263" s="11" t="n"/>
      <c r="B2263" s="12" t="n"/>
      <c r="C2263" s="12" t="n"/>
      <c r="D2263" s="12" t="n"/>
      <c r="E2263" s="13" t="n"/>
      <c r="F2263" s="12" t="n"/>
      <c r="G2263" s="13" t="n"/>
      <c r="H2263" s="12" t="n"/>
      <c r="I2263" s="12" t="n"/>
      <c r="J2263" s="12" t="n"/>
      <c r="K2263" s="12" t="n"/>
      <c r="L2263" s="11" t="n"/>
      <c r="M2263" s="11" t="n"/>
      <c r="N2263" s="11" t="n"/>
      <c r="O2263" s="11" t="n"/>
      <c r="P2263" s="12" t="n"/>
      <c r="Q2263" s="11" t="n"/>
      <c r="R2263" s="12" t="n"/>
      <c r="S2263" s="11" t="n"/>
      <c r="T2263" s="12" t="n"/>
      <c r="U2263" s="12" t="n"/>
      <c r="V2263" s="14">
        <f>IF($AN2263="",IF($B2263="","",$H2263),IF(INDEX(職員マスタ!$B$6:$B$405,$AN2263)="",$H2263,INDEX(職員マスタ!$B$6:$B$405,$AN2263)))</f>
        <v/>
      </c>
      <c r="W2263" s="14">
        <f>IF($AN2263="",IF($B2263="","",$R2263),IF(INDEX(職員マスタ!$C$6:$C$405,$AN2263)="",$R2263,INDEX(職員マスタ!$C$6:$C$405,$AN2263)))</f>
        <v/>
      </c>
      <c r="X2263" s="14">
        <f>IF($AO2263="","","R"&amp;$C2263&amp;"."&amp;$D2263)</f>
        <v/>
      </c>
      <c r="Y2263" s="15">
        <f>IF($AN2263="","",IF(INDEX(職員マスタ!$K$6:$K$405,$AN2263)="","",INDEX(職員マスタ!$K$6:$K$405,$AN2263)))</f>
        <v/>
      </c>
      <c r="Z2263" s="14">
        <f>IF(OR($E2263="",$Y2263=""),"",IF($E2263&gt;=$Y2263,"×",IF($E2263&gt;=$Y2263*設定!$C$5,"△","○")))</f>
        <v/>
      </c>
      <c r="AA2263" s="15">
        <f>IF($Z2263="","",IF($Z2263="×",0,IF($Z2263="○",ROUNDDOWN($E2263*設定!$C$4,0),ROUNDDOWN($E2263*ROUND((9*$Y2263-9*$E2263)/(10*$E2263),4),0))))</f>
        <v/>
      </c>
      <c r="AB2263" s="13" t="n"/>
      <c r="AC2263" s="15">
        <f>IF($B2263="","",IF($AB2263&lt;&gt;"",$AB2263,IF($AA2263="","",IF($AA2263&lt;=設定!$C$3,0,$AA2263))))</f>
        <v/>
      </c>
      <c r="AD2263" s="14">
        <f>IF($B2263="","",IF(AND($AE2263&lt;&gt;"",$AG2263="",$AJ2263=""),"保留中",IF($AJ2263&lt;&gt;"",IF(N($AC2263)&gt;0,"支給済","不支給"),IF($AC2263="","要確認",IF($AC2263=0,"不支給","未処理")))))</f>
        <v/>
      </c>
      <c r="AE2263" s="12" t="n"/>
      <c r="AF2263" s="11" t="n"/>
      <c r="AG2263" s="11" t="n"/>
      <c r="AH2263" s="11" t="n"/>
      <c r="AI2263" s="14">
        <f>IF(AND($AD2263="保留中",$AF2263&lt;&gt;""),TODAY()-$AF2263,"")</f>
        <v/>
      </c>
      <c r="AJ2263" s="12" t="n"/>
      <c r="AK2263" s="14">
        <f>IF($B2263="","",IF($AO2263="","対象年月が未入力／","")&amp;IF($B2263="","",IF($AN2263="","職員マスタに未登録の職員番号／",IF($Y2263="","標準報酬月額が未登録／","")&amp;IF(AND($AO2263&lt;&gt;"",OR(AND(INDEX(職員マスタ!$G$6:$G$405,$AN2263)&lt;&gt;"",INDEX(職員マスタ!$G$6:$G$405,$AN2263)&gt;EOMONTH($AO2263,0)),AND(INDEX(職員マスタ!$H$6:$H$405,$AN2263)&lt;&gt;"",INDEX(職員マスタ!$H$6:$H$405,$AN2263)&lt;$AO2263))),"対象月が時短期間外／","")&amp;IF(AND(INDEX(職員マスタ!$F$6:$F$405,$AN2263)&lt;&gt;"",$AO2263&lt;&gt;"",INDEX(職員マスタ!$F$6:$F$405,$AN2263)&lt;$AO2263),"対象月に子が2歳到達済／","")&amp;IF(AND($H2263&lt;&gt;"",INDEX(職員マスタ!$B$6:$B$405,$AN2263)&lt;&gt;"",SUBSTITUTE(SUBSTITUTE($H2263," ","")," ","")&lt;&gt;SUBSTITUTE(SUBSTITUTE(INDEX(職員マスタ!$B$6:$B$405,$AN2263)," ","")," ","")),"氏名がマスタと相違／","")&amp;IF(AND($Q2263&lt;&gt;"",INDEX(職員マスタ!$E$6:$E$405,$AN2263)&lt;&gt;"",$Q2263&lt;&gt;INDEX(職員マスタ!$E$6:$E$405,$AN2263)),"子の生年月日がマスタと相違／","")&amp;IF(AND($L2263&lt;&gt;"",INDEX(職員マスタ!$G$6:$G$405,$AN2263)&lt;&gt;"",$L2263&lt;&gt;INDEX(職員マスタ!$G$6:$G$405,$AN2263)),"時短開始日がマスタと相違／","")&amp;IF(AND($M2263&lt;&gt;"",INDEX(職員マスタ!$H$6:$H$405,$AN2263)&lt;&gt;"",$M2263&lt;&gt;INDEX(職員マスタ!$H$6:$H$405,$AN2263)),"時短終了日がマスタと相違／","")))&amp;IF(AND($B2263&lt;&gt;"",$E2263=""),"報酬額が未入力／","")&amp;IF(N($U2263)&gt;0,"申請書に入力エラーが残っています／","")&amp;IF(AND($B2263&lt;&gt;"",$AO2263&lt;&gt;""),IF(COUNTIFS($B$6:$B$3005,$B2263,$C$6:$C$3005,$C2263,$D$6:$D$3005,$D2263)&gt;1,"同じ月の請求が重複しています／",""),"")&amp;IF(AND(N($E2263)&gt;0,$Z2263&lt;&gt;"",$Z2263&lt;&gt;"×",$AC2263=0,$AB2263=""),"計算額が下限以下のため不支給／",""))</f>
        <v/>
      </c>
      <c r="AL2263" s="12" t="n"/>
      <c r="AM2263" s="14">
        <f>IF($AD2263="保留中",COUNTIF($AD$6:$AD2263,"保留中"),"")</f>
        <v/>
      </c>
      <c r="AN2263" s="14">
        <f>IF($AO2263="","",IF(SUMPRODUCT(MAX((職員マスタ!$A$6:$A$405=$B2263)*(((職員マスタ!$G$6:$G$405="")+(職員マスタ!$G$6:$G$405&lt;=EOMONTH($AO2263,0)))&gt;0)*(((職員マスタ!$H$6:$H$405="")+(職員マスタ!$H$6:$H$405&gt;=$AO2263))&gt;0)*(ROW(職員マスタ!$A$6:$A$405)-5)))&gt;0,SUMPRODUCT(MAX((職員マスタ!$A$6:$A$405=$B2263)*(((職員マスタ!$G$6:$G$405="")+(職員マスタ!$G$6:$G$405&lt;=EOMONTH($AO2263,0)))&gt;0)*(((職員マスタ!$H$6:$H$405="")+(職員マスタ!$H$6:$H$405&gt;=$AO2263))&gt;0)*(ROW(職員マスタ!$A$6:$A$405)-5))),IFERROR(MATCH($B2263,職員マスタ!$A$6:$A$405,0),"")))</f>
        <v/>
      </c>
      <c r="AO2263" s="16">
        <f>IF(OR($B2263="",$C2263="",$D2263=""),"",DATE($C2263+2018,$D2263,1))</f>
        <v/>
      </c>
    </row>
    <row r="2264">
      <c r="A2264" s="11" t="n"/>
      <c r="B2264" s="12" t="n"/>
      <c r="C2264" s="12" t="n"/>
      <c r="D2264" s="12" t="n"/>
      <c r="E2264" s="13" t="n"/>
      <c r="F2264" s="12" t="n"/>
      <c r="G2264" s="13" t="n"/>
      <c r="H2264" s="12" t="n"/>
      <c r="I2264" s="12" t="n"/>
      <c r="J2264" s="12" t="n"/>
      <c r="K2264" s="12" t="n"/>
      <c r="L2264" s="11" t="n"/>
      <c r="M2264" s="11" t="n"/>
      <c r="N2264" s="11" t="n"/>
      <c r="O2264" s="11" t="n"/>
      <c r="P2264" s="12" t="n"/>
      <c r="Q2264" s="11" t="n"/>
      <c r="R2264" s="12" t="n"/>
      <c r="S2264" s="11" t="n"/>
      <c r="T2264" s="12" t="n"/>
      <c r="U2264" s="12" t="n"/>
      <c r="V2264" s="14">
        <f>IF($AN2264="",IF($B2264="","",$H2264),IF(INDEX(職員マスタ!$B$6:$B$405,$AN2264)="",$H2264,INDEX(職員マスタ!$B$6:$B$405,$AN2264)))</f>
        <v/>
      </c>
      <c r="W2264" s="14">
        <f>IF($AN2264="",IF($B2264="","",$R2264),IF(INDEX(職員マスタ!$C$6:$C$405,$AN2264)="",$R2264,INDEX(職員マスタ!$C$6:$C$405,$AN2264)))</f>
        <v/>
      </c>
      <c r="X2264" s="14">
        <f>IF($AO2264="","","R"&amp;$C2264&amp;"."&amp;$D2264)</f>
        <v/>
      </c>
      <c r="Y2264" s="15">
        <f>IF($AN2264="","",IF(INDEX(職員マスタ!$K$6:$K$405,$AN2264)="","",INDEX(職員マスタ!$K$6:$K$405,$AN2264)))</f>
        <v/>
      </c>
      <c r="Z2264" s="14">
        <f>IF(OR($E2264="",$Y2264=""),"",IF($E2264&gt;=$Y2264,"×",IF($E2264&gt;=$Y2264*設定!$C$5,"△","○")))</f>
        <v/>
      </c>
      <c r="AA2264" s="15">
        <f>IF($Z2264="","",IF($Z2264="×",0,IF($Z2264="○",ROUNDDOWN($E2264*設定!$C$4,0),ROUNDDOWN($E2264*ROUND((9*$Y2264-9*$E2264)/(10*$E2264),4),0))))</f>
        <v/>
      </c>
      <c r="AB2264" s="13" t="n"/>
      <c r="AC2264" s="15">
        <f>IF($B2264="","",IF($AB2264&lt;&gt;"",$AB2264,IF($AA2264="","",IF($AA2264&lt;=設定!$C$3,0,$AA2264))))</f>
        <v/>
      </c>
      <c r="AD2264" s="14">
        <f>IF($B2264="","",IF(AND($AE2264&lt;&gt;"",$AG2264="",$AJ2264=""),"保留中",IF($AJ2264&lt;&gt;"",IF(N($AC2264)&gt;0,"支給済","不支給"),IF($AC2264="","要確認",IF($AC2264=0,"不支給","未処理")))))</f>
        <v/>
      </c>
      <c r="AE2264" s="12" t="n"/>
      <c r="AF2264" s="11" t="n"/>
      <c r="AG2264" s="11" t="n"/>
      <c r="AH2264" s="11" t="n"/>
      <c r="AI2264" s="14">
        <f>IF(AND($AD2264="保留中",$AF2264&lt;&gt;""),TODAY()-$AF2264,"")</f>
        <v/>
      </c>
      <c r="AJ2264" s="12" t="n"/>
      <c r="AK2264" s="14">
        <f>IF($B2264="","",IF($AO2264="","対象年月が未入力／","")&amp;IF($B2264="","",IF($AN2264="","職員マスタに未登録の職員番号／",IF($Y2264="","標準報酬月額が未登録／","")&amp;IF(AND($AO2264&lt;&gt;"",OR(AND(INDEX(職員マスタ!$G$6:$G$405,$AN2264)&lt;&gt;"",INDEX(職員マスタ!$G$6:$G$405,$AN2264)&gt;EOMONTH($AO2264,0)),AND(INDEX(職員マスタ!$H$6:$H$405,$AN2264)&lt;&gt;"",INDEX(職員マスタ!$H$6:$H$405,$AN2264)&lt;$AO2264))),"対象月が時短期間外／","")&amp;IF(AND(INDEX(職員マスタ!$F$6:$F$405,$AN2264)&lt;&gt;"",$AO2264&lt;&gt;"",INDEX(職員マスタ!$F$6:$F$405,$AN2264)&lt;$AO2264),"対象月に子が2歳到達済／","")&amp;IF(AND($H2264&lt;&gt;"",INDEX(職員マスタ!$B$6:$B$405,$AN2264)&lt;&gt;"",SUBSTITUTE(SUBSTITUTE($H2264," ","")," ","")&lt;&gt;SUBSTITUTE(SUBSTITUTE(INDEX(職員マスタ!$B$6:$B$405,$AN2264)," ","")," ","")),"氏名がマスタと相違／","")&amp;IF(AND($Q2264&lt;&gt;"",INDEX(職員マスタ!$E$6:$E$405,$AN2264)&lt;&gt;"",$Q2264&lt;&gt;INDEX(職員マスタ!$E$6:$E$405,$AN2264)),"子の生年月日がマスタと相違／","")&amp;IF(AND($L2264&lt;&gt;"",INDEX(職員マスタ!$G$6:$G$405,$AN2264)&lt;&gt;"",$L2264&lt;&gt;INDEX(職員マスタ!$G$6:$G$405,$AN2264)),"時短開始日がマスタと相違／","")&amp;IF(AND($M2264&lt;&gt;"",INDEX(職員マスタ!$H$6:$H$405,$AN2264)&lt;&gt;"",$M2264&lt;&gt;INDEX(職員マスタ!$H$6:$H$405,$AN2264)),"時短終了日がマスタと相違／","")))&amp;IF(AND($B2264&lt;&gt;"",$E2264=""),"報酬額が未入力／","")&amp;IF(N($U2264)&gt;0,"申請書に入力エラーが残っています／","")&amp;IF(AND($B2264&lt;&gt;"",$AO2264&lt;&gt;""),IF(COUNTIFS($B$6:$B$3005,$B2264,$C$6:$C$3005,$C2264,$D$6:$D$3005,$D2264)&gt;1,"同じ月の請求が重複しています／",""),"")&amp;IF(AND(N($E2264)&gt;0,$Z2264&lt;&gt;"",$Z2264&lt;&gt;"×",$AC2264=0,$AB2264=""),"計算額が下限以下のため不支給／",""))</f>
        <v/>
      </c>
      <c r="AL2264" s="12" t="n"/>
      <c r="AM2264" s="14">
        <f>IF($AD2264="保留中",COUNTIF($AD$6:$AD2264,"保留中"),"")</f>
        <v/>
      </c>
      <c r="AN2264" s="14">
        <f>IF($AO2264="","",IF(SUMPRODUCT(MAX((職員マスタ!$A$6:$A$405=$B2264)*(((職員マスタ!$G$6:$G$405="")+(職員マスタ!$G$6:$G$405&lt;=EOMONTH($AO2264,0)))&gt;0)*(((職員マスタ!$H$6:$H$405="")+(職員マスタ!$H$6:$H$405&gt;=$AO2264))&gt;0)*(ROW(職員マスタ!$A$6:$A$405)-5)))&gt;0,SUMPRODUCT(MAX((職員マスタ!$A$6:$A$405=$B2264)*(((職員マスタ!$G$6:$G$405="")+(職員マスタ!$G$6:$G$405&lt;=EOMONTH($AO2264,0)))&gt;0)*(((職員マスタ!$H$6:$H$405="")+(職員マスタ!$H$6:$H$405&gt;=$AO2264))&gt;0)*(ROW(職員マスタ!$A$6:$A$405)-5))),IFERROR(MATCH($B2264,職員マスタ!$A$6:$A$405,0),"")))</f>
        <v/>
      </c>
      <c r="AO2264" s="16">
        <f>IF(OR($B2264="",$C2264="",$D2264=""),"",DATE($C2264+2018,$D2264,1))</f>
        <v/>
      </c>
    </row>
    <row r="2265">
      <c r="A2265" s="11" t="n"/>
      <c r="B2265" s="12" t="n"/>
      <c r="C2265" s="12" t="n"/>
      <c r="D2265" s="12" t="n"/>
      <c r="E2265" s="13" t="n"/>
      <c r="F2265" s="12" t="n"/>
      <c r="G2265" s="13" t="n"/>
      <c r="H2265" s="12" t="n"/>
      <c r="I2265" s="12" t="n"/>
      <c r="J2265" s="12" t="n"/>
      <c r="K2265" s="12" t="n"/>
      <c r="L2265" s="11" t="n"/>
      <c r="M2265" s="11" t="n"/>
      <c r="N2265" s="11" t="n"/>
      <c r="O2265" s="11" t="n"/>
      <c r="P2265" s="12" t="n"/>
      <c r="Q2265" s="11" t="n"/>
      <c r="R2265" s="12" t="n"/>
      <c r="S2265" s="11" t="n"/>
      <c r="T2265" s="12" t="n"/>
      <c r="U2265" s="12" t="n"/>
      <c r="V2265" s="14">
        <f>IF($AN2265="",IF($B2265="","",$H2265),IF(INDEX(職員マスタ!$B$6:$B$405,$AN2265)="",$H2265,INDEX(職員マスタ!$B$6:$B$405,$AN2265)))</f>
        <v/>
      </c>
      <c r="W2265" s="14">
        <f>IF($AN2265="",IF($B2265="","",$R2265),IF(INDEX(職員マスタ!$C$6:$C$405,$AN2265)="",$R2265,INDEX(職員マスタ!$C$6:$C$405,$AN2265)))</f>
        <v/>
      </c>
      <c r="X2265" s="14">
        <f>IF($AO2265="","","R"&amp;$C2265&amp;"."&amp;$D2265)</f>
        <v/>
      </c>
      <c r="Y2265" s="15">
        <f>IF($AN2265="","",IF(INDEX(職員マスタ!$K$6:$K$405,$AN2265)="","",INDEX(職員マスタ!$K$6:$K$405,$AN2265)))</f>
        <v/>
      </c>
      <c r="Z2265" s="14">
        <f>IF(OR($E2265="",$Y2265=""),"",IF($E2265&gt;=$Y2265,"×",IF($E2265&gt;=$Y2265*設定!$C$5,"△","○")))</f>
        <v/>
      </c>
      <c r="AA2265" s="15">
        <f>IF($Z2265="","",IF($Z2265="×",0,IF($Z2265="○",ROUNDDOWN($E2265*設定!$C$4,0),ROUNDDOWN($E2265*ROUND((9*$Y2265-9*$E2265)/(10*$E2265),4),0))))</f>
        <v/>
      </c>
      <c r="AB2265" s="13" t="n"/>
      <c r="AC2265" s="15">
        <f>IF($B2265="","",IF($AB2265&lt;&gt;"",$AB2265,IF($AA2265="","",IF($AA2265&lt;=設定!$C$3,0,$AA2265))))</f>
        <v/>
      </c>
      <c r="AD2265" s="14">
        <f>IF($B2265="","",IF(AND($AE2265&lt;&gt;"",$AG2265="",$AJ2265=""),"保留中",IF($AJ2265&lt;&gt;"",IF(N($AC2265)&gt;0,"支給済","不支給"),IF($AC2265="","要確認",IF($AC2265=0,"不支給","未処理")))))</f>
        <v/>
      </c>
      <c r="AE2265" s="12" t="n"/>
      <c r="AF2265" s="11" t="n"/>
      <c r="AG2265" s="11" t="n"/>
      <c r="AH2265" s="11" t="n"/>
      <c r="AI2265" s="14">
        <f>IF(AND($AD2265="保留中",$AF2265&lt;&gt;""),TODAY()-$AF2265,"")</f>
        <v/>
      </c>
      <c r="AJ2265" s="12" t="n"/>
      <c r="AK2265" s="14">
        <f>IF($B2265="","",IF($AO2265="","対象年月が未入力／","")&amp;IF($B2265="","",IF($AN2265="","職員マスタに未登録の職員番号／",IF($Y2265="","標準報酬月額が未登録／","")&amp;IF(AND($AO2265&lt;&gt;"",OR(AND(INDEX(職員マスタ!$G$6:$G$405,$AN2265)&lt;&gt;"",INDEX(職員マスタ!$G$6:$G$405,$AN2265)&gt;EOMONTH($AO2265,0)),AND(INDEX(職員マスタ!$H$6:$H$405,$AN2265)&lt;&gt;"",INDEX(職員マスタ!$H$6:$H$405,$AN2265)&lt;$AO2265))),"対象月が時短期間外／","")&amp;IF(AND(INDEX(職員マスタ!$F$6:$F$405,$AN2265)&lt;&gt;"",$AO2265&lt;&gt;"",INDEX(職員マスタ!$F$6:$F$405,$AN2265)&lt;$AO2265),"対象月に子が2歳到達済／","")&amp;IF(AND($H2265&lt;&gt;"",INDEX(職員マスタ!$B$6:$B$405,$AN2265)&lt;&gt;"",SUBSTITUTE(SUBSTITUTE($H2265," ","")," ","")&lt;&gt;SUBSTITUTE(SUBSTITUTE(INDEX(職員マスタ!$B$6:$B$405,$AN2265)," ","")," ","")),"氏名がマスタと相違／","")&amp;IF(AND($Q2265&lt;&gt;"",INDEX(職員マスタ!$E$6:$E$405,$AN2265)&lt;&gt;"",$Q2265&lt;&gt;INDEX(職員マスタ!$E$6:$E$405,$AN2265)),"子の生年月日がマスタと相違／","")&amp;IF(AND($L2265&lt;&gt;"",INDEX(職員マスタ!$G$6:$G$405,$AN2265)&lt;&gt;"",$L2265&lt;&gt;INDEX(職員マスタ!$G$6:$G$405,$AN2265)),"時短開始日がマスタと相違／","")&amp;IF(AND($M2265&lt;&gt;"",INDEX(職員マスタ!$H$6:$H$405,$AN2265)&lt;&gt;"",$M2265&lt;&gt;INDEX(職員マスタ!$H$6:$H$405,$AN2265)),"時短終了日がマスタと相違／","")))&amp;IF(AND($B2265&lt;&gt;"",$E2265=""),"報酬額が未入力／","")&amp;IF(N($U2265)&gt;0,"申請書に入力エラーが残っています／","")&amp;IF(AND($B2265&lt;&gt;"",$AO2265&lt;&gt;""),IF(COUNTIFS($B$6:$B$3005,$B2265,$C$6:$C$3005,$C2265,$D$6:$D$3005,$D2265)&gt;1,"同じ月の請求が重複しています／",""),"")&amp;IF(AND(N($E2265)&gt;0,$Z2265&lt;&gt;"",$Z2265&lt;&gt;"×",$AC2265=0,$AB2265=""),"計算額が下限以下のため不支給／",""))</f>
        <v/>
      </c>
      <c r="AL2265" s="12" t="n"/>
      <c r="AM2265" s="14">
        <f>IF($AD2265="保留中",COUNTIF($AD$6:$AD2265,"保留中"),"")</f>
        <v/>
      </c>
      <c r="AN2265" s="14">
        <f>IF($AO2265="","",IF(SUMPRODUCT(MAX((職員マスタ!$A$6:$A$405=$B2265)*(((職員マスタ!$G$6:$G$405="")+(職員マスタ!$G$6:$G$405&lt;=EOMONTH($AO2265,0)))&gt;0)*(((職員マスタ!$H$6:$H$405="")+(職員マスタ!$H$6:$H$405&gt;=$AO2265))&gt;0)*(ROW(職員マスタ!$A$6:$A$405)-5)))&gt;0,SUMPRODUCT(MAX((職員マスタ!$A$6:$A$405=$B2265)*(((職員マスタ!$G$6:$G$405="")+(職員マスタ!$G$6:$G$405&lt;=EOMONTH($AO2265,0)))&gt;0)*(((職員マスタ!$H$6:$H$405="")+(職員マスタ!$H$6:$H$405&gt;=$AO2265))&gt;0)*(ROW(職員マスタ!$A$6:$A$405)-5))),IFERROR(MATCH($B2265,職員マスタ!$A$6:$A$405,0),"")))</f>
        <v/>
      </c>
      <c r="AO2265" s="16">
        <f>IF(OR($B2265="",$C2265="",$D2265=""),"",DATE($C2265+2018,$D2265,1))</f>
        <v/>
      </c>
    </row>
    <row r="2266">
      <c r="A2266" s="11" t="n"/>
      <c r="B2266" s="12" t="n"/>
      <c r="C2266" s="12" t="n"/>
      <c r="D2266" s="12" t="n"/>
      <c r="E2266" s="13" t="n"/>
      <c r="F2266" s="12" t="n"/>
      <c r="G2266" s="13" t="n"/>
      <c r="H2266" s="12" t="n"/>
      <c r="I2266" s="12" t="n"/>
      <c r="J2266" s="12" t="n"/>
      <c r="K2266" s="12" t="n"/>
      <c r="L2266" s="11" t="n"/>
      <c r="M2266" s="11" t="n"/>
      <c r="N2266" s="11" t="n"/>
      <c r="O2266" s="11" t="n"/>
      <c r="P2266" s="12" t="n"/>
      <c r="Q2266" s="11" t="n"/>
      <c r="R2266" s="12" t="n"/>
      <c r="S2266" s="11" t="n"/>
      <c r="T2266" s="12" t="n"/>
      <c r="U2266" s="12" t="n"/>
      <c r="V2266" s="14">
        <f>IF($AN2266="",IF($B2266="","",$H2266),IF(INDEX(職員マスタ!$B$6:$B$405,$AN2266)="",$H2266,INDEX(職員マスタ!$B$6:$B$405,$AN2266)))</f>
        <v/>
      </c>
      <c r="W2266" s="14">
        <f>IF($AN2266="",IF($B2266="","",$R2266),IF(INDEX(職員マスタ!$C$6:$C$405,$AN2266)="",$R2266,INDEX(職員マスタ!$C$6:$C$405,$AN2266)))</f>
        <v/>
      </c>
      <c r="X2266" s="14">
        <f>IF($AO2266="","","R"&amp;$C2266&amp;"."&amp;$D2266)</f>
        <v/>
      </c>
      <c r="Y2266" s="15">
        <f>IF($AN2266="","",IF(INDEX(職員マスタ!$K$6:$K$405,$AN2266)="","",INDEX(職員マスタ!$K$6:$K$405,$AN2266)))</f>
        <v/>
      </c>
      <c r="Z2266" s="14">
        <f>IF(OR($E2266="",$Y2266=""),"",IF($E2266&gt;=$Y2266,"×",IF($E2266&gt;=$Y2266*設定!$C$5,"△","○")))</f>
        <v/>
      </c>
      <c r="AA2266" s="15">
        <f>IF($Z2266="","",IF($Z2266="×",0,IF($Z2266="○",ROUNDDOWN($E2266*設定!$C$4,0),ROUNDDOWN($E2266*ROUND((9*$Y2266-9*$E2266)/(10*$E2266),4),0))))</f>
        <v/>
      </c>
      <c r="AB2266" s="13" t="n"/>
      <c r="AC2266" s="15">
        <f>IF($B2266="","",IF($AB2266&lt;&gt;"",$AB2266,IF($AA2266="","",IF($AA2266&lt;=設定!$C$3,0,$AA2266))))</f>
        <v/>
      </c>
      <c r="AD2266" s="14">
        <f>IF($B2266="","",IF(AND($AE2266&lt;&gt;"",$AG2266="",$AJ2266=""),"保留中",IF($AJ2266&lt;&gt;"",IF(N($AC2266)&gt;0,"支給済","不支給"),IF($AC2266="","要確認",IF($AC2266=0,"不支給","未処理")))))</f>
        <v/>
      </c>
      <c r="AE2266" s="12" t="n"/>
      <c r="AF2266" s="11" t="n"/>
      <c r="AG2266" s="11" t="n"/>
      <c r="AH2266" s="11" t="n"/>
      <c r="AI2266" s="14">
        <f>IF(AND($AD2266="保留中",$AF2266&lt;&gt;""),TODAY()-$AF2266,"")</f>
        <v/>
      </c>
      <c r="AJ2266" s="12" t="n"/>
      <c r="AK2266" s="14">
        <f>IF($B2266="","",IF($AO2266="","対象年月が未入力／","")&amp;IF($B2266="","",IF($AN2266="","職員マスタに未登録の職員番号／",IF($Y2266="","標準報酬月額が未登録／","")&amp;IF(AND($AO2266&lt;&gt;"",OR(AND(INDEX(職員マスタ!$G$6:$G$405,$AN2266)&lt;&gt;"",INDEX(職員マスタ!$G$6:$G$405,$AN2266)&gt;EOMONTH($AO2266,0)),AND(INDEX(職員マスタ!$H$6:$H$405,$AN2266)&lt;&gt;"",INDEX(職員マスタ!$H$6:$H$405,$AN2266)&lt;$AO2266))),"対象月が時短期間外／","")&amp;IF(AND(INDEX(職員マスタ!$F$6:$F$405,$AN2266)&lt;&gt;"",$AO2266&lt;&gt;"",INDEX(職員マスタ!$F$6:$F$405,$AN2266)&lt;$AO2266),"対象月に子が2歳到達済／","")&amp;IF(AND($H2266&lt;&gt;"",INDEX(職員マスタ!$B$6:$B$405,$AN2266)&lt;&gt;"",SUBSTITUTE(SUBSTITUTE($H2266," ","")," ","")&lt;&gt;SUBSTITUTE(SUBSTITUTE(INDEX(職員マスタ!$B$6:$B$405,$AN2266)," ","")," ","")),"氏名がマスタと相違／","")&amp;IF(AND($Q2266&lt;&gt;"",INDEX(職員マスタ!$E$6:$E$405,$AN2266)&lt;&gt;"",$Q2266&lt;&gt;INDEX(職員マスタ!$E$6:$E$405,$AN2266)),"子の生年月日がマスタと相違／","")&amp;IF(AND($L2266&lt;&gt;"",INDEX(職員マスタ!$G$6:$G$405,$AN2266)&lt;&gt;"",$L2266&lt;&gt;INDEX(職員マスタ!$G$6:$G$405,$AN2266)),"時短開始日がマスタと相違／","")&amp;IF(AND($M2266&lt;&gt;"",INDEX(職員マスタ!$H$6:$H$405,$AN2266)&lt;&gt;"",$M2266&lt;&gt;INDEX(職員マスタ!$H$6:$H$405,$AN2266)),"時短終了日がマスタと相違／","")))&amp;IF(AND($B2266&lt;&gt;"",$E2266=""),"報酬額が未入力／","")&amp;IF(N($U2266)&gt;0,"申請書に入力エラーが残っています／","")&amp;IF(AND($B2266&lt;&gt;"",$AO2266&lt;&gt;""),IF(COUNTIFS($B$6:$B$3005,$B2266,$C$6:$C$3005,$C2266,$D$6:$D$3005,$D2266)&gt;1,"同じ月の請求が重複しています／",""),"")&amp;IF(AND(N($E2266)&gt;0,$Z2266&lt;&gt;"",$Z2266&lt;&gt;"×",$AC2266=0,$AB2266=""),"計算額が下限以下のため不支給／",""))</f>
        <v/>
      </c>
      <c r="AL2266" s="12" t="n"/>
      <c r="AM2266" s="14">
        <f>IF($AD2266="保留中",COUNTIF($AD$6:$AD2266,"保留中"),"")</f>
        <v/>
      </c>
      <c r="AN2266" s="14">
        <f>IF($AO2266="","",IF(SUMPRODUCT(MAX((職員マスタ!$A$6:$A$405=$B2266)*(((職員マスタ!$G$6:$G$405="")+(職員マスタ!$G$6:$G$405&lt;=EOMONTH($AO2266,0)))&gt;0)*(((職員マスタ!$H$6:$H$405="")+(職員マスタ!$H$6:$H$405&gt;=$AO2266))&gt;0)*(ROW(職員マスタ!$A$6:$A$405)-5)))&gt;0,SUMPRODUCT(MAX((職員マスタ!$A$6:$A$405=$B2266)*(((職員マスタ!$G$6:$G$405="")+(職員マスタ!$G$6:$G$405&lt;=EOMONTH($AO2266,0)))&gt;0)*(((職員マスタ!$H$6:$H$405="")+(職員マスタ!$H$6:$H$405&gt;=$AO2266))&gt;0)*(ROW(職員マスタ!$A$6:$A$405)-5))),IFERROR(MATCH($B2266,職員マスタ!$A$6:$A$405,0),"")))</f>
        <v/>
      </c>
      <c r="AO2266" s="16">
        <f>IF(OR($B2266="",$C2266="",$D2266=""),"",DATE($C2266+2018,$D2266,1))</f>
        <v/>
      </c>
    </row>
    <row r="2267">
      <c r="A2267" s="11" t="n"/>
      <c r="B2267" s="12" t="n"/>
      <c r="C2267" s="12" t="n"/>
      <c r="D2267" s="12" t="n"/>
      <c r="E2267" s="13" t="n"/>
      <c r="F2267" s="12" t="n"/>
      <c r="G2267" s="13" t="n"/>
      <c r="H2267" s="12" t="n"/>
      <c r="I2267" s="12" t="n"/>
      <c r="J2267" s="12" t="n"/>
      <c r="K2267" s="12" t="n"/>
      <c r="L2267" s="11" t="n"/>
      <c r="M2267" s="11" t="n"/>
      <c r="N2267" s="11" t="n"/>
      <c r="O2267" s="11" t="n"/>
      <c r="P2267" s="12" t="n"/>
      <c r="Q2267" s="11" t="n"/>
      <c r="R2267" s="12" t="n"/>
      <c r="S2267" s="11" t="n"/>
      <c r="T2267" s="12" t="n"/>
      <c r="U2267" s="12" t="n"/>
      <c r="V2267" s="14">
        <f>IF($AN2267="",IF($B2267="","",$H2267),IF(INDEX(職員マスタ!$B$6:$B$405,$AN2267)="",$H2267,INDEX(職員マスタ!$B$6:$B$405,$AN2267)))</f>
        <v/>
      </c>
      <c r="W2267" s="14">
        <f>IF($AN2267="",IF($B2267="","",$R2267),IF(INDEX(職員マスタ!$C$6:$C$405,$AN2267)="",$R2267,INDEX(職員マスタ!$C$6:$C$405,$AN2267)))</f>
        <v/>
      </c>
      <c r="X2267" s="14">
        <f>IF($AO2267="","","R"&amp;$C2267&amp;"."&amp;$D2267)</f>
        <v/>
      </c>
      <c r="Y2267" s="15">
        <f>IF($AN2267="","",IF(INDEX(職員マスタ!$K$6:$K$405,$AN2267)="","",INDEX(職員マスタ!$K$6:$K$405,$AN2267)))</f>
        <v/>
      </c>
      <c r="Z2267" s="14">
        <f>IF(OR($E2267="",$Y2267=""),"",IF($E2267&gt;=$Y2267,"×",IF($E2267&gt;=$Y2267*設定!$C$5,"△","○")))</f>
        <v/>
      </c>
      <c r="AA2267" s="15">
        <f>IF($Z2267="","",IF($Z2267="×",0,IF($Z2267="○",ROUNDDOWN($E2267*設定!$C$4,0),ROUNDDOWN($E2267*ROUND((9*$Y2267-9*$E2267)/(10*$E2267),4),0))))</f>
        <v/>
      </c>
      <c r="AB2267" s="13" t="n"/>
      <c r="AC2267" s="15">
        <f>IF($B2267="","",IF($AB2267&lt;&gt;"",$AB2267,IF($AA2267="","",IF($AA2267&lt;=設定!$C$3,0,$AA2267))))</f>
        <v/>
      </c>
      <c r="AD2267" s="14">
        <f>IF($B2267="","",IF(AND($AE2267&lt;&gt;"",$AG2267="",$AJ2267=""),"保留中",IF($AJ2267&lt;&gt;"",IF(N($AC2267)&gt;0,"支給済","不支給"),IF($AC2267="","要確認",IF($AC2267=0,"不支給","未処理")))))</f>
        <v/>
      </c>
      <c r="AE2267" s="12" t="n"/>
      <c r="AF2267" s="11" t="n"/>
      <c r="AG2267" s="11" t="n"/>
      <c r="AH2267" s="11" t="n"/>
      <c r="AI2267" s="14">
        <f>IF(AND($AD2267="保留中",$AF2267&lt;&gt;""),TODAY()-$AF2267,"")</f>
        <v/>
      </c>
      <c r="AJ2267" s="12" t="n"/>
      <c r="AK2267" s="14">
        <f>IF($B2267="","",IF($AO2267="","対象年月が未入力／","")&amp;IF($B2267="","",IF($AN2267="","職員マスタに未登録の職員番号／",IF($Y2267="","標準報酬月額が未登録／","")&amp;IF(AND($AO2267&lt;&gt;"",OR(AND(INDEX(職員マスタ!$G$6:$G$405,$AN2267)&lt;&gt;"",INDEX(職員マスタ!$G$6:$G$405,$AN2267)&gt;EOMONTH($AO2267,0)),AND(INDEX(職員マスタ!$H$6:$H$405,$AN2267)&lt;&gt;"",INDEX(職員マスタ!$H$6:$H$405,$AN2267)&lt;$AO2267))),"対象月が時短期間外／","")&amp;IF(AND(INDEX(職員マスタ!$F$6:$F$405,$AN2267)&lt;&gt;"",$AO2267&lt;&gt;"",INDEX(職員マスタ!$F$6:$F$405,$AN2267)&lt;$AO2267),"対象月に子が2歳到達済／","")&amp;IF(AND($H2267&lt;&gt;"",INDEX(職員マスタ!$B$6:$B$405,$AN2267)&lt;&gt;"",SUBSTITUTE(SUBSTITUTE($H2267," ","")," ","")&lt;&gt;SUBSTITUTE(SUBSTITUTE(INDEX(職員マスタ!$B$6:$B$405,$AN2267)," ","")," ","")),"氏名がマスタと相違／","")&amp;IF(AND($Q2267&lt;&gt;"",INDEX(職員マスタ!$E$6:$E$405,$AN2267)&lt;&gt;"",$Q2267&lt;&gt;INDEX(職員マスタ!$E$6:$E$405,$AN2267)),"子の生年月日がマスタと相違／","")&amp;IF(AND($L2267&lt;&gt;"",INDEX(職員マスタ!$G$6:$G$405,$AN2267)&lt;&gt;"",$L2267&lt;&gt;INDEX(職員マスタ!$G$6:$G$405,$AN2267)),"時短開始日がマスタと相違／","")&amp;IF(AND($M2267&lt;&gt;"",INDEX(職員マスタ!$H$6:$H$405,$AN2267)&lt;&gt;"",$M2267&lt;&gt;INDEX(職員マスタ!$H$6:$H$405,$AN2267)),"時短終了日がマスタと相違／","")))&amp;IF(AND($B2267&lt;&gt;"",$E2267=""),"報酬額が未入力／","")&amp;IF(N($U2267)&gt;0,"申請書に入力エラーが残っています／","")&amp;IF(AND($B2267&lt;&gt;"",$AO2267&lt;&gt;""),IF(COUNTIFS($B$6:$B$3005,$B2267,$C$6:$C$3005,$C2267,$D$6:$D$3005,$D2267)&gt;1,"同じ月の請求が重複しています／",""),"")&amp;IF(AND(N($E2267)&gt;0,$Z2267&lt;&gt;"",$Z2267&lt;&gt;"×",$AC2267=0,$AB2267=""),"計算額が下限以下のため不支給／",""))</f>
        <v/>
      </c>
      <c r="AL2267" s="12" t="n"/>
      <c r="AM2267" s="14">
        <f>IF($AD2267="保留中",COUNTIF($AD$6:$AD2267,"保留中"),"")</f>
        <v/>
      </c>
      <c r="AN2267" s="14">
        <f>IF($AO2267="","",IF(SUMPRODUCT(MAX((職員マスタ!$A$6:$A$405=$B2267)*(((職員マスタ!$G$6:$G$405="")+(職員マスタ!$G$6:$G$405&lt;=EOMONTH($AO2267,0)))&gt;0)*(((職員マスタ!$H$6:$H$405="")+(職員マスタ!$H$6:$H$405&gt;=$AO2267))&gt;0)*(ROW(職員マスタ!$A$6:$A$405)-5)))&gt;0,SUMPRODUCT(MAX((職員マスタ!$A$6:$A$405=$B2267)*(((職員マスタ!$G$6:$G$405="")+(職員マスタ!$G$6:$G$405&lt;=EOMONTH($AO2267,0)))&gt;0)*(((職員マスタ!$H$6:$H$405="")+(職員マスタ!$H$6:$H$405&gt;=$AO2267))&gt;0)*(ROW(職員マスタ!$A$6:$A$405)-5))),IFERROR(MATCH($B2267,職員マスタ!$A$6:$A$405,0),"")))</f>
        <v/>
      </c>
      <c r="AO2267" s="16">
        <f>IF(OR($B2267="",$C2267="",$D2267=""),"",DATE($C2267+2018,$D2267,1))</f>
        <v/>
      </c>
    </row>
    <row r="2268">
      <c r="A2268" s="11" t="n"/>
      <c r="B2268" s="12" t="n"/>
      <c r="C2268" s="12" t="n"/>
      <c r="D2268" s="12" t="n"/>
      <c r="E2268" s="13" t="n"/>
      <c r="F2268" s="12" t="n"/>
      <c r="G2268" s="13" t="n"/>
      <c r="H2268" s="12" t="n"/>
      <c r="I2268" s="12" t="n"/>
      <c r="J2268" s="12" t="n"/>
      <c r="K2268" s="12" t="n"/>
      <c r="L2268" s="11" t="n"/>
      <c r="M2268" s="11" t="n"/>
      <c r="N2268" s="11" t="n"/>
      <c r="O2268" s="11" t="n"/>
      <c r="P2268" s="12" t="n"/>
      <c r="Q2268" s="11" t="n"/>
      <c r="R2268" s="12" t="n"/>
      <c r="S2268" s="11" t="n"/>
      <c r="T2268" s="12" t="n"/>
      <c r="U2268" s="12" t="n"/>
      <c r="V2268" s="14">
        <f>IF($AN2268="",IF($B2268="","",$H2268),IF(INDEX(職員マスタ!$B$6:$B$405,$AN2268)="",$H2268,INDEX(職員マスタ!$B$6:$B$405,$AN2268)))</f>
        <v/>
      </c>
      <c r="W2268" s="14">
        <f>IF($AN2268="",IF($B2268="","",$R2268),IF(INDEX(職員マスタ!$C$6:$C$405,$AN2268)="",$R2268,INDEX(職員マスタ!$C$6:$C$405,$AN2268)))</f>
        <v/>
      </c>
      <c r="X2268" s="14">
        <f>IF($AO2268="","","R"&amp;$C2268&amp;"."&amp;$D2268)</f>
        <v/>
      </c>
      <c r="Y2268" s="15">
        <f>IF($AN2268="","",IF(INDEX(職員マスタ!$K$6:$K$405,$AN2268)="","",INDEX(職員マスタ!$K$6:$K$405,$AN2268)))</f>
        <v/>
      </c>
      <c r="Z2268" s="14">
        <f>IF(OR($E2268="",$Y2268=""),"",IF($E2268&gt;=$Y2268,"×",IF($E2268&gt;=$Y2268*設定!$C$5,"△","○")))</f>
        <v/>
      </c>
      <c r="AA2268" s="15">
        <f>IF($Z2268="","",IF($Z2268="×",0,IF($Z2268="○",ROUNDDOWN($E2268*設定!$C$4,0),ROUNDDOWN($E2268*ROUND((9*$Y2268-9*$E2268)/(10*$E2268),4),0))))</f>
        <v/>
      </c>
      <c r="AB2268" s="13" t="n"/>
      <c r="AC2268" s="15">
        <f>IF($B2268="","",IF($AB2268&lt;&gt;"",$AB2268,IF($AA2268="","",IF($AA2268&lt;=設定!$C$3,0,$AA2268))))</f>
        <v/>
      </c>
      <c r="AD2268" s="14">
        <f>IF($B2268="","",IF(AND($AE2268&lt;&gt;"",$AG2268="",$AJ2268=""),"保留中",IF($AJ2268&lt;&gt;"",IF(N($AC2268)&gt;0,"支給済","不支給"),IF($AC2268="","要確認",IF($AC2268=0,"不支給","未処理")))))</f>
        <v/>
      </c>
      <c r="AE2268" s="12" t="n"/>
      <c r="AF2268" s="11" t="n"/>
      <c r="AG2268" s="11" t="n"/>
      <c r="AH2268" s="11" t="n"/>
      <c r="AI2268" s="14">
        <f>IF(AND($AD2268="保留中",$AF2268&lt;&gt;""),TODAY()-$AF2268,"")</f>
        <v/>
      </c>
      <c r="AJ2268" s="12" t="n"/>
      <c r="AK2268" s="14">
        <f>IF($B2268="","",IF($AO2268="","対象年月が未入力／","")&amp;IF($B2268="","",IF($AN2268="","職員マスタに未登録の職員番号／",IF($Y2268="","標準報酬月額が未登録／","")&amp;IF(AND($AO2268&lt;&gt;"",OR(AND(INDEX(職員マスタ!$G$6:$G$405,$AN2268)&lt;&gt;"",INDEX(職員マスタ!$G$6:$G$405,$AN2268)&gt;EOMONTH($AO2268,0)),AND(INDEX(職員マスタ!$H$6:$H$405,$AN2268)&lt;&gt;"",INDEX(職員マスタ!$H$6:$H$405,$AN2268)&lt;$AO2268))),"対象月が時短期間外／","")&amp;IF(AND(INDEX(職員マスタ!$F$6:$F$405,$AN2268)&lt;&gt;"",$AO2268&lt;&gt;"",INDEX(職員マスタ!$F$6:$F$405,$AN2268)&lt;$AO2268),"対象月に子が2歳到達済／","")&amp;IF(AND($H2268&lt;&gt;"",INDEX(職員マスタ!$B$6:$B$405,$AN2268)&lt;&gt;"",SUBSTITUTE(SUBSTITUTE($H2268," ","")," ","")&lt;&gt;SUBSTITUTE(SUBSTITUTE(INDEX(職員マスタ!$B$6:$B$405,$AN2268)," ","")," ","")),"氏名がマスタと相違／","")&amp;IF(AND($Q2268&lt;&gt;"",INDEX(職員マスタ!$E$6:$E$405,$AN2268)&lt;&gt;"",$Q2268&lt;&gt;INDEX(職員マスタ!$E$6:$E$405,$AN2268)),"子の生年月日がマスタと相違／","")&amp;IF(AND($L2268&lt;&gt;"",INDEX(職員マスタ!$G$6:$G$405,$AN2268)&lt;&gt;"",$L2268&lt;&gt;INDEX(職員マスタ!$G$6:$G$405,$AN2268)),"時短開始日がマスタと相違／","")&amp;IF(AND($M2268&lt;&gt;"",INDEX(職員マスタ!$H$6:$H$405,$AN2268)&lt;&gt;"",$M2268&lt;&gt;INDEX(職員マスタ!$H$6:$H$405,$AN2268)),"時短終了日がマスタと相違／","")))&amp;IF(AND($B2268&lt;&gt;"",$E2268=""),"報酬額が未入力／","")&amp;IF(N($U2268)&gt;0,"申請書に入力エラーが残っています／","")&amp;IF(AND($B2268&lt;&gt;"",$AO2268&lt;&gt;""),IF(COUNTIFS($B$6:$B$3005,$B2268,$C$6:$C$3005,$C2268,$D$6:$D$3005,$D2268)&gt;1,"同じ月の請求が重複しています／",""),"")&amp;IF(AND(N($E2268)&gt;0,$Z2268&lt;&gt;"",$Z2268&lt;&gt;"×",$AC2268=0,$AB2268=""),"計算額が下限以下のため不支給／",""))</f>
        <v/>
      </c>
      <c r="AL2268" s="12" t="n"/>
      <c r="AM2268" s="14">
        <f>IF($AD2268="保留中",COUNTIF($AD$6:$AD2268,"保留中"),"")</f>
        <v/>
      </c>
      <c r="AN2268" s="14">
        <f>IF($AO2268="","",IF(SUMPRODUCT(MAX((職員マスタ!$A$6:$A$405=$B2268)*(((職員マスタ!$G$6:$G$405="")+(職員マスタ!$G$6:$G$405&lt;=EOMONTH($AO2268,0)))&gt;0)*(((職員マスタ!$H$6:$H$405="")+(職員マスタ!$H$6:$H$405&gt;=$AO2268))&gt;0)*(ROW(職員マスタ!$A$6:$A$405)-5)))&gt;0,SUMPRODUCT(MAX((職員マスタ!$A$6:$A$405=$B2268)*(((職員マスタ!$G$6:$G$405="")+(職員マスタ!$G$6:$G$405&lt;=EOMONTH($AO2268,0)))&gt;0)*(((職員マスタ!$H$6:$H$405="")+(職員マスタ!$H$6:$H$405&gt;=$AO2268))&gt;0)*(ROW(職員マスタ!$A$6:$A$405)-5))),IFERROR(MATCH($B2268,職員マスタ!$A$6:$A$405,0),"")))</f>
        <v/>
      </c>
      <c r="AO2268" s="16">
        <f>IF(OR($B2268="",$C2268="",$D2268=""),"",DATE($C2268+2018,$D2268,1))</f>
        <v/>
      </c>
    </row>
    <row r="2269">
      <c r="A2269" s="11" t="n"/>
      <c r="B2269" s="12" t="n"/>
      <c r="C2269" s="12" t="n"/>
      <c r="D2269" s="12" t="n"/>
      <c r="E2269" s="13" t="n"/>
      <c r="F2269" s="12" t="n"/>
      <c r="G2269" s="13" t="n"/>
      <c r="H2269" s="12" t="n"/>
      <c r="I2269" s="12" t="n"/>
      <c r="J2269" s="12" t="n"/>
      <c r="K2269" s="12" t="n"/>
      <c r="L2269" s="11" t="n"/>
      <c r="M2269" s="11" t="n"/>
      <c r="N2269" s="11" t="n"/>
      <c r="O2269" s="11" t="n"/>
      <c r="P2269" s="12" t="n"/>
      <c r="Q2269" s="11" t="n"/>
      <c r="R2269" s="12" t="n"/>
      <c r="S2269" s="11" t="n"/>
      <c r="T2269" s="12" t="n"/>
      <c r="U2269" s="12" t="n"/>
      <c r="V2269" s="14">
        <f>IF($AN2269="",IF($B2269="","",$H2269),IF(INDEX(職員マスタ!$B$6:$B$405,$AN2269)="",$H2269,INDEX(職員マスタ!$B$6:$B$405,$AN2269)))</f>
        <v/>
      </c>
      <c r="W2269" s="14">
        <f>IF($AN2269="",IF($B2269="","",$R2269),IF(INDEX(職員マスタ!$C$6:$C$405,$AN2269)="",$R2269,INDEX(職員マスタ!$C$6:$C$405,$AN2269)))</f>
        <v/>
      </c>
      <c r="X2269" s="14">
        <f>IF($AO2269="","","R"&amp;$C2269&amp;"."&amp;$D2269)</f>
        <v/>
      </c>
      <c r="Y2269" s="15">
        <f>IF($AN2269="","",IF(INDEX(職員マスタ!$K$6:$K$405,$AN2269)="","",INDEX(職員マスタ!$K$6:$K$405,$AN2269)))</f>
        <v/>
      </c>
      <c r="Z2269" s="14">
        <f>IF(OR($E2269="",$Y2269=""),"",IF($E2269&gt;=$Y2269,"×",IF($E2269&gt;=$Y2269*設定!$C$5,"△","○")))</f>
        <v/>
      </c>
      <c r="AA2269" s="15">
        <f>IF($Z2269="","",IF($Z2269="×",0,IF($Z2269="○",ROUNDDOWN($E2269*設定!$C$4,0),ROUNDDOWN($E2269*ROUND((9*$Y2269-9*$E2269)/(10*$E2269),4),0))))</f>
        <v/>
      </c>
      <c r="AB2269" s="13" t="n"/>
      <c r="AC2269" s="15">
        <f>IF($B2269="","",IF($AB2269&lt;&gt;"",$AB2269,IF($AA2269="","",IF($AA2269&lt;=設定!$C$3,0,$AA2269))))</f>
        <v/>
      </c>
      <c r="AD2269" s="14">
        <f>IF($B2269="","",IF(AND($AE2269&lt;&gt;"",$AG2269="",$AJ2269=""),"保留中",IF($AJ2269&lt;&gt;"",IF(N($AC2269)&gt;0,"支給済","不支給"),IF($AC2269="","要確認",IF($AC2269=0,"不支給","未処理")))))</f>
        <v/>
      </c>
      <c r="AE2269" s="12" t="n"/>
      <c r="AF2269" s="11" t="n"/>
      <c r="AG2269" s="11" t="n"/>
      <c r="AH2269" s="11" t="n"/>
      <c r="AI2269" s="14">
        <f>IF(AND($AD2269="保留中",$AF2269&lt;&gt;""),TODAY()-$AF2269,"")</f>
        <v/>
      </c>
      <c r="AJ2269" s="12" t="n"/>
      <c r="AK2269" s="14">
        <f>IF($B2269="","",IF($AO2269="","対象年月が未入力／","")&amp;IF($B2269="","",IF($AN2269="","職員マスタに未登録の職員番号／",IF($Y2269="","標準報酬月額が未登録／","")&amp;IF(AND($AO2269&lt;&gt;"",OR(AND(INDEX(職員マスタ!$G$6:$G$405,$AN2269)&lt;&gt;"",INDEX(職員マスタ!$G$6:$G$405,$AN2269)&gt;EOMONTH($AO2269,0)),AND(INDEX(職員マスタ!$H$6:$H$405,$AN2269)&lt;&gt;"",INDEX(職員マスタ!$H$6:$H$405,$AN2269)&lt;$AO2269))),"対象月が時短期間外／","")&amp;IF(AND(INDEX(職員マスタ!$F$6:$F$405,$AN2269)&lt;&gt;"",$AO2269&lt;&gt;"",INDEX(職員マスタ!$F$6:$F$405,$AN2269)&lt;$AO2269),"対象月に子が2歳到達済／","")&amp;IF(AND($H2269&lt;&gt;"",INDEX(職員マスタ!$B$6:$B$405,$AN2269)&lt;&gt;"",SUBSTITUTE(SUBSTITUTE($H2269," ","")," ","")&lt;&gt;SUBSTITUTE(SUBSTITUTE(INDEX(職員マスタ!$B$6:$B$405,$AN2269)," ","")," ","")),"氏名がマスタと相違／","")&amp;IF(AND($Q2269&lt;&gt;"",INDEX(職員マスタ!$E$6:$E$405,$AN2269)&lt;&gt;"",$Q2269&lt;&gt;INDEX(職員マスタ!$E$6:$E$405,$AN2269)),"子の生年月日がマスタと相違／","")&amp;IF(AND($L2269&lt;&gt;"",INDEX(職員マスタ!$G$6:$G$405,$AN2269)&lt;&gt;"",$L2269&lt;&gt;INDEX(職員マスタ!$G$6:$G$405,$AN2269)),"時短開始日がマスタと相違／","")&amp;IF(AND($M2269&lt;&gt;"",INDEX(職員マスタ!$H$6:$H$405,$AN2269)&lt;&gt;"",$M2269&lt;&gt;INDEX(職員マスタ!$H$6:$H$405,$AN2269)),"時短終了日がマスタと相違／","")))&amp;IF(AND($B2269&lt;&gt;"",$E2269=""),"報酬額が未入力／","")&amp;IF(N($U2269)&gt;0,"申請書に入力エラーが残っています／","")&amp;IF(AND($B2269&lt;&gt;"",$AO2269&lt;&gt;""),IF(COUNTIFS($B$6:$B$3005,$B2269,$C$6:$C$3005,$C2269,$D$6:$D$3005,$D2269)&gt;1,"同じ月の請求が重複しています／",""),"")&amp;IF(AND(N($E2269)&gt;0,$Z2269&lt;&gt;"",$Z2269&lt;&gt;"×",$AC2269=0,$AB2269=""),"計算額が下限以下のため不支給／",""))</f>
        <v/>
      </c>
      <c r="AL2269" s="12" t="n"/>
      <c r="AM2269" s="14">
        <f>IF($AD2269="保留中",COUNTIF($AD$6:$AD2269,"保留中"),"")</f>
        <v/>
      </c>
      <c r="AN2269" s="14">
        <f>IF($AO2269="","",IF(SUMPRODUCT(MAX((職員マスタ!$A$6:$A$405=$B2269)*(((職員マスタ!$G$6:$G$405="")+(職員マスタ!$G$6:$G$405&lt;=EOMONTH($AO2269,0)))&gt;0)*(((職員マスタ!$H$6:$H$405="")+(職員マスタ!$H$6:$H$405&gt;=$AO2269))&gt;0)*(ROW(職員マスタ!$A$6:$A$405)-5)))&gt;0,SUMPRODUCT(MAX((職員マスタ!$A$6:$A$405=$B2269)*(((職員マスタ!$G$6:$G$405="")+(職員マスタ!$G$6:$G$405&lt;=EOMONTH($AO2269,0)))&gt;0)*(((職員マスタ!$H$6:$H$405="")+(職員マスタ!$H$6:$H$405&gt;=$AO2269))&gt;0)*(ROW(職員マスタ!$A$6:$A$405)-5))),IFERROR(MATCH($B2269,職員マスタ!$A$6:$A$405,0),"")))</f>
        <v/>
      </c>
      <c r="AO2269" s="16">
        <f>IF(OR($B2269="",$C2269="",$D2269=""),"",DATE($C2269+2018,$D2269,1))</f>
        <v/>
      </c>
    </row>
    <row r="2270">
      <c r="A2270" s="11" t="n"/>
      <c r="B2270" s="12" t="n"/>
      <c r="C2270" s="12" t="n"/>
      <c r="D2270" s="12" t="n"/>
      <c r="E2270" s="13" t="n"/>
      <c r="F2270" s="12" t="n"/>
      <c r="G2270" s="13" t="n"/>
      <c r="H2270" s="12" t="n"/>
      <c r="I2270" s="12" t="n"/>
      <c r="J2270" s="12" t="n"/>
      <c r="K2270" s="12" t="n"/>
      <c r="L2270" s="11" t="n"/>
      <c r="M2270" s="11" t="n"/>
      <c r="N2270" s="11" t="n"/>
      <c r="O2270" s="11" t="n"/>
      <c r="P2270" s="12" t="n"/>
      <c r="Q2270" s="11" t="n"/>
      <c r="R2270" s="12" t="n"/>
      <c r="S2270" s="11" t="n"/>
      <c r="T2270" s="12" t="n"/>
      <c r="U2270" s="12" t="n"/>
      <c r="V2270" s="14">
        <f>IF($AN2270="",IF($B2270="","",$H2270),IF(INDEX(職員マスタ!$B$6:$B$405,$AN2270)="",$H2270,INDEX(職員マスタ!$B$6:$B$405,$AN2270)))</f>
        <v/>
      </c>
      <c r="W2270" s="14">
        <f>IF($AN2270="",IF($B2270="","",$R2270),IF(INDEX(職員マスタ!$C$6:$C$405,$AN2270)="",$R2270,INDEX(職員マスタ!$C$6:$C$405,$AN2270)))</f>
        <v/>
      </c>
      <c r="X2270" s="14">
        <f>IF($AO2270="","","R"&amp;$C2270&amp;"."&amp;$D2270)</f>
        <v/>
      </c>
      <c r="Y2270" s="15">
        <f>IF($AN2270="","",IF(INDEX(職員マスタ!$K$6:$K$405,$AN2270)="","",INDEX(職員マスタ!$K$6:$K$405,$AN2270)))</f>
        <v/>
      </c>
      <c r="Z2270" s="14">
        <f>IF(OR($E2270="",$Y2270=""),"",IF($E2270&gt;=$Y2270,"×",IF($E2270&gt;=$Y2270*設定!$C$5,"△","○")))</f>
        <v/>
      </c>
      <c r="AA2270" s="15">
        <f>IF($Z2270="","",IF($Z2270="×",0,IF($Z2270="○",ROUNDDOWN($E2270*設定!$C$4,0),ROUNDDOWN($E2270*ROUND((9*$Y2270-9*$E2270)/(10*$E2270),4),0))))</f>
        <v/>
      </c>
      <c r="AB2270" s="13" t="n"/>
      <c r="AC2270" s="15">
        <f>IF($B2270="","",IF($AB2270&lt;&gt;"",$AB2270,IF($AA2270="","",IF($AA2270&lt;=設定!$C$3,0,$AA2270))))</f>
        <v/>
      </c>
      <c r="AD2270" s="14">
        <f>IF($B2270="","",IF(AND($AE2270&lt;&gt;"",$AG2270="",$AJ2270=""),"保留中",IF($AJ2270&lt;&gt;"",IF(N($AC2270)&gt;0,"支給済","不支給"),IF($AC2270="","要確認",IF($AC2270=0,"不支給","未処理")))))</f>
        <v/>
      </c>
      <c r="AE2270" s="12" t="n"/>
      <c r="AF2270" s="11" t="n"/>
      <c r="AG2270" s="11" t="n"/>
      <c r="AH2270" s="11" t="n"/>
      <c r="AI2270" s="14">
        <f>IF(AND($AD2270="保留中",$AF2270&lt;&gt;""),TODAY()-$AF2270,"")</f>
        <v/>
      </c>
      <c r="AJ2270" s="12" t="n"/>
      <c r="AK2270" s="14">
        <f>IF($B2270="","",IF($AO2270="","対象年月が未入力／","")&amp;IF($B2270="","",IF($AN2270="","職員マスタに未登録の職員番号／",IF($Y2270="","標準報酬月額が未登録／","")&amp;IF(AND($AO2270&lt;&gt;"",OR(AND(INDEX(職員マスタ!$G$6:$G$405,$AN2270)&lt;&gt;"",INDEX(職員マスタ!$G$6:$G$405,$AN2270)&gt;EOMONTH($AO2270,0)),AND(INDEX(職員マスタ!$H$6:$H$405,$AN2270)&lt;&gt;"",INDEX(職員マスタ!$H$6:$H$405,$AN2270)&lt;$AO2270))),"対象月が時短期間外／","")&amp;IF(AND(INDEX(職員マスタ!$F$6:$F$405,$AN2270)&lt;&gt;"",$AO2270&lt;&gt;"",INDEX(職員マスタ!$F$6:$F$405,$AN2270)&lt;$AO2270),"対象月に子が2歳到達済／","")&amp;IF(AND($H2270&lt;&gt;"",INDEX(職員マスタ!$B$6:$B$405,$AN2270)&lt;&gt;"",SUBSTITUTE(SUBSTITUTE($H2270," ","")," ","")&lt;&gt;SUBSTITUTE(SUBSTITUTE(INDEX(職員マスタ!$B$6:$B$405,$AN2270)," ","")," ","")),"氏名がマスタと相違／","")&amp;IF(AND($Q2270&lt;&gt;"",INDEX(職員マスタ!$E$6:$E$405,$AN2270)&lt;&gt;"",$Q2270&lt;&gt;INDEX(職員マスタ!$E$6:$E$405,$AN2270)),"子の生年月日がマスタと相違／","")&amp;IF(AND($L2270&lt;&gt;"",INDEX(職員マスタ!$G$6:$G$405,$AN2270)&lt;&gt;"",$L2270&lt;&gt;INDEX(職員マスタ!$G$6:$G$405,$AN2270)),"時短開始日がマスタと相違／","")&amp;IF(AND($M2270&lt;&gt;"",INDEX(職員マスタ!$H$6:$H$405,$AN2270)&lt;&gt;"",$M2270&lt;&gt;INDEX(職員マスタ!$H$6:$H$405,$AN2270)),"時短終了日がマスタと相違／","")))&amp;IF(AND($B2270&lt;&gt;"",$E2270=""),"報酬額が未入力／","")&amp;IF(N($U2270)&gt;0,"申請書に入力エラーが残っています／","")&amp;IF(AND($B2270&lt;&gt;"",$AO2270&lt;&gt;""),IF(COUNTIFS($B$6:$B$3005,$B2270,$C$6:$C$3005,$C2270,$D$6:$D$3005,$D2270)&gt;1,"同じ月の請求が重複しています／",""),"")&amp;IF(AND(N($E2270)&gt;0,$Z2270&lt;&gt;"",$Z2270&lt;&gt;"×",$AC2270=0,$AB2270=""),"計算額が下限以下のため不支給／",""))</f>
        <v/>
      </c>
      <c r="AL2270" s="12" t="n"/>
      <c r="AM2270" s="14">
        <f>IF($AD2270="保留中",COUNTIF($AD$6:$AD2270,"保留中"),"")</f>
        <v/>
      </c>
      <c r="AN2270" s="14">
        <f>IF($AO2270="","",IF(SUMPRODUCT(MAX((職員マスタ!$A$6:$A$405=$B2270)*(((職員マスタ!$G$6:$G$405="")+(職員マスタ!$G$6:$G$405&lt;=EOMONTH($AO2270,0)))&gt;0)*(((職員マスタ!$H$6:$H$405="")+(職員マスタ!$H$6:$H$405&gt;=$AO2270))&gt;0)*(ROW(職員マスタ!$A$6:$A$405)-5)))&gt;0,SUMPRODUCT(MAX((職員マスタ!$A$6:$A$405=$B2270)*(((職員マスタ!$G$6:$G$405="")+(職員マスタ!$G$6:$G$405&lt;=EOMONTH($AO2270,0)))&gt;0)*(((職員マスタ!$H$6:$H$405="")+(職員マスタ!$H$6:$H$405&gt;=$AO2270))&gt;0)*(ROW(職員マスタ!$A$6:$A$405)-5))),IFERROR(MATCH($B2270,職員マスタ!$A$6:$A$405,0),"")))</f>
        <v/>
      </c>
      <c r="AO2270" s="16">
        <f>IF(OR($B2270="",$C2270="",$D2270=""),"",DATE($C2270+2018,$D2270,1))</f>
        <v/>
      </c>
    </row>
    <row r="2271">
      <c r="A2271" s="11" t="n"/>
      <c r="B2271" s="12" t="n"/>
      <c r="C2271" s="12" t="n"/>
      <c r="D2271" s="12" t="n"/>
      <c r="E2271" s="13" t="n"/>
      <c r="F2271" s="12" t="n"/>
      <c r="G2271" s="13" t="n"/>
      <c r="H2271" s="12" t="n"/>
      <c r="I2271" s="12" t="n"/>
      <c r="J2271" s="12" t="n"/>
      <c r="K2271" s="12" t="n"/>
      <c r="L2271" s="11" t="n"/>
      <c r="M2271" s="11" t="n"/>
      <c r="N2271" s="11" t="n"/>
      <c r="O2271" s="11" t="n"/>
      <c r="P2271" s="12" t="n"/>
      <c r="Q2271" s="11" t="n"/>
      <c r="R2271" s="12" t="n"/>
      <c r="S2271" s="11" t="n"/>
      <c r="T2271" s="12" t="n"/>
      <c r="U2271" s="12" t="n"/>
      <c r="V2271" s="14">
        <f>IF($AN2271="",IF($B2271="","",$H2271),IF(INDEX(職員マスタ!$B$6:$B$405,$AN2271)="",$H2271,INDEX(職員マスタ!$B$6:$B$405,$AN2271)))</f>
        <v/>
      </c>
      <c r="W2271" s="14">
        <f>IF($AN2271="",IF($B2271="","",$R2271),IF(INDEX(職員マスタ!$C$6:$C$405,$AN2271)="",$R2271,INDEX(職員マスタ!$C$6:$C$405,$AN2271)))</f>
        <v/>
      </c>
      <c r="X2271" s="14">
        <f>IF($AO2271="","","R"&amp;$C2271&amp;"."&amp;$D2271)</f>
        <v/>
      </c>
      <c r="Y2271" s="15">
        <f>IF($AN2271="","",IF(INDEX(職員マスタ!$K$6:$K$405,$AN2271)="","",INDEX(職員マスタ!$K$6:$K$405,$AN2271)))</f>
        <v/>
      </c>
      <c r="Z2271" s="14">
        <f>IF(OR($E2271="",$Y2271=""),"",IF($E2271&gt;=$Y2271,"×",IF($E2271&gt;=$Y2271*設定!$C$5,"△","○")))</f>
        <v/>
      </c>
      <c r="AA2271" s="15">
        <f>IF($Z2271="","",IF($Z2271="×",0,IF($Z2271="○",ROUNDDOWN($E2271*設定!$C$4,0),ROUNDDOWN($E2271*ROUND((9*$Y2271-9*$E2271)/(10*$E2271),4),0))))</f>
        <v/>
      </c>
      <c r="AB2271" s="13" t="n"/>
      <c r="AC2271" s="15">
        <f>IF($B2271="","",IF($AB2271&lt;&gt;"",$AB2271,IF($AA2271="","",IF($AA2271&lt;=設定!$C$3,0,$AA2271))))</f>
        <v/>
      </c>
      <c r="AD2271" s="14">
        <f>IF($B2271="","",IF(AND($AE2271&lt;&gt;"",$AG2271="",$AJ2271=""),"保留中",IF($AJ2271&lt;&gt;"",IF(N($AC2271)&gt;0,"支給済","不支給"),IF($AC2271="","要確認",IF($AC2271=0,"不支給","未処理")))))</f>
        <v/>
      </c>
      <c r="AE2271" s="12" t="n"/>
      <c r="AF2271" s="11" t="n"/>
      <c r="AG2271" s="11" t="n"/>
      <c r="AH2271" s="11" t="n"/>
      <c r="AI2271" s="14">
        <f>IF(AND($AD2271="保留中",$AF2271&lt;&gt;""),TODAY()-$AF2271,"")</f>
        <v/>
      </c>
      <c r="AJ2271" s="12" t="n"/>
      <c r="AK2271" s="14">
        <f>IF($B2271="","",IF($AO2271="","対象年月が未入力／","")&amp;IF($B2271="","",IF($AN2271="","職員マスタに未登録の職員番号／",IF($Y2271="","標準報酬月額が未登録／","")&amp;IF(AND($AO2271&lt;&gt;"",OR(AND(INDEX(職員マスタ!$G$6:$G$405,$AN2271)&lt;&gt;"",INDEX(職員マスタ!$G$6:$G$405,$AN2271)&gt;EOMONTH($AO2271,0)),AND(INDEX(職員マスタ!$H$6:$H$405,$AN2271)&lt;&gt;"",INDEX(職員マスタ!$H$6:$H$405,$AN2271)&lt;$AO2271))),"対象月が時短期間外／","")&amp;IF(AND(INDEX(職員マスタ!$F$6:$F$405,$AN2271)&lt;&gt;"",$AO2271&lt;&gt;"",INDEX(職員マスタ!$F$6:$F$405,$AN2271)&lt;$AO2271),"対象月に子が2歳到達済／","")&amp;IF(AND($H2271&lt;&gt;"",INDEX(職員マスタ!$B$6:$B$405,$AN2271)&lt;&gt;"",SUBSTITUTE(SUBSTITUTE($H2271," ","")," ","")&lt;&gt;SUBSTITUTE(SUBSTITUTE(INDEX(職員マスタ!$B$6:$B$405,$AN2271)," ","")," ","")),"氏名がマスタと相違／","")&amp;IF(AND($Q2271&lt;&gt;"",INDEX(職員マスタ!$E$6:$E$405,$AN2271)&lt;&gt;"",$Q2271&lt;&gt;INDEX(職員マスタ!$E$6:$E$405,$AN2271)),"子の生年月日がマスタと相違／","")&amp;IF(AND($L2271&lt;&gt;"",INDEX(職員マスタ!$G$6:$G$405,$AN2271)&lt;&gt;"",$L2271&lt;&gt;INDEX(職員マスタ!$G$6:$G$405,$AN2271)),"時短開始日がマスタと相違／","")&amp;IF(AND($M2271&lt;&gt;"",INDEX(職員マスタ!$H$6:$H$405,$AN2271)&lt;&gt;"",$M2271&lt;&gt;INDEX(職員マスタ!$H$6:$H$405,$AN2271)),"時短終了日がマスタと相違／","")))&amp;IF(AND($B2271&lt;&gt;"",$E2271=""),"報酬額が未入力／","")&amp;IF(N($U2271)&gt;0,"申請書に入力エラーが残っています／","")&amp;IF(AND($B2271&lt;&gt;"",$AO2271&lt;&gt;""),IF(COUNTIFS($B$6:$B$3005,$B2271,$C$6:$C$3005,$C2271,$D$6:$D$3005,$D2271)&gt;1,"同じ月の請求が重複しています／",""),"")&amp;IF(AND(N($E2271)&gt;0,$Z2271&lt;&gt;"",$Z2271&lt;&gt;"×",$AC2271=0,$AB2271=""),"計算額が下限以下のため不支給／",""))</f>
        <v/>
      </c>
      <c r="AL2271" s="12" t="n"/>
      <c r="AM2271" s="14">
        <f>IF($AD2271="保留中",COUNTIF($AD$6:$AD2271,"保留中"),"")</f>
        <v/>
      </c>
      <c r="AN2271" s="14">
        <f>IF($AO2271="","",IF(SUMPRODUCT(MAX((職員マスタ!$A$6:$A$405=$B2271)*(((職員マスタ!$G$6:$G$405="")+(職員マスタ!$G$6:$G$405&lt;=EOMONTH($AO2271,0)))&gt;0)*(((職員マスタ!$H$6:$H$405="")+(職員マスタ!$H$6:$H$405&gt;=$AO2271))&gt;0)*(ROW(職員マスタ!$A$6:$A$405)-5)))&gt;0,SUMPRODUCT(MAX((職員マスタ!$A$6:$A$405=$B2271)*(((職員マスタ!$G$6:$G$405="")+(職員マスタ!$G$6:$G$405&lt;=EOMONTH($AO2271,0)))&gt;0)*(((職員マスタ!$H$6:$H$405="")+(職員マスタ!$H$6:$H$405&gt;=$AO2271))&gt;0)*(ROW(職員マスタ!$A$6:$A$405)-5))),IFERROR(MATCH($B2271,職員マスタ!$A$6:$A$405,0),"")))</f>
        <v/>
      </c>
      <c r="AO2271" s="16">
        <f>IF(OR($B2271="",$C2271="",$D2271=""),"",DATE($C2271+2018,$D2271,1))</f>
        <v/>
      </c>
    </row>
    <row r="2272">
      <c r="A2272" s="11" t="n"/>
      <c r="B2272" s="12" t="n"/>
      <c r="C2272" s="12" t="n"/>
      <c r="D2272" s="12" t="n"/>
      <c r="E2272" s="13" t="n"/>
      <c r="F2272" s="12" t="n"/>
      <c r="G2272" s="13" t="n"/>
      <c r="H2272" s="12" t="n"/>
      <c r="I2272" s="12" t="n"/>
      <c r="J2272" s="12" t="n"/>
      <c r="K2272" s="12" t="n"/>
      <c r="L2272" s="11" t="n"/>
      <c r="M2272" s="11" t="n"/>
      <c r="N2272" s="11" t="n"/>
      <c r="O2272" s="11" t="n"/>
      <c r="P2272" s="12" t="n"/>
      <c r="Q2272" s="11" t="n"/>
      <c r="R2272" s="12" t="n"/>
      <c r="S2272" s="11" t="n"/>
      <c r="T2272" s="12" t="n"/>
      <c r="U2272" s="12" t="n"/>
      <c r="V2272" s="14">
        <f>IF($AN2272="",IF($B2272="","",$H2272),IF(INDEX(職員マスタ!$B$6:$B$405,$AN2272)="",$H2272,INDEX(職員マスタ!$B$6:$B$405,$AN2272)))</f>
        <v/>
      </c>
      <c r="W2272" s="14">
        <f>IF($AN2272="",IF($B2272="","",$R2272),IF(INDEX(職員マスタ!$C$6:$C$405,$AN2272)="",$R2272,INDEX(職員マスタ!$C$6:$C$405,$AN2272)))</f>
        <v/>
      </c>
      <c r="X2272" s="14">
        <f>IF($AO2272="","","R"&amp;$C2272&amp;"."&amp;$D2272)</f>
        <v/>
      </c>
      <c r="Y2272" s="15">
        <f>IF($AN2272="","",IF(INDEX(職員マスタ!$K$6:$K$405,$AN2272)="","",INDEX(職員マスタ!$K$6:$K$405,$AN2272)))</f>
        <v/>
      </c>
      <c r="Z2272" s="14">
        <f>IF(OR($E2272="",$Y2272=""),"",IF($E2272&gt;=$Y2272,"×",IF($E2272&gt;=$Y2272*設定!$C$5,"△","○")))</f>
        <v/>
      </c>
      <c r="AA2272" s="15">
        <f>IF($Z2272="","",IF($Z2272="×",0,IF($Z2272="○",ROUNDDOWN($E2272*設定!$C$4,0),ROUNDDOWN($E2272*ROUND((9*$Y2272-9*$E2272)/(10*$E2272),4),0))))</f>
        <v/>
      </c>
      <c r="AB2272" s="13" t="n"/>
      <c r="AC2272" s="15">
        <f>IF($B2272="","",IF($AB2272&lt;&gt;"",$AB2272,IF($AA2272="","",IF($AA2272&lt;=設定!$C$3,0,$AA2272))))</f>
        <v/>
      </c>
      <c r="AD2272" s="14">
        <f>IF($B2272="","",IF(AND($AE2272&lt;&gt;"",$AG2272="",$AJ2272=""),"保留中",IF($AJ2272&lt;&gt;"",IF(N($AC2272)&gt;0,"支給済","不支給"),IF($AC2272="","要確認",IF($AC2272=0,"不支給","未処理")))))</f>
        <v/>
      </c>
      <c r="AE2272" s="12" t="n"/>
      <c r="AF2272" s="11" t="n"/>
      <c r="AG2272" s="11" t="n"/>
      <c r="AH2272" s="11" t="n"/>
      <c r="AI2272" s="14">
        <f>IF(AND($AD2272="保留中",$AF2272&lt;&gt;""),TODAY()-$AF2272,"")</f>
        <v/>
      </c>
      <c r="AJ2272" s="12" t="n"/>
      <c r="AK2272" s="14">
        <f>IF($B2272="","",IF($AO2272="","対象年月が未入力／","")&amp;IF($B2272="","",IF($AN2272="","職員マスタに未登録の職員番号／",IF($Y2272="","標準報酬月額が未登録／","")&amp;IF(AND($AO2272&lt;&gt;"",OR(AND(INDEX(職員マスタ!$G$6:$G$405,$AN2272)&lt;&gt;"",INDEX(職員マスタ!$G$6:$G$405,$AN2272)&gt;EOMONTH($AO2272,0)),AND(INDEX(職員マスタ!$H$6:$H$405,$AN2272)&lt;&gt;"",INDEX(職員マスタ!$H$6:$H$405,$AN2272)&lt;$AO2272))),"対象月が時短期間外／","")&amp;IF(AND(INDEX(職員マスタ!$F$6:$F$405,$AN2272)&lt;&gt;"",$AO2272&lt;&gt;"",INDEX(職員マスタ!$F$6:$F$405,$AN2272)&lt;$AO2272),"対象月に子が2歳到達済／","")&amp;IF(AND($H2272&lt;&gt;"",INDEX(職員マスタ!$B$6:$B$405,$AN2272)&lt;&gt;"",SUBSTITUTE(SUBSTITUTE($H2272," ","")," ","")&lt;&gt;SUBSTITUTE(SUBSTITUTE(INDEX(職員マスタ!$B$6:$B$405,$AN2272)," ","")," ","")),"氏名がマスタと相違／","")&amp;IF(AND($Q2272&lt;&gt;"",INDEX(職員マスタ!$E$6:$E$405,$AN2272)&lt;&gt;"",$Q2272&lt;&gt;INDEX(職員マスタ!$E$6:$E$405,$AN2272)),"子の生年月日がマスタと相違／","")&amp;IF(AND($L2272&lt;&gt;"",INDEX(職員マスタ!$G$6:$G$405,$AN2272)&lt;&gt;"",$L2272&lt;&gt;INDEX(職員マスタ!$G$6:$G$405,$AN2272)),"時短開始日がマスタと相違／","")&amp;IF(AND($M2272&lt;&gt;"",INDEX(職員マスタ!$H$6:$H$405,$AN2272)&lt;&gt;"",$M2272&lt;&gt;INDEX(職員マスタ!$H$6:$H$405,$AN2272)),"時短終了日がマスタと相違／","")))&amp;IF(AND($B2272&lt;&gt;"",$E2272=""),"報酬額が未入力／","")&amp;IF(N($U2272)&gt;0,"申請書に入力エラーが残っています／","")&amp;IF(AND($B2272&lt;&gt;"",$AO2272&lt;&gt;""),IF(COUNTIFS($B$6:$B$3005,$B2272,$C$6:$C$3005,$C2272,$D$6:$D$3005,$D2272)&gt;1,"同じ月の請求が重複しています／",""),"")&amp;IF(AND(N($E2272)&gt;0,$Z2272&lt;&gt;"",$Z2272&lt;&gt;"×",$AC2272=0,$AB2272=""),"計算額が下限以下のため不支給／",""))</f>
        <v/>
      </c>
      <c r="AL2272" s="12" t="n"/>
      <c r="AM2272" s="14">
        <f>IF($AD2272="保留中",COUNTIF($AD$6:$AD2272,"保留中"),"")</f>
        <v/>
      </c>
      <c r="AN2272" s="14">
        <f>IF($AO2272="","",IF(SUMPRODUCT(MAX((職員マスタ!$A$6:$A$405=$B2272)*(((職員マスタ!$G$6:$G$405="")+(職員マスタ!$G$6:$G$405&lt;=EOMONTH($AO2272,0)))&gt;0)*(((職員マスタ!$H$6:$H$405="")+(職員マスタ!$H$6:$H$405&gt;=$AO2272))&gt;0)*(ROW(職員マスタ!$A$6:$A$405)-5)))&gt;0,SUMPRODUCT(MAX((職員マスタ!$A$6:$A$405=$B2272)*(((職員マスタ!$G$6:$G$405="")+(職員マスタ!$G$6:$G$405&lt;=EOMONTH($AO2272,0)))&gt;0)*(((職員マスタ!$H$6:$H$405="")+(職員マスタ!$H$6:$H$405&gt;=$AO2272))&gt;0)*(ROW(職員マスタ!$A$6:$A$405)-5))),IFERROR(MATCH($B2272,職員マスタ!$A$6:$A$405,0),"")))</f>
        <v/>
      </c>
      <c r="AO2272" s="16">
        <f>IF(OR($B2272="",$C2272="",$D2272=""),"",DATE($C2272+2018,$D2272,1))</f>
        <v/>
      </c>
    </row>
    <row r="2273">
      <c r="A2273" s="11" t="n"/>
      <c r="B2273" s="12" t="n"/>
      <c r="C2273" s="12" t="n"/>
      <c r="D2273" s="12" t="n"/>
      <c r="E2273" s="13" t="n"/>
      <c r="F2273" s="12" t="n"/>
      <c r="G2273" s="13" t="n"/>
      <c r="H2273" s="12" t="n"/>
      <c r="I2273" s="12" t="n"/>
      <c r="J2273" s="12" t="n"/>
      <c r="K2273" s="12" t="n"/>
      <c r="L2273" s="11" t="n"/>
      <c r="M2273" s="11" t="n"/>
      <c r="N2273" s="11" t="n"/>
      <c r="O2273" s="11" t="n"/>
      <c r="P2273" s="12" t="n"/>
      <c r="Q2273" s="11" t="n"/>
      <c r="R2273" s="12" t="n"/>
      <c r="S2273" s="11" t="n"/>
      <c r="T2273" s="12" t="n"/>
      <c r="U2273" s="12" t="n"/>
      <c r="V2273" s="14">
        <f>IF($AN2273="",IF($B2273="","",$H2273),IF(INDEX(職員マスタ!$B$6:$B$405,$AN2273)="",$H2273,INDEX(職員マスタ!$B$6:$B$405,$AN2273)))</f>
        <v/>
      </c>
      <c r="W2273" s="14">
        <f>IF($AN2273="",IF($B2273="","",$R2273),IF(INDEX(職員マスタ!$C$6:$C$405,$AN2273)="",$R2273,INDEX(職員マスタ!$C$6:$C$405,$AN2273)))</f>
        <v/>
      </c>
      <c r="X2273" s="14">
        <f>IF($AO2273="","","R"&amp;$C2273&amp;"."&amp;$D2273)</f>
        <v/>
      </c>
      <c r="Y2273" s="15">
        <f>IF($AN2273="","",IF(INDEX(職員マスタ!$K$6:$K$405,$AN2273)="","",INDEX(職員マスタ!$K$6:$K$405,$AN2273)))</f>
        <v/>
      </c>
      <c r="Z2273" s="14">
        <f>IF(OR($E2273="",$Y2273=""),"",IF($E2273&gt;=$Y2273,"×",IF($E2273&gt;=$Y2273*設定!$C$5,"△","○")))</f>
        <v/>
      </c>
      <c r="AA2273" s="15">
        <f>IF($Z2273="","",IF($Z2273="×",0,IF($Z2273="○",ROUNDDOWN($E2273*設定!$C$4,0),ROUNDDOWN($E2273*ROUND((9*$Y2273-9*$E2273)/(10*$E2273),4),0))))</f>
        <v/>
      </c>
      <c r="AB2273" s="13" t="n"/>
      <c r="AC2273" s="15">
        <f>IF($B2273="","",IF($AB2273&lt;&gt;"",$AB2273,IF($AA2273="","",IF($AA2273&lt;=設定!$C$3,0,$AA2273))))</f>
        <v/>
      </c>
      <c r="AD2273" s="14">
        <f>IF($B2273="","",IF(AND($AE2273&lt;&gt;"",$AG2273="",$AJ2273=""),"保留中",IF($AJ2273&lt;&gt;"",IF(N($AC2273)&gt;0,"支給済","不支給"),IF($AC2273="","要確認",IF($AC2273=0,"不支給","未処理")))))</f>
        <v/>
      </c>
      <c r="AE2273" s="12" t="n"/>
      <c r="AF2273" s="11" t="n"/>
      <c r="AG2273" s="11" t="n"/>
      <c r="AH2273" s="11" t="n"/>
      <c r="AI2273" s="14">
        <f>IF(AND($AD2273="保留中",$AF2273&lt;&gt;""),TODAY()-$AF2273,"")</f>
        <v/>
      </c>
      <c r="AJ2273" s="12" t="n"/>
      <c r="AK2273" s="14">
        <f>IF($B2273="","",IF($AO2273="","対象年月が未入力／","")&amp;IF($B2273="","",IF($AN2273="","職員マスタに未登録の職員番号／",IF($Y2273="","標準報酬月額が未登録／","")&amp;IF(AND($AO2273&lt;&gt;"",OR(AND(INDEX(職員マスタ!$G$6:$G$405,$AN2273)&lt;&gt;"",INDEX(職員マスタ!$G$6:$G$405,$AN2273)&gt;EOMONTH($AO2273,0)),AND(INDEX(職員マスタ!$H$6:$H$405,$AN2273)&lt;&gt;"",INDEX(職員マスタ!$H$6:$H$405,$AN2273)&lt;$AO2273))),"対象月が時短期間外／","")&amp;IF(AND(INDEX(職員マスタ!$F$6:$F$405,$AN2273)&lt;&gt;"",$AO2273&lt;&gt;"",INDEX(職員マスタ!$F$6:$F$405,$AN2273)&lt;$AO2273),"対象月に子が2歳到達済／","")&amp;IF(AND($H2273&lt;&gt;"",INDEX(職員マスタ!$B$6:$B$405,$AN2273)&lt;&gt;"",SUBSTITUTE(SUBSTITUTE($H2273," ","")," ","")&lt;&gt;SUBSTITUTE(SUBSTITUTE(INDEX(職員マスタ!$B$6:$B$405,$AN2273)," ","")," ","")),"氏名がマスタと相違／","")&amp;IF(AND($Q2273&lt;&gt;"",INDEX(職員マスタ!$E$6:$E$405,$AN2273)&lt;&gt;"",$Q2273&lt;&gt;INDEX(職員マスタ!$E$6:$E$405,$AN2273)),"子の生年月日がマスタと相違／","")&amp;IF(AND($L2273&lt;&gt;"",INDEX(職員マスタ!$G$6:$G$405,$AN2273)&lt;&gt;"",$L2273&lt;&gt;INDEX(職員マスタ!$G$6:$G$405,$AN2273)),"時短開始日がマスタと相違／","")&amp;IF(AND($M2273&lt;&gt;"",INDEX(職員マスタ!$H$6:$H$405,$AN2273)&lt;&gt;"",$M2273&lt;&gt;INDEX(職員マスタ!$H$6:$H$405,$AN2273)),"時短終了日がマスタと相違／","")))&amp;IF(AND($B2273&lt;&gt;"",$E2273=""),"報酬額が未入力／","")&amp;IF(N($U2273)&gt;0,"申請書に入力エラーが残っています／","")&amp;IF(AND($B2273&lt;&gt;"",$AO2273&lt;&gt;""),IF(COUNTIFS($B$6:$B$3005,$B2273,$C$6:$C$3005,$C2273,$D$6:$D$3005,$D2273)&gt;1,"同じ月の請求が重複しています／",""),"")&amp;IF(AND(N($E2273)&gt;0,$Z2273&lt;&gt;"",$Z2273&lt;&gt;"×",$AC2273=0,$AB2273=""),"計算額が下限以下のため不支給／",""))</f>
        <v/>
      </c>
      <c r="AL2273" s="12" t="n"/>
      <c r="AM2273" s="14">
        <f>IF($AD2273="保留中",COUNTIF($AD$6:$AD2273,"保留中"),"")</f>
        <v/>
      </c>
      <c r="AN2273" s="14">
        <f>IF($AO2273="","",IF(SUMPRODUCT(MAX((職員マスタ!$A$6:$A$405=$B2273)*(((職員マスタ!$G$6:$G$405="")+(職員マスタ!$G$6:$G$405&lt;=EOMONTH($AO2273,0)))&gt;0)*(((職員マスタ!$H$6:$H$405="")+(職員マスタ!$H$6:$H$405&gt;=$AO2273))&gt;0)*(ROW(職員マスタ!$A$6:$A$405)-5)))&gt;0,SUMPRODUCT(MAX((職員マスタ!$A$6:$A$405=$B2273)*(((職員マスタ!$G$6:$G$405="")+(職員マスタ!$G$6:$G$405&lt;=EOMONTH($AO2273,0)))&gt;0)*(((職員マスタ!$H$6:$H$405="")+(職員マスタ!$H$6:$H$405&gt;=$AO2273))&gt;0)*(ROW(職員マスタ!$A$6:$A$405)-5))),IFERROR(MATCH($B2273,職員マスタ!$A$6:$A$405,0),"")))</f>
        <v/>
      </c>
      <c r="AO2273" s="16">
        <f>IF(OR($B2273="",$C2273="",$D2273=""),"",DATE($C2273+2018,$D2273,1))</f>
        <v/>
      </c>
    </row>
    <row r="2274">
      <c r="A2274" s="11" t="n"/>
      <c r="B2274" s="12" t="n"/>
      <c r="C2274" s="12" t="n"/>
      <c r="D2274" s="12" t="n"/>
      <c r="E2274" s="13" t="n"/>
      <c r="F2274" s="12" t="n"/>
      <c r="G2274" s="13" t="n"/>
      <c r="H2274" s="12" t="n"/>
      <c r="I2274" s="12" t="n"/>
      <c r="J2274" s="12" t="n"/>
      <c r="K2274" s="12" t="n"/>
      <c r="L2274" s="11" t="n"/>
      <c r="M2274" s="11" t="n"/>
      <c r="N2274" s="11" t="n"/>
      <c r="O2274" s="11" t="n"/>
      <c r="P2274" s="12" t="n"/>
      <c r="Q2274" s="11" t="n"/>
      <c r="R2274" s="12" t="n"/>
      <c r="S2274" s="11" t="n"/>
      <c r="T2274" s="12" t="n"/>
      <c r="U2274" s="12" t="n"/>
      <c r="V2274" s="14">
        <f>IF($AN2274="",IF($B2274="","",$H2274),IF(INDEX(職員マスタ!$B$6:$B$405,$AN2274)="",$H2274,INDEX(職員マスタ!$B$6:$B$405,$AN2274)))</f>
        <v/>
      </c>
      <c r="W2274" s="14">
        <f>IF($AN2274="",IF($B2274="","",$R2274),IF(INDEX(職員マスタ!$C$6:$C$405,$AN2274)="",$R2274,INDEX(職員マスタ!$C$6:$C$405,$AN2274)))</f>
        <v/>
      </c>
      <c r="X2274" s="14">
        <f>IF($AO2274="","","R"&amp;$C2274&amp;"."&amp;$D2274)</f>
        <v/>
      </c>
      <c r="Y2274" s="15">
        <f>IF($AN2274="","",IF(INDEX(職員マスタ!$K$6:$K$405,$AN2274)="","",INDEX(職員マスタ!$K$6:$K$405,$AN2274)))</f>
        <v/>
      </c>
      <c r="Z2274" s="14">
        <f>IF(OR($E2274="",$Y2274=""),"",IF($E2274&gt;=$Y2274,"×",IF($E2274&gt;=$Y2274*設定!$C$5,"△","○")))</f>
        <v/>
      </c>
      <c r="AA2274" s="15">
        <f>IF($Z2274="","",IF($Z2274="×",0,IF($Z2274="○",ROUNDDOWN($E2274*設定!$C$4,0),ROUNDDOWN($E2274*ROUND((9*$Y2274-9*$E2274)/(10*$E2274),4),0))))</f>
        <v/>
      </c>
      <c r="AB2274" s="13" t="n"/>
      <c r="AC2274" s="15">
        <f>IF($B2274="","",IF($AB2274&lt;&gt;"",$AB2274,IF($AA2274="","",IF($AA2274&lt;=設定!$C$3,0,$AA2274))))</f>
        <v/>
      </c>
      <c r="AD2274" s="14">
        <f>IF($B2274="","",IF(AND($AE2274&lt;&gt;"",$AG2274="",$AJ2274=""),"保留中",IF($AJ2274&lt;&gt;"",IF(N($AC2274)&gt;0,"支給済","不支給"),IF($AC2274="","要確認",IF($AC2274=0,"不支給","未処理")))))</f>
        <v/>
      </c>
      <c r="AE2274" s="12" t="n"/>
      <c r="AF2274" s="11" t="n"/>
      <c r="AG2274" s="11" t="n"/>
      <c r="AH2274" s="11" t="n"/>
      <c r="AI2274" s="14">
        <f>IF(AND($AD2274="保留中",$AF2274&lt;&gt;""),TODAY()-$AF2274,"")</f>
        <v/>
      </c>
      <c r="AJ2274" s="12" t="n"/>
      <c r="AK2274" s="14">
        <f>IF($B2274="","",IF($AO2274="","対象年月が未入力／","")&amp;IF($B2274="","",IF($AN2274="","職員マスタに未登録の職員番号／",IF($Y2274="","標準報酬月額が未登録／","")&amp;IF(AND($AO2274&lt;&gt;"",OR(AND(INDEX(職員マスタ!$G$6:$G$405,$AN2274)&lt;&gt;"",INDEX(職員マスタ!$G$6:$G$405,$AN2274)&gt;EOMONTH($AO2274,0)),AND(INDEX(職員マスタ!$H$6:$H$405,$AN2274)&lt;&gt;"",INDEX(職員マスタ!$H$6:$H$405,$AN2274)&lt;$AO2274))),"対象月が時短期間外／","")&amp;IF(AND(INDEX(職員マスタ!$F$6:$F$405,$AN2274)&lt;&gt;"",$AO2274&lt;&gt;"",INDEX(職員マスタ!$F$6:$F$405,$AN2274)&lt;$AO2274),"対象月に子が2歳到達済／","")&amp;IF(AND($H2274&lt;&gt;"",INDEX(職員マスタ!$B$6:$B$405,$AN2274)&lt;&gt;"",SUBSTITUTE(SUBSTITUTE($H2274," ","")," ","")&lt;&gt;SUBSTITUTE(SUBSTITUTE(INDEX(職員マスタ!$B$6:$B$405,$AN2274)," ","")," ","")),"氏名がマスタと相違／","")&amp;IF(AND($Q2274&lt;&gt;"",INDEX(職員マスタ!$E$6:$E$405,$AN2274)&lt;&gt;"",$Q2274&lt;&gt;INDEX(職員マスタ!$E$6:$E$405,$AN2274)),"子の生年月日がマスタと相違／","")&amp;IF(AND($L2274&lt;&gt;"",INDEX(職員マスタ!$G$6:$G$405,$AN2274)&lt;&gt;"",$L2274&lt;&gt;INDEX(職員マスタ!$G$6:$G$405,$AN2274)),"時短開始日がマスタと相違／","")&amp;IF(AND($M2274&lt;&gt;"",INDEX(職員マスタ!$H$6:$H$405,$AN2274)&lt;&gt;"",$M2274&lt;&gt;INDEX(職員マスタ!$H$6:$H$405,$AN2274)),"時短終了日がマスタと相違／","")))&amp;IF(AND($B2274&lt;&gt;"",$E2274=""),"報酬額が未入力／","")&amp;IF(N($U2274)&gt;0,"申請書に入力エラーが残っています／","")&amp;IF(AND($B2274&lt;&gt;"",$AO2274&lt;&gt;""),IF(COUNTIFS($B$6:$B$3005,$B2274,$C$6:$C$3005,$C2274,$D$6:$D$3005,$D2274)&gt;1,"同じ月の請求が重複しています／",""),"")&amp;IF(AND(N($E2274)&gt;0,$Z2274&lt;&gt;"",$Z2274&lt;&gt;"×",$AC2274=0,$AB2274=""),"計算額が下限以下のため不支給／",""))</f>
        <v/>
      </c>
      <c r="AL2274" s="12" t="n"/>
      <c r="AM2274" s="14">
        <f>IF($AD2274="保留中",COUNTIF($AD$6:$AD2274,"保留中"),"")</f>
        <v/>
      </c>
      <c r="AN2274" s="14">
        <f>IF($AO2274="","",IF(SUMPRODUCT(MAX((職員マスタ!$A$6:$A$405=$B2274)*(((職員マスタ!$G$6:$G$405="")+(職員マスタ!$G$6:$G$405&lt;=EOMONTH($AO2274,0)))&gt;0)*(((職員マスタ!$H$6:$H$405="")+(職員マスタ!$H$6:$H$405&gt;=$AO2274))&gt;0)*(ROW(職員マスタ!$A$6:$A$405)-5)))&gt;0,SUMPRODUCT(MAX((職員マスタ!$A$6:$A$405=$B2274)*(((職員マスタ!$G$6:$G$405="")+(職員マスタ!$G$6:$G$405&lt;=EOMONTH($AO2274,0)))&gt;0)*(((職員マスタ!$H$6:$H$405="")+(職員マスタ!$H$6:$H$405&gt;=$AO2274))&gt;0)*(ROW(職員マスタ!$A$6:$A$405)-5))),IFERROR(MATCH($B2274,職員マスタ!$A$6:$A$405,0),"")))</f>
        <v/>
      </c>
      <c r="AO2274" s="16">
        <f>IF(OR($B2274="",$C2274="",$D2274=""),"",DATE($C2274+2018,$D2274,1))</f>
        <v/>
      </c>
    </row>
    <row r="2275">
      <c r="A2275" s="11" t="n"/>
      <c r="B2275" s="12" t="n"/>
      <c r="C2275" s="12" t="n"/>
      <c r="D2275" s="12" t="n"/>
      <c r="E2275" s="13" t="n"/>
      <c r="F2275" s="12" t="n"/>
      <c r="G2275" s="13" t="n"/>
      <c r="H2275" s="12" t="n"/>
      <c r="I2275" s="12" t="n"/>
      <c r="J2275" s="12" t="n"/>
      <c r="K2275" s="12" t="n"/>
      <c r="L2275" s="11" t="n"/>
      <c r="M2275" s="11" t="n"/>
      <c r="N2275" s="11" t="n"/>
      <c r="O2275" s="11" t="n"/>
      <c r="P2275" s="12" t="n"/>
      <c r="Q2275" s="11" t="n"/>
      <c r="R2275" s="12" t="n"/>
      <c r="S2275" s="11" t="n"/>
      <c r="T2275" s="12" t="n"/>
      <c r="U2275" s="12" t="n"/>
      <c r="V2275" s="14">
        <f>IF($AN2275="",IF($B2275="","",$H2275),IF(INDEX(職員マスタ!$B$6:$B$405,$AN2275)="",$H2275,INDEX(職員マスタ!$B$6:$B$405,$AN2275)))</f>
        <v/>
      </c>
      <c r="W2275" s="14">
        <f>IF($AN2275="",IF($B2275="","",$R2275),IF(INDEX(職員マスタ!$C$6:$C$405,$AN2275)="",$R2275,INDEX(職員マスタ!$C$6:$C$405,$AN2275)))</f>
        <v/>
      </c>
      <c r="X2275" s="14">
        <f>IF($AO2275="","","R"&amp;$C2275&amp;"."&amp;$D2275)</f>
        <v/>
      </c>
      <c r="Y2275" s="15">
        <f>IF($AN2275="","",IF(INDEX(職員マスタ!$K$6:$K$405,$AN2275)="","",INDEX(職員マスタ!$K$6:$K$405,$AN2275)))</f>
        <v/>
      </c>
      <c r="Z2275" s="14">
        <f>IF(OR($E2275="",$Y2275=""),"",IF($E2275&gt;=$Y2275,"×",IF($E2275&gt;=$Y2275*設定!$C$5,"△","○")))</f>
        <v/>
      </c>
      <c r="AA2275" s="15">
        <f>IF($Z2275="","",IF($Z2275="×",0,IF($Z2275="○",ROUNDDOWN($E2275*設定!$C$4,0),ROUNDDOWN($E2275*ROUND((9*$Y2275-9*$E2275)/(10*$E2275),4),0))))</f>
        <v/>
      </c>
      <c r="AB2275" s="13" t="n"/>
      <c r="AC2275" s="15">
        <f>IF($B2275="","",IF($AB2275&lt;&gt;"",$AB2275,IF($AA2275="","",IF($AA2275&lt;=設定!$C$3,0,$AA2275))))</f>
        <v/>
      </c>
      <c r="AD2275" s="14">
        <f>IF($B2275="","",IF(AND($AE2275&lt;&gt;"",$AG2275="",$AJ2275=""),"保留中",IF($AJ2275&lt;&gt;"",IF(N($AC2275)&gt;0,"支給済","不支給"),IF($AC2275="","要確認",IF($AC2275=0,"不支給","未処理")))))</f>
        <v/>
      </c>
      <c r="AE2275" s="12" t="n"/>
      <c r="AF2275" s="11" t="n"/>
      <c r="AG2275" s="11" t="n"/>
      <c r="AH2275" s="11" t="n"/>
      <c r="AI2275" s="14">
        <f>IF(AND($AD2275="保留中",$AF2275&lt;&gt;""),TODAY()-$AF2275,"")</f>
        <v/>
      </c>
      <c r="AJ2275" s="12" t="n"/>
      <c r="AK2275" s="14">
        <f>IF($B2275="","",IF($AO2275="","対象年月が未入力／","")&amp;IF($B2275="","",IF($AN2275="","職員マスタに未登録の職員番号／",IF($Y2275="","標準報酬月額が未登録／","")&amp;IF(AND($AO2275&lt;&gt;"",OR(AND(INDEX(職員マスタ!$G$6:$G$405,$AN2275)&lt;&gt;"",INDEX(職員マスタ!$G$6:$G$405,$AN2275)&gt;EOMONTH($AO2275,0)),AND(INDEX(職員マスタ!$H$6:$H$405,$AN2275)&lt;&gt;"",INDEX(職員マスタ!$H$6:$H$405,$AN2275)&lt;$AO2275))),"対象月が時短期間外／","")&amp;IF(AND(INDEX(職員マスタ!$F$6:$F$405,$AN2275)&lt;&gt;"",$AO2275&lt;&gt;"",INDEX(職員マスタ!$F$6:$F$405,$AN2275)&lt;$AO2275),"対象月に子が2歳到達済／","")&amp;IF(AND($H2275&lt;&gt;"",INDEX(職員マスタ!$B$6:$B$405,$AN2275)&lt;&gt;"",SUBSTITUTE(SUBSTITUTE($H2275," ","")," ","")&lt;&gt;SUBSTITUTE(SUBSTITUTE(INDEX(職員マスタ!$B$6:$B$405,$AN2275)," ","")," ","")),"氏名がマスタと相違／","")&amp;IF(AND($Q2275&lt;&gt;"",INDEX(職員マスタ!$E$6:$E$405,$AN2275)&lt;&gt;"",$Q2275&lt;&gt;INDEX(職員マスタ!$E$6:$E$405,$AN2275)),"子の生年月日がマスタと相違／","")&amp;IF(AND($L2275&lt;&gt;"",INDEX(職員マスタ!$G$6:$G$405,$AN2275)&lt;&gt;"",$L2275&lt;&gt;INDEX(職員マスタ!$G$6:$G$405,$AN2275)),"時短開始日がマスタと相違／","")&amp;IF(AND($M2275&lt;&gt;"",INDEX(職員マスタ!$H$6:$H$405,$AN2275)&lt;&gt;"",$M2275&lt;&gt;INDEX(職員マスタ!$H$6:$H$405,$AN2275)),"時短終了日がマスタと相違／","")))&amp;IF(AND($B2275&lt;&gt;"",$E2275=""),"報酬額が未入力／","")&amp;IF(N($U2275)&gt;0,"申請書に入力エラーが残っています／","")&amp;IF(AND($B2275&lt;&gt;"",$AO2275&lt;&gt;""),IF(COUNTIFS($B$6:$B$3005,$B2275,$C$6:$C$3005,$C2275,$D$6:$D$3005,$D2275)&gt;1,"同じ月の請求が重複しています／",""),"")&amp;IF(AND(N($E2275)&gt;0,$Z2275&lt;&gt;"",$Z2275&lt;&gt;"×",$AC2275=0,$AB2275=""),"計算額が下限以下のため不支給／",""))</f>
        <v/>
      </c>
      <c r="AL2275" s="12" t="n"/>
      <c r="AM2275" s="14">
        <f>IF($AD2275="保留中",COUNTIF($AD$6:$AD2275,"保留中"),"")</f>
        <v/>
      </c>
      <c r="AN2275" s="14">
        <f>IF($AO2275="","",IF(SUMPRODUCT(MAX((職員マスタ!$A$6:$A$405=$B2275)*(((職員マスタ!$G$6:$G$405="")+(職員マスタ!$G$6:$G$405&lt;=EOMONTH($AO2275,0)))&gt;0)*(((職員マスタ!$H$6:$H$405="")+(職員マスタ!$H$6:$H$405&gt;=$AO2275))&gt;0)*(ROW(職員マスタ!$A$6:$A$405)-5)))&gt;0,SUMPRODUCT(MAX((職員マスタ!$A$6:$A$405=$B2275)*(((職員マスタ!$G$6:$G$405="")+(職員マスタ!$G$6:$G$405&lt;=EOMONTH($AO2275,0)))&gt;0)*(((職員マスタ!$H$6:$H$405="")+(職員マスタ!$H$6:$H$405&gt;=$AO2275))&gt;0)*(ROW(職員マスタ!$A$6:$A$405)-5))),IFERROR(MATCH($B2275,職員マスタ!$A$6:$A$405,0),"")))</f>
        <v/>
      </c>
      <c r="AO2275" s="16">
        <f>IF(OR($B2275="",$C2275="",$D2275=""),"",DATE($C2275+2018,$D2275,1))</f>
        <v/>
      </c>
    </row>
    <row r="2276">
      <c r="A2276" s="11" t="n"/>
      <c r="B2276" s="12" t="n"/>
      <c r="C2276" s="12" t="n"/>
      <c r="D2276" s="12" t="n"/>
      <c r="E2276" s="13" t="n"/>
      <c r="F2276" s="12" t="n"/>
      <c r="G2276" s="13" t="n"/>
      <c r="H2276" s="12" t="n"/>
      <c r="I2276" s="12" t="n"/>
      <c r="J2276" s="12" t="n"/>
      <c r="K2276" s="12" t="n"/>
      <c r="L2276" s="11" t="n"/>
      <c r="M2276" s="11" t="n"/>
      <c r="N2276" s="11" t="n"/>
      <c r="O2276" s="11" t="n"/>
      <c r="P2276" s="12" t="n"/>
      <c r="Q2276" s="11" t="n"/>
      <c r="R2276" s="12" t="n"/>
      <c r="S2276" s="11" t="n"/>
      <c r="T2276" s="12" t="n"/>
      <c r="U2276" s="12" t="n"/>
      <c r="V2276" s="14">
        <f>IF($AN2276="",IF($B2276="","",$H2276),IF(INDEX(職員マスタ!$B$6:$B$405,$AN2276)="",$H2276,INDEX(職員マスタ!$B$6:$B$405,$AN2276)))</f>
        <v/>
      </c>
      <c r="W2276" s="14">
        <f>IF($AN2276="",IF($B2276="","",$R2276),IF(INDEX(職員マスタ!$C$6:$C$405,$AN2276)="",$R2276,INDEX(職員マスタ!$C$6:$C$405,$AN2276)))</f>
        <v/>
      </c>
      <c r="X2276" s="14">
        <f>IF($AO2276="","","R"&amp;$C2276&amp;"."&amp;$D2276)</f>
        <v/>
      </c>
      <c r="Y2276" s="15">
        <f>IF($AN2276="","",IF(INDEX(職員マスタ!$K$6:$K$405,$AN2276)="","",INDEX(職員マスタ!$K$6:$K$405,$AN2276)))</f>
        <v/>
      </c>
      <c r="Z2276" s="14">
        <f>IF(OR($E2276="",$Y2276=""),"",IF($E2276&gt;=$Y2276,"×",IF($E2276&gt;=$Y2276*設定!$C$5,"△","○")))</f>
        <v/>
      </c>
      <c r="AA2276" s="15">
        <f>IF($Z2276="","",IF($Z2276="×",0,IF($Z2276="○",ROUNDDOWN($E2276*設定!$C$4,0),ROUNDDOWN($E2276*ROUND((9*$Y2276-9*$E2276)/(10*$E2276),4),0))))</f>
        <v/>
      </c>
      <c r="AB2276" s="13" t="n"/>
      <c r="AC2276" s="15">
        <f>IF($B2276="","",IF($AB2276&lt;&gt;"",$AB2276,IF($AA2276="","",IF($AA2276&lt;=設定!$C$3,0,$AA2276))))</f>
        <v/>
      </c>
      <c r="AD2276" s="14">
        <f>IF($B2276="","",IF(AND($AE2276&lt;&gt;"",$AG2276="",$AJ2276=""),"保留中",IF($AJ2276&lt;&gt;"",IF(N($AC2276)&gt;0,"支給済","不支給"),IF($AC2276="","要確認",IF($AC2276=0,"不支給","未処理")))))</f>
        <v/>
      </c>
      <c r="AE2276" s="12" t="n"/>
      <c r="AF2276" s="11" t="n"/>
      <c r="AG2276" s="11" t="n"/>
      <c r="AH2276" s="11" t="n"/>
      <c r="AI2276" s="14">
        <f>IF(AND($AD2276="保留中",$AF2276&lt;&gt;""),TODAY()-$AF2276,"")</f>
        <v/>
      </c>
      <c r="AJ2276" s="12" t="n"/>
      <c r="AK2276" s="14">
        <f>IF($B2276="","",IF($AO2276="","対象年月が未入力／","")&amp;IF($B2276="","",IF($AN2276="","職員マスタに未登録の職員番号／",IF($Y2276="","標準報酬月額が未登録／","")&amp;IF(AND($AO2276&lt;&gt;"",OR(AND(INDEX(職員マスタ!$G$6:$G$405,$AN2276)&lt;&gt;"",INDEX(職員マスタ!$G$6:$G$405,$AN2276)&gt;EOMONTH($AO2276,0)),AND(INDEX(職員マスタ!$H$6:$H$405,$AN2276)&lt;&gt;"",INDEX(職員マスタ!$H$6:$H$405,$AN2276)&lt;$AO2276))),"対象月が時短期間外／","")&amp;IF(AND(INDEX(職員マスタ!$F$6:$F$405,$AN2276)&lt;&gt;"",$AO2276&lt;&gt;"",INDEX(職員マスタ!$F$6:$F$405,$AN2276)&lt;$AO2276),"対象月に子が2歳到達済／","")&amp;IF(AND($H2276&lt;&gt;"",INDEX(職員マスタ!$B$6:$B$405,$AN2276)&lt;&gt;"",SUBSTITUTE(SUBSTITUTE($H2276," ","")," ","")&lt;&gt;SUBSTITUTE(SUBSTITUTE(INDEX(職員マスタ!$B$6:$B$405,$AN2276)," ","")," ","")),"氏名がマスタと相違／","")&amp;IF(AND($Q2276&lt;&gt;"",INDEX(職員マスタ!$E$6:$E$405,$AN2276)&lt;&gt;"",$Q2276&lt;&gt;INDEX(職員マスタ!$E$6:$E$405,$AN2276)),"子の生年月日がマスタと相違／","")&amp;IF(AND($L2276&lt;&gt;"",INDEX(職員マスタ!$G$6:$G$405,$AN2276)&lt;&gt;"",$L2276&lt;&gt;INDEX(職員マスタ!$G$6:$G$405,$AN2276)),"時短開始日がマスタと相違／","")&amp;IF(AND($M2276&lt;&gt;"",INDEX(職員マスタ!$H$6:$H$405,$AN2276)&lt;&gt;"",$M2276&lt;&gt;INDEX(職員マスタ!$H$6:$H$405,$AN2276)),"時短終了日がマスタと相違／","")))&amp;IF(AND($B2276&lt;&gt;"",$E2276=""),"報酬額が未入力／","")&amp;IF(N($U2276)&gt;0,"申請書に入力エラーが残っています／","")&amp;IF(AND($B2276&lt;&gt;"",$AO2276&lt;&gt;""),IF(COUNTIFS($B$6:$B$3005,$B2276,$C$6:$C$3005,$C2276,$D$6:$D$3005,$D2276)&gt;1,"同じ月の請求が重複しています／",""),"")&amp;IF(AND(N($E2276)&gt;0,$Z2276&lt;&gt;"",$Z2276&lt;&gt;"×",$AC2276=0,$AB2276=""),"計算額が下限以下のため不支給／",""))</f>
        <v/>
      </c>
      <c r="AL2276" s="12" t="n"/>
      <c r="AM2276" s="14">
        <f>IF($AD2276="保留中",COUNTIF($AD$6:$AD2276,"保留中"),"")</f>
        <v/>
      </c>
      <c r="AN2276" s="14">
        <f>IF($AO2276="","",IF(SUMPRODUCT(MAX((職員マスタ!$A$6:$A$405=$B2276)*(((職員マスタ!$G$6:$G$405="")+(職員マスタ!$G$6:$G$405&lt;=EOMONTH($AO2276,0)))&gt;0)*(((職員マスタ!$H$6:$H$405="")+(職員マスタ!$H$6:$H$405&gt;=$AO2276))&gt;0)*(ROW(職員マスタ!$A$6:$A$405)-5)))&gt;0,SUMPRODUCT(MAX((職員マスタ!$A$6:$A$405=$B2276)*(((職員マスタ!$G$6:$G$405="")+(職員マスタ!$G$6:$G$405&lt;=EOMONTH($AO2276,0)))&gt;0)*(((職員マスタ!$H$6:$H$405="")+(職員マスタ!$H$6:$H$405&gt;=$AO2276))&gt;0)*(ROW(職員マスタ!$A$6:$A$405)-5))),IFERROR(MATCH($B2276,職員マスタ!$A$6:$A$405,0),"")))</f>
        <v/>
      </c>
      <c r="AO2276" s="16">
        <f>IF(OR($B2276="",$C2276="",$D2276=""),"",DATE($C2276+2018,$D2276,1))</f>
        <v/>
      </c>
    </row>
    <row r="2277">
      <c r="A2277" s="11" t="n"/>
      <c r="B2277" s="12" t="n"/>
      <c r="C2277" s="12" t="n"/>
      <c r="D2277" s="12" t="n"/>
      <c r="E2277" s="13" t="n"/>
      <c r="F2277" s="12" t="n"/>
      <c r="G2277" s="13" t="n"/>
      <c r="H2277" s="12" t="n"/>
      <c r="I2277" s="12" t="n"/>
      <c r="J2277" s="12" t="n"/>
      <c r="K2277" s="12" t="n"/>
      <c r="L2277" s="11" t="n"/>
      <c r="M2277" s="11" t="n"/>
      <c r="N2277" s="11" t="n"/>
      <c r="O2277" s="11" t="n"/>
      <c r="P2277" s="12" t="n"/>
      <c r="Q2277" s="11" t="n"/>
      <c r="R2277" s="12" t="n"/>
      <c r="S2277" s="11" t="n"/>
      <c r="T2277" s="12" t="n"/>
      <c r="U2277" s="12" t="n"/>
      <c r="V2277" s="14">
        <f>IF($AN2277="",IF($B2277="","",$H2277),IF(INDEX(職員マスタ!$B$6:$B$405,$AN2277)="",$H2277,INDEX(職員マスタ!$B$6:$B$405,$AN2277)))</f>
        <v/>
      </c>
      <c r="W2277" s="14">
        <f>IF($AN2277="",IF($B2277="","",$R2277),IF(INDEX(職員マスタ!$C$6:$C$405,$AN2277)="",$R2277,INDEX(職員マスタ!$C$6:$C$405,$AN2277)))</f>
        <v/>
      </c>
      <c r="X2277" s="14">
        <f>IF($AO2277="","","R"&amp;$C2277&amp;"."&amp;$D2277)</f>
        <v/>
      </c>
      <c r="Y2277" s="15">
        <f>IF($AN2277="","",IF(INDEX(職員マスタ!$K$6:$K$405,$AN2277)="","",INDEX(職員マスタ!$K$6:$K$405,$AN2277)))</f>
        <v/>
      </c>
      <c r="Z2277" s="14">
        <f>IF(OR($E2277="",$Y2277=""),"",IF($E2277&gt;=$Y2277,"×",IF($E2277&gt;=$Y2277*設定!$C$5,"△","○")))</f>
        <v/>
      </c>
      <c r="AA2277" s="15">
        <f>IF($Z2277="","",IF($Z2277="×",0,IF($Z2277="○",ROUNDDOWN($E2277*設定!$C$4,0),ROUNDDOWN($E2277*ROUND((9*$Y2277-9*$E2277)/(10*$E2277),4),0))))</f>
        <v/>
      </c>
      <c r="AB2277" s="13" t="n"/>
      <c r="AC2277" s="15">
        <f>IF($B2277="","",IF($AB2277&lt;&gt;"",$AB2277,IF($AA2277="","",IF($AA2277&lt;=設定!$C$3,0,$AA2277))))</f>
        <v/>
      </c>
      <c r="AD2277" s="14">
        <f>IF($B2277="","",IF(AND($AE2277&lt;&gt;"",$AG2277="",$AJ2277=""),"保留中",IF($AJ2277&lt;&gt;"",IF(N($AC2277)&gt;0,"支給済","不支給"),IF($AC2277="","要確認",IF($AC2277=0,"不支給","未処理")))))</f>
        <v/>
      </c>
      <c r="AE2277" s="12" t="n"/>
      <c r="AF2277" s="11" t="n"/>
      <c r="AG2277" s="11" t="n"/>
      <c r="AH2277" s="11" t="n"/>
      <c r="AI2277" s="14">
        <f>IF(AND($AD2277="保留中",$AF2277&lt;&gt;""),TODAY()-$AF2277,"")</f>
        <v/>
      </c>
      <c r="AJ2277" s="12" t="n"/>
      <c r="AK2277" s="14">
        <f>IF($B2277="","",IF($AO2277="","対象年月が未入力／","")&amp;IF($B2277="","",IF($AN2277="","職員マスタに未登録の職員番号／",IF($Y2277="","標準報酬月額が未登録／","")&amp;IF(AND($AO2277&lt;&gt;"",OR(AND(INDEX(職員マスタ!$G$6:$G$405,$AN2277)&lt;&gt;"",INDEX(職員マスタ!$G$6:$G$405,$AN2277)&gt;EOMONTH($AO2277,0)),AND(INDEX(職員マスタ!$H$6:$H$405,$AN2277)&lt;&gt;"",INDEX(職員マスタ!$H$6:$H$405,$AN2277)&lt;$AO2277))),"対象月が時短期間外／","")&amp;IF(AND(INDEX(職員マスタ!$F$6:$F$405,$AN2277)&lt;&gt;"",$AO2277&lt;&gt;"",INDEX(職員マスタ!$F$6:$F$405,$AN2277)&lt;$AO2277),"対象月に子が2歳到達済／","")&amp;IF(AND($H2277&lt;&gt;"",INDEX(職員マスタ!$B$6:$B$405,$AN2277)&lt;&gt;"",SUBSTITUTE(SUBSTITUTE($H2277," ","")," ","")&lt;&gt;SUBSTITUTE(SUBSTITUTE(INDEX(職員マスタ!$B$6:$B$405,$AN2277)," ","")," ","")),"氏名がマスタと相違／","")&amp;IF(AND($Q2277&lt;&gt;"",INDEX(職員マスタ!$E$6:$E$405,$AN2277)&lt;&gt;"",$Q2277&lt;&gt;INDEX(職員マスタ!$E$6:$E$405,$AN2277)),"子の生年月日がマスタと相違／","")&amp;IF(AND($L2277&lt;&gt;"",INDEX(職員マスタ!$G$6:$G$405,$AN2277)&lt;&gt;"",$L2277&lt;&gt;INDEX(職員マスタ!$G$6:$G$405,$AN2277)),"時短開始日がマスタと相違／","")&amp;IF(AND($M2277&lt;&gt;"",INDEX(職員マスタ!$H$6:$H$405,$AN2277)&lt;&gt;"",$M2277&lt;&gt;INDEX(職員マスタ!$H$6:$H$405,$AN2277)),"時短終了日がマスタと相違／","")))&amp;IF(AND($B2277&lt;&gt;"",$E2277=""),"報酬額が未入力／","")&amp;IF(N($U2277)&gt;0,"申請書に入力エラーが残っています／","")&amp;IF(AND($B2277&lt;&gt;"",$AO2277&lt;&gt;""),IF(COUNTIFS($B$6:$B$3005,$B2277,$C$6:$C$3005,$C2277,$D$6:$D$3005,$D2277)&gt;1,"同じ月の請求が重複しています／",""),"")&amp;IF(AND(N($E2277)&gt;0,$Z2277&lt;&gt;"",$Z2277&lt;&gt;"×",$AC2277=0,$AB2277=""),"計算額が下限以下のため不支給／",""))</f>
        <v/>
      </c>
      <c r="AL2277" s="12" t="n"/>
      <c r="AM2277" s="14">
        <f>IF($AD2277="保留中",COUNTIF($AD$6:$AD2277,"保留中"),"")</f>
        <v/>
      </c>
      <c r="AN2277" s="14">
        <f>IF($AO2277="","",IF(SUMPRODUCT(MAX((職員マスタ!$A$6:$A$405=$B2277)*(((職員マスタ!$G$6:$G$405="")+(職員マスタ!$G$6:$G$405&lt;=EOMONTH($AO2277,0)))&gt;0)*(((職員マスタ!$H$6:$H$405="")+(職員マスタ!$H$6:$H$405&gt;=$AO2277))&gt;0)*(ROW(職員マスタ!$A$6:$A$405)-5)))&gt;0,SUMPRODUCT(MAX((職員マスタ!$A$6:$A$405=$B2277)*(((職員マスタ!$G$6:$G$405="")+(職員マスタ!$G$6:$G$405&lt;=EOMONTH($AO2277,0)))&gt;0)*(((職員マスタ!$H$6:$H$405="")+(職員マスタ!$H$6:$H$405&gt;=$AO2277))&gt;0)*(ROW(職員マスタ!$A$6:$A$405)-5))),IFERROR(MATCH($B2277,職員マスタ!$A$6:$A$405,0),"")))</f>
        <v/>
      </c>
      <c r="AO2277" s="16">
        <f>IF(OR($B2277="",$C2277="",$D2277=""),"",DATE($C2277+2018,$D2277,1))</f>
        <v/>
      </c>
    </row>
    <row r="2278">
      <c r="A2278" s="11" t="n"/>
      <c r="B2278" s="12" t="n"/>
      <c r="C2278" s="12" t="n"/>
      <c r="D2278" s="12" t="n"/>
      <c r="E2278" s="13" t="n"/>
      <c r="F2278" s="12" t="n"/>
      <c r="G2278" s="13" t="n"/>
      <c r="H2278" s="12" t="n"/>
      <c r="I2278" s="12" t="n"/>
      <c r="J2278" s="12" t="n"/>
      <c r="K2278" s="12" t="n"/>
      <c r="L2278" s="11" t="n"/>
      <c r="M2278" s="11" t="n"/>
      <c r="N2278" s="11" t="n"/>
      <c r="O2278" s="11" t="n"/>
      <c r="P2278" s="12" t="n"/>
      <c r="Q2278" s="11" t="n"/>
      <c r="R2278" s="12" t="n"/>
      <c r="S2278" s="11" t="n"/>
      <c r="T2278" s="12" t="n"/>
      <c r="U2278" s="12" t="n"/>
      <c r="V2278" s="14">
        <f>IF($AN2278="",IF($B2278="","",$H2278),IF(INDEX(職員マスタ!$B$6:$B$405,$AN2278)="",$H2278,INDEX(職員マスタ!$B$6:$B$405,$AN2278)))</f>
        <v/>
      </c>
      <c r="W2278" s="14">
        <f>IF($AN2278="",IF($B2278="","",$R2278),IF(INDEX(職員マスタ!$C$6:$C$405,$AN2278)="",$R2278,INDEX(職員マスタ!$C$6:$C$405,$AN2278)))</f>
        <v/>
      </c>
      <c r="X2278" s="14">
        <f>IF($AO2278="","","R"&amp;$C2278&amp;"."&amp;$D2278)</f>
        <v/>
      </c>
      <c r="Y2278" s="15">
        <f>IF($AN2278="","",IF(INDEX(職員マスタ!$K$6:$K$405,$AN2278)="","",INDEX(職員マスタ!$K$6:$K$405,$AN2278)))</f>
        <v/>
      </c>
      <c r="Z2278" s="14">
        <f>IF(OR($E2278="",$Y2278=""),"",IF($E2278&gt;=$Y2278,"×",IF($E2278&gt;=$Y2278*設定!$C$5,"△","○")))</f>
        <v/>
      </c>
      <c r="AA2278" s="15">
        <f>IF($Z2278="","",IF($Z2278="×",0,IF($Z2278="○",ROUNDDOWN($E2278*設定!$C$4,0),ROUNDDOWN($E2278*ROUND((9*$Y2278-9*$E2278)/(10*$E2278),4),0))))</f>
        <v/>
      </c>
      <c r="AB2278" s="13" t="n"/>
      <c r="AC2278" s="15">
        <f>IF($B2278="","",IF($AB2278&lt;&gt;"",$AB2278,IF($AA2278="","",IF($AA2278&lt;=設定!$C$3,0,$AA2278))))</f>
        <v/>
      </c>
      <c r="AD2278" s="14">
        <f>IF($B2278="","",IF(AND($AE2278&lt;&gt;"",$AG2278="",$AJ2278=""),"保留中",IF($AJ2278&lt;&gt;"",IF(N($AC2278)&gt;0,"支給済","不支給"),IF($AC2278="","要確認",IF($AC2278=0,"不支給","未処理")))))</f>
        <v/>
      </c>
      <c r="AE2278" s="12" t="n"/>
      <c r="AF2278" s="11" t="n"/>
      <c r="AG2278" s="11" t="n"/>
      <c r="AH2278" s="11" t="n"/>
      <c r="AI2278" s="14">
        <f>IF(AND($AD2278="保留中",$AF2278&lt;&gt;""),TODAY()-$AF2278,"")</f>
        <v/>
      </c>
      <c r="AJ2278" s="12" t="n"/>
      <c r="AK2278" s="14">
        <f>IF($B2278="","",IF($AO2278="","対象年月が未入力／","")&amp;IF($B2278="","",IF($AN2278="","職員マスタに未登録の職員番号／",IF($Y2278="","標準報酬月額が未登録／","")&amp;IF(AND($AO2278&lt;&gt;"",OR(AND(INDEX(職員マスタ!$G$6:$G$405,$AN2278)&lt;&gt;"",INDEX(職員マスタ!$G$6:$G$405,$AN2278)&gt;EOMONTH($AO2278,0)),AND(INDEX(職員マスタ!$H$6:$H$405,$AN2278)&lt;&gt;"",INDEX(職員マスタ!$H$6:$H$405,$AN2278)&lt;$AO2278))),"対象月が時短期間外／","")&amp;IF(AND(INDEX(職員マスタ!$F$6:$F$405,$AN2278)&lt;&gt;"",$AO2278&lt;&gt;"",INDEX(職員マスタ!$F$6:$F$405,$AN2278)&lt;$AO2278),"対象月に子が2歳到達済／","")&amp;IF(AND($H2278&lt;&gt;"",INDEX(職員マスタ!$B$6:$B$405,$AN2278)&lt;&gt;"",SUBSTITUTE(SUBSTITUTE($H2278," ","")," ","")&lt;&gt;SUBSTITUTE(SUBSTITUTE(INDEX(職員マスタ!$B$6:$B$405,$AN2278)," ","")," ","")),"氏名がマスタと相違／","")&amp;IF(AND($Q2278&lt;&gt;"",INDEX(職員マスタ!$E$6:$E$405,$AN2278)&lt;&gt;"",$Q2278&lt;&gt;INDEX(職員マスタ!$E$6:$E$405,$AN2278)),"子の生年月日がマスタと相違／","")&amp;IF(AND($L2278&lt;&gt;"",INDEX(職員マスタ!$G$6:$G$405,$AN2278)&lt;&gt;"",$L2278&lt;&gt;INDEX(職員マスタ!$G$6:$G$405,$AN2278)),"時短開始日がマスタと相違／","")&amp;IF(AND($M2278&lt;&gt;"",INDEX(職員マスタ!$H$6:$H$405,$AN2278)&lt;&gt;"",$M2278&lt;&gt;INDEX(職員マスタ!$H$6:$H$405,$AN2278)),"時短終了日がマスタと相違／","")))&amp;IF(AND($B2278&lt;&gt;"",$E2278=""),"報酬額が未入力／","")&amp;IF(N($U2278)&gt;0,"申請書に入力エラーが残っています／","")&amp;IF(AND($B2278&lt;&gt;"",$AO2278&lt;&gt;""),IF(COUNTIFS($B$6:$B$3005,$B2278,$C$6:$C$3005,$C2278,$D$6:$D$3005,$D2278)&gt;1,"同じ月の請求が重複しています／",""),"")&amp;IF(AND(N($E2278)&gt;0,$Z2278&lt;&gt;"",$Z2278&lt;&gt;"×",$AC2278=0,$AB2278=""),"計算額が下限以下のため不支給／",""))</f>
        <v/>
      </c>
      <c r="AL2278" s="12" t="n"/>
      <c r="AM2278" s="14">
        <f>IF($AD2278="保留中",COUNTIF($AD$6:$AD2278,"保留中"),"")</f>
        <v/>
      </c>
      <c r="AN2278" s="14">
        <f>IF($AO2278="","",IF(SUMPRODUCT(MAX((職員マスタ!$A$6:$A$405=$B2278)*(((職員マスタ!$G$6:$G$405="")+(職員マスタ!$G$6:$G$405&lt;=EOMONTH($AO2278,0)))&gt;0)*(((職員マスタ!$H$6:$H$405="")+(職員マスタ!$H$6:$H$405&gt;=$AO2278))&gt;0)*(ROW(職員マスタ!$A$6:$A$405)-5)))&gt;0,SUMPRODUCT(MAX((職員マスタ!$A$6:$A$405=$B2278)*(((職員マスタ!$G$6:$G$405="")+(職員マスタ!$G$6:$G$405&lt;=EOMONTH($AO2278,0)))&gt;0)*(((職員マスタ!$H$6:$H$405="")+(職員マスタ!$H$6:$H$405&gt;=$AO2278))&gt;0)*(ROW(職員マスタ!$A$6:$A$405)-5))),IFERROR(MATCH($B2278,職員マスタ!$A$6:$A$405,0),"")))</f>
        <v/>
      </c>
      <c r="AO2278" s="16">
        <f>IF(OR($B2278="",$C2278="",$D2278=""),"",DATE($C2278+2018,$D2278,1))</f>
        <v/>
      </c>
    </row>
    <row r="2279">
      <c r="A2279" s="11" t="n"/>
      <c r="B2279" s="12" t="n"/>
      <c r="C2279" s="12" t="n"/>
      <c r="D2279" s="12" t="n"/>
      <c r="E2279" s="13" t="n"/>
      <c r="F2279" s="12" t="n"/>
      <c r="G2279" s="13" t="n"/>
      <c r="H2279" s="12" t="n"/>
      <c r="I2279" s="12" t="n"/>
      <c r="J2279" s="12" t="n"/>
      <c r="K2279" s="12" t="n"/>
      <c r="L2279" s="11" t="n"/>
      <c r="M2279" s="11" t="n"/>
      <c r="N2279" s="11" t="n"/>
      <c r="O2279" s="11" t="n"/>
      <c r="P2279" s="12" t="n"/>
      <c r="Q2279" s="11" t="n"/>
      <c r="R2279" s="12" t="n"/>
      <c r="S2279" s="11" t="n"/>
      <c r="T2279" s="12" t="n"/>
      <c r="U2279" s="12" t="n"/>
      <c r="V2279" s="14">
        <f>IF($AN2279="",IF($B2279="","",$H2279),IF(INDEX(職員マスタ!$B$6:$B$405,$AN2279)="",$H2279,INDEX(職員マスタ!$B$6:$B$405,$AN2279)))</f>
        <v/>
      </c>
      <c r="W2279" s="14">
        <f>IF($AN2279="",IF($B2279="","",$R2279),IF(INDEX(職員マスタ!$C$6:$C$405,$AN2279)="",$R2279,INDEX(職員マスタ!$C$6:$C$405,$AN2279)))</f>
        <v/>
      </c>
      <c r="X2279" s="14">
        <f>IF($AO2279="","","R"&amp;$C2279&amp;"."&amp;$D2279)</f>
        <v/>
      </c>
      <c r="Y2279" s="15">
        <f>IF($AN2279="","",IF(INDEX(職員マスタ!$K$6:$K$405,$AN2279)="","",INDEX(職員マスタ!$K$6:$K$405,$AN2279)))</f>
        <v/>
      </c>
      <c r="Z2279" s="14">
        <f>IF(OR($E2279="",$Y2279=""),"",IF($E2279&gt;=$Y2279,"×",IF($E2279&gt;=$Y2279*設定!$C$5,"△","○")))</f>
        <v/>
      </c>
      <c r="AA2279" s="15">
        <f>IF($Z2279="","",IF($Z2279="×",0,IF($Z2279="○",ROUNDDOWN($E2279*設定!$C$4,0),ROUNDDOWN($E2279*ROUND((9*$Y2279-9*$E2279)/(10*$E2279),4),0))))</f>
        <v/>
      </c>
      <c r="AB2279" s="13" t="n"/>
      <c r="AC2279" s="15">
        <f>IF($B2279="","",IF($AB2279&lt;&gt;"",$AB2279,IF($AA2279="","",IF($AA2279&lt;=設定!$C$3,0,$AA2279))))</f>
        <v/>
      </c>
      <c r="AD2279" s="14">
        <f>IF($B2279="","",IF(AND($AE2279&lt;&gt;"",$AG2279="",$AJ2279=""),"保留中",IF($AJ2279&lt;&gt;"",IF(N($AC2279)&gt;0,"支給済","不支給"),IF($AC2279="","要確認",IF($AC2279=0,"不支給","未処理")))))</f>
        <v/>
      </c>
      <c r="AE2279" s="12" t="n"/>
      <c r="AF2279" s="11" t="n"/>
      <c r="AG2279" s="11" t="n"/>
      <c r="AH2279" s="11" t="n"/>
      <c r="AI2279" s="14">
        <f>IF(AND($AD2279="保留中",$AF2279&lt;&gt;""),TODAY()-$AF2279,"")</f>
        <v/>
      </c>
      <c r="AJ2279" s="12" t="n"/>
      <c r="AK2279" s="14">
        <f>IF($B2279="","",IF($AO2279="","対象年月が未入力／","")&amp;IF($B2279="","",IF($AN2279="","職員マスタに未登録の職員番号／",IF($Y2279="","標準報酬月額が未登録／","")&amp;IF(AND($AO2279&lt;&gt;"",OR(AND(INDEX(職員マスタ!$G$6:$G$405,$AN2279)&lt;&gt;"",INDEX(職員マスタ!$G$6:$G$405,$AN2279)&gt;EOMONTH($AO2279,0)),AND(INDEX(職員マスタ!$H$6:$H$405,$AN2279)&lt;&gt;"",INDEX(職員マスタ!$H$6:$H$405,$AN2279)&lt;$AO2279))),"対象月が時短期間外／","")&amp;IF(AND(INDEX(職員マスタ!$F$6:$F$405,$AN2279)&lt;&gt;"",$AO2279&lt;&gt;"",INDEX(職員マスタ!$F$6:$F$405,$AN2279)&lt;$AO2279),"対象月に子が2歳到達済／","")&amp;IF(AND($H2279&lt;&gt;"",INDEX(職員マスタ!$B$6:$B$405,$AN2279)&lt;&gt;"",SUBSTITUTE(SUBSTITUTE($H2279," ","")," ","")&lt;&gt;SUBSTITUTE(SUBSTITUTE(INDEX(職員マスタ!$B$6:$B$405,$AN2279)," ","")," ","")),"氏名がマスタと相違／","")&amp;IF(AND($Q2279&lt;&gt;"",INDEX(職員マスタ!$E$6:$E$405,$AN2279)&lt;&gt;"",$Q2279&lt;&gt;INDEX(職員マスタ!$E$6:$E$405,$AN2279)),"子の生年月日がマスタと相違／","")&amp;IF(AND($L2279&lt;&gt;"",INDEX(職員マスタ!$G$6:$G$405,$AN2279)&lt;&gt;"",$L2279&lt;&gt;INDEX(職員マスタ!$G$6:$G$405,$AN2279)),"時短開始日がマスタと相違／","")&amp;IF(AND($M2279&lt;&gt;"",INDEX(職員マスタ!$H$6:$H$405,$AN2279)&lt;&gt;"",$M2279&lt;&gt;INDEX(職員マスタ!$H$6:$H$405,$AN2279)),"時短終了日がマスタと相違／","")))&amp;IF(AND($B2279&lt;&gt;"",$E2279=""),"報酬額が未入力／","")&amp;IF(N($U2279)&gt;0,"申請書に入力エラーが残っています／","")&amp;IF(AND($B2279&lt;&gt;"",$AO2279&lt;&gt;""),IF(COUNTIFS($B$6:$B$3005,$B2279,$C$6:$C$3005,$C2279,$D$6:$D$3005,$D2279)&gt;1,"同じ月の請求が重複しています／",""),"")&amp;IF(AND(N($E2279)&gt;0,$Z2279&lt;&gt;"",$Z2279&lt;&gt;"×",$AC2279=0,$AB2279=""),"計算額が下限以下のため不支給／",""))</f>
        <v/>
      </c>
      <c r="AL2279" s="12" t="n"/>
      <c r="AM2279" s="14">
        <f>IF($AD2279="保留中",COUNTIF($AD$6:$AD2279,"保留中"),"")</f>
        <v/>
      </c>
      <c r="AN2279" s="14">
        <f>IF($AO2279="","",IF(SUMPRODUCT(MAX((職員マスタ!$A$6:$A$405=$B2279)*(((職員マスタ!$G$6:$G$405="")+(職員マスタ!$G$6:$G$405&lt;=EOMONTH($AO2279,0)))&gt;0)*(((職員マスタ!$H$6:$H$405="")+(職員マスタ!$H$6:$H$405&gt;=$AO2279))&gt;0)*(ROW(職員マスタ!$A$6:$A$405)-5)))&gt;0,SUMPRODUCT(MAX((職員マスタ!$A$6:$A$405=$B2279)*(((職員マスタ!$G$6:$G$405="")+(職員マスタ!$G$6:$G$405&lt;=EOMONTH($AO2279,0)))&gt;0)*(((職員マスタ!$H$6:$H$405="")+(職員マスタ!$H$6:$H$405&gt;=$AO2279))&gt;0)*(ROW(職員マスタ!$A$6:$A$405)-5))),IFERROR(MATCH($B2279,職員マスタ!$A$6:$A$405,0),"")))</f>
        <v/>
      </c>
      <c r="AO2279" s="16">
        <f>IF(OR($B2279="",$C2279="",$D2279=""),"",DATE($C2279+2018,$D2279,1))</f>
        <v/>
      </c>
    </row>
    <row r="2280">
      <c r="A2280" s="11" t="n"/>
      <c r="B2280" s="12" t="n"/>
      <c r="C2280" s="12" t="n"/>
      <c r="D2280" s="12" t="n"/>
      <c r="E2280" s="13" t="n"/>
      <c r="F2280" s="12" t="n"/>
      <c r="G2280" s="13" t="n"/>
      <c r="H2280" s="12" t="n"/>
      <c r="I2280" s="12" t="n"/>
      <c r="J2280" s="12" t="n"/>
      <c r="K2280" s="12" t="n"/>
      <c r="L2280" s="11" t="n"/>
      <c r="M2280" s="11" t="n"/>
      <c r="N2280" s="11" t="n"/>
      <c r="O2280" s="11" t="n"/>
      <c r="P2280" s="12" t="n"/>
      <c r="Q2280" s="11" t="n"/>
      <c r="R2280" s="12" t="n"/>
      <c r="S2280" s="11" t="n"/>
      <c r="T2280" s="12" t="n"/>
      <c r="U2280" s="12" t="n"/>
      <c r="V2280" s="14">
        <f>IF($AN2280="",IF($B2280="","",$H2280),IF(INDEX(職員マスタ!$B$6:$B$405,$AN2280)="",$H2280,INDEX(職員マスタ!$B$6:$B$405,$AN2280)))</f>
        <v/>
      </c>
      <c r="W2280" s="14">
        <f>IF($AN2280="",IF($B2280="","",$R2280),IF(INDEX(職員マスタ!$C$6:$C$405,$AN2280)="",$R2280,INDEX(職員マスタ!$C$6:$C$405,$AN2280)))</f>
        <v/>
      </c>
      <c r="X2280" s="14">
        <f>IF($AO2280="","","R"&amp;$C2280&amp;"."&amp;$D2280)</f>
        <v/>
      </c>
      <c r="Y2280" s="15">
        <f>IF($AN2280="","",IF(INDEX(職員マスタ!$K$6:$K$405,$AN2280)="","",INDEX(職員マスタ!$K$6:$K$405,$AN2280)))</f>
        <v/>
      </c>
      <c r="Z2280" s="14">
        <f>IF(OR($E2280="",$Y2280=""),"",IF($E2280&gt;=$Y2280,"×",IF($E2280&gt;=$Y2280*設定!$C$5,"△","○")))</f>
        <v/>
      </c>
      <c r="AA2280" s="15">
        <f>IF($Z2280="","",IF($Z2280="×",0,IF($Z2280="○",ROUNDDOWN($E2280*設定!$C$4,0),ROUNDDOWN($E2280*ROUND((9*$Y2280-9*$E2280)/(10*$E2280),4),0))))</f>
        <v/>
      </c>
      <c r="AB2280" s="13" t="n"/>
      <c r="AC2280" s="15">
        <f>IF($B2280="","",IF($AB2280&lt;&gt;"",$AB2280,IF($AA2280="","",IF($AA2280&lt;=設定!$C$3,0,$AA2280))))</f>
        <v/>
      </c>
      <c r="AD2280" s="14">
        <f>IF($B2280="","",IF(AND($AE2280&lt;&gt;"",$AG2280="",$AJ2280=""),"保留中",IF($AJ2280&lt;&gt;"",IF(N($AC2280)&gt;0,"支給済","不支給"),IF($AC2280="","要確認",IF($AC2280=0,"不支給","未処理")))))</f>
        <v/>
      </c>
      <c r="AE2280" s="12" t="n"/>
      <c r="AF2280" s="11" t="n"/>
      <c r="AG2280" s="11" t="n"/>
      <c r="AH2280" s="11" t="n"/>
      <c r="AI2280" s="14">
        <f>IF(AND($AD2280="保留中",$AF2280&lt;&gt;""),TODAY()-$AF2280,"")</f>
        <v/>
      </c>
      <c r="AJ2280" s="12" t="n"/>
      <c r="AK2280" s="14">
        <f>IF($B2280="","",IF($AO2280="","対象年月が未入力／","")&amp;IF($B2280="","",IF($AN2280="","職員マスタに未登録の職員番号／",IF($Y2280="","標準報酬月額が未登録／","")&amp;IF(AND($AO2280&lt;&gt;"",OR(AND(INDEX(職員マスタ!$G$6:$G$405,$AN2280)&lt;&gt;"",INDEX(職員マスタ!$G$6:$G$405,$AN2280)&gt;EOMONTH($AO2280,0)),AND(INDEX(職員マスタ!$H$6:$H$405,$AN2280)&lt;&gt;"",INDEX(職員マスタ!$H$6:$H$405,$AN2280)&lt;$AO2280))),"対象月が時短期間外／","")&amp;IF(AND(INDEX(職員マスタ!$F$6:$F$405,$AN2280)&lt;&gt;"",$AO2280&lt;&gt;"",INDEX(職員マスタ!$F$6:$F$405,$AN2280)&lt;$AO2280),"対象月に子が2歳到達済／","")&amp;IF(AND($H2280&lt;&gt;"",INDEX(職員マスタ!$B$6:$B$405,$AN2280)&lt;&gt;"",SUBSTITUTE(SUBSTITUTE($H2280," ","")," ","")&lt;&gt;SUBSTITUTE(SUBSTITUTE(INDEX(職員マスタ!$B$6:$B$405,$AN2280)," ","")," ","")),"氏名がマスタと相違／","")&amp;IF(AND($Q2280&lt;&gt;"",INDEX(職員マスタ!$E$6:$E$405,$AN2280)&lt;&gt;"",$Q2280&lt;&gt;INDEX(職員マスタ!$E$6:$E$405,$AN2280)),"子の生年月日がマスタと相違／","")&amp;IF(AND($L2280&lt;&gt;"",INDEX(職員マスタ!$G$6:$G$405,$AN2280)&lt;&gt;"",$L2280&lt;&gt;INDEX(職員マスタ!$G$6:$G$405,$AN2280)),"時短開始日がマスタと相違／","")&amp;IF(AND($M2280&lt;&gt;"",INDEX(職員マスタ!$H$6:$H$405,$AN2280)&lt;&gt;"",$M2280&lt;&gt;INDEX(職員マスタ!$H$6:$H$405,$AN2280)),"時短終了日がマスタと相違／","")))&amp;IF(AND($B2280&lt;&gt;"",$E2280=""),"報酬額が未入力／","")&amp;IF(N($U2280)&gt;0,"申請書に入力エラーが残っています／","")&amp;IF(AND($B2280&lt;&gt;"",$AO2280&lt;&gt;""),IF(COUNTIFS($B$6:$B$3005,$B2280,$C$6:$C$3005,$C2280,$D$6:$D$3005,$D2280)&gt;1,"同じ月の請求が重複しています／",""),"")&amp;IF(AND(N($E2280)&gt;0,$Z2280&lt;&gt;"",$Z2280&lt;&gt;"×",$AC2280=0,$AB2280=""),"計算額が下限以下のため不支給／",""))</f>
        <v/>
      </c>
      <c r="AL2280" s="12" t="n"/>
      <c r="AM2280" s="14">
        <f>IF($AD2280="保留中",COUNTIF($AD$6:$AD2280,"保留中"),"")</f>
        <v/>
      </c>
      <c r="AN2280" s="14">
        <f>IF($AO2280="","",IF(SUMPRODUCT(MAX((職員マスタ!$A$6:$A$405=$B2280)*(((職員マスタ!$G$6:$G$405="")+(職員マスタ!$G$6:$G$405&lt;=EOMONTH($AO2280,0)))&gt;0)*(((職員マスタ!$H$6:$H$405="")+(職員マスタ!$H$6:$H$405&gt;=$AO2280))&gt;0)*(ROW(職員マスタ!$A$6:$A$405)-5)))&gt;0,SUMPRODUCT(MAX((職員マスタ!$A$6:$A$405=$B2280)*(((職員マスタ!$G$6:$G$405="")+(職員マスタ!$G$6:$G$405&lt;=EOMONTH($AO2280,0)))&gt;0)*(((職員マスタ!$H$6:$H$405="")+(職員マスタ!$H$6:$H$405&gt;=$AO2280))&gt;0)*(ROW(職員マスタ!$A$6:$A$405)-5))),IFERROR(MATCH($B2280,職員マスタ!$A$6:$A$405,0),"")))</f>
        <v/>
      </c>
      <c r="AO2280" s="16">
        <f>IF(OR($B2280="",$C2280="",$D2280=""),"",DATE($C2280+2018,$D2280,1))</f>
        <v/>
      </c>
    </row>
    <row r="2281">
      <c r="A2281" s="11" t="n"/>
      <c r="B2281" s="12" t="n"/>
      <c r="C2281" s="12" t="n"/>
      <c r="D2281" s="12" t="n"/>
      <c r="E2281" s="13" t="n"/>
      <c r="F2281" s="12" t="n"/>
      <c r="G2281" s="13" t="n"/>
      <c r="H2281" s="12" t="n"/>
      <c r="I2281" s="12" t="n"/>
      <c r="J2281" s="12" t="n"/>
      <c r="K2281" s="12" t="n"/>
      <c r="L2281" s="11" t="n"/>
      <c r="M2281" s="11" t="n"/>
      <c r="N2281" s="11" t="n"/>
      <c r="O2281" s="11" t="n"/>
      <c r="P2281" s="12" t="n"/>
      <c r="Q2281" s="11" t="n"/>
      <c r="R2281" s="12" t="n"/>
      <c r="S2281" s="11" t="n"/>
      <c r="T2281" s="12" t="n"/>
      <c r="U2281" s="12" t="n"/>
      <c r="V2281" s="14">
        <f>IF($AN2281="",IF($B2281="","",$H2281),IF(INDEX(職員マスタ!$B$6:$B$405,$AN2281)="",$H2281,INDEX(職員マスタ!$B$6:$B$405,$AN2281)))</f>
        <v/>
      </c>
      <c r="W2281" s="14">
        <f>IF($AN2281="",IF($B2281="","",$R2281),IF(INDEX(職員マスタ!$C$6:$C$405,$AN2281)="",$R2281,INDEX(職員マスタ!$C$6:$C$405,$AN2281)))</f>
        <v/>
      </c>
      <c r="X2281" s="14">
        <f>IF($AO2281="","","R"&amp;$C2281&amp;"."&amp;$D2281)</f>
        <v/>
      </c>
      <c r="Y2281" s="15">
        <f>IF($AN2281="","",IF(INDEX(職員マスタ!$K$6:$K$405,$AN2281)="","",INDEX(職員マスタ!$K$6:$K$405,$AN2281)))</f>
        <v/>
      </c>
      <c r="Z2281" s="14">
        <f>IF(OR($E2281="",$Y2281=""),"",IF($E2281&gt;=$Y2281,"×",IF($E2281&gt;=$Y2281*設定!$C$5,"△","○")))</f>
        <v/>
      </c>
      <c r="AA2281" s="15">
        <f>IF($Z2281="","",IF($Z2281="×",0,IF($Z2281="○",ROUNDDOWN($E2281*設定!$C$4,0),ROUNDDOWN($E2281*ROUND((9*$Y2281-9*$E2281)/(10*$E2281),4),0))))</f>
        <v/>
      </c>
      <c r="AB2281" s="13" t="n"/>
      <c r="AC2281" s="15">
        <f>IF($B2281="","",IF($AB2281&lt;&gt;"",$AB2281,IF($AA2281="","",IF($AA2281&lt;=設定!$C$3,0,$AA2281))))</f>
        <v/>
      </c>
      <c r="AD2281" s="14">
        <f>IF($B2281="","",IF(AND($AE2281&lt;&gt;"",$AG2281="",$AJ2281=""),"保留中",IF($AJ2281&lt;&gt;"",IF(N($AC2281)&gt;0,"支給済","不支給"),IF($AC2281="","要確認",IF($AC2281=0,"不支給","未処理")))))</f>
        <v/>
      </c>
      <c r="AE2281" s="12" t="n"/>
      <c r="AF2281" s="11" t="n"/>
      <c r="AG2281" s="11" t="n"/>
      <c r="AH2281" s="11" t="n"/>
      <c r="AI2281" s="14">
        <f>IF(AND($AD2281="保留中",$AF2281&lt;&gt;""),TODAY()-$AF2281,"")</f>
        <v/>
      </c>
      <c r="AJ2281" s="12" t="n"/>
      <c r="AK2281" s="14">
        <f>IF($B2281="","",IF($AO2281="","対象年月が未入力／","")&amp;IF($B2281="","",IF($AN2281="","職員マスタに未登録の職員番号／",IF($Y2281="","標準報酬月額が未登録／","")&amp;IF(AND($AO2281&lt;&gt;"",OR(AND(INDEX(職員マスタ!$G$6:$G$405,$AN2281)&lt;&gt;"",INDEX(職員マスタ!$G$6:$G$405,$AN2281)&gt;EOMONTH($AO2281,0)),AND(INDEX(職員マスタ!$H$6:$H$405,$AN2281)&lt;&gt;"",INDEX(職員マスタ!$H$6:$H$405,$AN2281)&lt;$AO2281))),"対象月が時短期間外／","")&amp;IF(AND(INDEX(職員マスタ!$F$6:$F$405,$AN2281)&lt;&gt;"",$AO2281&lt;&gt;"",INDEX(職員マスタ!$F$6:$F$405,$AN2281)&lt;$AO2281),"対象月に子が2歳到達済／","")&amp;IF(AND($H2281&lt;&gt;"",INDEX(職員マスタ!$B$6:$B$405,$AN2281)&lt;&gt;"",SUBSTITUTE(SUBSTITUTE($H2281," ","")," ","")&lt;&gt;SUBSTITUTE(SUBSTITUTE(INDEX(職員マスタ!$B$6:$B$405,$AN2281)," ","")," ","")),"氏名がマスタと相違／","")&amp;IF(AND($Q2281&lt;&gt;"",INDEX(職員マスタ!$E$6:$E$405,$AN2281)&lt;&gt;"",$Q2281&lt;&gt;INDEX(職員マスタ!$E$6:$E$405,$AN2281)),"子の生年月日がマスタと相違／","")&amp;IF(AND($L2281&lt;&gt;"",INDEX(職員マスタ!$G$6:$G$405,$AN2281)&lt;&gt;"",$L2281&lt;&gt;INDEX(職員マスタ!$G$6:$G$405,$AN2281)),"時短開始日がマスタと相違／","")&amp;IF(AND($M2281&lt;&gt;"",INDEX(職員マスタ!$H$6:$H$405,$AN2281)&lt;&gt;"",$M2281&lt;&gt;INDEX(職員マスタ!$H$6:$H$405,$AN2281)),"時短終了日がマスタと相違／","")))&amp;IF(AND($B2281&lt;&gt;"",$E2281=""),"報酬額が未入力／","")&amp;IF(N($U2281)&gt;0,"申請書に入力エラーが残っています／","")&amp;IF(AND($B2281&lt;&gt;"",$AO2281&lt;&gt;""),IF(COUNTIFS($B$6:$B$3005,$B2281,$C$6:$C$3005,$C2281,$D$6:$D$3005,$D2281)&gt;1,"同じ月の請求が重複しています／",""),"")&amp;IF(AND(N($E2281)&gt;0,$Z2281&lt;&gt;"",$Z2281&lt;&gt;"×",$AC2281=0,$AB2281=""),"計算額が下限以下のため不支給／",""))</f>
        <v/>
      </c>
      <c r="AL2281" s="12" t="n"/>
      <c r="AM2281" s="14">
        <f>IF($AD2281="保留中",COUNTIF($AD$6:$AD2281,"保留中"),"")</f>
        <v/>
      </c>
      <c r="AN2281" s="14">
        <f>IF($AO2281="","",IF(SUMPRODUCT(MAX((職員マスタ!$A$6:$A$405=$B2281)*(((職員マスタ!$G$6:$G$405="")+(職員マスタ!$G$6:$G$405&lt;=EOMONTH($AO2281,0)))&gt;0)*(((職員マスタ!$H$6:$H$405="")+(職員マスタ!$H$6:$H$405&gt;=$AO2281))&gt;0)*(ROW(職員マスタ!$A$6:$A$405)-5)))&gt;0,SUMPRODUCT(MAX((職員マスタ!$A$6:$A$405=$B2281)*(((職員マスタ!$G$6:$G$405="")+(職員マスタ!$G$6:$G$405&lt;=EOMONTH($AO2281,0)))&gt;0)*(((職員マスタ!$H$6:$H$405="")+(職員マスタ!$H$6:$H$405&gt;=$AO2281))&gt;0)*(ROW(職員マスタ!$A$6:$A$405)-5))),IFERROR(MATCH($B2281,職員マスタ!$A$6:$A$405,0),"")))</f>
        <v/>
      </c>
      <c r="AO2281" s="16">
        <f>IF(OR($B2281="",$C2281="",$D2281=""),"",DATE($C2281+2018,$D2281,1))</f>
        <v/>
      </c>
    </row>
    <row r="2282">
      <c r="A2282" s="11" t="n"/>
      <c r="B2282" s="12" t="n"/>
      <c r="C2282" s="12" t="n"/>
      <c r="D2282" s="12" t="n"/>
      <c r="E2282" s="13" t="n"/>
      <c r="F2282" s="12" t="n"/>
      <c r="G2282" s="13" t="n"/>
      <c r="H2282" s="12" t="n"/>
      <c r="I2282" s="12" t="n"/>
      <c r="J2282" s="12" t="n"/>
      <c r="K2282" s="12" t="n"/>
      <c r="L2282" s="11" t="n"/>
      <c r="M2282" s="11" t="n"/>
      <c r="N2282" s="11" t="n"/>
      <c r="O2282" s="11" t="n"/>
      <c r="P2282" s="12" t="n"/>
      <c r="Q2282" s="11" t="n"/>
      <c r="R2282" s="12" t="n"/>
      <c r="S2282" s="11" t="n"/>
      <c r="T2282" s="12" t="n"/>
      <c r="U2282" s="12" t="n"/>
      <c r="V2282" s="14">
        <f>IF($AN2282="",IF($B2282="","",$H2282),IF(INDEX(職員マスタ!$B$6:$B$405,$AN2282)="",$H2282,INDEX(職員マスタ!$B$6:$B$405,$AN2282)))</f>
        <v/>
      </c>
      <c r="W2282" s="14">
        <f>IF($AN2282="",IF($B2282="","",$R2282),IF(INDEX(職員マスタ!$C$6:$C$405,$AN2282)="",$R2282,INDEX(職員マスタ!$C$6:$C$405,$AN2282)))</f>
        <v/>
      </c>
      <c r="X2282" s="14">
        <f>IF($AO2282="","","R"&amp;$C2282&amp;"."&amp;$D2282)</f>
        <v/>
      </c>
      <c r="Y2282" s="15">
        <f>IF($AN2282="","",IF(INDEX(職員マスタ!$K$6:$K$405,$AN2282)="","",INDEX(職員マスタ!$K$6:$K$405,$AN2282)))</f>
        <v/>
      </c>
      <c r="Z2282" s="14">
        <f>IF(OR($E2282="",$Y2282=""),"",IF($E2282&gt;=$Y2282,"×",IF($E2282&gt;=$Y2282*設定!$C$5,"△","○")))</f>
        <v/>
      </c>
      <c r="AA2282" s="15">
        <f>IF($Z2282="","",IF($Z2282="×",0,IF($Z2282="○",ROUNDDOWN($E2282*設定!$C$4,0),ROUNDDOWN($E2282*ROUND((9*$Y2282-9*$E2282)/(10*$E2282),4),0))))</f>
        <v/>
      </c>
      <c r="AB2282" s="13" t="n"/>
      <c r="AC2282" s="15">
        <f>IF($B2282="","",IF($AB2282&lt;&gt;"",$AB2282,IF($AA2282="","",IF($AA2282&lt;=設定!$C$3,0,$AA2282))))</f>
        <v/>
      </c>
      <c r="AD2282" s="14">
        <f>IF($B2282="","",IF(AND($AE2282&lt;&gt;"",$AG2282="",$AJ2282=""),"保留中",IF($AJ2282&lt;&gt;"",IF(N($AC2282)&gt;0,"支給済","不支給"),IF($AC2282="","要確認",IF($AC2282=0,"不支給","未処理")))))</f>
        <v/>
      </c>
      <c r="AE2282" s="12" t="n"/>
      <c r="AF2282" s="11" t="n"/>
      <c r="AG2282" s="11" t="n"/>
      <c r="AH2282" s="11" t="n"/>
      <c r="AI2282" s="14">
        <f>IF(AND($AD2282="保留中",$AF2282&lt;&gt;""),TODAY()-$AF2282,"")</f>
        <v/>
      </c>
      <c r="AJ2282" s="12" t="n"/>
      <c r="AK2282" s="14">
        <f>IF($B2282="","",IF($AO2282="","対象年月が未入力／","")&amp;IF($B2282="","",IF($AN2282="","職員マスタに未登録の職員番号／",IF($Y2282="","標準報酬月額が未登録／","")&amp;IF(AND($AO2282&lt;&gt;"",OR(AND(INDEX(職員マスタ!$G$6:$G$405,$AN2282)&lt;&gt;"",INDEX(職員マスタ!$G$6:$G$405,$AN2282)&gt;EOMONTH($AO2282,0)),AND(INDEX(職員マスタ!$H$6:$H$405,$AN2282)&lt;&gt;"",INDEX(職員マスタ!$H$6:$H$405,$AN2282)&lt;$AO2282))),"対象月が時短期間外／","")&amp;IF(AND(INDEX(職員マスタ!$F$6:$F$405,$AN2282)&lt;&gt;"",$AO2282&lt;&gt;"",INDEX(職員マスタ!$F$6:$F$405,$AN2282)&lt;$AO2282),"対象月に子が2歳到達済／","")&amp;IF(AND($H2282&lt;&gt;"",INDEX(職員マスタ!$B$6:$B$405,$AN2282)&lt;&gt;"",SUBSTITUTE(SUBSTITUTE($H2282," ","")," ","")&lt;&gt;SUBSTITUTE(SUBSTITUTE(INDEX(職員マスタ!$B$6:$B$405,$AN2282)," ","")," ","")),"氏名がマスタと相違／","")&amp;IF(AND($Q2282&lt;&gt;"",INDEX(職員マスタ!$E$6:$E$405,$AN2282)&lt;&gt;"",$Q2282&lt;&gt;INDEX(職員マスタ!$E$6:$E$405,$AN2282)),"子の生年月日がマスタと相違／","")&amp;IF(AND($L2282&lt;&gt;"",INDEX(職員マスタ!$G$6:$G$405,$AN2282)&lt;&gt;"",$L2282&lt;&gt;INDEX(職員マスタ!$G$6:$G$405,$AN2282)),"時短開始日がマスタと相違／","")&amp;IF(AND($M2282&lt;&gt;"",INDEX(職員マスタ!$H$6:$H$405,$AN2282)&lt;&gt;"",$M2282&lt;&gt;INDEX(職員マスタ!$H$6:$H$405,$AN2282)),"時短終了日がマスタと相違／","")))&amp;IF(AND($B2282&lt;&gt;"",$E2282=""),"報酬額が未入力／","")&amp;IF(N($U2282)&gt;0,"申請書に入力エラーが残っています／","")&amp;IF(AND($B2282&lt;&gt;"",$AO2282&lt;&gt;""),IF(COUNTIFS($B$6:$B$3005,$B2282,$C$6:$C$3005,$C2282,$D$6:$D$3005,$D2282)&gt;1,"同じ月の請求が重複しています／",""),"")&amp;IF(AND(N($E2282)&gt;0,$Z2282&lt;&gt;"",$Z2282&lt;&gt;"×",$AC2282=0,$AB2282=""),"計算額が下限以下のため不支給／",""))</f>
        <v/>
      </c>
      <c r="AL2282" s="12" t="n"/>
      <c r="AM2282" s="14">
        <f>IF($AD2282="保留中",COUNTIF($AD$6:$AD2282,"保留中"),"")</f>
        <v/>
      </c>
      <c r="AN2282" s="14">
        <f>IF($AO2282="","",IF(SUMPRODUCT(MAX((職員マスタ!$A$6:$A$405=$B2282)*(((職員マスタ!$G$6:$G$405="")+(職員マスタ!$G$6:$G$405&lt;=EOMONTH($AO2282,0)))&gt;0)*(((職員マスタ!$H$6:$H$405="")+(職員マスタ!$H$6:$H$405&gt;=$AO2282))&gt;0)*(ROW(職員マスタ!$A$6:$A$405)-5)))&gt;0,SUMPRODUCT(MAX((職員マスタ!$A$6:$A$405=$B2282)*(((職員マスタ!$G$6:$G$405="")+(職員マスタ!$G$6:$G$405&lt;=EOMONTH($AO2282,0)))&gt;0)*(((職員マスタ!$H$6:$H$405="")+(職員マスタ!$H$6:$H$405&gt;=$AO2282))&gt;0)*(ROW(職員マスタ!$A$6:$A$405)-5))),IFERROR(MATCH($B2282,職員マスタ!$A$6:$A$405,0),"")))</f>
        <v/>
      </c>
      <c r="AO2282" s="16">
        <f>IF(OR($B2282="",$C2282="",$D2282=""),"",DATE($C2282+2018,$D2282,1))</f>
        <v/>
      </c>
    </row>
    <row r="2283">
      <c r="A2283" s="11" t="n"/>
      <c r="B2283" s="12" t="n"/>
      <c r="C2283" s="12" t="n"/>
      <c r="D2283" s="12" t="n"/>
      <c r="E2283" s="13" t="n"/>
      <c r="F2283" s="12" t="n"/>
      <c r="G2283" s="13" t="n"/>
      <c r="H2283" s="12" t="n"/>
      <c r="I2283" s="12" t="n"/>
      <c r="J2283" s="12" t="n"/>
      <c r="K2283" s="12" t="n"/>
      <c r="L2283" s="11" t="n"/>
      <c r="M2283" s="11" t="n"/>
      <c r="N2283" s="11" t="n"/>
      <c r="O2283" s="11" t="n"/>
      <c r="P2283" s="12" t="n"/>
      <c r="Q2283" s="11" t="n"/>
      <c r="R2283" s="12" t="n"/>
      <c r="S2283" s="11" t="n"/>
      <c r="T2283" s="12" t="n"/>
      <c r="U2283" s="12" t="n"/>
      <c r="V2283" s="14">
        <f>IF($AN2283="",IF($B2283="","",$H2283),IF(INDEX(職員マスタ!$B$6:$B$405,$AN2283)="",$H2283,INDEX(職員マスタ!$B$6:$B$405,$AN2283)))</f>
        <v/>
      </c>
      <c r="W2283" s="14">
        <f>IF($AN2283="",IF($B2283="","",$R2283),IF(INDEX(職員マスタ!$C$6:$C$405,$AN2283)="",$R2283,INDEX(職員マスタ!$C$6:$C$405,$AN2283)))</f>
        <v/>
      </c>
      <c r="X2283" s="14">
        <f>IF($AO2283="","","R"&amp;$C2283&amp;"."&amp;$D2283)</f>
        <v/>
      </c>
      <c r="Y2283" s="15">
        <f>IF($AN2283="","",IF(INDEX(職員マスタ!$K$6:$K$405,$AN2283)="","",INDEX(職員マスタ!$K$6:$K$405,$AN2283)))</f>
        <v/>
      </c>
      <c r="Z2283" s="14">
        <f>IF(OR($E2283="",$Y2283=""),"",IF($E2283&gt;=$Y2283,"×",IF($E2283&gt;=$Y2283*設定!$C$5,"△","○")))</f>
        <v/>
      </c>
      <c r="AA2283" s="15">
        <f>IF($Z2283="","",IF($Z2283="×",0,IF($Z2283="○",ROUNDDOWN($E2283*設定!$C$4,0),ROUNDDOWN($E2283*ROUND((9*$Y2283-9*$E2283)/(10*$E2283),4),0))))</f>
        <v/>
      </c>
      <c r="AB2283" s="13" t="n"/>
      <c r="AC2283" s="15">
        <f>IF($B2283="","",IF($AB2283&lt;&gt;"",$AB2283,IF($AA2283="","",IF($AA2283&lt;=設定!$C$3,0,$AA2283))))</f>
        <v/>
      </c>
      <c r="AD2283" s="14">
        <f>IF($B2283="","",IF(AND($AE2283&lt;&gt;"",$AG2283="",$AJ2283=""),"保留中",IF($AJ2283&lt;&gt;"",IF(N($AC2283)&gt;0,"支給済","不支給"),IF($AC2283="","要確認",IF($AC2283=0,"不支給","未処理")))))</f>
        <v/>
      </c>
      <c r="AE2283" s="12" t="n"/>
      <c r="AF2283" s="11" t="n"/>
      <c r="AG2283" s="11" t="n"/>
      <c r="AH2283" s="11" t="n"/>
      <c r="AI2283" s="14">
        <f>IF(AND($AD2283="保留中",$AF2283&lt;&gt;""),TODAY()-$AF2283,"")</f>
        <v/>
      </c>
      <c r="AJ2283" s="12" t="n"/>
      <c r="AK2283" s="14">
        <f>IF($B2283="","",IF($AO2283="","対象年月が未入力／","")&amp;IF($B2283="","",IF($AN2283="","職員マスタに未登録の職員番号／",IF($Y2283="","標準報酬月額が未登録／","")&amp;IF(AND($AO2283&lt;&gt;"",OR(AND(INDEX(職員マスタ!$G$6:$G$405,$AN2283)&lt;&gt;"",INDEX(職員マスタ!$G$6:$G$405,$AN2283)&gt;EOMONTH($AO2283,0)),AND(INDEX(職員マスタ!$H$6:$H$405,$AN2283)&lt;&gt;"",INDEX(職員マスタ!$H$6:$H$405,$AN2283)&lt;$AO2283))),"対象月が時短期間外／","")&amp;IF(AND(INDEX(職員マスタ!$F$6:$F$405,$AN2283)&lt;&gt;"",$AO2283&lt;&gt;"",INDEX(職員マスタ!$F$6:$F$405,$AN2283)&lt;$AO2283),"対象月に子が2歳到達済／","")&amp;IF(AND($H2283&lt;&gt;"",INDEX(職員マスタ!$B$6:$B$405,$AN2283)&lt;&gt;"",SUBSTITUTE(SUBSTITUTE($H2283," ","")," ","")&lt;&gt;SUBSTITUTE(SUBSTITUTE(INDEX(職員マスタ!$B$6:$B$405,$AN2283)," ","")," ","")),"氏名がマスタと相違／","")&amp;IF(AND($Q2283&lt;&gt;"",INDEX(職員マスタ!$E$6:$E$405,$AN2283)&lt;&gt;"",$Q2283&lt;&gt;INDEX(職員マスタ!$E$6:$E$405,$AN2283)),"子の生年月日がマスタと相違／","")&amp;IF(AND($L2283&lt;&gt;"",INDEX(職員マスタ!$G$6:$G$405,$AN2283)&lt;&gt;"",$L2283&lt;&gt;INDEX(職員マスタ!$G$6:$G$405,$AN2283)),"時短開始日がマスタと相違／","")&amp;IF(AND($M2283&lt;&gt;"",INDEX(職員マスタ!$H$6:$H$405,$AN2283)&lt;&gt;"",$M2283&lt;&gt;INDEX(職員マスタ!$H$6:$H$405,$AN2283)),"時短終了日がマスタと相違／","")))&amp;IF(AND($B2283&lt;&gt;"",$E2283=""),"報酬額が未入力／","")&amp;IF(N($U2283)&gt;0,"申請書に入力エラーが残っています／","")&amp;IF(AND($B2283&lt;&gt;"",$AO2283&lt;&gt;""),IF(COUNTIFS($B$6:$B$3005,$B2283,$C$6:$C$3005,$C2283,$D$6:$D$3005,$D2283)&gt;1,"同じ月の請求が重複しています／",""),"")&amp;IF(AND(N($E2283)&gt;0,$Z2283&lt;&gt;"",$Z2283&lt;&gt;"×",$AC2283=0,$AB2283=""),"計算額が下限以下のため不支給／",""))</f>
        <v/>
      </c>
      <c r="AL2283" s="12" t="n"/>
      <c r="AM2283" s="14">
        <f>IF($AD2283="保留中",COUNTIF($AD$6:$AD2283,"保留中"),"")</f>
        <v/>
      </c>
      <c r="AN2283" s="14">
        <f>IF($AO2283="","",IF(SUMPRODUCT(MAX((職員マスタ!$A$6:$A$405=$B2283)*(((職員マスタ!$G$6:$G$405="")+(職員マスタ!$G$6:$G$405&lt;=EOMONTH($AO2283,0)))&gt;0)*(((職員マスタ!$H$6:$H$405="")+(職員マスタ!$H$6:$H$405&gt;=$AO2283))&gt;0)*(ROW(職員マスタ!$A$6:$A$405)-5)))&gt;0,SUMPRODUCT(MAX((職員マスタ!$A$6:$A$405=$B2283)*(((職員マスタ!$G$6:$G$405="")+(職員マスタ!$G$6:$G$405&lt;=EOMONTH($AO2283,0)))&gt;0)*(((職員マスタ!$H$6:$H$405="")+(職員マスタ!$H$6:$H$405&gt;=$AO2283))&gt;0)*(ROW(職員マスタ!$A$6:$A$405)-5))),IFERROR(MATCH($B2283,職員マスタ!$A$6:$A$405,0),"")))</f>
        <v/>
      </c>
      <c r="AO2283" s="16">
        <f>IF(OR($B2283="",$C2283="",$D2283=""),"",DATE($C2283+2018,$D2283,1))</f>
        <v/>
      </c>
    </row>
    <row r="2284">
      <c r="A2284" s="11" t="n"/>
      <c r="B2284" s="12" t="n"/>
      <c r="C2284" s="12" t="n"/>
      <c r="D2284" s="12" t="n"/>
      <c r="E2284" s="13" t="n"/>
      <c r="F2284" s="12" t="n"/>
      <c r="G2284" s="13" t="n"/>
      <c r="H2284" s="12" t="n"/>
      <c r="I2284" s="12" t="n"/>
      <c r="J2284" s="12" t="n"/>
      <c r="K2284" s="12" t="n"/>
      <c r="L2284" s="11" t="n"/>
      <c r="M2284" s="11" t="n"/>
      <c r="N2284" s="11" t="n"/>
      <c r="O2284" s="11" t="n"/>
      <c r="P2284" s="12" t="n"/>
      <c r="Q2284" s="11" t="n"/>
      <c r="R2284" s="12" t="n"/>
      <c r="S2284" s="11" t="n"/>
      <c r="T2284" s="12" t="n"/>
      <c r="U2284" s="12" t="n"/>
      <c r="V2284" s="14">
        <f>IF($AN2284="",IF($B2284="","",$H2284),IF(INDEX(職員マスタ!$B$6:$B$405,$AN2284)="",$H2284,INDEX(職員マスタ!$B$6:$B$405,$AN2284)))</f>
        <v/>
      </c>
      <c r="W2284" s="14">
        <f>IF($AN2284="",IF($B2284="","",$R2284),IF(INDEX(職員マスタ!$C$6:$C$405,$AN2284)="",$R2284,INDEX(職員マスタ!$C$6:$C$405,$AN2284)))</f>
        <v/>
      </c>
      <c r="X2284" s="14">
        <f>IF($AO2284="","","R"&amp;$C2284&amp;"."&amp;$D2284)</f>
        <v/>
      </c>
      <c r="Y2284" s="15">
        <f>IF($AN2284="","",IF(INDEX(職員マスタ!$K$6:$K$405,$AN2284)="","",INDEX(職員マスタ!$K$6:$K$405,$AN2284)))</f>
        <v/>
      </c>
      <c r="Z2284" s="14">
        <f>IF(OR($E2284="",$Y2284=""),"",IF($E2284&gt;=$Y2284,"×",IF($E2284&gt;=$Y2284*設定!$C$5,"△","○")))</f>
        <v/>
      </c>
      <c r="AA2284" s="15">
        <f>IF($Z2284="","",IF($Z2284="×",0,IF($Z2284="○",ROUNDDOWN($E2284*設定!$C$4,0),ROUNDDOWN($E2284*ROUND((9*$Y2284-9*$E2284)/(10*$E2284),4),0))))</f>
        <v/>
      </c>
      <c r="AB2284" s="13" t="n"/>
      <c r="AC2284" s="15">
        <f>IF($B2284="","",IF($AB2284&lt;&gt;"",$AB2284,IF($AA2284="","",IF($AA2284&lt;=設定!$C$3,0,$AA2284))))</f>
        <v/>
      </c>
      <c r="AD2284" s="14">
        <f>IF($B2284="","",IF(AND($AE2284&lt;&gt;"",$AG2284="",$AJ2284=""),"保留中",IF($AJ2284&lt;&gt;"",IF(N($AC2284)&gt;0,"支給済","不支給"),IF($AC2284="","要確認",IF($AC2284=0,"不支給","未処理")))))</f>
        <v/>
      </c>
      <c r="AE2284" s="12" t="n"/>
      <c r="AF2284" s="11" t="n"/>
      <c r="AG2284" s="11" t="n"/>
      <c r="AH2284" s="11" t="n"/>
      <c r="AI2284" s="14">
        <f>IF(AND($AD2284="保留中",$AF2284&lt;&gt;""),TODAY()-$AF2284,"")</f>
        <v/>
      </c>
      <c r="AJ2284" s="12" t="n"/>
      <c r="AK2284" s="14">
        <f>IF($B2284="","",IF($AO2284="","対象年月が未入力／","")&amp;IF($B2284="","",IF($AN2284="","職員マスタに未登録の職員番号／",IF($Y2284="","標準報酬月額が未登録／","")&amp;IF(AND($AO2284&lt;&gt;"",OR(AND(INDEX(職員マスタ!$G$6:$G$405,$AN2284)&lt;&gt;"",INDEX(職員マスタ!$G$6:$G$405,$AN2284)&gt;EOMONTH($AO2284,0)),AND(INDEX(職員マスタ!$H$6:$H$405,$AN2284)&lt;&gt;"",INDEX(職員マスタ!$H$6:$H$405,$AN2284)&lt;$AO2284))),"対象月が時短期間外／","")&amp;IF(AND(INDEX(職員マスタ!$F$6:$F$405,$AN2284)&lt;&gt;"",$AO2284&lt;&gt;"",INDEX(職員マスタ!$F$6:$F$405,$AN2284)&lt;$AO2284),"対象月に子が2歳到達済／","")&amp;IF(AND($H2284&lt;&gt;"",INDEX(職員マスタ!$B$6:$B$405,$AN2284)&lt;&gt;"",SUBSTITUTE(SUBSTITUTE($H2284," ","")," ","")&lt;&gt;SUBSTITUTE(SUBSTITUTE(INDEX(職員マスタ!$B$6:$B$405,$AN2284)," ","")," ","")),"氏名がマスタと相違／","")&amp;IF(AND($Q2284&lt;&gt;"",INDEX(職員マスタ!$E$6:$E$405,$AN2284)&lt;&gt;"",$Q2284&lt;&gt;INDEX(職員マスタ!$E$6:$E$405,$AN2284)),"子の生年月日がマスタと相違／","")&amp;IF(AND($L2284&lt;&gt;"",INDEX(職員マスタ!$G$6:$G$405,$AN2284)&lt;&gt;"",$L2284&lt;&gt;INDEX(職員マスタ!$G$6:$G$405,$AN2284)),"時短開始日がマスタと相違／","")&amp;IF(AND($M2284&lt;&gt;"",INDEX(職員マスタ!$H$6:$H$405,$AN2284)&lt;&gt;"",$M2284&lt;&gt;INDEX(職員マスタ!$H$6:$H$405,$AN2284)),"時短終了日がマスタと相違／","")))&amp;IF(AND($B2284&lt;&gt;"",$E2284=""),"報酬額が未入力／","")&amp;IF(N($U2284)&gt;0,"申請書に入力エラーが残っています／","")&amp;IF(AND($B2284&lt;&gt;"",$AO2284&lt;&gt;""),IF(COUNTIFS($B$6:$B$3005,$B2284,$C$6:$C$3005,$C2284,$D$6:$D$3005,$D2284)&gt;1,"同じ月の請求が重複しています／",""),"")&amp;IF(AND(N($E2284)&gt;0,$Z2284&lt;&gt;"",$Z2284&lt;&gt;"×",$AC2284=0,$AB2284=""),"計算額が下限以下のため不支給／",""))</f>
        <v/>
      </c>
      <c r="AL2284" s="12" t="n"/>
      <c r="AM2284" s="14">
        <f>IF($AD2284="保留中",COUNTIF($AD$6:$AD2284,"保留中"),"")</f>
        <v/>
      </c>
      <c r="AN2284" s="14">
        <f>IF($AO2284="","",IF(SUMPRODUCT(MAX((職員マスタ!$A$6:$A$405=$B2284)*(((職員マスタ!$G$6:$G$405="")+(職員マスタ!$G$6:$G$405&lt;=EOMONTH($AO2284,0)))&gt;0)*(((職員マスタ!$H$6:$H$405="")+(職員マスタ!$H$6:$H$405&gt;=$AO2284))&gt;0)*(ROW(職員マスタ!$A$6:$A$405)-5)))&gt;0,SUMPRODUCT(MAX((職員マスタ!$A$6:$A$405=$B2284)*(((職員マスタ!$G$6:$G$405="")+(職員マスタ!$G$6:$G$405&lt;=EOMONTH($AO2284,0)))&gt;0)*(((職員マスタ!$H$6:$H$405="")+(職員マスタ!$H$6:$H$405&gt;=$AO2284))&gt;0)*(ROW(職員マスタ!$A$6:$A$405)-5))),IFERROR(MATCH($B2284,職員マスタ!$A$6:$A$405,0),"")))</f>
        <v/>
      </c>
      <c r="AO2284" s="16">
        <f>IF(OR($B2284="",$C2284="",$D2284=""),"",DATE($C2284+2018,$D2284,1))</f>
        <v/>
      </c>
    </row>
    <row r="2285">
      <c r="A2285" s="11" t="n"/>
      <c r="B2285" s="12" t="n"/>
      <c r="C2285" s="12" t="n"/>
      <c r="D2285" s="12" t="n"/>
      <c r="E2285" s="13" t="n"/>
      <c r="F2285" s="12" t="n"/>
      <c r="G2285" s="13" t="n"/>
      <c r="H2285" s="12" t="n"/>
      <c r="I2285" s="12" t="n"/>
      <c r="J2285" s="12" t="n"/>
      <c r="K2285" s="12" t="n"/>
      <c r="L2285" s="11" t="n"/>
      <c r="M2285" s="11" t="n"/>
      <c r="N2285" s="11" t="n"/>
      <c r="O2285" s="11" t="n"/>
      <c r="P2285" s="12" t="n"/>
      <c r="Q2285" s="11" t="n"/>
      <c r="R2285" s="12" t="n"/>
      <c r="S2285" s="11" t="n"/>
      <c r="T2285" s="12" t="n"/>
      <c r="U2285" s="12" t="n"/>
      <c r="V2285" s="14">
        <f>IF($AN2285="",IF($B2285="","",$H2285),IF(INDEX(職員マスタ!$B$6:$B$405,$AN2285)="",$H2285,INDEX(職員マスタ!$B$6:$B$405,$AN2285)))</f>
        <v/>
      </c>
      <c r="W2285" s="14">
        <f>IF($AN2285="",IF($B2285="","",$R2285),IF(INDEX(職員マスタ!$C$6:$C$405,$AN2285)="",$R2285,INDEX(職員マスタ!$C$6:$C$405,$AN2285)))</f>
        <v/>
      </c>
      <c r="X2285" s="14">
        <f>IF($AO2285="","","R"&amp;$C2285&amp;"."&amp;$D2285)</f>
        <v/>
      </c>
      <c r="Y2285" s="15">
        <f>IF($AN2285="","",IF(INDEX(職員マスタ!$K$6:$K$405,$AN2285)="","",INDEX(職員マスタ!$K$6:$K$405,$AN2285)))</f>
        <v/>
      </c>
      <c r="Z2285" s="14">
        <f>IF(OR($E2285="",$Y2285=""),"",IF($E2285&gt;=$Y2285,"×",IF($E2285&gt;=$Y2285*設定!$C$5,"△","○")))</f>
        <v/>
      </c>
      <c r="AA2285" s="15">
        <f>IF($Z2285="","",IF($Z2285="×",0,IF($Z2285="○",ROUNDDOWN($E2285*設定!$C$4,0),ROUNDDOWN($E2285*ROUND((9*$Y2285-9*$E2285)/(10*$E2285),4),0))))</f>
        <v/>
      </c>
      <c r="AB2285" s="13" t="n"/>
      <c r="AC2285" s="15">
        <f>IF($B2285="","",IF($AB2285&lt;&gt;"",$AB2285,IF($AA2285="","",IF($AA2285&lt;=設定!$C$3,0,$AA2285))))</f>
        <v/>
      </c>
      <c r="AD2285" s="14">
        <f>IF($B2285="","",IF(AND($AE2285&lt;&gt;"",$AG2285="",$AJ2285=""),"保留中",IF($AJ2285&lt;&gt;"",IF(N($AC2285)&gt;0,"支給済","不支給"),IF($AC2285="","要確認",IF($AC2285=0,"不支給","未処理")))))</f>
        <v/>
      </c>
      <c r="AE2285" s="12" t="n"/>
      <c r="AF2285" s="11" t="n"/>
      <c r="AG2285" s="11" t="n"/>
      <c r="AH2285" s="11" t="n"/>
      <c r="AI2285" s="14">
        <f>IF(AND($AD2285="保留中",$AF2285&lt;&gt;""),TODAY()-$AF2285,"")</f>
        <v/>
      </c>
      <c r="AJ2285" s="12" t="n"/>
      <c r="AK2285" s="14">
        <f>IF($B2285="","",IF($AO2285="","対象年月が未入力／","")&amp;IF($B2285="","",IF($AN2285="","職員マスタに未登録の職員番号／",IF($Y2285="","標準報酬月額が未登録／","")&amp;IF(AND($AO2285&lt;&gt;"",OR(AND(INDEX(職員マスタ!$G$6:$G$405,$AN2285)&lt;&gt;"",INDEX(職員マスタ!$G$6:$G$405,$AN2285)&gt;EOMONTH($AO2285,0)),AND(INDEX(職員マスタ!$H$6:$H$405,$AN2285)&lt;&gt;"",INDEX(職員マスタ!$H$6:$H$405,$AN2285)&lt;$AO2285))),"対象月が時短期間外／","")&amp;IF(AND(INDEX(職員マスタ!$F$6:$F$405,$AN2285)&lt;&gt;"",$AO2285&lt;&gt;"",INDEX(職員マスタ!$F$6:$F$405,$AN2285)&lt;$AO2285),"対象月に子が2歳到達済／","")&amp;IF(AND($H2285&lt;&gt;"",INDEX(職員マスタ!$B$6:$B$405,$AN2285)&lt;&gt;"",SUBSTITUTE(SUBSTITUTE($H2285," ","")," ","")&lt;&gt;SUBSTITUTE(SUBSTITUTE(INDEX(職員マスタ!$B$6:$B$405,$AN2285)," ","")," ","")),"氏名がマスタと相違／","")&amp;IF(AND($Q2285&lt;&gt;"",INDEX(職員マスタ!$E$6:$E$405,$AN2285)&lt;&gt;"",$Q2285&lt;&gt;INDEX(職員マスタ!$E$6:$E$405,$AN2285)),"子の生年月日がマスタと相違／","")&amp;IF(AND($L2285&lt;&gt;"",INDEX(職員マスタ!$G$6:$G$405,$AN2285)&lt;&gt;"",$L2285&lt;&gt;INDEX(職員マスタ!$G$6:$G$405,$AN2285)),"時短開始日がマスタと相違／","")&amp;IF(AND($M2285&lt;&gt;"",INDEX(職員マスタ!$H$6:$H$405,$AN2285)&lt;&gt;"",$M2285&lt;&gt;INDEX(職員マスタ!$H$6:$H$405,$AN2285)),"時短終了日がマスタと相違／","")))&amp;IF(AND($B2285&lt;&gt;"",$E2285=""),"報酬額が未入力／","")&amp;IF(N($U2285)&gt;0,"申請書に入力エラーが残っています／","")&amp;IF(AND($B2285&lt;&gt;"",$AO2285&lt;&gt;""),IF(COUNTIFS($B$6:$B$3005,$B2285,$C$6:$C$3005,$C2285,$D$6:$D$3005,$D2285)&gt;1,"同じ月の請求が重複しています／",""),"")&amp;IF(AND(N($E2285)&gt;0,$Z2285&lt;&gt;"",$Z2285&lt;&gt;"×",$AC2285=0,$AB2285=""),"計算額が下限以下のため不支給／",""))</f>
        <v/>
      </c>
      <c r="AL2285" s="12" t="n"/>
      <c r="AM2285" s="14">
        <f>IF($AD2285="保留中",COUNTIF($AD$6:$AD2285,"保留中"),"")</f>
        <v/>
      </c>
      <c r="AN2285" s="14">
        <f>IF($AO2285="","",IF(SUMPRODUCT(MAX((職員マスタ!$A$6:$A$405=$B2285)*(((職員マスタ!$G$6:$G$405="")+(職員マスタ!$G$6:$G$405&lt;=EOMONTH($AO2285,0)))&gt;0)*(((職員マスタ!$H$6:$H$405="")+(職員マスタ!$H$6:$H$405&gt;=$AO2285))&gt;0)*(ROW(職員マスタ!$A$6:$A$405)-5)))&gt;0,SUMPRODUCT(MAX((職員マスタ!$A$6:$A$405=$B2285)*(((職員マスタ!$G$6:$G$405="")+(職員マスタ!$G$6:$G$405&lt;=EOMONTH($AO2285,0)))&gt;0)*(((職員マスタ!$H$6:$H$405="")+(職員マスタ!$H$6:$H$405&gt;=$AO2285))&gt;0)*(ROW(職員マスタ!$A$6:$A$405)-5))),IFERROR(MATCH($B2285,職員マスタ!$A$6:$A$405,0),"")))</f>
        <v/>
      </c>
      <c r="AO2285" s="16">
        <f>IF(OR($B2285="",$C2285="",$D2285=""),"",DATE($C2285+2018,$D2285,1))</f>
        <v/>
      </c>
    </row>
    <row r="2286">
      <c r="A2286" s="11" t="n"/>
      <c r="B2286" s="12" t="n"/>
      <c r="C2286" s="12" t="n"/>
      <c r="D2286" s="12" t="n"/>
      <c r="E2286" s="13" t="n"/>
      <c r="F2286" s="12" t="n"/>
      <c r="G2286" s="13" t="n"/>
      <c r="H2286" s="12" t="n"/>
      <c r="I2286" s="12" t="n"/>
      <c r="J2286" s="12" t="n"/>
      <c r="K2286" s="12" t="n"/>
      <c r="L2286" s="11" t="n"/>
      <c r="M2286" s="11" t="n"/>
      <c r="N2286" s="11" t="n"/>
      <c r="O2286" s="11" t="n"/>
      <c r="P2286" s="12" t="n"/>
      <c r="Q2286" s="11" t="n"/>
      <c r="R2286" s="12" t="n"/>
      <c r="S2286" s="11" t="n"/>
      <c r="T2286" s="12" t="n"/>
      <c r="U2286" s="12" t="n"/>
      <c r="V2286" s="14">
        <f>IF($AN2286="",IF($B2286="","",$H2286),IF(INDEX(職員マスタ!$B$6:$B$405,$AN2286)="",$H2286,INDEX(職員マスタ!$B$6:$B$405,$AN2286)))</f>
        <v/>
      </c>
      <c r="W2286" s="14">
        <f>IF($AN2286="",IF($B2286="","",$R2286),IF(INDEX(職員マスタ!$C$6:$C$405,$AN2286)="",$R2286,INDEX(職員マスタ!$C$6:$C$405,$AN2286)))</f>
        <v/>
      </c>
      <c r="X2286" s="14">
        <f>IF($AO2286="","","R"&amp;$C2286&amp;"."&amp;$D2286)</f>
        <v/>
      </c>
      <c r="Y2286" s="15">
        <f>IF($AN2286="","",IF(INDEX(職員マスタ!$K$6:$K$405,$AN2286)="","",INDEX(職員マスタ!$K$6:$K$405,$AN2286)))</f>
        <v/>
      </c>
      <c r="Z2286" s="14">
        <f>IF(OR($E2286="",$Y2286=""),"",IF($E2286&gt;=$Y2286,"×",IF($E2286&gt;=$Y2286*設定!$C$5,"△","○")))</f>
        <v/>
      </c>
      <c r="AA2286" s="15">
        <f>IF($Z2286="","",IF($Z2286="×",0,IF($Z2286="○",ROUNDDOWN($E2286*設定!$C$4,0),ROUNDDOWN($E2286*ROUND((9*$Y2286-9*$E2286)/(10*$E2286),4),0))))</f>
        <v/>
      </c>
      <c r="AB2286" s="13" t="n"/>
      <c r="AC2286" s="15">
        <f>IF($B2286="","",IF($AB2286&lt;&gt;"",$AB2286,IF($AA2286="","",IF($AA2286&lt;=設定!$C$3,0,$AA2286))))</f>
        <v/>
      </c>
      <c r="AD2286" s="14">
        <f>IF($B2286="","",IF(AND($AE2286&lt;&gt;"",$AG2286="",$AJ2286=""),"保留中",IF($AJ2286&lt;&gt;"",IF(N($AC2286)&gt;0,"支給済","不支給"),IF($AC2286="","要確認",IF($AC2286=0,"不支給","未処理")))))</f>
        <v/>
      </c>
      <c r="AE2286" s="12" t="n"/>
      <c r="AF2286" s="11" t="n"/>
      <c r="AG2286" s="11" t="n"/>
      <c r="AH2286" s="11" t="n"/>
      <c r="AI2286" s="14">
        <f>IF(AND($AD2286="保留中",$AF2286&lt;&gt;""),TODAY()-$AF2286,"")</f>
        <v/>
      </c>
      <c r="AJ2286" s="12" t="n"/>
      <c r="AK2286" s="14">
        <f>IF($B2286="","",IF($AO2286="","対象年月が未入力／","")&amp;IF($B2286="","",IF($AN2286="","職員マスタに未登録の職員番号／",IF($Y2286="","標準報酬月額が未登録／","")&amp;IF(AND($AO2286&lt;&gt;"",OR(AND(INDEX(職員マスタ!$G$6:$G$405,$AN2286)&lt;&gt;"",INDEX(職員マスタ!$G$6:$G$405,$AN2286)&gt;EOMONTH($AO2286,0)),AND(INDEX(職員マスタ!$H$6:$H$405,$AN2286)&lt;&gt;"",INDEX(職員マスタ!$H$6:$H$405,$AN2286)&lt;$AO2286))),"対象月が時短期間外／","")&amp;IF(AND(INDEX(職員マスタ!$F$6:$F$405,$AN2286)&lt;&gt;"",$AO2286&lt;&gt;"",INDEX(職員マスタ!$F$6:$F$405,$AN2286)&lt;$AO2286),"対象月に子が2歳到達済／","")&amp;IF(AND($H2286&lt;&gt;"",INDEX(職員マスタ!$B$6:$B$405,$AN2286)&lt;&gt;"",SUBSTITUTE(SUBSTITUTE($H2286," ","")," ","")&lt;&gt;SUBSTITUTE(SUBSTITUTE(INDEX(職員マスタ!$B$6:$B$405,$AN2286)," ","")," ","")),"氏名がマスタと相違／","")&amp;IF(AND($Q2286&lt;&gt;"",INDEX(職員マスタ!$E$6:$E$405,$AN2286)&lt;&gt;"",$Q2286&lt;&gt;INDEX(職員マスタ!$E$6:$E$405,$AN2286)),"子の生年月日がマスタと相違／","")&amp;IF(AND($L2286&lt;&gt;"",INDEX(職員マスタ!$G$6:$G$405,$AN2286)&lt;&gt;"",$L2286&lt;&gt;INDEX(職員マスタ!$G$6:$G$405,$AN2286)),"時短開始日がマスタと相違／","")&amp;IF(AND($M2286&lt;&gt;"",INDEX(職員マスタ!$H$6:$H$405,$AN2286)&lt;&gt;"",$M2286&lt;&gt;INDEX(職員マスタ!$H$6:$H$405,$AN2286)),"時短終了日がマスタと相違／","")))&amp;IF(AND($B2286&lt;&gt;"",$E2286=""),"報酬額が未入力／","")&amp;IF(N($U2286)&gt;0,"申請書に入力エラーが残っています／","")&amp;IF(AND($B2286&lt;&gt;"",$AO2286&lt;&gt;""),IF(COUNTIFS($B$6:$B$3005,$B2286,$C$6:$C$3005,$C2286,$D$6:$D$3005,$D2286)&gt;1,"同じ月の請求が重複しています／",""),"")&amp;IF(AND(N($E2286)&gt;0,$Z2286&lt;&gt;"",$Z2286&lt;&gt;"×",$AC2286=0,$AB2286=""),"計算額が下限以下のため不支給／",""))</f>
        <v/>
      </c>
      <c r="AL2286" s="12" t="n"/>
      <c r="AM2286" s="14">
        <f>IF($AD2286="保留中",COUNTIF($AD$6:$AD2286,"保留中"),"")</f>
        <v/>
      </c>
      <c r="AN2286" s="14">
        <f>IF($AO2286="","",IF(SUMPRODUCT(MAX((職員マスタ!$A$6:$A$405=$B2286)*(((職員マスタ!$G$6:$G$405="")+(職員マスタ!$G$6:$G$405&lt;=EOMONTH($AO2286,0)))&gt;0)*(((職員マスタ!$H$6:$H$405="")+(職員マスタ!$H$6:$H$405&gt;=$AO2286))&gt;0)*(ROW(職員マスタ!$A$6:$A$405)-5)))&gt;0,SUMPRODUCT(MAX((職員マスタ!$A$6:$A$405=$B2286)*(((職員マスタ!$G$6:$G$405="")+(職員マスタ!$G$6:$G$405&lt;=EOMONTH($AO2286,0)))&gt;0)*(((職員マスタ!$H$6:$H$405="")+(職員マスタ!$H$6:$H$405&gt;=$AO2286))&gt;0)*(ROW(職員マスタ!$A$6:$A$405)-5))),IFERROR(MATCH($B2286,職員マスタ!$A$6:$A$405,0),"")))</f>
        <v/>
      </c>
      <c r="AO2286" s="16">
        <f>IF(OR($B2286="",$C2286="",$D2286=""),"",DATE($C2286+2018,$D2286,1))</f>
        <v/>
      </c>
    </row>
    <row r="2287">
      <c r="A2287" s="11" t="n"/>
      <c r="B2287" s="12" t="n"/>
      <c r="C2287" s="12" t="n"/>
      <c r="D2287" s="12" t="n"/>
      <c r="E2287" s="13" t="n"/>
      <c r="F2287" s="12" t="n"/>
      <c r="G2287" s="13" t="n"/>
      <c r="H2287" s="12" t="n"/>
      <c r="I2287" s="12" t="n"/>
      <c r="J2287" s="12" t="n"/>
      <c r="K2287" s="12" t="n"/>
      <c r="L2287" s="11" t="n"/>
      <c r="M2287" s="11" t="n"/>
      <c r="N2287" s="11" t="n"/>
      <c r="O2287" s="11" t="n"/>
      <c r="P2287" s="12" t="n"/>
      <c r="Q2287" s="11" t="n"/>
      <c r="R2287" s="12" t="n"/>
      <c r="S2287" s="11" t="n"/>
      <c r="T2287" s="12" t="n"/>
      <c r="U2287" s="12" t="n"/>
      <c r="V2287" s="14">
        <f>IF($AN2287="",IF($B2287="","",$H2287),IF(INDEX(職員マスタ!$B$6:$B$405,$AN2287)="",$H2287,INDEX(職員マスタ!$B$6:$B$405,$AN2287)))</f>
        <v/>
      </c>
      <c r="W2287" s="14">
        <f>IF($AN2287="",IF($B2287="","",$R2287),IF(INDEX(職員マスタ!$C$6:$C$405,$AN2287)="",$R2287,INDEX(職員マスタ!$C$6:$C$405,$AN2287)))</f>
        <v/>
      </c>
      <c r="X2287" s="14">
        <f>IF($AO2287="","","R"&amp;$C2287&amp;"."&amp;$D2287)</f>
        <v/>
      </c>
      <c r="Y2287" s="15">
        <f>IF($AN2287="","",IF(INDEX(職員マスタ!$K$6:$K$405,$AN2287)="","",INDEX(職員マスタ!$K$6:$K$405,$AN2287)))</f>
        <v/>
      </c>
      <c r="Z2287" s="14">
        <f>IF(OR($E2287="",$Y2287=""),"",IF($E2287&gt;=$Y2287,"×",IF($E2287&gt;=$Y2287*設定!$C$5,"△","○")))</f>
        <v/>
      </c>
      <c r="AA2287" s="15">
        <f>IF($Z2287="","",IF($Z2287="×",0,IF($Z2287="○",ROUNDDOWN($E2287*設定!$C$4,0),ROUNDDOWN($E2287*ROUND((9*$Y2287-9*$E2287)/(10*$E2287),4),0))))</f>
        <v/>
      </c>
      <c r="AB2287" s="13" t="n"/>
      <c r="AC2287" s="15">
        <f>IF($B2287="","",IF($AB2287&lt;&gt;"",$AB2287,IF($AA2287="","",IF($AA2287&lt;=設定!$C$3,0,$AA2287))))</f>
        <v/>
      </c>
      <c r="AD2287" s="14">
        <f>IF($B2287="","",IF(AND($AE2287&lt;&gt;"",$AG2287="",$AJ2287=""),"保留中",IF($AJ2287&lt;&gt;"",IF(N($AC2287)&gt;0,"支給済","不支給"),IF($AC2287="","要確認",IF($AC2287=0,"不支給","未処理")))))</f>
        <v/>
      </c>
      <c r="AE2287" s="12" t="n"/>
      <c r="AF2287" s="11" t="n"/>
      <c r="AG2287" s="11" t="n"/>
      <c r="AH2287" s="11" t="n"/>
      <c r="AI2287" s="14">
        <f>IF(AND($AD2287="保留中",$AF2287&lt;&gt;""),TODAY()-$AF2287,"")</f>
        <v/>
      </c>
      <c r="AJ2287" s="12" t="n"/>
      <c r="AK2287" s="14">
        <f>IF($B2287="","",IF($AO2287="","対象年月が未入力／","")&amp;IF($B2287="","",IF($AN2287="","職員マスタに未登録の職員番号／",IF($Y2287="","標準報酬月額が未登録／","")&amp;IF(AND($AO2287&lt;&gt;"",OR(AND(INDEX(職員マスタ!$G$6:$G$405,$AN2287)&lt;&gt;"",INDEX(職員マスタ!$G$6:$G$405,$AN2287)&gt;EOMONTH($AO2287,0)),AND(INDEX(職員マスタ!$H$6:$H$405,$AN2287)&lt;&gt;"",INDEX(職員マスタ!$H$6:$H$405,$AN2287)&lt;$AO2287))),"対象月が時短期間外／","")&amp;IF(AND(INDEX(職員マスタ!$F$6:$F$405,$AN2287)&lt;&gt;"",$AO2287&lt;&gt;"",INDEX(職員マスタ!$F$6:$F$405,$AN2287)&lt;$AO2287),"対象月に子が2歳到達済／","")&amp;IF(AND($H2287&lt;&gt;"",INDEX(職員マスタ!$B$6:$B$405,$AN2287)&lt;&gt;"",SUBSTITUTE(SUBSTITUTE($H2287," ","")," ","")&lt;&gt;SUBSTITUTE(SUBSTITUTE(INDEX(職員マスタ!$B$6:$B$405,$AN2287)," ","")," ","")),"氏名がマスタと相違／","")&amp;IF(AND($Q2287&lt;&gt;"",INDEX(職員マスタ!$E$6:$E$405,$AN2287)&lt;&gt;"",$Q2287&lt;&gt;INDEX(職員マスタ!$E$6:$E$405,$AN2287)),"子の生年月日がマスタと相違／","")&amp;IF(AND($L2287&lt;&gt;"",INDEX(職員マスタ!$G$6:$G$405,$AN2287)&lt;&gt;"",$L2287&lt;&gt;INDEX(職員マスタ!$G$6:$G$405,$AN2287)),"時短開始日がマスタと相違／","")&amp;IF(AND($M2287&lt;&gt;"",INDEX(職員マスタ!$H$6:$H$405,$AN2287)&lt;&gt;"",$M2287&lt;&gt;INDEX(職員マスタ!$H$6:$H$405,$AN2287)),"時短終了日がマスタと相違／","")))&amp;IF(AND($B2287&lt;&gt;"",$E2287=""),"報酬額が未入力／","")&amp;IF(N($U2287)&gt;0,"申請書に入力エラーが残っています／","")&amp;IF(AND($B2287&lt;&gt;"",$AO2287&lt;&gt;""),IF(COUNTIFS($B$6:$B$3005,$B2287,$C$6:$C$3005,$C2287,$D$6:$D$3005,$D2287)&gt;1,"同じ月の請求が重複しています／",""),"")&amp;IF(AND(N($E2287)&gt;0,$Z2287&lt;&gt;"",$Z2287&lt;&gt;"×",$AC2287=0,$AB2287=""),"計算額が下限以下のため不支給／",""))</f>
        <v/>
      </c>
      <c r="AL2287" s="12" t="n"/>
      <c r="AM2287" s="14">
        <f>IF($AD2287="保留中",COUNTIF($AD$6:$AD2287,"保留中"),"")</f>
        <v/>
      </c>
      <c r="AN2287" s="14">
        <f>IF($AO2287="","",IF(SUMPRODUCT(MAX((職員マスタ!$A$6:$A$405=$B2287)*(((職員マスタ!$G$6:$G$405="")+(職員マスタ!$G$6:$G$405&lt;=EOMONTH($AO2287,0)))&gt;0)*(((職員マスタ!$H$6:$H$405="")+(職員マスタ!$H$6:$H$405&gt;=$AO2287))&gt;0)*(ROW(職員マスタ!$A$6:$A$405)-5)))&gt;0,SUMPRODUCT(MAX((職員マスタ!$A$6:$A$405=$B2287)*(((職員マスタ!$G$6:$G$405="")+(職員マスタ!$G$6:$G$405&lt;=EOMONTH($AO2287,0)))&gt;0)*(((職員マスタ!$H$6:$H$405="")+(職員マスタ!$H$6:$H$405&gt;=$AO2287))&gt;0)*(ROW(職員マスタ!$A$6:$A$405)-5))),IFERROR(MATCH($B2287,職員マスタ!$A$6:$A$405,0),"")))</f>
        <v/>
      </c>
      <c r="AO2287" s="16">
        <f>IF(OR($B2287="",$C2287="",$D2287=""),"",DATE($C2287+2018,$D2287,1))</f>
        <v/>
      </c>
    </row>
    <row r="2288">
      <c r="A2288" s="11" t="n"/>
      <c r="B2288" s="12" t="n"/>
      <c r="C2288" s="12" t="n"/>
      <c r="D2288" s="12" t="n"/>
      <c r="E2288" s="13" t="n"/>
      <c r="F2288" s="12" t="n"/>
      <c r="G2288" s="13" t="n"/>
      <c r="H2288" s="12" t="n"/>
      <c r="I2288" s="12" t="n"/>
      <c r="J2288" s="12" t="n"/>
      <c r="K2288" s="12" t="n"/>
      <c r="L2288" s="11" t="n"/>
      <c r="M2288" s="11" t="n"/>
      <c r="N2288" s="11" t="n"/>
      <c r="O2288" s="11" t="n"/>
      <c r="P2288" s="12" t="n"/>
      <c r="Q2288" s="11" t="n"/>
      <c r="R2288" s="12" t="n"/>
      <c r="S2288" s="11" t="n"/>
      <c r="T2288" s="12" t="n"/>
      <c r="U2288" s="12" t="n"/>
      <c r="V2288" s="14">
        <f>IF($AN2288="",IF($B2288="","",$H2288),IF(INDEX(職員マスタ!$B$6:$B$405,$AN2288)="",$H2288,INDEX(職員マスタ!$B$6:$B$405,$AN2288)))</f>
        <v/>
      </c>
      <c r="W2288" s="14">
        <f>IF($AN2288="",IF($B2288="","",$R2288),IF(INDEX(職員マスタ!$C$6:$C$405,$AN2288)="",$R2288,INDEX(職員マスタ!$C$6:$C$405,$AN2288)))</f>
        <v/>
      </c>
      <c r="X2288" s="14">
        <f>IF($AO2288="","","R"&amp;$C2288&amp;"."&amp;$D2288)</f>
        <v/>
      </c>
      <c r="Y2288" s="15">
        <f>IF($AN2288="","",IF(INDEX(職員マスタ!$K$6:$K$405,$AN2288)="","",INDEX(職員マスタ!$K$6:$K$405,$AN2288)))</f>
        <v/>
      </c>
      <c r="Z2288" s="14">
        <f>IF(OR($E2288="",$Y2288=""),"",IF($E2288&gt;=$Y2288,"×",IF($E2288&gt;=$Y2288*設定!$C$5,"△","○")))</f>
        <v/>
      </c>
      <c r="AA2288" s="15">
        <f>IF($Z2288="","",IF($Z2288="×",0,IF($Z2288="○",ROUNDDOWN($E2288*設定!$C$4,0),ROUNDDOWN($E2288*ROUND((9*$Y2288-9*$E2288)/(10*$E2288),4),0))))</f>
        <v/>
      </c>
      <c r="AB2288" s="13" t="n"/>
      <c r="AC2288" s="15">
        <f>IF($B2288="","",IF($AB2288&lt;&gt;"",$AB2288,IF($AA2288="","",IF($AA2288&lt;=設定!$C$3,0,$AA2288))))</f>
        <v/>
      </c>
      <c r="AD2288" s="14">
        <f>IF($B2288="","",IF(AND($AE2288&lt;&gt;"",$AG2288="",$AJ2288=""),"保留中",IF($AJ2288&lt;&gt;"",IF(N($AC2288)&gt;0,"支給済","不支給"),IF($AC2288="","要確認",IF($AC2288=0,"不支給","未処理")))))</f>
        <v/>
      </c>
      <c r="AE2288" s="12" t="n"/>
      <c r="AF2288" s="11" t="n"/>
      <c r="AG2288" s="11" t="n"/>
      <c r="AH2288" s="11" t="n"/>
      <c r="AI2288" s="14">
        <f>IF(AND($AD2288="保留中",$AF2288&lt;&gt;""),TODAY()-$AF2288,"")</f>
        <v/>
      </c>
      <c r="AJ2288" s="12" t="n"/>
      <c r="AK2288" s="14">
        <f>IF($B2288="","",IF($AO2288="","対象年月が未入力／","")&amp;IF($B2288="","",IF($AN2288="","職員マスタに未登録の職員番号／",IF($Y2288="","標準報酬月額が未登録／","")&amp;IF(AND($AO2288&lt;&gt;"",OR(AND(INDEX(職員マスタ!$G$6:$G$405,$AN2288)&lt;&gt;"",INDEX(職員マスタ!$G$6:$G$405,$AN2288)&gt;EOMONTH($AO2288,0)),AND(INDEX(職員マスタ!$H$6:$H$405,$AN2288)&lt;&gt;"",INDEX(職員マスタ!$H$6:$H$405,$AN2288)&lt;$AO2288))),"対象月が時短期間外／","")&amp;IF(AND(INDEX(職員マスタ!$F$6:$F$405,$AN2288)&lt;&gt;"",$AO2288&lt;&gt;"",INDEX(職員マスタ!$F$6:$F$405,$AN2288)&lt;$AO2288),"対象月に子が2歳到達済／","")&amp;IF(AND($H2288&lt;&gt;"",INDEX(職員マスタ!$B$6:$B$405,$AN2288)&lt;&gt;"",SUBSTITUTE(SUBSTITUTE($H2288," ","")," ","")&lt;&gt;SUBSTITUTE(SUBSTITUTE(INDEX(職員マスタ!$B$6:$B$405,$AN2288)," ","")," ","")),"氏名がマスタと相違／","")&amp;IF(AND($Q2288&lt;&gt;"",INDEX(職員マスタ!$E$6:$E$405,$AN2288)&lt;&gt;"",$Q2288&lt;&gt;INDEX(職員マスタ!$E$6:$E$405,$AN2288)),"子の生年月日がマスタと相違／","")&amp;IF(AND($L2288&lt;&gt;"",INDEX(職員マスタ!$G$6:$G$405,$AN2288)&lt;&gt;"",$L2288&lt;&gt;INDEX(職員マスタ!$G$6:$G$405,$AN2288)),"時短開始日がマスタと相違／","")&amp;IF(AND($M2288&lt;&gt;"",INDEX(職員マスタ!$H$6:$H$405,$AN2288)&lt;&gt;"",$M2288&lt;&gt;INDEX(職員マスタ!$H$6:$H$405,$AN2288)),"時短終了日がマスタと相違／","")))&amp;IF(AND($B2288&lt;&gt;"",$E2288=""),"報酬額が未入力／","")&amp;IF(N($U2288)&gt;0,"申請書に入力エラーが残っています／","")&amp;IF(AND($B2288&lt;&gt;"",$AO2288&lt;&gt;""),IF(COUNTIFS($B$6:$B$3005,$B2288,$C$6:$C$3005,$C2288,$D$6:$D$3005,$D2288)&gt;1,"同じ月の請求が重複しています／",""),"")&amp;IF(AND(N($E2288)&gt;0,$Z2288&lt;&gt;"",$Z2288&lt;&gt;"×",$AC2288=0,$AB2288=""),"計算額が下限以下のため不支給／",""))</f>
        <v/>
      </c>
      <c r="AL2288" s="12" t="n"/>
      <c r="AM2288" s="14">
        <f>IF($AD2288="保留中",COUNTIF($AD$6:$AD2288,"保留中"),"")</f>
        <v/>
      </c>
      <c r="AN2288" s="14">
        <f>IF($AO2288="","",IF(SUMPRODUCT(MAX((職員マスタ!$A$6:$A$405=$B2288)*(((職員マスタ!$G$6:$G$405="")+(職員マスタ!$G$6:$G$405&lt;=EOMONTH($AO2288,0)))&gt;0)*(((職員マスタ!$H$6:$H$405="")+(職員マスタ!$H$6:$H$405&gt;=$AO2288))&gt;0)*(ROW(職員マスタ!$A$6:$A$405)-5)))&gt;0,SUMPRODUCT(MAX((職員マスタ!$A$6:$A$405=$B2288)*(((職員マスタ!$G$6:$G$405="")+(職員マスタ!$G$6:$G$405&lt;=EOMONTH($AO2288,0)))&gt;0)*(((職員マスタ!$H$6:$H$405="")+(職員マスタ!$H$6:$H$405&gt;=$AO2288))&gt;0)*(ROW(職員マスタ!$A$6:$A$405)-5))),IFERROR(MATCH($B2288,職員マスタ!$A$6:$A$405,0),"")))</f>
        <v/>
      </c>
      <c r="AO2288" s="16">
        <f>IF(OR($B2288="",$C2288="",$D2288=""),"",DATE($C2288+2018,$D2288,1))</f>
        <v/>
      </c>
    </row>
    <row r="2289">
      <c r="A2289" s="11" t="n"/>
      <c r="B2289" s="12" t="n"/>
      <c r="C2289" s="12" t="n"/>
      <c r="D2289" s="12" t="n"/>
      <c r="E2289" s="13" t="n"/>
      <c r="F2289" s="12" t="n"/>
      <c r="G2289" s="13" t="n"/>
      <c r="H2289" s="12" t="n"/>
      <c r="I2289" s="12" t="n"/>
      <c r="J2289" s="12" t="n"/>
      <c r="K2289" s="12" t="n"/>
      <c r="L2289" s="11" t="n"/>
      <c r="M2289" s="11" t="n"/>
      <c r="N2289" s="11" t="n"/>
      <c r="O2289" s="11" t="n"/>
      <c r="P2289" s="12" t="n"/>
      <c r="Q2289" s="11" t="n"/>
      <c r="R2289" s="12" t="n"/>
      <c r="S2289" s="11" t="n"/>
      <c r="T2289" s="12" t="n"/>
      <c r="U2289" s="12" t="n"/>
      <c r="V2289" s="14">
        <f>IF($AN2289="",IF($B2289="","",$H2289),IF(INDEX(職員マスタ!$B$6:$B$405,$AN2289)="",$H2289,INDEX(職員マスタ!$B$6:$B$405,$AN2289)))</f>
        <v/>
      </c>
      <c r="W2289" s="14">
        <f>IF($AN2289="",IF($B2289="","",$R2289),IF(INDEX(職員マスタ!$C$6:$C$405,$AN2289)="",$R2289,INDEX(職員マスタ!$C$6:$C$405,$AN2289)))</f>
        <v/>
      </c>
      <c r="X2289" s="14">
        <f>IF($AO2289="","","R"&amp;$C2289&amp;"."&amp;$D2289)</f>
        <v/>
      </c>
      <c r="Y2289" s="15">
        <f>IF($AN2289="","",IF(INDEX(職員マスタ!$K$6:$K$405,$AN2289)="","",INDEX(職員マスタ!$K$6:$K$405,$AN2289)))</f>
        <v/>
      </c>
      <c r="Z2289" s="14">
        <f>IF(OR($E2289="",$Y2289=""),"",IF($E2289&gt;=$Y2289,"×",IF($E2289&gt;=$Y2289*設定!$C$5,"△","○")))</f>
        <v/>
      </c>
      <c r="AA2289" s="15">
        <f>IF($Z2289="","",IF($Z2289="×",0,IF($Z2289="○",ROUNDDOWN($E2289*設定!$C$4,0),ROUNDDOWN($E2289*ROUND((9*$Y2289-9*$E2289)/(10*$E2289),4),0))))</f>
        <v/>
      </c>
      <c r="AB2289" s="13" t="n"/>
      <c r="AC2289" s="15">
        <f>IF($B2289="","",IF($AB2289&lt;&gt;"",$AB2289,IF($AA2289="","",IF($AA2289&lt;=設定!$C$3,0,$AA2289))))</f>
        <v/>
      </c>
      <c r="AD2289" s="14">
        <f>IF($B2289="","",IF(AND($AE2289&lt;&gt;"",$AG2289="",$AJ2289=""),"保留中",IF($AJ2289&lt;&gt;"",IF(N($AC2289)&gt;0,"支給済","不支給"),IF($AC2289="","要確認",IF($AC2289=0,"不支給","未処理")))))</f>
        <v/>
      </c>
      <c r="AE2289" s="12" t="n"/>
      <c r="AF2289" s="11" t="n"/>
      <c r="AG2289" s="11" t="n"/>
      <c r="AH2289" s="11" t="n"/>
      <c r="AI2289" s="14">
        <f>IF(AND($AD2289="保留中",$AF2289&lt;&gt;""),TODAY()-$AF2289,"")</f>
        <v/>
      </c>
      <c r="AJ2289" s="12" t="n"/>
      <c r="AK2289" s="14">
        <f>IF($B2289="","",IF($AO2289="","対象年月が未入力／","")&amp;IF($B2289="","",IF($AN2289="","職員マスタに未登録の職員番号／",IF($Y2289="","標準報酬月額が未登録／","")&amp;IF(AND($AO2289&lt;&gt;"",OR(AND(INDEX(職員マスタ!$G$6:$G$405,$AN2289)&lt;&gt;"",INDEX(職員マスタ!$G$6:$G$405,$AN2289)&gt;EOMONTH($AO2289,0)),AND(INDEX(職員マスタ!$H$6:$H$405,$AN2289)&lt;&gt;"",INDEX(職員マスタ!$H$6:$H$405,$AN2289)&lt;$AO2289))),"対象月が時短期間外／","")&amp;IF(AND(INDEX(職員マスタ!$F$6:$F$405,$AN2289)&lt;&gt;"",$AO2289&lt;&gt;"",INDEX(職員マスタ!$F$6:$F$405,$AN2289)&lt;$AO2289),"対象月に子が2歳到達済／","")&amp;IF(AND($H2289&lt;&gt;"",INDEX(職員マスタ!$B$6:$B$405,$AN2289)&lt;&gt;"",SUBSTITUTE(SUBSTITUTE($H2289," ","")," ","")&lt;&gt;SUBSTITUTE(SUBSTITUTE(INDEX(職員マスタ!$B$6:$B$405,$AN2289)," ","")," ","")),"氏名がマスタと相違／","")&amp;IF(AND($Q2289&lt;&gt;"",INDEX(職員マスタ!$E$6:$E$405,$AN2289)&lt;&gt;"",$Q2289&lt;&gt;INDEX(職員マスタ!$E$6:$E$405,$AN2289)),"子の生年月日がマスタと相違／","")&amp;IF(AND($L2289&lt;&gt;"",INDEX(職員マスタ!$G$6:$G$405,$AN2289)&lt;&gt;"",$L2289&lt;&gt;INDEX(職員マスタ!$G$6:$G$405,$AN2289)),"時短開始日がマスタと相違／","")&amp;IF(AND($M2289&lt;&gt;"",INDEX(職員マスタ!$H$6:$H$405,$AN2289)&lt;&gt;"",$M2289&lt;&gt;INDEX(職員マスタ!$H$6:$H$405,$AN2289)),"時短終了日がマスタと相違／","")))&amp;IF(AND($B2289&lt;&gt;"",$E2289=""),"報酬額が未入力／","")&amp;IF(N($U2289)&gt;0,"申請書に入力エラーが残っています／","")&amp;IF(AND($B2289&lt;&gt;"",$AO2289&lt;&gt;""),IF(COUNTIFS($B$6:$B$3005,$B2289,$C$6:$C$3005,$C2289,$D$6:$D$3005,$D2289)&gt;1,"同じ月の請求が重複しています／",""),"")&amp;IF(AND(N($E2289)&gt;0,$Z2289&lt;&gt;"",$Z2289&lt;&gt;"×",$AC2289=0,$AB2289=""),"計算額が下限以下のため不支給／",""))</f>
        <v/>
      </c>
      <c r="AL2289" s="12" t="n"/>
      <c r="AM2289" s="14">
        <f>IF($AD2289="保留中",COUNTIF($AD$6:$AD2289,"保留中"),"")</f>
        <v/>
      </c>
      <c r="AN2289" s="14">
        <f>IF($AO2289="","",IF(SUMPRODUCT(MAX((職員マスタ!$A$6:$A$405=$B2289)*(((職員マスタ!$G$6:$G$405="")+(職員マスタ!$G$6:$G$405&lt;=EOMONTH($AO2289,0)))&gt;0)*(((職員マスタ!$H$6:$H$405="")+(職員マスタ!$H$6:$H$405&gt;=$AO2289))&gt;0)*(ROW(職員マスタ!$A$6:$A$405)-5)))&gt;0,SUMPRODUCT(MAX((職員マスタ!$A$6:$A$405=$B2289)*(((職員マスタ!$G$6:$G$405="")+(職員マスタ!$G$6:$G$405&lt;=EOMONTH($AO2289,0)))&gt;0)*(((職員マスタ!$H$6:$H$405="")+(職員マスタ!$H$6:$H$405&gt;=$AO2289))&gt;0)*(ROW(職員マスタ!$A$6:$A$405)-5))),IFERROR(MATCH($B2289,職員マスタ!$A$6:$A$405,0),"")))</f>
        <v/>
      </c>
      <c r="AO2289" s="16">
        <f>IF(OR($B2289="",$C2289="",$D2289=""),"",DATE($C2289+2018,$D2289,1))</f>
        <v/>
      </c>
    </row>
    <row r="2290">
      <c r="A2290" s="11" t="n"/>
      <c r="B2290" s="12" t="n"/>
      <c r="C2290" s="12" t="n"/>
      <c r="D2290" s="12" t="n"/>
      <c r="E2290" s="13" t="n"/>
      <c r="F2290" s="12" t="n"/>
      <c r="G2290" s="13" t="n"/>
      <c r="H2290" s="12" t="n"/>
      <c r="I2290" s="12" t="n"/>
      <c r="J2290" s="12" t="n"/>
      <c r="K2290" s="12" t="n"/>
      <c r="L2290" s="11" t="n"/>
      <c r="M2290" s="11" t="n"/>
      <c r="N2290" s="11" t="n"/>
      <c r="O2290" s="11" t="n"/>
      <c r="P2290" s="12" t="n"/>
      <c r="Q2290" s="11" t="n"/>
      <c r="R2290" s="12" t="n"/>
      <c r="S2290" s="11" t="n"/>
      <c r="T2290" s="12" t="n"/>
      <c r="U2290" s="12" t="n"/>
      <c r="V2290" s="14">
        <f>IF($AN2290="",IF($B2290="","",$H2290),IF(INDEX(職員マスタ!$B$6:$B$405,$AN2290)="",$H2290,INDEX(職員マスタ!$B$6:$B$405,$AN2290)))</f>
        <v/>
      </c>
      <c r="W2290" s="14">
        <f>IF($AN2290="",IF($B2290="","",$R2290),IF(INDEX(職員マスタ!$C$6:$C$405,$AN2290)="",$R2290,INDEX(職員マスタ!$C$6:$C$405,$AN2290)))</f>
        <v/>
      </c>
      <c r="X2290" s="14">
        <f>IF($AO2290="","","R"&amp;$C2290&amp;"."&amp;$D2290)</f>
        <v/>
      </c>
      <c r="Y2290" s="15">
        <f>IF($AN2290="","",IF(INDEX(職員マスタ!$K$6:$K$405,$AN2290)="","",INDEX(職員マスタ!$K$6:$K$405,$AN2290)))</f>
        <v/>
      </c>
      <c r="Z2290" s="14">
        <f>IF(OR($E2290="",$Y2290=""),"",IF($E2290&gt;=$Y2290,"×",IF($E2290&gt;=$Y2290*設定!$C$5,"△","○")))</f>
        <v/>
      </c>
      <c r="AA2290" s="15">
        <f>IF($Z2290="","",IF($Z2290="×",0,IF($Z2290="○",ROUNDDOWN($E2290*設定!$C$4,0),ROUNDDOWN($E2290*ROUND((9*$Y2290-9*$E2290)/(10*$E2290),4),0))))</f>
        <v/>
      </c>
      <c r="AB2290" s="13" t="n"/>
      <c r="AC2290" s="15">
        <f>IF($B2290="","",IF($AB2290&lt;&gt;"",$AB2290,IF($AA2290="","",IF($AA2290&lt;=設定!$C$3,0,$AA2290))))</f>
        <v/>
      </c>
      <c r="AD2290" s="14">
        <f>IF($B2290="","",IF(AND($AE2290&lt;&gt;"",$AG2290="",$AJ2290=""),"保留中",IF($AJ2290&lt;&gt;"",IF(N($AC2290)&gt;0,"支給済","不支給"),IF($AC2290="","要確認",IF($AC2290=0,"不支給","未処理")))))</f>
        <v/>
      </c>
      <c r="AE2290" s="12" t="n"/>
      <c r="AF2290" s="11" t="n"/>
      <c r="AG2290" s="11" t="n"/>
      <c r="AH2290" s="11" t="n"/>
      <c r="AI2290" s="14">
        <f>IF(AND($AD2290="保留中",$AF2290&lt;&gt;""),TODAY()-$AF2290,"")</f>
        <v/>
      </c>
      <c r="AJ2290" s="12" t="n"/>
      <c r="AK2290" s="14">
        <f>IF($B2290="","",IF($AO2290="","対象年月が未入力／","")&amp;IF($B2290="","",IF($AN2290="","職員マスタに未登録の職員番号／",IF($Y2290="","標準報酬月額が未登録／","")&amp;IF(AND($AO2290&lt;&gt;"",OR(AND(INDEX(職員マスタ!$G$6:$G$405,$AN2290)&lt;&gt;"",INDEX(職員マスタ!$G$6:$G$405,$AN2290)&gt;EOMONTH($AO2290,0)),AND(INDEX(職員マスタ!$H$6:$H$405,$AN2290)&lt;&gt;"",INDEX(職員マスタ!$H$6:$H$405,$AN2290)&lt;$AO2290))),"対象月が時短期間外／","")&amp;IF(AND(INDEX(職員マスタ!$F$6:$F$405,$AN2290)&lt;&gt;"",$AO2290&lt;&gt;"",INDEX(職員マスタ!$F$6:$F$405,$AN2290)&lt;$AO2290),"対象月に子が2歳到達済／","")&amp;IF(AND($H2290&lt;&gt;"",INDEX(職員マスタ!$B$6:$B$405,$AN2290)&lt;&gt;"",SUBSTITUTE(SUBSTITUTE($H2290," ","")," ","")&lt;&gt;SUBSTITUTE(SUBSTITUTE(INDEX(職員マスタ!$B$6:$B$405,$AN2290)," ","")," ","")),"氏名がマスタと相違／","")&amp;IF(AND($Q2290&lt;&gt;"",INDEX(職員マスタ!$E$6:$E$405,$AN2290)&lt;&gt;"",$Q2290&lt;&gt;INDEX(職員マスタ!$E$6:$E$405,$AN2290)),"子の生年月日がマスタと相違／","")&amp;IF(AND($L2290&lt;&gt;"",INDEX(職員マスタ!$G$6:$G$405,$AN2290)&lt;&gt;"",$L2290&lt;&gt;INDEX(職員マスタ!$G$6:$G$405,$AN2290)),"時短開始日がマスタと相違／","")&amp;IF(AND($M2290&lt;&gt;"",INDEX(職員マスタ!$H$6:$H$405,$AN2290)&lt;&gt;"",$M2290&lt;&gt;INDEX(職員マスタ!$H$6:$H$405,$AN2290)),"時短終了日がマスタと相違／","")))&amp;IF(AND($B2290&lt;&gt;"",$E2290=""),"報酬額が未入力／","")&amp;IF(N($U2290)&gt;0,"申請書に入力エラーが残っています／","")&amp;IF(AND($B2290&lt;&gt;"",$AO2290&lt;&gt;""),IF(COUNTIFS($B$6:$B$3005,$B2290,$C$6:$C$3005,$C2290,$D$6:$D$3005,$D2290)&gt;1,"同じ月の請求が重複しています／",""),"")&amp;IF(AND(N($E2290)&gt;0,$Z2290&lt;&gt;"",$Z2290&lt;&gt;"×",$AC2290=0,$AB2290=""),"計算額が下限以下のため不支給／",""))</f>
        <v/>
      </c>
      <c r="AL2290" s="12" t="n"/>
      <c r="AM2290" s="14">
        <f>IF($AD2290="保留中",COUNTIF($AD$6:$AD2290,"保留中"),"")</f>
        <v/>
      </c>
      <c r="AN2290" s="14">
        <f>IF($AO2290="","",IF(SUMPRODUCT(MAX((職員マスタ!$A$6:$A$405=$B2290)*(((職員マスタ!$G$6:$G$405="")+(職員マスタ!$G$6:$G$405&lt;=EOMONTH($AO2290,0)))&gt;0)*(((職員マスタ!$H$6:$H$405="")+(職員マスタ!$H$6:$H$405&gt;=$AO2290))&gt;0)*(ROW(職員マスタ!$A$6:$A$405)-5)))&gt;0,SUMPRODUCT(MAX((職員マスタ!$A$6:$A$405=$B2290)*(((職員マスタ!$G$6:$G$405="")+(職員マスタ!$G$6:$G$405&lt;=EOMONTH($AO2290,0)))&gt;0)*(((職員マスタ!$H$6:$H$405="")+(職員マスタ!$H$6:$H$405&gt;=$AO2290))&gt;0)*(ROW(職員マスタ!$A$6:$A$405)-5))),IFERROR(MATCH($B2290,職員マスタ!$A$6:$A$405,0),"")))</f>
        <v/>
      </c>
      <c r="AO2290" s="16">
        <f>IF(OR($B2290="",$C2290="",$D2290=""),"",DATE($C2290+2018,$D2290,1))</f>
        <v/>
      </c>
    </row>
    <row r="2291">
      <c r="A2291" s="11" t="n"/>
      <c r="B2291" s="12" t="n"/>
      <c r="C2291" s="12" t="n"/>
      <c r="D2291" s="12" t="n"/>
      <c r="E2291" s="13" t="n"/>
      <c r="F2291" s="12" t="n"/>
      <c r="G2291" s="13" t="n"/>
      <c r="H2291" s="12" t="n"/>
      <c r="I2291" s="12" t="n"/>
      <c r="J2291" s="12" t="n"/>
      <c r="K2291" s="12" t="n"/>
      <c r="L2291" s="11" t="n"/>
      <c r="M2291" s="11" t="n"/>
      <c r="N2291" s="11" t="n"/>
      <c r="O2291" s="11" t="n"/>
      <c r="P2291" s="12" t="n"/>
      <c r="Q2291" s="11" t="n"/>
      <c r="R2291" s="12" t="n"/>
      <c r="S2291" s="11" t="n"/>
      <c r="T2291" s="12" t="n"/>
      <c r="U2291" s="12" t="n"/>
      <c r="V2291" s="14">
        <f>IF($AN2291="",IF($B2291="","",$H2291),IF(INDEX(職員マスタ!$B$6:$B$405,$AN2291)="",$H2291,INDEX(職員マスタ!$B$6:$B$405,$AN2291)))</f>
        <v/>
      </c>
      <c r="W2291" s="14">
        <f>IF($AN2291="",IF($B2291="","",$R2291),IF(INDEX(職員マスタ!$C$6:$C$405,$AN2291)="",$R2291,INDEX(職員マスタ!$C$6:$C$405,$AN2291)))</f>
        <v/>
      </c>
      <c r="X2291" s="14">
        <f>IF($AO2291="","","R"&amp;$C2291&amp;"."&amp;$D2291)</f>
        <v/>
      </c>
      <c r="Y2291" s="15">
        <f>IF($AN2291="","",IF(INDEX(職員マスタ!$K$6:$K$405,$AN2291)="","",INDEX(職員マスタ!$K$6:$K$405,$AN2291)))</f>
        <v/>
      </c>
      <c r="Z2291" s="14">
        <f>IF(OR($E2291="",$Y2291=""),"",IF($E2291&gt;=$Y2291,"×",IF($E2291&gt;=$Y2291*設定!$C$5,"△","○")))</f>
        <v/>
      </c>
      <c r="AA2291" s="15">
        <f>IF($Z2291="","",IF($Z2291="×",0,IF($Z2291="○",ROUNDDOWN($E2291*設定!$C$4,0),ROUNDDOWN($E2291*ROUND((9*$Y2291-9*$E2291)/(10*$E2291),4),0))))</f>
        <v/>
      </c>
      <c r="AB2291" s="13" t="n"/>
      <c r="AC2291" s="15">
        <f>IF($B2291="","",IF($AB2291&lt;&gt;"",$AB2291,IF($AA2291="","",IF($AA2291&lt;=設定!$C$3,0,$AA2291))))</f>
        <v/>
      </c>
      <c r="AD2291" s="14">
        <f>IF($B2291="","",IF(AND($AE2291&lt;&gt;"",$AG2291="",$AJ2291=""),"保留中",IF($AJ2291&lt;&gt;"",IF(N($AC2291)&gt;0,"支給済","不支給"),IF($AC2291="","要確認",IF($AC2291=0,"不支給","未処理")))))</f>
        <v/>
      </c>
      <c r="AE2291" s="12" t="n"/>
      <c r="AF2291" s="11" t="n"/>
      <c r="AG2291" s="11" t="n"/>
      <c r="AH2291" s="11" t="n"/>
      <c r="AI2291" s="14">
        <f>IF(AND($AD2291="保留中",$AF2291&lt;&gt;""),TODAY()-$AF2291,"")</f>
        <v/>
      </c>
      <c r="AJ2291" s="12" t="n"/>
      <c r="AK2291" s="14">
        <f>IF($B2291="","",IF($AO2291="","対象年月が未入力／","")&amp;IF($B2291="","",IF($AN2291="","職員マスタに未登録の職員番号／",IF($Y2291="","標準報酬月額が未登録／","")&amp;IF(AND($AO2291&lt;&gt;"",OR(AND(INDEX(職員マスタ!$G$6:$G$405,$AN2291)&lt;&gt;"",INDEX(職員マスタ!$G$6:$G$405,$AN2291)&gt;EOMONTH($AO2291,0)),AND(INDEX(職員マスタ!$H$6:$H$405,$AN2291)&lt;&gt;"",INDEX(職員マスタ!$H$6:$H$405,$AN2291)&lt;$AO2291))),"対象月が時短期間外／","")&amp;IF(AND(INDEX(職員マスタ!$F$6:$F$405,$AN2291)&lt;&gt;"",$AO2291&lt;&gt;"",INDEX(職員マスタ!$F$6:$F$405,$AN2291)&lt;$AO2291),"対象月に子が2歳到達済／","")&amp;IF(AND($H2291&lt;&gt;"",INDEX(職員マスタ!$B$6:$B$405,$AN2291)&lt;&gt;"",SUBSTITUTE(SUBSTITUTE($H2291," ","")," ","")&lt;&gt;SUBSTITUTE(SUBSTITUTE(INDEX(職員マスタ!$B$6:$B$405,$AN2291)," ","")," ","")),"氏名がマスタと相違／","")&amp;IF(AND($Q2291&lt;&gt;"",INDEX(職員マスタ!$E$6:$E$405,$AN2291)&lt;&gt;"",$Q2291&lt;&gt;INDEX(職員マスタ!$E$6:$E$405,$AN2291)),"子の生年月日がマスタと相違／","")&amp;IF(AND($L2291&lt;&gt;"",INDEX(職員マスタ!$G$6:$G$405,$AN2291)&lt;&gt;"",$L2291&lt;&gt;INDEX(職員マスタ!$G$6:$G$405,$AN2291)),"時短開始日がマスタと相違／","")&amp;IF(AND($M2291&lt;&gt;"",INDEX(職員マスタ!$H$6:$H$405,$AN2291)&lt;&gt;"",$M2291&lt;&gt;INDEX(職員マスタ!$H$6:$H$405,$AN2291)),"時短終了日がマスタと相違／","")))&amp;IF(AND($B2291&lt;&gt;"",$E2291=""),"報酬額が未入力／","")&amp;IF(N($U2291)&gt;0,"申請書に入力エラーが残っています／","")&amp;IF(AND($B2291&lt;&gt;"",$AO2291&lt;&gt;""),IF(COUNTIFS($B$6:$B$3005,$B2291,$C$6:$C$3005,$C2291,$D$6:$D$3005,$D2291)&gt;1,"同じ月の請求が重複しています／",""),"")&amp;IF(AND(N($E2291)&gt;0,$Z2291&lt;&gt;"",$Z2291&lt;&gt;"×",$AC2291=0,$AB2291=""),"計算額が下限以下のため不支給／",""))</f>
        <v/>
      </c>
      <c r="AL2291" s="12" t="n"/>
      <c r="AM2291" s="14">
        <f>IF($AD2291="保留中",COUNTIF($AD$6:$AD2291,"保留中"),"")</f>
        <v/>
      </c>
      <c r="AN2291" s="14">
        <f>IF($AO2291="","",IF(SUMPRODUCT(MAX((職員マスタ!$A$6:$A$405=$B2291)*(((職員マスタ!$G$6:$G$405="")+(職員マスタ!$G$6:$G$405&lt;=EOMONTH($AO2291,0)))&gt;0)*(((職員マスタ!$H$6:$H$405="")+(職員マスタ!$H$6:$H$405&gt;=$AO2291))&gt;0)*(ROW(職員マスタ!$A$6:$A$405)-5)))&gt;0,SUMPRODUCT(MAX((職員マスタ!$A$6:$A$405=$B2291)*(((職員マスタ!$G$6:$G$405="")+(職員マスタ!$G$6:$G$405&lt;=EOMONTH($AO2291,0)))&gt;0)*(((職員マスタ!$H$6:$H$405="")+(職員マスタ!$H$6:$H$405&gt;=$AO2291))&gt;0)*(ROW(職員マスタ!$A$6:$A$405)-5))),IFERROR(MATCH($B2291,職員マスタ!$A$6:$A$405,0),"")))</f>
        <v/>
      </c>
      <c r="AO2291" s="16">
        <f>IF(OR($B2291="",$C2291="",$D2291=""),"",DATE($C2291+2018,$D2291,1))</f>
        <v/>
      </c>
    </row>
    <row r="2292">
      <c r="A2292" s="11" t="n"/>
      <c r="B2292" s="12" t="n"/>
      <c r="C2292" s="12" t="n"/>
      <c r="D2292" s="12" t="n"/>
      <c r="E2292" s="13" t="n"/>
      <c r="F2292" s="12" t="n"/>
      <c r="G2292" s="13" t="n"/>
      <c r="H2292" s="12" t="n"/>
      <c r="I2292" s="12" t="n"/>
      <c r="J2292" s="12" t="n"/>
      <c r="K2292" s="12" t="n"/>
      <c r="L2292" s="11" t="n"/>
      <c r="M2292" s="11" t="n"/>
      <c r="N2292" s="11" t="n"/>
      <c r="O2292" s="11" t="n"/>
      <c r="P2292" s="12" t="n"/>
      <c r="Q2292" s="11" t="n"/>
      <c r="R2292" s="12" t="n"/>
      <c r="S2292" s="11" t="n"/>
      <c r="T2292" s="12" t="n"/>
      <c r="U2292" s="12" t="n"/>
      <c r="V2292" s="14">
        <f>IF($AN2292="",IF($B2292="","",$H2292),IF(INDEX(職員マスタ!$B$6:$B$405,$AN2292)="",$H2292,INDEX(職員マスタ!$B$6:$B$405,$AN2292)))</f>
        <v/>
      </c>
      <c r="W2292" s="14">
        <f>IF($AN2292="",IF($B2292="","",$R2292),IF(INDEX(職員マスタ!$C$6:$C$405,$AN2292)="",$R2292,INDEX(職員マスタ!$C$6:$C$405,$AN2292)))</f>
        <v/>
      </c>
      <c r="X2292" s="14">
        <f>IF($AO2292="","","R"&amp;$C2292&amp;"."&amp;$D2292)</f>
        <v/>
      </c>
      <c r="Y2292" s="15">
        <f>IF($AN2292="","",IF(INDEX(職員マスタ!$K$6:$K$405,$AN2292)="","",INDEX(職員マスタ!$K$6:$K$405,$AN2292)))</f>
        <v/>
      </c>
      <c r="Z2292" s="14">
        <f>IF(OR($E2292="",$Y2292=""),"",IF($E2292&gt;=$Y2292,"×",IF($E2292&gt;=$Y2292*設定!$C$5,"△","○")))</f>
        <v/>
      </c>
      <c r="AA2292" s="15">
        <f>IF($Z2292="","",IF($Z2292="×",0,IF($Z2292="○",ROUNDDOWN($E2292*設定!$C$4,0),ROUNDDOWN($E2292*ROUND((9*$Y2292-9*$E2292)/(10*$E2292),4),0))))</f>
        <v/>
      </c>
      <c r="AB2292" s="13" t="n"/>
      <c r="AC2292" s="15">
        <f>IF($B2292="","",IF($AB2292&lt;&gt;"",$AB2292,IF($AA2292="","",IF($AA2292&lt;=設定!$C$3,0,$AA2292))))</f>
        <v/>
      </c>
      <c r="AD2292" s="14">
        <f>IF($B2292="","",IF(AND($AE2292&lt;&gt;"",$AG2292="",$AJ2292=""),"保留中",IF($AJ2292&lt;&gt;"",IF(N($AC2292)&gt;0,"支給済","不支給"),IF($AC2292="","要確認",IF($AC2292=0,"不支給","未処理")))))</f>
        <v/>
      </c>
      <c r="AE2292" s="12" t="n"/>
      <c r="AF2292" s="11" t="n"/>
      <c r="AG2292" s="11" t="n"/>
      <c r="AH2292" s="11" t="n"/>
      <c r="AI2292" s="14">
        <f>IF(AND($AD2292="保留中",$AF2292&lt;&gt;""),TODAY()-$AF2292,"")</f>
        <v/>
      </c>
      <c r="AJ2292" s="12" t="n"/>
      <c r="AK2292" s="14">
        <f>IF($B2292="","",IF($AO2292="","対象年月が未入力／","")&amp;IF($B2292="","",IF($AN2292="","職員マスタに未登録の職員番号／",IF($Y2292="","標準報酬月額が未登録／","")&amp;IF(AND($AO2292&lt;&gt;"",OR(AND(INDEX(職員マスタ!$G$6:$G$405,$AN2292)&lt;&gt;"",INDEX(職員マスタ!$G$6:$G$405,$AN2292)&gt;EOMONTH($AO2292,0)),AND(INDEX(職員マスタ!$H$6:$H$405,$AN2292)&lt;&gt;"",INDEX(職員マスタ!$H$6:$H$405,$AN2292)&lt;$AO2292))),"対象月が時短期間外／","")&amp;IF(AND(INDEX(職員マスタ!$F$6:$F$405,$AN2292)&lt;&gt;"",$AO2292&lt;&gt;"",INDEX(職員マスタ!$F$6:$F$405,$AN2292)&lt;$AO2292),"対象月に子が2歳到達済／","")&amp;IF(AND($H2292&lt;&gt;"",INDEX(職員マスタ!$B$6:$B$405,$AN2292)&lt;&gt;"",SUBSTITUTE(SUBSTITUTE($H2292," ","")," ","")&lt;&gt;SUBSTITUTE(SUBSTITUTE(INDEX(職員マスタ!$B$6:$B$405,$AN2292)," ","")," ","")),"氏名がマスタと相違／","")&amp;IF(AND($Q2292&lt;&gt;"",INDEX(職員マスタ!$E$6:$E$405,$AN2292)&lt;&gt;"",$Q2292&lt;&gt;INDEX(職員マスタ!$E$6:$E$405,$AN2292)),"子の生年月日がマスタと相違／","")&amp;IF(AND($L2292&lt;&gt;"",INDEX(職員マスタ!$G$6:$G$405,$AN2292)&lt;&gt;"",$L2292&lt;&gt;INDEX(職員マスタ!$G$6:$G$405,$AN2292)),"時短開始日がマスタと相違／","")&amp;IF(AND($M2292&lt;&gt;"",INDEX(職員マスタ!$H$6:$H$405,$AN2292)&lt;&gt;"",$M2292&lt;&gt;INDEX(職員マスタ!$H$6:$H$405,$AN2292)),"時短終了日がマスタと相違／","")))&amp;IF(AND($B2292&lt;&gt;"",$E2292=""),"報酬額が未入力／","")&amp;IF(N($U2292)&gt;0,"申請書に入力エラーが残っています／","")&amp;IF(AND($B2292&lt;&gt;"",$AO2292&lt;&gt;""),IF(COUNTIFS($B$6:$B$3005,$B2292,$C$6:$C$3005,$C2292,$D$6:$D$3005,$D2292)&gt;1,"同じ月の請求が重複しています／",""),"")&amp;IF(AND(N($E2292)&gt;0,$Z2292&lt;&gt;"",$Z2292&lt;&gt;"×",$AC2292=0,$AB2292=""),"計算額が下限以下のため不支給／",""))</f>
        <v/>
      </c>
      <c r="AL2292" s="12" t="n"/>
      <c r="AM2292" s="14">
        <f>IF($AD2292="保留中",COUNTIF($AD$6:$AD2292,"保留中"),"")</f>
        <v/>
      </c>
      <c r="AN2292" s="14">
        <f>IF($AO2292="","",IF(SUMPRODUCT(MAX((職員マスタ!$A$6:$A$405=$B2292)*(((職員マスタ!$G$6:$G$405="")+(職員マスタ!$G$6:$G$405&lt;=EOMONTH($AO2292,0)))&gt;0)*(((職員マスタ!$H$6:$H$405="")+(職員マスタ!$H$6:$H$405&gt;=$AO2292))&gt;0)*(ROW(職員マスタ!$A$6:$A$405)-5)))&gt;0,SUMPRODUCT(MAX((職員マスタ!$A$6:$A$405=$B2292)*(((職員マスタ!$G$6:$G$405="")+(職員マスタ!$G$6:$G$405&lt;=EOMONTH($AO2292,0)))&gt;0)*(((職員マスタ!$H$6:$H$405="")+(職員マスタ!$H$6:$H$405&gt;=$AO2292))&gt;0)*(ROW(職員マスタ!$A$6:$A$405)-5))),IFERROR(MATCH($B2292,職員マスタ!$A$6:$A$405,0),"")))</f>
        <v/>
      </c>
      <c r="AO2292" s="16">
        <f>IF(OR($B2292="",$C2292="",$D2292=""),"",DATE($C2292+2018,$D2292,1))</f>
        <v/>
      </c>
    </row>
    <row r="2293">
      <c r="A2293" s="11" t="n"/>
      <c r="B2293" s="12" t="n"/>
      <c r="C2293" s="12" t="n"/>
      <c r="D2293" s="12" t="n"/>
      <c r="E2293" s="13" t="n"/>
      <c r="F2293" s="12" t="n"/>
      <c r="G2293" s="13" t="n"/>
      <c r="H2293" s="12" t="n"/>
      <c r="I2293" s="12" t="n"/>
      <c r="J2293" s="12" t="n"/>
      <c r="K2293" s="12" t="n"/>
      <c r="L2293" s="11" t="n"/>
      <c r="M2293" s="11" t="n"/>
      <c r="N2293" s="11" t="n"/>
      <c r="O2293" s="11" t="n"/>
      <c r="P2293" s="12" t="n"/>
      <c r="Q2293" s="11" t="n"/>
      <c r="R2293" s="12" t="n"/>
      <c r="S2293" s="11" t="n"/>
      <c r="T2293" s="12" t="n"/>
      <c r="U2293" s="12" t="n"/>
      <c r="V2293" s="14">
        <f>IF($AN2293="",IF($B2293="","",$H2293),IF(INDEX(職員マスタ!$B$6:$B$405,$AN2293)="",$H2293,INDEX(職員マスタ!$B$6:$B$405,$AN2293)))</f>
        <v/>
      </c>
      <c r="W2293" s="14">
        <f>IF($AN2293="",IF($B2293="","",$R2293),IF(INDEX(職員マスタ!$C$6:$C$405,$AN2293)="",$R2293,INDEX(職員マスタ!$C$6:$C$405,$AN2293)))</f>
        <v/>
      </c>
      <c r="X2293" s="14">
        <f>IF($AO2293="","","R"&amp;$C2293&amp;"."&amp;$D2293)</f>
        <v/>
      </c>
      <c r="Y2293" s="15">
        <f>IF($AN2293="","",IF(INDEX(職員マスタ!$K$6:$K$405,$AN2293)="","",INDEX(職員マスタ!$K$6:$K$405,$AN2293)))</f>
        <v/>
      </c>
      <c r="Z2293" s="14">
        <f>IF(OR($E2293="",$Y2293=""),"",IF($E2293&gt;=$Y2293,"×",IF($E2293&gt;=$Y2293*設定!$C$5,"△","○")))</f>
        <v/>
      </c>
      <c r="AA2293" s="15">
        <f>IF($Z2293="","",IF($Z2293="×",0,IF($Z2293="○",ROUNDDOWN($E2293*設定!$C$4,0),ROUNDDOWN($E2293*ROUND((9*$Y2293-9*$E2293)/(10*$E2293),4),0))))</f>
        <v/>
      </c>
      <c r="AB2293" s="13" t="n"/>
      <c r="AC2293" s="15">
        <f>IF($B2293="","",IF($AB2293&lt;&gt;"",$AB2293,IF($AA2293="","",IF($AA2293&lt;=設定!$C$3,0,$AA2293))))</f>
        <v/>
      </c>
      <c r="AD2293" s="14">
        <f>IF($B2293="","",IF(AND($AE2293&lt;&gt;"",$AG2293="",$AJ2293=""),"保留中",IF($AJ2293&lt;&gt;"",IF(N($AC2293)&gt;0,"支給済","不支給"),IF($AC2293="","要確認",IF($AC2293=0,"不支給","未処理")))))</f>
        <v/>
      </c>
      <c r="AE2293" s="12" t="n"/>
      <c r="AF2293" s="11" t="n"/>
      <c r="AG2293" s="11" t="n"/>
      <c r="AH2293" s="11" t="n"/>
      <c r="AI2293" s="14">
        <f>IF(AND($AD2293="保留中",$AF2293&lt;&gt;""),TODAY()-$AF2293,"")</f>
        <v/>
      </c>
      <c r="AJ2293" s="12" t="n"/>
      <c r="AK2293" s="14">
        <f>IF($B2293="","",IF($AO2293="","対象年月が未入力／","")&amp;IF($B2293="","",IF($AN2293="","職員マスタに未登録の職員番号／",IF($Y2293="","標準報酬月額が未登録／","")&amp;IF(AND($AO2293&lt;&gt;"",OR(AND(INDEX(職員マスタ!$G$6:$G$405,$AN2293)&lt;&gt;"",INDEX(職員マスタ!$G$6:$G$405,$AN2293)&gt;EOMONTH($AO2293,0)),AND(INDEX(職員マスタ!$H$6:$H$405,$AN2293)&lt;&gt;"",INDEX(職員マスタ!$H$6:$H$405,$AN2293)&lt;$AO2293))),"対象月が時短期間外／","")&amp;IF(AND(INDEX(職員マスタ!$F$6:$F$405,$AN2293)&lt;&gt;"",$AO2293&lt;&gt;"",INDEX(職員マスタ!$F$6:$F$405,$AN2293)&lt;$AO2293),"対象月に子が2歳到達済／","")&amp;IF(AND($H2293&lt;&gt;"",INDEX(職員マスタ!$B$6:$B$405,$AN2293)&lt;&gt;"",SUBSTITUTE(SUBSTITUTE($H2293," ","")," ","")&lt;&gt;SUBSTITUTE(SUBSTITUTE(INDEX(職員マスタ!$B$6:$B$405,$AN2293)," ","")," ","")),"氏名がマスタと相違／","")&amp;IF(AND($Q2293&lt;&gt;"",INDEX(職員マスタ!$E$6:$E$405,$AN2293)&lt;&gt;"",$Q2293&lt;&gt;INDEX(職員マスタ!$E$6:$E$405,$AN2293)),"子の生年月日がマスタと相違／","")&amp;IF(AND($L2293&lt;&gt;"",INDEX(職員マスタ!$G$6:$G$405,$AN2293)&lt;&gt;"",$L2293&lt;&gt;INDEX(職員マスタ!$G$6:$G$405,$AN2293)),"時短開始日がマスタと相違／","")&amp;IF(AND($M2293&lt;&gt;"",INDEX(職員マスタ!$H$6:$H$405,$AN2293)&lt;&gt;"",$M2293&lt;&gt;INDEX(職員マスタ!$H$6:$H$405,$AN2293)),"時短終了日がマスタと相違／","")))&amp;IF(AND($B2293&lt;&gt;"",$E2293=""),"報酬額が未入力／","")&amp;IF(N($U2293)&gt;0,"申請書に入力エラーが残っています／","")&amp;IF(AND($B2293&lt;&gt;"",$AO2293&lt;&gt;""),IF(COUNTIFS($B$6:$B$3005,$B2293,$C$6:$C$3005,$C2293,$D$6:$D$3005,$D2293)&gt;1,"同じ月の請求が重複しています／",""),"")&amp;IF(AND(N($E2293)&gt;0,$Z2293&lt;&gt;"",$Z2293&lt;&gt;"×",$AC2293=0,$AB2293=""),"計算額が下限以下のため不支給／",""))</f>
        <v/>
      </c>
      <c r="AL2293" s="12" t="n"/>
      <c r="AM2293" s="14">
        <f>IF($AD2293="保留中",COUNTIF($AD$6:$AD2293,"保留中"),"")</f>
        <v/>
      </c>
      <c r="AN2293" s="14">
        <f>IF($AO2293="","",IF(SUMPRODUCT(MAX((職員マスタ!$A$6:$A$405=$B2293)*(((職員マスタ!$G$6:$G$405="")+(職員マスタ!$G$6:$G$405&lt;=EOMONTH($AO2293,0)))&gt;0)*(((職員マスタ!$H$6:$H$405="")+(職員マスタ!$H$6:$H$405&gt;=$AO2293))&gt;0)*(ROW(職員マスタ!$A$6:$A$405)-5)))&gt;0,SUMPRODUCT(MAX((職員マスタ!$A$6:$A$405=$B2293)*(((職員マスタ!$G$6:$G$405="")+(職員マスタ!$G$6:$G$405&lt;=EOMONTH($AO2293,0)))&gt;0)*(((職員マスタ!$H$6:$H$405="")+(職員マスタ!$H$6:$H$405&gt;=$AO2293))&gt;0)*(ROW(職員マスタ!$A$6:$A$405)-5))),IFERROR(MATCH($B2293,職員マスタ!$A$6:$A$405,0),"")))</f>
        <v/>
      </c>
      <c r="AO2293" s="16">
        <f>IF(OR($B2293="",$C2293="",$D2293=""),"",DATE($C2293+2018,$D2293,1))</f>
        <v/>
      </c>
    </row>
    <row r="2294">
      <c r="A2294" s="11" t="n"/>
      <c r="B2294" s="12" t="n"/>
      <c r="C2294" s="12" t="n"/>
      <c r="D2294" s="12" t="n"/>
      <c r="E2294" s="13" t="n"/>
      <c r="F2294" s="12" t="n"/>
      <c r="G2294" s="13" t="n"/>
      <c r="H2294" s="12" t="n"/>
      <c r="I2294" s="12" t="n"/>
      <c r="J2294" s="12" t="n"/>
      <c r="K2294" s="12" t="n"/>
      <c r="L2294" s="11" t="n"/>
      <c r="M2294" s="11" t="n"/>
      <c r="N2294" s="11" t="n"/>
      <c r="O2294" s="11" t="n"/>
      <c r="P2294" s="12" t="n"/>
      <c r="Q2294" s="11" t="n"/>
      <c r="R2294" s="12" t="n"/>
      <c r="S2294" s="11" t="n"/>
      <c r="T2294" s="12" t="n"/>
      <c r="U2294" s="12" t="n"/>
      <c r="V2294" s="14">
        <f>IF($AN2294="",IF($B2294="","",$H2294),IF(INDEX(職員マスタ!$B$6:$B$405,$AN2294)="",$H2294,INDEX(職員マスタ!$B$6:$B$405,$AN2294)))</f>
        <v/>
      </c>
      <c r="W2294" s="14">
        <f>IF($AN2294="",IF($B2294="","",$R2294),IF(INDEX(職員マスタ!$C$6:$C$405,$AN2294)="",$R2294,INDEX(職員マスタ!$C$6:$C$405,$AN2294)))</f>
        <v/>
      </c>
      <c r="X2294" s="14">
        <f>IF($AO2294="","","R"&amp;$C2294&amp;"."&amp;$D2294)</f>
        <v/>
      </c>
      <c r="Y2294" s="15">
        <f>IF($AN2294="","",IF(INDEX(職員マスタ!$K$6:$K$405,$AN2294)="","",INDEX(職員マスタ!$K$6:$K$405,$AN2294)))</f>
        <v/>
      </c>
      <c r="Z2294" s="14">
        <f>IF(OR($E2294="",$Y2294=""),"",IF($E2294&gt;=$Y2294,"×",IF($E2294&gt;=$Y2294*設定!$C$5,"△","○")))</f>
        <v/>
      </c>
      <c r="AA2294" s="15">
        <f>IF($Z2294="","",IF($Z2294="×",0,IF($Z2294="○",ROUNDDOWN($E2294*設定!$C$4,0),ROUNDDOWN($E2294*ROUND((9*$Y2294-9*$E2294)/(10*$E2294),4),0))))</f>
        <v/>
      </c>
      <c r="AB2294" s="13" t="n"/>
      <c r="AC2294" s="15">
        <f>IF($B2294="","",IF($AB2294&lt;&gt;"",$AB2294,IF($AA2294="","",IF($AA2294&lt;=設定!$C$3,0,$AA2294))))</f>
        <v/>
      </c>
      <c r="AD2294" s="14">
        <f>IF($B2294="","",IF(AND($AE2294&lt;&gt;"",$AG2294="",$AJ2294=""),"保留中",IF($AJ2294&lt;&gt;"",IF(N($AC2294)&gt;0,"支給済","不支給"),IF($AC2294="","要確認",IF($AC2294=0,"不支給","未処理")))))</f>
        <v/>
      </c>
      <c r="AE2294" s="12" t="n"/>
      <c r="AF2294" s="11" t="n"/>
      <c r="AG2294" s="11" t="n"/>
      <c r="AH2294" s="11" t="n"/>
      <c r="AI2294" s="14">
        <f>IF(AND($AD2294="保留中",$AF2294&lt;&gt;""),TODAY()-$AF2294,"")</f>
        <v/>
      </c>
      <c r="AJ2294" s="12" t="n"/>
      <c r="AK2294" s="14">
        <f>IF($B2294="","",IF($AO2294="","対象年月が未入力／","")&amp;IF($B2294="","",IF($AN2294="","職員マスタに未登録の職員番号／",IF($Y2294="","標準報酬月額が未登録／","")&amp;IF(AND($AO2294&lt;&gt;"",OR(AND(INDEX(職員マスタ!$G$6:$G$405,$AN2294)&lt;&gt;"",INDEX(職員マスタ!$G$6:$G$405,$AN2294)&gt;EOMONTH($AO2294,0)),AND(INDEX(職員マスタ!$H$6:$H$405,$AN2294)&lt;&gt;"",INDEX(職員マスタ!$H$6:$H$405,$AN2294)&lt;$AO2294))),"対象月が時短期間外／","")&amp;IF(AND(INDEX(職員マスタ!$F$6:$F$405,$AN2294)&lt;&gt;"",$AO2294&lt;&gt;"",INDEX(職員マスタ!$F$6:$F$405,$AN2294)&lt;$AO2294),"対象月に子が2歳到達済／","")&amp;IF(AND($H2294&lt;&gt;"",INDEX(職員マスタ!$B$6:$B$405,$AN2294)&lt;&gt;"",SUBSTITUTE(SUBSTITUTE($H2294," ","")," ","")&lt;&gt;SUBSTITUTE(SUBSTITUTE(INDEX(職員マスタ!$B$6:$B$405,$AN2294)," ","")," ","")),"氏名がマスタと相違／","")&amp;IF(AND($Q2294&lt;&gt;"",INDEX(職員マスタ!$E$6:$E$405,$AN2294)&lt;&gt;"",$Q2294&lt;&gt;INDEX(職員マスタ!$E$6:$E$405,$AN2294)),"子の生年月日がマスタと相違／","")&amp;IF(AND($L2294&lt;&gt;"",INDEX(職員マスタ!$G$6:$G$405,$AN2294)&lt;&gt;"",$L2294&lt;&gt;INDEX(職員マスタ!$G$6:$G$405,$AN2294)),"時短開始日がマスタと相違／","")&amp;IF(AND($M2294&lt;&gt;"",INDEX(職員マスタ!$H$6:$H$405,$AN2294)&lt;&gt;"",$M2294&lt;&gt;INDEX(職員マスタ!$H$6:$H$405,$AN2294)),"時短終了日がマスタと相違／","")))&amp;IF(AND($B2294&lt;&gt;"",$E2294=""),"報酬額が未入力／","")&amp;IF(N($U2294)&gt;0,"申請書に入力エラーが残っています／","")&amp;IF(AND($B2294&lt;&gt;"",$AO2294&lt;&gt;""),IF(COUNTIFS($B$6:$B$3005,$B2294,$C$6:$C$3005,$C2294,$D$6:$D$3005,$D2294)&gt;1,"同じ月の請求が重複しています／",""),"")&amp;IF(AND(N($E2294)&gt;0,$Z2294&lt;&gt;"",$Z2294&lt;&gt;"×",$AC2294=0,$AB2294=""),"計算額が下限以下のため不支給／",""))</f>
        <v/>
      </c>
      <c r="AL2294" s="12" t="n"/>
      <c r="AM2294" s="14">
        <f>IF($AD2294="保留中",COUNTIF($AD$6:$AD2294,"保留中"),"")</f>
        <v/>
      </c>
      <c r="AN2294" s="14">
        <f>IF($AO2294="","",IF(SUMPRODUCT(MAX((職員マスタ!$A$6:$A$405=$B2294)*(((職員マスタ!$G$6:$G$405="")+(職員マスタ!$G$6:$G$405&lt;=EOMONTH($AO2294,0)))&gt;0)*(((職員マスタ!$H$6:$H$405="")+(職員マスタ!$H$6:$H$405&gt;=$AO2294))&gt;0)*(ROW(職員マスタ!$A$6:$A$405)-5)))&gt;0,SUMPRODUCT(MAX((職員マスタ!$A$6:$A$405=$B2294)*(((職員マスタ!$G$6:$G$405="")+(職員マスタ!$G$6:$G$405&lt;=EOMONTH($AO2294,0)))&gt;0)*(((職員マスタ!$H$6:$H$405="")+(職員マスタ!$H$6:$H$405&gt;=$AO2294))&gt;0)*(ROW(職員マスタ!$A$6:$A$405)-5))),IFERROR(MATCH($B2294,職員マスタ!$A$6:$A$405,0),"")))</f>
        <v/>
      </c>
      <c r="AO2294" s="16">
        <f>IF(OR($B2294="",$C2294="",$D2294=""),"",DATE($C2294+2018,$D2294,1))</f>
        <v/>
      </c>
    </row>
    <row r="2295">
      <c r="A2295" s="11" t="n"/>
      <c r="B2295" s="12" t="n"/>
      <c r="C2295" s="12" t="n"/>
      <c r="D2295" s="12" t="n"/>
      <c r="E2295" s="13" t="n"/>
      <c r="F2295" s="12" t="n"/>
      <c r="G2295" s="13" t="n"/>
      <c r="H2295" s="12" t="n"/>
      <c r="I2295" s="12" t="n"/>
      <c r="J2295" s="12" t="n"/>
      <c r="K2295" s="12" t="n"/>
      <c r="L2295" s="11" t="n"/>
      <c r="M2295" s="11" t="n"/>
      <c r="N2295" s="11" t="n"/>
      <c r="O2295" s="11" t="n"/>
      <c r="P2295" s="12" t="n"/>
      <c r="Q2295" s="11" t="n"/>
      <c r="R2295" s="12" t="n"/>
      <c r="S2295" s="11" t="n"/>
      <c r="T2295" s="12" t="n"/>
      <c r="U2295" s="12" t="n"/>
      <c r="V2295" s="14">
        <f>IF($AN2295="",IF($B2295="","",$H2295),IF(INDEX(職員マスタ!$B$6:$B$405,$AN2295)="",$H2295,INDEX(職員マスタ!$B$6:$B$405,$AN2295)))</f>
        <v/>
      </c>
      <c r="W2295" s="14">
        <f>IF($AN2295="",IF($B2295="","",$R2295),IF(INDEX(職員マスタ!$C$6:$C$405,$AN2295)="",$R2295,INDEX(職員マスタ!$C$6:$C$405,$AN2295)))</f>
        <v/>
      </c>
      <c r="X2295" s="14">
        <f>IF($AO2295="","","R"&amp;$C2295&amp;"."&amp;$D2295)</f>
        <v/>
      </c>
      <c r="Y2295" s="15">
        <f>IF($AN2295="","",IF(INDEX(職員マスタ!$K$6:$K$405,$AN2295)="","",INDEX(職員マスタ!$K$6:$K$405,$AN2295)))</f>
        <v/>
      </c>
      <c r="Z2295" s="14">
        <f>IF(OR($E2295="",$Y2295=""),"",IF($E2295&gt;=$Y2295,"×",IF($E2295&gt;=$Y2295*設定!$C$5,"△","○")))</f>
        <v/>
      </c>
      <c r="AA2295" s="15">
        <f>IF($Z2295="","",IF($Z2295="×",0,IF($Z2295="○",ROUNDDOWN($E2295*設定!$C$4,0),ROUNDDOWN($E2295*ROUND((9*$Y2295-9*$E2295)/(10*$E2295),4),0))))</f>
        <v/>
      </c>
      <c r="AB2295" s="13" t="n"/>
      <c r="AC2295" s="15">
        <f>IF($B2295="","",IF($AB2295&lt;&gt;"",$AB2295,IF($AA2295="","",IF($AA2295&lt;=設定!$C$3,0,$AA2295))))</f>
        <v/>
      </c>
      <c r="AD2295" s="14">
        <f>IF($B2295="","",IF(AND($AE2295&lt;&gt;"",$AG2295="",$AJ2295=""),"保留中",IF($AJ2295&lt;&gt;"",IF(N($AC2295)&gt;0,"支給済","不支給"),IF($AC2295="","要確認",IF($AC2295=0,"不支給","未処理")))))</f>
        <v/>
      </c>
      <c r="AE2295" s="12" t="n"/>
      <c r="AF2295" s="11" t="n"/>
      <c r="AG2295" s="11" t="n"/>
      <c r="AH2295" s="11" t="n"/>
      <c r="AI2295" s="14">
        <f>IF(AND($AD2295="保留中",$AF2295&lt;&gt;""),TODAY()-$AF2295,"")</f>
        <v/>
      </c>
      <c r="AJ2295" s="12" t="n"/>
      <c r="AK2295" s="14">
        <f>IF($B2295="","",IF($AO2295="","対象年月が未入力／","")&amp;IF($B2295="","",IF($AN2295="","職員マスタに未登録の職員番号／",IF($Y2295="","標準報酬月額が未登録／","")&amp;IF(AND($AO2295&lt;&gt;"",OR(AND(INDEX(職員マスタ!$G$6:$G$405,$AN2295)&lt;&gt;"",INDEX(職員マスタ!$G$6:$G$405,$AN2295)&gt;EOMONTH($AO2295,0)),AND(INDEX(職員マスタ!$H$6:$H$405,$AN2295)&lt;&gt;"",INDEX(職員マスタ!$H$6:$H$405,$AN2295)&lt;$AO2295))),"対象月が時短期間外／","")&amp;IF(AND(INDEX(職員マスタ!$F$6:$F$405,$AN2295)&lt;&gt;"",$AO2295&lt;&gt;"",INDEX(職員マスタ!$F$6:$F$405,$AN2295)&lt;$AO2295),"対象月に子が2歳到達済／","")&amp;IF(AND($H2295&lt;&gt;"",INDEX(職員マスタ!$B$6:$B$405,$AN2295)&lt;&gt;"",SUBSTITUTE(SUBSTITUTE($H2295," ","")," ","")&lt;&gt;SUBSTITUTE(SUBSTITUTE(INDEX(職員マスタ!$B$6:$B$405,$AN2295)," ","")," ","")),"氏名がマスタと相違／","")&amp;IF(AND($Q2295&lt;&gt;"",INDEX(職員マスタ!$E$6:$E$405,$AN2295)&lt;&gt;"",$Q2295&lt;&gt;INDEX(職員マスタ!$E$6:$E$405,$AN2295)),"子の生年月日がマスタと相違／","")&amp;IF(AND($L2295&lt;&gt;"",INDEX(職員マスタ!$G$6:$G$405,$AN2295)&lt;&gt;"",$L2295&lt;&gt;INDEX(職員マスタ!$G$6:$G$405,$AN2295)),"時短開始日がマスタと相違／","")&amp;IF(AND($M2295&lt;&gt;"",INDEX(職員マスタ!$H$6:$H$405,$AN2295)&lt;&gt;"",$M2295&lt;&gt;INDEX(職員マスタ!$H$6:$H$405,$AN2295)),"時短終了日がマスタと相違／","")))&amp;IF(AND($B2295&lt;&gt;"",$E2295=""),"報酬額が未入力／","")&amp;IF(N($U2295)&gt;0,"申請書に入力エラーが残っています／","")&amp;IF(AND($B2295&lt;&gt;"",$AO2295&lt;&gt;""),IF(COUNTIFS($B$6:$B$3005,$B2295,$C$6:$C$3005,$C2295,$D$6:$D$3005,$D2295)&gt;1,"同じ月の請求が重複しています／",""),"")&amp;IF(AND(N($E2295)&gt;0,$Z2295&lt;&gt;"",$Z2295&lt;&gt;"×",$AC2295=0,$AB2295=""),"計算額が下限以下のため不支給／",""))</f>
        <v/>
      </c>
      <c r="AL2295" s="12" t="n"/>
      <c r="AM2295" s="14">
        <f>IF($AD2295="保留中",COUNTIF($AD$6:$AD2295,"保留中"),"")</f>
        <v/>
      </c>
      <c r="AN2295" s="14">
        <f>IF($AO2295="","",IF(SUMPRODUCT(MAX((職員マスタ!$A$6:$A$405=$B2295)*(((職員マスタ!$G$6:$G$405="")+(職員マスタ!$G$6:$G$405&lt;=EOMONTH($AO2295,0)))&gt;0)*(((職員マスタ!$H$6:$H$405="")+(職員マスタ!$H$6:$H$405&gt;=$AO2295))&gt;0)*(ROW(職員マスタ!$A$6:$A$405)-5)))&gt;0,SUMPRODUCT(MAX((職員マスタ!$A$6:$A$405=$B2295)*(((職員マスタ!$G$6:$G$405="")+(職員マスタ!$G$6:$G$405&lt;=EOMONTH($AO2295,0)))&gt;0)*(((職員マスタ!$H$6:$H$405="")+(職員マスタ!$H$6:$H$405&gt;=$AO2295))&gt;0)*(ROW(職員マスタ!$A$6:$A$405)-5))),IFERROR(MATCH($B2295,職員マスタ!$A$6:$A$405,0),"")))</f>
        <v/>
      </c>
      <c r="AO2295" s="16">
        <f>IF(OR($B2295="",$C2295="",$D2295=""),"",DATE($C2295+2018,$D2295,1))</f>
        <v/>
      </c>
    </row>
    <row r="2296">
      <c r="A2296" s="11" t="n"/>
      <c r="B2296" s="12" t="n"/>
      <c r="C2296" s="12" t="n"/>
      <c r="D2296" s="12" t="n"/>
      <c r="E2296" s="13" t="n"/>
      <c r="F2296" s="12" t="n"/>
      <c r="G2296" s="13" t="n"/>
      <c r="H2296" s="12" t="n"/>
      <c r="I2296" s="12" t="n"/>
      <c r="J2296" s="12" t="n"/>
      <c r="K2296" s="12" t="n"/>
      <c r="L2296" s="11" t="n"/>
      <c r="M2296" s="11" t="n"/>
      <c r="N2296" s="11" t="n"/>
      <c r="O2296" s="11" t="n"/>
      <c r="P2296" s="12" t="n"/>
      <c r="Q2296" s="11" t="n"/>
      <c r="R2296" s="12" t="n"/>
      <c r="S2296" s="11" t="n"/>
      <c r="T2296" s="12" t="n"/>
      <c r="U2296" s="12" t="n"/>
      <c r="V2296" s="14">
        <f>IF($AN2296="",IF($B2296="","",$H2296),IF(INDEX(職員マスタ!$B$6:$B$405,$AN2296)="",$H2296,INDEX(職員マスタ!$B$6:$B$405,$AN2296)))</f>
        <v/>
      </c>
      <c r="W2296" s="14">
        <f>IF($AN2296="",IF($B2296="","",$R2296),IF(INDEX(職員マスタ!$C$6:$C$405,$AN2296)="",$R2296,INDEX(職員マスタ!$C$6:$C$405,$AN2296)))</f>
        <v/>
      </c>
      <c r="X2296" s="14">
        <f>IF($AO2296="","","R"&amp;$C2296&amp;"."&amp;$D2296)</f>
        <v/>
      </c>
      <c r="Y2296" s="15">
        <f>IF($AN2296="","",IF(INDEX(職員マスタ!$K$6:$K$405,$AN2296)="","",INDEX(職員マスタ!$K$6:$K$405,$AN2296)))</f>
        <v/>
      </c>
      <c r="Z2296" s="14">
        <f>IF(OR($E2296="",$Y2296=""),"",IF($E2296&gt;=$Y2296,"×",IF($E2296&gt;=$Y2296*設定!$C$5,"△","○")))</f>
        <v/>
      </c>
      <c r="AA2296" s="15">
        <f>IF($Z2296="","",IF($Z2296="×",0,IF($Z2296="○",ROUNDDOWN($E2296*設定!$C$4,0),ROUNDDOWN($E2296*ROUND((9*$Y2296-9*$E2296)/(10*$E2296),4),0))))</f>
        <v/>
      </c>
      <c r="AB2296" s="13" t="n"/>
      <c r="AC2296" s="15">
        <f>IF($B2296="","",IF($AB2296&lt;&gt;"",$AB2296,IF($AA2296="","",IF($AA2296&lt;=設定!$C$3,0,$AA2296))))</f>
        <v/>
      </c>
      <c r="AD2296" s="14">
        <f>IF($B2296="","",IF(AND($AE2296&lt;&gt;"",$AG2296="",$AJ2296=""),"保留中",IF($AJ2296&lt;&gt;"",IF(N($AC2296)&gt;0,"支給済","不支給"),IF($AC2296="","要確認",IF($AC2296=0,"不支給","未処理")))))</f>
        <v/>
      </c>
      <c r="AE2296" s="12" t="n"/>
      <c r="AF2296" s="11" t="n"/>
      <c r="AG2296" s="11" t="n"/>
      <c r="AH2296" s="11" t="n"/>
      <c r="AI2296" s="14">
        <f>IF(AND($AD2296="保留中",$AF2296&lt;&gt;""),TODAY()-$AF2296,"")</f>
        <v/>
      </c>
      <c r="AJ2296" s="12" t="n"/>
      <c r="AK2296" s="14">
        <f>IF($B2296="","",IF($AO2296="","対象年月が未入力／","")&amp;IF($B2296="","",IF($AN2296="","職員マスタに未登録の職員番号／",IF($Y2296="","標準報酬月額が未登録／","")&amp;IF(AND($AO2296&lt;&gt;"",OR(AND(INDEX(職員マスタ!$G$6:$G$405,$AN2296)&lt;&gt;"",INDEX(職員マスタ!$G$6:$G$405,$AN2296)&gt;EOMONTH($AO2296,0)),AND(INDEX(職員マスタ!$H$6:$H$405,$AN2296)&lt;&gt;"",INDEX(職員マスタ!$H$6:$H$405,$AN2296)&lt;$AO2296))),"対象月が時短期間外／","")&amp;IF(AND(INDEX(職員マスタ!$F$6:$F$405,$AN2296)&lt;&gt;"",$AO2296&lt;&gt;"",INDEX(職員マスタ!$F$6:$F$405,$AN2296)&lt;$AO2296),"対象月に子が2歳到達済／","")&amp;IF(AND($H2296&lt;&gt;"",INDEX(職員マスタ!$B$6:$B$405,$AN2296)&lt;&gt;"",SUBSTITUTE(SUBSTITUTE($H2296," ","")," ","")&lt;&gt;SUBSTITUTE(SUBSTITUTE(INDEX(職員マスタ!$B$6:$B$405,$AN2296)," ","")," ","")),"氏名がマスタと相違／","")&amp;IF(AND($Q2296&lt;&gt;"",INDEX(職員マスタ!$E$6:$E$405,$AN2296)&lt;&gt;"",$Q2296&lt;&gt;INDEX(職員マスタ!$E$6:$E$405,$AN2296)),"子の生年月日がマスタと相違／","")&amp;IF(AND($L2296&lt;&gt;"",INDEX(職員マスタ!$G$6:$G$405,$AN2296)&lt;&gt;"",$L2296&lt;&gt;INDEX(職員マスタ!$G$6:$G$405,$AN2296)),"時短開始日がマスタと相違／","")&amp;IF(AND($M2296&lt;&gt;"",INDEX(職員マスタ!$H$6:$H$405,$AN2296)&lt;&gt;"",$M2296&lt;&gt;INDEX(職員マスタ!$H$6:$H$405,$AN2296)),"時短終了日がマスタと相違／","")))&amp;IF(AND($B2296&lt;&gt;"",$E2296=""),"報酬額が未入力／","")&amp;IF(N($U2296)&gt;0,"申請書に入力エラーが残っています／","")&amp;IF(AND($B2296&lt;&gt;"",$AO2296&lt;&gt;""),IF(COUNTIFS($B$6:$B$3005,$B2296,$C$6:$C$3005,$C2296,$D$6:$D$3005,$D2296)&gt;1,"同じ月の請求が重複しています／",""),"")&amp;IF(AND(N($E2296)&gt;0,$Z2296&lt;&gt;"",$Z2296&lt;&gt;"×",$AC2296=0,$AB2296=""),"計算額が下限以下のため不支給／",""))</f>
        <v/>
      </c>
      <c r="AL2296" s="12" t="n"/>
      <c r="AM2296" s="14">
        <f>IF($AD2296="保留中",COUNTIF($AD$6:$AD2296,"保留中"),"")</f>
        <v/>
      </c>
      <c r="AN2296" s="14">
        <f>IF($AO2296="","",IF(SUMPRODUCT(MAX((職員マスタ!$A$6:$A$405=$B2296)*(((職員マスタ!$G$6:$G$405="")+(職員マスタ!$G$6:$G$405&lt;=EOMONTH($AO2296,0)))&gt;0)*(((職員マスタ!$H$6:$H$405="")+(職員マスタ!$H$6:$H$405&gt;=$AO2296))&gt;0)*(ROW(職員マスタ!$A$6:$A$405)-5)))&gt;0,SUMPRODUCT(MAX((職員マスタ!$A$6:$A$405=$B2296)*(((職員マスタ!$G$6:$G$405="")+(職員マスタ!$G$6:$G$405&lt;=EOMONTH($AO2296,0)))&gt;0)*(((職員マスタ!$H$6:$H$405="")+(職員マスタ!$H$6:$H$405&gt;=$AO2296))&gt;0)*(ROW(職員マスタ!$A$6:$A$405)-5))),IFERROR(MATCH($B2296,職員マスタ!$A$6:$A$405,0),"")))</f>
        <v/>
      </c>
      <c r="AO2296" s="16">
        <f>IF(OR($B2296="",$C2296="",$D2296=""),"",DATE($C2296+2018,$D2296,1))</f>
        <v/>
      </c>
    </row>
    <row r="2297">
      <c r="A2297" s="11" t="n"/>
      <c r="B2297" s="12" t="n"/>
      <c r="C2297" s="12" t="n"/>
      <c r="D2297" s="12" t="n"/>
      <c r="E2297" s="13" t="n"/>
      <c r="F2297" s="12" t="n"/>
      <c r="G2297" s="13" t="n"/>
      <c r="H2297" s="12" t="n"/>
      <c r="I2297" s="12" t="n"/>
      <c r="J2297" s="12" t="n"/>
      <c r="K2297" s="12" t="n"/>
      <c r="L2297" s="11" t="n"/>
      <c r="M2297" s="11" t="n"/>
      <c r="N2297" s="11" t="n"/>
      <c r="O2297" s="11" t="n"/>
      <c r="P2297" s="12" t="n"/>
      <c r="Q2297" s="11" t="n"/>
      <c r="R2297" s="12" t="n"/>
      <c r="S2297" s="11" t="n"/>
      <c r="T2297" s="12" t="n"/>
      <c r="U2297" s="12" t="n"/>
      <c r="V2297" s="14">
        <f>IF($AN2297="",IF($B2297="","",$H2297),IF(INDEX(職員マスタ!$B$6:$B$405,$AN2297)="",$H2297,INDEX(職員マスタ!$B$6:$B$405,$AN2297)))</f>
        <v/>
      </c>
      <c r="W2297" s="14">
        <f>IF($AN2297="",IF($B2297="","",$R2297),IF(INDEX(職員マスタ!$C$6:$C$405,$AN2297)="",$R2297,INDEX(職員マスタ!$C$6:$C$405,$AN2297)))</f>
        <v/>
      </c>
      <c r="X2297" s="14">
        <f>IF($AO2297="","","R"&amp;$C2297&amp;"."&amp;$D2297)</f>
        <v/>
      </c>
      <c r="Y2297" s="15">
        <f>IF($AN2297="","",IF(INDEX(職員マスタ!$K$6:$K$405,$AN2297)="","",INDEX(職員マスタ!$K$6:$K$405,$AN2297)))</f>
        <v/>
      </c>
      <c r="Z2297" s="14">
        <f>IF(OR($E2297="",$Y2297=""),"",IF($E2297&gt;=$Y2297,"×",IF($E2297&gt;=$Y2297*設定!$C$5,"△","○")))</f>
        <v/>
      </c>
      <c r="AA2297" s="15">
        <f>IF($Z2297="","",IF($Z2297="×",0,IF($Z2297="○",ROUNDDOWN($E2297*設定!$C$4,0),ROUNDDOWN($E2297*ROUND((9*$Y2297-9*$E2297)/(10*$E2297),4),0))))</f>
        <v/>
      </c>
      <c r="AB2297" s="13" t="n"/>
      <c r="AC2297" s="15">
        <f>IF($B2297="","",IF($AB2297&lt;&gt;"",$AB2297,IF($AA2297="","",IF($AA2297&lt;=設定!$C$3,0,$AA2297))))</f>
        <v/>
      </c>
      <c r="AD2297" s="14">
        <f>IF($B2297="","",IF(AND($AE2297&lt;&gt;"",$AG2297="",$AJ2297=""),"保留中",IF($AJ2297&lt;&gt;"",IF(N($AC2297)&gt;0,"支給済","不支給"),IF($AC2297="","要確認",IF($AC2297=0,"不支給","未処理")))))</f>
        <v/>
      </c>
      <c r="AE2297" s="12" t="n"/>
      <c r="AF2297" s="11" t="n"/>
      <c r="AG2297" s="11" t="n"/>
      <c r="AH2297" s="11" t="n"/>
      <c r="AI2297" s="14">
        <f>IF(AND($AD2297="保留中",$AF2297&lt;&gt;""),TODAY()-$AF2297,"")</f>
        <v/>
      </c>
      <c r="AJ2297" s="12" t="n"/>
      <c r="AK2297" s="14">
        <f>IF($B2297="","",IF($AO2297="","対象年月が未入力／","")&amp;IF($B2297="","",IF($AN2297="","職員マスタに未登録の職員番号／",IF($Y2297="","標準報酬月額が未登録／","")&amp;IF(AND($AO2297&lt;&gt;"",OR(AND(INDEX(職員マスタ!$G$6:$G$405,$AN2297)&lt;&gt;"",INDEX(職員マスタ!$G$6:$G$405,$AN2297)&gt;EOMONTH($AO2297,0)),AND(INDEX(職員マスタ!$H$6:$H$405,$AN2297)&lt;&gt;"",INDEX(職員マスタ!$H$6:$H$405,$AN2297)&lt;$AO2297))),"対象月が時短期間外／","")&amp;IF(AND(INDEX(職員マスタ!$F$6:$F$405,$AN2297)&lt;&gt;"",$AO2297&lt;&gt;"",INDEX(職員マスタ!$F$6:$F$405,$AN2297)&lt;$AO2297),"対象月に子が2歳到達済／","")&amp;IF(AND($H2297&lt;&gt;"",INDEX(職員マスタ!$B$6:$B$405,$AN2297)&lt;&gt;"",SUBSTITUTE(SUBSTITUTE($H2297," ","")," ","")&lt;&gt;SUBSTITUTE(SUBSTITUTE(INDEX(職員マスタ!$B$6:$B$405,$AN2297)," ","")," ","")),"氏名がマスタと相違／","")&amp;IF(AND($Q2297&lt;&gt;"",INDEX(職員マスタ!$E$6:$E$405,$AN2297)&lt;&gt;"",$Q2297&lt;&gt;INDEX(職員マスタ!$E$6:$E$405,$AN2297)),"子の生年月日がマスタと相違／","")&amp;IF(AND($L2297&lt;&gt;"",INDEX(職員マスタ!$G$6:$G$405,$AN2297)&lt;&gt;"",$L2297&lt;&gt;INDEX(職員マスタ!$G$6:$G$405,$AN2297)),"時短開始日がマスタと相違／","")&amp;IF(AND($M2297&lt;&gt;"",INDEX(職員マスタ!$H$6:$H$405,$AN2297)&lt;&gt;"",$M2297&lt;&gt;INDEX(職員マスタ!$H$6:$H$405,$AN2297)),"時短終了日がマスタと相違／","")))&amp;IF(AND($B2297&lt;&gt;"",$E2297=""),"報酬額が未入力／","")&amp;IF(N($U2297)&gt;0,"申請書に入力エラーが残っています／","")&amp;IF(AND($B2297&lt;&gt;"",$AO2297&lt;&gt;""),IF(COUNTIFS($B$6:$B$3005,$B2297,$C$6:$C$3005,$C2297,$D$6:$D$3005,$D2297)&gt;1,"同じ月の請求が重複しています／",""),"")&amp;IF(AND(N($E2297)&gt;0,$Z2297&lt;&gt;"",$Z2297&lt;&gt;"×",$AC2297=0,$AB2297=""),"計算額が下限以下のため不支給／",""))</f>
        <v/>
      </c>
      <c r="AL2297" s="12" t="n"/>
      <c r="AM2297" s="14">
        <f>IF($AD2297="保留中",COUNTIF($AD$6:$AD2297,"保留中"),"")</f>
        <v/>
      </c>
      <c r="AN2297" s="14">
        <f>IF($AO2297="","",IF(SUMPRODUCT(MAX((職員マスタ!$A$6:$A$405=$B2297)*(((職員マスタ!$G$6:$G$405="")+(職員マスタ!$G$6:$G$405&lt;=EOMONTH($AO2297,0)))&gt;0)*(((職員マスタ!$H$6:$H$405="")+(職員マスタ!$H$6:$H$405&gt;=$AO2297))&gt;0)*(ROW(職員マスタ!$A$6:$A$405)-5)))&gt;0,SUMPRODUCT(MAX((職員マスタ!$A$6:$A$405=$B2297)*(((職員マスタ!$G$6:$G$405="")+(職員マスタ!$G$6:$G$405&lt;=EOMONTH($AO2297,0)))&gt;0)*(((職員マスタ!$H$6:$H$405="")+(職員マスタ!$H$6:$H$405&gt;=$AO2297))&gt;0)*(ROW(職員マスタ!$A$6:$A$405)-5))),IFERROR(MATCH($B2297,職員マスタ!$A$6:$A$405,0),"")))</f>
        <v/>
      </c>
      <c r="AO2297" s="16">
        <f>IF(OR($B2297="",$C2297="",$D2297=""),"",DATE($C2297+2018,$D2297,1))</f>
        <v/>
      </c>
    </row>
    <row r="2298">
      <c r="A2298" s="11" t="n"/>
      <c r="B2298" s="12" t="n"/>
      <c r="C2298" s="12" t="n"/>
      <c r="D2298" s="12" t="n"/>
      <c r="E2298" s="13" t="n"/>
      <c r="F2298" s="12" t="n"/>
      <c r="G2298" s="13" t="n"/>
      <c r="H2298" s="12" t="n"/>
      <c r="I2298" s="12" t="n"/>
      <c r="J2298" s="12" t="n"/>
      <c r="K2298" s="12" t="n"/>
      <c r="L2298" s="11" t="n"/>
      <c r="M2298" s="11" t="n"/>
      <c r="N2298" s="11" t="n"/>
      <c r="O2298" s="11" t="n"/>
      <c r="P2298" s="12" t="n"/>
      <c r="Q2298" s="11" t="n"/>
      <c r="R2298" s="12" t="n"/>
      <c r="S2298" s="11" t="n"/>
      <c r="T2298" s="12" t="n"/>
      <c r="U2298" s="12" t="n"/>
      <c r="V2298" s="14">
        <f>IF($AN2298="",IF($B2298="","",$H2298),IF(INDEX(職員マスタ!$B$6:$B$405,$AN2298)="",$H2298,INDEX(職員マスタ!$B$6:$B$405,$AN2298)))</f>
        <v/>
      </c>
      <c r="W2298" s="14">
        <f>IF($AN2298="",IF($B2298="","",$R2298),IF(INDEX(職員マスタ!$C$6:$C$405,$AN2298)="",$R2298,INDEX(職員マスタ!$C$6:$C$405,$AN2298)))</f>
        <v/>
      </c>
      <c r="X2298" s="14">
        <f>IF($AO2298="","","R"&amp;$C2298&amp;"."&amp;$D2298)</f>
        <v/>
      </c>
      <c r="Y2298" s="15">
        <f>IF($AN2298="","",IF(INDEX(職員マスタ!$K$6:$K$405,$AN2298)="","",INDEX(職員マスタ!$K$6:$K$405,$AN2298)))</f>
        <v/>
      </c>
      <c r="Z2298" s="14">
        <f>IF(OR($E2298="",$Y2298=""),"",IF($E2298&gt;=$Y2298,"×",IF($E2298&gt;=$Y2298*設定!$C$5,"△","○")))</f>
        <v/>
      </c>
      <c r="AA2298" s="15">
        <f>IF($Z2298="","",IF($Z2298="×",0,IF($Z2298="○",ROUNDDOWN($E2298*設定!$C$4,0),ROUNDDOWN($E2298*ROUND((9*$Y2298-9*$E2298)/(10*$E2298),4),0))))</f>
        <v/>
      </c>
      <c r="AB2298" s="13" t="n"/>
      <c r="AC2298" s="15">
        <f>IF($B2298="","",IF($AB2298&lt;&gt;"",$AB2298,IF($AA2298="","",IF($AA2298&lt;=設定!$C$3,0,$AA2298))))</f>
        <v/>
      </c>
      <c r="AD2298" s="14">
        <f>IF($B2298="","",IF(AND($AE2298&lt;&gt;"",$AG2298="",$AJ2298=""),"保留中",IF($AJ2298&lt;&gt;"",IF(N($AC2298)&gt;0,"支給済","不支給"),IF($AC2298="","要確認",IF($AC2298=0,"不支給","未処理")))))</f>
        <v/>
      </c>
      <c r="AE2298" s="12" t="n"/>
      <c r="AF2298" s="11" t="n"/>
      <c r="AG2298" s="11" t="n"/>
      <c r="AH2298" s="11" t="n"/>
      <c r="AI2298" s="14">
        <f>IF(AND($AD2298="保留中",$AF2298&lt;&gt;""),TODAY()-$AF2298,"")</f>
        <v/>
      </c>
      <c r="AJ2298" s="12" t="n"/>
      <c r="AK2298" s="14">
        <f>IF($B2298="","",IF($AO2298="","対象年月が未入力／","")&amp;IF($B2298="","",IF($AN2298="","職員マスタに未登録の職員番号／",IF($Y2298="","標準報酬月額が未登録／","")&amp;IF(AND($AO2298&lt;&gt;"",OR(AND(INDEX(職員マスタ!$G$6:$G$405,$AN2298)&lt;&gt;"",INDEX(職員マスタ!$G$6:$G$405,$AN2298)&gt;EOMONTH($AO2298,0)),AND(INDEX(職員マスタ!$H$6:$H$405,$AN2298)&lt;&gt;"",INDEX(職員マスタ!$H$6:$H$405,$AN2298)&lt;$AO2298))),"対象月が時短期間外／","")&amp;IF(AND(INDEX(職員マスタ!$F$6:$F$405,$AN2298)&lt;&gt;"",$AO2298&lt;&gt;"",INDEX(職員マスタ!$F$6:$F$405,$AN2298)&lt;$AO2298),"対象月に子が2歳到達済／","")&amp;IF(AND($H2298&lt;&gt;"",INDEX(職員マスタ!$B$6:$B$405,$AN2298)&lt;&gt;"",SUBSTITUTE(SUBSTITUTE($H2298," ","")," ","")&lt;&gt;SUBSTITUTE(SUBSTITUTE(INDEX(職員マスタ!$B$6:$B$405,$AN2298)," ","")," ","")),"氏名がマスタと相違／","")&amp;IF(AND($Q2298&lt;&gt;"",INDEX(職員マスタ!$E$6:$E$405,$AN2298)&lt;&gt;"",$Q2298&lt;&gt;INDEX(職員マスタ!$E$6:$E$405,$AN2298)),"子の生年月日がマスタと相違／","")&amp;IF(AND($L2298&lt;&gt;"",INDEX(職員マスタ!$G$6:$G$405,$AN2298)&lt;&gt;"",$L2298&lt;&gt;INDEX(職員マスタ!$G$6:$G$405,$AN2298)),"時短開始日がマスタと相違／","")&amp;IF(AND($M2298&lt;&gt;"",INDEX(職員マスタ!$H$6:$H$405,$AN2298)&lt;&gt;"",$M2298&lt;&gt;INDEX(職員マスタ!$H$6:$H$405,$AN2298)),"時短終了日がマスタと相違／","")))&amp;IF(AND($B2298&lt;&gt;"",$E2298=""),"報酬額が未入力／","")&amp;IF(N($U2298)&gt;0,"申請書に入力エラーが残っています／","")&amp;IF(AND($B2298&lt;&gt;"",$AO2298&lt;&gt;""),IF(COUNTIFS($B$6:$B$3005,$B2298,$C$6:$C$3005,$C2298,$D$6:$D$3005,$D2298)&gt;1,"同じ月の請求が重複しています／",""),"")&amp;IF(AND(N($E2298)&gt;0,$Z2298&lt;&gt;"",$Z2298&lt;&gt;"×",$AC2298=0,$AB2298=""),"計算額が下限以下のため不支給／",""))</f>
        <v/>
      </c>
      <c r="AL2298" s="12" t="n"/>
      <c r="AM2298" s="14">
        <f>IF($AD2298="保留中",COUNTIF($AD$6:$AD2298,"保留中"),"")</f>
        <v/>
      </c>
      <c r="AN2298" s="14">
        <f>IF($AO2298="","",IF(SUMPRODUCT(MAX((職員マスタ!$A$6:$A$405=$B2298)*(((職員マスタ!$G$6:$G$405="")+(職員マスタ!$G$6:$G$405&lt;=EOMONTH($AO2298,0)))&gt;0)*(((職員マスタ!$H$6:$H$405="")+(職員マスタ!$H$6:$H$405&gt;=$AO2298))&gt;0)*(ROW(職員マスタ!$A$6:$A$405)-5)))&gt;0,SUMPRODUCT(MAX((職員マスタ!$A$6:$A$405=$B2298)*(((職員マスタ!$G$6:$G$405="")+(職員マスタ!$G$6:$G$405&lt;=EOMONTH($AO2298,0)))&gt;0)*(((職員マスタ!$H$6:$H$405="")+(職員マスタ!$H$6:$H$405&gt;=$AO2298))&gt;0)*(ROW(職員マスタ!$A$6:$A$405)-5))),IFERROR(MATCH($B2298,職員マスタ!$A$6:$A$405,0),"")))</f>
        <v/>
      </c>
      <c r="AO2298" s="16">
        <f>IF(OR($B2298="",$C2298="",$D2298=""),"",DATE($C2298+2018,$D2298,1))</f>
        <v/>
      </c>
    </row>
    <row r="2299">
      <c r="A2299" s="11" t="n"/>
      <c r="B2299" s="12" t="n"/>
      <c r="C2299" s="12" t="n"/>
      <c r="D2299" s="12" t="n"/>
      <c r="E2299" s="13" t="n"/>
      <c r="F2299" s="12" t="n"/>
      <c r="G2299" s="13" t="n"/>
      <c r="H2299" s="12" t="n"/>
      <c r="I2299" s="12" t="n"/>
      <c r="J2299" s="12" t="n"/>
      <c r="K2299" s="12" t="n"/>
      <c r="L2299" s="11" t="n"/>
      <c r="M2299" s="11" t="n"/>
      <c r="N2299" s="11" t="n"/>
      <c r="O2299" s="11" t="n"/>
      <c r="P2299" s="12" t="n"/>
      <c r="Q2299" s="11" t="n"/>
      <c r="R2299" s="12" t="n"/>
      <c r="S2299" s="11" t="n"/>
      <c r="T2299" s="12" t="n"/>
      <c r="U2299" s="12" t="n"/>
      <c r="V2299" s="14">
        <f>IF($AN2299="",IF($B2299="","",$H2299),IF(INDEX(職員マスタ!$B$6:$B$405,$AN2299)="",$H2299,INDEX(職員マスタ!$B$6:$B$405,$AN2299)))</f>
        <v/>
      </c>
      <c r="W2299" s="14">
        <f>IF($AN2299="",IF($B2299="","",$R2299),IF(INDEX(職員マスタ!$C$6:$C$405,$AN2299)="",$R2299,INDEX(職員マスタ!$C$6:$C$405,$AN2299)))</f>
        <v/>
      </c>
      <c r="X2299" s="14">
        <f>IF($AO2299="","","R"&amp;$C2299&amp;"."&amp;$D2299)</f>
        <v/>
      </c>
      <c r="Y2299" s="15">
        <f>IF($AN2299="","",IF(INDEX(職員マスタ!$K$6:$K$405,$AN2299)="","",INDEX(職員マスタ!$K$6:$K$405,$AN2299)))</f>
        <v/>
      </c>
      <c r="Z2299" s="14">
        <f>IF(OR($E2299="",$Y2299=""),"",IF($E2299&gt;=$Y2299,"×",IF($E2299&gt;=$Y2299*設定!$C$5,"△","○")))</f>
        <v/>
      </c>
      <c r="AA2299" s="15">
        <f>IF($Z2299="","",IF($Z2299="×",0,IF($Z2299="○",ROUNDDOWN($E2299*設定!$C$4,0),ROUNDDOWN($E2299*ROUND((9*$Y2299-9*$E2299)/(10*$E2299),4),0))))</f>
        <v/>
      </c>
      <c r="AB2299" s="13" t="n"/>
      <c r="AC2299" s="15">
        <f>IF($B2299="","",IF($AB2299&lt;&gt;"",$AB2299,IF($AA2299="","",IF($AA2299&lt;=設定!$C$3,0,$AA2299))))</f>
        <v/>
      </c>
      <c r="AD2299" s="14">
        <f>IF($B2299="","",IF(AND($AE2299&lt;&gt;"",$AG2299="",$AJ2299=""),"保留中",IF($AJ2299&lt;&gt;"",IF(N($AC2299)&gt;0,"支給済","不支給"),IF($AC2299="","要確認",IF($AC2299=0,"不支給","未処理")))))</f>
        <v/>
      </c>
      <c r="AE2299" s="12" t="n"/>
      <c r="AF2299" s="11" t="n"/>
      <c r="AG2299" s="11" t="n"/>
      <c r="AH2299" s="11" t="n"/>
      <c r="AI2299" s="14">
        <f>IF(AND($AD2299="保留中",$AF2299&lt;&gt;""),TODAY()-$AF2299,"")</f>
        <v/>
      </c>
      <c r="AJ2299" s="12" t="n"/>
      <c r="AK2299" s="14">
        <f>IF($B2299="","",IF($AO2299="","対象年月が未入力／","")&amp;IF($B2299="","",IF($AN2299="","職員マスタに未登録の職員番号／",IF($Y2299="","標準報酬月額が未登録／","")&amp;IF(AND($AO2299&lt;&gt;"",OR(AND(INDEX(職員マスタ!$G$6:$G$405,$AN2299)&lt;&gt;"",INDEX(職員マスタ!$G$6:$G$405,$AN2299)&gt;EOMONTH($AO2299,0)),AND(INDEX(職員マスタ!$H$6:$H$405,$AN2299)&lt;&gt;"",INDEX(職員マスタ!$H$6:$H$405,$AN2299)&lt;$AO2299))),"対象月が時短期間外／","")&amp;IF(AND(INDEX(職員マスタ!$F$6:$F$405,$AN2299)&lt;&gt;"",$AO2299&lt;&gt;"",INDEX(職員マスタ!$F$6:$F$405,$AN2299)&lt;$AO2299),"対象月に子が2歳到達済／","")&amp;IF(AND($H2299&lt;&gt;"",INDEX(職員マスタ!$B$6:$B$405,$AN2299)&lt;&gt;"",SUBSTITUTE(SUBSTITUTE($H2299," ","")," ","")&lt;&gt;SUBSTITUTE(SUBSTITUTE(INDEX(職員マスタ!$B$6:$B$405,$AN2299)," ","")," ","")),"氏名がマスタと相違／","")&amp;IF(AND($Q2299&lt;&gt;"",INDEX(職員マスタ!$E$6:$E$405,$AN2299)&lt;&gt;"",$Q2299&lt;&gt;INDEX(職員マスタ!$E$6:$E$405,$AN2299)),"子の生年月日がマスタと相違／","")&amp;IF(AND($L2299&lt;&gt;"",INDEX(職員マスタ!$G$6:$G$405,$AN2299)&lt;&gt;"",$L2299&lt;&gt;INDEX(職員マスタ!$G$6:$G$405,$AN2299)),"時短開始日がマスタと相違／","")&amp;IF(AND($M2299&lt;&gt;"",INDEX(職員マスタ!$H$6:$H$405,$AN2299)&lt;&gt;"",$M2299&lt;&gt;INDEX(職員マスタ!$H$6:$H$405,$AN2299)),"時短終了日がマスタと相違／","")))&amp;IF(AND($B2299&lt;&gt;"",$E2299=""),"報酬額が未入力／","")&amp;IF(N($U2299)&gt;0,"申請書に入力エラーが残っています／","")&amp;IF(AND($B2299&lt;&gt;"",$AO2299&lt;&gt;""),IF(COUNTIFS($B$6:$B$3005,$B2299,$C$6:$C$3005,$C2299,$D$6:$D$3005,$D2299)&gt;1,"同じ月の請求が重複しています／",""),"")&amp;IF(AND(N($E2299)&gt;0,$Z2299&lt;&gt;"",$Z2299&lt;&gt;"×",$AC2299=0,$AB2299=""),"計算額が下限以下のため不支給／",""))</f>
        <v/>
      </c>
      <c r="AL2299" s="12" t="n"/>
      <c r="AM2299" s="14">
        <f>IF($AD2299="保留中",COUNTIF($AD$6:$AD2299,"保留中"),"")</f>
        <v/>
      </c>
      <c r="AN2299" s="14">
        <f>IF($AO2299="","",IF(SUMPRODUCT(MAX((職員マスタ!$A$6:$A$405=$B2299)*(((職員マスタ!$G$6:$G$405="")+(職員マスタ!$G$6:$G$405&lt;=EOMONTH($AO2299,0)))&gt;0)*(((職員マスタ!$H$6:$H$405="")+(職員マスタ!$H$6:$H$405&gt;=$AO2299))&gt;0)*(ROW(職員マスタ!$A$6:$A$405)-5)))&gt;0,SUMPRODUCT(MAX((職員マスタ!$A$6:$A$405=$B2299)*(((職員マスタ!$G$6:$G$405="")+(職員マスタ!$G$6:$G$405&lt;=EOMONTH($AO2299,0)))&gt;0)*(((職員マスタ!$H$6:$H$405="")+(職員マスタ!$H$6:$H$405&gt;=$AO2299))&gt;0)*(ROW(職員マスタ!$A$6:$A$405)-5))),IFERROR(MATCH($B2299,職員マスタ!$A$6:$A$405,0),"")))</f>
        <v/>
      </c>
      <c r="AO2299" s="16">
        <f>IF(OR($B2299="",$C2299="",$D2299=""),"",DATE($C2299+2018,$D2299,1))</f>
        <v/>
      </c>
    </row>
    <row r="2300">
      <c r="A2300" s="11" t="n"/>
      <c r="B2300" s="12" t="n"/>
      <c r="C2300" s="12" t="n"/>
      <c r="D2300" s="12" t="n"/>
      <c r="E2300" s="13" t="n"/>
      <c r="F2300" s="12" t="n"/>
      <c r="G2300" s="13" t="n"/>
      <c r="H2300" s="12" t="n"/>
      <c r="I2300" s="12" t="n"/>
      <c r="J2300" s="12" t="n"/>
      <c r="K2300" s="12" t="n"/>
      <c r="L2300" s="11" t="n"/>
      <c r="M2300" s="11" t="n"/>
      <c r="N2300" s="11" t="n"/>
      <c r="O2300" s="11" t="n"/>
      <c r="P2300" s="12" t="n"/>
      <c r="Q2300" s="11" t="n"/>
      <c r="R2300" s="12" t="n"/>
      <c r="S2300" s="11" t="n"/>
      <c r="T2300" s="12" t="n"/>
      <c r="U2300" s="12" t="n"/>
      <c r="V2300" s="14">
        <f>IF($AN2300="",IF($B2300="","",$H2300),IF(INDEX(職員マスタ!$B$6:$B$405,$AN2300)="",$H2300,INDEX(職員マスタ!$B$6:$B$405,$AN2300)))</f>
        <v/>
      </c>
      <c r="W2300" s="14">
        <f>IF($AN2300="",IF($B2300="","",$R2300),IF(INDEX(職員マスタ!$C$6:$C$405,$AN2300)="",$R2300,INDEX(職員マスタ!$C$6:$C$405,$AN2300)))</f>
        <v/>
      </c>
      <c r="X2300" s="14">
        <f>IF($AO2300="","","R"&amp;$C2300&amp;"."&amp;$D2300)</f>
        <v/>
      </c>
      <c r="Y2300" s="15">
        <f>IF($AN2300="","",IF(INDEX(職員マスタ!$K$6:$K$405,$AN2300)="","",INDEX(職員マスタ!$K$6:$K$405,$AN2300)))</f>
        <v/>
      </c>
      <c r="Z2300" s="14">
        <f>IF(OR($E2300="",$Y2300=""),"",IF($E2300&gt;=$Y2300,"×",IF($E2300&gt;=$Y2300*設定!$C$5,"△","○")))</f>
        <v/>
      </c>
      <c r="AA2300" s="15">
        <f>IF($Z2300="","",IF($Z2300="×",0,IF($Z2300="○",ROUNDDOWN($E2300*設定!$C$4,0),ROUNDDOWN($E2300*ROUND((9*$Y2300-9*$E2300)/(10*$E2300),4),0))))</f>
        <v/>
      </c>
      <c r="AB2300" s="13" t="n"/>
      <c r="AC2300" s="15">
        <f>IF($B2300="","",IF($AB2300&lt;&gt;"",$AB2300,IF($AA2300="","",IF($AA2300&lt;=設定!$C$3,0,$AA2300))))</f>
        <v/>
      </c>
      <c r="AD2300" s="14">
        <f>IF($B2300="","",IF(AND($AE2300&lt;&gt;"",$AG2300="",$AJ2300=""),"保留中",IF($AJ2300&lt;&gt;"",IF(N($AC2300)&gt;0,"支給済","不支給"),IF($AC2300="","要確認",IF($AC2300=0,"不支給","未処理")))))</f>
        <v/>
      </c>
      <c r="AE2300" s="12" t="n"/>
      <c r="AF2300" s="11" t="n"/>
      <c r="AG2300" s="11" t="n"/>
      <c r="AH2300" s="11" t="n"/>
      <c r="AI2300" s="14">
        <f>IF(AND($AD2300="保留中",$AF2300&lt;&gt;""),TODAY()-$AF2300,"")</f>
        <v/>
      </c>
      <c r="AJ2300" s="12" t="n"/>
      <c r="AK2300" s="14">
        <f>IF($B2300="","",IF($AO2300="","対象年月が未入力／","")&amp;IF($B2300="","",IF($AN2300="","職員マスタに未登録の職員番号／",IF($Y2300="","標準報酬月額が未登録／","")&amp;IF(AND($AO2300&lt;&gt;"",OR(AND(INDEX(職員マスタ!$G$6:$G$405,$AN2300)&lt;&gt;"",INDEX(職員マスタ!$G$6:$G$405,$AN2300)&gt;EOMONTH($AO2300,0)),AND(INDEX(職員マスタ!$H$6:$H$405,$AN2300)&lt;&gt;"",INDEX(職員マスタ!$H$6:$H$405,$AN2300)&lt;$AO2300))),"対象月が時短期間外／","")&amp;IF(AND(INDEX(職員マスタ!$F$6:$F$405,$AN2300)&lt;&gt;"",$AO2300&lt;&gt;"",INDEX(職員マスタ!$F$6:$F$405,$AN2300)&lt;$AO2300),"対象月に子が2歳到達済／","")&amp;IF(AND($H2300&lt;&gt;"",INDEX(職員マスタ!$B$6:$B$405,$AN2300)&lt;&gt;"",SUBSTITUTE(SUBSTITUTE($H2300," ","")," ","")&lt;&gt;SUBSTITUTE(SUBSTITUTE(INDEX(職員マスタ!$B$6:$B$405,$AN2300)," ","")," ","")),"氏名がマスタと相違／","")&amp;IF(AND($Q2300&lt;&gt;"",INDEX(職員マスタ!$E$6:$E$405,$AN2300)&lt;&gt;"",$Q2300&lt;&gt;INDEX(職員マスタ!$E$6:$E$405,$AN2300)),"子の生年月日がマスタと相違／","")&amp;IF(AND($L2300&lt;&gt;"",INDEX(職員マスタ!$G$6:$G$405,$AN2300)&lt;&gt;"",$L2300&lt;&gt;INDEX(職員マスタ!$G$6:$G$405,$AN2300)),"時短開始日がマスタと相違／","")&amp;IF(AND($M2300&lt;&gt;"",INDEX(職員マスタ!$H$6:$H$405,$AN2300)&lt;&gt;"",$M2300&lt;&gt;INDEX(職員マスタ!$H$6:$H$405,$AN2300)),"時短終了日がマスタと相違／","")))&amp;IF(AND($B2300&lt;&gt;"",$E2300=""),"報酬額が未入力／","")&amp;IF(N($U2300)&gt;0,"申請書に入力エラーが残っています／","")&amp;IF(AND($B2300&lt;&gt;"",$AO2300&lt;&gt;""),IF(COUNTIFS($B$6:$B$3005,$B2300,$C$6:$C$3005,$C2300,$D$6:$D$3005,$D2300)&gt;1,"同じ月の請求が重複しています／",""),"")&amp;IF(AND(N($E2300)&gt;0,$Z2300&lt;&gt;"",$Z2300&lt;&gt;"×",$AC2300=0,$AB2300=""),"計算額が下限以下のため不支給／",""))</f>
        <v/>
      </c>
      <c r="AL2300" s="12" t="n"/>
      <c r="AM2300" s="14">
        <f>IF($AD2300="保留中",COUNTIF($AD$6:$AD2300,"保留中"),"")</f>
        <v/>
      </c>
      <c r="AN2300" s="14">
        <f>IF($AO2300="","",IF(SUMPRODUCT(MAX((職員マスタ!$A$6:$A$405=$B2300)*(((職員マスタ!$G$6:$G$405="")+(職員マスタ!$G$6:$G$405&lt;=EOMONTH($AO2300,0)))&gt;0)*(((職員マスタ!$H$6:$H$405="")+(職員マスタ!$H$6:$H$405&gt;=$AO2300))&gt;0)*(ROW(職員マスタ!$A$6:$A$405)-5)))&gt;0,SUMPRODUCT(MAX((職員マスタ!$A$6:$A$405=$B2300)*(((職員マスタ!$G$6:$G$405="")+(職員マスタ!$G$6:$G$405&lt;=EOMONTH($AO2300,0)))&gt;0)*(((職員マスタ!$H$6:$H$405="")+(職員マスタ!$H$6:$H$405&gt;=$AO2300))&gt;0)*(ROW(職員マスタ!$A$6:$A$405)-5))),IFERROR(MATCH($B2300,職員マスタ!$A$6:$A$405,0),"")))</f>
        <v/>
      </c>
      <c r="AO2300" s="16">
        <f>IF(OR($B2300="",$C2300="",$D2300=""),"",DATE($C2300+2018,$D2300,1))</f>
        <v/>
      </c>
    </row>
    <row r="2301">
      <c r="A2301" s="11" t="n"/>
      <c r="B2301" s="12" t="n"/>
      <c r="C2301" s="12" t="n"/>
      <c r="D2301" s="12" t="n"/>
      <c r="E2301" s="13" t="n"/>
      <c r="F2301" s="12" t="n"/>
      <c r="G2301" s="13" t="n"/>
      <c r="H2301" s="12" t="n"/>
      <c r="I2301" s="12" t="n"/>
      <c r="J2301" s="12" t="n"/>
      <c r="K2301" s="12" t="n"/>
      <c r="L2301" s="11" t="n"/>
      <c r="M2301" s="11" t="n"/>
      <c r="N2301" s="11" t="n"/>
      <c r="O2301" s="11" t="n"/>
      <c r="P2301" s="12" t="n"/>
      <c r="Q2301" s="11" t="n"/>
      <c r="R2301" s="12" t="n"/>
      <c r="S2301" s="11" t="n"/>
      <c r="T2301" s="12" t="n"/>
      <c r="U2301" s="12" t="n"/>
      <c r="V2301" s="14">
        <f>IF($AN2301="",IF($B2301="","",$H2301),IF(INDEX(職員マスタ!$B$6:$B$405,$AN2301)="",$H2301,INDEX(職員マスタ!$B$6:$B$405,$AN2301)))</f>
        <v/>
      </c>
      <c r="W2301" s="14">
        <f>IF($AN2301="",IF($B2301="","",$R2301),IF(INDEX(職員マスタ!$C$6:$C$405,$AN2301)="",$R2301,INDEX(職員マスタ!$C$6:$C$405,$AN2301)))</f>
        <v/>
      </c>
      <c r="X2301" s="14">
        <f>IF($AO2301="","","R"&amp;$C2301&amp;"."&amp;$D2301)</f>
        <v/>
      </c>
      <c r="Y2301" s="15">
        <f>IF($AN2301="","",IF(INDEX(職員マスタ!$K$6:$K$405,$AN2301)="","",INDEX(職員マスタ!$K$6:$K$405,$AN2301)))</f>
        <v/>
      </c>
      <c r="Z2301" s="14">
        <f>IF(OR($E2301="",$Y2301=""),"",IF($E2301&gt;=$Y2301,"×",IF($E2301&gt;=$Y2301*設定!$C$5,"△","○")))</f>
        <v/>
      </c>
      <c r="AA2301" s="15">
        <f>IF($Z2301="","",IF($Z2301="×",0,IF($Z2301="○",ROUNDDOWN($E2301*設定!$C$4,0),ROUNDDOWN($E2301*ROUND((9*$Y2301-9*$E2301)/(10*$E2301),4),0))))</f>
        <v/>
      </c>
      <c r="AB2301" s="13" t="n"/>
      <c r="AC2301" s="15">
        <f>IF($B2301="","",IF($AB2301&lt;&gt;"",$AB2301,IF($AA2301="","",IF($AA2301&lt;=設定!$C$3,0,$AA2301))))</f>
        <v/>
      </c>
      <c r="AD2301" s="14">
        <f>IF($B2301="","",IF(AND($AE2301&lt;&gt;"",$AG2301="",$AJ2301=""),"保留中",IF($AJ2301&lt;&gt;"",IF(N($AC2301)&gt;0,"支給済","不支給"),IF($AC2301="","要確認",IF($AC2301=0,"不支給","未処理")))))</f>
        <v/>
      </c>
      <c r="AE2301" s="12" t="n"/>
      <c r="AF2301" s="11" t="n"/>
      <c r="AG2301" s="11" t="n"/>
      <c r="AH2301" s="11" t="n"/>
      <c r="AI2301" s="14">
        <f>IF(AND($AD2301="保留中",$AF2301&lt;&gt;""),TODAY()-$AF2301,"")</f>
        <v/>
      </c>
      <c r="AJ2301" s="12" t="n"/>
      <c r="AK2301" s="14">
        <f>IF($B2301="","",IF($AO2301="","対象年月が未入力／","")&amp;IF($B2301="","",IF($AN2301="","職員マスタに未登録の職員番号／",IF($Y2301="","標準報酬月額が未登録／","")&amp;IF(AND($AO2301&lt;&gt;"",OR(AND(INDEX(職員マスタ!$G$6:$G$405,$AN2301)&lt;&gt;"",INDEX(職員マスタ!$G$6:$G$405,$AN2301)&gt;EOMONTH($AO2301,0)),AND(INDEX(職員マスタ!$H$6:$H$405,$AN2301)&lt;&gt;"",INDEX(職員マスタ!$H$6:$H$405,$AN2301)&lt;$AO2301))),"対象月が時短期間外／","")&amp;IF(AND(INDEX(職員マスタ!$F$6:$F$405,$AN2301)&lt;&gt;"",$AO2301&lt;&gt;"",INDEX(職員マスタ!$F$6:$F$405,$AN2301)&lt;$AO2301),"対象月に子が2歳到達済／","")&amp;IF(AND($H2301&lt;&gt;"",INDEX(職員マスタ!$B$6:$B$405,$AN2301)&lt;&gt;"",SUBSTITUTE(SUBSTITUTE($H2301," ","")," ","")&lt;&gt;SUBSTITUTE(SUBSTITUTE(INDEX(職員マスタ!$B$6:$B$405,$AN2301)," ","")," ","")),"氏名がマスタと相違／","")&amp;IF(AND($Q2301&lt;&gt;"",INDEX(職員マスタ!$E$6:$E$405,$AN2301)&lt;&gt;"",$Q2301&lt;&gt;INDEX(職員マスタ!$E$6:$E$405,$AN2301)),"子の生年月日がマスタと相違／","")&amp;IF(AND($L2301&lt;&gt;"",INDEX(職員マスタ!$G$6:$G$405,$AN2301)&lt;&gt;"",$L2301&lt;&gt;INDEX(職員マスタ!$G$6:$G$405,$AN2301)),"時短開始日がマスタと相違／","")&amp;IF(AND($M2301&lt;&gt;"",INDEX(職員マスタ!$H$6:$H$405,$AN2301)&lt;&gt;"",$M2301&lt;&gt;INDEX(職員マスタ!$H$6:$H$405,$AN2301)),"時短終了日がマスタと相違／","")))&amp;IF(AND($B2301&lt;&gt;"",$E2301=""),"報酬額が未入力／","")&amp;IF(N($U2301)&gt;0,"申請書に入力エラーが残っています／","")&amp;IF(AND($B2301&lt;&gt;"",$AO2301&lt;&gt;""),IF(COUNTIFS($B$6:$B$3005,$B2301,$C$6:$C$3005,$C2301,$D$6:$D$3005,$D2301)&gt;1,"同じ月の請求が重複しています／",""),"")&amp;IF(AND(N($E2301)&gt;0,$Z2301&lt;&gt;"",$Z2301&lt;&gt;"×",$AC2301=0,$AB2301=""),"計算額が下限以下のため不支給／",""))</f>
        <v/>
      </c>
      <c r="AL2301" s="12" t="n"/>
      <c r="AM2301" s="14">
        <f>IF($AD2301="保留中",COUNTIF($AD$6:$AD2301,"保留中"),"")</f>
        <v/>
      </c>
      <c r="AN2301" s="14">
        <f>IF($AO2301="","",IF(SUMPRODUCT(MAX((職員マスタ!$A$6:$A$405=$B2301)*(((職員マスタ!$G$6:$G$405="")+(職員マスタ!$G$6:$G$405&lt;=EOMONTH($AO2301,0)))&gt;0)*(((職員マスタ!$H$6:$H$405="")+(職員マスタ!$H$6:$H$405&gt;=$AO2301))&gt;0)*(ROW(職員マスタ!$A$6:$A$405)-5)))&gt;0,SUMPRODUCT(MAX((職員マスタ!$A$6:$A$405=$B2301)*(((職員マスタ!$G$6:$G$405="")+(職員マスタ!$G$6:$G$405&lt;=EOMONTH($AO2301,0)))&gt;0)*(((職員マスタ!$H$6:$H$405="")+(職員マスタ!$H$6:$H$405&gt;=$AO2301))&gt;0)*(ROW(職員マスタ!$A$6:$A$405)-5))),IFERROR(MATCH($B2301,職員マスタ!$A$6:$A$405,0),"")))</f>
        <v/>
      </c>
      <c r="AO2301" s="16">
        <f>IF(OR($B2301="",$C2301="",$D2301=""),"",DATE($C2301+2018,$D2301,1))</f>
        <v/>
      </c>
    </row>
    <row r="2302">
      <c r="A2302" s="11" t="n"/>
      <c r="B2302" s="12" t="n"/>
      <c r="C2302" s="12" t="n"/>
      <c r="D2302" s="12" t="n"/>
      <c r="E2302" s="13" t="n"/>
      <c r="F2302" s="12" t="n"/>
      <c r="G2302" s="13" t="n"/>
      <c r="H2302" s="12" t="n"/>
      <c r="I2302" s="12" t="n"/>
      <c r="J2302" s="12" t="n"/>
      <c r="K2302" s="12" t="n"/>
      <c r="L2302" s="11" t="n"/>
      <c r="M2302" s="11" t="n"/>
      <c r="N2302" s="11" t="n"/>
      <c r="O2302" s="11" t="n"/>
      <c r="P2302" s="12" t="n"/>
      <c r="Q2302" s="11" t="n"/>
      <c r="R2302" s="12" t="n"/>
      <c r="S2302" s="11" t="n"/>
      <c r="T2302" s="12" t="n"/>
      <c r="U2302" s="12" t="n"/>
      <c r="V2302" s="14">
        <f>IF($AN2302="",IF($B2302="","",$H2302),IF(INDEX(職員マスタ!$B$6:$B$405,$AN2302)="",$H2302,INDEX(職員マスタ!$B$6:$B$405,$AN2302)))</f>
        <v/>
      </c>
      <c r="W2302" s="14">
        <f>IF($AN2302="",IF($B2302="","",$R2302),IF(INDEX(職員マスタ!$C$6:$C$405,$AN2302)="",$R2302,INDEX(職員マスタ!$C$6:$C$405,$AN2302)))</f>
        <v/>
      </c>
      <c r="X2302" s="14">
        <f>IF($AO2302="","","R"&amp;$C2302&amp;"."&amp;$D2302)</f>
        <v/>
      </c>
      <c r="Y2302" s="15">
        <f>IF($AN2302="","",IF(INDEX(職員マスタ!$K$6:$K$405,$AN2302)="","",INDEX(職員マスタ!$K$6:$K$405,$AN2302)))</f>
        <v/>
      </c>
      <c r="Z2302" s="14">
        <f>IF(OR($E2302="",$Y2302=""),"",IF($E2302&gt;=$Y2302,"×",IF($E2302&gt;=$Y2302*設定!$C$5,"△","○")))</f>
        <v/>
      </c>
      <c r="AA2302" s="15">
        <f>IF($Z2302="","",IF($Z2302="×",0,IF($Z2302="○",ROUNDDOWN($E2302*設定!$C$4,0),ROUNDDOWN($E2302*ROUND((9*$Y2302-9*$E2302)/(10*$E2302),4),0))))</f>
        <v/>
      </c>
      <c r="AB2302" s="13" t="n"/>
      <c r="AC2302" s="15">
        <f>IF($B2302="","",IF($AB2302&lt;&gt;"",$AB2302,IF($AA2302="","",IF($AA2302&lt;=設定!$C$3,0,$AA2302))))</f>
        <v/>
      </c>
      <c r="AD2302" s="14">
        <f>IF($B2302="","",IF(AND($AE2302&lt;&gt;"",$AG2302="",$AJ2302=""),"保留中",IF($AJ2302&lt;&gt;"",IF(N($AC2302)&gt;0,"支給済","不支給"),IF($AC2302="","要確認",IF($AC2302=0,"不支給","未処理")))))</f>
        <v/>
      </c>
      <c r="AE2302" s="12" t="n"/>
      <c r="AF2302" s="11" t="n"/>
      <c r="AG2302" s="11" t="n"/>
      <c r="AH2302" s="11" t="n"/>
      <c r="AI2302" s="14">
        <f>IF(AND($AD2302="保留中",$AF2302&lt;&gt;""),TODAY()-$AF2302,"")</f>
        <v/>
      </c>
      <c r="AJ2302" s="12" t="n"/>
      <c r="AK2302" s="14">
        <f>IF($B2302="","",IF($AO2302="","対象年月が未入力／","")&amp;IF($B2302="","",IF($AN2302="","職員マスタに未登録の職員番号／",IF($Y2302="","標準報酬月額が未登録／","")&amp;IF(AND($AO2302&lt;&gt;"",OR(AND(INDEX(職員マスタ!$G$6:$G$405,$AN2302)&lt;&gt;"",INDEX(職員マスタ!$G$6:$G$405,$AN2302)&gt;EOMONTH($AO2302,0)),AND(INDEX(職員マスタ!$H$6:$H$405,$AN2302)&lt;&gt;"",INDEX(職員マスタ!$H$6:$H$405,$AN2302)&lt;$AO2302))),"対象月が時短期間外／","")&amp;IF(AND(INDEX(職員マスタ!$F$6:$F$405,$AN2302)&lt;&gt;"",$AO2302&lt;&gt;"",INDEX(職員マスタ!$F$6:$F$405,$AN2302)&lt;$AO2302),"対象月に子が2歳到達済／","")&amp;IF(AND($H2302&lt;&gt;"",INDEX(職員マスタ!$B$6:$B$405,$AN2302)&lt;&gt;"",SUBSTITUTE(SUBSTITUTE($H2302," ","")," ","")&lt;&gt;SUBSTITUTE(SUBSTITUTE(INDEX(職員マスタ!$B$6:$B$405,$AN2302)," ","")," ","")),"氏名がマスタと相違／","")&amp;IF(AND($Q2302&lt;&gt;"",INDEX(職員マスタ!$E$6:$E$405,$AN2302)&lt;&gt;"",$Q2302&lt;&gt;INDEX(職員マスタ!$E$6:$E$405,$AN2302)),"子の生年月日がマスタと相違／","")&amp;IF(AND($L2302&lt;&gt;"",INDEX(職員マスタ!$G$6:$G$405,$AN2302)&lt;&gt;"",$L2302&lt;&gt;INDEX(職員マスタ!$G$6:$G$405,$AN2302)),"時短開始日がマスタと相違／","")&amp;IF(AND($M2302&lt;&gt;"",INDEX(職員マスタ!$H$6:$H$405,$AN2302)&lt;&gt;"",$M2302&lt;&gt;INDEX(職員マスタ!$H$6:$H$405,$AN2302)),"時短終了日がマスタと相違／","")))&amp;IF(AND($B2302&lt;&gt;"",$E2302=""),"報酬額が未入力／","")&amp;IF(N($U2302)&gt;0,"申請書に入力エラーが残っています／","")&amp;IF(AND($B2302&lt;&gt;"",$AO2302&lt;&gt;""),IF(COUNTIFS($B$6:$B$3005,$B2302,$C$6:$C$3005,$C2302,$D$6:$D$3005,$D2302)&gt;1,"同じ月の請求が重複しています／",""),"")&amp;IF(AND(N($E2302)&gt;0,$Z2302&lt;&gt;"",$Z2302&lt;&gt;"×",$AC2302=0,$AB2302=""),"計算額が下限以下のため不支給／",""))</f>
        <v/>
      </c>
      <c r="AL2302" s="12" t="n"/>
      <c r="AM2302" s="14">
        <f>IF($AD2302="保留中",COUNTIF($AD$6:$AD2302,"保留中"),"")</f>
        <v/>
      </c>
      <c r="AN2302" s="14">
        <f>IF($AO2302="","",IF(SUMPRODUCT(MAX((職員マスタ!$A$6:$A$405=$B2302)*(((職員マスタ!$G$6:$G$405="")+(職員マスタ!$G$6:$G$405&lt;=EOMONTH($AO2302,0)))&gt;0)*(((職員マスタ!$H$6:$H$405="")+(職員マスタ!$H$6:$H$405&gt;=$AO2302))&gt;0)*(ROW(職員マスタ!$A$6:$A$405)-5)))&gt;0,SUMPRODUCT(MAX((職員マスタ!$A$6:$A$405=$B2302)*(((職員マスタ!$G$6:$G$405="")+(職員マスタ!$G$6:$G$405&lt;=EOMONTH($AO2302,0)))&gt;0)*(((職員マスタ!$H$6:$H$405="")+(職員マスタ!$H$6:$H$405&gt;=$AO2302))&gt;0)*(ROW(職員マスタ!$A$6:$A$405)-5))),IFERROR(MATCH($B2302,職員マスタ!$A$6:$A$405,0),"")))</f>
        <v/>
      </c>
      <c r="AO2302" s="16">
        <f>IF(OR($B2302="",$C2302="",$D2302=""),"",DATE($C2302+2018,$D2302,1))</f>
        <v/>
      </c>
    </row>
    <row r="2303">
      <c r="A2303" s="11" t="n"/>
      <c r="B2303" s="12" t="n"/>
      <c r="C2303" s="12" t="n"/>
      <c r="D2303" s="12" t="n"/>
      <c r="E2303" s="13" t="n"/>
      <c r="F2303" s="12" t="n"/>
      <c r="G2303" s="13" t="n"/>
      <c r="H2303" s="12" t="n"/>
      <c r="I2303" s="12" t="n"/>
      <c r="J2303" s="12" t="n"/>
      <c r="K2303" s="12" t="n"/>
      <c r="L2303" s="11" t="n"/>
      <c r="M2303" s="11" t="n"/>
      <c r="N2303" s="11" t="n"/>
      <c r="O2303" s="11" t="n"/>
      <c r="P2303" s="12" t="n"/>
      <c r="Q2303" s="11" t="n"/>
      <c r="R2303" s="12" t="n"/>
      <c r="S2303" s="11" t="n"/>
      <c r="T2303" s="12" t="n"/>
      <c r="U2303" s="12" t="n"/>
      <c r="V2303" s="14">
        <f>IF($AN2303="",IF($B2303="","",$H2303),IF(INDEX(職員マスタ!$B$6:$B$405,$AN2303)="",$H2303,INDEX(職員マスタ!$B$6:$B$405,$AN2303)))</f>
        <v/>
      </c>
      <c r="W2303" s="14">
        <f>IF($AN2303="",IF($B2303="","",$R2303),IF(INDEX(職員マスタ!$C$6:$C$405,$AN2303)="",$R2303,INDEX(職員マスタ!$C$6:$C$405,$AN2303)))</f>
        <v/>
      </c>
      <c r="X2303" s="14">
        <f>IF($AO2303="","","R"&amp;$C2303&amp;"."&amp;$D2303)</f>
        <v/>
      </c>
      <c r="Y2303" s="15">
        <f>IF($AN2303="","",IF(INDEX(職員マスタ!$K$6:$K$405,$AN2303)="","",INDEX(職員マスタ!$K$6:$K$405,$AN2303)))</f>
        <v/>
      </c>
      <c r="Z2303" s="14">
        <f>IF(OR($E2303="",$Y2303=""),"",IF($E2303&gt;=$Y2303,"×",IF($E2303&gt;=$Y2303*設定!$C$5,"△","○")))</f>
        <v/>
      </c>
      <c r="AA2303" s="15">
        <f>IF($Z2303="","",IF($Z2303="×",0,IF($Z2303="○",ROUNDDOWN($E2303*設定!$C$4,0),ROUNDDOWN($E2303*ROUND((9*$Y2303-9*$E2303)/(10*$E2303),4),0))))</f>
        <v/>
      </c>
      <c r="AB2303" s="13" t="n"/>
      <c r="AC2303" s="15">
        <f>IF($B2303="","",IF($AB2303&lt;&gt;"",$AB2303,IF($AA2303="","",IF($AA2303&lt;=設定!$C$3,0,$AA2303))))</f>
        <v/>
      </c>
      <c r="AD2303" s="14">
        <f>IF($B2303="","",IF(AND($AE2303&lt;&gt;"",$AG2303="",$AJ2303=""),"保留中",IF($AJ2303&lt;&gt;"",IF(N($AC2303)&gt;0,"支給済","不支給"),IF($AC2303="","要確認",IF($AC2303=0,"不支給","未処理")))))</f>
        <v/>
      </c>
      <c r="AE2303" s="12" t="n"/>
      <c r="AF2303" s="11" t="n"/>
      <c r="AG2303" s="11" t="n"/>
      <c r="AH2303" s="11" t="n"/>
      <c r="AI2303" s="14">
        <f>IF(AND($AD2303="保留中",$AF2303&lt;&gt;""),TODAY()-$AF2303,"")</f>
        <v/>
      </c>
      <c r="AJ2303" s="12" t="n"/>
      <c r="AK2303" s="14">
        <f>IF($B2303="","",IF($AO2303="","対象年月が未入力／","")&amp;IF($B2303="","",IF($AN2303="","職員マスタに未登録の職員番号／",IF($Y2303="","標準報酬月額が未登録／","")&amp;IF(AND($AO2303&lt;&gt;"",OR(AND(INDEX(職員マスタ!$G$6:$G$405,$AN2303)&lt;&gt;"",INDEX(職員マスタ!$G$6:$G$405,$AN2303)&gt;EOMONTH($AO2303,0)),AND(INDEX(職員マスタ!$H$6:$H$405,$AN2303)&lt;&gt;"",INDEX(職員マスタ!$H$6:$H$405,$AN2303)&lt;$AO2303))),"対象月が時短期間外／","")&amp;IF(AND(INDEX(職員マスタ!$F$6:$F$405,$AN2303)&lt;&gt;"",$AO2303&lt;&gt;"",INDEX(職員マスタ!$F$6:$F$405,$AN2303)&lt;$AO2303),"対象月に子が2歳到達済／","")&amp;IF(AND($H2303&lt;&gt;"",INDEX(職員マスタ!$B$6:$B$405,$AN2303)&lt;&gt;"",SUBSTITUTE(SUBSTITUTE($H2303," ","")," ","")&lt;&gt;SUBSTITUTE(SUBSTITUTE(INDEX(職員マスタ!$B$6:$B$405,$AN2303)," ","")," ","")),"氏名がマスタと相違／","")&amp;IF(AND($Q2303&lt;&gt;"",INDEX(職員マスタ!$E$6:$E$405,$AN2303)&lt;&gt;"",$Q2303&lt;&gt;INDEX(職員マスタ!$E$6:$E$405,$AN2303)),"子の生年月日がマスタと相違／","")&amp;IF(AND($L2303&lt;&gt;"",INDEX(職員マスタ!$G$6:$G$405,$AN2303)&lt;&gt;"",$L2303&lt;&gt;INDEX(職員マスタ!$G$6:$G$405,$AN2303)),"時短開始日がマスタと相違／","")&amp;IF(AND($M2303&lt;&gt;"",INDEX(職員マスタ!$H$6:$H$405,$AN2303)&lt;&gt;"",$M2303&lt;&gt;INDEX(職員マスタ!$H$6:$H$405,$AN2303)),"時短終了日がマスタと相違／","")))&amp;IF(AND($B2303&lt;&gt;"",$E2303=""),"報酬額が未入力／","")&amp;IF(N($U2303)&gt;0,"申請書に入力エラーが残っています／","")&amp;IF(AND($B2303&lt;&gt;"",$AO2303&lt;&gt;""),IF(COUNTIFS($B$6:$B$3005,$B2303,$C$6:$C$3005,$C2303,$D$6:$D$3005,$D2303)&gt;1,"同じ月の請求が重複しています／",""),"")&amp;IF(AND(N($E2303)&gt;0,$Z2303&lt;&gt;"",$Z2303&lt;&gt;"×",$AC2303=0,$AB2303=""),"計算額が下限以下のため不支給／",""))</f>
        <v/>
      </c>
      <c r="AL2303" s="12" t="n"/>
      <c r="AM2303" s="14">
        <f>IF($AD2303="保留中",COUNTIF($AD$6:$AD2303,"保留中"),"")</f>
        <v/>
      </c>
      <c r="AN2303" s="14">
        <f>IF($AO2303="","",IF(SUMPRODUCT(MAX((職員マスタ!$A$6:$A$405=$B2303)*(((職員マスタ!$G$6:$G$405="")+(職員マスタ!$G$6:$G$405&lt;=EOMONTH($AO2303,0)))&gt;0)*(((職員マスタ!$H$6:$H$405="")+(職員マスタ!$H$6:$H$405&gt;=$AO2303))&gt;0)*(ROW(職員マスタ!$A$6:$A$405)-5)))&gt;0,SUMPRODUCT(MAX((職員マスタ!$A$6:$A$405=$B2303)*(((職員マスタ!$G$6:$G$405="")+(職員マスタ!$G$6:$G$405&lt;=EOMONTH($AO2303,0)))&gt;0)*(((職員マスタ!$H$6:$H$405="")+(職員マスタ!$H$6:$H$405&gt;=$AO2303))&gt;0)*(ROW(職員マスタ!$A$6:$A$405)-5))),IFERROR(MATCH($B2303,職員マスタ!$A$6:$A$405,0),"")))</f>
        <v/>
      </c>
      <c r="AO2303" s="16">
        <f>IF(OR($B2303="",$C2303="",$D2303=""),"",DATE($C2303+2018,$D2303,1))</f>
        <v/>
      </c>
    </row>
    <row r="2304">
      <c r="A2304" s="11" t="n"/>
      <c r="B2304" s="12" t="n"/>
      <c r="C2304" s="12" t="n"/>
      <c r="D2304" s="12" t="n"/>
      <c r="E2304" s="13" t="n"/>
      <c r="F2304" s="12" t="n"/>
      <c r="G2304" s="13" t="n"/>
      <c r="H2304" s="12" t="n"/>
      <c r="I2304" s="12" t="n"/>
      <c r="J2304" s="12" t="n"/>
      <c r="K2304" s="12" t="n"/>
      <c r="L2304" s="11" t="n"/>
      <c r="M2304" s="11" t="n"/>
      <c r="N2304" s="11" t="n"/>
      <c r="O2304" s="11" t="n"/>
      <c r="P2304" s="12" t="n"/>
      <c r="Q2304" s="11" t="n"/>
      <c r="R2304" s="12" t="n"/>
      <c r="S2304" s="11" t="n"/>
      <c r="T2304" s="12" t="n"/>
      <c r="U2304" s="12" t="n"/>
      <c r="V2304" s="14">
        <f>IF($AN2304="",IF($B2304="","",$H2304),IF(INDEX(職員マスタ!$B$6:$B$405,$AN2304)="",$H2304,INDEX(職員マスタ!$B$6:$B$405,$AN2304)))</f>
        <v/>
      </c>
      <c r="W2304" s="14">
        <f>IF($AN2304="",IF($B2304="","",$R2304),IF(INDEX(職員マスタ!$C$6:$C$405,$AN2304)="",$R2304,INDEX(職員マスタ!$C$6:$C$405,$AN2304)))</f>
        <v/>
      </c>
      <c r="X2304" s="14">
        <f>IF($AO2304="","","R"&amp;$C2304&amp;"."&amp;$D2304)</f>
        <v/>
      </c>
      <c r="Y2304" s="15">
        <f>IF($AN2304="","",IF(INDEX(職員マスタ!$K$6:$K$405,$AN2304)="","",INDEX(職員マスタ!$K$6:$K$405,$AN2304)))</f>
        <v/>
      </c>
      <c r="Z2304" s="14">
        <f>IF(OR($E2304="",$Y2304=""),"",IF($E2304&gt;=$Y2304,"×",IF($E2304&gt;=$Y2304*設定!$C$5,"△","○")))</f>
        <v/>
      </c>
      <c r="AA2304" s="15">
        <f>IF($Z2304="","",IF($Z2304="×",0,IF($Z2304="○",ROUNDDOWN($E2304*設定!$C$4,0),ROUNDDOWN($E2304*ROUND((9*$Y2304-9*$E2304)/(10*$E2304),4),0))))</f>
        <v/>
      </c>
      <c r="AB2304" s="13" t="n"/>
      <c r="AC2304" s="15">
        <f>IF($B2304="","",IF($AB2304&lt;&gt;"",$AB2304,IF($AA2304="","",IF($AA2304&lt;=設定!$C$3,0,$AA2304))))</f>
        <v/>
      </c>
      <c r="AD2304" s="14">
        <f>IF($B2304="","",IF(AND($AE2304&lt;&gt;"",$AG2304="",$AJ2304=""),"保留中",IF($AJ2304&lt;&gt;"",IF(N($AC2304)&gt;0,"支給済","不支給"),IF($AC2304="","要確認",IF($AC2304=0,"不支給","未処理")))))</f>
        <v/>
      </c>
      <c r="AE2304" s="12" t="n"/>
      <c r="AF2304" s="11" t="n"/>
      <c r="AG2304" s="11" t="n"/>
      <c r="AH2304" s="11" t="n"/>
      <c r="AI2304" s="14">
        <f>IF(AND($AD2304="保留中",$AF2304&lt;&gt;""),TODAY()-$AF2304,"")</f>
        <v/>
      </c>
      <c r="AJ2304" s="12" t="n"/>
      <c r="AK2304" s="14">
        <f>IF($B2304="","",IF($AO2304="","対象年月が未入力／","")&amp;IF($B2304="","",IF($AN2304="","職員マスタに未登録の職員番号／",IF($Y2304="","標準報酬月額が未登録／","")&amp;IF(AND($AO2304&lt;&gt;"",OR(AND(INDEX(職員マスタ!$G$6:$G$405,$AN2304)&lt;&gt;"",INDEX(職員マスタ!$G$6:$G$405,$AN2304)&gt;EOMONTH($AO2304,0)),AND(INDEX(職員マスタ!$H$6:$H$405,$AN2304)&lt;&gt;"",INDEX(職員マスタ!$H$6:$H$405,$AN2304)&lt;$AO2304))),"対象月が時短期間外／","")&amp;IF(AND(INDEX(職員マスタ!$F$6:$F$405,$AN2304)&lt;&gt;"",$AO2304&lt;&gt;"",INDEX(職員マスタ!$F$6:$F$405,$AN2304)&lt;$AO2304),"対象月に子が2歳到達済／","")&amp;IF(AND($H2304&lt;&gt;"",INDEX(職員マスタ!$B$6:$B$405,$AN2304)&lt;&gt;"",SUBSTITUTE(SUBSTITUTE($H2304," ","")," ","")&lt;&gt;SUBSTITUTE(SUBSTITUTE(INDEX(職員マスタ!$B$6:$B$405,$AN2304)," ","")," ","")),"氏名がマスタと相違／","")&amp;IF(AND($Q2304&lt;&gt;"",INDEX(職員マスタ!$E$6:$E$405,$AN2304)&lt;&gt;"",$Q2304&lt;&gt;INDEX(職員マスタ!$E$6:$E$405,$AN2304)),"子の生年月日がマスタと相違／","")&amp;IF(AND($L2304&lt;&gt;"",INDEX(職員マスタ!$G$6:$G$405,$AN2304)&lt;&gt;"",$L2304&lt;&gt;INDEX(職員マスタ!$G$6:$G$405,$AN2304)),"時短開始日がマスタと相違／","")&amp;IF(AND($M2304&lt;&gt;"",INDEX(職員マスタ!$H$6:$H$405,$AN2304)&lt;&gt;"",$M2304&lt;&gt;INDEX(職員マスタ!$H$6:$H$405,$AN2304)),"時短終了日がマスタと相違／","")))&amp;IF(AND($B2304&lt;&gt;"",$E2304=""),"報酬額が未入力／","")&amp;IF(N($U2304)&gt;0,"申請書に入力エラーが残っています／","")&amp;IF(AND($B2304&lt;&gt;"",$AO2304&lt;&gt;""),IF(COUNTIFS($B$6:$B$3005,$B2304,$C$6:$C$3005,$C2304,$D$6:$D$3005,$D2304)&gt;1,"同じ月の請求が重複しています／",""),"")&amp;IF(AND(N($E2304)&gt;0,$Z2304&lt;&gt;"",$Z2304&lt;&gt;"×",$AC2304=0,$AB2304=""),"計算額が下限以下のため不支給／",""))</f>
        <v/>
      </c>
      <c r="AL2304" s="12" t="n"/>
      <c r="AM2304" s="14">
        <f>IF($AD2304="保留中",COUNTIF($AD$6:$AD2304,"保留中"),"")</f>
        <v/>
      </c>
      <c r="AN2304" s="14">
        <f>IF($AO2304="","",IF(SUMPRODUCT(MAX((職員マスタ!$A$6:$A$405=$B2304)*(((職員マスタ!$G$6:$G$405="")+(職員マスタ!$G$6:$G$405&lt;=EOMONTH($AO2304,0)))&gt;0)*(((職員マスタ!$H$6:$H$405="")+(職員マスタ!$H$6:$H$405&gt;=$AO2304))&gt;0)*(ROW(職員マスタ!$A$6:$A$405)-5)))&gt;0,SUMPRODUCT(MAX((職員マスタ!$A$6:$A$405=$B2304)*(((職員マスタ!$G$6:$G$405="")+(職員マスタ!$G$6:$G$405&lt;=EOMONTH($AO2304,0)))&gt;0)*(((職員マスタ!$H$6:$H$405="")+(職員マスタ!$H$6:$H$405&gt;=$AO2304))&gt;0)*(ROW(職員マスタ!$A$6:$A$405)-5))),IFERROR(MATCH($B2304,職員マスタ!$A$6:$A$405,0),"")))</f>
        <v/>
      </c>
      <c r="AO2304" s="16">
        <f>IF(OR($B2304="",$C2304="",$D2304=""),"",DATE($C2304+2018,$D2304,1))</f>
        <v/>
      </c>
    </row>
    <row r="2305">
      <c r="A2305" s="11" t="n"/>
      <c r="B2305" s="12" t="n"/>
      <c r="C2305" s="12" t="n"/>
      <c r="D2305" s="12" t="n"/>
      <c r="E2305" s="13" t="n"/>
      <c r="F2305" s="12" t="n"/>
      <c r="G2305" s="13" t="n"/>
      <c r="H2305" s="12" t="n"/>
      <c r="I2305" s="12" t="n"/>
      <c r="J2305" s="12" t="n"/>
      <c r="K2305" s="12" t="n"/>
      <c r="L2305" s="11" t="n"/>
      <c r="M2305" s="11" t="n"/>
      <c r="N2305" s="11" t="n"/>
      <c r="O2305" s="11" t="n"/>
      <c r="P2305" s="12" t="n"/>
      <c r="Q2305" s="11" t="n"/>
      <c r="R2305" s="12" t="n"/>
      <c r="S2305" s="11" t="n"/>
      <c r="T2305" s="12" t="n"/>
      <c r="U2305" s="12" t="n"/>
      <c r="V2305" s="14">
        <f>IF($AN2305="",IF($B2305="","",$H2305),IF(INDEX(職員マスタ!$B$6:$B$405,$AN2305)="",$H2305,INDEX(職員マスタ!$B$6:$B$405,$AN2305)))</f>
        <v/>
      </c>
      <c r="W2305" s="14">
        <f>IF($AN2305="",IF($B2305="","",$R2305),IF(INDEX(職員マスタ!$C$6:$C$405,$AN2305)="",$R2305,INDEX(職員マスタ!$C$6:$C$405,$AN2305)))</f>
        <v/>
      </c>
      <c r="X2305" s="14">
        <f>IF($AO2305="","","R"&amp;$C2305&amp;"."&amp;$D2305)</f>
        <v/>
      </c>
      <c r="Y2305" s="15">
        <f>IF($AN2305="","",IF(INDEX(職員マスタ!$K$6:$K$405,$AN2305)="","",INDEX(職員マスタ!$K$6:$K$405,$AN2305)))</f>
        <v/>
      </c>
      <c r="Z2305" s="14">
        <f>IF(OR($E2305="",$Y2305=""),"",IF($E2305&gt;=$Y2305,"×",IF($E2305&gt;=$Y2305*設定!$C$5,"△","○")))</f>
        <v/>
      </c>
      <c r="AA2305" s="15">
        <f>IF($Z2305="","",IF($Z2305="×",0,IF($Z2305="○",ROUNDDOWN($E2305*設定!$C$4,0),ROUNDDOWN($E2305*ROUND((9*$Y2305-9*$E2305)/(10*$E2305),4),0))))</f>
        <v/>
      </c>
      <c r="AB2305" s="13" t="n"/>
      <c r="AC2305" s="15">
        <f>IF($B2305="","",IF($AB2305&lt;&gt;"",$AB2305,IF($AA2305="","",IF($AA2305&lt;=設定!$C$3,0,$AA2305))))</f>
        <v/>
      </c>
      <c r="AD2305" s="14">
        <f>IF($B2305="","",IF(AND($AE2305&lt;&gt;"",$AG2305="",$AJ2305=""),"保留中",IF($AJ2305&lt;&gt;"",IF(N($AC2305)&gt;0,"支給済","不支給"),IF($AC2305="","要確認",IF($AC2305=0,"不支給","未処理")))))</f>
        <v/>
      </c>
      <c r="AE2305" s="12" t="n"/>
      <c r="AF2305" s="11" t="n"/>
      <c r="AG2305" s="11" t="n"/>
      <c r="AH2305" s="11" t="n"/>
      <c r="AI2305" s="14">
        <f>IF(AND($AD2305="保留中",$AF2305&lt;&gt;""),TODAY()-$AF2305,"")</f>
        <v/>
      </c>
      <c r="AJ2305" s="12" t="n"/>
      <c r="AK2305" s="14">
        <f>IF($B2305="","",IF($AO2305="","対象年月が未入力／","")&amp;IF($B2305="","",IF($AN2305="","職員マスタに未登録の職員番号／",IF($Y2305="","標準報酬月額が未登録／","")&amp;IF(AND($AO2305&lt;&gt;"",OR(AND(INDEX(職員マスタ!$G$6:$G$405,$AN2305)&lt;&gt;"",INDEX(職員マスタ!$G$6:$G$405,$AN2305)&gt;EOMONTH($AO2305,0)),AND(INDEX(職員マスタ!$H$6:$H$405,$AN2305)&lt;&gt;"",INDEX(職員マスタ!$H$6:$H$405,$AN2305)&lt;$AO2305))),"対象月が時短期間外／","")&amp;IF(AND(INDEX(職員マスタ!$F$6:$F$405,$AN2305)&lt;&gt;"",$AO2305&lt;&gt;"",INDEX(職員マスタ!$F$6:$F$405,$AN2305)&lt;$AO2305),"対象月に子が2歳到達済／","")&amp;IF(AND($H2305&lt;&gt;"",INDEX(職員マスタ!$B$6:$B$405,$AN2305)&lt;&gt;"",SUBSTITUTE(SUBSTITUTE($H2305," ","")," ","")&lt;&gt;SUBSTITUTE(SUBSTITUTE(INDEX(職員マスタ!$B$6:$B$405,$AN2305)," ","")," ","")),"氏名がマスタと相違／","")&amp;IF(AND($Q2305&lt;&gt;"",INDEX(職員マスタ!$E$6:$E$405,$AN2305)&lt;&gt;"",$Q2305&lt;&gt;INDEX(職員マスタ!$E$6:$E$405,$AN2305)),"子の生年月日がマスタと相違／","")&amp;IF(AND($L2305&lt;&gt;"",INDEX(職員マスタ!$G$6:$G$405,$AN2305)&lt;&gt;"",$L2305&lt;&gt;INDEX(職員マスタ!$G$6:$G$405,$AN2305)),"時短開始日がマスタと相違／","")&amp;IF(AND($M2305&lt;&gt;"",INDEX(職員マスタ!$H$6:$H$405,$AN2305)&lt;&gt;"",$M2305&lt;&gt;INDEX(職員マスタ!$H$6:$H$405,$AN2305)),"時短終了日がマスタと相違／","")))&amp;IF(AND($B2305&lt;&gt;"",$E2305=""),"報酬額が未入力／","")&amp;IF(N($U2305)&gt;0,"申請書に入力エラーが残っています／","")&amp;IF(AND($B2305&lt;&gt;"",$AO2305&lt;&gt;""),IF(COUNTIFS($B$6:$B$3005,$B2305,$C$6:$C$3005,$C2305,$D$6:$D$3005,$D2305)&gt;1,"同じ月の請求が重複しています／",""),"")&amp;IF(AND(N($E2305)&gt;0,$Z2305&lt;&gt;"",$Z2305&lt;&gt;"×",$AC2305=0,$AB2305=""),"計算額が下限以下のため不支給／",""))</f>
        <v/>
      </c>
      <c r="AL2305" s="12" t="n"/>
      <c r="AM2305" s="14">
        <f>IF($AD2305="保留中",COUNTIF($AD$6:$AD2305,"保留中"),"")</f>
        <v/>
      </c>
      <c r="AN2305" s="14">
        <f>IF($AO2305="","",IF(SUMPRODUCT(MAX((職員マスタ!$A$6:$A$405=$B2305)*(((職員マスタ!$G$6:$G$405="")+(職員マスタ!$G$6:$G$405&lt;=EOMONTH($AO2305,0)))&gt;0)*(((職員マスタ!$H$6:$H$405="")+(職員マスタ!$H$6:$H$405&gt;=$AO2305))&gt;0)*(ROW(職員マスタ!$A$6:$A$405)-5)))&gt;0,SUMPRODUCT(MAX((職員マスタ!$A$6:$A$405=$B2305)*(((職員マスタ!$G$6:$G$405="")+(職員マスタ!$G$6:$G$405&lt;=EOMONTH($AO2305,0)))&gt;0)*(((職員マスタ!$H$6:$H$405="")+(職員マスタ!$H$6:$H$405&gt;=$AO2305))&gt;0)*(ROW(職員マスタ!$A$6:$A$405)-5))),IFERROR(MATCH($B2305,職員マスタ!$A$6:$A$405,0),"")))</f>
        <v/>
      </c>
      <c r="AO2305" s="16">
        <f>IF(OR($B2305="",$C2305="",$D2305=""),"",DATE($C2305+2018,$D2305,1))</f>
        <v/>
      </c>
    </row>
    <row r="2306">
      <c r="A2306" s="11" t="n"/>
      <c r="B2306" s="12" t="n"/>
      <c r="C2306" s="12" t="n"/>
      <c r="D2306" s="12" t="n"/>
      <c r="E2306" s="13" t="n"/>
      <c r="F2306" s="12" t="n"/>
      <c r="G2306" s="13" t="n"/>
      <c r="H2306" s="12" t="n"/>
      <c r="I2306" s="12" t="n"/>
      <c r="J2306" s="12" t="n"/>
      <c r="K2306" s="12" t="n"/>
      <c r="L2306" s="11" t="n"/>
      <c r="M2306" s="11" t="n"/>
      <c r="N2306" s="11" t="n"/>
      <c r="O2306" s="11" t="n"/>
      <c r="P2306" s="12" t="n"/>
      <c r="Q2306" s="11" t="n"/>
      <c r="R2306" s="12" t="n"/>
      <c r="S2306" s="11" t="n"/>
      <c r="T2306" s="12" t="n"/>
      <c r="U2306" s="12" t="n"/>
      <c r="V2306" s="14">
        <f>IF($AN2306="",IF($B2306="","",$H2306),IF(INDEX(職員マスタ!$B$6:$B$405,$AN2306)="",$H2306,INDEX(職員マスタ!$B$6:$B$405,$AN2306)))</f>
        <v/>
      </c>
      <c r="W2306" s="14">
        <f>IF($AN2306="",IF($B2306="","",$R2306),IF(INDEX(職員マスタ!$C$6:$C$405,$AN2306)="",$R2306,INDEX(職員マスタ!$C$6:$C$405,$AN2306)))</f>
        <v/>
      </c>
      <c r="X2306" s="14">
        <f>IF($AO2306="","","R"&amp;$C2306&amp;"."&amp;$D2306)</f>
        <v/>
      </c>
      <c r="Y2306" s="15">
        <f>IF($AN2306="","",IF(INDEX(職員マスタ!$K$6:$K$405,$AN2306)="","",INDEX(職員マスタ!$K$6:$K$405,$AN2306)))</f>
        <v/>
      </c>
      <c r="Z2306" s="14">
        <f>IF(OR($E2306="",$Y2306=""),"",IF($E2306&gt;=$Y2306,"×",IF($E2306&gt;=$Y2306*設定!$C$5,"△","○")))</f>
        <v/>
      </c>
      <c r="AA2306" s="15">
        <f>IF($Z2306="","",IF($Z2306="×",0,IF($Z2306="○",ROUNDDOWN($E2306*設定!$C$4,0),ROUNDDOWN($E2306*ROUND((9*$Y2306-9*$E2306)/(10*$E2306),4),0))))</f>
        <v/>
      </c>
      <c r="AB2306" s="13" t="n"/>
      <c r="AC2306" s="15">
        <f>IF($B2306="","",IF($AB2306&lt;&gt;"",$AB2306,IF($AA2306="","",IF($AA2306&lt;=設定!$C$3,0,$AA2306))))</f>
        <v/>
      </c>
      <c r="AD2306" s="14">
        <f>IF($B2306="","",IF(AND($AE2306&lt;&gt;"",$AG2306="",$AJ2306=""),"保留中",IF($AJ2306&lt;&gt;"",IF(N($AC2306)&gt;0,"支給済","不支給"),IF($AC2306="","要確認",IF($AC2306=0,"不支給","未処理")))))</f>
        <v/>
      </c>
      <c r="AE2306" s="12" t="n"/>
      <c r="AF2306" s="11" t="n"/>
      <c r="AG2306" s="11" t="n"/>
      <c r="AH2306" s="11" t="n"/>
      <c r="AI2306" s="14">
        <f>IF(AND($AD2306="保留中",$AF2306&lt;&gt;""),TODAY()-$AF2306,"")</f>
        <v/>
      </c>
      <c r="AJ2306" s="12" t="n"/>
      <c r="AK2306" s="14">
        <f>IF($B2306="","",IF($AO2306="","対象年月が未入力／","")&amp;IF($B2306="","",IF($AN2306="","職員マスタに未登録の職員番号／",IF($Y2306="","標準報酬月額が未登録／","")&amp;IF(AND($AO2306&lt;&gt;"",OR(AND(INDEX(職員マスタ!$G$6:$G$405,$AN2306)&lt;&gt;"",INDEX(職員マスタ!$G$6:$G$405,$AN2306)&gt;EOMONTH($AO2306,0)),AND(INDEX(職員マスタ!$H$6:$H$405,$AN2306)&lt;&gt;"",INDEX(職員マスタ!$H$6:$H$405,$AN2306)&lt;$AO2306))),"対象月が時短期間外／","")&amp;IF(AND(INDEX(職員マスタ!$F$6:$F$405,$AN2306)&lt;&gt;"",$AO2306&lt;&gt;"",INDEX(職員マスタ!$F$6:$F$405,$AN2306)&lt;$AO2306),"対象月に子が2歳到達済／","")&amp;IF(AND($H2306&lt;&gt;"",INDEX(職員マスタ!$B$6:$B$405,$AN2306)&lt;&gt;"",SUBSTITUTE(SUBSTITUTE($H2306," ","")," ","")&lt;&gt;SUBSTITUTE(SUBSTITUTE(INDEX(職員マスタ!$B$6:$B$405,$AN2306)," ","")," ","")),"氏名がマスタと相違／","")&amp;IF(AND($Q2306&lt;&gt;"",INDEX(職員マスタ!$E$6:$E$405,$AN2306)&lt;&gt;"",$Q2306&lt;&gt;INDEX(職員マスタ!$E$6:$E$405,$AN2306)),"子の生年月日がマスタと相違／","")&amp;IF(AND($L2306&lt;&gt;"",INDEX(職員マスタ!$G$6:$G$405,$AN2306)&lt;&gt;"",$L2306&lt;&gt;INDEX(職員マスタ!$G$6:$G$405,$AN2306)),"時短開始日がマスタと相違／","")&amp;IF(AND($M2306&lt;&gt;"",INDEX(職員マスタ!$H$6:$H$405,$AN2306)&lt;&gt;"",$M2306&lt;&gt;INDEX(職員マスタ!$H$6:$H$405,$AN2306)),"時短終了日がマスタと相違／","")))&amp;IF(AND($B2306&lt;&gt;"",$E2306=""),"報酬額が未入力／","")&amp;IF(N($U2306)&gt;0,"申請書に入力エラーが残っています／","")&amp;IF(AND($B2306&lt;&gt;"",$AO2306&lt;&gt;""),IF(COUNTIFS($B$6:$B$3005,$B2306,$C$6:$C$3005,$C2306,$D$6:$D$3005,$D2306)&gt;1,"同じ月の請求が重複しています／",""),"")&amp;IF(AND(N($E2306)&gt;0,$Z2306&lt;&gt;"",$Z2306&lt;&gt;"×",$AC2306=0,$AB2306=""),"計算額が下限以下のため不支給／",""))</f>
        <v/>
      </c>
      <c r="AL2306" s="12" t="n"/>
      <c r="AM2306" s="14">
        <f>IF($AD2306="保留中",COUNTIF($AD$6:$AD2306,"保留中"),"")</f>
        <v/>
      </c>
      <c r="AN2306" s="14">
        <f>IF($AO2306="","",IF(SUMPRODUCT(MAX((職員マスタ!$A$6:$A$405=$B2306)*(((職員マスタ!$G$6:$G$405="")+(職員マスタ!$G$6:$G$405&lt;=EOMONTH($AO2306,0)))&gt;0)*(((職員マスタ!$H$6:$H$405="")+(職員マスタ!$H$6:$H$405&gt;=$AO2306))&gt;0)*(ROW(職員マスタ!$A$6:$A$405)-5)))&gt;0,SUMPRODUCT(MAX((職員マスタ!$A$6:$A$405=$B2306)*(((職員マスタ!$G$6:$G$405="")+(職員マスタ!$G$6:$G$405&lt;=EOMONTH($AO2306,0)))&gt;0)*(((職員マスタ!$H$6:$H$405="")+(職員マスタ!$H$6:$H$405&gt;=$AO2306))&gt;0)*(ROW(職員マスタ!$A$6:$A$405)-5))),IFERROR(MATCH($B2306,職員マスタ!$A$6:$A$405,0),"")))</f>
        <v/>
      </c>
      <c r="AO2306" s="16">
        <f>IF(OR($B2306="",$C2306="",$D2306=""),"",DATE($C2306+2018,$D2306,1))</f>
        <v/>
      </c>
    </row>
    <row r="2307">
      <c r="A2307" s="11" t="n"/>
      <c r="B2307" s="12" t="n"/>
      <c r="C2307" s="12" t="n"/>
      <c r="D2307" s="12" t="n"/>
      <c r="E2307" s="13" t="n"/>
      <c r="F2307" s="12" t="n"/>
      <c r="G2307" s="13" t="n"/>
      <c r="H2307" s="12" t="n"/>
      <c r="I2307" s="12" t="n"/>
      <c r="J2307" s="12" t="n"/>
      <c r="K2307" s="12" t="n"/>
      <c r="L2307" s="11" t="n"/>
      <c r="M2307" s="11" t="n"/>
      <c r="N2307" s="11" t="n"/>
      <c r="O2307" s="11" t="n"/>
      <c r="P2307" s="12" t="n"/>
      <c r="Q2307" s="11" t="n"/>
      <c r="R2307" s="12" t="n"/>
      <c r="S2307" s="11" t="n"/>
      <c r="T2307" s="12" t="n"/>
      <c r="U2307" s="12" t="n"/>
      <c r="V2307" s="14">
        <f>IF($AN2307="",IF($B2307="","",$H2307),IF(INDEX(職員マスタ!$B$6:$B$405,$AN2307)="",$H2307,INDEX(職員マスタ!$B$6:$B$405,$AN2307)))</f>
        <v/>
      </c>
      <c r="W2307" s="14">
        <f>IF($AN2307="",IF($B2307="","",$R2307),IF(INDEX(職員マスタ!$C$6:$C$405,$AN2307)="",$R2307,INDEX(職員マスタ!$C$6:$C$405,$AN2307)))</f>
        <v/>
      </c>
      <c r="X2307" s="14">
        <f>IF($AO2307="","","R"&amp;$C2307&amp;"."&amp;$D2307)</f>
        <v/>
      </c>
      <c r="Y2307" s="15">
        <f>IF($AN2307="","",IF(INDEX(職員マスタ!$K$6:$K$405,$AN2307)="","",INDEX(職員マスタ!$K$6:$K$405,$AN2307)))</f>
        <v/>
      </c>
      <c r="Z2307" s="14">
        <f>IF(OR($E2307="",$Y2307=""),"",IF($E2307&gt;=$Y2307,"×",IF($E2307&gt;=$Y2307*設定!$C$5,"△","○")))</f>
        <v/>
      </c>
      <c r="AA2307" s="15">
        <f>IF($Z2307="","",IF($Z2307="×",0,IF($Z2307="○",ROUNDDOWN($E2307*設定!$C$4,0),ROUNDDOWN($E2307*ROUND((9*$Y2307-9*$E2307)/(10*$E2307),4),0))))</f>
        <v/>
      </c>
      <c r="AB2307" s="13" t="n"/>
      <c r="AC2307" s="15">
        <f>IF($B2307="","",IF($AB2307&lt;&gt;"",$AB2307,IF($AA2307="","",IF($AA2307&lt;=設定!$C$3,0,$AA2307))))</f>
        <v/>
      </c>
      <c r="AD2307" s="14">
        <f>IF($B2307="","",IF(AND($AE2307&lt;&gt;"",$AG2307="",$AJ2307=""),"保留中",IF($AJ2307&lt;&gt;"",IF(N($AC2307)&gt;0,"支給済","不支給"),IF($AC2307="","要確認",IF($AC2307=0,"不支給","未処理")))))</f>
        <v/>
      </c>
      <c r="AE2307" s="12" t="n"/>
      <c r="AF2307" s="11" t="n"/>
      <c r="AG2307" s="11" t="n"/>
      <c r="AH2307" s="11" t="n"/>
      <c r="AI2307" s="14">
        <f>IF(AND($AD2307="保留中",$AF2307&lt;&gt;""),TODAY()-$AF2307,"")</f>
        <v/>
      </c>
      <c r="AJ2307" s="12" t="n"/>
      <c r="AK2307" s="14">
        <f>IF($B2307="","",IF($AO2307="","対象年月が未入力／","")&amp;IF($B2307="","",IF($AN2307="","職員マスタに未登録の職員番号／",IF($Y2307="","標準報酬月額が未登録／","")&amp;IF(AND($AO2307&lt;&gt;"",OR(AND(INDEX(職員マスタ!$G$6:$G$405,$AN2307)&lt;&gt;"",INDEX(職員マスタ!$G$6:$G$405,$AN2307)&gt;EOMONTH($AO2307,0)),AND(INDEX(職員マスタ!$H$6:$H$405,$AN2307)&lt;&gt;"",INDEX(職員マスタ!$H$6:$H$405,$AN2307)&lt;$AO2307))),"対象月が時短期間外／","")&amp;IF(AND(INDEX(職員マスタ!$F$6:$F$405,$AN2307)&lt;&gt;"",$AO2307&lt;&gt;"",INDEX(職員マスタ!$F$6:$F$405,$AN2307)&lt;$AO2307),"対象月に子が2歳到達済／","")&amp;IF(AND($H2307&lt;&gt;"",INDEX(職員マスタ!$B$6:$B$405,$AN2307)&lt;&gt;"",SUBSTITUTE(SUBSTITUTE($H2307," ","")," ","")&lt;&gt;SUBSTITUTE(SUBSTITUTE(INDEX(職員マスタ!$B$6:$B$405,$AN2307)," ","")," ","")),"氏名がマスタと相違／","")&amp;IF(AND($Q2307&lt;&gt;"",INDEX(職員マスタ!$E$6:$E$405,$AN2307)&lt;&gt;"",$Q2307&lt;&gt;INDEX(職員マスタ!$E$6:$E$405,$AN2307)),"子の生年月日がマスタと相違／","")&amp;IF(AND($L2307&lt;&gt;"",INDEX(職員マスタ!$G$6:$G$405,$AN2307)&lt;&gt;"",$L2307&lt;&gt;INDEX(職員マスタ!$G$6:$G$405,$AN2307)),"時短開始日がマスタと相違／","")&amp;IF(AND($M2307&lt;&gt;"",INDEX(職員マスタ!$H$6:$H$405,$AN2307)&lt;&gt;"",$M2307&lt;&gt;INDEX(職員マスタ!$H$6:$H$405,$AN2307)),"時短終了日がマスタと相違／","")))&amp;IF(AND($B2307&lt;&gt;"",$E2307=""),"報酬額が未入力／","")&amp;IF(N($U2307)&gt;0,"申請書に入力エラーが残っています／","")&amp;IF(AND($B2307&lt;&gt;"",$AO2307&lt;&gt;""),IF(COUNTIFS($B$6:$B$3005,$B2307,$C$6:$C$3005,$C2307,$D$6:$D$3005,$D2307)&gt;1,"同じ月の請求が重複しています／",""),"")&amp;IF(AND(N($E2307)&gt;0,$Z2307&lt;&gt;"",$Z2307&lt;&gt;"×",$AC2307=0,$AB2307=""),"計算額が下限以下のため不支給／",""))</f>
        <v/>
      </c>
      <c r="AL2307" s="12" t="n"/>
      <c r="AM2307" s="14">
        <f>IF($AD2307="保留中",COUNTIF($AD$6:$AD2307,"保留中"),"")</f>
        <v/>
      </c>
      <c r="AN2307" s="14">
        <f>IF($AO2307="","",IF(SUMPRODUCT(MAX((職員マスタ!$A$6:$A$405=$B2307)*(((職員マスタ!$G$6:$G$405="")+(職員マスタ!$G$6:$G$405&lt;=EOMONTH($AO2307,0)))&gt;0)*(((職員マスタ!$H$6:$H$405="")+(職員マスタ!$H$6:$H$405&gt;=$AO2307))&gt;0)*(ROW(職員マスタ!$A$6:$A$405)-5)))&gt;0,SUMPRODUCT(MAX((職員マスタ!$A$6:$A$405=$B2307)*(((職員マスタ!$G$6:$G$405="")+(職員マスタ!$G$6:$G$405&lt;=EOMONTH($AO2307,0)))&gt;0)*(((職員マスタ!$H$6:$H$405="")+(職員マスタ!$H$6:$H$405&gt;=$AO2307))&gt;0)*(ROW(職員マスタ!$A$6:$A$405)-5))),IFERROR(MATCH($B2307,職員マスタ!$A$6:$A$405,0),"")))</f>
        <v/>
      </c>
      <c r="AO2307" s="16">
        <f>IF(OR($B2307="",$C2307="",$D2307=""),"",DATE($C2307+2018,$D2307,1))</f>
        <v/>
      </c>
    </row>
    <row r="2308">
      <c r="A2308" s="11" t="n"/>
      <c r="B2308" s="12" t="n"/>
      <c r="C2308" s="12" t="n"/>
      <c r="D2308" s="12" t="n"/>
      <c r="E2308" s="13" t="n"/>
      <c r="F2308" s="12" t="n"/>
      <c r="G2308" s="13" t="n"/>
      <c r="H2308" s="12" t="n"/>
      <c r="I2308" s="12" t="n"/>
      <c r="J2308" s="12" t="n"/>
      <c r="K2308" s="12" t="n"/>
      <c r="L2308" s="11" t="n"/>
      <c r="M2308" s="11" t="n"/>
      <c r="N2308" s="11" t="n"/>
      <c r="O2308" s="11" t="n"/>
      <c r="P2308" s="12" t="n"/>
      <c r="Q2308" s="11" t="n"/>
      <c r="R2308" s="12" t="n"/>
      <c r="S2308" s="11" t="n"/>
      <c r="T2308" s="12" t="n"/>
      <c r="U2308" s="12" t="n"/>
      <c r="V2308" s="14">
        <f>IF($AN2308="",IF($B2308="","",$H2308),IF(INDEX(職員マスタ!$B$6:$B$405,$AN2308)="",$H2308,INDEX(職員マスタ!$B$6:$B$405,$AN2308)))</f>
        <v/>
      </c>
      <c r="W2308" s="14">
        <f>IF($AN2308="",IF($B2308="","",$R2308),IF(INDEX(職員マスタ!$C$6:$C$405,$AN2308)="",$R2308,INDEX(職員マスタ!$C$6:$C$405,$AN2308)))</f>
        <v/>
      </c>
      <c r="X2308" s="14">
        <f>IF($AO2308="","","R"&amp;$C2308&amp;"."&amp;$D2308)</f>
        <v/>
      </c>
      <c r="Y2308" s="15">
        <f>IF($AN2308="","",IF(INDEX(職員マスタ!$K$6:$K$405,$AN2308)="","",INDEX(職員マスタ!$K$6:$K$405,$AN2308)))</f>
        <v/>
      </c>
      <c r="Z2308" s="14">
        <f>IF(OR($E2308="",$Y2308=""),"",IF($E2308&gt;=$Y2308,"×",IF($E2308&gt;=$Y2308*設定!$C$5,"△","○")))</f>
        <v/>
      </c>
      <c r="AA2308" s="15">
        <f>IF($Z2308="","",IF($Z2308="×",0,IF($Z2308="○",ROUNDDOWN($E2308*設定!$C$4,0),ROUNDDOWN($E2308*ROUND((9*$Y2308-9*$E2308)/(10*$E2308),4),0))))</f>
        <v/>
      </c>
      <c r="AB2308" s="13" t="n"/>
      <c r="AC2308" s="15">
        <f>IF($B2308="","",IF($AB2308&lt;&gt;"",$AB2308,IF($AA2308="","",IF($AA2308&lt;=設定!$C$3,0,$AA2308))))</f>
        <v/>
      </c>
      <c r="AD2308" s="14">
        <f>IF($B2308="","",IF(AND($AE2308&lt;&gt;"",$AG2308="",$AJ2308=""),"保留中",IF($AJ2308&lt;&gt;"",IF(N($AC2308)&gt;0,"支給済","不支給"),IF($AC2308="","要確認",IF($AC2308=0,"不支給","未処理")))))</f>
        <v/>
      </c>
      <c r="AE2308" s="12" t="n"/>
      <c r="AF2308" s="11" t="n"/>
      <c r="AG2308" s="11" t="n"/>
      <c r="AH2308" s="11" t="n"/>
      <c r="AI2308" s="14">
        <f>IF(AND($AD2308="保留中",$AF2308&lt;&gt;""),TODAY()-$AF2308,"")</f>
        <v/>
      </c>
      <c r="AJ2308" s="12" t="n"/>
      <c r="AK2308" s="14">
        <f>IF($B2308="","",IF($AO2308="","対象年月が未入力／","")&amp;IF($B2308="","",IF($AN2308="","職員マスタに未登録の職員番号／",IF($Y2308="","標準報酬月額が未登録／","")&amp;IF(AND($AO2308&lt;&gt;"",OR(AND(INDEX(職員マスタ!$G$6:$G$405,$AN2308)&lt;&gt;"",INDEX(職員マスタ!$G$6:$G$405,$AN2308)&gt;EOMONTH($AO2308,0)),AND(INDEX(職員マスタ!$H$6:$H$405,$AN2308)&lt;&gt;"",INDEX(職員マスタ!$H$6:$H$405,$AN2308)&lt;$AO2308))),"対象月が時短期間外／","")&amp;IF(AND(INDEX(職員マスタ!$F$6:$F$405,$AN2308)&lt;&gt;"",$AO2308&lt;&gt;"",INDEX(職員マスタ!$F$6:$F$405,$AN2308)&lt;$AO2308),"対象月に子が2歳到達済／","")&amp;IF(AND($H2308&lt;&gt;"",INDEX(職員マスタ!$B$6:$B$405,$AN2308)&lt;&gt;"",SUBSTITUTE(SUBSTITUTE($H2308," ","")," ","")&lt;&gt;SUBSTITUTE(SUBSTITUTE(INDEX(職員マスタ!$B$6:$B$405,$AN2308)," ","")," ","")),"氏名がマスタと相違／","")&amp;IF(AND($Q2308&lt;&gt;"",INDEX(職員マスタ!$E$6:$E$405,$AN2308)&lt;&gt;"",$Q2308&lt;&gt;INDEX(職員マスタ!$E$6:$E$405,$AN2308)),"子の生年月日がマスタと相違／","")&amp;IF(AND($L2308&lt;&gt;"",INDEX(職員マスタ!$G$6:$G$405,$AN2308)&lt;&gt;"",$L2308&lt;&gt;INDEX(職員マスタ!$G$6:$G$405,$AN2308)),"時短開始日がマスタと相違／","")&amp;IF(AND($M2308&lt;&gt;"",INDEX(職員マスタ!$H$6:$H$405,$AN2308)&lt;&gt;"",$M2308&lt;&gt;INDEX(職員マスタ!$H$6:$H$405,$AN2308)),"時短終了日がマスタと相違／","")))&amp;IF(AND($B2308&lt;&gt;"",$E2308=""),"報酬額が未入力／","")&amp;IF(N($U2308)&gt;0,"申請書に入力エラーが残っています／","")&amp;IF(AND($B2308&lt;&gt;"",$AO2308&lt;&gt;""),IF(COUNTIFS($B$6:$B$3005,$B2308,$C$6:$C$3005,$C2308,$D$6:$D$3005,$D2308)&gt;1,"同じ月の請求が重複しています／",""),"")&amp;IF(AND(N($E2308)&gt;0,$Z2308&lt;&gt;"",$Z2308&lt;&gt;"×",$AC2308=0,$AB2308=""),"計算額が下限以下のため不支給／",""))</f>
        <v/>
      </c>
      <c r="AL2308" s="12" t="n"/>
      <c r="AM2308" s="14">
        <f>IF($AD2308="保留中",COUNTIF($AD$6:$AD2308,"保留中"),"")</f>
        <v/>
      </c>
      <c r="AN2308" s="14">
        <f>IF($AO2308="","",IF(SUMPRODUCT(MAX((職員マスタ!$A$6:$A$405=$B2308)*(((職員マスタ!$G$6:$G$405="")+(職員マスタ!$G$6:$G$405&lt;=EOMONTH($AO2308,0)))&gt;0)*(((職員マスタ!$H$6:$H$405="")+(職員マスタ!$H$6:$H$405&gt;=$AO2308))&gt;0)*(ROW(職員マスタ!$A$6:$A$405)-5)))&gt;0,SUMPRODUCT(MAX((職員マスタ!$A$6:$A$405=$B2308)*(((職員マスタ!$G$6:$G$405="")+(職員マスタ!$G$6:$G$405&lt;=EOMONTH($AO2308,0)))&gt;0)*(((職員マスタ!$H$6:$H$405="")+(職員マスタ!$H$6:$H$405&gt;=$AO2308))&gt;0)*(ROW(職員マスタ!$A$6:$A$405)-5))),IFERROR(MATCH($B2308,職員マスタ!$A$6:$A$405,0),"")))</f>
        <v/>
      </c>
      <c r="AO2308" s="16">
        <f>IF(OR($B2308="",$C2308="",$D2308=""),"",DATE($C2308+2018,$D2308,1))</f>
        <v/>
      </c>
    </row>
    <row r="2309">
      <c r="A2309" s="11" t="n"/>
      <c r="B2309" s="12" t="n"/>
      <c r="C2309" s="12" t="n"/>
      <c r="D2309" s="12" t="n"/>
      <c r="E2309" s="13" t="n"/>
      <c r="F2309" s="12" t="n"/>
      <c r="G2309" s="13" t="n"/>
      <c r="H2309" s="12" t="n"/>
      <c r="I2309" s="12" t="n"/>
      <c r="J2309" s="12" t="n"/>
      <c r="K2309" s="12" t="n"/>
      <c r="L2309" s="11" t="n"/>
      <c r="M2309" s="11" t="n"/>
      <c r="N2309" s="11" t="n"/>
      <c r="O2309" s="11" t="n"/>
      <c r="P2309" s="12" t="n"/>
      <c r="Q2309" s="11" t="n"/>
      <c r="R2309" s="12" t="n"/>
      <c r="S2309" s="11" t="n"/>
      <c r="T2309" s="12" t="n"/>
      <c r="U2309" s="12" t="n"/>
      <c r="V2309" s="14">
        <f>IF($AN2309="",IF($B2309="","",$H2309),IF(INDEX(職員マスタ!$B$6:$B$405,$AN2309)="",$H2309,INDEX(職員マスタ!$B$6:$B$405,$AN2309)))</f>
        <v/>
      </c>
      <c r="W2309" s="14">
        <f>IF($AN2309="",IF($B2309="","",$R2309),IF(INDEX(職員マスタ!$C$6:$C$405,$AN2309)="",$R2309,INDEX(職員マスタ!$C$6:$C$405,$AN2309)))</f>
        <v/>
      </c>
      <c r="X2309" s="14">
        <f>IF($AO2309="","","R"&amp;$C2309&amp;"."&amp;$D2309)</f>
        <v/>
      </c>
      <c r="Y2309" s="15">
        <f>IF($AN2309="","",IF(INDEX(職員マスタ!$K$6:$K$405,$AN2309)="","",INDEX(職員マスタ!$K$6:$K$405,$AN2309)))</f>
        <v/>
      </c>
      <c r="Z2309" s="14">
        <f>IF(OR($E2309="",$Y2309=""),"",IF($E2309&gt;=$Y2309,"×",IF($E2309&gt;=$Y2309*設定!$C$5,"△","○")))</f>
        <v/>
      </c>
      <c r="AA2309" s="15">
        <f>IF($Z2309="","",IF($Z2309="×",0,IF($Z2309="○",ROUNDDOWN($E2309*設定!$C$4,0),ROUNDDOWN($E2309*ROUND((9*$Y2309-9*$E2309)/(10*$E2309),4),0))))</f>
        <v/>
      </c>
      <c r="AB2309" s="13" t="n"/>
      <c r="AC2309" s="15">
        <f>IF($B2309="","",IF($AB2309&lt;&gt;"",$AB2309,IF($AA2309="","",IF($AA2309&lt;=設定!$C$3,0,$AA2309))))</f>
        <v/>
      </c>
      <c r="AD2309" s="14">
        <f>IF($B2309="","",IF(AND($AE2309&lt;&gt;"",$AG2309="",$AJ2309=""),"保留中",IF($AJ2309&lt;&gt;"",IF(N($AC2309)&gt;0,"支給済","不支給"),IF($AC2309="","要確認",IF($AC2309=0,"不支給","未処理")))))</f>
        <v/>
      </c>
      <c r="AE2309" s="12" t="n"/>
      <c r="AF2309" s="11" t="n"/>
      <c r="AG2309" s="11" t="n"/>
      <c r="AH2309" s="11" t="n"/>
      <c r="AI2309" s="14">
        <f>IF(AND($AD2309="保留中",$AF2309&lt;&gt;""),TODAY()-$AF2309,"")</f>
        <v/>
      </c>
      <c r="AJ2309" s="12" t="n"/>
      <c r="AK2309" s="14">
        <f>IF($B2309="","",IF($AO2309="","対象年月が未入力／","")&amp;IF($B2309="","",IF($AN2309="","職員マスタに未登録の職員番号／",IF($Y2309="","標準報酬月額が未登録／","")&amp;IF(AND($AO2309&lt;&gt;"",OR(AND(INDEX(職員マスタ!$G$6:$G$405,$AN2309)&lt;&gt;"",INDEX(職員マスタ!$G$6:$G$405,$AN2309)&gt;EOMONTH($AO2309,0)),AND(INDEX(職員マスタ!$H$6:$H$405,$AN2309)&lt;&gt;"",INDEX(職員マスタ!$H$6:$H$405,$AN2309)&lt;$AO2309))),"対象月が時短期間外／","")&amp;IF(AND(INDEX(職員マスタ!$F$6:$F$405,$AN2309)&lt;&gt;"",$AO2309&lt;&gt;"",INDEX(職員マスタ!$F$6:$F$405,$AN2309)&lt;$AO2309),"対象月に子が2歳到達済／","")&amp;IF(AND($H2309&lt;&gt;"",INDEX(職員マスタ!$B$6:$B$405,$AN2309)&lt;&gt;"",SUBSTITUTE(SUBSTITUTE($H2309," ","")," ","")&lt;&gt;SUBSTITUTE(SUBSTITUTE(INDEX(職員マスタ!$B$6:$B$405,$AN2309)," ","")," ","")),"氏名がマスタと相違／","")&amp;IF(AND($Q2309&lt;&gt;"",INDEX(職員マスタ!$E$6:$E$405,$AN2309)&lt;&gt;"",$Q2309&lt;&gt;INDEX(職員マスタ!$E$6:$E$405,$AN2309)),"子の生年月日がマスタと相違／","")&amp;IF(AND($L2309&lt;&gt;"",INDEX(職員マスタ!$G$6:$G$405,$AN2309)&lt;&gt;"",$L2309&lt;&gt;INDEX(職員マスタ!$G$6:$G$405,$AN2309)),"時短開始日がマスタと相違／","")&amp;IF(AND($M2309&lt;&gt;"",INDEX(職員マスタ!$H$6:$H$405,$AN2309)&lt;&gt;"",$M2309&lt;&gt;INDEX(職員マスタ!$H$6:$H$405,$AN2309)),"時短終了日がマスタと相違／","")))&amp;IF(AND($B2309&lt;&gt;"",$E2309=""),"報酬額が未入力／","")&amp;IF(N($U2309)&gt;0,"申請書に入力エラーが残っています／","")&amp;IF(AND($B2309&lt;&gt;"",$AO2309&lt;&gt;""),IF(COUNTIFS($B$6:$B$3005,$B2309,$C$6:$C$3005,$C2309,$D$6:$D$3005,$D2309)&gt;1,"同じ月の請求が重複しています／",""),"")&amp;IF(AND(N($E2309)&gt;0,$Z2309&lt;&gt;"",$Z2309&lt;&gt;"×",$AC2309=0,$AB2309=""),"計算額が下限以下のため不支給／",""))</f>
        <v/>
      </c>
      <c r="AL2309" s="12" t="n"/>
      <c r="AM2309" s="14">
        <f>IF($AD2309="保留中",COUNTIF($AD$6:$AD2309,"保留中"),"")</f>
        <v/>
      </c>
      <c r="AN2309" s="14">
        <f>IF($AO2309="","",IF(SUMPRODUCT(MAX((職員マスタ!$A$6:$A$405=$B2309)*(((職員マスタ!$G$6:$G$405="")+(職員マスタ!$G$6:$G$405&lt;=EOMONTH($AO2309,0)))&gt;0)*(((職員マスタ!$H$6:$H$405="")+(職員マスタ!$H$6:$H$405&gt;=$AO2309))&gt;0)*(ROW(職員マスタ!$A$6:$A$405)-5)))&gt;0,SUMPRODUCT(MAX((職員マスタ!$A$6:$A$405=$B2309)*(((職員マスタ!$G$6:$G$405="")+(職員マスタ!$G$6:$G$405&lt;=EOMONTH($AO2309,0)))&gt;0)*(((職員マスタ!$H$6:$H$405="")+(職員マスタ!$H$6:$H$405&gt;=$AO2309))&gt;0)*(ROW(職員マスタ!$A$6:$A$405)-5))),IFERROR(MATCH($B2309,職員マスタ!$A$6:$A$405,0),"")))</f>
        <v/>
      </c>
      <c r="AO2309" s="16">
        <f>IF(OR($B2309="",$C2309="",$D2309=""),"",DATE($C2309+2018,$D2309,1))</f>
        <v/>
      </c>
    </row>
    <row r="2310">
      <c r="A2310" s="11" t="n"/>
      <c r="B2310" s="12" t="n"/>
      <c r="C2310" s="12" t="n"/>
      <c r="D2310" s="12" t="n"/>
      <c r="E2310" s="13" t="n"/>
      <c r="F2310" s="12" t="n"/>
      <c r="G2310" s="13" t="n"/>
      <c r="H2310" s="12" t="n"/>
      <c r="I2310" s="12" t="n"/>
      <c r="J2310" s="12" t="n"/>
      <c r="K2310" s="12" t="n"/>
      <c r="L2310" s="11" t="n"/>
      <c r="M2310" s="11" t="n"/>
      <c r="N2310" s="11" t="n"/>
      <c r="O2310" s="11" t="n"/>
      <c r="P2310" s="12" t="n"/>
      <c r="Q2310" s="11" t="n"/>
      <c r="R2310" s="12" t="n"/>
      <c r="S2310" s="11" t="n"/>
      <c r="T2310" s="12" t="n"/>
      <c r="U2310" s="12" t="n"/>
      <c r="V2310" s="14">
        <f>IF($AN2310="",IF($B2310="","",$H2310),IF(INDEX(職員マスタ!$B$6:$B$405,$AN2310)="",$H2310,INDEX(職員マスタ!$B$6:$B$405,$AN2310)))</f>
        <v/>
      </c>
      <c r="W2310" s="14">
        <f>IF($AN2310="",IF($B2310="","",$R2310),IF(INDEX(職員マスタ!$C$6:$C$405,$AN2310)="",$R2310,INDEX(職員マスタ!$C$6:$C$405,$AN2310)))</f>
        <v/>
      </c>
      <c r="X2310" s="14">
        <f>IF($AO2310="","","R"&amp;$C2310&amp;"."&amp;$D2310)</f>
        <v/>
      </c>
      <c r="Y2310" s="15">
        <f>IF($AN2310="","",IF(INDEX(職員マスタ!$K$6:$K$405,$AN2310)="","",INDEX(職員マスタ!$K$6:$K$405,$AN2310)))</f>
        <v/>
      </c>
      <c r="Z2310" s="14">
        <f>IF(OR($E2310="",$Y2310=""),"",IF($E2310&gt;=$Y2310,"×",IF($E2310&gt;=$Y2310*設定!$C$5,"△","○")))</f>
        <v/>
      </c>
      <c r="AA2310" s="15">
        <f>IF($Z2310="","",IF($Z2310="×",0,IF($Z2310="○",ROUNDDOWN($E2310*設定!$C$4,0),ROUNDDOWN($E2310*ROUND((9*$Y2310-9*$E2310)/(10*$E2310),4),0))))</f>
        <v/>
      </c>
      <c r="AB2310" s="13" t="n"/>
      <c r="AC2310" s="15">
        <f>IF($B2310="","",IF($AB2310&lt;&gt;"",$AB2310,IF($AA2310="","",IF($AA2310&lt;=設定!$C$3,0,$AA2310))))</f>
        <v/>
      </c>
      <c r="AD2310" s="14">
        <f>IF($B2310="","",IF(AND($AE2310&lt;&gt;"",$AG2310="",$AJ2310=""),"保留中",IF($AJ2310&lt;&gt;"",IF(N($AC2310)&gt;0,"支給済","不支給"),IF($AC2310="","要確認",IF($AC2310=0,"不支給","未処理")))))</f>
        <v/>
      </c>
      <c r="AE2310" s="12" t="n"/>
      <c r="AF2310" s="11" t="n"/>
      <c r="AG2310" s="11" t="n"/>
      <c r="AH2310" s="11" t="n"/>
      <c r="AI2310" s="14">
        <f>IF(AND($AD2310="保留中",$AF2310&lt;&gt;""),TODAY()-$AF2310,"")</f>
        <v/>
      </c>
      <c r="AJ2310" s="12" t="n"/>
      <c r="AK2310" s="14">
        <f>IF($B2310="","",IF($AO2310="","対象年月が未入力／","")&amp;IF($B2310="","",IF($AN2310="","職員マスタに未登録の職員番号／",IF($Y2310="","標準報酬月額が未登録／","")&amp;IF(AND($AO2310&lt;&gt;"",OR(AND(INDEX(職員マスタ!$G$6:$G$405,$AN2310)&lt;&gt;"",INDEX(職員マスタ!$G$6:$G$405,$AN2310)&gt;EOMONTH($AO2310,0)),AND(INDEX(職員マスタ!$H$6:$H$405,$AN2310)&lt;&gt;"",INDEX(職員マスタ!$H$6:$H$405,$AN2310)&lt;$AO2310))),"対象月が時短期間外／","")&amp;IF(AND(INDEX(職員マスタ!$F$6:$F$405,$AN2310)&lt;&gt;"",$AO2310&lt;&gt;"",INDEX(職員マスタ!$F$6:$F$405,$AN2310)&lt;$AO2310),"対象月に子が2歳到達済／","")&amp;IF(AND($H2310&lt;&gt;"",INDEX(職員マスタ!$B$6:$B$405,$AN2310)&lt;&gt;"",SUBSTITUTE(SUBSTITUTE($H2310," ","")," ","")&lt;&gt;SUBSTITUTE(SUBSTITUTE(INDEX(職員マスタ!$B$6:$B$405,$AN2310)," ","")," ","")),"氏名がマスタと相違／","")&amp;IF(AND($Q2310&lt;&gt;"",INDEX(職員マスタ!$E$6:$E$405,$AN2310)&lt;&gt;"",$Q2310&lt;&gt;INDEX(職員マスタ!$E$6:$E$405,$AN2310)),"子の生年月日がマスタと相違／","")&amp;IF(AND($L2310&lt;&gt;"",INDEX(職員マスタ!$G$6:$G$405,$AN2310)&lt;&gt;"",$L2310&lt;&gt;INDEX(職員マスタ!$G$6:$G$405,$AN2310)),"時短開始日がマスタと相違／","")&amp;IF(AND($M2310&lt;&gt;"",INDEX(職員マスタ!$H$6:$H$405,$AN2310)&lt;&gt;"",$M2310&lt;&gt;INDEX(職員マスタ!$H$6:$H$405,$AN2310)),"時短終了日がマスタと相違／","")))&amp;IF(AND($B2310&lt;&gt;"",$E2310=""),"報酬額が未入力／","")&amp;IF(N($U2310)&gt;0,"申請書に入力エラーが残っています／","")&amp;IF(AND($B2310&lt;&gt;"",$AO2310&lt;&gt;""),IF(COUNTIFS($B$6:$B$3005,$B2310,$C$6:$C$3005,$C2310,$D$6:$D$3005,$D2310)&gt;1,"同じ月の請求が重複しています／",""),"")&amp;IF(AND(N($E2310)&gt;0,$Z2310&lt;&gt;"",$Z2310&lt;&gt;"×",$AC2310=0,$AB2310=""),"計算額が下限以下のため不支給／",""))</f>
        <v/>
      </c>
      <c r="AL2310" s="12" t="n"/>
      <c r="AM2310" s="14">
        <f>IF($AD2310="保留中",COUNTIF($AD$6:$AD2310,"保留中"),"")</f>
        <v/>
      </c>
      <c r="AN2310" s="14">
        <f>IF($AO2310="","",IF(SUMPRODUCT(MAX((職員マスタ!$A$6:$A$405=$B2310)*(((職員マスタ!$G$6:$G$405="")+(職員マスタ!$G$6:$G$405&lt;=EOMONTH($AO2310,0)))&gt;0)*(((職員マスタ!$H$6:$H$405="")+(職員マスタ!$H$6:$H$405&gt;=$AO2310))&gt;0)*(ROW(職員マスタ!$A$6:$A$405)-5)))&gt;0,SUMPRODUCT(MAX((職員マスタ!$A$6:$A$405=$B2310)*(((職員マスタ!$G$6:$G$405="")+(職員マスタ!$G$6:$G$405&lt;=EOMONTH($AO2310,0)))&gt;0)*(((職員マスタ!$H$6:$H$405="")+(職員マスタ!$H$6:$H$405&gt;=$AO2310))&gt;0)*(ROW(職員マスタ!$A$6:$A$405)-5))),IFERROR(MATCH($B2310,職員マスタ!$A$6:$A$405,0),"")))</f>
        <v/>
      </c>
      <c r="AO2310" s="16">
        <f>IF(OR($B2310="",$C2310="",$D2310=""),"",DATE($C2310+2018,$D2310,1))</f>
        <v/>
      </c>
    </row>
    <row r="2311">
      <c r="A2311" s="11" t="n"/>
      <c r="B2311" s="12" t="n"/>
      <c r="C2311" s="12" t="n"/>
      <c r="D2311" s="12" t="n"/>
      <c r="E2311" s="13" t="n"/>
      <c r="F2311" s="12" t="n"/>
      <c r="G2311" s="13" t="n"/>
      <c r="H2311" s="12" t="n"/>
      <c r="I2311" s="12" t="n"/>
      <c r="J2311" s="12" t="n"/>
      <c r="K2311" s="12" t="n"/>
      <c r="L2311" s="11" t="n"/>
      <c r="M2311" s="11" t="n"/>
      <c r="N2311" s="11" t="n"/>
      <c r="O2311" s="11" t="n"/>
      <c r="P2311" s="12" t="n"/>
      <c r="Q2311" s="11" t="n"/>
      <c r="R2311" s="12" t="n"/>
      <c r="S2311" s="11" t="n"/>
      <c r="T2311" s="12" t="n"/>
      <c r="U2311" s="12" t="n"/>
      <c r="V2311" s="14">
        <f>IF($AN2311="",IF($B2311="","",$H2311),IF(INDEX(職員マスタ!$B$6:$B$405,$AN2311)="",$H2311,INDEX(職員マスタ!$B$6:$B$405,$AN2311)))</f>
        <v/>
      </c>
      <c r="W2311" s="14">
        <f>IF($AN2311="",IF($B2311="","",$R2311),IF(INDEX(職員マスタ!$C$6:$C$405,$AN2311)="",$R2311,INDEX(職員マスタ!$C$6:$C$405,$AN2311)))</f>
        <v/>
      </c>
      <c r="X2311" s="14">
        <f>IF($AO2311="","","R"&amp;$C2311&amp;"."&amp;$D2311)</f>
        <v/>
      </c>
      <c r="Y2311" s="15">
        <f>IF($AN2311="","",IF(INDEX(職員マスタ!$K$6:$K$405,$AN2311)="","",INDEX(職員マスタ!$K$6:$K$405,$AN2311)))</f>
        <v/>
      </c>
      <c r="Z2311" s="14">
        <f>IF(OR($E2311="",$Y2311=""),"",IF($E2311&gt;=$Y2311,"×",IF($E2311&gt;=$Y2311*設定!$C$5,"△","○")))</f>
        <v/>
      </c>
      <c r="AA2311" s="15">
        <f>IF($Z2311="","",IF($Z2311="×",0,IF($Z2311="○",ROUNDDOWN($E2311*設定!$C$4,0),ROUNDDOWN($E2311*ROUND((9*$Y2311-9*$E2311)/(10*$E2311),4),0))))</f>
        <v/>
      </c>
      <c r="AB2311" s="13" t="n"/>
      <c r="AC2311" s="15">
        <f>IF($B2311="","",IF($AB2311&lt;&gt;"",$AB2311,IF($AA2311="","",IF($AA2311&lt;=設定!$C$3,0,$AA2311))))</f>
        <v/>
      </c>
      <c r="AD2311" s="14">
        <f>IF($B2311="","",IF(AND($AE2311&lt;&gt;"",$AG2311="",$AJ2311=""),"保留中",IF($AJ2311&lt;&gt;"",IF(N($AC2311)&gt;0,"支給済","不支給"),IF($AC2311="","要確認",IF($AC2311=0,"不支給","未処理")))))</f>
        <v/>
      </c>
      <c r="AE2311" s="12" t="n"/>
      <c r="AF2311" s="11" t="n"/>
      <c r="AG2311" s="11" t="n"/>
      <c r="AH2311" s="11" t="n"/>
      <c r="AI2311" s="14">
        <f>IF(AND($AD2311="保留中",$AF2311&lt;&gt;""),TODAY()-$AF2311,"")</f>
        <v/>
      </c>
      <c r="AJ2311" s="12" t="n"/>
      <c r="AK2311" s="14">
        <f>IF($B2311="","",IF($AO2311="","対象年月が未入力／","")&amp;IF($B2311="","",IF($AN2311="","職員マスタに未登録の職員番号／",IF($Y2311="","標準報酬月額が未登録／","")&amp;IF(AND($AO2311&lt;&gt;"",OR(AND(INDEX(職員マスタ!$G$6:$G$405,$AN2311)&lt;&gt;"",INDEX(職員マスタ!$G$6:$G$405,$AN2311)&gt;EOMONTH($AO2311,0)),AND(INDEX(職員マスタ!$H$6:$H$405,$AN2311)&lt;&gt;"",INDEX(職員マスタ!$H$6:$H$405,$AN2311)&lt;$AO2311))),"対象月が時短期間外／","")&amp;IF(AND(INDEX(職員マスタ!$F$6:$F$405,$AN2311)&lt;&gt;"",$AO2311&lt;&gt;"",INDEX(職員マスタ!$F$6:$F$405,$AN2311)&lt;$AO2311),"対象月に子が2歳到達済／","")&amp;IF(AND($H2311&lt;&gt;"",INDEX(職員マスタ!$B$6:$B$405,$AN2311)&lt;&gt;"",SUBSTITUTE(SUBSTITUTE($H2311," ","")," ","")&lt;&gt;SUBSTITUTE(SUBSTITUTE(INDEX(職員マスタ!$B$6:$B$405,$AN2311)," ","")," ","")),"氏名がマスタと相違／","")&amp;IF(AND($Q2311&lt;&gt;"",INDEX(職員マスタ!$E$6:$E$405,$AN2311)&lt;&gt;"",$Q2311&lt;&gt;INDEX(職員マスタ!$E$6:$E$405,$AN2311)),"子の生年月日がマスタと相違／","")&amp;IF(AND($L2311&lt;&gt;"",INDEX(職員マスタ!$G$6:$G$405,$AN2311)&lt;&gt;"",$L2311&lt;&gt;INDEX(職員マスタ!$G$6:$G$405,$AN2311)),"時短開始日がマスタと相違／","")&amp;IF(AND($M2311&lt;&gt;"",INDEX(職員マスタ!$H$6:$H$405,$AN2311)&lt;&gt;"",$M2311&lt;&gt;INDEX(職員マスタ!$H$6:$H$405,$AN2311)),"時短終了日がマスタと相違／","")))&amp;IF(AND($B2311&lt;&gt;"",$E2311=""),"報酬額が未入力／","")&amp;IF(N($U2311)&gt;0,"申請書に入力エラーが残っています／","")&amp;IF(AND($B2311&lt;&gt;"",$AO2311&lt;&gt;""),IF(COUNTIFS($B$6:$B$3005,$B2311,$C$6:$C$3005,$C2311,$D$6:$D$3005,$D2311)&gt;1,"同じ月の請求が重複しています／",""),"")&amp;IF(AND(N($E2311)&gt;0,$Z2311&lt;&gt;"",$Z2311&lt;&gt;"×",$AC2311=0,$AB2311=""),"計算額が下限以下のため不支給／",""))</f>
        <v/>
      </c>
      <c r="AL2311" s="12" t="n"/>
      <c r="AM2311" s="14">
        <f>IF($AD2311="保留中",COUNTIF($AD$6:$AD2311,"保留中"),"")</f>
        <v/>
      </c>
      <c r="AN2311" s="14">
        <f>IF($AO2311="","",IF(SUMPRODUCT(MAX((職員マスタ!$A$6:$A$405=$B2311)*(((職員マスタ!$G$6:$G$405="")+(職員マスタ!$G$6:$G$405&lt;=EOMONTH($AO2311,0)))&gt;0)*(((職員マスタ!$H$6:$H$405="")+(職員マスタ!$H$6:$H$405&gt;=$AO2311))&gt;0)*(ROW(職員マスタ!$A$6:$A$405)-5)))&gt;0,SUMPRODUCT(MAX((職員マスタ!$A$6:$A$405=$B2311)*(((職員マスタ!$G$6:$G$405="")+(職員マスタ!$G$6:$G$405&lt;=EOMONTH($AO2311,0)))&gt;0)*(((職員マスタ!$H$6:$H$405="")+(職員マスタ!$H$6:$H$405&gt;=$AO2311))&gt;0)*(ROW(職員マスタ!$A$6:$A$405)-5))),IFERROR(MATCH($B2311,職員マスタ!$A$6:$A$405,0),"")))</f>
        <v/>
      </c>
      <c r="AO2311" s="16">
        <f>IF(OR($B2311="",$C2311="",$D2311=""),"",DATE($C2311+2018,$D2311,1))</f>
        <v/>
      </c>
    </row>
    <row r="2312">
      <c r="A2312" s="11" t="n"/>
      <c r="B2312" s="12" t="n"/>
      <c r="C2312" s="12" t="n"/>
      <c r="D2312" s="12" t="n"/>
      <c r="E2312" s="13" t="n"/>
      <c r="F2312" s="12" t="n"/>
      <c r="G2312" s="13" t="n"/>
      <c r="H2312" s="12" t="n"/>
      <c r="I2312" s="12" t="n"/>
      <c r="J2312" s="12" t="n"/>
      <c r="K2312" s="12" t="n"/>
      <c r="L2312" s="11" t="n"/>
      <c r="M2312" s="11" t="n"/>
      <c r="N2312" s="11" t="n"/>
      <c r="O2312" s="11" t="n"/>
      <c r="P2312" s="12" t="n"/>
      <c r="Q2312" s="11" t="n"/>
      <c r="R2312" s="12" t="n"/>
      <c r="S2312" s="11" t="n"/>
      <c r="T2312" s="12" t="n"/>
      <c r="U2312" s="12" t="n"/>
      <c r="V2312" s="14">
        <f>IF($AN2312="",IF($B2312="","",$H2312),IF(INDEX(職員マスタ!$B$6:$B$405,$AN2312)="",$H2312,INDEX(職員マスタ!$B$6:$B$405,$AN2312)))</f>
        <v/>
      </c>
      <c r="W2312" s="14">
        <f>IF($AN2312="",IF($B2312="","",$R2312),IF(INDEX(職員マスタ!$C$6:$C$405,$AN2312)="",$R2312,INDEX(職員マスタ!$C$6:$C$405,$AN2312)))</f>
        <v/>
      </c>
      <c r="X2312" s="14">
        <f>IF($AO2312="","","R"&amp;$C2312&amp;"."&amp;$D2312)</f>
        <v/>
      </c>
      <c r="Y2312" s="15">
        <f>IF($AN2312="","",IF(INDEX(職員マスタ!$K$6:$K$405,$AN2312)="","",INDEX(職員マスタ!$K$6:$K$405,$AN2312)))</f>
        <v/>
      </c>
      <c r="Z2312" s="14">
        <f>IF(OR($E2312="",$Y2312=""),"",IF($E2312&gt;=$Y2312,"×",IF($E2312&gt;=$Y2312*設定!$C$5,"△","○")))</f>
        <v/>
      </c>
      <c r="AA2312" s="15">
        <f>IF($Z2312="","",IF($Z2312="×",0,IF($Z2312="○",ROUNDDOWN($E2312*設定!$C$4,0),ROUNDDOWN($E2312*ROUND((9*$Y2312-9*$E2312)/(10*$E2312),4),0))))</f>
        <v/>
      </c>
      <c r="AB2312" s="13" t="n"/>
      <c r="AC2312" s="15">
        <f>IF($B2312="","",IF($AB2312&lt;&gt;"",$AB2312,IF($AA2312="","",IF($AA2312&lt;=設定!$C$3,0,$AA2312))))</f>
        <v/>
      </c>
      <c r="AD2312" s="14">
        <f>IF($B2312="","",IF(AND($AE2312&lt;&gt;"",$AG2312="",$AJ2312=""),"保留中",IF($AJ2312&lt;&gt;"",IF(N($AC2312)&gt;0,"支給済","不支給"),IF($AC2312="","要確認",IF($AC2312=0,"不支給","未処理")))))</f>
        <v/>
      </c>
      <c r="AE2312" s="12" t="n"/>
      <c r="AF2312" s="11" t="n"/>
      <c r="AG2312" s="11" t="n"/>
      <c r="AH2312" s="11" t="n"/>
      <c r="AI2312" s="14">
        <f>IF(AND($AD2312="保留中",$AF2312&lt;&gt;""),TODAY()-$AF2312,"")</f>
        <v/>
      </c>
      <c r="AJ2312" s="12" t="n"/>
      <c r="AK2312" s="14">
        <f>IF($B2312="","",IF($AO2312="","対象年月が未入力／","")&amp;IF($B2312="","",IF($AN2312="","職員マスタに未登録の職員番号／",IF($Y2312="","標準報酬月額が未登録／","")&amp;IF(AND($AO2312&lt;&gt;"",OR(AND(INDEX(職員マスタ!$G$6:$G$405,$AN2312)&lt;&gt;"",INDEX(職員マスタ!$G$6:$G$405,$AN2312)&gt;EOMONTH($AO2312,0)),AND(INDEX(職員マスタ!$H$6:$H$405,$AN2312)&lt;&gt;"",INDEX(職員マスタ!$H$6:$H$405,$AN2312)&lt;$AO2312))),"対象月が時短期間外／","")&amp;IF(AND(INDEX(職員マスタ!$F$6:$F$405,$AN2312)&lt;&gt;"",$AO2312&lt;&gt;"",INDEX(職員マスタ!$F$6:$F$405,$AN2312)&lt;$AO2312),"対象月に子が2歳到達済／","")&amp;IF(AND($H2312&lt;&gt;"",INDEX(職員マスタ!$B$6:$B$405,$AN2312)&lt;&gt;"",SUBSTITUTE(SUBSTITUTE($H2312," ","")," ","")&lt;&gt;SUBSTITUTE(SUBSTITUTE(INDEX(職員マスタ!$B$6:$B$405,$AN2312)," ","")," ","")),"氏名がマスタと相違／","")&amp;IF(AND($Q2312&lt;&gt;"",INDEX(職員マスタ!$E$6:$E$405,$AN2312)&lt;&gt;"",$Q2312&lt;&gt;INDEX(職員マスタ!$E$6:$E$405,$AN2312)),"子の生年月日がマスタと相違／","")&amp;IF(AND($L2312&lt;&gt;"",INDEX(職員マスタ!$G$6:$G$405,$AN2312)&lt;&gt;"",$L2312&lt;&gt;INDEX(職員マスタ!$G$6:$G$405,$AN2312)),"時短開始日がマスタと相違／","")&amp;IF(AND($M2312&lt;&gt;"",INDEX(職員マスタ!$H$6:$H$405,$AN2312)&lt;&gt;"",$M2312&lt;&gt;INDEX(職員マスタ!$H$6:$H$405,$AN2312)),"時短終了日がマスタと相違／","")))&amp;IF(AND($B2312&lt;&gt;"",$E2312=""),"報酬額が未入力／","")&amp;IF(N($U2312)&gt;0,"申請書に入力エラーが残っています／","")&amp;IF(AND($B2312&lt;&gt;"",$AO2312&lt;&gt;""),IF(COUNTIFS($B$6:$B$3005,$B2312,$C$6:$C$3005,$C2312,$D$6:$D$3005,$D2312)&gt;1,"同じ月の請求が重複しています／",""),"")&amp;IF(AND(N($E2312)&gt;0,$Z2312&lt;&gt;"",$Z2312&lt;&gt;"×",$AC2312=0,$AB2312=""),"計算額が下限以下のため不支給／",""))</f>
        <v/>
      </c>
      <c r="AL2312" s="12" t="n"/>
      <c r="AM2312" s="14">
        <f>IF($AD2312="保留中",COUNTIF($AD$6:$AD2312,"保留中"),"")</f>
        <v/>
      </c>
      <c r="AN2312" s="14">
        <f>IF($AO2312="","",IF(SUMPRODUCT(MAX((職員マスタ!$A$6:$A$405=$B2312)*(((職員マスタ!$G$6:$G$405="")+(職員マスタ!$G$6:$G$405&lt;=EOMONTH($AO2312,0)))&gt;0)*(((職員マスタ!$H$6:$H$405="")+(職員マスタ!$H$6:$H$405&gt;=$AO2312))&gt;0)*(ROW(職員マスタ!$A$6:$A$405)-5)))&gt;0,SUMPRODUCT(MAX((職員マスタ!$A$6:$A$405=$B2312)*(((職員マスタ!$G$6:$G$405="")+(職員マスタ!$G$6:$G$405&lt;=EOMONTH($AO2312,0)))&gt;0)*(((職員マスタ!$H$6:$H$405="")+(職員マスタ!$H$6:$H$405&gt;=$AO2312))&gt;0)*(ROW(職員マスタ!$A$6:$A$405)-5))),IFERROR(MATCH($B2312,職員マスタ!$A$6:$A$405,0),"")))</f>
        <v/>
      </c>
      <c r="AO2312" s="16">
        <f>IF(OR($B2312="",$C2312="",$D2312=""),"",DATE($C2312+2018,$D2312,1))</f>
        <v/>
      </c>
    </row>
    <row r="2313">
      <c r="A2313" s="11" t="n"/>
      <c r="B2313" s="12" t="n"/>
      <c r="C2313" s="12" t="n"/>
      <c r="D2313" s="12" t="n"/>
      <c r="E2313" s="13" t="n"/>
      <c r="F2313" s="12" t="n"/>
      <c r="G2313" s="13" t="n"/>
      <c r="H2313" s="12" t="n"/>
      <c r="I2313" s="12" t="n"/>
      <c r="J2313" s="12" t="n"/>
      <c r="K2313" s="12" t="n"/>
      <c r="L2313" s="11" t="n"/>
      <c r="M2313" s="11" t="n"/>
      <c r="N2313" s="11" t="n"/>
      <c r="O2313" s="11" t="n"/>
      <c r="P2313" s="12" t="n"/>
      <c r="Q2313" s="11" t="n"/>
      <c r="R2313" s="12" t="n"/>
      <c r="S2313" s="11" t="n"/>
      <c r="T2313" s="12" t="n"/>
      <c r="U2313" s="12" t="n"/>
      <c r="V2313" s="14">
        <f>IF($AN2313="",IF($B2313="","",$H2313),IF(INDEX(職員マスタ!$B$6:$B$405,$AN2313)="",$H2313,INDEX(職員マスタ!$B$6:$B$405,$AN2313)))</f>
        <v/>
      </c>
      <c r="W2313" s="14">
        <f>IF($AN2313="",IF($B2313="","",$R2313),IF(INDEX(職員マスタ!$C$6:$C$405,$AN2313)="",$R2313,INDEX(職員マスタ!$C$6:$C$405,$AN2313)))</f>
        <v/>
      </c>
      <c r="X2313" s="14">
        <f>IF($AO2313="","","R"&amp;$C2313&amp;"."&amp;$D2313)</f>
        <v/>
      </c>
      <c r="Y2313" s="15">
        <f>IF($AN2313="","",IF(INDEX(職員マスタ!$K$6:$K$405,$AN2313)="","",INDEX(職員マスタ!$K$6:$K$405,$AN2313)))</f>
        <v/>
      </c>
      <c r="Z2313" s="14">
        <f>IF(OR($E2313="",$Y2313=""),"",IF($E2313&gt;=$Y2313,"×",IF($E2313&gt;=$Y2313*設定!$C$5,"△","○")))</f>
        <v/>
      </c>
      <c r="AA2313" s="15">
        <f>IF($Z2313="","",IF($Z2313="×",0,IF($Z2313="○",ROUNDDOWN($E2313*設定!$C$4,0),ROUNDDOWN($E2313*ROUND((9*$Y2313-9*$E2313)/(10*$E2313),4),0))))</f>
        <v/>
      </c>
      <c r="AB2313" s="13" t="n"/>
      <c r="AC2313" s="15">
        <f>IF($B2313="","",IF($AB2313&lt;&gt;"",$AB2313,IF($AA2313="","",IF($AA2313&lt;=設定!$C$3,0,$AA2313))))</f>
        <v/>
      </c>
      <c r="AD2313" s="14">
        <f>IF($B2313="","",IF(AND($AE2313&lt;&gt;"",$AG2313="",$AJ2313=""),"保留中",IF($AJ2313&lt;&gt;"",IF(N($AC2313)&gt;0,"支給済","不支給"),IF($AC2313="","要確認",IF($AC2313=0,"不支給","未処理")))))</f>
        <v/>
      </c>
      <c r="AE2313" s="12" t="n"/>
      <c r="AF2313" s="11" t="n"/>
      <c r="AG2313" s="11" t="n"/>
      <c r="AH2313" s="11" t="n"/>
      <c r="AI2313" s="14">
        <f>IF(AND($AD2313="保留中",$AF2313&lt;&gt;""),TODAY()-$AF2313,"")</f>
        <v/>
      </c>
      <c r="AJ2313" s="12" t="n"/>
      <c r="AK2313" s="14">
        <f>IF($B2313="","",IF($AO2313="","対象年月が未入力／","")&amp;IF($B2313="","",IF($AN2313="","職員マスタに未登録の職員番号／",IF($Y2313="","標準報酬月額が未登録／","")&amp;IF(AND($AO2313&lt;&gt;"",OR(AND(INDEX(職員マスタ!$G$6:$G$405,$AN2313)&lt;&gt;"",INDEX(職員マスタ!$G$6:$G$405,$AN2313)&gt;EOMONTH($AO2313,0)),AND(INDEX(職員マスタ!$H$6:$H$405,$AN2313)&lt;&gt;"",INDEX(職員マスタ!$H$6:$H$405,$AN2313)&lt;$AO2313))),"対象月が時短期間外／","")&amp;IF(AND(INDEX(職員マスタ!$F$6:$F$405,$AN2313)&lt;&gt;"",$AO2313&lt;&gt;"",INDEX(職員マスタ!$F$6:$F$405,$AN2313)&lt;$AO2313),"対象月に子が2歳到達済／","")&amp;IF(AND($H2313&lt;&gt;"",INDEX(職員マスタ!$B$6:$B$405,$AN2313)&lt;&gt;"",SUBSTITUTE(SUBSTITUTE($H2313," ","")," ","")&lt;&gt;SUBSTITUTE(SUBSTITUTE(INDEX(職員マスタ!$B$6:$B$405,$AN2313)," ","")," ","")),"氏名がマスタと相違／","")&amp;IF(AND($Q2313&lt;&gt;"",INDEX(職員マスタ!$E$6:$E$405,$AN2313)&lt;&gt;"",$Q2313&lt;&gt;INDEX(職員マスタ!$E$6:$E$405,$AN2313)),"子の生年月日がマスタと相違／","")&amp;IF(AND($L2313&lt;&gt;"",INDEX(職員マスタ!$G$6:$G$405,$AN2313)&lt;&gt;"",$L2313&lt;&gt;INDEX(職員マスタ!$G$6:$G$405,$AN2313)),"時短開始日がマスタと相違／","")&amp;IF(AND($M2313&lt;&gt;"",INDEX(職員マスタ!$H$6:$H$405,$AN2313)&lt;&gt;"",$M2313&lt;&gt;INDEX(職員マスタ!$H$6:$H$405,$AN2313)),"時短終了日がマスタと相違／","")))&amp;IF(AND($B2313&lt;&gt;"",$E2313=""),"報酬額が未入力／","")&amp;IF(N($U2313)&gt;0,"申請書に入力エラーが残っています／","")&amp;IF(AND($B2313&lt;&gt;"",$AO2313&lt;&gt;""),IF(COUNTIFS($B$6:$B$3005,$B2313,$C$6:$C$3005,$C2313,$D$6:$D$3005,$D2313)&gt;1,"同じ月の請求が重複しています／",""),"")&amp;IF(AND(N($E2313)&gt;0,$Z2313&lt;&gt;"",$Z2313&lt;&gt;"×",$AC2313=0,$AB2313=""),"計算額が下限以下のため不支給／",""))</f>
        <v/>
      </c>
      <c r="AL2313" s="12" t="n"/>
      <c r="AM2313" s="14">
        <f>IF($AD2313="保留中",COUNTIF($AD$6:$AD2313,"保留中"),"")</f>
        <v/>
      </c>
      <c r="AN2313" s="14">
        <f>IF($AO2313="","",IF(SUMPRODUCT(MAX((職員マスタ!$A$6:$A$405=$B2313)*(((職員マスタ!$G$6:$G$405="")+(職員マスタ!$G$6:$G$405&lt;=EOMONTH($AO2313,0)))&gt;0)*(((職員マスタ!$H$6:$H$405="")+(職員マスタ!$H$6:$H$405&gt;=$AO2313))&gt;0)*(ROW(職員マスタ!$A$6:$A$405)-5)))&gt;0,SUMPRODUCT(MAX((職員マスタ!$A$6:$A$405=$B2313)*(((職員マスタ!$G$6:$G$405="")+(職員マスタ!$G$6:$G$405&lt;=EOMONTH($AO2313,0)))&gt;0)*(((職員マスタ!$H$6:$H$405="")+(職員マスタ!$H$6:$H$405&gt;=$AO2313))&gt;0)*(ROW(職員マスタ!$A$6:$A$405)-5))),IFERROR(MATCH($B2313,職員マスタ!$A$6:$A$405,0),"")))</f>
        <v/>
      </c>
      <c r="AO2313" s="16">
        <f>IF(OR($B2313="",$C2313="",$D2313=""),"",DATE($C2313+2018,$D2313,1))</f>
        <v/>
      </c>
    </row>
    <row r="2314">
      <c r="A2314" s="11" t="n"/>
      <c r="B2314" s="12" t="n"/>
      <c r="C2314" s="12" t="n"/>
      <c r="D2314" s="12" t="n"/>
      <c r="E2314" s="13" t="n"/>
      <c r="F2314" s="12" t="n"/>
      <c r="G2314" s="13" t="n"/>
      <c r="H2314" s="12" t="n"/>
      <c r="I2314" s="12" t="n"/>
      <c r="J2314" s="12" t="n"/>
      <c r="K2314" s="12" t="n"/>
      <c r="L2314" s="11" t="n"/>
      <c r="M2314" s="11" t="n"/>
      <c r="N2314" s="11" t="n"/>
      <c r="O2314" s="11" t="n"/>
      <c r="P2314" s="12" t="n"/>
      <c r="Q2314" s="11" t="n"/>
      <c r="R2314" s="12" t="n"/>
      <c r="S2314" s="11" t="n"/>
      <c r="T2314" s="12" t="n"/>
      <c r="U2314" s="12" t="n"/>
      <c r="V2314" s="14">
        <f>IF($AN2314="",IF($B2314="","",$H2314),IF(INDEX(職員マスタ!$B$6:$B$405,$AN2314)="",$H2314,INDEX(職員マスタ!$B$6:$B$405,$AN2314)))</f>
        <v/>
      </c>
      <c r="W2314" s="14">
        <f>IF($AN2314="",IF($B2314="","",$R2314),IF(INDEX(職員マスタ!$C$6:$C$405,$AN2314)="",$R2314,INDEX(職員マスタ!$C$6:$C$405,$AN2314)))</f>
        <v/>
      </c>
      <c r="X2314" s="14">
        <f>IF($AO2314="","","R"&amp;$C2314&amp;"."&amp;$D2314)</f>
        <v/>
      </c>
      <c r="Y2314" s="15">
        <f>IF($AN2314="","",IF(INDEX(職員マスタ!$K$6:$K$405,$AN2314)="","",INDEX(職員マスタ!$K$6:$K$405,$AN2314)))</f>
        <v/>
      </c>
      <c r="Z2314" s="14">
        <f>IF(OR($E2314="",$Y2314=""),"",IF($E2314&gt;=$Y2314,"×",IF($E2314&gt;=$Y2314*設定!$C$5,"△","○")))</f>
        <v/>
      </c>
      <c r="AA2314" s="15">
        <f>IF($Z2314="","",IF($Z2314="×",0,IF($Z2314="○",ROUNDDOWN($E2314*設定!$C$4,0),ROUNDDOWN($E2314*ROUND((9*$Y2314-9*$E2314)/(10*$E2314),4),0))))</f>
        <v/>
      </c>
      <c r="AB2314" s="13" t="n"/>
      <c r="AC2314" s="15">
        <f>IF($B2314="","",IF($AB2314&lt;&gt;"",$AB2314,IF($AA2314="","",IF($AA2314&lt;=設定!$C$3,0,$AA2314))))</f>
        <v/>
      </c>
      <c r="AD2314" s="14">
        <f>IF($B2314="","",IF(AND($AE2314&lt;&gt;"",$AG2314="",$AJ2314=""),"保留中",IF($AJ2314&lt;&gt;"",IF(N($AC2314)&gt;0,"支給済","不支給"),IF($AC2314="","要確認",IF($AC2314=0,"不支給","未処理")))))</f>
        <v/>
      </c>
      <c r="AE2314" s="12" t="n"/>
      <c r="AF2314" s="11" t="n"/>
      <c r="AG2314" s="11" t="n"/>
      <c r="AH2314" s="11" t="n"/>
      <c r="AI2314" s="14">
        <f>IF(AND($AD2314="保留中",$AF2314&lt;&gt;""),TODAY()-$AF2314,"")</f>
        <v/>
      </c>
      <c r="AJ2314" s="12" t="n"/>
      <c r="AK2314" s="14">
        <f>IF($B2314="","",IF($AO2314="","対象年月が未入力／","")&amp;IF($B2314="","",IF($AN2314="","職員マスタに未登録の職員番号／",IF($Y2314="","標準報酬月額が未登録／","")&amp;IF(AND($AO2314&lt;&gt;"",OR(AND(INDEX(職員マスタ!$G$6:$G$405,$AN2314)&lt;&gt;"",INDEX(職員マスタ!$G$6:$G$405,$AN2314)&gt;EOMONTH($AO2314,0)),AND(INDEX(職員マスタ!$H$6:$H$405,$AN2314)&lt;&gt;"",INDEX(職員マスタ!$H$6:$H$405,$AN2314)&lt;$AO2314))),"対象月が時短期間外／","")&amp;IF(AND(INDEX(職員マスタ!$F$6:$F$405,$AN2314)&lt;&gt;"",$AO2314&lt;&gt;"",INDEX(職員マスタ!$F$6:$F$405,$AN2314)&lt;$AO2314),"対象月に子が2歳到達済／","")&amp;IF(AND($H2314&lt;&gt;"",INDEX(職員マスタ!$B$6:$B$405,$AN2314)&lt;&gt;"",SUBSTITUTE(SUBSTITUTE($H2314," ","")," ","")&lt;&gt;SUBSTITUTE(SUBSTITUTE(INDEX(職員マスタ!$B$6:$B$405,$AN2314)," ","")," ","")),"氏名がマスタと相違／","")&amp;IF(AND($Q2314&lt;&gt;"",INDEX(職員マスタ!$E$6:$E$405,$AN2314)&lt;&gt;"",$Q2314&lt;&gt;INDEX(職員マスタ!$E$6:$E$405,$AN2314)),"子の生年月日がマスタと相違／","")&amp;IF(AND($L2314&lt;&gt;"",INDEX(職員マスタ!$G$6:$G$405,$AN2314)&lt;&gt;"",$L2314&lt;&gt;INDEX(職員マスタ!$G$6:$G$405,$AN2314)),"時短開始日がマスタと相違／","")&amp;IF(AND($M2314&lt;&gt;"",INDEX(職員マスタ!$H$6:$H$405,$AN2314)&lt;&gt;"",$M2314&lt;&gt;INDEX(職員マスタ!$H$6:$H$405,$AN2314)),"時短終了日がマスタと相違／","")))&amp;IF(AND($B2314&lt;&gt;"",$E2314=""),"報酬額が未入力／","")&amp;IF(N($U2314)&gt;0,"申請書に入力エラーが残っています／","")&amp;IF(AND($B2314&lt;&gt;"",$AO2314&lt;&gt;""),IF(COUNTIFS($B$6:$B$3005,$B2314,$C$6:$C$3005,$C2314,$D$6:$D$3005,$D2314)&gt;1,"同じ月の請求が重複しています／",""),"")&amp;IF(AND(N($E2314)&gt;0,$Z2314&lt;&gt;"",$Z2314&lt;&gt;"×",$AC2314=0,$AB2314=""),"計算額が下限以下のため不支給／",""))</f>
        <v/>
      </c>
      <c r="AL2314" s="12" t="n"/>
      <c r="AM2314" s="14">
        <f>IF($AD2314="保留中",COUNTIF($AD$6:$AD2314,"保留中"),"")</f>
        <v/>
      </c>
      <c r="AN2314" s="14">
        <f>IF($AO2314="","",IF(SUMPRODUCT(MAX((職員マスタ!$A$6:$A$405=$B2314)*(((職員マスタ!$G$6:$G$405="")+(職員マスタ!$G$6:$G$405&lt;=EOMONTH($AO2314,0)))&gt;0)*(((職員マスタ!$H$6:$H$405="")+(職員マスタ!$H$6:$H$405&gt;=$AO2314))&gt;0)*(ROW(職員マスタ!$A$6:$A$405)-5)))&gt;0,SUMPRODUCT(MAX((職員マスタ!$A$6:$A$405=$B2314)*(((職員マスタ!$G$6:$G$405="")+(職員マスタ!$G$6:$G$405&lt;=EOMONTH($AO2314,0)))&gt;0)*(((職員マスタ!$H$6:$H$405="")+(職員マスタ!$H$6:$H$405&gt;=$AO2314))&gt;0)*(ROW(職員マスタ!$A$6:$A$405)-5))),IFERROR(MATCH($B2314,職員マスタ!$A$6:$A$405,0),"")))</f>
        <v/>
      </c>
      <c r="AO2314" s="16">
        <f>IF(OR($B2314="",$C2314="",$D2314=""),"",DATE($C2314+2018,$D2314,1))</f>
        <v/>
      </c>
    </row>
    <row r="2315">
      <c r="A2315" s="11" t="n"/>
      <c r="B2315" s="12" t="n"/>
      <c r="C2315" s="12" t="n"/>
      <c r="D2315" s="12" t="n"/>
      <c r="E2315" s="13" t="n"/>
      <c r="F2315" s="12" t="n"/>
      <c r="G2315" s="13" t="n"/>
      <c r="H2315" s="12" t="n"/>
      <c r="I2315" s="12" t="n"/>
      <c r="J2315" s="12" t="n"/>
      <c r="K2315" s="12" t="n"/>
      <c r="L2315" s="11" t="n"/>
      <c r="M2315" s="11" t="n"/>
      <c r="N2315" s="11" t="n"/>
      <c r="O2315" s="11" t="n"/>
      <c r="P2315" s="12" t="n"/>
      <c r="Q2315" s="11" t="n"/>
      <c r="R2315" s="12" t="n"/>
      <c r="S2315" s="11" t="n"/>
      <c r="T2315" s="12" t="n"/>
      <c r="U2315" s="12" t="n"/>
      <c r="V2315" s="14">
        <f>IF($AN2315="",IF($B2315="","",$H2315),IF(INDEX(職員マスタ!$B$6:$B$405,$AN2315)="",$H2315,INDEX(職員マスタ!$B$6:$B$405,$AN2315)))</f>
        <v/>
      </c>
      <c r="W2315" s="14">
        <f>IF($AN2315="",IF($B2315="","",$R2315),IF(INDEX(職員マスタ!$C$6:$C$405,$AN2315)="",$R2315,INDEX(職員マスタ!$C$6:$C$405,$AN2315)))</f>
        <v/>
      </c>
      <c r="X2315" s="14">
        <f>IF($AO2315="","","R"&amp;$C2315&amp;"."&amp;$D2315)</f>
        <v/>
      </c>
      <c r="Y2315" s="15">
        <f>IF($AN2315="","",IF(INDEX(職員マスタ!$K$6:$K$405,$AN2315)="","",INDEX(職員マスタ!$K$6:$K$405,$AN2315)))</f>
        <v/>
      </c>
      <c r="Z2315" s="14">
        <f>IF(OR($E2315="",$Y2315=""),"",IF($E2315&gt;=$Y2315,"×",IF($E2315&gt;=$Y2315*設定!$C$5,"△","○")))</f>
        <v/>
      </c>
      <c r="AA2315" s="15">
        <f>IF($Z2315="","",IF($Z2315="×",0,IF($Z2315="○",ROUNDDOWN($E2315*設定!$C$4,0),ROUNDDOWN($E2315*ROUND((9*$Y2315-9*$E2315)/(10*$E2315),4),0))))</f>
        <v/>
      </c>
      <c r="AB2315" s="13" t="n"/>
      <c r="AC2315" s="15">
        <f>IF($B2315="","",IF($AB2315&lt;&gt;"",$AB2315,IF($AA2315="","",IF($AA2315&lt;=設定!$C$3,0,$AA2315))))</f>
        <v/>
      </c>
      <c r="AD2315" s="14">
        <f>IF($B2315="","",IF(AND($AE2315&lt;&gt;"",$AG2315="",$AJ2315=""),"保留中",IF($AJ2315&lt;&gt;"",IF(N($AC2315)&gt;0,"支給済","不支給"),IF($AC2315="","要確認",IF($AC2315=0,"不支給","未処理")))))</f>
        <v/>
      </c>
      <c r="AE2315" s="12" t="n"/>
      <c r="AF2315" s="11" t="n"/>
      <c r="AG2315" s="11" t="n"/>
      <c r="AH2315" s="11" t="n"/>
      <c r="AI2315" s="14">
        <f>IF(AND($AD2315="保留中",$AF2315&lt;&gt;""),TODAY()-$AF2315,"")</f>
        <v/>
      </c>
      <c r="AJ2315" s="12" t="n"/>
      <c r="AK2315" s="14">
        <f>IF($B2315="","",IF($AO2315="","対象年月が未入力／","")&amp;IF($B2315="","",IF($AN2315="","職員マスタに未登録の職員番号／",IF($Y2315="","標準報酬月額が未登録／","")&amp;IF(AND($AO2315&lt;&gt;"",OR(AND(INDEX(職員マスタ!$G$6:$G$405,$AN2315)&lt;&gt;"",INDEX(職員マスタ!$G$6:$G$405,$AN2315)&gt;EOMONTH($AO2315,0)),AND(INDEX(職員マスタ!$H$6:$H$405,$AN2315)&lt;&gt;"",INDEX(職員マスタ!$H$6:$H$405,$AN2315)&lt;$AO2315))),"対象月が時短期間外／","")&amp;IF(AND(INDEX(職員マスタ!$F$6:$F$405,$AN2315)&lt;&gt;"",$AO2315&lt;&gt;"",INDEX(職員マスタ!$F$6:$F$405,$AN2315)&lt;$AO2315),"対象月に子が2歳到達済／","")&amp;IF(AND($H2315&lt;&gt;"",INDEX(職員マスタ!$B$6:$B$405,$AN2315)&lt;&gt;"",SUBSTITUTE(SUBSTITUTE($H2315," ","")," ","")&lt;&gt;SUBSTITUTE(SUBSTITUTE(INDEX(職員マスタ!$B$6:$B$405,$AN2315)," ","")," ","")),"氏名がマスタと相違／","")&amp;IF(AND($Q2315&lt;&gt;"",INDEX(職員マスタ!$E$6:$E$405,$AN2315)&lt;&gt;"",$Q2315&lt;&gt;INDEX(職員マスタ!$E$6:$E$405,$AN2315)),"子の生年月日がマスタと相違／","")&amp;IF(AND($L2315&lt;&gt;"",INDEX(職員マスタ!$G$6:$G$405,$AN2315)&lt;&gt;"",$L2315&lt;&gt;INDEX(職員マスタ!$G$6:$G$405,$AN2315)),"時短開始日がマスタと相違／","")&amp;IF(AND($M2315&lt;&gt;"",INDEX(職員マスタ!$H$6:$H$405,$AN2315)&lt;&gt;"",$M2315&lt;&gt;INDEX(職員マスタ!$H$6:$H$405,$AN2315)),"時短終了日がマスタと相違／","")))&amp;IF(AND($B2315&lt;&gt;"",$E2315=""),"報酬額が未入力／","")&amp;IF(N($U2315)&gt;0,"申請書に入力エラーが残っています／","")&amp;IF(AND($B2315&lt;&gt;"",$AO2315&lt;&gt;""),IF(COUNTIFS($B$6:$B$3005,$B2315,$C$6:$C$3005,$C2315,$D$6:$D$3005,$D2315)&gt;1,"同じ月の請求が重複しています／",""),"")&amp;IF(AND(N($E2315)&gt;0,$Z2315&lt;&gt;"",$Z2315&lt;&gt;"×",$AC2315=0,$AB2315=""),"計算額が下限以下のため不支給／",""))</f>
        <v/>
      </c>
      <c r="AL2315" s="12" t="n"/>
      <c r="AM2315" s="14">
        <f>IF($AD2315="保留中",COUNTIF($AD$6:$AD2315,"保留中"),"")</f>
        <v/>
      </c>
      <c r="AN2315" s="14">
        <f>IF($AO2315="","",IF(SUMPRODUCT(MAX((職員マスタ!$A$6:$A$405=$B2315)*(((職員マスタ!$G$6:$G$405="")+(職員マスタ!$G$6:$G$405&lt;=EOMONTH($AO2315,0)))&gt;0)*(((職員マスタ!$H$6:$H$405="")+(職員マスタ!$H$6:$H$405&gt;=$AO2315))&gt;0)*(ROW(職員マスタ!$A$6:$A$405)-5)))&gt;0,SUMPRODUCT(MAX((職員マスタ!$A$6:$A$405=$B2315)*(((職員マスタ!$G$6:$G$405="")+(職員マスタ!$G$6:$G$405&lt;=EOMONTH($AO2315,0)))&gt;0)*(((職員マスタ!$H$6:$H$405="")+(職員マスタ!$H$6:$H$405&gt;=$AO2315))&gt;0)*(ROW(職員マスタ!$A$6:$A$405)-5))),IFERROR(MATCH($B2315,職員マスタ!$A$6:$A$405,0),"")))</f>
        <v/>
      </c>
      <c r="AO2315" s="16">
        <f>IF(OR($B2315="",$C2315="",$D2315=""),"",DATE($C2315+2018,$D2315,1))</f>
        <v/>
      </c>
    </row>
    <row r="2316">
      <c r="A2316" s="11" t="n"/>
      <c r="B2316" s="12" t="n"/>
      <c r="C2316" s="12" t="n"/>
      <c r="D2316" s="12" t="n"/>
      <c r="E2316" s="13" t="n"/>
      <c r="F2316" s="12" t="n"/>
      <c r="G2316" s="13" t="n"/>
      <c r="H2316" s="12" t="n"/>
      <c r="I2316" s="12" t="n"/>
      <c r="J2316" s="12" t="n"/>
      <c r="K2316" s="12" t="n"/>
      <c r="L2316" s="11" t="n"/>
      <c r="M2316" s="11" t="n"/>
      <c r="N2316" s="11" t="n"/>
      <c r="O2316" s="11" t="n"/>
      <c r="P2316" s="12" t="n"/>
      <c r="Q2316" s="11" t="n"/>
      <c r="R2316" s="12" t="n"/>
      <c r="S2316" s="11" t="n"/>
      <c r="T2316" s="12" t="n"/>
      <c r="U2316" s="12" t="n"/>
      <c r="V2316" s="14">
        <f>IF($AN2316="",IF($B2316="","",$H2316),IF(INDEX(職員マスタ!$B$6:$B$405,$AN2316)="",$H2316,INDEX(職員マスタ!$B$6:$B$405,$AN2316)))</f>
        <v/>
      </c>
      <c r="W2316" s="14">
        <f>IF($AN2316="",IF($B2316="","",$R2316),IF(INDEX(職員マスタ!$C$6:$C$405,$AN2316)="",$R2316,INDEX(職員マスタ!$C$6:$C$405,$AN2316)))</f>
        <v/>
      </c>
      <c r="X2316" s="14">
        <f>IF($AO2316="","","R"&amp;$C2316&amp;"."&amp;$D2316)</f>
        <v/>
      </c>
      <c r="Y2316" s="15">
        <f>IF($AN2316="","",IF(INDEX(職員マスタ!$K$6:$K$405,$AN2316)="","",INDEX(職員マスタ!$K$6:$K$405,$AN2316)))</f>
        <v/>
      </c>
      <c r="Z2316" s="14">
        <f>IF(OR($E2316="",$Y2316=""),"",IF($E2316&gt;=$Y2316,"×",IF($E2316&gt;=$Y2316*設定!$C$5,"△","○")))</f>
        <v/>
      </c>
      <c r="AA2316" s="15">
        <f>IF($Z2316="","",IF($Z2316="×",0,IF($Z2316="○",ROUNDDOWN($E2316*設定!$C$4,0),ROUNDDOWN($E2316*ROUND((9*$Y2316-9*$E2316)/(10*$E2316),4),0))))</f>
        <v/>
      </c>
      <c r="AB2316" s="13" t="n"/>
      <c r="AC2316" s="15">
        <f>IF($B2316="","",IF($AB2316&lt;&gt;"",$AB2316,IF($AA2316="","",IF($AA2316&lt;=設定!$C$3,0,$AA2316))))</f>
        <v/>
      </c>
      <c r="AD2316" s="14">
        <f>IF($B2316="","",IF(AND($AE2316&lt;&gt;"",$AG2316="",$AJ2316=""),"保留中",IF($AJ2316&lt;&gt;"",IF(N($AC2316)&gt;0,"支給済","不支給"),IF($AC2316="","要確認",IF($AC2316=0,"不支給","未処理")))))</f>
        <v/>
      </c>
      <c r="AE2316" s="12" t="n"/>
      <c r="AF2316" s="11" t="n"/>
      <c r="AG2316" s="11" t="n"/>
      <c r="AH2316" s="11" t="n"/>
      <c r="AI2316" s="14">
        <f>IF(AND($AD2316="保留中",$AF2316&lt;&gt;""),TODAY()-$AF2316,"")</f>
        <v/>
      </c>
      <c r="AJ2316" s="12" t="n"/>
      <c r="AK2316" s="14">
        <f>IF($B2316="","",IF($AO2316="","対象年月が未入力／","")&amp;IF($B2316="","",IF($AN2316="","職員マスタに未登録の職員番号／",IF($Y2316="","標準報酬月額が未登録／","")&amp;IF(AND($AO2316&lt;&gt;"",OR(AND(INDEX(職員マスタ!$G$6:$G$405,$AN2316)&lt;&gt;"",INDEX(職員マスタ!$G$6:$G$405,$AN2316)&gt;EOMONTH($AO2316,0)),AND(INDEX(職員マスタ!$H$6:$H$405,$AN2316)&lt;&gt;"",INDEX(職員マスタ!$H$6:$H$405,$AN2316)&lt;$AO2316))),"対象月が時短期間外／","")&amp;IF(AND(INDEX(職員マスタ!$F$6:$F$405,$AN2316)&lt;&gt;"",$AO2316&lt;&gt;"",INDEX(職員マスタ!$F$6:$F$405,$AN2316)&lt;$AO2316),"対象月に子が2歳到達済／","")&amp;IF(AND($H2316&lt;&gt;"",INDEX(職員マスタ!$B$6:$B$405,$AN2316)&lt;&gt;"",SUBSTITUTE(SUBSTITUTE($H2316," ","")," ","")&lt;&gt;SUBSTITUTE(SUBSTITUTE(INDEX(職員マスタ!$B$6:$B$405,$AN2316)," ","")," ","")),"氏名がマスタと相違／","")&amp;IF(AND($Q2316&lt;&gt;"",INDEX(職員マスタ!$E$6:$E$405,$AN2316)&lt;&gt;"",$Q2316&lt;&gt;INDEX(職員マスタ!$E$6:$E$405,$AN2316)),"子の生年月日がマスタと相違／","")&amp;IF(AND($L2316&lt;&gt;"",INDEX(職員マスタ!$G$6:$G$405,$AN2316)&lt;&gt;"",$L2316&lt;&gt;INDEX(職員マスタ!$G$6:$G$405,$AN2316)),"時短開始日がマスタと相違／","")&amp;IF(AND($M2316&lt;&gt;"",INDEX(職員マスタ!$H$6:$H$405,$AN2316)&lt;&gt;"",$M2316&lt;&gt;INDEX(職員マスタ!$H$6:$H$405,$AN2316)),"時短終了日がマスタと相違／","")))&amp;IF(AND($B2316&lt;&gt;"",$E2316=""),"報酬額が未入力／","")&amp;IF(N($U2316)&gt;0,"申請書に入力エラーが残っています／","")&amp;IF(AND($B2316&lt;&gt;"",$AO2316&lt;&gt;""),IF(COUNTIFS($B$6:$B$3005,$B2316,$C$6:$C$3005,$C2316,$D$6:$D$3005,$D2316)&gt;1,"同じ月の請求が重複しています／",""),"")&amp;IF(AND(N($E2316)&gt;0,$Z2316&lt;&gt;"",$Z2316&lt;&gt;"×",$AC2316=0,$AB2316=""),"計算額が下限以下のため不支給／",""))</f>
        <v/>
      </c>
      <c r="AL2316" s="12" t="n"/>
      <c r="AM2316" s="14">
        <f>IF($AD2316="保留中",COUNTIF($AD$6:$AD2316,"保留中"),"")</f>
        <v/>
      </c>
      <c r="AN2316" s="14">
        <f>IF($AO2316="","",IF(SUMPRODUCT(MAX((職員マスタ!$A$6:$A$405=$B2316)*(((職員マスタ!$G$6:$G$405="")+(職員マスタ!$G$6:$G$405&lt;=EOMONTH($AO2316,0)))&gt;0)*(((職員マスタ!$H$6:$H$405="")+(職員マスタ!$H$6:$H$405&gt;=$AO2316))&gt;0)*(ROW(職員マスタ!$A$6:$A$405)-5)))&gt;0,SUMPRODUCT(MAX((職員マスタ!$A$6:$A$405=$B2316)*(((職員マスタ!$G$6:$G$405="")+(職員マスタ!$G$6:$G$405&lt;=EOMONTH($AO2316,0)))&gt;0)*(((職員マスタ!$H$6:$H$405="")+(職員マスタ!$H$6:$H$405&gt;=$AO2316))&gt;0)*(ROW(職員マスタ!$A$6:$A$405)-5))),IFERROR(MATCH($B2316,職員マスタ!$A$6:$A$405,0),"")))</f>
        <v/>
      </c>
      <c r="AO2316" s="16">
        <f>IF(OR($B2316="",$C2316="",$D2316=""),"",DATE($C2316+2018,$D2316,1))</f>
        <v/>
      </c>
    </row>
    <row r="2317">
      <c r="A2317" s="11" t="n"/>
      <c r="B2317" s="12" t="n"/>
      <c r="C2317" s="12" t="n"/>
      <c r="D2317" s="12" t="n"/>
      <c r="E2317" s="13" t="n"/>
      <c r="F2317" s="12" t="n"/>
      <c r="G2317" s="13" t="n"/>
      <c r="H2317" s="12" t="n"/>
      <c r="I2317" s="12" t="n"/>
      <c r="J2317" s="12" t="n"/>
      <c r="K2317" s="12" t="n"/>
      <c r="L2317" s="11" t="n"/>
      <c r="M2317" s="11" t="n"/>
      <c r="N2317" s="11" t="n"/>
      <c r="O2317" s="11" t="n"/>
      <c r="P2317" s="12" t="n"/>
      <c r="Q2317" s="11" t="n"/>
      <c r="R2317" s="12" t="n"/>
      <c r="S2317" s="11" t="n"/>
      <c r="T2317" s="12" t="n"/>
      <c r="U2317" s="12" t="n"/>
      <c r="V2317" s="14">
        <f>IF($AN2317="",IF($B2317="","",$H2317),IF(INDEX(職員マスタ!$B$6:$B$405,$AN2317)="",$H2317,INDEX(職員マスタ!$B$6:$B$405,$AN2317)))</f>
        <v/>
      </c>
      <c r="W2317" s="14">
        <f>IF($AN2317="",IF($B2317="","",$R2317),IF(INDEX(職員マスタ!$C$6:$C$405,$AN2317)="",$R2317,INDEX(職員マスタ!$C$6:$C$405,$AN2317)))</f>
        <v/>
      </c>
      <c r="X2317" s="14">
        <f>IF($AO2317="","","R"&amp;$C2317&amp;"."&amp;$D2317)</f>
        <v/>
      </c>
      <c r="Y2317" s="15">
        <f>IF($AN2317="","",IF(INDEX(職員マスタ!$K$6:$K$405,$AN2317)="","",INDEX(職員マスタ!$K$6:$K$405,$AN2317)))</f>
        <v/>
      </c>
      <c r="Z2317" s="14">
        <f>IF(OR($E2317="",$Y2317=""),"",IF($E2317&gt;=$Y2317,"×",IF($E2317&gt;=$Y2317*設定!$C$5,"△","○")))</f>
        <v/>
      </c>
      <c r="AA2317" s="15">
        <f>IF($Z2317="","",IF($Z2317="×",0,IF($Z2317="○",ROUNDDOWN($E2317*設定!$C$4,0),ROUNDDOWN($E2317*ROUND((9*$Y2317-9*$E2317)/(10*$E2317),4),0))))</f>
        <v/>
      </c>
      <c r="AB2317" s="13" t="n"/>
      <c r="AC2317" s="15">
        <f>IF($B2317="","",IF($AB2317&lt;&gt;"",$AB2317,IF($AA2317="","",IF($AA2317&lt;=設定!$C$3,0,$AA2317))))</f>
        <v/>
      </c>
      <c r="AD2317" s="14">
        <f>IF($B2317="","",IF(AND($AE2317&lt;&gt;"",$AG2317="",$AJ2317=""),"保留中",IF($AJ2317&lt;&gt;"",IF(N($AC2317)&gt;0,"支給済","不支給"),IF($AC2317="","要確認",IF($AC2317=0,"不支給","未処理")))))</f>
        <v/>
      </c>
      <c r="AE2317" s="12" t="n"/>
      <c r="AF2317" s="11" t="n"/>
      <c r="AG2317" s="11" t="n"/>
      <c r="AH2317" s="11" t="n"/>
      <c r="AI2317" s="14">
        <f>IF(AND($AD2317="保留中",$AF2317&lt;&gt;""),TODAY()-$AF2317,"")</f>
        <v/>
      </c>
      <c r="AJ2317" s="12" t="n"/>
      <c r="AK2317" s="14">
        <f>IF($B2317="","",IF($AO2317="","対象年月が未入力／","")&amp;IF($B2317="","",IF($AN2317="","職員マスタに未登録の職員番号／",IF($Y2317="","標準報酬月額が未登録／","")&amp;IF(AND($AO2317&lt;&gt;"",OR(AND(INDEX(職員マスタ!$G$6:$G$405,$AN2317)&lt;&gt;"",INDEX(職員マスタ!$G$6:$G$405,$AN2317)&gt;EOMONTH($AO2317,0)),AND(INDEX(職員マスタ!$H$6:$H$405,$AN2317)&lt;&gt;"",INDEX(職員マスタ!$H$6:$H$405,$AN2317)&lt;$AO2317))),"対象月が時短期間外／","")&amp;IF(AND(INDEX(職員マスタ!$F$6:$F$405,$AN2317)&lt;&gt;"",$AO2317&lt;&gt;"",INDEX(職員マスタ!$F$6:$F$405,$AN2317)&lt;$AO2317),"対象月に子が2歳到達済／","")&amp;IF(AND($H2317&lt;&gt;"",INDEX(職員マスタ!$B$6:$B$405,$AN2317)&lt;&gt;"",SUBSTITUTE(SUBSTITUTE($H2317," ","")," ","")&lt;&gt;SUBSTITUTE(SUBSTITUTE(INDEX(職員マスタ!$B$6:$B$405,$AN2317)," ","")," ","")),"氏名がマスタと相違／","")&amp;IF(AND($Q2317&lt;&gt;"",INDEX(職員マスタ!$E$6:$E$405,$AN2317)&lt;&gt;"",$Q2317&lt;&gt;INDEX(職員マスタ!$E$6:$E$405,$AN2317)),"子の生年月日がマスタと相違／","")&amp;IF(AND($L2317&lt;&gt;"",INDEX(職員マスタ!$G$6:$G$405,$AN2317)&lt;&gt;"",$L2317&lt;&gt;INDEX(職員マスタ!$G$6:$G$405,$AN2317)),"時短開始日がマスタと相違／","")&amp;IF(AND($M2317&lt;&gt;"",INDEX(職員マスタ!$H$6:$H$405,$AN2317)&lt;&gt;"",$M2317&lt;&gt;INDEX(職員マスタ!$H$6:$H$405,$AN2317)),"時短終了日がマスタと相違／","")))&amp;IF(AND($B2317&lt;&gt;"",$E2317=""),"報酬額が未入力／","")&amp;IF(N($U2317)&gt;0,"申請書に入力エラーが残っています／","")&amp;IF(AND($B2317&lt;&gt;"",$AO2317&lt;&gt;""),IF(COUNTIFS($B$6:$B$3005,$B2317,$C$6:$C$3005,$C2317,$D$6:$D$3005,$D2317)&gt;1,"同じ月の請求が重複しています／",""),"")&amp;IF(AND(N($E2317)&gt;0,$Z2317&lt;&gt;"",$Z2317&lt;&gt;"×",$AC2317=0,$AB2317=""),"計算額が下限以下のため不支給／",""))</f>
        <v/>
      </c>
      <c r="AL2317" s="12" t="n"/>
      <c r="AM2317" s="14">
        <f>IF($AD2317="保留中",COUNTIF($AD$6:$AD2317,"保留中"),"")</f>
        <v/>
      </c>
      <c r="AN2317" s="14">
        <f>IF($AO2317="","",IF(SUMPRODUCT(MAX((職員マスタ!$A$6:$A$405=$B2317)*(((職員マスタ!$G$6:$G$405="")+(職員マスタ!$G$6:$G$405&lt;=EOMONTH($AO2317,0)))&gt;0)*(((職員マスタ!$H$6:$H$405="")+(職員マスタ!$H$6:$H$405&gt;=$AO2317))&gt;0)*(ROW(職員マスタ!$A$6:$A$405)-5)))&gt;0,SUMPRODUCT(MAX((職員マスタ!$A$6:$A$405=$B2317)*(((職員マスタ!$G$6:$G$405="")+(職員マスタ!$G$6:$G$405&lt;=EOMONTH($AO2317,0)))&gt;0)*(((職員マスタ!$H$6:$H$405="")+(職員マスタ!$H$6:$H$405&gt;=$AO2317))&gt;0)*(ROW(職員マスタ!$A$6:$A$405)-5))),IFERROR(MATCH($B2317,職員マスタ!$A$6:$A$405,0),"")))</f>
        <v/>
      </c>
      <c r="AO2317" s="16">
        <f>IF(OR($B2317="",$C2317="",$D2317=""),"",DATE($C2317+2018,$D2317,1))</f>
        <v/>
      </c>
    </row>
    <row r="2318">
      <c r="A2318" s="11" t="n"/>
      <c r="B2318" s="12" t="n"/>
      <c r="C2318" s="12" t="n"/>
      <c r="D2318" s="12" t="n"/>
      <c r="E2318" s="13" t="n"/>
      <c r="F2318" s="12" t="n"/>
      <c r="G2318" s="13" t="n"/>
      <c r="H2318" s="12" t="n"/>
      <c r="I2318" s="12" t="n"/>
      <c r="J2318" s="12" t="n"/>
      <c r="K2318" s="12" t="n"/>
      <c r="L2318" s="11" t="n"/>
      <c r="M2318" s="11" t="n"/>
      <c r="N2318" s="11" t="n"/>
      <c r="O2318" s="11" t="n"/>
      <c r="P2318" s="12" t="n"/>
      <c r="Q2318" s="11" t="n"/>
      <c r="R2318" s="12" t="n"/>
      <c r="S2318" s="11" t="n"/>
      <c r="T2318" s="12" t="n"/>
      <c r="U2318" s="12" t="n"/>
      <c r="V2318" s="14">
        <f>IF($AN2318="",IF($B2318="","",$H2318),IF(INDEX(職員マスタ!$B$6:$B$405,$AN2318)="",$H2318,INDEX(職員マスタ!$B$6:$B$405,$AN2318)))</f>
        <v/>
      </c>
      <c r="W2318" s="14">
        <f>IF($AN2318="",IF($B2318="","",$R2318),IF(INDEX(職員マスタ!$C$6:$C$405,$AN2318)="",$R2318,INDEX(職員マスタ!$C$6:$C$405,$AN2318)))</f>
        <v/>
      </c>
      <c r="X2318" s="14">
        <f>IF($AO2318="","","R"&amp;$C2318&amp;"."&amp;$D2318)</f>
        <v/>
      </c>
      <c r="Y2318" s="15">
        <f>IF($AN2318="","",IF(INDEX(職員マスタ!$K$6:$K$405,$AN2318)="","",INDEX(職員マスタ!$K$6:$K$405,$AN2318)))</f>
        <v/>
      </c>
      <c r="Z2318" s="14">
        <f>IF(OR($E2318="",$Y2318=""),"",IF($E2318&gt;=$Y2318,"×",IF($E2318&gt;=$Y2318*設定!$C$5,"△","○")))</f>
        <v/>
      </c>
      <c r="AA2318" s="15">
        <f>IF($Z2318="","",IF($Z2318="×",0,IF($Z2318="○",ROUNDDOWN($E2318*設定!$C$4,0),ROUNDDOWN($E2318*ROUND((9*$Y2318-9*$E2318)/(10*$E2318),4),0))))</f>
        <v/>
      </c>
      <c r="AB2318" s="13" t="n"/>
      <c r="AC2318" s="15">
        <f>IF($B2318="","",IF($AB2318&lt;&gt;"",$AB2318,IF($AA2318="","",IF($AA2318&lt;=設定!$C$3,0,$AA2318))))</f>
        <v/>
      </c>
      <c r="AD2318" s="14">
        <f>IF($B2318="","",IF(AND($AE2318&lt;&gt;"",$AG2318="",$AJ2318=""),"保留中",IF($AJ2318&lt;&gt;"",IF(N($AC2318)&gt;0,"支給済","不支給"),IF($AC2318="","要確認",IF($AC2318=0,"不支給","未処理")))))</f>
        <v/>
      </c>
      <c r="AE2318" s="12" t="n"/>
      <c r="AF2318" s="11" t="n"/>
      <c r="AG2318" s="11" t="n"/>
      <c r="AH2318" s="11" t="n"/>
      <c r="AI2318" s="14">
        <f>IF(AND($AD2318="保留中",$AF2318&lt;&gt;""),TODAY()-$AF2318,"")</f>
        <v/>
      </c>
      <c r="AJ2318" s="12" t="n"/>
      <c r="AK2318" s="14">
        <f>IF($B2318="","",IF($AO2318="","対象年月が未入力／","")&amp;IF($B2318="","",IF($AN2318="","職員マスタに未登録の職員番号／",IF($Y2318="","標準報酬月額が未登録／","")&amp;IF(AND($AO2318&lt;&gt;"",OR(AND(INDEX(職員マスタ!$G$6:$G$405,$AN2318)&lt;&gt;"",INDEX(職員マスタ!$G$6:$G$405,$AN2318)&gt;EOMONTH($AO2318,0)),AND(INDEX(職員マスタ!$H$6:$H$405,$AN2318)&lt;&gt;"",INDEX(職員マスタ!$H$6:$H$405,$AN2318)&lt;$AO2318))),"対象月が時短期間外／","")&amp;IF(AND(INDEX(職員マスタ!$F$6:$F$405,$AN2318)&lt;&gt;"",$AO2318&lt;&gt;"",INDEX(職員マスタ!$F$6:$F$405,$AN2318)&lt;$AO2318),"対象月に子が2歳到達済／","")&amp;IF(AND($H2318&lt;&gt;"",INDEX(職員マスタ!$B$6:$B$405,$AN2318)&lt;&gt;"",SUBSTITUTE(SUBSTITUTE($H2318," ","")," ","")&lt;&gt;SUBSTITUTE(SUBSTITUTE(INDEX(職員マスタ!$B$6:$B$405,$AN2318)," ","")," ","")),"氏名がマスタと相違／","")&amp;IF(AND($Q2318&lt;&gt;"",INDEX(職員マスタ!$E$6:$E$405,$AN2318)&lt;&gt;"",$Q2318&lt;&gt;INDEX(職員マスタ!$E$6:$E$405,$AN2318)),"子の生年月日がマスタと相違／","")&amp;IF(AND($L2318&lt;&gt;"",INDEX(職員マスタ!$G$6:$G$405,$AN2318)&lt;&gt;"",$L2318&lt;&gt;INDEX(職員マスタ!$G$6:$G$405,$AN2318)),"時短開始日がマスタと相違／","")&amp;IF(AND($M2318&lt;&gt;"",INDEX(職員マスタ!$H$6:$H$405,$AN2318)&lt;&gt;"",$M2318&lt;&gt;INDEX(職員マスタ!$H$6:$H$405,$AN2318)),"時短終了日がマスタと相違／","")))&amp;IF(AND($B2318&lt;&gt;"",$E2318=""),"報酬額が未入力／","")&amp;IF(N($U2318)&gt;0,"申請書に入力エラーが残っています／","")&amp;IF(AND($B2318&lt;&gt;"",$AO2318&lt;&gt;""),IF(COUNTIFS($B$6:$B$3005,$B2318,$C$6:$C$3005,$C2318,$D$6:$D$3005,$D2318)&gt;1,"同じ月の請求が重複しています／",""),"")&amp;IF(AND(N($E2318)&gt;0,$Z2318&lt;&gt;"",$Z2318&lt;&gt;"×",$AC2318=0,$AB2318=""),"計算額が下限以下のため不支給／",""))</f>
        <v/>
      </c>
      <c r="AL2318" s="12" t="n"/>
      <c r="AM2318" s="14">
        <f>IF($AD2318="保留中",COUNTIF($AD$6:$AD2318,"保留中"),"")</f>
        <v/>
      </c>
      <c r="AN2318" s="14">
        <f>IF($AO2318="","",IF(SUMPRODUCT(MAX((職員マスタ!$A$6:$A$405=$B2318)*(((職員マスタ!$G$6:$G$405="")+(職員マスタ!$G$6:$G$405&lt;=EOMONTH($AO2318,0)))&gt;0)*(((職員マスタ!$H$6:$H$405="")+(職員マスタ!$H$6:$H$405&gt;=$AO2318))&gt;0)*(ROW(職員マスタ!$A$6:$A$405)-5)))&gt;0,SUMPRODUCT(MAX((職員マスタ!$A$6:$A$405=$B2318)*(((職員マスタ!$G$6:$G$405="")+(職員マスタ!$G$6:$G$405&lt;=EOMONTH($AO2318,0)))&gt;0)*(((職員マスタ!$H$6:$H$405="")+(職員マスタ!$H$6:$H$405&gt;=$AO2318))&gt;0)*(ROW(職員マスタ!$A$6:$A$405)-5))),IFERROR(MATCH($B2318,職員マスタ!$A$6:$A$405,0),"")))</f>
        <v/>
      </c>
      <c r="AO2318" s="16">
        <f>IF(OR($B2318="",$C2318="",$D2318=""),"",DATE($C2318+2018,$D2318,1))</f>
        <v/>
      </c>
    </row>
    <row r="2319">
      <c r="A2319" s="11" t="n"/>
      <c r="B2319" s="12" t="n"/>
      <c r="C2319" s="12" t="n"/>
      <c r="D2319" s="12" t="n"/>
      <c r="E2319" s="13" t="n"/>
      <c r="F2319" s="12" t="n"/>
      <c r="G2319" s="13" t="n"/>
      <c r="H2319" s="12" t="n"/>
      <c r="I2319" s="12" t="n"/>
      <c r="J2319" s="12" t="n"/>
      <c r="K2319" s="12" t="n"/>
      <c r="L2319" s="11" t="n"/>
      <c r="M2319" s="11" t="n"/>
      <c r="N2319" s="11" t="n"/>
      <c r="O2319" s="11" t="n"/>
      <c r="P2319" s="12" t="n"/>
      <c r="Q2319" s="11" t="n"/>
      <c r="R2319" s="12" t="n"/>
      <c r="S2319" s="11" t="n"/>
      <c r="T2319" s="12" t="n"/>
      <c r="U2319" s="12" t="n"/>
      <c r="V2319" s="14">
        <f>IF($AN2319="",IF($B2319="","",$H2319),IF(INDEX(職員マスタ!$B$6:$B$405,$AN2319)="",$H2319,INDEX(職員マスタ!$B$6:$B$405,$AN2319)))</f>
        <v/>
      </c>
      <c r="W2319" s="14">
        <f>IF($AN2319="",IF($B2319="","",$R2319),IF(INDEX(職員マスタ!$C$6:$C$405,$AN2319)="",$R2319,INDEX(職員マスタ!$C$6:$C$405,$AN2319)))</f>
        <v/>
      </c>
      <c r="X2319" s="14">
        <f>IF($AO2319="","","R"&amp;$C2319&amp;"."&amp;$D2319)</f>
        <v/>
      </c>
      <c r="Y2319" s="15">
        <f>IF($AN2319="","",IF(INDEX(職員マスタ!$K$6:$K$405,$AN2319)="","",INDEX(職員マスタ!$K$6:$K$405,$AN2319)))</f>
        <v/>
      </c>
      <c r="Z2319" s="14">
        <f>IF(OR($E2319="",$Y2319=""),"",IF($E2319&gt;=$Y2319,"×",IF($E2319&gt;=$Y2319*設定!$C$5,"△","○")))</f>
        <v/>
      </c>
      <c r="AA2319" s="15">
        <f>IF($Z2319="","",IF($Z2319="×",0,IF($Z2319="○",ROUNDDOWN($E2319*設定!$C$4,0),ROUNDDOWN($E2319*ROUND((9*$Y2319-9*$E2319)/(10*$E2319),4),0))))</f>
        <v/>
      </c>
      <c r="AB2319" s="13" t="n"/>
      <c r="AC2319" s="15">
        <f>IF($B2319="","",IF($AB2319&lt;&gt;"",$AB2319,IF($AA2319="","",IF($AA2319&lt;=設定!$C$3,0,$AA2319))))</f>
        <v/>
      </c>
      <c r="AD2319" s="14">
        <f>IF($B2319="","",IF(AND($AE2319&lt;&gt;"",$AG2319="",$AJ2319=""),"保留中",IF($AJ2319&lt;&gt;"",IF(N($AC2319)&gt;0,"支給済","不支給"),IF($AC2319="","要確認",IF($AC2319=0,"不支給","未処理")))))</f>
        <v/>
      </c>
      <c r="AE2319" s="12" t="n"/>
      <c r="AF2319" s="11" t="n"/>
      <c r="AG2319" s="11" t="n"/>
      <c r="AH2319" s="11" t="n"/>
      <c r="AI2319" s="14">
        <f>IF(AND($AD2319="保留中",$AF2319&lt;&gt;""),TODAY()-$AF2319,"")</f>
        <v/>
      </c>
      <c r="AJ2319" s="12" t="n"/>
      <c r="AK2319" s="14">
        <f>IF($B2319="","",IF($AO2319="","対象年月が未入力／","")&amp;IF($B2319="","",IF($AN2319="","職員マスタに未登録の職員番号／",IF($Y2319="","標準報酬月額が未登録／","")&amp;IF(AND($AO2319&lt;&gt;"",OR(AND(INDEX(職員マスタ!$G$6:$G$405,$AN2319)&lt;&gt;"",INDEX(職員マスタ!$G$6:$G$405,$AN2319)&gt;EOMONTH($AO2319,0)),AND(INDEX(職員マスタ!$H$6:$H$405,$AN2319)&lt;&gt;"",INDEX(職員マスタ!$H$6:$H$405,$AN2319)&lt;$AO2319))),"対象月が時短期間外／","")&amp;IF(AND(INDEX(職員マスタ!$F$6:$F$405,$AN2319)&lt;&gt;"",$AO2319&lt;&gt;"",INDEX(職員マスタ!$F$6:$F$405,$AN2319)&lt;$AO2319),"対象月に子が2歳到達済／","")&amp;IF(AND($H2319&lt;&gt;"",INDEX(職員マスタ!$B$6:$B$405,$AN2319)&lt;&gt;"",SUBSTITUTE(SUBSTITUTE($H2319," ","")," ","")&lt;&gt;SUBSTITUTE(SUBSTITUTE(INDEX(職員マスタ!$B$6:$B$405,$AN2319)," ","")," ","")),"氏名がマスタと相違／","")&amp;IF(AND($Q2319&lt;&gt;"",INDEX(職員マスタ!$E$6:$E$405,$AN2319)&lt;&gt;"",$Q2319&lt;&gt;INDEX(職員マスタ!$E$6:$E$405,$AN2319)),"子の生年月日がマスタと相違／","")&amp;IF(AND($L2319&lt;&gt;"",INDEX(職員マスタ!$G$6:$G$405,$AN2319)&lt;&gt;"",$L2319&lt;&gt;INDEX(職員マスタ!$G$6:$G$405,$AN2319)),"時短開始日がマスタと相違／","")&amp;IF(AND($M2319&lt;&gt;"",INDEX(職員マスタ!$H$6:$H$405,$AN2319)&lt;&gt;"",$M2319&lt;&gt;INDEX(職員マスタ!$H$6:$H$405,$AN2319)),"時短終了日がマスタと相違／","")))&amp;IF(AND($B2319&lt;&gt;"",$E2319=""),"報酬額が未入力／","")&amp;IF(N($U2319)&gt;0,"申請書に入力エラーが残っています／","")&amp;IF(AND($B2319&lt;&gt;"",$AO2319&lt;&gt;""),IF(COUNTIFS($B$6:$B$3005,$B2319,$C$6:$C$3005,$C2319,$D$6:$D$3005,$D2319)&gt;1,"同じ月の請求が重複しています／",""),"")&amp;IF(AND(N($E2319)&gt;0,$Z2319&lt;&gt;"",$Z2319&lt;&gt;"×",$AC2319=0,$AB2319=""),"計算額が下限以下のため不支給／",""))</f>
        <v/>
      </c>
      <c r="AL2319" s="12" t="n"/>
      <c r="AM2319" s="14">
        <f>IF($AD2319="保留中",COUNTIF($AD$6:$AD2319,"保留中"),"")</f>
        <v/>
      </c>
      <c r="AN2319" s="14">
        <f>IF($AO2319="","",IF(SUMPRODUCT(MAX((職員マスタ!$A$6:$A$405=$B2319)*(((職員マスタ!$G$6:$G$405="")+(職員マスタ!$G$6:$G$405&lt;=EOMONTH($AO2319,0)))&gt;0)*(((職員マスタ!$H$6:$H$405="")+(職員マスタ!$H$6:$H$405&gt;=$AO2319))&gt;0)*(ROW(職員マスタ!$A$6:$A$405)-5)))&gt;0,SUMPRODUCT(MAX((職員マスタ!$A$6:$A$405=$B2319)*(((職員マスタ!$G$6:$G$405="")+(職員マスタ!$G$6:$G$405&lt;=EOMONTH($AO2319,0)))&gt;0)*(((職員マスタ!$H$6:$H$405="")+(職員マスタ!$H$6:$H$405&gt;=$AO2319))&gt;0)*(ROW(職員マスタ!$A$6:$A$405)-5))),IFERROR(MATCH($B2319,職員マスタ!$A$6:$A$405,0),"")))</f>
        <v/>
      </c>
      <c r="AO2319" s="16">
        <f>IF(OR($B2319="",$C2319="",$D2319=""),"",DATE($C2319+2018,$D2319,1))</f>
        <v/>
      </c>
    </row>
    <row r="2320">
      <c r="A2320" s="11" t="n"/>
      <c r="B2320" s="12" t="n"/>
      <c r="C2320" s="12" t="n"/>
      <c r="D2320" s="12" t="n"/>
      <c r="E2320" s="13" t="n"/>
      <c r="F2320" s="12" t="n"/>
      <c r="G2320" s="13" t="n"/>
      <c r="H2320" s="12" t="n"/>
      <c r="I2320" s="12" t="n"/>
      <c r="J2320" s="12" t="n"/>
      <c r="K2320" s="12" t="n"/>
      <c r="L2320" s="11" t="n"/>
      <c r="M2320" s="11" t="n"/>
      <c r="N2320" s="11" t="n"/>
      <c r="O2320" s="11" t="n"/>
      <c r="P2320" s="12" t="n"/>
      <c r="Q2320" s="11" t="n"/>
      <c r="R2320" s="12" t="n"/>
      <c r="S2320" s="11" t="n"/>
      <c r="T2320" s="12" t="n"/>
      <c r="U2320" s="12" t="n"/>
      <c r="V2320" s="14">
        <f>IF($AN2320="",IF($B2320="","",$H2320),IF(INDEX(職員マスタ!$B$6:$B$405,$AN2320)="",$H2320,INDEX(職員マスタ!$B$6:$B$405,$AN2320)))</f>
        <v/>
      </c>
      <c r="W2320" s="14">
        <f>IF($AN2320="",IF($B2320="","",$R2320),IF(INDEX(職員マスタ!$C$6:$C$405,$AN2320)="",$R2320,INDEX(職員マスタ!$C$6:$C$405,$AN2320)))</f>
        <v/>
      </c>
      <c r="X2320" s="14">
        <f>IF($AO2320="","","R"&amp;$C2320&amp;"."&amp;$D2320)</f>
        <v/>
      </c>
      <c r="Y2320" s="15">
        <f>IF($AN2320="","",IF(INDEX(職員マスタ!$K$6:$K$405,$AN2320)="","",INDEX(職員マスタ!$K$6:$K$405,$AN2320)))</f>
        <v/>
      </c>
      <c r="Z2320" s="14">
        <f>IF(OR($E2320="",$Y2320=""),"",IF($E2320&gt;=$Y2320,"×",IF($E2320&gt;=$Y2320*設定!$C$5,"△","○")))</f>
        <v/>
      </c>
      <c r="AA2320" s="15">
        <f>IF($Z2320="","",IF($Z2320="×",0,IF($Z2320="○",ROUNDDOWN($E2320*設定!$C$4,0),ROUNDDOWN($E2320*ROUND((9*$Y2320-9*$E2320)/(10*$E2320),4),0))))</f>
        <v/>
      </c>
      <c r="AB2320" s="13" t="n"/>
      <c r="AC2320" s="15">
        <f>IF($B2320="","",IF($AB2320&lt;&gt;"",$AB2320,IF($AA2320="","",IF($AA2320&lt;=設定!$C$3,0,$AA2320))))</f>
        <v/>
      </c>
      <c r="AD2320" s="14">
        <f>IF($B2320="","",IF(AND($AE2320&lt;&gt;"",$AG2320="",$AJ2320=""),"保留中",IF($AJ2320&lt;&gt;"",IF(N($AC2320)&gt;0,"支給済","不支給"),IF($AC2320="","要確認",IF($AC2320=0,"不支給","未処理")))))</f>
        <v/>
      </c>
      <c r="AE2320" s="12" t="n"/>
      <c r="AF2320" s="11" t="n"/>
      <c r="AG2320" s="11" t="n"/>
      <c r="AH2320" s="11" t="n"/>
      <c r="AI2320" s="14">
        <f>IF(AND($AD2320="保留中",$AF2320&lt;&gt;""),TODAY()-$AF2320,"")</f>
        <v/>
      </c>
      <c r="AJ2320" s="12" t="n"/>
      <c r="AK2320" s="14">
        <f>IF($B2320="","",IF($AO2320="","対象年月が未入力／","")&amp;IF($B2320="","",IF($AN2320="","職員マスタに未登録の職員番号／",IF($Y2320="","標準報酬月額が未登録／","")&amp;IF(AND($AO2320&lt;&gt;"",OR(AND(INDEX(職員マスタ!$G$6:$G$405,$AN2320)&lt;&gt;"",INDEX(職員マスタ!$G$6:$G$405,$AN2320)&gt;EOMONTH($AO2320,0)),AND(INDEX(職員マスタ!$H$6:$H$405,$AN2320)&lt;&gt;"",INDEX(職員マスタ!$H$6:$H$405,$AN2320)&lt;$AO2320))),"対象月が時短期間外／","")&amp;IF(AND(INDEX(職員マスタ!$F$6:$F$405,$AN2320)&lt;&gt;"",$AO2320&lt;&gt;"",INDEX(職員マスタ!$F$6:$F$405,$AN2320)&lt;$AO2320),"対象月に子が2歳到達済／","")&amp;IF(AND($H2320&lt;&gt;"",INDEX(職員マスタ!$B$6:$B$405,$AN2320)&lt;&gt;"",SUBSTITUTE(SUBSTITUTE($H2320," ","")," ","")&lt;&gt;SUBSTITUTE(SUBSTITUTE(INDEX(職員マスタ!$B$6:$B$405,$AN2320)," ","")," ","")),"氏名がマスタと相違／","")&amp;IF(AND($Q2320&lt;&gt;"",INDEX(職員マスタ!$E$6:$E$405,$AN2320)&lt;&gt;"",$Q2320&lt;&gt;INDEX(職員マスタ!$E$6:$E$405,$AN2320)),"子の生年月日がマスタと相違／","")&amp;IF(AND($L2320&lt;&gt;"",INDEX(職員マスタ!$G$6:$G$405,$AN2320)&lt;&gt;"",$L2320&lt;&gt;INDEX(職員マスタ!$G$6:$G$405,$AN2320)),"時短開始日がマスタと相違／","")&amp;IF(AND($M2320&lt;&gt;"",INDEX(職員マスタ!$H$6:$H$405,$AN2320)&lt;&gt;"",$M2320&lt;&gt;INDEX(職員マスタ!$H$6:$H$405,$AN2320)),"時短終了日がマスタと相違／","")))&amp;IF(AND($B2320&lt;&gt;"",$E2320=""),"報酬額が未入力／","")&amp;IF(N($U2320)&gt;0,"申請書に入力エラーが残っています／","")&amp;IF(AND($B2320&lt;&gt;"",$AO2320&lt;&gt;""),IF(COUNTIFS($B$6:$B$3005,$B2320,$C$6:$C$3005,$C2320,$D$6:$D$3005,$D2320)&gt;1,"同じ月の請求が重複しています／",""),"")&amp;IF(AND(N($E2320)&gt;0,$Z2320&lt;&gt;"",$Z2320&lt;&gt;"×",$AC2320=0,$AB2320=""),"計算額が下限以下のため不支給／",""))</f>
        <v/>
      </c>
      <c r="AL2320" s="12" t="n"/>
      <c r="AM2320" s="14">
        <f>IF($AD2320="保留中",COUNTIF($AD$6:$AD2320,"保留中"),"")</f>
        <v/>
      </c>
      <c r="AN2320" s="14">
        <f>IF($AO2320="","",IF(SUMPRODUCT(MAX((職員マスタ!$A$6:$A$405=$B2320)*(((職員マスタ!$G$6:$G$405="")+(職員マスタ!$G$6:$G$405&lt;=EOMONTH($AO2320,0)))&gt;0)*(((職員マスタ!$H$6:$H$405="")+(職員マスタ!$H$6:$H$405&gt;=$AO2320))&gt;0)*(ROW(職員マスタ!$A$6:$A$405)-5)))&gt;0,SUMPRODUCT(MAX((職員マスタ!$A$6:$A$405=$B2320)*(((職員マスタ!$G$6:$G$405="")+(職員マスタ!$G$6:$G$405&lt;=EOMONTH($AO2320,0)))&gt;0)*(((職員マスタ!$H$6:$H$405="")+(職員マスタ!$H$6:$H$405&gt;=$AO2320))&gt;0)*(ROW(職員マスタ!$A$6:$A$405)-5))),IFERROR(MATCH($B2320,職員マスタ!$A$6:$A$405,0),"")))</f>
        <v/>
      </c>
      <c r="AO2320" s="16">
        <f>IF(OR($B2320="",$C2320="",$D2320=""),"",DATE($C2320+2018,$D2320,1))</f>
        <v/>
      </c>
    </row>
    <row r="2321">
      <c r="A2321" s="11" t="n"/>
      <c r="B2321" s="12" t="n"/>
      <c r="C2321" s="12" t="n"/>
      <c r="D2321" s="12" t="n"/>
      <c r="E2321" s="13" t="n"/>
      <c r="F2321" s="12" t="n"/>
      <c r="G2321" s="13" t="n"/>
      <c r="H2321" s="12" t="n"/>
      <c r="I2321" s="12" t="n"/>
      <c r="J2321" s="12" t="n"/>
      <c r="K2321" s="12" t="n"/>
      <c r="L2321" s="11" t="n"/>
      <c r="M2321" s="11" t="n"/>
      <c r="N2321" s="11" t="n"/>
      <c r="O2321" s="11" t="n"/>
      <c r="P2321" s="12" t="n"/>
      <c r="Q2321" s="11" t="n"/>
      <c r="R2321" s="12" t="n"/>
      <c r="S2321" s="11" t="n"/>
      <c r="T2321" s="12" t="n"/>
      <c r="U2321" s="12" t="n"/>
      <c r="V2321" s="14">
        <f>IF($AN2321="",IF($B2321="","",$H2321),IF(INDEX(職員マスタ!$B$6:$B$405,$AN2321)="",$H2321,INDEX(職員マスタ!$B$6:$B$405,$AN2321)))</f>
        <v/>
      </c>
      <c r="W2321" s="14">
        <f>IF($AN2321="",IF($B2321="","",$R2321),IF(INDEX(職員マスタ!$C$6:$C$405,$AN2321)="",$R2321,INDEX(職員マスタ!$C$6:$C$405,$AN2321)))</f>
        <v/>
      </c>
      <c r="X2321" s="14">
        <f>IF($AO2321="","","R"&amp;$C2321&amp;"."&amp;$D2321)</f>
        <v/>
      </c>
      <c r="Y2321" s="15">
        <f>IF($AN2321="","",IF(INDEX(職員マスタ!$K$6:$K$405,$AN2321)="","",INDEX(職員マスタ!$K$6:$K$405,$AN2321)))</f>
        <v/>
      </c>
      <c r="Z2321" s="14">
        <f>IF(OR($E2321="",$Y2321=""),"",IF($E2321&gt;=$Y2321,"×",IF($E2321&gt;=$Y2321*設定!$C$5,"△","○")))</f>
        <v/>
      </c>
      <c r="AA2321" s="15">
        <f>IF($Z2321="","",IF($Z2321="×",0,IF($Z2321="○",ROUNDDOWN($E2321*設定!$C$4,0),ROUNDDOWN($E2321*ROUND((9*$Y2321-9*$E2321)/(10*$E2321),4),0))))</f>
        <v/>
      </c>
      <c r="AB2321" s="13" t="n"/>
      <c r="AC2321" s="15">
        <f>IF($B2321="","",IF($AB2321&lt;&gt;"",$AB2321,IF($AA2321="","",IF($AA2321&lt;=設定!$C$3,0,$AA2321))))</f>
        <v/>
      </c>
      <c r="AD2321" s="14">
        <f>IF($B2321="","",IF(AND($AE2321&lt;&gt;"",$AG2321="",$AJ2321=""),"保留中",IF($AJ2321&lt;&gt;"",IF(N($AC2321)&gt;0,"支給済","不支給"),IF($AC2321="","要確認",IF($AC2321=0,"不支給","未処理")))))</f>
        <v/>
      </c>
      <c r="AE2321" s="12" t="n"/>
      <c r="AF2321" s="11" t="n"/>
      <c r="AG2321" s="11" t="n"/>
      <c r="AH2321" s="11" t="n"/>
      <c r="AI2321" s="14">
        <f>IF(AND($AD2321="保留中",$AF2321&lt;&gt;""),TODAY()-$AF2321,"")</f>
        <v/>
      </c>
      <c r="AJ2321" s="12" t="n"/>
      <c r="AK2321" s="14">
        <f>IF($B2321="","",IF($AO2321="","対象年月が未入力／","")&amp;IF($B2321="","",IF($AN2321="","職員マスタに未登録の職員番号／",IF($Y2321="","標準報酬月額が未登録／","")&amp;IF(AND($AO2321&lt;&gt;"",OR(AND(INDEX(職員マスタ!$G$6:$G$405,$AN2321)&lt;&gt;"",INDEX(職員マスタ!$G$6:$G$405,$AN2321)&gt;EOMONTH($AO2321,0)),AND(INDEX(職員マスタ!$H$6:$H$405,$AN2321)&lt;&gt;"",INDEX(職員マスタ!$H$6:$H$405,$AN2321)&lt;$AO2321))),"対象月が時短期間外／","")&amp;IF(AND(INDEX(職員マスタ!$F$6:$F$405,$AN2321)&lt;&gt;"",$AO2321&lt;&gt;"",INDEX(職員マスタ!$F$6:$F$405,$AN2321)&lt;$AO2321),"対象月に子が2歳到達済／","")&amp;IF(AND($H2321&lt;&gt;"",INDEX(職員マスタ!$B$6:$B$405,$AN2321)&lt;&gt;"",SUBSTITUTE(SUBSTITUTE($H2321," ","")," ","")&lt;&gt;SUBSTITUTE(SUBSTITUTE(INDEX(職員マスタ!$B$6:$B$405,$AN2321)," ","")," ","")),"氏名がマスタと相違／","")&amp;IF(AND($Q2321&lt;&gt;"",INDEX(職員マスタ!$E$6:$E$405,$AN2321)&lt;&gt;"",$Q2321&lt;&gt;INDEX(職員マスタ!$E$6:$E$405,$AN2321)),"子の生年月日がマスタと相違／","")&amp;IF(AND($L2321&lt;&gt;"",INDEX(職員マスタ!$G$6:$G$405,$AN2321)&lt;&gt;"",$L2321&lt;&gt;INDEX(職員マスタ!$G$6:$G$405,$AN2321)),"時短開始日がマスタと相違／","")&amp;IF(AND($M2321&lt;&gt;"",INDEX(職員マスタ!$H$6:$H$405,$AN2321)&lt;&gt;"",$M2321&lt;&gt;INDEX(職員マスタ!$H$6:$H$405,$AN2321)),"時短終了日がマスタと相違／","")))&amp;IF(AND($B2321&lt;&gt;"",$E2321=""),"報酬額が未入力／","")&amp;IF(N($U2321)&gt;0,"申請書に入力エラーが残っています／","")&amp;IF(AND($B2321&lt;&gt;"",$AO2321&lt;&gt;""),IF(COUNTIFS($B$6:$B$3005,$B2321,$C$6:$C$3005,$C2321,$D$6:$D$3005,$D2321)&gt;1,"同じ月の請求が重複しています／",""),"")&amp;IF(AND(N($E2321)&gt;0,$Z2321&lt;&gt;"",$Z2321&lt;&gt;"×",$AC2321=0,$AB2321=""),"計算額が下限以下のため不支給／",""))</f>
        <v/>
      </c>
      <c r="AL2321" s="12" t="n"/>
      <c r="AM2321" s="14">
        <f>IF($AD2321="保留中",COUNTIF($AD$6:$AD2321,"保留中"),"")</f>
        <v/>
      </c>
      <c r="AN2321" s="14">
        <f>IF($AO2321="","",IF(SUMPRODUCT(MAX((職員マスタ!$A$6:$A$405=$B2321)*(((職員マスタ!$G$6:$G$405="")+(職員マスタ!$G$6:$G$405&lt;=EOMONTH($AO2321,0)))&gt;0)*(((職員マスタ!$H$6:$H$405="")+(職員マスタ!$H$6:$H$405&gt;=$AO2321))&gt;0)*(ROW(職員マスタ!$A$6:$A$405)-5)))&gt;0,SUMPRODUCT(MAX((職員マスタ!$A$6:$A$405=$B2321)*(((職員マスタ!$G$6:$G$405="")+(職員マスタ!$G$6:$G$405&lt;=EOMONTH($AO2321,0)))&gt;0)*(((職員マスタ!$H$6:$H$405="")+(職員マスタ!$H$6:$H$405&gt;=$AO2321))&gt;0)*(ROW(職員マスタ!$A$6:$A$405)-5))),IFERROR(MATCH($B2321,職員マスタ!$A$6:$A$405,0),"")))</f>
        <v/>
      </c>
      <c r="AO2321" s="16">
        <f>IF(OR($B2321="",$C2321="",$D2321=""),"",DATE($C2321+2018,$D2321,1))</f>
        <v/>
      </c>
    </row>
    <row r="2322">
      <c r="A2322" s="11" t="n"/>
      <c r="B2322" s="12" t="n"/>
      <c r="C2322" s="12" t="n"/>
      <c r="D2322" s="12" t="n"/>
      <c r="E2322" s="13" t="n"/>
      <c r="F2322" s="12" t="n"/>
      <c r="G2322" s="13" t="n"/>
      <c r="H2322" s="12" t="n"/>
      <c r="I2322" s="12" t="n"/>
      <c r="J2322" s="12" t="n"/>
      <c r="K2322" s="12" t="n"/>
      <c r="L2322" s="11" t="n"/>
      <c r="M2322" s="11" t="n"/>
      <c r="N2322" s="11" t="n"/>
      <c r="O2322" s="11" t="n"/>
      <c r="P2322" s="12" t="n"/>
      <c r="Q2322" s="11" t="n"/>
      <c r="R2322" s="12" t="n"/>
      <c r="S2322" s="11" t="n"/>
      <c r="T2322" s="12" t="n"/>
      <c r="U2322" s="12" t="n"/>
      <c r="V2322" s="14">
        <f>IF($AN2322="",IF($B2322="","",$H2322),IF(INDEX(職員マスタ!$B$6:$B$405,$AN2322)="",$H2322,INDEX(職員マスタ!$B$6:$B$405,$AN2322)))</f>
        <v/>
      </c>
      <c r="W2322" s="14">
        <f>IF($AN2322="",IF($B2322="","",$R2322),IF(INDEX(職員マスタ!$C$6:$C$405,$AN2322)="",$R2322,INDEX(職員マスタ!$C$6:$C$405,$AN2322)))</f>
        <v/>
      </c>
      <c r="X2322" s="14">
        <f>IF($AO2322="","","R"&amp;$C2322&amp;"."&amp;$D2322)</f>
        <v/>
      </c>
      <c r="Y2322" s="15">
        <f>IF($AN2322="","",IF(INDEX(職員マスタ!$K$6:$K$405,$AN2322)="","",INDEX(職員マスタ!$K$6:$K$405,$AN2322)))</f>
        <v/>
      </c>
      <c r="Z2322" s="14">
        <f>IF(OR($E2322="",$Y2322=""),"",IF($E2322&gt;=$Y2322,"×",IF($E2322&gt;=$Y2322*設定!$C$5,"△","○")))</f>
        <v/>
      </c>
      <c r="AA2322" s="15">
        <f>IF($Z2322="","",IF($Z2322="×",0,IF($Z2322="○",ROUNDDOWN($E2322*設定!$C$4,0),ROUNDDOWN($E2322*ROUND((9*$Y2322-9*$E2322)/(10*$E2322),4),0))))</f>
        <v/>
      </c>
      <c r="AB2322" s="13" t="n"/>
      <c r="AC2322" s="15">
        <f>IF($B2322="","",IF($AB2322&lt;&gt;"",$AB2322,IF($AA2322="","",IF($AA2322&lt;=設定!$C$3,0,$AA2322))))</f>
        <v/>
      </c>
      <c r="AD2322" s="14">
        <f>IF($B2322="","",IF(AND($AE2322&lt;&gt;"",$AG2322="",$AJ2322=""),"保留中",IF($AJ2322&lt;&gt;"",IF(N($AC2322)&gt;0,"支給済","不支給"),IF($AC2322="","要確認",IF($AC2322=0,"不支給","未処理")))))</f>
        <v/>
      </c>
      <c r="AE2322" s="12" t="n"/>
      <c r="AF2322" s="11" t="n"/>
      <c r="AG2322" s="11" t="n"/>
      <c r="AH2322" s="11" t="n"/>
      <c r="AI2322" s="14">
        <f>IF(AND($AD2322="保留中",$AF2322&lt;&gt;""),TODAY()-$AF2322,"")</f>
        <v/>
      </c>
      <c r="AJ2322" s="12" t="n"/>
      <c r="AK2322" s="14">
        <f>IF($B2322="","",IF($AO2322="","対象年月が未入力／","")&amp;IF($B2322="","",IF($AN2322="","職員マスタに未登録の職員番号／",IF($Y2322="","標準報酬月額が未登録／","")&amp;IF(AND($AO2322&lt;&gt;"",OR(AND(INDEX(職員マスタ!$G$6:$G$405,$AN2322)&lt;&gt;"",INDEX(職員マスタ!$G$6:$G$405,$AN2322)&gt;EOMONTH($AO2322,0)),AND(INDEX(職員マスタ!$H$6:$H$405,$AN2322)&lt;&gt;"",INDEX(職員マスタ!$H$6:$H$405,$AN2322)&lt;$AO2322))),"対象月が時短期間外／","")&amp;IF(AND(INDEX(職員マスタ!$F$6:$F$405,$AN2322)&lt;&gt;"",$AO2322&lt;&gt;"",INDEX(職員マスタ!$F$6:$F$405,$AN2322)&lt;$AO2322),"対象月に子が2歳到達済／","")&amp;IF(AND($H2322&lt;&gt;"",INDEX(職員マスタ!$B$6:$B$405,$AN2322)&lt;&gt;"",SUBSTITUTE(SUBSTITUTE($H2322," ","")," ","")&lt;&gt;SUBSTITUTE(SUBSTITUTE(INDEX(職員マスタ!$B$6:$B$405,$AN2322)," ","")," ","")),"氏名がマスタと相違／","")&amp;IF(AND($Q2322&lt;&gt;"",INDEX(職員マスタ!$E$6:$E$405,$AN2322)&lt;&gt;"",$Q2322&lt;&gt;INDEX(職員マスタ!$E$6:$E$405,$AN2322)),"子の生年月日がマスタと相違／","")&amp;IF(AND($L2322&lt;&gt;"",INDEX(職員マスタ!$G$6:$G$405,$AN2322)&lt;&gt;"",$L2322&lt;&gt;INDEX(職員マスタ!$G$6:$G$405,$AN2322)),"時短開始日がマスタと相違／","")&amp;IF(AND($M2322&lt;&gt;"",INDEX(職員マスタ!$H$6:$H$405,$AN2322)&lt;&gt;"",$M2322&lt;&gt;INDEX(職員マスタ!$H$6:$H$405,$AN2322)),"時短終了日がマスタと相違／","")))&amp;IF(AND($B2322&lt;&gt;"",$E2322=""),"報酬額が未入力／","")&amp;IF(N($U2322)&gt;0,"申請書に入力エラーが残っています／","")&amp;IF(AND($B2322&lt;&gt;"",$AO2322&lt;&gt;""),IF(COUNTIFS($B$6:$B$3005,$B2322,$C$6:$C$3005,$C2322,$D$6:$D$3005,$D2322)&gt;1,"同じ月の請求が重複しています／",""),"")&amp;IF(AND(N($E2322)&gt;0,$Z2322&lt;&gt;"",$Z2322&lt;&gt;"×",$AC2322=0,$AB2322=""),"計算額が下限以下のため不支給／",""))</f>
        <v/>
      </c>
      <c r="AL2322" s="12" t="n"/>
      <c r="AM2322" s="14">
        <f>IF($AD2322="保留中",COUNTIF($AD$6:$AD2322,"保留中"),"")</f>
        <v/>
      </c>
      <c r="AN2322" s="14">
        <f>IF($AO2322="","",IF(SUMPRODUCT(MAX((職員マスタ!$A$6:$A$405=$B2322)*(((職員マスタ!$G$6:$G$405="")+(職員マスタ!$G$6:$G$405&lt;=EOMONTH($AO2322,0)))&gt;0)*(((職員マスタ!$H$6:$H$405="")+(職員マスタ!$H$6:$H$405&gt;=$AO2322))&gt;0)*(ROW(職員マスタ!$A$6:$A$405)-5)))&gt;0,SUMPRODUCT(MAX((職員マスタ!$A$6:$A$405=$B2322)*(((職員マスタ!$G$6:$G$405="")+(職員マスタ!$G$6:$G$405&lt;=EOMONTH($AO2322,0)))&gt;0)*(((職員マスタ!$H$6:$H$405="")+(職員マスタ!$H$6:$H$405&gt;=$AO2322))&gt;0)*(ROW(職員マスタ!$A$6:$A$405)-5))),IFERROR(MATCH($B2322,職員マスタ!$A$6:$A$405,0),"")))</f>
        <v/>
      </c>
      <c r="AO2322" s="16">
        <f>IF(OR($B2322="",$C2322="",$D2322=""),"",DATE($C2322+2018,$D2322,1))</f>
        <v/>
      </c>
    </row>
    <row r="2323">
      <c r="A2323" s="11" t="n"/>
      <c r="B2323" s="12" t="n"/>
      <c r="C2323" s="12" t="n"/>
      <c r="D2323" s="12" t="n"/>
      <c r="E2323" s="13" t="n"/>
      <c r="F2323" s="12" t="n"/>
      <c r="G2323" s="13" t="n"/>
      <c r="H2323" s="12" t="n"/>
      <c r="I2323" s="12" t="n"/>
      <c r="J2323" s="12" t="n"/>
      <c r="K2323" s="12" t="n"/>
      <c r="L2323" s="11" t="n"/>
      <c r="M2323" s="11" t="n"/>
      <c r="N2323" s="11" t="n"/>
      <c r="O2323" s="11" t="n"/>
      <c r="P2323" s="12" t="n"/>
      <c r="Q2323" s="11" t="n"/>
      <c r="R2323" s="12" t="n"/>
      <c r="S2323" s="11" t="n"/>
      <c r="T2323" s="12" t="n"/>
      <c r="U2323" s="12" t="n"/>
      <c r="V2323" s="14">
        <f>IF($AN2323="",IF($B2323="","",$H2323),IF(INDEX(職員マスタ!$B$6:$B$405,$AN2323)="",$H2323,INDEX(職員マスタ!$B$6:$B$405,$AN2323)))</f>
        <v/>
      </c>
      <c r="W2323" s="14">
        <f>IF($AN2323="",IF($B2323="","",$R2323),IF(INDEX(職員マスタ!$C$6:$C$405,$AN2323)="",$R2323,INDEX(職員マスタ!$C$6:$C$405,$AN2323)))</f>
        <v/>
      </c>
      <c r="X2323" s="14">
        <f>IF($AO2323="","","R"&amp;$C2323&amp;"."&amp;$D2323)</f>
        <v/>
      </c>
      <c r="Y2323" s="15">
        <f>IF($AN2323="","",IF(INDEX(職員マスタ!$K$6:$K$405,$AN2323)="","",INDEX(職員マスタ!$K$6:$K$405,$AN2323)))</f>
        <v/>
      </c>
      <c r="Z2323" s="14">
        <f>IF(OR($E2323="",$Y2323=""),"",IF($E2323&gt;=$Y2323,"×",IF($E2323&gt;=$Y2323*設定!$C$5,"△","○")))</f>
        <v/>
      </c>
      <c r="AA2323" s="15">
        <f>IF($Z2323="","",IF($Z2323="×",0,IF($Z2323="○",ROUNDDOWN($E2323*設定!$C$4,0),ROUNDDOWN($E2323*ROUND((9*$Y2323-9*$E2323)/(10*$E2323),4),0))))</f>
        <v/>
      </c>
      <c r="AB2323" s="13" t="n"/>
      <c r="AC2323" s="15">
        <f>IF($B2323="","",IF($AB2323&lt;&gt;"",$AB2323,IF($AA2323="","",IF($AA2323&lt;=設定!$C$3,0,$AA2323))))</f>
        <v/>
      </c>
      <c r="AD2323" s="14">
        <f>IF($B2323="","",IF(AND($AE2323&lt;&gt;"",$AG2323="",$AJ2323=""),"保留中",IF($AJ2323&lt;&gt;"",IF(N($AC2323)&gt;0,"支給済","不支給"),IF($AC2323="","要確認",IF($AC2323=0,"不支給","未処理")))))</f>
        <v/>
      </c>
      <c r="AE2323" s="12" t="n"/>
      <c r="AF2323" s="11" t="n"/>
      <c r="AG2323" s="11" t="n"/>
      <c r="AH2323" s="11" t="n"/>
      <c r="AI2323" s="14">
        <f>IF(AND($AD2323="保留中",$AF2323&lt;&gt;""),TODAY()-$AF2323,"")</f>
        <v/>
      </c>
      <c r="AJ2323" s="12" t="n"/>
      <c r="AK2323" s="14">
        <f>IF($B2323="","",IF($AO2323="","対象年月が未入力／","")&amp;IF($B2323="","",IF($AN2323="","職員マスタに未登録の職員番号／",IF($Y2323="","標準報酬月額が未登録／","")&amp;IF(AND($AO2323&lt;&gt;"",OR(AND(INDEX(職員マスタ!$G$6:$G$405,$AN2323)&lt;&gt;"",INDEX(職員マスタ!$G$6:$G$405,$AN2323)&gt;EOMONTH($AO2323,0)),AND(INDEX(職員マスタ!$H$6:$H$405,$AN2323)&lt;&gt;"",INDEX(職員マスタ!$H$6:$H$405,$AN2323)&lt;$AO2323))),"対象月が時短期間外／","")&amp;IF(AND(INDEX(職員マスタ!$F$6:$F$405,$AN2323)&lt;&gt;"",$AO2323&lt;&gt;"",INDEX(職員マスタ!$F$6:$F$405,$AN2323)&lt;$AO2323),"対象月に子が2歳到達済／","")&amp;IF(AND($H2323&lt;&gt;"",INDEX(職員マスタ!$B$6:$B$405,$AN2323)&lt;&gt;"",SUBSTITUTE(SUBSTITUTE($H2323," ","")," ","")&lt;&gt;SUBSTITUTE(SUBSTITUTE(INDEX(職員マスタ!$B$6:$B$405,$AN2323)," ","")," ","")),"氏名がマスタと相違／","")&amp;IF(AND($Q2323&lt;&gt;"",INDEX(職員マスタ!$E$6:$E$405,$AN2323)&lt;&gt;"",$Q2323&lt;&gt;INDEX(職員マスタ!$E$6:$E$405,$AN2323)),"子の生年月日がマスタと相違／","")&amp;IF(AND($L2323&lt;&gt;"",INDEX(職員マスタ!$G$6:$G$405,$AN2323)&lt;&gt;"",$L2323&lt;&gt;INDEX(職員マスタ!$G$6:$G$405,$AN2323)),"時短開始日がマスタと相違／","")&amp;IF(AND($M2323&lt;&gt;"",INDEX(職員マスタ!$H$6:$H$405,$AN2323)&lt;&gt;"",$M2323&lt;&gt;INDEX(職員マスタ!$H$6:$H$405,$AN2323)),"時短終了日がマスタと相違／","")))&amp;IF(AND($B2323&lt;&gt;"",$E2323=""),"報酬額が未入力／","")&amp;IF(N($U2323)&gt;0,"申請書に入力エラーが残っています／","")&amp;IF(AND($B2323&lt;&gt;"",$AO2323&lt;&gt;""),IF(COUNTIFS($B$6:$B$3005,$B2323,$C$6:$C$3005,$C2323,$D$6:$D$3005,$D2323)&gt;1,"同じ月の請求が重複しています／",""),"")&amp;IF(AND(N($E2323)&gt;0,$Z2323&lt;&gt;"",$Z2323&lt;&gt;"×",$AC2323=0,$AB2323=""),"計算額が下限以下のため不支給／",""))</f>
        <v/>
      </c>
      <c r="AL2323" s="12" t="n"/>
      <c r="AM2323" s="14">
        <f>IF($AD2323="保留中",COUNTIF($AD$6:$AD2323,"保留中"),"")</f>
        <v/>
      </c>
      <c r="AN2323" s="14">
        <f>IF($AO2323="","",IF(SUMPRODUCT(MAX((職員マスタ!$A$6:$A$405=$B2323)*(((職員マスタ!$G$6:$G$405="")+(職員マスタ!$G$6:$G$405&lt;=EOMONTH($AO2323,0)))&gt;0)*(((職員マスタ!$H$6:$H$405="")+(職員マスタ!$H$6:$H$405&gt;=$AO2323))&gt;0)*(ROW(職員マスタ!$A$6:$A$405)-5)))&gt;0,SUMPRODUCT(MAX((職員マスタ!$A$6:$A$405=$B2323)*(((職員マスタ!$G$6:$G$405="")+(職員マスタ!$G$6:$G$405&lt;=EOMONTH($AO2323,0)))&gt;0)*(((職員マスタ!$H$6:$H$405="")+(職員マスタ!$H$6:$H$405&gt;=$AO2323))&gt;0)*(ROW(職員マスタ!$A$6:$A$405)-5))),IFERROR(MATCH($B2323,職員マスタ!$A$6:$A$405,0),"")))</f>
        <v/>
      </c>
      <c r="AO2323" s="16">
        <f>IF(OR($B2323="",$C2323="",$D2323=""),"",DATE($C2323+2018,$D2323,1))</f>
        <v/>
      </c>
    </row>
    <row r="2324">
      <c r="A2324" s="11" t="n"/>
      <c r="B2324" s="12" t="n"/>
      <c r="C2324" s="12" t="n"/>
      <c r="D2324" s="12" t="n"/>
      <c r="E2324" s="13" t="n"/>
      <c r="F2324" s="12" t="n"/>
      <c r="G2324" s="13" t="n"/>
      <c r="H2324" s="12" t="n"/>
      <c r="I2324" s="12" t="n"/>
      <c r="J2324" s="12" t="n"/>
      <c r="K2324" s="12" t="n"/>
      <c r="L2324" s="11" t="n"/>
      <c r="M2324" s="11" t="n"/>
      <c r="N2324" s="11" t="n"/>
      <c r="O2324" s="11" t="n"/>
      <c r="P2324" s="12" t="n"/>
      <c r="Q2324" s="11" t="n"/>
      <c r="R2324" s="12" t="n"/>
      <c r="S2324" s="11" t="n"/>
      <c r="T2324" s="12" t="n"/>
      <c r="U2324" s="12" t="n"/>
      <c r="V2324" s="14">
        <f>IF($AN2324="",IF($B2324="","",$H2324),IF(INDEX(職員マスタ!$B$6:$B$405,$AN2324)="",$H2324,INDEX(職員マスタ!$B$6:$B$405,$AN2324)))</f>
        <v/>
      </c>
      <c r="W2324" s="14">
        <f>IF($AN2324="",IF($B2324="","",$R2324),IF(INDEX(職員マスタ!$C$6:$C$405,$AN2324)="",$R2324,INDEX(職員マスタ!$C$6:$C$405,$AN2324)))</f>
        <v/>
      </c>
      <c r="X2324" s="14">
        <f>IF($AO2324="","","R"&amp;$C2324&amp;"."&amp;$D2324)</f>
        <v/>
      </c>
      <c r="Y2324" s="15">
        <f>IF($AN2324="","",IF(INDEX(職員マスタ!$K$6:$K$405,$AN2324)="","",INDEX(職員マスタ!$K$6:$K$405,$AN2324)))</f>
        <v/>
      </c>
      <c r="Z2324" s="14">
        <f>IF(OR($E2324="",$Y2324=""),"",IF($E2324&gt;=$Y2324,"×",IF($E2324&gt;=$Y2324*設定!$C$5,"△","○")))</f>
        <v/>
      </c>
      <c r="AA2324" s="15">
        <f>IF($Z2324="","",IF($Z2324="×",0,IF($Z2324="○",ROUNDDOWN($E2324*設定!$C$4,0),ROUNDDOWN($E2324*ROUND((9*$Y2324-9*$E2324)/(10*$E2324),4),0))))</f>
        <v/>
      </c>
      <c r="AB2324" s="13" t="n"/>
      <c r="AC2324" s="15">
        <f>IF($B2324="","",IF($AB2324&lt;&gt;"",$AB2324,IF($AA2324="","",IF($AA2324&lt;=設定!$C$3,0,$AA2324))))</f>
        <v/>
      </c>
      <c r="AD2324" s="14">
        <f>IF($B2324="","",IF(AND($AE2324&lt;&gt;"",$AG2324="",$AJ2324=""),"保留中",IF($AJ2324&lt;&gt;"",IF(N($AC2324)&gt;0,"支給済","不支給"),IF($AC2324="","要確認",IF($AC2324=0,"不支給","未処理")))))</f>
        <v/>
      </c>
      <c r="AE2324" s="12" t="n"/>
      <c r="AF2324" s="11" t="n"/>
      <c r="AG2324" s="11" t="n"/>
      <c r="AH2324" s="11" t="n"/>
      <c r="AI2324" s="14">
        <f>IF(AND($AD2324="保留中",$AF2324&lt;&gt;""),TODAY()-$AF2324,"")</f>
        <v/>
      </c>
      <c r="AJ2324" s="12" t="n"/>
      <c r="AK2324" s="14">
        <f>IF($B2324="","",IF($AO2324="","対象年月が未入力／","")&amp;IF($B2324="","",IF($AN2324="","職員マスタに未登録の職員番号／",IF($Y2324="","標準報酬月額が未登録／","")&amp;IF(AND($AO2324&lt;&gt;"",OR(AND(INDEX(職員マスタ!$G$6:$G$405,$AN2324)&lt;&gt;"",INDEX(職員マスタ!$G$6:$G$405,$AN2324)&gt;EOMONTH($AO2324,0)),AND(INDEX(職員マスタ!$H$6:$H$405,$AN2324)&lt;&gt;"",INDEX(職員マスタ!$H$6:$H$405,$AN2324)&lt;$AO2324))),"対象月が時短期間外／","")&amp;IF(AND(INDEX(職員マスタ!$F$6:$F$405,$AN2324)&lt;&gt;"",$AO2324&lt;&gt;"",INDEX(職員マスタ!$F$6:$F$405,$AN2324)&lt;$AO2324),"対象月に子が2歳到達済／","")&amp;IF(AND($H2324&lt;&gt;"",INDEX(職員マスタ!$B$6:$B$405,$AN2324)&lt;&gt;"",SUBSTITUTE(SUBSTITUTE($H2324," ","")," ","")&lt;&gt;SUBSTITUTE(SUBSTITUTE(INDEX(職員マスタ!$B$6:$B$405,$AN2324)," ","")," ","")),"氏名がマスタと相違／","")&amp;IF(AND($Q2324&lt;&gt;"",INDEX(職員マスタ!$E$6:$E$405,$AN2324)&lt;&gt;"",$Q2324&lt;&gt;INDEX(職員マスタ!$E$6:$E$405,$AN2324)),"子の生年月日がマスタと相違／","")&amp;IF(AND($L2324&lt;&gt;"",INDEX(職員マスタ!$G$6:$G$405,$AN2324)&lt;&gt;"",$L2324&lt;&gt;INDEX(職員マスタ!$G$6:$G$405,$AN2324)),"時短開始日がマスタと相違／","")&amp;IF(AND($M2324&lt;&gt;"",INDEX(職員マスタ!$H$6:$H$405,$AN2324)&lt;&gt;"",$M2324&lt;&gt;INDEX(職員マスタ!$H$6:$H$405,$AN2324)),"時短終了日がマスタと相違／","")))&amp;IF(AND($B2324&lt;&gt;"",$E2324=""),"報酬額が未入力／","")&amp;IF(N($U2324)&gt;0,"申請書に入力エラーが残っています／","")&amp;IF(AND($B2324&lt;&gt;"",$AO2324&lt;&gt;""),IF(COUNTIFS($B$6:$B$3005,$B2324,$C$6:$C$3005,$C2324,$D$6:$D$3005,$D2324)&gt;1,"同じ月の請求が重複しています／",""),"")&amp;IF(AND(N($E2324)&gt;0,$Z2324&lt;&gt;"",$Z2324&lt;&gt;"×",$AC2324=0,$AB2324=""),"計算額が下限以下のため不支給／",""))</f>
        <v/>
      </c>
      <c r="AL2324" s="12" t="n"/>
      <c r="AM2324" s="14">
        <f>IF($AD2324="保留中",COUNTIF($AD$6:$AD2324,"保留中"),"")</f>
        <v/>
      </c>
      <c r="AN2324" s="14">
        <f>IF($AO2324="","",IF(SUMPRODUCT(MAX((職員マスタ!$A$6:$A$405=$B2324)*(((職員マスタ!$G$6:$G$405="")+(職員マスタ!$G$6:$G$405&lt;=EOMONTH($AO2324,0)))&gt;0)*(((職員マスタ!$H$6:$H$405="")+(職員マスタ!$H$6:$H$405&gt;=$AO2324))&gt;0)*(ROW(職員マスタ!$A$6:$A$405)-5)))&gt;0,SUMPRODUCT(MAX((職員マスタ!$A$6:$A$405=$B2324)*(((職員マスタ!$G$6:$G$405="")+(職員マスタ!$G$6:$G$405&lt;=EOMONTH($AO2324,0)))&gt;0)*(((職員マスタ!$H$6:$H$405="")+(職員マスタ!$H$6:$H$405&gt;=$AO2324))&gt;0)*(ROW(職員マスタ!$A$6:$A$405)-5))),IFERROR(MATCH($B2324,職員マスタ!$A$6:$A$405,0),"")))</f>
        <v/>
      </c>
      <c r="AO2324" s="16">
        <f>IF(OR($B2324="",$C2324="",$D2324=""),"",DATE($C2324+2018,$D2324,1))</f>
        <v/>
      </c>
    </row>
    <row r="2325">
      <c r="A2325" s="11" t="n"/>
      <c r="B2325" s="12" t="n"/>
      <c r="C2325" s="12" t="n"/>
      <c r="D2325" s="12" t="n"/>
      <c r="E2325" s="13" t="n"/>
      <c r="F2325" s="12" t="n"/>
      <c r="G2325" s="13" t="n"/>
      <c r="H2325" s="12" t="n"/>
      <c r="I2325" s="12" t="n"/>
      <c r="J2325" s="12" t="n"/>
      <c r="K2325" s="12" t="n"/>
      <c r="L2325" s="11" t="n"/>
      <c r="M2325" s="11" t="n"/>
      <c r="N2325" s="11" t="n"/>
      <c r="O2325" s="11" t="n"/>
      <c r="P2325" s="12" t="n"/>
      <c r="Q2325" s="11" t="n"/>
      <c r="R2325" s="12" t="n"/>
      <c r="S2325" s="11" t="n"/>
      <c r="T2325" s="12" t="n"/>
      <c r="U2325" s="12" t="n"/>
      <c r="V2325" s="14">
        <f>IF($AN2325="",IF($B2325="","",$H2325),IF(INDEX(職員マスタ!$B$6:$B$405,$AN2325)="",$H2325,INDEX(職員マスタ!$B$6:$B$405,$AN2325)))</f>
        <v/>
      </c>
      <c r="W2325" s="14">
        <f>IF($AN2325="",IF($B2325="","",$R2325),IF(INDEX(職員マスタ!$C$6:$C$405,$AN2325)="",$R2325,INDEX(職員マスタ!$C$6:$C$405,$AN2325)))</f>
        <v/>
      </c>
      <c r="X2325" s="14">
        <f>IF($AO2325="","","R"&amp;$C2325&amp;"."&amp;$D2325)</f>
        <v/>
      </c>
      <c r="Y2325" s="15">
        <f>IF($AN2325="","",IF(INDEX(職員マスタ!$K$6:$K$405,$AN2325)="","",INDEX(職員マスタ!$K$6:$K$405,$AN2325)))</f>
        <v/>
      </c>
      <c r="Z2325" s="14">
        <f>IF(OR($E2325="",$Y2325=""),"",IF($E2325&gt;=$Y2325,"×",IF($E2325&gt;=$Y2325*設定!$C$5,"△","○")))</f>
        <v/>
      </c>
      <c r="AA2325" s="15">
        <f>IF($Z2325="","",IF($Z2325="×",0,IF($Z2325="○",ROUNDDOWN($E2325*設定!$C$4,0),ROUNDDOWN($E2325*ROUND((9*$Y2325-9*$E2325)/(10*$E2325),4),0))))</f>
        <v/>
      </c>
      <c r="AB2325" s="13" t="n"/>
      <c r="AC2325" s="15">
        <f>IF($B2325="","",IF($AB2325&lt;&gt;"",$AB2325,IF($AA2325="","",IF($AA2325&lt;=設定!$C$3,0,$AA2325))))</f>
        <v/>
      </c>
      <c r="AD2325" s="14">
        <f>IF($B2325="","",IF(AND($AE2325&lt;&gt;"",$AG2325="",$AJ2325=""),"保留中",IF($AJ2325&lt;&gt;"",IF(N($AC2325)&gt;0,"支給済","不支給"),IF($AC2325="","要確認",IF($AC2325=0,"不支給","未処理")))))</f>
        <v/>
      </c>
      <c r="AE2325" s="12" t="n"/>
      <c r="AF2325" s="11" t="n"/>
      <c r="AG2325" s="11" t="n"/>
      <c r="AH2325" s="11" t="n"/>
      <c r="AI2325" s="14">
        <f>IF(AND($AD2325="保留中",$AF2325&lt;&gt;""),TODAY()-$AF2325,"")</f>
        <v/>
      </c>
      <c r="AJ2325" s="12" t="n"/>
      <c r="AK2325" s="14">
        <f>IF($B2325="","",IF($AO2325="","対象年月が未入力／","")&amp;IF($B2325="","",IF($AN2325="","職員マスタに未登録の職員番号／",IF($Y2325="","標準報酬月額が未登録／","")&amp;IF(AND($AO2325&lt;&gt;"",OR(AND(INDEX(職員マスタ!$G$6:$G$405,$AN2325)&lt;&gt;"",INDEX(職員マスタ!$G$6:$G$405,$AN2325)&gt;EOMONTH($AO2325,0)),AND(INDEX(職員マスタ!$H$6:$H$405,$AN2325)&lt;&gt;"",INDEX(職員マスタ!$H$6:$H$405,$AN2325)&lt;$AO2325))),"対象月が時短期間外／","")&amp;IF(AND(INDEX(職員マスタ!$F$6:$F$405,$AN2325)&lt;&gt;"",$AO2325&lt;&gt;"",INDEX(職員マスタ!$F$6:$F$405,$AN2325)&lt;$AO2325),"対象月に子が2歳到達済／","")&amp;IF(AND($H2325&lt;&gt;"",INDEX(職員マスタ!$B$6:$B$405,$AN2325)&lt;&gt;"",SUBSTITUTE(SUBSTITUTE($H2325," ","")," ","")&lt;&gt;SUBSTITUTE(SUBSTITUTE(INDEX(職員マスタ!$B$6:$B$405,$AN2325)," ","")," ","")),"氏名がマスタと相違／","")&amp;IF(AND($Q2325&lt;&gt;"",INDEX(職員マスタ!$E$6:$E$405,$AN2325)&lt;&gt;"",$Q2325&lt;&gt;INDEX(職員マスタ!$E$6:$E$405,$AN2325)),"子の生年月日がマスタと相違／","")&amp;IF(AND($L2325&lt;&gt;"",INDEX(職員マスタ!$G$6:$G$405,$AN2325)&lt;&gt;"",$L2325&lt;&gt;INDEX(職員マスタ!$G$6:$G$405,$AN2325)),"時短開始日がマスタと相違／","")&amp;IF(AND($M2325&lt;&gt;"",INDEX(職員マスタ!$H$6:$H$405,$AN2325)&lt;&gt;"",$M2325&lt;&gt;INDEX(職員マスタ!$H$6:$H$405,$AN2325)),"時短終了日がマスタと相違／","")))&amp;IF(AND($B2325&lt;&gt;"",$E2325=""),"報酬額が未入力／","")&amp;IF(N($U2325)&gt;0,"申請書に入力エラーが残っています／","")&amp;IF(AND($B2325&lt;&gt;"",$AO2325&lt;&gt;""),IF(COUNTIFS($B$6:$B$3005,$B2325,$C$6:$C$3005,$C2325,$D$6:$D$3005,$D2325)&gt;1,"同じ月の請求が重複しています／",""),"")&amp;IF(AND(N($E2325)&gt;0,$Z2325&lt;&gt;"",$Z2325&lt;&gt;"×",$AC2325=0,$AB2325=""),"計算額が下限以下のため不支給／",""))</f>
        <v/>
      </c>
      <c r="AL2325" s="12" t="n"/>
      <c r="AM2325" s="14">
        <f>IF($AD2325="保留中",COUNTIF($AD$6:$AD2325,"保留中"),"")</f>
        <v/>
      </c>
      <c r="AN2325" s="14">
        <f>IF($AO2325="","",IF(SUMPRODUCT(MAX((職員マスタ!$A$6:$A$405=$B2325)*(((職員マスタ!$G$6:$G$405="")+(職員マスタ!$G$6:$G$405&lt;=EOMONTH($AO2325,0)))&gt;0)*(((職員マスタ!$H$6:$H$405="")+(職員マスタ!$H$6:$H$405&gt;=$AO2325))&gt;0)*(ROW(職員マスタ!$A$6:$A$405)-5)))&gt;0,SUMPRODUCT(MAX((職員マスタ!$A$6:$A$405=$B2325)*(((職員マスタ!$G$6:$G$405="")+(職員マスタ!$G$6:$G$405&lt;=EOMONTH($AO2325,0)))&gt;0)*(((職員マスタ!$H$6:$H$405="")+(職員マスタ!$H$6:$H$405&gt;=$AO2325))&gt;0)*(ROW(職員マスタ!$A$6:$A$405)-5))),IFERROR(MATCH($B2325,職員マスタ!$A$6:$A$405,0),"")))</f>
        <v/>
      </c>
      <c r="AO2325" s="16">
        <f>IF(OR($B2325="",$C2325="",$D2325=""),"",DATE($C2325+2018,$D2325,1))</f>
        <v/>
      </c>
    </row>
    <row r="2326">
      <c r="A2326" s="11" t="n"/>
      <c r="B2326" s="12" t="n"/>
      <c r="C2326" s="12" t="n"/>
      <c r="D2326" s="12" t="n"/>
      <c r="E2326" s="13" t="n"/>
      <c r="F2326" s="12" t="n"/>
      <c r="G2326" s="13" t="n"/>
      <c r="H2326" s="12" t="n"/>
      <c r="I2326" s="12" t="n"/>
      <c r="J2326" s="12" t="n"/>
      <c r="K2326" s="12" t="n"/>
      <c r="L2326" s="11" t="n"/>
      <c r="M2326" s="11" t="n"/>
      <c r="N2326" s="11" t="n"/>
      <c r="O2326" s="11" t="n"/>
      <c r="P2326" s="12" t="n"/>
      <c r="Q2326" s="11" t="n"/>
      <c r="R2326" s="12" t="n"/>
      <c r="S2326" s="11" t="n"/>
      <c r="T2326" s="12" t="n"/>
      <c r="U2326" s="12" t="n"/>
      <c r="V2326" s="14">
        <f>IF($AN2326="",IF($B2326="","",$H2326),IF(INDEX(職員マスタ!$B$6:$B$405,$AN2326)="",$H2326,INDEX(職員マスタ!$B$6:$B$405,$AN2326)))</f>
        <v/>
      </c>
      <c r="W2326" s="14">
        <f>IF($AN2326="",IF($B2326="","",$R2326),IF(INDEX(職員マスタ!$C$6:$C$405,$AN2326)="",$R2326,INDEX(職員マスタ!$C$6:$C$405,$AN2326)))</f>
        <v/>
      </c>
      <c r="X2326" s="14">
        <f>IF($AO2326="","","R"&amp;$C2326&amp;"."&amp;$D2326)</f>
        <v/>
      </c>
      <c r="Y2326" s="15">
        <f>IF($AN2326="","",IF(INDEX(職員マスタ!$K$6:$K$405,$AN2326)="","",INDEX(職員マスタ!$K$6:$K$405,$AN2326)))</f>
        <v/>
      </c>
      <c r="Z2326" s="14">
        <f>IF(OR($E2326="",$Y2326=""),"",IF($E2326&gt;=$Y2326,"×",IF($E2326&gt;=$Y2326*設定!$C$5,"△","○")))</f>
        <v/>
      </c>
      <c r="AA2326" s="15">
        <f>IF($Z2326="","",IF($Z2326="×",0,IF($Z2326="○",ROUNDDOWN($E2326*設定!$C$4,0),ROUNDDOWN($E2326*ROUND((9*$Y2326-9*$E2326)/(10*$E2326),4),0))))</f>
        <v/>
      </c>
      <c r="AB2326" s="13" t="n"/>
      <c r="AC2326" s="15">
        <f>IF($B2326="","",IF($AB2326&lt;&gt;"",$AB2326,IF($AA2326="","",IF($AA2326&lt;=設定!$C$3,0,$AA2326))))</f>
        <v/>
      </c>
      <c r="AD2326" s="14">
        <f>IF($B2326="","",IF(AND($AE2326&lt;&gt;"",$AG2326="",$AJ2326=""),"保留中",IF($AJ2326&lt;&gt;"",IF(N($AC2326)&gt;0,"支給済","不支給"),IF($AC2326="","要確認",IF($AC2326=0,"不支給","未処理")))))</f>
        <v/>
      </c>
      <c r="AE2326" s="12" t="n"/>
      <c r="AF2326" s="11" t="n"/>
      <c r="AG2326" s="11" t="n"/>
      <c r="AH2326" s="11" t="n"/>
      <c r="AI2326" s="14">
        <f>IF(AND($AD2326="保留中",$AF2326&lt;&gt;""),TODAY()-$AF2326,"")</f>
        <v/>
      </c>
      <c r="AJ2326" s="12" t="n"/>
      <c r="AK2326" s="14">
        <f>IF($B2326="","",IF($AO2326="","対象年月が未入力／","")&amp;IF($B2326="","",IF($AN2326="","職員マスタに未登録の職員番号／",IF($Y2326="","標準報酬月額が未登録／","")&amp;IF(AND($AO2326&lt;&gt;"",OR(AND(INDEX(職員マスタ!$G$6:$G$405,$AN2326)&lt;&gt;"",INDEX(職員マスタ!$G$6:$G$405,$AN2326)&gt;EOMONTH($AO2326,0)),AND(INDEX(職員マスタ!$H$6:$H$405,$AN2326)&lt;&gt;"",INDEX(職員マスタ!$H$6:$H$405,$AN2326)&lt;$AO2326))),"対象月が時短期間外／","")&amp;IF(AND(INDEX(職員マスタ!$F$6:$F$405,$AN2326)&lt;&gt;"",$AO2326&lt;&gt;"",INDEX(職員マスタ!$F$6:$F$405,$AN2326)&lt;$AO2326),"対象月に子が2歳到達済／","")&amp;IF(AND($H2326&lt;&gt;"",INDEX(職員マスタ!$B$6:$B$405,$AN2326)&lt;&gt;"",SUBSTITUTE(SUBSTITUTE($H2326," ","")," ","")&lt;&gt;SUBSTITUTE(SUBSTITUTE(INDEX(職員マスタ!$B$6:$B$405,$AN2326)," ","")," ","")),"氏名がマスタと相違／","")&amp;IF(AND($Q2326&lt;&gt;"",INDEX(職員マスタ!$E$6:$E$405,$AN2326)&lt;&gt;"",$Q2326&lt;&gt;INDEX(職員マスタ!$E$6:$E$405,$AN2326)),"子の生年月日がマスタと相違／","")&amp;IF(AND($L2326&lt;&gt;"",INDEX(職員マスタ!$G$6:$G$405,$AN2326)&lt;&gt;"",$L2326&lt;&gt;INDEX(職員マスタ!$G$6:$G$405,$AN2326)),"時短開始日がマスタと相違／","")&amp;IF(AND($M2326&lt;&gt;"",INDEX(職員マスタ!$H$6:$H$405,$AN2326)&lt;&gt;"",$M2326&lt;&gt;INDEX(職員マスタ!$H$6:$H$405,$AN2326)),"時短終了日がマスタと相違／","")))&amp;IF(AND($B2326&lt;&gt;"",$E2326=""),"報酬額が未入力／","")&amp;IF(N($U2326)&gt;0,"申請書に入力エラーが残っています／","")&amp;IF(AND($B2326&lt;&gt;"",$AO2326&lt;&gt;""),IF(COUNTIFS($B$6:$B$3005,$B2326,$C$6:$C$3005,$C2326,$D$6:$D$3005,$D2326)&gt;1,"同じ月の請求が重複しています／",""),"")&amp;IF(AND(N($E2326)&gt;0,$Z2326&lt;&gt;"",$Z2326&lt;&gt;"×",$AC2326=0,$AB2326=""),"計算額が下限以下のため不支給／",""))</f>
        <v/>
      </c>
      <c r="AL2326" s="12" t="n"/>
      <c r="AM2326" s="14">
        <f>IF($AD2326="保留中",COUNTIF($AD$6:$AD2326,"保留中"),"")</f>
        <v/>
      </c>
      <c r="AN2326" s="14">
        <f>IF($AO2326="","",IF(SUMPRODUCT(MAX((職員マスタ!$A$6:$A$405=$B2326)*(((職員マスタ!$G$6:$G$405="")+(職員マスタ!$G$6:$G$405&lt;=EOMONTH($AO2326,0)))&gt;0)*(((職員マスタ!$H$6:$H$405="")+(職員マスタ!$H$6:$H$405&gt;=$AO2326))&gt;0)*(ROW(職員マスタ!$A$6:$A$405)-5)))&gt;0,SUMPRODUCT(MAX((職員マスタ!$A$6:$A$405=$B2326)*(((職員マスタ!$G$6:$G$405="")+(職員マスタ!$G$6:$G$405&lt;=EOMONTH($AO2326,0)))&gt;0)*(((職員マスタ!$H$6:$H$405="")+(職員マスタ!$H$6:$H$405&gt;=$AO2326))&gt;0)*(ROW(職員マスタ!$A$6:$A$405)-5))),IFERROR(MATCH($B2326,職員マスタ!$A$6:$A$405,0),"")))</f>
        <v/>
      </c>
      <c r="AO2326" s="16">
        <f>IF(OR($B2326="",$C2326="",$D2326=""),"",DATE($C2326+2018,$D2326,1))</f>
        <v/>
      </c>
    </row>
    <row r="2327">
      <c r="A2327" s="11" t="n"/>
      <c r="B2327" s="12" t="n"/>
      <c r="C2327" s="12" t="n"/>
      <c r="D2327" s="12" t="n"/>
      <c r="E2327" s="13" t="n"/>
      <c r="F2327" s="12" t="n"/>
      <c r="G2327" s="13" t="n"/>
      <c r="H2327" s="12" t="n"/>
      <c r="I2327" s="12" t="n"/>
      <c r="J2327" s="12" t="n"/>
      <c r="K2327" s="12" t="n"/>
      <c r="L2327" s="11" t="n"/>
      <c r="M2327" s="11" t="n"/>
      <c r="N2327" s="11" t="n"/>
      <c r="O2327" s="11" t="n"/>
      <c r="P2327" s="12" t="n"/>
      <c r="Q2327" s="11" t="n"/>
      <c r="R2327" s="12" t="n"/>
      <c r="S2327" s="11" t="n"/>
      <c r="T2327" s="12" t="n"/>
      <c r="U2327" s="12" t="n"/>
      <c r="V2327" s="14">
        <f>IF($AN2327="",IF($B2327="","",$H2327),IF(INDEX(職員マスタ!$B$6:$B$405,$AN2327)="",$H2327,INDEX(職員マスタ!$B$6:$B$405,$AN2327)))</f>
        <v/>
      </c>
      <c r="W2327" s="14">
        <f>IF($AN2327="",IF($B2327="","",$R2327),IF(INDEX(職員マスタ!$C$6:$C$405,$AN2327)="",$R2327,INDEX(職員マスタ!$C$6:$C$405,$AN2327)))</f>
        <v/>
      </c>
      <c r="X2327" s="14">
        <f>IF($AO2327="","","R"&amp;$C2327&amp;"."&amp;$D2327)</f>
        <v/>
      </c>
      <c r="Y2327" s="15">
        <f>IF($AN2327="","",IF(INDEX(職員マスタ!$K$6:$K$405,$AN2327)="","",INDEX(職員マスタ!$K$6:$K$405,$AN2327)))</f>
        <v/>
      </c>
      <c r="Z2327" s="14">
        <f>IF(OR($E2327="",$Y2327=""),"",IF($E2327&gt;=$Y2327,"×",IF($E2327&gt;=$Y2327*設定!$C$5,"△","○")))</f>
        <v/>
      </c>
      <c r="AA2327" s="15">
        <f>IF($Z2327="","",IF($Z2327="×",0,IF($Z2327="○",ROUNDDOWN($E2327*設定!$C$4,0),ROUNDDOWN($E2327*ROUND((9*$Y2327-9*$E2327)/(10*$E2327),4),0))))</f>
        <v/>
      </c>
      <c r="AB2327" s="13" t="n"/>
      <c r="AC2327" s="15">
        <f>IF($B2327="","",IF($AB2327&lt;&gt;"",$AB2327,IF($AA2327="","",IF($AA2327&lt;=設定!$C$3,0,$AA2327))))</f>
        <v/>
      </c>
      <c r="AD2327" s="14">
        <f>IF($B2327="","",IF(AND($AE2327&lt;&gt;"",$AG2327="",$AJ2327=""),"保留中",IF($AJ2327&lt;&gt;"",IF(N($AC2327)&gt;0,"支給済","不支給"),IF($AC2327="","要確認",IF($AC2327=0,"不支給","未処理")))))</f>
        <v/>
      </c>
      <c r="AE2327" s="12" t="n"/>
      <c r="AF2327" s="11" t="n"/>
      <c r="AG2327" s="11" t="n"/>
      <c r="AH2327" s="11" t="n"/>
      <c r="AI2327" s="14">
        <f>IF(AND($AD2327="保留中",$AF2327&lt;&gt;""),TODAY()-$AF2327,"")</f>
        <v/>
      </c>
      <c r="AJ2327" s="12" t="n"/>
      <c r="AK2327" s="14">
        <f>IF($B2327="","",IF($AO2327="","対象年月が未入力／","")&amp;IF($B2327="","",IF($AN2327="","職員マスタに未登録の職員番号／",IF($Y2327="","標準報酬月額が未登録／","")&amp;IF(AND($AO2327&lt;&gt;"",OR(AND(INDEX(職員マスタ!$G$6:$G$405,$AN2327)&lt;&gt;"",INDEX(職員マスタ!$G$6:$G$405,$AN2327)&gt;EOMONTH($AO2327,0)),AND(INDEX(職員マスタ!$H$6:$H$405,$AN2327)&lt;&gt;"",INDEX(職員マスタ!$H$6:$H$405,$AN2327)&lt;$AO2327))),"対象月が時短期間外／","")&amp;IF(AND(INDEX(職員マスタ!$F$6:$F$405,$AN2327)&lt;&gt;"",$AO2327&lt;&gt;"",INDEX(職員マスタ!$F$6:$F$405,$AN2327)&lt;$AO2327),"対象月に子が2歳到達済／","")&amp;IF(AND($H2327&lt;&gt;"",INDEX(職員マスタ!$B$6:$B$405,$AN2327)&lt;&gt;"",SUBSTITUTE(SUBSTITUTE($H2327," ","")," ","")&lt;&gt;SUBSTITUTE(SUBSTITUTE(INDEX(職員マスタ!$B$6:$B$405,$AN2327)," ","")," ","")),"氏名がマスタと相違／","")&amp;IF(AND($Q2327&lt;&gt;"",INDEX(職員マスタ!$E$6:$E$405,$AN2327)&lt;&gt;"",$Q2327&lt;&gt;INDEX(職員マスタ!$E$6:$E$405,$AN2327)),"子の生年月日がマスタと相違／","")&amp;IF(AND($L2327&lt;&gt;"",INDEX(職員マスタ!$G$6:$G$405,$AN2327)&lt;&gt;"",$L2327&lt;&gt;INDEX(職員マスタ!$G$6:$G$405,$AN2327)),"時短開始日がマスタと相違／","")&amp;IF(AND($M2327&lt;&gt;"",INDEX(職員マスタ!$H$6:$H$405,$AN2327)&lt;&gt;"",$M2327&lt;&gt;INDEX(職員マスタ!$H$6:$H$405,$AN2327)),"時短終了日がマスタと相違／","")))&amp;IF(AND($B2327&lt;&gt;"",$E2327=""),"報酬額が未入力／","")&amp;IF(N($U2327)&gt;0,"申請書に入力エラーが残っています／","")&amp;IF(AND($B2327&lt;&gt;"",$AO2327&lt;&gt;""),IF(COUNTIFS($B$6:$B$3005,$B2327,$C$6:$C$3005,$C2327,$D$6:$D$3005,$D2327)&gt;1,"同じ月の請求が重複しています／",""),"")&amp;IF(AND(N($E2327)&gt;0,$Z2327&lt;&gt;"",$Z2327&lt;&gt;"×",$AC2327=0,$AB2327=""),"計算額が下限以下のため不支給／",""))</f>
        <v/>
      </c>
      <c r="AL2327" s="12" t="n"/>
      <c r="AM2327" s="14">
        <f>IF($AD2327="保留中",COUNTIF($AD$6:$AD2327,"保留中"),"")</f>
        <v/>
      </c>
      <c r="AN2327" s="14">
        <f>IF($AO2327="","",IF(SUMPRODUCT(MAX((職員マスタ!$A$6:$A$405=$B2327)*(((職員マスタ!$G$6:$G$405="")+(職員マスタ!$G$6:$G$405&lt;=EOMONTH($AO2327,0)))&gt;0)*(((職員マスタ!$H$6:$H$405="")+(職員マスタ!$H$6:$H$405&gt;=$AO2327))&gt;0)*(ROW(職員マスタ!$A$6:$A$405)-5)))&gt;0,SUMPRODUCT(MAX((職員マスタ!$A$6:$A$405=$B2327)*(((職員マスタ!$G$6:$G$405="")+(職員マスタ!$G$6:$G$405&lt;=EOMONTH($AO2327,0)))&gt;0)*(((職員マスタ!$H$6:$H$405="")+(職員マスタ!$H$6:$H$405&gt;=$AO2327))&gt;0)*(ROW(職員マスタ!$A$6:$A$405)-5))),IFERROR(MATCH($B2327,職員マスタ!$A$6:$A$405,0),"")))</f>
        <v/>
      </c>
      <c r="AO2327" s="16">
        <f>IF(OR($B2327="",$C2327="",$D2327=""),"",DATE($C2327+2018,$D2327,1))</f>
        <v/>
      </c>
    </row>
    <row r="2328">
      <c r="A2328" s="11" t="n"/>
      <c r="B2328" s="12" t="n"/>
      <c r="C2328" s="12" t="n"/>
      <c r="D2328" s="12" t="n"/>
      <c r="E2328" s="13" t="n"/>
      <c r="F2328" s="12" t="n"/>
      <c r="G2328" s="13" t="n"/>
      <c r="H2328" s="12" t="n"/>
      <c r="I2328" s="12" t="n"/>
      <c r="J2328" s="12" t="n"/>
      <c r="K2328" s="12" t="n"/>
      <c r="L2328" s="11" t="n"/>
      <c r="M2328" s="11" t="n"/>
      <c r="N2328" s="11" t="n"/>
      <c r="O2328" s="11" t="n"/>
      <c r="P2328" s="12" t="n"/>
      <c r="Q2328" s="11" t="n"/>
      <c r="R2328" s="12" t="n"/>
      <c r="S2328" s="11" t="n"/>
      <c r="T2328" s="12" t="n"/>
      <c r="U2328" s="12" t="n"/>
      <c r="V2328" s="14">
        <f>IF($AN2328="",IF($B2328="","",$H2328),IF(INDEX(職員マスタ!$B$6:$B$405,$AN2328)="",$H2328,INDEX(職員マスタ!$B$6:$B$405,$AN2328)))</f>
        <v/>
      </c>
      <c r="W2328" s="14">
        <f>IF($AN2328="",IF($B2328="","",$R2328),IF(INDEX(職員マスタ!$C$6:$C$405,$AN2328)="",$R2328,INDEX(職員マスタ!$C$6:$C$405,$AN2328)))</f>
        <v/>
      </c>
      <c r="X2328" s="14">
        <f>IF($AO2328="","","R"&amp;$C2328&amp;"."&amp;$D2328)</f>
        <v/>
      </c>
      <c r="Y2328" s="15">
        <f>IF($AN2328="","",IF(INDEX(職員マスタ!$K$6:$K$405,$AN2328)="","",INDEX(職員マスタ!$K$6:$K$405,$AN2328)))</f>
        <v/>
      </c>
      <c r="Z2328" s="14">
        <f>IF(OR($E2328="",$Y2328=""),"",IF($E2328&gt;=$Y2328,"×",IF($E2328&gt;=$Y2328*設定!$C$5,"△","○")))</f>
        <v/>
      </c>
      <c r="AA2328" s="15">
        <f>IF($Z2328="","",IF($Z2328="×",0,IF($Z2328="○",ROUNDDOWN($E2328*設定!$C$4,0),ROUNDDOWN($E2328*ROUND((9*$Y2328-9*$E2328)/(10*$E2328),4),0))))</f>
        <v/>
      </c>
      <c r="AB2328" s="13" t="n"/>
      <c r="AC2328" s="15">
        <f>IF($B2328="","",IF($AB2328&lt;&gt;"",$AB2328,IF($AA2328="","",IF($AA2328&lt;=設定!$C$3,0,$AA2328))))</f>
        <v/>
      </c>
      <c r="AD2328" s="14">
        <f>IF($B2328="","",IF(AND($AE2328&lt;&gt;"",$AG2328="",$AJ2328=""),"保留中",IF($AJ2328&lt;&gt;"",IF(N($AC2328)&gt;0,"支給済","不支給"),IF($AC2328="","要確認",IF($AC2328=0,"不支給","未処理")))))</f>
        <v/>
      </c>
      <c r="AE2328" s="12" t="n"/>
      <c r="AF2328" s="11" t="n"/>
      <c r="AG2328" s="11" t="n"/>
      <c r="AH2328" s="11" t="n"/>
      <c r="AI2328" s="14">
        <f>IF(AND($AD2328="保留中",$AF2328&lt;&gt;""),TODAY()-$AF2328,"")</f>
        <v/>
      </c>
      <c r="AJ2328" s="12" t="n"/>
      <c r="AK2328" s="14">
        <f>IF($B2328="","",IF($AO2328="","対象年月が未入力／","")&amp;IF($B2328="","",IF($AN2328="","職員マスタに未登録の職員番号／",IF($Y2328="","標準報酬月額が未登録／","")&amp;IF(AND($AO2328&lt;&gt;"",OR(AND(INDEX(職員マスタ!$G$6:$G$405,$AN2328)&lt;&gt;"",INDEX(職員マスタ!$G$6:$G$405,$AN2328)&gt;EOMONTH($AO2328,0)),AND(INDEX(職員マスタ!$H$6:$H$405,$AN2328)&lt;&gt;"",INDEX(職員マスタ!$H$6:$H$405,$AN2328)&lt;$AO2328))),"対象月が時短期間外／","")&amp;IF(AND(INDEX(職員マスタ!$F$6:$F$405,$AN2328)&lt;&gt;"",$AO2328&lt;&gt;"",INDEX(職員マスタ!$F$6:$F$405,$AN2328)&lt;$AO2328),"対象月に子が2歳到達済／","")&amp;IF(AND($H2328&lt;&gt;"",INDEX(職員マスタ!$B$6:$B$405,$AN2328)&lt;&gt;"",SUBSTITUTE(SUBSTITUTE($H2328," ","")," ","")&lt;&gt;SUBSTITUTE(SUBSTITUTE(INDEX(職員マスタ!$B$6:$B$405,$AN2328)," ","")," ","")),"氏名がマスタと相違／","")&amp;IF(AND($Q2328&lt;&gt;"",INDEX(職員マスタ!$E$6:$E$405,$AN2328)&lt;&gt;"",$Q2328&lt;&gt;INDEX(職員マスタ!$E$6:$E$405,$AN2328)),"子の生年月日がマスタと相違／","")&amp;IF(AND($L2328&lt;&gt;"",INDEX(職員マスタ!$G$6:$G$405,$AN2328)&lt;&gt;"",$L2328&lt;&gt;INDEX(職員マスタ!$G$6:$G$405,$AN2328)),"時短開始日がマスタと相違／","")&amp;IF(AND($M2328&lt;&gt;"",INDEX(職員マスタ!$H$6:$H$405,$AN2328)&lt;&gt;"",$M2328&lt;&gt;INDEX(職員マスタ!$H$6:$H$405,$AN2328)),"時短終了日がマスタと相違／","")))&amp;IF(AND($B2328&lt;&gt;"",$E2328=""),"報酬額が未入力／","")&amp;IF(N($U2328)&gt;0,"申請書に入力エラーが残っています／","")&amp;IF(AND($B2328&lt;&gt;"",$AO2328&lt;&gt;""),IF(COUNTIFS($B$6:$B$3005,$B2328,$C$6:$C$3005,$C2328,$D$6:$D$3005,$D2328)&gt;1,"同じ月の請求が重複しています／",""),"")&amp;IF(AND(N($E2328)&gt;0,$Z2328&lt;&gt;"",$Z2328&lt;&gt;"×",$AC2328=0,$AB2328=""),"計算額が下限以下のため不支給／",""))</f>
        <v/>
      </c>
      <c r="AL2328" s="12" t="n"/>
      <c r="AM2328" s="14">
        <f>IF($AD2328="保留中",COUNTIF($AD$6:$AD2328,"保留中"),"")</f>
        <v/>
      </c>
      <c r="AN2328" s="14">
        <f>IF($AO2328="","",IF(SUMPRODUCT(MAX((職員マスタ!$A$6:$A$405=$B2328)*(((職員マスタ!$G$6:$G$405="")+(職員マスタ!$G$6:$G$405&lt;=EOMONTH($AO2328,0)))&gt;0)*(((職員マスタ!$H$6:$H$405="")+(職員マスタ!$H$6:$H$405&gt;=$AO2328))&gt;0)*(ROW(職員マスタ!$A$6:$A$405)-5)))&gt;0,SUMPRODUCT(MAX((職員マスタ!$A$6:$A$405=$B2328)*(((職員マスタ!$G$6:$G$405="")+(職員マスタ!$G$6:$G$405&lt;=EOMONTH($AO2328,0)))&gt;0)*(((職員マスタ!$H$6:$H$405="")+(職員マスタ!$H$6:$H$405&gt;=$AO2328))&gt;0)*(ROW(職員マスタ!$A$6:$A$405)-5))),IFERROR(MATCH($B2328,職員マスタ!$A$6:$A$405,0),"")))</f>
        <v/>
      </c>
      <c r="AO2328" s="16">
        <f>IF(OR($B2328="",$C2328="",$D2328=""),"",DATE($C2328+2018,$D2328,1))</f>
        <v/>
      </c>
    </row>
    <row r="2329">
      <c r="A2329" s="11" t="n"/>
      <c r="B2329" s="12" t="n"/>
      <c r="C2329" s="12" t="n"/>
      <c r="D2329" s="12" t="n"/>
      <c r="E2329" s="13" t="n"/>
      <c r="F2329" s="12" t="n"/>
      <c r="G2329" s="13" t="n"/>
      <c r="H2329" s="12" t="n"/>
      <c r="I2329" s="12" t="n"/>
      <c r="J2329" s="12" t="n"/>
      <c r="K2329" s="12" t="n"/>
      <c r="L2329" s="11" t="n"/>
      <c r="M2329" s="11" t="n"/>
      <c r="N2329" s="11" t="n"/>
      <c r="O2329" s="11" t="n"/>
      <c r="P2329" s="12" t="n"/>
      <c r="Q2329" s="11" t="n"/>
      <c r="R2329" s="12" t="n"/>
      <c r="S2329" s="11" t="n"/>
      <c r="T2329" s="12" t="n"/>
      <c r="U2329" s="12" t="n"/>
      <c r="V2329" s="14">
        <f>IF($AN2329="",IF($B2329="","",$H2329),IF(INDEX(職員マスタ!$B$6:$B$405,$AN2329)="",$H2329,INDEX(職員マスタ!$B$6:$B$405,$AN2329)))</f>
        <v/>
      </c>
      <c r="W2329" s="14">
        <f>IF($AN2329="",IF($B2329="","",$R2329),IF(INDEX(職員マスタ!$C$6:$C$405,$AN2329)="",$R2329,INDEX(職員マスタ!$C$6:$C$405,$AN2329)))</f>
        <v/>
      </c>
      <c r="X2329" s="14">
        <f>IF($AO2329="","","R"&amp;$C2329&amp;"."&amp;$D2329)</f>
        <v/>
      </c>
      <c r="Y2329" s="15">
        <f>IF($AN2329="","",IF(INDEX(職員マスタ!$K$6:$K$405,$AN2329)="","",INDEX(職員マスタ!$K$6:$K$405,$AN2329)))</f>
        <v/>
      </c>
      <c r="Z2329" s="14">
        <f>IF(OR($E2329="",$Y2329=""),"",IF($E2329&gt;=$Y2329,"×",IF($E2329&gt;=$Y2329*設定!$C$5,"△","○")))</f>
        <v/>
      </c>
      <c r="AA2329" s="15">
        <f>IF($Z2329="","",IF($Z2329="×",0,IF($Z2329="○",ROUNDDOWN($E2329*設定!$C$4,0),ROUNDDOWN($E2329*ROUND((9*$Y2329-9*$E2329)/(10*$E2329),4),0))))</f>
        <v/>
      </c>
      <c r="AB2329" s="13" t="n"/>
      <c r="AC2329" s="15">
        <f>IF($B2329="","",IF($AB2329&lt;&gt;"",$AB2329,IF($AA2329="","",IF($AA2329&lt;=設定!$C$3,0,$AA2329))))</f>
        <v/>
      </c>
      <c r="AD2329" s="14">
        <f>IF($B2329="","",IF(AND($AE2329&lt;&gt;"",$AG2329="",$AJ2329=""),"保留中",IF($AJ2329&lt;&gt;"",IF(N($AC2329)&gt;0,"支給済","不支給"),IF($AC2329="","要確認",IF($AC2329=0,"不支給","未処理")))))</f>
        <v/>
      </c>
      <c r="AE2329" s="12" t="n"/>
      <c r="AF2329" s="11" t="n"/>
      <c r="AG2329" s="11" t="n"/>
      <c r="AH2329" s="11" t="n"/>
      <c r="AI2329" s="14">
        <f>IF(AND($AD2329="保留中",$AF2329&lt;&gt;""),TODAY()-$AF2329,"")</f>
        <v/>
      </c>
      <c r="AJ2329" s="12" t="n"/>
      <c r="AK2329" s="14">
        <f>IF($B2329="","",IF($AO2329="","対象年月が未入力／","")&amp;IF($B2329="","",IF($AN2329="","職員マスタに未登録の職員番号／",IF($Y2329="","標準報酬月額が未登録／","")&amp;IF(AND($AO2329&lt;&gt;"",OR(AND(INDEX(職員マスタ!$G$6:$G$405,$AN2329)&lt;&gt;"",INDEX(職員マスタ!$G$6:$G$405,$AN2329)&gt;EOMONTH($AO2329,0)),AND(INDEX(職員マスタ!$H$6:$H$405,$AN2329)&lt;&gt;"",INDEX(職員マスタ!$H$6:$H$405,$AN2329)&lt;$AO2329))),"対象月が時短期間外／","")&amp;IF(AND(INDEX(職員マスタ!$F$6:$F$405,$AN2329)&lt;&gt;"",$AO2329&lt;&gt;"",INDEX(職員マスタ!$F$6:$F$405,$AN2329)&lt;$AO2329),"対象月に子が2歳到達済／","")&amp;IF(AND($H2329&lt;&gt;"",INDEX(職員マスタ!$B$6:$B$405,$AN2329)&lt;&gt;"",SUBSTITUTE(SUBSTITUTE($H2329," ","")," ","")&lt;&gt;SUBSTITUTE(SUBSTITUTE(INDEX(職員マスタ!$B$6:$B$405,$AN2329)," ","")," ","")),"氏名がマスタと相違／","")&amp;IF(AND($Q2329&lt;&gt;"",INDEX(職員マスタ!$E$6:$E$405,$AN2329)&lt;&gt;"",$Q2329&lt;&gt;INDEX(職員マスタ!$E$6:$E$405,$AN2329)),"子の生年月日がマスタと相違／","")&amp;IF(AND($L2329&lt;&gt;"",INDEX(職員マスタ!$G$6:$G$405,$AN2329)&lt;&gt;"",$L2329&lt;&gt;INDEX(職員マスタ!$G$6:$G$405,$AN2329)),"時短開始日がマスタと相違／","")&amp;IF(AND($M2329&lt;&gt;"",INDEX(職員マスタ!$H$6:$H$405,$AN2329)&lt;&gt;"",$M2329&lt;&gt;INDEX(職員マスタ!$H$6:$H$405,$AN2329)),"時短終了日がマスタと相違／","")))&amp;IF(AND($B2329&lt;&gt;"",$E2329=""),"報酬額が未入力／","")&amp;IF(N($U2329)&gt;0,"申請書に入力エラーが残っています／","")&amp;IF(AND($B2329&lt;&gt;"",$AO2329&lt;&gt;""),IF(COUNTIFS($B$6:$B$3005,$B2329,$C$6:$C$3005,$C2329,$D$6:$D$3005,$D2329)&gt;1,"同じ月の請求が重複しています／",""),"")&amp;IF(AND(N($E2329)&gt;0,$Z2329&lt;&gt;"",$Z2329&lt;&gt;"×",$AC2329=0,$AB2329=""),"計算額が下限以下のため不支給／",""))</f>
        <v/>
      </c>
      <c r="AL2329" s="12" t="n"/>
      <c r="AM2329" s="14">
        <f>IF($AD2329="保留中",COUNTIF($AD$6:$AD2329,"保留中"),"")</f>
        <v/>
      </c>
      <c r="AN2329" s="14">
        <f>IF($AO2329="","",IF(SUMPRODUCT(MAX((職員マスタ!$A$6:$A$405=$B2329)*(((職員マスタ!$G$6:$G$405="")+(職員マスタ!$G$6:$G$405&lt;=EOMONTH($AO2329,0)))&gt;0)*(((職員マスタ!$H$6:$H$405="")+(職員マスタ!$H$6:$H$405&gt;=$AO2329))&gt;0)*(ROW(職員マスタ!$A$6:$A$405)-5)))&gt;0,SUMPRODUCT(MAX((職員マスタ!$A$6:$A$405=$B2329)*(((職員マスタ!$G$6:$G$405="")+(職員マスタ!$G$6:$G$405&lt;=EOMONTH($AO2329,0)))&gt;0)*(((職員マスタ!$H$6:$H$405="")+(職員マスタ!$H$6:$H$405&gt;=$AO2329))&gt;0)*(ROW(職員マスタ!$A$6:$A$405)-5))),IFERROR(MATCH($B2329,職員マスタ!$A$6:$A$405,0),"")))</f>
        <v/>
      </c>
      <c r="AO2329" s="16">
        <f>IF(OR($B2329="",$C2329="",$D2329=""),"",DATE($C2329+2018,$D2329,1))</f>
        <v/>
      </c>
    </row>
    <row r="2330">
      <c r="A2330" s="11" t="n"/>
      <c r="B2330" s="12" t="n"/>
      <c r="C2330" s="12" t="n"/>
      <c r="D2330" s="12" t="n"/>
      <c r="E2330" s="13" t="n"/>
      <c r="F2330" s="12" t="n"/>
      <c r="G2330" s="13" t="n"/>
      <c r="H2330" s="12" t="n"/>
      <c r="I2330" s="12" t="n"/>
      <c r="J2330" s="12" t="n"/>
      <c r="K2330" s="12" t="n"/>
      <c r="L2330" s="11" t="n"/>
      <c r="M2330" s="11" t="n"/>
      <c r="N2330" s="11" t="n"/>
      <c r="O2330" s="11" t="n"/>
      <c r="P2330" s="12" t="n"/>
      <c r="Q2330" s="11" t="n"/>
      <c r="R2330" s="12" t="n"/>
      <c r="S2330" s="11" t="n"/>
      <c r="T2330" s="12" t="n"/>
      <c r="U2330" s="12" t="n"/>
      <c r="V2330" s="14">
        <f>IF($AN2330="",IF($B2330="","",$H2330),IF(INDEX(職員マスタ!$B$6:$B$405,$AN2330)="",$H2330,INDEX(職員マスタ!$B$6:$B$405,$AN2330)))</f>
        <v/>
      </c>
      <c r="W2330" s="14">
        <f>IF($AN2330="",IF($B2330="","",$R2330),IF(INDEX(職員マスタ!$C$6:$C$405,$AN2330)="",$R2330,INDEX(職員マスタ!$C$6:$C$405,$AN2330)))</f>
        <v/>
      </c>
      <c r="X2330" s="14">
        <f>IF($AO2330="","","R"&amp;$C2330&amp;"."&amp;$D2330)</f>
        <v/>
      </c>
      <c r="Y2330" s="15">
        <f>IF($AN2330="","",IF(INDEX(職員マスタ!$K$6:$K$405,$AN2330)="","",INDEX(職員マスタ!$K$6:$K$405,$AN2330)))</f>
        <v/>
      </c>
      <c r="Z2330" s="14">
        <f>IF(OR($E2330="",$Y2330=""),"",IF($E2330&gt;=$Y2330,"×",IF($E2330&gt;=$Y2330*設定!$C$5,"△","○")))</f>
        <v/>
      </c>
      <c r="AA2330" s="15">
        <f>IF($Z2330="","",IF($Z2330="×",0,IF($Z2330="○",ROUNDDOWN($E2330*設定!$C$4,0),ROUNDDOWN($E2330*ROUND((9*$Y2330-9*$E2330)/(10*$E2330),4),0))))</f>
        <v/>
      </c>
      <c r="AB2330" s="13" t="n"/>
      <c r="AC2330" s="15">
        <f>IF($B2330="","",IF($AB2330&lt;&gt;"",$AB2330,IF($AA2330="","",IF($AA2330&lt;=設定!$C$3,0,$AA2330))))</f>
        <v/>
      </c>
      <c r="AD2330" s="14">
        <f>IF($B2330="","",IF(AND($AE2330&lt;&gt;"",$AG2330="",$AJ2330=""),"保留中",IF($AJ2330&lt;&gt;"",IF(N($AC2330)&gt;0,"支給済","不支給"),IF($AC2330="","要確認",IF($AC2330=0,"不支給","未処理")))))</f>
        <v/>
      </c>
      <c r="AE2330" s="12" t="n"/>
      <c r="AF2330" s="11" t="n"/>
      <c r="AG2330" s="11" t="n"/>
      <c r="AH2330" s="11" t="n"/>
      <c r="AI2330" s="14">
        <f>IF(AND($AD2330="保留中",$AF2330&lt;&gt;""),TODAY()-$AF2330,"")</f>
        <v/>
      </c>
      <c r="AJ2330" s="12" t="n"/>
      <c r="AK2330" s="14">
        <f>IF($B2330="","",IF($AO2330="","対象年月が未入力／","")&amp;IF($B2330="","",IF($AN2330="","職員マスタに未登録の職員番号／",IF($Y2330="","標準報酬月額が未登録／","")&amp;IF(AND($AO2330&lt;&gt;"",OR(AND(INDEX(職員マスタ!$G$6:$G$405,$AN2330)&lt;&gt;"",INDEX(職員マスタ!$G$6:$G$405,$AN2330)&gt;EOMONTH($AO2330,0)),AND(INDEX(職員マスタ!$H$6:$H$405,$AN2330)&lt;&gt;"",INDEX(職員マスタ!$H$6:$H$405,$AN2330)&lt;$AO2330))),"対象月が時短期間外／","")&amp;IF(AND(INDEX(職員マスタ!$F$6:$F$405,$AN2330)&lt;&gt;"",$AO2330&lt;&gt;"",INDEX(職員マスタ!$F$6:$F$405,$AN2330)&lt;$AO2330),"対象月に子が2歳到達済／","")&amp;IF(AND($H2330&lt;&gt;"",INDEX(職員マスタ!$B$6:$B$405,$AN2330)&lt;&gt;"",SUBSTITUTE(SUBSTITUTE($H2330," ","")," ","")&lt;&gt;SUBSTITUTE(SUBSTITUTE(INDEX(職員マスタ!$B$6:$B$405,$AN2330)," ","")," ","")),"氏名がマスタと相違／","")&amp;IF(AND($Q2330&lt;&gt;"",INDEX(職員マスタ!$E$6:$E$405,$AN2330)&lt;&gt;"",$Q2330&lt;&gt;INDEX(職員マスタ!$E$6:$E$405,$AN2330)),"子の生年月日がマスタと相違／","")&amp;IF(AND($L2330&lt;&gt;"",INDEX(職員マスタ!$G$6:$G$405,$AN2330)&lt;&gt;"",$L2330&lt;&gt;INDEX(職員マスタ!$G$6:$G$405,$AN2330)),"時短開始日がマスタと相違／","")&amp;IF(AND($M2330&lt;&gt;"",INDEX(職員マスタ!$H$6:$H$405,$AN2330)&lt;&gt;"",$M2330&lt;&gt;INDEX(職員マスタ!$H$6:$H$405,$AN2330)),"時短終了日がマスタと相違／","")))&amp;IF(AND($B2330&lt;&gt;"",$E2330=""),"報酬額が未入力／","")&amp;IF(N($U2330)&gt;0,"申請書に入力エラーが残っています／","")&amp;IF(AND($B2330&lt;&gt;"",$AO2330&lt;&gt;""),IF(COUNTIFS($B$6:$B$3005,$B2330,$C$6:$C$3005,$C2330,$D$6:$D$3005,$D2330)&gt;1,"同じ月の請求が重複しています／",""),"")&amp;IF(AND(N($E2330)&gt;0,$Z2330&lt;&gt;"",$Z2330&lt;&gt;"×",$AC2330=0,$AB2330=""),"計算額が下限以下のため不支給／",""))</f>
        <v/>
      </c>
      <c r="AL2330" s="12" t="n"/>
      <c r="AM2330" s="14">
        <f>IF($AD2330="保留中",COUNTIF($AD$6:$AD2330,"保留中"),"")</f>
        <v/>
      </c>
      <c r="AN2330" s="14">
        <f>IF($AO2330="","",IF(SUMPRODUCT(MAX((職員マスタ!$A$6:$A$405=$B2330)*(((職員マスタ!$G$6:$G$405="")+(職員マスタ!$G$6:$G$405&lt;=EOMONTH($AO2330,0)))&gt;0)*(((職員マスタ!$H$6:$H$405="")+(職員マスタ!$H$6:$H$405&gt;=$AO2330))&gt;0)*(ROW(職員マスタ!$A$6:$A$405)-5)))&gt;0,SUMPRODUCT(MAX((職員マスタ!$A$6:$A$405=$B2330)*(((職員マスタ!$G$6:$G$405="")+(職員マスタ!$G$6:$G$405&lt;=EOMONTH($AO2330,0)))&gt;0)*(((職員マスタ!$H$6:$H$405="")+(職員マスタ!$H$6:$H$405&gt;=$AO2330))&gt;0)*(ROW(職員マスタ!$A$6:$A$405)-5))),IFERROR(MATCH($B2330,職員マスタ!$A$6:$A$405,0),"")))</f>
        <v/>
      </c>
      <c r="AO2330" s="16">
        <f>IF(OR($B2330="",$C2330="",$D2330=""),"",DATE($C2330+2018,$D2330,1))</f>
        <v/>
      </c>
    </row>
    <row r="2331">
      <c r="A2331" s="11" t="n"/>
      <c r="B2331" s="12" t="n"/>
      <c r="C2331" s="12" t="n"/>
      <c r="D2331" s="12" t="n"/>
      <c r="E2331" s="13" t="n"/>
      <c r="F2331" s="12" t="n"/>
      <c r="G2331" s="13" t="n"/>
      <c r="H2331" s="12" t="n"/>
      <c r="I2331" s="12" t="n"/>
      <c r="J2331" s="12" t="n"/>
      <c r="K2331" s="12" t="n"/>
      <c r="L2331" s="11" t="n"/>
      <c r="M2331" s="11" t="n"/>
      <c r="N2331" s="11" t="n"/>
      <c r="O2331" s="11" t="n"/>
      <c r="P2331" s="12" t="n"/>
      <c r="Q2331" s="11" t="n"/>
      <c r="R2331" s="12" t="n"/>
      <c r="S2331" s="11" t="n"/>
      <c r="T2331" s="12" t="n"/>
      <c r="U2331" s="12" t="n"/>
      <c r="V2331" s="14">
        <f>IF($AN2331="",IF($B2331="","",$H2331),IF(INDEX(職員マスタ!$B$6:$B$405,$AN2331)="",$H2331,INDEX(職員マスタ!$B$6:$B$405,$AN2331)))</f>
        <v/>
      </c>
      <c r="W2331" s="14">
        <f>IF($AN2331="",IF($B2331="","",$R2331),IF(INDEX(職員マスタ!$C$6:$C$405,$AN2331)="",$R2331,INDEX(職員マスタ!$C$6:$C$405,$AN2331)))</f>
        <v/>
      </c>
      <c r="X2331" s="14">
        <f>IF($AO2331="","","R"&amp;$C2331&amp;"."&amp;$D2331)</f>
        <v/>
      </c>
      <c r="Y2331" s="15">
        <f>IF($AN2331="","",IF(INDEX(職員マスタ!$K$6:$K$405,$AN2331)="","",INDEX(職員マスタ!$K$6:$K$405,$AN2331)))</f>
        <v/>
      </c>
      <c r="Z2331" s="14">
        <f>IF(OR($E2331="",$Y2331=""),"",IF($E2331&gt;=$Y2331,"×",IF($E2331&gt;=$Y2331*設定!$C$5,"△","○")))</f>
        <v/>
      </c>
      <c r="AA2331" s="15">
        <f>IF($Z2331="","",IF($Z2331="×",0,IF($Z2331="○",ROUNDDOWN($E2331*設定!$C$4,0),ROUNDDOWN($E2331*ROUND((9*$Y2331-9*$E2331)/(10*$E2331),4),0))))</f>
        <v/>
      </c>
      <c r="AB2331" s="13" t="n"/>
      <c r="AC2331" s="15">
        <f>IF($B2331="","",IF($AB2331&lt;&gt;"",$AB2331,IF($AA2331="","",IF($AA2331&lt;=設定!$C$3,0,$AA2331))))</f>
        <v/>
      </c>
      <c r="AD2331" s="14">
        <f>IF($B2331="","",IF(AND($AE2331&lt;&gt;"",$AG2331="",$AJ2331=""),"保留中",IF($AJ2331&lt;&gt;"",IF(N($AC2331)&gt;0,"支給済","不支給"),IF($AC2331="","要確認",IF($AC2331=0,"不支給","未処理")))))</f>
        <v/>
      </c>
      <c r="AE2331" s="12" t="n"/>
      <c r="AF2331" s="11" t="n"/>
      <c r="AG2331" s="11" t="n"/>
      <c r="AH2331" s="11" t="n"/>
      <c r="AI2331" s="14">
        <f>IF(AND($AD2331="保留中",$AF2331&lt;&gt;""),TODAY()-$AF2331,"")</f>
        <v/>
      </c>
      <c r="AJ2331" s="12" t="n"/>
      <c r="AK2331" s="14">
        <f>IF($B2331="","",IF($AO2331="","対象年月が未入力／","")&amp;IF($B2331="","",IF($AN2331="","職員マスタに未登録の職員番号／",IF($Y2331="","標準報酬月額が未登録／","")&amp;IF(AND($AO2331&lt;&gt;"",OR(AND(INDEX(職員マスタ!$G$6:$G$405,$AN2331)&lt;&gt;"",INDEX(職員マスタ!$G$6:$G$405,$AN2331)&gt;EOMONTH($AO2331,0)),AND(INDEX(職員マスタ!$H$6:$H$405,$AN2331)&lt;&gt;"",INDEX(職員マスタ!$H$6:$H$405,$AN2331)&lt;$AO2331))),"対象月が時短期間外／","")&amp;IF(AND(INDEX(職員マスタ!$F$6:$F$405,$AN2331)&lt;&gt;"",$AO2331&lt;&gt;"",INDEX(職員マスタ!$F$6:$F$405,$AN2331)&lt;$AO2331),"対象月に子が2歳到達済／","")&amp;IF(AND($H2331&lt;&gt;"",INDEX(職員マスタ!$B$6:$B$405,$AN2331)&lt;&gt;"",SUBSTITUTE(SUBSTITUTE($H2331," ","")," ","")&lt;&gt;SUBSTITUTE(SUBSTITUTE(INDEX(職員マスタ!$B$6:$B$405,$AN2331)," ","")," ","")),"氏名がマスタと相違／","")&amp;IF(AND($Q2331&lt;&gt;"",INDEX(職員マスタ!$E$6:$E$405,$AN2331)&lt;&gt;"",$Q2331&lt;&gt;INDEX(職員マスタ!$E$6:$E$405,$AN2331)),"子の生年月日がマスタと相違／","")&amp;IF(AND($L2331&lt;&gt;"",INDEX(職員マスタ!$G$6:$G$405,$AN2331)&lt;&gt;"",$L2331&lt;&gt;INDEX(職員マスタ!$G$6:$G$405,$AN2331)),"時短開始日がマスタと相違／","")&amp;IF(AND($M2331&lt;&gt;"",INDEX(職員マスタ!$H$6:$H$405,$AN2331)&lt;&gt;"",$M2331&lt;&gt;INDEX(職員マスタ!$H$6:$H$405,$AN2331)),"時短終了日がマスタと相違／","")))&amp;IF(AND($B2331&lt;&gt;"",$E2331=""),"報酬額が未入力／","")&amp;IF(N($U2331)&gt;0,"申請書に入力エラーが残っています／","")&amp;IF(AND($B2331&lt;&gt;"",$AO2331&lt;&gt;""),IF(COUNTIFS($B$6:$B$3005,$B2331,$C$6:$C$3005,$C2331,$D$6:$D$3005,$D2331)&gt;1,"同じ月の請求が重複しています／",""),"")&amp;IF(AND(N($E2331)&gt;0,$Z2331&lt;&gt;"",$Z2331&lt;&gt;"×",$AC2331=0,$AB2331=""),"計算額が下限以下のため不支給／",""))</f>
        <v/>
      </c>
      <c r="AL2331" s="12" t="n"/>
      <c r="AM2331" s="14">
        <f>IF($AD2331="保留中",COUNTIF($AD$6:$AD2331,"保留中"),"")</f>
        <v/>
      </c>
      <c r="AN2331" s="14">
        <f>IF($AO2331="","",IF(SUMPRODUCT(MAX((職員マスタ!$A$6:$A$405=$B2331)*(((職員マスタ!$G$6:$G$405="")+(職員マスタ!$G$6:$G$405&lt;=EOMONTH($AO2331,0)))&gt;0)*(((職員マスタ!$H$6:$H$405="")+(職員マスタ!$H$6:$H$405&gt;=$AO2331))&gt;0)*(ROW(職員マスタ!$A$6:$A$405)-5)))&gt;0,SUMPRODUCT(MAX((職員マスタ!$A$6:$A$405=$B2331)*(((職員マスタ!$G$6:$G$405="")+(職員マスタ!$G$6:$G$405&lt;=EOMONTH($AO2331,0)))&gt;0)*(((職員マスタ!$H$6:$H$405="")+(職員マスタ!$H$6:$H$405&gt;=$AO2331))&gt;0)*(ROW(職員マスタ!$A$6:$A$405)-5))),IFERROR(MATCH($B2331,職員マスタ!$A$6:$A$405,0),"")))</f>
        <v/>
      </c>
      <c r="AO2331" s="16">
        <f>IF(OR($B2331="",$C2331="",$D2331=""),"",DATE($C2331+2018,$D2331,1))</f>
        <v/>
      </c>
    </row>
    <row r="2332">
      <c r="A2332" s="11" t="n"/>
      <c r="B2332" s="12" t="n"/>
      <c r="C2332" s="12" t="n"/>
      <c r="D2332" s="12" t="n"/>
      <c r="E2332" s="13" t="n"/>
      <c r="F2332" s="12" t="n"/>
      <c r="G2332" s="13" t="n"/>
      <c r="H2332" s="12" t="n"/>
      <c r="I2332" s="12" t="n"/>
      <c r="J2332" s="12" t="n"/>
      <c r="K2332" s="12" t="n"/>
      <c r="L2332" s="11" t="n"/>
      <c r="M2332" s="11" t="n"/>
      <c r="N2332" s="11" t="n"/>
      <c r="O2332" s="11" t="n"/>
      <c r="P2332" s="12" t="n"/>
      <c r="Q2332" s="11" t="n"/>
      <c r="R2332" s="12" t="n"/>
      <c r="S2332" s="11" t="n"/>
      <c r="T2332" s="12" t="n"/>
      <c r="U2332" s="12" t="n"/>
      <c r="V2332" s="14">
        <f>IF($AN2332="",IF($B2332="","",$H2332),IF(INDEX(職員マスタ!$B$6:$B$405,$AN2332)="",$H2332,INDEX(職員マスタ!$B$6:$B$405,$AN2332)))</f>
        <v/>
      </c>
      <c r="W2332" s="14">
        <f>IF($AN2332="",IF($B2332="","",$R2332),IF(INDEX(職員マスタ!$C$6:$C$405,$AN2332)="",$R2332,INDEX(職員マスタ!$C$6:$C$405,$AN2332)))</f>
        <v/>
      </c>
      <c r="X2332" s="14">
        <f>IF($AO2332="","","R"&amp;$C2332&amp;"."&amp;$D2332)</f>
        <v/>
      </c>
      <c r="Y2332" s="15">
        <f>IF($AN2332="","",IF(INDEX(職員マスタ!$K$6:$K$405,$AN2332)="","",INDEX(職員マスタ!$K$6:$K$405,$AN2332)))</f>
        <v/>
      </c>
      <c r="Z2332" s="14">
        <f>IF(OR($E2332="",$Y2332=""),"",IF($E2332&gt;=$Y2332,"×",IF($E2332&gt;=$Y2332*設定!$C$5,"△","○")))</f>
        <v/>
      </c>
      <c r="AA2332" s="15">
        <f>IF($Z2332="","",IF($Z2332="×",0,IF($Z2332="○",ROUNDDOWN($E2332*設定!$C$4,0),ROUNDDOWN($E2332*ROUND((9*$Y2332-9*$E2332)/(10*$E2332),4),0))))</f>
        <v/>
      </c>
      <c r="AB2332" s="13" t="n"/>
      <c r="AC2332" s="15">
        <f>IF($B2332="","",IF($AB2332&lt;&gt;"",$AB2332,IF($AA2332="","",IF($AA2332&lt;=設定!$C$3,0,$AA2332))))</f>
        <v/>
      </c>
      <c r="AD2332" s="14">
        <f>IF($B2332="","",IF(AND($AE2332&lt;&gt;"",$AG2332="",$AJ2332=""),"保留中",IF($AJ2332&lt;&gt;"",IF(N($AC2332)&gt;0,"支給済","不支給"),IF($AC2332="","要確認",IF($AC2332=0,"不支給","未処理")))))</f>
        <v/>
      </c>
      <c r="AE2332" s="12" t="n"/>
      <c r="AF2332" s="11" t="n"/>
      <c r="AG2332" s="11" t="n"/>
      <c r="AH2332" s="11" t="n"/>
      <c r="AI2332" s="14">
        <f>IF(AND($AD2332="保留中",$AF2332&lt;&gt;""),TODAY()-$AF2332,"")</f>
        <v/>
      </c>
      <c r="AJ2332" s="12" t="n"/>
      <c r="AK2332" s="14">
        <f>IF($B2332="","",IF($AO2332="","対象年月が未入力／","")&amp;IF($B2332="","",IF($AN2332="","職員マスタに未登録の職員番号／",IF($Y2332="","標準報酬月額が未登録／","")&amp;IF(AND($AO2332&lt;&gt;"",OR(AND(INDEX(職員マスタ!$G$6:$G$405,$AN2332)&lt;&gt;"",INDEX(職員マスタ!$G$6:$G$405,$AN2332)&gt;EOMONTH($AO2332,0)),AND(INDEX(職員マスタ!$H$6:$H$405,$AN2332)&lt;&gt;"",INDEX(職員マスタ!$H$6:$H$405,$AN2332)&lt;$AO2332))),"対象月が時短期間外／","")&amp;IF(AND(INDEX(職員マスタ!$F$6:$F$405,$AN2332)&lt;&gt;"",$AO2332&lt;&gt;"",INDEX(職員マスタ!$F$6:$F$405,$AN2332)&lt;$AO2332),"対象月に子が2歳到達済／","")&amp;IF(AND($H2332&lt;&gt;"",INDEX(職員マスタ!$B$6:$B$405,$AN2332)&lt;&gt;"",SUBSTITUTE(SUBSTITUTE($H2332," ","")," ","")&lt;&gt;SUBSTITUTE(SUBSTITUTE(INDEX(職員マスタ!$B$6:$B$405,$AN2332)," ","")," ","")),"氏名がマスタと相違／","")&amp;IF(AND($Q2332&lt;&gt;"",INDEX(職員マスタ!$E$6:$E$405,$AN2332)&lt;&gt;"",$Q2332&lt;&gt;INDEX(職員マスタ!$E$6:$E$405,$AN2332)),"子の生年月日がマスタと相違／","")&amp;IF(AND($L2332&lt;&gt;"",INDEX(職員マスタ!$G$6:$G$405,$AN2332)&lt;&gt;"",$L2332&lt;&gt;INDEX(職員マスタ!$G$6:$G$405,$AN2332)),"時短開始日がマスタと相違／","")&amp;IF(AND($M2332&lt;&gt;"",INDEX(職員マスタ!$H$6:$H$405,$AN2332)&lt;&gt;"",$M2332&lt;&gt;INDEX(職員マスタ!$H$6:$H$405,$AN2332)),"時短終了日がマスタと相違／","")))&amp;IF(AND($B2332&lt;&gt;"",$E2332=""),"報酬額が未入力／","")&amp;IF(N($U2332)&gt;0,"申請書に入力エラーが残っています／","")&amp;IF(AND($B2332&lt;&gt;"",$AO2332&lt;&gt;""),IF(COUNTIFS($B$6:$B$3005,$B2332,$C$6:$C$3005,$C2332,$D$6:$D$3005,$D2332)&gt;1,"同じ月の請求が重複しています／",""),"")&amp;IF(AND(N($E2332)&gt;0,$Z2332&lt;&gt;"",$Z2332&lt;&gt;"×",$AC2332=0,$AB2332=""),"計算額が下限以下のため不支給／",""))</f>
        <v/>
      </c>
      <c r="AL2332" s="12" t="n"/>
      <c r="AM2332" s="14">
        <f>IF($AD2332="保留中",COUNTIF($AD$6:$AD2332,"保留中"),"")</f>
        <v/>
      </c>
      <c r="AN2332" s="14">
        <f>IF($AO2332="","",IF(SUMPRODUCT(MAX((職員マスタ!$A$6:$A$405=$B2332)*(((職員マスタ!$G$6:$G$405="")+(職員マスタ!$G$6:$G$405&lt;=EOMONTH($AO2332,0)))&gt;0)*(((職員マスタ!$H$6:$H$405="")+(職員マスタ!$H$6:$H$405&gt;=$AO2332))&gt;0)*(ROW(職員マスタ!$A$6:$A$405)-5)))&gt;0,SUMPRODUCT(MAX((職員マスタ!$A$6:$A$405=$B2332)*(((職員マスタ!$G$6:$G$405="")+(職員マスタ!$G$6:$G$405&lt;=EOMONTH($AO2332,0)))&gt;0)*(((職員マスタ!$H$6:$H$405="")+(職員マスタ!$H$6:$H$405&gt;=$AO2332))&gt;0)*(ROW(職員マスタ!$A$6:$A$405)-5))),IFERROR(MATCH($B2332,職員マスタ!$A$6:$A$405,0),"")))</f>
        <v/>
      </c>
      <c r="AO2332" s="16">
        <f>IF(OR($B2332="",$C2332="",$D2332=""),"",DATE($C2332+2018,$D2332,1))</f>
        <v/>
      </c>
    </row>
    <row r="2333">
      <c r="A2333" s="11" t="n"/>
      <c r="B2333" s="12" t="n"/>
      <c r="C2333" s="12" t="n"/>
      <c r="D2333" s="12" t="n"/>
      <c r="E2333" s="13" t="n"/>
      <c r="F2333" s="12" t="n"/>
      <c r="G2333" s="13" t="n"/>
      <c r="H2333" s="12" t="n"/>
      <c r="I2333" s="12" t="n"/>
      <c r="J2333" s="12" t="n"/>
      <c r="K2333" s="12" t="n"/>
      <c r="L2333" s="11" t="n"/>
      <c r="M2333" s="11" t="n"/>
      <c r="N2333" s="11" t="n"/>
      <c r="O2333" s="11" t="n"/>
      <c r="P2333" s="12" t="n"/>
      <c r="Q2333" s="11" t="n"/>
      <c r="R2333" s="12" t="n"/>
      <c r="S2333" s="11" t="n"/>
      <c r="T2333" s="12" t="n"/>
      <c r="U2333" s="12" t="n"/>
      <c r="V2333" s="14">
        <f>IF($AN2333="",IF($B2333="","",$H2333),IF(INDEX(職員マスタ!$B$6:$B$405,$AN2333)="",$H2333,INDEX(職員マスタ!$B$6:$B$405,$AN2333)))</f>
        <v/>
      </c>
      <c r="W2333" s="14">
        <f>IF($AN2333="",IF($B2333="","",$R2333),IF(INDEX(職員マスタ!$C$6:$C$405,$AN2333)="",$R2333,INDEX(職員マスタ!$C$6:$C$405,$AN2333)))</f>
        <v/>
      </c>
      <c r="X2333" s="14">
        <f>IF($AO2333="","","R"&amp;$C2333&amp;"."&amp;$D2333)</f>
        <v/>
      </c>
      <c r="Y2333" s="15">
        <f>IF($AN2333="","",IF(INDEX(職員マスタ!$K$6:$K$405,$AN2333)="","",INDEX(職員マスタ!$K$6:$K$405,$AN2333)))</f>
        <v/>
      </c>
      <c r="Z2333" s="14">
        <f>IF(OR($E2333="",$Y2333=""),"",IF($E2333&gt;=$Y2333,"×",IF($E2333&gt;=$Y2333*設定!$C$5,"△","○")))</f>
        <v/>
      </c>
      <c r="AA2333" s="15">
        <f>IF($Z2333="","",IF($Z2333="×",0,IF($Z2333="○",ROUNDDOWN($E2333*設定!$C$4,0),ROUNDDOWN($E2333*ROUND((9*$Y2333-9*$E2333)/(10*$E2333),4),0))))</f>
        <v/>
      </c>
      <c r="AB2333" s="13" t="n"/>
      <c r="AC2333" s="15">
        <f>IF($B2333="","",IF($AB2333&lt;&gt;"",$AB2333,IF($AA2333="","",IF($AA2333&lt;=設定!$C$3,0,$AA2333))))</f>
        <v/>
      </c>
      <c r="AD2333" s="14">
        <f>IF($B2333="","",IF(AND($AE2333&lt;&gt;"",$AG2333="",$AJ2333=""),"保留中",IF($AJ2333&lt;&gt;"",IF(N($AC2333)&gt;0,"支給済","不支給"),IF($AC2333="","要確認",IF($AC2333=0,"不支給","未処理")))))</f>
        <v/>
      </c>
      <c r="AE2333" s="12" t="n"/>
      <c r="AF2333" s="11" t="n"/>
      <c r="AG2333" s="11" t="n"/>
      <c r="AH2333" s="11" t="n"/>
      <c r="AI2333" s="14">
        <f>IF(AND($AD2333="保留中",$AF2333&lt;&gt;""),TODAY()-$AF2333,"")</f>
        <v/>
      </c>
      <c r="AJ2333" s="12" t="n"/>
      <c r="AK2333" s="14">
        <f>IF($B2333="","",IF($AO2333="","対象年月が未入力／","")&amp;IF($B2333="","",IF($AN2333="","職員マスタに未登録の職員番号／",IF($Y2333="","標準報酬月額が未登録／","")&amp;IF(AND($AO2333&lt;&gt;"",OR(AND(INDEX(職員マスタ!$G$6:$G$405,$AN2333)&lt;&gt;"",INDEX(職員マスタ!$G$6:$G$405,$AN2333)&gt;EOMONTH($AO2333,0)),AND(INDEX(職員マスタ!$H$6:$H$405,$AN2333)&lt;&gt;"",INDEX(職員マスタ!$H$6:$H$405,$AN2333)&lt;$AO2333))),"対象月が時短期間外／","")&amp;IF(AND(INDEX(職員マスタ!$F$6:$F$405,$AN2333)&lt;&gt;"",$AO2333&lt;&gt;"",INDEX(職員マスタ!$F$6:$F$405,$AN2333)&lt;$AO2333),"対象月に子が2歳到達済／","")&amp;IF(AND($H2333&lt;&gt;"",INDEX(職員マスタ!$B$6:$B$405,$AN2333)&lt;&gt;"",SUBSTITUTE(SUBSTITUTE($H2333," ","")," ","")&lt;&gt;SUBSTITUTE(SUBSTITUTE(INDEX(職員マスタ!$B$6:$B$405,$AN2333)," ","")," ","")),"氏名がマスタと相違／","")&amp;IF(AND($Q2333&lt;&gt;"",INDEX(職員マスタ!$E$6:$E$405,$AN2333)&lt;&gt;"",$Q2333&lt;&gt;INDEX(職員マスタ!$E$6:$E$405,$AN2333)),"子の生年月日がマスタと相違／","")&amp;IF(AND($L2333&lt;&gt;"",INDEX(職員マスタ!$G$6:$G$405,$AN2333)&lt;&gt;"",$L2333&lt;&gt;INDEX(職員マスタ!$G$6:$G$405,$AN2333)),"時短開始日がマスタと相違／","")&amp;IF(AND($M2333&lt;&gt;"",INDEX(職員マスタ!$H$6:$H$405,$AN2333)&lt;&gt;"",$M2333&lt;&gt;INDEX(職員マスタ!$H$6:$H$405,$AN2333)),"時短終了日がマスタと相違／","")))&amp;IF(AND($B2333&lt;&gt;"",$E2333=""),"報酬額が未入力／","")&amp;IF(N($U2333)&gt;0,"申請書に入力エラーが残っています／","")&amp;IF(AND($B2333&lt;&gt;"",$AO2333&lt;&gt;""),IF(COUNTIFS($B$6:$B$3005,$B2333,$C$6:$C$3005,$C2333,$D$6:$D$3005,$D2333)&gt;1,"同じ月の請求が重複しています／",""),"")&amp;IF(AND(N($E2333)&gt;0,$Z2333&lt;&gt;"",$Z2333&lt;&gt;"×",$AC2333=0,$AB2333=""),"計算額が下限以下のため不支給／",""))</f>
        <v/>
      </c>
      <c r="AL2333" s="12" t="n"/>
      <c r="AM2333" s="14">
        <f>IF($AD2333="保留中",COUNTIF($AD$6:$AD2333,"保留中"),"")</f>
        <v/>
      </c>
      <c r="AN2333" s="14">
        <f>IF($AO2333="","",IF(SUMPRODUCT(MAX((職員マスタ!$A$6:$A$405=$B2333)*(((職員マスタ!$G$6:$G$405="")+(職員マスタ!$G$6:$G$405&lt;=EOMONTH($AO2333,0)))&gt;0)*(((職員マスタ!$H$6:$H$405="")+(職員マスタ!$H$6:$H$405&gt;=$AO2333))&gt;0)*(ROW(職員マスタ!$A$6:$A$405)-5)))&gt;0,SUMPRODUCT(MAX((職員マスタ!$A$6:$A$405=$B2333)*(((職員マスタ!$G$6:$G$405="")+(職員マスタ!$G$6:$G$405&lt;=EOMONTH($AO2333,0)))&gt;0)*(((職員マスタ!$H$6:$H$405="")+(職員マスタ!$H$6:$H$405&gt;=$AO2333))&gt;0)*(ROW(職員マスタ!$A$6:$A$405)-5))),IFERROR(MATCH($B2333,職員マスタ!$A$6:$A$405,0),"")))</f>
        <v/>
      </c>
      <c r="AO2333" s="16">
        <f>IF(OR($B2333="",$C2333="",$D2333=""),"",DATE($C2333+2018,$D2333,1))</f>
        <v/>
      </c>
    </row>
    <row r="2334">
      <c r="A2334" s="11" t="n"/>
      <c r="B2334" s="12" t="n"/>
      <c r="C2334" s="12" t="n"/>
      <c r="D2334" s="12" t="n"/>
      <c r="E2334" s="13" t="n"/>
      <c r="F2334" s="12" t="n"/>
      <c r="G2334" s="13" t="n"/>
      <c r="H2334" s="12" t="n"/>
      <c r="I2334" s="12" t="n"/>
      <c r="J2334" s="12" t="n"/>
      <c r="K2334" s="12" t="n"/>
      <c r="L2334" s="11" t="n"/>
      <c r="M2334" s="11" t="n"/>
      <c r="N2334" s="11" t="n"/>
      <c r="O2334" s="11" t="n"/>
      <c r="P2334" s="12" t="n"/>
      <c r="Q2334" s="11" t="n"/>
      <c r="R2334" s="12" t="n"/>
      <c r="S2334" s="11" t="n"/>
      <c r="T2334" s="12" t="n"/>
      <c r="U2334" s="12" t="n"/>
      <c r="V2334" s="14">
        <f>IF($AN2334="",IF($B2334="","",$H2334),IF(INDEX(職員マスタ!$B$6:$B$405,$AN2334)="",$H2334,INDEX(職員マスタ!$B$6:$B$405,$AN2334)))</f>
        <v/>
      </c>
      <c r="W2334" s="14">
        <f>IF($AN2334="",IF($B2334="","",$R2334),IF(INDEX(職員マスタ!$C$6:$C$405,$AN2334)="",$R2334,INDEX(職員マスタ!$C$6:$C$405,$AN2334)))</f>
        <v/>
      </c>
      <c r="X2334" s="14">
        <f>IF($AO2334="","","R"&amp;$C2334&amp;"."&amp;$D2334)</f>
        <v/>
      </c>
      <c r="Y2334" s="15">
        <f>IF($AN2334="","",IF(INDEX(職員マスタ!$K$6:$K$405,$AN2334)="","",INDEX(職員マスタ!$K$6:$K$405,$AN2334)))</f>
        <v/>
      </c>
      <c r="Z2334" s="14">
        <f>IF(OR($E2334="",$Y2334=""),"",IF($E2334&gt;=$Y2334,"×",IF($E2334&gt;=$Y2334*設定!$C$5,"△","○")))</f>
        <v/>
      </c>
      <c r="AA2334" s="15">
        <f>IF($Z2334="","",IF($Z2334="×",0,IF($Z2334="○",ROUNDDOWN($E2334*設定!$C$4,0),ROUNDDOWN($E2334*ROUND((9*$Y2334-9*$E2334)/(10*$E2334),4),0))))</f>
        <v/>
      </c>
      <c r="AB2334" s="13" t="n"/>
      <c r="AC2334" s="15">
        <f>IF($B2334="","",IF($AB2334&lt;&gt;"",$AB2334,IF($AA2334="","",IF($AA2334&lt;=設定!$C$3,0,$AA2334))))</f>
        <v/>
      </c>
      <c r="AD2334" s="14">
        <f>IF($B2334="","",IF(AND($AE2334&lt;&gt;"",$AG2334="",$AJ2334=""),"保留中",IF($AJ2334&lt;&gt;"",IF(N($AC2334)&gt;0,"支給済","不支給"),IF($AC2334="","要確認",IF($AC2334=0,"不支給","未処理")))))</f>
        <v/>
      </c>
      <c r="AE2334" s="12" t="n"/>
      <c r="AF2334" s="11" t="n"/>
      <c r="AG2334" s="11" t="n"/>
      <c r="AH2334" s="11" t="n"/>
      <c r="AI2334" s="14">
        <f>IF(AND($AD2334="保留中",$AF2334&lt;&gt;""),TODAY()-$AF2334,"")</f>
        <v/>
      </c>
      <c r="AJ2334" s="12" t="n"/>
      <c r="AK2334" s="14">
        <f>IF($B2334="","",IF($AO2334="","対象年月が未入力／","")&amp;IF($B2334="","",IF($AN2334="","職員マスタに未登録の職員番号／",IF($Y2334="","標準報酬月額が未登録／","")&amp;IF(AND($AO2334&lt;&gt;"",OR(AND(INDEX(職員マスタ!$G$6:$G$405,$AN2334)&lt;&gt;"",INDEX(職員マスタ!$G$6:$G$405,$AN2334)&gt;EOMONTH($AO2334,0)),AND(INDEX(職員マスタ!$H$6:$H$405,$AN2334)&lt;&gt;"",INDEX(職員マスタ!$H$6:$H$405,$AN2334)&lt;$AO2334))),"対象月が時短期間外／","")&amp;IF(AND(INDEX(職員マスタ!$F$6:$F$405,$AN2334)&lt;&gt;"",$AO2334&lt;&gt;"",INDEX(職員マスタ!$F$6:$F$405,$AN2334)&lt;$AO2334),"対象月に子が2歳到達済／","")&amp;IF(AND($H2334&lt;&gt;"",INDEX(職員マスタ!$B$6:$B$405,$AN2334)&lt;&gt;"",SUBSTITUTE(SUBSTITUTE($H2334," ","")," ","")&lt;&gt;SUBSTITUTE(SUBSTITUTE(INDEX(職員マスタ!$B$6:$B$405,$AN2334)," ","")," ","")),"氏名がマスタと相違／","")&amp;IF(AND($Q2334&lt;&gt;"",INDEX(職員マスタ!$E$6:$E$405,$AN2334)&lt;&gt;"",$Q2334&lt;&gt;INDEX(職員マスタ!$E$6:$E$405,$AN2334)),"子の生年月日がマスタと相違／","")&amp;IF(AND($L2334&lt;&gt;"",INDEX(職員マスタ!$G$6:$G$405,$AN2334)&lt;&gt;"",$L2334&lt;&gt;INDEX(職員マスタ!$G$6:$G$405,$AN2334)),"時短開始日がマスタと相違／","")&amp;IF(AND($M2334&lt;&gt;"",INDEX(職員マスタ!$H$6:$H$405,$AN2334)&lt;&gt;"",$M2334&lt;&gt;INDEX(職員マスタ!$H$6:$H$405,$AN2334)),"時短終了日がマスタと相違／","")))&amp;IF(AND($B2334&lt;&gt;"",$E2334=""),"報酬額が未入力／","")&amp;IF(N($U2334)&gt;0,"申請書に入力エラーが残っています／","")&amp;IF(AND($B2334&lt;&gt;"",$AO2334&lt;&gt;""),IF(COUNTIFS($B$6:$B$3005,$B2334,$C$6:$C$3005,$C2334,$D$6:$D$3005,$D2334)&gt;1,"同じ月の請求が重複しています／",""),"")&amp;IF(AND(N($E2334)&gt;0,$Z2334&lt;&gt;"",$Z2334&lt;&gt;"×",$AC2334=0,$AB2334=""),"計算額が下限以下のため不支給／",""))</f>
        <v/>
      </c>
      <c r="AL2334" s="12" t="n"/>
      <c r="AM2334" s="14">
        <f>IF($AD2334="保留中",COUNTIF($AD$6:$AD2334,"保留中"),"")</f>
        <v/>
      </c>
      <c r="AN2334" s="14">
        <f>IF($AO2334="","",IF(SUMPRODUCT(MAX((職員マスタ!$A$6:$A$405=$B2334)*(((職員マスタ!$G$6:$G$405="")+(職員マスタ!$G$6:$G$405&lt;=EOMONTH($AO2334,0)))&gt;0)*(((職員マスタ!$H$6:$H$405="")+(職員マスタ!$H$6:$H$405&gt;=$AO2334))&gt;0)*(ROW(職員マスタ!$A$6:$A$405)-5)))&gt;0,SUMPRODUCT(MAX((職員マスタ!$A$6:$A$405=$B2334)*(((職員マスタ!$G$6:$G$405="")+(職員マスタ!$G$6:$G$405&lt;=EOMONTH($AO2334,0)))&gt;0)*(((職員マスタ!$H$6:$H$405="")+(職員マスタ!$H$6:$H$405&gt;=$AO2334))&gt;0)*(ROW(職員マスタ!$A$6:$A$405)-5))),IFERROR(MATCH($B2334,職員マスタ!$A$6:$A$405,0),"")))</f>
        <v/>
      </c>
      <c r="AO2334" s="16">
        <f>IF(OR($B2334="",$C2334="",$D2334=""),"",DATE($C2334+2018,$D2334,1))</f>
        <v/>
      </c>
    </row>
    <row r="2335">
      <c r="A2335" s="11" t="n"/>
      <c r="B2335" s="12" t="n"/>
      <c r="C2335" s="12" t="n"/>
      <c r="D2335" s="12" t="n"/>
      <c r="E2335" s="13" t="n"/>
      <c r="F2335" s="12" t="n"/>
      <c r="G2335" s="13" t="n"/>
      <c r="H2335" s="12" t="n"/>
      <c r="I2335" s="12" t="n"/>
      <c r="J2335" s="12" t="n"/>
      <c r="K2335" s="12" t="n"/>
      <c r="L2335" s="11" t="n"/>
      <c r="M2335" s="11" t="n"/>
      <c r="N2335" s="11" t="n"/>
      <c r="O2335" s="11" t="n"/>
      <c r="P2335" s="12" t="n"/>
      <c r="Q2335" s="11" t="n"/>
      <c r="R2335" s="12" t="n"/>
      <c r="S2335" s="11" t="n"/>
      <c r="T2335" s="12" t="n"/>
      <c r="U2335" s="12" t="n"/>
      <c r="V2335" s="14">
        <f>IF($AN2335="",IF($B2335="","",$H2335),IF(INDEX(職員マスタ!$B$6:$B$405,$AN2335)="",$H2335,INDEX(職員マスタ!$B$6:$B$405,$AN2335)))</f>
        <v/>
      </c>
      <c r="W2335" s="14">
        <f>IF($AN2335="",IF($B2335="","",$R2335),IF(INDEX(職員マスタ!$C$6:$C$405,$AN2335)="",$R2335,INDEX(職員マスタ!$C$6:$C$405,$AN2335)))</f>
        <v/>
      </c>
      <c r="X2335" s="14">
        <f>IF($AO2335="","","R"&amp;$C2335&amp;"."&amp;$D2335)</f>
        <v/>
      </c>
      <c r="Y2335" s="15">
        <f>IF($AN2335="","",IF(INDEX(職員マスタ!$K$6:$K$405,$AN2335)="","",INDEX(職員マスタ!$K$6:$K$405,$AN2335)))</f>
        <v/>
      </c>
      <c r="Z2335" s="14">
        <f>IF(OR($E2335="",$Y2335=""),"",IF($E2335&gt;=$Y2335,"×",IF($E2335&gt;=$Y2335*設定!$C$5,"△","○")))</f>
        <v/>
      </c>
      <c r="AA2335" s="15">
        <f>IF($Z2335="","",IF($Z2335="×",0,IF($Z2335="○",ROUNDDOWN($E2335*設定!$C$4,0),ROUNDDOWN($E2335*ROUND((9*$Y2335-9*$E2335)/(10*$E2335),4),0))))</f>
        <v/>
      </c>
      <c r="AB2335" s="13" t="n"/>
      <c r="AC2335" s="15">
        <f>IF($B2335="","",IF($AB2335&lt;&gt;"",$AB2335,IF($AA2335="","",IF($AA2335&lt;=設定!$C$3,0,$AA2335))))</f>
        <v/>
      </c>
      <c r="AD2335" s="14">
        <f>IF($B2335="","",IF(AND($AE2335&lt;&gt;"",$AG2335="",$AJ2335=""),"保留中",IF($AJ2335&lt;&gt;"",IF(N($AC2335)&gt;0,"支給済","不支給"),IF($AC2335="","要確認",IF($AC2335=0,"不支給","未処理")))))</f>
        <v/>
      </c>
      <c r="AE2335" s="12" t="n"/>
      <c r="AF2335" s="11" t="n"/>
      <c r="AG2335" s="11" t="n"/>
      <c r="AH2335" s="11" t="n"/>
      <c r="AI2335" s="14">
        <f>IF(AND($AD2335="保留中",$AF2335&lt;&gt;""),TODAY()-$AF2335,"")</f>
        <v/>
      </c>
      <c r="AJ2335" s="12" t="n"/>
      <c r="AK2335" s="14">
        <f>IF($B2335="","",IF($AO2335="","対象年月が未入力／","")&amp;IF($B2335="","",IF($AN2335="","職員マスタに未登録の職員番号／",IF($Y2335="","標準報酬月額が未登録／","")&amp;IF(AND($AO2335&lt;&gt;"",OR(AND(INDEX(職員マスタ!$G$6:$G$405,$AN2335)&lt;&gt;"",INDEX(職員マスタ!$G$6:$G$405,$AN2335)&gt;EOMONTH($AO2335,0)),AND(INDEX(職員マスタ!$H$6:$H$405,$AN2335)&lt;&gt;"",INDEX(職員マスタ!$H$6:$H$405,$AN2335)&lt;$AO2335))),"対象月が時短期間外／","")&amp;IF(AND(INDEX(職員マスタ!$F$6:$F$405,$AN2335)&lt;&gt;"",$AO2335&lt;&gt;"",INDEX(職員マスタ!$F$6:$F$405,$AN2335)&lt;$AO2335),"対象月に子が2歳到達済／","")&amp;IF(AND($H2335&lt;&gt;"",INDEX(職員マスタ!$B$6:$B$405,$AN2335)&lt;&gt;"",SUBSTITUTE(SUBSTITUTE($H2335," ","")," ","")&lt;&gt;SUBSTITUTE(SUBSTITUTE(INDEX(職員マスタ!$B$6:$B$405,$AN2335)," ","")," ","")),"氏名がマスタと相違／","")&amp;IF(AND($Q2335&lt;&gt;"",INDEX(職員マスタ!$E$6:$E$405,$AN2335)&lt;&gt;"",$Q2335&lt;&gt;INDEX(職員マスタ!$E$6:$E$405,$AN2335)),"子の生年月日がマスタと相違／","")&amp;IF(AND($L2335&lt;&gt;"",INDEX(職員マスタ!$G$6:$G$405,$AN2335)&lt;&gt;"",$L2335&lt;&gt;INDEX(職員マスタ!$G$6:$G$405,$AN2335)),"時短開始日がマスタと相違／","")&amp;IF(AND($M2335&lt;&gt;"",INDEX(職員マスタ!$H$6:$H$405,$AN2335)&lt;&gt;"",$M2335&lt;&gt;INDEX(職員マスタ!$H$6:$H$405,$AN2335)),"時短終了日がマスタと相違／","")))&amp;IF(AND($B2335&lt;&gt;"",$E2335=""),"報酬額が未入力／","")&amp;IF(N($U2335)&gt;0,"申請書に入力エラーが残っています／","")&amp;IF(AND($B2335&lt;&gt;"",$AO2335&lt;&gt;""),IF(COUNTIFS($B$6:$B$3005,$B2335,$C$6:$C$3005,$C2335,$D$6:$D$3005,$D2335)&gt;1,"同じ月の請求が重複しています／",""),"")&amp;IF(AND(N($E2335)&gt;0,$Z2335&lt;&gt;"",$Z2335&lt;&gt;"×",$AC2335=0,$AB2335=""),"計算額が下限以下のため不支給／",""))</f>
        <v/>
      </c>
      <c r="AL2335" s="12" t="n"/>
      <c r="AM2335" s="14">
        <f>IF($AD2335="保留中",COUNTIF($AD$6:$AD2335,"保留中"),"")</f>
        <v/>
      </c>
      <c r="AN2335" s="14">
        <f>IF($AO2335="","",IF(SUMPRODUCT(MAX((職員マスタ!$A$6:$A$405=$B2335)*(((職員マスタ!$G$6:$G$405="")+(職員マスタ!$G$6:$G$405&lt;=EOMONTH($AO2335,0)))&gt;0)*(((職員マスタ!$H$6:$H$405="")+(職員マスタ!$H$6:$H$405&gt;=$AO2335))&gt;0)*(ROW(職員マスタ!$A$6:$A$405)-5)))&gt;0,SUMPRODUCT(MAX((職員マスタ!$A$6:$A$405=$B2335)*(((職員マスタ!$G$6:$G$405="")+(職員マスタ!$G$6:$G$405&lt;=EOMONTH($AO2335,0)))&gt;0)*(((職員マスタ!$H$6:$H$405="")+(職員マスタ!$H$6:$H$405&gt;=$AO2335))&gt;0)*(ROW(職員マスタ!$A$6:$A$405)-5))),IFERROR(MATCH($B2335,職員マスタ!$A$6:$A$405,0),"")))</f>
        <v/>
      </c>
      <c r="AO2335" s="16">
        <f>IF(OR($B2335="",$C2335="",$D2335=""),"",DATE($C2335+2018,$D2335,1))</f>
        <v/>
      </c>
    </row>
    <row r="2336">
      <c r="A2336" s="11" t="n"/>
      <c r="B2336" s="12" t="n"/>
      <c r="C2336" s="12" t="n"/>
      <c r="D2336" s="12" t="n"/>
      <c r="E2336" s="13" t="n"/>
      <c r="F2336" s="12" t="n"/>
      <c r="G2336" s="13" t="n"/>
      <c r="H2336" s="12" t="n"/>
      <c r="I2336" s="12" t="n"/>
      <c r="J2336" s="12" t="n"/>
      <c r="K2336" s="12" t="n"/>
      <c r="L2336" s="11" t="n"/>
      <c r="M2336" s="11" t="n"/>
      <c r="N2336" s="11" t="n"/>
      <c r="O2336" s="11" t="n"/>
      <c r="P2336" s="12" t="n"/>
      <c r="Q2336" s="11" t="n"/>
      <c r="R2336" s="12" t="n"/>
      <c r="S2336" s="11" t="n"/>
      <c r="T2336" s="12" t="n"/>
      <c r="U2336" s="12" t="n"/>
      <c r="V2336" s="14">
        <f>IF($AN2336="",IF($B2336="","",$H2336),IF(INDEX(職員マスタ!$B$6:$B$405,$AN2336)="",$H2336,INDEX(職員マスタ!$B$6:$B$405,$AN2336)))</f>
        <v/>
      </c>
      <c r="W2336" s="14">
        <f>IF($AN2336="",IF($B2336="","",$R2336),IF(INDEX(職員マスタ!$C$6:$C$405,$AN2336)="",$R2336,INDEX(職員マスタ!$C$6:$C$405,$AN2336)))</f>
        <v/>
      </c>
      <c r="X2336" s="14">
        <f>IF($AO2336="","","R"&amp;$C2336&amp;"."&amp;$D2336)</f>
        <v/>
      </c>
      <c r="Y2336" s="15">
        <f>IF($AN2336="","",IF(INDEX(職員マスタ!$K$6:$K$405,$AN2336)="","",INDEX(職員マスタ!$K$6:$K$405,$AN2336)))</f>
        <v/>
      </c>
      <c r="Z2336" s="14">
        <f>IF(OR($E2336="",$Y2336=""),"",IF($E2336&gt;=$Y2336,"×",IF($E2336&gt;=$Y2336*設定!$C$5,"△","○")))</f>
        <v/>
      </c>
      <c r="AA2336" s="15">
        <f>IF($Z2336="","",IF($Z2336="×",0,IF($Z2336="○",ROUNDDOWN($E2336*設定!$C$4,0),ROUNDDOWN($E2336*ROUND((9*$Y2336-9*$E2336)/(10*$E2336),4),0))))</f>
        <v/>
      </c>
      <c r="AB2336" s="13" t="n"/>
      <c r="AC2336" s="15">
        <f>IF($B2336="","",IF($AB2336&lt;&gt;"",$AB2336,IF($AA2336="","",IF($AA2336&lt;=設定!$C$3,0,$AA2336))))</f>
        <v/>
      </c>
      <c r="AD2336" s="14">
        <f>IF($B2336="","",IF(AND($AE2336&lt;&gt;"",$AG2336="",$AJ2336=""),"保留中",IF($AJ2336&lt;&gt;"",IF(N($AC2336)&gt;0,"支給済","不支給"),IF($AC2336="","要確認",IF($AC2336=0,"不支給","未処理")))))</f>
        <v/>
      </c>
      <c r="AE2336" s="12" t="n"/>
      <c r="AF2336" s="11" t="n"/>
      <c r="AG2336" s="11" t="n"/>
      <c r="AH2336" s="11" t="n"/>
      <c r="AI2336" s="14">
        <f>IF(AND($AD2336="保留中",$AF2336&lt;&gt;""),TODAY()-$AF2336,"")</f>
        <v/>
      </c>
      <c r="AJ2336" s="12" t="n"/>
      <c r="AK2336" s="14">
        <f>IF($B2336="","",IF($AO2336="","対象年月が未入力／","")&amp;IF($B2336="","",IF($AN2336="","職員マスタに未登録の職員番号／",IF($Y2336="","標準報酬月額が未登録／","")&amp;IF(AND($AO2336&lt;&gt;"",OR(AND(INDEX(職員マスタ!$G$6:$G$405,$AN2336)&lt;&gt;"",INDEX(職員マスタ!$G$6:$G$405,$AN2336)&gt;EOMONTH($AO2336,0)),AND(INDEX(職員マスタ!$H$6:$H$405,$AN2336)&lt;&gt;"",INDEX(職員マスタ!$H$6:$H$405,$AN2336)&lt;$AO2336))),"対象月が時短期間外／","")&amp;IF(AND(INDEX(職員マスタ!$F$6:$F$405,$AN2336)&lt;&gt;"",$AO2336&lt;&gt;"",INDEX(職員マスタ!$F$6:$F$405,$AN2336)&lt;$AO2336),"対象月に子が2歳到達済／","")&amp;IF(AND($H2336&lt;&gt;"",INDEX(職員マスタ!$B$6:$B$405,$AN2336)&lt;&gt;"",SUBSTITUTE(SUBSTITUTE($H2336," ","")," ","")&lt;&gt;SUBSTITUTE(SUBSTITUTE(INDEX(職員マスタ!$B$6:$B$405,$AN2336)," ","")," ","")),"氏名がマスタと相違／","")&amp;IF(AND($Q2336&lt;&gt;"",INDEX(職員マスタ!$E$6:$E$405,$AN2336)&lt;&gt;"",$Q2336&lt;&gt;INDEX(職員マスタ!$E$6:$E$405,$AN2336)),"子の生年月日がマスタと相違／","")&amp;IF(AND($L2336&lt;&gt;"",INDEX(職員マスタ!$G$6:$G$405,$AN2336)&lt;&gt;"",$L2336&lt;&gt;INDEX(職員マスタ!$G$6:$G$405,$AN2336)),"時短開始日がマスタと相違／","")&amp;IF(AND($M2336&lt;&gt;"",INDEX(職員マスタ!$H$6:$H$405,$AN2336)&lt;&gt;"",$M2336&lt;&gt;INDEX(職員マスタ!$H$6:$H$405,$AN2336)),"時短終了日がマスタと相違／","")))&amp;IF(AND($B2336&lt;&gt;"",$E2336=""),"報酬額が未入力／","")&amp;IF(N($U2336)&gt;0,"申請書に入力エラーが残っています／","")&amp;IF(AND($B2336&lt;&gt;"",$AO2336&lt;&gt;""),IF(COUNTIFS($B$6:$B$3005,$B2336,$C$6:$C$3005,$C2336,$D$6:$D$3005,$D2336)&gt;1,"同じ月の請求が重複しています／",""),"")&amp;IF(AND(N($E2336)&gt;0,$Z2336&lt;&gt;"",$Z2336&lt;&gt;"×",$AC2336=0,$AB2336=""),"計算額が下限以下のため不支給／",""))</f>
        <v/>
      </c>
      <c r="AL2336" s="12" t="n"/>
      <c r="AM2336" s="14">
        <f>IF($AD2336="保留中",COUNTIF($AD$6:$AD2336,"保留中"),"")</f>
        <v/>
      </c>
      <c r="AN2336" s="14">
        <f>IF($AO2336="","",IF(SUMPRODUCT(MAX((職員マスタ!$A$6:$A$405=$B2336)*(((職員マスタ!$G$6:$G$405="")+(職員マスタ!$G$6:$G$405&lt;=EOMONTH($AO2336,0)))&gt;0)*(((職員マスタ!$H$6:$H$405="")+(職員マスタ!$H$6:$H$405&gt;=$AO2336))&gt;0)*(ROW(職員マスタ!$A$6:$A$405)-5)))&gt;0,SUMPRODUCT(MAX((職員マスタ!$A$6:$A$405=$B2336)*(((職員マスタ!$G$6:$G$405="")+(職員マスタ!$G$6:$G$405&lt;=EOMONTH($AO2336,0)))&gt;0)*(((職員マスタ!$H$6:$H$405="")+(職員マスタ!$H$6:$H$405&gt;=$AO2336))&gt;0)*(ROW(職員マスタ!$A$6:$A$405)-5))),IFERROR(MATCH($B2336,職員マスタ!$A$6:$A$405,0),"")))</f>
        <v/>
      </c>
      <c r="AO2336" s="16">
        <f>IF(OR($B2336="",$C2336="",$D2336=""),"",DATE($C2336+2018,$D2336,1))</f>
        <v/>
      </c>
    </row>
    <row r="2337">
      <c r="A2337" s="11" t="n"/>
      <c r="B2337" s="12" t="n"/>
      <c r="C2337" s="12" t="n"/>
      <c r="D2337" s="12" t="n"/>
      <c r="E2337" s="13" t="n"/>
      <c r="F2337" s="12" t="n"/>
      <c r="G2337" s="13" t="n"/>
      <c r="H2337" s="12" t="n"/>
      <c r="I2337" s="12" t="n"/>
      <c r="J2337" s="12" t="n"/>
      <c r="K2337" s="12" t="n"/>
      <c r="L2337" s="11" t="n"/>
      <c r="M2337" s="11" t="n"/>
      <c r="N2337" s="11" t="n"/>
      <c r="O2337" s="11" t="n"/>
      <c r="P2337" s="12" t="n"/>
      <c r="Q2337" s="11" t="n"/>
      <c r="R2337" s="12" t="n"/>
      <c r="S2337" s="11" t="n"/>
      <c r="T2337" s="12" t="n"/>
      <c r="U2337" s="12" t="n"/>
      <c r="V2337" s="14">
        <f>IF($AN2337="",IF($B2337="","",$H2337),IF(INDEX(職員マスタ!$B$6:$B$405,$AN2337)="",$H2337,INDEX(職員マスタ!$B$6:$B$405,$AN2337)))</f>
        <v/>
      </c>
      <c r="W2337" s="14">
        <f>IF($AN2337="",IF($B2337="","",$R2337),IF(INDEX(職員マスタ!$C$6:$C$405,$AN2337)="",$R2337,INDEX(職員マスタ!$C$6:$C$405,$AN2337)))</f>
        <v/>
      </c>
      <c r="X2337" s="14">
        <f>IF($AO2337="","","R"&amp;$C2337&amp;"."&amp;$D2337)</f>
        <v/>
      </c>
      <c r="Y2337" s="15">
        <f>IF($AN2337="","",IF(INDEX(職員マスタ!$K$6:$K$405,$AN2337)="","",INDEX(職員マスタ!$K$6:$K$405,$AN2337)))</f>
        <v/>
      </c>
      <c r="Z2337" s="14">
        <f>IF(OR($E2337="",$Y2337=""),"",IF($E2337&gt;=$Y2337,"×",IF($E2337&gt;=$Y2337*設定!$C$5,"△","○")))</f>
        <v/>
      </c>
      <c r="AA2337" s="15">
        <f>IF($Z2337="","",IF($Z2337="×",0,IF($Z2337="○",ROUNDDOWN($E2337*設定!$C$4,0),ROUNDDOWN($E2337*ROUND((9*$Y2337-9*$E2337)/(10*$E2337),4),0))))</f>
        <v/>
      </c>
      <c r="AB2337" s="13" t="n"/>
      <c r="AC2337" s="15">
        <f>IF($B2337="","",IF($AB2337&lt;&gt;"",$AB2337,IF($AA2337="","",IF($AA2337&lt;=設定!$C$3,0,$AA2337))))</f>
        <v/>
      </c>
      <c r="AD2337" s="14">
        <f>IF($B2337="","",IF(AND($AE2337&lt;&gt;"",$AG2337="",$AJ2337=""),"保留中",IF($AJ2337&lt;&gt;"",IF(N($AC2337)&gt;0,"支給済","不支給"),IF($AC2337="","要確認",IF($AC2337=0,"不支給","未処理")))))</f>
        <v/>
      </c>
      <c r="AE2337" s="12" t="n"/>
      <c r="AF2337" s="11" t="n"/>
      <c r="AG2337" s="11" t="n"/>
      <c r="AH2337" s="11" t="n"/>
      <c r="AI2337" s="14">
        <f>IF(AND($AD2337="保留中",$AF2337&lt;&gt;""),TODAY()-$AF2337,"")</f>
        <v/>
      </c>
      <c r="AJ2337" s="12" t="n"/>
      <c r="AK2337" s="14">
        <f>IF($B2337="","",IF($AO2337="","対象年月が未入力／","")&amp;IF($B2337="","",IF($AN2337="","職員マスタに未登録の職員番号／",IF($Y2337="","標準報酬月額が未登録／","")&amp;IF(AND($AO2337&lt;&gt;"",OR(AND(INDEX(職員マスタ!$G$6:$G$405,$AN2337)&lt;&gt;"",INDEX(職員マスタ!$G$6:$G$405,$AN2337)&gt;EOMONTH($AO2337,0)),AND(INDEX(職員マスタ!$H$6:$H$405,$AN2337)&lt;&gt;"",INDEX(職員マスタ!$H$6:$H$405,$AN2337)&lt;$AO2337))),"対象月が時短期間外／","")&amp;IF(AND(INDEX(職員マスタ!$F$6:$F$405,$AN2337)&lt;&gt;"",$AO2337&lt;&gt;"",INDEX(職員マスタ!$F$6:$F$405,$AN2337)&lt;$AO2337),"対象月に子が2歳到達済／","")&amp;IF(AND($H2337&lt;&gt;"",INDEX(職員マスタ!$B$6:$B$405,$AN2337)&lt;&gt;"",SUBSTITUTE(SUBSTITUTE($H2337," ","")," ","")&lt;&gt;SUBSTITUTE(SUBSTITUTE(INDEX(職員マスタ!$B$6:$B$405,$AN2337)," ","")," ","")),"氏名がマスタと相違／","")&amp;IF(AND($Q2337&lt;&gt;"",INDEX(職員マスタ!$E$6:$E$405,$AN2337)&lt;&gt;"",$Q2337&lt;&gt;INDEX(職員マスタ!$E$6:$E$405,$AN2337)),"子の生年月日がマスタと相違／","")&amp;IF(AND($L2337&lt;&gt;"",INDEX(職員マスタ!$G$6:$G$405,$AN2337)&lt;&gt;"",$L2337&lt;&gt;INDEX(職員マスタ!$G$6:$G$405,$AN2337)),"時短開始日がマスタと相違／","")&amp;IF(AND($M2337&lt;&gt;"",INDEX(職員マスタ!$H$6:$H$405,$AN2337)&lt;&gt;"",$M2337&lt;&gt;INDEX(職員マスタ!$H$6:$H$405,$AN2337)),"時短終了日がマスタと相違／","")))&amp;IF(AND($B2337&lt;&gt;"",$E2337=""),"報酬額が未入力／","")&amp;IF(N($U2337)&gt;0,"申請書に入力エラーが残っています／","")&amp;IF(AND($B2337&lt;&gt;"",$AO2337&lt;&gt;""),IF(COUNTIFS($B$6:$B$3005,$B2337,$C$6:$C$3005,$C2337,$D$6:$D$3005,$D2337)&gt;1,"同じ月の請求が重複しています／",""),"")&amp;IF(AND(N($E2337)&gt;0,$Z2337&lt;&gt;"",$Z2337&lt;&gt;"×",$AC2337=0,$AB2337=""),"計算額が下限以下のため不支給／",""))</f>
        <v/>
      </c>
      <c r="AL2337" s="12" t="n"/>
      <c r="AM2337" s="14">
        <f>IF($AD2337="保留中",COUNTIF($AD$6:$AD2337,"保留中"),"")</f>
        <v/>
      </c>
      <c r="AN2337" s="14">
        <f>IF($AO2337="","",IF(SUMPRODUCT(MAX((職員マスタ!$A$6:$A$405=$B2337)*(((職員マスタ!$G$6:$G$405="")+(職員マスタ!$G$6:$G$405&lt;=EOMONTH($AO2337,0)))&gt;0)*(((職員マスタ!$H$6:$H$405="")+(職員マスタ!$H$6:$H$405&gt;=$AO2337))&gt;0)*(ROW(職員マスタ!$A$6:$A$405)-5)))&gt;0,SUMPRODUCT(MAX((職員マスタ!$A$6:$A$405=$B2337)*(((職員マスタ!$G$6:$G$405="")+(職員マスタ!$G$6:$G$405&lt;=EOMONTH($AO2337,0)))&gt;0)*(((職員マスタ!$H$6:$H$405="")+(職員マスタ!$H$6:$H$405&gt;=$AO2337))&gt;0)*(ROW(職員マスタ!$A$6:$A$405)-5))),IFERROR(MATCH($B2337,職員マスタ!$A$6:$A$405,0),"")))</f>
        <v/>
      </c>
      <c r="AO2337" s="16">
        <f>IF(OR($B2337="",$C2337="",$D2337=""),"",DATE($C2337+2018,$D2337,1))</f>
        <v/>
      </c>
    </row>
    <row r="2338">
      <c r="A2338" s="11" t="n"/>
      <c r="B2338" s="12" t="n"/>
      <c r="C2338" s="12" t="n"/>
      <c r="D2338" s="12" t="n"/>
      <c r="E2338" s="13" t="n"/>
      <c r="F2338" s="12" t="n"/>
      <c r="G2338" s="13" t="n"/>
      <c r="H2338" s="12" t="n"/>
      <c r="I2338" s="12" t="n"/>
      <c r="J2338" s="12" t="n"/>
      <c r="K2338" s="12" t="n"/>
      <c r="L2338" s="11" t="n"/>
      <c r="M2338" s="11" t="n"/>
      <c r="N2338" s="11" t="n"/>
      <c r="O2338" s="11" t="n"/>
      <c r="P2338" s="12" t="n"/>
      <c r="Q2338" s="11" t="n"/>
      <c r="R2338" s="12" t="n"/>
      <c r="S2338" s="11" t="n"/>
      <c r="T2338" s="12" t="n"/>
      <c r="U2338" s="12" t="n"/>
      <c r="V2338" s="14">
        <f>IF($AN2338="",IF($B2338="","",$H2338),IF(INDEX(職員マスタ!$B$6:$B$405,$AN2338)="",$H2338,INDEX(職員マスタ!$B$6:$B$405,$AN2338)))</f>
        <v/>
      </c>
      <c r="W2338" s="14">
        <f>IF($AN2338="",IF($B2338="","",$R2338),IF(INDEX(職員マスタ!$C$6:$C$405,$AN2338)="",$R2338,INDEX(職員マスタ!$C$6:$C$405,$AN2338)))</f>
        <v/>
      </c>
      <c r="X2338" s="14">
        <f>IF($AO2338="","","R"&amp;$C2338&amp;"."&amp;$D2338)</f>
        <v/>
      </c>
      <c r="Y2338" s="15">
        <f>IF($AN2338="","",IF(INDEX(職員マスタ!$K$6:$K$405,$AN2338)="","",INDEX(職員マスタ!$K$6:$K$405,$AN2338)))</f>
        <v/>
      </c>
      <c r="Z2338" s="14">
        <f>IF(OR($E2338="",$Y2338=""),"",IF($E2338&gt;=$Y2338,"×",IF($E2338&gt;=$Y2338*設定!$C$5,"△","○")))</f>
        <v/>
      </c>
      <c r="AA2338" s="15">
        <f>IF($Z2338="","",IF($Z2338="×",0,IF($Z2338="○",ROUNDDOWN($E2338*設定!$C$4,0),ROUNDDOWN($E2338*ROUND((9*$Y2338-9*$E2338)/(10*$E2338),4),0))))</f>
        <v/>
      </c>
      <c r="AB2338" s="13" t="n"/>
      <c r="AC2338" s="15">
        <f>IF($B2338="","",IF($AB2338&lt;&gt;"",$AB2338,IF($AA2338="","",IF($AA2338&lt;=設定!$C$3,0,$AA2338))))</f>
        <v/>
      </c>
      <c r="AD2338" s="14">
        <f>IF($B2338="","",IF(AND($AE2338&lt;&gt;"",$AG2338="",$AJ2338=""),"保留中",IF($AJ2338&lt;&gt;"",IF(N($AC2338)&gt;0,"支給済","不支給"),IF($AC2338="","要確認",IF($AC2338=0,"不支給","未処理")))))</f>
        <v/>
      </c>
      <c r="AE2338" s="12" t="n"/>
      <c r="AF2338" s="11" t="n"/>
      <c r="AG2338" s="11" t="n"/>
      <c r="AH2338" s="11" t="n"/>
      <c r="AI2338" s="14">
        <f>IF(AND($AD2338="保留中",$AF2338&lt;&gt;""),TODAY()-$AF2338,"")</f>
        <v/>
      </c>
      <c r="AJ2338" s="12" t="n"/>
      <c r="AK2338" s="14">
        <f>IF($B2338="","",IF($AO2338="","対象年月が未入力／","")&amp;IF($B2338="","",IF($AN2338="","職員マスタに未登録の職員番号／",IF($Y2338="","標準報酬月額が未登録／","")&amp;IF(AND($AO2338&lt;&gt;"",OR(AND(INDEX(職員マスタ!$G$6:$G$405,$AN2338)&lt;&gt;"",INDEX(職員マスタ!$G$6:$G$405,$AN2338)&gt;EOMONTH($AO2338,0)),AND(INDEX(職員マスタ!$H$6:$H$405,$AN2338)&lt;&gt;"",INDEX(職員マスタ!$H$6:$H$405,$AN2338)&lt;$AO2338))),"対象月が時短期間外／","")&amp;IF(AND(INDEX(職員マスタ!$F$6:$F$405,$AN2338)&lt;&gt;"",$AO2338&lt;&gt;"",INDEX(職員マスタ!$F$6:$F$405,$AN2338)&lt;$AO2338),"対象月に子が2歳到達済／","")&amp;IF(AND($H2338&lt;&gt;"",INDEX(職員マスタ!$B$6:$B$405,$AN2338)&lt;&gt;"",SUBSTITUTE(SUBSTITUTE($H2338," ","")," ","")&lt;&gt;SUBSTITUTE(SUBSTITUTE(INDEX(職員マスタ!$B$6:$B$405,$AN2338)," ","")," ","")),"氏名がマスタと相違／","")&amp;IF(AND($Q2338&lt;&gt;"",INDEX(職員マスタ!$E$6:$E$405,$AN2338)&lt;&gt;"",$Q2338&lt;&gt;INDEX(職員マスタ!$E$6:$E$405,$AN2338)),"子の生年月日がマスタと相違／","")&amp;IF(AND($L2338&lt;&gt;"",INDEX(職員マスタ!$G$6:$G$405,$AN2338)&lt;&gt;"",$L2338&lt;&gt;INDEX(職員マスタ!$G$6:$G$405,$AN2338)),"時短開始日がマスタと相違／","")&amp;IF(AND($M2338&lt;&gt;"",INDEX(職員マスタ!$H$6:$H$405,$AN2338)&lt;&gt;"",$M2338&lt;&gt;INDEX(職員マスタ!$H$6:$H$405,$AN2338)),"時短終了日がマスタと相違／","")))&amp;IF(AND($B2338&lt;&gt;"",$E2338=""),"報酬額が未入力／","")&amp;IF(N($U2338)&gt;0,"申請書に入力エラーが残っています／","")&amp;IF(AND($B2338&lt;&gt;"",$AO2338&lt;&gt;""),IF(COUNTIFS($B$6:$B$3005,$B2338,$C$6:$C$3005,$C2338,$D$6:$D$3005,$D2338)&gt;1,"同じ月の請求が重複しています／",""),"")&amp;IF(AND(N($E2338)&gt;0,$Z2338&lt;&gt;"",$Z2338&lt;&gt;"×",$AC2338=0,$AB2338=""),"計算額が下限以下のため不支給／",""))</f>
        <v/>
      </c>
      <c r="AL2338" s="12" t="n"/>
      <c r="AM2338" s="14">
        <f>IF($AD2338="保留中",COUNTIF($AD$6:$AD2338,"保留中"),"")</f>
        <v/>
      </c>
      <c r="AN2338" s="14">
        <f>IF($AO2338="","",IF(SUMPRODUCT(MAX((職員マスタ!$A$6:$A$405=$B2338)*(((職員マスタ!$G$6:$G$405="")+(職員マスタ!$G$6:$G$405&lt;=EOMONTH($AO2338,0)))&gt;0)*(((職員マスタ!$H$6:$H$405="")+(職員マスタ!$H$6:$H$405&gt;=$AO2338))&gt;0)*(ROW(職員マスタ!$A$6:$A$405)-5)))&gt;0,SUMPRODUCT(MAX((職員マスタ!$A$6:$A$405=$B2338)*(((職員マスタ!$G$6:$G$405="")+(職員マスタ!$G$6:$G$405&lt;=EOMONTH($AO2338,0)))&gt;0)*(((職員マスタ!$H$6:$H$405="")+(職員マスタ!$H$6:$H$405&gt;=$AO2338))&gt;0)*(ROW(職員マスタ!$A$6:$A$405)-5))),IFERROR(MATCH($B2338,職員マスタ!$A$6:$A$405,0),"")))</f>
        <v/>
      </c>
      <c r="AO2338" s="16">
        <f>IF(OR($B2338="",$C2338="",$D2338=""),"",DATE($C2338+2018,$D2338,1))</f>
        <v/>
      </c>
    </row>
    <row r="2339">
      <c r="A2339" s="11" t="n"/>
      <c r="B2339" s="12" t="n"/>
      <c r="C2339" s="12" t="n"/>
      <c r="D2339" s="12" t="n"/>
      <c r="E2339" s="13" t="n"/>
      <c r="F2339" s="12" t="n"/>
      <c r="G2339" s="13" t="n"/>
      <c r="H2339" s="12" t="n"/>
      <c r="I2339" s="12" t="n"/>
      <c r="J2339" s="12" t="n"/>
      <c r="K2339" s="12" t="n"/>
      <c r="L2339" s="11" t="n"/>
      <c r="M2339" s="11" t="n"/>
      <c r="N2339" s="11" t="n"/>
      <c r="O2339" s="11" t="n"/>
      <c r="P2339" s="12" t="n"/>
      <c r="Q2339" s="11" t="n"/>
      <c r="R2339" s="12" t="n"/>
      <c r="S2339" s="11" t="n"/>
      <c r="T2339" s="12" t="n"/>
      <c r="U2339" s="12" t="n"/>
      <c r="V2339" s="14">
        <f>IF($AN2339="",IF($B2339="","",$H2339),IF(INDEX(職員マスタ!$B$6:$B$405,$AN2339)="",$H2339,INDEX(職員マスタ!$B$6:$B$405,$AN2339)))</f>
        <v/>
      </c>
      <c r="W2339" s="14">
        <f>IF($AN2339="",IF($B2339="","",$R2339),IF(INDEX(職員マスタ!$C$6:$C$405,$AN2339)="",$R2339,INDEX(職員マスタ!$C$6:$C$405,$AN2339)))</f>
        <v/>
      </c>
      <c r="X2339" s="14">
        <f>IF($AO2339="","","R"&amp;$C2339&amp;"."&amp;$D2339)</f>
        <v/>
      </c>
      <c r="Y2339" s="15">
        <f>IF($AN2339="","",IF(INDEX(職員マスタ!$K$6:$K$405,$AN2339)="","",INDEX(職員マスタ!$K$6:$K$405,$AN2339)))</f>
        <v/>
      </c>
      <c r="Z2339" s="14">
        <f>IF(OR($E2339="",$Y2339=""),"",IF($E2339&gt;=$Y2339,"×",IF($E2339&gt;=$Y2339*設定!$C$5,"△","○")))</f>
        <v/>
      </c>
      <c r="AA2339" s="15">
        <f>IF($Z2339="","",IF($Z2339="×",0,IF($Z2339="○",ROUNDDOWN($E2339*設定!$C$4,0),ROUNDDOWN($E2339*ROUND((9*$Y2339-9*$E2339)/(10*$E2339),4),0))))</f>
        <v/>
      </c>
      <c r="AB2339" s="13" t="n"/>
      <c r="AC2339" s="15">
        <f>IF($B2339="","",IF($AB2339&lt;&gt;"",$AB2339,IF($AA2339="","",IF($AA2339&lt;=設定!$C$3,0,$AA2339))))</f>
        <v/>
      </c>
      <c r="AD2339" s="14">
        <f>IF($B2339="","",IF(AND($AE2339&lt;&gt;"",$AG2339="",$AJ2339=""),"保留中",IF($AJ2339&lt;&gt;"",IF(N($AC2339)&gt;0,"支給済","不支給"),IF($AC2339="","要確認",IF($AC2339=0,"不支給","未処理")))))</f>
        <v/>
      </c>
      <c r="AE2339" s="12" t="n"/>
      <c r="AF2339" s="11" t="n"/>
      <c r="AG2339" s="11" t="n"/>
      <c r="AH2339" s="11" t="n"/>
      <c r="AI2339" s="14">
        <f>IF(AND($AD2339="保留中",$AF2339&lt;&gt;""),TODAY()-$AF2339,"")</f>
        <v/>
      </c>
      <c r="AJ2339" s="12" t="n"/>
      <c r="AK2339" s="14">
        <f>IF($B2339="","",IF($AO2339="","対象年月が未入力／","")&amp;IF($B2339="","",IF($AN2339="","職員マスタに未登録の職員番号／",IF($Y2339="","標準報酬月額が未登録／","")&amp;IF(AND($AO2339&lt;&gt;"",OR(AND(INDEX(職員マスタ!$G$6:$G$405,$AN2339)&lt;&gt;"",INDEX(職員マスタ!$G$6:$G$405,$AN2339)&gt;EOMONTH($AO2339,0)),AND(INDEX(職員マスタ!$H$6:$H$405,$AN2339)&lt;&gt;"",INDEX(職員マスタ!$H$6:$H$405,$AN2339)&lt;$AO2339))),"対象月が時短期間外／","")&amp;IF(AND(INDEX(職員マスタ!$F$6:$F$405,$AN2339)&lt;&gt;"",$AO2339&lt;&gt;"",INDEX(職員マスタ!$F$6:$F$405,$AN2339)&lt;$AO2339),"対象月に子が2歳到達済／","")&amp;IF(AND($H2339&lt;&gt;"",INDEX(職員マスタ!$B$6:$B$405,$AN2339)&lt;&gt;"",SUBSTITUTE(SUBSTITUTE($H2339," ","")," ","")&lt;&gt;SUBSTITUTE(SUBSTITUTE(INDEX(職員マスタ!$B$6:$B$405,$AN2339)," ","")," ","")),"氏名がマスタと相違／","")&amp;IF(AND($Q2339&lt;&gt;"",INDEX(職員マスタ!$E$6:$E$405,$AN2339)&lt;&gt;"",$Q2339&lt;&gt;INDEX(職員マスタ!$E$6:$E$405,$AN2339)),"子の生年月日がマスタと相違／","")&amp;IF(AND($L2339&lt;&gt;"",INDEX(職員マスタ!$G$6:$G$405,$AN2339)&lt;&gt;"",$L2339&lt;&gt;INDEX(職員マスタ!$G$6:$G$405,$AN2339)),"時短開始日がマスタと相違／","")&amp;IF(AND($M2339&lt;&gt;"",INDEX(職員マスタ!$H$6:$H$405,$AN2339)&lt;&gt;"",$M2339&lt;&gt;INDEX(職員マスタ!$H$6:$H$405,$AN2339)),"時短終了日がマスタと相違／","")))&amp;IF(AND($B2339&lt;&gt;"",$E2339=""),"報酬額が未入力／","")&amp;IF(N($U2339)&gt;0,"申請書に入力エラーが残っています／","")&amp;IF(AND($B2339&lt;&gt;"",$AO2339&lt;&gt;""),IF(COUNTIFS($B$6:$B$3005,$B2339,$C$6:$C$3005,$C2339,$D$6:$D$3005,$D2339)&gt;1,"同じ月の請求が重複しています／",""),"")&amp;IF(AND(N($E2339)&gt;0,$Z2339&lt;&gt;"",$Z2339&lt;&gt;"×",$AC2339=0,$AB2339=""),"計算額が下限以下のため不支給／",""))</f>
        <v/>
      </c>
      <c r="AL2339" s="12" t="n"/>
      <c r="AM2339" s="14">
        <f>IF($AD2339="保留中",COUNTIF($AD$6:$AD2339,"保留中"),"")</f>
        <v/>
      </c>
      <c r="AN2339" s="14">
        <f>IF($AO2339="","",IF(SUMPRODUCT(MAX((職員マスタ!$A$6:$A$405=$B2339)*(((職員マスタ!$G$6:$G$405="")+(職員マスタ!$G$6:$G$405&lt;=EOMONTH($AO2339,0)))&gt;0)*(((職員マスタ!$H$6:$H$405="")+(職員マスタ!$H$6:$H$405&gt;=$AO2339))&gt;0)*(ROW(職員マスタ!$A$6:$A$405)-5)))&gt;0,SUMPRODUCT(MAX((職員マスタ!$A$6:$A$405=$B2339)*(((職員マスタ!$G$6:$G$405="")+(職員マスタ!$G$6:$G$405&lt;=EOMONTH($AO2339,0)))&gt;0)*(((職員マスタ!$H$6:$H$405="")+(職員マスタ!$H$6:$H$405&gt;=$AO2339))&gt;0)*(ROW(職員マスタ!$A$6:$A$405)-5))),IFERROR(MATCH($B2339,職員マスタ!$A$6:$A$405,0),"")))</f>
        <v/>
      </c>
      <c r="AO2339" s="16">
        <f>IF(OR($B2339="",$C2339="",$D2339=""),"",DATE($C2339+2018,$D2339,1))</f>
        <v/>
      </c>
    </row>
    <row r="2340">
      <c r="A2340" s="11" t="n"/>
      <c r="B2340" s="12" t="n"/>
      <c r="C2340" s="12" t="n"/>
      <c r="D2340" s="12" t="n"/>
      <c r="E2340" s="13" t="n"/>
      <c r="F2340" s="12" t="n"/>
      <c r="G2340" s="13" t="n"/>
      <c r="H2340" s="12" t="n"/>
      <c r="I2340" s="12" t="n"/>
      <c r="J2340" s="12" t="n"/>
      <c r="K2340" s="12" t="n"/>
      <c r="L2340" s="11" t="n"/>
      <c r="M2340" s="11" t="n"/>
      <c r="N2340" s="11" t="n"/>
      <c r="O2340" s="11" t="n"/>
      <c r="P2340" s="12" t="n"/>
      <c r="Q2340" s="11" t="n"/>
      <c r="R2340" s="12" t="n"/>
      <c r="S2340" s="11" t="n"/>
      <c r="T2340" s="12" t="n"/>
      <c r="U2340" s="12" t="n"/>
      <c r="V2340" s="14">
        <f>IF($AN2340="",IF($B2340="","",$H2340),IF(INDEX(職員マスタ!$B$6:$B$405,$AN2340)="",$H2340,INDEX(職員マスタ!$B$6:$B$405,$AN2340)))</f>
        <v/>
      </c>
      <c r="W2340" s="14">
        <f>IF($AN2340="",IF($B2340="","",$R2340),IF(INDEX(職員マスタ!$C$6:$C$405,$AN2340)="",$R2340,INDEX(職員マスタ!$C$6:$C$405,$AN2340)))</f>
        <v/>
      </c>
      <c r="X2340" s="14">
        <f>IF($AO2340="","","R"&amp;$C2340&amp;"."&amp;$D2340)</f>
        <v/>
      </c>
      <c r="Y2340" s="15">
        <f>IF($AN2340="","",IF(INDEX(職員マスタ!$K$6:$K$405,$AN2340)="","",INDEX(職員マスタ!$K$6:$K$405,$AN2340)))</f>
        <v/>
      </c>
      <c r="Z2340" s="14">
        <f>IF(OR($E2340="",$Y2340=""),"",IF($E2340&gt;=$Y2340,"×",IF($E2340&gt;=$Y2340*設定!$C$5,"△","○")))</f>
        <v/>
      </c>
      <c r="AA2340" s="15">
        <f>IF($Z2340="","",IF($Z2340="×",0,IF($Z2340="○",ROUNDDOWN($E2340*設定!$C$4,0),ROUNDDOWN($E2340*ROUND((9*$Y2340-9*$E2340)/(10*$E2340),4),0))))</f>
        <v/>
      </c>
      <c r="AB2340" s="13" t="n"/>
      <c r="AC2340" s="15">
        <f>IF($B2340="","",IF($AB2340&lt;&gt;"",$AB2340,IF($AA2340="","",IF($AA2340&lt;=設定!$C$3,0,$AA2340))))</f>
        <v/>
      </c>
      <c r="AD2340" s="14">
        <f>IF($B2340="","",IF(AND($AE2340&lt;&gt;"",$AG2340="",$AJ2340=""),"保留中",IF($AJ2340&lt;&gt;"",IF(N($AC2340)&gt;0,"支給済","不支給"),IF($AC2340="","要確認",IF($AC2340=0,"不支給","未処理")))))</f>
        <v/>
      </c>
      <c r="AE2340" s="12" t="n"/>
      <c r="AF2340" s="11" t="n"/>
      <c r="AG2340" s="11" t="n"/>
      <c r="AH2340" s="11" t="n"/>
      <c r="AI2340" s="14">
        <f>IF(AND($AD2340="保留中",$AF2340&lt;&gt;""),TODAY()-$AF2340,"")</f>
        <v/>
      </c>
      <c r="AJ2340" s="12" t="n"/>
      <c r="AK2340" s="14">
        <f>IF($B2340="","",IF($AO2340="","対象年月が未入力／","")&amp;IF($B2340="","",IF($AN2340="","職員マスタに未登録の職員番号／",IF($Y2340="","標準報酬月額が未登録／","")&amp;IF(AND($AO2340&lt;&gt;"",OR(AND(INDEX(職員マスタ!$G$6:$G$405,$AN2340)&lt;&gt;"",INDEX(職員マスタ!$G$6:$G$405,$AN2340)&gt;EOMONTH($AO2340,0)),AND(INDEX(職員マスタ!$H$6:$H$405,$AN2340)&lt;&gt;"",INDEX(職員マスタ!$H$6:$H$405,$AN2340)&lt;$AO2340))),"対象月が時短期間外／","")&amp;IF(AND(INDEX(職員マスタ!$F$6:$F$405,$AN2340)&lt;&gt;"",$AO2340&lt;&gt;"",INDEX(職員マスタ!$F$6:$F$405,$AN2340)&lt;$AO2340),"対象月に子が2歳到達済／","")&amp;IF(AND($H2340&lt;&gt;"",INDEX(職員マスタ!$B$6:$B$405,$AN2340)&lt;&gt;"",SUBSTITUTE(SUBSTITUTE($H2340," ","")," ","")&lt;&gt;SUBSTITUTE(SUBSTITUTE(INDEX(職員マスタ!$B$6:$B$405,$AN2340)," ","")," ","")),"氏名がマスタと相違／","")&amp;IF(AND($Q2340&lt;&gt;"",INDEX(職員マスタ!$E$6:$E$405,$AN2340)&lt;&gt;"",$Q2340&lt;&gt;INDEX(職員マスタ!$E$6:$E$405,$AN2340)),"子の生年月日がマスタと相違／","")&amp;IF(AND($L2340&lt;&gt;"",INDEX(職員マスタ!$G$6:$G$405,$AN2340)&lt;&gt;"",$L2340&lt;&gt;INDEX(職員マスタ!$G$6:$G$405,$AN2340)),"時短開始日がマスタと相違／","")&amp;IF(AND($M2340&lt;&gt;"",INDEX(職員マスタ!$H$6:$H$405,$AN2340)&lt;&gt;"",$M2340&lt;&gt;INDEX(職員マスタ!$H$6:$H$405,$AN2340)),"時短終了日がマスタと相違／","")))&amp;IF(AND($B2340&lt;&gt;"",$E2340=""),"報酬額が未入力／","")&amp;IF(N($U2340)&gt;0,"申請書に入力エラーが残っています／","")&amp;IF(AND($B2340&lt;&gt;"",$AO2340&lt;&gt;""),IF(COUNTIFS($B$6:$B$3005,$B2340,$C$6:$C$3005,$C2340,$D$6:$D$3005,$D2340)&gt;1,"同じ月の請求が重複しています／",""),"")&amp;IF(AND(N($E2340)&gt;0,$Z2340&lt;&gt;"",$Z2340&lt;&gt;"×",$AC2340=0,$AB2340=""),"計算額が下限以下のため不支給／",""))</f>
        <v/>
      </c>
      <c r="AL2340" s="12" t="n"/>
      <c r="AM2340" s="14">
        <f>IF($AD2340="保留中",COUNTIF($AD$6:$AD2340,"保留中"),"")</f>
        <v/>
      </c>
      <c r="AN2340" s="14">
        <f>IF($AO2340="","",IF(SUMPRODUCT(MAX((職員マスタ!$A$6:$A$405=$B2340)*(((職員マスタ!$G$6:$G$405="")+(職員マスタ!$G$6:$G$405&lt;=EOMONTH($AO2340,0)))&gt;0)*(((職員マスタ!$H$6:$H$405="")+(職員マスタ!$H$6:$H$405&gt;=$AO2340))&gt;0)*(ROW(職員マスタ!$A$6:$A$405)-5)))&gt;0,SUMPRODUCT(MAX((職員マスタ!$A$6:$A$405=$B2340)*(((職員マスタ!$G$6:$G$405="")+(職員マスタ!$G$6:$G$405&lt;=EOMONTH($AO2340,0)))&gt;0)*(((職員マスタ!$H$6:$H$405="")+(職員マスタ!$H$6:$H$405&gt;=$AO2340))&gt;0)*(ROW(職員マスタ!$A$6:$A$405)-5))),IFERROR(MATCH($B2340,職員マスタ!$A$6:$A$405,0),"")))</f>
        <v/>
      </c>
      <c r="AO2340" s="16">
        <f>IF(OR($B2340="",$C2340="",$D2340=""),"",DATE($C2340+2018,$D2340,1))</f>
        <v/>
      </c>
    </row>
    <row r="2341">
      <c r="A2341" s="11" t="n"/>
      <c r="B2341" s="12" t="n"/>
      <c r="C2341" s="12" t="n"/>
      <c r="D2341" s="12" t="n"/>
      <c r="E2341" s="13" t="n"/>
      <c r="F2341" s="12" t="n"/>
      <c r="G2341" s="13" t="n"/>
      <c r="H2341" s="12" t="n"/>
      <c r="I2341" s="12" t="n"/>
      <c r="J2341" s="12" t="n"/>
      <c r="K2341" s="12" t="n"/>
      <c r="L2341" s="11" t="n"/>
      <c r="M2341" s="11" t="n"/>
      <c r="N2341" s="11" t="n"/>
      <c r="O2341" s="11" t="n"/>
      <c r="P2341" s="12" t="n"/>
      <c r="Q2341" s="11" t="n"/>
      <c r="R2341" s="12" t="n"/>
      <c r="S2341" s="11" t="n"/>
      <c r="T2341" s="12" t="n"/>
      <c r="U2341" s="12" t="n"/>
      <c r="V2341" s="14">
        <f>IF($AN2341="",IF($B2341="","",$H2341),IF(INDEX(職員マスタ!$B$6:$B$405,$AN2341)="",$H2341,INDEX(職員マスタ!$B$6:$B$405,$AN2341)))</f>
        <v/>
      </c>
      <c r="W2341" s="14">
        <f>IF($AN2341="",IF($B2341="","",$R2341),IF(INDEX(職員マスタ!$C$6:$C$405,$AN2341)="",$R2341,INDEX(職員マスタ!$C$6:$C$405,$AN2341)))</f>
        <v/>
      </c>
      <c r="X2341" s="14">
        <f>IF($AO2341="","","R"&amp;$C2341&amp;"."&amp;$D2341)</f>
        <v/>
      </c>
      <c r="Y2341" s="15">
        <f>IF($AN2341="","",IF(INDEX(職員マスタ!$K$6:$K$405,$AN2341)="","",INDEX(職員マスタ!$K$6:$K$405,$AN2341)))</f>
        <v/>
      </c>
      <c r="Z2341" s="14">
        <f>IF(OR($E2341="",$Y2341=""),"",IF($E2341&gt;=$Y2341,"×",IF($E2341&gt;=$Y2341*設定!$C$5,"△","○")))</f>
        <v/>
      </c>
      <c r="AA2341" s="15">
        <f>IF($Z2341="","",IF($Z2341="×",0,IF($Z2341="○",ROUNDDOWN($E2341*設定!$C$4,0),ROUNDDOWN($E2341*ROUND((9*$Y2341-9*$E2341)/(10*$E2341),4),0))))</f>
        <v/>
      </c>
      <c r="AB2341" s="13" t="n"/>
      <c r="AC2341" s="15">
        <f>IF($B2341="","",IF($AB2341&lt;&gt;"",$AB2341,IF($AA2341="","",IF($AA2341&lt;=設定!$C$3,0,$AA2341))))</f>
        <v/>
      </c>
      <c r="AD2341" s="14">
        <f>IF($B2341="","",IF(AND($AE2341&lt;&gt;"",$AG2341="",$AJ2341=""),"保留中",IF($AJ2341&lt;&gt;"",IF(N($AC2341)&gt;0,"支給済","不支給"),IF($AC2341="","要確認",IF($AC2341=0,"不支給","未処理")))))</f>
        <v/>
      </c>
      <c r="AE2341" s="12" t="n"/>
      <c r="AF2341" s="11" t="n"/>
      <c r="AG2341" s="11" t="n"/>
      <c r="AH2341" s="11" t="n"/>
      <c r="AI2341" s="14">
        <f>IF(AND($AD2341="保留中",$AF2341&lt;&gt;""),TODAY()-$AF2341,"")</f>
        <v/>
      </c>
      <c r="AJ2341" s="12" t="n"/>
      <c r="AK2341" s="14">
        <f>IF($B2341="","",IF($AO2341="","対象年月が未入力／","")&amp;IF($B2341="","",IF($AN2341="","職員マスタに未登録の職員番号／",IF($Y2341="","標準報酬月額が未登録／","")&amp;IF(AND($AO2341&lt;&gt;"",OR(AND(INDEX(職員マスタ!$G$6:$G$405,$AN2341)&lt;&gt;"",INDEX(職員マスタ!$G$6:$G$405,$AN2341)&gt;EOMONTH($AO2341,0)),AND(INDEX(職員マスタ!$H$6:$H$405,$AN2341)&lt;&gt;"",INDEX(職員マスタ!$H$6:$H$405,$AN2341)&lt;$AO2341))),"対象月が時短期間外／","")&amp;IF(AND(INDEX(職員マスタ!$F$6:$F$405,$AN2341)&lt;&gt;"",$AO2341&lt;&gt;"",INDEX(職員マスタ!$F$6:$F$405,$AN2341)&lt;$AO2341),"対象月に子が2歳到達済／","")&amp;IF(AND($H2341&lt;&gt;"",INDEX(職員マスタ!$B$6:$B$405,$AN2341)&lt;&gt;"",SUBSTITUTE(SUBSTITUTE($H2341," ","")," ","")&lt;&gt;SUBSTITUTE(SUBSTITUTE(INDEX(職員マスタ!$B$6:$B$405,$AN2341)," ","")," ","")),"氏名がマスタと相違／","")&amp;IF(AND($Q2341&lt;&gt;"",INDEX(職員マスタ!$E$6:$E$405,$AN2341)&lt;&gt;"",$Q2341&lt;&gt;INDEX(職員マスタ!$E$6:$E$405,$AN2341)),"子の生年月日がマスタと相違／","")&amp;IF(AND($L2341&lt;&gt;"",INDEX(職員マスタ!$G$6:$G$405,$AN2341)&lt;&gt;"",$L2341&lt;&gt;INDEX(職員マスタ!$G$6:$G$405,$AN2341)),"時短開始日がマスタと相違／","")&amp;IF(AND($M2341&lt;&gt;"",INDEX(職員マスタ!$H$6:$H$405,$AN2341)&lt;&gt;"",$M2341&lt;&gt;INDEX(職員マスタ!$H$6:$H$405,$AN2341)),"時短終了日がマスタと相違／","")))&amp;IF(AND($B2341&lt;&gt;"",$E2341=""),"報酬額が未入力／","")&amp;IF(N($U2341)&gt;0,"申請書に入力エラーが残っています／","")&amp;IF(AND($B2341&lt;&gt;"",$AO2341&lt;&gt;""),IF(COUNTIFS($B$6:$B$3005,$B2341,$C$6:$C$3005,$C2341,$D$6:$D$3005,$D2341)&gt;1,"同じ月の請求が重複しています／",""),"")&amp;IF(AND(N($E2341)&gt;0,$Z2341&lt;&gt;"",$Z2341&lt;&gt;"×",$AC2341=0,$AB2341=""),"計算額が下限以下のため不支給／",""))</f>
        <v/>
      </c>
      <c r="AL2341" s="12" t="n"/>
      <c r="AM2341" s="14">
        <f>IF($AD2341="保留中",COUNTIF($AD$6:$AD2341,"保留中"),"")</f>
        <v/>
      </c>
      <c r="AN2341" s="14">
        <f>IF($AO2341="","",IF(SUMPRODUCT(MAX((職員マスタ!$A$6:$A$405=$B2341)*(((職員マスタ!$G$6:$G$405="")+(職員マスタ!$G$6:$G$405&lt;=EOMONTH($AO2341,0)))&gt;0)*(((職員マスタ!$H$6:$H$405="")+(職員マスタ!$H$6:$H$405&gt;=$AO2341))&gt;0)*(ROW(職員マスタ!$A$6:$A$405)-5)))&gt;0,SUMPRODUCT(MAX((職員マスタ!$A$6:$A$405=$B2341)*(((職員マスタ!$G$6:$G$405="")+(職員マスタ!$G$6:$G$405&lt;=EOMONTH($AO2341,0)))&gt;0)*(((職員マスタ!$H$6:$H$405="")+(職員マスタ!$H$6:$H$405&gt;=$AO2341))&gt;0)*(ROW(職員マスタ!$A$6:$A$405)-5))),IFERROR(MATCH($B2341,職員マスタ!$A$6:$A$405,0),"")))</f>
        <v/>
      </c>
      <c r="AO2341" s="16">
        <f>IF(OR($B2341="",$C2341="",$D2341=""),"",DATE($C2341+2018,$D2341,1))</f>
        <v/>
      </c>
    </row>
    <row r="2342">
      <c r="A2342" s="11" t="n"/>
      <c r="B2342" s="12" t="n"/>
      <c r="C2342" s="12" t="n"/>
      <c r="D2342" s="12" t="n"/>
      <c r="E2342" s="13" t="n"/>
      <c r="F2342" s="12" t="n"/>
      <c r="G2342" s="13" t="n"/>
      <c r="H2342" s="12" t="n"/>
      <c r="I2342" s="12" t="n"/>
      <c r="J2342" s="12" t="n"/>
      <c r="K2342" s="12" t="n"/>
      <c r="L2342" s="11" t="n"/>
      <c r="M2342" s="11" t="n"/>
      <c r="N2342" s="11" t="n"/>
      <c r="O2342" s="11" t="n"/>
      <c r="P2342" s="12" t="n"/>
      <c r="Q2342" s="11" t="n"/>
      <c r="R2342" s="12" t="n"/>
      <c r="S2342" s="11" t="n"/>
      <c r="T2342" s="12" t="n"/>
      <c r="U2342" s="12" t="n"/>
      <c r="V2342" s="14">
        <f>IF($AN2342="",IF($B2342="","",$H2342),IF(INDEX(職員マスタ!$B$6:$B$405,$AN2342)="",$H2342,INDEX(職員マスタ!$B$6:$B$405,$AN2342)))</f>
        <v/>
      </c>
      <c r="W2342" s="14">
        <f>IF($AN2342="",IF($B2342="","",$R2342),IF(INDEX(職員マスタ!$C$6:$C$405,$AN2342)="",$R2342,INDEX(職員マスタ!$C$6:$C$405,$AN2342)))</f>
        <v/>
      </c>
      <c r="X2342" s="14">
        <f>IF($AO2342="","","R"&amp;$C2342&amp;"."&amp;$D2342)</f>
        <v/>
      </c>
      <c r="Y2342" s="15">
        <f>IF($AN2342="","",IF(INDEX(職員マスタ!$K$6:$K$405,$AN2342)="","",INDEX(職員マスタ!$K$6:$K$405,$AN2342)))</f>
        <v/>
      </c>
      <c r="Z2342" s="14">
        <f>IF(OR($E2342="",$Y2342=""),"",IF($E2342&gt;=$Y2342,"×",IF($E2342&gt;=$Y2342*設定!$C$5,"△","○")))</f>
        <v/>
      </c>
      <c r="AA2342" s="15">
        <f>IF($Z2342="","",IF($Z2342="×",0,IF($Z2342="○",ROUNDDOWN($E2342*設定!$C$4,0),ROUNDDOWN($E2342*ROUND((9*$Y2342-9*$E2342)/(10*$E2342),4),0))))</f>
        <v/>
      </c>
      <c r="AB2342" s="13" t="n"/>
      <c r="AC2342" s="15">
        <f>IF($B2342="","",IF($AB2342&lt;&gt;"",$AB2342,IF($AA2342="","",IF($AA2342&lt;=設定!$C$3,0,$AA2342))))</f>
        <v/>
      </c>
      <c r="AD2342" s="14">
        <f>IF($B2342="","",IF(AND($AE2342&lt;&gt;"",$AG2342="",$AJ2342=""),"保留中",IF($AJ2342&lt;&gt;"",IF(N($AC2342)&gt;0,"支給済","不支給"),IF($AC2342="","要確認",IF($AC2342=0,"不支給","未処理")))))</f>
        <v/>
      </c>
      <c r="AE2342" s="12" t="n"/>
      <c r="AF2342" s="11" t="n"/>
      <c r="AG2342" s="11" t="n"/>
      <c r="AH2342" s="11" t="n"/>
      <c r="AI2342" s="14">
        <f>IF(AND($AD2342="保留中",$AF2342&lt;&gt;""),TODAY()-$AF2342,"")</f>
        <v/>
      </c>
      <c r="AJ2342" s="12" t="n"/>
      <c r="AK2342" s="14">
        <f>IF($B2342="","",IF($AO2342="","対象年月が未入力／","")&amp;IF($B2342="","",IF($AN2342="","職員マスタに未登録の職員番号／",IF($Y2342="","標準報酬月額が未登録／","")&amp;IF(AND($AO2342&lt;&gt;"",OR(AND(INDEX(職員マスタ!$G$6:$G$405,$AN2342)&lt;&gt;"",INDEX(職員マスタ!$G$6:$G$405,$AN2342)&gt;EOMONTH($AO2342,0)),AND(INDEX(職員マスタ!$H$6:$H$405,$AN2342)&lt;&gt;"",INDEX(職員マスタ!$H$6:$H$405,$AN2342)&lt;$AO2342))),"対象月が時短期間外／","")&amp;IF(AND(INDEX(職員マスタ!$F$6:$F$405,$AN2342)&lt;&gt;"",$AO2342&lt;&gt;"",INDEX(職員マスタ!$F$6:$F$405,$AN2342)&lt;$AO2342),"対象月に子が2歳到達済／","")&amp;IF(AND($H2342&lt;&gt;"",INDEX(職員マスタ!$B$6:$B$405,$AN2342)&lt;&gt;"",SUBSTITUTE(SUBSTITUTE($H2342," ","")," ","")&lt;&gt;SUBSTITUTE(SUBSTITUTE(INDEX(職員マスタ!$B$6:$B$405,$AN2342)," ","")," ","")),"氏名がマスタと相違／","")&amp;IF(AND($Q2342&lt;&gt;"",INDEX(職員マスタ!$E$6:$E$405,$AN2342)&lt;&gt;"",$Q2342&lt;&gt;INDEX(職員マスタ!$E$6:$E$405,$AN2342)),"子の生年月日がマスタと相違／","")&amp;IF(AND($L2342&lt;&gt;"",INDEX(職員マスタ!$G$6:$G$405,$AN2342)&lt;&gt;"",$L2342&lt;&gt;INDEX(職員マスタ!$G$6:$G$405,$AN2342)),"時短開始日がマスタと相違／","")&amp;IF(AND($M2342&lt;&gt;"",INDEX(職員マスタ!$H$6:$H$405,$AN2342)&lt;&gt;"",$M2342&lt;&gt;INDEX(職員マスタ!$H$6:$H$405,$AN2342)),"時短終了日がマスタと相違／","")))&amp;IF(AND($B2342&lt;&gt;"",$E2342=""),"報酬額が未入力／","")&amp;IF(N($U2342)&gt;0,"申請書に入力エラーが残っています／","")&amp;IF(AND($B2342&lt;&gt;"",$AO2342&lt;&gt;""),IF(COUNTIFS($B$6:$B$3005,$B2342,$C$6:$C$3005,$C2342,$D$6:$D$3005,$D2342)&gt;1,"同じ月の請求が重複しています／",""),"")&amp;IF(AND(N($E2342)&gt;0,$Z2342&lt;&gt;"",$Z2342&lt;&gt;"×",$AC2342=0,$AB2342=""),"計算額が下限以下のため不支給／",""))</f>
        <v/>
      </c>
      <c r="AL2342" s="12" t="n"/>
      <c r="AM2342" s="14">
        <f>IF($AD2342="保留中",COUNTIF($AD$6:$AD2342,"保留中"),"")</f>
        <v/>
      </c>
      <c r="AN2342" s="14">
        <f>IF($AO2342="","",IF(SUMPRODUCT(MAX((職員マスタ!$A$6:$A$405=$B2342)*(((職員マスタ!$G$6:$G$405="")+(職員マスタ!$G$6:$G$405&lt;=EOMONTH($AO2342,0)))&gt;0)*(((職員マスタ!$H$6:$H$405="")+(職員マスタ!$H$6:$H$405&gt;=$AO2342))&gt;0)*(ROW(職員マスタ!$A$6:$A$405)-5)))&gt;0,SUMPRODUCT(MAX((職員マスタ!$A$6:$A$405=$B2342)*(((職員マスタ!$G$6:$G$405="")+(職員マスタ!$G$6:$G$405&lt;=EOMONTH($AO2342,0)))&gt;0)*(((職員マスタ!$H$6:$H$405="")+(職員マスタ!$H$6:$H$405&gt;=$AO2342))&gt;0)*(ROW(職員マスタ!$A$6:$A$405)-5))),IFERROR(MATCH($B2342,職員マスタ!$A$6:$A$405,0),"")))</f>
        <v/>
      </c>
      <c r="AO2342" s="16">
        <f>IF(OR($B2342="",$C2342="",$D2342=""),"",DATE($C2342+2018,$D2342,1))</f>
        <v/>
      </c>
    </row>
    <row r="2343">
      <c r="A2343" s="11" t="n"/>
      <c r="B2343" s="12" t="n"/>
      <c r="C2343" s="12" t="n"/>
      <c r="D2343" s="12" t="n"/>
      <c r="E2343" s="13" t="n"/>
      <c r="F2343" s="12" t="n"/>
      <c r="G2343" s="13" t="n"/>
      <c r="H2343" s="12" t="n"/>
      <c r="I2343" s="12" t="n"/>
      <c r="J2343" s="12" t="n"/>
      <c r="K2343" s="12" t="n"/>
      <c r="L2343" s="11" t="n"/>
      <c r="M2343" s="11" t="n"/>
      <c r="N2343" s="11" t="n"/>
      <c r="O2343" s="11" t="n"/>
      <c r="P2343" s="12" t="n"/>
      <c r="Q2343" s="11" t="n"/>
      <c r="R2343" s="12" t="n"/>
      <c r="S2343" s="11" t="n"/>
      <c r="T2343" s="12" t="n"/>
      <c r="U2343" s="12" t="n"/>
      <c r="V2343" s="14">
        <f>IF($AN2343="",IF($B2343="","",$H2343),IF(INDEX(職員マスタ!$B$6:$B$405,$AN2343)="",$H2343,INDEX(職員マスタ!$B$6:$B$405,$AN2343)))</f>
        <v/>
      </c>
      <c r="W2343" s="14">
        <f>IF($AN2343="",IF($B2343="","",$R2343),IF(INDEX(職員マスタ!$C$6:$C$405,$AN2343)="",$R2343,INDEX(職員マスタ!$C$6:$C$405,$AN2343)))</f>
        <v/>
      </c>
      <c r="X2343" s="14">
        <f>IF($AO2343="","","R"&amp;$C2343&amp;"."&amp;$D2343)</f>
        <v/>
      </c>
      <c r="Y2343" s="15">
        <f>IF($AN2343="","",IF(INDEX(職員マスタ!$K$6:$K$405,$AN2343)="","",INDEX(職員マスタ!$K$6:$K$405,$AN2343)))</f>
        <v/>
      </c>
      <c r="Z2343" s="14">
        <f>IF(OR($E2343="",$Y2343=""),"",IF($E2343&gt;=$Y2343,"×",IF($E2343&gt;=$Y2343*設定!$C$5,"△","○")))</f>
        <v/>
      </c>
      <c r="AA2343" s="15">
        <f>IF($Z2343="","",IF($Z2343="×",0,IF($Z2343="○",ROUNDDOWN($E2343*設定!$C$4,0),ROUNDDOWN($E2343*ROUND((9*$Y2343-9*$E2343)/(10*$E2343),4),0))))</f>
        <v/>
      </c>
      <c r="AB2343" s="13" t="n"/>
      <c r="AC2343" s="15">
        <f>IF($B2343="","",IF($AB2343&lt;&gt;"",$AB2343,IF($AA2343="","",IF($AA2343&lt;=設定!$C$3,0,$AA2343))))</f>
        <v/>
      </c>
      <c r="AD2343" s="14">
        <f>IF($B2343="","",IF(AND($AE2343&lt;&gt;"",$AG2343="",$AJ2343=""),"保留中",IF($AJ2343&lt;&gt;"",IF(N($AC2343)&gt;0,"支給済","不支給"),IF($AC2343="","要確認",IF($AC2343=0,"不支給","未処理")))))</f>
        <v/>
      </c>
      <c r="AE2343" s="12" t="n"/>
      <c r="AF2343" s="11" t="n"/>
      <c r="AG2343" s="11" t="n"/>
      <c r="AH2343" s="11" t="n"/>
      <c r="AI2343" s="14">
        <f>IF(AND($AD2343="保留中",$AF2343&lt;&gt;""),TODAY()-$AF2343,"")</f>
        <v/>
      </c>
      <c r="AJ2343" s="12" t="n"/>
      <c r="AK2343" s="14">
        <f>IF($B2343="","",IF($AO2343="","対象年月が未入力／","")&amp;IF($B2343="","",IF($AN2343="","職員マスタに未登録の職員番号／",IF($Y2343="","標準報酬月額が未登録／","")&amp;IF(AND($AO2343&lt;&gt;"",OR(AND(INDEX(職員マスタ!$G$6:$G$405,$AN2343)&lt;&gt;"",INDEX(職員マスタ!$G$6:$G$405,$AN2343)&gt;EOMONTH($AO2343,0)),AND(INDEX(職員マスタ!$H$6:$H$405,$AN2343)&lt;&gt;"",INDEX(職員マスタ!$H$6:$H$405,$AN2343)&lt;$AO2343))),"対象月が時短期間外／","")&amp;IF(AND(INDEX(職員マスタ!$F$6:$F$405,$AN2343)&lt;&gt;"",$AO2343&lt;&gt;"",INDEX(職員マスタ!$F$6:$F$405,$AN2343)&lt;$AO2343),"対象月に子が2歳到達済／","")&amp;IF(AND($H2343&lt;&gt;"",INDEX(職員マスタ!$B$6:$B$405,$AN2343)&lt;&gt;"",SUBSTITUTE(SUBSTITUTE($H2343," ","")," ","")&lt;&gt;SUBSTITUTE(SUBSTITUTE(INDEX(職員マスタ!$B$6:$B$405,$AN2343)," ","")," ","")),"氏名がマスタと相違／","")&amp;IF(AND($Q2343&lt;&gt;"",INDEX(職員マスタ!$E$6:$E$405,$AN2343)&lt;&gt;"",$Q2343&lt;&gt;INDEX(職員マスタ!$E$6:$E$405,$AN2343)),"子の生年月日がマスタと相違／","")&amp;IF(AND($L2343&lt;&gt;"",INDEX(職員マスタ!$G$6:$G$405,$AN2343)&lt;&gt;"",$L2343&lt;&gt;INDEX(職員マスタ!$G$6:$G$405,$AN2343)),"時短開始日がマスタと相違／","")&amp;IF(AND($M2343&lt;&gt;"",INDEX(職員マスタ!$H$6:$H$405,$AN2343)&lt;&gt;"",$M2343&lt;&gt;INDEX(職員マスタ!$H$6:$H$405,$AN2343)),"時短終了日がマスタと相違／","")))&amp;IF(AND($B2343&lt;&gt;"",$E2343=""),"報酬額が未入力／","")&amp;IF(N($U2343)&gt;0,"申請書に入力エラーが残っています／","")&amp;IF(AND($B2343&lt;&gt;"",$AO2343&lt;&gt;""),IF(COUNTIFS($B$6:$B$3005,$B2343,$C$6:$C$3005,$C2343,$D$6:$D$3005,$D2343)&gt;1,"同じ月の請求が重複しています／",""),"")&amp;IF(AND(N($E2343)&gt;0,$Z2343&lt;&gt;"",$Z2343&lt;&gt;"×",$AC2343=0,$AB2343=""),"計算額が下限以下のため不支給／",""))</f>
        <v/>
      </c>
      <c r="AL2343" s="12" t="n"/>
      <c r="AM2343" s="14">
        <f>IF($AD2343="保留中",COUNTIF($AD$6:$AD2343,"保留中"),"")</f>
        <v/>
      </c>
      <c r="AN2343" s="14">
        <f>IF($AO2343="","",IF(SUMPRODUCT(MAX((職員マスタ!$A$6:$A$405=$B2343)*(((職員マスタ!$G$6:$G$405="")+(職員マスタ!$G$6:$G$405&lt;=EOMONTH($AO2343,0)))&gt;0)*(((職員マスタ!$H$6:$H$405="")+(職員マスタ!$H$6:$H$405&gt;=$AO2343))&gt;0)*(ROW(職員マスタ!$A$6:$A$405)-5)))&gt;0,SUMPRODUCT(MAX((職員マスタ!$A$6:$A$405=$B2343)*(((職員マスタ!$G$6:$G$405="")+(職員マスタ!$G$6:$G$405&lt;=EOMONTH($AO2343,0)))&gt;0)*(((職員マスタ!$H$6:$H$405="")+(職員マスタ!$H$6:$H$405&gt;=$AO2343))&gt;0)*(ROW(職員マスタ!$A$6:$A$405)-5))),IFERROR(MATCH($B2343,職員マスタ!$A$6:$A$405,0),"")))</f>
        <v/>
      </c>
      <c r="AO2343" s="16">
        <f>IF(OR($B2343="",$C2343="",$D2343=""),"",DATE($C2343+2018,$D2343,1))</f>
        <v/>
      </c>
    </row>
    <row r="2344">
      <c r="A2344" s="11" t="n"/>
      <c r="B2344" s="12" t="n"/>
      <c r="C2344" s="12" t="n"/>
      <c r="D2344" s="12" t="n"/>
      <c r="E2344" s="13" t="n"/>
      <c r="F2344" s="12" t="n"/>
      <c r="G2344" s="13" t="n"/>
      <c r="H2344" s="12" t="n"/>
      <c r="I2344" s="12" t="n"/>
      <c r="J2344" s="12" t="n"/>
      <c r="K2344" s="12" t="n"/>
      <c r="L2344" s="11" t="n"/>
      <c r="M2344" s="11" t="n"/>
      <c r="N2344" s="11" t="n"/>
      <c r="O2344" s="11" t="n"/>
      <c r="P2344" s="12" t="n"/>
      <c r="Q2344" s="11" t="n"/>
      <c r="R2344" s="12" t="n"/>
      <c r="S2344" s="11" t="n"/>
      <c r="T2344" s="12" t="n"/>
      <c r="U2344" s="12" t="n"/>
      <c r="V2344" s="14">
        <f>IF($AN2344="",IF($B2344="","",$H2344),IF(INDEX(職員マスタ!$B$6:$B$405,$AN2344)="",$H2344,INDEX(職員マスタ!$B$6:$B$405,$AN2344)))</f>
        <v/>
      </c>
      <c r="W2344" s="14">
        <f>IF($AN2344="",IF($B2344="","",$R2344),IF(INDEX(職員マスタ!$C$6:$C$405,$AN2344)="",$R2344,INDEX(職員マスタ!$C$6:$C$405,$AN2344)))</f>
        <v/>
      </c>
      <c r="X2344" s="14">
        <f>IF($AO2344="","","R"&amp;$C2344&amp;"."&amp;$D2344)</f>
        <v/>
      </c>
      <c r="Y2344" s="15">
        <f>IF($AN2344="","",IF(INDEX(職員マスタ!$K$6:$K$405,$AN2344)="","",INDEX(職員マスタ!$K$6:$K$405,$AN2344)))</f>
        <v/>
      </c>
      <c r="Z2344" s="14">
        <f>IF(OR($E2344="",$Y2344=""),"",IF($E2344&gt;=$Y2344,"×",IF($E2344&gt;=$Y2344*設定!$C$5,"△","○")))</f>
        <v/>
      </c>
      <c r="AA2344" s="15">
        <f>IF($Z2344="","",IF($Z2344="×",0,IF($Z2344="○",ROUNDDOWN($E2344*設定!$C$4,0),ROUNDDOWN($E2344*ROUND((9*$Y2344-9*$E2344)/(10*$E2344),4),0))))</f>
        <v/>
      </c>
      <c r="AB2344" s="13" t="n"/>
      <c r="AC2344" s="15">
        <f>IF($B2344="","",IF($AB2344&lt;&gt;"",$AB2344,IF($AA2344="","",IF($AA2344&lt;=設定!$C$3,0,$AA2344))))</f>
        <v/>
      </c>
      <c r="AD2344" s="14">
        <f>IF($B2344="","",IF(AND($AE2344&lt;&gt;"",$AG2344="",$AJ2344=""),"保留中",IF($AJ2344&lt;&gt;"",IF(N($AC2344)&gt;0,"支給済","不支給"),IF($AC2344="","要確認",IF($AC2344=0,"不支給","未処理")))))</f>
        <v/>
      </c>
      <c r="AE2344" s="12" t="n"/>
      <c r="AF2344" s="11" t="n"/>
      <c r="AG2344" s="11" t="n"/>
      <c r="AH2344" s="11" t="n"/>
      <c r="AI2344" s="14">
        <f>IF(AND($AD2344="保留中",$AF2344&lt;&gt;""),TODAY()-$AF2344,"")</f>
        <v/>
      </c>
      <c r="AJ2344" s="12" t="n"/>
      <c r="AK2344" s="14">
        <f>IF($B2344="","",IF($AO2344="","対象年月が未入力／","")&amp;IF($B2344="","",IF($AN2344="","職員マスタに未登録の職員番号／",IF($Y2344="","標準報酬月額が未登録／","")&amp;IF(AND($AO2344&lt;&gt;"",OR(AND(INDEX(職員マスタ!$G$6:$G$405,$AN2344)&lt;&gt;"",INDEX(職員マスタ!$G$6:$G$405,$AN2344)&gt;EOMONTH($AO2344,0)),AND(INDEX(職員マスタ!$H$6:$H$405,$AN2344)&lt;&gt;"",INDEX(職員マスタ!$H$6:$H$405,$AN2344)&lt;$AO2344))),"対象月が時短期間外／","")&amp;IF(AND(INDEX(職員マスタ!$F$6:$F$405,$AN2344)&lt;&gt;"",$AO2344&lt;&gt;"",INDEX(職員マスタ!$F$6:$F$405,$AN2344)&lt;$AO2344),"対象月に子が2歳到達済／","")&amp;IF(AND($H2344&lt;&gt;"",INDEX(職員マスタ!$B$6:$B$405,$AN2344)&lt;&gt;"",SUBSTITUTE(SUBSTITUTE($H2344," ","")," ","")&lt;&gt;SUBSTITUTE(SUBSTITUTE(INDEX(職員マスタ!$B$6:$B$405,$AN2344)," ","")," ","")),"氏名がマスタと相違／","")&amp;IF(AND($Q2344&lt;&gt;"",INDEX(職員マスタ!$E$6:$E$405,$AN2344)&lt;&gt;"",$Q2344&lt;&gt;INDEX(職員マスタ!$E$6:$E$405,$AN2344)),"子の生年月日がマスタと相違／","")&amp;IF(AND($L2344&lt;&gt;"",INDEX(職員マスタ!$G$6:$G$405,$AN2344)&lt;&gt;"",$L2344&lt;&gt;INDEX(職員マスタ!$G$6:$G$405,$AN2344)),"時短開始日がマスタと相違／","")&amp;IF(AND($M2344&lt;&gt;"",INDEX(職員マスタ!$H$6:$H$405,$AN2344)&lt;&gt;"",$M2344&lt;&gt;INDEX(職員マスタ!$H$6:$H$405,$AN2344)),"時短終了日がマスタと相違／","")))&amp;IF(AND($B2344&lt;&gt;"",$E2344=""),"報酬額が未入力／","")&amp;IF(N($U2344)&gt;0,"申請書に入力エラーが残っています／","")&amp;IF(AND($B2344&lt;&gt;"",$AO2344&lt;&gt;""),IF(COUNTIFS($B$6:$B$3005,$B2344,$C$6:$C$3005,$C2344,$D$6:$D$3005,$D2344)&gt;1,"同じ月の請求が重複しています／",""),"")&amp;IF(AND(N($E2344)&gt;0,$Z2344&lt;&gt;"",$Z2344&lt;&gt;"×",$AC2344=0,$AB2344=""),"計算額が下限以下のため不支給／",""))</f>
        <v/>
      </c>
      <c r="AL2344" s="12" t="n"/>
      <c r="AM2344" s="14">
        <f>IF($AD2344="保留中",COUNTIF($AD$6:$AD2344,"保留中"),"")</f>
        <v/>
      </c>
      <c r="AN2344" s="14">
        <f>IF($AO2344="","",IF(SUMPRODUCT(MAX((職員マスタ!$A$6:$A$405=$B2344)*(((職員マスタ!$G$6:$G$405="")+(職員マスタ!$G$6:$G$405&lt;=EOMONTH($AO2344,0)))&gt;0)*(((職員マスタ!$H$6:$H$405="")+(職員マスタ!$H$6:$H$405&gt;=$AO2344))&gt;0)*(ROW(職員マスタ!$A$6:$A$405)-5)))&gt;0,SUMPRODUCT(MAX((職員マスタ!$A$6:$A$405=$B2344)*(((職員マスタ!$G$6:$G$405="")+(職員マスタ!$G$6:$G$405&lt;=EOMONTH($AO2344,0)))&gt;0)*(((職員マスタ!$H$6:$H$405="")+(職員マスタ!$H$6:$H$405&gt;=$AO2344))&gt;0)*(ROW(職員マスタ!$A$6:$A$405)-5))),IFERROR(MATCH($B2344,職員マスタ!$A$6:$A$405,0),"")))</f>
        <v/>
      </c>
      <c r="AO2344" s="16">
        <f>IF(OR($B2344="",$C2344="",$D2344=""),"",DATE($C2344+2018,$D2344,1))</f>
        <v/>
      </c>
    </row>
    <row r="2345">
      <c r="A2345" s="11" t="n"/>
      <c r="B2345" s="12" t="n"/>
      <c r="C2345" s="12" t="n"/>
      <c r="D2345" s="12" t="n"/>
      <c r="E2345" s="13" t="n"/>
      <c r="F2345" s="12" t="n"/>
      <c r="G2345" s="13" t="n"/>
      <c r="H2345" s="12" t="n"/>
      <c r="I2345" s="12" t="n"/>
      <c r="J2345" s="12" t="n"/>
      <c r="K2345" s="12" t="n"/>
      <c r="L2345" s="11" t="n"/>
      <c r="M2345" s="11" t="n"/>
      <c r="N2345" s="11" t="n"/>
      <c r="O2345" s="11" t="n"/>
      <c r="P2345" s="12" t="n"/>
      <c r="Q2345" s="11" t="n"/>
      <c r="R2345" s="12" t="n"/>
      <c r="S2345" s="11" t="n"/>
      <c r="T2345" s="12" t="n"/>
      <c r="U2345" s="12" t="n"/>
      <c r="V2345" s="14">
        <f>IF($AN2345="",IF($B2345="","",$H2345),IF(INDEX(職員マスタ!$B$6:$B$405,$AN2345)="",$H2345,INDEX(職員マスタ!$B$6:$B$405,$AN2345)))</f>
        <v/>
      </c>
      <c r="W2345" s="14">
        <f>IF($AN2345="",IF($B2345="","",$R2345),IF(INDEX(職員マスタ!$C$6:$C$405,$AN2345)="",$R2345,INDEX(職員マスタ!$C$6:$C$405,$AN2345)))</f>
        <v/>
      </c>
      <c r="X2345" s="14">
        <f>IF($AO2345="","","R"&amp;$C2345&amp;"."&amp;$D2345)</f>
        <v/>
      </c>
      <c r="Y2345" s="15">
        <f>IF($AN2345="","",IF(INDEX(職員マスタ!$K$6:$K$405,$AN2345)="","",INDEX(職員マスタ!$K$6:$K$405,$AN2345)))</f>
        <v/>
      </c>
      <c r="Z2345" s="14">
        <f>IF(OR($E2345="",$Y2345=""),"",IF($E2345&gt;=$Y2345,"×",IF($E2345&gt;=$Y2345*設定!$C$5,"△","○")))</f>
        <v/>
      </c>
      <c r="AA2345" s="15">
        <f>IF($Z2345="","",IF($Z2345="×",0,IF($Z2345="○",ROUNDDOWN($E2345*設定!$C$4,0),ROUNDDOWN($E2345*ROUND((9*$Y2345-9*$E2345)/(10*$E2345),4),0))))</f>
        <v/>
      </c>
      <c r="AB2345" s="13" t="n"/>
      <c r="AC2345" s="15">
        <f>IF($B2345="","",IF($AB2345&lt;&gt;"",$AB2345,IF($AA2345="","",IF($AA2345&lt;=設定!$C$3,0,$AA2345))))</f>
        <v/>
      </c>
      <c r="AD2345" s="14">
        <f>IF($B2345="","",IF(AND($AE2345&lt;&gt;"",$AG2345="",$AJ2345=""),"保留中",IF($AJ2345&lt;&gt;"",IF(N($AC2345)&gt;0,"支給済","不支給"),IF($AC2345="","要確認",IF($AC2345=0,"不支給","未処理")))))</f>
        <v/>
      </c>
      <c r="AE2345" s="12" t="n"/>
      <c r="AF2345" s="11" t="n"/>
      <c r="AG2345" s="11" t="n"/>
      <c r="AH2345" s="11" t="n"/>
      <c r="AI2345" s="14">
        <f>IF(AND($AD2345="保留中",$AF2345&lt;&gt;""),TODAY()-$AF2345,"")</f>
        <v/>
      </c>
      <c r="AJ2345" s="12" t="n"/>
      <c r="AK2345" s="14">
        <f>IF($B2345="","",IF($AO2345="","対象年月が未入力／","")&amp;IF($B2345="","",IF($AN2345="","職員マスタに未登録の職員番号／",IF($Y2345="","標準報酬月額が未登録／","")&amp;IF(AND($AO2345&lt;&gt;"",OR(AND(INDEX(職員マスタ!$G$6:$G$405,$AN2345)&lt;&gt;"",INDEX(職員マスタ!$G$6:$G$405,$AN2345)&gt;EOMONTH($AO2345,0)),AND(INDEX(職員マスタ!$H$6:$H$405,$AN2345)&lt;&gt;"",INDEX(職員マスタ!$H$6:$H$405,$AN2345)&lt;$AO2345))),"対象月が時短期間外／","")&amp;IF(AND(INDEX(職員マスタ!$F$6:$F$405,$AN2345)&lt;&gt;"",$AO2345&lt;&gt;"",INDEX(職員マスタ!$F$6:$F$405,$AN2345)&lt;$AO2345),"対象月に子が2歳到達済／","")&amp;IF(AND($H2345&lt;&gt;"",INDEX(職員マスタ!$B$6:$B$405,$AN2345)&lt;&gt;"",SUBSTITUTE(SUBSTITUTE($H2345," ","")," ","")&lt;&gt;SUBSTITUTE(SUBSTITUTE(INDEX(職員マスタ!$B$6:$B$405,$AN2345)," ","")," ","")),"氏名がマスタと相違／","")&amp;IF(AND($Q2345&lt;&gt;"",INDEX(職員マスタ!$E$6:$E$405,$AN2345)&lt;&gt;"",$Q2345&lt;&gt;INDEX(職員マスタ!$E$6:$E$405,$AN2345)),"子の生年月日がマスタと相違／","")&amp;IF(AND($L2345&lt;&gt;"",INDEX(職員マスタ!$G$6:$G$405,$AN2345)&lt;&gt;"",$L2345&lt;&gt;INDEX(職員マスタ!$G$6:$G$405,$AN2345)),"時短開始日がマスタと相違／","")&amp;IF(AND($M2345&lt;&gt;"",INDEX(職員マスタ!$H$6:$H$405,$AN2345)&lt;&gt;"",$M2345&lt;&gt;INDEX(職員マスタ!$H$6:$H$405,$AN2345)),"時短終了日がマスタと相違／","")))&amp;IF(AND($B2345&lt;&gt;"",$E2345=""),"報酬額が未入力／","")&amp;IF(N($U2345)&gt;0,"申請書に入力エラーが残っています／","")&amp;IF(AND($B2345&lt;&gt;"",$AO2345&lt;&gt;""),IF(COUNTIFS($B$6:$B$3005,$B2345,$C$6:$C$3005,$C2345,$D$6:$D$3005,$D2345)&gt;1,"同じ月の請求が重複しています／",""),"")&amp;IF(AND(N($E2345)&gt;0,$Z2345&lt;&gt;"",$Z2345&lt;&gt;"×",$AC2345=0,$AB2345=""),"計算額が下限以下のため不支給／",""))</f>
        <v/>
      </c>
      <c r="AL2345" s="12" t="n"/>
      <c r="AM2345" s="14">
        <f>IF($AD2345="保留中",COUNTIF($AD$6:$AD2345,"保留中"),"")</f>
        <v/>
      </c>
      <c r="AN2345" s="14">
        <f>IF($AO2345="","",IF(SUMPRODUCT(MAX((職員マスタ!$A$6:$A$405=$B2345)*(((職員マスタ!$G$6:$G$405="")+(職員マスタ!$G$6:$G$405&lt;=EOMONTH($AO2345,0)))&gt;0)*(((職員マスタ!$H$6:$H$405="")+(職員マスタ!$H$6:$H$405&gt;=$AO2345))&gt;0)*(ROW(職員マスタ!$A$6:$A$405)-5)))&gt;0,SUMPRODUCT(MAX((職員マスタ!$A$6:$A$405=$B2345)*(((職員マスタ!$G$6:$G$405="")+(職員マスタ!$G$6:$G$405&lt;=EOMONTH($AO2345,0)))&gt;0)*(((職員マスタ!$H$6:$H$405="")+(職員マスタ!$H$6:$H$405&gt;=$AO2345))&gt;0)*(ROW(職員マスタ!$A$6:$A$405)-5))),IFERROR(MATCH($B2345,職員マスタ!$A$6:$A$405,0),"")))</f>
        <v/>
      </c>
      <c r="AO2345" s="16">
        <f>IF(OR($B2345="",$C2345="",$D2345=""),"",DATE($C2345+2018,$D2345,1))</f>
        <v/>
      </c>
    </row>
    <row r="2346">
      <c r="A2346" s="11" t="n"/>
      <c r="B2346" s="12" t="n"/>
      <c r="C2346" s="12" t="n"/>
      <c r="D2346" s="12" t="n"/>
      <c r="E2346" s="13" t="n"/>
      <c r="F2346" s="12" t="n"/>
      <c r="G2346" s="13" t="n"/>
      <c r="H2346" s="12" t="n"/>
      <c r="I2346" s="12" t="n"/>
      <c r="J2346" s="12" t="n"/>
      <c r="K2346" s="12" t="n"/>
      <c r="L2346" s="11" t="n"/>
      <c r="M2346" s="11" t="n"/>
      <c r="N2346" s="11" t="n"/>
      <c r="O2346" s="11" t="n"/>
      <c r="P2346" s="12" t="n"/>
      <c r="Q2346" s="11" t="n"/>
      <c r="R2346" s="12" t="n"/>
      <c r="S2346" s="11" t="n"/>
      <c r="T2346" s="12" t="n"/>
      <c r="U2346" s="12" t="n"/>
      <c r="V2346" s="14">
        <f>IF($AN2346="",IF($B2346="","",$H2346),IF(INDEX(職員マスタ!$B$6:$B$405,$AN2346)="",$H2346,INDEX(職員マスタ!$B$6:$B$405,$AN2346)))</f>
        <v/>
      </c>
      <c r="W2346" s="14">
        <f>IF($AN2346="",IF($B2346="","",$R2346),IF(INDEX(職員マスタ!$C$6:$C$405,$AN2346)="",$R2346,INDEX(職員マスタ!$C$6:$C$405,$AN2346)))</f>
        <v/>
      </c>
      <c r="X2346" s="14">
        <f>IF($AO2346="","","R"&amp;$C2346&amp;"."&amp;$D2346)</f>
        <v/>
      </c>
      <c r="Y2346" s="15">
        <f>IF($AN2346="","",IF(INDEX(職員マスタ!$K$6:$K$405,$AN2346)="","",INDEX(職員マスタ!$K$6:$K$405,$AN2346)))</f>
        <v/>
      </c>
      <c r="Z2346" s="14">
        <f>IF(OR($E2346="",$Y2346=""),"",IF($E2346&gt;=$Y2346,"×",IF($E2346&gt;=$Y2346*設定!$C$5,"△","○")))</f>
        <v/>
      </c>
      <c r="AA2346" s="15">
        <f>IF($Z2346="","",IF($Z2346="×",0,IF($Z2346="○",ROUNDDOWN($E2346*設定!$C$4,0),ROUNDDOWN($E2346*ROUND((9*$Y2346-9*$E2346)/(10*$E2346),4),0))))</f>
        <v/>
      </c>
      <c r="AB2346" s="13" t="n"/>
      <c r="AC2346" s="15">
        <f>IF($B2346="","",IF($AB2346&lt;&gt;"",$AB2346,IF($AA2346="","",IF($AA2346&lt;=設定!$C$3,0,$AA2346))))</f>
        <v/>
      </c>
      <c r="AD2346" s="14">
        <f>IF($B2346="","",IF(AND($AE2346&lt;&gt;"",$AG2346="",$AJ2346=""),"保留中",IF($AJ2346&lt;&gt;"",IF(N($AC2346)&gt;0,"支給済","不支給"),IF($AC2346="","要確認",IF($AC2346=0,"不支給","未処理")))))</f>
        <v/>
      </c>
      <c r="AE2346" s="12" t="n"/>
      <c r="AF2346" s="11" t="n"/>
      <c r="AG2346" s="11" t="n"/>
      <c r="AH2346" s="11" t="n"/>
      <c r="AI2346" s="14">
        <f>IF(AND($AD2346="保留中",$AF2346&lt;&gt;""),TODAY()-$AF2346,"")</f>
        <v/>
      </c>
      <c r="AJ2346" s="12" t="n"/>
      <c r="AK2346" s="14">
        <f>IF($B2346="","",IF($AO2346="","対象年月が未入力／","")&amp;IF($B2346="","",IF($AN2346="","職員マスタに未登録の職員番号／",IF($Y2346="","標準報酬月額が未登録／","")&amp;IF(AND($AO2346&lt;&gt;"",OR(AND(INDEX(職員マスタ!$G$6:$G$405,$AN2346)&lt;&gt;"",INDEX(職員マスタ!$G$6:$G$405,$AN2346)&gt;EOMONTH($AO2346,0)),AND(INDEX(職員マスタ!$H$6:$H$405,$AN2346)&lt;&gt;"",INDEX(職員マスタ!$H$6:$H$405,$AN2346)&lt;$AO2346))),"対象月が時短期間外／","")&amp;IF(AND(INDEX(職員マスタ!$F$6:$F$405,$AN2346)&lt;&gt;"",$AO2346&lt;&gt;"",INDEX(職員マスタ!$F$6:$F$405,$AN2346)&lt;$AO2346),"対象月に子が2歳到達済／","")&amp;IF(AND($H2346&lt;&gt;"",INDEX(職員マスタ!$B$6:$B$405,$AN2346)&lt;&gt;"",SUBSTITUTE(SUBSTITUTE($H2346," ","")," ","")&lt;&gt;SUBSTITUTE(SUBSTITUTE(INDEX(職員マスタ!$B$6:$B$405,$AN2346)," ","")," ","")),"氏名がマスタと相違／","")&amp;IF(AND($Q2346&lt;&gt;"",INDEX(職員マスタ!$E$6:$E$405,$AN2346)&lt;&gt;"",$Q2346&lt;&gt;INDEX(職員マスタ!$E$6:$E$405,$AN2346)),"子の生年月日がマスタと相違／","")&amp;IF(AND($L2346&lt;&gt;"",INDEX(職員マスタ!$G$6:$G$405,$AN2346)&lt;&gt;"",$L2346&lt;&gt;INDEX(職員マスタ!$G$6:$G$405,$AN2346)),"時短開始日がマスタと相違／","")&amp;IF(AND($M2346&lt;&gt;"",INDEX(職員マスタ!$H$6:$H$405,$AN2346)&lt;&gt;"",$M2346&lt;&gt;INDEX(職員マスタ!$H$6:$H$405,$AN2346)),"時短終了日がマスタと相違／","")))&amp;IF(AND($B2346&lt;&gt;"",$E2346=""),"報酬額が未入力／","")&amp;IF(N($U2346)&gt;0,"申請書に入力エラーが残っています／","")&amp;IF(AND($B2346&lt;&gt;"",$AO2346&lt;&gt;""),IF(COUNTIFS($B$6:$B$3005,$B2346,$C$6:$C$3005,$C2346,$D$6:$D$3005,$D2346)&gt;1,"同じ月の請求が重複しています／",""),"")&amp;IF(AND(N($E2346)&gt;0,$Z2346&lt;&gt;"",$Z2346&lt;&gt;"×",$AC2346=0,$AB2346=""),"計算額が下限以下のため不支給／",""))</f>
        <v/>
      </c>
      <c r="AL2346" s="12" t="n"/>
      <c r="AM2346" s="14">
        <f>IF($AD2346="保留中",COUNTIF($AD$6:$AD2346,"保留中"),"")</f>
        <v/>
      </c>
      <c r="AN2346" s="14">
        <f>IF($AO2346="","",IF(SUMPRODUCT(MAX((職員マスタ!$A$6:$A$405=$B2346)*(((職員マスタ!$G$6:$G$405="")+(職員マスタ!$G$6:$G$405&lt;=EOMONTH($AO2346,0)))&gt;0)*(((職員マスタ!$H$6:$H$405="")+(職員マスタ!$H$6:$H$405&gt;=$AO2346))&gt;0)*(ROW(職員マスタ!$A$6:$A$405)-5)))&gt;0,SUMPRODUCT(MAX((職員マスタ!$A$6:$A$405=$B2346)*(((職員マスタ!$G$6:$G$405="")+(職員マスタ!$G$6:$G$405&lt;=EOMONTH($AO2346,0)))&gt;0)*(((職員マスタ!$H$6:$H$405="")+(職員マスタ!$H$6:$H$405&gt;=$AO2346))&gt;0)*(ROW(職員マスタ!$A$6:$A$405)-5))),IFERROR(MATCH($B2346,職員マスタ!$A$6:$A$405,0),"")))</f>
        <v/>
      </c>
      <c r="AO2346" s="16">
        <f>IF(OR($B2346="",$C2346="",$D2346=""),"",DATE($C2346+2018,$D2346,1))</f>
        <v/>
      </c>
    </row>
    <row r="2347">
      <c r="A2347" s="11" t="n"/>
      <c r="B2347" s="12" t="n"/>
      <c r="C2347" s="12" t="n"/>
      <c r="D2347" s="12" t="n"/>
      <c r="E2347" s="13" t="n"/>
      <c r="F2347" s="12" t="n"/>
      <c r="G2347" s="13" t="n"/>
      <c r="H2347" s="12" t="n"/>
      <c r="I2347" s="12" t="n"/>
      <c r="J2347" s="12" t="n"/>
      <c r="K2347" s="12" t="n"/>
      <c r="L2347" s="11" t="n"/>
      <c r="M2347" s="11" t="n"/>
      <c r="N2347" s="11" t="n"/>
      <c r="O2347" s="11" t="n"/>
      <c r="P2347" s="12" t="n"/>
      <c r="Q2347" s="11" t="n"/>
      <c r="R2347" s="12" t="n"/>
      <c r="S2347" s="11" t="n"/>
      <c r="T2347" s="12" t="n"/>
      <c r="U2347" s="12" t="n"/>
      <c r="V2347" s="14">
        <f>IF($AN2347="",IF($B2347="","",$H2347),IF(INDEX(職員マスタ!$B$6:$B$405,$AN2347)="",$H2347,INDEX(職員マスタ!$B$6:$B$405,$AN2347)))</f>
        <v/>
      </c>
      <c r="W2347" s="14">
        <f>IF($AN2347="",IF($B2347="","",$R2347),IF(INDEX(職員マスタ!$C$6:$C$405,$AN2347)="",$R2347,INDEX(職員マスタ!$C$6:$C$405,$AN2347)))</f>
        <v/>
      </c>
      <c r="X2347" s="14">
        <f>IF($AO2347="","","R"&amp;$C2347&amp;"."&amp;$D2347)</f>
        <v/>
      </c>
      <c r="Y2347" s="15">
        <f>IF($AN2347="","",IF(INDEX(職員マスタ!$K$6:$K$405,$AN2347)="","",INDEX(職員マスタ!$K$6:$K$405,$AN2347)))</f>
        <v/>
      </c>
      <c r="Z2347" s="14">
        <f>IF(OR($E2347="",$Y2347=""),"",IF($E2347&gt;=$Y2347,"×",IF($E2347&gt;=$Y2347*設定!$C$5,"△","○")))</f>
        <v/>
      </c>
      <c r="AA2347" s="15">
        <f>IF($Z2347="","",IF($Z2347="×",0,IF($Z2347="○",ROUNDDOWN($E2347*設定!$C$4,0),ROUNDDOWN($E2347*ROUND((9*$Y2347-9*$E2347)/(10*$E2347),4),0))))</f>
        <v/>
      </c>
      <c r="AB2347" s="13" t="n"/>
      <c r="AC2347" s="15">
        <f>IF($B2347="","",IF($AB2347&lt;&gt;"",$AB2347,IF($AA2347="","",IF($AA2347&lt;=設定!$C$3,0,$AA2347))))</f>
        <v/>
      </c>
      <c r="AD2347" s="14">
        <f>IF($B2347="","",IF(AND($AE2347&lt;&gt;"",$AG2347="",$AJ2347=""),"保留中",IF($AJ2347&lt;&gt;"",IF(N($AC2347)&gt;0,"支給済","不支給"),IF($AC2347="","要確認",IF($AC2347=0,"不支給","未処理")))))</f>
        <v/>
      </c>
      <c r="AE2347" s="12" t="n"/>
      <c r="AF2347" s="11" t="n"/>
      <c r="AG2347" s="11" t="n"/>
      <c r="AH2347" s="11" t="n"/>
      <c r="AI2347" s="14">
        <f>IF(AND($AD2347="保留中",$AF2347&lt;&gt;""),TODAY()-$AF2347,"")</f>
        <v/>
      </c>
      <c r="AJ2347" s="12" t="n"/>
      <c r="AK2347" s="14">
        <f>IF($B2347="","",IF($AO2347="","対象年月が未入力／","")&amp;IF($B2347="","",IF($AN2347="","職員マスタに未登録の職員番号／",IF($Y2347="","標準報酬月額が未登録／","")&amp;IF(AND($AO2347&lt;&gt;"",OR(AND(INDEX(職員マスタ!$G$6:$G$405,$AN2347)&lt;&gt;"",INDEX(職員マスタ!$G$6:$G$405,$AN2347)&gt;EOMONTH($AO2347,0)),AND(INDEX(職員マスタ!$H$6:$H$405,$AN2347)&lt;&gt;"",INDEX(職員マスタ!$H$6:$H$405,$AN2347)&lt;$AO2347))),"対象月が時短期間外／","")&amp;IF(AND(INDEX(職員マスタ!$F$6:$F$405,$AN2347)&lt;&gt;"",$AO2347&lt;&gt;"",INDEX(職員マスタ!$F$6:$F$405,$AN2347)&lt;$AO2347),"対象月に子が2歳到達済／","")&amp;IF(AND($H2347&lt;&gt;"",INDEX(職員マスタ!$B$6:$B$405,$AN2347)&lt;&gt;"",SUBSTITUTE(SUBSTITUTE($H2347," ","")," ","")&lt;&gt;SUBSTITUTE(SUBSTITUTE(INDEX(職員マスタ!$B$6:$B$405,$AN2347)," ","")," ","")),"氏名がマスタと相違／","")&amp;IF(AND($Q2347&lt;&gt;"",INDEX(職員マスタ!$E$6:$E$405,$AN2347)&lt;&gt;"",$Q2347&lt;&gt;INDEX(職員マスタ!$E$6:$E$405,$AN2347)),"子の生年月日がマスタと相違／","")&amp;IF(AND($L2347&lt;&gt;"",INDEX(職員マスタ!$G$6:$G$405,$AN2347)&lt;&gt;"",$L2347&lt;&gt;INDEX(職員マスタ!$G$6:$G$405,$AN2347)),"時短開始日がマスタと相違／","")&amp;IF(AND($M2347&lt;&gt;"",INDEX(職員マスタ!$H$6:$H$405,$AN2347)&lt;&gt;"",$M2347&lt;&gt;INDEX(職員マスタ!$H$6:$H$405,$AN2347)),"時短終了日がマスタと相違／","")))&amp;IF(AND($B2347&lt;&gt;"",$E2347=""),"報酬額が未入力／","")&amp;IF(N($U2347)&gt;0,"申請書に入力エラーが残っています／","")&amp;IF(AND($B2347&lt;&gt;"",$AO2347&lt;&gt;""),IF(COUNTIFS($B$6:$B$3005,$B2347,$C$6:$C$3005,$C2347,$D$6:$D$3005,$D2347)&gt;1,"同じ月の請求が重複しています／",""),"")&amp;IF(AND(N($E2347)&gt;0,$Z2347&lt;&gt;"",$Z2347&lt;&gt;"×",$AC2347=0,$AB2347=""),"計算額が下限以下のため不支給／",""))</f>
        <v/>
      </c>
      <c r="AL2347" s="12" t="n"/>
      <c r="AM2347" s="14">
        <f>IF($AD2347="保留中",COUNTIF($AD$6:$AD2347,"保留中"),"")</f>
        <v/>
      </c>
      <c r="AN2347" s="14">
        <f>IF($AO2347="","",IF(SUMPRODUCT(MAX((職員マスタ!$A$6:$A$405=$B2347)*(((職員マスタ!$G$6:$G$405="")+(職員マスタ!$G$6:$G$405&lt;=EOMONTH($AO2347,0)))&gt;0)*(((職員マスタ!$H$6:$H$405="")+(職員マスタ!$H$6:$H$405&gt;=$AO2347))&gt;0)*(ROW(職員マスタ!$A$6:$A$405)-5)))&gt;0,SUMPRODUCT(MAX((職員マスタ!$A$6:$A$405=$B2347)*(((職員マスタ!$G$6:$G$405="")+(職員マスタ!$G$6:$G$405&lt;=EOMONTH($AO2347,0)))&gt;0)*(((職員マスタ!$H$6:$H$405="")+(職員マスタ!$H$6:$H$405&gt;=$AO2347))&gt;0)*(ROW(職員マスタ!$A$6:$A$405)-5))),IFERROR(MATCH($B2347,職員マスタ!$A$6:$A$405,0),"")))</f>
        <v/>
      </c>
      <c r="AO2347" s="16">
        <f>IF(OR($B2347="",$C2347="",$D2347=""),"",DATE($C2347+2018,$D2347,1))</f>
        <v/>
      </c>
    </row>
    <row r="2348">
      <c r="A2348" s="11" t="n"/>
      <c r="B2348" s="12" t="n"/>
      <c r="C2348" s="12" t="n"/>
      <c r="D2348" s="12" t="n"/>
      <c r="E2348" s="13" t="n"/>
      <c r="F2348" s="12" t="n"/>
      <c r="G2348" s="13" t="n"/>
      <c r="H2348" s="12" t="n"/>
      <c r="I2348" s="12" t="n"/>
      <c r="J2348" s="12" t="n"/>
      <c r="K2348" s="12" t="n"/>
      <c r="L2348" s="11" t="n"/>
      <c r="M2348" s="11" t="n"/>
      <c r="N2348" s="11" t="n"/>
      <c r="O2348" s="11" t="n"/>
      <c r="P2348" s="12" t="n"/>
      <c r="Q2348" s="11" t="n"/>
      <c r="R2348" s="12" t="n"/>
      <c r="S2348" s="11" t="n"/>
      <c r="T2348" s="12" t="n"/>
      <c r="U2348" s="12" t="n"/>
      <c r="V2348" s="14">
        <f>IF($AN2348="",IF($B2348="","",$H2348),IF(INDEX(職員マスタ!$B$6:$B$405,$AN2348)="",$H2348,INDEX(職員マスタ!$B$6:$B$405,$AN2348)))</f>
        <v/>
      </c>
      <c r="W2348" s="14">
        <f>IF($AN2348="",IF($B2348="","",$R2348),IF(INDEX(職員マスタ!$C$6:$C$405,$AN2348)="",$R2348,INDEX(職員マスタ!$C$6:$C$405,$AN2348)))</f>
        <v/>
      </c>
      <c r="X2348" s="14">
        <f>IF($AO2348="","","R"&amp;$C2348&amp;"."&amp;$D2348)</f>
        <v/>
      </c>
      <c r="Y2348" s="15">
        <f>IF($AN2348="","",IF(INDEX(職員マスタ!$K$6:$K$405,$AN2348)="","",INDEX(職員マスタ!$K$6:$K$405,$AN2348)))</f>
        <v/>
      </c>
      <c r="Z2348" s="14">
        <f>IF(OR($E2348="",$Y2348=""),"",IF($E2348&gt;=$Y2348,"×",IF($E2348&gt;=$Y2348*設定!$C$5,"△","○")))</f>
        <v/>
      </c>
      <c r="AA2348" s="15">
        <f>IF($Z2348="","",IF($Z2348="×",0,IF($Z2348="○",ROUNDDOWN($E2348*設定!$C$4,0),ROUNDDOWN($E2348*ROUND((9*$Y2348-9*$E2348)/(10*$E2348),4),0))))</f>
        <v/>
      </c>
      <c r="AB2348" s="13" t="n"/>
      <c r="AC2348" s="15">
        <f>IF($B2348="","",IF($AB2348&lt;&gt;"",$AB2348,IF($AA2348="","",IF($AA2348&lt;=設定!$C$3,0,$AA2348))))</f>
        <v/>
      </c>
      <c r="AD2348" s="14">
        <f>IF($B2348="","",IF(AND($AE2348&lt;&gt;"",$AG2348="",$AJ2348=""),"保留中",IF($AJ2348&lt;&gt;"",IF(N($AC2348)&gt;0,"支給済","不支給"),IF($AC2348="","要確認",IF($AC2348=0,"不支給","未処理")))))</f>
        <v/>
      </c>
      <c r="AE2348" s="12" t="n"/>
      <c r="AF2348" s="11" t="n"/>
      <c r="AG2348" s="11" t="n"/>
      <c r="AH2348" s="11" t="n"/>
      <c r="AI2348" s="14">
        <f>IF(AND($AD2348="保留中",$AF2348&lt;&gt;""),TODAY()-$AF2348,"")</f>
        <v/>
      </c>
      <c r="AJ2348" s="12" t="n"/>
      <c r="AK2348" s="14">
        <f>IF($B2348="","",IF($AO2348="","対象年月が未入力／","")&amp;IF($B2348="","",IF($AN2348="","職員マスタに未登録の職員番号／",IF($Y2348="","標準報酬月額が未登録／","")&amp;IF(AND($AO2348&lt;&gt;"",OR(AND(INDEX(職員マスタ!$G$6:$G$405,$AN2348)&lt;&gt;"",INDEX(職員マスタ!$G$6:$G$405,$AN2348)&gt;EOMONTH($AO2348,0)),AND(INDEX(職員マスタ!$H$6:$H$405,$AN2348)&lt;&gt;"",INDEX(職員マスタ!$H$6:$H$405,$AN2348)&lt;$AO2348))),"対象月が時短期間外／","")&amp;IF(AND(INDEX(職員マスタ!$F$6:$F$405,$AN2348)&lt;&gt;"",$AO2348&lt;&gt;"",INDEX(職員マスタ!$F$6:$F$405,$AN2348)&lt;$AO2348),"対象月に子が2歳到達済／","")&amp;IF(AND($H2348&lt;&gt;"",INDEX(職員マスタ!$B$6:$B$405,$AN2348)&lt;&gt;"",SUBSTITUTE(SUBSTITUTE($H2348," ","")," ","")&lt;&gt;SUBSTITUTE(SUBSTITUTE(INDEX(職員マスタ!$B$6:$B$405,$AN2348)," ","")," ","")),"氏名がマスタと相違／","")&amp;IF(AND($Q2348&lt;&gt;"",INDEX(職員マスタ!$E$6:$E$405,$AN2348)&lt;&gt;"",$Q2348&lt;&gt;INDEX(職員マスタ!$E$6:$E$405,$AN2348)),"子の生年月日がマスタと相違／","")&amp;IF(AND($L2348&lt;&gt;"",INDEX(職員マスタ!$G$6:$G$405,$AN2348)&lt;&gt;"",$L2348&lt;&gt;INDEX(職員マスタ!$G$6:$G$405,$AN2348)),"時短開始日がマスタと相違／","")&amp;IF(AND($M2348&lt;&gt;"",INDEX(職員マスタ!$H$6:$H$405,$AN2348)&lt;&gt;"",$M2348&lt;&gt;INDEX(職員マスタ!$H$6:$H$405,$AN2348)),"時短終了日がマスタと相違／","")))&amp;IF(AND($B2348&lt;&gt;"",$E2348=""),"報酬額が未入力／","")&amp;IF(N($U2348)&gt;0,"申請書に入力エラーが残っています／","")&amp;IF(AND($B2348&lt;&gt;"",$AO2348&lt;&gt;""),IF(COUNTIFS($B$6:$B$3005,$B2348,$C$6:$C$3005,$C2348,$D$6:$D$3005,$D2348)&gt;1,"同じ月の請求が重複しています／",""),"")&amp;IF(AND(N($E2348)&gt;0,$Z2348&lt;&gt;"",$Z2348&lt;&gt;"×",$AC2348=0,$AB2348=""),"計算額が下限以下のため不支給／",""))</f>
        <v/>
      </c>
      <c r="AL2348" s="12" t="n"/>
      <c r="AM2348" s="14">
        <f>IF($AD2348="保留中",COUNTIF($AD$6:$AD2348,"保留中"),"")</f>
        <v/>
      </c>
      <c r="AN2348" s="14">
        <f>IF($AO2348="","",IF(SUMPRODUCT(MAX((職員マスタ!$A$6:$A$405=$B2348)*(((職員マスタ!$G$6:$G$405="")+(職員マスタ!$G$6:$G$405&lt;=EOMONTH($AO2348,0)))&gt;0)*(((職員マスタ!$H$6:$H$405="")+(職員マスタ!$H$6:$H$405&gt;=$AO2348))&gt;0)*(ROW(職員マスタ!$A$6:$A$405)-5)))&gt;0,SUMPRODUCT(MAX((職員マスタ!$A$6:$A$405=$B2348)*(((職員マスタ!$G$6:$G$405="")+(職員マスタ!$G$6:$G$405&lt;=EOMONTH($AO2348,0)))&gt;0)*(((職員マスタ!$H$6:$H$405="")+(職員マスタ!$H$6:$H$405&gt;=$AO2348))&gt;0)*(ROW(職員マスタ!$A$6:$A$405)-5))),IFERROR(MATCH($B2348,職員マスタ!$A$6:$A$405,0),"")))</f>
        <v/>
      </c>
      <c r="AO2348" s="16">
        <f>IF(OR($B2348="",$C2348="",$D2348=""),"",DATE($C2348+2018,$D2348,1))</f>
        <v/>
      </c>
    </row>
    <row r="2349">
      <c r="A2349" s="11" t="n"/>
      <c r="B2349" s="12" t="n"/>
      <c r="C2349" s="12" t="n"/>
      <c r="D2349" s="12" t="n"/>
      <c r="E2349" s="13" t="n"/>
      <c r="F2349" s="12" t="n"/>
      <c r="G2349" s="13" t="n"/>
      <c r="H2349" s="12" t="n"/>
      <c r="I2349" s="12" t="n"/>
      <c r="J2349" s="12" t="n"/>
      <c r="K2349" s="12" t="n"/>
      <c r="L2349" s="11" t="n"/>
      <c r="M2349" s="11" t="n"/>
      <c r="N2349" s="11" t="n"/>
      <c r="O2349" s="11" t="n"/>
      <c r="P2349" s="12" t="n"/>
      <c r="Q2349" s="11" t="n"/>
      <c r="R2349" s="12" t="n"/>
      <c r="S2349" s="11" t="n"/>
      <c r="T2349" s="12" t="n"/>
      <c r="U2349" s="12" t="n"/>
      <c r="V2349" s="14">
        <f>IF($AN2349="",IF($B2349="","",$H2349),IF(INDEX(職員マスタ!$B$6:$B$405,$AN2349)="",$H2349,INDEX(職員マスタ!$B$6:$B$405,$AN2349)))</f>
        <v/>
      </c>
      <c r="W2349" s="14">
        <f>IF($AN2349="",IF($B2349="","",$R2349),IF(INDEX(職員マスタ!$C$6:$C$405,$AN2349)="",$R2349,INDEX(職員マスタ!$C$6:$C$405,$AN2349)))</f>
        <v/>
      </c>
      <c r="X2349" s="14">
        <f>IF($AO2349="","","R"&amp;$C2349&amp;"."&amp;$D2349)</f>
        <v/>
      </c>
      <c r="Y2349" s="15">
        <f>IF($AN2349="","",IF(INDEX(職員マスタ!$K$6:$K$405,$AN2349)="","",INDEX(職員マスタ!$K$6:$K$405,$AN2349)))</f>
        <v/>
      </c>
      <c r="Z2349" s="14">
        <f>IF(OR($E2349="",$Y2349=""),"",IF($E2349&gt;=$Y2349,"×",IF($E2349&gt;=$Y2349*設定!$C$5,"△","○")))</f>
        <v/>
      </c>
      <c r="AA2349" s="15">
        <f>IF($Z2349="","",IF($Z2349="×",0,IF($Z2349="○",ROUNDDOWN($E2349*設定!$C$4,0),ROUNDDOWN($E2349*ROUND((9*$Y2349-9*$E2349)/(10*$E2349),4),0))))</f>
        <v/>
      </c>
      <c r="AB2349" s="13" t="n"/>
      <c r="AC2349" s="15">
        <f>IF($B2349="","",IF($AB2349&lt;&gt;"",$AB2349,IF($AA2349="","",IF($AA2349&lt;=設定!$C$3,0,$AA2349))))</f>
        <v/>
      </c>
      <c r="AD2349" s="14">
        <f>IF($B2349="","",IF(AND($AE2349&lt;&gt;"",$AG2349="",$AJ2349=""),"保留中",IF($AJ2349&lt;&gt;"",IF(N($AC2349)&gt;0,"支給済","不支給"),IF($AC2349="","要確認",IF($AC2349=0,"不支給","未処理")))))</f>
        <v/>
      </c>
      <c r="AE2349" s="12" t="n"/>
      <c r="AF2349" s="11" t="n"/>
      <c r="AG2349" s="11" t="n"/>
      <c r="AH2349" s="11" t="n"/>
      <c r="AI2349" s="14">
        <f>IF(AND($AD2349="保留中",$AF2349&lt;&gt;""),TODAY()-$AF2349,"")</f>
        <v/>
      </c>
      <c r="AJ2349" s="12" t="n"/>
      <c r="AK2349" s="14">
        <f>IF($B2349="","",IF($AO2349="","対象年月が未入力／","")&amp;IF($B2349="","",IF($AN2349="","職員マスタに未登録の職員番号／",IF($Y2349="","標準報酬月額が未登録／","")&amp;IF(AND($AO2349&lt;&gt;"",OR(AND(INDEX(職員マスタ!$G$6:$G$405,$AN2349)&lt;&gt;"",INDEX(職員マスタ!$G$6:$G$405,$AN2349)&gt;EOMONTH($AO2349,0)),AND(INDEX(職員マスタ!$H$6:$H$405,$AN2349)&lt;&gt;"",INDEX(職員マスタ!$H$6:$H$405,$AN2349)&lt;$AO2349))),"対象月が時短期間外／","")&amp;IF(AND(INDEX(職員マスタ!$F$6:$F$405,$AN2349)&lt;&gt;"",$AO2349&lt;&gt;"",INDEX(職員マスタ!$F$6:$F$405,$AN2349)&lt;$AO2349),"対象月に子が2歳到達済／","")&amp;IF(AND($H2349&lt;&gt;"",INDEX(職員マスタ!$B$6:$B$405,$AN2349)&lt;&gt;"",SUBSTITUTE(SUBSTITUTE($H2349," ","")," ","")&lt;&gt;SUBSTITUTE(SUBSTITUTE(INDEX(職員マスタ!$B$6:$B$405,$AN2349)," ","")," ","")),"氏名がマスタと相違／","")&amp;IF(AND($Q2349&lt;&gt;"",INDEX(職員マスタ!$E$6:$E$405,$AN2349)&lt;&gt;"",$Q2349&lt;&gt;INDEX(職員マスタ!$E$6:$E$405,$AN2349)),"子の生年月日がマスタと相違／","")&amp;IF(AND($L2349&lt;&gt;"",INDEX(職員マスタ!$G$6:$G$405,$AN2349)&lt;&gt;"",$L2349&lt;&gt;INDEX(職員マスタ!$G$6:$G$405,$AN2349)),"時短開始日がマスタと相違／","")&amp;IF(AND($M2349&lt;&gt;"",INDEX(職員マスタ!$H$6:$H$405,$AN2349)&lt;&gt;"",$M2349&lt;&gt;INDEX(職員マスタ!$H$6:$H$405,$AN2349)),"時短終了日がマスタと相違／","")))&amp;IF(AND($B2349&lt;&gt;"",$E2349=""),"報酬額が未入力／","")&amp;IF(N($U2349)&gt;0,"申請書に入力エラーが残っています／","")&amp;IF(AND($B2349&lt;&gt;"",$AO2349&lt;&gt;""),IF(COUNTIFS($B$6:$B$3005,$B2349,$C$6:$C$3005,$C2349,$D$6:$D$3005,$D2349)&gt;1,"同じ月の請求が重複しています／",""),"")&amp;IF(AND(N($E2349)&gt;0,$Z2349&lt;&gt;"",$Z2349&lt;&gt;"×",$AC2349=0,$AB2349=""),"計算額が下限以下のため不支給／",""))</f>
        <v/>
      </c>
      <c r="AL2349" s="12" t="n"/>
      <c r="AM2349" s="14">
        <f>IF($AD2349="保留中",COUNTIF($AD$6:$AD2349,"保留中"),"")</f>
        <v/>
      </c>
      <c r="AN2349" s="14">
        <f>IF($AO2349="","",IF(SUMPRODUCT(MAX((職員マスタ!$A$6:$A$405=$B2349)*(((職員マスタ!$G$6:$G$405="")+(職員マスタ!$G$6:$G$405&lt;=EOMONTH($AO2349,0)))&gt;0)*(((職員マスタ!$H$6:$H$405="")+(職員マスタ!$H$6:$H$405&gt;=$AO2349))&gt;0)*(ROW(職員マスタ!$A$6:$A$405)-5)))&gt;0,SUMPRODUCT(MAX((職員マスタ!$A$6:$A$405=$B2349)*(((職員マスタ!$G$6:$G$405="")+(職員マスタ!$G$6:$G$405&lt;=EOMONTH($AO2349,0)))&gt;0)*(((職員マスタ!$H$6:$H$405="")+(職員マスタ!$H$6:$H$405&gt;=$AO2349))&gt;0)*(ROW(職員マスタ!$A$6:$A$405)-5))),IFERROR(MATCH($B2349,職員マスタ!$A$6:$A$405,0),"")))</f>
        <v/>
      </c>
      <c r="AO2349" s="16">
        <f>IF(OR($B2349="",$C2349="",$D2349=""),"",DATE($C2349+2018,$D2349,1))</f>
        <v/>
      </c>
    </row>
    <row r="2350">
      <c r="A2350" s="11" t="n"/>
      <c r="B2350" s="12" t="n"/>
      <c r="C2350" s="12" t="n"/>
      <c r="D2350" s="12" t="n"/>
      <c r="E2350" s="13" t="n"/>
      <c r="F2350" s="12" t="n"/>
      <c r="G2350" s="13" t="n"/>
      <c r="H2350" s="12" t="n"/>
      <c r="I2350" s="12" t="n"/>
      <c r="J2350" s="12" t="n"/>
      <c r="K2350" s="12" t="n"/>
      <c r="L2350" s="11" t="n"/>
      <c r="M2350" s="11" t="n"/>
      <c r="N2350" s="11" t="n"/>
      <c r="O2350" s="11" t="n"/>
      <c r="P2350" s="12" t="n"/>
      <c r="Q2350" s="11" t="n"/>
      <c r="R2350" s="12" t="n"/>
      <c r="S2350" s="11" t="n"/>
      <c r="T2350" s="12" t="n"/>
      <c r="U2350" s="12" t="n"/>
      <c r="V2350" s="14">
        <f>IF($AN2350="",IF($B2350="","",$H2350),IF(INDEX(職員マスタ!$B$6:$B$405,$AN2350)="",$H2350,INDEX(職員マスタ!$B$6:$B$405,$AN2350)))</f>
        <v/>
      </c>
      <c r="W2350" s="14">
        <f>IF($AN2350="",IF($B2350="","",$R2350),IF(INDEX(職員マスタ!$C$6:$C$405,$AN2350)="",$R2350,INDEX(職員マスタ!$C$6:$C$405,$AN2350)))</f>
        <v/>
      </c>
      <c r="X2350" s="14">
        <f>IF($AO2350="","","R"&amp;$C2350&amp;"."&amp;$D2350)</f>
        <v/>
      </c>
      <c r="Y2350" s="15">
        <f>IF($AN2350="","",IF(INDEX(職員マスタ!$K$6:$K$405,$AN2350)="","",INDEX(職員マスタ!$K$6:$K$405,$AN2350)))</f>
        <v/>
      </c>
      <c r="Z2350" s="14">
        <f>IF(OR($E2350="",$Y2350=""),"",IF($E2350&gt;=$Y2350,"×",IF($E2350&gt;=$Y2350*設定!$C$5,"△","○")))</f>
        <v/>
      </c>
      <c r="AA2350" s="15">
        <f>IF($Z2350="","",IF($Z2350="×",0,IF($Z2350="○",ROUNDDOWN($E2350*設定!$C$4,0),ROUNDDOWN($E2350*ROUND((9*$Y2350-9*$E2350)/(10*$E2350),4),0))))</f>
        <v/>
      </c>
      <c r="AB2350" s="13" t="n"/>
      <c r="AC2350" s="15">
        <f>IF($B2350="","",IF($AB2350&lt;&gt;"",$AB2350,IF($AA2350="","",IF($AA2350&lt;=設定!$C$3,0,$AA2350))))</f>
        <v/>
      </c>
      <c r="AD2350" s="14">
        <f>IF($B2350="","",IF(AND($AE2350&lt;&gt;"",$AG2350="",$AJ2350=""),"保留中",IF($AJ2350&lt;&gt;"",IF(N($AC2350)&gt;0,"支給済","不支給"),IF($AC2350="","要確認",IF($AC2350=0,"不支給","未処理")))))</f>
        <v/>
      </c>
      <c r="AE2350" s="12" t="n"/>
      <c r="AF2350" s="11" t="n"/>
      <c r="AG2350" s="11" t="n"/>
      <c r="AH2350" s="11" t="n"/>
      <c r="AI2350" s="14">
        <f>IF(AND($AD2350="保留中",$AF2350&lt;&gt;""),TODAY()-$AF2350,"")</f>
        <v/>
      </c>
      <c r="AJ2350" s="12" t="n"/>
      <c r="AK2350" s="14">
        <f>IF($B2350="","",IF($AO2350="","対象年月が未入力／","")&amp;IF($B2350="","",IF($AN2350="","職員マスタに未登録の職員番号／",IF($Y2350="","標準報酬月額が未登録／","")&amp;IF(AND($AO2350&lt;&gt;"",OR(AND(INDEX(職員マスタ!$G$6:$G$405,$AN2350)&lt;&gt;"",INDEX(職員マスタ!$G$6:$G$405,$AN2350)&gt;EOMONTH($AO2350,0)),AND(INDEX(職員マスタ!$H$6:$H$405,$AN2350)&lt;&gt;"",INDEX(職員マスタ!$H$6:$H$405,$AN2350)&lt;$AO2350))),"対象月が時短期間外／","")&amp;IF(AND(INDEX(職員マスタ!$F$6:$F$405,$AN2350)&lt;&gt;"",$AO2350&lt;&gt;"",INDEX(職員マスタ!$F$6:$F$405,$AN2350)&lt;$AO2350),"対象月に子が2歳到達済／","")&amp;IF(AND($H2350&lt;&gt;"",INDEX(職員マスタ!$B$6:$B$405,$AN2350)&lt;&gt;"",SUBSTITUTE(SUBSTITUTE($H2350," ","")," ","")&lt;&gt;SUBSTITUTE(SUBSTITUTE(INDEX(職員マスタ!$B$6:$B$405,$AN2350)," ","")," ","")),"氏名がマスタと相違／","")&amp;IF(AND($Q2350&lt;&gt;"",INDEX(職員マスタ!$E$6:$E$405,$AN2350)&lt;&gt;"",$Q2350&lt;&gt;INDEX(職員マスタ!$E$6:$E$405,$AN2350)),"子の生年月日がマスタと相違／","")&amp;IF(AND($L2350&lt;&gt;"",INDEX(職員マスタ!$G$6:$G$405,$AN2350)&lt;&gt;"",$L2350&lt;&gt;INDEX(職員マスタ!$G$6:$G$405,$AN2350)),"時短開始日がマスタと相違／","")&amp;IF(AND($M2350&lt;&gt;"",INDEX(職員マスタ!$H$6:$H$405,$AN2350)&lt;&gt;"",$M2350&lt;&gt;INDEX(職員マスタ!$H$6:$H$405,$AN2350)),"時短終了日がマスタと相違／","")))&amp;IF(AND($B2350&lt;&gt;"",$E2350=""),"報酬額が未入力／","")&amp;IF(N($U2350)&gt;0,"申請書に入力エラーが残っています／","")&amp;IF(AND($B2350&lt;&gt;"",$AO2350&lt;&gt;""),IF(COUNTIFS($B$6:$B$3005,$B2350,$C$6:$C$3005,$C2350,$D$6:$D$3005,$D2350)&gt;1,"同じ月の請求が重複しています／",""),"")&amp;IF(AND(N($E2350)&gt;0,$Z2350&lt;&gt;"",$Z2350&lt;&gt;"×",$AC2350=0,$AB2350=""),"計算額が下限以下のため不支給／",""))</f>
        <v/>
      </c>
      <c r="AL2350" s="12" t="n"/>
      <c r="AM2350" s="14">
        <f>IF($AD2350="保留中",COUNTIF($AD$6:$AD2350,"保留中"),"")</f>
        <v/>
      </c>
      <c r="AN2350" s="14">
        <f>IF($AO2350="","",IF(SUMPRODUCT(MAX((職員マスタ!$A$6:$A$405=$B2350)*(((職員マスタ!$G$6:$G$405="")+(職員マスタ!$G$6:$G$405&lt;=EOMONTH($AO2350,0)))&gt;0)*(((職員マスタ!$H$6:$H$405="")+(職員マスタ!$H$6:$H$405&gt;=$AO2350))&gt;0)*(ROW(職員マスタ!$A$6:$A$405)-5)))&gt;0,SUMPRODUCT(MAX((職員マスタ!$A$6:$A$405=$B2350)*(((職員マスタ!$G$6:$G$405="")+(職員マスタ!$G$6:$G$405&lt;=EOMONTH($AO2350,0)))&gt;0)*(((職員マスタ!$H$6:$H$405="")+(職員マスタ!$H$6:$H$405&gt;=$AO2350))&gt;0)*(ROW(職員マスタ!$A$6:$A$405)-5))),IFERROR(MATCH($B2350,職員マスタ!$A$6:$A$405,0),"")))</f>
        <v/>
      </c>
      <c r="AO2350" s="16">
        <f>IF(OR($B2350="",$C2350="",$D2350=""),"",DATE($C2350+2018,$D2350,1))</f>
        <v/>
      </c>
    </row>
    <row r="2351">
      <c r="A2351" s="11" t="n"/>
      <c r="B2351" s="12" t="n"/>
      <c r="C2351" s="12" t="n"/>
      <c r="D2351" s="12" t="n"/>
      <c r="E2351" s="13" t="n"/>
      <c r="F2351" s="12" t="n"/>
      <c r="G2351" s="13" t="n"/>
      <c r="H2351" s="12" t="n"/>
      <c r="I2351" s="12" t="n"/>
      <c r="J2351" s="12" t="n"/>
      <c r="K2351" s="12" t="n"/>
      <c r="L2351" s="11" t="n"/>
      <c r="M2351" s="11" t="n"/>
      <c r="N2351" s="11" t="n"/>
      <c r="O2351" s="11" t="n"/>
      <c r="P2351" s="12" t="n"/>
      <c r="Q2351" s="11" t="n"/>
      <c r="R2351" s="12" t="n"/>
      <c r="S2351" s="11" t="n"/>
      <c r="T2351" s="12" t="n"/>
      <c r="U2351" s="12" t="n"/>
      <c r="V2351" s="14">
        <f>IF($AN2351="",IF($B2351="","",$H2351),IF(INDEX(職員マスタ!$B$6:$B$405,$AN2351)="",$H2351,INDEX(職員マスタ!$B$6:$B$405,$AN2351)))</f>
        <v/>
      </c>
      <c r="W2351" s="14">
        <f>IF($AN2351="",IF($B2351="","",$R2351),IF(INDEX(職員マスタ!$C$6:$C$405,$AN2351)="",$R2351,INDEX(職員マスタ!$C$6:$C$405,$AN2351)))</f>
        <v/>
      </c>
      <c r="X2351" s="14">
        <f>IF($AO2351="","","R"&amp;$C2351&amp;"."&amp;$D2351)</f>
        <v/>
      </c>
      <c r="Y2351" s="15">
        <f>IF($AN2351="","",IF(INDEX(職員マスタ!$K$6:$K$405,$AN2351)="","",INDEX(職員マスタ!$K$6:$K$405,$AN2351)))</f>
        <v/>
      </c>
      <c r="Z2351" s="14">
        <f>IF(OR($E2351="",$Y2351=""),"",IF($E2351&gt;=$Y2351,"×",IF($E2351&gt;=$Y2351*設定!$C$5,"△","○")))</f>
        <v/>
      </c>
      <c r="AA2351" s="15">
        <f>IF($Z2351="","",IF($Z2351="×",0,IF($Z2351="○",ROUNDDOWN($E2351*設定!$C$4,0),ROUNDDOWN($E2351*ROUND((9*$Y2351-9*$E2351)/(10*$E2351),4),0))))</f>
        <v/>
      </c>
      <c r="AB2351" s="13" t="n"/>
      <c r="AC2351" s="15">
        <f>IF($B2351="","",IF($AB2351&lt;&gt;"",$AB2351,IF($AA2351="","",IF($AA2351&lt;=設定!$C$3,0,$AA2351))))</f>
        <v/>
      </c>
      <c r="AD2351" s="14">
        <f>IF($B2351="","",IF(AND($AE2351&lt;&gt;"",$AG2351="",$AJ2351=""),"保留中",IF($AJ2351&lt;&gt;"",IF(N($AC2351)&gt;0,"支給済","不支給"),IF($AC2351="","要確認",IF($AC2351=0,"不支給","未処理")))))</f>
        <v/>
      </c>
      <c r="AE2351" s="12" t="n"/>
      <c r="AF2351" s="11" t="n"/>
      <c r="AG2351" s="11" t="n"/>
      <c r="AH2351" s="11" t="n"/>
      <c r="AI2351" s="14">
        <f>IF(AND($AD2351="保留中",$AF2351&lt;&gt;""),TODAY()-$AF2351,"")</f>
        <v/>
      </c>
      <c r="AJ2351" s="12" t="n"/>
      <c r="AK2351" s="14">
        <f>IF($B2351="","",IF($AO2351="","対象年月が未入力／","")&amp;IF($B2351="","",IF($AN2351="","職員マスタに未登録の職員番号／",IF($Y2351="","標準報酬月額が未登録／","")&amp;IF(AND($AO2351&lt;&gt;"",OR(AND(INDEX(職員マスタ!$G$6:$G$405,$AN2351)&lt;&gt;"",INDEX(職員マスタ!$G$6:$G$405,$AN2351)&gt;EOMONTH($AO2351,0)),AND(INDEX(職員マスタ!$H$6:$H$405,$AN2351)&lt;&gt;"",INDEX(職員マスタ!$H$6:$H$405,$AN2351)&lt;$AO2351))),"対象月が時短期間外／","")&amp;IF(AND(INDEX(職員マスタ!$F$6:$F$405,$AN2351)&lt;&gt;"",$AO2351&lt;&gt;"",INDEX(職員マスタ!$F$6:$F$405,$AN2351)&lt;$AO2351),"対象月に子が2歳到達済／","")&amp;IF(AND($H2351&lt;&gt;"",INDEX(職員マスタ!$B$6:$B$405,$AN2351)&lt;&gt;"",SUBSTITUTE(SUBSTITUTE($H2351," ","")," ","")&lt;&gt;SUBSTITUTE(SUBSTITUTE(INDEX(職員マスタ!$B$6:$B$405,$AN2351)," ","")," ","")),"氏名がマスタと相違／","")&amp;IF(AND($Q2351&lt;&gt;"",INDEX(職員マスタ!$E$6:$E$405,$AN2351)&lt;&gt;"",$Q2351&lt;&gt;INDEX(職員マスタ!$E$6:$E$405,$AN2351)),"子の生年月日がマスタと相違／","")&amp;IF(AND($L2351&lt;&gt;"",INDEX(職員マスタ!$G$6:$G$405,$AN2351)&lt;&gt;"",$L2351&lt;&gt;INDEX(職員マスタ!$G$6:$G$405,$AN2351)),"時短開始日がマスタと相違／","")&amp;IF(AND($M2351&lt;&gt;"",INDEX(職員マスタ!$H$6:$H$405,$AN2351)&lt;&gt;"",$M2351&lt;&gt;INDEX(職員マスタ!$H$6:$H$405,$AN2351)),"時短終了日がマスタと相違／","")))&amp;IF(AND($B2351&lt;&gt;"",$E2351=""),"報酬額が未入力／","")&amp;IF(N($U2351)&gt;0,"申請書に入力エラーが残っています／","")&amp;IF(AND($B2351&lt;&gt;"",$AO2351&lt;&gt;""),IF(COUNTIFS($B$6:$B$3005,$B2351,$C$6:$C$3005,$C2351,$D$6:$D$3005,$D2351)&gt;1,"同じ月の請求が重複しています／",""),"")&amp;IF(AND(N($E2351)&gt;0,$Z2351&lt;&gt;"",$Z2351&lt;&gt;"×",$AC2351=0,$AB2351=""),"計算額が下限以下のため不支給／",""))</f>
        <v/>
      </c>
      <c r="AL2351" s="12" t="n"/>
      <c r="AM2351" s="14">
        <f>IF($AD2351="保留中",COUNTIF($AD$6:$AD2351,"保留中"),"")</f>
        <v/>
      </c>
      <c r="AN2351" s="14">
        <f>IF($AO2351="","",IF(SUMPRODUCT(MAX((職員マスタ!$A$6:$A$405=$B2351)*(((職員マスタ!$G$6:$G$405="")+(職員マスタ!$G$6:$G$405&lt;=EOMONTH($AO2351,0)))&gt;0)*(((職員マスタ!$H$6:$H$405="")+(職員マスタ!$H$6:$H$405&gt;=$AO2351))&gt;0)*(ROW(職員マスタ!$A$6:$A$405)-5)))&gt;0,SUMPRODUCT(MAX((職員マスタ!$A$6:$A$405=$B2351)*(((職員マスタ!$G$6:$G$405="")+(職員マスタ!$G$6:$G$405&lt;=EOMONTH($AO2351,0)))&gt;0)*(((職員マスタ!$H$6:$H$405="")+(職員マスタ!$H$6:$H$405&gt;=$AO2351))&gt;0)*(ROW(職員マスタ!$A$6:$A$405)-5))),IFERROR(MATCH($B2351,職員マスタ!$A$6:$A$405,0),"")))</f>
        <v/>
      </c>
      <c r="AO2351" s="16">
        <f>IF(OR($B2351="",$C2351="",$D2351=""),"",DATE($C2351+2018,$D2351,1))</f>
        <v/>
      </c>
    </row>
    <row r="2352">
      <c r="A2352" s="11" t="n"/>
      <c r="B2352" s="12" t="n"/>
      <c r="C2352" s="12" t="n"/>
      <c r="D2352" s="12" t="n"/>
      <c r="E2352" s="13" t="n"/>
      <c r="F2352" s="12" t="n"/>
      <c r="G2352" s="13" t="n"/>
      <c r="H2352" s="12" t="n"/>
      <c r="I2352" s="12" t="n"/>
      <c r="J2352" s="12" t="n"/>
      <c r="K2352" s="12" t="n"/>
      <c r="L2352" s="11" t="n"/>
      <c r="M2352" s="11" t="n"/>
      <c r="N2352" s="11" t="n"/>
      <c r="O2352" s="11" t="n"/>
      <c r="P2352" s="12" t="n"/>
      <c r="Q2352" s="11" t="n"/>
      <c r="R2352" s="12" t="n"/>
      <c r="S2352" s="11" t="n"/>
      <c r="T2352" s="12" t="n"/>
      <c r="U2352" s="12" t="n"/>
      <c r="V2352" s="14">
        <f>IF($AN2352="",IF($B2352="","",$H2352),IF(INDEX(職員マスタ!$B$6:$B$405,$AN2352)="",$H2352,INDEX(職員マスタ!$B$6:$B$405,$AN2352)))</f>
        <v/>
      </c>
      <c r="W2352" s="14">
        <f>IF($AN2352="",IF($B2352="","",$R2352),IF(INDEX(職員マスタ!$C$6:$C$405,$AN2352)="",$R2352,INDEX(職員マスタ!$C$6:$C$405,$AN2352)))</f>
        <v/>
      </c>
      <c r="X2352" s="14">
        <f>IF($AO2352="","","R"&amp;$C2352&amp;"."&amp;$D2352)</f>
        <v/>
      </c>
      <c r="Y2352" s="15">
        <f>IF($AN2352="","",IF(INDEX(職員マスタ!$K$6:$K$405,$AN2352)="","",INDEX(職員マスタ!$K$6:$K$405,$AN2352)))</f>
        <v/>
      </c>
      <c r="Z2352" s="14">
        <f>IF(OR($E2352="",$Y2352=""),"",IF($E2352&gt;=$Y2352,"×",IF($E2352&gt;=$Y2352*設定!$C$5,"△","○")))</f>
        <v/>
      </c>
      <c r="AA2352" s="15">
        <f>IF($Z2352="","",IF($Z2352="×",0,IF($Z2352="○",ROUNDDOWN($E2352*設定!$C$4,0),ROUNDDOWN($E2352*ROUND((9*$Y2352-9*$E2352)/(10*$E2352),4),0))))</f>
        <v/>
      </c>
      <c r="AB2352" s="13" t="n"/>
      <c r="AC2352" s="15">
        <f>IF($B2352="","",IF($AB2352&lt;&gt;"",$AB2352,IF($AA2352="","",IF($AA2352&lt;=設定!$C$3,0,$AA2352))))</f>
        <v/>
      </c>
      <c r="AD2352" s="14">
        <f>IF($B2352="","",IF(AND($AE2352&lt;&gt;"",$AG2352="",$AJ2352=""),"保留中",IF($AJ2352&lt;&gt;"",IF(N($AC2352)&gt;0,"支給済","不支給"),IF($AC2352="","要確認",IF($AC2352=0,"不支給","未処理")))))</f>
        <v/>
      </c>
      <c r="AE2352" s="12" t="n"/>
      <c r="AF2352" s="11" t="n"/>
      <c r="AG2352" s="11" t="n"/>
      <c r="AH2352" s="11" t="n"/>
      <c r="AI2352" s="14">
        <f>IF(AND($AD2352="保留中",$AF2352&lt;&gt;""),TODAY()-$AF2352,"")</f>
        <v/>
      </c>
      <c r="AJ2352" s="12" t="n"/>
      <c r="AK2352" s="14">
        <f>IF($B2352="","",IF($AO2352="","対象年月が未入力／","")&amp;IF($B2352="","",IF($AN2352="","職員マスタに未登録の職員番号／",IF($Y2352="","標準報酬月額が未登録／","")&amp;IF(AND($AO2352&lt;&gt;"",OR(AND(INDEX(職員マスタ!$G$6:$G$405,$AN2352)&lt;&gt;"",INDEX(職員マスタ!$G$6:$G$405,$AN2352)&gt;EOMONTH($AO2352,0)),AND(INDEX(職員マスタ!$H$6:$H$405,$AN2352)&lt;&gt;"",INDEX(職員マスタ!$H$6:$H$405,$AN2352)&lt;$AO2352))),"対象月が時短期間外／","")&amp;IF(AND(INDEX(職員マスタ!$F$6:$F$405,$AN2352)&lt;&gt;"",$AO2352&lt;&gt;"",INDEX(職員マスタ!$F$6:$F$405,$AN2352)&lt;$AO2352),"対象月に子が2歳到達済／","")&amp;IF(AND($H2352&lt;&gt;"",INDEX(職員マスタ!$B$6:$B$405,$AN2352)&lt;&gt;"",SUBSTITUTE(SUBSTITUTE($H2352," ","")," ","")&lt;&gt;SUBSTITUTE(SUBSTITUTE(INDEX(職員マスタ!$B$6:$B$405,$AN2352)," ","")," ","")),"氏名がマスタと相違／","")&amp;IF(AND($Q2352&lt;&gt;"",INDEX(職員マスタ!$E$6:$E$405,$AN2352)&lt;&gt;"",$Q2352&lt;&gt;INDEX(職員マスタ!$E$6:$E$405,$AN2352)),"子の生年月日がマスタと相違／","")&amp;IF(AND($L2352&lt;&gt;"",INDEX(職員マスタ!$G$6:$G$405,$AN2352)&lt;&gt;"",$L2352&lt;&gt;INDEX(職員マスタ!$G$6:$G$405,$AN2352)),"時短開始日がマスタと相違／","")&amp;IF(AND($M2352&lt;&gt;"",INDEX(職員マスタ!$H$6:$H$405,$AN2352)&lt;&gt;"",$M2352&lt;&gt;INDEX(職員マスタ!$H$6:$H$405,$AN2352)),"時短終了日がマスタと相違／","")))&amp;IF(AND($B2352&lt;&gt;"",$E2352=""),"報酬額が未入力／","")&amp;IF(N($U2352)&gt;0,"申請書に入力エラーが残っています／","")&amp;IF(AND($B2352&lt;&gt;"",$AO2352&lt;&gt;""),IF(COUNTIFS($B$6:$B$3005,$B2352,$C$6:$C$3005,$C2352,$D$6:$D$3005,$D2352)&gt;1,"同じ月の請求が重複しています／",""),"")&amp;IF(AND(N($E2352)&gt;0,$Z2352&lt;&gt;"",$Z2352&lt;&gt;"×",$AC2352=0,$AB2352=""),"計算額が下限以下のため不支給／",""))</f>
        <v/>
      </c>
      <c r="AL2352" s="12" t="n"/>
      <c r="AM2352" s="14">
        <f>IF($AD2352="保留中",COUNTIF($AD$6:$AD2352,"保留中"),"")</f>
        <v/>
      </c>
      <c r="AN2352" s="14">
        <f>IF($AO2352="","",IF(SUMPRODUCT(MAX((職員マスタ!$A$6:$A$405=$B2352)*(((職員マスタ!$G$6:$G$405="")+(職員マスタ!$G$6:$G$405&lt;=EOMONTH($AO2352,0)))&gt;0)*(((職員マスタ!$H$6:$H$405="")+(職員マスタ!$H$6:$H$405&gt;=$AO2352))&gt;0)*(ROW(職員マスタ!$A$6:$A$405)-5)))&gt;0,SUMPRODUCT(MAX((職員マスタ!$A$6:$A$405=$B2352)*(((職員マスタ!$G$6:$G$405="")+(職員マスタ!$G$6:$G$405&lt;=EOMONTH($AO2352,0)))&gt;0)*(((職員マスタ!$H$6:$H$405="")+(職員マスタ!$H$6:$H$405&gt;=$AO2352))&gt;0)*(ROW(職員マスタ!$A$6:$A$405)-5))),IFERROR(MATCH($B2352,職員マスタ!$A$6:$A$405,0),"")))</f>
        <v/>
      </c>
      <c r="AO2352" s="16">
        <f>IF(OR($B2352="",$C2352="",$D2352=""),"",DATE($C2352+2018,$D2352,1))</f>
        <v/>
      </c>
    </row>
    <row r="2353">
      <c r="A2353" s="11" t="n"/>
      <c r="B2353" s="12" t="n"/>
      <c r="C2353" s="12" t="n"/>
      <c r="D2353" s="12" t="n"/>
      <c r="E2353" s="13" t="n"/>
      <c r="F2353" s="12" t="n"/>
      <c r="G2353" s="13" t="n"/>
      <c r="H2353" s="12" t="n"/>
      <c r="I2353" s="12" t="n"/>
      <c r="J2353" s="12" t="n"/>
      <c r="K2353" s="12" t="n"/>
      <c r="L2353" s="11" t="n"/>
      <c r="M2353" s="11" t="n"/>
      <c r="N2353" s="11" t="n"/>
      <c r="O2353" s="11" t="n"/>
      <c r="P2353" s="12" t="n"/>
      <c r="Q2353" s="11" t="n"/>
      <c r="R2353" s="12" t="n"/>
      <c r="S2353" s="11" t="n"/>
      <c r="T2353" s="12" t="n"/>
      <c r="U2353" s="12" t="n"/>
      <c r="V2353" s="14">
        <f>IF($AN2353="",IF($B2353="","",$H2353),IF(INDEX(職員マスタ!$B$6:$B$405,$AN2353)="",$H2353,INDEX(職員マスタ!$B$6:$B$405,$AN2353)))</f>
        <v/>
      </c>
      <c r="W2353" s="14">
        <f>IF($AN2353="",IF($B2353="","",$R2353),IF(INDEX(職員マスタ!$C$6:$C$405,$AN2353)="",$R2353,INDEX(職員マスタ!$C$6:$C$405,$AN2353)))</f>
        <v/>
      </c>
      <c r="X2353" s="14">
        <f>IF($AO2353="","","R"&amp;$C2353&amp;"."&amp;$D2353)</f>
        <v/>
      </c>
      <c r="Y2353" s="15">
        <f>IF($AN2353="","",IF(INDEX(職員マスタ!$K$6:$K$405,$AN2353)="","",INDEX(職員マスタ!$K$6:$K$405,$AN2353)))</f>
        <v/>
      </c>
      <c r="Z2353" s="14">
        <f>IF(OR($E2353="",$Y2353=""),"",IF($E2353&gt;=$Y2353,"×",IF($E2353&gt;=$Y2353*設定!$C$5,"△","○")))</f>
        <v/>
      </c>
      <c r="AA2353" s="15">
        <f>IF($Z2353="","",IF($Z2353="×",0,IF($Z2353="○",ROUNDDOWN($E2353*設定!$C$4,0),ROUNDDOWN($E2353*ROUND((9*$Y2353-9*$E2353)/(10*$E2353),4),0))))</f>
        <v/>
      </c>
      <c r="AB2353" s="13" t="n"/>
      <c r="AC2353" s="15">
        <f>IF($B2353="","",IF($AB2353&lt;&gt;"",$AB2353,IF($AA2353="","",IF($AA2353&lt;=設定!$C$3,0,$AA2353))))</f>
        <v/>
      </c>
      <c r="AD2353" s="14">
        <f>IF($B2353="","",IF(AND($AE2353&lt;&gt;"",$AG2353="",$AJ2353=""),"保留中",IF($AJ2353&lt;&gt;"",IF(N($AC2353)&gt;0,"支給済","不支給"),IF($AC2353="","要確認",IF($AC2353=0,"不支給","未処理")))))</f>
        <v/>
      </c>
      <c r="AE2353" s="12" t="n"/>
      <c r="AF2353" s="11" t="n"/>
      <c r="AG2353" s="11" t="n"/>
      <c r="AH2353" s="11" t="n"/>
      <c r="AI2353" s="14">
        <f>IF(AND($AD2353="保留中",$AF2353&lt;&gt;""),TODAY()-$AF2353,"")</f>
        <v/>
      </c>
      <c r="AJ2353" s="12" t="n"/>
      <c r="AK2353" s="14">
        <f>IF($B2353="","",IF($AO2353="","対象年月が未入力／","")&amp;IF($B2353="","",IF($AN2353="","職員マスタに未登録の職員番号／",IF($Y2353="","標準報酬月額が未登録／","")&amp;IF(AND($AO2353&lt;&gt;"",OR(AND(INDEX(職員マスタ!$G$6:$G$405,$AN2353)&lt;&gt;"",INDEX(職員マスタ!$G$6:$G$405,$AN2353)&gt;EOMONTH($AO2353,0)),AND(INDEX(職員マスタ!$H$6:$H$405,$AN2353)&lt;&gt;"",INDEX(職員マスタ!$H$6:$H$405,$AN2353)&lt;$AO2353))),"対象月が時短期間外／","")&amp;IF(AND(INDEX(職員マスタ!$F$6:$F$405,$AN2353)&lt;&gt;"",$AO2353&lt;&gt;"",INDEX(職員マスタ!$F$6:$F$405,$AN2353)&lt;$AO2353),"対象月に子が2歳到達済／","")&amp;IF(AND($H2353&lt;&gt;"",INDEX(職員マスタ!$B$6:$B$405,$AN2353)&lt;&gt;"",SUBSTITUTE(SUBSTITUTE($H2353," ","")," ","")&lt;&gt;SUBSTITUTE(SUBSTITUTE(INDEX(職員マスタ!$B$6:$B$405,$AN2353)," ","")," ","")),"氏名がマスタと相違／","")&amp;IF(AND($Q2353&lt;&gt;"",INDEX(職員マスタ!$E$6:$E$405,$AN2353)&lt;&gt;"",$Q2353&lt;&gt;INDEX(職員マスタ!$E$6:$E$405,$AN2353)),"子の生年月日がマスタと相違／","")&amp;IF(AND($L2353&lt;&gt;"",INDEX(職員マスタ!$G$6:$G$405,$AN2353)&lt;&gt;"",$L2353&lt;&gt;INDEX(職員マスタ!$G$6:$G$405,$AN2353)),"時短開始日がマスタと相違／","")&amp;IF(AND($M2353&lt;&gt;"",INDEX(職員マスタ!$H$6:$H$405,$AN2353)&lt;&gt;"",$M2353&lt;&gt;INDEX(職員マスタ!$H$6:$H$405,$AN2353)),"時短終了日がマスタと相違／","")))&amp;IF(AND($B2353&lt;&gt;"",$E2353=""),"報酬額が未入力／","")&amp;IF(N($U2353)&gt;0,"申請書に入力エラーが残っています／","")&amp;IF(AND($B2353&lt;&gt;"",$AO2353&lt;&gt;""),IF(COUNTIFS($B$6:$B$3005,$B2353,$C$6:$C$3005,$C2353,$D$6:$D$3005,$D2353)&gt;1,"同じ月の請求が重複しています／",""),"")&amp;IF(AND(N($E2353)&gt;0,$Z2353&lt;&gt;"",$Z2353&lt;&gt;"×",$AC2353=0,$AB2353=""),"計算額が下限以下のため不支給／",""))</f>
        <v/>
      </c>
      <c r="AL2353" s="12" t="n"/>
      <c r="AM2353" s="14">
        <f>IF($AD2353="保留中",COUNTIF($AD$6:$AD2353,"保留中"),"")</f>
        <v/>
      </c>
      <c r="AN2353" s="14">
        <f>IF($AO2353="","",IF(SUMPRODUCT(MAX((職員マスタ!$A$6:$A$405=$B2353)*(((職員マスタ!$G$6:$G$405="")+(職員マスタ!$G$6:$G$405&lt;=EOMONTH($AO2353,0)))&gt;0)*(((職員マスタ!$H$6:$H$405="")+(職員マスタ!$H$6:$H$405&gt;=$AO2353))&gt;0)*(ROW(職員マスタ!$A$6:$A$405)-5)))&gt;0,SUMPRODUCT(MAX((職員マスタ!$A$6:$A$405=$B2353)*(((職員マスタ!$G$6:$G$405="")+(職員マスタ!$G$6:$G$405&lt;=EOMONTH($AO2353,0)))&gt;0)*(((職員マスタ!$H$6:$H$405="")+(職員マスタ!$H$6:$H$405&gt;=$AO2353))&gt;0)*(ROW(職員マスタ!$A$6:$A$405)-5))),IFERROR(MATCH($B2353,職員マスタ!$A$6:$A$405,0),"")))</f>
        <v/>
      </c>
      <c r="AO2353" s="16">
        <f>IF(OR($B2353="",$C2353="",$D2353=""),"",DATE($C2353+2018,$D2353,1))</f>
        <v/>
      </c>
    </row>
    <row r="2354">
      <c r="A2354" s="11" t="n"/>
      <c r="B2354" s="12" t="n"/>
      <c r="C2354" s="12" t="n"/>
      <c r="D2354" s="12" t="n"/>
      <c r="E2354" s="13" t="n"/>
      <c r="F2354" s="12" t="n"/>
      <c r="G2354" s="13" t="n"/>
      <c r="H2354" s="12" t="n"/>
      <c r="I2354" s="12" t="n"/>
      <c r="J2354" s="12" t="n"/>
      <c r="K2354" s="12" t="n"/>
      <c r="L2354" s="11" t="n"/>
      <c r="M2354" s="11" t="n"/>
      <c r="N2354" s="11" t="n"/>
      <c r="O2354" s="11" t="n"/>
      <c r="P2354" s="12" t="n"/>
      <c r="Q2354" s="11" t="n"/>
      <c r="R2354" s="12" t="n"/>
      <c r="S2354" s="11" t="n"/>
      <c r="T2354" s="12" t="n"/>
      <c r="U2354" s="12" t="n"/>
      <c r="V2354" s="14">
        <f>IF($AN2354="",IF($B2354="","",$H2354),IF(INDEX(職員マスタ!$B$6:$B$405,$AN2354)="",$H2354,INDEX(職員マスタ!$B$6:$B$405,$AN2354)))</f>
        <v/>
      </c>
      <c r="W2354" s="14">
        <f>IF($AN2354="",IF($B2354="","",$R2354),IF(INDEX(職員マスタ!$C$6:$C$405,$AN2354)="",$R2354,INDEX(職員マスタ!$C$6:$C$405,$AN2354)))</f>
        <v/>
      </c>
      <c r="X2354" s="14">
        <f>IF($AO2354="","","R"&amp;$C2354&amp;"."&amp;$D2354)</f>
        <v/>
      </c>
      <c r="Y2354" s="15">
        <f>IF($AN2354="","",IF(INDEX(職員マスタ!$K$6:$K$405,$AN2354)="","",INDEX(職員マスタ!$K$6:$K$405,$AN2354)))</f>
        <v/>
      </c>
      <c r="Z2354" s="14">
        <f>IF(OR($E2354="",$Y2354=""),"",IF($E2354&gt;=$Y2354,"×",IF($E2354&gt;=$Y2354*設定!$C$5,"△","○")))</f>
        <v/>
      </c>
      <c r="AA2354" s="15">
        <f>IF($Z2354="","",IF($Z2354="×",0,IF($Z2354="○",ROUNDDOWN($E2354*設定!$C$4,0),ROUNDDOWN($E2354*ROUND((9*$Y2354-9*$E2354)/(10*$E2354),4),0))))</f>
        <v/>
      </c>
      <c r="AB2354" s="13" t="n"/>
      <c r="AC2354" s="15">
        <f>IF($B2354="","",IF($AB2354&lt;&gt;"",$AB2354,IF($AA2354="","",IF($AA2354&lt;=設定!$C$3,0,$AA2354))))</f>
        <v/>
      </c>
      <c r="AD2354" s="14">
        <f>IF($B2354="","",IF(AND($AE2354&lt;&gt;"",$AG2354="",$AJ2354=""),"保留中",IF($AJ2354&lt;&gt;"",IF(N($AC2354)&gt;0,"支給済","不支給"),IF($AC2354="","要確認",IF($AC2354=0,"不支給","未処理")))))</f>
        <v/>
      </c>
      <c r="AE2354" s="12" t="n"/>
      <c r="AF2354" s="11" t="n"/>
      <c r="AG2354" s="11" t="n"/>
      <c r="AH2354" s="11" t="n"/>
      <c r="AI2354" s="14">
        <f>IF(AND($AD2354="保留中",$AF2354&lt;&gt;""),TODAY()-$AF2354,"")</f>
        <v/>
      </c>
      <c r="AJ2354" s="12" t="n"/>
      <c r="AK2354" s="14">
        <f>IF($B2354="","",IF($AO2354="","対象年月が未入力／","")&amp;IF($B2354="","",IF($AN2354="","職員マスタに未登録の職員番号／",IF($Y2354="","標準報酬月額が未登録／","")&amp;IF(AND($AO2354&lt;&gt;"",OR(AND(INDEX(職員マスタ!$G$6:$G$405,$AN2354)&lt;&gt;"",INDEX(職員マスタ!$G$6:$G$405,$AN2354)&gt;EOMONTH($AO2354,0)),AND(INDEX(職員マスタ!$H$6:$H$405,$AN2354)&lt;&gt;"",INDEX(職員マスタ!$H$6:$H$405,$AN2354)&lt;$AO2354))),"対象月が時短期間外／","")&amp;IF(AND(INDEX(職員マスタ!$F$6:$F$405,$AN2354)&lt;&gt;"",$AO2354&lt;&gt;"",INDEX(職員マスタ!$F$6:$F$405,$AN2354)&lt;$AO2354),"対象月に子が2歳到達済／","")&amp;IF(AND($H2354&lt;&gt;"",INDEX(職員マスタ!$B$6:$B$405,$AN2354)&lt;&gt;"",SUBSTITUTE(SUBSTITUTE($H2354," ","")," ","")&lt;&gt;SUBSTITUTE(SUBSTITUTE(INDEX(職員マスタ!$B$6:$B$405,$AN2354)," ","")," ","")),"氏名がマスタと相違／","")&amp;IF(AND($Q2354&lt;&gt;"",INDEX(職員マスタ!$E$6:$E$405,$AN2354)&lt;&gt;"",$Q2354&lt;&gt;INDEX(職員マスタ!$E$6:$E$405,$AN2354)),"子の生年月日がマスタと相違／","")&amp;IF(AND($L2354&lt;&gt;"",INDEX(職員マスタ!$G$6:$G$405,$AN2354)&lt;&gt;"",$L2354&lt;&gt;INDEX(職員マスタ!$G$6:$G$405,$AN2354)),"時短開始日がマスタと相違／","")&amp;IF(AND($M2354&lt;&gt;"",INDEX(職員マスタ!$H$6:$H$405,$AN2354)&lt;&gt;"",$M2354&lt;&gt;INDEX(職員マスタ!$H$6:$H$405,$AN2354)),"時短終了日がマスタと相違／","")))&amp;IF(AND($B2354&lt;&gt;"",$E2354=""),"報酬額が未入力／","")&amp;IF(N($U2354)&gt;0,"申請書に入力エラーが残っています／","")&amp;IF(AND($B2354&lt;&gt;"",$AO2354&lt;&gt;""),IF(COUNTIFS($B$6:$B$3005,$B2354,$C$6:$C$3005,$C2354,$D$6:$D$3005,$D2354)&gt;1,"同じ月の請求が重複しています／",""),"")&amp;IF(AND(N($E2354)&gt;0,$Z2354&lt;&gt;"",$Z2354&lt;&gt;"×",$AC2354=0,$AB2354=""),"計算額が下限以下のため不支給／",""))</f>
        <v/>
      </c>
      <c r="AL2354" s="12" t="n"/>
      <c r="AM2354" s="14">
        <f>IF($AD2354="保留中",COUNTIF($AD$6:$AD2354,"保留中"),"")</f>
        <v/>
      </c>
      <c r="AN2354" s="14">
        <f>IF($AO2354="","",IF(SUMPRODUCT(MAX((職員マスタ!$A$6:$A$405=$B2354)*(((職員マスタ!$G$6:$G$405="")+(職員マスタ!$G$6:$G$405&lt;=EOMONTH($AO2354,0)))&gt;0)*(((職員マスタ!$H$6:$H$405="")+(職員マスタ!$H$6:$H$405&gt;=$AO2354))&gt;0)*(ROW(職員マスタ!$A$6:$A$405)-5)))&gt;0,SUMPRODUCT(MAX((職員マスタ!$A$6:$A$405=$B2354)*(((職員マスタ!$G$6:$G$405="")+(職員マスタ!$G$6:$G$405&lt;=EOMONTH($AO2354,0)))&gt;0)*(((職員マスタ!$H$6:$H$405="")+(職員マスタ!$H$6:$H$405&gt;=$AO2354))&gt;0)*(ROW(職員マスタ!$A$6:$A$405)-5))),IFERROR(MATCH($B2354,職員マスタ!$A$6:$A$405,0),"")))</f>
        <v/>
      </c>
      <c r="AO2354" s="16">
        <f>IF(OR($B2354="",$C2354="",$D2354=""),"",DATE($C2354+2018,$D2354,1))</f>
        <v/>
      </c>
    </row>
    <row r="2355">
      <c r="A2355" s="11" t="n"/>
      <c r="B2355" s="12" t="n"/>
      <c r="C2355" s="12" t="n"/>
      <c r="D2355" s="12" t="n"/>
      <c r="E2355" s="13" t="n"/>
      <c r="F2355" s="12" t="n"/>
      <c r="G2355" s="13" t="n"/>
      <c r="H2355" s="12" t="n"/>
      <c r="I2355" s="12" t="n"/>
      <c r="J2355" s="12" t="n"/>
      <c r="K2355" s="12" t="n"/>
      <c r="L2355" s="11" t="n"/>
      <c r="M2355" s="11" t="n"/>
      <c r="N2355" s="11" t="n"/>
      <c r="O2355" s="11" t="n"/>
      <c r="P2355" s="12" t="n"/>
      <c r="Q2355" s="11" t="n"/>
      <c r="R2355" s="12" t="n"/>
      <c r="S2355" s="11" t="n"/>
      <c r="T2355" s="12" t="n"/>
      <c r="U2355" s="12" t="n"/>
      <c r="V2355" s="14">
        <f>IF($AN2355="",IF($B2355="","",$H2355),IF(INDEX(職員マスタ!$B$6:$B$405,$AN2355)="",$H2355,INDEX(職員マスタ!$B$6:$B$405,$AN2355)))</f>
        <v/>
      </c>
      <c r="W2355" s="14">
        <f>IF($AN2355="",IF($B2355="","",$R2355),IF(INDEX(職員マスタ!$C$6:$C$405,$AN2355)="",$R2355,INDEX(職員マスタ!$C$6:$C$405,$AN2355)))</f>
        <v/>
      </c>
      <c r="X2355" s="14">
        <f>IF($AO2355="","","R"&amp;$C2355&amp;"."&amp;$D2355)</f>
        <v/>
      </c>
      <c r="Y2355" s="15">
        <f>IF($AN2355="","",IF(INDEX(職員マスタ!$K$6:$K$405,$AN2355)="","",INDEX(職員マスタ!$K$6:$K$405,$AN2355)))</f>
        <v/>
      </c>
      <c r="Z2355" s="14">
        <f>IF(OR($E2355="",$Y2355=""),"",IF($E2355&gt;=$Y2355,"×",IF($E2355&gt;=$Y2355*設定!$C$5,"△","○")))</f>
        <v/>
      </c>
      <c r="AA2355" s="15">
        <f>IF($Z2355="","",IF($Z2355="×",0,IF($Z2355="○",ROUNDDOWN($E2355*設定!$C$4,0),ROUNDDOWN($E2355*ROUND((9*$Y2355-9*$E2355)/(10*$E2355),4),0))))</f>
        <v/>
      </c>
      <c r="AB2355" s="13" t="n"/>
      <c r="AC2355" s="15">
        <f>IF($B2355="","",IF($AB2355&lt;&gt;"",$AB2355,IF($AA2355="","",IF($AA2355&lt;=設定!$C$3,0,$AA2355))))</f>
        <v/>
      </c>
      <c r="AD2355" s="14">
        <f>IF($B2355="","",IF(AND($AE2355&lt;&gt;"",$AG2355="",$AJ2355=""),"保留中",IF($AJ2355&lt;&gt;"",IF(N($AC2355)&gt;0,"支給済","不支給"),IF($AC2355="","要確認",IF($AC2355=0,"不支給","未処理")))))</f>
        <v/>
      </c>
      <c r="AE2355" s="12" t="n"/>
      <c r="AF2355" s="11" t="n"/>
      <c r="AG2355" s="11" t="n"/>
      <c r="AH2355" s="11" t="n"/>
      <c r="AI2355" s="14">
        <f>IF(AND($AD2355="保留中",$AF2355&lt;&gt;""),TODAY()-$AF2355,"")</f>
        <v/>
      </c>
      <c r="AJ2355" s="12" t="n"/>
      <c r="AK2355" s="14">
        <f>IF($B2355="","",IF($AO2355="","対象年月が未入力／","")&amp;IF($B2355="","",IF($AN2355="","職員マスタに未登録の職員番号／",IF($Y2355="","標準報酬月額が未登録／","")&amp;IF(AND($AO2355&lt;&gt;"",OR(AND(INDEX(職員マスタ!$G$6:$G$405,$AN2355)&lt;&gt;"",INDEX(職員マスタ!$G$6:$G$405,$AN2355)&gt;EOMONTH($AO2355,0)),AND(INDEX(職員マスタ!$H$6:$H$405,$AN2355)&lt;&gt;"",INDEX(職員マスタ!$H$6:$H$405,$AN2355)&lt;$AO2355))),"対象月が時短期間外／","")&amp;IF(AND(INDEX(職員マスタ!$F$6:$F$405,$AN2355)&lt;&gt;"",$AO2355&lt;&gt;"",INDEX(職員マスタ!$F$6:$F$405,$AN2355)&lt;$AO2355),"対象月に子が2歳到達済／","")&amp;IF(AND($H2355&lt;&gt;"",INDEX(職員マスタ!$B$6:$B$405,$AN2355)&lt;&gt;"",SUBSTITUTE(SUBSTITUTE($H2355," ","")," ","")&lt;&gt;SUBSTITUTE(SUBSTITUTE(INDEX(職員マスタ!$B$6:$B$405,$AN2355)," ","")," ","")),"氏名がマスタと相違／","")&amp;IF(AND($Q2355&lt;&gt;"",INDEX(職員マスタ!$E$6:$E$405,$AN2355)&lt;&gt;"",$Q2355&lt;&gt;INDEX(職員マスタ!$E$6:$E$405,$AN2355)),"子の生年月日がマスタと相違／","")&amp;IF(AND($L2355&lt;&gt;"",INDEX(職員マスタ!$G$6:$G$405,$AN2355)&lt;&gt;"",$L2355&lt;&gt;INDEX(職員マスタ!$G$6:$G$405,$AN2355)),"時短開始日がマスタと相違／","")&amp;IF(AND($M2355&lt;&gt;"",INDEX(職員マスタ!$H$6:$H$405,$AN2355)&lt;&gt;"",$M2355&lt;&gt;INDEX(職員マスタ!$H$6:$H$405,$AN2355)),"時短終了日がマスタと相違／","")))&amp;IF(AND($B2355&lt;&gt;"",$E2355=""),"報酬額が未入力／","")&amp;IF(N($U2355)&gt;0,"申請書に入力エラーが残っています／","")&amp;IF(AND($B2355&lt;&gt;"",$AO2355&lt;&gt;""),IF(COUNTIFS($B$6:$B$3005,$B2355,$C$6:$C$3005,$C2355,$D$6:$D$3005,$D2355)&gt;1,"同じ月の請求が重複しています／",""),"")&amp;IF(AND(N($E2355)&gt;0,$Z2355&lt;&gt;"",$Z2355&lt;&gt;"×",$AC2355=0,$AB2355=""),"計算額が下限以下のため不支給／",""))</f>
        <v/>
      </c>
      <c r="AL2355" s="12" t="n"/>
      <c r="AM2355" s="14">
        <f>IF($AD2355="保留中",COUNTIF($AD$6:$AD2355,"保留中"),"")</f>
        <v/>
      </c>
      <c r="AN2355" s="14">
        <f>IF($AO2355="","",IF(SUMPRODUCT(MAX((職員マスタ!$A$6:$A$405=$B2355)*(((職員マスタ!$G$6:$G$405="")+(職員マスタ!$G$6:$G$405&lt;=EOMONTH($AO2355,0)))&gt;0)*(((職員マスタ!$H$6:$H$405="")+(職員マスタ!$H$6:$H$405&gt;=$AO2355))&gt;0)*(ROW(職員マスタ!$A$6:$A$405)-5)))&gt;0,SUMPRODUCT(MAX((職員マスタ!$A$6:$A$405=$B2355)*(((職員マスタ!$G$6:$G$405="")+(職員マスタ!$G$6:$G$405&lt;=EOMONTH($AO2355,0)))&gt;0)*(((職員マスタ!$H$6:$H$405="")+(職員マスタ!$H$6:$H$405&gt;=$AO2355))&gt;0)*(ROW(職員マスタ!$A$6:$A$405)-5))),IFERROR(MATCH($B2355,職員マスタ!$A$6:$A$405,0),"")))</f>
        <v/>
      </c>
      <c r="AO2355" s="16">
        <f>IF(OR($B2355="",$C2355="",$D2355=""),"",DATE($C2355+2018,$D2355,1))</f>
        <v/>
      </c>
    </row>
    <row r="2356">
      <c r="A2356" s="11" t="n"/>
      <c r="B2356" s="12" t="n"/>
      <c r="C2356" s="12" t="n"/>
      <c r="D2356" s="12" t="n"/>
      <c r="E2356" s="13" t="n"/>
      <c r="F2356" s="12" t="n"/>
      <c r="G2356" s="13" t="n"/>
      <c r="H2356" s="12" t="n"/>
      <c r="I2356" s="12" t="n"/>
      <c r="J2356" s="12" t="n"/>
      <c r="K2356" s="12" t="n"/>
      <c r="L2356" s="11" t="n"/>
      <c r="M2356" s="11" t="n"/>
      <c r="N2356" s="11" t="n"/>
      <c r="O2356" s="11" t="n"/>
      <c r="P2356" s="12" t="n"/>
      <c r="Q2356" s="11" t="n"/>
      <c r="R2356" s="12" t="n"/>
      <c r="S2356" s="11" t="n"/>
      <c r="T2356" s="12" t="n"/>
      <c r="U2356" s="12" t="n"/>
      <c r="V2356" s="14">
        <f>IF($AN2356="",IF($B2356="","",$H2356),IF(INDEX(職員マスタ!$B$6:$B$405,$AN2356)="",$H2356,INDEX(職員マスタ!$B$6:$B$405,$AN2356)))</f>
        <v/>
      </c>
      <c r="W2356" s="14">
        <f>IF($AN2356="",IF($B2356="","",$R2356),IF(INDEX(職員マスタ!$C$6:$C$405,$AN2356)="",$R2356,INDEX(職員マスタ!$C$6:$C$405,$AN2356)))</f>
        <v/>
      </c>
      <c r="X2356" s="14">
        <f>IF($AO2356="","","R"&amp;$C2356&amp;"."&amp;$D2356)</f>
        <v/>
      </c>
      <c r="Y2356" s="15">
        <f>IF($AN2356="","",IF(INDEX(職員マスタ!$K$6:$K$405,$AN2356)="","",INDEX(職員マスタ!$K$6:$K$405,$AN2356)))</f>
        <v/>
      </c>
      <c r="Z2356" s="14">
        <f>IF(OR($E2356="",$Y2356=""),"",IF($E2356&gt;=$Y2356,"×",IF($E2356&gt;=$Y2356*設定!$C$5,"△","○")))</f>
        <v/>
      </c>
      <c r="AA2356" s="15">
        <f>IF($Z2356="","",IF($Z2356="×",0,IF($Z2356="○",ROUNDDOWN($E2356*設定!$C$4,0),ROUNDDOWN($E2356*ROUND((9*$Y2356-9*$E2356)/(10*$E2356),4),0))))</f>
        <v/>
      </c>
      <c r="AB2356" s="13" t="n"/>
      <c r="AC2356" s="15">
        <f>IF($B2356="","",IF($AB2356&lt;&gt;"",$AB2356,IF($AA2356="","",IF($AA2356&lt;=設定!$C$3,0,$AA2356))))</f>
        <v/>
      </c>
      <c r="AD2356" s="14">
        <f>IF($B2356="","",IF(AND($AE2356&lt;&gt;"",$AG2356="",$AJ2356=""),"保留中",IF($AJ2356&lt;&gt;"",IF(N($AC2356)&gt;0,"支給済","不支給"),IF($AC2356="","要確認",IF($AC2356=0,"不支給","未処理")))))</f>
        <v/>
      </c>
      <c r="AE2356" s="12" t="n"/>
      <c r="AF2356" s="11" t="n"/>
      <c r="AG2356" s="11" t="n"/>
      <c r="AH2356" s="11" t="n"/>
      <c r="AI2356" s="14">
        <f>IF(AND($AD2356="保留中",$AF2356&lt;&gt;""),TODAY()-$AF2356,"")</f>
        <v/>
      </c>
      <c r="AJ2356" s="12" t="n"/>
      <c r="AK2356" s="14">
        <f>IF($B2356="","",IF($AO2356="","対象年月が未入力／","")&amp;IF($B2356="","",IF($AN2356="","職員マスタに未登録の職員番号／",IF($Y2356="","標準報酬月額が未登録／","")&amp;IF(AND($AO2356&lt;&gt;"",OR(AND(INDEX(職員マスタ!$G$6:$G$405,$AN2356)&lt;&gt;"",INDEX(職員マスタ!$G$6:$G$405,$AN2356)&gt;EOMONTH($AO2356,0)),AND(INDEX(職員マスタ!$H$6:$H$405,$AN2356)&lt;&gt;"",INDEX(職員マスタ!$H$6:$H$405,$AN2356)&lt;$AO2356))),"対象月が時短期間外／","")&amp;IF(AND(INDEX(職員マスタ!$F$6:$F$405,$AN2356)&lt;&gt;"",$AO2356&lt;&gt;"",INDEX(職員マスタ!$F$6:$F$405,$AN2356)&lt;$AO2356),"対象月に子が2歳到達済／","")&amp;IF(AND($H2356&lt;&gt;"",INDEX(職員マスタ!$B$6:$B$405,$AN2356)&lt;&gt;"",SUBSTITUTE(SUBSTITUTE($H2356," ","")," ","")&lt;&gt;SUBSTITUTE(SUBSTITUTE(INDEX(職員マスタ!$B$6:$B$405,$AN2356)," ","")," ","")),"氏名がマスタと相違／","")&amp;IF(AND($Q2356&lt;&gt;"",INDEX(職員マスタ!$E$6:$E$405,$AN2356)&lt;&gt;"",$Q2356&lt;&gt;INDEX(職員マスタ!$E$6:$E$405,$AN2356)),"子の生年月日がマスタと相違／","")&amp;IF(AND($L2356&lt;&gt;"",INDEX(職員マスタ!$G$6:$G$405,$AN2356)&lt;&gt;"",$L2356&lt;&gt;INDEX(職員マスタ!$G$6:$G$405,$AN2356)),"時短開始日がマスタと相違／","")&amp;IF(AND($M2356&lt;&gt;"",INDEX(職員マスタ!$H$6:$H$405,$AN2356)&lt;&gt;"",$M2356&lt;&gt;INDEX(職員マスタ!$H$6:$H$405,$AN2356)),"時短終了日がマスタと相違／","")))&amp;IF(AND($B2356&lt;&gt;"",$E2356=""),"報酬額が未入力／","")&amp;IF(N($U2356)&gt;0,"申請書に入力エラーが残っています／","")&amp;IF(AND($B2356&lt;&gt;"",$AO2356&lt;&gt;""),IF(COUNTIFS($B$6:$B$3005,$B2356,$C$6:$C$3005,$C2356,$D$6:$D$3005,$D2356)&gt;1,"同じ月の請求が重複しています／",""),"")&amp;IF(AND(N($E2356)&gt;0,$Z2356&lt;&gt;"",$Z2356&lt;&gt;"×",$AC2356=0,$AB2356=""),"計算額が下限以下のため不支給／",""))</f>
        <v/>
      </c>
      <c r="AL2356" s="12" t="n"/>
      <c r="AM2356" s="14">
        <f>IF($AD2356="保留中",COUNTIF($AD$6:$AD2356,"保留中"),"")</f>
        <v/>
      </c>
      <c r="AN2356" s="14">
        <f>IF($AO2356="","",IF(SUMPRODUCT(MAX((職員マスタ!$A$6:$A$405=$B2356)*(((職員マスタ!$G$6:$G$405="")+(職員マスタ!$G$6:$G$405&lt;=EOMONTH($AO2356,0)))&gt;0)*(((職員マスタ!$H$6:$H$405="")+(職員マスタ!$H$6:$H$405&gt;=$AO2356))&gt;0)*(ROW(職員マスタ!$A$6:$A$405)-5)))&gt;0,SUMPRODUCT(MAX((職員マスタ!$A$6:$A$405=$B2356)*(((職員マスタ!$G$6:$G$405="")+(職員マスタ!$G$6:$G$405&lt;=EOMONTH($AO2356,0)))&gt;0)*(((職員マスタ!$H$6:$H$405="")+(職員マスタ!$H$6:$H$405&gt;=$AO2356))&gt;0)*(ROW(職員マスタ!$A$6:$A$405)-5))),IFERROR(MATCH($B2356,職員マスタ!$A$6:$A$405,0),"")))</f>
        <v/>
      </c>
      <c r="AO2356" s="16">
        <f>IF(OR($B2356="",$C2356="",$D2356=""),"",DATE($C2356+2018,$D2356,1))</f>
        <v/>
      </c>
    </row>
    <row r="2357">
      <c r="A2357" s="11" t="n"/>
      <c r="B2357" s="12" t="n"/>
      <c r="C2357" s="12" t="n"/>
      <c r="D2357" s="12" t="n"/>
      <c r="E2357" s="13" t="n"/>
      <c r="F2357" s="12" t="n"/>
      <c r="G2357" s="13" t="n"/>
      <c r="H2357" s="12" t="n"/>
      <c r="I2357" s="12" t="n"/>
      <c r="J2357" s="12" t="n"/>
      <c r="K2357" s="12" t="n"/>
      <c r="L2357" s="11" t="n"/>
      <c r="M2357" s="11" t="n"/>
      <c r="N2357" s="11" t="n"/>
      <c r="O2357" s="11" t="n"/>
      <c r="P2357" s="12" t="n"/>
      <c r="Q2357" s="11" t="n"/>
      <c r="R2357" s="12" t="n"/>
      <c r="S2357" s="11" t="n"/>
      <c r="T2357" s="12" t="n"/>
      <c r="U2357" s="12" t="n"/>
      <c r="V2357" s="14">
        <f>IF($AN2357="",IF($B2357="","",$H2357),IF(INDEX(職員マスタ!$B$6:$B$405,$AN2357)="",$H2357,INDEX(職員マスタ!$B$6:$B$405,$AN2357)))</f>
        <v/>
      </c>
      <c r="W2357" s="14">
        <f>IF($AN2357="",IF($B2357="","",$R2357),IF(INDEX(職員マスタ!$C$6:$C$405,$AN2357)="",$R2357,INDEX(職員マスタ!$C$6:$C$405,$AN2357)))</f>
        <v/>
      </c>
      <c r="X2357" s="14">
        <f>IF($AO2357="","","R"&amp;$C2357&amp;"."&amp;$D2357)</f>
        <v/>
      </c>
      <c r="Y2357" s="15">
        <f>IF($AN2357="","",IF(INDEX(職員マスタ!$K$6:$K$405,$AN2357)="","",INDEX(職員マスタ!$K$6:$K$405,$AN2357)))</f>
        <v/>
      </c>
      <c r="Z2357" s="14">
        <f>IF(OR($E2357="",$Y2357=""),"",IF($E2357&gt;=$Y2357,"×",IF($E2357&gt;=$Y2357*設定!$C$5,"△","○")))</f>
        <v/>
      </c>
      <c r="AA2357" s="15">
        <f>IF($Z2357="","",IF($Z2357="×",0,IF($Z2357="○",ROUNDDOWN($E2357*設定!$C$4,0),ROUNDDOWN($E2357*ROUND((9*$Y2357-9*$E2357)/(10*$E2357),4),0))))</f>
        <v/>
      </c>
      <c r="AB2357" s="13" t="n"/>
      <c r="AC2357" s="15">
        <f>IF($B2357="","",IF($AB2357&lt;&gt;"",$AB2357,IF($AA2357="","",IF($AA2357&lt;=設定!$C$3,0,$AA2357))))</f>
        <v/>
      </c>
      <c r="AD2357" s="14">
        <f>IF($B2357="","",IF(AND($AE2357&lt;&gt;"",$AG2357="",$AJ2357=""),"保留中",IF($AJ2357&lt;&gt;"",IF(N($AC2357)&gt;0,"支給済","不支給"),IF($AC2357="","要確認",IF($AC2357=0,"不支給","未処理")))))</f>
        <v/>
      </c>
      <c r="AE2357" s="12" t="n"/>
      <c r="AF2357" s="11" t="n"/>
      <c r="AG2357" s="11" t="n"/>
      <c r="AH2357" s="11" t="n"/>
      <c r="AI2357" s="14">
        <f>IF(AND($AD2357="保留中",$AF2357&lt;&gt;""),TODAY()-$AF2357,"")</f>
        <v/>
      </c>
      <c r="AJ2357" s="12" t="n"/>
      <c r="AK2357" s="14">
        <f>IF($B2357="","",IF($AO2357="","対象年月が未入力／","")&amp;IF($B2357="","",IF($AN2357="","職員マスタに未登録の職員番号／",IF($Y2357="","標準報酬月額が未登録／","")&amp;IF(AND($AO2357&lt;&gt;"",OR(AND(INDEX(職員マスタ!$G$6:$G$405,$AN2357)&lt;&gt;"",INDEX(職員マスタ!$G$6:$G$405,$AN2357)&gt;EOMONTH($AO2357,0)),AND(INDEX(職員マスタ!$H$6:$H$405,$AN2357)&lt;&gt;"",INDEX(職員マスタ!$H$6:$H$405,$AN2357)&lt;$AO2357))),"対象月が時短期間外／","")&amp;IF(AND(INDEX(職員マスタ!$F$6:$F$405,$AN2357)&lt;&gt;"",$AO2357&lt;&gt;"",INDEX(職員マスタ!$F$6:$F$405,$AN2357)&lt;$AO2357),"対象月に子が2歳到達済／","")&amp;IF(AND($H2357&lt;&gt;"",INDEX(職員マスタ!$B$6:$B$405,$AN2357)&lt;&gt;"",SUBSTITUTE(SUBSTITUTE($H2357," ","")," ","")&lt;&gt;SUBSTITUTE(SUBSTITUTE(INDEX(職員マスタ!$B$6:$B$405,$AN2357)," ","")," ","")),"氏名がマスタと相違／","")&amp;IF(AND($Q2357&lt;&gt;"",INDEX(職員マスタ!$E$6:$E$405,$AN2357)&lt;&gt;"",$Q2357&lt;&gt;INDEX(職員マスタ!$E$6:$E$405,$AN2357)),"子の生年月日がマスタと相違／","")&amp;IF(AND($L2357&lt;&gt;"",INDEX(職員マスタ!$G$6:$G$405,$AN2357)&lt;&gt;"",$L2357&lt;&gt;INDEX(職員マスタ!$G$6:$G$405,$AN2357)),"時短開始日がマスタと相違／","")&amp;IF(AND($M2357&lt;&gt;"",INDEX(職員マスタ!$H$6:$H$405,$AN2357)&lt;&gt;"",$M2357&lt;&gt;INDEX(職員マスタ!$H$6:$H$405,$AN2357)),"時短終了日がマスタと相違／","")))&amp;IF(AND($B2357&lt;&gt;"",$E2357=""),"報酬額が未入力／","")&amp;IF(N($U2357)&gt;0,"申請書に入力エラーが残っています／","")&amp;IF(AND($B2357&lt;&gt;"",$AO2357&lt;&gt;""),IF(COUNTIFS($B$6:$B$3005,$B2357,$C$6:$C$3005,$C2357,$D$6:$D$3005,$D2357)&gt;1,"同じ月の請求が重複しています／",""),"")&amp;IF(AND(N($E2357)&gt;0,$Z2357&lt;&gt;"",$Z2357&lt;&gt;"×",$AC2357=0,$AB2357=""),"計算額が下限以下のため不支給／",""))</f>
        <v/>
      </c>
      <c r="AL2357" s="12" t="n"/>
      <c r="AM2357" s="14">
        <f>IF($AD2357="保留中",COUNTIF($AD$6:$AD2357,"保留中"),"")</f>
        <v/>
      </c>
      <c r="AN2357" s="14">
        <f>IF($AO2357="","",IF(SUMPRODUCT(MAX((職員マスタ!$A$6:$A$405=$B2357)*(((職員マスタ!$G$6:$G$405="")+(職員マスタ!$G$6:$G$405&lt;=EOMONTH($AO2357,0)))&gt;0)*(((職員マスタ!$H$6:$H$405="")+(職員マスタ!$H$6:$H$405&gt;=$AO2357))&gt;0)*(ROW(職員マスタ!$A$6:$A$405)-5)))&gt;0,SUMPRODUCT(MAX((職員マスタ!$A$6:$A$405=$B2357)*(((職員マスタ!$G$6:$G$405="")+(職員マスタ!$G$6:$G$405&lt;=EOMONTH($AO2357,0)))&gt;0)*(((職員マスタ!$H$6:$H$405="")+(職員マスタ!$H$6:$H$405&gt;=$AO2357))&gt;0)*(ROW(職員マスタ!$A$6:$A$405)-5))),IFERROR(MATCH($B2357,職員マスタ!$A$6:$A$405,0),"")))</f>
        <v/>
      </c>
      <c r="AO2357" s="16">
        <f>IF(OR($B2357="",$C2357="",$D2357=""),"",DATE($C2357+2018,$D2357,1))</f>
        <v/>
      </c>
    </row>
    <row r="2358">
      <c r="A2358" s="11" t="n"/>
      <c r="B2358" s="12" t="n"/>
      <c r="C2358" s="12" t="n"/>
      <c r="D2358" s="12" t="n"/>
      <c r="E2358" s="13" t="n"/>
      <c r="F2358" s="12" t="n"/>
      <c r="G2358" s="13" t="n"/>
      <c r="H2358" s="12" t="n"/>
      <c r="I2358" s="12" t="n"/>
      <c r="J2358" s="12" t="n"/>
      <c r="K2358" s="12" t="n"/>
      <c r="L2358" s="11" t="n"/>
      <c r="M2358" s="11" t="n"/>
      <c r="N2358" s="11" t="n"/>
      <c r="O2358" s="11" t="n"/>
      <c r="P2358" s="12" t="n"/>
      <c r="Q2358" s="11" t="n"/>
      <c r="R2358" s="12" t="n"/>
      <c r="S2358" s="11" t="n"/>
      <c r="T2358" s="12" t="n"/>
      <c r="U2358" s="12" t="n"/>
      <c r="V2358" s="14">
        <f>IF($AN2358="",IF($B2358="","",$H2358),IF(INDEX(職員マスタ!$B$6:$B$405,$AN2358)="",$H2358,INDEX(職員マスタ!$B$6:$B$405,$AN2358)))</f>
        <v/>
      </c>
      <c r="W2358" s="14">
        <f>IF($AN2358="",IF($B2358="","",$R2358),IF(INDEX(職員マスタ!$C$6:$C$405,$AN2358)="",$R2358,INDEX(職員マスタ!$C$6:$C$405,$AN2358)))</f>
        <v/>
      </c>
      <c r="X2358" s="14">
        <f>IF($AO2358="","","R"&amp;$C2358&amp;"."&amp;$D2358)</f>
        <v/>
      </c>
      <c r="Y2358" s="15">
        <f>IF($AN2358="","",IF(INDEX(職員マスタ!$K$6:$K$405,$AN2358)="","",INDEX(職員マスタ!$K$6:$K$405,$AN2358)))</f>
        <v/>
      </c>
      <c r="Z2358" s="14">
        <f>IF(OR($E2358="",$Y2358=""),"",IF($E2358&gt;=$Y2358,"×",IF($E2358&gt;=$Y2358*設定!$C$5,"△","○")))</f>
        <v/>
      </c>
      <c r="AA2358" s="15">
        <f>IF($Z2358="","",IF($Z2358="×",0,IF($Z2358="○",ROUNDDOWN($E2358*設定!$C$4,0),ROUNDDOWN($E2358*ROUND((9*$Y2358-9*$E2358)/(10*$E2358),4),0))))</f>
        <v/>
      </c>
      <c r="AB2358" s="13" t="n"/>
      <c r="AC2358" s="15">
        <f>IF($B2358="","",IF($AB2358&lt;&gt;"",$AB2358,IF($AA2358="","",IF($AA2358&lt;=設定!$C$3,0,$AA2358))))</f>
        <v/>
      </c>
      <c r="AD2358" s="14">
        <f>IF($B2358="","",IF(AND($AE2358&lt;&gt;"",$AG2358="",$AJ2358=""),"保留中",IF($AJ2358&lt;&gt;"",IF(N($AC2358)&gt;0,"支給済","不支給"),IF($AC2358="","要確認",IF($AC2358=0,"不支給","未処理")))))</f>
        <v/>
      </c>
      <c r="AE2358" s="12" t="n"/>
      <c r="AF2358" s="11" t="n"/>
      <c r="AG2358" s="11" t="n"/>
      <c r="AH2358" s="11" t="n"/>
      <c r="AI2358" s="14">
        <f>IF(AND($AD2358="保留中",$AF2358&lt;&gt;""),TODAY()-$AF2358,"")</f>
        <v/>
      </c>
      <c r="AJ2358" s="12" t="n"/>
      <c r="AK2358" s="14">
        <f>IF($B2358="","",IF($AO2358="","対象年月が未入力／","")&amp;IF($B2358="","",IF($AN2358="","職員マスタに未登録の職員番号／",IF($Y2358="","標準報酬月額が未登録／","")&amp;IF(AND($AO2358&lt;&gt;"",OR(AND(INDEX(職員マスタ!$G$6:$G$405,$AN2358)&lt;&gt;"",INDEX(職員マスタ!$G$6:$G$405,$AN2358)&gt;EOMONTH($AO2358,0)),AND(INDEX(職員マスタ!$H$6:$H$405,$AN2358)&lt;&gt;"",INDEX(職員マスタ!$H$6:$H$405,$AN2358)&lt;$AO2358))),"対象月が時短期間外／","")&amp;IF(AND(INDEX(職員マスタ!$F$6:$F$405,$AN2358)&lt;&gt;"",$AO2358&lt;&gt;"",INDEX(職員マスタ!$F$6:$F$405,$AN2358)&lt;$AO2358),"対象月に子が2歳到達済／","")&amp;IF(AND($H2358&lt;&gt;"",INDEX(職員マスタ!$B$6:$B$405,$AN2358)&lt;&gt;"",SUBSTITUTE(SUBSTITUTE($H2358," ","")," ","")&lt;&gt;SUBSTITUTE(SUBSTITUTE(INDEX(職員マスタ!$B$6:$B$405,$AN2358)," ","")," ","")),"氏名がマスタと相違／","")&amp;IF(AND($Q2358&lt;&gt;"",INDEX(職員マスタ!$E$6:$E$405,$AN2358)&lt;&gt;"",$Q2358&lt;&gt;INDEX(職員マスタ!$E$6:$E$405,$AN2358)),"子の生年月日がマスタと相違／","")&amp;IF(AND($L2358&lt;&gt;"",INDEX(職員マスタ!$G$6:$G$405,$AN2358)&lt;&gt;"",$L2358&lt;&gt;INDEX(職員マスタ!$G$6:$G$405,$AN2358)),"時短開始日がマスタと相違／","")&amp;IF(AND($M2358&lt;&gt;"",INDEX(職員マスタ!$H$6:$H$405,$AN2358)&lt;&gt;"",$M2358&lt;&gt;INDEX(職員マスタ!$H$6:$H$405,$AN2358)),"時短終了日がマスタと相違／","")))&amp;IF(AND($B2358&lt;&gt;"",$E2358=""),"報酬額が未入力／","")&amp;IF(N($U2358)&gt;0,"申請書に入力エラーが残っています／","")&amp;IF(AND($B2358&lt;&gt;"",$AO2358&lt;&gt;""),IF(COUNTIFS($B$6:$B$3005,$B2358,$C$6:$C$3005,$C2358,$D$6:$D$3005,$D2358)&gt;1,"同じ月の請求が重複しています／",""),"")&amp;IF(AND(N($E2358)&gt;0,$Z2358&lt;&gt;"",$Z2358&lt;&gt;"×",$AC2358=0,$AB2358=""),"計算額が下限以下のため不支給／",""))</f>
        <v/>
      </c>
      <c r="AL2358" s="12" t="n"/>
      <c r="AM2358" s="14">
        <f>IF($AD2358="保留中",COUNTIF($AD$6:$AD2358,"保留中"),"")</f>
        <v/>
      </c>
      <c r="AN2358" s="14">
        <f>IF($AO2358="","",IF(SUMPRODUCT(MAX((職員マスタ!$A$6:$A$405=$B2358)*(((職員マスタ!$G$6:$G$405="")+(職員マスタ!$G$6:$G$405&lt;=EOMONTH($AO2358,0)))&gt;0)*(((職員マスタ!$H$6:$H$405="")+(職員マスタ!$H$6:$H$405&gt;=$AO2358))&gt;0)*(ROW(職員マスタ!$A$6:$A$405)-5)))&gt;0,SUMPRODUCT(MAX((職員マスタ!$A$6:$A$405=$B2358)*(((職員マスタ!$G$6:$G$405="")+(職員マスタ!$G$6:$G$405&lt;=EOMONTH($AO2358,0)))&gt;0)*(((職員マスタ!$H$6:$H$405="")+(職員マスタ!$H$6:$H$405&gt;=$AO2358))&gt;0)*(ROW(職員マスタ!$A$6:$A$405)-5))),IFERROR(MATCH($B2358,職員マスタ!$A$6:$A$405,0),"")))</f>
        <v/>
      </c>
      <c r="AO2358" s="16">
        <f>IF(OR($B2358="",$C2358="",$D2358=""),"",DATE($C2358+2018,$D2358,1))</f>
        <v/>
      </c>
    </row>
    <row r="2359">
      <c r="A2359" s="11" t="n"/>
      <c r="B2359" s="12" t="n"/>
      <c r="C2359" s="12" t="n"/>
      <c r="D2359" s="12" t="n"/>
      <c r="E2359" s="13" t="n"/>
      <c r="F2359" s="12" t="n"/>
      <c r="G2359" s="13" t="n"/>
      <c r="H2359" s="12" t="n"/>
      <c r="I2359" s="12" t="n"/>
      <c r="J2359" s="12" t="n"/>
      <c r="K2359" s="12" t="n"/>
      <c r="L2359" s="11" t="n"/>
      <c r="M2359" s="11" t="n"/>
      <c r="N2359" s="11" t="n"/>
      <c r="O2359" s="11" t="n"/>
      <c r="P2359" s="12" t="n"/>
      <c r="Q2359" s="11" t="n"/>
      <c r="R2359" s="12" t="n"/>
      <c r="S2359" s="11" t="n"/>
      <c r="T2359" s="12" t="n"/>
      <c r="U2359" s="12" t="n"/>
      <c r="V2359" s="14">
        <f>IF($AN2359="",IF($B2359="","",$H2359),IF(INDEX(職員マスタ!$B$6:$B$405,$AN2359)="",$H2359,INDEX(職員マスタ!$B$6:$B$405,$AN2359)))</f>
        <v/>
      </c>
      <c r="W2359" s="14">
        <f>IF($AN2359="",IF($B2359="","",$R2359),IF(INDEX(職員マスタ!$C$6:$C$405,$AN2359)="",$R2359,INDEX(職員マスタ!$C$6:$C$405,$AN2359)))</f>
        <v/>
      </c>
      <c r="X2359" s="14">
        <f>IF($AO2359="","","R"&amp;$C2359&amp;"."&amp;$D2359)</f>
        <v/>
      </c>
      <c r="Y2359" s="15">
        <f>IF($AN2359="","",IF(INDEX(職員マスタ!$K$6:$K$405,$AN2359)="","",INDEX(職員マスタ!$K$6:$K$405,$AN2359)))</f>
        <v/>
      </c>
      <c r="Z2359" s="14">
        <f>IF(OR($E2359="",$Y2359=""),"",IF($E2359&gt;=$Y2359,"×",IF($E2359&gt;=$Y2359*設定!$C$5,"△","○")))</f>
        <v/>
      </c>
      <c r="AA2359" s="15">
        <f>IF($Z2359="","",IF($Z2359="×",0,IF($Z2359="○",ROUNDDOWN($E2359*設定!$C$4,0),ROUNDDOWN($E2359*ROUND((9*$Y2359-9*$E2359)/(10*$E2359),4),0))))</f>
        <v/>
      </c>
      <c r="AB2359" s="13" t="n"/>
      <c r="AC2359" s="15">
        <f>IF($B2359="","",IF($AB2359&lt;&gt;"",$AB2359,IF($AA2359="","",IF($AA2359&lt;=設定!$C$3,0,$AA2359))))</f>
        <v/>
      </c>
      <c r="AD2359" s="14">
        <f>IF($B2359="","",IF(AND($AE2359&lt;&gt;"",$AG2359="",$AJ2359=""),"保留中",IF($AJ2359&lt;&gt;"",IF(N($AC2359)&gt;0,"支給済","不支給"),IF($AC2359="","要確認",IF($AC2359=0,"不支給","未処理")))))</f>
        <v/>
      </c>
      <c r="AE2359" s="12" t="n"/>
      <c r="AF2359" s="11" t="n"/>
      <c r="AG2359" s="11" t="n"/>
      <c r="AH2359" s="11" t="n"/>
      <c r="AI2359" s="14">
        <f>IF(AND($AD2359="保留中",$AF2359&lt;&gt;""),TODAY()-$AF2359,"")</f>
        <v/>
      </c>
      <c r="AJ2359" s="12" t="n"/>
      <c r="AK2359" s="14">
        <f>IF($B2359="","",IF($AO2359="","対象年月が未入力／","")&amp;IF($B2359="","",IF($AN2359="","職員マスタに未登録の職員番号／",IF($Y2359="","標準報酬月額が未登録／","")&amp;IF(AND($AO2359&lt;&gt;"",OR(AND(INDEX(職員マスタ!$G$6:$G$405,$AN2359)&lt;&gt;"",INDEX(職員マスタ!$G$6:$G$405,$AN2359)&gt;EOMONTH($AO2359,0)),AND(INDEX(職員マスタ!$H$6:$H$405,$AN2359)&lt;&gt;"",INDEX(職員マスタ!$H$6:$H$405,$AN2359)&lt;$AO2359))),"対象月が時短期間外／","")&amp;IF(AND(INDEX(職員マスタ!$F$6:$F$405,$AN2359)&lt;&gt;"",$AO2359&lt;&gt;"",INDEX(職員マスタ!$F$6:$F$405,$AN2359)&lt;$AO2359),"対象月に子が2歳到達済／","")&amp;IF(AND($H2359&lt;&gt;"",INDEX(職員マスタ!$B$6:$B$405,$AN2359)&lt;&gt;"",SUBSTITUTE(SUBSTITUTE($H2359," ","")," ","")&lt;&gt;SUBSTITUTE(SUBSTITUTE(INDEX(職員マスタ!$B$6:$B$405,$AN2359)," ","")," ","")),"氏名がマスタと相違／","")&amp;IF(AND($Q2359&lt;&gt;"",INDEX(職員マスタ!$E$6:$E$405,$AN2359)&lt;&gt;"",$Q2359&lt;&gt;INDEX(職員マスタ!$E$6:$E$405,$AN2359)),"子の生年月日がマスタと相違／","")&amp;IF(AND($L2359&lt;&gt;"",INDEX(職員マスタ!$G$6:$G$405,$AN2359)&lt;&gt;"",$L2359&lt;&gt;INDEX(職員マスタ!$G$6:$G$405,$AN2359)),"時短開始日がマスタと相違／","")&amp;IF(AND($M2359&lt;&gt;"",INDEX(職員マスタ!$H$6:$H$405,$AN2359)&lt;&gt;"",$M2359&lt;&gt;INDEX(職員マスタ!$H$6:$H$405,$AN2359)),"時短終了日がマスタと相違／","")))&amp;IF(AND($B2359&lt;&gt;"",$E2359=""),"報酬額が未入力／","")&amp;IF(N($U2359)&gt;0,"申請書に入力エラーが残っています／","")&amp;IF(AND($B2359&lt;&gt;"",$AO2359&lt;&gt;""),IF(COUNTIFS($B$6:$B$3005,$B2359,$C$6:$C$3005,$C2359,$D$6:$D$3005,$D2359)&gt;1,"同じ月の請求が重複しています／",""),"")&amp;IF(AND(N($E2359)&gt;0,$Z2359&lt;&gt;"",$Z2359&lt;&gt;"×",$AC2359=0,$AB2359=""),"計算額が下限以下のため不支給／",""))</f>
        <v/>
      </c>
      <c r="AL2359" s="12" t="n"/>
      <c r="AM2359" s="14">
        <f>IF($AD2359="保留中",COUNTIF($AD$6:$AD2359,"保留中"),"")</f>
        <v/>
      </c>
      <c r="AN2359" s="14">
        <f>IF($AO2359="","",IF(SUMPRODUCT(MAX((職員マスタ!$A$6:$A$405=$B2359)*(((職員マスタ!$G$6:$G$405="")+(職員マスタ!$G$6:$G$405&lt;=EOMONTH($AO2359,0)))&gt;0)*(((職員マスタ!$H$6:$H$405="")+(職員マスタ!$H$6:$H$405&gt;=$AO2359))&gt;0)*(ROW(職員マスタ!$A$6:$A$405)-5)))&gt;0,SUMPRODUCT(MAX((職員マスタ!$A$6:$A$405=$B2359)*(((職員マスタ!$G$6:$G$405="")+(職員マスタ!$G$6:$G$405&lt;=EOMONTH($AO2359,0)))&gt;0)*(((職員マスタ!$H$6:$H$405="")+(職員マスタ!$H$6:$H$405&gt;=$AO2359))&gt;0)*(ROW(職員マスタ!$A$6:$A$405)-5))),IFERROR(MATCH($B2359,職員マスタ!$A$6:$A$405,0),"")))</f>
        <v/>
      </c>
      <c r="AO2359" s="16">
        <f>IF(OR($B2359="",$C2359="",$D2359=""),"",DATE($C2359+2018,$D2359,1))</f>
        <v/>
      </c>
    </row>
    <row r="2360">
      <c r="A2360" s="11" t="n"/>
      <c r="B2360" s="12" t="n"/>
      <c r="C2360" s="12" t="n"/>
      <c r="D2360" s="12" t="n"/>
      <c r="E2360" s="13" t="n"/>
      <c r="F2360" s="12" t="n"/>
      <c r="G2360" s="13" t="n"/>
      <c r="H2360" s="12" t="n"/>
      <c r="I2360" s="12" t="n"/>
      <c r="J2360" s="12" t="n"/>
      <c r="K2360" s="12" t="n"/>
      <c r="L2360" s="11" t="n"/>
      <c r="M2360" s="11" t="n"/>
      <c r="N2360" s="11" t="n"/>
      <c r="O2360" s="11" t="n"/>
      <c r="P2360" s="12" t="n"/>
      <c r="Q2360" s="11" t="n"/>
      <c r="R2360" s="12" t="n"/>
      <c r="S2360" s="11" t="n"/>
      <c r="T2360" s="12" t="n"/>
      <c r="U2360" s="12" t="n"/>
      <c r="V2360" s="14">
        <f>IF($AN2360="",IF($B2360="","",$H2360),IF(INDEX(職員マスタ!$B$6:$B$405,$AN2360)="",$H2360,INDEX(職員マスタ!$B$6:$B$405,$AN2360)))</f>
        <v/>
      </c>
      <c r="W2360" s="14">
        <f>IF($AN2360="",IF($B2360="","",$R2360),IF(INDEX(職員マスタ!$C$6:$C$405,$AN2360)="",$R2360,INDEX(職員マスタ!$C$6:$C$405,$AN2360)))</f>
        <v/>
      </c>
      <c r="X2360" s="14">
        <f>IF($AO2360="","","R"&amp;$C2360&amp;"."&amp;$D2360)</f>
        <v/>
      </c>
      <c r="Y2360" s="15">
        <f>IF($AN2360="","",IF(INDEX(職員マスタ!$K$6:$K$405,$AN2360)="","",INDEX(職員マスタ!$K$6:$K$405,$AN2360)))</f>
        <v/>
      </c>
      <c r="Z2360" s="14">
        <f>IF(OR($E2360="",$Y2360=""),"",IF($E2360&gt;=$Y2360,"×",IF($E2360&gt;=$Y2360*設定!$C$5,"△","○")))</f>
        <v/>
      </c>
      <c r="AA2360" s="15">
        <f>IF($Z2360="","",IF($Z2360="×",0,IF($Z2360="○",ROUNDDOWN($E2360*設定!$C$4,0),ROUNDDOWN($E2360*ROUND((9*$Y2360-9*$E2360)/(10*$E2360),4),0))))</f>
        <v/>
      </c>
      <c r="AB2360" s="13" t="n"/>
      <c r="AC2360" s="15">
        <f>IF($B2360="","",IF($AB2360&lt;&gt;"",$AB2360,IF($AA2360="","",IF($AA2360&lt;=設定!$C$3,0,$AA2360))))</f>
        <v/>
      </c>
      <c r="AD2360" s="14">
        <f>IF($B2360="","",IF(AND($AE2360&lt;&gt;"",$AG2360="",$AJ2360=""),"保留中",IF($AJ2360&lt;&gt;"",IF(N($AC2360)&gt;0,"支給済","不支給"),IF($AC2360="","要確認",IF($AC2360=0,"不支給","未処理")))))</f>
        <v/>
      </c>
      <c r="AE2360" s="12" t="n"/>
      <c r="AF2360" s="11" t="n"/>
      <c r="AG2360" s="11" t="n"/>
      <c r="AH2360" s="11" t="n"/>
      <c r="AI2360" s="14">
        <f>IF(AND($AD2360="保留中",$AF2360&lt;&gt;""),TODAY()-$AF2360,"")</f>
        <v/>
      </c>
      <c r="AJ2360" s="12" t="n"/>
      <c r="AK2360" s="14">
        <f>IF($B2360="","",IF($AO2360="","対象年月が未入力／","")&amp;IF($B2360="","",IF($AN2360="","職員マスタに未登録の職員番号／",IF($Y2360="","標準報酬月額が未登録／","")&amp;IF(AND($AO2360&lt;&gt;"",OR(AND(INDEX(職員マスタ!$G$6:$G$405,$AN2360)&lt;&gt;"",INDEX(職員マスタ!$G$6:$G$405,$AN2360)&gt;EOMONTH($AO2360,0)),AND(INDEX(職員マスタ!$H$6:$H$405,$AN2360)&lt;&gt;"",INDEX(職員マスタ!$H$6:$H$405,$AN2360)&lt;$AO2360))),"対象月が時短期間外／","")&amp;IF(AND(INDEX(職員マスタ!$F$6:$F$405,$AN2360)&lt;&gt;"",$AO2360&lt;&gt;"",INDEX(職員マスタ!$F$6:$F$405,$AN2360)&lt;$AO2360),"対象月に子が2歳到達済／","")&amp;IF(AND($H2360&lt;&gt;"",INDEX(職員マスタ!$B$6:$B$405,$AN2360)&lt;&gt;"",SUBSTITUTE(SUBSTITUTE($H2360," ","")," ","")&lt;&gt;SUBSTITUTE(SUBSTITUTE(INDEX(職員マスタ!$B$6:$B$405,$AN2360)," ","")," ","")),"氏名がマスタと相違／","")&amp;IF(AND($Q2360&lt;&gt;"",INDEX(職員マスタ!$E$6:$E$405,$AN2360)&lt;&gt;"",$Q2360&lt;&gt;INDEX(職員マスタ!$E$6:$E$405,$AN2360)),"子の生年月日がマスタと相違／","")&amp;IF(AND($L2360&lt;&gt;"",INDEX(職員マスタ!$G$6:$G$405,$AN2360)&lt;&gt;"",$L2360&lt;&gt;INDEX(職員マスタ!$G$6:$G$405,$AN2360)),"時短開始日がマスタと相違／","")&amp;IF(AND($M2360&lt;&gt;"",INDEX(職員マスタ!$H$6:$H$405,$AN2360)&lt;&gt;"",$M2360&lt;&gt;INDEX(職員マスタ!$H$6:$H$405,$AN2360)),"時短終了日がマスタと相違／","")))&amp;IF(AND($B2360&lt;&gt;"",$E2360=""),"報酬額が未入力／","")&amp;IF(N($U2360)&gt;0,"申請書に入力エラーが残っています／","")&amp;IF(AND($B2360&lt;&gt;"",$AO2360&lt;&gt;""),IF(COUNTIFS($B$6:$B$3005,$B2360,$C$6:$C$3005,$C2360,$D$6:$D$3005,$D2360)&gt;1,"同じ月の請求が重複しています／",""),"")&amp;IF(AND(N($E2360)&gt;0,$Z2360&lt;&gt;"",$Z2360&lt;&gt;"×",$AC2360=0,$AB2360=""),"計算額が下限以下のため不支給／",""))</f>
        <v/>
      </c>
      <c r="AL2360" s="12" t="n"/>
      <c r="AM2360" s="14">
        <f>IF($AD2360="保留中",COUNTIF($AD$6:$AD2360,"保留中"),"")</f>
        <v/>
      </c>
      <c r="AN2360" s="14">
        <f>IF($AO2360="","",IF(SUMPRODUCT(MAX((職員マスタ!$A$6:$A$405=$B2360)*(((職員マスタ!$G$6:$G$405="")+(職員マスタ!$G$6:$G$405&lt;=EOMONTH($AO2360,0)))&gt;0)*(((職員マスタ!$H$6:$H$405="")+(職員マスタ!$H$6:$H$405&gt;=$AO2360))&gt;0)*(ROW(職員マスタ!$A$6:$A$405)-5)))&gt;0,SUMPRODUCT(MAX((職員マスタ!$A$6:$A$405=$B2360)*(((職員マスタ!$G$6:$G$405="")+(職員マスタ!$G$6:$G$405&lt;=EOMONTH($AO2360,0)))&gt;0)*(((職員マスタ!$H$6:$H$405="")+(職員マスタ!$H$6:$H$405&gt;=$AO2360))&gt;0)*(ROW(職員マスタ!$A$6:$A$405)-5))),IFERROR(MATCH($B2360,職員マスタ!$A$6:$A$405,0),"")))</f>
        <v/>
      </c>
      <c r="AO2360" s="16">
        <f>IF(OR($B2360="",$C2360="",$D2360=""),"",DATE($C2360+2018,$D2360,1))</f>
        <v/>
      </c>
    </row>
    <row r="2361">
      <c r="A2361" s="11" t="n"/>
      <c r="B2361" s="12" t="n"/>
      <c r="C2361" s="12" t="n"/>
      <c r="D2361" s="12" t="n"/>
      <c r="E2361" s="13" t="n"/>
      <c r="F2361" s="12" t="n"/>
      <c r="G2361" s="13" t="n"/>
      <c r="H2361" s="12" t="n"/>
      <c r="I2361" s="12" t="n"/>
      <c r="J2361" s="12" t="n"/>
      <c r="K2361" s="12" t="n"/>
      <c r="L2361" s="11" t="n"/>
      <c r="M2361" s="11" t="n"/>
      <c r="N2361" s="11" t="n"/>
      <c r="O2361" s="11" t="n"/>
      <c r="P2361" s="12" t="n"/>
      <c r="Q2361" s="11" t="n"/>
      <c r="R2361" s="12" t="n"/>
      <c r="S2361" s="11" t="n"/>
      <c r="T2361" s="12" t="n"/>
      <c r="U2361" s="12" t="n"/>
      <c r="V2361" s="14">
        <f>IF($AN2361="",IF($B2361="","",$H2361),IF(INDEX(職員マスタ!$B$6:$B$405,$AN2361)="",$H2361,INDEX(職員マスタ!$B$6:$B$405,$AN2361)))</f>
        <v/>
      </c>
      <c r="W2361" s="14">
        <f>IF($AN2361="",IF($B2361="","",$R2361),IF(INDEX(職員マスタ!$C$6:$C$405,$AN2361)="",$R2361,INDEX(職員マスタ!$C$6:$C$405,$AN2361)))</f>
        <v/>
      </c>
      <c r="X2361" s="14">
        <f>IF($AO2361="","","R"&amp;$C2361&amp;"."&amp;$D2361)</f>
        <v/>
      </c>
      <c r="Y2361" s="15">
        <f>IF($AN2361="","",IF(INDEX(職員マスタ!$K$6:$K$405,$AN2361)="","",INDEX(職員マスタ!$K$6:$K$405,$AN2361)))</f>
        <v/>
      </c>
      <c r="Z2361" s="14">
        <f>IF(OR($E2361="",$Y2361=""),"",IF($E2361&gt;=$Y2361,"×",IF($E2361&gt;=$Y2361*設定!$C$5,"△","○")))</f>
        <v/>
      </c>
      <c r="AA2361" s="15">
        <f>IF($Z2361="","",IF($Z2361="×",0,IF($Z2361="○",ROUNDDOWN($E2361*設定!$C$4,0),ROUNDDOWN($E2361*ROUND((9*$Y2361-9*$E2361)/(10*$E2361),4),0))))</f>
        <v/>
      </c>
      <c r="AB2361" s="13" t="n"/>
      <c r="AC2361" s="15">
        <f>IF($B2361="","",IF($AB2361&lt;&gt;"",$AB2361,IF($AA2361="","",IF($AA2361&lt;=設定!$C$3,0,$AA2361))))</f>
        <v/>
      </c>
      <c r="AD2361" s="14">
        <f>IF($B2361="","",IF(AND($AE2361&lt;&gt;"",$AG2361="",$AJ2361=""),"保留中",IF($AJ2361&lt;&gt;"",IF(N($AC2361)&gt;0,"支給済","不支給"),IF($AC2361="","要確認",IF($AC2361=0,"不支給","未処理")))))</f>
        <v/>
      </c>
      <c r="AE2361" s="12" t="n"/>
      <c r="AF2361" s="11" t="n"/>
      <c r="AG2361" s="11" t="n"/>
      <c r="AH2361" s="11" t="n"/>
      <c r="AI2361" s="14">
        <f>IF(AND($AD2361="保留中",$AF2361&lt;&gt;""),TODAY()-$AF2361,"")</f>
        <v/>
      </c>
      <c r="AJ2361" s="12" t="n"/>
      <c r="AK2361" s="14">
        <f>IF($B2361="","",IF($AO2361="","対象年月が未入力／","")&amp;IF($B2361="","",IF($AN2361="","職員マスタに未登録の職員番号／",IF($Y2361="","標準報酬月額が未登録／","")&amp;IF(AND($AO2361&lt;&gt;"",OR(AND(INDEX(職員マスタ!$G$6:$G$405,$AN2361)&lt;&gt;"",INDEX(職員マスタ!$G$6:$G$405,$AN2361)&gt;EOMONTH($AO2361,0)),AND(INDEX(職員マスタ!$H$6:$H$405,$AN2361)&lt;&gt;"",INDEX(職員マスタ!$H$6:$H$405,$AN2361)&lt;$AO2361))),"対象月が時短期間外／","")&amp;IF(AND(INDEX(職員マスタ!$F$6:$F$405,$AN2361)&lt;&gt;"",$AO2361&lt;&gt;"",INDEX(職員マスタ!$F$6:$F$405,$AN2361)&lt;$AO2361),"対象月に子が2歳到達済／","")&amp;IF(AND($H2361&lt;&gt;"",INDEX(職員マスタ!$B$6:$B$405,$AN2361)&lt;&gt;"",SUBSTITUTE(SUBSTITUTE($H2361," ","")," ","")&lt;&gt;SUBSTITUTE(SUBSTITUTE(INDEX(職員マスタ!$B$6:$B$405,$AN2361)," ","")," ","")),"氏名がマスタと相違／","")&amp;IF(AND($Q2361&lt;&gt;"",INDEX(職員マスタ!$E$6:$E$405,$AN2361)&lt;&gt;"",$Q2361&lt;&gt;INDEX(職員マスタ!$E$6:$E$405,$AN2361)),"子の生年月日がマスタと相違／","")&amp;IF(AND($L2361&lt;&gt;"",INDEX(職員マスタ!$G$6:$G$405,$AN2361)&lt;&gt;"",$L2361&lt;&gt;INDEX(職員マスタ!$G$6:$G$405,$AN2361)),"時短開始日がマスタと相違／","")&amp;IF(AND($M2361&lt;&gt;"",INDEX(職員マスタ!$H$6:$H$405,$AN2361)&lt;&gt;"",$M2361&lt;&gt;INDEX(職員マスタ!$H$6:$H$405,$AN2361)),"時短終了日がマスタと相違／","")))&amp;IF(AND($B2361&lt;&gt;"",$E2361=""),"報酬額が未入力／","")&amp;IF(N($U2361)&gt;0,"申請書に入力エラーが残っています／","")&amp;IF(AND($B2361&lt;&gt;"",$AO2361&lt;&gt;""),IF(COUNTIFS($B$6:$B$3005,$B2361,$C$6:$C$3005,$C2361,$D$6:$D$3005,$D2361)&gt;1,"同じ月の請求が重複しています／",""),"")&amp;IF(AND(N($E2361)&gt;0,$Z2361&lt;&gt;"",$Z2361&lt;&gt;"×",$AC2361=0,$AB2361=""),"計算額が下限以下のため不支給／",""))</f>
        <v/>
      </c>
      <c r="AL2361" s="12" t="n"/>
      <c r="AM2361" s="14">
        <f>IF($AD2361="保留中",COUNTIF($AD$6:$AD2361,"保留中"),"")</f>
        <v/>
      </c>
      <c r="AN2361" s="14">
        <f>IF($AO2361="","",IF(SUMPRODUCT(MAX((職員マスタ!$A$6:$A$405=$B2361)*(((職員マスタ!$G$6:$G$405="")+(職員マスタ!$G$6:$G$405&lt;=EOMONTH($AO2361,0)))&gt;0)*(((職員マスタ!$H$6:$H$405="")+(職員マスタ!$H$6:$H$405&gt;=$AO2361))&gt;0)*(ROW(職員マスタ!$A$6:$A$405)-5)))&gt;0,SUMPRODUCT(MAX((職員マスタ!$A$6:$A$405=$B2361)*(((職員マスタ!$G$6:$G$405="")+(職員マスタ!$G$6:$G$405&lt;=EOMONTH($AO2361,0)))&gt;0)*(((職員マスタ!$H$6:$H$405="")+(職員マスタ!$H$6:$H$405&gt;=$AO2361))&gt;0)*(ROW(職員マスタ!$A$6:$A$405)-5))),IFERROR(MATCH($B2361,職員マスタ!$A$6:$A$405,0),"")))</f>
        <v/>
      </c>
      <c r="AO2361" s="16">
        <f>IF(OR($B2361="",$C2361="",$D2361=""),"",DATE($C2361+2018,$D2361,1))</f>
        <v/>
      </c>
    </row>
    <row r="2362">
      <c r="A2362" s="11" t="n"/>
      <c r="B2362" s="12" t="n"/>
      <c r="C2362" s="12" t="n"/>
      <c r="D2362" s="12" t="n"/>
      <c r="E2362" s="13" t="n"/>
      <c r="F2362" s="12" t="n"/>
      <c r="G2362" s="13" t="n"/>
      <c r="H2362" s="12" t="n"/>
      <c r="I2362" s="12" t="n"/>
      <c r="J2362" s="12" t="n"/>
      <c r="K2362" s="12" t="n"/>
      <c r="L2362" s="11" t="n"/>
      <c r="M2362" s="11" t="n"/>
      <c r="N2362" s="11" t="n"/>
      <c r="O2362" s="11" t="n"/>
      <c r="P2362" s="12" t="n"/>
      <c r="Q2362" s="11" t="n"/>
      <c r="R2362" s="12" t="n"/>
      <c r="S2362" s="11" t="n"/>
      <c r="T2362" s="12" t="n"/>
      <c r="U2362" s="12" t="n"/>
      <c r="V2362" s="14">
        <f>IF($AN2362="",IF($B2362="","",$H2362),IF(INDEX(職員マスタ!$B$6:$B$405,$AN2362)="",$H2362,INDEX(職員マスタ!$B$6:$B$405,$AN2362)))</f>
        <v/>
      </c>
      <c r="W2362" s="14">
        <f>IF($AN2362="",IF($B2362="","",$R2362),IF(INDEX(職員マスタ!$C$6:$C$405,$AN2362)="",$R2362,INDEX(職員マスタ!$C$6:$C$405,$AN2362)))</f>
        <v/>
      </c>
      <c r="X2362" s="14">
        <f>IF($AO2362="","","R"&amp;$C2362&amp;"."&amp;$D2362)</f>
        <v/>
      </c>
      <c r="Y2362" s="15">
        <f>IF($AN2362="","",IF(INDEX(職員マスタ!$K$6:$K$405,$AN2362)="","",INDEX(職員マスタ!$K$6:$K$405,$AN2362)))</f>
        <v/>
      </c>
      <c r="Z2362" s="14">
        <f>IF(OR($E2362="",$Y2362=""),"",IF($E2362&gt;=$Y2362,"×",IF($E2362&gt;=$Y2362*設定!$C$5,"△","○")))</f>
        <v/>
      </c>
      <c r="AA2362" s="15">
        <f>IF($Z2362="","",IF($Z2362="×",0,IF($Z2362="○",ROUNDDOWN($E2362*設定!$C$4,0),ROUNDDOWN($E2362*ROUND((9*$Y2362-9*$E2362)/(10*$E2362),4),0))))</f>
        <v/>
      </c>
      <c r="AB2362" s="13" t="n"/>
      <c r="AC2362" s="15">
        <f>IF($B2362="","",IF($AB2362&lt;&gt;"",$AB2362,IF($AA2362="","",IF($AA2362&lt;=設定!$C$3,0,$AA2362))))</f>
        <v/>
      </c>
      <c r="AD2362" s="14">
        <f>IF($B2362="","",IF(AND($AE2362&lt;&gt;"",$AG2362="",$AJ2362=""),"保留中",IF($AJ2362&lt;&gt;"",IF(N($AC2362)&gt;0,"支給済","不支給"),IF($AC2362="","要確認",IF($AC2362=0,"不支給","未処理")))))</f>
        <v/>
      </c>
      <c r="AE2362" s="12" t="n"/>
      <c r="AF2362" s="11" t="n"/>
      <c r="AG2362" s="11" t="n"/>
      <c r="AH2362" s="11" t="n"/>
      <c r="AI2362" s="14">
        <f>IF(AND($AD2362="保留中",$AF2362&lt;&gt;""),TODAY()-$AF2362,"")</f>
        <v/>
      </c>
      <c r="AJ2362" s="12" t="n"/>
      <c r="AK2362" s="14">
        <f>IF($B2362="","",IF($AO2362="","対象年月が未入力／","")&amp;IF($B2362="","",IF($AN2362="","職員マスタに未登録の職員番号／",IF($Y2362="","標準報酬月額が未登録／","")&amp;IF(AND($AO2362&lt;&gt;"",OR(AND(INDEX(職員マスタ!$G$6:$G$405,$AN2362)&lt;&gt;"",INDEX(職員マスタ!$G$6:$G$405,$AN2362)&gt;EOMONTH($AO2362,0)),AND(INDEX(職員マスタ!$H$6:$H$405,$AN2362)&lt;&gt;"",INDEX(職員マスタ!$H$6:$H$405,$AN2362)&lt;$AO2362))),"対象月が時短期間外／","")&amp;IF(AND(INDEX(職員マスタ!$F$6:$F$405,$AN2362)&lt;&gt;"",$AO2362&lt;&gt;"",INDEX(職員マスタ!$F$6:$F$405,$AN2362)&lt;$AO2362),"対象月に子が2歳到達済／","")&amp;IF(AND($H2362&lt;&gt;"",INDEX(職員マスタ!$B$6:$B$405,$AN2362)&lt;&gt;"",SUBSTITUTE(SUBSTITUTE($H2362," ","")," ","")&lt;&gt;SUBSTITUTE(SUBSTITUTE(INDEX(職員マスタ!$B$6:$B$405,$AN2362)," ","")," ","")),"氏名がマスタと相違／","")&amp;IF(AND($Q2362&lt;&gt;"",INDEX(職員マスタ!$E$6:$E$405,$AN2362)&lt;&gt;"",$Q2362&lt;&gt;INDEX(職員マスタ!$E$6:$E$405,$AN2362)),"子の生年月日がマスタと相違／","")&amp;IF(AND($L2362&lt;&gt;"",INDEX(職員マスタ!$G$6:$G$405,$AN2362)&lt;&gt;"",$L2362&lt;&gt;INDEX(職員マスタ!$G$6:$G$405,$AN2362)),"時短開始日がマスタと相違／","")&amp;IF(AND($M2362&lt;&gt;"",INDEX(職員マスタ!$H$6:$H$405,$AN2362)&lt;&gt;"",$M2362&lt;&gt;INDEX(職員マスタ!$H$6:$H$405,$AN2362)),"時短終了日がマスタと相違／","")))&amp;IF(AND($B2362&lt;&gt;"",$E2362=""),"報酬額が未入力／","")&amp;IF(N($U2362)&gt;0,"申請書に入力エラーが残っています／","")&amp;IF(AND($B2362&lt;&gt;"",$AO2362&lt;&gt;""),IF(COUNTIFS($B$6:$B$3005,$B2362,$C$6:$C$3005,$C2362,$D$6:$D$3005,$D2362)&gt;1,"同じ月の請求が重複しています／",""),"")&amp;IF(AND(N($E2362)&gt;0,$Z2362&lt;&gt;"",$Z2362&lt;&gt;"×",$AC2362=0,$AB2362=""),"計算額が下限以下のため不支給／",""))</f>
        <v/>
      </c>
      <c r="AL2362" s="12" t="n"/>
      <c r="AM2362" s="14">
        <f>IF($AD2362="保留中",COUNTIF($AD$6:$AD2362,"保留中"),"")</f>
        <v/>
      </c>
      <c r="AN2362" s="14">
        <f>IF($AO2362="","",IF(SUMPRODUCT(MAX((職員マスタ!$A$6:$A$405=$B2362)*(((職員マスタ!$G$6:$G$405="")+(職員マスタ!$G$6:$G$405&lt;=EOMONTH($AO2362,0)))&gt;0)*(((職員マスタ!$H$6:$H$405="")+(職員マスタ!$H$6:$H$405&gt;=$AO2362))&gt;0)*(ROW(職員マスタ!$A$6:$A$405)-5)))&gt;0,SUMPRODUCT(MAX((職員マスタ!$A$6:$A$405=$B2362)*(((職員マスタ!$G$6:$G$405="")+(職員マスタ!$G$6:$G$405&lt;=EOMONTH($AO2362,0)))&gt;0)*(((職員マスタ!$H$6:$H$405="")+(職員マスタ!$H$6:$H$405&gt;=$AO2362))&gt;0)*(ROW(職員マスタ!$A$6:$A$405)-5))),IFERROR(MATCH($B2362,職員マスタ!$A$6:$A$405,0),"")))</f>
        <v/>
      </c>
      <c r="AO2362" s="16">
        <f>IF(OR($B2362="",$C2362="",$D2362=""),"",DATE($C2362+2018,$D2362,1))</f>
        <v/>
      </c>
    </row>
    <row r="2363">
      <c r="A2363" s="11" t="n"/>
      <c r="B2363" s="12" t="n"/>
      <c r="C2363" s="12" t="n"/>
      <c r="D2363" s="12" t="n"/>
      <c r="E2363" s="13" t="n"/>
      <c r="F2363" s="12" t="n"/>
      <c r="G2363" s="13" t="n"/>
      <c r="H2363" s="12" t="n"/>
      <c r="I2363" s="12" t="n"/>
      <c r="J2363" s="12" t="n"/>
      <c r="K2363" s="12" t="n"/>
      <c r="L2363" s="11" t="n"/>
      <c r="M2363" s="11" t="n"/>
      <c r="N2363" s="11" t="n"/>
      <c r="O2363" s="11" t="n"/>
      <c r="P2363" s="12" t="n"/>
      <c r="Q2363" s="11" t="n"/>
      <c r="R2363" s="12" t="n"/>
      <c r="S2363" s="11" t="n"/>
      <c r="T2363" s="12" t="n"/>
      <c r="U2363" s="12" t="n"/>
      <c r="V2363" s="14">
        <f>IF($AN2363="",IF($B2363="","",$H2363),IF(INDEX(職員マスタ!$B$6:$B$405,$AN2363)="",$H2363,INDEX(職員マスタ!$B$6:$B$405,$AN2363)))</f>
        <v/>
      </c>
      <c r="W2363" s="14">
        <f>IF($AN2363="",IF($B2363="","",$R2363),IF(INDEX(職員マスタ!$C$6:$C$405,$AN2363)="",$R2363,INDEX(職員マスタ!$C$6:$C$405,$AN2363)))</f>
        <v/>
      </c>
      <c r="X2363" s="14">
        <f>IF($AO2363="","","R"&amp;$C2363&amp;"."&amp;$D2363)</f>
        <v/>
      </c>
      <c r="Y2363" s="15">
        <f>IF($AN2363="","",IF(INDEX(職員マスタ!$K$6:$K$405,$AN2363)="","",INDEX(職員マスタ!$K$6:$K$405,$AN2363)))</f>
        <v/>
      </c>
      <c r="Z2363" s="14">
        <f>IF(OR($E2363="",$Y2363=""),"",IF($E2363&gt;=$Y2363,"×",IF($E2363&gt;=$Y2363*設定!$C$5,"△","○")))</f>
        <v/>
      </c>
      <c r="AA2363" s="15">
        <f>IF($Z2363="","",IF($Z2363="×",0,IF($Z2363="○",ROUNDDOWN($E2363*設定!$C$4,0),ROUNDDOWN($E2363*ROUND((9*$Y2363-9*$E2363)/(10*$E2363),4),0))))</f>
        <v/>
      </c>
      <c r="AB2363" s="13" t="n"/>
      <c r="AC2363" s="15">
        <f>IF($B2363="","",IF($AB2363&lt;&gt;"",$AB2363,IF($AA2363="","",IF($AA2363&lt;=設定!$C$3,0,$AA2363))))</f>
        <v/>
      </c>
      <c r="AD2363" s="14">
        <f>IF($B2363="","",IF(AND($AE2363&lt;&gt;"",$AG2363="",$AJ2363=""),"保留中",IF($AJ2363&lt;&gt;"",IF(N($AC2363)&gt;0,"支給済","不支給"),IF($AC2363="","要確認",IF($AC2363=0,"不支給","未処理")))))</f>
        <v/>
      </c>
      <c r="AE2363" s="12" t="n"/>
      <c r="AF2363" s="11" t="n"/>
      <c r="AG2363" s="11" t="n"/>
      <c r="AH2363" s="11" t="n"/>
      <c r="AI2363" s="14">
        <f>IF(AND($AD2363="保留中",$AF2363&lt;&gt;""),TODAY()-$AF2363,"")</f>
        <v/>
      </c>
      <c r="AJ2363" s="12" t="n"/>
      <c r="AK2363" s="14">
        <f>IF($B2363="","",IF($AO2363="","対象年月が未入力／","")&amp;IF($B2363="","",IF($AN2363="","職員マスタに未登録の職員番号／",IF($Y2363="","標準報酬月額が未登録／","")&amp;IF(AND($AO2363&lt;&gt;"",OR(AND(INDEX(職員マスタ!$G$6:$G$405,$AN2363)&lt;&gt;"",INDEX(職員マスタ!$G$6:$G$405,$AN2363)&gt;EOMONTH($AO2363,0)),AND(INDEX(職員マスタ!$H$6:$H$405,$AN2363)&lt;&gt;"",INDEX(職員マスタ!$H$6:$H$405,$AN2363)&lt;$AO2363))),"対象月が時短期間外／","")&amp;IF(AND(INDEX(職員マスタ!$F$6:$F$405,$AN2363)&lt;&gt;"",$AO2363&lt;&gt;"",INDEX(職員マスタ!$F$6:$F$405,$AN2363)&lt;$AO2363),"対象月に子が2歳到達済／","")&amp;IF(AND($H2363&lt;&gt;"",INDEX(職員マスタ!$B$6:$B$405,$AN2363)&lt;&gt;"",SUBSTITUTE(SUBSTITUTE($H2363," ","")," ","")&lt;&gt;SUBSTITUTE(SUBSTITUTE(INDEX(職員マスタ!$B$6:$B$405,$AN2363)," ","")," ","")),"氏名がマスタと相違／","")&amp;IF(AND($Q2363&lt;&gt;"",INDEX(職員マスタ!$E$6:$E$405,$AN2363)&lt;&gt;"",$Q2363&lt;&gt;INDEX(職員マスタ!$E$6:$E$405,$AN2363)),"子の生年月日がマスタと相違／","")&amp;IF(AND($L2363&lt;&gt;"",INDEX(職員マスタ!$G$6:$G$405,$AN2363)&lt;&gt;"",$L2363&lt;&gt;INDEX(職員マスタ!$G$6:$G$405,$AN2363)),"時短開始日がマスタと相違／","")&amp;IF(AND($M2363&lt;&gt;"",INDEX(職員マスタ!$H$6:$H$405,$AN2363)&lt;&gt;"",$M2363&lt;&gt;INDEX(職員マスタ!$H$6:$H$405,$AN2363)),"時短終了日がマスタと相違／","")))&amp;IF(AND($B2363&lt;&gt;"",$E2363=""),"報酬額が未入力／","")&amp;IF(N($U2363)&gt;0,"申請書に入力エラーが残っています／","")&amp;IF(AND($B2363&lt;&gt;"",$AO2363&lt;&gt;""),IF(COUNTIFS($B$6:$B$3005,$B2363,$C$6:$C$3005,$C2363,$D$6:$D$3005,$D2363)&gt;1,"同じ月の請求が重複しています／",""),"")&amp;IF(AND(N($E2363)&gt;0,$Z2363&lt;&gt;"",$Z2363&lt;&gt;"×",$AC2363=0,$AB2363=""),"計算額が下限以下のため不支給／",""))</f>
        <v/>
      </c>
      <c r="AL2363" s="12" t="n"/>
      <c r="AM2363" s="14">
        <f>IF($AD2363="保留中",COUNTIF($AD$6:$AD2363,"保留中"),"")</f>
        <v/>
      </c>
      <c r="AN2363" s="14">
        <f>IF($AO2363="","",IF(SUMPRODUCT(MAX((職員マスタ!$A$6:$A$405=$B2363)*(((職員マスタ!$G$6:$G$405="")+(職員マスタ!$G$6:$G$405&lt;=EOMONTH($AO2363,0)))&gt;0)*(((職員マスタ!$H$6:$H$405="")+(職員マスタ!$H$6:$H$405&gt;=$AO2363))&gt;0)*(ROW(職員マスタ!$A$6:$A$405)-5)))&gt;0,SUMPRODUCT(MAX((職員マスタ!$A$6:$A$405=$B2363)*(((職員マスタ!$G$6:$G$405="")+(職員マスタ!$G$6:$G$405&lt;=EOMONTH($AO2363,0)))&gt;0)*(((職員マスタ!$H$6:$H$405="")+(職員マスタ!$H$6:$H$405&gt;=$AO2363))&gt;0)*(ROW(職員マスタ!$A$6:$A$405)-5))),IFERROR(MATCH($B2363,職員マスタ!$A$6:$A$405,0),"")))</f>
        <v/>
      </c>
      <c r="AO2363" s="16">
        <f>IF(OR($B2363="",$C2363="",$D2363=""),"",DATE($C2363+2018,$D2363,1))</f>
        <v/>
      </c>
    </row>
    <row r="2364">
      <c r="A2364" s="11" t="n"/>
      <c r="B2364" s="12" t="n"/>
      <c r="C2364" s="12" t="n"/>
      <c r="D2364" s="12" t="n"/>
      <c r="E2364" s="13" t="n"/>
      <c r="F2364" s="12" t="n"/>
      <c r="G2364" s="13" t="n"/>
      <c r="H2364" s="12" t="n"/>
      <c r="I2364" s="12" t="n"/>
      <c r="J2364" s="12" t="n"/>
      <c r="K2364" s="12" t="n"/>
      <c r="L2364" s="11" t="n"/>
      <c r="M2364" s="11" t="n"/>
      <c r="N2364" s="11" t="n"/>
      <c r="O2364" s="11" t="n"/>
      <c r="P2364" s="12" t="n"/>
      <c r="Q2364" s="11" t="n"/>
      <c r="R2364" s="12" t="n"/>
      <c r="S2364" s="11" t="n"/>
      <c r="T2364" s="12" t="n"/>
      <c r="U2364" s="12" t="n"/>
      <c r="V2364" s="14">
        <f>IF($AN2364="",IF($B2364="","",$H2364),IF(INDEX(職員マスタ!$B$6:$B$405,$AN2364)="",$H2364,INDEX(職員マスタ!$B$6:$B$405,$AN2364)))</f>
        <v/>
      </c>
      <c r="W2364" s="14">
        <f>IF($AN2364="",IF($B2364="","",$R2364),IF(INDEX(職員マスタ!$C$6:$C$405,$AN2364)="",$R2364,INDEX(職員マスタ!$C$6:$C$405,$AN2364)))</f>
        <v/>
      </c>
      <c r="X2364" s="14">
        <f>IF($AO2364="","","R"&amp;$C2364&amp;"."&amp;$D2364)</f>
        <v/>
      </c>
      <c r="Y2364" s="15">
        <f>IF($AN2364="","",IF(INDEX(職員マスタ!$K$6:$K$405,$AN2364)="","",INDEX(職員マスタ!$K$6:$K$405,$AN2364)))</f>
        <v/>
      </c>
      <c r="Z2364" s="14">
        <f>IF(OR($E2364="",$Y2364=""),"",IF($E2364&gt;=$Y2364,"×",IF($E2364&gt;=$Y2364*設定!$C$5,"△","○")))</f>
        <v/>
      </c>
      <c r="AA2364" s="15">
        <f>IF($Z2364="","",IF($Z2364="×",0,IF($Z2364="○",ROUNDDOWN($E2364*設定!$C$4,0),ROUNDDOWN($E2364*ROUND((9*$Y2364-9*$E2364)/(10*$E2364),4),0))))</f>
        <v/>
      </c>
      <c r="AB2364" s="13" t="n"/>
      <c r="AC2364" s="15">
        <f>IF($B2364="","",IF($AB2364&lt;&gt;"",$AB2364,IF($AA2364="","",IF($AA2364&lt;=設定!$C$3,0,$AA2364))))</f>
        <v/>
      </c>
      <c r="AD2364" s="14">
        <f>IF($B2364="","",IF(AND($AE2364&lt;&gt;"",$AG2364="",$AJ2364=""),"保留中",IF($AJ2364&lt;&gt;"",IF(N($AC2364)&gt;0,"支給済","不支給"),IF($AC2364="","要確認",IF($AC2364=0,"不支給","未処理")))))</f>
        <v/>
      </c>
      <c r="AE2364" s="12" t="n"/>
      <c r="AF2364" s="11" t="n"/>
      <c r="AG2364" s="11" t="n"/>
      <c r="AH2364" s="11" t="n"/>
      <c r="AI2364" s="14">
        <f>IF(AND($AD2364="保留中",$AF2364&lt;&gt;""),TODAY()-$AF2364,"")</f>
        <v/>
      </c>
      <c r="AJ2364" s="12" t="n"/>
      <c r="AK2364" s="14">
        <f>IF($B2364="","",IF($AO2364="","対象年月が未入力／","")&amp;IF($B2364="","",IF($AN2364="","職員マスタに未登録の職員番号／",IF($Y2364="","標準報酬月額が未登録／","")&amp;IF(AND($AO2364&lt;&gt;"",OR(AND(INDEX(職員マスタ!$G$6:$G$405,$AN2364)&lt;&gt;"",INDEX(職員マスタ!$G$6:$G$405,$AN2364)&gt;EOMONTH($AO2364,0)),AND(INDEX(職員マスタ!$H$6:$H$405,$AN2364)&lt;&gt;"",INDEX(職員マスタ!$H$6:$H$405,$AN2364)&lt;$AO2364))),"対象月が時短期間外／","")&amp;IF(AND(INDEX(職員マスタ!$F$6:$F$405,$AN2364)&lt;&gt;"",$AO2364&lt;&gt;"",INDEX(職員マスタ!$F$6:$F$405,$AN2364)&lt;$AO2364),"対象月に子が2歳到達済／","")&amp;IF(AND($H2364&lt;&gt;"",INDEX(職員マスタ!$B$6:$B$405,$AN2364)&lt;&gt;"",SUBSTITUTE(SUBSTITUTE($H2364," ","")," ","")&lt;&gt;SUBSTITUTE(SUBSTITUTE(INDEX(職員マスタ!$B$6:$B$405,$AN2364)," ","")," ","")),"氏名がマスタと相違／","")&amp;IF(AND($Q2364&lt;&gt;"",INDEX(職員マスタ!$E$6:$E$405,$AN2364)&lt;&gt;"",$Q2364&lt;&gt;INDEX(職員マスタ!$E$6:$E$405,$AN2364)),"子の生年月日がマスタと相違／","")&amp;IF(AND($L2364&lt;&gt;"",INDEX(職員マスタ!$G$6:$G$405,$AN2364)&lt;&gt;"",$L2364&lt;&gt;INDEX(職員マスタ!$G$6:$G$405,$AN2364)),"時短開始日がマスタと相違／","")&amp;IF(AND($M2364&lt;&gt;"",INDEX(職員マスタ!$H$6:$H$405,$AN2364)&lt;&gt;"",$M2364&lt;&gt;INDEX(職員マスタ!$H$6:$H$405,$AN2364)),"時短終了日がマスタと相違／","")))&amp;IF(AND($B2364&lt;&gt;"",$E2364=""),"報酬額が未入力／","")&amp;IF(N($U2364)&gt;0,"申請書に入力エラーが残っています／","")&amp;IF(AND($B2364&lt;&gt;"",$AO2364&lt;&gt;""),IF(COUNTIFS($B$6:$B$3005,$B2364,$C$6:$C$3005,$C2364,$D$6:$D$3005,$D2364)&gt;1,"同じ月の請求が重複しています／",""),"")&amp;IF(AND(N($E2364)&gt;0,$Z2364&lt;&gt;"",$Z2364&lt;&gt;"×",$AC2364=0,$AB2364=""),"計算額が下限以下のため不支給／",""))</f>
        <v/>
      </c>
      <c r="AL2364" s="12" t="n"/>
      <c r="AM2364" s="14">
        <f>IF($AD2364="保留中",COUNTIF($AD$6:$AD2364,"保留中"),"")</f>
        <v/>
      </c>
      <c r="AN2364" s="14">
        <f>IF($AO2364="","",IF(SUMPRODUCT(MAX((職員マスタ!$A$6:$A$405=$B2364)*(((職員マスタ!$G$6:$G$405="")+(職員マスタ!$G$6:$G$405&lt;=EOMONTH($AO2364,0)))&gt;0)*(((職員マスタ!$H$6:$H$405="")+(職員マスタ!$H$6:$H$405&gt;=$AO2364))&gt;0)*(ROW(職員マスタ!$A$6:$A$405)-5)))&gt;0,SUMPRODUCT(MAX((職員マスタ!$A$6:$A$405=$B2364)*(((職員マスタ!$G$6:$G$405="")+(職員マスタ!$G$6:$G$405&lt;=EOMONTH($AO2364,0)))&gt;0)*(((職員マスタ!$H$6:$H$405="")+(職員マスタ!$H$6:$H$405&gt;=$AO2364))&gt;0)*(ROW(職員マスタ!$A$6:$A$405)-5))),IFERROR(MATCH($B2364,職員マスタ!$A$6:$A$405,0),"")))</f>
        <v/>
      </c>
      <c r="AO2364" s="16">
        <f>IF(OR($B2364="",$C2364="",$D2364=""),"",DATE($C2364+2018,$D2364,1))</f>
        <v/>
      </c>
    </row>
    <row r="2365">
      <c r="A2365" s="11" t="n"/>
      <c r="B2365" s="12" t="n"/>
      <c r="C2365" s="12" t="n"/>
      <c r="D2365" s="12" t="n"/>
      <c r="E2365" s="13" t="n"/>
      <c r="F2365" s="12" t="n"/>
      <c r="G2365" s="13" t="n"/>
      <c r="H2365" s="12" t="n"/>
      <c r="I2365" s="12" t="n"/>
      <c r="J2365" s="12" t="n"/>
      <c r="K2365" s="12" t="n"/>
      <c r="L2365" s="11" t="n"/>
      <c r="M2365" s="11" t="n"/>
      <c r="N2365" s="11" t="n"/>
      <c r="O2365" s="11" t="n"/>
      <c r="P2365" s="12" t="n"/>
      <c r="Q2365" s="11" t="n"/>
      <c r="R2365" s="12" t="n"/>
      <c r="S2365" s="11" t="n"/>
      <c r="T2365" s="12" t="n"/>
      <c r="U2365" s="12" t="n"/>
      <c r="V2365" s="14">
        <f>IF($AN2365="",IF($B2365="","",$H2365),IF(INDEX(職員マスタ!$B$6:$B$405,$AN2365)="",$H2365,INDEX(職員マスタ!$B$6:$B$405,$AN2365)))</f>
        <v/>
      </c>
      <c r="W2365" s="14">
        <f>IF($AN2365="",IF($B2365="","",$R2365),IF(INDEX(職員マスタ!$C$6:$C$405,$AN2365)="",$R2365,INDEX(職員マスタ!$C$6:$C$405,$AN2365)))</f>
        <v/>
      </c>
      <c r="X2365" s="14">
        <f>IF($AO2365="","","R"&amp;$C2365&amp;"."&amp;$D2365)</f>
        <v/>
      </c>
      <c r="Y2365" s="15">
        <f>IF($AN2365="","",IF(INDEX(職員マスタ!$K$6:$K$405,$AN2365)="","",INDEX(職員マスタ!$K$6:$K$405,$AN2365)))</f>
        <v/>
      </c>
      <c r="Z2365" s="14">
        <f>IF(OR($E2365="",$Y2365=""),"",IF($E2365&gt;=$Y2365,"×",IF($E2365&gt;=$Y2365*設定!$C$5,"△","○")))</f>
        <v/>
      </c>
      <c r="AA2365" s="15">
        <f>IF($Z2365="","",IF($Z2365="×",0,IF($Z2365="○",ROUNDDOWN($E2365*設定!$C$4,0),ROUNDDOWN($E2365*ROUND((9*$Y2365-9*$E2365)/(10*$E2365),4),0))))</f>
        <v/>
      </c>
      <c r="AB2365" s="13" t="n"/>
      <c r="AC2365" s="15">
        <f>IF($B2365="","",IF($AB2365&lt;&gt;"",$AB2365,IF($AA2365="","",IF($AA2365&lt;=設定!$C$3,0,$AA2365))))</f>
        <v/>
      </c>
      <c r="AD2365" s="14">
        <f>IF($B2365="","",IF(AND($AE2365&lt;&gt;"",$AG2365="",$AJ2365=""),"保留中",IF($AJ2365&lt;&gt;"",IF(N($AC2365)&gt;0,"支給済","不支給"),IF($AC2365="","要確認",IF($AC2365=0,"不支給","未処理")))))</f>
        <v/>
      </c>
      <c r="AE2365" s="12" t="n"/>
      <c r="AF2365" s="11" t="n"/>
      <c r="AG2365" s="11" t="n"/>
      <c r="AH2365" s="11" t="n"/>
      <c r="AI2365" s="14">
        <f>IF(AND($AD2365="保留中",$AF2365&lt;&gt;""),TODAY()-$AF2365,"")</f>
        <v/>
      </c>
      <c r="AJ2365" s="12" t="n"/>
      <c r="AK2365" s="14">
        <f>IF($B2365="","",IF($AO2365="","対象年月が未入力／","")&amp;IF($B2365="","",IF($AN2365="","職員マスタに未登録の職員番号／",IF($Y2365="","標準報酬月額が未登録／","")&amp;IF(AND($AO2365&lt;&gt;"",OR(AND(INDEX(職員マスタ!$G$6:$G$405,$AN2365)&lt;&gt;"",INDEX(職員マスタ!$G$6:$G$405,$AN2365)&gt;EOMONTH($AO2365,0)),AND(INDEX(職員マスタ!$H$6:$H$405,$AN2365)&lt;&gt;"",INDEX(職員マスタ!$H$6:$H$405,$AN2365)&lt;$AO2365))),"対象月が時短期間外／","")&amp;IF(AND(INDEX(職員マスタ!$F$6:$F$405,$AN2365)&lt;&gt;"",$AO2365&lt;&gt;"",INDEX(職員マスタ!$F$6:$F$405,$AN2365)&lt;$AO2365),"対象月に子が2歳到達済／","")&amp;IF(AND($H2365&lt;&gt;"",INDEX(職員マスタ!$B$6:$B$405,$AN2365)&lt;&gt;"",SUBSTITUTE(SUBSTITUTE($H2365," ","")," ","")&lt;&gt;SUBSTITUTE(SUBSTITUTE(INDEX(職員マスタ!$B$6:$B$405,$AN2365)," ","")," ","")),"氏名がマスタと相違／","")&amp;IF(AND($Q2365&lt;&gt;"",INDEX(職員マスタ!$E$6:$E$405,$AN2365)&lt;&gt;"",$Q2365&lt;&gt;INDEX(職員マスタ!$E$6:$E$405,$AN2365)),"子の生年月日がマスタと相違／","")&amp;IF(AND($L2365&lt;&gt;"",INDEX(職員マスタ!$G$6:$G$405,$AN2365)&lt;&gt;"",$L2365&lt;&gt;INDEX(職員マスタ!$G$6:$G$405,$AN2365)),"時短開始日がマスタと相違／","")&amp;IF(AND($M2365&lt;&gt;"",INDEX(職員マスタ!$H$6:$H$405,$AN2365)&lt;&gt;"",$M2365&lt;&gt;INDEX(職員マスタ!$H$6:$H$405,$AN2365)),"時短終了日がマスタと相違／","")))&amp;IF(AND($B2365&lt;&gt;"",$E2365=""),"報酬額が未入力／","")&amp;IF(N($U2365)&gt;0,"申請書に入力エラーが残っています／","")&amp;IF(AND($B2365&lt;&gt;"",$AO2365&lt;&gt;""),IF(COUNTIFS($B$6:$B$3005,$B2365,$C$6:$C$3005,$C2365,$D$6:$D$3005,$D2365)&gt;1,"同じ月の請求が重複しています／",""),"")&amp;IF(AND(N($E2365)&gt;0,$Z2365&lt;&gt;"",$Z2365&lt;&gt;"×",$AC2365=0,$AB2365=""),"計算額が下限以下のため不支給／",""))</f>
        <v/>
      </c>
      <c r="AL2365" s="12" t="n"/>
      <c r="AM2365" s="14">
        <f>IF($AD2365="保留中",COUNTIF($AD$6:$AD2365,"保留中"),"")</f>
        <v/>
      </c>
      <c r="AN2365" s="14">
        <f>IF($AO2365="","",IF(SUMPRODUCT(MAX((職員マスタ!$A$6:$A$405=$B2365)*(((職員マスタ!$G$6:$G$405="")+(職員マスタ!$G$6:$G$405&lt;=EOMONTH($AO2365,0)))&gt;0)*(((職員マスタ!$H$6:$H$405="")+(職員マスタ!$H$6:$H$405&gt;=$AO2365))&gt;0)*(ROW(職員マスタ!$A$6:$A$405)-5)))&gt;0,SUMPRODUCT(MAX((職員マスタ!$A$6:$A$405=$B2365)*(((職員マスタ!$G$6:$G$405="")+(職員マスタ!$G$6:$G$405&lt;=EOMONTH($AO2365,0)))&gt;0)*(((職員マスタ!$H$6:$H$405="")+(職員マスタ!$H$6:$H$405&gt;=$AO2365))&gt;0)*(ROW(職員マスタ!$A$6:$A$405)-5))),IFERROR(MATCH($B2365,職員マスタ!$A$6:$A$405,0),"")))</f>
        <v/>
      </c>
      <c r="AO2365" s="16">
        <f>IF(OR($B2365="",$C2365="",$D2365=""),"",DATE($C2365+2018,$D2365,1))</f>
        <v/>
      </c>
    </row>
    <row r="2366">
      <c r="A2366" s="11" t="n"/>
      <c r="B2366" s="12" t="n"/>
      <c r="C2366" s="12" t="n"/>
      <c r="D2366" s="12" t="n"/>
      <c r="E2366" s="13" t="n"/>
      <c r="F2366" s="12" t="n"/>
      <c r="G2366" s="13" t="n"/>
      <c r="H2366" s="12" t="n"/>
      <c r="I2366" s="12" t="n"/>
      <c r="J2366" s="12" t="n"/>
      <c r="K2366" s="12" t="n"/>
      <c r="L2366" s="11" t="n"/>
      <c r="M2366" s="11" t="n"/>
      <c r="N2366" s="11" t="n"/>
      <c r="O2366" s="11" t="n"/>
      <c r="P2366" s="12" t="n"/>
      <c r="Q2366" s="11" t="n"/>
      <c r="R2366" s="12" t="n"/>
      <c r="S2366" s="11" t="n"/>
      <c r="T2366" s="12" t="n"/>
      <c r="U2366" s="12" t="n"/>
      <c r="V2366" s="14">
        <f>IF($AN2366="",IF($B2366="","",$H2366),IF(INDEX(職員マスタ!$B$6:$B$405,$AN2366)="",$H2366,INDEX(職員マスタ!$B$6:$B$405,$AN2366)))</f>
        <v/>
      </c>
      <c r="W2366" s="14">
        <f>IF($AN2366="",IF($B2366="","",$R2366),IF(INDEX(職員マスタ!$C$6:$C$405,$AN2366)="",$R2366,INDEX(職員マスタ!$C$6:$C$405,$AN2366)))</f>
        <v/>
      </c>
      <c r="X2366" s="14">
        <f>IF($AO2366="","","R"&amp;$C2366&amp;"."&amp;$D2366)</f>
        <v/>
      </c>
      <c r="Y2366" s="15">
        <f>IF($AN2366="","",IF(INDEX(職員マスタ!$K$6:$K$405,$AN2366)="","",INDEX(職員マスタ!$K$6:$K$405,$AN2366)))</f>
        <v/>
      </c>
      <c r="Z2366" s="14">
        <f>IF(OR($E2366="",$Y2366=""),"",IF($E2366&gt;=$Y2366,"×",IF($E2366&gt;=$Y2366*設定!$C$5,"△","○")))</f>
        <v/>
      </c>
      <c r="AA2366" s="15">
        <f>IF($Z2366="","",IF($Z2366="×",0,IF($Z2366="○",ROUNDDOWN($E2366*設定!$C$4,0),ROUNDDOWN($E2366*ROUND((9*$Y2366-9*$E2366)/(10*$E2366),4),0))))</f>
        <v/>
      </c>
      <c r="AB2366" s="13" t="n"/>
      <c r="AC2366" s="15">
        <f>IF($B2366="","",IF($AB2366&lt;&gt;"",$AB2366,IF($AA2366="","",IF($AA2366&lt;=設定!$C$3,0,$AA2366))))</f>
        <v/>
      </c>
      <c r="AD2366" s="14">
        <f>IF($B2366="","",IF(AND($AE2366&lt;&gt;"",$AG2366="",$AJ2366=""),"保留中",IF($AJ2366&lt;&gt;"",IF(N($AC2366)&gt;0,"支給済","不支給"),IF($AC2366="","要確認",IF($AC2366=0,"不支給","未処理")))))</f>
        <v/>
      </c>
      <c r="AE2366" s="12" t="n"/>
      <c r="AF2366" s="11" t="n"/>
      <c r="AG2366" s="11" t="n"/>
      <c r="AH2366" s="11" t="n"/>
      <c r="AI2366" s="14">
        <f>IF(AND($AD2366="保留中",$AF2366&lt;&gt;""),TODAY()-$AF2366,"")</f>
        <v/>
      </c>
      <c r="AJ2366" s="12" t="n"/>
      <c r="AK2366" s="14">
        <f>IF($B2366="","",IF($AO2366="","対象年月が未入力／","")&amp;IF($B2366="","",IF($AN2366="","職員マスタに未登録の職員番号／",IF($Y2366="","標準報酬月額が未登録／","")&amp;IF(AND($AO2366&lt;&gt;"",OR(AND(INDEX(職員マスタ!$G$6:$G$405,$AN2366)&lt;&gt;"",INDEX(職員マスタ!$G$6:$G$405,$AN2366)&gt;EOMONTH($AO2366,0)),AND(INDEX(職員マスタ!$H$6:$H$405,$AN2366)&lt;&gt;"",INDEX(職員マスタ!$H$6:$H$405,$AN2366)&lt;$AO2366))),"対象月が時短期間外／","")&amp;IF(AND(INDEX(職員マスタ!$F$6:$F$405,$AN2366)&lt;&gt;"",$AO2366&lt;&gt;"",INDEX(職員マスタ!$F$6:$F$405,$AN2366)&lt;$AO2366),"対象月に子が2歳到達済／","")&amp;IF(AND($H2366&lt;&gt;"",INDEX(職員マスタ!$B$6:$B$405,$AN2366)&lt;&gt;"",SUBSTITUTE(SUBSTITUTE($H2366," ","")," ","")&lt;&gt;SUBSTITUTE(SUBSTITUTE(INDEX(職員マスタ!$B$6:$B$405,$AN2366)," ","")," ","")),"氏名がマスタと相違／","")&amp;IF(AND($Q2366&lt;&gt;"",INDEX(職員マスタ!$E$6:$E$405,$AN2366)&lt;&gt;"",$Q2366&lt;&gt;INDEX(職員マスタ!$E$6:$E$405,$AN2366)),"子の生年月日がマスタと相違／","")&amp;IF(AND($L2366&lt;&gt;"",INDEX(職員マスタ!$G$6:$G$405,$AN2366)&lt;&gt;"",$L2366&lt;&gt;INDEX(職員マスタ!$G$6:$G$405,$AN2366)),"時短開始日がマスタと相違／","")&amp;IF(AND($M2366&lt;&gt;"",INDEX(職員マスタ!$H$6:$H$405,$AN2366)&lt;&gt;"",$M2366&lt;&gt;INDEX(職員マスタ!$H$6:$H$405,$AN2366)),"時短終了日がマスタと相違／","")))&amp;IF(AND($B2366&lt;&gt;"",$E2366=""),"報酬額が未入力／","")&amp;IF(N($U2366)&gt;0,"申請書に入力エラーが残っています／","")&amp;IF(AND($B2366&lt;&gt;"",$AO2366&lt;&gt;""),IF(COUNTIFS($B$6:$B$3005,$B2366,$C$6:$C$3005,$C2366,$D$6:$D$3005,$D2366)&gt;1,"同じ月の請求が重複しています／",""),"")&amp;IF(AND(N($E2366)&gt;0,$Z2366&lt;&gt;"",$Z2366&lt;&gt;"×",$AC2366=0,$AB2366=""),"計算額が下限以下のため不支給／",""))</f>
        <v/>
      </c>
      <c r="AL2366" s="12" t="n"/>
      <c r="AM2366" s="14">
        <f>IF($AD2366="保留中",COUNTIF($AD$6:$AD2366,"保留中"),"")</f>
        <v/>
      </c>
      <c r="AN2366" s="14">
        <f>IF($AO2366="","",IF(SUMPRODUCT(MAX((職員マスタ!$A$6:$A$405=$B2366)*(((職員マスタ!$G$6:$G$405="")+(職員マスタ!$G$6:$G$405&lt;=EOMONTH($AO2366,0)))&gt;0)*(((職員マスタ!$H$6:$H$405="")+(職員マスタ!$H$6:$H$405&gt;=$AO2366))&gt;0)*(ROW(職員マスタ!$A$6:$A$405)-5)))&gt;0,SUMPRODUCT(MAX((職員マスタ!$A$6:$A$405=$B2366)*(((職員マスタ!$G$6:$G$405="")+(職員マスタ!$G$6:$G$405&lt;=EOMONTH($AO2366,0)))&gt;0)*(((職員マスタ!$H$6:$H$405="")+(職員マスタ!$H$6:$H$405&gt;=$AO2366))&gt;0)*(ROW(職員マスタ!$A$6:$A$405)-5))),IFERROR(MATCH($B2366,職員マスタ!$A$6:$A$405,0),"")))</f>
        <v/>
      </c>
      <c r="AO2366" s="16">
        <f>IF(OR($B2366="",$C2366="",$D2366=""),"",DATE($C2366+2018,$D2366,1))</f>
        <v/>
      </c>
    </row>
    <row r="2367">
      <c r="A2367" s="11" t="n"/>
      <c r="B2367" s="12" t="n"/>
      <c r="C2367" s="12" t="n"/>
      <c r="D2367" s="12" t="n"/>
      <c r="E2367" s="13" t="n"/>
      <c r="F2367" s="12" t="n"/>
      <c r="G2367" s="13" t="n"/>
      <c r="H2367" s="12" t="n"/>
      <c r="I2367" s="12" t="n"/>
      <c r="J2367" s="12" t="n"/>
      <c r="K2367" s="12" t="n"/>
      <c r="L2367" s="11" t="n"/>
      <c r="M2367" s="11" t="n"/>
      <c r="N2367" s="11" t="n"/>
      <c r="O2367" s="11" t="n"/>
      <c r="P2367" s="12" t="n"/>
      <c r="Q2367" s="11" t="n"/>
      <c r="R2367" s="12" t="n"/>
      <c r="S2367" s="11" t="n"/>
      <c r="T2367" s="12" t="n"/>
      <c r="U2367" s="12" t="n"/>
      <c r="V2367" s="14">
        <f>IF($AN2367="",IF($B2367="","",$H2367),IF(INDEX(職員マスタ!$B$6:$B$405,$AN2367)="",$H2367,INDEX(職員マスタ!$B$6:$B$405,$AN2367)))</f>
        <v/>
      </c>
      <c r="W2367" s="14">
        <f>IF($AN2367="",IF($B2367="","",$R2367),IF(INDEX(職員マスタ!$C$6:$C$405,$AN2367)="",$R2367,INDEX(職員マスタ!$C$6:$C$405,$AN2367)))</f>
        <v/>
      </c>
      <c r="X2367" s="14">
        <f>IF($AO2367="","","R"&amp;$C2367&amp;"."&amp;$D2367)</f>
        <v/>
      </c>
      <c r="Y2367" s="15">
        <f>IF($AN2367="","",IF(INDEX(職員マスタ!$K$6:$K$405,$AN2367)="","",INDEX(職員マスタ!$K$6:$K$405,$AN2367)))</f>
        <v/>
      </c>
      <c r="Z2367" s="14">
        <f>IF(OR($E2367="",$Y2367=""),"",IF($E2367&gt;=$Y2367,"×",IF($E2367&gt;=$Y2367*設定!$C$5,"△","○")))</f>
        <v/>
      </c>
      <c r="AA2367" s="15">
        <f>IF($Z2367="","",IF($Z2367="×",0,IF($Z2367="○",ROUNDDOWN($E2367*設定!$C$4,0),ROUNDDOWN($E2367*ROUND((9*$Y2367-9*$E2367)/(10*$E2367),4),0))))</f>
        <v/>
      </c>
      <c r="AB2367" s="13" t="n"/>
      <c r="AC2367" s="15">
        <f>IF($B2367="","",IF($AB2367&lt;&gt;"",$AB2367,IF($AA2367="","",IF($AA2367&lt;=設定!$C$3,0,$AA2367))))</f>
        <v/>
      </c>
      <c r="AD2367" s="14">
        <f>IF($B2367="","",IF(AND($AE2367&lt;&gt;"",$AG2367="",$AJ2367=""),"保留中",IF($AJ2367&lt;&gt;"",IF(N($AC2367)&gt;0,"支給済","不支給"),IF($AC2367="","要確認",IF($AC2367=0,"不支給","未処理")))))</f>
        <v/>
      </c>
      <c r="AE2367" s="12" t="n"/>
      <c r="AF2367" s="11" t="n"/>
      <c r="AG2367" s="11" t="n"/>
      <c r="AH2367" s="11" t="n"/>
      <c r="AI2367" s="14">
        <f>IF(AND($AD2367="保留中",$AF2367&lt;&gt;""),TODAY()-$AF2367,"")</f>
        <v/>
      </c>
      <c r="AJ2367" s="12" t="n"/>
      <c r="AK2367" s="14">
        <f>IF($B2367="","",IF($AO2367="","対象年月が未入力／","")&amp;IF($B2367="","",IF($AN2367="","職員マスタに未登録の職員番号／",IF($Y2367="","標準報酬月額が未登録／","")&amp;IF(AND($AO2367&lt;&gt;"",OR(AND(INDEX(職員マスタ!$G$6:$G$405,$AN2367)&lt;&gt;"",INDEX(職員マスタ!$G$6:$G$405,$AN2367)&gt;EOMONTH($AO2367,0)),AND(INDEX(職員マスタ!$H$6:$H$405,$AN2367)&lt;&gt;"",INDEX(職員マスタ!$H$6:$H$405,$AN2367)&lt;$AO2367))),"対象月が時短期間外／","")&amp;IF(AND(INDEX(職員マスタ!$F$6:$F$405,$AN2367)&lt;&gt;"",$AO2367&lt;&gt;"",INDEX(職員マスタ!$F$6:$F$405,$AN2367)&lt;$AO2367),"対象月に子が2歳到達済／","")&amp;IF(AND($H2367&lt;&gt;"",INDEX(職員マスタ!$B$6:$B$405,$AN2367)&lt;&gt;"",SUBSTITUTE(SUBSTITUTE($H2367," ","")," ","")&lt;&gt;SUBSTITUTE(SUBSTITUTE(INDEX(職員マスタ!$B$6:$B$405,$AN2367)," ","")," ","")),"氏名がマスタと相違／","")&amp;IF(AND($Q2367&lt;&gt;"",INDEX(職員マスタ!$E$6:$E$405,$AN2367)&lt;&gt;"",$Q2367&lt;&gt;INDEX(職員マスタ!$E$6:$E$405,$AN2367)),"子の生年月日がマスタと相違／","")&amp;IF(AND($L2367&lt;&gt;"",INDEX(職員マスタ!$G$6:$G$405,$AN2367)&lt;&gt;"",$L2367&lt;&gt;INDEX(職員マスタ!$G$6:$G$405,$AN2367)),"時短開始日がマスタと相違／","")&amp;IF(AND($M2367&lt;&gt;"",INDEX(職員マスタ!$H$6:$H$405,$AN2367)&lt;&gt;"",$M2367&lt;&gt;INDEX(職員マスタ!$H$6:$H$405,$AN2367)),"時短終了日がマスタと相違／","")))&amp;IF(AND($B2367&lt;&gt;"",$E2367=""),"報酬額が未入力／","")&amp;IF(N($U2367)&gt;0,"申請書に入力エラーが残っています／","")&amp;IF(AND($B2367&lt;&gt;"",$AO2367&lt;&gt;""),IF(COUNTIFS($B$6:$B$3005,$B2367,$C$6:$C$3005,$C2367,$D$6:$D$3005,$D2367)&gt;1,"同じ月の請求が重複しています／",""),"")&amp;IF(AND(N($E2367)&gt;0,$Z2367&lt;&gt;"",$Z2367&lt;&gt;"×",$AC2367=0,$AB2367=""),"計算額が下限以下のため不支給／",""))</f>
        <v/>
      </c>
      <c r="AL2367" s="12" t="n"/>
      <c r="AM2367" s="14">
        <f>IF($AD2367="保留中",COUNTIF($AD$6:$AD2367,"保留中"),"")</f>
        <v/>
      </c>
      <c r="AN2367" s="14">
        <f>IF($AO2367="","",IF(SUMPRODUCT(MAX((職員マスタ!$A$6:$A$405=$B2367)*(((職員マスタ!$G$6:$G$405="")+(職員マスタ!$G$6:$G$405&lt;=EOMONTH($AO2367,0)))&gt;0)*(((職員マスタ!$H$6:$H$405="")+(職員マスタ!$H$6:$H$405&gt;=$AO2367))&gt;0)*(ROW(職員マスタ!$A$6:$A$405)-5)))&gt;0,SUMPRODUCT(MAX((職員マスタ!$A$6:$A$405=$B2367)*(((職員マスタ!$G$6:$G$405="")+(職員マスタ!$G$6:$G$405&lt;=EOMONTH($AO2367,0)))&gt;0)*(((職員マスタ!$H$6:$H$405="")+(職員マスタ!$H$6:$H$405&gt;=$AO2367))&gt;0)*(ROW(職員マスタ!$A$6:$A$405)-5))),IFERROR(MATCH($B2367,職員マスタ!$A$6:$A$405,0),"")))</f>
        <v/>
      </c>
      <c r="AO2367" s="16">
        <f>IF(OR($B2367="",$C2367="",$D2367=""),"",DATE($C2367+2018,$D2367,1))</f>
        <v/>
      </c>
    </row>
    <row r="2368">
      <c r="A2368" s="11" t="n"/>
      <c r="B2368" s="12" t="n"/>
      <c r="C2368" s="12" t="n"/>
      <c r="D2368" s="12" t="n"/>
      <c r="E2368" s="13" t="n"/>
      <c r="F2368" s="12" t="n"/>
      <c r="G2368" s="13" t="n"/>
      <c r="H2368" s="12" t="n"/>
      <c r="I2368" s="12" t="n"/>
      <c r="J2368" s="12" t="n"/>
      <c r="K2368" s="12" t="n"/>
      <c r="L2368" s="11" t="n"/>
      <c r="M2368" s="11" t="n"/>
      <c r="N2368" s="11" t="n"/>
      <c r="O2368" s="11" t="n"/>
      <c r="P2368" s="12" t="n"/>
      <c r="Q2368" s="11" t="n"/>
      <c r="R2368" s="12" t="n"/>
      <c r="S2368" s="11" t="n"/>
      <c r="T2368" s="12" t="n"/>
      <c r="U2368" s="12" t="n"/>
      <c r="V2368" s="14">
        <f>IF($AN2368="",IF($B2368="","",$H2368),IF(INDEX(職員マスタ!$B$6:$B$405,$AN2368)="",$H2368,INDEX(職員マスタ!$B$6:$B$405,$AN2368)))</f>
        <v/>
      </c>
      <c r="W2368" s="14">
        <f>IF($AN2368="",IF($B2368="","",$R2368),IF(INDEX(職員マスタ!$C$6:$C$405,$AN2368)="",$R2368,INDEX(職員マスタ!$C$6:$C$405,$AN2368)))</f>
        <v/>
      </c>
      <c r="X2368" s="14">
        <f>IF($AO2368="","","R"&amp;$C2368&amp;"."&amp;$D2368)</f>
        <v/>
      </c>
      <c r="Y2368" s="15">
        <f>IF($AN2368="","",IF(INDEX(職員マスタ!$K$6:$K$405,$AN2368)="","",INDEX(職員マスタ!$K$6:$K$405,$AN2368)))</f>
        <v/>
      </c>
      <c r="Z2368" s="14">
        <f>IF(OR($E2368="",$Y2368=""),"",IF($E2368&gt;=$Y2368,"×",IF($E2368&gt;=$Y2368*設定!$C$5,"△","○")))</f>
        <v/>
      </c>
      <c r="AA2368" s="15">
        <f>IF($Z2368="","",IF($Z2368="×",0,IF($Z2368="○",ROUNDDOWN($E2368*設定!$C$4,0),ROUNDDOWN($E2368*ROUND((9*$Y2368-9*$E2368)/(10*$E2368),4),0))))</f>
        <v/>
      </c>
      <c r="AB2368" s="13" t="n"/>
      <c r="AC2368" s="15">
        <f>IF($B2368="","",IF($AB2368&lt;&gt;"",$AB2368,IF($AA2368="","",IF($AA2368&lt;=設定!$C$3,0,$AA2368))))</f>
        <v/>
      </c>
      <c r="AD2368" s="14">
        <f>IF($B2368="","",IF(AND($AE2368&lt;&gt;"",$AG2368="",$AJ2368=""),"保留中",IF($AJ2368&lt;&gt;"",IF(N($AC2368)&gt;0,"支給済","不支給"),IF($AC2368="","要確認",IF($AC2368=0,"不支給","未処理")))))</f>
        <v/>
      </c>
      <c r="AE2368" s="12" t="n"/>
      <c r="AF2368" s="11" t="n"/>
      <c r="AG2368" s="11" t="n"/>
      <c r="AH2368" s="11" t="n"/>
      <c r="AI2368" s="14">
        <f>IF(AND($AD2368="保留中",$AF2368&lt;&gt;""),TODAY()-$AF2368,"")</f>
        <v/>
      </c>
      <c r="AJ2368" s="12" t="n"/>
      <c r="AK2368" s="14">
        <f>IF($B2368="","",IF($AO2368="","対象年月が未入力／","")&amp;IF($B2368="","",IF($AN2368="","職員マスタに未登録の職員番号／",IF($Y2368="","標準報酬月額が未登録／","")&amp;IF(AND($AO2368&lt;&gt;"",OR(AND(INDEX(職員マスタ!$G$6:$G$405,$AN2368)&lt;&gt;"",INDEX(職員マスタ!$G$6:$G$405,$AN2368)&gt;EOMONTH($AO2368,0)),AND(INDEX(職員マスタ!$H$6:$H$405,$AN2368)&lt;&gt;"",INDEX(職員マスタ!$H$6:$H$405,$AN2368)&lt;$AO2368))),"対象月が時短期間外／","")&amp;IF(AND(INDEX(職員マスタ!$F$6:$F$405,$AN2368)&lt;&gt;"",$AO2368&lt;&gt;"",INDEX(職員マスタ!$F$6:$F$405,$AN2368)&lt;$AO2368),"対象月に子が2歳到達済／","")&amp;IF(AND($H2368&lt;&gt;"",INDEX(職員マスタ!$B$6:$B$405,$AN2368)&lt;&gt;"",SUBSTITUTE(SUBSTITUTE($H2368," ","")," ","")&lt;&gt;SUBSTITUTE(SUBSTITUTE(INDEX(職員マスタ!$B$6:$B$405,$AN2368)," ","")," ","")),"氏名がマスタと相違／","")&amp;IF(AND($Q2368&lt;&gt;"",INDEX(職員マスタ!$E$6:$E$405,$AN2368)&lt;&gt;"",$Q2368&lt;&gt;INDEX(職員マスタ!$E$6:$E$405,$AN2368)),"子の生年月日がマスタと相違／","")&amp;IF(AND($L2368&lt;&gt;"",INDEX(職員マスタ!$G$6:$G$405,$AN2368)&lt;&gt;"",$L2368&lt;&gt;INDEX(職員マスタ!$G$6:$G$405,$AN2368)),"時短開始日がマスタと相違／","")&amp;IF(AND($M2368&lt;&gt;"",INDEX(職員マスタ!$H$6:$H$405,$AN2368)&lt;&gt;"",$M2368&lt;&gt;INDEX(職員マスタ!$H$6:$H$405,$AN2368)),"時短終了日がマスタと相違／","")))&amp;IF(AND($B2368&lt;&gt;"",$E2368=""),"報酬額が未入力／","")&amp;IF(N($U2368)&gt;0,"申請書に入力エラーが残っています／","")&amp;IF(AND($B2368&lt;&gt;"",$AO2368&lt;&gt;""),IF(COUNTIFS($B$6:$B$3005,$B2368,$C$6:$C$3005,$C2368,$D$6:$D$3005,$D2368)&gt;1,"同じ月の請求が重複しています／",""),"")&amp;IF(AND(N($E2368)&gt;0,$Z2368&lt;&gt;"",$Z2368&lt;&gt;"×",$AC2368=0,$AB2368=""),"計算額が下限以下のため不支給／",""))</f>
        <v/>
      </c>
      <c r="AL2368" s="12" t="n"/>
      <c r="AM2368" s="14">
        <f>IF($AD2368="保留中",COUNTIF($AD$6:$AD2368,"保留中"),"")</f>
        <v/>
      </c>
      <c r="AN2368" s="14">
        <f>IF($AO2368="","",IF(SUMPRODUCT(MAX((職員マスタ!$A$6:$A$405=$B2368)*(((職員マスタ!$G$6:$G$405="")+(職員マスタ!$G$6:$G$405&lt;=EOMONTH($AO2368,0)))&gt;0)*(((職員マスタ!$H$6:$H$405="")+(職員マスタ!$H$6:$H$405&gt;=$AO2368))&gt;0)*(ROW(職員マスタ!$A$6:$A$405)-5)))&gt;0,SUMPRODUCT(MAX((職員マスタ!$A$6:$A$405=$B2368)*(((職員マスタ!$G$6:$G$405="")+(職員マスタ!$G$6:$G$405&lt;=EOMONTH($AO2368,0)))&gt;0)*(((職員マスタ!$H$6:$H$405="")+(職員マスタ!$H$6:$H$405&gt;=$AO2368))&gt;0)*(ROW(職員マスタ!$A$6:$A$405)-5))),IFERROR(MATCH($B2368,職員マスタ!$A$6:$A$405,0),"")))</f>
        <v/>
      </c>
      <c r="AO2368" s="16">
        <f>IF(OR($B2368="",$C2368="",$D2368=""),"",DATE($C2368+2018,$D2368,1))</f>
        <v/>
      </c>
    </row>
    <row r="2369">
      <c r="A2369" s="11" t="n"/>
      <c r="B2369" s="12" t="n"/>
      <c r="C2369" s="12" t="n"/>
      <c r="D2369" s="12" t="n"/>
      <c r="E2369" s="13" t="n"/>
      <c r="F2369" s="12" t="n"/>
      <c r="G2369" s="13" t="n"/>
      <c r="H2369" s="12" t="n"/>
      <c r="I2369" s="12" t="n"/>
      <c r="J2369" s="12" t="n"/>
      <c r="K2369" s="12" t="n"/>
      <c r="L2369" s="11" t="n"/>
      <c r="M2369" s="11" t="n"/>
      <c r="N2369" s="11" t="n"/>
      <c r="O2369" s="11" t="n"/>
      <c r="P2369" s="12" t="n"/>
      <c r="Q2369" s="11" t="n"/>
      <c r="R2369" s="12" t="n"/>
      <c r="S2369" s="11" t="n"/>
      <c r="T2369" s="12" t="n"/>
      <c r="U2369" s="12" t="n"/>
      <c r="V2369" s="14">
        <f>IF($AN2369="",IF($B2369="","",$H2369),IF(INDEX(職員マスタ!$B$6:$B$405,$AN2369)="",$H2369,INDEX(職員マスタ!$B$6:$B$405,$AN2369)))</f>
        <v/>
      </c>
      <c r="W2369" s="14">
        <f>IF($AN2369="",IF($B2369="","",$R2369),IF(INDEX(職員マスタ!$C$6:$C$405,$AN2369)="",$R2369,INDEX(職員マスタ!$C$6:$C$405,$AN2369)))</f>
        <v/>
      </c>
      <c r="X2369" s="14">
        <f>IF($AO2369="","","R"&amp;$C2369&amp;"."&amp;$D2369)</f>
        <v/>
      </c>
      <c r="Y2369" s="15">
        <f>IF($AN2369="","",IF(INDEX(職員マスタ!$K$6:$K$405,$AN2369)="","",INDEX(職員マスタ!$K$6:$K$405,$AN2369)))</f>
        <v/>
      </c>
      <c r="Z2369" s="14">
        <f>IF(OR($E2369="",$Y2369=""),"",IF($E2369&gt;=$Y2369,"×",IF($E2369&gt;=$Y2369*設定!$C$5,"△","○")))</f>
        <v/>
      </c>
      <c r="AA2369" s="15">
        <f>IF($Z2369="","",IF($Z2369="×",0,IF($Z2369="○",ROUNDDOWN($E2369*設定!$C$4,0),ROUNDDOWN($E2369*ROUND((9*$Y2369-9*$E2369)/(10*$E2369),4),0))))</f>
        <v/>
      </c>
      <c r="AB2369" s="13" t="n"/>
      <c r="AC2369" s="15">
        <f>IF($B2369="","",IF($AB2369&lt;&gt;"",$AB2369,IF($AA2369="","",IF($AA2369&lt;=設定!$C$3,0,$AA2369))))</f>
        <v/>
      </c>
      <c r="AD2369" s="14">
        <f>IF($B2369="","",IF(AND($AE2369&lt;&gt;"",$AG2369="",$AJ2369=""),"保留中",IF($AJ2369&lt;&gt;"",IF(N($AC2369)&gt;0,"支給済","不支給"),IF($AC2369="","要確認",IF($AC2369=0,"不支給","未処理")))))</f>
        <v/>
      </c>
      <c r="AE2369" s="12" t="n"/>
      <c r="AF2369" s="11" t="n"/>
      <c r="AG2369" s="11" t="n"/>
      <c r="AH2369" s="11" t="n"/>
      <c r="AI2369" s="14">
        <f>IF(AND($AD2369="保留中",$AF2369&lt;&gt;""),TODAY()-$AF2369,"")</f>
        <v/>
      </c>
      <c r="AJ2369" s="12" t="n"/>
      <c r="AK2369" s="14">
        <f>IF($B2369="","",IF($AO2369="","対象年月が未入力／","")&amp;IF($B2369="","",IF($AN2369="","職員マスタに未登録の職員番号／",IF($Y2369="","標準報酬月額が未登録／","")&amp;IF(AND($AO2369&lt;&gt;"",OR(AND(INDEX(職員マスタ!$G$6:$G$405,$AN2369)&lt;&gt;"",INDEX(職員マスタ!$G$6:$G$405,$AN2369)&gt;EOMONTH($AO2369,0)),AND(INDEX(職員マスタ!$H$6:$H$405,$AN2369)&lt;&gt;"",INDEX(職員マスタ!$H$6:$H$405,$AN2369)&lt;$AO2369))),"対象月が時短期間外／","")&amp;IF(AND(INDEX(職員マスタ!$F$6:$F$405,$AN2369)&lt;&gt;"",$AO2369&lt;&gt;"",INDEX(職員マスタ!$F$6:$F$405,$AN2369)&lt;$AO2369),"対象月に子が2歳到達済／","")&amp;IF(AND($H2369&lt;&gt;"",INDEX(職員マスタ!$B$6:$B$405,$AN2369)&lt;&gt;"",SUBSTITUTE(SUBSTITUTE($H2369," ","")," ","")&lt;&gt;SUBSTITUTE(SUBSTITUTE(INDEX(職員マスタ!$B$6:$B$405,$AN2369)," ","")," ","")),"氏名がマスタと相違／","")&amp;IF(AND($Q2369&lt;&gt;"",INDEX(職員マスタ!$E$6:$E$405,$AN2369)&lt;&gt;"",$Q2369&lt;&gt;INDEX(職員マスタ!$E$6:$E$405,$AN2369)),"子の生年月日がマスタと相違／","")&amp;IF(AND($L2369&lt;&gt;"",INDEX(職員マスタ!$G$6:$G$405,$AN2369)&lt;&gt;"",$L2369&lt;&gt;INDEX(職員マスタ!$G$6:$G$405,$AN2369)),"時短開始日がマスタと相違／","")&amp;IF(AND($M2369&lt;&gt;"",INDEX(職員マスタ!$H$6:$H$405,$AN2369)&lt;&gt;"",$M2369&lt;&gt;INDEX(職員マスタ!$H$6:$H$405,$AN2369)),"時短終了日がマスタと相違／","")))&amp;IF(AND($B2369&lt;&gt;"",$E2369=""),"報酬額が未入力／","")&amp;IF(N($U2369)&gt;0,"申請書に入力エラーが残っています／","")&amp;IF(AND($B2369&lt;&gt;"",$AO2369&lt;&gt;""),IF(COUNTIFS($B$6:$B$3005,$B2369,$C$6:$C$3005,$C2369,$D$6:$D$3005,$D2369)&gt;1,"同じ月の請求が重複しています／",""),"")&amp;IF(AND(N($E2369)&gt;0,$Z2369&lt;&gt;"",$Z2369&lt;&gt;"×",$AC2369=0,$AB2369=""),"計算額が下限以下のため不支給／",""))</f>
        <v/>
      </c>
      <c r="AL2369" s="12" t="n"/>
      <c r="AM2369" s="14">
        <f>IF($AD2369="保留中",COUNTIF($AD$6:$AD2369,"保留中"),"")</f>
        <v/>
      </c>
      <c r="AN2369" s="14">
        <f>IF($AO2369="","",IF(SUMPRODUCT(MAX((職員マスタ!$A$6:$A$405=$B2369)*(((職員マスタ!$G$6:$G$405="")+(職員マスタ!$G$6:$G$405&lt;=EOMONTH($AO2369,0)))&gt;0)*(((職員マスタ!$H$6:$H$405="")+(職員マスタ!$H$6:$H$405&gt;=$AO2369))&gt;0)*(ROW(職員マスタ!$A$6:$A$405)-5)))&gt;0,SUMPRODUCT(MAX((職員マスタ!$A$6:$A$405=$B2369)*(((職員マスタ!$G$6:$G$405="")+(職員マスタ!$G$6:$G$405&lt;=EOMONTH($AO2369,0)))&gt;0)*(((職員マスタ!$H$6:$H$405="")+(職員マスタ!$H$6:$H$405&gt;=$AO2369))&gt;0)*(ROW(職員マスタ!$A$6:$A$405)-5))),IFERROR(MATCH($B2369,職員マスタ!$A$6:$A$405,0),"")))</f>
        <v/>
      </c>
      <c r="AO2369" s="16">
        <f>IF(OR($B2369="",$C2369="",$D2369=""),"",DATE($C2369+2018,$D2369,1))</f>
        <v/>
      </c>
    </row>
    <row r="2370">
      <c r="A2370" s="11" t="n"/>
      <c r="B2370" s="12" t="n"/>
      <c r="C2370" s="12" t="n"/>
      <c r="D2370" s="12" t="n"/>
      <c r="E2370" s="13" t="n"/>
      <c r="F2370" s="12" t="n"/>
      <c r="G2370" s="13" t="n"/>
      <c r="H2370" s="12" t="n"/>
      <c r="I2370" s="12" t="n"/>
      <c r="J2370" s="12" t="n"/>
      <c r="K2370" s="12" t="n"/>
      <c r="L2370" s="11" t="n"/>
      <c r="M2370" s="11" t="n"/>
      <c r="N2370" s="11" t="n"/>
      <c r="O2370" s="11" t="n"/>
      <c r="P2370" s="12" t="n"/>
      <c r="Q2370" s="11" t="n"/>
      <c r="R2370" s="12" t="n"/>
      <c r="S2370" s="11" t="n"/>
      <c r="T2370" s="12" t="n"/>
      <c r="U2370" s="12" t="n"/>
      <c r="V2370" s="14">
        <f>IF($AN2370="",IF($B2370="","",$H2370),IF(INDEX(職員マスタ!$B$6:$B$405,$AN2370)="",$H2370,INDEX(職員マスタ!$B$6:$B$405,$AN2370)))</f>
        <v/>
      </c>
      <c r="W2370" s="14">
        <f>IF($AN2370="",IF($B2370="","",$R2370),IF(INDEX(職員マスタ!$C$6:$C$405,$AN2370)="",$R2370,INDEX(職員マスタ!$C$6:$C$405,$AN2370)))</f>
        <v/>
      </c>
      <c r="X2370" s="14">
        <f>IF($AO2370="","","R"&amp;$C2370&amp;"."&amp;$D2370)</f>
        <v/>
      </c>
      <c r="Y2370" s="15">
        <f>IF($AN2370="","",IF(INDEX(職員マスタ!$K$6:$K$405,$AN2370)="","",INDEX(職員マスタ!$K$6:$K$405,$AN2370)))</f>
        <v/>
      </c>
      <c r="Z2370" s="14">
        <f>IF(OR($E2370="",$Y2370=""),"",IF($E2370&gt;=$Y2370,"×",IF($E2370&gt;=$Y2370*設定!$C$5,"△","○")))</f>
        <v/>
      </c>
      <c r="AA2370" s="15">
        <f>IF($Z2370="","",IF($Z2370="×",0,IF($Z2370="○",ROUNDDOWN($E2370*設定!$C$4,0),ROUNDDOWN($E2370*ROUND((9*$Y2370-9*$E2370)/(10*$E2370),4),0))))</f>
        <v/>
      </c>
      <c r="AB2370" s="13" t="n"/>
      <c r="AC2370" s="15">
        <f>IF($B2370="","",IF($AB2370&lt;&gt;"",$AB2370,IF($AA2370="","",IF($AA2370&lt;=設定!$C$3,0,$AA2370))))</f>
        <v/>
      </c>
      <c r="AD2370" s="14">
        <f>IF($B2370="","",IF(AND($AE2370&lt;&gt;"",$AG2370="",$AJ2370=""),"保留中",IF($AJ2370&lt;&gt;"",IF(N($AC2370)&gt;0,"支給済","不支給"),IF($AC2370="","要確認",IF($AC2370=0,"不支給","未処理")))))</f>
        <v/>
      </c>
      <c r="AE2370" s="12" t="n"/>
      <c r="AF2370" s="11" t="n"/>
      <c r="AG2370" s="11" t="n"/>
      <c r="AH2370" s="11" t="n"/>
      <c r="AI2370" s="14">
        <f>IF(AND($AD2370="保留中",$AF2370&lt;&gt;""),TODAY()-$AF2370,"")</f>
        <v/>
      </c>
      <c r="AJ2370" s="12" t="n"/>
      <c r="AK2370" s="14">
        <f>IF($B2370="","",IF($AO2370="","対象年月が未入力／","")&amp;IF($B2370="","",IF($AN2370="","職員マスタに未登録の職員番号／",IF($Y2370="","標準報酬月額が未登録／","")&amp;IF(AND($AO2370&lt;&gt;"",OR(AND(INDEX(職員マスタ!$G$6:$G$405,$AN2370)&lt;&gt;"",INDEX(職員マスタ!$G$6:$G$405,$AN2370)&gt;EOMONTH($AO2370,0)),AND(INDEX(職員マスタ!$H$6:$H$405,$AN2370)&lt;&gt;"",INDEX(職員マスタ!$H$6:$H$405,$AN2370)&lt;$AO2370))),"対象月が時短期間外／","")&amp;IF(AND(INDEX(職員マスタ!$F$6:$F$405,$AN2370)&lt;&gt;"",$AO2370&lt;&gt;"",INDEX(職員マスタ!$F$6:$F$405,$AN2370)&lt;$AO2370),"対象月に子が2歳到達済／","")&amp;IF(AND($H2370&lt;&gt;"",INDEX(職員マスタ!$B$6:$B$405,$AN2370)&lt;&gt;"",SUBSTITUTE(SUBSTITUTE($H2370," ","")," ","")&lt;&gt;SUBSTITUTE(SUBSTITUTE(INDEX(職員マスタ!$B$6:$B$405,$AN2370)," ","")," ","")),"氏名がマスタと相違／","")&amp;IF(AND($Q2370&lt;&gt;"",INDEX(職員マスタ!$E$6:$E$405,$AN2370)&lt;&gt;"",$Q2370&lt;&gt;INDEX(職員マスタ!$E$6:$E$405,$AN2370)),"子の生年月日がマスタと相違／","")&amp;IF(AND($L2370&lt;&gt;"",INDEX(職員マスタ!$G$6:$G$405,$AN2370)&lt;&gt;"",$L2370&lt;&gt;INDEX(職員マスタ!$G$6:$G$405,$AN2370)),"時短開始日がマスタと相違／","")&amp;IF(AND($M2370&lt;&gt;"",INDEX(職員マスタ!$H$6:$H$405,$AN2370)&lt;&gt;"",$M2370&lt;&gt;INDEX(職員マスタ!$H$6:$H$405,$AN2370)),"時短終了日がマスタと相違／","")))&amp;IF(AND($B2370&lt;&gt;"",$E2370=""),"報酬額が未入力／","")&amp;IF(N($U2370)&gt;0,"申請書に入力エラーが残っています／","")&amp;IF(AND($B2370&lt;&gt;"",$AO2370&lt;&gt;""),IF(COUNTIFS($B$6:$B$3005,$B2370,$C$6:$C$3005,$C2370,$D$6:$D$3005,$D2370)&gt;1,"同じ月の請求が重複しています／",""),"")&amp;IF(AND(N($E2370)&gt;0,$Z2370&lt;&gt;"",$Z2370&lt;&gt;"×",$AC2370=0,$AB2370=""),"計算額が下限以下のため不支給／",""))</f>
        <v/>
      </c>
      <c r="AL2370" s="12" t="n"/>
      <c r="AM2370" s="14">
        <f>IF($AD2370="保留中",COUNTIF($AD$6:$AD2370,"保留中"),"")</f>
        <v/>
      </c>
      <c r="AN2370" s="14">
        <f>IF($AO2370="","",IF(SUMPRODUCT(MAX((職員マスタ!$A$6:$A$405=$B2370)*(((職員マスタ!$G$6:$G$405="")+(職員マスタ!$G$6:$G$405&lt;=EOMONTH($AO2370,0)))&gt;0)*(((職員マスタ!$H$6:$H$405="")+(職員マスタ!$H$6:$H$405&gt;=$AO2370))&gt;0)*(ROW(職員マスタ!$A$6:$A$405)-5)))&gt;0,SUMPRODUCT(MAX((職員マスタ!$A$6:$A$405=$B2370)*(((職員マスタ!$G$6:$G$405="")+(職員マスタ!$G$6:$G$405&lt;=EOMONTH($AO2370,0)))&gt;0)*(((職員マスタ!$H$6:$H$405="")+(職員マスタ!$H$6:$H$405&gt;=$AO2370))&gt;0)*(ROW(職員マスタ!$A$6:$A$405)-5))),IFERROR(MATCH($B2370,職員マスタ!$A$6:$A$405,0),"")))</f>
        <v/>
      </c>
      <c r="AO2370" s="16">
        <f>IF(OR($B2370="",$C2370="",$D2370=""),"",DATE($C2370+2018,$D2370,1))</f>
        <v/>
      </c>
    </row>
    <row r="2371">
      <c r="A2371" s="11" t="n"/>
      <c r="B2371" s="12" t="n"/>
      <c r="C2371" s="12" t="n"/>
      <c r="D2371" s="12" t="n"/>
      <c r="E2371" s="13" t="n"/>
      <c r="F2371" s="12" t="n"/>
      <c r="G2371" s="13" t="n"/>
      <c r="H2371" s="12" t="n"/>
      <c r="I2371" s="12" t="n"/>
      <c r="J2371" s="12" t="n"/>
      <c r="K2371" s="12" t="n"/>
      <c r="L2371" s="11" t="n"/>
      <c r="M2371" s="11" t="n"/>
      <c r="N2371" s="11" t="n"/>
      <c r="O2371" s="11" t="n"/>
      <c r="P2371" s="12" t="n"/>
      <c r="Q2371" s="11" t="n"/>
      <c r="R2371" s="12" t="n"/>
      <c r="S2371" s="11" t="n"/>
      <c r="T2371" s="12" t="n"/>
      <c r="U2371" s="12" t="n"/>
      <c r="V2371" s="14">
        <f>IF($AN2371="",IF($B2371="","",$H2371),IF(INDEX(職員マスタ!$B$6:$B$405,$AN2371)="",$H2371,INDEX(職員マスタ!$B$6:$B$405,$AN2371)))</f>
        <v/>
      </c>
      <c r="W2371" s="14">
        <f>IF($AN2371="",IF($B2371="","",$R2371),IF(INDEX(職員マスタ!$C$6:$C$405,$AN2371)="",$R2371,INDEX(職員マスタ!$C$6:$C$405,$AN2371)))</f>
        <v/>
      </c>
      <c r="X2371" s="14">
        <f>IF($AO2371="","","R"&amp;$C2371&amp;"."&amp;$D2371)</f>
        <v/>
      </c>
      <c r="Y2371" s="15">
        <f>IF($AN2371="","",IF(INDEX(職員マスタ!$K$6:$K$405,$AN2371)="","",INDEX(職員マスタ!$K$6:$K$405,$AN2371)))</f>
        <v/>
      </c>
      <c r="Z2371" s="14">
        <f>IF(OR($E2371="",$Y2371=""),"",IF($E2371&gt;=$Y2371,"×",IF($E2371&gt;=$Y2371*設定!$C$5,"△","○")))</f>
        <v/>
      </c>
      <c r="AA2371" s="15">
        <f>IF($Z2371="","",IF($Z2371="×",0,IF($Z2371="○",ROUNDDOWN($E2371*設定!$C$4,0),ROUNDDOWN($E2371*ROUND((9*$Y2371-9*$E2371)/(10*$E2371),4),0))))</f>
        <v/>
      </c>
      <c r="AB2371" s="13" t="n"/>
      <c r="AC2371" s="15">
        <f>IF($B2371="","",IF($AB2371&lt;&gt;"",$AB2371,IF($AA2371="","",IF($AA2371&lt;=設定!$C$3,0,$AA2371))))</f>
        <v/>
      </c>
      <c r="AD2371" s="14">
        <f>IF($B2371="","",IF(AND($AE2371&lt;&gt;"",$AG2371="",$AJ2371=""),"保留中",IF($AJ2371&lt;&gt;"",IF(N($AC2371)&gt;0,"支給済","不支給"),IF($AC2371="","要確認",IF($AC2371=0,"不支給","未処理")))))</f>
        <v/>
      </c>
      <c r="AE2371" s="12" t="n"/>
      <c r="AF2371" s="11" t="n"/>
      <c r="AG2371" s="11" t="n"/>
      <c r="AH2371" s="11" t="n"/>
      <c r="AI2371" s="14">
        <f>IF(AND($AD2371="保留中",$AF2371&lt;&gt;""),TODAY()-$AF2371,"")</f>
        <v/>
      </c>
      <c r="AJ2371" s="12" t="n"/>
      <c r="AK2371" s="14">
        <f>IF($B2371="","",IF($AO2371="","対象年月が未入力／","")&amp;IF($B2371="","",IF($AN2371="","職員マスタに未登録の職員番号／",IF($Y2371="","標準報酬月額が未登録／","")&amp;IF(AND($AO2371&lt;&gt;"",OR(AND(INDEX(職員マスタ!$G$6:$G$405,$AN2371)&lt;&gt;"",INDEX(職員マスタ!$G$6:$G$405,$AN2371)&gt;EOMONTH($AO2371,0)),AND(INDEX(職員マスタ!$H$6:$H$405,$AN2371)&lt;&gt;"",INDEX(職員マスタ!$H$6:$H$405,$AN2371)&lt;$AO2371))),"対象月が時短期間外／","")&amp;IF(AND(INDEX(職員マスタ!$F$6:$F$405,$AN2371)&lt;&gt;"",$AO2371&lt;&gt;"",INDEX(職員マスタ!$F$6:$F$405,$AN2371)&lt;$AO2371),"対象月に子が2歳到達済／","")&amp;IF(AND($H2371&lt;&gt;"",INDEX(職員マスタ!$B$6:$B$405,$AN2371)&lt;&gt;"",SUBSTITUTE(SUBSTITUTE($H2371," ","")," ","")&lt;&gt;SUBSTITUTE(SUBSTITUTE(INDEX(職員マスタ!$B$6:$B$405,$AN2371)," ","")," ","")),"氏名がマスタと相違／","")&amp;IF(AND($Q2371&lt;&gt;"",INDEX(職員マスタ!$E$6:$E$405,$AN2371)&lt;&gt;"",$Q2371&lt;&gt;INDEX(職員マスタ!$E$6:$E$405,$AN2371)),"子の生年月日がマスタと相違／","")&amp;IF(AND($L2371&lt;&gt;"",INDEX(職員マスタ!$G$6:$G$405,$AN2371)&lt;&gt;"",$L2371&lt;&gt;INDEX(職員マスタ!$G$6:$G$405,$AN2371)),"時短開始日がマスタと相違／","")&amp;IF(AND($M2371&lt;&gt;"",INDEX(職員マスタ!$H$6:$H$405,$AN2371)&lt;&gt;"",$M2371&lt;&gt;INDEX(職員マスタ!$H$6:$H$405,$AN2371)),"時短終了日がマスタと相違／","")))&amp;IF(AND($B2371&lt;&gt;"",$E2371=""),"報酬額が未入力／","")&amp;IF(N($U2371)&gt;0,"申請書に入力エラーが残っています／","")&amp;IF(AND($B2371&lt;&gt;"",$AO2371&lt;&gt;""),IF(COUNTIFS($B$6:$B$3005,$B2371,$C$6:$C$3005,$C2371,$D$6:$D$3005,$D2371)&gt;1,"同じ月の請求が重複しています／",""),"")&amp;IF(AND(N($E2371)&gt;0,$Z2371&lt;&gt;"",$Z2371&lt;&gt;"×",$AC2371=0,$AB2371=""),"計算額が下限以下のため不支給／",""))</f>
        <v/>
      </c>
      <c r="AL2371" s="12" t="n"/>
      <c r="AM2371" s="14">
        <f>IF($AD2371="保留中",COUNTIF($AD$6:$AD2371,"保留中"),"")</f>
        <v/>
      </c>
      <c r="AN2371" s="14">
        <f>IF($AO2371="","",IF(SUMPRODUCT(MAX((職員マスタ!$A$6:$A$405=$B2371)*(((職員マスタ!$G$6:$G$405="")+(職員マスタ!$G$6:$G$405&lt;=EOMONTH($AO2371,0)))&gt;0)*(((職員マスタ!$H$6:$H$405="")+(職員マスタ!$H$6:$H$405&gt;=$AO2371))&gt;0)*(ROW(職員マスタ!$A$6:$A$405)-5)))&gt;0,SUMPRODUCT(MAX((職員マスタ!$A$6:$A$405=$B2371)*(((職員マスタ!$G$6:$G$405="")+(職員マスタ!$G$6:$G$405&lt;=EOMONTH($AO2371,0)))&gt;0)*(((職員マスタ!$H$6:$H$405="")+(職員マスタ!$H$6:$H$405&gt;=$AO2371))&gt;0)*(ROW(職員マスタ!$A$6:$A$405)-5))),IFERROR(MATCH($B2371,職員マスタ!$A$6:$A$405,0),"")))</f>
        <v/>
      </c>
      <c r="AO2371" s="16">
        <f>IF(OR($B2371="",$C2371="",$D2371=""),"",DATE($C2371+2018,$D2371,1))</f>
        <v/>
      </c>
    </row>
    <row r="2372">
      <c r="A2372" s="11" t="n"/>
      <c r="B2372" s="12" t="n"/>
      <c r="C2372" s="12" t="n"/>
      <c r="D2372" s="12" t="n"/>
      <c r="E2372" s="13" t="n"/>
      <c r="F2372" s="12" t="n"/>
      <c r="G2372" s="13" t="n"/>
      <c r="H2372" s="12" t="n"/>
      <c r="I2372" s="12" t="n"/>
      <c r="J2372" s="12" t="n"/>
      <c r="K2372" s="12" t="n"/>
      <c r="L2372" s="11" t="n"/>
      <c r="M2372" s="11" t="n"/>
      <c r="N2372" s="11" t="n"/>
      <c r="O2372" s="11" t="n"/>
      <c r="P2372" s="12" t="n"/>
      <c r="Q2372" s="11" t="n"/>
      <c r="R2372" s="12" t="n"/>
      <c r="S2372" s="11" t="n"/>
      <c r="T2372" s="12" t="n"/>
      <c r="U2372" s="12" t="n"/>
      <c r="V2372" s="14">
        <f>IF($AN2372="",IF($B2372="","",$H2372),IF(INDEX(職員マスタ!$B$6:$B$405,$AN2372)="",$H2372,INDEX(職員マスタ!$B$6:$B$405,$AN2372)))</f>
        <v/>
      </c>
      <c r="W2372" s="14">
        <f>IF($AN2372="",IF($B2372="","",$R2372),IF(INDEX(職員マスタ!$C$6:$C$405,$AN2372)="",$R2372,INDEX(職員マスタ!$C$6:$C$405,$AN2372)))</f>
        <v/>
      </c>
      <c r="X2372" s="14">
        <f>IF($AO2372="","","R"&amp;$C2372&amp;"."&amp;$D2372)</f>
        <v/>
      </c>
      <c r="Y2372" s="15">
        <f>IF($AN2372="","",IF(INDEX(職員マスタ!$K$6:$K$405,$AN2372)="","",INDEX(職員マスタ!$K$6:$K$405,$AN2372)))</f>
        <v/>
      </c>
      <c r="Z2372" s="14">
        <f>IF(OR($E2372="",$Y2372=""),"",IF($E2372&gt;=$Y2372,"×",IF($E2372&gt;=$Y2372*設定!$C$5,"△","○")))</f>
        <v/>
      </c>
      <c r="AA2372" s="15">
        <f>IF($Z2372="","",IF($Z2372="×",0,IF($Z2372="○",ROUNDDOWN($E2372*設定!$C$4,0),ROUNDDOWN($E2372*ROUND((9*$Y2372-9*$E2372)/(10*$E2372),4),0))))</f>
        <v/>
      </c>
      <c r="AB2372" s="13" t="n"/>
      <c r="AC2372" s="15">
        <f>IF($B2372="","",IF($AB2372&lt;&gt;"",$AB2372,IF($AA2372="","",IF($AA2372&lt;=設定!$C$3,0,$AA2372))))</f>
        <v/>
      </c>
      <c r="AD2372" s="14">
        <f>IF($B2372="","",IF(AND($AE2372&lt;&gt;"",$AG2372="",$AJ2372=""),"保留中",IF($AJ2372&lt;&gt;"",IF(N($AC2372)&gt;0,"支給済","不支給"),IF($AC2372="","要確認",IF($AC2372=0,"不支給","未処理")))))</f>
        <v/>
      </c>
      <c r="AE2372" s="12" t="n"/>
      <c r="AF2372" s="11" t="n"/>
      <c r="AG2372" s="11" t="n"/>
      <c r="AH2372" s="11" t="n"/>
      <c r="AI2372" s="14">
        <f>IF(AND($AD2372="保留中",$AF2372&lt;&gt;""),TODAY()-$AF2372,"")</f>
        <v/>
      </c>
      <c r="AJ2372" s="12" t="n"/>
      <c r="AK2372" s="14">
        <f>IF($B2372="","",IF($AO2372="","対象年月が未入力／","")&amp;IF($B2372="","",IF($AN2372="","職員マスタに未登録の職員番号／",IF($Y2372="","標準報酬月額が未登録／","")&amp;IF(AND($AO2372&lt;&gt;"",OR(AND(INDEX(職員マスタ!$G$6:$G$405,$AN2372)&lt;&gt;"",INDEX(職員マスタ!$G$6:$G$405,$AN2372)&gt;EOMONTH($AO2372,0)),AND(INDEX(職員マスタ!$H$6:$H$405,$AN2372)&lt;&gt;"",INDEX(職員マスタ!$H$6:$H$405,$AN2372)&lt;$AO2372))),"対象月が時短期間外／","")&amp;IF(AND(INDEX(職員マスタ!$F$6:$F$405,$AN2372)&lt;&gt;"",$AO2372&lt;&gt;"",INDEX(職員マスタ!$F$6:$F$405,$AN2372)&lt;$AO2372),"対象月に子が2歳到達済／","")&amp;IF(AND($H2372&lt;&gt;"",INDEX(職員マスタ!$B$6:$B$405,$AN2372)&lt;&gt;"",SUBSTITUTE(SUBSTITUTE($H2372," ","")," ","")&lt;&gt;SUBSTITUTE(SUBSTITUTE(INDEX(職員マスタ!$B$6:$B$405,$AN2372)," ","")," ","")),"氏名がマスタと相違／","")&amp;IF(AND($Q2372&lt;&gt;"",INDEX(職員マスタ!$E$6:$E$405,$AN2372)&lt;&gt;"",$Q2372&lt;&gt;INDEX(職員マスタ!$E$6:$E$405,$AN2372)),"子の生年月日がマスタと相違／","")&amp;IF(AND($L2372&lt;&gt;"",INDEX(職員マスタ!$G$6:$G$405,$AN2372)&lt;&gt;"",$L2372&lt;&gt;INDEX(職員マスタ!$G$6:$G$405,$AN2372)),"時短開始日がマスタと相違／","")&amp;IF(AND($M2372&lt;&gt;"",INDEX(職員マスタ!$H$6:$H$405,$AN2372)&lt;&gt;"",$M2372&lt;&gt;INDEX(職員マスタ!$H$6:$H$405,$AN2372)),"時短終了日がマスタと相違／","")))&amp;IF(AND($B2372&lt;&gt;"",$E2372=""),"報酬額が未入力／","")&amp;IF(N($U2372)&gt;0,"申請書に入力エラーが残っています／","")&amp;IF(AND($B2372&lt;&gt;"",$AO2372&lt;&gt;""),IF(COUNTIFS($B$6:$B$3005,$B2372,$C$6:$C$3005,$C2372,$D$6:$D$3005,$D2372)&gt;1,"同じ月の請求が重複しています／",""),"")&amp;IF(AND(N($E2372)&gt;0,$Z2372&lt;&gt;"",$Z2372&lt;&gt;"×",$AC2372=0,$AB2372=""),"計算額が下限以下のため不支給／",""))</f>
        <v/>
      </c>
      <c r="AL2372" s="12" t="n"/>
      <c r="AM2372" s="14">
        <f>IF($AD2372="保留中",COUNTIF($AD$6:$AD2372,"保留中"),"")</f>
        <v/>
      </c>
      <c r="AN2372" s="14">
        <f>IF($AO2372="","",IF(SUMPRODUCT(MAX((職員マスタ!$A$6:$A$405=$B2372)*(((職員マスタ!$G$6:$G$405="")+(職員マスタ!$G$6:$G$405&lt;=EOMONTH($AO2372,0)))&gt;0)*(((職員マスタ!$H$6:$H$405="")+(職員マスタ!$H$6:$H$405&gt;=$AO2372))&gt;0)*(ROW(職員マスタ!$A$6:$A$405)-5)))&gt;0,SUMPRODUCT(MAX((職員マスタ!$A$6:$A$405=$B2372)*(((職員マスタ!$G$6:$G$405="")+(職員マスタ!$G$6:$G$405&lt;=EOMONTH($AO2372,0)))&gt;0)*(((職員マスタ!$H$6:$H$405="")+(職員マスタ!$H$6:$H$405&gt;=$AO2372))&gt;0)*(ROW(職員マスタ!$A$6:$A$405)-5))),IFERROR(MATCH($B2372,職員マスタ!$A$6:$A$405,0),"")))</f>
        <v/>
      </c>
      <c r="AO2372" s="16">
        <f>IF(OR($B2372="",$C2372="",$D2372=""),"",DATE($C2372+2018,$D2372,1))</f>
        <v/>
      </c>
    </row>
    <row r="2373">
      <c r="A2373" s="11" t="n"/>
      <c r="B2373" s="12" t="n"/>
      <c r="C2373" s="12" t="n"/>
      <c r="D2373" s="12" t="n"/>
      <c r="E2373" s="13" t="n"/>
      <c r="F2373" s="12" t="n"/>
      <c r="G2373" s="13" t="n"/>
      <c r="H2373" s="12" t="n"/>
      <c r="I2373" s="12" t="n"/>
      <c r="J2373" s="12" t="n"/>
      <c r="K2373" s="12" t="n"/>
      <c r="L2373" s="11" t="n"/>
      <c r="M2373" s="11" t="n"/>
      <c r="N2373" s="11" t="n"/>
      <c r="O2373" s="11" t="n"/>
      <c r="P2373" s="12" t="n"/>
      <c r="Q2373" s="11" t="n"/>
      <c r="R2373" s="12" t="n"/>
      <c r="S2373" s="11" t="n"/>
      <c r="T2373" s="12" t="n"/>
      <c r="U2373" s="12" t="n"/>
      <c r="V2373" s="14">
        <f>IF($AN2373="",IF($B2373="","",$H2373),IF(INDEX(職員マスタ!$B$6:$B$405,$AN2373)="",$H2373,INDEX(職員マスタ!$B$6:$B$405,$AN2373)))</f>
        <v/>
      </c>
      <c r="W2373" s="14">
        <f>IF($AN2373="",IF($B2373="","",$R2373),IF(INDEX(職員マスタ!$C$6:$C$405,$AN2373)="",$R2373,INDEX(職員マスタ!$C$6:$C$405,$AN2373)))</f>
        <v/>
      </c>
      <c r="X2373" s="14">
        <f>IF($AO2373="","","R"&amp;$C2373&amp;"."&amp;$D2373)</f>
        <v/>
      </c>
      <c r="Y2373" s="15">
        <f>IF($AN2373="","",IF(INDEX(職員マスタ!$K$6:$K$405,$AN2373)="","",INDEX(職員マスタ!$K$6:$K$405,$AN2373)))</f>
        <v/>
      </c>
      <c r="Z2373" s="14">
        <f>IF(OR($E2373="",$Y2373=""),"",IF($E2373&gt;=$Y2373,"×",IF($E2373&gt;=$Y2373*設定!$C$5,"△","○")))</f>
        <v/>
      </c>
      <c r="AA2373" s="15">
        <f>IF($Z2373="","",IF($Z2373="×",0,IF($Z2373="○",ROUNDDOWN($E2373*設定!$C$4,0),ROUNDDOWN($E2373*ROUND((9*$Y2373-9*$E2373)/(10*$E2373),4),0))))</f>
        <v/>
      </c>
      <c r="AB2373" s="13" t="n"/>
      <c r="AC2373" s="15">
        <f>IF($B2373="","",IF($AB2373&lt;&gt;"",$AB2373,IF($AA2373="","",IF($AA2373&lt;=設定!$C$3,0,$AA2373))))</f>
        <v/>
      </c>
      <c r="AD2373" s="14">
        <f>IF($B2373="","",IF(AND($AE2373&lt;&gt;"",$AG2373="",$AJ2373=""),"保留中",IF($AJ2373&lt;&gt;"",IF(N($AC2373)&gt;0,"支給済","不支給"),IF($AC2373="","要確認",IF($AC2373=0,"不支給","未処理")))))</f>
        <v/>
      </c>
      <c r="AE2373" s="12" t="n"/>
      <c r="AF2373" s="11" t="n"/>
      <c r="AG2373" s="11" t="n"/>
      <c r="AH2373" s="11" t="n"/>
      <c r="AI2373" s="14">
        <f>IF(AND($AD2373="保留中",$AF2373&lt;&gt;""),TODAY()-$AF2373,"")</f>
        <v/>
      </c>
      <c r="AJ2373" s="12" t="n"/>
      <c r="AK2373" s="14">
        <f>IF($B2373="","",IF($AO2373="","対象年月が未入力／","")&amp;IF($B2373="","",IF($AN2373="","職員マスタに未登録の職員番号／",IF($Y2373="","標準報酬月額が未登録／","")&amp;IF(AND($AO2373&lt;&gt;"",OR(AND(INDEX(職員マスタ!$G$6:$G$405,$AN2373)&lt;&gt;"",INDEX(職員マスタ!$G$6:$G$405,$AN2373)&gt;EOMONTH($AO2373,0)),AND(INDEX(職員マスタ!$H$6:$H$405,$AN2373)&lt;&gt;"",INDEX(職員マスタ!$H$6:$H$405,$AN2373)&lt;$AO2373))),"対象月が時短期間外／","")&amp;IF(AND(INDEX(職員マスタ!$F$6:$F$405,$AN2373)&lt;&gt;"",$AO2373&lt;&gt;"",INDEX(職員マスタ!$F$6:$F$405,$AN2373)&lt;$AO2373),"対象月に子が2歳到達済／","")&amp;IF(AND($H2373&lt;&gt;"",INDEX(職員マスタ!$B$6:$B$405,$AN2373)&lt;&gt;"",SUBSTITUTE(SUBSTITUTE($H2373," ","")," ","")&lt;&gt;SUBSTITUTE(SUBSTITUTE(INDEX(職員マスタ!$B$6:$B$405,$AN2373)," ","")," ","")),"氏名がマスタと相違／","")&amp;IF(AND($Q2373&lt;&gt;"",INDEX(職員マスタ!$E$6:$E$405,$AN2373)&lt;&gt;"",$Q2373&lt;&gt;INDEX(職員マスタ!$E$6:$E$405,$AN2373)),"子の生年月日がマスタと相違／","")&amp;IF(AND($L2373&lt;&gt;"",INDEX(職員マスタ!$G$6:$G$405,$AN2373)&lt;&gt;"",$L2373&lt;&gt;INDEX(職員マスタ!$G$6:$G$405,$AN2373)),"時短開始日がマスタと相違／","")&amp;IF(AND($M2373&lt;&gt;"",INDEX(職員マスタ!$H$6:$H$405,$AN2373)&lt;&gt;"",$M2373&lt;&gt;INDEX(職員マスタ!$H$6:$H$405,$AN2373)),"時短終了日がマスタと相違／","")))&amp;IF(AND($B2373&lt;&gt;"",$E2373=""),"報酬額が未入力／","")&amp;IF(N($U2373)&gt;0,"申請書に入力エラーが残っています／","")&amp;IF(AND($B2373&lt;&gt;"",$AO2373&lt;&gt;""),IF(COUNTIFS($B$6:$B$3005,$B2373,$C$6:$C$3005,$C2373,$D$6:$D$3005,$D2373)&gt;1,"同じ月の請求が重複しています／",""),"")&amp;IF(AND(N($E2373)&gt;0,$Z2373&lt;&gt;"",$Z2373&lt;&gt;"×",$AC2373=0,$AB2373=""),"計算額が下限以下のため不支給／",""))</f>
        <v/>
      </c>
      <c r="AL2373" s="12" t="n"/>
      <c r="AM2373" s="14">
        <f>IF($AD2373="保留中",COUNTIF($AD$6:$AD2373,"保留中"),"")</f>
        <v/>
      </c>
      <c r="AN2373" s="14">
        <f>IF($AO2373="","",IF(SUMPRODUCT(MAX((職員マスタ!$A$6:$A$405=$B2373)*(((職員マスタ!$G$6:$G$405="")+(職員マスタ!$G$6:$G$405&lt;=EOMONTH($AO2373,0)))&gt;0)*(((職員マスタ!$H$6:$H$405="")+(職員マスタ!$H$6:$H$405&gt;=$AO2373))&gt;0)*(ROW(職員マスタ!$A$6:$A$405)-5)))&gt;0,SUMPRODUCT(MAX((職員マスタ!$A$6:$A$405=$B2373)*(((職員マスタ!$G$6:$G$405="")+(職員マスタ!$G$6:$G$405&lt;=EOMONTH($AO2373,0)))&gt;0)*(((職員マスタ!$H$6:$H$405="")+(職員マスタ!$H$6:$H$405&gt;=$AO2373))&gt;0)*(ROW(職員マスタ!$A$6:$A$405)-5))),IFERROR(MATCH($B2373,職員マスタ!$A$6:$A$405,0),"")))</f>
        <v/>
      </c>
      <c r="AO2373" s="16">
        <f>IF(OR($B2373="",$C2373="",$D2373=""),"",DATE($C2373+2018,$D2373,1))</f>
        <v/>
      </c>
    </row>
    <row r="2374">
      <c r="A2374" s="11" t="n"/>
      <c r="B2374" s="12" t="n"/>
      <c r="C2374" s="12" t="n"/>
      <c r="D2374" s="12" t="n"/>
      <c r="E2374" s="13" t="n"/>
      <c r="F2374" s="12" t="n"/>
      <c r="G2374" s="13" t="n"/>
      <c r="H2374" s="12" t="n"/>
      <c r="I2374" s="12" t="n"/>
      <c r="J2374" s="12" t="n"/>
      <c r="K2374" s="12" t="n"/>
      <c r="L2374" s="11" t="n"/>
      <c r="M2374" s="11" t="n"/>
      <c r="N2374" s="11" t="n"/>
      <c r="O2374" s="11" t="n"/>
      <c r="P2374" s="12" t="n"/>
      <c r="Q2374" s="11" t="n"/>
      <c r="R2374" s="12" t="n"/>
      <c r="S2374" s="11" t="n"/>
      <c r="T2374" s="12" t="n"/>
      <c r="U2374" s="12" t="n"/>
      <c r="V2374" s="14">
        <f>IF($AN2374="",IF($B2374="","",$H2374),IF(INDEX(職員マスタ!$B$6:$B$405,$AN2374)="",$H2374,INDEX(職員マスタ!$B$6:$B$405,$AN2374)))</f>
        <v/>
      </c>
      <c r="W2374" s="14">
        <f>IF($AN2374="",IF($B2374="","",$R2374),IF(INDEX(職員マスタ!$C$6:$C$405,$AN2374)="",$R2374,INDEX(職員マスタ!$C$6:$C$405,$AN2374)))</f>
        <v/>
      </c>
      <c r="X2374" s="14">
        <f>IF($AO2374="","","R"&amp;$C2374&amp;"."&amp;$D2374)</f>
        <v/>
      </c>
      <c r="Y2374" s="15">
        <f>IF($AN2374="","",IF(INDEX(職員マスタ!$K$6:$K$405,$AN2374)="","",INDEX(職員マスタ!$K$6:$K$405,$AN2374)))</f>
        <v/>
      </c>
      <c r="Z2374" s="14">
        <f>IF(OR($E2374="",$Y2374=""),"",IF($E2374&gt;=$Y2374,"×",IF($E2374&gt;=$Y2374*設定!$C$5,"△","○")))</f>
        <v/>
      </c>
      <c r="AA2374" s="15">
        <f>IF($Z2374="","",IF($Z2374="×",0,IF($Z2374="○",ROUNDDOWN($E2374*設定!$C$4,0),ROUNDDOWN($E2374*ROUND((9*$Y2374-9*$E2374)/(10*$E2374),4),0))))</f>
        <v/>
      </c>
      <c r="AB2374" s="13" t="n"/>
      <c r="AC2374" s="15">
        <f>IF($B2374="","",IF($AB2374&lt;&gt;"",$AB2374,IF($AA2374="","",IF($AA2374&lt;=設定!$C$3,0,$AA2374))))</f>
        <v/>
      </c>
      <c r="AD2374" s="14">
        <f>IF($B2374="","",IF(AND($AE2374&lt;&gt;"",$AG2374="",$AJ2374=""),"保留中",IF($AJ2374&lt;&gt;"",IF(N($AC2374)&gt;0,"支給済","不支給"),IF($AC2374="","要確認",IF($AC2374=0,"不支給","未処理")))))</f>
        <v/>
      </c>
      <c r="AE2374" s="12" t="n"/>
      <c r="AF2374" s="11" t="n"/>
      <c r="AG2374" s="11" t="n"/>
      <c r="AH2374" s="11" t="n"/>
      <c r="AI2374" s="14">
        <f>IF(AND($AD2374="保留中",$AF2374&lt;&gt;""),TODAY()-$AF2374,"")</f>
        <v/>
      </c>
      <c r="AJ2374" s="12" t="n"/>
      <c r="AK2374" s="14">
        <f>IF($B2374="","",IF($AO2374="","対象年月が未入力／","")&amp;IF($B2374="","",IF($AN2374="","職員マスタに未登録の職員番号／",IF($Y2374="","標準報酬月額が未登録／","")&amp;IF(AND($AO2374&lt;&gt;"",OR(AND(INDEX(職員マスタ!$G$6:$G$405,$AN2374)&lt;&gt;"",INDEX(職員マスタ!$G$6:$G$405,$AN2374)&gt;EOMONTH($AO2374,0)),AND(INDEX(職員マスタ!$H$6:$H$405,$AN2374)&lt;&gt;"",INDEX(職員マスタ!$H$6:$H$405,$AN2374)&lt;$AO2374))),"対象月が時短期間外／","")&amp;IF(AND(INDEX(職員マスタ!$F$6:$F$405,$AN2374)&lt;&gt;"",$AO2374&lt;&gt;"",INDEX(職員マスタ!$F$6:$F$405,$AN2374)&lt;$AO2374),"対象月に子が2歳到達済／","")&amp;IF(AND($H2374&lt;&gt;"",INDEX(職員マスタ!$B$6:$B$405,$AN2374)&lt;&gt;"",SUBSTITUTE(SUBSTITUTE($H2374," ","")," ","")&lt;&gt;SUBSTITUTE(SUBSTITUTE(INDEX(職員マスタ!$B$6:$B$405,$AN2374)," ","")," ","")),"氏名がマスタと相違／","")&amp;IF(AND($Q2374&lt;&gt;"",INDEX(職員マスタ!$E$6:$E$405,$AN2374)&lt;&gt;"",$Q2374&lt;&gt;INDEX(職員マスタ!$E$6:$E$405,$AN2374)),"子の生年月日がマスタと相違／","")&amp;IF(AND($L2374&lt;&gt;"",INDEX(職員マスタ!$G$6:$G$405,$AN2374)&lt;&gt;"",$L2374&lt;&gt;INDEX(職員マスタ!$G$6:$G$405,$AN2374)),"時短開始日がマスタと相違／","")&amp;IF(AND($M2374&lt;&gt;"",INDEX(職員マスタ!$H$6:$H$405,$AN2374)&lt;&gt;"",$M2374&lt;&gt;INDEX(職員マスタ!$H$6:$H$405,$AN2374)),"時短終了日がマスタと相違／","")))&amp;IF(AND($B2374&lt;&gt;"",$E2374=""),"報酬額が未入力／","")&amp;IF(N($U2374)&gt;0,"申請書に入力エラーが残っています／","")&amp;IF(AND($B2374&lt;&gt;"",$AO2374&lt;&gt;""),IF(COUNTIFS($B$6:$B$3005,$B2374,$C$6:$C$3005,$C2374,$D$6:$D$3005,$D2374)&gt;1,"同じ月の請求が重複しています／",""),"")&amp;IF(AND(N($E2374)&gt;0,$Z2374&lt;&gt;"",$Z2374&lt;&gt;"×",$AC2374=0,$AB2374=""),"計算額が下限以下のため不支給／",""))</f>
        <v/>
      </c>
      <c r="AL2374" s="12" t="n"/>
      <c r="AM2374" s="14">
        <f>IF($AD2374="保留中",COUNTIF($AD$6:$AD2374,"保留中"),"")</f>
        <v/>
      </c>
      <c r="AN2374" s="14">
        <f>IF($AO2374="","",IF(SUMPRODUCT(MAX((職員マスタ!$A$6:$A$405=$B2374)*(((職員マスタ!$G$6:$G$405="")+(職員マスタ!$G$6:$G$405&lt;=EOMONTH($AO2374,0)))&gt;0)*(((職員マスタ!$H$6:$H$405="")+(職員マスタ!$H$6:$H$405&gt;=$AO2374))&gt;0)*(ROW(職員マスタ!$A$6:$A$405)-5)))&gt;0,SUMPRODUCT(MAX((職員マスタ!$A$6:$A$405=$B2374)*(((職員マスタ!$G$6:$G$405="")+(職員マスタ!$G$6:$G$405&lt;=EOMONTH($AO2374,0)))&gt;0)*(((職員マスタ!$H$6:$H$405="")+(職員マスタ!$H$6:$H$405&gt;=$AO2374))&gt;0)*(ROW(職員マスタ!$A$6:$A$405)-5))),IFERROR(MATCH($B2374,職員マスタ!$A$6:$A$405,0),"")))</f>
        <v/>
      </c>
      <c r="AO2374" s="16">
        <f>IF(OR($B2374="",$C2374="",$D2374=""),"",DATE($C2374+2018,$D2374,1))</f>
        <v/>
      </c>
    </row>
    <row r="2375">
      <c r="A2375" s="11" t="n"/>
      <c r="B2375" s="12" t="n"/>
      <c r="C2375" s="12" t="n"/>
      <c r="D2375" s="12" t="n"/>
      <c r="E2375" s="13" t="n"/>
      <c r="F2375" s="12" t="n"/>
      <c r="G2375" s="13" t="n"/>
      <c r="H2375" s="12" t="n"/>
      <c r="I2375" s="12" t="n"/>
      <c r="J2375" s="12" t="n"/>
      <c r="K2375" s="12" t="n"/>
      <c r="L2375" s="11" t="n"/>
      <c r="M2375" s="11" t="n"/>
      <c r="N2375" s="11" t="n"/>
      <c r="O2375" s="11" t="n"/>
      <c r="P2375" s="12" t="n"/>
      <c r="Q2375" s="11" t="n"/>
      <c r="R2375" s="12" t="n"/>
      <c r="S2375" s="11" t="n"/>
      <c r="T2375" s="12" t="n"/>
      <c r="U2375" s="12" t="n"/>
      <c r="V2375" s="14">
        <f>IF($AN2375="",IF($B2375="","",$H2375),IF(INDEX(職員マスタ!$B$6:$B$405,$AN2375)="",$H2375,INDEX(職員マスタ!$B$6:$B$405,$AN2375)))</f>
        <v/>
      </c>
      <c r="W2375" s="14">
        <f>IF($AN2375="",IF($B2375="","",$R2375),IF(INDEX(職員マスタ!$C$6:$C$405,$AN2375)="",$R2375,INDEX(職員マスタ!$C$6:$C$405,$AN2375)))</f>
        <v/>
      </c>
      <c r="X2375" s="14">
        <f>IF($AO2375="","","R"&amp;$C2375&amp;"."&amp;$D2375)</f>
        <v/>
      </c>
      <c r="Y2375" s="15">
        <f>IF($AN2375="","",IF(INDEX(職員マスタ!$K$6:$K$405,$AN2375)="","",INDEX(職員マスタ!$K$6:$K$405,$AN2375)))</f>
        <v/>
      </c>
      <c r="Z2375" s="14">
        <f>IF(OR($E2375="",$Y2375=""),"",IF($E2375&gt;=$Y2375,"×",IF($E2375&gt;=$Y2375*設定!$C$5,"△","○")))</f>
        <v/>
      </c>
      <c r="AA2375" s="15">
        <f>IF($Z2375="","",IF($Z2375="×",0,IF($Z2375="○",ROUNDDOWN($E2375*設定!$C$4,0),ROUNDDOWN($E2375*ROUND((9*$Y2375-9*$E2375)/(10*$E2375),4),0))))</f>
        <v/>
      </c>
      <c r="AB2375" s="13" t="n"/>
      <c r="AC2375" s="15">
        <f>IF($B2375="","",IF($AB2375&lt;&gt;"",$AB2375,IF($AA2375="","",IF($AA2375&lt;=設定!$C$3,0,$AA2375))))</f>
        <v/>
      </c>
      <c r="AD2375" s="14">
        <f>IF($B2375="","",IF(AND($AE2375&lt;&gt;"",$AG2375="",$AJ2375=""),"保留中",IF($AJ2375&lt;&gt;"",IF(N($AC2375)&gt;0,"支給済","不支給"),IF($AC2375="","要確認",IF($AC2375=0,"不支給","未処理")))))</f>
        <v/>
      </c>
      <c r="AE2375" s="12" t="n"/>
      <c r="AF2375" s="11" t="n"/>
      <c r="AG2375" s="11" t="n"/>
      <c r="AH2375" s="11" t="n"/>
      <c r="AI2375" s="14">
        <f>IF(AND($AD2375="保留中",$AF2375&lt;&gt;""),TODAY()-$AF2375,"")</f>
        <v/>
      </c>
      <c r="AJ2375" s="12" t="n"/>
      <c r="AK2375" s="14">
        <f>IF($B2375="","",IF($AO2375="","対象年月が未入力／","")&amp;IF($B2375="","",IF($AN2375="","職員マスタに未登録の職員番号／",IF($Y2375="","標準報酬月額が未登録／","")&amp;IF(AND($AO2375&lt;&gt;"",OR(AND(INDEX(職員マスタ!$G$6:$G$405,$AN2375)&lt;&gt;"",INDEX(職員マスタ!$G$6:$G$405,$AN2375)&gt;EOMONTH($AO2375,0)),AND(INDEX(職員マスタ!$H$6:$H$405,$AN2375)&lt;&gt;"",INDEX(職員マスタ!$H$6:$H$405,$AN2375)&lt;$AO2375))),"対象月が時短期間外／","")&amp;IF(AND(INDEX(職員マスタ!$F$6:$F$405,$AN2375)&lt;&gt;"",$AO2375&lt;&gt;"",INDEX(職員マスタ!$F$6:$F$405,$AN2375)&lt;$AO2375),"対象月に子が2歳到達済／","")&amp;IF(AND($H2375&lt;&gt;"",INDEX(職員マスタ!$B$6:$B$405,$AN2375)&lt;&gt;"",SUBSTITUTE(SUBSTITUTE($H2375," ","")," ","")&lt;&gt;SUBSTITUTE(SUBSTITUTE(INDEX(職員マスタ!$B$6:$B$405,$AN2375)," ","")," ","")),"氏名がマスタと相違／","")&amp;IF(AND($Q2375&lt;&gt;"",INDEX(職員マスタ!$E$6:$E$405,$AN2375)&lt;&gt;"",$Q2375&lt;&gt;INDEX(職員マスタ!$E$6:$E$405,$AN2375)),"子の生年月日がマスタと相違／","")&amp;IF(AND($L2375&lt;&gt;"",INDEX(職員マスタ!$G$6:$G$405,$AN2375)&lt;&gt;"",$L2375&lt;&gt;INDEX(職員マスタ!$G$6:$G$405,$AN2375)),"時短開始日がマスタと相違／","")&amp;IF(AND($M2375&lt;&gt;"",INDEX(職員マスタ!$H$6:$H$405,$AN2375)&lt;&gt;"",$M2375&lt;&gt;INDEX(職員マスタ!$H$6:$H$405,$AN2375)),"時短終了日がマスタと相違／","")))&amp;IF(AND($B2375&lt;&gt;"",$E2375=""),"報酬額が未入力／","")&amp;IF(N($U2375)&gt;0,"申請書に入力エラーが残っています／","")&amp;IF(AND($B2375&lt;&gt;"",$AO2375&lt;&gt;""),IF(COUNTIFS($B$6:$B$3005,$B2375,$C$6:$C$3005,$C2375,$D$6:$D$3005,$D2375)&gt;1,"同じ月の請求が重複しています／",""),"")&amp;IF(AND(N($E2375)&gt;0,$Z2375&lt;&gt;"",$Z2375&lt;&gt;"×",$AC2375=0,$AB2375=""),"計算額が下限以下のため不支給／",""))</f>
        <v/>
      </c>
      <c r="AL2375" s="12" t="n"/>
      <c r="AM2375" s="14">
        <f>IF($AD2375="保留中",COUNTIF($AD$6:$AD2375,"保留中"),"")</f>
        <v/>
      </c>
      <c r="AN2375" s="14">
        <f>IF($AO2375="","",IF(SUMPRODUCT(MAX((職員マスタ!$A$6:$A$405=$B2375)*(((職員マスタ!$G$6:$G$405="")+(職員マスタ!$G$6:$G$405&lt;=EOMONTH($AO2375,0)))&gt;0)*(((職員マスタ!$H$6:$H$405="")+(職員マスタ!$H$6:$H$405&gt;=$AO2375))&gt;0)*(ROW(職員マスタ!$A$6:$A$405)-5)))&gt;0,SUMPRODUCT(MAX((職員マスタ!$A$6:$A$405=$B2375)*(((職員マスタ!$G$6:$G$405="")+(職員マスタ!$G$6:$G$405&lt;=EOMONTH($AO2375,0)))&gt;0)*(((職員マスタ!$H$6:$H$405="")+(職員マスタ!$H$6:$H$405&gt;=$AO2375))&gt;0)*(ROW(職員マスタ!$A$6:$A$405)-5))),IFERROR(MATCH($B2375,職員マスタ!$A$6:$A$405,0),"")))</f>
        <v/>
      </c>
      <c r="AO2375" s="16">
        <f>IF(OR($B2375="",$C2375="",$D2375=""),"",DATE($C2375+2018,$D2375,1))</f>
        <v/>
      </c>
    </row>
    <row r="2376">
      <c r="A2376" s="11" t="n"/>
      <c r="B2376" s="12" t="n"/>
      <c r="C2376" s="12" t="n"/>
      <c r="D2376" s="12" t="n"/>
      <c r="E2376" s="13" t="n"/>
      <c r="F2376" s="12" t="n"/>
      <c r="G2376" s="13" t="n"/>
      <c r="H2376" s="12" t="n"/>
      <c r="I2376" s="12" t="n"/>
      <c r="J2376" s="12" t="n"/>
      <c r="K2376" s="12" t="n"/>
      <c r="L2376" s="11" t="n"/>
      <c r="M2376" s="11" t="n"/>
      <c r="N2376" s="11" t="n"/>
      <c r="O2376" s="11" t="n"/>
      <c r="P2376" s="12" t="n"/>
      <c r="Q2376" s="11" t="n"/>
      <c r="R2376" s="12" t="n"/>
      <c r="S2376" s="11" t="n"/>
      <c r="T2376" s="12" t="n"/>
      <c r="U2376" s="12" t="n"/>
      <c r="V2376" s="14">
        <f>IF($AN2376="",IF($B2376="","",$H2376),IF(INDEX(職員マスタ!$B$6:$B$405,$AN2376)="",$H2376,INDEX(職員マスタ!$B$6:$B$405,$AN2376)))</f>
        <v/>
      </c>
      <c r="W2376" s="14">
        <f>IF($AN2376="",IF($B2376="","",$R2376),IF(INDEX(職員マスタ!$C$6:$C$405,$AN2376)="",$R2376,INDEX(職員マスタ!$C$6:$C$405,$AN2376)))</f>
        <v/>
      </c>
      <c r="X2376" s="14">
        <f>IF($AO2376="","","R"&amp;$C2376&amp;"."&amp;$D2376)</f>
        <v/>
      </c>
      <c r="Y2376" s="15">
        <f>IF($AN2376="","",IF(INDEX(職員マスタ!$K$6:$K$405,$AN2376)="","",INDEX(職員マスタ!$K$6:$K$405,$AN2376)))</f>
        <v/>
      </c>
      <c r="Z2376" s="14">
        <f>IF(OR($E2376="",$Y2376=""),"",IF($E2376&gt;=$Y2376,"×",IF($E2376&gt;=$Y2376*設定!$C$5,"△","○")))</f>
        <v/>
      </c>
      <c r="AA2376" s="15">
        <f>IF($Z2376="","",IF($Z2376="×",0,IF($Z2376="○",ROUNDDOWN($E2376*設定!$C$4,0),ROUNDDOWN($E2376*ROUND((9*$Y2376-9*$E2376)/(10*$E2376),4),0))))</f>
        <v/>
      </c>
      <c r="AB2376" s="13" t="n"/>
      <c r="AC2376" s="15">
        <f>IF($B2376="","",IF($AB2376&lt;&gt;"",$AB2376,IF($AA2376="","",IF($AA2376&lt;=設定!$C$3,0,$AA2376))))</f>
        <v/>
      </c>
      <c r="AD2376" s="14">
        <f>IF($B2376="","",IF(AND($AE2376&lt;&gt;"",$AG2376="",$AJ2376=""),"保留中",IF($AJ2376&lt;&gt;"",IF(N($AC2376)&gt;0,"支給済","不支給"),IF($AC2376="","要確認",IF($AC2376=0,"不支給","未処理")))))</f>
        <v/>
      </c>
      <c r="AE2376" s="12" t="n"/>
      <c r="AF2376" s="11" t="n"/>
      <c r="AG2376" s="11" t="n"/>
      <c r="AH2376" s="11" t="n"/>
      <c r="AI2376" s="14">
        <f>IF(AND($AD2376="保留中",$AF2376&lt;&gt;""),TODAY()-$AF2376,"")</f>
        <v/>
      </c>
      <c r="AJ2376" s="12" t="n"/>
      <c r="AK2376" s="14">
        <f>IF($B2376="","",IF($AO2376="","対象年月が未入力／","")&amp;IF($B2376="","",IF($AN2376="","職員マスタに未登録の職員番号／",IF($Y2376="","標準報酬月額が未登録／","")&amp;IF(AND($AO2376&lt;&gt;"",OR(AND(INDEX(職員マスタ!$G$6:$G$405,$AN2376)&lt;&gt;"",INDEX(職員マスタ!$G$6:$G$405,$AN2376)&gt;EOMONTH($AO2376,0)),AND(INDEX(職員マスタ!$H$6:$H$405,$AN2376)&lt;&gt;"",INDEX(職員マスタ!$H$6:$H$405,$AN2376)&lt;$AO2376))),"対象月が時短期間外／","")&amp;IF(AND(INDEX(職員マスタ!$F$6:$F$405,$AN2376)&lt;&gt;"",$AO2376&lt;&gt;"",INDEX(職員マスタ!$F$6:$F$405,$AN2376)&lt;$AO2376),"対象月に子が2歳到達済／","")&amp;IF(AND($H2376&lt;&gt;"",INDEX(職員マスタ!$B$6:$B$405,$AN2376)&lt;&gt;"",SUBSTITUTE(SUBSTITUTE($H2376," ","")," ","")&lt;&gt;SUBSTITUTE(SUBSTITUTE(INDEX(職員マスタ!$B$6:$B$405,$AN2376)," ","")," ","")),"氏名がマスタと相違／","")&amp;IF(AND($Q2376&lt;&gt;"",INDEX(職員マスタ!$E$6:$E$405,$AN2376)&lt;&gt;"",$Q2376&lt;&gt;INDEX(職員マスタ!$E$6:$E$405,$AN2376)),"子の生年月日がマスタと相違／","")&amp;IF(AND($L2376&lt;&gt;"",INDEX(職員マスタ!$G$6:$G$405,$AN2376)&lt;&gt;"",$L2376&lt;&gt;INDEX(職員マスタ!$G$6:$G$405,$AN2376)),"時短開始日がマスタと相違／","")&amp;IF(AND($M2376&lt;&gt;"",INDEX(職員マスタ!$H$6:$H$405,$AN2376)&lt;&gt;"",$M2376&lt;&gt;INDEX(職員マスタ!$H$6:$H$405,$AN2376)),"時短終了日がマスタと相違／","")))&amp;IF(AND($B2376&lt;&gt;"",$E2376=""),"報酬額が未入力／","")&amp;IF(N($U2376)&gt;0,"申請書に入力エラーが残っています／","")&amp;IF(AND($B2376&lt;&gt;"",$AO2376&lt;&gt;""),IF(COUNTIFS($B$6:$B$3005,$B2376,$C$6:$C$3005,$C2376,$D$6:$D$3005,$D2376)&gt;1,"同じ月の請求が重複しています／",""),"")&amp;IF(AND(N($E2376)&gt;0,$Z2376&lt;&gt;"",$Z2376&lt;&gt;"×",$AC2376=0,$AB2376=""),"計算額が下限以下のため不支給／",""))</f>
        <v/>
      </c>
      <c r="AL2376" s="12" t="n"/>
      <c r="AM2376" s="14">
        <f>IF($AD2376="保留中",COUNTIF($AD$6:$AD2376,"保留中"),"")</f>
        <v/>
      </c>
      <c r="AN2376" s="14">
        <f>IF($AO2376="","",IF(SUMPRODUCT(MAX((職員マスタ!$A$6:$A$405=$B2376)*(((職員マスタ!$G$6:$G$405="")+(職員マスタ!$G$6:$G$405&lt;=EOMONTH($AO2376,0)))&gt;0)*(((職員マスタ!$H$6:$H$405="")+(職員マスタ!$H$6:$H$405&gt;=$AO2376))&gt;0)*(ROW(職員マスタ!$A$6:$A$405)-5)))&gt;0,SUMPRODUCT(MAX((職員マスタ!$A$6:$A$405=$B2376)*(((職員マスタ!$G$6:$G$405="")+(職員マスタ!$G$6:$G$405&lt;=EOMONTH($AO2376,0)))&gt;0)*(((職員マスタ!$H$6:$H$405="")+(職員マスタ!$H$6:$H$405&gt;=$AO2376))&gt;0)*(ROW(職員マスタ!$A$6:$A$405)-5))),IFERROR(MATCH($B2376,職員マスタ!$A$6:$A$405,0),"")))</f>
        <v/>
      </c>
      <c r="AO2376" s="16">
        <f>IF(OR($B2376="",$C2376="",$D2376=""),"",DATE($C2376+2018,$D2376,1))</f>
        <v/>
      </c>
    </row>
    <row r="2377">
      <c r="A2377" s="11" t="n"/>
      <c r="B2377" s="12" t="n"/>
      <c r="C2377" s="12" t="n"/>
      <c r="D2377" s="12" t="n"/>
      <c r="E2377" s="13" t="n"/>
      <c r="F2377" s="12" t="n"/>
      <c r="G2377" s="13" t="n"/>
      <c r="H2377" s="12" t="n"/>
      <c r="I2377" s="12" t="n"/>
      <c r="J2377" s="12" t="n"/>
      <c r="K2377" s="12" t="n"/>
      <c r="L2377" s="11" t="n"/>
      <c r="M2377" s="11" t="n"/>
      <c r="N2377" s="11" t="n"/>
      <c r="O2377" s="11" t="n"/>
      <c r="P2377" s="12" t="n"/>
      <c r="Q2377" s="11" t="n"/>
      <c r="R2377" s="12" t="n"/>
      <c r="S2377" s="11" t="n"/>
      <c r="T2377" s="12" t="n"/>
      <c r="U2377" s="12" t="n"/>
      <c r="V2377" s="14">
        <f>IF($AN2377="",IF($B2377="","",$H2377),IF(INDEX(職員マスタ!$B$6:$B$405,$AN2377)="",$H2377,INDEX(職員マスタ!$B$6:$B$405,$AN2377)))</f>
        <v/>
      </c>
      <c r="W2377" s="14">
        <f>IF($AN2377="",IF($B2377="","",$R2377),IF(INDEX(職員マスタ!$C$6:$C$405,$AN2377)="",$R2377,INDEX(職員マスタ!$C$6:$C$405,$AN2377)))</f>
        <v/>
      </c>
      <c r="X2377" s="14">
        <f>IF($AO2377="","","R"&amp;$C2377&amp;"."&amp;$D2377)</f>
        <v/>
      </c>
      <c r="Y2377" s="15">
        <f>IF($AN2377="","",IF(INDEX(職員マスタ!$K$6:$K$405,$AN2377)="","",INDEX(職員マスタ!$K$6:$K$405,$AN2377)))</f>
        <v/>
      </c>
      <c r="Z2377" s="14">
        <f>IF(OR($E2377="",$Y2377=""),"",IF($E2377&gt;=$Y2377,"×",IF($E2377&gt;=$Y2377*設定!$C$5,"△","○")))</f>
        <v/>
      </c>
      <c r="AA2377" s="15">
        <f>IF($Z2377="","",IF($Z2377="×",0,IF($Z2377="○",ROUNDDOWN($E2377*設定!$C$4,0),ROUNDDOWN($E2377*ROUND((9*$Y2377-9*$E2377)/(10*$E2377),4),0))))</f>
        <v/>
      </c>
      <c r="AB2377" s="13" t="n"/>
      <c r="AC2377" s="15">
        <f>IF($B2377="","",IF($AB2377&lt;&gt;"",$AB2377,IF($AA2377="","",IF($AA2377&lt;=設定!$C$3,0,$AA2377))))</f>
        <v/>
      </c>
      <c r="AD2377" s="14">
        <f>IF($B2377="","",IF(AND($AE2377&lt;&gt;"",$AG2377="",$AJ2377=""),"保留中",IF($AJ2377&lt;&gt;"",IF(N($AC2377)&gt;0,"支給済","不支給"),IF($AC2377="","要確認",IF($AC2377=0,"不支給","未処理")))))</f>
        <v/>
      </c>
      <c r="AE2377" s="12" t="n"/>
      <c r="AF2377" s="11" t="n"/>
      <c r="AG2377" s="11" t="n"/>
      <c r="AH2377" s="11" t="n"/>
      <c r="AI2377" s="14">
        <f>IF(AND($AD2377="保留中",$AF2377&lt;&gt;""),TODAY()-$AF2377,"")</f>
        <v/>
      </c>
      <c r="AJ2377" s="12" t="n"/>
      <c r="AK2377" s="14">
        <f>IF($B2377="","",IF($AO2377="","対象年月が未入力／","")&amp;IF($B2377="","",IF($AN2377="","職員マスタに未登録の職員番号／",IF($Y2377="","標準報酬月額が未登録／","")&amp;IF(AND($AO2377&lt;&gt;"",OR(AND(INDEX(職員マスタ!$G$6:$G$405,$AN2377)&lt;&gt;"",INDEX(職員マスタ!$G$6:$G$405,$AN2377)&gt;EOMONTH($AO2377,0)),AND(INDEX(職員マスタ!$H$6:$H$405,$AN2377)&lt;&gt;"",INDEX(職員マスタ!$H$6:$H$405,$AN2377)&lt;$AO2377))),"対象月が時短期間外／","")&amp;IF(AND(INDEX(職員マスタ!$F$6:$F$405,$AN2377)&lt;&gt;"",$AO2377&lt;&gt;"",INDEX(職員マスタ!$F$6:$F$405,$AN2377)&lt;$AO2377),"対象月に子が2歳到達済／","")&amp;IF(AND($H2377&lt;&gt;"",INDEX(職員マスタ!$B$6:$B$405,$AN2377)&lt;&gt;"",SUBSTITUTE(SUBSTITUTE($H2377," ","")," ","")&lt;&gt;SUBSTITUTE(SUBSTITUTE(INDEX(職員マスタ!$B$6:$B$405,$AN2377)," ","")," ","")),"氏名がマスタと相違／","")&amp;IF(AND($Q2377&lt;&gt;"",INDEX(職員マスタ!$E$6:$E$405,$AN2377)&lt;&gt;"",$Q2377&lt;&gt;INDEX(職員マスタ!$E$6:$E$405,$AN2377)),"子の生年月日がマスタと相違／","")&amp;IF(AND($L2377&lt;&gt;"",INDEX(職員マスタ!$G$6:$G$405,$AN2377)&lt;&gt;"",$L2377&lt;&gt;INDEX(職員マスタ!$G$6:$G$405,$AN2377)),"時短開始日がマスタと相違／","")&amp;IF(AND($M2377&lt;&gt;"",INDEX(職員マスタ!$H$6:$H$405,$AN2377)&lt;&gt;"",$M2377&lt;&gt;INDEX(職員マスタ!$H$6:$H$405,$AN2377)),"時短終了日がマスタと相違／","")))&amp;IF(AND($B2377&lt;&gt;"",$E2377=""),"報酬額が未入力／","")&amp;IF(N($U2377)&gt;0,"申請書に入力エラーが残っています／","")&amp;IF(AND($B2377&lt;&gt;"",$AO2377&lt;&gt;""),IF(COUNTIFS($B$6:$B$3005,$B2377,$C$6:$C$3005,$C2377,$D$6:$D$3005,$D2377)&gt;1,"同じ月の請求が重複しています／",""),"")&amp;IF(AND(N($E2377)&gt;0,$Z2377&lt;&gt;"",$Z2377&lt;&gt;"×",$AC2377=0,$AB2377=""),"計算額が下限以下のため不支給／",""))</f>
        <v/>
      </c>
      <c r="AL2377" s="12" t="n"/>
      <c r="AM2377" s="14">
        <f>IF($AD2377="保留中",COUNTIF($AD$6:$AD2377,"保留中"),"")</f>
        <v/>
      </c>
      <c r="AN2377" s="14">
        <f>IF($AO2377="","",IF(SUMPRODUCT(MAX((職員マスタ!$A$6:$A$405=$B2377)*(((職員マスタ!$G$6:$G$405="")+(職員マスタ!$G$6:$G$405&lt;=EOMONTH($AO2377,0)))&gt;0)*(((職員マスタ!$H$6:$H$405="")+(職員マスタ!$H$6:$H$405&gt;=$AO2377))&gt;0)*(ROW(職員マスタ!$A$6:$A$405)-5)))&gt;0,SUMPRODUCT(MAX((職員マスタ!$A$6:$A$405=$B2377)*(((職員マスタ!$G$6:$G$405="")+(職員マスタ!$G$6:$G$405&lt;=EOMONTH($AO2377,0)))&gt;0)*(((職員マスタ!$H$6:$H$405="")+(職員マスタ!$H$6:$H$405&gt;=$AO2377))&gt;0)*(ROW(職員マスタ!$A$6:$A$405)-5))),IFERROR(MATCH($B2377,職員マスタ!$A$6:$A$405,0),"")))</f>
        <v/>
      </c>
      <c r="AO2377" s="16">
        <f>IF(OR($B2377="",$C2377="",$D2377=""),"",DATE($C2377+2018,$D2377,1))</f>
        <v/>
      </c>
    </row>
    <row r="2378">
      <c r="A2378" s="11" t="n"/>
      <c r="B2378" s="12" t="n"/>
      <c r="C2378" s="12" t="n"/>
      <c r="D2378" s="12" t="n"/>
      <c r="E2378" s="13" t="n"/>
      <c r="F2378" s="12" t="n"/>
      <c r="G2378" s="13" t="n"/>
      <c r="H2378" s="12" t="n"/>
      <c r="I2378" s="12" t="n"/>
      <c r="J2378" s="12" t="n"/>
      <c r="K2378" s="12" t="n"/>
      <c r="L2378" s="11" t="n"/>
      <c r="M2378" s="11" t="n"/>
      <c r="N2378" s="11" t="n"/>
      <c r="O2378" s="11" t="n"/>
      <c r="P2378" s="12" t="n"/>
      <c r="Q2378" s="11" t="n"/>
      <c r="R2378" s="12" t="n"/>
      <c r="S2378" s="11" t="n"/>
      <c r="T2378" s="12" t="n"/>
      <c r="U2378" s="12" t="n"/>
      <c r="V2378" s="14">
        <f>IF($AN2378="",IF($B2378="","",$H2378),IF(INDEX(職員マスタ!$B$6:$B$405,$AN2378)="",$H2378,INDEX(職員マスタ!$B$6:$B$405,$AN2378)))</f>
        <v/>
      </c>
      <c r="W2378" s="14">
        <f>IF($AN2378="",IF($B2378="","",$R2378),IF(INDEX(職員マスタ!$C$6:$C$405,$AN2378)="",$R2378,INDEX(職員マスタ!$C$6:$C$405,$AN2378)))</f>
        <v/>
      </c>
      <c r="X2378" s="14">
        <f>IF($AO2378="","","R"&amp;$C2378&amp;"."&amp;$D2378)</f>
        <v/>
      </c>
      <c r="Y2378" s="15">
        <f>IF($AN2378="","",IF(INDEX(職員マスタ!$K$6:$K$405,$AN2378)="","",INDEX(職員マスタ!$K$6:$K$405,$AN2378)))</f>
        <v/>
      </c>
      <c r="Z2378" s="14">
        <f>IF(OR($E2378="",$Y2378=""),"",IF($E2378&gt;=$Y2378,"×",IF($E2378&gt;=$Y2378*設定!$C$5,"△","○")))</f>
        <v/>
      </c>
      <c r="AA2378" s="15">
        <f>IF($Z2378="","",IF($Z2378="×",0,IF($Z2378="○",ROUNDDOWN($E2378*設定!$C$4,0),ROUNDDOWN($E2378*ROUND((9*$Y2378-9*$E2378)/(10*$E2378),4),0))))</f>
        <v/>
      </c>
      <c r="AB2378" s="13" t="n"/>
      <c r="AC2378" s="15">
        <f>IF($B2378="","",IF($AB2378&lt;&gt;"",$AB2378,IF($AA2378="","",IF($AA2378&lt;=設定!$C$3,0,$AA2378))))</f>
        <v/>
      </c>
      <c r="AD2378" s="14">
        <f>IF($B2378="","",IF(AND($AE2378&lt;&gt;"",$AG2378="",$AJ2378=""),"保留中",IF($AJ2378&lt;&gt;"",IF(N($AC2378)&gt;0,"支給済","不支給"),IF($AC2378="","要確認",IF($AC2378=0,"不支給","未処理")))))</f>
        <v/>
      </c>
      <c r="AE2378" s="12" t="n"/>
      <c r="AF2378" s="11" t="n"/>
      <c r="AG2378" s="11" t="n"/>
      <c r="AH2378" s="11" t="n"/>
      <c r="AI2378" s="14">
        <f>IF(AND($AD2378="保留中",$AF2378&lt;&gt;""),TODAY()-$AF2378,"")</f>
        <v/>
      </c>
      <c r="AJ2378" s="12" t="n"/>
      <c r="AK2378" s="14">
        <f>IF($B2378="","",IF($AO2378="","対象年月が未入力／","")&amp;IF($B2378="","",IF($AN2378="","職員マスタに未登録の職員番号／",IF($Y2378="","標準報酬月額が未登録／","")&amp;IF(AND($AO2378&lt;&gt;"",OR(AND(INDEX(職員マスタ!$G$6:$G$405,$AN2378)&lt;&gt;"",INDEX(職員マスタ!$G$6:$G$405,$AN2378)&gt;EOMONTH($AO2378,0)),AND(INDEX(職員マスタ!$H$6:$H$405,$AN2378)&lt;&gt;"",INDEX(職員マスタ!$H$6:$H$405,$AN2378)&lt;$AO2378))),"対象月が時短期間外／","")&amp;IF(AND(INDEX(職員マスタ!$F$6:$F$405,$AN2378)&lt;&gt;"",$AO2378&lt;&gt;"",INDEX(職員マスタ!$F$6:$F$405,$AN2378)&lt;$AO2378),"対象月に子が2歳到達済／","")&amp;IF(AND($H2378&lt;&gt;"",INDEX(職員マスタ!$B$6:$B$405,$AN2378)&lt;&gt;"",SUBSTITUTE(SUBSTITUTE($H2378," ","")," ","")&lt;&gt;SUBSTITUTE(SUBSTITUTE(INDEX(職員マスタ!$B$6:$B$405,$AN2378)," ","")," ","")),"氏名がマスタと相違／","")&amp;IF(AND($Q2378&lt;&gt;"",INDEX(職員マスタ!$E$6:$E$405,$AN2378)&lt;&gt;"",$Q2378&lt;&gt;INDEX(職員マスタ!$E$6:$E$405,$AN2378)),"子の生年月日がマスタと相違／","")&amp;IF(AND($L2378&lt;&gt;"",INDEX(職員マスタ!$G$6:$G$405,$AN2378)&lt;&gt;"",$L2378&lt;&gt;INDEX(職員マスタ!$G$6:$G$405,$AN2378)),"時短開始日がマスタと相違／","")&amp;IF(AND($M2378&lt;&gt;"",INDEX(職員マスタ!$H$6:$H$405,$AN2378)&lt;&gt;"",$M2378&lt;&gt;INDEX(職員マスタ!$H$6:$H$405,$AN2378)),"時短終了日がマスタと相違／","")))&amp;IF(AND($B2378&lt;&gt;"",$E2378=""),"報酬額が未入力／","")&amp;IF(N($U2378)&gt;0,"申請書に入力エラーが残っています／","")&amp;IF(AND($B2378&lt;&gt;"",$AO2378&lt;&gt;""),IF(COUNTIFS($B$6:$B$3005,$B2378,$C$6:$C$3005,$C2378,$D$6:$D$3005,$D2378)&gt;1,"同じ月の請求が重複しています／",""),"")&amp;IF(AND(N($E2378)&gt;0,$Z2378&lt;&gt;"",$Z2378&lt;&gt;"×",$AC2378=0,$AB2378=""),"計算額が下限以下のため不支給／",""))</f>
        <v/>
      </c>
      <c r="AL2378" s="12" t="n"/>
      <c r="AM2378" s="14">
        <f>IF($AD2378="保留中",COUNTIF($AD$6:$AD2378,"保留中"),"")</f>
        <v/>
      </c>
      <c r="AN2378" s="14">
        <f>IF($AO2378="","",IF(SUMPRODUCT(MAX((職員マスタ!$A$6:$A$405=$B2378)*(((職員マスタ!$G$6:$G$405="")+(職員マスタ!$G$6:$G$405&lt;=EOMONTH($AO2378,0)))&gt;0)*(((職員マスタ!$H$6:$H$405="")+(職員マスタ!$H$6:$H$405&gt;=$AO2378))&gt;0)*(ROW(職員マスタ!$A$6:$A$405)-5)))&gt;0,SUMPRODUCT(MAX((職員マスタ!$A$6:$A$405=$B2378)*(((職員マスタ!$G$6:$G$405="")+(職員マスタ!$G$6:$G$405&lt;=EOMONTH($AO2378,0)))&gt;0)*(((職員マスタ!$H$6:$H$405="")+(職員マスタ!$H$6:$H$405&gt;=$AO2378))&gt;0)*(ROW(職員マスタ!$A$6:$A$405)-5))),IFERROR(MATCH($B2378,職員マスタ!$A$6:$A$405,0),"")))</f>
        <v/>
      </c>
      <c r="AO2378" s="16">
        <f>IF(OR($B2378="",$C2378="",$D2378=""),"",DATE($C2378+2018,$D2378,1))</f>
        <v/>
      </c>
    </row>
    <row r="2379">
      <c r="A2379" s="11" t="n"/>
      <c r="B2379" s="12" t="n"/>
      <c r="C2379" s="12" t="n"/>
      <c r="D2379" s="12" t="n"/>
      <c r="E2379" s="13" t="n"/>
      <c r="F2379" s="12" t="n"/>
      <c r="G2379" s="13" t="n"/>
      <c r="H2379" s="12" t="n"/>
      <c r="I2379" s="12" t="n"/>
      <c r="J2379" s="12" t="n"/>
      <c r="K2379" s="12" t="n"/>
      <c r="L2379" s="11" t="n"/>
      <c r="M2379" s="11" t="n"/>
      <c r="N2379" s="11" t="n"/>
      <c r="O2379" s="11" t="n"/>
      <c r="P2379" s="12" t="n"/>
      <c r="Q2379" s="11" t="n"/>
      <c r="R2379" s="12" t="n"/>
      <c r="S2379" s="11" t="n"/>
      <c r="T2379" s="12" t="n"/>
      <c r="U2379" s="12" t="n"/>
      <c r="V2379" s="14">
        <f>IF($AN2379="",IF($B2379="","",$H2379),IF(INDEX(職員マスタ!$B$6:$B$405,$AN2379)="",$H2379,INDEX(職員マスタ!$B$6:$B$405,$AN2379)))</f>
        <v/>
      </c>
      <c r="W2379" s="14">
        <f>IF($AN2379="",IF($B2379="","",$R2379),IF(INDEX(職員マスタ!$C$6:$C$405,$AN2379)="",$R2379,INDEX(職員マスタ!$C$6:$C$405,$AN2379)))</f>
        <v/>
      </c>
      <c r="X2379" s="14">
        <f>IF($AO2379="","","R"&amp;$C2379&amp;"."&amp;$D2379)</f>
        <v/>
      </c>
      <c r="Y2379" s="15">
        <f>IF($AN2379="","",IF(INDEX(職員マスタ!$K$6:$K$405,$AN2379)="","",INDEX(職員マスタ!$K$6:$K$405,$AN2379)))</f>
        <v/>
      </c>
      <c r="Z2379" s="14">
        <f>IF(OR($E2379="",$Y2379=""),"",IF($E2379&gt;=$Y2379,"×",IF($E2379&gt;=$Y2379*設定!$C$5,"△","○")))</f>
        <v/>
      </c>
      <c r="AA2379" s="15">
        <f>IF($Z2379="","",IF($Z2379="×",0,IF($Z2379="○",ROUNDDOWN($E2379*設定!$C$4,0),ROUNDDOWN($E2379*ROUND((9*$Y2379-9*$E2379)/(10*$E2379),4),0))))</f>
        <v/>
      </c>
      <c r="AB2379" s="13" t="n"/>
      <c r="AC2379" s="15">
        <f>IF($B2379="","",IF($AB2379&lt;&gt;"",$AB2379,IF($AA2379="","",IF($AA2379&lt;=設定!$C$3,0,$AA2379))))</f>
        <v/>
      </c>
      <c r="AD2379" s="14">
        <f>IF($B2379="","",IF(AND($AE2379&lt;&gt;"",$AG2379="",$AJ2379=""),"保留中",IF($AJ2379&lt;&gt;"",IF(N($AC2379)&gt;0,"支給済","不支給"),IF($AC2379="","要確認",IF($AC2379=0,"不支給","未処理")))))</f>
        <v/>
      </c>
      <c r="AE2379" s="12" t="n"/>
      <c r="AF2379" s="11" t="n"/>
      <c r="AG2379" s="11" t="n"/>
      <c r="AH2379" s="11" t="n"/>
      <c r="AI2379" s="14">
        <f>IF(AND($AD2379="保留中",$AF2379&lt;&gt;""),TODAY()-$AF2379,"")</f>
        <v/>
      </c>
      <c r="AJ2379" s="12" t="n"/>
      <c r="AK2379" s="14">
        <f>IF($B2379="","",IF($AO2379="","対象年月が未入力／","")&amp;IF($B2379="","",IF($AN2379="","職員マスタに未登録の職員番号／",IF($Y2379="","標準報酬月額が未登録／","")&amp;IF(AND($AO2379&lt;&gt;"",OR(AND(INDEX(職員マスタ!$G$6:$G$405,$AN2379)&lt;&gt;"",INDEX(職員マスタ!$G$6:$G$405,$AN2379)&gt;EOMONTH($AO2379,0)),AND(INDEX(職員マスタ!$H$6:$H$405,$AN2379)&lt;&gt;"",INDEX(職員マスタ!$H$6:$H$405,$AN2379)&lt;$AO2379))),"対象月が時短期間外／","")&amp;IF(AND(INDEX(職員マスタ!$F$6:$F$405,$AN2379)&lt;&gt;"",$AO2379&lt;&gt;"",INDEX(職員マスタ!$F$6:$F$405,$AN2379)&lt;$AO2379),"対象月に子が2歳到達済／","")&amp;IF(AND($H2379&lt;&gt;"",INDEX(職員マスタ!$B$6:$B$405,$AN2379)&lt;&gt;"",SUBSTITUTE(SUBSTITUTE($H2379," ","")," ","")&lt;&gt;SUBSTITUTE(SUBSTITUTE(INDEX(職員マスタ!$B$6:$B$405,$AN2379)," ","")," ","")),"氏名がマスタと相違／","")&amp;IF(AND($Q2379&lt;&gt;"",INDEX(職員マスタ!$E$6:$E$405,$AN2379)&lt;&gt;"",$Q2379&lt;&gt;INDEX(職員マスタ!$E$6:$E$405,$AN2379)),"子の生年月日がマスタと相違／","")&amp;IF(AND($L2379&lt;&gt;"",INDEX(職員マスタ!$G$6:$G$405,$AN2379)&lt;&gt;"",$L2379&lt;&gt;INDEX(職員マスタ!$G$6:$G$405,$AN2379)),"時短開始日がマスタと相違／","")&amp;IF(AND($M2379&lt;&gt;"",INDEX(職員マスタ!$H$6:$H$405,$AN2379)&lt;&gt;"",$M2379&lt;&gt;INDEX(職員マスタ!$H$6:$H$405,$AN2379)),"時短終了日がマスタと相違／","")))&amp;IF(AND($B2379&lt;&gt;"",$E2379=""),"報酬額が未入力／","")&amp;IF(N($U2379)&gt;0,"申請書に入力エラーが残っています／","")&amp;IF(AND($B2379&lt;&gt;"",$AO2379&lt;&gt;""),IF(COUNTIFS($B$6:$B$3005,$B2379,$C$6:$C$3005,$C2379,$D$6:$D$3005,$D2379)&gt;1,"同じ月の請求が重複しています／",""),"")&amp;IF(AND(N($E2379)&gt;0,$Z2379&lt;&gt;"",$Z2379&lt;&gt;"×",$AC2379=0,$AB2379=""),"計算額が下限以下のため不支給／",""))</f>
        <v/>
      </c>
      <c r="AL2379" s="12" t="n"/>
      <c r="AM2379" s="14">
        <f>IF($AD2379="保留中",COUNTIF($AD$6:$AD2379,"保留中"),"")</f>
        <v/>
      </c>
      <c r="AN2379" s="14">
        <f>IF($AO2379="","",IF(SUMPRODUCT(MAX((職員マスタ!$A$6:$A$405=$B2379)*(((職員マスタ!$G$6:$G$405="")+(職員マスタ!$G$6:$G$405&lt;=EOMONTH($AO2379,0)))&gt;0)*(((職員マスタ!$H$6:$H$405="")+(職員マスタ!$H$6:$H$405&gt;=$AO2379))&gt;0)*(ROW(職員マスタ!$A$6:$A$405)-5)))&gt;0,SUMPRODUCT(MAX((職員マスタ!$A$6:$A$405=$B2379)*(((職員マスタ!$G$6:$G$405="")+(職員マスタ!$G$6:$G$405&lt;=EOMONTH($AO2379,0)))&gt;0)*(((職員マスタ!$H$6:$H$405="")+(職員マスタ!$H$6:$H$405&gt;=$AO2379))&gt;0)*(ROW(職員マスタ!$A$6:$A$405)-5))),IFERROR(MATCH($B2379,職員マスタ!$A$6:$A$405,0),"")))</f>
        <v/>
      </c>
      <c r="AO2379" s="16">
        <f>IF(OR($B2379="",$C2379="",$D2379=""),"",DATE($C2379+2018,$D2379,1))</f>
        <v/>
      </c>
    </row>
    <row r="2380">
      <c r="A2380" s="11" t="n"/>
      <c r="B2380" s="12" t="n"/>
      <c r="C2380" s="12" t="n"/>
      <c r="D2380" s="12" t="n"/>
      <c r="E2380" s="13" t="n"/>
      <c r="F2380" s="12" t="n"/>
      <c r="G2380" s="13" t="n"/>
      <c r="H2380" s="12" t="n"/>
      <c r="I2380" s="12" t="n"/>
      <c r="J2380" s="12" t="n"/>
      <c r="K2380" s="12" t="n"/>
      <c r="L2380" s="11" t="n"/>
      <c r="M2380" s="11" t="n"/>
      <c r="N2380" s="11" t="n"/>
      <c r="O2380" s="11" t="n"/>
      <c r="P2380" s="12" t="n"/>
      <c r="Q2380" s="11" t="n"/>
      <c r="R2380" s="12" t="n"/>
      <c r="S2380" s="11" t="n"/>
      <c r="T2380" s="12" t="n"/>
      <c r="U2380" s="12" t="n"/>
      <c r="V2380" s="14">
        <f>IF($AN2380="",IF($B2380="","",$H2380),IF(INDEX(職員マスタ!$B$6:$B$405,$AN2380)="",$H2380,INDEX(職員マスタ!$B$6:$B$405,$AN2380)))</f>
        <v/>
      </c>
      <c r="W2380" s="14">
        <f>IF($AN2380="",IF($B2380="","",$R2380),IF(INDEX(職員マスタ!$C$6:$C$405,$AN2380)="",$R2380,INDEX(職員マスタ!$C$6:$C$405,$AN2380)))</f>
        <v/>
      </c>
      <c r="X2380" s="14">
        <f>IF($AO2380="","","R"&amp;$C2380&amp;"."&amp;$D2380)</f>
        <v/>
      </c>
      <c r="Y2380" s="15">
        <f>IF($AN2380="","",IF(INDEX(職員マスタ!$K$6:$K$405,$AN2380)="","",INDEX(職員マスタ!$K$6:$K$405,$AN2380)))</f>
        <v/>
      </c>
      <c r="Z2380" s="14">
        <f>IF(OR($E2380="",$Y2380=""),"",IF($E2380&gt;=$Y2380,"×",IF($E2380&gt;=$Y2380*設定!$C$5,"△","○")))</f>
        <v/>
      </c>
      <c r="AA2380" s="15">
        <f>IF($Z2380="","",IF($Z2380="×",0,IF($Z2380="○",ROUNDDOWN($E2380*設定!$C$4,0),ROUNDDOWN($E2380*ROUND((9*$Y2380-9*$E2380)/(10*$E2380),4),0))))</f>
        <v/>
      </c>
      <c r="AB2380" s="13" t="n"/>
      <c r="AC2380" s="15">
        <f>IF($B2380="","",IF($AB2380&lt;&gt;"",$AB2380,IF($AA2380="","",IF($AA2380&lt;=設定!$C$3,0,$AA2380))))</f>
        <v/>
      </c>
      <c r="AD2380" s="14">
        <f>IF($B2380="","",IF(AND($AE2380&lt;&gt;"",$AG2380="",$AJ2380=""),"保留中",IF($AJ2380&lt;&gt;"",IF(N($AC2380)&gt;0,"支給済","不支給"),IF($AC2380="","要確認",IF($AC2380=0,"不支給","未処理")))))</f>
        <v/>
      </c>
      <c r="AE2380" s="12" t="n"/>
      <c r="AF2380" s="11" t="n"/>
      <c r="AG2380" s="11" t="n"/>
      <c r="AH2380" s="11" t="n"/>
      <c r="AI2380" s="14">
        <f>IF(AND($AD2380="保留中",$AF2380&lt;&gt;""),TODAY()-$AF2380,"")</f>
        <v/>
      </c>
      <c r="AJ2380" s="12" t="n"/>
      <c r="AK2380" s="14">
        <f>IF($B2380="","",IF($AO2380="","対象年月が未入力／","")&amp;IF($B2380="","",IF($AN2380="","職員マスタに未登録の職員番号／",IF($Y2380="","標準報酬月額が未登録／","")&amp;IF(AND($AO2380&lt;&gt;"",OR(AND(INDEX(職員マスタ!$G$6:$G$405,$AN2380)&lt;&gt;"",INDEX(職員マスタ!$G$6:$G$405,$AN2380)&gt;EOMONTH($AO2380,0)),AND(INDEX(職員マスタ!$H$6:$H$405,$AN2380)&lt;&gt;"",INDEX(職員マスタ!$H$6:$H$405,$AN2380)&lt;$AO2380))),"対象月が時短期間外／","")&amp;IF(AND(INDEX(職員マスタ!$F$6:$F$405,$AN2380)&lt;&gt;"",$AO2380&lt;&gt;"",INDEX(職員マスタ!$F$6:$F$405,$AN2380)&lt;$AO2380),"対象月に子が2歳到達済／","")&amp;IF(AND($H2380&lt;&gt;"",INDEX(職員マスタ!$B$6:$B$405,$AN2380)&lt;&gt;"",SUBSTITUTE(SUBSTITUTE($H2380," ","")," ","")&lt;&gt;SUBSTITUTE(SUBSTITUTE(INDEX(職員マスタ!$B$6:$B$405,$AN2380)," ","")," ","")),"氏名がマスタと相違／","")&amp;IF(AND($Q2380&lt;&gt;"",INDEX(職員マスタ!$E$6:$E$405,$AN2380)&lt;&gt;"",$Q2380&lt;&gt;INDEX(職員マスタ!$E$6:$E$405,$AN2380)),"子の生年月日がマスタと相違／","")&amp;IF(AND($L2380&lt;&gt;"",INDEX(職員マスタ!$G$6:$G$405,$AN2380)&lt;&gt;"",$L2380&lt;&gt;INDEX(職員マスタ!$G$6:$G$405,$AN2380)),"時短開始日がマスタと相違／","")&amp;IF(AND($M2380&lt;&gt;"",INDEX(職員マスタ!$H$6:$H$405,$AN2380)&lt;&gt;"",$M2380&lt;&gt;INDEX(職員マスタ!$H$6:$H$405,$AN2380)),"時短終了日がマスタと相違／","")))&amp;IF(AND($B2380&lt;&gt;"",$E2380=""),"報酬額が未入力／","")&amp;IF(N($U2380)&gt;0,"申請書に入力エラーが残っています／","")&amp;IF(AND($B2380&lt;&gt;"",$AO2380&lt;&gt;""),IF(COUNTIFS($B$6:$B$3005,$B2380,$C$6:$C$3005,$C2380,$D$6:$D$3005,$D2380)&gt;1,"同じ月の請求が重複しています／",""),"")&amp;IF(AND(N($E2380)&gt;0,$Z2380&lt;&gt;"",$Z2380&lt;&gt;"×",$AC2380=0,$AB2380=""),"計算額が下限以下のため不支給／",""))</f>
        <v/>
      </c>
      <c r="AL2380" s="12" t="n"/>
      <c r="AM2380" s="14">
        <f>IF($AD2380="保留中",COUNTIF($AD$6:$AD2380,"保留中"),"")</f>
        <v/>
      </c>
      <c r="AN2380" s="14">
        <f>IF($AO2380="","",IF(SUMPRODUCT(MAX((職員マスタ!$A$6:$A$405=$B2380)*(((職員マスタ!$G$6:$G$405="")+(職員マスタ!$G$6:$G$405&lt;=EOMONTH($AO2380,0)))&gt;0)*(((職員マスタ!$H$6:$H$405="")+(職員マスタ!$H$6:$H$405&gt;=$AO2380))&gt;0)*(ROW(職員マスタ!$A$6:$A$405)-5)))&gt;0,SUMPRODUCT(MAX((職員マスタ!$A$6:$A$405=$B2380)*(((職員マスタ!$G$6:$G$405="")+(職員マスタ!$G$6:$G$405&lt;=EOMONTH($AO2380,0)))&gt;0)*(((職員マスタ!$H$6:$H$405="")+(職員マスタ!$H$6:$H$405&gt;=$AO2380))&gt;0)*(ROW(職員マスタ!$A$6:$A$405)-5))),IFERROR(MATCH($B2380,職員マスタ!$A$6:$A$405,0),"")))</f>
        <v/>
      </c>
      <c r="AO2380" s="16">
        <f>IF(OR($B2380="",$C2380="",$D2380=""),"",DATE($C2380+2018,$D2380,1))</f>
        <v/>
      </c>
    </row>
    <row r="2381">
      <c r="A2381" s="11" t="n"/>
      <c r="B2381" s="12" t="n"/>
      <c r="C2381" s="12" t="n"/>
      <c r="D2381" s="12" t="n"/>
      <c r="E2381" s="13" t="n"/>
      <c r="F2381" s="12" t="n"/>
      <c r="G2381" s="13" t="n"/>
      <c r="H2381" s="12" t="n"/>
      <c r="I2381" s="12" t="n"/>
      <c r="J2381" s="12" t="n"/>
      <c r="K2381" s="12" t="n"/>
      <c r="L2381" s="11" t="n"/>
      <c r="M2381" s="11" t="n"/>
      <c r="N2381" s="11" t="n"/>
      <c r="O2381" s="11" t="n"/>
      <c r="P2381" s="12" t="n"/>
      <c r="Q2381" s="11" t="n"/>
      <c r="R2381" s="12" t="n"/>
      <c r="S2381" s="11" t="n"/>
      <c r="T2381" s="12" t="n"/>
      <c r="U2381" s="12" t="n"/>
      <c r="V2381" s="14">
        <f>IF($AN2381="",IF($B2381="","",$H2381),IF(INDEX(職員マスタ!$B$6:$B$405,$AN2381)="",$H2381,INDEX(職員マスタ!$B$6:$B$405,$AN2381)))</f>
        <v/>
      </c>
      <c r="W2381" s="14">
        <f>IF($AN2381="",IF($B2381="","",$R2381),IF(INDEX(職員マスタ!$C$6:$C$405,$AN2381)="",$R2381,INDEX(職員マスタ!$C$6:$C$405,$AN2381)))</f>
        <v/>
      </c>
      <c r="X2381" s="14">
        <f>IF($AO2381="","","R"&amp;$C2381&amp;"."&amp;$D2381)</f>
        <v/>
      </c>
      <c r="Y2381" s="15">
        <f>IF($AN2381="","",IF(INDEX(職員マスタ!$K$6:$K$405,$AN2381)="","",INDEX(職員マスタ!$K$6:$K$405,$AN2381)))</f>
        <v/>
      </c>
      <c r="Z2381" s="14">
        <f>IF(OR($E2381="",$Y2381=""),"",IF($E2381&gt;=$Y2381,"×",IF($E2381&gt;=$Y2381*設定!$C$5,"△","○")))</f>
        <v/>
      </c>
      <c r="AA2381" s="15">
        <f>IF($Z2381="","",IF($Z2381="×",0,IF($Z2381="○",ROUNDDOWN($E2381*設定!$C$4,0),ROUNDDOWN($E2381*ROUND((9*$Y2381-9*$E2381)/(10*$E2381),4),0))))</f>
        <v/>
      </c>
      <c r="AB2381" s="13" t="n"/>
      <c r="AC2381" s="15">
        <f>IF($B2381="","",IF($AB2381&lt;&gt;"",$AB2381,IF($AA2381="","",IF($AA2381&lt;=設定!$C$3,0,$AA2381))))</f>
        <v/>
      </c>
      <c r="AD2381" s="14">
        <f>IF($B2381="","",IF(AND($AE2381&lt;&gt;"",$AG2381="",$AJ2381=""),"保留中",IF($AJ2381&lt;&gt;"",IF(N($AC2381)&gt;0,"支給済","不支給"),IF($AC2381="","要確認",IF($AC2381=0,"不支給","未処理")))))</f>
        <v/>
      </c>
      <c r="AE2381" s="12" t="n"/>
      <c r="AF2381" s="11" t="n"/>
      <c r="AG2381" s="11" t="n"/>
      <c r="AH2381" s="11" t="n"/>
      <c r="AI2381" s="14">
        <f>IF(AND($AD2381="保留中",$AF2381&lt;&gt;""),TODAY()-$AF2381,"")</f>
        <v/>
      </c>
      <c r="AJ2381" s="12" t="n"/>
      <c r="AK2381" s="14">
        <f>IF($B2381="","",IF($AO2381="","対象年月が未入力／","")&amp;IF($B2381="","",IF($AN2381="","職員マスタに未登録の職員番号／",IF($Y2381="","標準報酬月額が未登録／","")&amp;IF(AND($AO2381&lt;&gt;"",OR(AND(INDEX(職員マスタ!$G$6:$G$405,$AN2381)&lt;&gt;"",INDEX(職員マスタ!$G$6:$G$405,$AN2381)&gt;EOMONTH($AO2381,0)),AND(INDEX(職員マスタ!$H$6:$H$405,$AN2381)&lt;&gt;"",INDEX(職員マスタ!$H$6:$H$405,$AN2381)&lt;$AO2381))),"対象月が時短期間外／","")&amp;IF(AND(INDEX(職員マスタ!$F$6:$F$405,$AN2381)&lt;&gt;"",$AO2381&lt;&gt;"",INDEX(職員マスタ!$F$6:$F$405,$AN2381)&lt;$AO2381),"対象月に子が2歳到達済／","")&amp;IF(AND($H2381&lt;&gt;"",INDEX(職員マスタ!$B$6:$B$405,$AN2381)&lt;&gt;"",SUBSTITUTE(SUBSTITUTE($H2381," ","")," ","")&lt;&gt;SUBSTITUTE(SUBSTITUTE(INDEX(職員マスタ!$B$6:$B$405,$AN2381)," ","")," ","")),"氏名がマスタと相違／","")&amp;IF(AND($Q2381&lt;&gt;"",INDEX(職員マスタ!$E$6:$E$405,$AN2381)&lt;&gt;"",$Q2381&lt;&gt;INDEX(職員マスタ!$E$6:$E$405,$AN2381)),"子の生年月日がマスタと相違／","")&amp;IF(AND($L2381&lt;&gt;"",INDEX(職員マスタ!$G$6:$G$405,$AN2381)&lt;&gt;"",$L2381&lt;&gt;INDEX(職員マスタ!$G$6:$G$405,$AN2381)),"時短開始日がマスタと相違／","")&amp;IF(AND($M2381&lt;&gt;"",INDEX(職員マスタ!$H$6:$H$405,$AN2381)&lt;&gt;"",$M2381&lt;&gt;INDEX(職員マスタ!$H$6:$H$405,$AN2381)),"時短終了日がマスタと相違／","")))&amp;IF(AND($B2381&lt;&gt;"",$E2381=""),"報酬額が未入力／","")&amp;IF(N($U2381)&gt;0,"申請書に入力エラーが残っています／","")&amp;IF(AND($B2381&lt;&gt;"",$AO2381&lt;&gt;""),IF(COUNTIFS($B$6:$B$3005,$B2381,$C$6:$C$3005,$C2381,$D$6:$D$3005,$D2381)&gt;1,"同じ月の請求が重複しています／",""),"")&amp;IF(AND(N($E2381)&gt;0,$Z2381&lt;&gt;"",$Z2381&lt;&gt;"×",$AC2381=0,$AB2381=""),"計算額が下限以下のため不支給／",""))</f>
        <v/>
      </c>
      <c r="AL2381" s="12" t="n"/>
      <c r="AM2381" s="14">
        <f>IF($AD2381="保留中",COUNTIF($AD$6:$AD2381,"保留中"),"")</f>
        <v/>
      </c>
      <c r="AN2381" s="14">
        <f>IF($AO2381="","",IF(SUMPRODUCT(MAX((職員マスタ!$A$6:$A$405=$B2381)*(((職員マスタ!$G$6:$G$405="")+(職員マスタ!$G$6:$G$405&lt;=EOMONTH($AO2381,0)))&gt;0)*(((職員マスタ!$H$6:$H$405="")+(職員マスタ!$H$6:$H$405&gt;=$AO2381))&gt;0)*(ROW(職員マスタ!$A$6:$A$405)-5)))&gt;0,SUMPRODUCT(MAX((職員マスタ!$A$6:$A$405=$B2381)*(((職員マスタ!$G$6:$G$405="")+(職員マスタ!$G$6:$G$405&lt;=EOMONTH($AO2381,0)))&gt;0)*(((職員マスタ!$H$6:$H$405="")+(職員マスタ!$H$6:$H$405&gt;=$AO2381))&gt;0)*(ROW(職員マスタ!$A$6:$A$405)-5))),IFERROR(MATCH($B2381,職員マスタ!$A$6:$A$405,0),"")))</f>
        <v/>
      </c>
      <c r="AO2381" s="16">
        <f>IF(OR($B2381="",$C2381="",$D2381=""),"",DATE($C2381+2018,$D2381,1))</f>
        <v/>
      </c>
    </row>
    <row r="2382">
      <c r="A2382" s="11" t="n"/>
      <c r="B2382" s="12" t="n"/>
      <c r="C2382" s="12" t="n"/>
      <c r="D2382" s="12" t="n"/>
      <c r="E2382" s="13" t="n"/>
      <c r="F2382" s="12" t="n"/>
      <c r="G2382" s="13" t="n"/>
      <c r="H2382" s="12" t="n"/>
      <c r="I2382" s="12" t="n"/>
      <c r="J2382" s="12" t="n"/>
      <c r="K2382" s="12" t="n"/>
      <c r="L2382" s="11" t="n"/>
      <c r="M2382" s="11" t="n"/>
      <c r="N2382" s="11" t="n"/>
      <c r="O2382" s="11" t="n"/>
      <c r="P2382" s="12" t="n"/>
      <c r="Q2382" s="11" t="n"/>
      <c r="R2382" s="12" t="n"/>
      <c r="S2382" s="11" t="n"/>
      <c r="T2382" s="12" t="n"/>
      <c r="U2382" s="12" t="n"/>
      <c r="V2382" s="14">
        <f>IF($AN2382="",IF($B2382="","",$H2382),IF(INDEX(職員マスタ!$B$6:$B$405,$AN2382)="",$H2382,INDEX(職員マスタ!$B$6:$B$405,$AN2382)))</f>
        <v/>
      </c>
      <c r="W2382" s="14">
        <f>IF($AN2382="",IF($B2382="","",$R2382),IF(INDEX(職員マスタ!$C$6:$C$405,$AN2382)="",$R2382,INDEX(職員マスタ!$C$6:$C$405,$AN2382)))</f>
        <v/>
      </c>
      <c r="X2382" s="14">
        <f>IF($AO2382="","","R"&amp;$C2382&amp;"."&amp;$D2382)</f>
        <v/>
      </c>
      <c r="Y2382" s="15">
        <f>IF($AN2382="","",IF(INDEX(職員マスタ!$K$6:$K$405,$AN2382)="","",INDEX(職員マスタ!$K$6:$K$405,$AN2382)))</f>
        <v/>
      </c>
      <c r="Z2382" s="14">
        <f>IF(OR($E2382="",$Y2382=""),"",IF($E2382&gt;=$Y2382,"×",IF($E2382&gt;=$Y2382*設定!$C$5,"△","○")))</f>
        <v/>
      </c>
      <c r="AA2382" s="15">
        <f>IF($Z2382="","",IF($Z2382="×",0,IF($Z2382="○",ROUNDDOWN($E2382*設定!$C$4,0),ROUNDDOWN($E2382*ROUND((9*$Y2382-9*$E2382)/(10*$E2382),4),0))))</f>
        <v/>
      </c>
      <c r="AB2382" s="13" t="n"/>
      <c r="AC2382" s="15">
        <f>IF($B2382="","",IF($AB2382&lt;&gt;"",$AB2382,IF($AA2382="","",IF($AA2382&lt;=設定!$C$3,0,$AA2382))))</f>
        <v/>
      </c>
      <c r="AD2382" s="14">
        <f>IF($B2382="","",IF(AND($AE2382&lt;&gt;"",$AG2382="",$AJ2382=""),"保留中",IF($AJ2382&lt;&gt;"",IF(N($AC2382)&gt;0,"支給済","不支給"),IF($AC2382="","要確認",IF($AC2382=0,"不支給","未処理")))))</f>
        <v/>
      </c>
      <c r="AE2382" s="12" t="n"/>
      <c r="AF2382" s="11" t="n"/>
      <c r="AG2382" s="11" t="n"/>
      <c r="AH2382" s="11" t="n"/>
      <c r="AI2382" s="14">
        <f>IF(AND($AD2382="保留中",$AF2382&lt;&gt;""),TODAY()-$AF2382,"")</f>
        <v/>
      </c>
      <c r="AJ2382" s="12" t="n"/>
      <c r="AK2382" s="14">
        <f>IF($B2382="","",IF($AO2382="","対象年月が未入力／","")&amp;IF($B2382="","",IF($AN2382="","職員マスタに未登録の職員番号／",IF($Y2382="","標準報酬月額が未登録／","")&amp;IF(AND($AO2382&lt;&gt;"",OR(AND(INDEX(職員マスタ!$G$6:$G$405,$AN2382)&lt;&gt;"",INDEX(職員マスタ!$G$6:$G$405,$AN2382)&gt;EOMONTH($AO2382,0)),AND(INDEX(職員マスタ!$H$6:$H$405,$AN2382)&lt;&gt;"",INDEX(職員マスタ!$H$6:$H$405,$AN2382)&lt;$AO2382))),"対象月が時短期間外／","")&amp;IF(AND(INDEX(職員マスタ!$F$6:$F$405,$AN2382)&lt;&gt;"",$AO2382&lt;&gt;"",INDEX(職員マスタ!$F$6:$F$405,$AN2382)&lt;$AO2382),"対象月に子が2歳到達済／","")&amp;IF(AND($H2382&lt;&gt;"",INDEX(職員マスタ!$B$6:$B$405,$AN2382)&lt;&gt;"",SUBSTITUTE(SUBSTITUTE($H2382," ","")," ","")&lt;&gt;SUBSTITUTE(SUBSTITUTE(INDEX(職員マスタ!$B$6:$B$405,$AN2382)," ","")," ","")),"氏名がマスタと相違／","")&amp;IF(AND($Q2382&lt;&gt;"",INDEX(職員マスタ!$E$6:$E$405,$AN2382)&lt;&gt;"",$Q2382&lt;&gt;INDEX(職員マスタ!$E$6:$E$405,$AN2382)),"子の生年月日がマスタと相違／","")&amp;IF(AND($L2382&lt;&gt;"",INDEX(職員マスタ!$G$6:$G$405,$AN2382)&lt;&gt;"",$L2382&lt;&gt;INDEX(職員マスタ!$G$6:$G$405,$AN2382)),"時短開始日がマスタと相違／","")&amp;IF(AND($M2382&lt;&gt;"",INDEX(職員マスタ!$H$6:$H$405,$AN2382)&lt;&gt;"",$M2382&lt;&gt;INDEX(職員マスタ!$H$6:$H$405,$AN2382)),"時短終了日がマスタと相違／","")))&amp;IF(AND($B2382&lt;&gt;"",$E2382=""),"報酬額が未入力／","")&amp;IF(N($U2382)&gt;0,"申請書に入力エラーが残っています／","")&amp;IF(AND($B2382&lt;&gt;"",$AO2382&lt;&gt;""),IF(COUNTIFS($B$6:$B$3005,$B2382,$C$6:$C$3005,$C2382,$D$6:$D$3005,$D2382)&gt;1,"同じ月の請求が重複しています／",""),"")&amp;IF(AND(N($E2382)&gt;0,$Z2382&lt;&gt;"",$Z2382&lt;&gt;"×",$AC2382=0,$AB2382=""),"計算額が下限以下のため不支給／",""))</f>
        <v/>
      </c>
      <c r="AL2382" s="12" t="n"/>
      <c r="AM2382" s="14">
        <f>IF($AD2382="保留中",COUNTIF($AD$6:$AD2382,"保留中"),"")</f>
        <v/>
      </c>
      <c r="AN2382" s="14">
        <f>IF($AO2382="","",IF(SUMPRODUCT(MAX((職員マスタ!$A$6:$A$405=$B2382)*(((職員マスタ!$G$6:$G$405="")+(職員マスタ!$G$6:$G$405&lt;=EOMONTH($AO2382,0)))&gt;0)*(((職員マスタ!$H$6:$H$405="")+(職員マスタ!$H$6:$H$405&gt;=$AO2382))&gt;0)*(ROW(職員マスタ!$A$6:$A$405)-5)))&gt;0,SUMPRODUCT(MAX((職員マスタ!$A$6:$A$405=$B2382)*(((職員マスタ!$G$6:$G$405="")+(職員マスタ!$G$6:$G$405&lt;=EOMONTH($AO2382,0)))&gt;0)*(((職員マスタ!$H$6:$H$405="")+(職員マスタ!$H$6:$H$405&gt;=$AO2382))&gt;0)*(ROW(職員マスタ!$A$6:$A$405)-5))),IFERROR(MATCH($B2382,職員マスタ!$A$6:$A$405,0),"")))</f>
        <v/>
      </c>
      <c r="AO2382" s="16">
        <f>IF(OR($B2382="",$C2382="",$D2382=""),"",DATE($C2382+2018,$D2382,1))</f>
        <v/>
      </c>
    </row>
    <row r="2383">
      <c r="A2383" s="11" t="n"/>
      <c r="B2383" s="12" t="n"/>
      <c r="C2383" s="12" t="n"/>
      <c r="D2383" s="12" t="n"/>
      <c r="E2383" s="13" t="n"/>
      <c r="F2383" s="12" t="n"/>
      <c r="G2383" s="13" t="n"/>
      <c r="H2383" s="12" t="n"/>
      <c r="I2383" s="12" t="n"/>
      <c r="J2383" s="12" t="n"/>
      <c r="K2383" s="12" t="n"/>
      <c r="L2383" s="11" t="n"/>
      <c r="M2383" s="11" t="n"/>
      <c r="N2383" s="11" t="n"/>
      <c r="O2383" s="11" t="n"/>
      <c r="P2383" s="12" t="n"/>
      <c r="Q2383" s="11" t="n"/>
      <c r="R2383" s="12" t="n"/>
      <c r="S2383" s="11" t="n"/>
      <c r="T2383" s="12" t="n"/>
      <c r="U2383" s="12" t="n"/>
      <c r="V2383" s="14">
        <f>IF($AN2383="",IF($B2383="","",$H2383),IF(INDEX(職員マスタ!$B$6:$B$405,$AN2383)="",$H2383,INDEX(職員マスタ!$B$6:$B$405,$AN2383)))</f>
        <v/>
      </c>
      <c r="W2383" s="14">
        <f>IF($AN2383="",IF($B2383="","",$R2383),IF(INDEX(職員マスタ!$C$6:$C$405,$AN2383)="",$R2383,INDEX(職員マスタ!$C$6:$C$405,$AN2383)))</f>
        <v/>
      </c>
      <c r="X2383" s="14">
        <f>IF($AO2383="","","R"&amp;$C2383&amp;"."&amp;$D2383)</f>
        <v/>
      </c>
      <c r="Y2383" s="15">
        <f>IF($AN2383="","",IF(INDEX(職員マスタ!$K$6:$K$405,$AN2383)="","",INDEX(職員マスタ!$K$6:$K$405,$AN2383)))</f>
        <v/>
      </c>
      <c r="Z2383" s="14">
        <f>IF(OR($E2383="",$Y2383=""),"",IF($E2383&gt;=$Y2383,"×",IF($E2383&gt;=$Y2383*設定!$C$5,"△","○")))</f>
        <v/>
      </c>
      <c r="AA2383" s="15">
        <f>IF($Z2383="","",IF($Z2383="×",0,IF($Z2383="○",ROUNDDOWN($E2383*設定!$C$4,0),ROUNDDOWN($E2383*ROUND((9*$Y2383-9*$E2383)/(10*$E2383),4),0))))</f>
        <v/>
      </c>
      <c r="AB2383" s="13" t="n"/>
      <c r="AC2383" s="15">
        <f>IF($B2383="","",IF($AB2383&lt;&gt;"",$AB2383,IF($AA2383="","",IF($AA2383&lt;=設定!$C$3,0,$AA2383))))</f>
        <v/>
      </c>
      <c r="AD2383" s="14">
        <f>IF($B2383="","",IF(AND($AE2383&lt;&gt;"",$AG2383="",$AJ2383=""),"保留中",IF($AJ2383&lt;&gt;"",IF(N($AC2383)&gt;0,"支給済","不支給"),IF($AC2383="","要確認",IF($AC2383=0,"不支給","未処理")))))</f>
        <v/>
      </c>
      <c r="AE2383" s="12" t="n"/>
      <c r="AF2383" s="11" t="n"/>
      <c r="AG2383" s="11" t="n"/>
      <c r="AH2383" s="11" t="n"/>
      <c r="AI2383" s="14">
        <f>IF(AND($AD2383="保留中",$AF2383&lt;&gt;""),TODAY()-$AF2383,"")</f>
        <v/>
      </c>
      <c r="AJ2383" s="12" t="n"/>
      <c r="AK2383" s="14">
        <f>IF($B2383="","",IF($AO2383="","対象年月が未入力／","")&amp;IF($B2383="","",IF($AN2383="","職員マスタに未登録の職員番号／",IF($Y2383="","標準報酬月額が未登録／","")&amp;IF(AND($AO2383&lt;&gt;"",OR(AND(INDEX(職員マスタ!$G$6:$G$405,$AN2383)&lt;&gt;"",INDEX(職員マスタ!$G$6:$G$405,$AN2383)&gt;EOMONTH($AO2383,0)),AND(INDEX(職員マスタ!$H$6:$H$405,$AN2383)&lt;&gt;"",INDEX(職員マスタ!$H$6:$H$405,$AN2383)&lt;$AO2383))),"対象月が時短期間外／","")&amp;IF(AND(INDEX(職員マスタ!$F$6:$F$405,$AN2383)&lt;&gt;"",$AO2383&lt;&gt;"",INDEX(職員マスタ!$F$6:$F$405,$AN2383)&lt;$AO2383),"対象月に子が2歳到達済／","")&amp;IF(AND($H2383&lt;&gt;"",INDEX(職員マスタ!$B$6:$B$405,$AN2383)&lt;&gt;"",SUBSTITUTE(SUBSTITUTE($H2383," ","")," ","")&lt;&gt;SUBSTITUTE(SUBSTITUTE(INDEX(職員マスタ!$B$6:$B$405,$AN2383)," ","")," ","")),"氏名がマスタと相違／","")&amp;IF(AND($Q2383&lt;&gt;"",INDEX(職員マスタ!$E$6:$E$405,$AN2383)&lt;&gt;"",$Q2383&lt;&gt;INDEX(職員マスタ!$E$6:$E$405,$AN2383)),"子の生年月日がマスタと相違／","")&amp;IF(AND($L2383&lt;&gt;"",INDEX(職員マスタ!$G$6:$G$405,$AN2383)&lt;&gt;"",$L2383&lt;&gt;INDEX(職員マスタ!$G$6:$G$405,$AN2383)),"時短開始日がマスタと相違／","")&amp;IF(AND($M2383&lt;&gt;"",INDEX(職員マスタ!$H$6:$H$405,$AN2383)&lt;&gt;"",$M2383&lt;&gt;INDEX(職員マスタ!$H$6:$H$405,$AN2383)),"時短終了日がマスタと相違／","")))&amp;IF(AND($B2383&lt;&gt;"",$E2383=""),"報酬額が未入力／","")&amp;IF(N($U2383)&gt;0,"申請書に入力エラーが残っています／","")&amp;IF(AND($B2383&lt;&gt;"",$AO2383&lt;&gt;""),IF(COUNTIFS($B$6:$B$3005,$B2383,$C$6:$C$3005,$C2383,$D$6:$D$3005,$D2383)&gt;1,"同じ月の請求が重複しています／",""),"")&amp;IF(AND(N($E2383)&gt;0,$Z2383&lt;&gt;"",$Z2383&lt;&gt;"×",$AC2383=0,$AB2383=""),"計算額が下限以下のため不支給／",""))</f>
        <v/>
      </c>
      <c r="AL2383" s="12" t="n"/>
      <c r="AM2383" s="14">
        <f>IF($AD2383="保留中",COUNTIF($AD$6:$AD2383,"保留中"),"")</f>
        <v/>
      </c>
      <c r="AN2383" s="14">
        <f>IF($AO2383="","",IF(SUMPRODUCT(MAX((職員マスタ!$A$6:$A$405=$B2383)*(((職員マスタ!$G$6:$G$405="")+(職員マスタ!$G$6:$G$405&lt;=EOMONTH($AO2383,0)))&gt;0)*(((職員マスタ!$H$6:$H$405="")+(職員マスタ!$H$6:$H$405&gt;=$AO2383))&gt;0)*(ROW(職員マスタ!$A$6:$A$405)-5)))&gt;0,SUMPRODUCT(MAX((職員マスタ!$A$6:$A$405=$B2383)*(((職員マスタ!$G$6:$G$405="")+(職員マスタ!$G$6:$G$405&lt;=EOMONTH($AO2383,0)))&gt;0)*(((職員マスタ!$H$6:$H$405="")+(職員マスタ!$H$6:$H$405&gt;=$AO2383))&gt;0)*(ROW(職員マスタ!$A$6:$A$405)-5))),IFERROR(MATCH($B2383,職員マスタ!$A$6:$A$405,0),"")))</f>
        <v/>
      </c>
      <c r="AO2383" s="16">
        <f>IF(OR($B2383="",$C2383="",$D2383=""),"",DATE($C2383+2018,$D2383,1))</f>
        <v/>
      </c>
    </row>
    <row r="2384">
      <c r="A2384" s="11" t="n"/>
      <c r="B2384" s="12" t="n"/>
      <c r="C2384" s="12" t="n"/>
      <c r="D2384" s="12" t="n"/>
      <c r="E2384" s="13" t="n"/>
      <c r="F2384" s="12" t="n"/>
      <c r="G2384" s="13" t="n"/>
      <c r="H2384" s="12" t="n"/>
      <c r="I2384" s="12" t="n"/>
      <c r="J2384" s="12" t="n"/>
      <c r="K2384" s="12" t="n"/>
      <c r="L2384" s="11" t="n"/>
      <c r="M2384" s="11" t="n"/>
      <c r="N2384" s="11" t="n"/>
      <c r="O2384" s="11" t="n"/>
      <c r="P2384" s="12" t="n"/>
      <c r="Q2384" s="11" t="n"/>
      <c r="R2384" s="12" t="n"/>
      <c r="S2384" s="11" t="n"/>
      <c r="T2384" s="12" t="n"/>
      <c r="U2384" s="12" t="n"/>
      <c r="V2384" s="14">
        <f>IF($AN2384="",IF($B2384="","",$H2384),IF(INDEX(職員マスタ!$B$6:$B$405,$AN2384)="",$H2384,INDEX(職員マスタ!$B$6:$B$405,$AN2384)))</f>
        <v/>
      </c>
      <c r="W2384" s="14">
        <f>IF($AN2384="",IF($B2384="","",$R2384),IF(INDEX(職員マスタ!$C$6:$C$405,$AN2384)="",$R2384,INDEX(職員マスタ!$C$6:$C$405,$AN2384)))</f>
        <v/>
      </c>
      <c r="X2384" s="14">
        <f>IF($AO2384="","","R"&amp;$C2384&amp;"."&amp;$D2384)</f>
        <v/>
      </c>
      <c r="Y2384" s="15">
        <f>IF($AN2384="","",IF(INDEX(職員マスタ!$K$6:$K$405,$AN2384)="","",INDEX(職員マスタ!$K$6:$K$405,$AN2384)))</f>
        <v/>
      </c>
      <c r="Z2384" s="14">
        <f>IF(OR($E2384="",$Y2384=""),"",IF($E2384&gt;=$Y2384,"×",IF($E2384&gt;=$Y2384*設定!$C$5,"△","○")))</f>
        <v/>
      </c>
      <c r="AA2384" s="15">
        <f>IF($Z2384="","",IF($Z2384="×",0,IF($Z2384="○",ROUNDDOWN($E2384*設定!$C$4,0),ROUNDDOWN($E2384*ROUND((9*$Y2384-9*$E2384)/(10*$E2384),4),0))))</f>
        <v/>
      </c>
      <c r="AB2384" s="13" t="n"/>
      <c r="AC2384" s="15">
        <f>IF($B2384="","",IF($AB2384&lt;&gt;"",$AB2384,IF($AA2384="","",IF($AA2384&lt;=設定!$C$3,0,$AA2384))))</f>
        <v/>
      </c>
      <c r="AD2384" s="14">
        <f>IF($B2384="","",IF(AND($AE2384&lt;&gt;"",$AG2384="",$AJ2384=""),"保留中",IF($AJ2384&lt;&gt;"",IF(N($AC2384)&gt;0,"支給済","不支給"),IF($AC2384="","要確認",IF($AC2384=0,"不支給","未処理")))))</f>
        <v/>
      </c>
      <c r="AE2384" s="12" t="n"/>
      <c r="AF2384" s="11" t="n"/>
      <c r="AG2384" s="11" t="n"/>
      <c r="AH2384" s="11" t="n"/>
      <c r="AI2384" s="14">
        <f>IF(AND($AD2384="保留中",$AF2384&lt;&gt;""),TODAY()-$AF2384,"")</f>
        <v/>
      </c>
      <c r="AJ2384" s="12" t="n"/>
      <c r="AK2384" s="14">
        <f>IF($B2384="","",IF($AO2384="","対象年月が未入力／","")&amp;IF($B2384="","",IF($AN2384="","職員マスタに未登録の職員番号／",IF($Y2384="","標準報酬月額が未登録／","")&amp;IF(AND($AO2384&lt;&gt;"",OR(AND(INDEX(職員マスタ!$G$6:$G$405,$AN2384)&lt;&gt;"",INDEX(職員マスタ!$G$6:$G$405,$AN2384)&gt;EOMONTH($AO2384,0)),AND(INDEX(職員マスタ!$H$6:$H$405,$AN2384)&lt;&gt;"",INDEX(職員マスタ!$H$6:$H$405,$AN2384)&lt;$AO2384))),"対象月が時短期間外／","")&amp;IF(AND(INDEX(職員マスタ!$F$6:$F$405,$AN2384)&lt;&gt;"",$AO2384&lt;&gt;"",INDEX(職員マスタ!$F$6:$F$405,$AN2384)&lt;$AO2384),"対象月に子が2歳到達済／","")&amp;IF(AND($H2384&lt;&gt;"",INDEX(職員マスタ!$B$6:$B$405,$AN2384)&lt;&gt;"",SUBSTITUTE(SUBSTITUTE($H2384," ","")," ","")&lt;&gt;SUBSTITUTE(SUBSTITUTE(INDEX(職員マスタ!$B$6:$B$405,$AN2384)," ","")," ","")),"氏名がマスタと相違／","")&amp;IF(AND($Q2384&lt;&gt;"",INDEX(職員マスタ!$E$6:$E$405,$AN2384)&lt;&gt;"",$Q2384&lt;&gt;INDEX(職員マスタ!$E$6:$E$405,$AN2384)),"子の生年月日がマスタと相違／","")&amp;IF(AND($L2384&lt;&gt;"",INDEX(職員マスタ!$G$6:$G$405,$AN2384)&lt;&gt;"",$L2384&lt;&gt;INDEX(職員マスタ!$G$6:$G$405,$AN2384)),"時短開始日がマスタと相違／","")&amp;IF(AND($M2384&lt;&gt;"",INDEX(職員マスタ!$H$6:$H$405,$AN2384)&lt;&gt;"",$M2384&lt;&gt;INDEX(職員マスタ!$H$6:$H$405,$AN2384)),"時短終了日がマスタと相違／","")))&amp;IF(AND($B2384&lt;&gt;"",$E2384=""),"報酬額が未入力／","")&amp;IF(N($U2384)&gt;0,"申請書に入力エラーが残っています／","")&amp;IF(AND($B2384&lt;&gt;"",$AO2384&lt;&gt;""),IF(COUNTIFS($B$6:$B$3005,$B2384,$C$6:$C$3005,$C2384,$D$6:$D$3005,$D2384)&gt;1,"同じ月の請求が重複しています／",""),"")&amp;IF(AND(N($E2384)&gt;0,$Z2384&lt;&gt;"",$Z2384&lt;&gt;"×",$AC2384=0,$AB2384=""),"計算額が下限以下のため不支給／",""))</f>
        <v/>
      </c>
      <c r="AL2384" s="12" t="n"/>
      <c r="AM2384" s="14">
        <f>IF($AD2384="保留中",COUNTIF($AD$6:$AD2384,"保留中"),"")</f>
        <v/>
      </c>
      <c r="AN2384" s="14">
        <f>IF($AO2384="","",IF(SUMPRODUCT(MAX((職員マスタ!$A$6:$A$405=$B2384)*(((職員マスタ!$G$6:$G$405="")+(職員マスタ!$G$6:$G$405&lt;=EOMONTH($AO2384,0)))&gt;0)*(((職員マスタ!$H$6:$H$405="")+(職員マスタ!$H$6:$H$405&gt;=$AO2384))&gt;0)*(ROW(職員マスタ!$A$6:$A$405)-5)))&gt;0,SUMPRODUCT(MAX((職員マスタ!$A$6:$A$405=$B2384)*(((職員マスタ!$G$6:$G$405="")+(職員マスタ!$G$6:$G$405&lt;=EOMONTH($AO2384,0)))&gt;0)*(((職員マスタ!$H$6:$H$405="")+(職員マスタ!$H$6:$H$405&gt;=$AO2384))&gt;0)*(ROW(職員マスタ!$A$6:$A$405)-5))),IFERROR(MATCH($B2384,職員マスタ!$A$6:$A$405,0),"")))</f>
        <v/>
      </c>
      <c r="AO2384" s="16">
        <f>IF(OR($B2384="",$C2384="",$D2384=""),"",DATE($C2384+2018,$D2384,1))</f>
        <v/>
      </c>
    </row>
    <row r="2385">
      <c r="A2385" s="11" t="n"/>
      <c r="B2385" s="12" t="n"/>
      <c r="C2385" s="12" t="n"/>
      <c r="D2385" s="12" t="n"/>
      <c r="E2385" s="13" t="n"/>
      <c r="F2385" s="12" t="n"/>
      <c r="G2385" s="13" t="n"/>
      <c r="H2385" s="12" t="n"/>
      <c r="I2385" s="12" t="n"/>
      <c r="J2385" s="12" t="n"/>
      <c r="K2385" s="12" t="n"/>
      <c r="L2385" s="11" t="n"/>
      <c r="M2385" s="11" t="n"/>
      <c r="N2385" s="11" t="n"/>
      <c r="O2385" s="11" t="n"/>
      <c r="P2385" s="12" t="n"/>
      <c r="Q2385" s="11" t="n"/>
      <c r="R2385" s="12" t="n"/>
      <c r="S2385" s="11" t="n"/>
      <c r="T2385" s="12" t="n"/>
      <c r="U2385" s="12" t="n"/>
      <c r="V2385" s="14">
        <f>IF($AN2385="",IF($B2385="","",$H2385),IF(INDEX(職員マスタ!$B$6:$B$405,$AN2385)="",$H2385,INDEX(職員マスタ!$B$6:$B$405,$AN2385)))</f>
        <v/>
      </c>
      <c r="W2385" s="14">
        <f>IF($AN2385="",IF($B2385="","",$R2385),IF(INDEX(職員マスタ!$C$6:$C$405,$AN2385)="",$R2385,INDEX(職員マスタ!$C$6:$C$405,$AN2385)))</f>
        <v/>
      </c>
      <c r="X2385" s="14">
        <f>IF($AO2385="","","R"&amp;$C2385&amp;"."&amp;$D2385)</f>
        <v/>
      </c>
      <c r="Y2385" s="15">
        <f>IF($AN2385="","",IF(INDEX(職員マスタ!$K$6:$K$405,$AN2385)="","",INDEX(職員マスタ!$K$6:$K$405,$AN2385)))</f>
        <v/>
      </c>
      <c r="Z2385" s="14">
        <f>IF(OR($E2385="",$Y2385=""),"",IF($E2385&gt;=$Y2385,"×",IF($E2385&gt;=$Y2385*設定!$C$5,"△","○")))</f>
        <v/>
      </c>
      <c r="AA2385" s="15">
        <f>IF($Z2385="","",IF($Z2385="×",0,IF($Z2385="○",ROUNDDOWN($E2385*設定!$C$4,0),ROUNDDOWN($E2385*ROUND((9*$Y2385-9*$E2385)/(10*$E2385),4),0))))</f>
        <v/>
      </c>
      <c r="AB2385" s="13" t="n"/>
      <c r="AC2385" s="15">
        <f>IF($B2385="","",IF($AB2385&lt;&gt;"",$AB2385,IF($AA2385="","",IF($AA2385&lt;=設定!$C$3,0,$AA2385))))</f>
        <v/>
      </c>
      <c r="AD2385" s="14">
        <f>IF($B2385="","",IF(AND($AE2385&lt;&gt;"",$AG2385="",$AJ2385=""),"保留中",IF($AJ2385&lt;&gt;"",IF(N($AC2385)&gt;0,"支給済","不支給"),IF($AC2385="","要確認",IF($AC2385=0,"不支給","未処理")))))</f>
        <v/>
      </c>
      <c r="AE2385" s="12" t="n"/>
      <c r="AF2385" s="11" t="n"/>
      <c r="AG2385" s="11" t="n"/>
      <c r="AH2385" s="11" t="n"/>
      <c r="AI2385" s="14">
        <f>IF(AND($AD2385="保留中",$AF2385&lt;&gt;""),TODAY()-$AF2385,"")</f>
        <v/>
      </c>
      <c r="AJ2385" s="12" t="n"/>
      <c r="AK2385" s="14">
        <f>IF($B2385="","",IF($AO2385="","対象年月が未入力／","")&amp;IF($B2385="","",IF($AN2385="","職員マスタに未登録の職員番号／",IF($Y2385="","標準報酬月額が未登録／","")&amp;IF(AND($AO2385&lt;&gt;"",OR(AND(INDEX(職員マスタ!$G$6:$G$405,$AN2385)&lt;&gt;"",INDEX(職員マスタ!$G$6:$G$405,$AN2385)&gt;EOMONTH($AO2385,0)),AND(INDEX(職員マスタ!$H$6:$H$405,$AN2385)&lt;&gt;"",INDEX(職員マスタ!$H$6:$H$405,$AN2385)&lt;$AO2385))),"対象月が時短期間外／","")&amp;IF(AND(INDEX(職員マスタ!$F$6:$F$405,$AN2385)&lt;&gt;"",$AO2385&lt;&gt;"",INDEX(職員マスタ!$F$6:$F$405,$AN2385)&lt;$AO2385),"対象月に子が2歳到達済／","")&amp;IF(AND($H2385&lt;&gt;"",INDEX(職員マスタ!$B$6:$B$405,$AN2385)&lt;&gt;"",SUBSTITUTE(SUBSTITUTE($H2385," ","")," ","")&lt;&gt;SUBSTITUTE(SUBSTITUTE(INDEX(職員マスタ!$B$6:$B$405,$AN2385)," ","")," ","")),"氏名がマスタと相違／","")&amp;IF(AND($Q2385&lt;&gt;"",INDEX(職員マスタ!$E$6:$E$405,$AN2385)&lt;&gt;"",$Q2385&lt;&gt;INDEX(職員マスタ!$E$6:$E$405,$AN2385)),"子の生年月日がマスタと相違／","")&amp;IF(AND($L2385&lt;&gt;"",INDEX(職員マスタ!$G$6:$G$405,$AN2385)&lt;&gt;"",$L2385&lt;&gt;INDEX(職員マスタ!$G$6:$G$405,$AN2385)),"時短開始日がマスタと相違／","")&amp;IF(AND($M2385&lt;&gt;"",INDEX(職員マスタ!$H$6:$H$405,$AN2385)&lt;&gt;"",$M2385&lt;&gt;INDEX(職員マスタ!$H$6:$H$405,$AN2385)),"時短終了日がマスタと相違／","")))&amp;IF(AND($B2385&lt;&gt;"",$E2385=""),"報酬額が未入力／","")&amp;IF(N($U2385)&gt;0,"申請書に入力エラーが残っています／","")&amp;IF(AND($B2385&lt;&gt;"",$AO2385&lt;&gt;""),IF(COUNTIFS($B$6:$B$3005,$B2385,$C$6:$C$3005,$C2385,$D$6:$D$3005,$D2385)&gt;1,"同じ月の請求が重複しています／",""),"")&amp;IF(AND(N($E2385)&gt;0,$Z2385&lt;&gt;"",$Z2385&lt;&gt;"×",$AC2385=0,$AB2385=""),"計算額が下限以下のため不支給／",""))</f>
        <v/>
      </c>
      <c r="AL2385" s="12" t="n"/>
      <c r="AM2385" s="14">
        <f>IF($AD2385="保留中",COUNTIF($AD$6:$AD2385,"保留中"),"")</f>
        <v/>
      </c>
      <c r="AN2385" s="14">
        <f>IF($AO2385="","",IF(SUMPRODUCT(MAX((職員マスタ!$A$6:$A$405=$B2385)*(((職員マスタ!$G$6:$G$405="")+(職員マスタ!$G$6:$G$405&lt;=EOMONTH($AO2385,0)))&gt;0)*(((職員マスタ!$H$6:$H$405="")+(職員マスタ!$H$6:$H$405&gt;=$AO2385))&gt;0)*(ROW(職員マスタ!$A$6:$A$405)-5)))&gt;0,SUMPRODUCT(MAX((職員マスタ!$A$6:$A$405=$B2385)*(((職員マスタ!$G$6:$G$405="")+(職員マスタ!$G$6:$G$405&lt;=EOMONTH($AO2385,0)))&gt;0)*(((職員マスタ!$H$6:$H$405="")+(職員マスタ!$H$6:$H$405&gt;=$AO2385))&gt;0)*(ROW(職員マスタ!$A$6:$A$405)-5))),IFERROR(MATCH($B2385,職員マスタ!$A$6:$A$405,0),"")))</f>
        <v/>
      </c>
      <c r="AO2385" s="16">
        <f>IF(OR($B2385="",$C2385="",$D2385=""),"",DATE($C2385+2018,$D2385,1))</f>
        <v/>
      </c>
    </row>
    <row r="2386">
      <c r="A2386" s="11" t="n"/>
      <c r="B2386" s="12" t="n"/>
      <c r="C2386" s="12" t="n"/>
      <c r="D2386" s="12" t="n"/>
      <c r="E2386" s="13" t="n"/>
      <c r="F2386" s="12" t="n"/>
      <c r="G2386" s="13" t="n"/>
      <c r="H2386" s="12" t="n"/>
      <c r="I2386" s="12" t="n"/>
      <c r="J2386" s="12" t="n"/>
      <c r="K2386" s="12" t="n"/>
      <c r="L2386" s="11" t="n"/>
      <c r="M2386" s="11" t="n"/>
      <c r="N2386" s="11" t="n"/>
      <c r="O2386" s="11" t="n"/>
      <c r="P2386" s="12" t="n"/>
      <c r="Q2386" s="11" t="n"/>
      <c r="R2386" s="12" t="n"/>
      <c r="S2386" s="11" t="n"/>
      <c r="T2386" s="12" t="n"/>
      <c r="U2386" s="12" t="n"/>
      <c r="V2386" s="14">
        <f>IF($AN2386="",IF($B2386="","",$H2386),IF(INDEX(職員マスタ!$B$6:$B$405,$AN2386)="",$H2386,INDEX(職員マスタ!$B$6:$B$405,$AN2386)))</f>
        <v/>
      </c>
      <c r="W2386" s="14">
        <f>IF($AN2386="",IF($B2386="","",$R2386),IF(INDEX(職員マスタ!$C$6:$C$405,$AN2386)="",$R2386,INDEX(職員マスタ!$C$6:$C$405,$AN2386)))</f>
        <v/>
      </c>
      <c r="X2386" s="14">
        <f>IF($AO2386="","","R"&amp;$C2386&amp;"."&amp;$D2386)</f>
        <v/>
      </c>
      <c r="Y2386" s="15">
        <f>IF($AN2386="","",IF(INDEX(職員マスタ!$K$6:$K$405,$AN2386)="","",INDEX(職員マスタ!$K$6:$K$405,$AN2386)))</f>
        <v/>
      </c>
      <c r="Z2386" s="14">
        <f>IF(OR($E2386="",$Y2386=""),"",IF($E2386&gt;=$Y2386,"×",IF($E2386&gt;=$Y2386*設定!$C$5,"△","○")))</f>
        <v/>
      </c>
      <c r="AA2386" s="15">
        <f>IF($Z2386="","",IF($Z2386="×",0,IF($Z2386="○",ROUNDDOWN($E2386*設定!$C$4,0),ROUNDDOWN($E2386*ROUND((9*$Y2386-9*$E2386)/(10*$E2386),4),0))))</f>
        <v/>
      </c>
      <c r="AB2386" s="13" t="n"/>
      <c r="AC2386" s="15">
        <f>IF($B2386="","",IF($AB2386&lt;&gt;"",$AB2386,IF($AA2386="","",IF($AA2386&lt;=設定!$C$3,0,$AA2386))))</f>
        <v/>
      </c>
      <c r="AD2386" s="14">
        <f>IF($B2386="","",IF(AND($AE2386&lt;&gt;"",$AG2386="",$AJ2386=""),"保留中",IF($AJ2386&lt;&gt;"",IF(N($AC2386)&gt;0,"支給済","不支給"),IF($AC2386="","要確認",IF($AC2386=0,"不支給","未処理")))))</f>
        <v/>
      </c>
      <c r="AE2386" s="12" t="n"/>
      <c r="AF2386" s="11" t="n"/>
      <c r="AG2386" s="11" t="n"/>
      <c r="AH2386" s="11" t="n"/>
      <c r="AI2386" s="14">
        <f>IF(AND($AD2386="保留中",$AF2386&lt;&gt;""),TODAY()-$AF2386,"")</f>
        <v/>
      </c>
      <c r="AJ2386" s="12" t="n"/>
      <c r="AK2386" s="14">
        <f>IF($B2386="","",IF($AO2386="","対象年月が未入力／","")&amp;IF($B2386="","",IF($AN2386="","職員マスタに未登録の職員番号／",IF($Y2386="","標準報酬月額が未登録／","")&amp;IF(AND($AO2386&lt;&gt;"",OR(AND(INDEX(職員マスタ!$G$6:$G$405,$AN2386)&lt;&gt;"",INDEX(職員マスタ!$G$6:$G$405,$AN2386)&gt;EOMONTH($AO2386,0)),AND(INDEX(職員マスタ!$H$6:$H$405,$AN2386)&lt;&gt;"",INDEX(職員マスタ!$H$6:$H$405,$AN2386)&lt;$AO2386))),"対象月が時短期間外／","")&amp;IF(AND(INDEX(職員マスタ!$F$6:$F$405,$AN2386)&lt;&gt;"",$AO2386&lt;&gt;"",INDEX(職員マスタ!$F$6:$F$405,$AN2386)&lt;$AO2386),"対象月に子が2歳到達済／","")&amp;IF(AND($H2386&lt;&gt;"",INDEX(職員マスタ!$B$6:$B$405,$AN2386)&lt;&gt;"",SUBSTITUTE(SUBSTITUTE($H2386," ","")," ","")&lt;&gt;SUBSTITUTE(SUBSTITUTE(INDEX(職員マスタ!$B$6:$B$405,$AN2386)," ","")," ","")),"氏名がマスタと相違／","")&amp;IF(AND($Q2386&lt;&gt;"",INDEX(職員マスタ!$E$6:$E$405,$AN2386)&lt;&gt;"",$Q2386&lt;&gt;INDEX(職員マスタ!$E$6:$E$405,$AN2386)),"子の生年月日がマスタと相違／","")&amp;IF(AND($L2386&lt;&gt;"",INDEX(職員マスタ!$G$6:$G$405,$AN2386)&lt;&gt;"",$L2386&lt;&gt;INDEX(職員マスタ!$G$6:$G$405,$AN2386)),"時短開始日がマスタと相違／","")&amp;IF(AND($M2386&lt;&gt;"",INDEX(職員マスタ!$H$6:$H$405,$AN2386)&lt;&gt;"",$M2386&lt;&gt;INDEX(職員マスタ!$H$6:$H$405,$AN2386)),"時短終了日がマスタと相違／","")))&amp;IF(AND($B2386&lt;&gt;"",$E2386=""),"報酬額が未入力／","")&amp;IF(N($U2386)&gt;0,"申請書に入力エラーが残っています／","")&amp;IF(AND($B2386&lt;&gt;"",$AO2386&lt;&gt;""),IF(COUNTIFS($B$6:$B$3005,$B2386,$C$6:$C$3005,$C2386,$D$6:$D$3005,$D2386)&gt;1,"同じ月の請求が重複しています／",""),"")&amp;IF(AND(N($E2386)&gt;0,$Z2386&lt;&gt;"",$Z2386&lt;&gt;"×",$AC2386=0,$AB2386=""),"計算額が下限以下のため不支給／",""))</f>
        <v/>
      </c>
      <c r="AL2386" s="12" t="n"/>
      <c r="AM2386" s="14">
        <f>IF($AD2386="保留中",COUNTIF($AD$6:$AD2386,"保留中"),"")</f>
        <v/>
      </c>
      <c r="AN2386" s="14">
        <f>IF($AO2386="","",IF(SUMPRODUCT(MAX((職員マスタ!$A$6:$A$405=$B2386)*(((職員マスタ!$G$6:$G$405="")+(職員マスタ!$G$6:$G$405&lt;=EOMONTH($AO2386,0)))&gt;0)*(((職員マスタ!$H$6:$H$405="")+(職員マスタ!$H$6:$H$405&gt;=$AO2386))&gt;0)*(ROW(職員マスタ!$A$6:$A$405)-5)))&gt;0,SUMPRODUCT(MAX((職員マスタ!$A$6:$A$405=$B2386)*(((職員マスタ!$G$6:$G$405="")+(職員マスタ!$G$6:$G$405&lt;=EOMONTH($AO2386,0)))&gt;0)*(((職員マスタ!$H$6:$H$405="")+(職員マスタ!$H$6:$H$405&gt;=$AO2386))&gt;0)*(ROW(職員マスタ!$A$6:$A$405)-5))),IFERROR(MATCH($B2386,職員マスタ!$A$6:$A$405,0),"")))</f>
        <v/>
      </c>
      <c r="AO2386" s="16">
        <f>IF(OR($B2386="",$C2386="",$D2386=""),"",DATE($C2386+2018,$D2386,1))</f>
        <v/>
      </c>
    </row>
    <row r="2387">
      <c r="A2387" s="11" t="n"/>
      <c r="B2387" s="12" t="n"/>
      <c r="C2387" s="12" t="n"/>
      <c r="D2387" s="12" t="n"/>
      <c r="E2387" s="13" t="n"/>
      <c r="F2387" s="12" t="n"/>
      <c r="G2387" s="13" t="n"/>
      <c r="H2387" s="12" t="n"/>
      <c r="I2387" s="12" t="n"/>
      <c r="J2387" s="12" t="n"/>
      <c r="K2387" s="12" t="n"/>
      <c r="L2387" s="11" t="n"/>
      <c r="M2387" s="11" t="n"/>
      <c r="N2387" s="11" t="n"/>
      <c r="O2387" s="11" t="n"/>
      <c r="P2387" s="12" t="n"/>
      <c r="Q2387" s="11" t="n"/>
      <c r="R2387" s="12" t="n"/>
      <c r="S2387" s="11" t="n"/>
      <c r="T2387" s="12" t="n"/>
      <c r="U2387" s="12" t="n"/>
      <c r="V2387" s="14">
        <f>IF($AN2387="",IF($B2387="","",$H2387),IF(INDEX(職員マスタ!$B$6:$B$405,$AN2387)="",$H2387,INDEX(職員マスタ!$B$6:$B$405,$AN2387)))</f>
        <v/>
      </c>
      <c r="W2387" s="14">
        <f>IF($AN2387="",IF($B2387="","",$R2387),IF(INDEX(職員マスタ!$C$6:$C$405,$AN2387)="",$R2387,INDEX(職員マスタ!$C$6:$C$405,$AN2387)))</f>
        <v/>
      </c>
      <c r="X2387" s="14">
        <f>IF($AO2387="","","R"&amp;$C2387&amp;"."&amp;$D2387)</f>
        <v/>
      </c>
      <c r="Y2387" s="15">
        <f>IF($AN2387="","",IF(INDEX(職員マスタ!$K$6:$K$405,$AN2387)="","",INDEX(職員マスタ!$K$6:$K$405,$AN2387)))</f>
        <v/>
      </c>
      <c r="Z2387" s="14">
        <f>IF(OR($E2387="",$Y2387=""),"",IF($E2387&gt;=$Y2387,"×",IF($E2387&gt;=$Y2387*設定!$C$5,"△","○")))</f>
        <v/>
      </c>
      <c r="AA2387" s="15">
        <f>IF($Z2387="","",IF($Z2387="×",0,IF($Z2387="○",ROUNDDOWN($E2387*設定!$C$4,0),ROUNDDOWN($E2387*ROUND((9*$Y2387-9*$E2387)/(10*$E2387),4),0))))</f>
        <v/>
      </c>
      <c r="AB2387" s="13" t="n"/>
      <c r="AC2387" s="15">
        <f>IF($B2387="","",IF($AB2387&lt;&gt;"",$AB2387,IF($AA2387="","",IF($AA2387&lt;=設定!$C$3,0,$AA2387))))</f>
        <v/>
      </c>
      <c r="AD2387" s="14">
        <f>IF($B2387="","",IF(AND($AE2387&lt;&gt;"",$AG2387="",$AJ2387=""),"保留中",IF($AJ2387&lt;&gt;"",IF(N($AC2387)&gt;0,"支給済","不支給"),IF($AC2387="","要確認",IF($AC2387=0,"不支給","未処理")))))</f>
        <v/>
      </c>
      <c r="AE2387" s="12" t="n"/>
      <c r="AF2387" s="11" t="n"/>
      <c r="AG2387" s="11" t="n"/>
      <c r="AH2387" s="11" t="n"/>
      <c r="AI2387" s="14">
        <f>IF(AND($AD2387="保留中",$AF2387&lt;&gt;""),TODAY()-$AF2387,"")</f>
        <v/>
      </c>
      <c r="AJ2387" s="12" t="n"/>
      <c r="AK2387" s="14">
        <f>IF($B2387="","",IF($AO2387="","対象年月が未入力／","")&amp;IF($B2387="","",IF($AN2387="","職員マスタに未登録の職員番号／",IF($Y2387="","標準報酬月額が未登録／","")&amp;IF(AND($AO2387&lt;&gt;"",OR(AND(INDEX(職員マスタ!$G$6:$G$405,$AN2387)&lt;&gt;"",INDEX(職員マスタ!$G$6:$G$405,$AN2387)&gt;EOMONTH($AO2387,0)),AND(INDEX(職員マスタ!$H$6:$H$405,$AN2387)&lt;&gt;"",INDEX(職員マスタ!$H$6:$H$405,$AN2387)&lt;$AO2387))),"対象月が時短期間外／","")&amp;IF(AND(INDEX(職員マスタ!$F$6:$F$405,$AN2387)&lt;&gt;"",$AO2387&lt;&gt;"",INDEX(職員マスタ!$F$6:$F$405,$AN2387)&lt;$AO2387),"対象月に子が2歳到達済／","")&amp;IF(AND($H2387&lt;&gt;"",INDEX(職員マスタ!$B$6:$B$405,$AN2387)&lt;&gt;"",SUBSTITUTE(SUBSTITUTE($H2387," ","")," ","")&lt;&gt;SUBSTITUTE(SUBSTITUTE(INDEX(職員マスタ!$B$6:$B$405,$AN2387)," ","")," ","")),"氏名がマスタと相違／","")&amp;IF(AND($Q2387&lt;&gt;"",INDEX(職員マスタ!$E$6:$E$405,$AN2387)&lt;&gt;"",$Q2387&lt;&gt;INDEX(職員マスタ!$E$6:$E$405,$AN2387)),"子の生年月日がマスタと相違／","")&amp;IF(AND($L2387&lt;&gt;"",INDEX(職員マスタ!$G$6:$G$405,$AN2387)&lt;&gt;"",$L2387&lt;&gt;INDEX(職員マスタ!$G$6:$G$405,$AN2387)),"時短開始日がマスタと相違／","")&amp;IF(AND($M2387&lt;&gt;"",INDEX(職員マスタ!$H$6:$H$405,$AN2387)&lt;&gt;"",$M2387&lt;&gt;INDEX(職員マスタ!$H$6:$H$405,$AN2387)),"時短終了日がマスタと相違／","")))&amp;IF(AND($B2387&lt;&gt;"",$E2387=""),"報酬額が未入力／","")&amp;IF(N($U2387)&gt;0,"申請書に入力エラーが残っています／","")&amp;IF(AND($B2387&lt;&gt;"",$AO2387&lt;&gt;""),IF(COUNTIFS($B$6:$B$3005,$B2387,$C$6:$C$3005,$C2387,$D$6:$D$3005,$D2387)&gt;1,"同じ月の請求が重複しています／",""),"")&amp;IF(AND(N($E2387)&gt;0,$Z2387&lt;&gt;"",$Z2387&lt;&gt;"×",$AC2387=0,$AB2387=""),"計算額が下限以下のため不支給／",""))</f>
        <v/>
      </c>
      <c r="AL2387" s="12" t="n"/>
      <c r="AM2387" s="14">
        <f>IF($AD2387="保留中",COUNTIF($AD$6:$AD2387,"保留中"),"")</f>
        <v/>
      </c>
      <c r="AN2387" s="14">
        <f>IF($AO2387="","",IF(SUMPRODUCT(MAX((職員マスタ!$A$6:$A$405=$B2387)*(((職員マスタ!$G$6:$G$405="")+(職員マスタ!$G$6:$G$405&lt;=EOMONTH($AO2387,0)))&gt;0)*(((職員マスタ!$H$6:$H$405="")+(職員マスタ!$H$6:$H$405&gt;=$AO2387))&gt;0)*(ROW(職員マスタ!$A$6:$A$405)-5)))&gt;0,SUMPRODUCT(MAX((職員マスタ!$A$6:$A$405=$B2387)*(((職員マスタ!$G$6:$G$405="")+(職員マスタ!$G$6:$G$405&lt;=EOMONTH($AO2387,0)))&gt;0)*(((職員マスタ!$H$6:$H$405="")+(職員マスタ!$H$6:$H$405&gt;=$AO2387))&gt;0)*(ROW(職員マスタ!$A$6:$A$405)-5))),IFERROR(MATCH($B2387,職員マスタ!$A$6:$A$405,0),"")))</f>
        <v/>
      </c>
      <c r="AO2387" s="16">
        <f>IF(OR($B2387="",$C2387="",$D2387=""),"",DATE($C2387+2018,$D2387,1))</f>
        <v/>
      </c>
    </row>
    <row r="2388">
      <c r="A2388" s="11" t="n"/>
      <c r="B2388" s="12" t="n"/>
      <c r="C2388" s="12" t="n"/>
      <c r="D2388" s="12" t="n"/>
      <c r="E2388" s="13" t="n"/>
      <c r="F2388" s="12" t="n"/>
      <c r="G2388" s="13" t="n"/>
      <c r="H2388" s="12" t="n"/>
      <c r="I2388" s="12" t="n"/>
      <c r="J2388" s="12" t="n"/>
      <c r="K2388" s="12" t="n"/>
      <c r="L2388" s="11" t="n"/>
      <c r="M2388" s="11" t="n"/>
      <c r="N2388" s="11" t="n"/>
      <c r="O2388" s="11" t="n"/>
      <c r="P2388" s="12" t="n"/>
      <c r="Q2388" s="11" t="n"/>
      <c r="R2388" s="12" t="n"/>
      <c r="S2388" s="11" t="n"/>
      <c r="T2388" s="12" t="n"/>
      <c r="U2388" s="12" t="n"/>
      <c r="V2388" s="14">
        <f>IF($AN2388="",IF($B2388="","",$H2388),IF(INDEX(職員マスタ!$B$6:$B$405,$AN2388)="",$H2388,INDEX(職員マスタ!$B$6:$B$405,$AN2388)))</f>
        <v/>
      </c>
      <c r="W2388" s="14">
        <f>IF($AN2388="",IF($B2388="","",$R2388),IF(INDEX(職員マスタ!$C$6:$C$405,$AN2388)="",$R2388,INDEX(職員マスタ!$C$6:$C$405,$AN2388)))</f>
        <v/>
      </c>
      <c r="X2388" s="14">
        <f>IF($AO2388="","","R"&amp;$C2388&amp;"."&amp;$D2388)</f>
        <v/>
      </c>
      <c r="Y2388" s="15">
        <f>IF($AN2388="","",IF(INDEX(職員マスタ!$K$6:$K$405,$AN2388)="","",INDEX(職員マスタ!$K$6:$K$405,$AN2388)))</f>
        <v/>
      </c>
      <c r="Z2388" s="14">
        <f>IF(OR($E2388="",$Y2388=""),"",IF($E2388&gt;=$Y2388,"×",IF($E2388&gt;=$Y2388*設定!$C$5,"△","○")))</f>
        <v/>
      </c>
      <c r="AA2388" s="15">
        <f>IF($Z2388="","",IF($Z2388="×",0,IF($Z2388="○",ROUNDDOWN($E2388*設定!$C$4,0),ROUNDDOWN($E2388*ROUND((9*$Y2388-9*$E2388)/(10*$E2388),4),0))))</f>
        <v/>
      </c>
      <c r="AB2388" s="13" t="n"/>
      <c r="AC2388" s="15">
        <f>IF($B2388="","",IF($AB2388&lt;&gt;"",$AB2388,IF($AA2388="","",IF($AA2388&lt;=設定!$C$3,0,$AA2388))))</f>
        <v/>
      </c>
      <c r="AD2388" s="14">
        <f>IF($B2388="","",IF(AND($AE2388&lt;&gt;"",$AG2388="",$AJ2388=""),"保留中",IF($AJ2388&lt;&gt;"",IF(N($AC2388)&gt;0,"支給済","不支給"),IF($AC2388="","要確認",IF($AC2388=0,"不支給","未処理")))))</f>
        <v/>
      </c>
      <c r="AE2388" s="12" t="n"/>
      <c r="AF2388" s="11" t="n"/>
      <c r="AG2388" s="11" t="n"/>
      <c r="AH2388" s="11" t="n"/>
      <c r="AI2388" s="14">
        <f>IF(AND($AD2388="保留中",$AF2388&lt;&gt;""),TODAY()-$AF2388,"")</f>
        <v/>
      </c>
      <c r="AJ2388" s="12" t="n"/>
      <c r="AK2388" s="14">
        <f>IF($B2388="","",IF($AO2388="","対象年月が未入力／","")&amp;IF($B2388="","",IF($AN2388="","職員マスタに未登録の職員番号／",IF($Y2388="","標準報酬月額が未登録／","")&amp;IF(AND($AO2388&lt;&gt;"",OR(AND(INDEX(職員マスタ!$G$6:$G$405,$AN2388)&lt;&gt;"",INDEX(職員マスタ!$G$6:$G$405,$AN2388)&gt;EOMONTH($AO2388,0)),AND(INDEX(職員マスタ!$H$6:$H$405,$AN2388)&lt;&gt;"",INDEX(職員マスタ!$H$6:$H$405,$AN2388)&lt;$AO2388))),"対象月が時短期間外／","")&amp;IF(AND(INDEX(職員マスタ!$F$6:$F$405,$AN2388)&lt;&gt;"",$AO2388&lt;&gt;"",INDEX(職員マスタ!$F$6:$F$405,$AN2388)&lt;$AO2388),"対象月に子が2歳到達済／","")&amp;IF(AND($H2388&lt;&gt;"",INDEX(職員マスタ!$B$6:$B$405,$AN2388)&lt;&gt;"",SUBSTITUTE(SUBSTITUTE($H2388," ","")," ","")&lt;&gt;SUBSTITUTE(SUBSTITUTE(INDEX(職員マスタ!$B$6:$B$405,$AN2388)," ","")," ","")),"氏名がマスタと相違／","")&amp;IF(AND($Q2388&lt;&gt;"",INDEX(職員マスタ!$E$6:$E$405,$AN2388)&lt;&gt;"",$Q2388&lt;&gt;INDEX(職員マスタ!$E$6:$E$405,$AN2388)),"子の生年月日がマスタと相違／","")&amp;IF(AND($L2388&lt;&gt;"",INDEX(職員マスタ!$G$6:$G$405,$AN2388)&lt;&gt;"",$L2388&lt;&gt;INDEX(職員マスタ!$G$6:$G$405,$AN2388)),"時短開始日がマスタと相違／","")&amp;IF(AND($M2388&lt;&gt;"",INDEX(職員マスタ!$H$6:$H$405,$AN2388)&lt;&gt;"",$M2388&lt;&gt;INDEX(職員マスタ!$H$6:$H$405,$AN2388)),"時短終了日がマスタと相違／","")))&amp;IF(AND($B2388&lt;&gt;"",$E2388=""),"報酬額が未入力／","")&amp;IF(N($U2388)&gt;0,"申請書に入力エラーが残っています／","")&amp;IF(AND($B2388&lt;&gt;"",$AO2388&lt;&gt;""),IF(COUNTIFS($B$6:$B$3005,$B2388,$C$6:$C$3005,$C2388,$D$6:$D$3005,$D2388)&gt;1,"同じ月の請求が重複しています／",""),"")&amp;IF(AND(N($E2388)&gt;0,$Z2388&lt;&gt;"",$Z2388&lt;&gt;"×",$AC2388=0,$AB2388=""),"計算額が下限以下のため不支給／",""))</f>
        <v/>
      </c>
      <c r="AL2388" s="12" t="n"/>
      <c r="AM2388" s="14">
        <f>IF($AD2388="保留中",COUNTIF($AD$6:$AD2388,"保留中"),"")</f>
        <v/>
      </c>
      <c r="AN2388" s="14">
        <f>IF($AO2388="","",IF(SUMPRODUCT(MAX((職員マスタ!$A$6:$A$405=$B2388)*(((職員マスタ!$G$6:$G$405="")+(職員マスタ!$G$6:$G$405&lt;=EOMONTH($AO2388,0)))&gt;0)*(((職員マスタ!$H$6:$H$405="")+(職員マスタ!$H$6:$H$405&gt;=$AO2388))&gt;0)*(ROW(職員マスタ!$A$6:$A$405)-5)))&gt;0,SUMPRODUCT(MAX((職員マスタ!$A$6:$A$405=$B2388)*(((職員マスタ!$G$6:$G$405="")+(職員マスタ!$G$6:$G$405&lt;=EOMONTH($AO2388,0)))&gt;0)*(((職員マスタ!$H$6:$H$405="")+(職員マスタ!$H$6:$H$405&gt;=$AO2388))&gt;0)*(ROW(職員マスタ!$A$6:$A$405)-5))),IFERROR(MATCH($B2388,職員マスタ!$A$6:$A$405,0),"")))</f>
        <v/>
      </c>
      <c r="AO2388" s="16">
        <f>IF(OR($B2388="",$C2388="",$D2388=""),"",DATE($C2388+2018,$D2388,1))</f>
        <v/>
      </c>
    </row>
    <row r="2389">
      <c r="A2389" s="11" t="n"/>
      <c r="B2389" s="12" t="n"/>
      <c r="C2389" s="12" t="n"/>
      <c r="D2389" s="12" t="n"/>
      <c r="E2389" s="13" t="n"/>
      <c r="F2389" s="12" t="n"/>
      <c r="G2389" s="13" t="n"/>
      <c r="H2389" s="12" t="n"/>
      <c r="I2389" s="12" t="n"/>
      <c r="J2389" s="12" t="n"/>
      <c r="K2389" s="12" t="n"/>
      <c r="L2389" s="11" t="n"/>
      <c r="M2389" s="11" t="n"/>
      <c r="N2389" s="11" t="n"/>
      <c r="O2389" s="11" t="n"/>
      <c r="P2389" s="12" t="n"/>
      <c r="Q2389" s="11" t="n"/>
      <c r="R2389" s="12" t="n"/>
      <c r="S2389" s="11" t="n"/>
      <c r="T2389" s="12" t="n"/>
      <c r="U2389" s="12" t="n"/>
      <c r="V2389" s="14">
        <f>IF($AN2389="",IF($B2389="","",$H2389),IF(INDEX(職員マスタ!$B$6:$B$405,$AN2389)="",$H2389,INDEX(職員マスタ!$B$6:$B$405,$AN2389)))</f>
        <v/>
      </c>
      <c r="W2389" s="14">
        <f>IF($AN2389="",IF($B2389="","",$R2389),IF(INDEX(職員マスタ!$C$6:$C$405,$AN2389)="",$R2389,INDEX(職員マスタ!$C$6:$C$405,$AN2389)))</f>
        <v/>
      </c>
      <c r="X2389" s="14">
        <f>IF($AO2389="","","R"&amp;$C2389&amp;"."&amp;$D2389)</f>
        <v/>
      </c>
      <c r="Y2389" s="15">
        <f>IF($AN2389="","",IF(INDEX(職員マスタ!$K$6:$K$405,$AN2389)="","",INDEX(職員マスタ!$K$6:$K$405,$AN2389)))</f>
        <v/>
      </c>
      <c r="Z2389" s="14">
        <f>IF(OR($E2389="",$Y2389=""),"",IF($E2389&gt;=$Y2389,"×",IF($E2389&gt;=$Y2389*設定!$C$5,"△","○")))</f>
        <v/>
      </c>
      <c r="AA2389" s="15">
        <f>IF($Z2389="","",IF($Z2389="×",0,IF($Z2389="○",ROUNDDOWN($E2389*設定!$C$4,0),ROUNDDOWN($E2389*ROUND((9*$Y2389-9*$E2389)/(10*$E2389),4),0))))</f>
        <v/>
      </c>
      <c r="AB2389" s="13" t="n"/>
      <c r="AC2389" s="15">
        <f>IF($B2389="","",IF($AB2389&lt;&gt;"",$AB2389,IF($AA2389="","",IF($AA2389&lt;=設定!$C$3,0,$AA2389))))</f>
        <v/>
      </c>
      <c r="AD2389" s="14">
        <f>IF($B2389="","",IF(AND($AE2389&lt;&gt;"",$AG2389="",$AJ2389=""),"保留中",IF($AJ2389&lt;&gt;"",IF(N($AC2389)&gt;0,"支給済","不支給"),IF($AC2389="","要確認",IF($AC2389=0,"不支給","未処理")))))</f>
        <v/>
      </c>
      <c r="AE2389" s="12" t="n"/>
      <c r="AF2389" s="11" t="n"/>
      <c r="AG2389" s="11" t="n"/>
      <c r="AH2389" s="11" t="n"/>
      <c r="AI2389" s="14">
        <f>IF(AND($AD2389="保留中",$AF2389&lt;&gt;""),TODAY()-$AF2389,"")</f>
        <v/>
      </c>
      <c r="AJ2389" s="12" t="n"/>
      <c r="AK2389" s="14">
        <f>IF($B2389="","",IF($AO2389="","対象年月が未入力／","")&amp;IF($B2389="","",IF($AN2389="","職員マスタに未登録の職員番号／",IF($Y2389="","標準報酬月額が未登録／","")&amp;IF(AND($AO2389&lt;&gt;"",OR(AND(INDEX(職員マスタ!$G$6:$G$405,$AN2389)&lt;&gt;"",INDEX(職員マスタ!$G$6:$G$405,$AN2389)&gt;EOMONTH($AO2389,0)),AND(INDEX(職員マスタ!$H$6:$H$405,$AN2389)&lt;&gt;"",INDEX(職員マスタ!$H$6:$H$405,$AN2389)&lt;$AO2389))),"対象月が時短期間外／","")&amp;IF(AND(INDEX(職員マスタ!$F$6:$F$405,$AN2389)&lt;&gt;"",$AO2389&lt;&gt;"",INDEX(職員マスタ!$F$6:$F$405,$AN2389)&lt;$AO2389),"対象月に子が2歳到達済／","")&amp;IF(AND($H2389&lt;&gt;"",INDEX(職員マスタ!$B$6:$B$405,$AN2389)&lt;&gt;"",SUBSTITUTE(SUBSTITUTE($H2389," ","")," ","")&lt;&gt;SUBSTITUTE(SUBSTITUTE(INDEX(職員マスタ!$B$6:$B$405,$AN2389)," ","")," ","")),"氏名がマスタと相違／","")&amp;IF(AND($Q2389&lt;&gt;"",INDEX(職員マスタ!$E$6:$E$405,$AN2389)&lt;&gt;"",$Q2389&lt;&gt;INDEX(職員マスタ!$E$6:$E$405,$AN2389)),"子の生年月日がマスタと相違／","")&amp;IF(AND($L2389&lt;&gt;"",INDEX(職員マスタ!$G$6:$G$405,$AN2389)&lt;&gt;"",$L2389&lt;&gt;INDEX(職員マスタ!$G$6:$G$405,$AN2389)),"時短開始日がマスタと相違／","")&amp;IF(AND($M2389&lt;&gt;"",INDEX(職員マスタ!$H$6:$H$405,$AN2389)&lt;&gt;"",$M2389&lt;&gt;INDEX(職員マスタ!$H$6:$H$405,$AN2389)),"時短終了日がマスタと相違／","")))&amp;IF(AND($B2389&lt;&gt;"",$E2389=""),"報酬額が未入力／","")&amp;IF(N($U2389)&gt;0,"申請書に入力エラーが残っています／","")&amp;IF(AND($B2389&lt;&gt;"",$AO2389&lt;&gt;""),IF(COUNTIFS($B$6:$B$3005,$B2389,$C$6:$C$3005,$C2389,$D$6:$D$3005,$D2389)&gt;1,"同じ月の請求が重複しています／",""),"")&amp;IF(AND(N($E2389)&gt;0,$Z2389&lt;&gt;"",$Z2389&lt;&gt;"×",$AC2389=0,$AB2389=""),"計算額が下限以下のため不支給／",""))</f>
        <v/>
      </c>
      <c r="AL2389" s="12" t="n"/>
      <c r="AM2389" s="14">
        <f>IF($AD2389="保留中",COUNTIF($AD$6:$AD2389,"保留中"),"")</f>
        <v/>
      </c>
      <c r="AN2389" s="14">
        <f>IF($AO2389="","",IF(SUMPRODUCT(MAX((職員マスタ!$A$6:$A$405=$B2389)*(((職員マスタ!$G$6:$G$405="")+(職員マスタ!$G$6:$G$405&lt;=EOMONTH($AO2389,0)))&gt;0)*(((職員マスタ!$H$6:$H$405="")+(職員マスタ!$H$6:$H$405&gt;=$AO2389))&gt;0)*(ROW(職員マスタ!$A$6:$A$405)-5)))&gt;0,SUMPRODUCT(MAX((職員マスタ!$A$6:$A$405=$B2389)*(((職員マスタ!$G$6:$G$405="")+(職員マスタ!$G$6:$G$405&lt;=EOMONTH($AO2389,0)))&gt;0)*(((職員マスタ!$H$6:$H$405="")+(職員マスタ!$H$6:$H$405&gt;=$AO2389))&gt;0)*(ROW(職員マスタ!$A$6:$A$405)-5))),IFERROR(MATCH($B2389,職員マスタ!$A$6:$A$405,0),"")))</f>
        <v/>
      </c>
      <c r="AO2389" s="16">
        <f>IF(OR($B2389="",$C2389="",$D2389=""),"",DATE($C2389+2018,$D2389,1))</f>
        <v/>
      </c>
    </row>
    <row r="2390">
      <c r="A2390" s="11" t="n"/>
      <c r="B2390" s="12" t="n"/>
      <c r="C2390" s="12" t="n"/>
      <c r="D2390" s="12" t="n"/>
      <c r="E2390" s="13" t="n"/>
      <c r="F2390" s="12" t="n"/>
      <c r="G2390" s="13" t="n"/>
      <c r="H2390" s="12" t="n"/>
      <c r="I2390" s="12" t="n"/>
      <c r="J2390" s="12" t="n"/>
      <c r="K2390" s="12" t="n"/>
      <c r="L2390" s="11" t="n"/>
      <c r="M2390" s="11" t="n"/>
      <c r="N2390" s="11" t="n"/>
      <c r="O2390" s="11" t="n"/>
      <c r="P2390" s="12" t="n"/>
      <c r="Q2390" s="11" t="n"/>
      <c r="R2390" s="12" t="n"/>
      <c r="S2390" s="11" t="n"/>
      <c r="T2390" s="12" t="n"/>
      <c r="U2390" s="12" t="n"/>
      <c r="V2390" s="14">
        <f>IF($AN2390="",IF($B2390="","",$H2390),IF(INDEX(職員マスタ!$B$6:$B$405,$AN2390)="",$H2390,INDEX(職員マスタ!$B$6:$B$405,$AN2390)))</f>
        <v/>
      </c>
      <c r="W2390" s="14">
        <f>IF($AN2390="",IF($B2390="","",$R2390),IF(INDEX(職員マスタ!$C$6:$C$405,$AN2390)="",$R2390,INDEX(職員マスタ!$C$6:$C$405,$AN2390)))</f>
        <v/>
      </c>
      <c r="X2390" s="14">
        <f>IF($AO2390="","","R"&amp;$C2390&amp;"."&amp;$D2390)</f>
        <v/>
      </c>
      <c r="Y2390" s="15">
        <f>IF($AN2390="","",IF(INDEX(職員マスタ!$K$6:$K$405,$AN2390)="","",INDEX(職員マスタ!$K$6:$K$405,$AN2390)))</f>
        <v/>
      </c>
      <c r="Z2390" s="14">
        <f>IF(OR($E2390="",$Y2390=""),"",IF($E2390&gt;=$Y2390,"×",IF($E2390&gt;=$Y2390*設定!$C$5,"△","○")))</f>
        <v/>
      </c>
      <c r="AA2390" s="15">
        <f>IF($Z2390="","",IF($Z2390="×",0,IF($Z2390="○",ROUNDDOWN($E2390*設定!$C$4,0),ROUNDDOWN($E2390*ROUND((9*$Y2390-9*$E2390)/(10*$E2390),4),0))))</f>
        <v/>
      </c>
      <c r="AB2390" s="13" t="n"/>
      <c r="AC2390" s="15">
        <f>IF($B2390="","",IF($AB2390&lt;&gt;"",$AB2390,IF($AA2390="","",IF($AA2390&lt;=設定!$C$3,0,$AA2390))))</f>
        <v/>
      </c>
      <c r="AD2390" s="14">
        <f>IF($B2390="","",IF(AND($AE2390&lt;&gt;"",$AG2390="",$AJ2390=""),"保留中",IF($AJ2390&lt;&gt;"",IF(N($AC2390)&gt;0,"支給済","不支給"),IF($AC2390="","要確認",IF($AC2390=0,"不支給","未処理")))))</f>
        <v/>
      </c>
      <c r="AE2390" s="12" t="n"/>
      <c r="AF2390" s="11" t="n"/>
      <c r="AG2390" s="11" t="n"/>
      <c r="AH2390" s="11" t="n"/>
      <c r="AI2390" s="14">
        <f>IF(AND($AD2390="保留中",$AF2390&lt;&gt;""),TODAY()-$AF2390,"")</f>
        <v/>
      </c>
      <c r="AJ2390" s="12" t="n"/>
      <c r="AK2390" s="14">
        <f>IF($B2390="","",IF($AO2390="","対象年月が未入力／","")&amp;IF($B2390="","",IF($AN2390="","職員マスタに未登録の職員番号／",IF($Y2390="","標準報酬月額が未登録／","")&amp;IF(AND($AO2390&lt;&gt;"",OR(AND(INDEX(職員マスタ!$G$6:$G$405,$AN2390)&lt;&gt;"",INDEX(職員マスタ!$G$6:$G$405,$AN2390)&gt;EOMONTH($AO2390,0)),AND(INDEX(職員マスタ!$H$6:$H$405,$AN2390)&lt;&gt;"",INDEX(職員マスタ!$H$6:$H$405,$AN2390)&lt;$AO2390))),"対象月が時短期間外／","")&amp;IF(AND(INDEX(職員マスタ!$F$6:$F$405,$AN2390)&lt;&gt;"",$AO2390&lt;&gt;"",INDEX(職員マスタ!$F$6:$F$405,$AN2390)&lt;$AO2390),"対象月に子が2歳到達済／","")&amp;IF(AND($H2390&lt;&gt;"",INDEX(職員マスタ!$B$6:$B$405,$AN2390)&lt;&gt;"",SUBSTITUTE(SUBSTITUTE($H2390," ","")," ","")&lt;&gt;SUBSTITUTE(SUBSTITUTE(INDEX(職員マスタ!$B$6:$B$405,$AN2390)," ","")," ","")),"氏名がマスタと相違／","")&amp;IF(AND($Q2390&lt;&gt;"",INDEX(職員マスタ!$E$6:$E$405,$AN2390)&lt;&gt;"",$Q2390&lt;&gt;INDEX(職員マスタ!$E$6:$E$405,$AN2390)),"子の生年月日がマスタと相違／","")&amp;IF(AND($L2390&lt;&gt;"",INDEX(職員マスタ!$G$6:$G$405,$AN2390)&lt;&gt;"",$L2390&lt;&gt;INDEX(職員マスタ!$G$6:$G$405,$AN2390)),"時短開始日がマスタと相違／","")&amp;IF(AND($M2390&lt;&gt;"",INDEX(職員マスタ!$H$6:$H$405,$AN2390)&lt;&gt;"",$M2390&lt;&gt;INDEX(職員マスタ!$H$6:$H$405,$AN2390)),"時短終了日がマスタと相違／","")))&amp;IF(AND($B2390&lt;&gt;"",$E2390=""),"報酬額が未入力／","")&amp;IF(N($U2390)&gt;0,"申請書に入力エラーが残っています／","")&amp;IF(AND($B2390&lt;&gt;"",$AO2390&lt;&gt;""),IF(COUNTIFS($B$6:$B$3005,$B2390,$C$6:$C$3005,$C2390,$D$6:$D$3005,$D2390)&gt;1,"同じ月の請求が重複しています／",""),"")&amp;IF(AND(N($E2390)&gt;0,$Z2390&lt;&gt;"",$Z2390&lt;&gt;"×",$AC2390=0,$AB2390=""),"計算額が下限以下のため不支給／",""))</f>
        <v/>
      </c>
      <c r="AL2390" s="12" t="n"/>
      <c r="AM2390" s="14">
        <f>IF($AD2390="保留中",COUNTIF($AD$6:$AD2390,"保留中"),"")</f>
        <v/>
      </c>
      <c r="AN2390" s="14">
        <f>IF($AO2390="","",IF(SUMPRODUCT(MAX((職員マスタ!$A$6:$A$405=$B2390)*(((職員マスタ!$G$6:$G$405="")+(職員マスタ!$G$6:$G$405&lt;=EOMONTH($AO2390,0)))&gt;0)*(((職員マスタ!$H$6:$H$405="")+(職員マスタ!$H$6:$H$405&gt;=$AO2390))&gt;0)*(ROW(職員マスタ!$A$6:$A$405)-5)))&gt;0,SUMPRODUCT(MAX((職員マスタ!$A$6:$A$405=$B2390)*(((職員マスタ!$G$6:$G$405="")+(職員マスタ!$G$6:$G$405&lt;=EOMONTH($AO2390,0)))&gt;0)*(((職員マスタ!$H$6:$H$405="")+(職員マスタ!$H$6:$H$405&gt;=$AO2390))&gt;0)*(ROW(職員マスタ!$A$6:$A$405)-5))),IFERROR(MATCH($B2390,職員マスタ!$A$6:$A$405,0),"")))</f>
        <v/>
      </c>
      <c r="AO2390" s="16">
        <f>IF(OR($B2390="",$C2390="",$D2390=""),"",DATE($C2390+2018,$D2390,1))</f>
        <v/>
      </c>
    </row>
    <row r="2391">
      <c r="A2391" s="11" t="n"/>
      <c r="B2391" s="12" t="n"/>
      <c r="C2391" s="12" t="n"/>
      <c r="D2391" s="12" t="n"/>
      <c r="E2391" s="13" t="n"/>
      <c r="F2391" s="12" t="n"/>
      <c r="G2391" s="13" t="n"/>
      <c r="H2391" s="12" t="n"/>
      <c r="I2391" s="12" t="n"/>
      <c r="J2391" s="12" t="n"/>
      <c r="K2391" s="12" t="n"/>
      <c r="L2391" s="11" t="n"/>
      <c r="M2391" s="11" t="n"/>
      <c r="N2391" s="11" t="n"/>
      <c r="O2391" s="11" t="n"/>
      <c r="P2391" s="12" t="n"/>
      <c r="Q2391" s="11" t="n"/>
      <c r="R2391" s="12" t="n"/>
      <c r="S2391" s="11" t="n"/>
      <c r="T2391" s="12" t="n"/>
      <c r="U2391" s="12" t="n"/>
      <c r="V2391" s="14">
        <f>IF($AN2391="",IF($B2391="","",$H2391),IF(INDEX(職員マスタ!$B$6:$B$405,$AN2391)="",$H2391,INDEX(職員マスタ!$B$6:$B$405,$AN2391)))</f>
        <v/>
      </c>
      <c r="W2391" s="14">
        <f>IF($AN2391="",IF($B2391="","",$R2391),IF(INDEX(職員マスタ!$C$6:$C$405,$AN2391)="",$R2391,INDEX(職員マスタ!$C$6:$C$405,$AN2391)))</f>
        <v/>
      </c>
      <c r="X2391" s="14">
        <f>IF($AO2391="","","R"&amp;$C2391&amp;"."&amp;$D2391)</f>
        <v/>
      </c>
      <c r="Y2391" s="15">
        <f>IF($AN2391="","",IF(INDEX(職員マスタ!$K$6:$K$405,$AN2391)="","",INDEX(職員マスタ!$K$6:$K$405,$AN2391)))</f>
        <v/>
      </c>
      <c r="Z2391" s="14">
        <f>IF(OR($E2391="",$Y2391=""),"",IF($E2391&gt;=$Y2391,"×",IF($E2391&gt;=$Y2391*設定!$C$5,"△","○")))</f>
        <v/>
      </c>
      <c r="AA2391" s="15">
        <f>IF($Z2391="","",IF($Z2391="×",0,IF($Z2391="○",ROUNDDOWN($E2391*設定!$C$4,0),ROUNDDOWN($E2391*ROUND((9*$Y2391-9*$E2391)/(10*$E2391),4),0))))</f>
        <v/>
      </c>
      <c r="AB2391" s="13" t="n"/>
      <c r="AC2391" s="15">
        <f>IF($B2391="","",IF($AB2391&lt;&gt;"",$AB2391,IF($AA2391="","",IF($AA2391&lt;=設定!$C$3,0,$AA2391))))</f>
        <v/>
      </c>
      <c r="AD2391" s="14">
        <f>IF($B2391="","",IF(AND($AE2391&lt;&gt;"",$AG2391="",$AJ2391=""),"保留中",IF($AJ2391&lt;&gt;"",IF(N($AC2391)&gt;0,"支給済","不支給"),IF($AC2391="","要確認",IF($AC2391=0,"不支給","未処理")))))</f>
        <v/>
      </c>
      <c r="AE2391" s="12" t="n"/>
      <c r="AF2391" s="11" t="n"/>
      <c r="AG2391" s="11" t="n"/>
      <c r="AH2391" s="11" t="n"/>
      <c r="AI2391" s="14">
        <f>IF(AND($AD2391="保留中",$AF2391&lt;&gt;""),TODAY()-$AF2391,"")</f>
        <v/>
      </c>
      <c r="AJ2391" s="12" t="n"/>
      <c r="AK2391" s="14">
        <f>IF($B2391="","",IF($AO2391="","対象年月が未入力／","")&amp;IF($B2391="","",IF($AN2391="","職員マスタに未登録の職員番号／",IF($Y2391="","標準報酬月額が未登録／","")&amp;IF(AND($AO2391&lt;&gt;"",OR(AND(INDEX(職員マスタ!$G$6:$G$405,$AN2391)&lt;&gt;"",INDEX(職員マスタ!$G$6:$G$405,$AN2391)&gt;EOMONTH($AO2391,0)),AND(INDEX(職員マスタ!$H$6:$H$405,$AN2391)&lt;&gt;"",INDEX(職員マスタ!$H$6:$H$405,$AN2391)&lt;$AO2391))),"対象月が時短期間外／","")&amp;IF(AND(INDEX(職員マスタ!$F$6:$F$405,$AN2391)&lt;&gt;"",$AO2391&lt;&gt;"",INDEX(職員マスタ!$F$6:$F$405,$AN2391)&lt;$AO2391),"対象月に子が2歳到達済／","")&amp;IF(AND($H2391&lt;&gt;"",INDEX(職員マスタ!$B$6:$B$405,$AN2391)&lt;&gt;"",SUBSTITUTE(SUBSTITUTE($H2391," ","")," ","")&lt;&gt;SUBSTITUTE(SUBSTITUTE(INDEX(職員マスタ!$B$6:$B$405,$AN2391)," ","")," ","")),"氏名がマスタと相違／","")&amp;IF(AND($Q2391&lt;&gt;"",INDEX(職員マスタ!$E$6:$E$405,$AN2391)&lt;&gt;"",$Q2391&lt;&gt;INDEX(職員マスタ!$E$6:$E$405,$AN2391)),"子の生年月日がマスタと相違／","")&amp;IF(AND($L2391&lt;&gt;"",INDEX(職員マスタ!$G$6:$G$405,$AN2391)&lt;&gt;"",$L2391&lt;&gt;INDEX(職員マスタ!$G$6:$G$405,$AN2391)),"時短開始日がマスタと相違／","")&amp;IF(AND($M2391&lt;&gt;"",INDEX(職員マスタ!$H$6:$H$405,$AN2391)&lt;&gt;"",$M2391&lt;&gt;INDEX(職員マスタ!$H$6:$H$405,$AN2391)),"時短終了日がマスタと相違／","")))&amp;IF(AND($B2391&lt;&gt;"",$E2391=""),"報酬額が未入力／","")&amp;IF(N($U2391)&gt;0,"申請書に入力エラーが残っています／","")&amp;IF(AND($B2391&lt;&gt;"",$AO2391&lt;&gt;""),IF(COUNTIFS($B$6:$B$3005,$B2391,$C$6:$C$3005,$C2391,$D$6:$D$3005,$D2391)&gt;1,"同じ月の請求が重複しています／",""),"")&amp;IF(AND(N($E2391)&gt;0,$Z2391&lt;&gt;"",$Z2391&lt;&gt;"×",$AC2391=0,$AB2391=""),"計算額が下限以下のため不支給／",""))</f>
        <v/>
      </c>
      <c r="AL2391" s="12" t="n"/>
      <c r="AM2391" s="14">
        <f>IF($AD2391="保留中",COUNTIF($AD$6:$AD2391,"保留中"),"")</f>
        <v/>
      </c>
      <c r="AN2391" s="14">
        <f>IF($AO2391="","",IF(SUMPRODUCT(MAX((職員マスタ!$A$6:$A$405=$B2391)*(((職員マスタ!$G$6:$G$405="")+(職員マスタ!$G$6:$G$405&lt;=EOMONTH($AO2391,0)))&gt;0)*(((職員マスタ!$H$6:$H$405="")+(職員マスタ!$H$6:$H$405&gt;=$AO2391))&gt;0)*(ROW(職員マスタ!$A$6:$A$405)-5)))&gt;0,SUMPRODUCT(MAX((職員マスタ!$A$6:$A$405=$B2391)*(((職員マスタ!$G$6:$G$405="")+(職員マスタ!$G$6:$G$405&lt;=EOMONTH($AO2391,0)))&gt;0)*(((職員マスタ!$H$6:$H$405="")+(職員マスタ!$H$6:$H$405&gt;=$AO2391))&gt;0)*(ROW(職員マスタ!$A$6:$A$405)-5))),IFERROR(MATCH($B2391,職員マスタ!$A$6:$A$405,0),"")))</f>
        <v/>
      </c>
      <c r="AO2391" s="16">
        <f>IF(OR($B2391="",$C2391="",$D2391=""),"",DATE($C2391+2018,$D2391,1))</f>
        <v/>
      </c>
    </row>
    <row r="2392">
      <c r="A2392" s="11" t="n"/>
      <c r="B2392" s="12" t="n"/>
      <c r="C2392" s="12" t="n"/>
      <c r="D2392" s="12" t="n"/>
      <c r="E2392" s="13" t="n"/>
      <c r="F2392" s="12" t="n"/>
      <c r="G2392" s="13" t="n"/>
      <c r="H2392" s="12" t="n"/>
      <c r="I2392" s="12" t="n"/>
      <c r="J2392" s="12" t="n"/>
      <c r="K2392" s="12" t="n"/>
      <c r="L2392" s="11" t="n"/>
      <c r="M2392" s="11" t="n"/>
      <c r="N2392" s="11" t="n"/>
      <c r="O2392" s="11" t="n"/>
      <c r="P2392" s="12" t="n"/>
      <c r="Q2392" s="11" t="n"/>
      <c r="R2392" s="12" t="n"/>
      <c r="S2392" s="11" t="n"/>
      <c r="T2392" s="12" t="n"/>
      <c r="U2392" s="12" t="n"/>
      <c r="V2392" s="14">
        <f>IF($AN2392="",IF($B2392="","",$H2392),IF(INDEX(職員マスタ!$B$6:$B$405,$AN2392)="",$H2392,INDEX(職員マスタ!$B$6:$B$405,$AN2392)))</f>
        <v/>
      </c>
      <c r="W2392" s="14">
        <f>IF($AN2392="",IF($B2392="","",$R2392),IF(INDEX(職員マスタ!$C$6:$C$405,$AN2392)="",$R2392,INDEX(職員マスタ!$C$6:$C$405,$AN2392)))</f>
        <v/>
      </c>
      <c r="X2392" s="14">
        <f>IF($AO2392="","","R"&amp;$C2392&amp;"."&amp;$D2392)</f>
        <v/>
      </c>
      <c r="Y2392" s="15">
        <f>IF($AN2392="","",IF(INDEX(職員マスタ!$K$6:$K$405,$AN2392)="","",INDEX(職員マスタ!$K$6:$K$405,$AN2392)))</f>
        <v/>
      </c>
      <c r="Z2392" s="14">
        <f>IF(OR($E2392="",$Y2392=""),"",IF($E2392&gt;=$Y2392,"×",IF($E2392&gt;=$Y2392*設定!$C$5,"△","○")))</f>
        <v/>
      </c>
      <c r="AA2392" s="15">
        <f>IF($Z2392="","",IF($Z2392="×",0,IF($Z2392="○",ROUNDDOWN($E2392*設定!$C$4,0),ROUNDDOWN($E2392*ROUND((9*$Y2392-9*$E2392)/(10*$E2392),4),0))))</f>
        <v/>
      </c>
      <c r="AB2392" s="13" t="n"/>
      <c r="AC2392" s="15">
        <f>IF($B2392="","",IF($AB2392&lt;&gt;"",$AB2392,IF($AA2392="","",IF($AA2392&lt;=設定!$C$3,0,$AA2392))))</f>
        <v/>
      </c>
      <c r="AD2392" s="14">
        <f>IF($B2392="","",IF(AND($AE2392&lt;&gt;"",$AG2392="",$AJ2392=""),"保留中",IF($AJ2392&lt;&gt;"",IF(N($AC2392)&gt;0,"支給済","不支給"),IF($AC2392="","要確認",IF($AC2392=0,"不支給","未処理")))))</f>
        <v/>
      </c>
      <c r="AE2392" s="12" t="n"/>
      <c r="AF2392" s="11" t="n"/>
      <c r="AG2392" s="11" t="n"/>
      <c r="AH2392" s="11" t="n"/>
      <c r="AI2392" s="14">
        <f>IF(AND($AD2392="保留中",$AF2392&lt;&gt;""),TODAY()-$AF2392,"")</f>
        <v/>
      </c>
      <c r="AJ2392" s="12" t="n"/>
      <c r="AK2392" s="14">
        <f>IF($B2392="","",IF($AO2392="","対象年月が未入力／","")&amp;IF($B2392="","",IF($AN2392="","職員マスタに未登録の職員番号／",IF($Y2392="","標準報酬月額が未登録／","")&amp;IF(AND($AO2392&lt;&gt;"",OR(AND(INDEX(職員マスタ!$G$6:$G$405,$AN2392)&lt;&gt;"",INDEX(職員マスタ!$G$6:$G$405,$AN2392)&gt;EOMONTH($AO2392,0)),AND(INDEX(職員マスタ!$H$6:$H$405,$AN2392)&lt;&gt;"",INDEX(職員マスタ!$H$6:$H$405,$AN2392)&lt;$AO2392))),"対象月が時短期間外／","")&amp;IF(AND(INDEX(職員マスタ!$F$6:$F$405,$AN2392)&lt;&gt;"",$AO2392&lt;&gt;"",INDEX(職員マスタ!$F$6:$F$405,$AN2392)&lt;$AO2392),"対象月に子が2歳到達済／","")&amp;IF(AND($H2392&lt;&gt;"",INDEX(職員マスタ!$B$6:$B$405,$AN2392)&lt;&gt;"",SUBSTITUTE(SUBSTITUTE($H2392," ","")," ","")&lt;&gt;SUBSTITUTE(SUBSTITUTE(INDEX(職員マスタ!$B$6:$B$405,$AN2392)," ","")," ","")),"氏名がマスタと相違／","")&amp;IF(AND($Q2392&lt;&gt;"",INDEX(職員マスタ!$E$6:$E$405,$AN2392)&lt;&gt;"",$Q2392&lt;&gt;INDEX(職員マスタ!$E$6:$E$405,$AN2392)),"子の生年月日がマスタと相違／","")&amp;IF(AND($L2392&lt;&gt;"",INDEX(職員マスタ!$G$6:$G$405,$AN2392)&lt;&gt;"",$L2392&lt;&gt;INDEX(職員マスタ!$G$6:$G$405,$AN2392)),"時短開始日がマスタと相違／","")&amp;IF(AND($M2392&lt;&gt;"",INDEX(職員マスタ!$H$6:$H$405,$AN2392)&lt;&gt;"",$M2392&lt;&gt;INDEX(職員マスタ!$H$6:$H$405,$AN2392)),"時短終了日がマスタと相違／","")))&amp;IF(AND($B2392&lt;&gt;"",$E2392=""),"報酬額が未入力／","")&amp;IF(N($U2392)&gt;0,"申請書に入力エラーが残っています／","")&amp;IF(AND($B2392&lt;&gt;"",$AO2392&lt;&gt;""),IF(COUNTIFS($B$6:$B$3005,$B2392,$C$6:$C$3005,$C2392,$D$6:$D$3005,$D2392)&gt;1,"同じ月の請求が重複しています／",""),"")&amp;IF(AND(N($E2392)&gt;0,$Z2392&lt;&gt;"",$Z2392&lt;&gt;"×",$AC2392=0,$AB2392=""),"計算額が下限以下のため不支給／",""))</f>
        <v/>
      </c>
      <c r="AL2392" s="12" t="n"/>
      <c r="AM2392" s="14">
        <f>IF($AD2392="保留中",COUNTIF($AD$6:$AD2392,"保留中"),"")</f>
        <v/>
      </c>
      <c r="AN2392" s="14">
        <f>IF($AO2392="","",IF(SUMPRODUCT(MAX((職員マスタ!$A$6:$A$405=$B2392)*(((職員マスタ!$G$6:$G$405="")+(職員マスタ!$G$6:$G$405&lt;=EOMONTH($AO2392,0)))&gt;0)*(((職員マスタ!$H$6:$H$405="")+(職員マスタ!$H$6:$H$405&gt;=$AO2392))&gt;0)*(ROW(職員マスタ!$A$6:$A$405)-5)))&gt;0,SUMPRODUCT(MAX((職員マスタ!$A$6:$A$405=$B2392)*(((職員マスタ!$G$6:$G$405="")+(職員マスタ!$G$6:$G$405&lt;=EOMONTH($AO2392,0)))&gt;0)*(((職員マスタ!$H$6:$H$405="")+(職員マスタ!$H$6:$H$405&gt;=$AO2392))&gt;0)*(ROW(職員マスタ!$A$6:$A$405)-5))),IFERROR(MATCH($B2392,職員マスタ!$A$6:$A$405,0),"")))</f>
        <v/>
      </c>
      <c r="AO2392" s="16">
        <f>IF(OR($B2392="",$C2392="",$D2392=""),"",DATE($C2392+2018,$D2392,1))</f>
        <v/>
      </c>
    </row>
    <row r="2393">
      <c r="A2393" s="11" t="n"/>
      <c r="B2393" s="12" t="n"/>
      <c r="C2393" s="12" t="n"/>
      <c r="D2393" s="12" t="n"/>
      <c r="E2393" s="13" t="n"/>
      <c r="F2393" s="12" t="n"/>
      <c r="G2393" s="13" t="n"/>
      <c r="H2393" s="12" t="n"/>
      <c r="I2393" s="12" t="n"/>
      <c r="J2393" s="12" t="n"/>
      <c r="K2393" s="12" t="n"/>
      <c r="L2393" s="11" t="n"/>
      <c r="M2393" s="11" t="n"/>
      <c r="N2393" s="11" t="n"/>
      <c r="O2393" s="11" t="n"/>
      <c r="P2393" s="12" t="n"/>
      <c r="Q2393" s="11" t="n"/>
      <c r="R2393" s="12" t="n"/>
      <c r="S2393" s="11" t="n"/>
      <c r="T2393" s="12" t="n"/>
      <c r="U2393" s="12" t="n"/>
      <c r="V2393" s="14">
        <f>IF($AN2393="",IF($B2393="","",$H2393),IF(INDEX(職員マスタ!$B$6:$B$405,$AN2393)="",$H2393,INDEX(職員マスタ!$B$6:$B$405,$AN2393)))</f>
        <v/>
      </c>
      <c r="W2393" s="14">
        <f>IF($AN2393="",IF($B2393="","",$R2393),IF(INDEX(職員マスタ!$C$6:$C$405,$AN2393)="",$R2393,INDEX(職員マスタ!$C$6:$C$405,$AN2393)))</f>
        <v/>
      </c>
      <c r="X2393" s="14">
        <f>IF($AO2393="","","R"&amp;$C2393&amp;"."&amp;$D2393)</f>
        <v/>
      </c>
      <c r="Y2393" s="15">
        <f>IF($AN2393="","",IF(INDEX(職員マスタ!$K$6:$K$405,$AN2393)="","",INDEX(職員マスタ!$K$6:$K$405,$AN2393)))</f>
        <v/>
      </c>
      <c r="Z2393" s="14">
        <f>IF(OR($E2393="",$Y2393=""),"",IF($E2393&gt;=$Y2393,"×",IF($E2393&gt;=$Y2393*設定!$C$5,"△","○")))</f>
        <v/>
      </c>
      <c r="AA2393" s="15">
        <f>IF($Z2393="","",IF($Z2393="×",0,IF($Z2393="○",ROUNDDOWN($E2393*設定!$C$4,0),ROUNDDOWN($E2393*ROUND((9*$Y2393-9*$E2393)/(10*$E2393),4),0))))</f>
        <v/>
      </c>
      <c r="AB2393" s="13" t="n"/>
      <c r="AC2393" s="15">
        <f>IF($B2393="","",IF($AB2393&lt;&gt;"",$AB2393,IF($AA2393="","",IF($AA2393&lt;=設定!$C$3,0,$AA2393))))</f>
        <v/>
      </c>
      <c r="AD2393" s="14">
        <f>IF($B2393="","",IF(AND($AE2393&lt;&gt;"",$AG2393="",$AJ2393=""),"保留中",IF($AJ2393&lt;&gt;"",IF(N($AC2393)&gt;0,"支給済","不支給"),IF($AC2393="","要確認",IF($AC2393=0,"不支給","未処理")))))</f>
        <v/>
      </c>
      <c r="AE2393" s="12" t="n"/>
      <c r="AF2393" s="11" t="n"/>
      <c r="AG2393" s="11" t="n"/>
      <c r="AH2393" s="11" t="n"/>
      <c r="AI2393" s="14">
        <f>IF(AND($AD2393="保留中",$AF2393&lt;&gt;""),TODAY()-$AF2393,"")</f>
        <v/>
      </c>
      <c r="AJ2393" s="12" t="n"/>
      <c r="AK2393" s="14">
        <f>IF($B2393="","",IF($AO2393="","対象年月が未入力／","")&amp;IF($B2393="","",IF($AN2393="","職員マスタに未登録の職員番号／",IF($Y2393="","標準報酬月額が未登録／","")&amp;IF(AND($AO2393&lt;&gt;"",OR(AND(INDEX(職員マスタ!$G$6:$G$405,$AN2393)&lt;&gt;"",INDEX(職員マスタ!$G$6:$G$405,$AN2393)&gt;EOMONTH($AO2393,0)),AND(INDEX(職員マスタ!$H$6:$H$405,$AN2393)&lt;&gt;"",INDEX(職員マスタ!$H$6:$H$405,$AN2393)&lt;$AO2393))),"対象月が時短期間外／","")&amp;IF(AND(INDEX(職員マスタ!$F$6:$F$405,$AN2393)&lt;&gt;"",$AO2393&lt;&gt;"",INDEX(職員マスタ!$F$6:$F$405,$AN2393)&lt;$AO2393),"対象月に子が2歳到達済／","")&amp;IF(AND($H2393&lt;&gt;"",INDEX(職員マスタ!$B$6:$B$405,$AN2393)&lt;&gt;"",SUBSTITUTE(SUBSTITUTE($H2393," ","")," ","")&lt;&gt;SUBSTITUTE(SUBSTITUTE(INDEX(職員マスタ!$B$6:$B$405,$AN2393)," ","")," ","")),"氏名がマスタと相違／","")&amp;IF(AND($Q2393&lt;&gt;"",INDEX(職員マスタ!$E$6:$E$405,$AN2393)&lt;&gt;"",$Q2393&lt;&gt;INDEX(職員マスタ!$E$6:$E$405,$AN2393)),"子の生年月日がマスタと相違／","")&amp;IF(AND($L2393&lt;&gt;"",INDEX(職員マスタ!$G$6:$G$405,$AN2393)&lt;&gt;"",$L2393&lt;&gt;INDEX(職員マスタ!$G$6:$G$405,$AN2393)),"時短開始日がマスタと相違／","")&amp;IF(AND($M2393&lt;&gt;"",INDEX(職員マスタ!$H$6:$H$405,$AN2393)&lt;&gt;"",$M2393&lt;&gt;INDEX(職員マスタ!$H$6:$H$405,$AN2393)),"時短終了日がマスタと相違／","")))&amp;IF(AND($B2393&lt;&gt;"",$E2393=""),"報酬額が未入力／","")&amp;IF(N($U2393)&gt;0,"申請書に入力エラーが残っています／","")&amp;IF(AND($B2393&lt;&gt;"",$AO2393&lt;&gt;""),IF(COUNTIFS($B$6:$B$3005,$B2393,$C$6:$C$3005,$C2393,$D$6:$D$3005,$D2393)&gt;1,"同じ月の請求が重複しています／",""),"")&amp;IF(AND(N($E2393)&gt;0,$Z2393&lt;&gt;"",$Z2393&lt;&gt;"×",$AC2393=0,$AB2393=""),"計算額が下限以下のため不支給／",""))</f>
        <v/>
      </c>
      <c r="AL2393" s="12" t="n"/>
      <c r="AM2393" s="14">
        <f>IF($AD2393="保留中",COUNTIF($AD$6:$AD2393,"保留中"),"")</f>
        <v/>
      </c>
      <c r="AN2393" s="14">
        <f>IF($AO2393="","",IF(SUMPRODUCT(MAX((職員マスタ!$A$6:$A$405=$B2393)*(((職員マスタ!$G$6:$G$405="")+(職員マスタ!$G$6:$G$405&lt;=EOMONTH($AO2393,0)))&gt;0)*(((職員マスタ!$H$6:$H$405="")+(職員マスタ!$H$6:$H$405&gt;=$AO2393))&gt;0)*(ROW(職員マスタ!$A$6:$A$405)-5)))&gt;0,SUMPRODUCT(MAX((職員マスタ!$A$6:$A$405=$B2393)*(((職員マスタ!$G$6:$G$405="")+(職員マスタ!$G$6:$G$405&lt;=EOMONTH($AO2393,0)))&gt;0)*(((職員マスタ!$H$6:$H$405="")+(職員マスタ!$H$6:$H$405&gt;=$AO2393))&gt;0)*(ROW(職員マスタ!$A$6:$A$405)-5))),IFERROR(MATCH($B2393,職員マスタ!$A$6:$A$405,0),"")))</f>
        <v/>
      </c>
      <c r="AO2393" s="16">
        <f>IF(OR($B2393="",$C2393="",$D2393=""),"",DATE($C2393+2018,$D2393,1))</f>
        <v/>
      </c>
    </row>
    <row r="2394">
      <c r="A2394" s="11" t="n"/>
      <c r="B2394" s="12" t="n"/>
      <c r="C2394" s="12" t="n"/>
      <c r="D2394" s="12" t="n"/>
      <c r="E2394" s="13" t="n"/>
      <c r="F2394" s="12" t="n"/>
      <c r="G2394" s="13" t="n"/>
      <c r="H2394" s="12" t="n"/>
      <c r="I2394" s="12" t="n"/>
      <c r="J2394" s="12" t="n"/>
      <c r="K2394" s="12" t="n"/>
      <c r="L2394" s="11" t="n"/>
      <c r="M2394" s="11" t="n"/>
      <c r="N2394" s="11" t="n"/>
      <c r="O2394" s="11" t="n"/>
      <c r="P2394" s="12" t="n"/>
      <c r="Q2394" s="11" t="n"/>
      <c r="R2394" s="12" t="n"/>
      <c r="S2394" s="11" t="n"/>
      <c r="T2394" s="12" t="n"/>
      <c r="U2394" s="12" t="n"/>
      <c r="V2394" s="14">
        <f>IF($AN2394="",IF($B2394="","",$H2394),IF(INDEX(職員マスタ!$B$6:$B$405,$AN2394)="",$H2394,INDEX(職員マスタ!$B$6:$B$405,$AN2394)))</f>
        <v/>
      </c>
      <c r="W2394" s="14">
        <f>IF($AN2394="",IF($B2394="","",$R2394),IF(INDEX(職員マスタ!$C$6:$C$405,$AN2394)="",$R2394,INDEX(職員マスタ!$C$6:$C$405,$AN2394)))</f>
        <v/>
      </c>
      <c r="X2394" s="14">
        <f>IF($AO2394="","","R"&amp;$C2394&amp;"."&amp;$D2394)</f>
        <v/>
      </c>
      <c r="Y2394" s="15">
        <f>IF($AN2394="","",IF(INDEX(職員マスタ!$K$6:$K$405,$AN2394)="","",INDEX(職員マスタ!$K$6:$K$405,$AN2394)))</f>
        <v/>
      </c>
      <c r="Z2394" s="14">
        <f>IF(OR($E2394="",$Y2394=""),"",IF($E2394&gt;=$Y2394,"×",IF($E2394&gt;=$Y2394*設定!$C$5,"△","○")))</f>
        <v/>
      </c>
      <c r="AA2394" s="15">
        <f>IF($Z2394="","",IF($Z2394="×",0,IF($Z2394="○",ROUNDDOWN($E2394*設定!$C$4,0),ROUNDDOWN($E2394*ROUND((9*$Y2394-9*$E2394)/(10*$E2394),4),0))))</f>
        <v/>
      </c>
      <c r="AB2394" s="13" t="n"/>
      <c r="AC2394" s="15">
        <f>IF($B2394="","",IF($AB2394&lt;&gt;"",$AB2394,IF($AA2394="","",IF($AA2394&lt;=設定!$C$3,0,$AA2394))))</f>
        <v/>
      </c>
      <c r="AD2394" s="14">
        <f>IF($B2394="","",IF(AND($AE2394&lt;&gt;"",$AG2394="",$AJ2394=""),"保留中",IF($AJ2394&lt;&gt;"",IF(N($AC2394)&gt;0,"支給済","不支給"),IF($AC2394="","要確認",IF($AC2394=0,"不支給","未処理")))))</f>
        <v/>
      </c>
      <c r="AE2394" s="12" t="n"/>
      <c r="AF2394" s="11" t="n"/>
      <c r="AG2394" s="11" t="n"/>
      <c r="AH2394" s="11" t="n"/>
      <c r="AI2394" s="14">
        <f>IF(AND($AD2394="保留中",$AF2394&lt;&gt;""),TODAY()-$AF2394,"")</f>
        <v/>
      </c>
      <c r="AJ2394" s="12" t="n"/>
      <c r="AK2394" s="14">
        <f>IF($B2394="","",IF($AO2394="","対象年月が未入力／","")&amp;IF($B2394="","",IF($AN2394="","職員マスタに未登録の職員番号／",IF($Y2394="","標準報酬月額が未登録／","")&amp;IF(AND($AO2394&lt;&gt;"",OR(AND(INDEX(職員マスタ!$G$6:$G$405,$AN2394)&lt;&gt;"",INDEX(職員マスタ!$G$6:$G$405,$AN2394)&gt;EOMONTH($AO2394,0)),AND(INDEX(職員マスタ!$H$6:$H$405,$AN2394)&lt;&gt;"",INDEX(職員マスタ!$H$6:$H$405,$AN2394)&lt;$AO2394))),"対象月が時短期間外／","")&amp;IF(AND(INDEX(職員マスタ!$F$6:$F$405,$AN2394)&lt;&gt;"",$AO2394&lt;&gt;"",INDEX(職員マスタ!$F$6:$F$405,$AN2394)&lt;$AO2394),"対象月に子が2歳到達済／","")&amp;IF(AND($H2394&lt;&gt;"",INDEX(職員マスタ!$B$6:$B$405,$AN2394)&lt;&gt;"",SUBSTITUTE(SUBSTITUTE($H2394," ","")," ","")&lt;&gt;SUBSTITUTE(SUBSTITUTE(INDEX(職員マスタ!$B$6:$B$405,$AN2394)," ","")," ","")),"氏名がマスタと相違／","")&amp;IF(AND($Q2394&lt;&gt;"",INDEX(職員マスタ!$E$6:$E$405,$AN2394)&lt;&gt;"",$Q2394&lt;&gt;INDEX(職員マスタ!$E$6:$E$405,$AN2394)),"子の生年月日がマスタと相違／","")&amp;IF(AND($L2394&lt;&gt;"",INDEX(職員マスタ!$G$6:$G$405,$AN2394)&lt;&gt;"",$L2394&lt;&gt;INDEX(職員マスタ!$G$6:$G$405,$AN2394)),"時短開始日がマスタと相違／","")&amp;IF(AND($M2394&lt;&gt;"",INDEX(職員マスタ!$H$6:$H$405,$AN2394)&lt;&gt;"",$M2394&lt;&gt;INDEX(職員マスタ!$H$6:$H$405,$AN2394)),"時短終了日がマスタと相違／","")))&amp;IF(AND($B2394&lt;&gt;"",$E2394=""),"報酬額が未入力／","")&amp;IF(N($U2394)&gt;0,"申請書に入力エラーが残っています／","")&amp;IF(AND($B2394&lt;&gt;"",$AO2394&lt;&gt;""),IF(COUNTIFS($B$6:$B$3005,$B2394,$C$6:$C$3005,$C2394,$D$6:$D$3005,$D2394)&gt;1,"同じ月の請求が重複しています／",""),"")&amp;IF(AND(N($E2394)&gt;0,$Z2394&lt;&gt;"",$Z2394&lt;&gt;"×",$AC2394=0,$AB2394=""),"計算額が下限以下のため不支給／",""))</f>
        <v/>
      </c>
      <c r="AL2394" s="12" t="n"/>
      <c r="AM2394" s="14">
        <f>IF($AD2394="保留中",COUNTIF($AD$6:$AD2394,"保留中"),"")</f>
        <v/>
      </c>
      <c r="AN2394" s="14">
        <f>IF($AO2394="","",IF(SUMPRODUCT(MAX((職員マスタ!$A$6:$A$405=$B2394)*(((職員マスタ!$G$6:$G$405="")+(職員マスタ!$G$6:$G$405&lt;=EOMONTH($AO2394,0)))&gt;0)*(((職員マスタ!$H$6:$H$405="")+(職員マスタ!$H$6:$H$405&gt;=$AO2394))&gt;0)*(ROW(職員マスタ!$A$6:$A$405)-5)))&gt;0,SUMPRODUCT(MAX((職員マスタ!$A$6:$A$405=$B2394)*(((職員マスタ!$G$6:$G$405="")+(職員マスタ!$G$6:$G$405&lt;=EOMONTH($AO2394,0)))&gt;0)*(((職員マスタ!$H$6:$H$405="")+(職員マスタ!$H$6:$H$405&gt;=$AO2394))&gt;0)*(ROW(職員マスタ!$A$6:$A$405)-5))),IFERROR(MATCH($B2394,職員マスタ!$A$6:$A$405,0),"")))</f>
        <v/>
      </c>
      <c r="AO2394" s="16">
        <f>IF(OR($B2394="",$C2394="",$D2394=""),"",DATE($C2394+2018,$D2394,1))</f>
        <v/>
      </c>
    </row>
    <row r="2395">
      <c r="A2395" s="11" t="n"/>
      <c r="B2395" s="12" t="n"/>
      <c r="C2395" s="12" t="n"/>
      <c r="D2395" s="12" t="n"/>
      <c r="E2395" s="13" t="n"/>
      <c r="F2395" s="12" t="n"/>
      <c r="G2395" s="13" t="n"/>
      <c r="H2395" s="12" t="n"/>
      <c r="I2395" s="12" t="n"/>
      <c r="J2395" s="12" t="n"/>
      <c r="K2395" s="12" t="n"/>
      <c r="L2395" s="11" t="n"/>
      <c r="M2395" s="11" t="n"/>
      <c r="N2395" s="11" t="n"/>
      <c r="O2395" s="11" t="n"/>
      <c r="P2395" s="12" t="n"/>
      <c r="Q2395" s="11" t="n"/>
      <c r="R2395" s="12" t="n"/>
      <c r="S2395" s="11" t="n"/>
      <c r="T2395" s="12" t="n"/>
      <c r="U2395" s="12" t="n"/>
      <c r="V2395" s="14">
        <f>IF($AN2395="",IF($B2395="","",$H2395),IF(INDEX(職員マスタ!$B$6:$B$405,$AN2395)="",$H2395,INDEX(職員マスタ!$B$6:$B$405,$AN2395)))</f>
        <v/>
      </c>
      <c r="W2395" s="14">
        <f>IF($AN2395="",IF($B2395="","",$R2395),IF(INDEX(職員マスタ!$C$6:$C$405,$AN2395)="",$R2395,INDEX(職員マスタ!$C$6:$C$405,$AN2395)))</f>
        <v/>
      </c>
      <c r="X2395" s="14">
        <f>IF($AO2395="","","R"&amp;$C2395&amp;"."&amp;$D2395)</f>
        <v/>
      </c>
      <c r="Y2395" s="15">
        <f>IF($AN2395="","",IF(INDEX(職員マスタ!$K$6:$K$405,$AN2395)="","",INDEX(職員マスタ!$K$6:$K$405,$AN2395)))</f>
        <v/>
      </c>
      <c r="Z2395" s="14">
        <f>IF(OR($E2395="",$Y2395=""),"",IF($E2395&gt;=$Y2395,"×",IF($E2395&gt;=$Y2395*設定!$C$5,"△","○")))</f>
        <v/>
      </c>
      <c r="AA2395" s="15">
        <f>IF($Z2395="","",IF($Z2395="×",0,IF($Z2395="○",ROUNDDOWN($E2395*設定!$C$4,0),ROUNDDOWN($E2395*ROUND((9*$Y2395-9*$E2395)/(10*$E2395),4),0))))</f>
        <v/>
      </c>
      <c r="AB2395" s="13" t="n"/>
      <c r="AC2395" s="15">
        <f>IF($B2395="","",IF($AB2395&lt;&gt;"",$AB2395,IF($AA2395="","",IF($AA2395&lt;=設定!$C$3,0,$AA2395))))</f>
        <v/>
      </c>
      <c r="AD2395" s="14">
        <f>IF($B2395="","",IF(AND($AE2395&lt;&gt;"",$AG2395="",$AJ2395=""),"保留中",IF($AJ2395&lt;&gt;"",IF(N($AC2395)&gt;0,"支給済","不支給"),IF($AC2395="","要確認",IF($AC2395=0,"不支給","未処理")))))</f>
        <v/>
      </c>
      <c r="AE2395" s="12" t="n"/>
      <c r="AF2395" s="11" t="n"/>
      <c r="AG2395" s="11" t="n"/>
      <c r="AH2395" s="11" t="n"/>
      <c r="AI2395" s="14">
        <f>IF(AND($AD2395="保留中",$AF2395&lt;&gt;""),TODAY()-$AF2395,"")</f>
        <v/>
      </c>
      <c r="AJ2395" s="12" t="n"/>
      <c r="AK2395" s="14">
        <f>IF($B2395="","",IF($AO2395="","対象年月が未入力／","")&amp;IF($B2395="","",IF($AN2395="","職員マスタに未登録の職員番号／",IF($Y2395="","標準報酬月額が未登録／","")&amp;IF(AND($AO2395&lt;&gt;"",OR(AND(INDEX(職員マスタ!$G$6:$G$405,$AN2395)&lt;&gt;"",INDEX(職員マスタ!$G$6:$G$405,$AN2395)&gt;EOMONTH($AO2395,0)),AND(INDEX(職員マスタ!$H$6:$H$405,$AN2395)&lt;&gt;"",INDEX(職員マスタ!$H$6:$H$405,$AN2395)&lt;$AO2395))),"対象月が時短期間外／","")&amp;IF(AND(INDEX(職員マスタ!$F$6:$F$405,$AN2395)&lt;&gt;"",$AO2395&lt;&gt;"",INDEX(職員マスタ!$F$6:$F$405,$AN2395)&lt;$AO2395),"対象月に子が2歳到達済／","")&amp;IF(AND($H2395&lt;&gt;"",INDEX(職員マスタ!$B$6:$B$405,$AN2395)&lt;&gt;"",SUBSTITUTE(SUBSTITUTE($H2395," ","")," ","")&lt;&gt;SUBSTITUTE(SUBSTITUTE(INDEX(職員マスタ!$B$6:$B$405,$AN2395)," ","")," ","")),"氏名がマスタと相違／","")&amp;IF(AND($Q2395&lt;&gt;"",INDEX(職員マスタ!$E$6:$E$405,$AN2395)&lt;&gt;"",$Q2395&lt;&gt;INDEX(職員マスタ!$E$6:$E$405,$AN2395)),"子の生年月日がマスタと相違／","")&amp;IF(AND($L2395&lt;&gt;"",INDEX(職員マスタ!$G$6:$G$405,$AN2395)&lt;&gt;"",$L2395&lt;&gt;INDEX(職員マスタ!$G$6:$G$405,$AN2395)),"時短開始日がマスタと相違／","")&amp;IF(AND($M2395&lt;&gt;"",INDEX(職員マスタ!$H$6:$H$405,$AN2395)&lt;&gt;"",$M2395&lt;&gt;INDEX(職員マスタ!$H$6:$H$405,$AN2395)),"時短終了日がマスタと相違／","")))&amp;IF(AND($B2395&lt;&gt;"",$E2395=""),"報酬額が未入力／","")&amp;IF(N($U2395)&gt;0,"申請書に入力エラーが残っています／","")&amp;IF(AND($B2395&lt;&gt;"",$AO2395&lt;&gt;""),IF(COUNTIFS($B$6:$B$3005,$B2395,$C$6:$C$3005,$C2395,$D$6:$D$3005,$D2395)&gt;1,"同じ月の請求が重複しています／",""),"")&amp;IF(AND(N($E2395)&gt;0,$Z2395&lt;&gt;"",$Z2395&lt;&gt;"×",$AC2395=0,$AB2395=""),"計算額が下限以下のため不支給／",""))</f>
        <v/>
      </c>
      <c r="AL2395" s="12" t="n"/>
      <c r="AM2395" s="14">
        <f>IF($AD2395="保留中",COUNTIF($AD$6:$AD2395,"保留中"),"")</f>
        <v/>
      </c>
      <c r="AN2395" s="14">
        <f>IF($AO2395="","",IF(SUMPRODUCT(MAX((職員マスタ!$A$6:$A$405=$B2395)*(((職員マスタ!$G$6:$G$405="")+(職員マスタ!$G$6:$G$405&lt;=EOMONTH($AO2395,0)))&gt;0)*(((職員マスタ!$H$6:$H$405="")+(職員マスタ!$H$6:$H$405&gt;=$AO2395))&gt;0)*(ROW(職員マスタ!$A$6:$A$405)-5)))&gt;0,SUMPRODUCT(MAX((職員マスタ!$A$6:$A$405=$B2395)*(((職員マスタ!$G$6:$G$405="")+(職員マスタ!$G$6:$G$405&lt;=EOMONTH($AO2395,0)))&gt;0)*(((職員マスタ!$H$6:$H$405="")+(職員マスタ!$H$6:$H$405&gt;=$AO2395))&gt;0)*(ROW(職員マスタ!$A$6:$A$405)-5))),IFERROR(MATCH($B2395,職員マスタ!$A$6:$A$405,0),"")))</f>
        <v/>
      </c>
      <c r="AO2395" s="16">
        <f>IF(OR($B2395="",$C2395="",$D2395=""),"",DATE($C2395+2018,$D2395,1))</f>
        <v/>
      </c>
    </row>
    <row r="2396">
      <c r="A2396" s="11" t="n"/>
      <c r="B2396" s="12" t="n"/>
      <c r="C2396" s="12" t="n"/>
      <c r="D2396" s="12" t="n"/>
      <c r="E2396" s="13" t="n"/>
      <c r="F2396" s="12" t="n"/>
      <c r="G2396" s="13" t="n"/>
      <c r="H2396" s="12" t="n"/>
      <c r="I2396" s="12" t="n"/>
      <c r="J2396" s="12" t="n"/>
      <c r="K2396" s="12" t="n"/>
      <c r="L2396" s="11" t="n"/>
      <c r="M2396" s="11" t="n"/>
      <c r="N2396" s="11" t="n"/>
      <c r="O2396" s="11" t="n"/>
      <c r="P2396" s="12" t="n"/>
      <c r="Q2396" s="11" t="n"/>
      <c r="R2396" s="12" t="n"/>
      <c r="S2396" s="11" t="n"/>
      <c r="T2396" s="12" t="n"/>
      <c r="U2396" s="12" t="n"/>
      <c r="V2396" s="14">
        <f>IF($AN2396="",IF($B2396="","",$H2396),IF(INDEX(職員マスタ!$B$6:$B$405,$AN2396)="",$H2396,INDEX(職員マスタ!$B$6:$B$405,$AN2396)))</f>
        <v/>
      </c>
      <c r="W2396" s="14">
        <f>IF($AN2396="",IF($B2396="","",$R2396),IF(INDEX(職員マスタ!$C$6:$C$405,$AN2396)="",$R2396,INDEX(職員マスタ!$C$6:$C$405,$AN2396)))</f>
        <v/>
      </c>
      <c r="X2396" s="14">
        <f>IF($AO2396="","","R"&amp;$C2396&amp;"."&amp;$D2396)</f>
        <v/>
      </c>
      <c r="Y2396" s="15">
        <f>IF($AN2396="","",IF(INDEX(職員マスタ!$K$6:$K$405,$AN2396)="","",INDEX(職員マスタ!$K$6:$K$405,$AN2396)))</f>
        <v/>
      </c>
      <c r="Z2396" s="14">
        <f>IF(OR($E2396="",$Y2396=""),"",IF($E2396&gt;=$Y2396,"×",IF($E2396&gt;=$Y2396*設定!$C$5,"△","○")))</f>
        <v/>
      </c>
      <c r="AA2396" s="15">
        <f>IF($Z2396="","",IF($Z2396="×",0,IF($Z2396="○",ROUNDDOWN($E2396*設定!$C$4,0),ROUNDDOWN($E2396*ROUND((9*$Y2396-9*$E2396)/(10*$E2396),4),0))))</f>
        <v/>
      </c>
      <c r="AB2396" s="13" t="n"/>
      <c r="AC2396" s="15">
        <f>IF($B2396="","",IF($AB2396&lt;&gt;"",$AB2396,IF($AA2396="","",IF($AA2396&lt;=設定!$C$3,0,$AA2396))))</f>
        <v/>
      </c>
      <c r="AD2396" s="14">
        <f>IF($B2396="","",IF(AND($AE2396&lt;&gt;"",$AG2396="",$AJ2396=""),"保留中",IF($AJ2396&lt;&gt;"",IF(N($AC2396)&gt;0,"支給済","不支給"),IF($AC2396="","要確認",IF($AC2396=0,"不支給","未処理")))))</f>
        <v/>
      </c>
      <c r="AE2396" s="12" t="n"/>
      <c r="AF2396" s="11" t="n"/>
      <c r="AG2396" s="11" t="n"/>
      <c r="AH2396" s="11" t="n"/>
      <c r="AI2396" s="14">
        <f>IF(AND($AD2396="保留中",$AF2396&lt;&gt;""),TODAY()-$AF2396,"")</f>
        <v/>
      </c>
      <c r="AJ2396" s="12" t="n"/>
      <c r="AK2396" s="14">
        <f>IF($B2396="","",IF($AO2396="","対象年月が未入力／","")&amp;IF($B2396="","",IF($AN2396="","職員マスタに未登録の職員番号／",IF($Y2396="","標準報酬月額が未登録／","")&amp;IF(AND($AO2396&lt;&gt;"",OR(AND(INDEX(職員マスタ!$G$6:$G$405,$AN2396)&lt;&gt;"",INDEX(職員マスタ!$G$6:$G$405,$AN2396)&gt;EOMONTH($AO2396,0)),AND(INDEX(職員マスタ!$H$6:$H$405,$AN2396)&lt;&gt;"",INDEX(職員マスタ!$H$6:$H$405,$AN2396)&lt;$AO2396))),"対象月が時短期間外／","")&amp;IF(AND(INDEX(職員マスタ!$F$6:$F$405,$AN2396)&lt;&gt;"",$AO2396&lt;&gt;"",INDEX(職員マスタ!$F$6:$F$405,$AN2396)&lt;$AO2396),"対象月に子が2歳到達済／","")&amp;IF(AND($H2396&lt;&gt;"",INDEX(職員マスタ!$B$6:$B$405,$AN2396)&lt;&gt;"",SUBSTITUTE(SUBSTITUTE($H2396," ","")," ","")&lt;&gt;SUBSTITUTE(SUBSTITUTE(INDEX(職員マスタ!$B$6:$B$405,$AN2396)," ","")," ","")),"氏名がマスタと相違／","")&amp;IF(AND($Q2396&lt;&gt;"",INDEX(職員マスタ!$E$6:$E$405,$AN2396)&lt;&gt;"",$Q2396&lt;&gt;INDEX(職員マスタ!$E$6:$E$405,$AN2396)),"子の生年月日がマスタと相違／","")&amp;IF(AND($L2396&lt;&gt;"",INDEX(職員マスタ!$G$6:$G$405,$AN2396)&lt;&gt;"",$L2396&lt;&gt;INDEX(職員マスタ!$G$6:$G$405,$AN2396)),"時短開始日がマスタと相違／","")&amp;IF(AND($M2396&lt;&gt;"",INDEX(職員マスタ!$H$6:$H$405,$AN2396)&lt;&gt;"",$M2396&lt;&gt;INDEX(職員マスタ!$H$6:$H$405,$AN2396)),"時短終了日がマスタと相違／","")))&amp;IF(AND($B2396&lt;&gt;"",$E2396=""),"報酬額が未入力／","")&amp;IF(N($U2396)&gt;0,"申請書に入力エラーが残っています／","")&amp;IF(AND($B2396&lt;&gt;"",$AO2396&lt;&gt;""),IF(COUNTIFS($B$6:$B$3005,$B2396,$C$6:$C$3005,$C2396,$D$6:$D$3005,$D2396)&gt;1,"同じ月の請求が重複しています／",""),"")&amp;IF(AND(N($E2396)&gt;0,$Z2396&lt;&gt;"",$Z2396&lt;&gt;"×",$AC2396=0,$AB2396=""),"計算額が下限以下のため不支給／",""))</f>
        <v/>
      </c>
      <c r="AL2396" s="12" t="n"/>
      <c r="AM2396" s="14">
        <f>IF($AD2396="保留中",COUNTIF($AD$6:$AD2396,"保留中"),"")</f>
        <v/>
      </c>
      <c r="AN2396" s="14">
        <f>IF($AO2396="","",IF(SUMPRODUCT(MAX((職員マスタ!$A$6:$A$405=$B2396)*(((職員マスタ!$G$6:$G$405="")+(職員マスタ!$G$6:$G$405&lt;=EOMONTH($AO2396,0)))&gt;0)*(((職員マスタ!$H$6:$H$405="")+(職員マスタ!$H$6:$H$405&gt;=$AO2396))&gt;0)*(ROW(職員マスタ!$A$6:$A$405)-5)))&gt;0,SUMPRODUCT(MAX((職員マスタ!$A$6:$A$405=$B2396)*(((職員マスタ!$G$6:$G$405="")+(職員マスタ!$G$6:$G$405&lt;=EOMONTH($AO2396,0)))&gt;0)*(((職員マスタ!$H$6:$H$405="")+(職員マスタ!$H$6:$H$405&gt;=$AO2396))&gt;0)*(ROW(職員マスタ!$A$6:$A$405)-5))),IFERROR(MATCH($B2396,職員マスタ!$A$6:$A$405,0),"")))</f>
        <v/>
      </c>
      <c r="AO2396" s="16">
        <f>IF(OR($B2396="",$C2396="",$D2396=""),"",DATE($C2396+2018,$D2396,1))</f>
        <v/>
      </c>
    </row>
    <row r="2397">
      <c r="A2397" s="11" t="n"/>
      <c r="B2397" s="12" t="n"/>
      <c r="C2397" s="12" t="n"/>
      <c r="D2397" s="12" t="n"/>
      <c r="E2397" s="13" t="n"/>
      <c r="F2397" s="12" t="n"/>
      <c r="G2397" s="13" t="n"/>
      <c r="H2397" s="12" t="n"/>
      <c r="I2397" s="12" t="n"/>
      <c r="J2397" s="12" t="n"/>
      <c r="K2397" s="12" t="n"/>
      <c r="L2397" s="11" t="n"/>
      <c r="M2397" s="11" t="n"/>
      <c r="N2397" s="11" t="n"/>
      <c r="O2397" s="11" t="n"/>
      <c r="P2397" s="12" t="n"/>
      <c r="Q2397" s="11" t="n"/>
      <c r="R2397" s="12" t="n"/>
      <c r="S2397" s="11" t="n"/>
      <c r="T2397" s="12" t="n"/>
      <c r="U2397" s="12" t="n"/>
      <c r="V2397" s="14">
        <f>IF($AN2397="",IF($B2397="","",$H2397),IF(INDEX(職員マスタ!$B$6:$B$405,$AN2397)="",$H2397,INDEX(職員マスタ!$B$6:$B$405,$AN2397)))</f>
        <v/>
      </c>
      <c r="W2397" s="14">
        <f>IF($AN2397="",IF($B2397="","",$R2397),IF(INDEX(職員マスタ!$C$6:$C$405,$AN2397)="",$R2397,INDEX(職員マスタ!$C$6:$C$405,$AN2397)))</f>
        <v/>
      </c>
      <c r="X2397" s="14">
        <f>IF($AO2397="","","R"&amp;$C2397&amp;"."&amp;$D2397)</f>
        <v/>
      </c>
      <c r="Y2397" s="15">
        <f>IF($AN2397="","",IF(INDEX(職員マスタ!$K$6:$K$405,$AN2397)="","",INDEX(職員マスタ!$K$6:$K$405,$AN2397)))</f>
        <v/>
      </c>
      <c r="Z2397" s="14">
        <f>IF(OR($E2397="",$Y2397=""),"",IF($E2397&gt;=$Y2397,"×",IF($E2397&gt;=$Y2397*設定!$C$5,"△","○")))</f>
        <v/>
      </c>
      <c r="AA2397" s="15">
        <f>IF($Z2397="","",IF($Z2397="×",0,IF($Z2397="○",ROUNDDOWN($E2397*設定!$C$4,0),ROUNDDOWN($E2397*ROUND((9*$Y2397-9*$E2397)/(10*$E2397),4),0))))</f>
        <v/>
      </c>
      <c r="AB2397" s="13" t="n"/>
      <c r="AC2397" s="15">
        <f>IF($B2397="","",IF($AB2397&lt;&gt;"",$AB2397,IF($AA2397="","",IF($AA2397&lt;=設定!$C$3,0,$AA2397))))</f>
        <v/>
      </c>
      <c r="AD2397" s="14">
        <f>IF($B2397="","",IF(AND($AE2397&lt;&gt;"",$AG2397="",$AJ2397=""),"保留中",IF($AJ2397&lt;&gt;"",IF(N($AC2397)&gt;0,"支給済","不支給"),IF($AC2397="","要確認",IF($AC2397=0,"不支給","未処理")))))</f>
        <v/>
      </c>
      <c r="AE2397" s="12" t="n"/>
      <c r="AF2397" s="11" t="n"/>
      <c r="AG2397" s="11" t="n"/>
      <c r="AH2397" s="11" t="n"/>
      <c r="AI2397" s="14">
        <f>IF(AND($AD2397="保留中",$AF2397&lt;&gt;""),TODAY()-$AF2397,"")</f>
        <v/>
      </c>
      <c r="AJ2397" s="12" t="n"/>
      <c r="AK2397" s="14">
        <f>IF($B2397="","",IF($AO2397="","対象年月が未入力／","")&amp;IF($B2397="","",IF($AN2397="","職員マスタに未登録の職員番号／",IF($Y2397="","標準報酬月額が未登録／","")&amp;IF(AND($AO2397&lt;&gt;"",OR(AND(INDEX(職員マスタ!$G$6:$G$405,$AN2397)&lt;&gt;"",INDEX(職員マスタ!$G$6:$G$405,$AN2397)&gt;EOMONTH($AO2397,0)),AND(INDEX(職員マスタ!$H$6:$H$405,$AN2397)&lt;&gt;"",INDEX(職員マスタ!$H$6:$H$405,$AN2397)&lt;$AO2397))),"対象月が時短期間外／","")&amp;IF(AND(INDEX(職員マスタ!$F$6:$F$405,$AN2397)&lt;&gt;"",$AO2397&lt;&gt;"",INDEX(職員マスタ!$F$6:$F$405,$AN2397)&lt;$AO2397),"対象月に子が2歳到達済／","")&amp;IF(AND($H2397&lt;&gt;"",INDEX(職員マスタ!$B$6:$B$405,$AN2397)&lt;&gt;"",SUBSTITUTE(SUBSTITUTE($H2397," ","")," ","")&lt;&gt;SUBSTITUTE(SUBSTITUTE(INDEX(職員マスタ!$B$6:$B$405,$AN2397)," ","")," ","")),"氏名がマスタと相違／","")&amp;IF(AND($Q2397&lt;&gt;"",INDEX(職員マスタ!$E$6:$E$405,$AN2397)&lt;&gt;"",$Q2397&lt;&gt;INDEX(職員マスタ!$E$6:$E$405,$AN2397)),"子の生年月日がマスタと相違／","")&amp;IF(AND($L2397&lt;&gt;"",INDEX(職員マスタ!$G$6:$G$405,$AN2397)&lt;&gt;"",$L2397&lt;&gt;INDEX(職員マスタ!$G$6:$G$405,$AN2397)),"時短開始日がマスタと相違／","")&amp;IF(AND($M2397&lt;&gt;"",INDEX(職員マスタ!$H$6:$H$405,$AN2397)&lt;&gt;"",$M2397&lt;&gt;INDEX(職員マスタ!$H$6:$H$405,$AN2397)),"時短終了日がマスタと相違／","")))&amp;IF(AND($B2397&lt;&gt;"",$E2397=""),"報酬額が未入力／","")&amp;IF(N($U2397)&gt;0,"申請書に入力エラーが残っています／","")&amp;IF(AND($B2397&lt;&gt;"",$AO2397&lt;&gt;""),IF(COUNTIFS($B$6:$B$3005,$B2397,$C$6:$C$3005,$C2397,$D$6:$D$3005,$D2397)&gt;1,"同じ月の請求が重複しています／",""),"")&amp;IF(AND(N($E2397)&gt;0,$Z2397&lt;&gt;"",$Z2397&lt;&gt;"×",$AC2397=0,$AB2397=""),"計算額が下限以下のため不支給／",""))</f>
        <v/>
      </c>
      <c r="AL2397" s="12" t="n"/>
      <c r="AM2397" s="14">
        <f>IF($AD2397="保留中",COUNTIF($AD$6:$AD2397,"保留中"),"")</f>
        <v/>
      </c>
      <c r="AN2397" s="14">
        <f>IF($AO2397="","",IF(SUMPRODUCT(MAX((職員マスタ!$A$6:$A$405=$B2397)*(((職員マスタ!$G$6:$G$405="")+(職員マスタ!$G$6:$G$405&lt;=EOMONTH($AO2397,0)))&gt;0)*(((職員マスタ!$H$6:$H$405="")+(職員マスタ!$H$6:$H$405&gt;=$AO2397))&gt;0)*(ROW(職員マスタ!$A$6:$A$405)-5)))&gt;0,SUMPRODUCT(MAX((職員マスタ!$A$6:$A$405=$B2397)*(((職員マスタ!$G$6:$G$405="")+(職員マスタ!$G$6:$G$405&lt;=EOMONTH($AO2397,0)))&gt;0)*(((職員マスタ!$H$6:$H$405="")+(職員マスタ!$H$6:$H$405&gt;=$AO2397))&gt;0)*(ROW(職員マスタ!$A$6:$A$405)-5))),IFERROR(MATCH($B2397,職員マスタ!$A$6:$A$405,0),"")))</f>
        <v/>
      </c>
      <c r="AO2397" s="16">
        <f>IF(OR($B2397="",$C2397="",$D2397=""),"",DATE($C2397+2018,$D2397,1))</f>
        <v/>
      </c>
    </row>
    <row r="2398">
      <c r="A2398" s="11" t="n"/>
      <c r="B2398" s="12" t="n"/>
      <c r="C2398" s="12" t="n"/>
      <c r="D2398" s="12" t="n"/>
      <c r="E2398" s="13" t="n"/>
      <c r="F2398" s="12" t="n"/>
      <c r="G2398" s="13" t="n"/>
      <c r="H2398" s="12" t="n"/>
      <c r="I2398" s="12" t="n"/>
      <c r="J2398" s="12" t="n"/>
      <c r="K2398" s="12" t="n"/>
      <c r="L2398" s="11" t="n"/>
      <c r="M2398" s="11" t="n"/>
      <c r="N2398" s="11" t="n"/>
      <c r="O2398" s="11" t="n"/>
      <c r="P2398" s="12" t="n"/>
      <c r="Q2398" s="11" t="n"/>
      <c r="R2398" s="12" t="n"/>
      <c r="S2398" s="11" t="n"/>
      <c r="T2398" s="12" t="n"/>
      <c r="U2398" s="12" t="n"/>
      <c r="V2398" s="14">
        <f>IF($AN2398="",IF($B2398="","",$H2398),IF(INDEX(職員マスタ!$B$6:$B$405,$AN2398)="",$H2398,INDEX(職員マスタ!$B$6:$B$405,$AN2398)))</f>
        <v/>
      </c>
      <c r="W2398" s="14">
        <f>IF($AN2398="",IF($B2398="","",$R2398),IF(INDEX(職員マスタ!$C$6:$C$405,$AN2398)="",$R2398,INDEX(職員マスタ!$C$6:$C$405,$AN2398)))</f>
        <v/>
      </c>
      <c r="X2398" s="14">
        <f>IF($AO2398="","","R"&amp;$C2398&amp;"."&amp;$D2398)</f>
        <v/>
      </c>
      <c r="Y2398" s="15">
        <f>IF($AN2398="","",IF(INDEX(職員マスタ!$K$6:$K$405,$AN2398)="","",INDEX(職員マスタ!$K$6:$K$405,$AN2398)))</f>
        <v/>
      </c>
      <c r="Z2398" s="14">
        <f>IF(OR($E2398="",$Y2398=""),"",IF($E2398&gt;=$Y2398,"×",IF($E2398&gt;=$Y2398*設定!$C$5,"△","○")))</f>
        <v/>
      </c>
      <c r="AA2398" s="15">
        <f>IF($Z2398="","",IF($Z2398="×",0,IF($Z2398="○",ROUNDDOWN($E2398*設定!$C$4,0),ROUNDDOWN($E2398*ROUND((9*$Y2398-9*$E2398)/(10*$E2398),4),0))))</f>
        <v/>
      </c>
      <c r="AB2398" s="13" t="n"/>
      <c r="AC2398" s="15">
        <f>IF($B2398="","",IF($AB2398&lt;&gt;"",$AB2398,IF($AA2398="","",IF($AA2398&lt;=設定!$C$3,0,$AA2398))))</f>
        <v/>
      </c>
      <c r="AD2398" s="14">
        <f>IF($B2398="","",IF(AND($AE2398&lt;&gt;"",$AG2398="",$AJ2398=""),"保留中",IF($AJ2398&lt;&gt;"",IF(N($AC2398)&gt;0,"支給済","不支給"),IF($AC2398="","要確認",IF($AC2398=0,"不支給","未処理")))))</f>
        <v/>
      </c>
      <c r="AE2398" s="12" t="n"/>
      <c r="AF2398" s="11" t="n"/>
      <c r="AG2398" s="11" t="n"/>
      <c r="AH2398" s="11" t="n"/>
      <c r="AI2398" s="14">
        <f>IF(AND($AD2398="保留中",$AF2398&lt;&gt;""),TODAY()-$AF2398,"")</f>
        <v/>
      </c>
      <c r="AJ2398" s="12" t="n"/>
      <c r="AK2398" s="14">
        <f>IF($B2398="","",IF($AO2398="","対象年月が未入力／","")&amp;IF($B2398="","",IF($AN2398="","職員マスタに未登録の職員番号／",IF($Y2398="","標準報酬月額が未登録／","")&amp;IF(AND($AO2398&lt;&gt;"",OR(AND(INDEX(職員マスタ!$G$6:$G$405,$AN2398)&lt;&gt;"",INDEX(職員マスタ!$G$6:$G$405,$AN2398)&gt;EOMONTH($AO2398,0)),AND(INDEX(職員マスタ!$H$6:$H$405,$AN2398)&lt;&gt;"",INDEX(職員マスタ!$H$6:$H$405,$AN2398)&lt;$AO2398))),"対象月が時短期間外／","")&amp;IF(AND(INDEX(職員マスタ!$F$6:$F$405,$AN2398)&lt;&gt;"",$AO2398&lt;&gt;"",INDEX(職員マスタ!$F$6:$F$405,$AN2398)&lt;$AO2398),"対象月に子が2歳到達済／","")&amp;IF(AND($H2398&lt;&gt;"",INDEX(職員マスタ!$B$6:$B$405,$AN2398)&lt;&gt;"",SUBSTITUTE(SUBSTITUTE($H2398," ","")," ","")&lt;&gt;SUBSTITUTE(SUBSTITUTE(INDEX(職員マスタ!$B$6:$B$405,$AN2398)," ","")," ","")),"氏名がマスタと相違／","")&amp;IF(AND($Q2398&lt;&gt;"",INDEX(職員マスタ!$E$6:$E$405,$AN2398)&lt;&gt;"",$Q2398&lt;&gt;INDEX(職員マスタ!$E$6:$E$405,$AN2398)),"子の生年月日がマスタと相違／","")&amp;IF(AND($L2398&lt;&gt;"",INDEX(職員マスタ!$G$6:$G$405,$AN2398)&lt;&gt;"",$L2398&lt;&gt;INDEX(職員マスタ!$G$6:$G$405,$AN2398)),"時短開始日がマスタと相違／","")&amp;IF(AND($M2398&lt;&gt;"",INDEX(職員マスタ!$H$6:$H$405,$AN2398)&lt;&gt;"",$M2398&lt;&gt;INDEX(職員マスタ!$H$6:$H$405,$AN2398)),"時短終了日がマスタと相違／","")))&amp;IF(AND($B2398&lt;&gt;"",$E2398=""),"報酬額が未入力／","")&amp;IF(N($U2398)&gt;0,"申請書に入力エラーが残っています／","")&amp;IF(AND($B2398&lt;&gt;"",$AO2398&lt;&gt;""),IF(COUNTIFS($B$6:$B$3005,$B2398,$C$6:$C$3005,$C2398,$D$6:$D$3005,$D2398)&gt;1,"同じ月の請求が重複しています／",""),"")&amp;IF(AND(N($E2398)&gt;0,$Z2398&lt;&gt;"",$Z2398&lt;&gt;"×",$AC2398=0,$AB2398=""),"計算額が下限以下のため不支給／",""))</f>
        <v/>
      </c>
      <c r="AL2398" s="12" t="n"/>
      <c r="AM2398" s="14">
        <f>IF($AD2398="保留中",COUNTIF($AD$6:$AD2398,"保留中"),"")</f>
        <v/>
      </c>
      <c r="AN2398" s="14">
        <f>IF($AO2398="","",IF(SUMPRODUCT(MAX((職員マスタ!$A$6:$A$405=$B2398)*(((職員マスタ!$G$6:$G$405="")+(職員マスタ!$G$6:$G$405&lt;=EOMONTH($AO2398,0)))&gt;0)*(((職員マスタ!$H$6:$H$405="")+(職員マスタ!$H$6:$H$405&gt;=$AO2398))&gt;0)*(ROW(職員マスタ!$A$6:$A$405)-5)))&gt;0,SUMPRODUCT(MAX((職員マスタ!$A$6:$A$405=$B2398)*(((職員マスタ!$G$6:$G$405="")+(職員マスタ!$G$6:$G$405&lt;=EOMONTH($AO2398,0)))&gt;0)*(((職員マスタ!$H$6:$H$405="")+(職員マスタ!$H$6:$H$405&gt;=$AO2398))&gt;0)*(ROW(職員マスタ!$A$6:$A$405)-5))),IFERROR(MATCH($B2398,職員マスタ!$A$6:$A$405,0),"")))</f>
        <v/>
      </c>
      <c r="AO2398" s="16">
        <f>IF(OR($B2398="",$C2398="",$D2398=""),"",DATE($C2398+2018,$D2398,1))</f>
        <v/>
      </c>
    </row>
    <row r="2399">
      <c r="A2399" s="11" t="n"/>
      <c r="B2399" s="12" t="n"/>
      <c r="C2399" s="12" t="n"/>
      <c r="D2399" s="12" t="n"/>
      <c r="E2399" s="13" t="n"/>
      <c r="F2399" s="12" t="n"/>
      <c r="G2399" s="13" t="n"/>
      <c r="H2399" s="12" t="n"/>
      <c r="I2399" s="12" t="n"/>
      <c r="J2399" s="12" t="n"/>
      <c r="K2399" s="12" t="n"/>
      <c r="L2399" s="11" t="n"/>
      <c r="M2399" s="11" t="n"/>
      <c r="N2399" s="11" t="n"/>
      <c r="O2399" s="11" t="n"/>
      <c r="P2399" s="12" t="n"/>
      <c r="Q2399" s="11" t="n"/>
      <c r="R2399" s="12" t="n"/>
      <c r="S2399" s="11" t="n"/>
      <c r="T2399" s="12" t="n"/>
      <c r="U2399" s="12" t="n"/>
      <c r="V2399" s="14">
        <f>IF($AN2399="",IF($B2399="","",$H2399),IF(INDEX(職員マスタ!$B$6:$B$405,$AN2399)="",$H2399,INDEX(職員マスタ!$B$6:$B$405,$AN2399)))</f>
        <v/>
      </c>
      <c r="W2399" s="14">
        <f>IF($AN2399="",IF($B2399="","",$R2399),IF(INDEX(職員マスタ!$C$6:$C$405,$AN2399)="",$R2399,INDEX(職員マスタ!$C$6:$C$405,$AN2399)))</f>
        <v/>
      </c>
      <c r="X2399" s="14">
        <f>IF($AO2399="","","R"&amp;$C2399&amp;"."&amp;$D2399)</f>
        <v/>
      </c>
      <c r="Y2399" s="15">
        <f>IF($AN2399="","",IF(INDEX(職員マスタ!$K$6:$K$405,$AN2399)="","",INDEX(職員マスタ!$K$6:$K$405,$AN2399)))</f>
        <v/>
      </c>
      <c r="Z2399" s="14">
        <f>IF(OR($E2399="",$Y2399=""),"",IF($E2399&gt;=$Y2399,"×",IF($E2399&gt;=$Y2399*設定!$C$5,"△","○")))</f>
        <v/>
      </c>
      <c r="AA2399" s="15">
        <f>IF($Z2399="","",IF($Z2399="×",0,IF($Z2399="○",ROUNDDOWN($E2399*設定!$C$4,0),ROUNDDOWN($E2399*ROUND((9*$Y2399-9*$E2399)/(10*$E2399),4),0))))</f>
        <v/>
      </c>
      <c r="AB2399" s="13" t="n"/>
      <c r="AC2399" s="15">
        <f>IF($B2399="","",IF($AB2399&lt;&gt;"",$AB2399,IF($AA2399="","",IF($AA2399&lt;=設定!$C$3,0,$AA2399))))</f>
        <v/>
      </c>
      <c r="AD2399" s="14">
        <f>IF($B2399="","",IF(AND($AE2399&lt;&gt;"",$AG2399="",$AJ2399=""),"保留中",IF($AJ2399&lt;&gt;"",IF(N($AC2399)&gt;0,"支給済","不支給"),IF($AC2399="","要確認",IF($AC2399=0,"不支給","未処理")))))</f>
        <v/>
      </c>
      <c r="AE2399" s="12" t="n"/>
      <c r="AF2399" s="11" t="n"/>
      <c r="AG2399" s="11" t="n"/>
      <c r="AH2399" s="11" t="n"/>
      <c r="AI2399" s="14">
        <f>IF(AND($AD2399="保留中",$AF2399&lt;&gt;""),TODAY()-$AF2399,"")</f>
        <v/>
      </c>
      <c r="AJ2399" s="12" t="n"/>
      <c r="AK2399" s="14">
        <f>IF($B2399="","",IF($AO2399="","対象年月が未入力／","")&amp;IF($B2399="","",IF($AN2399="","職員マスタに未登録の職員番号／",IF($Y2399="","標準報酬月額が未登録／","")&amp;IF(AND($AO2399&lt;&gt;"",OR(AND(INDEX(職員マスタ!$G$6:$G$405,$AN2399)&lt;&gt;"",INDEX(職員マスタ!$G$6:$G$405,$AN2399)&gt;EOMONTH($AO2399,0)),AND(INDEX(職員マスタ!$H$6:$H$405,$AN2399)&lt;&gt;"",INDEX(職員マスタ!$H$6:$H$405,$AN2399)&lt;$AO2399))),"対象月が時短期間外／","")&amp;IF(AND(INDEX(職員マスタ!$F$6:$F$405,$AN2399)&lt;&gt;"",$AO2399&lt;&gt;"",INDEX(職員マスタ!$F$6:$F$405,$AN2399)&lt;$AO2399),"対象月に子が2歳到達済／","")&amp;IF(AND($H2399&lt;&gt;"",INDEX(職員マスタ!$B$6:$B$405,$AN2399)&lt;&gt;"",SUBSTITUTE(SUBSTITUTE($H2399," ","")," ","")&lt;&gt;SUBSTITUTE(SUBSTITUTE(INDEX(職員マスタ!$B$6:$B$405,$AN2399)," ","")," ","")),"氏名がマスタと相違／","")&amp;IF(AND($Q2399&lt;&gt;"",INDEX(職員マスタ!$E$6:$E$405,$AN2399)&lt;&gt;"",$Q2399&lt;&gt;INDEX(職員マスタ!$E$6:$E$405,$AN2399)),"子の生年月日がマスタと相違／","")&amp;IF(AND($L2399&lt;&gt;"",INDEX(職員マスタ!$G$6:$G$405,$AN2399)&lt;&gt;"",$L2399&lt;&gt;INDEX(職員マスタ!$G$6:$G$405,$AN2399)),"時短開始日がマスタと相違／","")&amp;IF(AND($M2399&lt;&gt;"",INDEX(職員マスタ!$H$6:$H$405,$AN2399)&lt;&gt;"",$M2399&lt;&gt;INDEX(職員マスタ!$H$6:$H$405,$AN2399)),"時短終了日がマスタと相違／","")))&amp;IF(AND($B2399&lt;&gt;"",$E2399=""),"報酬額が未入力／","")&amp;IF(N($U2399)&gt;0,"申請書に入力エラーが残っています／","")&amp;IF(AND($B2399&lt;&gt;"",$AO2399&lt;&gt;""),IF(COUNTIFS($B$6:$B$3005,$B2399,$C$6:$C$3005,$C2399,$D$6:$D$3005,$D2399)&gt;1,"同じ月の請求が重複しています／",""),"")&amp;IF(AND(N($E2399)&gt;0,$Z2399&lt;&gt;"",$Z2399&lt;&gt;"×",$AC2399=0,$AB2399=""),"計算額が下限以下のため不支給／",""))</f>
        <v/>
      </c>
      <c r="AL2399" s="12" t="n"/>
      <c r="AM2399" s="14">
        <f>IF($AD2399="保留中",COUNTIF($AD$6:$AD2399,"保留中"),"")</f>
        <v/>
      </c>
      <c r="AN2399" s="14">
        <f>IF($AO2399="","",IF(SUMPRODUCT(MAX((職員マスタ!$A$6:$A$405=$B2399)*(((職員マスタ!$G$6:$G$405="")+(職員マスタ!$G$6:$G$405&lt;=EOMONTH($AO2399,0)))&gt;0)*(((職員マスタ!$H$6:$H$405="")+(職員マスタ!$H$6:$H$405&gt;=$AO2399))&gt;0)*(ROW(職員マスタ!$A$6:$A$405)-5)))&gt;0,SUMPRODUCT(MAX((職員マスタ!$A$6:$A$405=$B2399)*(((職員マスタ!$G$6:$G$405="")+(職員マスタ!$G$6:$G$405&lt;=EOMONTH($AO2399,0)))&gt;0)*(((職員マスタ!$H$6:$H$405="")+(職員マスタ!$H$6:$H$405&gt;=$AO2399))&gt;0)*(ROW(職員マスタ!$A$6:$A$405)-5))),IFERROR(MATCH($B2399,職員マスタ!$A$6:$A$405,0),"")))</f>
        <v/>
      </c>
      <c r="AO2399" s="16">
        <f>IF(OR($B2399="",$C2399="",$D2399=""),"",DATE($C2399+2018,$D2399,1))</f>
        <v/>
      </c>
    </row>
    <row r="2400">
      <c r="A2400" s="11" t="n"/>
      <c r="B2400" s="12" t="n"/>
      <c r="C2400" s="12" t="n"/>
      <c r="D2400" s="12" t="n"/>
      <c r="E2400" s="13" t="n"/>
      <c r="F2400" s="12" t="n"/>
      <c r="G2400" s="13" t="n"/>
      <c r="H2400" s="12" t="n"/>
      <c r="I2400" s="12" t="n"/>
      <c r="J2400" s="12" t="n"/>
      <c r="K2400" s="12" t="n"/>
      <c r="L2400" s="11" t="n"/>
      <c r="M2400" s="11" t="n"/>
      <c r="N2400" s="11" t="n"/>
      <c r="O2400" s="11" t="n"/>
      <c r="P2400" s="12" t="n"/>
      <c r="Q2400" s="11" t="n"/>
      <c r="R2400" s="12" t="n"/>
      <c r="S2400" s="11" t="n"/>
      <c r="T2400" s="12" t="n"/>
      <c r="U2400" s="12" t="n"/>
      <c r="V2400" s="14">
        <f>IF($AN2400="",IF($B2400="","",$H2400),IF(INDEX(職員マスタ!$B$6:$B$405,$AN2400)="",$H2400,INDEX(職員マスタ!$B$6:$B$405,$AN2400)))</f>
        <v/>
      </c>
      <c r="W2400" s="14">
        <f>IF($AN2400="",IF($B2400="","",$R2400),IF(INDEX(職員マスタ!$C$6:$C$405,$AN2400)="",$R2400,INDEX(職員マスタ!$C$6:$C$405,$AN2400)))</f>
        <v/>
      </c>
      <c r="X2400" s="14">
        <f>IF($AO2400="","","R"&amp;$C2400&amp;"."&amp;$D2400)</f>
        <v/>
      </c>
      <c r="Y2400" s="15">
        <f>IF($AN2400="","",IF(INDEX(職員マスタ!$K$6:$K$405,$AN2400)="","",INDEX(職員マスタ!$K$6:$K$405,$AN2400)))</f>
        <v/>
      </c>
      <c r="Z2400" s="14">
        <f>IF(OR($E2400="",$Y2400=""),"",IF($E2400&gt;=$Y2400,"×",IF($E2400&gt;=$Y2400*設定!$C$5,"△","○")))</f>
        <v/>
      </c>
      <c r="AA2400" s="15">
        <f>IF($Z2400="","",IF($Z2400="×",0,IF($Z2400="○",ROUNDDOWN($E2400*設定!$C$4,0),ROUNDDOWN($E2400*ROUND((9*$Y2400-9*$E2400)/(10*$E2400),4),0))))</f>
        <v/>
      </c>
      <c r="AB2400" s="13" t="n"/>
      <c r="AC2400" s="15">
        <f>IF($B2400="","",IF($AB2400&lt;&gt;"",$AB2400,IF($AA2400="","",IF($AA2400&lt;=設定!$C$3,0,$AA2400))))</f>
        <v/>
      </c>
      <c r="AD2400" s="14">
        <f>IF($B2400="","",IF(AND($AE2400&lt;&gt;"",$AG2400="",$AJ2400=""),"保留中",IF($AJ2400&lt;&gt;"",IF(N($AC2400)&gt;0,"支給済","不支給"),IF($AC2400="","要確認",IF($AC2400=0,"不支給","未処理")))))</f>
        <v/>
      </c>
      <c r="AE2400" s="12" t="n"/>
      <c r="AF2400" s="11" t="n"/>
      <c r="AG2400" s="11" t="n"/>
      <c r="AH2400" s="11" t="n"/>
      <c r="AI2400" s="14">
        <f>IF(AND($AD2400="保留中",$AF2400&lt;&gt;""),TODAY()-$AF2400,"")</f>
        <v/>
      </c>
      <c r="AJ2400" s="12" t="n"/>
      <c r="AK2400" s="14">
        <f>IF($B2400="","",IF($AO2400="","対象年月が未入力／","")&amp;IF($B2400="","",IF($AN2400="","職員マスタに未登録の職員番号／",IF($Y2400="","標準報酬月額が未登録／","")&amp;IF(AND($AO2400&lt;&gt;"",OR(AND(INDEX(職員マスタ!$G$6:$G$405,$AN2400)&lt;&gt;"",INDEX(職員マスタ!$G$6:$G$405,$AN2400)&gt;EOMONTH($AO2400,0)),AND(INDEX(職員マスタ!$H$6:$H$405,$AN2400)&lt;&gt;"",INDEX(職員マスタ!$H$6:$H$405,$AN2400)&lt;$AO2400))),"対象月が時短期間外／","")&amp;IF(AND(INDEX(職員マスタ!$F$6:$F$405,$AN2400)&lt;&gt;"",$AO2400&lt;&gt;"",INDEX(職員マスタ!$F$6:$F$405,$AN2400)&lt;$AO2400),"対象月に子が2歳到達済／","")&amp;IF(AND($H2400&lt;&gt;"",INDEX(職員マスタ!$B$6:$B$405,$AN2400)&lt;&gt;"",SUBSTITUTE(SUBSTITUTE($H2400," ","")," ","")&lt;&gt;SUBSTITUTE(SUBSTITUTE(INDEX(職員マスタ!$B$6:$B$405,$AN2400)," ","")," ","")),"氏名がマスタと相違／","")&amp;IF(AND($Q2400&lt;&gt;"",INDEX(職員マスタ!$E$6:$E$405,$AN2400)&lt;&gt;"",$Q2400&lt;&gt;INDEX(職員マスタ!$E$6:$E$405,$AN2400)),"子の生年月日がマスタと相違／","")&amp;IF(AND($L2400&lt;&gt;"",INDEX(職員マスタ!$G$6:$G$405,$AN2400)&lt;&gt;"",$L2400&lt;&gt;INDEX(職員マスタ!$G$6:$G$405,$AN2400)),"時短開始日がマスタと相違／","")&amp;IF(AND($M2400&lt;&gt;"",INDEX(職員マスタ!$H$6:$H$405,$AN2400)&lt;&gt;"",$M2400&lt;&gt;INDEX(職員マスタ!$H$6:$H$405,$AN2400)),"時短終了日がマスタと相違／","")))&amp;IF(AND($B2400&lt;&gt;"",$E2400=""),"報酬額が未入力／","")&amp;IF(N($U2400)&gt;0,"申請書に入力エラーが残っています／","")&amp;IF(AND($B2400&lt;&gt;"",$AO2400&lt;&gt;""),IF(COUNTIFS($B$6:$B$3005,$B2400,$C$6:$C$3005,$C2400,$D$6:$D$3005,$D2400)&gt;1,"同じ月の請求が重複しています／",""),"")&amp;IF(AND(N($E2400)&gt;0,$Z2400&lt;&gt;"",$Z2400&lt;&gt;"×",$AC2400=0,$AB2400=""),"計算額が下限以下のため不支給／",""))</f>
        <v/>
      </c>
      <c r="AL2400" s="12" t="n"/>
      <c r="AM2400" s="14">
        <f>IF($AD2400="保留中",COUNTIF($AD$6:$AD2400,"保留中"),"")</f>
        <v/>
      </c>
      <c r="AN2400" s="14">
        <f>IF($AO2400="","",IF(SUMPRODUCT(MAX((職員マスタ!$A$6:$A$405=$B2400)*(((職員マスタ!$G$6:$G$405="")+(職員マスタ!$G$6:$G$405&lt;=EOMONTH($AO2400,0)))&gt;0)*(((職員マスタ!$H$6:$H$405="")+(職員マスタ!$H$6:$H$405&gt;=$AO2400))&gt;0)*(ROW(職員マスタ!$A$6:$A$405)-5)))&gt;0,SUMPRODUCT(MAX((職員マスタ!$A$6:$A$405=$B2400)*(((職員マスタ!$G$6:$G$405="")+(職員マスタ!$G$6:$G$405&lt;=EOMONTH($AO2400,0)))&gt;0)*(((職員マスタ!$H$6:$H$405="")+(職員マスタ!$H$6:$H$405&gt;=$AO2400))&gt;0)*(ROW(職員マスタ!$A$6:$A$405)-5))),IFERROR(MATCH($B2400,職員マスタ!$A$6:$A$405,0),"")))</f>
        <v/>
      </c>
      <c r="AO2400" s="16">
        <f>IF(OR($B2400="",$C2400="",$D2400=""),"",DATE($C2400+2018,$D2400,1))</f>
        <v/>
      </c>
    </row>
    <row r="2401">
      <c r="A2401" s="11" t="n"/>
      <c r="B2401" s="12" t="n"/>
      <c r="C2401" s="12" t="n"/>
      <c r="D2401" s="12" t="n"/>
      <c r="E2401" s="13" t="n"/>
      <c r="F2401" s="12" t="n"/>
      <c r="G2401" s="13" t="n"/>
      <c r="H2401" s="12" t="n"/>
      <c r="I2401" s="12" t="n"/>
      <c r="J2401" s="12" t="n"/>
      <c r="K2401" s="12" t="n"/>
      <c r="L2401" s="11" t="n"/>
      <c r="M2401" s="11" t="n"/>
      <c r="N2401" s="11" t="n"/>
      <c r="O2401" s="11" t="n"/>
      <c r="P2401" s="12" t="n"/>
      <c r="Q2401" s="11" t="n"/>
      <c r="R2401" s="12" t="n"/>
      <c r="S2401" s="11" t="n"/>
      <c r="T2401" s="12" t="n"/>
      <c r="U2401" s="12" t="n"/>
      <c r="V2401" s="14">
        <f>IF($AN2401="",IF($B2401="","",$H2401),IF(INDEX(職員マスタ!$B$6:$B$405,$AN2401)="",$H2401,INDEX(職員マスタ!$B$6:$B$405,$AN2401)))</f>
        <v/>
      </c>
      <c r="W2401" s="14">
        <f>IF($AN2401="",IF($B2401="","",$R2401),IF(INDEX(職員マスタ!$C$6:$C$405,$AN2401)="",$R2401,INDEX(職員マスタ!$C$6:$C$405,$AN2401)))</f>
        <v/>
      </c>
      <c r="X2401" s="14">
        <f>IF($AO2401="","","R"&amp;$C2401&amp;"."&amp;$D2401)</f>
        <v/>
      </c>
      <c r="Y2401" s="15">
        <f>IF($AN2401="","",IF(INDEX(職員マスタ!$K$6:$K$405,$AN2401)="","",INDEX(職員マスタ!$K$6:$K$405,$AN2401)))</f>
        <v/>
      </c>
      <c r="Z2401" s="14">
        <f>IF(OR($E2401="",$Y2401=""),"",IF($E2401&gt;=$Y2401,"×",IF($E2401&gt;=$Y2401*設定!$C$5,"△","○")))</f>
        <v/>
      </c>
      <c r="AA2401" s="15">
        <f>IF($Z2401="","",IF($Z2401="×",0,IF($Z2401="○",ROUNDDOWN($E2401*設定!$C$4,0),ROUNDDOWN($E2401*ROUND((9*$Y2401-9*$E2401)/(10*$E2401),4),0))))</f>
        <v/>
      </c>
      <c r="AB2401" s="13" t="n"/>
      <c r="AC2401" s="15">
        <f>IF($B2401="","",IF($AB2401&lt;&gt;"",$AB2401,IF($AA2401="","",IF($AA2401&lt;=設定!$C$3,0,$AA2401))))</f>
        <v/>
      </c>
      <c r="AD2401" s="14">
        <f>IF($B2401="","",IF(AND($AE2401&lt;&gt;"",$AG2401="",$AJ2401=""),"保留中",IF($AJ2401&lt;&gt;"",IF(N($AC2401)&gt;0,"支給済","不支給"),IF($AC2401="","要確認",IF($AC2401=0,"不支給","未処理")))))</f>
        <v/>
      </c>
      <c r="AE2401" s="12" t="n"/>
      <c r="AF2401" s="11" t="n"/>
      <c r="AG2401" s="11" t="n"/>
      <c r="AH2401" s="11" t="n"/>
      <c r="AI2401" s="14">
        <f>IF(AND($AD2401="保留中",$AF2401&lt;&gt;""),TODAY()-$AF2401,"")</f>
        <v/>
      </c>
      <c r="AJ2401" s="12" t="n"/>
      <c r="AK2401" s="14">
        <f>IF($B2401="","",IF($AO2401="","対象年月が未入力／","")&amp;IF($B2401="","",IF($AN2401="","職員マスタに未登録の職員番号／",IF($Y2401="","標準報酬月額が未登録／","")&amp;IF(AND($AO2401&lt;&gt;"",OR(AND(INDEX(職員マスタ!$G$6:$G$405,$AN2401)&lt;&gt;"",INDEX(職員マスタ!$G$6:$G$405,$AN2401)&gt;EOMONTH($AO2401,0)),AND(INDEX(職員マスタ!$H$6:$H$405,$AN2401)&lt;&gt;"",INDEX(職員マスタ!$H$6:$H$405,$AN2401)&lt;$AO2401))),"対象月が時短期間外／","")&amp;IF(AND(INDEX(職員マスタ!$F$6:$F$405,$AN2401)&lt;&gt;"",$AO2401&lt;&gt;"",INDEX(職員マスタ!$F$6:$F$405,$AN2401)&lt;$AO2401),"対象月に子が2歳到達済／","")&amp;IF(AND($H2401&lt;&gt;"",INDEX(職員マスタ!$B$6:$B$405,$AN2401)&lt;&gt;"",SUBSTITUTE(SUBSTITUTE($H2401," ","")," ","")&lt;&gt;SUBSTITUTE(SUBSTITUTE(INDEX(職員マスタ!$B$6:$B$405,$AN2401)," ","")," ","")),"氏名がマスタと相違／","")&amp;IF(AND($Q2401&lt;&gt;"",INDEX(職員マスタ!$E$6:$E$405,$AN2401)&lt;&gt;"",$Q2401&lt;&gt;INDEX(職員マスタ!$E$6:$E$405,$AN2401)),"子の生年月日がマスタと相違／","")&amp;IF(AND($L2401&lt;&gt;"",INDEX(職員マスタ!$G$6:$G$405,$AN2401)&lt;&gt;"",$L2401&lt;&gt;INDEX(職員マスタ!$G$6:$G$405,$AN2401)),"時短開始日がマスタと相違／","")&amp;IF(AND($M2401&lt;&gt;"",INDEX(職員マスタ!$H$6:$H$405,$AN2401)&lt;&gt;"",$M2401&lt;&gt;INDEX(職員マスタ!$H$6:$H$405,$AN2401)),"時短終了日がマスタと相違／","")))&amp;IF(AND($B2401&lt;&gt;"",$E2401=""),"報酬額が未入力／","")&amp;IF(N($U2401)&gt;0,"申請書に入力エラーが残っています／","")&amp;IF(AND($B2401&lt;&gt;"",$AO2401&lt;&gt;""),IF(COUNTIFS($B$6:$B$3005,$B2401,$C$6:$C$3005,$C2401,$D$6:$D$3005,$D2401)&gt;1,"同じ月の請求が重複しています／",""),"")&amp;IF(AND(N($E2401)&gt;0,$Z2401&lt;&gt;"",$Z2401&lt;&gt;"×",$AC2401=0,$AB2401=""),"計算額が下限以下のため不支給／",""))</f>
        <v/>
      </c>
      <c r="AL2401" s="12" t="n"/>
      <c r="AM2401" s="14">
        <f>IF($AD2401="保留中",COUNTIF($AD$6:$AD2401,"保留中"),"")</f>
        <v/>
      </c>
      <c r="AN2401" s="14">
        <f>IF($AO2401="","",IF(SUMPRODUCT(MAX((職員マスタ!$A$6:$A$405=$B2401)*(((職員マスタ!$G$6:$G$405="")+(職員マスタ!$G$6:$G$405&lt;=EOMONTH($AO2401,0)))&gt;0)*(((職員マスタ!$H$6:$H$405="")+(職員マスタ!$H$6:$H$405&gt;=$AO2401))&gt;0)*(ROW(職員マスタ!$A$6:$A$405)-5)))&gt;0,SUMPRODUCT(MAX((職員マスタ!$A$6:$A$405=$B2401)*(((職員マスタ!$G$6:$G$405="")+(職員マスタ!$G$6:$G$405&lt;=EOMONTH($AO2401,0)))&gt;0)*(((職員マスタ!$H$6:$H$405="")+(職員マスタ!$H$6:$H$405&gt;=$AO2401))&gt;0)*(ROW(職員マスタ!$A$6:$A$405)-5))),IFERROR(MATCH($B2401,職員マスタ!$A$6:$A$405,0),"")))</f>
        <v/>
      </c>
      <c r="AO2401" s="16">
        <f>IF(OR($B2401="",$C2401="",$D2401=""),"",DATE($C2401+2018,$D2401,1))</f>
        <v/>
      </c>
    </row>
    <row r="2402">
      <c r="A2402" s="11" t="n"/>
      <c r="B2402" s="12" t="n"/>
      <c r="C2402" s="12" t="n"/>
      <c r="D2402" s="12" t="n"/>
      <c r="E2402" s="13" t="n"/>
      <c r="F2402" s="12" t="n"/>
      <c r="G2402" s="13" t="n"/>
      <c r="H2402" s="12" t="n"/>
      <c r="I2402" s="12" t="n"/>
      <c r="J2402" s="12" t="n"/>
      <c r="K2402" s="12" t="n"/>
      <c r="L2402" s="11" t="n"/>
      <c r="M2402" s="11" t="n"/>
      <c r="N2402" s="11" t="n"/>
      <c r="O2402" s="11" t="n"/>
      <c r="P2402" s="12" t="n"/>
      <c r="Q2402" s="11" t="n"/>
      <c r="R2402" s="12" t="n"/>
      <c r="S2402" s="11" t="n"/>
      <c r="T2402" s="12" t="n"/>
      <c r="U2402" s="12" t="n"/>
      <c r="V2402" s="14">
        <f>IF($AN2402="",IF($B2402="","",$H2402),IF(INDEX(職員マスタ!$B$6:$B$405,$AN2402)="",$H2402,INDEX(職員マスタ!$B$6:$B$405,$AN2402)))</f>
        <v/>
      </c>
      <c r="W2402" s="14">
        <f>IF($AN2402="",IF($B2402="","",$R2402),IF(INDEX(職員マスタ!$C$6:$C$405,$AN2402)="",$R2402,INDEX(職員マスタ!$C$6:$C$405,$AN2402)))</f>
        <v/>
      </c>
      <c r="X2402" s="14">
        <f>IF($AO2402="","","R"&amp;$C2402&amp;"."&amp;$D2402)</f>
        <v/>
      </c>
      <c r="Y2402" s="15">
        <f>IF($AN2402="","",IF(INDEX(職員マスタ!$K$6:$K$405,$AN2402)="","",INDEX(職員マスタ!$K$6:$K$405,$AN2402)))</f>
        <v/>
      </c>
      <c r="Z2402" s="14">
        <f>IF(OR($E2402="",$Y2402=""),"",IF($E2402&gt;=$Y2402,"×",IF($E2402&gt;=$Y2402*設定!$C$5,"△","○")))</f>
        <v/>
      </c>
      <c r="AA2402" s="15">
        <f>IF($Z2402="","",IF($Z2402="×",0,IF($Z2402="○",ROUNDDOWN($E2402*設定!$C$4,0),ROUNDDOWN($E2402*ROUND((9*$Y2402-9*$E2402)/(10*$E2402),4),0))))</f>
        <v/>
      </c>
      <c r="AB2402" s="13" t="n"/>
      <c r="AC2402" s="15">
        <f>IF($B2402="","",IF($AB2402&lt;&gt;"",$AB2402,IF($AA2402="","",IF($AA2402&lt;=設定!$C$3,0,$AA2402))))</f>
        <v/>
      </c>
      <c r="AD2402" s="14">
        <f>IF($B2402="","",IF(AND($AE2402&lt;&gt;"",$AG2402="",$AJ2402=""),"保留中",IF($AJ2402&lt;&gt;"",IF(N($AC2402)&gt;0,"支給済","不支給"),IF($AC2402="","要確認",IF($AC2402=0,"不支給","未処理")))))</f>
        <v/>
      </c>
      <c r="AE2402" s="12" t="n"/>
      <c r="AF2402" s="11" t="n"/>
      <c r="AG2402" s="11" t="n"/>
      <c r="AH2402" s="11" t="n"/>
      <c r="AI2402" s="14">
        <f>IF(AND($AD2402="保留中",$AF2402&lt;&gt;""),TODAY()-$AF2402,"")</f>
        <v/>
      </c>
      <c r="AJ2402" s="12" t="n"/>
      <c r="AK2402" s="14">
        <f>IF($B2402="","",IF($AO2402="","対象年月が未入力／","")&amp;IF($B2402="","",IF($AN2402="","職員マスタに未登録の職員番号／",IF($Y2402="","標準報酬月額が未登録／","")&amp;IF(AND($AO2402&lt;&gt;"",OR(AND(INDEX(職員マスタ!$G$6:$G$405,$AN2402)&lt;&gt;"",INDEX(職員マスタ!$G$6:$G$405,$AN2402)&gt;EOMONTH($AO2402,0)),AND(INDEX(職員マスタ!$H$6:$H$405,$AN2402)&lt;&gt;"",INDEX(職員マスタ!$H$6:$H$405,$AN2402)&lt;$AO2402))),"対象月が時短期間外／","")&amp;IF(AND(INDEX(職員マスタ!$F$6:$F$405,$AN2402)&lt;&gt;"",$AO2402&lt;&gt;"",INDEX(職員マスタ!$F$6:$F$405,$AN2402)&lt;$AO2402),"対象月に子が2歳到達済／","")&amp;IF(AND($H2402&lt;&gt;"",INDEX(職員マスタ!$B$6:$B$405,$AN2402)&lt;&gt;"",SUBSTITUTE(SUBSTITUTE($H2402," ","")," ","")&lt;&gt;SUBSTITUTE(SUBSTITUTE(INDEX(職員マスタ!$B$6:$B$405,$AN2402)," ","")," ","")),"氏名がマスタと相違／","")&amp;IF(AND($Q2402&lt;&gt;"",INDEX(職員マスタ!$E$6:$E$405,$AN2402)&lt;&gt;"",$Q2402&lt;&gt;INDEX(職員マスタ!$E$6:$E$405,$AN2402)),"子の生年月日がマスタと相違／","")&amp;IF(AND($L2402&lt;&gt;"",INDEX(職員マスタ!$G$6:$G$405,$AN2402)&lt;&gt;"",$L2402&lt;&gt;INDEX(職員マスタ!$G$6:$G$405,$AN2402)),"時短開始日がマスタと相違／","")&amp;IF(AND($M2402&lt;&gt;"",INDEX(職員マスタ!$H$6:$H$405,$AN2402)&lt;&gt;"",$M2402&lt;&gt;INDEX(職員マスタ!$H$6:$H$405,$AN2402)),"時短終了日がマスタと相違／","")))&amp;IF(AND($B2402&lt;&gt;"",$E2402=""),"報酬額が未入力／","")&amp;IF(N($U2402)&gt;0,"申請書に入力エラーが残っています／","")&amp;IF(AND($B2402&lt;&gt;"",$AO2402&lt;&gt;""),IF(COUNTIFS($B$6:$B$3005,$B2402,$C$6:$C$3005,$C2402,$D$6:$D$3005,$D2402)&gt;1,"同じ月の請求が重複しています／",""),"")&amp;IF(AND(N($E2402)&gt;0,$Z2402&lt;&gt;"",$Z2402&lt;&gt;"×",$AC2402=0,$AB2402=""),"計算額が下限以下のため不支給／",""))</f>
        <v/>
      </c>
      <c r="AL2402" s="12" t="n"/>
      <c r="AM2402" s="14">
        <f>IF($AD2402="保留中",COUNTIF($AD$6:$AD2402,"保留中"),"")</f>
        <v/>
      </c>
      <c r="AN2402" s="14">
        <f>IF($AO2402="","",IF(SUMPRODUCT(MAX((職員マスタ!$A$6:$A$405=$B2402)*(((職員マスタ!$G$6:$G$405="")+(職員マスタ!$G$6:$G$405&lt;=EOMONTH($AO2402,0)))&gt;0)*(((職員マスタ!$H$6:$H$405="")+(職員マスタ!$H$6:$H$405&gt;=$AO2402))&gt;0)*(ROW(職員マスタ!$A$6:$A$405)-5)))&gt;0,SUMPRODUCT(MAX((職員マスタ!$A$6:$A$405=$B2402)*(((職員マスタ!$G$6:$G$405="")+(職員マスタ!$G$6:$G$405&lt;=EOMONTH($AO2402,0)))&gt;0)*(((職員マスタ!$H$6:$H$405="")+(職員マスタ!$H$6:$H$405&gt;=$AO2402))&gt;0)*(ROW(職員マスタ!$A$6:$A$405)-5))),IFERROR(MATCH($B2402,職員マスタ!$A$6:$A$405,0),"")))</f>
        <v/>
      </c>
      <c r="AO2402" s="16">
        <f>IF(OR($B2402="",$C2402="",$D2402=""),"",DATE($C2402+2018,$D2402,1))</f>
        <v/>
      </c>
    </row>
    <row r="2403">
      <c r="A2403" s="11" t="n"/>
      <c r="B2403" s="12" t="n"/>
      <c r="C2403" s="12" t="n"/>
      <c r="D2403" s="12" t="n"/>
      <c r="E2403" s="13" t="n"/>
      <c r="F2403" s="12" t="n"/>
      <c r="G2403" s="13" t="n"/>
      <c r="H2403" s="12" t="n"/>
      <c r="I2403" s="12" t="n"/>
      <c r="J2403" s="12" t="n"/>
      <c r="K2403" s="12" t="n"/>
      <c r="L2403" s="11" t="n"/>
      <c r="M2403" s="11" t="n"/>
      <c r="N2403" s="11" t="n"/>
      <c r="O2403" s="11" t="n"/>
      <c r="P2403" s="12" t="n"/>
      <c r="Q2403" s="11" t="n"/>
      <c r="R2403" s="12" t="n"/>
      <c r="S2403" s="11" t="n"/>
      <c r="T2403" s="12" t="n"/>
      <c r="U2403" s="12" t="n"/>
      <c r="V2403" s="14">
        <f>IF($AN2403="",IF($B2403="","",$H2403),IF(INDEX(職員マスタ!$B$6:$B$405,$AN2403)="",$H2403,INDEX(職員マスタ!$B$6:$B$405,$AN2403)))</f>
        <v/>
      </c>
      <c r="W2403" s="14">
        <f>IF($AN2403="",IF($B2403="","",$R2403),IF(INDEX(職員マスタ!$C$6:$C$405,$AN2403)="",$R2403,INDEX(職員マスタ!$C$6:$C$405,$AN2403)))</f>
        <v/>
      </c>
      <c r="X2403" s="14">
        <f>IF($AO2403="","","R"&amp;$C2403&amp;"."&amp;$D2403)</f>
        <v/>
      </c>
      <c r="Y2403" s="15">
        <f>IF($AN2403="","",IF(INDEX(職員マスタ!$K$6:$K$405,$AN2403)="","",INDEX(職員マスタ!$K$6:$K$405,$AN2403)))</f>
        <v/>
      </c>
      <c r="Z2403" s="14">
        <f>IF(OR($E2403="",$Y2403=""),"",IF($E2403&gt;=$Y2403,"×",IF($E2403&gt;=$Y2403*設定!$C$5,"△","○")))</f>
        <v/>
      </c>
      <c r="AA2403" s="15">
        <f>IF($Z2403="","",IF($Z2403="×",0,IF($Z2403="○",ROUNDDOWN($E2403*設定!$C$4,0),ROUNDDOWN($E2403*ROUND((9*$Y2403-9*$E2403)/(10*$E2403),4),0))))</f>
        <v/>
      </c>
      <c r="AB2403" s="13" t="n"/>
      <c r="AC2403" s="15">
        <f>IF($B2403="","",IF($AB2403&lt;&gt;"",$AB2403,IF($AA2403="","",IF($AA2403&lt;=設定!$C$3,0,$AA2403))))</f>
        <v/>
      </c>
      <c r="AD2403" s="14">
        <f>IF($B2403="","",IF(AND($AE2403&lt;&gt;"",$AG2403="",$AJ2403=""),"保留中",IF($AJ2403&lt;&gt;"",IF(N($AC2403)&gt;0,"支給済","不支給"),IF($AC2403="","要確認",IF($AC2403=0,"不支給","未処理")))))</f>
        <v/>
      </c>
      <c r="AE2403" s="12" t="n"/>
      <c r="AF2403" s="11" t="n"/>
      <c r="AG2403" s="11" t="n"/>
      <c r="AH2403" s="11" t="n"/>
      <c r="AI2403" s="14">
        <f>IF(AND($AD2403="保留中",$AF2403&lt;&gt;""),TODAY()-$AF2403,"")</f>
        <v/>
      </c>
      <c r="AJ2403" s="12" t="n"/>
      <c r="AK2403" s="14">
        <f>IF($B2403="","",IF($AO2403="","対象年月が未入力／","")&amp;IF($B2403="","",IF($AN2403="","職員マスタに未登録の職員番号／",IF($Y2403="","標準報酬月額が未登録／","")&amp;IF(AND($AO2403&lt;&gt;"",OR(AND(INDEX(職員マスタ!$G$6:$G$405,$AN2403)&lt;&gt;"",INDEX(職員マスタ!$G$6:$G$405,$AN2403)&gt;EOMONTH($AO2403,0)),AND(INDEX(職員マスタ!$H$6:$H$405,$AN2403)&lt;&gt;"",INDEX(職員マスタ!$H$6:$H$405,$AN2403)&lt;$AO2403))),"対象月が時短期間外／","")&amp;IF(AND(INDEX(職員マスタ!$F$6:$F$405,$AN2403)&lt;&gt;"",$AO2403&lt;&gt;"",INDEX(職員マスタ!$F$6:$F$405,$AN2403)&lt;$AO2403),"対象月に子が2歳到達済／","")&amp;IF(AND($H2403&lt;&gt;"",INDEX(職員マスタ!$B$6:$B$405,$AN2403)&lt;&gt;"",SUBSTITUTE(SUBSTITUTE($H2403," ","")," ","")&lt;&gt;SUBSTITUTE(SUBSTITUTE(INDEX(職員マスタ!$B$6:$B$405,$AN2403)," ","")," ","")),"氏名がマスタと相違／","")&amp;IF(AND($Q2403&lt;&gt;"",INDEX(職員マスタ!$E$6:$E$405,$AN2403)&lt;&gt;"",$Q2403&lt;&gt;INDEX(職員マスタ!$E$6:$E$405,$AN2403)),"子の生年月日がマスタと相違／","")&amp;IF(AND($L2403&lt;&gt;"",INDEX(職員マスタ!$G$6:$G$405,$AN2403)&lt;&gt;"",$L2403&lt;&gt;INDEX(職員マスタ!$G$6:$G$405,$AN2403)),"時短開始日がマスタと相違／","")&amp;IF(AND($M2403&lt;&gt;"",INDEX(職員マスタ!$H$6:$H$405,$AN2403)&lt;&gt;"",$M2403&lt;&gt;INDEX(職員マスタ!$H$6:$H$405,$AN2403)),"時短終了日がマスタと相違／","")))&amp;IF(AND($B2403&lt;&gt;"",$E2403=""),"報酬額が未入力／","")&amp;IF(N($U2403)&gt;0,"申請書に入力エラーが残っています／","")&amp;IF(AND($B2403&lt;&gt;"",$AO2403&lt;&gt;""),IF(COUNTIFS($B$6:$B$3005,$B2403,$C$6:$C$3005,$C2403,$D$6:$D$3005,$D2403)&gt;1,"同じ月の請求が重複しています／",""),"")&amp;IF(AND(N($E2403)&gt;0,$Z2403&lt;&gt;"",$Z2403&lt;&gt;"×",$AC2403=0,$AB2403=""),"計算額が下限以下のため不支給／",""))</f>
        <v/>
      </c>
      <c r="AL2403" s="12" t="n"/>
      <c r="AM2403" s="14">
        <f>IF($AD2403="保留中",COUNTIF($AD$6:$AD2403,"保留中"),"")</f>
        <v/>
      </c>
      <c r="AN2403" s="14">
        <f>IF($AO2403="","",IF(SUMPRODUCT(MAX((職員マスタ!$A$6:$A$405=$B2403)*(((職員マスタ!$G$6:$G$405="")+(職員マスタ!$G$6:$G$405&lt;=EOMONTH($AO2403,0)))&gt;0)*(((職員マスタ!$H$6:$H$405="")+(職員マスタ!$H$6:$H$405&gt;=$AO2403))&gt;0)*(ROW(職員マスタ!$A$6:$A$405)-5)))&gt;0,SUMPRODUCT(MAX((職員マスタ!$A$6:$A$405=$B2403)*(((職員マスタ!$G$6:$G$405="")+(職員マスタ!$G$6:$G$405&lt;=EOMONTH($AO2403,0)))&gt;0)*(((職員マスタ!$H$6:$H$405="")+(職員マスタ!$H$6:$H$405&gt;=$AO2403))&gt;0)*(ROW(職員マスタ!$A$6:$A$405)-5))),IFERROR(MATCH($B2403,職員マスタ!$A$6:$A$405,0),"")))</f>
        <v/>
      </c>
      <c r="AO2403" s="16">
        <f>IF(OR($B2403="",$C2403="",$D2403=""),"",DATE($C2403+2018,$D2403,1))</f>
        <v/>
      </c>
    </row>
    <row r="2404">
      <c r="A2404" s="11" t="n"/>
      <c r="B2404" s="12" t="n"/>
      <c r="C2404" s="12" t="n"/>
      <c r="D2404" s="12" t="n"/>
      <c r="E2404" s="13" t="n"/>
      <c r="F2404" s="12" t="n"/>
      <c r="G2404" s="13" t="n"/>
      <c r="H2404" s="12" t="n"/>
      <c r="I2404" s="12" t="n"/>
      <c r="J2404" s="12" t="n"/>
      <c r="K2404" s="12" t="n"/>
      <c r="L2404" s="11" t="n"/>
      <c r="M2404" s="11" t="n"/>
      <c r="N2404" s="11" t="n"/>
      <c r="O2404" s="11" t="n"/>
      <c r="P2404" s="12" t="n"/>
      <c r="Q2404" s="11" t="n"/>
      <c r="R2404" s="12" t="n"/>
      <c r="S2404" s="11" t="n"/>
      <c r="T2404" s="12" t="n"/>
      <c r="U2404" s="12" t="n"/>
      <c r="V2404" s="14">
        <f>IF($AN2404="",IF($B2404="","",$H2404),IF(INDEX(職員マスタ!$B$6:$B$405,$AN2404)="",$H2404,INDEX(職員マスタ!$B$6:$B$405,$AN2404)))</f>
        <v/>
      </c>
      <c r="W2404" s="14">
        <f>IF($AN2404="",IF($B2404="","",$R2404),IF(INDEX(職員マスタ!$C$6:$C$405,$AN2404)="",$R2404,INDEX(職員マスタ!$C$6:$C$405,$AN2404)))</f>
        <v/>
      </c>
      <c r="X2404" s="14">
        <f>IF($AO2404="","","R"&amp;$C2404&amp;"."&amp;$D2404)</f>
        <v/>
      </c>
      <c r="Y2404" s="15">
        <f>IF($AN2404="","",IF(INDEX(職員マスタ!$K$6:$K$405,$AN2404)="","",INDEX(職員マスタ!$K$6:$K$405,$AN2404)))</f>
        <v/>
      </c>
      <c r="Z2404" s="14">
        <f>IF(OR($E2404="",$Y2404=""),"",IF($E2404&gt;=$Y2404,"×",IF($E2404&gt;=$Y2404*設定!$C$5,"△","○")))</f>
        <v/>
      </c>
      <c r="AA2404" s="15">
        <f>IF($Z2404="","",IF($Z2404="×",0,IF($Z2404="○",ROUNDDOWN($E2404*設定!$C$4,0),ROUNDDOWN($E2404*ROUND((9*$Y2404-9*$E2404)/(10*$E2404),4),0))))</f>
        <v/>
      </c>
      <c r="AB2404" s="13" t="n"/>
      <c r="AC2404" s="15">
        <f>IF($B2404="","",IF($AB2404&lt;&gt;"",$AB2404,IF($AA2404="","",IF($AA2404&lt;=設定!$C$3,0,$AA2404))))</f>
        <v/>
      </c>
      <c r="AD2404" s="14">
        <f>IF($B2404="","",IF(AND($AE2404&lt;&gt;"",$AG2404="",$AJ2404=""),"保留中",IF($AJ2404&lt;&gt;"",IF(N($AC2404)&gt;0,"支給済","不支給"),IF($AC2404="","要確認",IF($AC2404=0,"不支給","未処理")))))</f>
        <v/>
      </c>
      <c r="AE2404" s="12" t="n"/>
      <c r="AF2404" s="11" t="n"/>
      <c r="AG2404" s="11" t="n"/>
      <c r="AH2404" s="11" t="n"/>
      <c r="AI2404" s="14">
        <f>IF(AND($AD2404="保留中",$AF2404&lt;&gt;""),TODAY()-$AF2404,"")</f>
        <v/>
      </c>
      <c r="AJ2404" s="12" t="n"/>
      <c r="AK2404" s="14">
        <f>IF($B2404="","",IF($AO2404="","対象年月が未入力／","")&amp;IF($B2404="","",IF($AN2404="","職員マスタに未登録の職員番号／",IF($Y2404="","標準報酬月額が未登録／","")&amp;IF(AND($AO2404&lt;&gt;"",OR(AND(INDEX(職員マスタ!$G$6:$G$405,$AN2404)&lt;&gt;"",INDEX(職員マスタ!$G$6:$G$405,$AN2404)&gt;EOMONTH($AO2404,0)),AND(INDEX(職員マスタ!$H$6:$H$405,$AN2404)&lt;&gt;"",INDEX(職員マスタ!$H$6:$H$405,$AN2404)&lt;$AO2404))),"対象月が時短期間外／","")&amp;IF(AND(INDEX(職員マスタ!$F$6:$F$405,$AN2404)&lt;&gt;"",$AO2404&lt;&gt;"",INDEX(職員マスタ!$F$6:$F$405,$AN2404)&lt;$AO2404),"対象月に子が2歳到達済／","")&amp;IF(AND($H2404&lt;&gt;"",INDEX(職員マスタ!$B$6:$B$405,$AN2404)&lt;&gt;"",SUBSTITUTE(SUBSTITUTE($H2404," ","")," ","")&lt;&gt;SUBSTITUTE(SUBSTITUTE(INDEX(職員マスタ!$B$6:$B$405,$AN2404)," ","")," ","")),"氏名がマスタと相違／","")&amp;IF(AND($Q2404&lt;&gt;"",INDEX(職員マスタ!$E$6:$E$405,$AN2404)&lt;&gt;"",$Q2404&lt;&gt;INDEX(職員マスタ!$E$6:$E$405,$AN2404)),"子の生年月日がマスタと相違／","")&amp;IF(AND($L2404&lt;&gt;"",INDEX(職員マスタ!$G$6:$G$405,$AN2404)&lt;&gt;"",$L2404&lt;&gt;INDEX(職員マスタ!$G$6:$G$405,$AN2404)),"時短開始日がマスタと相違／","")&amp;IF(AND($M2404&lt;&gt;"",INDEX(職員マスタ!$H$6:$H$405,$AN2404)&lt;&gt;"",$M2404&lt;&gt;INDEX(職員マスタ!$H$6:$H$405,$AN2404)),"時短終了日がマスタと相違／","")))&amp;IF(AND($B2404&lt;&gt;"",$E2404=""),"報酬額が未入力／","")&amp;IF(N($U2404)&gt;0,"申請書に入力エラーが残っています／","")&amp;IF(AND($B2404&lt;&gt;"",$AO2404&lt;&gt;""),IF(COUNTIFS($B$6:$B$3005,$B2404,$C$6:$C$3005,$C2404,$D$6:$D$3005,$D2404)&gt;1,"同じ月の請求が重複しています／",""),"")&amp;IF(AND(N($E2404)&gt;0,$Z2404&lt;&gt;"",$Z2404&lt;&gt;"×",$AC2404=0,$AB2404=""),"計算額が下限以下のため不支給／",""))</f>
        <v/>
      </c>
      <c r="AL2404" s="12" t="n"/>
      <c r="AM2404" s="14">
        <f>IF($AD2404="保留中",COUNTIF($AD$6:$AD2404,"保留中"),"")</f>
        <v/>
      </c>
      <c r="AN2404" s="14">
        <f>IF($AO2404="","",IF(SUMPRODUCT(MAX((職員マスタ!$A$6:$A$405=$B2404)*(((職員マスタ!$G$6:$G$405="")+(職員マスタ!$G$6:$G$405&lt;=EOMONTH($AO2404,0)))&gt;0)*(((職員マスタ!$H$6:$H$405="")+(職員マスタ!$H$6:$H$405&gt;=$AO2404))&gt;0)*(ROW(職員マスタ!$A$6:$A$405)-5)))&gt;0,SUMPRODUCT(MAX((職員マスタ!$A$6:$A$405=$B2404)*(((職員マスタ!$G$6:$G$405="")+(職員マスタ!$G$6:$G$405&lt;=EOMONTH($AO2404,0)))&gt;0)*(((職員マスタ!$H$6:$H$405="")+(職員マスタ!$H$6:$H$405&gt;=$AO2404))&gt;0)*(ROW(職員マスタ!$A$6:$A$405)-5))),IFERROR(MATCH($B2404,職員マスタ!$A$6:$A$405,0),"")))</f>
        <v/>
      </c>
      <c r="AO2404" s="16">
        <f>IF(OR($B2404="",$C2404="",$D2404=""),"",DATE($C2404+2018,$D2404,1))</f>
        <v/>
      </c>
    </row>
    <row r="2405">
      <c r="A2405" s="11" t="n"/>
      <c r="B2405" s="12" t="n"/>
      <c r="C2405" s="12" t="n"/>
      <c r="D2405" s="12" t="n"/>
      <c r="E2405" s="13" t="n"/>
      <c r="F2405" s="12" t="n"/>
      <c r="G2405" s="13" t="n"/>
      <c r="H2405" s="12" t="n"/>
      <c r="I2405" s="12" t="n"/>
      <c r="J2405" s="12" t="n"/>
      <c r="K2405" s="12" t="n"/>
      <c r="L2405" s="11" t="n"/>
      <c r="M2405" s="11" t="n"/>
      <c r="N2405" s="11" t="n"/>
      <c r="O2405" s="11" t="n"/>
      <c r="P2405" s="12" t="n"/>
      <c r="Q2405" s="11" t="n"/>
      <c r="R2405" s="12" t="n"/>
      <c r="S2405" s="11" t="n"/>
      <c r="T2405" s="12" t="n"/>
      <c r="U2405" s="12" t="n"/>
      <c r="V2405" s="14">
        <f>IF($AN2405="",IF($B2405="","",$H2405),IF(INDEX(職員マスタ!$B$6:$B$405,$AN2405)="",$H2405,INDEX(職員マスタ!$B$6:$B$405,$AN2405)))</f>
        <v/>
      </c>
      <c r="W2405" s="14">
        <f>IF($AN2405="",IF($B2405="","",$R2405),IF(INDEX(職員マスタ!$C$6:$C$405,$AN2405)="",$R2405,INDEX(職員マスタ!$C$6:$C$405,$AN2405)))</f>
        <v/>
      </c>
      <c r="X2405" s="14">
        <f>IF($AO2405="","","R"&amp;$C2405&amp;"."&amp;$D2405)</f>
        <v/>
      </c>
      <c r="Y2405" s="15">
        <f>IF($AN2405="","",IF(INDEX(職員マスタ!$K$6:$K$405,$AN2405)="","",INDEX(職員マスタ!$K$6:$K$405,$AN2405)))</f>
        <v/>
      </c>
      <c r="Z2405" s="14">
        <f>IF(OR($E2405="",$Y2405=""),"",IF($E2405&gt;=$Y2405,"×",IF($E2405&gt;=$Y2405*設定!$C$5,"△","○")))</f>
        <v/>
      </c>
      <c r="AA2405" s="15">
        <f>IF($Z2405="","",IF($Z2405="×",0,IF($Z2405="○",ROUNDDOWN($E2405*設定!$C$4,0),ROUNDDOWN($E2405*ROUND((9*$Y2405-9*$E2405)/(10*$E2405),4),0))))</f>
        <v/>
      </c>
      <c r="AB2405" s="13" t="n"/>
      <c r="AC2405" s="15">
        <f>IF($B2405="","",IF($AB2405&lt;&gt;"",$AB2405,IF($AA2405="","",IF($AA2405&lt;=設定!$C$3,0,$AA2405))))</f>
        <v/>
      </c>
      <c r="AD2405" s="14">
        <f>IF($B2405="","",IF(AND($AE2405&lt;&gt;"",$AG2405="",$AJ2405=""),"保留中",IF($AJ2405&lt;&gt;"",IF(N($AC2405)&gt;0,"支給済","不支給"),IF($AC2405="","要確認",IF($AC2405=0,"不支給","未処理")))))</f>
        <v/>
      </c>
      <c r="AE2405" s="12" t="n"/>
      <c r="AF2405" s="11" t="n"/>
      <c r="AG2405" s="11" t="n"/>
      <c r="AH2405" s="11" t="n"/>
      <c r="AI2405" s="14">
        <f>IF(AND($AD2405="保留中",$AF2405&lt;&gt;""),TODAY()-$AF2405,"")</f>
        <v/>
      </c>
      <c r="AJ2405" s="12" t="n"/>
      <c r="AK2405" s="14">
        <f>IF($B2405="","",IF($AO2405="","対象年月が未入力／","")&amp;IF($B2405="","",IF($AN2405="","職員マスタに未登録の職員番号／",IF($Y2405="","標準報酬月額が未登録／","")&amp;IF(AND($AO2405&lt;&gt;"",OR(AND(INDEX(職員マスタ!$G$6:$G$405,$AN2405)&lt;&gt;"",INDEX(職員マスタ!$G$6:$G$405,$AN2405)&gt;EOMONTH($AO2405,0)),AND(INDEX(職員マスタ!$H$6:$H$405,$AN2405)&lt;&gt;"",INDEX(職員マスタ!$H$6:$H$405,$AN2405)&lt;$AO2405))),"対象月が時短期間外／","")&amp;IF(AND(INDEX(職員マスタ!$F$6:$F$405,$AN2405)&lt;&gt;"",$AO2405&lt;&gt;"",INDEX(職員マスタ!$F$6:$F$405,$AN2405)&lt;$AO2405),"対象月に子が2歳到達済／","")&amp;IF(AND($H2405&lt;&gt;"",INDEX(職員マスタ!$B$6:$B$405,$AN2405)&lt;&gt;"",SUBSTITUTE(SUBSTITUTE($H2405," ","")," ","")&lt;&gt;SUBSTITUTE(SUBSTITUTE(INDEX(職員マスタ!$B$6:$B$405,$AN2405)," ","")," ","")),"氏名がマスタと相違／","")&amp;IF(AND($Q2405&lt;&gt;"",INDEX(職員マスタ!$E$6:$E$405,$AN2405)&lt;&gt;"",$Q2405&lt;&gt;INDEX(職員マスタ!$E$6:$E$405,$AN2405)),"子の生年月日がマスタと相違／","")&amp;IF(AND($L2405&lt;&gt;"",INDEX(職員マスタ!$G$6:$G$405,$AN2405)&lt;&gt;"",$L2405&lt;&gt;INDEX(職員マスタ!$G$6:$G$405,$AN2405)),"時短開始日がマスタと相違／","")&amp;IF(AND($M2405&lt;&gt;"",INDEX(職員マスタ!$H$6:$H$405,$AN2405)&lt;&gt;"",$M2405&lt;&gt;INDEX(職員マスタ!$H$6:$H$405,$AN2405)),"時短終了日がマスタと相違／","")))&amp;IF(AND($B2405&lt;&gt;"",$E2405=""),"報酬額が未入力／","")&amp;IF(N($U2405)&gt;0,"申請書に入力エラーが残っています／","")&amp;IF(AND($B2405&lt;&gt;"",$AO2405&lt;&gt;""),IF(COUNTIFS($B$6:$B$3005,$B2405,$C$6:$C$3005,$C2405,$D$6:$D$3005,$D2405)&gt;1,"同じ月の請求が重複しています／",""),"")&amp;IF(AND(N($E2405)&gt;0,$Z2405&lt;&gt;"",$Z2405&lt;&gt;"×",$AC2405=0,$AB2405=""),"計算額が下限以下のため不支給／",""))</f>
        <v/>
      </c>
      <c r="AL2405" s="12" t="n"/>
      <c r="AM2405" s="14">
        <f>IF($AD2405="保留中",COUNTIF($AD$6:$AD2405,"保留中"),"")</f>
        <v/>
      </c>
      <c r="AN2405" s="14">
        <f>IF($AO2405="","",IF(SUMPRODUCT(MAX((職員マスタ!$A$6:$A$405=$B2405)*(((職員マスタ!$G$6:$G$405="")+(職員マスタ!$G$6:$G$405&lt;=EOMONTH($AO2405,0)))&gt;0)*(((職員マスタ!$H$6:$H$405="")+(職員マスタ!$H$6:$H$405&gt;=$AO2405))&gt;0)*(ROW(職員マスタ!$A$6:$A$405)-5)))&gt;0,SUMPRODUCT(MAX((職員マスタ!$A$6:$A$405=$B2405)*(((職員マスタ!$G$6:$G$405="")+(職員マスタ!$G$6:$G$405&lt;=EOMONTH($AO2405,0)))&gt;0)*(((職員マスタ!$H$6:$H$405="")+(職員マスタ!$H$6:$H$405&gt;=$AO2405))&gt;0)*(ROW(職員マスタ!$A$6:$A$405)-5))),IFERROR(MATCH($B2405,職員マスタ!$A$6:$A$405,0),"")))</f>
        <v/>
      </c>
      <c r="AO2405" s="16">
        <f>IF(OR($B2405="",$C2405="",$D2405=""),"",DATE($C2405+2018,$D2405,1))</f>
        <v/>
      </c>
    </row>
    <row r="2406">
      <c r="A2406" s="11" t="n"/>
      <c r="B2406" s="12" t="n"/>
      <c r="C2406" s="12" t="n"/>
      <c r="D2406" s="12" t="n"/>
      <c r="E2406" s="13" t="n"/>
      <c r="F2406" s="12" t="n"/>
      <c r="G2406" s="13" t="n"/>
      <c r="H2406" s="12" t="n"/>
      <c r="I2406" s="12" t="n"/>
      <c r="J2406" s="12" t="n"/>
      <c r="K2406" s="12" t="n"/>
      <c r="L2406" s="11" t="n"/>
      <c r="M2406" s="11" t="n"/>
      <c r="N2406" s="11" t="n"/>
      <c r="O2406" s="11" t="n"/>
      <c r="P2406" s="12" t="n"/>
      <c r="Q2406" s="11" t="n"/>
      <c r="R2406" s="12" t="n"/>
      <c r="S2406" s="11" t="n"/>
      <c r="T2406" s="12" t="n"/>
      <c r="U2406" s="12" t="n"/>
      <c r="V2406" s="14">
        <f>IF($AN2406="",IF($B2406="","",$H2406),IF(INDEX(職員マスタ!$B$6:$B$405,$AN2406)="",$H2406,INDEX(職員マスタ!$B$6:$B$405,$AN2406)))</f>
        <v/>
      </c>
      <c r="W2406" s="14">
        <f>IF($AN2406="",IF($B2406="","",$R2406),IF(INDEX(職員マスタ!$C$6:$C$405,$AN2406)="",$R2406,INDEX(職員マスタ!$C$6:$C$405,$AN2406)))</f>
        <v/>
      </c>
      <c r="X2406" s="14">
        <f>IF($AO2406="","","R"&amp;$C2406&amp;"."&amp;$D2406)</f>
        <v/>
      </c>
      <c r="Y2406" s="15">
        <f>IF($AN2406="","",IF(INDEX(職員マスタ!$K$6:$K$405,$AN2406)="","",INDEX(職員マスタ!$K$6:$K$405,$AN2406)))</f>
        <v/>
      </c>
      <c r="Z2406" s="14">
        <f>IF(OR($E2406="",$Y2406=""),"",IF($E2406&gt;=$Y2406,"×",IF($E2406&gt;=$Y2406*設定!$C$5,"△","○")))</f>
        <v/>
      </c>
      <c r="AA2406" s="15">
        <f>IF($Z2406="","",IF($Z2406="×",0,IF($Z2406="○",ROUNDDOWN($E2406*設定!$C$4,0),ROUNDDOWN($E2406*ROUND((9*$Y2406-9*$E2406)/(10*$E2406),4),0))))</f>
        <v/>
      </c>
      <c r="AB2406" s="13" t="n"/>
      <c r="AC2406" s="15">
        <f>IF($B2406="","",IF($AB2406&lt;&gt;"",$AB2406,IF($AA2406="","",IF($AA2406&lt;=設定!$C$3,0,$AA2406))))</f>
        <v/>
      </c>
      <c r="AD2406" s="14">
        <f>IF($B2406="","",IF(AND($AE2406&lt;&gt;"",$AG2406="",$AJ2406=""),"保留中",IF($AJ2406&lt;&gt;"",IF(N($AC2406)&gt;0,"支給済","不支給"),IF($AC2406="","要確認",IF($AC2406=0,"不支給","未処理")))))</f>
        <v/>
      </c>
      <c r="AE2406" s="12" t="n"/>
      <c r="AF2406" s="11" t="n"/>
      <c r="AG2406" s="11" t="n"/>
      <c r="AH2406" s="11" t="n"/>
      <c r="AI2406" s="14">
        <f>IF(AND($AD2406="保留中",$AF2406&lt;&gt;""),TODAY()-$AF2406,"")</f>
        <v/>
      </c>
      <c r="AJ2406" s="12" t="n"/>
      <c r="AK2406" s="14">
        <f>IF($B2406="","",IF($AO2406="","対象年月が未入力／","")&amp;IF($B2406="","",IF($AN2406="","職員マスタに未登録の職員番号／",IF($Y2406="","標準報酬月額が未登録／","")&amp;IF(AND($AO2406&lt;&gt;"",OR(AND(INDEX(職員マスタ!$G$6:$G$405,$AN2406)&lt;&gt;"",INDEX(職員マスタ!$G$6:$G$405,$AN2406)&gt;EOMONTH($AO2406,0)),AND(INDEX(職員マスタ!$H$6:$H$405,$AN2406)&lt;&gt;"",INDEX(職員マスタ!$H$6:$H$405,$AN2406)&lt;$AO2406))),"対象月が時短期間外／","")&amp;IF(AND(INDEX(職員マスタ!$F$6:$F$405,$AN2406)&lt;&gt;"",$AO2406&lt;&gt;"",INDEX(職員マスタ!$F$6:$F$405,$AN2406)&lt;$AO2406),"対象月に子が2歳到達済／","")&amp;IF(AND($H2406&lt;&gt;"",INDEX(職員マスタ!$B$6:$B$405,$AN2406)&lt;&gt;"",SUBSTITUTE(SUBSTITUTE($H2406," ","")," ","")&lt;&gt;SUBSTITUTE(SUBSTITUTE(INDEX(職員マスタ!$B$6:$B$405,$AN2406)," ","")," ","")),"氏名がマスタと相違／","")&amp;IF(AND($Q2406&lt;&gt;"",INDEX(職員マスタ!$E$6:$E$405,$AN2406)&lt;&gt;"",$Q2406&lt;&gt;INDEX(職員マスタ!$E$6:$E$405,$AN2406)),"子の生年月日がマスタと相違／","")&amp;IF(AND($L2406&lt;&gt;"",INDEX(職員マスタ!$G$6:$G$405,$AN2406)&lt;&gt;"",$L2406&lt;&gt;INDEX(職員マスタ!$G$6:$G$405,$AN2406)),"時短開始日がマスタと相違／","")&amp;IF(AND($M2406&lt;&gt;"",INDEX(職員マスタ!$H$6:$H$405,$AN2406)&lt;&gt;"",$M2406&lt;&gt;INDEX(職員マスタ!$H$6:$H$405,$AN2406)),"時短終了日がマスタと相違／","")))&amp;IF(AND($B2406&lt;&gt;"",$E2406=""),"報酬額が未入力／","")&amp;IF(N($U2406)&gt;0,"申請書に入力エラーが残っています／","")&amp;IF(AND($B2406&lt;&gt;"",$AO2406&lt;&gt;""),IF(COUNTIFS($B$6:$B$3005,$B2406,$C$6:$C$3005,$C2406,$D$6:$D$3005,$D2406)&gt;1,"同じ月の請求が重複しています／",""),"")&amp;IF(AND(N($E2406)&gt;0,$Z2406&lt;&gt;"",$Z2406&lt;&gt;"×",$AC2406=0,$AB2406=""),"計算額が下限以下のため不支給／",""))</f>
        <v/>
      </c>
      <c r="AL2406" s="12" t="n"/>
      <c r="AM2406" s="14">
        <f>IF($AD2406="保留中",COUNTIF($AD$6:$AD2406,"保留中"),"")</f>
        <v/>
      </c>
      <c r="AN2406" s="14">
        <f>IF($AO2406="","",IF(SUMPRODUCT(MAX((職員マスタ!$A$6:$A$405=$B2406)*(((職員マスタ!$G$6:$G$405="")+(職員マスタ!$G$6:$G$405&lt;=EOMONTH($AO2406,0)))&gt;0)*(((職員マスタ!$H$6:$H$405="")+(職員マスタ!$H$6:$H$405&gt;=$AO2406))&gt;0)*(ROW(職員マスタ!$A$6:$A$405)-5)))&gt;0,SUMPRODUCT(MAX((職員マスタ!$A$6:$A$405=$B2406)*(((職員マスタ!$G$6:$G$405="")+(職員マスタ!$G$6:$G$405&lt;=EOMONTH($AO2406,0)))&gt;0)*(((職員マスタ!$H$6:$H$405="")+(職員マスタ!$H$6:$H$405&gt;=$AO2406))&gt;0)*(ROW(職員マスタ!$A$6:$A$405)-5))),IFERROR(MATCH($B2406,職員マスタ!$A$6:$A$405,0),"")))</f>
        <v/>
      </c>
      <c r="AO2406" s="16">
        <f>IF(OR($B2406="",$C2406="",$D2406=""),"",DATE($C2406+2018,$D2406,1))</f>
        <v/>
      </c>
    </row>
    <row r="2407">
      <c r="A2407" s="11" t="n"/>
      <c r="B2407" s="12" t="n"/>
      <c r="C2407" s="12" t="n"/>
      <c r="D2407" s="12" t="n"/>
      <c r="E2407" s="13" t="n"/>
      <c r="F2407" s="12" t="n"/>
      <c r="G2407" s="13" t="n"/>
      <c r="H2407" s="12" t="n"/>
      <c r="I2407" s="12" t="n"/>
      <c r="J2407" s="12" t="n"/>
      <c r="K2407" s="12" t="n"/>
      <c r="L2407" s="11" t="n"/>
      <c r="M2407" s="11" t="n"/>
      <c r="N2407" s="11" t="n"/>
      <c r="O2407" s="11" t="n"/>
      <c r="P2407" s="12" t="n"/>
      <c r="Q2407" s="11" t="n"/>
      <c r="R2407" s="12" t="n"/>
      <c r="S2407" s="11" t="n"/>
      <c r="T2407" s="12" t="n"/>
      <c r="U2407" s="12" t="n"/>
      <c r="V2407" s="14">
        <f>IF($AN2407="",IF($B2407="","",$H2407),IF(INDEX(職員マスタ!$B$6:$B$405,$AN2407)="",$H2407,INDEX(職員マスタ!$B$6:$B$405,$AN2407)))</f>
        <v/>
      </c>
      <c r="W2407" s="14">
        <f>IF($AN2407="",IF($B2407="","",$R2407),IF(INDEX(職員マスタ!$C$6:$C$405,$AN2407)="",$R2407,INDEX(職員マスタ!$C$6:$C$405,$AN2407)))</f>
        <v/>
      </c>
      <c r="X2407" s="14">
        <f>IF($AO2407="","","R"&amp;$C2407&amp;"."&amp;$D2407)</f>
        <v/>
      </c>
      <c r="Y2407" s="15">
        <f>IF($AN2407="","",IF(INDEX(職員マスタ!$K$6:$K$405,$AN2407)="","",INDEX(職員マスタ!$K$6:$K$405,$AN2407)))</f>
        <v/>
      </c>
      <c r="Z2407" s="14">
        <f>IF(OR($E2407="",$Y2407=""),"",IF($E2407&gt;=$Y2407,"×",IF($E2407&gt;=$Y2407*設定!$C$5,"△","○")))</f>
        <v/>
      </c>
      <c r="AA2407" s="15">
        <f>IF($Z2407="","",IF($Z2407="×",0,IF($Z2407="○",ROUNDDOWN($E2407*設定!$C$4,0),ROUNDDOWN($E2407*ROUND((9*$Y2407-9*$E2407)/(10*$E2407),4),0))))</f>
        <v/>
      </c>
      <c r="AB2407" s="13" t="n"/>
      <c r="AC2407" s="15">
        <f>IF($B2407="","",IF($AB2407&lt;&gt;"",$AB2407,IF($AA2407="","",IF($AA2407&lt;=設定!$C$3,0,$AA2407))))</f>
        <v/>
      </c>
      <c r="AD2407" s="14">
        <f>IF($B2407="","",IF(AND($AE2407&lt;&gt;"",$AG2407="",$AJ2407=""),"保留中",IF($AJ2407&lt;&gt;"",IF(N($AC2407)&gt;0,"支給済","不支給"),IF($AC2407="","要確認",IF($AC2407=0,"不支給","未処理")))))</f>
        <v/>
      </c>
      <c r="AE2407" s="12" t="n"/>
      <c r="AF2407" s="11" t="n"/>
      <c r="AG2407" s="11" t="n"/>
      <c r="AH2407" s="11" t="n"/>
      <c r="AI2407" s="14">
        <f>IF(AND($AD2407="保留中",$AF2407&lt;&gt;""),TODAY()-$AF2407,"")</f>
        <v/>
      </c>
      <c r="AJ2407" s="12" t="n"/>
      <c r="AK2407" s="14">
        <f>IF($B2407="","",IF($AO2407="","対象年月が未入力／","")&amp;IF($B2407="","",IF($AN2407="","職員マスタに未登録の職員番号／",IF($Y2407="","標準報酬月額が未登録／","")&amp;IF(AND($AO2407&lt;&gt;"",OR(AND(INDEX(職員マスタ!$G$6:$G$405,$AN2407)&lt;&gt;"",INDEX(職員マスタ!$G$6:$G$405,$AN2407)&gt;EOMONTH($AO2407,0)),AND(INDEX(職員マスタ!$H$6:$H$405,$AN2407)&lt;&gt;"",INDEX(職員マスタ!$H$6:$H$405,$AN2407)&lt;$AO2407))),"対象月が時短期間外／","")&amp;IF(AND(INDEX(職員マスタ!$F$6:$F$405,$AN2407)&lt;&gt;"",$AO2407&lt;&gt;"",INDEX(職員マスタ!$F$6:$F$405,$AN2407)&lt;$AO2407),"対象月に子が2歳到達済／","")&amp;IF(AND($H2407&lt;&gt;"",INDEX(職員マスタ!$B$6:$B$405,$AN2407)&lt;&gt;"",SUBSTITUTE(SUBSTITUTE($H2407," ","")," ","")&lt;&gt;SUBSTITUTE(SUBSTITUTE(INDEX(職員マスタ!$B$6:$B$405,$AN2407)," ","")," ","")),"氏名がマスタと相違／","")&amp;IF(AND($Q2407&lt;&gt;"",INDEX(職員マスタ!$E$6:$E$405,$AN2407)&lt;&gt;"",$Q2407&lt;&gt;INDEX(職員マスタ!$E$6:$E$405,$AN2407)),"子の生年月日がマスタと相違／","")&amp;IF(AND($L2407&lt;&gt;"",INDEX(職員マスタ!$G$6:$G$405,$AN2407)&lt;&gt;"",$L2407&lt;&gt;INDEX(職員マスタ!$G$6:$G$405,$AN2407)),"時短開始日がマスタと相違／","")&amp;IF(AND($M2407&lt;&gt;"",INDEX(職員マスタ!$H$6:$H$405,$AN2407)&lt;&gt;"",$M2407&lt;&gt;INDEX(職員マスタ!$H$6:$H$405,$AN2407)),"時短終了日がマスタと相違／","")))&amp;IF(AND($B2407&lt;&gt;"",$E2407=""),"報酬額が未入力／","")&amp;IF(N($U2407)&gt;0,"申請書に入力エラーが残っています／","")&amp;IF(AND($B2407&lt;&gt;"",$AO2407&lt;&gt;""),IF(COUNTIFS($B$6:$B$3005,$B2407,$C$6:$C$3005,$C2407,$D$6:$D$3005,$D2407)&gt;1,"同じ月の請求が重複しています／",""),"")&amp;IF(AND(N($E2407)&gt;0,$Z2407&lt;&gt;"",$Z2407&lt;&gt;"×",$AC2407=0,$AB2407=""),"計算額が下限以下のため不支給／",""))</f>
        <v/>
      </c>
      <c r="AL2407" s="12" t="n"/>
      <c r="AM2407" s="14">
        <f>IF($AD2407="保留中",COUNTIF($AD$6:$AD2407,"保留中"),"")</f>
        <v/>
      </c>
      <c r="AN2407" s="14">
        <f>IF($AO2407="","",IF(SUMPRODUCT(MAX((職員マスタ!$A$6:$A$405=$B2407)*(((職員マスタ!$G$6:$G$405="")+(職員マスタ!$G$6:$G$405&lt;=EOMONTH($AO2407,0)))&gt;0)*(((職員マスタ!$H$6:$H$405="")+(職員マスタ!$H$6:$H$405&gt;=$AO2407))&gt;0)*(ROW(職員マスタ!$A$6:$A$405)-5)))&gt;0,SUMPRODUCT(MAX((職員マスタ!$A$6:$A$405=$B2407)*(((職員マスタ!$G$6:$G$405="")+(職員マスタ!$G$6:$G$405&lt;=EOMONTH($AO2407,0)))&gt;0)*(((職員マスタ!$H$6:$H$405="")+(職員マスタ!$H$6:$H$405&gt;=$AO2407))&gt;0)*(ROW(職員マスタ!$A$6:$A$405)-5))),IFERROR(MATCH($B2407,職員マスタ!$A$6:$A$405,0),"")))</f>
        <v/>
      </c>
      <c r="AO2407" s="16">
        <f>IF(OR($B2407="",$C2407="",$D2407=""),"",DATE($C2407+2018,$D2407,1))</f>
        <v/>
      </c>
    </row>
    <row r="2408">
      <c r="A2408" s="11" t="n"/>
      <c r="B2408" s="12" t="n"/>
      <c r="C2408" s="12" t="n"/>
      <c r="D2408" s="12" t="n"/>
      <c r="E2408" s="13" t="n"/>
      <c r="F2408" s="12" t="n"/>
      <c r="G2408" s="13" t="n"/>
      <c r="H2408" s="12" t="n"/>
      <c r="I2408" s="12" t="n"/>
      <c r="J2408" s="12" t="n"/>
      <c r="K2408" s="12" t="n"/>
      <c r="L2408" s="11" t="n"/>
      <c r="M2408" s="11" t="n"/>
      <c r="N2408" s="11" t="n"/>
      <c r="O2408" s="11" t="n"/>
      <c r="P2408" s="12" t="n"/>
      <c r="Q2408" s="11" t="n"/>
      <c r="R2408" s="12" t="n"/>
      <c r="S2408" s="11" t="n"/>
      <c r="T2408" s="12" t="n"/>
      <c r="U2408" s="12" t="n"/>
      <c r="V2408" s="14">
        <f>IF($AN2408="",IF($B2408="","",$H2408),IF(INDEX(職員マスタ!$B$6:$B$405,$AN2408)="",$H2408,INDEX(職員マスタ!$B$6:$B$405,$AN2408)))</f>
        <v/>
      </c>
      <c r="W2408" s="14">
        <f>IF($AN2408="",IF($B2408="","",$R2408),IF(INDEX(職員マスタ!$C$6:$C$405,$AN2408)="",$R2408,INDEX(職員マスタ!$C$6:$C$405,$AN2408)))</f>
        <v/>
      </c>
      <c r="X2408" s="14">
        <f>IF($AO2408="","","R"&amp;$C2408&amp;"."&amp;$D2408)</f>
        <v/>
      </c>
      <c r="Y2408" s="15">
        <f>IF($AN2408="","",IF(INDEX(職員マスタ!$K$6:$K$405,$AN2408)="","",INDEX(職員マスタ!$K$6:$K$405,$AN2408)))</f>
        <v/>
      </c>
      <c r="Z2408" s="14">
        <f>IF(OR($E2408="",$Y2408=""),"",IF($E2408&gt;=$Y2408,"×",IF($E2408&gt;=$Y2408*設定!$C$5,"△","○")))</f>
        <v/>
      </c>
      <c r="AA2408" s="15">
        <f>IF($Z2408="","",IF($Z2408="×",0,IF($Z2408="○",ROUNDDOWN($E2408*設定!$C$4,0),ROUNDDOWN($E2408*ROUND((9*$Y2408-9*$E2408)/(10*$E2408),4),0))))</f>
        <v/>
      </c>
      <c r="AB2408" s="13" t="n"/>
      <c r="AC2408" s="15">
        <f>IF($B2408="","",IF($AB2408&lt;&gt;"",$AB2408,IF($AA2408="","",IF($AA2408&lt;=設定!$C$3,0,$AA2408))))</f>
        <v/>
      </c>
      <c r="AD2408" s="14">
        <f>IF($B2408="","",IF(AND($AE2408&lt;&gt;"",$AG2408="",$AJ2408=""),"保留中",IF($AJ2408&lt;&gt;"",IF(N($AC2408)&gt;0,"支給済","不支給"),IF($AC2408="","要確認",IF($AC2408=0,"不支給","未処理")))))</f>
        <v/>
      </c>
      <c r="AE2408" s="12" t="n"/>
      <c r="AF2408" s="11" t="n"/>
      <c r="AG2408" s="11" t="n"/>
      <c r="AH2408" s="11" t="n"/>
      <c r="AI2408" s="14">
        <f>IF(AND($AD2408="保留中",$AF2408&lt;&gt;""),TODAY()-$AF2408,"")</f>
        <v/>
      </c>
      <c r="AJ2408" s="12" t="n"/>
      <c r="AK2408" s="14">
        <f>IF($B2408="","",IF($AO2408="","対象年月が未入力／","")&amp;IF($B2408="","",IF($AN2408="","職員マスタに未登録の職員番号／",IF($Y2408="","標準報酬月額が未登録／","")&amp;IF(AND($AO2408&lt;&gt;"",OR(AND(INDEX(職員マスタ!$G$6:$G$405,$AN2408)&lt;&gt;"",INDEX(職員マスタ!$G$6:$G$405,$AN2408)&gt;EOMONTH($AO2408,0)),AND(INDEX(職員マスタ!$H$6:$H$405,$AN2408)&lt;&gt;"",INDEX(職員マスタ!$H$6:$H$405,$AN2408)&lt;$AO2408))),"対象月が時短期間外／","")&amp;IF(AND(INDEX(職員マスタ!$F$6:$F$405,$AN2408)&lt;&gt;"",$AO2408&lt;&gt;"",INDEX(職員マスタ!$F$6:$F$405,$AN2408)&lt;$AO2408),"対象月に子が2歳到達済／","")&amp;IF(AND($H2408&lt;&gt;"",INDEX(職員マスタ!$B$6:$B$405,$AN2408)&lt;&gt;"",SUBSTITUTE(SUBSTITUTE($H2408," ","")," ","")&lt;&gt;SUBSTITUTE(SUBSTITUTE(INDEX(職員マスタ!$B$6:$B$405,$AN2408)," ","")," ","")),"氏名がマスタと相違／","")&amp;IF(AND($Q2408&lt;&gt;"",INDEX(職員マスタ!$E$6:$E$405,$AN2408)&lt;&gt;"",$Q2408&lt;&gt;INDEX(職員マスタ!$E$6:$E$405,$AN2408)),"子の生年月日がマスタと相違／","")&amp;IF(AND($L2408&lt;&gt;"",INDEX(職員マスタ!$G$6:$G$405,$AN2408)&lt;&gt;"",$L2408&lt;&gt;INDEX(職員マスタ!$G$6:$G$405,$AN2408)),"時短開始日がマスタと相違／","")&amp;IF(AND($M2408&lt;&gt;"",INDEX(職員マスタ!$H$6:$H$405,$AN2408)&lt;&gt;"",$M2408&lt;&gt;INDEX(職員マスタ!$H$6:$H$405,$AN2408)),"時短終了日がマスタと相違／","")))&amp;IF(AND($B2408&lt;&gt;"",$E2408=""),"報酬額が未入力／","")&amp;IF(N($U2408)&gt;0,"申請書に入力エラーが残っています／","")&amp;IF(AND($B2408&lt;&gt;"",$AO2408&lt;&gt;""),IF(COUNTIFS($B$6:$B$3005,$B2408,$C$6:$C$3005,$C2408,$D$6:$D$3005,$D2408)&gt;1,"同じ月の請求が重複しています／",""),"")&amp;IF(AND(N($E2408)&gt;0,$Z2408&lt;&gt;"",$Z2408&lt;&gt;"×",$AC2408=0,$AB2408=""),"計算額が下限以下のため不支給／",""))</f>
        <v/>
      </c>
      <c r="AL2408" s="12" t="n"/>
      <c r="AM2408" s="14">
        <f>IF($AD2408="保留中",COUNTIF($AD$6:$AD2408,"保留中"),"")</f>
        <v/>
      </c>
      <c r="AN2408" s="14">
        <f>IF($AO2408="","",IF(SUMPRODUCT(MAX((職員マスタ!$A$6:$A$405=$B2408)*(((職員マスタ!$G$6:$G$405="")+(職員マスタ!$G$6:$G$405&lt;=EOMONTH($AO2408,0)))&gt;0)*(((職員マスタ!$H$6:$H$405="")+(職員マスタ!$H$6:$H$405&gt;=$AO2408))&gt;0)*(ROW(職員マスタ!$A$6:$A$405)-5)))&gt;0,SUMPRODUCT(MAX((職員マスタ!$A$6:$A$405=$B2408)*(((職員マスタ!$G$6:$G$405="")+(職員マスタ!$G$6:$G$405&lt;=EOMONTH($AO2408,0)))&gt;0)*(((職員マスタ!$H$6:$H$405="")+(職員マスタ!$H$6:$H$405&gt;=$AO2408))&gt;0)*(ROW(職員マスタ!$A$6:$A$405)-5))),IFERROR(MATCH($B2408,職員マスタ!$A$6:$A$405,0),"")))</f>
        <v/>
      </c>
      <c r="AO2408" s="16">
        <f>IF(OR($B2408="",$C2408="",$D2408=""),"",DATE($C2408+2018,$D2408,1))</f>
        <v/>
      </c>
    </row>
    <row r="2409">
      <c r="A2409" s="11" t="n"/>
      <c r="B2409" s="12" t="n"/>
      <c r="C2409" s="12" t="n"/>
      <c r="D2409" s="12" t="n"/>
      <c r="E2409" s="13" t="n"/>
      <c r="F2409" s="12" t="n"/>
      <c r="G2409" s="13" t="n"/>
      <c r="H2409" s="12" t="n"/>
      <c r="I2409" s="12" t="n"/>
      <c r="J2409" s="12" t="n"/>
      <c r="K2409" s="12" t="n"/>
      <c r="L2409" s="11" t="n"/>
      <c r="M2409" s="11" t="n"/>
      <c r="N2409" s="11" t="n"/>
      <c r="O2409" s="11" t="n"/>
      <c r="P2409" s="12" t="n"/>
      <c r="Q2409" s="11" t="n"/>
      <c r="R2409" s="12" t="n"/>
      <c r="S2409" s="11" t="n"/>
      <c r="T2409" s="12" t="n"/>
      <c r="U2409" s="12" t="n"/>
      <c r="V2409" s="14">
        <f>IF($AN2409="",IF($B2409="","",$H2409),IF(INDEX(職員マスタ!$B$6:$B$405,$AN2409)="",$H2409,INDEX(職員マスタ!$B$6:$B$405,$AN2409)))</f>
        <v/>
      </c>
      <c r="W2409" s="14">
        <f>IF($AN2409="",IF($B2409="","",$R2409),IF(INDEX(職員マスタ!$C$6:$C$405,$AN2409)="",$R2409,INDEX(職員マスタ!$C$6:$C$405,$AN2409)))</f>
        <v/>
      </c>
      <c r="X2409" s="14">
        <f>IF($AO2409="","","R"&amp;$C2409&amp;"."&amp;$D2409)</f>
        <v/>
      </c>
      <c r="Y2409" s="15">
        <f>IF($AN2409="","",IF(INDEX(職員マスタ!$K$6:$K$405,$AN2409)="","",INDEX(職員マスタ!$K$6:$K$405,$AN2409)))</f>
        <v/>
      </c>
      <c r="Z2409" s="14">
        <f>IF(OR($E2409="",$Y2409=""),"",IF($E2409&gt;=$Y2409,"×",IF($E2409&gt;=$Y2409*設定!$C$5,"△","○")))</f>
        <v/>
      </c>
      <c r="AA2409" s="15">
        <f>IF($Z2409="","",IF($Z2409="×",0,IF($Z2409="○",ROUNDDOWN($E2409*設定!$C$4,0),ROUNDDOWN($E2409*ROUND((9*$Y2409-9*$E2409)/(10*$E2409),4),0))))</f>
        <v/>
      </c>
      <c r="AB2409" s="13" t="n"/>
      <c r="AC2409" s="15">
        <f>IF($B2409="","",IF($AB2409&lt;&gt;"",$AB2409,IF($AA2409="","",IF($AA2409&lt;=設定!$C$3,0,$AA2409))))</f>
        <v/>
      </c>
      <c r="AD2409" s="14">
        <f>IF($B2409="","",IF(AND($AE2409&lt;&gt;"",$AG2409="",$AJ2409=""),"保留中",IF($AJ2409&lt;&gt;"",IF(N($AC2409)&gt;0,"支給済","不支給"),IF($AC2409="","要確認",IF($AC2409=0,"不支給","未処理")))))</f>
        <v/>
      </c>
      <c r="AE2409" s="12" t="n"/>
      <c r="AF2409" s="11" t="n"/>
      <c r="AG2409" s="11" t="n"/>
      <c r="AH2409" s="11" t="n"/>
      <c r="AI2409" s="14">
        <f>IF(AND($AD2409="保留中",$AF2409&lt;&gt;""),TODAY()-$AF2409,"")</f>
        <v/>
      </c>
      <c r="AJ2409" s="12" t="n"/>
      <c r="AK2409" s="14">
        <f>IF($B2409="","",IF($AO2409="","対象年月が未入力／","")&amp;IF($B2409="","",IF($AN2409="","職員マスタに未登録の職員番号／",IF($Y2409="","標準報酬月額が未登録／","")&amp;IF(AND($AO2409&lt;&gt;"",OR(AND(INDEX(職員マスタ!$G$6:$G$405,$AN2409)&lt;&gt;"",INDEX(職員マスタ!$G$6:$G$405,$AN2409)&gt;EOMONTH($AO2409,0)),AND(INDEX(職員マスタ!$H$6:$H$405,$AN2409)&lt;&gt;"",INDEX(職員マスタ!$H$6:$H$405,$AN2409)&lt;$AO2409))),"対象月が時短期間外／","")&amp;IF(AND(INDEX(職員マスタ!$F$6:$F$405,$AN2409)&lt;&gt;"",$AO2409&lt;&gt;"",INDEX(職員マスタ!$F$6:$F$405,$AN2409)&lt;$AO2409),"対象月に子が2歳到達済／","")&amp;IF(AND($H2409&lt;&gt;"",INDEX(職員マスタ!$B$6:$B$405,$AN2409)&lt;&gt;"",SUBSTITUTE(SUBSTITUTE($H2409," ","")," ","")&lt;&gt;SUBSTITUTE(SUBSTITUTE(INDEX(職員マスタ!$B$6:$B$405,$AN2409)," ","")," ","")),"氏名がマスタと相違／","")&amp;IF(AND($Q2409&lt;&gt;"",INDEX(職員マスタ!$E$6:$E$405,$AN2409)&lt;&gt;"",$Q2409&lt;&gt;INDEX(職員マスタ!$E$6:$E$405,$AN2409)),"子の生年月日がマスタと相違／","")&amp;IF(AND($L2409&lt;&gt;"",INDEX(職員マスタ!$G$6:$G$405,$AN2409)&lt;&gt;"",$L2409&lt;&gt;INDEX(職員マスタ!$G$6:$G$405,$AN2409)),"時短開始日がマスタと相違／","")&amp;IF(AND($M2409&lt;&gt;"",INDEX(職員マスタ!$H$6:$H$405,$AN2409)&lt;&gt;"",$M2409&lt;&gt;INDEX(職員マスタ!$H$6:$H$405,$AN2409)),"時短終了日がマスタと相違／","")))&amp;IF(AND($B2409&lt;&gt;"",$E2409=""),"報酬額が未入力／","")&amp;IF(N($U2409)&gt;0,"申請書に入力エラーが残っています／","")&amp;IF(AND($B2409&lt;&gt;"",$AO2409&lt;&gt;""),IF(COUNTIFS($B$6:$B$3005,$B2409,$C$6:$C$3005,$C2409,$D$6:$D$3005,$D2409)&gt;1,"同じ月の請求が重複しています／",""),"")&amp;IF(AND(N($E2409)&gt;0,$Z2409&lt;&gt;"",$Z2409&lt;&gt;"×",$AC2409=0,$AB2409=""),"計算額が下限以下のため不支給／",""))</f>
        <v/>
      </c>
      <c r="AL2409" s="12" t="n"/>
      <c r="AM2409" s="14">
        <f>IF($AD2409="保留中",COUNTIF($AD$6:$AD2409,"保留中"),"")</f>
        <v/>
      </c>
      <c r="AN2409" s="14">
        <f>IF($AO2409="","",IF(SUMPRODUCT(MAX((職員マスタ!$A$6:$A$405=$B2409)*(((職員マスタ!$G$6:$G$405="")+(職員マスタ!$G$6:$G$405&lt;=EOMONTH($AO2409,0)))&gt;0)*(((職員マスタ!$H$6:$H$405="")+(職員マスタ!$H$6:$H$405&gt;=$AO2409))&gt;0)*(ROW(職員マスタ!$A$6:$A$405)-5)))&gt;0,SUMPRODUCT(MAX((職員マスタ!$A$6:$A$405=$B2409)*(((職員マスタ!$G$6:$G$405="")+(職員マスタ!$G$6:$G$405&lt;=EOMONTH($AO2409,0)))&gt;0)*(((職員マスタ!$H$6:$H$405="")+(職員マスタ!$H$6:$H$405&gt;=$AO2409))&gt;0)*(ROW(職員マスタ!$A$6:$A$405)-5))),IFERROR(MATCH($B2409,職員マスタ!$A$6:$A$405,0),"")))</f>
        <v/>
      </c>
      <c r="AO2409" s="16">
        <f>IF(OR($B2409="",$C2409="",$D2409=""),"",DATE($C2409+2018,$D2409,1))</f>
        <v/>
      </c>
    </row>
    <row r="2410">
      <c r="A2410" s="11" t="n"/>
      <c r="B2410" s="12" t="n"/>
      <c r="C2410" s="12" t="n"/>
      <c r="D2410" s="12" t="n"/>
      <c r="E2410" s="13" t="n"/>
      <c r="F2410" s="12" t="n"/>
      <c r="G2410" s="13" t="n"/>
      <c r="H2410" s="12" t="n"/>
      <c r="I2410" s="12" t="n"/>
      <c r="J2410" s="12" t="n"/>
      <c r="K2410" s="12" t="n"/>
      <c r="L2410" s="11" t="n"/>
      <c r="M2410" s="11" t="n"/>
      <c r="N2410" s="11" t="n"/>
      <c r="O2410" s="11" t="n"/>
      <c r="P2410" s="12" t="n"/>
      <c r="Q2410" s="11" t="n"/>
      <c r="R2410" s="12" t="n"/>
      <c r="S2410" s="11" t="n"/>
      <c r="T2410" s="12" t="n"/>
      <c r="U2410" s="12" t="n"/>
      <c r="V2410" s="14">
        <f>IF($AN2410="",IF($B2410="","",$H2410),IF(INDEX(職員マスタ!$B$6:$B$405,$AN2410)="",$H2410,INDEX(職員マスタ!$B$6:$B$405,$AN2410)))</f>
        <v/>
      </c>
      <c r="W2410" s="14">
        <f>IF($AN2410="",IF($B2410="","",$R2410),IF(INDEX(職員マスタ!$C$6:$C$405,$AN2410)="",$R2410,INDEX(職員マスタ!$C$6:$C$405,$AN2410)))</f>
        <v/>
      </c>
      <c r="X2410" s="14">
        <f>IF($AO2410="","","R"&amp;$C2410&amp;"."&amp;$D2410)</f>
        <v/>
      </c>
      <c r="Y2410" s="15">
        <f>IF($AN2410="","",IF(INDEX(職員マスタ!$K$6:$K$405,$AN2410)="","",INDEX(職員マスタ!$K$6:$K$405,$AN2410)))</f>
        <v/>
      </c>
      <c r="Z2410" s="14">
        <f>IF(OR($E2410="",$Y2410=""),"",IF($E2410&gt;=$Y2410,"×",IF($E2410&gt;=$Y2410*設定!$C$5,"△","○")))</f>
        <v/>
      </c>
      <c r="AA2410" s="15">
        <f>IF($Z2410="","",IF($Z2410="×",0,IF($Z2410="○",ROUNDDOWN($E2410*設定!$C$4,0),ROUNDDOWN($E2410*ROUND((9*$Y2410-9*$E2410)/(10*$E2410),4),0))))</f>
        <v/>
      </c>
      <c r="AB2410" s="13" t="n"/>
      <c r="AC2410" s="15">
        <f>IF($B2410="","",IF($AB2410&lt;&gt;"",$AB2410,IF($AA2410="","",IF($AA2410&lt;=設定!$C$3,0,$AA2410))))</f>
        <v/>
      </c>
      <c r="AD2410" s="14">
        <f>IF($B2410="","",IF(AND($AE2410&lt;&gt;"",$AG2410="",$AJ2410=""),"保留中",IF($AJ2410&lt;&gt;"",IF(N($AC2410)&gt;0,"支給済","不支給"),IF($AC2410="","要確認",IF($AC2410=0,"不支給","未処理")))))</f>
        <v/>
      </c>
      <c r="AE2410" s="12" t="n"/>
      <c r="AF2410" s="11" t="n"/>
      <c r="AG2410" s="11" t="n"/>
      <c r="AH2410" s="11" t="n"/>
      <c r="AI2410" s="14">
        <f>IF(AND($AD2410="保留中",$AF2410&lt;&gt;""),TODAY()-$AF2410,"")</f>
        <v/>
      </c>
      <c r="AJ2410" s="12" t="n"/>
      <c r="AK2410" s="14">
        <f>IF($B2410="","",IF($AO2410="","対象年月が未入力／","")&amp;IF($B2410="","",IF($AN2410="","職員マスタに未登録の職員番号／",IF($Y2410="","標準報酬月額が未登録／","")&amp;IF(AND($AO2410&lt;&gt;"",OR(AND(INDEX(職員マスタ!$G$6:$G$405,$AN2410)&lt;&gt;"",INDEX(職員マスタ!$G$6:$G$405,$AN2410)&gt;EOMONTH($AO2410,0)),AND(INDEX(職員マスタ!$H$6:$H$405,$AN2410)&lt;&gt;"",INDEX(職員マスタ!$H$6:$H$405,$AN2410)&lt;$AO2410))),"対象月が時短期間外／","")&amp;IF(AND(INDEX(職員マスタ!$F$6:$F$405,$AN2410)&lt;&gt;"",$AO2410&lt;&gt;"",INDEX(職員マスタ!$F$6:$F$405,$AN2410)&lt;$AO2410),"対象月に子が2歳到達済／","")&amp;IF(AND($H2410&lt;&gt;"",INDEX(職員マスタ!$B$6:$B$405,$AN2410)&lt;&gt;"",SUBSTITUTE(SUBSTITUTE($H2410," ","")," ","")&lt;&gt;SUBSTITUTE(SUBSTITUTE(INDEX(職員マスタ!$B$6:$B$405,$AN2410)," ","")," ","")),"氏名がマスタと相違／","")&amp;IF(AND($Q2410&lt;&gt;"",INDEX(職員マスタ!$E$6:$E$405,$AN2410)&lt;&gt;"",$Q2410&lt;&gt;INDEX(職員マスタ!$E$6:$E$405,$AN2410)),"子の生年月日がマスタと相違／","")&amp;IF(AND($L2410&lt;&gt;"",INDEX(職員マスタ!$G$6:$G$405,$AN2410)&lt;&gt;"",$L2410&lt;&gt;INDEX(職員マスタ!$G$6:$G$405,$AN2410)),"時短開始日がマスタと相違／","")&amp;IF(AND($M2410&lt;&gt;"",INDEX(職員マスタ!$H$6:$H$405,$AN2410)&lt;&gt;"",$M2410&lt;&gt;INDEX(職員マスタ!$H$6:$H$405,$AN2410)),"時短終了日がマスタと相違／","")))&amp;IF(AND($B2410&lt;&gt;"",$E2410=""),"報酬額が未入力／","")&amp;IF(N($U2410)&gt;0,"申請書に入力エラーが残っています／","")&amp;IF(AND($B2410&lt;&gt;"",$AO2410&lt;&gt;""),IF(COUNTIFS($B$6:$B$3005,$B2410,$C$6:$C$3005,$C2410,$D$6:$D$3005,$D2410)&gt;1,"同じ月の請求が重複しています／",""),"")&amp;IF(AND(N($E2410)&gt;0,$Z2410&lt;&gt;"",$Z2410&lt;&gt;"×",$AC2410=0,$AB2410=""),"計算額が下限以下のため不支給／",""))</f>
        <v/>
      </c>
      <c r="AL2410" s="12" t="n"/>
      <c r="AM2410" s="14">
        <f>IF($AD2410="保留中",COUNTIF($AD$6:$AD2410,"保留中"),"")</f>
        <v/>
      </c>
      <c r="AN2410" s="14">
        <f>IF($AO2410="","",IF(SUMPRODUCT(MAX((職員マスタ!$A$6:$A$405=$B2410)*(((職員マスタ!$G$6:$G$405="")+(職員マスタ!$G$6:$G$405&lt;=EOMONTH($AO2410,0)))&gt;0)*(((職員マスタ!$H$6:$H$405="")+(職員マスタ!$H$6:$H$405&gt;=$AO2410))&gt;0)*(ROW(職員マスタ!$A$6:$A$405)-5)))&gt;0,SUMPRODUCT(MAX((職員マスタ!$A$6:$A$405=$B2410)*(((職員マスタ!$G$6:$G$405="")+(職員マスタ!$G$6:$G$405&lt;=EOMONTH($AO2410,0)))&gt;0)*(((職員マスタ!$H$6:$H$405="")+(職員マスタ!$H$6:$H$405&gt;=$AO2410))&gt;0)*(ROW(職員マスタ!$A$6:$A$405)-5))),IFERROR(MATCH($B2410,職員マスタ!$A$6:$A$405,0),"")))</f>
        <v/>
      </c>
      <c r="AO2410" s="16">
        <f>IF(OR($B2410="",$C2410="",$D2410=""),"",DATE($C2410+2018,$D2410,1))</f>
        <v/>
      </c>
    </row>
    <row r="2411">
      <c r="A2411" s="11" t="n"/>
      <c r="B2411" s="12" t="n"/>
      <c r="C2411" s="12" t="n"/>
      <c r="D2411" s="12" t="n"/>
      <c r="E2411" s="13" t="n"/>
      <c r="F2411" s="12" t="n"/>
      <c r="G2411" s="13" t="n"/>
      <c r="H2411" s="12" t="n"/>
      <c r="I2411" s="12" t="n"/>
      <c r="J2411" s="12" t="n"/>
      <c r="K2411" s="12" t="n"/>
      <c r="L2411" s="11" t="n"/>
      <c r="M2411" s="11" t="n"/>
      <c r="N2411" s="11" t="n"/>
      <c r="O2411" s="11" t="n"/>
      <c r="P2411" s="12" t="n"/>
      <c r="Q2411" s="11" t="n"/>
      <c r="R2411" s="12" t="n"/>
      <c r="S2411" s="11" t="n"/>
      <c r="T2411" s="12" t="n"/>
      <c r="U2411" s="12" t="n"/>
      <c r="V2411" s="14">
        <f>IF($AN2411="",IF($B2411="","",$H2411),IF(INDEX(職員マスタ!$B$6:$B$405,$AN2411)="",$H2411,INDEX(職員マスタ!$B$6:$B$405,$AN2411)))</f>
        <v/>
      </c>
      <c r="W2411" s="14">
        <f>IF($AN2411="",IF($B2411="","",$R2411),IF(INDEX(職員マスタ!$C$6:$C$405,$AN2411)="",$R2411,INDEX(職員マスタ!$C$6:$C$405,$AN2411)))</f>
        <v/>
      </c>
      <c r="X2411" s="14">
        <f>IF($AO2411="","","R"&amp;$C2411&amp;"."&amp;$D2411)</f>
        <v/>
      </c>
      <c r="Y2411" s="15">
        <f>IF($AN2411="","",IF(INDEX(職員マスタ!$K$6:$K$405,$AN2411)="","",INDEX(職員マスタ!$K$6:$K$405,$AN2411)))</f>
        <v/>
      </c>
      <c r="Z2411" s="14">
        <f>IF(OR($E2411="",$Y2411=""),"",IF($E2411&gt;=$Y2411,"×",IF($E2411&gt;=$Y2411*設定!$C$5,"△","○")))</f>
        <v/>
      </c>
      <c r="AA2411" s="15">
        <f>IF($Z2411="","",IF($Z2411="×",0,IF($Z2411="○",ROUNDDOWN($E2411*設定!$C$4,0),ROUNDDOWN($E2411*ROUND((9*$Y2411-9*$E2411)/(10*$E2411),4),0))))</f>
        <v/>
      </c>
      <c r="AB2411" s="13" t="n"/>
      <c r="AC2411" s="15">
        <f>IF($B2411="","",IF($AB2411&lt;&gt;"",$AB2411,IF($AA2411="","",IF($AA2411&lt;=設定!$C$3,0,$AA2411))))</f>
        <v/>
      </c>
      <c r="AD2411" s="14">
        <f>IF($B2411="","",IF(AND($AE2411&lt;&gt;"",$AG2411="",$AJ2411=""),"保留中",IF($AJ2411&lt;&gt;"",IF(N($AC2411)&gt;0,"支給済","不支給"),IF($AC2411="","要確認",IF($AC2411=0,"不支給","未処理")))))</f>
        <v/>
      </c>
      <c r="AE2411" s="12" t="n"/>
      <c r="AF2411" s="11" t="n"/>
      <c r="AG2411" s="11" t="n"/>
      <c r="AH2411" s="11" t="n"/>
      <c r="AI2411" s="14">
        <f>IF(AND($AD2411="保留中",$AF2411&lt;&gt;""),TODAY()-$AF2411,"")</f>
        <v/>
      </c>
      <c r="AJ2411" s="12" t="n"/>
      <c r="AK2411" s="14">
        <f>IF($B2411="","",IF($AO2411="","対象年月が未入力／","")&amp;IF($B2411="","",IF($AN2411="","職員マスタに未登録の職員番号／",IF($Y2411="","標準報酬月額が未登録／","")&amp;IF(AND($AO2411&lt;&gt;"",OR(AND(INDEX(職員マスタ!$G$6:$G$405,$AN2411)&lt;&gt;"",INDEX(職員マスタ!$G$6:$G$405,$AN2411)&gt;EOMONTH($AO2411,0)),AND(INDEX(職員マスタ!$H$6:$H$405,$AN2411)&lt;&gt;"",INDEX(職員マスタ!$H$6:$H$405,$AN2411)&lt;$AO2411))),"対象月が時短期間外／","")&amp;IF(AND(INDEX(職員マスタ!$F$6:$F$405,$AN2411)&lt;&gt;"",$AO2411&lt;&gt;"",INDEX(職員マスタ!$F$6:$F$405,$AN2411)&lt;$AO2411),"対象月に子が2歳到達済／","")&amp;IF(AND($H2411&lt;&gt;"",INDEX(職員マスタ!$B$6:$B$405,$AN2411)&lt;&gt;"",SUBSTITUTE(SUBSTITUTE($H2411," ","")," ","")&lt;&gt;SUBSTITUTE(SUBSTITUTE(INDEX(職員マスタ!$B$6:$B$405,$AN2411)," ","")," ","")),"氏名がマスタと相違／","")&amp;IF(AND($Q2411&lt;&gt;"",INDEX(職員マスタ!$E$6:$E$405,$AN2411)&lt;&gt;"",$Q2411&lt;&gt;INDEX(職員マスタ!$E$6:$E$405,$AN2411)),"子の生年月日がマスタと相違／","")&amp;IF(AND($L2411&lt;&gt;"",INDEX(職員マスタ!$G$6:$G$405,$AN2411)&lt;&gt;"",$L2411&lt;&gt;INDEX(職員マスタ!$G$6:$G$405,$AN2411)),"時短開始日がマスタと相違／","")&amp;IF(AND($M2411&lt;&gt;"",INDEX(職員マスタ!$H$6:$H$405,$AN2411)&lt;&gt;"",$M2411&lt;&gt;INDEX(職員マスタ!$H$6:$H$405,$AN2411)),"時短終了日がマスタと相違／","")))&amp;IF(AND($B2411&lt;&gt;"",$E2411=""),"報酬額が未入力／","")&amp;IF(N($U2411)&gt;0,"申請書に入力エラーが残っています／","")&amp;IF(AND($B2411&lt;&gt;"",$AO2411&lt;&gt;""),IF(COUNTIFS($B$6:$B$3005,$B2411,$C$6:$C$3005,$C2411,$D$6:$D$3005,$D2411)&gt;1,"同じ月の請求が重複しています／",""),"")&amp;IF(AND(N($E2411)&gt;0,$Z2411&lt;&gt;"",$Z2411&lt;&gt;"×",$AC2411=0,$AB2411=""),"計算額が下限以下のため不支給／",""))</f>
        <v/>
      </c>
      <c r="AL2411" s="12" t="n"/>
      <c r="AM2411" s="14">
        <f>IF($AD2411="保留中",COUNTIF($AD$6:$AD2411,"保留中"),"")</f>
        <v/>
      </c>
      <c r="AN2411" s="14">
        <f>IF($AO2411="","",IF(SUMPRODUCT(MAX((職員マスタ!$A$6:$A$405=$B2411)*(((職員マスタ!$G$6:$G$405="")+(職員マスタ!$G$6:$G$405&lt;=EOMONTH($AO2411,0)))&gt;0)*(((職員マスタ!$H$6:$H$405="")+(職員マスタ!$H$6:$H$405&gt;=$AO2411))&gt;0)*(ROW(職員マスタ!$A$6:$A$405)-5)))&gt;0,SUMPRODUCT(MAX((職員マスタ!$A$6:$A$405=$B2411)*(((職員マスタ!$G$6:$G$405="")+(職員マスタ!$G$6:$G$405&lt;=EOMONTH($AO2411,0)))&gt;0)*(((職員マスタ!$H$6:$H$405="")+(職員マスタ!$H$6:$H$405&gt;=$AO2411))&gt;0)*(ROW(職員マスタ!$A$6:$A$405)-5))),IFERROR(MATCH($B2411,職員マスタ!$A$6:$A$405,0),"")))</f>
        <v/>
      </c>
      <c r="AO2411" s="16">
        <f>IF(OR($B2411="",$C2411="",$D2411=""),"",DATE($C2411+2018,$D2411,1))</f>
        <v/>
      </c>
    </row>
    <row r="2412">
      <c r="A2412" s="11" t="n"/>
      <c r="B2412" s="12" t="n"/>
      <c r="C2412" s="12" t="n"/>
      <c r="D2412" s="12" t="n"/>
      <c r="E2412" s="13" t="n"/>
      <c r="F2412" s="12" t="n"/>
      <c r="G2412" s="13" t="n"/>
      <c r="H2412" s="12" t="n"/>
      <c r="I2412" s="12" t="n"/>
      <c r="J2412" s="12" t="n"/>
      <c r="K2412" s="12" t="n"/>
      <c r="L2412" s="11" t="n"/>
      <c r="M2412" s="11" t="n"/>
      <c r="N2412" s="11" t="n"/>
      <c r="O2412" s="11" t="n"/>
      <c r="P2412" s="12" t="n"/>
      <c r="Q2412" s="11" t="n"/>
      <c r="R2412" s="12" t="n"/>
      <c r="S2412" s="11" t="n"/>
      <c r="T2412" s="12" t="n"/>
      <c r="U2412" s="12" t="n"/>
      <c r="V2412" s="14">
        <f>IF($AN2412="",IF($B2412="","",$H2412),IF(INDEX(職員マスタ!$B$6:$B$405,$AN2412)="",$H2412,INDEX(職員マスタ!$B$6:$B$405,$AN2412)))</f>
        <v/>
      </c>
      <c r="W2412" s="14">
        <f>IF($AN2412="",IF($B2412="","",$R2412),IF(INDEX(職員マスタ!$C$6:$C$405,$AN2412)="",$R2412,INDEX(職員マスタ!$C$6:$C$405,$AN2412)))</f>
        <v/>
      </c>
      <c r="X2412" s="14">
        <f>IF($AO2412="","","R"&amp;$C2412&amp;"."&amp;$D2412)</f>
        <v/>
      </c>
      <c r="Y2412" s="15">
        <f>IF($AN2412="","",IF(INDEX(職員マスタ!$K$6:$K$405,$AN2412)="","",INDEX(職員マスタ!$K$6:$K$405,$AN2412)))</f>
        <v/>
      </c>
      <c r="Z2412" s="14">
        <f>IF(OR($E2412="",$Y2412=""),"",IF($E2412&gt;=$Y2412,"×",IF($E2412&gt;=$Y2412*設定!$C$5,"△","○")))</f>
        <v/>
      </c>
      <c r="AA2412" s="15">
        <f>IF($Z2412="","",IF($Z2412="×",0,IF($Z2412="○",ROUNDDOWN($E2412*設定!$C$4,0),ROUNDDOWN($E2412*ROUND((9*$Y2412-9*$E2412)/(10*$E2412),4),0))))</f>
        <v/>
      </c>
      <c r="AB2412" s="13" t="n"/>
      <c r="AC2412" s="15">
        <f>IF($B2412="","",IF($AB2412&lt;&gt;"",$AB2412,IF($AA2412="","",IF($AA2412&lt;=設定!$C$3,0,$AA2412))))</f>
        <v/>
      </c>
      <c r="AD2412" s="14">
        <f>IF($B2412="","",IF(AND($AE2412&lt;&gt;"",$AG2412="",$AJ2412=""),"保留中",IF($AJ2412&lt;&gt;"",IF(N($AC2412)&gt;0,"支給済","不支給"),IF($AC2412="","要確認",IF($AC2412=0,"不支給","未処理")))))</f>
        <v/>
      </c>
      <c r="AE2412" s="12" t="n"/>
      <c r="AF2412" s="11" t="n"/>
      <c r="AG2412" s="11" t="n"/>
      <c r="AH2412" s="11" t="n"/>
      <c r="AI2412" s="14">
        <f>IF(AND($AD2412="保留中",$AF2412&lt;&gt;""),TODAY()-$AF2412,"")</f>
        <v/>
      </c>
      <c r="AJ2412" s="12" t="n"/>
      <c r="AK2412" s="14">
        <f>IF($B2412="","",IF($AO2412="","対象年月が未入力／","")&amp;IF($B2412="","",IF($AN2412="","職員マスタに未登録の職員番号／",IF($Y2412="","標準報酬月額が未登録／","")&amp;IF(AND($AO2412&lt;&gt;"",OR(AND(INDEX(職員マスタ!$G$6:$G$405,$AN2412)&lt;&gt;"",INDEX(職員マスタ!$G$6:$G$405,$AN2412)&gt;EOMONTH($AO2412,0)),AND(INDEX(職員マスタ!$H$6:$H$405,$AN2412)&lt;&gt;"",INDEX(職員マスタ!$H$6:$H$405,$AN2412)&lt;$AO2412))),"対象月が時短期間外／","")&amp;IF(AND(INDEX(職員マスタ!$F$6:$F$405,$AN2412)&lt;&gt;"",$AO2412&lt;&gt;"",INDEX(職員マスタ!$F$6:$F$405,$AN2412)&lt;$AO2412),"対象月に子が2歳到達済／","")&amp;IF(AND($H2412&lt;&gt;"",INDEX(職員マスタ!$B$6:$B$405,$AN2412)&lt;&gt;"",SUBSTITUTE(SUBSTITUTE($H2412," ","")," ","")&lt;&gt;SUBSTITUTE(SUBSTITUTE(INDEX(職員マスタ!$B$6:$B$405,$AN2412)," ","")," ","")),"氏名がマスタと相違／","")&amp;IF(AND($Q2412&lt;&gt;"",INDEX(職員マスタ!$E$6:$E$405,$AN2412)&lt;&gt;"",$Q2412&lt;&gt;INDEX(職員マスタ!$E$6:$E$405,$AN2412)),"子の生年月日がマスタと相違／","")&amp;IF(AND($L2412&lt;&gt;"",INDEX(職員マスタ!$G$6:$G$405,$AN2412)&lt;&gt;"",$L2412&lt;&gt;INDEX(職員マスタ!$G$6:$G$405,$AN2412)),"時短開始日がマスタと相違／","")&amp;IF(AND($M2412&lt;&gt;"",INDEX(職員マスタ!$H$6:$H$405,$AN2412)&lt;&gt;"",$M2412&lt;&gt;INDEX(職員マスタ!$H$6:$H$405,$AN2412)),"時短終了日がマスタと相違／","")))&amp;IF(AND($B2412&lt;&gt;"",$E2412=""),"報酬額が未入力／","")&amp;IF(N($U2412)&gt;0,"申請書に入力エラーが残っています／","")&amp;IF(AND($B2412&lt;&gt;"",$AO2412&lt;&gt;""),IF(COUNTIFS($B$6:$B$3005,$B2412,$C$6:$C$3005,$C2412,$D$6:$D$3005,$D2412)&gt;1,"同じ月の請求が重複しています／",""),"")&amp;IF(AND(N($E2412)&gt;0,$Z2412&lt;&gt;"",$Z2412&lt;&gt;"×",$AC2412=0,$AB2412=""),"計算額が下限以下のため不支給／",""))</f>
        <v/>
      </c>
      <c r="AL2412" s="12" t="n"/>
      <c r="AM2412" s="14">
        <f>IF($AD2412="保留中",COUNTIF($AD$6:$AD2412,"保留中"),"")</f>
        <v/>
      </c>
      <c r="AN2412" s="14">
        <f>IF($AO2412="","",IF(SUMPRODUCT(MAX((職員マスタ!$A$6:$A$405=$B2412)*(((職員マスタ!$G$6:$G$405="")+(職員マスタ!$G$6:$G$405&lt;=EOMONTH($AO2412,0)))&gt;0)*(((職員マスタ!$H$6:$H$405="")+(職員マスタ!$H$6:$H$405&gt;=$AO2412))&gt;0)*(ROW(職員マスタ!$A$6:$A$405)-5)))&gt;0,SUMPRODUCT(MAX((職員マスタ!$A$6:$A$405=$B2412)*(((職員マスタ!$G$6:$G$405="")+(職員マスタ!$G$6:$G$405&lt;=EOMONTH($AO2412,0)))&gt;0)*(((職員マスタ!$H$6:$H$405="")+(職員マスタ!$H$6:$H$405&gt;=$AO2412))&gt;0)*(ROW(職員マスタ!$A$6:$A$405)-5))),IFERROR(MATCH($B2412,職員マスタ!$A$6:$A$405,0),"")))</f>
        <v/>
      </c>
      <c r="AO2412" s="16">
        <f>IF(OR($B2412="",$C2412="",$D2412=""),"",DATE($C2412+2018,$D2412,1))</f>
        <v/>
      </c>
    </row>
    <row r="2413">
      <c r="A2413" s="11" t="n"/>
      <c r="B2413" s="12" t="n"/>
      <c r="C2413" s="12" t="n"/>
      <c r="D2413" s="12" t="n"/>
      <c r="E2413" s="13" t="n"/>
      <c r="F2413" s="12" t="n"/>
      <c r="G2413" s="13" t="n"/>
      <c r="H2413" s="12" t="n"/>
      <c r="I2413" s="12" t="n"/>
      <c r="J2413" s="12" t="n"/>
      <c r="K2413" s="12" t="n"/>
      <c r="L2413" s="11" t="n"/>
      <c r="M2413" s="11" t="n"/>
      <c r="N2413" s="11" t="n"/>
      <c r="O2413" s="11" t="n"/>
      <c r="P2413" s="12" t="n"/>
      <c r="Q2413" s="11" t="n"/>
      <c r="R2413" s="12" t="n"/>
      <c r="S2413" s="11" t="n"/>
      <c r="T2413" s="12" t="n"/>
      <c r="U2413" s="12" t="n"/>
      <c r="V2413" s="14">
        <f>IF($AN2413="",IF($B2413="","",$H2413),IF(INDEX(職員マスタ!$B$6:$B$405,$AN2413)="",$H2413,INDEX(職員マスタ!$B$6:$B$405,$AN2413)))</f>
        <v/>
      </c>
      <c r="W2413" s="14">
        <f>IF($AN2413="",IF($B2413="","",$R2413),IF(INDEX(職員マスタ!$C$6:$C$405,$AN2413)="",$R2413,INDEX(職員マスタ!$C$6:$C$405,$AN2413)))</f>
        <v/>
      </c>
      <c r="X2413" s="14">
        <f>IF($AO2413="","","R"&amp;$C2413&amp;"."&amp;$D2413)</f>
        <v/>
      </c>
      <c r="Y2413" s="15">
        <f>IF($AN2413="","",IF(INDEX(職員マスタ!$K$6:$K$405,$AN2413)="","",INDEX(職員マスタ!$K$6:$K$405,$AN2413)))</f>
        <v/>
      </c>
      <c r="Z2413" s="14">
        <f>IF(OR($E2413="",$Y2413=""),"",IF($E2413&gt;=$Y2413,"×",IF($E2413&gt;=$Y2413*設定!$C$5,"△","○")))</f>
        <v/>
      </c>
      <c r="AA2413" s="15">
        <f>IF($Z2413="","",IF($Z2413="×",0,IF($Z2413="○",ROUNDDOWN($E2413*設定!$C$4,0),ROUNDDOWN($E2413*ROUND((9*$Y2413-9*$E2413)/(10*$E2413),4),0))))</f>
        <v/>
      </c>
      <c r="AB2413" s="13" t="n"/>
      <c r="AC2413" s="15">
        <f>IF($B2413="","",IF($AB2413&lt;&gt;"",$AB2413,IF($AA2413="","",IF($AA2413&lt;=設定!$C$3,0,$AA2413))))</f>
        <v/>
      </c>
      <c r="AD2413" s="14">
        <f>IF($B2413="","",IF(AND($AE2413&lt;&gt;"",$AG2413="",$AJ2413=""),"保留中",IF($AJ2413&lt;&gt;"",IF(N($AC2413)&gt;0,"支給済","不支給"),IF($AC2413="","要確認",IF($AC2413=0,"不支給","未処理")))))</f>
        <v/>
      </c>
      <c r="AE2413" s="12" t="n"/>
      <c r="AF2413" s="11" t="n"/>
      <c r="AG2413" s="11" t="n"/>
      <c r="AH2413" s="11" t="n"/>
      <c r="AI2413" s="14">
        <f>IF(AND($AD2413="保留中",$AF2413&lt;&gt;""),TODAY()-$AF2413,"")</f>
        <v/>
      </c>
      <c r="AJ2413" s="12" t="n"/>
      <c r="AK2413" s="14">
        <f>IF($B2413="","",IF($AO2413="","対象年月が未入力／","")&amp;IF($B2413="","",IF($AN2413="","職員マスタに未登録の職員番号／",IF($Y2413="","標準報酬月額が未登録／","")&amp;IF(AND($AO2413&lt;&gt;"",OR(AND(INDEX(職員マスタ!$G$6:$G$405,$AN2413)&lt;&gt;"",INDEX(職員マスタ!$G$6:$G$405,$AN2413)&gt;EOMONTH($AO2413,0)),AND(INDEX(職員マスタ!$H$6:$H$405,$AN2413)&lt;&gt;"",INDEX(職員マスタ!$H$6:$H$405,$AN2413)&lt;$AO2413))),"対象月が時短期間外／","")&amp;IF(AND(INDEX(職員マスタ!$F$6:$F$405,$AN2413)&lt;&gt;"",$AO2413&lt;&gt;"",INDEX(職員マスタ!$F$6:$F$405,$AN2413)&lt;$AO2413),"対象月に子が2歳到達済／","")&amp;IF(AND($H2413&lt;&gt;"",INDEX(職員マスタ!$B$6:$B$405,$AN2413)&lt;&gt;"",SUBSTITUTE(SUBSTITUTE($H2413," ","")," ","")&lt;&gt;SUBSTITUTE(SUBSTITUTE(INDEX(職員マスタ!$B$6:$B$405,$AN2413)," ","")," ","")),"氏名がマスタと相違／","")&amp;IF(AND($Q2413&lt;&gt;"",INDEX(職員マスタ!$E$6:$E$405,$AN2413)&lt;&gt;"",$Q2413&lt;&gt;INDEX(職員マスタ!$E$6:$E$405,$AN2413)),"子の生年月日がマスタと相違／","")&amp;IF(AND($L2413&lt;&gt;"",INDEX(職員マスタ!$G$6:$G$405,$AN2413)&lt;&gt;"",$L2413&lt;&gt;INDEX(職員マスタ!$G$6:$G$405,$AN2413)),"時短開始日がマスタと相違／","")&amp;IF(AND($M2413&lt;&gt;"",INDEX(職員マスタ!$H$6:$H$405,$AN2413)&lt;&gt;"",$M2413&lt;&gt;INDEX(職員マスタ!$H$6:$H$405,$AN2413)),"時短終了日がマスタと相違／","")))&amp;IF(AND($B2413&lt;&gt;"",$E2413=""),"報酬額が未入力／","")&amp;IF(N($U2413)&gt;0,"申請書に入力エラーが残っています／","")&amp;IF(AND($B2413&lt;&gt;"",$AO2413&lt;&gt;""),IF(COUNTIFS($B$6:$B$3005,$B2413,$C$6:$C$3005,$C2413,$D$6:$D$3005,$D2413)&gt;1,"同じ月の請求が重複しています／",""),"")&amp;IF(AND(N($E2413)&gt;0,$Z2413&lt;&gt;"",$Z2413&lt;&gt;"×",$AC2413=0,$AB2413=""),"計算額が下限以下のため不支給／",""))</f>
        <v/>
      </c>
      <c r="AL2413" s="12" t="n"/>
      <c r="AM2413" s="14">
        <f>IF($AD2413="保留中",COUNTIF($AD$6:$AD2413,"保留中"),"")</f>
        <v/>
      </c>
      <c r="AN2413" s="14">
        <f>IF($AO2413="","",IF(SUMPRODUCT(MAX((職員マスタ!$A$6:$A$405=$B2413)*(((職員マスタ!$G$6:$G$405="")+(職員マスタ!$G$6:$G$405&lt;=EOMONTH($AO2413,0)))&gt;0)*(((職員マスタ!$H$6:$H$405="")+(職員マスタ!$H$6:$H$405&gt;=$AO2413))&gt;0)*(ROW(職員マスタ!$A$6:$A$405)-5)))&gt;0,SUMPRODUCT(MAX((職員マスタ!$A$6:$A$405=$B2413)*(((職員マスタ!$G$6:$G$405="")+(職員マスタ!$G$6:$G$405&lt;=EOMONTH($AO2413,0)))&gt;0)*(((職員マスタ!$H$6:$H$405="")+(職員マスタ!$H$6:$H$405&gt;=$AO2413))&gt;0)*(ROW(職員マスタ!$A$6:$A$405)-5))),IFERROR(MATCH($B2413,職員マスタ!$A$6:$A$405,0),"")))</f>
        <v/>
      </c>
      <c r="AO2413" s="16">
        <f>IF(OR($B2413="",$C2413="",$D2413=""),"",DATE($C2413+2018,$D2413,1))</f>
        <v/>
      </c>
    </row>
    <row r="2414">
      <c r="A2414" s="11" t="n"/>
      <c r="B2414" s="12" t="n"/>
      <c r="C2414" s="12" t="n"/>
      <c r="D2414" s="12" t="n"/>
      <c r="E2414" s="13" t="n"/>
      <c r="F2414" s="12" t="n"/>
      <c r="G2414" s="13" t="n"/>
      <c r="H2414" s="12" t="n"/>
      <c r="I2414" s="12" t="n"/>
      <c r="J2414" s="12" t="n"/>
      <c r="K2414" s="12" t="n"/>
      <c r="L2414" s="11" t="n"/>
      <c r="M2414" s="11" t="n"/>
      <c r="N2414" s="11" t="n"/>
      <c r="O2414" s="11" t="n"/>
      <c r="P2414" s="12" t="n"/>
      <c r="Q2414" s="11" t="n"/>
      <c r="R2414" s="12" t="n"/>
      <c r="S2414" s="11" t="n"/>
      <c r="T2414" s="12" t="n"/>
      <c r="U2414" s="12" t="n"/>
      <c r="V2414" s="14">
        <f>IF($AN2414="",IF($B2414="","",$H2414),IF(INDEX(職員マスタ!$B$6:$B$405,$AN2414)="",$H2414,INDEX(職員マスタ!$B$6:$B$405,$AN2414)))</f>
        <v/>
      </c>
      <c r="W2414" s="14">
        <f>IF($AN2414="",IF($B2414="","",$R2414),IF(INDEX(職員マスタ!$C$6:$C$405,$AN2414)="",$R2414,INDEX(職員マスタ!$C$6:$C$405,$AN2414)))</f>
        <v/>
      </c>
      <c r="X2414" s="14">
        <f>IF($AO2414="","","R"&amp;$C2414&amp;"."&amp;$D2414)</f>
        <v/>
      </c>
      <c r="Y2414" s="15">
        <f>IF($AN2414="","",IF(INDEX(職員マスタ!$K$6:$K$405,$AN2414)="","",INDEX(職員マスタ!$K$6:$K$405,$AN2414)))</f>
        <v/>
      </c>
      <c r="Z2414" s="14">
        <f>IF(OR($E2414="",$Y2414=""),"",IF($E2414&gt;=$Y2414,"×",IF($E2414&gt;=$Y2414*設定!$C$5,"△","○")))</f>
        <v/>
      </c>
      <c r="AA2414" s="15">
        <f>IF($Z2414="","",IF($Z2414="×",0,IF($Z2414="○",ROUNDDOWN($E2414*設定!$C$4,0),ROUNDDOWN($E2414*ROUND((9*$Y2414-9*$E2414)/(10*$E2414),4),0))))</f>
        <v/>
      </c>
      <c r="AB2414" s="13" t="n"/>
      <c r="AC2414" s="15">
        <f>IF($B2414="","",IF($AB2414&lt;&gt;"",$AB2414,IF($AA2414="","",IF($AA2414&lt;=設定!$C$3,0,$AA2414))))</f>
        <v/>
      </c>
      <c r="AD2414" s="14">
        <f>IF($B2414="","",IF(AND($AE2414&lt;&gt;"",$AG2414="",$AJ2414=""),"保留中",IF($AJ2414&lt;&gt;"",IF(N($AC2414)&gt;0,"支給済","不支給"),IF($AC2414="","要確認",IF($AC2414=0,"不支給","未処理")))))</f>
        <v/>
      </c>
      <c r="AE2414" s="12" t="n"/>
      <c r="AF2414" s="11" t="n"/>
      <c r="AG2414" s="11" t="n"/>
      <c r="AH2414" s="11" t="n"/>
      <c r="AI2414" s="14">
        <f>IF(AND($AD2414="保留中",$AF2414&lt;&gt;""),TODAY()-$AF2414,"")</f>
        <v/>
      </c>
      <c r="AJ2414" s="12" t="n"/>
      <c r="AK2414" s="14">
        <f>IF($B2414="","",IF($AO2414="","対象年月が未入力／","")&amp;IF($B2414="","",IF($AN2414="","職員マスタに未登録の職員番号／",IF($Y2414="","標準報酬月額が未登録／","")&amp;IF(AND($AO2414&lt;&gt;"",OR(AND(INDEX(職員マスタ!$G$6:$G$405,$AN2414)&lt;&gt;"",INDEX(職員マスタ!$G$6:$G$405,$AN2414)&gt;EOMONTH($AO2414,0)),AND(INDEX(職員マスタ!$H$6:$H$405,$AN2414)&lt;&gt;"",INDEX(職員マスタ!$H$6:$H$405,$AN2414)&lt;$AO2414))),"対象月が時短期間外／","")&amp;IF(AND(INDEX(職員マスタ!$F$6:$F$405,$AN2414)&lt;&gt;"",$AO2414&lt;&gt;"",INDEX(職員マスタ!$F$6:$F$405,$AN2414)&lt;$AO2414),"対象月に子が2歳到達済／","")&amp;IF(AND($H2414&lt;&gt;"",INDEX(職員マスタ!$B$6:$B$405,$AN2414)&lt;&gt;"",SUBSTITUTE(SUBSTITUTE($H2414," ","")," ","")&lt;&gt;SUBSTITUTE(SUBSTITUTE(INDEX(職員マスタ!$B$6:$B$405,$AN2414)," ","")," ","")),"氏名がマスタと相違／","")&amp;IF(AND($Q2414&lt;&gt;"",INDEX(職員マスタ!$E$6:$E$405,$AN2414)&lt;&gt;"",$Q2414&lt;&gt;INDEX(職員マスタ!$E$6:$E$405,$AN2414)),"子の生年月日がマスタと相違／","")&amp;IF(AND($L2414&lt;&gt;"",INDEX(職員マスタ!$G$6:$G$405,$AN2414)&lt;&gt;"",$L2414&lt;&gt;INDEX(職員マスタ!$G$6:$G$405,$AN2414)),"時短開始日がマスタと相違／","")&amp;IF(AND($M2414&lt;&gt;"",INDEX(職員マスタ!$H$6:$H$405,$AN2414)&lt;&gt;"",$M2414&lt;&gt;INDEX(職員マスタ!$H$6:$H$405,$AN2414)),"時短終了日がマスタと相違／","")))&amp;IF(AND($B2414&lt;&gt;"",$E2414=""),"報酬額が未入力／","")&amp;IF(N($U2414)&gt;0,"申請書に入力エラーが残っています／","")&amp;IF(AND($B2414&lt;&gt;"",$AO2414&lt;&gt;""),IF(COUNTIFS($B$6:$B$3005,$B2414,$C$6:$C$3005,$C2414,$D$6:$D$3005,$D2414)&gt;1,"同じ月の請求が重複しています／",""),"")&amp;IF(AND(N($E2414)&gt;0,$Z2414&lt;&gt;"",$Z2414&lt;&gt;"×",$AC2414=0,$AB2414=""),"計算額が下限以下のため不支給／",""))</f>
        <v/>
      </c>
      <c r="AL2414" s="12" t="n"/>
      <c r="AM2414" s="14">
        <f>IF($AD2414="保留中",COUNTIF($AD$6:$AD2414,"保留中"),"")</f>
        <v/>
      </c>
      <c r="AN2414" s="14">
        <f>IF($AO2414="","",IF(SUMPRODUCT(MAX((職員マスタ!$A$6:$A$405=$B2414)*(((職員マスタ!$G$6:$G$405="")+(職員マスタ!$G$6:$G$405&lt;=EOMONTH($AO2414,0)))&gt;0)*(((職員マスタ!$H$6:$H$405="")+(職員マスタ!$H$6:$H$405&gt;=$AO2414))&gt;0)*(ROW(職員マスタ!$A$6:$A$405)-5)))&gt;0,SUMPRODUCT(MAX((職員マスタ!$A$6:$A$405=$B2414)*(((職員マスタ!$G$6:$G$405="")+(職員マスタ!$G$6:$G$405&lt;=EOMONTH($AO2414,0)))&gt;0)*(((職員マスタ!$H$6:$H$405="")+(職員マスタ!$H$6:$H$405&gt;=$AO2414))&gt;0)*(ROW(職員マスタ!$A$6:$A$405)-5))),IFERROR(MATCH($B2414,職員マスタ!$A$6:$A$405,0),"")))</f>
        <v/>
      </c>
      <c r="AO2414" s="16">
        <f>IF(OR($B2414="",$C2414="",$D2414=""),"",DATE($C2414+2018,$D2414,1))</f>
        <v/>
      </c>
    </row>
    <row r="2415">
      <c r="A2415" s="11" t="n"/>
      <c r="B2415" s="12" t="n"/>
      <c r="C2415" s="12" t="n"/>
      <c r="D2415" s="12" t="n"/>
      <c r="E2415" s="13" t="n"/>
      <c r="F2415" s="12" t="n"/>
      <c r="G2415" s="13" t="n"/>
      <c r="H2415" s="12" t="n"/>
      <c r="I2415" s="12" t="n"/>
      <c r="J2415" s="12" t="n"/>
      <c r="K2415" s="12" t="n"/>
      <c r="L2415" s="11" t="n"/>
      <c r="M2415" s="11" t="n"/>
      <c r="N2415" s="11" t="n"/>
      <c r="O2415" s="11" t="n"/>
      <c r="P2415" s="12" t="n"/>
      <c r="Q2415" s="11" t="n"/>
      <c r="R2415" s="12" t="n"/>
      <c r="S2415" s="11" t="n"/>
      <c r="T2415" s="12" t="n"/>
      <c r="U2415" s="12" t="n"/>
      <c r="V2415" s="14">
        <f>IF($AN2415="",IF($B2415="","",$H2415),IF(INDEX(職員マスタ!$B$6:$B$405,$AN2415)="",$H2415,INDEX(職員マスタ!$B$6:$B$405,$AN2415)))</f>
        <v/>
      </c>
      <c r="W2415" s="14">
        <f>IF($AN2415="",IF($B2415="","",$R2415),IF(INDEX(職員マスタ!$C$6:$C$405,$AN2415)="",$R2415,INDEX(職員マスタ!$C$6:$C$405,$AN2415)))</f>
        <v/>
      </c>
      <c r="X2415" s="14">
        <f>IF($AO2415="","","R"&amp;$C2415&amp;"."&amp;$D2415)</f>
        <v/>
      </c>
      <c r="Y2415" s="15">
        <f>IF($AN2415="","",IF(INDEX(職員マスタ!$K$6:$K$405,$AN2415)="","",INDEX(職員マスタ!$K$6:$K$405,$AN2415)))</f>
        <v/>
      </c>
      <c r="Z2415" s="14">
        <f>IF(OR($E2415="",$Y2415=""),"",IF($E2415&gt;=$Y2415,"×",IF($E2415&gt;=$Y2415*設定!$C$5,"△","○")))</f>
        <v/>
      </c>
      <c r="AA2415" s="15">
        <f>IF($Z2415="","",IF($Z2415="×",0,IF($Z2415="○",ROUNDDOWN($E2415*設定!$C$4,0),ROUNDDOWN($E2415*ROUND((9*$Y2415-9*$E2415)/(10*$E2415),4),0))))</f>
        <v/>
      </c>
      <c r="AB2415" s="13" t="n"/>
      <c r="AC2415" s="15">
        <f>IF($B2415="","",IF($AB2415&lt;&gt;"",$AB2415,IF($AA2415="","",IF($AA2415&lt;=設定!$C$3,0,$AA2415))))</f>
        <v/>
      </c>
      <c r="AD2415" s="14">
        <f>IF($B2415="","",IF(AND($AE2415&lt;&gt;"",$AG2415="",$AJ2415=""),"保留中",IF($AJ2415&lt;&gt;"",IF(N($AC2415)&gt;0,"支給済","不支給"),IF($AC2415="","要確認",IF($AC2415=0,"不支給","未処理")))))</f>
        <v/>
      </c>
      <c r="AE2415" s="12" t="n"/>
      <c r="AF2415" s="11" t="n"/>
      <c r="AG2415" s="11" t="n"/>
      <c r="AH2415" s="11" t="n"/>
      <c r="AI2415" s="14">
        <f>IF(AND($AD2415="保留中",$AF2415&lt;&gt;""),TODAY()-$AF2415,"")</f>
        <v/>
      </c>
      <c r="AJ2415" s="12" t="n"/>
      <c r="AK2415" s="14">
        <f>IF($B2415="","",IF($AO2415="","対象年月が未入力／","")&amp;IF($B2415="","",IF($AN2415="","職員マスタに未登録の職員番号／",IF($Y2415="","標準報酬月額が未登録／","")&amp;IF(AND($AO2415&lt;&gt;"",OR(AND(INDEX(職員マスタ!$G$6:$G$405,$AN2415)&lt;&gt;"",INDEX(職員マスタ!$G$6:$G$405,$AN2415)&gt;EOMONTH($AO2415,0)),AND(INDEX(職員マスタ!$H$6:$H$405,$AN2415)&lt;&gt;"",INDEX(職員マスタ!$H$6:$H$405,$AN2415)&lt;$AO2415))),"対象月が時短期間外／","")&amp;IF(AND(INDEX(職員マスタ!$F$6:$F$405,$AN2415)&lt;&gt;"",$AO2415&lt;&gt;"",INDEX(職員マスタ!$F$6:$F$405,$AN2415)&lt;$AO2415),"対象月に子が2歳到達済／","")&amp;IF(AND($H2415&lt;&gt;"",INDEX(職員マスタ!$B$6:$B$405,$AN2415)&lt;&gt;"",SUBSTITUTE(SUBSTITUTE($H2415," ","")," ","")&lt;&gt;SUBSTITUTE(SUBSTITUTE(INDEX(職員マスタ!$B$6:$B$405,$AN2415)," ","")," ","")),"氏名がマスタと相違／","")&amp;IF(AND($Q2415&lt;&gt;"",INDEX(職員マスタ!$E$6:$E$405,$AN2415)&lt;&gt;"",$Q2415&lt;&gt;INDEX(職員マスタ!$E$6:$E$405,$AN2415)),"子の生年月日がマスタと相違／","")&amp;IF(AND($L2415&lt;&gt;"",INDEX(職員マスタ!$G$6:$G$405,$AN2415)&lt;&gt;"",$L2415&lt;&gt;INDEX(職員マスタ!$G$6:$G$405,$AN2415)),"時短開始日がマスタと相違／","")&amp;IF(AND($M2415&lt;&gt;"",INDEX(職員マスタ!$H$6:$H$405,$AN2415)&lt;&gt;"",$M2415&lt;&gt;INDEX(職員マスタ!$H$6:$H$405,$AN2415)),"時短終了日がマスタと相違／","")))&amp;IF(AND($B2415&lt;&gt;"",$E2415=""),"報酬額が未入力／","")&amp;IF(N($U2415)&gt;0,"申請書に入力エラーが残っています／","")&amp;IF(AND($B2415&lt;&gt;"",$AO2415&lt;&gt;""),IF(COUNTIFS($B$6:$B$3005,$B2415,$C$6:$C$3005,$C2415,$D$6:$D$3005,$D2415)&gt;1,"同じ月の請求が重複しています／",""),"")&amp;IF(AND(N($E2415)&gt;0,$Z2415&lt;&gt;"",$Z2415&lt;&gt;"×",$AC2415=0,$AB2415=""),"計算額が下限以下のため不支給／",""))</f>
        <v/>
      </c>
      <c r="AL2415" s="12" t="n"/>
      <c r="AM2415" s="14">
        <f>IF($AD2415="保留中",COUNTIF($AD$6:$AD2415,"保留中"),"")</f>
        <v/>
      </c>
      <c r="AN2415" s="14">
        <f>IF($AO2415="","",IF(SUMPRODUCT(MAX((職員マスタ!$A$6:$A$405=$B2415)*(((職員マスタ!$G$6:$G$405="")+(職員マスタ!$G$6:$G$405&lt;=EOMONTH($AO2415,0)))&gt;0)*(((職員マスタ!$H$6:$H$405="")+(職員マスタ!$H$6:$H$405&gt;=$AO2415))&gt;0)*(ROW(職員マスタ!$A$6:$A$405)-5)))&gt;0,SUMPRODUCT(MAX((職員マスタ!$A$6:$A$405=$B2415)*(((職員マスタ!$G$6:$G$405="")+(職員マスタ!$G$6:$G$405&lt;=EOMONTH($AO2415,0)))&gt;0)*(((職員マスタ!$H$6:$H$405="")+(職員マスタ!$H$6:$H$405&gt;=$AO2415))&gt;0)*(ROW(職員マスタ!$A$6:$A$405)-5))),IFERROR(MATCH($B2415,職員マスタ!$A$6:$A$405,0),"")))</f>
        <v/>
      </c>
      <c r="AO2415" s="16">
        <f>IF(OR($B2415="",$C2415="",$D2415=""),"",DATE($C2415+2018,$D2415,1))</f>
        <v/>
      </c>
    </row>
    <row r="2416">
      <c r="A2416" s="11" t="n"/>
      <c r="B2416" s="12" t="n"/>
      <c r="C2416" s="12" t="n"/>
      <c r="D2416" s="12" t="n"/>
      <c r="E2416" s="13" t="n"/>
      <c r="F2416" s="12" t="n"/>
      <c r="G2416" s="13" t="n"/>
      <c r="H2416" s="12" t="n"/>
      <c r="I2416" s="12" t="n"/>
      <c r="J2416" s="12" t="n"/>
      <c r="K2416" s="12" t="n"/>
      <c r="L2416" s="11" t="n"/>
      <c r="M2416" s="11" t="n"/>
      <c r="N2416" s="11" t="n"/>
      <c r="O2416" s="11" t="n"/>
      <c r="P2416" s="12" t="n"/>
      <c r="Q2416" s="11" t="n"/>
      <c r="R2416" s="12" t="n"/>
      <c r="S2416" s="11" t="n"/>
      <c r="T2416" s="12" t="n"/>
      <c r="U2416" s="12" t="n"/>
      <c r="V2416" s="14">
        <f>IF($AN2416="",IF($B2416="","",$H2416),IF(INDEX(職員マスタ!$B$6:$B$405,$AN2416)="",$H2416,INDEX(職員マスタ!$B$6:$B$405,$AN2416)))</f>
        <v/>
      </c>
      <c r="W2416" s="14">
        <f>IF($AN2416="",IF($B2416="","",$R2416),IF(INDEX(職員マスタ!$C$6:$C$405,$AN2416)="",$R2416,INDEX(職員マスタ!$C$6:$C$405,$AN2416)))</f>
        <v/>
      </c>
      <c r="X2416" s="14">
        <f>IF($AO2416="","","R"&amp;$C2416&amp;"."&amp;$D2416)</f>
        <v/>
      </c>
      <c r="Y2416" s="15">
        <f>IF($AN2416="","",IF(INDEX(職員マスタ!$K$6:$K$405,$AN2416)="","",INDEX(職員マスタ!$K$6:$K$405,$AN2416)))</f>
        <v/>
      </c>
      <c r="Z2416" s="14">
        <f>IF(OR($E2416="",$Y2416=""),"",IF($E2416&gt;=$Y2416,"×",IF($E2416&gt;=$Y2416*設定!$C$5,"△","○")))</f>
        <v/>
      </c>
      <c r="AA2416" s="15">
        <f>IF($Z2416="","",IF($Z2416="×",0,IF($Z2416="○",ROUNDDOWN($E2416*設定!$C$4,0),ROUNDDOWN($E2416*ROUND((9*$Y2416-9*$E2416)/(10*$E2416),4),0))))</f>
        <v/>
      </c>
      <c r="AB2416" s="13" t="n"/>
      <c r="AC2416" s="15">
        <f>IF($B2416="","",IF($AB2416&lt;&gt;"",$AB2416,IF($AA2416="","",IF($AA2416&lt;=設定!$C$3,0,$AA2416))))</f>
        <v/>
      </c>
      <c r="AD2416" s="14">
        <f>IF($B2416="","",IF(AND($AE2416&lt;&gt;"",$AG2416="",$AJ2416=""),"保留中",IF($AJ2416&lt;&gt;"",IF(N($AC2416)&gt;0,"支給済","不支給"),IF($AC2416="","要確認",IF($AC2416=0,"不支給","未処理")))))</f>
        <v/>
      </c>
      <c r="AE2416" s="12" t="n"/>
      <c r="AF2416" s="11" t="n"/>
      <c r="AG2416" s="11" t="n"/>
      <c r="AH2416" s="11" t="n"/>
      <c r="AI2416" s="14">
        <f>IF(AND($AD2416="保留中",$AF2416&lt;&gt;""),TODAY()-$AF2416,"")</f>
        <v/>
      </c>
      <c r="AJ2416" s="12" t="n"/>
      <c r="AK2416" s="14">
        <f>IF($B2416="","",IF($AO2416="","対象年月が未入力／","")&amp;IF($B2416="","",IF($AN2416="","職員マスタに未登録の職員番号／",IF($Y2416="","標準報酬月額が未登録／","")&amp;IF(AND($AO2416&lt;&gt;"",OR(AND(INDEX(職員マスタ!$G$6:$G$405,$AN2416)&lt;&gt;"",INDEX(職員マスタ!$G$6:$G$405,$AN2416)&gt;EOMONTH($AO2416,0)),AND(INDEX(職員マスタ!$H$6:$H$405,$AN2416)&lt;&gt;"",INDEX(職員マスタ!$H$6:$H$405,$AN2416)&lt;$AO2416))),"対象月が時短期間外／","")&amp;IF(AND(INDEX(職員マスタ!$F$6:$F$405,$AN2416)&lt;&gt;"",$AO2416&lt;&gt;"",INDEX(職員マスタ!$F$6:$F$405,$AN2416)&lt;$AO2416),"対象月に子が2歳到達済／","")&amp;IF(AND($H2416&lt;&gt;"",INDEX(職員マスタ!$B$6:$B$405,$AN2416)&lt;&gt;"",SUBSTITUTE(SUBSTITUTE($H2416," ","")," ","")&lt;&gt;SUBSTITUTE(SUBSTITUTE(INDEX(職員マスタ!$B$6:$B$405,$AN2416)," ","")," ","")),"氏名がマスタと相違／","")&amp;IF(AND($Q2416&lt;&gt;"",INDEX(職員マスタ!$E$6:$E$405,$AN2416)&lt;&gt;"",$Q2416&lt;&gt;INDEX(職員マスタ!$E$6:$E$405,$AN2416)),"子の生年月日がマスタと相違／","")&amp;IF(AND($L2416&lt;&gt;"",INDEX(職員マスタ!$G$6:$G$405,$AN2416)&lt;&gt;"",$L2416&lt;&gt;INDEX(職員マスタ!$G$6:$G$405,$AN2416)),"時短開始日がマスタと相違／","")&amp;IF(AND($M2416&lt;&gt;"",INDEX(職員マスタ!$H$6:$H$405,$AN2416)&lt;&gt;"",$M2416&lt;&gt;INDEX(職員マスタ!$H$6:$H$405,$AN2416)),"時短終了日がマスタと相違／","")))&amp;IF(AND($B2416&lt;&gt;"",$E2416=""),"報酬額が未入力／","")&amp;IF(N($U2416)&gt;0,"申請書に入力エラーが残っています／","")&amp;IF(AND($B2416&lt;&gt;"",$AO2416&lt;&gt;""),IF(COUNTIFS($B$6:$B$3005,$B2416,$C$6:$C$3005,$C2416,$D$6:$D$3005,$D2416)&gt;1,"同じ月の請求が重複しています／",""),"")&amp;IF(AND(N($E2416)&gt;0,$Z2416&lt;&gt;"",$Z2416&lt;&gt;"×",$AC2416=0,$AB2416=""),"計算額が下限以下のため不支給／",""))</f>
        <v/>
      </c>
      <c r="AL2416" s="12" t="n"/>
      <c r="AM2416" s="14">
        <f>IF($AD2416="保留中",COUNTIF($AD$6:$AD2416,"保留中"),"")</f>
        <v/>
      </c>
      <c r="AN2416" s="14">
        <f>IF($AO2416="","",IF(SUMPRODUCT(MAX((職員マスタ!$A$6:$A$405=$B2416)*(((職員マスタ!$G$6:$G$405="")+(職員マスタ!$G$6:$G$405&lt;=EOMONTH($AO2416,0)))&gt;0)*(((職員マスタ!$H$6:$H$405="")+(職員マスタ!$H$6:$H$405&gt;=$AO2416))&gt;0)*(ROW(職員マスタ!$A$6:$A$405)-5)))&gt;0,SUMPRODUCT(MAX((職員マスタ!$A$6:$A$405=$B2416)*(((職員マスタ!$G$6:$G$405="")+(職員マスタ!$G$6:$G$405&lt;=EOMONTH($AO2416,0)))&gt;0)*(((職員マスタ!$H$6:$H$405="")+(職員マスタ!$H$6:$H$405&gt;=$AO2416))&gt;0)*(ROW(職員マスタ!$A$6:$A$405)-5))),IFERROR(MATCH($B2416,職員マスタ!$A$6:$A$405,0),"")))</f>
        <v/>
      </c>
      <c r="AO2416" s="16">
        <f>IF(OR($B2416="",$C2416="",$D2416=""),"",DATE($C2416+2018,$D2416,1))</f>
        <v/>
      </c>
    </row>
    <row r="2417">
      <c r="A2417" s="11" t="n"/>
      <c r="B2417" s="12" t="n"/>
      <c r="C2417" s="12" t="n"/>
      <c r="D2417" s="12" t="n"/>
      <c r="E2417" s="13" t="n"/>
      <c r="F2417" s="12" t="n"/>
      <c r="G2417" s="13" t="n"/>
      <c r="H2417" s="12" t="n"/>
      <c r="I2417" s="12" t="n"/>
      <c r="J2417" s="12" t="n"/>
      <c r="K2417" s="12" t="n"/>
      <c r="L2417" s="11" t="n"/>
      <c r="M2417" s="11" t="n"/>
      <c r="N2417" s="11" t="n"/>
      <c r="O2417" s="11" t="n"/>
      <c r="P2417" s="12" t="n"/>
      <c r="Q2417" s="11" t="n"/>
      <c r="R2417" s="12" t="n"/>
      <c r="S2417" s="11" t="n"/>
      <c r="T2417" s="12" t="n"/>
      <c r="U2417" s="12" t="n"/>
      <c r="V2417" s="14">
        <f>IF($AN2417="",IF($B2417="","",$H2417),IF(INDEX(職員マスタ!$B$6:$B$405,$AN2417)="",$H2417,INDEX(職員マスタ!$B$6:$B$405,$AN2417)))</f>
        <v/>
      </c>
      <c r="W2417" s="14">
        <f>IF($AN2417="",IF($B2417="","",$R2417),IF(INDEX(職員マスタ!$C$6:$C$405,$AN2417)="",$R2417,INDEX(職員マスタ!$C$6:$C$405,$AN2417)))</f>
        <v/>
      </c>
      <c r="X2417" s="14">
        <f>IF($AO2417="","","R"&amp;$C2417&amp;"."&amp;$D2417)</f>
        <v/>
      </c>
      <c r="Y2417" s="15">
        <f>IF($AN2417="","",IF(INDEX(職員マスタ!$K$6:$K$405,$AN2417)="","",INDEX(職員マスタ!$K$6:$K$405,$AN2417)))</f>
        <v/>
      </c>
      <c r="Z2417" s="14">
        <f>IF(OR($E2417="",$Y2417=""),"",IF($E2417&gt;=$Y2417,"×",IF($E2417&gt;=$Y2417*設定!$C$5,"△","○")))</f>
        <v/>
      </c>
      <c r="AA2417" s="15">
        <f>IF($Z2417="","",IF($Z2417="×",0,IF($Z2417="○",ROUNDDOWN($E2417*設定!$C$4,0),ROUNDDOWN($E2417*ROUND((9*$Y2417-9*$E2417)/(10*$E2417),4),0))))</f>
        <v/>
      </c>
      <c r="AB2417" s="13" t="n"/>
      <c r="AC2417" s="15">
        <f>IF($B2417="","",IF($AB2417&lt;&gt;"",$AB2417,IF($AA2417="","",IF($AA2417&lt;=設定!$C$3,0,$AA2417))))</f>
        <v/>
      </c>
      <c r="AD2417" s="14">
        <f>IF($B2417="","",IF(AND($AE2417&lt;&gt;"",$AG2417="",$AJ2417=""),"保留中",IF($AJ2417&lt;&gt;"",IF(N($AC2417)&gt;0,"支給済","不支給"),IF($AC2417="","要確認",IF($AC2417=0,"不支給","未処理")))))</f>
        <v/>
      </c>
      <c r="AE2417" s="12" t="n"/>
      <c r="AF2417" s="11" t="n"/>
      <c r="AG2417" s="11" t="n"/>
      <c r="AH2417" s="11" t="n"/>
      <c r="AI2417" s="14">
        <f>IF(AND($AD2417="保留中",$AF2417&lt;&gt;""),TODAY()-$AF2417,"")</f>
        <v/>
      </c>
      <c r="AJ2417" s="12" t="n"/>
      <c r="AK2417" s="14">
        <f>IF($B2417="","",IF($AO2417="","対象年月が未入力／","")&amp;IF($B2417="","",IF($AN2417="","職員マスタに未登録の職員番号／",IF($Y2417="","標準報酬月額が未登録／","")&amp;IF(AND($AO2417&lt;&gt;"",OR(AND(INDEX(職員マスタ!$G$6:$G$405,$AN2417)&lt;&gt;"",INDEX(職員マスタ!$G$6:$G$405,$AN2417)&gt;EOMONTH($AO2417,0)),AND(INDEX(職員マスタ!$H$6:$H$405,$AN2417)&lt;&gt;"",INDEX(職員マスタ!$H$6:$H$405,$AN2417)&lt;$AO2417))),"対象月が時短期間外／","")&amp;IF(AND(INDEX(職員マスタ!$F$6:$F$405,$AN2417)&lt;&gt;"",$AO2417&lt;&gt;"",INDEX(職員マスタ!$F$6:$F$405,$AN2417)&lt;$AO2417),"対象月に子が2歳到達済／","")&amp;IF(AND($H2417&lt;&gt;"",INDEX(職員マスタ!$B$6:$B$405,$AN2417)&lt;&gt;"",SUBSTITUTE(SUBSTITUTE($H2417," ","")," ","")&lt;&gt;SUBSTITUTE(SUBSTITUTE(INDEX(職員マスタ!$B$6:$B$405,$AN2417)," ","")," ","")),"氏名がマスタと相違／","")&amp;IF(AND($Q2417&lt;&gt;"",INDEX(職員マスタ!$E$6:$E$405,$AN2417)&lt;&gt;"",$Q2417&lt;&gt;INDEX(職員マスタ!$E$6:$E$405,$AN2417)),"子の生年月日がマスタと相違／","")&amp;IF(AND($L2417&lt;&gt;"",INDEX(職員マスタ!$G$6:$G$405,$AN2417)&lt;&gt;"",$L2417&lt;&gt;INDEX(職員マスタ!$G$6:$G$405,$AN2417)),"時短開始日がマスタと相違／","")&amp;IF(AND($M2417&lt;&gt;"",INDEX(職員マスタ!$H$6:$H$405,$AN2417)&lt;&gt;"",$M2417&lt;&gt;INDEX(職員マスタ!$H$6:$H$405,$AN2417)),"時短終了日がマスタと相違／","")))&amp;IF(AND($B2417&lt;&gt;"",$E2417=""),"報酬額が未入力／","")&amp;IF(N($U2417)&gt;0,"申請書に入力エラーが残っています／","")&amp;IF(AND($B2417&lt;&gt;"",$AO2417&lt;&gt;""),IF(COUNTIFS($B$6:$B$3005,$B2417,$C$6:$C$3005,$C2417,$D$6:$D$3005,$D2417)&gt;1,"同じ月の請求が重複しています／",""),"")&amp;IF(AND(N($E2417)&gt;0,$Z2417&lt;&gt;"",$Z2417&lt;&gt;"×",$AC2417=0,$AB2417=""),"計算額が下限以下のため不支給／",""))</f>
        <v/>
      </c>
      <c r="AL2417" s="12" t="n"/>
      <c r="AM2417" s="14">
        <f>IF($AD2417="保留中",COUNTIF($AD$6:$AD2417,"保留中"),"")</f>
        <v/>
      </c>
      <c r="AN2417" s="14">
        <f>IF($AO2417="","",IF(SUMPRODUCT(MAX((職員マスタ!$A$6:$A$405=$B2417)*(((職員マスタ!$G$6:$G$405="")+(職員マスタ!$G$6:$G$405&lt;=EOMONTH($AO2417,0)))&gt;0)*(((職員マスタ!$H$6:$H$405="")+(職員マスタ!$H$6:$H$405&gt;=$AO2417))&gt;0)*(ROW(職員マスタ!$A$6:$A$405)-5)))&gt;0,SUMPRODUCT(MAX((職員マスタ!$A$6:$A$405=$B2417)*(((職員マスタ!$G$6:$G$405="")+(職員マスタ!$G$6:$G$405&lt;=EOMONTH($AO2417,0)))&gt;0)*(((職員マスタ!$H$6:$H$405="")+(職員マスタ!$H$6:$H$405&gt;=$AO2417))&gt;0)*(ROW(職員マスタ!$A$6:$A$405)-5))),IFERROR(MATCH($B2417,職員マスタ!$A$6:$A$405,0),"")))</f>
        <v/>
      </c>
      <c r="AO2417" s="16">
        <f>IF(OR($B2417="",$C2417="",$D2417=""),"",DATE($C2417+2018,$D2417,1))</f>
        <v/>
      </c>
    </row>
    <row r="2418">
      <c r="A2418" s="11" t="n"/>
      <c r="B2418" s="12" t="n"/>
      <c r="C2418" s="12" t="n"/>
      <c r="D2418" s="12" t="n"/>
      <c r="E2418" s="13" t="n"/>
      <c r="F2418" s="12" t="n"/>
      <c r="G2418" s="13" t="n"/>
      <c r="H2418" s="12" t="n"/>
      <c r="I2418" s="12" t="n"/>
      <c r="J2418" s="12" t="n"/>
      <c r="K2418" s="12" t="n"/>
      <c r="L2418" s="11" t="n"/>
      <c r="M2418" s="11" t="n"/>
      <c r="N2418" s="11" t="n"/>
      <c r="O2418" s="11" t="n"/>
      <c r="P2418" s="12" t="n"/>
      <c r="Q2418" s="11" t="n"/>
      <c r="R2418" s="12" t="n"/>
      <c r="S2418" s="11" t="n"/>
      <c r="T2418" s="12" t="n"/>
      <c r="U2418" s="12" t="n"/>
      <c r="V2418" s="14">
        <f>IF($AN2418="",IF($B2418="","",$H2418),IF(INDEX(職員マスタ!$B$6:$B$405,$AN2418)="",$H2418,INDEX(職員マスタ!$B$6:$B$405,$AN2418)))</f>
        <v/>
      </c>
      <c r="W2418" s="14">
        <f>IF($AN2418="",IF($B2418="","",$R2418),IF(INDEX(職員マスタ!$C$6:$C$405,$AN2418)="",$R2418,INDEX(職員マスタ!$C$6:$C$405,$AN2418)))</f>
        <v/>
      </c>
      <c r="X2418" s="14">
        <f>IF($AO2418="","","R"&amp;$C2418&amp;"."&amp;$D2418)</f>
        <v/>
      </c>
      <c r="Y2418" s="15">
        <f>IF($AN2418="","",IF(INDEX(職員マスタ!$K$6:$K$405,$AN2418)="","",INDEX(職員マスタ!$K$6:$K$405,$AN2418)))</f>
        <v/>
      </c>
      <c r="Z2418" s="14">
        <f>IF(OR($E2418="",$Y2418=""),"",IF($E2418&gt;=$Y2418,"×",IF($E2418&gt;=$Y2418*設定!$C$5,"△","○")))</f>
        <v/>
      </c>
      <c r="AA2418" s="15">
        <f>IF($Z2418="","",IF($Z2418="×",0,IF($Z2418="○",ROUNDDOWN($E2418*設定!$C$4,0),ROUNDDOWN($E2418*ROUND((9*$Y2418-9*$E2418)/(10*$E2418),4),0))))</f>
        <v/>
      </c>
      <c r="AB2418" s="13" t="n"/>
      <c r="AC2418" s="15">
        <f>IF($B2418="","",IF($AB2418&lt;&gt;"",$AB2418,IF($AA2418="","",IF($AA2418&lt;=設定!$C$3,0,$AA2418))))</f>
        <v/>
      </c>
      <c r="AD2418" s="14">
        <f>IF($B2418="","",IF(AND($AE2418&lt;&gt;"",$AG2418="",$AJ2418=""),"保留中",IF($AJ2418&lt;&gt;"",IF(N($AC2418)&gt;0,"支給済","不支給"),IF($AC2418="","要確認",IF($AC2418=0,"不支給","未処理")))))</f>
        <v/>
      </c>
      <c r="AE2418" s="12" t="n"/>
      <c r="AF2418" s="11" t="n"/>
      <c r="AG2418" s="11" t="n"/>
      <c r="AH2418" s="11" t="n"/>
      <c r="AI2418" s="14">
        <f>IF(AND($AD2418="保留中",$AF2418&lt;&gt;""),TODAY()-$AF2418,"")</f>
        <v/>
      </c>
      <c r="AJ2418" s="12" t="n"/>
      <c r="AK2418" s="14">
        <f>IF($B2418="","",IF($AO2418="","対象年月が未入力／","")&amp;IF($B2418="","",IF($AN2418="","職員マスタに未登録の職員番号／",IF($Y2418="","標準報酬月額が未登録／","")&amp;IF(AND($AO2418&lt;&gt;"",OR(AND(INDEX(職員マスタ!$G$6:$G$405,$AN2418)&lt;&gt;"",INDEX(職員マスタ!$G$6:$G$405,$AN2418)&gt;EOMONTH($AO2418,0)),AND(INDEX(職員マスタ!$H$6:$H$405,$AN2418)&lt;&gt;"",INDEX(職員マスタ!$H$6:$H$405,$AN2418)&lt;$AO2418))),"対象月が時短期間外／","")&amp;IF(AND(INDEX(職員マスタ!$F$6:$F$405,$AN2418)&lt;&gt;"",$AO2418&lt;&gt;"",INDEX(職員マスタ!$F$6:$F$405,$AN2418)&lt;$AO2418),"対象月に子が2歳到達済／","")&amp;IF(AND($H2418&lt;&gt;"",INDEX(職員マスタ!$B$6:$B$405,$AN2418)&lt;&gt;"",SUBSTITUTE(SUBSTITUTE($H2418," ","")," ","")&lt;&gt;SUBSTITUTE(SUBSTITUTE(INDEX(職員マスタ!$B$6:$B$405,$AN2418)," ","")," ","")),"氏名がマスタと相違／","")&amp;IF(AND($Q2418&lt;&gt;"",INDEX(職員マスタ!$E$6:$E$405,$AN2418)&lt;&gt;"",$Q2418&lt;&gt;INDEX(職員マスタ!$E$6:$E$405,$AN2418)),"子の生年月日がマスタと相違／","")&amp;IF(AND($L2418&lt;&gt;"",INDEX(職員マスタ!$G$6:$G$405,$AN2418)&lt;&gt;"",$L2418&lt;&gt;INDEX(職員マスタ!$G$6:$G$405,$AN2418)),"時短開始日がマスタと相違／","")&amp;IF(AND($M2418&lt;&gt;"",INDEX(職員マスタ!$H$6:$H$405,$AN2418)&lt;&gt;"",$M2418&lt;&gt;INDEX(職員マスタ!$H$6:$H$405,$AN2418)),"時短終了日がマスタと相違／","")))&amp;IF(AND($B2418&lt;&gt;"",$E2418=""),"報酬額が未入力／","")&amp;IF(N($U2418)&gt;0,"申請書に入力エラーが残っています／","")&amp;IF(AND($B2418&lt;&gt;"",$AO2418&lt;&gt;""),IF(COUNTIFS($B$6:$B$3005,$B2418,$C$6:$C$3005,$C2418,$D$6:$D$3005,$D2418)&gt;1,"同じ月の請求が重複しています／",""),"")&amp;IF(AND(N($E2418)&gt;0,$Z2418&lt;&gt;"",$Z2418&lt;&gt;"×",$AC2418=0,$AB2418=""),"計算額が下限以下のため不支給／",""))</f>
        <v/>
      </c>
      <c r="AL2418" s="12" t="n"/>
      <c r="AM2418" s="14">
        <f>IF($AD2418="保留中",COUNTIF($AD$6:$AD2418,"保留中"),"")</f>
        <v/>
      </c>
      <c r="AN2418" s="14">
        <f>IF($AO2418="","",IF(SUMPRODUCT(MAX((職員マスタ!$A$6:$A$405=$B2418)*(((職員マスタ!$G$6:$G$405="")+(職員マスタ!$G$6:$G$405&lt;=EOMONTH($AO2418,0)))&gt;0)*(((職員マスタ!$H$6:$H$405="")+(職員マスタ!$H$6:$H$405&gt;=$AO2418))&gt;0)*(ROW(職員マスタ!$A$6:$A$405)-5)))&gt;0,SUMPRODUCT(MAX((職員マスタ!$A$6:$A$405=$B2418)*(((職員マスタ!$G$6:$G$405="")+(職員マスタ!$G$6:$G$405&lt;=EOMONTH($AO2418,0)))&gt;0)*(((職員マスタ!$H$6:$H$405="")+(職員マスタ!$H$6:$H$405&gt;=$AO2418))&gt;0)*(ROW(職員マスタ!$A$6:$A$405)-5))),IFERROR(MATCH($B2418,職員マスタ!$A$6:$A$405,0),"")))</f>
        <v/>
      </c>
      <c r="AO2418" s="16">
        <f>IF(OR($B2418="",$C2418="",$D2418=""),"",DATE($C2418+2018,$D2418,1))</f>
        <v/>
      </c>
    </row>
    <row r="2419">
      <c r="A2419" s="11" t="n"/>
      <c r="B2419" s="12" t="n"/>
      <c r="C2419" s="12" t="n"/>
      <c r="D2419" s="12" t="n"/>
      <c r="E2419" s="13" t="n"/>
      <c r="F2419" s="12" t="n"/>
      <c r="G2419" s="13" t="n"/>
      <c r="H2419" s="12" t="n"/>
      <c r="I2419" s="12" t="n"/>
      <c r="J2419" s="12" t="n"/>
      <c r="K2419" s="12" t="n"/>
      <c r="L2419" s="11" t="n"/>
      <c r="M2419" s="11" t="n"/>
      <c r="N2419" s="11" t="n"/>
      <c r="O2419" s="11" t="n"/>
      <c r="P2419" s="12" t="n"/>
      <c r="Q2419" s="11" t="n"/>
      <c r="R2419" s="12" t="n"/>
      <c r="S2419" s="11" t="n"/>
      <c r="T2419" s="12" t="n"/>
      <c r="U2419" s="12" t="n"/>
      <c r="V2419" s="14">
        <f>IF($AN2419="",IF($B2419="","",$H2419),IF(INDEX(職員マスタ!$B$6:$B$405,$AN2419)="",$H2419,INDEX(職員マスタ!$B$6:$B$405,$AN2419)))</f>
        <v/>
      </c>
      <c r="W2419" s="14">
        <f>IF($AN2419="",IF($B2419="","",$R2419),IF(INDEX(職員マスタ!$C$6:$C$405,$AN2419)="",$R2419,INDEX(職員マスタ!$C$6:$C$405,$AN2419)))</f>
        <v/>
      </c>
      <c r="X2419" s="14">
        <f>IF($AO2419="","","R"&amp;$C2419&amp;"."&amp;$D2419)</f>
        <v/>
      </c>
      <c r="Y2419" s="15">
        <f>IF($AN2419="","",IF(INDEX(職員マスタ!$K$6:$K$405,$AN2419)="","",INDEX(職員マスタ!$K$6:$K$405,$AN2419)))</f>
        <v/>
      </c>
      <c r="Z2419" s="14">
        <f>IF(OR($E2419="",$Y2419=""),"",IF($E2419&gt;=$Y2419,"×",IF($E2419&gt;=$Y2419*設定!$C$5,"△","○")))</f>
        <v/>
      </c>
      <c r="AA2419" s="15">
        <f>IF($Z2419="","",IF($Z2419="×",0,IF($Z2419="○",ROUNDDOWN($E2419*設定!$C$4,0),ROUNDDOWN($E2419*ROUND((9*$Y2419-9*$E2419)/(10*$E2419),4),0))))</f>
        <v/>
      </c>
      <c r="AB2419" s="13" t="n"/>
      <c r="AC2419" s="15">
        <f>IF($B2419="","",IF($AB2419&lt;&gt;"",$AB2419,IF($AA2419="","",IF($AA2419&lt;=設定!$C$3,0,$AA2419))))</f>
        <v/>
      </c>
      <c r="AD2419" s="14">
        <f>IF($B2419="","",IF(AND($AE2419&lt;&gt;"",$AG2419="",$AJ2419=""),"保留中",IF($AJ2419&lt;&gt;"",IF(N($AC2419)&gt;0,"支給済","不支給"),IF($AC2419="","要確認",IF($AC2419=0,"不支給","未処理")))))</f>
        <v/>
      </c>
      <c r="AE2419" s="12" t="n"/>
      <c r="AF2419" s="11" t="n"/>
      <c r="AG2419" s="11" t="n"/>
      <c r="AH2419" s="11" t="n"/>
      <c r="AI2419" s="14">
        <f>IF(AND($AD2419="保留中",$AF2419&lt;&gt;""),TODAY()-$AF2419,"")</f>
        <v/>
      </c>
      <c r="AJ2419" s="12" t="n"/>
      <c r="AK2419" s="14">
        <f>IF($B2419="","",IF($AO2419="","対象年月が未入力／","")&amp;IF($B2419="","",IF($AN2419="","職員マスタに未登録の職員番号／",IF($Y2419="","標準報酬月額が未登録／","")&amp;IF(AND($AO2419&lt;&gt;"",OR(AND(INDEX(職員マスタ!$G$6:$G$405,$AN2419)&lt;&gt;"",INDEX(職員マスタ!$G$6:$G$405,$AN2419)&gt;EOMONTH($AO2419,0)),AND(INDEX(職員マスタ!$H$6:$H$405,$AN2419)&lt;&gt;"",INDEX(職員マスタ!$H$6:$H$405,$AN2419)&lt;$AO2419))),"対象月が時短期間外／","")&amp;IF(AND(INDEX(職員マスタ!$F$6:$F$405,$AN2419)&lt;&gt;"",$AO2419&lt;&gt;"",INDEX(職員マスタ!$F$6:$F$405,$AN2419)&lt;$AO2419),"対象月に子が2歳到達済／","")&amp;IF(AND($H2419&lt;&gt;"",INDEX(職員マスタ!$B$6:$B$405,$AN2419)&lt;&gt;"",SUBSTITUTE(SUBSTITUTE($H2419," ","")," ","")&lt;&gt;SUBSTITUTE(SUBSTITUTE(INDEX(職員マスタ!$B$6:$B$405,$AN2419)," ","")," ","")),"氏名がマスタと相違／","")&amp;IF(AND($Q2419&lt;&gt;"",INDEX(職員マスタ!$E$6:$E$405,$AN2419)&lt;&gt;"",$Q2419&lt;&gt;INDEX(職員マスタ!$E$6:$E$405,$AN2419)),"子の生年月日がマスタと相違／","")&amp;IF(AND($L2419&lt;&gt;"",INDEX(職員マスタ!$G$6:$G$405,$AN2419)&lt;&gt;"",$L2419&lt;&gt;INDEX(職員マスタ!$G$6:$G$405,$AN2419)),"時短開始日がマスタと相違／","")&amp;IF(AND($M2419&lt;&gt;"",INDEX(職員マスタ!$H$6:$H$405,$AN2419)&lt;&gt;"",$M2419&lt;&gt;INDEX(職員マスタ!$H$6:$H$405,$AN2419)),"時短終了日がマスタと相違／","")))&amp;IF(AND($B2419&lt;&gt;"",$E2419=""),"報酬額が未入力／","")&amp;IF(N($U2419)&gt;0,"申請書に入力エラーが残っています／","")&amp;IF(AND($B2419&lt;&gt;"",$AO2419&lt;&gt;""),IF(COUNTIFS($B$6:$B$3005,$B2419,$C$6:$C$3005,$C2419,$D$6:$D$3005,$D2419)&gt;1,"同じ月の請求が重複しています／",""),"")&amp;IF(AND(N($E2419)&gt;0,$Z2419&lt;&gt;"",$Z2419&lt;&gt;"×",$AC2419=0,$AB2419=""),"計算額が下限以下のため不支給／",""))</f>
        <v/>
      </c>
      <c r="AL2419" s="12" t="n"/>
      <c r="AM2419" s="14">
        <f>IF($AD2419="保留中",COUNTIF($AD$6:$AD2419,"保留中"),"")</f>
        <v/>
      </c>
      <c r="AN2419" s="14">
        <f>IF($AO2419="","",IF(SUMPRODUCT(MAX((職員マスタ!$A$6:$A$405=$B2419)*(((職員マスタ!$G$6:$G$405="")+(職員マスタ!$G$6:$G$405&lt;=EOMONTH($AO2419,0)))&gt;0)*(((職員マスタ!$H$6:$H$405="")+(職員マスタ!$H$6:$H$405&gt;=$AO2419))&gt;0)*(ROW(職員マスタ!$A$6:$A$405)-5)))&gt;0,SUMPRODUCT(MAX((職員マスタ!$A$6:$A$405=$B2419)*(((職員マスタ!$G$6:$G$405="")+(職員マスタ!$G$6:$G$405&lt;=EOMONTH($AO2419,0)))&gt;0)*(((職員マスタ!$H$6:$H$405="")+(職員マスタ!$H$6:$H$405&gt;=$AO2419))&gt;0)*(ROW(職員マスタ!$A$6:$A$405)-5))),IFERROR(MATCH($B2419,職員マスタ!$A$6:$A$405,0),"")))</f>
        <v/>
      </c>
      <c r="AO2419" s="16">
        <f>IF(OR($B2419="",$C2419="",$D2419=""),"",DATE($C2419+2018,$D2419,1))</f>
        <v/>
      </c>
    </row>
    <row r="2420">
      <c r="A2420" s="11" t="n"/>
      <c r="B2420" s="12" t="n"/>
      <c r="C2420" s="12" t="n"/>
      <c r="D2420" s="12" t="n"/>
      <c r="E2420" s="13" t="n"/>
      <c r="F2420" s="12" t="n"/>
      <c r="G2420" s="13" t="n"/>
      <c r="H2420" s="12" t="n"/>
      <c r="I2420" s="12" t="n"/>
      <c r="J2420" s="12" t="n"/>
      <c r="K2420" s="12" t="n"/>
      <c r="L2420" s="11" t="n"/>
      <c r="M2420" s="11" t="n"/>
      <c r="N2420" s="11" t="n"/>
      <c r="O2420" s="11" t="n"/>
      <c r="P2420" s="12" t="n"/>
      <c r="Q2420" s="11" t="n"/>
      <c r="R2420" s="12" t="n"/>
      <c r="S2420" s="11" t="n"/>
      <c r="T2420" s="12" t="n"/>
      <c r="U2420" s="12" t="n"/>
      <c r="V2420" s="14">
        <f>IF($AN2420="",IF($B2420="","",$H2420),IF(INDEX(職員マスタ!$B$6:$B$405,$AN2420)="",$H2420,INDEX(職員マスタ!$B$6:$B$405,$AN2420)))</f>
        <v/>
      </c>
      <c r="W2420" s="14">
        <f>IF($AN2420="",IF($B2420="","",$R2420),IF(INDEX(職員マスタ!$C$6:$C$405,$AN2420)="",$R2420,INDEX(職員マスタ!$C$6:$C$405,$AN2420)))</f>
        <v/>
      </c>
      <c r="X2420" s="14">
        <f>IF($AO2420="","","R"&amp;$C2420&amp;"."&amp;$D2420)</f>
        <v/>
      </c>
      <c r="Y2420" s="15">
        <f>IF($AN2420="","",IF(INDEX(職員マスタ!$K$6:$K$405,$AN2420)="","",INDEX(職員マスタ!$K$6:$K$405,$AN2420)))</f>
        <v/>
      </c>
      <c r="Z2420" s="14">
        <f>IF(OR($E2420="",$Y2420=""),"",IF($E2420&gt;=$Y2420,"×",IF($E2420&gt;=$Y2420*設定!$C$5,"△","○")))</f>
        <v/>
      </c>
      <c r="AA2420" s="15">
        <f>IF($Z2420="","",IF($Z2420="×",0,IF($Z2420="○",ROUNDDOWN($E2420*設定!$C$4,0),ROUNDDOWN($E2420*ROUND((9*$Y2420-9*$E2420)/(10*$E2420),4),0))))</f>
        <v/>
      </c>
      <c r="AB2420" s="13" t="n"/>
      <c r="AC2420" s="15">
        <f>IF($B2420="","",IF($AB2420&lt;&gt;"",$AB2420,IF($AA2420="","",IF($AA2420&lt;=設定!$C$3,0,$AA2420))))</f>
        <v/>
      </c>
      <c r="AD2420" s="14">
        <f>IF($B2420="","",IF(AND($AE2420&lt;&gt;"",$AG2420="",$AJ2420=""),"保留中",IF($AJ2420&lt;&gt;"",IF(N($AC2420)&gt;0,"支給済","不支給"),IF($AC2420="","要確認",IF($AC2420=0,"不支給","未処理")))))</f>
        <v/>
      </c>
      <c r="AE2420" s="12" t="n"/>
      <c r="AF2420" s="11" t="n"/>
      <c r="AG2420" s="11" t="n"/>
      <c r="AH2420" s="11" t="n"/>
      <c r="AI2420" s="14">
        <f>IF(AND($AD2420="保留中",$AF2420&lt;&gt;""),TODAY()-$AF2420,"")</f>
        <v/>
      </c>
      <c r="AJ2420" s="12" t="n"/>
      <c r="AK2420" s="14">
        <f>IF($B2420="","",IF($AO2420="","対象年月が未入力／","")&amp;IF($B2420="","",IF($AN2420="","職員マスタに未登録の職員番号／",IF($Y2420="","標準報酬月額が未登録／","")&amp;IF(AND($AO2420&lt;&gt;"",OR(AND(INDEX(職員マスタ!$G$6:$G$405,$AN2420)&lt;&gt;"",INDEX(職員マスタ!$G$6:$G$405,$AN2420)&gt;EOMONTH($AO2420,0)),AND(INDEX(職員マスタ!$H$6:$H$405,$AN2420)&lt;&gt;"",INDEX(職員マスタ!$H$6:$H$405,$AN2420)&lt;$AO2420))),"対象月が時短期間外／","")&amp;IF(AND(INDEX(職員マスタ!$F$6:$F$405,$AN2420)&lt;&gt;"",$AO2420&lt;&gt;"",INDEX(職員マスタ!$F$6:$F$405,$AN2420)&lt;$AO2420),"対象月に子が2歳到達済／","")&amp;IF(AND($H2420&lt;&gt;"",INDEX(職員マスタ!$B$6:$B$405,$AN2420)&lt;&gt;"",SUBSTITUTE(SUBSTITUTE($H2420," ","")," ","")&lt;&gt;SUBSTITUTE(SUBSTITUTE(INDEX(職員マスタ!$B$6:$B$405,$AN2420)," ","")," ","")),"氏名がマスタと相違／","")&amp;IF(AND($Q2420&lt;&gt;"",INDEX(職員マスタ!$E$6:$E$405,$AN2420)&lt;&gt;"",$Q2420&lt;&gt;INDEX(職員マスタ!$E$6:$E$405,$AN2420)),"子の生年月日がマスタと相違／","")&amp;IF(AND($L2420&lt;&gt;"",INDEX(職員マスタ!$G$6:$G$405,$AN2420)&lt;&gt;"",$L2420&lt;&gt;INDEX(職員マスタ!$G$6:$G$405,$AN2420)),"時短開始日がマスタと相違／","")&amp;IF(AND($M2420&lt;&gt;"",INDEX(職員マスタ!$H$6:$H$405,$AN2420)&lt;&gt;"",$M2420&lt;&gt;INDEX(職員マスタ!$H$6:$H$405,$AN2420)),"時短終了日がマスタと相違／","")))&amp;IF(AND($B2420&lt;&gt;"",$E2420=""),"報酬額が未入力／","")&amp;IF(N($U2420)&gt;0,"申請書に入力エラーが残っています／","")&amp;IF(AND($B2420&lt;&gt;"",$AO2420&lt;&gt;""),IF(COUNTIFS($B$6:$B$3005,$B2420,$C$6:$C$3005,$C2420,$D$6:$D$3005,$D2420)&gt;1,"同じ月の請求が重複しています／",""),"")&amp;IF(AND(N($E2420)&gt;0,$Z2420&lt;&gt;"",$Z2420&lt;&gt;"×",$AC2420=0,$AB2420=""),"計算額が下限以下のため不支給／",""))</f>
        <v/>
      </c>
      <c r="AL2420" s="12" t="n"/>
      <c r="AM2420" s="14">
        <f>IF($AD2420="保留中",COUNTIF($AD$6:$AD2420,"保留中"),"")</f>
        <v/>
      </c>
      <c r="AN2420" s="14">
        <f>IF($AO2420="","",IF(SUMPRODUCT(MAX((職員マスタ!$A$6:$A$405=$B2420)*(((職員マスタ!$G$6:$G$405="")+(職員マスタ!$G$6:$G$405&lt;=EOMONTH($AO2420,0)))&gt;0)*(((職員マスタ!$H$6:$H$405="")+(職員マスタ!$H$6:$H$405&gt;=$AO2420))&gt;0)*(ROW(職員マスタ!$A$6:$A$405)-5)))&gt;0,SUMPRODUCT(MAX((職員マスタ!$A$6:$A$405=$B2420)*(((職員マスタ!$G$6:$G$405="")+(職員マスタ!$G$6:$G$405&lt;=EOMONTH($AO2420,0)))&gt;0)*(((職員マスタ!$H$6:$H$405="")+(職員マスタ!$H$6:$H$405&gt;=$AO2420))&gt;0)*(ROW(職員マスタ!$A$6:$A$405)-5))),IFERROR(MATCH($B2420,職員マスタ!$A$6:$A$405,0),"")))</f>
        <v/>
      </c>
      <c r="AO2420" s="16">
        <f>IF(OR($B2420="",$C2420="",$D2420=""),"",DATE($C2420+2018,$D2420,1))</f>
        <v/>
      </c>
    </row>
    <row r="2421">
      <c r="A2421" s="11" t="n"/>
      <c r="B2421" s="12" t="n"/>
      <c r="C2421" s="12" t="n"/>
      <c r="D2421" s="12" t="n"/>
      <c r="E2421" s="13" t="n"/>
      <c r="F2421" s="12" t="n"/>
      <c r="G2421" s="13" t="n"/>
      <c r="H2421" s="12" t="n"/>
      <c r="I2421" s="12" t="n"/>
      <c r="J2421" s="12" t="n"/>
      <c r="K2421" s="12" t="n"/>
      <c r="L2421" s="11" t="n"/>
      <c r="M2421" s="11" t="n"/>
      <c r="N2421" s="11" t="n"/>
      <c r="O2421" s="11" t="n"/>
      <c r="P2421" s="12" t="n"/>
      <c r="Q2421" s="11" t="n"/>
      <c r="R2421" s="12" t="n"/>
      <c r="S2421" s="11" t="n"/>
      <c r="T2421" s="12" t="n"/>
      <c r="U2421" s="12" t="n"/>
      <c r="V2421" s="14">
        <f>IF($AN2421="",IF($B2421="","",$H2421),IF(INDEX(職員マスタ!$B$6:$B$405,$AN2421)="",$H2421,INDEX(職員マスタ!$B$6:$B$405,$AN2421)))</f>
        <v/>
      </c>
      <c r="W2421" s="14">
        <f>IF($AN2421="",IF($B2421="","",$R2421),IF(INDEX(職員マスタ!$C$6:$C$405,$AN2421)="",$R2421,INDEX(職員マスタ!$C$6:$C$405,$AN2421)))</f>
        <v/>
      </c>
      <c r="X2421" s="14">
        <f>IF($AO2421="","","R"&amp;$C2421&amp;"."&amp;$D2421)</f>
        <v/>
      </c>
      <c r="Y2421" s="15">
        <f>IF($AN2421="","",IF(INDEX(職員マスタ!$K$6:$K$405,$AN2421)="","",INDEX(職員マスタ!$K$6:$K$405,$AN2421)))</f>
        <v/>
      </c>
      <c r="Z2421" s="14">
        <f>IF(OR($E2421="",$Y2421=""),"",IF($E2421&gt;=$Y2421,"×",IF($E2421&gt;=$Y2421*設定!$C$5,"△","○")))</f>
        <v/>
      </c>
      <c r="AA2421" s="15">
        <f>IF($Z2421="","",IF($Z2421="×",0,IF($Z2421="○",ROUNDDOWN($E2421*設定!$C$4,0),ROUNDDOWN($E2421*ROUND((9*$Y2421-9*$E2421)/(10*$E2421),4),0))))</f>
        <v/>
      </c>
      <c r="AB2421" s="13" t="n"/>
      <c r="AC2421" s="15">
        <f>IF($B2421="","",IF($AB2421&lt;&gt;"",$AB2421,IF($AA2421="","",IF($AA2421&lt;=設定!$C$3,0,$AA2421))))</f>
        <v/>
      </c>
      <c r="AD2421" s="14">
        <f>IF($B2421="","",IF(AND($AE2421&lt;&gt;"",$AG2421="",$AJ2421=""),"保留中",IF($AJ2421&lt;&gt;"",IF(N($AC2421)&gt;0,"支給済","不支給"),IF($AC2421="","要確認",IF($AC2421=0,"不支給","未処理")))))</f>
        <v/>
      </c>
      <c r="AE2421" s="12" t="n"/>
      <c r="AF2421" s="11" t="n"/>
      <c r="AG2421" s="11" t="n"/>
      <c r="AH2421" s="11" t="n"/>
      <c r="AI2421" s="14">
        <f>IF(AND($AD2421="保留中",$AF2421&lt;&gt;""),TODAY()-$AF2421,"")</f>
        <v/>
      </c>
      <c r="AJ2421" s="12" t="n"/>
      <c r="AK2421" s="14">
        <f>IF($B2421="","",IF($AO2421="","対象年月が未入力／","")&amp;IF($B2421="","",IF($AN2421="","職員マスタに未登録の職員番号／",IF($Y2421="","標準報酬月額が未登録／","")&amp;IF(AND($AO2421&lt;&gt;"",OR(AND(INDEX(職員マスタ!$G$6:$G$405,$AN2421)&lt;&gt;"",INDEX(職員マスタ!$G$6:$G$405,$AN2421)&gt;EOMONTH($AO2421,0)),AND(INDEX(職員マスタ!$H$6:$H$405,$AN2421)&lt;&gt;"",INDEX(職員マスタ!$H$6:$H$405,$AN2421)&lt;$AO2421))),"対象月が時短期間外／","")&amp;IF(AND(INDEX(職員マスタ!$F$6:$F$405,$AN2421)&lt;&gt;"",$AO2421&lt;&gt;"",INDEX(職員マスタ!$F$6:$F$405,$AN2421)&lt;$AO2421),"対象月に子が2歳到達済／","")&amp;IF(AND($H2421&lt;&gt;"",INDEX(職員マスタ!$B$6:$B$405,$AN2421)&lt;&gt;"",SUBSTITUTE(SUBSTITUTE($H2421," ","")," ","")&lt;&gt;SUBSTITUTE(SUBSTITUTE(INDEX(職員マスタ!$B$6:$B$405,$AN2421)," ","")," ","")),"氏名がマスタと相違／","")&amp;IF(AND($Q2421&lt;&gt;"",INDEX(職員マスタ!$E$6:$E$405,$AN2421)&lt;&gt;"",$Q2421&lt;&gt;INDEX(職員マスタ!$E$6:$E$405,$AN2421)),"子の生年月日がマスタと相違／","")&amp;IF(AND($L2421&lt;&gt;"",INDEX(職員マスタ!$G$6:$G$405,$AN2421)&lt;&gt;"",$L2421&lt;&gt;INDEX(職員マスタ!$G$6:$G$405,$AN2421)),"時短開始日がマスタと相違／","")&amp;IF(AND($M2421&lt;&gt;"",INDEX(職員マスタ!$H$6:$H$405,$AN2421)&lt;&gt;"",$M2421&lt;&gt;INDEX(職員マスタ!$H$6:$H$405,$AN2421)),"時短終了日がマスタと相違／","")))&amp;IF(AND($B2421&lt;&gt;"",$E2421=""),"報酬額が未入力／","")&amp;IF(N($U2421)&gt;0,"申請書に入力エラーが残っています／","")&amp;IF(AND($B2421&lt;&gt;"",$AO2421&lt;&gt;""),IF(COUNTIFS($B$6:$B$3005,$B2421,$C$6:$C$3005,$C2421,$D$6:$D$3005,$D2421)&gt;1,"同じ月の請求が重複しています／",""),"")&amp;IF(AND(N($E2421)&gt;0,$Z2421&lt;&gt;"",$Z2421&lt;&gt;"×",$AC2421=0,$AB2421=""),"計算額が下限以下のため不支給／",""))</f>
        <v/>
      </c>
      <c r="AL2421" s="12" t="n"/>
      <c r="AM2421" s="14">
        <f>IF($AD2421="保留中",COUNTIF($AD$6:$AD2421,"保留中"),"")</f>
        <v/>
      </c>
      <c r="AN2421" s="14">
        <f>IF($AO2421="","",IF(SUMPRODUCT(MAX((職員マスタ!$A$6:$A$405=$B2421)*(((職員マスタ!$G$6:$G$405="")+(職員マスタ!$G$6:$G$405&lt;=EOMONTH($AO2421,0)))&gt;0)*(((職員マスタ!$H$6:$H$405="")+(職員マスタ!$H$6:$H$405&gt;=$AO2421))&gt;0)*(ROW(職員マスタ!$A$6:$A$405)-5)))&gt;0,SUMPRODUCT(MAX((職員マスタ!$A$6:$A$405=$B2421)*(((職員マスタ!$G$6:$G$405="")+(職員マスタ!$G$6:$G$405&lt;=EOMONTH($AO2421,0)))&gt;0)*(((職員マスタ!$H$6:$H$405="")+(職員マスタ!$H$6:$H$405&gt;=$AO2421))&gt;0)*(ROW(職員マスタ!$A$6:$A$405)-5))),IFERROR(MATCH($B2421,職員マスタ!$A$6:$A$405,0),"")))</f>
        <v/>
      </c>
      <c r="AO2421" s="16">
        <f>IF(OR($B2421="",$C2421="",$D2421=""),"",DATE($C2421+2018,$D2421,1))</f>
        <v/>
      </c>
    </row>
    <row r="2422">
      <c r="A2422" s="11" t="n"/>
      <c r="B2422" s="12" t="n"/>
      <c r="C2422" s="12" t="n"/>
      <c r="D2422" s="12" t="n"/>
      <c r="E2422" s="13" t="n"/>
      <c r="F2422" s="12" t="n"/>
      <c r="G2422" s="13" t="n"/>
      <c r="H2422" s="12" t="n"/>
      <c r="I2422" s="12" t="n"/>
      <c r="J2422" s="12" t="n"/>
      <c r="K2422" s="12" t="n"/>
      <c r="L2422" s="11" t="n"/>
      <c r="M2422" s="11" t="n"/>
      <c r="N2422" s="11" t="n"/>
      <c r="O2422" s="11" t="n"/>
      <c r="P2422" s="12" t="n"/>
      <c r="Q2422" s="11" t="n"/>
      <c r="R2422" s="12" t="n"/>
      <c r="S2422" s="11" t="n"/>
      <c r="T2422" s="12" t="n"/>
      <c r="U2422" s="12" t="n"/>
      <c r="V2422" s="14">
        <f>IF($AN2422="",IF($B2422="","",$H2422),IF(INDEX(職員マスタ!$B$6:$B$405,$AN2422)="",$H2422,INDEX(職員マスタ!$B$6:$B$405,$AN2422)))</f>
        <v/>
      </c>
      <c r="W2422" s="14">
        <f>IF($AN2422="",IF($B2422="","",$R2422),IF(INDEX(職員マスタ!$C$6:$C$405,$AN2422)="",$R2422,INDEX(職員マスタ!$C$6:$C$405,$AN2422)))</f>
        <v/>
      </c>
      <c r="X2422" s="14">
        <f>IF($AO2422="","","R"&amp;$C2422&amp;"."&amp;$D2422)</f>
        <v/>
      </c>
      <c r="Y2422" s="15">
        <f>IF($AN2422="","",IF(INDEX(職員マスタ!$K$6:$K$405,$AN2422)="","",INDEX(職員マスタ!$K$6:$K$405,$AN2422)))</f>
        <v/>
      </c>
      <c r="Z2422" s="14">
        <f>IF(OR($E2422="",$Y2422=""),"",IF($E2422&gt;=$Y2422,"×",IF($E2422&gt;=$Y2422*設定!$C$5,"△","○")))</f>
        <v/>
      </c>
      <c r="AA2422" s="15">
        <f>IF($Z2422="","",IF($Z2422="×",0,IF($Z2422="○",ROUNDDOWN($E2422*設定!$C$4,0),ROUNDDOWN($E2422*ROUND((9*$Y2422-9*$E2422)/(10*$E2422),4),0))))</f>
        <v/>
      </c>
      <c r="AB2422" s="13" t="n"/>
      <c r="AC2422" s="15">
        <f>IF($B2422="","",IF($AB2422&lt;&gt;"",$AB2422,IF($AA2422="","",IF($AA2422&lt;=設定!$C$3,0,$AA2422))))</f>
        <v/>
      </c>
      <c r="AD2422" s="14">
        <f>IF($B2422="","",IF(AND($AE2422&lt;&gt;"",$AG2422="",$AJ2422=""),"保留中",IF($AJ2422&lt;&gt;"",IF(N($AC2422)&gt;0,"支給済","不支給"),IF($AC2422="","要確認",IF($AC2422=0,"不支給","未処理")))))</f>
        <v/>
      </c>
      <c r="AE2422" s="12" t="n"/>
      <c r="AF2422" s="11" t="n"/>
      <c r="AG2422" s="11" t="n"/>
      <c r="AH2422" s="11" t="n"/>
      <c r="AI2422" s="14">
        <f>IF(AND($AD2422="保留中",$AF2422&lt;&gt;""),TODAY()-$AF2422,"")</f>
        <v/>
      </c>
      <c r="AJ2422" s="12" t="n"/>
      <c r="AK2422" s="14">
        <f>IF($B2422="","",IF($AO2422="","対象年月が未入力／","")&amp;IF($B2422="","",IF($AN2422="","職員マスタに未登録の職員番号／",IF($Y2422="","標準報酬月額が未登録／","")&amp;IF(AND($AO2422&lt;&gt;"",OR(AND(INDEX(職員マスタ!$G$6:$G$405,$AN2422)&lt;&gt;"",INDEX(職員マスタ!$G$6:$G$405,$AN2422)&gt;EOMONTH($AO2422,0)),AND(INDEX(職員マスタ!$H$6:$H$405,$AN2422)&lt;&gt;"",INDEX(職員マスタ!$H$6:$H$405,$AN2422)&lt;$AO2422))),"対象月が時短期間外／","")&amp;IF(AND(INDEX(職員マスタ!$F$6:$F$405,$AN2422)&lt;&gt;"",$AO2422&lt;&gt;"",INDEX(職員マスタ!$F$6:$F$405,$AN2422)&lt;$AO2422),"対象月に子が2歳到達済／","")&amp;IF(AND($H2422&lt;&gt;"",INDEX(職員マスタ!$B$6:$B$405,$AN2422)&lt;&gt;"",SUBSTITUTE(SUBSTITUTE($H2422," ","")," ","")&lt;&gt;SUBSTITUTE(SUBSTITUTE(INDEX(職員マスタ!$B$6:$B$405,$AN2422)," ","")," ","")),"氏名がマスタと相違／","")&amp;IF(AND($Q2422&lt;&gt;"",INDEX(職員マスタ!$E$6:$E$405,$AN2422)&lt;&gt;"",$Q2422&lt;&gt;INDEX(職員マスタ!$E$6:$E$405,$AN2422)),"子の生年月日がマスタと相違／","")&amp;IF(AND($L2422&lt;&gt;"",INDEX(職員マスタ!$G$6:$G$405,$AN2422)&lt;&gt;"",$L2422&lt;&gt;INDEX(職員マスタ!$G$6:$G$405,$AN2422)),"時短開始日がマスタと相違／","")&amp;IF(AND($M2422&lt;&gt;"",INDEX(職員マスタ!$H$6:$H$405,$AN2422)&lt;&gt;"",$M2422&lt;&gt;INDEX(職員マスタ!$H$6:$H$405,$AN2422)),"時短終了日がマスタと相違／","")))&amp;IF(AND($B2422&lt;&gt;"",$E2422=""),"報酬額が未入力／","")&amp;IF(N($U2422)&gt;0,"申請書に入力エラーが残っています／","")&amp;IF(AND($B2422&lt;&gt;"",$AO2422&lt;&gt;""),IF(COUNTIFS($B$6:$B$3005,$B2422,$C$6:$C$3005,$C2422,$D$6:$D$3005,$D2422)&gt;1,"同じ月の請求が重複しています／",""),"")&amp;IF(AND(N($E2422)&gt;0,$Z2422&lt;&gt;"",$Z2422&lt;&gt;"×",$AC2422=0,$AB2422=""),"計算額が下限以下のため不支給／",""))</f>
        <v/>
      </c>
      <c r="AL2422" s="12" t="n"/>
      <c r="AM2422" s="14">
        <f>IF($AD2422="保留中",COUNTIF($AD$6:$AD2422,"保留中"),"")</f>
        <v/>
      </c>
      <c r="AN2422" s="14">
        <f>IF($AO2422="","",IF(SUMPRODUCT(MAX((職員マスタ!$A$6:$A$405=$B2422)*(((職員マスタ!$G$6:$G$405="")+(職員マスタ!$G$6:$G$405&lt;=EOMONTH($AO2422,0)))&gt;0)*(((職員マスタ!$H$6:$H$405="")+(職員マスタ!$H$6:$H$405&gt;=$AO2422))&gt;0)*(ROW(職員マスタ!$A$6:$A$405)-5)))&gt;0,SUMPRODUCT(MAX((職員マスタ!$A$6:$A$405=$B2422)*(((職員マスタ!$G$6:$G$405="")+(職員マスタ!$G$6:$G$405&lt;=EOMONTH($AO2422,0)))&gt;0)*(((職員マスタ!$H$6:$H$405="")+(職員マスタ!$H$6:$H$405&gt;=$AO2422))&gt;0)*(ROW(職員マスタ!$A$6:$A$405)-5))),IFERROR(MATCH($B2422,職員マスタ!$A$6:$A$405,0),"")))</f>
        <v/>
      </c>
      <c r="AO2422" s="16">
        <f>IF(OR($B2422="",$C2422="",$D2422=""),"",DATE($C2422+2018,$D2422,1))</f>
        <v/>
      </c>
    </row>
    <row r="2423">
      <c r="A2423" s="11" t="n"/>
      <c r="B2423" s="12" t="n"/>
      <c r="C2423" s="12" t="n"/>
      <c r="D2423" s="12" t="n"/>
      <c r="E2423" s="13" t="n"/>
      <c r="F2423" s="12" t="n"/>
      <c r="G2423" s="13" t="n"/>
      <c r="H2423" s="12" t="n"/>
      <c r="I2423" s="12" t="n"/>
      <c r="J2423" s="12" t="n"/>
      <c r="K2423" s="12" t="n"/>
      <c r="L2423" s="11" t="n"/>
      <c r="M2423" s="11" t="n"/>
      <c r="N2423" s="11" t="n"/>
      <c r="O2423" s="11" t="n"/>
      <c r="P2423" s="12" t="n"/>
      <c r="Q2423" s="11" t="n"/>
      <c r="R2423" s="12" t="n"/>
      <c r="S2423" s="11" t="n"/>
      <c r="T2423" s="12" t="n"/>
      <c r="U2423" s="12" t="n"/>
      <c r="V2423" s="14">
        <f>IF($AN2423="",IF($B2423="","",$H2423),IF(INDEX(職員マスタ!$B$6:$B$405,$AN2423)="",$H2423,INDEX(職員マスタ!$B$6:$B$405,$AN2423)))</f>
        <v/>
      </c>
      <c r="W2423" s="14">
        <f>IF($AN2423="",IF($B2423="","",$R2423),IF(INDEX(職員マスタ!$C$6:$C$405,$AN2423)="",$R2423,INDEX(職員マスタ!$C$6:$C$405,$AN2423)))</f>
        <v/>
      </c>
      <c r="X2423" s="14">
        <f>IF($AO2423="","","R"&amp;$C2423&amp;"."&amp;$D2423)</f>
        <v/>
      </c>
      <c r="Y2423" s="15">
        <f>IF($AN2423="","",IF(INDEX(職員マスタ!$K$6:$K$405,$AN2423)="","",INDEX(職員マスタ!$K$6:$K$405,$AN2423)))</f>
        <v/>
      </c>
      <c r="Z2423" s="14">
        <f>IF(OR($E2423="",$Y2423=""),"",IF($E2423&gt;=$Y2423,"×",IF($E2423&gt;=$Y2423*設定!$C$5,"△","○")))</f>
        <v/>
      </c>
      <c r="AA2423" s="15">
        <f>IF($Z2423="","",IF($Z2423="×",0,IF($Z2423="○",ROUNDDOWN($E2423*設定!$C$4,0),ROUNDDOWN($E2423*ROUND((9*$Y2423-9*$E2423)/(10*$E2423),4),0))))</f>
        <v/>
      </c>
      <c r="AB2423" s="13" t="n"/>
      <c r="AC2423" s="15">
        <f>IF($B2423="","",IF($AB2423&lt;&gt;"",$AB2423,IF($AA2423="","",IF($AA2423&lt;=設定!$C$3,0,$AA2423))))</f>
        <v/>
      </c>
      <c r="AD2423" s="14">
        <f>IF($B2423="","",IF(AND($AE2423&lt;&gt;"",$AG2423="",$AJ2423=""),"保留中",IF($AJ2423&lt;&gt;"",IF(N($AC2423)&gt;0,"支給済","不支給"),IF($AC2423="","要確認",IF($AC2423=0,"不支給","未処理")))))</f>
        <v/>
      </c>
      <c r="AE2423" s="12" t="n"/>
      <c r="AF2423" s="11" t="n"/>
      <c r="AG2423" s="11" t="n"/>
      <c r="AH2423" s="11" t="n"/>
      <c r="AI2423" s="14">
        <f>IF(AND($AD2423="保留中",$AF2423&lt;&gt;""),TODAY()-$AF2423,"")</f>
        <v/>
      </c>
      <c r="AJ2423" s="12" t="n"/>
      <c r="AK2423" s="14">
        <f>IF($B2423="","",IF($AO2423="","対象年月が未入力／","")&amp;IF($B2423="","",IF($AN2423="","職員マスタに未登録の職員番号／",IF($Y2423="","標準報酬月額が未登録／","")&amp;IF(AND($AO2423&lt;&gt;"",OR(AND(INDEX(職員マスタ!$G$6:$G$405,$AN2423)&lt;&gt;"",INDEX(職員マスタ!$G$6:$G$405,$AN2423)&gt;EOMONTH($AO2423,0)),AND(INDEX(職員マスタ!$H$6:$H$405,$AN2423)&lt;&gt;"",INDEX(職員マスタ!$H$6:$H$405,$AN2423)&lt;$AO2423))),"対象月が時短期間外／","")&amp;IF(AND(INDEX(職員マスタ!$F$6:$F$405,$AN2423)&lt;&gt;"",$AO2423&lt;&gt;"",INDEX(職員マスタ!$F$6:$F$405,$AN2423)&lt;$AO2423),"対象月に子が2歳到達済／","")&amp;IF(AND($H2423&lt;&gt;"",INDEX(職員マスタ!$B$6:$B$405,$AN2423)&lt;&gt;"",SUBSTITUTE(SUBSTITUTE($H2423," ","")," ","")&lt;&gt;SUBSTITUTE(SUBSTITUTE(INDEX(職員マスタ!$B$6:$B$405,$AN2423)," ","")," ","")),"氏名がマスタと相違／","")&amp;IF(AND($Q2423&lt;&gt;"",INDEX(職員マスタ!$E$6:$E$405,$AN2423)&lt;&gt;"",$Q2423&lt;&gt;INDEX(職員マスタ!$E$6:$E$405,$AN2423)),"子の生年月日がマスタと相違／","")&amp;IF(AND($L2423&lt;&gt;"",INDEX(職員マスタ!$G$6:$G$405,$AN2423)&lt;&gt;"",$L2423&lt;&gt;INDEX(職員マスタ!$G$6:$G$405,$AN2423)),"時短開始日がマスタと相違／","")&amp;IF(AND($M2423&lt;&gt;"",INDEX(職員マスタ!$H$6:$H$405,$AN2423)&lt;&gt;"",$M2423&lt;&gt;INDEX(職員マスタ!$H$6:$H$405,$AN2423)),"時短終了日がマスタと相違／","")))&amp;IF(AND($B2423&lt;&gt;"",$E2423=""),"報酬額が未入力／","")&amp;IF(N($U2423)&gt;0,"申請書に入力エラーが残っています／","")&amp;IF(AND($B2423&lt;&gt;"",$AO2423&lt;&gt;""),IF(COUNTIFS($B$6:$B$3005,$B2423,$C$6:$C$3005,$C2423,$D$6:$D$3005,$D2423)&gt;1,"同じ月の請求が重複しています／",""),"")&amp;IF(AND(N($E2423)&gt;0,$Z2423&lt;&gt;"",$Z2423&lt;&gt;"×",$AC2423=0,$AB2423=""),"計算額が下限以下のため不支給／",""))</f>
        <v/>
      </c>
      <c r="AL2423" s="12" t="n"/>
      <c r="AM2423" s="14">
        <f>IF($AD2423="保留中",COUNTIF($AD$6:$AD2423,"保留中"),"")</f>
        <v/>
      </c>
      <c r="AN2423" s="14">
        <f>IF($AO2423="","",IF(SUMPRODUCT(MAX((職員マスタ!$A$6:$A$405=$B2423)*(((職員マスタ!$G$6:$G$405="")+(職員マスタ!$G$6:$G$405&lt;=EOMONTH($AO2423,0)))&gt;0)*(((職員マスタ!$H$6:$H$405="")+(職員マスタ!$H$6:$H$405&gt;=$AO2423))&gt;0)*(ROW(職員マスタ!$A$6:$A$405)-5)))&gt;0,SUMPRODUCT(MAX((職員マスタ!$A$6:$A$405=$B2423)*(((職員マスタ!$G$6:$G$405="")+(職員マスタ!$G$6:$G$405&lt;=EOMONTH($AO2423,0)))&gt;0)*(((職員マスタ!$H$6:$H$405="")+(職員マスタ!$H$6:$H$405&gt;=$AO2423))&gt;0)*(ROW(職員マスタ!$A$6:$A$405)-5))),IFERROR(MATCH($B2423,職員マスタ!$A$6:$A$405,0),"")))</f>
        <v/>
      </c>
      <c r="AO2423" s="16">
        <f>IF(OR($B2423="",$C2423="",$D2423=""),"",DATE($C2423+2018,$D2423,1))</f>
        <v/>
      </c>
    </row>
    <row r="2424">
      <c r="A2424" s="11" t="n"/>
      <c r="B2424" s="12" t="n"/>
      <c r="C2424" s="12" t="n"/>
      <c r="D2424" s="12" t="n"/>
      <c r="E2424" s="13" t="n"/>
      <c r="F2424" s="12" t="n"/>
      <c r="G2424" s="13" t="n"/>
      <c r="H2424" s="12" t="n"/>
      <c r="I2424" s="12" t="n"/>
      <c r="J2424" s="12" t="n"/>
      <c r="K2424" s="12" t="n"/>
      <c r="L2424" s="11" t="n"/>
      <c r="M2424" s="11" t="n"/>
      <c r="N2424" s="11" t="n"/>
      <c r="O2424" s="11" t="n"/>
      <c r="P2424" s="12" t="n"/>
      <c r="Q2424" s="11" t="n"/>
      <c r="R2424" s="12" t="n"/>
      <c r="S2424" s="11" t="n"/>
      <c r="T2424" s="12" t="n"/>
      <c r="U2424" s="12" t="n"/>
      <c r="V2424" s="14">
        <f>IF($AN2424="",IF($B2424="","",$H2424),IF(INDEX(職員マスタ!$B$6:$B$405,$AN2424)="",$H2424,INDEX(職員マスタ!$B$6:$B$405,$AN2424)))</f>
        <v/>
      </c>
      <c r="W2424" s="14">
        <f>IF($AN2424="",IF($B2424="","",$R2424),IF(INDEX(職員マスタ!$C$6:$C$405,$AN2424)="",$R2424,INDEX(職員マスタ!$C$6:$C$405,$AN2424)))</f>
        <v/>
      </c>
      <c r="X2424" s="14">
        <f>IF($AO2424="","","R"&amp;$C2424&amp;"."&amp;$D2424)</f>
        <v/>
      </c>
      <c r="Y2424" s="15">
        <f>IF($AN2424="","",IF(INDEX(職員マスタ!$K$6:$K$405,$AN2424)="","",INDEX(職員マスタ!$K$6:$K$405,$AN2424)))</f>
        <v/>
      </c>
      <c r="Z2424" s="14">
        <f>IF(OR($E2424="",$Y2424=""),"",IF($E2424&gt;=$Y2424,"×",IF($E2424&gt;=$Y2424*設定!$C$5,"△","○")))</f>
        <v/>
      </c>
      <c r="AA2424" s="15">
        <f>IF($Z2424="","",IF($Z2424="×",0,IF($Z2424="○",ROUNDDOWN($E2424*設定!$C$4,0),ROUNDDOWN($E2424*ROUND((9*$Y2424-9*$E2424)/(10*$E2424),4),0))))</f>
        <v/>
      </c>
      <c r="AB2424" s="13" t="n"/>
      <c r="AC2424" s="15">
        <f>IF($B2424="","",IF($AB2424&lt;&gt;"",$AB2424,IF($AA2424="","",IF($AA2424&lt;=設定!$C$3,0,$AA2424))))</f>
        <v/>
      </c>
      <c r="AD2424" s="14">
        <f>IF($B2424="","",IF(AND($AE2424&lt;&gt;"",$AG2424="",$AJ2424=""),"保留中",IF($AJ2424&lt;&gt;"",IF(N($AC2424)&gt;0,"支給済","不支給"),IF($AC2424="","要確認",IF($AC2424=0,"不支給","未処理")))))</f>
        <v/>
      </c>
      <c r="AE2424" s="12" t="n"/>
      <c r="AF2424" s="11" t="n"/>
      <c r="AG2424" s="11" t="n"/>
      <c r="AH2424" s="11" t="n"/>
      <c r="AI2424" s="14">
        <f>IF(AND($AD2424="保留中",$AF2424&lt;&gt;""),TODAY()-$AF2424,"")</f>
        <v/>
      </c>
      <c r="AJ2424" s="12" t="n"/>
      <c r="AK2424" s="14">
        <f>IF($B2424="","",IF($AO2424="","対象年月が未入力／","")&amp;IF($B2424="","",IF($AN2424="","職員マスタに未登録の職員番号／",IF($Y2424="","標準報酬月額が未登録／","")&amp;IF(AND($AO2424&lt;&gt;"",OR(AND(INDEX(職員マスタ!$G$6:$G$405,$AN2424)&lt;&gt;"",INDEX(職員マスタ!$G$6:$G$405,$AN2424)&gt;EOMONTH($AO2424,0)),AND(INDEX(職員マスタ!$H$6:$H$405,$AN2424)&lt;&gt;"",INDEX(職員マスタ!$H$6:$H$405,$AN2424)&lt;$AO2424))),"対象月が時短期間外／","")&amp;IF(AND(INDEX(職員マスタ!$F$6:$F$405,$AN2424)&lt;&gt;"",$AO2424&lt;&gt;"",INDEX(職員マスタ!$F$6:$F$405,$AN2424)&lt;$AO2424),"対象月に子が2歳到達済／","")&amp;IF(AND($H2424&lt;&gt;"",INDEX(職員マスタ!$B$6:$B$405,$AN2424)&lt;&gt;"",SUBSTITUTE(SUBSTITUTE($H2424," ","")," ","")&lt;&gt;SUBSTITUTE(SUBSTITUTE(INDEX(職員マスタ!$B$6:$B$405,$AN2424)," ","")," ","")),"氏名がマスタと相違／","")&amp;IF(AND($Q2424&lt;&gt;"",INDEX(職員マスタ!$E$6:$E$405,$AN2424)&lt;&gt;"",$Q2424&lt;&gt;INDEX(職員マスタ!$E$6:$E$405,$AN2424)),"子の生年月日がマスタと相違／","")&amp;IF(AND($L2424&lt;&gt;"",INDEX(職員マスタ!$G$6:$G$405,$AN2424)&lt;&gt;"",$L2424&lt;&gt;INDEX(職員マスタ!$G$6:$G$405,$AN2424)),"時短開始日がマスタと相違／","")&amp;IF(AND($M2424&lt;&gt;"",INDEX(職員マスタ!$H$6:$H$405,$AN2424)&lt;&gt;"",$M2424&lt;&gt;INDEX(職員マスタ!$H$6:$H$405,$AN2424)),"時短終了日がマスタと相違／","")))&amp;IF(AND($B2424&lt;&gt;"",$E2424=""),"報酬額が未入力／","")&amp;IF(N($U2424)&gt;0,"申請書に入力エラーが残っています／","")&amp;IF(AND($B2424&lt;&gt;"",$AO2424&lt;&gt;""),IF(COUNTIFS($B$6:$B$3005,$B2424,$C$6:$C$3005,$C2424,$D$6:$D$3005,$D2424)&gt;1,"同じ月の請求が重複しています／",""),"")&amp;IF(AND(N($E2424)&gt;0,$Z2424&lt;&gt;"",$Z2424&lt;&gt;"×",$AC2424=0,$AB2424=""),"計算額が下限以下のため不支給／",""))</f>
        <v/>
      </c>
      <c r="AL2424" s="12" t="n"/>
      <c r="AM2424" s="14">
        <f>IF($AD2424="保留中",COUNTIF($AD$6:$AD2424,"保留中"),"")</f>
        <v/>
      </c>
      <c r="AN2424" s="14">
        <f>IF($AO2424="","",IF(SUMPRODUCT(MAX((職員マスタ!$A$6:$A$405=$B2424)*(((職員マスタ!$G$6:$G$405="")+(職員マスタ!$G$6:$G$405&lt;=EOMONTH($AO2424,0)))&gt;0)*(((職員マスタ!$H$6:$H$405="")+(職員マスタ!$H$6:$H$405&gt;=$AO2424))&gt;0)*(ROW(職員マスタ!$A$6:$A$405)-5)))&gt;0,SUMPRODUCT(MAX((職員マスタ!$A$6:$A$405=$B2424)*(((職員マスタ!$G$6:$G$405="")+(職員マスタ!$G$6:$G$405&lt;=EOMONTH($AO2424,0)))&gt;0)*(((職員マスタ!$H$6:$H$405="")+(職員マスタ!$H$6:$H$405&gt;=$AO2424))&gt;0)*(ROW(職員マスタ!$A$6:$A$405)-5))),IFERROR(MATCH($B2424,職員マスタ!$A$6:$A$405,0),"")))</f>
        <v/>
      </c>
      <c r="AO2424" s="16">
        <f>IF(OR($B2424="",$C2424="",$D2424=""),"",DATE($C2424+2018,$D2424,1))</f>
        <v/>
      </c>
    </row>
    <row r="2425">
      <c r="A2425" s="11" t="n"/>
      <c r="B2425" s="12" t="n"/>
      <c r="C2425" s="12" t="n"/>
      <c r="D2425" s="12" t="n"/>
      <c r="E2425" s="13" t="n"/>
      <c r="F2425" s="12" t="n"/>
      <c r="G2425" s="13" t="n"/>
      <c r="H2425" s="12" t="n"/>
      <c r="I2425" s="12" t="n"/>
      <c r="J2425" s="12" t="n"/>
      <c r="K2425" s="12" t="n"/>
      <c r="L2425" s="11" t="n"/>
      <c r="M2425" s="11" t="n"/>
      <c r="N2425" s="11" t="n"/>
      <c r="O2425" s="11" t="n"/>
      <c r="P2425" s="12" t="n"/>
      <c r="Q2425" s="11" t="n"/>
      <c r="R2425" s="12" t="n"/>
      <c r="S2425" s="11" t="n"/>
      <c r="T2425" s="12" t="n"/>
      <c r="U2425" s="12" t="n"/>
      <c r="V2425" s="14">
        <f>IF($AN2425="",IF($B2425="","",$H2425),IF(INDEX(職員マスタ!$B$6:$B$405,$AN2425)="",$H2425,INDEX(職員マスタ!$B$6:$B$405,$AN2425)))</f>
        <v/>
      </c>
      <c r="W2425" s="14">
        <f>IF($AN2425="",IF($B2425="","",$R2425),IF(INDEX(職員マスタ!$C$6:$C$405,$AN2425)="",$R2425,INDEX(職員マスタ!$C$6:$C$405,$AN2425)))</f>
        <v/>
      </c>
      <c r="X2425" s="14">
        <f>IF($AO2425="","","R"&amp;$C2425&amp;"."&amp;$D2425)</f>
        <v/>
      </c>
      <c r="Y2425" s="15">
        <f>IF($AN2425="","",IF(INDEX(職員マスタ!$K$6:$K$405,$AN2425)="","",INDEX(職員マスタ!$K$6:$K$405,$AN2425)))</f>
        <v/>
      </c>
      <c r="Z2425" s="14">
        <f>IF(OR($E2425="",$Y2425=""),"",IF($E2425&gt;=$Y2425,"×",IF($E2425&gt;=$Y2425*設定!$C$5,"△","○")))</f>
        <v/>
      </c>
      <c r="AA2425" s="15">
        <f>IF($Z2425="","",IF($Z2425="×",0,IF($Z2425="○",ROUNDDOWN($E2425*設定!$C$4,0),ROUNDDOWN($E2425*ROUND((9*$Y2425-9*$E2425)/(10*$E2425),4),0))))</f>
        <v/>
      </c>
      <c r="AB2425" s="13" t="n"/>
      <c r="AC2425" s="15">
        <f>IF($B2425="","",IF($AB2425&lt;&gt;"",$AB2425,IF($AA2425="","",IF($AA2425&lt;=設定!$C$3,0,$AA2425))))</f>
        <v/>
      </c>
      <c r="AD2425" s="14">
        <f>IF($B2425="","",IF(AND($AE2425&lt;&gt;"",$AG2425="",$AJ2425=""),"保留中",IF($AJ2425&lt;&gt;"",IF(N($AC2425)&gt;0,"支給済","不支給"),IF($AC2425="","要確認",IF($AC2425=0,"不支給","未処理")))))</f>
        <v/>
      </c>
      <c r="AE2425" s="12" t="n"/>
      <c r="AF2425" s="11" t="n"/>
      <c r="AG2425" s="11" t="n"/>
      <c r="AH2425" s="11" t="n"/>
      <c r="AI2425" s="14">
        <f>IF(AND($AD2425="保留中",$AF2425&lt;&gt;""),TODAY()-$AF2425,"")</f>
        <v/>
      </c>
      <c r="AJ2425" s="12" t="n"/>
      <c r="AK2425" s="14">
        <f>IF($B2425="","",IF($AO2425="","対象年月が未入力／","")&amp;IF($B2425="","",IF($AN2425="","職員マスタに未登録の職員番号／",IF($Y2425="","標準報酬月額が未登録／","")&amp;IF(AND($AO2425&lt;&gt;"",OR(AND(INDEX(職員マスタ!$G$6:$G$405,$AN2425)&lt;&gt;"",INDEX(職員マスタ!$G$6:$G$405,$AN2425)&gt;EOMONTH($AO2425,0)),AND(INDEX(職員マスタ!$H$6:$H$405,$AN2425)&lt;&gt;"",INDEX(職員マスタ!$H$6:$H$405,$AN2425)&lt;$AO2425))),"対象月が時短期間外／","")&amp;IF(AND(INDEX(職員マスタ!$F$6:$F$405,$AN2425)&lt;&gt;"",$AO2425&lt;&gt;"",INDEX(職員マスタ!$F$6:$F$405,$AN2425)&lt;$AO2425),"対象月に子が2歳到達済／","")&amp;IF(AND($H2425&lt;&gt;"",INDEX(職員マスタ!$B$6:$B$405,$AN2425)&lt;&gt;"",SUBSTITUTE(SUBSTITUTE($H2425," ","")," ","")&lt;&gt;SUBSTITUTE(SUBSTITUTE(INDEX(職員マスタ!$B$6:$B$405,$AN2425)," ","")," ","")),"氏名がマスタと相違／","")&amp;IF(AND($Q2425&lt;&gt;"",INDEX(職員マスタ!$E$6:$E$405,$AN2425)&lt;&gt;"",$Q2425&lt;&gt;INDEX(職員マスタ!$E$6:$E$405,$AN2425)),"子の生年月日がマスタと相違／","")&amp;IF(AND($L2425&lt;&gt;"",INDEX(職員マスタ!$G$6:$G$405,$AN2425)&lt;&gt;"",$L2425&lt;&gt;INDEX(職員マスタ!$G$6:$G$405,$AN2425)),"時短開始日がマスタと相違／","")&amp;IF(AND($M2425&lt;&gt;"",INDEX(職員マスタ!$H$6:$H$405,$AN2425)&lt;&gt;"",$M2425&lt;&gt;INDEX(職員マスタ!$H$6:$H$405,$AN2425)),"時短終了日がマスタと相違／","")))&amp;IF(AND($B2425&lt;&gt;"",$E2425=""),"報酬額が未入力／","")&amp;IF(N($U2425)&gt;0,"申請書に入力エラーが残っています／","")&amp;IF(AND($B2425&lt;&gt;"",$AO2425&lt;&gt;""),IF(COUNTIFS($B$6:$B$3005,$B2425,$C$6:$C$3005,$C2425,$D$6:$D$3005,$D2425)&gt;1,"同じ月の請求が重複しています／",""),"")&amp;IF(AND(N($E2425)&gt;0,$Z2425&lt;&gt;"",$Z2425&lt;&gt;"×",$AC2425=0,$AB2425=""),"計算額が下限以下のため不支給／",""))</f>
        <v/>
      </c>
      <c r="AL2425" s="12" t="n"/>
      <c r="AM2425" s="14">
        <f>IF($AD2425="保留中",COUNTIF($AD$6:$AD2425,"保留中"),"")</f>
        <v/>
      </c>
      <c r="AN2425" s="14">
        <f>IF($AO2425="","",IF(SUMPRODUCT(MAX((職員マスタ!$A$6:$A$405=$B2425)*(((職員マスタ!$G$6:$G$405="")+(職員マスタ!$G$6:$G$405&lt;=EOMONTH($AO2425,0)))&gt;0)*(((職員マスタ!$H$6:$H$405="")+(職員マスタ!$H$6:$H$405&gt;=$AO2425))&gt;0)*(ROW(職員マスタ!$A$6:$A$405)-5)))&gt;0,SUMPRODUCT(MAX((職員マスタ!$A$6:$A$405=$B2425)*(((職員マスタ!$G$6:$G$405="")+(職員マスタ!$G$6:$G$405&lt;=EOMONTH($AO2425,0)))&gt;0)*(((職員マスタ!$H$6:$H$405="")+(職員マスタ!$H$6:$H$405&gt;=$AO2425))&gt;0)*(ROW(職員マスタ!$A$6:$A$405)-5))),IFERROR(MATCH($B2425,職員マスタ!$A$6:$A$405,0),"")))</f>
        <v/>
      </c>
      <c r="AO2425" s="16">
        <f>IF(OR($B2425="",$C2425="",$D2425=""),"",DATE($C2425+2018,$D2425,1))</f>
        <v/>
      </c>
    </row>
    <row r="2426">
      <c r="A2426" s="11" t="n"/>
      <c r="B2426" s="12" t="n"/>
      <c r="C2426" s="12" t="n"/>
      <c r="D2426" s="12" t="n"/>
      <c r="E2426" s="13" t="n"/>
      <c r="F2426" s="12" t="n"/>
      <c r="G2426" s="13" t="n"/>
      <c r="H2426" s="12" t="n"/>
      <c r="I2426" s="12" t="n"/>
      <c r="J2426" s="12" t="n"/>
      <c r="K2426" s="12" t="n"/>
      <c r="L2426" s="11" t="n"/>
      <c r="M2426" s="11" t="n"/>
      <c r="N2426" s="11" t="n"/>
      <c r="O2426" s="11" t="n"/>
      <c r="P2426" s="12" t="n"/>
      <c r="Q2426" s="11" t="n"/>
      <c r="R2426" s="12" t="n"/>
      <c r="S2426" s="11" t="n"/>
      <c r="T2426" s="12" t="n"/>
      <c r="U2426" s="12" t="n"/>
      <c r="V2426" s="14">
        <f>IF($AN2426="",IF($B2426="","",$H2426),IF(INDEX(職員マスタ!$B$6:$B$405,$AN2426)="",$H2426,INDEX(職員マスタ!$B$6:$B$405,$AN2426)))</f>
        <v/>
      </c>
      <c r="W2426" s="14">
        <f>IF($AN2426="",IF($B2426="","",$R2426),IF(INDEX(職員マスタ!$C$6:$C$405,$AN2426)="",$R2426,INDEX(職員マスタ!$C$6:$C$405,$AN2426)))</f>
        <v/>
      </c>
      <c r="X2426" s="14">
        <f>IF($AO2426="","","R"&amp;$C2426&amp;"."&amp;$D2426)</f>
        <v/>
      </c>
      <c r="Y2426" s="15">
        <f>IF($AN2426="","",IF(INDEX(職員マスタ!$K$6:$K$405,$AN2426)="","",INDEX(職員マスタ!$K$6:$K$405,$AN2426)))</f>
        <v/>
      </c>
      <c r="Z2426" s="14">
        <f>IF(OR($E2426="",$Y2426=""),"",IF($E2426&gt;=$Y2426,"×",IF($E2426&gt;=$Y2426*設定!$C$5,"△","○")))</f>
        <v/>
      </c>
      <c r="AA2426" s="15">
        <f>IF($Z2426="","",IF($Z2426="×",0,IF($Z2426="○",ROUNDDOWN($E2426*設定!$C$4,0),ROUNDDOWN($E2426*ROUND((9*$Y2426-9*$E2426)/(10*$E2426),4),0))))</f>
        <v/>
      </c>
      <c r="AB2426" s="13" t="n"/>
      <c r="AC2426" s="15">
        <f>IF($B2426="","",IF($AB2426&lt;&gt;"",$AB2426,IF($AA2426="","",IF($AA2426&lt;=設定!$C$3,0,$AA2426))))</f>
        <v/>
      </c>
      <c r="AD2426" s="14">
        <f>IF($B2426="","",IF(AND($AE2426&lt;&gt;"",$AG2426="",$AJ2426=""),"保留中",IF($AJ2426&lt;&gt;"",IF(N($AC2426)&gt;0,"支給済","不支給"),IF($AC2426="","要確認",IF($AC2426=0,"不支給","未処理")))))</f>
        <v/>
      </c>
      <c r="AE2426" s="12" t="n"/>
      <c r="AF2426" s="11" t="n"/>
      <c r="AG2426" s="11" t="n"/>
      <c r="AH2426" s="11" t="n"/>
      <c r="AI2426" s="14">
        <f>IF(AND($AD2426="保留中",$AF2426&lt;&gt;""),TODAY()-$AF2426,"")</f>
        <v/>
      </c>
      <c r="AJ2426" s="12" t="n"/>
      <c r="AK2426" s="14">
        <f>IF($B2426="","",IF($AO2426="","対象年月が未入力／","")&amp;IF($B2426="","",IF($AN2426="","職員マスタに未登録の職員番号／",IF($Y2426="","標準報酬月額が未登録／","")&amp;IF(AND($AO2426&lt;&gt;"",OR(AND(INDEX(職員マスタ!$G$6:$G$405,$AN2426)&lt;&gt;"",INDEX(職員マスタ!$G$6:$G$405,$AN2426)&gt;EOMONTH($AO2426,0)),AND(INDEX(職員マスタ!$H$6:$H$405,$AN2426)&lt;&gt;"",INDEX(職員マスタ!$H$6:$H$405,$AN2426)&lt;$AO2426))),"対象月が時短期間外／","")&amp;IF(AND(INDEX(職員マスタ!$F$6:$F$405,$AN2426)&lt;&gt;"",$AO2426&lt;&gt;"",INDEX(職員マスタ!$F$6:$F$405,$AN2426)&lt;$AO2426),"対象月に子が2歳到達済／","")&amp;IF(AND($H2426&lt;&gt;"",INDEX(職員マスタ!$B$6:$B$405,$AN2426)&lt;&gt;"",SUBSTITUTE(SUBSTITUTE($H2426," ","")," ","")&lt;&gt;SUBSTITUTE(SUBSTITUTE(INDEX(職員マスタ!$B$6:$B$405,$AN2426)," ","")," ","")),"氏名がマスタと相違／","")&amp;IF(AND($Q2426&lt;&gt;"",INDEX(職員マスタ!$E$6:$E$405,$AN2426)&lt;&gt;"",$Q2426&lt;&gt;INDEX(職員マスタ!$E$6:$E$405,$AN2426)),"子の生年月日がマスタと相違／","")&amp;IF(AND($L2426&lt;&gt;"",INDEX(職員マスタ!$G$6:$G$405,$AN2426)&lt;&gt;"",$L2426&lt;&gt;INDEX(職員マスタ!$G$6:$G$405,$AN2426)),"時短開始日がマスタと相違／","")&amp;IF(AND($M2426&lt;&gt;"",INDEX(職員マスタ!$H$6:$H$405,$AN2426)&lt;&gt;"",$M2426&lt;&gt;INDEX(職員マスタ!$H$6:$H$405,$AN2426)),"時短終了日がマスタと相違／","")))&amp;IF(AND($B2426&lt;&gt;"",$E2426=""),"報酬額が未入力／","")&amp;IF(N($U2426)&gt;0,"申請書に入力エラーが残っています／","")&amp;IF(AND($B2426&lt;&gt;"",$AO2426&lt;&gt;""),IF(COUNTIFS($B$6:$B$3005,$B2426,$C$6:$C$3005,$C2426,$D$6:$D$3005,$D2426)&gt;1,"同じ月の請求が重複しています／",""),"")&amp;IF(AND(N($E2426)&gt;0,$Z2426&lt;&gt;"",$Z2426&lt;&gt;"×",$AC2426=0,$AB2426=""),"計算額が下限以下のため不支給／",""))</f>
        <v/>
      </c>
      <c r="AL2426" s="12" t="n"/>
      <c r="AM2426" s="14">
        <f>IF($AD2426="保留中",COUNTIF($AD$6:$AD2426,"保留中"),"")</f>
        <v/>
      </c>
      <c r="AN2426" s="14">
        <f>IF($AO2426="","",IF(SUMPRODUCT(MAX((職員マスタ!$A$6:$A$405=$B2426)*(((職員マスタ!$G$6:$G$405="")+(職員マスタ!$G$6:$G$405&lt;=EOMONTH($AO2426,0)))&gt;0)*(((職員マスタ!$H$6:$H$405="")+(職員マスタ!$H$6:$H$405&gt;=$AO2426))&gt;0)*(ROW(職員マスタ!$A$6:$A$405)-5)))&gt;0,SUMPRODUCT(MAX((職員マスタ!$A$6:$A$405=$B2426)*(((職員マスタ!$G$6:$G$405="")+(職員マスタ!$G$6:$G$405&lt;=EOMONTH($AO2426,0)))&gt;0)*(((職員マスタ!$H$6:$H$405="")+(職員マスタ!$H$6:$H$405&gt;=$AO2426))&gt;0)*(ROW(職員マスタ!$A$6:$A$405)-5))),IFERROR(MATCH($B2426,職員マスタ!$A$6:$A$405,0),"")))</f>
        <v/>
      </c>
      <c r="AO2426" s="16">
        <f>IF(OR($B2426="",$C2426="",$D2426=""),"",DATE($C2426+2018,$D2426,1))</f>
        <v/>
      </c>
    </row>
    <row r="2427">
      <c r="A2427" s="11" t="n"/>
      <c r="B2427" s="12" t="n"/>
      <c r="C2427" s="12" t="n"/>
      <c r="D2427" s="12" t="n"/>
      <c r="E2427" s="13" t="n"/>
      <c r="F2427" s="12" t="n"/>
      <c r="G2427" s="13" t="n"/>
      <c r="H2427" s="12" t="n"/>
      <c r="I2427" s="12" t="n"/>
      <c r="J2427" s="12" t="n"/>
      <c r="K2427" s="12" t="n"/>
      <c r="L2427" s="11" t="n"/>
      <c r="M2427" s="11" t="n"/>
      <c r="N2427" s="11" t="n"/>
      <c r="O2427" s="11" t="n"/>
      <c r="P2427" s="12" t="n"/>
      <c r="Q2427" s="11" t="n"/>
      <c r="R2427" s="12" t="n"/>
      <c r="S2427" s="11" t="n"/>
      <c r="T2427" s="12" t="n"/>
      <c r="U2427" s="12" t="n"/>
      <c r="V2427" s="14">
        <f>IF($AN2427="",IF($B2427="","",$H2427),IF(INDEX(職員マスタ!$B$6:$B$405,$AN2427)="",$H2427,INDEX(職員マスタ!$B$6:$B$405,$AN2427)))</f>
        <v/>
      </c>
      <c r="W2427" s="14">
        <f>IF($AN2427="",IF($B2427="","",$R2427),IF(INDEX(職員マスタ!$C$6:$C$405,$AN2427)="",$R2427,INDEX(職員マスタ!$C$6:$C$405,$AN2427)))</f>
        <v/>
      </c>
      <c r="X2427" s="14">
        <f>IF($AO2427="","","R"&amp;$C2427&amp;"."&amp;$D2427)</f>
        <v/>
      </c>
      <c r="Y2427" s="15">
        <f>IF($AN2427="","",IF(INDEX(職員マスタ!$K$6:$K$405,$AN2427)="","",INDEX(職員マスタ!$K$6:$K$405,$AN2427)))</f>
        <v/>
      </c>
      <c r="Z2427" s="14">
        <f>IF(OR($E2427="",$Y2427=""),"",IF($E2427&gt;=$Y2427,"×",IF($E2427&gt;=$Y2427*設定!$C$5,"△","○")))</f>
        <v/>
      </c>
      <c r="AA2427" s="15">
        <f>IF($Z2427="","",IF($Z2427="×",0,IF($Z2427="○",ROUNDDOWN($E2427*設定!$C$4,0),ROUNDDOWN($E2427*ROUND((9*$Y2427-9*$E2427)/(10*$E2427),4),0))))</f>
        <v/>
      </c>
      <c r="AB2427" s="13" t="n"/>
      <c r="AC2427" s="15">
        <f>IF($B2427="","",IF($AB2427&lt;&gt;"",$AB2427,IF($AA2427="","",IF($AA2427&lt;=設定!$C$3,0,$AA2427))))</f>
        <v/>
      </c>
      <c r="AD2427" s="14">
        <f>IF($B2427="","",IF(AND($AE2427&lt;&gt;"",$AG2427="",$AJ2427=""),"保留中",IF($AJ2427&lt;&gt;"",IF(N($AC2427)&gt;0,"支給済","不支給"),IF($AC2427="","要確認",IF($AC2427=0,"不支給","未処理")))))</f>
        <v/>
      </c>
      <c r="AE2427" s="12" t="n"/>
      <c r="AF2427" s="11" t="n"/>
      <c r="AG2427" s="11" t="n"/>
      <c r="AH2427" s="11" t="n"/>
      <c r="AI2427" s="14">
        <f>IF(AND($AD2427="保留中",$AF2427&lt;&gt;""),TODAY()-$AF2427,"")</f>
        <v/>
      </c>
      <c r="AJ2427" s="12" t="n"/>
      <c r="AK2427" s="14">
        <f>IF($B2427="","",IF($AO2427="","対象年月が未入力／","")&amp;IF($B2427="","",IF($AN2427="","職員マスタに未登録の職員番号／",IF($Y2427="","標準報酬月額が未登録／","")&amp;IF(AND($AO2427&lt;&gt;"",OR(AND(INDEX(職員マスタ!$G$6:$G$405,$AN2427)&lt;&gt;"",INDEX(職員マスタ!$G$6:$G$405,$AN2427)&gt;EOMONTH($AO2427,0)),AND(INDEX(職員マスタ!$H$6:$H$405,$AN2427)&lt;&gt;"",INDEX(職員マスタ!$H$6:$H$405,$AN2427)&lt;$AO2427))),"対象月が時短期間外／","")&amp;IF(AND(INDEX(職員マスタ!$F$6:$F$405,$AN2427)&lt;&gt;"",$AO2427&lt;&gt;"",INDEX(職員マスタ!$F$6:$F$405,$AN2427)&lt;$AO2427),"対象月に子が2歳到達済／","")&amp;IF(AND($H2427&lt;&gt;"",INDEX(職員マスタ!$B$6:$B$405,$AN2427)&lt;&gt;"",SUBSTITUTE(SUBSTITUTE($H2427," ","")," ","")&lt;&gt;SUBSTITUTE(SUBSTITUTE(INDEX(職員マスタ!$B$6:$B$405,$AN2427)," ","")," ","")),"氏名がマスタと相違／","")&amp;IF(AND($Q2427&lt;&gt;"",INDEX(職員マスタ!$E$6:$E$405,$AN2427)&lt;&gt;"",$Q2427&lt;&gt;INDEX(職員マスタ!$E$6:$E$405,$AN2427)),"子の生年月日がマスタと相違／","")&amp;IF(AND($L2427&lt;&gt;"",INDEX(職員マスタ!$G$6:$G$405,$AN2427)&lt;&gt;"",$L2427&lt;&gt;INDEX(職員マスタ!$G$6:$G$405,$AN2427)),"時短開始日がマスタと相違／","")&amp;IF(AND($M2427&lt;&gt;"",INDEX(職員マスタ!$H$6:$H$405,$AN2427)&lt;&gt;"",$M2427&lt;&gt;INDEX(職員マスタ!$H$6:$H$405,$AN2427)),"時短終了日がマスタと相違／","")))&amp;IF(AND($B2427&lt;&gt;"",$E2427=""),"報酬額が未入力／","")&amp;IF(N($U2427)&gt;0,"申請書に入力エラーが残っています／","")&amp;IF(AND($B2427&lt;&gt;"",$AO2427&lt;&gt;""),IF(COUNTIFS($B$6:$B$3005,$B2427,$C$6:$C$3005,$C2427,$D$6:$D$3005,$D2427)&gt;1,"同じ月の請求が重複しています／",""),"")&amp;IF(AND(N($E2427)&gt;0,$Z2427&lt;&gt;"",$Z2427&lt;&gt;"×",$AC2427=0,$AB2427=""),"計算額が下限以下のため不支給／",""))</f>
        <v/>
      </c>
      <c r="AL2427" s="12" t="n"/>
      <c r="AM2427" s="14">
        <f>IF($AD2427="保留中",COUNTIF($AD$6:$AD2427,"保留中"),"")</f>
        <v/>
      </c>
      <c r="AN2427" s="14">
        <f>IF($AO2427="","",IF(SUMPRODUCT(MAX((職員マスタ!$A$6:$A$405=$B2427)*(((職員マスタ!$G$6:$G$405="")+(職員マスタ!$G$6:$G$405&lt;=EOMONTH($AO2427,0)))&gt;0)*(((職員マスタ!$H$6:$H$405="")+(職員マスタ!$H$6:$H$405&gt;=$AO2427))&gt;0)*(ROW(職員マスタ!$A$6:$A$405)-5)))&gt;0,SUMPRODUCT(MAX((職員マスタ!$A$6:$A$405=$B2427)*(((職員マスタ!$G$6:$G$405="")+(職員マスタ!$G$6:$G$405&lt;=EOMONTH($AO2427,0)))&gt;0)*(((職員マスタ!$H$6:$H$405="")+(職員マスタ!$H$6:$H$405&gt;=$AO2427))&gt;0)*(ROW(職員マスタ!$A$6:$A$405)-5))),IFERROR(MATCH($B2427,職員マスタ!$A$6:$A$405,0),"")))</f>
        <v/>
      </c>
      <c r="AO2427" s="16">
        <f>IF(OR($B2427="",$C2427="",$D2427=""),"",DATE($C2427+2018,$D2427,1))</f>
        <v/>
      </c>
    </row>
    <row r="2428">
      <c r="A2428" s="11" t="n"/>
      <c r="B2428" s="12" t="n"/>
      <c r="C2428" s="12" t="n"/>
      <c r="D2428" s="12" t="n"/>
      <c r="E2428" s="13" t="n"/>
      <c r="F2428" s="12" t="n"/>
      <c r="G2428" s="13" t="n"/>
      <c r="H2428" s="12" t="n"/>
      <c r="I2428" s="12" t="n"/>
      <c r="J2428" s="12" t="n"/>
      <c r="K2428" s="12" t="n"/>
      <c r="L2428" s="11" t="n"/>
      <c r="M2428" s="11" t="n"/>
      <c r="N2428" s="11" t="n"/>
      <c r="O2428" s="11" t="n"/>
      <c r="P2428" s="12" t="n"/>
      <c r="Q2428" s="11" t="n"/>
      <c r="R2428" s="12" t="n"/>
      <c r="S2428" s="11" t="n"/>
      <c r="T2428" s="12" t="n"/>
      <c r="U2428" s="12" t="n"/>
      <c r="V2428" s="14">
        <f>IF($AN2428="",IF($B2428="","",$H2428),IF(INDEX(職員マスタ!$B$6:$B$405,$AN2428)="",$H2428,INDEX(職員マスタ!$B$6:$B$405,$AN2428)))</f>
        <v/>
      </c>
      <c r="W2428" s="14">
        <f>IF($AN2428="",IF($B2428="","",$R2428),IF(INDEX(職員マスタ!$C$6:$C$405,$AN2428)="",$R2428,INDEX(職員マスタ!$C$6:$C$405,$AN2428)))</f>
        <v/>
      </c>
      <c r="X2428" s="14">
        <f>IF($AO2428="","","R"&amp;$C2428&amp;"."&amp;$D2428)</f>
        <v/>
      </c>
      <c r="Y2428" s="15">
        <f>IF($AN2428="","",IF(INDEX(職員マスタ!$K$6:$K$405,$AN2428)="","",INDEX(職員マスタ!$K$6:$K$405,$AN2428)))</f>
        <v/>
      </c>
      <c r="Z2428" s="14">
        <f>IF(OR($E2428="",$Y2428=""),"",IF($E2428&gt;=$Y2428,"×",IF($E2428&gt;=$Y2428*設定!$C$5,"△","○")))</f>
        <v/>
      </c>
      <c r="AA2428" s="15">
        <f>IF($Z2428="","",IF($Z2428="×",0,IF($Z2428="○",ROUNDDOWN($E2428*設定!$C$4,0),ROUNDDOWN($E2428*ROUND((9*$Y2428-9*$E2428)/(10*$E2428),4),0))))</f>
        <v/>
      </c>
      <c r="AB2428" s="13" t="n"/>
      <c r="AC2428" s="15">
        <f>IF($B2428="","",IF($AB2428&lt;&gt;"",$AB2428,IF($AA2428="","",IF($AA2428&lt;=設定!$C$3,0,$AA2428))))</f>
        <v/>
      </c>
      <c r="AD2428" s="14">
        <f>IF($B2428="","",IF(AND($AE2428&lt;&gt;"",$AG2428="",$AJ2428=""),"保留中",IF($AJ2428&lt;&gt;"",IF(N($AC2428)&gt;0,"支給済","不支給"),IF($AC2428="","要確認",IF($AC2428=0,"不支給","未処理")))))</f>
        <v/>
      </c>
      <c r="AE2428" s="12" t="n"/>
      <c r="AF2428" s="11" t="n"/>
      <c r="AG2428" s="11" t="n"/>
      <c r="AH2428" s="11" t="n"/>
      <c r="AI2428" s="14">
        <f>IF(AND($AD2428="保留中",$AF2428&lt;&gt;""),TODAY()-$AF2428,"")</f>
        <v/>
      </c>
      <c r="AJ2428" s="12" t="n"/>
      <c r="AK2428" s="14">
        <f>IF($B2428="","",IF($AO2428="","対象年月が未入力／","")&amp;IF($B2428="","",IF($AN2428="","職員マスタに未登録の職員番号／",IF($Y2428="","標準報酬月額が未登録／","")&amp;IF(AND($AO2428&lt;&gt;"",OR(AND(INDEX(職員マスタ!$G$6:$G$405,$AN2428)&lt;&gt;"",INDEX(職員マスタ!$G$6:$G$405,$AN2428)&gt;EOMONTH($AO2428,0)),AND(INDEX(職員マスタ!$H$6:$H$405,$AN2428)&lt;&gt;"",INDEX(職員マスタ!$H$6:$H$405,$AN2428)&lt;$AO2428))),"対象月が時短期間外／","")&amp;IF(AND(INDEX(職員マスタ!$F$6:$F$405,$AN2428)&lt;&gt;"",$AO2428&lt;&gt;"",INDEX(職員マスタ!$F$6:$F$405,$AN2428)&lt;$AO2428),"対象月に子が2歳到達済／","")&amp;IF(AND($H2428&lt;&gt;"",INDEX(職員マスタ!$B$6:$B$405,$AN2428)&lt;&gt;"",SUBSTITUTE(SUBSTITUTE($H2428," ","")," ","")&lt;&gt;SUBSTITUTE(SUBSTITUTE(INDEX(職員マスタ!$B$6:$B$405,$AN2428)," ","")," ","")),"氏名がマスタと相違／","")&amp;IF(AND($Q2428&lt;&gt;"",INDEX(職員マスタ!$E$6:$E$405,$AN2428)&lt;&gt;"",$Q2428&lt;&gt;INDEX(職員マスタ!$E$6:$E$405,$AN2428)),"子の生年月日がマスタと相違／","")&amp;IF(AND($L2428&lt;&gt;"",INDEX(職員マスタ!$G$6:$G$405,$AN2428)&lt;&gt;"",$L2428&lt;&gt;INDEX(職員マスタ!$G$6:$G$405,$AN2428)),"時短開始日がマスタと相違／","")&amp;IF(AND($M2428&lt;&gt;"",INDEX(職員マスタ!$H$6:$H$405,$AN2428)&lt;&gt;"",$M2428&lt;&gt;INDEX(職員マスタ!$H$6:$H$405,$AN2428)),"時短終了日がマスタと相違／","")))&amp;IF(AND($B2428&lt;&gt;"",$E2428=""),"報酬額が未入力／","")&amp;IF(N($U2428)&gt;0,"申請書に入力エラーが残っています／","")&amp;IF(AND($B2428&lt;&gt;"",$AO2428&lt;&gt;""),IF(COUNTIFS($B$6:$B$3005,$B2428,$C$6:$C$3005,$C2428,$D$6:$D$3005,$D2428)&gt;1,"同じ月の請求が重複しています／",""),"")&amp;IF(AND(N($E2428)&gt;0,$Z2428&lt;&gt;"",$Z2428&lt;&gt;"×",$AC2428=0,$AB2428=""),"計算額が下限以下のため不支給／",""))</f>
        <v/>
      </c>
      <c r="AL2428" s="12" t="n"/>
      <c r="AM2428" s="14">
        <f>IF($AD2428="保留中",COUNTIF($AD$6:$AD2428,"保留中"),"")</f>
        <v/>
      </c>
      <c r="AN2428" s="14">
        <f>IF($AO2428="","",IF(SUMPRODUCT(MAX((職員マスタ!$A$6:$A$405=$B2428)*(((職員マスタ!$G$6:$G$405="")+(職員マスタ!$G$6:$G$405&lt;=EOMONTH($AO2428,0)))&gt;0)*(((職員マスタ!$H$6:$H$405="")+(職員マスタ!$H$6:$H$405&gt;=$AO2428))&gt;0)*(ROW(職員マスタ!$A$6:$A$405)-5)))&gt;0,SUMPRODUCT(MAX((職員マスタ!$A$6:$A$405=$B2428)*(((職員マスタ!$G$6:$G$405="")+(職員マスタ!$G$6:$G$405&lt;=EOMONTH($AO2428,0)))&gt;0)*(((職員マスタ!$H$6:$H$405="")+(職員マスタ!$H$6:$H$405&gt;=$AO2428))&gt;0)*(ROW(職員マスタ!$A$6:$A$405)-5))),IFERROR(MATCH($B2428,職員マスタ!$A$6:$A$405,0),"")))</f>
        <v/>
      </c>
      <c r="AO2428" s="16">
        <f>IF(OR($B2428="",$C2428="",$D2428=""),"",DATE($C2428+2018,$D2428,1))</f>
        <v/>
      </c>
    </row>
    <row r="2429">
      <c r="A2429" s="11" t="n"/>
      <c r="B2429" s="12" t="n"/>
      <c r="C2429" s="12" t="n"/>
      <c r="D2429" s="12" t="n"/>
      <c r="E2429" s="13" t="n"/>
      <c r="F2429" s="12" t="n"/>
      <c r="G2429" s="13" t="n"/>
      <c r="H2429" s="12" t="n"/>
      <c r="I2429" s="12" t="n"/>
      <c r="J2429" s="12" t="n"/>
      <c r="K2429" s="12" t="n"/>
      <c r="L2429" s="11" t="n"/>
      <c r="M2429" s="11" t="n"/>
      <c r="N2429" s="11" t="n"/>
      <c r="O2429" s="11" t="n"/>
      <c r="P2429" s="12" t="n"/>
      <c r="Q2429" s="11" t="n"/>
      <c r="R2429" s="12" t="n"/>
      <c r="S2429" s="11" t="n"/>
      <c r="T2429" s="12" t="n"/>
      <c r="U2429" s="12" t="n"/>
      <c r="V2429" s="14">
        <f>IF($AN2429="",IF($B2429="","",$H2429),IF(INDEX(職員マスタ!$B$6:$B$405,$AN2429)="",$H2429,INDEX(職員マスタ!$B$6:$B$405,$AN2429)))</f>
        <v/>
      </c>
      <c r="W2429" s="14">
        <f>IF($AN2429="",IF($B2429="","",$R2429),IF(INDEX(職員マスタ!$C$6:$C$405,$AN2429)="",$R2429,INDEX(職員マスタ!$C$6:$C$405,$AN2429)))</f>
        <v/>
      </c>
      <c r="X2429" s="14">
        <f>IF($AO2429="","","R"&amp;$C2429&amp;"."&amp;$D2429)</f>
        <v/>
      </c>
      <c r="Y2429" s="15">
        <f>IF($AN2429="","",IF(INDEX(職員マスタ!$K$6:$K$405,$AN2429)="","",INDEX(職員マスタ!$K$6:$K$405,$AN2429)))</f>
        <v/>
      </c>
      <c r="Z2429" s="14">
        <f>IF(OR($E2429="",$Y2429=""),"",IF($E2429&gt;=$Y2429,"×",IF($E2429&gt;=$Y2429*設定!$C$5,"△","○")))</f>
        <v/>
      </c>
      <c r="AA2429" s="15">
        <f>IF($Z2429="","",IF($Z2429="×",0,IF($Z2429="○",ROUNDDOWN($E2429*設定!$C$4,0),ROUNDDOWN($E2429*ROUND((9*$Y2429-9*$E2429)/(10*$E2429),4),0))))</f>
        <v/>
      </c>
      <c r="AB2429" s="13" t="n"/>
      <c r="AC2429" s="15">
        <f>IF($B2429="","",IF($AB2429&lt;&gt;"",$AB2429,IF($AA2429="","",IF($AA2429&lt;=設定!$C$3,0,$AA2429))))</f>
        <v/>
      </c>
      <c r="AD2429" s="14">
        <f>IF($B2429="","",IF(AND($AE2429&lt;&gt;"",$AG2429="",$AJ2429=""),"保留中",IF($AJ2429&lt;&gt;"",IF(N($AC2429)&gt;0,"支給済","不支給"),IF($AC2429="","要確認",IF($AC2429=0,"不支給","未処理")))))</f>
        <v/>
      </c>
      <c r="AE2429" s="12" t="n"/>
      <c r="AF2429" s="11" t="n"/>
      <c r="AG2429" s="11" t="n"/>
      <c r="AH2429" s="11" t="n"/>
      <c r="AI2429" s="14">
        <f>IF(AND($AD2429="保留中",$AF2429&lt;&gt;""),TODAY()-$AF2429,"")</f>
        <v/>
      </c>
      <c r="AJ2429" s="12" t="n"/>
      <c r="AK2429" s="14">
        <f>IF($B2429="","",IF($AO2429="","対象年月が未入力／","")&amp;IF($B2429="","",IF($AN2429="","職員マスタに未登録の職員番号／",IF($Y2429="","標準報酬月額が未登録／","")&amp;IF(AND($AO2429&lt;&gt;"",OR(AND(INDEX(職員マスタ!$G$6:$G$405,$AN2429)&lt;&gt;"",INDEX(職員マスタ!$G$6:$G$405,$AN2429)&gt;EOMONTH($AO2429,0)),AND(INDEX(職員マスタ!$H$6:$H$405,$AN2429)&lt;&gt;"",INDEX(職員マスタ!$H$6:$H$405,$AN2429)&lt;$AO2429))),"対象月が時短期間外／","")&amp;IF(AND(INDEX(職員マスタ!$F$6:$F$405,$AN2429)&lt;&gt;"",$AO2429&lt;&gt;"",INDEX(職員マスタ!$F$6:$F$405,$AN2429)&lt;$AO2429),"対象月に子が2歳到達済／","")&amp;IF(AND($H2429&lt;&gt;"",INDEX(職員マスタ!$B$6:$B$405,$AN2429)&lt;&gt;"",SUBSTITUTE(SUBSTITUTE($H2429," ","")," ","")&lt;&gt;SUBSTITUTE(SUBSTITUTE(INDEX(職員マスタ!$B$6:$B$405,$AN2429)," ","")," ","")),"氏名がマスタと相違／","")&amp;IF(AND($Q2429&lt;&gt;"",INDEX(職員マスタ!$E$6:$E$405,$AN2429)&lt;&gt;"",$Q2429&lt;&gt;INDEX(職員マスタ!$E$6:$E$405,$AN2429)),"子の生年月日がマスタと相違／","")&amp;IF(AND($L2429&lt;&gt;"",INDEX(職員マスタ!$G$6:$G$405,$AN2429)&lt;&gt;"",$L2429&lt;&gt;INDEX(職員マスタ!$G$6:$G$405,$AN2429)),"時短開始日がマスタと相違／","")&amp;IF(AND($M2429&lt;&gt;"",INDEX(職員マスタ!$H$6:$H$405,$AN2429)&lt;&gt;"",$M2429&lt;&gt;INDEX(職員マスタ!$H$6:$H$405,$AN2429)),"時短終了日がマスタと相違／","")))&amp;IF(AND($B2429&lt;&gt;"",$E2429=""),"報酬額が未入力／","")&amp;IF(N($U2429)&gt;0,"申請書に入力エラーが残っています／","")&amp;IF(AND($B2429&lt;&gt;"",$AO2429&lt;&gt;""),IF(COUNTIFS($B$6:$B$3005,$B2429,$C$6:$C$3005,$C2429,$D$6:$D$3005,$D2429)&gt;1,"同じ月の請求が重複しています／",""),"")&amp;IF(AND(N($E2429)&gt;0,$Z2429&lt;&gt;"",$Z2429&lt;&gt;"×",$AC2429=0,$AB2429=""),"計算額が下限以下のため不支給／",""))</f>
        <v/>
      </c>
      <c r="AL2429" s="12" t="n"/>
      <c r="AM2429" s="14">
        <f>IF($AD2429="保留中",COUNTIF($AD$6:$AD2429,"保留中"),"")</f>
        <v/>
      </c>
      <c r="AN2429" s="14">
        <f>IF($AO2429="","",IF(SUMPRODUCT(MAX((職員マスタ!$A$6:$A$405=$B2429)*(((職員マスタ!$G$6:$G$405="")+(職員マスタ!$G$6:$G$405&lt;=EOMONTH($AO2429,0)))&gt;0)*(((職員マスタ!$H$6:$H$405="")+(職員マスタ!$H$6:$H$405&gt;=$AO2429))&gt;0)*(ROW(職員マスタ!$A$6:$A$405)-5)))&gt;0,SUMPRODUCT(MAX((職員マスタ!$A$6:$A$405=$B2429)*(((職員マスタ!$G$6:$G$405="")+(職員マスタ!$G$6:$G$405&lt;=EOMONTH($AO2429,0)))&gt;0)*(((職員マスタ!$H$6:$H$405="")+(職員マスタ!$H$6:$H$405&gt;=$AO2429))&gt;0)*(ROW(職員マスタ!$A$6:$A$405)-5))),IFERROR(MATCH($B2429,職員マスタ!$A$6:$A$405,0),"")))</f>
        <v/>
      </c>
      <c r="AO2429" s="16">
        <f>IF(OR($B2429="",$C2429="",$D2429=""),"",DATE($C2429+2018,$D2429,1))</f>
        <v/>
      </c>
    </row>
    <row r="2430">
      <c r="A2430" s="11" t="n"/>
      <c r="B2430" s="12" t="n"/>
      <c r="C2430" s="12" t="n"/>
      <c r="D2430" s="12" t="n"/>
      <c r="E2430" s="13" t="n"/>
      <c r="F2430" s="12" t="n"/>
      <c r="G2430" s="13" t="n"/>
      <c r="H2430" s="12" t="n"/>
      <c r="I2430" s="12" t="n"/>
      <c r="J2430" s="12" t="n"/>
      <c r="K2430" s="12" t="n"/>
      <c r="L2430" s="11" t="n"/>
      <c r="M2430" s="11" t="n"/>
      <c r="N2430" s="11" t="n"/>
      <c r="O2430" s="11" t="n"/>
      <c r="P2430" s="12" t="n"/>
      <c r="Q2430" s="11" t="n"/>
      <c r="R2430" s="12" t="n"/>
      <c r="S2430" s="11" t="n"/>
      <c r="T2430" s="12" t="n"/>
      <c r="U2430" s="12" t="n"/>
      <c r="V2430" s="14">
        <f>IF($AN2430="",IF($B2430="","",$H2430),IF(INDEX(職員マスタ!$B$6:$B$405,$AN2430)="",$H2430,INDEX(職員マスタ!$B$6:$B$405,$AN2430)))</f>
        <v/>
      </c>
      <c r="W2430" s="14">
        <f>IF($AN2430="",IF($B2430="","",$R2430),IF(INDEX(職員マスタ!$C$6:$C$405,$AN2430)="",$R2430,INDEX(職員マスタ!$C$6:$C$405,$AN2430)))</f>
        <v/>
      </c>
      <c r="X2430" s="14">
        <f>IF($AO2430="","","R"&amp;$C2430&amp;"."&amp;$D2430)</f>
        <v/>
      </c>
      <c r="Y2430" s="15">
        <f>IF($AN2430="","",IF(INDEX(職員マスタ!$K$6:$K$405,$AN2430)="","",INDEX(職員マスタ!$K$6:$K$405,$AN2430)))</f>
        <v/>
      </c>
      <c r="Z2430" s="14">
        <f>IF(OR($E2430="",$Y2430=""),"",IF($E2430&gt;=$Y2430,"×",IF($E2430&gt;=$Y2430*設定!$C$5,"△","○")))</f>
        <v/>
      </c>
      <c r="AA2430" s="15">
        <f>IF($Z2430="","",IF($Z2430="×",0,IF($Z2430="○",ROUNDDOWN($E2430*設定!$C$4,0),ROUNDDOWN($E2430*ROUND((9*$Y2430-9*$E2430)/(10*$E2430),4),0))))</f>
        <v/>
      </c>
      <c r="AB2430" s="13" t="n"/>
      <c r="AC2430" s="15">
        <f>IF($B2430="","",IF($AB2430&lt;&gt;"",$AB2430,IF($AA2430="","",IF($AA2430&lt;=設定!$C$3,0,$AA2430))))</f>
        <v/>
      </c>
      <c r="AD2430" s="14">
        <f>IF($B2430="","",IF(AND($AE2430&lt;&gt;"",$AG2430="",$AJ2430=""),"保留中",IF($AJ2430&lt;&gt;"",IF(N($AC2430)&gt;0,"支給済","不支給"),IF($AC2430="","要確認",IF($AC2430=0,"不支給","未処理")))))</f>
        <v/>
      </c>
      <c r="AE2430" s="12" t="n"/>
      <c r="AF2430" s="11" t="n"/>
      <c r="AG2430" s="11" t="n"/>
      <c r="AH2430" s="11" t="n"/>
      <c r="AI2430" s="14">
        <f>IF(AND($AD2430="保留中",$AF2430&lt;&gt;""),TODAY()-$AF2430,"")</f>
        <v/>
      </c>
      <c r="AJ2430" s="12" t="n"/>
      <c r="AK2430" s="14">
        <f>IF($B2430="","",IF($AO2430="","対象年月が未入力／","")&amp;IF($B2430="","",IF($AN2430="","職員マスタに未登録の職員番号／",IF($Y2430="","標準報酬月額が未登録／","")&amp;IF(AND($AO2430&lt;&gt;"",OR(AND(INDEX(職員マスタ!$G$6:$G$405,$AN2430)&lt;&gt;"",INDEX(職員マスタ!$G$6:$G$405,$AN2430)&gt;EOMONTH($AO2430,0)),AND(INDEX(職員マスタ!$H$6:$H$405,$AN2430)&lt;&gt;"",INDEX(職員マスタ!$H$6:$H$405,$AN2430)&lt;$AO2430))),"対象月が時短期間外／","")&amp;IF(AND(INDEX(職員マスタ!$F$6:$F$405,$AN2430)&lt;&gt;"",$AO2430&lt;&gt;"",INDEX(職員マスタ!$F$6:$F$405,$AN2430)&lt;$AO2430),"対象月に子が2歳到達済／","")&amp;IF(AND($H2430&lt;&gt;"",INDEX(職員マスタ!$B$6:$B$405,$AN2430)&lt;&gt;"",SUBSTITUTE(SUBSTITUTE($H2430," ","")," ","")&lt;&gt;SUBSTITUTE(SUBSTITUTE(INDEX(職員マスタ!$B$6:$B$405,$AN2430)," ","")," ","")),"氏名がマスタと相違／","")&amp;IF(AND($Q2430&lt;&gt;"",INDEX(職員マスタ!$E$6:$E$405,$AN2430)&lt;&gt;"",$Q2430&lt;&gt;INDEX(職員マスタ!$E$6:$E$405,$AN2430)),"子の生年月日がマスタと相違／","")&amp;IF(AND($L2430&lt;&gt;"",INDEX(職員マスタ!$G$6:$G$405,$AN2430)&lt;&gt;"",$L2430&lt;&gt;INDEX(職員マスタ!$G$6:$G$405,$AN2430)),"時短開始日がマスタと相違／","")&amp;IF(AND($M2430&lt;&gt;"",INDEX(職員マスタ!$H$6:$H$405,$AN2430)&lt;&gt;"",$M2430&lt;&gt;INDEX(職員マスタ!$H$6:$H$405,$AN2430)),"時短終了日がマスタと相違／","")))&amp;IF(AND($B2430&lt;&gt;"",$E2430=""),"報酬額が未入力／","")&amp;IF(N($U2430)&gt;0,"申請書に入力エラーが残っています／","")&amp;IF(AND($B2430&lt;&gt;"",$AO2430&lt;&gt;""),IF(COUNTIFS($B$6:$B$3005,$B2430,$C$6:$C$3005,$C2430,$D$6:$D$3005,$D2430)&gt;1,"同じ月の請求が重複しています／",""),"")&amp;IF(AND(N($E2430)&gt;0,$Z2430&lt;&gt;"",$Z2430&lt;&gt;"×",$AC2430=0,$AB2430=""),"計算額が下限以下のため不支給／",""))</f>
        <v/>
      </c>
      <c r="AL2430" s="12" t="n"/>
      <c r="AM2430" s="14">
        <f>IF($AD2430="保留中",COUNTIF($AD$6:$AD2430,"保留中"),"")</f>
        <v/>
      </c>
      <c r="AN2430" s="14">
        <f>IF($AO2430="","",IF(SUMPRODUCT(MAX((職員マスタ!$A$6:$A$405=$B2430)*(((職員マスタ!$G$6:$G$405="")+(職員マスタ!$G$6:$G$405&lt;=EOMONTH($AO2430,0)))&gt;0)*(((職員マスタ!$H$6:$H$405="")+(職員マスタ!$H$6:$H$405&gt;=$AO2430))&gt;0)*(ROW(職員マスタ!$A$6:$A$405)-5)))&gt;0,SUMPRODUCT(MAX((職員マスタ!$A$6:$A$405=$B2430)*(((職員マスタ!$G$6:$G$405="")+(職員マスタ!$G$6:$G$405&lt;=EOMONTH($AO2430,0)))&gt;0)*(((職員マスタ!$H$6:$H$405="")+(職員マスタ!$H$6:$H$405&gt;=$AO2430))&gt;0)*(ROW(職員マスタ!$A$6:$A$405)-5))),IFERROR(MATCH($B2430,職員マスタ!$A$6:$A$405,0),"")))</f>
        <v/>
      </c>
      <c r="AO2430" s="16">
        <f>IF(OR($B2430="",$C2430="",$D2430=""),"",DATE($C2430+2018,$D2430,1))</f>
        <v/>
      </c>
    </row>
    <row r="2431">
      <c r="A2431" s="11" t="n"/>
      <c r="B2431" s="12" t="n"/>
      <c r="C2431" s="12" t="n"/>
      <c r="D2431" s="12" t="n"/>
      <c r="E2431" s="13" t="n"/>
      <c r="F2431" s="12" t="n"/>
      <c r="G2431" s="13" t="n"/>
      <c r="H2431" s="12" t="n"/>
      <c r="I2431" s="12" t="n"/>
      <c r="J2431" s="12" t="n"/>
      <c r="K2431" s="12" t="n"/>
      <c r="L2431" s="11" t="n"/>
      <c r="M2431" s="11" t="n"/>
      <c r="N2431" s="11" t="n"/>
      <c r="O2431" s="11" t="n"/>
      <c r="P2431" s="12" t="n"/>
      <c r="Q2431" s="11" t="n"/>
      <c r="R2431" s="12" t="n"/>
      <c r="S2431" s="11" t="n"/>
      <c r="T2431" s="12" t="n"/>
      <c r="U2431" s="12" t="n"/>
      <c r="V2431" s="14">
        <f>IF($AN2431="",IF($B2431="","",$H2431),IF(INDEX(職員マスタ!$B$6:$B$405,$AN2431)="",$H2431,INDEX(職員マスタ!$B$6:$B$405,$AN2431)))</f>
        <v/>
      </c>
      <c r="W2431" s="14">
        <f>IF($AN2431="",IF($B2431="","",$R2431),IF(INDEX(職員マスタ!$C$6:$C$405,$AN2431)="",$R2431,INDEX(職員マスタ!$C$6:$C$405,$AN2431)))</f>
        <v/>
      </c>
      <c r="X2431" s="14">
        <f>IF($AO2431="","","R"&amp;$C2431&amp;"."&amp;$D2431)</f>
        <v/>
      </c>
      <c r="Y2431" s="15">
        <f>IF($AN2431="","",IF(INDEX(職員マスタ!$K$6:$K$405,$AN2431)="","",INDEX(職員マスタ!$K$6:$K$405,$AN2431)))</f>
        <v/>
      </c>
      <c r="Z2431" s="14">
        <f>IF(OR($E2431="",$Y2431=""),"",IF($E2431&gt;=$Y2431,"×",IF($E2431&gt;=$Y2431*設定!$C$5,"△","○")))</f>
        <v/>
      </c>
      <c r="AA2431" s="15">
        <f>IF($Z2431="","",IF($Z2431="×",0,IF($Z2431="○",ROUNDDOWN($E2431*設定!$C$4,0),ROUNDDOWN($E2431*ROUND((9*$Y2431-9*$E2431)/(10*$E2431),4),0))))</f>
        <v/>
      </c>
      <c r="AB2431" s="13" t="n"/>
      <c r="AC2431" s="15">
        <f>IF($B2431="","",IF($AB2431&lt;&gt;"",$AB2431,IF($AA2431="","",IF($AA2431&lt;=設定!$C$3,0,$AA2431))))</f>
        <v/>
      </c>
      <c r="AD2431" s="14">
        <f>IF($B2431="","",IF(AND($AE2431&lt;&gt;"",$AG2431="",$AJ2431=""),"保留中",IF($AJ2431&lt;&gt;"",IF(N($AC2431)&gt;0,"支給済","不支給"),IF($AC2431="","要確認",IF($AC2431=0,"不支給","未処理")))))</f>
        <v/>
      </c>
      <c r="AE2431" s="12" t="n"/>
      <c r="AF2431" s="11" t="n"/>
      <c r="AG2431" s="11" t="n"/>
      <c r="AH2431" s="11" t="n"/>
      <c r="AI2431" s="14">
        <f>IF(AND($AD2431="保留中",$AF2431&lt;&gt;""),TODAY()-$AF2431,"")</f>
        <v/>
      </c>
      <c r="AJ2431" s="12" t="n"/>
      <c r="AK2431" s="14">
        <f>IF($B2431="","",IF($AO2431="","対象年月が未入力／","")&amp;IF($B2431="","",IF($AN2431="","職員マスタに未登録の職員番号／",IF($Y2431="","標準報酬月額が未登録／","")&amp;IF(AND($AO2431&lt;&gt;"",OR(AND(INDEX(職員マスタ!$G$6:$G$405,$AN2431)&lt;&gt;"",INDEX(職員マスタ!$G$6:$G$405,$AN2431)&gt;EOMONTH($AO2431,0)),AND(INDEX(職員マスタ!$H$6:$H$405,$AN2431)&lt;&gt;"",INDEX(職員マスタ!$H$6:$H$405,$AN2431)&lt;$AO2431))),"対象月が時短期間外／","")&amp;IF(AND(INDEX(職員マスタ!$F$6:$F$405,$AN2431)&lt;&gt;"",$AO2431&lt;&gt;"",INDEX(職員マスタ!$F$6:$F$405,$AN2431)&lt;$AO2431),"対象月に子が2歳到達済／","")&amp;IF(AND($H2431&lt;&gt;"",INDEX(職員マスタ!$B$6:$B$405,$AN2431)&lt;&gt;"",SUBSTITUTE(SUBSTITUTE($H2431," ","")," ","")&lt;&gt;SUBSTITUTE(SUBSTITUTE(INDEX(職員マスタ!$B$6:$B$405,$AN2431)," ","")," ","")),"氏名がマスタと相違／","")&amp;IF(AND($Q2431&lt;&gt;"",INDEX(職員マスタ!$E$6:$E$405,$AN2431)&lt;&gt;"",$Q2431&lt;&gt;INDEX(職員マスタ!$E$6:$E$405,$AN2431)),"子の生年月日がマスタと相違／","")&amp;IF(AND($L2431&lt;&gt;"",INDEX(職員マスタ!$G$6:$G$405,$AN2431)&lt;&gt;"",$L2431&lt;&gt;INDEX(職員マスタ!$G$6:$G$405,$AN2431)),"時短開始日がマスタと相違／","")&amp;IF(AND($M2431&lt;&gt;"",INDEX(職員マスタ!$H$6:$H$405,$AN2431)&lt;&gt;"",$M2431&lt;&gt;INDEX(職員マスタ!$H$6:$H$405,$AN2431)),"時短終了日がマスタと相違／","")))&amp;IF(AND($B2431&lt;&gt;"",$E2431=""),"報酬額が未入力／","")&amp;IF(N($U2431)&gt;0,"申請書に入力エラーが残っています／","")&amp;IF(AND($B2431&lt;&gt;"",$AO2431&lt;&gt;""),IF(COUNTIFS($B$6:$B$3005,$B2431,$C$6:$C$3005,$C2431,$D$6:$D$3005,$D2431)&gt;1,"同じ月の請求が重複しています／",""),"")&amp;IF(AND(N($E2431)&gt;0,$Z2431&lt;&gt;"",$Z2431&lt;&gt;"×",$AC2431=0,$AB2431=""),"計算額が下限以下のため不支給／",""))</f>
        <v/>
      </c>
      <c r="AL2431" s="12" t="n"/>
      <c r="AM2431" s="14">
        <f>IF($AD2431="保留中",COUNTIF($AD$6:$AD2431,"保留中"),"")</f>
        <v/>
      </c>
      <c r="AN2431" s="14">
        <f>IF($AO2431="","",IF(SUMPRODUCT(MAX((職員マスタ!$A$6:$A$405=$B2431)*(((職員マスタ!$G$6:$G$405="")+(職員マスタ!$G$6:$G$405&lt;=EOMONTH($AO2431,0)))&gt;0)*(((職員マスタ!$H$6:$H$405="")+(職員マスタ!$H$6:$H$405&gt;=$AO2431))&gt;0)*(ROW(職員マスタ!$A$6:$A$405)-5)))&gt;0,SUMPRODUCT(MAX((職員マスタ!$A$6:$A$405=$B2431)*(((職員マスタ!$G$6:$G$405="")+(職員マスタ!$G$6:$G$405&lt;=EOMONTH($AO2431,0)))&gt;0)*(((職員マスタ!$H$6:$H$405="")+(職員マスタ!$H$6:$H$405&gt;=$AO2431))&gt;0)*(ROW(職員マスタ!$A$6:$A$405)-5))),IFERROR(MATCH($B2431,職員マスタ!$A$6:$A$405,0),"")))</f>
        <v/>
      </c>
      <c r="AO2431" s="16">
        <f>IF(OR($B2431="",$C2431="",$D2431=""),"",DATE($C2431+2018,$D2431,1))</f>
        <v/>
      </c>
    </row>
    <row r="2432">
      <c r="A2432" s="11" t="n"/>
      <c r="B2432" s="12" t="n"/>
      <c r="C2432" s="12" t="n"/>
      <c r="D2432" s="12" t="n"/>
      <c r="E2432" s="13" t="n"/>
      <c r="F2432" s="12" t="n"/>
      <c r="G2432" s="13" t="n"/>
      <c r="H2432" s="12" t="n"/>
      <c r="I2432" s="12" t="n"/>
      <c r="J2432" s="12" t="n"/>
      <c r="K2432" s="12" t="n"/>
      <c r="L2432" s="11" t="n"/>
      <c r="M2432" s="11" t="n"/>
      <c r="N2432" s="11" t="n"/>
      <c r="O2432" s="11" t="n"/>
      <c r="P2432" s="12" t="n"/>
      <c r="Q2432" s="11" t="n"/>
      <c r="R2432" s="12" t="n"/>
      <c r="S2432" s="11" t="n"/>
      <c r="T2432" s="12" t="n"/>
      <c r="U2432" s="12" t="n"/>
      <c r="V2432" s="14">
        <f>IF($AN2432="",IF($B2432="","",$H2432),IF(INDEX(職員マスタ!$B$6:$B$405,$AN2432)="",$H2432,INDEX(職員マスタ!$B$6:$B$405,$AN2432)))</f>
        <v/>
      </c>
      <c r="W2432" s="14">
        <f>IF($AN2432="",IF($B2432="","",$R2432),IF(INDEX(職員マスタ!$C$6:$C$405,$AN2432)="",$R2432,INDEX(職員マスタ!$C$6:$C$405,$AN2432)))</f>
        <v/>
      </c>
      <c r="X2432" s="14">
        <f>IF($AO2432="","","R"&amp;$C2432&amp;"."&amp;$D2432)</f>
        <v/>
      </c>
      <c r="Y2432" s="15">
        <f>IF($AN2432="","",IF(INDEX(職員マスタ!$K$6:$K$405,$AN2432)="","",INDEX(職員マスタ!$K$6:$K$405,$AN2432)))</f>
        <v/>
      </c>
      <c r="Z2432" s="14">
        <f>IF(OR($E2432="",$Y2432=""),"",IF($E2432&gt;=$Y2432,"×",IF($E2432&gt;=$Y2432*設定!$C$5,"△","○")))</f>
        <v/>
      </c>
      <c r="AA2432" s="15">
        <f>IF($Z2432="","",IF($Z2432="×",0,IF($Z2432="○",ROUNDDOWN($E2432*設定!$C$4,0),ROUNDDOWN($E2432*ROUND((9*$Y2432-9*$E2432)/(10*$E2432),4),0))))</f>
        <v/>
      </c>
      <c r="AB2432" s="13" t="n"/>
      <c r="AC2432" s="15">
        <f>IF($B2432="","",IF($AB2432&lt;&gt;"",$AB2432,IF($AA2432="","",IF($AA2432&lt;=設定!$C$3,0,$AA2432))))</f>
        <v/>
      </c>
      <c r="AD2432" s="14">
        <f>IF($B2432="","",IF(AND($AE2432&lt;&gt;"",$AG2432="",$AJ2432=""),"保留中",IF($AJ2432&lt;&gt;"",IF(N($AC2432)&gt;0,"支給済","不支給"),IF($AC2432="","要確認",IF($AC2432=0,"不支給","未処理")))))</f>
        <v/>
      </c>
      <c r="AE2432" s="12" t="n"/>
      <c r="AF2432" s="11" t="n"/>
      <c r="AG2432" s="11" t="n"/>
      <c r="AH2432" s="11" t="n"/>
      <c r="AI2432" s="14">
        <f>IF(AND($AD2432="保留中",$AF2432&lt;&gt;""),TODAY()-$AF2432,"")</f>
        <v/>
      </c>
      <c r="AJ2432" s="12" t="n"/>
      <c r="AK2432" s="14">
        <f>IF($B2432="","",IF($AO2432="","対象年月が未入力／","")&amp;IF($B2432="","",IF($AN2432="","職員マスタに未登録の職員番号／",IF($Y2432="","標準報酬月額が未登録／","")&amp;IF(AND($AO2432&lt;&gt;"",OR(AND(INDEX(職員マスタ!$G$6:$G$405,$AN2432)&lt;&gt;"",INDEX(職員マスタ!$G$6:$G$405,$AN2432)&gt;EOMONTH($AO2432,0)),AND(INDEX(職員マスタ!$H$6:$H$405,$AN2432)&lt;&gt;"",INDEX(職員マスタ!$H$6:$H$405,$AN2432)&lt;$AO2432))),"対象月が時短期間外／","")&amp;IF(AND(INDEX(職員マスタ!$F$6:$F$405,$AN2432)&lt;&gt;"",$AO2432&lt;&gt;"",INDEX(職員マスタ!$F$6:$F$405,$AN2432)&lt;$AO2432),"対象月に子が2歳到達済／","")&amp;IF(AND($H2432&lt;&gt;"",INDEX(職員マスタ!$B$6:$B$405,$AN2432)&lt;&gt;"",SUBSTITUTE(SUBSTITUTE($H2432," ","")," ","")&lt;&gt;SUBSTITUTE(SUBSTITUTE(INDEX(職員マスタ!$B$6:$B$405,$AN2432)," ","")," ","")),"氏名がマスタと相違／","")&amp;IF(AND($Q2432&lt;&gt;"",INDEX(職員マスタ!$E$6:$E$405,$AN2432)&lt;&gt;"",$Q2432&lt;&gt;INDEX(職員マスタ!$E$6:$E$405,$AN2432)),"子の生年月日がマスタと相違／","")&amp;IF(AND($L2432&lt;&gt;"",INDEX(職員マスタ!$G$6:$G$405,$AN2432)&lt;&gt;"",$L2432&lt;&gt;INDEX(職員マスタ!$G$6:$G$405,$AN2432)),"時短開始日がマスタと相違／","")&amp;IF(AND($M2432&lt;&gt;"",INDEX(職員マスタ!$H$6:$H$405,$AN2432)&lt;&gt;"",$M2432&lt;&gt;INDEX(職員マスタ!$H$6:$H$405,$AN2432)),"時短終了日がマスタと相違／","")))&amp;IF(AND($B2432&lt;&gt;"",$E2432=""),"報酬額が未入力／","")&amp;IF(N($U2432)&gt;0,"申請書に入力エラーが残っています／","")&amp;IF(AND($B2432&lt;&gt;"",$AO2432&lt;&gt;""),IF(COUNTIFS($B$6:$B$3005,$B2432,$C$6:$C$3005,$C2432,$D$6:$D$3005,$D2432)&gt;1,"同じ月の請求が重複しています／",""),"")&amp;IF(AND(N($E2432)&gt;0,$Z2432&lt;&gt;"",$Z2432&lt;&gt;"×",$AC2432=0,$AB2432=""),"計算額が下限以下のため不支給／",""))</f>
        <v/>
      </c>
      <c r="AL2432" s="12" t="n"/>
      <c r="AM2432" s="14">
        <f>IF($AD2432="保留中",COUNTIF($AD$6:$AD2432,"保留中"),"")</f>
        <v/>
      </c>
      <c r="AN2432" s="14">
        <f>IF($AO2432="","",IF(SUMPRODUCT(MAX((職員マスタ!$A$6:$A$405=$B2432)*(((職員マスタ!$G$6:$G$405="")+(職員マスタ!$G$6:$G$405&lt;=EOMONTH($AO2432,0)))&gt;0)*(((職員マスタ!$H$6:$H$405="")+(職員マスタ!$H$6:$H$405&gt;=$AO2432))&gt;0)*(ROW(職員マスタ!$A$6:$A$405)-5)))&gt;0,SUMPRODUCT(MAX((職員マスタ!$A$6:$A$405=$B2432)*(((職員マスタ!$G$6:$G$405="")+(職員マスタ!$G$6:$G$405&lt;=EOMONTH($AO2432,0)))&gt;0)*(((職員マスタ!$H$6:$H$405="")+(職員マスタ!$H$6:$H$405&gt;=$AO2432))&gt;0)*(ROW(職員マスタ!$A$6:$A$405)-5))),IFERROR(MATCH($B2432,職員マスタ!$A$6:$A$405,0),"")))</f>
        <v/>
      </c>
      <c r="AO2432" s="16">
        <f>IF(OR($B2432="",$C2432="",$D2432=""),"",DATE($C2432+2018,$D2432,1))</f>
        <v/>
      </c>
    </row>
    <row r="2433">
      <c r="A2433" s="11" t="n"/>
      <c r="B2433" s="12" t="n"/>
      <c r="C2433" s="12" t="n"/>
      <c r="D2433" s="12" t="n"/>
      <c r="E2433" s="13" t="n"/>
      <c r="F2433" s="12" t="n"/>
      <c r="G2433" s="13" t="n"/>
      <c r="H2433" s="12" t="n"/>
      <c r="I2433" s="12" t="n"/>
      <c r="J2433" s="12" t="n"/>
      <c r="K2433" s="12" t="n"/>
      <c r="L2433" s="11" t="n"/>
      <c r="M2433" s="11" t="n"/>
      <c r="N2433" s="11" t="n"/>
      <c r="O2433" s="11" t="n"/>
      <c r="P2433" s="12" t="n"/>
      <c r="Q2433" s="11" t="n"/>
      <c r="R2433" s="12" t="n"/>
      <c r="S2433" s="11" t="n"/>
      <c r="T2433" s="12" t="n"/>
      <c r="U2433" s="12" t="n"/>
      <c r="V2433" s="14">
        <f>IF($AN2433="",IF($B2433="","",$H2433),IF(INDEX(職員マスタ!$B$6:$B$405,$AN2433)="",$H2433,INDEX(職員マスタ!$B$6:$B$405,$AN2433)))</f>
        <v/>
      </c>
      <c r="W2433" s="14">
        <f>IF($AN2433="",IF($B2433="","",$R2433),IF(INDEX(職員マスタ!$C$6:$C$405,$AN2433)="",$R2433,INDEX(職員マスタ!$C$6:$C$405,$AN2433)))</f>
        <v/>
      </c>
      <c r="X2433" s="14">
        <f>IF($AO2433="","","R"&amp;$C2433&amp;"."&amp;$D2433)</f>
        <v/>
      </c>
      <c r="Y2433" s="15">
        <f>IF($AN2433="","",IF(INDEX(職員マスタ!$K$6:$K$405,$AN2433)="","",INDEX(職員マスタ!$K$6:$K$405,$AN2433)))</f>
        <v/>
      </c>
      <c r="Z2433" s="14">
        <f>IF(OR($E2433="",$Y2433=""),"",IF($E2433&gt;=$Y2433,"×",IF($E2433&gt;=$Y2433*設定!$C$5,"△","○")))</f>
        <v/>
      </c>
      <c r="AA2433" s="15">
        <f>IF($Z2433="","",IF($Z2433="×",0,IF($Z2433="○",ROUNDDOWN($E2433*設定!$C$4,0),ROUNDDOWN($E2433*ROUND((9*$Y2433-9*$E2433)/(10*$E2433),4),0))))</f>
        <v/>
      </c>
      <c r="AB2433" s="13" t="n"/>
      <c r="AC2433" s="15">
        <f>IF($B2433="","",IF($AB2433&lt;&gt;"",$AB2433,IF($AA2433="","",IF($AA2433&lt;=設定!$C$3,0,$AA2433))))</f>
        <v/>
      </c>
      <c r="AD2433" s="14">
        <f>IF($B2433="","",IF(AND($AE2433&lt;&gt;"",$AG2433="",$AJ2433=""),"保留中",IF($AJ2433&lt;&gt;"",IF(N($AC2433)&gt;0,"支給済","不支給"),IF($AC2433="","要確認",IF($AC2433=0,"不支給","未処理")))))</f>
        <v/>
      </c>
      <c r="AE2433" s="12" t="n"/>
      <c r="AF2433" s="11" t="n"/>
      <c r="AG2433" s="11" t="n"/>
      <c r="AH2433" s="11" t="n"/>
      <c r="AI2433" s="14">
        <f>IF(AND($AD2433="保留中",$AF2433&lt;&gt;""),TODAY()-$AF2433,"")</f>
        <v/>
      </c>
      <c r="AJ2433" s="12" t="n"/>
      <c r="AK2433" s="14">
        <f>IF($B2433="","",IF($AO2433="","対象年月が未入力／","")&amp;IF($B2433="","",IF($AN2433="","職員マスタに未登録の職員番号／",IF($Y2433="","標準報酬月額が未登録／","")&amp;IF(AND($AO2433&lt;&gt;"",OR(AND(INDEX(職員マスタ!$G$6:$G$405,$AN2433)&lt;&gt;"",INDEX(職員マスタ!$G$6:$G$405,$AN2433)&gt;EOMONTH($AO2433,0)),AND(INDEX(職員マスタ!$H$6:$H$405,$AN2433)&lt;&gt;"",INDEX(職員マスタ!$H$6:$H$405,$AN2433)&lt;$AO2433))),"対象月が時短期間外／","")&amp;IF(AND(INDEX(職員マスタ!$F$6:$F$405,$AN2433)&lt;&gt;"",$AO2433&lt;&gt;"",INDEX(職員マスタ!$F$6:$F$405,$AN2433)&lt;$AO2433),"対象月に子が2歳到達済／","")&amp;IF(AND($H2433&lt;&gt;"",INDEX(職員マスタ!$B$6:$B$405,$AN2433)&lt;&gt;"",SUBSTITUTE(SUBSTITUTE($H2433," ","")," ","")&lt;&gt;SUBSTITUTE(SUBSTITUTE(INDEX(職員マスタ!$B$6:$B$405,$AN2433)," ","")," ","")),"氏名がマスタと相違／","")&amp;IF(AND($Q2433&lt;&gt;"",INDEX(職員マスタ!$E$6:$E$405,$AN2433)&lt;&gt;"",$Q2433&lt;&gt;INDEX(職員マスタ!$E$6:$E$405,$AN2433)),"子の生年月日がマスタと相違／","")&amp;IF(AND($L2433&lt;&gt;"",INDEX(職員マスタ!$G$6:$G$405,$AN2433)&lt;&gt;"",$L2433&lt;&gt;INDEX(職員マスタ!$G$6:$G$405,$AN2433)),"時短開始日がマスタと相違／","")&amp;IF(AND($M2433&lt;&gt;"",INDEX(職員マスタ!$H$6:$H$405,$AN2433)&lt;&gt;"",$M2433&lt;&gt;INDEX(職員マスタ!$H$6:$H$405,$AN2433)),"時短終了日がマスタと相違／","")))&amp;IF(AND($B2433&lt;&gt;"",$E2433=""),"報酬額が未入力／","")&amp;IF(N($U2433)&gt;0,"申請書に入力エラーが残っています／","")&amp;IF(AND($B2433&lt;&gt;"",$AO2433&lt;&gt;""),IF(COUNTIFS($B$6:$B$3005,$B2433,$C$6:$C$3005,$C2433,$D$6:$D$3005,$D2433)&gt;1,"同じ月の請求が重複しています／",""),"")&amp;IF(AND(N($E2433)&gt;0,$Z2433&lt;&gt;"",$Z2433&lt;&gt;"×",$AC2433=0,$AB2433=""),"計算額が下限以下のため不支給／",""))</f>
        <v/>
      </c>
      <c r="AL2433" s="12" t="n"/>
      <c r="AM2433" s="14">
        <f>IF($AD2433="保留中",COUNTIF($AD$6:$AD2433,"保留中"),"")</f>
        <v/>
      </c>
      <c r="AN2433" s="14">
        <f>IF($AO2433="","",IF(SUMPRODUCT(MAX((職員マスタ!$A$6:$A$405=$B2433)*(((職員マスタ!$G$6:$G$405="")+(職員マスタ!$G$6:$G$405&lt;=EOMONTH($AO2433,0)))&gt;0)*(((職員マスタ!$H$6:$H$405="")+(職員マスタ!$H$6:$H$405&gt;=$AO2433))&gt;0)*(ROW(職員マスタ!$A$6:$A$405)-5)))&gt;0,SUMPRODUCT(MAX((職員マスタ!$A$6:$A$405=$B2433)*(((職員マスタ!$G$6:$G$405="")+(職員マスタ!$G$6:$G$405&lt;=EOMONTH($AO2433,0)))&gt;0)*(((職員マスタ!$H$6:$H$405="")+(職員マスタ!$H$6:$H$405&gt;=$AO2433))&gt;0)*(ROW(職員マスタ!$A$6:$A$405)-5))),IFERROR(MATCH($B2433,職員マスタ!$A$6:$A$405,0),"")))</f>
        <v/>
      </c>
      <c r="AO2433" s="16">
        <f>IF(OR($B2433="",$C2433="",$D2433=""),"",DATE($C2433+2018,$D2433,1))</f>
        <v/>
      </c>
    </row>
    <row r="2434">
      <c r="A2434" s="11" t="n"/>
      <c r="B2434" s="12" t="n"/>
      <c r="C2434" s="12" t="n"/>
      <c r="D2434" s="12" t="n"/>
      <c r="E2434" s="13" t="n"/>
      <c r="F2434" s="12" t="n"/>
      <c r="G2434" s="13" t="n"/>
      <c r="H2434" s="12" t="n"/>
      <c r="I2434" s="12" t="n"/>
      <c r="J2434" s="12" t="n"/>
      <c r="K2434" s="12" t="n"/>
      <c r="L2434" s="11" t="n"/>
      <c r="M2434" s="11" t="n"/>
      <c r="N2434" s="11" t="n"/>
      <c r="O2434" s="11" t="n"/>
      <c r="P2434" s="12" t="n"/>
      <c r="Q2434" s="11" t="n"/>
      <c r="R2434" s="12" t="n"/>
      <c r="S2434" s="11" t="n"/>
      <c r="T2434" s="12" t="n"/>
      <c r="U2434" s="12" t="n"/>
      <c r="V2434" s="14">
        <f>IF($AN2434="",IF($B2434="","",$H2434),IF(INDEX(職員マスタ!$B$6:$B$405,$AN2434)="",$H2434,INDEX(職員マスタ!$B$6:$B$405,$AN2434)))</f>
        <v/>
      </c>
      <c r="W2434" s="14">
        <f>IF($AN2434="",IF($B2434="","",$R2434),IF(INDEX(職員マスタ!$C$6:$C$405,$AN2434)="",$R2434,INDEX(職員マスタ!$C$6:$C$405,$AN2434)))</f>
        <v/>
      </c>
      <c r="X2434" s="14">
        <f>IF($AO2434="","","R"&amp;$C2434&amp;"."&amp;$D2434)</f>
        <v/>
      </c>
      <c r="Y2434" s="15">
        <f>IF($AN2434="","",IF(INDEX(職員マスタ!$K$6:$K$405,$AN2434)="","",INDEX(職員マスタ!$K$6:$K$405,$AN2434)))</f>
        <v/>
      </c>
      <c r="Z2434" s="14">
        <f>IF(OR($E2434="",$Y2434=""),"",IF($E2434&gt;=$Y2434,"×",IF($E2434&gt;=$Y2434*設定!$C$5,"△","○")))</f>
        <v/>
      </c>
      <c r="AA2434" s="15">
        <f>IF($Z2434="","",IF($Z2434="×",0,IF($Z2434="○",ROUNDDOWN($E2434*設定!$C$4,0),ROUNDDOWN($E2434*ROUND((9*$Y2434-9*$E2434)/(10*$E2434),4),0))))</f>
        <v/>
      </c>
      <c r="AB2434" s="13" t="n"/>
      <c r="AC2434" s="15">
        <f>IF($B2434="","",IF($AB2434&lt;&gt;"",$AB2434,IF($AA2434="","",IF($AA2434&lt;=設定!$C$3,0,$AA2434))))</f>
        <v/>
      </c>
      <c r="AD2434" s="14">
        <f>IF($B2434="","",IF(AND($AE2434&lt;&gt;"",$AG2434="",$AJ2434=""),"保留中",IF($AJ2434&lt;&gt;"",IF(N($AC2434)&gt;0,"支給済","不支給"),IF($AC2434="","要確認",IF($AC2434=0,"不支給","未処理")))))</f>
        <v/>
      </c>
      <c r="AE2434" s="12" t="n"/>
      <c r="AF2434" s="11" t="n"/>
      <c r="AG2434" s="11" t="n"/>
      <c r="AH2434" s="11" t="n"/>
      <c r="AI2434" s="14">
        <f>IF(AND($AD2434="保留中",$AF2434&lt;&gt;""),TODAY()-$AF2434,"")</f>
        <v/>
      </c>
      <c r="AJ2434" s="12" t="n"/>
      <c r="AK2434" s="14">
        <f>IF($B2434="","",IF($AO2434="","対象年月が未入力／","")&amp;IF($B2434="","",IF($AN2434="","職員マスタに未登録の職員番号／",IF($Y2434="","標準報酬月額が未登録／","")&amp;IF(AND($AO2434&lt;&gt;"",OR(AND(INDEX(職員マスタ!$G$6:$G$405,$AN2434)&lt;&gt;"",INDEX(職員マスタ!$G$6:$G$405,$AN2434)&gt;EOMONTH($AO2434,0)),AND(INDEX(職員マスタ!$H$6:$H$405,$AN2434)&lt;&gt;"",INDEX(職員マスタ!$H$6:$H$405,$AN2434)&lt;$AO2434))),"対象月が時短期間外／","")&amp;IF(AND(INDEX(職員マスタ!$F$6:$F$405,$AN2434)&lt;&gt;"",$AO2434&lt;&gt;"",INDEX(職員マスタ!$F$6:$F$405,$AN2434)&lt;$AO2434),"対象月に子が2歳到達済／","")&amp;IF(AND($H2434&lt;&gt;"",INDEX(職員マスタ!$B$6:$B$405,$AN2434)&lt;&gt;"",SUBSTITUTE(SUBSTITUTE($H2434," ","")," ","")&lt;&gt;SUBSTITUTE(SUBSTITUTE(INDEX(職員マスタ!$B$6:$B$405,$AN2434)," ","")," ","")),"氏名がマスタと相違／","")&amp;IF(AND($Q2434&lt;&gt;"",INDEX(職員マスタ!$E$6:$E$405,$AN2434)&lt;&gt;"",$Q2434&lt;&gt;INDEX(職員マスタ!$E$6:$E$405,$AN2434)),"子の生年月日がマスタと相違／","")&amp;IF(AND($L2434&lt;&gt;"",INDEX(職員マスタ!$G$6:$G$405,$AN2434)&lt;&gt;"",$L2434&lt;&gt;INDEX(職員マスタ!$G$6:$G$405,$AN2434)),"時短開始日がマスタと相違／","")&amp;IF(AND($M2434&lt;&gt;"",INDEX(職員マスタ!$H$6:$H$405,$AN2434)&lt;&gt;"",$M2434&lt;&gt;INDEX(職員マスタ!$H$6:$H$405,$AN2434)),"時短終了日がマスタと相違／","")))&amp;IF(AND($B2434&lt;&gt;"",$E2434=""),"報酬額が未入力／","")&amp;IF(N($U2434)&gt;0,"申請書に入力エラーが残っています／","")&amp;IF(AND($B2434&lt;&gt;"",$AO2434&lt;&gt;""),IF(COUNTIFS($B$6:$B$3005,$B2434,$C$6:$C$3005,$C2434,$D$6:$D$3005,$D2434)&gt;1,"同じ月の請求が重複しています／",""),"")&amp;IF(AND(N($E2434)&gt;0,$Z2434&lt;&gt;"",$Z2434&lt;&gt;"×",$AC2434=0,$AB2434=""),"計算額が下限以下のため不支給／",""))</f>
        <v/>
      </c>
      <c r="AL2434" s="12" t="n"/>
      <c r="AM2434" s="14">
        <f>IF($AD2434="保留中",COUNTIF($AD$6:$AD2434,"保留中"),"")</f>
        <v/>
      </c>
      <c r="AN2434" s="14">
        <f>IF($AO2434="","",IF(SUMPRODUCT(MAX((職員マスタ!$A$6:$A$405=$B2434)*(((職員マスタ!$G$6:$G$405="")+(職員マスタ!$G$6:$G$405&lt;=EOMONTH($AO2434,0)))&gt;0)*(((職員マスタ!$H$6:$H$405="")+(職員マスタ!$H$6:$H$405&gt;=$AO2434))&gt;0)*(ROW(職員マスタ!$A$6:$A$405)-5)))&gt;0,SUMPRODUCT(MAX((職員マスタ!$A$6:$A$405=$B2434)*(((職員マスタ!$G$6:$G$405="")+(職員マスタ!$G$6:$G$405&lt;=EOMONTH($AO2434,0)))&gt;0)*(((職員マスタ!$H$6:$H$405="")+(職員マスタ!$H$6:$H$405&gt;=$AO2434))&gt;0)*(ROW(職員マスタ!$A$6:$A$405)-5))),IFERROR(MATCH($B2434,職員マスタ!$A$6:$A$405,0),"")))</f>
        <v/>
      </c>
      <c r="AO2434" s="16">
        <f>IF(OR($B2434="",$C2434="",$D2434=""),"",DATE($C2434+2018,$D2434,1))</f>
        <v/>
      </c>
    </row>
    <row r="2435">
      <c r="A2435" s="11" t="n"/>
      <c r="B2435" s="12" t="n"/>
      <c r="C2435" s="12" t="n"/>
      <c r="D2435" s="12" t="n"/>
      <c r="E2435" s="13" t="n"/>
      <c r="F2435" s="12" t="n"/>
      <c r="G2435" s="13" t="n"/>
      <c r="H2435" s="12" t="n"/>
      <c r="I2435" s="12" t="n"/>
      <c r="J2435" s="12" t="n"/>
      <c r="K2435" s="12" t="n"/>
      <c r="L2435" s="11" t="n"/>
      <c r="M2435" s="11" t="n"/>
      <c r="N2435" s="11" t="n"/>
      <c r="O2435" s="11" t="n"/>
      <c r="P2435" s="12" t="n"/>
      <c r="Q2435" s="11" t="n"/>
      <c r="R2435" s="12" t="n"/>
      <c r="S2435" s="11" t="n"/>
      <c r="T2435" s="12" t="n"/>
      <c r="U2435" s="12" t="n"/>
      <c r="V2435" s="14">
        <f>IF($AN2435="",IF($B2435="","",$H2435),IF(INDEX(職員マスタ!$B$6:$B$405,$AN2435)="",$H2435,INDEX(職員マスタ!$B$6:$B$405,$AN2435)))</f>
        <v/>
      </c>
      <c r="W2435" s="14">
        <f>IF($AN2435="",IF($B2435="","",$R2435),IF(INDEX(職員マスタ!$C$6:$C$405,$AN2435)="",$R2435,INDEX(職員マスタ!$C$6:$C$405,$AN2435)))</f>
        <v/>
      </c>
      <c r="X2435" s="14">
        <f>IF($AO2435="","","R"&amp;$C2435&amp;"."&amp;$D2435)</f>
        <v/>
      </c>
      <c r="Y2435" s="15">
        <f>IF($AN2435="","",IF(INDEX(職員マスタ!$K$6:$K$405,$AN2435)="","",INDEX(職員マスタ!$K$6:$K$405,$AN2435)))</f>
        <v/>
      </c>
      <c r="Z2435" s="14">
        <f>IF(OR($E2435="",$Y2435=""),"",IF($E2435&gt;=$Y2435,"×",IF($E2435&gt;=$Y2435*設定!$C$5,"△","○")))</f>
        <v/>
      </c>
      <c r="AA2435" s="15">
        <f>IF($Z2435="","",IF($Z2435="×",0,IF($Z2435="○",ROUNDDOWN($E2435*設定!$C$4,0),ROUNDDOWN($E2435*ROUND((9*$Y2435-9*$E2435)/(10*$E2435),4),0))))</f>
        <v/>
      </c>
      <c r="AB2435" s="13" t="n"/>
      <c r="AC2435" s="15">
        <f>IF($B2435="","",IF($AB2435&lt;&gt;"",$AB2435,IF($AA2435="","",IF($AA2435&lt;=設定!$C$3,0,$AA2435))))</f>
        <v/>
      </c>
      <c r="AD2435" s="14">
        <f>IF($B2435="","",IF(AND($AE2435&lt;&gt;"",$AG2435="",$AJ2435=""),"保留中",IF($AJ2435&lt;&gt;"",IF(N($AC2435)&gt;0,"支給済","不支給"),IF($AC2435="","要確認",IF($AC2435=0,"不支給","未処理")))))</f>
        <v/>
      </c>
      <c r="AE2435" s="12" t="n"/>
      <c r="AF2435" s="11" t="n"/>
      <c r="AG2435" s="11" t="n"/>
      <c r="AH2435" s="11" t="n"/>
      <c r="AI2435" s="14">
        <f>IF(AND($AD2435="保留中",$AF2435&lt;&gt;""),TODAY()-$AF2435,"")</f>
        <v/>
      </c>
      <c r="AJ2435" s="12" t="n"/>
      <c r="AK2435" s="14">
        <f>IF($B2435="","",IF($AO2435="","対象年月が未入力／","")&amp;IF($B2435="","",IF($AN2435="","職員マスタに未登録の職員番号／",IF($Y2435="","標準報酬月額が未登録／","")&amp;IF(AND($AO2435&lt;&gt;"",OR(AND(INDEX(職員マスタ!$G$6:$G$405,$AN2435)&lt;&gt;"",INDEX(職員マスタ!$G$6:$G$405,$AN2435)&gt;EOMONTH($AO2435,0)),AND(INDEX(職員マスタ!$H$6:$H$405,$AN2435)&lt;&gt;"",INDEX(職員マスタ!$H$6:$H$405,$AN2435)&lt;$AO2435))),"対象月が時短期間外／","")&amp;IF(AND(INDEX(職員マスタ!$F$6:$F$405,$AN2435)&lt;&gt;"",$AO2435&lt;&gt;"",INDEX(職員マスタ!$F$6:$F$405,$AN2435)&lt;$AO2435),"対象月に子が2歳到達済／","")&amp;IF(AND($H2435&lt;&gt;"",INDEX(職員マスタ!$B$6:$B$405,$AN2435)&lt;&gt;"",SUBSTITUTE(SUBSTITUTE($H2435," ","")," ","")&lt;&gt;SUBSTITUTE(SUBSTITUTE(INDEX(職員マスタ!$B$6:$B$405,$AN2435)," ","")," ","")),"氏名がマスタと相違／","")&amp;IF(AND($Q2435&lt;&gt;"",INDEX(職員マスタ!$E$6:$E$405,$AN2435)&lt;&gt;"",$Q2435&lt;&gt;INDEX(職員マスタ!$E$6:$E$405,$AN2435)),"子の生年月日がマスタと相違／","")&amp;IF(AND($L2435&lt;&gt;"",INDEX(職員マスタ!$G$6:$G$405,$AN2435)&lt;&gt;"",$L2435&lt;&gt;INDEX(職員マスタ!$G$6:$G$405,$AN2435)),"時短開始日がマスタと相違／","")&amp;IF(AND($M2435&lt;&gt;"",INDEX(職員マスタ!$H$6:$H$405,$AN2435)&lt;&gt;"",$M2435&lt;&gt;INDEX(職員マスタ!$H$6:$H$405,$AN2435)),"時短終了日がマスタと相違／","")))&amp;IF(AND($B2435&lt;&gt;"",$E2435=""),"報酬額が未入力／","")&amp;IF(N($U2435)&gt;0,"申請書に入力エラーが残っています／","")&amp;IF(AND($B2435&lt;&gt;"",$AO2435&lt;&gt;""),IF(COUNTIFS($B$6:$B$3005,$B2435,$C$6:$C$3005,$C2435,$D$6:$D$3005,$D2435)&gt;1,"同じ月の請求が重複しています／",""),"")&amp;IF(AND(N($E2435)&gt;0,$Z2435&lt;&gt;"",$Z2435&lt;&gt;"×",$AC2435=0,$AB2435=""),"計算額が下限以下のため不支給／",""))</f>
        <v/>
      </c>
      <c r="AL2435" s="12" t="n"/>
      <c r="AM2435" s="14">
        <f>IF($AD2435="保留中",COUNTIF($AD$6:$AD2435,"保留中"),"")</f>
        <v/>
      </c>
      <c r="AN2435" s="14">
        <f>IF($AO2435="","",IF(SUMPRODUCT(MAX((職員マスタ!$A$6:$A$405=$B2435)*(((職員マスタ!$G$6:$G$405="")+(職員マスタ!$G$6:$G$405&lt;=EOMONTH($AO2435,0)))&gt;0)*(((職員マスタ!$H$6:$H$405="")+(職員マスタ!$H$6:$H$405&gt;=$AO2435))&gt;0)*(ROW(職員マスタ!$A$6:$A$405)-5)))&gt;0,SUMPRODUCT(MAX((職員マスタ!$A$6:$A$405=$B2435)*(((職員マスタ!$G$6:$G$405="")+(職員マスタ!$G$6:$G$405&lt;=EOMONTH($AO2435,0)))&gt;0)*(((職員マスタ!$H$6:$H$405="")+(職員マスタ!$H$6:$H$405&gt;=$AO2435))&gt;0)*(ROW(職員マスタ!$A$6:$A$405)-5))),IFERROR(MATCH($B2435,職員マスタ!$A$6:$A$405,0),"")))</f>
        <v/>
      </c>
      <c r="AO2435" s="16">
        <f>IF(OR($B2435="",$C2435="",$D2435=""),"",DATE($C2435+2018,$D2435,1))</f>
        <v/>
      </c>
    </row>
    <row r="2436">
      <c r="A2436" s="11" t="n"/>
      <c r="B2436" s="12" t="n"/>
      <c r="C2436" s="12" t="n"/>
      <c r="D2436" s="12" t="n"/>
      <c r="E2436" s="13" t="n"/>
      <c r="F2436" s="12" t="n"/>
      <c r="G2436" s="13" t="n"/>
      <c r="H2436" s="12" t="n"/>
      <c r="I2436" s="12" t="n"/>
      <c r="J2436" s="12" t="n"/>
      <c r="K2436" s="12" t="n"/>
      <c r="L2436" s="11" t="n"/>
      <c r="M2436" s="11" t="n"/>
      <c r="N2436" s="11" t="n"/>
      <c r="O2436" s="11" t="n"/>
      <c r="P2436" s="12" t="n"/>
      <c r="Q2436" s="11" t="n"/>
      <c r="R2436" s="12" t="n"/>
      <c r="S2436" s="11" t="n"/>
      <c r="T2436" s="12" t="n"/>
      <c r="U2436" s="12" t="n"/>
      <c r="V2436" s="14">
        <f>IF($AN2436="",IF($B2436="","",$H2436),IF(INDEX(職員マスタ!$B$6:$B$405,$AN2436)="",$H2436,INDEX(職員マスタ!$B$6:$B$405,$AN2436)))</f>
        <v/>
      </c>
      <c r="W2436" s="14">
        <f>IF($AN2436="",IF($B2436="","",$R2436),IF(INDEX(職員マスタ!$C$6:$C$405,$AN2436)="",$R2436,INDEX(職員マスタ!$C$6:$C$405,$AN2436)))</f>
        <v/>
      </c>
      <c r="X2436" s="14">
        <f>IF($AO2436="","","R"&amp;$C2436&amp;"."&amp;$D2436)</f>
        <v/>
      </c>
      <c r="Y2436" s="15">
        <f>IF($AN2436="","",IF(INDEX(職員マスタ!$K$6:$K$405,$AN2436)="","",INDEX(職員マスタ!$K$6:$K$405,$AN2436)))</f>
        <v/>
      </c>
      <c r="Z2436" s="14">
        <f>IF(OR($E2436="",$Y2436=""),"",IF($E2436&gt;=$Y2436,"×",IF($E2436&gt;=$Y2436*設定!$C$5,"△","○")))</f>
        <v/>
      </c>
      <c r="AA2436" s="15">
        <f>IF($Z2436="","",IF($Z2436="×",0,IF($Z2436="○",ROUNDDOWN($E2436*設定!$C$4,0),ROUNDDOWN($E2436*ROUND((9*$Y2436-9*$E2436)/(10*$E2436),4),0))))</f>
        <v/>
      </c>
      <c r="AB2436" s="13" t="n"/>
      <c r="AC2436" s="15">
        <f>IF($B2436="","",IF($AB2436&lt;&gt;"",$AB2436,IF($AA2436="","",IF($AA2436&lt;=設定!$C$3,0,$AA2436))))</f>
        <v/>
      </c>
      <c r="AD2436" s="14">
        <f>IF($B2436="","",IF(AND($AE2436&lt;&gt;"",$AG2436="",$AJ2436=""),"保留中",IF($AJ2436&lt;&gt;"",IF(N($AC2436)&gt;0,"支給済","不支給"),IF($AC2436="","要確認",IF($AC2436=0,"不支給","未処理")))))</f>
        <v/>
      </c>
      <c r="AE2436" s="12" t="n"/>
      <c r="AF2436" s="11" t="n"/>
      <c r="AG2436" s="11" t="n"/>
      <c r="AH2436" s="11" t="n"/>
      <c r="AI2436" s="14">
        <f>IF(AND($AD2436="保留中",$AF2436&lt;&gt;""),TODAY()-$AF2436,"")</f>
        <v/>
      </c>
      <c r="AJ2436" s="12" t="n"/>
      <c r="AK2436" s="14">
        <f>IF($B2436="","",IF($AO2436="","対象年月が未入力／","")&amp;IF($B2436="","",IF($AN2436="","職員マスタに未登録の職員番号／",IF($Y2436="","標準報酬月額が未登録／","")&amp;IF(AND($AO2436&lt;&gt;"",OR(AND(INDEX(職員マスタ!$G$6:$G$405,$AN2436)&lt;&gt;"",INDEX(職員マスタ!$G$6:$G$405,$AN2436)&gt;EOMONTH($AO2436,0)),AND(INDEX(職員マスタ!$H$6:$H$405,$AN2436)&lt;&gt;"",INDEX(職員マスタ!$H$6:$H$405,$AN2436)&lt;$AO2436))),"対象月が時短期間外／","")&amp;IF(AND(INDEX(職員マスタ!$F$6:$F$405,$AN2436)&lt;&gt;"",$AO2436&lt;&gt;"",INDEX(職員マスタ!$F$6:$F$405,$AN2436)&lt;$AO2436),"対象月に子が2歳到達済／","")&amp;IF(AND($H2436&lt;&gt;"",INDEX(職員マスタ!$B$6:$B$405,$AN2436)&lt;&gt;"",SUBSTITUTE(SUBSTITUTE($H2436," ","")," ","")&lt;&gt;SUBSTITUTE(SUBSTITUTE(INDEX(職員マスタ!$B$6:$B$405,$AN2436)," ","")," ","")),"氏名がマスタと相違／","")&amp;IF(AND($Q2436&lt;&gt;"",INDEX(職員マスタ!$E$6:$E$405,$AN2436)&lt;&gt;"",$Q2436&lt;&gt;INDEX(職員マスタ!$E$6:$E$405,$AN2436)),"子の生年月日がマスタと相違／","")&amp;IF(AND($L2436&lt;&gt;"",INDEX(職員マスタ!$G$6:$G$405,$AN2436)&lt;&gt;"",$L2436&lt;&gt;INDEX(職員マスタ!$G$6:$G$405,$AN2436)),"時短開始日がマスタと相違／","")&amp;IF(AND($M2436&lt;&gt;"",INDEX(職員マスタ!$H$6:$H$405,$AN2436)&lt;&gt;"",$M2436&lt;&gt;INDEX(職員マスタ!$H$6:$H$405,$AN2436)),"時短終了日がマスタと相違／","")))&amp;IF(AND($B2436&lt;&gt;"",$E2436=""),"報酬額が未入力／","")&amp;IF(N($U2436)&gt;0,"申請書に入力エラーが残っています／","")&amp;IF(AND($B2436&lt;&gt;"",$AO2436&lt;&gt;""),IF(COUNTIFS($B$6:$B$3005,$B2436,$C$6:$C$3005,$C2436,$D$6:$D$3005,$D2436)&gt;1,"同じ月の請求が重複しています／",""),"")&amp;IF(AND(N($E2436)&gt;0,$Z2436&lt;&gt;"",$Z2436&lt;&gt;"×",$AC2436=0,$AB2436=""),"計算額が下限以下のため不支給／",""))</f>
        <v/>
      </c>
      <c r="AL2436" s="12" t="n"/>
      <c r="AM2436" s="14">
        <f>IF($AD2436="保留中",COUNTIF($AD$6:$AD2436,"保留中"),"")</f>
        <v/>
      </c>
      <c r="AN2436" s="14">
        <f>IF($AO2436="","",IF(SUMPRODUCT(MAX((職員マスタ!$A$6:$A$405=$B2436)*(((職員マスタ!$G$6:$G$405="")+(職員マスタ!$G$6:$G$405&lt;=EOMONTH($AO2436,0)))&gt;0)*(((職員マスタ!$H$6:$H$405="")+(職員マスタ!$H$6:$H$405&gt;=$AO2436))&gt;0)*(ROW(職員マスタ!$A$6:$A$405)-5)))&gt;0,SUMPRODUCT(MAX((職員マスタ!$A$6:$A$405=$B2436)*(((職員マスタ!$G$6:$G$405="")+(職員マスタ!$G$6:$G$405&lt;=EOMONTH($AO2436,0)))&gt;0)*(((職員マスタ!$H$6:$H$405="")+(職員マスタ!$H$6:$H$405&gt;=$AO2436))&gt;0)*(ROW(職員マスタ!$A$6:$A$405)-5))),IFERROR(MATCH($B2436,職員マスタ!$A$6:$A$405,0),"")))</f>
        <v/>
      </c>
      <c r="AO2436" s="16">
        <f>IF(OR($B2436="",$C2436="",$D2436=""),"",DATE($C2436+2018,$D2436,1))</f>
        <v/>
      </c>
    </row>
    <row r="2437">
      <c r="A2437" s="11" t="n"/>
      <c r="B2437" s="12" t="n"/>
      <c r="C2437" s="12" t="n"/>
      <c r="D2437" s="12" t="n"/>
      <c r="E2437" s="13" t="n"/>
      <c r="F2437" s="12" t="n"/>
      <c r="G2437" s="13" t="n"/>
      <c r="H2437" s="12" t="n"/>
      <c r="I2437" s="12" t="n"/>
      <c r="J2437" s="12" t="n"/>
      <c r="K2437" s="12" t="n"/>
      <c r="L2437" s="11" t="n"/>
      <c r="M2437" s="11" t="n"/>
      <c r="N2437" s="11" t="n"/>
      <c r="O2437" s="11" t="n"/>
      <c r="P2437" s="12" t="n"/>
      <c r="Q2437" s="11" t="n"/>
      <c r="R2437" s="12" t="n"/>
      <c r="S2437" s="11" t="n"/>
      <c r="T2437" s="12" t="n"/>
      <c r="U2437" s="12" t="n"/>
      <c r="V2437" s="14">
        <f>IF($AN2437="",IF($B2437="","",$H2437),IF(INDEX(職員マスタ!$B$6:$B$405,$AN2437)="",$H2437,INDEX(職員マスタ!$B$6:$B$405,$AN2437)))</f>
        <v/>
      </c>
      <c r="W2437" s="14">
        <f>IF($AN2437="",IF($B2437="","",$R2437),IF(INDEX(職員マスタ!$C$6:$C$405,$AN2437)="",$R2437,INDEX(職員マスタ!$C$6:$C$405,$AN2437)))</f>
        <v/>
      </c>
      <c r="X2437" s="14">
        <f>IF($AO2437="","","R"&amp;$C2437&amp;"."&amp;$D2437)</f>
        <v/>
      </c>
      <c r="Y2437" s="15">
        <f>IF($AN2437="","",IF(INDEX(職員マスタ!$K$6:$K$405,$AN2437)="","",INDEX(職員マスタ!$K$6:$K$405,$AN2437)))</f>
        <v/>
      </c>
      <c r="Z2437" s="14">
        <f>IF(OR($E2437="",$Y2437=""),"",IF($E2437&gt;=$Y2437,"×",IF($E2437&gt;=$Y2437*設定!$C$5,"△","○")))</f>
        <v/>
      </c>
      <c r="AA2437" s="15">
        <f>IF($Z2437="","",IF($Z2437="×",0,IF($Z2437="○",ROUNDDOWN($E2437*設定!$C$4,0),ROUNDDOWN($E2437*ROUND((9*$Y2437-9*$E2437)/(10*$E2437),4),0))))</f>
        <v/>
      </c>
      <c r="AB2437" s="13" t="n"/>
      <c r="AC2437" s="15">
        <f>IF($B2437="","",IF($AB2437&lt;&gt;"",$AB2437,IF($AA2437="","",IF($AA2437&lt;=設定!$C$3,0,$AA2437))))</f>
        <v/>
      </c>
      <c r="AD2437" s="14">
        <f>IF($B2437="","",IF(AND($AE2437&lt;&gt;"",$AG2437="",$AJ2437=""),"保留中",IF($AJ2437&lt;&gt;"",IF(N($AC2437)&gt;0,"支給済","不支給"),IF($AC2437="","要確認",IF($AC2437=0,"不支給","未処理")))))</f>
        <v/>
      </c>
      <c r="AE2437" s="12" t="n"/>
      <c r="AF2437" s="11" t="n"/>
      <c r="AG2437" s="11" t="n"/>
      <c r="AH2437" s="11" t="n"/>
      <c r="AI2437" s="14">
        <f>IF(AND($AD2437="保留中",$AF2437&lt;&gt;""),TODAY()-$AF2437,"")</f>
        <v/>
      </c>
      <c r="AJ2437" s="12" t="n"/>
      <c r="AK2437" s="14">
        <f>IF($B2437="","",IF($AO2437="","対象年月が未入力／","")&amp;IF($B2437="","",IF($AN2437="","職員マスタに未登録の職員番号／",IF($Y2437="","標準報酬月額が未登録／","")&amp;IF(AND($AO2437&lt;&gt;"",OR(AND(INDEX(職員マスタ!$G$6:$G$405,$AN2437)&lt;&gt;"",INDEX(職員マスタ!$G$6:$G$405,$AN2437)&gt;EOMONTH($AO2437,0)),AND(INDEX(職員マスタ!$H$6:$H$405,$AN2437)&lt;&gt;"",INDEX(職員マスタ!$H$6:$H$405,$AN2437)&lt;$AO2437))),"対象月が時短期間外／","")&amp;IF(AND(INDEX(職員マスタ!$F$6:$F$405,$AN2437)&lt;&gt;"",$AO2437&lt;&gt;"",INDEX(職員マスタ!$F$6:$F$405,$AN2437)&lt;$AO2437),"対象月に子が2歳到達済／","")&amp;IF(AND($H2437&lt;&gt;"",INDEX(職員マスタ!$B$6:$B$405,$AN2437)&lt;&gt;"",SUBSTITUTE(SUBSTITUTE($H2437," ","")," ","")&lt;&gt;SUBSTITUTE(SUBSTITUTE(INDEX(職員マスタ!$B$6:$B$405,$AN2437)," ","")," ","")),"氏名がマスタと相違／","")&amp;IF(AND($Q2437&lt;&gt;"",INDEX(職員マスタ!$E$6:$E$405,$AN2437)&lt;&gt;"",$Q2437&lt;&gt;INDEX(職員マスタ!$E$6:$E$405,$AN2437)),"子の生年月日がマスタと相違／","")&amp;IF(AND($L2437&lt;&gt;"",INDEX(職員マスタ!$G$6:$G$405,$AN2437)&lt;&gt;"",$L2437&lt;&gt;INDEX(職員マスタ!$G$6:$G$405,$AN2437)),"時短開始日がマスタと相違／","")&amp;IF(AND($M2437&lt;&gt;"",INDEX(職員マスタ!$H$6:$H$405,$AN2437)&lt;&gt;"",$M2437&lt;&gt;INDEX(職員マスタ!$H$6:$H$405,$AN2437)),"時短終了日がマスタと相違／","")))&amp;IF(AND($B2437&lt;&gt;"",$E2437=""),"報酬額が未入力／","")&amp;IF(N($U2437)&gt;0,"申請書に入力エラーが残っています／","")&amp;IF(AND($B2437&lt;&gt;"",$AO2437&lt;&gt;""),IF(COUNTIFS($B$6:$B$3005,$B2437,$C$6:$C$3005,$C2437,$D$6:$D$3005,$D2437)&gt;1,"同じ月の請求が重複しています／",""),"")&amp;IF(AND(N($E2437)&gt;0,$Z2437&lt;&gt;"",$Z2437&lt;&gt;"×",$AC2437=0,$AB2437=""),"計算額が下限以下のため不支給／",""))</f>
        <v/>
      </c>
      <c r="AL2437" s="12" t="n"/>
      <c r="AM2437" s="14">
        <f>IF($AD2437="保留中",COUNTIF($AD$6:$AD2437,"保留中"),"")</f>
        <v/>
      </c>
      <c r="AN2437" s="14">
        <f>IF($AO2437="","",IF(SUMPRODUCT(MAX((職員マスタ!$A$6:$A$405=$B2437)*(((職員マスタ!$G$6:$G$405="")+(職員マスタ!$G$6:$G$405&lt;=EOMONTH($AO2437,0)))&gt;0)*(((職員マスタ!$H$6:$H$405="")+(職員マスタ!$H$6:$H$405&gt;=$AO2437))&gt;0)*(ROW(職員マスタ!$A$6:$A$405)-5)))&gt;0,SUMPRODUCT(MAX((職員マスタ!$A$6:$A$405=$B2437)*(((職員マスタ!$G$6:$G$405="")+(職員マスタ!$G$6:$G$405&lt;=EOMONTH($AO2437,0)))&gt;0)*(((職員マスタ!$H$6:$H$405="")+(職員マスタ!$H$6:$H$405&gt;=$AO2437))&gt;0)*(ROW(職員マスタ!$A$6:$A$405)-5))),IFERROR(MATCH($B2437,職員マスタ!$A$6:$A$405,0),"")))</f>
        <v/>
      </c>
      <c r="AO2437" s="16">
        <f>IF(OR($B2437="",$C2437="",$D2437=""),"",DATE($C2437+2018,$D2437,1))</f>
        <v/>
      </c>
    </row>
    <row r="2438">
      <c r="A2438" s="11" t="n"/>
      <c r="B2438" s="12" t="n"/>
      <c r="C2438" s="12" t="n"/>
      <c r="D2438" s="12" t="n"/>
      <c r="E2438" s="13" t="n"/>
      <c r="F2438" s="12" t="n"/>
      <c r="G2438" s="13" t="n"/>
      <c r="H2438" s="12" t="n"/>
      <c r="I2438" s="12" t="n"/>
      <c r="J2438" s="12" t="n"/>
      <c r="K2438" s="12" t="n"/>
      <c r="L2438" s="11" t="n"/>
      <c r="M2438" s="11" t="n"/>
      <c r="N2438" s="11" t="n"/>
      <c r="O2438" s="11" t="n"/>
      <c r="P2438" s="12" t="n"/>
      <c r="Q2438" s="11" t="n"/>
      <c r="R2438" s="12" t="n"/>
      <c r="S2438" s="11" t="n"/>
      <c r="T2438" s="12" t="n"/>
      <c r="U2438" s="12" t="n"/>
      <c r="V2438" s="14">
        <f>IF($AN2438="",IF($B2438="","",$H2438),IF(INDEX(職員マスタ!$B$6:$B$405,$AN2438)="",$H2438,INDEX(職員マスタ!$B$6:$B$405,$AN2438)))</f>
        <v/>
      </c>
      <c r="W2438" s="14">
        <f>IF($AN2438="",IF($B2438="","",$R2438),IF(INDEX(職員マスタ!$C$6:$C$405,$AN2438)="",$R2438,INDEX(職員マスタ!$C$6:$C$405,$AN2438)))</f>
        <v/>
      </c>
      <c r="X2438" s="14">
        <f>IF($AO2438="","","R"&amp;$C2438&amp;"."&amp;$D2438)</f>
        <v/>
      </c>
      <c r="Y2438" s="15">
        <f>IF($AN2438="","",IF(INDEX(職員マスタ!$K$6:$K$405,$AN2438)="","",INDEX(職員マスタ!$K$6:$K$405,$AN2438)))</f>
        <v/>
      </c>
      <c r="Z2438" s="14">
        <f>IF(OR($E2438="",$Y2438=""),"",IF($E2438&gt;=$Y2438,"×",IF($E2438&gt;=$Y2438*設定!$C$5,"△","○")))</f>
        <v/>
      </c>
      <c r="AA2438" s="15">
        <f>IF($Z2438="","",IF($Z2438="×",0,IF($Z2438="○",ROUNDDOWN($E2438*設定!$C$4,0),ROUNDDOWN($E2438*ROUND((9*$Y2438-9*$E2438)/(10*$E2438),4),0))))</f>
        <v/>
      </c>
      <c r="AB2438" s="13" t="n"/>
      <c r="AC2438" s="15">
        <f>IF($B2438="","",IF($AB2438&lt;&gt;"",$AB2438,IF($AA2438="","",IF($AA2438&lt;=設定!$C$3,0,$AA2438))))</f>
        <v/>
      </c>
      <c r="AD2438" s="14">
        <f>IF($B2438="","",IF(AND($AE2438&lt;&gt;"",$AG2438="",$AJ2438=""),"保留中",IF($AJ2438&lt;&gt;"",IF(N($AC2438)&gt;0,"支給済","不支給"),IF($AC2438="","要確認",IF($AC2438=0,"不支給","未処理")))))</f>
        <v/>
      </c>
      <c r="AE2438" s="12" t="n"/>
      <c r="AF2438" s="11" t="n"/>
      <c r="AG2438" s="11" t="n"/>
      <c r="AH2438" s="11" t="n"/>
      <c r="AI2438" s="14">
        <f>IF(AND($AD2438="保留中",$AF2438&lt;&gt;""),TODAY()-$AF2438,"")</f>
        <v/>
      </c>
      <c r="AJ2438" s="12" t="n"/>
      <c r="AK2438" s="14">
        <f>IF($B2438="","",IF($AO2438="","対象年月が未入力／","")&amp;IF($B2438="","",IF($AN2438="","職員マスタに未登録の職員番号／",IF($Y2438="","標準報酬月額が未登録／","")&amp;IF(AND($AO2438&lt;&gt;"",OR(AND(INDEX(職員マスタ!$G$6:$G$405,$AN2438)&lt;&gt;"",INDEX(職員マスタ!$G$6:$G$405,$AN2438)&gt;EOMONTH($AO2438,0)),AND(INDEX(職員マスタ!$H$6:$H$405,$AN2438)&lt;&gt;"",INDEX(職員マスタ!$H$6:$H$405,$AN2438)&lt;$AO2438))),"対象月が時短期間外／","")&amp;IF(AND(INDEX(職員マスタ!$F$6:$F$405,$AN2438)&lt;&gt;"",$AO2438&lt;&gt;"",INDEX(職員マスタ!$F$6:$F$405,$AN2438)&lt;$AO2438),"対象月に子が2歳到達済／","")&amp;IF(AND($H2438&lt;&gt;"",INDEX(職員マスタ!$B$6:$B$405,$AN2438)&lt;&gt;"",SUBSTITUTE(SUBSTITUTE($H2438," ","")," ","")&lt;&gt;SUBSTITUTE(SUBSTITUTE(INDEX(職員マスタ!$B$6:$B$405,$AN2438)," ","")," ","")),"氏名がマスタと相違／","")&amp;IF(AND($Q2438&lt;&gt;"",INDEX(職員マスタ!$E$6:$E$405,$AN2438)&lt;&gt;"",$Q2438&lt;&gt;INDEX(職員マスタ!$E$6:$E$405,$AN2438)),"子の生年月日がマスタと相違／","")&amp;IF(AND($L2438&lt;&gt;"",INDEX(職員マスタ!$G$6:$G$405,$AN2438)&lt;&gt;"",$L2438&lt;&gt;INDEX(職員マスタ!$G$6:$G$405,$AN2438)),"時短開始日がマスタと相違／","")&amp;IF(AND($M2438&lt;&gt;"",INDEX(職員マスタ!$H$6:$H$405,$AN2438)&lt;&gt;"",$M2438&lt;&gt;INDEX(職員マスタ!$H$6:$H$405,$AN2438)),"時短終了日がマスタと相違／","")))&amp;IF(AND($B2438&lt;&gt;"",$E2438=""),"報酬額が未入力／","")&amp;IF(N($U2438)&gt;0,"申請書に入力エラーが残っています／","")&amp;IF(AND($B2438&lt;&gt;"",$AO2438&lt;&gt;""),IF(COUNTIFS($B$6:$B$3005,$B2438,$C$6:$C$3005,$C2438,$D$6:$D$3005,$D2438)&gt;1,"同じ月の請求が重複しています／",""),"")&amp;IF(AND(N($E2438)&gt;0,$Z2438&lt;&gt;"",$Z2438&lt;&gt;"×",$AC2438=0,$AB2438=""),"計算額が下限以下のため不支給／",""))</f>
        <v/>
      </c>
      <c r="AL2438" s="12" t="n"/>
      <c r="AM2438" s="14">
        <f>IF($AD2438="保留中",COUNTIF($AD$6:$AD2438,"保留中"),"")</f>
        <v/>
      </c>
      <c r="AN2438" s="14">
        <f>IF($AO2438="","",IF(SUMPRODUCT(MAX((職員マスタ!$A$6:$A$405=$B2438)*(((職員マスタ!$G$6:$G$405="")+(職員マスタ!$G$6:$G$405&lt;=EOMONTH($AO2438,0)))&gt;0)*(((職員マスタ!$H$6:$H$405="")+(職員マスタ!$H$6:$H$405&gt;=$AO2438))&gt;0)*(ROW(職員マスタ!$A$6:$A$405)-5)))&gt;0,SUMPRODUCT(MAX((職員マスタ!$A$6:$A$405=$B2438)*(((職員マスタ!$G$6:$G$405="")+(職員マスタ!$G$6:$G$405&lt;=EOMONTH($AO2438,0)))&gt;0)*(((職員マスタ!$H$6:$H$405="")+(職員マスタ!$H$6:$H$405&gt;=$AO2438))&gt;0)*(ROW(職員マスタ!$A$6:$A$405)-5))),IFERROR(MATCH($B2438,職員マスタ!$A$6:$A$405,0),"")))</f>
        <v/>
      </c>
      <c r="AO2438" s="16">
        <f>IF(OR($B2438="",$C2438="",$D2438=""),"",DATE($C2438+2018,$D2438,1))</f>
        <v/>
      </c>
    </row>
    <row r="2439">
      <c r="A2439" s="11" t="n"/>
      <c r="B2439" s="12" t="n"/>
      <c r="C2439" s="12" t="n"/>
      <c r="D2439" s="12" t="n"/>
      <c r="E2439" s="13" t="n"/>
      <c r="F2439" s="12" t="n"/>
      <c r="G2439" s="13" t="n"/>
      <c r="H2439" s="12" t="n"/>
      <c r="I2439" s="12" t="n"/>
      <c r="J2439" s="12" t="n"/>
      <c r="K2439" s="12" t="n"/>
      <c r="L2439" s="11" t="n"/>
      <c r="M2439" s="11" t="n"/>
      <c r="N2439" s="11" t="n"/>
      <c r="O2439" s="11" t="n"/>
      <c r="P2439" s="12" t="n"/>
      <c r="Q2439" s="11" t="n"/>
      <c r="R2439" s="12" t="n"/>
      <c r="S2439" s="11" t="n"/>
      <c r="T2439" s="12" t="n"/>
      <c r="U2439" s="12" t="n"/>
      <c r="V2439" s="14">
        <f>IF($AN2439="",IF($B2439="","",$H2439),IF(INDEX(職員マスタ!$B$6:$B$405,$AN2439)="",$H2439,INDEX(職員マスタ!$B$6:$B$405,$AN2439)))</f>
        <v/>
      </c>
      <c r="W2439" s="14">
        <f>IF($AN2439="",IF($B2439="","",$R2439),IF(INDEX(職員マスタ!$C$6:$C$405,$AN2439)="",$R2439,INDEX(職員マスタ!$C$6:$C$405,$AN2439)))</f>
        <v/>
      </c>
      <c r="X2439" s="14">
        <f>IF($AO2439="","","R"&amp;$C2439&amp;"."&amp;$D2439)</f>
        <v/>
      </c>
      <c r="Y2439" s="15">
        <f>IF($AN2439="","",IF(INDEX(職員マスタ!$K$6:$K$405,$AN2439)="","",INDEX(職員マスタ!$K$6:$K$405,$AN2439)))</f>
        <v/>
      </c>
      <c r="Z2439" s="14">
        <f>IF(OR($E2439="",$Y2439=""),"",IF($E2439&gt;=$Y2439,"×",IF($E2439&gt;=$Y2439*設定!$C$5,"△","○")))</f>
        <v/>
      </c>
      <c r="AA2439" s="15">
        <f>IF($Z2439="","",IF($Z2439="×",0,IF($Z2439="○",ROUNDDOWN($E2439*設定!$C$4,0),ROUNDDOWN($E2439*ROUND((9*$Y2439-9*$E2439)/(10*$E2439),4),0))))</f>
        <v/>
      </c>
      <c r="AB2439" s="13" t="n"/>
      <c r="AC2439" s="15">
        <f>IF($B2439="","",IF($AB2439&lt;&gt;"",$AB2439,IF($AA2439="","",IF($AA2439&lt;=設定!$C$3,0,$AA2439))))</f>
        <v/>
      </c>
      <c r="AD2439" s="14">
        <f>IF($B2439="","",IF(AND($AE2439&lt;&gt;"",$AG2439="",$AJ2439=""),"保留中",IF($AJ2439&lt;&gt;"",IF(N($AC2439)&gt;0,"支給済","不支給"),IF($AC2439="","要確認",IF($AC2439=0,"不支給","未処理")))))</f>
        <v/>
      </c>
      <c r="AE2439" s="12" t="n"/>
      <c r="AF2439" s="11" t="n"/>
      <c r="AG2439" s="11" t="n"/>
      <c r="AH2439" s="11" t="n"/>
      <c r="AI2439" s="14">
        <f>IF(AND($AD2439="保留中",$AF2439&lt;&gt;""),TODAY()-$AF2439,"")</f>
        <v/>
      </c>
      <c r="AJ2439" s="12" t="n"/>
      <c r="AK2439" s="14">
        <f>IF($B2439="","",IF($AO2439="","対象年月が未入力／","")&amp;IF($B2439="","",IF($AN2439="","職員マスタに未登録の職員番号／",IF($Y2439="","標準報酬月額が未登録／","")&amp;IF(AND($AO2439&lt;&gt;"",OR(AND(INDEX(職員マスタ!$G$6:$G$405,$AN2439)&lt;&gt;"",INDEX(職員マスタ!$G$6:$G$405,$AN2439)&gt;EOMONTH($AO2439,0)),AND(INDEX(職員マスタ!$H$6:$H$405,$AN2439)&lt;&gt;"",INDEX(職員マスタ!$H$6:$H$405,$AN2439)&lt;$AO2439))),"対象月が時短期間外／","")&amp;IF(AND(INDEX(職員マスタ!$F$6:$F$405,$AN2439)&lt;&gt;"",$AO2439&lt;&gt;"",INDEX(職員マスタ!$F$6:$F$405,$AN2439)&lt;$AO2439),"対象月に子が2歳到達済／","")&amp;IF(AND($H2439&lt;&gt;"",INDEX(職員マスタ!$B$6:$B$405,$AN2439)&lt;&gt;"",SUBSTITUTE(SUBSTITUTE($H2439," ","")," ","")&lt;&gt;SUBSTITUTE(SUBSTITUTE(INDEX(職員マスタ!$B$6:$B$405,$AN2439)," ","")," ","")),"氏名がマスタと相違／","")&amp;IF(AND($Q2439&lt;&gt;"",INDEX(職員マスタ!$E$6:$E$405,$AN2439)&lt;&gt;"",$Q2439&lt;&gt;INDEX(職員マスタ!$E$6:$E$405,$AN2439)),"子の生年月日がマスタと相違／","")&amp;IF(AND($L2439&lt;&gt;"",INDEX(職員マスタ!$G$6:$G$405,$AN2439)&lt;&gt;"",$L2439&lt;&gt;INDEX(職員マスタ!$G$6:$G$405,$AN2439)),"時短開始日がマスタと相違／","")&amp;IF(AND($M2439&lt;&gt;"",INDEX(職員マスタ!$H$6:$H$405,$AN2439)&lt;&gt;"",$M2439&lt;&gt;INDEX(職員マスタ!$H$6:$H$405,$AN2439)),"時短終了日がマスタと相違／","")))&amp;IF(AND($B2439&lt;&gt;"",$E2439=""),"報酬額が未入力／","")&amp;IF(N($U2439)&gt;0,"申請書に入力エラーが残っています／","")&amp;IF(AND($B2439&lt;&gt;"",$AO2439&lt;&gt;""),IF(COUNTIFS($B$6:$B$3005,$B2439,$C$6:$C$3005,$C2439,$D$6:$D$3005,$D2439)&gt;1,"同じ月の請求が重複しています／",""),"")&amp;IF(AND(N($E2439)&gt;0,$Z2439&lt;&gt;"",$Z2439&lt;&gt;"×",$AC2439=0,$AB2439=""),"計算額が下限以下のため不支給／",""))</f>
        <v/>
      </c>
      <c r="AL2439" s="12" t="n"/>
      <c r="AM2439" s="14">
        <f>IF($AD2439="保留中",COUNTIF($AD$6:$AD2439,"保留中"),"")</f>
        <v/>
      </c>
      <c r="AN2439" s="14">
        <f>IF($AO2439="","",IF(SUMPRODUCT(MAX((職員マスタ!$A$6:$A$405=$B2439)*(((職員マスタ!$G$6:$G$405="")+(職員マスタ!$G$6:$G$405&lt;=EOMONTH($AO2439,0)))&gt;0)*(((職員マスタ!$H$6:$H$405="")+(職員マスタ!$H$6:$H$405&gt;=$AO2439))&gt;0)*(ROW(職員マスタ!$A$6:$A$405)-5)))&gt;0,SUMPRODUCT(MAX((職員マスタ!$A$6:$A$405=$B2439)*(((職員マスタ!$G$6:$G$405="")+(職員マスタ!$G$6:$G$405&lt;=EOMONTH($AO2439,0)))&gt;0)*(((職員マスタ!$H$6:$H$405="")+(職員マスタ!$H$6:$H$405&gt;=$AO2439))&gt;0)*(ROW(職員マスタ!$A$6:$A$405)-5))),IFERROR(MATCH($B2439,職員マスタ!$A$6:$A$405,0),"")))</f>
        <v/>
      </c>
      <c r="AO2439" s="16">
        <f>IF(OR($B2439="",$C2439="",$D2439=""),"",DATE($C2439+2018,$D2439,1))</f>
        <v/>
      </c>
    </row>
    <row r="2440">
      <c r="A2440" s="11" t="n"/>
      <c r="B2440" s="12" t="n"/>
      <c r="C2440" s="12" t="n"/>
      <c r="D2440" s="12" t="n"/>
      <c r="E2440" s="13" t="n"/>
      <c r="F2440" s="12" t="n"/>
      <c r="G2440" s="13" t="n"/>
      <c r="H2440" s="12" t="n"/>
      <c r="I2440" s="12" t="n"/>
      <c r="J2440" s="12" t="n"/>
      <c r="K2440" s="12" t="n"/>
      <c r="L2440" s="11" t="n"/>
      <c r="M2440" s="11" t="n"/>
      <c r="N2440" s="11" t="n"/>
      <c r="O2440" s="11" t="n"/>
      <c r="P2440" s="12" t="n"/>
      <c r="Q2440" s="11" t="n"/>
      <c r="R2440" s="12" t="n"/>
      <c r="S2440" s="11" t="n"/>
      <c r="T2440" s="12" t="n"/>
      <c r="U2440" s="12" t="n"/>
      <c r="V2440" s="14">
        <f>IF($AN2440="",IF($B2440="","",$H2440),IF(INDEX(職員マスタ!$B$6:$B$405,$AN2440)="",$H2440,INDEX(職員マスタ!$B$6:$B$405,$AN2440)))</f>
        <v/>
      </c>
      <c r="W2440" s="14">
        <f>IF($AN2440="",IF($B2440="","",$R2440),IF(INDEX(職員マスタ!$C$6:$C$405,$AN2440)="",$R2440,INDEX(職員マスタ!$C$6:$C$405,$AN2440)))</f>
        <v/>
      </c>
      <c r="X2440" s="14">
        <f>IF($AO2440="","","R"&amp;$C2440&amp;"."&amp;$D2440)</f>
        <v/>
      </c>
      <c r="Y2440" s="15">
        <f>IF($AN2440="","",IF(INDEX(職員マスタ!$K$6:$K$405,$AN2440)="","",INDEX(職員マスタ!$K$6:$K$405,$AN2440)))</f>
        <v/>
      </c>
      <c r="Z2440" s="14">
        <f>IF(OR($E2440="",$Y2440=""),"",IF($E2440&gt;=$Y2440,"×",IF($E2440&gt;=$Y2440*設定!$C$5,"△","○")))</f>
        <v/>
      </c>
      <c r="AA2440" s="15">
        <f>IF($Z2440="","",IF($Z2440="×",0,IF($Z2440="○",ROUNDDOWN($E2440*設定!$C$4,0),ROUNDDOWN($E2440*ROUND((9*$Y2440-9*$E2440)/(10*$E2440),4),0))))</f>
        <v/>
      </c>
      <c r="AB2440" s="13" t="n"/>
      <c r="AC2440" s="15">
        <f>IF($B2440="","",IF($AB2440&lt;&gt;"",$AB2440,IF($AA2440="","",IF($AA2440&lt;=設定!$C$3,0,$AA2440))))</f>
        <v/>
      </c>
      <c r="AD2440" s="14">
        <f>IF($B2440="","",IF(AND($AE2440&lt;&gt;"",$AG2440="",$AJ2440=""),"保留中",IF($AJ2440&lt;&gt;"",IF(N($AC2440)&gt;0,"支給済","不支給"),IF($AC2440="","要確認",IF($AC2440=0,"不支給","未処理")))))</f>
        <v/>
      </c>
      <c r="AE2440" s="12" t="n"/>
      <c r="AF2440" s="11" t="n"/>
      <c r="AG2440" s="11" t="n"/>
      <c r="AH2440" s="11" t="n"/>
      <c r="AI2440" s="14">
        <f>IF(AND($AD2440="保留中",$AF2440&lt;&gt;""),TODAY()-$AF2440,"")</f>
        <v/>
      </c>
      <c r="AJ2440" s="12" t="n"/>
      <c r="AK2440" s="14">
        <f>IF($B2440="","",IF($AO2440="","対象年月が未入力／","")&amp;IF($B2440="","",IF($AN2440="","職員マスタに未登録の職員番号／",IF($Y2440="","標準報酬月額が未登録／","")&amp;IF(AND($AO2440&lt;&gt;"",OR(AND(INDEX(職員マスタ!$G$6:$G$405,$AN2440)&lt;&gt;"",INDEX(職員マスタ!$G$6:$G$405,$AN2440)&gt;EOMONTH($AO2440,0)),AND(INDEX(職員マスタ!$H$6:$H$405,$AN2440)&lt;&gt;"",INDEX(職員マスタ!$H$6:$H$405,$AN2440)&lt;$AO2440))),"対象月が時短期間外／","")&amp;IF(AND(INDEX(職員マスタ!$F$6:$F$405,$AN2440)&lt;&gt;"",$AO2440&lt;&gt;"",INDEX(職員マスタ!$F$6:$F$405,$AN2440)&lt;$AO2440),"対象月に子が2歳到達済／","")&amp;IF(AND($H2440&lt;&gt;"",INDEX(職員マスタ!$B$6:$B$405,$AN2440)&lt;&gt;"",SUBSTITUTE(SUBSTITUTE($H2440," ","")," ","")&lt;&gt;SUBSTITUTE(SUBSTITUTE(INDEX(職員マスタ!$B$6:$B$405,$AN2440)," ","")," ","")),"氏名がマスタと相違／","")&amp;IF(AND($Q2440&lt;&gt;"",INDEX(職員マスタ!$E$6:$E$405,$AN2440)&lt;&gt;"",$Q2440&lt;&gt;INDEX(職員マスタ!$E$6:$E$405,$AN2440)),"子の生年月日がマスタと相違／","")&amp;IF(AND($L2440&lt;&gt;"",INDEX(職員マスタ!$G$6:$G$405,$AN2440)&lt;&gt;"",$L2440&lt;&gt;INDEX(職員マスタ!$G$6:$G$405,$AN2440)),"時短開始日がマスタと相違／","")&amp;IF(AND($M2440&lt;&gt;"",INDEX(職員マスタ!$H$6:$H$405,$AN2440)&lt;&gt;"",$M2440&lt;&gt;INDEX(職員マスタ!$H$6:$H$405,$AN2440)),"時短終了日がマスタと相違／","")))&amp;IF(AND($B2440&lt;&gt;"",$E2440=""),"報酬額が未入力／","")&amp;IF(N($U2440)&gt;0,"申請書に入力エラーが残っています／","")&amp;IF(AND($B2440&lt;&gt;"",$AO2440&lt;&gt;""),IF(COUNTIFS($B$6:$B$3005,$B2440,$C$6:$C$3005,$C2440,$D$6:$D$3005,$D2440)&gt;1,"同じ月の請求が重複しています／",""),"")&amp;IF(AND(N($E2440)&gt;0,$Z2440&lt;&gt;"",$Z2440&lt;&gt;"×",$AC2440=0,$AB2440=""),"計算額が下限以下のため不支給／",""))</f>
        <v/>
      </c>
      <c r="AL2440" s="12" t="n"/>
      <c r="AM2440" s="14">
        <f>IF($AD2440="保留中",COUNTIF($AD$6:$AD2440,"保留中"),"")</f>
        <v/>
      </c>
      <c r="AN2440" s="14">
        <f>IF($AO2440="","",IF(SUMPRODUCT(MAX((職員マスタ!$A$6:$A$405=$B2440)*(((職員マスタ!$G$6:$G$405="")+(職員マスタ!$G$6:$G$405&lt;=EOMONTH($AO2440,0)))&gt;0)*(((職員マスタ!$H$6:$H$405="")+(職員マスタ!$H$6:$H$405&gt;=$AO2440))&gt;0)*(ROW(職員マスタ!$A$6:$A$405)-5)))&gt;0,SUMPRODUCT(MAX((職員マスタ!$A$6:$A$405=$B2440)*(((職員マスタ!$G$6:$G$405="")+(職員マスタ!$G$6:$G$405&lt;=EOMONTH($AO2440,0)))&gt;0)*(((職員マスタ!$H$6:$H$405="")+(職員マスタ!$H$6:$H$405&gt;=$AO2440))&gt;0)*(ROW(職員マスタ!$A$6:$A$405)-5))),IFERROR(MATCH($B2440,職員マスタ!$A$6:$A$405,0),"")))</f>
        <v/>
      </c>
      <c r="AO2440" s="16">
        <f>IF(OR($B2440="",$C2440="",$D2440=""),"",DATE($C2440+2018,$D2440,1))</f>
        <v/>
      </c>
    </row>
    <row r="2441">
      <c r="A2441" s="11" t="n"/>
      <c r="B2441" s="12" t="n"/>
      <c r="C2441" s="12" t="n"/>
      <c r="D2441" s="12" t="n"/>
      <c r="E2441" s="13" t="n"/>
      <c r="F2441" s="12" t="n"/>
      <c r="G2441" s="13" t="n"/>
      <c r="H2441" s="12" t="n"/>
      <c r="I2441" s="12" t="n"/>
      <c r="J2441" s="12" t="n"/>
      <c r="K2441" s="12" t="n"/>
      <c r="L2441" s="11" t="n"/>
      <c r="M2441" s="11" t="n"/>
      <c r="N2441" s="11" t="n"/>
      <c r="O2441" s="11" t="n"/>
      <c r="P2441" s="12" t="n"/>
      <c r="Q2441" s="11" t="n"/>
      <c r="R2441" s="12" t="n"/>
      <c r="S2441" s="11" t="n"/>
      <c r="T2441" s="12" t="n"/>
      <c r="U2441" s="12" t="n"/>
      <c r="V2441" s="14">
        <f>IF($AN2441="",IF($B2441="","",$H2441),IF(INDEX(職員マスタ!$B$6:$B$405,$AN2441)="",$H2441,INDEX(職員マスタ!$B$6:$B$405,$AN2441)))</f>
        <v/>
      </c>
      <c r="W2441" s="14">
        <f>IF($AN2441="",IF($B2441="","",$R2441),IF(INDEX(職員マスタ!$C$6:$C$405,$AN2441)="",$R2441,INDEX(職員マスタ!$C$6:$C$405,$AN2441)))</f>
        <v/>
      </c>
      <c r="X2441" s="14">
        <f>IF($AO2441="","","R"&amp;$C2441&amp;"."&amp;$D2441)</f>
        <v/>
      </c>
      <c r="Y2441" s="15">
        <f>IF($AN2441="","",IF(INDEX(職員マスタ!$K$6:$K$405,$AN2441)="","",INDEX(職員マスタ!$K$6:$K$405,$AN2441)))</f>
        <v/>
      </c>
      <c r="Z2441" s="14">
        <f>IF(OR($E2441="",$Y2441=""),"",IF($E2441&gt;=$Y2441,"×",IF($E2441&gt;=$Y2441*設定!$C$5,"△","○")))</f>
        <v/>
      </c>
      <c r="AA2441" s="15">
        <f>IF($Z2441="","",IF($Z2441="×",0,IF($Z2441="○",ROUNDDOWN($E2441*設定!$C$4,0),ROUNDDOWN($E2441*ROUND((9*$Y2441-9*$E2441)/(10*$E2441),4),0))))</f>
        <v/>
      </c>
      <c r="AB2441" s="13" t="n"/>
      <c r="AC2441" s="15">
        <f>IF($B2441="","",IF($AB2441&lt;&gt;"",$AB2441,IF($AA2441="","",IF($AA2441&lt;=設定!$C$3,0,$AA2441))))</f>
        <v/>
      </c>
      <c r="AD2441" s="14">
        <f>IF($B2441="","",IF(AND($AE2441&lt;&gt;"",$AG2441="",$AJ2441=""),"保留中",IF($AJ2441&lt;&gt;"",IF(N($AC2441)&gt;0,"支給済","不支給"),IF($AC2441="","要確認",IF($AC2441=0,"不支給","未処理")))))</f>
        <v/>
      </c>
      <c r="AE2441" s="12" t="n"/>
      <c r="AF2441" s="11" t="n"/>
      <c r="AG2441" s="11" t="n"/>
      <c r="AH2441" s="11" t="n"/>
      <c r="AI2441" s="14">
        <f>IF(AND($AD2441="保留中",$AF2441&lt;&gt;""),TODAY()-$AF2441,"")</f>
        <v/>
      </c>
      <c r="AJ2441" s="12" t="n"/>
      <c r="AK2441" s="14">
        <f>IF($B2441="","",IF($AO2441="","対象年月が未入力／","")&amp;IF($B2441="","",IF($AN2441="","職員マスタに未登録の職員番号／",IF($Y2441="","標準報酬月額が未登録／","")&amp;IF(AND($AO2441&lt;&gt;"",OR(AND(INDEX(職員マスタ!$G$6:$G$405,$AN2441)&lt;&gt;"",INDEX(職員マスタ!$G$6:$G$405,$AN2441)&gt;EOMONTH($AO2441,0)),AND(INDEX(職員マスタ!$H$6:$H$405,$AN2441)&lt;&gt;"",INDEX(職員マスタ!$H$6:$H$405,$AN2441)&lt;$AO2441))),"対象月が時短期間外／","")&amp;IF(AND(INDEX(職員マスタ!$F$6:$F$405,$AN2441)&lt;&gt;"",$AO2441&lt;&gt;"",INDEX(職員マスタ!$F$6:$F$405,$AN2441)&lt;$AO2441),"対象月に子が2歳到達済／","")&amp;IF(AND($H2441&lt;&gt;"",INDEX(職員マスタ!$B$6:$B$405,$AN2441)&lt;&gt;"",SUBSTITUTE(SUBSTITUTE($H2441," ","")," ","")&lt;&gt;SUBSTITUTE(SUBSTITUTE(INDEX(職員マスタ!$B$6:$B$405,$AN2441)," ","")," ","")),"氏名がマスタと相違／","")&amp;IF(AND($Q2441&lt;&gt;"",INDEX(職員マスタ!$E$6:$E$405,$AN2441)&lt;&gt;"",$Q2441&lt;&gt;INDEX(職員マスタ!$E$6:$E$405,$AN2441)),"子の生年月日がマスタと相違／","")&amp;IF(AND($L2441&lt;&gt;"",INDEX(職員マスタ!$G$6:$G$405,$AN2441)&lt;&gt;"",$L2441&lt;&gt;INDEX(職員マスタ!$G$6:$G$405,$AN2441)),"時短開始日がマスタと相違／","")&amp;IF(AND($M2441&lt;&gt;"",INDEX(職員マスタ!$H$6:$H$405,$AN2441)&lt;&gt;"",$M2441&lt;&gt;INDEX(職員マスタ!$H$6:$H$405,$AN2441)),"時短終了日がマスタと相違／","")))&amp;IF(AND($B2441&lt;&gt;"",$E2441=""),"報酬額が未入力／","")&amp;IF(N($U2441)&gt;0,"申請書に入力エラーが残っています／","")&amp;IF(AND($B2441&lt;&gt;"",$AO2441&lt;&gt;""),IF(COUNTIFS($B$6:$B$3005,$B2441,$C$6:$C$3005,$C2441,$D$6:$D$3005,$D2441)&gt;1,"同じ月の請求が重複しています／",""),"")&amp;IF(AND(N($E2441)&gt;0,$Z2441&lt;&gt;"",$Z2441&lt;&gt;"×",$AC2441=0,$AB2441=""),"計算額が下限以下のため不支給／",""))</f>
        <v/>
      </c>
      <c r="AL2441" s="12" t="n"/>
      <c r="AM2441" s="14">
        <f>IF($AD2441="保留中",COUNTIF($AD$6:$AD2441,"保留中"),"")</f>
        <v/>
      </c>
      <c r="AN2441" s="14">
        <f>IF($AO2441="","",IF(SUMPRODUCT(MAX((職員マスタ!$A$6:$A$405=$B2441)*(((職員マスタ!$G$6:$G$405="")+(職員マスタ!$G$6:$G$405&lt;=EOMONTH($AO2441,0)))&gt;0)*(((職員マスタ!$H$6:$H$405="")+(職員マスタ!$H$6:$H$405&gt;=$AO2441))&gt;0)*(ROW(職員マスタ!$A$6:$A$405)-5)))&gt;0,SUMPRODUCT(MAX((職員マスタ!$A$6:$A$405=$B2441)*(((職員マスタ!$G$6:$G$405="")+(職員マスタ!$G$6:$G$405&lt;=EOMONTH($AO2441,0)))&gt;0)*(((職員マスタ!$H$6:$H$405="")+(職員マスタ!$H$6:$H$405&gt;=$AO2441))&gt;0)*(ROW(職員マスタ!$A$6:$A$405)-5))),IFERROR(MATCH($B2441,職員マスタ!$A$6:$A$405,0),"")))</f>
        <v/>
      </c>
      <c r="AO2441" s="16">
        <f>IF(OR($B2441="",$C2441="",$D2441=""),"",DATE($C2441+2018,$D2441,1))</f>
        <v/>
      </c>
    </row>
    <row r="2442">
      <c r="A2442" s="11" t="n"/>
      <c r="B2442" s="12" t="n"/>
      <c r="C2442" s="12" t="n"/>
      <c r="D2442" s="12" t="n"/>
      <c r="E2442" s="13" t="n"/>
      <c r="F2442" s="12" t="n"/>
      <c r="G2442" s="13" t="n"/>
      <c r="H2442" s="12" t="n"/>
      <c r="I2442" s="12" t="n"/>
      <c r="J2442" s="12" t="n"/>
      <c r="K2442" s="12" t="n"/>
      <c r="L2442" s="11" t="n"/>
      <c r="M2442" s="11" t="n"/>
      <c r="N2442" s="11" t="n"/>
      <c r="O2442" s="11" t="n"/>
      <c r="P2442" s="12" t="n"/>
      <c r="Q2442" s="11" t="n"/>
      <c r="R2442" s="12" t="n"/>
      <c r="S2442" s="11" t="n"/>
      <c r="T2442" s="12" t="n"/>
      <c r="U2442" s="12" t="n"/>
      <c r="V2442" s="14">
        <f>IF($AN2442="",IF($B2442="","",$H2442),IF(INDEX(職員マスタ!$B$6:$B$405,$AN2442)="",$H2442,INDEX(職員マスタ!$B$6:$B$405,$AN2442)))</f>
        <v/>
      </c>
      <c r="W2442" s="14">
        <f>IF($AN2442="",IF($B2442="","",$R2442),IF(INDEX(職員マスタ!$C$6:$C$405,$AN2442)="",$R2442,INDEX(職員マスタ!$C$6:$C$405,$AN2442)))</f>
        <v/>
      </c>
      <c r="X2442" s="14">
        <f>IF($AO2442="","","R"&amp;$C2442&amp;"."&amp;$D2442)</f>
        <v/>
      </c>
      <c r="Y2442" s="15">
        <f>IF($AN2442="","",IF(INDEX(職員マスタ!$K$6:$K$405,$AN2442)="","",INDEX(職員マスタ!$K$6:$K$405,$AN2442)))</f>
        <v/>
      </c>
      <c r="Z2442" s="14">
        <f>IF(OR($E2442="",$Y2442=""),"",IF($E2442&gt;=$Y2442,"×",IF($E2442&gt;=$Y2442*設定!$C$5,"△","○")))</f>
        <v/>
      </c>
      <c r="AA2442" s="15">
        <f>IF($Z2442="","",IF($Z2442="×",0,IF($Z2442="○",ROUNDDOWN($E2442*設定!$C$4,0),ROUNDDOWN($E2442*ROUND((9*$Y2442-9*$E2442)/(10*$E2442),4),0))))</f>
        <v/>
      </c>
      <c r="AB2442" s="13" t="n"/>
      <c r="AC2442" s="15">
        <f>IF($B2442="","",IF($AB2442&lt;&gt;"",$AB2442,IF($AA2442="","",IF($AA2442&lt;=設定!$C$3,0,$AA2442))))</f>
        <v/>
      </c>
      <c r="AD2442" s="14">
        <f>IF($B2442="","",IF(AND($AE2442&lt;&gt;"",$AG2442="",$AJ2442=""),"保留中",IF($AJ2442&lt;&gt;"",IF(N($AC2442)&gt;0,"支給済","不支給"),IF($AC2442="","要確認",IF($AC2442=0,"不支給","未処理")))))</f>
        <v/>
      </c>
      <c r="AE2442" s="12" t="n"/>
      <c r="AF2442" s="11" t="n"/>
      <c r="AG2442" s="11" t="n"/>
      <c r="AH2442" s="11" t="n"/>
      <c r="AI2442" s="14">
        <f>IF(AND($AD2442="保留中",$AF2442&lt;&gt;""),TODAY()-$AF2442,"")</f>
        <v/>
      </c>
      <c r="AJ2442" s="12" t="n"/>
      <c r="AK2442" s="14">
        <f>IF($B2442="","",IF($AO2442="","対象年月が未入力／","")&amp;IF($B2442="","",IF($AN2442="","職員マスタに未登録の職員番号／",IF($Y2442="","標準報酬月額が未登録／","")&amp;IF(AND($AO2442&lt;&gt;"",OR(AND(INDEX(職員マスタ!$G$6:$G$405,$AN2442)&lt;&gt;"",INDEX(職員マスタ!$G$6:$G$405,$AN2442)&gt;EOMONTH($AO2442,0)),AND(INDEX(職員マスタ!$H$6:$H$405,$AN2442)&lt;&gt;"",INDEX(職員マスタ!$H$6:$H$405,$AN2442)&lt;$AO2442))),"対象月が時短期間外／","")&amp;IF(AND(INDEX(職員マスタ!$F$6:$F$405,$AN2442)&lt;&gt;"",$AO2442&lt;&gt;"",INDEX(職員マスタ!$F$6:$F$405,$AN2442)&lt;$AO2442),"対象月に子が2歳到達済／","")&amp;IF(AND($H2442&lt;&gt;"",INDEX(職員マスタ!$B$6:$B$405,$AN2442)&lt;&gt;"",SUBSTITUTE(SUBSTITUTE($H2442," ","")," ","")&lt;&gt;SUBSTITUTE(SUBSTITUTE(INDEX(職員マスタ!$B$6:$B$405,$AN2442)," ","")," ","")),"氏名がマスタと相違／","")&amp;IF(AND($Q2442&lt;&gt;"",INDEX(職員マスタ!$E$6:$E$405,$AN2442)&lt;&gt;"",$Q2442&lt;&gt;INDEX(職員マスタ!$E$6:$E$405,$AN2442)),"子の生年月日がマスタと相違／","")&amp;IF(AND($L2442&lt;&gt;"",INDEX(職員マスタ!$G$6:$G$405,$AN2442)&lt;&gt;"",$L2442&lt;&gt;INDEX(職員マスタ!$G$6:$G$405,$AN2442)),"時短開始日がマスタと相違／","")&amp;IF(AND($M2442&lt;&gt;"",INDEX(職員マスタ!$H$6:$H$405,$AN2442)&lt;&gt;"",$M2442&lt;&gt;INDEX(職員マスタ!$H$6:$H$405,$AN2442)),"時短終了日がマスタと相違／","")))&amp;IF(AND($B2442&lt;&gt;"",$E2442=""),"報酬額が未入力／","")&amp;IF(N($U2442)&gt;0,"申請書に入力エラーが残っています／","")&amp;IF(AND($B2442&lt;&gt;"",$AO2442&lt;&gt;""),IF(COUNTIFS($B$6:$B$3005,$B2442,$C$6:$C$3005,$C2442,$D$6:$D$3005,$D2442)&gt;1,"同じ月の請求が重複しています／",""),"")&amp;IF(AND(N($E2442)&gt;0,$Z2442&lt;&gt;"",$Z2442&lt;&gt;"×",$AC2442=0,$AB2442=""),"計算額が下限以下のため不支給／",""))</f>
        <v/>
      </c>
      <c r="AL2442" s="12" t="n"/>
      <c r="AM2442" s="14">
        <f>IF($AD2442="保留中",COUNTIF($AD$6:$AD2442,"保留中"),"")</f>
        <v/>
      </c>
      <c r="AN2442" s="14">
        <f>IF($AO2442="","",IF(SUMPRODUCT(MAX((職員マスタ!$A$6:$A$405=$B2442)*(((職員マスタ!$G$6:$G$405="")+(職員マスタ!$G$6:$G$405&lt;=EOMONTH($AO2442,0)))&gt;0)*(((職員マスタ!$H$6:$H$405="")+(職員マスタ!$H$6:$H$405&gt;=$AO2442))&gt;0)*(ROW(職員マスタ!$A$6:$A$405)-5)))&gt;0,SUMPRODUCT(MAX((職員マスタ!$A$6:$A$405=$B2442)*(((職員マスタ!$G$6:$G$405="")+(職員マスタ!$G$6:$G$405&lt;=EOMONTH($AO2442,0)))&gt;0)*(((職員マスタ!$H$6:$H$405="")+(職員マスタ!$H$6:$H$405&gt;=$AO2442))&gt;0)*(ROW(職員マスタ!$A$6:$A$405)-5))),IFERROR(MATCH($B2442,職員マスタ!$A$6:$A$405,0),"")))</f>
        <v/>
      </c>
      <c r="AO2442" s="16">
        <f>IF(OR($B2442="",$C2442="",$D2442=""),"",DATE($C2442+2018,$D2442,1))</f>
        <v/>
      </c>
    </row>
    <row r="2443">
      <c r="A2443" s="11" t="n"/>
      <c r="B2443" s="12" t="n"/>
      <c r="C2443" s="12" t="n"/>
      <c r="D2443" s="12" t="n"/>
      <c r="E2443" s="13" t="n"/>
      <c r="F2443" s="12" t="n"/>
      <c r="G2443" s="13" t="n"/>
      <c r="H2443" s="12" t="n"/>
      <c r="I2443" s="12" t="n"/>
      <c r="J2443" s="12" t="n"/>
      <c r="K2443" s="12" t="n"/>
      <c r="L2443" s="11" t="n"/>
      <c r="M2443" s="11" t="n"/>
      <c r="N2443" s="11" t="n"/>
      <c r="O2443" s="11" t="n"/>
      <c r="P2443" s="12" t="n"/>
      <c r="Q2443" s="11" t="n"/>
      <c r="R2443" s="12" t="n"/>
      <c r="S2443" s="11" t="n"/>
      <c r="T2443" s="12" t="n"/>
      <c r="U2443" s="12" t="n"/>
      <c r="V2443" s="14">
        <f>IF($AN2443="",IF($B2443="","",$H2443),IF(INDEX(職員マスタ!$B$6:$B$405,$AN2443)="",$H2443,INDEX(職員マスタ!$B$6:$B$405,$AN2443)))</f>
        <v/>
      </c>
      <c r="W2443" s="14">
        <f>IF($AN2443="",IF($B2443="","",$R2443),IF(INDEX(職員マスタ!$C$6:$C$405,$AN2443)="",$R2443,INDEX(職員マスタ!$C$6:$C$405,$AN2443)))</f>
        <v/>
      </c>
      <c r="X2443" s="14">
        <f>IF($AO2443="","","R"&amp;$C2443&amp;"."&amp;$D2443)</f>
        <v/>
      </c>
      <c r="Y2443" s="15">
        <f>IF($AN2443="","",IF(INDEX(職員マスタ!$K$6:$K$405,$AN2443)="","",INDEX(職員マスタ!$K$6:$K$405,$AN2443)))</f>
        <v/>
      </c>
      <c r="Z2443" s="14">
        <f>IF(OR($E2443="",$Y2443=""),"",IF($E2443&gt;=$Y2443,"×",IF($E2443&gt;=$Y2443*設定!$C$5,"△","○")))</f>
        <v/>
      </c>
      <c r="AA2443" s="15">
        <f>IF($Z2443="","",IF($Z2443="×",0,IF($Z2443="○",ROUNDDOWN($E2443*設定!$C$4,0),ROUNDDOWN($E2443*ROUND((9*$Y2443-9*$E2443)/(10*$E2443),4),0))))</f>
        <v/>
      </c>
      <c r="AB2443" s="13" t="n"/>
      <c r="AC2443" s="15">
        <f>IF($B2443="","",IF($AB2443&lt;&gt;"",$AB2443,IF($AA2443="","",IF($AA2443&lt;=設定!$C$3,0,$AA2443))))</f>
        <v/>
      </c>
      <c r="AD2443" s="14">
        <f>IF($B2443="","",IF(AND($AE2443&lt;&gt;"",$AG2443="",$AJ2443=""),"保留中",IF($AJ2443&lt;&gt;"",IF(N($AC2443)&gt;0,"支給済","不支給"),IF($AC2443="","要確認",IF($AC2443=0,"不支給","未処理")))))</f>
        <v/>
      </c>
      <c r="AE2443" s="12" t="n"/>
      <c r="AF2443" s="11" t="n"/>
      <c r="AG2443" s="11" t="n"/>
      <c r="AH2443" s="11" t="n"/>
      <c r="AI2443" s="14">
        <f>IF(AND($AD2443="保留中",$AF2443&lt;&gt;""),TODAY()-$AF2443,"")</f>
        <v/>
      </c>
      <c r="AJ2443" s="12" t="n"/>
      <c r="AK2443" s="14">
        <f>IF($B2443="","",IF($AO2443="","対象年月が未入力／","")&amp;IF($B2443="","",IF($AN2443="","職員マスタに未登録の職員番号／",IF($Y2443="","標準報酬月額が未登録／","")&amp;IF(AND($AO2443&lt;&gt;"",OR(AND(INDEX(職員マスタ!$G$6:$G$405,$AN2443)&lt;&gt;"",INDEX(職員マスタ!$G$6:$G$405,$AN2443)&gt;EOMONTH($AO2443,0)),AND(INDEX(職員マスタ!$H$6:$H$405,$AN2443)&lt;&gt;"",INDEX(職員マスタ!$H$6:$H$405,$AN2443)&lt;$AO2443))),"対象月が時短期間外／","")&amp;IF(AND(INDEX(職員マスタ!$F$6:$F$405,$AN2443)&lt;&gt;"",$AO2443&lt;&gt;"",INDEX(職員マスタ!$F$6:$F$405,$AN2443)&lt;$AO2443),"対象月に子が2歳到達済／","")&amp;IF(AND($H2443&lt;&gt;"",INDEX(職員マスタ!$B$6:$B$405,$AN2443)&lt;&gt;"",SUBSTITUTE(SUBSTITUTE($H2443," ","")," ","")&lt;&gt;SUBSTITUTE(SUBSTITUTE(INDEX(職員マスタ!$B$6:$B$405,$AN2443)," ","")," ","")),"氏名がマスタと相違／","")&amp;IF(AND($Q2443&lt;&gt;"",INDEX(職員マスタ!$E$6:$E$405,$AN2443)&lt;&gt;"",$Q2443&lt;&gt;INDEX(職員マスタ!$E$6:$E$405,$AN2443)),"子の生年月日がマスタと相違／","")&amp;IF(AND($L2443&lt;&gt;"",INDEX(職員マスタ!$G$6:$G$405,$AN2443)&lt;&gt;"",$L2443&lt;&gt;INDEX(職員マスタ!$G$6:$G$405,$AN2443)),"時短開始日がマスタと相違／","")&amp;IF(AND($M2443&lt;&gt;"",INDEX(職員マスタ!$H$6:$H$405,$AN2443)&lt;&gt;"",$M2443&lt;&gt;INDEX(職員マスタ!$H$6:$H$405,$AN2443)),"時短終了日がマスタと相違／","")))&amp;IF(AND($B2443&lt;&gt;"",$E2443=""),"報酬額が未入力／","")&amp;IF(N($U2443)&gt;0,"申請書に入力エラーが残っています／","")&amp;IF(AND($B2443&lt;&gt;"",$AO2443&lt;&gt;""),IF(COUNTIFS($B$6:$B$3005,$B2443,$C$6:$C$3005,$C2443,$D$6:$D$3005,$D2443)&gt;1,"同じ月の請求が重複しています／",""),"")&amp;IF(AND(N($E2443)&gt;0,$Z2443&lt;&gt;"",$Z2443&lt;&gt;"×",$AC2443=0,$AB2443=""),"計算額が下限以下のため不支給／",""))</f>
        <v/>
      </c>
      <c r="AL2443" s="12" t="n"/>
      <c r="AM2443" s="14">
        <f>IF($AD2443="保留中",COUNTIF($AD$6:$AD2443,"保留中"),"")</f>
        <v/>
      </c>
      <c r="AN2443" s="14">
        <f>IF($AO2443="","",IF(SUMPRODUCT(MAX((職員マスタ!$A$6:$A$405=$B2443)*(((職員マスタ!$G$6:$G$405="")+(職員マスタ!$G$6:$G$405&lt;=EOMONTH($AO2443,0)))&gt;0)*(((職員マスタ!$H$6:$H$405="")+(職員マスタ!$H$6:$H$405&gt;=$AO2443))&gt;0)*(ROW(職員マスタ!$A$6:$A$405)-5)))&gt;0,SUMPRODUCT(MAX((職員マスタ!$A$6:$A$405=$B2443)*(((職員マスタ!$G$6:$G$405="")+(職員マスタ!$G$6:$G$405&lt;=EOMONTH($AO2443,0)))&gt;0)*(((職員マスタ!$H$6:$H$405="")+(職員マスタ!$H$6:$H$405&gt;=$AO2443))&gt;0)*(ROW(職員マスタ!$A$6:$A$405)-5))),IFERROR(MATCH($B2443,職員マスタ!$A$6:$A$405,0),"")))</f>
        <v/>
      </c>
      <c r="AO2443" s="16">
        <f>IF(OR($B2443="",$C2443="",$D2443=""),"",DATE($C2443+2018,$D2443,1))</f>
        <v/>
      </c>
    </row>
    <row r="2444">
      <c r="A2444" s="11" t="n"/>
      <c r="B2444" s="12" t="n"/>
      <c r="C2444" s="12" t="n"/>
      <c r="D2444" s="12" t="n"/>
      <c r="E2444" s="13" t="n"/>
      <c r="F2444" s="12" t="n"/>
      <c r="G2444" s="13" t="n"/>
      <c r="H2444" s="12" t="n"/>
      <c r="I2444" s="12" t="n"/>
      <c r="J2444" s="12" t="n"/>
      <c r="K2444" s="12" t="n"/>
      <c r="L2444" s="11" t="n"/>
      <c r="M2444" s="11" t="n"/>
      <c r="N2444" s="11" t="n"/>
      <c r="O2444" s="11" t="n"/>
      <c r="P2444" s="12" t="n"/>
      <c r="Q2444" s="11" t="n"/>
      <c r="R2444" s="12" t="n"/>
      <c r="S2444" s="11" t="n"/>
      <c r="T2444" s="12" t="n"/>
      <c r="U2444" s="12" t="n"/>
      <c r="V2444" s="14">
        <f>IF($AN2444="",IF($B2444="","",$H2444),IF(INDEX(職員マスタ!$B$6:$B$405,$AN2444)="",$H2444,INDEX(職員マスタ!$B$6:$B$405,$AN2444)))</f>
        <v/>
      </c>
      <c r="W2444" s="14">
        <f>IF($AN2444="",IF($B2444="","",$R2444),IF(INDEX(職員マスタ!$C$6:$C$405,$AN2444)="",$R2444,INDEX(職員マスタ!$C$6:$C$405,$AN2444)))</f>
        <v/>
      </c>
      <c r="X2444" s="14">
        <f>IF($AO2444="","","R"&amp;$C2444&amp;"."&amp;$D2444)</f>
        <v/>
      </c>
      <c r="Y2444" s="15">
        <f>IF($AN2444="","",IF(INDEX(職員マスタ!$K$6:$K$405,$AN2444)="","",INDEX(職員マスタ!$K$6:$K$405,$AN2444)))</f>
        <v/>
      </c>
      <c r="Z2444" s="14">
        <f>IF(OR($E2444="",$Y2444=""),"",IF($E2444&gt;=$Y2444,"×",IF($E2444&gt;=$Y2444*設定!$C$5,"△","○")))</f>
        <v/>
      </c>
      <c r="AA2444" s="15">
        <f>IF($Z2444="","",IF($Z2444="×",0,IF($Z2444="○",ROUNDDOWN($E2444*設定!$C$4,0),ROUNDDOWN($E2444*ROUND((9*$Y2444-9*$E2444)/(10*$E2444),4),0))))</f>
        <v/>
      </c>
      <c r="AB2444" s="13" t="n"/>
      <c r="AC2444" s="15">
        <f>IF($B2444="","",IF($AB2444&lt;&gt;"",$AB2444,IF($AA2444="","",IF($AA2444&lt;=設定!$C$3,0,$AA2444))))</f>
        <v/>
      </c>
      <c r="AD2444" s="14">
        <f>IF($B2444="","",IF(AND($AE2444&lt;&gt;"",$AG2444="",$AJ2444=""),"保留中",IF($AJ2444&lt;&gt;"",IF(N($AC2444)&gt;0,"支給済","不支給"),IF($AC2444="","要確認",IF($AC2444=0,"不支給","未処理")))))</f>
        <v/>
      </c>
      <c r="AE2444" s="12" t="n"/>
      <c r="AF2444" s="11" t="n"/>
      <c r="AG2444" s="11" t="n"/>
      <c r="AH2444" s="11" t="n"/>
      <c r="AI2444" s="14">
        <f>IF(AND($AD2444="保留中",$AF2444&lt;&gt;""),TODAY()-$AF2444,"")</f>
        <v/>
      </c>
      <c r="AJ2444" s="12" t="n"/>
      <c r="AK2444" s="14">
        <f>IF($B2444="","",IF($AO2444="","対象年月が未入力／","")&amp;IF($B2444="","",IF($AN2444="","職員マスタに未登録の職員番号／",IF($Y2444="","標準報酬月額が未登録／","")&amp;IF(AND($AO2444&lt;&gt;"",OR(AND(INDEX(職員マスタ!$G$6:$G$405,$AN2444)&lt;&gt;"",INDEX(職員マスタ!$G$6:$G$405,$AN2444)&gt;EOMONTH($AO2444,0)),AND(INDEX(職員マスタ!$H$6:$H$405,$AN2444)&lt;&gt;"",INDEX(職員マスタ!$H$6:$H$405,$AN2444)&lt;$AO2444))),"対象月が時短期間外／","")&amp;IF(AND(INDEX(職員マスタ!$F$6:$F$405,$AN2444)&lt;&gt;"",$AO2444&lt;&gt;"",INDEX(職員マスタ!$F$6:$F$405,$AN2444)&lt;$AO2444),"対象月に子が2歳到達済／","")&amp;IF(AND($H2444&lt;&gt;"",INDEX(職員マスタ!$B$6:$B$405,$AN2444)&lt;&gt;"",SUBSTITUTE(SUBSTITUTE($H2444," ","")," ","")&lt;&gt;SUBSTITUTE(SUBSTITUTE(INDEX(職員マスタ!$B$6:$B$405,$AN2444)," ","")," ","")),"氏名がマスタと相違／","")&amp;IF(AND($Q2444&lt;&gt;"",INDEX(職員マスタ!$E$6:$E$405,$AN2444)&lt;&gt;"",$Q2444&lt;&gt;INDEX(職員マスタ!$E$6:$E$405,$AN2444)),"子の生年月日がマスタと相違／","")&amp;IF(AND($L2444&lt;&gt;"",INDEX(職員マスタ!$G$6:$G$405,$AN2444)&lt;&gt;"",$L2444&lt;&gt;INDEX(職員マスタ!$G$6:$G$405,$AN2444)),"時短開始日がマスタと相違／","")&amp;IF(AND($M2444&lt;&gt;"",INDEX(職員マスタ!$H$6:$H$405,$AN2444)&lt;&gt;"",$M2444&lt;&gt;INDEX(職員マスタ!$H$6:$H$405,$AN2444)),"時短終了日がマスタと相違／","")))&amp;IF(AND($B2444&lt;&gt;"",$E2444=""),"報酬額が未入力／","")&amp;IF(N($U2444)&gt;0,"申請書に入力エラーが残っています／","")&amp;IF(AND($B2444&lt;&gt;"",$AO2444&lt;&gt;""),IF(COUNTIFS($B$6:$B$3005,$B2444,$C$6:$C$3005,$C2444,$D$6:$D$3005,$D2444)&gt;1,"同じ月の請求が重複しています／",""),"")&amp;IF(AND(N($E2444)&gt;0,$Z2444&lt;&gt;"",$Z2444&lt;&gt;"×",$AC2444=0,$AB2444=""),"計算額が下限以下のため不支給／",""))</f>
        <v/>
      </c>
      <c r="AL2444" s="12" t="n"/>
      <c r="AM2444" s="14">
        <f>IF($AD2444="保留中",COUNTIF($AD$6:$AD2444,"保留中"),"")</f>
        <v/>
      </c>
      <c r="AN2444" s="14">
        <f>IF($AO2444="","",IF(SUMPRODUCT(MAX((職員マスタ!$A$6:$A$405=$B2444)*(((職員マスタ!$G$6:$G$405="")+(職員マスタ!$G$6:$G$405&lt;=EOMONTH($AO2444,0)))&gt;0)*(((職員マスタ!$H$6:$H$405="")+(職員マスタ!$H$6:$H$405&gt;=$AO2444))&gt;0)*(ROW(職員マスタ!$A$6:$A$405)-5)))&gt;0,SUMPRODUCT(MAX((職員マスタ!$A$6:$A$405=$B2444)*(((職員マスタ!$G$6:$G$405="")+(職員マスタ!$G$6:$G$405&lt;=EOMONTH($AO2444,0)))&gt;0)*(((職員マスタ!$H$6:$H$405="")+(職員マスタ!$H$6:$H$405&gt;=$AO2444))&gt;0)*(ROW(職員マスタ!$A$6:$A$405)-5))),IFERROR(MATCH($B2444,職員マスタ!$A$6:$A$405,0),"")))</f>
        <v/>
      </c>
      <c r="AO2444" s="16">
        <f>IF(OR($B2444="",$C2444="",$D2444=""),"",DATE($C2444+2018,$D2444,1))</f>
        <v/>
      </c>
    </row>
    <row r="2445">
      <c r="A2445" s="11" t="n"/>
      <c r="B2445" s="12" t="n"/>
      <c r="C2445" s="12" t="n"/>
      <c r="D2445" s="12" t="n"/>
      <c r="E2445" s="13" t="n"/>
      <c r="F2445" s="12" t="n"/>
      <c r="G2445" s="13" t="n"/>
      <c r="H2445" s="12" t="n"/>
      <c r="I2445" s="12" t="n"/>
      <c r="J2445" s="12" t="n"/>
      <c r="K2445" s="12" t="n"/>
      <c r="L2445" s="11" t="n"/>
      <c r="M2445" s="11" t="n"/>
      <c r="N2445" s="11" t="n"/>
      <c r="O2445" s="11" t="n"/>
      <c r="P2445" s="12" t="n"/>
      <c r="Q2445" s="11" t="n"/>
      <c r="R2445" s="12" t="n"/>
      <c r="S2445" s="11" t="n"/>
      <c r="T2445" s="12" t="n"/>
      <c r="U2445" s="12" t="n"/>
      <c r="V2445" s="14">
        <f>IF($AN2445="",IF($B2445="","",$H2445),IF(INDEX(職員マスタ!$B$6:$B$405,$AN2445)="",$H2445,INDEX(職員マスタ!$B$6:$B$405,$AN2445)))</f>
        <v/>
      </c>
      <c r="W2445" s="14">
        <f>IF($AN2445="",IF($B2445="","",$R2445),IF(INDEX(職員マスタ!$C$6:$C$405,$AN2445)="",$R2445,INDEX(職員マスタ!$C$6:$C$405,$AN2445)))</f>
        <v/>
      </c>
      <c r="X2445" s="14">
        <f>IF($AO2445="","","R"&amp;$C2445&amp;"."&amp;$D2445)</f>
        <v/>
      </c>
      <c r="Y2445" s="15">
        <f>IF($AN2445="","",IF(INDEX(職員マスタ!$K$6:$K$405,$AN2445)="","",INDEX(職員マスタ!$K$6:$K$405,$AN2445)))</f>
        <v/>
      </c>
      <c r="Z2445" s="14">
        <f>IF(OR($E2445="",$Y2445=""),"",IF($E2445&gt;=$Y2445,"×",IF($E2445&gt;=$Y2445*設定!$C$5,"△","○")))</f>
        <v/>
      </c>
      <c r="AA2445" s="15">
        <f>IF($Z2445="","",IF($Z2445="×",0,IF($Z2445="○",ROUNDDOWN($E2445*設定!$C$4,0),ROUNDDOWN($E2445*ROUND((9*$Y2445-9*$E2445)/(10*$E2445),4),0))))</f>
        <v/>
      </c>
      <c r="AB2445" s="13" t="n"/>
      <c r="AC2445" s="15">
        <f>IF($B2445="","",IF($AB2445&lt;&gt;"",$AB2445,IF($AA2445="","",IF($AA2445&lt;=設定!$C$3,0,$AA2445))))</f>
        <v/>
      </c>
      <c r="AD2445" s="14">
        <f>IF($B2445="","",IF(AND($AE2445&lt;&gt;"",$AG2445="",$AJ2445=""),"保留中",IF($AJ2445&lt;&gt;"",IF(N($AC2445)&gt;0,"支給済","不支給"),IF($AC2445="","要確認",IF($AC2445=0,"不支給","未処理")))))</f>
        <v/>
      </c>
      <c r="AE2445" s="12" t="n"/>
      <c r="AF2445" s="11" t="n"/>
      <c r="AG2445" s="11" t="n"/>
      <c r="AH2445" s="11" t="n"/>
      <c r="AI2445" s="14">
        <f>IF(AND($AD2445="保留中",$AF2445&lt;&gt;""),TODAY()-$AF2445,"")</f>
        <v/>
      </c>
      <c r="AJ2445" s="12" t="n"/>
      <c r="AK2445" s="14">
        <f>IF($B2445="","",IF($AO2445="","対象年月が未入力／","")&amp;IF($B2445="","",IF($AN2445="","職員マスタに未登録の職員番号／",IF($Y2445="","標準報酬月額が未登録／","")&amp;IF(AND($AO2445&lt;&gt;"",OR(AND(INDEX(職員マスタ!$G$6:$G$405,$AN2445)&lt;&gt;"",INDEX(職員マスタ!$G$6:$G$405,$AN2445)&gt;EOMONTH($AO2445,0)),AND(INDEX(職員マスタ!$H$6:$H$405,$AN2445)&lt;&gt;"",INDEX(職員マスタ!$H$6:$H$405,$AN2445)&lt;$AO2445))),"対象月が時短期間外／","")&amp;IF(AND(INDEX(職員マスタ!$F$6:$F$405,$AN2445)&lt;&gt;"",$AO2445&lt;&gt;"",INDEX(職員マスタ!$F$6:$F$405,$AN2445)&lt;$AO2445),"対象月に子が2歳到達済／","")&amp;IF(AND($H2445&lt;&gt;"",INDEX(職員マスタ!$B$6:$B$405,$AN2445)&lt;&gt;"",SUBSTITUTE(SUBSTITUTE($H2445," ","")," ","")&lt;&gt;SUBSTITUTE(SUBSTITUTE(INDEX(職員マスタ!$B$6:$B$405,$AN2445)," ","")," ","")),"氏名がマスタと相違／","")&amp;IF(AND($Q2445&lt;&gt;"",INDEX(職員マスタ!$E$6:$E$405,$AN2445)&lt;&gt;"",$Q2445&lt;&gt;INDEX(職員マスタ!$E$6:$E$405,$AN2445)),"子の生年月日がマスタと相違／","")&amp;IF(AND($L2445&lt;&gt;"",INDEX(職員マスタ!$G$6:$G$405,$AN2445)&lt;&gt;"",$L2445&lt;&gt;INDEX(職員マスタ!$G$6:$G$405,$AN2445)),"時短開始日がマスタと相違／","")&amp;IF(AND($M2445&lt;&gt;"",INDEX(職員マスタ!$H$6:$H$405,$AN2445)&lt;&gt;"",$M2445&lt;&gt;INDEX(職員マスタ!$H$6:$H$405,$AN2445)),"時短終了日がマスタと相違／","")))&amp;IF(AND($B2445&lt;&gt;"",$E2445=""),"報酬額が未入力／","")&amp;IF(N($U2445)&gt;0,"申請書に入力エラーが残っています／","")&amp;IF(AND($B2445&lt;&gt;"",$AO2445&lt;&gt;""),IF(COUNTIFS($B$6:$B$3005,$B2445,$C$6:$C$3005,$C2445,$D$6:$D$3005,$D2445)&gt;1,"同じ月の請求が重複しています／",""),"")&amp;IF(AND(N($E2445)&gt;0,$Z2445&lt;&gt;"",$Z2445&lt;&gt;"×",$AC2445=0,$AB2445=""),"計算額が下限以下のため不支給／",""))</f>
        <v/>
      </c>
      <c r="AL2445" s="12" t="n"/>
      <c r="AM2445" s="14">
        <f>IF($AD2445="保留中",COUNTIF($AD$6:$AD2445,"保留中"),"")</f>
        <v/>
      </c>
      <c r="AN2445" s="14">
        <f>IF($AO2445="","",IF(SUMPRODUCT(MAX((職員マスタ!$A$6:$A$405=$B2445)*(((職員マスタ!$G$6:$G$405="")+(職員マスタ!$G$6:$G$405&lt;=EOMONTH($AO2445,0)))&gt;0)*(((職員マスタ!$H$6:$H$405="")+(職員マスタ!$H$6:$H$405&gt;=$AO2445))&gt;0)*(ROW(職員マスタ!$A$6:$A$405)-5)))&gt;0,SUMPRODUCT(MAX((職員マスタ!$A$6:$A$405=$B2445)*(((職員マスタ!$G$6:$G$405="")+(職員マスタ!$G$6:$G$405&lt;=EOMONTH($AO2445,0)))&gt;0)*(((職員マスタ!$H$6:$H$405="")+(職員マスタ!$H$6:$H$405&gt;=$AO2445))&gt;0)*(ROW(職員マスタ!$A$6:$A$405)-5))),IFERROR(MATCH($B2445,職員マスタ!$A$6:$A$405,0),"")))</f>
        <v/>
      </c>
      <c r="AO2445" s="16">
        <f>IF(OR($B2445="",$C2445="",$D2445=""),"",DATE($C2445+2018,$D2445,1))</f>
        <v/>
      </c>
    </row>
    <row r="2446">
      <c r="A2446" s="11" t="n"/>
      <c r="B2446" s="12" t="n"/>
      <c r="C2446" s="12" t="n"/>
      <c r="D2446" s="12" t="n"/>
      <c r="E2446" s="13" t="n"/>
      <c r="F2446" s="12" t="n"/>
      <c r="G2446" s="13" t="n"/>
      <c r="H2446" s="12" t="n"/>
      <c r="I2446" s="12" t="n"/>
      <c r="J2446" s="12" t="n"/>
      <c r="K2446" s="12" t="n"/>
      <c r="L2446" s="11" t="n"/>
      <c r="M2446" s="11" t="n"/>
      <c r="N2446" s="11" t="n"/>
      <c r="O2446" s="11" t="n"/>
      <c r="P2446" s="12" t="n"/>
      <c r="Q2446" s="11" t="n"/>
      <c r="R2446" s="12" t="n"/>
      <c r="S2446" s="11" t="n"/>
      <c r="T2446" s="12" t="n"/>
      <c r="U2446" s="12" t="n"/>
      <c r="V2446" s="14">
        <f>IF($AN2446="",IF($B2446="","",$H2446),IF(INDEX(職員マスタ!$B$6:$B$405,$AN2446)="",$H2446,INDEX(職員マスタ!$B$6:$B$405,$AN2446)))</f>
        <v/>
      </c>
      <c r="W2446" s="14">
        <f>IF($AN2446="",IF($B2446="","",$R2446),IF(INDEX(職員マスタ!$C$6:$C$405,$AN2446)="",$R2446,INDEX(職員マスタ!$C$6:$C$405,$AN2446)))</f>
        <v/>
      </c>
      <c r="X2446" s="14">
        <f>IF($AO2446="","","R"&amp;$C2446&amp;"."&amp;$D2446)</f>
        <v/>
      </c>
      <c r="Y2446" s="15">
        <f>IF($AN2446="","",IF(INDEX(職員マスタ!$K$6:$K$405,$AN2446)="","",INDEX(職員マスタ!$K$6:$K$405,$AN2446)))</f>
        <v/>
      </c>
      <c r="Z2446" s="14">
        <f>IF(OR($E2446="",$Y2446=""),"",IF($E2446&gt;=$Y2446,"×",IF($E2446&gt;=$Y2446*設定!$C$5,"△","○")))</f>
        <v/>
      </c>
      <c r="AA2446" s="15">
        <f>IF($Z2446="","",IF($Z2446="×",0,IF($Z2446="○",ROUNDDOWN($E2446*設定!$C$4,0),ROUNDDOWN($E2446*ROUND((9*$Y2446-9*$E2446)/(10*$E2446),4),0))))</f>
        <v/>
      </c>
      <c r="AB2446" s="13" t="n"/>
      <c r="AC2446" s="15">
        <f>IF($B2446="","",IF($AB2446&lt;&gt;"",$AB2446,IF($AA2446="","",IF($AA2446&lt;=設定!$C$3,0,$AA2446))))</f>
        <v/>
      </c>
      <c r="AD2446" s="14">
        <f>IF($B2446="","",IF(AND($AE2446&lt;&gt;"",$AG2446="",$AJ2446=""),"保留中",IF($AJ2446&lt;&gt;"",IF(N($AC2446)&gt;0,"支給済","不支給"),IF($AC2446="","要確認",IF($AC2446=0,"不支給","未処理")))))</f>
        <v/>
      </c>
      <c r="AE2446" s="12" t="n"/>
      <c r="AF2446" s="11" t="n"/>
      <c r="AG2446" s="11" t="n"/>
      <c r="AH2446" s="11" t="n"/>
      <c r="AI2446" s="14">
        <f>IF(AND($AD2446="保留中",$AF2446&lt;&gt;""),TODAY()-$AF2446,"")</f>
        <v/>
      </c>
      <c r="AJ2446" s="12" t="n"/>
      <c r="AK2446" s="14">
        <f>IF($B2446="","",IF($AO2446="","対象年月が未入力／","")&amp;IF($B2446="","",IF($AN2446="","職員マスタに未登録の職員番号／",IF($Y2446="","標準報酬月額が未登録／","")&amp;IF(AND($AO2446&lt;&gt;"",OR(AND(INDEX(職員マスタ!$G$6:$G$405,$AN2446)&lt;&gt;"",INDEX(職員マスタ!$G$6:$G$405,$AN2446)&gt;EOMONTH($AO2446,0)),AND(INDEX(職員マスタ!$H$6:$H$405,$AN2446)&lt;&gt;"",INDEX(職員マスタ!$H$6:$H$405,$AN2446)&lt;$AO2446))),"対象月が時短期間外／","")&amp;IF(AND(INDEX(職員マスタ!$F$6:$F$405,$AN2446)&lt;&gt;"",$AO2446&lt;&gt;"",INDEX(職員マスタ!$F$6:$F$405,$AN2446)&lt;$AO2446),"対象月に子が2歳到達済／","")&amp;IF(AND($H2446&lt;&gt;"",INDEX(職員マスタ!$B$6:$B$405,$AN2446)&lt;&gt;"",SUBSTITUTE(SUBSTITUTE($H2446," ","")," ","")&lt;&gt;SUBSTITUTE(SUBSTITUTE(INDEX(職員マスタ!$B$6:$B$405,$AN2446)," ","")," ","")),"氏名がマスタと相違／","")&amp;IF(AND($Q2446&lt;&gt;"",INDEX(職員マスタ!$E$6:$E$405,$AN2446)&lt;&gt;"",$Q2446&lt;&gt;INDEX(職員マスタ!$E$6:$E$405,$AN2446)),"子の生年月日がマスタと相違／","")&amp;IF(AND($L2446&lt;&gt;"",INDEX(職員マスタ!$G$6:$G$405,$AN2446)&lt;&gt;"",$L2446&lt;&gt;INDEX(職員マスタ!$G$6:$G$405,$AN2446)),"時短開始日がマスタと相違／","")&amp;IF(AND($M2446&lt;&gt;"",INDEX(職員マスタ!$H$6:$H$405,$AN2446)&lt;&gt;"",$M2446&lt;&gt;INDEX(職員マスタ!$H$6:$H$405,$AN2446)),"時短終了日がマスタと相違／","")))&amp;IF(AND($B2446&lt;&gt;"",$E2446=""),"報酬額が未入力／","")&amp;IF(N($U2446)&gt;0,"申請書に入力エラーが残っています／","")&amp;IF(AND($B2446&lt;&gt;"",$AO2446&lt;&gt;""),IF(COUNTIFS($B$6:$B$3005,$B2446,$C$6:$C$3005,$C2446,$D$6:$D$3005,$D2446)&gt;1,"同じ月の請求が重複しています／",""),"")&amp;IF(AND(N($E2446)&gt;0,$Z2446&lt;&gt;"",$Z2446&lt;&gt;"×",$AC2446=0,$AB2446=""),"計算額が下限以下のため不支給／",""))</f>
        <v/>
      </c>
      <c r="AL2446" s="12" t="n"/>
      <c r="AM2446" s="14">
        <f>IF($AD2446="保留中",COUNTIF($AD$6:$AD2446,"保留中"),"")</f>
        <v/>
      </c>
      <c r="AN2446" s="14">
        <f>IF($AO2446="","",IF(SUMPRODUCT(MAX((職員マスタ!$A$6:$A$405=$B2446)*(((職員マスタ!$G$6:$G$405="")+(職員マスタ!$G$6:$G$405&lt;=EOMONTH($AO2446,0)))&gt;0)*(((職員マスタ!$H$6:$H$405="")+(職員マスタ!$H$6:$H$405&gt;=$AO2446))&gt;0)*(ROW(職員マスタ!$A$6:$A$405)-5)))&gt;0,SUMPRODUCT(MAX((職員マスタ!$A$6:$A$405=$B2446)*(((職員マスタ!$G$6:$G$405="")+(職員マスタ!$G$6:$G$405&lt;=EOMONTH($AO2446,0)))&gt;0)*(((職員マスタ!$H$6:$H$405="")+(職員マスタ!$H$6:$H$405&gt;=$AO2446))&gt;0)*(ROW(職員マスタ!$A$6:$A$405)-5))),IFERROR(MATCH($B2446,職員マスタ!$A$6:$A$405,0),"")))</f>
        <v/>
      </c>
      <c r="AO2446" s="16">
        <f>IF(OR($B2446="",$C2446="",$D2446=""),"",DATE($C2446+2018,$D2446,1))</f>
        <v/>
      </c>
    </row>
    <row r="2447">
      <c r="A2447" s="11" t="n"/>
      <c r="B2447" s="12" t="n"/>
      <c r="C2447" s="12" t="n"/>
      <c r="D2447" s="12" t="n"/>
      <c r="E2447" s="13" t="n"/>
      <c r="F2447" s="12" t="n"/>
      <c r="G2447" s="13" t="n"/>
      <c r="H2447" s="12" t="n"/>
      <c r="I2447" s="12" t="n"/>
      <c r="J2447" s="12" t="n"/>
      <c r="K2447" s="12" t="n"/>
      <c r="L2447" s="11" t="n"/>
      <c r="M2447" s="11" t="n"/>
      <c r="N2447" s="11" t="n"/>
      <c r="O2447" s="11" t="n"/>
      <c r="P2447" s="12" t="n"/>
      <c r="Q2447" s="11" t="n"/>
      <c r="R2447" s="12" t="n"/>
      <c r="S2447" s="11" t="n"/>
      <c r="T2447" s="12" t="n"/>
      <c r="U2447" s="12" t="n"/>
      <c r="V2447" s="14">
        <f>IF($AN2447="",IF($B2447="","",$H2447),IF(INDEX(職員マスタ!$B$6:$B$405,$AN2447)="",$H2447,INDEX(職員マスタ!$B$6:$B$405,$AN2447)))</f>
        <v/>
      </c>
      <c r="W2447" s="14">
        <f>IF($AN2447="",IF($B2447="","",$R2447),IF(INDEX(職員マスタ!$C$6:$C$405,$AN2447)="",$R2447,INDEX(職員マスタ!$C$6:$C$405,$AN2447)))</f>
        <v/>
      </c>
      <c r="X2447" s="14">
        <f>IF($AO2447="","","R"&amp;$C2447&amp;"."&amp;$D2447)</f>
        <v/>
      </c>
      <c r="Y2447" s="15">
        <f>IF($AN2447="","",IF(INDEX(職員マスタ!$K$6:$K$405,$AN2447)="","",INDEX(職員マスタ!$K$6:$K$405,$AN2447)))</f>
        <v/>
      </c>
      <c r="Z2447" s="14">
        <f>IF(OR($E2447="",$Y2447=""),"",IF($E2447&gt;=$Y2447,"×",IF($E2447&gt;=$Y2447*設定!$C$5,"△","○")))</f>
        <v/>
      </c>
      <c r="AA2447" s="15">
        <f>IF($Z2447="","",IF($Z2447="×",0,IF($Z2447="○",ROUNDDOWN($E2447*設定!$C$4,0),ROUNDDOWN($E2447*ROUND((9*$Y2447-9*$E2447)/(10*$E2447),4),0))))</f>
        <v/>
      </c>
      <c r="AB2447" s="13" t="n"/>
      <c r="AC2447" s="15">
        <f>IF($B2447="","",IF($AB2447&lt;&gt;"",$AB2447,IF($AA2447="","",IF($AA2447&lt;=設定!$C$3,0,$AA2447))))</f>
        <v/>
      </c>
      <c r="AD2447" s="14">
        <f>IF($B2447="","",IF(AND($AE2447&lt;&gt;"",$AG2447="",$AJ2447=""),"保留中",IF($AJ2447&lt;&gt;"",IF(N($AC2447)&gt;0,"支給済","不支給"),IF($AC2447="","要確認",IF($AC2447=0,"不支給","未処理")))))</f>
        <v/>
      </c>
      <c r="AE2447" s="12" t="n"/>
      <c r="AF2447" s="11" t="n"/>
      <c r="AG2447" s="11" t="n"/>
      <c r="AH2447" s="11" t="n"/>
      <c r="AI2447" s="14">
        <f>IF(AND($AD2447="保留中",$AF2447&lt;&gt;""),TODAY()-$AF2447,"")</f>
        <v/>
      </c>
      <c r="AJ2447" s="12" t="n"/>
      <c r="AK2447" s="14">
        <f>IF($B2447="","",IF($AO2447="","対象年月が未入力／","")&amp;IF($B2447="","",IF($AN2447="","職員マスタに未登録の職員番号／",IF($Y2447="","標準報酬月額が未登録／","")&amp;IF(AND($AO2447&lt;&gt;"",OR(AND(INDEX(職員マスタ!$G$6:$G$405,$AN2447)&lt;&gt;"",INDEX(職員マスタ!$G$6:$G$405,$AN2447)&gt;EOMONTH($AO2447,0)),AND(INDEX(職員マスタ!$H$6:$H$405,$AN2447)&lt;&gt;"",INDEX(職員マスタ!$H$6:$H$405,$AN2447)&lt;$AO2447))),"対象月が時短期間外／","")&amp;IF(AND(INDEX(職員マスタ!$F$6:$F$405,$AN2447)&lt;&gt;"",$AO2447&lt;&gt;"",INDEX(職員マスタ!$F$6:$F$405,$AN2447)&lt;$AO2447),"対象月に子が2歳到達済／","")&amp;IF(AND($H2447&lt;&gt;"",INDEX(職員マスタ!$B$6:$B$405,$AN2447)&lt;&gt;"",SUBSTITUTE(SUBSTITUTE($H2447," ","")," ","")&lt;&gt;SUBSTITUTE(SUBSTITUTE(INDEX(職員マスタ!$B$6:$B$405,$AN2447)," ","")," ","")),"氏名がマスタと相違／","")&amp;IF(AND($Q2447&lt;&gt;"",INDEX(職員マスタ!$E$6:$E$405,$AN2447)&lt;&gt;"",$Q2447&lt;&gt;INDEX(職員マスタ!$E$6:$E$405,$AN2447)),"子の生年月日がマスタと相違／","")&amp;IF(AND($L2447&lt;&gt;"",INDEX(職員マスタ!$G$6:$G$405,$AN2447)&lt;&gt;"",$L2447&lt;&gt;INDEX(職員マスタ!$G$6:$G$405,$AN2447)),"時短開始日がマスタと相違／","")&amp;IF(AND($M2447&lt;&gt;"",INDEX(職員マスタ!$H$6:$H$405,$AN2447)&lt;&gt;"",$M2447&lt;&gt;INDEX(職員マスタ!$H$6:$H$405,$AN2447)),"時短終了日がマスタと相違／","")))&amp;IF(AND($B2447&lt;&gt;"",$E2447=""),"報酬額が未入力／","")&amp;IF(N($U2447)&gt;0,"申請書に入力エラーが残っています／","")&amp;IF(AND($B2447&lt;&gt;"",$AO2447&lt;&gt;""),IF(COUNTIFS($B$6:$B$3005,$B2447,$C$6:$C$3005,$C2447,$D$6:$D$3005,$D2447)&gt;1,"同じ月の請求が重複しています／",""),"")&amp;IF(AND(N($E2447)&gt;0,$Z2447&lt;&gt;"",$Z2447&lt;&gt;"×",$AC2447=0,$AB2447=""),"計算額が下限以下のため不支給／",""))</f>
        <v/>
      </c>
      <c r="AL2447" s="12" t="n"/>
      <c r="AM2447" s="14">
        <f>IF($AD2447="保留中",COUNTIF($AD$6:$AD2447,"保留中"),"")</f>
        <v/>
      </c>
      <c r="AN2447" s="14">
        <f>IF($AO2447="","",IF(SUMPRODUCT(MAX((職員マスタ!$A$6:$A$405=$B2447)*(((職員マスタ!$G$6:$G$405="")+(職員マスタ!$G$6:$G$405&lt;=EOMONTH($AO2447,0)))&gt;0)*(((職員マスタ!$H$6:$H$405="")+(職員マスタ!$H$6:$H$405&gt;=$AO2447))&gt;0)*(ROW(職員マスタ!$A$6:$A$405)-5)))&gt;0,SUMPRODUCT(MAX((職員マスタ!$A$6:$A$405=$B2447)*(((職員マスタ!$G$6:$G$405="")+(職員マスタ!$G$6:$G$405&lt;=EOMONTH($AO2447,0)))&gt;0)*(((職員マスタ!$H$6:$H$405="")+(職員マスタ!$H$6:$H$405&gt;=$AO2447))&gt;0)*(ROW(職員マスタ!$A$6:$A$405)-5))),IFERROR(MATCH($B2447,職員マスタ!$A$6:$A$405,0),"")))</f>
        <v/>
      </c>
      <c r="AO2447" s="16">
        <f>IF(OR($B2447="",$C2447="",$D2447=""),"",DATE($C2447+2018,$D2447,1))</f>
        <v/>
      </c>
    </row>
    <row r="2448">
      <c r="A2448" s="11" t="n"/>
      <c r="B2448" s="12" t="n"/>
      <c r="C2448" s="12" t="n"/>
      <c r="D2448" s="12" t="n"/>
      <c r="E2448" s="13" t="n"/>
      <c r="F2448" s="12" t="n"/>
      <c r="G2448" s="13" t="n"/>
      <c r="H2448" s="12" t="n"/>
      <c r="I2448" s="12" t="n"/>
      <c r="J2448" s="12" t="n"/>
      <c r="K2448" s="12" t="n"/>
      <c r="L2448" s="11" t="n"/>
      <c r="M2448" s="11" t="n"/>
      <c r="N2448" s="11" t="n"/>
      <c r="O2448" s="11" t="n"/>
      <c r="P2448" s="12" t="n"/>
      <c r="Q2448" s="11" t="n"/>
      <c r="R2448" s="12" t="n"/>
      <c r="S2448" s="11" t="n"/>
      <c r="T2448" s="12" t="n"/>
      <c r="U2448" s="12" t="n"/>
      <c r="V2448" s="14">
        <f>IF($AN2448="",IF($B2448="","",$H2448),IF(INDEX(職員マスタ!$B$6:$B$405,$AN2448)="",$H2448,INDEX(職員マスタ!$B$6:$B$405,$AN2448)))</f>
        <v/>
      </c>
      <c r="W2448" s="14">
        <f>IF($AN2448="",IF($B2448="","",$R2448),IF(INDEX(職員マスタ!$C$6:$C$405,$AN2448)="",$R2448,INDEX(職員マスタ!$C$6:$C$405,$AN2448)))</f>
        <v/>
      </c>
      <c r="X2448" s="14">
        <f>IF($AO2448="","","R"&amp;$C2448&amp;"."&amp;$D2448)</f>
        <v/>
      </c>
      <c r="Y2448" s="15">
        <f>IF($AN2448="","",IF(INDEX(職員マスタ!$K$6:$K$405,$AN2448)="","",INDEX(職員マスタ!$K$6:$K$405,$AN2448)))</f>
        <v/>
      </c>
      <c r="Z2448" s="14">
        <f>IF(OR($E2448="",$Y2448=""),"",IF($E2448&gt;=$Y2448,"×",IF($E2448&gt;=$Y2448*設定!$C$5,"△","○")))</f>
        <v/>
      </c>
      <c r="AA2448" s="15">
        <f>IF($Z2448="","",IF($Z2448="×",0,IF($Z2448="○",ROUNDDOWN($E2448*設定!$C$4,0),ROUNDDOWN($E2448*ROUND((9*$Y2448-9*$E2448)/(10*$E2448),4),0))))</f>
        <v/>
      </c>
      <c r="AB2448" s="13" t="n"/>
      <c r="AC2448" s="15">
        <f>IF($B2448="","",IF($AB2448&lt;&gt;"",$AB2448,IF($AA2448="","",IF($AA2448&lt;=設定!$C$3,0,$AA2448))))</f>
        <v/>
      </c>
      <c r="AD2448" s="14">
        <f>IF($B2448="","",IF(AND($AE2448&lt;&gt;"",$AG2448="",$AJ2448=""),"保留中",IF($AJ2448&lt;&gt;"",IF(N($AC2448)&gt;0,"支給済","不支給"),IF($AC2448="","要確認",IF($AC2448=0,"不支給","未処理")))))</f>
        <v/>
      </c>
      <c r="AE2448" s="12" t="n"/>
      <c r="AF2448" s="11" t="n"/>
      <c r="AG2448" s="11" t="n"/>
      <c r="AH2448" s="11" t="n"/>
      <c r="AI2448" s="14">
        <f>IF(AND($AD2448="保留中",$AF2448&lt;&gt;""),TODAY()-$AF2448,"")</f>
        <v/>
      </c>
      <c r="AJ2448" s="12" t="n"/>
      <c r="AK2448" s="14">
        <f>IF($B2448="","",IF($AO2448="","対象年月が未入力／","")&amp;IF($B2448="","",IF($AN2448="","職員マスタに未登録の職員番号／",IF($Y2448="","標準報酬月額が未登録／","")&amp;IF(AND($AO2448&lt;&gt;"",OR(AND(INDEX(職員マスタ!$G$6:$G$405,$AN2448)&lt;&gt;"",INDEX(職員マスタ!$G$6:$G$405,$AN2448)&gt;EOMONTH($AO2448,0)),AND(INDEX(職員マスタ!$H$6:$H$405,$AN2448)&lt;&gt;"",INDEX(職員マスタ!$H$6:$H$405,$AN2448)&lt;$AO2448))),"対象月が時短期間外／","")&amp;IF(AND(INDEX(職員マスタ!$F$6:$F$405,$AN2448)&lt;&gt;"",$AO2448&lt;&gt;"",INDEX(職員マスタ!$F$6:$F$405,$AN2448)&lt;$AO2448),"対象月に子が2歳到達済／","")&amp;IF(AND($H2448&lt;&gt;"",INDEX(職員マスタ!$B$6:$B$405,$AN2448)&lt;&gt;"",SUBSTITUTE(SUBSTITUTE($H2448," ","")," ","")&lt;&gt;SUBSTITUTE(SUBSTITUTE(INDEX(職員マスタ!$B$6:$B$405,$AN2448)," ","")," ","")),"氏名がマスタと相違／","")&amp;IF(AND($Q2448&lt;&gt;"",INDEX(職員マスタ!$E$6:$E$405,$AN2448)&lt;&gt;"",$Q2448&lt;&gt;INDEX(職員マスタ!$E$6:$E$405,$AN2448)),"子の生年月日がマスタと相違／","")&amp;IF(AND($L2448&lt;&gt;"",INDEX(職員マスタ!$G$6:$G$405,$AN2448)&lt;&gt;"",$L2448&lt;&gt;INDEX(職員マスタ!$G$6:$G$405,$AN2448)),"時短開始日がマスタと相違／","")&amp;IF(AND($M2448&lt;&gt;"",INDEX(職員マスタ!$H$6:$H$405,$AN2448)&lt;&gt;"",$M2448&lt;&gt;INDEX(職員マスタ!$H$6:$H$405,$AN2448)),"時短終了日がマスタと相違／","")))&amp;IF(AND($B2448&lt;&gt;"",$E2448=""),"報酬額が未入力／","")&amp;IF(N($U2448)&gt;0,"申請書に入力エラーが残っています／","")&amp;IF(AND($B2448&lt;&gt;"",$AO2448&lt;&gt;""),IF(COUNTIFS($B$6:$B$3005,$B2448,$C$6:$C$3005,$C2448,$D$6:$D$3005,$D2448)&gt;1,"同じ月の請求が重複しています／",""),"")&amp;IF(AND(N($E2448)&gt;0,$Z2448&lt;&gt;"",$Z2448&lt;&gt;"×",$AC2448=0,$AB2448=""),"計算額が下限以下のため不支給／",""))</f>
        <v/>
      </c>
      <c r="AL2448" s="12" t="n"/>
      <c r="AM2448" s="14">
        <f>IF($AD2448="保留中",COUNTIF($AD$6:$AD2448,"保留中"),"")</f>
        <v/>
      </c>
      <c r="AN2448" s="14">
        <f>IF($AO2448="","",IF(SUMPRODUCT(MAX((職員マスタ!$A$6:$A$405=$B2448)*(((職員マスタ!$G$6:$G$405="")+(職員マスタ!$G$6:$G$405&lt;=EOMONTH($AO2448,0)))&gt;0)*(((職員マスタ!$H$6:$H$405="")+(職員マスタ!$H$6:$H$405&gt;=$AO2448))&gt;0)*(ROW(職員マスタ!$A$6:$A$405)-5)))&gt;0,SUMPRODUCT(MAX((職員マスタ!$A$6:$A$405=$B2448)*(((職員マスタ!$G$6:$G$405="")+(職員マスタ!$G$6:$G$405&lt;=EOMONTH($AO2448,0)))&gt;0)*(((職員マスタ!$H$6:$H$405="")+(職員マスタ!$H$6:$H$405&gt;=$AO2448))&gt;0)*(ROW(職員マスタ!$A$6:$A$405)-5))),IFERROR(MATCH($B2448,職員マスタ!$A$6:$A$405,0),"")))</f>
        <v/>
      </c>
      <c r="AO2448" s="16">
        <f>IF(OR($B2448="",$C2448="",$D2448=""),"",DATE($C2448+2018,$D2448,1))</f>
        <v/>
      </c>
    </row>
    <row r="2449">
      <c r="A2449" s="11" t="n"/>
      <c r="B2449" s="12" t="n"/>
      <c r="C2449" s="12" t="n"/>
      <c r="D2449" s="12" t="n"/>
      <c r="E2449" s="13" t="n"/>
      <c r="F2449" s="12" t="n"/>
      <c r="G2449" s="13" t="n"/>
      <c r="H2449" s="12" t="n"/>
      <c r="I2449" s="12" t="n"/>
      <c r="J2449" s="12" t="n"/>
      <c r="K2449" s="12" t="n"/>
      <c r="L2449" s="11" t="n"/>
      <c r="M2449" s="11" t="n"/>
      <c r="N2449" s="11" t="n"/>
      <c r="O2449" s="11" t="n"/>
      <c r="P2449" s="12" t="n"/>
      <c r="Q2449" s="11" t="n"/>
      <c r="R2449" s="12" t="n"/>
      <c r="S2449" s="11" t="n"/>
      <c r="T2449" s="12" t="n"/>
      <c r="U2449" s="12" t="n"/>
      <c r="V2449" s="14">
        <f>IF($AN2449="",IF($B2449="","",$H2449),IF(INDEX(職員マスタ!$B$6:$B$405,$AN2449)="",$H2449,INDEX(職員マスタ!$B$6:$B$405,$AN2449)))</f>
        <v/>
      </c>
      <c r="W2449" s="14">
        <f>IF($AN2449="",IF($B2449="","",$R2449),IF(INDEX(職員マスタ!$C$6:$C$405,$AN2449)="",$R2449,INDEX(職員マスタ!$C$6:$C$405,$AN2449)))</f>
        <v/>
      </c>
      <c r="X2449" s="14">
        <f>IF($AO2449="","","R"&amp;$C2449&amp;"."&amp;$D2449)</f>
        <v/>
      </c>
      <c r="Y2449" s="15">
        <f>IF($AN2449="","",IF(INDEX(職員マスタ!$K$6:$K$405,$AN2449)="","",INDEX(職員マスタ!$K$6:$K$405,$AN2449)))</f>
        <v/>
      </c>
      <c r="Z2449" s="14">
        <f>IF(OR($E2449="",$Y2449=""),"",IF($E2449&gt;=$Y2449,"×",IF($E2449&gt;=$Y2449*設定!$C$5,"△","○")))</f>
        <v/>
      </c>
      <c r="AA2449" s="15">
        <f>IF($Z2449="","",IF($Z2449="×",0,IF($Z2449="○",ROUNDDOWN($E2449*設定!$C$4,0),ROUNDDOWN($E2449*ROUND((9*$Y2449-9*$E2449)/(10*$E2449),4),0))))</f>
        <v/>
      </c>
      <c r="AB2449" s="13" t="n"/>
      <c r="AC2449" s="15">
        <f>IF($B2449="","",IF($AB2449&lt;&gt;"",$AB2449,IF($AA2449="","",IF($AA2449&lt;=設定!$C$3,0,$AA2449))))</f>
        <v/>
      </c>
      <c r="AD2449" s="14">
        <f>IF($B2449="","",IF(AND($AE2449&lt;&gt;"",$AG2449="",$AJ2449=""),"保留中",IF($AJ2449&lt;&gt;"",IF(N($AC2449)&gt;0,"支給済","不支給"),IF($AC2449="","要確認",IF($AC2449=0,"不支給","未処理")))))</f>
        <v/>
      </c>
      <c r="AE2449" s="12" t="n"/>
      <c r="AF2449" s="11" t="n"/>
      <c r="AG2449" s="11" t="n"/>
      <c r="AH2449" s="11" t="n"/>
      <c r="AI2449" s="14">
        <f>IF(AND($AD2449="保留中",$AF2449&lt;&gt;""),TODAY()-$AF2449,"")</f>
        <v/>
      </c>
      <c r="AJ2449" s="12" t="n"/>
      <c r="AK2449" s="14">
        <f>IF($B2449="","",IF($AO2449="","対象年月が未入力／","")&amp;IF($B2449="","",IF($AN2449="","職員マスタに未登録の職員番号／",IF($Y2449="","標準報酬月額が未登録／","")&amp;IF(AND($AO2449&lt;&gt;"",OR(AND(INDEX(職員マスタ!$G$6:$G$405,$AN2449)&lt;&gt;"",INDEX(職員マスタ!$G$6:$G$405,$AN2449)&gt;EOMONTH($AO2449,0)),AND(INDEX(職員マスタ!$H$6:$H$405,$AN2449)&lt;&gt;"",INDEX(職員マスタ!$H$6:$H$405,$AN2449)&lt;$AO2449))),"対象月が時短期間外／","")&amp;IF(AND(INDEX(職員マスタ!$F$6:$F$405,$AN2449)&lt;&gt;"",$AO2449&lt;&gt;"",INDEX(職員マスタ!$F$6:$F$405,$AN2449)&lt;$AO2449),"対象月に子が2歳到達済／","")&amp;IF(AND($H2449&lt;&gt;"",INDEX(職員マスタ!$B$6:$B$405,$AN2449)&lt;&gt;"",SUBSTITUTE(SUBSTITUTE($H2449," ","")," ","")&lt;&gt;SUBSTITUTE(SUBSTITUTE(INDEX(職員マスタ!$B$6:$B$405,$AN2449)," ","")," ","")),"氏名がマスタと相違／","")&amp;IF(AND($Q2449&lt;&gt;"",INDEX(職員マスタ!$E$6:$E$405,$AN2449)&lt;&gt;"",$Q2449&lt;&gt;INDEX(職員マスタ!$E$6:$E$405,$AN2449)),"子の生年月日がマスタと相違／","")&amp;IF(AND($L2449&lt;&gt;"",INDEX(職員マスタ!$G$6:$G$405,$AN2449)&lt;&gt;"",$L2449&lt;&gt;INDEX(職員マスタ!$G$6:$G$405,$AN2449)),"時短開始日がマスタと相違／","")&amp;IF(AND($M2449&lt;&gt;"",INDEX(職員マスタ!$H$6:$H$405,$AN2449)&lt;&gt;"",$M2449&lt;&gt;INDEX(職員マスタ!$H$6:$H$405,$AN2449)),"時短終了日がマスタと相違／","")))&amp;IF(AND($B2449&lt;&gt;"",$E2449=""),"報酬額が未入力／","")&amp;IF(N($U2449)&gt;0,"申請書に入力エラーが残っています／","")&amp;IF(AND($B2449&lt;&gt;"",$AO2449&lt;&gt;""),IF(COUNTIFS($B$6:$B$3005,$B2449,$C$6:$C$3005,$C2449,$D$6:$D$3005,$D2449)&gt;1,"同じ月の請求が重複しています／",""),"")&amp;IF(AND(N($E2449)&gt;0,$Z2449&lt;&gt;"",$Z2449&lt;&gt;"×",$AC2449=0,$AB2449=""),"計算額が下限以下のため不支給／",""))</f>
        <v/>
      </c>
      <c r="AL2449" s="12" t="n"/>
      <c r="AM2449" s="14">
        <f>IF($AD2449="保留中",COUNTIF($AD$6:$AD2449,"保留中"),"")</f>
        <v/>
      </c>
      <c r="AN2449" s="14">
        <f>IF($AO2449="","",IF(SUMPRODUCT(MAX((職員マスタ!$A$6:$A$405=$B2449)*(((職員マスタ!$G$6:$G$405="")+(職員マスタ!$G$6:$G$405&lt;=EOMONTH($AO2449,0)))&gt;0)*(((職員マスタ!$H$6:$H$405="")+(職員マスタ!$H$6:$H$405&gt;=$AO2449))&gt;0)*(ROW(職員マスタ!$A$6:$A$405)-5)))&gt;0,SUMPRODUCT(MAX((職員マスタ!$A$6:$A$405=$B2449)*(((職員マスタ!$G$6:$G$405="")+(職員マスタ!$G$6:$G$405&lt;=EOMONTH($AO2449,0)))&gt;0)*(((職員マスタ!$H$6:$H$405="")+(職員マスタ!$H$6:$H$405&gt;=$AO2449))&gt;0)*(ROW(職員マスタ!$A$6:$A$405)-5))),IFERROR(MATCH($B2449,職員マスタ!$A$6:$A$405,0),"")))</f>
        <v/>
      </c>
      <c r="AO2449" s="16">
        <f>IF(OR($B2449="",$C2449="",$D2449=""),"",DATE($C2449+2018,$D2449,1))</f>
        <v/>
      </c>
    </row>
    <row r="2450">
      <c r="A2450" s="11" t="n"/>
      <c r="B2450" s="12" t="n"/>
      <c r="C2450" s="12" t="n"/>
      <c r="D2450" s="12" t="n"/>
      <c r="E2450" s="13" t="n"/>
      <c r="F2450" s="12" t="n"/>
      <c r="G2450" s="13" t="n"/>
      <c r="H2450" s="12" t="n"/>
      <c r="I2450" s="12" t="n"/>
      <c r="J2450" s="12" t="n"/>
      <c r="K2450" s="12" t="n"/>
      <c r="L2450" s="11" t="n"/>
      <c r="M2450" s="11" t="n"/>
      <c r="N2450" s="11" t="n"/>
      <c r="O2450" s="11" t="n"/>
      <c r="P2450" s="12" t="n"/>
      <c r="Q2450" s="11" t="n"/>
      <c r="R2450" s="12" t="n"/>
      <c r="S2450" s="11" t="n"/>
      <c r="T2450" s="12" t="n"/>
      <c r="U2450" s="12" t="n"/>
      <c r="V2450" s="14">
        <f>IF($AN2450="",IF($B2450="","",$H2450),IF(INDEX(職員マスタ!$B$6:$B$405,$AN2450)="",$H2450,INDEX(職員マスタ!$B$6:$B$405,$AN2450)))</f>
        <v/>
      </c>
      <c r="W2450" s="14">
        <f>IF($AN2450="",IF($B2450="","",$R2450),IF(INDEX(職員マスタ!$C$6:$C$405,$AN2450)="",$R2450,INDEX(職員マスタ!$C$6:$C$405,$AN2450)))</f>
        <v/>
      </c>
      <c r="X2450" s="14">
        <f>IF($AO2450="","","R"&amp;$C2450&amp;"."&amp;$D2450)</f>
        <v/>
      </c>
      <c r="Y2450" s="15">
        <f>IF($AN2450="","",IF(INDEX(職員マスタ!$K$6:$K$405,$AN2450)="","",INDEX(職員マスタ!$K$6:$K$405,$AN2450)))</f>
        <v/>
      </c>
      <c r="Z2450" s="14">
        <f>IF(OR($E2450="",$Y2450=""),"",IF($E2450&gt;=$Y2450,"×",IF($E2450&gt;=$Y2450*設定!$C$5,"△","○")))</f>
        <v/>
      </c>
      <c r="AA2450" s="15">
        <f>IF($Z2450="","",IF($Z2450="×",0,IF($Z2450="○",ROUNDDOWN($E2450*設定!$C$4,0),ROUNDDOWN($E2450*ROUND((9*$Y2450-9*$E2450)/(10*$E2450),4),0))))</f>
        <v/>
      </c>
      <c r="AB2450" s="13" t="n"/>
      <c r="AC2450" s="15">
        <f>IF($B2450="","",IF($AB2450&lt;&gt;"",$AB2450,IF($AA2450="","",IF($AA2450&lt;=設定!$C$3,0,$AA2450))))</f>
        <v/>
      </c>
      <c r="AD2450" s="14">
        <f>IF($B2450="","",IF(AND($AE2450&lt;&gt;"",$AG2450="",$AJ2450=""),"保留中",IF($AJ2450&lt;&gt;"",IF(N($AC2450)&gt;0,"支給済","不支給"),IF($AC2450="","要確認",IF($AC2450=0,"不支給","未処理")))))</f>
        <v/>
      </c>
      <c r="AE2450" s="12" t="n"/>
      <c r="AF2450" s="11" t="n"/>
      <c r="AG2450" s="11" t="n"/>
      <c r="AH2450" s="11" t="n"/>
      <c r="AI2450" s="14">
        <f>IF(AND($AD2450="保留中",$AF2450&lt;&gt;""),TODAY()-$AF2450,"")</f>
        <v/>
      </c>
      <c r="AJ2450" s="12" t="n"/>
      <c r="AK2450" s="14">
        <f>IF($B2450="","",IF($AO2450="","対象年月が未入力／","")&amp;IF($B2450="","",IF($AN2450="","職員マスタに未登録の職員番号／",IF($Y2450="","標準報酬月額が未登録／","")&amp;IF(AND($AO2450&lt;&gt;"",OR(AND(INDEX(職員マスタ!$G$6:$G$405,$AN2450)&lt;&gt;"",INDEX(職員マスタ!$G$6:$G$405,$AN2450)&gt;EOMONTH($AO2450,0)),AND(INDEX(職員マスタ!$H$6:$H$405,$AN2450)&lt;&gt;"",INDEX(職員マスタ!$H$6:$H$405,$AN2450)&lt;$AO2450))),"対象月が時短期間外／","")&amp;IF(AND(INDEX(職員マスタ!$F$6:$F$405,$AN2450)&lt;&gt;"",$AO2450&lt;&gt;"",INDEX(職員マスタ!$F$6:$F$405,$AN2450)&lt;$AO2450),"対象月に子が2歳到達済／","")&amp;IF(AND($H2450&lt;&gt;"",INDEX(職員マスタ!$B$6:$B$405,$AN2450)&lt;&gt;"",SUBSTITUTE(SUBSTITUTE($H2450," ","")," ","")&lt;&gt;SUBSTITUTE(SUBSTITUTE(INDEX(職員マスタ!$B$6:$B$405,$AN2450)," ","")," ","")),"氏名がマスタと相違／","")&amp;IF(AND($Q2450&lt;&gt;"",INDEX(職員マスタ!$E$6:$E$405,$AN2450)&lt;&gt;"",$Q2450&lt;&gt;INDEX(職員マスタ!$E$6:$E$405,$AN2450)),"子の生年月日がマスタと相違／","")&amp;IF(AND($L2450&lt;&gt;"",INDEX(職員マスタ!$G$6:$G$405,$AN2450)&lt;&gt;"",$L2450&lt;&gt;INDEX(職員マスタ!$G$6:$G$405,$AN2450)),"時短開始日がマスタと相違／","")&amp;IF(AND($M2450&lt;&gt;"",INDEX(職員マスタ!$H$6:$H$405,$AN2450)&lt;&gt;"",$M2450&lt;&gt;INDEX(職員マスタ!$H$6:$H$405,$AN2450)),"時短終了日がマスタと相違／","")))&amp;IF(AND($B2450&lt;&gt;"",$E2450=""),"報酬額が未入力／","")&amp;IF(N($U2450)&gt;0,"申請書に入力エラーが残っています／","")&amp;IF(AND($B2450&lt;&gt;"",$AO2450&lt;&gt;""),IF(COUNTIFS($B$6:$B$3005,$B2450,$C$6:$C$3005,$C2450,$D$6:$D$3005,$D2450)&gt;1,"同じ月の請求が重複しています／",""),"")&amp;IF(AND(N($E2450)&gt;0,$Z2450&lt;&gt;"",$Z2450&lt;&gt;"×",$AC2450=0,$AB2450=""),"計算額が下限以下のため不支給／",""))</f>
        <v/>
      </c>
      <c r="AL2450" s="12" t="n"/>
      <c r="AM2450" s="14">
        <f>IF($AD2450="保留中",COUNTIF($AD$6:$AD2450,"保留中"),"")</f>
        <v/>
      </c>
      <c r="AN2450" s="14">
        <f>IF($AO2450="","",IF(SUMPRODUCT(MAX((職員マスタ!$A$6:$A$405=$B2450)*(((職員マスタ!$G$6:$G$405="")+(職員マスタ!$G$6:$G$405&lt;=EOMONTH($AO2450,0)))&gt;0)*(((職員マスタ!$H$6:$H$405="")+(職員マスタ!$H$6:$H$405&gt;=$AO2450))&gt;0)*(ROW(職員マスタ!$A$6:$A$405)-5)))&gt;0,SUMPRODUCT(MAX((職員マスタ!$A$6:$A$405=$B2450)*(((職員マスタ!$G$6:$G$405="")+(職員マスタ!$G$6:$G$405&lt;=EOMONTH($AO2450,0)))&gt;0)*(((職員マスタ!$H$6:$H$405="")+(職員マスタ!$H$6:$H$405&gt;=$AO2450))&gt;0)*(ROW(職員マスタ!$A$6:$A$405)-5))),IFERROR(MATCH($B2450,職員マスタ!$A$6:$A$405,0),"")))</f>
        <v/>
      </c>
      <c r="AO2450" s="16">
        <f>IF(OR($B2450="",$C2450="",$D2450=""),"",DATE($C2450+2018,$D2450,1))</f>
        <v/>
      </c>
    </row>
    <row r="2451">
      <c r="A2451" s="11" t="n"/>
      <c r="B2451" s="12" t="n"/>
      <c r="C2451" s="12" t="n"/>
      <c r="D2451" s="12" t="n"/>
      <c r="E2451" s="13" t="n"/>
      <c r="F2451" s="12" t="n"/>
      <c r="G2451" s="13" t="n"/>
      <c r="H2451" s="12" t="n"/>
      <c r="I2451" s="12" t="n"/>
      <c r="J2451" s="12" t="n"/>
      <c r="K2451" s="12" t="n"/>
      <c r="L2451" s="11" t="n"/>
      <c r="M2451" s="11" t="n"/>
      <c r="N2451" s="11" t="n"/>
      <c r="O2451" s="11" t="n"/>
      <c r="P2451" s="12" t="n"/>
      <c r="Q2451" s="11" t="n"/>
      <c r="R2451" s="12" t="n"/>
      <c r="S2451" s="11" t="n"/>
      <c r="T2451" s="12" t="n"/>
      <c r="U2451" s="12" t="n"/>
      <c r="V2451" s="14">
        <f>IF($AN2451="",IF($B2451="","",$H2451),IF(INDEX(職員マスタ!$B$6:$B$405,$AN2451)="",$H2451,INDEX(職員マスタ!$B$6:$B$405,$AN2451)))</f>
        <v/>
      </c>
      <c r="W2451" s="14">
        <f>IF($AN2451="",IF($B2451="","",$R2451),IF(INDEX(職員マスタ!$C$6:$C$405,$AN2451)="",$R2451,INDEX(職員マスタ!$C$6:$C$405,$AN2451)))</f>
        <v/>
      </c>
      <c r="X2451" s="14">
        <f>IF($AO2451="","","R"&amp;$C2451&amp;"."&amp;$D2451)</f>
        <v/>
      </c>
      <c r="Y2451" s="15">
        <f>IF($AN2451="","",IF(INDEX(職員マスタ!$K$6:$K$405,$AN2451)="","",INDEX(職員マスタ!$K$6:$K$405,$AN2451)))</f>
        <v/>
      </c>
      <c r="Z2451" s="14">
        <f>IF(OR($E2451="",$Y2451=""),"",IF($E2451&gt;=$Y2451,"×",IF($E2451&gt;=$Y2451*設定!$C$5,"△","○")))</f>
        <v/>
      </c>
      <c r="AA2451" s="15">
        <f>IF($Z2451="","",IF($Z2451="×",0,IF($Z2451="○",ROUNDDOWN($E2451*設定!$C$4,0),ROUNDDOWN($E2451*ROUND((9*$Y2451-9*$E2451)/(10*$E2451),4),0))))</f>
        <v/>
      </c>
      <c r="AB2451" s="13" t="n"/>
      <c r="AC2451" s="15">
        <f>IF($B2451="","",IF($AB2451&lt;&gt;"",$AB2451,IF($AA2451="","",IF($AA2451&lt;=設定!$C$3,0,$AA2451))))</f>
        <v/>
      </c>
      <c r="AD2451" s="14">
        <f>IF($B2451="","",IF(AND($AE2451&lt;&gt;"",$AG2451="",$AJ2451=""),"保留中",IF($AJ2451&lt;&gt;"",IF(N($AC2451)&gt;0,"支給済","不支給"),IF($AC2451="","要確認",IF($AC2451=0,"不支給","未処理")))))</f>
        <v/>
      </c>
      <c r="AE2451" s="12" t="n"/>
      <c r="AF2451" s="11" t="n"/>
      <c r="AG2451" s="11" t="n"/>
      <c r="AH2451" s="11" t="n"/>
      <c r="AI2451" s="14">
        <f>IF(AND($AD2451="保留中",$AF2451&lt;&gt;""),TODAY()-$AF2451,"")</f>
        <v/>
      </c>
      <c r="AJ2451" s="12" t="n"/>
      <c r="AK2451" s="14">
        <f>IF($B2451="","",IF($AO2451="","対象年月が未入力／","")&amp;IF($B2451="","",IF($AN2451="","職員マスタに未登録の職員番号／",IF($Y2451="","標準報酬月額が未登録／","")&amp;IF(AND($AO2451&lt;&gt;"",OR(AND(INDEX(職員マスタ!$G$6:$G$405,$AN2451)&lt;&gt;"",INDEX(職員マスタ!$G$6:$G$405,$AN2451)&gt;EOMONTH($AO2451,0)),AND(INDEX(職員マスタ!$H$6:$H$405,$AN2451)&lt;&gt;"",INDEX(職員マスタ!$H$6:$H$405,$AN2451)&lt;$AO2451))),"対象月が時短期間外／","")&amp;IF(AND(INDEX(職員マスタ!$F$6:$F$405,$AN2451)&lt;&gt;"",$AO2451&lt;&gt;"",INDEX(職員マスタ!$F$6:$F$405,$AN2451)&lt;$AO2451),"対象月に子が2歳到達済／","")&amp;IF(AND($H2451&lt;&gt;"",INDEX(職員マスタ!$B$6:$B$405,$AN2451)&lt;&gt;"",SUBSTITUTE(SUBSTITUTE($H2451," ","")," ","")&lt;&gt;SUBSTITUTE(SUBSTITUTE(INDEX(職員マスタ!$B$6:$B$405,$AN2451)," ","")," ","")),"氏名がマスタと相違／","")&amp;IF(AND($Q2451&lt;&gt;"",INDEX(職員マスタ!$E$6:$E$405,$AN2451)&lt;&gt;"",$Q2451&lt;&gt;INDEX(職員マスタ!$E$6:$E$405,$AN2451)),"子の生年月日がマスタと相違／","")&amp;IF(AND($L2451&lt;&gt;"",INDEX(職員マスタ!$G$6:$G$405,$AN2451)&lt;&gt;"",$L2451&lt;&gt;INDEX(職員マスタ!$G$6:$G$405,$AN2451)),"時短開始日がマスタと相違／","")&amp;IF(AND($M2451&lt;&gt;"",INDEX(職員マスタ!$H$6:$H$405,$AN2451)&lt;&gt;"",$M2451&lt;&gt;INDEX(職員マスタ!$H$6:$H$405,$AN2451)),"時短終了日がマスタと相違／","")))&amp;IF(AND($B2451&lt;&gt;"",$E2451=""),"報酬額が未入力／","")&amp;IF(N($U2451)&gt;0,"申請書に入力エラーが残っています／","")&amp;IF(AND($B2451&lt;&gt;"",$AO2451&lt;&gt;""),IF(COUNTIFS($B$6:$B$3005,$B2451,$C$6:$C$3005,$C2451,$D$6:$D$3005,$D2451)&gt;1,"同じ月の請求が重複しています／",""),"")&amp;IF(AND(N($E2451)&gt;0,$Z2451&lt;&gt;"",$Z2451&lt;&gt;"×",$AC2451=0,$AB2451=""),"計算額が下限以下のため不支給／",""))</f>
        <v/>
      </c>
      <c r="AL2451" s="12" t="n"/>
      <c r="AM2451" s="14">
        <f>IF($AD2451="保留中",COUNTIF($AD$6:$AD2451,"保留中"),"")</f>
        <v/>
      </c>
      <c r="AN2451" s="14">
        <f>IF($AO2451="","",IF(SUMPRODUCT(MAX((職員マスタ!$A$6:$A$405=$B2451)*(((職員マスタ!$G$6:$G$405="")+(職員マスタ!$G$6:$G$405&lt;=EOMONTH($AO2451,0)))&gt;0)*(((職員マスタ!$H$6:$H$405="")+(職員マスタ!$H$6:$H$405&gt;=$AO2451))&gt;0)*(ROW(職員マスタ!$A$6:$A$405)-5)))&gt;0,SUMPRODUCT(MAX((職員マスタ!$A$6:$A$405=$B2451)*(((職員マスタ!$G$6:$G$405="")+(職員マスタ!$G$6:$G$405&lt;=EOMONTH($AO2451,0)))&gt;0)*(((職員マスタ!$H$6:$H$405="")+(職員マスタ!$H$6:$H$405&gt;=$AO2451))&gt;0)*(ROW(職員マスタ!$A$6:$A$405)-5))),IFERROR(MATCH($B2451,職員マスタ!$A$6:$A$405,0),"")))</f>
        <v/>
      </c>
      <c r="AO2451" s="16">
        <f>IF(OR($B2451="",$C2451="",$D2451=""),"",DATE($C2451+2018,$D2451,1))</f>
        <v/>
      </c>
    </row>
    <row r="2452">
      <c r="A2452" s="11" t="n"/>
      <c r="B2452" s="12" t="n"/>
      <c r="C2452" s="12" t="n"/>
      <c r="D2452" s="12" t="n"/>
      <c r="E2452" s="13" t="n"/>
      <c r="F2452" s="12" t="n"/>
      <c r="G2452" s="13" t="n"/>
      <c r="H2452" s="12" t="n"/>
      <c r="I2452" s="12" t="n"/>
      <c r="J2452" s="12" t="n"/>
      <c r="K2452" s="12" t="n"/>
      <c r="L2452" s="11" t="n"/>
      <c r="M2452" s="11" t="n"/>
      <c r="N2452" s="11" t="n"/>
      <c r="O2452" s="11" t="n"/>
      <c r="P2452" s="12" t="n"/>
      <c r="Q2452" s="11" t="n"/>
      <c r="R2452" s="12" t="n"/>
      <c r="S2452" s="11" t="n"/>
      <c r="T2452" s="12" t="n"/>
      <c r="U2452" s="12" t="n"/>
      <c r="V2452" s="14">
        <f>IF($AN2452="",IF($B2452="","",$H2452),IF(INDEX(職員マスタ!$B$6:$B$405,$AN2452)="",$H2452,INDEX(職員マスタ!$B$6:$B$405,$AN2452)))</f>
        <v/>
      </c>
      <c r="W2452" s="14">
        <f>IF($AN2452="",IF($B2452="","",$R2452),IF(INDEX(職員マスタ!$C$6:$C$405,$AN2452)="",$R2452,INDEX(職員マスタ!$C$6:$C$405,$AN2452)))</f>
        <v/>
      </c>
      <c r="X2452" s="14">
        <f>IF($AO2452="","","R"&amp;$C2452&amp;"."&amp;$D2452)</f>
        <v/>
      </c>
      <c r="Y2452" s="15">
        <f>IF($AN2452="","",IF(INDEX(職員マスタ!$K$6:$K$405,$AN2452)="","",INDEX(職員マスタ!$K$6:$K$405,$AN2452)))</f>
        <v/>
      </c>
      <c r="Z2452" s="14">
        <f>IF(OR($E2452="",$Y2452=""),"",IF($E2452&gt;=$Y2452,"×",IF($E2452&gt;=$Y2452*設定!$C$5,"△","○")))</f>
        <v/>
      </c>
      <c r="AA2452" s="15">
        <f>IF($Z2452="","",IF($Z2452="×",0,IF($Z2452="○",ROUNDDOWN($E2452*設定!$C$4,0),ROUNDDOWN($E2452*ROUND((9*$Y2452-9*$E2452)/(10*$E2452),4),0))))</f>
        <v/>
      </c>
      <c r="AB2452" s="13" t="n"/>
      <c r="AC2452" s="15">
        <f>IF($B2452="","",IF($AB2452&lt;&gt;"",$AB2452,IF($AA2452="","",IF($AA2452&lt;=設定!$C$3,0,$AA2452))))</f>
        <v/>
      </c>
      <c r="AD2452" s="14">
        <f>IF($B2452="","",IF(AND($AE2452&lt;&gt;"",$AG2452="",$AJ2452=""),"保留中",IF($AJ2452&lt;&gt;"",IF(N($AC2452)&gt;0,"支給済","不支給"),IF($AC2452="","要確認",IF($AC2452=0,"不支給","未処理")))))</f>
        <v/>
      </c>
      <c r="AE2452" s="12" t="n"/>
      <c r="AF2452" s="11" t="n"/>
      <c r="AG2452" s="11" t="n"/>
      <c r="AH2452" s="11" t="n"/>
      <c r="AI2452" s="14">
        <f>IF(AND($AD2452="保留中",$AF2452&lt;&gt;""),TODAY()-$AF2452,"")</f>
        <v/>
      </c>
      <c r="AJ2452" s="12" t="n"/>
      <c r="AK2452" s="14">
        <f>IF($B2452="","",IF($AO2452="","対象年月が未入力／","")&amp;IF($B2452="","",IF($AN2452="","職員マスタに未登録の職員番号／",IF($Y2452="","標準報酬月額が未登録／","")&amp;IF(AND($AO2452&lt;&gt;"",OR(AND(INDEX(職員マスタ!$G$6:$G$405,$AN2452)&lt;&gt;"",INDEX(職員マスタ!$G$6:$G$405,$AN2452)&gt;EOMONTH($AO2452,0)),AND(INDEX(職員マスタ!$H$6:$H$405,$AN2452)&lt;&gt;"",INDEX(職員マスタ!$H$6:$H$405,$AN2452)&lt;$AO2452))),"対象月が時短期間外／","")&amp;IF(AND(INDEX(職員マスタ!$F$6:$F$405,$AN2452)&lt;&gt;"",$AO2452&lt;&gt;"",INDEX(職員マスタ!$F$6:$F$405,$AN2452)&lt;$AO2452),"対象月に子が2歳到達済／","")&amp;IF(AND($H2452&lt;&gt;"",INDEX(職員マスタ!$B$6:$B$405,$AN2452)&lt;&gt;"",SUBSTITUTE(SUBSTITUTE($H2452," ","")," ","")&lt;&gt;SUBSTITUTE(SUBSTITUTE(INDEX(職員マスタ!$B$6:$B$405,$AN2452)," ","")," ","")),"氏名がマスタと相違／","")&amp;IF(AND($Q2452&lt;&gt;"",INDEX(職員マスタ!$E$6:$E$405,$AN2452)&lt;&gt;"",$Q2452&lt;&gt;INDEX(職員マスタ!$E$6:$E$405,$AN2452)),"子の生年月日がマスタと相違／","")&amp;IF(AND($L2452&lt;&gt;"",INDEX(職員マスタ!$G$6:$G$405,$AN2452)&lt;&gt;"",$L2452&lt;&gt;INDEX(職員マスタ!$G$6:$G$405,$AN2452)),"時短開始日がマスタと相違／","")&amp;IF(AND($M2452&lt;&gt;"",INDEX(職員マスタ!$H$6:$H$405,$AN2452)&lt;&gt;"",$M2452&lt;&gt;INDEX(職員マスタ!$H$6:$H$405,$AN2452)),"時短終了日がマスタと相違／","")))&amp;IF(AND($B2452&lt;&gt;"",$E2452=""),"報酬額が未入力／","")&amp;IF(N($U2452)&gt;0,"申請書に入力エラーが残っています／","")&amp;IF(AND($B2452&lt;&gt;"",$AO2452&lt;&gt;""),IF(COUNTIFS($B$6:$B$3005,$B2452,$C$6:$C$3005,$C2452,$D$6:$D$3005,$D2452)&gt;1,"同じ月の請求が重複しています／",""),"")&amp;IF(AND(N($E2452)&gt;0,$Z2452&lt;&gt;"",$Z2452&lt;&gt;"×",$AC2452=0,$AB2452=""),"計算額が下限以下のため不支給／",""))</f>
        <v/>
      </c>
      <c r="AL2452" s="12" t="n"/>
      <c r="AM2452" s="14">
        <f>IF($AD2452="保留中",COUNTIF($AD$6:$AD2452,"保留中"),"")</f>
        <v/>
      </c>
      <c r="AN2452" s="14">
        <f>IF($AO2452="","",IF(SUMPRODUCT(MAX((職員マスタ!$A$6:$A$405=$B2452)*(((職員マスタ!$G$6:$G$405="")+(職員マスタ!$G$6:$G$405&lt;=EOMONTH($AO2452,0)))&gt;0)*(((職員マスタ!$H$6:$H$405="")+(職員マスタ!$H$6:$H$405&gt;=$AO2452))&gt;0)*(ROW(職員マスタ!$A$6:$A$405)-5)))&gt;0,SUMPRODUCT(MAX((職員マスタ!$A$6:$A$405=$B2452)*(((職員マスタ!$G$6:$G$405="")+(職員マスタ!$G$6:$G$405&lt;=EOMONTH($AO2452,0)))&gt;0)*(((職員マスタ!$H$6:$H$405="")+(職員マスタ!$H$6:$H$405&gt;=$AO2452))&gt;0)*(ROW(職員マスタ!$A$6:$A$405)-5))),IFERROR(MATCH($B2452,職員マスタ!$A$6:$A$405,0),"")))</f>
        <v/>
      </c>
      <c r="AO2452" s="16">
        <f>IF(OR($B2452="",$C2452="",$D2452=""),"",DATE($C2452+2018,$D2452,1))</f>
        <v/>
      </c>
    </row>
    <row r="2453">
      <c r="A2453" s="11" t="n"/>
      <c r="B2453" s="12" t="n"/>
      <c r="C2453" s="12" t="n"/>
      <c r="D2453" s="12" t="n"/>
      <c r="E2453" s="13" t="n"/>
      <c r="F2453" s="12" t="n"/>
      <c r="G2453" s="13" t="n"/>
      <c r="H2453" s="12" t="n"/>
      <c r="I2453" s="12" t="n"/>
      <c r="J2453" s="12" t="n"/>
      <c r="K2453" s="12" t="n"/>
      <c r="L2453" s="11" t="n"/>
      <c r="M2453" s="11" t="n"/>
      <c r="N2453" s="11" t="n"/>
      <c r="O2453" s="11" t="n"/>
      <c r="P2453" s="12" t="n"/>
      <c r="Q2453" s="11" t="n"/>
      <c r="R2453" s="12" t="n"/>
      <c r="S2453" s="11" t="n"/>
      <c r="T2453" s="12" t="n"/>
      <c r="U2453" s="12" t="n"/>
      <c r="V2453" s="14">
        <f>IF($AN2453="",IF($B2453="","",$H2453),IF(INDEX(職員マスタ!$B$6:$B$405,$AN2453)="",$H2453,INDEX(職員マスタ!$B$6:$B$405,$AN2453)))</f>
        <v/>
      </c>
      <c r="W2453" s="14">
        <f>IF($AN2453="",IF($B2453="","",$R2453),IF(INDEX(職員マスタ!$C$6:$C$405,$AN2453)="",$R2453,INDEX(職員マスタ!$C$6:$C$405,$AN2453)))</f>
        <v/>
      </c>
      <c r="X2453" s="14">
        <f>IF($AO2453="","","R"&amp;$C2453&amp;"."&amp;$D2453)</f>
        <v/>
      </c>
      <c r="Y2453" s="15">
        <f>IF($AN2453="","",IF(INDEX(職員マスタ!$K$6:$K$405,$AN2453)="","",INDEX(職員マスタ!$K$6:$K$405,$AN2453)))</f>
        <v/>
      </c>
      <c r="Z2453" s="14">
        <f>IF(OR($E2453="",$Y2453=""),"",IF($E2453&gt;=$Y2453,"×",IF($E2453&gt;=$Y2453*設定!$C$5,"△","○")))</f>
        <v/>
      </c>
      <c r="AA2453" s="15">
        <f>IF($Z2453="","",IF($Z2453="×",0,IF($Z2453="○",ROUNDDOWN($E2453*設定!$C$4,0),ROUNDDOWN($E2453*ROUND((9*$Y2453-9*$E2453)/(10*$E2453),4),0))))</f>
        <v/>
      </c>
      <c r="AB2453" s="13" t="n"/>
      <c r="AC2453" s="15">
        <f>IF($B2453="","",IF($AB2453&lt;&gt;"",$AB2453,IF($AA2453="","",IF($AA2453&lt;=設定!$C$3,0,$AA2453))))</f>
        <v/>
      </c>
      <c r="AD2453" s="14">
        <f>IF($B2453="","",IF(AND($AE2453&lt;&gt;"",$AG2453="",$AJ2453=""),"保留中",IF($AJ2453&lt;&gt;"",IF(N($AC2453)&gt;0,"支給済","不支給"),IF($AC2453="","要確認",IF($AC2453=0,"不支給","未処理")))))</f>
        <v/>
      </c>
      <c r="AE2453" s="12" t="n"/>
      <c r="AF2453" s="11" t="n"/>
      <c r="AG2453" s="11" t="n"/>
      <c r="AH2453" s="11" t="n"/>
      <c r="AI2453" s="14">
        <f>IF(AND($AD2453="保留中",$AF2453&lt;&gt;""),TODAY()-$AF2453,"")</f>
        <v/>
      </c>
      <c r="AJ2453" s="12" t="n"/>
      <c r="AK2453" s="14">
        <f>IF($B2453="","",IF($AO2453="","対象年月が未入力／","")&amp;IF($B2453="","",IF($AN2453="","職員マスタに未登録の職員番号／",IF($Y2453="","標準報酬月額が未登録／","")&amp;IF(AND($AO2453&lt;&gt;"",OR(AND(INDEX(職員マスタ!$G$6:$G$405,$AN2453)&lt;&gt;"",INDEX(職員マスタ!$G$6:$G$405,$AN2453)&gt;EOMONTH($AO2453,0)),AND(INDEX(職員マスタ!$H$6:$H$405,$AN2453)&lt;&gt;"",INDEX(職員マスタ!$H$6:$H$405,$AN2453)&lt;$AO2453))),"対象月が時短期間外／","")&amp;IF(AND(INDEX(職員マスタ!$F$6:$F$405,$AN2453)&lt;&gt;"",$AO2453&lt;&gt;"",INDEX(職員マスタ!$F$6:$F$405,$AN2453)&lt;$AO2453),"対象月に子が2歳到達済／","")&amp;IF(AND($H2453&lt;&gt;"",INDEX(職員マスタ!$B$6:$B$405,$AN2453)&lt;&gt;"",SUBSTITUTE(SUBSTITUTE($H2453," ","")," ","")&lt;&gt;SUBSTITUTE(SUBSTITUTE(INDEX(職員マスタ!$B$6:$B$405,$AN2453)," ","")," ","")),"氏名がマスタと相違／","")&amp;IF(AND($Q2453&lt;&gt;"",INDEX(職員マスタ!$E$6:$E$405,$AN2453)&lt;&gt;"",$Q2453&lt;&gt;INDEX(職員マスタ!$E$6:$E$405,$AN2453)),"子の生年月日がマスタと相違／","")&amp;IF(AND($L2453&lt;&gt;"",INDEX(職員マスタ!$G$6:$G$405,$AN2453)&lt;&gt;"",$L2453&lt;&gt;INDEX(職員マスタ!$G$6:$G$405,$AN2453)),"時短開始日がマスタと相違／","")&amp;IF(AND($M2453&lt;&gt;"",INDEX(職員マスタ!$H$6:$H$405,$AN2453)&lt;&gt;"",$M2453&lt;&gt;INDEX(職員マスタ!$H$6:$H$405,$AN2453)),"時短終了日がマスタと相違／","")))&amp;IF(AND($B2453&lt;&gt;"",$E2453=""),"報酬額が未入力／","")&amp;IF(N($U2453)&gt;0,"申請書に入力エラーが残っています／","")&amp;IF(AND($B2453&lt;&gt;"",$AO2453&lt;&gt;""),IF(COUNTIFS($B$6:$B$3005,$B2453,$C$6:$C$3005,$C2453,$D$6:$D$3005,$D2453)&gt;1,"同じ月の請求が重複しています／",""),"")&amp;IF(AND(N($E2453)&gt;0,$Z2453&lt;&gt;"",$Z2453&lt;&gt;"×",$AC2453=0,$AB2453=""),"計算額が下限以下のため不支給／",""))</f>
        <v/>
      </c>
      <c r="AL2453" s="12" t="n"/>
      <c r="AM2453" s="14">
        <f>IF($AD2453="保留中",COUNTIF($AD$6:$AD2453,"保留中"),"")</f>
        <v/>
      </c>
      <c r="AN2453" s="14">
        <f>IF($AO2453="","",IF(SUMPRODUCT(MAX((職員マスタ!$A$6:$A$405=$B2453)*(((職員マスタ!$G$6:$G$405="")+(職員マスタ!$G$6:$G$405&lt;=EOMONTH($AO2453,0)))&gt;0)*(((職員マスタ!$H$6:$H$405="")+(職員マスタ!$H$6:$H$405&gt;=$AO2453))&gt;0)*(ROW(職員マスタ!$A$6:$A$405)-5)))&gt;0,SUMPRODUCT(MAX((職員マスタ!$A$6:$A$405=$B2453)*(((職員マスタ!$G$6:$G$405="")+(職員マスタ!$G$6:$G$405&lt;=EOMONTH($AO2453,0)))&gt;0)*(((職員マスタ!$H$6:$H$405="")+(職員マスタ!$H$6:$H$405&gt;=$AO2453))&gt;0)*(ROW(職員マスタ!$A$6:$A$405)-5))),IFERROR(MATCH($B2453,職員マスタ!$A$6:$A$405,0),"")))</f>
        <v/>
      </c>
      <c r="AO2453" s="16">
        <f>IF(OR($B2453="",$C2453="",$D2453=""),"",DATE($C2453+2018,$D2453,1))</f>
        <v/>
      </c>
    </row>
    <row r="2454">
      <c r="A2454" s="11" t="n"/>
      <c r="B2454" s="12" t="n"/>
      <c r="C2454" s="12" t="n"/>
      <c r="D2454" s="12" t="n"/>
      <c r="E2454" s="13" t="n"/>
      <c r="F2454" s="12" t="n"/>
      <c r="G2454" s="13" t="n"/>
      <c r="H2454" s="12" t="n"/>
      <c r="I2454" s="12" t="n"/>
      <c r="J2454" s="12" t="n"/>
      <c r="K2454" s="12" t="n"/>
      <c r="L2454" s="11" t="n"/>
      <c r="M2454" s="11" t="n"/>
      <c r="N2454" s="11" t="n"/>
      <c r="O2454" s="11" t="n"/>
      <c r="P2454" s="12" t="n"/>
      <c r="Q2454" s="11" t="n"/>
      <c r="R2454" s="12" t="n"/>
      <c r="S2454" s="11" t="n"/>
      <c r="T2454" s="12" t="n"/>
      <c r="U2454" s="12" t="n"/>
      <c r="V2454" s="14">
        <f>IF($AN2454="",IF($B2454="","",$H2454),IF(INDEX(職員マスタ!$B$6:$B$405,$AN2454)="",$H2454,INDEX(職員マスタ!$B$6:$B$405,$AN2454)))</f>
        <v/>
      </c>
      <c r="W2454" s="14">
        <f>IF($AN2454="",IF($B2454="","",$R2454),IF(INDEX(職員マスタ!$C$6:$C$405,$AN2454)="",$R2454,INDEX(職員マスタ!$C$6:$C$405,$AN2454)))</f>
        <v/>
      </c>
      <c r="X2454" s="14">
        <f>IF($AO2454="","","R"&amp;$C2454&amp;"."&amp;$D2454)</f>
        <v/>
      </c>
      <c r="Y2454" s="15">
        <f>IF($AN2454="","",IF(INDEX(職員マスタ!$K$6:$K$405,$AN2454)="","",INDEX(職員マスタ!$K$6:$K$405,$AN2454)))</f>
        <v/>
      </c>
      <c r="Z2454" s="14">
        <f>IF(OR($E2454="",$Y2454=""),"",IF($E2454&gt;=$Y2454,"×",IF($E2454&gt;=$Y2454*設定!$C$5,"△","○")))</f>
        <v/>
      </c>
      <c r="AA2454" s="15">
        <f>IF($Z2454="","",IF($Z2454="×",0,IF($Z2454="○",ROUNDDOWN($E2454*設定!$C$4,0),ROUNDDOWN($E2454*ROUND((9*$Y2454-9*$E2454)/(10*$E2454),4),0))))</f>
        <v/>
      </c>
      <c r="AB2454" s="13" t="n"/>
      <c r="AC2454" s="15">
        <f>IF($B2454="","",IF($AB2454&lt;&gt;"",$AB2454,IF($AA2454="","",IF($AA2454&lt;=設定!$C$3,0,$AA2454))))</f>
        <v/>
      </c>
      <c r="AD2454" s="14">
        <f>IF($B2454="","",IF(AND($AE2454&lt;&gt;"",$AG2454="",$AJ2454=""),"保留中",IF($AJ2454&lt;&gt;"",IF(N($AC2454)&gt;0,"支給済","不支給"),IF($AC2454="","要確認",IF($AC2454=0,"不支給","未処理")))))</f>
        <v/>
      </c>
      <c r="AE2454" s="12" t="n"/>
      <c r="AF2454" s="11" t="n"/>
      <c r="AG2454" s="11" t="n"/>
      <c r="AH2454" s="11" t="n"/>
      <c r="AI2454" s="14">
        <f>IF(AND($AD2454="保留中",$AF2454&lt;&gt;""),TODAY()-$AF2454,"")</f>
        <v/>
      </c>
      <c r="AJ2454" s="12" t="n"/>
      <c r="AK2454" s="14">
        <f>IF($B2454="","",IF($AO2454="","対象年月が未入力／","")&amp;IF($B2454="","",IF($AN2454="","職員マスタに未登録の職員番号／",IF($Y2454="","標準報酬月額が未登録／","")&amp;IF(AND($AO2454&lt;&gt;"",OR(AND(INDEX(職員マスタ!$G$6:$G$405,$AN2454)&lt;&gt;"",INDEX(職員マスタ!$G$6:$G$405,$AN2454)&gt;EOMONTH($AO2454,0)),AND(INDEX(職員マスタ!$H$6:$H$405,$AN2454)&lt;&gt;"",INDEX(職員マスタ!$H$6:$H$405,$AN2454)&lt;$AO2454))),"対象月が時短期間外／","")&amp;IF(AND(INDEX(職員マスタ!$F$6:$F$405,$AN2454)&lt;&gt;"",$AO2454&lt;&gt;"",INDEX(職員マスタ!$F$6:$F$405,$AN2454)&lt;$AO2454),"対象月に子が2歳到達済／","")&amp;IF(AND($H2454&lt;&gt;"",INDEX(職員マスタ!$B$6:$B$405,$AN2454)&lt;&gt;"",SUBSTITUTE(SUBSTITUTE($H2454," ","")," ","")&lt;&gt;SUBSTITUTE(SUBSTITUTE(INDEX(職員マスタ!$B$6:$B$405,$AN2454)," ","")," ","")),"氏名がマスタと相違／","")&amp;IF(AND($Q2454&lt;&gt;"",INDEX(職員マスタ!$E$6:$E$405,$AN2454)&lt;&gt;"",$Q2454&lt;&gt;INDEX(職員マスタ!$E$6:$E$405,$AN2454)),"子の生年月日がマスタと相違／","")&amp;IF(AND($L2454&lt;&gt;"",INDEX(職員マスタ!$G$6:$G$405,$AN2454)&lt;&gt;"",$L2454&lt;&gt;INDEX(職員マスタ!$G$6:$G$405,$AN2454)),"時短開始日がマスタと相違／","")&amp;IF(AND($M2454&lt;&gt;"",INDEX(職員マスタ!$H$6:$H$405,$AN2454)&lt;&gt;"",$M2454&lt;&gt;INDEX(職員マスタ!$H$6:$H$405,$AN2454)),"時短終了日がマスタと相違／","")))&amp;IF(AND($B2454&lt;&gt;"",$E2454=""),"報酬額が未入力／","")&amp;IF(N($U2454)&gt;0,"申請書に入力エラーが残っています／","")&amp;IF(AND($B2454&lt;&gt;"",$AO2454&lt;&gt;""),IF(COUNTIFS($B$6:$B$3005,$B2454,$C$6:$C$3005,$C2454,$D$6:$D$3005,$D2454)&gt;1,"同じ月の請求が重複しています／",""),"")&amp;IF(AND(N($E2454)&gt;0,$Z2454&lt;&gt;"",$Z2454&lt;&gt;"×",$AC2454=0,$AB2454=""),"計算額が下限以下のため不支給／",""))</f>
        <v/>
      </c>
      <c r="AL2454" s="12" t="n"/>
      <c r="AM2454" s="14">
        <f>IF($AD2454="保留中",COUNTIF($AD$6:$AD2454,"保留中"),"")</f>
        <v/>
      </c>
      <c r="AN2454" s="14">
        <f>IF($AO2454="","",IF(SUMPRODUCT(MAX((職員マスタ!$A$6:$A$405=$B2454)*(((職員マスタ!$G$6:$G$405="")+(職員マスタ!$G$6:$G$405&lt;=EOMONTH($AO2454,0)))&gt;0)*(((職員マスタ!$H$6:$H$405="")+(職員マスタ!$H$6:$H$405&gt;=$AO2454))&gt;0)*(ROW(職員マスタ!$A$6:$A$405)-5)))&gt;0,SUMPRODUCT(MAX((職員マスタ!$A$6:$A$405=$B2454)*(((職員マスタ!$G$6:$G$405="")+(職員マスタ!$G$6:$G$405&lt;=EOMONTH($AO2454,0)))&gt;0)*(((職員マスタ!$H$6:$H$405="")+(職員マスタ!$H$6:$H$405&gt;=$AO2454))&gt;0)*(ROW(職員マスタ!$A$6:$A$405)-5))),IFERROR(MATCH($B2454,職員マスタ!$A$6:$A$405,0),"")))</f>
        <v/>
      </c>
      <c r="AO2454" s="16">
        <f>IF(OR($B2454="",$C2454="",$D2454=""),"",DATE($C2454+2018,$D2454,1))</f>
        <v/>
      </c>
    </row>
    <row r="2455">
      <c r="A2455" s="11" t="n"/>
      <c r="B2455" s="12" t="n"/>
      <c r="C2455" s="12" t="n"/>
      <c r="D2455" s="12" t="n"/>
      <c r="E2455" s="13" t="n"/>
      <c r="F2455" s="12" t="n"/>
      <c r="G2455" s="13" t="n"/>
      <c r="H2455" s="12" t="n"/>
      <c r="I2455" s="12" t="n"/>
      <c r="J2455" s="12" t="n"/>
      <c r="K2455" s="12" t="n"/>
      <c r="L2455" s="11" t="n"/>
      <c r="M2455" s="11" t="n"/>
      <c r="N2455" s="11" t="n"/>
      <c r="O2455" s="11" t="n"/>
      <c r="P2455" s="12" t="n"/>
      <c r="Q2455" s="11" t="n"/>
      <c r="R2455" s="12" t="n"/>
      <c r="S2455" s="11" t="n"/>
      <c r="T2455" s="12" t="n"/>
      <c r="U2455" s="12" t="n"/>
      <c r="V2455" s="14">
        <f>IF($AN2455="",IF($B2455="","",$H2455),IF(INDEX(職員マスタ!$B$6:$B$405,$AN2455)="",$H2455,INDEX(職員マスタ!$B$6:$B$405,$AN2455)))</f>
        <v/>
      </c>
      <c r="W2455" s="14">
        <f>IF($AN2455="",IF($B2455="","",$R2455),IF(INDEX(職員マスタ!$C$6:$C$405,$AN2455)="",$R2455,INDEX(職員マスタ!$C$6:$C$405,$AN2455)))</f>
        <v/>
      </c>
      <c r="X2455" s="14">
        <f>IF($AO2455="","","R"&amp;$C2455&amp;"."&amp;$D2455)</f>
        <v/>
      </c>
      <c r="Y2455" s="15">
        <f>IF($AN2455="","",IF(INDEX(職員マスタ!$K$6:$K$405,$AN2455)="","",INDEX(職員マスタ!$K$6:$K$405,$AN2455)))</f>
        <v/>
      </c>
      <c r="Z2455" s="14">
        <f>IF(OR($E2455="",$Y2455=""),"",IF($E2455&gt;=$Y2455,"×",IF($E2455&gt;=$Y2455*設定!$C$5,"△","○")))</f>
        <v/>
      </c>
      <c r="AA2455" s="15">
        <f>IF($Z2455="","",IF($Z2455="×",0,IF($Z2455="○",ROUNDDOWN($E2455*設定!$C$4,0),ROUNDDOWN($E2455*ROUND((9*$Y2455-9*$E2455)/(10*$E2455),4),0))))</f>
        <v/>
      </c>
      <c r="AB2455" s="13" t="n"/>
      <c r="AC2455" s="15">
        <f>IF($B2455="","",IF($AB2455&lt;&gt;"",$AB2455,IF($AA2455="","",IF($AA2455&lt;=設定!$C$3,0,$AA2455))))</f>
        <v/>
      </c>
      <c r="AD2455" s="14">
        <f>IF($B2455="","",IF(AND($AE2455&lt;&gt;"",$AG2455="",$AJ2455=""),"保留中",IF($AJ2455&lt;&gt;"",IF(N($AC2455)&gt;0,"支給済","不支給"),IF($AC2455="","要確認",IF($AC2455=0,"不支給","未処理")))))</f>
        <v/>
      </c>
      <c r="AE2455" s="12" t="n"/>
      <c r="AF2455" s="11" t="n"/>
      <c r="AG2455" s="11" t="n"/>
      <c r="AH2455" s="11" t="n"/>
      <c r="AI2455" s="14">
        <f>IF(AND($AD2455="保留中",$AF2455&lt;&gt;""),TODAY()-$AF2455,"")</f>
        <v/>
      </c>
      <c r="AJ2455" s="12" t="n"/>
      <c r="AK2455" s="14">
        <f>IF($B2455="","",IF($AO2455="","対象年月が未入力／","")&amp;IF($B2455="","",IF($AN2455="","職員マスタに未登録の職員番号／",IF($Y2455="","標準報酬月額が未登録／","")&amp;IF(AND($AO2455&lt;&gt;"",OR(AND(INDEX(職員マスタ!$G$6:$G$405,$AN2455)&lt;&gt;"",INDEX(職員マスタ!$G$6:$G$405,$AN2455)&gt;EOMONTH($AO2455,0)),AND(INDEX(職員マスタ!$H$6:$H$405,$AN2455)&lt;&gt;"",INDEX(職員マスタ!$H$6:$H$405,$AN2455)&lt;$AO2455))),"対象月が時短期間外／","")&amp;IF(AND(INDEX(職員マスタ!$F$6:$F$405,$AN2455)&lt;&gt;"",$AO2455&lt;&gt;"",INDEX(職員マスタ!$F$6:$F$405,$AN2455)&lt;$AO2455),"対象月に子が2歳到達済／","")&amp;IF(AND($H2455&lt;&gt;"",INDEX(職員マスタ!$B$6:$B$405,$AN2455)&lt;&gt;"",SUBSTITUTE(SUBSTITUTE($H2455," ","")," ","")&lt;&gt;SUBSTITUTE(SUBSTITUTE(INDEX(職員マスタ!$B$6:$B$405,$AN2455)," ","")," ","")),"氏名がマスタと相違／","")&amp;IF(AND($Q2455&lt;&gt;"",INDEX(職員マスタ!$E$6:$E$405,$AN2455)&lt;&gt;"",$Q2455&lt;&gt;INDEX(職員マスタ!$E$6:$E$405,$AN2455)),"子の生年月日がマスタと相違／","")&amp;IF(AND($L2455&lt;&gt;"",INDEX(職員マスタ!$G$6:$G$405,$AN2455)&lt;&gt;"",$L2455&lt;&gt;INDEX(職員マスタ!$G$6:$G$405,$AN2455)),"時短開始日がマスタと相違／","")&amp;IF(AND($M2455&lt;&gt;"",INDEX(職員マスタ!$H$6:$H$405,$AN2455)&lt;&gt;"",$M2455&lt;&gt;INDEX(職員マスタ!$H$6:$H$405,$AN2455)),"時短終了日がマスタと相違／","")))&amp;IF(AND($B2455&lt;&gt;"",$E2455=""),"報酬額が未入力／","")&amp;IF(N($U2455)&gt;0,"申請書に入力エラーが残っています／","")&amp;IF(AND($B2455&lt;&gt;"",$AO2455&lt;&gt;""),IF(COUNTIFS($B$6:$B$3005,$B2455,$C$6:$C$3005,$C2455,$D$6:$D$3005,$D2455)&gt;1,"同じ月の請求が重複しています／",""),"")&amp;IF(AND(N($E2455)&gt;0,$Z2455&lt;&gt;"",$Z2455&lt;&gt;"×",$AC2455=0,$AB2455=""),"計算額が下限以下のため不支給／",""))</f>
        <v/>
      </c>
      <c r="AL2455" s="12" t="n"/>
      <c r="AM2455" s="14">
        <f>IF($AD2455="保留中",COUNTIF($AD$6:$AD2455,"保留中"),"")</f>
        <v/>
      </c>
      <c r="AN2455" s="14">
        <f>IF($AO2455="","",IF(SUMPRODUCT(MAX((職員マスタ!$A$6:$A$405=$B2455)*(((職員マスタ!$G$6:$G$405="")+(職員マスタ!$G$6:$G$405&lt;=EOMONTH($AO2455,0)))&gt;0)*(((職員マスタ!$H$6:$H$405="")+(職員マスタ!$H$6:$H$405&gt;=$AO2455))&gt;0)*(ROW(職員マスタ!$A$6:$A$405)-5)))&gt;0,SUMPRODUCT(MAX((職員マスタ!$A$6:$A$405=$B2455)*(((職員マスタ!$G$6:$G$405="")+(職員マスタ!$G$6:$G$405&lt;=EOMONTH($AO2455,0)))&gt;0)*(((職員マスタ!$H$6:$H$405="")+(職員マスタ!$H$6:$H$405&gt;=$AO2455))&gt;0)*(ROW(職員マスタ!$A$6:$A$405)-5))),IFERROR(MATCH($B2455,職員マスタ!$A$6:$A$405,0),"")))</f>
        <v/>
      </c>
      <c r="AO2455" s="16">
        <f>IF(OR($B2455="",$C2455="",$D2455=""),"",DATE($C2455+2018,$D2455,1))</f>
        <v/>
      </c>
    </row>
    <row r="2456">
      <c r="A2456" s="11" t="n"/>
      <c r="B2456" s="12" t="n"/>
      <c r="C2456" s="12" t="n"/>
      <c r="D2456" s="12" t="n"/>
      <c r="E2456" s="13" t="n"/>
      <c r="F2456" s="12" t="n"/>
      <c r="G2456" s="13" t="n"/>
      <c r="H2456" s="12" t="n"/>
      <c r="I2456" s="12" t="n"/>
      <c r="J2456" s="12" t="n"/>
      <c r="K2456" s="12" t="n"/>
      <c r="L2456" s="11" t="n"/>
      <c r="M2456" s="11" t="n"/>
      <c r="N2456" s="11" t="n"/>
      <c r="O2456" s="11" t="n"/>
      <c r="P2456" s="12" t="n"/>
      <c r="Q2456" s="11" t="n"/>
      <c r="R2456" s="12" t="n"/>
      <c r="S2456" s="11" t="n"/>
      <c r="T2456" s="12" t="n"/>
      <c r="U2456" s="12" t="n"/>
      <c r="V2456" s="14">
        <f>IF($AN2456="",IF($B2456="","",$H2456),IF(INDEX(職員マスタ!$B$6:$B$405,$AN2456)="",$H2456,INDEX(職員マスタ!$B$6:$B$405,$AN2456)))</f>
        <v/>
      </c>
      <c r="W2456" s="14">
        <f>IF($AN2456="",IF($B2456="","",$R2456),IF(INDEX(職員マスタ!$C$6:$C$405,$AN2456)="",$R2456,INDEX(職員マスタ!$C$6:$C$405,$AN2456)))</f>
        <v/>
      </c>
      <c r="X2456" s="14">
        <f>IF($AO2456="","","R"&amp;$C2456&amp;"."&amp;$D2456)</f>
        <v/>
      </c>
      <c r="Y2456" s="15">
        <f>IF($AN2456="","",IF(INDEX(職員マスタ!$K$6:$K$405,$AN2456)="","",INDEX(職員マスタ!$K$6:$K$405,$AN2456)))</f>
        <v/>
      </c>
      <c r="Z2456" s="14">
        <f>IF(OR($E2456="",$Y2456=""),"",IF($E2456&gt;=$Y2456,"×",IF($E2456&gt;=$Y2456*設定!$C$5,"△","○")))</f>
        <v/>
      </c>
      <c r="AA2456" s="15">
        <f>IF($Z2456="","",IF($Z2456="×",0,IF($Z2456="○",ROUNDDOWN($E2456*設定!$C$4,0),ROUNDDOWN($E2456*ROUND((9*$Y2456-9*$E2456)/(10*$E2456),4),0))))</f>
        <v/>
      </c>
      <c r="AB2456" s="13" t="n"/>
      <c r="AC2456" s="15">
        <f>IF($B2456="","",IF($AB2456&lt;&gt;"",$AB2456,IF($AA2456="","",IF($AA2456&lt;=設定!$C$3,0,$AA2456))))</f>
        <v/>
      </c>
      <c r="AD2456" s="14">
        <f>IF($B2456="","",IF(AND($AE2456&lt;&gt;"",$AG2456="",$AJ2456=""),"保留中",IF($AJ2456&lt;&gt;"",IF(N($AC2456)&gt;0,"支給済","不支給"),IF($AC2456="","要確認",IF($AC2456=0,"不支給","未処理")))))</f>
        <v/>
      </c>
      <c r="AE2456" s="12" t="n"/>
      <c r="AF2456" s="11" t="n"/>
      <c r="AG2456" s="11" t="n"/>
      <c r="AH2456" s="11" t="n"/>
      <c r="AI2456" s="14">
        <f>IF(AND($AD2456="保留中",$AF2456&lt;&gt;""),TODAY()-$AF2456,"")</f>
        <v/>
      </c>
      <c r="AJ2456" s="12" t="n"/>
      <c r="AK2456" s="14">
        <f>IF($B2456="","",IF($AO2456="","対象年月が未入力／","")&amp;IF($B2456="","",IF($AN2456="","職員マスタに未登録の職員番号／",IF($Y2456="","標準報酬月額が未登録／","")&amp;IF(AND($AO2456&lt;&gt;"",OR(AND(INDEX(職員マスタ!$G$6:$G$405,$AN2456)&lt;&gt;"",INDEX(職員マスタ!$G$6:$G$405,$AN2456)&gt;EOMONTH($AO2456,0)),AND(INDEX(職員マスタ!$H$6:$H$405,$AN2456)&lt;&gt;"",INDEX(職員マスタ!$H$6:$H$405,$AN2456)&lt;$AO2456))),"対象月が時短期間外／","")&amp;IF(AND(INDEX(職員マスタ!$F$6:$F$405,$AN2456)&lt;&gt;"",$AO2456&lt;&gt;"",INDEX(職員マスタ!$F$6:$F$405,$AN2456)&lt;$AO2456),"対象月に子が2歳到達済／","")&amp;IF(AND($H2456&lt;&gt;"",INDEX(職員マスタ!$B$6:$B$405,$AN2456)&lt;&gt;"",SUBSTITUTE(SUBSTITUTE($H2456," ","")," ","")&lt;&gt;SUBSTITUTE(SUBSTITUTE(INDEX(職員マスタ!$B$6:$B$405,$AN2456)," ","")," ","")),"氏名がマスタと相違／","")&amp;IF(AND($Q2456&lt;&gt;"",INDEX(職員マスタ!$E$6:$E$405,$AN2456)&lt;&gt;"",$Q2456&lt;&gt;INDEX(職員マスタ!$E$6:$E$405,$AN2456)),"子の生年月日がマスタと相違／","")&amp;IF(AND($L2456&lt;&gt;"",INDEX(職員マスタ!$G$6:$G$405,$AN2456)&lt;&gt;"",$L2456&lt;&gt;INDEX(職員マスタ!$G$6:$G$405,$AN2456)),"時短開始日がマスタと相違／","")&amp;IF(AND($M2456&lt;&gt;"",INDEX(職員マスタ!$H$6:$H$405,$AN2456)&lt;&gt;"",$M2456&lt;&gt;INDEX(職員マスタ!$H$6:$H$405,$AN2456)),"時短終了日がマスタと相違／","")))&amp;IF(AND($B2456&lt;&gt;"",$E2456=""),"報酬額が未入力／","")&amp;IF(N($U2456)&gt;0,"申請書に入力エラーが残っています／","")&amp;IF(AND($B2456&lt;&gt;"",$AO2456&lt;&gt;""),IF(COUNTIFS($B$6:$B$3005,$B2456,$C$6:$C$3005,$C2456,$D$6:$D$3005,$D2456)&gt;1,"同じ月の請求が重複しています／",""),"")&amp;IF(AND(N($E2456)&gt;0,$Z2456&lt;&gt;"",$Z2456&lt;&gt;"×",$AC2456=0,$AB2456=""),"計算額が下限以下のため不支給／",""))</f>
        <v/>
      </c>
      <c r="AL2456" s="12" t="n"/>
      <c r="AM2456" s="14">
        <f>IF($AD2456="保留中",COUNTIF($AD$6:$AD2456,"保留中"),"")</f>
        <v/>
      </c>
      <c r="AN2456" s="14">
        <f>IF($AO2456="","",IF(SUMPRODUCT(MAX((職員マスタ!$A$6:$A$405=$B2456)*(((職員マスタ!$G$6:$G$405="")+(職員マスタ!$G$6:$G$405&lt;=EOMONTH($AO2456,0)))&gt;0)*(((職員マスタ!$H$6:$H$405="")+(職員マスタ!$H$6:$H$405&gt;=$AO2456))&gt;0)*(ROW(職員マスタ!$A$6:$A$405)-5)))&gt;0,SUMPRODUCT(MAX((職員マスタ!$A$6:$A$405=$B2456)*(((職員マスタ!$G$6:$G$405="")+(職員マスタ!$G$6:$G$405&lt;=EOMONTH($AO2456,0)))&gt;0)*(((職員マスタ!$H$6:$H$405="")+(職員マスタ!$H$6:$H$405&gt;=$AO2456))&gt;0)*(ROW(職員マスタ!$A$6:$A$405)-5))),IFERROR(MATCH($B2456,職員マスタ!$A$6:$A$405,0),"")))</f>
        <v/>
      </c>
      <c r="AO2456" s="16">
        <f>IF(OR($B2456="",$C2456="",$D2456=""),"",DATE($C2456+2018,$D2456,1))</f>
        <v/>
      </c>
    </row>
    <row r="2457">
      <c r="A2457" s="11" t="n"/>
      <c r="B2457" s="12" t="n"/>
      <c r="C2457" s="12" t="n"/>
      <c r="D2457" s="12" t="n"/>
      <c r="E2457" s="13" t="n"/>
      <c r="F2457" s="12" t="n"/>
      <c r="G2457" s="13" t="n"/>
      <c r="H2457" s="12" t="n"/>
      <c r="I2457" s="12" t="n"/>
      <c r="J2457" s="12" t="n"/>
      <c r="K2457" s="12" t="n"/>
      <c r="L2457" s="11" t="n"/>
      <c r="M2457" s="11" t="n"/>
      <c r="N2457" s="11" t="n"/>
      <c r="O2457" s="11" t="n"/>
      <c r="P2457" s="12" t="n"/>
      <c r="Q2457" s="11" t="n"/>
      <c r="R2457" s="12" t="n"/>
      <c r="S2457" s="11" t="n"/>
      <c r="T2457" s="12" t="n"/>
      <c r="U2457" s="12" t="n"/>
      <c r="V2457" s="14">
        <f>IF($AN2457="",IF($B2457="","",$H2457),IF(INDEX(職員マスタ!$B$6:$B$405,$AN2457)="",$H2457,INDEX(職員マスタ!$B$6:$B$405,$AN2457)))</f>
        <v/>
      </c>
      <c r="W2457" s="14">
        <f>IF($AN2457="",IF($B2457="","",$R2457),IF(INDEX(職員マスタ!$C$6:$C$405,$AN2457)="",$R2457,INDEX(職員マスタ!$C$6:$C$405,$AN2457)))</f>
        <v/>
      </c>
      <c r="X2457" s="14">
        <f>IF($AO2457="","","R"&amp;$C2457&amp;"."&amp;$D2457)</f>
        <v/>
      </c>
      <c r="Y2457" s="15">
        <f>IF($AN2457="","",IF(INDEX(職員マスタ!$K$6:$K$405,$AN2457)="","",INDEX(職員マスタ!$K$6:$K$405,$AN2457)))</f>
        <v/>
      </c>
      <c r="Z2457" s="14">
        <f>IF(OR($E2457="",$Y2457=""),"",IF($E2457&gt;=$Y2457,"×",IF($E2457&gt;=$Y2457*設定!$C$5,"△","○")))</f>
        <v/>
      </c>
      <c r="AA2457" s="15">
        <f>IF($Z2457="","",IF($Z2457="×",0,IF($Z2457="○",ROUNDDOWN($E2457*設定!$C$4,0),ROUNDDOWN($E2457*ROUND((9*$Y2457-9*$E2457)/(10*$E2457),4),0))))</f>
        <v/>
      </c>
      <c r="AB2457" s="13" t="n"/>
      <c r="AC2457" s="15">
        <f>IF($B2457="","",IF($AB2457&lt;&gt;"",$AB2457,IF($AA2457="","",IF($AA2457&lt;=設定!$C$3,0,$AA2457))))</f>
        <v/>
      </c>
      <c r="AD2457" s="14">
        <f>IF($B2457="","",IF(AND($AE2457&lt;&gt;"",$AG2457="",$AJ2457=""),"保留中",IF($AJ2457&lt;&gt;"",IF(N($AC2457)&gt;0,"支給済","不支給"),IF($AC2457="","要確認",IF($AC2457=0,"不支給","未処理")))))</f>
        <v/>
      </c>
      <c r="AE2457" s="12" t="n"/>
      <c r="AF2457" s="11" t="n"/>
      <c r="AG2457" s="11" t="n"/>
      <c r="AH2457" s="11" t="n"/>
      <c r="AI2457" s="14">
        <f>IF(AND($AD2457="保留中",$AF2457&lt;&gt;""),TODAY()-$AF2457,"")</f>
        <v/>
      </c>
      <c r="AJ2457" s="12" t="n"/>
      <c r="AK2457" s="14">
        <f>IF($B2457="","",IF($AO2457="","対象年月が未入力／","")&amp;IF($B2457="","",IF($AN2457="","職員マスタに未登録の職員番号／",IF($Y2457="","標準報酬月額が未登録／","")&amp;IF(AND($AO2457&lt;&gt;"",OR(AND(INDEX(職員マスタ!$G$6:$G$405,$AN2457)&lt;&gt;"",INDEX(職員マスタ!$G$6:$G$405,$AN2457)&gt;EOMONTH($AO2457,0)),AND(INDEX(職員マスタ!$H$6:$H$405,$AN2457)&lt;&gt;"",INDEX(職員マスタ!$H$6:$H$405,$AN2457)&lt;$AO2457))),"対象月が時短期間外／","")&amp;IF(AND(INDEX(職員マスタ!$F$6:$F$405,$AN2457)&lt;&gt;"",$AO2457&lt;&gt;"",INDEX(職員マスタ!$F$6:$F$405,$AN2457)&lt;$AO2457),"対象月に子が2歳到達済／","")&amp;IF(AND($H2457&lt;&gt;"",INDEX(職員マスタ!$B$6:$B$405,$AN2457)&lt;&gt;"",SUBSTITUTE(SUBSTITUTE($H2457," ","")," ","")&lt;&gt;SUBSTITUTE(SUBSTITUTE(INDEX(職員マスタ!$B$6:$B$405,$AN2457)," ","")," ","")),"氏名がマスタと相違／","")&amp;IF(AND($Q2457&lt;&gt;"",INDEX(職員マスタ!$E$6:$E$405,$AN2457)&lt;&gt;"",$Q2457&lt;&gt;INDEX(職員マスタ!$E$6:$E$405,$AN2457)),"子の生年月日がマスタと相違／","")&amp;IF(AND($L2457&lt;&gt;"",INDEX(職員マスタ!$G$6:$G$405,$AN2457)&lt;&gt;"",$L2457&lt;&gt;INDEX(職員マスタ!$G$6:$G$405,$AN2457)),"時短開始日がマスタと相違／","")&amp;IF(AND($M2457&lt;&gt;"",INDEX(職員マスタ!$H$6:$H$405,$AN2457)&lt;&gt;"",$M2457&lt;&gt;INDEX(職員マスタ!$H$6:$H$405,$AN2457)),"時短終了日がマスタと相違／","")))&amp;IF(AND($B2457&lt;&gt;"",$E2457=""),"報酬額が未入力／","")&amp;IF(N($U2457)&gt;0,"申請書に入力エラーが残っています／","")&amp;IF(AND($B2457&lt;&gt;"",$AO2457&lt;&gt;""),IF(COUNTIFS($B$6:$B$3005,$B2457,$C$6:$C$3005,$C2457,$D$6:$D$3005,$D2457)&gt;1,"同じ月の請求が重複しています／",""),"")&amp;IF(AND(N($E2457)&gt;0,$Z2457&lt;&gt;"",$Z2457&lt;&gt;"×",$AC2457=0,$AB2457=""),"計算額が下限以下のため不支給／",""))</f>
        <v/>
      </c>
      <c r="AL2457" s="12" t="n"/>
      <c r="AM2457" s="14">
        <f>IF($AD2457="保留中",COUNTIF($AD$6:$AD2457,"保留中"),"")</f>
        <v/>
      </c>
      <c r="AN2457" s="14">
        <f>IF($AO2457="","",IF(SUMPRODUCT(MAX((職員マスタ!$A$6:$A$405=$B2457)*(((職員マスタ!$G$6:$G$405="")+(職員マスタ!$G$6:$G$405&lt;=EOMONTH($AO2457,0)))&gt;0)*(((職員マスタ!$H$6:$H$405="")+(職員マスタ!$H$6:$H$405&gt;=$AO2457))&gt;0)*(ROW(職員マスタ!$A$6:$A$405)-5)))&gt;0,SUMPRODUCT(MAX((職員マスタ!$A$6:$A$405=$B2457)*(((職員マスタ!$G$6:$G$405="")+(職員マスタ!$G$6:$G$405&lt;=EOMONTH($AO2457,0)))&gt;0)*(((職員マスタ!$H$6:$H$405="")+(職員マスタ!$H$6:$H$405&gt;=$AO2457))&gt;0)*(ROW(職員マスタ!$A$6:$A$405)-5))),IFERROR(MATCH($B2457,職員マスタ!$A$6:$A$405,0),"")))</f>
        <v/>
      </c>
      <c r="AO2457" s="16">
        <f>IF(OR($B2457="",$C2457="",$D2457=""),"",DATE($C2457+2018,$D2457,1))</f>
        <v/>
      </c>
    </row>
    <row r="2458">
      <c r="A2458" s="11" t="n"/>
      <c r="B2458" s="12" t="n"/>
      <c r="C2458" s="12" t="n"/>
      <c r="D2458" s="12" t="n"/>
      <c r="E2458" s="13" t="n"/>
      <c r="F2458" s="12" t="n"/>
      <c r="G2458" s="13" t="n"/>
      <c r="H2458" s="12" t="n"/>
      <c r="I2458" s="12" t="n"/>
      <c r="J2458" s="12" t="n"/>
      <c r="K2458" s="12" t="n"/>
      <c r="L2458" s="11" t="n"/>
      <c r="M2458" s="11" t="n"/>
      <c r="N2458" s="11" t="n"/>
      <c r="O2458" s="11" t="n"/>
      <c r="P2458" s="12" t="n"/>
      <c r="Q2458" s="11" t="n"/>
      <c r="R2458" s="12" t="n"/>
      <c r="S2458" s="11" t="n"/>
      <c r="T2458" s="12" t="n"/>
      <c r="U2458" s="12" t="n"/>
      <c r="V2458" s="14">
        <f>IF($AN2458="",IF($B2458="","",$H2458),IF(INDEX(職員マスタ!$B$6:$B$405,$AN2458)="",$H2458,INDEX(職員マスタ!$B$6:$B$405,$AN2458)))</f>
        <v/>
      </c>
      <c r="W2458" s="14">
        <f>IF($AN2458="",IF($B2458="","",$R2458),IF(INDEX(職員マスタ!$C$6:$C$405,$AN2458)="",$R2458,INDEX(職員マスタ!$C$6:$C$405,$AN2458)))</f>
        <v/>
      </c>
      <c r="X2458" s="14">
        <f>IF($AO2458="","","R"&amp;$C2458&amp;"."&amp;$D2458)</f>
        <v/>
      </c>
      <c r="Y2458" s="15">
        <f>IF($AN2458="","",IF(INDEX(職員マスタ!$K$6:$K$405,$AN2458)="","",INDEX(職員マスタ!$K$6:$K$405,$AN2458)))</f>
        <v/>
      </c>
      <c r="Z2458" s="14">
        <f>IF(OR($E2458="",$Y2458=""),"",IF($E2458&gt;=$Y2458,"×",IF($E2458&gt;=$Y2458*設定!$C$5,"△","○")))</f>
        <v/>
      </c>
      <c r="AA2458" s="15">
        <f>IF($Z2458="","",IF($Z2458="×",0,IF($Z2458="○",ROUNDDOWN($E2458*設定!$C$4,0),ROUNDDOWN($E2458*ROUND((9*$Y2458-9*$E2458)/(10*$E2458),4),0))))</f>
        <v/>
      </c>
      <c r="AB2458" s="13" t="n"/>
      <c r="AC2458" s="15">
        <f>IF($B2458="","",IF($AB2458&lt;&gt;"",$AB2458,IF($AA2458="","",IF($AA2458&lt;=設定!$C$3,0,$AA2458))))</f>
        <v/>
      </c>
      <c r="AD2458" s="14">
        <f>IF($B2458="","",IF(AND($AE2458&lt;&gt;"",$AG2458="",$AJ2458=""),"保留中",IF($AJ2458&lt;&gt;"",IF(N($AC2458)&gt;0,"支給済","不支給"),IF($AC2458="","要確認",IF($AC2458=0,"不支給","未処理")))))</f>
        <v/>
      </c>
      <c r="AE2458" s="12" t="n"/>
      <c r="AF2458" s="11" t="n"/>
      <c r="AG2458" s="11" t="n"/>
      <c r="AH2458" s="11" t="n"/>
      <c r="AI2458" s="14">
        <f>IF(AND($AD2458="保留中",$AF2458&lt;&gt;""),TODAY()-$AF2458,"")</f>
        <v/>
      </c>
      <c r="AJ2458" s="12" t="n"/>
      <c r="AK2458" s="14">
        <f>IF($B2458="","",IF($AO2458="","対象年月が未入力／","")&amp;IF($B2458="","",IF($AN2458="","職員マスタに未登録の職員番号／",IF($Y2458="","標準報酬月額が未登録／","")&amp;IF(AND($AO2458&lt;&gt;"",OR(AND(INDEX(職員マスタ!$G$6:$G$405,$AN2458)&lt;&gt;"",INDEX(職員マスタ!$G$6:$G$405,$AN2458)&gt;EOMONTH($AO2458,0)),AND(INDEX(職員マスタ!$H$6:$H$405,$AN2458)&lt;&gt;"",INDEX(職員マスタ!$H$6:$H$405,$AN2458)&lt;$AO2458))),"対象月が時短期間外／","")&amp;IF(AND(INDEX(職員マスタ!$F$6:$F$405,$AN2458)&lt;&gt;"",$AO2458&lt;&gt;"",INDEX(職員マスタ!$F$6:$F$405,$AN2458)&lt;$AO2458),"対象月に子が2歳到達済／","")&amp;IF(AND($H2458&lt;&gt;"",INDEX(職員マスタ!$B$6:$B$405,$AN2458)&lt;&gt;"",SUBSTITUTE(SUBSTITUTE($H2458," ","")," ","")&lt;&gt;SUBSTITUTE(SUBSTITUTE(INDEX(職員マスタ!$B$6:$B$405,$AN2458)," ","")," ","")),"氏名がマスタと相違／","")&amp;IF(AND($Q2458&lt;&gt;"",INDEX(職員マスタ!$E$6:$E$405,$AN2458)&lt;&gt;"",$Q2458&lt;&gt;INDEX(職員マスタ!$E$6:$E$405,$AN2458)),"子の生年月日がマスタと相違／","")&amp;IF(AND($L2458&lt;&gt;"",INDEX(職員マスタ!$G$6:$G$405,$AN2458)&lt;&gt;"",$L2458&lt;&gt;INDEX(職員マスタ!$G$6:$G$405,$AN2458)),"時短開始日がマスタと相違／","")&amp;IF(AND($M2458&lt;&gt;"",INDEX(職員マスタ!$H$6:$H$405,$AN2458)&lt;&gt;"",$M2458&lt;&gt;INDEX(職員マスタ!$H$6:$H$405,$AN2458)),"時短終了日がマスタと相違／","")))&amp;IF(AND($B2458&lt;&gt;"",$E2458=""),"報酬額が未入力／","")&amp;IF(N($U2458)&gt;0,"申請書に入力エラーが残っています／","")&amp;IF(AND($B2458&lt;&gt;"",$AO2458&lt;&gt;""),IF(COUNTIFS($B$6:$B$3005,$B2458,$C$6:$C$3005,$C2458,$D$6:$D$3005,$D2458)&gt;1,"同じ月の請求が重複しています／",""),"")&amp;IF(AND(N($E2458)&gt;0,$Z2458&lt;&gt;"",$Z2458&lt;&gt;"×",$AC2458=0,$AB2458=""),"計算額が下限以下のため不支給／",""))</f>
        <v/>
      </c>
      <c r="AL2458" s="12" t="n"/>
      <c r="AM2458" s="14">
        <f>IF($AD2458="保留中",COUNTIF($AD$6:$AD2458,"保留中"),"")</f>
        <v/>
      </c>
      <c r="AN2458" s="14">
        <f>IF($AO2458="","",IF(SUMPRODUCT(MAX((職員マスタ!$A$6:$A$405=$B2458)*(((職員マスタ!$G$6:$G$405="")+(職員マスタ!$G$6:$G$405&lt;=EOMONTH($AO2458,0)))&gt;0)*(((職員マスタ!$H$6:$H$405="")+(職員マスタ!$H$6:$H$405&gt;=$AO2458))&gt;0)*(ROW(職員マスタ!$A$6:$A$405)-5)))&gt;0,SUMPRODUCT(MAX((職員マスタ!$A$6:$A$405=$B2458)*(((職員マスタ!$G$6:$G$405="")+(職員マスタ!$G$6:$G$405&lt;=EOMONTH($AO2458,0)))&gt;0)*(((職員マスタ!$H$6:$H$405="")+(職員マスタ!$H$6:$H$405&gt;=$AO2458))&gt;0)*(ROW(職員マスタ!$A$6:$A$405)-5))),IFERROR(MATCH($B2458,職員マスタ!$A$6:$A$405,0),"")))</f>
        <v/>
      </c>
      <c r="AO2458" s="16">
        <f>IF(OR($B2458="",$C2458="",$D2458=""),"",DATE($C2458+2018,$D2458,1))</f>
        <v/>
      </c>
    </row>
    <row r="2459">
      <c r="A2459" s="11" t="n"/>
      <c r="B2459" s="12" t="n"/>
      <c r="C2459" s="12" t="n"/>
      <c r="D2459" s="12" t="n"/>
      <c r="E2459" s="13" t="n"/>
      <c r="F2459" s="12" t="n"/>
      <c r="G2459" s="13" t="n"/>
      <c r="H2459" s="12" t="n"/>
      <c r="I2459" s="12" t="n"/>
      <c r="J2459" s="12" t="n"/>
      <c r="K2459" s="12" t="n"/>
      <c r="L2459" s="11" t="n"/>
      <c r="M2459" s="11" t="n"/>
      <c r="N2459" s="11" t="n"/>
      <c r="O2459" s="11" t="n"/>
      <c r="P2459" s="12" t="n"/>
      <c r="Q2459" s="11" t="n"/>
      <c r="R2459" s="12" t="n"/>
      <c r="S2459" s="11" t="n"/>
      <c r="T2459" s="12" t="n"/>
      <c r="U2459" s="12" t="n"/>
      <c r="V2459" s="14">
        <f>IF($AN2459="",IF($B2459="","",$H2459),IF(INDEX(職員マスタ!$B$6:$B$405,$AN2459)="",$H2459,INDEX(職員マスタ!$B$6:$B$405,$AN2459)))</f>
        <v/>
      </c>
      <c r="W2459" s="14">
        <f>IF($AN2459="",IF($B2459="","",$R2459),IF(INDEX(職員マスタ!$C$6:$C$405,$AN2459)="",$R2459,INDEX(職員マスタ!$C$6:$C$405,$AN2459)))</f>
        <v/>
      </c>
      <c r="X2459" s="14">
        <f>IF($AO2459="","","R"&amp;$C2459&amp;"."&amp;$D2459)</f>
        <v/>
      </c>
      <c r="Y2459" s="15">
        <f>IF($AN2459="","",IF(INDEX(職員マスタ!$K$6:$K$405,$AN2459)="","",INDEX(職員マスタ!$K$6:$K$405,$AN2459)))</f>
        <v/>
      </c>
      <c r="Z2459" s="14">
        <f>IF(OR($E2459="",$Y2459=""),"",IF($E2459&gt;=$Y2459,"×",IF($E2459&gt;=$Y2459*設定!$C$5,"△","○")))</f>
        <v/>
      </c>
      <c r="AA2459" s="15">
        <f>IF($Z2459="","",IF($Z2459="×",0,IF($Z2459="○",ROUNDDOWN($E2459*設定!$C$4,0),ROUNDDOWN($E2459*ROUND((9*$Y2459-9*$E2459)/(10*$E2459),4),0))))</f>
        <v/>
      </c>
      <c r="AB2459" s="13" t="n"/>
      <c r="AC2459" s="15">
        <f>IF($B2459="","",IF($AB2459&lt;&gt;"",$AB2459,IF($AA2459="","",IF($AA2459&lt;=設定!$C$3,0,$AA2459))))</f>
        <v/>
      </c>
      <c r="AD2459" s="14">
        <f>IF($B2459="","",IF(AND($AE2459&lt;&gt;"",$AG2459="",$AJ2459=""),"保留中",IF($AJ2459&lt;&gt;"",IF(N($AC2459)&gt;0,"支給済","不支給"),IF($AC2459="","要確認",IF($AC2459=0,"不支給","未処理")))))</f>
        <v/>
      </c>
      <c r="AE2459" s="12" t="n"/>
      <c r="AF2459" s="11" t="n"/>
      <c r="AG2459" s="11" t="n"/>
      <c r="AH2459" s="11" t="n"/>
      <c r="AI2459" s="14">
        <f>IF(AND($AD2459="保留中",$AF2459&lt;&gt;""),TODAY()-$AF2459,"")</f>
        <v/>
      </c>
      <c r="AJ2459" s="12" t="n"/>
      <c r="AK2459" s="14">
        <f>IF($B2459="","",IF($AO2459="","対象年月が未入力／","")&amp;IF($B2459="","",IF($AN2459="","職員マスタに未登録の職員番号／",IF($Y2459="","標準報酬月額が未登録／","")&amp;IF(AND($AO2459&lt;&gt;"",OR(AND(INDEX(職員マスタ!$G$6:$G$405,$AN2459)&lt;&gt;"",INDEX(職員マスタ!$G$6:$G$405,$AN2459)&gt;EOMONTH($AO2459,0)),AND(INDEX(職員マスタ!$H$6:$H$405,$AN2459)&lt;&gt;"",INDEX(職員マスタ!$H$6:$H$405,$AN2459)&lt;$AO2459))),"対象月が時短期間外／","")&amp;IF(AND(INDEX(職員マスタ!$F$6:$F$405,$AN2459)&lt;&gt;"",$AO2459&lt;&gt;"",INDEX(職員マスタ!$F$6:$F$405,$AN2459)&lt;$AO2459),"対象月に子が2歳到達済／","")&amp;IF(AND($H2459&lt;&gt;"",INDEX(職員マスタ!$B$6:$B$405,$AN2459)&lt;&gt;"",SUBSTITUTE(SUBSTITUTE($H2459," ","")," ","")&lt;&gt;SUBSTITUTE(SUBSTITUTE(INDEX(職員マスタ!$B$6:$B$405,$AN2459)," ","")," ","")),"氏名がマスタと相違／","")&amp;IF(AND($Q2459&lt;&gt;"",INDEX(職員マスタ!$E$6:$E$405,$AN2459)&lt;&gt;"",$Q2459&lt;&gt;INDEX(職員マスタ!$E$6:$E$405,$AN2459)),"子の生年月日がマスタと相違／","")&amp;IF(AND($L2459&lt;&gt;"",INDEX(職員マスタ!$G$6:$G$405,$AN2459)&lt;&gt;"",$L2459&lt;&gt;INDEX(職員マスタ!$G$6:$G$405,$AN2459)),"時短開始日がマスタと相違／","")&amp;IF(AND($M2459&lt;&gt;"",INDEX(職員マスタ!$H$6:$H$405,$AN2459)&lt;&gt;"",$M2459&lt;&gt;INDEX(職員マスタ!$H$6:$H$405,$AN2459)),"時短終了日がマスタと相違／","")))&amp;IF(AND($B2459&lt;&gt;"",$E2459=""),"報酬額が未入力／","")&amp;IF(N($U2459)&gt;0,"申請書に入力エラーが残っています／","")&amp;IF(AND($B2459&lt;&gt;"",$AO2459&lt;&gt;""),IF(COUNTIFS($B$6:$B$3005,$B2459,$C$6:$C$3005,$C2459,$D$6:$D$3005,$D2459)&gt;1,"同じ月の請求が重複しています／",""),"")&amp;IF(AND(N($E2459)&gt;0,$Z2459&lt;&gt;"",$Z2459&lt;&gt;"×",$AC2459=0,$AB2459=""),"計算額が下限以下のため不支給／",""))</f>
        <v/>
      </c>
      <c r="AL2459" s="12" t="n"/>
      <c r="AM2459" s="14">
        <f>IF($AD2459="保留中",COUNTIF($AD$6:$AD2459,"保留中"),"")</f>
        <v/>
      </c>
      <c r="AN2459" s="14">
        <f>IF($AO2459="","",IF(SUMPRODUCT(MAX((職員マスタ!$A$6:$A$405=$B2459)*(((職員マスタ!$G$6:$G$405="")+(職員マスタ!$G$6:$G$405&lt;=EOMONTH($AO2459,0)))&gt;0)*(((職員マスタ!$H$6:$H$405="")+(職員マスタ!$H$6:$H$405&gt;=$AO2459))&gt;0)*(ROW(職員マスタ!$A$6:$A$405)-5)))&gt;0,SUMPRODUCT(MAX((職員マスタ!$A$6:$A$405=$B2459)*(((職員マスタ!$G$6:$G$405="")+(職員マスタ!$G$6:$G$405&lt;=EOMONTH($AO2459,0)))&gt;0)*(((職員マスタ!$H$6:$H$405="")+(職員マスタ!$H$6:$H$405&gt;=$AO2459))&gt;0)*(ROW(職員マスタ!$A$6:$A$405)-5))),IFERROR(MATCH($B2459,職員マスタ!$A$6:$A$405,0),"")))</f>
        <v/>
      </c>
      <c r="AO2459" s="16">
        <f>IF(OR($B2459="",$C2459="",$D2459=""),"",DATE($C2459+2018,$D2459,1))</f>
        <v/>
      </c>
    </row>
    <row r="2460">
      <c r="A2460" s="11" t="n"/>
      <c r="B2460" s="12" t="n"/>
      <c r="C2460" s="12" t="n"/>
      <c r="D2460" s="12" t="n"/>
      <c r="E2460" s="13" t="n"/>
      <c r="F2460" s="12" t="n"/>
      <c r="G2460" s="13" t="n"/>
      <c r="H2460" s="12" t="n"/>
      <c r="I2460" s="12" t="n"/>
      <c r="J2460" s="12" t="n"/>
      <c r="K2460" s="12" t="n"/>
      <c r="L2460" s="11" t="n"/>
      <c r="M2460" s="11" t="n"/>
      <c r="N2460" s="11" t="n"/>
      <c r="O2460" s="11" t="n"/>
      <c r="P2460" s="12" t="n"/>
      <c r="Q2460" s="11" t="n"/>
      <c r="R2460" s="12" t="n"/>
      <c r="S2460" s="11" t="n"/>
      <c r="T2460" s="12" t="n"/>
      <c r="U2460" s="12" t="n"/>
      <c r="V2460" s="14">
        <f>IF($AN2460="",IF($B2460="","",$H2460),IF(INDEX(職員マスタ!$B$6:$B$405,$AN2460)="",$H2460,INDEX(職員マスタ!$B$6:$B$405,$AN2460)))</f>
        <v/>
      </c>
      <c r="W2460" s="14">
        <f>IF($AN2460="",IF($B2460="","",$R2460),IF(INDEX(職員マスタ!$C$6:$C$405,$AN2460)="",$R2460,INDEX(職員マスタ!$C$6:$C$405,$AN2460)))</f>
        <v/>
      </c>
      <c r="X2460" s="14">
        <f>IF($AO2460="","","R"&amp;$C2460&amp;"."&amp;$D2460)</f>
        <v/>
      </c>
      <c r="Y2460" s="15">
        <f>IF($AN2460="","",IF(INDEX(職員マスタ!$K$6:$K$405,$AN2460)="","",INDEX(職員マスタ!$K$6:$K$405,$AN2460)))</f>
        <v/>
      </c>
      <c r="Z2460" s="14">
        <f>IF(OR($E2460="",$Y2460=""),"",IF($E2460&gt;=$Y2460,"×",IF($E2460&gt;=$Y2460*設定!$C$5,"△","○")))</f>
        <v/>
      </c>
      <c r="AA2460" s="15">
        <f>IF($Z2460="","",IF($Z2460="×",0,IF($Z2460="○",ROUNDDOWN($E2460*設定!$C$4,0),ROUNDDOWN($E2460*ROUND((9*$Y2460-9*$E2460)/(10*$E2460),4),0))))</f>
        <v/>
      </c>
      <c r="AB2460" s="13" t="n"/>
      <c r="AC2460" s="15">
        <f>IF($B2460="","",IF($AB2460&lt;&gt;"",$AB2460,IF($AA2460="","",IF($AA2460&lt;=設定!$C$3,0,$AA2460))))</f>
        <v/>
      </c>
      <c r="AD2460" s="14">
        <f>IF($B2460="","",IF(AND($AE2460&lt;&gt;"",$AG2460="",$AJ2460=""),"保留中",IF($AJ2460&lt;&gt;"",IF(N($AC2460)&gt;0,"支給済","不支給"),IF($AC2460="","要確認",IF($AC2460=0,"不支給","未処理")))))</f>
        <v/>
      </c>
      <c r="AE2460" s="12" t="n"/>
      <c r="AF2460" s="11" t="n"/>
      <c r="AG2460" s="11" t="n"/>
      <c r="AH2460" s="11" t="n"/>
      <c r="AI2460" s="14">
        <f>IF(AND($AD2460="保留中",$AF2460&lt;&gt;""),TODAY()-$AF2460,"")</f>
        <v/>
      </c>
      <c r="AJ2460" s="12" t="n"/>
      <c r="AK2460" s="14">
        <f>IF($B2460="","",IF($AO2460="","対象年月が未入力／","")&amp;IF($B2460="","",IF($AN2460="","職員マスタに未登録の職員番号／",IF($Y2460="","標準報酬月額が未登録／","")&amp;IF(AND($AO2460&lt;&gt;"",OR(AND(INDEX(職員マスタ!$G$6:$G$405,$AN2460)&lt;&gt;"",INDEX(職員マスタ!$G$6:$G$405,$AN2460)&gt;EOMONTH($AO2460,0)),AND(INDEX(職員マスタ!$H$6:$H$405,$AN2460)&lt;&gt;"",INDEX(職員マスタ!$H$6:$H$405,$AN2460)&lt;$AO2460))),"対象月が時短期間外／","")&amp;IF(AND(INDEX(職員マスタ!$F$6:$F$405,$AN2460)&lt;&gt;"",$AO2460&lt;&gt;"",INDEX(職員マスタ!$F$6:$F$405,$AN2460)&lt;$AO2460),"対象月に子が2歳到達済／","")&amp;IF(AND($H2460&lt;&gt;"",INDEX(職員マスタ!$B$6:$B$405,$AN2460)&lt;&gt;"",SUBSTITUTE(SUBSTITUTE($H2460," ","")," ","")&lt;&gt;SUBSTITUTE(SUBSTITUTE(INDEX(職員マスタ!$B$6:$B$405,$AN2460)," ","")," ","")),"氏名がマスタと相違／","")&amp;IF(AND($Q2460&lt;&gt;"",INDEX(職員マスタ!$E$6:$E$405,$AN2460)&lt;&gt;"",$Q2460&lt;&gt;INDEX(職員マスタ!$E$6:$E$405,$AN2460)),"子の生年月日がマスタと相違／","")&amp;IF(AND($L2460&lt;&gt;"",INDEX(職員マスタ!$G$6:$G$405,$AN2460)&lt;&gt;"",$L2460&lt;&gt;INDEX(職員マスタ!$G$6:$G$405,$AN2460)),"時短開始日がマスタと相違／","")&amp;IF(AND($M2460&lt;&gt;"",INDEX(職員マスタ!$H$6:$H$405,$AN2460)&lt;&gt;"",$M2460&lt;&gt;INDEX(職員マスタ!$H$6:$H$405,$AN2460)),"時短終了日がマスタと相違／","")))&amp;IF(AND($B2460&lt;&gt;"",$E2460=""),"報酬額が未入力／","")&amp;IF(N($U2460)&gt;0,"申請書に入力エラーが残っています／","")&amp;IF(AND($B2460&lt;&gt;"",$AO2460&lt;&gt;""),IF(COUNTIFS($B$6:$B$3005,$B2460,$C$6:$C$3005,$C2460,$D$6:$D$3005,$D2460)&gt;1,"同じ月の請求が重複しています／",""),"")&amp;IF(AND(N($E2460)&gt;0,$Z2460&lt;&gt;"",$Z2460&lt;&gt;"×",$AC2460=0,$AB2460=""),"計算額が下限以下のため不支給／",""))</f>
        <v/>
      </c>
      <c r="AL2460" s="12" t="n"/>
      <c r="AM2460" s="14">
        <f>IF($AD2460="保留中",COUNTIF($AD$6:$AD2460,"保留中"),"")</f>
        <v/>
      </c>
      <c r="AN2460" s="14">
        <f>IF($AO2460="","",IF(SUMPRODUCT(MAX((職員マスタ!$A$6:$A$405=$B2460)*(((職員マスタ!$G$6:$G$405="")+(職員マスタ!$G$6:$G$405&lt;=EOMONTH($AO2460,0)))&gt;0)*(((職員マスタ!$H$6:$H$405="")+(職員マスタ!$H$6:$H$405&gt;=$AO2460))&gt;0)*(ROW(職員マスタ!$A$6:$A$405)-5)))&gt;0,SUMPRODUCT(MAX((職員マスタ!$A$6:$A$405=$B2460)*(((職員マスタ!$G$6:$G$405="")+(職員マスタ!$G$6:$G$405&lt;=EOMONTH($AO2460,0)))&gt;0)*(((職員マスタ!$H$6:$H$405="")+(職員マスタ!$H$6:$H$405&gt;=$AO2460))&gt;0)*(ROW(職員マスタ!$A$6:$A$405)-5))),IFERROR(MATCH($B2460,職員マスタ!$A$6:$A$405,0),"")))</f>
        <v/>
      </c>
      <c r="AO2460" s="16">
        <f>IF(OR($B2460="",$C2460="",$D2460=""),"",DATE($C2460+2018,$D2460,1))</f>
        <v/>
      </c>
    </row>
    <row r="2461">
      <c r="A2461" s="11" t="n"/>
      <c r="B2461" s="12" t="n"/>
      <c r="C2461" s="12" t="n"/>
      <c r="D2461" s="12" t="n"/>
      <c r="E2461" s="13" t="n"/>
      <c r="F2461" s="12" t="n"/>
      <c r="G2461" s="13" t="n"/>
      <c r="H2461" s="12" t="n"/>
      <c r="I2461" s="12" t="n"/>
      <c r="J2461" s="12" t="n"/>
      <c r="K2461" s="12" t="n"/>
      <c r="L2461" s="11" t="n"/>
      <c r="M2461" s="11" t="n"/>
      <c r="N2461" s="11" t="n"/>
      <c r="O2461" s="11" t="n"/>
      <c r="P2461" s="12" t="n"/>
      <c r="Q2461" s="11" t="n"/>
      <c r="R2461" s="12" t="n"/>
      <c r="S2461" s="11" t="n"/>
      <c r="T2461" s="12" t="n"/>
      <c r="U2461" s="12" t="n"/>
      <c r="V2461" s="14">
        <f>IF($AN2461="",IF($B2461="","",$H2461),IF(INDEX(職員マスタ!$B$6:$B$405,$AN2461)="",$H2461,INDEX(職員マスタ!$B$6:$B$405,$AN2461)))</f>
        <v/>
      </c>
      <c r="W2461" s="14">
        <f>IF($AN2461="",IF($B2461="","",$R2461),IF(INDEX(職員マスタ!$C$6:$C$405,$AN2461)="",$R2461,INDEX(職員マスタ!$C$6:$C$405,$AN2461)))</f>
        <v/>
      </c>
      <c r="X2461" s="14">
        <f>IF($AO2461="","","R"&amp;$C2461&amp;"."&amp;$D2461)</f>
        <v/>
      </c>
      <c r="Y2461" s="15">
        <f>IF($AN2461="","",IF(INDEX(職員マスタ!$K$6:$K$405,$AN2461)="","",INDEX(職員マスタ!$K$6:$K$405,$AN2461)))</f>
        <v/>
      </c>
      <c r="Z2461" s="14">
        <f>IF(OR($E2461="",$Y2461=""),"",IF($E2461&gt;=$Y2461,"×",IF($E2461&gt;=$Y2461*設定!$C$5,"△","○")))</f>
        <v/>
      </c>
      <c r="AA2461" s="15">
        <f>IF($Z2461="","",IF($Z2461="×",0,IF($Z2461="○",ROUNDDOWN($E2461*設定!$C$4,0),ROUNDDOWN($E2461*ROUND((9*$Y2461-9*$E2461)/(10*$E2461),4),0))))</f>
        <v/>
      </c>
      <c r="AB2461" s="13" t="n"/>
      <c r="AC2461" s="15">
        <f>IF($B2461="","",IF($AB2461&lt;&gt;"",$AB2461,IF($AA2461="","",IF($AA2461&lt;=設定!$C$3,0,$AA2461))))</f>
        <v/>
      </c>
      <c r="AD2461" s="14">
        <f>IF($B2461="","",IF(AND($AE2461&lt;&gt;"",$AG2461="",$AJ2461=""),"保留中",IF($AJ2461&lt;&gt;"",IF(N($AC2461)&gt;0,"支給済","不支給"),IF($AC2461="","要確認",IF($AC2461=0,"不支給","未処理")))))</f>
        <v/>
      </c>
      <c r="AE2461" s="12" t="n"/>
      <c r="AF2461" s="11" t="n"/>
      <c r="AG2461" s="11" t="n"/>
      <c r="AH2461" s="11" t="n"/>
      <c r="AI2461" s="14">
        <f>IF(AND($AD2461="保留中",$AF2461&lt;&gt;""),TODAY()-$AF2461,"")</f>
        <v/>
      </c>
      <c r="AJ2461" s="12" t="n"/>
      <c r="AK2461" s="14">
        <f>IF($B2461="","",IF($AO2461="","対象年月が未入力／","")&amp;IF($B2461="","",IF($AN2461="","職員マスタに未登録の職員番号／",IF($Y2461="","標準報酬月額が未登録／","")&amp;IF(AND($AO2461&lt;&gt;"",OR(AND(INDEX(職員マスタ!$G$6:$G$405,$AN2461)&lt;&gt;"",INDEX(職員マスタ!$G$6:$G$405,$AN2461)&gt;EOMONTH($AO2461,0)),AND(INDEX(職員マスタ!$H$6:$H$405,$AN2461)&lt;&gt;"",INDEX(職員マスタ!$H$6:$H$405,$AN2461)&lt;$AO2461))),"対象月が時短期間外／","")&amp;IF(AND(INDEX(職員マスタ!$F$6:$F$405,$AN2461)&lt;&gt;"",$AO2461&lt;&gt;"",INDEX(職員マスタ!$F$6:$F$405,$AN2461)&lt;$AO2461),"対象月に子が2歳到達済／","")&amp;IF(AND($H2461&lt;&gt;"",INDEX(職員マスタ!$B$6:$B$405,$AN2461)&lt;&gt;"",SUBSTITUTE(SUBSTITUTE($H2461," ","")," ","")&lt;&gt;SUBSTITUTE(SUBSTITUTE(INDEX(職員マスタ!$B$6:$B$405,$AN2461)," ","")," ","")),"氏名がマスタと相違／","")&amp;IF(AND($Q2461&lt;&gt;"",INDEX(職員マスタ!$E$6:$E$405,$AN2461)&lt;&gt;"",$Q2461&lt;&gt;INDEX(職員マスタ!$E$6:$E$405,$AN2461)),"子の生年月日がマスタと相違／","")&amp;IF(AND($L2461&lt;&gt;"",INDEX(職員マスタ!$G$6:$G$405,$AN2461)&lt;&gt;"",$L2461&lt;&gt;INDEX(職員マスタ!$G$6:$G$405,$AN2461)),"時短開始日がマスタと相違／","")&amp;IF(AND($M2461&lt;&gt;"",INDEX(職員マスタ!$H$6:$H$405,$AN2461)&lt;&gt;"",$M2461&lt;&gt;INDEX(職員マスタ!$H$6:$H$405,$AN2461)),"時短終了日がマスタと相違／","")))&amp;IF(AND($B2461&lt;&gt;"",$E2461=""),"報酬額が未入力／","")&amp;IF(N($U2461)&gt;0,"申請書に入力エラーが残っています／","")&amp;IF(AND($B2461&lt;&gt;"",$AO2461&lt;&gt;""),IF(COUNTIFS($B$6:$B$3005,$B2461,$C$6:$C$3005,$C2461,$D$6:$D$3005,$D2461)&gt;1,"同じ月の請求が重複しています／",""),"")&amp;IF(AND(N($E2461)&gt;0,$Z2461&lt;&gt;"",$Z2461&lt;&gt;"×",$AC2461=0,$AB2461=""),"計算額が下限以下のため不支給／",""))</f>
        <v/>
      </c>
      <c r="AL2461" s="12" t="n"/>
      <c r="AM2461" s="14">
        <f>IF($AD2461="保留中",COUNTIF($AD$6:$AD2461,"保留中"),"")</f>
        <v/>
      </c>
      <c r="AN2461" s="14">
        <f>IF($AO2461="","",IF(SUMPRODUCT(MAX((職員マスタ!$A$6:$A$405=$B2461)*(((職員マスタ!$G$6:$G$405="")+(職員マスタ!$G$6:$G$405&lt;=EOMONTH($AO2461,0)))&gt;0)*(((職員マスタ!$H$6:$H$405="")+(職員マスタ!$H$6:$H$405&gt;=$AO2461))&gt;0)*(ROW(職員マスタ!$A$6:$A$405)-5)))&gt;0,SUMPRODUCT(MAX((職員マスタ!$A$6:$A$405=$B2461)*(((職員マスタ!$G$6:$G$405="")+(職員マスタ!$G$6:$G$405&lt;=EOMONTH($AO2461,0)))&gt;0)*(((職員マスタ!$H$6:$H$405="")+(職員マスタ!$H$6:$H$405&gt;=$AO2461))&gt;0)*(ROW(職員マスタ!$A$6:$A$405)-5))),IFERROR(MATCH($B2461,職員マスタ!$A$6:$A$405,0),"")))</f>
        <v/>
      </c>
      <c r="AO2461" s="16">
        <f>IF(OR($B2461="",$C2461="",$D2461=""),"",DATE($C2461+2018,$D2461,1))</f>
        <v/>
      </c>
    </row>
    <row r="2462">
      <c r="A2462" s="11" t="n"/>
      <c r="B2462" s="12" t="n"/>
      <c r="C2462" s="12" t="n"/>
      <c r="D2462" s="12" t="n"/>
      <c r="E2462" s="13" t="n"/>
      <c r="F2462" s="12" t="n"/>
      <c r="G2462" s="13" t="n"/>
      <c r="H2462" s="12" t="n"/>
      <c r="I2462" s="12" t="n"/>
      <c r="J2462" s="12" t="n"/>
      <c r="K2462" s="12" t="n"/>
      <c r="L2462" s="11" t="n"/>
      <c r="M2462" s="11" t="n"/>
      <c r="N2462" s="11" t="n"/>
      <c r="O2462" s="11" t="n"/>
      <c r="P2462" s="12" t="n"/>
      <c r="Q2462" s="11" t="n"/>
      <c r="R2462" s="12" t="n"/>
      <c r="S2462" s="11" t="n"/>
      <c r="T2462" s="12" t="n"/>
      <c r="U2462" s="12" t="n"/>
      <c r="V2462" s="14">
        <f>IF($AN2462="",IF($B2462="","",$H2462),IF(INDEX(職員マスタ!$B$6:$B$405,$AN2462)="",$H2462,INDEX(職員マスタ!$B$6:$B$405,$AN2462)))</f>
        <v/>
      </c>
      <c r="W2462" s="14">
        <f>IF($AN2462="",IF($B2462="","",$R2462),IF(INDEX(職員マスタ!$C$6:$C$405,$AN2462)="",$R2462,INDEX(職員マスタ!$C$6:$C$405,$AN2462)))</f>
        <v/>
      </c>
      <c r="X2462" s="14">
        <f>IF($AO2462="","","R"&amp;$C2462&amp;"."&amp;$D2462)</f>
        <v/>
      </c>
      <c r="Y2462" s="15">
        <f>IF($AN2462="","",IF(INDEX(職員マスタ!$K$6:$K$405,$AN2462)="","",INDEX(職員マスタ!$K$6:$K$405,$AN2462)))</f>
        <v/>
      </c>
      <c r="Z2462" s="14">
        <f>IF(OR($E2462="",$Y2462=""),"",IF($E2462&gt;=$Y2462,"×",IF($E2462&gt;=$Y2462*設定!$C$5,"△","○")))</f>
        <v/>
      </c>
      <c r="AA2462" s="15">
        <f>IF($Z2462="","",IF($Z2462="×",0,IF($Z2462="○",ROUNDDOWN($E2462*設定!$C$4,0),ROUNDDOWN($E2462*ROUND((9*$Y2462-9*$E2462)/(10*$E2462),4),0))))</f>
        <v/>
      </c>
      <c r="AB2462" s="13" t="n"/>
      <c r="AC2462" s="15">
        <f>IF($B2462="","",IF($AB2462&lt;&gt;"",$AB2462,IF($AA2462="","",IF($AA2462&lt;=設定!$C$3,0,$AA2462))))</f>
        <v/>
      </c>
      <c r="AD2462" s="14">
        <f>IF($B2462="","",IF(AND($AE2462&lt;&gt;"",$AG2462="",$AJ2462=""),"保留中",IF($AJ2462&lt;&gt;"",IF(N($AC2462)&gt;0,"支給済","不支給"),IF($AC2462="","要確認",IF($AC2462=0,"不支給","未処理")))))</f>
        <v/>
      </c>
      <c r="AE2462" s="12" t="n"/>
      <c r="AF2462" s="11" t="n"/>
      <c r="AG2462" s="11" t="n"/>
      <c r="AH2462" s="11" t="n"/>
      <c r="AI2462" s="14">
        <f>IF(AND($AD2462="保留中",$AF2462&lt;&gt;""),TODAY()-$AF2462,"")</f>
        <v/>
      </c>
      <c r="AJ2462" s="12" t="n"/>
      <c r="AK2462" s="14">
        <f>IF($B2462="","",IF($AO2462="","対象年月が未入力／","")&amp;IF($B2462="","",IF($AN2462="","職員マスタに未登録の職員番号／",IF($Y2462="","標準報酬月額が未登録／","")&amp;IF(AND($AO2462&lt;&gt;"",OR(AND(INDEX(職員マスタ!$G$6:$G$405,$AN2462)&lt;&gt;"",INDEX(職員マスタ!$G$6:$G$405,$AN2462)&gt;EOMONTH($AO2462,0)),AND(INDEX(職員マスタ!$H$6:$H$405,$AN2462)&lt;&gt;"",INDEX(職員マスタ!$H$6:$H$405,$AN2462)&lt;$AO2462))),"対象月が時短期間外／","")&amp;IF(AND(INDEX(職員マスタ!$F$6:$F$405,$AN2462)&lt;&gt;"",$AO2462&lt;&gt;"",INDEX(職員マスタ!$F$6:$F$405,$AN2462)&lt;$AO2462),"対象月に子が2歳到達済／","")&amp;IF(AND($H2462&lt;&gt;"",INDEX(職員マスタ!$B$6:$B$405,$AN2462)&lt;&gt;"",SUBSTITUTE(SUBSTITUTE($H2462," ","")," ","")&lt;&gt;SUBSTITUTE(SUBSTITUTE(INDEX(職員マスタ!$B$6:$B$405,$AN2462)," ","")," ","")),"氏名がマスタと相違／","")&amp;IF(AND($Q2462&lt;&gt;"",INDEX(職員マスタ!$E$6:$E$405,$AN2462)&lt;&gt;"",$Q2462&lt;&gt;INDEX(職員マスタ!$E$6:$E$405,$AN2462)),"子の生年月日がマスタと相違／","")&amp;IF(AND($L2462&lt;&gt;"",INDEX(職員マスタ!$G$6:$G$405,$AN2462)&lt;&gt;"",$L2462&lt;&gt;INDEX(職員マスタ!$G$6:$G$405,$AN2462)),"時短開始日がマスタと相違／","")&amp;IF(AND($M2462&lt;&gt;"",INDEX(職員マスタ!$H$6:$H$405,$AN2462)&lt;&gt;"",$M2462&lt;&gt;INDEX(職員マスタ!$H$6:$H$405,$AN2462)),"時短終了日がマスタと相違／","")))&amp;IF(AND($B2462&lt;&gt;"",$E2462=""),"報酬額が未入力／","")&amp;IF(N($U2462)&gt;0,"申請書に入力エラーが残っています／","")&amp;IF(AND($B2462&lt;&gt;"",$AO2462&lt;&gt;""),IF(COUNTIFS($B$6:$B$3005,$B2462,$C$6:$C$3005,$C2462,$D$6:$D$3005,$D2462)&gt;1,"同じ月の請求が重複しています／",""),"")&amp;IF(AND(N($E2462)&gt;0,$Z2462&lt;&gt;"",$Z2462&lt;&gt;"×",$AC2462=0,$AB2462=""),"計算額が下限以下のため不支給／",""))</f>
        <v/>
      </c>
      <c r="AL2462" s="12" t="n"/>
      <c r="AM2462" s="14">
        <f>IF($AD2462="保留中",COUNTIF($AD$6:$AD2462,"保留中"),"")</f>
        <v/>
      </c>
      <c r="AN2462" s="14">
        <f>IF($AO2462="","",IF(SUMPRODUCT(MAX((職員マスタ!$A$6:$A$405=$B2462)*(((職員マスタ!$G$6:$G$405="")+(職員マスタ!$G$6:$G$405&lt;=EOMONTH($AO2462,0)))&gt;0)*(((職員マスタ!$H$6:$H$405="")+(職員マスタ!$H$6:$H$405&gt;=$AO2462))&gt;0)*(ROW(職員マスタ!$A$6:$A$405)-5)))&gt;0,SUMPRODUCT(MAX((職員マスタ!$A$6:$A$405=$B2462)*(((職員マスタ!$G$6:$G$405="")+(職員マスタ!$G$6:$G$405&lt;=EOMONTH($AO2462,0)))&gt;0)*(((職員マスタ!$H$6:$H$405="")+(職員マスタ!$H$6:$H$405&gt;=$AO2462))&gt;0)*(ROW(職員マスタ!$A$6:$A$405)-5))),IFERROR(MATCH($B2462,職員マスタ!$A$6:$A$405,0),"")))</f>
        <v/>
      </c>
      <c r="AO2462" s="16">
        <f>IF(OR($B2462="",$C2462="",$D2462=""),"",DATE($C2462+2018,$D2462,1))</f>
        <v/>
      </c>
    </row>
    <row r="2463">
      <c r="A2463" s="11" t="n"/>
      <c r="B2463" s="12" t="n"/>
      <c r="C2463" s="12" t="n"/>
      <c r="D2463" s="12" t="n"/>
      <c r="E2463" s="13" t="n"/>
      <c r="F2463" s="12" t="n"/>
      <c r="G2463" s="13" t="n"/>
      <c r="H2463" s="12" t="n"/>
      <c r="I2463" s="12" t="n"/>
      <c r="J2463" s="12" t="n"/>
      <c r="K2463" s="12" t="n"/>
      <c r="L2463" s="11" t="n"/>
      <c r="M2463" s="11" t="n"/>
      <c r="N2463" s="11" t="n"/>
      <c r="O2463" s="11" t="n"/>
      <c r="P2463" s="12" t="n"/>
      <c r="Q2463" s="11" t="n"/>
      <c r="R2463" s="12" t="n"/>
      <c r="S2463" s="11" t="n"/>
      <c r="T2463" s="12" t="n"/>
      <c r="U2463" s="12" t="n"/>
      <c r="V2463" s="14">
        <f>IF($AN2463="",IF($B2463="","",$H2463),IF(INDEX(職員マスタ!$B$6:$B$405,$AN2463)="",$H2463,INDEX(職員マスタ!$B$6:$B$405,$AN2463)))</f>
        <v/>
      </c>
      <c r="W2463" s="14">
        <f>IF($AN2463="",IF($B2463="","",$R2463),IF(INDEX(職員マスタ!$C$6:$C$405,$AN2463)="",$R2463,INDEX(職員マスタ!$C$6:$C$405,$AN2463)))</f>
        <v/>
      </c>
      <c r="X2463" s="14">
        <f>IF($AO2463="","","R"&amp;$C2463&amp;"."&amp;$D2463)</f>
        <v/>
      </c>
      <c r="Y2463" s="15">
        <f>IF($AN2463="","",IF(INDEX(職員マスタ!$K$6:$K$405,$AN2463)="","",INDEX(職員マスタ!$K$6:$K$405,$AN2463)))</f>
        <v/>
      </c>
      <c r="Z2463" s="14">
        <f>IF(OR($E2463="",$Y2463=""),"",IF($E2463&gt;=$Y2463,"×",IF($E2463&gt;=$Y2463*設定!$C$5,"△","○")))</f>
        <v/>
      </c>
      <c r="AA2463" s="15">
        <f>IF($Z2463="","",IF($Z2463="×",0,IF($Z2463="○",ROUNDDOWN($E2463*設定!$C$4,0),ROUNDDOWN($E2463*ROUND((9*$Y2463-9*$E2463)/(10*$E2463),4),0))))</f>
        <v/>
      </c>
      <c r="AB2463" s="13" t="n"/>
      <c r="AC2463" s="15">
        <f>IF($B2463="","",IF($AB2463&lt;&gt;"",$AB2463,IF($AA2463="","",IF($AA2463&lt;=設定!$C$3,0,$AA2463))))</f>
        <v/>
      </c>
      <c r="AD2463" s="14">
        <f>IF($B2463="","",IF(AND($AE2463&lt;&gt;"",$AG2463="",$AJ2463=""),"保留中",IF($AJ2463&lt;&gt;"",IF(N($AC2463)&gt;0,"支給済","不支給"),IF($AC2463="","要確認",IF($AC2463=0,"不支給","未処理")))))</f>
        <v/>
      </c>
      <c r="AE2463" s="12" t="n"/>
      <c r="AF2463" s="11" t="n"/>
      <c r="AG2463" s="11" t="n"/>
      <c r="AH2463" s="11" t="n"/>
      <c r="AI2463" s="14">
        <f>IF(AND($AD2463="保留中",$AF2463&lt;&gt;""),TODAY()-$AF2463,"")</f>
        <v/>
      </c>
      <c r="AJ2463" s="12" t="n"/>
      <c r="AK2463" s="14">
        <f>IF($B2463="","",IF($AO2463="","対象年月が未入力／","")&amp;IF($B2463="","",IF($AN2463="","職員マスタに未登録の職員番号／",IF($Y2463="","標準報酬月額が未登録／","")&amp;IF(AND($AO2463&lt;&gt;"",OR(AND(INDEX(職員マスタ!$G$6:$G$405,$AN2463)&lt;&gt;"",INDEX(職員マスタ!$G$6:$G$405,$AN2463)&gt;EOMONTH($AO2463,0)),AND(INDEX(職員マスタ!$H$6:$H$405,$AN2463)&lt;&gt;"",INDEX(職員マスタ!$H$6:$H$405,$AN2463)&lt;$AO2463))),"対象月が時短期間外／","")&amp;IF(AND(INDEX(職員マスタ!$F$6:$F$405,$AN2463)&lt;&gt;"",$AO2463&lt;&gt;"",INDEX(職員マスタ!$F$6:$F$405,$AN2463)&lt;$AO2463),"対象月に子が2歳到達済／","")&amp;IF(AND($H2463&lt;&gt;"",INDEX(職員マスタ!$B$6:$B$405,$AN2463)&lt;&gt;"",SUBSTITUTE(SUBSTITUTE($H2463," ","")," ","")&lt;&gt;SUBSTITUTE(SUBSTITUTE(INDEX(職員マスタ!$B$6:$B$405,$AN2463)," ","")," ","")),"氏名がマスタと相違／","")&amp;IF(AND($Q2463&lt;&gt;"",INDEX(職員マスタ!$E$6:$E$405,$AN2463)&lt;&gt;"",$Q2463&lt;&gt;INDEX(職員マスタ!$E$6:$E$405,$AN2463)),"子の生年月日がマスタと相違／","")&amp;IF(AND($L2463&lt;&gt;"",INDEX(職員マスタ!$G$6:$G$405,$AN2463)&lt;&gt;"",$L2463&lt;&gt;INDEX(職員マスタ!$G$6:$G$405,$AN2463)),"時短開始日がマスタと相違／","")&amp;IF(AND($M2463&lt;&gt;"",INDEX(職員マスタ!$H$6:$H$405,$AN2463)&lt;&gt;"",$M2463&lt;&gt;INDEX(職員マスタ!$H$6:$H$405,$AN2463)),"時短終了日がマスタと相違／","")))&amp;IF(AND($B2463&lt;&gt;"",$E2463=""),"報酬額が未入力／","")&amp;IF(N($U2463)&gt;0,"申請書に入力エラーが残っています／","")&amp;IF(AND($B2463&lt;&gt;"",$AO2463&lt;&gt;""),IF(COUNTIFS($B$6:$B$3005,$B2463,$C$6:$C$3005,$C2463,$D$6:$D$3005,$D2463)&gt;1,"同じ月の請求が重複しています／",""),"")&amp;IF(AND(N($E2463)&gt;0,$Z2463&lt;&gt;"",$Z2463&lt;&gt;"×",$AC2463=0,$AB2463=""),"計算額が下限以下のため不支給／",""))</f>
        <v/>
      </c>
      <c r="AL2463" s="12" t="n"/>
      <c r="AM2463" s="14">
        <f>IF($AD2463="保留中",COUNTIF($AD$6:$AD2463,"保留中"),"")</f>
        <v/>
      </c>
      <c r="AN2463" s="14">
        <f>IF($AO2463="","",IF(SUMPRODUCT(MAX((職員マスタ!$A$6:$A$405=$B2463)*(((職員マスタ!$G$6:$G$405="")+(職員マスタ!$G$6:$G$405&lt;=EOMONTH($AO2463,0)))&gt;0)*(((職員マスタ!$H$6:$H$405="")+(職員マスタ!$H$6:$H$405&gt;=$AO2463))&gt;0)*(ROW(職員マスタ!$A$6:$A$405)-5)))&gt;0,SUMPRODUCT(MAX((職員マスタ!$A$6:$A$405=$B2463)*(((職員マスタ!$G$6:$G$405="")+(職員マスタ!$G$6:$G$405&lt;=EOMONTH($AO2463,0)))&gt;0)*(((職員マスタ!$H$6:$H$405="")+(職員マスタ!$H$6:$H$405&gt;=$AO2463))&gt;0)*(ROW(職員マスタ!$A$6:$A$405)-5))),IFERROR(MATCH($B2463,職員マスタ!$A$6:$A$405,0),"")))</f>
        <v/>
      </c>
      <c r="AO2463" s="16">
        <f>IF(OR($B2463="",$C2463="",$D2463=""),"",DATE($C2463+2018,$D2463,1))</f>
        <v/>
      </c>
    </row>
    <row r="2464">
      <c r="A2464" s="11" t="n"/>
      <c r="B2464" s="12" t="n"/>
      <c r="C2464" s="12" t="n"/>
      <c r="D2464" s="12" t="n"/>
      <c r="E2464" s="13" t="n"/>
      <c r="F2464" s="12" t="n"/>
      <c r="G2464" s="13" t="n"/>
      <c r="H2464" s="12" t="n"/>
      <c r="I2464" s="12" t="n"/>
      <c r="J2464" s="12" t="n"/>
      <c r="K2464" s="12" t="n"/>
      <c r="L2464" s="11" t="n"/>
      <c r="M2464" s="11" t="n"/>
      <c r="N2464" s="11" t="n"/>
      <c r="O2464" s="11" t="n"/>
      <c r="P2464" s="12" t="n"/>
      <c r="Q2464" s="11" t="n"/>
      <c r="R2464" s="12" t="n"/>
      <c r="S2464" s="11" t="n"/>
      <c r="T2464" s="12" t="n"/>
      <c r="U2464" s="12" t="n"/>
      <c r="V2464" s="14">
        <f>IF($AN2464="",IF($B2464="","",$H2464),IF(INDEX(職員マスタ!$B$6:$B$405,$AN2464)="",$H2464,INDEX(職員マスタ!$B$6:$B$405,$AN2464)))</f>
        <v/>
      </c>
      <c r="W2464" s="14">
        <f>IF($AN2464="",IF($B2464="","",$R2464),IF(INDEX(職員マスタ!$C$6:$C$405,$AN2464)="",$R2464,INDEX(職員マスタ!$C$6:$C$405,$AN2464)))</f>
        <v/>
      </c>
      <c r="X2464" s="14">
        <f>IF($AO2464="","","R"&amp;$C2464&amp;"."&amp;$D2464)</f>
        <v/>
      </c>
      <c r="Y2464" s="15">
        <f>IF($AN2464="","",IF(INDEX(職員マスタ!$K$6:$K$405,$AN2464)="","",INDEX(職員マスタ!$K$6:$K$405,$AN2464)))</f>
        <v/>
      </c>
      <c r="Z2464" s="14">
        <f>IF(OR($E2464="",$Y2464=""),"",IF($E2464&gt;=$Y2464,"×",IF($E2464&gt;=$Y2464*設定!$C$5,"△","○")))</f>
        <v/>
      </c>
      <c r="AA2464" s="15">
        <f>IF($Z2464="","",IF($Z2464="×",0,IF($Z2464="○",ROUNDDOWN($E2464*設定!$C$4,0),ROUNDDOWN($E2464*ROUND((9*$Y2464-9*$E2464)/(10*$E2464),4),0))))</f>
        <v/>
      </c>
      <c r="AB2464" s="13" t="n"/>
      <c r="AC2464" s="15">
        <f>IF($B2464="","",IF($AB2464&lt;&gt;"",$AB2464,IF($AA2464="","",IF($AA2464&lt;=設定!$C$3,0,$AA2464))))</f>
        <v/>
      </c>
      <c r="AD2464" s="14">
        <f>IF($B2464="","",IF(AND($AE2464&lt;&gt;"",$AG2464="",$AJ2464=""),"保留中",IF($AJ2464&lt;&gt;"",IF(N($AC2464)&gt;0,"支給済","不支給"),IF($AC2464="","要確認",IF($AC2464=0,"不支給","未処理")))))</f>
        <v/>
      </c>
      <c r="AE2464" s="12" t="n"/>
      <c r="AF2464" s="11" t="n"/>
      <c r="AG2464" s="11" t="n"/>
      <c r="AH2464" s="11" t="n"/>
      <c r="AI2464" s="14">
        <f>IF(AND($AD2464="保留中",$AF2464&lt;&gt;""),TODAY()-$AF2464,"")</f>
        <v/>
      </c>
      <c r="AJ2464" s="12" t="n"/>
      <c r="AK2464" s="14">
        <f>IF($B2464="","",IF($AO2464="","対象年月が未入力／","")&amp;IF($B2464="","",IF($AN2464="","職員マスタに未登録の職員番号／",IF($Y2464="","標準報酬月額が未登録／","")&amp;IF(AND($AO2464&lt;&gt;"",OR(AND(INDEX(職員マスタ!$G$6:$G$405,$AN2464)&lt;&gt;"",INDEX(職員マスタ!$G$6:$G$405,$AN2464)&gt;EOMONTH($AO2464,0)),AND(INDEX(職員マスタ!$H$6:$H$405,$AN2464)&lt;&gt;"",INDEX(職員マスタ!$H$6:$H$405,$AN2464)&lt;$AO2464))),"対象月が時短期間外／","")&amp;IF(AND(INDEX(職員マスタ!$F$6:$F$405,$AN2464)&lt;&gt;"",$AO2464&lt;&gt;"",INDEX(職員マスタ!$F$6:$F$405,$AN2464)&lt;$AO2464),"対象月に子が2歳到達済／","")&amp;IF(AND($H2464&lt;&gt;"",INDEX(職員マスタ!$B$6:$B$405,$AN2464)&lt;&gt;"",SUBSTITUTE(SUBSTITUTE($H2464," ","")," ","")&lt;&gt;SUBSTITUTE(SUBSTITUTE(INDEX(職員マスタ!$B$6:$B$405,$AN2464)," ","")," ","")),"氏名がマスタと相違／","")&amp;IF(AND($Q2464&lt;&gt;"",INDEX(職員マスタ!$E$6:$E$405,$AN2464)&lt;&gt;"",$Q2464&lt;&gt;INDEX(職員マスタ!$E$6:$E$405,$AN2464)),"子の生年月日がマスタと相違／","")&amp;IF(AND($L2464&lt;&gt;"",INDEX(職員マスタ!$G$6:$G$405,$AN2464)&lt;&gt;"",$L2464&lt;&gt;INDEX(職員マスタ!$G$6:$G$405,$AN2464)),"時短開始日がマスタと相違／","")&amp;IF(AND($M2464&lt;&gt;"",INDEX(職員マスタ!$H$6:$H$405,$AN2464)&lt;&gt;"",$M2464&lt;&gt;INDEX(職員マスタ!$H$6:$H$405,$AN2464)),"時短終了日がマスタと相違／","")))&amp;IF(AND($B2464&lt;&gt;"",$E2464=""),"報酬額が未入力／","")&amp;IF(N($U2464)&gt;0,"申請書に入力エラーが残っています／","")&amp;IF(AND($B2464&lt;&gt;"",$AO2464&lt;&gt;""),IF(COUNTIFS($B$6:$B$3005,$B2464,$C$6:$C$3005,$C2464,$D$6:$D$3005,$D2464)&gt;1,"同じ月の請求が重複しています／",""),"")&amp;IF(AND(N($E2464)&gt;0,$Z2464&lt;&gt;"",$Z2464&lt;&gt;"×",$AC2464=0,$AB2464=""),"計算額が下限以下のため不支給／",""))</f>
        <v/>
      </c>
      <c r="AL2464" s="12" t="n"/>
      <c r="AM2464" s="14">
        <f>IF($AD2464="保留中",COUNTIF($AD$6:$AD2464,"保留中"),"")</f>
        <v/>
      </c>
      <c r="AN2464" s="14">
        <f>IF($AO2464="","",IF(SUMPRODUCT(MAX((職員マスタ!$A$6:$A$405=$B2464)*(((職員マスタ!$G$6:$G$405="")+(職員マスタ!$G$6:$G$405&lt;=EOMONTH($AO2464,0)))&gt;0)*(((職員マスタ!$H$6:$H$405="")+(職員マスタ!$H$6:$H$405&gt;=$AO2464))&gt;0)*(ROW(職員マスタ!$A$6:$A$405)-5)))&gt;0,SUMPRODUCT(MAX((職員マスタ!$A$6:$A$405=$B2464)*(((職員マスタ!$G$6:$G$405="")+(職員マスタ!$G$6:$G$405&lt;=EOMONTH($AO2464,0)))&gt;0)*(((職員マスタ!$H$6:$H$405="")+(職員マスタ!$H$6:$H$405&gt;=$AO2464))&gt;0)*(ROW(職員マスタ!$A$6:$A$405)-5))),IFERROR(MATCH($B2464,職員マスタ!$A$6:$A$405,0),"")))</f>
        <v/>
      </c>
      <c r="AO2464" s="16">
        <f>IF(OR($B2464="",$C2464="",$D2464=""),"",DATE($C2464+2018,$D2464,1))</f>
        <v/>
      </c>
    </row>
    <row r="2465">
      <c r="A2465" s="11" t="n"/>
      <c r="B2465" s="12" t="n"/>
      <c r="C2465" s="12" t="n"/>
      <c r="D2465" s="12" t="n"/>
      <c r="E2465" s="13" t="n"/>
      <c r="F2465" s="12" t="n"/>
      <c r="G2465" s="13" t="n"/>
      <c r="H2465" s="12" t="n"/>
      <c r="I2465" s="12" t="n"/>
      <c r="J2465" s="12" t="n"/>
      <c r="K2465" s="12" t="n"/>
      <c r="L2465" s="11" t="n"/>
      <c r="M2465" s="11" t="n"/>
      <c r="N2465" s="11" t="n"/>
      <c r="O2465" s="11" t="n"/>
      <c r="P2465" s="12" t="n"/>
      <c r="Q2465" s="11" t="n"/>
      <c r="R2465" s="12" t="n"/>
      <c r="S2465" s="11" t="n"/>
      <c r="T2465" s="12" t="n"/>
      <c r="U2465" s="12" t="n"/>
      <c r="V2465" s="14">
        <f>IF($AN2465="",IF($B2465="","",$H2465),IF(INDEX(職員マスタ!$B$6:$B$405,$AN2465)="",$H2465,INDEX(職員マスタ!$B$6:$B$405,$AN2465)))</f>
        <v/>
      </c>
      <c r="W2465" s="14">
        <f>IF($AN2465="",IF($B2465="","",$R2465),IF(INDEX(職員マスタ!$C$6:$C$405,$AN2465)="",$R2465,INDEX(職員マスタ!$C$6:$C$405,$AN2465)))</f>
        <v/>
      </c>
      <c r="X2465" s="14">
        <f>IF($AO2465="","","R"&amp;$C2465&amp;"."&amp;$D2465)</f>
        <v/>
      </c>
      <c r="Y2465" s="15">
        <f>IF($AN2465="","",IF(INDEX(職員マスタ!$K$6:$K$405,$AN2465)="","",INDEX(職員マスタ!$K$6:$K$405,$AN2465)))</f>
        <v/>
      </c>
      <c r="Z2465" s="14">
        <f>IF(OR($E2465="",$Y2465=""),"",IF($E2465&gt;=$Y2465,"×",IF($E2465&gt;=$Y2465*設定!$C$5,"△","○")))</f>
        <v/>
      </c>
      <c r="AA2465" s="15">
        <f>IF($Z2465="","",IF($Z2465="×",0,IF($Z2465="○",ROUNDDOWN($E2465*設定!$C$4,0),ROUNDDOWN($E2465*ROUND((9*$Y2465-9*$E2465)/(10*$E2465),4),0))))</f>
        <v/>
      </c>
      <c r="AB2465" s="13" t="n"/>
      <c r="AC2465" s="15">
        <f>IF($B2465="","",IF($AB2465&lt;&gt;"",$AB2465,IF($AA2465="","",IF($AA2465&lt;=設定!$C$3,0,$AA2465))))</f>
        <v/>
      </c>
      <c r="AD2465" s="14">
        <f>IF($B2465="","",IF(AND($AE2465&lt;&gt;"",$AG2465="",$AJ2465=""),"保留中",IF($AJ2465&lt;&gt;"",IF(N($AC2465)&gt;0,"支給済","不支給"),IF($AC2465="","要確認",IF($AC2465=0,"不支給","未処理")))))</f>
        <v/>
      </c>
      <c r="AE2465" s="12" t="n"/>
      <c r="AF2465" s="11" t="n"/>
      <c r="AG2465" s="11" t="n"/>
      <c r="AH2465" s="11" t="n"/>
      <c r="AI2465" s="14">
        <f>IF(AND($AD2465="保留中",$AF2465&lt;&gt;""),TODAY()-$AF2465,"")</f>
        <v/>
      </c>
      <c r="AJ2465" s="12" t="n"/>
      <c r="AK2465" s="14">
        <f>IF($B2465="","",IF($AO2465="","対象年月が未入力／","")&amp;IF($B2465="","",IF($AN2465="","職員マスタに未登録の職員番号／",IF($Y2465="","標準報酬月額が未登録／","")&amp;IF(AND($AO2465&lt;&gt;"",OR(AND(INDEX(職員マスタ!$G$6:$G$405,$AN2465)&lt;&gt;"",INDEX(職員マスタ!$G$6:$G$405,$AN2465)&gt;EOMONTH($AO2465,0)),AND(INDEX(職員マスタ!$H$6:$H$405,$AN2465)&lt;&gt;"",INDEX(職員マスタ!$H$6:$H$405,$AN2465)&lt;$AO2465))),"対象月が時短期間外／","")&amp;IF(AND(INDEX(職員マスタ!$F$6:$F$405,$AN2465)&lt;&gt;"",$AO2465&lt;&gt;"",INDEX(職員マスタ!$F$6:$F$405,$AN2465)&lt;$AO2465),"対象月に子が2歳到達済／","")&amp;IF(AND($H2465&lt;&gt;"",INDEX(職員マスタ!$B$6:$B$405,$AN2465)&lt;&gt;"",SUBSTITUTE(SUBSTITUTE($H2465," ","")," ","")&lt;&gt;SUBSTITUTE(SUBSTITUTE(INDEX(職員マスタ!$B$6:$B$405,$AN2465)," ","")," ","")),"氏名がマスタと相違／","")&amp;IF(AND($Q2465&lt;&gt;"",INDEX(職員マスタ!$E$6:$E$405,$AN2465)&lt;&gt;"",$Q2465&lt;&gt;INDEX(職員マスタ!$E$6:$E$405,$AN2465)),"子の生年月日がマスタと相違／","")&amp;IF(AND($L2465&lt;&gt;"",INDEX(職員マスタ!$G$6:$G$405,$AN2465)&lt;&gt;"",$L2465&lt;&gt;INDEX(職員マスタ!$G$6:$G$405,$AN2465)),"時短開始日がマスタと相違／","")&amp;IF(AND($M2465&lt;&gt;"",INDEX(職員マスタ!$H$6:$H$405,$AN2465)&lt;&gt;"",$M2465&lt;&gt;INDEX(職員マスタ!$H$6:$H$405,$AN2465)),"時短終了日がマスタと相違／","")))&amp;IF(AND($B2465&lt;&gt;"",$E2465=""),"報酬額が未入力／","")&amp;IF(N($U2465)&gt;0,"申請書に入力エラーが残っています／","")&amp;IF(AND($B2465&lt;&gt;"",$AO2465&lt;&gt;""),IF(COUNTIFS($B$6:$B$3005,$B2465,$C$6:$C$3005,$C2465,$D$6:$D$3005,$D2465)&gt;1,"同じ月の請求が重複しています／",""),"")&amp;IF(AND(N($E2465)&gt;0,$Z2465&lt;&gt;"",$Z2465&lt;&gt;"×",$AC2465=0,$AB2465=""),"計算額が下限以下のため不支給／",""))</f>
        <v/>
      </c>
      <c r="AL2465" s="12" t="n"/>
      <c r="AM2465" s="14">
        <f>IF($AD2465="保留中",COUNTIF($AD$6:$AD2465,"保留中"),"")</f>
        <v/>
      </c>
      <c r="AN2465" s="14">
        <f>IF($AO2465="","",IF(SUMPRODUCT(MAX((職員マスタ!$A$6:$A$405=$B2465)*(((職員マスタ!$G$6:$G$405="")+(職員マスタ!$G$6:$G$405&lt;=EOMONTH($AO2465,0)))&gt;0)*(((職員マスタ!$H$6:$H$405="")+(職員マスタ!$H$6:$H$405&gt;=$AO2465))&gt;0)*(ROW(職員マスタ!$A$6:$A$405)-5)))&gt;0,SUMPRODUCT(MAX((職員マスタ!$A$6:$A$405=$B2465)*(((職員マスタ!$G$6:$G$405="")+(職員マスタ!$G$6:$G$405&lt;=EOMONTH($AO2465,0)))&gt;0)*(((職員マスタ!$H$6:$H$405="")+(職員マスタ!$H$6:$H$405&gt;=$AO2465))&gt;0)*(ROW(職員マスタ!$A$6:$A$405)-5))),IFERROR(MATCH($B2465,職員マスタ!$A$6:$A$405,0),"")))</f>
        <v/>
      </c>
      <c r="AO2465" s="16">
        <f>IF(OR($B2465="",$C2465="",$D2465=""),"",DATE($C2465+2018,$D2465,1))</f>
        <v/>
      </c>
    </row>
    <row r="2466">
      <c r="A2466" s="11" t="n"/>
      <c r="B2466" s="12" t="n"/>
      <c r="C2466" s="12" t="n"/>
      <c r="D2466" s="12" t="n"/>
      <c r="E2466" s="13" t="n"/>
      <c r="F2466" s="12" t="n"/>
      <c r="G2466" s="13" t="n"/>
      <c r="H2466" s="12" t="n"/>
      <c r="I2466" s="12" t="n"/>
      <c r="J2466" s="12" t="n"/>
      <c r="K2466" s="12" t="n"/>
      <c r="L2466" s="11" t="n"/>
      <c r="M2466" s="11" t="n"/>
      <c r="N2466" s="11" t="n"/>
      <c r="O2466" s="11" t="n"/>
      <c r="P2466" s="12" t="n"/>
      <c r="Q2466" s="11" t="n"/>
      <c r="R2466" s="12" t="n"/>
      <c r="S2466" s="11" t="n"/>
      <c r="T2466" s="12" t="n"/>
      <c r="U2466" s="12" t="n"/>
      <c r="V2466" s="14">
        <f>IF($AN2466="",IF($B2466="","",$H2466),IF(INDEX(職員マスタ!$B$6:$B$405,$AN2466)="",$H2466,INDEX(職員マスタ!$B$6:$B$405,$AN2466)))</f>
        <v/>
      </c>
      <c r="W2466" s="14">
        <f>IF($AN2466="",IF($B2466="","",$R2466),IF(INDEX(職員マスタ!$C$6:$C$405,$AN2466)="",$R2466,INDEX(職員マスタ!$C$6:$C$405,$AN2466)))</f>
        <v/>
      </c>
      <c r="X2466" s="14">
        <f>IF($AO2466="","","R"&amp;$C2466&amp;"."&amp;$D2466)</f>
        <v/>
      </c>
      <c r="Y2466" s="15">
        <f>IF($AN2466="","",IF(INDEX(職員マスタ!$K$6:$K$405,$AN2466)="","",INDEX(職員マスタ!$K$6:$K$405,$AN2466)))</f>
        <v/>
      </c>
      <c r="Z2466" s="14">
        <f>IF(OR($E2466="",$Y2466=""),"",IF($E2466&gt;=$Y2466,"×",IF($E2466&gt;=$Y2466*設定!$C$5,"△","○")))</f>
        <v/>
      </c>
      <c r="AA2466" s="15">
        <f>IF($Z2466="","",IF($Z2466="×",0,IF($Z2466="○",ROUNDDOWN($E2466*設定!$C$4,0),ROUNDDOWN($E2466*ROUND((9*$Y2466-9*$E2466)/(10*$E2466),4),0))))</f>
        <v/>
      </c>
      <c r="AB2466" s="13" t="n"/>
      <c r="AC2466" s="15">
        <f>IF($B2466="","",IF($AB2466&lt;&gt;"",$AB2466,IF($AA2466="","",IF($AA2466&lt;=設定!$C$3,0,$AA2466))))</f>
        <v/>
      </c>
      <c r="AD2466" s="14">
        <f>IF($B2466="","",IF(AND($AE2466&lt;&gt;"",$AG2466="",$AJ2466=""),"保留中",IF($AJ2466&lt;&gt;"",IF(N($AC2466)&gt;0,"支給済","不支給"),IF($AC2466="","要確認",IF($AC2466=0,"不支給","未処理")))))</f>
        <v/>
      </c>
      <c r="AE2466" s="12" t="n"/>
      <c r="AF2466" s="11" t="n"/>
      <c r="AG2466" s="11" t="n"/>
      <c r="AH2466" s="11" t="n"/>
      <c r="AI2466" s="14">
        <f>IF(AND($AD2466="保留中",$AF2466&lt;&gt;""),TODAY()-$AF2466,"")</f>
        <v/>
      </c>
      <c r="AJ2466" s="12" t="n"/>
      <c r="AK2466" s="14">
        <f>IF($B2466="","",IF($AO2466="","対象年月が未入力／","")&amp;IF($B2466="","",IF($AN2466="","職員マスタに未登録の職員番号／",IF($Y2466="","標準報酬月額が未登録／","")&amp;IF(AND($AO2466&lt;&gt;"",OR(AND(INDEX(職員マスタ!$G$6:$G$405,$AN2466)&lt;&gt;"",INDEX(職員マスタ!$G$6:$G$405,$AN2466)&gt;EOMONTH($AO2466,0)),AND(INDEX(職員マスタ!$H$6:$H$405,$AN2466)&lt;&gt;"",INDEX(職員マスタ!$H$6:$H$405,$AN2466)&lt;$AO2466))),"対象月が時短期間外／","")&amp;IF(AND(INDEX(職員マスタ!$F$6:$F$405,$AN2466)&lt;&gt;"",$AO2466&lt;&gt;"",INDEX(職員マスタ!$F$6:$F$405,$AN2466)&lt;$AO2466),"対象月に子が2歳到達済／","")&amp;IF(AND($H2466&lt;&gt;"",INDEX(職員マスタ!$B$6:$B$405,$AN2466)&lt;&gt;"",SUBSTITUTE(SUBSTITUTE($H2466," ","")," ","")&lt;&gt;SUBSTITUTE(SUBSTITUTE(INDEX(職員マスタ!$B$6:$B$405,$AN2466)," ","")," ","")),"氏名がマスタと相違／","")&amp;IF(AND($Q2466&lt;&gt;"",INDEX(職員マスタ!$E$6:$E$405,$AN2466)&lt;&gt;"",$Q2466&lt;&gt;INDEX(職員マスタ!$E$6:$E$405,$AN2466)),"子の生年月日がマスタと相違／","")&amp;IF(AND($L2466&lt;&gt;"",INDEX(職員マスタ!$G$6:$G$405,$AN2466)&lt;&gt;"",$L2466&lt;&gt;INDEX(職員マスタ!$G$6:$G$405,$AN2466)),"時短開始日がマスタと相違／","")&amp;IF(AND($M2466&lt;&gt;"",INDEX(職員マスタ!$H$6:$H$405,$AN2466)&lt;&gt;"",$M2466&lt;&gt;INDEX(職員マスタ!$H$6:$H$405,$AN2466)),"時短終了日がマスタと相違／","")))&amp;IF(AND($B2466&lt;&gt;"",$E2466=""),"報酬額が未入力／","")&amp;IF(N($U2466)&gt;0,"申請書に入力エラーが残っています／","")&amp;IF(AND($B2466&lt;&gt;"",$AO2466&lt;&gt;""),IF(COUNTIFS($B$6:$B$3005,$B2466,$C$6:$C$3005,$C2466,$D$6:$D$3005,$D2466)&gt;1,"同じ月の請求が重複しています／",""),"")&amp;IF(AND(N($E2466)&gt;0,$Z2466&lt;&gt;"",$Z2466&lt;&gt;"×",$AC2466=0,$AB2466=""),"計算額が下限以下のため不支給／",""))</f>
        <v/>
      </c>
      <c r="AL2466" s="12" t="n"/>
      <c r="AM2466" s="14">
        <f>IF($AD2466="保留中",COUNTIF($AD$6:$AD2466,"保留中"),"")</f>
        <v/>
      </c>
      <c r="AN2466" s="14">
        <f>IF($AO2466="","",IF(SUMPRODUCT(MAX((職員マスタ!$A$6:$A$405=$B2466)*(((職員マスタ!$G$6:$G$405="")+(職員マスタ!$G$6:$G$405&lt;=EOMONTH($AO2466,0)))&gt;0)*(((職員マスタ!$H$6:$H$405="")+(職員マスタ!$H$6:$H$405&gt;=$AO2466))&gt;0)*(ROW(職員マスタ!$A$6:$A$405)-5)))&gt;0,SUMPRODUCT(MAX((職員マスタ!$A$6:$A$405=$B2466)*(((職員マスタ!$G$6:$G$405="")+(職員マスタ!$G$6:$G$405&lt;=EOMONTH($AO2466,0)))&gt;0)*(((職員マスタ!$H$6:$H$405="")+(職員マスタ!$H$6:$H$405&gt;=$AO2466))&gt;0)*(ROW(職員マスタ!$A$6:$A$405)-5))),IFERROR(MATCH($B2466,職員マスタ!$A$6:$A$405,0),"")))</f>
        <v/>
      </c>
      <c r="AO2466" s="16">
        <f>IF(OR($B2466="",$C2466="",$D2466=""),"",DATE($C2466+2018,$D2466,1))</f>
        <v/>
      </c>
    </row>
    <row r="2467">
      <c r="A2467" s="11" t="n"/>
      <c r="B2467" s="12" t="n"/>
      <c r="C2467" s="12" t="n"/>
      <c r="D2467" s="12" t="n"/>
      <c r="E2467" s="13" t="n"/>
      <c r="F2467" s="12" t="n"/>
      <c r="G2467" s="13" t="n"/>
      <c r="H2467" s="12" t="n"/>
      <c r="I2467" s="12" t="n"/>
      <c r="J2467" s="12" t="n"/>
      <c r="K2467" s="12" t="n"/>
      <c r="L2467" s="11" t="n"/>
      <c r="M2467" s="11" t="n"/>
      <c r="N2467" s="11" t="n"/>
      <c r="O2467" s="11" t="n"/>
      <c r="P2467" s="12" t="n"/>
      <c r="Q2467" s="11" t="n"/>
      <c r="R2467" s="12" t="n"/>
      <c r="S2467" s="11" t="n"/>
      <c r="T2467" s="12" t="n"/>
      <c r="U2467" s="12" t="n"/>
      <c r="V2467" s="14">
        <f>IF($AN2467="",IF($B2467="","",$H2467),IF(INDEX(職員マスタ!$B$6:$B$405,$AN2467)="",$H2467,INDEX(職員マスタ!$B$6:$B$405,$AN2467)))</f>
        <v/>
      </c>
      <c r="W2467" s="14">
        <f>IF($AN2467="",IF($B2467="","",$R2467),IF(INDEX(職員マスタ!$C$6:$C$405,$AN2467)="",$R2467,INDEX(職員マスタ!$C$6:$C$405,$AN2467)))</f>
        <v/>
      </c>
      <c r="X2467" s="14">
        <f>IF($AO2467="","","R"&amp;$C2467&amp;"."&amp;$D2467)</f>
        <v/>
      </c>
      <c r="Y2467" s="15">
        <f>IF($AN2467="","",IF(INDEX(職員マスタ!$K$6:$K$405,$AN2467)="","",INDEX(職員マスタ!$K$6:$K$405,$AN2467)))</f>
        <v/>
      </c>
      <c r="Z2467" s="14">
        <f>IF(OR($E2467="",$Y2467=""),"",IF($E2467&gt;=$Y2467,"×",IF($E2467&gt;=$Y2467*設定!$C$5,"△","○")))</f>
        <v/>
      </c>
      <c r="AA2467" s="15">
        <f>IF($Z2467="","",IF($Z2467="×",0,IF($Z2467="○",ROUNDDOWN($E2467*設定!$C$4,0),ROUNDDOWN($E2467*ROUND((9*$Y2467-9*$E2467)/(10*$E2467),4),0))))</f>
        <v/>
      </c>
      <c r="AB2467" s="13" t="n"/>
      <c r="AC2467" s="15">
        <f>IF($B2467="","",IF($AB2467&lt;&gt;"",$AB2467,IF($AA2467="","",IF($AA2467&lt;=設定!$C$3,0,$AA2467))))</f>
        <v/>
      </c>
      <c r="AD2467" s="14">
        <f>IF($B2467="","",IF(AND($AE2467&lt;&gt;"",$AG2467="",$AJ2467=""),"保留中",IF($AJ2467&lt;&gt;"",IF(N($AC2467)&gt;0,"支給済","不支給"),IF($AC2467="","要確認",IF($AC2467=0,"不支給","未処理")))))</f>
        <v/>
      </c>
      <c r="AE2467" s="12" t="n"/>
      <c r="AF2467" s="11" t="n"/>
      <c r="AG2467" s="11" t="n"/>
      <c r="AH2467" s="11" t="n"/>
      <c r="AI2467" s="14">
        <f>IF(AND($AD2467="保留中",$AF2467&lt;&gt;""),TODAY()-$AF2467,"")</f>
        <v/>
      </c>
      <c r="AJ2467" s="12" t="n"/>
      <c r="AK2467" s="14">
        <f>IF($B2467="","",IF($AO2467="","対象年月が未入力／","")&amp;IF($B2467="","",IF($AN2467="","職員マスタに未登録の職員番号／",IF($Y2467="","標準報酬月額が未登録／","")&amp;IF(AND($AO2467&lt;&gt;"",OR(AND(INDEX(職員マスタ!$G$6:$G$405,$AN2467)&lt;&gt;"",INDEX(職員マスタ!$G$6:$G$405,$AN2467)&gt;EOMONTH($AO2467,0)),AND(INDEX(職員マスタ!$H$6:$H$405,$AN2467)&lt;&gt;"",INDEX(職員マスタ!$H$6:$H$405,$AN2467)&lt;$AO2467))),"対象月が時短期間外／","")&amp;IF(AND(INDEX(職員マスタ!$F$6:$F$405,$AN2467)&lt;&gt;"",$AO2467&lt;&gt;"",INDEX(職員マスタ!$F$6:$F$405,$AN2467)&lt;$AO2467),"対象月に子が2歳到達済／","")&amp;IF(AND($H2467&lt;&gt;"",INDEX(職員マスタ!$B$6:$B$405,$AN2467)&lt;&gt;"",SUBSTITUTE(SUBSTITUTE($H2467," ","")," ","")&lt;&gt;SUBSTITUTE(SUBSTITUTE(INDEX(職員マスタ!$B$6:$B$405,$AN2467)," ","")," ","")),"氏名がマスタと相違／","")&amp;IF(AND($Q2467&lt;&gt;"",INDEX(職員マスタ!$E$6:$E$405,$AN2467)&lt;&gt;"",$Q2467&lt;&gt;INDEX(職員マスタ!$E$6:$E$405,$AN2467)),"子の生年月日がマスタと相違／","")&amp;IF(AND($L2467&lt;&gt;"",INDEX(職員マスタ!$G$6:$G$405,$AN2467)&lt;&gt;"",$L2467&lt;&gt;INDEX(職員マスタ!$G$6:$G$405,$AN2467)),"時短開始日がマスタと相違／","")&amp;IF(AND($M2467&lt;&gt;"",INDEX(職員マスタ!$H$6:$H$405,$AN2467)&lt;&gt;"",$M2467&lt;&gt;INDEX(職員マスタ!$H$6:$H$405,$AN2467)),"時短終了日がマスタと相違／","")))&amp;IF(AND($B2467&lt;&gt;"",$E2467=""),"報酬額が未入力／","")&amp;IF(N($U2467)&gt;0,"申請書に入力エラーが残っています／","")&amp;IF(AND($B2467&lt;&gt;"",$AO2467&lt;&gt;""),IF(COUNTIFS($B$6:$B$3005,$B2467,$C$6:$C$3005,$C2467,$D$6:$D$3005,$D2467)&gt;1,"同じ月の請求が重複しています／",""),"")&amp;IF(AND(N($E2467)&gt;0,$Z2467&lt;&gt;"",$Z2467&lt;&gt;"×",$AC2467=0,$AB2467=""),"計算額が下限以下のため不支給／",""))</f>
        <v/>
      </c>
      <c r="AL2467" s="12" t="n"/>
      <c r="AM2467" s="14">
        <f>IF($AD2467="保留中",COUNTIF($AD$6:$AD2467,"保留中"),"")</f>
        <v/>
      </c>
      <c r="AN2467" s="14">
        <f>IF($AO2467="","",IF(SUMPRODUCT(MAX((職員マスタ!$A$6:$A$405=$B2467)*(((職員マスタ!$G$6:$G$405="")+(職員マスタ!$G$6:$G$405&lt;=EOMONTH($AO2467,0)))&gt;0)*(((職員マスタ!$H$6:$H$405="")+(職員マスタ!$H$6:$H$405&gt;=$AO2467))&gt;0)*(ROW(職員マスタ!$A$6:$A$405)-5)))&gt;0,SUMPRODUCT(MAX((職員マスタ!$A$6:$A$405=$B2467)*(((職員マスタ!$G$6:$G$405="")+(職員マスタ!$G$6:$G$405&lt;=EOMONTH($AO2467,0)))&gt;0)*(((職員マスタ!$H$6:$H$405="")+(職員マスタ!$H$6:$H$405&gt;=$AO2467))&gt;0)*(ROW(職員マスタ!$A$6:$A$405)-5))),IFERROR(MATCH($B2467,職員マスタ!$A$6:$A$405,0),"")))</f>
        <v/>
      </c>
      <c r="AO2467" s="16">
        <f>IF(OR($B2467="",$C2467="",$D2467=""),"",DATE($C2467+2018,$D2467,1))</f>
        <v/>
      </c>
    </row>
    <row r="2468">
      <c r="A2468" s="11" t="n"/>
      <c r="B2468" s="12" t="n"/>
      <c r="C2468" s="12" t="n"/>
      <c r="D2468" s="12" t="n"/>
      <c r="E2468" s="13" t="n"/>
      <c r="F2468" s="12" t="n"/>
      <c r="G2468" s="13" t="n"/>
      <c r="H2468" s="12" t="n"/>
      <c r="I2468" s="12" t="n"/>
      <c r="J2468" s="12" t="n"/>
      <c r="K2468" s="12" t="n"/>
      <c r="L2468" s="11" t="n"/>
      <c r="M2468" s="11" t="n"/>
      <c r="N2468" s="11" t="n"/>
      <c r="O2468" s="11" t="n"/>
      <c r="P2468" s="12" t="n"/>
      <c r="Q2468" s="11" t="n"/>
      <c r="R2468" s="12" t="n"/>
      <c r="S2468" s="11" t="n"/>
      <c r="T2468" s="12" t="n"/>
      <c r="U2468" s="12" t="n"/>
      <c r="V2468" s="14">
        <f>IF($AN2468="",IF($B2468="","",$H2468),IF(INDEX(職員マスタ!$B$6:$B$405,$AN2468)="",$H2468,INDEX(職員マスタ!$B$6:$B$405,$AN2468)))</f>
        <v/>
      </c>
      <c r="W2468" s="14">
        <f>IF($AN2468="",IF($B2468="","",$R2468),IF(INDEX(職員マスタ!$C$6:$C$405,$AN2468)="",$R2468,INDEX(職員マスタ!$C$6:$C$405,$AN2468)))</f>
        <v/>
      </c>
      <c r="X2468" s="14">
        <f>IF($AO2468="","","R"&amp;$C2468&amp;"."&amp;$D2468)</f>
        <v/>
      </c>
      <c r="Y2468" s="15">
        <f>IF($AN2468="","",IF(INDEX(職員マスタ!$K$6:$K$405,$AN2468)="","",INDEX(職員マスタ!$K$6:$K$405,$AN2468)))</f>
        <v/>
      </c>
      <c r="Z2468" s="14">
        <f>IF(OR($E2468="",$Y2468=""),"",IF($E2468&gt;=$Y2468,"×",IF($E2468&gt;=$Y2468*設定!$C$5,"△","○")))</f>
        <v/>
      </c>
      <c r="AA2468" s="15">
        <f>IF($Z2468="","",IF($Z2468="×",0,IF($Z2468="○",ROUNDDOWN($E2468*設定!$C$4,0),ROUNDDOWN($E2468*ROUND((9*$Y2468-9*$E2468)/(10*$E2468),4),0))))</f>
        <v/>
      </c>
      <c r="AB2468" s="13" t="n"/>
      <c r="AC2468" s="15">
        <f>IF($B2468="","",IF($AB2468&lt;&gt;"",$AB2468,IF($AA2468="","",IF($AA2468&lt;=設定!$C$3,0,$AA2468))))</f>
        <v/>
      </c>
      <c r="AD2468" s="14">
        <f>IF($B2468="","",IF(AND($AE2468&lt;&gt;"",$AG2468="",$AJ2468=""),"保留中",IF($AJ2468&lt;&gt;"",IF(N($AC2468)&gt;0,"支給済","不支給"),IF($AC2468="","要確認",IF($AC2468=0,"不支給","未処理")))))</f>
        <v/>
      </c>
      <c r="AE2468" s="12" t="n"/>
      <c r="AF2468" s="11" t="n"/>
      <c r="AG2468" s="11" t="n"/>
      <c r="AH2468" s="11" t="n"/>
      <c r="AI2468" s="14">
        <f>IF(AND($AD2468="保留中",$AF2468&lt;&gt;""),TODAY()-$AF2468,"")</f>
        <v/>
      </c>
      <c r="AJ2468" s="12" t="n"/>
      <c r="AK2468" s="14">
        <f>IF($B2468="","",IF($AO2468="","対象年月が未入力／","")&amp;IF($B2468="","",IF($AN2468="","職員マスタに未登録の職員番号／",IF($Y2468="","標準報酬月額が未登録／","")&amp;IF(AND($AO2468&lt;&gt;"",OR(AND(INDEX(職員マスタ!$G$6:$G$405,$AN2468)&lt;&gt;"",INDEX(職員マスタ!$G$6:$G$405,$AN2468)&gt;EOMONTH($AO2468,0)),AND(INDEX(職員マスタ!$H$6:$H$405,$AN2468)&lt;&gt;"",INDEX(職員マスタ!$H$6:$H$405,$AN2468)&lt;$AO2468))),"対象月が時短期間外／","")&amp;IF(AND(INDEX(職員マスタ!$F$6:$F$405,$AN2468)&lt;&gt;"",$AO2468&lt;&gt;"",INDEX(職員マスタ!$F$6:$F$405,$AN2468)&lt;$AO2468),"対象月に子が2歳到達済／","")&amp;IF(AND($H2468&lt;&gt;"",INDEX(職員マスタ!$B$6:$B$405,$AN2468)&lt;&gt;"",SUBSTITUTE(SUBSTITUTE($H2468," ","")," ","")&lt;&gt;SUBSTITUTE(SUBSTITUTE(INDEX(職員マスタ!$B$6:$B$405,$AN2468)," ","")," ","")),"氏名がマスタと相違／","")&amp;IF(AND($Q2468&lt;&gt;"",INDEX(職員マスタ!$E$6:$E$405,$AN2468)&lt;&gt;"",$Q2468&lt;&gt;INDEX(職員マスタ!$E$6:$E$405,$AN2468)),"子の生年月日がマスタと相違／","")&amp;IF(AND($L2468&lt;&gt;"",INDEX(職員マスタ!$G$6:$G$405,$AN2468)&lt;&gt;"",$L2468&lt;&gt;INDEX(職員マスタ!$G$6:$G$405,$AN2468)),"時短開始日がマスタと相違／","")&amp;IF(AND($M2468&lt;&gt;"",INDEX(職員マスタ!$H$6:$H$405,$AN2468)&lt;&gt;"",$M2468&lt;&gt;INDEX(職員マスタ!$H$6:$H$405,$AN2468)),"時短終了日がマスタと相違／","")))&amp;IF(AND($B2468&lt;&gt;"",$E2468=""),"報酬額が未入力／","")&amp;IF(N($U2468)&gt;0,"申請書に入力エラーが残っています／","")&amp;IF(AND($B2468&lt;&gt;"",$AO2468&lt;&gt;""),IF(COUNTIFS($B$6:$B$3005,$B2468,$C$6:$C$3005,$C2468,$D$6:$D$3005,$D2468)&gt;1,"同じ月の請求が重複しています／",""),"")&amp;IF(AND(N($E2468)&gt;0,$Z2468&lt;&gt;"",$Z2468&lt;&gt;"×",$AC2468=0,$AB2468=""),"計算額が下限以下のため不支給／",""))</f>
        <v/>
      </c>
      <c r="AL2468" s="12" t="n"/>
      <c r="AM2468" s="14">
        <f>IF($AD2468="保留中",COUNTIF($AD$6:$AD2468,"保留中"),"")</f>
        <v/>
      </c>
      <c r="AN2468" s="14">
        <f>IF($AO2468="","",IF(SUMPRODUCT(MAX((職員マスタ!$A$6:$A$405=$B2468)*(((職員マスタ!$G$6:$G$405="")+(職員マスタ!$G$6:$G$405&lt;=EOMONTH($AO2468,0)))&gt;0)*(((職員マスタ!$H$6:$H$405="")+(職員マスタ!$H$6:$H$405&gt;=$AO2468))&gt;0)*(ROW(職員マスタ!$A$6:$A$405)-5)))&gt;0,SUMPRODUCT(MAX((職員マスタ!$A$6:$A$405=$B2468)*(((職員マスタ!$G$6:$G$405="")+(職員マスタ!$G$6:$G$405&lt;=EOMONTH($AO2468,0)))&gt;0)*(((職員マスタ!$H$6:$H$405="")+(職員マスタ!$H$6:$H$405&gt;=$AO2468))&gt;0)*(ROW(職員マスタ!$A$6:$A$405)-5))),IFERROR(MATCH($B2468,職員マスタ!$A$6:$A$405,0),"")))</f>
        <v/>
      </c>
      <c r="AO2468" s="16">
        <f>IF(OR($B2468="",$C2468="",$D2468=""),"",DATE($C2468+2018,$D2468,1))</f>
        <v/>
      </c>
    </row>
    <row r="2469">
      <c r="A2469" s="11" t="n"/>
      <c r="B2469" s="12" t="n"/>
      <c r="C2469" s="12" t="n"/>
      <c r="D2469" s="12" t="n"/>
      <c r="E2469" s="13" t="n"/>
      <c r="F2469" s="12" t="n"/>
      <c r="G2469" s="13" t="n"/>
      <c r="H2469" s="12" t="n"/>
      <c r="I2469" s="12" t="n"/>
      <c r="J2469" s="12" t="n"/>
      <c r="K2469" s="12" t="n"/>
      <c r="L2469" s="11" t="n"/>
      <c r="M2469" s="11" t="n"/>
      <c r="N2469" s="11" t="n"/>
      <c r="O2469" s="11" t="n"/>
      <c r="P2469" s="12" t="n"/>
      <c r="Q2469" s="11" t="n"/>
      <c r="R2469" s="12" t="n"/>
      <c r="S2469" s="11" t="n"/>
      <c r="T2469" s="12" t="n"/>
      <c r="U2469" s="12" t="n"/>
      <c r="V2469" s="14">
        <f>IF($AN2469="",IF($B2469="","",$H2469),IF(INDEX(職員マスタ!$B$6:$B$405,$AN2469)="",$H2469,INDEX(職員マスタ!$B$6:$B$405,$AN2469)))</f>
        <v/>
      </c>
      <c r="W2469" s="14">
        <f>IF($AN2469="",IF($B2469="","",$R2469),IF(INDEX(職員マスタ!$C$6:$C$405,$AN2469)="",$R2469,INDEX(職員マスタ!$C$6:$C$405,$AN2469)))</f>
        <v/>
      </c>
      <c r="X2469" s="14">
        <f>IF($AO2469="","","R"&amp;$C2469&amp;"."&amp;$D2469)</f>
        <v/>
      </c>
      <c r="Y2469" s="15">
        <f>IF($AN2469="","",IF(INDEX(職員マスタ!$K$6:$K$405,$AN2469)="","",INDEX(職員マスタ!$K$6:$K$405,$AN2469)))</f>
        <v/>
      </c>
      <c r="Z2469" s="14">
        <f>IF(OR($E2469="",$Y2469=""),"",IF($E2469&gt;=$Y2469,"×",IF($E2469&gt;=$Y2469*設定!$C$5,"△","○")))</f>
        <v/>
      </c>
      <c r="AA2469" s="15">
        <f>IF($Z2469="","",IF($Z2469="×",0,IF($Z2469="○",ROUNDDOWN($E2469*設定!$C$4,0),ROUNDDOWN($E2469*ROUND((9*$Y2469-9*$E2469)/(10*$E2469),4),0))))</f>
        <v/>
      </c>
      <c r="AB2469" s="13" t="n"/>
      <c r="AC2469" s="15">
        <f>IF($B2469="","",IF($AB2469&lt;&gt;"",$AB2469,IF($AA2469="","",IF($AA2469&lt;=設定!$C$3,0,$AA2469))))</f>
        <v/>
      </c>
      <c r="AD2469" s="14">
        <f>IF($B2469="","",IF(AND($AE2469&lt;&gt;"",$AG2469="",$AJ2469=""),"保留中",IF($AJ2469&lt;&gt;"",IF(N($AC2469)&gt;0,"支給済","不支給"),IF($AC2469="","要確認",IF($AC2469=0,"不支給","未処理")))))</f>
        <v/>
      </c>
      <c r="AE2469" s="12" t="n"/>
      <c r="AF2469" s="11" t="n"/>
      <c r="AG2469" s="11" t="n"/>
      <c r="AH2469" s="11" t="n"/>
      <c r="AI2469" s="14">
        <f>IF(AND($AD2469="保留中",$AF2469&lt;&gt;""),TODAY()-$AF2469,"")</f>
        <v/>
      </c>
      <c r="AJ2469" s="12" t="n"/>
      <c r="AK2469" s="14">
        <f>IF($B2469="","",IF($AO2469="","対象年月が未入力／","")&amp;IF($B2469="","",IF($AN2469="","職員マスタに未登録の職員番号／",IF($Y2469="","標準報酬月額が未登録／","")&amp;IF(AND($AO2469&lt;&gt;"",OR(AND(INDEX(職員マスタ!$G$6:$G$405,$AN2469)&lt;&gt;"",INDEX(職員マスタ!$G$6:$G$405,$AN2469)&gt;EOMONTH($AO2469,0)),AND(INDEX(職員マスタ!$H$6:$H$405,$AN2469)&lt;&gt;"",INDEX(職員マスタ!$H$6:$H$405,$AN2469)&lt;$AO2469))),"対象月が時短期間外／","")&amp;IF(AND(INDEX(職員マスタ!$F$6:$F$405,$AN2469)&lt;&gt;"",$AO2469&lt;&gt;"",INDEX(職員マスタ!$F$6:$F$405,$AN2469)&lt;$AO2469),"対象月に子が2歳到達済／","")&amp;IF(AND($H2469&lt;&gt;"",INDEX(職員マスタ!$B$6:$B$405,$AN2469)&lt;&gt;"",SUBSTITUTE(SUBSTITUTE($H2469," ","")," ","")&lt;&gt;SUBSTITUTE(SUBSTITUTE(INDEX(職員マスタ!$B$6:$B$405,$AN2469)," ","")," ","")),"氏名がマスタと相違／","")&amp;IF(AND($Q2469&lt;&gt;"",INDEX(職員マスタ!$E$6:$E$405,$AN2469)&lt;&gt;"",$Q2469&lt;&gt;INDEX(職員マスタ!$E$6:$E$405,$AN2469)),"子の生年月日がマスタと相違／","")&amp;IF(AND($L2469&lt;&gt;"",INDEX(職員マスタ!$G$6:$G$405,$AN2469)&lt;&gt;"",$L2469&lt;&gt;INDEX(職員マスタ!$G$6:$G$405,$AN2469)),"時短開始日がマスタと相違／","")&amp;IF(AND($M2469&lt;&gt;"",INDEX(職員マスタ!$H$6:$H$405,$AN2469)&lt;&gt;"",$M2469&lt;&gt;INDEX(職員マスタ!$H$6:$H$405,$AN2469)),"時短終了日がマスタと相違／","")))&amp;IF(AND($B2469&lt;&gt;"",$E2469=""),"報酬額が未入力／","")&amp;IF(N($U2469)&gt;0,"申請書に入力エラーが残っています／","")&amp;IF(AND($B2469&lt;&gt;"",$AO2469&lt;&gt;""),IF(COUNTIFS($B$6:$B$3005,$B2469,$C$6:$C$3005,$C2469,$D$6:$D$3005,$D2469)&gt;1,"同じ月の請求が重複しています／",""),"")&amp;IF(AND(N($E2469)&gt;0,$Z2469&lt;&gt;"",$Z2469&lt;&gt;"×",$AC2469=0,$AB2469=""),"計算額が下限以下のため不支給／",""))</f>
        <v/>
      </c>
      <c r="AL2469" s="12" t="n"/>
      <c r="AM2469" s="14">
        <f>IF($AD2469="保留中",COUNTIF($AD$6:$AD2469,"保留中"),"")</f>
        <v/>
      </c>
      <c r="AN2469" s="14">
        <f>IF($AO2469="","",IF(SUMPRODUCT(MAX((職員マスタ!$A$6:$A$405=$B2469)*(((職員マスタ!$G$6:$G$405="")+(職員マスタ!$G$6:$G$405&lt;=EOMONTH($AO2469,0)))&gt;0)*(((職員マスタ!$H$6:$H$405="")+(職員マスタ!$H$6:$H$405&gt;=$AO2469))&gt;0)*(ROW(職員マスタ!$A$6:$A$405)-5)))&gt;0,SUMPRODUCT(MAX((職員マスタ!$A$6:$A$405=$B2469)*(((職員マスタ!$G$6:$G$405="")+(職員マスタ!$G$6:$G$405&lt;=EOMONTH($AO2469,0)))&gt;0)*(((職員マスタ!$H$6:$H$405="")+(職員マスタ!$H$6:$H$405&gt;=$AO2469))&gt;0)*(ROW(職員マスタ!$A$6:$A$405)-5))),IFERROR(MATCH($B2469,職員マスタ!$A$6:$A$405,0),"")))</f>
        <v/>
      </c>
      <c r="AO2469" s="16">
        <f>IF(OR($B2469="",$C2469="",$D2469=""),"",DATE($C2469+2018,$D2469,1))</f>
        <v/>
      </c>
    </row>
    <row r="2470">
      <c r="A2470" s="11" t="n"/>
      <c r="B2470" s="12" t="n"/>
      <c r="C2470" s="12" t="n"/>
      <c r="D2470" s="12" t="n"/>
      <c r="E2470" s="13" t="n"/>
      <c r="F2470" s="12" t="n"/>
      <c r="G2470" s="13" t="n"/>
      <c r="H2470" s="12" t="n"/>
      <c r="I2470" s="12" t="n"/>
      <c r="J2470" s="12" t="n"/>
      <c r="K2470" s="12" t="n"/>
      <c r="L2470" s="11" t="n"/>
      <c r="M2470" s="11" t="n"/>
      <c r="N2470" s="11" t="n"/>
      <c r="O2470" s="11" t="n"/>
      <c r="P2470" s="12" t="n"/>
      <c r="Q2470" s="11" t="n"/>
      <c r="R2470" s="12" t="n"/>
      <c r="S2470" s="11" t="n"/>
      <c r="T2470" s="12" t="n"/>
      <c r="U2470" s="12" t="n"/>
      <c r="V2470" s="14">
        <f>IF($AN2470="",IF($B2470="","",$H2470),IF(INDEX(職員マスタ!$B$6:$B$405,$AN2470)="",$H2470,INDEX(職員マスタ!$B$6:$B$405,$AN2470)))</f>
        <v/>
      </c>
      <c r="W2470" s="14">
        <f>IF($AN2470="",IF($B2470="","",$R2470),IF(INDEX(職員マスタ!$C$6:$C$405,$AN2470)="",$R2470,INDEX(職員マスタ!$C$6:$C$405,$AN2470)))</f>
        <v/>
      </c>
      <c r="X2470" s="14">
        <f>IF($AO2470="","","R"&amp;$C2470&amp;"."&amp;$D2470)</f>
        <v/>
      </c>
      <c r="Y2470" s="15">
        <f>IF($AN2470="","",IF(INDEX(職員マスタ!$K$6:$K$405,$AN2470)="","",INDEX(職員マスタ!$K$6:$K$405,$AN2470)))</f>
        <v/>
      </c>
      <c r="Z2470" s="14">
        <f>IF(OR($E2470="",$Y2470=""),"",IF($E2470&gt;=$Y2470,"×",IF($E2470&gt;=$Y2470*設定!$C$5,"△","○")))</f>
        <v/>
      </c>
      <c r="AA2470" s="15">
        <f>IF($Z2470="","",IF($Z2470="×",0,IF($Z2470="○",ROUNDDOWN($E2470*設定!$C$4,0),ROUNDDOWN($E2470*ROUND((9*$Y2470-9*$E2470)/(10*$E2470),4),0))))</f>
        <v/>
      </c>
      <c r="AB2470" s="13" t="n"/>
      <c r="AC2470" s="15">
        <f>IF($B2470="","",IF($AB2470&lt;&gt;"",$AB2470,IF($AA2470="","",IF($AA2470&lt;=設定!$C$3,0,$AA2470))))</f>
        <v/>
      </c>
      <c r="AD2470" s="14">
        <f>IF($B2470="","",IF(AND($AE2470&lt;&gt;"",$AG2470="",$AJ2470=""),"保留中",IF($AJ2470&lt;&gt;"",IF(N($AC2470)&gt;0,"支給済","不支給"),IF($AC2470="","要確認",IF($AC2470=0,"不支給","未処理")))))</f>
        <v/>
      </c>
      <c r="AE2470" s="12" t="n"/>
      <c r="AF2470" s="11" t="n"/>
      <c r="AG2470" s="11" t="n"/>
      <c r="AH2470" s="11" t="n"/>
      <c r="AI2470" s="14">
        <f>IF(AND($AD2470="保留中",$AF2470&lt;&gt;""),TODAY()-$AF2470,"")</f>
        <v/>
      </c>
      <c r="AJ2470" s="12" t="n"/>
      <c r="AK2470" s="14">
        <f>IF($B2470="","",IF($AO2470="","対象年月が未入力／","")&amp;IF($B2470="","",IF($AN2470="","職員マスタに未登録の職員番号／",IF($Y2470="","標準報酬月額が未登録／","")&amp;IF(AND($AO2470&lt;&gt;"",OR(AND(INDEX(職員マスタ!$G$6:$G$405,$AN2470)&lt;&gt;"",INDEX(職員マスタ!$G$6:$G$405,$AN2470)&gt;EOMONTH($AO2470,0)),AND(INDEX(職員マスタ!$H$6:$H$405,$AN2470)&lt;&gt;"",INDEX(職員マスタ!$H$6:$H$405,$AN2470)&lt;$AO2470))),"対象月が時短期間外／","")&amp;IF(AND(INDEX(職員マスタ!$F$6:$F$405,$AN2470)&lt;&gt;"",$AO2470&lt;&gt;"",INDEX(職員マスタ!$F$6:$F$405,$AN2470)&lt;$AO2470),"対象月に子が2歳到達済／","")&amp;IF(AND($H2470&lt;&gt;"",INDEX(職員マスタ!$B$6:$B$405,$AN2470)&lt;&gt;"",SUBSTITUTE(SUBSTITUTE($H2470," ","")," ","")&lt;&gt;SUBSTITUTE(SUBSTITUTE(INDEX(職員マスタ!$B$6:$B$405,$AN2470)," ","")," ","")),"氏名がマスタと相違／","")&amp;IF(AND($Q2470&lt;&gt;"",INDEX(職員マスタ!$E$6:$E$405,$AN2470)&lt;&gt;"",$Q2470&lt;&gt;INDEX(職員マスタ!$E$6:$E$405,$AN2470)),"子の生年月日がマスタと相違／","")&amp;IF(AND($L2470&lt;&gt;"",INDEX(職員マスタ!$G$6:$G$405,$AN2470)&lt;&gt;"",$L2470&lt;&gt;INDEX(職員マスタ!$G$6:$G$405,$AN2470)),"時短開始日がマスタと相違／","")&amp;IF(AND($M2470&lt;&gt;"",INDEX(職員マスタ!$H$6:$H$405,$AN2470)&lt;&gt;"",$M2470&lt;&gt;INDEX(職員マスタ!$H$6:$H$405,$AN2470)),"時短終了日がマスタと相違／","")))&amp;IF(AND($B2470&lt;&gt;"",$E2470=""),"報酬額が未入力／","")&amp;IF(N($U2470)&gt;0,"申請書に入力エラーが残っています／","")&amp;IF(AND($B2470&lt;&gt;"",$AO2470&lt;&gt;""),IF(COUNTIFS($B$6:$B$3005,$B2470,$C$6:$C$3005,$C2470,$D$6:$D$3005,$D2470)&gt;1,"同じ月の請求が重複しています／",""),"")&amp;IF(AND(N($E2470)&gt;0,$Z2470&lt;&gt;"",$Z2470&lt;&gt;"×",$AC2470=0,$AB2470=""),"計算額が下限以下のため不支給／",""))</f>
        <v/>
      </c>
      <c r="AL2470" s="12" t="n"/>
      <c r="AM2470" s="14">
        <f>IF($AD2470="保留中",COUNTIF($AD$6:$AD2470,"保留中"),"")</f>
        <v/>
      </c>
      <c r="AN2470" s="14">
        <f>IF($AO2470="","",IF(SUMPRODUCT(MAX((職員マスタ!$A$6:$A$405=$B2470)*(((職員マスタ!$G$6:$G$405="")+(職員マスタ!$G$6:$G$405&lt;=EOMONTH($AO2470,0)))&gt;0)*(((職員マスタ!$H$6:$H$405="")+(職員マスタ!$H$6:$H$405&gt;=$AO2470))&gt;0)*(ROW(職員マスタ!$A$6:$A$405)-5)))&gt;0,SUMPRODUCT(MAX((職員マスタ!$A$6:$A$405=$B2470)*(((職員マスタ!$G$6:$G$405="")+(職員マスタ!$G$6:$G$405&lt;=EOMONTH($AO2470,0)))&gt;0)*(((職員マスタ!$H$6:$H$405="")+(職員マスタ!$H$6:$H$405&gt;=$AO2470))&gt;0)*(ROW(職員マスタ!$A$6:$A$405)-5))),IFERROR(MATCH($B2470,職員マスタ!$A$6:$A$405,0),"")))</f>
        <v/>
      </c>
      <c r="AO2470" s="16">
        <f>IF(OR($B2470="",$C2470="",$D2470=""),"",DATE($C2470+2018,$D2470,1))</f>
        <v/>
      </c>
    </row>
    <row r="2471">
      <c r="A2471" s="11" t="n"/>
      <c r="B2471" s="12" t="n"/>
      <c r="C2471" s="12" t="n"/>
      <c r="D2471" s="12" t="n"/>
      <c r="E2471" s="13" t="n"/>
      <c r="F2471" s="12" t="n"/>
      <c r="G2471" s="13" t="n"/>
      <c r="H2471" s="12" t="n"/>
      <c r="I2471" s="12" t="n"/>
      <c r="J2471" s="12" t="n"/>
      <c r="K2471" s="12" t="n"/>
      <c r="L2471" s="11" t="n"/>
      <c r="M2471" s="11" t="n"/>
      <c r="N2471" s="11" t="n"/>
      <c r="O2471" s="11" t="n"/>
      <c r="P2471" s="12" t="n"/>
      <c r="Q2471" s="11" t="n"/>
      <c r="R2471" s="12" t="n"/>
      <c r="S2471" s="11" t="n"/>
      <c r="T2471" s="12" t="n"/>
      <c r="U2471" s="12" t="n"/>
      <c r="V2471" s="14">
        <f>IF($AN2471="",IF($B2471="","",$H2471),IF(INDEX(職員マスタ!$B$6:$B$405,$AN2471)="",$H2471,INDEX(職員マスタ!$B$6:$B$405,$AN2471)))</f>
        <v/>
      </c>
      <c r="W2471" s="14">
        <f>IF($AN2471="",IF($B2471="","",$R2471),IF(INDEX(職員マスタ!$C$6:$C$405,$AN2471)="",$R2471,INDEX(職員マスタ!$C$6:$C$405,$AN2471)))</f>
        <v/>
      </c>
      <c r="X2471" s="14">
        <f>IF($AO2471="","","R"&amp;$C2471&amp;"."&amp;$D2471)</f>
        <v/>
      </c>
      <c r="Y2471" s="15">
        <f>IF($AN2471="","",IF(INDEX(職員マスタ!$K$6:$K$405,$AN2471)="","",INDEX(職員マスタ!$K$6:$K$405,$AN2471)))</f>
        <v/>
      </c>
      <c r="Z2471" s="14">
        <f>IF(OR($E2471="",$Y2471=""),"",IF($E2471&gt;=$Y2471,"×",IF($E2471&gt;=$Y2471*設定!$C$5,"△","○")))</f>
        <v/>
      </c>
      <c r="AA2471" s="15">
        <f>IF($Z2471="","",IF($Z2471="×",0,IF($Z2471="○",ROUNDDOWN($E2471*設定!$C$4,0),ROUNDDOWN($E2471*ROUND((9*$Y2471-9*$E2471)/(10*$E2471),4),0))))</f>
        <v/>
      </c>
      <c r="AB2471" s="13" t="n"/>
      <c r="AC2471" s="15">
        <f>IF($B2471="","",IF($AB2471&lt;&gt;"",$AB2471,IF($AA2471="","",IF($AA2471&lt;=設定!$C$3,0,$AA2471))))</f>
        <v/>
      </c>
      <c r="AD2471" s="14">
        <f>IF($B2471="","",IF(AND($AE2471&lt;&gt;"",$AG2471="",$AJ2471=""),"保留中",IF($AJ2471&lt;&gt;"",IF(N($AC2471)&gt;0,"支給済","不支給"),IF($AC2471="","要確認",IF($AC2471=0,"不支給","未処理")))))</f>
        <v/>
      </c>
      <c r="AE2471" s="12" t="n"/>
      <c r="AF2471" s="11" t="n"/>
      <c r="AG2471" s="11" t="n"/>
      <c r="AH2471" s="11" t="n"/>
      <c r="AI2471" s="14">
        <f>IF(AND($AD2471="保留中",$AF2471&lt;&gt;""),TODAY()-$AF2471,"")</f>
        <v/>
      </c>
      <c r="AJ2471" s="12" t="n"/>
      <c r="AK2471" s="14">
        <f>IF($B2471="","",IF($AO2471="","対象年月が未入力／","")&amp;IF($B2471="","",IF($AN2471="","職員マスタに未登録の職員番号／",IF($Y2471="","標準報酬月額が未登録／","")&amp;IF(AND($AO2471&lt;&gt;"",OR(AND(INDEX(職員マスタ!$G$6:$G$405,$AN2471)&lt;&gt;"",INDEX(職員マスタ!$G$6:$G$405,$AN2471)&gt;EOMONTH($AO2471,0)),AND(INDEX(職員マスタ!$H$6:$H$405,$AN2471)&lt;&gt;"",INDEX(職員マスタ!$H$6:$H$405,$AN2471)&lt;$AO2471))),"対象月が時短期間外／","")&amp;IF(AND(INDEX(職員マスタ!$F$6:$F$405,$AN2471)&lt;&gt;"",$AO2471&lt;&gt;"",INDEX(職員マスタ!$F$6:$F$405,$AN2471)&lt;$AO2471),"対象月に子が2歳到達済／","")&amp;IF(AND($H2471&lt;&gt;"",INDEX(職員マスタ!$B$6:$B$405,$AN2471)&lt;&gt;"",SUBSTITUTE(SUBSTITUTE($H2471," ","")," ","")&lt;&gt;SUBSTITUTE(SUBSTITUTE(INDEX(職員マスタ!$B$6:$B$405,$AN2471)," ","")," ","")),"氏名がマスタと相違／","")&amp;IF(AND($Q2471&lt;&gt;"",INDEX(職員マスタ!$E$6:$E$405,$AN2471)&lt;&gt;"",$Q2471&lt;&gt;INDEX(職員マスタ!$E$6:$E$405,$AN2471)),"子の生年月日がマスタと相違／","")&amp;IF(AND($L2471&lt;&gt;"",INDEX(職員マスタ!$G$6:$G$405,$AN2471)&lt;&gt;"",$L2471&lt;&gt;INDEX(職員マスタ!$G$6:$G$405,$AN2471)),"時短開始日がマスタと相違／","")&amp;IF(AND($M2471&lt;&gt;"",INDEX(職員マスタ!$H$6:$H$405,$AN2471)&lt;&gt;"",$M2471&lt;&gt;INDEX(職員マスタ!$H$6:$H$405,$AN2471)),"時短終了日がマスタと相違／","")))&amp;IF(AND($B2471&lt;&gt;"",$E2471=""),"報酬額が未入力／","")&amp;IF(N($U2471)&gt;0,"申請書に入力エラーが残っています／","")&amp;IF(AND($B2471&lt;&gt;"",$AO2471&lt;&gt;""),IF(COUNTIFS($B$6:$B$3005,$B2471,$C$6:$C$3005,$C2471,$D$6:$D$3005,$D2471)&gt;1,"同じ月の請求が重複しています／",""),"")&amp;IF(AND(N($E2471)&gt;0,$Z2471&lt;&gt;"",$Z2471&lt;&gt;"×",$AC2471=0,$AB2471=""),"計算額が下限以下のため不支給／",""))</f>
        <v/>
      </c>
      <c r="AL2471" s="12" t="n"/>
      <c r="AM2471" s="14">
        <f>IF($AD2471="保留中",COUNTIF($AD$6:$AD2471,"保留中"),"")</f>
        <v/>
      </c>
      <c r="AN2471" s="14">
        <f>IF($AO2471="","",IF(SUMPRODUCT(MAX((職員マスタ!$A$6:$A$405=$B2471)*(((職員マスタ!$G$6:$G$405="")+(職員マスタ!$G$6:$G$405&lt;=EOMONTH($AO2471,0)))&gt;0)*(((職員マスタ!$H$6:$H$405="")+(職員マスタ!$H$6:$H$405&gt;=$AO2471))&gt;0)*(ROW(職員マスタ!$A$6:$A$405)-5)))&gt;0,SUMPRODUCT(MAX((職員マスタ!$A$6:$A$405=$B2471)*(((職員マスタ!$G$6:$G$405="")+(職員マスタ!$G$6:$G$405&lt;=EOMONTH($AO2471,0)))&gt;0)*(((職員マスタ!$H$6:$H$405="")+(職員マスタ!$H$6:$H$405&gt;=$AO2471))&gt;0)*(ROW(職員マスタ!$A$6:$A$405)-5))),IFERROR(MATCH($B2471,職員マスタ!$A$6:$A$405,0),"")))</f>
        <v/>
      </c>
      <c r="AO2471" s="16">
        <f>IF(OR($B2471="",$C2471="",$D2471=""),"",DATE($C2471+2018,$D2471,1))</f>
        <v/>
      </c>
    </row>
    <row r="2472">
      <c r="A2472" s="11" t="n"/>
      <c r="B2472" s="12" t="n"/>
      <c r="C2472" s="12" t="n"/>
      <c r="D2472" s="12" t="n"/>
      <c r="E2472" s="13" t="n"/>
      <c r="F2472" s="12" t="n"/>
      <c r="G2472" s="13" t="n"/>
      <c r="H2472" s="12" t="n"/>
      <c r="I2472" s="12" t="n"/>
      <c r="J2472" s="12" t="n"/>
      <c r="K2472" s="12" t="n"/>
      <c r="L2472" s="11" t="n"/>
      <c r="M2472" s="11" t="n"/>
      <c r="N2472" s="11" t="n"/>
      <c r="O2472" s="11" t="n"/>
      <c r="P2472" s="12" t="n"/>
      <c r="Q2472" s="11" t="n"/>
      <c r="R2472" s="12" t="n"/>
      <c r="S2472" s="11" t="n"/>
      <c r="T2472" s="12" t="n"/>
      <c r="U2472" s="12" t="n"/>
      <c r="V2472" s="14">
        <f>IF($AN2472="",IF($B2472="","",$H2472),IF(INDEX(職員マスタ!$B$6:$B$405,$AN2472)="",$H2472,INDEX(職員マスタ!$B$6:$B$405,$AN2472)))</f>
        <v/>
      </c>
      <c r="W2472" s="14">
        <f>IF($AN2472="",IF($B2472="","",$R2472),IF(INDEX(職員マスタ!$C$6:$C$405,$AN2472)="",$R2472,INDEX(職員マスタ!$C$6:$C$405,$AN2472)))</f>
        <v/>
      </c>
      <c r="X2472" s="14">
        <f>IF($AO2472="","","R"&amp;$C2472&amp;"."&amp;$D2472)</f>
        <v/>
      </c>
      <c r="Y2472" s="15">
        <f>IF($AN2472="","",IF(INDEX(職員マスタ!$K$6:$K$405,$AN2472)="","",INDEX(職員マスタ!$K$6:$K$405,$AN2472)))</f>
        <v/>
      </c>
      <c r="Z2472" s="14">
        <f>IF(OR($E2472="",$Y2472=""),"",IF($E2472&gt;=$Y2472,"×",IF($E2472&gt;=$Y2472*設定!$C$5,"△","○")))</f>
        <v/>
      </c>
      <c r="AA2472" s="15">
        <f>IF($Z2472="","",IF($Z2472="×",0,IF($Z2472="○",ROUNDDOWN($E2472*設定!$C$4,0),ROUNDDOWN($E2472*ROUND((9*$Y2472-9*$E2472)/(10*$E2472),4),0))))</f>
        <v/>
      </c>
      <c r="AB2472" s="13" t="n"/>
      <c r="AC2472" s="15">
        <f>IF($B2472="","",IF($AB2472&lt;&gt;"",$AB2472,IF($AA2472="","",IF($AA2472&lt;=設定!$C$3,0,$AA2472))))</f>
        <v/>
      </c>
      <c r="AD2472" s="14">
        <f>IF($B2472="","",IF(AND($AE2472&lt;&gt;"",$AG2472="",$AJ2472=""),"保留中",IF($AJ2472&lt;&gt;"",IF(N($AC2472)&gt;0,"支給済","不支給"),IF($AC2472="","要確認",IF($AC2472=0,"不支給","未処理")))))</f>
        <v/>
      </c>
      <c r="AE2472" s="12" t="n"/>
      <c r="AF2472" s="11" t="n"/>
      <c r="AG2472" s="11" t="n"/>
      <c r="AH2472" s="11" t="n"/>
      <c r="AI2472" s="14">
        <f>IF(AND($AD2472="保留中",$AF2472&lt;&gt;""),TODAY()-$AF2472,"")</f>
        <v/>
      </c>
      <c r="AJ2472" s="12" t="n"/>
      <c r="AK2472" s="14">
        <f>IF($B2472="","",IF($AO2472="","対象年月が未入力／","")&amp;IF($B2472="","",IF($AN2472="","職員マスタに未登録の職員番号／",IF($Y2472="","標準報酬月額が未登録／","")&amp;IF(AND($AO2472&lt;&gt;"",OR(AND(INDEX(職員マスタ!$G$6:$G$405,$AN2472)&lt;&gt;"",INDEX(職員マスタ!$G$6:$G$405,$AN2472)&gt;EOMONTH($AO2472,0)),AND(INDEX(職員マスタ!$H$6:$H$405,$AN2472)&lt;&gt;"",INDEX(職員マスタ!$H$6:$H$405,$AN2472)&lt;$AO2472))),"対象月が時短期間外／","")&amp;IF(AND(INDEX(職員マスタ!$F$6:$F$405,$AN2472)&lt;&gt;"",$AO2472&lt;&gt;"",INDEX(職員マスタ!$F$6:$F$405,$AN2472)&lt;$AO2472),"対象月に子が2歳到達済／","")&amp;IF(AND($H2472&lt;&gt;"",INDEX(職員マスタ!$B$6:$B$405,$AN2472)&lt;&gt;"",SUBSTITUTE(SUBSTITUTE($H2472," ","")," ","")&lt;&gt;SUBSTITUTE(SUBSTITUTE(INDEX(職員マスタ!$B$6:$B$405,$AN2472)," ","")," ","")),"氏名がマスタと相違／","")&amp;IF(AND($Q2472&lt;&gt;"",INDEX(職員マスタ!$E$6:$E$405,$AN2472)&lt;&gt;"",$Q2472&lt;&gt;INDEX(職員マスタ!$E$6:$E$405,$AN2472)),"子の生年月日がマスタと相違／","")&amp;IF(AND($L2472&lt;&gt;"",INDEX(職員マスタ!$G$6:$G$405,$AN2472)&lt;&gt;"",$L2472&lt;&gt;INDEX(職員マスタ!$G$6:$G$405,$AN2472)),"時短開始日がマスタと相違／","")&amp;IF(AND($M2472&lt;&gt;"",INDEX(職員マスタ!$H$6:$H$405,$AN2472)&lt;&gt;"",$M2472&lt;&gt;INDEX(職員マスタ!$H$6:$H$405,$AN2472)),"時短終了日がマスタと相違／","")))&amp;IF(AND($B2472&lt;&gt;"",$E2472=""),"報酬額が未入力／","")&amp;IF(N($U2472)&gt;0,"申請書に入力エラーが残っています／","")&amp;IF(AND($B2472&lt;&gt;"",$AO2472&lt;&gt;""),IF(COUNTIFS($B$6:$B$3005,$B2472,$C$6:$C$3005,$C2472,$D$6:$D$3005,$D2472)&gt;1,"同じ月の請求が重複しています／",""),"")&amp;IF(AND(N($E2472)&gt;0,$Z2472&lt;&gt;"",$Z2472&lt;&gt;"×",$AC2472=0,$AB2472=""),"計算額が下限以下のため不支給／",""))</f>
        <v/>
      </c>
      <c r="AL2472" s="12" t="n"/>
      <c r="AM2472" s="14">
        <f>IF($AD2472="保留中",COUNTIF($AD$6:$AD2472,"保留中"),"")</f>
        <v/>
      </c>
      <c r="AN2472" s="14">
        <f>IF($AO2472="","",IF(SUMPRODUCT(MAX((職員マスタ!$A$6:$A$405=$B2472)*(((職員マスタ!$G$6:$G$405="")+(職員マスタ!$G$6:$G$405&lt;=EOMONTH($AO2472,0)))&gt;0)*(((職員マスタ!$H$6:$H$405="")+(職員マスタ!$H$6:$H$405&gt;=$AO2472))&gt;0)*(ROW(職員マスタ!$A$6:$A$405)-5)))&gt;0,SUMPRODUCT(MAX((職員マスタ!$A$6:$A$405=$B2472)*(((職員マスタ!$G$6:$G$405="")+(職員マスタ!$G$6:$G$405&lt;=EOMONTH($AO2472,0)))&gt;0)*(((職員マスタ!$H$6:$H$405="")+(職員マスタ!$H$6:$H$405&gt;=$AO2472))&gt;0)*(ROW(職員マスタ!$A$6:$A$405)-5))),IFERROR(MATCH($B2472,職員マスタ!$A$6:$A$405,0),"")))</f>
        <v/>
      </c>
      <c r="AO2472" s="16">
        <f>IF(OR($B2472="",$C2472="",$D2472=""),"",DATE($C2472+2018,$D2472,1))</f>
        <v/>
      </c>
    </row>
    <row r="2473">
      <c r="A2473" s="11" t="n"/>
      <c r="B2473" s="12" t="n"/>
      <c r="C2473" s="12" t="n"/>
      <c r="D2473" s="12" t="n"/>
      <c r="E2473" s="13" t="n"/>
      <c r="F2473" s="12" t="n"/>
      <c r="G2473" s="13" t="n"/>
      <c r="H2473" s="12" t="n"/>
      <c r="I2473" s="12" t="n"/>
      <c r="J2473" s="12" t="n"/>
      <c r="K2473" s="12" t="n"/>
      <c r="L2473" s="11" t="n"/>
      <c r="M2473" s="11" t="n"/>
      <c r="N2473" s="11" t="n"/>
      <c r="O2473" s="11" t="n"/>
      <c r="P2473" s="12" t="n"/>
      <c r="Q2473" s="11" t="n"/>
      <c r="R2473" s="12" t="n"/>
      <c r="S2473" s="11" t="n"/>
      <c r="T2473" s="12" t="n"/>
      <c r="U2473" s="12" t="n"/>
      <c r="V2473" s="14">
        <f>IF($AN2473="",IF($B2473="","",$H2473),IF(INDEX(職員マスタ!$B$6:$B$405,$AN2473)="",$H2473,INDEX(職員マスタ!$B$6:$B$405,$AN2473)))</f>
        <v/>
      </c>
      <c r="W2473" s="14">
        <f>IF($AN2473="",IF($B2473="","",$R2473),IF(INDEX(職員マスタ!$C$6:$C$405,$AN2473)="",$R2473,INDEX(職員マスタ!$C$6:$C$405,$AN2473)))</f>
        <v/>
      </c>
      <c r="X2473" s="14">
        <f>IF($AO2473="","","R"&amp;$C2473&amp;"."&amp;$D2473)</f>
        <v/>
      </c>
      <c r="Y2473" s="15">
        <f>IF($AN2473="","",IF(INDEX(職員マスタ!$K$6:$K$405,$AN2473)="","",INDEX(職員マスタ!$K$6:$K$405,$AN2473)))</f>
        <v/>
      </c>
      <c r="Z2473" s="14">
        <f>IF(OR($E2473="",$Y2473=""),"",IF($E2473&gt;=$Y2473,"×",IF($E2473&gt;=$Y2473*設定!$C$5,"△","○")))</f>
        <v/>
      </c>
      <c r="AA2473" s="15">
        <f>IF($Z2473="","",IF($Z2473="×",0,IF($Z2473="○",ROUNDDOWN($E2473*設定!$C$4,0),ROUNDDOWN($E2473*ROUND((9*$Y2473-9*$E2473)/(10*$E2473),4),0))))</f>
        <v/>
      </c>
      <c r="AB2473" s="13" t="n"/>
      <c r="AC2473" s="15">
        <f>IF($B2473="","",IF($AB2473&lt;&gt;"",$AB2473,IF($AA2473="","",IF($AA2473&lt;=設定!$C$3,0,$AA2473))))</f>
        <v/>
      </c>
      <c r="AD2473" s="14">
        <f>IF($B2473="","",IF(AND($AE2473&lt;&gt;"",$AG2473="",$AJ2473=""),"保留中",IF($AJ2473&lt;&gt;"",IF(N($AC2473)&gt;0,"支給済","不支給"),IF($AC2473="","要確認",IF($AC2473=0,"不支給","未処理")))))</f>
        <v/>
      </c>
      <c r="AE2473" s="12" t="n"/>
      <c r="AF2473" s="11" t="n"/>
      <c r="AG2473" s="11" t="n"/>
      <c r="AH2473" s="11" t="n"/>
      <c r="AI2473" s="14">
        <f>IF(AND($AD2473="保留中",$AF2473&lt;&gt;""),TODAY()-$AF2473,"")</f>
        <v/>
      </c>
      <c r="AJ2473" s="12" t="n"/>
      <c r="AK2473" s="14">
        <f>IF($B2473="","",IF($AO2473="","対象年月が未入力／","")&amp;IF($B2473="","",IF($AN2473="","職員マスタに未登録の職員番号／",IF($Y2473="","標準報酬月額が未登録／","")&amp;IF(AND($AO2473&lt;&gt;"",OR(AND(INDEX(職員マスタ!$G$6:$G$405,$AN2473)&lt;&gt;"",INDEX(職員マスタ!$G$6:$G$405,$AN2473)&gt;EOMONTH($AO2473,0)),AND(INDEX(職員マスタ!$H$6:$H$405,$AN2473)&lt;&gt;"",INDEX(職員マスタ!$H$6:$H$405,$AN2473)&lt;$AO2473))),"対象月が時短期間外／","")&amp;IF(AND(INDEX(職員マスタ!$F$6:$F$405,$AN2473)&lt;&gt;"",$AO2473&lt;&gt;"",INDEX(職員マスタ!$F$6:$F$405,$AN2473)&lt;$AO2473),"対象月に子が2歳到達済／","")&amp;IF(AND($H2473&lt;&gt;"",INDEX(職員マスタ!$B$6:$B$405,$AN2473)&lt;&gt;"",SUBSTITUTE(SUBSTITUTE($H2473," ","")," ","")&lt;&gt;SUBSTITUTE(SUBSTITUTE(INDEX(職員マスタ!$B$6:$B$405,$AN2473)," ","")," ","")),"氏名がマスタと相違／","")&amp;IF(AND($Q2473&lt;&gt;"",INDEX(職員マスタ!$E$6:$E$405,$AN2473)&lt;&gt;"",$Q2473&lt;&gt;INDEX(職員マスタ!$E$6:$E$405,$AN2473)),"子の生年月日がマスタと相違／","")&amp;IF(AND($L2473&lt;&gt;"",INDEX(職員マスタ!$G$6:$G$405,$AN2473)&lt;&gt;"",$L2473&lt;&gt;INDEX(職員マスタ!$G$6:$G$405,$AN2473)),"時短開始日がマスタと相違／","")&amp;IF(AND($M2473&lt;&gt;"",INDEX(職員マスタ!$H$6:$H$405,$AN2473)&lt;&gt;"",$M2473&lt;&gt;INDEX(職員マスタ!$H$6:$H$405,$AN2473)),"時短終了日がマスタと相違／","")))&amp;IF(AND($B2473&lt;&gt;"",$E2473=""),"報酬額が未入力／","")&amp;IF(N($U2473)&gt;0,"申請書に入力エラーが残っています／","")&amp;IF(AND($B2473&lt;&gt;"",$AO2473&lt;&gt;""),IF(COUNTIFS($B$6:$B$3005,$B2473,$C$6:$C$3005,$C2473,$D$6:$D$3005,$D2473)&gt;1,"同じ月の請求が重複しています／",""),"")&amp;IF(AND(N($E2473)&gt;0,$Z2473&lt;&gt;"",$Z2473&lt;&gt;"×",$AC2473=0,$AB2473=""),"計算額が下限以下のため不支給／",""))</f>
        <v/>
      </c>
      <c r="AL2473" s="12" t="n"/>
      <c r="AM2473" s="14">
        <f>IF($AD2473="保留中",COUNTIF($AD$6:$AD2473,"保留中"),"")</f>
        <v/>
      </c>
      <c r="AN2473" s="14">
        <f>IF($AO2473="","",IF(SUMPRODUCT(MAX((職員マスタ!$A$6:$A$405=$B2473)*(((職員マスタ!$G$6:$G$405="")+(職員マスタ!$G$6:$G$405&lt;=EOMONTH($AO2473,0)))&gt;0)*(((職員マスタ!$H$6:$H$405="")+(職員マスタ!$H$6:$H$405&gt;=$AO2473))&gt;0)*(ROW(職員マスタ!$A$6:$A$405)-5)))&gt;0,SUMPRODUCT(MAX((職員マスタ!$A$6:$A$405=$B2473)*(((職員マスタ!$G$6:$G$405="")+(職員マスタ!$G$6:$G$405&lt;=EOMONTH($AO2473,0)))&gt;0)*(((職員マスタ!$H$6:$H$405="")+(職員マスタ!$H$6:$H$405&gt;=$AO2473))&gt;0)*(ROW(職員マスタ!$A$6:$A$405)-5))),IFERROR(MATCH($B2473,職員マスタ!$A$6:$A$405,0),"")))</f>
        <v/>
      </c>
      <c r="AO2473" s="16">
        <f>IF(OR($B2473="",$C2473="",$D2473=""),"",DATE($C2473+2018,$D2473,1))</f>
        <v/>
      </c>
    </row>
    <row r="2474">
      <c r="A2474" s="11" t="n"/>
      <c r="B2474" s="12" t="n"/>
      <c r="C2474" s="12" t="n"/>
      <c r="D2474" s="12" t="n"/>
      <c r="E2474" s="13" t="n"/>
      <c r="F2474" s="12" t="n"/>
      <c r="G2474" s="13" t="n"/>
      <c r="H2474" s="12" t="n"/>
      <c r="I2474" s="12" t="n"/>
      <c r="J2474" s="12" t="n"/>
      <c r="K2474" s="12" t="n"/>
      <c r="L2474" s="11" t="n"/>
      <c r="M2474" s="11" t="n"/>
      <c r="N2474" s="11" t="n"/>
      <c r="O2474" s="11" t="n"/>
      <c r="P2474" s="12" t="n"/>
      <c r="Q2474" s="11" t="n"/>
      <c r="R2474" s="12" t="n"/>
      <c r="S2474" s="11" t="n"/>
      <c r="T2474" s="12" t="n"/>
      <c r="U2474" s="12" t="n"/>
      <c r="V2474" s="14">
        <f>IF($AN2474="",IF($B2474="","",$H2474),IF(INDEX(職員マスタ!$B$6:$B$405,$AN2474)="",$H2474,INDEX(職員マスタ!$B$6:$B$405,$AN2474)))</f>
        <v/>
      </c>
      <c r="W2474" s="14">
        <f>IF($AN2474="",IF($B2474="","",$R2474),IF(INDEX(職員マスタ!$C$6:$C$405,$AN2474)="",$R2474,INDEX(職員マスタ!$C$6:$C$405,$AN2474)))</f>
        <v/>
      </c>
      <c r="X2474" s="14">
        <f>IF($AO2474="","","R"&amp;$C2474&amp;"."&amp;$D2474)</f>
        <v/>
      </c>
      <c r="Y2474" s="15">
        <f>IF($AN2474="","",IF(INDEX(職員マスタ!$K$6:$K$405,$AN2474)="","",INDEX(職員マスタ!$K$6:$K$405,$AN2474)))</f>
        <v/>
      </c>
      <c r="Z2474" s="14">
        <f>IF(OR($E2474="",$Y2474=""),"",IF($E2474&gt;=$Y2474,"×",IF($E2474&gt;=$Y2474*設定!$C$5,"△","○")))</f>
        <v/>
      </c>
      <c r="AA2474" s="15">
        <f>IF($Z2474="","",IF($Z2474="×",0,IF($Z2474="○",ROUNDDOWN($E2474*設定!$C$4,0),ROUNDDOWN($E2474*ROUND((9*$Y2474-9*$E2474)/(10*$E2474),4),0))))</f>
        <v/>
      </c>
      <c r="AB2474" s="13" t="n"/>
      <c r="AC2474" s="15">
        <f>IF($B2474="","",IF($AB2474&lt;&gt;"",$AB2474,IF($AA2474="","",IF($AA2474&lt;=設定!$C$3,0,$AA2474))))</f>
        <v/>
      </c>
      <c r="AD2474" s="14">
        <f>IF($B2474="","",IF(AND($AE2474&lt;&gt;"",$AG2474="",$AJ2474=""),"保留中",IF($AJ2474&lt;&gt;"",IF(N($AC2474)&gt;0,"支給済","不支給"),IF($AC2474="","要確認",IF($AC2474=0,"不支給","未処理")))))</f>
        <v/>
      </c>
      <c r="AE2474" s="12" t="n"/>
      <c r="AF2474" s="11" t="n"/>
      <c r="AG2474" s="11" t="n"/>
      <c r="AH2474" s="11" t="n"/>
      <c r="AI2474" s="14">
        <f>IF(AND($AD2474="保留中",$AF2474&lt;&gt;""),TODAY()-$AF2474,"")</f>
        <v/>
      </c>
      <c r="AJ2474" s="12" t="n"/>
      <c r="AK2474" s="14">
        <f>IF($B2474="","",IF($AO2474="","対象年月が未入力／","")&amp;IF($B2474="","",IF($AN2474="","職員マスタに未登録の職員番号／",IF($Y2474="","標準報酬月額が未登録／","")&amp;IF(AND($AO2474&lt;&gt;"",OR(AND(INDEX(職員マスタ!$G$6:$G$405,$AN2474)&lt;&gt;"",INDEX(職員マスタ!$G$6:$G$405,$AN2474)&gt;EOMONTH($AO2474,0)),AND(INDEX(職員マスタ!$H$6:$H$405,$AN2474)&lt;&gt;"",INDEX(職員マスタ!$H$6:$H$405,$AN2474)&lt;$AO2474))),"対象月が時短期間外／","")&amp;IF(AND(INDEX(職員マスタ!$F$6:$F$405,$AN2474)&lt;&gt;"",$AO2474&lt;&gt;"",INDEX(職員マスタ!$F$6:$F$405,$AN2474)&lt;$AO2474),"対象月に子が2歳到達済／","")&amp;IF(AND($H2474&lt;&gt;"",INDEX(職員マスタ!$B$6:$B$405,$AN2474)&lt;&gt;"",SUBSTITUTE(SUBSTITUTE($H2474," ","")," ","")&lt;&gt;SUBSTITUTE(SUBSTITUTE(INDEX(職員マスタ!$B$6:$B$405,$AN2474)," ","")," ","")),"氏名がマスタと相違／","")&amp;IF(AND($Q2474&lt;&gt;"",INDEX(職員マスタ!$E$6:$E$405,$AN2474)&lt;&gt;"",$Q2474&lt;&gt;INDEX(職員マスタ!$E$6:$E$405,$AN2474)),"子の生年月日がマスタと相違／","")&amp;IF(AND($L2474&lt;&gt;"",INDEX(職員マスタ!$G$6:$G$405,$AN2474)&lt;&gt;"",$L2474&lt;&gt;INDEX(職員マスタ!$G$6:$G$405,$AN2474)),"時短開始日がマスタと相違／","")&amp;IF(AND($M2474&lt;&gt;"",INDEX(職員マスタ!$H$6:$H$405,$AN2474)&lt;&gt;"",$M2474&lt;&gt;INDEX(職員マスタ!$H$6:$H$405,$AN2474)),"時短終了日がマスタと相違／","")))&amp;IF(AND($B2474&lt;&gt;"",$E2474=""),"報酬額が未入力／","")&amp;IF(N($U2474)&gt;0,"申請書に入力エラーが残っています／","")&amp;IF(AND($B2474&lt;&gt;"",$AO2474&lt;&gt;""),IF(COUNTIFS($B$6:$B$3005,$B2474,$C$6:$C$3005,$C2474,$D$6:$D$3005,$D2474)&gt;1,"同じ月の請求が重複しています／",""),"")&amp;IF(AND(N($E2474)&gt;0,$Z2474&lt;&gt;"",$Z2474&lt;&gt;"×",$AC2474=0,$AB2474=""),"計算額が下限以下のため不支給／",""))</f>
        <v/>
      </c>
      <c r="AL2474" s="12" t="n"/>
      <c r="AM2474" s="14">
        <f>IF($AD2474="保留中",COUNTIF($AD$6:$AD2474,"保留中"),"")</f>
        <v/>
      </c>
      <c r="AN2474" s="14">
        <f>IF($AO2474="","",IF(SUMPRODUCT(MAX((職員マスタ!$A$6:$A$405=$B2474)*(((職員マスタ!$G$6:$G$405="")+(職員マスタ!$G$6:$G$405&lt;=EOMONTH($AO2474,0)))&gt;0)*(((職員マスタ!$H$6:$H$405="")+(職員マスタ!$H$6:$H$405&gt;=$AO2474))&gt;0)*(ROW(職員マスタ!$A$6:$A$405)-5)))&gt;0,SUMPRODUCT(MAX((職員マスタ!$A$6:$A$405=$B2474)*(((職員マスタ!$G$6:$G$405="")+(職員マスタ!$G$6:$G$405&lt;=EOMONTH($AO2474,0)))&gt;0)*(((職員マスタ!$H$6:$H$405="")+(職員マスタ!$H$6:$H$405&gt;=$AO2474))&gt;0)*(ROW(職員マスタ!$A$6:$A$405)-5))),IFERROR(MATCH($B2474,職員マスタ!$A$6:$A$405,0),"")))</f>
        <v/>
      </c>
      <c r="AO2474" s="16">
        <f>IF(OR($B2474="",$C2474="",$D2474=""),"",DATE($C2474+2018,$D2474,1))</f>
        <v/>
      </c>
    </row>
    <row r="2475">
      <c r="A2475" s="11" t="n"/>
      <c r="B2475" s="12" t="n"/>
      <c r="C2475" s="12" t="n"/>
      <c r="D2475" s="12" t="n"/>
      <c r="E2475" s="13" t="n"/>
      <c r="F2475" s="12" t="n"/>
      <c r="G2475" s="13" t="n"/>
      <c r="H2475" s="12" t="n"/>
      <c r="I2475" s="12" t="n"/>
      <c r="J2475" s="12" t="n"/>
      <c r="K2475" s="12" t="n"/>
      <c r="L2475" s="11" t="n"/>
      <c r="M2475" s="11" t="n"/>
      <c r="N2475" s="11" t="n"/>
      <c r="O2475" s="11" t="n"/>
      <c r="P2475" s="12" t="n"/>
      <c r="Q2475" s="11" t="n"/>
      <c r="R2475" s="12" t="n"/>
      <c r="S2475" s="11" t="n"/>
      <c r="T2475" s="12" t="n"/>
      <c r="U2475" s="12" t="n"/>
      <c r="V2475" s="14">
        <f>IF($AN2475="",IF($B2475="","",$H2475),IF(INDEX(職員マスタ!$B$6:$B$405,$AN2475)="",$H2475,INDEX(職員マスタ!$B$6:$B$405,$AN2475)))</f>
        <v/>
      </c>
      <c r="W2475" s="14">
        <f>IF($AN2475="",IF($B2475="","",$R2475),IF(INDEX(職員マスタ!$C$6:$C$405,$AN2475)="",$R2475,INDEX(職員マスタ!$C$6:$C$405,$AN2475)))</f>
        <v/>
      </c>
      <c r="X2475" s="14">
        <f>IF($AO2475="","","R"&amp;$C2475&amp;"."&amp;$D2475)</f>
        <v/>
      </c>
      <c r="Y2475" s="15">
        <f>IF($AN2475="","",IF(INDEX(職員マスタ!$K$6:$K$405,$AN2475)="","",INDEX(職員マスタ!$K$6:$K$405,$AN2475)))</f>
        <v/>
      </c>
      <c r="Z2475" s="14">
        <f>IF(OR($E2475="",$Y2475=""),"",IF($E2475&gt;=$Y2475,"×",IF($E2475&gt;=$Y2475*設定!$C$5,"△","○")))</f>
        <v/>
      </c>
      <c r="AA2475" s="15">
        <f>IF($Z2475="","",IF($Z2475="×",0,IF($Z2475="○",ROUNDDOWN($E2475*設定!$C$4,0),ROUNDDOWN($E2475*ROUND((9*$Y2475-9*$E2475)/(10*$E2475),4),0))))</f>
        <v/>
      </c>
      <c r="AB2475" s="13" t="n"/>
      <c r="AC2475" s="15">
        <f>IF($B2475="","",IF($AB2475&lt;&gt;"",$AB2475,IF($AA2475="","",IF($AA2475&lt;=設定!$C$3,0,$AA2475))))</f>
        <v/>
      </c>
      <c r="AD2475" s="14">
        <f>IF($B2475="","",IF(AND($AE2475&lt;&gt;"",$AG2475="",$AJ2475=""),"保留中",IF($AJ2475&lt;&gt;"",IF(N($AC2475)&gt;0,"支給済","不支給"),IF($AC2475="","要確認",IF($AC2475=0,"不支給","未処理")))))</f>
        <v/>
      </c>
      <c r="AE2475" s="12" t="n"/>
      <c r="AF2475" s="11" t="n"/>
      <c r="AG2475" s="11" t="n"/>
      <c r="AH2475" s="11" t="n"/>
      <c r="AI2475" s="14">
        <f>IF(AND($AD2475="保留中",$AF2475&lt;&gt;""),TODAY()-$AF2475,"")</f>
        <v/>
      </c>
      <c r="AJ2475" s="12" t="n"/>
      <c r="AK2475" s="14">
        <f>IF($B2475="","",IF($AO2475="","対象年月が未入力／","")&amp;IF($B2475="","",IF($AN2475="","職員マスタに未登録の職員番号／",IF($Y2475="","標準報酬月額が未登録／","")&amp;IF(AND($AO2475&lt;&gt;"",OR(AND(INDEX(職員マスタ!$G$6:$G$405,$AN2475)&lt;&gt;"",INDEX(職員マスタ!$G$6:$G$405,$AN2475)&gt;EOMONTH($AO2475,0)),AND(INDEX(職員マスタ!$H$6:$H$405,$AN2475)&lt;&gt;"",INDEX(職員マスタ!$H$6:$H$405,$AN2475)&lt;$AO2475))),"対象月が時短期間外／","")&amp;IF(AND(INDEX(職員マスタ!$F$6:$F$405,$AN2475)&lt;&gt;"",$AO2475&lt;&gt;"",INDEX(職員マスタ!$F$6:$F$405,$AN2475)&lt;$AO2475),"対象月に子が2歳到達済／","")&amp;IF(AND($H2475&lt;&gt;"",INDEX(職員マスタ!$B$6:$B$405,$AN2475)&lt;&gt;"",SUBSTITUTE(SUBSTITUTE($H2475," ","")," ","")&lt;&gt;SUBSTITUTE(SUBSTITUTE(INDEX(職員マスタ!$B$6:$B$405,$AN2475)," ","")," ","")),"氏名がマスタと相違／","")&amp;IF(AND($Q2475&lt;&gt;"",INDEX(職員マスタ!$E$6:$E$405,$AN2475)&lt;&gt;"",$Q2475&lt;&gt;INDEX(職員マスタ!$E$6:$E$405,$AN2475)),"子の生年月日がマスタと相違／","")&amp;IF(AND($L2475&lt;&gt;"",INDEX(職員マスタ!$G$6:$G$405,$AN2475)&lt;&gt;"",$L2475&lt;&gt;INDEX(職員マスタ!$G$6:$G$405,$AN2475)),"時短開始日がマスタと相違／","")&amp;IF(AND($M2475&lt;&gt;"",INDEX(職員マスタ!$H$6:$H$405,$AN2475)&lt;&gt;"",$M2475&lt;&gt;INDEX(職員マスタ!$H$6:$H$405,$AN2475)),"時短終了日がマスタと相違／","")))&amp;IF(AND($B2475&lt;&gt;"",$E2475=""),"報酬額が未入力／","")&amp;IF(N($U2475)&gt;0,"申請書に入力エラーが残っています／","")&amp;IF(AND($B2475&lt;&gt;"",$AO2475&lt;&gt;""),IF(COUNTIFS($B$6:$B$3005,$B2475,$C$6:$C$3005,$C2475,$D$6:$D$3005,$D2475)&gt;1,"同じ月の請求が重複しています／",""),"")&amp;IF(AND(N($E2475)&gt;0,$Z2475&lt;&gt;"",$Z2475&lt;&gt;"×",$AC2475=0,$AB2475=""),"計算額が下限以下のため不支給／",""))</f>
        <v/>
      </c>
      <c r="AL2475" s="12" t="n"/>
      <c r="AM2475" s="14">
        <f>IF($AD2475="保留中",COUNTIF($AD$6:$AD2475,"保留中"),"")</f>
        <v/>
      </c>
      <c r="AN2475" s="14">
        <f>IF($AO2475="","",IF(SUMPRODUCT(MAX((職員マスタ!$A$6:$A$405=$B2475)*(((職員マスタ!$G$6:$G$405="")+(職員マスタ!$G$6:$G$405&lt;=EOMONTH($AO2475,0)))&gt;0)*(((職員マスタ!$H$6:$H$405="")+(職員マスタ!$H$6:$H$405&gt;=$AO2475))&gt;0)*(ROW(職員マスタ!$A$6:$A$405)-5)))&gt;0,SUMPRODUCT(MAX((職員マスタ!$A$6:$A$405=$B2475)*(((職員マスタ!$G$6:$G$405="")+(職員マスタ!$G$6:$G$405&lt;=EOMONTH($AO2475,0)))&gt;0)*(((職員マスタ!$H$6:$H$405="")+(職員マスタ!$H$6:$H$405&gt;=$AO2475))&gt;0)*(ROW(職員マスタ!$A$6:$A$405)-5))),IFERROR(MATCH($B2475,職員マスタ!$A$6:$A$405,0),"")))</f>
        <v/>
      </c>
      <c r="AO2475" s="16">
        <f>IF(OR($B2475="",$C2475="",$D2475=""),"",DATE($C2475+2018,$D2475,1))</f>
        <v/>
      </c>
    </row>
    <row r="2476">
      <c r="A2476" s="11" t="n"/>
      <c r="B2476" s="12" t="n"/>
      <c r="C2476" s="12" t="n"/>
      <c r="D2476" s="12" t="n"/>
      <c r="E2476" s="13" t="n"/>
      <c r="F2476" s="12" t="n"/>
      <c r="G2476" s="13" t="n"/>
      <c r="H2476" s="12" t="n"/>
      <c r="I2476" s="12" t="n"/>
      <c r="J2476" s="12" t="n"/>
      <c r="K2476" s="12" t="n"/>
      <c r="L2476" s="11" t="n"/>
      <c r="M2476" s="11" t="n"/>
      <c r="N2476" s="11" t="n"/>
      <c r="O2476" s="11" t="n"/>
      <c r="P2476" s="12" t="n"/>
      <c r="Q2476" s="11" t="n"/>
      <c r="R2476" s="12" t="n"/>
      <c r="S2476" s="11" t="n"/>
      <c r="T2476" s="12" t="n"/>
      <c r="U2476" s="12" t="n"/>
      <c r="V2476" s="14">
        <f>IF($AN2476="",IF($B2476="","",$H2476),IF(INDEX(職員マスタ!$B$6:$B$405,$AN2476)="",$H2476,INDEX(職員マスタ!$B$6:$B$405,$AN2476)))</f>
        <v/>
      </c>
      <c r="W2476" s="14">
        <f>IF($AN2476="",IF($B2476="","",$R2476),IF(INDEX(職員マスタ!$C$6:$C$405,$AN2476)="",$R2476,INDEX(職員マスタ!$C$6:$C$405,$AN2476)))</f>
        <v/>
      </c>
      <c r="X2476" s="14">
        <f>IF($AO2476="","","R"&amp;$C2476&amp;"."&amp;$D2476)</f>
        <v/>
      </c>
      <c r="Y2476" s="15">
        <f>IF($AN2476="","",IF(INDEX(職員マスタ!$K$6:$K$405,$AN2476)="","",INDEX(職員マスタ!$K$6:$K$405,$AN2476)))</f>
        <v/>
      </c>
      <c r="Z2476" s="14">
        <f>IF(OR($E2476="",$Y2476=""),"",IF($E2476&gt;=$Y2476,"×",IF($E2476&gt;=$Y2476*設定!$C$5,"△","○")))</f>
        <v/>
      </c>
      <c r="AA2476" s="15">
        <f>IF($Z2476="","",IF($Z2476="×",0,IF($Z2476="○",ROUNDDOWN($E2476*設定!$C$4,0),ROUNDDOWN($E2476*ROUND((9*$Y2476-9*$E2476)/(10*$E2476),4),0))))</f>
        <v/>
      </c>
      <c r="AB2476" s="13" t="n"/>
      <c r="AC2476" s="15">
        <f>IF($B2476="","",IF($AB2476&lt;&gt;"",$AB2476,IF($AA2476="","",IF($AA2476&lt;=設定!$C$3,0,$AA2476))))</f>
        <v/>
      </c>
      <c r="AD2476" s="14">
        <f>IF($B2476="","",IF(AND($AE2476&lt;&gt;"",$AG2476="",$AJ2476=""),"保留中",IF($AJ2476&lt;&gt;"",IF(N($AC2476)&gt;0,"支給済","不支給"),IF($AC2476="","要確認",IF($AC2476=0,"不支給","未処理")))))</f>
        <v/>
      </c>
      <c r="AE2476" s="12" t="n"/>
      <c r="AF2476" s="11" t="n"/>
      <c r="AG2476" s="11" t="n"/>
      <c r="AH2476" s="11" t="n"/>
      <c r="AI2476" s="14">
        <f>IF(AND($AD2476="保留中",$AF2476&lt;&gt;""),TODAY()-$AF2476,"")</f>
        <v/>
      </c>
      <c r="AJ2476" s="12" t="n"/>
      <c r="AK2476" s="14">
        <f>IF($B2476="","",IF($AO2476="","対象年月が未入力／","")&amp;IF($B2476="","",IF($AN2476="","職員マスタに未登録の職員番号／",IF($Y2476="","標準報酬月額が未登録／","")&amp;IF(AND($AO2476&lt;&gt;"",OR(AND(INDEX(職員マスタ!$G$6:$G$405,$AN2476)&lt;&gt;"",INDEX(職員マスタ!$G$6:$G$405,$AN2476)&gt;EOMONTH($AO2476,0)),AND(INDEX(職員マスタ!$H$6:$H$405,$AN2476)&lt;&gt;"",INDEX(職員マスタ!$H$6:$H$405,$AN2476)&lt;$AO2476))),"対象月が時短期間外／","")&amp;IF(AND(INDEX(職員マスタ!$F$6:$F$405,$AN2476)&lt;&gt;"",$AO2476&lt;&gt;"",INDEX(職員マスタ!$F$6:$F$405,$AN2476)&lt;$AO2476),"対象月に子が2歳到達済／","")&amp;IF(AND($H2476&lt;&gt;"",INDEX(職員マスタ!$B$6:$B$405,$AN2476)&lt;&gt;"",SUBSTITUTE(SUBSTITUTE($H2476," ","")," ","")&lt;&gt;SUBSTITUTE(SUBSTITUTE(INDEX(職員マスタ!$B$6:$B$405,$AN2476)," ","")," ","")),"氏名がマスタと相違／","")&amp;IF(AND($Q2476&lt;&gt;"",INDEX(職員マスタ!$E$6:$E$405,$AN2476)&lt;&gt;"",$Q2476&lt;&gt;INDEX(職員マスタ!$E$6:$E$405,$AN2476)),"子の生年月日がマスタと相違／","")&amp;IF(AND($L2476&lt;&gt;"",INDEX(職員マスタ!$G$6:$G$405,$AN2476)&lt;&gt;"",$L2476&lt;&gt;INDEX(職員マスタ!$G$6:$G$405,$AN2476)),"時短開始日がマスタと相違／","")&amp;IF(AND($M2476&lt;&gt;"",INDEX(職員マスタ!$H$6:$H$405,$AN2476)&lt;&gt;"",$M2476&lt;&gt;INDEX(職員マスタ!$H$6:$H$405,$AN2476)),"時短終了日がマスタと相違／","")))&amp;IF(AND($B2476&lt;&gt;"",$E2476=""),"報酬額が未入力／","")&amp;IF(N($U2476)&gt;0,"申請書に入力エラーが残っています／","")&amp;IF(AND($B2476&lt;&gt;"",$AO2476&lt;&gt;""),IF(COUNTIFS($B$6:$B$3005,$B2476,$C$6:$C$3005,$C2476,$D$6:$D$3005,$D2476)&gt;1,"同じ月の請求が重複しています／",""),"")&amp;IF(AND(N($E2476)&gt;0,$Z2476&lt;&gt;"",$Z2476&lt;&gt;"×",$AC2476=0,$AB2476=""),"計算額が下限以下のため不支給／",""))</f>
        <v/>
      </c>
      <c r="AL2476" s="12" t="n"/>
      <c r="AM2476" s="14">
        <f>IF($AD2476="保留中",COUNTIF($AD$6:$AD2476,"保留中"),"")</f>
        <v/>
      </c>
      <c r="AN2476" s="14">
        <f>IF($AO2476="","",IF(SUMPRODUCT(MAX((職員マスタ!$A$6:$A$405=$B2476)*(((職員マスタ!$G$6:$G$405="")+(職員マスタ!$G$6:$G$405&lt;=EOMONTH($AO2476,0)))&gt;0)*(((職員マスタ!$H$6:$H$405="")+(職員マスタ!$H$6:$H$405&gt;=$AO2476))&gt;0)*(ROW(職員マスタ!$A$6:$A$405)-5)))&gt;0,SUMPRODUCT(MAX((職員マスタ!$A$6:$A$405=$B2476)*(((職員マスタ!$G$6:$G$405="")+(職員マスタ!$G$6:$G$405&lt;=EOMONTH($AO2476,0)))&gt;0)*(((職員マスタ!$H$6:$H$405="")+(職員マスタ!$H$6:$H$405&gt;=$AO2476))&gt;0)*(ROW(職員マスタ!$A$6:$A$405)-5))),IFERROR(MATCH($B2476,職員マスタ!$A$6:$A$405,0),"")))</f>
        <v/>
      </c>
      <c r="AO2476" s="16">
        <f>IF(OR($B2476="",$C2476="",$D2476=""),"",DATE($C2476+2018,$D2476,1))</f>
        <v/>
      </c>
    </row>
    <row r="2477">
      <c r="A2477" s="11" t="n"/>
      <c r="B2477" s="12" t="n"/>
      <c r="C2477" s="12" t="n"/>
      <c r="D2477" s="12" t="n"/>
      <c r="E2477" s="13" t="n"/>
      <c r="F2477" s="12" t="n"/>
      <c r="G2477" s="13" t="n"/>
      <c r="H2477" s="12" t="n"/>
      <c r="I2477" s="12" t="n"/>
      <c r="J2477" s="12" t="n"/>
      <c r="K2477" s="12" t="n"/>
      <c r="L2477" s="11" t="n"/>
      <c r="M2477" s="11" t="n"/>
      <c r="N2477" s="11" t="n"/>
      <c r="O2477" s="11" t="n"/>
      <c r="P2477" s="12" t="n"/>
      <c r="Q2477" s="11" t="n"/>
      <c r="R2477" s="12" t="n"/>
      <c r="S2477" s="11" t="n"/>
      <c r="T2477" s="12" t="n"/>
      <c r="U2477" s="12" t="n"/>
      <c r="V2477" s="14">
        <f>IF($AN2477="",IF($B2477="","",$H2477),IF(INDEX(職員マスタ!$B$6:$B$405,$AN2477)="",$H2477,INDEX(職員マスタ!$B$6:$B$405,$AN2477)))</f>
        <v/>
      </c>
      <c r="W2477" s="14">
        <f>IF($AN2477="",IF($B2477="","",$R2477),IF(INDEX(職員マスタ!$C$6:$C$405,$AN2477)="",$R2477,INDEX(職員マスタ!$C$6:$C$405,$AN2477)))</f>
        <v/>
      </c>
      <c r="X2477" s="14">
        <f>IF($AO2477="","","R"&amp;$C2477&amp;"."&amp;$D2477)</f>
        <v/>
      </c>
      <c r="Y2477" s="15">
        <f>IF($AN2477="","",IF(INDEX(職員マスタ!$K$6:$K$405,$AN2477)="","",INDEX(職員マスタ!$K$6:$K$405,$AN2477)))</f>
        <v/>
      </c>
      <c r="Z2477" s="14">
        <f>IF(OR($E2477="",$Y2477=""),"",IF($E2477&gt;=$Y2477,"×",IF($E2477&gt;=$Y2477*設定!$C$5,"△","○")))</f>
        <v/>
      </c>
      <c r="AA2477" s="15">
        <f>IF($Z2477="","",IF($Z2477="×",0,IF($Z2477="○",ROUNDDOWN($E2477*設定!$C$4,0),ROUNDDOWN($E2477*ROUND((9*$Y2477-9*$E2477)/(10*$E2477),4),0))))</f>
        <v/>
      </c>
      <c r="AB2477" s="13" t="n"/>
      <c r="AC2477" s="15">
        <f>IF($B2477="","",IF($AB2477&lt;&gt;"",$AB2477,IF($AA2477="","",IF($AA2477&lt;=設定!$C$3,0,$AA2477))))</f>
        <v/>
      </c>
      <c r="AD2477" s="14">
        <f>IF($B2477="","",IF(AND($AE2477&lt;&gt;"",$AG2477="",$AJ2477=""),"保留中",IF($AJ2477&lt;&gt;"",IF(N($AC2477)&gt;0,"支給済","不支給"),IF($AC2477="","要確認",IF($AC2477=0,"不支給","未処理")))))</f>
        <v/>
      </c>
      <c r="AE2477" s="12" t="n"/>
      <c r="AF2477" s="11" t="n"/>
      <c r="AG2477" s="11" t="n"/>
      <c r="AH2477" s="11" t="n"/>
      <c r="AI2477" s="14">
        <f>IF(AND($AD2477="保留中",$AF2477&lt;&gt;""),TODAY()-$AF2477,"")</f>
        <v/>
      </c>
      <c r="AJ2477" s="12" t="n"/>
      <c r="AK2477" s="14">
        <f>IF($B2477="","",IF($AO2477="","対象年月が未入力／","")&amp;IF($B2477="","",IF($AN2477="","職員マスタに未登録の職員番号／",IF($Y2477="","標準報酬月額が未登録／","")&amp;IF(AND($AO2477&lt;&gt;"",OR(AND(INDEX(職員マスタ!$G$6:$G$405,$AN2477)&lt;&gt;"",INDEX(職員マスタ!$G$6:$G$405,$AN2477)&gt;EOMONTH($AO2477,0)),AND(INDEX(職員マスタ!$H$6:$H$405,$AN2477)&lt;&gt;"",INDEX(職員マスタ!$H$6:$H$405,$AN2477)&lt;$AO2477))),"対象月が時短期間外／","")&amp;IF(AND(INDEX(職員マスタ!$F$6:$F$405,$AN2477)&lt;&gt;"",$AO2477&lt;&gt;"",INDEX(職員マスタ!$F$6:$F$405,$AN2477)&lt;$AO2477),"対象月に子が2歳到達済／","")&amp;IF(AND($H2477&lt;&gt;"",INDEX(職員マスタ!$B$6:$B$405,$AN2477)&lt;&gt;"",SUBSTITUTE(SUBSTITUTE($H2477," ","")," ","")&lt;&gt;SUBSTITUTE(SUBSTITUTE(INDEX(職員マスタ!$B$6:$B$405,$AN2477)," ","")," ","")),"氏名がマスタと相違／","")&amp;IF(AND($Q2477&lt;&gt;"",INDEX(職員マスタ!$E$6:$E$405,$AN2477)&lt;&gt;"",$Q2477&lt;&gt;INDEX(職員マスタ!$E$6:$E$405,$AN2477)),"子の生年月日がマスタと相違／","")&amp;IF(AND($L2477&lt;&gt;"",INDEX(職員マスタ!$G$6:$G$405,$AN2477)&lt;&gt;"",$L2477&lt;&gt;INDEX(職員マスタ!$G$6:$G$405,$AN2477)),"時短開始日がマスタと相違／","")&amp;IF(AND($M2477&lt;&gt;"",INDEX(職員マスタ!$H$6:$H$405,$AN2477)&lt;&gt;"",$M2477&lt;&gt;INDEX(職員マスタ!$H$6:$H$405,$AN2477)),"時短終了日がマスタと相違／","")))&amp;IF(AND($B2477&lt;&gt;"",$E2477=""),"報酬額が未入力／","")&amp;IF(N($U2477)&gt;0,"申請書に入力エラーが残っています／","")&amp;IF(AND($B2477&lt;&gt;"",$AO2477&lt;&gt;""),IF(COUNTIFS($B$6:$B$3005,$B2477,$C$6:$C$3005,$C2477,$D$6:$D$3005,$D2477)&gt;1,"同じ月の請求が重複しています／",""),"")&amp;IF(AND(N($E2477)&gt;0,$Z2477&lt;&gt;"",$Z2477&lt;&gt;"×",$AC2477=0,$AB2477=""),"計算額が下限以下のため不支給／",""))</f>
        <v/>
      </c>
      <c r="AL2477" s="12" t="n"/>
      <c r="AM2477" s="14">
        <f>IF($AD2477="保留中",COUNTIF($AD$6:$AD2477,"保留中"),"")</f>
        <v/>
      </c>
      <c r="AN2477" s="14">
        <f>IF($AO2477="","",IF(SUMPRODUCT(MAX((職員マスタ!$A$6:$A$405=$B2477)*(((職員マスタ!$G$6:$G$405="")+(職員マスタ!$G$6:$G$405&lt;=EOMONTH($AO2477,0)))&gt;0)*(((職員マスタ!$H$6:$H$405="")+(職員マスタ!$H$6:$H$405&gt;=$AO2477))&gt;0)*(ROW(職員マスタ!$A$6:$A$405)-5)))&gt;0,SUMPRODUCT(MAX((職員マスタ!$A$6:$A$405=$B2477)*(((職員マスタ!$G$6:$G$405="")+(職員マスタ!$G$6:$G$405&lt;=EOMONTH($AO2477,0)))&gt;0)*(((職員マスタ!$H$6:$H$405="")+(職員マスタ!$H$6:$H$405&gt;=$AO2477))&gt;0)*(ROW(職員マスタ!$A$6:$A$405)-5))),IFERROR(MATCH($B2477,職員マスタ!$A$6:$A$405,0),"")))</f>
        <v/>
      </c>
      <c r="AO2477" s="16">
        <f>IF(OR($B2477="",$C2477="",$D2477=""),"",DATE($C2477+2018,$D2477,1))</f>
        <v/>
      </c>
    </row>
    <row r="2478">
      <c r="A2478" s="11" t="n"/>
      <c r="B2478" s="12" t="n"/>
      <c r="C2478" s="12" t="n"/>
      <c r="D2478" s="12" t="n"/>
      <c r="E2478" s="13" t="n"/>
      <c r="F2478" s="12" t="n"/>
      <c r="G2478" s="13" t="n"/>
      <c r="H2478" s="12" t="n"/>
      <c r="I2478" s="12" t="n"/>
      <c r="J2478" s="12" t="n"/>
      <c r="K2478" s="12" t="n"/>
      <c r="L2478" s="11" t="n"/>
      <c r="M2478" s="11" t="n"/>
      <c r="N2478" s="11" t="n"/>
      <c r="O2478" s="11" t="n"/>
      <c r="P2478" s="12" t="n"/>
      <c r="Q2478" s="11" t="n"/>
      <c r="R2478" s="12" t="n"/>
      <c r="S2478" s="11" t="n"/>
      <c r="T2478" s="12" t="n"/>
      <c r="U2478" s="12" t="n"/>
      <c r="V2478" s="14">
        <f>IF($AN2478="",IF($B2478="","",$H2478),IF(INDEX(職員マスタ!$B$6:$B$405,$AN2478)="",$H2478,INDEX(職員マスタ!$B$6:$B$405,$AN2478)))</f>
        <v/>
      </c>
      <c r="W2478" s="14">
        <f>IF($AN2478="",IF($B2478="","",$R2478),IF(INDEX(職員マスタ!$C$6:$C$405,$AN2478)="",$R2478,INDEX(職員マスタ!$C$6:$C$405,$AN2478)))</f>
        <v/>
      </c>
      <c r="X2478" s="14">
        <f>IF($AO2478="","","R"&amp;$C2478&amp;"."&amp;$D2478)</f>
        <v/>
      </c>
      <c r="Y2478" s="15">
        <f>IF($AN2478="","",IF(INDEX(職員マスタ!$K$6:$K$405,$AN2478)="","",INDEX(職員マスタ!$K$6:$K$405,$AN2478)))</f>
        <v/>
      </c>
      <c r="Z2478" s="14">
        <f>IF(OR($E2478="",$Y2478=""),"",IF($E2478&gt;=$Y2478,"×",IF($E2478&gt;=$Y2478*設定!$C$5,"△","○")))</f>
        <v/>
      </c>
      <c r="AA2478" s="15">
        <f>IF($Z2478="","",IF($Z2478="×",0,IF($Z2478="○",ROUNDDOWN($E2478*設定!$C$4,0),ROUNDDOWN($E2478*ROUND((9*$Y2478-9*$E2478)/(10*$E2478),4),0))))</f>
        <v/>
      </c>
      <c r="AB2478" s="13" t="n"/>
      <c r="AC2478" s="15">
        <f>IF($B2478="","",IF($AB2478&lt;&gt;"",$AB2478,IF($AA2478="","",IF($AA2478&lt;=設定!$C$3,0,$AA2478))))</f>
        <v/>
      </c>
      <c r="AD2478" s="14">
        <f>IF($B2478="","",IF(AND($AE2478&lt;&gt;"",$AG2478="",$AJ2478=""),"保留中",IF($AJ2478&lt;&gt;"",IF(N($AC2478)&gt;0,"支給済","不支給"),IF($AC2478="","要確認",IF($AC2478=0,"不支給","未処理")))))</f>
        <v/>
      </c>
      <c r="AE2478" s="12" t="n"/>
      <c r="AF2478" s="11" t="n"/>
      <c r="AG2478" s="11" t="n"/>
      <c r="AH2478" s="11" t="n"/>
      <c r="AI2478" s="14">
        <f>IF(AND($AD2478="保留中",$AF2478&lt;&gt;""),TODAY()-$AF2478,"")</f>
        <v/>
      </c>
      <c r="AJ2478" s="12" t="n"/>
      <c r="AK2478" s="14">
        <f>IF($B2478="","",IF($AO2478="","対象年月が未入力／","")&amp;IF($B2478="","",IF($AN2478="","職員マスタに未登録の職員番号／",IF($Y2478="","標準報酬月額が未登録／","")&amp;IF(AND($AO2478&lt;&gt;"",OR(AND(INDEX(職員マスタ!$G$6:$G$405,$AN2478)&lt;&gt;"",INDEX(職員マスタ!$G$6:$G$405,$AN2478)&gt;EOMONTH($AO2478,0)),AND(INDEX(職員マスタ!$H$6:$H$405,$AN2478)&lt;&gt;"",INDEX(職員マスタ!$H$6:$H$405,$AN2478)&lt;$AO2478))),"対象月が時短期間外／","")&amp;IF(AND(INDEX(職員マスタ!$F$6:$F$405,$AN2478)&lt;&gt;"",$AO2478&lt;&gt;"",INDEX(職員マスタ!$F$6:$F$405,$AN2478)&lt;$AO2478),"対象月に子が2歳到達済／","")&amp;IF(AND($H2478&lt;&gt;"",INDEX(職員マスタ!$B$6:$B$405,$AN2478)&lt;&gt;"",SUBSTITUTE(SUBSTITUTE($H2478," ","")," ","")&lt;&gt;SUBSTITUTE(SUBSTITUTE(INDEX(職員マスタ!$B$6:$B$405,$AN2478)," ","")," ","")),"氏名がマスタと相違／","")&amp;IF(AND($Q2478&lt;&gt;"",INDEX(職員マスタ!$E$6:$E$405,$AN2478)&lt;&gt;"",$Q2478&lt;&gt;INDEX(職員マスタ!$E$6:$E$405,$AN2478)),"子の生年月日がマスタと相違／","")&amp;IF(AND($L2478&lt;&gt;"",INDEX(職員マスタ!$G$6:$G$405,$AN2478)&lt;&gt;"",$L2478&lt;&gt;INDEX(職員マスタ!$G$6:$G$405,$AN2478)),"時短開始日がマスタと相違／","")&amp;IF(AND($M2478&lt;&gt;"",INDEX(職員マスタ!$H$6:$H$405,$AN2478)&lt;&gt;"",$M2478&lt;&gt;INDEX(職員マスタ!$H$6:$H$405,$AN2478)),"時短終了日がマスタと相違／","")))&amp;IF(AND($B2478&lt;&gt;"",$E2478=""),"報酬額が未入力／","")&amp;IF(N($U2478)&gt;0,"申請書に入力エラーが残っています／","")&amp;IF(AND($B2478&lt;&gt;"",$AO2478&lt;&gt;""),IF(COUNTIFS($B$6:$B$3005,$B2478,$C$6:$C$3005,$C2478,$D$6:$D$3005,$D2478)&gt;1,"同じ月の請求が重複しています／",""),"")&amp;IF(AND(N($E2478)&gt;0,$Z2478&lt;&gt;"",$Z2478&lt;&gt;"×",$AC2478=0,$AB2478=""),"計算額が下限以下のため不支給／",""))</f>
        <v/>
      </c>
      <c r="AL2478" s="12" t="n"/>
      <c r="AM2478" s="14">
        <f>IF($AD2478="保留中",COUNTIF($AD$6:$AD2478,"保留中"),"")</f>
        <v/>
      </c>
      <c r="AN2478" s="14">
        <f>IF($AO2478="","",IF(SUMPRODUCT(MAX((職員マスタ!$A$6:$A$405=$B2478)*(((職員マスタ!$G$6:$G$405="")+(職員マスタ!$G$6:$G$405&lt;=EOMONTH($AO2478,0)))&gt;0)*(((職員マスタ!$H$6:$H$405="")+(職員マスタ!$H$6:$H$405&gt;=$AO2478))&gt;0)*(ROW(職員マスタ!$A$6:$A$405)-5)))&gt;0,SUMPRODUCT(MAX((職員マスタ!$A$6:$A$405=$B2478)*(((職員マスタ!$G$6:$G$405="")+(職員マスタ!$G$6:$G$405&lt;=EOMONTH($AO2478,0)))&gt;0)*(((職員マスタ!$H$6:$H$405="")+(職員マスタ!$H$6:$H$405&gt;=$AO2478))&gt;0)*(ROW(職員マスタ!$A$6:$A$405)-5))),IFERROR(MATCH($B2478,職員マスタ!$A$6:$A$405,0),"")))</f>
        <v/>
      </c>
      <c r="AO2478" s="16">
        <f>IF(OR($B2478="",$C2478="",$D2478=""),"",DATE($C2478+2018,$D2478,1))</f>
        <v/>
      </c>
    </row>
    <row r="2479">
      <c r="A2479" s="11" t="n"/>
      <c r="B2479" s="12" t="n"/>
      <c r="C2479" s="12" t="n"/>
      <c r="D2479" s="12" t="n"/>
      <c r="E2479" s="13" t="n"/>
      <c r="F2479" s="12" t="n"/>
      <c r="G2479" s="13" t="n"/>
      <c r="H2479" s="12" t="n"/>
      <c r="I2479" s="12" t="n"/>
      <c r="J2479" s="12" t="n"/>
      <c r="K2479" s="12" t="n"/>
      <c r="L2479" s="11" t="n"/>
      <c r="M2479" s="11" t="n"/>
      <c r="N2479" s="11" t="n"/>
      <c r="O2479" s="11" t="n"/>
      <c r="P2479" s="12" t="n"/>
      <c r="Q2479" s="11" t="n"/>
      <c r="R2479" s="12" t="n"/>
      <c r="S2479" s="11" t="n"/>
      <c r="T2479" s="12" t="n"/>
      <c r="U2479" s="12" t="n"/>
      <c r="V2479" s="14">
        <f>IF($AN2479="",IF($B2479="","",$H2479),IF(INDEX(職員マスタ!$B$6:$B$405,$AN2479)="",$H2479,INDEX(職員マスタ!$B$6:$B$405,$AN2479)))</f>
        <v/>
      </c>
      <c r="W2479" s="14">
        <f>IF($AN2479="",IF($B2479="","",$R2479),IF(INDEX(職員マスタ!$C$6:$C$405,$AN2479)="",$R2479,INDEX(職員マスタ!$C$6:$C$405,$AN2479)))</f>
        <v/>
      </c>
      <c r="X2479" s="14">
        <f>IF($AO2479="","","R"&amp;$C2479&amp;"."&amp;$D2479)</f>
        <v/>
      </c>
      <c r="Y2479" s="15">
        <f>IF($AN2479="","",IF(INDEX(職員マスタ!$K$6:$K$405,$AN2479)="","",INDEX(職員マスタ!$K$6:$K$405,$AN2479)))</f>
        <v/>
      </c>
      <c r="Z2479" s="14">
        <f>IF(OR($E2479="",$Y2479=""),"",IF($E2479&gt;=$Y2479,"×",IF($E2479&gt;=$Y2479*設定!$C$5,"△","○")))</f>
        <v/>
      </c>
      <c r="AA2479" s="15">
        <f>IF($Z2479="","",IF($Z2479="×",0,IF($Z2479="○",ROUNDDOWN($E2479*設定!$C$4,0),ROUNDDOWN($E2479*ROUND((9*$Y2479-9*$E2479)/(10*$E2479),4),0))))</f>
        <v/>
      </c>
      <c r="AB2479" s="13" t="n"/>
      <c r="AC2479" s="15">
        <f>IF($B2479="","",IF($AB2479&lt;&gt;"",$AB2479,IF($AA2479="","",IF($AA2479&lt;=設定!$C$3,0,$AA2479))))</f>
        <v/>
      </c>
      <c r="AD2479" s="14">
        <f>IF($B2479="","",IF(AND($AE2479&lt;&gt;"",$AG2479="",$AJ2479=""),"保留中",IF($AJ2479&lt;&gt;"",IF(N($AC2479)&gt;0,"支給済","不支給"),IF($AC2479="","要確認",IF($AC2479=0,"不支給","未処理")))))</f>
        <v/>
      </c>
      <c r="AE2479" s="12" t="n"/>
      <c r="AF2479" s="11" t="n"/>
      <c r="AG2479" s="11" t="n"/>
      <c r="AH2479" s="11" t="n"/>
      <c r="AI2479" s="14">
        <f>IF(AND($AD2479="保留中",$AF2479&lt;&gt;""),TODAY()-$AF2479,"")</f>
        <v/>
      </c>
      <c r="AJ2479" s="12" t="n"/>
      <c r="AK2479" s="14">
        <f>IF($B2479="","",IF($AO2479="","対象年月が未入力／","")&amp;IF($B2479="","",IF($AN2479="","職員マスタに未登録の職員番号／",IF($Y2479="","標準報酬月額が未登録／","")&amp;IF(AND($AO2479&lt;&gt;"",OR(AND(INDEX(職員マスタ!$G$6:$G$405,$AN2479)&lt;&gt;"",INDEX(職員マスタ!$G$6:$G$405,$AN2479)&gt;EOMONTH($AO2479,0)),AND(INDEX(職員マスタ!$H$6:$H$405,$AN2479)&lt;&gt;"",INDEX(職員マスタ!$H$6:$H$405,$AN2479)&lt;$AO2479))),"対象月が時短期間外／","")&amp;IF(AND(INDEX(職員マスタ!$F$6:$F$405,$AN2479)&lt;&gt;"",$AO2479&lt;&gt;"",INDEX(職員マスタ!$F$6:$F$405,$AN2479)&lt;$AO2479),"対象月に子が2歳到達済／","")&amp;IF(AND($H2479&lt;&gt;"",INDEX(職員マスタ!$B$6:$B$405,$AN2479)&lt;&gt;"",SUBSTITUTE(SUBSTITUTE($H2479," ","")," ","")&lt;&gt;SUBSTITUTE(SUBSTITUTE(INDEX(職員マスタ!$B$6:$B$405,$AN2479)," ","")," ","")),"氏名がマスタと相違／","")&amp;IF(AND($Q2479&lt;&gt;"",INDEX(職員マスタ!$E$6:$E$405,$AN2479)&lt;&gt;"",$Q2479&lt;&gt;INDEX(職員マスタ!$E$6:$E$405,$AN2479)),"子の生年月日がマスタと相違／","")&amp;IF(AND($L2479&lt;&gt;"",INDEX(職員マスタ!$G$6:$G$405,$AN2479)&lt;&gt;"",$L2479&lt;&gt;INDEX(職員マスタ!$G$6:$G$405,$AN2479)),"時短開始日がマスタと相違／","")&amp;IF(AND($M2479&lt;&gt;"",INDEX(職員マスタ!$H$6:$H$405,$AN2479)&lt;&gt;"",$M2479&lt;&gt;INDEX(職員マスタ!$H$6:$H$405,$AN2479)),"時短終了日がマスタと相違／","")))&amp;IF(AND($B2479&lt;&gt;"",$E2479=""),"報酬額が未入力／","")&amp;IF(N($U2479)&gt;0,"申請書に入力エラーが残っています／","")&amp;IF(AND($B2479&lt;&gt;"",$AO2479&lt;&gt;""),IF(COUNTIFS($B$6:$B$3005,$B2479,$C$6:$C$3005,$C2479,$D$6:$D$3005,$D2479)&gt;1,"同じ月の請求が重複しています／",""),"")&amp;IF(AND(N($E2479)&gt;0,$Z2479&lt;&gt;"",$Z2479&lt;&gt;"×",$AC2479=0,$AB2479=""),"計算額が下限以下のため不支給／",""))</f>
        <v/>
      </c>
      <c r="AL2479" s="12" t="n"/>
      <c r="AM2479" s="14">
        <f>IF($AD2479="保留中",COUNTIF($AD$6:$AD2479,"保留中"),"")</f>
        <v/>
      </c>
      <c r="AN2479" s="14">
        <f>IF($AO2479="","",IF(SUMPRODUCT(MAX((職員マスタ!$A$6:$A$405=$B2479)*(((職員マスタ!$G$6:$G$405="")+(職員マスタ!$G$6:$G$405&lt;=EOMONTH($AO2479,0)))&gt;0)*(((職員マスタ!$H$6:$H$405="")+(職員マスタ!$H$6:$H$405&gt;=$AO2479))&gt;0)*(ROW(職員マスタ!$A$6:$A$405)-5)))&gt;0,SUMPRODUCT(MAX((職員マスタ!$A$6:$A$405=$B2479)*(((職員マスタ!$G$6:$G$405="")+(職員マスタ!$G$6:$G$405&lt;=EOMONTH($AO2479,0)))&gt;0)*(((職員マスタ!$H$6:$H$405="")+(職員マスタ!$H$6:$H$405&gt;=$AO2479))&gt;0)*(ROW(職員マスタ!$A$6:$A$405)-5))),IFERROR(MATCH($B2479,職員マスタ!$A$6:$A$405,0),"")))</f>
        <v/>
      </c>
      <c r="AO2479" s="16">
        <f>IF(OR($B2479="",$C2479="",$D2479=""),"",DATE($C2479+2018,$D2479,1))</f>
        <v/>
      </c>
    </row>
    <row r="2480">
      <c r="A2480" s="11" t="n"/>
      <c r="B2480" s="12" t="n"/>
      <c r="C2480" s="12" t="n"/>
      <c r="D2480" s="12" t="n"/>
      <c r="E2480" s="13" t="n"/>
      <c r="F2480" s="12" t="n"/>
      <c r="G2480" s="13" t="n"/>
      <c r="H2480" s="12" t="n"/>
      <c r="I2480" s="12" t="n"/>
      <c r="J2480" s="12" t="n"/>
      <c r="K2480" s="12" t="n"/>
      <c r="L2480" s="11" t="n"/>
      <c r="M2480" s="11" t="n"/>
      <c r="N2480" s="11" t="n"/>
      <c r="O2480" s="11" t="n"/>
      <c r="P2480" s="12" t="n"/>
      <c r="Q2480" s="11" t="n"/>
      <c r="R2480" s="12" t="n"/>
      <c r="S2480" s="11" t="n"/>
      <c r="T2480" s="12" t="n"/>
      <c r="U2480" s="12" t="n"/>
      <c r="V2480" s="14">
        <f>IF($AN2480="",IF($B2480="","",$H2480),IF(INDEX(職員マスタ!$B$6:$B$405,$AN2480)="",$H2480,INDEX(職員マスタ!$B$6:$B$405,$AN2480)))</f>
        <v/>
      </c>
      <c r="W2480" s="14">
        <f>IF($AN2480="",IF($B2480="","",$R2480),IF(INDEX(職員マスタ!$C$6:$C$405,$AN2480)="",$R2480,INDEX(職員マスタ!$C$6:$C$405,$AN2480)))</f>
        <v/>
      </c>
      <c r="X2480" s="14">
        <f>IF($AO2480="","","R"&amp;$C2480&amp;"."&amp;$D2480)</f>
        <v/>
      </c>
      <c r="Y2480" s="15">
        <f>IF($AN2480="","",IF(INDEX(職員マスタ!$K$6:$K$405,$AN2480)="","",INDEX(職員マスタ!$K$6:$K$405,$AN2480)))</f>
        <v/>
      </c>
      <c r="Z2480" s="14">
        <f>IF(OR($E2480="",$Y2480=""),"",IF($E2480&gt;=$Y2480,"×",IF($E2480&gt;=$Y2480*設定!$C$5,"△","○")))</f>
        <v/>
      </c>
      <c r="AA2480" s="15">
        <f>IF($Z2480="","",IF($Z2480="×",0,IF($Z2480="○",ROUNDDOWN($E2480*設定!$C$4,0),ROUNDDOWN($E2480*ROUND((9*$Y2480-9*$E2480)/(10*$E2480),4),0))))</f>
        <v/>
      </c>
      <c r="AB2480" s="13" t="n"/>
      <c r="AC2480" s="15">
        <f>IF($B2480="","",IF($AB2480&lt;&gt;"",$AB2480,IF($AA2480="","",IF($AA2480&lt;=設定!$C$3,0,$AA2480))))</f>
        <v/>
      </c>
      <c r="AD2480" s="14">
        <f>IF($B2480="","",IF(AND($AE2480&lt;&gt;"",$AG2480="",$AJ2480=""),"保留中",IF($AJ2480&lt;&gt;"",IF(N($AC2480)&gt;0,"支給済","不支給"),IF($AC2480="","要確認",IF($AC2480=0,"不支給","未処理")))))</f>
        <v/>
      </c>
      <c r="AE2480" s="12" t="n"/>
      <c r="AF2480" s="11" t="n"/>
      <c r="AG2480" s="11" t="n"/>
      <c r="AH2480" s="11" t="n"/>
      <c r="AI2480" s="14">
        <f>IF(AND($AD2480="保留中",$AF2480&lt;&gt;""),TODAY()-$AF2480,"")</f>
        <v/>
      </c>
      <c r="AJ2480" s="12" t="n"/>
      <c r="AK2480" s="14">
        <f>IF($B2480="","",IF($AO2480="","対象年月が未入力／","")&amp;IF($B2480="","",IF($AN2480="","職員マスタに未登録の職員番号／",IF($Y2480="","標準報酬月額が未登録／","")&amp;IF(AND($AO2480&lt;&gt;"",OR(AND(INDEX(職員マスタ!$G$6:$G$405,$AN2480)&lt;&gt;"",INDEX(職員マスタ!$G$6:$G$405,$AN2480)&gt;EOMONTH($AO2480,0)),AND(INDEX(職員マスタ!$H$6:$H$405,$AN2480)&lt;&gt;"",INDEX(職員マスタ!$H$6:$H$405,$AN2480)&lt;$AO2480))),"対象月が時短期間外／","")&amp;IF(AND(INDEX(職員マスタ!$F$6:$F$405,$AN2480)&lt;&gt;"",$AO2480&lt;&gt;"",INDEX(職員マスタ!$F$6:$F$405,$AN2480)&lt;$AO2480),"対象月に子が2歳到達済／","")&amp;IF(AND($H2480&lt;&gt;"",INDEX(職員マスタ!$B$6:$B$405,$AN2480)&lt;&gt;"",SUBSTITUTE(SUBSTITUTE($H2480," ","")," ","")&lt;&gt;SUBSTITUTE(SUBSTITUTE(INDEX(職員マスタ!$B$6:$B$405,$AN2480)," ","")," ","")),"氏名がマスタと相違／","")&amp;IF(AND($Q2480&lt;&gt;"",INDEX(職員マスタ!$E$6:$E$405,$AN2480)&lt;&gt;"",$Q2480&lt;&gt;INDEX(職員マスタ!$E$6:$E$405,$AN2480)),"子の生年月日がマスタと相違／","")&amp;IF(AND($L2480&lt;&gt;"",INDEX(職員マスタ!$G$6:$G$405,$AN2480)&lt;&gt;"",$L2480&lt;&gt;INDEX(職員マスタ!$G$6:$G$405,$AN2480)),"時短開始日がマスタと相違／","")&amp;IF(AND($M2480&lt;&gt;"",INDEX(職員マスタ!$H$6:$H$405,$AN2480)&lt;&gt;"",$M2480&lt;&gt;INDEX(職員マスタ!$H$6:$H$405,$AN2480)),"時短終了日がマスタと相違／","")))&amp;IF(AND($B2480&lt;&gt;"",$E2480=""),"報酬額が未入力／","")&amp;IF(N($U2480)&gt;0,"申請書に入力エラーが残っています／","")&amp;IF(AND($B2480&lt;&gt;"",$AO2480&lt;&gt;""),IF(COUNTIFS($B$6:$B$3005,$B2480,$C$6:$C$3005,$C2480,$D$6:$D$3005,$D2480)&gt;1,"同じ月の請求が重複しています／",""),"")&amp;IF(AND(N($E2480)&gt;0,$Z2480&lt;&gt;"",$Z2480&lt;&gt;"×",$AC2480=0,$AB2480=""),"計算額が下限以下のため不支給／",""))</f>
        <v/>
      </c>
      <c r="AL2480" s="12" t="n"/>
      <c r="AM2480" s="14">
        <f>IF($AD2480="保留中",COUNTIF($AD$6:$AD2480,"保留中"),"")</f>
        <v/>
      </c>
      <c r="AN2480" s="14">
        <f>IF($AO2480="","",IF(SUMPRODUCT(MAX((職員マスタ!$A$6:$A$405=$B2480)*(((職員マスタ!$G$6:$G$405="")+(職員マスタ!$G$6:$G$405&lt;=EOMONTH($AO2480,0)))&gt;0)*(((職員マスタ!$H$6:$H$405="")+(職員マスタ!$H$6:$H$405&gt;=$AO2480))&gt;0)*(ROW(職員マスタ!$A$6:$A$405)-5)))&gt;0,SUMPRODUCT(MAX((職員マスタ!$A$6:$A$405=$B2480)*(((職員マスタ!$G$6:$G$405="")+(職員マスタ!$G$6:$G$405&lt;=EOMONTH($AO2480,0)))&gt;0)*(((職員マスタ!$H$6:$H$405="")+(職員マスタ!$H$6:$H$405&gt;=$AO2480))&gt;0)*(ROW(職員マスタ!$A$6:$A$405)-5))),IFERROR(MATCH($B2480,職員マスタ!$A$6:$A$405,0),"")))</f>
        <v/>
      </c>
      <c r="AO2480" s="16">
        <f>IF(OR($B2480="",$C2480="",$D2480=""),"",DATE($C2480+2018,$D2480,1))</f>
        <v/>
      </c>
    </row>
    <row r="2481">
      <c r="A2481" s="11" t="n"/>
      <c r="B2481" s="12" t="n"/>
      <c r="C2481" s="12" t="n"/>
      <c r="D2481" s="12" t="n"/>
      <c r="E2481" s="13" t="n"/>
      <c r="F2481" s="12" t="n"/>
      <c r="G2481" s="13" t="n"/>
      <c r="H2481" s="12" t="n"/>
      <c r="I2481" s="12" t="n"/>
      <c r="J2481" s="12" t="n"/>
      <c r="K2481" s="12" t="n"/>
      <c r="L2481" s="11" t="n"/>
      <c r="M2481" s="11" t="n"/>
      <c r="N2481" s="11" t="n"/>
      <c r="O2481" s="11" t="n"/>
      <c r="P2481" s="12" t="n"/>
      <c r="Q2481" s="11" t="n"/>
      <c r="R2481" s="12" t="n"/>
      <c r="S2481" s="11" t="n"/>
      <c r="T2481" s="12" t="n"/>
      <c r="U2481" s="12" t="n"/>
      <c r="V2481" s="14">
        <f>IF($AN2481="",IF($B2481="","",$H2481),IF(INDEX(職員マスタ!$B$6:$B$405,$AN2481)="",$H2481,INDEX(職員マスタ!$B$6:$B$405,$AN2481)))</f>
        <v/>
      </c>
      <c r="W2481" s="14">
        <f>IF($AN2481="",IF($B2481="","",$R2481),IF(INDEX(職員マスタ!$C$6:$C$405,$AN2481)="",$R2481,INDEX(職員マスタ!$C$6:$C$405,$AN2481)))</f>
        <v/>
      </c>
      <c r="X2481" s="14">
        <f>IF($AO2481="","","R"&amp;$C2481&amp;"."&amp;$D2481)</f>
        <v/>
      </c>
      <c r="Y2481" s="15">
        <f>IF($AN2481="","",IF(INDEX(職員マスタ!$K$6:$K$405,$AN2481)="","",INDEX(職員マスタ!$K$6:$K$405,$AN2481)))</f>
        <v/>
      </c>
      <c r="Z2481" s="14">
        <f>IF(OR($E2481="",$Y2481=""),"",IF($E2481&gt;=$Y2481,"×",IF($E2481&gt;=$Y2481*設定!$C$5,"△","○")))</f>
        <v/>
      </c>
      <c r="AA2481" s="15">
        <f>IF($Z2481="","",IF($Z2481="×",0,IF($Z2481="○",ROUNDDOWN($E2481*設定!$C$4,0),ROUNDDOWN($E2481*ROUND((9*$Y2481-9*$E2481)/(10*$E2481),4),0))))</f>
        <v/>
      </c>
      <c r="AB2481" s="13" t="n"/>
      <c r="AC2481" s="15">
        <f>IF($B2481="","",IF($AB2481&lt;&gt;"",$AB2481,IF($AA2481="","",IF($AA2481&lt;=設定!$C$3,0,$AA2481))))</f>
        <v/>
      </c>
      <c r="AD2481" s="14">
        <f>IF($B2481="","",IF(AND($AE2481&lt;&gt;"",$AG2481="",$AJ2481=""),"保留中",IF($AJ2481&lt;&gt;"",IF(N($AC2481)&gt;0,"支給済","不支給"),IF($AC2481="","要確認",IF($AC2481=0,"不支給","未処理")))))</f>
        <v/>
      </c>
      <c r="AE2481" s="12" t="n"/>
      <c r="AF2481" s="11" t="n"/>
      <c r="AG2481" s="11" t="n"/>
      <c r="AH2481" s="11" t="n"/>
      <c r="AI2481" s="14">
        <f>IF(AND($AD2481="保留中",$AF2481&lt;&gt;""),TODAY()-$AF2481,"")</f>
        <v/>
      </c>
      <c r="AJ2481" s="12" t="n"/>
      <c r="AK2481" s="14">
        <f>IF($B2481="","",IF($AO2481="","対象年月が未入力／","")&amp;IF($B2481="","",IF($AN2481="","職員マスタに未登録の職員番号／",IF($Y2481="","標準報酬月額が未登録／","")&amp;IF(AND($AO2481&lt;&gt;"",OR(AND(INDEX(職員マスタ!$G$6:$G$405,$AN2481)&lt;&gt;"",INDEX(職員マスタ!$G$6:$G$405,$AN2481)&gt;EOMONTH($AO2481,0)),AND(INDEX(職員マスタ!$H$6:$H$405,$AN2481)&lt;&gt;"",INDEX(職員マスタ!$H$6:$H$405,$AN2481)&lt;$AO2481))),"対象月が時短期間外／","")&amp;IF(AND(INDEX(職員マスタ!$F$6:$F$405,$AN2481)&lt;&gt;"",$AO2481&lt;&gt;"",INDEX(職員マスタ!$F$6:$F$405,$AN2481)&lt;$AO2481),"対象月に子が2歳到達済／","")&amp;IF(AND($H2481&lt;&gt;"",INDEX(職員マスタ!$B$6:$B$405,$AN2481)&lt;&gt;"",SUBSTITUTE(SUBSTITUTE($H2481," ","")," ","")&lt;&gt;SUBSTITUTE(SUBSTITUTE(INDEX(職員マスタ!$B$6:$B$405,$AN2481)," ","")," ","")),"氏名がマスタと相違／","")&amp;IF(AND($Q2481&lt;&gt;"",INDEX(職員マスタ!$E$6:$E$405,$AN2481)&lt;&gt;"",$Q2481&lt;&gt;INDEX(職員マスタ!$E$6:$E$405,$AN2481)),"子の生年月日がマスタと相違／","")&amp;IF(AND($L2481&lt;&gt;"",INDEX(職員マスタ!$G$6:$G$405,$AN2481)&lt;&gt;"",$L2481&lt;&gt;INDEX(職員マスタ!$G$6:$G$405,$AN2481)),"時短開始日がマスタと相違／","")&amp;IF(AND($M2481&lt;&gt;"",INDEX(職員マスタ!$H$6:$H$405,$AN2481)&lt;&gt;"",$M2481&lt;&gt;INDEX(職員マスタ!$H$6:$H$405,$AN2481)),"時短終了日がマスタと相違／","")))&amp;IF(AND($B2481&lt;&gt;"",$E2481=""),"報酬額が未入力／","")&amp;IF(N($U2481)&gt;0,"申請書に入力エラーが残っています／","")&amp;IF(AND($B2481&lt;&gt;"",$AO2481&lt;&gt;""),IF(COUNTIFS($B$6:$B$3005,$B2481,$C$6:$C$3005,$C2481,$D$6:$D$3005,$D2481)&gt;1,"同じ月の請求が重複しています／",""),"")&amp;IF(AND(N($E2481)&gt;0,$Z2481&lt;&gt;"",$Z2481&lt;&gt;"×",$AC2481=0,$AB2481=""),"計算額が下限以下のため不支給／",""))</f>
        <v/>
      </c>
      <c r="AL2481" s="12" t="n"/>
      <c r="AM2481" s="14">
        <f>IF($AD2481="保留中",COUNTIF($AD$6:$AD2481,"保留中"),"")</f>
        <v/>
      </c>
      <c r="AN2481" s="14">
        <f>IF($AO2481="","",IF(SUMPRODUCT(MAX((職員マスタ!$A$6:$A$405=$B2481)*(((職員マスタ!$G$6:$G$405="")+(職員マスタ!$G$6:$G$405&lt;=EOMONTH($AO2481,0)))&gt;0)*(((職員マスタ!$H$6:$H$405="")+(職員マスタ!$H$6:$H$405&gt;=$AO2481))&gt;0)*(ROW(職員マスタ!$A$6:$A$405)-5)))&gt;0,SUMPRODUCT(MAX((職員マスタ!$A$6:$A$405=$B2481)*(((職員マスタ!$G$6:$G$405="")+(職員マスタ!$G$6:$G$405&lt;=EOMONTH($AO2481,0)))&gt;0)*(((職員マスタ!$H$6:$H$405="")+(職員マスタ!$H$6:$H$405&gt;=$AO2481))&gt;0)*(ROW(職員マスタ!$A$6:$A$405)-5))),IFERROR(MATCH($B2481,職員マスタ!$A$6:$A$405,0),"")))</f>
        <v/>
      </c>
      <c r="AO2481" s="16">
        <f>IF(OR($B2481="",$C2481="",$D2481=""),"",DATE($C2481+2018,$D2481,1))</f>
        <v/>
      </c>
    </row>
    <row r="2482">
      <c r="A2482" s="11" t="n"/>
      <c r="B2482" s="12" t="n"/>
      <c r="C2482" s="12" t="n"/>
      <c r="D2482" s="12" t="n"/>
      <c r="E2482" s="13" t="n"/>
      <c r="F2482" s="12" t="n"/>
      <c r="G2482" s="13" t="n"/>
      <c r="H2482" s="12" t="n"/>
      <c r="I2482" s="12" t="n"/>
      <c r="J2482" s="12" t="n"/>
      <c r="K2482" s="12" t="n"/>
      <c r="L2482" s="11" t="n"/>
      <c r="M2482" s="11" t="n"/>
      <c r="N2482" s="11" t="n"/>
      <c r="O2482" s="11" t="n"/>
      <c r="P2482" s="12" t="n"/>
      <c r="Q2482" s="11" t="n"/>
      <c r="R2482" s="12" t="n"/>
      <c r="S2482" s="11" t="n"/>
      <c r="T2482" s="12" t="n"/>
      <c r="U2482" s="12" t="n"/>
      <c r="V2482" s="14">
        <f>IF($AN2482="",IF($B2482="","",$H2482),IF(INDEX(職員マスタ!$B$6:$B$405,$AN2482)="",$H2482,INDEX(職員マスタ!$B$6:$B$405,$AN2482)))</f>
        <v/>
      </c>
      <c r="W2482" s="14">
        <f>IF($AN2482="",IF($B2482="","",$R2482),IF(INDEX(職員マスタ!$C$6:$C$405,$AN2482)="",$R2482,INDEX(職員マスタ!$C$6:$C$405,$AN2482)))</f>
        <v/>
      </c>
      <c r="X2482" s="14">
        <f>IF($AO2482="","","R"&amp;$C2482&amp;"."&amp;$D2482)</f>
        <v/>
      </c>
      <c r="Y2482" s="15">
        <f>IF($AN2482="","",IF(INDEX(職員マスタ!$K$6:$K$405,$AN2482)="","",INDEX(職員マスタ!$K$6:$K$405,$AN2482)))</f>
        <v/>
      </c>
      <c r="Z2482" s="14">
        <f>IF(OR($E2482="",$Y2482=""),"",IF($E2482&gt;=$Y2482,"×",IF($E2482&gt;=$Y2482*設定!$C$5,"△","○")))</f>
        <v/>
      </c>
      <c r="AA2482" s="15">
        <f>IF($Z2482="","",IF($Z2482="×",0,IF($Z2482="○",ROUNDDOWN($E2482*設定!$C$4,0),ROUNDDOWN($E2482*ROUND((9*$Y2482-9*$E2482)/(10*$E2482),4),0))))</f>
        <v/>
      </c>
      <c r="AB2482" s="13" t="n"/>
      <c r="AC2482" s="15">
        <f>IF($B2482="","",IF($AB2482&lt;&gt;"",$AB2482,IF($AA2482="","",IF($AA2482&lt;=設定!$C$3,0,$AA2482))))</f>
        <v/>
      </c>
      <c r="AD2482" s="14">
        <f>IF($B2482="","",IF(AND($AE2482&lt;&gt;"",$AG2482="",$AJ2482=""),"保留中",IF($AJ2482&lt;&gt;"",IF(N($AC2482)&gt;0,"支給済","不支給"),IF($AC2482="","要確認",IF($AC2482=0,"不支給","未処理")))))</f>
        <v/>
      </c>
      <c r="AE2482" s="12" t="n"/>
      <c r="AF2482" s="11" t="n"/>
      <c r="AG2482" s="11" t="n"/>
      <c r="AH2482" s="11" t="n"/>
      <c r="AI2482" s="14">
        <f>IF(AND($AD2482="保留中",$AF2482&lt;&gt;""),TODAY()-$AF2482,"")</f>
        <v/>
      </c>
      <c r="AJ2482" s="12" t="n"/>
      <c r="AK2482" s="14">
        <f>IF($B2482="","",IF($AO2482="","対象年月が未入力／","")&amp;IF($B2482="","",IF($AN2482="","職員マスタに未登録の職員番号／",IF($Y2482="","標準報酬月額が未登録／","")&amp;IF(AND($AO2482&lt;&gt;"",OR(AND(INDEX(職員マスタ!$G$6:$G$405,$AN2482)&lt;&gt;"",INDEX(職員マスタ!$G$6:$G$405,$AN2482)&gt;EOMONTH($AO2482,0)),AND(INDEX(職員マスタ!$H$6:$H$405,$AN2482)&lt;&gt;"",INDEX(職員マスタ!$H$6:$H$405,$AN2482)&lt;$AO2482))),"対象月が時短期間外／","")&amp;IF(AND(INDEX(職員マスタ!$F$6:$F$405,$AN2482)&lt;&gt;"",$AO2482&lt;&gt;"",INDEX(職員マスタ!$F$6:$F$405,$AN2482)&lt;$AO2482),"対象月に子が2歳到達済／","")&amp;IF(AND($H2482&lt;&gt;"",INDEX(職員マスタ!$B$6:$B$405,$AN2482)&lt;&gt;"",SUBSTITUTE(SUBSTITUTE($H2482," ","")," ","")&lt;&gt;SUBSTITUTE(SUBSTITUTE(INDEX(職員マスタ!$B$6:$B$405,$AN2482)," ","")," ","")),"氏名がマスタと相違／","")&amp;IF(AND($Q2482&lt;&gt;"",INDEX(職員マスタ!$E$6:$E$405,$AN2482)&lt;&gt;"",$Q2482&lt;&gt;INDEX(職員マスタ!$E$6:$E$405,$AN2482)),"子の生年月日がマスタと相違／","")&amp;IF(AND($L2482&lt;&gt;"",INDEX(職員マスタ!$G$6:$G$405,$AN2482)&lt;&gt;"",$L2482&lt;&gt;INDEX(職員マスタ!$G$6:$G$405,$AN2482)),"時短開始日がマスタと相違／","")&amp;IF(AND($M2482&lt;&gt;"",INDEX(職員マスタ!$H$6:$H$405,$AN2482)&lt;&gt;"",$M2482&lt;&gt;INDEX(職員マスタ!$H$6:$H$405,$AN2482)),"時短終了日がマスタと相違／","")))&amp;IF(AND($B2482&lt;&gt;"",$E2482=""),"報酬額が未入力／","")&amp;IF(N($U2482)&gt;0,"申請書に入力エラーが残っています／","")&amp;IF(AND($B2482&lt;&gt;"",$AO2482&lt;&gt;""),IF(COUNTIFS($B$6:$B$3005,$B2482,$C$6:$C$3005,$C2482,$D$6:$D$3005,$D2482)&gt;1,"同じ月の請求が重複しています／",""),"")&amp;IF(AND(N($E2482)&gt;0,$Z2482&lt;&gt;"",$Z2482&lt;&gt;"×",$AC2482=0,$AB2482=""),"計算額が下限以下のため不支給／",""))</f>
        <v/>
      </c>
      <c r="AL2482" s="12" t="n"/>
      <c r="AM2482" s="14">
        <f>IF($AD2482="保留中",COUNTIF($AD$6:$AD2482,"保留中"),"")</f>
        <v/>
      </c>
      <c r="AN2482" s="14">
        <f>IF($AO2482="","",IF(SUMPRODUCT(MAX((職員マスタ!$A$6:$A$405=$B2482)*(((職員マスタ!$G$6:$G$405="")+(職員マスタ!$G$6:$G$405&lt;=EOMONTH($AO2482,0)))&gt;0)*(((職員マスタ!$H$6:$H$405="")+(職員マスタ!$H$6:$H$405&gt;=$AO2482))&gt;0)*(ROW(職員マスタ!$A$6:$A$405)-5)))&gt;0,SUMPRODUCT(MAX((職員マスタ!$A$6:$A$405=$B2482)*(((職員マスタ!$G$6:$G$405="")+(職員マスタ!$G$6:$G$405&lt;=EOMONTH($AO2482,0)))&gt;0)*(((職員マスタ!$H$6:$H$405="")+(職員マスタ!$H$6:$H$405&gt;=$AO2482))&gt;0)*(ROW(職員マスタ!$A$6:$A$405)-5))),IFERROR(MATCH($B2482,職員マスタ!$A$6:$A$405,0),"")))</f>
        <v/>
      </c>
      <c r="AO2482" s="16">
        <f>IF(OR($B2482="",$C2482="",$D2482=""),"",DATE($C2482+2018,$D2482,1))</f>
        <v/>
      </c>
    </row>
    <row r="2483">
      <c r="A2483" s="11" t="n"/>
      <c r="B2483" s="12" t="n"/>
      <c r="C2483" s="12" t="n"/>
      <c r="D2483" s="12" t="n"/>
      <c r="E2483" s="13" t="n"/>
      <c r="F2483" s="12" t="n"/>
      <c r="G2483" s="13" t="n"/>
      <c r="H2483" s="12" t="n"/>
      <c r="I2483" s="12" t="n"/>
      <c r="J2483" s="12" t="n"/>
      <c r="K2483" s="12" t="n"/>
      <c r="L2483" s="11" t="n"/>
      <c r="M2483" s="11" t="n"/>
      <c r="N2483" s="11" t="n"/>
      <c r="O2483" s="11" t="n"/>
      <c r="P2483" s="12" t="n"/>
      <c r="Q2483" s="11" t="n"/>
      <c r="R2483" s="12" t="n"/>
      <c r="S2483" s="11" t="n"/>
      <c r="T2483" s="12" t="n"/>
      <c r="U2483" s="12" t="n"/>
      <c r="V2483" s="14">
        <f>IF($AN2483="",IF($B2483="","",$H2483),IF(INDEX(職員マスタ!$B$6:$B$405,$AN2483)="",$H2483,INDEX(職員マスタ!$B$6:$B$405,$AN2483)))</f>
        <v/>
      </c>
      <c r="W2483" s="14">
        <f>IF($AN2483="",IF($B2483="","",$R2483),IF(INDEX(職員マスタ!$C$6:$C$405,$AN2483)="",$R2483,INDEX(職員マスタ!$C$6:$C$405,$AN2483)))</f>
        <v/>
      </c>
      <c r="X2483" s="14">
        <f>IF($AO2483="","","R"&amp;$C2483&amp;"."&amp;$D2483)</f>
        <v/>
      </c>
      <c r="Y2483" s="15">
        <f>IF($AN2483="","",IF(INDEX(職員マスタ!$K$6:$K$405,$AN2483)="","",INDEX(職員マスタ!$K$6:$K$405,$AN2483)))</f>
        <v/>
      </c>
      <c r="Z2483" s="14">
        <f>IF(OR($E2483="",$Y2483=""),"",IF($E2483&gt;=$Y2483,"×",IF($E2483&gt;=$Y2483*設定!$C$5,"△","○")))</f>
        <v/>
      </c>
      <c r="AA2483" s="15">
        <f>IF($Z2483="","",IF($Z2483="×",0,IF($Z2483="○",ROUNDDOWN($E2483*設定!$C$4,0),ROUNDDOWN($E2483*ROUND((9*$Y2483-9*$E2483)/(10*$E2483),4),0))))</f>
        <v/>
      </c>
      <c r="AB2483" s="13" t="n"/>
      <c r="AC2483" s="15">
        <f>IF($B2483="","",IF($AB2483&lt;&gt;"",$AB2483,IF($AA2483="","",IF($AA2483&lt;=設定!$C$3,0,$AA2483))))</f>
        <v/>
      </c>
      <c r="AD2483" s="14">
        <f>IF($B2483="","",IF(AND($AE2483&lt;&gt;"",$AG2483="",$AJ2483=""),"保留中",IF($AJ2483&lt;&gt;"",IF(N($AC2483)&gt;0,"支給済","不支給"),IF($AC2483="","要確認",IF($AC2483=0,"不支給","未処理")))))</f>
        <v/>
      </c>
      <c r="AE2483" s="12" t="n"/>
      <c r="AF2483" s="11" t="n"/>
      <c r="AG2483" s="11" t="n"/>
      <c r="AH2483" s="11" t="n"/>
      <c r="AI2483" s="14">
        <f>IF(AND($AD2483="保留中",$AF2483&lt;&gt;""),TODAY()-$AF2483,"")</f>
        <v/>
      </c>
      <c r="AJ2483" s="12" t="n"/>
      <c r="AK2483" s="14">
        <f>IF($B2483="","",IF($AO2483="","対象年月が未入力／","")&amp;IF($B2483="","",IF($AN2483="","職員マスタに未登録の職員番号／",IF($Y2483="","標準報酬月額が未登録／","")&amp;IF(AND($AO2483&lt;&gt;"",OR(AND(INDEX(職員マスタ!$G$6:$G$405,$AN2483)&lt;&gt;"",INDEX(職員マスタ!$G$6:$G$405,$AN2483)&gt;EOMONTH($AO2483,0)),AND(INDEX(職員マスタ!$H$6:$H$405,$AN2483)&lt;&gt;"",INDEX(職員マスタ!$H$6:$H$405,$AN2483)&lt;$AO2483))),"対象月が時短期間外／","")&amp;IF(AND(INDEX(職員マスタ!$F$6:$F$405,$AN2483)&lt;&gt;"",$AO2483&lt;&gt;"",INDEX(職員マスタ!$F$6:$F$405,$AN2483)&lt;$AO2483),"対象月に子が2歳到達済／","")&amp;IF(AND($H2483&lt;&gt;"",INDEX(職員マスタ!$B$6:$B$405,$AN2483)&lt;&gt;"",SUBSTITUTE(SUBSTITUTE($H2483," ","")," ","")&lt;&gt;SUBSTITUTE(SUBSTITUTE(INDEX(職員マスタ!$B$6:$B$405,$AN2483)," ","")," ","")),"氏名がマスタと相違／","")&amp;IF(AND($Q2483&lt;&gt;"",INDEX(職員マスタ!$E$6:$E$405,$AN2483)&lt;&gt;"",$Q2483&lt;&gt;INDEX(職員マスタ!$E$6:$E$405,$AN2483)),"子の生年月日がマスタと相違／","")&amp;IF(AND($L2483&lt;&gt;"",INDEX(職員マスタ!$G$6:$G$405,$AN2483)&lt;&gt;"",$L2483&lt;&gt;INDEX(職員マスタ!$G$6:$G$405,$AN2483)),"時短開始日がマスタと相違／","")&amp;IF(AND($M2483&lt;&gt;"",INDEX(職員マスタ!$H$6:$H$405,$AN2483)&lt;&gt;"",$M2483&lt;&gt;INDEX(職員マスタ!$H$6:$H$405,$AN2483)),"時短終了日がマスタと相違／","")))&amp;IF(AND($B2483&lt;&gt;"",$E2483=""),"報酬額が未入力／","")&amp;IF(N($U2483)&gt;0,"申請書に入力エラーが残っています／","")&amp;IF(AND($B2483&lt;&gt;"",$AO2483&lt;&gt;""),IF(COUNTIFS($B$6:$B$3005,$B2483,$C$6:$C$3005,$C2483,$D$6:$D$3005,$D2483)&gt;1,"同じ月の請求が重複しています／",""),"")&amp;IF(AND(N($E2483)&gt;0,$Z2483&lt;&gt;"",$Z2483&lt;&gt;"×",$AC2483=0,$AB2483=""),"計算額が下限以下のため不支給／",""))</f>
        <v/>
      </c>
      <c r="AL2483" s="12" t="n"/>
      <c r="AM2483" s="14">
        <f>IF($AD2483="保留中",COUNTIF($AD$6:$AD2483,"保留中"),"")</f>
        <v/>
      </c>
      <c r="AN2483" s="14">
        <f>IF($AO2483="","",IF(SUMPRODUCT(MAX((職員マスタ!$A$6:$A$405=$B2483)*(((職員マスタ!$G$6:$G$405="")+(職員マスタ!$G$6:$G$405&lt;=EOMONTH($AO2483,0)))&gt;0)*(((職員マスタ!$H$6:$H$405="")+(職員マスタ!$H$6:$H$405&gt;=$AO2483))&gt;0)*(ROW(職員マスタ!$A$6:$A$405)-5)))&gt;0,SUMPRODUCT(MAX((職員マスタ!$A$6:$A$405=$B2483)*(((職員マスタ!$G$6:$G$405="")+(職員マスタ!$G$6:$G$405&lt;=EOMONTH($AO2483,0)))&gt;0)*(((職員マスタ!$H$6:$H$405="")+(職員マスタ!$H$6:$H$405&gt;=$AO2483))&gt;0)*(ROW(職員マスタ!$A$6:$A$405)-5))),IFERROR(MATCH($B2483,職員マスタ!$A$6:$A$405,0),"")))</f>
        <v/>
      </c>
      <c r="AO2483" s="16">
        <f>IF(OR($B2483="",$C2483="",$D2483=""),"",DATE($C2483+2018,$D2483,1))</f>
        <v/>
      </c>
    </row>
    <row r="2484">
      <c r="A2484" s="11" t="n"/>
      <c r="B2484" s="12" t="n"/>
      <c r="C2484" s="12" t="n"/>
      <c r="D2484" s="12" t="n"/>
      <c r="E2484" s="13" t="n"/>
      <c r="F2484" s="12" t="n"/>
      <c r="G2484" s="13" t="n"/>
      <c r="H2484" s="12" t="n"/>
      <c r="I2484" s="12" t="n"/>
      <c r="J2484" s="12" t="n"/>
      <c r="K2484" s="12" t="n"/>
      <c r="L2484" s="11" t="n"/>
      <c r="M2484" s="11" t="n"/>
      <c r="N2484" s="11" t="n"/>
      <c r="O2484" s="11" t="n"/>
      <c r="P2484" s="12" t="n"/>
      <c r="Q2484" s="11" t="n"/>
      <c r="R2484" s="12" t="n"/>
      <c r="S2484" s="11" t="n"/>
      <c r="T2484" s="12" t="n"/>
      <c r="U2484" s="12" t="n"/>
      <c r="V2484" s="14">
        <f>IF($AN2484="",IF($B2484="","",$H2484),IF(INDEX(職員マスタ!$B$6:$B$405,$AN2484)="",$H2484,INDEX(職員マスタ!$B$6:$B$405,$AN2484)))</f>
        <v/>
      </c>
      <c r="W2484" s="14">
        <f>IF($AN2484="",IF($B2484="","",$R2484),IF(INDEX(職員マスタ!$C$6:$C$405,$AN2484)="",$R2484,INDEX(職員マスタ!$C$6:$C$405,$AN2484)))</f>
        <v/>
      </c>
      <c r="X2484" s="14">
        <f>IF($AO2484="","","R"&amp;$C2484&amp;"."&amp;$D2484)</f>
        <v/>
      </c>
      <c r="Y2484" s="15">
        <f>IF($AN2484="","",IF(INDEX(職員マスタ!$K$6:$K$405,$AN2484)="","",INDEX(職員マスタ!$K$6:$K$405,$AN2484)))</f>
        <v/>
      </c>
      <c r="Z2484" s="14">
        <f>IF(OR($E2484="",$Y2484=""),"",IF($E2484&gt;=$Y2484,"×",IF($E2484&gt;=$Y2484*設定!$C$5,"△","○")))</f>
        <v/>
      </c>
      <c r="AA2484" s="15">
        <f>IF($Z2484="","",IF($Z2484="×",0,IF($Z2484="○",ROUNDDOWN($E2484*設定!$C$4,0),ROUNDDOWN($E2484*ROUND((9*$Y2484-9*$E2484)/(10*$E2484),4),0))))</f>
        <v/>
      </c>
      <c r="AB2484" s="13" t="n"/>
      <c r="AC2484" s="15">
        <f>IF($B2484="","",IF($AB2484&lt;&gt;"",$AB2484,IF($AA2484="","",IF($AA2484&lt;=設定!$C$3,0,$AA2484))))</f>
        <v/>
      </c>
      <c r="AD2484" s="14">
        <f>IF($B2484="","",IF(AND($AE2484&lt;&gt;"",$AG2484="",$AJ2484=""),"保留中",IF($AJ2484&lt;&gt;"",IF(N($AC2484)&gt;0,"支給済","不支給"),IF($AC2484="","要確認",IF($AC2484=0,"不支給","未処理")))))</f>
        <v/>
      </c>
      <c r="AE2484" s="12" t="n"/>
      <c r="AF2484" s="11" t="n"/>
      <c r="AG2484" s="11" t="n"/>
      <c r="AH2484" s="11" t="n"/>
      <c r="AI2484" s="14">
        <f>IF(AND($AD2484="保留中",$AF2484&lt;&gt;""),TODAY()-$AF2484,"")</f>
        <v/>
      </c>
      <c r="AJ2484" s="12" t="n"/>
      <c r="AK2484" s="14">
        <f>IF($B2484="","",IF($AO2484="","対象年月が未入力／","")&amp;IF($B2484="","",IF($AN2484="","職員マスタに未登録の職員番号／",IF($Y2484="","標準報酬月額が未登録／","")&amp;IF(AND($AO2484&lt;&gt;"",OR(AND(INDEX(職員マスタ!$G$6:$G$405,$AN2484)&lt;&gt;"",INDEX(職員マスタ!$G$6:$G$405,$AN2484)&gt;EOMONTH($AO2484,0)),AND(INDEX(職員マスタ!$H$6:$H$405,$AN2484)&lt;&gt;"",INDEX(職員マスタ!$H$6:$H$405,$AN2484)&lt;$AO2484))),"対象月が時短期間外／","")&amp;IF(AND(INDEX(職員マスタ!$F$6:$F$405,$AN2484)&lt;&gt;"",$AO2484&lt;&gt;"",INDEX(職員マスタ!$F$6:$F$405,$AN2484)&lt;$AO2484),"対象月に子が2歳到達済／","")&amp;IF(AND($H2484&lt;&gt;"",INDEX(職員マスタ!$B$6:$B$405,$AN2484)&lt;&gt;"",SUBSTITUTE(SUBSTITUTE($H2484," ","")," ","")&lt;&gt;SUBSTITUTE(SUBSTITUTE(INDEX(職員マスタ!$B$6:$B$405,$AN2484)," ","")," ","")),"氏名がマスタと相違／","")&amp;IF(AND($Q2484&lt;&gt;"",INDEX(職員マスタ!$E$6:$E$405,$AN2484)&lt;&gt;"",$Q2484&lt;&gt;INDEX(職員マスタ!$E$6:$E$405,$AN2484)),"子の生年月日がマスタと相違／","")&amp;IF(AND($L2484&lt;&gt;"",INDEX(職員マスタ!$G$6:$G$405,$AN2484)&lt;&gt;"",$L2484&lt;&gt;INDEX(職員マスタ!$G$6:$G$405,$AN2484)),"時短開始日がマスタと相違／","")&amp;IF(AND($M2484&lt;&gt;"",INDEX(職員マスタ!$H$6:$H$405,$AN2484)&lt;&gt;"",$M2484&lt;&gt;INDEX(職員マスタ!$H$6:$H$405,$AN2484)),"時短終了日がマスタと相違／","")))&amp;IF(AND($B2484&lt;&gt;"",$E2484=""),"報酬額が未入力／","")&amp;IF(N($U2484)&gt;0,"申請書に入力エラーが残っています／","")&amp;IF(AND($B2484&lt;&gt;"",$AO2484&lt;&gt;""),IF(COUNTIFS($B$6:$B$3005,$B2484,$C$6:$C$3005,$C2484,$D$6:$D$3005,$D2484)&gt;1,"同じ月の請求が重複しています／",""),"")&amp;IF(AND(N($E2484)&gt;0,$Z2484&lt;&gt;"",$Z2484&lt;&gt;"×",$AC2484=0,$AB2484=""),"計算額が下限以下のため不支給／",""))</f>
        <v/>
      </c>
      <c r="AL2484" s="12" t="n"/>
      <c r="AM2484" s="14">
        <f>IF($AD2484="保留中",COUNTIF($AD$6:$AD2484,"保留中"),"")</f>
        <v/>
      </c>
      <c r="AN2484" s="14">
        <f>IF($AO2484="","",IF(SUMPRODUCT(MAX((職員マスタ!$A$6:$A$405=$B2484)*(((職員マスタ!$G$6:$G$405="")+(職員マスタ!$G$6:$G$405&lt;=EOMONTH($AO2484,0)))&gt;0)*(((職員マスタ!$H$6:$H$405="")+(職員マスタ!$H$6:$H$405&gt;=$AO2484))&gt;0)*(ROW(職員マスタ!$A$6:$A$405)-5)))&gt;0,SUMPRODUCT(MAX((職員マスタ!$A$6:$A$405=$B2484)*(((職員マスタ!$G$6:$G$405="")+(職員マスタ!$G$6:$G$405&lt;=EOMONTH($AO2484,0)))&gt;0)*(((職員マスタ!$H$6:$H$405="")+(職員マスタ!$H$6:$H$405&gt;=$AO2484))&gt;0)*(ROW(職員マスタ!$A$6:$A$405)-5))),IFERROR(MATCH($B2484,職員マスタ!$A$6:$A$405,0),"")))</f>
        <v/>
      </c>
      <c r="AO2484" s="16">
        <f>IF(OR($B2484="",$C2484="",$D2484=""),"",DATE($C2484+2018,$D2484,1))</f>
        <v/>
      </c>
    </row>
    <row r="2485">
      <c r="A2485" s="11" t="n"/>
      <c r="B2485" s="12" t="n"/>
      <c r="C2485" s="12" t="n"/>
      <c r="D2485" s="12" t="n"/>
      <c r="E2485" s="13" t="n"/>
      <c r="F2485" s="12" t="n"/>
      <c r="G2485" s="13" t="n"/>
      <c r="H2485" s="12" t="n"/>
      <c r="I2485" s="12" t="n"/>
      <c r="J2485" s="12" t="n"/>
      <c r="K2485" s="12" t="n"/>
      <c r="L2485" s="11" t="n"/>
      <c r="M2485" s="11" t="n"/>
      <c r="N2485" s="11" t="n"/>
      <c r="O2485" s="11" t="n"/>
      <c r="P2485" s="12" t="n"/>
      <c r="Q2485" s="11" t="n"/>
      <c r="R2485" s="12" t="n"/>
      <c r="S2485" s="11" t="n"/>
      <c r="T2485" s="12" t="n"/>
      <c r="U2485" s="12" t="n"/>
      <c r="V2485" s="14">
        <f>IF($AN2485="",IF($B2485="","",$H2485),IF(INDEX(職員マスタ!$B$6:$B$405,$AN2485)="",$H2485,INDEX(職員マスタ!$B$6:$B$405,$AN2485)))</f>
        <v/>
      </c>
      <c r="W2485" s="14">
        <f>IF($AN2485="",IF($B2485="","",$R2485),IF(INDEX(職員マスタ!$C$6:$C$405,$AN2485)="",$R2485,INDEX(職員マスタ!$C$6:$C$405,$AN2485)))</f>
        <v/>
      </c>
      <c r="X2485" s="14">
        <f>IF($AO2485="","","R"&amp;$C2485&amp;"."&amp;$D2485)</f>
        <v/>
      </c>
      <c r="Y2485" s="15">
        <f>IF($AN2485="","",IF(INDEX(職員マスタ!$K$6:$K$405,$AN2485)="","",INDEX(職員マスタ!$K$6:$K$405,$AN2485)))</f>
        <v/>
      </c>
      <c r="Z2485" s="14">
        <f>IF(OR($E2485="",$Y2485=""),"",IF($E2485&gt;=$Y2485,"×",IF($E2485&gt;=$Y2485*設定!$C$5,"△","○")))</f>
        <v/>
      </c>
      <c r="AA2485" s="15">
        <f>IF($Z2485="","",IF($Z2485="×",0,IF($Z2485="○",ROUNDDOWN($E2485*設定!$C$4,0),ROUNDDOWN($E2485*ROUND((9*$Y2485-9*$E2485)/(10*$E2485),4),0))))</f>
        <v/>
      </c>
      <c r="AB2485" s="13" t="n"/>
      <c r="AC2485" s="15">
        <f>IF($B2485="","",IF($AB2485&lt;&gt;"",$AB2485,IF($AA2485="","",IF($AA2485&lt;=設定!$C$3,0,$AA2485))))</f>
        <v/>
      </c>
      <c r="AD2485" s="14">
        <f>IF($B2485="","",IF(AND($AE2485&lt;&gt;"",$AG2485="",$AJ2485=""),"保留中",IF($AJ2485&lt;&gt;"",IF(N($AC2485)&gt;0,"支給済","不支給"),IF($AC2485="","要確認",IF($AC2485=0,"不支給","未処理")))))</f>
        <v/>
      </c>
      <c r="AE2485" s="12" t="n"/>
      <c r="AF2485" s="11" t="n"/>
      <c r="AG2485" s="11" t="n"/>
      <c r="AH2485" s="11" t="n"/>
      <c r="AI2485" s="14">
        <f>IF(AND($AD2485="保留中",$AF2485&lt;&gt;""),TODAY()-$AF2485,"")</f>
        <v/>
      </c>
      <c r="AJ2485" s="12" t="n"/>
      <c r="AK2485" s="14">
        <f>IF($B2485="","",IF($AO2485="","対象年月が未入力／","")&amp;IF($B2485="","",IF($AN2485="","職員マスタに未登録の職員番号／",IF($Y2485="","標準報酬月額が未登録／","")&amp;IF(AND($AO2485&lt;&gt;"",OR(AND(INDEX(職員マスタ!$G$6:$G$405,$AN2485)&lt;&gt;"",INDEX(職員マスタ!$G$6:$G$405,$AN2485)&gt;EOMONTH($AO2485,0)),AND(INDEX(職員マスタ!$H$6:$H$405,$AN2485)&lt;&gt;"",INDEX(職員マスタ!$H$6:$H$405,$AN2485)&lt;$AO2485))),"対象月が時短期間外／","")&amp;IF(AND(INDEX(職員マスタ!$F$6:$F$405,$AN2485)&lt;&gt;"",$AO2485&lt;&gt;"",INDEX(職員マスタ!$F$6:$F$405,$AN2485)&lt;$AO2485),"対象月に子が2歳到達済／","")&amp;IF(AND($H2485&lt;&gt;"",INDEX(職員マスタ!$B$6:$B$405,$AN2485)&lt;&gt;"",SUBSTITUTE(SUBSTITUTE($H2485," ","")," ","")&lt;&gt;SUBSTITUTE(SUBSTITUTE(INDEX(職員マスタ!$B$6:$B$405,$AN2485)," ","")," ","")),"氏名がマスタと相違／","")&amp;IF(AND($Q2485&lt;&gt;"",INDEX(職員マスタ!$E$6:$E$405,$AN2485)&lt;&gt;"",$Q2485&lt;&gt;INDEX(職員マスタ!$E$6:$E$405,$AN2485)),"子の生年月日がマスタと相違／","")&amp;IF(AND($L2485&lt;&gt;"",INDEX(職員マスタ!$G$6:$G$405,$AN2485)&lt;&gt;"",$L2485&lt;&gt;INDEX(職員マスタ!$G$6:$G$405,$AN2485)),"時短開始日がマスタと相違／","")&amp;IF(AND($M2485&lt;&gt;"",INDEX(職員マスタ!$H$6:$H$405,$AN2485)&lt;&gt;"",$M2485&lt;&gt;INDEX(職員マスタ!$H$6:$H$405,$AN2485)),"時短終了日がマスタと相違／","")))&amp;IF(AND($B2485&lt;&gt;"",$E2485=""),"報酬額が未入力／","")&amp;IF(N($U2485)&gt;0,"申請書に入力エラーが残っています／","")&amp;IF(AND($B2485&lt;&gt;"",$AO2485&lt;&gt;""),IF(COUNTIFS($B$6:$B$3005,$B2485,$C$6:$C$3005,$C2485,$D$6:$D$3005,$D2485)&gt;1,"同じ月の請求が重複しています／",""),"")&amp;IF(AND(N($E2485)&gt;0,$Z2485&lt;&gt;"",$Z2485&lt;&gt;"×",$AC2485=0,$AB2485=""),"計算額が下限以下のため不支給／",""))</f>
        <v/>
      </c>
      <c r="AL2485" s="12" t="n"/>
      <c r="AM2485" s="14">
        <f>IF($AD2485="保留中",COUNTIF($AD$6:$AD2485,"保留中"),"")</f>
        <v/>
      </c>
      <c r="AN2485" s="14">
        <f>IF($AO2485="","",IF(SUMPRODUCT(MAX((職員マスタ!$A$6:$A$405=$B2485)*(((職員マスタ!$G$6:$G$405="")+(職員マスタ!$G$6:$G$405&lt;=EOMONTH($AO2485,0)))&gt;0)*(((職員マスタ!$H$6:$H$405="")+(職員マスタ!$H$6:$H$405&gt;=$AO2485))&gt;0)*(ROW(職員マスタ!$A$6:$A$405)-5)))&gt;0,SUMPRODUCT(MAX((職員マスタ!$A$6:$A$405=$B2485)*(((職員マスタ!$G$6:$G$405="")+(職員マスタ!$G$6:$G$405&lt;=EOMONTH($AO2485,0)))&gt;0)*(((職員マスタ!$H$6:$H$405="")+(職員マスタ!$H$6:$H$405&gt;=$AO2485))&gt;0)*(ROW(職員マスタ!$A$6:$A$405)-5))),IFERROR(MATCH($B2485,職員マスタ!$A$6:$A$405,0),"")))</f>
        <v/>
      </c>
      <c r="AO2485" s="16">
        <f>IF(OR($B2485="",$C2485="",$D2485=""),"",DATE($C2485+2018,$D2485,1))</f>
        <v/>
      </c>
    </row>
    <row r="2486">
      <c r="A2486" s="11" t="n"/>
      <c r="B2486" s="12" t="n"/>
      <c r="C2486" s="12" t="n"/>
      <c r="D2486" s="12" t="n"/>
      <c r="E2486" s="13" t="n"/>
      <c r="F2486" s="12" t="n"/>
      <c r="G2486" s="13" t="n"/>
      <c r="H2486" s="12" t="n"/>
      <c r="I2486" s="12" t="n"/>
      <c r="J2486" s="12" t="n"/>
      <c r="K2486" s="12" t="n"/>
      <c r="L2486" s="11" t="n"/>
      <c r="M2486" s="11" t="n"/>
      <c r="N2486" s="11" t="n"/>
      <c r="O2486" s="11" t="n"/>
      <c r="P2486" s="12" t="n"/>
      <c r="Q2486" s="11" t="n"/>
      <c r="R2486" s="12" t="n"/>
      <c r="S2486" s="11" t="n"/>
      <c r="T2486" s="12" t="n"/>
      <c r="U2486" s="12" t="n"/>
      <c r="V2486" s="14">
        <f>IF($AN2486="",IF($B2486="","",$H2486),IF(INDEX(職員マスタ!$B$6:$B$405,$AN2486)="",$H2486,INDEX(職員マスタ!$B$6:$B$405,$AN2486)))</f>
        <v/>
      </c>
      <c r="W2486" s="14">
        <f>IF($AN2486="",IF($B2486="","",$R2486),IF(INDEX(職員マスタ!$C$6:$C$405,$AN2486)="",$R2486,INDEX(職員マスタ!$C$6:$C$405,$AN2486)))</f>
        <v/>
      </c>
      <c r="X2486" s="14">
        <f>IF($AO2486="","","R"&amp;$C2486&amp;"."&amp;$D2486)</f>
        <v/>
      </c>
      <c r="Y2486" s="15">
        <f>IF($AN2486="","",IF(INDEX(職員マスタ!$K$6:$K$405,$AN2486)="","",INDEX(職員マスタ!$K$6:$K$405,$AN2486)))</f>
        <v/>
      </c>
      <c r="Z2486" s="14">
        <f>IF(OR($E2486="",$Y2486=""),"",IF($E2486&gt;=$Y2486,"×",IF($E2486&gt;=$Y2486*設定!$C$5,"△","○")))</f>
        <v/>
      </c>
      <c r="AA2486" s="15">
        <f>IF($Z2486="","",IF($Z2486="×",0,IF($Z2486="○",ROUNDDOWN($E2486*設定!$C$4,0),ROUNDDOWN($E2486*ROUND((9*$Y2486-9*$E2486)/(10*$E2486),4),0))))</f>
        <v/>
      </c>
      <c r="AB2486" s="13" t="n"/>
      <c r="AC2486" s="15">
        <f>IF($B2486="","",IF($AB2486&lt;&gt;"",$AB2486,IF($AA2486="","",IF($AA2486&lt;=設定!$C$3,0,$AA2486))))</f>
        <v/>
      </c>
      <c r="AD2486" s="14">
        <f>IF($B2486="","",IF(AND($AE2486&lt;&gt;"",$AG2486="",$AJ2486=""),"保留中",IF($AJ2486&lt;&gt;"",IF(N($AC2486)&gt;0,"支給済","不支給"),IF($AC2486="","要確認",IF($AC2486=0,"不支給","未処理")))))</f>
        <v/>
      </c>
      <c r="AE2486" s="12" t="n"/>
      <c r="AF2486" s="11" t="n"/>
      <c r="AG2486" s="11" t="n"/>
      <c r="AH2486" s="11" t="n"/>
      <c r="AI2486" s="14">
        <f>IF(AND($AD2486="保留中",$AF2486&lt;&gt;""),TODAY()-$AF2486,"")</f>
        <v/>
      </c>
      <c r="AJ2486" s="12" t="n"/>
      <c r="AK2486" s="14">
        <f>IF($B2486="","",IF($AO2486="","対象年月が未入力／","")&amp;IF($B2486="","",IF($AN2486="","職員マスタに未登録の職員番号／",IF($Y2486="","標準報酬月額が未登録／","")&amp;IF(AND($AO2486&lt;&gt;"",OR(AND(INDEX(職員マスタ!$G$6:$G$405,$AN2486)&lt;&gt;"",INDEX(職員マスタ!$G$6:$G$405,$AN2486)&gt;EOMONTH($AO2486,0)),AND(INDEX(職員マスタ!$H$6:$H$405,$AN2486)&lt;&gt;"",INDEX(職員マスタ!$H$6:$H$405,$AN2486)&lt;$AO2486))),"対象月が時短期間外／","")&amp;IF(AND(INDEX(職員マスタ!$F$6:$F$405,$AN2486)&lt;&gt;"",$AO2486&lt;&gt;"",INDEX(職員マスタ!$F$6:$F$405,$AN2486)&lt;$AO2486),"対象月に子が2歳到達済／","")&amp;IF(AND($H2486&lt;&gt;"",INDEX(職員マスタ!$B$6:$B$405,$AN2486)&lt;&gt;"",SUBSTITUTE(SUBSTITUTE($H2486," ","")," ","")&lt;&gt;SUBSTITUTE(SUBSTITUTE(INDEX(職員マスタ!$B$6:$B$405,$AN2486)," ","")," ","")),"氏名がマスタと相違／","")&amp;IF(AND($Q2486&lt;&gt;"",INDEX(職員マスタ!$E$6:$E$405,$AN2486)&lt;&gt;"",$Q2486&lt;&gt;INDEX(職員マスタ!$E$6:$E$405,$AN2486)),"子の生年月日がマスタと相違／","")&amp;IF(AND($L2486&lt;&gt;"",INDEX(職員マスタ!$G$6:$G$405,$AN2486)&lt;&gt;"",$L2486&lt;&gt;INDEX(職員マスタ!$G$6:$G$405,$AN2486)),"時短開始日がマスタと相違／","")&amp;IF(AND($M2486&lt;&gt;"",INDEX(職員マスタ!$H$6:$H$405,$AN2486)&lt;&gt;"",$M2486&lt;&gt;INDEX(職員マスタ!$H$6:$H$405,$AN2486)),"時短終了日がマスタと相違／","")))&amp;IF(AND($B2486&lt;&gt;"",$E2486=""),"報酬額が未入力／","")&amp;IF(N($U2486)&gt;0,"申請書に入力エラーが残っています／","")&amp;IF(AND($B2486&lt;&gt;"",$AO2486&lt;&gt;""),IF(COUNTIFS($B$6:$B$3005,$B2486,$C$6:$C$3005,$C2486,$D$6:$D$3005,$D2486)&gt;1,"同じ月の請求が重複しています／",""),"")&amp;IF(AND(N($E2486)&gt;0,$Z2486&lt;&gt;"",$Z2486&lt;&gt;"×",$AC2486=0,$AB2486=""),"計算額が下限以下のため不支給／",""))</f>
        <v/>
      </c>
      <c r="AL2486" s="12" t="n"/>
      <c r="AM2486" s="14">
        <f>IF($AD2486="保留中",COUNTIF($AD$6:$AD2486,"保留中"),"")</f>
        <v/>
      </c>
      <c r="AN2486" s="14">
        <f>IF($AO2486="","",IF(SUMPRODUCT(MAX((職員マスタ!$A$6:$A$405=$B2486)*(((職員マスタ!$G$6:$G$405="")+(職員マスタ!$G$6:$G$405&lt;=EOMONTH($AO2486,0)))&gt;0)*(((職員マスタ!$H$6:$H$405="")+(職員マスタ!$H$6:$H$405&gt;=$AO2486))&gt;0)*(ROW(職員マスタ!$A$6:$A$405)-5)))&gt;0,SUMPRODUCT(MAX((職員マスタ!$A$6:$A$405=$B2486)*(((職員マスタ!$G$6:$G$405="")+(職員マスタ!$G$6:$G$405&lt;=EOMONTH($AO2486,0)))&gt;0)*(((職員マスタ!$H$6:$H$405="")+(職員マスタ!$H$6:$H$405&gt;=$AO2486))&gt;0)*(ROW(職員マスタ!$A$6:$A$405)-5))),IFERROR(MATCH($B2486,職員マスタ!$A$6:$A$405,0),"")))</f>
        <v/>
      </c>
      <c r="AO2486" s="16">
        <f>IF(OR($B2486="",$C2486="",$D2486=""),"",DATE($C2486+2018,$D2486,1))</f>
        <v/>
      </c>
    </row>
    <row r="2487">
      <c r="A2487" s="11" t="n"/>
      <c r="B2487" s="12" t="n"/>
      <c r="C2487" s="12" t="n"/>
      <c r="D2487" s="12" t="n"/>
      <c r="E2487" s="13" t="n"/>
      <c r="F2487" s="12" t="n"/>
      <c r="G2487" s="13" t="n"/>
      <c r="H2487" s="12" t="n"/>
      <c r="I2487" s="12" t="n"/>
      <c r="J2487" s="12" t="n"/>
      <c r="K2487" s="12" t="n"/>
      <c r="L2487" s="11" t="n"/>
      <c r="M2487" s="11" t="n"/>
      <c r="N2487" s="11" t="n"/>
      <c r="O2487" s="11" t="n"/>
      <c r="P2487" s="12" t="n"/>
      <c r="Q2487" s="11" t="n"/>
      <c r="R2487" s="12" t="n"/>
      <c r="S2487" s="11" t="n"/>
      <c r="T2487" s="12" t="n"/>
      <c r="U2487" s="12" t="n"/>
      <c r="V2487" s="14">
        <f>IF($AN2487="",IF($B2487="","",$H2487),IF(INDEX(職員マスタ!$B$6:$B$405,$AN2487)="",$H2487,INDEX(職員マスタ!$B$6:$B$405,$AN2487)))</f>
        <v/>
      </c>
      <c r="W2487" s="14">
        <f>IF($AN2487="",IF($B2487="","",$R2487),IF(INDEX(職員マスタ!$C$6:$C$405,$AN2487)="",$R2487,INDEX(職員マスタ!$C$6:$C$405,$AN2487)))</f>
        <v/>
      </c>
      <c r="X2487" s="14">
        <f>IF($AO2487="","","R"&amp;$C2487&amp;"."&amp;$D2487)</f>
        <v/>
      </c>
      <c r="Y2487" s="15">
        <f>IF($AN2487="","",IF(INDEX(職員マスタ!$K$6:$K$405,$AN2487)="","",INDEX(職員マスタ!$K$6:$K$405,$AN2487)))</f>
        <v/>
      </c>
      <c r="Z2487" s="14">
        <f>IF(OR($E2487="",$Y2487=""),"",IF($E2487&gt;=$Y2487,"×",IF($E2487&gt;=$Y2487*設定!$C$5,"△","○")))</f>
        <v/>
      </c>
      <c r="AA2487" s="15">
        <f>IF($Z2487="","",IF($Z2487="×",0,IF($Z2487="○",ROUNDDOWN($E2487*設定!$C$4,0),ROUNDDOWN($E2487*ROUND((9*$Y2487-9*$E2487)/(10*$E2487),4),0))))</f>
        <v/>
      </c>
      <c r="AB2487" s="13" t="n"/>
      <c r="AC2487" s="15">
        <f>IF($B2487="","",IF($AB2487&lt;&gt;"",$AB2487,IF($AA2487="","",IF($AA2487&lt;=設定!$C$3,0,$AA2487))))</f>
        <v/>
      </c>
      <c r="AD2487" s="14">
        <f>IF($B2487="","",IF(AND($AE2487&lt;&gt;"",$AG2487="",$AJ2487=""),"保留中",IF($AJ2487&lt;&gt;"",IF(N($AC2487)&gt;0,"支給済","不支給"),IF($AC2487="","要確認",IF($AC2487=0,"不支給","未処理")))))</f>
        <v/>
      </c>
      <c r="AE2487" s="12" t="n"/>
      <c r="AF2487" s="11" t="n"/>
      <c r="AG2487" s="11" t="n"/>
      <c r="AH2487" s="11" t="n"/>
      <c r="AI2487" s="14">
        <f>IF(AND($AD2487="保留中",$AF2487&lt;&gt;""),TODAY()-$AF2487,"")</f>
        <v/>
      </c>
      <c r="AJ2487" s="12" t="n"/>
      <c r="AK2487" s="14">
        <f>IF($B2487="","",IF($AO2487="","対象年月が未入力／","")&amp;IF($B2487="","",IF($AN2487="","職員マスタに未登録の職員番号／",IF($Y2487="","標準報酬月額が未登録／","")&amp;IF(AND($AO2487&lt;&gt;"",OR(AND(INDEX(職員マスタ!$G$6:$G$405,$AN2487)&lt;&gt;"",INDEX(職員マスタ!$G$6:$G$405,$AN2487)&gt;EOMONTH($AO2487,0)),AND(INDEX(職員マスタ!$H$6:$H$405,$AN2487)&lt;&gt;"",INDEX(職員マスタ!$H$6:$H$405,$AN2487)&lt;$AO2487))),"対象月が時短期間外／","")&amp;IF(AND(INDEX(職員マスタ!$F$6:$F$405,$AN2487)&lt;&gt;"",$AO2487&lt;&gt;"",INDEX(職員マスタ!$F$6:$F$405,$AN2487)&lt;$AO2487),"対象月に子が2歳到達済／","")&amp;IF(AND($H2487&lt;&gt;"",INDEX(職員マスタ!$B$6:$B$405,$AN2487)&lt;&gt;"",SUBSTITUTE(SUBSTITUTE($H2487," ","")," ","")&lt;&gt;SUBSTITUTE(SUBSTITUTE(INDEX(職員マスタ!$B$6:$B$405,$AN2487)," ","")," ","")),"氏名がマスタと相違／","")&amp;IF(AND($Q2487&lt;&gt;"",INDEX(職員マスタ!$E$6:$E$405,$AN2487)&lt;&gt;"",$Q2487&lt;&gt;INDEX(職員マスタ!$E$6:$E$405,$AN2487)),"子の生年月日がマスタと相違／","")&amp;IF(AND($L2487&lt;&gt;"",INDEX(職員マスタ!$G$6:$G$405,$AN2487)&lt;&gt;"",$L2487&lt;&gt;INDEX(職員マスタ!$G$6:$G$405,$AN2487)),"時短開始日がマスタと相違／","")&amp;IF(AND($M2487&lt;&gt;"",INDEX(職員マスタ!$H$6:$H$405,$AN2487)&lt;&gt;"",$M2487&lt;&gt;INDEX(職員マスタ!$H$6:$H$405,$AN2487)),"時短終了日がマスタと相違／","")))&amp;IF(AND($B2487&lt;&gt;"",$E2487=""),"報酬額が未入力／","")&amp;IF(N($U2487)&gt;0,"申請書に入力エラーが残っています／","")&amp;IF(AND($B2487&lt;&gt;"",$AO2487&lt;&gt;""),IF(COUNTIFS($B$6:$B$3005,$B2487,$C$6:$C$3005,$C2487,$D$6:$D$3005,$D2487)&gt;1,"同じ月の請求が重複しています／",""),"")&amp;IF(AND(N($E2487)&gt;0,$Z2487&lt;&gt;"",$Z2487&lt;&gt;"×",$AC2487=0,$AB2487=""),"計算額が下限以下のため不支給／",""))</f>
        <v/>
      </c>
      <c r="AL2487" s="12" t="n"/>
      <c r="AM2487" s="14">
        <f>IF($AD2487="保留中",COUNTIF($AD$6:$AD2487,"保留中"),"")</f>
        <v/>
      </c>
      <c r="AN2487" s="14">
        <f>IF($AO2487="","",IF(SUMPRODUCT(MAX((職員マスタ!$A$6:$A$405=$B2487)*(((職員マスタ!$G$6:$G$405="")+(職員マスタ!$G$6:$G$405&lt;=EOMONTH($AO2487,0)))&gt;0)*(((職員マスタ!$H$6:$H$405="")+(職員マスタ!$H$6:$H$405&gt;=$AO2487))&gt;0)*(ROW(職員マスタ!$A$6:$A$405)-5)))&gt;0,SUMPRODUCT(MAX((職員マスタ!$A$6:$A$405=$B2487)*(((職員マスタ!$G$6:$G$405="")+(職員マスタ!$G$6:$G$405&lt;=EOMONTH($AO2487,0)))&gt;0)*(((職員マスタ!$H$6:$H$405="")+(職員マスタ!$H$6:$H$405&gt;=$AO2487))&gt;0)*(ROW(職員マスタ!$A$6:$A$405)-5))),IFERROR(MATCH($B2487,職員マスタ!$A$6:$A$405,0),"")))</f>
        <v/>
      </c>
      <c r="AO2487" s="16">
        <f>IF(OR($B2487="",$C2487="",$D2487=""),"",DATE($C2487+2018,$D2487,1))</f>
        <v/>
      </c>
    </row>
    <row r="2488">
      <c r="A2488" s="11" t="n"/>
      <c r="B2488" s="12" t="n"/>
      <c r="C2488" s="12" t="n"/>
      <c r="D2488" s="12" t="n"/>
      <c r="E2488" s="13" t="n"/>
      <c r="F2488" s="12" t="n"/>
      <c r="G2488" s="13" t="n"/>
      <c r="H2488" s="12" t="n"/>
      <c r="I2488" s="12" t="n"/>
      <c r="J2488" s="12" t="n"/>
      <c r="K2488" s="12" t="n"/>
      <c r="L2488" s="11" t="n"/>
      <c r="M2488" s="11" t="n"/>
      <c r="N2488" s="11" t="n"/>
      <c r="O2488" s="11" t="n"/>
      <c r="P2488" s="12" t="n"/>
      <c r="Q2488" s="11" t="n"/>
      <c r="R2488" s="12" t="n"/>
      <c r="S2488" s="11" t="n"/>
      <c r="T2488" s="12" t="n"/>
      <c r="U2488" s="12" t="n"/>
      <c r="V2488" s="14">
        <f>IF($AN2488="",IF($B2488="","",$H2488),IF(INDEX(職員マスタ!$B$6:$B$405,$AN2488)="",$H2488,INDEX(職員マスタ!$B$6:$B$405,$AN2488)))</f>
        <v/>
      </c>
      <c r="W2488" s="14">
        <f>IF($AN2488="",IF($B2488="","",$R2488),IF(INDEX(職員マスタ!$C$6:$C$405,$AN2488)="",$R2488,INDEX(職員マスタ!$C$6:$C$405,$AN2488)))</f>
        <v/>
      </c>
      <c r="X2488" s="14">
        <f>IF($AO2488="","","R"&amp;$C2488&amp;"."&amp;$D2488)</f>
        <v/>
      </c>
      <c r="Y2488" s="15">
        <f>IF($AN2488="","",IF(INDEX(職員マスタ!$K$6:$K$405,$AN2488)="","",INDEX(職員マスタ!$K$6:$K$405,$AN2488)))</f>
        <v/>
      </c>
      <c r="Z2488" s="14">
        <f>IF(OR($E2488="",$Y2488=""),"",IF($E2488&gt;=$Y2488,"×",IF($E2488&gt;=$Y2488*設定!$C$5,"△","○")))</f>
        <v/>
      </c>
      <c r="AA2488" s="15">
        <f>IF($Z2488="","",IF($Z2488="×",0,IF($Z2488="○",ROUNDDOWN($E2488*設定!$C$4,0),ROUNDDOWN($E2488*ROUND((9*$Y2488-9*$E2488)/(10*$E2488),4),0))))</f>
        <v/>
      </c>
      <c r="AB2488" s="13" t="n"/>
      <c r="AC2488" s="15">
        <f>IF($B2488="","",IF($AB2488&lt;&gt;"",$AB2488,IF($AA2488="","",IF($AA2488&lt;=設定!$C$3,0,$AA2488))))</f>
        <v/>
      </c>
      <c r="AD2488" s="14">
        <f>IF($B2488="","",IF(AND($AE2488&lt;&gt;"",$AG2488="",$AJ2488=""),"保留中",IF($AJ2488&lt;&gt;"",IF(N($AC2488)&gt;0,"支給済","不支給"),IF($AC2488="","要確認",IF($AC2488=0,"不支給","未処理")))))</f>
        <v/>
      </c>
      <c r="AE2488" s="12" t="n"/>
      <c r="AF2488" s="11" t="n"/>
      <c r="AG2488" s="11" t="n"/>
      <c r="AH2488" s="11" t="n"/>
      <c r="AI2488" s="14">
        <f>IF(AND($AD2488="保留中",$AF2488&lt;&gt;""),TODAY()-$AF2488,"")</f>
        <v/>
      </c>
      <c r="AJ2488" s="12" t="n"/>
      <c r="AK2488" s="14">
        <f>IF($B2488="","",IF($AO2488="","対象年月が未入力／","")&amp;IF($B2488="","",IF($AN2488="","職員マスタに未登録の職員番号／",IF($Y2488="","標準報酬月額が未登録／","")&amp;IF(AND($AO2488&lt;&gt;"",OR(AND(INDEX(職員マスタ!$G$6:$G$405,$AN2488)&lt;&gt;"",INDEX(職員マスタ!$G$6:$G$405,$AN2488)&gt;EOMONTH($AO2488,0)),AND(INDEX(職員マスタ!$H$6:$H$405,$AN2488)&lt;&gt;"",INDEX(職員マスタ!$H$6:$H$405,$AN2488)&lt;$AO2488))),"対象月が時短期間外／","")&amp;IF(AND(INDEX(職員マスタ!$F$6:$F$405,$AN2488)&lt;&gt;"",$AO2488&lt;&gt;"",INDEX(職員マスタ!$F$6:$F$405,$AN2488)&lt;$AO2488),"対象月に子が2歳到達済／","")&amp;IF(AND($H2488&lt;&gt;"",INDEX(職員マスタ!$B$6:$B$405,$AN2488)&lt;&gt;"",SUBSTITUTE(SUBSTITUTE($H2488," ","")," ","")&lt;&gt;SUBSTITUTE(SUBSTITUTE(INDEX(職員マスタ!$B$6:$B$405,$AN2488)," ","")," ","")),"氏名がマスタと相違／","")&amp;IF(AND($Q2488&lt;&gt;"",INDEX(職員マスタ!$E$6:$E$405,$AN2488)&lt;&gt;"",$Q2488&lt;&gt;INDEX(職員マスタ!$E$6:$E$405,$AN2488)),"子の生年月日がマスタと相違／","")&amp;IF(AND($L2488&lt;&gt;"",INDEX(職員マスタ!$G$6:$G$405,$AN2488)&lt;&gt;"",$L2488&lt;&gt;INDEX(職員マスタ!$G$6:$G$405,$AN2488)),"時短開始日がマスタと相違／","")&amp;IF(AND($M2488&lt;&gt;"",INDEX(職員マスタ!$H$6:$H$405,$AN2488)&lt;&gt;"",$M2488&lt;&gt;INDEX(職員マスタ!$H$6:$H$405,$AN2488)),"時短終了日がマスタと相違／","")))&amp;IF(AND($B2488&lt;&gt;"",$E2488=""),"報酬額が未入力／","")&amp;IF(N($U2488)&gt;0,"申請書に入力エラーが残っています／","")&amp;IF(AND($B2488&lt;&gt;"",$AO2488&lt;&gt;""),IF(COUNTIFS($B$6:$B$3005,$B2488,$C$6:$C$3005,$C2488,$D$6:$D$3005,$D2488)&gt;1,"同じ月の請求が重複しています／",""),"")&amp;IF(AND(N($E2488)&gt;0,$Z2488&lt;&gt;"",$Z2488&lt;&gt;"×",$AC2488=0,$AB2488=""),"計算額が下限以下のため不支給／",""))</f>
        <v/>
      </c>
      <c r="AL2488" s="12" t="n"/>
      <c r="AM2488" s="14">
        <f>IF($AD2488="保留中",COUNTIF($AD$6:$AD2488,"保留中"),"")</f>
        <v/>
      </c>
      <c r="AN2488" s="14">
        <f>IF($AO2488="","",IF(SUMPRODUCT(MAX((職員マスタ!$A$6:$A$405=$B2488)*(((職員マスタ!$G$6:$G$405="")+(職員マスタ!$G$6:$G$405&lt;=EOMONTH($AO2488,0)))&gt;0)*(((職員マスタ!$H$6:$H$405="")+(職員マスタ!$H$6:$H$405&gt;=$AO2488))&gt;0)*(ROW(職員マスタ!$A$6:$A$405)-5)))&gt;0,SUMPRODUCT(MAX((職員マスタ!$A$6:$A$405=$B2488)*(((職員マスタ!$G$6:$G$405="")+(職員マスタ!$G$6:$G$405&lt;=EOMONTH($AO2488,0)))&gt;0)*(((職員マスタ!$H$6:$H$405="")+(職員マスタ!$H$6:$H$405&gt;=$AO2488))&gt;0)*(ROW(職員マスタ!$A$6:$A$405)-5))),IFERROR(MATCH($B2488,職員マスタ!$A$6:$A$405,0),"")))</f>
        <v/>
      </c>
      <c r="AO2488" s="16">
        <f>IF(OR($B2488="",$C2488="",$D2488=""),"",DATE($C2488+2018,$D2488,1))</f>
        <v/>
      </c>
    </row>
    <row r="2489">
      <c r="A2489" s="11" t="n"/>
      <c r="B2489" s="12" t="n"/>
      <c r="C2489" s="12" t="n"/>
      <c r="D2489" s="12" t="n"/>
      <c r="E2489" s="13" t="n"/>
      <c r="F2489" s="12" t="n"/>
      <c r="G2489" s="13" t="n"/>
      <c r="H2489" s="12" t="n"/>
      <c r="I2489" s="12" t="n"/>
      <c r="J2489" s="12" t="n"/>
      <c r="K2489" s="12" t="n"/>
      <c r="L2489" s="11" t="n"/>
      <c r="M2489" s="11" t="n"/>
      <c r="N2489" s="11" t="n"/>
      <c r="O2489" s="11" t="n"/>
      <c r="P2489" s="12" t="n"/>
      <c r="Q2489" s="11" t="n"/>
      <c r="R2489" s="12" t="n"/>
      <c r="S2489" s="11" t="n"/>
      <c r="T2489" s="12" t="n"/>
      <c r="U2489" s="12" t="n"/>
      <c r="V2489" s="14">
        <f>IF($AN2489="",IF($B2489="","",$H2489),IF(INDEX(職員マスタ!$B$6:$B$405,$AN2489)="",$H2489,INDEX(職員マスタ!$B$6:$B$405,$AN2489)))</f>
        <v/>
      </c>
      <c r="W2489" s="14">
        <f>IF($AN2489="",IF($B2489="","",$R2489),IF(INDEX(職員マスタ!$C$6:$C$405,$AN2489)="",$R2489,INDEX(職員マスタ!$C$6:$C$405,$AN2489)))</f>
        <v/>
      </c>
      <c r="X2489" s="14">
        <f>IF($AO2489="","","R"&amp;$C2489&amp;"."&amp;$D2489)</f>
        <v/>
      </c>
      <c r="Y2489" s="15">
        <f>IF($AN2489="","",IF(INDEX(職員マスタ!$K$6:$K$405,$AN2489)="","",INDEX(職員マスタ!$K$6:$K$405,$AN2489)))</f>
        <v/>
      </c>
      <c r="Z2489" s="14">
        <f>IF(OR($E2489="",$Y2489=""),"",IF($E2489&gt;=$Y2489,"×",IF($E2489&gt;=$Y2489*設定!$C$5,"△","○")))</f>
        <v/>
      </c>
      <c r="AA2489" s="15">
        <f>IF($Z2489="","",IF($Z2489="×",0,IF($Z2489="○",ROUNDDOWN($E2489*設定!$C$4,0),ROUNDDOWN($E2489*ROUND((9*$Y2489-9*$E2489)/(10*$E2489),4),0))))</f>
        <v/>
      </c>
      <c r="AB2489" s="13" t="n"/>
      <c r="AC2489" s="15">
        <f>IF($B2489="","",IF($AB2489&lt;&gt;"",$AB2489,IF($AA2489="","",IF($AA2489&lt;=設定!$C$3,0,$AA2489))))</f>
        <v/>
      </c>
      <c r="AD2489" s="14">
        <f>IF($B2489="","",IF(AND($AE2489&lt;&gt;"",$AG2489="",$AJ2489=""),"保留中",IF($AJ2489&lt;&gt;"",IF(N($AC2489)&gt;0,"支給済","不支給"),IF($AC2489="","要確認",IF($AC2489=0,"不支給","未処理")))))</f>
        <v/>
      </c>
      <c r="AE2489" s="12" t="n"/>
      <c r="AF2489" s="11" t="n"/>
      <c r="AG2489" s="11" t="n"/>
      <c r="AH2489" s="11" t="n"/>
      <c r="AI2489" s="14">
        <f>IF(AND($AD2489="保留中",$AF2489&lt;&gt;""),TODAY()-$AF2489,"")</f>
        <v/>
      </c>
      <c r="AJ2489" s="12" t="n"/>
      <c r="AK2489" s="14">
        <f>IF($B2489="","",IF($AO2489="","対象年月が未入力／","")&amp;IF($B2489="","",IF($AN2489="","職員マスタに未登録の職員番号／",IF($Y2489="","標準報酬月額が未登録／","")&amp;IF(AND($AO2489&lt;&gt;"",OR(AND(INDEX(職員マスタ!$G$6:$G$405,$AN2489)&lt;&gt;"",INDEX(職員マスタ!$G$6:$G$405,$AN2489)&gt;EOMONTH($AO2489,0)),AND(INDEX(職員マスタ!$H$6:$H$405,$AN2489)&lt;&gt;"",INDEX(職員マスタ!$H$6:$H$405,$AN2489)&lt;$AO2489))),"対象月が時短期間外／","")&amp;IF(AND(INDEX(職員マスタ!$F$6:$F$405,$AN2489)&lt;&gt;"",$AO2489&lt;&gt;"",INDEX(職員マスタ!$F$6:$F$405,$AN2489)&lt;$AO2489),"対象月に子が2歳到達済／","")&amp;IF(AND($H2489&lt;&gt;"",INDEX(職員マスタ!$B$6:$B$405,$AN2489)&lt;&gt;"",SUBSTITUTE(SUBSTITUTE($H2489," ","")," ","")&lt;&gt;SUBSTITUTE(SUBSTITUTE(INDEX(職員マスタ!$B$6:$B$405,$AN2489)," ","")," ","")),"氏名がマスタと相違／","")&amp;IF(AND($Q2489&lt;&gt;"",INDEX(職員マスタ!$E$6:$E$405,$AN2489)&lt;&gt;"",$Q2489&lt;&gt;INDEX(職員マスタ!$E$6:$E$405,$AN2489)),"子の生年月日がマスタと相違／","")&amp;IF(AND($L2489&lt;&gt;"",INDEX(職員マスタ!$G$6:$G$405,$AN2489)&lt;&gt;"",$L2489&lt;&gt;INDEX(職員マスタ!$G$6:$G$405,$AN2489)),"時短開始日がマスタと相違／","")&amp;IF(AND($M2489&lt;&gt;"",INDEX(職員マスタ!$H$6:$H$405,$AN2489)&lt;&gt;"",$M2489&lt;&gt;INDEX(職員マスタ!$H$6:$H$405,$AN2489)),"時短終了日がマスタと相違／","")))&amp;IF(AND($B2489&lt;&gt;"",$E2489=""),"報酬額が未入力／","")&amp;IF(N($U2489)&gt;0,"申請書に入力エラーが残っています／","")&amp;IF(AND($B2489&lt;&gt;"",$AO2489&lt;&gt;""),IF(COUNTIFS($B$6:$B$3005,$B2489,$C$6:$C$3005,$C2489,$D$6:$D$3005,$D2489)&gt;1,"同じ月の請求が重複しています／",""),"")&amp;IF(AND(N($E2489)&gt;0,$Z2489&lt;&gt;"",$Z2489&lt;&gt;"×",$AC2489=0,$AB2489=""),"計算額が下限以下のため不支給／",""))</f>
        <v/>
      </c>
      <c r="AL2489" s="12" t="n"/>
      <c r="AM2489" s="14">
        <f>IF($AD2489="保留中",COUNTIF($AD$6:$AD2489,"保留中"),"")</f>
        <v/>
      </c>
      <c r="AN2489" s="14">
        <f>IF($AO2489="","",IF(SUMPRODUCT(MAX((職員マスタ!$A$6:$A$405=$B2489)*(((職員マスタ!$G$6:$G$405="")+(職員マスタ!$G$6:$G$405&lt;=EOMONTH($AO2489,0)))&gt;0)*(((職員マスタ!$H$6:$H$405="")+(職員マスタ!$H$6:$H$405&gt;=$AO2489))&gt;0)*(ROW(職員マスタ!$A$6:$A$405)-5)))&gt;0,SUMPRODUCT(MAX((職員マスタ!$A$6:$A$405=$B2489)*(((職員マスタ!$G$6:$G$405="")+(職員マスタ!$G$6:$G$405&lt;=EOMONTH($AO2489,0)))&gt;0)*(((職員マスタ!$H$6:$H$405="")+(職員マスタ!$H$6:$H$405&gt;=$AO2489))&gt;0)*(ROW(職員マスタ!$A$6:$A$405)-5))),IFERROR(MATCH($B2489,職員マスタ!$A$6:$A$405,0),"")))</f>
        <v/>
      </c>
      <c r="AO2489" s="16">
        <f>IF(OR($B2489="",$C2489="",$D2489=""),"",DATE($C2489+2018,$D2489,1))</f>
        <v/>
      </c>
    </row>
    <row r="2490">
      <c r="A2490" s="11" t="n"/>
      <c r="B2490" s="12" t="n"/>
      <c r="C2490" s="12" t="n"/>
      <c r="D2490" s="12" t="n"/>
      <c r="E2490" s="13" t="n"/>
      <c r="F2490" s="12" t="n"/>
      <c r="G2490" s="13" t="n"/>
      <c r="H2490" s="12" t="n"/>
      <c r="I2490" s="12" t="n"/>
      <c r="J2490" s="12" t="n"/>
      <c r="K2490" s="12" t="n"/>
      <c r="L2490" s="11" t="n"/>
      <c r="M2490" s="11" t="n"/>
      <c r="N2490" s="11" t="n"/>
      <c r="O2490" s="11" t="n"/>
      <c r="P2490" s="12" t="n"/>
      <c r="Q2490" s="11" t="n"/>
      <c r="R2490" s="12" t="n"/>
      <c r="S2490" s="11" t="n"/>
      <c r="T2490" s="12" t="n"/>
      <c r="U2490" s="12" t="n"/>
      <c r="V2490" s="14">
        <f>IF($AN2490="",IF($B2490="","",$H2490),IF(INDEX(職員マスタ!$B$6:$B$405,$AN2490)="",$H2490,INDEX(職員マスタ!$B$6:$B$405,$AN2490)))</f>
        <v/>
      </c>
      <c r="W2490" s="14">
        <f>IF($AN2490="",IF($B2490="","",$R2490),IF(INDEX(職員マスタ!$C$6:$C$405,$AN2490)="",$R2490,INDEX(職員マスタ!$C$6:$C$405,$AN2490)))</f>
        <v/>
      </c>
      <c r="X2490" s="14">
        <f>IF($AO2490="","","R"&amp;$C2490&amp;"."&amp;$D2490)</f>
        <v/>
      </c>
      <c r="Y2490" s="15">
        <f>IF($AN2490="","",IF(INDEX(職員マスタ!$K$6:$K$405,$AN2490)="","",INDEX(職員マスタ!$K$6:$K$405,$AN2490)))</f>
        <v/>
      </c>
      <c r="Z2490" s="14">
        <f>IF(OR($E2490="",$Y2490=""),"",IF($E2490&gt;=$Y2490,"×",IF($E2490&gt;=$Y2490*設定!$C$5,"△","○")))</f>
        <v/>
      </c>
      <c r="AA2490" s="15">
        <f>IF($Z2490="","",IF($Z2490="×",0,IF($Z2490="○",ROUNDDOWN($E2490*設定!$C$4,0),ROUNDDOWN($E2490*ROUND((9*$Y2490-9*$E2490)/(10*$E2490),4),0))))</f>
        <v/>
      </c>
      <c r="AB2490" s="13" t="n"/>
      <c r="AC2490" s="15">
        <f>IF($B2490="","",IF($AB2490&lt;&gt;"",$AB2490,IF($AA2490="","",IF($AA2490&lt;=設定!$C$3,0,$AA2490))))</f>
        <v/>
      </c>
      <c r="AD2490" s="14">
        <f>IF($B2490="","",IF(AND($AE2490&lt;&gt;"",$AG2490="",$AJ2490=""),"保留中",IF($AJ2490&lt;&gt;"",IF(N($AC2490)&gt;0,"支給済","不支給"),IF($AC2490="","要確認",IF($AC2490=0,"不支給","未処理")))))</f>
        <v/>
      </c>
      <c r="AE2490" s="12" t="n"/>
      <c r="AF2490" s="11" t="n"/>
      <c r="AG2490" s="11" t="n"/>
      <c r="AH2490" s="11" t="n"/>
      <c r="AI2490" s="14">
        <f>IF(AND($AD2490="保留中",$AF2490&lt;&gt;""),TODAY()-$AF2490,"")</f>
        <v/>
      </c>
      <c r="AJ2490" s="12" t="n"/>
      <c r="AK2490" s="14">
        <f>IF($B2490="","",IF($AO2490="","対象年月が未入力／","")&amp;IF($B2490="","",IF($AN2490="","職員マスタに未登録の職員番号／",IF($Y2490="","標準報酬月額が未登録／","")&amp;IF(AND($AO2490&lt;&gt;"",OR(AND(INDEX(職員マスタ!$G$6:$G$405,$AN2490)&lt;&gt;"",INDEX(職員マスタ!$G$6:$G$405,$AN2490)&gt;EOMONTH($AO2490,0)),AND(INDEX(職員マスタ!$H$6:$H$405,$AN2490)&lt;&gt;"",INDEX(職員マスタ!$H$6:$H$405,$AN2490)&lt;$AO2490))),"対象月が時短期間外／","")&amp;IF(AND(INDEX(職員マスタ!$F$6:$F$405,$AN2490)&lt;&gt;"",$AO2490&lt;&gt;"",INDEX(職員マスタ!$F$6:$F$405,$AN2490)&lt;$AO2490),"対象月に子が2歳到達済／","")&amp;IF(AND($H2490&lt;&gt;"",INDEX(職員マスタ!$B$6:$B$405,$AN2490)&lt;&gt;"",SUBSTITUTE(SUBSTITUTE($H2490," ","")," ","")&lt;&gt;SUBSTITUTE(SUBSTITUTE(INDEX(職員マスタ!$B$6:$B$405,$AN2490)," ","")," ","")),"氏名がマスタと相違／","")&amp;IF(AND($Q2490&lt;&gt;"",INDEX(職員マスタ!$E$6:$E$405,$AN2490)&lt;&gt;"",$Q2490&lt;&gt;INDEX(職員マスタ!$E$6:$E$405,$AN2490)),"子の生年月日がマスタと相違／","")&amp;IF(AND($L2490&lt;&gt;"",INDEX(職員マスタ!$G$6:$G$405,$AN2490)&lt;&gt;"",$L2490&lt;&gt;INDEX(職員マスタ!$G$6:$G$405,$AN2490)),"時短開始日がマスタと相違／","")&amp;IF(AND($M2490&lt;&gt;"",INDEX(職員マスタ!$H$6:$H$405,$AN2490)&lt;&gt;"",$M2490&lt;&gt;INDEX(職員マスタ!$H$6:$H$405,$AN2490)),"時短終了日がマスタと相違／","")))&amp;IF(AND($B2490&lt;&gt;"",$E2490=""),"報酬額が未入力／","")&amp;IF(N($U2490)&gt;0,"申請書に入力エラーが残っています／","")&amp;IF(AND($B2490&lt;&gt;"",$AO2490&lt;&gt;""),IF(COUNTIFS($B$6:$B$3005,$B2490,$C$6:$C$3005,$C2490,$D$6:$D$3005,$D2490)&gt;1,"同じ月の請求が重複しています／",""),"")&amp;IF(AND(N($E2490)&gt;0,$Z2490&lt;&gt;"",$Z2490&lt;&gt;"×",$AC2490=0,$AB2490=""),"計算額が下限以下のため不支給／",""))</f>
        <v/>
      </c>
      <c r="AL2490" s="12" t="n"/>
      <c r="AM2490" s="14">
        <f>IF($AD2490="保留中",COUNTIF($AD$6:$AD2490,"保留中"),"")</f>
        <v/>
      </c>
      <c r="AN2490" s="14">
        <f>IF($AO2490="","",IF(SUMPRODUCT(MAX((職員マスタ!$A$6:$A$405=$B2490)*(((職員マスタ!$G$6:$G$405="")+(職員マスタ!$G$6:$G$405&lt;=EOMONTH($AO2490,0)))&gt;0)*(((職員マスタ!$H$6:$H$405="")+(職員マスタ!$H$6:$H$405&gt;=$AO2490))&gt;0)*(ROW(職員マスタ!$A$6:$A$405)-5)))&gt;0,SUMPRODUCT(MAX((職員マスタ!$A$6:$A$405=$B2490)*(((職員マスタ!$G$6:$G$405="")+(職員マスタ!$G$6:$G$405&lt;=EOMONTH($AO2490,0)))&gt;0)*(((職員マスタ!$H$6:$H$405="")+(職員マスタ!$H$6:$H$405&gt;=$AO2490))&gt;0)*(ROW(職員マスタ!$A$6:$A$405)-5))),IFERROR(MATCH($B2490,職員マスタ!$A$6:$A$405,0),"")))</f>
        <v/>
      </c>
      <c r="AO2490" s="16">
        <f>IF(OR($B2490="",$C2490="",$D2490=""),"",DATE($C2490+2018,$D2490,1))</f>
        <v/>
      </c>
    </row>
    <row r="2491">
      <c r="A2491" s="11" t="n"/>
      <c r="B2491" s="12" t="n"/>
      <c r="C2491" s="12" t="n"/>
      <c r="D2491" s="12" t="n"/>
      <c r="E2491" s="13" t="n"/>
      <c r="F2491" s="12" t="n"/>
      <c r="G2491" s="13" t="n"/>
      <c r="H2491" s="12" t="n"/>
      <c r="I2491" s="12" t="n"/>
      <c r="J2491" s="12" t="n"/>
      <c r="K2491" s="12" t="n"/>
      <c r="L2491" s="11" t="n"/>
      <c r="M2491" s="11" t="n"/>
      <c r="N2491" s="11" t="n"/>
      <c r="O2491" s="11" t="n"/>
      <c r="P2491" s="12" t="n"/>
      <c r="Q2491" s="11" t="n"/>
      <c r="R2491" s="12" t="n"/>
      <c r="S2491" s="11" t="n"/>
      <c r="T2491" s="12" t="n"/>
      <c r="U2491" s="12" t="n"/>
      <c r="V2491" s="14">
        <f>IF($AN2491="",IF($B2491="","",$H2491),IF(INDEX(職員マスタ!$B$6:$B$405,$AN2491)="",$H2491,INDEX(職員マスタ!$B$6:$B$405,$AN2491)))</f>
        <v/>
      </c>
      <c r="W2491" s="14">
        <f>IF($AN2491="",IF($B2491="","",$R2491),IF(INDEX(職員マスタ!$C$6:$C$405,$AN2491)="",$R2491,INDEX(職員マスタ!$C$6:$C$405,$AN2491)))</f>
        <v/>
      </c>
      <c r="X2491" s="14">
        <f>IF($AO2491="","","R"&amp;$C2491&amp;"."&amp;$D2491)</f>
        <v/>
      </c>
      <c r="Y2491" s="15">
        <f>IF($AN2491="","",IF(INDEX(職員マスタ!$K$6:$K$405,$AN2491)="","",INDEX(職員マスタ!$K$6:$K$405,$AN2491)))</f>
        <v/>
      </c>
      <c r="Z2491" s="14">
        <f>IF(OR($E2491="",$Y2491=""),"",IF($E2491&gt;=$Y2491,"×",IF($E2491&gt;=$Y2491*設定!$C$5,"△","○")))</f>
        <v/>
      </c>
      <c r="AA2491" s="15">
        <f>IF($Z2491="","",IF($Z2491="×",0,IF($Z2491="○",ROUNDDOWN($E2491*設定!$C$4,0),ROUNDDOWN($E2491*ROUND((9*$Y2491-9*$E2491)/(10*$E2491),4),0))))</f>
        <v/>
      </c>
      <c r="AB2491" s="13" t="n"/>
      <c r="AC2491" s="15">
        <f>IF($B2491="","",IF($AB2491&lt;&gt;"",$AB2491,IF($AA2491="","",IF($AA2491&lt;=設定!$C$3,0,$AA2491))))</f>
        <v/>
      </c>
      <c r="AD2491" s="14">
        <f>IF($B2491="","",IF(AND($AE2491&lt;&gt;"",$AG2491="",$AJ2491=""),"保留中",IF($AJ2491&lt;&gt;"",IF(N($AC2491)&gt;0,"支給済","不支給"),IF($AC2491="","要確認",IF($AC2491=0,"不支給","未処理")))))</f>
        <v/>
      </c>
      <c r="AE2491" s="12" t="n"/>
      <c r="AF2491" s="11" t="n"/>
      <c r="AG2491" s="11" t="n"/>
      <c r="AH2491" s="11" t="n"/>
      <c r="AI2491" s="14">
        <f>IF(AND($AD2491="保留中",$AF2491&lt;&gt;""),TODAY()-$AF2491,"")</f>
        <v/>
      </c>
      <c r="AJ2491" s="12" t="n"/>
      <c r="AK2491" s="14">
        <f>IF($B2491="","",IF($AO2491="","対象年月が未入力／","")&amp;IF($B2491="","",IF($AN2491="","職員マスタに未登録の職員番号／",IF($Y2491="","標準報酬月額が未登録／","")&amp;IF(AND($AO2491&lt;&gt;"",OR(AND(INDEX(職員マスタ!$G$6:$G$405,$AN2491)&lt;&gt;"",INDEX(職員マスタ!$G$6:$G$405,$AN2491)&gt;EOMONTH($AO2491,0)),AND(INDEX(職員マスタ!$H$6:$H$405,$AN2491)&lt;&gt;"",INDEX(職員マスタ!$H$6:$H$405,$AN2491)&lt;$AO2491))),"対象月が時短期間外／","")&amp;IF(AND(INDEX(職員マスタ!$F$6:$F$405,$AN2491)&lt;&gt;"",$AO2491&lt;&gt;"",INDEX(職員マスタ!$F$6:$F$405,$AN2491)&lt;$AO2491),"対象月に子が2歳到達済／","")&amp;IF(AND($H2491&lt;&gt;"",INDEX(職員マスタ!$B$6:$B$405,$AN2491)&lt;&gt;"",SUBSTITUTE(SUBSTITUTE($H2491," ","")," ","")&lt;&gt;SUBSTITUTE(SUBSTITUTE(INDEX(職員マスタ!$B$6:$B$405,$AN2491)," ","")," ","")),"氏名がマスタと相違／","")&amp;IF(AND($Q2491&lt;&gt;"",INDEX(職員マスタ!$E$6:$E$405,$AN2491)&lt;&gt;"",$Q2491&lt;&gt;INDEX(職員マスタ!$E$6:$E$405,$AN2491)),"子の生年月日がマスタと相違／","")&amp;IF(AND($L2491&lt;&gt;"",INDEX(職員マスタ!$G$6:$G$405,$AN2491)&lt;&gt;"",$L2491&lt;&gt;INDEX(職員マスタ!$G$6:$G$405,$AN2491)),"時短開始日がマスタと相違／","")&amp;IF(AND($M2491&lt;&gt;"",INDEX(職員マスタ!$H$6:$H$405,$AN2491)&lt;&gt;"",$M2491&lt;&gt;INDEX(職員マスタ!$H$6:$H$405,$AN2491)),"時短終了日がマスタと相違／","")))&amp;IF(AND($B2491&lt;&gt;"",$E2491=""),"報酬額が未入力／","")&amp;IF(N($U2491)&gt;0,"申請書に入力エラーが残っています／","")&amp;IF(AND($B2491&lt;&gt;"",$AO2491&lt;&gt;""),IF(COUNTIFS($B$6:$B$3005,$B2491,$C$6:$C$3005,$C2491,$D$6:$D$3005,$D2491)&gt;1,"同じ月の請求が重複しています／",""),"")&amp;IF(AND(N($E2491)&gt;0,$Z2491&lt;&gt;"",$Z2491&lt;&gt;"×",$AC2491=0,$AB2491=""),"計算額が下限以下のため不支給／",""))</f>
        <v/>
      </c>
      <c r="AL2491" s="12" t="n"/>
      <c r="AM2491" s="14">
        <f>IF($AD2491="保留中",COUNTIF($AD$6:$AD2491,"保留中"),"")</f>
        <v/>
      </c>
      <c r="AN2491" s="14">
        <f>IF($AO2491="","",IF(SUMPRODUCT(MAX((職員マスタ!$A$6:$A$405=$B2491)*(((職員マスタ!$G$6:$G$405="")+(職員マスタ!$G$6:$G$405&lt;=EOMONTH($AO2491,0)))&gt;0)*(((職員マスタ!$H$6:$H$405="")+(職員マスタ!$H$6:$H$405&gt;=$AO2491))&gt;0)*(ROW(職員マスタ!$A$6:$A$405)-5)))&gt;0,SUMPRODUCT(MAX((職員マスタ!$A$6:$A$405=$B2491)*(((職員マスタ!$G$6:$G$405="")+(職員マスタ!$G$6:$G$405&lt;=EOMONTH($AO2491,0)))&gt;0)*(((職員マスタ!$H$6:$H$405="")+(職員マスタ!$H$6:$H$405&gt;=$AO2491))&gt;0)*(ROW(職員マスタ!$A$6:$A$405)-5))),IFERROR(MATCH($B2491,職員マスタ!$A$6:$A$405,0),"")))</f>
        <v/>
      </c>
      <c r="AO2491" s="16">
        <f>IF(OR($B2491="",$C2491="",$D2491=""),"",DATE($C2491+2018,$D2491,1))</f>
        <v/>
      </c>
    </row>
    <row r="2492">
      <c r="A2492" s="11" t="n"/>
      <c r="B2492" s="12" t="n"/>
      <c r="C2492" s="12" t="n"/>
      <c r="D2492" s="12" t="n"/>
      <c r="E2492" s="13" t="n"/>
      <c r="F2492" s="12" t="n"/>
      <c r="G2492" s="13" t="n"/>
      <c r="H2492" s="12" t="n"/>
      <c r="I2492" s="12" t="n"/>
      <c r="J2492" s="12" t="n"/>
      <c r="K2492" s="12" t="n"/>
      <c r="L2492" s="11" t="n"/>
      <c r="M2492" s="11" t="n"/>
      <c r="N2492" s="11" t="n"/>
      <c r="O2492" s="11" t="n"/>
      <c r="P2492" s="12" t="n"/>
      <c r="Q2492" s="11" t="n"/>
      <c r="R2492" s="12" t="n"/>
      <c r="S2492" s="11" t="n"/>
      <c r="T2492" s="12" t="n"/>
      <c r="U2492" s="12" t="n"/>
      <c r="V2492" s="14">
        <f>IF($AN2492="",IF($B2492="","",$H2492),IF(INDEX(職員マスタ!$B$6:$B$405,$AN2492)="",$H2492,INDEX(職員マスタ!$B$6:$B$405,$AN2492)))</f>
        <v/>
      </c>
      <c r="W2492" s="14">
        <f>IF($AN2492="",IF($B2492="","",$R2492),IF(INDEX(職員マスタ!$C$6:$C$405,$AN2492)="",$R2492,INDEX(職員マスタ!$C$6:$C$405,$AN2492)))</f>
        <v/>
      </c>
      <c r="X2492" s="14">
        <f>IF($AO2492="","","R"&amp;$C2492&amp;"."&amp;$D2492)</f>
        <v/>
      </c>
      <c r="Y2492" s="15">
        <f>IF($AN2492="","",IF(INDEX(職員マスタ!$K$6:$K$405,$AN2492)="","",INDEX(職員マスタ!$K$6:$K$405,$AN2492)))</f>
        <v/>
      </c>
      <c r="Z2492" s="14">
        <f>IF(OR($E2492="",$Y2492=""),"",IF($E2492&gt;=$Y2492,"×",IF($E2492&gt;=$Y2492*設定!$C$5,"△","○")))</f>
        <v/>
      </c>
      <c r="AA2492" s="15">
        <f>IF($Z2492="","",IF($Z2492="×",0,IF($Z2492="○",ROUNDDOWN($E2492*設定!$C$4,0),ROUNDDOWN($E2492*ROUND((9*$Y2492-9*$E2492)/(10*$E2492),4),0))))</f>
        <v/>
      </c>
      <c r="AB2492" s="13" t="n"/>
      <c r="AC2492" s="15">
        <f>IF($B2492="","",IF($AB2492&lt;&gt;"",$AB2492,IF($AA2492="","",IF($AA2492&lt;=設定!$C$3,0,$AA2492))))</f>
        <v/>
      </c>
      <c r="AD2492" s="14">
        <f>IF($B2492="","",IF(AND($AE2492&lt;&gt;"",$AG2492="",$AJ2492=""),"保留中",IF($AJ2492&lt;&gt;"",IF(N($AC2492)&gt;0,"支給済","不支給"),IF($AC2492="","要確認",IF($AC2492=0,"不支給","未処理")))))</f>
        <v/>
      </c>
      <c r="AE2492" s="12" t="n"/>
      <c r="AF2492" s="11" t="n"/>
      <c r="AG2492" s="11" t="n"/>
      <c r="AH2492" s="11" t="n"/>
      <c r="AI2492" s="14">
        <f>IF(AND($AD2492="保留中",$AF2492&lt;&gt;""),TODAY()-$AF2492,"")</f>
        <v/>
      </c>
      <c r="AJ2492" s="12" t="n"/>
      <c r="AK2492" s="14">
        <f>IF($B2492="","",IF($AO2492="","対象年月が未入力／","")&amp;IF($B2492="","",IF($AN2492="","職員マスタに未登録の職員番号／",IF($Y2492="","標準報酬月額が未登録／","")&amp;IF(AND($AO2492&lt;&gt;"",OR(AND(INDEX(職員マスタ!$G$6:$G$405,$AN2492)&lt;&gt;"",INDEX(職員マスタ!$G$6:$G$405,$AN2492)&gt;EOMONTH($AO2492,0)),AND(INDEX(職員マスタ!$H$6:$H$405,$AN2492)&lt;&gt;"",INDEX(職員マスタ!$H$6:$H$405,$AN2492)&lt;$AO2492))),"対象月が時短期間外／","")&amp;IF(AND(INDEX(職員マスタ!$F$6:$F$405,$AN2492)&lt;&gt;"",$AO2492&lt;&gt;"",INDEX(職員マスタ!$F$6:$F$405,$AN2492)&lt;$AO2492),"対象月に子が2歳到達済／","")&amp;IF(AND($H2492&lt;&gt;"",INDEX(職員マスタ!$B$6:$B$405,$AN2492)&lt;&gt;"",SUBSTITUTE(SUBSTITUTE($H2492," ","")," ","")&lt;&gt;SUBSTITUTE(SUBSTITUTE(INDEX(職員マスタ!$B$6:$B$405,$AN2492)," ","")," ","")),"氏名がマスタと相違／","")&amp;IF(AND($Q2492&lt;&gt;"",INDEX(職員マスタ!$E$6:$E$405,$AN2492)&lt;&gt;"",$Q2492&lt;&gt;INDEX(職員マスタ!$E$6:$E$405,$AN2492)),"子の生年月日がマスタと相違／","")&amp;IF(AND($L2492&lt;&gt;"",INDEX(職員マスタ!$G$6:$G$405,$AN2492)&lt;&gt;"",$L2492&lt;&gt;INDEX(職員マスタ!$G$6:$G$405,$AN2492)),"時短開始日がマスタと相違／","")&amp;IF(AND($M2492&lt;&gt;"",INDEX(職員マスタ!$H$6:$H$405,$AN2492)&lt;&gt;"",$M2492&lt;&gt;INDEX(職員マスタ!$H$6:$H$405,$AN2492)),"時短終了日がマスタと相違／","")))&amp;IF(AND($B2492&lt;&gt;"",$E2492=""),"報酬額が未入力／","")&amp;IF(N($U2492)&gt;0,"申請書に入力エラーが残っています／","")&amp;IF(AND($B2492&lt;&gt;"",$AO2492&lt;&gt;""),IF(COUNTIFS($B$6:$B$3005,$B2492,$C$6:$C$3005,$C2492,$D$6:$D$3005,$D2492)&gt;1,"同じ月の請求が重複しています／",""),"")&amp;IF(AND(N($E2492)&gt;0,$Z2492&lt;&gt;"",$Z2492&lt;&gt;"×",$AC2492=0,$AB2492=""),"計算額が下限以下のため不支給／",""))</f>
        <v/>
      </c>
      <c r="AL2492" s="12" t="n"/>
      <c r="AM2492" s="14">
        <f>IF($AD2492="保留中",COUNTIF($AD$6:$AD2492,"保留中"),"")</f>
        <v/>
      </c>
      <c r="AN2492" s="14">
        <f>IF($AO2492="","",IF(SUMPRODUCT(MAX((職員マスタ!$A$6:$A$405=$B2492)*(((職員マスタ!$G$6:$G$405="")+(職員マスタ!$G$6:$G$405&lt;=EOMONTH($AO2492,0)))&gt;0)*(((職員マスタ!$H$6:$H$405="")+(職員マスタ!$H$6:$H$405&gt;=$AO2492))&gt;0)*(ROW(職員マスタ!$A$6:$A$405)-5)))&gt;0,SUMPRODUCT(MAX((職員マスタ!$A$6:$A$405=$B2492)*(((職員マスタ!$G$6:$G$405="")+(職員マスタ!$G$6:$G$405&lt;=EOMONTH($AO2492,0)))&gt;0)*(((職員マスタ!$H$6:$H$405="")+(職員マスタ!$H$6:$H$405&gt;=$AO2492))&gt;0)*(ROW(職員マスタ!$A$6:$A$405)-5))),IFERROR(MATCH($B2492,職員マスタ!$A$6:$A$405,0),"")))</f>
        <v/>
      </c>
      <c r="AO2492" s="16">
        <f>IF(OR($B2492="",$C2492="",$D2492=""),"",DATE($C2492+2018,$D2492,1))</f>
        <v/>
      </c>
    </row>
    <row r="2493">
      <c r="A2493" s="11" t="n"/>
      <c r="B2493" s="12" t="n"/>
      <c r="C2493" s="12" t="n"/>
      <c r="D2493" s="12" t="n"/>
      <c r="E2493" s="13" t="n"/>
      <c r="F2493" s="12" t="n"/>
      <c r="G2493" s="13" t="n"/>
      <c r="H2493" s="12" t="n"/>
      <c r="I2493" s="12" t="n"/>
      <c r="J2493" s="12" t="n"/>
      <c r="K2493" s="12" t="n"/>
      <c r="L2493" s="11" t="n"/>
      <c r="M2493" s="11" t="n"/>
      <c r="N2493" s="11" t="n"/>
      <c r="O2493" s="11" t="n"/>
      <c r="P2493" s="12" t="n"/>
      <c r="Q2493" s="11" t="n"/>
      <c r="R2493" s="12" t="n"/>
      <c r="S2493" s="11" t="n"/>
      <c r="T2493" s="12" t="n"/>
      <c r="U2493" s="12" t="n"/>
      <c r="V2493" s="14">
        <f>IF($AN2493="",IF($B2493="","",$H2493),IF(INDEX(職員マスタ!$B$6:$B$405,$AN2493)="",$H2493,INDEX(職員マスタ!$B$6:$B$405,$AN2493)))</f>
        <v/>
      </c>
      <c r="W2493" s="14">
        <f>IF($AN2493="",IF($B2493="","",$R2493),IF(INDEX(職員マスタ!$C$6:$C$405,$AN2493)="",$R2493,INDEX(職員マスタ!$C$6:$C$405,$AN2493)))</f>
        <v/>
      </c>
      <c r="X2493" s="14">
        <f>IF($AO2493="","","R"&amp;$C2493&amp;"."&amp;$D2493)</f>
        <v/>
      </c>
      <c r="Y2493" s="15">
        <f>IF($AN2493="","",IF(INDEX(職員マスタ!$K$6:$K$405,$AN2493)="","",INDEX(職員マスタ!$K$6:$K$405,$AN2493)))</f>
        <v/>
      </c>
      <c r="Z2493" s="14">
        <f>IF(OR($E2493="",$Y2493=""),"",IF($E2493&gt;=$Y2493,"×",IF($E2493&gt;=$Y2493*設定!$C$5,"△","○")))</f>
        <v/>
      </c>
      <c r="AA2493" s="15">
        <f>IF($Z2493="","",IF($Z2493="×",0,IF($Z2493="○",ROUNDDOWN($E2493*設定!$C$4,0),ROUNDDOWN($E2493*ROUND((9*$Y2493-9*$E2493)/(10*$E2493),4),0))))</f>
        <v/>
      </c>
      <c r="AB2493" s="13" t="n"/>
      <c r="AC2493" s="15">
        <f>IF($B2493="","",IF($AB2493&lt;&gt;"",$AB2493,IF($AA2493="","",IF($AA2493&lt;=設定!$C$3,0,$AA2493))))</f>
        <v/>
      </c>
      <c r="AD2493" s="14">
        <f>IF($B2493="","",IF(AND($AE2493&lt;&gt;"",$AG2493="",$AJ2493=""),"保留中",IF($AJ2493&lt;&gt;"",IF(N($AC2493)&gt;0,"支給済","不支給"),IF($AC2493="","要確認",IF($AC2493=0,"不支給","未処理")))))</f>
        <v/>
      </c>
      <c r="AE2493" s="12" t="n"/>
      <c r="AF2493" s="11" t="n"/>
      <c r="AG2493" s="11" t="n"/>
      <c r="AH2493" s="11" t="n"/>
      <c r="AI2493" s="14">
        <f>IF(AND($AD2493="保留中",$AF2493&lt;&gt;""),TODAY()-$AF2493,"")</f>
        <v/>
      </c>
      <c r="AJ2493" s="12" t="n"/>
      <c r="AK2493" s="14">
        <f>IF($B2493="","",IF($AO2493="","対象年月が未入力／","")&amp;IF($B2493="","",IF($AN2493="","職員マスタに未登録の職員番号／",IF($Y2493="","標準報酬月額が未登録／","")&amp;IF(AND($AO2493&lt;&gt;"",OR(AND(INDEX(職員マスタ!$G$6:$G$405,$AN2493)&lt;&gt;"",INDEX(職員マスタ!$G$6:$G$405,$AN2493)&gt;EOMONTH($AO2493,0)),AND(INDEX(職員マスタ!$H$6:$H$405,$AN2493)&lt;&gt;"",INDEX(職員マスタ!$H$6:$H$405,$AN2493)&lt;$AO2493))),"対象月が時短期間外／","")&amp;IF(AND(INDEX(職員マスタ!$F$6:$F$405,$AN2493)&lt;&gt;"",$AO2493&lt;&gt;"",INDEX(職員マスタ!$F$6:$F$405,$AN2493)&lt;$AO2493),"対象月に子が2歳到達済／","")&amp;IF(AND($H2493&lt;&gt;"",INDEX(職員マスタ!$B$6:$B$405,$AN2493)&lt;&gt;"",SUBSTITUTE(SUBSTITUTE($H2493," ","")," ","")&lt;&gt;SUBSTITUTE(SUBSTITUTE(INDEX(職員マスタ!$B$6:$B$405,$AN2493)," ","")," ","")),"氏名がマスタと相違／","")&amp;IF(AND($Q2493&lt;&gt;"",INDEX(職員マスタ!$E$6:$E$405,$AN2493)&lt;&gt;"",$Q2493&lt;&gt;INDEX(職員マスタ!$E$6:$E$405,$AN2493)),"子の生年月日がマスタと相違／","")&amp;IF(AND($L2493&lt;&gt;"",INDEX(職員マスタ!$G$6:$G$405,$AN2493)&lt;&gt;"",$L2493&lt;&gt;INDEX(職員マスタ!$G$6:$G$405,$AN2493)),"時短開始日がマスタと相違／","")&amp;IF(AND($M2493&lt;&gt;"",INDEX(職員マスタ!$H$6:$H$405,$AN2493)&lt;&gt;"",$M2493&lt;&gt;INDEX(職員マスタ!$H$6:$H$405,$AN2493)),"時短終了日がマスタと相違／","")))&amp;IF(AND($B2493&lt;&gt;"",$E2493=""),"報酬額が未入力／","")&amp;IF(N($U2493)&gt;0,"申請書に入力エラーが残っています／","")&amp;IF(AND($B2493&lt;&gt;"",$AO2493&lt;&gt;""),IF(COUNTIFS($B$6:$B$3005,$B2493,$C$6:$C$3005,$C2493,$D$6:$D$3005,$D2493)&gt;1,"同じ月の請求が重複しています／",""),"")&amp;IF(AND(N($E2493)&gt;0,$Z2493&lt;&gt;"",$Z2493&lt;&gt;"×",$AC2493=0,$AB2493=""),"計算額が下限以下のため不支給／",""))</f>
        <v/>
      </c>
      <c r="AL2493" s="12" t="n"/>
      <c r="AM2493" s="14">
        <f>IF($AD2493="保留中",COUNTIF($AD$6:$AD2493,"保留中"),"")</f>
        <v/>
      </c>
      <c r="AN2493" s="14">
        <f>IF($AO2493="","",IF(SUMPRODUCT(MAX((職員マスタ!$A$6:$A$405=$B2493)*(((職員マスタ!$G$6:$G$405="")+(職員マスタ!$G$6:$G$405&lt;=EOMONTH($AO2493,0)))&gt;0)*(((職員マスタ!$H$6:$H$405="")+(職員マスタ!$H$6:$H$405&gt;=$AO2493))&gt;0)*(ROW(職員マスタ!$A$6:$A$405)-5)))&gt;0,SUMPRODUCT(MAX((職員マスタ!$A$6:$A$405=$B2493)*(((職員マスタ!$G$6:$G$405="")+(職員マスタ!$G$6:$G$405&lt;=EOMONTH($AO2493,0)))&gt;0)*(((職員マスタ!$H$6:$H$405="")+(職員マスタ!$H$6:$H$405&gt;=$AO2493))&gt;0)*(ROW(職員マスタ!$A$6:$A$405)-5))),IFERROR(MATCH($B2493,職員マスタ!$A$6:$A$405,0),"")))</f>
        <v/>
      </c>
      <c r="AO2493" s="16">
        <f>IF(OR($B2493="",$C2493="",$D2493=""),"",DATE($C2493+2018,$D2493,1))</f>
        <v/>
      </c>
    </row>
    <row r="2494">
      <c r="A2494" s="11" t="n"/>
      <c r="B2494" s="12" t="n"/>
      <c r="C2494" s="12" t="n"/>
      <c r="D2494" s="12" t="n"/>
      <c r="E2494" s="13" t="n"/>
      <c r="F2494" s="12" t="n"/>
      <c r="G2494" s="13" t="n"/>
      <c r="H2494" s="12" t="n"/>
      <c r="I2494" s="12" t="n"/>
      <c r="J2494" s="12" t="n"/>
      <c r="K2494" s="12" t="n"/>
      <c r="L2494" s="11" t="n"/>
      <c r="M2494" s="11" t="n"/>
      <c r="N2494" s="11" t="n"/>
      <c r="O2494" s="11" t="n"/>
      <c r="P2494" s="12" t="n"/>
      <c r="Q2494" s="11" t="n"/>
      <c r="R2494" s="12" t="n"/>
      <c r="S2494" s="11" t="n"/>
      <c r="T2494" s="12" t="n"/>
      <c r="U2494" s="12" t="n"/>
      <c r="V2494" s="14">
        <f>IF($AN2494="",IF($B2494="","",$H2494),IF(INDEX(職員マスタ!$B$6:$B$405,$AN2494)="",$H2494,INDEX(職員マスタ!$B$6:$B$405,$AN2494)))</f>
        <v/>
      </c>
      <c r="W2494" s="14">
        <f>IF($AN2494="",IF($B2494="","",$R2494),IF(INDEX(職員マスタ!$C$6:$C$405,$AN2494)="",$R2494,INDEX(職員マスタ!$C$6:$C$405,$AN2494)))</f>
        <v/>
      </c>
      <c r="X2494" s="14">
        <f>IF($AO2494="","","R"&amp;$C2494&amp;"."&amp;$D2494)</f>
        <v/>
      </c>
      <c r="Y2494" s="15">
        <f>IF($AN2494="","",IF(INDEX(職員マスタ!$K$6:$K$405,$AN2494)="","",INDEX(職員マスタ!$K$6:$K$405,$AN2494)))</f>
        <v/>
      </c>
      <c r="Z2494" s="14">
        <f>IF(OR($E2494="",$Y2494=""),"",IF($E2494&gt;=$Y2494,"×",IF($E2494&gt;=$Y2494*設定!$C$5,"△","○")))</f>
        <v/>
      </c>
      <c r="AA2494" s="15">
        <f>IF($Z2494="","",IF($Z2494="×",0,IF($Z2494="○",ROUNDDOWN($E2494*設定!$C$4,0),ROUNDDOWN($E2494*ROUND((9*$Y2494-9*$E2494)/(10*$E2494),4),0))))</f>
        <v/>
      </c>
      <c r="AB2494" s="13" t="n"/>
      <c r="AC2494" s="15">
        <f>IF($B2494="","",IF($AB2494&lt;&gt;"",$AB2494,IF($AA2494="","",IF($AA2494&lt;=設定!$C$3,0,$AA2494))))</f>
        <v/>
      </c>
      <c r="AD2494" s="14">
        <f>IF($B2494="","",IF(AND($AE2494&lt;&gt;"",$AG2494="",$AJ2494=""),"保留中",IF($AJ2494&lt;&gt;"",IF(N($AC2494)&gt;0,"支給済","不支給"),IF($AC2494="","要確認",IF($AC2494=0,"不支給","未処理")))))</f>
        <v/>
      </c>
      <c r="AE2494" s="12" t="n"/>
      <c r="AF2494" s="11" t="n"/>
      <c r="AG2494" s="11" t="n"/>
      <c r="AH2494" s="11" t="n"/>
      <c r="AI2494" s="14">
        <f>IF(AND($AD2494="保留中",$AF2494&lt;&gt;""),TODAY()-$AF2494,"")</f>
        <v/>
      </c>
      <c r="AJ2494" s="12" t="n"/>
      <c r="AK2494" s="14">
        <f>IF($B2494="","",IF($AO2494="","対象年月が未入力／","")&amp;IF($B2494="","",IF($AN2494="","職員マスタに未登録の職員番号／",IF($Y2494="","標準報酬月額が未登録／","")&amp;IF(AND($AO2494&lt;&gt;"",OR(AND(INDEX(職員マスタ!$G$6:$G$405,$AN2494)&lt;&gt;"",INDEX(職員マスタ!$G$6:$G$405,$AN2494)&gt;EOMONTH($AO2494,0)),AND(INDEX(職員マスタ!$H$6:$H$405,$AN2494)&lt;&gt;"",INDEX(職員マスタ!$H$6:$H$405,$AN2494)&lt;$AO2494))),"対象月が時短期間外／","")&amp;IF(AND(INDEX(職員マスタ!$F$6:$F$405,$AN2494)&lt;&gt;"",$AO2494&lt;&gt;"",INDEX(職員マスタ!$F$6:$F$405,$AN2494)&lt;$AO2494),"対象月に子が2歳到達済／","")&amp;IF(AND($H2494&lt;&gt;"",INDEX(職員マスタ!$B$6:$B$405,$AN2494)&lt;&gt;"",SUBSTITUTE(SUBSTITUTE($H2494," ","")," ","")&lt;&gt;SUBSTITUTE(SUBSTITUTE(INDEX(職員マスタ!$B$6:$B$405,$AN2494)," ","")," ","")),"氏名がマスタと相違／","")&amp;IF(AND($Q2494&lt;&gt;"",INDEX(職員マスタ!$E$6:$E$405,$AN2494)&lt;&gt;"",$Q2494&lt;&gt;INDEX(職員マスタ!$E$6:$E$405,$AN2494)),"子の生年月日がマスタと相違／","")&amp;IF(AND($L2494&lt;&gt;"",INDEX(職員マスタ!$G$6:$G$405,$AN2494)&lt;&gt;"",$L2494&lt;&gt;INDEX(職員マスタ!$G$6:$G$405,$AN2494)),"時短開始日がマスタと相違／","")&amp;IF(AND($M2494&lt;&gt;"",INDEX(職員マスタ!$H$6:$H$405,$AN2494)&lt;&gt;"",$M2494&lt;&gt;INDEX(職員マスタ!$H$6:$H$405,$AN2494)),"時短終了日がマスタと相違／","")))&amp;IF(AND($B2494&lt;&gt;"",$E2494=""),"報酬額が未入力／","")&amp;IF(N($U2494)&gt;0,"申請書に入力エラーが残っています／","")&amp;IF(AND($B2494&lt;&gt;"",$AO2494&lt;&gt;""),IF(COUNTIFS($B$6:$B$3005,$B2494,$C$6:$C$3005,$C2494,$D$6:$D$3005,$D2494)&gt;1,"同じ月の請求が重複しています／",""),"")&amp;IF(AND(N($E2494)&gt;0,$Z2494&lt;&gt;"",$Z2494&lt;&gt;"×",$AC2494=0,$AB2494=""),"計算額が下限以下のため不支給／",""))</f>
        <v/>
      </c>
      <c r="AL2494" s="12" t="n"/>
      <c r="AM2494" s="14">
        <f>IF($AD2494="保留中",COUNTIF($AD$6:$AD2494,"保留中"),"")</f>
        <v/>
      </c>
      <c r="AN2494" s="14">
        <f>IF($AO2494="","",IF(SUMPRODUCT(MAX((職員マスタ!$A$6:$A$405=$B2494)*(((職員マスタ!$G$6:$G$405="")+(職員マスタ!$G$6:$G$405&lt;=EOMONTH($AO2494,0)))&gt;0)*(((職員マスタ!$H$6:$H$405="")+(職員マスタ!$H$6:$H$405&gt;=$AO2494))&gt;0)*(ROW(職員マスタ!$A$6:$A$405)-5)))&gt;0,SUMPRODUCT(MAX((職員マスタ!$A$6:$A$405=$B2494)*(((職員マスタ!$G$6:$G$405="")+(職員マスタ!$G$6:$G$405&lt;=EOMONTH($AO2494,0)))&gt;0)*(((職員マスタ!$H$6:$H$405="")+(職員マスタ!$H$6:$H$405&gt;=$AO2494))&gt;0)*(ROW(職員マスタ!$A$6:$A$405)-5))),IFERROR(MATCH($B2494,職員マスタ!$A$6:$A$405,0),"")))</f>
        <v/>
      </c>
      <c r="AO2494" s="16">
        <f>IF(OR($B2494="",$C2494="",$D2494=""),"",DATE($C2494+2018,$D2494,1))</f>
        <v/>
      </c>
    </row>
    <row r="2495">
      <c r="A2495" s="11" t="n"/>
      <c r="B2495" s="12" t="n"/>
      <c r="C2495" s="12" t="n"/>
      <c r="D2495" s="12" t="n"/>
      <c r="E2495" s="13" t="n"/>
      <c r="F2495" s="12" t="n"/>
      <c r="G2495" s="13" t="n"/>
      <c r="H2495" s="12" t="n"/>
      <c r="I2495" s="12" t="n"/>
      <c r="J2495" s="12" t="n"/>
      <c r="K2495" s="12" t="n"/>
      <c r="L2495" s="11" t="n"/>
      <c r="M2495" s="11" t="n"/>
      <c r="N2495" s="11" t="n"/>
      <c r="O2495" s="11" t="n"/>
      <c r="P2495" s="12" t="n"/>
      <c r="Q2495" s="11" t="n"/>
      <c r="R2495" s="12" t="n"/>
      <c r="S2495" s="11" t="n"/>
      <c r="T2495" s="12" t="n"/>
      <c r="U2495" s="12" t="n"/>
      <c r="V2495" s="14">
        <f>IF($AN2495="",IF($B2495="","",$H2495),IF(INDEX(職員マスタ!$B$6:$B$405,$AN2495)="",$H2495,INDEX(職員マスタ!$B$6:$B$405,$AN2495)))</f>
        <v/>
      </c>
      <c r="W2495" s="14">
        <f>IF($AN2495="",IF($B2495="","",$R2495),IF(INDEX(職員マスタ!$C$6:$C$405,$AN2495)="",$R2495,INDEX(職員マスタ!$C$6:$C$405,$AN2495)))</f>
        <v/>
      </c>
      <c r="X2495" s="14">
        <f>IF($AO2495="","","R"&amp;$C2495&amp;"."&amp;$D2495)</f>
        <v/>
      </c>
      <c r="Y2495" s="15">
        <f>IF($AN2495="","",IF(INDEX(職員マスタ!$K$6:$K$405,$AN2495)="","",INDEX(職員マスタ!$K$6:$K$405,$AN2495)))</f>
        <v/>
      </c>
      <c r="Z2495" s="14">
        <f>IF(OR($E2495="",$Y2495=""),"",IF($E2495&gt;=$Y2495,"×",IF($E2495&gt;=$Y2495*設定!$C$5,"△","○")))</f>
        <v/>
      </c>
      <c r="AA2495" s="15">
        <f>IF($Z2495="","",IF($Z2495="×",0,IF($Z2495="○",ROUNDDOWN($E2495*設定!$C$4,0),ROUNDDOWN($E2495*ROUND((9*$Y2495-9*$E2495)/(10*$E2495),4),0))))</f>
        <v/>
      </c>
      <c r="AB2495" s="13" t="n"/>
      <c r="AC2495" s="15">
        <f>IF($B2495="","",IF($AB2495&lt;&gt;"",$AB2495,IF($AA2495="","",IF($AA2495&lt;=設定!$C$3,0,$AA2495))))</f>
        <v/>
      </c>
      <c r="AD2495" s="14">
        <f>IF($B2495="","",IF(AND($AE2495&lt;&gt;"",$AG2495="",$AJ2495=""),"保留中",IF($AJ2495&lt;&gt;"",IF(N($AC2495)&gt;0,"支給済","不支給"),IF($AC2495="","要確認",IF($AC2495=0,"不支給","未処理")))))</f>
        <v/>
      </c>
      <c r="AE2495" s="12" t="n"/>
      <c r="AF2495" s="11" t="n"/>
      <c r="AG2495" s="11" t="n"/>
      <c r="AH2495" s="11" t="n"/>
      <c r="AI2495" s="14">
        <f>IF(AND($AD2495="保留中",$AF2495&lt;&gt;""),TODAY()-$AF2495,"")</f>
        <v/>
      </c>
      <c r="AJ2495" s="12" t="n"/>
      <c r="AK2495" s="14">
        <f>IF($B2495="","",IF($AO2495="","対象年月が未入力／","")&amp;IF($B2495="","",IF($AN2495="","職員マスタに未登録の職員番号／",IF($Y2495="","標準報酬月額が未登録／","")&amp;IF(AND($AO2495&lt;&gt;"",OR(AND(INDEX(職員マスタ!$G$6:$G$405,$AN2495)&lt;&gt;"",INDEX(職員マスタ!$G$6:$G$405,$AN2495)&gt;EOMONTH($AO2495,0)),AND(INDEX(職員マスタ!$H$6:$H$405,$AN2495)&lt;&gt;"",INDEX(職員マスタ!$H$6:$H$405,$AN2495)&lt;$AO2495))),"対象月が時短期間外／","")&amp;IF(AND(INDEX(職員マスタ!$F$6:$F$405,$AN2495)&lt;&gt;"",$AO2495&lt;&gt;"",INDEX(職員マスタ!$F$6:$F$405,$AN2495)&lt;$AO2495),"対象月に子が2歳到達済／","")&amp;IF(AND($H2495&lt;&gt;"",INDEX(職員マスタ!$B$6:$B$405,$AN2495)&lt;&gt;"",SUBSTITUTE(SUBSTITUTE($H2495," ","")," ","")&lt;&gt;SUBSTITUTE(SUBSTITUTE(INDEX(職員マスタ!$B$6:$B$405,$AN2495)," ","")," ","")),"氏名がマスタと相違／","")&amp;IF(AND($Q2495&lt;&gt;"",INDEX(職員マスタ!$E$6:$E$405,$AN2495)&lt;&gt;"",$Q2495&lt;&gt;INDEX(職員マスタ!$E$6:$E$405,$AN2495)),"子の生年月日がマスタと相違／","")&amp;IF(AND($L2495&lt;&gt;"",INDEX(職員マスタ!$G$6:$G$405,$AN2495)&lt;&gt;"",$L2495&lt;&gt;INDEX(職員マスタ!$G$6:$G$405,$AN2495)),"時短開始日がマスタと相違／","")&amp;IF(AND($M2495&lt;&gt;"",INDEX(職員マスタ!$H$6:$H$405,$AN2495)&lt;&gt;"",$M2495&lt;&gt;INDEX(職員マスタ!$H$6:$H$405,$AN2495)),"時短終了日がマスタと相違／","")))&amp;IF(AND($B2495&lt;&gt;"",$E2495=""),"報酬額が未入力／","")&amp;IF(N($U2495)&gt;0,"申請書に入力エラーが残っています／","")&amp;IF(AND($B2495&lt;&gt;"",$AO2495&lt;&gt;""),IF(COUNTIFS($B$6:$B$3005,$B2495,$C$6:$C$3005,$C2495,$D$6:$D$3005,$D2495)&gt;1,"同じ月の請求が重複しています／",""),"")&amp;IF(AND(N($E2495)&gt;0,$Z2495&lt;&gt;"",$Z2495&lt;&gt;"×",$AC2495=0,$AB2495=""),"計算額が下限以下のため不支給／",""))</f>
        <v/>
      </c>
      <c r="AL2495" s="12" t="n"/>
      <c r="AM2495" s="14">
        <f>IF($AD2495="保留中",COUNTIF($AD$6:$AD2495,"保留中"),"")</f>
        <v/>
      </c>
      <c r="AN2495" s="14">
        <f>IF($AO2495="","",IF(SUMPRODUCT(MAX((職員マスタ!$A$6:$A$405=$B2495)*(((職員マスタ!$G$6:$G$405="")+(職員マスタ!$G$6:$G$405&lt;=EOMONTH($AO2495,0)))&gt;0)*(((職員マスタ!$H$6:$H$405="")+(職員マスタ!$H$6:$H$405&gt;=$AO2495))&gt;0)*(ROW(職員マスタ!$A$6:$A$405)-5)))&gt;0,SUMPRODUCT(MAX((職員マスタ!$A$6:$A$405=$B2495)*(((職員マスタ!$G$6:$G$405="")+(職員マスタ!$G$6:$G$405&lt;=EOMONTH($AO2495,0)))&gt;0)*(((職員マスタ!$H$6:$H$405="")+(職員マスタ!$H$6:$H$405&gt;=$AO2495))&gt;0)*(ROW(職員マスタ!$A$6:$A$405)-5))),IFERROR(MATCH($B2495,職員マスタ!$A$6:$A$405,0),"")))</f>
        <v/>
      </c>
      <c r="AO2495" s="16">
        <f>IF(OR($B2495="",$C2495="",$D2495=""),"",DATE($C2495+2018,$D2495,1))</f>
        <v/>
      </c>
    </row>
    <row r="2496">
      <c r="A2496" s="11" t="n"/>
      <c r="B2496" s="12" t="n"/>
      <c r="C2496" s="12" t="n"/>
      <c r="D2496" s="12" t="n"/>
      <c r="E2496" s="13" t="n"/>
      <c r="F2496" s="12" t="n"/>
      <c r="G2496" s="13" t="n"/>
      <c r="H2496" s="12" t="n"/>
      <c r="I2496" s="12" t="n"/>
      <c r="J2496" s="12" t="n"/>
      <c r="K2496" s="12" t="n"/>
      <c r="L2496" s="11" t="n"/>
      <c r="M2496" s="11" t="n"/>
      <c r="N2496" s="11" t="n"/>
      <c r="O2496" s="11" t="n"/>
      <c r="P2496" s="12" t="n"/>
      <c r="Q2496" s="11" t="n"/>
      <c r="R2496" s="12" t="n"/>
      <c r="S2496" s="11" t="n"/>
      <c r="T2496" s="12" t="n"/>
      <c r="U2496" s="12" t="n"/>
      <c r="V2496" s="14">
        <f>IF($AN2496="",IF($B2496="","",$H2496),IF(INDEX(職員マスタ!$B$6:$B$405,$AN2496)="",$H2496,INDEX(職員マスタ!$B$6:$B$405,$AN2496)))</f>
        <v/>
      </c>
      <c r="W2496" s="14">
        <f>IF($AN2496="",IF($B2496="","",$R2496),IF(INDEX(職員マスタ!$C$6:$C$405,$AN2496)="",$R2496,INDEX(職員マスタ!$C$6:$C$405,$AN2496)))</f>
        <v/>
      </c>
      <c r="X2496" s="14">
        <f>IF($AO2496="","","R"&amp;$C2496&amp;"."&amp;$D2496)</f>
        <v/>
      </c>
      <c r="Y2496" s="15">
        <f>IF($AN2496="","",IF(INDEX(職員マスタ!$K$6:$K$405,$AN2496)="","",INDEX(職員マスタ!$K$6:$K$405,$AN2496)))</f>
        <v/>
      </c>
      <c r="Z2496" s="14">
        <f>IF(OR($E2496="",$Y2496=""),"",IF($E2496&gt;=$Y2496,"×",IF($E2496&gt;=$Y2496*設定!$C$5,"△","○")))</f>
        <v/>
      </c>
      <c r="AA2496" s="15">
        <f>IF($Z2496="","",IF($Z2496="×",0,IF($Z2496="○",ROUNDDOWN($E2496*設定!$C$4,0),ROUNDDOWN($E2496*ROUND((9*$Y2496-9*$E2496)/(10*$E2496),4),0))))</f>
        <v/>
      </c>
      <c r="AB2496" s="13" t="n"/>
      <c r="AC2496" s="15">
        <f>IF($B2496="","",IF($AB2496&lt;&gt;"",$AB2496,IF($AA2496="","",IF($AA2496&lt;=設定!$C$3,0,$AA2496))))</f>
        <v/>
      </c>
      <c r="AD2496" s="14">
        <f>IF($B2496="","",IF(AND($AE2496&lt;&gt;"",$AG2496="",$AJ2496=""),"保留中",IF($AJ2496&lt;&gt;"",IF(N($AC2496)&gt;0,"支給済","不支給"),IF($AC2496="","要確認",IF($AC2496=0,"不支給","未処理")))))</f>
        <v/>
      </c>
      <c r="AE2496" s="12" t="n"/>
      <c r="AF2496" s="11" t="n"/>
      <c r="AG2496" s="11" t="n"/>
      <c r="AH2496" s="11" t="n"/>
      <c r="AI2496" s="14">
        <f>IF(AND($AD2496="保留中",$AF2496&lt;&gt;""),TODAY()-$AF2496,"")</f>
        <v/>
      </c>
      <c r="AJ2496" s="12" t="n"/>
      <c r="AK2496" s="14">
        <f>IF($B2496="","",IF($AO2496="","対象年月が未入力／","")&amp;IF($B2496="","",IF($AN2496="","職員マスタに未登録の職員番号／",IF($Y2496="","標準報酬月額が未登録／","")&amp;IF(AND($AO2496&lt;&gt;"",OR(AND(INDEX(職員マスタ!$G$6:$G$405,$AN2496)&lt;&gt;"",INDEX(職員マスタ!$G$6:$G$405,$AN2496)&gt;EOMONTH($AO2496,0)),AND(INDEX(職員マスタ!$H$6:$H$405,$AN2496)&lt;&gt;"",INDEX(職員マスタ!$H$6:$H$405,$AN2496)&lt;$AO2496))),"対象月が時短期間外／","")&amp;IF(AND(INDEX(職員マスタ!$F$6:$F$405,$AN2496)&lt;&gt;"",$AO2496&lt;&gt;"",INDEX(職員マスタ!$F$6:$F$405,$AN2496)&lt;$AO2496),"対象月に子が2歳到達済／","")&amp;IF(AND($H2496&lt;&gt;"",INDEX(職員マスタ!$B$6:$B$405,$AN2496)&lt;&gt;"",SUBSTITUTE(SUBSTITUTE($H2496," ","")," ","")&lt;&gt;SUBSTITUTE(SUBSTITUTE(INDEX(職員マスタ!$B$6:$B$405,$AN2496)," ","")," ","")),"氏名がマスタと相違／","")&amp;IF(AND($Q2496&lt;&gt;"",INDEX(職員マスタ!$E$6:$E$405,$AN2496)&lt;&gt;"",$Q2496&lt;&gt;INDEX(職員マスタ!$E$6:$E$405,$AN2496)),"子の生年月日がマスタと相違／","")&amp;IF(AND($L2496&lt;&gt;"",INDEX(職員マスタ!$G$6:$G$405,$AN2496)&lt;&gt;"",$L2496&lt;&gt;INDEX(職員マスタ!$G$6:$G$405,$AN2496)),"時短開始日がマスタと相違／","")&amp;IF(AND($M2496&lt;&gt;"",INDEX(職員マスタ!$H$6:$H$405,$AN2496)&lt;&gt;"",$M2496&lt;&gt;INDEX(職員マスタ!$H$6:$H$405,$AN2496)),"時短終了日がマスタと相違／","")))&amp;IF(AND($B2496&lt;&gt;"",$E2496=""),"報酬額が未入力／","")&amp;IF(N($U2496)&gt;0,"申請書に入力エラーが残っています／","")&amp;IF(AND($B2496&lt;&gt;"",$AO2496&lt;&gt;""),IF(COUNTIFS($B$6:$B$3005,$B2496,$C$6:$C$3005,$C2496,$D$6:$D$3005,$D2496)&gt;1,"同じ月の請求が重複しています／",""),"")&amp;IF(AND(N($E2496)&gt;0,$Z2496&lt;&gt;"",$Z2496&lt;&gt;"×",$AC2496=0,$AB2496=""),"計算額が下限以下のため不支給／",""))</f>
        <v/>
      </c>
      <c r="AL2496" s="12" t="n"/>
      <c r="AM2496" s="14">
        <f>IF($AD2496="保留中",COUNTIF($AD$6:$AD2496,"保留中"),"")</f>
        <v/>
      </c>
      <c r="AN2496" s="14">
        <f>IF($AO2496="","",IF(SUMPRODUCT(MAX((職員マスタ!$A$6:$A$405=$B2496)*(((職員マスタ!$G$6:$G$405="")+(職員マスタ!$G$6:$G$405&lt;=EOMONTH($AO2496,0)))&gt;0)*(((職員マスタ!$H$6:$H$405="")+(職員マスタ!$H$6:$H$405&gt;=$AO2496))&gt;0)*(ROW(職員マスタ!$A$6:$A$405)-5)))&gt;0,SUMPRODUCT(MAX((職員マスタ!$A$6:$A$405=$B2496)*(((職員マスタ!$G$6:$G$405="")+(職員マスタ!$G$6:$G$405&lt;=EOMONTH($AO2496,0)))&gt;0)*(((職員マスタ!$H$6:$H$405="")+(職員マスタ!$H$6:$H$405&gt;=$AO2496))&gt;0)*(ROW(職員マスタ!$A$6:$A$405)-5))),IFERROR(MATCH($B2496,職員マスタ!$A$6:$A$405,0),"")))</f>
        <v/>
      </c>
      <c r="AO2496" s="16">
        <f>IF(OR($B2496="",$C2496="",$D2496=""),"",DATE($C2496+2018,$D2496,1))</f>
        <v/>
      </c>
    </row>
    <row r="2497">
      <c r="A2497" s="11" t="n"/>
      <c r="B2497" s="12" t="n"/>
      <c r="C2497" s="12" t="n"/>
      <c r="D2497" s="12" t="n"/>
      <c r="E2497" s="13" t="n"/>
      <c r="F2497" s="12" t="n"/>
      <c r="G2497" s="13" t="n"/>
      <c r="H2497" s="12" t="n"/>
      <c r="I2497" s="12" t="n"/>
      <c r="J2497" s="12" t="n"/>
      <c r="K2497" s="12" t="n"/>
      <c r="L2497" s="11" t="n"/>
      <c r="M2497" s="11" t="n"/>
      <c r="N2497" s="11" t="n"/>
      <c r="O2497" s="11" t="n"/>
      <c r="P2497" s="12" t="n"/>
      <c r="Q2497" s="11" t="n"/>
      <c r="R2497" s="12" t="n"/>
      <c r="S2497" s="11" t="n"/>
      <c r="T2497" s="12" t="n"/>
      <c r="U2497" s="12" t="n"/>
      <c r="V2497" s="14">
        <f>IF($AN2497="",IF($B2497="","",$H2497),IF(INDEX(職員マスタ!$B$6:$B$405,$AN2497)="",$H2497,INDEX(職員マスタ!$B$6:$B$405,$AN2497)))</f>
        <v/>
      </c>
      <c r="W2497" s="14">
        <f>IF($AN2497="",IF($B2497="","",$R2497),IF(INDEX(職員マスタ!$C$6:$C$405,$AN2497)="",$R2497,INDEX(職員マスタ!$C$6:$C$405,$AN2497)))</f>
        <v/>
      </c>
      <c r="X2497" s="14">
        <f>IF($AO2497="","","R"&amp;$C2497&amp;"."&amp;$D2497)</f>
        <v/>
      </c>
      <c r="Y2497" s="15">
        <f>IF($AN2497="","",IF(INDEX(職員マスタ!$K$6:$K$405,$AN2497)="","",INDEX(職員マスタ!$K$6:$K$405,$AN2497)))</f>
        <v/>
      </c>
      <c r="Z2497" s="14">
        <f>IF(OR($E2497="",$Y2497=""),"",IF($E2497&gt;=$Y2497,"×",IF($E2497&gt;=$Y2497*設定!$C$5,"△","○")))</f>
        <v/>
      </c>
      <c r="AA2497" s="15">
        <f>IF($Z2497="","",IF($Z2497="×",0,IF($Z2497="○",ROUNDDOWN($E2497*設定!$C$4,0),ROUNDDOWN($E2497*ROUND((9*$Y2497-9*$E2497)/(10*$E2497),4),0))))</f>
        <v/>
      </c>
      <c r="AB2497" s="13" t="n"/>
      <c r="AC2497" s="15">
        <f>IF($B2497="","",IF($AB2497&lt;&gt;"",$AB2497,IF($AA2497="","",IF($AA2497&lt;=設定!$C$3,0,$AA2497))))</f>
        <v/>
      </c>
      <c r="AD2497" s="14">
        <f>IF($B2497="","",IF(AND($AE2497&lt;&gt;"",$AG2497="",$AJ2497=""),"保留中",IF($AJ2497&lt;&gt;"",IF(N($AC2497)&gt;0,"支給済","不支給"),IF($AC2497="","要確認",IF($AC2497=0,"不支給","未処理")))))</f>
        <v/>
      </c>
      <c r="AE2497" s="12" t="n"/>
      <c r="AF2497" s="11" t="n"/>
      <c r="AG2497" s="11" t="n"/>
      <c r="AH2497" s="11" t="n"/>
      <c r="AI2497" s="14">
        <f>IF(AND($AD2497="保留中",$AF2497&lt;&gt;""),TODAY()-$AF2497,"")</f>
        <v/>
      </c>
      <c r="AJ2497" s="12" t="n"/>
      <c r="AK2497" s="14">
        <f>IF($B2497="","",IF($AO2497="","対象年月が未入力／","")&amp;IF($B2497="","",IF($AN2497="","職員マスタに未登録の職員番号／",IF($Y2497="","標準報酬月額が未登録／","")&amp;IF(AND($AO2497&lt;&gt;"",OR(AND(INDEX(職員マスタ!$G$6:$G$405,$AN2497)&lt;&gt;"",INDEX(職員マスタ!$G$6:$G$405,$AN2497)&gt;EOMONTH($AO2497,0)),AND(INDEX(職員マスタ!$H$6:$H$405,$AN2497)&lt;&gt;"",INDEX(職員マスタ!$H$6:$H$405,$AN2497)&lt;$AO2497))),"対象月が時短期間外／","")&amp;IF(AND(INDEX(職員マスタ!$F$6:$F$405,$AN2497)&lt;&gt;"",$AO2497&lt;&gt;"",INDEX(職員マスタ!$F$6:$F$405,$AN2497)&lt;$AO2497),"対象月に子が2歳到達済／","")&amp;IF(AND($H2497&lt;&gt;"",INDEX(職員マスタ!$B$6:$B$405,$AN2497)&lt;&gt;"",SUBSTITUTE(SUBSTITUTE($H2497," ","")," ","")&lt;&gt;SUBSTITUTE(SUBSTITUTE(INDEX(職員マスタ!$B$6:$B$405,$AN2497)," ","")," ","")),"氏名がマスタと相違／","")&amp;IF(AND($Q2497&lt;&gt;"",INDEX(職員マスタ!$E$6:$E$405,$AN2497)&lt;&gt;"",$Q2497&lt;&gt;INDEX(職員マスタ!$E$6:$E$405,$AN2497)),"子の生年月日がマスタと相違／","")&amp;IF(AND($L2497&lt;&gt;"",INDEX(職員マスタ!$G$6:$G$405,$AN2497)&lt;&gt;"",$L2497&lt;&gt;INDEX(職員マスタ!$G$6:$G$405,$AN2497)),"時短開始日がマスタと相違／","")&amp;IF(AND($M2497&lt;&gt;"",INDEX(職員マスタ!$H$6:$H$405,$AN2497)&lt;&gt;"",$M2497&lt;&gt;INDEX(職員マスタ!$H$6:$H$405,$AN2497)),"時短終了日がマスタと相違／","")))&amp;IF(AND($B2497&lt;&gt;"",$E2497=""),"報酬額が未入力／","")&amp;IF(N($U2497)&gt;0,"申請書に入力エラーが残っています／","")&amp;IF(AND($B2497&lt;&gt;"",$AO2497&lt;&gt;""),IF(COUNTIFS($B$6:$B$3005,$B2497,$C$6:$C$3005,$C2497,$D$6:$D$3005,$D2497)&gt;1,"同じ月の請求が重複しています／",""),"")&amp;IF(AND(N($E2497)&gt;0,$Z2497&lt;&gt;"",$Z2497&lt;&gt;"×",$AC2497=0,$AB2497=""),"計算額が下限以下のため不支給／",""))</f>
        <v/>
      </c>
      <c r="AL2497" s="12" t="n"/>
      <c r="AM2497" s="14">
        <f>IF($AD2497="保留中",COUNTIF($AD$6:$AD2497,"保留中"),"")</f>
        <v/>
      </c>
      <c r="AN2497" s="14">
        <f>IF($AO2497="","",IF(SUMPRODUCT(MAX((職員マスタ!$A$6:$A$405=$B2497)*(((職員マスタ!$G$6:$G$405="")+(職員マスタ!$G$6:$G$405&lt;=EOMONTH($AO2497,0)))&gt;0)*(((職員マスタ!$H$6:$H$405="")+(職員マスタ!$H$6:$H$405&gt;=$AO2497))&gt;0)*(ROW(職員マスタ!$A$6:$A$405)-5)))&gt;0,SUMPRODUCT(MAX((職員マスタ!$A$6:$A$405=$B2497)*(((職員マスタ!$G$6:$G$405="")+(職員マスタ!$G$6:$G$405&lt;=EOMONTH($AO2497,0)))&gt;0)*(((職員マスタ!$H$6:$H$405="")+(職員マスタ!$H$6:$H$405&gt;=$AO2497))&gt;0)*(ROW(職員マスタ!$A$6:$A$405)-5))),IFERROR(MATCH($B2497,職員マスタ!$A$6:$A$405,0),"")))</f>
        <v/>
      </c>
      <c r="AO2497" s="16">
        <f>IF(OR($B2497="",$C2497="",$D2497=""),"",DATE($C2497+2018,$D2497,1))</f>
        <v/>
      </c>
    </row>
    <row r="2498">
      <c r="A2498" s="11" t="n"/>
      <c r="B2498" s="12" t="n"/>
      <c r="C2498" s="12" t="n"/>
      <c r="D2498" s="12" t="n"/>
      <c r="E2498" s="13" t="n"/>
      <c r="F2498" s="12" t="n"/>
      <c r="G2498" s="13" t="n"/>
      <c r="H2498" s="12" t="n"/>
      <c r="I2498" s="12" t="n"/>
      <c r="J2498" s="12" t="n"/>
      <c r="K2498" s="12" t="n"/>
      <c r="L2498" s="11" t="n"/>
      <c r="M2498" s="11" t="n"/>
      <c r="N2498" s="11" t="n"/>
      <c r="O2498" s="11" t="n"/>
      <c r="P2498" s="12" t="n"/>
      <c r="Q2498" s="11" t="n"/>
      <c r="R2498" s="12" t="n"/>
      <c r="S2498" s="11" t="n"/>
      <c r="T2498" s="12" t="n"/>
      <c r="U2498" s="12" t="n"/>
      <c r="V2498" s="14">
        <f>IF($AN2498="",IF($B2498="","",$H2498),IF(INDEX(職員マスタ!$B$6:$B$405,$AN2498)="",$H2498,INDEX(職員マスタ!$B$6:$B$405,$AN2498)))</f>
        <v/>
      </c>
      <c r="W2498" s="14">
        <f>IF($AN2498="",IF($B2498="","",$R2498),IF(INDEX(職員マスタ!$C$6:$C$405,$AN2498)="",$R2498,INDEX(職員マスタ!$C$6:$C$405,$AN2498)))</f>
        <v/>
      </c>
      <c r="X2498" s="14">
        <f>IF($AO2498="","","R"&amp;$C2498&amp;"."&amp;$D2498)</f>
        <v/>
      </c>
      <c r="Y2498" s="15">
        <f>IF($AN2498="","",IF(INDEX(職員マスタ!$K$6:$K$405,$AN2498)="","",INDEX(職員マスタ!$K$6:$K$405,$AN2498)))</f>
        <v/>
      </c>
      <c r="Z2498" s="14">
        <f>IF(OR($E2498="",$Y2498=""),"",IF($E2498&gt;=$Y2498,"×",IF($E2498&gt;=$Y2498*設定!$C$5,"△","○")))</f>
        <v/>
      </c>
      <c r="AA2498" s="15">
        <f>IF($Z2498="","",IF($Z2498="×",0,IF($Z2498="○",ROUNDDOWN($E2498*設定!$C$4,0),ROUNDDOWN($E2498*ROUND((9*$Y2498-9*$E2498)/(10*$E2498),4),0))))</f>
        <v/>
      </c>
      <c r="AB2498" s="13" t="n"/>
      <c r="AC2498" s="15">
        <f>IF($B2498="","",IF($AB2498&lt;&gt;"",$AB2498,IF($AA2498="","",IF($AA2498&lt;=設定!$C$3,0,$AA2498))))</f>
        <v/>
      </c>
      <c r="AD2498" s="14">
        <f>IF($B2498="","",IF(AND($AE2498&lt;&gt;"",$AG2498="",$AJ2498=""),"保留中",IF($AJ2498&lt;&gt;"",IF(N($AC2498)&gt;0,"支給済","不支給"),IF($AC2498="","要確認",IF($AC2498=0,"不支給","未処理")))))</f>
        <v/>
      </c>
      <c r="AE2498" s="12" t="n"/>
      <c r="AF2498" s="11" t="n"/>
      <c r="AG2498" s="11" t="n"/>
      <c r="AH2498" s="11" t="n"/>
      <c r="AI2498" s="14">
        <f>IF(AND($AD2498="保留中",$AF2498&lt;&gt;""),TODAY()-$AF2498,"")</f>
        <v/>
      </c>
      <c r="AJ2498" s="12" t="n"/>
      <c r="AK2498" s="14">
        <f>IF($B2498="","",IF($AO2498="","対象年月が未入力／","")&amp;IF($B2498="","",IF($AN2498="","職員マスタに未登録の職員番号／",IF($Y2498="","標準報酬月額が未登録／","")&amp;IF(AND($AO2498&lt;&gt;"",OR(AND(INDEX(職員マスタ!$G$6:$G$405,$AN2498)&lt;&gt;"",INDEX(職員マスタ!$G$6:$G$405,$AN2498)&gt;EOMONTH($AO2498,0)),AND(INDEX(職員マスタ!$H$6:$H$405,$AN2498)&lt;&gt;"",INDEX(職員マスタ!$H$6:$H$405,$AN2498)&lt;$AO2498))),"対象月が時短期間外／","")&amp;IF(AND(INDEX(職員マスタ!$F$6:$F$405,$AN2498)&lt;&gt;"",$AO2498&lt;&gt;"",INDEX(職員マスタ!$F$6:$F$405,$AN2498)&lt;$AO2498),"対象月に子が2歳到達済／","")&amp;IF(AND($H2498&lt;&gt;"",INDEX(職員マスタ!$B$6:$B$405,$AN2498)&lt;&gt;"",SUBSTITUTE(SUBSTITUTE($H2498," ","")," ","")&lt;&gt;SUBSTITUTE(SUBSTITUTE(INDEX(職員マスタ!$B$6:$B$405,$AN2498)," ","")," ","")),"氏名がマスタと相違／","")&amp;IF(AND($Q2498&lt;&gt;"",INDEX(職員マスタ!$E$6:$E$405,$AN2498)&lt;&gt;"",$Q2498&lt;&gt;INDEX(職員マスタ!$E$6:$E$405,$AN2498)),"子の生年月日がマスタと相違／","")&amp;IF(AND($L2498&lt;&gt;"",INDEX(職員マスタ!$G$6:$G$405,$AN2498)&lt;&gt;"",$L2498&lt;&gt;INDEX(職員マスタ!$G$6:$G$405,$AN2498)),"時短開始日がマスタと相違／","")&amp;IF(AND($M2498&lt;&gt;"",INDEX(職員マスタ!$H$6:$H$405,$AN2498)&lt;&gt;"",$M2498&lt;&gt;INDEX(職員マスタ!$H$6:$H$405,$AN2498)),"時短終了日がマスタと相違／","")))&amp;IF(AND($B2498&lt;&gt;"",$E2498=""),"報酬額が未入力／","")&amp;IF(N($U2498)&gt;0,"申請書に入力エラーが残っています／","")&amp;IF(AND($B2498&lt;&gt;"",$AO2498&lt;&gt;""),IF(COUNTIFS($B$6:$B$3005,$B2498,$C$6:$C$3005,$C2498,$D$6:$D$3005,$D2498)&gt;1,"同じ月の請求が重複しています／",""),"")&amp;IF(AND(N($E2498)&gt;0,$Z2498&lt;&gt;"",$Z2498&lt;&gt;"×",$AC2498=0,$AB2498=""),"計算額が下限以下のため不支給／",""))</f>
        <v/>
      </c>
      <c r="AL2498" s="12" t="n"/>
      <c r="AM2498" s="14">
        <f>IF($AD2498="保留中",COUNTIF($AD$6:$AD2498,"保留中"),"")</f>
        <v/>
      </c>
      <c r="AN2498" s="14">
        <f>IF($AO2498="","",IF(SUMPRODUCT(MAX((職員マスタ!$A$6:$A$405=$B2498)*(((職員マスタ!$G$6:$G$405="")+(職員マスタ!$G$6:$G$405&lt;=EOMONTH($AO2498,0)))&gt;0)*(((職員マスタ!$H$6:$H$405="")+(職員マスタ!$H$6:$H$405&gt;=$AO2498))&gt;0)*(ROW(職員マスタ!$A$6:$A$405)-5)))&gt;0,SUMPRODUCT(MAX((職員マスタ!$A$6:$A$405=$B2498)*(((職員マスタ!$G$6:$G$405="")+(職員マスタ!$G$6:$G$405&lt;=EOMONTH($AO2498,0)))&gt;0)*(((職員マスタ!$H$6:$H$405="")+(職員マスタ!$H$6:$H$405&gt;=$AO2498))&gt;0)*(ROW(職員マスタ!$A$6:$A$405)-5))),IFERROR(MATCH($B2498,職員マスタ!$A$6:$A$405,0),"")))</f>
        <v/>
      </c>
      <c r="AO2498" s="16">
        <f>IF(OR($B2498="",$C2498="",$D2498=""),"",DATE($C2498+2018,$D2498,1))</f>
        <v/>
      </c>
    </row>
    <row r="2499">
      <c r="A2499" s="11" t="n"/>
      <c r="B2499" s="12" t="n"/>
      <c r="C2499" s="12" t="n"/>
      <c r="D2499" s="12" t="n"/>
      <c r="E2499" s="13" t="n"/>
      <c r="F2499" s="12" t="n"/>
      <c r="G2499" s="13" t="n"/>
      <c r="H2499" s="12" t="n"/>
      <c r="I2499" s="12" t="n"/>
      <c r="J2499" s="12" t="n"/>
      <c r="K2499" s="12" t="n"/>
      <c r="L2499" s="11" t="n"/>
      <c r="M2499" s="11" t="n"/>
      <c r="N2499" s="11" t="n"/>
      <c r="O2499" s="11" t="n"/>
      <c r="P2499" s="12" t="n"/>
      <c r="Q2499" s="11" t="n"/>
      <c r="R2499" s="12" t="n"/>
      <c r="S2499" s="11" t="n"/>
      <c r="T2499" s="12" t="n"/>
      <c r="U2499" s="12" t="n"/>
      <c r="V2499" s="14">
        <f>IF($AN2499="",IF($B2499="","",$H2499),IF(INDEX(職員マスタ!$B$6:$B$405,$AN2499)="",$H2499,INDEX(職員マスタ!$B$6:$B$405,$AN2499)))</f>
        <v/>
      </c>
      <c r="W2499" s="14">
        <f>IF($AN2499="",IF($B2499="","",$R2499),IF(INDEX(職員マスタ!$C$6:$C$405,$AN2499)="",$R2499,INDEX(職員マスタ!$C$6:$C$405,$AN2499)))</f>
        <v/>
      </c>
      <c r="X2499" s="14">
        <f>IF($AO2499="","","R"&amp;$C2499&amp;"."&amp;$D2499)</f>
        <v/>
      </c>
      <c r="Y2499" s="15">
        <f>IF($AN2499="","",IF(INDEX(職員マスタ!$K$6:$K$405,$AN2499)="","",INDEX(職員マスタ!$K$6:$K$405,$AN2499)))</f>
        <v/>
      </c>
      <c r="Z2499" s="14">
        <f>IF(OR($E2499="",$Y2499=""),"",IF($E2499&gt;=$Y2499,"×",IF($E2499&gt;=$Y2499*設定!$C$5,"△","○")))</f>
        <v/>
      </c>
      <c r="AA2499" s="15">
        <f>IF($Z2499="","",IF($Z2499="×",0,IF($Z2499="○",ROUNDDOWN($E2499*設定!$C$4,0),ROUNDDOWN($E2499*ROUND((9*$Y2499-9*$E2499)/(10*$E2499),4),0))))</f>
        <v/>
      </c>
      <c r="AB2499" s="13" t="n"/>
      <c r="AC2499" s="15">
        <f>IF($B2499="","",IF($AB2499&lt;&gt;"",$AB2499,IF($AA2499="","",IF($AA2499&lt;=設定!$C$3,0,$AA2499))))</f>
        <v/>
      </c>
      <c r="AD2499" s="14">
        <f>IF($B2499="","",IF(AND($AE2499&lt;&gt;"",$AG2499="",$AJ2499=""),"保留中",IF($AJ2499&lt;&gt;"",IF(N($AC2499)&gt;0,"支給済","不支給"),IF($AC2499="","要確認",IF($AC2499=0,"不支給","未処理")))))</f>
        <v/>
      </c>
      <c r="AE2499" s="12" t="n"/>
      <c r="AF2499" s="11" t="n"/>
      <c r="AG2499" s="11" t="n"/>
      <c r="AH2499" s="11" t="n"/>
      <c r="AI2499" s="14">
        <f>IF(AND($AD2499="保留中",$AF2499&lt;&gt;""),TODAY()-$AF2499,"")</f>
        <v/>
      </c>
      <c r="AJ2499" s="12" t="n"/>
      <c r="AK2499" s="14">
        <f>IF($B2499="","",IF($AO2499="","対象年月が未入力／","")&amp;IF($B2499="","",IF($AN2499="","職員マスタに未登録の職員番号／",IF($Y2499="","標準報酬月額が未登録／","")&amp;IF(AND($AO2499&lt;&gt;"",OR(AND(INDEX(職員マスタ!$G$6:$G$405,$AN2499)&lt;&gt;"",INDEX(職員マスタ!$G$6:$G$405,$AN2499)&gt;EOMONTH($AO2499,0)),AND(INDEX(職員マスタ!$H$6:$H$405,$AN2499)&lt;&gt;"",INDEX(職員マスタ!$H$6:$H$405,$AN2499)&lt;$AO2499))),"対象月が時短期間外／","")&amp;IF(AND(INDEX(職員マスタ!$F$6:$F$405,$AN2499)&lt;&gt;"",$AO2499&lt;&gt;"",INDEX(職員マスタ!$F$6:$F$405,$AN2499)&lt;$AO2499),"対象月に子が2歳到達済／","")&amp;IF(AND($H2499&lt;&gt;"",INDEX(職員マスタ!$B$6:$B$405,$AN2499)&lt;&gt;"",SUBSTITUTE(SUBSTITUTE($H2499," ","")," ","")&lt;&gt;SUBSTITUTE(SUBSTITUTE(INDEX(職員マスタ!$B$6:$B$405,$AN2499)," ","")," ","")),"氏名がマスタと相違／","")&amp;IF(AND($Q2499&lt;&gt;"",INDEX(職員マスタ!$E$6:$E$405,$AN2499)&lt;&gt;"",$Q2499&lt;&gt;INDEX(職員マスタ!$E$6:$E$405,$AN2499)),"子の生年月日がマスタと相違／","")&amp;IF(AND($L2499&lt;&gt;"",INDEX(職員マスタ!$G$6:$G$405,$AN2499)&lt;&gt;"",$L2499&lt;&gt;INDEX(職員マスタ!$G$6:$G$405,$AN2499)),"時短開始日がマスタと相違／","")&amp;IF(AND($M2499&lt;&gt;"",INDEX(職員マスタ!$H$6:$H$405,$AN2499)&lt;&gt;"",$M2499&lt;&gt;INDEX(職員マスタ!$H$6:$H$405,$AN2499)),"時短終了日がマスタと相違／","")))&amp;IF(AND($B2499&lt;&gt;"",$E2499=""),"報酬額が未入力／","")&amp;IF(N($U2499)&gt;0,"申請書に入力エラーが残っています／","")&amp;IF(AND($B2499&lt;&gt;"",$AO2499&lt;&gt;""),IF(COUNTIFS($B$6:$B$3005,$B2499,$C$6:$C$3005,$C2499,$D$6:$D$3005,$D2499)&gt;1,"同じ月の請求が重複しています／",""),"")&amp;IF(AND(N($E2499)&gt;0,$Z2499&lt;&gt;"",$Z2499&lt;&gt;"×",$AC2499=0,$AB2499=""),"計算額が下限以下のため不支給／",""))</f>
        <v/>
      </c>
      <c r="AL2499" s="12" t="n"/>
      <c r="AM2499" s="14">
        <f>IF($AD2499="保留中",COUNTIF($AD$6:$AD2499,"保留中"),"")</f>
        <v/>
      </c>
      <c r="AN2499" s="14">
        <f>IF($AO2499="","",IF(SUMPRODUCT(MAX((職員マスタ!$A$6:$A$405=$B2499)*(((職員マスタ!$G$6:$G$405="")+(職員マスタ!$G$6:$G$405&lt;=EOMONTH($AO2499,0)))&gt;0)*(((職員マスタ!$H$6:$H$405="")+(職員マスタ!$H$6:$H$405&gt;=$AO2499))&gt;0)*(ROW(職員マスタ!$A$6:$A$405)-5)))&gt;0,SUMPRODUCT(MAX((職員マスタ!$A$6:$A$405=$B2499)*(((職員マスタ!$G$6:$G$405="")+(職員マスタ!$G$6:$G$405&lt;=EOMONTH($AO2499,0)))&gt;0)*(((職員マスタ!$H$6:$H$405="")+(職員マスタ!$H$6:$H$405&gt;=$AO2499))&gt;0)*(ROW(職員マスタ!$A$6:$A$405)-5))),IFERROR(MATCH($B2499,職員マスタ!$A$6:$A$405,0),"")))</f>
        <v/>
      </c>
      <c r="AO2499" s="16">
        <f>IF(OR($B2499="",$C2499="",$D2499=""),"",DATE($C2499+2018,$D2499,1))</f>
        <v/>
      </c>
    </row>
    <row r="2500">
      <c r="A2500" s="11" t="n"/>
      <c r="B2500" s="12" t="n"/>
      <c r="C2500" s="12" t="n"/>
      <c r="D2500" s="12" t="n"/>
      <c r="E2500" s="13" t="n"/>
      <c r="F2500" s="12" t="n"/>
      <c r="G2500" s="13" t="n"/>
      <c r="H2500" s="12" t="n"/>
      <c r="I2500" s="12" t="n"/>
      <c r="J2500" s="12" t="n"/>
      <c r="K2500" s="12" t="n"/>
      <c r="L2500" s="11" t="n"/>
      <c r="M2500" s="11" t="n"/>
      <c r="N2500" s="11" t="n"/>
      <c r="O2500" s="11" t="n"/>
      <c r="P2500" s="12" t="n"/>
      <c r="Q2500" s="11" t="n"/>
      <c r="R2500" s="12" t="n"/>
      <c r="S2500" s="11" t="n"/>
      <c r="T2500" s="12" t="n"/>
      <c r="U2500" s="12" t="n"/>
      <c r="V2500" s="14">
        <f>IF($AN2500="",IF($B2500="","",$H2500),IF(INDEX(職員マスタ!$B$6:$B$405,$AN2500)="",$H2500,INDEX(職員マスタ!$B$6:$B$405,$AN2500)))</f>
        <v/>
      </c>
      <c r="W2500" s="14">
        <f>IF($AN2500="",IF($B2500="","",$R2500),IF(INDEX(職員マスタ!$C$6:$C$405,$AN2500)="",$R2500,INDEX(職員マスタ!$C$6:$C$405,$AN2500)))</f>
        <v/>
      </c>
      <c r="X2500" s="14">
        <f>IF($AO2500="","","R"&amp;$C2500&amp;"."&amp;$D2500)</f>
        <v/>
      </c>
      <c r="Y2500" s="15">
        <f>IF($AN2500="","",IF(INDEX(職員マスタ!$K$6:$K$405,$AN2500)="","",INDEX(職員マスタ!$K$6:$K$405,$AN2500)))</f>
        <v/>
      </c>
      <c r="Z2500" s="14">
        <f>IF(OR($E2500="",$Y2500=""),"",IF($E2500&gt;=$Y2500,"×",IF($E2500&gt;=$Y2500*設定!$C$5,"△","○")))</f>
        <v/>
      </c>
      <c r="AA2500" s="15">
        <f>IF($Z2500="","",IF($Z2500="×",0,IF($Z2500="○",ROUNDDOWN($E2500*設定!$C$4,0),ROUNDDOWN($E2500*ROUND((9*$Y2500-9*$E2500)/(10*$E2500),4),0))))</f>
        <v/>
      </c>
      <c r="AB2500" s="13" t="n"/>
      <c r="AC2500" s="15">
        <f>IF($B2500="","",IF($AB2500&lt;&gt;"",$AB2500,IF($AA2500="","",IF($AA2500&lt;=設定!$C$3,0,$AA2500))))</f>
        <v/>
      </c>
      <c r="AD2500" s="14">
        <f>IF($B2500="","",IF(AND($AE2500&lt;&gt;"",$AG2500="",$AJ2500=""),"保留中",IF($AJ2500&lt;&gt;"",IF(N($AC2500)&gt;0,"支給済","不支給"),IF($AC2500="","要確認",IF($AC2500=0,"不支給","未処理")))))</f>
        <v/>
      </c>
      <c r="AE2500" s="12" t="n"/>
      <c r="AF2500" s="11" t="n"/>
      <c r="AG2500" s="11" t="n"/>
      <c r="AH2500" s="11" t="n"/>
      <c r="AI2500" s="14">
        <f>IF(AND($AD2500="保留中",$AF2500&lt;&gt;""),TODAY()-$AF2500,"")</f>
        <v/>
      </c>
      <c r="AJ2500" s="12" t="n"/>
      <c r="AK2500" s="14">
        <f>IF($B2500="","",IF($AO2500="","対象年月が未入力／","")&amp;IF($B2500="","",IF($AN2500="","職員マスタに未登録の職員番号／",IF($Y2500="","標準報酬月額が未登録／","")&amp;IF(AND($AO2500&lt;&gt;"",OR(AND(INDEX(職員マスタ!$G$6:$G$405,$AN2500)&lt;&gt;"",INDEX(職員マスタ!$G$6:$G$405,$AN2500)&gt;EOMONTH($AO2500,0)),AND(INDEX(職員マスタ!$H$6:$H$405,$AN2500)&lt;&gt;"",INDEX(職員マスタ!$H$6:$H$405,$AN2500)&lt;$AO2500))),"対象月が時短期間外／","")&amp;IF(AND(INDEX(職員マスタ!$F$6:$F$405,$AN2500)&lt;&gt;"",$AO2500&lt;&gt;"",INDEX(職員マスタ!$F$6:$F$405,$AN2500)&lt;$AO2500),"対象月に子が2歳到達済／","")&amp;IF(AND($H2500&lt;&gt;"",INDEX(職員マスタ!$B$6:$B$405,$AN2500)&lt;&gt;"",SUBSTITUTE(SUBSTITUTE($H2500," ","")," ","")&lt;&gt;SUBSTITUTE(SUBSTITUTE(INDEX(職員マスタ!$B$6:$B$405,$AN2500)," ","")," ","")),"氏名がマスタと相違／","")&amp;IF(AND($Q2500&lt;&gt;"",INDEX(職員マスタ!$E$6:$E$405,$AN2500)&lt;&gt;"",$Q2500&lt;&gt;INDEX(職員マスタ!$E$6:$E$405,$AN2500)),"子の生年月日がマスタと相違／","")&amp;IF(AND($L2500&lt;&gt;"",INDEX(職員マスタ!$G$6:$G$405,$AN2500)&lt;&gt;"",$L2500&lt;&gt;INDEX(職員マスタ!$G$6:$G$405,$AN2500)),"時短開始日がマスタと相違／","")&amp;IF(AND($M2500&lt;&gt;"",INDEX(職員マスタ!$H$6:$H$405,$AN2500)&lt;&gt;"",$M2500&lt;&gt;INDEX(職員マスタ!$H$6:$H$405,$AN2500)),"時短終了日がマスタと相違／","")))&amp;IF(AND($B2500&lt;&gt;"",$E2500=""),"報酬額が未入力／","")&amp;IF(N($U2500)&gt;0,"申請書に入力エラーが残っています／","")&amp;IF(AND($B2500&lt;&gt;"",$AO2500&lt;&gt;""),IF(COUNTIFS($B$6:$B$3005,$B2500,$C$6:$C$3005,$C2500,$D$6:$D$3005,$D2500)&gt;1,"同じ月の請求が重複しています／",""),"")&amp;IF(AND(N($E2500)&gt;0,$Z2500&lt;&gt;"",$Z2500&lt;&gt;"×",$AC2500=0,$AB2500=""),"計算額が下限以下のため不支給／",""))</f>
        <v/>
      </c>
      <c r="AL2500" s="12" t="n"/>
      <c r="AM2500" s="14">
        <f>IF($AD2500="保留中",COUNTIF($AD$6:$AD2500,"保留中"),"")</f>
        <v/>
      </c>
      <c r="AN2500" s="14">
        <f>IF($AO2500="","",IF(SUMPRODUCT(MAX((職員マスタ!$A$6:$A$405=$B2500)*(((職員マスタ!$G$6:$G$405="")+(職員マスタ!$G$6:$G$405&lt;=EOMONTH($AO2500,0)))&gt;0)*(((職員マスタ!$H$6:$H$405="")+(職員マスタ!$H$6:$H$405&gt;=$AO2500))&gt;0)*(ROW(職員マスタ!$A$6:$A$405)-5)))&gt;0,SUMPRODUCT(MAX((職員マスタ!$A$6:$A$405=$B2500)*(((職員マスタ!$G$6:$G$405="")+(職員マスタ!$G$6:$G$405&lt;=EOMONTH($AO2500,0)))&gt;0)*(((職員マスタ!$H$6:$H$405="")+(職員マスタ!$H$6:$H$405&gt;=$AO2500))&gt;0)*(ROW(職員マスタ!$A$6:$A$405)-5))),IFERROR(MATCH($B2500,職員マスタ!$A$6:$A$405,0),"")))</f>
        <v/>
      </c>
      <c r="AO2500" s="16">
        <f>IF(OR($B2500="",$C2500="",$D2500=""),"",DATE($C2500+2018,$D2500,1))</f>
        <v/>
      </c>
    </row>
    <row r="2501">
      <c r="A2501" s="11" t="n"/>
      <c r="B2501" s="12" t="n"/>
      <c r="C2501" s="12" t="n"/>
      <c r="D2501" s="12" t="n"/>
      <c r="E2501" s="13" t="n"/>
      <c r="F2501" s="12" t="n"/>
      <c r="G2501" s="13" t="n"/>
      <c r="H2501" s="12" t="n"/>
      <c r="I2501" s="12" t="n"/>
      <c r="J2501" s="12" t="n"/>
      <c r="K2501" s="12" t="n"/>
      <c r="L2501" s="11" t="n"/>
      <c r="M2501" s="11" t="n"/>
      <c r="N2501" s="11" t="n"/>
      <c r="O2501" s="11" t="n"/>
      <c r="P2501" s="12" t="n"/>
      <c r="Q2501" s="11" t="n"/>
      <c r="R2501" s="12" t="n"/>
      <c r="S2501" s="11" t="n"/>
      <c r="T2501" s="12" t="n"/>
      <c r="U2501" s="12" t="n"/>
      <c r="V2501" s="14">
        <f>IF($AN2501="",IF($B2501="","",$H2501),IF(INDEX(職員マスタ!$B$6:$B$405,$AN2501)="",$H2501,INDEX(職員マスタ!$B$6:$B$405,$AN2501)))</f>
        <v/>
      </c>
      <c r="W2501" s="14">
        <f>IF($AN2501="",IF($B2501="","",$R2501),IF(INDEX(職員マスタ!$C$6:$C$405,$AN2501)="",$R2501,INDEX(職員マスタ!$C$6:$C$405,$AN2501)))</f>
        <v/>
      </c>
      <c r="X2501" s="14">
        <f>IF($AO2501="","","R"&amp;$C2501&amp;"."&amp;$D2501)</f>
        <v/>
      </c>
      <c r="Y2501" s="15">
        <f>IF($AN2501="","",IF(INDEX(職員マスタ!$K$6:$K$405,$AN2501)="","",INDEX(職員マスタ!$K$6:$K$405,$AN2501)))</f>
        <v/>
      </c>
      <c r="Z2501" s="14">
        <f>IF(OR($E2501="",$Y2501=""),"",IF($E2501&gt;=$Y2501,"×",IF($E2501&gt;=$Y2501*設定!$C$5,"△","○")))</f>
        <v/>
      </c>
      <c r="AA2501" s="15">
        <f>IF($Z2501="","",IF($Z2501="×",0,IF($Z2501="○",ROUNDDOWN($E2501*設定!$C$4,0),ROUNDDOWN($E2501*ROUND((9*$Y2501-9*$E2501)/(10*$E2501),4),0))))</f>
        <v/>
      </c>
      <c r="AB2501" s="13" t="n"/>
      <c r="AC2501" s="15">
        <f>IF($B2501="","",IF($AB2501&lt;&gt;"",$AB2501,IF($AA2501="","",IF($AA2501&lt;=設定!$C$3,0,$AA2501))))</f>
        <v/>
      </c>
      <c r="AD2501" s="14">
        <f>IF($B2501="","",IF(AND($AE2501&lt;&gt;"",$AG2501="",$AJ2501=""),"保留中",IF($AJ2501&lt;&gt;"",IF(N($AC2501)&gt;0,"支給済","不支給"),IF($AC2501="","要確認",IF($AC2501=0,"不支給","未処理")))))</f>
        <v/>
      </c>
      <c r="AE2501" s="12" t="n"/>
      <c r="AF2501" s="11" t="n"/>
      <c r="AG2501" s="11" t="n"/>
      <c r="AH2501" s="11" t="n"/>
      <c r="AI2501" s="14">
        <f>IF(AND($AD2501="保留中",$AF2501&lt;&gt;""),TODAY()-$AF2501,"")</f>
        <v/>
      </c>
      <c r="AJ2501" s="12" t="n"/>
      <c r="AK2501" s="14">
        <f>IF($B2501="","",IF($AO2501="","対象年月が未入力／","")&amp;IF($B2501="","",IF($AN2501="","職員マスタに未登録の職員番号／",IF($Y2501="","標準報酬月額が未登録／","")&amp;IF(AND($AO2501&lt;&gt;"",OR(AND(INDEX(職員マスタ!$G$6:$G$405,$AN2501)&lt;&gt;"",INDEX(職員マスタ!$G$6:$G$405,$AN2501)&gt;EOMONTH($AO2501,0)),AND(INDEX(職員マスタ!$H$6:$H$405,$AN2501)&lt;&gt;"",INDEX(職員マスタ!$H$6:$H$405,$AN2501)&lt;$AO2501))),"対象月が時短期間外／","")&amp;IF(AND(INDEX(職員マスタ!$F$6:$F$405,$AN2501)&lt;&gt;"",$AO2501&lt;&gt;"",INDEX(職員マスタ!$F$6:$F$405,$AN2501)&lt;$AO2501),"対象月に子が2歳到達済／","")&amp;IF(AND($H2501&lt;&gt;"",INDEX(職員マスタ!$B$6:$B$405,$AN2501)&lt;&gt;"",SUBSTITUTE(SUBSTITUTE($H2501," ","")," ","")&lt;&gt;SUBSTITUTE(SUBSTITUTE(INDEX(職員マスタ!$B$6:$B$405,$AN2501)," ","")," ","")),"氏名がマスタと相違／","")&amp;IF(AND($Q2501&lt;&gt;"",INDEX(職員マスタ!$E$6:$E$405,$AN2501)&lt;&gt;"",$Q2501&lt;&gt;INDEX(職員マスタ!$E$6:$E$405,$AN2501)),"子の生年月日がマスタと相違／","")&amp;IF(AND($L2501&lt;&gt;"",INDEX(職員マスタ!$G$6:$G$405,$AN2501)&lt;&gt;"",$L2501&lt;&gt;INDEX(職員マスタ!$G$6:$G$405,$AN2501)),"時短開始日がマスタと相違／","")&amp;IF(AND($M2501&lt;&gt;"",INDEX(職員マスタ!$H$6:$H$405,$AN2501)&lt;&gt;"",$M2501&lt;&gt;INDEX(職員マスタ!$H$6:$H$405,$AN2501)),"時短終了日がマスタと相違／","")))&amp;IF(AND($B2501&lt;&gt;"",$E2501=""),"報酬額が未入力／","")&amp;IF(N($U2501)&gt;0,"申請書に入力エラーが残っています／","")&amp;IF(AND($B2501&lt;&gt;"",$AO2501&lt;&gt;""),IF(COUNTIFS($B$6:$B$3005,$B2501,$C$6:$C$3005,$C2501,$D$6:$D$3005,$D2501)&gt;1,"同じ月の請求が重複しています／",""),"")&amp;IF(AND(N($E2501)&gt;0,$Z2501&lt;&gt;"",$Z2501&lt;&gt;"×",$AC2501=0,$AB2501=""),"計算額が下限以下のため不支給／",""))</f>
        <v/>
      </c>
      <c r="AL2501" s="12" t="n"/>
      <c r="AM2501" s="14">
        <f>IF($AD2501="保留中",COUNTIF($AD$6:$AD2501,"保留中"),"")</f>
        <v/>
      </c>
      <c r="AN2501" s="14">
        <f>IF($AO2501="","",IF(SUMPRODUCT(MAX((職員マスタ!$A$6:$A$405=$B2501)*(((職員マスタ!$G$6:$G$405="")+(職員マスタ!$G$6:$G$405&lt;=EOMONTH($AO2501,0)))&gt;0)*(((職員マスタ!$H$6:$H$405="")+(職員マスタ!$H$6:$H$405&gt;=$AO2501))&gt;0)*(ROW(職員マスタ!$A$6:$A$405)-5)))&gt;0,SUMPRODUCT(MAX((職員マスタ!$A$6:$A$405=$B2501)*(((職員マスタ!$G$6:$G$405="")+(職員マスタ!$G$6:$G$405&lt;=EOMONTH($AO2501,0)))&gt;0)*(((職員マスタ!$H$6:$H$405="")+(職員マスタ!$H$6:$H$405&gt;=$AO2501))&gt;0)*(ROW(職員マスタ!$A$6:$A$405)-5))),IFERROR(MATCH($B2501,職員マスタ!$A$6:$A$405,0),"")))</f>
        <v/>
      </c>
      <c r="AO2501" s="16">
        <f>IF(OR($B2501="",$C2501="",$D2501=""),"",DATE($C2501+2018,$D2501,1))</f>
        <v/>
      </c>
    </row>
    <row r="2502">
      <c r="A2502" s="11" t="n"/>
      <c r="B2502" s="12" t="n"/>
      <c r="C2502" s="12" t="n"/>
      <c r="D2502" s="12" t="n"/>
      <c r="E2502" s="13" t="n"/>
      <c r="F2502" s="12" t="n"/>
      <c r="G2502" s="13" t="n"/>
      <c r="H2502" s="12" t="n"/>
      <c r="I2502" s="12" t="n"/>
      <c r="J2502" s="12" t="n"/>
      <c r="K2502" s="12" t="n"/>
      <c r="L2502" s="11" t="n"/>
      <c r="M2502" s="11" t="n"/>
      <c r="N2502" s="11" t="n"/>
      <c r="O2502" s="11" t="n"/>
      <c r="P2502" s="12" t="n"/>
      <c r="Q2502" s="11" t="n"/>
      <c r="R2502" s="12" t="n"/>
      <c r="S2502" s="11" t="n"/>
      <c r="T2502" s="12" t="n"/>
      <c r="U2502" s="12" t="n"/>
      <c r="V2502" s="14">
        <f>IF($AN2502="",IF($B2502="","",$H2502),IF(INDEX(職員マスタ!$B$6:$B$405,$AN2502)="",$H2502,INDEX(職員マスタ!$B$6:$B$405,$AN2502)))</f>
        <v/>
      </c>
      <c r="W2502" s="14">
        <f>IF($AN2502="",IF($B2502="","",$R2502),IF(INDEX(職員マスタ!$C$6:$C$405,$AN2502)="",$R2502,INDEX(職員マスタ!$C$6:$C$405,$AN2502)))</f>
        <v/>
      </c>
      <c r="X2502" s="14">
        <f>IF($AO2502="","","R"&amp;$C2502&amp;"."&amp;$D2502)</f>
        <v/>
      </c>
      <c r="Y2502" s="15">
        <f>IF($AN2502="","",IF(INDEX(職員マスタ!$K$6:$K$405,$AN2502)="","",INDEX(職員マスタ!$K$6:$K$405,$AN2502)))</f>
        <v/>
      </c>
      <c r="Z2502" s="14">
        <f>IF(OR($E2502="",$Y2502=""),"",IF($E2502&gt;=$Y2502,"×",IF($E2502&gt;=$Y2502*設定!$C$5,"△","○")))</f>
        <v/>
      </c>
      <c r="AA2502" s="15">
        <f>IF($Z2502="","",IF($Z2502="×",0,IF($Z2502="○",ROUNDDOWN($E2502*設定!$C$4,0),ROUNDDOWN($E2502*ROUND((9*$Y2502-9*$E2502)/(10*$E2502),4),0))))</f>
        <v/>
      </c>
      <c r="AB2502" s="13" t="n"/>
      <c r="AC2502" s="15">
        <f>IF($B2502="","",IF($AB2502&lt;&gt;"",$AB2502,IF($AA2502="","",IF($AA2502&lt;=設定!$C$3,0,$AA2502))))</f>
        <v/>
      </c>
      <c r="AD2502" s="14">
        <f>IF($B2502="","",IF(AND($AE2502&lt;&gt;"",$AG2502="",$AJ2502=""),"保留中",IF($AJ2502&lt;&gt;"",IF(N($AC2502)&gt;0,"支給済","不支給"),IF($AC2502="","要確認",IF($AC2502=0,"不支給","未処理")))))</f>
        <v/>
      </c>
      <c r="AE2502" s="12" t="n"/>
      <c r="AF2502" s="11" t="n"/>
      <c r="AG2502" s="11" t="n"/>
      <c r="AH2502" s="11" t="n"/>
      <c r="AI2502" s="14">
        <f>IF(AND($AD2502="保留中",$AF2502&lt;&gt;""),TODAY()-$AF2502,"")</f>
        <v/>
      </c>
      <c r="AJ2502" s="12" t="n"/>
      <c r="AK2502" s="14">
        <f>IF($B2502="","",IF($AO2502="","対象年月が未入力／","")&amp;IF($B2502="","",IF($AN2502="","職員マスタに未登録の職員番号／",IF($Y2502="","標準報酬月額が未登録／","")&amp;IF(AND($AO2502&lt;&gt;"",OR(AND(INDEX(職員マスタ!$G$6:$G$405,$AN2502)&lt;&gt;"",INDEX(職員マスタ!$G$6:$G$405,$AN2502)&gt;EOMONTH($AO2502,0)),AND(INDEX(職員マスタ!$H$6:$H$405,$AN2502)&lt;&gt;"",INDEX(職員マスタ!$H$6:$H$405,$AN2502)&lt;$AO2502))),"対象月が時短期間外／","")&amp;IF(AND(INDEX(職員マスタ!$F$6:$F$405,$AN2502)&lt;&gt;"",$AO2502&lt;&gt;"",INDEX(職員マスタ!$F$6:$F$405,$AN2502)&lt;$AO2502),"対象月に子が2歳到達済／","")&amp;IF(AND($H2502&lt;&gt;"",INDEX(職員マスタ!$B$6:$B$405,$AN2502)&lt;&gt;"",SUBSTITUTE(SUBSTITUTE($H2502," ","")," ","")&lt;&gt;SUBSTITUTE(SUBSTITUTE(INDEX(職員マスタ!$B$6:$B$405,$AN2502)," ","")," ","")),"氏名がマスタと相違／","")&amp;IF(AND($Q2502&lt;&gt;"",INDEX(職員マスタ!$E$6:$E$405,$AN2502)&lt;&gt;"",$Q2502&lt;&gt;INDEX(職員マスタ!$E$6:$E$405,$AN2502)),"子の生年月日がマスタと相違／","")&amp;IF(AND($L2502&lt;&gt;"",INDEX(職員マスタ!$G$6:$G$405,$AN2502)&lt;&gt;"",$L2502&lt;&gt;INDEX(職員マスタ!$G$6:$G$405,$AN2502)),"時短開始日がマスタと相違／","")&amp;IF(AND($M2502&lt;&gt;"",INDEX(職員マスタ!$H$6:$H$405,$AN2502)&lt;&gt;"",$M2502&lt;&gt;INDEX(職員マスタ!$H$6:$H$405,$AN2502)),"時短終了日がマスタと相違／","")))&amp;IF(AND($B2502&lt;&gt;"",$E2502=""),"報酬額が未入力／","")&amp;IF(N($U2502)&gt;0,"申請書に入力エラーが残っています／","")&amp;IF(AND($B2502&lt;&gt;"",$AO2502&lt;&gt;""),IF(COUNTIFS($B$6:$B$3005,$B2502,$C$6:$C$3005,$C2502,$D$6:$D$3005,$D2502)&gt;1,"同じ月の請求が重複しています／",""),"")&amp;IF(AND(N($E2502)&gt;0,$Z2502&lt;&gt;"",$Z2502&lt;&gt;"×",$AC2502=0,$AB2502=""),"計算額が下限以下のため不支給／",""))</f>
        <v/>
      </c>
      <c r="AL2502" s="12" t="n"/>
      <c r="AM2502" s="14">
        <f>IF($AD2502="保留中",COUNTIF($AD$6:$AD2502,"保留中"),"")</f>
        <v/>
      </c>
      <c r="AN2502" s="14">
        <f>IF($AO2502="","",IF(SUMPRODUCT(MAX((職員マスタ!$A$6:$A$405=$B2502)*(((職員マスタ!$G$6:$G$405="")+(職員マスタ!$G$6:$G$405&lt;=EOMONTH($AO2502,0)))&gt;0)*(((職員マスタ!$H$6:$H$405="")+(職員マスタ!$H$6:$H$405&gt;=$AO2502))&gt;0)*(ROW(職員マスタ!$A$6:$A$405)-5)))&gt;0,SUMPRODUCT(MAX((職員マスタ!$A$6:$A$405=$B2502)*(((職員マスタ!$G$6:$G$405="")+(職員マスタ!$G$6:$G$405&lt;=EOMONTH($AO2502,0)))&gt;0)*(((職員マスタ!$H$6:$H$405="")+(職員マスタ!$H$6:$H$405&gt;=$AO2502))&gt;0)*(ROW(職員マスタ!$A$6:$A$405)-5))),IFERROR(MATCH($B2502,職員マスタ!$A$6:$A$405,0),"")))</f>
        <v/>
      </c>
      <c r="AO2502" s="16">
        <f>IF(OR($B2502="",$C2502="",$D2502=""),"",DATE($C2502+2018,$D2502,1))</f>
        <v/>
      </c>
    </row>
    <row r="2503">
      <c r="A2503" s="11" t="n"/>
      <c r="B2503" s="12" t="n"/>
      <c r="C2503" s="12" t="n"/>
      <c r="D2503" s="12" t="n"/>
      <c r="E2503" s="13" t="n"/>
      <c r="F2503" s="12" t="n"/>
      <c r="G2503" s="13" t="n"/>
      <c r="H2503" s="12" t="n"/>
      <c r="I2503" s="12" t="n"/>
      <c r="J2503" s="12" t="n"/>
      <c r="K2503" s="12" t="n"/>
      <c r="L2503" s="11" t="n"/>
      <c r="M2503" s="11" t="n"/>
      <c r="N2503" s="11" t="n"/>
      <c r="O2503" s="11" t="n"/>
      <c r="P2503" s="12" t="n"/>
      <c r="Q2503" s="11" t="n"/>
      <c r="R2503" s="12" t="n"/>
      <c r="S2503" s="11" t="n"/>
      <c r="T2503" s="12" t="n"/>
      <c r="U2503" s="12" t="n"/>
      <c r="V2503" s="14">
        <f>IF($AN2503="",IF($B2503="","",$H2503),IF(INDEX(職員マスタ!$B$6:$B$405,$AN2503)="",$H2503,INDEX(職員マスタ!$B$6:$B$405,$AN2503)))</f>
        <v/>
      </c>
      <c r="W2503" s="14">
        <f>IF($AN2503="",IF($B2503="","",$R2503),IF(INDEX(職員マスタ!$C$6:$C$405,$AN2503)="",$R2503,INDEX(職員マスタ!$C$6:$C$405,$AN2503)))</f>
        <v/>
      </c>
      <c r="X2503" s="14">
        <f>IF($AO2503="","","R"&amp;$C2503&amp;"."&amp;$D2503)</f>
        <v/>
      </c>
      <c r="Y2503" s="15">
        <f>IF($AN2503="","",IF(INDEX(職員マスタ!$K$6:$K$405,$AN2503)="","",INDEX(職員マスタ!$K$6:$K$405,$AN2503)))</f>
        <v/>
      </c>
      <c r="Z2503" s="14">
        <f>IF(OR($E2503="",$Y2503=""),"",IF($E2503&gt;=$Y2503,"×",IF($E2503&gt;=$Y2503*設定!$C$5,"△","○")))</f>
        <v/>
      </c>
      <c r="AA2503" s="15">
        <f>IF($Z2503="","",IF($Z2503="×",0,IF($Z2503="○",ROUNDDOWN($E2503*設定!$C$4,0),ROUNDDOWN($E2503*ROUND((9*$Y2503-9*$E2503)/(10*$E2503),4),0))))</f>
        <v/>
      </c>
      <c r="AB2503" s="13" t="n"/>
      <c r="AC2503" s="15">
        <f>IF($B2503="","",IF($AB2503&lt;&gt;"",$AB2503,IF($AA2503="","",IF($AA2503&lt;=設定!$C$3,0,$AA2503))))</f>
        <v/>
      </c>
      <c r="AD2503" s="14">
        <f>IF($B2503="","",IF(AND($AE2503&lt;&gt;"",$AG2503="",$AJ2503=""),"保留中",IF($AJ2503&lt;&gt;"",IF(N($AC2503)&gt;0,"支給済","不支給"),IF($AC2503="","要確認",IF($AC2503=0,"不支給","未処理")))))</f>
        <v/>
      </c>
      <c r="AE2503" s="12" t="n"/>
      <c r="AF2503" s="11" t="n"/>
      <c r="AG2503" s="11" t="n"/>
      <c r="AH2503" s="11" t="n"/>
      <c r="AI2503" s="14">
        <f>IF(AND($AD2503="保留中",$AF2503&lt;&gt;""),TODAY()-$AF2503,"")</f>
        <v/>
      </c>
      <c r="AJ2503" s="12" t="n"/>
      <c r="AK2503" s="14">
        <f>IF($B2503="","",IF($AO2503="","対象年月が未入力／","")&amp;IF($B2503="","",IF($AN2503="","職員マスタに未登録の職員番号／",IF($Y2503="","標準報酬月額が未登録／","")&amp;IF(AND($AO2503&lt;&gt;"",OR(AND(INDEX(職員マスタ!$G$6:$G$405,$AN2503)&lt;&gt;"",INDEX(職員マスタ!$G$6:$G$405,$AN2503)&gt;EOMONTH($AO2503,0)),AND(INDEX(職員マスタ!$H$6:$H$405,$AN2503)&lt;&gt;"",INDEX(職員マスタ!$H$6:$H$405,$AN2503)&lt;$AO2503))),"対象月が時短期間外／","")&amp;IF(AND(INDEX(職員マスタ!$F$6:$F$405,$AN2503)&lt;&gt;"",$AO2503&lt;&gt;"",INDEX(職員マスタ!$F$6:$F$405,$AN2503)&lt;$AO2503),"対象月に子が2歳到達済／","")&amp;IF(AND($H2503&lt;&gt;"",INDEX(職員マスタ!$B$6:$B$405,$AN2503)&lt;&gt;"",SUBSTITUTE(SUBSTITUTE($H2503," ","")," ","")&lt;&gt;SUBSTITUTE(SUBSTITUTE(INDEX(職員マスタ!$B$6:$B$405,$AN2503)," ","")," ","")),"氏名がマスタと相違／","")&amp;IF(AND($Q2503&lt;&gt;"",INDEX(職員マスタ!$E$6:$E$405,$AN2503)&lt;&gt;"",$Q2503&lt;&gt;INDEX(職員マスタ!$E$6:$E$405,$AN2503)),"子の生年月日がマスタと相違／","")&amp;IF(AND($L2503&lt;&gt;"",INDEX(職員マスタ!$G$6:$G$405,$AN2503)&lt;&gt;"",$L2503&lt;&gt;INDEX(職員マスタ!$G$6:$G$405,$AN2503)),"時短開始日がマスタと相違／","")&amp;IF(AND($M2503&lt;&gt;"",INDEX(職員マスタ!$H$6:$H$405,$AN2503)&lt;&gt;"",$M2503&lt;&gt;INDEX(職員マスタ!$H$6:$H$405,$AN2503)),"時短終了日がマスタと相違／","")))&amp;IF(AND($B2503&lt;&gt;"",$E2503=""),"報酬額が未入力／","")&amp;IF(N($U2503)&gt;0,"申請書に入力エラーが残っています／","")&amp;IF(AND($B2503&lt;&gt;"",$AO2503&lt;&gt;""),IF(COUNTIFS($B$6:$B$3005,$B2503,$C$6:$C$3005,$C2503,$D$6:$D$3005,$D2503)&gt;1,"同じ月の請求が重複しています／",""),"")&amp;IF(AND(N($E2503)&gt;0,$Z2503&lt;&gt;"",$Z2503&lt;&gt;"×",$AC2503=0,$AB2503=""),"計算額が下限以下のため不支給／",""))</f>
        <v/>
      </c>
      <c r="AL2503" s="12" t="n"/>
      <c r="AM2503" s="14">
        <f>IF($AD2503="保留中",COUNTIF($AD$6:$AD2503,"保留中"),"")</f>
        <v/>
      </c>
      <c r="AN2503" s="14">
        <f>IF($AO2503="","",IF(SUMPRODUCT(MAX((職員マスタ!$A$6:$A$405=$B2503)*(((職員マスタ!$G$6:$G$405="")+(職員マスタ!$G$6:$G$405&lt;=EOMONTH($AO2503,0)))&gt;0)*(((職員マスタ!$H$6:$H$405="")+(職員マスタ!$H$6:$H$405&gt;=$AO2503))&gt;0)*(ROW(職員マスタ!$A$6:$A$405)-5)))&gt;0,SUMPRODUCT(MAX((職員マスタ!$A$6:$A$405=$B2503)*(((職員マスタ!$G$6:$G$405="")+(職員マスタ!$G$6:$G$405&lt;=EOMONTH($AO2503,0)))&gt;0)*(((職員マスタ!$H$6:$H$405="")+(職員マスタ!$H$6:$H$405&gt;=$AO2503))&gt;0)*(ROW(職員マスタ!$A$6:$A$405)-5))),IFERROR(MATCH($B2503,職員マスタ!$A$6:$A$405,0),"")))</f>
        <v/>
      </c>
      <c r="AO2503" s="16">
        <f>IF(OR($B2503="",$C2503="",$D2503=""),"",DATE($C2503+2018,$D2503,1))</f>
        <v/>
      </c>
    </row>
    <row r="2504">
      <c r="A2504" s="11" t="n"/>
      <c r="B2504" s="12" t="n"/>
      <c r="C2504" s="12" t="n"/>
      <c r="D2504" s="12" t="n"/>
      <c r="E2504" s="13" t="n"/>
      <c r="F2504" s="12" t="n"/>
      <c r="G2504" s="13" t="n"/>
      <c r="H2504" s="12" t="n"/>
      <c r="I2504" s="12" t="n"/>
      <c r="J2504" s="12" t="n"/>
      <c r="K2504" s="12" t="n"/>
      <c r="L2504" s="11" t="n"/>
      <c r="M2504" s="11" t="n"/>
      <c r="N2504" s="11" t="n"/>
      <c r="O2504" s="11" t="n"/>
      <c r="P2504" s="12" t="n"/>
      <c r="Q2504" s="11" t="n"/>
      <c r="R2504" s="12" t="n"/>
      <c r="S2504" s="11" t="n"/>
      <c r="T2504" s="12" t="n"/>
      <c r="U2504" s="12" t="n"/>
      <c r="V2504" s="14">
        <f>IF($AN2504="",IF($B2504="","",$H2504),IF(INDEX(職員マスタ!$B$6:$B$405,$AN2504)="",$H2504,INDEX(職員マスタ!$B$6:$B$405,$AN2504)))</f>
        <v/>
      </c>
      <c r="W2504" s="14">
        <f>IF($AN2504="",IF($B2504="","",$R2504),IF(INDEX(職員マスタ!$C$6:$C$405,$AN2504)="",$R2504,INDEX(職員マスタ!$C$6:$C$405,$AN2504)))</f>
        <v/>
      </c>
      <c r="X2504" s="14">
        <f>IF($AO2504="","","R"&amp;$C2504&amp;"."&amp;$D2504)</f>
        <v/>
      </c>
      <c r="Y2504" s="15">
        <f>IF($AN2504="","",IF(INDEX(職員マスタ!$K$6:$K$405,$AN2504)="","",INDEX(職員マスタ!$K$6:$K$405,$AN2504)))</f>
        <v/>
      </c>
      <c r="Z2504" s="14">
        <f>IF(OR($E2504="",$Y2504=""),"",IF($E2504&gt;=$Y2504,"×",IF($E2504&gt;=$Y2504*設定!$C$5,"△","○")))</f>
        <v/>
      </c>
      <c r="AA2504" s="15">
        <f>IF($Z2504="","",IF($Z2504="×",0,IF($Z2504="○",ROUNDDOWN($E2504*設定!$C$4,0),ROUNDDOWN($E2504*ROUND((9*$Y2504-9*$E2504)/(10*$E2504),4),0))))</f>
        <v/>
      </c>
      <c r="AB2504" s="13" t="n"/>
      <c r="AC2504" s="15">
        <f>IF($B2504="","",IF($AB2504&lt;&gt;"",$AB2504,IF($AA2504="","",IF($AA2504&lt;=設定!$C$3,0,$AA2504))))</f>
        <v/>
      </c>
      <c r="AD2504" s="14">
        <f>IF($B2504="","",IF(AND($AE2504&lt;&gt;"",$AG2504="",$AJ2504=""),"保留中",IF($AJ2504&lt;&gt;"",IF(N($AC2504)&gt;0,"支給済","不支給"),IF($AC2504="","要確認",IF($AC2504=0,"不支給","未処理")))))</f>
        <v/>
      </c>
      <c r="AE2504" s="12" t="n"/>
      <c r="AF2504" s="11" t="n"/>
      <c r="AG2504" s="11" t="n"/>
      <c r="AH2504" s="11" t="n"/>
      <c r="AI2504" s="14">
        <f>IF(AND($AD2504="保留中",$AF2504&lt;&gt;""),TODAY()-$AF2504,"")</f>
        <v/>
      </c>
      <c r="AJ2504" s="12" t="n"/>
      <c r="AK2504" s="14">
        <f>IF($B2504="","",IF($AO2504="","対象年月が未入力／","")&amp;IF($B2504="","",IF($AN2504="","職員マスタに未登録の職員番号／",IF($Y2504="","標準報酬月額が未登録／","")&amp;IF(AND($AO2504&lt;&gt;"",OR(AND(INDEX(職員マスタ!$G$6:$G$405,$AN2504)&lt;&gt;"",INDEX(職員マスタ!$G$6:$G$405,$AN2504)&gt;EOMONTH($AO2504,0)),AND(INDEX(職員マスタ!$H$6:$H$405,$AN2504)&lt;&gt;"",INDEX(職員マスタ!$H$6:$H$405,$AN2504)&lt;$AO2504))),"対象月が時短期間外／","")&amp;IF(AND(INDEX(職員マスタ!$F$6:$F$405,$AN2504)&lt;&gt;"",$AO2504&lt;&gt;"",INDEX(職員マスタ!$F$6:$F$405,$AN2504)&lt;$AO2504),"対象月に子が2歳到達済／","")&amp;IF(AND($H2504&lt;&gt;"",INDEX(職員マスタ!$B$6:$B$405,$AN2504)&lt;&gt;"",SUBSTITUTE(SUBSTITUTE($H2504," ","")," ","")&lt;&gt;SUBSTITUTE(SUBSTITUTE(INDEX(職員マスタ!$B$6:$B$405,$AN2504)," ","")," ","")),"氏名がマスタと相違／","")&amp;IF(AND($Q2504&lt;&gt;"",INDEX(職員マスタ!$E$6:$E$405,$AN2504)&lt;&gt;"",$Q2504&lt;&gt;INDEX(職員マスタ!$E$6:$E$405,$AN2504)),"子の生年月日がマスタと相違／","")&amp;IF(AND($L2504&lt;&gt;"",INDEX(職員マスタ!$G$6:$G$405,$AN2504)&lt;&gt;"",$L2504&lt;&gt;INDEX(職員マスタ!$G$6:$G$405,$AN2504)),"時短開始日がマスタと相違／","")&amp;IF(AND($M2504&lt;&gt;"",INDEX(職員マスタ!$H$6:$H$405,$AN2504)&lt;&gt;"",$M2504&lt;&gt;INDEX(職員マスタ!$H$6:$H$405,$AN2504)),"時短終了日がマスタと相違／","")))&amp;IF(AND($B2504&lt;&gt;"",$E2504=""),"報酬額が未入力／","")&amp;IF(N($U2504)&gt;0,"申請書に入力エラーが残っています／","")&amp;IF(AND($B2504&lt;&gt;"",$AO2504&lt;&gt;""),IF(COUNTIFS($B$6:$B$3005,$B2504,$C$6:$C$3005,$C2504,$D$6:$D$3005,$D2504)&gt;1,"同じ月の請求が重複しています／",""),"")&amp;IF(AND(N($E2504)&gt;0,$Z2504&lt;&gt;"",$Z2504&lt;&gt;"×",$AC2504=0,$AB2504=""),"計算額が下限以下のため不支給／",""))</f>
        <v/>
      </c>
      <c r="AL2504" s="12" t="n"/>
      <c r="AM2504" s="14">
        <f>IF($AD2504="保留中",COUNTIF($AD$6:$AD2504,"保留中"),"")</f>
        <v/>
      </c>
      <c r="AN2504" s="14">
        <f>IF($AO2504="","",IF(SUMPRODUCT(MAX((職員マスタ!$A$6:$A$405=$B2504)*(((職員マスタ!$G$6:$G$405="")+(職員マスタ!$G$6:$G$405&lt;=EOMONTH($AO2504,0)))&gt;0)*(((職員マスタ!$H$6:$H$405="")+(職員マスタ!$H$6:$H$405&gt;=$AO2504))&gt;0)*(ROW(職員マスタ!$A$6:$A$405)-5)))&gt;0,SUMPRODUCT(MAX((職員マスタ!$A$6:$A$405=$B2504)*(((職員マスタ!$G$6:$G$405="")+(職員マスタ!$G$6:$G$405&lt;=EOMONTH($AO2504,0)))&gt;0)*(((職員マスタ!$H$6:$H$405="")+(職員マスタ!$H$6:$H$405&gt;=$AO2504))&gt;0)*(ROW(職員マスタ!$A$6:$A$405)-5))),IFERROR(MATCH($B2504,職員マスタ!$A$6:$A$405,0),"")))</f>
        <v/>
      </c>
      <c r="AO2504" s="16">
        <f>IF(OR($B2504="",$C2504="",$D2504=""),"",DATE($C2504+2018,$D2504,1))</f>
        <v/>
      </c>
    </row>
    <row r="2505">
      <c r="A2505" s="11" t="n"/>
      <c r="B2505" s="12" t="n"/>
      <c r="C2505" s="12" t="n"/>
      <c r="D2505" s="12" t="n"/>
      <c r="E2505" s="13" t="n"/>
      <c r="F2505" s="12" t="n"/>
      <c r="G2505" s="13" t="n"/>
      <c r="H2505" s="12" t="n"/>
      <c r="I2505" s="12" t="n"/>
      <c r="J2505" s="12" t="n"/>
      <c r="K2505" s="12" t="n"/>
      <c r="L2505" s="11" t="n"/>
      <c r="M2505" s="11" t="n"/>
      <c r="N2505" s="11" t="n"/>
      <c r="O2505" s="11" t="n"/>
      <c r="P2505" s="12" t="n"/>
      <c r="Q2505" s="11" t="n"/>
      <c r="R2505" s="12" t="n"/>
      <c r="S2505" s="11" t="n"/>
      <c r="T2505" s="12" t="n"/>
      <c r="U2505" s="12" t="n"/>
      <c r="V2505" s="14">
        <f>IF($AN2505="",IF($B2505="","",$H2505),IF(INDEX(職員マスタ!$B$6:$B$405,$AN2505)="",$H2505,INDEX(職員マスタ!$B$6:$B$405,$AN2505)))</f>
        <v/>
      </c>
      <c r="W2505" s="14">
        <f>IF($AN2505="",IF($B2505="","",$R2505),IF(INDEX(職員マスタ!$C$6:$C$405,$AN2505)="",$R2505,INDEX(職員マスタ!$C$6:$C$405,$AN2505)))</f>
        <v/>
      </c>
      <c r="X2505" s="14">
        <f>IF($AO2505="","","R"&amp;$C2505&amp;"."&amp;$D2505)</f>
        <v/>
      </c>
      <c r="Y2505" s="15">
        <f>IF($AN2505="","",IF(INDEX(職員マスタ!$K$6:$K$405,$AN2505)="","",INDEX(職員マスタ!$K$6:$K$405,$AN2505)))</f>
        <v/>
      </c>
      <c r="Z2505" s="14">
        <f>IF(OR($E2505="",$Y2505=""),"",IF($E2505&gt;=$Y2505,"×",IF($E2505&gt;=$Y2505*設定!$C$5,"△","○")))</f>
        <v/>
      </c>
      <c r="AA2505" s="15">
        <f>IF($Z2505="","",IF($Z2505="×",0,IF($Z2505="○",ROUNDDOWN($E2505*設定!$C$4,0),ROUNDDOWN($E2505*ROUND((9*$Y2505-9*$E2505)/(10*$E2505),4),0))))</f>
        <v/>
      </c>
      <c r="AB2505" s="13" t="n"/>
      <c r="AC2505" s="15">
        <f>IF($B2505="","",IF($AB2505&lt;&gt;"",$AB2505,IF($AA2505="","",IF($AA2505&lt;=設定!$C$3,0,$AA2505))))</f>
        <v/>
      </c>
      <c r="AD2505" s="14">
        <f>IF($B2505="","",IF(AND($AE2505&lt;&gt;"",$AG2505="",$AJ2505=""),"保留中",IF($AJ2505&lt;&gt;"",IF(N($AC2505)&gt;0,"支給済","不支給"),IF($AC2505="","要確認",IF($AC2505=0,"不支給","未処理")))))</f>
        <v/>
      </c>
      <c r="AE2505" s="12" t="n"/>
      <c r="AF2505" s="11" t="n"/>
      <c r="AG2505" s="11" t="n"/>
      <c r="AH2505" s="11" t="n"/>
      <c r="AI2505" s="14">
        <f>IF(AND($AD2505="保留中",$AF2505&lt;&gt;""),TODAY()-$AF2505,"")</f>
        <v/>
      </c>
      <c r="AJ2505" s="12" t="n"/>
      <c r="AK2505" s="14">
        <f>IF($B2505="","",IF($AO2505="","対象年月が未入力／","")&amp;IF($B2505="","",IF($AN2505="","職員マスタに未登録の職員番号／",IF($Y2505="","標準報酬月額が未登録／","")&amp;IF(AND($AO2505&lt;&gt;"",OR(AND(INDEX(職員マスタ!$G$6:$G$405,$AN2505)&lt;&gt;"",INDEX(職員マスタ!$G$6:$G$405,$AN2505)&gt;EOMONTH($AO2505,0)),AND(INDEX(職員マスタ!$H$6:$H$405,$AN2505)&lt;&gt;"",INDEX(職員マスタ!$H$6:$H$405,$AN2505)&lt;$AO2505))),"対象月が時短期間外／","")&amp;IF(AND(INDEX(職員マスタ!$F$6:$F$405,$AN2505)&lt;&gt;"",$AO2505&lt;&gt;"",INDEX(職員マスタ!$F$6:$F$405,$AN2505)&lt;$AO2505),"対象月に子が2歳到達済／","")&amp;IF(AND($H2505&lt;&gt;"",INDEX(職員マスタ!$B$6:$B$405,$AN2505)&lt;&gt;"",SUBSTITUTE(SUBSTITUTE($H2505," ","")," ","")&lt;&gt;SUBSTITUTE(SUBSTITUTE(INDEX(職員マスタ!$B$6:$B$405,$AN2505)," ","")," ","")),"氏名がマスタと相違／","")&amp;IF(AND($Q2505&lt;&gt;"",INDEX(職員マスタ!$E$6:$E$405,$AN2505)&lt;&gt;"",$Q2505&lt;&gt;INDEX(職員マスタ!$E$6:$E$405,$AN2505)),"子の生年月日がマスタと相違／","")&amp;IF(AND($L2505&lt;&gt;"",INDEX(職員マスタ!$G$6:$G$405,$AN2505)&lt;&gt;"",$L2505&lt;&gt;INDEX(職員マスタ!$G$6:$G$405,$AN2505)),"時短開始日がマスタと相違／","")&amp;IF(AND($M2505&lt;&gt;"",INDEX(職員マスタ!$H$6:$H$405,$AN2505)&lt;&gt;"",$M2505&lt;&gt;INDEX(職員マスタ!$H$6:$H$405,$AN2505)),"時短終了日がマスタと相違／","")))&amp;IF(AND($B2505&lt;&gt;"",$E2505=""),"報酬額が未入力／","")&amp;IF(N($U2505)&gt;0,"申請書に入力エラーが残っています／","")&amp;IF(AND($B2505&lt;&gt;"",$AO2505&lt;&gt;""),IF(COUNTIFS($B$6:$B$3005,$B2505,$C$6:$C$3005,$C2505,$D$6:$D$3005,$D2505)&gt;1,"同じ月の請求が重複しています／",""),"")&amp;IF(AND(N($E2505)&gt;0,$Z2505&lt;&gt;"",$Z2505&lt;&gt;"×",$AC2505=0,$AB2505=""),"計算額が下限以下のため不支給／",""))</f>
        <v/>
      </c>
      <c r="AL2505" s="12" t="n"/>
      <c r="AM2505" s="14">
        <f>IF($AD2505="保留中",COUNTIF($AD$6:$AD2505,"保留中"),"")</f>
        <v/>
      </c>
      <c r="AN2505" s="14">
        <f>IF($AO2505="","",IF(SUMPRODUCT(MAX((職員マスタ!$A$6:$A$405=$B2505)*(((職員マスタ!$G$6:$G$405="")+(職員マスタ!$G$6:$G$405&lt;=EOMONTH($AO2505,0)))&gt;0)*(((職員マスタ!$H$6:$H$405="")+(職員マスタ!$H$6:$H$405&gt;=$AO2505))&gt;0)*(ROW(職員マスタ!$A$6:$A$405)-5)))&gt;0,SUMPRODUCT(MAX((職員マスタ!$A$6:$A$405=$B2505)*(((職員マスタ!$G$6:$G$405="")+(職員マスタ!$G$6:$G$405&lt;=EOMONTH($AO2505,0)))&gt;0)*(((職員マスタ!$H$6:$H$405="")+(職員マスタ!$H$6:$H$405&gt;=$AO2505))&gt;0)*(ROW(職員マスタ!$A$6:$A$405)-5))),IFERROR(MATCH($B2505,職員マスタ!$A$6:$A$405,0),"")))</f>
        <v/>
      </c>
      <c r="AO2505" s="16">
        <f>IF(OR($B2505="",$C2505="",$D2505=""),"",DATE($C2505+2018,$D2505,1))</f>
        <v/>
      </c>
    </row>
    <row r="2506">
      <c r="A2506" s="11" t="n"/>
      <c r="B2506" s="12" t="n"/>
      <c r="C2506" s="12" t="n"/>
      <c r="D2506" s="12" t="n"/>
      <c r="E2506" s="13" t="n"/>
      <c r="F2506" s="12" t="n"/>
      <c r="G2506" s="13" t="n"/>
      <c r="H2506" s="12" t="n"/>
      <c r="I2506" s="12" t="n"/>
      <c r="J2506" s="12" t="n"/>
      <c r="K2506" s="12" t="n"/>
      <c r="L2506" s="11" t="n"/>
      <c r="M2506" s="11" t="n"/>
      <c r="N2506" s="11" t="n"/>
      <c r="O2506" s="11" t="n"/>
      <c r="P2506" s="12" t="n"/>
      <c r="Q2506" s="11" t="n"/>
      <c r="R2506" s="12" t="n"/>
      <c r="S2506" s="11" t="n"/>
      <c r="T2506" s="12" t="n"/>
      <c r="U2506" s="12" t="n"/>
      <c r="V2506" s="14">
        <f>IF($AN2506="",IF($B2506="","",$H2506),IF(INDEX(職員マスタ!$B$6:$B$405,$AN2506)="",$H2506,INDEX(職員マスタ!$B$6:$B$405,$AN2506)))</f>
        <v/>
      </c>
      <c r="W2506" s="14">
        <f>IF($AN2506="",IF($B2506="","",$R2506),IF(INDEX(職員マスタ!$C$6:$C$405,$AN2506)="",$R2506,INDEX(職員マスタ!$C$6:$C$405,$AN2506)))</f>
        <v/>
      </c>
      <c r="X2506" s="14">
        <f>IF($AO2506="","","R"&amp;$C2506&amp;"."&amp;$D2506)</f>
        <v/>
      </c>
      <c r="Y2506" s="15">
        <f>IF($AN2506="","",IF(INDEX(職員マスタ!$K$6:$K$405,$AN2506)="","",INDEX(職員マスタ!$K$6:$K$405,$AN2506)))</f>
        <v/>
      </c>
      <c r="Z2506" s="14">
        <f>IF(OR($E2506="",$Y2506=""),"",IF($E2506&gt;=$Y2506,"×",IF($E2506&gt;=$Y2506*設定!$C$5,"△","○")))</f>
        <v/>
      </c>
      <c r="AA2506" s="15">
        <f>IF($Z2506="","",IF($Z2506="×",0,IF($Z2506="○",ROUNDDOWN($E2506*設定!$C$4,0),ROUNDDOWN($E2506*ROUND((9*$Y2506-9*$E2506)/(10*$E2506),4),0))))</f>
        <v/>
      </c>
      <c r="AB2506" s="13" t="n"/>
      <c r="AC2506" s="15">
        <f>IF($B2506="","",IF($AB2506&lt;&gt;"",$AB2506,IF($AA2506="","",IF($AA2506&lt;=設定!$C$3,0,$AA2506))))</f>
        <v/>
      </c>
      <c r="AD2506" s="14">
        <f>IF($B2506="","",IF(AND($AE2506&lt;&gt;"",$AG2506="",$AJ2506=""),"保留中",IF($AJ2506&lt;&gt;"",IF(N($AC2506)&gt;0,"支給済","不支給"),IF($AC2506="","要確認",IF($AC2506=0,"不支給","未処理")))))</f>
        <v/>
      </c>
      <c r="AE2506" s="12" t="n"/>
      <c r="AF2506" s="11" t="n"/>
      <c r="AG2506" s="11" t="n"/>
      <c r="AH2506" s="11" t="n"/>
      <c r="AI2506" s="14">
        <f>IF(AND($AD2506="保留中",$AF2506&lt;&gt;""),TODAY()-$AF2506,"")</f>
        <v/>
      </c>
      <c r="AJ2506" s="12" t="n"/>
      <c r="AK2506" s="14">
        <f>IF($B2506="","",IF($AO2506="","対象年月が未入力／","")&amp;IF($B2506="","",IF($AN2506="","職員マスタに未登録の職員番号／",IF($Y2506="","標準報酬月額が未登録／","")&amp;IF(AND($AO2506&lt;&gt;"",OR(AND(INDEX(職員マスタ!$G$6:$G$405,$AN2506)&lt;&gt;"",INDEX(職員マスタ!$G$6:$G$405,$AN2506)&gt;EOMONTH($AO2506,0)),AND(INDEX(職員マスタ!$H$6:$H$405,$AN2506)&lt;&gt;"",INDEX(職員マスタ!$H$6:$H$405,$AN2506)&lt;$AO2506))),"対象月が時短期間外／","")&amp;IF(AND(INDEX(職員マスタ!$F$6:$F$405,$AN2506)&lt;&gt;"",$AO2506&lt;&gt;"",INDEX(職員マスタ!$F$6:$F$405,$AN2506)&lt;$AO2506),"対象月に子が2歳到達済／","")&amp;IF(AND($H2506&lt;&gt;"",INDEX(職員マスタ!$B$6:$B$405,$AN2506)&lt;&gt;"",SUBSTITUTE(SUBSTITUTE($H2506," ","")," ","")&lt;&gt;SUBSTITUTE(SUBSTITUTE(INDEX(職員マスタ!$B$6:$B$405,$AN2506)," ","")," ","")),"氏名がマスタと相違／","")&amp;IF(AND($Q2506&lt;&gt;"",INDEX(職員マスタ!$E$6:$E$405,$AN2506)&lt;&gt;"",$Q2506&lt;&gt;INDEX(職員マスタ!$E$6:$E$405,$AN2506)),"子の生年月日がマスタと相違／","")&amp;IF(AND($L2506&lt;&gt;"",INDEX(職員マスタ!$G$6:$G$405,$AN2506)&lt;&gt;"",$L2506&lt;&gt;INDEX(職員マスタ!$G$6:$G$405,$AN2506)),"時短開始日がマスタと相違／","")&amp;IF(AND($M2506&lt;&gt;"",INDEX(職員マスタ!$H$6:$H$405,$AN2506)&lt;&gt;"",$M2506&lt;&gt;INDEX(職員マスタ!$H$6:$H$405,$AN2506)),"時短終了日がマスタと相違／","")))&amp;IF(AND($B2506&lt;&gt;"",$E2506=""),"報酬額が未入力／","")&amp;IF(N($U2506)&gt;0,"申請書に入力エラーが残っています／","")&amp;IF(AND($B2506&lt;&gt;"",$AO2506&lt;&gt;""),IF(COUNTIFS($B$6:$B$3005,$B2506,$C$6:$C$3005,$C2506,$D$6:$D$3005,$D2506)&gt;1,"同じ月の請求が重複しています／",""),"")&amp;IF(AND(N($E2506)&gt;0,$Z2506&lt;&gt;"",$Z2506&lt;&gt;"×",$AC2506=0,$AB2506=""),"計算額が下限以下のため不支給／",""))</f>
        <v/>
      </c>
      <c r="AL2506" s="12" t="n"/>
      <c r="AM2506" s="14">
        <f>IF($AD2506="保留中",COUNTIF($AD$6:$AD2506,"保留中"),"")</f>
        <v/>
      </c>
      <c r="AN2506" s="14">
        <f>IF($AO2506="","",IF(SUMPRODUCT(MAX((職員マスタ!$A$6:$A$405=$B2506)*(((職員マスタ!$G$6:$G$405="")+(職員マスタ!$G$6:$G$405&lt;=EOMONTH($AO2506,0)))&gt;0)*(((職員マスタ!$H$6:$H$405="")+(職員マスタ!$H$6:$H$405&gt;=$AO2506))&gt;0)*(ROW(職員マスタ!$A$6:$A$405)-5)))&gt;0,SUMPRODUCT(MAX((職員マスタ!$A$6:$A$405=$B2506)*(((職員マスタ!$G$6:$G$405="")+(職員マスタ!$G$6:$G$405&lt;=EOMONTH($AO2506,0)))&gt;0)*(((職員マスタ!$H$6:$H$405="")+(職員マスタ!$H$6:$H$405&gt;=$AO2506))&gt;0)*(ROW(職員マスタ!$A$6:$A$405)-5))),IFERROR(MATCH($B2506,職員マスタ!$A$6:$A$405,0),"")))</f>
        <v/>
      </c>
      <c r="AO2506" s="16">
        <f>IF(OR($B2506="",$C2506="",$D2506=""),"",DATE($C2506+2018,$D2506,1))</f>
        <v/>
      </c>
    </row>
    <row r="2507">
      <c r="A2507" s="11" t="n"/>
      <c r="B2507" s="12" t="n"/>
      <c r="C2507" s="12" t="n"/>
      <c r="D2507" s="12" t="n"/>
      <c r="E2507" s="13" t="n"/>
      <c r="F2507" s="12" t="n"/>
      <c r="G2507" s="13" t="n"/>
      <c r="H2507" s="12" t="n"/>
      <c r="I2507" s="12" t="n"/>
      <c r="J2507" s="12" t="n"/>
      <c r="K2507" s="12" t="n"/>
      <c r="L2507" s="11" t="n"/>
      <c r="M2507" s="11" t="n"/>
      <c r="N2507" s="11" t="n"/>
      <c r="O2507" s="11" t="n"/>
      <c r="P2507" s="12" t="n"/>
      <c r="Q2507" s="11" t="n"/>
      <c r="R2507" s="12" t="n"/>
      <c r="S2507" s="11" t="n"/>
      <c r="T2507" s="12" t="n"/>
      <c r="U2507" s="12" t="n"/>
      <c r="V2507" s="14">
        <f>IF($AN2507="",IF($B2507="","",$H2507),IF(INDEX(職員マスタ!$B$6:$B$405,$AN2507)="",$H2507,INDEX(職員マスタ!$B$6:$B$405,$AN2507)))</f>
        <v/>
      </c>
      <c r="W2507" s="14">
        <f>IF($AN2507="",IF($B2507="","",$R2507),IF(INDEX(職員マスタ!$C$6:$C$405,$AN2507)="",$R2507,INDEX(職員マスタ!$C$6:$C$405,$AN2507)))</f>
        <v/>
      </c>
      <c r="X2507" s="14">
        <f>IF($AO2507="","","R"&amp;$C2507&amp;"."&amp;$D2507)</f>
        <v/>
      </c>
      <c r="Y2507" s="15">
        <f>IF($AN2507="","",IF(INDEX(職員マスタ!$K$6:$K$405,$AN2507)="","",INDEX(職員マスタ!$K$6:$K$405,$AN2507)))</f>
        <v/>
      </c>
      <c r="Z2507" s="14">
        <f>IF(OR($E2507="",$Y2507=""),"",IF($E2507&gt;=$Y2507,"×",IF($E2507&gt;=$Y2507*設定!$C$5,"△","○")))</f>
        <v/>
      </c>
      <c r="AA2507" s="15">
        <f>IF($Z2507="","",IF($Z2507="×",0,IF($Z2507="○",ROUNDDOWN($E2507*設定!$C$4,0),ROUNDDOWN($E2507*ROUND((9*$Y2507-9*$E2507)/(10*$E2507),4),0))))</f>
        <v/>
      </c>
      <c r="AB2507" s="13" t="n"/>
      <c r="AC2507" s="15">
        <f>IF($B2507="","",IF($AB2507&lt;&gt;"",$AB2507,IF($AA2507="","",IF($AA2507&lt;=設定!$C$3,0,$AA2507))))</f>
        <v/>
      </c>
      <c r="AD2507" s="14">
        <f>IF($B2507="","",IF(AND($AE2507&lt;&gt;"",$AG2507="",$AJ2507=""),"保留中",IF($AJ2507&lt;&gt;"",IF(N($AC2507)&gt;0,"支給済","不支給"),IF($AC2507="","要確認",IF($AC2507=0,"不支給","未処理")))))</f>
        <v/>
      </c>
      <c r="AE2507" s="12" t="n"/>
      <c r="AF2507" s="11" t="n"/>
      <c r="AG2507" s="11" t="n"/>
      <c r="AH2507" s="11" t="n"/>
      <c r="AI2507" s="14">
        <f>IF(AND($AD2507="保留中",$AF2507&lt;&gt;""),TODAY()-$AF2507,"")</f>
        <v/>
      </c>
      <c r="AJ2507" s="12" t="n"/>
      <c r="AK2507" s="14">
        <f>IF($B2507="","",IF($AO2507="","対象年月が未入力／","")&amp;IF($B2507="","",IF($AN2507="","職員マスタに未登録の職員番号／",IF($Y2507="","標準報酬月額が未登録／","")&amp;IF(AND($AO2507&lt;&gt;"",OR(AND(INDEX(職員マスタ!$G$6:$G$405,$AN2507)&lt;&gt;"",INDEX(職員マスタ!$G$6:$G$405,$AN2507)&gt;EOMONTH($AO2507,0)),AND(INDEX(職員マスタ!$H$6:$H$405,$AN2507)&lt;&gt;"",INDEX(職員マスタ!$H$6:$H$405,$AN2507)&lt;$AO2507))),"対象月が時短期間外／","")&amp;IF(AND(INDEX(職員マスタ!$F$6:$F$405,$AN2507)&lt;&gt;"",$AO2507&lt;&gt;"",INDEX(職員マスタ!$F$6:$F$405,$AN2507)&lt;$AO2507),"対象月に子が2歳到達済／","")&amp;IF(AND($H2507&lt;&gt;"",INDEX(職員マスタ!$B$6:$B$405,$AN2507)&lt;&gt;"",SUBSTITUTE(SUBSTITUTE($H2507," ","")," ","")&lt;&gt;SUBSTITUTE(SUBSTITUTE(INDEX(職員マスタ!$B$6:$B$405,$AN2507)," ","")," ","")),"氏名がマスタと相違／","")&amp;IF(AND($Q2507&lt;&gt;"",INDEX(職員マスタ!$E$6:$E$405,$AN2507)&lt;&gt;"",$Q2507&lt;&gt;INDEX(職員マスタ!$E$6:$E$405,$AN2507)),"子の生年月日がマスタと相違／","")&amp;IF(AND($L2507&lt;&gt;"",INDEX(職員マスタ!$G$6:$G$405,$AN2507)&lt;&gt;"",$L2507&lt;&gt;INDEX(職員マスタ!$G$6:$G$405,$AN2507)),"時短開始日がマスタと相違／","")&amp;IF(AND($M2507&lt;&gt;"",INDEX(職員マスタ!$H$6:$H$405,$AN2507)&lt;&gt;"",$M2507&lt;&gt;INDEX(職員マスタ!$H$6:$H$405,$AN2507)),"時短終了日がマスタと相違／","")))&amp;IF(AND($B2507&lt;&gt;"",$E2507=""),"報酬額が未入力／","")&amp;IF(N($U2507)&gt;0,"申請書に入力エラーが残っています／","")&amp;IF(AND($B2507&lt;&gt;"",$AO2507&lt;&gt;""),IF(COUNTIFS($B$6:$B$3005,$B2507,$C$6:$C$3005,$C2507,$D$6:$D$3005,$D2507)&gt;1,"同じ月の請求が重複しています／",""),"")&amp;IF(AND(N($E2507)&gt;0,$Z2507&lt;&gt;"",$Z2507&lt;&gt;"×",$AC2507=0,$AB2507=""),"計算額が下限以下のため不支給／",""))</f>
        <v/>
      </c>
      <c r="AL2507" s="12" t="n"/>
      <c r="AM2507" s="14">
        <f>IF($AD2507="保留中",COUNTIF($AD$6:$AD2507,"保留中"),"")</f>
        <v/>
      </c>
      <c r="AN2507" s="14">
        <f>IF($AO2507="","",IF(SUMPRODUCT(MAX((職員マスタ!$A$6:$A$405=$B2507)*(((職員マスタ!$G$6:$G$405="")+(職員マスタ!$G$6:$G$405&lt;=EOMONTH($AO2507,0)))&gt;0)*(((職員マスタ!$H$6:$H$405="")+(職員マスタ!$H$6:$H$405&gt;=$AO2507))&gt;0)*(ROW(職員マスタ!$A$6:$A$405)-5)))&gt;0,SUMPRODUCT(MAX((職員マスタ!$A$6:$A$405=$B2507)*(((職員マスタ!$G$6:$G$405="")+(職員マスタ!$G$6:$G$405&lt;=EOMONTH($AO2507,0)))&gt;0)*(((職員マスタ!$H$6:$H$405="")+(職員マスタ!$H$6:$H$405&gt;=$AO2507))&gt;0)*(ROW(職員マスタ!$A$6:$A$405)-5))),IFERROR(MATCH($B2507,職員マスタ!$A$6:$A$405,0),"")))</f>
        <v/>
      </c>
      <c r="AO2507" s="16">
        <f>IF(OR($B2507="",$C2507="",$D2507=""),"",DATE($C2507+2018,$D2507,1))</f>
        <v/>
      </c>
    </row>
    <row r="2508">
      <c r="A2508" s="11" t="n"/>
      <c r="B2508" s="12" t="n"/>
      <c r="C2508" s="12" t="n"/>
      <c r="D2508" s="12" t="n"/>
      <c r="E2508" s="13" t="n"/>
      <c r="F2508" s="12" t="n"/>
      <c r="G2508" s="13" t="n"/>
      <c r="H2508" s="12" t="n"/>
      <c r="I2508" s="12" t="n"/>
      <c r="J2508" s="12" t="n"/>
      <c r="K2508" s="12" t="n"/>
      <c r="L2508" s="11" t="n"/>
      <c r="M2508" s="11" t="n"/>
      <c r="N2508" s="11" t="n"/>
      <c r="O2508" s="11" t="n"/>
      <c r="P2508" s="12" t="n"/>
      <c r="Q2508" s="11" t="n"/>
      <c r="R2508" s="12" t="n"/>
      <c r="S2508" s="11" t="n"/>
      <c r="T2508" s="12" t="n"/>
      <c r="U2508" s="12" t="n"/>
      <c r="V2508" s="14">
        <f>IF($AN2508="",IF($B2508="","",$H2508),IF(INDEX(職員マスタ!$B$6:$B$405,$AN2508)="",$H2508,INDEX(職員マスタ!$B$6:$B$405,$AN2508)))</f>
        <v/>
      </c>
      <c r="W2508" s="14">
        <f>IF($AN2508="",IF($B2508="","",$R2508),IF(INDEX(職員マスタ!$C$6:$C$405,$AN2508)="",$R2508,INDEX(職員マスタ!$C$6:$C$405,$AN2508)))</f>
        <v/>
      </c>
      <c r="X2508" s="14">
        <f>IF($AO2508="","","R"&amp;$C2508&amp;"."&amp;$D2508)</f>
        <v/>
      </c>
      <c r="Y2508" s="15">
        <f>IF($AN2508="","",IF(INDEX(職員マスタ!$K$6:$K$405,$AN2508)="","",INDEX(職員マスタ!$K$6:$K$405,$AN2508)))</f>
        <v/>
      </c>
      <c r="Z2508" s="14">
        <f>IF(OR($E2508="",$Y2508=""),"",IF($E2508&gt;=$Y2508,"×",IF($E2508&gt;=$Y2508*設定!$C$5,"△","○")))</f>
        <v/>
      </c>
      <c r="AA2508" s="15">
        <f>IF($Z2508="","",IF($Z2508="×",0,IF($Z2508="○",ROUNDDOWN($E2508*設定!$C$4,0),ROUNDDOWN($E2508*ROUND((9*$Y2508-9*$E2508)/(10*$E2508),4),0))))</f>
        <v/>
      </c>
      <c r="AB2508" s="13" t="n"/>
      <c r="AC2508" s="15">
        <f>IF($B2508="","",IF($AB2508&lt;&gt;"",$AB2508,IF($AA2508="","",IF($AA2508&lt;=設定!$C$3,0,$AA2508))))</f>
        <v/>
      </c>
      <c r="AD2508" s="14">
        <f>IF($B2508="","",IF(AND($AE2508&lt;&gt;"",$AG2508="",$AJ2508=""),"保留中",IF($AJ2508&lt;&gt;"",IF(N($AC2508)&gt;0,"支給済","不支給"),IF($AC2508="","要確認",IF($AC2508=0,"不支給","未処理")))))</f>
        <v/>
      </c>
      <c r="AE2508" s="12" t="n"/>
      <c r="AF2508" s="11" t="n"/>
      <c r="AG2508" s="11" t="n"/>
      <c r="AH2508" s="11" t="n"/>
      <c r="AI2508" s="14">
        <f>IF(AND($AD2508="保留中",$AF2508&lt;&gt;""),TODAY()-$AF2508,"")</f>
        <v/>
      </c>
      <c r="AJ2508" s="12" t="n"/>
      <c r="AK2508" s="14">
        <f>IF($B2508="","",IF($AO2508="","対象年月が未入力／","")&amp;IF($B2508="","",IF($AN2508="","職員マスタに未登録の職員番号／",IF($Y2508="","標準報酬月額が未登録／","")&amp;IF(AND($AO2508&lt;&gt;"",OR(AND(INDEX(職員マスタ!$G$6:$G$405,$AN2508)&lt;&gt;"",INDEX(職員マスタ!$G$6:$G$405,$AN2508)&gt;EOMONTH($AO2508,0)),AND(INDEX(職員マスタ!$H$6:$H$405,$AN2508)&lt;&gt;"",INDEX(職員マスタ!$H$6:$H$405,$AN2508)&lt;$AO2508))),"対象月が時短期間外／","")&amp;IF(AND(INDEX(職員マスタ!$F$6:$F$405,$AN2508)&lt;&gt;"",$AO2508&lt;&gt;"",INDEX(職員マスタ!$F$6:$F$405,$AN2508)&lt;$AO2508),"対象月に子が2歳到達済／","")&amp;IF(AND($H2508&lt;&gt;"",INDEX(職員マスタ!$B$6:$B$405,$AN2508)&lt;&gt;"",SUBSTITUTE(SUBSTITUTE($H2508," ","")," ","")&lt;&gt;SUBSTITUTE(SUBSTITUTE(INDEX(職員マスタ!$B$6:$B$405,$AN2508)," ","")," ","")),"氏名がマスタと相違／","")&amp;IF(AND($Q2508&lt;&gt;"",INDEX(職員マスタ!$E$6:$E$405,$AN2508)&lt;&gt;"",$Q2508&lt;&gt;INDEX(職員マスタ!$E$6:$E$405,$AN2508)),"子の生年月日がマスタと相違／","")&amp;IF(AND($L2508&lt;&gt;"",INDEX(職員マスタ!$G$6:$G$405,$AN2508)&lt;&gt;"",$L2508&lt;&gt;INDEX(職員マスタ!$G$6:$G$405,$AN2508)),"時短開始日がマスタと相違／","")&amp;IF(AND($M2508&lt;&gt;"",INDEX(職員マスタ!$H$6:$H$405,$AN2508)&lt;&gt;"",$M2508&lt;&gt;INDEX(職員マスタ!$H$6:$H$405,$AN2508)),"時短終了日がマスタと相違／","")))&amp;IF(AND($B2508&lt;&gt;"",$E2508=""),"報酬額が未入力／","")&amp;IF(N($U2508)&gt;0,"申請書に入力エラーが残っています／","")&amp;IF(AND($B2508&lt;&gt;"",$AO2508&lt;&gt;""),IF(COUNTIFS($B$6:$B$3005,$B2508,$C$6:$C$3005,$C2508,$D$6:$D$3005,$D2508)&gt;1,"同じ月の請求が重複しています／",""),"")&amp;IF(AND(N($E2508)&gt;0,$Z2508&lt;&gt;"",$Z2508&lt;&gt;"×",$AC2508=0,$AB2508=""),"計算額が下限以下のため不支給／",""))</f>
        <v/>
      </c>
      <c r="AL2508" s="12" t="n"/>
      <c r="AM2508" s="14">
        <f>IF($AD2508="保留中",COUNTIF($AD$6:$AD2508,"保留中"),"")</f>
        <v/>
      </c>
      <c r="AN2508" s="14">
        <f>IF($AO2508="","",IF(SUMPRODUCT(MAX((職員マスタ!$A$6:$A$405=$B2508)*(((職員マスタ!$G$6:$G$405="")+(職員マスタ!$G$6:$G$405&lt;=EOMONTH($AO2508,0)))&gt;0)*(((職員マスタ!$H$6:$H$405="")+(職員マスタ!$H$6:$H$405&gt;=$AO2508))&gt;0)*(ROW(職員マスタ!$A$6:$A$405)-5)))&gt;0,SUMPRODUCT(MAX((職員マスタ!$A$6:$A$405=$B2508)*(((職員マスタ!$G$6:$G$405="")+(職員マスタ!$G$6:$G$405&lt;=EOMONTH($AO2508,0)))&gt;0)*(((職員マスタ!$H$6:$H$405="")+(職員マスタ!$H$6:$H$405&gt;=$AO2508))&gt;0)*(ROW(職員マスタ!$A$6:$A$405)-5))),IFERROR(MATCH($B2508,職員マスタ!$A$6:$A$405,0),"")))</f>
        <v/>
      </c>
      <c r="AO2508" s="16">
        <f>IF(OR($B2508="",$C2508="",$D2508=""),"",DATE($C2508+2018,$D2508,1))</f>
        <v/>
      </c>
    </row>
    <row r="2509">
      <c r="A2509" s="11" t="n"/>
      <c r="B2509" s="12" t="n"/>
      <c r="C2509" s="12" t="n"/>
      <c r="D2509" s="12" t="n"/>
      <c r="E2509" s="13" t="n"/>
      <c r="F2509" s="12" t="n"/>
      <c r="G2509" s="13" t="n"/>
      <c r="H2509" s="12" t="n"/>
      <c r="I2509" s="12" t="n"/>
      <c r="J2509" s="12" t="n"/>
      <c r="K2509" s="12" t="n"/>
      <c r="L2509" s="11" t="n"/>
      <c r="M2509" s="11" t="n"/>
      <c r="N2509" s="11" t="n"/>
      <c r="O2509" s="11" t="n"/>
      <c r="P2509" s="12" t="n"/>
      <c r="Q2509" s="11" t="n"/>
      <c r="R2509" s="12" t="n"/>
      <c r="S2509" s="11" t="n"/>
      <c r="T2509" s="12" t="n"/>
      <c r="U2509" s="12" t="n"/>
      <c r="V2509" s="14">
        <f>IF($AN2509="",IF($B2509="","",$H2509),IF(INDEX(職員マスタ!$B$6:$B$405,$AN2509)="",$H2509,INDEX(職員マスタ!$B$6:$B$405,$AN2509)))</f>
        <v/>
      </c>
      <c r="W2509" s="14">
        <f>IF($AN2509="",IF($B2509="","",$R2509),IF(INDEX(職員マスタ!$C$6:$C$405,$AN2509)="",$R2509,INDEX(職員マスタ!$C$6:$C$405,$AN2509)))</f>
        <v/>
      </c>
      <c r="X2509" s="14">
        <f>IF($AO2509="","","R"&amp;$C2509&amp;"."&amp;$D2509)</f>
        <v/>
      </c>
      <c r="Y2509" s="15">
        <f>IF($AN2509="","",IF(INDEX(職員マスタ!$K$6:$K$405,$AN2509)="","",INDEX(職員マスタ!$K$6:$K$405,$AN2509)))</f>
        <v/>
      </c>
      <c r="Z2509" s="14">
        <f>IF(OR($E2509="",$Y2509=""),"",IF($E2509&gt;=$Y2509,"×",IF($E2509&gt;=$Y2509*設定!$C$5,"△","○")))</f>
        <v/>
      </c>
      <c r="AA2509" s="15">
        <f>IF($Z2509="","",IF($Z2509="×",0,IF($Z2509="○",ROUNDDOWN($E2509*設定!$C$4,0),ROUNDDOWN($E2509*ROUND((9*$Y2509-9*$E2509)/(10*$E2509),4),0))))</f>
        <v/>
      </c>
      <c r="AB2509" s="13" t="n"/>
      <c r="AC2509" s="15">
        <f>IF($B2509="","",IF($AB2509&lt;&gt;"",$AB2509,IF($AA2509="","",IF($AA2509&lt;=設定!$C$3,0,$AA2509))))</f>
        <v/>
      </c>
      <c r="AD2509" s="14">
        <f>IF($B2509="","",IF(AND($AE2509&lt;&gt;"",$AG2509="",$AJ2509=""),"保留中",IF($AJ2509&lt;&gt;"",IF(N($AC2509)&gt;0,"支給済","不支給"),IF($AC2509="","要確認",IF($AC2509=0,"不支給","未処理")))))</f>
        <v/>
      </c>
      <c r="AE2509" s="12" t="n"/>
      <c r="AF2509" s="11" t="n"/>
      <c r="AG2509" s="11" t="n"/>
      <c r="AH2509" s="11" t="n"/>
      <c r="AI2509" s="14">
        <f>IF(AND($AD2509="保留中",$AF2509&lt;&gt;""),TODAY()-$AF2509,"")</f>
        <v/>
      </c>
      <c r="AJ2509" s="12" t="n"/>
      <c r="AK2509" s="14">
        <f>IF($B2509="","",IF($AO2509="","対象年月が未入力／","")&amp;IF($B2509="","",IF($AN2509="","職員マスタに未登録の職員番号／",IF($Y2509="","標準報酬月額が未登録／","")&amp;IF(AND($AO2509&lt;&gt;"",OR(AND(INDEX(職員マスタ!$G$6:$G$405,$AN2509)&lt;&gt;"",INDEX(職員マスタ!$G$6:$G$405,$AN2509)&gt;EOMONTH($AO2509,0)),AND(INDEX(職員マスタ!$H$6:$H$405,$AN2509)&lt;&gt;"",INDEX(職員マスタ!$H$6:$H$405,$AN2509)&lt;$AO2509))),"対象月が時短期間外／","")&amp;IF(AND(INDEX(職員マスタ!$F$6:$F$405,$AN2509)&lt;&gt;"",$AO2509&lt;&gt;"",INDEX(職員マスタ!$F$6:$F$405,$AN2509)&lt;$AO2509),"対象月に子が2歳到達済／","")&amp;IF(AND($H2509&lt;&gt;"",INDEX(職員マスタ!$B$6:$B$405,$AN2509)&lt;&gt;"",SUBSTITUTE(SUBSTITUTE($H2509," ","")," ","")&lt;&gt;SUBSTITUTE(SUBSTITUTE(INDEX(職員マスタ!$B$6:$B$405,$AN2509)," ","")," ","")),"氏名がマスタと相違／","")&amp;IF(AND($Q2509&lt;&gt;"",INDEX(職員マスタ!$E$6:$E$405,$AN2509)&lt;&gt;"",$Q2509&lt;&gt;INDEX(職員マスタ!$E$6:$E$405,$AN2509)),"子の生年月日がマスタと相違／","")&amp;IF(AND($L2509&lt;&gt;"",INDEX(職員マスタ!$G$6:$G$405,$AN2509)&lt;&gt;"",$L2509&lt;&gt;INDEX(職員マスタ!$G$6:$G$405,$AN2509)),"時短開始日がマスタと相違／","")&amp;IF(AND($M2509&lt;&gt;"",INDEX(職員マスタ!$H$6:$H$405,$AN2509)&lt;&gt;"",$M2509&lt;&gt;INDEX(職員マスタ!$H$6:$H$405,$AN2509)),"時短終了日がマスタと相違／","")))&amp;IF(AND($B2509&lt;&gt;"",$E2509=""),"報酬額が未入力／","")&amp;IF(N($U2509)&gt;0,"申請書に入力エラーが残っています／","")&amp;IF(AND($B2509&lt;&gt;"",$AO2509&lt;&gt;""),IF(COUNTIFS($B$6:$B$3005,$B2509,$C$6:$C$3005,$C2509,$D$6:$D$3005,$D2509)&gt;1,"同じ月の請求が重複しています／",""),"")&amp;IF(AND(N($E2509)&gt;0,$Z2509&lt;&gt;"",$Z2509&lt;&gt;"×",$AC2509=0,$AB2509=""),"計算額が下限以下のため不支給／",""))</f>
        <v/>
      </c>
      <c r="AL2509" s="12" t="n"/>
      <c r="AM2509" s="14">
        <f>IF($AD2509="保留中",COUNTIF($AD$6:$AD2509,"保留中"),"")</f>
        <v/>
      </c>
      <c r="AN2509" s="14">
        <f>IF($AO2509="","",IF(SUMPRODUCT(MAX((職員マスタ!$A$6:$A$405=$B2509)*(((職員マスタ!$G$6:$G$405="")+(職員マスタ!$G$6:$G$405&lt;=EOMONTH($AO2509,0)))&gt;0)*(((職員マスタ!$H$6:$H$405="")+(職員マスタ!$H$6:$H$405&gt;=$AO2509))&gt;0)*(ROW(職員マスタ!$A$6:$A$405)-5)))&gt;0,SUMPRODUCT(MAX((職員マスタ!$A$6:$A$405=$B2509)*(((職員マスタ!$G$6:$G$405="")+(職員マスタ!$G$6:$G$405&lt;=EOMONTH($AO2509,0)))&gt;0)*(((職員マスタ!$H$6:$H$405="")+(職員マスタ!$H$6:$H$405&gt;=$AO2509))&gt;0)*(ROW(職員マスタ!$A$6:$A$405)-5))),IFERROR(MATCH($B2509,職員マスタ!$A$6:$A$405,0),"")))</f>
        <v/>
      </c>
      <c r="AO2509" s="16">
        <f>IF(OR($B2509="",$C2509="",$D2509=""),"",DATE($C2509+2018,$D2509,1))</f>
        <v/>
      </c>
    </row>
    <row r="2510">
      <c r="A2510" s="11" t="n"/>
      <c r="B2510" s="12" t="n"/>
      <c r="C2510" s="12" t="n"/>
      <c r="D2510" s="12" t="n"/>
      <c r="E2510" s="13" t="n"/>
      <c r="F2510" s="12" t="n"/>
      <c r="G2510" s="13" t="n"/>
      <c r="H2510" s="12" t="n"/>
      <c r="I2510" s="12" t="n"/>
      <c r="J2510" s="12" t="n"/>
      <c r="K2510" s="12" t="n"/>
      <c r="L2510" s="11" t="n"/>
      <c r="M2510" s="11" t="n"/>
      <c r="N2510" s="11" t="n"/>
      <c r="O2510" s="11" t="n"/>
      <c r="P2510" s="12" t="n"/>
      <c r="Q2510" s="11" t="n"/>
      <c r="R2510" s="12" t="n"/>
      <c r="S2510" s="11" t="n"/>
      <c r="T2510" s="12" t="n"/>
      <c r="U2510" s="12" t="n"/>
      <c r="V2510" s="14">
        <f>IF($AN2510="",IF($B2510="","",$H2510),IF(INDEX(職員マスタ!$B$6:$B$405,$AN2510)="",$H2510,INDEX(職員マスタ!$B$6:$B$405,$AN2510)))</f>
        <v/>
      </c>
      <c r="W2510" s="14">
        <f>IF($AN2510="",IF($B2510="","",$R2510),IF(INDEX(職員マスタ!$C$6:$C$405,$AN2510)="",$R2510,INDEX(職員マスタ!$C$6:$C$405,$AN2510)))</f>
        <v/>
      </c>
      <c r="X2510" s="14">
        <f>IF($AO2510="","","R"&amp;$C2510&amp;"."&amp;$D2510)</f>
        <v/>
      </c>
      <c r="Y2510" s="15">
        <f>IF($AN2510="","",IF(INDEX(職員マスタ!$K$6:$K$405,$AN2510)="","",INDEX(職員マスタ!$K$6:$K$405,$AN2510)))</f>
        <v/>
      </c>
      <c r="Z2510" s="14">
        <f>IF(OR($E2510="",$Y2510=""),"",IF($E2510&gt;=$Y2510,"×",IF($E2510&gt;=$Y2510*設定!$C$5,"△","○")))</f>
        <v/>
      </c>
      <c r="AA2510" s="15">
        <f>IF($Z2510="","",IF($Z2510="×",0,IF($Z2510="○",ROUNDDOWN($E2510*設定!$C$4,0),ROUNDDOWN($E2510*ROUND((9*$Y2510-9*$E2510)/(10*$E2510),4),0))))</f>
        <v/>
      </c>
      <c r="AB2510" s="13" t="n"/>
      <c r="AC2510" s="15">
        <f>IF($B2510="","",IF($AB2510&lt;&gt;"",$AB2510,IF($AA2510="","",IF($AA2510&lt;=設定!$C$3,0,$AA2510))))</f>
        <v/>
      </c>
      <c r="AD2510" s="14">
        <f>IF($B2510="","",IF(AND($AE2510&lt;&gt;"",$AG2510="",$AJ2510=""),"保留中",IF($AJ2510&lt;&gt;"",IF(N($AC2510)&gt;0,"支給済","不支給"),IF($AC2510="","要確認",IF($AC2510=0,"不支給","未処理")))))</f>
        <v/>
      </c>
      <c r="AE2510" s="12" t="n"/>
      <c r="AF2510" s="11" t="n"/>
      <c r="AG2510" s="11" t="n"/>
      <c r="AH2510" s="11" t="n"/>
      <c r="AI2510" s="14">
        <f>IF(AND($AD2510="保留中",$AF2510&lt;&gt;""),TODAY()-$AF2510,"")</f>
        <v/>
      </c>
      <c r="AJ2510" s="12" t="n"/>
      <c r="AK2510" s="14">
        <f>IF($B2510="","",IF($AO2510="","対象年月が未入力／","")&amp;IF($B2510="","",IF($AN2510="","職員マスタに未登録の職員番号／",IF($Y2510="","標準報酬月額が未登録／","")&amp;IF(AND($AO2510&lt;&gt;"",OR(AND(INDEX(職員マスタ!$G$6:$G$405,$AN2510)&lt;&gt;"",INDEX(職員マスタ!$G$6:$G$405,$AN2510)&gt;EOMONTH($AO2510,0)),AND(INDEX(職員マスタ!$H$6:$H$405,$AN2510)&lt;&gt;"",INDEX(職員マスタ!$H$6:$H$405,$AN2510)&lt;$AO2510))),"対象月が時短期間外／","")&amp;IF(AND(INDEX(職員マスタ!$F$6:$F$405,$AN2510)&lt;&gt;"",$AO2510&lt;&gt;"",INDEX(職員マスタ!$F$6:$F$405,$AN2510)&lt;$AO2510),"対象月に子が2歳到達済／","")&amp;IF(AND($H2510&lt;&gt;"",INDEX(職員マスタ!$B$6:$B$405,$AN2510)&lt;&gt;"",SUBSTITUTE(SUBSTITUTE($H2510," ","")," ","")&lt;&gt;SUBSTITUTE(SUBSTITUTE(INDEX(職員マスタ!$B$6:$B$405,$AN2510)," ","")," ","")),"氏名がマスタと相違／","")&amp;IF(AND($Q2510&lt;&gt;"",INDEX(職員マスタ!$E$6:$E$405,$AN2510)&lt;&gt;"",$Q2510&lt;&gt;INDEX(職員マスタ!$E$6:$E$405,$AN2510)),"子の生年月日がマスタと相違／","")&amp;IF(AND($L2510&lt;&gt;"",INDEX(職員マスタ!$G$6:$G$405,$AN2510)&lt;&gt;"",$L2510&lt;&gt;INDEX(職員マスタ!$G$6:$G$405,$AN2510)),"時短開始日がマスタと相違／","")&amp;IF(AND($M2510&lt;&gt;"",INDEX(職員マスタ!$H$6:$H$405,$AN2510)&lt;&gt;"",$M2510&lt;&gt;INDEX(職員マスタ!$H$6:$H$405,$AN2510)),"時短終了日がマスタと相違／","")))&amp;IF(AND($B2510&lt;&gt;"",$E2510=""),"報酬額が未入力／","")&amp;IF(N($U2510)&gt;0,"申請書に入力エラーが残っています／","")&amp;IF(AND($B2510&lt;&gt;"",$AO2510&lt;&gt;""),IF(COUNTIFS($B$6:$B$3005,$B2510,$C$6:$C$3005,$C2510,$D$6:$D$3005,$D2510)&gt;1,"同じ月の請求が重複しています／",""),"")&amp;IF(AND(N($E2510)&gt;0,$Z2510&lt;&gt;"",$Z2510&lt;&gt;"×",$AC2510=0,$AB2510=""),"計算額が下限以下のため不支給／",""))</f>
        <v/>
      </c>
      <c r="AL2510" s="12" t="n"/>
      <c r="AM2510" s="14">
        <f>IF($AD2510="保留中",COUNTIF($AD$6:$AD2510,"保留中"),"")</f>
        <v/>
      </c>
      <c r="AN2510" s="14">
        <f>IF($AO2510="","",IF(SUMPRODUCT(MAX((職員マスタ!$A$6:$A$405=$B2510)*(((職員マスタ!$G$6:$G$405="")+(職員マスタ!$G$6:$G$405&lt;=EOMONTH($AO2510,0)))&gt;0)*(((職員マスタ!$H$6:$H$405="")+(職員マスタ!$H$6:$H$405&gt;=$AO2510))&gt;0)*(ROW(職員マスタ!$A$6:$A$405)-5)))&gt;0,SUMPRODUCT(MAX((職員マスタ!$A$6:$A$405=$B2510)*(((職員マスタ!$G$6:$G$405="")+(職員マスタ!$G$6:$G$405&lt;=EOMONTH($AO2510,0)))&gt;0)*(((職員マスタ!$H$6:$H$405="")+(職員マスタ!$H$6:$H$405&gt;=$AO2510))&gt;0)*(ROW(職員マスタ!$A$6:$A$405)-5))),IFERROR(MATCH($B2510,職員マスタ!$A$6:$A$405,0),"")))</f>
        <v/>
      </c>
      <c r="AO2510" s="16">
        <f>IF(OR($B2510="",$C2510="",$D2510=""),"",DATE($C2510+2018,$D2510,1))</f>
        <v/>
      </c>
    </row>
    <row r="2511">
      <c r="A2511" s="11" t="n"/>
      <c r="B2511" s="12" t="n"/>
      <c r="C2511" s="12" t="n"/>
      <c r="D2511" s="12" t="n"/>
      <c r="E2511" s="13" t="n"/>
      <c r="F2511" s="12" t="n"/>
      <c r="G2511" s="13" t="n"/>
      <c r="H2511" s="12" t="n"/>
      <c r="I2511" s="12" t="n"/>
      <c r="J2511" s="12" t="n"/>
      <c r="K2511" s="12" t="n"/>
      <c r="L2511" s="11" t="n"/>
      <c r="M2511" s="11" t="n"/>
      <c r="N2511" s="11" t="n"/>
      <c r="O2511" s="11" t="n"/>
      <c r="P2511" s="12" t="n"/>
      <c r="Q2511" s="11" t="n"/>
      <c r="R2511" s="12" t="n"/>
      <c r="S2511" s="11" t="n"/>
      <c r="T2511" s="12" t="n"/>
      <c r="U2511" s="12" t="n"/>
      <c r="V2511" s="14">
        <f>IF($AN2511="",IF($B2511="","",$H2511),IF(INDEX(職員マスタ!$B$6:$B$405,$AN2511)="",$H2511,INDEX(職員マスタ!$B$6:$B$405,$AN2511)))</f>
        <v/>
      </c>
      <c r="W2511" s="14">
        <f>IF($AN2511="",IF($B2511="","",$R2511),IF(INDEX(職員マスタ!$C$6:$C$405,$AN2511)="",$R2511,INDEX(職員マスタ!$C$6:$C$405,$AN2511)))</f>
        <v/>
      </c>
      <c r="X2511" s="14">
        <f>IF($AO2511="","","R"&amp;$C2511&amp;"."&amp;$D2511)</f>
        <v/>
      </c>
      <c r="Y2511" s="15">
        <f>IF($AN2511="","",IF(INDEX(職員マスタ!$K$6:$K$405,$AN2511)="","",INDEX(職員マスタ!$K$6:$K$405,$AN2511)))</f>
        <v/>
      </c>
      <c r="Z2511" s="14">
        <f>IF(OR($E2511="",$Y2511=""),"",IF($E2511&gt;=$Y2511,"×",IF($E2511&gt;=$Y2511*設定!$C$5,"△","○")))</f>
        <v/>
      </c>
      <c r="AA2511" s="15">
        <f>IF($Z2511="","",IF($Z2511="×",0,IF($Z2511="○",ROUNDDOWN($E2511*設定!$C$4,0),ROUNDDOWN($E2511*ROUND((9*$Y2511-9*$E2511)/(10*$E2511),4),0))))</f>
        <v/>
      </c>
      <c r="AB2511" s="13" t="n"/>
      <c r="AC2511" s="15">
        <f>IF($B2511="","",IF($AB2511&lt;&gt;"",$AB2511,IF($AA2511="","",IF($AA2511&lt;=設定!$C$3,0,$AA2511))))</f>
        <v/>
      </c>
      <c r="AD2511" s="14">
        <f>IF($B2511="","",IF(AND($AE2511&lt;&gt;"",$AG2511="",$AJ2511=""),"保留中",IF($AJ2511&lt;&gt;"",IF(N($AC2511)&gt;0,"支給済","不支給"),IF($AC2511="","要確認",IF($AC2511=0,"不支給","未処理")))))</f>
        <v/>
      </c>
      <c r="AE2511" s="12" t="n"/>
      <c r="AF2511" s="11" t="n"/>
      <c r="AG2511" s="11" t="n"/>
      <c r="AH2511" s="11" t="n"/>
      <c r="AI2511" s="14">
        <f>IF(AND($AD2511="保留中",$AF2511&lt;&gt;""),TODAY()-$AF2511,"")</f>
        <v/>
      </c>
      <c r="AJ2511" s="12" t="n"/>
      <c r="AK2511" s="14">
        <f>IF($B2511="","",IF($AO2511="","対象年月が未入力／","")&amp;IF($B2511="","",IF($AN2511="","職員マスタに未登録の職員番号／",IF($Y2511="","標準報酬月額が未登録／","")&amp;IF(AND($AO2511&lt;&gt;"",OR(AND(INDEX(職員マスタ!$G$6:$G$405,$AN2511)&lt;&gt;"",INDEX(職員マスタ!$G$6:$G$405,$AN2511)&gt;EOMONTH($AO2511,0)),AND(INDEX(職員マスタ!$H$6:$H$405,$AN2511)&lt;&gt;"",INDEX(職員マスタ!$H$6:$H$405,$AN2511)&lt;$AO2511))),"対象月が時短期間外／","")&amp;IF(AND(INDEX(職員マスタ!$F$6:$F$405,$AN2511)&lt;&gt;"",$AO2511&lt;&gt;"",INDEX(職員マスタ!$F$6:$F$405,$AN2511)&lt;$AO2511),"対象月に子が2歳到達済／","")&amp;IF(AND($H2511&lt;&gt;"",INDEX(職員マスタ!$B$6:$B$405,$AN2511)&lt;&gt;"",SUBSTITUTE(SUBSTITUTE($H2511," ","")," ","")&lt;&gt;SUBSTITUTE(SUBSTITUTE(INDEX(職員マスタ!$B$6:$B$405,$AN2511)," ","")," ","")),"氏名がマスタと相違／","")&amp;IF(AND($Q2511&lt;&gt;"",INDEX(職員マスタ!$E$6:$E$405,$AN2511)&lt;&gt;"",$Q2511&lt;&gt;INDEX(職員マスタ!$E$6:$E$405,$AN2511)),"子の生年月日がマスタと相違／","")&amp;IF(AND($L2511&lt;&gt;"",INDEX(職員マスタ!$G$6:$G$405,$AN2511)&lt;&gt;"",$L2511&lt;&gt;INDEX(職員マスタ!$G$6:$G$405,$AN2511)),"時短開始日がマスタと相違／","")&amp;IF(AND($M2511&lt;&gt;"",INDEX(職員マスタ!$H$6:$H$405,$AN2511)&lt;&gt;"",$M2511&lt;&gt;INDEX(職員マスタ!$H$6:$H$405,$AN2511)),"時短終了日がマスタと相違／","")))&amp;IF(AND($B2511&lt;&gt;"",$E2511=""),"報酬額が未入力／","")&amp;IF(N($U2511)&gt;0,"申請書に入力エラーが残っています／","")&amp;IF(AND($B2511&lt;&gt;"",$AO2511&lt;&gt;""),IF(COUNTIFS($B$6:$B$3005,$B2511,$C$6:$C$3005,$C2511,$D$6:$D$3005,$D2511)&gt;1,"同じ月の請求が重複しています／",""),"")&amp;IF(AND(N($E2511)&gt;0,$Z2511&lt;&gt;"",$Z2511&lt;&gt;"×",$AC2511=0,$AB2511=""),"計算額が下限以下のため不支給／",""))</f>
        <v/>
      </c>
      <c r="AL2511" s="12" t="n"/>
      <c r="AM2511" s="14">
        <f>IF($AD2511="保留中",COUNTIF($AD$6:$AD2511,"保留中"),"")</f>
        <v/>
      </c>
      <c r="AN2511" s="14">
        <f>IF($AO2511="","",IF(SUMPRODUCT(MAX((職員マスタ!$A$6:$A$405=$B2511)*(((職員マスタ!$G$6:$G$405="")+(職員マスタ!$G$6:$G$405&lt;=EOMONTH($AO2511,0)))&gt;0)*(((職員マスタ!$H$6:$H$405="")+(職員マスタ!$H$6:$H$405&gt;=$AO2511))&gt;0)*(ROW(職員マスタ!$A$6:$A$405)-5)))&gt;0,SUMPRODUCT(MAX((職員マスタ!$A$6:$A$405=$B2511)*(((職員マスタ!$G$6:$G$405="")+(職員マスタ!$G$6:$G$405&lt;=EOMONTH($AO2511,0)))&gt;0)*(((職員マスタ!$H$6:$H$405="")+(職員マスタ!$H$6:$H$405&gt;=$AO2511))&gt;0)*(ROW(職員マスタ!$A$6:$A$405)-5))),IFERROR(MATCH($B2511,職員マスタ!$A$6:$A$405,0),"")))</f>
        <v/>
      </c>
      <c r="AO2511" s="16">
        <f>IF(OR($B2511="",$C2511="",$D2511=""),"",DATE($C2511+2018,$D2511,1))</f>
        <v/>
      </c>
    </row>
    <row r="2512">
      <c r="A2512" s="11" t="n"/>
      <c r="B2512" s="12" t="n"/>
      <c r="C2512" s="12" t="n"/>
      <c r="D2512" s="12" t="n"/>
      <c r="E2512" s="13" t="n"/>
      <c r="F2512" s="12" t="n"/>
      <c r="G2512" s="13" t="n"/>
      <c r="H2512" s="12" t="n"/>
      <c r="I2512" s="12" t="n"/>
      <c r="J2512" s="12" t="n"/>
      <c r="K2512" s="12" t="n"/>
      <c r="L2512" s="11" t="n"/>
      <c r="M2512" s="11" t="n"/>
      <c r="N2512" s="11" t="n"/>
      <c r="O2512" s="11" t="n"/>
      <c r="P2512" s="12" t="n"/>
      <c r="Q2512" s="11" t="n"/>
      <c r="R2512" s="12" t="n"/>
      <c r="S2512" s="11" t="n"/>
      <c r="T2512" s="12" t="n"/>
      <c r="U2512" s="12" t="n"/>
      <c r="V2512" s="14">
        <f>IF($AN2512="",IF($B2512="","",$H2512),IF(INDEX(職員マスタ!$B$6:$B$405,$AN2512)="",$H2512,INDEX(職員マスタ!$B$6:$B$405,$AN2512)))</f>
        <v/>
      </c>
      <c r="W2512" s="14">
        <f>IF($AN2512="",IF($B2512="","",$R2512),IF(INDEX(職員マスタ!$C$6:$C$405,$AN2512)="",$R2512,INDEX(職員マスタ!$C$6:$C$405,$AN2512)))</f>
        <v/>
      </c>
      <c r="X2512" s="14">
        <f>IF($AO2512="","","R"&amp;$C2512&amp;"."&amp;$D2512)</f>
        <v/>
      </c>
      <c r="Y2512" s="15">
        <f>IF($AN2512="","",IF(INDEX(職員マスタ!$K$6:$K$405,$AN2512)="","",INDEX(職員マスタ!$K$6:$K$405,$AN2512)))</f>
        <v/>
      </c>
      <c r="Z2512" s="14">
        <f>IF(OR($E2512="",$Y2512=""),"",IF($E2512&gt;=$Y2512,"×",IF($E2512&gt;=$Y2512*設定!$C$5,"△","○")))</f>
        <v/>
      </c>
      <c r="AA2512" s="15">
        <f>IF($Z2512="","",IF($Z2512="×",0,IF($Z2512="○",ROUNDDOWN($E2512*設定!$C$4,0),ROUNDDOWN($E2512*ROUND((9*$Y2512-9*$E2512)/(10*$E2512),4),0))))</f>
        <v/>
      </c>
      <c r="AB2512" s="13" t="n"/>
      <c r="AC2512" s="15">
        <f>IF($B2512="","",IF($AB2512&lt;&gt;"",$AB2512,IF($AA2512="","",IF($AA2512&lt;=設定!$C$3,0,$AA2512))))</f>
        <v/>
      </c>
      <c r="AD2512" s="14">
        <f>IF($B2512="","",IF(AND($AE2512&lt;&gt;"",$AG2512="",$AJ2512=""),"保留中",IF($AJ2512&lt;&gt;"",IF(N($AC2512)&gt;0,"支給済","不支給"),IF($AC2512="","要確認",IF($AC2512=0,"不支給","未処理")))))</f>
        <v/>
      </c>
      <c r="AE2512" s="12" t="n"/>
      <c r="AF2512" s="11" t="n"/>
      <c r="AG2512" s="11" t="n"/>
      <c r="AH2512" s="11" t="n"/>
      <c r="AI2512" s="14">
        <f>IF(AND($AD2512="保留中",$AF2512&lt;&gt;""),TODAY()-$AF2512,"")</f>
        <v/>
      </c>
      <c r="AJ2512" s="12" t="n"/>
      <c r="AK2512" s="14">
        <f>IF($B2512="","",IF($AO2512="","対象年月が未入力／","")&amp;IF($B2512="","",IF($AN2512="","職員マスタに未登録の職員番号／",IF($Y2512="","標準報酬月額が未登録／","")&amp;IF(AND($AO2512&lt;&gt;"",OR(AND(INDEX(職員マスタ!$G$6:$G$405,$AN2512)&lt;&gt;"",INDEX(職員マスタ!$G$6:$G$405,$AN2512)&gt;EOMONTH($AO2512,0)),AND(INDEX(職員マスタ!$H$6:$H$405,$AN2512)&lt;&gt;"",INDEX(職員マスタ!$H$6:$H$405,$AN2512)&lt;$AO2512))),"対象月が時短期間外／","")&amp;IF(AND(INDEX(職員マスタ!$F$6:$F$405,$AN2512)&lt;&gt;"",$AO2512&lt;&gt;"",INDEX(職員マスタ!$F$6:$F$405,$AN2512)&lt;$AO2512),"対象月に子が2歳到達済／","")&amp;IF(AND($H2512&lt;&gt;"",INDEX(職員マスタ!$B$6:$B$405,$AN2512)&lt;&gt;"",SUBSTITUTE(SUBSTITUTE($H2512," ","")," ","")&lt;&gt;SUBSTITUTE(SUBSTITUTE(INDEX(職員マスタ!$B$6:$B$405,$AN2512)," ","")," ","")),"氏名がマスタと相違／","")&amp;IF(AND($Q2512&lt;&gt;"",INDEX(職員マスタ!$E$6:$E$405,$AN2512)&lt;&gt;"",$Q2512&lt;&gt;INDEX(職員マスタ!$E$6:$E$405,$AN2512)),"子の生年月日がマスタと相違／","")&amp;IF(AND($L2512&lt;&gt;"",INDEX(職員マスタ!$G$6:$G$405,$AN2512)&lt;&gt;"",$L2512&lt;&gt;INDEX(職員マスタ!$G$6:$G$405,$AN2512)),"時短開始日がマスタと相違／","")&amp;IF(AND($M2512&lt;&gt;"",INDEX(職員マスタ!$H$6:$H$405,$AN2512)&lt;&gt;"",$M2512&lt;&gt;INDEX(職員マスタ!$H$6:$H$405,$AN2512)),"時短終了日がマスタと相違／","")))&amp;IF(AND($B2512&lt;&gt;"",$E2512=""),"報酬額が未入力／","")&amp;IF(N($U2512)&gt;0,"申請書に入力エラーが残っています／","")&amp;IF(AND($B2512&lt;&gt;"",$AO2512&lt;&gt;""),IF(COUNTIFS($B$6:$B$3005,$B2512,$C$6:$C$3005,$C2512,$D$6:$D$3005,$D2512)&gt;1,"同じ月の請求が重複しています／",""),"")&amp;IF(AND(N($E2512)&gt;0,$Z2512&lt;&gt;"",$Z2512&lt;&gt;"×",$AC2512=0,$AB2512=""),"計算額が下限以下のため不支給／",""))</f>
        <v/>
      </c>
      <c r="AL2512" s="12" t="n"/>
      <c r="AM2512" s="14">
        <f>IF($AD2512="保留中",COUNTIF($AD$6:$AD2512,"保留中"),"")</f>
        <v/>
      </c>
      <c r="AN2512" s="14">
        <f>IF($AO2512="","",IF(SUMPRODUCT(MAX((職員マスタ!$A$6:$A$405=$B2512)*(((職員マスタ!$G$6:$G$405="")+(職員マスタ!$G$6:$G$405&lt;=EOMONTH($AO2512,0)))&gt;0)*(((職員マスタ!$H$6:$H$405="")+(職員マスタ!$H$6:$H$405&gt;=$AO2512))&gt;0)*(ROW(職員マスタ!$A$6:$A$405)-5)))&gt;0,SUMPRODUCT(MAX((職員マスタ!$A$6:$A$405=$B2512)*(((職員マスタ!$G$6:$G$405="")+(職員マスタ!$G$6:$G$405&lt;=EOMONTH($AO2512,0)))&gt;0)*(((職員マスタ!$H$6:$H$405="")+(職員マスタ!$H$6:$H$405&gt;=$AO2512))&gt;0)*(ROW(職員マスタ!$A$6:$A$405)-5))),IFERROR(MATCH($B2512,職員マスタ!$A$6:$A$405,0),"")))</f>
        <v/>
      </c>
      <c r="AO2512" s="16">
        <f>IF(OR($B2512="",$C2512="",$D2512=""),"",DATE($C2512+2018,$D2512,1))</f>
        <v/>
      </c>
    </row>
    <row r="2513">
      <c r="A2513" s="11" t="n"/>
      <c r="B2513" s="12" t="n"/>
      <c r="C2513" s="12" t="n"/>
      <c r="D2513" s="12" t="n"/>
      <c r="E2513" s="13" t="n"/>
      <c r="F2513" s="12" t="n"/>
      <c r="G2513" s="13" t="n"/>
      <c r="H2513" s="12" t="n"/>
      <c r="I2513" s="12" t="n"/>
      <c r="J2513" s="12" t="n"/>
      <c r="K2513" s="12" t="n"/>
      <c r="L2513" s="11" t="n"/>
      <c r="M2513" s="11" t="n"/>
      <c r="N2513" s="11" t="n"/>
      <c r="O2513" s="11" t="n"/>
      <c r="P2513" s="12" t="n"/>
      <c r="Q2513" s="11" t="n"/>
      <c r="R2513" s="12" t="n"/>
      <c r="S2513" s="11" t="n"/>
      <c r="T2513" s="12" t="n"/>
      <c r="U2513" s="12" t="n"/>
      <c r="V2513" s="14">
        <f>IF($AN2513="",IF($B2513="","",$H2513),IF(INDEX(職員マスタ!$B$6:$B$405,$AN2513)="",$H2513,INDEX(職員マスタ!$B$6:$B$405,$AN2513)))</f>
        <v/>
      </c>
      <c r="W2513" s="14">
        <f>IF($AN2513="",IF($B2513="","",$R2513),IF(INDEX(職員マスタ!$C$6:$C$405,$AN2513)="",$R2513,INDEX(職員マスタ!$C$6:$C$405,$AN2513)))</f>
        <v/>
      </c>
      <c r="X2513" s="14">
        <f>IF($AO2513="","","R"&amp;$C2513&amp;"."&amp;$D2513)</f>
        <v/>
      </c>
      <c r="Y2513" s="15">
        <f>IF($AN2513="","",IF(INDEX(職員マスタ!$K$6:$K$405,$AN2513)="","",INDEX(職員マスタ!$K$6:$K$405,$AN2513)))</f>
        <v/>
      </c>
      <c r="Z2513" s="14">
        <f>IF(OR($E2513="",$Y2513=""),"",IF($E2513&gt;=$Y2513,"×",IF($E2513&gt;=$Y2513*設定!$C$5,"△","○")))</f>
        <v/>
      </c>
      <c r="AA2513" s="15">
        <f>IF($Z2513="","",IF($Z2513="×",0,IF($Z2513="○",ROUNDDOWN($E2513*設定!$C$4,0),ROUNDDOWN($E2513*ROUND((9*$Y2513-9*$E2513)/(10*$E2513),4),0))))</f>
        <v/>
      </c>
      <c r="AB2513" s="13" t="n"/>
      <c r="AC2513" s="15">
        <f>IF($B2513="","",IF($AB2513&lt;&gt;"",$AB2513,IF($AA2513="","",IF($AA2513&lt;=設定!$C$3,0,$AA2513))))</f>
        <v/>
      </c>
      <c r="AD2513" s="14">
        <f>IF($B2513="","",IF(AND($AE2513&lt;&gt;"",$AG2513="",$AJ2513=""),"保留中",IF($AJ2513&lt;&gt;"",IF(N($AC2513)&gt;0,"支給済","不支給"),IF($AC2513="","要確認",IF($AC2513=0,"不支給","未処理")))))</f>
        <v/>
      </c>
      <c r="AE2513" s="12" t="n"/>
      <c r="AF2513" s="11" t="n"/>
      <c r="AG2513" s="11" t="n"/>
      <c r="AH2513" s="11" t="n"/>
      <c r="AI2513" s="14">
        <f>IF(AND($AD2513="保留中",$AF2513&lt;&gt;""),TODAY()-$AF2513,"")</f>
        <v/>
      </c>
      <c r="AJ2513" s="12" t="n"/>
      <c r="AK2513" s="14">
        <f>IF($B2513="","",IF($AO2513="","対象年月が未入力／","")&amp;IF($B2513="","",IF($AN2513="","職員マスタに未登録の職員番号／",IF($Y2513="","標準報酬月額が未登録／","")&amp;IF(AND($AO2513&lt;&gt;"",OR(AND(INDEX(職員マスタ!$G$6:$G$405,$AN2513)&lt;&gt;"",INDEX(職員マスタ!$G$6:$G$405,$AN2513)&gt;EOMONTH($AO2513,0)),AND(INDEX(職員マスタ!$H$6:$H$405,$AN2513)&lt;&gt;"",INDEX(職員マスタ!$H$6:$H$405,$AN2513)&lt;$AO2513))),"対象月が時短期間外／","")&amp;IF(AND(INDEX(職員マスタ!$F$6:$F$405,$AN2513)&lt;&gt;"",$AO2513&lt;&gt;"",INDEX(職員マスタ!$F$6:$F$405,$AN2513)&lt;$AO2513),"対象月に子が2歳到達済／","")&amp;IF(AND($H2513&lt;&gt;"",INDEX(職員マスタ!$B$6:$B$405,$AN2513)&lt;&gt;"",SUBSTITUTE(SUBSTITUTE($H2513," ","")," ","")&lt;&gt;SUBSTITUTE(SUBSTITUTE(INDEX(職員マスタ!$B$6:$B$405,$AN2513)," ","")," ","")),"氏名がマスタと相違／","")&amp;IF(AND($Q2513&lt;&gt;"",INDEX(職員マスタ!$E$6:$E$405,$AN2513)&lt;&gt;"",$Q2513&lt;&gt;INDEX(職員マスタ!$E$6:$E$405,$AN2513)),"子の生年月日がマスタと相違／","")&amp;IF(AND($L2513&lt;&gt;"",INDEX(職員マスタ!$G$6:$G$405,$AN2513)&lt;&gt;"",$L2513&lt;&gt;INDEX(職員マスタ!$G$6:$G$405,$AN2513)),"時短開始日がマスタと相違／","")&amp;IF(AND($M2513&lt;&gt;"",INDEX(職員マスタ!$H$6:$H$405,$AN2513)&lt;&gt;"",$M2513&lt;&gt;INDEX(職員マスタ!$H$6:$H$405,$AN2513)),"時短終了日がマスタと相違／","")))&amp;IF(AND($B2513&lt;&gt;"",$E2513=""),"報酬額が未入力／","")&amp;IF(N($U2513)&gt;0,"申請書に入力エラーが残っています／","")&amp;IF(AND($B2513&lt;&gt;"",$AO2513&lt;&gt;""),IF(COUNTIFS($B$6:$B$3005,$B2513,$C$6:$C$3005,$C2513,$D$6:$D$3005,$D2513)&gt;1,"同じ月の請求が重複しています／",""),"")&amp;IF(AND(N($E2513)&gt;0,$Z2513&lt;&gt;"",$Z2513&lt;&gt;"×",$AC2513=0,$AB2513=""),"計算額が下限以下のため不支給／",""))</f>
        <v/>
      </c>
      <c r="AL2513" s="12" t="n"/>
      <c r="AM2513" s="14">
        <f>IF($AD2513="保留中",COUNTIF($AD$6:$AD2513,"保留中"),"")</f>
        <v/>
      </c>
      <c r="AN2513" s="14">
        <f>IF($AO2513="","",IF(SUMPRODUCT(MAX((職員マスタ!$A$6:$A$405=$B2513)*(((職員マスタ!$G$6:$G$405="")+(職員マスタ!$G$6:$G$405&lt;=EOMONTH($AO2513,0)))&gt;0)*(((職員マスタ!$H$6:$H$405="")+(職員マスタ!$H$6:$H$405&gt;=$AO2513))&gt;0)*(ROW(職員マスタ!$A$6:$A$405)-5)))&gt;0,SUMPRODUCT(MAX((職員マスタ!$A$6:$A$405=$B2513)*(((職員マスタ!$G$6:$G$405="")+(職員マスタ!$G$6:$G$405&lt;=EOMONTH($AO2513,0)))&gt;0)*(((職員マスタ!$H$6:$H$405="")+(職員マスタ!$H$6:$H$405&gt;=$AO2513))&gt;0)*(ROW(職員マスタ!$A$6:$A$405)-5))),IFERROR(MATCH($B2513,職員マスタ!$A$6:$A$405,0),"")))</f>
        <v/>
      </c>
      <c r="AO2513" s="16">
        <f>IF(OR($B2513="",$C2513="",$D2513=""),"",DATE($C2513+2018,$D2513,1))</f>
        <v/>
      </c>
    </row>
    <row r="2514">
      <c r="A2514" s="11" t="n"/>
      <c r="B2514" s="12" t="n"/>
      <c r="C2514" s="12" t="n"/>
      <c r="D2514" s="12" t="n"/>
      <c r="E2514" s="13" t="n"/>
      <c r="F2514" s="12" t="n"/>
      <c r="G2514" s="13" t="n"/>
      <c r="H2514" s="12" t="n"/>
      <c r="I2514" s="12" t="n"/>
      <c r="J2514" s="12" t="n"/>
      <c r="K2514" s="12" t="n"/>
      <c r="L2514" s="11" t="n"/>
      <c r="M2514" s="11" t="n"/>
      <c r="N2514" s="11" t="n"/>
      <c r="O2514" s="11" t="n"/>
      <c r="P2514" s="12" t="n"/>
      <c r="Q2514" s="11" t="n"/>
      <c r="R2514" s="12" t="n"/>
      <c r="S2514" s="11" t="n"/>
      <c r="T2514" s="12" t="n"/>
      <c r="U2514" s="12" t="n"/>
      <c r="V2514" s="14">
        <f>IF($AN2514="",IF($B2514="","",$H2514),IF(INDEX(職員マスタ!$B$6:$B$405,$AN2514)="",$H2514,INDEX(職員マスタ!$B$6:$B$405,$AN2514)))</f>
        <v/>
      </c>
      <c r="W2514" s="14">
        <f>IF($AN2514="",IF($B2514="","",$R2514),IF(INDEX(職員マスタ!$C$6:$C$405,$AN2514)="",$R2514,INDEX(職員マスタ!$C$6:$C$405,$AN2514)))</f>
        <v/>
      </c>
      <c r="X2514" s="14">
        <f>IF($AO2514="","","R"&amp;$C2514&amp;"."&amp;$D2514)</f>
        <v/>
      </c>
      <c r="Y2514" s="15">
        <f>IF($AN2514="","",IF(INDEX(職員マスタ!$K$6:$K$405,$AN2514)="","",INDEX(職員マスタ!$K$6:$K$405,$AN2514)))</f>
        <v/>
      </c>
      <c r="Z2514" s="14">
        <f>IF(OR($E2514="",$Y2514=""),"",IF($E2514&gt;=$Y2514,"×",IF($E2514&gt;=$Y2514*設定!$C$5,"△","○")))</f>
        <v/>
      </c>
      <c r="AA2514" s="15">
        <f>IF($Z2514="","",IF($Z2514="×",0,IF($Z2514="○",ROUNDDOWN($E2514*設定!$C$4,0),ROUNDDOWN($E2514*ROUND((9*$Y2514-9*$E2514)/(10*$E2514),4),0))))</f>
        <v/>
      </c>
      <c r="AB2514" s="13" t="n"/>
      <c r="AC2514" s="15">
        <f>IF($B2514="","",IF($AB2514&lt;&gt;"",$AB2514,IF($AA2514="","",IF($AA2514&lt;=設定!$C$3,0,$AA2514))))</f>
        <v/>
      </c>
      <c r="AD2514" s="14">
        <f>IF($B2514="","",IF(AND($AE2514&lt;&gt;"",$AG2514="",$AJ2514=""),"保留中",IF($AJ2514&lt;&gt;"",IF(N($AC2514)&gt;0,"支給済","不支給"),IF($AC2514="","要確認",IF($AC2514=0,"不支給","未処理")))))</f>
        <v/>
      </c>
      <c r="AE2514" s="12" t="n"/>
      <c r="AF2514" s="11" t="n"/>
      <c r="AG2514" s="11" t="n"/>
      <c r="AH2514" s="11" t="n"/>
      <c r="AI2514" s="14">
        <f>IF(AND($AD2514="保留中",$AF2514&lt;&gt;""),TODAY()-$AF2514,"")</f>
        <v/>
      </c>
      <c r="AJ2514" s="12" t="n"/>
      <c r="AK2514" s="14">
        <f>IF($B2514="","",IF($AO2514="","対象年月が未入力／","")&amp;IF($B2514="","",IF($AN2514="","職員マスタに未登録の職員番号／",IF($Y2514="","標準報酬月額が未登録／","")&amp;IF(AND($AO2514&lt;&gt;"",OR(AND(INDEX(職員マスタ!$G$6:$G$405,$AN2514)&lt;&gt;"",INDEX(職員マスタ!$G$6:$G$405,$AN2514)&gt;EOMONTH($AO2514,0)),AND(INDEX(職員マスタ!$H$6:$H$405,$AN2514)&lt;&gt;"",INDEX(職員マスタ!$H$6:$H$405,$AN2514)&lt;$AO2514))),"対象月が時短期間外／","")&amp;IF(AND(INDEX(職員マスタ!$F$6:$F$405,$AN2514)&lt;&gt;"",$AO2514&lt;&gt;"",INDEX(職員マスタ!$F$6:$F$405,$AN2514)&lt;$AO2514),"対象月に子が2歳到達済／","")&amp;IF(AND($H2514&lt;&gt;"",INDEX(職員マスタ!$B$6:$B$405,$AN2514)&lt;&gt;"",SUBSTITUTE(SUBSTITUTE($H2514," ","")," ","")&lt;&gt;SUBSTITUTE(SUBSTITUTE(INDEX(職員マスタ!$B$6:$B$405,$AN2514)," ","")," ","")),"氏名がマスタと相違／","")&amp;IF(AND($Q2514&lt;&gt;"",INDEX(職員マスタ!$E$6:$E$405,$AN2514)&lt;&gt;"",$Q2514&lt;&gt;INDEX(職員マスタ!$E$6:$E$405,$AN2514)),"子の生年月日がマスタと相違／","")&amp;IF(AND($L2514&lt;&gt;"",INDEX(職員マスタ!$G$6:$G$405,$AN2514)&lt;&gt;"",$L2514&lt;&gt;INDEX(職員マスタ!$G$6:$G$405,$AN2514)),"時短開始日がマスタと相違／","")&amp;IF(AND($M2514&lt;&gt;"",INDEX(職員マスタ!$H$6:$H$405,$AN2514)&lt;&gt;"",$M2514&lt;&gt;INDEX(職員マスタ!$H$6:$H$405,$AN2514)),"時短終了日がマスタと相違／","")))&amp;IF(AND($B2514&lt;&gt;"",$E2514=""),"報酬額が未入力／","")&amp;IF(N($U2514)&gt;0,"申請書に入力エラーが残っています／","")&amp;IF(AND($B2514&lt;&gt;"",$AO2514&lt;&gt;""),IF(COUNTIFS($B$6:$B$3005,$B2514,$C$6:$C$3005,$C2514,$D$6:$D$3005,$D2514)&gt;1,"同じ月の請求が重複しています／",""),"")&amp;IF(AND(N($E2514)&gt;0,$Z2514&lt;&gt;"",$Z2514&lt;&gt;"×",$AC2514=0,$AB2514=""),"計算額が下限以下のため不支給／",""))</f>
        <v/>
      </c>
      <c r="AL2514" s="12" t="n"/>
      <c r="AM2514" s="14">
        <f>IF($AD2514="保留中",COUNTIF($AD$6:$AD2514,"保留中"),"")</f>
        <v/>
      </c>
      <c r="AN2514" s="14">
        <f>IF($AO2514="","",IF(SUMPRODUCT(MAX((職員マスタ!$A$6:$A$405=$B2514)*(((職員マスタ!$G$6:$G$405="")+(職員マスタ!$G$6:$G$405&lt;=EOMONTH($AO2514,0)))&gt;0)*(((職員マスタ!$H$6:$H$405="")+(職員マスタ!$H$6:$H$405&gt;=$AO2514))&gt;0)*(ROW(職員マスタ!$A$6:$A$405)-5)))&gt;0,SUMPRODUCT(MAX((職員マスタ!$A$6:$A$405=$B2514)*(((職員マスタ!$G$6:$G$405="")+(職員マスタ!$G$6:$G$405&lt;=EOMONTH($AO2514,0)))&gt;0)*(((職員マスタ!$H$6:$H$405="")+(職員マスタ!$H$6:$H$405&gt;=$AO2514))&gt;0)*(ROW(職員マスタ!$A$6:$A$405)-5))),IFERROR(MATCH($B2514,職員マスタ!$A$6:$A$405,0),"")))</f>
        <v/>
      </c>
      <c r="AO2514" s="16">
        <f>IF(OR($B2514="",$C2514="",$D2514=""),"",DATE($C2514+2018,$D2514,1))</f>
        <v/>
      </c>
    </row>
    <row r="2515">
      <c r="A2515" s="11" t="n"/>
      <c r="B2515" s="12" t="n"/>
      <c r="C2515" s="12" t="n"/>
      <c r="D2515" s="12" t="n"/>
      <c r="E2515" s="13" t="n"/>
      <c r="F2515" s="12" t="n"/>
      <c r="G2515" s="13" t="n"/>
      <c r="H2515" s="12" t="n"/>
      <c r="I2515" s="12" t="n"/>
      <c r="J2515" s="12" t="n"/>
      <c r="K2515" s="12" t="n"/>
      <c r="L2515" s="11" t="n"/>
      <c r="M2515" s="11" t="n"/>
      <c r="N2515" s="11" t="n"/>
      <c r="O2515" s="11" t="n"/>
      <c r="P2515" s="12" t="n"/>
      <c r="Q2515" s="11" t="n"/>
      <c r="R2515" s="12" t="n"/>
      <c r="S2515" s="11" t="n"/>
      <c r="T2515" s="12" t="n"/>
      <c r="U2515" s="12" t="n"/>
      <c r="V2515" s="14">
        <f>IF($AN2515="",IF($B2515="","",$H2515),IF(INDEX(職員マスタ!$B$6:$B$405,$AN2515)="",$H2515,INDEX(職員マスタ!$B$6:$B$405,$AN2515)))</f>
        <v/>
      </c>
      <c r="W2515" s="14">
        <f>IF($AN2515="",IF($B2515="","",$R2515),IF(INDEX(職員マスタ!$C$6:$C$405,$AN2515)="",$R2515,INDEX(職員マスタ!$C$6:$C$405,$AN2515)))</f>
        <v/>
      </c>
      <c r="X2515" s="14">
        <f>IF($AO2515="","","R"&amp;$C2515&amp;"."&amp;$D2515)</f>
        <v/>
      </c>
      <c r="Y2515" s="15">
        <f>IF($AN2515="","",IF(INDEX(職員マスタ!$K$6:$K$405,$AN2515)="","",INDEX(職員マスタ!$K$6:$K$405,$AN2515)))</f>
        <v/>
      </c>
      <c r="Z2515" s="14">
        <f>IF(OR($E2515="",$Y2515=""),"",IF($E2515&gt;=$Y2515,"×",IF($E2515&gt;=$Y2515*設定!$C$5,"△","○")))</f>
        <v/>
      </c>
      <c r="AA2515" s="15">
        <f>IF($Z2515="","",IF($Z2515="×",0,IF($Z2515="○",ROUNDDOWN($E2515*設定!$C$4,0),ROUNDDOWN($E2515*ROUND((9*$Y2515-9*$E2515)/(10*$E2515),4),0))))</f>
        <v/>
      </c>
      <c r="AB2515" s="13" t="n"/>
      <c r="AC2515" s="15">
        <f>IF($B2515="","",IF($AB2515&lt;&gt;"",$AB2515,IF($AA2515="","",IF($AA2515&lt;=設定!$C$3,0,$AA2515))))</f>
        <v/>
      </c>
      <c r="AD2515" s="14">
        <f>IF($B2515="","",IF(AND($AE2515&lt;&gt;"",$AG2515="",$AJ2515=""),"保留中",IF($AJ2515&lt;&gt;"",IF(N($AC2515)&gt;0,"支給済","不支給"),IF($AC2515="","要確認",IF($AC2515=0,"不支給","未処理")))))</f>
        <v/>
      </c>
      <c r="AE2515" s="12" t="n"/>
      <c r="AF2515" s="11" t="n"/>
      <c r="AG2515" s="11" t="n"/>
      <c r="AH2515" s="11" t="n"/>
      <c r="AI2515" s="14">
        <f>IF(AND($AD2515="保留中",$AF2515&lt;&gt;""),TODAY()-$AF2515,"")</f>
        <v/>
      </c>
      <c r="AJ2515" s="12" t="n"/>
      <c r="AK2515" s="14">
        <f>IF($B2515="","",IF($AO2515="","対象年月が未入力／","")&amp;IF($B2515="","",IF($AN2515="","職員マスタに未登録の職員番号／",IF($Y2515="","標準報酬月額が未登録／","")&amp;IF(AND($AO2515&lt;&gt;"",OR(AND(INDEX(職員マスタ!$G$6:$G$405,$AN2515)&lt;&gt;"",INDEX(職員マスタ!$G$6:$G$405,$AN2515)&gt;EOMONTH($AO2515,0)),AND(INDEX(職員マスタ!$H$6:$H$405,$AN2515)&lt;&gt;"",INDEX(職員マスタ!$H$6:$H$405,$AN2515)&lt;$AO2515))),"対象月が時短期間外／","")&amp;IF(AND(INDEX(職員マスタ!$F$6:$F$405,$AN2515)&lt;&gt;"",$AO2515&lt;&gt;"",INDEX(職員マスタ!$F$6:$F$405,$AN2515)&lt;$AO2515),"対象月に子が2歳到達済／","")&amp;IF(AND($H2515&lt;&gt;"",INDEX(職員マスタ!$B$6:$B$405,$AN2515)&lt;&gt;"",SUBSTITUTE(SUBSTITUTE($H2515," ","")," ","")&lt;&gt;SUBSTITUTE(SUBSTITUTE(INDEX(職員マスタ!$B$6:$B$405,$AN2515)," ","")," ","")),"氏名がマスタと相違／","")&amp;IF(AND($Q2515&lt;&gt;"",INDEX(職員マスタ!$E$6:$E$405,$AN2515)&lt;&gt;"",$Q2515&lt;&gt;INDEX(職員マスタ!$E$6:$E$405,$AN2515)),"子の生年月日がマスタと相違／","")&amp;IF(AND($L2515&lt;&gt;"",INDEX(職員マスタ!$G$6:$G$405,$AN2515)&lt;&gt;"",$L2515&lt;&gt;INDEX(職員マスタ!$G$6:$G$405,$AN2515)),"時短開始日がマスタと相違／","")&amp;IF(AND($M2515&lt;&gt;"",INDEX(職員マスタ!$H$6:$H$405,$AN2515)&lt;&gt;"",$M2515&lt;&gt;INDEX(職員マスタ!$H$6:$H$405,$AN2515)),"時短終了日がマスタと相違／","")))&amp;IF(AND($B2515&lt;&gt;"",$E2515=""),"報酬額が未入力／","")&amp;IF(N($U2515)&gt;0,"申請書に入力エラーが残っています／","")&amp;IF(AND($B2515&lt;&gt;"",$AO2515&lt;&gt;""),IF(COUNTIFS($B$6:$B$3005,$B2515,$C$6:$C$3005,$C2515,$D$6:$D$3005,$D2515)&gt;1,"同じ月の請求が重複しています／",""),"")&amp;IF(AND(N($E2515)&gt;0,$Z2515&lt;&gt;"",$Z2515&lt;&gt;"×",$AC2515=0,$AB2515=""),"計算額が下限以下のため不支給／",""))</f>
        <v/>
      </c>
      <c r="AL2515" s="12" t="n"/>
      <c r="AM2515" s="14">
        <f>IF($AD2515="保留中",COUNTIF($AD$6:$AD2515,"保留中"),"")</f>
        <v/>
      </c>
      <c r="AN2515" s="14">
        <f>IF($AO2515="","",IF(SUMPRODUCT(MAX((職員マスタ!$A$6:$A$405=$B2515)*(((職員マスタ!$G$6:$G$405="")+(職員マスタ!$G$6:$G$405&lt;=EOMONTH($AO2515,0)))&gt;0)*(((職員マスタ!$H$6:$H$405="")+(職員マスタ!$H$6:$H$405&gt;=$AO2515))&gt;0)*(ROW(職員マスタ!$A$6:$A$405)-5)))&gt;0,SUMPRODUCT(MAX((職員マスタ!$A$6:$A$405=$B2515)*(((職員マスタ!$G$6:$G$405="")+(職員マスタ!$G$6:$G$405&lt;=EOMONTH($AO2515,0)))&gt;0)*(((職員マスタ!$H$6:$H$405="")+(職員マスタ!$H$6:$H$405&gt;=$AO2515))&gt;0)*(ROW(職員マスタ!$A$6:$A$405)-5))),IFERROR(MATCH($B2515,職員マスタ!$A$6:$A$405,0),"")))</f>
        <v/>
      </c>
      <c r="AO2515" s="16">
        <f>IF(OR($B2515="",$C2515="",$D2515=""),"",DATE($C2515+2018,$D2515,1))</f>
        <v/>
      </c>
    </row>
    <row r="2516">
      <c r="A2516" s="11" t="n"/>
      <c r="B2516" s="12" t="n"/>
      <c r="C2516" s="12" t="n"/>
      <c r="D2516" s="12" t="n"/>
      <c r="E2516" s="13" t="n"/>
      <c r="F2516" s="12" t="n"/>
      <c r="G2516" s="13" t="n"/>
      <c r="H2516" s="12" t="n"/>
      <c r="I2516" s="12" t="n"/>
      <c r="J2516" s="12" t="n"/>
      <c r="K2516" s="12" t="n"/>
      <c r="L2516" s="11" t="n"/>
      <c r="M2516" s="11" t="n"/>
      <c r="N2516" s="11" t="n"/>
      <c r="O2516" s="11" t="n"/>
      <c r="P2516" s="12" t="n"/>
      <c r="Q2516" s="11" t="n"/>
      <c r="R2516" s="12" t="n"/>
      <c r="S2516" s="11" t="n"/>
      <c r="T2516" s="12" t="n"/>
      <c r="U2516" s="12" t="n"/>
      <c r="V2516" s="14">
        <f>IF($AN2516="",IF($B2516="","",$H2516),IF(INDEX(職員マスタ!$B$6:$B$405,$AN2516)="",$H2516,INDEX(職員マスタ!$B$6:$B$405,$AN2516)))</f>
        <v/>
      </c>
      <c r="W2516" s="14">
        <f>IF($AN2516="",IF($B2516="","",$R2516),IF(INDEX(職員マスタ!$C$6:$C$405,$AN2516)="",$R2516,INDEX(職員マスタ!$C$6:$C$405,$AN2516)))</f>
        <v/>
      </c>
      <c r="X2516" s="14">
        <f>IF($AO2516="","","R"&amp;$C2516&amp;"."&amp;$D2516)</f>
        <v/>
      </c>
      <c r="Y2516" s="15">
        <f>IF($AN2516="","",IF(INDEX(職員マスタ!$K$6:$K$405,$AN2516)="","",INDEX(職員マスタ!$K$6:$K$405,$AN2516)))</f>
        <v/>
      </c>
      <c r="Z2516" s="14">
        <f>IF(OR($E2516="",$Y2516=""),"",IF($E2516&gt;=$Y2516,"×",IF($E2516&gt;=$Y2516*設定!$C$5,"△","○")))</f>
        <v/>
      </c>
      <c r="AA2516" s="15">
        <f>IF($Z2516="","",IF($Z2516="×",0,IF($Z2516="○",ROUNDDOWN($E2516*設定!$C$4,0),ROUNDDOWN($E2516*ROUND((9*$Y2516-9*$E2516)/(10*$E2516),4),0))))</f>
        <v/>
      </c>
      <c r="AB2516" s="13" t="n"/>
      <c r="AC2516" s="15">
        <f>IF($B2516="","",IF($AB2516&lt;&gt;"",$AB2516,IF($AA2516="","",IF($AA2516&lt;=設定!$C$3,0,$AA2516))))</f>
        <v/>
      </c>
      <c r="AD2516" s="14">
        <f>IF($B2516="","",IF(AND($AE2516&lt;&gt;"",$AG2516="",$AJ2516=""),"保留中",IF($AJ2516&lt;&gt;"",IF(N($AC2516)&gt;0,"支給済","不支給"),IF($AC2516="","要確認",IF($AC2516=0,"不支給","未処理")))))</f>
        <v/>
      </c>
      <c r="AE2516" s="12" t="n"/>
      <c r="AF2516" s="11" t="n"/>
      <c r="AG2516" s="11" t="n"/>
      <c r="AH2516" s="11" t="n"/>
      <c r="AI2516" s="14">
        <f>IF(AND($AD2516="保留中",$AF2516&lt;&gt;""),TODAY()-$AF2516,"")</f>
        <v/>
      </c>
      <c r="AJ2516" s="12" t="n"/>
      <c r="AK2516" s="14">
        <f>IF($B2516="","",IF($AO2516="","対象年月が未入力／","")&amp;IF($B2516="","",IF($AN2516="","職員マスタに未登録の職員番号／",IF($Y2516="","標準報酬月額が未登録／","")&amp;IF(AND($AO2516&lt;&gt;"",OR(AND(INDEX(職員マスタ!$G$6:$G$405,$AN2516)&lt;&gt;"",INDEX(職員マスタ!$G$6:$G$405,$AN2516)&gt;EOMONTH($AO2516,0)),AND(INDEX(職員マスタ!$H$6:$H$405,$AN2516)&lt;&gt;"",INDEX(職員マスタ!$H$6:$H$405,$AN2516)&lt;$AO2516))),"対象月が時短期間外／","")&amp;IF(AND(INDEX(職員マスタ!$F$6:$F$405,$AN2516)&lt;&gt;"",$AO2516&lt;&gt;"",INDEX(職員マスタ!$F$6:$F$405,$AN2516)&lt;$AO2516),"対象月に子が2歳到達済／","")&amp;IF(AND($H2516&lt;&gt;"",INDEX(職員マスタ!$B$6:$B$405,$AN2516)&lt;&gt;"",SUBSTITUTE(SUBSTITUTE($H2516," ","")," ","")&lt;&gt;SUBSTITUTE(SUBSTITUTE(INDEX(職員マスタ!$B$6:$B$405,$AN2516)," ","")," ","")),"氏名がマスタと相違／","")&amp;IF(AND($Q2516&lt;&gt;"",INDEX(職員マスタ!$E$6:$E$405,$AN2516)&lt;&gt;"",$Q2516&lt;&gt;INDEX(職員マスタ!$E$6:$E$405,$AN2516)),"子の生年月日がマスタと相違／","")&amp;IF(AND($L2516&lt;&gt;"",INDEX(職員マスタ!$G$6:$G$405,$AN2516)&lt;&gt;"",$L2516&lt;&gt;INDEX(職員マスタ!$G$6:$G$405,$AN2516)),"時短開始日がマスタと相違／","")&amp;IF(AND($M2516&lt;&gt;"",INDEX(職員マスタ!$H$6:$H$405,$AN2516)&lt;&gt;"",$M2516&lt;&gt;INDEX(職員マスタ!$H$6:$H$405,$AN2516)),"時短終了日がマスタと相違／","")))&amp;IF(AND($B2516&lt;&gt;"",$E2516=""),"報酬額が未入力／","")&amp;IF(N($U2516)&gt;0,"申請書に入力エラーが残っています／","")&amp;IF(AND($B2516&lt;&gt;"",$AO2516&lt;&gt;""),IF(COUNTIFS($B$6:$B$3005,$B2516,$C$6:$C$3005,$C2516,$D$6:$D$3005,$D2516)&gt;1,"同じ月の請求が重複しています／",""),"")&amp;IF(AND(N($E2516)&gt;0,$Z2516&lt;&gt;"",$Z2516&lt;&gt;"×",$AC2516=0,$AB2516=""),"計算額が下限以下のため不支給／",""))</f>
        <v/>
      </c>
      <c r="AL2516" s="12" t="n"/>
      <c r="AM2516" s="14">
        <f>IF($AD2516="保留中",COUNTIF($AD$6:$AD2516,"保留中"),"")</f>
        <v/>
      </c>
      <c r="AN2516" s="14">
        <f>IF($AO2516="","",IF(SUMPRODUCT(MAX((職員マスタ!$A$6:$A$405=$B2516)*(((職員マスタ!$G$6:$G$405="")+(職員マスタ!$G$6:$G$405&lt;=EOMONTH($AO2516,0)))&gt;0)*(((職員マスタ!$H$6:$H$405="")+(職員マスタ!$H$6:$H$405&gt;=$AO2516))&gt;0)*(ROW(職員マスタ!$A$6:$A$405)-5)))&gt;0,SUMPRODUCT(MAX((職員マスタ!$A$6:$A$405=$B2516)*(((職員マスタ!$G$6:$G$405="")+(職員マスタ!$G$6:$G$405&lt;=EOMONTH($AO2516,0)))&gt;0)*(((職員マスタ!$H$6:$H$405="")+(職員マスタ!$H$6:$H$405&gt;=$AO2516))&gt;0)*(ROW(職員マスタ!$A$6:$A$405)-5))),IFERROR(MATCH($B2516,職員マスタ!$A$6:$A$405,0),"")))</f>
        <v/>
      </c>
      <c r="AO2516" s="16">
        <f>IF(OR($B2516="",$C2516="",$D2516=""),"",DATE($C2516+2018,$D2516,1))</f>
        <v/>
      </c>
    </row>
    <row r="2517">
      <c r="A2517" s="11" t="n"/>
      <c r="B2517" s="12" t="n"/>
      <c r="C2517" s="12" t="n"/>
      <c r="D2517" s="12" t="n"/>
      <c r="E2517" s="13" t="n"/>
      <c r="F2517" s="12" t="n"/>
      <c r="G2517" s="13" t="n"/>
      <c r="H2517" s="12" t="n"/>
      <c r="I2517" s="12" t="n"/>
      <c r="J2517" s="12" t="n"/>
      <c r="K2517" s="12" t="n"/>
      <c r="L2517" s="11" t="n"/>
      <c r="M2517" s="11" t="n"/>
      <c r="N2517" s="11" t="n"/>
      <c r="O2517" s="11" t="n"/>
      <c r="P2517" s="12" t="n"/>
      <c r="Q2517" s="11" t="n"/>
      <c r="R2517" s="12" t="n"/>
      <c r="S2517" s="11" t="n"/>
      <c r="T2517" s="12" t="n"/>
      <c r="U2517" s="12" t="n"/>
      <c r="V2517" s="14">
        <f>IF($AN2517="",IF($B2517="","",$H2517),IF(INDEX(職員マスタ!$B$6:$B$405,$AN2517)="",$H2517,INDEX(職員マスタ!$B$6:$B$405,$AN2517)))</f>
        <v/>
      </c>
      <c r="W2517" s="14">
        <f>IF($AN2517="",IF($B2517="","",$R2517),IF(INDEX(職員マスタ!$C$6:$C$405,$AN2517)="",$R2517,INDEX(職員マスタ!$C$6:$C$405,$AN2517)))</f>
        <v/>
      </c>
      <c r="X2517" s="14">
        <f>IF($AO2517="","","R"&amp;$C2517&amp;"."&amp;$D2517)</f>
        <v/>
      </c>
      <c r="Y2517" s="15">
        <f>IF($AN2517="","",IF(INDEX(職員マスタ!$K$6:$K$405,$AN2517)="","",INDEX(職員マスタ!$K$6:$K$405,$AN2517)))</f>
        <v/>
      </c>
      <c r="Z2517" s="14">
        <f>IF(OR($E2517="",$Y2517=""),"",IF($E2517&gt;=$Y2517,"×",IF($E2517&gt;=$Y2517*設定!$C$5,"△","○")))</f>
        <v/>
      </c>
      <c r="AA2517" s="15">
        <f>IF($Z2517="","",IF($Z2517="×",0,IF($Z2517="○",ROUNDDOWN($E2517*設定!$C$4,0),ROUNDDOWN($E2517*ROUND((9*$Y2517-9*$E2517)/(10*$E2517),4),0))))</f>
        <v/>
      </c>
      <c r="AB2517" s="13" t="n"/>
      <c r="AC2517" s="15">
        <f>IF($B2517="","",IF($AB2517&lt;&gt;"",$AB2517,IF($AA2517="","",IF($AA2517&lt;=設定!$C$3,0,$AA2517))))</f>
        <v/>
      </c>
      <c r="AD2517" s="14">
        <f>IF($B2517="","",IF(AND($AE2517&lt;&gt;"",$AG2517="",$AJ2517=""),"保留中",IF($AJ2517&lt;&gt;"",IF(N($AC2517)&gt;0,"支給済","不支給"),IF($AC2517="","要確認",IF($AC2517=0,"不支給","未処理")))))</f>
        <v/>
      </c>
      <c r="AE2517" s="12" t="n"/>
      <c r="AF2517" s="11" t="n"/>
      <c r="AG2517" s="11" t="n"/>
      <c r="AH2517" s="11" t="n"/>
      <c r="AI2517" s="14">
        <f>IF(AND($AD2517="保留中",$AF2517&lt;&gt;""),TODAY()-$AF2517,"")</f>
        <v/>
      </c>
      <c r="AJ2517" s="12" t="n"/>
      <c r="AK2517" s="14">
        <f>IF($B2517="","",IF($AO2517="","対象年月が未入力／","")&amp;IF($B2517="","",IF($AN2517="","職員マスタに未登録の職員番号／",IF($Y2517="","標準報酬月額が未登録／","")&amp;IF(AND($AO2517&lt;&gt;"",OR(AND(INDEX(職員マスタ!$G$6:$G$405,$AN2517)&lt;&gt;"",INDEX(職員マスタ!$G$6:$G$405,$AN2517)&gt;EOMONTH($AO2517,0)),AND(INDEX(職員マスタ!$H$6:$H$405,$AN2517)&lt;&gt;"",INDEX(職員マスタ!$H$6:$H$405,$AN2517)&lt;$AO2517))),"対象月が時短期間外／","")&amp;IF(AND(INDEX(職員マスタ!$F$6:$F$405,$AN2517)&lt;&gt;"",$AO2517&lt;&gt;"",INDEX(職員マスタ!$F$6:$F$405,$AN2517)&lt;$AO2517),"対象月に子が2歳到達済／","")&amp;IF(AND($H2517&lt;&gt;"",INDEX(職員マスタ!$B$6:$B$405,$AN2517)&lt;&gt;"",SUBSTITUTE(SUBSTITUTE($H2517," ","")," ","")&lt;&gt;SUBSTITUTE(SUBSTITUTE(INDEX(職員マスタ!$B$6:$B$405,$AN2517)," ","")," ","")),"氏名がマスタと相違／","")&amp;IF(AND($Q2517&lt;&gt;"",INDEX(職員マスタ!$E$6:$E$405,$AN2517)&lt;&gt;"",$Q2517&lt;&gt;INDEX(職員マスタ!$E$6:$E$405,$AN2517)),"子の生年月日がマスタと相違／","")&amp;IF(AND($L2517&lt;&gt;"",INDEX(職員マスタ!$G$6:$G$405,$AN2517)&lt;&gt;"",$L2517&lt;&gt;INDEX(職員マスタ!$G$6:$G$405,$AN2517)),"時短開始日がマスタと相違／","")&amp;IF(AND($M2517&lt;&gt;"",INDEX(職員マスタ!$H$6:$H$405,$AN2517)&lt;&gt;"",$M2517&lt;&gt;INDEX(職員マスタ!$H$6:$H$405,$AN2517)),"時短終了日がマスタと相違／","")))&amp;IF(AND($B2517&lt;&gt;"",$E2517=""),"報酬額が未入力／","")&amp;IF(N($U2517)&gt;0,"申請書に入力エラーが残っています／","")&amp;IF(AND($B2517&lt;&gt;"",$AO2517&lt;&gt;""),IF(COUNTIFS($B$6:$B$3005,$B2517,$C$6:$C$3005,$C2517,$D$6:$D$3005,$D2517)&gt;1,"同じ月の請求が重複しています／",""),"")&amp;IF(AND(N($E2517)&gt;0,$Z2517&lt;&gt;"",$Z2517&lt;&gt;"×",$AC2517=0,$AB2517=""),"計算額が下限以下のため不支給／",""))</f>
        <v/>
      </c>
      <c r="AL2517" s="12" t="n"/>
      <c r="AM2517" s="14">
        <f>IF($AD2517="保留中",COUNTIF($AD$6:$AD2517,"保留中"),"")</f>
        <v/>
      </c>
      <c r="AN2517" s="14">
        <f>IF($AO2517="","",IF(SUMPRODUCT(MAX((職員マスタ!$A$6:$A$405=$B2517)*(((職員マスタ!$G$6:$G$405="")+(職員マスタ!$G$6:$G$405&lt;=EOMONTH($AO2517,0)))&gt;0)*(((職員マスタ!$H$6:$H$405="")+(職員マスタ!$H$6:$H$405&gt;=$AO2517))&gt;0)*(ROW(職員マスタ!$A$6:$A$405)-5)))&gt;0,SUMPRODUCT(MAX((職員マスタ!$A$6:$A$405=$B2517)*(((職員マスタ!$G$6:$G$405="")+(職員マスタ!$G$6:$G$405&lt;=EOMONTH($AO2517,0)))&gt;0)*(((職員マスタ!$H$6:$H$405="")+(職員マスタ!$H$6:$H$405&gt;=$AO2517))&gt;0)*(ROW(職員マスタ!$A$6:$A$405)-5))),IFERROR(MATCH($B2517,職員マスタ!$A$6:$A$405,0),"")))</f>
        <v/>
      </c>
      <c r="AO2517" s="16">
        <f>IF(OR($B2517="",$C2517="",$D2517=""),"",DATE($C2517+2018,$D2517,1))</f>
        <v/>
      </c>
    </row>
    <row r="2518">
      <c r="A2518" s="11" t="n"/>
      <c r="B2518" s="12" t="n"/>
      <c r="C2518" s="12" t="n"/>
      <c r="D2518" s="12" t="n"/>
      <c r="E2518" s="13" t="n"/>
      <c r="F2518" s="12" t="n"/>
      <c r="G2518" s="13" t="n"/>
      <c r="H2518" s="12" t="n"/>
      <c r="I2518" s="12" t="n"/>
      <c r="J2518" s="12" t="n"/>
      <c r="K2518" s="12" t="n"/>
      <c r="L2518" s="11" t="n"/>
      <c r="M2518" s="11" t="n"/>
      <c r="N2518" s="11" t="n"/>
      <c r="O2518" s="11" t="n"/>
      <c r="P2518" s="12" t="n"/>
      <c r="Q2518" s="11" t="n"/>
      <c r="R2518" s="12" t="n"/>
      <c r="S2518" s="11" t="n"/>
      <c r="T2518" s="12" t="n"/>
      <c r="U2518" s="12" t="n"/>
      <c r="V2518" s="14">
        <f>IF($AN2518="",IF($B2518="","",$H2518),IF(INDEX(職員マスタ!$B$6:$B$405,$AN2518)="",$H2518,INDEX(職員マスタ!$B$6:$B$405,$AN2518)))</f>
        <v/>
      </c>
      <c r="W2518" s="14">
        <f>IF($AN2518="",IF($B2518="","",$R2518),IF(INDEX(職員マスタ!$C$6:$C$405,$AN2518)="",$R2518,INDEX(職員マスタ!$C$6:$C$405,$AN2518)))</f>
        <v/>
      </c>
      <c r="X2518" s="14">
        <f>IF($AO2518="","","R"&amp;$C2518&amp;"."&amp;$D2518)</f>
        <v/>
      </c>
      <c r="Y2518" s="15">
        <f>IF($AN2518="","",IF(INDEX(職員マスタ!$K$6:$K$405,$AN2518)="","",INDEX(職員マスタ!$K$6:$K$405,$AN2518)))</f>
        <v/>
      </c>
      <c r="Z2518" s="14">
        <f>IF(OR($E2518="",$Y2518=""),"",IF($E2518&gt;=$Y2518,"×",IF($E2518&gt;=$Y2518*設定!$C$5,"△","○")))</f>
        <v/>
      </c>
      <c r="AA2518" s="15">
        <f>IF($Z2518="","",IF($Z2518="×",0,IF($Z2518="○",ROUNDDOWN($E2518*設定!$C$4,0),ROUNDDOWN($E2518*ROUND((9*$Y2518-9*$E2518)/(10*$E2518),4),0))))</f>
        <v/>
      </c>
      <c r="AB2518" s="13" t="n"/>
      <c r="AC2518" s="15">
        <f>IF($B2518="","",IF($AB2518&lt;&gt;"",$AB2518,IF($AA2518="","",IF($AA2518&lt;=設定!$C$3,0,$AA2518))))</f>
        <v/>
      </c>
      <c r="AD2518" s="14">
        <f>IF($B2518="","",IF(AND($AE2518&lt;&gt;"",$AG2518="",$AJ2518=""),"保留中",IF($AJ2518&lt;&gt;"",IF(N($AC2518)&gt;0,"支給済","不支給"),IF($AC2518="","要確認",IF($AC2518=0,"不支給","未処理")))))</f>
        <v/>
      </c>
      <c r="AE2518" s="12" t="n"/>
      <c r="AF2518" s="11" t="n"/>
      <c r="AG2518" s="11" t="n"/>
      <c r="AH2518" s="11" t="n"/>
      <c r="AI2518" s="14">
        <f>IF(AND($AD2518="保留中",$AF2518&lt;&gt;""),TODAY()-$AF2518,"")</f>
        <v/>
      </c>
      <c r="AJ2518" s="12" t="n"/>
      <c r="AK2518" s="14">
        <f>IF($B2518="","",IF($AO2518="","対象年月が未入力／","")&amp;IF($B2518="","",IF($AN2518="","職員マスタに未登録の職員番号／",IF($Y2518="","標準報酬月額が未登録／","")&amp;IF(AND($AO2518&lt;&gt;"",OR(AND(INDEX(職員マスタ!$G$6:$G$405,$AN2518)&lt;&gt;"",INDEX(職員マスタ!$G$6:$G$405,$AN2518)&gt;EOMONTH($AO2518,0)),AND(INDEX(職員マスタ!$H$6:$H$405,$AN2518)&lt;&gt;"",INDEX(職員マスタ!$H$6:$H$405,$AN2518)&lt;$AO2518))),"対象月が時短期間外／","")&amp;IF(AND(INDEX(職員マスタ!$F$6:$F$405,$AN2518)&lt;&gt;"",$AO2518&lt;&gt;"",INDEX(職員マスタ!$F$6:$F$405,$AN2518)&lt;$AO2518),"対象月に子が2歳到達済／","")&amp;IF(AND($H2518&lt;&gt;"",INDEX(職員マスタ!$B$6:$B$405,$AN2518)&lt;&gt;"",SUBSTITUTE(SUBSTITUTE($H2518," ","")," ","")&lt;&gt;SUBSTITUTE(SUBSTITUTE(INDEX(職員マスタ!$B$6:$B$405,$AN2518)," ","")," ","")),"氏名がマスタと相違／","")&amp;IF(AND($Q2518&lt;&gt;"",INDEX(職員マスタ!$E$6:$E$405,$AN2518)&lt;&gt;"",$Q2518&lt;&gt;INDEX(職員マスタ!$E$6:$E$405,$AN2518)),"子の生年月日がマスタと相違／","")&amp;IF(AND($L2518&lt;&gt;"",INDEX(職員マスタ!$G$6:$G$405,$AN2518)&lt;&gt;"",$L2518&lt;&gt;INDEX(職員マスタ!$G$6:$G$405,$AN2518)),"時短開始日がマスタと相違／","")&amp;IF(AND($M2518&lt;&gt;"",INDEX(職員マスタ!$H$6:$H$405,$AN2518)&lt;&gt;"",$M2518&lt;&gt;INDEX(職員マスタ!$H$6:$H$405,$AN2518)),"時短終了日がマスタと相違／","")))&amp;IF(AND($B2518&lt;&gt;"",$E2518=""),"報酬額が未入力／","")&amp;IF(N($U2518)&gt;0,"申請書に入力エラーが残っています／","")&amp;IF(AND($B2518&lt;&gt;"",$AO2518&lt;&gt;""),IF(COUNTIFS($B$6:$B$3005,$B2518,$C$6:$C$3005,$C2518,$D$6:$D$3005,$D2518)&gt;1,"同じ月の請求が重複しています／",""),"")&amp;IF(AND(N($E2518)&gt;0,$Z2518&lt;&gt;"",$Z2518&lt;&gt;"×",$AC2518=0,$AB2518=""),"計算額が下限以下のため不支給／",""))</f>
        <v/>
      </c>
      <c r="AL2518" s="12" t="n"/>
      <c r="AM2518" s="14">
        <f>IF($AD2518="保留中",COUNTIF($AD$6:$AD2518,"保留中"),"")</f>
        <v/>
      </c>
      <c r="AN2518" s="14">
        <f>IF($AO2518="","",IF(SUMPRODUCT(MAX((職員マスタ!$A$6:$A$405=$B2518)*(((職員マスタ!$G$6:$G$405="")+(職員マスタ!$G$6:$G$405&lt;=EOMONTH($AO2518,0)))&gt;0)*(((職員マスタ!$H$6:$H$405="")+(職員マスタ!$H$6:$H$405&gt;=$AO2518))&gt;0)*(ROW(職員マスタ!$A$6:$A$405)-5)))&gt;0,SUMPRODUCT(MAX((職員マスタ!$A$6:$A$405=$B2518)*(((職員マスタ!$G$6:$G$405="")+(職員マスタ!$G$6:$G$405&lt;=EOMONTH($AO2518,0)))&gt;0)*(((職員マスタ!$H$6:$H$405="")+(職員マスタ!$H$6:$H$405&gt;=$AO2518))&gt;0)*(ROW(職員マスタ!$A$6:$A$405)-5))),IFERROR(MATCH($B2518,職員マスタ!$A$6:$A$405,0),"")))</f>
        <v/>
      </c>
      <c r="AO2518" s="16">
        <f>IF(OR($B2518="",$C2518="",$D2518=""),"",DATE($C2518+2018,$D2518,1))</f>
        <v/>
      </c>
    </row>
    <row r="2519">
      <c r="A2519" s="11" t="n"/>
      <c r="B2519" s="12" t="n"/>
      <c r="C2519" s="12" t="n"/>
      <c r="D2519" s="12" t="n"/>
      <c r="E2519" s="13" t="n"/>
      <c r="F2519" s="12" t="n"/>
      <c r="G2519" s="13" t="n"/>
      <c r="H2519" s="12" t="n"/>
      <c r="I2519" s="12" t="n"/>
      <c r="J2519" s="12" t="n"/>
      <c r="K2519" s="12" t="n"/>
      <c r="L2519" s="11" t="n"/>
      <c r="M2519" s="11" t="n"/>
      <c r="N2519" s="11" t="n"/>
      <c r="O2519" s="11" t="n"/>
      <c r="P2519" s="12" t="n"/>
      <c r="Q2519" s="11" t="n"/>
      <c r="R2519" s="12" t="n"/>
      <c r="S2519" s="11" t="n"/>
      <c r="T2519" s="12" t="n"/>
      <c r="U2519" s="12" t="n"/>
      <c r="V2519" s="14">
        <f>IF($AN2519="",IF($B2519="","",$H2519),IF(INDEX(職員マスタ!$B$6:$B$405,$AN2519)="",$H2519,INDEX(職員マスタ!$B$6:$B$405,$AN2519)))</f>
        <v/>
      </c>
      <c r="W2519" s="14">
        <f>IF($AN2519="",IF($B2519="","",$R2519),IF(INDEX(職員マスタ!$C$6:$C$405,$AN2519)="",$R2519,INDEX(職員マスタ!$C$6:$C$405,$AN2519)))</f>
        <v/>
      </c>
      <c r="X2519" s="14">
        <f>IF($AO2519="","","R"&amp;$C2519&amp;"."&amp;$D2519)</f>
        <v/>
      </c>
      <c r="Y2519" s="15">
        <f>IF($AN2519="","",IF(INDEX(職員マスタ!$K$6:$K$405,$AN2519)="","",INDEX(職員マスタ!$K$6:$K$405,$AN2519)))</f>
        <v/>
      </c>
      <c r="Z2519" s="14">
        <f>IF(OR($E2519="",$Y2519=""),"",IF($E2519&gt;=$Y2519,"×",IF($E2519&gt;=$Y2519*設定!$C$5,"△","○")))</f>
        <v/>
      </c>
      <c r="AA2519" s="15">
        <f>IF($Z2519="","",IF($Z2519="×",0,IF($Z2519="○",ROUNDDOWN($E2519*設定!$C$4,0),ROUNDDOWN($E2519*ROUND((9*$Y2519-9*$E2519)/(10*$E2519),4),0))))</f>
        <v/>
      </c>
      <c r="AB2519" s="13" t="n"/>
      <c r="AC2519" s="15">
        <f>IF($B2519="","",IF($AB2519&lt;&gt;"",$AB2519,IF($AA2519="","",IF($AA2519&lt;=設定!$C$3,0,$AA2519))))</f>
        <v/>
      </c>
      <c r="AD2519" s="14">
        <f>IF($B2519="","",IF(AND($AE2519&lt;&gt;"",$AG2519="",$AJ2519=""),"保留中",IF($AJ2519&lt;&gt;"",IF(N($AC2519)&gt;0,"支給済","不支給"),IF($AC2519="","要確認",IF($AC2519=0,"不支給","未処理")))))</f>
        <v/>
      </c>
      <c r="AE2519" s="12" t="n"/>
      <c r="AF2519" s="11" t="n"/>
      <c r="AG2519" s="11" t="n"/>
      <c r="AH2519" s="11" t="n"/>
      <c r="AI2519" s="14">
        <f>IF(AND($AD2519="保留中",$AF2519&lt;&gt;""),TODAY()-$AF2519,"")</f>
        <v/>
      </c>
      <c r="AJ2519" s="12" t="n"/>
      <c r="AK2519" s="14">
        <f>IF($B2519="","",IF($AO2519="","対象年月が未入力／","")&amp;IF($B2519="","",IF($AN2519="","職員マスタに未登録の職員番号／",IF($Y2519="","標準報酬月額が未登録／","")&amp;IF(AND($AO2519&lt;&gt;"",OR(AND(INDEX(職員マスタ!$G$6:$G$405,$AN2519)&lt;&gt;"",INDEX(職員マスタ!$G$6:$G$405,$AN2519)&gt;EOMONTH($AO2519,0)),AND(INDEX(職員マスタ!$H$6:$H$405,$AN2519)&lt;&gt;"",INDEX(職員マスタ!$H$6:$H$405,$AN2519)&lt;$AO2519))),"対象月が時短期間外／","")&amp;IF(AND(INDEX(職員マスタ!$F$6:$F$405,$AN2519)&lt;&gt;"",$AO2519&lt;&gt;"",INDEX(職員マスタ!$F$6:$F$405,$AN2519)&lt;$AO2519),"対象月に子が2歳到達済／","")&amp;IF(AND($H2519&lt;&gt;"",INDEX(職員マスタ!$B$6:$B$405,$AN2519)&lt;&gt;"",SUBSTITUTE(SUBSTITUTE($H2519," ","")," ","")&lt;&gt;SUBSTITUTE(SUBSTITUTE(INDEX(職員マスタ!$B$6:$B$405,$AN2519)," ","")," ","")),"氏名がマスタと相違／","")&amp;IF(AND($Q2519&lt;&gt;"",INDEX(職員マスタ!$E$6:$E$405,$AN2519)&lt;&gt;"",$Q2519&lt;&gt;INDEX(職員マスタ!$E$6:$E$405,$AN2519)),"子の生年月日がマスタと相違／","")&amp;IF(AND($L2519&lt;&gt;"",INDEX(職員マスタ!$G$6:$G$405,$AN2519)&lt;&gt;"",$L2519&lt;&gt;INDEX(職員マスタ!$G$6:$G$405,$AN2519)),"時短開始日がマスタと相違／","")&amp;IF(AND($M2519&lt;&gt;"",INDEX(職員マスタ!$H$6:$H$405,$AN2519)&lt;&gt;"",$M2519&lt;&gt;INDEX(職員マスタ!$H$6:$H$405,$AN2519)),"時短終了日がマスタと相違／","")))&amp;IF(AND($B2519&lt;&gt;"",$E2519=""),"報酬額が未入力／","")&amp;IF(N($U2519)&gt;0,"申請書に入力エラーが残っています／","")&amp;IF(AND($B2519&lt;&gt;"",$AO2519&lt;&gt;""),IF(COUNTIFS($B$6:$B$3005,$B2519,$C$6:$C$3005,$C2519,$D$6:$D$3005,$D2519)&gt;1,"同じ月の請求が重複しています／",""),"")&amp;IF(AND(N($E2519)&gt;0,$Z2519&lt;&gt;"",$Z2519&lt;&gt;"×",$AC2519=0,$AB2519=""),"計算額が下限以下のため不支給／",""))</f>
        <v/>
      </c>
      <c r="AL2519" s="12" t="n"/>
      <c r="AM2519" s="14">
        <f>IF($AD2519="保留中",COUNTIF($AD$6:$AD2519,"保留中"),"")</f>
        <v/>
      </c>
      <c r="AN2519" s="14">
        <f>IF($AO2519="","",IF(SUMPRODUCT(MAX((職員マスタ!$A$6:$A$405=$B2519)*(((職員マスタ!$G$6:$G$405="")+(職員マスタ!$G$6:$G$405&lt;=EOMONTH($AO2519,0)))&gt;0)*(((職員マスタ!$H$6:$H$405="")+(職員マスタ!$H$6:$H$405&gt;=$AO2519))&gt;0)*(ROW(職員マスタ!$A$6:$A$405)-5)))&gt;0,SUMPRODUCT(MAX((職員マスタ!$A$6:$A$405=$B2519)*(((職員マスタ!$G$6:$G$405="")+(職員マスタ!$G$6:$G$405&lt;=EOMONTH($AO2519,0)))&gt;0)*(((職員マスタ!$H$6:$H$405="")+(職員マスタ!$H$6:$H$405&gt;=$AO2519))&gt;0)*(ROW(職員マスタ!$A$6:$A$405)-5))),IFERROR(MATCH($B2519,職員マスタ!$A$6:$A$405,0),"")))</f>
        <v/>
      </c>
      <c r="AO2519" s="16">
        <f>IF(OR($B2519="",$C2519="",$D2519=""),"",DATE($C2519+2018,$D2519,1))</f>
        <v/>
      </c>
    </row>
    <row r="2520">
      <c r="A2520" s="11" t="n"/>
      <c r="B2520" s="12" t="n"/>
      <c r="C2520" s="12" t="n"/>
      <c r="D2520" s="12" t="n"/>
      <c r="E2520" s="13" t="n"/>
      <c r="F2520" s="12" t="n"/>
      <c r="G2520" s="13" t="n"/>
      <c r="H2520" s="12" t="n"/>
      <c r="I2520" s="12" t="n"/>
      <c r="J2520" s="12" t="n"/>
      <c r="K2520" s="12" t="n"/>
      <c r="L2520" s="11" t="n"/>
      <c r="M2520" s="11" t="n"/>
      <c r="N2520" s="11" t="n"/>
      <c r="O2520" s="11" t="n"/>
      <c r="P2520" s="12" t="n"/>
      <c r="Q2520" s="11" t="n"/>
      <c r="R2520" s="12" t="n"/>
      <c r="S2520" s="11" t="n"/>
      <c r="T2520" s="12" t="n"/>
      <c r="U2520" s="12" t="n"/>
      <c r="V2520" s="14">
        <f>IF($AN2520="",IF($B2520="","",$H2520),IF(INDEX(職員マスタ!$B$6:$B$405,$AN2520)="",$H2520,INDEX(職員マスタ!$B$6:$B$405,$AN2520)))</f>
        <v/>
      </c>
      <c r="W2520" s="14">
        <f>IF($AN2520="",IF($B2520="","",$R2520),IF(INDEX(職員マスタ!$C$6:$C$405,$AN2520)="",$R2520,INDEX(職員マスタ!$C$6:$C$405,$AN2520)))</f>
        <v/>
      </c>
      <c r="X2520" s="14">
        <f>IF($AO2520="","","R"&amp;$C2520&amp;"."&amp;$D2520)</f>
        <v/>
      </c>
      <c r="Y2520" s="15">
        <f>IF($AN2520="","",IF(INDEX(職員マスタ!$K$6:$K$405,$AN2520)="","",INDEX(職員マスタ!$K$6:$K$405,$AN2520)))</f>
        <v/>
      </c>
      <c r="Z2520" s="14">
        <f>IF(OR($E2520="",$Y2520=""),"",IF($E2520&gt;=$Y2520,"×",IF($E2520&gt;=$Y2520*設定!$C$5,"△","○")))</f>
        <v/>
      </c>
      <c r="AA2520" s="15">
        <f>IF($Z2520="","",IF($Z2520="×",0,IF($Z2520="○",ROUNDDOWN($E2520*設定!$C$4,0),ROUNDDOWN($E2520*ROUND((9*$Y2520-9*$E2520)/(10*$E2520),4),0))))</f>
        <v/>
      </c>
      <c r="AB2520" s="13" t="n"/>
      <c r="AC2520" s="15">
        <f>IF($B2520="","",IF($AB2520&lt;&gt;"",$AB2520,IF($AA2520="","",IF($AA2520&lt;=設定!$C$3,0,$AA2520))))</f>
        <v/>
      </c>
      <c r="AD2520" s="14">
        <f>IF($B2520="","",IF(AND($AE2520&lt;&gt;"",$AG2520="",$AJ2520=""),"保留中",IF($AJ2520&lt;&gt;"",IF(N($AC2520)&gt;0,"支給済","不支給"),IF($AC2520="","要確認",IF($AC2520=0,"不支給","未処理")))))</f>
        <v/>
      </c>
      <c r="AE2520" s="12" t="n"/>
      <c r="AF2520" s="11" t="n"/>
      <c r="AG2520" s="11" t="n"/>
      <c r="AH2520" s="11" t="n"/>
      <c r="AI2520" s="14">
        <f>IF(AND($AD2520="保留中",$AF2520&lt;&gt;""),TODAY()-$AF2520,"")</f>
        <v/>
      </c>
      <c r="AJ2520" s="12" t="n"/>
      <c r="AK2520" s="14">
        <f>IF($B2520="","",IF($AO2520="","対象年月が未入力／","")&amp;IF($B2520="","",IF($AN2520="","職員マスタに未登録の職員番号／",IF($Y2520="","標準報酬月額が未登録／","")&amp;IF(AND($AO2520&lt;&gt;"",OR(AND(INDEX(職員マスタ!$G$6:$G$405,$AN2520)&lt;&gt;"",INDEX(職員マスタ!$G$6:$G$405,$AN2520)&gt;EOMONTH($AO2520,0)),AND(INDEX(職員マスタ!$H$6:$H$405,$AN2520)&lt;&gt;"",INDEX(職員マスタ!$H$6:$H$405,$AN2520)&lt;$AO2520))),"対象月が時短期間外／","")&amp;IF(AND(INDEX(職員マスタ!$F$6:$F$405,$AN2520)&lt;&gt;"",$AO2520&lt;&gt;"",INDEX(職員マスタ!$F$6:$F$405,$AN2520)&lt;$AO2520),"対象月に子が2歳到達済／","")&amp;IF(AND($H2520&lt;&gt;"",INDEX(職員マスタ!$B$6:$B$405,$AN2520)&lt;&gt;"",SUBSTITUTE(SUBSTITUTE($H2520," ","")," ","")&lt;&gt;SUBSTITUTE(SUBSTITUTE(INDEX(職員マスタ!$B$6:$B$405,$AN2520)," ","")," ","")),"氏名がマスタと相違／","")&amp;IF(AND($Q2520&lt;&gt;"",INDEX(職員マスタ!$E$6:$E$405,$AN2520)&lt;&gt;"",$Q2520&lt;&gt;INDEX(職員マスタ!$E$6:$E$405,$AN2520)),"子の生年月日がマスタと相違／","")&amp;IF(AND($L2520&lt;&gt;"",INDEX(職員マスタ!$G$6:$G$405,$AN2520)&lt;&gt;"",$L2520&lt;&gt;INDEX(職員マスタ!$G$6:$G$405,$AN2520)),"時短開始日がマスタと相違／","")&amp;IF(AND($M2520&lt;&gt;"",INDEX(職員マスタ!$H$6:$H$405,$AN2520)&lt;&gt;"",$M2520&lt;&gt;INDEX(職員マスタ!$H$6:$H$405,$AN2520)),"時短終了日がマスタと相違／","")))&amp;IF(AND($B2520&lt;&gt;"",$E2520=""),"報酬額が未入力／","")&amp;IF(N($U2520)&gt;0,"申請書に入力エラーが残っています／","")&amp;IF(AND($B2520&lt;&gt;"",$AO2520&lt;&gt;""),IF(COUNTIFS($B$6:$B$3005,$B2520,$C$6:$C$3005,$C2520,$D$6:$D$3005,$D2520)&gt;1,"同じ月の請求が重複しています／",""),"")&amp;IF(AND(N($E2520)&gt;0,$Z2520&lt;&gt;"",$Z2520&lt;&gt;"×",$AC2520=0,$AB2520=""),"計算額が下限以下のため不支給／",""))</f>
        <v/>
      </c>
      <c r="AL2520" s="12" t="n"/>
      <c r="AM2520" s="14">
        <f>IF($AD2520="保留中",COUNTIF($AD$6:$AD2520,"保留中"),"")</f>
        <v/>
      </c>
      <c r="AN2520" s="14">
        <f>IF($AO2520="","",IF(SUMPRODUCT(MAX((職員マスタ!$A$6:$A$405=$B2520)*(((職員マスタ!$G$6:$G$405="")+(職員マスタ!$G$6:$G$405&lt;=EOMONTH($AO2520,0)))&gt;0)*(((職員マスタ!$H$6:$H$405="")+(職員マスタ!$H$6:$H$405&gt;=$AO2520))&gt;0)*(ROW(職員マスタ!$A$6:$A$405)-5)))&gt;0,SUMPRODUCT(MAX((職員マスタ!$A$6:$A$405=$B2520)*(((職員マスタ!$G$6:$G$405="")+(職員マスタ!$G$6:$G$405&lt;=EOMONTH($AO2520,0)))&gt;0)*(((職員マスタ!$H$6:$H$405="")+(職員マスタ!$H$6:$H$405&gt;=$AO2520))&gt;0)*(ROW(職員マスタ!$A$6:$A$405)-5))),IFERROR(MATCH($B2520,職員マスタ!$A$6:$A$405,0),"")))</f>
        <v/>
      </c>
      <c r="AO2520" s="16">
        <f>IF(OR($B2520="",$C2520="",$D2520=""),"",DATE($C2520+2018,$D2520,1))</f>
        <v/>
      </c>
    </row>
    <row r="2521">
      <c r="A2521" s="11" t="n"/>
      <c r="B2521" s="12" t="n"/>
      <c r="C2521" s="12" t="n"/>
      <c r="D2521" s="12" t="n"/>
      <c r="E2521" s="13" t="n"/>
      <c r="F2521" s="12" t="n"/>
      <c r="G2521" s="13" t="n"/>
      <c r="H2521" s="12" t="n"/>
      <c r="I2521" s="12" t="n"/>
      <c r="J2521" s="12" t="n"/>
      <c r="K2521" s="12" t="n"/>
      <c r="L2521" s="11" t="n"/>
      <c r="M2521" s="11" t="n"/>
      <c r="N2521" s="11" t="n"/>
      <c r="O2521" s="11" t="n"/>
      <c r="P2521" s="12" t="n"/>
      <c r="Q2521" s="11" t="n"/>
      <c r="R2521" s="12" t="n"/>
      <c r="S2521" s="11" t="n"/>
      <c r="T2521" s="12" t="n"/>
      <c r="U2521" s="12" t="n"/>
      <c r="V2521" s="14">
        <f>IF($AN2521="",IF($B2521="","",$H2521),IF(INDEX(職員マスタ!$B$6:$B$405,$AN2521)="",$H2521,INDEX(職員マスタ!$B$6:$B$405,$AN2521)))</f>
        <v/>
      </c>
      <c r="W2521" s="14">
        <f>IF($AN2521="",IF($B2521="","",$R2521),IF(INDEX(職員マスタ!$C$6:$C$405,$AN2521)="",$R2521,INDEX(職員マスタ!$C$6:$C$405,$AN2521)))</f>
        <v/>
      </c>
      <c r="X2521" s="14">
        <f>IF($AO2521="","","R"&amp;$C2521&amp;"."&amp;$D2521)</f>
        <v/>
      </c>
      <c r="Y2521" s="15">
        <f>IF($AN2521="","",IF(INDEX(職員マスタ!$K$6:$K$405,$AN2521)="","",INDEX(職員マスタ!$K$6:$K$405,$AN2521)))</f>
        <v/>
      </c>
      <c r="Z2521" s="14">
        <f>IF(OR($E2521="",$Y2521=""),"",IF($E2521&gt;=$Y2521,"×",IF($E2521&gt;=$Y2521*設定!$C$5,"△","○")))</f>
        <v/>
      </c>
      <c r="AA2521" s="15">
        <f>IF($Z2521="","",IF($Z2521="×",0,IF($Z2521="○",ROUNDDOWN($E2521*設定!$C$4,0),ROUNDDOWN($E2521*ROUND((9*$Y2521-9*$E2521)/(10*$E2521),4),0))))</f>
        <v/>
      </c>
      <c r="AB2521" s="13" t="n"/>
      <c r="AC2521" s="15">
        <f>IF($B2521="","",IF($AB2521&lt;&gt;"",$AB2521,IF($AA2521="","",IF($AA2521&lt;=設定!$C$3,0,$AA2521))))</f>
        <v/>
      </c>
      <c r="AD2521" s="14">
        <f>IF($B2521="","",IF(AND($AE2521&lt;&gt;"",$AG2521="",$AJ2521=""),"保留中",IF($AJ2521&lt;&gt;"",IF(N($AC2521)&gt;0,"支給済","不支給"),IF($AC2521="","要確認",IF($AC2521=0,"不支給","未処理")))))</f>
        <v/>
      </c>
      <c r="AE2521" s="12" t="n"/>
      <c r="AF2521" s="11" t="n"/>
      <c r="AG2521" s="11" t="n"/>
      <c r="AH2521" s="11" t="n"/>
      <c r="AI2521" s="14">
        <f>IF(AND($AD2521="保留中",$AF2521&lt;&gt;""),TODAY()-$AF2521,"")</f>
        <v/>
      </c>
      <c r="AJ2521" s="12" t="n"/>
      <c r="AK2521" s="14">
        <f>IF($B2521="","",IF($AO2521="","対象年月が未入力／","")&amp;IF($B2521="","",IF($AN2521="","職員マスタに未登録の職員番号／",IF($Y2521="","標準報酬月額が未登録／","")&amp;IF(AND($AO2521&lt;&gt;"",OR(AND(INDEX(職員マスタ!$G$6:$G$405,$AN2521)&lt;&gt;"",INDEX(職員マスタ!$G$6:$G$405,$AN2521)&gt;EOMONTH($AO2521,0)),AND(INDEX(職員マスタ!$H$6:$H$405,$AN2521)&lt;&gt;"",INDEX(職員マスタ!$H$6:$H$405,$AN2521)&lt;$AO2521))),"対象月が時短期間外／","")&amp;IF(AND(INDEX(職員マスタ!$F$6:$F$405,$AN2521)&lt;&gt;"",$AO2521&lt;&gt;"",INDEX(職員マスタ!$F$6:$F$405,$AN2521)&lt;$AO2521),"対象月に子が2歳到達済／","")&amp;IF(AND($H2521&lt;&gt;"",INDEX(職員マスタ!$B$6:$B$405,$AN2521)&lt;&gt;"",SUBSTITUTE(SUBSTITUTE($H2521," ","")," ","")&lt;&gt;SUBSTITUTE(SUBSTITUTE(INDEX(職員マスタ!$B$6:$B$405,$AN2521)," ","")," ","")),"氏名がマスタと相違／","")&amp;IF(AND($Q2521&lt;&gt;"",INDEX(職員マスタ!$E$6:$E$405,$AN2521)&lt;&gt;"",$Q2521&lt;&gt;INDEX(職員マスタ!$E$6:$E$405,$AN2521)),"子の生年月日がマスタと相違／","")&amp;IF(AND($L2521&lt;&gt;"",INDEX(職員マスタ!$G$6:$G$405,$AN2521)&lt;&gt;"",$L2521&lt;&gt;INDEX(職員マスタ!$G$6:$G$405,$AN2521)),"時短開始日がマスタと相違／","")&amp;IF(AND($M2521&lt;&gt;"",INDEX(職員マスタ!$H$6:$H$405,$AN2521)&lt;&gt;"",$M2521&lt;&gt;INDEX(職員マスタ!$H$6:$H$405,$AN2521)),"時短終了日がマスタと相違／","")))&amp;IF(AND($B2521&lt;&gt;"",$E2521=""),"報酬額が未入力／","")&amp;IF(N($U2521)&gt;0,"申請書に入力エラーが残っています／","")&amp;IF(AND($B2521&lt;&gt;"",$AO2521&lt;&gt;""),IF(COUNTIFS($B$6:$B$3005,$B2521,$C$6:$C$3005,$C2521,$D$6:$D$3005,$D2521)&gt;1,"同じ月の請求が重複しています／",""),"")&amp;IF(AND(N($E2521)&gt;0,$Z2521&lt;&gt;"",$Z2521&lt;&gt;"×",$AC2521=0,$AB2521=""),"計算額が下限以下のため不支給／",""))</f>
        <v/>
      </c>
      <c r="AL2521" s="12" t="n"/>
      <c r="AM2521" s="14">
        <f>IF($AD2521="保留中",COUNTIF($AD$6:$AD2521,"保留中"),"")</f>
        <v/>
      </c>
      <c r="AN2521" s="14">
        <f>IF($AO2521="","",IF(SUMPRODUCT(MAX((職員マスタ!$A$6:$A$405=$B2521)*(((職員マスタ!$G$6:$G$405="")+(職員マスタ!$G$6:$G$405&lt;=EOMONTH($AO2521,0)))&gt;0)*(((職員マスタ!$H$6:$H$405="")+(職員マスタ!$H$6:$H$405&gt;=$AO2521))&gt;0)*(ROW(職員マスタ!$A$6:$A$405)-5)))&gt;0,SUMPRODUCT(MAX((職員マスタ!$A$6:$A$405=$B2521)*(((職員マスタ!$G$6:$G$405="")+(職員マスタ!$G$6:$G$405&lt;=EOMONTH($AO2521,0)))&gt;0)*(((職員マスタ!$H$6:$H$405="")+(職員マスタ!$H$6:$H$405&gt;=$AO2521))&gt;0)*(ROW(職員マスタ!$A$6:$A$405)-5))),IFERROR(MATCH($B2521,職員マスタ!$A$6:$A$405,0),"")))</f>
        <v/>
      </c>
      <c r="AO2521" s="16">
        <f>IF(OR($B2521="",$C2521="",$D2521=""),"",DATE($C2521+2018,$D2521,1))</f>
        <v/>
      </c>
    </row>
    <row r="2522">
      <c r="A2522" s="11" t="n"/>
      <c r="B2522" s="12" t="n"/>
      <c r="C2522" s="12" t="n"/>
      <c r="D2522" s="12" t="n"/>
      <c r="E2522" s="13" t="n"/>
      <c r="F2522" s="12" t="n"/>
      <c r="G2522" s="13" t="n"/>
      <c r="H2522" s="12" t="n"/>
      <c r="I2522" s="12" t="n"/>
      <c r="J2522" s="12" t="n"/>
      <c r="K2522" s="12" t="n"/>
      <c r="L2522" s="11" t="n"/>
      <c r="M2522" s="11" t="n"/>
      <c r="N2522" s="11" t="n"/>
      <c r="O2522" s="11" t="n"/>
      <c r="P2522" s="12" t="n"/>
      <c r="Q2522" s="11" t="n"/>
      <c r="R2522" s="12" t="n"/>
      <c r="S2522" s="11" t="n"/>
      <c r="T2522" s="12" t="n"/>
      <c r="U2522" s="12" t="n"/>
      <c r="V2522" s="14">
        <f>IF($AN2522="",IF($B2522="","",$H2522),IF(INDEX(職員マスタ!$B$6:$B$405,$AN2522)="",$H2522,INDEX(職員マスタ!$B$6:$B$405,$AN2522)))</f>
        <v/>
      </c>
      <c r="W2522" s="14">
        <f>IF($AN2522="",IF($B2522="","",$R2522),IF(INDEX(職員マスタ!$C$6:$C$405,$AN2522)="",$R2522,INDEX(職員マスタ!$C$6:$C$405,$AN2522)))</f>
        <v/>
      </c>
      <c r="X2522" s="14">
        <f>IF($AO2522="","","R"&amp;$C2522&amp;"."&amp;$D2522)</f>
        <v/>
      </c>
      <c r="Y2522" s="15">
        <f>IF($AN2522="","",IF(INDEX(職員マスタ!$K$6:$K$405,$AN2522)="","",INDEX(職員マスタ!$K$6:$K$405,$AN2522)))</f>
        <v/>
      </c>
      <c r="Z2522" s="14">
        <f>IF(OR($E2522="",$Y2522=""),"",IF($E2522&gt;=$Y2522,"×",IF($E2522&gt;=$Y2522*設定!$C$5,"△","○")))</f>
        <v/>
      </c>
      <c r="AA2522" s="15">
        <f>IF($Z2522="","",IF($Z2522="×",0,IF($Z2522="○",ROUNDDOWN($E2522*設定!$C$4,0),ROUNDDOWN($E2522*ROUND((9*$Y2522-9*$E2522)/(10*$E2522),4),0))))</f>
        <v/>
      </c>
      <c r="AB2522" s="13" t="n"/>
      <c r="AC2522" s="15">
        <f>IF($B2522="","",IF($AB2522&lt;&gt;"",$AB2522,IF($AA2522="","",IF($AA2522&lt;=設定!$C$3,0,$AA2522))))</f>
        <v/>
      </c>
      <c r="AD2522" s="14">
        <f>IF($B2522="","",IF(AND($AE2522&lt;&gt;"",$AG2522="",$AJ2522=""),"保留中",IF($AJ2522&lt;&gt;"",IF(N($AC2522)&gt;0,"支給済","不支給"),IF($AC2522="","要確認",IF($AC2522=0,"不支給","未処理")))))</f>
        <v/>
      </c>
      <c r="AE2522" s="12" t="n"/>
      <c r="AF2522" s="11" t="n"/>
      <c r="AG2522" s="11" t="n"/>
      <c r="AH2522" s="11" t="n"/>
      <c r="AI2522" s="14">
        <f>IF(AND($AD2522="保留中",$AF2522&lt;&gt;""),TODAY()-$AF2522,"")</f>
        <v/>
      </c>
      <c r="AJ2522" s="12" t="n"/>
      <c r="AK2522" s="14">
        <f>IF($B2522="","",IF($AO2522="","対象年月が未入力／","")&amp;IF($B2522="","",IF($AN2522="","職員マスタに未登録の職員番号／",IF($Y2522="","標準報酬月額が未登録／","")&amp;IF(AND($AO2522&lt;&gt;"",OR(AND(INDEX(職員マスタ!$G$6:$G$405,$AN2522)&lt;&gt;"",INDEX(職員マスタ!$G$6:$G$405,$AN2522)&gt;EOMONTH($AO2522,0)),AND(INDEX(職員マスタ!$H$6:$H$405,$AN2522)&lt;&gt;"",INDEX(職員マスタ!$H$6:$H$405,$AN2522)&lt;$AO2522))),"対象月が時短期間外／","")&amp;IF(AND(INDEX(職員マスタ!$F$6:$F$405,$AN2522)&lt;&gt;"",$AO2522&lt;&gt;"",INDEX(職員マスタ!$F$6:$F$405,$AN2522)&lt;$AO2522),"対象月に子が2歳到達済／","")&amp;IF(AND($H2522&lt;&gt;"",INDEX(職員マスタ!$B$6:$B$405,$AN2522)&lt;&gt;"",SUBSTITUTE(SUBSTITUTE($H2522," ","")," ","")&lt;&gt;SUBSTITUTE(SUBSTITUTE(INDEX(職員マスタ!$B$6:$B$405,$AN2522)," ","")," ","")),"氏名がマスタと相違／","")&amp;IF(AND($Q2522&lt;&gt;"",INDEX(職員マスタ!$E$6:$E$405,$AN2522)&lt;&gt;"",$Q2522&lt;&gt;INDEX(職員マスタ!$E$6:$E$405,$AN2522)),"子の生年月日がマスタと相違／","")&amp;IF(AND($L2522&lt;&gt;"",INDEX(職員マスタ!$G$6:$G$405,$AN2522)&lt;&gt;"",$L2522&lt;&gt;INDEX(職員マスタ!$G$6:$G$405,$AN2522)),"時短開始日がマスタと相違／","")&amp;IF(AND($M2522&lt;&gt;"",INDEX(職員マスタ!$H$6:$H$405,$AN2522)&lt;&gt;"",$M2522&lt;&gt;INDEX(職員マスタ!$H$6:$H$405,$AN2522)),"時短終了日がマスタと相違／","")))&amp;IF(AND($B2522&lt;&gt;"",$E2522=""),"報酬額が未入力／","")&amp;IF(N($U2522)&gt;0,"申請書に入力エラーが残っています／","")&amp;IF(AND($B2522&lt;&gt;"",$AO2522&lt;&gt;""),IF(COUNTIFS($B$6:$B$3005,$B2522,$C$6:$C$3005,$C2522,$D$6:$D$3005,$D2522)&gt;1,"同じ月の請求が重複しています／",""),"")&amp;IF(AND(N($E2522)&gt;0,$Z2522&lt;&gt;"",$Z2522&lt;&gt;"×",$AC2522=0,$AB2522=""),"計算額が下限以下のため不支給／",""))</f>
        <v/>
      </c>
      <c r="AL2522" s="12" t="n"/>
      <c r="AM2522" s="14">
        <f>IF($AD2522="保留中",COUNTIF($AD$6:$AD2522,"保留中"),"")</f>
        <v/>
      </c>
      <c r="AN2522" s="14">
        <f>IF($AO2522="","",IF(SUMPRODUCT(MAX((職員マスタ!$A$6:$A$405=$B2522)*(((職員マスタ!$G$6:$G$405="")+(職員マスタ!$G$6:$G$405&lt;=EOMONTH($AO2522,0)))&gt;0)*(((職員マスタ!$H$6:$H$405="")+(職員マスタ!$H$6:$H$405&gt;=$AO2522))&gt;0)*(ROW(職員マスタ!$A$6:$A$405)-5)))&gt;0,SUMPRODUCT(MAX((職員マスタ!$A$6:$A$405=$B2522)*(((職員マスタ!$G$6:$G$405="")+(職員マスタ!$G$6:$G$405&lt;=EOMONTH($AO2522,0)))&gt;0)*(((職員マスタ!$H$6:$H$405="")+(職員マスタ!$H$6:$H$405&gt;=$AO2522))&gt;0)*(ROW(職員マスタ!$A$6:$A$405)-5))),IFERROR(MATCH($B2522,職員マスタ!$A$6:$A$405,0),"")))</f>
        <v/>
      </c>
      <c r="AO2522" s="16">
        <f>IF(OR($B2522="",$C2522="",$D2522=""),"",DATE($C2522+2018,$D2522,1))</f>
        <v/>
      </c>
    </row>
    <row r="2523">
      <c r="A2523" s="11" t="n"/>
      <c r="B2523" s="12" t="n"/>
      <c r="C2523" s="12" t="n"/>
      <c r="D2523" s="12" t="n"/>
      <c r="E2523" s="13" t="n"/>
      <c r="F2523" s="12" t="n"/>
      <c r="G2523" s="13" t="n"/>
      <c r="H2523" s="12" t="n"/>
      <c r="I2523" s="12" t="n"/>
      <c r="J2523" s="12" t="n"/>
      <c r="K2523" s="12" t="n"/>
      <c r="L2523" s="11" t="n"/>
      <c r="M2523" s="11" t="n"/>
      <c r="N2523" s="11" t="n"/>
      <c r="O2523" s="11" t="n"/>
      <c r="P2523" s="12" t="n"/>
      <c r="Q2523" s="11" t="n"/>
      <c r="R2523" s="12" t="n"/>
      <c r="S2523" s="11" t="n"/>
      <c r="T2523" s="12" t="n"/>
      <c r="U2523" s="12" t="n"/>
      <c r="V2523" s="14">
        <f>IF($AN2523="",IF($B2523="","",$H2523),IF(INDEX(職員マスタ!$B$6:$B$405,$AN2523)="",$H2523,INDEX(職員マスタ!$B$6:$B$405,$AN2523)))</f>
        <v/>
      </c>
      <c r="W2523" s="14">
        <f>IF($AN2523="",IF($B2523="","",$R2523),IF(INDEX(職員マスタ!$C$6:$C$405,$AN2523)="",$R2523,INDEX(職員マスタ!$C$6:$C$405,$AN2523)))</f>
        <v/>
      </c>
      <c r="X2523" s="14">
        <f>IF($AO2523="","","R"&amp;$C2523&amp;"."&amp;$D2523)</f>
        <v/>
      </c>
      <c r="Y2523" s="15">
        <f>IF($AN2523="","",IF(INDEX(職員マスタ!$K$6:$K$405,$AN2523)="","",INDEX(職員マスタ!$K$6:$K$405,$AN2523)))</f>
        <v/>
      </c>
      <c r="Z2523" s="14">
        <f>IF(OR($E2523="",$Y2523=""),"",IF($E2523&gt;=$Y2523,"×",IF($E2523&gt;=$Y2523*設定!$C$5,"△","○")))</f>
        <v/>
      </c>
      <c r="AA2523" s="15">
        <f>IF($Z2523="","",IF($Z2523="×",0,IF($Z2523="○",ROUNDDOWN($E2523*設定!$C$4,0),ROUNDDOWN($E2523*ROUND((9*$Y2523-9*$E2523)/(10*$E2523),4),0))))</f>
        <v/>
      </c>
      <c r="AB2523" s="13" t="n"/>
      <c r="AC2523" s="15">
        <f>IF($B2523="","",IF($AB2523&lt;&gt;"",$AB2523,IF($AA2523="","",IF($AA2523&lt;=設定!$C$3,0,$AA2523))))</f>
        <v/>
      </c>
      <c r="AD2523" s="14">
        <f>IF($B2523="","",IF(AND($AE2523&lt;&gt;"",$AG2523="",$AJ2523=""),"保留中",IF($AJ2523&lt;&gt;"",IF(N($AC2523)&gt;0,"支給済","不支給"),IF($AC2523="","要確認",IF($AC2523=0,"不支給","未処理")))))</f>
        <v/>
      </c>
      <c r="AE2523" s="12" t="n"/>
      <c r="AF2523" s="11" t="n"/>
      <c r="AG2523" s="11" t="n"/>
      <c r="AH2523" s="11" t="n"/>
      <c r="AI2523" s="14">
        <f>IF(AND($AD2523="保留中",$AF2523&lt;&gt;""),TODAY()-$AF2523,"")</f>
        <v/>
      </c>
      <c r="AJ2523" s="12" t="n"/>
      <c r="AK2523" s="14">
        <f>IF($B2523="","",IF($AO2523="","対象年月が未入力／","")&amp;IF($B2523="","",IF($AN2523="","職員マスタに未登録の職員番号／",IF($Y2523="","標準報酬月額が未登録／","")&amp;IF(AND($AO2523&lt;&gt;"",OR(AND(INDEX(職員マスタ!$G$6:$G$405,$AN2523)&lt;&gt;"",INDEX(職員マスタ!$G$6:$G$405,$AN2523)&gt;EOMONTH($AO2523,0)),AND(INDEX(職員マスタ!$H$6:$H$405,$AN2523)&lt;&gt;"",INDEX(職員マスタ!$H$6:$H$405,$AN2523)&lt;$AO2523))),"対象月が時短期間外／","")&amp;IF(AND(INDEX(職員マスタ!$F$6:$F$405,$AN2523)&lt;&gt;"",$AO2523&lt;&gt;"",INDEX(職員マスタ!$F$6:$F$405,$AN2523)&lt;$AO2523),"対象月に子が2歳到達済／","")&amp;IF(AND($H2523&lt;&gt;"",INDEX(職員マスタ!$B$6:$B$405,$AN2523)&lt;&gt;"",SUBSTITUTE(SUBSTITUTE($H2523," ","")," ","")&lt;&gt;SUBSTITUTE(SUBSTITUTE(INDEX(職員マスタ!$B$6:$B$405,$AN2523)," ","")," ","")),"氏名がマスタと相違／","")&amp;IF(AND($Q2523&lt;&gt;"",INDEX(職員マスタ!$E$6:$E$405,$AN2523)&lt;&gt;"",$Q2523&lt;&gt;INDEX(職員マスタ!$E$6:$E$405,$AN2523)),"子の生年月日がマスタと相違／","")&amp;IF(AND($L2523&lt;&gt;"",INDEX(職員マスタ!$G$6:$G$405,$AN2523)&lt;&gt;"",$L2523&lt;&gt;INDEX(職員マスタ!$G$6:$G$405,$AN2523)),"時短開始日がマスタと相違／","")&amp;IF(AND($M2523&lt;&gt;"",INDEX(職員マスタ!$H$6:$H$405,$AN2523)&lt;&gt;"",$M2523&lt;&gt;INDEX(職員マスタ!$H$6:$H$405,$AN2523)),"時短終了日がマスタと相違／","")))&amp;IF(AND($B2523&lt;&gt;"",$E2523=""),"報酬額が未入力／","")&amp;IF(N($U2523)&gt;0,"申請書に入力エラーが残っています／","")&amp;IF(AND($B2523&lt;&gt;"",$AO2523&lt;&gt;""),IF(COUNTIFS($B$6:$B$3005,$B2523,$C$6:$C$3005,$C2523,$D$6:$D$3005,$D2523)&gt;1,"同じ月の請求が重複しています／",""),"")&amp;IF(AND(N($E2523)&gt;0,$Z2523&lt;&gt;"",$Z2523&lt;&gt;"×",$AC2523=0,$AB2523=""),"計算額が下限以下のため不支給／",""))</f>
        <v/>
      </c>
      <c r="AL2523" s="12" t="n"/>
      <c r="AM2523" s="14">
        <f>IF($AD2523="保留中",COUNTIF($AD$6:$AD2523,"保留中"),"")</f>
        <v/>
      </c>
      <c r="AN2523" s="14">
        <f>IF($AO2523="","",IF(SUMPRODUCT(MAX((職員マスタ!$A$6:$A$405=$B2523)*(((職員マスタ!$G$6:$G$405="")+(職員マスタ!$G$6:$G$405&lt;=EOMONTH($AO2523,0)))&gt;0)*(((職員マスタ!$H$6:$H$405="")+(職員マスタ!$H$6:$H$405&gt;=$AO2523))&gt;0)*(ROW(職員マスタ!$A$6:$A$405)-5)))&gt;0,SUMPRODUCT(MAX((職員マスタ!$A$6:$A$405=$B2523)*(((職員マスタ!$G$6:$G$405="")+(職員マスタ!$G$6:$G$405&lt;=EOMONTH($AO2523,0)))&gt;0)*(((職員マスタ!$H$6:$H$405="")+(職員マスタ!$H$6:$H$405&gt;=$AO2523))&gt;0)*(ROW(職員マスタ!$A$6:$A$405)-5))),IFERROR(MATCH($B2523,職員マスタ!$A$6:$A$405,0),"")))</f>
        <v/>
      </c>
      <c r="AO2523" s="16">
        <f>IF(OR($B2523="",$C2523="",$D2523=""),"",DATE($C2523+2018,$D2523,1))</f>
        <v/>
      </c>
    </row>
    <row r="2524">
      <c r="A2524" s="11" t="n"/>
      <c r="B2524" s="12" t="n"/>
      <c r="C2524" s="12" t="n"/>
      <c r="D2524" s="12" t="n"/>
      <c r="E2524" s="13" t="n"/>
      <c r="F2524" s="12" t="n"/>
      <c r="G2524" s="13" t="n"/>
      <c r="H2524" s="12" t="n"/>
      <c r="I2524" s="12" t="n"/>
      <c r="J2524" s="12" t="n"/>
      <c r="K2524" s="12" t="n"/>
      <c r="L2524" s="11" t="n"/>
      <c r="M2524" s="11" t="n"/>
      <c r="N2524" s="11" t="n"/>
      <c r="O2524" s="11" t="n"/>
      <c r="P2524" s="12" t="n"/>
      <c r="Q2524" s="11" t="n"/>
      <c r="R2524" s="12" t="n"/>
      <c r="S2524" s="11" t="n"/>
      <c r="T2524" s="12" t="n"/>
      <c r="U2524" s="12" t="n"/>
      <c r="V2524" s="14">
        <f>IF($AN2524="",IF($B2524="","",$H2524),IF(INDEX(職員マスタ!$B$6:$B$405,$AN2524)="",$H2524,INDEX(職員マスタ!$B$6:$B$405,$AN2524)))</f>
        <v/>
      </c>
      <c r="W2524" s="14">
        <f>IF($AN2524="",IF($B2524="","",$R2524),IF(INDEX(職員マスタ!$C$6:$C$405,$AN2524)="",$R2524,INDEX(職員マスタ!$C$6:$C$405,$AN2524)))</f>
        <v/>
      </c>
      <c r="X2524" s="14">
        <f>IF($AO2524="","","R"&amp;$C2524&amp;"."&amp;$D2524)</f>
        <v/>
      </c>
      <c r="Y2524" s="15">
        <f>IF($AN2524="","",IF(INDEX(職員マスタ!$K$6:$K$405,$AN2524)="","",INDEX(職員マスタ!$K$6:$K$405,$AN2524)))</f>
        <v/>
      </c>
      <c r="Z2524" s="14">
        <f>IF(OR($E2524="",$Y2524=""),"",IF($E2524&gt;=$Y2524,"×",IF($E2524&gt;=$Y2524*設定!$C$5,"△","○")))</f>
        <v/>
      </c>
      <c r="AA2524" s="15">
        <f>IF($Z2524="","",IF($Z2524="×",0,IF($Z2524="○",ROUNDDOWN($E2524*設定!$C$4,0),ROUNDDOWN($E2524*ROUND((9*$Y2524-9*$E2524)/(10*$E2524),4),0))))</f>
        <v/>
      </c>
      <c r="AB2524" s="13" t="n"/>
      <c r="AC2524" s="15">
        <f>IF($B2524="","",IF($AB2524&lt;&gt;"",$AB2524,IF($AA2524="","",IF($AA2524&lt;=設定!$C$3,0,$AA2524))))</f>
        <v/>
      </c>
      <c r="AD2524" s="14">
        <f>IF($B2524="","",IF(AND($AE2524&lt;&gt;"",$AG2524="",$AJ2524=""),"保留中",IF($AJ2524&lt;&gt;"",IF(N($AC2524)&gt;0,"支給済","不支給"),IF($AC2524="","要確認",IF($AC2524=0,"不支給","未処理")))))</f>
        <v/>
      </c>
      <c r="AE2524" s="12" t="n"/>
      <c r="AF2524" s="11" t="n"/>
      <c r="AG2524" s="11" t="n"/>
      <c r="AH2524" s="11" t="n"/>
      <c r="AI2524" s="14">
        <f>IF(AND($AD2524="保留中",$AF2524&lt;&gt;""),TODAY()-$AF2524,"")</f>
        <v/>
      </c>
      <c r="AJ2524" s="12" t="n"/>
      <c r="AK2524" s="14">
        <f>IF($B2524="","",IF($AO2524="","対象年月が未入力／","")&amp;IF($B2524="","",IF($AN2524="","職員マスタに未登録の職員番号／",IF($Y2524="","標準報酬月額が未登録／","")&amp;IF(AND($AO2524&lt;&gt;"",OR(AND(INDEX(職員マスタ!$G$6:$G$405,$AN2524)&lt;&gt;"",INDEX(職員マスタ!$G$6:$G$405,$AN2524)&gt;EOMONTH($AO2524,0)),AND(INDEX(職員マスタ!$H$6:$H$405,$AN2524)&lt;&gt;"",INDEX(職員マスタ!$H$6:$H$405,$AN2524)&lt;$AO2524))),"対象月が時短期間外／","")&amp;IF(AND(INDEX(職員マスタ!$F$6:$F$405,$AN2524)&lt;&gt;"",$AO2524&lt;&gt;"",INDEX(職員マスタ!$F$6:$F$405,$AN2524)&lt;$AO2524),"対象月に子が2歳到達済／","")&amp;IF(AND($H2524&lt;&gt;"",INDEX(職員マスタ!$B$6:$B$405,$AN2524)&lt;&gt;"",SUBSTITUTE(SUBSTITUTE($H2524," ","")," ","")&lt;&gt;SUBSTITUTE(SUBSTITUTE(INDEX(職員マスタ!$B$6:$B$405,$AN2524)," ","")," ","")),"氏名がマスタと相違／","")&amp;IF(AND($Q2524&lt;&gt;"",INDEX(職員マスタ!$E$6:$E$405,$AN2524)&lt;&gt;"",$Q2524&lt;&gt;INDEX(職員マスタ!$E$6:$E$405,$AN2524)),"子の生年月日がマスタと相違／","")&amp;IF(AND($L2524&lt;&gt;"",INDEX(職員マスタ!$G$6:$G$405,$AN2524)&lt;&gt;"",$L2524&lt;&gt;INDEX(職員マスタ!$G$6:$G$405,$AN2524)),"時短開始日がマスタと相違／","")&amp;IF(AND($M2524&lt;&gt;"",INDEX(職員マスタ!$H$6:$H$405,$AN2524)&lt;&gt;"",$M2524&lt;&gt;INDEX(職員マスタ!$H$6:$H$405,$AN2524)),"時短終了日がマスタと相違／","")))&amp;IF(AND($B2524&lt;&gt;"",$E2524=""),"報酬額が未入力／","")&amp;IF(N($U2524)&gt;0,"申請書に入力エラーが残っています／","")&amp;IF(AND($B2524&lt;&gt;"",$AO2524&lt;&gt;""),IF(COUNTIFS($B$6:$B$3005,$B2524,$C$6:$C$3005,$C2524,$D$6:$D$3005,$D2524)&gt;1,"同じ月の請求が重複しています／",""),"")&amp;IF(AND(N($E2524)&gt;0,$Z2524&lt;&gt;"",$Z2524&lt;&gt;"×",$AC2524=0,$AB2524=""),"計算額が下限以下のため不支給／",""))</f>
        <v/>
      </c>
      <c r="AL2524" s="12" t="n"/>
      <c r="AM2524" s="14">
        <f>IF($AD2524="保留中",COUNTIF($AD$6:$AD2524,"保留中"),"")</f>
        <v/>
      </c>
      <c r="AN2524" s="14">
        <f>IF($AO2524="","",IF(SUMPRODUCT(MAX((職員マスタ!$A$6:$A$405=$B2524)*(((職員マスタ!$G$6:$G$405="")+(職員マスタ!$G$6:$G$405&lt;=EOMONTH($AO2524,0)))&gt;0)*(((職員マスタ!$H$6:$H$405="")+(職員マスタ!$H$6:$H$405&gt;=$AO2524))&gt;0)*(ROW(職員マスタ!$A$6:$A$405)-5)))&gt;0,SUMPRODUCT(MAX((職員マスタ!$A$6:$A$405=$B2524)*(((職員マスタ!$G$6:$G$405="")+(職員マスタ!$G$6:$G$405&lt;=EOMONTH($AO2524,0)))&gt;0)*(((職員マスタ!$H$6:$H$405="")+(職員マスタ!$H$6:$H$405&gt;=$AO2524))&gt;0)*(ROW(職員マスタ!$A$6:$A$405)-5))),IFERROR(MATCH($B2524,職員マスタ!$A$6:$A$405,0),"")))</f>
        <v/>
      </c>
      <c r="AO2524" s="16">
        <f>IF(OR($B2524="",$C2524="",$D2524=""),"",DATE($C2524+2018,$D2524,1))</f>
        <v/>
      </c>
    </row>
    <row r="2525">
      <c r="A2525" s="11" t="n"/>
      <c r="B2525" s="12" t="n"/>
      <c r="C2525" s="12" t="n"/>
      <c r="D2525" s="12" t="n"/>
      <c r="E2525" s="13" t="n"/>
      <c r="F2525" s="12" t="n"/>
      <c r="G2525" s="13" t="n"/>
      <c r="H2525" s="12" t="n"/>
      <c r="I2525" s="12" t="n"/>
      <c r="J2525" s="12" t="n"/>
      <c r="K2525" s="12" t="n"/>
      <c r="L2525" s="11" t="n"/>
      <c r="M2525" s="11" t="n"/>
      <c r="N2525" s="11" t="n"/>
      <c r="O2525" s="11" t="n"/>
      <c r="P2525" s="12" t="n"/>
      <c r="Q2525" s="11" t="n"/>
      <c r="R2525" s="12" t="n"/>
      <c r="S2525" s="11" t="n"/>
      <c r="T2525" s="12" t="n"/>
      <c r="U2525" s="12" t="n"/>
      <c r="V2525" s="14">
        <f>IF($AN2525="",IF($B2525="","",$H2525),IF(INDEX(職員マスタ!$B$6:$B$405,$AN2525)="",$H2525,INDEX(職員マスタ!$B$6:$B$405,$AN2525)))</f>
        <v/>
      </c>
      <c r="W2525" s="14">
        <f>IF($AN2525="",IF($B2525="","",$R2525),IF(INDEX(職員マスタ!$C$6:$C$405,$AN2525)="",$R2525,INDEX(職員マスタ!$C$6:$C$405,$AN2525)))</f>
        <v/>
      </c>
      <c r="X2525" s="14">
        <f>IF($AO2525="","","R"&amp;$C2525&amp;"."&amp;$D2525)</f>
        <v/>
      </c>
      <c r="Y2525" s="15">
        <f>IF($AN2525="","",IF(INDEX(職員マスタ!$K$6:$K$405,$AN2525)="","",INDEX(職員マスタ!$K$6:$K$405,$AN2525)))</f>
        <v/>
      </c>
      <c r="Z2525" s="14">
        <f>IF(OR($E2525="",$Y2525=""),"",IF($E2525&gt;=$Y2525,"×",IF($E2525&gt;=$Y2525*設定!$C$5,"△","○")))</f>
        <v/>
      </c>
      <c r="AA2525" s="15">
        <f>IF($Z2525="","",IF($Z2525="×",0,IF($Z2525="○",ROUNDDOWN($E2525*設定!$C$4,0),ROUNDDOWN($E2525*ROUND((9*$Y2525-9*$E2525)/(10*$E2525),4),0))))</f>
        <v/>
      </c>
      <c r="AB2525" s="13" t="n"/>
      <c r="AC2525" s="15">
        <f>IF($B2525="","",IF($AB2525&lt;&gt;"",$AB2525,IF($AA2525="","",IF($AA2525&lt;=設定!$C$3,0,$AA2525))))</f>
        <v/>
      </c>
      <c r="AD2525" s="14">
        <f>IF($B2525="","",IF(AND($AE2525&lt;&gt;"",$AG2525="",$AJ2525=""),"保留中",IF($AJ2525&lt;&gt;"",IF(N($AC2525)&gt;0,"支給済","不支給"),IF($AC2525="","要確認",IF($AC2525=0,"不支給","未処理")))))</f>
        <v/>
      </c>
      <c r="AE2525" s="12" t="n"/>
      <c r="AF2525" s="11" t="n"/>
      <c r="AG2525" s="11" t="n"/>
      <c r="AH2525" s="11" t="n"/>
      <c r="AI2525" s="14">
        <f>IF(AND($AD2525="保留中",$AF2525&lt;&gt;""),TODAY()-$AF2525,"")</f>
        <v/>
      </c>
      <c r="AJ2525" s="12" t="n"/>
      <c r="AK2525" s="14">
        <f>IF($B2525="","",IF($AO2525="","対象年月が未入力／","")&amp;IF($B2525="","",IF($AN2525="","職員マスタに未登録の職員番号／",IF($Y2525="","標準報酬月額が未登録／","")&amp;IF(AND($AO2525&lt;&gt;"",OR(AND(INDEX(職員マスタ!$G$6:$G$405,$AN2525)&lt;&gt;"",INDEX(職員マスタ!$G$6:$G$405,$AN2525)&gt;EOMONTH($AO2525,0)),AND(INDEX(職員マスタ!$H$6:$H$405,$AN2525)&lt;&gt;"",INDEX(職員マスタ!$H$6:$H$405,$AN2525)&lt;$AO2525))),"対象月が時短期間外／","")&amp;IF(AND(INDEX(職員マスタ!$F$6:$F$405,$AN2525)&lt;&gt;"",$AO2525&lt;&gt;"",INDEX(職員マスタ!$F$6:$F$405,$AN2525)&lt;$AO2525),"対象月に子が2歳到達済／","")&amp;IF(AND($H2525&lt;&gt;"",INDEX(職員マスタ!$B$6:$B$405,$AN2525)&lt;&gt;"",SUBSTITUTE(SUBSTITUTE($H2525," ","")," ","")&lt;&gt;SUBSTITUTE(SUBSTITUTE(INDEX(職員マスタ!$B$6:$B$405,$AN2525)," ","")," ","")),"氏名がマスタと相違／","")&amp;IF(AND($Q2525&lt;&gt;"",INDEX(職員マスタ!$E$6:$E$405,$AN2525)&lt;&gt;"",$Q2525&lt;&gt;INDEX(職員マスタ!$E$6:$E$405,$AN2525)),"子の生年月日がマスタと相違／","")&amp;IF(AND($L2525&lt;&gt;"",INDEX(職員マスタ!$G$6:$G$405,$AN2525)&lt;&gt;"",$L2525&lt;&gt;INDEX(職員マスタ!$G$6:$G$405,$AN2525)),"時短開始日がマスタと相違／","")&amp;IF(AND($M2525&lt;&gt;"",INDEX(職員マスタ!$H$6:$H$405,$AN2525)&lt;&gt;"",$M2525&lt;&gt;INDEX(職員マスタ!$H$6:$H$405,$AN2525)),"時短終了日がマスタと相違／","")))&amp;IF(AND($B2525&lt;&gt;"",$E2525=""),"報酬額が未入力／","")&amp;IF(N($U2525)&gt;0,"申請書に入力エラーが残っています／","")&amp;IF(AND($B2525&lt;&gt;"",$AO2525&lt;&gt;""),IF(COUNTIFS($B$6:$B$3005,$B2525,$C$6:$C$3005,$C2525,$D$6:$D$3005,$D2525)&gt;1,"同じ月の請求が重複しています／",""),"")&amp;IF(AND(N($E2525)&gt;0,$Z2525&lt;&gt;"",$Z2525&lt;&gt;"×",$AC2525=0,$AB2525=""),"計算額が下限以下のため不支給／",""))</f>
        <v/>
      </c>
      <c r="AL2525" s="12" t="n"/>
      <c r="AM2525" s="14">
        <f>IF($AD2525="保留中",COUNTIF($AD$6:$AD2525,"保留中"),"")</f>
        <v/>
      </c>
      <c r="AN2525" s="14">
        <f>IF($AO2525="","",IF(SUMPRODUCT(MAX((職員マスタ!$A$6:$A$405=$B2525)*(((職員マスタ!$G$6:$G$405="")+(職員マスタ!$G$6:$G$405&lt;=EOMONTH($AO2525,0)))&gt;0)*(((職員マスタ!$H$6:$H$405="")+(職員マスタ!$H$6:$H$405&gt;=$AO2525))&gt;0)*(ROW(職員マスタ!$A$6:$A$405)-5)))&gt;0,SUMPRODUCT(MAX((職員マスタ!$A$6:$A$405=$B2525)*(((職員マスタ!$G$6:$G$405="")+(職員マスタ!$G$6:$G$405&lt;=EOMONTH($AO2525,0)))&gt;0)*(((職員マスタ!$H$6:$H$405="")+(職員マスタ!$H$6:$H$405&gt;=$AO2525))&gt;0)*(ROW(職員マスタ!$A$6:$A$405)-5))),IFERROR(MATCH($B2525,職員マスタ!$A$6:$A$405,0),"")))</f>
        <v/>
      </c>
      <c r="AO2525" s="16">
        <f>IF(OR($B2525="",$C2525="",$D2525=""),"",DATE($C2525+2018,$D2525,1))</f>
        <v/>
      </c>
    </row>
    <row r="2526">
      <c r="A2526" s="11" t="n"/>
      <c r="B2526" s="12" t="n"/>
      <c r="C2526" s="12" t="n"/>
      <c r="D2526" s="12" t="n"/>
      <c r="E2526" s="13" t="n"/>
      <c r="F2526" s="12" t="n"/>
      <c r="G2526" s="13" t="n"/>
      <c r="H2526" s="12" t="n"/>
      <c r="I2526" s="12" t="n"/>
      <c r="J2526" s="12" t="n"/>
      <c r="K2526" s="12" t="n"/>
      <c r="L2526" s="11" t="n"/>
      <c r="M2526" s="11" t="n"/>
      <c r="N2526" s="11" t="n"/>
      <c r="O2526" s="11" t="n"/>
      <c r="P2526" s="12" t="n"/>
      <c r="Q2526" s="11" t="n"/>
      <c r="R2526" s="12" t="n"/>
      <c r="S2526" s="11" t="n"/>
      <c r="T2526" s="12" t="n"/>
      <c r="U2526" s="12" t="n"/>
      <c r="V2526" s="14">
        <f>IF($AN2526="",IF($B2526="","",$H2526),IF(INDEX(職員マスタ!$B$6:$B$405,$AN2526)="",$H2526,INDEX(職員マスタ!$B$6:$B$405,$AN2526)))</f>
        <v/>
      </c>
      <c r="W2526" s="14">
        <f>IF($AN2526="",IF($B2526="","",$R2526),IF(INDEX(職員マスタ!$C$6:$C$405,$AN2526)="",$R2526,INDEX(職員マスタ!$C$6:$C$405,$AN2526)))</f>
        <v/>
      </c>
      <c r="X2526" s="14">
        <f>IF($AO2526="","","R"&amp;$C2526&amp;"."&amp;$D2526)</f>
        <v/>
      </c>
      <c r="Y2526" s="15">
        <f>IF($AN2526="","",IF(INDEX(職員マスタ!$K$6:$K$405,$AN2526)="","",INDEX(職員マスタ!$K$6:$K$405,$AN2526)))</f>
        <v/>
      </c>
      <c r="Z2526" s="14">
        <f>IF(OR($E2526="",$Y2526=""),"",IF($E2526&gt;=$Y2526,"×",IF($E2526&gt;=$Y2526*設定!$C$5,"△","○")))</f>
        <v/>
      </c>
      <c r="AA2526" s="15">
        <f>IF($Z2526="","",IF($Z2526="×",0,IF($Z2526="○",ROUNDDOWN($E2526*設定!$C$4,0),ROUNDDOWN($E2526*ROUND((9*$Y2526-9*$E2526)/(10*$E2526),4),0))))</f>
        <v/>
      </c>
      <c r="AB2526" s="13" t="n"/>
      <c r="AC2526" s="15">
        <f>IF($B2526="","",IF($AB2526&lt;&gt;"",$AB2526,IF($AA2526="","",IF($AA2526&lt;=設定!$C$3,0,$AA2526))))</f>
        <v/>
      </c>
      <c r="AD2526" s="14">
        <f>IF($B2526="","",IF(AND($AE2526&lt;&gt;"",$AG2526="",$AJ2526=""),"保留中",IF($AJ2526&lt;&gt;"",IF(N($AC2526)&gt;0,"支給済","不支給"),IF($AC2526="","要確認",IF($AC2526=0,"不支給","未処理")))))</f>
        <v/>
      </c>
      <c r="AE2526" s="12" t="n"/>
      <c r="AF2526" s="11" t="n"/>
      <c r="AG2526" s="11" t="n"/>
      <c r="AH2526" s="11" t="n"/>
      <c r="AI2526" s="14">
        <f>IF(AND($AD2526="保留中",$AF2526&lt;&gt;""),TODAY()-$AF2526,"")</f>
        <v/>
      </c>
      <c r="AJ2526" s="12" t="n"/>
      <c r="AK2526" s="14">
        <f>IF($B2526="","",IF($AO2526="","対象年月が未入力／","")&amp;IF($B2526="","",IF($AN2526="","職員マスタに未登録の職員番号／",IF($Y2526="","標準報酬月額が未登録／","")&amp;IF(AND($AO2526&lt;&gt;"",OR(AND(INDEX(職員マスタ!$G$6:$G$405,$AN2526)&lt;&gt;"",INDEX(職員マスタ!$G$6:$G$405,$AN2526)&gt;EOMONTH($AO2526,0)),AND(INDEX(職員マスタ!$H$6:$H$405,$AN2526)&lt;&gt;"",INDEX(職員マスタ!$H$6:$H$405,$AN2526)&lt;$AO2526))),"対象月が時短期間外／","")&amp;IF(AND(INDEX(職員マスタ!$F$6:$F$405,$AN2526)&lt;&gt;"",$AO2526&lt;&gt;"",INDEX(職員マスタ!$F$6:$F$405,$AN2526)&lt;$AO2526),"対象月に子が2歳到達済／","")&amp;IF(AND($H2526&lt;&gt;"",INDEX(職員マスタ!$B$6:$B$405,$AN2526)&lt;&gt;"",SUBSTITUTE(SUBSTITUTE($H2526," ","")," ","")&lt;&gt;SUBSTITUTE(SUBSTITUTE(INDEX(職員マスタ!$B$6:$B$405,$AN2526)," ","")," ","")),"氏名がマスタと相違／","")&amp;IF(AND($Q2526&lt;&gt;"",INDEX(職員マスタ!$E$6:$E$405,$AN2526)&lt;&gt;"",$Q2526&lt;&gt;INDEX(職員マスタ!$E$6:$E$405,$AN2526)),"子の生年月日がマスタと相違／","")&amp;IF(AND($L2526&lt;&gt;"",INDEX(職員マスタ!$G$6:$G$405,$AN2526)&lt;&gt;"",$L2526&lt;&gt;INDEX(職員マスタ!$G$6:$G$405,$AN2526)),"時短開始日がマスタと相違／","")&amp;IF(AND($M2526&lt;&gt;"",INDEX(職員マスタ!$H$6:$H$405,$AN2526)&lt;&gt;"",$M2526&lt;&gt;INDEX(職員マスタ!$H$6:$H$405,$AN2526)),"時短終了日がマスタと相違／","")))&amp;IF(AND($B2526&lt;&gt;"",$E2526=""),"報酬額が未入力／","")&amp;IF(N($U2526)&gt;0,"申請書に入力エラーが残っています／","")&amp;IF(AND($B2526&lt;&gt;"",$AO2526&lt;&gt;""),IF(COUNTIFS($B$6:$B$3005,$B2526,$C$6:$C$3005,$C2526,$D$6:$D$3005,$D2526)&gt;1,"同じ月の請求が重複しています／",""),"")&amp;IF(AND(N($E2526)&gt;0,$Z2526&lt;&gt;"",$Z2526&lt;&gt;"×",$AC2526=0,$AB2526=""),"計算額が下限以下のため不支給／",""))</f>
        <v/>
      </c>
      <c r="AL2526" s="12" t="n"/>
      <c r="AM2526" s="14">
        <f>IF($AD2526="保留中",COUNTIF($AD$6:$AD2526,"保留中"),"")</f>
        <v/>
      </c>
      <c r="AN2526" s="14">
        <f>IF($AO2526="","",IF(SUMPRODUCT(MAX((職員マスタ!$A$6:$A$405=$B2526)*(((職員マスタ!$G$6:$G$405="")+(職員マスタ!$G$6:$G$405&lt;=EOMONTH($AO2526,0)))&gt;0)*(((職員マスタ!$H$6:$H$405="")+(職員マスタ!$H$6:$H$405&gt;=$AO2526))&gt;0)*(ROW(職員マスタ!$A$6:$A$405)-5)))&gt;0,SUMPRODUCT(MAX((職員マスタ!$A$6:$A$405=$B2526)*(((職員マスタ!$G$6:$G$405="")+(職員マスタ!$G$6:$G$405&lt;=EOMONTH($AO2526,0)))&gt;0)*(((職員マスタ!$H$6:$H$405="")+(職員マスタ!$H$6:$H$405&gt;=$AO2526))&gt;0)*(ROW(職員マスタ!$A$6:$A$405)-5))),IFERROR(MATCH($B2526,職員マスタ!$A$6:$A$405,0),"")))</f>
        <v/>
      </c>
      <c r="AO2526" s="16">
        <f>IF(OR($B2526="",$C2526="",$D2526=""),"",DATE($C2526+2018,$D2526,1))</f>
        <v/>
      </c>
    </row>
    <row r="2527">
      <c r="A2527" s="11" t="n"/>
      <c r="B2527" s="12" t="n"/>
      <c r="C2527" s="12" t="n"/>
      <c r="D2527" s="12" t="n"/>
      <c r="E2527" s="13" t="n"/>
      <c r="F2527" s="12" t="n"/>
      <c r="G2527" s="13" t="n"/>
      <c r="H2527" s="12" t="n"/>
      <c r="I2527" s="12" t="n"/>
      <c r="J2527" s="12" t="n"/>
      <c r="K2527" s="12" t="n"/>
      <c r="L2527" s="11" t="n"/>
      <c r="M2527" s="11" t="n"/>
      <c r="N2527" s="11" t="n"/>
      <c r="O2527" s="11" t="n"/>
      <c r="P2527" s="12" t="n"/>
      <c r="Q2527" s="11" t="n"/>
      <c r="R2527" s="12" t="n"/>
      <c r="S2527" s="11" t="n"/>
      <c r="T2527" s="12" t="n"/>
      <c r="U2527" s="12" t="n"/>
      <c r="V2527" s="14">
        <f>IF($AN2527="",IF($B2527="","",$H2527),IF(INDEX(職員マスタ!$B$6:$B$405,$AN2527)="",$H2527,INDEX(職員マスタ!$B$6:$B$405,$AN2527)))</f>
        <v/>
      </c>
      <c r="W2527" s="14">
        <f>IF($AN2527="",IF($B2527="","",$R2527),IF(INDEX(職員マスタ!$C$6:$C$405,$AN2527)="",$R2527,INDEX(職員マスタ!$C$6:$C$405,$AN2527)))</f>
        <v/>
      </c>
      <c r="X2527" s="14">
        <f>IF($AO2527="","","R"&amp;$C2527&amp;"."&amp;$D2527)</f>
        <v/>
      </c>
      <c r="Y2527" s="15">
        <f>IF($AN2527="","",IF(INDEX(職員マスタ!$K$6:$K$405,$AN2527)="","",INDEX(職員マスタ!$K$6:$K$405,$AN2527)))</f>
        <v/>
      </c>
      <c r="Z2527" s="14">
        <f>IF(OR($E2527="",$Y2527=""),"",IF($E2527&gt;=$Y2527,"×",IF($E2527&gt;=$Y2527*設定!$C$5,"△","○")))</f>
        <v/>
      </c>
      <c r="AA2527" s="15">
        <f>IF($Z2527="","",IF($Z2527="×",0,IF($Z2527="○",ROUNDDOWN($E2527*設定!$C$4,0),ROUNDDOWN($E2527*ROUND((9*$Y2527-9*$E2527)/(10*$E2527),4),0))))</f>
        <v/>
      </c>
      <c r="AB2527" s="13" t="n"/>
      <c r="AC2527" s="15">
        <f>IF($B2527="","",IF($AB2527&lt;&gt;"",$AB2527,IF($AA2527="","",IF($AA2527&lt;=設定!$C$3,0,$AA2527))))</f>
        <v/>
      </c>
      <c r="AD2527" s="14">
        <f>IF($B2527="","",IF(AND($AE2527&lt;&gt;"",$AG2527="",$AJ2527=""),"保留中",IF($AJ2527&lt;&gt;"",IF(N($AC2527)&gt;0,"支給済","不支給"),IF($AC2527="","要確認",IF($AC2527=0,"不支給","未処理")))))</f>
        <v/>
      </c>
      <c r="AE2527" s="12" t="n"/>
      <c r="AF2527" s="11" t="n"/>
      <c r="AG2527" s="11" t="n"/>
      <c r="AH2527" s="11" t="n"/>
      <c r="AI2527" s="14">
        <f>IF(AND($AD2527="保留中",$AF2527&lt;&gt;""),TODAY()-$AF2527,"")</f>
        <v/>
      </c>
      <c r="AJ2527" s="12" t="n"/>
      <c r="AK2527" s="14">
        <f>IF($B2527="","",IF($AO2527="","対象年月が未入力／","")&amp;IF($B2527="","",IF($AN2527="","職員マスタに未登録の職員番号／",IF($Y2527="","標準報酬月額が未登録／","")&amp;IF(AND($AO2527&lt;&gt;"",OR(AND(INDEX(職員マスタ!$G$6:$G$405,$AN2527)&lt;&gt;"",INDEX(職員マスタ!$G$6:$G$405,$AN2527)&gt;EOMONTH($AO2527,0)),AND(INDEX(職員マスタ!$H$6:$H$405,$AN2527)&lt;&gt;"",INDEX(職員マスタ!$H$6:$H$405,$AN2527)&lt;$AO2527))),"対象月が時短期間外／","")&amp;IF(AND(INDEX(職員マスタ!$F$6:$F$405,$AN2527)&lt;&gt;"",$AO2527&lt;&gt;"",INDEX(職員マスタ!$F$6:$F$405,$AN2527)&lt;$AO2527),"対象月に子が2歳到達済／","")&amp;IF(AND($H2527&lt;&gt;"",INDEX(職員マスタ!$B$6:$B$405,$AN2527)&lt;&gt;"",SUBSTITUTE(SUBSTITUTE($H2527," ","")," ","")&lt;&gt;SUBSTITUTE(SUBSTITUTE(INDEX(職員マスタ!$B$6:$B$405,$AN2527)," ","")," ","")),"氏名がマスタと相違／","")&amp;IF(AND($Q2527&lt;&gt;"",INDEX(職員マスタ!$E$6:$E$405,$AN2527)&lt;&gt;"",$Q2527&lt;&gt;INDEX(職員マスタ!$E$6:$E$405,$AN2527)),"子の生年月日がマスタと相違／","")&amp;IF(AND($L2527&lt;&gt;"",INDEX(職員マスタ!$G$6:$G$405,$AN2527)&lt;&gt;"",$L2527&lt;&gt;INDEX(職員マスタ!$G$6:$G$405,$AN2527)),"時短開始日がマスタと相違／","")&amp;IF(AND($M2527&lt;&gt;"",INDEX(職員マスタ!$H$6:$H$405,$AN2527)&lt;&gt;"",$M2527&lt;&gt;INDEX(職員マスタ!$H$6:$H$405,$AN2527)),"時短終了日がマスタと相違／","")))&amp;IF(AND($B2527&lt;&gt;"",$E2527=""),"報酬額が未入力／","")&amp;IF(N($U2527)&gt;0,"申請書に入力エラーが残っています／","")&amp;IF(AND($B2527&lt;&gt;"",$AO2527&lt;&gt;""),IF(COUNTIFS($B$6:$B$3005,$B2527,$C$6:$C$3005,$C2527,$D$6:$D$3005,$D2527)&gt;1,"同じ月の請求が重複しています／",""),"")&amp;IF(AND(N($E2527)&gt;0,$Z2527&lt;&gt;"",$Z2527&lt;&gt;"×",$AC2527=0,$AB2527=""),"計算額が下限以下のため不支給／",""))</f>
        <v/>
      </c>
      <c r="AL2527" s="12" t="n"/>
      <c r="AM2527" s="14">
        <f>IF($AD2527="保留中",COUNTIF($AD$6:$AD2527,"保留中"),"")</f>
        <v/>
      </c>
      <c r="AN2527" s="14">
        <f>IF($AO2527="","",IF(SUMPRODUCT(MAX((職員マスタ!$A$6:$A$405=$B2527)*(((職員マスタ!$G$6:$G$405="")+(職員マスタ!$G$6:$G$405&lt;=EOMONTH($AO2527,0)))&gt;0)*(((職員マスタ!$H$6:$H$405="")+(職員マスタ!$H$6:$H$405&gt;=$AO2527))&gt;0)*(ROW(職員マスタ!$A$6:$A$405)-5)))&gt;0,SUMPRODUCT(MAX((職員マスタ!$A$6:$A$405=$B2527)*(((職員マスタ!$G$6:$G$405="")+(職員マスタ!$G$6:$G$405&lt;=EOMONTH($AO2527,0)))&gt;0)*(((職員マスタ!$H$6:$H$405="")+(職員マスタ!$H$6:$H$405&gt;=$AO2527))&gt;0)*(ROW(職員マスタ!$A$6:$A$405)-5))),IFERROR(MATCH($B2527,職員マスタ!$A$6:$A$405,0),"")))</f>
        <v/>
      </c>
      <c r="AO2527" s="16">
        <f>IF(OR($B2527="",$C2527="",$D2527=""),"",DATE($C2527+2018,$D2527,1))</f>
        <v/>
      </c>
    </row>
    <row r="2528">
      <c r="A2528" s="11" t="n"/>
      <c r="B2528" s="12" t="n"/>
      <c r="C2528" s="12" t="n"/>
      <c r="D2528" s="12" t="n"/>
      <c r="E2528" s="13" t="n"/>
      <c r="F2528" s="12" t="n"/>
      <c r="G2528" s="13" t="n"/>
      <c r="H2528" s="12" t="n"/>
      <c r="I2528" s="12" t="n"/>
      <c r="J2528" s="12" t="n"/>
      <c r="K2528" s="12" t="n"/>
      <c r="L2528" s="11" t="n"/>
      <c r="M2528" s="11" t="n"/>
      <c r="N2528" s="11" t="n"/>
      <c r="O2528" s="11" t="n"/>
      <c r="P2528" s="12" t="n"/>
      <c r="Q2528" s="11" t="n"/>
      <c r="R2528" s="12" t="n"/>
      <c r="S2528" s="11" t="n"/>
      <c r="T2528" s="12" t="n"/>
      <c r="U2528" s="12" t="n"/>
      <c r="V2528" s="14">
        <f>IF($AN2528="",IF($B2528="","",$H2528),IF(INDEX(職員マスタ!$B$6:$B$405,$AN2528)="",$H2528,INDEX(職員マスタ!$B$6:$B$405,$AN2528)))</f>
        <v/>
      </c>
      <c r="W2528" s="14">
        <f>IF($AN2528="",IF($B2528="","",$R2528),IF(INDEX(職員マスタ!$C$6:$C$405,$AN2528)="",$R2528,INDEX(職員マスタ!$C$6:$C$405,$AN2528)))</f>
        <v/>
      </c>
      <c r="X2528" s="14">
        <f>IF($AO2528="","","R"&amp;$C2528&amp;"."&amp;$D2528)</f>
        <v/>
      </c>
      <c r="Y2528" s="15">
        <f>IF($AN2528="","",IF(INDEX(職員マスタ!$K$6:$K$405,$AN2528)="","",INDEX(職員マスタ!$K$6:$K$405,$AN2528)))</f>
        <v/>
      </c>
      <c r="Z2528" s="14">
        <f>IF(OR($E2528="",$Y2528=""),"",IF($E2528&gt;=$Y2528,"×",IF($E2528&gt;=$Y2528*設定!$C$5,"△","○")))</f>
        <v/>
      </c>
      <c r="AA2528" s="15">
        <f>IF($Z2528="","",IF($Z2528="×",0,IF($Z2528="○",ROUNDDOWN($E2528*設定!$C$4,0),ROUNDDOWN($E2528*ROUND((9*$Y2528-9*$E2528)/(10*$E2528),4),0))))</f>
        <v/>
      </c>
      <c r="AB2528" s="13" t="n"/>
      <c r="AC2528" s="15">
        <f>IF($B2528="","",IF($AB2528&lt;&gt;"",$AB2528,IF($AA2528="","",IF($AA2528&lt;=設定!$C$3,0,$AA2528))))</f>
        <v/>
      </c>
      <c r="AD2528" s="14">
        <f>IF($B2528="","",IF(AND($AE2528&lt;&gt;"",$AG2528="",$AJ2528=""),"保留中",IF($AJ2528&lt;&gt;"",IF(N($AC2528)&gt;0,"支給済","不支給"),IF($AC2528="","要確認",IF($AC2528=0,"不支給","未処理")))))</f>
        <v/>
      </c>
      <c r="AE2528" s="12" t="n"/>
      <c r="AF2528" s="11" t="n"/>
      <c r="AG2528" s="11" t="n"/>
      <c r="AH2528" s="11" t="n"/>
      <c r="AI2528" s="14">
        <f>IF(AND($AD2528="保留中",$AF2528&lt;&gt;""),TODAY()-$AF2528,"")</f>
        <v/>
      </c>
      <c r="AJ2528" s="12" t="n"/>
      <c r="AK2528" s="14">
        <f>IF($B2528="","",IF($AO2528="","対象年月が未入力／","")&amp;IF($B2528="","",IF($AN2528="","職員マスタに未登録の職員番号／",IF($Y2528="","標準報酬月額が未登録／","")&amp;IF(AND($AO2528&lt;&gt;"",OR(AND(INDEX(職員マスタ!$G$6:$G$405,$AN2528)&lt;&gt;"",INDEX(職員マスタ!$G$6:$G$405,$AN2528)&gt;EOMONTH($AO2528,0)),AND(INDEX(職員マスタ!$H$6:$H$405,$AN2528)&lt;&gt;"",INDEX(職員マスタ!$H$6:$H$405,$AN2528)&lt;$AO2528))),"対象月が時短期間外／","")&amp;IF(AND(INDEX(職員マスタ!$F$6:$F$405,$AN2528)&lt;&gt;"",$AO2528&lt;&gt;"",INDEX(職員マスタ!$F$6:$F$405,$AN2528)&lt;$AO2528),"対象月に子が2歳到達済／","")&amp;IF(AND($H2528&lt;&gt;"",INDEX(職員マスタ!$B$6:$B$405,$AN2528)&lt;&gt;"",SUBSTITUTE(SUBSTITUTE($H2528," ","")," ","")&lt;&gt;SUBSTITUTE(SUBSTITUTE(INDEX(職員マスタ!$B$6:$B$405,$AN2528)," ","")," ","")),"氏名がマスタと相違／","")&amp;IF(AND($Q2528&lt;&gt;"",INDEX(職員マスタ!$E$6:$E$405,$AN2528)&lt;&gt;"",$Q2528&lt;&gt;INDEX(職員マスタ!$E$6:$E$405,$AN2528)),"子の生年月日がマスタと相違／","")&amp;IF(AND($L2528&lt;&gt;"",INDEX(職員マスタ!$G$6:$G$405,$AN2528)&lt;&gt;"",$L2528&lt;&gt;INDEX(職員マスタ!$G$6:$G$405,$AN2528)),"時短開始日がマスタと相違／","")&amp;IF(AND($M2528&lt;&gt;"",INDEX(職員マスタ!$H$6:$H$405,$AN2528)&lt;&gt;"",$M2528&lt;&gt;INDEX(職員マスタ!$H$6:$H$405,$AN2528)),"時短終了日がマスタと相違／","")))&amp;IF(AND($B2528&lt;&gt;"",$E2528=""),"報酬額が未入力／","")&amp;IF(N($U2528)&gt;0,"申請書に入力エラーが残っています／","")&amp;IF(AND($B2528&lt;&gt;"",$AO2528&lt;&gt;""),IF(COUNTIFS($B$6:$B$3005,$B2528,$C$6:$C$3005,$C2528,$D$6:$D$3005,$D2528)&gt;1,"同じ月の請求が重複しています／",""),"")&amp;IF(AND(N($E2528)&gt;0,$Z2528&lt;&gt;"",$Z2528&lt;&gt;"×",$AC2528=0,$AB2528=""),"計算額が下限以下のため不支給／",""))</f>
        <v/>
      </c>
      <c r="AL2528" s="12" t="n"/>
      <c r="AM2528" s="14">
        <f>IF($AD2528="保留中",COUNTIF($AD$6:$AD2528,"保留中"),"")</f>
        <v/>
      </c>
      <c r="AN2528" s="14">
        <f>IF($AO2528="","",IF(SUMPRODUCT(MAX((職員マスタ!$A$6:$A$405=$B2528)*(((職員マスタ!$G$6:$G$405="")+(職員マスタ!$G$6:$G$405&lt;=EOMONTH($AO2528,0)))&gt;0)*(((職員マスタ!$H$6:$H$405="")+(職員マスタ!$H$6:$H$405&gt;=$AO2528))&gt;0)*(ROW(職員マスタ!$A$6:$A$405)-5)))&gt;0,SUMPRODUCT(MAX((職員マスタ!$A$6:$A$405=$B2528)*(((職員マスタ!$G$6:$G$405="")+(職員マスタ!$G$6:$G$405&lt;=EOMONTH($AO2528,0)))&gt;0)*(((職員マスタ!$H$6:$H$405="")+(職員マスタ!$H$6:$H$405&gt;=$AO2528))&gt;0)*(ROW(職員マスタ!$A$6:$A$405)-5))),IFERROR(MATCH($B2528,職員マスタ!$A$6:$A$405,0),"")))</f>
        <v/>
      </c>
      <c r="AO2528" s="16">
        <f>IF(OR($B2528="",$C2528="",$D2528=""),"",DATE($C2528+2018,$D2528,1))</f>
        <v/>
      </c>
    </row>
    <row r="2529">
      <c r="A2529" s="11" t="n"/>
      <c r="B2529" s="12" t="n"/>
      <c r="C2529" s="12" t="n"/>
      <c r="D2529" s="12" t="n"/>
      <c r="E2529" s="13" t="n"/>
      <c r="F2529" s="12" t="n"/>
      <c r="G2529" s="13" t="n"/>
      <c r="H2529" s="12" t="n"/>
      <c r="I2529" s="12" t="n"/>
      <c r="J2529" s="12" t="n"/>
      <c r="K2529" s="12" t="n"/>
      <c r="L2529" s="11" t="n"/>
      <c r="M2529" s="11" t="n"/>
      <c r="N2529" s="11" t="n"/>
      <c r="O2529" s="11" t="n"/>
      <c r="P2529" s="12" t="n"/>
      <c r="Q2529" s="11" t="n"/>
      <c r="R2529" s="12" t="n"/>
      <c r="S2529" s="11" t="n"/>
      <c r="T2529" s="12" t="n"/>
      <c r="U2529" s="12" t="n"/>
      <c r="V2529" s="14">
        <f>IF($AN2529="",IF($B2529="","",$H2529),IF(INDEX(職員マスタ!$B$6:$B$405,$AN2529)="",$H2529,INDEX(職員マスタ!$B$6:$B$405,$AN2529)))</f>
        <v/>
      </c>
      <c r="W2529" s="14">
        <f>IF($AN2529="",IF($B2529="","",$R2529),IF(INDEX(職員マスタ!$C$6:$C$405,$AN2529)="",$R2529,INDEX(職員マスタ!$C$6:$C$405,$AN2529)))</f>
        <v/>
      </c>
      <c r="X2529" s="14">
        <f>IF($AO2529="","","R"&amp;$C2529&amp;"."&amp;$D2529)</f>
        <v/>
      </c>
      <c r="Y2529" s="15">
        <f>IF($AN2529="","",IF(INDEX(職員マスタ!$K$6:$K$405,$AN2529)="","",INDEX(職員マスタ!$K$6:$K$405,$AN2529)))</f>
        <v/>
      </c>
      <c r="Z2529" s="14">
        <f>IF(OR($E2529="",$Y2529=""),"",IF($E2529&gt;=$Y2529,"×",IF($E2529&gt;=$Y2529*設定!$C$5,"△","○")))</f>
        <v/>
      </c>
      <c r="AA2529" s="15">
        <f>IF($Z2529="","",IF($Z2529="×",0,IF($Z2529="○",ROUNDDOWN($E2529*設定!$C$4,0),ROUNDDOWN($E2529*ROUND((9*$Y2529-9*$E2529)/(10*$E2529),4),0))))</f>
        <v/>
      </c>
      <c r="AB2529" s="13" t="n"/>
      <c r="AC2529" s="15">
        <f>IF($B2529="","",IF($AB2529&lt;&gt;"",$AB2529,IF($AA2529="","",IF($AA2529&lt;=設定!$C$3,0,$AA2529))))</f>
        <v/>
      </c>
      <c r="AD2529" s="14">
        <f>IF($B2529="","",IF(AND($AE2529&lt;&gt;"",$AG2529="",$AJ2529=""),"保留中",IF($AJ2529&lt;&gt;"",IF(N($AC2529)&gt;0,"支給済","不支給"),IF($AC2529="","要確認",IF($AC2529=0,"不支給","未処理")))))</f>
        <v/>
      </c>
      <c r="AE2529" s="12" t="n"/>
      <c r="AF2529" s="11" t="n"/>
      <c r="AG2529" s="11" t="n"/>
      <c r="AH2529" s="11" t="n"/>
      <c r="AI2529" s="14">
        <f>IF(AND($AD2529="保留中",$AF2529&lt;&gt;""),TODAY()-$AF2529,"")</f>
        <v/>
      </c>
      <c r="AJ2529" s="12" t="n"/>
      <c r="AK2529" s="14">
        <f>IF($B2529="","",IF($AO2529="","対象年月が未入力／","")&amp;IF($B2529="","",IF($AN2529="","職員マスタに未登録の職員番号／",IF($Y2529="","標準報酬月額が未登録／","")&amp;IF(AND($AO2529&lt;&gt;"",OR(AND(INDEX(職員マスタ!$G$6:$G$405,$AN2529)&lt;&gt;"",INDEX(職員マスタ!$G$6:$G$405,$AN2529)&gt;EOMONTH($AO2529,0)),AND(INDEX(職員マスタ!$H$6:$H$405,$AN2529)&lt;&gt;"",INDEX(職員マスタ!$H$6:$H$405,$AN2529)&lt;$AO2529))),"対象月が時短期間外／","")&amp;IF(AND(INDEX(職員マスタ!$F$6:$F$405,$AN2529)&lt;&gt;"",$AO2529&lt;&gt;"",INDEX(職員マスタ!$F$6:$F$405,$AN2529)&lt;$AO2529),"対象月に子が2歳到達済／","")&amp;IF(AND($H2529&lt;&gt;"",INDEX(職員マスタ!$B$6:$B$405,$AN2529)&lt;&gt;"",SUBSTITUTE(SUBSTITUTE($H2529," ","")," ","")&lt;&gt;SUBSTITUTE(SUBSTITUTE(INDEX(職員マスタ!$B$6:$B$405,$AN2529)," ","")," ","")),"氏名がマスタと相違／","")&amp;IF(AND($Q2529&lt;&gt;"",INDEX(職員マスタ!$E$6:$E$405,$AN2529)&lt;&gt;"",$Q2529&lt;&gt;INDEX(職員マスタ!$E$6:$E$405,$AN2529)),"子の生年月日がマスタと相違／","")&amp;IF(AND($L2529&lt;&gt;"",INDEX(職員マスタ!$G$6:$G$405,$AN2529)&lt;&gt;"",$L2529&lt;&gt;INDEX(職員マスタ!$G$6:$G$405,$AN2529)),"時短開始日がマスタと相違／","")&amp;IF(AND($M2529&lt;&gt;"",INDEX(職員マスタ!$H$6:$H$405,$AN2529)&lt;&gt;"",$M2529&lt;&gt;INDEX(職員マスタ!$H$6:$H$405,$AN2529)),"時短終了日がマスタと相違／","")))&amp;IF(AND($B2529&lt;&gt;"",$E2529=""),"報酬額が未入力／","")&amp;IF(N($U2529)&gt;0,"申請書に入力エラーが残っています／","")&amp;IF(AND($B2529&lt;&gt;"",$AO2529&lt;&gt;""),IF(COUNTIFS($B$6:$B$3005,$B2529,$C$6:$C$3005,$C2529,$D$6:$D$3005,$D2529)&gt;1,"同じ月の請求が重複しています／",""),"")&amp;IF(AND(N($E2529)&gt;0,$Z2529&lt;&gt;"",$Z2529&lt;&gt;"×",$AC2529=0,$AB2529=""),"計算額が下限以下のため不支給／",""))</f>
        <v/>
      </c>
      <c r="AL2529" s="12" t="n"/>
      <c r="AM2529" s="14">
        <f>IF($AD2529="保留中",COUNTIF($AD$6:$AD2529,"保留中"),"")</f>
        <v/>
      </c>
      <c r="AN2529" s="14">
        <f>IF($AO2529="","",IF(SUMPRODUCT(MAX((職員マスタ!$A$6:$A$405=$B2529)*(((職員マスタ!$G$6:$G$405="")+(職員マスタ!$G$6:$G$405&lt;=EOMONTH($AO2529,0)))&gt;0)*(((職員マスタ!$H$6:$H$405="")+(職員マスタ!$H$6:$H$405&gt;=$AO2529))&gt;0)*(ROW(職員マスタ!$A$6:$A$405)-5)))&gt;0,SUMPRODUCT(MAX((職員マスタ!$A$6:$A$405=$B2529)*(((職員マスタ!$G$6:$G$405="")+(職員マスタ!$G$6:$G$405&lt;=EOMONTH($AO2529,0)))&gt;0)*(((職員マスタ!$H$6:$H$405="")+(職員マスタ!$H$6:$H$405&gt;=$AO2529))&gt;0)*(ROW(職員マスタ!$A$6:$A$405)-5))),IFERROR(MATCH($B2529,職員マスタ!$A$6:$A$405,0),"")))</f>
        <v/>
      </c>
      <c r="AO2529" s="16">
        <f>IF(OR($B2529="",$C2529="",$D2529=""),"",DATE($C2529+2018,$D2529,1))</f>
        <v/>
      </c>
    </row>
    <row r="2530">
      <c r="A2530" s="11" t="n"/>
      <c r="B2530" s="12" t="n"/>
      <c r="C2530" s="12" t="n"/>
      <c r="D2530" s="12" t="n"/>
      <c r="E2530" s="13" t="n"/>
      <c r="F2530" s="12" t="n"/>
      <c r="G2530" s="13" t="n"/>
      <c r="H2530" s="12" t="n"/>
      <c r="I2530" s="12" t="n"/>
      <c r="J2530" s="12" t="n"/>
      <c r="K2530" s="12" t="n"/>
      <c r="L2530" s="11" t="n"/>
      <c r="M2530" s="11" t="n"/>
      <c r="N2530" s="11" t="n"/>
      <c r="O2530" s="11" t="n"/>
      <c r="P2530" s="12" t="n"/>
      <c r="Q2530" s="11" t="n"/>
      <c r="R2530" s="12" t="n"/>
      <c r="S2530" s="11" t="n"/>
      <c r="T2530" s="12" t="n"/>
      <c r="U2530" s="12" t="n"/>
      <c r="V2530" s="14">
        <f>IF($AN2530="",IF($B2530="","",$H2530),IF(INDEX(職員マスタ!$B$6:$B$405,$AN2530)="",$H2530,INDEX(職員マスタ!$B$6:$B$405,$AN2530)))</f>
        <v/>
      </c>
      <c r="W2530" s="14">
        <f>IF($AN2530="",IF($B2530="","",$R2530),IF(INDEX(職員マスタ!$C$6:$C$405,$AN2530)="",$R2530,INDEX(職員マスタ!$C$6:$C$405,$AN2530)))</f>
        <v/>
      </c>
      <c r="X2530" s="14">
        <f>IF($AO2530="","","R"&amp;$C2530&amp;"."&amp;$D2530)</f>
        <v/>
      </c>
      <c r="Y2530" s="15">
        <f>IF($AN2530="","",IF(INDEX(職員マスタ!$K$6:$K$405,$AN2530)="","",INDEX(職員マスタ!$K$6:$K$405,$AN2530)))</f>
        <v/>
      </c>
      <c r="Z2530" s="14">
        <f>IF(OR($E2530="",$Y2530=""),"",IF($E2530&gt;=$Y2530,"×",IF($E2530&gt;=$Y2530*設定!$C$5,"△","○")))</f>
        <v/>
      </c>
      <c r="AA2530" s="15">
        <f>IF($Z2530="","",IF($Z2530="×",0,IF($Z2530="○",ROUNDDOWN($E2530*設定!$C$4,0),ROUNDDOWN($E2530*ROUND((9*$Y2530-9*$E2530)/(10*$E2530),4),0))))</f>
        <v/>
      </c>
      <c r="AB2530" s="13" t="n"/>
      <c r="AC2530" s="15">
        <f>IF($B2530="","",IF($AB2530&lt;&gt;"",$AB2530,IF($AA2530="","",IF($AA2530&lt;=設定!$C$3,0,$AA2530))))</f>
        <v/>
      </c>
      <c r="AD2530" s="14">
        <f>IF($B2530="","",IF(AND($AE2530&lt;&gt;"",$AG2530="",$AJ2530=""),"保留中",IF($AJ2530&lt;&gt;"",IF(N($AC2530)&gt;0,"支給済","不支給"),IF($AC2530="","要確認",IF($AC2530=0,"不支給","未処理")))))</f>
        <v/>
      </c>
      <c r="AE2530" s="12" t="n"/>
      <c r="AF2530" s="11" t="n"/>
      <c r="AG2530" s="11" t="n"/>
      <c r="AH2530" s="11" t="n"/>
      <c r="AI2530" s="14">
        <f>IF(AND($AD2530="保留中",$AF2530&lt;&gt;""),TODAY()-$AF2530,"")</f>
        <v/>
      </c>
      <c r="AJ2530" s="12" t="n"/>
      <c r="AK2530" s="14">
        <f>IF($B2530="","",IF($AO2530="","対象年月が未入力／","")&amp;IF($B2530="","",IF($AN2530="","職員マスタに未登録の職員番号／",IF($Y2530="","標準報酬月額が未登録／","")&amp;IF(AND($AO2530&lt;&gt;"",OR(AND(INDEX(職員マスタ!$G$6:$G$405,$AN2530)&lt;&gt;"",INDEX(職員マスタ!$G$6:$G$405,$AN2530)&gt;EOMONTH($AO2530,0)),AND(INDEX(職員マスタ!$H$6:$H$405,$AN2530)&lt;&gt;"",INDEX(職員マスタ!$H$6:$H$405,$AN2530)&lt;$AO2530))),"対象月が時短期間外／","")&amp;IF(AND(INDEX(職員マスタ!$F$6:$F$405,$AN2530)&lt;&gt;"",$AO2530&lt;&gt;"",INDEX(職員マスタ!$F$6:$F$405,$AN2530)&lt;$AO2530),"対象月に子が2歳到達済／","")&amp;IF(AND($H2530&lt;&gt;"",INDEX(職員マスタ!$B$6:$B$405,$AN2530)&lt;&gt;"",SUBSTITUTE(SUBSTITUTE($H2530," ","")," ","")&lt;&gt;SUBSTITUTE(SUBSTITUTE(INDEX(職員マスタ!$B$6:$B$405,$AN2530)," ","")," ","")),"氏名がマスタと相違／","")&amp;IF(AND($Q2530&lt;&gt;"",INDEX(職員マスタ!$E$6:$E$405,$AN2530)&lt;&gt;"",$Q2530&lt;&gt;INDEX(職員マスタ!$E$6:$E$405,$AN2530)),"子の生年月日がマスタと相違／","")&amp;IF(AND($L2530&lt;&gt;"",INDEX(職員マスタ!$G$6:$G$405,$AN2530)&lt;&gt;"",$L2530&lt;&gt;INDEX(職員マスタ!$G$6:$G$405,$AN2530)),"時短開始日がマスタと相違／","")&amp;IF(AND($M2530&lt;&gt;"",INDEX(職員マスタ!$H$6:$H$405,$AN2530)&lt;&gt;"",$M2530&lt;&gt;INDEX(職員マスタ!$H$6:$H$405,$AN2530)),"時短終了日がマスタと相違／","")))&amp;IF(AND($B2530&lt;&gt;"",$E2530=""),"報酬額が未入力／","")&amp;IF(N($U2530)&gt;0,"申請書に入力エラーが残っています／","")&amp;IF(AND($B2530&lt;&gt;"",$AO2530&lt;&gt;""),IF(COUNTIFS($B$6:$B$3005,$B2530,$C$6:$C$3005,$C2530,$D$6:$D$3005,$D2530)&gt;1,"同じ月の請求が重複しています／",""),"")&amp;IF(AND(N($E2530)&gt;0,$Z2530&lt;&gt;"",$Z2530&lt;&gt;"×",$AC2530=0,$AB2530=""),"計算額が下限以下のため不支給／",""))</f>
        <v/>
      </c>
      <c r="AL2530" s="12" t="n"/>
      <c r="AM2530" s="14">
        <f>IF($AD2530="保留中",COUNTIF($AD$6:$AD2530,"保留中"),"")</f>
        <v/>
      </c>
      <c r="AN2530" s="14">
        <f>IF($AO2530="","",IF(SUMPRODUCT(MAX((職員マスタ!$A$6:$A$405=$B2530)*(((職員マスタ!$G$6:$G$405="")+(職員マスタ!$G$6:$G$405&lt;=EOMONTH($AO2530,0)))&gt;0)*(((職員マスタ!$H$6:$H$405="")+(職員マスタ!$H$6:$H$405&gt;=$AO2530))&gt;0)*(ROW(職員マスタ!$A$6:$A$405)-5)))&gt;0,SUMPRODUCT(MAX((職員マスタ!$A$6:$A$405=$B2530)*(((職員マスタ!$G$6:$G$405="")+(職員マスタ!$G$6:$G$405&lt;=EOMONTH($AO2530,0)))&gt;0)*(((職員マスタ!$H$6:$H$405="")+(職員マスタ!$H$6:$H$405&gt;=$AO2530))&gt;0)*(ROW(職員マスタ!$A$6:$A$405)-5))),IFERROR(MATCH($B2530,職員マスタ!$A$6:$A$405,0),"")))</f>
        <v/>
      </c>
      <c r="AO2530" s="16">
        <f>IF(OR($B2530="",$C2530="",$D2530=""),"",DATE($C2530+2018,$D2530,1))</f>
        <v/>
      </c>
    </row>
    <row r="2531">
      <c r="A2531" s="11" t="n"/>
      <c r="B2531" s="12" t="n"/>
      <c r="C2531" s="12" t="n"/>
      <c r="D2531" s="12" t="n"/>
      <c r="E2531" s="13" t="n"/>
      <c r="F2531" s="12" t="n"/>
      <c r="G2531" s="13" t="n"/>
      <c r="H2531" s="12" t="n"/>
      <c r="I2531" s="12" t="n"/>
      <c r="J2531" s="12" t="n"/>
      <c r="K2531" s="12" t="n"/>
      <c r="L2531" s="11" t="n"/>
      <c r="M2531" s="11" t="n"/>
      <c r="N2531" s="11" t="n"/>
      <c r="O2531" s="11" t="n"/>
      <c r="P2531" s="12" t="n"/>
      <c r="Q2531" s="11" t="n"/>
      <c r="R2531" s="12" t="n"/>
      <c r="S2531" s="11" t="n"/>
      <c r="T2531" s="12" t="n"/>
      <c r="U2531" s="12" t="n"/>
      <c r="V2531" s="14">
        <f>IF($AN2531="",IF($B2531="","",$H2531),IF(INDEX(職員マスタ!$B$6:$B$405,$AN2531)="",$H2531,INDEX(職員マスタ!$B$6:$B$405,$AN2531)))</f>
        <v/>
      </c>
      <c r="W2531" s="14">
        <f>IF($AN2531="",IF($B2531="","",$R2531),IF(INDEX(職員マスタ!$C$6:$C$405,$AN2531)="",$R2531,INDEX(職員マスタ!$C$6:$C$405,$AN2531)))</f>
        <v/>
      </c>
      <c r="X2531" s="14">
        <f>IF($AO2531="","","R"&amp;$C2531&amp;"."&amp;$D2531)</f>
        <v/>
      </c>
      <c r="Y2531" s="15">
        <f>IF($AN2531="","",IF(INDEX(職員マスタ!$K$6:$K$405,$AN2531)="","",INDEX(職員マスタ!$K$6:$K$405,$AN2531)))</f>
        <v/>
      </c>
      <c r="Z2531" s="14">
        <f>IF(OR($E2531="",$Y2531=""),"",IF($E2531&gt;=$Y2531,"×",IF($E2531&gt;=$Y2531*設定!$C$5,"△","○")))</f>
        <v/>
      </c>
      <c r="AA2531" s="15">
        <f>IF($Z2531="","",IF($Z2531="×",0,IF($Z2531="○",ROUNDDOWN($E2531*設定!$C$4,0),ROUNDDOWN($E2531*ROUND((9*$Y2531-9*$E2531)/(10*$E2531),4),0))))</f>
        <v/>
      </c>
      <c r="AB2531" s="13" t="n"/>
      <c r="AC2531" s="15">
        <f>IF($B2531="","",IF($AB2531&lt;&gt;"",$AB2531,IF($AA2531="","",IF($AA2531&lt;=設定!$C$3,0,$AA2531))))</f>
        <v/>
      </c>
      <c r="AD2531" s="14">
        <f>IF($B2531="","",IF(AND($AE2531&lt;&gt;"",$AG2531="",$AJ2531=""),"保留中",IF($AJ2531&lt;&gt;"",IF(N($AC2531)&gt;0,"支給済","不支給"),IF($AC2531="","要確認",IF($AC2531=0,"不支給","未処理")))))</f>
        <v/>
      </c>
      <c r="AE2531" s="12" t="n"/>
      <c r="AF2531" s="11" t="n"/>
      <c r="AG2531" s="11" t="n"/>
      <c r="AH2531" s="11" t="n"/>
      <c r="AI2531" s="14">
        <f>IF(AND($AD2531="保留中",$AF2531&lt;&gt;""),TODAY()-$AF2531,"")</f>
        <v/>
      </c>
      <c r="AJ2531" s="12" t="n"/>
      <c r="AK2531" s="14">
        <f>IF($B2531="","",IF($AO2531="","対象年月が未入力／","")&amp;IF($B2531="","",IF($AN2531="","職員マスタに未登録の職員番号／",IF($Y2531="","標準報酬月額が未登録／","")&amp;IF(AND($AO2531&lt;&gt;"",OR(AND(INDEX(職員マスタ!$G$6:$G$405,$AN2531)&lt;&gt;"",INDEX(職員マスタ!$G$6:$G$405,$AN2531)&gt;EOMONTH($AO2531,0)),AND(INDEX(職員マスタ!$H$6:$H$405,$AN2531)&lt;&gt;"",INDEX(職員マスタ!$H$6:$H$405,$AN2531)&lt;$AO2531))),"対象月が時短期間外／","")&amp;IF(AND(INDEX(職員マスタ!$F$6:$F$405,$AN2531)&lt;&gt;"",$AO2531&lt;&gt;"",INDEX(職員マスタ!$F$6:$F$405,$AN2531)&lt;$AO2531),"対象月に子が2歳到達済／","")&amp;IF(AND($H2531&lt;&gt;"",INDEX(職員マスタ!$B$6:$B$405,$AN2531)&lt;&gt;"",SUBSTITUTE(SUBSTITUTE($H2531," ","")," ","")&lt;&gt;SUBSTITUTE(SUBSTITUTE(INDEX(職員マスタ!$B$6:$B$405,$AN2531)," ","")," ","")),"氏名がマスタと相違／","")&amp;IF(AND($Q2531&lt;&gt;"",INDEX(職員マスタ!$E$6:$E$405,$AN2531)&lt;&gt;"",$Q2531&lt;&gt;INDEX(職員マスタ!$E$6:$E$405,$AN2531)),"子の生年月日がマスタと相違／","")&amp;IF(AND($L2531&lt;&gt;"",INDEX(職員マスタ!$G$6:$G$405,$AN2531)&lt;&gt;"",$L2531&lt;&gt;INDEX(職員マスタ!$G$6:$G$405,$AN2531)),"時短開始日がマスタと相違／","")&amp;IF(AND($M2531&lt;&gt;"",INDEX(職員マスタ!$H$6:$H$405,$AN2531)&lt;&gt;"",$M2531&lt;&gt;INDEX(職員マスタ!$H$6:$H$405,$AN2531)),"時短終了日がマスタと相違／","")))&amp;IF(AND($B2531&lt;&gt;"",$E2531=""),"報酬額が未入力／","")&amp;IF(N($U2531)&gt;0,"申請書に入力エラーが残っています／","")&amp;IF(AND($B2531&lt;&gt;"",$AO2531&lt;&gt;""),IF(COUNTIFS($B$6:$B$3005,$B2531,$C$6:$C$3005,$C2531,$D$6:$D$3005,$D2531)&gt;1,"同じ月の請求が重複しています／",""),"")&amp;IF(AND(N($E2531)&gt;0,$Z2531&lt;&gt;"",$Z2531&lt;&gt;"×",$AC2531=0,$AB2531=""),"計算額が下限以下のため不支給／",""))</f>
        <v/>
      </c>
      <c r="AL2531" s="12" t="n"/>
      <c r="AM2531" s="14">
        <f>IF($AD2531="保留中",COUNTIF($AD$6:$AD2531,"保留中"),"")</f>
        <v/>
      </c>
      <c r="AN2531" s="14">
        <f>IF($AO2531="","",IF(SUMPRODUCT(MAX((職員マスタ!$A$6:$A$405=$B2531)*(((職員マスタ!$G$6:$G$405="")+(職員マスタ!$G$6:$G$405&lt;=EOMONTH($AO2531,0)))&gt;0)*(((職員マスタ!$H$6:$H$405="")+(職員マスタ!$H$6:$H$405&gt;=$AO2531))&gt;0)*(ROW(職員マスタ!$A$6:$A$405)-5)))&gt;0,SUMPRODUCT(MAX((職員マスタ!$A$6:$A$405=$B2531)*(((職員マスタ!$G$6:$G$405="")+(職員マスタ!$G$6:$G$405&lt;=EOMONTH($AO2531,0)))&gt;0)*(((職員マスタ!$H$6:$H$405="")+(職員マスタ!$H$6:$H$405&gt;=$AO2531))&gt;0)*(ROW(職員マスタ!$A$6:$A$405)-5))),IFERROR(MATCH($B2531,職員マスタ!$A$6:$A$405,0),"")))</f>
        <v/>
      </c>
      <c r="AO2531" s="16">
        <f>IF(OR($B2531="",$C2531="",$D2531=""),"",DATE($C2531+2018,$D2531,1))</f>
        <v/>
      </c>
    </row>
    <row r="2532">
      <c r="A2532" s="11" t="n"/>
      <c r="B2532" s="12" t="n"/>
      <c r="C2532" s="12" t="n"/>
      <c r="D2532" s="12" t="n"/>
      <c r="E2532" s="13" t="n"/>
      <c r="F2532" s="12" t="n"/>
      <c r="G2532" s="13" t="n"/>
      <c r="H2532" s="12" t="n"/>
      <c r="I2532" s="12" t="n"/>
      <c r="J2532" s="12" t="n"/>
      <c r="K2532" s="12" t="n"/>
      <c r="L2532" s="11" t="n"/>
      <c r="M2532" s="11" t="n"/>
      <c r="N2532" s="11" t="n"/>
      <c r="O2532" s="11" t="n"/>
      <c r="P2532" s="12" t="n"/>
      <c r="Q2532" s="11" t="n"/>
      <c r="R2532" s="12" t="n"/>
      <c r="S2532" s="11" t="n"/>
      <c r="T2532" s="12" t="n"/>
      <c r="U2532" s="12" t="n"/>
      <c r="V2532" s="14">
        <f>IF($AN2532="",IF($B2532="","",$H2532),IF(INDEX(職員マスタ!$B$6:$B$405,$AN2532)="",$H2532,INDEX(職員マスタ!$B$6:$B$405,$AN2532)))</f>
        <v/>
      </c>
      <c r="W2532" s="14">
        <f>IF($AN2532="",IF($B2532="","",$R2532),IF(INDEX(職員マスタ!$C$6:$C$405,$AN2532)="",$R2532,INDEX(職員マスタ!$C$6:$C$405,$AN2532)))</f>
        <v/>
      </c>
      <c r="X2532" s="14">
        <f>IF($AO2532="","","R"&amp;$C2532&amp;"."&amp;$D2532)</f>
        <v/>
      </c>
      <c r="Y2532" s="15">
        <f>IF($AN2532="","",IF(INDEX(職員マスタ!$K$6:$K$405,$AN2532)="","",INDEX(職員マスタ!$K$6:$K$405,$AN2532)))</f>
        <v/>
      </c>
      <c r="Z2532" s="14">
        <f>IF(OR($E2532="",$Y2532=""),"",IF($E2532&gt;=$Y2532,"×",IF($E2532&gt;=$Y2532*設定!$C$5,"△","○")))</f>
        <v/>
      </c>
      <c r="AA2532" s="15">
        <f>IF($Z2532="","",IF($Z2532="×",0,IF($Z2532="○",ROUNDDOWN($E2532*設定!$C$4,0),ROUNDDOWN($E2532*ROUND((9*$Y2532-9*$E2532)/(10*$E2532),4),0))))</f>
        <v/>
      </c>
      <c r="AB2532" s="13" t="n"/>
      <c r="AC2532" s="15">
        <f>IF($B2532="","",IF($AB2532&lt;&gt;"",$AB2532,IF($AA2532="","",IF($AA2532&lt;=設定!$C$3,0,$AA2532))))</f>
        <v/>
      </c>
      <c r="AD2532" s="14">
        <f>IF($B2532="","",IF(AND($AE2532&lt;&gt;"",$AG2532="",$AJ2532=""),"保留中",IF($AJ2532&lt;&gt;"",IF(N($AC2532)&gt;0,"支給済","不支給"),IF($AC2532="","要確認",IF($AC2532=0,"不支給","未処理")))))</f>
        <v/>
      </c>
      <c r="AE2532" s="12" t="n"/>
      <c r="AF2532" s="11" t="n"/>
      <c r="AG2532" s="11" t="n"/>
      <c r="AH2532" s="11" t="n"/>
      <c r="AI2532" s="14">
        <f>IF(AND($AD2532="保留中",$AF2532&lt;&gt;""),TODAY()-$AF2532,"")</f>
        <v/>
      </c>
      <c r="AJ2532" s="12" t="n"/>
      <c r="AK2532" s="14">
        <f>IF($B2532="","",IF($AO2532="","対象年月が未入力／","")&amp;IF($B2532="","",IF($AN2532="","職員マスタに未登録の職員番号／",IF($Y2532="","標準報酬月額が未登録／","")&amp;IF(AND($AO2532&lt;&gt;"",OR(AND(INDEX(職員マスタ!$G$6:$G$405,$AN2532)&lt;&gt;"",INDEX(職員マスタ!$G$6:$G$405,$AN2532)&gt;EOMONTH($AO2532,0)),AND(INDEX(職員マスタ!$H$6:$H$405,$AN2532)&lt;&gt;"",INDEX(職員マスタ!$H$6:$H$405,$AN2532)&lt;$AO2532))),"対象月が時短期間外／","")&amp;IF(AND(INDEX(職員マスタ!$F$6:$F$405,$AN2532)&lt;&gt;"",$AO2532&lt;&gt;"",INDEX(職員マスタ!$F$6:$F$405,$AN2532)&lt;$AO2532),"対象月に子が2歳到達済／","")&amp;IF(AND($H2532&lt;&gt;"",INDEX(職員マスタ!$B$6:$B$405,$AN2532)&lt;&gt;"",SUBSTITUTE(SUBSTITUTE($H2532," ","")," ","")&lt;&gt;SUBSTITUTE(SUBSTITUTE(INDEX(職員マスタ!$B$6:$B$405,$AN2532)," ","")," ","")),"氏名がマスタと相違／","")&amp;IF(AND($Q2532&lt;&gt;"",INDEX(職員マスタ!$E$6:$E$405,$AN2532)&lt;&gt;"",$Q2532&lt;&gt;INDEX(職員マスタ!$E$6:$E$405,$AN2532)),"子の生年月日がマスタと相違／","")&amp;IF(AND($L2532&lt;&gt;"",INDEX(職員マスタ!$G$6:$G$405,$AN2532)&lt;&gt;"",$L2532&lt;&gt;INDEX(職員マスタ!$G$6:$G$405,$AN2532)),"時短開始日がマスタと相違／","")&amp;IF(AND($M2532&lt;&gt;"",INDEX(職員マスタ!$H$6:$H$405,$AN2532)&lt;&gt;"",$M2532&lt;&gt;INDEX(職員マスタ!$H$6:$H$405,$AN2532)),"時短終了日がマスタと相違／","")))&amp;IF(AND($B2532&lt;&gt;"",$E2532=""),"報酬額が未入力／","")&amp;IF(N($U2532)&gt;0,"申請書に入力エラーが残っています／","")&amp;IF(AND($B2532&lt;&gt;"",$AO2532&lt;&gt;""),IF(COUNTIFS($B$6:$B$3005,$B2532,$C$6:$C$3005,$C2532,$D$6:$D$3005,$D2532)&gt;1,"同じ月の請求が重複しています／",""),"")&amp;IF(AND(N($E2532)&gt;0,$Z2532&lt;&gt;"",$Z2532&lt;&gt;"×",$AC2532=0,$AB2532=""),"計算額が下限以下のため不支給／",""))</f>
        <v/>
      </c>
      <c r="AL2532" s="12" t="n"/>
      <c r="AM2532" s="14">
        <f>IF($AD2532="保留中",COUNTIF($AD$6:$AD2532,"保留中"),"")</f>
        <v/>
      </c>
      <c r="AN2532" s="14">
        <f>IF($AO2532="","",IF(SUMPRODUCT(MAX((職員マスタ!$A$6:$A$405=$B2532)*(((職員マスタ!$G$6:$G$405="")+(職員マスタ!$G$6:$G$405&lt;=EOMONTH($AO2532,0)))&gt;0)*(((職員マスタ!$H$6:$H$405="")+(職員マスタ!$H$6:$H$405&gt;=$AO2532))&gt;0)*(ROW(職員マスタ!$A$6:$A$405)-5)))&gt;0,SUMPRODUCT(MAX((職員マスタ!$A$6:$A$405=$B2532)*(((職員マスタ!$G$6:$G$405="")+(職員マスタ!$G$6:$G$405&lt;=EOMONTH($AO2532,0)))&gt;0)*(((職員マスタ!$H$6:$H$405="")+(職員マスタ!$H$6:$H$405&gt;=$AO2532))&gt;0)*(ROW(職員マスタ!$A$6:$A$405)-5))),IFERROR(MATCH($B2532,職員マスタ!$A$6:$A$405,0),"")))</f>
        <v/>
      </c>
      <c r="AO2532" s="16">
        <f>IF(OR($B2532="",$C2532="",$D2532=""),"",DATE($C2532+2018,$D2532,1))</f>
        <v/>
      </c>
    </row>
    <row r="2533">
      <c r="A2533" s="11" t="n"/>
      <c r="B2533" s="12" t="n"/>
      <c r="C2533" s="12" t="n"/>
      <c r="D2533" s="12" t="n"/>
      <c r="E2533" s="13" t="n"/>
      <c r="F2533" s="12" t="n"/>
      <c r="G2533" s="13" t="n"/>
      <c r="H2533" s="12" t="n"/>
      <c r="I2533" s="12" t="n"/>
      <c r="J2533" s="12" t="n"/>
      <c r="K2533" s="12" t="n"/>
      <c r="L2533" s="11" t="n"/>
      <c r="M2533" s="11" t="n"/>
      <c r="N2533" s="11" t="n"/>
      <c r="O2533" s="11" t="n"/>
      <c r="P2533" s="12" t="n"/>
      <c r="Q2533" s="11" t="n"/>
      <c r="R2533" s="12" t="n"/>
      <c r="S2533" s="11" t="n"/>
      <c r="T2533" s="12" t="n"/>
      <c r="U2533" s="12" t="n"/>
      <c r="V2533" s="14">
        <f>IF($AN2533="",IF($B2533="","",$H2533),IF(INDEX(職員マスタ!$B$6:$B$405,$AN2533)="",$H2533,INDEX(職員マスタ!$B$6:$B$405,$AN2533)))</f>
        <v/>
      </c>
      <c r="W2533" s="14">
        <f>IF($AN2533="",IF($B2533="","",$R2533),IF(INDEX(職員マスタ!$C$6:$C$405,$AN2533)="",$R2533,INDEX(職員マスタ!$C$6:$C$405,$AN2533)))</f>
        <v/>
      </c>
      <c r="X2533" s="14">
        <f>IF($AO2533="","","R"&amp;$C2533&amp;"."&amp;$D2533)</f>
        <v/>
      </c>
      <c r="Y2533" s="15">
        <f>IF($AN2533="","",IF(INDEX(職員マスタ!$K$6:$K$405,$AN2533)="","",INDEX(職員マスタ!$K$6:$K$405,$AN2533)))</f>
        <v/>
      </c>
      <c r="Z2533" s="14">
        <f>IF(OR($E2533="",$Y2533=""),"",IF($E2533&gt;=$Y2533,"×",IF($E2533&gt;=$Y2533*設定!$C$5,"△","○")))</f>
        <v/>
      </c>
      <c r="AA2533" s="15">
        <f>IF($Z2533="","",IF($Z2533="×",0,IF($Z2533="○",ROUNDDOWN($E2533*設定!$C$4,0),ROUNDDOWN($E2533*ROUND((9*$Y2533-9*$E2533)/(10*$E2533),4),0))))</f>
        <v/>
      </c>
      <c r="AB2533" s="13" t="n"/>
      <c r="AC2533" s="15">
        <f>IF($B2533="","",IF($AB2533&lt;&gt;"",$AB2533,IF($AA2533="","",IF($AA2533&lt;=設定!$C$3,0,$AA2533))))</f>
        <v/>
      </c>
      <c r="AD2533" s="14">
        <f>IF($B2533="","",IF(AND($AE2533&lt;&gt;"",$AG2533="",$AJ2533=""),"保留中",IF($AJ2533&lt;&gt;"",IF(N($AC2533)&gt;0,"支給済","不支給"),IF($AC2533="","要確認",IF($AC2533=0,"不支給","未処理")))))</f>
        <v/>
      </c>
      <c r="AE2533" s="12" t="n"/>
      <c r="AF2533" s="11" t="n"/>
      <c r="AG2533" s="11" t="n"/>
      <c r="AH2533" s="11" t="n"/>
      <c r="AI2533" s="14">
        <f>IF(AND($AD2533="保留中",$AF2533&lt;&gt;""),TODAY()-$AF2533,"")</f>
        <v/>
      </c>
      <c r="AJ2533" s="12" t="n"/>
      <c r="AK2533" s="14">
        <f>IF($B2533="","",IF($AO2533="","対象年月が未入力／","")&amp;IF($B2533="","",IF($AN2533="","職員マスタに未登録の職員番号／",IF($Y2533="","標準報酬月額が未登録／","")&amp;IF(AND($AO2533&lt;&gt;"",OR(AND(INDEX(職員マスタ!$G$6:$G$405,$AN2533)&lt;&gt;"",INDEX(職員マスタ!$G$6:$G$405,$AN2533)&gt;EOMONTH($AO2533,0)),AND(INDEX(職員マスタ!$H$6:$H$405,$AN2533)&lt;&gt;"",INDEX(職員マスタ!$H$6:$H$405,$AN2533)&lt;$AO2533))),"対象月が時短期間外／","")&amp;IF(AND(INDEX(職員マスタ!$F$6:$F$405,$AN2533)&lt;&gt;"",$AO2533&lt;&gt;"",INDEX(職員マスタ!$F$6:$F$405,$AN2533)&lt;$AO2533),"対象月に子が2歳到達済／","")&amp;IF(AND($H2533&lt;&gt;"",INDEX(職員マスタ!$B$6:$B$405,$AN2533)&lt;&gt;"",SUBSTITUTE(SUBSTITUTE($H2533," ","")," ","")&lt;&gt;SUBSTITUTE(SUBSTITUTE(INDEX(職員マスタ!$B$6:$B$405,$AN2533)," ","")," ","")),"氏名がマスタと相違／","")&amp;IF(AND($Q2533&lt;&gt;"",INDEX(職員マスタ!$E$6:$E$405,$AN2533)&lt;&gt;"",$Q2533&lt;&gt;INDEX(職員マスタ!$E$6:$E$405,$AN2533)),"子の生年月日がマスタと相違／","")&amp;IF(AND($L2533&lt;&gt;"",INDEX(職員マスタ!$G$6:$G$405,$AN2533)&lt;&gt;"",$L2533&lt;&gt;INDEX(職員マスタ!$G$6:$G$405,$AN2533)),"時短開始日がマスタと相違／","")&amp;IF(AND($M2533&lt;&gt;"",INDEX(職員マスタ!$H$6:$H$405,$AN2533)&lt;&gt;"",$M2533&lt;&gt;INDEX(職員マスタ!$H$6:$H$405,$AN2533)),"時短終了日がマスタと相違／","")))&amp;IF(AND($B2533&lt;&gt;"",$E2533=""),"報酬額が未入力／","")&amp;IF(N($U2533)&gt;0,"申請書に入力エラーが残っています／","")&amp;IF(AND($B2533&lt;&gt;"",$AO2533&lt;&gt;""),IF(COUNTIFS($B$6:$B$3005,$B2533,$C$6:$C$3005,$C2533,$D$6:$D$3005,$D2533)&gt;1,"同じ月の請求が重複しています／",""),"")&amp;IF(AND(N($E2533)&gt;0,$Z2533&lt;&gt;"",$Z2533&lt;&gt;"×",$AC2533=0,$AB2533=""),"計算額が下限以下のため不支給／",""))</f>
        <v/>
      </c>
      <c r="AL2533" s="12" t="n"/>
      <c r="AM2533" s="14">
        <f>IF($AD2533="保留中",COUNTIF($AD$6:$AD2533,"保留中"),"")</f>
        <v/>
      </c>
      <c r="AN2533" s="14">
        <f>IF($AO2533="","",IF(SUMPRODUCT(MAX((職員マスタ!$A$6:$A$405=$B2533)*(((職員マスタ!$G$6:$G$405="")+(職員マスタ!$G$6:$G$405&lt;=EOMONTH($AO2533,0)))&gt;0)*(((職員マスタ!$H$6:$H$405="")+(職員マスタ!$H$6:$H$405&gt;=$AO2533))&gt;0)*(ROW(職員マスタ!$A$6:$A$405)-5)))&gt;0,SUMPRODUCT(MAX((職員マスタ!$A$6:$A$405=$B2533)*(((職員マスタ!$G$6:$G$405="")+(職員マスタ!$G$6:$G$405&lt;=EOMONTH($AO2533,0)))&gt;0)*(((職員マスタ!$H$6:$H$405="")+(職員マスタ!$H$6:$H$405&gt;=$AO2533))&gt;0)*(ROW(職員マスタ!$A$6:$A$405)-5))),IFERROR(MATCH($B2533,職員マスタ!$A$6:$A$405,0),"")))</f>
        <v/>
      </c>
      <c r="AO2533" s="16">
        <f>IF(OR($B2533="",$C2533="",$D2533=""),"",DATE($C2533+2018,$D2533,1))</f>
        <v/>
      </c>
    </row>
    <row r="2534">
      <c r="A2534" s="11" t="n"/>
      <c r="B2534" s="12" t="n"/>
      <c r="C2534" s="12" t="n"/>
      <c r="D2534" s="12" t="n"/>
      <c r="E2534" s="13" t="n"/>
      <c r="F2534" s="12" t="n"/>
      <c r="G2534" s="13" t="n"/>
      <c r="H2534" s="12" t="n"/>
      <c r="I2534" s="12" t="n"/>
      <c r="J2534" s="12" t="n"/>
      <c r="K2534" s="12" t="n"/>
      <c r="L2534" s="11" t="n"/>
      <c r="M2534" s="11" t="n"/>
      <c r="N2534" s="11" t="n"/>
      <c r="O2534" s="11" t="n"/>
      <c r="P2534" s="12" t="n"/>
      <c r="Q2534" s="11" t="n"/>
      <c r="R2534" s="12" t="n"/>
      <c r="S2534" s="11" t="n"/>
      <c r="T2534" s="12" t="n"/>
      <c r="U2534" s="12" t="n"/>
      <c r="V2534" s="14">
        <f>IF($AN2534="",IF($B2534="","",$H2534),IF(INDEX(職員マスタ!$B$6:$B$405,$AN2534)="",$H2534,INDEX(職員マスタ!$B$6:$B$405,$AN2534)))</f>
        <v/>
      </c>
      <c r="W2534" s="14">
        <f>IF($AN2534="",IF($B2534="","",$R2534),IF(INDEX(職員マスタ!$C$6:$C$405,$AN2534)="",$R2534,INDEX(職員マスタ!$C$6:$C$405,$AN2534)))</f>
        <v/>
      </c>
      <c r="X2534" s="14">
        <f>IF($AO2534="","","R"&amp;$C2534&amp;"."&amp;$D2534)</f>
        <v/>
      </c>
      <c r="Y2534" s="15">
        <f>IF($AN2534="","",IF(INDEX(職員マスタ!$K$6:$K$405,$AN2534)="","",INDEX(職員マスタ!$K$6:$K$405,$AN2534)))</f>
        <v/>
      </c>
      <c r="Z2534" s="14">
        <f>IF(OR($E2534="",$Y2534=""),"",IF($E2534&gt;=$Y2534,"×",IF($E2534&gt;=$Y2534*設定!$C$5,"△","○")))</f>
        <v/>
      </c>
      <c r="AA2534" s="15">
        <f>IF($Z2534="","",IF($Z2534="×",0,IF($Z2534="○",ROUNDDOWN($E2534*設定!$C$4,0),ROUNDDOWN($E2534*ROUND((9*$Y2534-9*$E2534)/(10*$E2534),4),0))))</f>
        <v/>
      </c>
      <c r="AB2534" s="13" t="n"/>
      <c r="AC2534" s="15">
        <f>IF($B2534="","",IF($AB2534&lt;&gt;"",$AB2534,IF($AA2534="","",IF($AA2534&lt;=設定!$C$3,0,$AA2534))))</f>
        <v/>
      </c>
      <c r="AD2534" s="14">
        <f>IF($B2534="","",IF(AND($AE2534&lt;&gt;"",$AG2534="",$AJ2534=""),"保留中",IF($AJ2534&lt;&gt;"",IF(N($AC2534)&gt;0,"支給済","不支給"),IF($AC2534="","要確認",IF($AC2534=0,"不支給","未処理")))))</f>
        <v/>
      </c>
      <c r="AE2534" s="12" t="n"/>
      <c r="AF2534" s="11" t="n"/>
      <c r="AG2534" s="11" t="n"/>
      <c r="AH2534" s="11" t="n"/>
      <c r="AI2534" s="14">
        <f>IF(AND($AD2534="保留中",$AF2534&lt;&gt;""),TODAY()-$AF2534,"")</f>
        <v/>
      </c>
      <c r="AJ2534" s="12" t="n"/>
      <c r="AK2534" s="14">
        <f>IF($B2534="","",IF($AO2534="","対象年月が未入力／","")&amp;IF($B2534="","",IF($AN2534="","職員マスタに未登録の職員番号／",IF($Y2534="","標準報酬月額が未登録／","")&amp;IF(AND($AO2534&lt;&gt;"",OR(AND(INDEX(職員マスタ!$G$6:$G$405,$AN2534)&lt;&gt;"",INDEX(職員マスタ!$G$6:$G$405,$AN2534)&gt;EOMONTH($AO2534,0)),AND(INDEX(職員マスタ!$H$6:$H$405,$AN2534)&lt;&gt;"",INDEX(職員マスタ!$H$6:$H$405,$AN2534)&lt;$AO2534))),"対象月が時短期間外／","")&amp;IF(AND(INDEX(職員マスタ!$F$6:$F$405,$AN2534)&lt;&gt;"",$AO2534&lt;&gt;"",INDEX(職員マスタ!$F$6:$F$405,$AN2534)&lt;$AO2534),"対象月に子が2歳到達済／","")&amp;IF(AND($H2534&lt;&gt;"",INDEX(職員マスタ!$B$6:$B$405,$AN2534)&lt;&gt;"",SUBSTITUTE(SUBSTITUTE($H2534," ","")," ","")&lt;&gt;SUBSTITUTE(SUBSTITUTE(INDEX(職員マスタ!$B$6:$B$405,$AN2534)," ","")," ","")),"氏名がマスタと相違／","")&amp;IF(AND($Q2534&lt;&gt;"",INDEX(職員マスタ!$E$6:$E$405,$AN2534)&lt;&gt;"",$Q2534&lt;&gt;INDEX(職員マスタ!$E$6:$E$405,$AN2534)),"子の生年月日がマスタと相違／","")&amp;IF(AND($L2534&lt;&gt;"",INDEX(職員マスタ!$G$6:$G$405,$AN2534)&lt;&gt;"",$L2534&lt;&gt;INDEX(職員マスタ!$G$6:$G$405,$AN2534)),"時短開始日がマスタと相違／","")&amp;IF(AND($M2534&lt;&gt;"",INDEX(職員マスタ!$H$6:$H$405,$AN2534)&lt;&gt;"",$M2534&lt;&gt;INDEX(職員マスタ!$H$6:$H$405,$AN2534)),"時短終了日がマスタと相違／","")))&amp;IF(AND($B2534&lt;&gt;"",$E2534=""),"報酬額が未入力／","")&amp;IF(N($U2534)&gt;0,"申請書に入力エラーが残っています／","")&amp;IF(AND($B2534&lt;&gt;"",$AO2534&lt;&gt;""),IF(COUNTIFS($B$6:$B$3005,$B2534,$C$6:$C$3005,$C2534,$D$6:$D$3005,$D2534)&gt;1,"同じ月の請求が重複しています／",""),"")&amp;IF(AND(N($E2534)&gt;0,$Z2534&lt;&gt;"",$Z2534&lt;&gt;"×",$AC2534=0,$AB2534=""),"計算額が下限以下のため不支給／",""))</f>
        <v/>
      </c>
      <c r="AL2534" s="12" t="n"/>
      <c r="AM2534" s="14">
        <f>IF($AD2534="保留中",COUNTIF($AD$6:$AD2534,"保留中"),"")</f>
        <v/>
      </c>
      <c r="AN2534" s="14">
        <f>IF($AO2534="","",IF(SUMPRODUCT(MAX((職員マスタ!$A$6:$A$405=$B2534)*(((職員マスタ!$G$6:$G$405="")+(職員マスタ!$G$6:$G$405&lt;=EOMONTH($AO2534,0)))&gt;0)*(((職員マスタ!$H$6:$H$405="")+(職員マスタ!$H$6:$H$405&gt;=$AO2534))&gt;0)*(ROW(職員マスタ!$A$6:$A$405)-5)))&gt;0,SUMPRODUCT(MAX((職員マスタ!$A$6:$A$405=$B2534)*(((職員マスタ!$G$6:$G$405="")+(職員マスタ!$G$6:$G$405&lt;=EOMONTH($AO2534,0)))&gt;0)*(((職員マスタ!$H$6:$H$405="")+(職員マスタ!$H$6:$H$405&gt;=$AO2534))&gt;0)*(ROW(職員マスタ!$A$6:$A$405)-5))),IFERROR(MATCH($B2534,職員マスタ!$A$6:$A$405,0),"")))</f>
        <v/>
      </c>
      <c r="AO2534" s="16">
        <f>IF(OR($B2534="",$C2534="",$D2534=""),"",DATE($C2534+2018,$D2534,1))</f>
        <v/>
      </c>
    </row>
    <row r="2535">
      <c r="A2535" s="11" t="n"/>
      <c r="B2535" s="12" t="n"/>
      <c r="C2535" s="12" t="n"/>
      <c r="D2535" s="12" t="n"/>
      <c r="E2535" s="13" t="n"/>
      <c r="F2535" s="12" t="n"/>
      <c r="G2535" s="13" t="n"/>
      <c r="H2535" s="12" t="n"/>
      <c r="I2535" s="12" t="n"/>
      <c r="J2535" s="12" t="n"/>
      <c r="K2535" s="12" t="n"/>
      <c r="L2535" s="11" t="n"/>
      <c r="M2535" s="11" t="n"/>
      <c r="N2535" s="11" t="n"/>
      <c r="O2535" s="11" t="n"/>
      <c r="P2535" s="12" t="n"/>
      <c r="Q2535" s="11" t="n"/>
      <c r="R2535" s="12" t="n"/>
      <c r="S2535" s="11" t="n"/>
      <c r="T2535" s="12" t="n"/>
      <c r="U2535" s="12" t="n"/>
      <c r="V2535" s="14">
        <f>IF($AN2535="",IF($B2535="","",$H2535),IF(INDEX(職員マスタ!$B$6:$B$405,$AN2535)="",$H2535,INDEX(職員マスタ!$B$6:$B$405,$AN2535)))</f>
        <v/>
      </c>
      <c r="W2535" s="14">
        <f>IF($AN2535="",IF($B2535="","",$R2535),IF(INDEX(職員マスタ!$C$6:$C$405,$AN2535)="",$R2535,INDEX(職員マスタ!$C$6:$C$405,$AN2535)))</f>
        <v/>
      </c>
      <c r="X2535" s="14">
        <f>IF($AO2535="","","R"&amp;$C2535&amp;"."&amp;$D2535)</f>
        <v/>
      </c>
      <c r="Y2535" s="15">
        <f>IF($AN2535="","",IF(INDEX(職員マスタ!$K$6:$K$405,$AN2535)="","",INDEX(職員マスタ!$K$6:$K$405,$AN2535)))</f>
        <v/>
      </c>
      <c r="Z2535" s="14">
        <f>IF(OR($E2535="",$Y2535=""),"",IF($E2535&gt;=$Y2535,"×",IF($E2535&gt;=$Y2535*設定!$C$5,"△","○")))</f>
        <v/>
      </c>
      <c r="AA2535" s="15">
        <f>IF($Z2535="","",IF($Z2535="×",0,IF($Z2535="○",ROUNDDOWN($E2535*設定!$C$4,0),ROUNDDOWN($E2535*ROUND((9*$Y2535-9*$E2535)/(10*$E2535),4),0))))</f>
        <v/>
      </c>
      <c r="AB2535" s="13" t="n"/>
      <c r="AC2535" s="15">
        <f>IF($B2535="","",IF($AB2535&lt;&gt;"",$AB2535,IF($AA2535="","",IF($AA2535&lt;=設定!$C$3,0,$AA2535))))</f>
        <v/>
      </c>
      <c r="AD2535" s="14">
        <f>IF($B2535="","",IF(AND($AE2535&lt;&gt;"",$AG2535="",$AJ2535=""),"保留中",IF($AJ2535&lt;&gt;"",IF(N($AC2535)&gt;0,"支給済","不支給"),IF($AC2535="","要確認",IF($AC2535=0,"不支給","未処理")))))</f>
        <v/>
      </c>
      <c r="AE2535" s="12" t="n"/>
      <c r="AF2535" s="11" t="n"/>
      <c r="AG2535" s="11" t="n"/>
      <c r="AH2535" s="11" t="n"/>
      <c r="AI2535" s="14">
        <f>IF(AND($AD2535="保留中",$AF2535&lt;&gt;""),TODAY()-$AF2535,"")</f>
        <v/>
      </c>
      <c r="AJ2535" s="12" t="n"/>
      <c r="AK2535" s="14">
        <f>IF($B2535="","",IF($AO2535="","対象年月が未入力／","")&amp;IF($B2535="","",IF($AN2535="","職員マスタに未登録の職員番号／",IF($Y2535="","標準報酬月額が未登録／","")&amp;IF(AND($AO2535&lt;&gt;"",OR(AND(INDEX(職員マスタ!$G$6:$G$405,$AN2535)&lt;&gt;"",INDEX(職員マスタ!$G$6:$G$405,$AN2535)&gt;EOMONTH($AO2535,0)),AND(INDEX(職員マスタ!$H$6:$H$405,$AN2535)&lt;&gt;"",INDEX(職員マスタ!$H$6:$H$405,$AN2535)&lt;$AO2535))),"対象月が時短期間外／","")&amp;IF(AND(INDEX(職員マスタ!$F$6:$F$405,$AN2535)&lt;&gt;"",$AO2535&lt;&gt;"",INDEX(職員マスタ!$F$6:$F$405,$AN2535)&lt;$AO2535),"対象月に子が2歳到達済／","")&amp;IF(AND($H2535&lt;&gt;"",INDEX(職員マスタ!$B$6:$B$405,$AN2535)&lt;&gt;"",SUBSTITUTE(SUBSTITUTE($H2535," ","")," ","")&lt;&gt;SUBSTITUTE(SUBSTITUTE(INDEX(職員マスタ!$B$6:$B$405,$AN2535)," ","")," ","")),"氏名がマスタと相違／","")&amp;IF(AND($Q2535&lt;&gt;"",INDEX(職員マスタ!$E$6:$E$405,$AN2535)&lt;&gt;"",$Q2535&lt;&gt;INDEX(職員マスタ!$E$6:$E$405,$AN2535)),"子の生年月日がマスタと相違／","")&amp;IF(AND($L2535&lt;&gt;"",INDEX(職員マスタ!$G$6:$G$405,$AN2535)&lt;&gt;"",$L2535&lt;&gt;INDEX(職員マスタ!$G$6:$G$405,$AN2535)),"時短開始日がマスタと相違／","")&amp;IF(AND($M2535&lt;&gt;"",INDEX(職員マスタ!$H$6:$H$405,$AN2535)&lt;&gt;"",$M2535&lt;&gt;INDEX(職員マスタ!$H$6:$H$405,$AN2535)),"時短終了日がマスタと相違／","")))&amp;IF(AND($B2535&lt;&gt;"",$E2535=""),"報酬額が未入力／","")&amp;IF(N($U2535)&gt;0,"申請書に入力エラーが残っています／","")&amp;IF(AND($B2535&lt;&gt;"",$AO2535&lt;&gt;""),IF(COUNTIFS($B$6:$B$3005,$B2535,$C$6:$C$3005,$C2535,$D$6:$D$3005,$D2535)&gt;1,"同じ月の請求が重複しています／",""),"")&amp;IF(AND(N($E2535)&gt;0,$Z2535&lt;&gt;"",$Z2535&lt;&gt;"×",$AC2535=0,$AB2535=""),"計算額が下限以下のため不支給／",""))</f>
        <v/>
      </c>
      <c r="AL2535" s="12" t="n"/>
      <c r="AM2535" s="14">
        <f>IF($AD2535="保留中",COUNTIF($AD$6:$AD2535,"保留中"),"")</f>
        <v/>
      </c>
      <c r="AN2535" s="14">
        <f>IF($AO2535="","",IF(SUMPRODUCT(MAX((職員マスタ!$A$6:$A$405=$B2535)*(((職員マスタ!$G$6:$G$405="")+(職員マスタ!$G$6:$G$405&lt;=EOMONTH($AO2535,0)))&gt;0)*(((職員マスタ!$H$6:$H$405="")+(職員マスタ!$H$6:$H$405&gt;=$AO2535))&gt;0)*(ROW(職員マスタ!$A$6:$A$405)-5)))&gt;0,SUMPRODUCT(MAX((職員マスタ!$A$6:$A$405=$B2535)*(((職員マスタ!$G$6:$G$405="")+(職員マスタ!$G$6:$G$405&lt;=EOMONTH($AO2535,0)))&gt;0)*(((職員マスタ!$H$6:$H$405="")+(職員マスタ!$H$6:$H$405&gt;=$AO2535))&gt;0)*(ROW(職員マスタ!$A$6:$A$405)-5))),IFERROR(MATCH($B2535,職員マスタ!$A$6:$A$405,0),"")))</f>
        <v/>
      </c>
      <c r="AO2535" s="16">
        <f>IF(OR($B2535="",$C2535="",$D2535=""),"",DATE($C2535+2018,$D2535,1))</f>
        <v/>
      </c>
    </row>
    <row r="2536">
      <c r="A2536" s="11" t="n"/>
      <c r="B2536" s="12" t="n"/>
      <c r="C2536" s="12" t="n"/>
      <c r="D2536" s="12" t="n"/>
      <c r="E2536" s="13" t="n"/>
      <c r="F2536" s="12" t="n"/>
      <c r="G2536" s="13" t="n"/>
      <c r="H2536" s="12" t="n"/>
      <c r="I2536" s="12" t="n"/>
      <c r="J2536" s="12" t="n"/>
      <c r="K2536" s="12" t="n"/>
      <c r="L2536" s="11" t="n"/>
      <c r="M2536" s="11" t="n"/>
      <c r="N2536" s="11" t="n"/>
      <c r="O2536" s="11" t="n"/>
      <c r="P2536" s="12" t="n"/>
      <c r="Q2536" s="11" t="n"/>
      <c r="R2536" s="12" t="n"/>
      <c r="S2536" s="11" t="n"/>
      <c r="T2536" s="12" t="n"/>
      <c r="U2536" s="12" t="n"/>
      <c r="V2536" s="14">
        <f>IF($AN2536="",IF($B2536="","",$H2536),IF(INDEX(職員マスタ!$B$6:$B$405,$AN2536)="",$H2536,INDEX(職員マスタ!$B$6:$B$405,$AN2536)))</f>
        <v/>
      </c>
      <c r="W2536" s="14">
        <f>IF($AN2536="",IF($B2536="","",$R2536),IF(INDEX(職員マスタ!$C$6:$C$405,$AN2536)="",$R2536,INDEX(職員マスタ!$C$6:$C$405,$AN2536)))</f>
        <v/>
      </c>
      <c r="X2536" s="14">
        <f>IF($AO2536="","","R"&amp;$C2536&amp;"."&amp;$D2536)</f>
        <v/>
      </c>
      <c r="Y2536" s="15">
        <f>IF($AN2536="","",IF(INDEX(職員マスタ!$K$6:$K$405,$AN2536)="","",INDEX(職員マスタ!$K$6:$K$405,$AN2536)))</f>
        <v/>
      </c>
      <c r="Z2536" s="14">
        <f>IF(OR($E2536="",$Y2536=""),"",IF($E2536&gt;=$Y2536,"×",IF($E2536&gt;=$Y2536*設定!$C$5,"△","○")))</f>
        <v/>
      </c>
      <c r="AA2536" s="15">
        <f>IF($Z2536="","",IF($Z2536="×",0,IF($Z2536="○",ROUNDDOWN($E2536*設定!$C$4,0),ROUNDDOWN($E2536*ROUND((9*$Y2536-9*$E2536)/(10*$E2536),4),0))))</f>
        <v/>
      </c>
      <c r="AB2536" s="13" t="n"/>
      <c r="AC2536" s="15">
        <f>IF($B2536="","",IF($AB2536&lt;&gt;"",$AB2536,IF($AA2536="","",IF($AA2536&lt;=設定!$C$3,0,$AA2536))))</f>
        <v/>
      </c>
      <c r="AD2536" s="14">
        <f>IF($B2536="","",IF(AND($AE2536&lt;&gt;"",$AG2536="",$AJ2536=""),"保留中",IF($AJ2536&lt;&gt;"",IF(N($AC2536)&gt;0,"支給済","不支給"),IF($AC2536="","要確認",IF($AC2536=0,"不支給","未処理")))))</f>
        <v/>
      </c>
      <c r="AE2536" s="12" t="n"/>
      <c r="AF2536" s="11" t="n"/>
      <c r="AG2536" s="11" t="n"/>
      <c r="AH2536" s="11" t="n"/>
      <c r="AI2536" s="14">
        <f>IF(AND($AD2536="保留中",$AF2536&lt;&gt;""),TODAY()-$AF2536,"")</f>
        <v/>
      </c>
      <c r="AJ2536" s="12" t="n"/>
      <c r="AK2536" s="14">
        <f>IF($B2536="","",IF($AO2536="","対象年月が未入力／","")&amp;IF($B2536="","",IF($AN2536="","職員マスタに未登録の職員番号／",IF($Y2536="","標準報酬月額が未登録／","")&amp;IF(AND($AO2536&lt;&gt;"",OR(AND(INDEX(職員マスタ!$G$6:$G$405,$AN2536)&lt;&gt;"",INDEX(職員マスタ!$G$6:$G$405,$AN2536)&gt;EOMONTH($AO2536,0)),AND(INDEX(職員マスタ!$H$6:$H$405,$AN2536)&lt;&gt;"",INDEX(職員マスタ!$H$6:$H$405,$AN2536)&lt;$AO2536))),"対象月が時短期間外／","")&amp;IF(AND(INDEX(職員マスタ!$F$6:$F$405,$AN2536)&lt;&gt;"",$AO2536&lt;&gt;"",INDEX(職員マスタ!$F$6:$F$405,$AN2536)&lt;$AO2536),"対象月に子が2歳到達済／","")&amp;IF(AND($H2536&lt;&gt;"",INDEX(職員マスタ!$B$6:$B$405,$AN2536)&lt;&gt;"",SUBSTITUTE(SUBSTITUTE($H2536," ","")," ","")&lt;&gt;SUBSTITUTE(SUBSTITUTE(INDEX(職員マスタ!$B$6:$B$405,$AN2536)," ","")," ","")),"氏名がマスタと相違／","")&amp;IF(AND($Q2536&lt;&gt;"",INDEX(職員マスタ!$E$6:$E$405,$AN2536)&lt;&gt;"",$Q2536&lt;&gt;INDEX(職員マスタ!$E$6:$E$405,$AN2536)),"子の生年月日がマスタと相違／","")&amp;IF(AND($L2536&lt;&gt;"",INDEX(職員マスタ!$G$6:$G$405,$AN2536)&lt;&gt;"",$L2536&lt;&gt;INDEX(職員マスタ!$G$6:$G$405,$AN2536)),"時短開始日がマスタと相違／","")&amp;IF(AND($M2536&lt;&gt;"",INDEX(職員マスタ!$H$6:$H$405,$AN2536)&lt;&gt;"",$M2536&lt;&gt;INDEX(職員マスタ!$H$6:$H$405,$AN2536)),"時短終了日がマスタと相違／","")))&amp;IF(AND($B2536&lt;&gt;"",$E2536=""),"報酬額が未入力／","")&amp;IF(N($U2536)&gt;0,"申請書に入力エラーが残っています／","")&amp;IF(AND($B2536&lt;&gt;"",$AO2536&lt;&gt;""),IF(COUNTIFS($B$6:$B$3005,$B2536,$C$6:$C$3005,$C2536,$D$6:$D$3005,$D2536)&gt;1,"同じ月の請求が重複しています／",""),"")&amp;IF(AND(N($E2536)&gt;0,$Z2536&lt;&gt;"",$Z2536&lt;&gt;"×",$AC2536=0,$AB2536=""),"計算額が下限以下のため不支給／",""))</f>
        <v/>
      </c>
      <c r="AL2536" s="12" t="n"/>
      <c r="AM2536" s="14">
        <f>IF($AD2536="保留中",COUNTIF($AD$6:$AD2536,"保留中"),"")</f>
        <v/>
      </c>
      <c r="AN2536" s="14">
        <f>IF($AO2536="","",IF(SUMPRODUCT(MAX((職員マスタ!$A$6:$A$405=$B2536)*(((職員マスタ!$G$6:$G$405="")+(職員マスタ!$G$6:$G$405&lt;=EOMONTH($AO2536,0)))&gt;0)*(((職員マスタ!$H$6:$H$405="")+(職員マスタ!$H$6:$H$405&gt;=$AO2536))&gt;0)*(ROW(職員マスタ!$A$6:$A$405)-5)))&gt;0,SUMPRODUCT(MAX((職員マスタ!$A$6:$A$405=$B2536)*(((職員マスタ!$G$6:$G$405="")+(職員マスタ!$G$6:$G$405&lt;=EOMONTH($AO2536,0)))&gt;0)*(((職員マスタ!$H$6:$H$405="")+(職員マスタ!$H$6:$H$405&gt;=$AO2536))&gt;0)*(ROW(職員マスタ!$A$6:$A$405)-5))),IFERROR(MATCH($B2536,職員マスタ!$A$6:$A$405,0),"")))</f>
        <v/>
      </c>
      <c r="AO2536" s="16">
        <f>IF(OR($B2536="",$C2536="",$D2536=""),"",DATE($C2536+2018,$D2536,1))</f>
        <v/>
      </c>
    </row>
    <row r="2537">
      <c r="A2537" s="11" t="n"/>
      <c r="B2537" s="12" t="n"/>
      <c r="C2537" s="12" t="n"/>
      <c r="D2537" s="12" t="n"/>
      <c r="E2537" s="13" t="n"/>
      <c r="F2537" s="12" t="n"/>
      <c r="G2537" s="13" t="n"/>
      <c r="H2537" s="12" t="n"/>
      <c r="I2537" s="12" t="n"/>
      <c r="J2537" s="12" t="n"/>
      <c r="K2537" s="12" t="n"/>
      <c r="L2537" s="11" t="n"/>
      <c r="M2537" s="11" t="n"/>
      <c r="N2537" s="11" t="n"/>
      <c r="O2537" s="11" t="n"/>
      <c r="P2537" s="12" t="n"/>
      <c r="Q2537" s="11" t="n"/>
      <c r="R2537" s="12" t="n"/>
      <c r="S2537" s="11" t="n"/>
      <c r="T2537" s="12" t="n"/>
      <c r="U2537" s="12" t="n"/>
      <c r="V2537" s="14">
        <f>IF($AN2537="",IF($B2537="","",$H2537),IF(INDEX(職員マスタ!$B$6:$B$405,$AN2537)="",$H2537,INDEX(職員マスタ!$B$6:$B$405,$AN2537)))</f>
        <v/>
      </c>
      <c r="W2537" s="14">
        <f>IF($AN2537="",IF($B2537="","",$R2537),IF(INDEX(職員マスタ!$C$6:$C$405,$AN2537)="",$R2537,INDEX(職員マスタ!$C$6:$C$405,$AN2537)))</f>
        <v/>
      </c>
      <c r="X2537" s="14">
        <f>IF($AO2537="","","R"&amp;$C2537&amp;"."&amp;$D2537)</f>
        <v/>
      </c>
      <c r="Y2537" s="15">
        <f>IF($AN2537="","",IF(INDEX(職員マスタ!$K$6:$K$405,$AN2537)="","",INDEX(職員マスタ!$K$6:$K$405,$AN2537)))</f>
        <v/>
      </c>
      <c r="Z2537" s="14">
        <f>IF(OR($E2537="",$Y2537=""),"",IF($E2537&gt;=$Y2537,"×",IF($E2537&gt;=$Y2537*設定!$C$5,"△","○")))</f>
        <v/>
      </c>
      <c r="AA2537" s="15">
        <f>IF($Z2537="","",IF($Z2537="×",0,IF($Z2537="○",ROUNDDOWN($E2537*設定!$C$4,0),ROUNDDOWN($E2537*ROUND((9*$Y2537-9*$E2537)/(10*$E2537),4),0))))</f>
        <v/>
      </c>
      <c r="AB2537" s="13" t="n"/>
      <c r="AC2537" s="15">
        <f>IF($B2537="","",IF($AB2537&lt;&gt;"",$AB2537,IF($AA2537="","",IF($AA2537&lt;=設定!$C$3,0,$AA2537))))</f>
        <v/>
      </c>
      <c r="AD2537" s="14">
        <f>IF($B2537="","",IF(AND($AE2537&lt;&gt;"",$AG2537="",$AJ2537=""),"保留中",IF($AJ2537&lt;&gt;"",IF(N($AC2537)&gt;0,"支給済","不支給"),IF($AC2537="","要確認",IF($AC2537=0,"不支給","未処理")))))</f>
        <v/>
      </c>
      <c r="AE2537" s="12" t="n"/>
      <c r="AF2537" s="11" t="n"/>
      <c r="AG2537" s="11" t="n"/>
      <c r="AH2537" s="11" t="n"/>
      <c r="AI2537" s="14">
        <f>IF(AND($AD2537="保留中",$AF2537&lt;&gt;""),TODAY()-$AF2537,"")</f>
        <v/>
      </c>
      <c r="AJ2537" s="12" t="n"/>
      <c r="AK2537" s="14">
        <f>IF($B2537="","",IF($AO2537="","対象年月が未入力／","")&amp;IF($B2537="","",IF($AN2537="","職員マスタに未登録の職員番号／",IF($Y2537="","標準報酬月額が未登録／","")&amp;IF(AND($AO2537&lt;&gt;"",OR(AND(INDEX(職員マスタ!$G$6:$G$405,$AN2537)&lt;&gt;"",INDEX(職員マスタ!$G$6:$G$405,$AN2537)&gt;EOMONTH($AO2537,0)),AND(INDEX(職員マスタ!$H$6:$H$405,$AN2537)&lt;&gt;"",INDEX(職員マスタ!$H$6:$H$405,$AN2537)&lt;$AO2537))),"対象月が時短期間外／","")&amp;IF(AND(INDEX(職員マスタ!$F$6:$F$405,$AN2537)&lt;&gt;"",$AO2537&lt;&gt;"",INDEX(職員マスタ!$F$6:$F$405,$AN2537)&lt;$AO2537),"対象月に子が2歳到達済／","")&amp;IF(AND($H2537&lt;&gt;"",INDEX(職員マスタ!$B$6:$B$405,$AN2537)&lt;&gt;"",SUBSTITUTE(SUBSTITUTE($H2537," ","")," ","")&lt;&gt;SUBSTITUTE(SUBSTITUTE(INDEX(職員マスタ!$B$6:$B$405,$AN2537)," ","")," ","")),"氏名がマスタと相違／","")&amp;IF(AND($Q2537&lt;&gt;"",INDEX(職員マスタ!$E$6:$E$405,$AN2537)&lt;&gt;"",$Q2537&lt;&gt;INDEX(職員マスタ!$E$6:$E$405,$AN2537)),"子の生年月日がマスタと相違／","")&amp;IF(AND($L2537&lt;&gt;"",INDEX(職員マスタ!$G$6:$G$405,$AN2537)&lt;&gt;"",$L2537&lt;&gt;INDEX(職員マスタ!$G$6:$G$405,$AN2537)),"時短開始日がマスタと相違／","")&amp;IF(AND($M2537&lt;&gt;"",INDEX(職員マスタ!$H$6:$H$405,$AN2537)&lt;&gt;"",$M2537&lt;&gt;INDEX(職員マスタ!$H$6:$H$405,$AN2537)),"時短終了日がマスタと相違／","")))&amp;IF(AND($B2537&lt;&gt;"",$E2537=""),"報酬額が未入力／","")&amp;IF(N($U2537)&gt;0,"申請書に入力エラーが残っています／","")&amp;IF(AND($B2537&lt;&gt;"",$AO2537&lt;&gt;""),IF(COUNTIFS($B$6:$B$3005,$B2537,$C$6:$C$3005,$C2537,$D$6:$D$3005,$D2537)&gt;1,"同じ月の請求が重複しています／",""),"")&amp;IF(AND(N($E2537)&gt;0,$Z2537&lt;&gt;"",$Z2537&lt;&gt;"×",$AC2537=0,$AB2537=""),"計算額が下限以下のため不支給／",""))</f>
        <v/>
      </c>
      <c r="AL2537" s="12" t="n"/>
      <c r="AM2537" s="14">
        <f>IF($AD2537="保留中",COUNTIF($AD$6:$AD2537,"保留中"),"")</f>
        <v/>
      </c>
      <c r="AN2537" s="14">
        <f>IF($AO2537="","",IF(SUMPRODUCT(MAX((職員マスタ!$A$6:$A$405=$B2537)*(((職員マスタ!$G$6:$G$405="")+(職員マスタ!$G$6:$G$405&lt;=EOMONTH($AO2537,0)))&gt;0)*(((職員マスタ!$H$6:$H$405="")+(職員マスタ!$H$6:$H$405&gt;=$AO2537))&gt;0)*(ROW(職員マスタ!$A$6:$A$405)-5)))&gt;0,SUMPRODUCT(MAX((職員マスタ!$A$6:$A$405=$B2537)*(((職員マスタ!$G$6:$G$405="")+(職員マスタ!$G$6:$G$405&lt;=EOMONTH($AO2537,0)))&gt;0)*(((職員マスタ!$H$6:$H$405="")+(職員マスタ!$H$6:$H$405&gt;=$AO2537))&gt;0)*(ROW(職員マスタ!$A$6:$A$405)-5))),IFERROR(MATCH($B2537,職員マスタ!$A$6:$A$405,0),"")))</f>
        <v/>
      </c>
      <c r="AO2537" s="16">
        <f>IF(OR($B2537="",$C2537="",$D2537=""),"",DATE($C2537+2018,$D2537,1))</f>
        <v/>
      </c>
    </row>
    <row r="2538">
      <c r="A2538" s="11" t="n"/>
      <c r="B2538" s="12" t="n"/>
      <c r="C2538" s="12" t="n"/>
      <c r="D2538" s="12" t="n"/>
      <c r="E2538" s="13" t="n"/>
      <c r="F2538" s="12" t="n"/>
      <c r="G2538" s="13" t="n"/>
      <c r="H2538" s="12" t="n"/>
      <c r="I2538" s="12" t="n"/>
      <c r="J2538" s="12" t="n"/>
      <c r="K2538" s="12" t="n"/>
      <c r="L2538" s="11" t="n"/>
      <c r="M2538" s="11" t="n"/>
      <c r="N2538" s="11" t="n"/>
      <c r="O2538" s="11" t="n"/>
      <c r="P2538" s="12" t="n"/>
      <c r="Q2538" s="11" t="n"/>
      <c r="R2538" s="12" t="n"/>
      <c r="S2538" s="11" t="n"/>
      <c r="T2538" s="12" t="n"/>
      <c r="U2538" s="12" t="n"/>
      <c r="V2538" s="14">
        <f>IF($AN2538="",IF($B2538="","",$H2538),IF(INDEX(職員マスタ!$B$6:$B$405,$AN2538)="",$H2538,INDEX(職員マスタ!$B$6:$B$405,$AN2538)))</f>
        <v/>
      </c>
      <c r="W2538" s="14">
        <f>IF($AN2538="",IF($B2538="","",$R2538),IF(INDEX(職員マスタ!$C$6:$C$405,$AN2538)="",$R2538,INDEX(職員マスタ!$C$6:$C$405,$AN2538)))</f>
        <v/>
      </c>
      <c r="X2538" s="14">
        <f>IF($AO2538="","","R"&amp;$C2538&amp;"."&amp;$D2538)</f>
        <v/>
      </c>
      <c r="Y2538" s="15">
        <f>IF($AN2538="","",IF(INDEX(職員マスタ!$K$6:$K$405,$AN2538)="","",INDEX(職員マスタ!$K$6:$K$405,$AN2538)))</f>
        <v/>
      </c>
      <c r="Z2538" s="14">
        <f>IF(OR($E2538="",$Y2538=""),"",IF($E2538&gt;=$Y2538,"×",IF($E2538&gt;=$Y2538*設定!$C$5,"△","○")))</f>
        <v/>
      </c>
      <c r="AA2538" s="15">
        <f>IF($Z2538="","",IF($Z2538="×",0,IF($Z2538="○",ROUNDDOWN($E2538*設定!$C$4,0),ROUNDDOWN($E2538*ROUND((9*$Y2538-9*$E2538)/(10*$E2538),4),0))))</f>
        <v/>
      </c>
      <c r="AB2538" s="13" t="n"/>
      <c r="AC2538" s="15">
        <f>IF($B2538="","",IF($AB2538&lt;&gt;"",$AB2538,IF($AA2538="","",IF($AA2538&lt;=設定!$C$3,0,$AA2538))))</f>
        <v/>
      </c>
      <c r="AD2538" s="14">
        <f>IF($B2538="","",IF(AND($AE2538&lt;&gt;"",$AG2538="",$AJ2538=""),"保留中",IF($AJ2538&lt;&gt;"",IF(N($AC2538)&gt;0,"支給済","不支給"),IF($AC2538="","要確認",IF($AC2538=0,"不支給","未処理")))))</f>
        <v/>
      </c>
      <c r="AE2538" s="12" t="n"/>
      <c r="AF2538" s="11" t="n"/>
      <c r="AG2538" s="11" t="n"/>
      <c r="AH2538" s="11" t="n"/>
      <c r="AI2538" s="14">
        <f>IF(AND($AD2538="保留中",$AF2538&lt;&gt;""),TODAY()-$AF2538,"")</f>
        <v/>
      </c>
      <c r="AJ2538" s="12" t="n"/>
      <c r="AK2538" s="14">
        <f>IF($B2538="","",IF($AO2538="","対象年月が未入力／","")&amp;IF($B2538="","",IF($AN2538="","職員マスタに未登録の職員番号／",IF($Y2538="","標準報酬月額が未登録／","")&amp;IF(AND($AO2538&lt;&gt;"",OR(AND(INDEX(職員マスタ!$G$6:$G$405,$AN2538)&lt;&gt;"",INDEX(職員マスタ!$G$6:$G$405,$AN2538)&gt;EOMONTH($AO2538,0)),AND(INDEX(職員マスタ!$H$6:$H$405,$AN2538)&lt;&gt;"",INDEX(職員マスタ!$H$6:$H$405,$AN2538)&lt;$AO2538))),"対象月が時短期間外／","")&amp;IF(AND(INDEX(職員マスタ!$F$6:$F$405,$AN2538)&lt;&gt;"",$AO2538&lt;&gt;"",INDEX(職員マスタ!$F$6:$F$405,$AN2538)&lt;$AO2538),"対象月に子が2歳到達済／","")&amp;IF(AND($H2538&lt;&gt;"",INDEX(職員マスタ!$B$6:$B$405,$AN2538)&lt;&gt;"",SUBSTITUTE(SUBSTITUTE($H2538," ","")," ","")&lt;&gt;SUBSTITUTE(SUBSTITUTE(INDEX(職員マスタ!$B$6:$B$405,$AN2538)," ","")," ","")),"氏名がマスタと相違／","")&amp;IF(AND($Q2538&lt;&gt;"",INDEX(職員マスタ!$E$6:$E$405,$AN2538)&lt;&gt;"",$Q2538&lt;&gt;INDEX(職員マスタ!$E$6:$E$405,$AN2538)),"子の生年月日がマスタと相違／","")&amp;IF(AND($L2538&lt;&gt;"",INDEX(職員マスタ!$G$6:$G$405,$AN2538)&lt;&gt;"",$L2538&lt;&gt;INDEX(職員マスタ!$G$6:$G$405,$AN2538)),"時短開始日がマスタと相違／","")&amp;IF(AND($M2538&lt;&gt;"",INDEX(職員マスタ!$H$6:$H$405,$AN2538)&lt;&gt;"",$M2538&lt;&gt;INDEX(職員マスタ!$H$6:$H$405,$AN2538)),"時短終了日がマスタと相違／","")))&amp;IF(AND($B2538&lt;&gt;"",$E2538=""),"報酬額が未入力／","")&amp;IF(N($U2538)&gt;0,"申請書に入力エラーが残っています／","")&amp;IF(AND($B2538&lt;&gt;"",$AO2538&lt;&gt;""),IF(COUNTIFS($B$6:$B$3005,$B2538,$C$6:$C$3005,$C2538,$D$6:$D$3005,$D2538)&gt;1,"同じ月の請求が重複しています／",""),"")&amp;IF(AND(N($E2538)&gt;0,$Z2538&lt;&gt;"",$Z2538&lt;&gt;"×",$AC2538=0,$AB2538=""),"計算額が下限以下のため不支給／",""))</f>
        <v/>
      </c>
      <c r="AL2538" s="12" t="n"/>
      <c r="AM2538" s="14">
        <f>IF($AD2538="保留中",COUNTIF($AD$6:$AD2538,"保留中"),"")</f>
        <v/>
      </c>
      <c r="AN2538" s="14">
        <f>IF($AO2538="","",IF(SUMPRODUCT(MAX((職員マスタ!$A$6:$A$405=$B2538)*(((職員マスタ!$G$6:$G$405="")+(職員マスタ!$G$6:$G$405&lt;=EOMONTH($AO2538,0)))&gt;0)*(((職員マスタ!$H$6:$H$405="")+(職員マスタ!$H$6:$H$405&gt;=$AO2538))&gt;0)*(ROW(職員マスタ!$A$6:$A$405)-5)))&gt;0,SUMPRODUCT(MAX((職員マスタ!$A$6:$A$405=$B2538)*(((職員マスタ!$G$6:$G$405="")+(職員マスタ!$G$6:$G$405&lt;=EOMONTH($AO2538,0)))&gt;0)*(((職員マスタ!$H$6:$H$405="")+(職員マスタ!$H$6:$H$405&gt;=$AO2538))&gt;0)*(ROW(職員マスタ!$A$6:$A$405)-5))),IFERROR(MATCH($B2538,職員マスタ!$A$6:$A$405,0),"")))</f>
        <v/>
      </c>
      <c r="AO2538" s="16">
        <f>IF(OR($B2538="",$C2538="",$D2538=""),"",DATE($C2538+2018,$D2538,1))</f>
        <v/>
      </c>
    </row>
    <row r="2539">
      <c r="A2539" s="11" t="n"/>
      <c r="B2539" s="12" t="n"/>
      <c r="C2539" s="12" t="n"/>
      <c r="D2539" s="12" t="n"/>
      <c r="E2539" s="13" t="n"/>
      <c r="F2539" s="12" t="n"/>
      <c r="G2539" s="13" t="n"/>
      <c r="H2539" s="12" t="n"/>
      <c r="I2539" s="12" t="n"/>
      <c r="J2539" s="12" t="n"/>
      <c r="K2539" s="12" t="n"/>
      <c r="L2539" s="11" t="n"/>
      <c r="M2539" s="11" t="n"/>
      <c r="N2539" s="11" t="n"/>
      <c r="O2539" s="11" t="n"/>
      <c r="P2539" s="12" t="n"/>
      <c r="Q2539" s="11" t="n"/>
      <c r="R2539" s="12" t="n"/>
      <c r="S2539" s="11" t="n"/>
      <c r="T2539" s="12" t="n"/>
      <c r="U2539" s="12" t="n"/>
      <c r="V2539" s="14">
        <f>IF($AN2539="",IF($B2539="","",$H2539),IF(INDEX(職員マスタ!$B$6:$B$405,$AN2539)="",$H2539,INDEX(職員マスタ!$B$6:$B$405,$AN2539)))</f>
        <v/>
      </c>
      <c r="W2539" s="14">
        <f>IF($AN2539="",IF($B2539="","",$R2539),IF(INDEX(職員マスタ!$C$6:$C$405,$AN2539)="",$R2539,INDEX(職員マスタ!$C$6:$C$405,$AN2539)))</f>
        <v/>
      </c>
      <c r="X2539" s="14">
        <f>IF($AO2539="","","R"&amp;$C2539&amp;"."&amp;$D2539)</f>
        <v/>
      </c>
      <c r="Y2539" s="15">
        <f>IF($AN2539="","",IF(INDEX(職員マスタ!$K$6:$K$405,$AN2539)="","",INDEX(職員マスタ!$K$6:$K$405,$AN2539)))</f>
        <v/>
      </c>
      <c r="Z2539" s="14">
        <f>IF(OR($E2539="",$Y2539=""),"",IF($E2539&gt;=$Y2539,"×",IF($E2539&gt;=$Y2539*設定!$C$5,"△","○")))</f>
        <v/>
      </c>
      <c r="AA2539" s="15">
        <f>IF($Z2539="","",IF($Z2539="×",0,IF($Z2539="○",ROUNDDOWN($E2539*設定!$C$4,0),ROUNDDOWN($E2539*ROUND((9*$Y2539-9*$E2539)/(10*$E2539),4),0))))</f>
        <v/>
      </c>
      <c r="AB2539" s="13" t="n"/>
      <c r="AC2539" s="15">
        <f>IF($B2539="","",IF($AB2539&lt;&gt;"",$AB2539,IF($AA2539="","",IF($AA2539&lt;=設定!$C$3,0,$AA2539))))</f>
        <v/>
      </c>
      <c r="AD2539" s="14">
        <f>IF($B2539="","",IF(AND($AE2539&lt;&gt;"",$AG2539="",$AJ2539=""),"保留中",IF($AJ2539&lt;&gt;"",IF(N($AC2539)&gt;0,"支給済","不支給"),IF($AC2539="","要確認",IF($AC2539=0,"不支給","未処理")))))</f>
        <v/>
      </c>
      <c r="AE2539" s="12" t="n"/>
      <c r="AF2539" s="11" t="n"/>
      <c r="AG2539" s="11" t="n"/>
      <c r="AH2539" s="11" t="n"/>
      <c r="AI2539" s="14">
        <f>IF(AND($AD2539="保留中",$AF2539&lt;&gt;""),TODAY()-$AF2539,"")</f>
        <v/>
      </c>
      <c r="AJ2539" s="12" t="n"/>
      <c r="AK2539" s="14">
        <f>IF($B2539="","",IF($AO2539="","対象年月が未入力／","")&amp;IF($B2539="","",IF($AN2539="","職員マスタに未登録の職員番号／",IF($Y2539="","標準報酬月額が未登録／","")&amp;IF(AND($AO2539&lt;&gt;"",OR(AND(INDEX(職員マスタ!$G$6:$G$405,$AN2539)&lt;&gt;"",INDEX(職員マスタ!$G$6:$G$405,$AN2539)&gt;EOMONTH($AO2539,0)),AND(INDEX(職員マスタ!$H$6:$H$405,$AN2539)&lt;&gt;"",INDEX(職員マスタ!$H$6:$H$405,$AN2539)&lt;$AO2539))),"対象月が時短期間外／","")&amp;IF(AND(INDEX(職員マスタ!$F$6:$F$405,$AN2539)&lt;&gt;"",$AO2539&lt;&gt;"",INDEX(職員マスタ!$F$6:$F$405,$AN2539)&lt;$AO2539),"対象月に子が2歳到達済／","")&amp;IF(AND($H2539&lt;&gt;"",INDEX(職員マスタ!$B$6:$B$405,$AN2539)&lt;&gt;"",SUBSTITUTE(SUBSTITUTE($H2539," ","")," ","")&lt;&gt;SUBSTITUTE(SUBSTITUTE(INDEX(職員マスタ!$B$6:$B$405,$AN2539)," ","")," ","")),"氏名がマスタと相違／","")&amp;IF(AND($Q2539&lt;&gt;"",INDEX(職員マスタ!$E$6:$E$405,$AN2539)&lt;&gt;"",$Q2539&lt;&gt;INDEX(職員マスタ!$E$6:$E$405,$AN2539)),"子の生年月日がマスタと相違／","")&amp;IF(AND($L2539&lt;&gt;"",INDEX(職員マスタ!$G$6:$G$405,$AN2539)&lt;&gt;"",$L2539&lt;&gt;INDEX(職員マスタ!$G$6:$G$405,$AN2539)),"時短開始日がマスタと相違／","")&amp;IF(AND($M2539&lt;&gt;"",INDEX(職員マスタ!$H$6:$H$405,$AN2539)&lt;&gt;"",$M2539&lt;&gt;INDEX(職員マスタ!$H$6:$H$405,$AN2539)),"時短終了日がマスタと相違／","")))&amp;IF(AND($B2539&lt;&gt;"",$E2539=""),"報酬額が未入力／","")&amp;IF(N($U2539)&gt;0,"申請書に入力エラーが残っています／","")&amp;IF(AND($B2539&lt;&gt;"",$AO2539&lt;&gt;""),IF(COUNTIFS($B$6:$B$3005,$B2539,$C$6:$C$3005,$C2539,$D$6:$D$3005,$D2539)&gt;1,"同じ月の請求が重複しています／",""),"")&amp;IF(AND(N($E2539)&gt;0,$Z2539&lt;&gt;"",$Z2539&lt;&gt;"×",$AC2539=0,$AB2539=""),"計算額が下限以下のため不支給／",""))</f>
        <v/>
      </c>
      <c r="AL2539" s="12" t="n"/>
      <c r="AM2539" s="14">
        <f>IF($AD2539="保留中",COUNTIF($AD$6:$AD2539,"保留中"),"")</f>
        <v/>
      </c>
      <c r="AN2539" s="14">
        <f>IF($AO2539="","",IF(SUMPRODUCT(MAX((職員マスタ!$A$6:$A$405=$B2539)*(((職員マスタ!$G$6:$G$405="")+(職員マスタ!$G$6:$G$405&lt;=EOMONTH($AO2539,0)))&gt;0)*(((職員マスタ!$H$6:$H$405="")+(職員マスタ!$H$6:$H$405&gt;=$AO2539))&gt;0)*(ROW(職員マスタ!$A$6:$A$405)-5)))&gt;0,SUMPRODUCT(MAX((職員マスタ!$A$6:$A$405=$B2539)*(((職員マスタ!$G$6:$G$405="")+(職員マスタ!$G$6:$G$405&lt;=EOMONTH($AO2539,0)))&gt;0)*(((職員マスタ!$H$6:$H$405="")+(職員マスタ!$H$6:$H$405&gt;=$AO2539))&gt;0)*(ROW(職員マスタ!$A$6:$A$405)-5))),IFERROR(MATCH($B2539,職員マスタ!$A$6:$A$405,0),"")))</f>
        <v/>
      </c>
      <c r="AO2539" s="16">
        <f>IF(OR($B2539="",$C2539="",$D2539=""),"",DATE($C2539+2018,$D2539,1))</f>
        <v/>
      </c>
    </row>
    <row r="2540">
      <c r="A2540" s="11" t="n"/>
      <c r="B2540" s="12" t="n"/>
      <c r="C2540" s="12" t="n"/>
      <c r="D2540" s="12" t="n"/>
      <c r="E2540" s="13" t="n"/>
      <c r="F2540" s="12" t="n"/>
      <c r="G2540" s="13" t="n"/>
      <c r="H2540" s="12" t="n"/>
      <c r="I2540" s="12" t="n"/>
      <c r="J2540" s="12" t="n"/>
      <c r="K2540" s="12" t="n"/>
      <c r="L2540" s="11" t="n"/>
      <c r="M2540" s="11" t="n"/>
      <c r="N2540" s="11" t="n"/>
      <c r="O2540" s="11" t="n"/>
      <c r="P2540" s="12" t="n"/>
      <c r="Q2540" s="11" t="n"/>
      <c r="R2540" s="12" t="n"/>
      <c r="S2540" s="11" t="n"/>
      <c r="T2540" s="12" t="n"/>
      <c r="U2540" s="12" t="n"/>
      <c r="V2540" s="14">
        <f>IF($AN2540="",IF($B2540="","",$H2540),IF(INDEX(職員マスタ!$B$6:$B$405,$AN2540)="",$H2540,INDEX(職員マスタ!$B$6:$B$405,$AN2540)))</f>
        <v/>
      </c>
      <c r="W2540" s="14">
        <f>IF($AN2540="",IF($B2540="","",$R2540),IF(INDEX(職員マスタ!$C$6:$C$405,$AN2540)="",$R2540,INDEX(職員マスタ!$C$6:$C$405,$AN2540)))</f>
        <v/>
      </c>
      <c r="X2540" s="14">
        <f>IF($AO2540="","","R"&amp;$C2540&amp;"."&amp;$D2540)</f>
        <v/>
      </c>
      <c r="Y2540" s="15">
        <f>IF($AN2540="","",IF(INDEX(職員マスタ!$K$6:$K$405,$AN2540)="","",INDEX(職員マスタ!$K$6:$K$405,$AN2540)))</f>
        <v/>
      </c>
      <c r="Z2540" s="14">
        <f>IF(OR($E2540="",$Y2540=""),"",IF($E2540&gt;=$Y2540,"×",IF($E2540&gt;=$Y2540*設定!$C$5,"△","○")))</f>
        <v/>
      </c>
      <c r="AA2540" s="15">
        <f>IF($Z2540="","",IF($Z2540="×",0,IF($Z2540="○",ROUNDDOWN($E2540*設定!$C$4,0),ROUNDDOWN($E2540*ROUND((9*$Y2540-9*$E2540)/(10*$E2540),4),0))))</f>
        <v/>
      </c>
      <c r="AB2540" s="13" t="n"/>
      <c r="AC2540" s="15">
        <f>IF($B2540="","",IF($AB2540&lt;&gt;"",$AB2540,IF($AA2540="","",IF($AA2540&lt;=設定!$C$3,0,$AA2540))))</f>
        <v/>
      </c>
      <c r="AD2540" s="14">
        <f>IF($B2540="","",IF(AND($AE2540&lt;&gt;"",$AG2540="",$AJ2540=""),"保留中",IF($AJ2540&lt;&gt;"",IF(N($AC2540)&gt;0,"支給済","不支給"),IF($AC2540="","要確認",IF($AC2540=0,"不支給","未処理")))))</f>
        <v/>
      </c>
      <c r="AE2540" s="12" t="n"/>
      <c r="AF2540" s="11" t="n"/>
      <c r="AG2540" s="11" t="n"/>
      <c r="AH2540" s="11" t="n"/>
      <c r="AI2540" s="14">
        <f>IF(AND($AD2540="保留中",$AF2540&lt;&gt;""),TODAY()-$AF2540,"")</f>
        <v/>
      </c>
      <c r="AJ2540" s="12" t="n"/>
      <c r="AK2540" s="14">
        <f>IF($B2540="","",IF($AO2540="","対象年月が未入力／","")&amp;IF($B2540="","",IF($AN2540="","職員マスタに未登録の職員番号／",IF($Y2540="","標準報酬月額が未登録／","")&amp;IF(AND($AO2540&lt;&gt;"",OR(AND(INDEX(職員マスタ!$G$6:$G$405,$AN2540)&lt;&gt;"",INDEX(職員マスタ!$G$6:$G$405,$AN2540)&gt;EOMONTH($AO2540,0)),AND(INDEX(職員マスタ!$H$6:$H$405,$AN2540)&lt;&gt;"",INDEX(職員マスタ!$H$6:$H$405,$AN2540)&lt;$AO2540))),"対象月が時短期間外／","")&amp;IF(AND(INDEX(職員マスタ!$F$6:$F$405,$AN2540)&lt;&gt;"",$AO2540&lt;&gt;"",INDEX(職員マスタ!$F$6:$F$405,$AN2540)&lt;$AO2540),"対象月に子が2歳到達済／","")&amp;IF(AND($H2540&lt;&gt;"",INDEX(職員マスタ!$B$6:$B$405,$AN2540)&lt;&gt;"",SUBSTITUTE(SUBSTITUTE($H2540," ","")," ","")&lt;&gt;SUBSTITUTE(SUBSTITUTE(INDEX(職員マスタ!$B$6:$B$405,$AN2540)," ","")," ","")),"氏名がマスタと相違／","")&amp;IF(AND($Q2540&lt;&gt;"",INDEX(職員マスタ!$E$6:$E$405,$AN2540)&lt;&gt;"",$Q2540&lt;&gt;INDEX(職員マスタ!$E$6:$E$405,$AN2540)),"子の生年月日がマスタと相違／","")&amp;IF(AND($L2540&lt;&gt;"",INDEX(職員マスタ!$G$6:$G$405,$AN2540)&lt;&gt;"",$L2540&lt;&gt;INDEX(職員マスタ!$G$6:$G$405,$AN2540)),"時短開始日がマスタと相違／","")&amp;IF(AND($M2540&lt;&gt;"",INDEX(職員マスタ!$H$6:$H$405,$AN2540)&lt;&gt;"",$M2540&lt;&gt;INDEX(職員マスタ!$H$6:$H$405,$AN2540)),"時短終了日がマスタと相違／","")))&amp;IF(AND($B2540&lt;&gt;"",$E2540=""),"報酬額が未入力／","")&amp;IF(N($U2540)&gt;0,"申請書に入力エラーが残っています／","")&amp;IF(AND($B2540&lt;&gt;"",$AO2540&lt;&gt;""),IF(COUNTIFS($B$6:$B$3005,$B2540,$C$6:$C$3005,$C2540,$D$6:$D$3005,$D2540)&gt;1,"同じ月の請求が重複しています／",""),"")&amp;IF(AND(N($E2540)&gt;0,$Z2540&lt;&gt;"",$Z2540&lt;&gt;"×",$AC2540=0,$AB2540=""),"計算額が下限以下のため不支給／",""))</f>
        <v/>
      </c>
      <c r="AL2540" s="12" t="n"/>
      <c r="AM2540" s="14">
        <f>IF($AD2540="保留中",COUNTIF($AD$6:$AD2540,"保留中"),"")</f>
        <v/>
      </c>
      <c r="AN2540" s="14">
        <f>IF($AO2540="","",IF(SUMPRODUCT(MAX((職員マスタ!$A$6:$A$405=$B2540)*(((職員マスタ!$G$6:$G$405="")+(職員マスタ!$G$6:$G$405&lt;=EOMONTH($AO2540,0)))&gt;0)*(((職員マスタ!$H$6:$H$405="")+(職員マスタ!$H$6:$H$405&gt;=$AO2540))&gt;0)*(ROW(職員マスタ!$A$6:$A$405)-5)))&gt;0,SUMPRODUCT(MAX((職員マスタ!$A$6:$A$405=$B2540)*(((職員マスタ!$G$6:$G$405="")+(職員マスタ!$G$6:$G$405&lt;=EOMONTH($AO2540,0)))&gt;0)*(((職員マスタ!$H$6:$H$405="")+(職員マスタ!$H$6:$H$405&gt;=$AO2540))&gt;0)*(ROW(職員マスタ!$A$6:$A$405)-5))),IFERROR(MATCH($B2540,職員マスタ!$A$6:$A$405,0),"")))</f>
        <v/>
      </c>
      <c r="AO2540" s="16">
        <f>IF(OR($B2540="",$C2540="",$D2540=""),"",DATE($C2540+2018,$D2540,1))</f>
        <v/>
      </c>
    </row>
    <row r="2541">
      <c r="A2541" s="11" t="n"/>
      <c r="B2541" s="12" t="n"/>
      <c r="C2541" s="12" t="n"/>
      <c r="D2541" s="12" t="n"/>
      <c r="E2541" s="13" t="n"/>
      <c r="F2541" s="12" t="n"/>
      <c r="G2541" s="13" t="n"/>
      <c r="H2541" s="12" t="n"/>
      <c r="I2541" s="12" t="n"/>
      <c r="J2541" s="12" t="n"/>
      <c r="K2541" s="12" t="n"/>
      <c r="L2541" s="11" t="n"/>
      <c r="M2541" s="11" t="n"/>
      <c r="N2541" s="11" t="n"/>
      <c r="O2541" s="11" t="n"/>
      <c r="P2541" s="12" t="n"/>
      <c r="Q2541" s="11" t="n"/>
      <c r="R2541" s="12" t="n"/>
      <c r="S2541" s="11" t="n"/>
      <c r="T2541" s="12" t="n"/>
      <c r="U2541" s="12" t="n"/>
      <c r="V2541" s="14">
        <f>IF($AN2541="",IF($B2541="","",$H2541),IF(INDEX(職員マスタ!$B$6:$B$405,$AN2541)="",$H2541,INDEX(職員マスタ!$B$6:$B$405,$AN2541)))</f>
        <v/>
      </c>
      <c r="W2541" s="14">
        <f>IF($AN2541="",IF($B2541="","",$R2541),IF(INDEX(職員マスタ!$C$6:$C$405,$AN2541)="",$R2541,INDEX(職員マスタ!$C$6:$C$405,$AN2541)))</f>
        <v/>
      </c>
      <c r="X2541" s="14">
        <f>IF($AO2541="","","R"&amp;$C2541&amp;"."&amp;$D2541)</f>
        <v/>
      </c>
      <c r="Y2541" s="15">
        <f>IF($AN2541="","",IF(INDEX(職員マスタ!$K$6:$K$405,$AN2541)="","",INDEX(職員マスタ!$K$6:$K$405,$AN2541)))</f>
        <v/>
      </c>
      <c r="Z2541" s="14">
        <f>IF(OR($E2541="",$Y2541=""),"",IF($E2541&gt;=$Y2541,"×",IF($E2541&gt;=$Y2541*設定!$C$5,"△","○")))</f>
        <v/>
      </c>
      <c r="AA2541" s="15">
        <f>IF($Z2541="","",IF($Z2541="×",0,IF($Z2541="○",ROUNDDOWN($E2541*設定!$C$4,0),ROUNDDOWN($E2541*ROUND((9*$Y2541-9*$E2541)/(10*$E2541),4),0))))</f>
        <v/>
      </c>
      <c r="AB2541" s="13" t="n"/>
      <c r="AC2541" s="15">
        <f>IF($B2541="","",IF($AB2541&lt;&gt;"",$AB2541,IF($AA2541="","",IF($AA2541&lt;=設定!$C$3,0,$AA2541))))</f>
        <v/>
      </c>
      <c r="AD2541" s="14">
        <f>IF($B2541="","",IF(AND($AE2541&lt;&gt;"",$AG2541="",$AJ2541=""),"保留中",IF($AJ2541&lt;&gt;"",IF(N($AC2541)&gt;0,"支給済","不支給"),IF($AC2541="","要確認",IF($AC2541=0,"不支給","未処理")))))</f>
        <v/>
      </c>
      <c r="AE2541" s="12" t="n"/>
      <c r="AF2541" s="11" t="n"/>
      <c r="AG2541" s="11" t="n"/>
      <c r="AH2541" s="11" t="n"/>
      <c r="AI2541" s="14">
        <f>IF(AND($AD2541="保留中",$AF2541&lt;&gt;""),TODAY()-$AF2541,"")</f>
        <v/>
      </c>
      <c r="AJ2541" s="12" t="n"/>
      <c r="AK2541" s="14">
        <f>IF($B2541="","",IF($AO2541="","対象年月が未入力／","")&amp;IF($B2541="","",IF($AN2541="","職員マスタに未登録の職員番号／",IF($Y2541="","標準報酬月額が未登録／","")&amp;IF(AND($AO2541&lt;&gt;"",OR(AND(INDEX(職員マスタ!$G$6:$G$405,$AN2541)&lt;&gt;"",INDEX(職員マスタ!$G$6:$G$405,$AN2541)&gt;EOMONTH($AO2541,0)),AND(INDEX(職員マスタ!$H$6:$H$405,$AN2541)&lt;&gt;"",INDEX(職員マスタ!$H$6:$H$405,$AN2541)&lt;$AO2541))),"対象月が時短期間外／","")&amp;IF(AND(INDEX(職員マスタ!$F$6:$F$405,$AN2541)&lt;&gt;"",$AO2541&lt;&gt;"",INDEX(職員マスタ!$F$6:$F$405,$AN2541)&lt;$AO2541),"対象月に子が2歳到達済／","")&amp;IF(AND($H2541&lt;&gt;"",INDEX(職員マスタ!$B$6:$B$405,$AN2541)&lt;&gt;"",SUBSTITUTE(SUBSTITUTE($H2541," ","")," ","")&lt;&gt;SUBSTITUTE(SUBSTITUTE(INDEX(職員マスタ!$B$6:$B$405,$AN2541)," ","")," ","")),"氏名がマスタと相違／","")&amp;IF(AND($Q2541&lt;&gt;"",INDEX(職員マスタ!$E$6:$E$405,$AN2541)&lt;&gt;"",$Q2541&lt;&gt;INDEX(職員マスタ!$E$6:$E$405,$AN2541)),"子の生年月日がマスタと相違／","")&amp;IF(AND($L2541&lt;&gt;"",INDEX(職員マスタ!$G$6:$G$405,$AN2541)&lt;&gt;"",$L2541&lt;&gt;INDEX(職員マスタ!$G$6:$G$405,$AN2541)),"時短開始日がマスタと相違／","")&amp;IF(AND($M2541&lt;&gt;"",INDEX(職員マスタ!$H$6:$H$405,$AN2541)&lt;&gt;"",$M2541&lt;&gt;INDEX(職員マスタ!$H$6:$H$405,$AN2541)),"時短終了日がマスタと相違／","")))&amp;IF(AND($B2541&lt;&gt;"",$E2541=""),"報酬額が未入力／","")&amp;IF(N($U2541)&gt;0,"申請書に入力エラーが残っています／","")&amp;IF(AND($B2541&lt;&gt;"",$AO2541&lt;&gt;""),IF(COUNTIFS($B$6:$B$3005,$B2541,$C$6:$C$3005,$C2541,$D$6:$D$3005,$D2541)&gt;1,"同じ月の請求が重複しています／",""),"")&amp;IF(AND(N($E2541)&gt;0,$Z2541&lt;&gt;"",$Z2541&lt;&gt;"×",$AC2541=0,$AB2541=""),"計算額が下限以下のため不支給／",""))</f>
        <v/>
      </c>
      <c r="AL2541" s="12" t="n"/>
      <c r="AM2541" s="14">
        <f>IF($AD2541="保留中",COUNTIF($AD$6:$AD2541,"保留中"),"")</f>
        <v/>
      </c>
      <c r="AN2541" s="14">
        <f>IF($AO2541="","",IF(SUMPRODUCT(MAX((職員マスタ!$A$6:$A$405=$B2541)*(((職員マスタ!$G$6:$G$405="")+(職員マスタ!$G$6:$G$405&lt;=EOMONTH($AO2541,0)))&gt;0)*(((職員マスタ!$H$6:$H$405="")+(職員マスタ!$H$6:$H$405&gt;=$AO2541))&gt;0)*(ROW(職員マスタ!$A$6:$A$405)-5)))&gt;0,SUMPRODUCT(MAX((職員マスタ!$A$6:$A$405=$B2541)*(((職員マスタ!$G$6:$G$405="")+(職員マスタ!$G$6:$G$405&lt;=EOMONTH($AO2541,0)))&gt;0)*(((職員マスタ!$H$6:$H$405="")+(職員マスタ!$H$6:$H$405&gt;=$AO2541))&gt;0)*(ROW(職員マスタ!$A$6:$A$405)-5))),IFERROR(MATCH($B2541,職員マスタ!$A$6:$A$405,0),"")))</f>
        <v/>
      </c>
      <c r="AO2541" s="16">
        <f>IF(OR($B2541="",$C2541="",$D2541=""),"",DATE($C2541+2018,$D2541,1))</f>
        <v/>
      </c>
    </row>
    <row r="2542">
      <c r="A2542" s="11" t="n"/>
      <c r="B2542" s="12" t="n"/>
      <c r="C2542" s="12" t="n"/>
      <c r="D2542" s="12" t="n"/>
      <c r="E2542" s="13" t="n"/>
      <c r="F2542" s="12" t="n"/>
      <c r="G2542" s="13" t="n"/>
      <c r="H2542" s="12" t="n"/>
      <c r="I2542" s="12" t="n"/>
      <c r="J2542" s="12" t="n"/>
      <c r="K2542" s="12" t="n"/>
      <c r="L2542" s="11" t="n"/>
      <c r="M2542" s="11" t="n"/>
      <c r="N2542" s="11" t="n"/>
      <c r="O2542" s="11" t="n"/>
      <c r="P2542" s="12" t="n"/>
      <c r="Q2542" s="11" t="n"/>
      <c r="R2542" s="12" t="n"/>
      <c r="S2542" s="11" t="n"/>
      <c r="T2542" s="12" t="n"/>
      <c r="U2542" s="12" t="n"/>
      <c r="V2542" s="14">
        <f>IF($AN2542="",IF($B2542="","",$H2542),IF(INDEX(職員マスタ!$B$6:$B$405,$AN2542)="",$H2542,INDEX(職員マスタ!$B$6:$B$405,$AN2542)))</f>
        <v/>
      </c>
      <c r="W2542" s="14">
        <f>IF($AN2542="",IF($B2542="","",$R2542),IF(INDEX(職員マスタ!$C$6:$C$405,$AN2542)="",$R2542,INDEX(職員マスタ!$C$6:$C$405,$AN2542)))</f>
        <v/>
      </c>
      <c r="X2542" s="14">
        <f>IF($AO2542="","","R"&amp;$C2542&amp;"."&amp;$D2542)</f>
        <v/>
      </c>
      <c r="Y2542" s="15">
        <f>IF($AN2542="","",IF(INDEX(職員マスタ!$K$6:$K$405,$AN2542)="","",INDEX(職員マスタ!$K$6:$K$405,$AN2542)))</f>
        <v/>
      </c>
      <c r="Z2542" s="14">
        <f>IF(OR($E2542="",$Y2542=""),"",IF($E2542&gt;=$Y2542,"×",IF($E2542&gt;=$Y2542*設定!$C$5,"△","○")))</f>
        <v/>
      </c>
      <c r="AA2542" s="15">
        <f>IF($Z2542="","",IF($Z2542="×",0,IF($Z2542="○",ROUNDDOWN($E2542*設定!$C$4,0),ROUNDDOWN($E2542*ROUND((9*$Y2542-9*$E2542)/(10*$E2542),4),0))))</f>
        <v/>
      </c>
      <c r="AB2542" s="13" t="n"/>
      <c r="AC2542" s="15">
        <f>IF($B2542="","",IF($AB2542&lt;&gt;"",$AB2542,IF($AA2542="","",IF($AA2542&lt;=設定!$C$3,0,$AA2542))))</f>
        <v/>
      </c>
      <c r="AD2542" s="14">
        <f>IF($B2542="","",IF(AND($AE2542&lt;&gt;"",$AG2542="",$AJ2542=""),"保留中",IF($AJ2542&lt;&gt;"",IF(N($AC2542)&gt;0,"支給済","不支給"),IF($AC2542="","要確認",IF($AC2542=0,"不支給","未処理")))))</f>
        <v/>
      </c>
      <c r="AE2542" s="12" t="n"/>
      <c r="AF2542" s="11" t="n"/>
      <c r="AG2542" s="11" t="n"/>
      <c r="AH2542" s="11" t="n"/>
      <c r="AI2542" s="14">
        <f>IF(AND($AD2542="保留中",$AF2542&lt;&gt;""),TODAY()-$AF2542,"")</f>
        <v/>
      </c>
      <c r="AJ2542" s="12" t="n"/>
      <c r="AK2542" s="14">
        <f>IF($B2542="","",IF($AO2542="","対象年月が未入力／","")&amp;IF($B2542="","",IF($AN2542="","職員マスタに未登録の職員番号／",IF($Y2542="","標準報酬月額が未登録／","")&amp;IF(AND($AO2542&lt;&gt;"",OR(AND(INDEX(職員マスタ!$G$6:$G$405,$AN2542)&lt;&gt;"",INDEX(職員マスタ!$G$6:$G$405,$AN2542)&gt;EOMONTH($AO2542,0)),AND(INDEX(職員マスタ!$H$6:$H$405,$AN2542)&lt;&gt;"",INDEX(職員マスタ!$H$6:$H$405,$AN2542)&lt;$AO2542))),"対象月が時短期間外／","")&amp;IF(AND(INDEX(職員マスタ!$F$6:$F$405,$AN2542)&lt;&gt;"",$AO2542&lt;&gt;"",INDEX(職員マスタ!$F$6:$F$405,$AN2542)&lt;$AO2542),"対象月に子が2歳到達済／","")&amp;IF(AND($H2542&lt;&gt;"",INDEX(職員マスタ!$B$6:$B$405,$AN2542)&lt;&gt;"",SUBSTITUTE(SUBSTITUTE($H2542," ","")," ","")&lt;&gt;SUBSTITUTE(SUBSTITUTE(INDEX(職員マスタ!$B$6:$B$405,$AN2542)," ","")," ","")),"氏名がマスタと相違／","")&amp;IF(AND($Q2542&lt;&gt;"",INDEX(職員マスタ!$E$6:$E$405,$AN2542)&lt;&gt;"",$Q2542&lt;&gt;INDEX(職員マスタ!$E$6:$E$405,$AN2542)),"子の生年月日がマスタと相違／","")&amp;IF(AND($L2542&lt;&gt;"",INDEX(職員マスタ!$G$6:$G$405,$AN2542)&lt;&gt;"",$L2542&lt;&gt;INDEX(職員マスタ!$G$6:$G$405,$AN2542)),"時短開始日がマスタと相違／","")&amp;IF(AND($M2542&lt;&gt;"",INDEX(職員マスタ!$H$6:$H$405,$AN2542)&lt;&gt;"",$M2542&lt;&gt;INDEX(職員マスタ!$H$6:$H$405,$AN2542)),"時短終了日がマスタと相違／","")))&amp;IF(AND($B2542&lt;&gt;"",$E2542=""),"報酬額が未入力／","")&amp;IF(N($U2542)&gt;0,"申請書に入力エラーが残っています／","")&amp;IF(AND($B2542&lt;&gt;"",$AO2542&lt;&gt;""),IF(COUNTIFS($B$6:$B$3005,$B2542,$C$6:$C$3005,$C2542,$D$6:$D$3005,$D2542)&gt;1,"同じ月の請求が重複しています／",""),"")&amp;IF(AND(N($E2542)&gt;0,$Z2542&lt;&gt;"",$Z2542&lt;&gt;"×",$AC2542=0,$AB2542=""),"計算額が下限以下のため不支給／",""))</f>
        <v/>
      </c>
      <c r="AL2542" s="12" t="n"/>
      <c r="AM2542" s="14">
        <f>IF($AD2542="保留中",COUNTIF($AD$6:$AD2542,"保留中"),"")</f>
        <v/>
      </c>
      <c r="AN2542" s="14">
        <f>IF($AO2542="","",IF(SUMPRODUCT(MAX((職員マスタ!$A$6:$A$405=$B2542)*(((職員マスタ!$G$6:$G$405="")+(職員マスタ!$G$6:$G$405&lt;=EOMONTH($AO2542,0)))&gt;0)*(((職員マスタ!$H$6:$H$405="")+(職員マスタ!$H$6:$H$405&gt;=$AO2542))&gt;0)*(ROW(職員マスタ!$A$6:$A$405)-5)))&gt;0,SUMPRODUCT(MAX((職員マスタ!$A$6:$A$405=$B2542)*(((職員マスタ!$G$6:$G$405="")+(職員マスタ!$G$6:$G$405&lt;=EOMONTH($AO2542,0)))&gt;0)*(((職員マスタ!$H$6:$H$405="")+(職員マスタ!$H$6:$H$405&gt;=$AO2542))&gt;0)*(ROW(職員マスタ!$A$6:$A$405)-5))),IFERROR(MATCH($B2542,職員マスタ!$A$6:$A$405,0),"")))</f>
        <v/>
      </c>
      <c r="AO2542" s="16">
        <f>IF(OR($B2542="",$C2542="",$D2542=""),"",DATE($C2542+2018,$D2542,1))</f>
        <v/>
      </c>
    </row>
    <row r="2543">
      <c r="A2543" s="11" t="n"/>
      <c r="B2543" s="12" t="n"/>
      <c r="C2543" s="12" t="n"/>
      <c r="D2543" s="12" t="n"/>
      <c r="E2543" s="13" t="n"/>
      <c r="F2543" s="12" t="n"/>
      <c r="G2543" s="13" t="n"/>
      <c r="H2543" s="12" t="n"/>
      <c r="I2543" s="12" t="n"/>
      <c r="J2543" s="12" t="n"/>
      <c r="K2543" s="12" t="n"/>
      <c r="L2543" s="11" t="n"/>
      <c r="M2543" s="11" t="n"/>
      <c r="N2543" s="11" t="n"/>
      <c r="O2543" s="11" t="n"/>
      <c r="P2543" s="12" t="n"/>
      <c r="Q2543" s="11" t="n"/>
      <c r="R2543" s="12" t="n"/>
      <c r="S2543" s="11" t="n"/>
      <c r="T2543" s="12" t="n"/>
      <c r="U2543" s="12" t="n"/>
      <c r="V2543" s="14">
        <f>IF($AN2543="",IF($B2543="","",$H2543),IF(INDEX(職員マスタ!$B$6:$B$405,$AN2543)="",$H2543,INDEX(職員マスタ!$B$6:$B$405,$AN2543)))</f>
        <v/>
      </c>
      <c r="W2543" s="14">
        <f>IF($AN2543="",IF($B2543="","",$R2543),IF(INDEX(職員マスタ!$C$6:$C$405,$AN2543)="",$R2543,INDEX(職員マスタ!$C$6:$C$405,$AN2543)))</f>
        <v/>
      </c>
      <c r="X2543" s="14">
        <f>IF($AO2543="","","R"&amp;$C2543&amp;"."&amp;$D2543)</f>
        <v/>
      </c>
      <c r="Y2543" s="15">
        <f>IF($AN2543="","",IF(INDEX(職員マスタ!$K$6:$K$405,$AN2543)="","",INDEX(職員マスタ!$K$6:$K$405,$AN2543)))</f>
        <v/>
      </c>
      <c r="Z2543" s="14">
        <f>IF(OR($E2543="",$Y2543=""),"",IF($E2543&gt;=$Y2543,"×",IF($E2543&gt;=$Y2543*設定!$C$5,"△","○")))</f>
        <v/>
      </c>
      <c r="AA2543" s="15">
        <f>IF($Z2543="","",IF($Z2543="×",0,IF($Z2543="○",ROUNDDOWN($E2543*設定!$C$4,0),ROUNDDOWN($E2543*ROUND((9*$Y2543-9*$E2543)/(10*$E2543),4),0))))</f>
        <v/>
      </c>
      <c r="AB2543" s="13" t="n"/>
      <c r="AC2543" s="15">
        <f>IF($B2543="","",IF($AB2543&lt;&gt;"",$AB2543,IF($AA2543="","",IF($AA2543&lt;=設定!$C$3,0,$AA2543))))</f>
        <v/>
      </c>
      <c r="AD2543" s="14">
        <f>IF($B2543="","",IF(AND($AE2543&lt;&gt;"",$AG2543="",$AJ2543=""),"保留中",IF($AJ2543&lt;&gt;"",IF(N($AC2543)&gt;0,"支給済","不支給"),IF($AC2543="","要確認",IF($AC2543=0,"不支給","未処理")))))</f>
        <v/>
      </c>
      <c r="AE2543" s="12" t="n"/>
      <c r="AF2543" s="11" t="n"/>
      <c r="AG2543" s="11" t="n"/>
      <c r="AH2543" s="11" t="n"/>
      <c r="AI2543" s="14">
        <f>IF(AND($AD2543="保留中",$AF2543&lt;&gt;""),TODAY()-$AF2543,"")</f>
        <v/>
      </c>
      <c r="AJ2543" s="12" t="n"/>
      <c r="AK2543" s="14">
        <f>IF($B2543="","",IF($AO2543="","対象年月が未入力／","")&amp;IF($B2543="","",IF($AN2543="","職員マスタに未登録の職員番号／",IF($Y2543="","標準報酬月額が未登録／","")&amp;IF(AND($AO2543&lt;&gt;"",OR(AND(INDEX(職員マスタ!$G$6:$G$405,$AN2543)&lt;&gt;"",INDEX(職員マスタ!$G$6:$G$405,$AN2543)&gt;EOMONTH($AO2543,0)),AND(INDEX(職員マスタ!$H$6:$H$405,$AN2543)&lt;&gt;"",INDEX(職員マスタ!$H$6:$H$405,$AN2543)&lt;$AO2543))),"対象月が時短期間外／","")&amp;IF(AND(INDEX(職員マスタ!$F$6:$F$405,$AN2543)&lt;&gt;"",$AO2543&lt;&gt;"",INDEX(職員マスタ!$F$6:$F$405,$AN2543)&lt;$AO2543),"対象月に子が2歳到達済／","")&amp;IF(AND($H2543&lt;&gt;"",INDEX(職員マスタ!$B$6:$B$405,$AN2543)&lt;&gt;"",SUBSTITUTE(SUBSTITUTE($H2543," ","")," ","")&lt;&gt;SUBSTITUTE(SUBSTITUTE(INDEX(職員マスタ!$B$6:$B$405,$AN2543)," ","")," ","")),"氏名がマスタと相違／","")&amp;IF(AND($Q2543&lt;&gt;"",INDEX(職員マスタ!$E$6:$E$405,$AN2543)&lt;&gt;"",$Q2543&lt;&gt;INDEX(職員マスタ!$E$6:$E$405,$AN2543)),"子の生年月日がマスタと相違／","")&amp;IF(AND($L2543&lt;&gt;"",INDEX(職員マスタ!$G$6:$G$405,$AN2543)&lt;&gt;"",$L2543&lt;&gt;INDEX(職員マスタ!$G$6:$G$405,$AN2543)),"時短開始日がマスタと相違／","")&amp;IF(AND($M2543&lt;&gt;"",INDEX(職員マスタ!$H$6:$H$405,$AN2543)&lt;&gt;"",$M2543&lt;&gt;INDEX(職員マスタ!$H$6:$H$405,$AN2543)),"時短終了日がマスタと相違／","")))&amp;IF(AND($B2543&lt;&gt;"",$E2543=""),"報酬額が未入力／","")&amp;IF(N($U2543)&gt;0,"申請書に入力エラーが残っています／","")&amp;IF(AND($B2543&lt;&gt;"",$AO2543&lt;&gt;""),IF(COUNTIFS($B$6:$B$3005,$B2543,$C$6:$C$3005,$C2543,$D$6:$D$3005,$D2543)&gt;1,"同じ月の請求が重複しています／",""),"")&amp;IF(AND(N($E2543)&gt;0,$Z2543&lt;&gt;"",$Z2543&lt;&gt;"×",$AC2543=0,$AB2543=""),"計算額が下限以下のため不支給／",""))</f>
        <v/>
      </c>
      <c r="AL2543" s="12" t="n"/>
      <c r="AM2543" s="14">
        <f>IF($AD2543="保留中",COUNTIF($AD$6:$AD2543,"保留中"),"")</f>
        <v/>
      </c>
      <c r="AN2543" s="14">
        <f>IF($AO2543="","",IF(SUMPRODUCT(MAX((職員マスタ!$A$6:$A$405=$B2543)*(((職員マスタ!$G$6:$G$405="")+(職員マスタ!$G$6:$G$405&lt;=EOMONTH($AO2543,0)))&gt;0)*(((職員マスタ!$H$6:$H$405="")+(職員マスタ!$H$6:$H$405&gt;=$AO2543))&gt;0)*(ROW(職員マスタ!$A$6:$A$405)-5)))&gt;0,SUMPRODUCT(MAX((職員マスタ!$A$6:$A$405=$B2543)*(((職員マスタ!$G$6:$G$405="")+(職員マスタ!$G$6:$G$405&lt;=EOMONTH($AO2543,0)))&gt;0)*(((職員マスタ!$H$6:$H$405="")+(職員マスタ!$H$6:$H$405&gt;=$AO2543))&gt;0)*(ROW(職員マスタ!$A$6:$A$405)-5))),IFERROR(MATCH($B2543,職員マスタ!$A$6:$A$405,0),"")))</f>
        <v/>
      </c>
      <c r="AO2543" s="16">
        <f>IF(OR($B2543="",$C2543="",$D2543=""),"",DATE($C2543+2018,$D2543,1))</f>
        <v/>
      </c>
    </row>
    <row r="2544">
      <c r="A2544" s="11" t="n"/>
      <c r="B2544" s="12" t="n"/>
      <c r="C2544" s="12" t="n"/>
      <c r="D2544" s="12" t="n"/>
      <c r="E2544" s="13" t="n"/>
      <c r="F2544" s="12" t="n"/>
      <c r="G2544" s="13" t="n"/>
      <c r="H2544" s="12" t="n"/>
      <c r="I2544" s="12" t="n"/>
      <c r="J2544" s="12" t="n"/>
      <c r="K2544" s="12" t="n"/>
      <c r="L2544" s="11" t="n"/>
      <c r="M2544" s="11" t="n"/>
      <c r="N2544" s="11" t="n"/>
      <c r="O2544" s="11" t="n"/>
      <c r="P2544" s="12" t="n"/>
      <c r="Q2544" s="11" t="n"/>
      <c r="R2544" s="12" t="n"/>
      <c r="S2544" s="11" t="n"/>
      <c r="T2544" s="12" t="n"/>
      <c r="U2544" s="12" t="n"/>
      <c r="V2544" s="14">
        <f>IF($AN2544="",IF($B2544="","",$H2544),IF(INDEX(職員マスタ!$B$6:$B$405,$AN2544)="",$H2544,INDEX(職員マスタ!$B$6:$B$405,$AN2544)))</f>
        <v/>
      </c>
      <c r="W2544" s="14">
        <f>IF($AN2544="",IF($B2544="","",$R2544),IF(INDEX(職員マスタ!$C$6:$C$405,$AN2544)="",$R2544,INDEX(職員マスタ!$C$6:$C$405,$AN2544)))</f>
        <v/>
      </c>
      <c r="X2544" s="14">
        <f>IF($AO2544="","","R"&amp;$C2544&amp;"."&amp;$D2544)</f>
        <v/>
      </c>
      <c r="Y2544" s="15">
        <f>IF($AN2544="","",IF(INDEX(職員マスタ!$K$6:$K$405,$AN2544)="","",INDEX(職員マスタ!$K$6:$K$405,$AN2544)))</f>
        <v/>
      </c>
      <c r="Z2544" s="14">
        <f>IF(OR($E2544="",$Y2544=""),"",IF($E2544&gt;=$Y2544,"×",IF($E2544&gt;=$Y2544*設定!$C$5,"△","○")))</f>
        <v/>
      </c>
      <c r="AA2544" s="15">
        <f>IF($Z2544="","",IF($Z2544="×",0,IF($Z2544="○",ROUNDDOWN($E2544*設定!$C$4,0),ROUNDDOWN($E2544*ROUND((9*$Y2544-9*$E2544)/(10*$E2544),4),0))))</f>
        <v/>
      </c>
      <c r="AB2544" s="13" t="n"/>
      <c r="AC2544" s="15">
        <f>IF($B2544="","",IF($AB2544&lt;&gt;"",$AB2544,IF($AA2544="","",IF($AA2544&lt;=設定!$C$3,0,$AA2544))))</f>
        <v/>
      </c>
      <c r="AD2544" s="14">
        <f>IF($B2544="","",IF(AND($AE2544&lt;&gt;"",$AG2544="",$AJ2544=""),"保留中",IF($AJ2544&lt;&gt;"",IF(N($AC2544)&gt;0,"支給済","不支給"),IF($AC2544="","要確認",IF($AC2544=0,"不支給","未処理")))))</f>
        <v/>
      </c>
      <c r="AE2544" s="12" t="n"/>
      <c r="AF2544" s="11" t="n"/>
      <c r="AG2544" s="11" t="n"/>
      <c r="AH2544" s="11" t="n"/>
      <c r="AI2544" s="14">
        <f>IF(AND($AD2544="保留中",$AF2544&lt;&gt;""),TODAY()-$AF2544,"")</f>
        <v/>
      </c>
      <c r="AJ2544" s="12" t="n"/>
      <c r="AK2544" s="14">
        <f>IF($B2544="","",IF($AO2544="","対象年月が未入力／","")&amp;IF($B2544="","",IF($AN2544="","職員マスタに未登録の職員番号／",IF($Y2544="","標準報酬月額が未登録／","")&amp;IF(AND($AO2544&lt;&gt;"",OR(AND(INDEX(職員マスタ!$G$6:$G$405,$AN2544)&lt;&gt;"",INDEX(職員マスタ!$G$6:$G$405,$AN2544)&gt;EOMONTH($AO2544,0)),AND(INDEX(職員マスタ!$H$6:$H$405,$AN2544)&lt;&gt;"",INDEX(職員マスタ!$H$6:$H$405,$AN2544)&lt;$AO2544))),"対象月が時短期間外／","")&amp;IF(AND(INDEX(職員マスタ!$F$6:$F$405,$AN2544)&lt;&gt;"",$AO2544&lt;&gt;"",INDEX(職員マスタ!$F$6:$F$405,$AN2544)&lt;$AO2544),"対象月に子が2歳到達済／","")&amp;IF(AND($H2544&lt;&gt;"",INDEX(職員マスタ!$B$6:$B$405,$AN2544)&lt;&gt;"",SUBSTITUTE(SUBSTITUTE($H2544," ","")," ","")&lt;&gt;SUBSTITUTE(SUBSTITUTE(INDEX(職員マスタ!$B$6:$B$405,$AN2544)," ","")," ","")),"氏名がマスタと相違／","")&amp;IF(AND($Q2544&lt;&gt;"",INDEX(職員マスタ!$E$6:$E$405,$AN2544)&lt;&gt;"",$Q2544&lt;&gt;INDEX(職員マスタ!$E$6:$E$405,$AN2544)),"子の生年月日がマスタと相違／","")&amp;IF(AND($L2544&lt;&gt;"",INDEX(職員マスタ!$G$6:$G$405,$AN2544)&lt;&gt;"",$L2544&lt;&gt;INDEX(職員マスタ!$G$6:$G$405,$AN2544)),"時短開始日がマスタと相違／","")&amp;IF(AND($M2544&lt;&gt;"",INDEX(職員マスタ!$H$6:$H$405,$AN2544)&lt;&gt;"",$M2544&lt;&gt;INDEX(職員マスタ!$H$6:$H$405,$AN2544)),"時短終了日がマスタと相違／","")))&amp;IF(AND($B2544&lt;&gt;"",$E2544=""),"報酬額が未入力／","")&amp;IF(N($U2544)&gt;0,"申請書に入力エラーが残っています／","")&amp;IF(AND($B2544&lt;&gt;"",$AO2544&lt;&gt;""),IF(COUNTIFS($B$6:$B$3005,$B2544,$C$6:$C$3005,$C2544,$D$6:$D$3005,$D2544)&gt;1,"同じ月の請求が重複しています／",""),"")&amp;IF(AND(N($E2544)&gt;0,$Z2544&lt;&gt;"",$Z2544&lt;&gt;"×",$AC2544=0,$AB2544=""),"計算額が下限以下のため不支給／",""))</f>
        <v/>
      </c>
      <c r="AL2544" s="12" t="n"/>
      <c r="AM2544" s="14">
        <f>IF($AD2544="保留中",COUNTIF($AD$6:$AD2544,"保留中"),"")</f>
        <v/>
      </c>
      <c r="AN2544" s="14">
        <f>IF($AO2544="","",IF(SUMPRODUCT(MAX((職員マスタ!$A$6:$A$405=$B2544)*(((職員マスタ!$G$6:$G$405="")+(職員マスタ!$G$6:$G$405&lt;=EOMONTH($AO2544,0)))&gt;0)*(((職員マスタ!$H$6:$H$405="")+(職員マスタ!$H$6:$H$405&gt;=$AO2544))&gt;0)*(ROW(職員マスタ!$A$6:$A$405)-5)))&gt;0,SUMPRODUCT(MAX((職員マスタ!$A$6:$A$405=$B2544)*(((職員マスタ!$G$6:$G$405="")+(職員マスタ!$G$6:$G$405&lt;=EOMONTH($AO2544,0)))&gt;0)*(((職員マスタ!$H$6:$H$405="")+(職員マスタ!$H$6:$H$405&gt;=$AO2544))&gt;0)*(ROW(職員マスタ!$A$6:$A$405)-5))),IFERROR(MATCH($B2544,職員マスタ!$A$6:$A$405,0),"")))</f>
        <v/>
      </c>
      <c r="AO2544" s="16">
        <f>IF(OR($B2544="",$C2544="",$D2544=""),"",DATE($C2544+2018,$D2544,1))</f>
        <v/>
      </c>
    </row>
    <row r="2545">
      <c r="A2545" s="11" t="n"/>
      <c r="B2545" s="12" t="n"/>
      <c r="C2545" s="12" t="n"/>
      <c r="D2545" s="12" t="n"/>
      <c r="E2545" s="13" t="n"/>
      <c r="F2545" s="12" t="n"/>
      <c r="G2545" s="13" t="n"/>
      <c r="H2545" s="12" t="n"/>
      <c r="I2545" s="12" t="n"/>
      <c r="J2545" s="12" t="n"/>
      <c r="K2545" s="12" t="n"/>
      <c r="L2545" s="11" t="n"/>
      <c r="M2545" s="11" t="n"/>
      <c r="N2545" s="11" t="n"/>
      <c r="O2545" s="11" t="n"/>
      <c r="P2545" s="12" t="n"/>
      <c r="Q2545" s="11" t="n"/>
      <c r="R2545" s="12" t="n"/>
      <c r="S2545" s="11" t="n"/>
      <c r="T2545" s="12" t="n"/>
      <c r="U2545" s="12" t="n"/>
      <c r="V2545" s="14">
        <f>IF($AN2545="",IF($B2545="","",$H2545),IF(INDEX(職員マスタ!$B$6:$B$405,$AN2545)="",$H2545,INDEX(職員マスタ!$B$6:$B$405,$AN2545)))</f>
        <v/>
      </c>
      <c r="W2545" s="14">
        <f>IF($AN2545="",IF($B2545="","",$R2545),IF(INDEX(職員マスタ!$C$6:$C$405,$AN2545)="",$R2545,INDEX(職員マスタ!$C$6:$C$405,$AN2545)))</f>
        <v/>
      </c>
      <c r="X2545" s="14">
        <f>IF($AO2545="","","R"&amp;$C2545&amp;"."&amp;$D2545)</f>
        <v/>
      </c>
      <c r="Y2545" s="15">
        <f>IF($AN2545="","",IF(INDEX(職員マスタ!$K$6:$K$405,$AN2545)="","",INDEX(職員マスタ!$K$6:$K$405,$AN2545)))</f>
        <v/>
      </c>
      <c r="Z2545" s="14">
        <f>IF(OR($E2545="",$Y2545=""),"",IF($E2545&gt;=$Y2545,"×",IF($E2545&gt;=$Y2545*設定!$C$5,"△","○")))</f>
        <v/>
      </c>
      <c r="AA2545" s="15">
        <f>IF($Z2545="","",IF($Z2545="×",0,IF($Z2545="○",ROUNDDOWN($E2545*設定!$C$4,0),ROUNDDOWN($E2545*ROUND((9*$Y2545-9*$E2545)/(10*$E2545),4),0))))</f>
        <v/>
      </c>
      <c r="AB2545" s="13" t="n"/>
      <c r="AC2545" s="15">
        <f>IF($B2545="","",IF($AB2545&lt;&gt;"",$AB2545,IF($AA2545="","",IF($AA2545&lt;=設定!$C$3,0,$AA2545))))</f>
        <v/>
      </c>
      <c r="AD2545" s="14">
        <f>IF($B2545="","",IF(AND($AE2545&lt;&gt;"",$AG2545="",$AJ2545=""),"保留中",IF($AJ2545&lt;&gt;"",IF(N($AC2545)&gt;0,"支給済","不支給"),IF($AC2545="","要確認",IF($AC2545=0,"不支給","未処理")))))</f>
        <v/>
      </c>
      <c r="AE2545" s="12" t="n"/>
      <c r="AF2545" s="11" t="n"/>
      <c r="AG2545" s="11" t="n"/>
      <c r="AH2545" s="11" t="n"/>
      <c r="AI2545" s="14">
        <f>IF(AND($AD2545="保留中",$AF2545&lt;&gt;""),TODAY()-$AF2545,"")</f>
        <v/>
      </c>
      <c r="AJ2545" s="12" t="n"/>
      <c r="AK2545" s="14">
        <f>IF($B2545="","",IF($AO2545="","対象年月が未入力／","")&amp;IF($B2545="","",IF($AN2545="","職員マスタに未登録の職員番号／",IF($Y2545="","標準報酬月額が未登録／","")&amp;IF(AND($AO2545&lt;&gt;"",OR(AND(INDEX(職員マスタ!$G$6:$G$405,$AN2545)&lt;&gt;"",INDEX(職員マスタ!$G$6:$G$405,$AN2545)&gt;EOMONTH($AO2545,0)),AND(INDEX(職員マスタ!$H$6:$H$405,$AN2545)&lt;&gt;"",INDEX(職員マスタ!$H$6:$H$405,$AN2545)&lt;$AO2545))),"対象月が時短期間外／","")&amp;IF(AND(INDEX(職員マスタ!$F$6:$F$405,$AN2545)&lt;&gt;"",$AO2545&lt;&gt;"",INDEX(職員マスタ!$F$6:$F$405,$AN2545)&lt;$AO2545),"対象月に子が2歳到達済／","")&amp;IF(AND($H2545&lt;&gt;"",INDEX(職員マスタ!$B$6:$B$405,$AN2545)&lt;&gt;"",SUBSTITUTE(SUBSTITUTE($H2545," ","")," ","")&lt;&gt;SUBSTITUTE(SUBSTITUTE(INDEX(職員マスタ!$B$6:$B$405,$AN2545)," ","")," ","")),"氏名がマスタと相違／","")&amp;IF(AND($Q2545&lt;&gt;"",INDEX(職員マスタ!$E$6:$E$405,$AN2545)&lt;&gt;"",$Q2545&lt;&gt;INDEX(職員マスタ!$E$6:$E$405,$AN2545)),"子の生年月日がマスタと相違／","")&amp;IF(AND($L2545&lt;&gt;"",INDEX(職員マスタ!$G$6:$G$405,$AN2545)&lt;&gt;"",$L2545&lt;&gt;INDEX(職員マスタ!$G$6:$G$405,$AN2545)),"時短開始日がマスタと相違／","")&amp;IF(AND($M2545&lt;&gt;"",INDEX(職員マスタ!$H$6:$H$405,$AN2545)&lt;&gt;"",$M2545&lt;&gt;INDEX(職員マスタ!$H$6:$H$405,$AN2545)),"時短終了日がマスタと相違／","")))&amp;IF(AND($B2545&lt;&gt;"",$E2545=""),"報酬額が未入力／","")&amp;IF(N($U2545)&gt;0,"申請書に入力エラーが残っています／","")&amp;IF(AND($B2545&lt;&gt;"",$AO2545&lt;&gt;""),IF(COUNTIFS($B$6:$B$3005,$B2545,$C$6:$C$3005,$C2545,$D$6:$D$3005,$D2545)&gt;1,"同じ月の請求が重複しています／",""),"")&amp;IF(AND(N($E2545)&gt;0,$Z2545&lt;&gt;"",$Z2545&lt;&gt;"×",$AC2545=0,$AB2545=""),"計算額が下限以下のため不支給／",""))</f>
        <v/>
      </c>
      <c r="AL2545" s="12" t="n"/>
      <c r="AM2545" s="14">
        <f>IF($AD2545="保留中",COUNTIF($AD$6:$AD2545,"保留中"),"")</f>
        <v/>
      </c>
      <c r="AN2545" s="14">
        <f>IF($AO2545="","",IF(SUMPRODUCT(MAX((職員マスタ!$A$6:$A$405=$B2545)*(((職員マスタ!$G$6:$G$405="")+(職員マスタ!$G$6:$G$405&lt;=EOMONTH($AO2545,0)))&gt;0)*(((職員マスタ!$H$6:$H$405="")+(職員マスタ!$H$6:$H$405&gt;=$AO2545))&gt;0)*(ROW(職員マスタ!$A$6:$A$405)-5)))&gt;0,SUMPRODUCT(MAX((職員マスタ!$A$6:$A$405=$B2545)*(((職員マスタ!$G$6:$G$405="")+(職員マスタ!$G$6:$G$405&lt;=EOMONTH($AO2545,0)))&gt;0)*(((職員マスタ!$H$6:$H$405="")+(職員マスタ!$H$6:$H$405&gt;=$AO2545))&gt;0)*(ROW(職員マスタ!$A$6:$A$405)-5))),IFERROR(MATCH($B2545,職員マスタ!$A$6:$A$405,0),"")))</f>
        <v/>
      </c>
      <c r="AO2545" s="16">
        <f>IF(OR($B2545="",$C2545="",$D2545=""),"",DATE($C2545+2018,$D2545,1))</f>
        <v/>
      </c>
    </row>
    <row r="2546">
      <c r="A2546" s="11" t="n"/>
      <c r="B2546" s="12" t="n"/>
      <c r="C2546" s="12" t="n"/>
      <c r="D2546" s="12" t="n"/>
      <c r="E2546" s="13" t="n"/>
      <c r="F2546" s="12" t="n"/>
      <c r="G2546" s="13" t="n"/>
      <c r="H2546" s="12" t="n"/>
      <c r="I2546" s="12" t="n"/>
      <c r="J2546" s="12" t="n"/>
      <c r="K2546" s="12" t="n"/>
      <c r="L2546" s="11" t="n"/>
      <c r="M2546" s="11" t="n"/>
      <c r="N2546" s="11" t="n"/>
      <c r="O2546" s="11" t="n"/>
      <c r="P2546" s="12" t="n"/>
      <c r="Q2546" s="11" t="n"/>
      <c r="R2546" s="12" t="n"/>
      <c r="S2546" s="11" t="n"/>
      <c r="T2546" s="12" t="n"/>
      <c r="U2546" s="12" t="n"/>
      <c r="V2546" s="14">
        <f>IF($AN2546="",IF($B2546="","",$H2546),IF(INDEX(職員マスタ!$B$6:$B$405,$AN2546)="",$H2546,INDEX(職員マスタ!$B$6:$B$405,$AN2546)))</f>
        <v/>
      </c>
      <c r="W2546" s="14">
        <f>IF($AN2546="",IF($B2546="","",$R2546),IF(INDEX(職員マスタ!$C$6:$C$405,$AN2546)="",$R2546,INDEX(職員マスタ!$C$6:$C$405,$AN2546)))</f>
        <v/>
      </c>
      <c r="X2546" s="14">
        <f>IF($AO2546="","","R"&amp;$C2546&amp;"."&amp;$D2546)</f>
        <v/>
      </c>
      <c r="Y2546" s="15">
        <f>IF($AN2546="","",IF(INDEX(職員マスタ!$K$6:$K$405,$AN2546)="","",INDEX(職員マスタ!$K$6:$K$405,$AN2546)))</f>
        <v/>
      </c>
      <c r="Z2546" s="14">
        <f>IF(OR($E2546="",$Y2546=""),"",IF($E2546&gt;=$Y2546,"×",IF($E2546&gt;=$Y2546*設定!$C$5,"△","○")))</f>
        <v/>
      </c>
      <c r="AA2546" s="15">
        <f>IF($Z2546="","",IF($Z2546="×",0,IF($Z2546="○",ROUNDDOWN($E2546*設定!$C$4,0),ROUNDDOWN($E2546*ROUND((9*$Y2546-9*$E2546)/(10*$E2546),4),0))))</f>
        <v/>
      </c>
      <c r="AB2546" s="13" t="n"/>
      <c r="AC2546" s="15">
        <f>IF($B2546="","",IF($AB2546&lt;&gt;"",$AB2546,IF($AA2546="","",IF($AA2546&lt;=設定!$C$3,0,$AA2546))))</f>
        <v/>
      </c>
      <c r="AD2546" s="14">
        <f>IF($B2546="","",IF(AND($AE2546&lt;&gt;"",$AG2546="",$AJ2546=""),"保留中",IF($AJ2546&lt;&gt;"",IF(N($AC2546)&gt;0,"支給済","不支給"),IF($AC2546="","要確認",IF($AC2546=0,"不支給","未処理")))))</f>
        <v/>
      </c>
      <c r="AE2546" s="12" t="n"/>
      <c r="AF2546" s="11" t="n"/>
      <c r="AG2546" s="11" t="n"/>
      <c r="AH2546" s="11" t="n"/>
      <c r="AI2546" s="14">
        <f>IF(AND($AD2546="保留中",$AF2546&lt;&gt;""),TODAY()-$AF2546,"")</f>
        <v/>
      </c>
      <c r="AJ2546" s="12" t="n"/>
      <c r="AK2546" s="14">
        <f>IF($B2546="","",IF($AO2546="","対象年月が未入力／","")&amp;IF($B2546="","",IF($AN2546="","職員マスタに未登録の職員番号／",IF($Y2546="","標準報酬月額が未登録／","")&amp;IF(AND($AO2546&lt;&gt;"",OR(AND(INDEX(職員マスタ!$G$6:$G$405,$AN2546)&lt;&gt;"",INDEX(職員マスタ!$G$6:$G$405,$AN2546)&gt;EOMONTH($AO2546,0)),AND(INDEX(職員マスタ!$H$6:$H$405,$AN2546)&lt;&gt;"",INDEX(職員マスタ!$H$6:$H$405,$AN2546)&lt;$AO2546))),"対象月が時短期間外／","")&amp;IF(AND(INDEX(職員マスタ!$F$6:$F$405,$AN2546)&lt;&gt;"",$AO2546&lt;&gt;"",INDEX(職員マスタ!$F$6:$F$405,$AN2546)&lt;$AO2546),"対象月に子が2歳到達済／","")&amp;IF(AND($H2546&lt;&gt;"",INDEX(職員マスタ!$B$6:$B$405,$AN2546)&lt;&gt;"",SUBSTITUTE(SUBSTITUTE($H2546," ","")," ","")&lt;&gt;SUBSTITUTE(SUBSTITUTE(INDEX(職員マスタ!$B$6:$B$405,$AN2546)," ","")," ","")),"氏名がマスタと相違／","")&amp;IF(AND($Q2546&lt;&gt;"",INDEX(職員マスタ!$E$6:$E$405,$AN2546)&lt;&gt;"",$Q2546&lt;&gt;INDEX(職員マスタ!$E$6:$E$405,$AN2546)),"子の生年月日がマスタと相違／","")&amp;IF(AND($L2546&lt;&gt;"",INDEX(職員マスタ!$G$6:$G$405,$AN2546)&lt;&gt;"",$L2546&lt;&gt;INDEX(職員マスタ!$G$6:$G$405,$AN2546)),"時短開始日がマスタと相違／","")&amp;IF(AND($M2546&lt;&gt;"",INDEX(職員マスタ!$H$6:$H$405,$AN2546)&lt;&gt;"",$M2546&lt;&gt;INDEX(職員マスタ!$H$6:$H$405,$AN2546)),"時短終了日がマスタと相違／","")))&amp;IF(AND($B2546&lt;&gt;"",$E2546=""),"報酬額が未入力／","")&amp;IF(N($U2546)&gt;0,"申請書に入力エラーが残っています／","")&amp;IF(AND($B2546&lt;&gt;"",$AO2546&lt;&gt;""),IF(COUNTIFS($B$6:$B$3005,$B2546,$C$6:$C$3005,$C2546,$D$6:$D$3005,$D2546)&gt;1,"同じ月の請求が重複しています／",""),"")&amp;IF(AND(N($E2546)&gt;0,$Z2546&lt;&gt;"",$Z2546&lt;&gt;"×",$AC2546=0,$AB2546=""),"計算額が下限以下のため不支給／",""))</f>
        <v/>
      </c>
      <c r="AL2546" s="12" t="n"/>
      <c r="AM2546" s="14">
        <f>IF($AD2546="保留中",COUNTIF($AD$6:$AD2546,"保留中"),"")</f>
        <v/>
      </c>
      <c r="AN2546" s="14">
        <f>IF($AO2546="","",IF(SUMPRODUCT(MAX((職員マスタ!$A$6:$A$405=$B2546)*(((職員マスタ!$G$6:$G$405="")+(職員マスタ!$G$6:$G$405&lt;=EOMONTH($AO2546,0)))&gt;0)*(((職員マスタ!$H$6:$H$405="")+(職員マスタ!$H$6:$H$405&gt;=$AO2546))&gt;0)*(ROW(職員マスタ!$A$6:$A$405)-5)))&gt;0,SUMPRODUCT(MAX((職員マスタ!$A$6:$A$405=$B2546)*(((職員マスタ!$G$6:$G$405="")+(職員マスタ!$G$6:$G$405&lt;=EOMONTH($AO2546,0)))&gt;0)*(((職員マスタ!$H$6:$H$405="")+(職員マスタ!$H$6:$H$405&gt;=$AO2546))&gt;0)*(ROW(職員マスタ!$A$6:$A$405)-5))),IFERROR(MATCH($B2546,職員マスタ!$A$6:$A$405,0),"")))</f>
        <v/>
      </c>
      <c r="AO2546" s="16">
        <f>IF(OR($B2546="",$C2546="",$D2546=""),"",DATE($C2546+2018,$D2546,1))</f>
        <v/>
      </c>
    </row>
    <row r="2547">
      <c r="A2547" s="11" t="n"/>
      <c r="B2547" s="12" t="n"/>
      <c r="C2547" s="12" t="n"/>
      <c r="D2547" s="12" t="n"/>
      <c r="E2547" s="13" t="n"/>
      <c r="F2547" s="12" t="n"/>
      <c r="G2547" s="13" t="n"/>
      <c r="H2547" s="12" t="n"/>
      <c r="I2547" s="12" t="n"/>
      <c r="J2547" s="12" t="n"/>
      <c r="K2547" s="12" t="n"/>
      <c r="L2547" s="11" t="n"/>
      <c r="M2547" s="11" t="n"/>
      <c r="N2547" s="11" t="n"/>
      <c r="O2547" s="11" t="n"/>
      <c r="P2547" s="12" t="n"/>
      <c r="Q2547" s="11" t="n"/>
      <c r="R2547" s="12" t="n"/>
      <c r="S2547" s="11" t="n"/>
      <c r="T2547" s="12" t="n"/>
      <c r="U2547" s="12" t="n"/>
      <c r="V2547" s="14">
        <f>IF($AN2547="",IF($B2547="","",$H2547),IF(INDEX(職員マスタ!$B$6:$B$405,$AN2547)="",$H2547,INDEX(職員マスタ!$B$6:$B$405,$AN2547)))</f>
        <v/>
      </c>
      <c r="W2547" s="14">
        <f>IF($AN2547="",IF($B2547="","",$R2547),IF(INDEX(職員マスタ!$C$6:$C$405,$AN2547)="",$R2547,INDEX(職員マスタ!$C$6:$C$405,$AN2547)))</f>
        <v/>
      </c>
      <c r="X2547" s="14">
        <f>IF($AO2547="","","R"&amp;$C2547&amp;"."&amp;$D2547)</f>
        <v/>
      </c>
      <c r="Y2547" s="15">
        <f>IF($AN2547="","",IF(INDEX(職員マスタ!$K$6:$K$405,$AN2547)="","",INDEX(職員マスタ!$K$6:$K$405,$AN2547)))</f>
        <v/>
      </c>
      <c r="Z2547" s="14">
        <f>IF(OR($E2547="",$Y2547=""),"",IF($E2547&gt;=$Y2547,"×",IF($E2547&gt;=$Y2547*設定!$C$5,"△","○")))</f>
        <v/>
      </c>
      <c r="AA2547" s="15">
        <f>IF($Z2547="","",IF($Z2547="×",0,IF($Z2547="○",ROUNDDOWN($E2547*設定!$C$4,0),ROUNDDOWN($E2547*ROUND((9*$Y2547-9*$E2547)/(10*$E2547),4),0))))</f>
        <v/>
      </c>
      <c r="AB2547" s="13" t="n"/>
      <c r="AC2547" s="15">
        <f>IF($B2547="","",IF($AB2547&lt;&gt;"",$AB2547,IF($AA2547="","",IF($AA2547&lt;=設定!$C$3,0,$AA2547))))</f>
        <v/>
      </c>
      <c r="AD2547" s="14">
        <f>IF($B2547="","",IF(AND($AE2547&lt;&gt;"",$AG2547="",$AJ2547=""),"保留中",IF($AJ2547&lt;&gt;"",IF(N($AC2547)&gt;0,"支給済","不支給"),IF($AC2547="","要確認",IF($AC2547=0,"不支給","未処理")))))</f>
        <v/>
      </c>
      <c r="AE2547" s="12" t="n"/>
      <c r="AF2547" s="11" t="n"/>
      <c r="AG2547" s="11" t="n"/>
      <c r="AH2547" s="11" t="n"/>
      <c r="AI2547" s="14">
        <f>IF(AND($AD2547="保留中",$AF2547&lt;&gt;""),TODAY()-$AF2547,"")</f>
        <v/>
      </c>
      <c r="AJ2547" s="12" t="n"/>
      <c r="AK2547" s="14">
        <f>IF($B2547="","",IF($AO2547="","対象年月が未入力／","")&amp;IF($B2547="","",IF($AN2547="","職員マスタに未登録の職員番号／",IF($Y2547="","標準報酬月額が未登録／","")&amp;IF(AND($AO2547&lt;&gt;"",OR(AND(INDEX(職員マスタ!$G$6:$G$405,$AN2547)&lt;&gt;"",INDEX(職員マスタ!$G$6:$G$405,$AN2547)&gt;EOMONTH($AO2547,0)),AND(INDEX(職員マスタ!$H$6:$H$405,$AN2547)&lt;&gt;"",INDEX(職員マスタ!$H$6:$H$405,$AN2547)&lt;$AO2547))),"対象月が時短期間外／","")&amp;IF(AND(INDEX(職員マスタ!$F$6:$F$405,$AN2547)&lt;&gt;"",$AO2547&lt;&gt;"",INDEX(職員マスタ!$F$6:$F$405,$AN2547)&lt;$AO2547),"対象月に子が2歳到達済／","")&amp;IF(AND($H2547&lt;&gt;"",INDEX(職員マスタ!$B$6:$B$405,$AN2547)&lt;&gt;"",SUBSTITUTE(SUBSTITUTE($H2547," ","")," ","")&lt;&gt;SUBSTITUTE(SUBSTITUTE(INDEX(職員マスタ!$B$6:$B$405,$AN2547)," ","")," ","")),"氏名がマスタと相違／","")&amp;IF(AND($Q2547&lt;&gt;"",INDEX(職員マスタ!$E$6:$E$405,$AN2547)&lt;&gt;"",$Q2547&lt;&gt;INDEX(職員マスタ!$E$6:$E$405,$AN2547)),"子の生年月日がマスタと相違／","")&amp;IF(AND($L2547&lt;&gt;"",INDEX(職員マスタ!$G$6:$G$405,$AN2547)&lt;&gt;"",$L2547&lt;&gt;INDEX(職員マスタ!$G$6:$G$405,$AN2547)),"時短開始日がマスタと相違／","")&amp;IF(AND($M2547&lt;&gt;"",INDEX(職員マスタ!$H$6:$H$405,$AN2547)&lt;&gt;"",$M2547&lt;&gt;INDEX(職員マスタ!$H$6:$H$405,$AN2547)),"時短終了日がマスタと相違／","")))&amp;IF(AND($B2547&lt;&gt;"",$E2547=""),"報酬額が未入力／","")&amp;IF(N($U2547)&gt;0,"申請書に入力エラーが残っています／","")&amp;IF(AND($B2547&lt;&gt;"",$AO2547&lt;&gt;""),IF(COUNTIFS($B$6:$B$3005,$B2547,$C$6:$C$3005,$C2547,$D$6:$D$3005,$D2547)&gt;1,"同じ月の請求が重複しています／",""),"")&amp;IF(AND(N($E2547)&gt;0,$Z2547&lt;&gt;"",$Z2547&lt;&gt;"×",$AC2547=0,$AB2547=""),"計算額が下限以下のため不支給／",""))</f>
        <v/>
      </c>
      <c r="AL2547" s="12" t="n"/>
      <c r="AM2547" s="14">
        <f>IF($AD2547="保留中",COUNTIF($AD$6:$AD2547,"保留中"),"")</f>
        <v/>
      </c>
      <c r="AN2547" s="14">
        <f>IF($AO2547="","",IF(SUMPRODUCT(MAX((職員マスタ!$A$6:$A$405=$B2547)*(((職員マスタ!$G$6:$G$405="")+(職員マスタ!$G$6:$G$405&lt;=EOMONTH($AO2547,0)))&gt;0)*(((職員マスタ!$H$6:$H$405="")+(職員マスタ!$H$6:$H$405&gt;=$AO2547))&gt;0)*(ROW(職員マスタ!$A$6:$A$405)-5)))&gt;0,SUMPRODUCT(MAX((職員マスタ!$A$6:$A$405=$B2547)*(((職員マスタ!$G$6:$G$405="")+(職員マスタ!$G$6:$G$405&lt;=EOMONTH($AO2547,0)))&gt;0)*(((職員マスタ!$H$6:$H$405="")+(職員マスタ!$H$6:$H$405&gt;=$AO2547))&gt;0)*(ROW(職員マスタ!$A$6:$A$405)-5))),IFERROR(MATCH($B2547,職員マスタ!$A$6:$A$405,0),"")))</f>
        <v/>
      </c>
      <c r="AO2547" s="16">
        <f>IF(OR($B2547="",$C2547="",$D2547=""),"",DATE($C2547+2018,$D2547,1))</f>
        <v/>
      </c>
    </row>
    <row r="2548">
      <c r="A2548" s="11" t="n"/>
      <c r="B2548" s="12" t="n"/>
      <c r="C2548" s="12" t="n"/>
      <c r="D2548" s="12" t="n"/>
      <c r="E2548" s="13" t="n"/>
      <c r="F2548" s="12" t="n"/>
      <c r="G2548" s="13" t="n"/>
      <c r="H2548" s="12" t="n"/>
      <c r="I2548" s="12" t="n"/>
      <c r="J2548" s="12" t="n"/>
      <c r="K2548" s="12" t="n"/>
      <c r="L2548" s="11" t="n"/>
      <c r="M2548" s="11" t="n"/>
      <c r="N2548" s="11" t="n"/>
      <c r="O2548" s="11" t="n"/>
      <c r="P2548" s="12" t="n"/>
      <c r="Q2548" s="11" t="n"/>
      <c r="R2548" s="12" t="n"/>
      <c r="S2548" s="11" t="n"/>
      <c r="T2548" s="12" t="n"/>
      <c r="U2548" s="12" t="n"/>
      <c r="V2548" s="14">
        <f>IF($AN2548="",IF($B2548="","",$H2548),IF(INDEX(職員マスタ!$B$6:$B$405,$AN2548)="",$H2548,INDEX(職員マスタ!$B$6:$B$405,$AN2548)))</f>
        <v/>
      </c>
      <c r="W2548" s="14">
        <f>IF($AN2548="",IF($B2548="","",$R2548),IF(INDEX(職員マスタ!$C$6:$C$405,$AN2548)="",$R2548,INDEX(職員マスタ!$C$6:$C$405,$AN2548)))</f>
        <v/>
      </c>
      <c r="X2548" s="14">
        <f>IF($AO2548="","","R"&amp;$C2548&amp;"."&amp;$D2548)</f>
        <v/>
      </c>
      <c r="Y2548" s="15">
        <f>IF($AN2548="","",IF(INDEX(職員マスタ!$K$6:$K$405,$AN2548)="","",INDEX(職員マスタ!$K$6:$K$405,$AN2548)))</f>
        <v/>
      </c>
      <c r="Z2548" s="14">
        <f>IF(OR($E2548="",$Y2548=""),"",IF($E2548&gt;=$Y2548,"×",IF($E2548&gt;=$Y2548*設定!$C$5,"△","○")))</f>
        <v/>
      </c>
      <c r="AA2548" s="15">
        <f>IF($Z2548="","",IF($Z2548="×",0,IF($Z2548="○",ROUNDDOWN($E2548*設定!$C$4,0),ROUNDDOWN($E2548*ROUND((9*$Y2548-9*$E2548)/(10*$E2548),4),0))))</f>
        <v/>
      </c>
      <c r="AB2548" s="13" t="n"/>
      <c r="AC2548" s="15">
        <f>IF($B2548="","",IF($AB2548&lt;&gt;"",$AB2548,IF($AA2548="","",IF($AA2548&lt;=設定!$C$3,0,$AA2548))))</f>
        <v/>
      </c>
      <c r="AD2548" s="14">
        <f>IF($B2548="","",IF(AND($AE2548&lt;&gt;"",$AG2548="",$AJ2548=""),"保留中",IF($AJ2548&lt;&gt;"",IF(N($AC2548)&gt;0,"支給済","不支給"),IF($AC2548="","要確認",IF($AC2548=0,"不支給","未処理")))))</f>
        <v/>
      </c>
      <c r="AE2548" s="12" t="n"/>
      <c r="AF2548" s="11" t="n"/>
      <c r="AG2548" s="11" t="n"/>
      <c r="AH2548" s="11" t="n"/>
      <c r="AI2548" s="14">
        <f>IF(AND($AD2548="保留中",$AF2548&lt;&gt;""),TODAY()-$AF2548,"")</f>
        <v/>
      </c>
      <c r="AJ2548" s="12" t="n"/>
      <c r="AK2548" s="14">
        <f>IF($B2548="","",IF($AO2548="","対象年月が未入力／","")&amp;IF($B2548="","",IF($AN2548="","職員マスタに未登録の職員番号／",IF($Y2548="","標準報酬月額が未登録／","")&amp;IF(AND($AO2548&lt;&gt;"",OR(AND(INDEX(職員マスタ!$G$6:$G$405,$AN2548)&lt;&gt;"",INDEX(職員マスタ!$G$6:$G$405,$AN2548)&gt;EOMONTH($AO2548,0)),AND(INDEX(職員マスタ!$H$6:$H$405,$AN2548)&lt;&gt;"",INDEX(職員マスタ!$H$6:$H$405,$AN2548)&lt;$AO2548))),"対象月が時短期間外／","")&amp;IF(AND(INDEX(職員マスタ!$F$6:$F$405,$AN2548)&lt;&gt;"",$AO2548&lt;&gt;"",INDEX(職員マスタ!$F$6:$F$405,$AN2548)&lt;$AO2548),"対象月に子が2歳到達済／","")&amp;IF(AND($H2548&lt;&gt;"",INDEX(職員マスタ!$B$6:$B$405,$AN2548)&lt;&gt;"",SUBSTITUTE(SUBSTITUTE($H2548," ","")," ","")&lt;&gt;SUBSTITUTE(SUBSTITUTE(INDEX(職員マスタ!$B$6:$B$405,$AN2548)," ","")," ","")),"氏名がマスタと相違／","")&amp;IF(AND($Q2548&lt;&gt;"",INDEX(職員マスタ!$E$6:$E$405,$AN2548)&lt;&gt;"",$Q2548&lt;&gt;INDEX(職員マスタ!$E$6:$E$405,$AN2548)),"子の生年月日がマスタと相違／","")&amp;IF(AND($L2548&lt;&gt;"",INDEX(職員マスタ!$G$6:$G$405,$AN2548)&lt;&gt;"",$L2548&lt;&gt;INDEX(職員マスタ!$G$6:$G$405,$AN2548)),"時短開始日がマスタと相違／","")&amp;IF(AND($M2548&lt;&gt;"",INDEX(職員マスタ!$H$6:$H$405,$AN2548)&lt;&gt;"",$M2548&lt;&gt;INDEX(職員マスタ!$H$6:$H$405,$AN2548)),"時短終了日がマスタと相違／","")))&amp;IF(AND($B2548&lt;&gt;"",$E2548=""),"報酬額が未入力／","")&amp;IF(N($U2548)&gt;0,"申請書に入力エラーが残っています／","")&amp;IF(AND($B2548&lt;&gt;"",$AO2548&lt;&gt;""),IF(COUNTIFS($B$6:$B$3005,$B2548,$C$6:$C$3005,$C2548,$D$6:$D$3005,$D2548)&gt;1,"同じ月の請求が重複しています／",""),"")&amp;IF(AND(N($E2548)&gt;0,$Z2548&lt;&gt;"",$Z2548&lt;&gt;"×",$AC2548=0,$AB2548=""),"計算額が下限以下のため不支給／",""))</f>
        <v/>
      </c>
      <c r="AL2548" s="12" t="n"/>
      <c r="AM2548" s="14">
        <f>IF($AD2548="保留中",COUNTIF($AD$6:$AD2548,"保留中"),"")</f>
        <v/>
      </c>
      <c r="AN2548" s="14">
        <f>IF($AO2548="","",IF(SUMPRODUCT(MAX((職員マスタ!$A$6:$A$405=$B2548)*(((職員マスタ!$G$6:$G$405="")+(職員マスタ!$G$6:$G$405&lt;=EOMONTH($AO2548,0)))&gt;0)*(((職員マスタ!$H$6:$H$405="")+(職員マスタ!$H$6:$H$405&gt;=$AO2548))&gt;0)*(ROW(職員マスタ!$A$6:$A$405)-5)))&gt;0,SUMPRODUCT(MAX((職員マスタ!$A$6:$A$405=$B2548)*(((職員マスタ!$G$6:$G$405="")+(職員マスタ!$G$6:$G$405&lt;=EOMONTH($AO2548,0)))&gt;0)*(((職員マスタ!$H$6:$H$405="")+(職員マスタ!$H$6:$H$405&gt;=$AO2548))&gt;0)*(ROW(職員マスタ!$A$6:$A$405)-5))),IFERROR(MATCH($B2548,職員マスタ!$A$6:$A$405,0),"")))</f>
        <v/>
      </c>
      <c r="AO2548" s="16">
        <f>IF(OR($B2548="",$C2548="",$D2548=""),"",DATE($C2548+2018,$D2548,1))</f>
        <v/>
      </c>
    </row>
    <row r="2549">
      <c r="A2549" s="11" t="n"/>
      <c r="B2549" s="12" t="n"/>
      <c r="C2549" s="12" t="n"/>
      <c r="D2549" s="12" t="n"/>
      <c r="E2549" s="13" t="n"/>
      <c r="F2549" s="12" t="n"/>
      <c r="G2549" s="13" t="n"/>
      <c r="H2549" s="12" t="n"/>
      <c r="I2549" s="12" t="n"/>
      <c r="J2549" s="12" t="n"/>
      <c r="K2549" s="12" t="n"/>
      <c r="L2549" s="11" t="n"/>
      <c r="M2549" s="11" t="n"/>
      <c r="N2549" s="11" t="n"/>
      <c r="O2549" s="11" t="n"/>
      <c r="P2549" s="12" t="n"/>
      <c r="Q2549" s="11" t="n"/>
      <c r="R2549" s="12" t="n"/>
      <c r="S2549" s="11" t="n"/>
      <c r="T2549" s="12" t="n"/>
      <c r="U2549" s="12" t="n"/>
      <c r="V2549" s="14">
        <f>IF($AN2549="",IF($B2549="","",$H2549),IF(INDEX(職員マスタ!$B$6:$B$405,$AN2549)="",$H2549,INDEX(職員マスタ!$B$6:$B$405,$AN2549)))</f>
        <v/>
      </c>
      <c r="W2549" s="14">
        <f>IF($AN2549="",IF($B2549="","",$R2549),IF(INDEX(職員マスタ!$C$6:$C$405,$AN2549)="",$R2549,INDEX(職員マスタ!$C$6:$C$405,$AN2549)))</f>
        <v/>
      </c>
      <c r="X2549" s="14">
        <f>IF($AO2549="","","R"&amp;$C2549&amp;"."&amp;$D2549)</f>
        <v/>
      </c>
      <c r="Y2549" s="15">
        <f>IF($AN2549="","",IF(INDEX(職員マスタ!$K$6:$K$405,$AN2549)="","",INDEX(職員マスタ!$K$6:$K$405,$AN2549)))</f>
        <v/>
      </c>
      <c r="Z2549" s="14">
        <f>IF(OR($E2549="",$Y2549=""),"",IF($E2549&gt;=$Y2549,"×",IF($E2549&gt;=$Y2549*設定!$C$5,"△","○")))</f>
        <v/>
      </c>
      <c r="AA2549" s="15">
        <f>IF($Z2549="","",IF($Z2549="×",0,IF($Z2549="○",ROUNDDOWN($E2549*設定!$C$4,0),ROUNDDOWN($E2549*ROUND((9*$Y2549-9*$E2549)/(10*$E2549),4),0))))</f>
        <v/>
      </c>
      <c r="AB2549" s="13" t="n"/>
      <c r="AC2549" s="15">
        <f>IF($B2549="","",IF($AB2549&lt;&gt;"",$AB2549,IF($AA2549="","",IF($AA2549&lt;=設定!$C$3,0,$AA2549))))</f>
        <v/>
      </c>
      <c r="AD2549" s="14">
        <f>IF($B2549="","",IF(AND($AE2549&lt;&gt;"",$AG2549="",$AJ2549=""),"保留中",IF($AJ2549&lt;&gt;"",IF(N($AC2549)&gt;0,"支給済","不支給"),IF($AC2549="","要確認",IF($AC2549=0,"不支給","未処理")))))</f>
        <v/>
      </c>
      <c r="AE2549" s="12" t="n"/>
      <c r="AF2549" s="11" t="n"/>
      <c r="AG2549" s="11" t="n"/>
      <c r="AH2549" s="11" t="n"/>
      <c r="AI2549" s="14">
        <f>IF(AND($AD2549="保留中",$AF2549&lt;&gt;""),TODAY()-$AF2549,"")</f>
        <v/>
      </c>
      <c r="AJ2549" s="12" t="n"/>
      <c r="AK2549" s="14">
        <f>IF($B2549="","",IF($AO2549="","対象年月が未入力／","")&amp;IF($B2549="","",IF($AN2549="","職員マスタに未登録の職員番号／",IF($Y2549="","標準報酬月額が未登録／","")&amp;IF(AND($AO2549&lt;&gt;"",OR(AND(INDEX(職員マスタ!$G$6:$G$405,$AN2549)&lt;&gt;"",INDEX(職員マスタ!$G$6:$G$405,$AN2549)&gt;EOMONTH($AO2549,0)),AND(INDEX(職員マスタ!$H$6:$H$405,$AN2549)&lt;&gt;"",INDEX(職員マスタ!$H$6:$H$405,$AN2549)&lt;$AO2549))),"対象月が時短期間外／","")&amp;IF(AND(INDEX(職員マスタ!$F$6:$F$405,$AN2549)&lt;&gt;"",$AO2549&lt;&gt;"",INDEX(職員マスタ!$F$6:$F$405,$AN2549)&lt;$AO2549),"対象月に子が2歳到達済／","")&amp;IF(AND($H2549&lt;&gt;"",INDEX(職員マスタ!$B$6:$B$405,$AN2549)&lt;&gt;"",SUBSTITUTE(SUBSTITUTE($H2549," ","")," ","")&lt;&gt;SUBSTITUTE(SUBSTITUTE(INDEX(職員マスタ!$B$6:$B$405,$AN2549)," ","")," ","")),"氏名がマスタと相違／","")&amp;IF(AND($Q2549&lt;&gt;"",INDEX(職員マスタ!$E$6:$E$405,$AN2549)&lt;&gt;"",$Q2549&lt;&gt;INDEX(職員マスタ!$E$6:$E$405,$AN2549)),"子の生年月日がマスタと相違／","")&amp;IF(AND($L2549&lt;&gt;"",INDEX(職員マスタ!$G$6:$G$405,$AN2549)&lt;&gt;"",$L2549&lt;&gt;INDEX(職員マスタ!$G$6:$G$405,$AN2549)),"時短開始日がマスタと相違／","")&amp;IF(AND($M2549&lt;&gt;"",INDEX(職員マスタ!$H$6:$H$405,$AN2549)&lt;&gt;"",$M2549&lt;&gt;INDEX(職員マスタ!$H$6:$H$405,$AN2549)),"時短終了日がマスタと相違／","")))&amp;IF(AND($B2549&lt;&gt;"",$E2549=""),"報酬額が未入力／","")&amp;IF(N($U2549)&gt;0,"申請書に入力エラーが残っています／","")&amp;IF(AND($B2549&lt;&gt;"",$AO2549&lt;&gt;""),IF(COUNTIFS($B$6:$B$3005,$B2549,$C$6:$C$3005,$C2549,$D$6:$D$3005,$D2549)&gt;1,"同じ月の請求が重複しています／",""),"")&amp;IF(AND(N($E2549)&gt;0,$Z2549&lt;&gt;"",$Z2549&lt;&gt;"×",$AC2549=0,$AB2549=""),"計算額が下限以下のため不支給／",""))</f>
        <v/>
      </c>
      <c r="AL2549" s="12" t="n"/>
      <c r="AM2549" s="14">
        <f>IF($AD2549="保留中",COUNTIF($AD$6:$AD2549,"保留中"),"")</f>
        <v/>
      </c>
      <c r="AN2549" s="14">
        <f>IF($AO2549="","",IF(SUMPRODUCT(MAX((職員マスタ!$A$6:$A$405=$B2549)*(((職員マスタ!$G$6:$G$405="")+(職員マスタ!$G$6:$G$405&lt;=EOMONTH($AO2549,0)))&gt;0)*(((職員マスタ!$H$6:$H$405="")+(職員マスタ!$H$6:$H$405&gt;=$AO2549))&gt;0)*(ROW(職員マスタ!$A$6:$A$405)-5)))&gt;0,SUMPRODUCT(MAX((職員マスタ!$A$6:$A$405=$B2549)*(((職員マスタ!$G$6:$G$405="")+(職員マスタ!$G$6:$G$405&lt;=EOMONTH($AO2549,0)))&gt;0)*(((職員マスタ!$H$6:$H$405="")+(職員マスタ!$H$6:$H$405&gt;=$AO2549))&gt;0)*(ROW(職員マスタ!$A$6:$A$405)-5))),IFERROR(MATCH($B2549,職員マスタ!$A$6:$A$405,0),"")))</f>
        <v/>
      </c>
      <c r="AO2549" s="16">
        <f>IF(OR($B2549="",$C2549="",$D2549=""),"",DATE($C2549+2018,$D2549,1))</f>
        <v/>
      </c>
    </row>
    <row r="2550">
      <c r="A2550" s="11" t="n"/>
      <c r="B2550" s="12" t="n"/>
      <c r="C2550" s="12" t="n"/>
      <c r="D2550" s="12" t="n"/>
      <c r="E2550" s="13" t="n"/>
      <c r="F2550" s="12" t="n"/>
      <c r="G2550" s="13" t="n"/>
      <c r="H2550" s="12" t="n"/>
      <c r="I2550" s="12" t="n"/>
      <c r="J2550" s="12" t="n"/>
      <c r="K2550" s="12" t="n"/>
      <c r="L2550" s="11" t="n"/>
      <c r="M2550" s="11" t="n"/>
      <c r="N2550" s="11" t="n"/>
      <c r="O2550" s="11" t="n"/>
      <c r="P2550" s="12" t="n"/>
      <c r="Q2550" s="11" t="n"/>
      <c r="R2550" s="12" t="n"/>
      <c r="S2550" s="11" t="n"/>
      <c r="T2550" s="12" t="n"/>
      <c r="U2550" s="12" t="n"/>
      <c r="V2550" s="14">
        <f>IF($AN2550="",IF($B2550="","",$H2550),IF(INDEX(職員マスタ!$B$6:$B$405,$AN2550)="",$H2550,INDEX(職員マスタ!$B$6:$B$405,$AN2550)))</f>
        <v/>
      </c>
      <c r="W2550" s="14">
        <f>IF($AN2550="",IF($B2550="","",$R2550),IF(INDEX(職員マスタ!$C$6:$C$405,$AN2550)="",$R2550,INDEX(職員マスタ!$C$6:$C$405,$AN2550)))</f>
        <v/>
      </c>
      <c r="X2550" s="14">
        <f>IF($AO2550="","","R"&amp;$C2550&amp;"."&amp;$D2550)</f>
        <v/>
      </c>
      <c r="Y2550" s="15">
        <f>IF($AN2550="","",IF(INDEX(職員マスタ!$K$6:$K$405,$AN2550)="","",INDEX(職員マスタ!$K$6:$K$405,$AN2550)))</f>
        <v/>
      </c>
      <c r="Z2550" s="14">
        <f>IF(OR($E2550="",$Y2550=""),"",IF($E2550&gt;=$Y2550,"×",IF($E2550&gt;=$Y2550*設定!$C$5,"△","○")))</f>
        <v/>
      </c>
      <c r="AA2550" s="15">
        <f>IF($Z2550="","",IF($Z2550="×",0,IF($Z2550="○",ROUNDDOWN($E2550*設定!$C$4,0),ROUNDDOWN($E2550*ROUND((9*$Y2550-9*$E2550)/(10*$E2550),4),0))))</f>
        <v/>
      </c>
      <c r="AB2550" s="13" t="n"/>
      <c r="AC2550" s="15">
        <f>IF($B2550="","",IF($AB2550&lt;&gt;"",$AB2550,IF($AA2550="","",IF($AA2550&lt;=設定!$C$3,0,$AA2550))))</f>
        <v/>
      </c>
      <c r="AD2550" s="14">
        <f>IF($B2550="","",IF(AND($AE2550&lt;&gt;"",$AG2550="",$AJ2550=""),"保留中",IF($AJ2550&lt;&gt;"",IF(N($AC2550)&gt;0,"支給済","不支給"),IF($AC2550="","要確認",IF($AC2550=0,"不支給","未処理")))))</f>
        <v/>
      </c>
      <c r="AE2550" s="12" t="n"/>
      <c r="AF2550" s="11" t="n"/>
      <c r="AG2550" s="11" t="n"/>
      <c r="AH2550" s="11" t="n"/>
      <c r="AI2550" s="14">
        <f>IF(AND($AD2550="保留中",$AF2550&lt;&gt;""),TODAY()-$AF2550,"")</f>
        <v/>
      </c>
      <c r="AJ2550" s="12" t="n"/>
      <c r="AK2550" s="14">
        <f>IF($B2550="","",IF($AO2550="","対象年月が未入力／","")&amp;IF($B2550="","",IF($AN2550="","職員マスタに未登録の職員番号／",IF($Y2550="","標準報酬月額が未登録／","")&amp;IF(AND($AO2550&lt;&gt;"",OR(AND(INDEX(職員マスタ!$G$6:$G$405,$AN2550)&lt;&gt;"",INDEX(職員マスタ!$G$6:$G$405,$AN2550)&gt;EOMONTH($AO2550,0)),AND(INDEX(職員マスタ!$H$6:$H$405,$AN2550)&lt;&gt;"",INDEX(職員マスタ!$H$6:$H$405,$AN2550)&lt;$AO2550))),"対象月が時短期間外／","")&amp;IF(AND(INDEX(職員マスタ!$F$6:$F$405,$AN2550)&lt;&gt;"",$AO2550&lt;&gt;"",INDEX(職員マスタ!$F$6:$F$405,$AN2550)&lt;$AO2550),"対象月に子が2歳到達済／","")&amp;IF(AND($H2550&lt;&gt;"",INDEX(職員マスタ!$B$6:$B$405,$AN2550)&lt;&gt;"",SUBSTITUTE(SUBSTITUTE($H2550," ","")," ","")&lt;&gt;SUBSTITUTE(SUBSTITUTE(INDEX(職員マスタ!$B$6:$B$405,$AN2550)," ","")," ","")),"氏名がマスタと相違／","")&amp;IF(AND($Q2550&lt;&gt;"",INDEX(職員マスタ!$E$6:$E$405,$AN2550)&lt;&gt;"",$Q2550&lt;&gt;INDEX(職員マスタ!$E$6:$E$405,$AN2550)),"子の生年月日がマスタと相違／","")&amp;IF(AND($L2550&lt;&gt;"",INDEX(職員マスタ!$G$6:$G$405,$AN2550)&lt;&gt;"",$L2550&lt;&gt;INDEX(職員マスタ!$G$6:$G$405,$AN2550)),"時短開始日がマスタと相違／","")&amp;IF(AND($M2550&lt;&gt;"",INDEX(職員マスタ!$H$6:$H$405,$AN2550)&lt;&gt;"",$M2550&lt;&gt;INDEX(職員マスタ!$H$6:$H$405,$AN2550)),"時短終了日がマスタと相違／","")))&amp;IF(AND($B2550&lt;&gt;"",$E2550=""),"報酬額が未入力／","")&amp;IF(N($U2550)&gt;0,"申請書に入力エラーが残っています／","")&amp;IF(AND($B2550&lt;&gt;"",$AO2550&lt;&gt;""),IF(COUNTIFS($B$6:$B$3005,$B2550,$C$6:$C$3005,$C2550,$D$6:$D$3005,$D2550)&gt;1,"同じ月の請求が重複しています／",""),"")&amp;IF(AND(N($E2550)&gt;0,$Z2550&lt;&gt;"",$Z2550&lt;&gt;"×",$AC2550=0,$AB2550=""),"計算額が下限以下のため不支給／",""))</f>
        <v/>
      </c>
      <c r="AL2550" s="12" t="n"/>
      <c r="AM2550" s="14">
        <f>IF($AD2550="保留中",COUNTIF($AD$6:$AD2550,"保留中"),"")</f>
        <v/>
      </c>
      <c r="AN2550" s="14">
        <f>IF($AO2550="","",IF(SUMPRODUCT(MAX((職員マスタ!$A$6:$A$405=$B2550)*(((職員マスタ!$G$6:$G$405="")+(職員マスタ!$G$6:$G$405&lt;=EOMONTH($AO2550,0)))&gt;0)*(((職員マスタ!$H$6:$H$405="")+(職員マスタ!$H$6:$H$405&gt;=$AO2550))&gt;0)*(ROW(職員マスタ!$A$6:$A$405)-5)))&gt;0,SUMPRODUCT(MAX((職員マスタ!$A$6:$A$405=$B2550)*(((職員マスタ!$G$6:$G$405="")+(職員マスタ!$G$6:$G$405&lt;=EOMONTH($AO2550,0)))&gt;0)*(((職員マスタ!$H$6:$H$405="")+(職員マスタ!$H$6:$H$405&gt;=$AO2550))&gt;0)*(ROW(職員マスタ!$A$6:$A$405)-5))),IFERROR(MATCH($B2550,職員マスタ!$A$6:$A$405,0),"")))</f>
        <v/>
      </c>
      <c r="AO2550" s="16">
        <f>IF(OR($B2550="",$C2550="",$D2550=""),"",DATE($C2550+2018,$D2550,1))</f>
        <v/>
      </c>
    </row>
    <row r="2551">
      <c r="A2551" s="11" t="n"/>
      <c r="B2551" s="12" t="n"/>
      <c r="C2551" s="12" t="n"/>
      <c r="D2551" s="12" t="n"/>
      <c r="E2551" s="13" t="n"/>
      <c r="F2551" s="12" t="n"/>
      <c r="G2551" s="13" t="n"/>
      <c r="H2551" s="12" t="n"/>
      <c r="I2551" s="12" t="n"/>
      <c r="J2551" s="12" t="n"/>
      <c r="K2551" s="12" t="n"/>
      <c r="L2551" s="11" t="n"/>
      <c r="M2551" s="11" t="n"/>
      <c r="N2551" s="11" t="n"/>
      <c r="O2551" s="11" t="n"/>
      <c r="P2551" s="12" t="n"/>
      <c r="Q2551" s="11" t="n"/>
      <c r="R2551" s="12" t="n"/>
      <c r="S2551" s="11" t="n"/>
      <c r="T2551" s="12" t="n"/>
      <c r="U2551" s="12" t="n"/>
      <c r="V2551" s="14">
        <f>IF($AN2551="",IF($B2551="","",$H2551),IF(INDEX(職員マスタ!$B$6:$B$405,$AN2551)="",$H2551,INDEX(職員マスタ!$B$6:$B$405,$AN2551)))</f>
        <v/>
      </c>
      <c r="W2551" s="14">
        <f>IF($AN2551="",IF($B2551="","",$R2551),IF(INDEX(職員マスタ!$C$6:$C$405,$AN2551)="",$R2551,INDEX(職員マスタ!$C$6:$C$405,$AN2551)))</f>
        <v/>
      </c>
      <c r="X2551" s="14">
        <f>IF($AO2551="","","R"&amp;$C2551&amp;"."&amp;$D2551)</f>
        <v/>
      </c>
      <c r="Y2551" s="15">
        <f>IF($AN2551="","",IF(INDEX(職員マスタ!$K$6:$K$405,$AN2551)="","",INDEX(職員マスタ!$K$6:$K$405,$AN2551)))</f>
        <v/>
      </c>
      <c r="Z2551" s="14">
        <f>IF(OR($E2551="",$Y2551=""),"",IF($E2551&gt;=$Y2551,"×",IF($E2551&gt;=$Y2551*設定!$C$5,"△","○")))</f>
        <v/>
      </c>
      <c r="AA2551" s="15">
        <f>IF($Z2551="","",IF($Z2551="×",0,IF($Z2551="○",ROUNDDOWN($E2551*設定!$C$4,0),ROUNDDOWN($E2551*ROUND((9*$Y2551-9*$E2551)/(10*$E2551),4),0))))</f>
        <v/>
      </c>
      <c r="AB2551" s="13" t="n"/>
      <c r="AC2551" s="15">
        <f>IF($B2551="","",IF($AB2551&lt;&gt;"",$AB2551,IF($AA2551="","",IF($AA2551&lt;=設定!$C$3,0,$AA2551))))</f>
        <v/>
      </c>
      <c r="AD2551" s="14">
        <f>IF($B2551="","",IF(AND($AE2551&lt;&gt;"",$AG2551="",$AJ2551=""),"保留中",IF($AJ2551&lt;&gt;"",IF(N($AC2551)&gt;0,"支給済","不支給"),IF($AC2551="","要確認",IF($AC2551=0,"不支給","未処理")))))</f>
        <v/>
      </c>
      <c r="AE2551" s="12" t="n"/>
      <c r="AF2551" s="11" t="n"/>
      <c r="AG2551" s="11" t="n"/>
      <c r="AH2551" s="11" t="n"/>
      <c r="AI2551" s="14">
        <f>IF(AND($AD2551="保留中",$AF2551&lt;&gt;""),TODAY()-$AF2551,"")</f>
        <v/>
      </c>
      <c r="AJ2551" s="12" t="n"/>
      <c r="AK2551" s="14">
        <f>IF($B2551="","",IF($AO2551="","対象年月が未入力／","")&amp;IF($B2551="","",IF($AN2551="","職員マスタに未登録の職員番号／",IF($Y2551="","標準報酬月額が未登録／","")&amp;IF(AND($AO2551&lt;&gt;"",OR(AND(INDEX(職員マスタ!$G$6:$G$405,$AN2551)&lt;&gt;"",INDEX(職員マスタ!$G$6:$G$405,$AN2551)&gt;EOMONTH($AO2551,0)),AND(INDEX(職員マスタ!$H$6:$H$405,$AN2551)&lt;&gt;"",INDEX(職員マスタ!$H$6:$H$405,$AN2551)&lt;$AO2551))),"対象月が時短期間外／","")&amp;IF(AND(INDEX(職員マスタ!$F$6:$F$405,$AN2551)&lt;&gt;"",$AO2551&lt;&gt;"",INDEX(職員マスタ!$F$6:$F$405,$AN2551)&lt;$AO2551),"対象月に子が2歳到達済／","")&amp;IF(AND($H2551&lt;&gt;"",INDEX(職員マスタ!$B$6:$B$405,$AN2551)&lt;&gt;"",SUBSTITUTE(SUBSTITUTE($H2551," ","")," ","")&lt;&gt;SUBSTITUTE(SUBSTITUTE(INDEX(職員マスタ!$B$6:$B$405,$AN2551)," ","")," ","")),"氏名がマスタと相違／","")&amp;IF(AND($Q2551&lt;&gt;"",INDEX(職員マスタ!$E$6:$E$405,$AN2551)&lt;&gt;"",$Q2551&lt;&gt;INDEX(職員マスタ!$E$6:$E$405,$AN2551)),"子の生年月日がマスタと相違／","")&amp;IF(AND($L2551&lt;&gt;"",INDEX(職員マスタ!$G$6:$G$405,$AN2551)&lt;&gt;"",$L2551&lt;&gt;INDEX(職員マスタ!$G$6:$G$405,$AN2551)),"時短開始日がマスタと相違／","")&amp;IF(AND($M2551&lt;&gt;"",INDEX(職員マスタ!$H$6:$H$405,$AN2551)&lt;&gt;"",$M2551&lt;&gt;INDEX(職員マスタ!$H$6:$H$405,$AN2551)),"時短終了日がマスタと相違／","")))&amp;IF(AND($B2551&lt;&gt;"",$E2551=""),"報酬額が未入力／","")&amp;IF(N($U2551)&gt;0,"申請書に入力エラーが残っています／","")&amp;IF(AND($B2551&lt;&gt;"",$AO2551&lt;&gt;""),IF(COUNTIFS($B$6:$B$3005,$B2551,$C$6:$C$3005,$C2551,$D$6:$D$3005,$D2551)&gt;1,"同じ月の請求が重複しています／",""),"")&amp;IF(AND(N($E2551)&gt;0,$Z2551&lt;&gt;"",$Z2551&lt;&gt;"×",$AC2551=0,$AB2551=""),"計算額が下限以下のため不支給／",""))</f>
        <v/>
      </c>
      <c r="AL2551" s="12" t="n"/>
      <c r="AM2551" s="14">
        <f>IF($AD2551="保留中",COUNTIF($AD$6:$AD2551,"保留中"),"")</f>
        <v/>
      </c>
      <c r="AN2551" s="14">
        <f>IF($AO2551="","",IF(SUMPRODUCT(MAX((職員マスタ!$A$6:$A$405=$B2551)*(((職員マスタ!$G$6:$G$405="")+(職員マスタ!$G$6:$G$405&lt;=EOMONTH($AO2551,0)))&gt;0)*(((職員マスタ!$H$6:$H$405="")+(職員マスタ!$H$6:$H$405&gt;=$AO2551))&gt;0)*(ROW(職員マスタ!$A$6:$A$405)-5)))&gt;0,SUMPRODUCT(MAX((職員マスタ!$A$6:$A$405=$B2551)*(((職員マスタ!$G$6:$G$405="")+(職員マスタ!$G$6:$G$405&lt;=EOMONTH($AO2551,0)))&gt;0)*(((職員マスタ!$H$6:$H$405="")+(職員マスタ!$H$6:$H$405&gt;=$AO2551))&gt;0)*(ROW(職員マスタ!$A$6:$A$405)-5))),IFERROR(MATCH($B2551,職員マスタ!$A$6:$A$405,0),"")))</f>
        <v/>
      </c>
      <c r="AO2551" s="16">
        <f>IF(OR($B2551="",$C2551="",$D2551=""),"",DATE($C2551+2018,$D2551,1))</f>
        <v/>
      </c>
    </row>
    <row r="2552">
      <c r="A2552" s="11" t="n"/>
      <c r="B2552" s="12" t="n"/>
      <c r="C2552" s="12" t="n"/>
      <c r="D2552" s="12" t="n"/>
      <c r="E2552" s="13" t="n"/>
      <c r="F2552" s="12" t="n"/>
      <c r="G2552" s="13" t="n"/>
      <c r="H2552" s="12" t="n"/>
      <c r="I2552" s="12" t="n"/>
      <c r="J2552" s="12" t="n"/>
      <c r="K2552" s="12" t="n"/>
      <c r="L2552" s="11" t="n"/>
      <c r="M2552" s="11" t="n"/>
      <c r="N2552" s="11" t="n"/>
      <c r="O2552" s="11" t="n"/>
      <c r="P2552" s="12" t="n"/>
      <c r="Q2552" s="11" t="n"/>
      <c r="R2552" s="12" t="n"/>
      <c r="S2552" s="11" t="n"/>
      <c r="T2552" s="12" t="n"/>
      <c r="U2552" s="12" t="n"/>
      <c r="V2552" s="14">
        <f>IF($AN2552="",IF($B2552="","",$H2552),IF(INDEX(職員マスタ!$B$6:$B$405,$AN2552)="",$H2552,INDEX(職員マスタ!$B$6:$B$405,$AN2552)))</f>
        <v/>
      </c>
      <c r="W2552" s="14">
        <f>IF($AN2552="",IF($B2552="","",$R2552),IF(INDEX(職員マスタ!$C$6:$C$405,$AN2552)="",$R2552,INDEX(職員マスタ!$C$6:$C$405,$AN2552)))</f>
        <v/>
      </c>
      <c r="X2552" s="14">
        <f>IF($AO2552="","","R"&amp;$C2552&amp;"."&amp;$D2552)</f>
        <v/>
      </c>
      <c r="Y2552" s="15">
        <f>IF($AN2552="","",IF(INDEX(職員マスタ!$K$6:$K$405,$AN2552)="","",INDEX(職員マスタ!$K$6:$K$405,$AN2552)))</f>
        <v/>
      </c>
      <c r="Z2552" s="14">
        <f>IF(OR($E2552="",$Y2552=""),"",IF($E2552&gt;=$Y2552,"×",IF($E2552&gt;=$Y2552*設定!$C$5,"△","○")))</f>
        <v/>
      </c>
      <c r="AA2552" s="15">
        <f>IF($Z2552="","",IF($Z2552="×",0,IF($Z2552="○",ROUNDDOWN($E2552*設定!$C$4,0),ROUNDDOWN($E2552*ROUND((9*$Y2552-9*$E2552)/(10*$E2552),4),0))))</f>
        <v/>
      </c>
      <c r="AB2552" s="13" t="n"/>
      <c r="AC2552" s="15">
        <f>IF($B2552="","",IF($AB2552&lt;&gt;"",$AB2552,IF($AA2552="","",IF($AA2552&lt;=設定!$C$3,0,$AA2552))))</f>
        <v/>
      </c>
      <c r="AD2552" s="14">
        <f>IF($B2552="","",IF(AND($AE2552&lt;&gt;"",$AG2552="",$AJ2552=""),"保留中",IF($AJ2552&lt;&gt;"",IF(N($AC2552)&gt;0,"支給済","不支給"),IF($AC2552="","要確認",IF($AC2552=0,"不支給","未処理")))))</f>
        <v/>
      </c>
      <c r="AE2552" s="12" t="n"/>
      <c r="AF2552" s="11" t="n"/>
      <c r="AG2552" s="11" t="n"/>
      <c r="AH2552" s="11" t="n"/>
      <c r="AI2552" s="14">
        <f>IF(AND($AD2552="保留中",$AF2552&lt;&gt;""),TODAY()-$AF2552,"")</f>
        <v/>
      </c>
      <c r="AJ2552" s="12" t="n"/>
      <c r="AK2552" s="14">
        <f>IF($B2552="","",IF($AO2552="","対象年月が未入力／","")&amp;IF($B2552="","",IF($AN2552="","職員マスタに未登録の職員番号／",IF($Y2552="","標準報酬月額が未登録／","")&amp;IF(AND($AO2552&lt;&gt;"",OR(AND(INDEX(職員マスタ!$G$6:$G$405,$AN2552)&lt;&gt;"",INDEX(職員マスタ!$G$6:$G$405,$AN2552)&gt;EOMONTH($AO2552,0)),AND(INDEX(職員マスタ!$H$6:$H$405,$AN2552)&lt;&gt;"",INDEX(職員マスタ!$H$6:$H$405,$AN2552)&lt;$AO2552))),"対象月が時短期間外／","")&amp;IF(AND(INDEX(職員マスタ!$F$6:$F$405,$AN2552)&lt;&gt;"",$AO2552&lt;&gt;"",INDEX(職員マスタ!$F$6:$F$405,$AN2552)&lt;$AO2552),"対象月に子が2歳到達済／","")&amp;IF(AND($H2552&lt;&gt;"",INDEX(職員マスタ!$B$6:$B$405,$AN2552)&lt;&gt;"",SUBSTITUTE(SUBSTITUTE($H2552," ","")," ","")&lt;&gt;SUBSTITUTE(SUBSTITUTE(INDEX(職員マスタ!$B$6:$B$405,$AN2552)," ","")," ","")),"氏名がマスタと相違／","")&amp;IF(AND($Q2552&lt;&gt;"",INDEX(職員マスタ!$E$6:$E$405,$AN2552)&lt;&gt;"",$Q2552&lt;&gt;INDEX(職員マスタ!$E$6:$E$405,$AN2552)),"子の生年月日がマスタと相違／","")&amp;IF(AND($L2552&lt;&gt;"",INDEX(職員マスタ!$G$6:$G$405,$AN2552)&lt;&gt;"",$L2552&lt;&gt;INDEX(職員マスタ!$G$6:$G$405,$AN2552)),"時短開始日がマスタと相違／","")&amp;IF(AND($M2552&lt;&gt;"",INDEX(職員マスタ!$H$6:$H$405,$AN2552)&lt;&gt;"",$M2552&lt;&gt;INDEX(職員マスタ!$H$6:$H$405,$AN2552)),"時短終了日がマスタと相違／","")))&amp;IF(AND($B2552&lt;&gt;"",$E2552=""),"報酬額が未入力／","")&amp;IF(N($U2552)&gt;0,"申請書に入力エラーが残っています／","")&amp;IF(AND($B2552&lt;&gt;"",$AO2552&lt;&gt;""),IF(COUNTIFS($B$6:$B$3005,$B2552,$C$6:$C$3005,$C2552,$D$6:$D$3005,$D2552)&gt;1,"同じ月の請求が重複しています／",""),"")&amp;IF(AND(N($E2552)&gt;0,$Z2552&lt;&gt;"",$Z2552&lt;&gt;"×",$AC2552=0,$AB2552=""),"計算額が下限以下のため不支給／",""))</f>
        <v/>
      </c>
      <c r="AL2552" s="12" t="n"/>
      <c r="AM2552" s="14">
        <f>IF($AD2552="保留中",COUNTIF($AD$6:$AD2552,"保留中"),"")</f>
        <v/>
      </c>
      <c r="AN2552" s="14">
        <f>IF($AO2552="","",IF(SUMPRODUCT(MAX((職員マスタ!$A$6:$A$405=$B2552)*(((職員マスタ!$G$6:$G$405="")+(職員マスタ!$G$6:$G$405&lt;=EOMONTH($AO2552,0)))&gt;0)*(((職員マスタ!$H$6:$H$405="")+(職員マスタ!$H$6:$H$405&gt;=$AO2552))&gt;0)*(ROW(職員マスタ!$A$6:$A$405)-5)))&gt;0,SUMPRODUCT(MAX((職員マスタ!$A$6:$A$405=$B2552)*(((職員マスタ!$G$6:$G$405="")+(職員マスタ!$G$6:$G$405&lt;=EOMONTH($AO2552,0)))&gt;0)*(((職員マスタ!$H$6:$H$405="")+(職員マスタ!$H$6:$H$405&gt;=$AO2552))&gt;0)*(ROW(職員マスタ!$A$6:$A$405)-5))),IFERROR(MATCH($B2552,職員マスタ!$A$6:$A$405,0),"")))</f>
        <v/>
      </c>
      <c r="AO2552" s="16">
        <f>IF(OR($B2552="",$C2552="",$D2552=""),"",DATE($C2552+2018,$D2552,1))</f>
        <v/>
      </c>
    </row>
    <row r="2553">
      <c r="A2553" s="11" t="n"/>
      <c r="B2553" s="12" t="n"/>
      <c r="C2553" s="12" t="n"/>
      <c r="D2553" s="12" t="n"/>
      <c r="E2553" s="13" t="n"/>
      <c r="F2553" s="12" t="n"/>
      <c r="G2553" s="13" t="n"/>
      <c r="H2553" s="12" t="n"/>
      <c r="I2553" s="12" t="n"/>
      <c r="J2553" s="12" t="n"/>
      <c r="K2553" s="12" t="n"/>
      <c r="L2553" s="11" t="n"/>
      <c r="M2553" s="11" t="n"/>
      <c r="N2553" s="11" t="n"/>
      <c r="O2553" s="11" t="n"/>
      <c r="P2553" s="12" t="n"/>
      <c r="Q2553" s="11" t="n"/>
      <c r="R2553" s="12" t="n"/>
      <c r="S2553" s="11" t="n"/>
      <c r="T2553" s="12" t="n"/>
      <c r="U2553" s="12" t="n"/>
      <c r="V2553" s="14">
        <f>IF($AN2553="",IF($B2553="","",$H2553),IF(INDEX(職員マスタ!$B$6:$B$405,$AN2553)="",$H2553,INDEX(職員マスタ!$B$6:$B$405,$AN2553)))</f>
        <v/>
      </c>
      <c r="W2553" s="14">
        <f>IF($AN2553="",IF($B2553="","",$R2553),IF(INDEX(職員マスタ!$C$6:$C$405,$AN2553)="",$R2553,INDEX(職員マスタ!$C$6:$C$405,$AN2553)))</f>
        <v/>
      </c>
      <c r="X2553" s="14">
        <f>IF($AO2553="","","R"&amp;$C2553&amp;"."&amp;$D2553)</f>
        <v/>
      </c>
      <c r="Y2553" s="15">
        <f>IF($AN2553="","",IF(INDEX(職員マスタ!$K$6:$K$405,$AN2553)="","",INDEX(職員マスタ!$K$6:$K$405,$AN2553)))</f>
        <v/>
      </c>
      <c r="Z2553" s="14">
        <f>IF(OR($E2553="",$Y2553=""),"",IF($E2553&gt;=$Y2553,"×",IF($E2553&gt;=$Y2553*設定!$C$5,"△","○")))</f>
        <v/>
      </c>
      <c r="AA2553" s="15">
        <f>IF($Z2553="","",IF($Z2553="×",0,IF($Z2553="○",ROUNDDOWN($E2553*設定!$C$4,0),ROUNDDOWN($E2553*ROUND((9*$Y2553-9*$E2553)/(10*$E2553),4),0))))</f>
        <v/>
      </c>
      <c r="AB2553" s="13" t="n"/>
      <c r="AC2553" s="15">
        <f>IF($B2553="","",IF($AB2553&lt;&gt;"",$AB2553,IF($AA2553="","",IF($AA2553&lt;=設定!$C$3,0,$AA2553))))</f>
        <v/>
      </c>
      <c r="AD2553" s="14">
        <f>IF($B2553="","",IF(AND($AE2553&lt;&gt;"",$AG2553="",$AJ2553=""),"保留中",IF($AJ2553&lt;&gt;"",IF(N($AC2553)&gt;0,"支給済","不支給"),IF($AC2553="","要確認",IF($AC2553=0,"不支給","未処理")))))</f>
        <v/>
      </c>
      <c r="AE2553" s="12" t="n"/>
      <c r="AF2553" s="11" t="n"/>
      <c r="AG2553" s="11" t="n"/>
      <c r="AH2553" s="11" t="n"/>
      <c r="AI2553" s="14">
        <f>IF(AND($AD2553="保留中",$AF2553&lt;&gt;""),TODAY()-$AF2553,"")</f>
        <v/>
      </c>
      <c r="AJ2553" s="12" t="n"/>
      <c r="AK2553" s="14">
        <f>IF($B2553="","",IF($AO2553="","対象年月が未入力／","")&amp;IF($B2553="","",IF($AN2553="","職員マスタに未登録の職員番号／",IF($Y2553="","標準報酬月額が未登録／","")&amp;IF(AND($AO2553&lt;&gt;"",OR(AND(INDEX(職員マスタ!$G$6:$G$405,$AN2553)&lt;&gt;"",INDEX(職員マスタ!$G$6:$G$405,$AN2553)&gt;EOMONTH($AO2553,0)),AND(INDEX(職員マスタ!$H$6:$H$405,$AN2553)&lt;&gt;"",INDEX(職員マスタ!$H$6:$H$405,$AN2553)&lt;$AO2553))),"対象月が時短期間外／","")&amp;IF(AND(INDEX(職員マスタ!$F$6:$F$405,$AN2553)&lt;&gt;"",$AO2553&lt;&gt;"",INDEX(職員マスタ!$F$6:$F$405,$AN2553)&lt;$AO2553),"対象月に子が2歳到達済／","")&amp;IF(AND($H2553&lt;&gt;"",INDEX(職員マスタ!$B$6:$B$405,$AN2553)&lt;&gt;"",SUBSTITUTE(SUBSTITUTE($H2553," ","")," ","")&lt;&gt;SUBSTITUTE(SUBSTITUTE(INDEX(職員マスタ!$B$6:$B$405,$AN2553)," ","")," ","")),"氏名がマスタと相違／","")&amp;IF(AND($Q2553&lt;&gt;"",INDEX(職員マスタ!$E$6:$E$405,$AN2553)&lt;&gt;"",$Q2553&lt;&gt;INDEX(職員マスタ!$E$6:$E$405,$AN2553)),"子の生年月日がマスタと相違／","")&amp;IF(AND($L2553&lt;&gt;"",INDEX(職員マスタ!$G$6:$G$405,$AN2553)&lt;&gt;"",$L2553&lt;&gt;INDEX(職員マスタ!$G$6:$G$405,$AN2553)),"時短開始日がマスタと相違／","")&amp;IF(AND($M2553&lt;&gt;"",INDEX(職員マスタ!$H$6:$H$405,$AN2553)&lt;&gt;"",$M2553&lt;&gt;INDEX(職員マスタ!$H$6:$H$405,$AN2553)),"時短終了日がマスタと相違／","")))&amp;IF(AND($B2553&lt;&gt;"",$E2553=""),"報酬額が未入力／","")&amp;IF(N($U2553)&gt;0,"申請書に入力エラーが残っています／","")&amp;IF(AND($B2553&lt;&gt;"",$AO2553&lt;&gt;""),IF(COUNTIFS($B$6:$B$3005,$B2553,$C$6:$C$3005,$C2553,$D$6:$D$3005,$D2553)&gt;1,"同じ月の請求が重複しています／",""),"")&amp;IF(AND(N($E2553)&gt;0,$Z2553&lt;&gt;"",$Z2553&lt;&gt;"×",$AC2553=0,$AB2553=""),"計算額が下限以下のため不支給／",""))</f>
        <v/>
      </c>
      <c r="AL2553" s="12" t="n"/>
      <c r="AM2553" s="14">
        <f>IF($AD2553="保留中",COUNTIF($AD$6:$AD2553,"保留中"),"")</f>
        <v/>
      </c>
      <c r="AN2553" s="14">
        <f>IF($AO2553="","",IF(SUMPRODUCT(MAX((職員マスタ!$A$6:$A$405=$B2553)*(((職員マスタ!$G$6:$G$405="")+(職員マスタ!$G$6:$G$405&lt;=EOMONTH($AO2553,0)))&gt;0)*(((職員マスタ!$H$6:$H$405="")+(職員マスタ!$H$6:$H$405&gt;=$AO2553))&gt;0)*(ROW(職員マスタ!$A$6:$A$405)-5)))&gt;0,SUMPRODUCT(MAX((職員マスタ!$A$6:$A$405=$B2553)*(((職員マスタ!$G$6:$G$405="")+(職員マスタ!$G$6:$G$405&lt;=EOMONTH($AO2553,0)))&gt;0)*(((職員マスタ!$H$6:$H$405="")+(職員マスタ!$H$6:$H$405&gt;=$AO2553))&gt;0)*(ROW(職員マスタ!$A$6:$A$405)-5))),IFERROR(MATCH($B2553,職員マスタ!$A$6:$A$405,0),"")))</f>
        <v/>
      </c>
      <c r="AO2553" s="16">
        <f>IF(OR($B2553="",$C2553="",$D2553=""),"",DATE($C2553+2018,$D2553,1))</f>
        <v/>
      </c>
    </row>
    <row r="2554">
      <c r="A2554" s="11" t="n"/>
      <c r="B2554" s="12" t="n"/>
      <c r="C2554" s="12" t="n"/>
      <c r="D2554" s="12" t="n"/>
      <c r="E2554" s="13" t="n"/>
      <c r="F2554" s="12" t="n"/>
      <c r="G2554" s="13" t="n"/>
      <c r="H2554" s="12" t="n"/>
      <c r="I2554" s="12" t="n"/>
      <c r="J2554" s="12" t="n"/>
      <c r="K2554" s="12" t="n"/>
      <c r="L2554" s="11" t="n"/>
      <c r="M2554" s="11" t="n"/>
      <c r="N2554" s="11" t="n"/>
      <c r="O2554" s="11" t="n"/>
      <c r="P2554" s="12" t="n"/>
      <c r="Q2554" s="11" t="n"/>
      <c r="R2554" s="12" t="n"/>
      <c r="S2554" s="11" t="n"/>
      <c r="T2554" s="12" t="n"/>
      <c r="U2554" s="12" t="n"/>
      <c r="V2554" s="14">
        <f>IF($AN2554="",IF($B2554="","",$H2554),IF(INDEX(職員マスタ!$B$6:$B$405,$AN2554)="",$H2554,INDEX(職員マスタ!$B$6:$B$405,$AN2554)))</f>
        <v/>
      </c>
      <c r="W2554" s="14">
        <f>IF($AN2554="",IF($B2554="","",$R2554),IF(INDEX(職員マスタ!$C$6:$C$405,$AN2554)="",$R2554,INDEX(職員マスタ!$C$6:$C$405,$AN2554)))</f>
        <v/>
      </c>
      <c r="X2554" s="14">
        <f>IF($AO2554="","","R"&amp;$C2554&amp;"."&amp;$D2554)</f>
        <v/>
      </c>
      <c r="Y2554" s="15">
        <f>IF($AN2554="","",IF(INDEX(職員マスタ!$K$6:$K$405,$AN2554)="","",INDEX(職員マスタ!$K$6:$K$405,$AN2554)))</f>
        <v/>
      </c>
      <c r="Z2554" s="14">
        <f>IF(OR($E2554="",$Y2554=""),"",IF($E2554&gt;=$Y2554,"×",IF($E2554&gt;=$Y2554*設定!$C$5,"△","○")))</f>
        <v/>
      </c>
      <c r="AA2554" s="15">
        <f>IF($Z2554="","",IF($Z2554="×",0,IF($Z2554="○",ROUNDDOWN($E2554*設定!$C$4,0),ROUNDDOWN($E2554*ROUND((9*$Y2554-9*$E2554)/(10*$E2554),4),0))))</f>
        <v/>
      </c>
      <c r="AB2554" s="13" t="n"/>
      <c r="AC2554" s="15">
        <f>IF($B2554="","",IF($AB2554&lt;&gt;"",$AB2554,IF($AA2554="","",IF($AA2554&lt;=設定!$C$3,0,$AA2554))))</f>
        <v/>
      </c>
      <c r="AD2554" s="14">
        <f>IF($B2554="","",IF(AND($AE2554&lt;&gt;"",$AG2554="",$AJ2554=""),"保留中",IF($AJ2554&lt;&gt;"",IF(N($AC2554)&gt;0,"支給済","不支給"),IF($AC2554="","要確認",IF($AC2554=0,"不支給","未処理")))))</f>
        <v/>
      </c>
      <c r="AE2554" s="12" t="n"/>
      <c r="AF2554" s="11" t="n"/>
      <c r="AG2554" s="11" t="n"/>
      <c r="AH2554" s="11" t="n"/>
      <c r="AI2554" s="14">
        <f>IF(AND($AD2554="保留中",$AF2554&lt;&gt;""),TODAY()-$AF2554,"")</f>
        <v/>
      </c>
      <c r="AJ2554" s="12" t="n"/>
      <c r="AK2554" s="14">
        <f>IF($B2554="","",IF($AO2554="","対象年月が未入力／","")&amp;IF($B2554="","",IF($AN2554="","職員マスタに未登録の職員番号／",IF($Y2554="","標準報酬月額が未登録／","")&amp;IF(AND($AO2554&lt;&gt;"",OR(AND(INDEX(職員マスタ!$G$6:$G$405,$AN2554)&lt;&gt;"",INDEX(職員マスタ!$G$6:$G$405,$AN2554)&gt;EOMONTH($AO2554,0)),AND(INDEX(職員マスタ!$H$6:$H$405,$AN2554)&lt;&gt;"",INDEX(職員マスタ!$H$6:$H$405,$AN2554)&lt;$AO2554))),"対象月が時短期間外／","")&amp;IF(AND(INDEX(職員マスタ!$F$6:$F$405,$AN2554)&lt;&gt;"",$AO2554&lt;&gt;"",INDEX(職員マスタ!$F$6:$F$405,$AN2554)&lt;$AO2554),"対象月に子が2歳到達済／","")&amp;IF(AND($H2554&lt;&gt;"",INDEX(職員マスタ!$B$6:$B$405,$AN2554)&lt;&gt;"",SUBSTITUTE(SUBSTITUTE($H2554," ","")," ","")&lt;&gt;SUBSTITUTE(SUBSTITUTE(INDEX(職員マスタ!$B$6:$B$405,$AN2554)," ","")," ","")),"氏名がマスタと相違／","")&amp;IF(AND($Q2554&lt;&gt;"",INDEX(職員マスタ!$E$6:$E$405,$AN2554)&lt;&gt;"",$Q2554&lt;&gt;INDEX(職員マスタ!$E$6:$E$405,$AN2554)),"子の生年月日がマスタと相違／","")&amp;IF(AND($L2554&lt;&gt;"",INDEX(職員マスタ!$G$6:$G$405,$AN2554)&lt;&gt;"",$L2554&lt;&gt;INDEX(職員マスタ!$G$6:$G$405,$AN2554)),"時短開始日がマスタと相違／","")&amp;IF(AND($M2554&lt;&gt;"",INDEX(職員マスタ!$H$6:$H$405,$AN2554)&lt;&gt;"",$M2554&lt;&gt;INDEX(職員マスタ!$H$6:$H$405,$AN2554)),"時短終了日がマスタと相違／","")))&amp;IF(AND($B2554&lt;&gt;"",$E2554=""),"報酬額が未入力／","")&amp;IF(N($U2554)&gt;0,"申請書に入力エラーが残っています／","")&amp;IF(AND($B2554&lt;&gt;"",$AO2554&lt;&gt;""),IF(COUNTIFS($B$6:$B$3005,$B2554,$C$6:$C$3005,$C2554,$D$6:$D$3005,$D2554)&gt;1,"同じ月の請求が重複しています／",""),"")&amp;IF(AND(N($E2554)&gt;0,$Z2554&lt;&gt;"",$Z2554&lt;&gt;"×",$AC2554=0,$AB2554=""),"計算額が下限以下のため不支給／",""))</f>
        <v/>
      </c>
      <c r="AL2554" s="12" t="n"/>
      <c r="AM2554" s="14">
        <f>IF($AD2554="保留中",COUNTIF($AD$6:$AD2554,"保留中"),"")</f>
        <v/>
      </c>
      <c r="AN2554" s="14">
        <f>IF($AO2554="","",IF(SUMPRODUCT(MAX((職員マスタ!$A$6:$A$405=$B2554)*(((職員マスタ!$G$6:$G$405="")+(職員マスタ!$G$6:$G$405&lt;=EOMONTH($AO2554,0)))&gt;0)*(((職員マスタ!$H$6:$H$405="")+(職員マスタ!$H$6:$H$405&gt;=$AO2554))&gt;0)*(ROW(職員マスタ!$A$6:$A$405)-5)))&gt;0,SUMPRODUCT(MAX((職員マスタ!$A$6:$A$405=$B2554)*(((職員マスタ!$G$6:$G$405="")+(職員マスタ!$G$6:$G$405&lt;=EOMONTH($AO2554,0)))&gt;0)*(((職員マスタ!$H$6:$H$405="")+(職員マスタ!$H$6:$H$405&gt;=$AO2554))&gt;0)*(ROW(職員マスタ!$A$6:$A$405)-5))),IFERROR(MATCH($B2554,職員マスタ!$A$6:$A$405,0),"")))</f>
        <v/>
      </c>
      <c r="AO2554" s="16">
        <f>IF(OR($B2554="",$C2554="",$D2554=""),"",DATE($C2554+2018,$D2554,1))</f>
        <v/>
      </c>
    </row>
    <row r="2555">
      <c r="A2555" s="11" t="n"/>
      <c r="B2555" s="12" t="n"/>
      <c r="C2555" s="12" t="n"/>
      <c r="D2555" s="12" t="n"/>
      <c r="E2555" s="13" t="n"/>
      <c r="F2555" s="12" t="n"/>
      <c r="G2555" s="13" t="n"/>
      <c r="H2555" s="12" t="n"/>
      <c r="I2555" s="12" t="n"/>
      <c r="J2555" s="12" t="n"/>
      <c r="K2555" s="12" t="n"/>
      <c r="L2555" s="11" t="n"/>
      <c r="M2555" s="11" t="n"/>
      <c r="N2555" s="11" t="n"/>
      <c r="O2555" s="11" t="n"/>
      <c r="P2555" s="12" t="n"/>
      <c r="Q2555" s="11" t="n"/>
      <c r="R2555" s="12" t="n"/>
      <c r="S2555" s="11" t="n"/>
      <c r="T2555" s="12" t="n"/>
      <c r="U2555" s="12" t="n"/>
      <c r="V2555" s="14">
        <f>IF($AN2555="",IF($B2555="","",$H2555),IF(INDEX(職員マスタ!$B$6:$B$405,$AN2555)="",$H2555,INDEX(職員マスタ!$B$6:$B$405,$AN2555)))</f>
        <v/>
      </c>
      <c r="W2555" s="14">
        <f>IF($AN2555="",IF($B2555="","",$R2555),IF(INDEX(職員マスタ!$C$6:$C$405,$AN2555)="",$R2555,INDEX(職員マスタ!$C$6:$C$405,$AN2555)))</f>
        <v/>
      </c>
      <c r="X2555" s="14">
        <f>IF($AO2555="","","R"&amp;$C2555&amp;"."&amp;$D2555)</f>
        <v/>
      </c>
      <c r="Y2555" s="15">
        <f>IF($AN2555="","",IF(INDEX(職員マスタ!$K$6:$K$405,$AN2555)="","",INDEX(職員マスタ!$K$6:$K$405,$AN2555)))</f>
        <v/>
      </c>
      <c r="Z2555" s="14">
        <f>IF(OR($E2555="",$Y2555=""),"",IF($E2555&gt;=$Y2555,"×",IF($E2555&gt;=$Y2555*設定!$C$5,"△","○")))</f>
        <v/>
      </c>
      <c r="AA2555" s="15">
        <f>IF($Z2555="","",IF($Z2555="×",0,IF($Z2555="○",ROUNDDOWN($E2555*設定!$C$4,0),ROUNDDOWN($E2555*ROUND((9*$Y2555-9*$E2555)/(10*$E2555),4),0))))</f>
        <v/>
      </c>
      <c r="AB2555" s="13" t="n"/>
      <c r="AC2555" s="15">
        <f>IF($B2555="","",IF($AB2555&lt;&gt;"",$AB2555,IF($AA2555="","",IF($AA2555&lt;=設定!$C$3,0,$AA2555))))</f>
        <v/>
      </c>
      <c r="AD2555" s="14">
        <f>IF($B2555="","",IF(AND($AE2555&lt;&gt;"",$AG2555="",$AJ2555=""),"保留中",IF($AJ2555&lt;&gt;"",IF(N($AC2555)&gt;0,"支給済","不支給"),IF($AC2555="","要確認",IF($AC2555=0,"不支給","未処理")))))</f>
        <v/>
      </c>
      <c r="AE2555" s="12" t="n"/>
      <c r="AF2555" s="11" t="n"/>
      <c r="AG2555" s="11" t="n"/>
      <c r="AH2555" s="11" t="n"/>
      <c r="AI2555" s="14">
        <f>IF(AND($AD2555="保留中",$AF2555&lt;&gt;""),TODAY()-$AF2555,"")</f>
        <v/>
      </c>
      <c r="AJ2555" s="12" t="n"/>
      <c r="AK2555" s="14">
        <f>IF($B2555="","",IF($AO2555="","対象年月が未入力／","")&amp;IF($B2555="","",IF($AN2555="","職員マスタに未登録の職員番号／",IF($Y2555="","標準報酬月額が未登録／","")&amp;IF(AND($AO2555&lt;&gt;"",OR(AND(INDEX(職員マスタ!$G$6:$G$405,$AN2555)&lt;&gt;"",INDEX(職員マスタ!$G$6:$G$405,$AN2555)&gt;EOMONTH($AO2555,0)),AND(INDEX(職員マスタ!$H$6:$H$405,$AN2555)&lt;&gt;"",INDEX(職員マスタ!$H$6:$H$405,$AN2555)&lt;$AO2555))),"対象月が時短期間外／","")&amp;IF(AND(INDEX(職員マスタ!$F$6:$F$405,$AN2555)&lt;&gt;"",$AO2555&lt;&gt;"",INDEX(職員マスタ!$F$6:$F$405,$AN2555)&lt;$AO2555),"対象月に子が2歳到達済／","")&amp;IF(AND($H2555&lt;&gt;"",INDEX(職員マスタ!$B$6:$B$405,$AN2555)&lt;&gt;"",SUBSTITUTE(SUBSTITUTE($H2555," ","")," ","")&lt;&gt;SUBSTITUTE(SUBSTITUTE(INDEX(職員マスタ!$B$6:$B$405,$AN2555)," ","")," ","")),"氏名がマスタと相違／","")&amp;IF(AND($Q2555&lt;&gt;"",INDEX(職員マスタ!$E$6:$E$405,$AN2555)&lt;&gt;"",$Q2555&lt;&gt;INDEX(職員マスタ!$E$6:$E$405,$AN2555)),"子の生年月日がマスタと相違／","")&amp;IF(AND($L2555&lt;&gt;"",INDEX(職員マスタ!$G$6:$G$405,$AN2555)&lt;&gt;"",$L2555&lt;&gt;INDEX(職員マスタ!$G$6:$G$405,$AN2555)),"時短開始日がマスタと相違／","")&amp;IF(AND($M2555&lt;&gt;"",INDEX(職員マスタ!$H$6:$H$405,$AN2555)&lt;&gt;"",$M2555&lt;&gt;INDEX(職員マスタ!$H$6:$H$405,$AN2555)),"時短終了日がマスタと相違／","")))&amp;IF(AND($B2555&lt;&gt;"",$E2555=""),"報酬額が未入力／","")&amp;IF(N($U2555)&gt;0,"申請書に入力エラーが残っています／","")&amp;IF(AND($B2555&lt;&gt;"",$AO2555&lt;&gt;""),IF(COUNTIFS($B$6:$B$3005,$B2555,$C$6:$C$3005,$C2555,$D$6:$D$3005,$D2555)&gt;1,"同じ月の請求が重複しています／",""),"")&amp;IF(AND(N($E2555)&gt;0,$Z2555&lt;&gt;"",$Z2555&lt;&gt;"×",$AC2555=0,$AB2555=""),"計算額が下限以下のため不支給／",""))</f>
        <v/>
      </c>
      <c r="AL2555" s="12" t="n"/>
      <c r="AM2555" s="14">
        <f>IF($AD2555="保留中",COUNTIF($AD$6:$AD2555,"保留中"),"")</f>
        <v/>
      </c>
      <c r="AN2555" s="14">
        <f>IF($AO2555="","",IF(SUMPRODUCT(MAX((職員マスタ!$A$6:$A$405=$B2555)*(((職員マスタ!$G$6:$G$405="")+(職員マスタ!$G$6:$G$405&lt;=EOMONTH($AO2555,0)))&gt;0)*(((職員マスタ!$H$6:$H$405="")+(職員マスタ!$H$6:$H$405&gt;=$AO2555))&gt;0)*(ROW(職員マスタ!$A$6:$A$405)-5)))&gt;0,SUMPRODUCT(MAX((職員マスタ!$A$6:$A$405=$B2555)*(((職員マスタ!$G$6:$G$405="")+(職員マスタ!$G$6:$G$405&lt;=EOMONTH($AO2555,0)))&gt;0)*(((職員マスタ!$H$6:$H$405="")+(職員マスタ!$H$6:$H$405&gt;=$AO2555))&gt;0)*(ROW(職員マスタ!$A$6:$A$405)-5))),IFERROR(MATCH($B2555,職員マスタ!$A$6:$A$405,0),"")))</f>
        <v/>
      </c>
      <c r="AO2555" s="16">
        <f>IF(OR($B2555="",$C2555="",$D2555=""),"",DATE($C2555+2018,$D2555,1))</f>
        <v/>
      </c>
    </row>
    <row r="2556">
      <c r="A2556" s="11" t="n"/>
      <c r="B2556" s="12" t="n"/>
      <c r="C2556" s="12" t="n"/>
      <c r="D2556" s="12" t="n"/>
      <c r="E2556" s="13" t="n"/>
      <c r="F2556" s="12" t="n"/>
      <c r="G2556" s="13" t="n"/>
      <c r="H2556" s="12" t="n"/>
      <c r="I2556" s="12" t="n"/>
      <c r="J2556" s="12" t="n"/>
      <c r="K2556" s="12" t="n"/>
      <c r="L2556" s="11" t="n"/>
      <c r="M2556" s="11" t="n"/>
      <c r="N2556" s="11" t="n"/>
      <c r="O2556" s="11" t="n"/>
      <c r="P2556" s="12" t="n"/>
      <c r="Q2556" s="11" t="n"/>
      <c r="R2556" s="12" t="n"/>
      <c r="S2556" s="11" t="n"/>
      <c r="T2556" s="12" t="n"/>
      <c r="U2556" s="12" t="n"/>
      <c r="V2556" s="14">
        <f>IF($AN2556="",IF($B2556="","",$H2556),IF(INDEX(職員マスタ!$B$6:$B$405,$AN2556)="",$H2556,INDEX(職員マスタ!$B$6:$B$405,$AN2556)))</f>
        <v/>
      </c>
      <c r="W2556" s="14">
        <f>IF($AN2556="",IF($B2556="","",$R2556),IF(INDEX(職員マスタ!$C$6:$C$405,$AN2556)="",$R2556,INDEX(職員マスタ!$C$6:$C$405,$AN2556)))</f>
        <v/>
      </c>
      <c r="X2556" s="14">
        <f>IF($AO2556="","","R"&amp;$C2556&amp;"."&amp;$D2556)</f>
        <v/>
      </c>
      <c r="Y2556" s="15">
        <f>IF($AN2556="","",IF(INDEX(職員マスタ!$K$6:$K$405,$AN2556)="","",INDEX(職員マスタ!$K$6:$K$405,$AN2556)))</f>
        <v/>
      </c>
      <c r="Z2556" s="14">
        <f>IF(OR($E2556="",$Y2556=""),"",IF($E2556&gt;=$Y2556,"×",IF($E2556&gt;=$Y2556*設定!$C$5,"△","○")))</f>
        <v/>
      </c>
      <c r="AA2556" s="15">
        <f>IF($Z2556="","",IF($Z2556="×",0,IF($Z2556="○",ROUNDDOWN($E2556*設定!$C$4,0),ROUNDDOWN($E2556*ROUND((9*$Y2556-9*$E2556)/(10*$E2556),4),0))))</f>
        <v/>
      </c>
      <c r="AB2556" s="13" t="n"/>
      <c r="AC2556" s="15">
        <f>IF($B2556="","",IF($AB2556&lt;&gt;"",$AB2556,IF($AA2556="","",IF($AA2556&lt;=設定!$C$3,0,$AA2556))))</f>
        <v/>
      </c>
      <c r="AD2556" s="14">
        <f>IF($B2556="","",IF(AND($AE2556&lt;&gt;"",$AG2556="",$AJ2556=""),"保留中",IF($AJ2556&lt;&gt;"",IF(N($AC2556)&gt;0,"支給済","不支給"),IF($AC2556="","要確認",IF($AC2556=0,"不支給","未処理")))))</f>
        <v/>
      </c>
      <c r="AE2556" s="12" t="n"/>
      <c r="AF2556" s="11" t="n"/>
      <c r="AG2556" s="11" t="n"/>
      <c r="AH2556" s="11" t="n"/>
      <c r="AI2556" s="14">
        <f>IF(AND($AD2556="保留中",$AF2556&lt;&gt;""),TODAY()-$AF2556,"")</f>
        <v/>
      </c>
      <c r="AJ2556" s="12" t="n"/>
      <c r="AK2556" s="14">
        <f>IF($B2556="","",IF($AO2556="","対象年月が未入力／","")&amp;IF($B2556="","",IF($AN2556="","職員マスタに未登録の職員番号／",IF($Y2556="","標準報酬月額が未登録／","")&amp;IF(AND($AO2556&lt;&gt;"",OR(AND(INDEX(職員マスタ!$G$6:$G$405,$AN2556)&lt;&gt;"",INDEX(職員マスタ!$G$6:$G$405,$AN2556)&gt;EOMONTH($AO2556,0)),AND(INDEX(職員マスタ!$H$6:$H$405,$AN2556)&lt;&gt;"",INDEX(職員マスタ!$H$6:$H$405,$AN2556)&lt;$AO2556))),"対象月が時短期間外／","")&amp;IF(AND(INDEX(職員マスタ!$F$6:$F$405,$AN2556)&lt;&gt;"",$AO2556&lt;&gt;"",INDEX(職員マスタ!$F$6:$F$405,$AN2556)&lt;$AO2556),"対象月に子が2歳到達済／","")&amp;IF(AND($H2556&lt;&gt;"",INDEX(職員マスタ!$B$6:$B$405,$AN2556)&lt;&gt;"",SUBSTITUTE(SUBSTITUTE($H2556," ","")," ","")&lt;&gt;SUBSTITUTE(SUBSTITUTE(INDEX(職員マスタ!$B$6:$B$405,$AN2556)," ","")," ","")),"氏名がマスタと相違／","")&amp;IF(AND($Q2556&lt;&gt;"",INDEX(職員マスタ!$E$6:$E$405,$AN2556)&lt;&gt;"",$Q2556&lt;&gt;INDEX(職員マスタ!$E$6:$E$405,$AN2556)),"子の生年月日がマスタと相違／","")&amp;IF(AND($L2556&lt;&gt;"",INDEX(職員マスタ!$G$6:$G$405,$AN2556)&lt;&gt;"",$L2556&lt;&gt;INDEX(職員マスタ!$G$6:$G$405,$AN2556)),"時短開始日がマスタと相違／","")&amp;IF(AND($M2556&lt;&gt;"",INDEX(職員マスタ!$H$6:$H$405,$AN2556)&lt;&gt;"",$M2556&lt;&gt;INDEX(職員マスタ!$H$6:$H$405,$AN2556)),"時短終了日がマスタと相違／","")))&amp;IF(AND($B2556&lt;&gt;"",$E2556=""),"報酬額が未入力／","")&amp;IF(N($U2556)&gt;0,"申請書に入力エラーが残っています／","")&amp;IF(AND($B2556&lt;&gt;"",$AO2556&lt;&gt;""),IF(COUNTIFS($B$6:$B$3005,$B2556,$C$6:$C$3005,$C2556,$D$6:$D$3005,$D2556)&gt;1,"同じ月の請求が重複しています／",""),"")&amp;IF(AND(N($E2556)&gt;0,$Z2556&lt;&gt;"",$Z2556&lt;&gt;"×",$AC2556=0,$AB2556=""),"計算額が下限以下のため不支給／",""))</f>
        <v/>
      </c>
      <c r="AL2556" s="12" t="n"/>
      <c r="AM2556" s="14">
        <f>IF($AD2556="保留中",COUNTIF($AD$6:$AD2556,"保留中"),"")</f>
        <v/>
      </c>
      <c r="AN2556" s="14">
        <f>IF($AO2556="","",IF(SUMPRODUCT(MAX((職員マスタ!$A$6:$A$405=$B2556)*(((職員マスタ!$G$6:$G$405="")+(職員マスタ!$G$6:$G$405&lt;=EOMONTH($AO2556,0)))&gt;0)*(((職員マスタ!$H$6:$H$405="")+(職員マスタ!$H$6:$H$405&gt;=$AO2556))&gt;0)*(ROW(職員マスタ!$A$6:$A$405)-5)))&gt;0,SUMPRODUCT(MAX((職員マスタ!$A$6:$A$405=$B2556)*(((職員マスタ!$G$6:$G$405="")+(職員マスタ!$G$6:$G$405&lt;=EOMONTH($AO2556,0)))&gt;0)*(((職員マスタ!$H$6:$H$405="")+(職員マスタ!$H$6:$H$405&gt;=$AO2556))&gt;0)*(ROW(職員マスタ!$A$6:$A$405)-5))),IFERROR(MATCH($B2556,職員マスタ!$A$6:$A$405,0),"")))</f>
        <v/>
      </c>
      <c r="AO2556" s="16">
        <f>IF(OR($B2556="",$C2556="",$D2556=""),"",DATE($C2556+2018,$D2556,1))</f>
        <v/>
      </c>
    </row>
    <row r="2557">
      <c r="A2557" s="11" t="n"/>
      <c r="B2557" s="12" t="n"/>
      <c r="C2557" s="12" t="n"/>
      <c r="D2557" s="12" t="n"/>
      <c r="E2557" s="13" t="n"/>
      <c r="F2557" s="12" t="n"/>
      <c r="G2557" s="13" t="n"/>
      <c r="H2557" s="12" t="n"/>
      <c r="I2557" s="12" t="n"/>
      <c r="J2557" s="12" t="n"/>
      <c r="K2557" s="12" t="n"/>
      <c r="L2557" s="11" t="n"/>
      <c r="M2557" s="11" t="n"/>
      <c r="N2557" s="11" t="n"/>
      <c r="O2557" s="11" t="n"/>
      <c r="P2557" s="12" t="n"/>
      <c r="Q2557" s="11" t="n"/>
      <c r="R2557" s="12" t="n"/>
      <c r="S2557" s="11" t="n"/>
      <c r="T2557" s="12" t="n"/>
      <c r="U2557" s="12" t="n"/>
      <c r="V2557" s="14">
        <f>IF($AN2557="",IF($B2557="","",$H2557),IF(INDEX(職員マスタ!$B$6:$B$405,$AN2557)="",$H2557,INDEX(職員マスタ!$B$6:$B$405,$AN2557)))</f>
        <v/>
      </c>
      <c r="W2557" s="14">
        <f>IF($AN2557="",IF($B2557="","",$R2557),IF(INDEX(職員マスタ!$C$6:$C$405,$AN2557)="",$R2557,INDEX(職員マスタ!$C$6:$C$405,$AN2557)))</f>
        <v/>
      </c>
      <c r="X2557" s="14">
        <f>IF($AO2557="","","R"&amp;$C2557&amp;"."&amp;$D2557)</f>
        <v/>
      </c>
      <c r="Y2557" s="15">
        <f>IF($AN2557="","",IF(INDEX(職員マスタ!$K$6:$K$405,$AN2557)="","",INDEX(職員マスタ!$K$6:$K$405,$AN2557)))</f>
        <v/>
      </c>
      <c r="Z2557" s="14">
        <f>IF(OR($E2557="",$Y2557=""),"",IF($E2557&gt;=$Y2557,"×",IF($E2557&gt;=$Y2557*設定!$C$5,"△","○")))</f>
        <v/>
      </c>
      <c r="AA2557" s="15">
        <f>IF($Z2557="","",IF($Z2557="×",0,IF($Z2557="○",ROUNDDOWN($E2557*設定!$C$4,0),ROUNDDOWN($E2557*ROUND((9*$Y2557-9*$E2557)/(10*$E2557),4),0))))</f>
        <v/>
      </c>
      <c r="AB2557" s="13" t="n"/>
      <c r="AC2557" s="15">
        <f>IF($B2557="","",IF($AB2557&lt;&gt;"",$AB2557,IF($AA2557="","",IF($AA2557&lt;=設定!$C$3,0,$AA2557))))</f>
        <v/>
      </c>
      <c r="AD2557" s="14">
        <f>IF($B2557="","",IF(AND($AE2557&lt;&gt;"",$AG2557="",$AJ2557=""),"保留中",IF($AJ2557&lt;&gt;"",IF(N($AC2557)&gt;0,"支給済","不支給"),IF($AC2557="","要確認",IF($AC2557=0,"不支給","未処理")))))</f>
        <v/>
      </c>
      <c r="AE2557" s="12" t="n"/>
      <c r="AF2557" s="11" t="n"/>
      <c r="AG2557" s="11" t="n"/>
      <c r="AH2557" s="11" t="n"/>
      <c r="AI2557" s="14">
        <f>IF(AND($AD2557="保留中",$AF2557&lt;&gt;""),TODAY()-$AF2557,"")</f>
        <v/>
      </c>
      <c r="AJ2557" s="12" t="n"/>
      <c r="AK2557" s="14">
        <f>IF($B2557="","",IF($AO2557="","対象年月が未入力／","")&amp;IF($B2557="","",IF($AN2557="","職員マスタに未登録の職員番号／",IF($Y2557="","標準報酬月額が未登録／","")&amp;IF(AND($AO2557&lt;&gt;"",OR(AND(INDEX(職員マスタ!$G$6:$G$405,$AN2557)&lt;&gt;"",INDEX(職員マスタ!$G$6:$G$405,$AN2557)&gt;EOMONTH($AO2557,0)),AND(INDEX(職員マスタ!$H$6:$H$405,$AN2557)&lt;&gt;"",INDEX(職員マスタ!$H$6:$H$405,$AN2557)&lt;$AO2557))),"対象月が時短期間外／","")&amp;IF(AND(INDEX(職員マスタ!$F$6:$F$405,$AN2557)&lt;&gt;"",$AO2557&lt;&gt;"",INDEX(職員マスタ!$F$6:$F$405,$AN2557)&lt;$AO2557),"対象月に子が2歳到達済／","")&amp;IF(AND($H2557&lt;&gt;"",INDEX(職員マスタ!$B$6:$B$405,$AN2557)&lt;&gt;"",SUBSTITUTE(SUBSTITUTE($H2557," ","")," ","")&lt;&gt;SUBSTITUTE(SUBSTITUTE(INDEX(職員マスタ!$B$6:$B$405,$AN2557)," ","")," ","")),"氏名がマスタと相違／","")&amp;IF(AND($Q2557&lt;&gt;"",INDEX(職員マスタ!$E$6:$E$405,$AN2557)&lt;&gt;"",$Q2557&lt;&gt;INDEX(職員マスタ!$E$6:$E$405,$AN2557)),"子の生年月日がマスタと相違／","")&amp;IF(AND($L2557&lt;&gt;"",INDEX(職員マスタ!$G$6:$G$405,$AN2557)&lt;&gt;"",$L2557&lt;&gt;INDEX(職員マスタ!$G$6:$G$405,$AN2557)),"時短開始日がマスタと相違／","")&amp;IF(AND($M2557&lt;&gt;"",INDEX(職員マスタ!$H$6:$H$405,$AN2557)&lt;&gt;"",$M2557&lt;&gt;INDEX(職員マスタ!$H$6:$H$405,$AN2557)),"時短終了日がマスタと相違／","")))&amp;IF(AND($B2557&lt;&gt;"",$E2557=""),"報酬額が未入力／","")&amp;IF(N($U2557)&gt;0,"申請書に入力エラーが残っています／","")&amp;IF(AND($B2557&lt;&gt;"",$AO2557&lt;&gt;""),IF(COUNTIFS($B$6:$B$3005,$B2557,$C$6:$C$3005,$C2557,$D$6:$D$3005,$D2557)&gt;1,"同じ月の請求が重複しています／",""),"")&amp;IF(AND(N($E2557)&gt;0,$Z2557&lt;&gt;"",$Z2557&lt;&gt;"×",$AC2557=0,$AB2557=""),"計算額が下限以下のため不支給／",""))</f>
        <v/>
      </c>
      <c r="AL2557" s="12" t="n"/>
      <c r="AM2557" s="14">
        <f>IF($AD2557="保留中",COUNTIF($AD$6:$AD2557,"保留中"),"")</f>
        <v/>
      </c>
      <c r="AN2557" s="14">
        <f>IF($AO2557="","",IF(SUMPRODUCT(MAX((職員マスタ!$A$6:$A$405=$B2557)*(((職員マスタ!$G$6:$G$405="")+(職員マスタ!$G$6:$G$405&lt;=EOMONTH($AO2557,0)))&gt;0)*(((職員マスタ!$H$6:$H$405="")+(職員マスタ!$H$6:$H$405&gt;=$AO2557))&gt;0)*(ROW(職員マスタ!$A$6:$A$405)-5)))&gt;0,SUMPRODUCT(MAX((職員マスタ!$A$6:$A$405=$B2557)*(((職員マスタ!$G$6:$G$405="")+(職員マスタ!$G$6:$G$405&lt;=EOMONTH($AO2557,0)))&gt;0)*(((職員マスタ!$H$6:$H$405="")+(職員マスタ!$H$6:$H$405&gt;=$AO2557))&gt;0)*(ROW(職員マスタ!$A$6:$A$405)-5))),IFERROR(MATCH($B2557,職員マスタ!$A$6:$A$405,0),"")))</f>
        <v/>
      </c>
      <c r="AO2557" s="16">
        <f>IF(OR($B2557="",$C2557="",$D2557=""),"",DATE($C2557+2018,$D2557,1))</f>
        <v/>
      </c>
    </row>
    <row r="2558">
      <c r="A2558" s="11" t="n"/>
      <c r="B2558" s="12" t="n"/>
      <c r="C2558" s="12" t="n"/>
      <c r="D2558" s="12" t="n"/>
      <c r="E2558" s="13" t="n"/>
      <c r="F2558" s="12" t="n"/>
      <c r="G2558" s="13" t="n"/>
      <c r="H2558" s="12" t="n"/>
      <c r="I2558" s="12" t="n"/>
      <c r="J2558" s="12" t="n"/>
      <c r="K2558" s="12" t="n"/>
      <c r="L2558" s="11" t="n"/>
      <c r="M2558" s="11" t="n"/>
      <c r="N2558" s="11" t="n"/>
      <c r="O2558" s="11" t="n"/>
      <c r="P2558" s="12" t="n"/>
      <c r="Q2558" s="11" t="n"/>
      <c r="R2558" s="12" t="n"/>
      <c r="S2558" s="11" t="n"/>
      <c r="T2558" s="12" t="n"/>
      <c r="U2558" s="12" t="n"/>
      <c r="V2558" s="14">
        <f>IF($AN2558="",IF($B2558="","",$H2558),IF(INDEX(職員マスタ!$B$6:$B$405,$AN2558)="",$H2558,INDEX(職員マスタ!$B$6:$B$405,$AN2558)))</f>
        <v/>
      </c>
      <c r="W2558" s="14">
        <f>IF($AN2558="",IF($B2558="","",$R2558),IF(INDEX(職員マスタ!$C$6:$C$405,$AN2558)="",$R2558,INDEX(職員マスタ!$C$6:$C$405,$AN2558)))</f>
        <v/>
      </c>
      <c r="X2558" s="14">
        <f>IF($AO2558="","","R"&amp;$C2558&amp;"."&amp;$D2558)</f>
        <v/>
      </c>
      <c r="Y2558" s="15">
        <f>IF($AN2558="","",IF(INDEX(職員マスタ!$K$6:$K$405,$AN2558)="","",INDEX(職員マスタ!$K$6:$K$405,$AN2558)))</f>
        <v/>
      </c>
      <c r="Z2558" s="14">
        <f>IF(OR($E2558="",$Y2558=""),"",IF($E2558&gt;=$Y2558,"×",IF($E2558&gt;=$Y2558*設定!$C$5,"△","○")))</f>
        <v/>
      </c>
      <c r="AA2558" s="15">
        <f>IF($Z2558="","",IF($Z2558="×",0,IF($Z2558="○",ROUNDDOWN($E2558*設定!$C$4,0),ROUNDDOWN($E2558*ROUND((9*$Y2558-9*$E2558)/(10*$E2558),4),0))))</f>
        <v/>
      </c>
      <c r="AB2558" s="13" t="n"/>
      <c r="AC2558" s="15">
        <f>IF($B2558="","",IF($AB2558&lt;&gt;"",$AB2558,IF($AA2558="","",IF($AA2558&lt;=設定!$C$3,0,$AA2558))))</f>
        <v/>
      </c>
      <c r="AD2558" s="14">
        <f>IF($B2558="","",IF(AND($AE2558&lt;&gt;"",$AG2558="",$AJ2558=""),"保留中",IF($AJ2558&lt;&gt;"",IF(N($AC2558)&gt;0,"支給済","不支給"),IF($AC2558="","要確認",IF($AC2558=0,"不支給","未処理")))))</f>
        <v/>
      </c>
      <c r="AE2558" s="12" t="n"/>
      <c r="AF2558" s="11" t="n"/>
      <c r="AG2558" s="11" t="n"/>
      <c r="AH2558" s="11" t="n"/>
      <c r="AI2558" s="14">
        <f>IF(AND($AD2558="保留中",$AF2558&lt;&gt;""),TODAY()-$AF2558,"")</f>
        <v/>
      </c>
      <c r="AJ2558" s="12" t="n"/>
      <c r="AK2558" s="14">
        <f>IF($B2558="","",IF($AO2558="","対象年月が未入力／","")&amp;IF($B2558="","",IF($AN2558="","職員マスタに未登録の職員番号／",IF($Y2558="","標準報酬月額が未登録／","")&amp;IF(AND($AO2558&lt;&gt;"",OR(AND(INDEX(職員マスタ!$G$6:$G$405,$AN2558)&lt;&gt;"",INDEX(職員マスタ!$G$6:$G$405,$AN2558)&gt;EOMONTH($AO2558,0)),AND(INDEX(職員マスタ!$H$6:$H$405,$AN2558)&lt;&gt;"",INDEX(職員マスタ!$H$6:$H$405,$AN2558)&lt;$AO2558))),"対象月が時短期間外／","")&amp;IF(AND(INDEX(職員マスタ!$F$6:$F$405,$AN2558)&lt;&gt;"",$AO2558&lt;&gt;"",INDEX(職員マスタ!$F$6:$F$405,$AN2558)&lt;$AO2558),"対象月に子が2歳到達済／","")&amp;IF(AND($H2558&lt;&gt;"",INDEX(職員マスタ!$B$6:$B$405,$AN2558)&lt;&gt;"",SUBSTITUTE(SUBSTITUTE($H2558," ","")," ","")&lt;&gt;SUBSTITUTE(SUBSTITUTE(INDEX(職員マスタ!$B$6:$B$405,$AN2558)," ","")," ","")),"氏名がマスタと相違／","")&amp;IF(AND($Q2558&lt;&gt;"",INDEX(職員マスタ!$E$6:$E$405,$AN2558)&lt;&gt;"",$Q2558&lt;&gt;INDEX(職員マスタ!$E$6:$E$405,$AN2558)),"子の生年月日がマスタと相違／","")&amp;IF(AND($L2558&lt;&gt;"",INDEX(職員マスタ!$G$6:$G$405,$AN2558)&lt;&gt;"",$L2558&lt;&gt;INDEX(職員マスタ!$G$6:$G$405,$AN2558)),"時短開始日がマスタと相違／","")&amp;IF(AND($M2558&lt;&gt;"",INDEX(職員マスタ!$H$6:$H$405,$AN2558)&lt;&gt;"",$M2558&lt;&gt;INDEX(職員マスタ!$H$6:$H$405,$AN2558)),"時短終了日がマスタと相違／","")))&amp;IF(AND($B2558&lt;&gt;"",$E2558=""),"報酬額が未入力／","")&amp;IF(N($U2558)&gt;0,"申請書に入力エラーが残っています／","")&amp;IF(AND($B2558&lt;&gt;"",$AO2558&lt;&gt;""),IF(COUNTIFS($B$6:$B$3005,$B2558,$C$6:$C$3005,$C2558,$D$6:$D$3005,$D2558)&gt;1,"同じ月の請求が重複しています／",""),"")&amp;IF(AND(N($E2558)&gt;0,$Z2558&lt;&gt;"",$Z2558&lt;&gt;"×",$AC2558=0,$AB2558=""),"計算額が下限以下のため不支給／",""))</f>
        <v/>
      </c>
      <c r="AL2558" s="12" t="n"/>
      <c r="AM2558" s="14">
        <f>IF($AD2558="保留中",COUNTIF($AD$6:$AD2558,"保留中"),"")</f>
        <v/>
      </c>
      <c r="AN2558" s="14">
        <f>IF($AO2558="","",IF(SUMPRODUCT(MAX((職員マスタ!$A$6:$A$405=$B2558)*(((職員マスタ!$G$6:$G$405="")+(職員マスタ!$G$6:$G$405&lt;=EOMONTH($AO2558,0)))&gt;0)*(((職員マスタ!$H$6:$H$405="")+(職員マスタ!$H$6:$H$405&gt;=$AO2558))&gt;0)*(ROW(職員マスタ!$A$6:$A$405)-5)))&gt;0,SUMPRODUCT(MAX((職員マスタ!$A$6:$A$405=$B2558)*(((職員マスタ!$G$6:$G$405="")+(職員マスタ!$G$6:$G$405&lt;=EOMONTH($AO2558,0)))&gt;0)*(((職員マスタ!$H$6:$H$405="")+(職員マスタ!$H$6:$H$405&gt;=$AO2558))&gt;0)*(ROW(職員マスタ!$A$6:$A$405)-5))),IFERROR(MATCH($B2558,職員マスタ!$A$6:$A$405,0),"")))</f>
        <v/>
      </c>
      <c r="AO2558" s="16">
        <f>IF(OR($B2558="",$C2558="",$D2558=""),"",DATE($C2558+2018,$D2558,1))</f>
        <v/>
      </c>
    </row>
    <row r="2559">
      <c r="A2559" s="11" t="n"/>
      <c r="B2559" s="12" t="n"/>
      <c r="C2559" s="12" t="n"/>
      <c r="D2559" s="12" t="n"/>
      <c r="E2559" s="13" t="n"/>
      <c r="F2559" s="12" t="n"/>
      <c r="G2559" s="13" t="n"/>
      <c r="H2559" s="12" t="n"/>
      <c r="I2559" s="12" t="n"/>
      <c r="J2559" s="12" t="n"/>
      <c r="K2559" s="12" t="n"/>
      <c r="L2559" s="11" t="n"/>
      <c r="M2559" s="11" t="n"/>
      <c r="N2559" s="11" t="n"/>
      <c r="O2559" s="11" t="n"/>
      <c r="P2559" s="12" t="n"/>
      <c r="Q2559" s="11" t="n"/>
      <c r="R2559" s="12" t="n"/>
      <c r="S2559" s="11" t="n"/>
      <c r="T2559" s="12" t="n"/>
      <c r="U2559" s="12" t="n"/>
      <c r="V2559" s="14">
        <f>IF($AN2559="",IF($B2559="","",$H2559),IF(INDEX(職員マスタ!$B$6:$B$405,$AN2559)="",$H2559,INDEX(職員マスタ!$B$6:$B$405,$AN2559)))</f>
        <v/>
      </c>
      <c r="W2559" s="14">
        <f>IF($AN2559="",IF($B2559="","",$R2559),IF(INDEX(職員マスタ!$C$6:$C$405,$AN2559)="",$R2559,INDEX(職員マスタ!$C$6:$C$405,$AN2559)))</f>
        <v/>
      </c>
      <c r="X2559" s="14">
        <f>IF($AO2559="","","R"&amp;$C2559&amp;"."&amp;$D2559)</f>
        <v/>
      </c>
      <c r="Y2559" s="15">
        <f>IF($AN2559="","",IF(INDEX(職員マスタ!$K$6:$K$405,$AN2559)="","",INDEX(職員マスタ!$K$6:$K$405,$AN2559)))</f>
        <v/>
      </c>
      <c r="Z2559" s="14">
        <f>IF(OR($E2559="",$Y2559=""),"",IF($E2559&gt;=$Y2559,"×",IF($E2559&gt;=$Y2559*設定!$C$5,"△","○")))</f>
        <v/>
      </c>
      <c r="AA2559" s="15">
        <f>IF($Z2559="","",IF($Z2559="×",0,IF($Z2559="○",ROUNDDOWN($E2559*設定!$C$4,0),ROUNDDOWN($E2559*ROUND((9*$Y2559-9*$E2559)/(10*$E2559),4),0))))</f>
        <v/>
      </c>
      <c r="AB2559" s="13" t="n"/>
      <c r="AC2559" s="15">
        <f>IF($B2559="","",IF($AB2559&lt;&gt;"",$AB2559,IF($AA2559="","",IF($AA2559&lt;=設定!$C$3,0,$AA2559))))</f>
        <v/>
      </c>
      <c r="AD2559" s="14">
        <f>IF($B2559="","",IF(AND($AE2559&lt;&gt;"",$AG2559="",$AJ2559=""),"保留中",IF($AJ2559&lt;&gt;"",IF(N($AC2559)&gt;0,"支給済","不支給"),IF($AC2559="","要確認",IF($AC2559=0,"不支給","未処理")))))</f>
        <v/>
      </c>
      <c r="AE2559" s="12" t="n"/>
      <c r="AF2559" s="11" t="n"/>
      <c r="AG2559" s="11" t="n"/>
      <c r="AH2559" s="11" t="n"/>
      <c r="AI2559" s="14">
        <f>IF(AND($AD2559="保留中",$AF2559&lt;&gt;""),TODAY()-$AF2559,"")</f>
        <v/>
      </c>
      <c r="AJ2559" s="12" t="n"/>
      <c r="AK2559" s="14">
        <f>IF($B2559="","",IF($AO2559="","対象年月が未入力／","")&amp;IF($B2559="","",IF($AN2559="","職員マスタに未登録の職員番号／",IF($Y2559="","標準報酬月額が未登録／","")&amp;IF(AND($AO2559&lt;&gt;"",OR(AND(INDEX(職員マスタ!$G$6:$G$405,$AN2559)&lt;&gt;"",INDEX(職員マスタ!$G$6:$G$405,$AN2559)&gt;EOMONTH($AO2559,0)),AND(INDEX(職員マスタ!$H$6:$H$405,$AN2559)&lt;&gt;"",INDEX(職員マスタ!$H$6:$H$405,$AN2559)&lt;$AO2559))),"対象月が時短期間外／","")&amp;IF(AND(INDEX(職員マスタ!$F$6:$F$405,$AN2559)&lt;&gt;"",$AO2559&lt;&gt;"",INDEX(職員マスタ!$F$6:$F$405,$AN2559)&lt;$AO2559),"対象月に子が2歳到達済／","")&amp;IF(AND($H2559&lt;&gt;"",INDEX(職員マスタ!$B$6:$B$405,$AN2559)&lt;&gt;"",SUBSTITUTE(SUBSTITUTE($H2559," ","")," ","")&lt;&gt;SUBSTITUTE(SUBSTITUTE(INDEX(職員マスタ!$B$6:$B$405,$AN2559)," ","")," ","")),"氏名がマスタと相違／","")&amp;IF(AND($Q2559&lt;&gt;"",INDEX(職員マスタ!$E$6:$E$405,$AN2559)&lt;&gt;"",$Q2559&lt;&gt;INDEX(職員マスタ!$E$6:$E$405,$AN2559)),"子の生年月日がマスタと相違／","")&amp;IF(AND($L2559&lt;&gt;"",INDEX(職員マスタ!$G$6:$G$405,$AN2559)&lt;&gt;"",$L2559&lt;&gt;INDEX(職員マスタ!$G$6:$G$405,$AN2559)),"時短開始日がマスタと相違／","")&amp;IF(AND($M2559&lt;&gt;"",INDEX(職員マスタ!$H$6:$H$405,$AN2559)&lt;&gt;"",$M2559&lt;&gt;INDEX(職員マスタ!$H$6:$H$405,$AN2559)),"時短終了日がマスタと相違／","")))&amp;IF(AND($B2559&lt;&gt;"",$E2559=""),"報酬額が未入力／","")&amp;IF(N($U2559)&gt;0,"申請書に入力エラーが残っています／","")&amp;IF(AND($B2559&lt;&gt;"",$AO2559&lt;&gt;""),IF(COUNTIFS($B$6:$B$3005,$B2559,$C$6:$C$3005,$C2559,$D$6:$D$3005,$D2559)&gt;1,"同じ月の請求が重複しています／",""),"")&amp;IF(AND(N($E2559)&gt;0,$Z2559&lt;&gt;"",$Z2559&lt;&gt;"×",$AC2559=0,$AB2559=""),"計算額が下限以下のため不支給／",""))</f>
        <v/>
      </c>
      <c r="AL2559" s="12" t="n"/>
      <c r="AM2559" s="14">
        <f>IF($AD2559="保留中",COUNTIF($AD$6:$AD2559,"保留中"),"")</f>
        <v/>
      </c>
      <c r="AN2559" s="14">
        <f>IF($AO2559="","",IF(SUMPRODUCT(MAX((職員マスタ!$A$6:$A$405=$B2559)*(((職員マスタ!$G$6:$G$405="")+(職員マスタ!$G$6:$G$405&lt;=EOMONTH($AO2559,0)))&gt;0)*(((職員マスタ!$H$6:$H$405="")+(職員マスタ!$H$6:$H$405&gt;=$AO2559))&gt;0)*(ROW(職員マスタ!$A$6:$A$405)-5)))&gt;0,SUMPRODUCT(MAX((職員マスタ!$A$6:$A$405=$B2559)*(((職員マスタ!$G$6:$G$405="")+(職員マスタ!$G$6:$G$405&lt;=EOMONTH($AO2559,0)))&gt;0)*(((職員マスタ!$H$6:$H$405="")+(職員マスタ!$H$6:$H$405&gt;=$AO2559))&gt;0)*(ROW(職員マスタ!$A$6:$A$405)-5))),IFERROR(MATCH($B2559,職員マスタ!$A$6:$A$405,0),"")))</f>
        <v/>
      </c>
      <c r="AO2559" s="16">
        <f>IF(OR($B2559="",$C2559="",$D2559=""),"",DATE($C2559+2018,$D2559,1))</f>
        <v/>
      </c>
    </row>
    <row r="2560">
      <c r="A2560" s="11" t="n"/>
      <c r="B2560" s="12" t="n"/>
      <c r="C2560" s="12" t="n"/>
      <c r="D2560" s="12" t="n"/>
      <c r="E2560" s="13" t="n"/>
      <c r="F2560" s="12" t="n"/>
      <c r="G2560" s="13" t="n"/>
      <c r="H2560" s="12" t="n"/>
      <c r="I2560" s="12" t="n"/>
      <c r="J2560" s="12" t="n"/>
      <c r="K2560" s="12" t="n"/>
      <c r="L2560" s="11" t="n"/>
      <c r="M2560" s="11" t="n"/>
      <c r="N2560" s="11" t="n"/>
      <c r="O2560" s="11" t="n"/>
      <c r="P2560" s="12" t="n"/>
      <c r="Q2560" s="11" t="n"/>
      <c r="R2560" s="12" t="n"/>
      <c r="S2560" s="11" t="n"/>
      <c r="T2560" s="12" t="n"/>
      <c r="U2560" s="12" t="n"/>
      <c r="V2560" s="14">
        <f>IF($AN2560="",IF($B2560="","",$H2560),IF(INDEX(職員マスタ!$B$6:$B$405,$AN2560)="",$H2560,INDEX(職員マスタ!$B$6:$B$405,$AN2560)))</f>
        <v/>
      </c>
      <c r="W2560" s="14">
        <f>IF($AN2560="",IF($B2560="","",$R2560),IF(INDEX(職員マスタ!$C$6:$C$405,$AN2560)="",$R2560,INDEX(職員マスタ!$C$6:$C$405,$AN2560)))</f>
        <v/>
      </c>
      <c r="X2560" s="14">
        <f>IF($AO2560="","","R"&amp;$C2560&amp;"."&amp;$D2560)</f>
        <v/>
      </c>
      <c r="Y2560" s="15">
        <f>IF($AN2560="","",IF(INDEX(職員マスタ!$K$6:$K$405,$AN2560)="","",INDEX(職員マスタ!$K$6:$K$405,$AN2560)))</f>
        <v/>
      </c>
      <c r="Z2560" s="14">
        <f>IF(OR($E2560="",$Y2560=""),"",IF($E2560&gt;=$Y2560,"×",IF($E2560&gt;=$Y2560*設定!$C$5,"△","○")))</f>
        <v/>
      </c>
      <c r="AA2560" s="15">
        <f>IF($Z2560="","",IF($Z2560="×",0,IF($Z2560="○",ROUNDDOWN($E2560*設定!$C$4,0),ROUNDDOWN($E2560*ROUND((9*$Y2560-9*$E2560)/(10*$E2560),4),0))))</f>
        <v/>
      </c>
      <c r="AB2560" s="13" t="n"/>
      <c r="AC2560" s="15">
        <f>IF($B2560="","",IF($AB2560&lt;&gt;"",$AB2560,IF($AA2560="","",IF($AA2560&lt;=設定!$C$3,0,$AA2560))))</f>
        <v/>
      </c>
      <c r="AD2560" s="14">
        <f>IF($B2560="","",IF(AND($AE2560&lt;&gt;"",$AG2560="",$AJ2560=""),"保留中",IF($AJ2560&lt;&gt;"",IF(N($AC2560)&gt;0,"支給済","不支給"),IF($AC2560="","要確認",IF($AC2560=0,"不支給","未処理")))))</f>
        <v/>
      </c>
      <c r="AE2560" s="12" t="n"/>
      <c r="AF2560" s="11" t="n"/>
      <c r="AG2560" s="11" t="n"/>
      <c r="AH2560" s="11" t="n"/>
      <c r="AI2560" s="14">
        <f>IF(AND($AD2560="保留中",$AF2560&lt;&gt;""),TODAY()-$AF2560,"")</f>
        <v/>
      </c>
      <c r="AJ2560" s="12" t="n"/>
      <c r="AK2560" s="14">
        <f>IF($B2560="","",IF($AO2560="","対象年月が未入力／","")&amp;IF($B2560="","",IF($AN2560="","職員マスタに未登録の職員番号／",IF($Y2560="","標準報酬月額が未登録／","")&amp;IF(AND($AO2560&lt;&gt;"",OR(AND(INDEX(職員マスタ!$G$6:$G$405,$AN2560)&lt;&gt;"",INDEX(職員マスタ!$G$6:$G$405,$AN2560)&gt;EOMONTH($AO2560,0)),AND(INDEX(職員マスタ!$H$6:$H$405,$AN2560)&lt;&gt;"",INDEX(職員マスタ!$H$6:$H$405,$AN2560)&lt;$AO2560))),"対象月が時短期間外／","")&amp;IF(AND(INDEX(職員マスタ!$F$6:$F$405,$AN2560)&lt;&gt;"",$AO2560&lt;&gt;"",INDEX(職員マスタ!$F$6:$F$405,$AN2560)&lt;$AO2560),"対象月に子が2歳到達済／","")&amp;IF(AND($H2560&lt;&gt;"",INDEX(職員マスタ!$B$6:$B$405,$AN2560)&lt;&gt;"",SUBSTITUTE(SUBSTITUTE($H2560," ","")," ","")&lt;&gt;SUBSTITUTE(SUBSTITUTE(INDEX(職員マスタ!$B$6:$B$405,$AN2560)," ","")," ","")),"氏名がマスタと相違／","")&amp;IF(AND($Q2560&lt;&gt;"",INDEX(職員マスタ!$E$6:$E$405,$AN2560)&lt;&gt;"",$Q2560&lt;&gt;INDEX(職員マスタ!$E$6:$E$405,$AN2560)),"子の生年月日がマスタと相違／","")&amp;IF(AND($L2560&lt;&gt;"",INDEX(職員マスタ!$G$6:$G$405,$AN2560)&lt;&gt;"",$L2560&lt;&gt;INDEX(職員マスタ!$G$6:$G$405,$AN2560)),"時短開始日がマスタと相違／","")&amp;IF(AND($M2560&lt;&gt;"",INDEX(職員マスタ!$H$6:$H$405,$AN2560)&lt;&gt;"",$M2560&lt;&gt;INDEX(職員マスタ!$H$6:$H$405,$AN2560)),"時短終了日がマスタと相違／","")))&amp;IF(AND($B2560&lt;&gt;"",$E2560=""),"報酬額が未入力／","")&amp;IF(N($U2560)&gt;0,"申請書に入力エラーが残っています／","")&amp;IF(AND($B2560&lt;&gt;"",$AO2560&lt;&gt;""),IF(COUNTIFS($B$6:$B$3005,$B2560,$C$6:$C$3005,$C2560,$D$6:$D$3005,$D2560)&gt;1,"同じ月の請求が重複しています／",""),"")&amp;IF(AND(N($E2560)&gt;0,$Z2560&lt;&gt;"",$Z2560&lt;&gt;"×",$AC2560=0,$AB2560=""),"計算額が下限以下のため不支給／",""))</f>
        <v/>
      </c>
      <c r="AL2560" s="12" t="n"/>
      <c r="AM2560" s="14">
        <f>IF($AD2560="保留中",COUNTIF($AD$6:$AD2560,"保留中"),"")</f>
        <v/>
      </c>
      <c r="AN2560" s="14">
        <f>IF($AO2560="","",IF(SUMPRODUCT(MAX((職員マスタ!$A$6:$A$405=$B2560)*(((職員マスタ!$G$6:$G$405="")+(職員マスタ!$G$6:$G$405&lt;=EOMONTH($AO2560,0)))&gt;0)*(((職員マスタ!$H$6:$H$405="")+(職員マスタ!$H$6:$H$405&gt;=$AO2560))&gt;0)*(ROW(職員マスタ!$A$6:$A$405)-5)))&gt;0,SUMPRODUCT(MAX((職員マスタ!$A$6:$A$405=$B2560)*(((職員マスタ!$G$6:$G$405="")+(職員マスタ!$G$6:$G$405&lt;=EOMONTH($AO2560,0)))&gt;0)*(((職員マスタ!$H$6:$H$405="")+(職員マスタ!$H$6:$H$405&gt;=$AO2560))&gt;0)*(ROW(職員マスタ!$A$6:$A$405)-5))),IFERROR(MATCH($B2560,職員マスタ!$A$6:$A$405,0),"")))</f>
        <v/>
      </c>
      <c r="AO2560" s="16">
        <f>IF(OR($B2560="",$C2560="",$D2560=""),"",DATE($C2560+2018,$D2560,1))</f>
        <v/>
      </c>
    </row>
    <row r="2561">
      <c r="A2561" s="11" t="n"/>
      <c r="B2561" s="12" t="n"/>
      <c r="C2561" s="12" t="n"/>
      <c r="D2561" s="12" t="n"/>
      <c r="E2561" s="13" t="n"/>
      <c r="F2561" s="12" t="n"/>
      <c r="G2561" s="13" t="n"/>
      <c r="H2561" s="12" t="n"/>
      <c r="I2561" s="12" t="n"/>
      <c r="J2561" s="12" t="n"/>
      <c r="K2561" s="12" t="n"/>
      <c r="L2561" s="11" t="n"/>
      <c r="M2561" s="11" t="n"/>
      <c r="N2561" s="11" t="n"/>
      <c r="O2561" s="11" t="n"/>
      <c r="P2561" s="12" t="n"/>
      <c r="Q2561" s="11" t="n"/>
      <c r="R2561" s="12" t="n"/>
      <c r="S2561" s="11" t="n"/>
      <c r="T2561" s="12" t="n"/>
      <c r="U2561" s="12" t="n"/>
      <c r="V2561" s="14">
        <f>IF($AN2561="",IF($B2561="","",$H2561),IF(INDEX(職員マスタ!$B$6:$B$405,$AN2561)="",$H2561,INDEX(職員マスタ!$B$6:$B$405,$AN2561)))</f>
        <v/>
      </c>
      <c r="W2561" s="14">
        <f>IF($AN2561="",IF($B2561="","",$R2561),IF(INDEX(職員マスタ!$C$6:$C$405,$AN2561)="",$R2561,INDEX(職員マスタ!$C$6:$C$405,$AN2561)))</f>
        <v/>
      </c>
      <c r="X2561" s="14">
        <f>IF($AO2561="","","R"&amp;$C2561&amp;"."&amp;$D2561)</f>
        <v/>
      </c>
      <c r="Y2561" s="15">
        <f>IF($AN2561="","",IF(INDEX(職員マスタ!$K$6:$K$405,$AN2561)="","",INDEX(職員マスタ!$K$6:$K$405,$AN2561)))</f>
        <v/>
      </c>
      <c r="Z2561" s="14">
        <f>IF(OR($E2561="",$Y2561=""),"",IF($E2561&gt;=$Y2561,"×",IF($E2561&gt;=$Y2561*設定!$C$5,"△","○")))</f>
        <v/>
      </c>
      <c r="AA2561" s="15">
        <f>IF($Z2561="","",IF($Z2561="×",0,IF($Z2561="○",ROUNDDOWN($E2561*設定!$C$4,0),ROUNDDOWN($E2561*ROUND((9*$Y2561-9*$E2561)/(10*$E2561),4),0))))</f>
        <v/>
      </c>
      <c r="AB2561" s="13" t="n"/>
      <c r="AC2561" s="15">
        <f>IF($B2561="","",IF($AB2561&lt;&gt;"",$AB2561,IF($AA2561="","",IF($AA2561&lt;=設定!$C$3,0,$AA2561))))</f>
        <v/>
      </c>
      <c r="AD2561" s="14">
        <f>IF($B2561="","",IF(AND($AE2561&lt;&gt;"",$AG2561="",$AJ2561=""),"保留中",IF($AJ2561&lt;&gt;"",IF(N($AC2561)&gt;0,"支給済","不支給"),IF($AC2561="","要確認",IF($AC2561=0,"不支給","未処理")))))</f>
        <v/>
      </c>
      <c r="AE2561" s="12" t="n"/>
      <c r="AF2561" s="11" t="n"/>
      <c r="AG2561" s="11" t="n"/>
      <c r="AH2561" s="11" t="n"/>
      <c r="AI2561" s="14">
        <f>IF(AND($AD2561="保留中",$AF2561&lt;&gt;""),TODAY()-$AF2561,"")</f>
        <v/>
      </c>
      <c r="AJ2561" s="12" t="n"/>
      <c r="AK2561" s="14">
        <f>IF($B2561="","",IF($AO2561="","対象年月が未入力／","")&amp;IF($B2561="","",IF($AN2561="","職員マスタに未登録の職員番号／",IF($Y2561="","標準報酬月額が未登録／","")&amp;IF(AND($AO2561&lt;&gt;"",OR(AND(INDEX(職員マスタ!$G$6:$G$405,$AN2561)&lt;&gt;"",INDEX(職員マスタ!$G$6:$G$405,$AN2561)&gt;EOMONTH($AO2561,0)),AND(INDEX(職員マスタ!$H$6:$H$405,$AN2561)&lt;&gt;"",INDEX(職員マスタ!$H$6:$H$405,$AN2561)&lt;$AO2561))),"対象月が時短期間外／","")&amp;IF(AND(INDEX(職員マスタ!$F$6:$F$405,$AN2561)&lt;&gt;"",$AO2561&lt;&gt;"",INDEX(職員マスタ!$F$6:$F$405,$AN2561)&lt;$AO2561),"対象月に子が2歳到達済／","")&amp;IF(AND($H2561&lt;&gt;"",INDEX(職員マスタ!$B$6:$B$405,$AN2561)&lt;&gt;"",SUBSTITUTE(SUBSTITUTE($H2561," ","")," ","")&lt;&gt;SUBSTITUTE(SUBSTITUTE(INDEX(職員マスタ!$B$6:$B$405,$AN2561)," ","")," ","")),"氏名がマスタと相違／","")&amp;IF(AND($Q2561&lt;&gt;"",INDEX(職員マスタ!$E$6:$E$405,$AN2561)&lt;&gt;"",$Q2561&lt;&gt;INDEX(職員マスタ!$E$6:$E$405,$AN2561)),"子の生年月日がマスタと相違／","")&amp;IF(AND($L2561&lt;&gt;"",INDEX(職員マスタ!$G$6:$G$405,$AN2561)&lt;&gt;"",$L2561&lt;&gt;INDEX(職員マスタ!$G$6:$G$405,$AN2561)),"時短開始日がマスタと相違／","")&amp;IF(AND($M2561&lt;&gt;"",INDEX(職員マスタ!$H$6:$H$405,$AN2561)&lt;&gt;"",$M2561&lt;&gt;INDEX(職員マスタ!$H$6:$H$405,$AN2561)),"時短終了日がマスタと相違／","")))&amp;IF(AND($B2561&lt;&gt;"",$E2561=""),"報酬額が未入力／","")&amp;IF(N($U2561)&gt;0,"申請書に入力エラーが残っています／","")&amp;IF(AND($B2561&lt;&gt;"",$AO2561&lt;&gt;""),IF(COUNTIFS($B$6:$B$3005,$B2561,$C$6:$C$3005,$C2561,$D$6:$D$3005,$D2561)&gt;1,"同じ月の請求が重複しています／",""),"")&amp;IF(AND(N($E2561)&gt;0,$Z2561&lt;&gt;"",$Z2561&lt;&gt;"×",$AC2561=0,$AB2561=""),"計算額が下限以下のため不支給／",""))</f>
        <v/>
      </c>
      <c r="AL2561" s="12" t="n"/>
      <c r="AM2561" s="14">
        <f>IF($AD2561="保留中",COUNTIF($AD$6:$AD2561,"保留中"),"")</f>
        <v/>
      </c>
      <c r="AN2561" s="14">
        <f>IF($AO2561="","",IF(SUMPRODUCT(MAX((職員マスタ!$A$6:$A$405=$B2561)*(((職員マスタ!$G$6:$G$405="")+(職員マスタ!$G$6:$G$405&lt;=EOMONTH($AO2561,0)))&gt;0)*(((職員マスタ!$H$6:$H$405="")+(職員マスタ!$H$6:$H$405&gt;=$AO2561))&gt;0)*(ROW(職員マスタ!$A$6:$A$405)-5)))&gt;0,SUMPRODUCT(MAX((職員マスタ!$A$6:$A$405=$B2561)*(((職員マスタ!$G$6:$G$405="")+(職員マスタ!$G$6:$G$405&lt;=EOMONTH($AO2561,0)))&gt;0)*(((職員マスタ!$H$6:$H$405="")+(職員マスタ!$H$6:$H$405&gt;=$AO2561))&gt;0)*(ROW(職員マスタ!$A$6:$A$405)-5))),IFERROR(MATCH($B2561,職員マスタ!$A$6:$A$405,0),"")))</f>
        <v/>
      </c>
      <c r="AO2561" s="16">
        <f>IF(OR($B2561="",$C2561="",$D2561=""),"",DATE($C2561+2018,$D2561,1))</f>
        <v/>
      </c>
    </row>
    <row r="2562">
      <c r="A2562" s="11" t="n"/>
      <c r="B2562" s="12" t="n"/>
      <c r="C2562" s="12" t="n"/>
      <c r="D2562" s="12" t="n"/>
      <c r="E2562" s="13" t="n"/>
      <c r="F2562" s="12" t="n"/>
      <c r="G2562" s="13" t="n"/>
      <c r="H2562" s="12" t="n"/>
      <c r="I2562" s="12" t="n"/>
      <c r="J2562" s="12" t="n"/>
      <c r="K2562" s="12" t="n"/>
      <c r="L2562" s="11" t="n"/>
      <c r="M2562" s="11" t="n"/>
      <c r="N2562" s="11" t="n"/>
      <c r="O2562" s="11" t="n"/>
      <c r="P2562" s="12" t="n"/>
      <c r="Q2562" s="11" t="n"/>
      <c r="R2562" s="12" t="n"/>
      <c r="S2562" s="11" t="n"/>
      <c r="T2562" s="12" t="n"/>
      <c r="U2562" s="12" t="n"/>
      <c r="V2562" s="14">
        <f>IF($AN2562="",IF($B2562="","",$H2562),IF(INDEX(職員マスタ!$B$6:$B$405,$AN2562)="",$H2562,INDEX(職員マスタ!$B$6:$B$405,$AN2562)))</f>
        <v/>
      </c>
      <c r="W2562" s="14">
        <f>IF($AN2562="",IF($B2562="","",$R2562),IF(INDEX(職員マスタ!$C$6:$C$405,$AN2562)="",$R2562,INDEX(職員マスタ!$C$6:$C$405,$AN2562)))</f>
        <v/>
      </c>
      <c r="X2562" s="14">
        <f>IF($AO2562="","","R"&amp;$C2562&amp;"."&amp;$D2562)</f>
        <v/>
      </c>
      <c r="Y2562" s="15">
        <f>IF($AN2562="","",IF(INDEX(職員マスタ!$K$6:$K$405,$AN2562)="","",INDEX(職員マスタ!$K$6:$K$405,$AN2562)))</f>
        <v/>
      </c>
      <c r="Z2562" s="14">
        <f>IF(OR($E2562="",$Y2562=""),"",IF($E2562&gt;=$Y2562,"×",IF($E2562&gt;=$Y2562*設定!$C$5,"△","○")))</f>
        <v/>
      </c>
      <c r="AA2562" s="15">
        <f>IF($Z2562="","",IF($Z2562="×",0,IF($Z2562="○",ROUNDDOWN($E2562*設定!$C$4,0),ROUNDDOWN($E2562*ROUND((9*$Y2562-9*$E2562)/(10*$E2562),4),0))))</f>
        <v/>
      </c>
      <c r="AB2562" s="13" t="n"/>
      <c r="AC2562" s="15">
        <f>IF($B2562="","",IF($AB2562&lt;&gt;"",$AB2562,IF($AA2562="","",IF($AA2562&lt;=設定!$C$3,0,$AA2562))))</f>
        <v/>
      </c>
      <c r="AD2562" s="14">
        <f>IF($B2562="","",IF(AND($AE2562&lt;&gt;"",$AG2562="",$AJ2562=""),"保留中",IF($AJ2562&lt;&gt;"",IF(N($AC2562)&gt;0,"支給済","不支給"),IF($AC2562="","要確認",IF($AC2562=0,"不支給","未処理")))))</f>
        <v/>
      </c>
      <c r="AE2562" s="12" t="n"/>
      <c r="AF2562" s="11" t="n"/>
      <c r="AG2562" s="11" t="n"/>
      <c r="AH2562" s="11" t="n"/>
      <c r="AI2562" s="14">
        <f>IF(AND($AD2562="保留中",$AF2562&lt;&gt;""),TODAY()-$AF2562,"")</f>
        <v/>
      </c>
      <c r="AJ2562" s="12" t="n"/>
      <c r="AK2562" s="14">
        <f>IF($B2562="","",IF($AO2562="","対象年月が未入力／","")&amp;IF($B2562="","",IF($AN2562="","職員マスタに未登録の職員番号／",IF($Y2562="","標準報酬月額が未登録／","")&amp;IF(AND($AO2562&lt;&gt;"",OR(AND(INDEX(職員マスタ!$G$6:$G$405,$AN2562)&lt;&gt;"",INDEX(職員マスタ!$G$6:$G$405,$AN2562)&gt;EOMONTH($AO2562,0)),AND(INDEX(職員マスタ!$H$6:$H$405,$AN2562)&lt;&gt;"",INDEX(職員マスタ!$H$6:$H$405,$AN2562)&lt;$AO2562))),"対象月が時短期間外／","")&amp;IF(AND(INDEX(職員マスタ!$F$6:$F$405,$AN2562)&lt;&gt;"",$AO2562&lt;&gt;"",INDEX(職員マスタ!$F$6:$F$405,$AN2562)&lt;$AO2562),"対象月に子が2歳到達済／","")&amp;IF(AND($H2562&lt;&gt;"",INDEX(職員マスタ!$B$6:$B$405,$AN2562)&lt;&gt;"",SUBSTITUTE(SUBSTITUTE($H2562," ","")," ","")&lt;&gt;SUBSTITUTE(SUBSTITUTE(INDEX(職員マスタ!$B$6:$B$405,$AN2562)," ","")," ","")),"氏名がマスタと相違／","")&amp;IF(AND($Q2562&lt;&gt;"",INDEX(職員マスタ!$E$6:$E$405,$AN2562)&lt;&gt;"",$Q2562&lt;&gt;INDEX(職員マスタ!$E$6:$E$405,$AN2562)),"子の生年月日がマスタと相違／","")&amp;IF(AND($L2562&lt;&gt;"",INDEX(職員マスタ!$G$6:$G$405,$AN2562)&lt;&gt;"",$L2562&lt;&gt;INDEX(職員マスタ!$G$6:$G$405,$AN2562)),"時短開始日がマスタと相違／","")&amp;IF(AND($M2562&lt;&gt;"",INDEX(職員マスタ!$H$6:$H$405,$AN2562)&lt;&gt;"",$M2562&lt;&gt;INDEX(職員マスタ!$H$6:$H$405,$AN2562)),"時短終了日がマスタと相違／","")))&amp;IF(AND($B2562&lt;&gt;"",$E2562=""),"報酬額が未入力／","")&amp;IF(N($U2562)&gt;0,"申請書に入力エラーが残っています／","")&amp;IF(AND($B2562&lt;&gt;"",$AO2562&lt;&gt;""),IF(COUNTIFS($B$6:$B$3005,$B2562,$C$6:$C$3005,$C2562,$D$6:$D$3005,$D2562)&gt;1,"同じ月の請求が重複しています／",""),"")&amp;IF(AND(N($E2562)&gt;0,$Z2562&lt;&gt;"",$Z2562&lt;&gt;"×",$AC2562=0,$AB2562=""),"計算額が下限以下のため不支給／",""))</f>
        <v/>
      </c>
      <c r="AL2562" s="12" t="n"/>
      <c r="AM2562" s="14">
        <f>IF($AD2562="保留中",COUNTIF($AD$6:$AD2562,"保留中"),"")</f>
        <v/>
      </c>
      <c r="AN2562" s="14">
        <f>IF($AO2562="","",IF(SUMPRODUCT(MAX((職員マスタ!$A$6:$A$405=$B2562)*(((職員マスタ!$G$6:$G$405="")+(職員マスタ!$G$6:$G$405&lt;=EOMONTH($AO2562,0)))&gt;0)*(((職員マスタ!$H$6:$H$405="")+(職員マスタ!$H$6:$H$405&gt;=$AO2562))&gt;0)*(ROW(職員マスタ!$A$6:$A$405)-5)))&gt;0,SUMPRODUCT(MAX((職員マスタ!$A$6:$A$405=$B2562)*(((職員マスタ!$G$6:$G$405="")+(職員マスタ!$G$6:$G$405&lt;=EOMONTH($AO2562,0)))&gt;0)*(((職員マスタ!$H$6:$H$405="")+(職員マスタ!$H$6:$H$405&gt;=$AO2562))&gt;0)*(ROW(職員マスタ!$A$6:$A$405)-5))),IFERROR(MATCH($B2562,職員マスタ!$A$6:$A$405,0),"")))</f>
        <v/>
      </c>
      <c r="AO2562" s="16">
        <f>IF(OR($B2562="",$C2562="",$D2562=""),"",DATE($C2562+2018,$D2562,1))</f>
        <v/>
      </c>
    </row>
    <row r="2563">
      <c r="A2563" s="11" t="n"/>
      <c r="B2563" s="12" t="n"/>
      <c r="C2563" s="12" t="n"/>
      <c r="D2563" s="12" t="n"/>
      <c r="E2563" s="13" t="n"/>
      <c r="F2563" s="12" t="n"/>
      <c r="G2563" s="13" t="n"/>
      <c r="H2563" s="12" t="n"/>
      <c r="I2563" s="12" t="n"/>
      <c r="J2563" s="12" t="n"/>
      <c r="K2563" s="12" t="n"/>
      <c r="L2563" s="11" t="n"/>
      <c r="M2563" s="11" t="n"/>
      <c r="N2563" s="11" t="n"/>
      <c r="O2563" s="11" t="n"/>
      <c r="P2563" s="12" t="n"/>
      <c r="Q2563" s="11" t="n"/>
      <c r="R2563" s="12" t="n"/>
      <c r="S2563" s="11" t="n"/>
      <c r="T2563" s="12" t="n"/>
      <c r="U2563" s="12" t="n"/>
      <c r="V2563" s="14">
        <f>IF($AN2563="",IF($B2563="","",$H2563),IF(INDEX(職員マスタ!$B$6:$B$405,$AN2563)="",$H2563,INDEX(職員マスタ!$B$6:$B$405,$AN2563)))</f>
        <v/>
      </c>
      <c r="W2563" s="14">
        <f>IF($AN2563="",IF($B2563="","",$R2563),IF(INDEX(職員マスタ!$C$6:$C$405,$AN2563)="",$R2563,INDEX(職員マスタ!$C$6:$C$405,$AN2563)))</f>
        <v/>
      </c>
      <c r="X2563" s="14">
        <f>IF($AO2563="","","R"&amp;$C2563&amp;"."&amp;$D2563)</f>
        <v/>
      </c>
      <c r="Y2563" s="15">
        <f>IF($AN2563="","",IF(INDEX(職員マスタ!$K$6:$K$405,$AN2563)="","",INDEX(職員マスタ!$K$6:$K$405,$AN2563)))</f>
        <v/>
      </c>
      <c r="Z2563" s="14">
        <f>IF(OR($E2563="",$Y2563=""),"",IF($E2563&gt;=$Y2563,"×",IF($E2563&gt;=$Y2563*設定!$C$5,"△","○")))</f>
        <v/>
      </c>
      <c r="AA2563" s="15">
        <f>IF($Z2563="","",IF($Z2563="×",0,IF($Z2563="○",ROUNDDOWN($E2563*設定!$C$4,0),ROUNDDOWN($E2563*ROUND((9*$Y2563-9*$E2563)/(10*$E2563),4),0))))</f>
        <v/>
      </c>
      <c r="AB2563" s="13" t="n"/>
      <c r="AC2563" s="15">
        <f>IF($B2563="","",IF($AB2563&lt;&gt;"",$AB2563,IF($AA2563="","",IF($AA2563&lt;=設定!$C$3,0,$AA2563))))</f>
        <v/>
      </c>
      <c r="AD2563" s="14">
        <f>IF($B2563="","",IF(AND($AE2563&lt;&gt;"",$AG2563="",$AJ2563=""),"保留中",IF($AJ2563&lt;&gt;"",IF(N($AC2563)&gt;0,"支給済","不支給"),IF($AC2563="","要確認",IF($AC2563=0,"不支給","未処理")))))</f>
        <v/>
      </c>
      <c r="AE2563" s="12" t="n"/>
      <c r="AF2563" s="11" t="n"/>
      <c r="AG2563" s="11" t="n"/>
      <c r="AH2563" s="11" t="n"/>
      <c r="AI2563" s="14">
        <f>IF(AND($AD2563="保留中",$AF2563&lt;&gt;""),TODAY()-$AF2563,"")</f>
        <v/>
      </c>
      <c r="AJ2563" s="12" t="n"/>
      <c r="AK2563" s="14">
        <f>IF($B2563="","",IF($AO2563="","対象年月が未入力／","")&amp;IF($B2563="","",IF($AN2563="","職員マスタに未登録の職員番号／",IF($Y2563="","標準報酬月額が未登録／","")&amp;IF(AND($AO2563&lt;&gt;"",OR(AND(INDEX(職員マスタ!$G$6:$G$405,$AN2563)&lt;&gt;"",INDEX(職員マスタ!$G$6:$G$405,$AN2563)&gt;EOMONTH($AO2563,0)),AND(INDEX(職員マスタ!$H$6:$H$405,$AN2563)&lt;&gt;"",INDEX(職員マスタ!$H$6:$H$405,$AN2563)&lt;$AO2563))),"対象月が時短期間外／","")&amp;IF(AND(INDEX(職員マスタ!$F$6:$F$405,$AN2563)&lt;&gt;"",$AO2563&lt;&gt;"",INDEX(職員マスタ!$F$6:$F$405,$AN2563)&lt;$AO2563),"対象月に子が2歳到達済／","")&amp;IF(AND($H2563&lt;&gt;"",INDEX(職員マスタ!$B$6:$B$405,$AN2563)&lt;&gt;"",SUBSTITUTE(SUBSTITUTE($H2563," ","")," ","")&lt;&gt;SUBSTITUTE(SUBSTITUTE(INDEX(職員マスタ!$B$6:$B$405,$AN2563)," ","")," ","")),"氏名がマスタと相違／","")&amp;IF(AND($Q2563&lt;&gt;"",INDEX(職員マスタ!$E$6:$E$405,$AN2563)&lt;&gt;"",$Q2563&lt;&gt;INDEX(職員マスタ!$E$6:$E$405,$AN2563)),"子の生年月日がマスタと相違／","")&amp;IF(AND($L2563&lt;&gt;"",INDEX(職員マスタ!$G$6:$G$405,$AN2563)&lt;&gt;"",$L2563&lt;&gt;INDEX(職員マスタ!$G$6:$G$405,$AN2563)),"時短開始日がマスタと相違／","")&amp;IF(AND($M2563&lt;&gt;"",INDEX(職員マスタ!$H$6:$H$405,$AN2563)&lt;&gt;"",$M2563&lt;&gt;INDEX(職員マスタ!$H$6:$H$405,$AN2563)),"時短終了日がマスタと相違／","")))&amp;IF(AND($B2563&lt;&gt;"",$E2563=""),"報酬額が未入力／","")&amp;IF(N($U2563)&gt;0,"申請書に入力エラーが残っています／","")&amp;IF(AND($B2563&lt;&gt;"",$AO2563&lt;&gt;""),IF(COUNTIFS($B$6:$B$3005,$B2563,$C$6:$C$3005,$C2563,$D$6:$D$3005,$D2563)&gt;1,"同じ月の請求が重複しています／",""),"")&amp;IF(AND(N($E2563)&gt;0,$Z2563&lt;&gt;"",$Z2563&lt;&gt;"×",$AC2563=0,$AB2563=""),"計算額が下限以下のため不支給／",""))</f>
        <v/>
      </c>
      <c r="AL2563" s="12" t="n"/>
      <c r="AM2563" s="14">
        <f>IF($AD2563="保留中",COUNTIF($AD$6:$AD2563,"保留中"),"")</f>
        <v/>
      </c>
      <c r="AN2563" s="14">
        <f>IF($AO2563="","",IF(SUMPRODUCT(MAX((職員マスタ!$A$6:$A$405=$B2563)*(((職員マスタ!$G$6:$G$405="")+(職員マスタ!$G$6:$G$405&lt;=EOMONTH($AO2563,0)))&gt;0)*(((職員マスタ!$H$6:$H$405="")+(職員マスタ!$H$6:$H$405&gt;=$AO2563))&gt;0)*(ROW(職員マスタ!$A$6:$A$405)-5)))&gt;0,SUMPRODUCT(MAX((職員マスタ!$A$6:$A$405=$B2563)*(((職員マスタ!$G$6:$G$405="")+(職員マスタ!$G$6:$G$405&lt;=EOMONTH($AO2563,0)))&gt;0)*(((職員マスタ!$H$6:$H$405="")+(職員マスタ!$H$6:$H$405&gt;=$AO2563))&gt;0)*(ROW(職員マスタ!$A$6:$A$405)-5))),IFERROR(MATCH($B2563,職員マスタ!$A$6:$A$405,0),"")))</f>
        <v/>
      </c>
      <c r="AO2563" s="16">
        <f>IF(OR($B2563="",$C2563="",$D2563=""),"",DATE($C2563+2018,$D2563,1))</f>
        <v/>
      </c>
    </row>
    <row r="2564">
      <c r="A2564" s="11" t="n"/>
      <c r="B2564" s="12" t="n"/>
      <c r="C2564" s="12" t="n"/>
      <c r="D2564" s="12" t="n"/>
      <c r="E2564" s="13" t="n"/>
      <c r="F2564" s="12" t="n"/>
      <c r="G2564" s="13" t="n"/>
      <c r="H2564" s="12" t="n"/>
      <c r="I2564" s="12" t="n"/>
      <c r="J2564" s="12" t="n"/>
      <c r="K2564" s="12" t="n"/>
      <c r="L2564" s="11" t="n"/>
      <c r="M2564" s="11" t="n"/>
      <c r="N2564" s="11" t="n"/>
      <c r="O2564" s="11" t="n"/>
      <c r="P2564" s="12" t="n"/>
      <c r="Q2564" s="11" t="n"/>
      <c r="R2564" s="12" t="n"/>
      <c r="S2564" s="11" t="n"/>
      <c r="T2564" s="12" t="n"/>
      <c r="U2564" s="12" t="n"/>
      <c r="V2564" s="14">
        <f>IF($AN2564="",IF($B2564="","",$H2564),IF(INDEX(職員マスタ!$B$6:$B$405,$AN2564)="",$H2564,INDEX(職員マスタ!$B$6:$B$405,$AN2564)))</f>
        <v/>
      </c>
      <c r="W2564" s="14">
        <f>IF($AN2564="",IF($B2564="","",$R2564),IF(INDEX(職員マスタ!$C$6:$C$405,$AN2564)="",$R2564,INDEX(職員マスタ!$C$6:$C$405,$AN2564)))</f>
        <v/>
      </c>
      <c r="X2564" s="14">
        <f>IF($AO2564="","","R"&amp;$C2564&amp;"."&amp;$D2564)</f>
        <v/>
      </c>
      <c r="Y2564" s="15">
        <f>IF($AN2564="","",IF(INDEX(職員マスタ!$K$6:$K$405,$AN2564)="","",INDEX(職員マスタ!$K$6:$K$405,$AN2564)))</f>
        <v/>
      </c>
      <c r="Z2564" s="14">
        <f>IF(OR($E2564="",$Y2564=""),"",IF($E2564&gt;=$Y2564,"×",IF($E2564&gt;=$Y2564*設定!$C$5,"△","○")))</f>
        <v/>
      </c>
      <c r="AA2564" s="15">
        <f>IF($Z2564="","",IF($Z2564="×",0,IF($Z2564="○",ROUNDDOWN($E2564*設定!$C$4,0),ROUNDDOWN($E2564*ROUND((9*$Y2564-9*$E2564)/(10*$E2564),4),0))))</f>
        <v/>
      </c>
      <c r="AB2564" s="13" t="n"/>
      <c r="AC2564" s="15">
        <f>IF($B2564="","",IF($AB2564&lt;&gt;"",$AB2564,IF($AA2564="","",IF($AA2564&lt;=設定!$C$3,0,$AA2564))))</f>
        <v/>
      </c>
      <c r="AD2564" s="14">
        <f>IF($B2564="","",IF(AND($AE2564&lt;&gt;"",$AG2564="",$AJ2564=""),"保留中",IF($AJ2564&lt;&gt;"",IF(N($AC2564)&gt;0,"支給済","不支給"),IF($AC2564="","要確認",IF($AC2564=0,"不支給","未処理")))))</f>
        <v/>
      </c>
      <c r="AE2564" s="12" t="n"/>
      <c r="AF2564" s="11" t="n"/>
      <c r="AG2564" s="11" t="n"/>
      <c r="AH2564" s="11" t="n"/>
      <c r="AI2564" s="14">
        <f>IF(AND($AD2564="保留中",$AF2564&lt;&gt;""),TODAY()-$AF2564,"")</f>
        <v/>
      </c>
      <c r="AJ2564" s="12" t="n"/>
      <c r="AK2564" s="14">
        <f>IF($B2564="","",IF($AO2564="","対象年月が未入力／","")&amp;IF($B2564="","",IF($AN2564="","職員マスタに未登録の職員番号／",IF($Y2564="","標準報酬月額が未登録／","")&amp;IF(AND($AO2564&lt;&gt;"",OR(AND(INDEX(職員マスタ!$G$6:$G$405,$AN2564)&lt;&gt;"",INDEX(職員マスタ!$G$6:$G$405,$AN2564)&gt;EOMONTH($AO2564,0)),AND(INDEX(職員マスタ!$H$6:$H$405,$AN2564)&lt;&gt;"",INDEX(職員マスタ!$H$6:$H$405,$AN2564)&lt;$AO2564))),"対象月が時短期間外／","")&amp;IF(AND(INDEX(職員マスタ!$F$6:$F$405,$AN2564)&lt;&gt;"",$AO2564&lt;&gt;"",INDEX(職員マスタ!$F$6:$F$405,$AN2564)&lt;$AO2564),"対象月に子が2歳到達済／","")&amp;IF(AND($H2564&lt;&gt;"",INDEX(職員マスタ!$B$6:$B$405,$AN2564)&lt;&gt;"",SUBSTITUTE(SUBSTITUTE($H2564," ","")," ","")&lt;&gt;SUBSTITUTE(SUBSTITUTE(INDEX(職員マスタ!$B$6:$B$405,$AN2564)," ","")," ","")),"氏名がマスタと相違／","")&amp;IF(AND($Q2564&lt;&gt;"",INDEX(職員マスタ!$E$6:$E$405,$AN2564)&lt;&gt;"",$Q2564&lt;&gt;INDEX(職員マスタ!$E$6:$E$405,$AN2564)),"子の生年月日がマスタと相違／","")&amp;IF(AND($L2564&lt;&gt;"",INDEX(職員マスタ!$G$6:$G$405,$AN2564)&lt;&gt;"",$L2564&lt;&gt;INDEX(職員マスタ!$G$6:$G$405,$AN2564)),"時短開始日がマスタと相違／","")&amp;IF(AND($M2564&lt;&gt;"",INDEX(職員マスタ!$H$6:$H$405,$AN2564)&lt;&gt;"",$M2564&lt;&gt;INDEX(職員マスタ!$H$6:$H$405,$AN2564)),"時短終了日がマスタと相違／","")))&amp;IF(AND($B2564&lt;&gt;"",$E2564=""),"報酬額が未入力／","")&amp;IF(N($U2564)&gt;0,"申請書に入力エラーが残っています／","")&amp;IF(AND($B2564&lt;&gt;"",$AO2564&lt;&gt;""),IF(COUNTIFS($B$6:$B$3005,$B2564,$C$6:$C$3005,$C2564,$D$6:$D$3005,$D2564)&gt;1,"同じ月の請求が重複しています／",""),"")&amp;IF(AND(N($E2564)&gt;0,$Z2564&lt;&gt;"",$Z2564&lt;&gt;"×",$AC2564=0,$AB2564=""),"計算額が下限以下のため不支給／",""))</f>
        <v/>
      </c>
      <c r="AL2564" s="12" t="n"/>
      <c r="AM2564" s="14">
        <f>IF($AD2564="保留中",COUNTIF($AD$6:$AD2564,"保留中"),"")</f>
        <v/>
      </c>
      <c r="AN2564" s="14">
        <f>IF($AO2564="","",IF(SUMPRODUCT(MAX((職員マスタ!$A$6:$A$405=$B2564)*(((職員マスタ!$G$6:$G$405="")+(職員マスタ!$G$6:$G$405&lt;=EOMONTH($AO2564,0)))&gt;0)*(((職員マスタ!$H$6:$H$405="")+(職員マスタ!$H$6:$H$405&gt;=$AO2564))&gt;0)*(ROW(職員マスタ!$A$6:$A$405)-5)))&gt;0,SUMPRODUCT(MAX((職員マスタ!$A$6:$A$405=$B2564)*(((職員マスタ!$G$6:$G$405="")+(職員マスタ!$G$6:$G$405&lt;=EOMONTH($AO2564,0)))&gt;0)*(((職員マスタ!$H$6:$H$405="")+(職員マスタ!$H$6:$H$405&gt;=$AO2564))&gt;0)*(ROW(職員マスタ!$A$6:$A$405)-5))),IFERROR(MATCH($B2564,職員マスタ!$A$6:$A$405,0),"")))</f>
        <v/>
      </c>
      <c r="AO2564" s="16">
        <f>IF(OR($B2564="",$C2564="",$D2564=""),"",DATE($C2564+2018,$D2564,1))</f>
        <v/>
      </c>
    </row>
    <row r="2565">
      <c r="A2565" s="11" t="n"/>
      <c r="B2565" s="12" t="n"/>
      <c r="C2565" s="12" t="n"/>
      <c r="D2565" s="12" t="n"/>
      <c r="E2565" s="13" t="n"/>
      <c r="F2565" s="12" t="n"/>
      <c r="G2565" s="13" t="n"/>
      <c r="H2565" s="12" t="n"/>
      <c r="I2565" s="12" t="n"/>
      <c r="J2565" s="12" t="n"/>
      <c r="K2565" s="12" t="n"/>
      <c r="L2565" s="11" t="n"/>
      <c r="M2565" s="11" t="n"/>
      <c r="N2565" s="11" t="n"/>
      <c r="O2565" s="11" t="n"/>
      <c r="P2565" s="12" t="n"/>
      <c r="Q2565" s="11" t="n"/>
      <c r="R2565" s="12" t="n"/>
      <c r="S2565" s="11" t="n"/>
      <c r="T2565" s="12" t="n"/>
      <c r="U2565" s="12" t="n"/>
      <c r="V2565" s="14">
        <f>IF($AN2565="",IF($B2565="","",$H2565),IF(INDEX(職員マスタ!$B$6:$B$405,$AN2565)="",$H2565,INDEX(職員マスタ!$B$6:$B$405,$AN2565)))</f>
        <v/>
      </c>
      <c r="W2565" s="14">
        <f>IF($AN2565="",IF($B2565="","",$R2565),IF(INDEX(職員マスタ!$C$6:$C$405,$AN2565)="",$R2565,INDEX(職員マスタ!$C$6:$C$405,$AN2565)))</f>
        <v/>
      </c>
      <c r="X2565" s="14">
        <f>IF($AO2565="","","R"&amp;$C2565&amp;"."&amp;$D2565)</f>
        <v/>
      </c>
      <c r="Y2565" s="15">
        <f>IF($AN2565="","",IF(INDEX(職員マスタ!$K$6:$K$405,$AN2565)="","",INDEX(職員マスタ!$K$6:$K$405,$AN2565)))</f>
        <v/>
      </c>
      <c r="Z2565" s="14">
        <f>IF(OR($E2565="",$Y2565=""),"",IF($E2565&gt;=$Y2565,"×",IF($E2565&gt;=$Y2565*設定!$C$5,"△","○")))</f>
        <v/>
      </c>
      <c r="AA2565" s="15">
        <f>IF($Z2565="","",IF($Z2565="×",0,IF($Z2565="○",ROUNDDOWN($E2565*設定!$C$4,0),ROUNDDOWN($E2565*ROUND((9*$Y2565-9*$E2565)/(10*$E2565),4),0))))</f>
        <v/>
      </c>
      <c r="AB2565" s="13" t="n"/>
      <c r="AC2565" s="15">
        <f>IF($B2565="","",IF($AB2565&lt;&gt;"",$AB2565,IF($AA2565="","",IF($AA2565&lt;=設定!$C$3,0,$AA2565))))</f>
        <v/>
      </c>
      <c r="AD2565" s="14">
        <f>IF($B2565="","",IF(AND($AE2565&lt;&gt;"",$AG2565="",$AJ2565=""),"保留中",IF($AJ2565&lt;&gt;"",IF(N($AC2565)&gt;0,"支給済","不支給"),IF($AC2565="","要確認",IF($AC2565=0,"不支給","未処理")))))</f>
        <v/>
      </c>
      <c r="AE2565" s="12" t="n"/>
      <c r="AF2565" s="11" t="n"/>
      <c r="AG2565" s="11" t="n"/>
      <c r="AH2565" s="11" t="n"/>
      <c r="AI2565" s="14">
        <f>IF(AND($AD2565="保留中",$AF2565&lt;&gt;""),TODAY()-$AF2565,"")</f>
        <v/>
      </c>
      <c r="AJ2565" s="12" t="n"/>
      <c r="AK2565" s="14">
        <f>IF($B2565="","",IF($AO2565="","対象年月が未入力／","")&amp;IF($B2565="","",IF($AN2565="","職員マスタに未登録の職員番号／",IF($Y2565="","標準報酬月額が未登録／","")&amp;IF(AND($AO2565&lt;&gt;"",OR(AND(INDEX(職員マスタ!$G$6:$G$405,$AN2565)&lt;&gt;"",INDEX(職員マスタ!$G$6:$G$405,$AN2565)&gt;EOMONTH($AO2565,0)),AND(INDEX(職員マスタ!$H$6:$H$405,$AN2565)&lt;&gt;"",INDEX(職員マスタ!$H$6:$H$405,$AN2565)&lt;$AO2565))),"対象月が時短期間外／","")&amp;IF(AND(INDEX(職員マスタ!$F$6:$F$405,$AN2565)&lt;&gt;"",$AO2565&lt;&gt;"",INDEX(職員マスタ!$F$6:$F$405,$AN2565)&lt;$AO2565),"対象月に子が2歳到達済／","")&amp;IF(AND($H2565&lt;&gt;"",INDEX(職員マスタ!$B$6:$B$405,$AN2565)&lt;&gt;"",SUBSTITUTE(SUBSTITUTE($H2565," ","")," ","")&lt;&gt;SUBSTITUTE(SUBSTITUTE(INDEX(職員マスタ!$B$6:$B$405,$AN2565)," ","")," ","")),"氏名がマスタと相違／","")&amp;IF(AND($Q2565&lt;&gt;"",INDEX(職員マスタ!$E$6:$E$405,$AN2565)&lt;&gt;"",$Q2565&lt;&gt;INDEX(職員マスタ!$E$6:$E$405,$AN2565)),"子の生年月日がマスタと相違／","")&amp;IF(AND($L2565&lt;&gt;"",INDEX(職員マスタ!$G$6:$G$405,$AN2565)&lt;&gt;"",$L2565&lt;&gt;INDEX(職員マスタ!$G$6:$G$405,$AN2565)),"時短開始日がマスタと相違／","")&amp;IF(AND($M2565&lt;&gt;"",INDEX(職員マスタ!$H$6:$H$405,$AN2565)&lt;&gt;"",$M2565&lt;&gt;INDEX(職員マスタ!$H$6:$H$405,$AN2565)),"時短終了日がマスタと相違／","")))&amp;IF(AND($B2565&lt;&gt;"",$E2565=""),"報酬額が未入力／","")&amp;IF(N($U2565)&gt;0,"申請書に入力エラーが残っています／","")&amp;IF(AND($B2565&lt;&gt;"",$AO2565&lt;&gt;""),IF(COUNTIFS($B$6:$B$3005,$B2565,$C$6:$C$3005,$C2565,$D$6:$D$3005,$D2565)&gt;1,"同じ月の請求が重複しています／",""),"")&amp;IF(AND(N($E2565)&gt;0,$Z2565&lt;&gt;"",$Z2565&lt;&gt;"×",$AC2565=0,$AB2565=""),"計算額が下限以下のため不支給／",""))</f>
        <v/>
      </c>
      <c r="AL2565" s="12" t="n"/>
      <c r="AM2565" s="14">
        <f>IF($AD2565="保留中",COUNTIF($AD$6:$AD2565,"保留中"),"")</f>
        <v/>
      </c>
      <c r="AN2565" s="14">
        <f>IF($AO2565="","",IF(SUMPRODUCT(MAX((職員マスタ!$A$6:$A$405=$B2565)*(((職員マスタ!$G$6:$G$405="")+(職員マスタ!$G$6:$G$405&lt;=EOMONTH($AO2565,0)))&gt;0)*(((職員マスタ!$H$6:$H$405="")+(職員マスタ!$H$6:$H$405&gt;=$AO2565))&gt;0)*(ROW(職員マスタ!$A$6:$A$405)-5)))&gt;0,SUMPRODUCT(MAX((職員マスタ!$A$6:$A$405=$B2565)*(((職員マスタ!$G$6:$G$405="")+(職員マスタ!$G$6:$G$405&lt;=EOMONTH($AO2565,0)))&gt;0)*(((職員マスタ!$H$6:$H$405="")+(職員マスタ!$H$6:$H$405&gt;=$AO2565))&gt;0)*(ROW(職員マスタ!$A$6:$A$405)-5))),IFERROR(MATCH($B2565,職員マスタ!$A$6:$A$405,0),"")))</f>
        <v/>
      </c>
      <c r="AO2565" s="16">
        <f>IF(OR($B2565="",$C2565="",$D2565=""),"",DATE($C2565+2018,$D2565,1))</f>
        <v/>
      </c>
    </row>
    <row r="2566">
      <c r="A2566" s="11" t="n"/>
      <c r="B2566" s="12" t="n"/>
      <c r="C2566" s="12" t="n"/>
      <c r="D2566" s="12" t="n"/>
      <c r="E2566" s="13" t="n"/>
      <c r="F2566" s="12" t="n"/>
      <c r="G2566" s="13" t="n"/>
      <c r="H2566" s="12" t="n"/>
      <c r="I2566" s="12" t="n"/>
      <c r="J2566" s="12" t="n"/>
      <c r="K2566" s="12" t="n"/>
      <c r="L2566" s="11" t="n"/>
      <c r="M2566" s="11" t="n"/>
      <c r="N2566" s="11" t="n"/>
      <c r="O2566" s="11" t="n"/>
      <c r="P2566" s="12" t="n"/>
      <c r="Q2566" s="11" t="n"/>
      <c r="R2566" s="12" t="n"/>
      <c r="S2566" s="11" t="n"/>
      <c r="T2566" s="12" t="n"/>
      <c r="U2566" s="12" t="n"/>
      <c r="V2566" s="14">
        <f>IF($AN2566="",IF($B2566="","",$H2566),IF(INDEX(職員マスタ!$B$6:$B$405,$AN2566)="",$H2566,INDEX(職員マスタ!$B$6:$B$405,$AN2566)))</f>
        <v/>
      </c>
      <c r="W2566" s="14">
        <f>IF($AN2566="",IF($B2566="","",$R2566),IF(INDEX(職員マスタ!$C$6:$C$405,$AN2566)="",$R2566,INDEX(職員マスタ!$C$6:$C$405,$AN2566)))</f>
        <v/>
      </c>
      <c r="X2566" s="14">
        <f>IF($AO2566="","","R"&amp;$C2566&amp;"."&amp;$D2566)</f>
        <v/>
      </c>
      <c r="Y2566" s="15">
        <f>IF($AN2566="","",IF(INDEX(職員マスタ!$K$6:$K$405,$AN2566)="","",INDEX(職員マスタ!$K$6:$K$405,$AN2566)))</f>
        <v/>
      </c>
      <c r="Z2566" s="14">
        <f>IF(OR($E2566="",$Y2566=""),"",IF($E2566&gt;=$Y2566,"×",IF($E2566&gt;=$Y2566*設定!$C$5,"△","○")))</f>
        <v/>
      </c>
      <c r="AA2566" s="15">
        <f>IF($Z2566="","",IF($Z2566="×",0,IF($Z2566="○",ROUNDDOWN($E2566*設定!$C$4,0),ROUNDDOWN($E2566*ROUND((9*$Y2566-9*$E2566)/(10*$E2566),4),0))))</f>
        <v/>
      </c>
      <c r="AB2566" s="13" t="n"/>
      <c r="AC2566" s="15">
        <f>IF($B2566="","",IF($AB2566&lt;&gt;"",$AB2566,IF($AA2566="","",IF($AA2566&lt;=設定!$C$3,0,$AA2566))))</f>
        <v/>
      </c>
      <c r="AD2566" s="14">
        <f>IF($B2566="","",IF(AND($AE2566&lt;&gt;"",$AG2566="",$AJ2566=""),"保留中",IF($AJ2566&lt;&gt;"",IF(N($AC2566)&gt;0,"支給済","不支給"),IF($AC2566="","要確認",IF($AC2566=0,"不支給","未処理")))))</f>
        <v/>
      </c>
      <c r="AE2566" s="12" t="n"/>
      <c r="AF2566" s="11" t="n"/>
      <c r="AG2566" s="11" t="n"/>
      <c r="AH2566" s="11" t="n"/>
      <c r="AI2566" s="14">
        <f>IF(AND($AD2566="保留中",$AF2566&lt;&gt;""),TODAY()-$AF2566,"")</f>
        <v/>
      </c>
      <c r="AJ2566" s="12" t="n"/>
      <c r="AK2566" s="14">
        <f>IF($B2566="","",IF($AO2566="","対象年月が未入力／","")&amp;IF($B2566="","",IF($AN2566="","職員マスタに未登録の職員番号／",IF($Y2566="","標準報酬月額が未登録／","")&amp;IF(AND($AO2566&lt;&gt;"",OR(AND(INDEX(職員マスタ!$G$6:$G$405,$AN2566)&lt;&gt;"",INDEX(職員マスタ!$G$6:$G$405,$AN2566)&gt;EOMONTH($AO2566,0)),AND(INDEX(職員マスタ!$H$6:$H$405,$AN2566)&lt;&gt;"",INDEX(職員マスタ!$H$6:$H$405,$AN2566)&lt;$AO2566))),"対象月が時短期間外／","")&amp;IF(AND(INDEX(職員マスタ!$F$6:$F$405,$AN2566)&lt;&gt;"",$AO2566&lt;&gt;"",INDEX(職員マスタ!$F$6:$F$405,$AN2566)&lt;$AO2566),"対象月に子が2歳到達済／","")&amp;IF(AND($H2566&lt;&gt;"",INDEX(職員マスタ!$B$6:$B$405,$AN2566)&lt;&gt;"",SUBSTITUTE(SUBSTITUTE($H2566," ","")," ","")&lt;&gt;SUBSTITUTE(SUBSTITUTE(INDEX(職員マスタ!$B$6:$B$405,$AN2566)," ","")," ","")),"氏名がマスタと相違／","")&amp;IF(AND($Q2566&lt;&gt;"",INDEX(職員マスタ!$E$6:$E$405,$AN2566)&lt;&gt;"",$Q2566&lt;&gt;INDEX(職員マスタ!$E$6:$E$405,$AN2566)),"子の生年月日がマスタと相違／","")&amp;IF(AND($L2566&lt;&gt;"",INDEX(職員マスタ!$G$6:$G$405,$AN2566)&lt;&gt;"",$L2566&lt;&gt;INDEX(職員マスタ!$G$6:$G$405,$AN2566)),"時短開始日がマスタと相違／","")&amp;IF(AND($M2566&lt;&gt;"",INDEX(職員マスタ!$H$6:$H$405,$AN2566)&lt;&gt;"",$M2566&lt;&gt;INDEX(職員マスタ!$H$6:$H$405,$AN2566)),"時短終了日がマスタと相違／","")))&amp;IF(AND($B2566&lt;&gt;"",$E2566=""),"報酬額が未入力／","")&amp;IF(N($U2566)&gt;0,"申請書に入力エラーが残っています／","")&amp;IF(AND($B2566&lt;&gt;"",$AO2566&lt;&gt;""),IF(COUNTIFS($B$6:$B$3005,$B2566,$C$6:$C$3005,$C2566,$D$6:$D$3005,$D2566)&gt;1,"同じ月の請求が重複しています／",""),"")&amp;IF(AND(N($E2566)&gt;0,$Z2566&lt;&gt;"",$Z2566&lt;&gt;"×",$AC2566=0,$AB2566=""),"計算額が下限以下のため不支給／",""))</f>
        <v/>
      </c>
      <c r="AL2566" s="12" t="n"/>
      <c r="AM2566" s="14">
        <f>IF($AD2566="保留中",COUNTIF($AD$6:$AD2566,"保留中"),"")</f>
        <v/>
      </c>
      <c r="AN2566" s="14">
        <f>IF($AO2566="","",IF(SUMPRODUCT(MAX((職員マスタ!$A$6:$A$405=$B2566)*(((職員マスタ!$G$6:$G$405="")+(職員マスタ!$G$6:$G$405&lt;=EOMONTH($AO2566,0)))&gt;0)*(((職員マスタ!$H$6:$H$405="")+(職員マスタ!$H$6:$H$405&gt;=$AO2566))&gt;0)*(ROW(職員マスタ!$A$6:$A$405)-5)))&gt;0,SUMPRODUCT(MAX((職員マスタ!$A$6:$A$405=$B2566)*(((職員マスタ!$G$6:$G$405="")+(職員マスタ!$G$6:$G$405&lt;=EOMONTH($AO2566,0)))&gt;0)*(((職員マスタ!$H$6:$H$405="")+(職員マスタ!$H$6:$H$405&gt;=$AO2566))&gt;0)*(ROW(職員マスタ!$A$6:$A$405)-5))),IFERROR(MATCH($B2566,職員マスタ!$A$6:$A$405,0),"")))</f>
        <v/>
      </c>
      <c r="AO2566" s="16">
        <f>IF(OR($B2566="",$C2566="",$D2566=""),"",DATE($C2566+2018,$D2566,1))</f>
        <v/>
      </c>
    </row>
    <row r="2567">
      <c r="A2567" s="11" t="n"/>
      <c r="B2567" s="12" t="n"/>
      <c r="C2567" s="12" t="n"/>
      <c r="D2567" s="12" t="n"/>
      <c r="E2567" s="13" t="n"/>
      <c r="F2567" s="12" t="n"/>
      <c r="G2567" s="13" t="n"/>
      <c r="H2567" s="12" t="n"/>
      <c r="I2567" s="12" t="n"/>
      <c r="J2567" s="12" t="n"/>
      <c r="K2567" s="12" t="n"/>
      <c r="L2567" s="11" t="n"/>
      <c r="M2567" s="11" t="n"/>
      <c r="N2567" s="11" t="n"/>
      <c r="O2567" s="11" t="n"/>
      <c r="P2567" s="12" t="n"/>
      <c r="Q2567" s="11" t="n"/>
      <c r="R2567" s="12" t="n"/>
      <c r="S2567" s="11" t="n"/>
      <c r="T2567" s="12" t="n"/>
      <c r="U2567" s="12" t="n"/>
      <c r="V2567" s="14">
        <f>IF($AN2567="",IF($B2567="","",$H2567),IF(INDEX(職員マスタ!$B$6:$B$405,$AN2567)="",$H2567,INDEX(職員マスタ!$B$6:$B$405,$AN2567)))</f>
        <v/>
      </c>
      <c r="W2567" s="14">
        <f>IF($AN2567="",IF($B2567="","",$R2567),IF(INDEX(職員マスタ!$C$6:$C$405,$AN2567)="",$R2567,INDEX(職員マスタ!$C$6:$C$405,$AN2567)))</f>
        <v/>
      </c>
      <c r="X2567" s="14">
        <f>IF($AO2567="","","R"&amp;$C2567&amp;"."&amp;$D2567)</f>
        <v/>
      </c>
      <c r="Y2567" s="15">
        <f>IF($AN2567="","",IF(INDEX(職員マスタ!$K$6:$K$405,$AN2567)="","",INDEX(職員マスタ!$K$6:$K$405,$AN2567)))</f>
        <v/>
      </c>
      <c r="Z2567" s="14">
        <f>IF(OR($E2567="",$Y2567=""),"",IF($E2567&gt;=$Y2567,"×",IF($E2567&gt;=$Y2567*設定!$C$5,"△","○")))</f>
        <v/>
      </c>
      <c r="AA2567" s="15">
        <f>IF($Z2567="","",IF($Z2567="×",0,IF($Z2567="○",ROUNDDOWN($E2567*設定!$C$4,0),ROUNDDOWN($E2567*ROUND((9*$Y2567-9*$E2567)/(10*$E2567),4),0))))</f>
        <v/>
      </c>
      <c r="AB2567" s="13" t="n"/>
      <c r="AC2567" s="15">
        <f>IF($B2567="","",IF($AB2567&lt;&gt;"",$AB2567,IF($AA2567="","",IF($AA2567&lt;=設定!$C$3,0,$AA2567))))</f>
        <v/>
      </c>
      <c r="AD2567" s="14">
        <f>IF($B2567="","",IF(AND($AE2567&lt;&gt;"",$AG2567="",$AJ2567=""),"保留中",IF($AJ2567&lt;&gt;"",IF(N($AC2567)&gt;0,"支給済","不支給"),IF($AC2567="","要確認",IF($AC2567=0,"不支給","未処理")))))</f>
        <v/>
      </c>
      <c r="AE2567" s="12" t="n"/>
      <c r="AF2567" s="11" t="n"/>
      <c r="AG2567" s="11" t="n"/>
      <c r="AH2567" s="11" t="n"/>
      <c r="AI2567" s="14">
        <f>IF(AND($AD2567="保留中",$AF2567&lt;&gt;""),TODAY()-$AF2567,"")</f>
        <v/>
      </c>
      <c r="AJ2567" s="12" t="n"/>
      <c r="AK2567" s="14">
        <f>IF($B2567="","",IF($AO2567="","対象年月が未入力／","")&amp;IF($B2567="","",IF($AN2567="","職員マスタに未登録の職員番号／",IF($Y2567="","標準報酬月額が未登録／","")&amp;IF(AND($AO2567&lt;&gt;"",OR(AND(INDEX(職員マスタ!$G$6:$G$405,$AN2567)&lt;&gt;"",INDEX(職員マスタ!$G$6:$G$405,$AN2567)&gt;EOMONTH($AO2567,0)),AND(INDEX(職員マスタ!$H$6:$H$405,$AN2567)&lt;&gt;"",INDEX(職員マスタ!$H$6:$H$405,$AN2567)&lt;$AO2567))),"対象月が時短期間外／","")&amp;IF(AND(INDEX(職員マスタ!$F$6:$F$405,$AN2567)&lt;&gt;"",$AO2567&lt;&gt;"",INDEX(職員マスタ!$F$6:$F$405,$AN2567)&lt;$AO2567),"対象月に子が2歳到達済／","")&amp;IF(AND($H2567&lt;&gt;"",INDEX(職員マスタ!$B$6:$B$405,$AN2567)&lt;&gt;"",SUBSTITUTE(SUBSTITUTE($H2567," ","")," ","")&lt;&gt;SUBSTITUTE(SUBSTITUTE(INDEX(職員マスタ!$B$6:$B$405,$AN2567)," ","")," ","")),"氏名がマスタと相違／","")&amp;IF(AND($Q2567&lt;&gt;"",INDEX(職員マスタ!$E$6:$E$405,$AN2567)&lt;&gt;"",$Q2567&lt;&gt;INDEX(職員マスタ!$E$6:$E$405,$AN2567)),"子の生年月日がマスタと相違／","")&amp;IF(AND($L2567&lt;&gt;"",INDEX(職員マスタ!$G$6:$G$405,$AN2567)&lt;&gt;"",$L2567&lt;&gt;INDEX(職員マスタ!$G$6:$G$405,$AN2567)),"時短開始日がマスタと相違／","")&amp;IF(AND($M2567&lt;&gt;"",INDEX(職員マスタ!$H$6:$H$405,$AN2567)&lt;&gt;"",$M2567&lt;&gt;INDEX(職員マスタ!$H$6:$H$405,$AN2567)),"時短終了日がマスタと相違／","")))&amp;IF(AND($B2567&lt;&gt;"",$E2567=""),"報酬額が未入力／","")&amp;IF(N($U2567)&gt;0,"申請書に入力エラーが残っています／","")&amp;IF(AND($B2567&lt;&gt;"",$AO2567&lt;&gt;""),IF(COUNTIFS($B$6:$B$3005,$B2567,$C$6:$C$3005,$C2567,$D$6:$D$3005,$D2567)&gt;1,"同じ月の請求が重複しています／",""),"")&amp;IF(AND(N($E2567)&gt;0,$Z2567&lt;&gt;"",$Z2567&lt;&gt;"×",$AC2567=0,$AB2567=""),"計算額が下限以下のため不支給／",""))</f>
        <v/>
      </c>
      <c r="AL2567" s="12" t="n"/>
      <c r="AM2567" s="14">
        <f>IF($AD2567="保留中",COUNTIF($AD$6:$AD2567,"保留中"),"")</f>
        <v/>
      </c>
      <c r="AN2567" s="14">
        <f>IF($AO2567="","",IF(SUMPRODUCT(MAX((職員マスタ!$A$6:$A$405=$B2567)*(((職員マスタ!$G$6:$G$405="")+(職員マスタ!$G$6:$G$405&lt;=EOMONTH($AO2567,0)))&gt;0)*(((職員マスタ!$H$6:$H$405="")+(職員マスタ!$H$6:$H$405&gt;=$AO2567))&gt;0)*(ROW(職員マスタ!$A$6:$A$405)-5)))&gt;0,SUMPRODUCT(MAX((職員マスタ!$A$6:$A$405=$B2567)*(((職員マスタ!$G$6:$G$405="")+(職員マスタ!$G$6:$G$405&lt;=EOMONTH($AO2567,0)))&gt;0)*(((職員マスタ!$H$6:$H$405="")+(職員マスタ!$H$6:$H$405&gt;=$AO2567))&gt;0)*(ROW(職員マスタ!$A$6:$A$405)-5))),IFERROR(MATCH($B2567,職員マスタ!$A$6:$A$405,0),"")))</f>
        <v/>
      </c>
      <c r="AO2567" s="16">
        <f>IF(OR($B2567="",$C2567="",$D2567=""),"",DATE($C2567+2018,$D2567,1))</f>
        <v/>
      </c>
    </row>
    <row r="2568">
      <c r="A2568" s="11" t="n"/>
      <c r="B2568" s="12" t="n"/>
      <c r="C2568" s="12" t="n"/>
      <c r="D2568" s="12" t="n"/>
      <c r="E2568" s="13" t="n"/>
      <c r="F2568" s="12" t="n"/>
      <c r="G2568" s="13" t="n"/>
      <c r="H2568" s="12" t="n"/>
      <c r="I2568" s="12" t="n"/>
      <c r="J2568" s="12" t="n"/>
      <c r="K2568" s="12" t="n"/>
      <c r="L2568" s="11" t="n"/>
      <c r="M2568" s="11" t="n"/>
      <c r="N2568" s="11" t="n"/>
      <c r="O2568" s="11" t="n"/>
      <c r="P2568" s="12" t="n"/>
      <c r="Q2568" s="11" t="n"/>
      <c r="R2568" s="12" t="n"/>
      <c r="S2568" s="11" t="n"/>
      <c r="T2568" s="12" t="n"/>
      <c r="U2568" s="12" t="n"/>
      <c r="V2568" s="14">
        <f>IF($AN2568="",IF($B2568="","",$H2568),IF(INDEX(職員マスタ!$B$6:$B$405,$AN2568)="",$H2568,INDEX(職員マスタ!$B$6:$B$405,$AN2568)))</f>
        <v/>
      </c>
      <c r="W2568" s="14">
        <f>IF($AN2568="",IF($B2568="","",$R2568),IF(INDEX(職員マスタ!$C$6:$C$405,$AN2568)="",$R2568,INDEX(職員マスタ!$C$6:$C$405,$AN2568)))</f>
        <v/>
      </c>
      <c r="X2568" s="14">
        <f>IF($AO2568="","","R"&amp;$C2568&amp;"."&amp;$D2568)</f>
        <v/>
      </c>
      <c r="Y2568" s="15">
        <f>IF($AN2568="","",IF(INDEX(職員マスタ!$K$6:$K$405,$AN2568)="","",INDEX(職員マスタ!$K$6:$K$405,$AN2568)))</f>
        <v/>
      </c>
      <c r="Z2568" s="14">
        <f>IF(OR($E2568="",$Y2568=""),"",IF($E2568&gt;=$Y2568,"×",IF($E2568&gt;=$Y2568*設定!$C$5,"△","○")))</f>
        <v/>
      </c>
      <c r="AA2568" s="15">
        <f>IF($Z2568="","",IF($Z2568="×",0,IF($Z2568="○",ROUNDDOWN($E2568*設定!$C$4,0),ROUNDDOWN($E2568*ROUND((9*$Y2568-9*$E2568)/(10*$E2568),4),0))))</f>
        <v/>
      </c>
      <c r="AB2568" s="13" t="n"/>
      <c r="AC2568" s="15">
        <f>IF($B2568="","",IF($AB2568&lt;&gt;"",$AB2568,IF($AA2568="","",IF($AA2568&lt;=設定!$C$3,0,$AA2568))))</f>
        <v/>
      </c>
      <c r="AD2568" s="14">
        <f>IF($B2568="","",IF(AND($AE2568&lt;&gt;"",$AG2568="",$AJ2568=""),"保留中",IF($AJ2568&lt;&gt;"",IF(N($AC2568)&gt;0,"支給済","不支給"),IF($AC2568="","要確認",IF($AC2568=0,"不支給","未処理")))))</f>
        <v/>
      </c>
      <c r="AE2568" s="12" t="n"/>
      <c r="AF2568" s="11" t="n"/>
      <c r="AG2568" s="11" t="n"/>
      <c r="AH2568" s="11" t="n"/>
      <c r="AI2568" s="14">
        <f>IF(AND($AD2568="保留中",$AF2568&lt;&gt;""),TODAY()-$AF2568,"")</f>
        <v/>
      </c>
      <c r="AJ2568" s="12" t="n"/>
      <c r="AK2568" s="14">
        <f>IF($B2568="","",IF($AO2568="","対象年月が未入力／","")&amp;IF($B2568="","",IF($AN2568="","職員マスタに未登録の職員番号／",IF($Y2568="","標準報酬月額が未登録／","")&amp;IF(AND($AO2568&lt;&gt;"",OR(AND(INDEX(職員マスタ!$G$6:$G$405,$AN2568)&lt;&gt;"",INDEX(職員マスタ!$G$6:$G$405,$AN2568)&gt;EOMONTH($AO2568,0)),AND(INDEX(職員マスタ!$H$6:$H$405,$AN2568)&lt;&gt;"",INDEX(職員マスタ!$H$6:$H$405,$AN2568)&lt;$AO2568))),"対象月が時短期間外／","")&amp;IF(AND(INDEX(職員マスタ!$F$6:$F$405,$AN2568)&lt;&gt;"",$AO2568&lt;&gt;"",INDEX(職員マスタ!$F$6:$F$405,$AN2568)&lt;$AO2568),"対象月に子が2歳到達済／","")&amp;IF(AND($H2568&lt;&gt;"",INDEX(職員マスタ!$B$6:$B$405,$AN2568)&lt;&gt;"",SUBSTITUTE(SUBSTITUTE($H2568," ","")," ","")&lt;&gt;SUBSTITUTE(SUBSTITUTE(INDEX(職員マスタ!$B$6:$B$405,$AN2568)," ","")," ","")),"氏名がマスタと相違／","")&amp;IF(AND($Q2568&lt;&gt;"",INDEX(職員マスタ!$E$6:$E$405,$AN2568)&lt;&gt;"",$Q2568&lt;&gt;INDEX(職員マスタ!$E$6:$E$405,$AN2568)),"子の生年月日がマスタと相違／","")&amp;IF(AND($L2568&lt;&gt;"",INDEX(職員マスタ!$G$6:$G$405,$AN2568)&lt;&gt;"",$L2568&lt;&gt;INDEX(職員マスタ!$G$6:$G$405,$AN2568)),"時短開始日がマスタと相違／","")&amp;IF(AND($M2568&lt;&gt;"",INDEX(職員マスタ!$H$6:$H$405,$AN2568)&lt;&gt;"",$M2568&lt;&gt;INDEX(職員マスタ!$H$6:$H$405,$AN2568)),"時短終了日がマスタと相違／","")))&amp;IF(AND($B2568&lt;&gt;"",$E2568=""),"報酬額が未入力／","")&amp;IF(N($U2568)&gt;0,"申請書に入力エラーが残っています／","")&amp;IF(AND($B2568&lt;&gt;"",$AO2568&lt;&gt;""),IF(COUNTIFS($B$6:$B$3005,$B2568,$C$6:$C$3005,$C2568,$D$6:$D$3005,$D2568)&gt;1,"同じ月の請求が重複しています／",""),"")&amp;IF(AND(N($E2568)&gt;0,$Z2568&lt;&gt;"",$Z2568&lt;&gt;"×",$AC2568=0,$AB2568=""),"計算額が下限以下のため不支給／",""))</f>
        <v/>
      </c>
      <c r="AL2568" s="12" t="n"/>
      <c r="AM2568" s="14">
        <f>IF($AD2568="保留中",COUNTIF($AD$6:$AD2568,"保留中"),"")</f>
        <v/>
      </c>
      <c r="AN2568" s="14">
        <f>IF($AO2568="","",IF(SUMPRODUCT(MAX((職員マスタ!$A$6:$A$405=$B2568)*(((職員マスタ!$G$6:$G$405="")+(職員マスタ!$G$6:$G$405&lt;=EOMONTH($AO2568,0)))&gt;0)*(((職員マスタ!$H$6:$H$405="")+(職員マスタ!$H$6:$H$405&gt;=$AO2568))&gt;0)*(ROW(職員マスタ!$A$6:$A$405)-5)))&gt;0,SUMPRODUCT(MAX((職員マスタ!$A$6:$A$405=$B2568)*(((職員マスタ!$G$6:$G$405="")+(職員マスタ!$G$6:$G$405&lt;=EOMONTH($AO2568,0)))&gt;0)*(((職員マスタ!$H$6:$H$405="")+(職員マスタ!$H$6:$H$405&gt;=$AO2568))&gt;0)*(ROW(職員マスタ!$A$6:$A$405)-5))),IFERROR(MATCH($B2568,職員マスタ!$A$6:$A$405,0),"")))</f>
        <v/>
      </c>
      <c r="AO2568" s="16">
        <f>IF(OR($B2568="",$C2568="",$D2568=""),"",DATE($C2568+2018,$D2568,1))</f>
        <v/>
      </c>
    </row>
    <row r="2569">
      <c r="A2569" s="11" t="n"/>
      <c r="B2569" s="12" t="n"/>
      <c r="C2569" s="12" t="n"/>
      <c r="D2569" s="12" t="n"/>
      <c r="E2569" s="13" t="n"/>
      <c r="F2569" s="12" t="n"/>
      <c r="G2569" s="13" t="n"/>
      <c r="H2569" s="12" t="n"/>
      <c r="I2569" s="12" t="n"/>
      <c r="J2569" s="12" t="n"/>
      <c r="K2569" s="12" t="n"/>
      <c r="L2569" s="11" t="n"/>
      <c r="M2569" s="11" t="n"/>
      <c r="N2569" s="11" t="n"/>
      <c r="O2569" s="11" t="n"/>
      <c r="P2569" s="12" t="n"/>
      <c r="Q2569" s="11" t="n"/>
      <c r="R2569" s="12" t="n"/>
      <c r="S2569" s="11" t="n"/>
      <c r="T2569" s="12" t="n"/>
      <c r="U2569" s="12" t="n"/>
      <c r="V2569" s="14">
        <f>IF($AN2569="",IF($B2569="","",$H2569),IF(INDEX(職員マスタ!$B$6:$B$405,$AN2569)="",$H2569,INDEX(職員マスタ!$B$6:$B$405,$AN2569)))</f>
        <v/>
      </c>
      <c r="W2569" s="14">
        <f>IF($AN2569="",IF($B2569="","",$R2569),IF(INDEX(職員マスタ!$C$6:$C$405,$AN2569)="",$R2569,INDEX(職員マスタ!$C$6:$C$405,$AN2569)))</f>
        <v/>
      </c>
      <c r="X2569" s="14">
        <f>IF($AO2569="","","R"&amp;$C2569&amp;"."&amp;$D2569)</f>
        <v/>
      </c>
      <c r="Y2569" s="15">
        <f>IF($AN2569="","",IF(INDEX(職員マスタ!$K$6:$K$405,$AN2569)="","",INDEX(職員マスタ!$K$6:$K$405,$AN2569)))</f>
        <v/>
      </c>
      <c r="Z2569" s="14">
        <f>IF(OR($E2569="",$Y2569=""),"",IF($E2569&gt;=$Y2569,"×",IF($E2569&gt;=$Y2569*設定!$C$5,"△","○")))</f>
        <v/>
      </c>
      <c r="AA2569" s="15">
        <f>IF($Z2569="","",IF($Z2569="×",0,IF($Z2569="○",ROUNDDOWN($E2569*設定!$C$4,0),ROUNDDOWN($E2569*ROUND((9*$Y2569-9*$E2569)/(10*$E2569),4),0))))</f>
        <v/>
      </c>
      <c r="AB2569" s="13" t="n"/>
      <c r="AC2569" s="15">
        <f>IF($B2569="","",IF($AB2569&lt;&gt;"",$AB2569,IF($AA2569="","",IF($AA2569&lt;=設定!$C$3,0,$AA2569))))</f>
        <v/>
      </c>
      <c r="AD2569" s="14">
        <f>IF($B2569="","",IF(AND($AE2569&lt;&gt;"",$AG2569="",$AJ2569=""),"保留中",IF($AJ2569&lt;&gt;"",IF(N($AC2569)&gt;0,"支給済","不支給"),IF($AC2569="","要確認",IF($AC2569=0,"不支給","未処理")))))</f>
        <v/>
      </c>
      <c r="AE2569" s="12" t="n"/>
      <c r="AF2569" s="11" t="n"/>
      <c r="AG2569" s="11" t="n"/>
      <c r="AH2569" s="11" t="n"/>
      <c r="AI2569" s="14">
        <f>IF(AND($AD2569="保留中",$AF2569&lt;&gt;""),TODAY()-$AF2569,"")</f>
        <v/>
      </c>
      <c r="AJ2569" s="12" t="n"/>
      <c r="AK2569" s="14">
        <f>IF($B2569="","",IF($AO2569="","対象年月が未入力／","")&amp;IF($B2569="","",IF($AN2569="","職員マスタに未登録の職員番号／",IF($Y2569="","標準報酬月額が未登録／","")&amp;IF(AND($AO2569&lt;&gt;"",OR(AND(INDEX(職員マスタ!$G$6:$G$405,$AN2569)&lt;&gt;"",INDEX(職員マスタ!$G$6:$G$405,$AN2569)&gt;EOMONTH($AO2569,0)),AND(INDEX(職員マスタ!$H$6:$H$405,$AN2569)&lt;&gt;"",INDEX(職員マスタ!$H$6:$H$405,$AN2569)&lt;$AO2569))),"対象月が時短期間外／","")&amp;IF(AND(INDEX(職員マスタ!$F$6:$F$405,$AN2569)&lt;&gt;"",$AO2569&lt;&gt;"",INDEX(職員マスタ!$F$6:$F$405,$AN2569)&lt;$AO2569),"対象月に子が2歳到達済／","")&amp;IF(AND($H2569&lt;&gt;"",INDEX(職員マスタ!$B$6:$B$405,$AN2569)&lt;&gt;"",SUBSTITUTE(SUBSTITUTE($H2569," ","")," ","")&lt;&gt;SUBSTITUTE(SUBSTITUTE(INDEX(職員マスタ!$B$6:$B$405,$AN2569)," ","")," ","")),"氏名がマスタと相違／","")&amp;IF(AND($Q2569&lt;&gt;"",INDEX(職員マスタ!$E$6:$E$405,$AN2569)&lt;&gt;"",$Q2569&lt;&gt;INDEX(職員マスタ!$E$6:$E$405,$AN2569)),"子の生年月日がマスタと相違／","")&amp;IF(AND($L2569&lt;&gt;"",INDEX(職員マスタ!$G$6:$G$405,$AN2569)&lt;&gt;"",$L2569&lt;&gt;INDEX(職員マスタ!$G$6:$G$405,$AN2569)),"時短開始日がマスタと相違／","")&amp;IF(AND($M2569&lt;&gt;"",INDEX(職員マスタ!$H$6:$H$405,$AN2569)&lt;&gt;"",$M2569&lt;&gt;INDEX(職員マスタ!$H$6:$H$405,$AN2569)),"時短終了日がマスタと相違／","")))&amp;IF(AND($B2569&lt;&gt;"",$E2569=""),"報酬額が未入力／","")&amp;IF(N($U2569)&gt;0,"申請書に入力エラーが残っています／","")&amp;IF(AND($B2569&lt;&gt;"",$AO2569&lt;&gt;""),IF(COUNTIFS($B$6:$B$3005,$B2569,$C$6:$C$3005,$C2569,$D$6:$D$3005,$D2569)&gt;1,"同じ月の請求が重複しています／",""),"")&amp;IF(AND(N($E2569)&gt;0,$Z2569&lt;&gt;"",$Z2569&lt;&gt;"×",$AC2569=0,$AB2569=""),"計算額が下限以下のため不支給／",""))</f>
        <v/>
      </c>
      <c r="AL2569" s="12" t="n"/>
      <c r="AM2569" s="14">
        <f>IF($AD2569="保留中",COUNTIF($AD$6:$AD2569,"保留中"),"")</f>
        <v/>
      </c>
      <c r="AN2569" s="14">
        <f>IF($AO2569="","",IF(SUMPRODUCT(MAX((職員マスタ!$A$6:$A$405=$B2569)*(((職員マスタ!$G$6:$G$405="")+(職員マスタ!$G$6:$G$405&lt;=EOMONTH($AO2569,0)))&gt;0)*(((職員マスタ!$H$6:$H$405="")+(職員マスタ!$H$6:$H$405&gt;=$AO2569))&gt;0)*(ROW(職員マスタ!$A$6:$A$405)-5)))&gt;0,SUMPRODUCT(MAX((職員マスタ!$A$6:$A$405=$B2569)*(((職員マスタ!$G$6:$G$405="")+(職員マスタ!$G$6:$G$405&lt;=EOMONTH($AO2569,0)))&gt;0)*(((職員マスタ!$H$6:$H$405="")+(職員マスタ!$H$6:$H$405&gt;=$AO2569))&gt;0)*(ROW(職員マスタ!$A$6:$A$405)-5))),IFERROR(MATCH($B2569,職員マスタ!$A$6:$A$405,0),"")))</f>
        <v/>
      </c>
      <c r="AO2569" s="16">
        <f>IF(OR($B2569="",$C2569="",$D2569=""),"",DATE($C2569+2018,$D2569,1))</f>
        <v/>
      </c>
    </row>
    <row r="2570">
      <c r="A2570" s="11" t="n"/>
      <c r="B2570" s="12" t="n"/>
      <c r="C2570" s="12" t="n"/>
      <c r="D2570" s="12" t="n"/>
      <c r="E2570" s="13" t="n"/>
      <c r="F2570" s="12" t="n"/>
      <c r="G2570" s="13" t="n"/>
      <c r="H2570" s="12" t="n"/>
      <c r="I2570" s="12" t="n"/>
      <c r="J2570" s="12" t="n"/>
      <c r="K2570" s="12" t="n"/>
      <c r="L2570" s="11" t="n"/>
      <c r="M2570" s="11" t="n"/>
      <c r="N2570" s="11" t="n"/>
      <c r="O2570" s="11" t="n"/>
      <c r="P2570" s="12" t="n"/>
      <c r="Q2570" s="11" t="n"/>
      <c r="R2570" s="12" t="n"/>
      <c r="S2570" s="11" t="n"/>
      <c r="T2570" s="12" t="n"/>
      <c r="U2570" s="12" t="n"/>
      <c r="V2570" s="14">
        <f>IF($AN2570="",IF($B2570="","",$H2570),IF(INDEX(職員マスタ!$B$6:$B$405,$AN2570)="",$H2570,INDEX(職員マスタ!$B$6:$B$405,$AN2570)))</f>
        <v/>
      </c>
      <c r="W2570" s="14">
        <f>IF($AN2570="",IF($B2570="","",$R2570),IF(INDEX(職員マスタ!$C$6:$C$405,$AN2570)="",$R2570,INDEX(職員マスタ!$C$6:$C$405,$AN2570)))</f>
        <v/>
      </c>
      <c r="X2570" s="14">
        <f>IF($AO2570="","","R"&amp;$C2570&amp;"."&amp;$D2570)</f>
        <v/>
      </c>
      <c r="Y2570" s="15">
        <f>IF($AN2570="","",IF(INDEX(職員マスタ!$K$6:$K$405,$AN2570)="","",INDEX(職員マスタ!$K$6:$K$405,$AN2570)))</f>
        <v/>
      </c>
      <c r="Z2570" s="14">
        <f>IF(OR($E2570="",$Y2570=""),"",IF($E2570&gt;=$Y2570,"×",IF($E2570&gt;=$Y2570*設定!$C$5,"△","○")))</f>
        <v/>
      </c>
      <c r="AA2570" s="15">
        <f>IF($Z2570="","",IF($Z2570="×",0,IF($Z2570="○",ROUNDDOWN($E2570*設定!$C$4,0),ROUNDDOWN($E2570*ROUND((9*$Y2570-9*$E2570)/(10*$E2570),4),0))))</f>
        <v/>
      </c>
      <c r="AB2570" s="13" t="n"/>
      <c r="AC2570" s="15">
        <f>IF($B2570="","",IF($AB2570&lt;&gt;"",$AB2570,IF($AA2570="","",IF($AA2570&lt;=設定!$C$3,0,$AA2570))))</f>
        <v/>
      </c>
      <c r="AD2570" s="14">
        <f>IF($B2570="","",IF(AND($AE2570&lt;&gt;"",$AG2570="",$AJ2570=""),"保留中",IF($AJ2570&lt;&gt;"",IF(N($AC2570)&gt;0,"支給済","不支給"),IF($AC2570="","要確認",IF($AC2570=0,"不支給","未処理")))))</f>
        <v/>
      </c>
      <c r="AE2570" s="12" t="n"/>
      <c r="AF2570" s="11" t="n"/>
      <c r="AG2570" s="11" t="n"/>
      <c r="AH2570" s="11" t="n"/>
      <c r="AI2570" s="14">
        <f>IF(AND($AD2570="保留中",$AF2570&lt;&gt;""),TODAY()-$AF2570,"")</f>
        <v/>
      </c>
      <c r="AJ2570" s="12" t="n"/>
      <c r="AK2570" s="14">
        <f>IF($B2570="","",IF($AO2570="","対象年月が未入力／","")&amp;IF($B2570="","",IF($AN2570="","職員マスタに未登録の職員番号／",IF($Y2570="","標準報酬月額が未登録／","")&amp;IF(AND($AO2570&lt;&gt;"",OR(AND(INDEX(職員マスタ!$G$6:$G$405,$AN2570)&lt;&gt;"",INDEX(職員マスタ!$G$6:$G$405,$AN2570)&gt;EOMONTH($AO2570,0)),AND(INDEX(職員マスタ!$H$6:$H$405,$AN2570)&lt;&gt;"",INDEX(職員マスタ!$H$6:$H$405,$AN2570)&lt;$AO2570))),"対象月が時短期間外／","")&amp;IF(AND(INDEX(職員マスタ!$F$6:$F$405,$AN2570)&lt;&gt;"",$AO2570&lt;&gt;"",INDEX(職員マスタ!$F$6:$F$405,$AN2570)&lt;$AO2570),"対象月に子が2歳到達済／","")&amp;IF(AND($H2570&lt;&gt;"",INDEX(職員マスタ!$B$6:$B$405,$AN2570)&lt;&gt;"",SUBSTITUTE(SUBSTITUTE($H2570," ","")," ","")&lt;&gt;SUBSTITUTE(SUBSTITUTE(INDEX(職員マスタ!$B$6:$B$405,$AN2570)," ","")," ","")),"氏名がマスタと相違／","")&amp;IF(AND($Q2570&lt;&gt;"",INDEX(職員マスタ!$E$6:$E$405,$AN2570)&lt;&gt;"",$Q2570&lt;&gt;INDEX(職員マスタ!$E$6:$E$405,$AN2570)),"子の生年月日がマスタと相違／","")&amp;IF(AND($L2570&lt;&gt;"",INDEX(職員マスタ!$G$6:$G$405,$AN2570)&lt;&gt;"",$L2570&lt;&gt;INDEX(職員マスタ!$G$6:$G$405,$AN2570)),"時短開始日がマスタと相違／","")&amp;IF(AND($M2570&lt;&gt;"",INDEX(職員マスタ!$H$6:$H$405,$AN2570)&lt;&gt;"",$M2570&lt;&gt;INDEX(職員マスタ!$H$6:$H$405,$AN2570)),"時短終了日がマスタと相違／","")))&amp;IF(AND($B2570&lt;&gt;"",$E2570=""),"報酬額が未入力／","")&amp;IF(N($U2570)&gt;0,"申請書に入力エラーが残っています／","")&amp;IF(AND($B2570&lt;&gt;"",$AO2570&lt;&gt;""),IF(COUNTIFS($B$6:$B$3005,$B2570,$C$6:$C$3005,$C2570,$D$6:$D$3005,$D2570)&gt;1,"同じ月の請求が重複しています／",""),"")&amp;IF(AND(N($E2570)&gt;0,$Z2570&lt;&gt;"",$Z2570&lt;&gt;"×",$AC2570=0,$AB2570=""),"計算額が下限以下のため不支給／",""))</f>
        <v/>
      </c>
      <c r="AL2570" s="12" t="n"/>
      <c r="AM2570" s="14">
        <f>IF($AD2570="保留中",COUNTIF($AD$6:$AD2570,"保留中"),"")</f>
        <v/>
      </c>
      <c r="AN2570" s="14">
        <f>IF($AO2570="","",IF(SUMPRODUCT(MAX((職員マスタ!$A$6:$A$405=$B2570)*(((職員マスタ!$G$6:$G$405="")+(職員マスタ!$G$6:$G$405&lt;=EOMONTH($AO2570,0)))&gt;0)*(((職員マスタ!$H$6:$H$405="")+(職員マスタ!$H$6:$H$405&gt;=$AO2570))&gt;0)*(ROW(職員マスタ!$A$6:$A$405)-5)))&gt;0,SUMPRODUCT(MAX((職員マスタ!$A$6:$A$405=$B2570)*(((職員マスタ!$G$6:$G$405="")+(職員マスタ!$G$6:$G$405&lt;=EOMONTH($AO2570,0)))&gt;0)*(((職員マスタ!$H$6:$H$405="")+(職員マスタ!$H$6:$H$405&gt;=$AO2570))&gt;0)*(ROW(職員マスタ!$A$6:$A$405)-5))),IFERROR(MATCH($B2570,職員マスタ!$A$6:$A$405,0),"")))</f>
        <v/>
      </c>
      <c r="AO2570" s="16">
        <f>IF(OR($B2570="",$C2570="",$D2570=""),"",DATE($C2570+2018,$D2570,1))</f>
        <v/>
      </c>
    </row>
    <row r="2571">
      <c r="A2571" s="11" t="n"/>
      <c r="B2571" s="12" t="n"/>
      <c r="C2571" s="12" t="n"/>
      <c r="D2571" s="12" t="n"/>
      <c r="E2571" s="13" t="n"/>
      <c r="F2571" s="12" t="n"/>
      <c r="G2571" s="13" t="n"/>
      <c r="H2571" s="12" t="n"/>
      <c r="I2571" s="12" t="n"/>
      <c r="J2571" s="12" t="n"/>
      <c r="K2571" s="12" t="n"/>
      <c r="L2571" s="11" t="n"/>
      <c r="M2571" s="11" t="n"/>
      <c r="N2571" s="11" t="n"/>
      <c r="O2571" s="11" t="n"/>
      <c r="P2571" s="12" t="n"/>
      <c r="Q2571" s="11" t="n"/>
      <c r="R2571" s="12" t="n"/>
      <c r="S2571" s="11" t="n"/>
      <c r="T2571" s="12" t="n"/>
      <c r="U2571" s="12" t="n"/>
      <c r="V2571" s="14">
        <f>IF($AN2571="",IF($B2571="","",$H2571),IF(INDEX(職員マスタ!$B$6:$B$405,$AN2571)="",$H2571,INDEX(職員マスタ!$B$6:$B$405,$AN2571)))</f>
        <v/>
      </c>
      <c r="W2571" s="14">
        <f>IF($AN2571="",IF($B2571="","",$R2571),IF(INDEX(職員マスタ!$C$6:$C$405,$AN2571)="",$R2571,INDEX(職員マスタ!$C$6:$C$405,$AN2571)))</f>
        <v/>
      </c>
      <c r="X2571" s="14">
        <f>IF($AO2571="","","R"&amp;$C2571&amp;"."&amp;$D2571)</f>
        <v/>
      </c>
      <c r="Y2571" s="15">
        <f>IF($AN2571="","",IF(INDEX(職員マスタ!$K$6:$K$405,$AN2571)="","",INDEX(職員マスタ!$K$6:$K$405,$AN2571)))</f>
        <v/>
      </c>
      <c r="Z2571" s="14">
        <f>IF(OR($E2571="",$Y2571=""),"",IF($E2571&gt;=$Y2571,"×",IF($E2571&gt;=$Y2571*設定!$C$5,"△","○")))</f>
        <v/>
      </c>
      <c r="AA2571" s="15">
        <f>IF($Z2571="","",IF($Z2571="×",0,IF($Z2571="○",ROUNDDOWN($E2571*設定!$C$4,0),ROUNDDOWN($E2571*ROUND((9*$Y2571-9*$E2571)/(10*$E2571),4),0))))</f>
        <v/>
      </c>
      <c r="AB2571" s="13" t="n"/>
      <c r="AC2571" s="15">
        <f>IF($B2571="","",IF($AB2571&lt;&gt;"",$AB2571,IF($AA2571="","",IF($AA2571&lt;=設定!$C$3,0,$AA2571))))</f>
        <v/>
      </c>
      <c r="AD2571" s="14">
        <f>IF($B2571="","",IF(AND($AE2571&lt;&gt;"",$AG2571="",$AJ2571=""),"保留中",IF($AJ2571&lt;&gt;"",IF(N($AC2571)&gt;0,"支給済","不支給"),IF($AC2571="","要確認",IF($AC2571=0,"不支給","未処理")))))</f>
        <v/>
      </c>
      <c r="AE2571" s="12" t="n"/>
      <c r="AF2571" s="11" t="n"/>
      <c r="AG2571" s="11" t="n"/>
      <c r="AH2571" s="11" t="n"/>
      <c r="AI2571" s="14">
        <f>IF(AND($AD2571="保留中",$AF2571&lt;&gt;""),TODAY()-$AF2571,"")</f>
        <v/>
      </c>
      <c r="AJ2571" s="12" t="n"/>
      <c r="AK2571" s="14">
        <f>IF($B2571="","",IF($AO2571="","対象年月が未入力／","")&amp;IF($B2571="","",IF($AN2571="","職員マスタに未登録の職員番号／",IF($Y2571="","標準報酬月額が未登録／","")&amp;IF(AND($AO2571&lt;&gt;"",OR(AND(INDEX(職員マスタ!$G$6:$G$405,$AN2571)&lt;&gt;"",INDEX(職員マスタ!$G$6:$G$405,$AN2571)&gt;EOMONTH($AO2571,0)),AND(INDEX(職員マスタ!$H$6:$H$405,$AN2571)&lt;&gt;"",INDEX(職員マスタ!$H$6:$H$405,$AN2571)&lt;$AO2571))),"対象月が時短期間外／","")&amp;IF(AND(INDEX(職員マスタ!$F$6:$F$405,$AN2571)&lt;&gt;"",$AO2571&lt;&gt;"",INDEX(職員マスタ!$F$6:$F$405,$AN2571)&lt;$AO2571),"対象月に子が2歳到達済／","")&amp;IF(AND($H2571&lt;&gt;"",INDEX(職員マスタ!$B$6:$B$405,$AN2571)&lt;&gt;"",SUBSTITUTE(SUBSTITUTE($H2571," ","")," ","")&lt;&gt;SUBSTITUTE(SUBSTITUTE(INDEX(職員マスタ!$B$6:$B$405,$AN2571)," ","")," ","")),"氏名がマスタと相違／","")&amp;IF(AND($Q2571&lt;&gt;"",INDEX(職員マスタ!$E$6:$E$405,$AN2571)&lt;&gt;"",$Q2571&lt;&gt;INDEX(職員マスタ!$E$6:$E$405,$AN2571)),"子の生年月日がマスタと相違／","")&amp;IF(AND($L2571&lt;&gt;"",INDEX(職員マスタ!$G$6:$G$405,$AN2571)&lt;&gt;"",$L2571&lt;&gt;INDEX(職員マスタ!$G$6:$G$405,$AN2571)),"時短開始日がマスタと相違／","")&amp;IF(AND($M2571&lt;&gt;"",INDEX(職員マスタ!$H$6:$H$405,$AN2571)&lt;&gt;"",$M2571&lt;&gt;INDEX(職員マスタ!$H$6:$H$405,$AN2571)),"時短終了日がマスタと相違／","")))&amp;IF(AND($B2571&lt;&gt;"",$E2571=""),"報酬額が未入力／","")&amp;IF(N($U2571)&gt;0,"申請書に入力エラーが残っています／","")&amp;IF(AND($B2571&lt;&gt;"",$AO2571&lt;&gt;""),IF(COUNTIFS($B$6:$B$3005,$B2571,$C$6:$C$3005,$C2571,$D$6:$D$3005,$D2571)&gt;1,"同じ月の請求が重複しています／",""),"")&amp;IF(AND(N($E2571)&gt;0,$Z2571&lt;&gt;"",$Z2571&lt;&gt;"×",$AC2571=0,$AB2571=""),"計算額が下限以下のため不支給／",""))</f>
        <v/>
      </c>
      <c r="AL2571" s="12" t="n"/>
      <c r="AM2571" s="14">
        <f>IF($AD2571="保留中",COUNTIF($AD$6:$AD2571,"保留中"),"")</f>
        <v/>
      </c>
      <c r="AN2571" s="14">
        <f>IF($AO2571="","",IF(SUMPRODUCT(MAX((職員マスタ!$A$6:$A$405=$B2571)*(((職員マスタ!$G$6:$G$405="")+(職員マスタ!$G$6:$G$405&lt;=EOMONTH($AO2571,0)))&gt;0)*(((職員マスタ!$H$6:$H$405="")+(職員マスタ!$H$6:$H$405&gt;=$AO2571))&gt;0)*(ROW(職員マスタ!$A$6:$A$405)-5)))&gt;0,SUMPRODUCT(MAX((職員マスタ!$A$6:$A$405=$B2571)*(((職員マスタ!$G$6:$G$405="")+(職員マスタ!$G$6:$G$405&lt;=EOMONTH($AO2571,0)))&gt;0)*(((職員マスタ!$H$6:$H$405="")+(職員マスタ!$H$6:$H$405&gt;=$AO2571))&gt;0)*(ROW(職員マスタ!$A$6:$A$405)-5))),IFERROR(MATCH($B2571,職員マスタ!$A$6:$A$405,0),"")))</f>
        <v/>
      </c>
      <c r="AO2571" s="16">
        <f>IF(OR($B2571="",$C2571="",$D2571=""),"",DATE($C2571+2018,$D2571,1))</f>
        <v/>
      </c>
    </row>
    <row r="2572">
      <c r="A2572" s="11" t="n"/>
      <c r="B2572" s="12" t="n"/>
      <c r="C2572" s="12" t="n"/>
      <c r="D2572" s="12" t="n"/>
      <c r="E2572" s="13" t="n"/>
      <c r="F2572" s="12" t="n"/>
      <c r="G2572" s="13" t="n"/>
      <c r="H2572" s="12" t="n"/>
      <c r="I2572" s="12" t="n"/>
      <c r="J2572" s="12" t="n"/>
      <c r="K2572" s="12" t="n"/>
      <c r="L2572" s="11" t="n"/>
      <c r="M2572" s="11" t="n"/>
      <c r="N2572" s="11" t="n"/>
      <c r="O2572" s="11" t="n"/>
      <c r="P2572" s="12" t="n"/>
      <c r="Q2572" s="11" t="n"/>
      <c r="R2572" s="12" t="n"/>
      <c r="S2572" s="11" t="n"/>
      <c r="T2572" s="12" t="n"/>
      <c r="U2572" s="12" t="n"/>
      <c r="V2572" s="14">
        <f>IF($AN2572="",IF($B2572="","",$H2572),IF(INDEX(職員マスタ!$B$6:$B$405,$AN2572)="",$H2572,INDEX(職員マスタ!$B$6:$B$405,$AN2572)))</f>
        <v/>
      </c>
      <c r="W2572" s="14">
        <f>IF($AN2572="",IF($B2572="","",$R2572),IF(INDEX(職員マスタ!$C$6:$C$405,$AN2572)="",$R2572,INDEX(職員マスタ!$C$6:$C$405,$AN2572)))</f>
        <v/>
      </c>
      <c r="X2572" s="14">
        <f>IF($AO2572="","","R"&amp;$C2572&amp;"."&amp;$D2572)</f>
        <v/>
      </c>
      <c r="Y2572" s="15">
        <f>IF($AN2572="","",IF(INDEX(職員マスタ!$K$6:$K$405,$AN2572)="","",INDEX(職員マスタ!$K$6:$K$405,$AN2572)))</f>
        <v/>
      </c>
      <c r="Z2572" s="14">
        <f>IF(OR($E2572="",$Y2572=""),"",IF($E2572&gt;=$Y2572,"×",IF($E2572&gt;=$Y2572*設定!$C$5,"△","○")))</f>
        <v/>
      </c>
      <c r="AA2572" s="15">
        <f>IF($Z2572="","",IF($Z2572="×",0,IF($Z2572="○",ROUNDDOWN($E2572*設定!$C$4,0),ROUNDDOWN($E2572*ROUND((9*$Y2572-9*$E2572)/(10*$E2572),4),0))))</f>
        <v/>
      </c>
      <c r="AB2572" s="13" t="n"/>
      <c r="AC2572" s="15">
        <f>IF($B2572="","",IF($AB2572&lt;&gt;"",$AB2572,IF($AA2572="","",IF($AA2572&lt;=設定!$C$3,0,$AA2572))))</f>
        <v/>
      </c>
      <c r="AD2572" s="14">
        <f>IF($B2572="","",IF(AND($AE2572&lt;&gt;"",$AG2572="",$AJ2572=""),"保留中",IF($AJ2572&lt;&gt;"",IF(N($AC2572)&gt;0,"支給済","不支給"),IF($AC2572="","要確認",IF($AC2572=0,"不支給","未処理")))))</f>
        <v/>
      </c>
      <c r="AE2572" s="12" t="n"/>
      <c r="AF2572" s="11" t="n"/>
      <c r="AG2572" s="11" t="n"/>
      <c r="AH2572" s="11" t="n"/>
      <c r="AI2572" s="14">
        <f>IF(AND($AD2572="保留中",$AF2572&lt;&gt;""),TODAY()-$AF2572,"")</f>
        <v/>
      </c>
      <c r="AJ2572" s="12" t="n"/>
      <c r="AK2572" s="14">
        <f>IF($B2572="","",IF($AO2572="","対象年月が未入力／","")&amp;IF($B2572="","",IF($AN2572="","職員マスタに未登録の職員番号／",IF($Y2572="","標準報酬月額が未登録／","")&amp;IF(AND($AO2572&lt;&gt;"",OR(AND(INDEX(職員マスタ!$G$6:$G$405,$AN2572)&lt;&gt;"",INDEX(職員マスタ!$G$6:$G$405,$AN2572)&gt;EOMONTH($AO2572,0)),AND(INDEX(職員マスタ!$H$6:$H$405,$AN2572)&lt;&gt;"",INDEX(職員マスタ!$H$6:$H$405,$AN2572)&lt;$AO2572))),"対象月が時短期間外／","")&amp;IF(AND(INDEX(職員マスタ!$F$6:$F$405,$AN2572)&lt;&gt;"",$AO2572&lt;&gt;"",INDEX(職員マスタ!$F$6:$F$405,$AN2572)&lt;$AO2572),"対象月に子が2歳到達済／","")&amp;IF(AND($H2572&lt;&gt;"",INDEX(職員マスタ!$B$6:$B$405,$AN2572)&lt;&gt;"",SUBSTITUTE(SUBSTITUTE($H2572," ","")," ","")&lt;&gt;SUBSTITUTE(SUBSTITUTE(INDEX(職員マスタ!$B$6:$B$405,$AN2572)," ","")," ","")),"氏名がマスタと相違／","")&amp;IF(AND($Q2572&lt;&gt;"",INDEX(職員マスタ!$E$6:$E$405,$AN2572)&lt;&gt;"",$Q2572&lt;&gt;INDEX(職員マスタ!$E$6:$E$405,$AN2572)),"子の生年月日がマスタと相違／","")&amp;IF(AND($L2572&lt;&gt;"",INDEX(職員マスタ!$G$6:$G$405,$AN2572)&lt;&gt;"",$L2572&lt;&gt;INDEX(職員マスタ!$G$6:$G$405,$AN2572)),"時短開始日がマスタと相違／","")&amp;IF(AND($M2572&lt;&gt;"",INDEX(職員マスタ!$H$6:$H$405,$AN2572)&lt;&gt;"",$M2572&lt;&gt;INDEX(職員マスタ!$H$6:$H$405,$AN2572)),"時短終了日がマスタと相違／","")))&amp;IF(AND($B2572&lt;&gt;"",$E2572=""),"報酬額が未入力／","")&amp;IF(N($U2572)&gt;0,"申請書に入力エラーが残っています／","")&amp;IF(AND($B2572&lt;&gt;"",$AO2572&lt;&gt;""),IF(COUNTIFS($B$6:$B$3005,$B2572,$C$6:$C$3005,$C2572,$D$6:$D$3005,$D2572)&gt;1,"同じ月の請求が重複しています／",""),"")&amp;IF(AND(N($E2572)&gt;0,$Z2572&lt;&gt;"",$Z2572&lt;&gt;"×",$AC2572=0,$AB2572=""),"計算額が下限以下のため不支給／",""))</f>
        <v/>
      </c>
      <c r="AL2572" s="12" t="n"/>
      <c r="AM2572" s="14">
        <f>IF($AD2572="保留中",COUNTIF($AD$6:$AD2572,"保留中"),"")</f>
        <v/>
      </c>
      <c r="AN2572" s="14">
        <f>IF($AO2572="","",IF(SUMPRODUCT(MAX((職員マスタ!$A$6:$A$405=$B2572)*(((職員マスタ!$G$6:$G$405="")+(職員マスタ!$G$6:$G$405&lt;=EOMONTH($AO2572,0)))&gt;0)*(((職員マスタ!$H$6:$H$405="")+(職員マスタ!$H$6:$H$405&gt;=$AO2572))&gt;0)*(ROW(職員マスタ!$A$6:$A$405)-5)))&gt;0,SUMPRODUCT(MAX((職員マスタ!$A$6:$A$405=$B2572)*(((職員マスタ!$G$6:$G$405="")+(職員マスタ!$G$6:$G$405&lt;=EOMONTH($AO2572,0)))&gt;0)*(((職員マスタ!$H$6:$H$405="")+(職員マスタ!$H$6:$H$405&gt;=$AO2572))&gt;0)*(ROW(職員マスタ!$A$6:$A$405)-5))),IFERROR(MATCH($B2572,職員マスタ!$A$6:$A$405,0),"")))</f>
        <v/>
      </c>
      <c r="AO2572" s="16">
        <f>IF(OR($B2572="",$C2572="",$D2572=""),"",DATE($C2572+2018,$D2572,1))</f>
        <v/>
      </c>
    </row>
    <row r="2573">
      <c r="A2573" s="11" t="n"/>
      <c r="B2573" s="12" t="n"/>
      <c r="C2573" s="12" t="n"/>
      <c r="D2573" s="12" t="n"/>
      <c r="E2573" s="13" t="n"/>
      <c r="F2573" s="12" t="n"/>
      <c r="G2573" s="13" t="n"/>
      <c r="H2573" s="12" t="n"/>
      <c r="I2573" s="12" t="n"/>
      <c r="J2573" s="12" t="n"/>
      <c r="K2573" s="12" t="n"/>
      <c r="L2573" s="11" t="n"/>
      <c r="M2573" s="11" t="n"/>
      <c r="N2573" s="11" t="n"/>
      <c r="O2573" s="11" t="n"/>
      <c r="P2573" s="12" t="n"/>
      <c r="Q2573" s="11" t="n"/>
      <c r="R2573" s="12" t="n"/>
      <c r="S2573" s="11" t="n"/>
      <c r="T2573" s="12" t="n"/>
      <c r="U2573" s="12" t="n"/>
      <c r="V2573" s="14">
        <f>IF($AN2573="",IF($B2573="","",$H2573),IF(INDEX(職員マスタ!$B$6:$B$405,$AN2573)="",$H2573,INDEX(職員マスタ!$B$6:$B$405,$AN2573)))</f>
        <v/>
      </c>
      <c r="W2573" s="14">
        <f>IF($AN2573="",IF($B2573="","",$R2573),IF(INDEX(職員マスタ!$C$6:$C$405,$AN2573)="",$R2573,INDEX(職員マスタ!$C$6:$C$405,$AN2573)))</f>
        <v/>
      </c>
      <c r="X2573" s="14">
        <f>IF($AO2573="","","R"&amp;$C2573&amp;"."&amp;$D2573)</f>
        <v/>
      </c>
      <c r="Y2573" s="15">
        <f>IF($AN2573="","",IF(INDEX(職員マスタ!$K$6:$K$405,$AN2573)="","",INDEX(職員マスタ!$K$6:$K$405,$AN2573)))</f>
        <v/>
      </c>
      <c r="Z2573" s="14">
        <f>IF(OR($E2573="",$Y2573=""),"",IF($E2573&gt;=$Y2573,"×",IF($E2573&gt;=$Y2573*設定!$C$5,"△","○")))</f>
        <v/>
      </c>
      <c r="AA2573" s="15">
        <f>IF($Z2573="","",IF($Z2573="×",0,IF($Z2573="○",ROUNDDOWN($E2573*設定!$C$4,0),ROUNDDOWN($E2573*ROUND((9*$Y2573-9*$E2573)/(10*$E2573),4),0))))</f>
        <v/>
      </c>
      <c r="AB2573" s="13" t="n"/>
      <c r="AC2573" s="15">
        <f>IF($B2573="","",IF($AB2573&lt;&gt;"",$AB2573,IF($AA2573="","",IF($AA2573&lt;=設定!$C$3,0,$AA2573))))</f>
        <v/>
      </c>
      <c r="AD2573" s="14">
        <f>IF($B2573="","",IF(AND($AE2573&lt;&gt;"",$AG2573="",$AJ2573=""),"保留中",IF($AJ2573&lt;&gt;"",IF(N($AC2573)&gt;0,"支給済","不支給"),IF($AC2573="","要確認",IF($AC2573=0,"不支給","未処理")))))</f>
        <v/>
      </c>
      <c r="AE2573" s="12" t="n"/>
      <c r="AF2573" s="11" t="n"/>
      <c r="AG2573" s="11" t="n"/>
      <c r="AH2573" s="11" t="n"/>
      <c r="AI2573" s="14">
        <f>IF(AND($AD2573="保留中",$AF2573&lt;&gt;""),TODAY()-$AF2573,"")</f>
        <v/>
      </c>
      <c r="AJ2573" s="12" t="n"/>
      <c r="AK2573" s="14">
        <f>IF($B2573="","",IF($AO2573="","対象年月が未入力／","")&amp;IF($B2573="","",IF($AN2573="","職員マスタに未登録の職員番号／",IF($Y2573="","標準報酬月額が未登録／","")&amp;IF(AND($AO2573&lt;&gt;"",OR(AND(INDEX(職員マスタ!$G$6:$G$405,$AN2573)&lt;&gt;"",INDEX(職員マスタ!$G$6:$G$405,$AN2573)&gt;EOMONTH($AO2573,0)),AND(INDEX(職員マスタ!$H$6:$H$405,$AN2573)&lt;&gt;"",INDEX(職員マスタ!$H$6:$H$405,$AN2573)&lt;$AO2573))),"対象月が時短期間外／","")&amp;IF(AND(INDEX(職員マスタ!$F$6:$F$405,$AN2573)&lt;&gt;"",$AO2573&lt;&gt;"",INDEX(職員マスタ!$F$6:$F$405,$AN2573)&lt;$AO2573),"対象月に子が2歳到達済／","")&amp;IF(AND($H2573&lt;&gt;"",INDEX(職員マスタ!$B$6:$B$405,$AN2573)&lt;&gt;"",SUBSTITUTE(SUBSTITUTE($H2573," ","")," ","")&lt;&gt;SUBSTITUTE(SUBSTITUTE(INDEX(職員マスタ!$B$6:$B$405,$AN2573)," ","")," ","")),"氏名がマスタと相違／","")&amp;IF(AND($Q2573&lt;&gt;"",INDEX(職員マスタ!$E$6:$E$405,$AN2573)&lt;&gt;"",$Q2573&lt;&gt;INDEX(職員マスタ!$E$6:$E$405,$AN2573)),"子の生年月日がマスタと相違／","")&amp;IF(AND($L2573&lt;&gt;"",INDEX(職員マスタ!$G$6:$G$405,$AN2573)&lt;&gt;"",$L2573&lt;&gt;INDEX(職員マスタ!$G$6:$G$405,$AN2573)),"時短開始日がマスタと相違／","")&amp;IF(AND($M2573&lt;&gt;"",INDEX(職員マスタ!$H$6:$H$405,$AN2573)&lt;&gt;"",$M2573&lt;&gt;INDEX(職員マスタ!$H$6:$H$405,$AN2573)),"時短終了日がマスタと相違／","")))&amp;IF(AND($B2573&lt;&gt;"",$E2573=""),"報酬額が未入力／","")&amp;IF(N($U2573)&gt;0,"申請書に入力エラーが残っています／","")&amp;IF(AND($B2573&lt;&gt;"",$AO2573&lt;&gt;""),IF(COUNTIFS($B$6:$B$3005,$B2573,$C$6:$C$3005,$C2573,$D$6:$D$3005,$D2573)&gt;1,"同じ月の請求が重複しています／",""),"")&amp;IF(AND(N($E2573)&gt;0,$Z2573&lt;&gt;"",$Z2573&lt;&gt;"×",$AC2573=0,$AB2573=""),"計算額が下限以下のため不支給／",""))</f>
        <v/>
      </c>
      <c r="AL2573" s="12" t="n"/>
      <c r="AM2573" s="14">
        <f>IF($AD2573="保留中",COUNTIF($AD$6:$AD2573,"保留中"),"")</f>
        <v/>
      </c>
      <c r="AN2573" s="14">
        <f>IF($AO2573="","",IF(SUMPRODUCT(MAX((職員マスタ!$A$6:$A$405=$B2573)*(((職員マスタ!$G$6:$G$405="")+(職員マスタ!$G$6:$G$405&lt;=EOMONTH($AO2573,0)))&gt;0)*(((職員マスタ!$H$6:$H$405="")+(職員マスタ!$H$6:$H$405&gt;=$AO2573))&gt;0)*(ROW(職員マスタ!$A$6:$A$405)-5)))&gt;0,SUMPRODUCT(MAX((職員マスタ!$A$6:$A$405=$B2573)*(((職員マスタ!$G$6:$G$405="")+(職員マスタ!$G$6:$G$405&lt;=EOMONTH($AO2573,0)))&gt;0)*(((職員マスタ!$H$6:$H$405="")+(職員マスタ!$H$6:$H$405&gt;=$AO2573))&gt;0)*(ROW(職員マスタ!$A$6:$A$405)-5))),IFERROR(MATCH($B2573,職員マスタ!$A$6:$A$405,0),"")))</f>
        <v/>
      </c>
      <c r="AO2573" s="16">
        <f>IF(OR($B2573="",$C2573="",$D2573=""),"",DATE($C2573+2018,$D2573,1))</f>
        <v/>
      </c>
    </row>
    <row r="2574">
      <c r="A2574" s="11" t="n"/>
      <c r="B2574" s="12" t="n"/>
      <c r="C2574" s="12" t="n"/>
      <c r="D2574" s="12" t="n"/>
      <c r="E2574" s="13" t="n"/>
      <c r="F2574" s="12" t="n"/>
      <c r="G2574" s="13" t="n"/>
      <c r="H2574" s="12" t="n"/>
      <c r="I2574" s="12" t="n"/>
      <c r="J2574" s="12" t="n"/>
      <c r="K2574" s="12" t="n"/>
      <c r="L2574" s="11" t="n"/>
      <c r="M2574" s="11" t="n"/>
      <c r="N2574" s="11" t="n"/>
      <c r="O2574" s="11" t="n"/>
      <c r="P2574" s="12" t="n"/>
      <c r="Q2574" s="11" t="n"/>
      <c r="R2574" s="12" t="n"/>
      <c r="S2574" s="11" t="n"/>
      <c r="T2574" s="12" t="n"/>
      <c r="U2574" s="12" t="n"/>
      <c r="V2574" s="14">
        <f>IF($AN2574="",IF($B2574="","",$H2574),IF(INDEX(職員マスタ!$B$6:$B$405,$AN2574)="",$H2574,INDEX(職員マスタ!$B$6:$B$405,$AN2574)))</f>
        <v/>
      </c>
      <c r="W2574" s="14">
        <f>IF($AN2574="",IF($B2574="","",$R2574),IF(INDEX(職員マスタ!$C$6:$C$405,$AN2574)="",$R2574,INDEX(職員マスタ!$C$6:$C$405,$AN2574)))</f>
        <v/>
      </c>
      <c r="X2574" s="14">
        <f>IF($AO2574="","","R"&amp;$C2574&amp;"."&amp;$D2574)</f>
        <v/>
      </c>
      <c r="Y2574" s="15">
        <f>IF($AN2574="","",IF(INDEX(職員マスタ!$K$6:$K$405,$AN2574)="","",INDEX(職員マスタ!$K$6:$K$405,$AN2574)))</f>
        <v/>
      </c>
      <c r="Z2574" s="14">
        <f>IF(OR($E2574="",$Y2574=""),"",IF($E2574&gt;=$Y2574,"×",IF($E2574&gt;=$Y2574*設定!$C$5,"△","○")))</f>
        <v/>
      </c>
      <c r="AA2574" s="15">
        <f>IF($Z2574="","",IF($Z2574="×",0,IF($Z2574="○",ROUNDDOWN($E2574*設定!$C$4,0),ROUNDDOWN($E2574*ROUND((9*$Y2574-9*$E2574)/(10*$E2574),4),0))))</f>
        <v/>
      </c>
      <c r="AB2574" s="13" t="n"/>
      <c r="AC2574" s="15">
        <f>IF($B2574="","",IF($AB2574&lt;&gt;"",$AB2574,IF($AA2574="","",IF($AA2574&lt;=設定!$C$3,0,$AA2574))))</f>
        <v/>
      </c>
      <c r="AD2574" s="14">
        <f>IF($B2574="","",IF(AND($AE2574&lt;&gt;"",$AG2574="",$AJ2574=""),"保留中",IF($AJ2574&lt;&gt;"",IF(N($AC2574)&gt;0,"支給済","不支給"),IF($AC2574="","要確認",IF($AC2574=0,"不支給","未処理")))))</f>
        <v/>
      </c>
      <c r="AE2574" s="12" t="n"/>
      <c r="AF2574" s="11" t="n"/>
      <c r="AG2574" s="11" t="n"/>
      <c r="AH2574" s="11" t="n"/>
      <c r="AI2574" s="14">
        <f>IF(AND($AD2574="保留中",$AF2574&lt;&gt;""),TODAY()-$AF2574,"")</f>
        <v/>
      </c>
      <c r="AJ2574" s="12" t="n"/>
      <c r="AK2574" s="14">
        <f>IF($B2574="","",IF($AO2574="","対象年月が未入力／","")&amp;IF($B2574="","",IF($AN2574="","職員マスタに未登録の職員番号／",IF($Y2574="","標準報酬月額が未登録／","")&amp;IF(AND($AO2574&lt;&gt;"",OR(AND(INDEX(職員マスタ!$G$6:$G$405,$AN2574)&lt;&gt;"",INDEX(職員マスタ!$G$6:$G$405,$AN2574)&gt;EOMONTH($AO2574,0)),AND(INDEX(職員マスタ!$H$6:$H$405,$AN2574)&lt;&gt;"",INDEX(職員マスタ!$H$6:$H$405,$AN2574)&lt;$AO2574))),"対象月が時短期間外／","")&amp;IF(AND(INDEX(職員マスタ!$F$6:$F$405,$AN2574)&lt;&gt;"",$AO2574&lt;&gt;"",INDEX(職員マスタ!$F$6:$F$405,$AN2574)&lt;$AO2574),"対象月に子が2歳到達済／","")&amp;IF(AND($H2574&lt;&gt;"",INDEX(職員マスタ!$B$6:$B$405,$AN2574)&lt;&gt;"",SUBSTITUTE(SUBSTITUTE($H2574," ","")," ","")&lt;&gt;SUBSTITUTE(SUBSTITUTE(INDEX(職員マスタ!$B$6:$B$405,$AN2574)," ","")," ","")),"氏名がマスタと相違／","")&amp;IF(AND($Q2574&lt;&gt;"",INDEX(職員マスタ!$E$6:$E$405,$AN2574)&lt;&gt;"",$Q2574&lt;&gt;INDEX(職員マスタ!$E$6:$E$405,$AN2574)),"子の生年月日がマスタと相違／","")&amp;IF(AND($L2574&lt;&gt;"",INDEX(職員マスタ!$G$6:$G$405,$AN2574)&lt;&gt;"",$L2574&lt;&gt;INDEX(職員マスタ!$G$6:$G$405,$AN2574)),"時短開始日がマスタと相違／","")&amp;IF(AND($M2574&lt;&gt;"",INDEX(職員マスタ!$H$6:$H$405,$AN2574)&lt;&gt;"",$M2574&lt;&gt;INDEX(職員マスタ!$H$6:$H$405,$AN2574)),"時短終了日がマスタと相違／","")))&amp;IF(AND($B2574&lt;&gt;"",$E2574=""),"報酬額が未入力／","")&amp;IF(N($U2574)&gt;0,"申請書に入力エラーが残っています／","")&amp;IF(AND($B2574&lt;&gt;"",$AO2574&lt;&gt;""),IF(COUNTIFS($B$6:$B$3005,$B2574,$C$6:$C$3005,$C2574,$D$6:$D$3005,$D2574)&gt;1,"同じ月の請求が重複しています／",""),"")&amp;IF(AND(N($E2574)&gt;0,$Z2574&lt;&gt;"",$Z2574&lt;&gt;"×",$AC2574=0,$AB2574=""),"計算額が下限以下のため不支給／",""))</f>
        <v/>
      </c>
      <c r="AL2574" s="12" t="n"/>
      <c r="AM2574" s="14">
        <f>IF($AD2574="保留中",COUNTIF($AD$6:$AD2574,"保留中"),"")</f>
        <v/>
      </c>
      <c r="AN2574" s="14">
        <f>IF($AO2574="","",IF(SUMPRODUCT(MAX((職員マスタ!$A$6:$A$405=$B2574)*(((職員マスタ!$G$6:$G$405="")+(職員マスタ!$G$6:$G$405&lt;=EOMONTH($AO2574,0)))&gt;0)*(((職員マスタ!$H$6:$H$405="")+(職員マスタ!$H$6:$H$405&gt;=$AO2574))&gt;0)*(ROW(職員マスタ!$A$6:$A$405)-5)))&gt;0,SUMPRODUCT(MAX((職員マスタ!$A$6:$A$405=$B2574)*(((職員マスタ!$G$6:$G$405="")+(職員マスタ!$G$6:$G$405&lt;=EOMONTH($AO2574,0)))&gt;0)*(((職員マスタ!$H$6:$H$405="")+(職員マスタ!$H$6:$H$405&gt;=$AO2574))&gt;0)*(ROW(職員マスタ!$A$6:$A$405)-5))),IFERROR(MATCH($B2574,職員マスタ!$A$6:$A$405,0),"")))</f>
        <v/>
      </c>
      <c r="AO2574" s="16">
        <f>IF(OR($B2574="",$C2574="",$D2574=""),"",DATE($C2574+2018,$D2574,1))</f>
        <v/>
      </c>
    </row>
    <row r="2575">
      <c r="A2575" s="11" t="n"/>
      <c r="B2575" s="12" t="n"/>
      <c r="C2575" s="12" t="n"/>
      <c r="D2575" s="12" t="n"/>
      <c r="E2575" s="13" t="n"/>
      <c r="F2575" s="12" t="n"/>
      <c r="G2575" s="13" t="n"/>
      <c r="H2575" s="12" t="n"/>
      <c r="I2575" s="12" t="n"/>
      <c r="J2575" s="12" t="n"/>
      <c r="K2575" s="12" t="n"/>
      <c r="L2575" s="11" t="n"/>
      <c r="M2575" s="11" t="n"/>
      <c r="N2575" s="11" t="n"/>
      <c r="O2575" s="11" t="n"/>
      <c r="P2575" s="12" t="n"/>
      <c r="Q2575" s="11" t="n"/>
      <c r="R2575" s="12" t="n"/>
      <c r="S2575" s="11" t="n"/>
      <c r="T2575" s="12" t="n"/>
      <c r="U2575" s="12" t="n"/>
      <c r="V2575" s="14">
        <f>IF($AN2575="",IF($B2575="","",$H2575),IF(INDEX(職員マスタ!$B$6:$B$405,$AN2575)="",$H2575,INDEX(職員マスタ!$B$6:$B$405,$AN2575)))</f>
        <v/>
      </c>
      <c r="W2575" s="14">
        <f>IF($AN2575="",IF($B2575="","",$R2575),IF(INDEX(職員マスタ!$C$6:$C$405,$AN2575)="",$R2575,INDEX(職員マスタ!$C$6:$C$405,$AN2575)))</f>
        <v/>
      </c>
      <c r="X2575" s="14">
        <f>IF($AO2575="","","R"&amp;$C2575&amp;"."&amp;$D2575)</f>
        <v/>
      </c>
      <c r="Y2575" s="15">
        <f>IF($AN2575="","",IF(INDEX(職員マスタ!$K$6:$K$405,$AN2575)="","",INDEX(職員マスタ!$K$6:$K$405,$AN2575)))</f>
        <v/>
      </c>
      <c r="Z2575" s="14">
        <f>IF(OR($E2575="",$Y2575=""),"",IF($E2575&gt;=$Y2575,"×",IF($E2575&gt;=$Y2575*設定!$C$5,"△","○")))</f>
        <v/>
      </c>
      <c r="AA2575" s="15">
        <f>IF($Z2575="","",IF($Z2575="×",0,IF($Z2575="○",ROUNDDOWN($E2575*設定!$C$4,0),ROUNDDOWN($E2575*ROUND((9*$Y2575-9*$E2575)/(10*$E2575),4),0))))</f>
        <v/>
      </c>
      <c r="AB2575" s="13" t="n"/>
      <c r="AC2575" s="15">
        <f>IF($B2575="","",IF($AB2575&lt;&gt;"",$AB2575,IF($AA2575="","",IF($AA2575&lt;=設定!$C$3,0,$AA2575))))</f>
        <v/>
      </c>
      <c r="AD2575" s="14">
        <f>IF($B2575="","",IF(AND($AE2575&lt;&gt;"",$AG2575="",$AJ2575=""),"保留中",IF($AJ2575&lt;&gt;"",IF(N($AC2575)&gt;0,"支給済","不支給"),IF($AC2575="","要確認",IF($AC2575=0,"不支給","未処理")))))</f>
        <v/>
      </c>
      <c r="AE2575" s="12" t="n"/>
      <c r="AF2575" s="11" t="n"/>
      <c r="AG2575" s="11" t="n"/>
      <c r="AH2575" s="11" t="n"/>
      <c r="AI2575" s="14">
        <f>IF(AND($AD2575="保留中",$AF2575&lt;&gt;""),TODAY()-$AF2575,"")</f>
        <v/>
      </c>
      <c r="AJ2575" s="12" t="n"/>
      <c r="AK2575" s="14">
        <f>IF($B2575="","",IF($AO2575="","対象年月が未入力／","")&amp;IF($B2575="","",IF($AN2575="","職員マスタに未登録の職員番号／",IF($Y2575="","標準報酬月額が未登録／","")&amp;IF(AND($AO2575&lt;&gt;"",OR(AND(INDEX(職員マスタ!$G$6:$G$405,$AN2575)&lt;&gt;"",INDEX(職員マスタ!$G$6:$G$405,$AN2575)&gt;EOMONTH($AO2575,0)),AND(INDEX(職員マスタ!$H$6:$H$405,$AN2575)&lt;&gt;"",INDEX(職員マスタ!$H$6:$H$405,$AN2575)&lt;$AO2575))),"対象月が時短期間外／","")&amp;IF(AND(INDEX(職員マスタ!$F$6:$F$405,$AN2575)&lt;&gt;"",$AO2575&lt;&gt;"",INDEX(職員マスタ!$F$6:$F$405,$AN2575)&lt;$AO2575),"対象月に子が2歳到達済／","")&amp;IF(AND($H2575&lt;&gt;"",INDEX(職員マスタ!$B$6:$B$405,$AN2575)&lt;&gt;"",SUBSTITUTE(SUBSTITUTE($H2575," ","")," ","")&lt;&gt;SUBSTITUTE(SUBSTITUTE(INDEX(職員マスタ!$B$6:$B$405,$AN2575)," ","")," ","")),"氏名がマスタと相違／","")&amp;IF(AND($Q2575&lt;&gt;"",INDEX(職員マスタ!$E$6:$E$405,$AN2575)&lt;&gt;"",$Q2575&lt;&gt;INDEX(職員マスタ!$E$6:$E$405,$AN2575)),"子の生年月日がマスタと相違／","")&amp;IF(AND($L2575&lt;&gt;"",INDEX(職員マスタ!$G$6:$G$405,$AN2575)&lt;&gt;"",$L2575&lt;&gt;INDEX(職員マスタ!$G$6:$G$405,$AN2575)),"時短開始日がマスタと相違／","")&amp;IF(AND($M2575&lt;&gt;"",INDEX(職員マスタ!$H$6:$H$405,$AN2575)&lt;&gt;"",$M2575&lt;&gt;INDEX(職員マスタ!$H$6:$H$405,$AN2575)),"時短終了日がマスタと相違／","")))&amp;IF(AND($B2575&lt;&gt;"",$E2575=""),"報酬額が未入力／","")&amp;IF(N($U2575)&gt;0,"申請書に入力エラーが残っています／","")&amp;IF(AND($B2575&lt;&gt;"",$AO2575&lt;&gt;""),IF(COUNTIFS($B$6:$B$3005,$B2575,$C$6:$C$3005,$C2575,$D$6:$D$3005,$D2575)&gt;1,"同じ月の請求が重複しています／",""),"")&amp;IF(AND(N($E2575)&gt;0,$Z2575&lt;&gt;"",$Z2575&lt;&gt;"×",$AC2575=0,$AB2575=""),"計算額が下限以下のため不支給／",""))</f>
        <v/>
      </c>
      <c r="AL2575" s="12" t="n"/>
      <c r="AM2575" s="14">
        <f>IF($AD2575="保留中",COUNTIF($AD$6:$AD2575,"保留中"),"")</f>
        <v/>
      </c>
      <c r="AN2575" s="14">
        <f>IF($AO2575="","",IF(SUMPRODUCT(MAX((職員マスタ!$A$6:$A$405=$B2575)*(((職員マスタ!$G$6:$G$405="")+(職員マスタ!$G$6:$G$405&lt;=EOMONTH($AO2575,0)))&gt;0)*(((職員マスタ!$H$6:$H$405="")+(職員マスタ!$H$6:$H$405&gt;=$AO2575))&gt;0)*(ROW(職員マスタ!$A$6:$A$405)-5)))&gt;0,SUMPRODUCT(MAX((職員マスタ!$A$6:$A$405=$B2575)*(((職員マスタ!$G$6:$G$405="")+(職員マスタ!$G$6:$G$405&lt;=EOMONTH($AO2575,0)))&gt;0)*(((職員マスタ!$H$6:$H$405="")+(職員マスタ!$H$6:$H$405&gt;=$AO2575))&gt;0)*(ROW(職員マスタ!$A$6:$A$405)-5))),IFERROR(MATCH($B2575,職員マスタ!$A$6:$A$405,0),"")))</f>
        <v/>
      </c>
      <c r="AO2575" s="16">
        <f>IF(OR($B2575="",$C2575="",$D2575=""),"",DATE($C2575+2018,$D2575,1))</f>
        <v/>
      </c>
    </row>
    <row r="2576">
      <c r="A2576" s="11" t="n"/>
      <c r="B2576" s="12" t="n"/>
      <c r="C2576" s="12" t="n"/>
      <c r="D2576" s="12" t="n"/>
      <c r="E2576" s="13" t="n"/>
      <c r="F2576" s="12" t="n"/>
      <c r="G2576" s="13" t="n"/>
      <c r="H2576" s="12" t="n"/>
      <c r="I2576" s="12" t="n"/>
      <c r="J2576" s="12" t="n"/>
      <c r="K2576" s="12" t="n"/>
      <c r="L2576" s="11" t="n"/>
      <c r="M2576" s="11" t="n"/>
      <c r="N2576" s="11" t="n"/>
      <c r="O2576" s="11" t="n"/>
      <c r="P2576" s="12" t="n"/>
      <c r="Q2576" s="11" t="n"/>
      <c r="R2576" s="12" t="n"/>
      <c r="S2576" s="11" t="n"/>
      <c r="T2576" s="12" t="n"/>
      <c r="U2576" s="12" t="n"/>
      <c r="V2576" s="14">
        <f>IF($AN2576="",IF($B2576="","",$H2576),IF(INDEX(職員マスタ!$B$6:$B$405,$AN2576)="",$H2576,INDEX(職員マスタ!$B$6:$B$405,$AN2576)))</f>
        <v/>
      </c>
      <c r="W2576" s="14">
        <f>IF($AN2576="",IF($B2576="","",$R2576),IF(INDEX(職員マスタ!$C$6:$C$405,$AN2576)="",$R2576,INDEX(職員マスタ!$C$6:$C$405,$AN2576)))</f>
        <v/>
      </c>
      <c r="X2576" s="14">
        <f>IF($AO2576="","","R"&amp;$C2576&amp;"."&amp;$D2576)</f>
        <v/>
      </c>
      <c r="Y2576" s="15">
        <f>IF($AN2576="","",IF(INDEX(職員マスタ!$K$6:$K$405,$AN2576)="","",INDEX(職員マスタ!$K$6:$K$405,$AN2576)))</f>
        <v/>
      </c>
      <c r="Z2576" s="14">
        <f>IF(OR($E2576="",$Y2576=""),"",IF($E2576&gt;=$Y2576,"×",IF($E2576&gt;=$Y2576*設定!$C$5,"△","○")))</f>
        <v/>
      </c>
      <c r="AA2576" s="15">
        <f>IF($Z2576="","",IF($Z2576="×",0,IF($Z2576="○",ROUNDDOWN($E2576*設定!$C$4,0),ROUNDDOWN($E2576*ROUND((9*$Y2576-9*$E2576)/(10*$E2576),4),0))))</f>
        <v/>
      </c>
      <c r="AB2576" s="13" t="n"/>
      <c r="AC2576" s="15">
        <f>IF($B2576="","",IF($AB2576&lt;&gt;"",$AB2576,IF($AA2576="","",IF($AA2576&lt;=設定!$C$3,0,$AA2576))))</f>
        <v/>
      </c>
      <c r="AD2576" s="14">
        <f>IF($B2576="","",IF(AND($AE2576&lt;&gt;"",$AG2576="",$AJ2576=""),"保留中",IF($AJ2576&lt;&gt;"",IF(N($AC2576)&gt;0,"支給済","不支給"),IF($AC2576="","要確認",IF($AC2576=0,"不支給","未処理")))))</f>
        <v/>
      </c>
      <c r="AE2576" s="12" t="n"/>
      <c r="AF2576" s="11" t="n"/>
      <c r="AG2576" s="11" t="n"/>
      <c r="AH2576" s="11" t="n"/>
      <c r="AI2576" s="14">
        <f>IF(AND($AD2576="保留中",$AF2576&lt;&gt;""),TODAY()-$AF2576,"")</f>
        <v/>
      </c>
      <c r="AJ2576" s="12" t="n"/>
      <c r="AK2576" s="14">
        <f>IF($B2576="","",IF($AO2576="","対象年月が未入力／","")&amp;IF($B2576="","",IF($AN2576="","職員マスタに未登録の職員番号／",IF($Y2576="","標準報酬月額が未登録／","")&amp;IF(AND($AO2576&lt;&gt;"",OR(AND(INDEX(職員マスタ!$G$6:$G$405,$AN2576)&lt;&gt;"",INDEX(職員マスタ!$G$6:$G$405,$AN2576)&gt;EOMONTH($AO2576,0)),AND(INDEX(職員マスタ!$H$6:$H$405,$AN2576)&lt;&gt;"",INDEX(職員マスタ!$H$6:$H$405,$AN2576)&lt;$AO2576))),"対象月が時短期間外／","")&amp;IF(AND(INDEX(職員マスタ!$F$6:$F$405,$AN2576)&lt;&gt;"",$AO2576&lt;&gt;"",INDEX(職員マスタ!$F$6:$F$405,$AN2576)&lt;$AO2576),"対象月に子が2歳到達済／","")&amp;IF(AND($H2576&lt;&gt;"",INDEX(職員マスタ!$B$6:$B$405,$AN2576)&lt;&gt;"",SUBSTITUTE(SUBSTITUTE($H2576," ","")," ","")&lt;&gt;SUBSTITUTE(SUBSTITUTE(INDEX(職員マスタ!$B$6:$B$405,$AN2576)," ","")," ","")),"氏名がマスタと相違／","")&amp;IF(AND($Q2576&lt;&gt;"",INDEX(職員マスタ!$E$6:$E$405,$AN2576)&lt;&gt;"",$Q2576&lt;&gt;INDEX(職員マスタ!$E$6:$E$405,$AN2576)),"子の生年月日がマスタと相違／","")&amp;IF(AND($L2576&lt;&gt;"",INDEX(職員マスタ!$G$6:$G$405,$AN2576)&lt;&gt;"",$L2576&lt;&gt;INDEX(職員マスタ!$G$6:$G$405,$AN2576)),"時短開始日がマスタと相違／","")&amp;IF(AND($M2576&lt;&gt;"",INDEX(職員マスタ!$H$6:$H$405,$AN2576)&lt;&gt;"",$M2576&lt;&gt;INDEX(職員マスタ!$H$6:$H$405,$AN2576)),"時短終了日がマスタと相違／","")))&amp;IF(AND($B2576&lt;&gt;"",$E2576=""),"報酬額が未入力／","")&amp;IF(N($U2576)&gt;0,"申請書に入力エラーが残っています／","")&amp;IF(AND($B2576&lt;&gt;"",$AO2576&lt;&gt;""),IF(COUNTIFS($B$6:$B$3005,$B2576,$C$6:$C$3005,$C2576,$D$6:$D$3005,$D2576)&gt;1,"同じ月の請求が重複しています／",""),"")&amp;IF(AND(N($E2576)&gt;0,$Z2576&lt;&gt;"",$Z2576&lt;&gt;"×",$AC2576=0,$AB2576=""),"計算額が下限以下のため不支給／",""))</f>
        <v/>
      </c>
      <c r="AL2576" s="12" t="n"/>
      <c r="AM2576" s="14">
        <f>IF($AD2576="保留中",COUNTIF($AD$6:$AD2576,"保留中"),"")</f>
        <v/>
      </c>
      <c r="AN2576" s="14">
        <f>IF($AO2576="","",IF(SUMPRODUCT(MAX((職員マスタ!$A$6:$A$405=$B2576)*(((職員マスタ!$G$6:$G$405="")+(職員マスタ!$G$6:$G$405&lt;=EOMONTH($AO2576,0)))&gt;0)*(((職員マスタ!$H$6:$H$405="")+(職員マスタ!$H$6:$H$405&gt;=$AO2576))&gt;0)*(ROW(職員マスタ!$A$6:$A$405)-5)))&gt;0,SUMPRODUCT(MAX((職員マスタ!$A$6:$A$405=$B2576)*(((職員マスタ!$G$6:$G$405="")+(職員マスタ!$G$6:$G$405&lt;=EOMONTH($AO2576,0)))&gt;0)*(((職員マスタ!$H$6:$H$405="")+(職員マスタ!$H$6:$H$405&gt;=$AO2576))&gt;0)*(ROW(職員マスタ!$A$6:$A$405)-5))),IFERROR(MATCH($B2576,職員マスタ!$A$6:$A$405,0),"")))</f>
        <v/>
      </c>
      <c r="AO2576" s="16">
        <f>IF(OR($B2576="",$C2576="",$D2576=""),"",DATE($C2576+2018,$D2576,1))</f>
        <v/>
      </c>
    </row>
    <row r="2577">
      <c r="A2577" s="11" t="n"/>
      <c r="B2577" s="12" t="n"/>
      <c r="C2577" s="12" t="n"/>
      <c r="D2577" s="12" t="n"/>
      <c r="E2577" s="13" t="n"/>
      <c r="F2577" s="12" t="n"/>
      <c r="G2577" s="13" t="n"/>
      <c r="H2577" s="12" t="n"/>
      <c r="I2577" s="12" t="n"/>
      <c r="J2577" s="12" t="n"/>
      <c r="K2577" s="12" t="n"/>
      <c r="L2577" s="11" t="n"/>
      <c r="M2577" s="11" t="n"/>
      <c r="N2577" s="11" t="n"/>
      <c r="O2577" s="11" t="n"/>
      <c r="P2577" s="12" t="n"/>
      <c r="Q2577" s="11" t="n"/>
      <c r="R2577" s="12" t="n"/>
      <c r="S2577" s="11" t="n"/>
      <c r="T2577" s="12" t="n"/>
      <c r="U2577" s="12" t="n"/>
      <c r="V2577" s="14">
        <f>IF($AN2577="",IF($B2577="","",$H2577),IF(INDEX(職員マスタ!$B$6:$B$405,$AN2577)="",$H2577,INDEX(職員マスタ!$B$6:$B$405,$AN2577)))</f>
        <v/>
      </c>
      <c r="W2577" s="14">
        <f>IF($AN2577="",IF($B2577="","",$R2577),IF(INDEX(職員マスタ!$C$6:$C$405,$AN2577)="",$R2577,INDEX(職員マスタ!$C$6:$C$405,$AN2577)))</f>
        <v/>
      </c>
      <c r="X2577" s="14">
        <f>IF($AO2577="","","R"&amp;$C2577&amp;"."&amp;$D2577)</f>
        <v/>
      </c>
      <c r="Y2577" s="15">
        <f>IF($AN2577="","",IF(INDEX(職員マスタ!$K$6:$K$405,$AN2577)="","",INDEX(職員マスタ!$K$6:$K$405,$AN2577)))</f>
        <v/>
      </c>
      <c r="Z2577" s="14">
        <f>IF(OR($E2577="",$Y2577=""),"",IF($E2577&gt;=$Y2577,"×",IF($E2577&gt;=$Y2577*設定!$C$5,"△","○")))</f>
        <v/>
      </c>
      <c r="AA2577" s="15">
        <f>IF($Z2577="","",IF($Z2577="×",0,IF($Z2577="○",ROUNDDOWN($E2577*設定!$C$4,0),ROUNDDOWN($E2577*ROUND((9*$Y2577-9*$E2577)/(10*$E2577),4),0))))</f>
        <v/>
      </c>
      <c r="AB2577" s="13" t="n"/>
      <c r="AC2577" s="15">
        <f>IF($B2577="","",IF($AB2577&lt;&gt;"",$AB2577,IF($AA2577="","",IF($AA2577&lt;=設定!$C$3,0,$AA2577))))</f>
        <v/>
      </c>
      <c r="AD2577" s="14">
        <f>IF($B2577="","",IF(AND($AE2577&lt;&gt;"",$AG2577="",$AJ2577=""),"保留中",IF($AJ2577&lt;&gt;"",IF(N($AC2577)&gt;0,"支給済","不支給"),IF($AC2577="","要確認",IF($AC2577=0,"不支給","未処理")))))</f>
        <v/>
      </c>
      <c r="AE2577" s="12" t="n"/>
      <c r="AF2577" s="11" t="n"/>
      <c r="AG2577" s="11" t="n"/>
      <c r="AH2577" s="11" t="n"/>
      <c r="AI2577" s="14">
        <f>IF(AND($AD2577="保留中",$AF2577&lt;&gt;""),TODAY()-$AF2577,"")</f>
        <v/>
      </c>
      <c r="AJ2577" s="12" t="n"/>
      <c r="AK2577" s="14">
        <f>IF($B2577="","",IF($AO2577="","対象年月が未入力／","")&amp;IF($B2577="","",IF($AN2577="","職員マスタに未登録の職員番号／",IF($Y2577="","標準報酬月額が未登録／","")&amp;IF(AND($AO2577&lt;&gt;"",OR(AND(INDEX(職員マスタ!$G$6:$G$405,$AN2577)&lt;&gt;"",INDEX(職員マスタ!$G$6:$G$405,$AN2577)&gt;EOMONTH($AO2577,0)),AND(INDEX(職員マスタ!$H$6:$H$405,$AN2577)&lt;&gt;"",INDEX(職員マスタ!$H$6:$H$405,$AN2577)&lt;$AO2577))),"対象月が時短期間外／","")&amp;IF(AND(INDEX(職員マスタ!$F$6:$F$405,$AN2577)&lt;&gt;"",$AO2577&lt;&gt;"",INDEX(職員マスタ!$F$6:$F$405,$AN2577)&lt;$AO2577),"対象月に子が2歳到達済／","")&amp;IF(AND($H2577&lt;&gt;"",INDEX(職員マスタ!$B$6:$B$405,$AN2577)&lt;&gt;"",SUBSTITUTE(SUBSTITUTE($H2577," ","")," ","")&lt;&gt;SUBSTITUTE(SUBSTITUTE(INDEX(職員マスタ!$B$6:$B$405,$AN2577)," ","")," ","")),"氏名がマスタと相違／","")&amp;IF(AND($Q2577&lt;&gt;"",INDEX(職員マスタ!$E$6:$E$405,$AN2577)&lt;&gt;"",$Q2577&lt;&gt;INDEX(職員マスタ!$E$6:$E$405,$AN2577)),"子の生年月日がマスタと相違／","")&amp;IF(AND($L2577&lt;&gt;"",INDEX(職員マスタ!$G$6:$G$405,$AN2577)&lt;&gt;"",$L2577&lt;&gt;INDEX(職員マスタ!$G$6:$G$405,$AN2577)),"時短開始日がマスタと相違／","")&amp;IF(AND($M2577&lt;&gt;"",INDEX(職員マスタ!$H$6:$H$405,$AN2577)&lt;&gt;"",$M2577&lt;&gt;INDEX(職員マスタ!$H$6:$H$405,$AN2577)),"時短終了日がマスタと相違／","")))&amp;IF(AND($B2577&lt;&gt;"",$E2577=""),"報酬額が未入力／","")&amp;IF(N($U2577)&gt;0,"申請書に入力エラーが残っています／","")&amp;IF(AND($B2577&lt;&gt;"",$AO2577&lt;&gt;""),IF(COUNTIFS($B$6:$B$3005,$B2577,$C$6:$C$3005,$C2577,$D$6:$D$3005,$D2577)&gt;1,"同じ月の請求が重複しています／",""),"")&amp;IF(AND(N($E2577)&gt;0,$Z2577&lt;&gt;"",$Z2577&lt;&gt;"×",$AC2577=0,$AB2577=""),"計算額が下限以下のため不支給／",""))</f>
        <v/>
      </c>
      <c r="AL2577" s="12" t="n"/>
      <c r="AM2577" s="14">
        <f>IF($AD2577="保留中",COUNTIF($AD$6:$AD2577,"保留中"),"")</f>
        <v/>
      </c>
      <c r="AN2577" s="14">
        <f>IF($AO2577="","",IF(SUMPRODUCT(MAX((職員マスタ!$A$6:$A$405=$B2577)*(((職員マスタ!$G$6:$G$405="")+(職員マスタ!$G$6:$G$405&lt;=EOMONTH($AO2577,0)))&gt;0)*(((職員マスタ!$H$6:$H$405="")+(職員マスタ!$H$6:$H$405&gt;=$AO2577))&gt;0)*(ROW(職員マスタ!$A$6:$A$405)-5)))&gt;0,SUMPRODUCT(MAX((職員マスタ!$A$6:$A$405=$B2577)*(((職員マスタ!$G$6:$G$405="")+(職員マスタ!$G$6:$G$405&lt;=EOMONTH($AO2577,0)))&gt;0)*(((職員マスタ!$H$6:$H$405="")+(職員マスタ!$H$6:$H$405&gt;=$AO2577))&gt;0)*(ROW(職員マスタ!$A$6:$A$405)-5))),IFERROR(MATCH($B2577,職員マスタ!$A$6:$A$405,0),"")))</f>
        <v/>
      </c>
      <c r="AO2577" s="16">
        <f>IF(OR($B2577="",$C2577="",$D2577=""),"",DATE($C2577+2018,$D2577,1))</f>
        <v/>
      </c>
    </row>
    <row r="2578">
      <c r="A2578" s="11" t="n"/>
      <c r="B2578" s="12" t="n"/>
      <c r="C2578" s="12" t="n"/>
      <c r="D2578" s="12" t="n"/>
      <c r="E2578" s="13" t="n"/>
      <c r="F2578" s="12" t="n"/>
      <c r="G2578" s="13" t="n"/>
      <c r="H2578" s="12" t="n"/>
      <c r="I2578" s="12" t="n"/>
      <c r="J2578" s="12" t="n"/>
      <c r="K2578" s="12" t="n"/>
      <c r="L2578" s="11" t="n"/>
      <c r="M2578" s="11" t="n"/>
      <c r="N2578" s="11" t="n"/>
      <c r="O2578" s="11" t="n"/>
      <c r="P2578" s="12" t="n"/>
      <c r="Q2578" s="11" t="n"/>
      <c r="R2578" s="12" t="n"/>
      <c r="S2578" s="11" t="n"/>
      <c r="T2578" s="12" t="n"/>
      <c r="U2578" s="12" t="n"/>
      <c r="V2578" s="14">
        <f>IF($AN2578="",IF($B2578="","",$H2578),IF(INDEX(職員マスタ!$B$6:$B$405,$AN2578)="",$H2578,INDEX(職員マスタ!$B$6:$B$405,$AN2578)))</f>
        <v/>
      </c>
      <c r="W2578" s="14">
        <f>IF($AN2578="",IF($B2578="","",$R2578),IF(INDEX(職員マスタ!$C$6:$C$405,$AN2578)="",$R2578,INDEX(職員マスタ!$C$6:$C$405,$AN2578)))</f>
        <v/>
      </c>
      <c r="X2578" s="14">
        <f>IF($AO2578="","","R"&amp;$C2578&amp;"."&amp;$D2578)</f>
        <v/>
      </c>
      <c r="Y2578" s="15">
        <f>IF($AN2578="","",IF(INDEX(職員マスタ!$K$6:$K$405,$AN2578)="","",INDEX(職員マスタ!$K$6:$K$405,$AN2578)))</f>
        <v/>
      </c>
      <c r="Z2578" s="14">
        <f>IF(OR($E2578="",$Y2578=""),"",IF($E2578&gt;=$Y2578,"×",IF($E2578&gt;=$Y2578*設定!$C$5,"△","○")))</f>
        <v/>
      </c>
      <c r="AA2578" s="15">
        <f>IF($Z2578="","",IF($Z2578="×",0,IF($Z2578="○",ROUNDDOWN($E2578*設定!$C$4,0),ROUNDDOWN($E2578*ROUND((9*$Y2578-9*$E2578)/(10*$E2578),4),0))))</f>
        <v/>
      </c>
      <c r="AB2578" s="13" t="n"/>
      <c r="AC2578" s="15">
        <f>IF($B2578="","",IF($AB2578&lt;&gt;"",$AB2578,IF($AA2578="","",IF($AA2578&lt;=設定!$C$3,0,$AA2578))))</f>
        <v/>
      </c>
      <c r="AD2578" s="14">
        <f>IF($B2578="","",IF(AND($AE2578&lt;&gt;"",$AG2578="",$AJ2578=""),"保留中",IF($AJ2578&lt;&gt;"",IF(N($AC2578)&gt;0,"支給済","不支給"),IF($AC2578="","要確認",IF($AC2578=0,"不支給","未処理")))))</f>
        <v/>
      </c>
      <c r="AE2578" s="12" t="n"/>
      <c r="AF2578" s="11" t="n"/>
      <c r="AG2578" s="11" t="n"/>
      <c r="AH2578" s="11" t="n"/>
      <c r="AI2578" s="14">
        <f>IF(AND($AD2578="保留中",$AF2578&lt;&gt;""),TODAY()-$AF2578,"")</f>
        <v/>
      </c>
      <c r="AJ2578" s="12" t="n"/>
      <c r="AK2578" s="14">
        <f>IF($B2578="","",IF($AO2578="","対象年月が未入力／","")&amp;IF($B2578="","",IF($AN2578="","職員マスタに未登録の職員番号／",IF($Y2578="","標準報酬月額が未登録／","")&amp;IF(AND($AO2578&lt;&gt;"",OR(AND(INDEX(職員マスタ!$G$6:$G$405,$AN2578)&lt;&gt;"",INDEX(職員マスタ!$G$6:$G$405,$AN2578)&gt;EOMONTH($AO2578,0)),AND(INDEX(職員マスタ!$H$6:$H$405,$AN2578)&lt;&gt;"",INDEX(職員マスタ!$H$6:$H$405,$AN2578)&lt;$AO2578))),"対象月が時短期間外／","")&amp;IF(AND(INDEX(職員マスタ!$F$6:$F$405,$AN2578)&lt;&gt;"",$AO2578&lt;&gt;"",INDEX(職員マスタ!$F$6:$F$405,$AN2578)&lt;$AO2578),"対象月に子が2歳到達済／","")&amp;IF(AND($H2578&lt;&gt;"",INDEX(職員マスタ!$B$6:$B$405,$AN2578)&lt;&gt;"",SUBSTITUTE(SUBSTITUTE($H2578," ","")," ","")&lt;&gt;SUBSTITUTE(SUBSTITUTE(INDEX(職員マスタ!$B$6:$B$405,$AN2578)," ","")," ","")),"氏名がマスタと相違／","")&amp;IF(AND($Q2578&lt;&gt;"",INDEX(職員マスタ!$E$6:$E$405,$AN2578)&lt;&gt;"",$Q2578&lt;&gt;INDEX(職員マスタ!$E$6:$E$405,$AN2578)),"子の生年月日がマスタと相違／","")&amp;IF(AND($L2578&lt;&gt;"",INDEX(職員マスタ!$G$6:$G$405,$AN2578)&lt;&gt;"",$L2578&lt;&gt;INDEX(職員マスタ!$G$6:$G$405,$AN2578)),"時短開始日がマスタと相違／","")&amp;IF(AND($M2578&lt;&gt;"",INDEX(職員マスタ!$H$6:$H$405,$AN2578)&lt;&gt;"",$M2578&lt;&gt;INDEX(職員マスタ!$H$6:$H$405,$AN2578)),"時短終了日がマスタと相違／","")))&amp;IF(AND($B2578&lt;&gt;"",$E2578=""),"報酬額が未入力／","")&amp;IF(N($U2578)&gt;0,"申請書に入力エラーが残っています／","")&amp;IF(AND($B2578&lt;&gt;"",$AO2578&lt;&gt;""),IF(COUNTIFS($B$6:$B$3005,$B2578,$C$6:$C$3005,$C2578,$D$6:$D$3005,$D2578)&gt;1,"同じ月の請求が重複しています／",""),"")&amp;IF(AND(N($E2578)&gt;0,$Z2578&lt;&gt;"",$Z2578&lt;&gt;"×",$AC2578=0,$AB2578=""),"計算額が下限以下のため不支給／",""))</f>
        <v/>
      </c>
      <c r="AL2578" s="12" t="n"/>
      <c r="AM2578" s="14">
        <f>IF($AD2578="保留中",COUNTIF($AD$6:$AD2578,"保留中"),"")</f>
        <v/>
      </c>
      <c r="AN2578" s="14">
        <f>IF($AO2578="","",IF(SUMPRODUCT(MAX((職員マスタ!$A$6:$A$405=$B2578)*(((職員マスタ!$G$6:$G$405="")+(職員マスタ!$G$6:$G$405&lt;=EOMONTH($AO2578,0)))&gt;0)*(((職員マスタ!$H$6:$H$405="")+(職員マスタ!$H$6:$H$405&gt;=$AO2578))&gt;0)*(ROW(職員マスタ!$A$6:$A$405)-5)))&gt;0,SUMPRODUCT(MAX((職員マスタ!$A$6:$A$405=$B2578)*(((職員マスタ!$G$6:$G$405="")+(職員マスタ!$G$6:$G$405&lt;=EOMONTH($AO2578,0)))&gt;0)*(((職員マスタ!$H$6:$H$405="")+(職員マスタ!$H$6:$H$405&gt;=$AO2578))&gt;0)*(ROW(職員マスタ!$A$6:$A$405)-5))),IFERROR(MATCH($B2578,職員マスタ!$A$6:$A$405,0),"")))</f>
        <v/>
      </c>
      <c r="AO2578" s="16">
        <f>IF(OR($B2578="",$C2578="",$D2578=""),"",DATE($C2578+2018,$D2578,1))</f>
        <v/>
      </c>
    </row>
    <row r="2579">
      <c r="A2579" s="11" t="n"/>
      <c r="B2579" s="12" t="n"/>
      <c r="C2579" s="12" t="n"/>
      <c r="D2579" s="12" t="n"/>
      <c r="E2579" s="13" t="n"/>
      <c r="F2579" s="12" t="n"/>
      <c r="G2579" s="13" t="n"/>
      <c r="H2579" s="12" t="n"/>
      <c r="I2579" s="12" t="n"/>
      <c r="J2579" s="12" t="n"/>
      <c r="K2579" s="12" t="n"/>
      <c r="L2579" s="11" t="n"/>
      <c r="M2579" s="11" t="n"/>
      <c r="N2579" s="11" t="n"/>
      <c r="O2579" s="11" t="n"/>
      <c r="P2579" s="12" t="n"/>
      <c r="Q2579" s="11" t="n"/>
      <c r="R2579" s="12" t="n"/>
      <c r="S2579" s="11" t="n"/>
      <c r="T2579" s="12" t="n"/>
      <c r="U2579" s="12" t="n"/>
      <c r="V2579" s="14">
        <f>IF($AN2579="",IF($B2579="","",$H2579),IF(INDEX(職員マスタ!$B$6:$B$405,$AN2579)="",$H2579,INDEX(職員マスタ!$B$6:$B$405,$AN2579)))</f>
        <v/>
      </c>
      <c r="W2579" s="14">
        <f>IF($AN2579="",IF($B2579="","",$R2579),IF(INDEX(職員マスタ!$C$6:$C$405,$AN2579)="",$R2579,INDEX(職員マスタ!$C$6:$C$405,$AN2579)))</f>
        <v/>
      </c>
      <c r="X2579" s="14">
        <f>IF($AO2579="","","R"&amp;$C2579&amp;"."&amp;$D2579)</f>
        <v/>
      </c>
      <c r="Y2579" s="15">
        <f>IF($AN2579="","",IF(INDEX(職員マスタ!$K$6:$K$405,$AN2579)="","",INDEX(職員マスタ!$K$6:$K$405,$AN2579)))</f>
        <v/>
      </c>
      <c r="Z2579" s="14">
        <f>IF(OR($E2579="",$Y2579=""),"",IF($E2579&gt;=$Y2579,"×",IF($E2579&gt;=$Y2579*設定!$C$5,"△","○")))</f>
        <v/>
      </c>
      <c r="AA2579" s="15">
        <f>IF($Z2579="","",IF($Z2579="×",0,IF($Z2579="○",ROUNDDOWN($E2579*設定!$C$4,0),ROUNDDOWN($E2579*ROUND((9*$Y2579-9*$E2579)/(10*$E2579),4),0))))</f>
        <v/>
      </c>
      <c r="AB2579" s="13" t="n"/>
      <c r="AC2579" s="15">
        <f>IF($B2579="","",IF($AB2579&lt;&gt;"",$AB2579,IF($AA2579="","",IF($AA2579&lt;=設定!$C$3,0,$AA2579))))</f>
        <v/>
      </c>
      <c r="AD2579" s="14">
        <f>IF($B2579="","",IF(AND($AE2579&lt;&gt;"",$AG2579="",$AJ2579=""),"保留中",IF($AJ2579&lt;&gt;"",IF(N($AC2579)&gt;0,"支給済","不支給"),IF($AC2579="","要確認",IF($AC2579=0,"不支給","未処理")))))</f>
        <v/>
      </c>
      <c r="AE2579" s="12" t="n"/>
      <c r="AF2579" s="11" t="n"/>
      <c r="AG2579" s="11" t="n"/>
      <c r="AH2579" s="11" t="n"/>
      <c r="AI2579" s="14">
        <f>IF(AND($AD2579="保留中",$AF2579&lt;&gt;""),TODAY()-$AF2579,"")</f>
        <v/>
      </c>
      <c r="AJ2579" s="12" t="n"/>
      <c r="AK2579" s="14">
        <f>IF($B2579="","",IF($AO2579="","対象年月が未入力／","")&amp;IF($B2579="","",IF($AN2579="","職員マスタに未登録の職員番号／",IF($Y2579="","標準報酬月額が未登録／","")&amp;IF(AND($AO2579&lt;&gt;"",OR(AND(INDEX(職員マスタ!$G$6:$G$405,$AN2579)&lt;&gt;"",INDEX(職員マスタ!$G$6:$G$405,$AN2579)&gt;EOMONTH($AO2579,0)),AND(INDEX(職員マスタ!$H$6:$H$405,$AN2579)&lt;&gt;"",INDEX(職員マスタ!$H$6:$H$405,$AN2579)&lt;$AO2579))),"対象月が時短期間外／","")&amp;IF(AND(INDEX(職員マスタ!$F$6:$F$405,$AN2579)&lt;&gt;"",$AO2579&lt;&gt;"",INDEX(職員マスタ!$F$6:$F$405,$AN2579)&lt;$AO2579),"対象月に子が2歳到達済／","")&amp;IF(AND($H2579&lt;&gt;"",INDEX(職員マスタ!$B$6:$B$405,$AN2579)&lt;&gt;"",SUBSTITUTE(SUBSTITUTE($H2579," ","")," ","")&lt;&gt;SUBSTITUTE(SUBSTITUTE(INDEX(職員マスタ!$B$6:$B$405,$AN2579)," ","")," ","")),"氏名がマスタと相違／","")&amp;IF(AND($Q2579&lt;&gt;"",INDEX(職員マスタ!$E$6:$E$405,$AN2579)&lt;&gt;"",$Q2579&lt;&gt;INDEX(職員マスタ!$E$6:$E$405,$AN2579)),"子の生年月日がマスタと相違／","")&amp;IF(AND($L2579&lt;&gt;"",INDEX(職員マスタ!$G$6:$G$405,$AN2579)&lt;&gt;"",$L2579&lt;&gt;INDEX(職員マスタ!$G$6:$G$405,$AN2579)),"時短開始日がマスタと相違／","")&amp;IF(AND($M2579&lt;&gt;"",INDEX(職員マスタ!$H$6:$H$405,$AN2579)&lt;&gt;"",$M2579&lt;&gt;INDEX(職員マスタ!$H$6:$H$405,$AN2579)),"時短終了日がマスタと相違／","")))&amp;IF(AND($B2579&lt;&gt;"",$E2579=""),"報酬額が未入力／","")&amp;IF(N($U2579)&gt;0,"申請書に入力エラーが残っています／","")&amp;IF(AND($B2579&lt;&gt;"",$AO2579&lt;&gt;""),IF(COUNTIFS($B$6:$B$3005,$B2579,$C$6:$C$3005,$C2579,$D$6:$D$3005,$D2579)&gt;1,"同じ月の請求が重複しています／",""),"")&amp;IF(AND(N($E2579)&gt;0,$Z2579&lt;&gt;"",$Z2579&lt;&gt;"×",$AC2579=0,$AB2579=""),"計算額が下限以下のため不支給／",""))</f>
        <v/>
      </c>
      <c r="AL2579" s="12" t="n"/>
      <c r="AM2579" s="14">
        <f>IF($AD2579="保留中",COUNTIF($AD$6:$AD2579,"保留中"),"")</f>
        <v/>
      </c>
      <c r="AN2579" s="14">
        <f>IF($AO2579="","",IF(SUMPRODUCT(MAX((職員マスタ!$A$6:$A$405=$B2579)*(((職員マスタ!$G$6:$G$405="")+(職員マスタ!$G$6:$G$405&lt;=EOMONTH($AO2579,0)))&gt;0)*(((職員マスタ!$H$6:$H$405="")+(職員マスタ!$H$6:$H$405&gt;=$AO2579))&gt;0)*(ROW(職員マスタ!$A$6:$A$405)-5)))&gt;0,SUMPRODUCT(MAX((職員マスタ!$A$6:$A$405=$B2579)*(((職員マスタ!$G$6:$G$405="")+(職員マスタ!$G$6:$G$405&lt;=EOMONTH($AO2579,0)))&gt;0)*(((職員マスタ!$H$6:$H$405="")+(職員マスタ!$H$6:$H$405&gt;=$AO2579))&gt;0)*(ROW(職員マスタ!$A$6:$A$405)-5))),IFERROR(MATCH($B2579,職員マスタ!$A$6:$A$405,0),"")))</f>
        <v/>
      </c>
      <c r="AO2579" s="16">
        <f>IF(OR($B2579="",$C2579="",$D2579=""),"",DATE($C2579+2018,$D2579,1))</f>
        <v/>
      </c>
    </row>
    <row r="2580">
      <c r="A2580" s="11" t="n"/>
      <c r="B2580" s="12" t="n"/>
      <c r="C2580" s="12" t="n"/>
      <c r="D2580" s="12" t="n"/>
      <c r="E2580" s="13" t="n"/>
      <c r="F2580" s="12" t="n"/>
      <c r="G2580" s="13" t="n"/>
      <c r="H2580" s="12" t="n"/>
      <c r="I2580" s="12" t="n"/>
      <c r="J2580" s="12" t="n"/>
      <c r="K2580" s="12" t="n"/>
      <c r="L2580" s="11" t="n"/>
      <c r="M2580" s="11" t="n"/>
      <c r="N2580" s="11" t="n"/>
      <c r="O2580" s="11" t="n"/>
      <c r="P2580" s="12" t="n"/>
      <c r="Q2580" s="11" t="n"/>
      <c r="R2580" s="12" t="n"/>
      <c r="S2580" s="11" t="n"/>
      <c r="T2580" s="12" t="n"/>
      <c r="U2580" s="12" t="n"/>
      <c r="V2580" s="14">
        <f>IF($AN2580="",IF($B2580="","",$H2580),IF(INDEX(職員マスタ!$B$6:$B$405,$AN2580)="",$H2580,INDEX(職員マスタ!$B$6:$B$405,$AN2580)))</f>
        <v/>
      </c>
      <c r="W2580" s="14">
        <f>IF($AN2580="",IF($B2580="","",$R2580),IF(INDEX(職員マスタ!$C$6:$C$405,$AN2580)="",$R2580,INDEX(職員マスタ!$C$6:$C$405,$AN2580)))</f>
        <v/>
      </c>
      <c r="X2580" s="14">
        <f>IF($AO2580="","","R"&amp;$C2580&amp;"."&amp;$D2580)</f>
        <v/>
      </c>
      <c r="Y2580" s="15">
        <f>IF($AN2580="","",IF(INDEX(職員マスタ!$K$6:$K$405,$AN2580)="","",INDEX(職員マスタ!$K$6:$K$405,$AN2580)))</f>
        <v/>
      </c>
      <c r="Z2580" s="14">
        <f>IF(OR($E2580="",$Y2580=""),"",IF($E2580&gt;=$Y2580,"×",IF($E2580&gt;=$Y2580*設定!$C$5,"△","○")))</f>
        <v/>
      </c>
      <c r="AA2580" s="15">
        <f>IF($Z2580="","",IF($Z2580="×",0,IF($Z2580="○",ROUNDDOWN($E2580*設定!$C$4,0),ROUNDDOWN($E2580*ROUND((9*$Y2580-9*$E2580)/(10*$E2580),4),0))))</f>
        <v/>
      </c>
      <c r="AB2580" s="13" t="n"/>
      <c r="AC2580" s="15">
        <f>IF($B2580="","",IF($AB2580&lt;&gt;"",$AB2580,IF($AA2580="","",IF($AA2580&lt;=設定!$C$3,0,$AA2580))))</f>
        <v/>
      </c>
      <c r="AD2580" s="14">
        <f>IF($B2580="","",IF(AND($AE2580&lt;&gt;"",$AG2580="",$AJ2580=""),"保留中",IF($AJ2580&lt;&gt;"",IF(N($AC2580)&gt;0,"支給済","不支給"),IF($AC2580="","要確認",IF($AC2580=0,"不支給","未処理")))))</f>
        <v/>
      </c>
      <c r="AE2580" s="12" t="n"/>
      <c r="AF2580" s="11" t="n"/>
      <c r="AG2580" s="11" t="n"/>
      <c r="AH2580" s="11" t="n"/>
      <c r="AI2580" s="14">
        <f>IF(AND($AD2580="保留中",$AF2580&lt;&gt;""),TODAY()-$AF2580,"")</f>
        <v/>
      </c>
      <c r="AJ2580" s="12" t="n"/>
      <c r="AK2580" s="14">
        <f>IF($B2580="","",IF($AO2580="","対象年月が未入力／","")&amp;IF($B2580="","",IF($AN2580="","職員マスタに未登録の職員番号／",IF($Y2580="","標準報酬月額が未登録／","")&amp;IF(AND($AO2580&lt;&gt;"",OR(AND(INDEX(職員マスタ!$G$6:$G$405,$AN2580)&lt;&gt;"",INDEX(職員マスタ!$G$6:$G$405,$AN2580)&gt;EOMONTH($AO2580,0)),AND(INDEX(職員マスタ!$H$6:$H$405,$AN2580)&lt;&gt;"",INDEX(職員マスタ!$H$6:$H$405,$AN2580)&lt;$AO2580))),"対象月が時短期間外／","")&amp;IF(AND(INDEX(職員マスタ!$F$6:$F$405,$AN2580)&lt;&gt;"",$AO2580&lt;&gt;"",INDEX(職員マスタ!$F$6:$F$405,$AN2580)&lt;$AO2580),"対象月に子が2歳到達済／","")&amp;IF(AND($H2580&lt;&gt;"",INDEX(職員マスタ!$B$6:$B$405,$AN2580)&lt;&gt;"",SUBSTITUTE(SUBSTITUTE($H2580," ","")," ","")&lt;&gt;SUBSTITUTE(SUBSTITUTE(INDEX(職員マスタ!$B$6:$B$405,$AN2580)," ","")," ","")),"氏名がマスタと相違／","")&amp;IF(AND($Q2580&lt;&gt;"",INDEX(職員マスタ!$E$6:$E$405,$AN2580)&lt;&gt;"",$Q2580&lt;&gt;INDEX(職員マスタ!$E$6:$E$405,$AN2580)),"子の生年月日がマスタと相違／","")&amp;IF(AND($L2580&lt;&gt;"",INDEX(職員マスタ!$G$6:$G$405,$AN2580)&lt;&gt;"",$L2580&lt;&gt;INDEX(職員マスタ!$G$6:$G$405,$AN2580)),"時短開始日がマスタと相違／","")&amp;IF(AND($M2580&lt;&gt;"",INDEX(職員マスタ!$H$6:$H$405,$AN2580)&lt;&gt;"",$M2580&lt;&gt;INDEX(職員マスタ!$H$6:$H$405,$AN2580)),"時短終了日がマスタと相違／","")))&amp;IF(AND($B2580&lt;&gt;"",$E2580=""),"報酬額が未入力／","")&amp;IF(N($U2580)&gt;0,"申請書に入力エラーが残っています／","")&amp;IF(AND($B2580&lt;&gt;"",$AO2580&lt;&gt;""),IF(COUNTIFS($B$6:$B$3005,$B2580,$C$6:$C$3005,$C2580,$D$6:$D$3005,$D2580)&gt;1,"同じ月の請求が重複しています／",""),"")&amp;IF(AND(N($E2580)&gt;0,$Z2580&lt;&gt;"",$Z2580&lt;&gt;"×",$AC2580=0,$AB2580=""),"計算額が下限以下のため不支給／",""))</f>
        <v/>
      </c>
      <c r="AL2580" s="12" t="n"/>
      <c r="AM2580" s="14">
        <f>IF($AD2580="保留中",COUNTIF($AD$6:$AD2580,"保留中"),"")</f>
        <v/>
      </c>
      <c r="AN2580" s="14">
        <f>IF($AO2580="","",IF(SUMPRODUCT(MAX((職員マスタ!$A$6:$A$405=$B2580)*(((職員マスタ!$G$6:$G$405="")+(職員マスタ!$G$6:$G$405&lt;=EOMONTH($AO2580,0)))&gt;0)*(((職員マスタ!$H$6:$H$405="")+(職員マスタ!$H$6:$H$405&gt;=$AO2580))&gt;0)*(ROW(職員マスタ!$A$6:$A$405)-5)))&gt;0,SUMPRODUCT(MAX((職員マスタ!$A$6:$A$405=$B2580)*(((職員マスタ!$G$6:$G$405="")+(職員マスタ!$G$6:$G$405&lt;=EOMONTH($AO2580,0)))&gt;0)*(((職員マスタ!$H$6:$H$405="")+(職員マスタ!$H$6:$H$405&gt;=$AO2580))&gt;0)*(ROW(職員マスタ!$A$6:$A$405)-5))),IFERROR(MATCH($B2580,職員マスタ!$A$6:$A$405,0),"")))</f>
        <v/>
      </c>
      <c r="AO2580" s="16">
        <f>IF(OR($B2580="",$C2580="",$D2580=""),"",DATE($C2580+2018,$D2580,1))</f>
        <v/>
      </c>
    </row>
    <row r="2581">
      <c r="A2581" s="11" t="n"/>
      <c r="B2581" s="12" t="n"/>
      <c r="C2581" s="12" t="n"/>
      <c r="D2581" s="12" t="n"/>
      <c r="E2581" s="13" t="n"/>
      <c r="F2581" s="12" t="n"/>
      <c r="G2581" s="13" t="n"/>
      <c r="H2581" s="12" t="n"/>
      <c r="I2581" s="12" t="n"/>
      <c r="J2581" s="12" t="n"/>
      <c r="K2581" s="12" t="n"/>
      <c r="L2581" s="11" t="n"/>
      <c r="M2581" s="11" t="n"/>
      <c r="N2581" s="11" t="n"/>
      <c r="O2581" s="11" t="n"/>
      <c r="P2581" s="12" t="n"/>
      <c r="Q2581" s="11" t="n"/>
      <c r="R2581" s="12" t="n"/>
      <c r="S2581" s="11" t="n"/>
      <c r="T2581" s="12" t="n"/>
      <c r="U2581" s="12" t="n"/>
      <c r="V2581" s="14">
        <f>IF($AN2581="",IF($B2581="","",$H2581),IF(INDEX(職員マスタ!$B$6:$B$405,$AN2581)="",$H2581,INDEX(職員マスタ!$B$6:$B$405,$AN2581)))</f>
        <v/>
      </c>
      <c r="W2581" s="14">
        <f>IF($AN2581="",IF($B2581="","",$R2581),IF(INDEX(職員マスタ!$C$6:$C$405,$AN2581)="",$R2581,INDEX(職員マスタ!$C$6:$C$405,$AN2581)))</f>
        <v/>
      </c>
      <c r="X2581" s="14">
        <f>IF($AO2581="","","R"&amp;$C2581&amp;"."&amp;$D2581)</f>
        <v/>
      </c>
      <c r="Y2581" s="15">
        <f>IF($AN2581="","",IF(INDEX(職員マスタ!$K$6:$K$405,$AN2581)="","",INDEX(職員マスタ!$K$6:$K$405,$AN2581)))</f>
        <v/>
      </c>
      <c r="Z2581" s="14">
        <f>IF(OR($E2581="",$Y2581=""),"",IF($E2581&gt;=$Y2581,"×",IF($E2581&gt;=$Y2581*設定!$C$5,"△","○")))</f>
        <v/>
      </c>
      <c r="AA2581" s="15">
        <f>IF($Z2581="","",IF($Z2581="×",0,IF($Z2581="○",ROUNDDOWN($E2581*設定!$C$4,0),ROUNDDOWN($E2581*ROUND((9*$Y2581-9*$E2581)/(10*$E2581),4),0))))</f>
        <v/>
      </c>
      <c r="AB2581" s="13" t="n"/>
      <c r="AC2581" s="15">
        <f>IF($B2581="","",IF($AB2581&lt;&gt;"",$AB2581,IF($AA2581="","",IF($AA2581&lt;=設定!$C$3,0,$AA2581))))</f>
        <v/>
      </c>
      <c r="AD2581" s="14">
        <f>IF($B2581="","",IF(AND($AE2581&lt;&gt;"",$AG2581="",$AJ2581=""),"保留中",IF($AJ2581&lt;&gt;"",IF(N($AC2581)&gt;0,"支給済","不支給"),IF($AC2581="","要確認",IF($AC2581=0,"不支給","未処理")))))</f>
        <v/>
      </c>
      <c r="AE2581" s="12" t="n"/>
      <c r="AF2581" s="11" t="n"/>
      <c r="AG2581" s="11" t="n"/>
      <c r="AH2581" s="11" t="n"/>
      <c r="AI2581" s="14">
        <f>IF(AND($AD2581="保留中",$AF2581&lt;&gt;""),TODAY()-$AF2581,"")</f>
        <v/>
      </c>
      <c r="AJ2581" s="12" t="n"/>
      <c r="AK2581" s="14">
        <f>IF($B2581="","",IF($AO2581="","対象年月が未入力／","")&amp;IF($B2581="","",IF($AN2581="","職員マスタに未登録の職員番号／",IF($Y2581="","標準報酬月額が未登録／","")&amp;IF(AND($AO2581&lt;&gt;"",OR(AND(INDEX(職員マスタ!$G$6:$G$405,$AN2581)&lt;&gt;"",INDEX(職員マスタ!$G$6:$G$405,$AN2581)&gt;EOMONTH($AO2581,0)),AND(INDEX(職員マスタ!$H$6:$H$405,$AN2581)&lt;&gt;"",INDEX(職員マスタ!$H$6:$H$405,$AN2581)&lt;$AO2581))),"対象月が時短期間外／","")&amp;IF(AND(INDEX(職員マスタ!$F$6:$F$405,$AN2581)&lt;&gt;"",$AO2581&lt;&gt;"",INDEX(職員マスタ!$F$6:$F$405,$AN2581)&lt;$AO2581),"対象月に子が2歳到達済／","")&amp;IF(AND($H2581&lt;&gt;"",INDEX(職員マスタ!$B$6:$B$405,$AN2581)&lt;&gt;"",SUBSTITUTE(SUBSTITUTE($H2581," ","")," ","")&lt;&gt;SUBSTITUTE(SUBSTITUTE(INDEX(職員マスタ!$B$6:$B$405,$AN2581)," ","")," ","")),"氏名がマスタと相違／","")&amp;IF(AND($Q2581&lt;&gt;"",INDEX(職員マスタ!$E$6:$E$405,$AN2581)&lt;&gt;"",$Q2581&lt;&gt;INDEX(職員マスタ!$E$6:$E$405,$AN2581)),"子の生年月日がマスタと相違／","")&amp;IF(AND($L2581&lt;&gt;"",INDEX(職員マスタ!$G$6:$G$405,$AN2581)&lt;&gt;"",$L2581&lt;&gt;INDEX(職員マスタ!$G$6:$G$405,$AN2581)),"時短開始日がマスタと相違／","")&amp;IF(AND($M2581&lt;&gt;"",INDEX(職員マスタ!$H$6:$H$405,$AN2581)&lt;&gt;"",$M2581&lt;&gt;INDEX(職員マスタ!$H$6:$H$405,$AN2581)),"時短終了日がマスタと相違／","")))&amp;IF(AND($B2581&lt;&gt;"",$E2581=""),"報酬額が未入力／","")&amp;IF(N($U2581)&gt;0,"申請書に入力エラーが残っています／","")&amp;IF(AND($B2581&lt;&gt;"",$AO2581&lt;&gt;""),IF(COUNTIFS($B$6:$B$3005,$B2581,$C$6:$C$3005,$C2581,$D$6:$D$3005,$D2581)&gt;1,"同じ月の請求が重複しています／",""),"")&amp;IF(AND(N($E2581)&gt;0,$Z2581&lt;&gt;"",$Z2581&lt;&gt;"×",$AC2581=0,$AB2581=""),"計算額が下限以下のため不支給／",""))</f>
        <v/>
      </c>
      <c r="AL2581" s="12" t="n"/>
      <c r="AM2581" s="14">
        <f>IF($AD2581="保留中",COUNTIF($AD$6:$AD2581,"保留中"),"")</f>
        <v/>
      </c>
      <c r="AN2581" s="14">
        <f>IF($AO2581="","",IF(SUMPRODUCT(MAX((職員マスタ!$A$6:$A$405=$B2581)*(((職員マスタ!$G$6:$G$405="")+(職員マスタ!$G$6:$G$405&lt;=EOMONTH($AO2581,0)))&gt;0)*(((職員マスタ!$H$6:$H$405="")+(職員マスタ!$H$6:$H$405&gt;=$AO2581))&gt;0)*(ROW(職員マスタ!$A$6:$A$405)-5)))&gt;0,SUMPRODUCT(MAX((職員マスタ!$A$6:$A$405=$B2581)*(((職員マスタ!$G$6:$G$405="")+(職員マスタ!$G$6:$G$405&lt;=EOMONTH($AO2581,0)))&gt;0)*(((職員マスタ!$H$6:$H$405="")+(職員マスタ!$H$6:$H$405&gt;=$AO2581))&gt;0)*(ROW(職員マスタ!$A$6:$A$405)-5))),IFERROR(MATCH($B2581,職員マスタ!$A$6:$A$405,0),"")))</f>
        <v/>
      </c>
      <c r="AO2581" s="16">
        <f>IF(OR($B2581="",$C2581="",$D2581=""),"",DATE($C2581+2018,$D2581,1))</f>
        <v/>
      </c>
    </row>
    <row r="2582">
      <c r="A2582" s="11" t="n"/>
      <c r="B2582" s="12" t="n"/>
      <c r="C2582" s="12" t="n"/>
      <c r="D2582" s="12" t="n"/>
      <c r="E2582" s="13" t="n"/>
      <c r="F2582" s="12" t="n"/>
      <c r="G2582" s="13" t="n"/>
      <c r="H2582" s="12" t="n"/>
      <c r="I2582" s="12" t="n"/>
      <c r="J2582" s="12" t="n"/>
      <c r="K2582" s="12" t="n"/>
      <c r="L2582" s="11" t="n"/>
      <c r="M2582" s="11" t="n"/>
      <c r="N2582" s="11" t="n"/>
      <c r="O2582" s="11" t="n"/>
      <c r="P2582" s="12" t="n"/>
      <c r="Q2582" s="11" t="n"/>
      <c r="R2582" s="12" t="n"/>
      <c r="S2582" s="11" t="n"/>
      <c r="T2582" s="12" t="n"/>
      <c r="U2582" s="12" t="n"/>
      <c r="V2582" s="14">
        <f>IF($AN2582="",IF($B2582="","",$H2582),IF(INDEX(職員マスタ!$B$6:$B$405,$AN2582)="",$H2582,INDEX(職員マスタ!$B$6:$B$405,$AN2582)))</f>
        <v/>
      </c>
      <c r="W2582" s="14">
        <f>IF($AN2582="",IF($B2582="","",$R2582),IF(INDEX(職員マスタ!$C$6:$C$405,$AN2582)="",$R2582,INDEX(職員マスタ!$C$6:$C$405,$AN2582)))</f>
        <v/>
      </c>
      <c r="X2582" s="14">
        <f>IF($AO2582="","","R"&amp;$C2582&amp;"."&amp;$D2582)</f>
        <v/>
      </c>
      <c r="Y2582" s="15">
        <f>IF($AN2582="","",IF(INDEX(職員マスタ!$K$6:$K$405,$AN2582)="","",INDEX(職員マスタ!$K$6:$K$405,$AN2582)))</f>
        <v/>
      </c>
      <c r="Z2582" s="14">
        <f>IF(OR($E2582="",$Y2582=""),"",IF($E2582&gt;=$Y2582,"×",IF($E2582&gt;=$Y2582*設定!$C$5,"△","○")))</f>
        <v/>
      </c>
      <c r="AA2582" s="15">
        <f>IF($Z2582="","",IF($Z2582="×",0,IF($Z2582="○",ROUNDDOWN($E2582*設定!$C$4,0),ROUNDDOWN($E2582*ROUND((9*$Y2582-9*$E2582)/(10*$E2582),4),0))))</f>
        <v/>
      </c>
      <c r="AB2582" s="13" t="n"/>
      <c r="AC2582" s="15">
        <f>IF($B2582="","",IF($AB2582&lt;&gt;"",$AB2582,IF($AA2582="","",IF($AA2582&lt;=設定!$C$3,0,$AA2582))))</f>
        <v/>
      </c>
      <c r="AD2582" s="14">
        <f>IF($B2582="","",IF(AND($AE2582&lt;&gt;"",$AG2582="",$AJ2582=""),"保留中",IF($AJ2582&lt;&gt;"",IF(N($AC2582)&gt;0,"支給済","不支給"),IF($AC2582="","要確認",IF($AC2582=0,"不支給","未処理")))))</f>
        <v/>
      </c>
      <c r="AE2582" s="12" t="n"/>
      <c r="AF2582" s="11" t="n"/>
      <c r="AG2582" s="11" t="n"/>
      <c r="AH2582" s="11" t="n"/>
      <c r="AI2582" s="14">
        <f>IF(AND($AD2582="保留中",$AF2582&lt;&gt;""),TODAY()-$AF2582,"")</f>
        <v/>
      </c>
      <c r="AJ2582" s="12" t="n"/>
      <c r="AK2582" s="14">
        <f>IF($B2582="","",IF($AO2582="","対象年月が未入力／","")&amp;IF($B2582="","",IF($AN2582="","職員マスタに未登録の職員番号／",IF($Y2582="","標準報酬月額が未登録／","")&amp;IF(AND($AO2582&lt;&gt;"",OR(AND(INDEX(職員マスタ!$G$6:$G$405,$AN2582)&lt;&gt;"",INDEX(職員マスタ!$G$6:$G$405,$AN2582)&gt;EOMONTH($AO2582,0)),AND(INDEX(職員マスタ!$H$6:$H$405,$AN2582)&lt;&gt;"",INDEX(職員マスタ!$H$6:$H$405,$AN2582)&lt;$AO2582))),"対象月が時短期間外／","")&amp;IF(AND(INDEX(職員マスタ!$F$6:$F$405,$AN2582)&lt;&gt;"",$AO2582&lt;&gt;"",INDEX(職員マスタ!$F$6:$F$405,$AN2582)&lt;$AO2582),"対象月に子が2歳到達済／","")&amp;IF(AND($H2582&lt;&gt;"",INDEX(職員マスタ!$B$6:$B$405,$AN2582)&lt;&gt;"",SUBSTITUTE(SUBSTITUTE($H2582," ","")," ","")&lt;&gt;SUBSTITUTE(SUBSTITUTE(INDEX(職員マスタ!$B$6:$B$405,$AN2582)," ","")," ","")),"氏名がマスタと相違／","")&amp;IF(AND($Q2582&lt;&gt;"",INDEX(職員マスタ!$E$6:$E$405,$AN2582)&lt;&gt;"",$Q2582&lt;&gt;INDEX(職員マスタ!$E$6:$E$405,$AN2582)),"子の生年月日がマスタと相違／","")&amp;IF(AND($L2582&lt;&gt;"",INDEX(職員マスタ!$G$6:$G$405,$AN2582)&lt;&gt;"",$L2582&lt;&gt;INDEX(職員マスタ!$G$6:$G$405,$AN2582)),"時短開始日がマスタと相違／","")&amp;IF(AND($M2582&lt;&gt;"",INDEX(職員マスタ!$H$6:$H$405,$AN2582)&lt;&gt;"",$M2582&lt;&gt;INDEX(職員マスタ!$H$6:$H$405,$AN2582)),"時短終了日がマスタと相違／","")))&amp;IF(AND($B2582&lt;&gt;"",$E2582=""),"報酬額が未入力／","")&amp;IF(N($U2582)&gt;0,"申請書に入力エラーが残っています／","")&amp;IF(AND($B2582&lt;&gt;"",$AO2582&lt;&gt;""),IF(COUNTIFS($B$6:$B$3005,$B2582,$C$6:$C$3005,$C2582,$D$6:$D$3005,$D2582)&gt;1,"同じ月の請求が重複しています／",""),"")&amp;IF(AND(N($E2582)&gt;0,$Z2582&lt;&gt;"",$Z2582&lt;&gt;"×",$AC2582=0,$AB2582=""),"計算額が下限以下のため不支給／",""))</f>
        <v/>
      </c>
      <c r="AL2582" s="12" t="n"/>
      <c r="AM2582" s="14">
        <f>IF($AD2582="保留中",COUNTIF($AD$6:$AD2582,"保留中"),"")</f>
        <v/>
      </c>
      <c r="AN2582" s="14">
        <f>IF($AO2582="","",IF(SUMPRODUCT(MAX((職員マスタ!$A$6:$A$405=$B2582)*(((職員マスタ!$G$6:$G$405="")+(職員マスタ!$G$6:$G$405&lt;=EOMONTH($AO2582,0)))&gt;0)*(((職員マスタ!$H$6:$H$405="")+(職員マスタ!$H$6:$H$405&gt;=$AO2582))&gt;0)*(ROW(職員マスタ!$A$6:$A$405)-5)))&gt;0,SUMPRODUCT(MAX((職員マスタ!$A$6:$A$405=$B2582)*(((職員マスタ!$G$6:$G$405="")+(職員マスタ!$G$6:$G$405&lt;=EOMONTH($AO2582,0)))&gt;0)*(((職員マスタ!$H$6:$H$405="")+(職員マスタ!$H$6:$H$405&gt;=$AO2582))&gt;0)*(ROW(職員マスタ!$A$6:$A$405)-5))),IFERROR(MATCH($B2582,職員マスタ!$A$6:$A$405,0),"")))</f>
        <v/>
      </c>
      <c r="AO2582" s="16">
        <f>IF(OR($B2582="",$C2582="",$D2582=""),"",DATE($C2582+2018,$D2582,1))</f>
        <v/>
      </c>
    </row>
    <row r="2583">
      <c r="A2583" s="11" t="n"/>
      <c r="B2583" s="12" t="n"/>
      <c r="C2583" s="12" t="n"/>
      <c r="D2583" s="12" t="n"/>
      <c r="E2583" s="13" t="n"/>
      <c r="F2583" s="12" t="n"/>
      <c r="G2583" s="13" t="n"/>
      <c r="H2583" s="12" t="n"/>
      <c r="I2583" s="12" t="n"/>
      <c r="J2583" s="12" t="n"/>
      <c r="K2583" s="12" t="n"/>
      <c r="L2583" s="11" t="n"/>
      <c r="M2583" s="11" t="n"/>
      <c r="N2583" s="11" t="n"/>
      <c r="O2583" s="11" t="n"/>
      <c r="P2583" s="12" t="n"/>
      <c r="Q2583" s="11" t="n"/>
      <c r="R2583" s="12" t="n"/>
      <c r="S2583" s="11" t="n"/>
      <c r="T2583" s="12" t="n"/>
      <c r="U2583" s="12" t="n"/>
      <c r="V2583" s="14">
        <f>IF($AN2583="",IF($B2583="","",$H2583),IF(INDEX(職員マスタ!$B$6:$B$405,$AN2583)="",$H2583,INDEX(職員マスタ!$B$6:$B$405,$AN2583)))</f>
        <v/>
      </c>
      <c r="W2583" s="14">
        <f>IF($AN2583="",IF($B2583="","",$R2583),IF(INDEX(職員マスタ!$C$6:$C$405,$AN2583)="",$R2583,INDEX(職員マスタ!$C$6:$C$405,$AN2583)))</f>
        <v/>
      </c>
      <c r="X2583" s="14">
        <f>IF($AO2583="","","R"&amp;$C2583&amp;"."&amp;$D2583)</f>
        <v/>
      </c>
      <c r="Y2583" s="15">
        <f>IF($AN2583="","",IF(INDEX(職員マスタ!$K$6:$K$405,$AN2583)="","",INDEX(職員マスタ!$K$6:$K$405,$AN2583)))</f>
        <v/>
      </c>
      <c r="Z2583" s="14">
        <f>IF(OR($E2583="",$Y2583=""),"",IF($E2583&gt;=$Y2583,"×",IF($E2583&gt;=$Y2583*設定!$C$5,"△","○")))</f>
        <v/>
      </c>
      <c r="AA2583" s="15">
        <f>IF($Z2583="","",IF($Z2583="×",0,IF($Z2583="○",ROUNDDOWN($E2583*設定!$C$4,0),ROUNDDOWN($E2583*ROUND((9*$Y2583-9*$E2583)/(10*$E2583),4),0))))</f>
        <v/>
      </c>
      <c r="AB2583" s="13" t="n"/>
      <c r="AC2583" s="15">
        <f>IF($B2583="","",IF($AB2583&lt;&gt;"",$AB2583,IF($AA2583="","",IF($AA2583&lt;=設定!$C$3,0,$AA2583))))</f>
        <v/>
      </c>
      <c r="AD2583" s="14">
        <f>IF($B2583="","",IF(AND($AE2583&lt;&gt;"",$AG2583="",$AJ2583=""),"保留中",IF($AJ2583&lt;&gt;"",IF(N($AC2583)&gt;0,"支給済","不支給"),IF($AC2583="","要確認",IF($AC2583=0,"不支給","未処理")))))</f>
        <v/>
      </c>
      <c r="AE2583" s="12" t="n"/>
      <c r="AF2583" s="11" t="n"/>
      <c r="AG2583" s="11" t="n"/>
      <c r="AH2583" s="11" t="n"/>
      <c r="AI2583" s="14">
        <f>IF(AND($AD2583="保留中",$AF2583&lt;&gt;""),TODAY()-$AF2583,"")</f>
        <v/>
      </c>
      <c r="AJ2583" s="12" t="n"/>
      <c r="AK2583" s="14">
        <f>IF($B2583="","",IF($AO2583="","対象年月が未入力／","")&amp;IF($B2583="","",IF($AN2583="","職員マスタに未登録の職員番号／",IF($Y2583="","標準報酬月額が未登録／","")&amp;IF(AND($AO2583&lt;&gt;"",OR(AND(INDEX(職員マスタ!$G$6:$G$405,$AN2583)&lt;&gt;"",INDEX(職員マスタ!$G$6:$G$405,$AN2583)&gt;EOMONTH($AO2583,0)),AND(INDEX(職員マスタ!$H$6:$H$405,$AN2583)&lt;&gt;"",INDEX(職員マスタ!$H$6:$H$405,$AN2583)&lt;$AO2583))),"対象月が時短期間外／","")&amp;IF(AND(INDEX(職員マスタ!$F$6:$F$405,$AN2583)&lt;&gt;"",$AO2583&lt;&gt;"",INDEX(職員マスタ!$F$6:$F$405,$AN2583)&lt;$AO2583),"対象月に子が2歳到達済／","")&amp;IF(AND($H2583&lt;&gt;"",INDEX(職員マスタ!$B$6:$B$405,$AN2583)&lt;&gt;"",SUBSTITUTE(SUBSTITUTE($H2583," ","")," ","")&lt;&gt;SUBSTITUTE(SUBSTITUTE(INDEX(職員マスタ!$B$6:$B$405,$AN2583)," ","")," ","")),"氏名がマスタと相違／","")&amp;IF(AND($Q2583&lt;&gt;"",INDEX(職員マスタ!$E$6:$E$405,$AN2583)&lt;&gt;"",$Q2583&lt;&gt;INDEX(職員マスタ!$E$6:$E$405,$AN2583)),"子の生年月日がマスタと相違／","")&amp;IF(AND($L2583&lt;&gt;"",INDEX(職員マスタ!$G$6:$G$405,$AN2583)&lt;&gt;"",$L2583&lt;&gt;INDEX(職員マスタ!$G$6:$G$405,$AN2583)),"時短開始日がマスタと相違／","")&amp;IF(AND($M2583&lt;&gt;"",INDEX(職員マスタ!$H$6:$H$405,$AN2583)&lt;&gt;"",$M2583&lt;&gt;INDEX(職員マスタ!$H$6:$H$405,$AN2583)),"時短終了日がマスタと相違／","")))&amp;IF(AND($B2583&lt;&gt;"",$E2583=""),"報酬額が未入力／","")&amp;IF(N($U2583)&gt;0,"申請書に入力エラーが残っています／","")&amp;IF(AND($B2583&lt;&gt;"",$AO2583&lt;&gt;""),IF(COUNTIFS($B$6:$B$3005,$B2583,$C$6:$C$3005,$C2583,$D$6:$D$3005,$D2583)&gt;1,"同じ月の請求が重複しています／",""),"")&amp;IF(AND(N($E2583)&gt;0,$Z2583&lt;&gt;"",$Z2583&lt;&gt;"×",$AC2583=0,$AB2583=""),"計算額が下限以下のため不支給／",""))</f>
        <v/>
      </c>
      <c r="AL2583" s="12" t="n"/>
      <c r="AM2583" s="14">
        <f>IF($AD2583="保留中",COUNTIF($AD$6:$AD2583,"保留中"),"")</f>
        <v/>
      </c>
      <c r="AN2583" s="14">
        <f>IF($AO2583="","",IF(SUMPRODUCT(MAX((職員マスタ!$A$6:$A$405=$B2583)*(((職員マスタ!$G$6:$G$405="")+(職員マスタ!$G$6:$G$405&lt;=EOMONTH($AO2583,0)))&gt;0)*(((職員マスタ!$H$6:$H$405="")+(職員マスタ!$H$6:$H$405&gt;=$AO2583))&gt;0)*(ROW(職員マスタ!$A$6:$A$405)-5)))&gt;0,SUMPRODUCT(MAX((職員マスタ!$A$6:$A$405=$B2583)*(((職員マスタ!$G$6:$G$405="")+(職員マスタ!$G$6:$G$405&lt;=EOMONTH($AO2583,0)))&gt;0)*(((職員マスタ!$H$6:$H$405="")+(職員マスタ!$H$6:$H$405&gt;=$AO2583))&gt;0)*(ROW(職員マスタ!$A$6:$A$405)-5))),IFERROR(MATCH($B2583,職員マスタ!$A$6:$A$405,0),"")))</f>
        <v/>
      </c>
      <c r="AO2583" s="16">
        <f>IF(OR($B2583="",$C2583="",$D2583=""),"",DATE($C2583+2018,$D2583,1))</f>
        <v/>
      </c>
    </row>
    <row r="2584">
      <c r="A2584" s="11" t="n"/>
      <c r="B2584" s="12" t="n"/>
      <c r="C2584" s="12" t="n"/>
      <c r="D2584" s="12" t="n"/>
      <c r="E2584" s="13" t="n"/>
      <c r="F2584" s="12" t="n"/>
      <c r="G2584" s="13" t="n"/>
      <c r="H2584" s="12" t="n"/>
      <c r="I2584" s="12" t="n"/>
      <c r="J2584" s="12" t="n"/>
      <c r="K2584" s="12" t="n"/>
      <c r="L2584" s="11" t="n"/>
      <c r="M2584" s="11" t="n"/>
      <c r="N2584" s="11" t="n"/>
      <c r="O2584" s="11" t="n"/>
      <c r="P2584" s="12" t="n"/>
      <c r="Q2584" s="11" t="n"/>
      <c r="R2584" s="12" t="n"/>
      <c r="S2584" s="11" t="n"/>
      <c r="T2584" s="12" t="n"/>
      <c r="U2584" s="12" t="n"/>
      <c r="V2584" s="14">
        <f>IF($AN2584="",IF($B2584="","",$H2584),IF(INDEX(職員マスタ!$B$6:$B$405,$AN2584)="",$H2584,INDEX(職員マスタ!$B$6:$B$405,$AN2584)))</f>
        <v/>
      </c>
      <c r="W2584" s="14">
        <f>IF($AN2584="",IF($B2584="","",$R2584),IF(INDEX(職員マスタ!$C$6:$C$405,$AN2584)="",$R2584,INDEX(職員マスタ!$C$6:$C$405,$AN2584)))</f>
        <v/>
      </c>
      <c r="X2584" s="14">
        <f>IF($AO2584="","","R"&amp;$C2584&amp;"."&amp;$D2584)</f>
        <v/>
      </c>
      <c r="Y2584" s="15">
        <f>IF($AN2584="","",IF(INDEX(職員マスタ!$K$6:$K$405,$AN2584)="","",INDEX(職員マスタ!$K$6:$K$405,$AN2584)))</f>
        <v/>
      </c>
      <c r="Z2584" s="14">
        <f>IF(OR($E2584="",$Y2584=""),"",IF($E2584&gt;=$Y2584,"×",IF($E2584&gt;=$Y2584*設定!$C$5,"△","○")))</f>
        <v/>
      </c>
      <c r="AA2584" s="15">
        <f>IF($Z2584="","",IF($Z2584="×",0,IF($Z2584="○",ROUNDDOWN($E2584*設定!$C$4,0),ROUNDDOWN($E2584*ROUND((9*$Y2584-9*$E2584)/(10*$E2584),4),0))))</f>
        <v/>
      </c>
      <c r="AB2584" s="13" t="n"/>
      <c r="AC2584" s="15">
        <f>IF($B2584="","",IF($AB2584&lt;&gt;"",$AB2584,IF($AA2584="","",IF($AA2584&lt;=設定!$C$3,0,$AA2584))))</f>
        <v/>
      </c>
      <c r="AD2584" s="14">
        <f>IF($B2584="","",IF(AND($AE2584&lt;&gt;"",$AG2584="",$AJ2584=""),"保留中",IF($AJ2584&lt;&gt;"",IF(N($AC2584)&gt;0,"支給済","不支給"),IF($AC2584="","要確認",IF($AC2584=0,"不支給","未処理")))))</f>
        <v/>
      </c>
      <c r="AE2584" s="12" t="n"/>
      <c r="AF2584" s="11" t="n"/>
      <c r="AG2584" s="11" t="n"/>
      <c r="AH2584" s="11" t="n"/>
      <c r="AI2584" s="14">
        <f>IF(AND($AD2584="保留中",$AF2584&lt;&gt;""),TODAY()-$AF2584,"")</f>
        <v/>
      </c>
      <c r="AJ2584" s="12" t="n"/>
      <c r="AK2584" s="14">
        <f>IF($B2584="","",IF($AO2584="","対象年月が未入力／","")&amp;IF($B2584="","",IF($AN2584="","職員マスタに未登録の職員番号／",IF($Y2584="","標準報酬月額が未登録／","")&amp;IF(AND($AO2584&lt;&gt;"",OR(AND(INDEX(職員マスタ!$G$6:$G$405,$AN2584)&lt;&gt;"",INDEX(職員マスタ!$G$6:$G$405,$AN2584)&gt;EOMONTH($AO2584,0)),AND(INDEX(職員マスタ!$H$6:$H$405,$AN2584)&lt;&gt;"",INDEX(職員マスタ!$H$6:$H$405,$AN2584)&lt;$AO2584))),"対象月が時短期間外／","")&amp;IF(AND(INDEX(職員マスタ!$F$6:$F$405,$AN2584)&lt;&gt;"",$AO2584&lt;&gt;"",INDEX(職員マスタ!$F$6:$F$405,$AN2584)&lt;$AO2584),"対象月に子が2歳到達済／","")&amp;IF(AND($H2584&lt;&gt;"",INDEX(職員マスタ!$B$6:$B$405,$AN2584)&lt;&gt;"",SUBSTITUTE(SUBSTITUTE($H2584," ","")," ","")&lt;&gt;SUBSTITUTE(SUBSTITUTE(INDEX(職員マスタ!$B$6:$B$405,$AN2584)," ","")," ","")),"氏名がマスタと相違／","")&amp;IF(AND($Q2584&lt;&gt;"",INDEX(職員マスタ!$E$6:$E$405,$AN2584)&lt;&gt;"",$Q2584&lt;&gt;INDEX(職員マスタ!$E$6:$E$405,$AN2584)),"子の生年月日がマスタと相違／","")&amp;IF(AND($L2584&lt;&gt;"",INDEX(職員マスタ!$G$6:$G$405,$AN2584)&lt;&gt;"",$L2584&lt;&gt;INDEX(職員マスタ!$G$6:$G$405,$AN2584)),"時短開始日がマスタと相違／","")&amp;IF(AND($M2584&lt;&gt;"",INDEX(職員マスタ!$H$6:$H$405,$AN2584)&lt;&gt;"",$M2584&lt;&gt;INDEX(職員マスタ!$H$6:$H$405,$AN2584)),"時短終了日がマスタと相違／","")))&amp;IF(AND($B2584&lt;&gt;"",$E2584=""),"報酬額が未入力／","")&amp;IF(N($U2584)&gt;0,"申請書に入力エラーが残っています／","")&amp;IF(AND($B2584&lt;&gt;"",$AO2584&lt;&gt;""),IF(COUNTIFS($B$6:$B$3005,$B2584,$C$6:$C$3005,$C2584,$D$6:$D$3005,$D2584)&gt;1,"同じ月の請求が重複しています／",""),"")&amp;IF(AND(N($E2584)&gt;0,$Z2584&lt;&gt;"",$Z2584&lt;&gt;"×",$AC2584=0,$AB2584=""),"計算額が下限以下のため不支給／",""))</f>
        <v/>
      </c>
      <c r="AL2584" s="12" t="n"/>
      <c r="AM2584" s="14">
        <f>IF($AD2584="保留中",COUNTIF($AD$6:$AD2584,"保留中"),"")</f>
        <v/>
      </c>
      <c r="AN2584" s="14">
        <f>IF($AO2584="","",IF(SUMPRODUCT(MAX((職員マスタ!$A$6:$A$405=$B2584)*(((職員マスタ!$G$6:$G$405="")+(職員マスタ!$G$6:$G$405&lt;=EOMONTH($AO2584,0)))&gt;0)*(((職員マスタ!$H$6:$H$405="")+(職員マスタ!$H$6:$H$405&gt;=$AO2584))&gt;0)*(ROW(職員マスタ!$A$6:$A$405)-5)))&gt;0,SUMPRODUCT(MAX((職員マスタ!$A$6:$A$405=$B2584)*(((職員マスタ!$G$6:$G$405="")+(職員マスタ!$G$6:$G$405&lt;=EOMONTH($AO2584,0)))&gt;0)*(((職員マスタ!$H$6:$H$405="")+(職員マスタ!$H$6:$H$405&gt;=$AO2584))&gt;0)*(ROW(職員マスタ!$A$6:$A$405)-5))),IFERROR(MATCH($B2584,職員マスタ!$A$6:$A$405,0),"")))</f>
        <v/>
      </c>
      <c r="AO2584" s="16">
        <f>IF(OR($B2584="",$C2584="",$D2584=""),"",DATE($C2584+2018,$D2584,1))</f>
        <v/>
      </c>
    </row>
    <row r="2585">
      <c r="A2585" s="11" t="n"/>
      <c r="B2585" s="12" t="n"/>
      <c r="C2585" s="12" t="n"/>
      <c r="D2585" s="12" t="n"/>
      <c r="E2585" s="13" t="n"/>
      <c r="F2585" s="12" t="n"/>
      <c r="G2585" s="13" t="n"/>
      <c r="H2585" s="12" t="n"/>
      <c r="I2585" s="12" t="n"/>
      <c r="J2585" s="12" t="n"/>
      <c r="K2585" s="12" t="n"/>
      <c r="L2585" s="11" t="n"/>
      <c r="M2585" s="11" t="n"/>
      <c r="N2585" s="11" t="n"/>
      <c r="O2585" s="11" t="n"/>
      <c r="P2585" s="12" t="n"/>
      <c r="Q2585" s="11" t="n"/>
      <c r="R2585" s="12" t="n"/>
      <c r="S2585" s="11" t="n"/>
      <c r="T2585" s="12" t="n"/>
      <c r="U2585" s="12" t="n"/>
      <c r="V2585" s="14">
        <f>IF($AN2585="",IF($B2585="","",$H2585),IF(INDEX(職員マスタ!$B$6:$B$405,$AN2585)="",$H2585,INDEX(職員マスタ!$B$6:$B$405,$AN2585)))</f>
        <v/>
      </c>
      <c r="W2585" s="14">
        <f>IF($AN2585="",IF($B2585="","",$R2585),IF(INDEX(職員マスタ!$C$6:$C$405,$AN2585)="",$R2585,INDEX(職員マスタ!$C$6:$C$405,$AN2585)))</f>
        <v/>
      </c>
      <c r="X2585" s="14">
        <f>IF($AO2585="","","R"&amp;$C2585&amp;"."&amp;$D2585)</f>
        <v/>
      </c>
      <c r="Y2585" s="15">
        <f>IF($AN2585="","",IF(INDEX(職員マスタ!$K$6:$K$405,$AN2585)="","",INDEX(職員マスタ!$K$6:$K$405,$AN2585)))</f>
        <v/>
      </c>
      <c r="Z2585" s="14">
        <f>IF(OR($E2585="",$Y2585=""),"",IF($E2585&gt;=$Y2585,"×",IF($E2585&gt;=$Y2585*設定!$C$5,"△","○")))</f>
        <v/>
      </c>
      <c r="AA2585" s="15">
        <f>IF($Z2585="","",IF($Z2585="×",0,IF($Z2585="○",ROUNDDOWN($E2585*設定!$C$4,0),ROUNDDOWN($E2585*ROUND((9*$Y2585-9*$E2585)/(10*$E2585),4),0))))</f>
        <v/>
      </c>
      <c r="AB2585" s="13" t="n"/>
      <c r="AC2585" s="15">
        <f>IF($B2585="","",IF($AB2585&lt;&gt;"",$AB2585,IF($AA2585="","",IF($AA2585&lt;=設定!$C$3,0,$AA2585))))</f>
        <v/>
      </c>
      <c r="AD2585" s="14">
        <f>IF($B2585="","",IF(AND($AE2585&lt;&gt;"",$AG2585="",$AJ2585=""),"保留中",IF($AJ2585&lt;&gt;"",IF(N($AC2585)&gt;0,"支給済","不支給"),IF($AC2585="","要確認",IF($AC2585=0,"不支給","未処理")))))</f>
        <v/>
      </c>
      <c r="AE2585" s="12" t="n"/>
      <c r="AF2585" s="11" t="n"/>
      <c r="AG2585" s="11" t="n"/>
      <c r="AH2585" s="11" t="n"/>
      <c r="AI2585" s="14">
        <f>IF(AND($AD2585="保留中",$AF2585&lt;&gt;""),TODAY()-$AF2585,"")</f>
        <v/>
      </c>
      <c r="AJ2585" s="12" t="n"/>
      <c r="AK2585" s="14">
        <f>IF($B2585="","",IF($AO2585="","対象年月が未入力／","")&amp;IF($B2585="","",IF($AN2585="","職員マスタに未登録の職員番号／",IF($Y2585="","標準報酬月額が未登録／","")&amp;IF(AND($AO2585&lt;&gt;"",OR(AND(INDEX(職員マスタ!$G$6:$G$405,$AN2585)&lt;&gt;"",INDEX(職員マスタ!$G$6:$G$405,$AN2585)&gt;EOMONTH($AO2585,0)),AND(INDEX(職員マスタ!$H$6:$H$405,$AN2585)&lt;&gt;"",INDEX(職員マスタ!$H$6:$H$405,$AN2585)&lt;$AO2585))),"対象月が時短期間外／","")&amp;IF(AND(INDEX(職員マスタ!$F$6:$F$405,$AN2585)&lt;&gt;"",$AO2585&lt;&gt;"",INDEX(職員マスタ!$F$6:$F$405,$AN2585)&lt;$AO2585),"対象月に子が2歳到達済／","")&amp;IF(AND($H2585&lt;&gt;"",INDEX(職員マスタ!$B$6:$B$405,$AN2585)&lt;&gt;"",SUBSTITUTE(SUBSTITUTE($H2585," ","")," ","")&lt;&gt;SUBSTITUTE(SUBSTITUTE(INDEX(職員マスタ!$B$6:$B$405,$AN2585)," ","")," ","")),"氏名がマスタと相違／","")&amp;IF(AND($Q2585&lt;&gt;"",INDEX(職員マスタ!$E$6:$E$405,$AN2585)&lt;&gt;"",$Q2585&lt;&gt;INDEX(職員マスタ!$E$6:$E$405,$AN2585)),"子の生年月日がマスタと相違／","")&amp;IF(AND($L2585&lt;&gt;"",INDEX(職員マスタ!$G$6:$G$405,$AN2585)&lt;&gt;"",$L2585&lt;&gt;INDEX(職員マスタ!$G$6:$G$405,$AN2585)),"時短開始日がマスタと相違／","")&amp;IF(AND($M2585&lt;&gt;"",INDEX(職員マスタ!$H$6:$H$405,$AN2585)&lt;&gt;"",$M2585&lt;&gt;INDEX(職員マスタ!$H$6:$H$405,$AN2585)),"時短終了日がマスタと相違／","")))&amp;IF(AND($B2585&lt;&gt;"",$E2585=""),"報酬額が未入力／","")&amp;IF(N($U2585)&gt;0,"申請書に入力エラーが残っています／","")&amp;IF(AND($B2585&lt;&gt;"",$AO2585&lt;&gt;""),IF(COUNTIFS($B$6:$B$3005,$B2585,$C$6:$C$3005,$C2585,$D$6:$D$3005,$D2585)&gt;1,"同じ月の請求が重複しています／",""),"")&amp;IF(AND(N($E2585)&gt;0,$Z2585&lt;&gt;"",$Z2585&lt;&gt;"×",$AC2585=0,$AB2585=""),"計算額が下限以下のため不支給／",""))</f>
        <v/>
      </c>
      <c r="AL2585" s="12" t="n"/>
      <c r="AM2585" s="14">
        <f>IF($AD2585="保留中",COUNTIF($AD$6:$AD2585,"保留中"),"")</f>
        <v/>
      </c>
      <c r="AN2585" s="14">
        <f>IF($AO2585="","",IF(SUMPRODUCT(MAX((職員マスタ!$A$6:$A$405=$B2585)*(((職員マスタ!$G$6:$G$405="")+(職員マスタ!$G$6:$G$405&lt;=EOMONTH($AO2585,0)))&gt;0)*(((職員マスタ!$H$6:$H$405="")+(職員マスタ!$H$6:$H$405&gt;=$AO2585))&gt;0)*(ROW(職員マスタ!$A$6:$A$405)-5)))&gt;0,SUMPRODUCT(MAX((職員マスタ!$A$6:$A$405=$B2585)*(((職員マスタ!$G$6:$G$405="")+(職員マスタ!$G$6:$G$405&lt;=EOMONTH($AO2585,0)))&gt;0)*(((職員マスタ!$H$6:$H$405="")+(職員マスタ!$H$6:$H$405&gt;=$AO2585))&gt;0)*(ROW(職員マスタ!$A$6:$A$405)-5))),IFERROR(MATCH($B2585,職員マスタ!$A$6:$A$405,0),"")))</f>
        <v/>
      </c>
      <c r="AO2585" s="16">
        <f>IF(OR($B2585="",$C2585="",$D2585=""),"",DATE($C2585+2018,$D2585,1))</f>
        <v/>
      </c>
    </row>
    <row r="2586">
      <c r="A2586" s="11" t="n"/>
      <c r="B2586" s="12" t="n"/>
      <c r="C2586" s="12" t="n"/>
      <c r="D2586" s="12" t="n"/>
      <c r="E2586" s="13" t="n"/>
      <c r="F2586" s="12" t="n"/>
      <c r="G2586" s="13" t="n"/>
      <c r="H2586" s="12" t="n"/>
      <c r="I2586" s="12" t="n"/>
      <c r="J2586" s="12" t="n"/>
      <c r="K2586" s="12" t="n"/>
      <c r="L2586" s="11" t="n"/>
      <c r="M2586" s="11" t="n"/>
      <c r="N2586" s="11" t="n"/>
      <c r="O2586" s="11" t="n"/>
      <c r="P2586" s="12" t="n"/>
      <c r="Q2586" s="11" t="n"/>
      <c r="R2586" s="12" t="n"/>
      <c r="S2586" s="11" t="n"/>
      <c r="T2586" s="12" t="n"/>
      <c r="U2586" s="12" t="n"/>
      <c r="V2586" s="14">
        <f>IF($AN2586="",IF($B2586="","",$H2586),IF(INDEX(職員マスタ!$B$6:$B$405,$AN2586)="",$H2586,INDEX(職員マスタ!$B$6:$B$405,$AN2586)))</f>
        <v/>
      </c>
      <c r="W2586" s="14">
        <f>IF($AN2586="",IF($B2586="","",$R2586),IF(INDEX(職員マスタ!$C$6:$C$405,$AN2586)="",$R2586,INDEX(職員マスタ!$C$6:$C$405,$AN2586)))</f>
        <v/>
      </c>
      <c r="X2586" s="14">
        <f>IF($AO2586="","","R"&amp;$C2586&amp;"."&amp;$D2586)</f>
        <v/>
      </c>
      <c r="Y2586" s="15">
        <f>IF($AN2586="","",IF(INDEX(職員マスタ!$K$6:$K$405,$AN2586)="","",INDEX(職員マスタ!$K$6:$K$405,$AN2586)))</f>
        <v/>
      </c>
      <c r="Z2586" s="14">
        <f>IF(OR($E2586="",$Y2586=""),"",IF($E2586&gt;=$Y2586,"×",IF($E2586&gt;=$Y2586*設定!$C$5,"△","○")))</f>
        <v/>
      </c>
      <c r="AA2586" s="15">
        <f>IF($Z2586="","",IF($Z2586="×",0,IF($Z2586="○",ROUNDDOWN($E2586*設定!$C$4,0),ROUNDDOWN($E2586*ROUND((9*$Y2586-9*$E2586)/(10*$E2586),4),0))))</f>
        <v/>
      </c>
      <c r="AB2586" s="13" t="n"/>
      <c r="AC2586" s="15">
        <f>IF($B2586="","",IF($AB2586&lt;&gt;"",$AB2586,IF($AA2586="","",IF($AA2586&lt;=設定!$C$3,0,$AA2586))))</f>
        <v/>
      </c>
      <c r="AD2586" s="14">
        <f>IF($B2586="","",IF(AND($AE2586&lt;&gt;"",$AG2586="",$AJ2586=""),"保留中",IF($AJ2586&lt;&gt;"",IF(N($AC2586)&gt;0,"支給済","不支給"),IF($AC2586="","要確認",IF($AC2586=0,"不支給","未処理")))))</f>
        <v/>
      </c>
      <c r="AE2586" s="12" t="n"/>
      <c r="AF2586" s="11" t="n"/>
      <c r="AG2586" s="11" t="n"/>
      <c r="AH2586" s="11" t="n"/>
      <c r="AI2586" s="14">
        <f>IF(AND($AD2586="保留中",$AF2586&lt;&gt;""),TODAY()-$AF2586,"")</f>
        <v/>
      </c>
      <c r="AJ2586" s="12" t="n"/>
      <c r="AK2586" s="14">
        <f>IF($B2586="","",IF($AO2586="","対象年月が未入力／","")&amp;IF($B2586="","",IF($AN2586="","職員マスタに未登録の職員番号／",IF($Y2586="","標準報酬月額が未登録／","")&amp;IF(AND($AO2586&lt;&gt;"",OR(AND(INDEX(職員マスタ!$G$6:$G$405,$AN2586)&lt;&gt;"",INDEX(職員マスタ!$G$6:$G$405,$AN2586)&gt;EOMONTH($AO2586,0)),AND(INDEX(職員マスタ!$H$6:$H$405,$AN2586)&lt;&gt;"",INDEX(職員マスタ!$H$6:$H$405,$AN2586)&lt;$AO2586))),"対象月が時短期間外／","")&amp;IF(AND(INDEX(職員マスタ!$F$6:$F$405,$AN2586)&lt;&gt;"",$AO2586&lt;&gt;"",INDEX(職員マスタ!$F$6:$F$405,$AN2586)&lt;$AO2586),"対象月に子が2歳到達済／","")&amp;IF(AND($H2586&lt;&gt;"",INDEX(職員マスタ!$B$6:$B$405,$AN2586)&lt;&gt;"",SUBSTITUTE(SUBSTITUTE($H2586," ","")," ","")&lt;&gt;SUBSTITUTE(SUBSTITUTE(INDEX(職員マスタ!$B$6:$B$405,$AN2586)," ","")," ","")),"氏名がマスタと相違／","")&amp;IF(AND($Q2586&lt;&gt;"",INDEX(職員マスタ!$E$6:$E$405,$AN2586)&lt;&gt;"",$Q2586&lt;&gt;INDEX(職員マスタ!$E$6:$E$405,$AN2586)),"子の生年月日がマスタと相違／","")&amp;IF(AND($L2586&lt;&gt;"",INDEX(職員マスタ!$G$6:$G$405,$AN2586)&lt;&gt;"",$L2586&lt;&gt;INDEX(職員マスタ!$G$6:$G$405,$AN2586)),"時短開始日がマスタと相違／","")&amp;IF(AND($M2586&lt;&gt;"",INDEX(職員マスタ!$H$6:$H$405,$AN2586)&lt;&gt;"",$M2586&lt;&gt;INDEX(職員マスタ!$H$6:$H$405,$AN2586)),"時短終了日がマスタと相違／","")))&amp;IF(AND($B2586&lt;&gt;"",$E2586=""),"報酬額が未入力／","")&amp;IF(N($U2586)&gt;0,"申請書に入力エラーが残っています／","")&amp;IF(AND($B2586&lt;&gt;"",$AO2586&lt;&gt;""),IF(COUNTIFS($B$6:$B$3005,$B2586,$C$6:$C$3005,$C2586,$D$6:$D$3005,$D2586)&gt;1,"同じ月の請求が重複しています／",""),"")&amp;IF(AND(N($E2586)&gt;0,$Z2586&lt;&gt;"",$Z2586&lt;&gt;"×",$AC2586=0,$AB2586=""),"計算額が下限以下のため不支給／",""))</f>
        <v/>
      </c>
      <c r="AL2586" s="12" t="n"/>
      <c r="AM2586" s="14">
        <f>IF($AD2586="保留中",COUNTIF($AD$6:$AD2586,"保留中"),"")</f>
        <v/>
      </c>
      <c r="AN2586" s="14">
        <f>IF($AO2586="","",IF(SUMPRODUCT(MAX((職員マスタ!$A$6:$A$405=$B2586)*(((職員マスタ!$G$6:$G$405="")+(職員マスタ!$G$6:$G$405&lt;=EOMONTH($AO2586,0)))&gt;0)*(((職員マスタ!$H$6:$H$405="")+(職員マスタ!$H$6:$H$405&gt;=$AO2586))&gt;0)*(ROW(職員マスタ!$A$6:$A$405)-5)))&gt;0,SUMPRODUCT(MAX((職員マスタ!$A$6:$A$405=$B2586)*(((職員マスタ!$G$6:$G$405="")+(職員マスタ!$G$6:$G$405&lt;=EOMONTH($AO2586,0)))&gt;0)*(((職員マスタ!$H$6:$H$405="")+(職員マスタ!$H$6:$H$405&gt;=$AO2586))&gt;0)*(ROW(職員マスタ!$A$6:$A$405)-5))),IFERROR(MATCH($B2586,職員マスタ!$A$6:$A$405,0),"")))</f>
        <v/>
      </c>
      <c r="AO2586" s="16">
        <f>IF(OR($B2586="",$C2586="",$D2586=""),"",DATE($C2586+2018,$D2586,1))</f>
        <v/>
      </c>
    </row>
    <row r="2587">
      <c r="A2587" s="11" t="n"/>
      <c r="B2587" s="12" t="n"/>
      <c r="C2587" s="12" t="n"/>
      <c r="D2587" s="12" t="n"/>
      <c r="E2587" s="13" t="n"/>
      <c r="F2587" s="12" t="n"/>
      <c r="G2587" s="13" t="n"/>
      <c r="H2587" s="12" t="n"/>
      <c r="I2587" s="12" t="n"/>
      <c r="J2587" s="12" t="n"/>
      <c r="K2587" s="12" t="n"/>
      <c r="L2587" s="11" t="n"/>
      <c r="M2587" s="11" t="n"/>
      <c r="N2587" s="11" t="n"/>
      <c r="O2587" s="11" t="n"/>
      <c r="P2587" s="12" t="n"/>
      <c r="Q2587" s="11" t="n"/>
      <c r="R2587" s="12" t="n"/>
      <c r="S2587" s="11" t="n"/>
      <c r="T2587" s="12" t="n"/>
      <c r="U2587" s="12" t="n"/>
      <c r="V2587" s="14">
        <f>IF($AN2587="",IF($B2587="","",$H2587),IF(INDEX(職員マスタ!$B$6:$B$405,$AN2587)="",$H2587,INDEX(職員マスタ!$B$6:$B$405,$AN2587)))</f>
        <v/>
      </c>
      <c r="W2587" s="14">
        <f>IF($AN2587="",IF($B2587="","",$R2587),IF(INDEX(職員マスタ!$C$6:$C$405,$AN2587)="",$R2587,INDEX(職員マスタ!$C$6:$C$405,$AN2587)))</f>
        <v/>
      </c>
      <c r="X2587" s="14">
        <f>IF($AO2587="","","R"&amp;$C2587&amp;"."&amp;$D2587)</f>
        <v/>
      </c>
      <c r="Y2587" s="15">
        <f>IF($AN2587="","",IF(INDEX(職員マスタ!$K$6:$K$405,$AN2587)="","",INDEX(職員マスタ!$K$6:$K$405,$AN2587)))</f>
        <v/>
      </c>
      <c r="Z2587" s="14">
        <f>IF(OR($E2587="",$Y2587=""),"",IF($E2587&gt;=$Y2587,"×",IF($E2587&gt;=$Y2587*設定!$C$5,"△","○")))</f>
        <v/>
      </c>
      <c r="AA2587" s="15">
        <f>IF($Z2587="","",IF($Z2587="×",0,IF($Z2587="○",ROUNDDOWN($E2587*設定!$C$4,0),ROUNDDOWN($E2587*ROUND((9*$Y2587-9*$E2587)/(10*$E2587),4),0))))</f>
        <v/>
      </c>
      <c r="AB2587" s="13" t="n"/>
      <c r="AC2587" s="15">
        <f>IF($B2587="","",IF($AB2587&lt;&gt;"",$AB2587,IF($AA2587="","",IF($AA2587&lt;=設定!$C$3,0,$AA2587))))</f>
        <v/>
      </c>
      <c r="AD2587" s="14">
        <f>IF($B2587="","",IF(AND($AE2587&lt;&gt;"",$AG2587="",$AJ2587=""),"保留中",IF($AJ2587&lt;&gt;"",IF(N($AC2587)&gt;0,"支給済","不支給"),IF($AC2587="","要確認",IF($AC2587=0,"不支給","未処理")))))</f>
        <v/>
      </c>
      <c r="AE2587" s="12" t="n"/>
      <c r="AF2587" s="11" t="n"/>
      <c r="AG2587" s="11" t="n"/>
      <c r="AH2587" s="11" t="n"/>
      <c r="AI2587" s="14">
        <f>IF(AND($AD2587="保留中",$AF2587&lt;&gt;""),TODAY()-$AF2587,"")</f>
        <v/>
      </c>
      <c r="AJ2587" s="12" t="n"/>
      <c r="AK2587" s="14">
        <f>IF($B2587="","",IF($AO2587="","対象年月が未入力／","")&amp;IF($B2587="","",IF($AN2587="","職員マスタに未登録の職員番号／",IF($Y2587="","標準報酬月額が未登録／","")&amp;IF(AND($AO2587&lt;&gt;"",OR(AND(INDEX(職員マスタ!$G$6:$G$405,$AN2587)&lt;&gt;"",INDEX(職員マスタ!$G$6:$G$405,$AN2587)&gt;EOMONTH($AO2587,0)),AND(INDEX(職員マスタ!$H$6:$H$405,$AN2587)&lt;&gt;"",INDEX(職員マスタ!$H$6:$H$405,$AN2587)&lt;$AO2587))),"対象月が時短期間外／","")&amp;IF(AND(INDEX(職員マスタ!$F$6:$F$405,$AN2587)&lt;&gt;"",$AO2587&lt;&gt;"",INDEX(職員マスタ!$F$6:$F$405,$AN2587)&lt;$AO2587),"対象月に子が2歳到達済／","")&amp;IF(AND($H2587&lt;&gt;"",INDEX(職員マスタ!$B$6:$B$405,$AN2587)&lt;&gt;"",SUBSTITUTE(SUBSTITUTE($H2587," ","")," ","")&lt;&gt;SUBSTITUTE(SUBSTITUTE(INDEX(職員マスタ!$B$6:$B$405,$AN2587)," ","")," ","")),"氏名がマスタと相違／","")&amp;IF(AND($Q2587&lt;&gt;"",INDEX(職員マスタ!$E$6:$E$405,$AN2587)&lt;&gt;"",$Q2587&lt;&gt;INDEX(職員マスタ!$E$6:$E$405,$AN2587)),"子の生年月日がマスタと相違／","")&amp;IF(AND($L2587&lt;&gt;"",INDEX(職員マスタ!$G$6:$G$405,$AN2587)&lt;&gt;"",$L2587&lt;&gt;INDEX(職員マスタ!$G$6:$G$405,$AN2587)),"時短開始日がマスタと相違／","")&amp;IF(AND($M2587&lt;&gt;"",INDEX(職員マスタ!$H$6:$H$405,$AN2587)&lt;&gt;"",$M2587&lt;&gt;INDEX(職員マスタ!$H$6:$H$405,$AN2587)),"時短終了日がマスタと相違／","")))&amp;IF(AND($B2587&lt;&gt;"",$E2587=""),"報酬額が未入力／","")&amp;IF(N($U2587)&gt;0,"申請書に入力エラーが残っています／","")&amp;IF(AND($B2587&lt;&gt;"",$AO2587&lt;&gt;""),IF(COUNTIFS($B$6:$B$3005,$B2587,$C$6:$C$3005,$C2587,$D$6:$D$3005,$D2587)&gt;1,"同じ月の請求が重複しています／",""),"")&amp;IF(AND(N($E2587)&gt;0,$Z2587&lt;&gt;"",$Z2587&lt;&gt;"×",$AC2587=0,$AB2587=""),"計算額が下限以下のため不支給／",""))</f>
        <v/>
      </c>
      <c r="AL2587" s="12" t="n"/>
      <c r="AM2587" s="14">
        <f>IF($AD2587="保留中",COUNTIF($AD$6:$AD2587,"保留中"),"")</f>
        <v/>
      </c>
      <c r="AN2587" s="14">
        <f>IF($AO2587="","",IF(SUMPRODUCT(MAX((職員マスタ!$A$6:$A$405=$B2587)*(((職員マスタ!$G$6:$G$405="")+(職員マスタ!$G$6:$G$405&lt;=EOMONTH($AO2587,0)))&gt;0)*(((職員マスタ!$H$6:$H$405="")+(職員マスタ!$H$6:$H$405&gt;=$AO2587))&gt;0)*(ROW(職員マスタ!$A$6:$A$405)-5)))&gt;0,SUMPRODUCT(MAX((職員マスタ!$A$6:$A$405=$B2587)*(((職員マスタ!$G$6:$G$405="")+(職員マスタ!$G$6:$G$405&lt;=EOMONTH($AO2587,0)))&gt;0)*(((職員マスタ!$H$6:$H$405="")+(職員マスタ!$H$6:$H$405&gt;=$AO2587))&gt;0)*(ROW(職員マスタ!$A$6:$A$405)-5))),IFERROR(MATCH($B2587,職員マスタ!$A$6:$A$405,0),"")))</f>
        <v/>
      </c>
      <c r="AO2587" s="16">
        <f>IF(OR($B2587="",$C2587="",$D2587=""),"",DATE($C2587+2018,$D2587,1))</f>
        <v/>
      </c>
    </row>
    <row r="2588">
      <c r="A2588" s="11" t="n"/>
      <c r="B2588" s="12" t="n"/>
      <c r="C2588" s="12" t="n"/>
      <c r="D2588" s="12" t="n"/>
      <c r="E2588" s="13" t="n"/>
      <c r="F2588" s="12" t="n"/>
      <c r="G2588" s="13" t="n"/>
      <c r="H2588" s="12" t="n"/>
      <c r="I2588" s="12" t="n"/>
      <c r="J2588" s="12" t="n"/>
      <c r="K2588" s="12" t="n"/>
      <c r="L2588" s="11" t="n"/>
      <c r="M2588" s="11" t="n"/>
      <c r="N2588" s="11" t="n"/>
      <c r="O2588" s="11" t="n"/>
      <c r="P2588" s="12" t="n"/>
      <c r="Q2588" s="11" t="n"/>
      <c r="R2588" s="12" t="n"/>
      <c r="S2588" s="11" t="n"/>
      <c r="T2588" s="12" t="n"/>
      <c r="U2588" s="12" t="n"/>
      <c r="V2588" s="14">
        <f>IF($AN2588="",IF($B2588="","",$H2588),IF(INDEX(職員マスタ!$B$6:$B$405,$AN2588)="",$H2588,INDEX(職員マスタ!$B$6:$B$405,$AN2588)))</f>
        <v/>
      </c>
      <c r="W2588" s="14">
        <f>IF($AN2588="",IF($B2588="","",$R2588),IF(INDEX(職員マスタ!$C$6:$C$405,$AN2588)="",$R2588,INDEX(職員マスタ!$C$6:$C$405,$AN2588)))</f>
        <v/>
      </c>
      <c r="X2588" s="14">
        <f>IF($AO2588="","","R"&amp;$C2588&amp;"."&amp;$D2588)</f>
        <v/>
      </c>
      <c r="Y2588" s="15">
        <f>IF($AN2588="","",IF(INDEX(職員マスタ!$K$6:$K$405,$AN2588)="","",INDEX(職員マスタ!$K$6:$K$405,$AN2588)))</f>
        <v/>
      </c>
      <c r="Z2588" s="14">
        <f>IF(OR($E2588="",$Y2588=""),"",IF($E2588&gt;=$Y2588,"×",IF($E2588&gt;=$Y2588*設定!$C$5,"△","○")))</f>
        <v/>
      </c>
      <c r="AA2588" s="15">
        <f>IF($Z2588="","",IF($Z2588="×",0,IF($Z2588="○",ROUNDDOWN($E2588*設定!$C$4,0),ROUNDDOWN($E2588*ROUND((9*$Y2588-9*$E2588)/(10*$E2588),4),0))))</f>
        <v/>
      </c>
      <c r="AB2588" s="13" t="n"/>
      <c r="AC2588" s="15">
        <f>IF($B2588="","",IF($AB2588&lt;&gt;"",$AB2588,IF($AA2588="","",IF($AA2588&lt;=設定!$C$3,0,$AA2588))))</f>
        <v/>
      </c>
      <c r="AD2588" s="14">
        <f>IF($B2588="","",IF(AND($AE2588&lt;&gt;"",$AG2588="",$AJ2588=""),"保留中",IF($AJ2588&lt;&gt;"",IF(N($AC2588)&gt;0,"支給済","不支給"),IF($AC2588="","要確認",IF($AC2588=0,"不支給","未処理")))))</f>
        <v/>
      </c>
      <c r="AE2588" s="12" t="n"/>
      <c r="AF2588" s="11" t="n"/>
      <c r="AG2588" s="11" t="n"/>
      <c r="AH2588" s="11" t="n"/>
      <c r="AI2588" s="14">
        <f>IF(AND($AD2588="保留中",$AF2588&lt;&gt;""),TODAY()-$AF2588,"")</f>
        <v/>
      </c>
      <c r="AJ2588" s="12" t="n"/>
      <c r="AK2588" s="14">
        <f>IF($B2588="","",IF($AO2588="","対象年月が未入力／","")&amp;IF($B2588="","",IF($AN2588="","職員マスタに未登録の職員番号／",IF($Y2588="","標準報酬月額が未登録／","")&amp;IF(AND($AO2588&lt;&gt;"",OR(AND(INDEX(職員マスタ!$G$6:$G$405,$AN2588)&lt;&gt;"",INDEX(職員マスタ!$G$6:$G$405,$AN2588)&gt;EOMONTH($AO2588,0)),AND(INDEX(職員マスタ!$H$6:$H$405,$AN2588)&lt;&gt;"",INDEX(職員マスタ!$H$6:$H$405,$AN2588)&lt;$AO2588))),"対象月が時短期間外／","")&amp;IF(AND(INDEX(職員マスタ!$F$6:$F$405,$AN2588)&lt;&gt;"",$AO2588&lt;&gt;"",INDEX(職員マスタ!$F$6:$F$405,$AN2588)&lt;$AO2588),"対象月に子が2歳到達済／","")&amp;IF(AND($H2588&lt;&gt;"",INDEX(職員マスタ!$B$6:$B$405,$AN2588)&lt;&gt;"",SUBSTITUTE(SUBSTITUTE($H2588," ","")," ","")&lt;&gt;SUBSTITUTE(SUBSTITUTE(INDEX(職員マスタ!$B$6:$B$405,$AN2588)," ","")," ","")),"氏名がマスタと相違／","")&amp;IF(AND($Q2588&lt;&gt;"",INDEX(職員マスタ!$E$6:$E$405,$AN2588)&lt;&gt;"",$Q2588&lt;&gt;INDEX(職員マスタ!$E$6:$E$405,$AN2588)),"子の生年月日がマスタと相違／","")&amp;IF(AND($L2588&lt;&gt;"",INDEX(職員マスタ!$G$6:$G$405,$AN2588)&lt;&gt;"",$L2588&lt;&gt;INDEX(職員マスタ!$G$6:$G$405,$AN2588)),"時短開始日がマスタと相違／","")&amp;IF(AND($M2588&lt;&gt;"",INDEX(職員マスタ!$H$6:$H$405,$AN2588)&lt;&gt;"",$M2588&lt;&gt;INDEX(職員マスタ!$H$6:$H$405,$AN2588)),"時短終了日がマスタと相違／","")))&amp;IF(AND($B2588&lt;&gt;"",$E2588=""),"報酬額が未入力／","")&amp;IF(N($U2588)&gt;0,"申請書に入力エラーが残っています／","")&amp;IF(AND($B2588&lt;&gt;"",$AO2588&lt;&gt;""),IF(COUNTIFS($B$6:$B$3005,$B2588,$C$6:$C$3005,$C2588,$D$6:$D$3005,$D2588)&gt;1,"同じ月の請求が重複しています／",""),"")&amp;IF(AND(N($E2588)&gt;0,$Z2588&lt;&gt;"",$Z2588&lt;&gt;"×",$AC2588=0,$AB2588=""),"計算額が下限以下のため不支給／",""))</f>
        <v/>
      </c>
      <c r="AL2588" s="12" t="n"/>
      <c r="AM2588" s="14">
        <f>IF($AD2588="保留中",COUNTIF($AD$6:$AD2588,"保留中"),"")</f>
        <v/>
      </c>
      <c r="AN2588" s="14">
        <f>IF($AO2588="","",IF(SUMPRODUCT(MAX((職員マスタ!$A$6:$A$405=$B2588)*(((職員マスタ!$G$6:$G$405="")+(職員マスタ!$G$6:$G$405&lt;=EOMONTH($AO2588,0)))&gt;0)*(((職員マスタ!$H$6:$H$405="")+(職員マスタ!$H$6:$H$405&gt;=$AO2588))&gt;0)*(ROW(職員マスタ!$A$6:$A$405)-5)))&gt;0,SUMPRODUCT(MAX((職員マスタ!$A$6:$A$405=$B2588)*(((職員マスタ!$G$6:$G$405="")+(職員マスタ!$G$6:$G$405&lt;=EOMONTH($AO2588,0)))&gt;0)*(((職員マスタ!$H$6:$H$405="")+(職員マスタ!$H$6:$H$405&gt;=$AO2588))&gt;0)*(ROW(職員マスタ!$A$6:$A$405)-5))),IFERROR(MATCH($B2588,職員マスタ!$A$6:$A$405,0),"")))</f>
        <v/>
      </c>
      <c r="AO2588" s="16">
        <f>IF(OR($B2588="",$C2588="",$D2588=""),"",DATE($C2588+2018,$D2588,1))</f>
        <v/>
      </c>
    </row>
    <row r="2589">
      <c r="A2589" s="11" t="n"/>
      <c r="B2589" s="12" t="n"/>
      <c r="C2589" s="12" t="n"/>
      <c r="D2589" s="12" t="n"/>
      <c r="E2589" s="13" t="n"/>
      <c r="F2589" s="12" t="n"/>
      <c r="G2589" s="13" t="n"/>
      <c r="H2589" s="12" t="n"/>
      <c r="I2589" s="12" t="n"/>
      <c r="J2589" s="12" t="n"/>
      <c r="K2589" s="12" t="n"/>
      <c r="L2589" s="11" t="n"/>
      <c r="M2589" s="11" t="n"/>
      <c r="N2589" s="11" t="n"/>
      <c r="O2589" s="11" t="n"/>
      <c r="P2589" s="12" t="n"/>
      <c r="Q2589" s="11" t="n"/>
      <c r="R2589" s="12" t="n"/>
      <c r="S2589" s="11" t="n"/>
      <c r="T2589" s="12" t="n"/>
      <c r="U2589" s="12" t="n"/>
      <c r="V2589" s="14">
        <f>IF($AN2589="",IF($B2589="","",$H2589),IF(INDEX(職員マスタ!$B$6:$B$405,$AN2589)="",$H2589,INDEX(職員マスタ!$B$6:$B$405,$AN2589)))</f>
        <v/>
      </c>
      <c r="W2589" s="14">
        <f>IF($AN2589="",IF($B2589="","",$R2589),IF(INDEX(職員マスタ!$C$6:$C$405,$AN2589)="",$R2589,INDEX(職員マスタ!$C$6:$C$405,$AN2589)))</f>
        <v/>
      </c>
      <c r="X2589" s="14">
        <f>IF($AO2589="","","R"&amp;$C2589&amp;"."&amp;$D2589)</f>
        <v/>
      </c>
      <c r="Y2589" s="15">
        <f>IF($AN2589="","",IF(INDEX(職員マスタ!$K$6:$K$405,$AN2589)="","",INDEX(職員マスタ!$K$6:$K$405,$AN2589)))</f>
        <v/>
      </c>
      <c r="Z2589" s="14">
        <f>IF(OR($E2589="",$Y2589=""),"",IF($E2589&gt;=$Y2589,"×",IF($E2589&gt;=$Y2589*設定!$C$5,"△","○")))</f>
        <v/>
      </c>
      <c r="AA2589" s="15">
        <f>IF($Z2589="","",IF($Z2589="×",0,IF($Z2589="○",ROUNDDOWN($E2589*設定!$C$4,0),ROUNDDOWN($E2589*ROUND((9*$Y2589-9*$E2589)/(10*$E2589),4),0))))</f>
        <v/>
      </c>
      <c r="AB2589" s="13" t="n"/>
      <c r="AC2589" s="15">
        <f>IF($B2589="","",IF($AB2589&lt;&gt;"",$AB2589,IF($AA2589="","",IF($AA2589&lt;=設定!$C$3,0,$AA2589))))</f>
        <v/>
      </c>
      <c r="AD2589" s="14">
        <f>IF($B2589="","",IF(AND($AE2589&lt;&gt;"",$AG2589="",$AJ2589=""),"保留中",IF($AJ2589&lt;&gt;"",IF(N($AC2589)&gt;0,"支給済","不支給"),IF($AC2589="","要確認",IF($AC2589=0,"不支給","未処理")))))</f>
        <v/>
      </c>
      <c r="AE2589" s="12" t="n"/>
      <c r="AF2589" s="11" t="n"/>
      <c r="AG2589" s="11" t="n"/>
      <c r="AH2589" s="11" t="n"/>
      <c r="AI2589" s="14">
        <f>IF(AND($AD2589="保留中",$AF2589&lt;&gt;""),TODAY()-$AF2589,"")</f>
        <v/>
      </c>
      <c r="AJ2589" s="12" t="n"/>
      <c r="AK2589" s="14">
        <f>IF($B2589="","",IF($AO2589="","対象年月が未入力／","")&amp;IF($B2589="","",IF($AN2589="","職員マスタに未登録の職員番号／",IF($Y2589="","標準報酬月額が未登録／","")&amp;IF(AND($AO2589&lt;&gt;"",OR(AND(INDEX(職員マスタ!$G$6:$G$405,$AN2589)&lt;&gt;"",INDEX(職員マスタ!$G$6:$G$405,$AN2589)&gt;EOMONTH($AO2589,0)),AND(INDEX(職員マスタ!$H$6:$H$405,$AN2589)&lt;&gt;"",INDEX(職員マスタ!$H$6:$H$405,$AN2589)&lt;$AO2589))),"対象月が時短期間外／","")&amp;IF(AND(INDEX(職員マスタ!$F$6:$F$405,$AN2589)&lt;&gt;"",$AO2589&lt;&gt;"",INDEX(職員マスタ!$F$6:$F$405,$AN2589)&lt;$AO2589),"対象月に子が2歳到達済／","")&amp;IF(AND($H2589&lt;&gt;"",INDEX(職員マスタ!$B$6:$B$405,$AN2589)&lt;&gt;"",SUBSTITUTE(SUBSTITUTE($H2589," ","")," ","")&lt;&gt;SUBSTITUTE(SUBSTITUTE(INDEX(職員マスタ!$B$6:$B$405,$AN2589)," ","")," ","")),"氏名がマスタと相違／","")&amp;IF(AND($Q2589&lt;&gt;"",INDEX(職員マスタ!$E$6:$E$405,$AN2589)&lt;&gt;"",$Q2589&lt;&gt;INDEX(職員マスタ!$E$6:$E$405,$AN2589)),"子の生年月日がマスタと相違／","")&amp;IF(AND($L2589&lt;&gt;"",INDEX(職員マスタ!$G$6:$G$405,$AN2589)&lt;&gt;"",$L2589&lt;&gt;INDEX(職員マスタ!$G$6:$G$405,$AN2589)),"時短開始日がマスタと相違／","")&amp;IF(AND($M2589&lt;&gt;"",INDEX(職員マスタ!$H$6:$H$405,$AN2589)&lt;&gt;"",$M2589&lt;&gt;INDEX(職員マスタ!$H$6:$H$405,$AN2589)),"時短終了日がマスタと相違／","")))&amp;IF(AND($B2589&lt;&gt;"",$E2589=""),"報酬額が未入力／","")&amp;IF(N($U2589)&gt;0,"申請書に入力エラーが残っています／","")&amp;IF(AND($B2589&lt;&gt;"",$AO2589&lt;&gt;""),IF(COUNTIFS($B$6:$B$3005,$B2589,$C$6:$C$3005,$C2589,$D$6:$D$3005,$D2589)&gt;1,"同じ月の請求が重複しています／",""),"")&amp;IF(AND(N($E2589)&gt;0,$Z2589&lt;&gt;"",$Z2589&lt;&gt;"×",$AC2589=0,$AB2589=""),"計算額が下限以下のため不支給／",""))</f>
        <v/>
      </c>
      <c r="AL2589" s="12" t="n"/>
      <c r="AM2589" s="14">
        <f>IF($AD2589="保留中",COUNTIF($AD$6:$AD2589,"保留中"),"")</f>
        <v/>
      </c>
      <c r="AN2589" s="14">
        <f>IF($AO2589="","",IF(SUMPRODUCT(MAX((職員マスタ!$A$6:$A$405=$B2589)*(((職員マスタ!$G$6:$G$405="")+(職員マスタ!$G$6:$G$405&lt;=EOMONTH($AO2589,0)))&gt;0)*(((職員マスタ!$H$6:$H$405="")+(職員マスタ!$H$6:$H$405&gt;=$AO2589))&gt;0)*(ROW(職員マスタ!$A$6:$A$405)-5)))&gt;0,SUMPRODUCT(MAX((職員マスタ!$A$6:$A$405=$B2589)*(((職員マスタ!$G$6:$G$405="")+(職員マスタ!$G$6:$G$405&lt;=EOMONTH($AO2589,0)))&gt;0)*(((職員マスタ!$H$6:$H$405="")+(職員マスタ!$H$6:$H$405&gt;=$AO2589))&gt;0)*(ROW(職員マスタ!$A$6:$A$405)-5))),IFERROR(MATCH($B2589,職員マスタ!$A$6:$A$405,0),"")))</f>
        <v/>
      </c>
      <c r="AO2589" s="16">
        <f>IF(OR($B2589="",$C2589="",$D2589=""),"",DATE($C2589+2018,$D2589,1))</f>
        <v/>
      </c>
    </row>
    <row r="2590">
      <c r="A2590" s="11" t="n"/>
      <c r="B2590" s="12" t="n"/>
      <c r="C2590" s="12" t="n"/>
      <c r="D2590" s="12" t="n"/>
      <c r="E2590" s="13" t="n"/>
      <c r="F2590" s="12" t="n"/>
      <c r="G2590" s="13" t="n"/>
      <c r="H2590" s="12" t="n"/>
      <c r="I2590" s="12" t="n"/>
      <c r="J2590" s="12" t="n"/>
      <c r="K2590" s="12" t="n"/>
      <c r="L2590" s="11" t="n"/>
      <c r="M2590" s="11" t="n"/>
      <c r="N2590" s="11" t="n"/>
      <c r="O2590" s="11" t="n"/>
      <c r="P2590" s="12" t="n"/>
      <c r="Q2590" s="11" t="n"/>
      <c r="R2590" s="12" t="n"/>
      <c r="S2590" s="11" t="n"/>
      <c r="T2590" s="12" t="n"/>
      <c r="U2590" s="12" t="n"/>
      <c r="V2590" s="14">
        <f>IF($AN2590="",IF($B2590="","",$H2590),IF(INDEX(職員マスタ!$B$6:$B$405,$AN2590)="",$H2590,INDEX(職員マスタ!$B$6:$B$405,$AN2590)))</f>
        <v/>
      </c>
      <c r="W2590" s="14">
        <f>IF($AN2590="",IF($B2590="","",$R2590),IF(INDEX(職員マスタ!$C$6:$C$405,$AN2590)="",$R2590,INDEX(職員マスタ!$C$6:$C$405,$AN2590)))</f>
        <v/>
      </c>
      <c r="X2590" s="14">
        <f>IF($AO2590="","","R"&amp;$C2590&amp;"."&amp;$D2590)</f>
        <v/>
      </c>
      <c r="Y2590" s="15">
        <f>IF($AN2590="","",IF(INDEX(職員マスタ!$K$6:$K$405,$AN2590)="","",INDEX(職員マスタ!$K$6:$K$405,$AN2590)))</f>
        <v/>
      </c>
      <c r="Z2590" s="14">
        <f>IF(OR($E2590="",$Y2590=""),"",IF($E2590&gt;=$Y2590,"×",IF($E2590&gt;=$Y2590*設定!$C$5,"△","○")))</f>
        <v/>
      </c>
      <c r="AA2590" s="15">
        <f>IF($Z2590="","",IF($Z2590="×",0,IF($Z2590="○",ROUNDDOWN($E2590*設定!$C$4,0),ROUNDDOWN($E2590*ROUND((9*$Y2590-9*$E2590)/(10*$E2590),4),0))))</f>
        <v/>
      </c>
      <c r="AB2590" s="13" t="n"/>
      <c r="AC2590" s="15">
        <f>IF($B2590="","",IF($AB2590&lt;&gt;"",$AB2590,IF($AA2590="","",IF($AA2590&lt;=設定!$C$3,0,$AA2590))))</f>
        <v/>
      </c>
      <c r="AD2590" s="14">
        <f>IF($B2590="","",IF(AND($AE2590&lt;&gt;"",$AG2590="",$AJ2590=""),"保留中",IF($AJ2590&lt;&gt;"",IF(N($AC2590)&gt;0,"支給済","不支給"),IF($AC2590="","要確認",IF($AC2590=0,"不支給","未処理")))))</f>
        <v/>
      </c>
      <c r="AE2590" s="12" t="n"/>
      <c r="AF2590" s="11" t="n"/>
      <c r="AG2590" s="11" t="n"/>
      <c r="AH2590" s="11" t="n"/>
      <c r="AI2590" s="14">
        <f>IF(AND($AD2590="保留中",$AF2590&lt;&gt;""),TODAY()-$AF2590,"")</f>
        <v/>
      </c>
      <c r="AJ2590" s="12" t="n"/>
      <c r="AK2590" s="14">
        <f>IF($B2590="","",IF($AO2590="","対象年月が未入力／","")&amp;IF($B2590="","",IF($AN2590="","職員マスタに未登録の職員番号／",IF($Y2590="","標準報酬月額が未登録／","")&amp;IF(AND($AO2590&lt;&gt;"",OR(AND(INDEX(職員マスタ!$G$6:$G$405,$AN2590)&lt;&gt;"",INDEX(職員マスタ!$G$6:$G$405,$AN2590)&gt;EOMONTH($AO2590,0)),AND(INDEX(職員マスタ!$H$6:$H$405,$AN2590)&lt;&gt;"",INDEX(職員マスタ!$H$6:$H$405,$AN2590)&lt;$AO2590))),"対象月が時短期間外／","")&amp;IF(AND(INDEX(職員マスタ!$F$6:$F$405,$AN2590)&lt;&gt;"",$AO2590&lt;&gt;"",INDEX(職員マスタ!$F$6:$F$405,$AN2590)&lt;$AO2590),"対象月に子が2歳到達済／","")&amp;IF(AND($H2590&lt;&gt;"",INDEX(職員マスタ!$B$6:$B$405,$AN2590)&lt;&gt;"",SUBSTITUTE(SUBSTITUTE($H2590," ","")," ","")&lt;&gt;SUBSTITUTE(SUBSTITUTE(INDEX(職員マスタ!$B$6:$B$405,$AN2590)," ","")," ","")),"氏名がマスタと相違／","")&amp;IF(AND($Q2590&lt;&gt;"",INDEX(職員マスタ!$E$6:$E$405,$AN2590)&lt;&gt;"",$Q2590&lt;&gt;INDEX(職員マスタ!$E$6:$E$405,$AN2590)),"子の生年月日がマスタと相違／","")&amp;IF(AND($L2590&lt;&gt;"",INDEX(職員マスタ!$G$6:$G$405,$AN2590)&lt;&gt;"",$L2590&lt;&gt;INDEX(職員マスタ!$G$6:$G$405,$AN2590)),"時短開始日がマスタと相違／","")&amp;IF(AND($M2590&lt;&gt;"",INDEX(職員マスタ!$H$6:$H$405,$AN2590)&lt;&gt;"",$M2590&lt;&gt;INDEX(職員マスタ!$H$6:$H$405,$AN2590)),"時短終了日がマスタと相違／","")))&amp;IF(AND($B2590&lt;&gt;"",$E2590=""),"報酬額が未入力／","")&amp;IF(N($U2590)&gt;0,"申請書に入力エラーが残っています／","")&amp;IF(AND($B2590&lt;&gt;"",$AO2590&lt;&gt;""),IF(COUNTIFS($B$6:$B$3005,$B2590,$C$6:$C$3005,$C2590,$D$6:$D$3005,$D2590)&gt;1,"同じ月の請求が重複しています／",""),"")&amp;IF(AND(N($E2590)&gt;0,$Z2590&lt;&gt;"",$Z2590&lt;&gt;"×",$AC2590=0,$AB2590=""),"計算額が下限以下のため不支給／",""))</f>
        <v/>
      </c>
      <c r="AL2590" s="12" t="n"/>
      <c r="AM2590" s="14">
        <f>IF($AD2590="保留中",COUNTIF($AD$6:$AD2590,"保留中"),"")</f>
        <v/>
      </c>
      <c r="AN2590" s="14">
        <f>IF($AO2590="","",IF(SUMPRODUCT(MAX((職員マスタ!$A$6:$A$405=$B2590)*(((職員マスタ!$G$6:$G$405="")+(職員マスタ!$G$6:$G$405&lt;=EOMONTH($AO2590,0)))&gt;0)*(((職員マスタ!$H$6:$H$405="")+(職員マスタ!$H$6:$H$405&gt;=$AO2590))&gt;0)*(ROW(職員マスタ!$A$6:$A$405)-5)))&gt;0,SUMPRODUCT(MAX((職員マスタ!$A$6:$A$405=$B2590)*(((職員マスタ!$G$6:$G$405="")+(職員マスタ!$G$6:$G$405&lt;=EOMONTH($AO2590,0)))&gt;0)*(((職員マスタ!$H$6:$H$405="")+(職員マスタ!$H$6:$H$405&gt;=$AO2590))&gt;0)*(ROW(職員マスタ!$A$6:$A$405)-5))),IFERROR(MATCH($B2590,職員マスタ!$A$6:$A$405,0),"")))</f>
        <v/>
      </c>
      <c r="AO2590" s="16">
        <f>IF(OR($B2590="",$C2590="",$D2590=""),"",DATE($C2590+2018,$D2590,1))</f>
        <v/>
      </c>
    </row>
    <row r="2591">
      <c r="A2591" s="11" t="n"/>
      <c r="B2591" s="12" t="n"/>
      <c r="C2591" s="12" t="n"/>
      <c r="D2591" s="12" t="n"/>
      <c r="E2591" s="13" t="n"/>
      <c r="F2591" s="12" t="n"/>
      <c r="G2591" s="13" t="n"/>
      <c r="H2591" s="12" t="n"/>
      <c r="I2591" s="12" t="n"/>
      <c r="J2591" s="12" t="n"/>
      <c r="K2591" s="12" t="n"/>
      <c r="L2591" s="11" t="n"/>
      <c r="M2591" s="11" t="n"/>
      <c r="N2591" s="11" t="n"/>
      <c r="O2591" s="11" t="n"/>
      <c r="P2591" s="12" t="n"/>
      <c r="Q2591" s="11" t="n"/>
      <c r="R2591" s="12" t="n"/>
      <c r="S2591" s="11" t="n"/>
      <c r="T2591" s="12" t="n"/>
      <c r="U2591" s="12" t="n"/>
      <c r="V2591" s="14">
        <f>IF($AN2591="",IF($B2591="","",$H2591),IF(INDEX(職員マスタ!$B$6:$B$405,$AN2591)="",$H2591,INDEX(職員マスタ!$B$6:$B$405,$AN2591)))</f>
        <v/>
      </c>
      <c r="W2591" s="14">
        <f>IF($AN2591="",IF($B2591="","",$R2591),IF(INDEX(職員マスタ!$C$6:$C$405,$AN2591)="",$R2591,INDEX(職員マスタ!$C$6:$C$405,$AN2591)))</f>
        <v/>
      </c>
      <c r="X2591" s="14">
        <f>IF($AO2591="","","R"&amp;$C2591&amp;"."&amp;$D2591)</f>
        <v/>
      </c>
      <c r="Y2591" s="15">
        <f>IF($AN2591="","",IF(INDEX(職員マスタ!$K$6:$K$405,$AN2591)="","",INDEX(職員マスタ!$K$6:$K$405,$AN2591)))</f>
        <v/>
      </c>
      <c r="Z2591" s="14">
        <f>IF(OR($E2591="",$Y2591=""),"",IF($E2591&gt;=$Y2591,"×",IF($E2591&gt;=$Y2591*設定!$C$5,"△","○")))</f>
        <v/>
      </c>
      <c r="AA2591" s="15">
        <f>IF($Z2591="","",IF($Z2591="×",0,IF($Z2591="○",ROUNDDOWN($E2591*設定!$C$4,0),ROUNDDOWN($E2591*ROUND((9*$Y2591-9*$E2591)/(10*$E2591),4),0))))</f>
        <v/>
      </c>
      <c r="AB2591" s="13" t="n"/>
      <c r="AC2591" s="15">
        <f>IF($B2591="","",IF($AB2591&lt;&gt;"",$AB2591,IF($AA2591="","",IF($AA2591&lt;=設定!$C$3,0,$AA2591))))</f>
        <v/>
      </c>
      <c r="AD2591" s="14">
        <f>IF($B2591="","",IF(AND($AE2591&lt;&gt;"",$AG2591="",$AJ2591=""),"保留中",IF($AJ2591&lt;&gt;"",IF(N($AC2591)&gt;0,"支給済","不支給"),IF($AC2591="","要確認",IF($AC2591=0,"不支給","未処理")))))</f>
        <v/>
      </c>
      <c r="AE2591" s="12" t="n"/>
      <c r="AF2591" s="11" t="n"/>
      <c r="AG2591" s="11" t="n"/>
      <c r="AH2591" s="11" t="n"/>
      <c r="AI2591" s="14">
        <f>IF(AND($AD2591="保留中",$AF2591&lt;&gt;""),TODAY()-$AF2591,"")</f>
        <v/>
      </c>
      <c r="AJ2591" s="12" t="n"/>
      <c r="AK2591" s="14">
        <f>IF($B2591="","",IF($AO2591="","対象年月が未入力／","")&amp;IF($B2591="","",IF($AN2591="","職員マスタに未登録の職員番号／",IF($Y2591="","標準報酬月額が未登録／","")&amp;IF(AND($AO2591&lt;&gt;"",OR(AND(INDEX(職員マスタ!$G$6:$G$405,$AN2591)&lt;&gt;"",INDEX(職員マスタ!$G$6:$G$405,$AN2591)&gt;EOMONTH($AO2591,0)),AND(INDEX(職員マスタ!$H$6:$H$405,$AN2591)&lt;&gt;"",INDEX(職員マスタ!$H$6:$H$405,$AN2591)&lt;$AO2591))),"対象月が時短期間外／","")&amp;IF(AND(INDEX(職員マスタ!$F$6:$F$405,$AN2591)&lt;&gt;"",$AO2591&lt;&gt;"",INDEX(職員マスタ!$F$6:$F$405,$AN2591)&lt;$AO2591),"対象月に子が2歳到達済／","")&amp;IF(AND($H2591&lt;&gt;"",INDEX(職員マスタ!$B$6:$B$405,$AN2591)&lt;&gt;"",SUBSTITUTE(SUBSTITUTE($H2591," ","")," ","")&lt;&gt;SUBSTITUTE(SUBSTITUTE(INDEX(職員マスタ!$B$6:$B$405,$AN2591)," ","")," ","")),"氏名がマスタと相違／","")&amp;IF(AND($Q2591&lt;&gt;"",INDEX(職員マスタ!$E$6:$E$405,$AN2591)&lt;&gt;"",$Q2591&lt;&gt;INDEX(職員マスタ!$E$6:$E$405,$AN2591)),"子の生年月日がマスタと相違／","")&amp;IF(AND($L2591&lt;&gt;"",INDEX(職員マスタ!$G$6:$G$405,$AN2591)&lt;&gt;"",$L2591&lt;&gt;INDEX(職員マスタ!$G$6:$G$405,$AN2591)),"時短開始日がマスタと相違／","")&amp;IF(AND($M2591&lt;&gt;"",INDEX(職員マスタ!$H$6:$H$405,$AN2591)&lt;&gt;"",$M2591&lt;&gt;INDEX(職員マスタ!$H$6:$H$405,$AN2591)),"時短終了日がマスタと相違／","")))&amp;IF(AND($B2591&lt;&gt;"",$E2591=""),"報酬額が未入力／","")&amp;IF(N($U2591)&gt;0,"申請書に入力エラーが残っています／","")&amp;IF(AND($B2591&lt;&gt;"",$AO2591&lt;&gt;""),IF(COUNTIFS($B$6:$B$3005,$B2591,$C$6:$C$3005,$C2591,$D$6:$D$3005,$D2591)&gt;1,"同じ月の請求が重複しています／",""),"")&amp;IF(AND(N($E2591)&gt;0,$Z2591&lt;&gt;"",$Z2591&lt;&gt;"×",$AC2591=0,$AB2591=""),"計算額が下限以下のため不支給／",""))</f>
        <v/>
      </c>
      <c r="AL2591" s="12" t="n"/>
      <c r="AM2591" s="14">
        <f>IF($AD2591="保留中",COUNTIF($AD$6:$AD2591,"保留中"),"")</f>
        <v/>
      </c>
      <c r="AN2591" s="14">
        <f>IF($AO2591="","",IF(SUMPRODUCT(MAX((職員マスタ!$A$6:$A$405=$B2591)*(((職員マスタ!$G$6:$G$405="")+(職員マスタ!$G$6:$G$405&lt;=EOMONTH($AO2591,0)))&gt;0)*(((職員マスタ!$H$6:$H$405="")+(職員マスタ!$H$6:$H$405&gt;=$AO2591))&gt;0)*(ROW(職員マスタ!$A$6:$A$405)-5)))&gt;0,SUMPRODUCT(MAX((職員マスタ!$A$6:$A$405=$B2591)*(((職員マスタ!$G$6:$G$405="")+(職員マスタ!$G$6:$G$405&lt;=EOMONTH($AO2591,0)))&gt;0)*(((職員マスタ!$H$6:$H$405="")+(職員マスタ!$H$6:$H$405&gt;=$AO2591))&gt;0)*(ROW(職員マスタ!$A$6:$A$405)-5))),IFERROR(MATCH($B2591,職員マスタ!$A$6:$A$405,0),"")))</f>
        <v/>
      </c>
      <c r="AO2591" s="16">
        <f>IF(OR($B2591="",$C2591="",$D2591=""),"",DATE($C2591+2018,$D2591,1))</f>
        <v/>
      </c>
    </row>
    <row r="2592">
      <c r="A2592" s="11" t="n"/>
      <c r="B2592" s="12" t="n"/>
      <c r="C2592" s="12" t="n"/>
      <c r="D2592" s="12" t="n"/>
      <c r="E2592" s="13" t="n"/>
      <c r="F2592" s="12" t="n"/>
      <c r="G2592" s="13" t="n"/>
      <c r="H2592" s="12" t="n"/>
      <c r="I2592" s="12" t="n"/>
      <c r="J2592" s="12" t="n"/>
      <c r="K2592" s="12" t="n"/>
      <c r="L2592" s="11" t="n"/>
      <c r="M2592" s="11" t="n"/>
      <c r="N2592" s="11" t="n"/>
      <c r="O2592" s="11" t="n"/>
      <c r="P2592" s="12" t="n"/>
      <c r="Q2592" s="11" t="n"/>
      <c r="R2592" s="12" t="n"/>
      <c r="S2592" s="11" t="n"/>
      <c r="T2592" s="12" t="n"/>
      <c r="U2592" s="12" t="n"/>
      <c r="V2592" s="14">
        <f>IF($AN2592="",IF($B2592="","",$H2592),IF(INDEX(職員マスタ!$B$6:$B$405,$AN2592)="",$H2592,INDEX(職員マスタ!$B$6:$B$405,$AN2592)))</f>
        <v/>
      </c>
      <c r="W2592" s="14">
        <f>IF($AN2592="",IF($B2592="","",$R2592),IF(INDEX(職員マスタ!$C$6:$C$405,$AN2592)="",$R2592,INDEX(職員マスタ!$C$6:$C$405,$AN2592)))</f>
        <v/>
      </c>
      <c r="X2592" s="14">
        <f>IF($AO2592="","","R"&amp;$C2592&amp;"."&amp;$D2592)</f>
        <v/>
      </c>
      <c r="Y2592" s="15">
        <f>IF($AN2592="","",IF(INDEX(職員マスタ!$K$6:$K$405,$AN2592)="","",INDEX(職員マスタ!$K$6:$K$405,$AN2592)))</f>
        <v/>
      </c>
      <c r="Z2592" s="14">
        <f>IF(OR($E2592="",$Y2592=""),"",IF($E2592&gt;=$Y2592,"×",IF($E2592&gt;=$Y2592*設定!$C$5,"△","○")))</f>
        <v/>
      </c>
      <c r="AA2592" s="15">
        <f>IF($Z2592="","",IF($Z2592="×",0,IF($Z2592="○",ROUNDDOWN($E2592*設定!$C$4,0),ROUNDDOWN($E2592*ROUND((9*$Y2592-9*$E2592)/(10*$E2592),4),0))))</f>
        <v/>
      </c>
      <c r="AB2592" s="13" t="n"/>
      <c r="AC2592" s="15">
        <f>IF($B2592="","",IF($AB2592&lt;&gt;"",$AB2592,IF($AA2592="","",IF($AA2592&lt;=設定!$C$3,0,$AA2592))))</f>
        <v/>
      </c>
      <c r="AD2592" s="14">
        <f>IF($B2592="","",IF(AND($AE2592&lt;&gt;"",$AG2592="",$AJ2592=""),"保留中",IF($AJ2592&lt;&gt;"",IF(N($AC2592)&gt;0,"支給済","不支給"),IF($AC2592="","要確認",IF($AC2592=0,"不支給","未処理")))))</f>
        <v/>
      </c>
      <c r="AE2592" s="12" t="n"/>
      <c r="AF2592" s="11" t="n"/>
      <c r="AG2592" s="11" t="n"/>
      <c r="AH2592" s="11" t="n"/>
      <c r="AI2592" s="14">
        <f>IF(AND($AD2592="保留中",$AF2592&lt;&gt;""),TODAY()-$AF2592,"")</f>
        <v/>
      </c>
      <c r="AJ2592" s="12" t="n"/>
      <c r="AK2592" s="14">
        <f>IF($B2592="","",IF($AO2592="","対象年月が未入力／","")&amp;IF($B2592="","",IF($AN2592="","職員マスタに未登録の職員番号／",IF($Y2592="","標準報酬月額が未登録／","")&amp;IF(AND($AO2592&lt;&gt;"",OR(AND(INDEX(職員マスタ!$G$6:$G$405,$AN2592)&lt;&gt;"",INDEX(職員マスタ!$G$6:$G$405,$AN2592)&gt;EOMONTH($AO2592,0)),AND(INDEX(職員マスタ!$H$6:$H$405,$AN2592)&lt;&gt;"",INDEX(職員マスタ!$H$6:$H$405,$AN2592)&lt;$AO2592))),"対象月が時短期間外／","")&amp;IF(AND(INDEX(職員マスタ!$F$6:$F$405,$AN2592)&lt;&gt;"",$AO2592&lt;&gt;"",INDEX(職員マスタ!$F$6:$F$405,$AN2592)&lt;$AO2592),"対象月に子が2歳到達済／","")&amp;IF(AND($H2592&lt;&gt;"",INDEX(職員マスタ!$B$6:$B$405,$AN2592)&lt;&gt;"",SUBSTITUTE(SUBSTITUTE($H2592," ","")," ","")&lt;&gt;SUBSTITUTE(SUBSTITUTE(INDEX(職員マスタ!$B$6:$B$405,$AN2592)," ","")," ","")),"氏名がマスタと相違／","")&amp;IF(AND($Q2592&lt;&gt;"",INDEX(職員マスタ!$E$6:$E$405,$AN2592)&lt;&gt;"",$Q2592&lt;&gt;INDEX(職員マスタ!$E$6:$E$405,$AN2592)),"子の生年月日がマスタと相違／","")&amp;IF(AND($L2592&lt;&gt;"",INDEX(職員マスタ!$G$6:$G$405,$AN2592)&lt;&gt;"",$L2592&lt;&gt;INDEX(職員マスタ!$G$6:$G$405,$AN2592)),"時短開始日がマスタと相違／","")&amp;IF(AND($M2592&lt;&gt;"",INDEX(職員マスタ!$H$6:$H$405,$AN2592)&lt;&gt;"",$M2592&lt;&gt;INDEX(職員マスタ!$H$6:$H$405,$AN2592)),"時短終了日がマスタと相違／","")))&amp;IF(AND($B2592&lt;&gt;"",$E2592=""),"報酬額が未入力／","")&amp;IF(N($U2592)&gt;0,"申請書に入力エラーが残っています／","")&amp;IF(AND($B2592&lt;&gt;"",$AO2592&lt;&gt;""),IF(COUNTIFS($B$6:$B$3005,$B2592,$C$6:$C$3005,$C2592,$D$6:$D$3005,$D2592)&gt;1,"同じ月の請求が重複しています／",""),"")&amp;IF(AND(N($E2592)&gt;0,$Z2592&lt;&gt;"",$Z2592&lt;&gt;"×",$AC2592=0,$AB2592=""),"計算額が下限以下のため不支給／",""))</f>
        <v/>
      </c>
      <c r="AL2592" s="12" t="n"/>
      <c r="AM2592" s="14">
        <f>IF($AD2592="保留中",COUNTIF($AD$6:$AD2592,"保留中"),"")</f>
        <v/>
      </c>
      <c r="AN2592" s="14">
        <f>IF($AO2592="","",IF(SUMPRODUCT(MAX((職員マスタ!$A$6:$A$405=$B2592)*(((職員マスタ!$G$6:$G$405="")+(職員マスタ!$G$6:$G$405&lt;=EOMONTH($AO2592,0)))&gt;0)*(((職員マスタ!$H$6:$H$405="")+(職員マスタ!$H$6:$H$405&gt;=$AO2592))&gt;0)*(ROW(職員マスタ!$A$6:$A$405)-5)))&gt;0,SUMPRODUCT(MAX((職員マスタ!$A$6:$A$405=$B2592)*(((職員マスタ!$G$6:$G$405="")+(職員マスタ!$G$6:$G$405&lt;=EOMONTH($AO2592,0)))&gt;0)*(((職員マスタ!$H$6:$H$405="")+(職員マスタ!$H$6:$H$405&gt;=$AO2592))&gt;0)*(ROW(職員マスタ!$A$6:$A$405)-5))),IFERROR(MATCH($B2592,職員マスタ!$A$6:$A$405,0),"")))</f>
        <v/>
      </c>
      <c r="AO2592" s="16">
        <f>IF(OR($B2592="",$C2592="",$D2592=""),"",DATE($C2592+2018,$D2592,1))</f>
        <v/>
      </c>
    </row>
    <row r="2593">
      <c r="A2593" s="11" t="n"/>
      <c r="B2593" s="12" t="n"/>
      <c r="C2593" s="12" t="n"/>
      <c r="D2593" s="12" t="n"/>
      <c r="E2593" s="13" t="n"/>
      <c r="F2593" s="12" t="n"/>
      <c r="G2593" s="13" t="n"/>
      <c r="H2593" s="12" t="n"/>
      <c r="I2593" s="12" t="n"/>
      <c r="J2593" s="12" t="n"/>
      <c r="K2593" s="12" t="n"/>
      <c r="L2593" s="11" t="n"/>
      <c r="M2593" s="11" t="n"/>
      <c r="N2593" s="11" t="n"/>
      <c r="O2593" s="11" t="n"/>
      <c r="P2593" s="12" t="n"/>
      <c r="Q2593" s="11" t="n"/>
      <c r="R2593" s="12" t="n"/>
      <c r="S2593" s="11" t="n"/>
      <c r="T2593" s="12" t="n"/>
      <c r="U2593" s="12" t="n"/>
      <c r="V2593" s="14">
        <f>IF($AN2593="",IF($B2593="","",$H2593),IF(INDEX(職員マスタ!$B$6:$B$405,$AN2593)="",$H2593,INDEX(職員マスタ!$B$6:$B$405,$AN2593)))</f>
        <v/>
      </c>
      <c r="W2593" s="14">
        <f>IF($AN2593="",IF($B2593="","",$R2593),IF(INDEX(職員マスタ!$C$6:$C$405,$AN2593)="",$R2593,INDEX(職員マスタ!$C$6:$C$405,$AN2593)))</f>
        <v/>
      </c>
      <c r="X2593" s="14">
        <f>IF($AO2593="","","R"&amp;$C2593&amp;"."&amp;$D2593)</f>
        <v/>
      </c>
      <c r="Y2593" s="15">
        <f>IF($AN2593="","",IF(INDEX(職員マスタ!$K$6:$K$405,$AN2593)="","",INDEX(職員マスタ!$K$6:$K$405,$AN2593)))</f>
        <v/>
      </c>
      <c r="Z2593" s="14">
        <f>IF(OR($E2593="",$Y2593=""),"",IF($E2593&gt;=$Y2593,"×",IF($E2593&gt;=$Y2593*設定!$C$5,"△","○")))</f>
        <v/>
      </c>
      <c r="AA2593" s="15">
        <f>IF($Z2593="","",IF($Z2593="×",0,IF($Z2593="○",ROUNDDOWN($E2593*設定!$C$4,0),ROUNDDOWN($E2593*ROUND((9*$Y2593-9*$E2593)/(10*$E2593),4),0))))</f>
        <v/>
      </c>
      <c r="AB2593" s="13" t="n"/>
      <c r="AC2593" s="15">
        <f>IF($B2593="","",IF($AB2593&lt;&gt;"",$AB2593,IF($AA2593="","",IF($AA2593&lt;=設定!$C$3,0,$AA2593))))</f>
        <v/>
      </c>
      <c r="AD2593" s="14">
        <f>IF($B2593="","",IF(AND($AE2593&lt;&gt;"",$AG2593="",$AJ2593=""),"保留中",IF($AJ2593&lt;&gt;"",IF(N($AC2593)&gt;0,"支給済","不支給"),IF($AC2593="","要確認",IF($AC2593=0,"不支給","未処理")))))</f>
        <v/>
      </c>
      <c r="AE2593" s="12" t="n"/>
      <c r="AF2593" s="11" t="n"/>
      <c r="AG2593" s="11" t="n"/>
      <c r="AH2593" s="11" t="n"/>
      <c r="AI2593" s="14">
        <f>IF(AND($AD2593="保留中",$AF2593&lt;&gt;""),TODAY()-$AF2593,"")</f>
        <v/>
      </c>
      <c r="AJ2593" s="12" t="n"/>
      <c r="AK2593" s="14">
        <f>IF($B2593="","",IF($AO2593="","対象年月が未入力／","")&amp;IF($B2593="","",IF($AN2593="","職員マスタに未登録の職員番号／",IF($Y2593="","標準報酬月額が未登録／","")&amp;IF(AND($AO2593&lt;&gt;"",OR(AND(INDEX(職員マスタ!$G$6:$G$405,$AN2593)&lt;&gt;"",INDEX(職員マスタ!$G$6:$G$405,$AN2593)&gt;EOMONTH($AO2593,0)),AND(INDEX(職員マスタ!$H$6:$H$405,$AN2593)&lt;&gt;"",INDEX(職員マスタ!$H$6:$H$405,$AN2593)&lt;$AO2593))),"対象月が時短期間外／","")&amp;IF(AND(INDEX(職員マスタ!$F$6:$F$405,$AN2593)&lt;&gt;"",$AO2593&lt;&gt;"",INDEX(職員マスタ!$F$6:$F$405,$AN2593)&lt;$AO2593),"対象月に子が2歳到達済／","")&amp;IF(AND($H2593&lt;&gt;"",INDEX(職員マスタ!$B$6:$B$405,$AN2593)&lt;&gt;"",SUBSTITUTE(SUBSTITUTE($H2593," ","")," ","")&lt;&gt;SUBSTITUTE(SUBSTITUTE(INDEX(職員マスタ!$B$6:$B$405,$AN2593)," ","")," ","")),"氏名がマスタと相違／","")&amp;IF(AND($Q2593&lt;&gt;"",INDEX(職員マスタ!$E$6:$E$405,$AN2593)&lt;&gt;"",$Q2593&lt;&gt;INDEX(職員マスタ!$E$6:$E$405,$AN2593)),"子の生年月日がマスタと相違／","")&amp;IF(AND($L2593&lt;&gt;"",INDEX(職員マスタ!$G$6:$G$405,$AN2593)&lt;&gt;"",$L2593&lt;&gt;INDEX(職員マスタ!$G$6:$G$405,$AN2593)),"時短開始日がマスタと相違／","")&amp;IF(AND($M2593&lt;&gt;"",INDEX(職員マスタ!$H$6:$H$405,$AN2593)&lt;&gt;"",$M2593&lt;&gt;INDEX(職員マスタ!$H$6:$H$405,$AN2593)),"時短終了日がマスタと相違／","")))&amp;IF(AND($B2593&lt;&gt;"",$E2593=""),"報酬額が未入力／","")&amp;IF(N($U2593)&gt;0,"申請書に入力エラーが残っています／","")&amp;IF(AND($B2593&lt;&gt;"",$AO2593&lt;&gt;""),IF(COUNTIFS($B$6:$B$3005,$B2593,$C$6:$C$3005,$C2593,$D$6:$D$3005,$D2593)&gt;1,"同じ月の請求が重複しています／",""),"")&amp;IF(AND(N($E2593)&gt;0,$Z2593&lt;&gt;"",$Z2593&lt;&gt;"×",$AC2593=0,$AB2593=""),"計算額が下限以下のため不支給／",""))</f>
        <v/>
      </c>
      <c r="AL2593" s="12" t="n"/>
      <c r="AM2593" s="14">
        <f>IF($AD2593="保留中",COUNTIF($AD$6:$AD2593,"保留中"),"")</f>
        <v/>
      </c>
      <c r="AN2593" s="14">
        <f>IF($AO2593="","",IF(SUMPRODUCT(MAX((職員マスタ!$A$6:$A$405=$B2593)*(((職員マスタ!$G$6:$G$405="")+(職員マスタ!$G$6:$G$405&lt;=EOMONTH($AO2593,0)))&gt;0)*(((職員マスタ!$H$6:$H$405="")+(職員マスタ!$H$6:$H$405&gt;=$AO2593))&gt;0)*(ROW(職員マスタ!$A$6:$A$405)-5)))&gt;0,SUMPRODUCT(MAX((職員マスタ!$A$6:$A$405=$B2593)*(((職員マスタ!$G$6:$G$405="")+(職員マスタ!$G$6:$G$405&lt;=EOMONTH($AO2593,0)))&gt;0)*(((職員マスタ!$H$6:$H$405="")+(職員マスタ!$H$6:$H$405&gt;=$AO2593))&gt;0)*(ROW(職員マスタ!$A$6:$A$405)-5))),IFERROR(MATCH($B2593,職員マスタ!$A$6:$A$405,0),"")))</f>
        <v/>
      </c>
      <c r="AO2593" s="16">
        <f>IF(OR($B2593="",$C2593="",$D2593=""),"",DATE($C2593+2018,$D2593,1))</f>
        <v/>
      </c>
    </row>
    <row r="2594">
      <c r="A2594" s="11" t="n"/>
      <c r="B2594" s="12" t="n"/>
      <c r="C2594" s="12" t="n"/>
      <c r="D2594" s="12" t="n"/>
      <c r="E2594" s="13" t="n"/>
      <c r="F2594" s="12" t="n"/>
      <c r="G2594" s="13" t="n"/>
      <c r="H2594" s="12" t="n"/>
      <c r="I2594" s="12" t="n"/>
      <c r="J2594" s="12" t="n"/>
      <c r="K2594" s="12" t="n"/>
      <c r="L2594" s="11" t="n"/>
      <c r="M2594" s="11" t="n"/>
      <c r="N2594" s="11" t="n"/>
      <c r="O2594" s="11" t="n"/>
      <c r="P2594" s="12" t="n"/>
      <c r="Q2594" s="11" t="n"/>
      <c r="R2594" s="12" t="n"/>
      <c r="S2594" s="11" t="n"/>
      <c r="T2594" s="12" t="n"/>
      <c r="U2594" s="12" t="n"/>
      <c r="V2594" s="14">
        <f>IF($AN2594="",IF($B2594="","",$H2594),IF(INDEX(職員マスタ!$B$6:$B$405,$AN2594)="",$H2594,INDEX(職員マスタ!$B$6:$B$405,$AN2594)))</f>
        <v/>
      </c>
      <c r="W2594" s="14">
        <f>IF($AN2594="",IF($B2594="","",$R2594),IF(INDEX(職員マスタ!$C$6:$C$405,$AN2594)="",$R2594,INDEX(職員マスタ!$C$6:$C$405,$AN2594)))</f>
        <v/>
      </c>
      <c r="X2594" s="14">
        <f>IF($AO2594="","","R"&amp;$C2594&amp;"."&amp;$D2594)</f>
        <v/>
      </c>
      <c r="Y2594" s="15">
        <f>IF($AN2594="","",IF(INDEX(職員マスタ!$K$6:$K$405,$AN2594)="","",INDEX(職員マスタ!$K$6:$K$405,$AN2594)))</f>
        <v/>
      </c>
      <c r="Z2594" s="14">
        <f>IF(OR($E2594="",$Y2594=""),"",IF($E2594&gt;=$Y2594,"×",IF($E2594&gt;=$Y2594*設定!$C$5,"△","○")))</f>
        <v/>
      </c>
      <c r="AA2594" s="15">
        <f>IF($Z2594="","",IF($Z2594="×",0,IF($Z2594="○",ROUNDDOWN($E2594*設定!$C$4,0),ROUNDDOWN($E2594*ROUND((9*$Y2594-9*$E2594)/(10*$E2594),4),0))))</f>
        <v/>
      </c>
      <c r="AB2594" s="13" t="n"/>
      <c r="AC2594" s="15">
        <f>IF($B2594="","",IF($AB2594&lt;&gt;"",$AB2594,IF($AA2594="","",IF($AA2594&lt;=設定!$C$3,0,$AA2594))))</f>
        <v/>
      </c>
      <c r="AD2594" s="14">
        <f>IF($B2594="","",IF(AND($AE2594&lt;&gt;"",$AG2594="",$AJ2594=""),"保留中",IF($AJ2594&lt;&gt;"",IF(N($AC2594)&gt;0,"支給済","不支給"),IF($AC2594="","要確認",IF($AC2594=0,"不支給","未処理")))))</f>
        <v/>
      </c>
      <c r="AE2594" s="12" t="n"/>
      <c r="AF2594" s="11" t="n"/>
      <c r="AG2594" s="11" t="n"/>
      <c r="AH2594" s="11" t="n"/>
      <c r="AI2594" s="14">
        <f>IF(AND($AD2594="保留中",$AF2594&lt;&gt;""),TODAY()-$AF2594,"")</f>
        <v/>
      </c>
      <c r="AJ2594" s="12" t="n"/>
      <c r="AK2594" s="14">
        <f>IF($B2594="","",IF($AO2594="","対象年月が未入力／","")&amp;IF($B2594="","",IF($AN2594="","職員マスタに未登録の職員番号／",IF($Y2594="","標準報酬月額が未登録／","")&amp;IF(AND($AO2594&lt;&gt;"",OR(AND(INDEX(職員マスタ!$G$6:$G$405,$AN2594)&lt;&gt;"",INDEX(職員マスタ!$G$6:$G$405,$AN2594)&gt;EOMONTH($AO2594,0)),AND(INDEX(職員マスタ!$H$6:$H$405,$AN2594)&lt;&gt;"",INDEX(職員マスタ!$H$6:$H$405,$AN2594)&lt;$AO2594))),"対象月が時短期間外／","")&amp;IF(AND(INDEX(職員マスタ!$F$6:$F$405,$AN2594)&lt;&gt;"",$AO2594&lt;&gt;"",INDEX(職員マスタ!$F$6:$F$405,$AN2594)&lt;$AO2594),"対象月に子が2歳到達済／","")&amp;IF(AND($H2594&lt;&gt;"",INDEX(職員マスタ!$B$6:$B$405,$AN2594)&lt;&gt;"",SUBSTITUTE(SUBSTITUTE($H2594," ","")," ","")&lt;&gt;SUBSTITUTE(SUBSTITUTE(INDEX(職員マスタ!$B$6:$B$405,$AN2594)," ","")," ","")),"氏名がマスタと相違／","")&amp;IF(AND($Q2594&lt;&gt;"",INDEX(職員マスタ!$E$6:$E$405,$AN2594)&lt;&gt;"",$Q2594&lt;&gt;INDEX(職員マスタ!$E$6:$E$405,$AN2594)),"子の生年月日がマスタと相違／","")&amp;IF(AND($L2594&lt;&gt;"",INDEX(職員マスタ!$G$6:$G$405,$AN2594)&lt;&gt;"",$L2594&lt;&gt;INDEX(職員マスタ!$G$6:$G$405,$AN2594)),"時短開始日がマスタと相違／","")&amp;IF(AND($M2594&lt;&gt;"",INDEX(職員マスタ!$H$6:$H$405,$AN2594)&lt;&gt;"",$M2594&lt;&gt;INDEX(職員マスタ!$H$6:$H$405,$AN2594)),"時短終了日がマスタと相違／","")))&amp;IF(AND($B2594&lt;&gt;"",$E2594=""),"報酬額が未入力／","")&amp;IF(N($U2594)&gt;0,"申請書に入力エラーが残っています／","")&amp;IF(AND($B2594&lt;&gt;"",$AO2594&lt;&gt;""),IF(COUNTIFS($B$6:$B$3005,$B2594,$C$6:$C$3005,$C2594,$D$6:$D$3005,$D2594)&gt;1,"同じ月の請求が重複しています／",""),"")&amp;IF(AND(N($E2594)&gt;0,$Z2594&lt;&gt;"",$Z2594&lt;&gt;"×",$AC2594=0,$AB2594=""),"計算額が下限以下のため不支給／",""))</f>
        <v/>
      </c>
      <c r="AL2594" s="12" t="n"/>
      <c r="AM2594" s="14">
        <f>IF($AD2594="保留中",COUNTIF($AD$6:$AD2594,"保留中"),"")</f>
        <v/>
      </c>
      <c r="AN2594" s="14">
        <f>IF($AO2594="","",IF(SUMPRODUCT(MAX((職員マスタ!$A$6:$A$405=$B2594)*(((職員マスタ!$G$6:$G$405="")+(職員マスタ!$G$6:$G$405&lt;=EOMONTH($AO2594,0)))&gt;0)*(((職員マスタ!$H$6:$H$405="")+(職員マスタ!$H$6:$H$405&gt;=$AO2594))&gt;0)*(ROW(職員マスタ!$A$6:$A$405)-5)))&gt;0,SUMPRODUCT(MAX((職員マスタ!$A$6:$A$405=$B2594)*(((職員マスタ!$G$6:$G$405="")+(職員マスタ!$G$6:$G$405&lt;=EOMONTH($AO2594,0)))&gt;0)*(((職員マスタ!$H$6:$H$405="")+(職員マスタ!$H$6:$H$405&gt;=$AO2594))&gt;0)*(ROW(職員マスタ!$A$6:$A$405)-5))),IFERROR(MATCH($B2594,職員マスタ!$A$6:$A$405,0),"")))</f>
        <v/>
      </c>
      <c r="AO2594" s="16">
        <f>IF(OR($B2594="",$C2594="",$D2594=""),"",DATE($C2594+2018,$D2594,1))</f>
        <v/>
      </c>
    </row>
    <row r="2595">
      <c r="A2595" s="11" t="n"/>
      <c r="B2595" s="12" t="n"/>
      <c r="C2595" s="12" t="n"/>
      <c r="D2595" s="12" t="n"/>
      <c r="E2595" s="13" t="n"/>
      <c r="F2595" s="12" t="n"/>
      <c r="G2595" s="13" t="n"/>
      <c r="H2595" s="12" t="n"/>
      <c r="I2595" s="12" t="n"/>
      <c r="J2595" s="12" t="n"/>
      <c r="K2595" s="12" t="n"/>
      <c r="L2595" s="11" t="n"/>
      <c r="M2595" s="11" t="n"/>
      <c r="N2595" s="11" t="n"/>
      <c r="O2595" s="11" t="n"/>
      <c r="P2595" s="12" t="n"/>
      <c r="Q2595" s="11" t="n"/>
      <c r="R2595" s="12" t="n"/>
      <c r="S2595" s="11" t="n"/>
      <c r="T2595" s="12" t="n"/>
      <c r="U2595" s="12" t="n"/>
      <c r="V2595" s="14">
        <f>IF($AN2595="",IF($B2595="","",$H2595),IF(INDEX(職員マスタ!$B$6:$B$405,$AN2595)="",$H2595,INDEX(職員マスタ!$B$6:$B$405,$AN2595)))</f>
        <v/>
      </c>
      <c r="W2595" s="14">
        <f>IF($AN2595="",IF($B2595="","",$R2595),IF(INDEX(職員マスタ!$C$6:$C$405,$AN2595)="",$R2595,INDEX(職員マスタ!$C$6:$C$405,$AN2595)))</f>
        <v/>
      </c>
      <c r="X2595" s="14">
        <f>IF($AO2595="","","R"&amp;$C2595&amp;"."&amp;$D2595)</f>
        <v/>
      </c>
      <c r="Y2595" s="15">
        <f>IF($AN2595="","",IF(INDEX(職員マスタ!$K$6:$K$405,$AN2595)="","",INDEX(職員マスタ!$K$6:$K$405,$AN2595)))</f>
        <v/>
      </c>
      <c r="Z2595" s="14">
        <f>IF(OR($E2595="",$Y2595=""),"",IF($E2595&gt;=$Y2595,"×",IF($E2595&gt;=$Y2595*設定!$C$5,"△","○")))</f>
        <v/>
      </c>
      <c r="AA2595" s="15">
        <f>IF($Z2595="","",IF($Z2595="×",0,IF($Z2595="○",ROUNDDOWN($E2595*設定!$C$4,0),ROUNDDOWN($E2595*ROUND((9*$Y2595-9*$E2595)/(10*$E2595),4),0))))</f>
        <v/>
      </c>
      <c r="AB2595" s="13" t="n"/>
      <c r="AC2595" s="15">
        <f>IF($B2595="","",IF($AB2595&lt;&gt;"",$AB2595,IF($AA2595="","",IF($AA2595&lt;=設定!$C$3,0,$AA2595))))</f>
        <v/>
      </c>
      <c r="AD2595" s="14">
        <f>IF($B2595="","",IF(AND($AE2595&lt;&gt;"",$AG2595="",$AJ2595=""),"保留中",IF($AJ2595&lt;&gt;"",IF(N($AC2595)&gt;0,"支給済","不支給"),IF($AC2595="","要確認",IF($AC2595=0,"不支給","未処理")))))</f>
        <v/>
      </c>
      <c r="AE2595" s="12" t="n"/>
      <c r="AF2595" s="11" t="n"/>
      <c r="AG2595" s="11" t="n"/>
      <c r="AH2595" s="11" t="n"/>
      <c r="AI2595" s="14">
        <f>IF(AND($AD2595="保留中",$AF2595&lt;&gt;""),TODAY()-$AF2595,"")</f>
        <v/>
      </c>
      <c r="AJ2595" s="12" t="n"/>
      <c r="AK2595" s="14">
        <f>IF($B2595="","",IF($AO2595="","対象年月が未入力／","")&amp;IF($B2595="","",IF($AN2595="","職員マスタに未登録の職員番号／",IF($Y2595="","標準報酬月額が未登録／","")&amp;IF(AND($AO2595&lt;&gt;"",OR(AND(INDEX(職員マスタ!$G$6:$G$405,$AN2595)&lt;&gt;"",INDEX(職員マスタ!$G$6:$G$405,$AN2595)&gt;EOMONTH($AO2595,0)),AND(INDEX(職員マスタ!$H$6:$H$405,$AN2595)&lt;&gt;"",INDEX(職員マスタ!$H$6:$H$405,$AN2595)&lt;$AO2595))),"対象月が時短期間外／","")&amp;IF(AND(INDEX(職員マスタ!$F$6:$F$405,$AN2595)&lt;&gt;"",$AO2595&lt;&gt;"",INDEX(職員マスタ!$F$6:$F$405,$AN2595)&lt;$AO2595),"対象月に子が2歳到達済／","")&amp;IF(AND($H2595&lt;&gt;"",INDEX(職員マスタ!$B$6:$B$405,$AN2595)&lt;&gt;"",SUBSTITUTE(SUBSTITUTE($H2595," ","")," ","")&lt;&gt;SUBSTITUTE(SUBSTITUTE(INDEX(職員マスタ!$B$6:$B$405,$AN2595)," ","")," ","")),"氏名がマスタと相違／","")&amp;IF(AND($Q2595&lt;&gt;"",INDEX(職員マスタ!$E$6:$E$405,$AN2595)&lt;&gt;"",$Q2595&lt;&gt;INDEX(職員マスタ!$E$6:$E$405,$AN2595)),"子の生年月日がマスタと相違／","")&amp;IF(AND($L2595&lt;&gt;"",INDEX(職員マスタ!$G$6:$G$405,$AN2595)&lt;&gt;"",$L2595&lt;&gt;INDEX(職員マスタ!$G$6:$G$405,$AN2595)),"時短開始日がマスタと相違／","")&amp;IF(AND($M2595&lt;&gt;"",INDEX(職員マスタ!$H$6:$H$405,$AN2595)&lt;&gt;"",$M2595&lt;&gt;INDEX(職員マスタ!$H$6:$H$405,$AN2595)),"時短終了日がマスタと相違／","")))&amp;IF(AND($B2595&lt;&gt;"",$E2595=""),"報酬額が未入力／","")&amp;IF(N($U2595)&gt;0,"申請書に入力エラーが残っています／","")&amp;IF(AND($B2595&lt;&gt;"",$AO2595&lt;&gt;""),IF(COUNTIFS($B$6:$B$3005,$B2595,$C$6:$C$3005,$C2595,$D$6:$D$3005,$D2595)&gt;1,"同じ月の請求が重複しています／",""),"")&amp;IF(AND(N($E2595)&gt;0,$Z2595&lt;&gt;"",$Z2595&lt;&gt;"×",$AC2595=0,$AB2595=""),"計算額が下限以下のため不支給／",""))</f>
        <v/>
      </c>
      <c r="AL2595" s="12" t="n"/>
      <c r="AM2595" s="14">
        <f>IF($AD2595="保留中",COUNTIF($AD$6:$AD2595,"保留中"),"")</f>
        <v/>
      </c>
      <c r="AN2595" s="14">
        <f>IF($AO2595="","",IF(SUMPRODUCT(MAX((職員マスタ!$A$6:$A$405=$B2595)*(((職員マスタ!$G$6:$G$405="")+(職員マスタ!$G$6:$G$405&lt;=EOMONTH($AO2595,0)))&gt;0)*(((職員マスタ!$H$6:$H$405="")+(職員マスタ!$H$6:$H$405&gt;=$AO2595))&gt;0)*(ROW(職員マスタ!$A$6:$A$405)-5)))&gt;0,SUMPRODUCT(MAX((職員マスタ!$A$6:$A$405=$B2595)*(((職員マスタ!$G$6:$G$405="")+(職員マスタ!$G$6:$G$405&lt;=EOMONTH($AO2595,0)))&gt;0)*(((職員マスタ!$H$6:$H$405="")+(職員マスタ!$H$6:$H$405&gt;=$AO2595))&gt;0)*(ROW(職員マスタ!$A$6:$A$405)-5))),IFERROR(MATCH($B2595,職員マスタ!$A$6:$A$405,0),"")))</f>
        <v/>
      </c>
      <c r="AO2595" s="16">
        <f>IF(OR($B2595="",$C2595="",$D2595=""),"",DATE($C2595+2018,$D2595,1))</f>
        <v/>
      </c>
    </row>
    <row r="2596">
      <c r="A2596" s="11" t="n"/>
      <c r="B2596" s="12" t="n"/>
      <c r="C2596" s="12" t="n"/>
      <c r="D2596" s="12" t="n"/>
      <c r="E2596" s="13" t="n"/>
      <c r="F2596" s="12" t="n"/>
      <c r="G2596" s="13" t="n"/>
      <c r="H2596" s="12" t="n"/>
      <c r="I2596" s="12" t="n"/>
      <c r="J2596" s="12" t="n"/>
      <c r="K2596" s="12" t="n"/>
      <c r="L2596" s="11" t="n"/>
      <c r="M2596" s="11" t="n"/>
      <c r="N2596" s="11" t="n"/>
      <c r="O2596" s="11" t="n"/>
      <c r="P2596" s="12" t="n"/>
      <c r="Q2596" s="11" t="n"/>
      <c r="R2596" s="12" t="n"/>
      <c r="S2596" s="11" t="n"/>
      <c r="T2596" s="12" t="n"/>
      <c r="U2596" s="12" t="n"/>
      <c r="V2596" s="14">
        <f>IF($AN2596="",IF($B2596="","",$H2596),IF(INDEX(職員マスタ!$B$6:$B$405,$AN2596)="",$H2596,INDEX(職員マスタ!$B$6:$B$405,$AN2596)))</f>
        <v/>
      </c>
      <c r="W2596" s="14">
        <f>IF($AN2596="",IF($B2596="","",$R2596),IF(INDEX(職員マスタ!$C$6:$C$405,$AN2596)="",$R2596,INDEX(職員マスタ!$C$6:$C$405,$AN2596)))</f>
        <v/>
      </c>
      <c r="X2596" s="14">
        <f>IF($AO2596="","","R"&amp;$C2596&amp;"."&amp;$D2596)</f>
        <v/>
      </c>
      <c r="Y2596" s="15">
        <f>IF($AN2596="","",IF(INDEX(職員マスタ!$K$6:$K$405,$AN2596)="","",INDEX(職員マスタ!$K$6:$K$405,$AN2596)))</f>
        <v/>
      </c>
      <c r="Z2596" s="14">
        <f>IF(OR($E2596="",$Y2596=""),"",IF($E2596&gt;=$Y2596,"×",IF($E2596&gt;=$Y2596*設定!$C$5,"△","○")))</f>
        <v/>
      </c>
      <c r="AA2596" s="15">
        <f>IF($Z2596="","",IF($Z2596="×",0,IF($Z2596="○",ROUNDDOWN($E2596*設定!$C$4,0),ROUNDDOWN($E2596*ROUND((9*$Y2596-9*$E2596)/(10*$E2596),4),0))))</f>
        <v/>
      </c>
      <c r="AB2596" s="13" t="n"/>
      <c r="AC2596" s="15">
        <f>IF($B2596="","",IF($AB2596&lt;&gt;"",$AB2596,IF($AA2596="","",IF($AA2596&lt;=設定!$C$3,0,$AA2596))))</f>
        <v/>
      </c>
      <c r="AD2596" s="14">
        <f>IF($B2596="","",IF(AND($AE2596&lt;&gt;"",$AG2596="",$AJ2596=""),"保留中",IF($AJ2596&lt;&gt;"",IF(N($AC2596)&gt;0,"支給済","不支給"),IF($AC2596="","要確認",IF($AC2596=0,"不支給","未処理")))))</f>
        <v/>
      </c>
      <c r="AE2596" s="12" t="n"/>
      <c r="AF2596" s="11" t="n"/>
      <c r="AG2596" s="11" t="n"/>
      <c r="AH2596" s="11" t="n"/>
      <c r="AI2596" s="14">
        <f>IF(AND($AD2596="保留中",$AF2596&lt;&gt;""),TODAY()-$AF2596,"")</f>
        <v/>
      </c>
      <c r="AJ2596" s="12" t="n"/>
      <c r="AK2596" s="14">
        <f>IF($B2596="","",IF($AO2596="","対象年月が未入力／","")&amp;IF($B2596="","",IF($AN2596="","職員マスタに未登録の職員番号／",IF($Y2596="","標準報酬月額が未登録／","")&amp;IF(AND($AO2596&lt;&gt;"",OR(AND(INDEX(職員マスタ!$G$6:$G$405,$AN2596)&lt;&gt;"",INDEX(職員マスタ!$G$6:$G$405,$AN2596)&gt;EOMONTH($AO2596,0)),AND(INDEX(職員マスタ!$H$6:$H$405,$AN2596)&lt;&gt;"",INDEX(職員マスタ!$H$6:$H$405,$AN2596)&lt;$AO2596))),"対象月が時短期間外／","")&amp;IF(AND(INDEX(職員マスタ!$F$6:$F$405,$AN2596)&lt;&gt;"",$AO2596&lt;&gt;"",INDEX(職員マスタ!$F$6:$F$405,$AN2596)&lt;$AO2596),"対象月に子が2歳到達済／","")&amp;IF(AND($H2596&lt;&gt;"",INDEX(職員マスタ!$B$6:$B$405,$AN2596)&lt;&gt;"",SUBSTITUTE(SUBSTITUTE($H2596," ","")," ","")&lt;&gt;SUBSTITUTE(SUBSTITUTE(INDEX(職員マスタ!$B$6:$B$405,$AN2596)," ","")," ","")),"氏名がマスタと相違／","")&amp;IF(AND($Q2596&lt;&gt;"",INDEX(職員マスタ!$E$6:$E$405,$AN2596)&lt;&gt;"",$Q2596&lt;&gt;INDEX(職員マスタ!$E$6:$E$405,$AN2596)),"子の生年月日がマスタと相違／","")&amp;IF(AND($L2596&lt;&gt;"",INDEX(職員マスタ!$G$6:$G$405,$AN2596)&lt;&gt;"",$L2596&lt;&gt;INDEX(職員マスタ!$G$6:$G$405,$AN2596)),"時短開始日がマスタと相違／","")&amp;IF(AND($M2596&lt;&gt;"",INDEX(職員マスタ!$H$6:$H$405,$AN2596)&lt;&gt;"",$M2596&lt;&gt;INDEX(職員マスタ!$H$6:$H$405,$AN2596)),"時短終了日がマスタと相違／","")))&amp;IF(AND($B2596&lt;&gt;"",$E2596=""),"報酬額が未入力／","")&amp;IF(N($U2596)&gt;0,"申請書に入力エラーが残っています／","")&amp;IF(AND($B2596&lt;&gt;"",$AO2596&lt;&gt;""),IF(COUNTIFS($B$6:$B$3005,$B2596,$C$6:$C$3005,$C2596,$D$6:$D$3005,$D2596)&gt;1,"同じ月の請求が重複しています／",""),"")&amp;IF(AND(N($E2596)&gt;0,$Z2596&lt;&gt;"",$Z2596&lt;&gt;"×",$AC2596=0,$AB2596=""),"計算額が下限以下のため不支給／",""))</f>
        <v/>
      </c>
      <c r="AL2596" s="12" t="n"/>
      <c r="AM2596" s="14">
        <f>IF($AD2596="保留中",COUNTIF($AD$6:$AD2596,"保留中"),"")</f>
        <v/>
      </c>
      <c r="AN2596" s="14">
        <f>IF($AO2596="","",IF(SUMPRODUCT(MAX((職員マスタ!$A$6:$A$405=$B2596)*(((職員マスタ!$G$6:$G$405="")+(職員マスタ!$G$6:$G$405&lt;=EOMONTH($AO2596,0)))&gt;0)*(((職員マスタ!$H$6:$H$405="")+(職員マスタ!$H$6:$H$405&gt;=$AO2596))&gt;0)*(ROW(職員マスタ!$A$6:$A$405)-5)))&gt;0,SUMPRODUCT(MAX((職員マスタ!$A$6:$A$405=$B2596)*(((職員マスタ!$G$6:$G$405="")+(職員マスタ!$G$6:$G$405&lt;=EOMONTH($AO2596,0)))&gt;0)*(((職員マスタ!$H$6:$H$405="")+(職員マスタ!$H$6:$H$405&gt;=$AO2596))&gt;0)*(ROW(職員マスタ!$A$6:$A$405)-5))),IFERROR(MATCH($B2596,職員マスタ!$A$6:$A$405,0),"")))</f>
        <v/>
      </c>
      <c r="AO2596" s="16">
        <f>IF(OR($B2596="",$C2596="",$D2596=""),"",DATE($C2596+2018,$D2596,1))</f>
        <v/>
      </c>
    </row>
    <row r="2597">
      <c r="A2597" s="11" t="n"/>
      <c r="B2597" s="12" t="n"/>
      <c r="C2597" s="12" t="n"/>
      <c r="D2597" s="12" t="n"/>
      <c r="E2597" s="13" t="n"/>
      <c r="F2597" s="12" t="n"/>
      <c r="G2597" s="13" t="n"/>
      <c r="H2597" s="12" t="n"/>
      <c r="I2597" s="12" t="n"/>
      <c r="J2597" s="12" t="n"/>
      <c r="K2597" s="12" t="n"/>
      <c r="L2597" s="11" t="n"/>
      <c r="M2597" s="11" t="n"/>
      <c r="N2597" s="11" t="n"/>
      <c r="O2597" s="11" t="n"/>
      <c r="P2597" s="12" t="n"/>
      <c r="Q2597" s="11" t="n"/>
      <c r="R2597" s="12" t="n"/>
      <c r="S2597" s="11" t="n"/>
      <c r="T2597" s="12" t="n"/>
      <c r="U2597" s="12" t="n"/>
      <c r="V2597" s="14">
        <f>IF($AN2597="",IF($B2597="","",$H2597),IF(INDEX(職員マスタ!$B$6:$B$405,$AN2597)="",$H2597,INDEX(職員マスタ!$B$6:$B$405,$AN2597)))</f>
        <v/>
      </c>
      <c r="W2597" s="14">
        <f>IF($AN2597="",IF($B2597="","",$R2597),IF(INDEX(職員マスタ!$C$6:$C$405,$AN2597)="",$R2597,INDEX(職員マスタ!$C$6:$C$405,$AN2597)))</f>
        <v/>
      </c>
      <c r="X2597" s="14">
        <f>IF($AO2597="","","R"&amp;$C2597&amp;"."&amp;$D2597)</f>
        <v/>
      </c>
      <c r="Y2597" s="15">
        <f>IF($AN2597="","",IF(INDEX(職員マスタ!$K$6:$K$405,$AN2597)="","",INDEX(職員マスタ!$K$6:$K$405,$AN2597)))</f>
        <v/>
      </c>
      <c r="Z2597" s="14">
        <f>IF(OR($E2597="",$Y2597=""),"",IF($E2597&gt;=$Y2597,"×",IF($E2597&gt;=$Y2597*設定!$C$5,"△","○")))</f>
        <v/>
      </c>
      <c r="AA2597" s="15">
        <f>IF($Z2597="","",IF($Z2597="×",0,IF($Z2597="○",ROUNDDOWN($E2597*設定!$C$4,0),ROUNDDOWN($E2597*ROUND((9*$Y2597-9*$E2597)/(10*$E2597),4),0))))</f>
        <v/>
      </c>
      <c r="AB2597" s="13" t="n"/>
      <c r="AC2597" s="15">
        <f>IF($B2597="","",IF($AB2597&lt;&gt;"",$AB2597,IF($AA2597="","",IF($AA2597&lt;=設定!$C$3,0,$AA2597))))</f>
        <v/>
      </c>
      <c r="AD2597" s="14">
        <f>IF($B2597="","",IF(AND($AE2597&lt;&gt;"",$AG2597="",$AJ2597=""),"保留中",IF($AJ2597&lt;&gt;"",IF(N($AC2597)&gt;0,"支給済","不支給"),IF($AC2597="","要確認",IF($AC2597=0,"不支給","未処理")))))</f>
        <v/>
      </c>
      <c r="AE2597" s="12" t="n"/>
      <c r="AF2597" s="11" t="n"/>
      <c r="AG2597" s="11" t="n"/>
      <c r="AH2597" s="11" t="n"/>
      <c r="AI2597" s="14">
        <f>IF(AND($AD2597="保留中",$AF2597&lt;&gt;""),TODAY()-$AF2597,"")</f>
        <v/>
      </c>
      <c r="AJ2597" s="12" t="n"/>
      <c r="AK2597" s="14">
        <f>IF($B2597="","",IF($AO2597="","対象年月が未入力／","")&amp;IF($B2597="","",IF($AN2597="","職員マスタに未登録の職員番号／",IF($Y2597="","標準報酬月額が未登録／","")&amp;IF(AND($AO2597&lt;&gt;"",OR(AND(INDEX(職員マスタ!$G$6:$G$405,$AN2597)&lt;&gt;"",INDEX(職員マスタ!$G$6:$G$405,$AN2597)&gt;EOMONTH($AO2597,0)),AND(INDEX(職員マスタ!$H$6:$H$405,$AN2597)&lt;&gt;"",INDEX(職員マスタ!$H$6:$H$405,$AN2597)&lt;$AO2597))),"対象月が時短期間外／","")&amp;IF(AND(INDEX(職員マスタ!$F$6:$F$405,$AN2597)&lt;&gt;"",$AO2597&lt;&gt;"",INDEX(職員マスタ!$F$6:$F$405,$AN2597)&lt;$AO2597),"対象月に子が2歳到達済／","")&amp;IF(AND($H2597&lt;&gt;"",INDEX(職員マスタ!$B$6:$B$405,$AN2597)&lt;&gt;"",SUBSTITUTE(SUBSTITUTE($H2597," ","")," ","")&lt;&gt;SUBSTITUTE(SUBSTITUTE(INDEX(職員マスタ!$B$6:$B$405,$AN2597)," ","")," ","")),"氏名がマスタと相違／","")&amp;IF(AND($Q2597&lt;&gt;"",INDEX(職員マスタ!$E$6:$E$405,$AN2597)&lt;&gt;"",$Q2597&lt;&gt;INDEX(職員マスタ!$E$6:$E$405,$AN2597)),"子の生年月日がマスタと相違／","")&amp;IF(AND($L2597&lt;&gt;"",INDEX(職員マスタ!$G$6:$G$405,$AN2597)&lt;&gt;"",$L2597&lt;&gt;INDEX(職員マスタ!$G$6:$G$405,$AN2597)),"時短開始日がマスタと相違／","")&amp;IF(AND($M2597&lt;&gt;"",INDEX(職員マスタ!$H$6:$H$405,$AN2597)&lt;&gt;"",$M2597&lt;&gt;INDEX(職員マスタ!$H$6:$H$405,$AN2597)),"時短終了日がマスタと相違／","")))&amp;IF(AND($B2597&lt;&gt;"",$E2597=""),"報酬額が未入力／","")&amp;IF(N($U2597)&gt;0,"申請書に入力エラーが残っています／","")&amp;IF(AND($B2597&lt;&gt;"",$AO2597&lt;&gt;""),IF(COUNTIFS($B$6:$B$3005,$B2597,$C$6:$C$3005,$C2597,$D$6:$D$3005,$D2597)&gt;1,"同じ月の請求が重複しています／",""),"")&amp;IF(AND(N($E2597)&gt;0,$Z2597&lt;&gt;"",$Z2597&lt;&gt;"×",$AC2597=0,$AB2597=""),"計算額が下限以下のため不支給／",""))</f>
        <v/>
      </c>
      <c r="AL2597" s="12" t="n"/>
      <c r="AM2597" s="14">
        <f>IF($AD2597="保留中",COUNTIF($AD$6:$AD2597,"保留中"),"")</f>
        <v/>
      </c>
      <c r="AN2597" s="14">
        <f>IF($AO2597="","",IF(SUMPRODUCT(MAX((職員マスタ!$A$6:$A$405=$B2597)*(((職員マスタ!$G$6:$G$405="")+(職員マスタ!$G$6:$G$405&lt;=EOMONTH($AO2597,0)))&gt;0)*(((職員マスタ!$H$6:$H$405="")+(職員マスタ!$H$6:$H$405&gt;=$AO2597))&gt;0)*(ROW(職員マスタ!$A$6:$A$405)-5)))&gt;0,SUMPRODUCT(MAX((職員マスタ!$A$6:$A$405=$B2597)*(((職員マスタ!$G$6:$G$405="")+(職員マスタ!$G$6:$G$405&lt;=EOMONTH($AO2597,0)))&gt;0)*(((職員マスタ!$H$6:$H$405="")+(職員マスタ!$H$6:$H$405&gt;=$AO2597))&gt;0)*(ROW(職員マスタ!$A$6:$A$405)-5))),IFERROR(MATCH($B2597,職員マスタ!$A$6:$A$405,0),"")))</f>
        <v/>
      </c>
      <c r="AO2597" s="16">
        <f>IF(OR($B2597="",$C2597="",$D2597=""),"",DATE($C2597+2018,$D2597,1))</f>
        <v/>
      </c>
    </row>
    <row r="2598">
      <c r="A2598" s="11" t="n"/>
      <c r="B2598" s="12" t="n"/>
      <c r="C2598" s="12" t="n"/>
      <c r="D2598" s="12" t="n"/>
      <c r="E2598" s="13" t="n"/>
      <c r="F2598" s="12" t="n"/>
      <c r="G2598" s="13" t="n"/>
      <c r="H2598" s="12" t="n"/>
      <c r="I2598" s="12" t="n"/>
      <c r="J2598" s="12" t="n"/>
      <c r="K2598" s="12" t="n"/>
      <c r="L2598" s="11" t="n"/>
      <c r="M2598" s="11" t="n"/>
      <c r="N2598" s="11" t="n"/>
      <c r="O2598" s="11" t="n"/>
      <c r="P2598" s="12" t="n"/>
      <c r="Q2598" s="11" t="n"/>
      <c r="R2598" s="12" t="n"/>
      <c r="S2598" s="11" t="n"/>
      <c r="T2598" s="12" t="n"/>
      <c r="U2598" s="12" t="n"/>
      <c r="V2598" s="14">
        <f>IF($AN2598="",IF($B2598="","",$H2598),IF(INDEX(職員マスタ!$B$6:$B$405,$AN2598)="",$H2598,INDEX(職員マスタ!$B$6:$B$405,$AN2598)))</f>
        <v/>
      </c>
      <c r="W2598" s="14">
        <f>IF($AN2598="",IF($B2598="","",$R2598),IF(INDEX(職員マスタ!$C$6:$C$405,$AN2598)="",$R2598,INDEX(職員マスタ!$C$6:$C$405,$AN2598)))</f>
        <v/>
      </c>
      <c r="X2598" s="14">
        <f>IF($AO2598="","","R"&amp;$C2598&amp;"."&amp;$D2598)</f>
        <v/>
      </c>
      <c r="Y2598" s="15">
        <f>IF($AN2598="","",IF(INDEX(職員マスタ!$K$6:$K$405,$AN2598)="","",INDEX(職員マスタ!$K$6:$K$405,$AN2598)))</f>
        <v/>
      </c>
      <c r="Z2598" s="14">
        <f>IF(OR($E2598="",$Y2598=""),"",IF($E2598&gt;=$Y2598,"×",IF($E2598&gt;=$Y2598*設定!$C$5,"△","○")))</f>
        <v/>
      </c>
      <c r="AA2598" s="15">
        <f>IF($Z2598="","",IF($Z2598="×",0,IF($Z2598="○",ROUNDDOWN($E2598*設定!$C$4,0),ROUNDDOWN($E2598*ROUND((9*$Y2598-9*$E2598)/(10*$E2598),4),0))))</f>
        <v/>
      </c>
      <c r="AB2598" s="13" t="n"/>
      <c r="AC2598" s="15">
        <f>IF($B2598="","",IF($AB2598&lt;&gt;"",$AB2598,IF($AA2598="","",IF($AA2598&lt;=設定!$C$3,0,$AA2598))))</f>
        <v/>
      </c>
      <c r="AD2598" s="14">
        <f>IF($B2598="","",IF(AND($AE2598&lt;&gt;"",$AG2598="",$AJ2598=""),"保留中",IF($AJ2598&lt;&gt;"",IF(N($AC2598)&gt;0,"支給済","不支給"),IF($AC2598="","要確認",IF($AC2598=0,"不支給","未処理")))))</f>
        <v/>
      </c>
      <c r="AE2598" s="12" t="n"/>
      <c r="AF2598" s="11" t="n"/>
      <c r="AG2598" s="11" t="n"/>
      <c r="AH2598" s="11" t="n"/>
      <c r="AI2598" s="14">
        <f>IF(AND($AD2598="保留中",$AF2598&lt;&gt;""),TODAY()-$AF2598,"")</f>
        <v/>
      </c>
      <c r="AJ2598" s="12" t="n"/>
      <c r="AK2598" s="14">
        <f>IF($B2598="","",IF($AO2598="","対象年月が未入力／","")&amp;IF($B2598="","",IF($AN2598="","職員マスタに未登録の職員番号／",IF($Y2598="","標準報酬月額が未登録／","")&amp;IF(AND($AO2598&lt;&gt;"",OR(AND(INDEX(職員マスタ!$G$6:$G$405,$AN2598)&lt;&gt;"",INDEX(職員マスタ!$G$6:$G$405,$AN2598)&gt;EOMONTH($AO2598,0)),AND(INDEX(職員マスタ!$H$6:$H$405,$AN2598)&lt;&gt;"",INDEX(職員マスタ!$H$6:$H$405,$AN2598)&lt;$AO2598))),"対象月が時短期間外／","")&amp;IF(AND(INDEX(職員マスタ!$F$6:$F$405,$AN2598)&lt;&gt;"",$AO2598&lt;&gt;"",INDEX(職員マスタ!$F$6:$F$405,$AN2598)&lt;$AO2598),"対象月に子が2歳到達済／","")&amp;IF(AND($H2598&lt;&gt;"",INDEX(職員マスタ!$B$6:$B$405,$AN2598)&lt;&gt;"",SUBSTITUTE(SUBSTITUTE($H2598," ","")," ","")&lt;&gt;SUBSTITUTE(SUBSTITUTE(INDEX(職員マスタ!$B$6:$B$405,$AN2598)," ","")," ","")),"氏名がマスタと相違／","")&amp;IF(AND($Q2598&lt;&gt;"",INDEX(職員マスタ!$E$6:$E$405,$AN2598)&lt;&gt;"",$Q2598&lt;&gt;INDEX(職員マスタ!$E$6:$E$405,$AN2598)),"子の生年月日がマスタと相違／","")&amp;IF(AND($L2598&lt;&gt;"",INDEX(職員マスタ!$G$6:$G$405,$AN2598)&lt;&gt;"",$L2598&lt;&gt;INDEX(職員マスタ!$G$6:$G$405,$AN2598)),"時短開始日がマスタと相違／","")&amp;IF(AND($M2598&lt;&gt;"",INDEX(職員マスタ!$H$6:$H$405,$AN2598)&lt;&gt;"",$M2598&lt;&gt;INDEX(職員マスタ!$H$6:$H$405,$AN2598)),"時短終了日がマスタと相違／","")))&amp;IF(AND($B2598&lt;&gt;"",$E2598=""),"報酬額が未入力／","")&amp;IF(N($U2598)&gt;0,"申請書に入力エラーが残っています／","")&amp;IF(AND($B2598&lt;&gt;"",$AO2598&lt;&gt;""),IF(COUNTIFS($B$6:$B$3005,$B2598,$C$6:$C$3005,$C2598,$D$6:$D$3005,$D2598)&gt;1,"同じ月の請求が重複しています／",""),"")&amp;IF(AND(N($E2598)&gt;0,$Z2598&lt;&gt;"",$Z2598&lt;&gt;"×",$AC2598=0,$AB2598=""),"計算額が下限以下のため不支給／",""))</f>
        <v/>
      </c>
      <c r="AL2598" s="12" t="n"/>
      <c r="AM2598" s="14">
        <f>IF($AD2598="保留中",COUNTIF($AD$6:$AD2598,"保留中"),"")</f>
        <v/>
      </c>
      <c r="AN2598" s="14">
        <f>IF($AO2598="","",IF(SUMPRODUCT(MAX((職員マスタ!$A$6:$A$405=$B2598)*(((職員マスタ!$G$6:$G$405="")+(職員マスタ!$G$6:$G$405&lt;=EOMONTH($AO2598,0)))&gt;0)*(((職員マスタ!$H$6:$H$405="")+(職員マスタ!$H$6:$H$405&gt;=$AO2598))&gt;0)*(ROW(職員マスタ!$A$6:$A$405)-5)))&gt;0,SUMPRODUCT(MAX((職員マスタ!$A$6:$A$405=$B2598)*(((職員マスタ!$G$6:$G$405="")+(職員マスタ!$G$6:$G$405&lt;=EOMONTH($AO2598,0)))&gt;0)*(((職員マスタ!$H$6:$H$405="")+(職員マスタ!$H$6:$H$405&gt;=$AO2598))&gt;0)*(ROW(職員マスタ!$A$6:$A$405)-5))),IFERROR(MATCH($B2598,職員マスタ!$A$6:$A$405,0),"")))</f>
        <v/>
      </c>
      <c r="AO2598" s="16">
        <f>IF(OR($B2598="",$C2598="",$D2598=""),"",DATE($C2598+2018,$D2598,1))</f>
        <v/>
      </c>
    </row>
    <row r="2599">
      <c r="A2599" s="11" t="n"/>
      <c r="B2599" s="12" t="n"/>
      <c r="C2599" s="12" t="n"/>
      <c r="D2599" s="12" t="n"/>
      <c r="E2599" s="13" t="n"/>
      <c r="F2599" s="12" t="n"/>
      <c r="G2599" s="13" t="n"/>
      <c r="H2599" s="12" t="n"/>
      <c r="I2599" s="12" t="n"/>
      <c r="J2599" s="12" t="n"/>
      <c r="K2599" s="12" t="n"/>
      <c r="L2599" s="11" t="n"/>
      <c r="M2599" s="11" t="n"/>
      <c r="N2599" s="11" t="n"/>
      <c r="O2599" s="11" t="n"/>
      <c r="P2599" s="12" t="n"/>
      <c r="Q2599" s="11" t="n"/>
      <c r="R2599" s="12" t="n"/>
      <c r="S2599" s="11" t="n"/>
      <c r="T2599" s="12" t="n"/>
      <c r="U2599" s="12" t="n"/>
      <c r="V2599" s="14">
        <f>IF($AN2599="",IF($B2599="","",$H2599),IF(INDEX(職員マスタ!$B$6:$B$405,$AN2599)="",$H2599,INDEX(職員マスタ!$B$6:$B$405,$AN2599)))</f>
        <v/>
      </c>
      <c r="W2599" s="14">
        <f>IF($AN2599="",IF($B2599="","",$R2599),IF(INDEX(職員マスタ!$C$6:$C$405,$AN2599)="",$R2599,INDEX(職員マスタ!$C$6:$C$405,$AN2599)))</f>
        <v/>
      </c>
      <c r="X2599" s="14">
        <f>IF($AO2599="","","R"&amp;$C2599&amp;"."&amp;$D2599)</f>
        <v/>
      </c>
      <c r="Y2599" s="15">
        <f>IF($AN2599="","",IF(INDEX(職員マスタ!$K$6:$K$405,$AN2599)="","",INDEX(職員マスタ!$K$6:$K$405,$AN2599)))</f>
        <v/>
      </c>
      <c r="Z2599" s="14">
        <f>IF(OR($E2599="",$Y2599=""),"",IF($E2599&gt;=$Y2599,"×",IF($E2599&gt;=$Y2599*設定!$C$5,"△","○")))</f>
        <v/>
      </c>
      <c r="AA2599" s="15">
        <f>IF($Z2599="","",IF($Z2599="×",0,IF($Z2599="○",ROUNDDOWN($E2599*設定!$C$4,0),ROUNDDOWN($E2599*ROUND((9*$Y2599-9*$E2599)/(10*$E2599),4),0))))</f>
        <v/>
      </c>
      <c r="AB2599" s="13" t="n"/>
      <c r="AC2599" s="15">
        <f>IF($B2599="","",IF($AB2599&lt;&gt;"",$AB2599,IF($AA2599="","",IF($AA2599&lt;=設定!$C$3,0,$AA2599))))</f>
        <v/>
      </c>
      <c r="AD2599" s="14">
        <f>IF($B2599="","",IF(AND($AE2599&lt;&gt;"",$AG2599="",$AJ2599=""),"保留中",IF($AJ2599&lt;&gt;"",IF(N($AC2599)&gt;0,"支給済","不支給"),IF($AC2599="","要確認",IF($AC2599=0,"不支給","未処理")))))</f>
        <v/>
      </c>
      <c r="AE2599" s="12" t="n"/>
      <c r="AF2599" s="11" t="n"/>
      <c r="AG2599" s="11" t="n"/>
      <c r="AH2599" s="11" t="n"/>
      <c r="AI2599" s="14">
        <f>IF(AND($AD2599="保留中",$AF2599&lt;&gt;""),TODAY()-$AF2599,"")</f>
        <v/>
      </c>
      <c r="AJ2599" s="12" t="n"/>
      <c r="AK2599" s="14">
        <f>IF($B2599="","",IF($AO2599="","対象年月が未入力／","")&amp;IF($B2599="","",IF($AN2599="","職員マスタに未登録の職員番号／",IF($Y2599="","標準報酬月額が未登録／","")&amp;IF(AND($AO2599&lt;&gt;"",OR(AND(INDEX(職員マスタ!$G$6:$G$405,$AN2599)&lt;&gt;"",INDEX(職員マスタ!$G$6:$G$405,$AN2599)&gt;EOMONTH($AO2599,0)),AND(INDEX(職員マスタ!$H$6:$H$405,$AN2599)&lt;&gt;"",INDEX(職員マスタ!$H$6:$H$405,$AN2599)&lt;$AO2599))),"対象月が時短期間外／","")&amp;IF(AND(INDEX(職員マスタ!$F$6:$F$405,$AN2599)&lt;&gt;"",$AO2599&lt;&gt;"",INDEX(職員マスタ!$F$6:$F$405,$AN2599)&lt;$AO2599),"対象月に子が2歳到達済／","")&amp;IF(AND($H2599&lt;&gt;"",INDEX(職員マスタ!$B$6:$B$405,$AN2599)&lt;&gt;"",SUBSTITUTE(SUBSTITUTE($H2599," ","")," ","")&lt;&gt;SUBSTITUTE(SUBSTITUTE(INDEX(職員マスタ!$B$6:$B$405,$AN2599)," ","")," ","")),"氏名がマスタと相違／","")&amp;IF(AND($Q2599&lt;&gt;"",INDEX(職員マスタ!$E$6:$E$405,$AN2599)&lt;&gt;"",$Q2599&lt;&gt;INDEX(職員マスタ!$E$6:$E$405,$AN2599)),"子の生年月日がマスタと相違／","")&amp;IF(AND($L2599&lt;&gt;"",INDEX(職員マスタ!$G$6:$G$405,$AN2599)&lt;&gt;"",$L2599&lt;&gt;INDEX(職員マスタ!$G$6:$G$405,$AN2599)),"時短開始日がマスタと相違／","")&amp;IF(AND($M2599&lt;&gt;"",INDEX(職員マスタ!$H$6:$H$405,$AN2599)&lt;&gt;"",$M2599&lt;&gt;INDEX(職員マスタ!$H$6:$H$405,$AN2599)),"時短終了日がマスタと相違／","")))&amp;IF(AND($B2599&lt;&gt;"",$E2599=""),"報酬額が未入力／","")&amp;IF(N($U2599)&gt;0,"申請書に入力エラーが残っています／","")&amp;IF(AND($B2599&lt;&gt;"",$AO2599&lt;&gt;""),IF(COUNTIFS($B$6:$B$3005,$B2599,$C$6:$C$3005,$C2599,$D$6:$D$3005,$D2599)&gt;1,"同じ月の請求が重複しています／",""),"")&amp;IF(AND(N($E2599)&gt;0,$Z2599&lt;&gt;"",$Z2599&lt;&gt;"×",$AC2599=0,$AB2599=""),"計算額が下限以下のため不支給／",""))</f>
        <v/>
      </c>
      <c r="AL2599" s="12" t="n"/>
      <c r="AM2599" s="14">
        <f>IF($AD2599="保留中",COUNTIF($AD$6:$AD2599,"保留中"),"")</f>
        <v/>
      </c>
      <c r="AN2599" s="14">
        <f>IF($AO2599="","",IF(SUMPRODUCT(MAX((職員マスタ!$A$6:$A$405=$B2599)*(((職員マスタ!$G$6:$G$405="")+(職員マスタ!$G$6:$G$405&lt;=EOMONTH($AO2599,0)))&gt;0)*(((職員マスタ!$H$6:$H$405="")+(職員マスタ!$H$6:$H$405&gt;=$AO2599))&gt;0)*(ROW(職員マスタ!$A$6:$A$405)-5)))&gt;0,SUMPRODUCT(MAX((職員マスタ!$A$6:$A$405=$B2599)*(((職員マスタ!$G$6:$G$405="")+(職員マスタ!$G$6:$G$405&lt;=EOMONTH($AO2599,0)))&gt;0)*(((職員マスタ!$H$6:$H$405="")+(職員マスタ!$H$6:$H$405&gt;=$AO2599))&gt;0)*(ROW(職員マスタ!$A$6:$A$405)-5))),IFERROR(MATCH($B2599,職員マスタ!$A$6:$A$405,0),"")))</f>
        <v/>
      </c>
      <c r="AO2599" s="16">
        <f>IF(OR($B2599="",$C2599="",$D2599=""),"",DATE($C2599+2018,$D2599,1))</f>
        <v/>
      </c>
    </row>
    <row r="2600">
      <c r="A2600" s="11" t="n"/>
      <c r="B2600" s="12" t="n"/>
      <c r="C2600" s="12" t="n"/>
      <c r="D2600" s="12" t="n"/>
      <c r="E2600" s="13" t="n"/>
      <c r="F2600" s="12" t="n"/>
      <c r="G2600" s="13" t="n"/>
      <c r="H2600" s="12" t="n"/>
      <c r="I2600" s="12" t="n"/>
      <c r="J2600" s="12" t="n"/>
      <c r="K2600" s="12" t="n"/>
      <c r="L2600" s="11" t="n"/>
      <c r="M2600" s="11" t="n"/>
      <c r="N2600" s="11" t="n"/>
      <c r="O2600" s="11" t="n"/>
      <c r="P2600" s="12" t="n"/>
      <c r="Q2600" s="11" t="n"/>
      <c r="R2600" s="12" t="n"/>
      <c r="S2600" s="11" t="n"/>
      <c r="T2600" s="12" t="n"/>
      <c r="U2600" s="12" t="n"/>
      <c r="V2600" s="14">
        <f>IF($AN2600="",IF($B2600="","",$H2600),IF(INDEX(職員マスタ!$B$6:$B$405,$AN2600)="",$H2600,INDEX(職員マスタ!$B$6:$B$405,$AN2600)))</f>
        <v/>
      </c>
      <c r="W2600" s="14">
        <f>IF($AN2600="",IF($B2600="","",$R2600),IF(INDEX(職員マスタ!$C$6:$C$405,$AN2600)="",$R2600,INDEX(職員マスタ!$C$6:$C$405,$AN2600)))</f>
        <v/>
      </c>
      <c r="X2600" s="14">
        <f>IF($AO2600="","","R"&amp;$C2600&amp;"."&amp;$D2600)</f>
        <v/>
      </c>
      <c r="Y2600" s="15">
        <f>IF($AN2600="","",IF(INDEX(職員マスタ!$K$6:$K$405,$AN2600)="","",INDEX(職員マスタ!$K$6:$K$405,$AN2600)))</f>
        <v/>
      </c>
      <c r="Z2600" s="14">
        <f>IF(OR($E2600="",$Y2600=""),"",IF($E2600&gt;=$Y2600,"×",IF($E2600&gt;=$Y2600*設定!$C$5,"△","○")))</f>
        <v/>
      </c>
      <c r="AA2600" s="15">
        <f>IF($Z2600="","",IF($Z2600="×",0,IF($Z2600="○",ROUNDDOWN($E2600*設定!$C$4,0),ROUNDDOWN($E2600*ROUND((9*$Y2600-9*$E2600)/(10*$E2600),4),0))))</f>
        <v/>
      </c>
      <c r="AB2600" s="13" t="n"/>
      <c r="AC2600" s="15">
        <f>IF($B2600="","",IF($AB2600&lt;&gt;"",$AB2600,IF($AA2600="","",IF($AA2600&lt;=設定!$C$3,0,$AA2600))))</f>
        <v/>
      </c>
      <c r="AD2600" s="14">
        <f>IF($B2600="","",IF(AND($AE2600&lt;&gt;"",$AG2600="",$AJ2600=""),"保留中",IF($AJ2600&lt;&gt;"",IF(N($AC2600)&gt;0,"支給済","不支給"),IF($AC2600="","要確認",IF($AC2600=0,"不支給","未処理")))))</f>
        <v/>
      </c>
      <c r="AE2600" s="12" t="n"/>
      <c r="AF2600" s="11" t="n"/>
      <c r="AG2600" s="11" t="n"/>
      <c r="AH2600" s="11" t="n"/>
      <c r="AI2600" s="14">
        <f>IF(AND($AD2600="保留中",$AF2600&lt;&gt;""),TODAY()-$AF2600,"")</f>
        <v/>
      </c>
      <c r="AJ2600" s="12" t="n"/>
      <c r="AK2600" s="14">
        <f>IF($B2600="","",IF($AO2600="","対象年月が未入力／","")&amp;IF($B2600="","",IF($AN2600="","職員マスタに未登録の職員番号／",IF($Y2600="","標準報酬月額が未登録／","")&amp;IF(AND($AO2600&lt;&gt;"",OR(AND(INDEX(職員マスタ!$G$6:$G$405,$AN2600)&lt;&gt;"",INDEX(職員マスタ!$G$6:$G$405,$AN2600)&gt;EOMONTH($AO2600,0)),AND(INDEX(職員マスタ!$H$6:$H$405,$AN2600)&lt;&gt;"",INDEX(職員マスタ!$H$6:$H$405,$AN2600)&lt;$AO2600))),"対象月が時短期間外／","")&amp;IF(AND(INDEX(職員マスタ!$F$6:$F$405,$AN2600)&lt;&gt;"",$AO2600&lt;&gt;"",INDEX(職員マスタ!$F$6:$F$405,$AN2600)&lt;$AO2600),"対象月に子が2歳到達済／","")&amp;IF(AND($H2600&lt;&gt;"",INDEX(職員マスタ!$B$6:$B$405,$AN2600)&lt;&gt;"",SUBSTITUTE(SUBSTITUTE($H2600," ","")," ","")&lt;&gt;SUBSTITUTE(SUBSTITUTE(INDEX(職員マスタ!$B$6:$B$405,$AN2600)," ","")," ","")),"氏名がマスタと相違／","")&amp;IF(AND($Q2600&lt;&gt;"",INDEX(職員マスタ!$E$6:$E$405,$AN2600)&lt;&gt;"",$Q2600&lt;&gt;INDEX(職員マスタ!$E$6:$E$405,$AN2600)),"子の生年月日がマスタと相違／","")&amp;IF(AND($L2600&lt;&gt;"",INDEX(職員マスタ!$G$6:$G$405,$AN2600)&lt;&gt;"",$L2600&lt;&gt;INDEX(職員マスタ!$G$6:$G$405,$AN2600)),"時短開始日がマスタと相違／","")&amp;IF(AND($M2600&lt;&gt;"",INDEX(職員マスタ!$H$6:$H$405,$AN2600)&lt;&gt;"",$M2600&lt;&gt;INDEX(職員マスタ!$H$6:$H$405,$AN2600)),"時短終了日がマスタと相違／","")))&amp;IF(AND($B2600&lt;&gt;"",$E2600=""),"報酬額が未入力／","")&amp;IF(N($U2600)&gt;0,"申請書に入力エラーが残っています／","")&amp;IF(AND($B2600&lt;&gt;"",$AO2600&lt;&gt;""),IF(COUNTIFS($B$6:$B$3005,$B2600,$C$6:$C$3005,$C2600,$D$6:$D$3005,$D2600)&gt;1,"同じ月の請求が重複しています／",""),"")&amp;IF(AND(N($E2600)&gt;0,$Z2600&lt;&gt;"",$Z2600&lt;&gt;"×",$AC2600=0,$AB2600=""),"計算額が下限以下のため不支給／",""))</f>
        <v/>
      </c>
      <c r="AL2600" s="12" t="n"/>
      <c r="AM2600" s="14">
        <f>IF($AD2600="保留中",COUNTIF($AD$6:$AD2600,"保留中"),"")</f>
        <v/>
      </c>
      <c r="AN2600" s="14">
        <f>IF($AO2600="","",IF(SUMPRODUCT(MAX((職員マスタ!$A$6:$A$405=$B2600)*(((職員マスタ!$G$6:$G$405="")+(職員マスタ!$G$6:$G$405&lt;=EOMONTH($AO2600,0)))&gt;0)*(((職員マスタ!$H$6:$H$405="")+(職員マスタ!$H$6:$H$405&gt;=$AO2600))&gt;0)*(ROW(職員マスタ!$A$6:$A$405)-5)))&gt;0,SUMPRODUCT(MAX((職員マスタ!$A$6:$A$405=$B2600)*(((職員マスタ!$G$6:$G$405="")+(職員マスタ!$G$6:$G$405&lt;=EOMONTH($AO2600,0)))&gt;0)*(((職員マスタ!$H$6:$H$405="")+(職員マスタ!$H$6:$H$405&gt;=$AO2600))&gt;0)*(ROW(職員マスタ!$A$6:$A$405)-5))),IFERROR(MATCH($B2600,職員マスタ!$A$6:$A$405,0),"")))</f>
        <v/>
      </c>
      <c r="AO2600" s="16">
        <f>IF(OR($B2600="",$C2600="",$D2600=""),"",DATE($C2600+2018,$D2600,1))</f>
        <v/>
      </c>
    </row>
    <row r="2601">
      <c r="A2601" s="11" t="n"/>
      <c r="B2601" s="12" t="n"/>
      <c r="C2601" s="12" t="n"/>
      <c r="D2601" s="12" t="n"/>
      <c r="E2601" s="13" t="n"/>
      <c r="F2601" s="12" t="n"/>
      <c r="G2601" s="13" t="n"/>
      <c r="H2601" s="12" t="n"/>
      <c r="I2601" s="12" t="n"/>
      <c r="J2601" s="12" t="n"/>
      <c r="K2601" s="12" t="n"/>
      <c r="L2601" s="11" t="n"/>
      <c r="M2601" s="11" t="n"/>
      <c r="N2601" s="11" t="n"/>
      <c r="O2601" s="11" t="n"/>
      <c r="P2601" s="12" t="n"/>
      <c r="Q2601" s="11" t="n"/>
      <c r="R2601" s="12" t="n"/>
      <c r="S2601" s="11" t="n"/>
      <c r="T2601" s="12" t="n"/>
      <c r="U2601" s="12" t="n"/>
      <c r="V2601" s="14">
        <f>IF($AN2601="",IF($B2601="","",$H2601),IF(INDEX(職員マスタ!$B$6:$B$405,$AN2601)="",$H2601,INDEX(職員マスタ!$B$6:$B$405,$AN2601)))</f>
        <v/>
      </c>
      <c r="W2601" s="14">
        <f>IF($AN2601="",IF($B2601="","",$R2601),IF(INDEX(職員マスタ!$C$6:$C$405,$AN2601)="",$R2601,INDEX(職員マスタ!$C$6:$C$405,$AN2601)))</f>
        <v/>
      </c>
      <c r="X2601" s="14">
        <f>IF($AO2601="","","R"&amp;$C2601&amp;"."&amp;$D2601)</f>
        <v/>
      </c>
      <c r="Y2601" s="15">
        <f>IF($AN2601="","",IF(INDEX(職員マスタ!$K$6:$K$405,$AN2601)="","",INDEX(職員マスタ!$K$6:$K$405,$AN2601)))</f>
        <v/>
      </c>
      <c r="Z2601" s="14">
        <f>IF(OR($E2601="",$Y2601=""),"",IF($E2601&gt;=$Y2601,"×",IF($E2601&gt;=$Y2601*設定!$C$5,"△","○")))</f>
        <v/>
      </c>
      <c r="AA2601" s="15">
        <f>IF($Z2601="","",IF($Z2601="×",0,IF($Z2601="○",ROUNDDOWN($E2601*設定!$C$4,0),ROUNDDOWN($E2601*ROUND((9*$Y2601-9*$E2601)/(10*$E2601),4),0))))</f>
        <v/>
      </c>
      <c r="AB2601" s="13" t="n"/>
      <c r="AC2601" s="15">
        <f>IF($B2601="","",IF($AB2601&lt;&gt;"",$AB2601,IF($AA2601="","",IF($AA2601&lt;=設定!$C$3,0,$AA2601))))</f>
        <v/>
      </c>
      <c r="AD2601" s="14">
        <f>IF($B2601="","",IF(AND($AE2601&lt;&gt;"",$AG2601="",$AJ2601=""),"保留中",IF($AJ2601&lt;&gt;"",IF(N($AC2601)&gt;0,"支給済","不支給"),IF($AC2601="","要確認",IF($AC2601=0,"不支給","未処理")))))</f>
        <v/>
      </c>
      <c r="AE2601" s="12" t="n"/>
      <c r="AF2601" s="11" t="n"/>
      <c r="AG2601" s="11" t="n"/>
      <c r="AH2601" s="11" t="n"/>
      <c r="AI2601" s="14">
        <f>IF(AND($AD2601="保留中",$AF2601&lt;&gt;""),TODAY()-$AF2601,"")</f>
        <v/>
      </c>
      <c r="AJ2601" s="12" t="n"/>
      <c r="AK2601" s="14">
        <f>IF($B2601="","",IF($AO2601="","対象年月が未入力／","")&amp;IF($B2601="","",IF($AN2601="","職員マスタに未登録の職員番号／",IF($Y2601="","標準報酬月額が未登録／","")&amp;IF(AND($AO2601&lt;&gt;"",OR(AND(INDEX(職員マスタ!$G$6:$G$405,$AN2601)&lt;&gt;"",INDEX(職員マスタ!$G$6:$G$405,$AN2601)&gt;EOMONTH($AO2601,0)),AND(INDEX(職員マスタ!$H$6:$H$405,$AN2601)&lt;&gt;"",INDEX(職員マスタ!$H$6:$H$405,$AN2601)&lt;$AO2601))),"対象月が時短期間外／","")&amp;IF(AND(INDEX(職員マスタ!$F$6:$F$405,$AN2601)&lt;&gt;"",$AO2601&lt;&gt;"",INDEX(職員マスタ!$F$6:$F$405,$AN2601)&lt;$AO2601),"対象月に子が2歳到達済／","")&amp;IF(AND($H2601&lt;&gt;"",INDEX(職員マスタ!$B$6:$B$405,$AN2601)&lt;&gt;"",SUBSTITUTE(SUBSTITUTE($H2601," ","")," ","")&lt;&gt;SUBSTITUTE(SUBSTITUTE(INDEX(職員マスタ!$B$6:$B$405,$AN2601)," ","")," ","")),"氏名がマスタと相違／","")&amp;IF(AND($Q2601&lt;&gt;"",INDEX(職員マスタ!$E$6:$E$405,$AN2601)&lt;&gt;"",$Q2601&lt;&gt;INDEX(職員マスタ!$E$6:$E$405,$AN2601)),"子の生年月日がマスタと相違／","")&amp;IF(AND($L2601&lt;&gt;"",INDEX(職員マスタ!$G$6:$G$405,$AN2601)&lt;&gt;"",$L2601&lt;&gt;INDEX(職員マスタ!$G$6:$G$405,$AN2601)),"時短開始日がマスタと相違／","")&amp;IF(AND($M2601&lt;&gt;"",INDEX(職員マスタ!$H$6:$H$405,$AN2601)&lt;&gt;"",$M2601&lt;&gt;INDEX(職員マスタ!$H$6:$H$405,$AN2601)),"時短終了日がマスタと相違／","")))&amp;IF(AND($B2601&lt;&gt;"",$E2601=""),"報酬額が未入力／","")&amp;IF(N($U2601)&gt;0,"申請書に入力エラーが残っています／","")&amp;IF(AND($B2601&lt;&gt;"",$AO2601&lt;&gt;""),IF(COUNTIFS($B$6:$B$3005,$B2601,$C$6:$C$3005,$C2601,$D$6:$D$3005,$D2601)&gt;1,"同じ月の請求が重複しています／",""),"")&amp;IF(AND(N($E2601)&gt;0,$Z2601&lt;&gt;"",$Z2601&lt;&gt;"×",$AC2601=0,$AB2601=""),"計算額が下限以下のため不支給／",""))</f>
        <v/>
      </c>
      <c r="AL2601" s="12" t="n"/>
      <c r="AM2601" s="14">
        <f>IF($AD2601="保留中",COUNTIF($AD$6:$AD2601,"保留中"),"")</f>
        <v/>
      </c>
      <c r="AN2601" s="14">
        <f>IF($AO2601="","",IF(SUMPRODUCT(MAX((職員マスタ!$A$6:$A$405=$B2601)*(((職員マスタ!$G$6:$G$405="")+(職員マスタ!$G$6:$G$405&lt;=EOMONTH($AO2601,0)))&gt;0)*(((職員マスタ!$H$6:$H$405="")+(職員マスタ!$H$6:$H$405&gt;=$AO2601))&gt;0)*(ROW(職員マスタ!$A$6:$A$405)-5)))&gt;0,SUMPRODUCT(MAX((職員マスタ!$A$6:$A$405=$B2601)*(((職員マスタ!$G$6:$G$405="")+(職員マスタ!$G$6:$G$405&lt;=EOMONTH($AO2601,0)))&gt;0)*(((職員マスタ!$H$6:$H$405="")+(職員マスタ!$H$6:$H$405&gt;=$AO2601))&gt;0)*(ROW(職員マスタ!$A$6:$A$405)-5))),IFERROR(MATCH($B2601,職員マスタ!$A$6:$A$405,0),"")))</f>
        <v/>
      </c>
      <c r="AO2601" s="16">
        <f>IF(OR($B2601="",$C2601="",$D2601=""),"",DATE($C2601+2018,$D2601,1))</f>
        <v/>
      </c>
    </row>
    <row r="2602">
      <c r="A2602" s="11" t="n"/>
      <c r="B2602" s="12" t="n"/>
      <c r="C2602" s="12" t="n"/>
      <c r="D2602" s="12" t="n"/>
      <c r="E2602" s="13" t="n"/>
      <c r="F2602" s="12" t="n"/>
      <c r="G2602" s="13" t="n"/>
      <c r="H2602" s="12" t="n"/>
      <c r="I2602" s="12" t="n"/>
      <c r="J2602" s="12" t="n"/>
      <c r="K2602" s="12" t="n"/>
      <c r="L2602" s="11" t="n"/>
      <c r="M2602" s="11" t="n"/>
      <c r="N2602" s="11" t="n"/>
      <c r="O2602" s="11" t="n"/>
      <c r="P2602" s="12" t="n"/>
      <c r="Q2602" s="11" t="n"/>
      <c r="R2602" s="12" t="n"/>
      <c r="S2602" s="11" t="n"/>
      <c r="T2602" s="12" t="n"/>
      <c r="U2602" s="12" t="n"/>
      <c r="V2602" s="14">
        <f>IF($AN2602="",IF($B2602="","",$H2602),IF(INDEX(職員マスタ!$B$6:$B$405,$AN2602)="",$H2602,INDEX(職員マスタ!$B$6:$B$405,$AN2602)))</f>
        <v/>
      </c>
      <c r="W2602" s="14">
        <f>IF($AN2602="",IF($B2602="","",$R2602),IF(INDEX(職員マスタ!$C$6:$C$405,$AN2602)="",$R2602,INDEX(職員マスタ!$C$6:$C$405,$AN2602)))</f>
        <v/>
      </c>
      <c r="X2602" s="14">
        <f>IF($AO2602="","","R"&amp;$C2602&amp;"."&amp;$D2602)</f>
        <v/>
      </c>
      <c r="Y2602" s="15">
        <f>IF($AN2602="","",IF(INDEX(職員マスタ!$K$6:$K$405,$AN2602)="","",INDEX(職員マスタ!$K$6:$K$405,$AN2602)))</f>
        <v/>
      </c>
      <c r="Z2602" s="14">
        <f>IF(OR($E2602="",$Y2602=""),"",IF($E2602&gt;=$Y2602,"×",IF($E2602&gt;=$Y2602*設定!$C$5,"△","○")))</f>
        <v/>
      </c>
      <c r="AA2602" s="15">
        <f>IF($Z2602="","",IF($Z2602="×",0,IF($Z2602="○",ROUNDDOWN($E2602*設定!$C$4,0),ROUNDDOWN($E2602*ROUND((9*$Y2602-9*$E2602)/(10*$E2602),4),0))))</f>
        <v/>
      </c>
      <c r="AB2602" s="13" t="n"/>
      <c r="AC2602" s="15">
        <f>IF($B2602="","",IF($AB2602&lt;&gt;"",$AB2602,IF($AA2602="","",IF($AA2602&lt;=設定!$C$3,0,$AA2602))))</f>
        <v/>
      </c>
      <c r="AD2602" s="14">
        <f>IF($B2602="","",IF(AND($AE2602&lt;&gt;"",$AG2602="",$AJ2602=""),"保留中",IF($AJ2602&lt;&gt;"",IF(N($AC2602)&gt;0,"支給済","不支給"),IF($AC2602="","要確認",IF($AC2602=0,"不支給","未処理")))))</f>
        <v/>
      </c>
      <c r="AE2602" s="12" t="n"/>
      <c r="AF2602" s="11" t="n"/>
      <c r="AG2602" s="11" t="n"/>
      <c r="AH2602" s="11" t="n"/>
      <c r="AI2602" s="14">
        <f>IF(AND($AD2602="保留中",$AF2602&lt;&gt;""),TODAY()-$AF2602,"")</f>
        <v/>
      </c>
      <c r="AJ2602" s="12" t="n"/>
      <c r="AK2602" s="14">
        <f>IF($B2602="","",IF($AO2602="","対象年月が未入力／","")&amp;IF($B2602="","",IF($AN2602="","職員マスタに未登録の職員番号／",IF($Y2602="","標準報酬月額が未登録／","")&amp;IF(AND($AO2602&lt;&gt;"",OR(AND(INDEX(職員マスタ!$G$6:$G$405,$AN2602)&lt;&gt;"",INDEX(職員マスタ!$G$6:$G$405,$AN2602)&gt;EOMONTH($AO2602,0)),AND(INDEX(職員マスタ!$H$6:$H$405,$AN2602)&lt;&gt;"",INDEX(職員マスタ!$H$6:$H$405,$AN2602)&lt;$AO2602))),"対象月が時短期間外／","")&amp;IF(AND(INDEX(職員マスタ!$F$6:$F$405,$AN2602)&lt;&gt;"",$AO2602&lt;&gt;"",INDEX(職員マスタ!$F$6:$F$405,$AN2602)&lt;$AO2602),"対象月に子が2歳到達済／","")&amp;IF(AND($H2602&lt;&gt;"",INDEX(職員マスタ!$B$6:$B$405,$AN2602)&lt;&gt;"",SUBSTITUTE(SUBSTITUTE($H2602," ","")," ","")&lt;&gt;SUBSTITUTE(SUBSTITUTE(INDEX(職員マスタ!$B$6:$B$405,$AN2602)," ","")," ","")),"氏名がマスタと相違／","")&amp;IF(AND($Q2602&lt;&gt;"",INDEX(職員マスタ!$E$6:$E$405,$AN2602)&lt;&gt;"",$Q2602&lt;&gt;INDEX(職員マスタ!$E$6:$E$405,$AN2602)),"子の生年月日がマスタと相違／","")&amp;IF(AND($L2602&lt;&gt;"",INDEX(職員マスタ!$G$6:$G$405,$AN2602)&lt;&gt;"",$L2602&lt;&gt;INDEX(職員マスタ!$G$6:$G$405,$AN2602)),"時短開始日がマスタと相違／","")&amp;IF(AND($M2602&lt;&gt;"",INDEX(職員マスタ!$H$6:$H$405,$AN2602)&lt;&gt;"",$M2602&lt;&gt;INDEX(職員マスタ!$H$6:$H$405,$AN2602)),"時短終了日がマスタと相違／","")))&amp;IF(AND($B2602&lt;&gt;"",$E2602=""),"報酬額が未入力／","")&amp;IF(N($U2602)&gt;0,"申請書に入力エラーが残っています／","")&amp;IF(AND($B2602&lt;&gt;"",$AO2602&lt;&gt;""),IF(COUNTIFS($B$6:$B$3005,$B2602,$C$6:$C$3005,$C2602,$D$6:$D$3005,$D2602)&gt;1,"同じ月の請求が重複しています／",""),"")&amp;IF(AND(N($E2602)&gt;0,$Z2602&lt;&gt;"",$Z2602&lt;&gt;"×",$AC2602=0,$AB2602=""),"計算額が下限以下のため不支給／",""))</f>
        <v/>
      </c>
      <c r="AL2602" s="12" t="n"/>
      <c r="AM2602" s="14">
        <f>IF($AD2602="保留中",COUNTIF($AD$6:$AD2602,"保留中"),"")</f>
        <v/>
      </c>
      <c r="AN2602" s="14">
        <f>IF($AO2602="","",IF(SUMPRODUCT(MAX((職員マスタ!$A$6:$A$405=$B2602)*(((職員マスタ!$G$6:$G$405="")+(職員マスタ!$G$6:$G$405&lt;=EOMONTH($AO2602,0)))&gt;0)*(((職員マスタ!$H$6:$H$405="")+(職員マスタ!$H$6:$H$405&gt;=$AO2602))&gt;0)*(ROW(職員マスタ!$A$6:$A$405)-5)))&gt;0,SUMPRODUCT(MAX((職員マスタ!$A$6:$A$405=$B2602)*(((職員マスタ!$G$6:$G$405="")+(職員マスタ!$G$6:$G$405&lt;=EOMONTH($AO2602,0)))&gt;0)*(((職員マスタ!$H$6:$H$405="")+(職員マスタ!$H$6:$H$405&gt;=$AO2602))&gt;0)*(ROW(職員マスタ!$A$6:$A$405)-5))),IFERROR(MATCH($B2602,職員マスタ!$A$6:$A$405,0),"")))</f>
        <v/>
      </c>
      <c r="AO2602" s="16">
        <f>IF(OR($B2602="",$C2602="",$D2602=""),"",DATE($C2602+2018,$D2602,1))</f>
        <v/>
      </c>
    </row>
    <row r="2603">
      <c r="A2603" s="11" t="n"/>
      <c r="B2603" s="12" t="n"/>
      <c r="C2603" s="12" t="n"/>
      <c r="D2603" s="12" t="n"/>
      <c r="E2603" s="13" t="n"/>
      <c r="F2603" s="12" t="n"/>
      <c r="G2603" s="13" t="n"/>
      <c r="H2603" s="12" t="n"/>
      <c r="I2603" s="12" t="n"/>
      <c r="J2603" s="12" t="n"/>
      <c r="K2603" s="12" t="n"/>
      <c r="L2603" s="11" t="n"/>
      <c r="M2603" s="11" t="n"/>
      <c r="N2603" s="11" t="n"/>
      <c r="O2603" s="11" t="n"/>
      <c r="P2603" s="12" t="n"/>
      <c r="Q2603" s="11" t="n"/>
      <c r="R2603" s="12" t="n"/>
      <c r="S2603" s="11" t="n"/>
      <c r="T2603" s="12" t="n"/>
      <c r="U2603" s="12" t="n"/>
      <c r="V2603" s="14">
        <f>IF($AN2603="",IF($B2603="","",$H2603),IF(INDEX(職員マスタ!$B$6:$B$405,$AN2603)="",$H2603,INDEX(職員マスタ!$B$6:$B$405,$AN2603)))</f>
        <v/>
      </c>
      <c r="W2603" s="14">
        <f>IF($AN2603="",IF($B2603="","",$R2603),IF(INDEX(職員マスタ!$C$6:$C$405,$AN2603)="",$R2603,INDEX(職員マスタ!$C$6:$C$405,$AN2603)))</f>
        <v/>
      </c>
      <c r="X2603" s="14">
        <f>IF($AO2603="","","R"&amp;$C2603&amp;"."&amp;$D2603)</f>
        <v/>
      </c>
      <c r="Y2603" s="15">
        <f>IF($AN2603="","",IF(INDEX(職員マスタ!$K$6:$K$405,$AN2603)="","",INDEX(職員マスタ!$K$6:$K$405,$AN2603)))</f>
        <v/>
      </c>
      <c r="Z2603" s="14">
        <f>IF(OR($E2603="",$Y2603=""),"",IF($E2603&gt;=$Y2603,"×",IF($E2603&gt;=$Y2603*設定!$C$5,"△","○")))</f>
        <v/>
      </c>
      <c r="AA2603" s="15">
        <f>IF($Z2603="","",IF($Z2603="×",0,IF($Z2603="○",ROUNDDOWN($E2603*設定!$C$4,0),ROUNDDOWN($E2603*ROUND((9*$Y2603-9*$E2603)/(10*$E2603),4),0))))</f>
        <v/>
      </c>
      <c r="AB2603" s="13" t="n"/>
      <c r="AC2603" s="15">
        <f>IF($B2603="","",IF($AB2603&lt;&gt;"",$AB2603,IF($AA2603="","",IF($AA2603&lt;=設定!$C$3,0,$AA2603))))</f>
        <v/>
      </c>
      <c r="AD2603" s="14">
        <f>IF($B2603="","",IF(AND($AE2603&lt;&gt;"",$AG2603="",$AJ2603=""),"保留中",IF($AJ2603&lt;&gt;"",IF(N($AC2603)&gt;0,"支給済","不支給"),IF($AC2603="","要確認",IF($AC2603=0,"不支給","未処理")))))</f>
        <v/>
      </c>
      <c r="AE2603" s="12" t="n"/>
      <c r="AF2603" s="11" t="n"/>
      <c r="AG2603" s="11" t="n"/>
      <c r="AH2603" s="11" t="n"/>
      <c r="AI2603" s="14">
        <f>IF(AND($AD2603="保留中",$AF2603&lt;&gt;""),TODAY()-$AF2603,"")</f>
        <v/>
      </c>
      <c r="AJ2603" s="12" t="n"/>
      <c r="AK2603" s="14">
        <f>IF($B2603="","",IF($AO2603="","対象年月が未入力／","")&amp;IF($B2603="","",IF($AN2603="","職員マスタに未登録の職員番号／",IF($Y2603="","標準報酬月額が未登録／","")&amp;IF(AND($AO2603&lt;&gt;"",OR(AND(INDEX(職員マスタ!$G$6:$G$405,$AN2603)&lt;&gt;"",INDEX(職員マスタ!$G$6:$G$405,$AN2603)&gt;EOMONTH($AO2603,0)),AND(INDEX(職員マスタ!$H$6:$H$405,$AN2603)&lt;&gt;"",INDEX(職員マスタ!$H$6:$H$405,$AN2603)&lt;$AO2603))),"対象月が時短期間外／","")&amp;IF(AND(INDEX(職員マスタ!$F$6:$F$405,$AN2603)&lt;&gt;"",$AO2603&lt;&gt;"",INDEX(職員マスタ!$F$6:$F$405,$AN2603)&lt;$AO2603),"対象月に子が2歳到達済／","")&amp;IF(AND($H2603&lt;&gt;"",INDEX(職員マスタ!$B$6:$B$405,$AN2603)&lt;&gt;"",SUBSTITUTE(SUBSTITUTE($H2603," ","")," ","")&lt;&gt;SUBSTITUTE(SUBSTITUTE(INDEX(職員マスタ!$B$6:$B$405,$AN2603)," ","")," ","")),"氏名がマスタと相違／","")&amp;IF(AND($Q2603&lt;&gt;"",INDEX(職員マスタ!$E$6:$E$405,$AN2603)&lt;&gt;"",$Q2603&lt;&gt;INDEX(職員マスタ!$E$6:$E$405,$AN2603)),"子の生年月日がマスタと相違／","")&amp;IF(AND($L2603&lt;&gt;"",INDEX(職員マスタ!$G$6:$G$405,$AN2603)&lt;&gt;"",$L2603&lt;&gt;INDEX(職員マスタ!$G$6:$G$405,$AN2603)),"時短開始日がマスタと相違／","")&amp;IF(AND($M2603&lt;&gt;"",INDEX(職員マスタ!$H$6:$H$405,$AN2603)&lt;&gt;"",$M2603&lt;&gt;INDEX(職員マスタ!$H$6:$H$405,$AN2603)),"時短終了日がマスタと相違／","")))&amp;IF(AND($B2603&lt;&gt;"",$E2603=""),"報酬額が未入力／","")&amp;IF(N($U2603)&gt;0,"申請書に入力エラーが残っています／","")&amp;IF(AND($B2603&lt;&gt;"",$AO2603&lt;&gt;""),IF(COUNTIFS($B$6:$B$3005,$B2603,$C$6:$C$3005,$C2603,$D$6:$D$3005,$D2603)&gt;1,"同じ月の請求が重複しています／",""),"")&amp;IF(AND(N($E2603)&gt;0,$Z2603&lt;&gt;"",$Z2603&lt;&gt;"×",$AC2603=0,$AB2603=""),"計算額が下限以下のため不支給／",""))</f>
        <v/>
      </c>
      <c r="AL2603" s="12" t="n"/>
      <c r="AM2603" s="14">
        <f>IF($AD2603="保留中",COUNTIF($AD$6:$AD2603,"保留中"),"")</f>
        <v/>
      </c>
      <c r="AN2603" s="14">
        <f>IF($AO2603="","",IF(SUMPRODUCT(MAX((職員マスタ!$A$6:$A$405=$B2603)*(((職員マスタ!$G$6:$G$405="")+(職員マスタ!$G$6:$G$405&lt;=EOMONTH($AO2603,0)))&gt;0)*(((職員マスタ!$H$6:$H$405="")+(職員マスタ!$H$6:$H$405&gt;=$AO2603))&gt;0)*(ROW(職員マスタ!$A$6:$A$405)-5)))&gt;0,SUMPRODUCT(MAX((職員マスタ!$A$6:$A$405=$B2603)*(((職員マスタ!$G$6:$G$405="")+(職員マスタ!$G$6:$G$405&lt;=EOMONTH($AO2603,0)))&gt;0)*(((職員マスタ!$H$6:$H$405="")+(職員マスタ!$H$6:$H$405&gt;=$AO2603))&gt;0)*(ROW(職員マスタ!$A$6:$A$405)-5))),IFERROR(MATCH($B2603,職員マスタ!$A$6:$A$405,0),"")))</f>
        <v/>
      </c>
      <c r="AO2603" s="16">
        <f>IF(OR($B2603="",$C2603="",$D2603=""),"",DATE($C2603+2018,$D2603,1))</f>
        <v/>
      </c>
    </row>
    <row r="2604">
      <c r="A2604" s="11" t="n"/>
      <c r="B2604" s="12" t="n"/>
      <c r="C2604" s="12" t="n"/>
      <c r="D2604" s="12" t="n"/>
      <c r="E2604" s="13" t="n"/>
      <c r="F2604" s="12" t="n"/>
      <c r="G2604" s="13" t="n"/>
      <c r="H2604" s="12" t="n"/>
      <c r="I2604" s="12" t="n"/>
      <c r="J2604" s="12" t="n"/>
      <c r="K2604" s="12" t="n"/>
      <c r="L2604" s="11" t="n"/>
      <c r="M2604" s="11" t="n"/>
      <c r="N2604" s="11" t="n"/>
      <c r="O2604" s="11" t="n"/>
      <c r="P2604" s="12" t="n"/>
      <c r="Q2604" s="11" t="n"/>
      <c r="R2604" s="12" t="n"/>
      <c r="S2604" s="11" t="n"/>
      <c r="T2604" s="12" t="n"/>
      <c r="U2604" s="12" t="n"/>
      <c r="V2604" s="14">
        <f>IF($AN2604="",IF($B2604="","",$H2604),IF(INDEX(職員マスタ!$B$6:$B$405,$AN2604)="",$H2604,INDEX(職員マスタ!$B$6:$B$405,$AN2604)))</f>
        <v/>
      </c>
      <c r="W2604" s="14">
        <f>IF($AN2604="",IF($B2604="","",$R2604),IF(INDEX(職員マスタ!$C$6:$C$405,$AN2604)="",$R2604,INDEX(職員マスタ!$C$6:$C$405,$AN2604)))</f>
        <v/>
      </c>
      <c r="X2604" s="14">
        <f>IF($AO2604="","","R"&amp;$C2604&amp;"."&amp;$D2604)</f>
        <v/>
      </c>
      <c r="Y2604" s="15">
        <f>IF($AN2604="","",IF(INDEX(職員マスタ!$K$6:$K$405,$AN2604)="","",INDEX(職員マスタ!$K$6:$K$405,$AN2604)))</f>
        <v/>
      </c>
      <c r="Z2604" s="14">
        <f>IF(OR($E2604="",$Y2604=""),"",IF($E2604&gt;=$Y2604,"×",IF($E2604&gt;=$Y2604*設定!$C$5,"△","○")))</f>
        <v/>
      </c>
      <c r="AA2604" s="15">
        <f>IF($Z2604="","",IF($Z2604="×",0,IF($Z2604="○",ROUNDDOWN($E2604*設定!$C$4,0),ROUNDDOWN($E2604*ROUND((9*$Y2604-9*$E2604)/(10*$E2604),4),0))))</f>
        <v/>
      </c>
      <c r="AB2604" s="13" t="n"/>
      <c r="AC2604" s="15">
        <f>IF($B2604="","",IF($AB2604&lt;&gt;"",$AB2604,IF($AA2604="","",IF($AA2604&lt;=設定!$C$3,0,$AA2604))))</f>
        <v/>
      </c>
      <c r="AD2604" s="14">
        <f>IF($B2604="","",IF(AND($AE2604&lt;&gt;"",$AG2604="",$AJ2604=""),"保留中",IF($AJ2604&lt;&gt;"",IF(N($AC2604)&gt;0,"支給済","不支給"),IF($AC2604="","要確認",IF($AC2604=0,"不支給","未処理")))))</f>
        <v/>
      </c>
      <c r="AE2604" s="12" t="n"/>
      <c r="AF2604" s="11" t="n"/>
      <c r="AG2604" s="11" t="n"/>
      <c r="AH2604" s="11" t="n"/>
      <c r="AI2604" s="14">
        <f>IF(AND($AD2604="保留中",$AF2604&lt;&gt;""),TODAY()-$AF2604,"")</f>
        <v/>
      </c>
      <c r="AJ2604" s="12" t="n"/>
      <c r="AK2604" s="14">
        <f>IF($B2604="","",IF($AO2604="","対象年月が未入力／","")&amp;IF($B2604="","",IF($AN2604="","職員マスタに未登録の職員番号／",IF($Y2604="","標準報酬月額が未登録／","")&amp;IF(AND($AO2604&lt;&gt;"",OR(AND(INDEX(職員マスタ!$G$6:$G$405,$AN2604)&lt;&gt;"",INDEX(職員マスタ!$G$6:$G$405,$AN2604)&gt;EOMONTH($AO2604,0)),AND(INDEX(職員マスタ!$H$6:$H$405,$AN2604)&lt;&gt;"",INDEX(職員マスタ!$H$6:$H$405,$AN2604)&lt;$AO2604))),"対象月が時短期間外／","")&amp;IF(AND(INDEX(職員マスタ!$F$6:$F$405,$AN2604)&lt;&gt;"",$AO2604&lt;&gt;"",INDEX(職員マスタ!$F$6:$F$405,$AN2604)&lt;$AO2604),"対象月に子が2歳到達済／","")&amp;IF(AND($H2604&lt;&gt;"",INDEX(職員マスタ!$B$6:$B$405,$AN2604)&lt;&gt;"",SUBSTITUTE(SUBSTITUTE($H2604," ","")," ","")&lt;&gt;SUBSTITUTE(SUBSTITUTE(INDEX(職員マスタ!$B$6:$B$405,$AN2604)," ","")," ","")),"氏名がマスタと相違／","")&amp;IF(AND($Q2604&lt;&gt;"",INDEX(職員マスタ!$E$6:$E$405,$AN2604)&lt;&gt;"",$Q2604&lt;&gt;INDEX(職員マスタ!$E$6:$E$405,$AN2604)),"子の生年月日がマスタと相違／","")&amp;IF(AND($L2604&lt;&gt;"",INDEX(職員マスタ!$G$6:$G$405,$AN2604)&lt;&gt;"",$L2604&lt;&gt;INDEX(職員マスタ!$G$6:$G$405,$AN2604)),"時短開始日がマスタと相違／","")&amp;IF(AND($M2604&lt;&gt;"",INDEX(職員マスタ!$H$6:$H$405,$AN2604)&lt;&gt;"",$M2604&lt;&gt;INDEX(職員マスタ!$H$6:$H$405,$AN2604)),"時短終了日がマスタと相違／","")))&amp;IF(AND($B2604&lt;&gt;"",$E2604=""),"報酬額が未入力／","")&amp;IF(N($U2604)&gt;0,"申請書に入力エラーが残っています／","")&amp;IF(AND($B2604&lt;&gt;"",$AO2604&lt;&gt;""),IF(COUNTIFS($B$6:$B$3005,$B2604,$C$6:$C$3005,$C2604,$D$6:$D$3005,$D2604)&gt;1,"同じ月の請求が重複しています／",""),"")&amp;IF(AND(N($E2604)&gt;0,$Z2604&lt;&gt;"",$Z2604&lt;&gt;"×",$AC2604=0,$AB2604=""),"計算額が下限以下のため不支給／",""))</f>
        <v/>
      </c>
      <c r="AL2604" s="12" t="n"/>
      <c r="AM2604" s="14">
        <f>IF($AD2604="保留中",COUNTIF($AD$6:$AD2604,"保留中"),"")</f>
        <v/>
      </c>
      <c r="AN2604" s="14">
        <f>IF($AO2604="","",IF(SUMPRODUCT(MAX((職員マスタ!$A$6:$A$405=$B2604)*(((職員マスタ!$G$6:$G$405="")+(職員マスタ!$G$6:$G$405&lt;=EOMONTH($AO2604,0)))&gt;0)*(((職員マスタ!$H$6:$H$405="")+(職員マスタ!$H$6:$H$405&gt;=$AO2604))&gt;0)*(ROW(職員マスタ!$A$6:$A$405)-5)))&gt;0,SUMPRODUCT(MAX((職員マスタ!$A$6:$A$405=$B2604)*(((職員マスタ!$G$6:$G$405="")+(職員マスタ!$G$6:$G$405&lt;=EOMONTH($AO2604,0)))&gt;0)*(((職員マスタ!$H$6:$H$405="")+(職員マスタ!$H$6:$H$405&gt;=$AO2604))&gt;0)*(ROW(職員マスタ!$A$6:$A$405)-5))),IFERROR(MATCH($B2604,職員マスタ!$A$6:$A$405,0),"")))</f>
        <v/>
      </c>
      <c r="AO2604" s="16">
        <f>IF(OR($B2604="",$C2604="",$D2604=""),"",DATE($C2604+2018,$D2604,1))</f>
        <v/>
      </c>
    </row>
    <row r="2605">
      <c r="A2605" s="11" t="n"/>
      <c r="B2605" s="12" t="n"/>
      <c r="C2605" s="12" t="n"/>
      <c r="D2605" s="12" t="n"/>
      <c r="E2605" s="13" t="n"/>
      <c r="F2605" s="12" t="n"/>
      <c r="G2605" s="13" t="n"/>
      <c r="H2605" s="12" t="n"/>
      <c r="I2605" s="12" t="n"/>
      <c r="J2605" s="12" t="n"/>
      <c r="K2605" s="12" t="n"/>
      <c r="L2605" s="11" t="n"/>
      <c r="M2605" s="11" t="n"/>
      <c r="N2605" s="11" t="n"/>
      <c r="O2605" s="11" t="n"/>
      <c r="P2605" s="12" t="n"/>
      <c r="Q2605" s="11" t="n"/>
      <c r="R2605" s="12" t="n"/>
      <c r="S2605" s="11" t="n"/>
      <c r="T2605" s="12" t="n"/>
      <c r="U2605" s="12" t="n"/>
      <c r="V2605" s="14">
        <f>IF($AN2605="",IF($B2605="","",$H2605),IF(INDEX(職員マスタ!$B$6:$B$405,$AN2605)="",$H2605,INDEX(職員マスタ!$B$6:$B$405,$AN2605)))</f>
        <v/>
      </c>
      <c r="W2605" s="14">
        <f>IF($AN2605="",IF($B2605="","",$R2605),IF(INDEX(職員マスタ!$C$6:$C$405,$AN2605)="",$R2605,INDEX(職員マスタ!$C$6:$C$405,$AN2605)))</f>
        <v/>
      </c>
      <c r="X2605" s="14">
        <f>IF($AO2605="","","R"&amp;$C2605&amp;"."&amp;$D2605)</f>
        <v/>
      </c>
      <c r="Y2605" s="15">
        <f>IF($AN2605="","",IF(INDEX(職員マスタ!$K$6:$K$405,$AN2605)="","",INDEX(職員マスタ!$K$6:$K$405,$AN2605)))</f>
        <v/>
      </c>
      <c r="Z2605" s="14">
        <f>IF(OR($E2605="",$Y2605=""),"",IF($E2605&gt;=$Y2605,"×",IF($E2605&gt;=$Y2605*設定!$C$5,"△","○")))</f>
        <v/>
      </c>
      <c r="AA2605" s="15">
        <f>IF($Z2605="","",IF($Z2605="×",0,IF($Z2605="○",ROUNDDOWN($E2605*設定!$C$4,0),ROUNDDOWN($E2605*ROUND((9*$Y2605-9*$E2605)/(10*$E2605),4),0))))</f>
        <v/>
      </c>
      <c r="AB2605" s="13" t="n"/>
      <c r="AC2605" s="15">
        <f>IF($B2605="","",IF($AB2605&lt;&gt;"",$AB2605,IF($AA2605="","",IF($AA2605&lt;=設定!$C$3,0,$AA2605))))</f>
        <v/>
      </c>
      <c r="AD2605" s="14">
        <f>IF($B2605="","",IF(AND($AE2605&lt;&gt;"",$AG2605="",$AJ2605=""),"保留中",IF($AJ2605&lt;&gt;"",IF(N($AC2605)&gt;0,"支給済","不支給"),IF($AC2605="","要確認",IF($AC2605=0,"不支給","未処理")))))</f>
        <v/>
      </c>
      <c r="AE2605" s="12" t="n"/>
      <c r="AF2605" s="11" t="n"/>
      <c r="AG2605" s="11" t="n"/>
      <c r="AH2605" s="11" t="n"/>
      <c r="AI2605" s="14">
        <f>IF(AND($AD2605="保留中",$AF2605&lt;&gt;""),TODAY()-$AF2605,"")</f>
        <v/>
      </c>
      <c r="AJ2605" s="12" t="n"/>
      <c r="AK2605" s="14">
        <f>IF($B2605="","",IF($AO2605="","対象年月が未入力／","")&amp;IF($B2605="","",IF($AN2605="","職員マスタに未登録の職員番号／",IF($Y2605="","標準報酬月額が未登録／","")&amp;IF(AND($AO2605&lt;&gt;"",OR(AND(INDEX(職員マスタ!$G$6:$G$405,$AN2605)&lt;&gt;"",INDEX(職員マスタ!$G$6:$G$405,$AN2605)&gt;EOMONTH($AO2605,0)),AND(INDEX(職員マスタ!$H$6:$H$405,$AN2605)&lt;&gt;"",INDEX(職員マスタ!$H$6:$H$405,$AN2605)&lt;$AO2605))),"対象月が時短期間外／","")&amp;IF(AND(INDEX(職員マスタ!$F$6:$F$405,$AN2605)&lt;&gt;"",$AO2605&lt;&gt;"",INDEX(職員マスタ!$F$6:$F$405,$AN2605)&lt;$AO2605),"対象月に子が2歳到達済／","")&amp;IF(AND($H2605&lt;&gt;"",INDEX(職員マスタ!$B$6:$B$405,$AN2605)&lt;&gt;"",SUBSTITUTE(SUBSTITUTE($H2605," ","")," ","")&lt;&gt;SUBSTITUTE(SUBSTITUTE(INDEX(職員マスタ!$B$6:$B$405,$AN2605)," ","")," ","")),"氏名がマスタと相違／","")&amp;IF(AND($Q2605&lt;&gt;"",INDEX(職員マスタ!$E$6:$E$405,$AN2605)&lt;&gt;"",$Q2605&lt;&gt;INDEX(職員マスタ!$E$6:$E$405,$AN2605)),"子の生年月日がマスタと相違／","")&amp;IF(AND($L2605&lt;&gt;"",INDEX(職員マスタ!$G$6:$G$405,$AN2605)&lt;&gt;"",$L2605&lt;&gt;INDEX(職員マスタ!$G$6:$G$405,$AN2605)),"時短開始日がマスタと相違／","")&amp;IF(AND($M2605&lt;&gt;"",INDEX(職員マスタ!$H$6:$H$405,$AN2605)&lt;&gt;"",$M2605&lt;&gt;INDEX(職員マスタ!$H$6:$H$405,$AN2605)),"時短終了日がマスタと相違／","")))&amp;IF(AND($B2605&lt;&gt;"",$E2605=""),"報酬額が未入力／","")&amp;IF(N($U2605)&gt;0,"申請書に入力エラーが残っています／","")&amp;IF(AND($B2605&lt;&gt;"",$AO2605&lt;&gt;""),IF(COUNTIFS($B$6:$B$3005,$B2605,$C$6:$C$3005,$C2605,$D$6:$D$3005,$D2605)&gt;1,"同じ月の請求が重複しています／",""),"")&amp;IF(AND(N($E2605)&gt;0,$Z2605&lt;&gt;"",$Z2605&lt;&gt;"×",$AC2605=0,$AB2605=""),"計算額が下限以下のため不支給／",""))</f>
        <v/>
      </c>
      <c r="AL2605" s="12" t="n"/>
      <c r="AM2605" s="14">
        <f>IF($AD2605="保留中",COUNTIF($AD$6:$AD2605,"保留中"),"")</f>
        <v/>
      </c>
      <c r="AN2605" s="14">
        <f>IF($AO2605="","",IF(SUMPRODUCT(MAX((職員マスタ!$A$6:$A$405=$B2605)*(((職員マスタ!$G$6:$G$405="")+(職員マスタ!$G$6:$G$405&lt;=EOMONTH($AO2605,0)))&gt;0)*(((職員マスタ!$H$6:$H$405="")+(職員マスタ!$H$6:$H$405&gt;=$AO2605))&gt;0)*(ROW(職員マスタ!$A$6:$A$405)-5)))&gt;0,SUMPRODUCT(MAX((職員マスタ!$A$6:$A$405=$B2605)*(((職員マスタ!$G$6:$G$405="")+(職員マスタ!$G$6:$G$405&lt;=EOMONTH($AO2605,0)))&gt;0)*(((職員マスタ!$H$6:$H$405="")+(職員マスタ!$H$6:$H$405&gt;=$AO2605))&gt;0)*(ROW(職員マスタ!$A$6:$A$405)-5))),IFERROR(MATCH($B2605,職員マスタ!$A$6:$A$405,0),"")))</f>
        <v/>
      </c>
      <c r="AO2605" s="16">
        <f>IF(OR($B2605="",$C2605="",$D2605=""),"",DATE($C2605+2018,$D2605,1))</f>
        <v/>
      </c>
    </row>
    <row r="2606">
      <c r="A2606" s="11" t="n"/>
      <c r="B2606" s="12" t="n"/>
      <c r="C2606" s="12" t="n"/>
      <c r="D2606" s="12" t="n"/>
      <c r="E2606" s="13" t="n"/>
      <c r="F2606" s="12" t="n"/>
      <c r="G2606" s="13" t="n"/>
      <c r="H2606" s="12" t="n"/>
      <c r="I2606" s="12" t="n"/>
      <c r="J2606" s="12" t="n"/>
      <c r="K2606" s="12" t="n"/>
      <c r="L2606" s="11" t="n"/>
      <c r="M2606" s="11" t="n"/>
      <c r="N2606" s="11" t="n"/>
      <c r="O2606" s="11" t="n"/>
      <c r="P2606" s="12" t="n"/>
      <c r="Q2606" s="11" t="n"/>
      <c r="R2606" s="12" t="n"/>
      <c r="S2606" s="11" t="n"/>
      <c r="T2606" s="12" t="n"/>
      <c r="U2606" s="12" t="n"/>
      <c r="V2606" s="14">
        <f>IF($AN2606="",IF($B2606="","",$H2606),IF(INDEX(職員マスタ!$B$6:$B$405,$AN2606)="",$H2606,INDEX(職員マスタ!$B$6:$B$405,$AN2606)))</f>
        <v/>
      </c>
      <c r="W2606" s="14">
        <f>IF($AN2606="",IF($B2606="","",$R2606),IF(INDEX(職員マスタ!$C$6:$C$405,$AN2606)="",$R2606,INDEX(職員マスタ!$C$6:$C$405,$AN2606)))</f>
        <v/>
      </c>
      <c r="X2606" s="14">
        <f>IF($AO2606="","","R"&amp;$C2606&amp;"."&amp;$D2606)</f>
        <v/>
      </c>
      <c r="Y2606" s="15">
        <f>IF($AN2606="","",IF(INDEX(職員マスタ!$K$6:$K$405,$AN2606)="","",INDEX(職員マスタ!$K$6:$K$405,$AN2606)))</f>
        <v/>
      </c>
      <c r="Z2606" s="14">
        <f>IF(OR($E2606="",$Y2606=""),"",IF($E2606&gt;=$Y2606,"×",IF($E2606&gt;=$Y2606*設定!$C$5,"△","○")))</f>
        <v/>
      </c>
      <c r="AA2606" s="15">
        <f>IF($Z2606="","",IF($Z2606="×",0,IF($Z2606="○",ROUNDDOWN($E2606*設定!$C$4,0),ROUNDDOWN($E2606*ROUND((9*$Y2606-9*$E2606)/(10*$E2606),4),0))))</f>
        <v/>
      </c>
      <c r="AB2606" s="13" t="n"/>
      <c r="AC2606" s="15">
        <f>IF($B2606="","",IF($AB2606&lt;&gt;"",$AB2606,IF($AA2606="","",IF($AA2606&lt;=設定!$C$3,0,$AA2606))))</f>
        <v/>
      </c>
      <c r="AD2606" s="14">
        <f>IF($B2606="","",IF(AND($AE2606&lt;&gt;"",$AG2606="",$AJ2606=""),"保留中",IF($AJ2606&lt;&gt;"",IF(N($AC2606)&gt;0,"支給済","不支給"),IF($AC2606="","要確認",IF($AC2606=0,"不支給","未処理")))))</f>
        <v/>
      </c>
      <c r="AE2606" s="12" t="n"/>
      <c r="AF2606" s="11" t="n"/>
      <c r="AG2606" s="11" t="n"/>
      <c r="AH2606" s="11" t="n"/>
      <c r="AI2606" s="14">
        <f>IF(AND($AD2606="保留中",$AF2606&lt;&gt;""),TODAY()-$AF2606,"")</f>
        <v/>
      </c>
      <c r="AJ2606" s="12" t="n"/>
      <c r="AK2606" s="14">
        <f>IF($B2606="","",IF($AO2606="","対象年月が未入力／","")&amp;IF($B2606="","",IF($AN2606="","職員マスタに未登録の職員番号／",IF($Y2606="","標準報酬月額が未登録／","")&amp;IF(AND($AO2606&lt;&gt;"",OR(AND(INDEX(職員マスタ!$G$6:$G$405,$AN2606)&lt;&gt;"",INDEX(職員マスタ!$G$6:$G$405,$AN2606)&gt;EOMONTH($AO2606,0)),AND(INDEX(職員マスタ!$H$6:$H$405,$AN2606)&lt;&gt;"",INDEX(職員マスタ!$H$6:$H$405,$AN2606)&lt;$AO2606))),"対象月が時短期間外／","")&amp;IF(AND(INDEX(職員マスタ!$F$6:$F$405,$AN2606)&lt;&gt;"",$AO2606&lt;&gt;"",INDEX(職員マスタ!$F$6:$F$405,$AN2606)&lt;$AO2606),"対象月に子が2歳到達済／","")&amp;IF(AND($H2606&lt;&gt;"",INDEX(職員マスタ!$B$6:$B$405,$AN2606)&lt;&gt;"",SUBSTITUTE(SUBSTITUTE($H2606," ","")," ","")&lt;&gt;SUBSTITUTE(SUBSTITUTE(INDEX(職員マスタ!$B$6:$B$405,$AN2606)," ","")," ","")),"氏名がマスタと相違／","")&amp;IF(AND($Q2606&lt;&gt;"",INDEX(職員マスタ!$E$6:$E$405,$AN2606)&lt;&gt;"",$Q2606&lt;&gt;INDEX(職員マスタ!$E$6:$E$405,$AN2606)),"子の生年月日がマスタと相違／","")&amp;IF(AND($L2606&lt;&gt;"",INDEX(職員マスタ!$G$6:$G$405,$AN2606)&lt;&gt;"",$L2606&lt;&gt;INDEX(職員マスタ!$G$6:$G$405,$AN2606)),"時短開始日がマスタと相違／","")&amp;IF(AND($M2606&lt;&gt;"",INDEX(職員マスタ!$H$6:$H$405,$AN2606)&lt;&gt;"",$M2606&lt;&gt;INDEX(職員マスタ!$H$6:$H$405,$AN2606)),"時短終了日がマスタと相違／","")))&amp;IF(AND($B2606&lt;&gt;"",$E2606=""),"報酬額が未入力／","")&amp;IF(N($U2606)&gt;0,"申請書に入力エラーが残っています／","")&amp;IF(AND($B2606&lt;&gt;"",$AO2606&lt;&gt;""),IF(COUNTIFS($B$6:$B$3005,$B2606,$C$6:$C$3005,$C2606,$D$6:$D$3005,$D2606)&gt;1,"同じ月の請求が重複しています／",""),"")&amp;IF(AND(N($E2606)&gt;0,$Z2606&lt;&gt;"",$Z2606&lt;&gt;"×",$AC2606=0,$AB2606=""),"計算額が下限以下のため不支給／",""))</f>
        <v/>
      </c>
      <c r="AL2606" s="12" t="n"/>
      <c r="AM2606" s="14">
        <f>IF($AD2606="保留中",COUNTIF($AD$6:$AD2606,"保留中"),"")</f>
        <v/>
      </c>
      <c r="AN2606" s="14">
        <f>IF($AO2606="","",IF(SUMPRODUCT(MAX((職員マスタ!$A$6:$A$405=$B2606)*(((職員マスタ!$G$6:$G$405="")+(職員マスタ!$G$6:$G$405&lt;=EOMONTH($AO2606,0)))&gt;0)*(((職員マスタ!$H$6:$H$405="")+(職員マスタ!$H$6:$H$405&gt;=$AO2606))&gt;0)*(ROW(職員マスタ!$A$6:$A$405)-5)))&gt;0,SUMPRODUCT(MAX((職員マスタ!$A$6:$A$405=$B2606)*(((職員マスタ!$G$6:$G$405="")+(職員マスタ!$G$6:$G$405&lt;=EOMONTH($AO2606,0)))&gt;0)*(((職員マスタ!$H$6:$H$405="")+(職員マスタ!$H$6:$H$405&gt;=$AO2606))&gt;0)*(ROW(職員マスタ!$A$6:$A$405)-5))),IFERROR(MATCH($B2606,職員マスタ!$A$6:$A$405,0),"")))</f>
        <v/>
      </c>
      <c r="AO2606" s="16">
        <f>IF(OR($B2606="",$C2606="",$D2606=""),"",DATE($C2606+2018,$D2606,1))</f>
        <v/>
      </c>
    </row>
    <row r="2607">
      <c r="A2607" s="11" t="n"/>
      <c r="B2607" s="12" t="n"/>
      <c r="C2607" s="12" t="n"/>
      <c r="D2607" s="12" t="n"/>
      <c r="E2607" s="13" t="n"/>
      <c r="F2607" s="12" t="n"/>
      <c r="G2607" s="13" t="n"/>
      <c r="H2607" s="12" t="n"/>
      <c r="I2607" s="12" t="n"/>
      <c r="J2607" s="12" t="n"/>
      <c r="K2607" s="12" t="n"/>
      <c r="L2607" s="11" t="n"/>
      <c r="M2607" s="11" t="n"/>
      <c r="N2607" s="11" t="n"/>
      <c r="O2607" s="11" t="n"/>
      <c r="P2607" s="12" t="n"/>
      <c r="Q2607" s="11" t="n"/>
      <c r="R2607" s="12" t="n"/>
      <c r="S2607" s="11" t="n"/>
      <c r="T2607" s="12" t="n"/>
      <c r="U2607" s="12" t="n"/>
      <c r="V2607" s="14">
        <f>IF($AN2607="",IF($B2607="","",$H2607),IF(INDEX(職員マスタ!$B$6:$B$405,$AN2607)="",$H2607,INDEX(職員マスタ!$B$6:$B$405,$AN2607)))</f>
        <v/>
      </c>
      <c r="W2607" s="14">
        <f>IF($AN2607="",IF($B2607="","",$R2607),IF(INDEX(職員マスタ!$C$6:$C$405,$AN2607)="",$R2607,INDEX(職員マスタ!$C$6:$C$405,$AN2607)))</f>
        <v/>
      </c>
      <c r="X2607" s="14">
        <f>IF($AO2607="","","R"&amp;$C2607&amp;"."&amp;$D2607)</f>
        <v/>
      </c>
      <c r="Y2607" s="15">
        <f>IF($AN2607="","",IF(INDEX(職員マスタ!$K$6:$K$405,$AN2607)="","",INDEX(職員マスタ!$K$6:$K$405,$AN2607)))</f>
        <v/>
      </c>
      <c r="Z2607" s="14">
        <f>IF(OR($E2607="",$Y2607=""),"",IF($E2607&gt;=$Y2607,"×",IF($E2607&gt;=$Y2607*設定!$C$5,"△","○")))</f>
        <v/>
      </c>
      <c r="AA2607" s="15">
        <f>IF($Z2607="","",IF($Z2607="×",0,IF($Z2607="○",ROUNDDOWN($E2607*設定!$C$4,0),ROUNDDOWN($E2607*ROUND((9*$Y2607-9*$E2607)/(10*$E2607),4),0))))</f>
        <v/>
      </c>
      <c r="AB2607" s="13" t="n"/>
      <c r="AC2607" s="15">
        <f>IF($B2607="","",IF($AB2607&lt;&gt;"",$AB2607,IF($AA2607="","",IF($AA2607&lt;=設定!$C$3,0,$AA2607))))</f>
        <v/>
      </c>
      <c r="AD2607" s="14">
        <f>IF($B2607="","",IF(AND($AE2607&lt;&gt;"",$AG2607="",$AJ2607=""),"保留中",IF($AJ2607&lt;&gt;"",IF(N($AC2607)&gt;0,"支給済","不支給"),IF($AC2607="","要確認",IF($AC2607=0,"不支給","未処理")))))</f>
        <v/>
      </c>
      <c r="AE2607" s="12" t="n"/>
      <c r="AF2607" s="11" t="n"/>
      <c r="AG2607" s="11" t="n"/>
      <c r="AH2607" s="11" t="n"/>
      <c r="AI2607" s="14">
        <f>IF(AND($AD2607="保留中",$AF2607&lt;&gt;""),TODAY()-$AF2607,"")</f>
        <v/>
      </c>
      <c r="AJ2607" s="12" t="n"/>
      <c r="AK2607" s="14">
        <f>IF($B2607="","",IF($AO2607="","対象年月が未入力／","")&amp;IF($B2607="","",IF($AN2607="","職員マスタに未登録の職員番号／",IF($Y2607="","標準報酬月額が未登録／","")&amp;IF(AND($AO2607&lt;&gt;"",OR(AND(INDEX(職員マスタ!$G$6:$G$405,$AN2607)&lt;&gt;"",INDEX(職員マスタ!$G$6:$G$405,$AN2607)&gt;EOMONTH($AO2607,0)),AND(INDEX(職員マスタ!$H$6:$H$405,$AN2607)&lt;&gt;"",INDEX(職員マスタ!$H$6:$H$405,$AN2607)&lt;$AO2607))),"対象月が時短期間外／","")&amp;IF(AND(INDEX(職員マスタ!$F$6:$F$405,$AN2607)&lt;&gt;"",$AO2607&lt;&gt;"",INDEX(職員マスタ!$F$6:$F$405,$AN2607)&lt;$AO2607),"対象月に子が2歳到達済／","")&amp;IF(AND($H2607&lt;&gt;"",INDEX(職員マスタ!$B$6:$B$405,$AN2607)&lt;&gt;"",SUBSTITUTE(SUBSTITUTE($H2607," ","")," ","")&lt;&gt;SUBSTITUTE(SUBSTITUTE(INDEX(職員マスタ!$B$6:$B$405,$AN2607)," ","")," ","")),"氏名がマスタと相違／","")&amp;IF(AND($Q2607&lt;&gt;"",INDEX(職員マスタ!$E$6:$E$405,$AN2607)&lt;&gt;"",$Q2607&lt;&gt;INDEX(職員マスタ!$E$6:$E$405,$AN2607)),"子の生年月日がマスタと相違／","")&amp;IF(AND($L2607&lt;&gt;"",INDEX(職員マスタ!$G$6:$G$405,$AN2607)&lt;&gt;"",$L2607&lt;&gt;INDEX(職員マスタ!$G$6:$G$405,$AN2607)),"時短開始日がマスタと相違／","")&amp;IF(AND($M2607&lt;&gt;"",INDEX(職員マスタ!$H$6:$H$405,$AN2607)&lt;&gt;"",$M2607&lt;&gt;INDEX(職員マスタ!$H$6:$H$405,$AN2607)),"時短終了日がマスタと相違／","")))&amp;IF(AND($B2607&lt;&gt;"",$E2607=""),"報酬額が未入力／","")&amp;IF(N($U2607)&gt;0,"申請書に入力エラーが残っています／","")&amp;IF(AND($B2607&lt;&gt;"",$AO2607&lt;&gt;""),IF(COUNTIFS($B$6:$B$3005,$B2607,$C$6:$C$3005,$C2607,$D$6:$D$3005,$D2607)&gt;1,"同じ月の請求が重複しています／",""),"")&amp;IF(AND(N($E2607)&gt;0,$Z2607&lt;&gt;"",$Z2607&lt;&gt;"×",$AC2607=0,$AB2607=""),"計算額が下限以下のため不支給／",""))</f>
        <v/>
      </c>
      <c r="AL2607" s="12" t="n"/>
      <c r="AM2607" s="14">
        <f>IF($AD2607="保留中",COUNTIF($AD$6:$AD2607,"保留中"),"")</f>
        <v/>
      </c>
      <c r="AN2607" s="14">
        <f>IF($AO2607="","",IF(SUMPRODUCT(MAX((職員マスタ!$A$6:$A$405=$B2607)*(((職員マスタ!$G$6:$G$405="")+(職員マスタ!$G$6:$G$405&lt;=EOMONTH($AO2607,0)))&gt;0)*(((職員マスタ!$H$6:$H$405="")+(職員マスタ!$H$6:$H$405&gt;=$AO2607))&gt;0)*(ROW(職員マスタ!$A$6:$A$405)-5)))&gt;0,SUMPRODUCT(MAX((職員マスタ!$A$6:$A$405=$B2607)*(((職員マスタ!$G$6:$G$405="")+(職員マスタ!$G$6:$G$405&lt;=EOMONTH($AO2607,0)))&gt;0)*(((職員マスタ!$H$6:$H$405="")+(職員マスタ!$H$6:$H$405&gt;=$AO2607))&gt;0)*(ROW(職員マスタ!$A$6:$A$405)-5))),IFERROR(MATCH($B2607,職員マスタ!$A$6:$A$405,0),"")))</f>
        <v/>
      </c>
      <c r="AO2607" s="16">
        <f>IF(OR($B2607="",$C2607="",$D2607=""),"",DATE($C2607+2018,$D2607,1))</f>
        <v/>
      </c>
    </row>
    <row r="2608">
      <c r="A2608" s="11" t="n"/>
      <c r="B2608" s="12" t="n"/>
      <c r="C2608" s="12" t="n"/>
      <c r="D2608" s="12" t="n"/>
      <c r="E2608" s="13" t="n"/>
      <c r="F2608" s="12" t="n"/>
      <c r="G2608" s="13" t="n"/>
      <c r="H2608" s="12" t="n"/>
      <c r="I2608" s="12" t="n"/>
      <c r="J2608" s="12" t="n"/>
      <c r="K2608" s="12" t="n"/>
      <c r="L2608" s="11" t="n"/>
      <c r="M2608" s="11" t="n"/>
      <c r="N2608" s="11" t="n"/>
      <c r="O2608" s="11" t="n"/>
      <c r="P2608" s="12" t="n"/>
      <c r="Q2608" s="11" t="n"/>
      <c r="R2608" s="12" t="n"/>
      <c r="S2608" s="11" t="n"/>
      <c r="T2608" s="12" t="n"/>
      <c r="U2608" s="12" t="n"/>
      <c r="V2608" s="14">
        <f>IF($AN2608="",IF($B2608="","",$H2608),IF(INDEX(職員マスタ!$B$6:$B$405,$AN2608)="",$H2608,INDEX(職員マスタ!$B$6:$B$405,$AN2608)))</f>
        <v/>
      </c>
      <c r="W2608" s="14">
        <f>IF($AN2608="",IF($B2608="","",$R2608),IF(INDEX(職員マスタ!$C$6:$C$405,$AN2608)="",$R2608,INDEX(職員マスタ!$C$6:$C$405,$AN2608)))</f>
        <v/>
      </c>
      <c r="X2608" s="14">
        <f>IF($AO2608="","","R"&amp;$C2608&amp;"."&amp;$D2608)</f>
        <v/>
      </c>
      <c r="Y2608" s="15">
        <f>IF($AN2608="","",IF(INDEX(職員マスタ!$K$6:$K$405,$AN2608)="","",INDEX(職員マスタ!$K$6:$K$405,$AN2608)))</f>
        <v/>
      </c>
      <c r="Z2608" s="14">
        <f>IF(OR($E2608="",$Y2608=""),"",IF($E2608&gt;=$Y2608,"×",IF($E2608&gt;=$Y2608*設定!$C$5,"△","○")))</f>
        <v/>
      </c>
      <c r="AA2608" s="15">
        <f>IF($Z2608="","",IF($Z2608="×",0,IF($Z2608="○",ROUNDDOWN($E2608*設定!$C$4,0),ROUNDDOWN($E2608*ROUND((9*$Y2608-9*$E2608)/(10*$E2608),4),0))))</f>
        <v/>
      </c>
      <c r="AB2608" s="13" t="n"/>
      <c r="AC2608" s="15">
        <f>IF($B2608="","",IF($AB2608&lt;&gt;"",$AB2608,IF($AA2608="","",IF($AA2608&lt;=設定!$C$3,0,$AA2608))))</f>
        <v/>
      </c>
      <c r="AD2608" s="14">
        <f>IF($B2608="","",IF(AND($AE2608&lt;&gt;"",$AG2608="",$AJ2608=""),"保留中",IF($AJ2608&lt;&gt;"",IF(N($AC2608)&gt;0,"支給済","不支給"),IF($AC2608="","要確認",IF($AC2608=0,"不支給","未処理")))))</f>
        <v/>
      </c>
      <c r="AE2608" s="12" t="n"/>
      <c r="AF2608" s="11" t="n"/>
      <c r="AG2608" s="11" t="n"/>
      <c r="AH2608" s="11" t="n"/>
      <c r="AI2608" s="14">
        <f>IF(AND($AD2608="保留中",$AF2608&lt;&gt;""),TODAY()-$AF2608,"")</f>
        <v/>
      </c>
      <c r="AJ2608" s="12" t="n"/>
      <c r="AK2608" s="14">
        <f>IF($B2608="","",IF($AO2608="","対象年月が未入力／","")&amp;IF($B2608="","",IF($AN2608="","職員マスタに未登録の職員番号／",IF($Y2608="","標準報酬月額が未登録／","")&amp;IF(AND($AO2608&lt;&gt;"",OR(AND(INDEX(職員マスタ!$G$6:$G$405,$AN2608)&lt;&gt;"",INDEX(職員マスタ!$G$6:$G$405,$AN2608)&gt;EOMONTH($AO2608,0)),AND(INDEX(職員マスタ!$H$6:$H$405,$AN2608)&lt;&gt;"",INDEX(職員マスタ!$H$6:$H$405,$AN2608)&lt;$AO2608))),"対象月が時短期間外／","")&amp;IF(AND(INDEX(職員マスタ!$F$6:$F$405,$AN2608)&lt;&gt;"",$AO2608&lt;&gt;"",INDEX(職員マスタ!$F$6:$F$405,$AN2608)&lt;$AO2608),"対象月に子が2歳到達済／","")&amp;IF(AND($H2608&lt;&gt;"",INDEX(職員マスタ!$B$6:$B$405,$AN2608)&lt;&gt;"",SUBSTITUTE(SUBSTITUTE($H2608," ","")," ","")&lt;&gt;SUBSTITUTE(SUBSTITUTE(INDEX(職員マスタ!$B$6:$B$405,$AN2608)," ","")," ","")),"氏名がマスタと相違／","")&amp;IF(AND($Q2608&lt;&gt;"",INDEX(職員マスタ!$E$6:$E$405,$AN2608)&lt;&gt;"",$Q2608&lt;&gt;INDEX(職員マスタ!$E$6:$E$405,$AN2608)),"子の生年月日がマスタと相違／","")&amp;IF(AND($L2608&lt;&gt;"",INDEX(職員マスタ!$G$6:$G$405,$AN2608)&lt;&gt;"",$L2608&lt;&gt;INDEX(職員マスタ!$G$6:$G$405,$AN2608)),"時短開始日がマスタと相違／","")&amp;IF(AND($M2608&lt;&gt;"",INDEX(職員マスタ!$H$6:$H$405,$AN2608)&lt;&gt;"",$M2608&lt;&gt;INDEX(職員マスタ!$H$6:$H$405,$AN2608)),"時短終了日がマスタと相違／","")))&amp;IF(AND($B2608&lt;&gt;"",$E2608=""),"報酬額が未入力／","")&amp;IF(N($U2608)&gt;0,"申請書に入力エラーが残っています／","")&amp;IF(AND($B2608&lt;&gt;"",$AO2608&lt;&gt;""),IF(COUNTIFS($B$6:$B$3005,$B2608,$C$6:$C$3005,$C2608,$D$6:$D$3005,$D2608)&gt;1,"同じ月の請求が重複しています／",""),"")&amp;IF(AND(N($E2608)&gt;0,$Z2608&lt;&gt;"",$Z2608&lt;&gt;"×",$AC2608=0,$AB2608=""),"計算額が下限以下のため不支給／",""))</f>
        <v/>
      </c>
      <c r="AL2608" s="12" t="n"/>
      <c r="AM2608" s="14">
        <f>IF($AD2608="保留中",COUNTIF($AD$6:$AD2608,"保留中"),"")</f>
        <v/>
      </c>
      <c r="AN2608" s="14">
        <f>IF($AO2608="","",IF(SUMPRODUCT(MAX((職員マスタ!$A$6:$A$405=$B2608)*(((職員マスタ!$G$6:$G$405="")+(職員マスタ!$G$6:$G$405&lt;=EOMONTH($AO2608,0)))&gt;0)*(((職員マスタ!$H$6:$H$405="")+(職員マスタ!$H$6:$H$405&gt;=$AO2608))&gt;0)*(ROW(職員マスタ!$A$6:$A$405)-5)))&gt;0,SUMPRODUCT(MAX((職員マスタ!$A$6:$A$405=$B2608)*(((職員マスタ!$G$6:$G$405="")+(職員マスタ!$G$6:$G$405&lt;=EOMONTH($AO2608,0)))&gt;0)*(((職員マスタ!$H$6:$H$405="")+(職員マスタ!$H$6:$H$405&gt;=$AO2608))&gt;0)*(ROW(職員マスタ!$A$6:$A$405)-5))),IFERROR(MATCH($B2608,職員マスタ!$A$6:$A$405,0),"")))</f>
        <v/>
      </c>
      <c r="AO2608" s="16">
        <f>IF(OR($B2608="",$C2608="",$D2608=""),"",DATE($C2608+2018,$D2608,1))</f>
        <v/>
      </c>
    </row>
    <row r="2609">
      <c r="A2609" s="11" t="n"/>
      <c r="B2609" s="12" t="n"/>
      <c r="C2609" s="12" t="n"/>
      <c r="D2609" s="12" t="n"/>
      <c r="E2609" s="13" t="n"/>
      <c r="F2609" s="12" t="n"/>
      <c r="G2609" s="13" t="n"/>
      <c r="H2609" s="12" t="n"/>
      <c r="I2609" s="12" t="n"/>
      <c r="J2609" s="12" t="n"/>
      <c r="K2609" s="12" t="n"/>
      <c r="L2609" s="11" t="n"/>
      <c r="M2609" s="11" t="n"/>
      <c r="N2609" s="11" t="n"/>
      <c r="O2609" s="11" t="n"/>
      <c r="P2609" s="12" t="n"/>
      <c r="Q2609" s="11" t="n"/>
      <c r="R2609" s="12" t="n"/>
      <c r="S2609" s="11" t="n"/>
      <c r="T2609" s="12" t="n"/>
      <c r="U2609" s="12" t="n"/>
      <c r="V2609" s="14">
        <f>IF($AN2609="",IF($B2609="","",$H2609),IF(INDEX(職員マスタ!$B$6:$B$405,$AN2609)="",$H2609,INDEX(職員マスタ!$B$6:$B$405,$AN2609)))</f>
        <v/>
      </c>
      <c r="W2609" s="14">
        <f>IF($AN2609="",IF($B2609="","",$R2609),IF(INDEX(職員マスタ!$C$6:$C$405,$AN2609)="",$R2609,INDEX(職員マスタ!$C$6:$C$405,$AN2609)))</f>
        <v/>
      </c>
      <c r="X2609" s="14">
        <f>IF($AO2609="","","R"&amp;$C2609&amp;"."&amp;$D2609)</f>
        <v/>
      </c>
      <c r="Y2609" s="15">
        <f>IF($AN2609="","",IF(INDEX(職員マスタ!$K$6:$K$405,$AN2609)="","",INDEX(職員マスタ!$K$6:$K$405,$AN2609)))</f>
        <v/>
      </c>
      <c r="Z2609" s="14">
        <f>IF(OR($E2609="",$Y2609=""),"",IF($E2609&gt;=$Y2609,"×",IF($E2609&gt;=$Y2609*設定!$C$5,"△","○")))</f>
        <v/>
      </c>
      <c r="AA2609" s="15">
        <f>IF($Z2609="","",IF($Z2609="×",0,IF($Z2609="○",ROUNDDOWN($E2609*設定!$C$4,0),ROUNDDOWN($E2609*ROUND((9*$Y2609-9*$E2609)/(10*$E2609),4),0))))</f>
        <v/>
      </c>
      <c r="AB2609" s="13" t="n"/>
      <c r="AC2609" s="15">
        <f>IF($B2609="","",IF($AB2609&lt;&gt;"",$AB2609,IF($AA2609="","",IF($AA2609&lt;=設定!$C$3,0,$AA2609))))</f>
        <v/>
      </c>
      <c r="AD2609" s="14">
        <f>IF($B2609="","",IF(AND($AE2609&lt;&gt;"",$AG2609="",$AJ2609=""),"保留中",IF($AJ2609&lt;&gt;"",IF(N($AC2609)&gt;0,"支給済","不支給"),IF($AC2609="","要確認",IF($AC2609=0,"不支給","未処理")))))</f>
        <v/>
      </c>
      <c r="AE2609" s="12" t="n"/>
      <c r="AF2609" s="11" t="n"/>
      <c r="AG2609" s="11" t="n"/>
      <c r="AH2609" s="11" t="n"/>
      <c r="AI2609" s="14">
        <f>IF(AND($AD2609="保留中",$AF2609&lt;&gt;""),TODAY()-$AF2609,"")</f>
        <v/>
      </c>
      <c r="AJ2609" s="12" t="n"/>
      <c r="AK2609" s="14">
        <f>IF($B2609="","",IF($AO2609="","対象年月が未入力／","")&amp;IF($B2609="","",IF($AN2609="","職員マスタに未登録の職員番号／",IF($Y2609="","標準報酬月額が未登録／","")&amp;IF(AND($AO2609&lt;&gt;"",OR(AND(INDEX(職員マスタ!$G$6:$G$405,$AN2609)&lt;&gt;"",INDEX(職員マスタ!$G$6:$G$405,$AN2609)&gt;EOMONTH($AO2609,0)),AND(INDEX(職員マスタ!$H$6:$H$405,$AN2609)&lt;&gt;"",INDEX(職員マスタ!$H$6:$H$405,$AN2609)&lt;$AO2609))),"対象月が時短期間外／","")&amp;IF(AND(INDEX(職員マスタ!$F$6:$F$405,$AN2609)&lt;&gt;"",$AO2609&lt;&gt;"",INDEX(職員マスタ!$F$6:$F$405,$AN2609)&lt;$AO2609),"対象月に子が2歳到達済／","")&amp;IF(AND($H2609&lt;&gt;"",INDEX(職員マスタ!$B$6:$B$405,$AN2609)&lt;&gt;"",SUBSTITUTE(SUBSTITUTE($H2609," ","")," ","")&lt;&gt;SUBSTITUTE(SUBSTITUTE(INDEX(職員マスタ!$B$6:$B$405,$AN2609)," ","")," ","")),"氏名がマスタと相違／","")&amp;IF(AND($Q2609&lt;&gt;"",INDEX(職員マスタ!$E$6:$E$405,$AN2609)&lt;&gt;"",$Q2609&lt;&gt;INDEX(職員マスタ!$E$6:$E$405,$AN2609)),"子の生年月日がマスタと相違／","")&amp;IF(AND($L2609&lt;&gt;"",INDEX(職員マスタ!$G$6:$G$405,$AN2609)&lt;&gt;"",$L2609&lt;&gt;INDEX(職員マスタ!$G$6:$G$405,$AN2609)),"時短開始日がマスタと相違／","")&amp;IF(AND($M2609&lt;&gt;"",INDEX(職員マスタ!$H$6:$H$405,$AN2609)&lt;&gt;"",$M2609&lt;&gt;INDEX(職員マスタ!$H$6:$H$405,$AN2609)),"時短終了日がマスタと相違／","")))&amp;IF(AND($B2609&lt;&gt;"",$E2609=""),"報酬額が未入力／","")&amp;IF(N($U2609)&gt;0,"申請書に入力エラーが残っています／","")&amp;IF(AND($B2609&lt;&gt;"",$AO2609&lt;&gt;""),IF(COUNTIFS($B$6:$B$3005,$B2609,$C$6:$C$3005,$C2609,$D$6:$D$3005,$D2609)&gt;1,"同じ月の請求が重複しています／",""),"")&amp;IF(AND(N($E2609)&gt;0,$Z2609&lt;&gt;"",$Z2609&lt;&gt;"×",$AC2609=0,$AB2609=""),"計算額が下限以下のため不支給／",""))</f>
        <v/>
      </c>
      <c r="AL2609" s="12" t="n"/>
      <c r="AM2609" s="14">
        <f>IF($AD2609="保留中",COUNTIF($AD$6:$AD2609,"保留中"),"")</f>
        <v/>
      </c>
      <c r="AN2609" s="14">
        <f>IF($AO2609="","",IF(SUMPRODUCT(MAX((職員マスタ!$A$6:$A$405=$B2609)*(((職員マスタ!$G$6:$G$405="")+(職員マスタ!$G$6:$G$405&lt;=EOMONTH($AO2609,0)))&gt;0)*(((職員マスタ!$H$6:$H$405="")+(職員マスタ!$H$6:$H$405&gt;=$AO2609))&gt;0)*(ROW(職員マスタ!$A$6:$A$405)-5)))&gt;0,SUMPRODUCT(MAX((職員マスタ!$A$6:$A$405=$B2609)*(((職員マスタ!$G$6:$G$405="")+(職員マスタ!$G$6:$G$405&lt;=EOMONTH($AO2609,0)))&gt;0)*(((職員マスタ!$H$6:$H$405="")+(職員マスタ!$H$6:$H$405&gt;=$AO2609))&gt;0)*(ROW(職員マスタ!$A$6:$A$405)-5))),IFERROR(MATCH($B2609,職員マスタ!$A$6:$A$405,0),"")))</f>
        <v/>
      </c>
      <c r="AO2609" s="16">
        <f>IF(OR($B2609="",$C2609="",$D2609=""),"",DATE($C2609+2018,$D2609,1))</f>
        <v/>
      </c>
    </row>
    <row r="2610">
      <c r="A2610" s="11" t="n"/>
      <c r="B2610" s="12" t="n"/>
      <c r="C2610" s="12" t="n"/>
      <c r="D2610" s="12" t="n"/>
      <c r="E2610" s="13" t="n"/>
      <c r="F2610" s="12" t="n"/>
      <c r="G2610" s="13" t="n"/>
      <c r="H2610" s="12" t="n"/>
      <c r="I2610" s="12" t="n"/>
      <c r="J2610" s="12" t="n"/>
      <c r="K2610" s="12" t="n"/>
      <c r="L2610" s="11" t="n"/>
      <c r="M2610" s="11" t="n"/>
      <c r="N2610" s="11" t="n"/>
      <c r="O2610" s="11" t="n"/>
      <c r="P2610" s="12" t="n"/>
      <c r="Q2610" s="11" t="n"/>
      <c r="R2610" s="12" t="n"/>
      <c r="S2610" s="11" t="n"/>
      <c r="T2610" s="12" t="n"/>
      <c r="U2610" s="12" t="n"/>
      <c r="V2610" s="14">
        <f>IF($AN2610="",IF($B2610="","",$H2610),IF(INDEX(職員マスタ!$B$6:$B$405,$AN2610)="",$H2610,INDEX(職員マスタ!$B$6:$B$405,$AN2610)))</f>
        <v/>
      </c>
      <c r="W2610" s="14">
        <f>IF($AN2610="",IF($B2610="","",$R2610),IF(INDEX(職員マスタ!$C$6:$C$405,$AN2610)="",$R2610,INDEX(職員マスタ!$C$6:$C$405,$AN2610)))</f>
        <v/>
      </c>
      <c r="X2610" s="14">
        <f>IF($AO2610="","","R"&amp;$C2610&amp;"."&amp;$D2610)</f>
        <v/>
      </c>
      <c r="Y2610" s="15">
        <f>IF($AN2610="","",IF(INDEX(職員マスタ!$K$6:$K$405,$AN2610)="","",INDEX(職員マスタ!$K$6:$K$405,$AN2610)))</f>
        <v/>
      </c>
      <c r="Z2610" s="14">
        <f>IF(OR($E2610="",$Y2610=""),"",IF($E2610&gt;=$Y2610,"×",IF($E2610&gt;=$Y2610*設定!$C$5,"△","○")))</f>
        <v/>
      </c>
      <c r="AA2610" s="15">
        <f>IF($Z2610="","",IF($Z2610="×",0,IF($Z2610="○",ROUNDDOWN($E2610*設定!$C$4,0),ROUNDDOWN($E2610*ROUND((9*$Y2610-9*$E2610)/(10*$E2610),4),0))))</f>
        <v/>
      </c>
      <c r="AB2610" s="13" t="n"/>
      <c r="AC2610" s="15">
        <f>IF($B2610="","",IF($AB2610&lt;&gt;"",$AB2610,IF($AA2610="","",IF($AA2610&lt;=設定!$C$3,0,$AA2610))))</f>
        <v/>
      </c>
      <c r="AD2610" s="14">
        <f>IF($B2610="","",IF(AND($AE2610&lt;&gt;"",$AG2610="",$AJ2610=""),"保留中",IF($AJ2610&lt;&gt;"",IF(N($AC2610)&gt;0,"支給済","不支給"),IF($AC2610="","要確認",IF($AC2610=0,"不支給","未処理")))))</f>
        <v/>
      </c>
      <c r="AE2610" s="12" t="n"/>
      <c r="AF2610" s="11" t="n"/>
      <c r="AG2610" s="11" t="n"/>
      <c r="AH2610" s="11" t="n"/>
      <c r="AI2610" s="14">
        <f>IF(AND($AD2610="保留中",$AF2610&lt;&gt;""),TODAY()-$AF2610,"")</f>
        <v/>
      </c>
      <c r="AJ2610" s="12" t="n"/>
      <c r="AK2610" s="14">
        <f>IF($B2610="","",IF($AO2610="","対象年月が未入力／","")&amp;IF($B2610="","",IF($AN2610="","職員マスタに未登録の職員番号／",IF($Y2610="","標準報酬月額が未登録／","")&amp;IF(AND($AO2610&lt;&gt;"",OR(AND(INDEX(職員マスタ!$G$6:$G$405,$AN2610)&lt;&gt;"",INDEX(職員マスタ!$G$6:$G$405,$AN2610)&gt;EOMONTH($AO2610,0)),AND(INDEX(職員マスタ!$H$6:$H$405,$AN2610)&lt;&gt;"",INDEX(職員マスタ!$H$6:$H$405,$AN2610)&lt;$AO2610))),"対象月が時短期間外／","")&amp;IF(AND(INDEX(職員マスタ!$F$6:$F$405,$AN2610)&lt;&gt;"",$AO2610&lt;&gt;"",INDEX(職員マスタ!$F$6:$F$405,$AN2610)&lt;$AO2610),"対象月に子が2歳到達済／","")&amp;IF(AND($H2610&lt;&gt;"",INDEX(職員マスタ!$B$6:$B$405,$AN2610)&lt;&gt;"",SUBSTITUTE(SUBSTITUTE($H2610," ","")," ","")&lt;&gt;SUBSTITUTE(SUBSTITUTE(INDEX(職員マスタ!$B$6:$B$405,$AN2610)," ","")," ","")),"氏名がマスタと相違／","")&amp;IF(AND($Q2610&lt;&gt;"",INDEX(職員マスタ!$E$6:$E$405,$AN2610)&lt;&gt;"",$Q2610&lt;&gt;INDEX(職員マスタ!$E$6:$E$405,$AN2610)),"子の生年月日がマスタと相違／","")&amp;IF(AND($L2610&lt;&gt;"",INDEX(職員マスタ!$G$6:$G$405,$AN2610)&lt;&gt;"",$L2610&lt;&gt;INDEX(職員マスタ!$G$6:$G$405,$AN2610)),"時短開始日がマスタと相違／","")&amp;IF(AND($M2610&lt;&gt;"",INDEX(職員マスタ!$H$6:$H$405,$AN2610)&lt;&gt;"",$M2610&lt;&gt;INDEX(職員マスタ!$H$6:$H$405,$AN2610)),"時短終了日がマスタと相違／","")))&amp;IF(AND($B2610&lt;&gt;"",$E2610=""),"報酬額が未入力／","")&amp;IF(N($U2610)&gt;0,"申請書に入力エラーが残っています／","")&amp;IF(AND($B2610&lt;&gt;"",$AO2610&lt;&gt;""),IF(COUNTIFS($B$6:$B$3005,$B2610,$C$6:$C$3005,$C2610,$D$6:$D$3005,$D2610)&gt;1,"同じ月の請求が重複しています／",""),"")&amp;IF(AND(N($E2610)&gt;0,$Z2610&lt;&gt;"",$Z2610&lt;&gt;"×",$AC2610=0,$AB2610=""),"計算額が下限以下のため不支給／",""))</f>
        <v/>
      </c>
      <c r="AL2610" s="12" t="n"/>
      <c r="AM2610" s="14">
        <f>IF($AD2610="保留中",COUNTIF($AD$6:$AD2610,"保留中"),"")</f>
        <v/>
      </c>
      <c r="AN2610" s="14">
        <f>IF($AO2610="","",IF(SUMPRODUCT(MAX((職員マスタ!$A$6:$A$405=$B2610)*(((職員マスタ!$G$6:$G$405="")+(職員マスタ!$G$6:$G$405&lt;=EOMONTH($AO2610,0)))&gt;0)*(((職員マスタ!$H$6:$H$405="")+(職員マスタ!$H$6:$H$405&gt;=$AO2610))&gt;0)*(ROW(職員マスタ!$A$6:$A$405)-5)))&gt;0,SUMPRODUCT(MAX((職員マスタ!$A$6:$A$405=$B2610)*(((職員マスタ!$G$6:$G$405="")+(職員マスタ!$G$6:$G$405&lt;=EOMONTH($AO2610,0)))&gt;0)*(((職員マスタ!$H$6:$H$405="")+(職員マスタ!$H$6:$H$405&gt;=$AO2610))&gt;0)*(ROW(職員マスタ!$A$6:$A$405)-5))),IFERROR(MATCH($B2610,職員マスタ!$A$6:$A$405,0),"")))</f>
        <v/>
      </c>
      <c r="AO2610" s="16">
        <f>IF(OR($B2610="",$C2610="",$D2610=""),"",DATE($C2610+2018,$D2610,1))</f>
        <v/>
      </c>
    </row>
    <row r="2611">
      <c r="A2611" s="11" t="n"/>
      <c r="B2611" s="12" t="n"/>
      <c r="C2611" s="12" t="n"/>
      <c r="D2611" s="12" t="n"/>
      <c r="E2611" s="13" t="n"/>
      <c r="F2611" s="12" t="n"/>
      <c r="G2611" s="13" t="n"/>
      <c r="H2611" s="12" t="n"/>
      <c r="I2611" s="12" t="n"/>
      <c r="J2611" s="12" t="n"/>
      <c r="K2611" s="12" t="n"/>
      <c r="L2611" s="11" t="n"/>
      <c r="M2611" s="11" t="n"/>
      <c r="N2611" s="11" t="n"/>
      <c r="O2611" s="11" t="n"/>
      <c r="P2611" s="12" t="n"/>
      <c r="Q2611" s="11" t="n"/>
      <c r="R2611" s="12" t="n"/>
      <c r="S2611" s="11" t="n"/>
      <c r="T2611" s="12" t="n"/>
      <c r="U2611" s="12" t="n"/>
      <c r="V2611" s="14">
        <f>IF($AN2611="",IF($B2611="","",$H2611),IF(INDEX(職員マスタ!$B$6:$B$405,$AN2611)="",$H2611,INDEX(職員マスタ!$B$6:$B$405,$AN2611)))</f>
        <v/>
      </c>
      <c r="W2611" s="14">
        <f>IF($AN2611="",IF($B2611="","",$R2611),IF(INDEX(職員マスタ!$C$6:$C$405,$AN2611)="",$R2611,INDEX(職員マスタ!$C$6:$C$405,$AN2611)))</f>
        <v/>
      </c>
      <c r="X2611" s="14">
        <f>IF($AO2611="","","R"&amp;$C2611&amp;"."&amp;$D2611)</f>
        <v/>
      </c>
      <c r="Y2611" s="15">
        <f>IF($AN2611="","",IF(INDEX(職員マスタ!$K$6:$K$405,$AN2611)="","",INDEX(職員マスタ!$K$6:$K$405,$AN2611)))</f>
        <v/>
      </c>
      <c r="Z2611" s="14">
        <f>IF(OR($E2611="",$Y2611=""),"",IF($E2611&gt;=$Y2611,"×",IF($E2611&gt;=$Y2611*設定!$C$5,"△","○")))</f>
        <v/>
      </c>
      <c r="AA2611" s="15">
        <f>IF($Z2611="","",IF($Z2611="×",0,IF($Z2611="○",ROUNDDOWN($E2611*設定!$C$4,0),ROUNDDOWN($E2611*ROUND((9*$Y2611-9*$E2611)/(10*$E2611),4),0))))</f>
        <v/>
      </c>
      <c r="AB2611" s="13" t="n"/>
      <c r="AC2611" s="15">
        <f>IF($B2611="","",IF($AB2611&lt;&gt;"",$AB2611,IF($AA2611="","",IF($AA2611&lt;=設定!$C$3,0,$AA2611))))</f>
        <v/>
      </c>
      <c r="AD2611" s="14">
        <f>IF($B2611="","",IF(AND($AE2611&lt;&gt;"",$AG2611="",$AJ2611=""),"保留中",IF($AJ2611&lt;&gt;"",IF(N($AC2611)&gt;0,"支給済","不支給"),IF($AC2611="","要確認",IF($AC2611=0,"不支給","未処理")))))</f>
        <v/>
      </c>
      <c r="AE2611" s="12" t="n"/>
      <c r="AF2611" s="11" t="n"/>
      <c r="AG2611" s="11" t="n"/>
      <c r="AH2611" s="11" t="n"/>
      <c r="AI2611" s="14">
        <f>IF(AND($AD2611="保留中",$AF2611&lt;&gt;""),TODAY()-$AF2611,"")</f>
        <v/>
      </c>
      <c r="AJ2611" s="12" t="n"/>
      <c r="AK2611" s="14">
        <f>IF($B2611="","",IF($AO2611="","対象年月が未入力／","")&amp;IF($B2611="","",IF($AN2611="","職員マスタに未登録の職員番号／",IF($Y2611="","標準報酬月額が未登録／","")&amp;IF(AND($AO2611&lt;&gt;"",OR(AND(INDEX(職員マスタ!$G$6:$G$405,$AN2611)&lt;&gt;"",INDEX(職員マスタ!$G$6:$G$405,$AN2611)&gt;EOMONTH($AO2611,0)),AND(INDEX(職員マスタ!$H$6:$H$405,$AN2611)&lt;&gt;"",INDEX(職員マスタ!$H$6:$H$405,$AN2611)&lt;$AO2611))),"対象月が時短期間外／","")&amp;IF(AND(INDEX(職員マスタ!$F$6:$F$405,$AN2611)&lt;&gt;"",$AO2611&lt;&gt;"",INDEX(職員マスタ!$F$6:$F$405,$AN2611)&lt;$AO2611),"対象月に子が2歳到達済／","")&amp;IF(AND($H2611&lt;&gt;"",INDEX(職員マスタ!$B$6:$B$405,$AN2611)&lt;&gt;"",SUBSTITUTE(SUBSTITUTE($H2611," ","")," ","")&lt;&gt;SUBSTITUTE(SUBSTITUTE(INDEX(職員マスタ!$B$6:$B$405,$AN2611)," ","")," ","")),"氏名がマスタと相違／","")&amp;IF(AND($Q2611&lt;&gt;"",INDEX(職員マスタ!$E$6:$E$405,$AN2611)&lt;&gt;"",$Q2611&lt;&gt;INDEX(職員マスタ!$E$6:$E$405,$AN2611)),"子の生年月日がマスタと相違／","")&amp;IF(AND($L2611&lt;&gt;"",INDEX(職員マスタ!$G$6:$G$405,$AN2611)&lt;&gt;"",$L2611&lt;&gt;INDEX(職員マスタ!$G$6:$G$405,$AN2611)),"時短開始日がマスタと相違／","")&amp;IF(AND($M2611&lt;&gt;"",INDEX(職員マスタ!$H$6:$H$405,$AN2611)&lt;&gt;"",$M2611&lt;&gt;INDEX(職員マスタ!$H$6:$H$405,$AN2611)),"時短終了日がマスタと相違／","")))&amp;IF(AND($B2611&lt;&gt;"",$E2611=""),"報酬額が未入力／","")&amp;IF(N($U2611)&gt;0,"申請書に入力エラーが残っています／","")&amp;IF(AND($B2611&lt;&gt;"",$AO2611&lt;&gt;""),IF(COUNTIFS($B$6:$B$3005,$B2611,$C$6:$C$3005,$C2611,$D$6:$D$3005,$D2611)&gt;1,"同じ月の請求が重複しています／",""),"")&amp;IF(AND(N($E2611)&gt;0,$Z2611&lt;&gt;"",$Z2611&lt;&gt;"×",$AC2611=0,$AB2611=""),"計算額が下限以下のため不支給／",""))</f>
        <v/>
      </c>
      <c r="AL2611" s="12" t="n"/>
      <c r="AM2611" s="14">
        <f>IF($AD2611="保留中",COUNTIF($AD$6:$AD2611,"保留中"),"")</f>
        <v/>
      </c>
      <c r="AN2611" s="14">
        <f>IF($AO2611="","",IF(SUMPRODUCT(MAX((職員マスタ!$A$6:$A$405=$B2611)*(((職員マスタ!$G$6:$G$405="")+(職員マスタ!$G$6:$G$405&lt;=EOMONTH($AO2611,0)))&gt;0)*(((職員マスタ!$H$6:$H$405="")+(職員マスタ!$H$6:$H$405&gt;=$AO2611))&gt;0)*(ROW(職員マスタ!$A$6:$A$405)-5)))&gt;0,SUMPRODUCT(MAX((職員マスタ!$A$6:$A$405=$B2611)*(((職員マスタ!$G$6:$G$405="")+(職員マスタ!$G$6:$G$405&lt;=EOMONTH($AO2611,0)))&gt;0)*(((職員マスタ!$H$6:$H$405="")+(職員マスタ!$H$6:$H$405&gt;=$AO2611))&gt;0)*(ROW(職員マスタ!$A$6:$A$405)-5))),IFERROR(MATCH($B2611,職員マスタ!$A$6:$A$405,0),"")))</f>
        <v/>
      </c>
      <c r="AO2611" s="16">
        <f>IF(OR($B2611="",$C2611="",$D2611=""),"",DATE($C2611+2018,$D2611,1))</f>
        <v/>
      </c>
    </row>
    <row r="2612">
      <c r="A2612" s="11" t="n"/>
      <c r="B2612" s="12" t="n"/>
      <c r="C2612" s="12" t="n"/>
      <c r="D2612" s="12" t="n"/>
      <c r="E2612" s="13" t="n"/>
      <c r="F2612" s="12" t="n"/>
      <c r="G2612" s="13" t="n"/>
      <c r="H2612" s="12" t="n"/>
      <c r="I2612" s="12" t="n"/>
      <c r="J2612" s="12" t="n"/>
      <c r="K2612" s="12" t="n"/>
      <c r="L2612" s="11" t="n"/>
      <c r="M2612" s="11" t="n"/>
      <c r="N2612" s="11" t="n"/>
      <c r="O2612" s="11" t="n"/>
      <c r="P2612" s="12" t="n"/>
      <c r="Q2612" s="11" t="n"/>
      <c r="R2612" s="12" t="n"/>
      <c r="S2612" s="11" t="n"/>
      <c r="T2612" s="12" t="n"/>
      <c r="U2612" s="12" t="n"/>
      <c r="V2612" s="14">
        <f>IF($AN2612="",IF($B2612="","",$H2612),IF(INDEX(職員マスタ!$B$6:$B$405,$AN2612)="",$H2612,INDEX(職員マスタ!$B$6:$B$405,$AN2612)))</f>
        <v/>
      </c>
      <c r="W2612" s="14">
        <f>IF($AN2612="",IF($B2612="","",$R2612),IF(INDEX(職員マスタ!$C$6:$C$405,$AN2612)="",$R2612,INDEX(職員マスタ!$C$6:$C$405,$AN2612)))</f>
        <v/>
      </c>
      <c r="X2612" s="14">
        <f>IF($AO2612="","","R"&amp;$C2612&amp;"."&amp;$D2612)</f>
        <v/>
      </c>
      <c r="Y2612" s="15">
        <f>IF($AN2612="","",IF(INDEX(職員マスタ!$K$6:$K$405,$AN2612)="","",INDEX(職員マスタ!$K$6:$K$405,$AN2612)))</f>
        <v/>
      </c>
      <c r="Z2612" s="14">
        <f>IF(OR($E2612="",$Y2612=""),"",IF($E2612&gt;=$Y2612,"×",IF($E2612&gt;=$Y2612*設定!$C$5,"△","○")))</f>
        <v/>
      </c>
      <c r="AA2612" s="15">
        <f>IF($Z2612="","",IF($Z2612="×",0,IF($Z2612="○",ROUNDDOWN($E2612*設定!$C$4,0),ROUNDDOWN($E2612*ROUND((9*$Y2612-9*$E2612)/(10*$E2612),4),0))))</f>
        <v/>
      </c>
      <c r="AB2612" s="13" t="n"/>
      <c r="AC2612" s="15">
        <f>IF($B2612="","",IF($AB2612&lt;&gt;"",$AB2612,IF($AA2612="","",IF($AA2612&lt;=設定!$C$3,0,$AA2612))))</f>
        <v/>
      </c>
      <c r="AD2612" s="14">
        <f>IF($B2612="","",IF(AND($AE2612&lt;&gt;"",$AG2612="",$AJ2612=""),"保留中",IF($AJ2612&lt;&gt;"",IF(N($AC2612)&gt;0,"支給済","不支給"),IF($AC2612="","要確認",IF($AC2612=0,"不支給","未処理")))))</f>
        <v/>
      </c>
      <c r="AE2612" s="12" t="n"/>
      <c r="AF2612" s="11" t="n"/>
      <c r="AG2612" s="11" t="n"/>
      <c r="AH2612" s="11" t="n"/>
      <c r="AI2612" s="14">
        <f>IF(AND($AD2612="保留中",$AF2612&lt;&gt;""),TODAY()-$AF2612,"")</f>
        <v/>
      </c>
      <c r="AJ2612" s="12" t="n"/>
      <c r="AK2612" s="14">
        <f>IF($B2612="","",IF($AO2612="","対象年月が未入力／","")&amp;IF($B2612="","",IF($AN2612="","職員マスタに未登録の職員番号／",IF($Y2612="","標準報酬月額が未登録／","")&amp;IF(AND($AO2612&lt;&gt;"",OR(AND(INDEX(職員マスタ!$G$6:$G$405,$AN2612)&lt;&gt;"",INDEX(職員マスタ!$G$6:$G$405,$AN2612)&gt;EOMONTH($AO2612,0)),AND(INDEX(職員マスタ!$H$6:$H$405,$AN2612)&lt;&gt;"",INDEX(職員マスタ!$H$6:$H$405,$AN2612)&lt;$AO2612))),"対象月が時短期間外／","")&amp;IF(AND(INDEX(職員マスタ!$F$6:$F$405,$AN2612)&lt;&gt;"",$AO2612&lt;&gt;"",INDEX(職員マスタ!$F$6:$F$405,$AN2612)&lt;$AO2612),"対象月に子が2歳到達済／","")&amp;IF(AND($H2612&lt;&gt;"",INDEX(職員マスタ!$B$6:$B$405,$AN2612)&lt;&gt;"",SUBSTITUTE(SUBSTITUTE($H2612," ","")," ","")&lt;&gt;SUBSTITUTE(SUBSTITUTE(INDEX(職員マスタ!$B$6:$B$405,$AN2612)," ","")," ","")),"氏名がマスタと相違／","")&amp;IF(AND($Q2612&lt;&gt;"",INDEX(職員マスタ!$E$6:$E$405,$AN2612)&lt;&gt;"",$Q2612&lt;&gt;INDEX(職員マスタ!$E$6:$E$405,$AN2612)),"子の生年月日がマスタと相違／","")&amp;IF(AND($L2612&lt;&gt;"",INDEX(職員マスタ!$G$6:$G$405,$AN2612)&lt;&gt;"",$L2612&lt;&gt;INDEX(職員マスタ!$G$6:$G$405,$AN2612)),"時短開始日がマスタと相違／","")&amp;IF(AND($M2612&lt;&gt;"",INDEX(職員マスタ!$H$6:$H$405,$AN2612)&lt;&gt;"",$M2612&lt;&gt;INDEX(職員マスタ!$H$6:$H$405,$AN2612)),"時短終了日がマスタと相違／","")))&amp;IF(AND($B2612&lt;&gt;"",$E2612=""),"報酬額が未入力／","")&amp;IF(N($U2612)&gt;0,"申請書に入力エラーが残っています／","")&amp;IF(AND($B2612&lt;&gt;"",$AO2612&lt;&gt;""),IF(COUNTIFS($B$6:$B$3005,$B2612,$C$6:$C$3005,$C2612,$D$6:$D$3005,$D2612)&gt;1,"同じ月の請求が重複しています／",""),"")&amp;IF(AND(N($E2612)&gt;0,$Z2612&lt;&gt;"",$Z2612&lt;&gt;"×",$AC2612=0,$AB2612=""),"計算額が下限以下のため不支給／",""))</f>
        <v/>
      </c>
      <c r="AL2612" s="12" t="n"/>
      <c r="AM2612" s="14">
        <f>IF($AD2612="保留中",COUNTIF($AD$6:$AD2612,"保留中"),"")</f>
        <v/>
      </c>
      <c r="AN2612" s="14">
        <f>IF($AO2612="","",IF(SUMPRODUCT(MAX((職員マスタ!$A$6:$A$405=$B2612)*(((職員マスタ!$G$6:$G$405="")+(職員マスタ!$G$6:$G$405&lt;=EOMONTH($AO2612,0)))&gt;0)*(((職員マスタ!$H$6:$H$405="")+(職員マスタ!$H$6:$H$405&gt;=$AO2612))&gt;0)*(ROW(職員マスタ!$A$6:$A$405)-5)))&gt;0,SUMPRODUCT(MAX((職員マスタ!$A$6:$A$405=$B2612)*(((職員マスタ!$G$6:$G$405="")+(職員マスタ!$G$6:$G$405&lt;=EOMONTH($AO2612,0)))&gt;0)*(((職員マスタ!$H$6:$H$405="")+(職員マスタ!$H$6:$H$405&gt;=$AO2612))&gt;0)*(ROW(職員マスタ!$A$6:$A$405)-5))),IFERROR(MATCH($B2612,職員マスタ!$A$6:$A$405,0),"")))</f>
        <v/>
      </c>
      <c r="AO2612" s="16">
        <f>IF(OR($B2612="",$C2612="",$D2612=""),"",DATE($C2612+2018,$D2612,1))</f>
        <v/>
      </c>
    </row>
    <row r="2613">
      <c r="A2613" s="11" t="n"/>
      <c r="B2613" s="12" t="n"/>
      <c r="C2613" s="12" t="n"/>
      <c r="D2613" s="12" t="n"/>
      <c r="E2613" s="13" t="n"/>
      <c r="F2613" s="12" t="n"/>
      <c r="G2613" s="13" t="n"/>
      <c r="H2613" s="12" t="n"/>
      <c r="I2613" s="12" t="n"/>
      <c r="J2613" s="12" t="n"/>
      <c r="K2613" s="12" t="n"/>
      <c r="L2613" s="11" t="n"/>
      <c r="M2613" s="11" t="n"/>
      <c r="N2613" s="11" t="n"/>
      <c r="O2613" s="11" t="n"/>
      <c r="P2613" s="12" t="n"/>
      <c r="Q2613" s="11" t="n"/>
      <c r="R2613" s="12" t="n"/>
      <c r="S2613" s="11" t="n"/>
      <c r="T2613" s="12" t="n"/>
      <c r="U2613" s="12" t="n"/>
      <c r="V2613" s="14">
        <f>IF($AN2613="",IF($B2613="","",$H2613),IF(INDEX(職員マスタ!$B$6:$B$405,$AN2613)="",$H2613,INDEX(職員マスタ!$B$6:$B$405,$AN2613)))</f>
        <v/>
      </c>
      <c r="W2613" s="14">
        <f>IF($AN2613="",IF($B2613="","",$R2613),IF(INDEX(職員マスタ!$C$6:$C$405,$AN2613)="",$R2613,INDEX(職員マスタ!$C$6:$C$405,$AN2613)))</f>
        <v/>
      </c>
      <c r="X2613" s="14">
        <f>IF($AO2613="","","R"&amp;$C2613&amp;"."&amp;$D2613)</f>
        <v/>
      </c>
      <c r="Y2613" s="15">
        <f>IF($AN2613="","",IF(INDEX(職員マスタ!$K$6:$K$405,$AN2613)="","",INDEX(職員マスタ!$K$6:$K$405,$AN2613)))</f>
        <v/>
      </c>
      <c r="Z2613" s="14">
        <f>IF(OR($E2613="",$Y2613=""),"",IF($E2613&gt;=$Y2613,"×",IF($E2613&gt;=$Y2613*設定!$C$5,"△","○")))</f>
        <v/>
      </c>
      <c r="AA2613" s="15">
        <f>IF($Z2613="","",IF($Z2613="×",0,IF($Z2613="○",ROUNDDOWN($E2613*設定!$C$4,0),ROUNDDOWN($E2613*ROUND((9*$Y2613-9*$E2613)/(10*$E2613),4),0))))</f>
        <v/>
      </c>
      <c r="AB2613" s="13" t="n"/>
      <c r="AC2613" s="15">
        <f>IF($B2613="","",IF($AB2613&lt;&gt;"",$AB2613,IF($AA2613="","",IF($AA2613&lt;=設定!$C$3,0,$AA2613))))</f>
        <v/>
      </c>
      <c r="AD2613" s="14">
        <f>IF($B2613="","",IF(AND($AE2613&lt;&gt;"",$AG2613="",$AJ2613=""),"保留中",IF($AJ2613&lt;&gt;"",IF(N($AC2613)&gt;0,"支給済","不支給"),IF($AC2613="","要確認",IF($AC2613=0,"不支給","未処理")))))</f>
        <v/>
      </c>
      <c r="AE2613" s="12" t="n"/>
      <c r="AF2613" s="11" t="n"/>
      <c r="AG2613" s="11" t="n"/>
      <c r="AH2613" s="11" t="n"/>
      <c r="AI2613" s="14">
        <f>IF(AND($AD2613="保留中",$AF2613&lt;&gt;""),TODAY()-$AF2613,"")</f>
        <v/>
      </c>
      <c r="AJ2613" s="12" t="n"/>
      <c r="AK2613" s="14">
        <f>IF($B2613="","",IF($AO2613="","対象年月が未入力／","")&amp;IF($B2613="","",IF($AN2613="","職員マスタに未登録の職員番号／",IF($Y2613="","標準報酬月額が未登録／","")&amp;IF(AND($AO2613&lt;&gt;"",OR(AND(INDEX(職員マスタ!$G$6:$G$405,$AN2613)&lt;&gt;"",INDEX(職員マスタ!$G$6:$G$405,$AN2613)&gt;EOMONTH($AO2613,0)),AND(INDEX(職員マスタ!$H$6:$H$405,$AN2613)&lt;&gt;"",INDEX(職員マスタ!$H$6:$H$405,$AN2613)&lt;$AO2613))),"対象月が時短期間外／","")&amp;IF(AND(INDEX(職員マスタ!$F$6:$F$405,$AN2613)&lt;&gt;"",$AO2613&lt;&gt;"",INDEX(職員マスタ!$F$6:$F$405,$AN2613)&lt;$AO2613),"対象月に子が2歳到達済／","")&amp;IF(AND($H2613&lt;&gt;"",INDEX(職員マスタ!$B$6:$B$405,$AN2613)&lt;&gt;"",SUBSTITUTE(SUBSTITUTE($H2613," ","")," ","")&lt;&gt;SUBSTITUTE(SUBSTITUTE(INDEX(職員マスタ!$B$6:$B$405,$AN2613)," ","")," ","")),"氏名がマスタと相違／","")&amp;IF(AND($Q2613&lt;&gt;"",INDEX(職員マスタ!$E$6:$E$405,$AN2613)&lt;&gt;"",$Q2613&lt;&gt;INDEX(職員マスタ!$E$6:$E$405,$AN2613)),"子の生年月日がマスタと相違／","")&amp;IF(AND($L2613&lt;&gt;"",INDEX(職員マスタ!$G$6:$G$405,$AN2613)&lt;&gt;"",$L2613&lt;&gt;INDEX(職員マスタ!$G$6:$G$405,$AN2613)),"時短開始日がマスタと相違／","")&amp;IF(AND($M2613&lt;&gt;"",INDEX(職員マスタ!$H$6:$H$405,$AN2613)&lt;&gt;"",$M2613&lt;&gt;INDEX(職員マスタ!$H$6:$H$405,$AN2613)),"時短終了日がマスタと相違／","")))&amp;IF(AND($B2613&lt;&gt;"",$E2613=""),"報酬額が未入力／","")&amp;IF(N($U2613)&gt;0,"申請書に入力エラーが残っています／","")&amp;IF(AND($B2613&lt;&gt;"",$AO2613&lt;&gt;""),IF(COUNTIFS($B$6:$B$3005,$B2613,$C$6:$C$3005,$C2613,$D$6:$D$3005,$D2613)&gt;1,"同じ月の請求が重複しています／",""),"")&amp;IF(AND(N($E2613)&gt;0,$Z2613&lt;&gt;"",$Z2613&lt;&gt;"×",$AC2613=0,$AB2613=""),"計算額が下限以下のため不支給／",""))</f>
        <v/>
      </c>
      <c r="AL2613" s="12" t="n"/>
      <c r="AM2613" s="14">
        <f>IF($AD2613="保留中",COUNTIF($AD$6:$AD2613,"保留中"),"")</f>
        <v/>
      </c>
      <c r="AN2613" s="14">
        <f>IF($AO2613="","",IF(SUMPRODUCT(MAX((職員マスタ!$A$6:$A$405=$B2613)*(((職員マスタ!$G$6:$G$405="")+(職員マスタ!$G$6:$G$405&lt;=EOMONTH($AO2613,0)))&gt;0)*(((職員マスタ!$H$6:$H$405="")+(職員マスタ!$H$6:$H$405&gt;=$AO2613))&gt;0)*(ROW(職員マスタ!$A$6:$A$405)-5)))&gt;0,SUMPRODUCT(MAX((職員マスタ!$A$6:$A$405=$B2613)*(((職員マスタ!$G$6:$G$405="")+(職員マスタ!$G$6:$G$405&lt;=EOMONTH($AO2613,0)))&gt;0)*(((職員マスタ!$H$6:$H$405="")+(職員マスタ!$H$6:$H$405&gt;=$AO2613))&gt;0)*(ROW(職員マスタ!$A$6:$A$405)-5))),IFERROR(MATCH($B2613,職員マスタ!$A$6:$A$405,0),"")))</f>
        <v/>
      </c>
      <c r="AO2613" s="16">
        <f>IF(OR($B2613="",$C2613="",$D2613=""),"",DATE($C2613+2018,$D2613,1))</f>
        <v/>
      </c>
    </row>
    <row r="2614">
      <c r="A2614" s="11" t="n"/>
      <c r="B2614" s="12" t="n"/>
      <c r="C2614" s="12" t="n"/>
      <c r="D2614" s="12" t="n"/>
      <c r="E2614" s="13" t="n"/>
      <c r="F2614" s="12" t="n"/>
      <c r="G2614" s="13" t="n"/>
      <c r="H2614" s="12" t="n"/>
      <c r="I2614" s="12" t="n"/>
      <c r="J2614" s="12" t="n"/>
      <c r="K2614" s="12" t="n"/>
      <c r="L2614" s="11" t="n"/>
      <c r="M2614" s="11" t="n"/>
      <c r="N2614" s="11" t="n"/>
      <c r="O2614" s="11" t="n"/>
      <c r="P2614" s="12" t="n"/>
      <c r="Q2614" s="11" t="n"/>
      <c r="R2614" s="12" t="n"/>
      <c r="S2614" s="11" t="n"/>
      <c r="T2614" s="12" t="n"/>
      <c r="U2614" s="12" t="n"/>
      <c r="V2614" s="14">
        <f>IF($AN2614="",IF($B2614="","",$H2614),IF(INDEX(職員マスタ!$B$6:$B$405,$AN2614)="",$H2614,INDEX(職員マスタ!$B$6:$B$405,$AN2614)))</f>
        <v/>
      </c>
      <c r="W2614" s="14">
        <f>IF($AN2614="",IF($B2614="","",$R2614),IF(INDEX(職員マスタ!$C$6:$C$405,$AN2614)="",$R2614,INDEX(職員マスタ!$C$6:$C$405,$AN2614)))</f>
        <v/>
      </c>
      <c r="X2614" s="14">
        <f>IF($AO2614="","","R"&amp;$C2614&amp;"."&amp;$D2614)</f>
        <v/>
      </c>
      <c r="Y2614" s="15">
        <f>IF($AN2614="","",IF(INDEX(職員マスタ!$K$6:$K$405,$AN2614)="","",INDEX(職員マスタ!$K$6:$K$405,$AN2614)))</f>
        <v/>
      </c>
      <c r="Z2614" s="14">
        <f>IF(OR($E2614="",$Y2614=""),"",IF($E2614&gt;=$Y2614,"×",IF($E2614&gt;=$Y2614*設定!$C$5,"△","○")))</f>
        <v/>
      </c>
      <c r="AA2614" s="15">
        <f>IF($Z2614="","",IF($Z2614="×",0,IF($Z2614="○",ROUNDDOWN($E2614*設定!$C$4,0),ROUNDDOWN($E2614*ROUND((9*$Y2614-9*$E2614)/(10*$E2614),4),0))))</f>
        <v/>
      </c>
      <c r="AB2614" s="13" t="n"/>
      <c r="AC2614" s="15">
        <f>IF($B2614="","",IF($AB2614&lt;&gt;"",$AB2614,IF($AA2614="","",IF($AA2614&lt;=設定!$C$3,0,$AA2614))))</f>
        <v/>
      </c>
      <c r="AD2614" s="14">
        <f>IF($B2614="","",IF(AND($AE2614&lt;&gt;"",$AG2614="",$AJ2614=""),"保留中",IF($AJ2614&lt;&gt;"",IF(N($AC2614)&gt;0,"支給済","不支給"),IF($AC2614="","要確認",IF($AC2614=0,"不支給","未処理")))))</f>
        <v/>
      </c>
      <c r="AE2614" s="12" t="n"/>
      <c r="AF2614" s="11" t="n"/>
      <c r="AG2614" s="11" t="n"/>
      <c r="AH2614" s="11" t="n"/>
      <c r="AI2614" s="14">
        <f>IF(AND($AD2614="保留中",$AF2614&lt;&gt;""),TODAY()-$AF2614,"")</f>
        <v/>
      </c>
      <c r="AJ2614" s="12" t="n"/>
      <c r="AK2614" s="14">
        <f>IF($B2614="","",IF($AO2614="","対象年月が未入力／","")&amp;IF($B2614="","",IF($AN2614="","職員マスタに未登録の職員番号／",IF($Y2614="","標準報酬月額が未登録／","")&amp;IF(AND($AO2614&lt;&gt;"",OR(AND(INDEX(職員マスタ!$G$6:$G$405,$AN2614)&lt;&gt;"",INDEX(職員マスタ!$G$6:$G$405,$AN2614)&gt;EOMONTH($AO2614,0)),AND(INDEX(職員マスタ!$H$6:$H$405,$AN2614)&lt;&gt;"",INDEX(職員マスタ!$H$6:$H$405,$AN2614)&lt;$AO2614))),"対象月が時短期間外／","")&amp;IF(AND(INDEX(職員マスタ!$F$6:$F$405,$AN2614)&lt;&gt;"",$AO2614&lt;&gt;"",INDEX(職員マスタ!$F$6:$F$405,$AN2614)&lt;$AO2614),"対象月に子が2歳到達済／","")&amp;IF(AND($H2614&lt;&gt;"",INDEX(職員マスタ!$B$6:$B$405,$AN2614)&lt;&gt;"",SUBSTITUTE(SUBSTITUTE($H2614," ","")," ","")&lt;&gt;SUBSTITUTE(SUBSTITUTE(INDEX(職員マスタ!$B$6:$B$405,$AN2614)," ","")," ","")),"氏名がマスタと相違／","")&amp;IF(AND($Q2614&lt;&gt;"",INDEX(職員マスタ!$E$6:$E$405,$AN2614)&lt;&gt;"",$Q2614&lt;&gt;INDEX(職員マスタ!$E$6:$E$405,$AN2614)),"子の生年月日がマスタと相違／","")&amp;IF(AND($L2614&lt;&gt;"",INDEX(職員マスタ!$G$6:$G$405,$AN2614)&lt;&gt;"",$L2614&lt;&gt;INDEX(職員マスタ!$G$6:$G$405,$AN2614)),"時短開始日がマスタと相違／","")&amp;IF(AND($M2614&lt;&gt;"",INDEX(職員マスタ!$H$6:$H$405,$AN2614)&lt;&gt;"",$M2614&lt;&gt;INDEX(職員マスタ!$H$6:$H$405,$AN2614)),"時短終了日がマスタと相違／","")))&amp;IF(AND($B2614&lt;&gt;"",$E2614=""),"報酬額が未入力／","")&amp;IF(N($U2614)&gt;0,"申請書に入力エラーが残っています／","")&amp;IF(AND($B2614&lt;&gt;"",$AO2614&lt;&gt;""),IF(COUNTIFS($B$6:$B$3005,$B2614,$C$6:$C$3005,$C2614,$D$6:$D$3005,$D2614)&gt;1,"同じ月の請求が重複しています／",""),"")&amp;IF(AND(N($E2614)&gt;0,$Z2614&lt;&gt;"",$Z2614&lt;&gt;"×",$AC2614=0,$AB2614=""),"計算額が下限以下のため不支給／",""))</f>
        <v/>
      </c>
      <c r="AL2614" s="12" t="n"/>
      <c r="AM2614" s="14">
        <f>IF($AD2614="保留中",COUNTIF($AD$6:$AD2614,"保留中"),"")</f>
        <v/>
      </c>
      <c r="AN2614" s="14">
        <f>IF($AO2614="","",IF(SUMPRODUCT(MAX((職員マスタ!$A$6:$A$405=$B2614)*(((職員マスタ!$G$6:$G$405="")+(職員マスタ!$G$6:$G$405&lt;=EOMONTH($AO2614,0)))&gt;0)*(((職員マスタ!$H$6:$H$405="")+(職員マスタ!$H$6:$H$405&gt;=$AO2614))&gt;0)*(ROW(職員マスタ!$A$6:$A$405)-5)))&gt;0,SUMPRODUCT(MAX((職員マスタ!$A$6:$A$405=$B2614)*(((職員マスタ!$G$6:$G$405="")+(職員マスタ!$G$6:$G$405&lt;=EOMONTH($AO2614,0)))&gt;0)*(((職員マスタ!$H$6:$H$405="")+(職員マスタ!$H$6:$H$405&gt;=$AO2614))&gt;0)*(ROW(職員マスタ!$A$6:$A$405)-5))),IFERROR(MATCH($B2614,職員マスタ!$A$6:$A$405,0),"")))</f>
        <v/>
      </c>
      <c r="AO2614" s="16">
        <f>IF(OR($B2614="",$C2614="",$D2614=""),"",DATE($C2614+2018,$D2614,1))</f>
        <v/>
      </c>
    </row>
    <row r="2615">
      <c r="A2615" s="11" t="n"/>
      <c r="B2615" s="12" t="n"/>
      <c r="C2615" s="12" t="n"/>
      <c r="D2615" s="12" t="n"/>
      <c r="E2615" s="13" t="n"/>
      <c r="F2615" s="12" t="n"/>
      <c r="G2615" s="13" t="n"/>
      <c r="H2615" s="12" t="n"/>
      <c r="I2615" s="12" t="n"/>
      <c r="J2615" s="12" t="n"/>
      <c r="K2615" s="12" t="n"/>
      <c r="L2615" s="11" t="n"/>
      <c r="M2615" s="11" t="n"/>
      <c r="N2615" s="11" t="n"/>
      <c r="O2615" s="11" t="n"/>
      <c r="P2615" s="12" t="n"/>
      <c r="Q2615" s="11" t="n"/>
      <c r="R2615" s="12" t="n"/>
      <c r="S2615" s="11" t="n"/>
      <c r="T2615" s="12" t="n"/>
      <c r="U2615" s="12" t="n"/>
      <c r="V2615" s="14">
        <f>IF($AN2615="",IF($B2615="","",$H2615),IF(INDEX(職員マスタ!$B$6:$B$405,$AN2615)="",$H2615,INDEX(職員マスタ!$B$6:$B$405,$AN2615)))</f>
        <v/>
      </c>
      <c r="W2615" s="14">
        <f>IF($AN2615="",IF($B2615="","",$R2615),IF(INDEX(職員マスタ!$C$6:$C$405,$AN2615)="",$R2615,INDEX(職員マスタ!$C$6:$C$405,$AN2615)))</f>
        <v/>
      </c>
      <c r="X2615" s="14">
        <f>IF($AO2615="","","R"&amp;$C2615&amp;"."&amp;$D2615)</f>
        <v/>
      </c>
      <c r="Y2615" s="15">
        <f>IF($AN2615="","",IF(INDEX(職員マスタ!$K$6:$K$405,$AN2615)="","",INDEX(職員マスタ!$K$6:$K$405,$AN2615)))</f>
        <v/>
      </c>
      <c r="Z2615" s="14">
        <f>IF(OR($E2615="",$Y2615=""),"",IF($E2615&gt;=$Y2615,"×",IF($E2615&gt;=$Y2615*設定!$C$5,"△","○")))</f>
        <v/>
      </c>
      <c r="AA2615" s="15">
        <f>IF($Z2615="","",IF($Z2615="×",0,IF($Z2615="○",ROUNDDOWN($E2615*設定!$C$4,0),ROUNDDOWN($E2615*ROUND((9*$Y2615-9*$E2615)/(10*$E2615),4),0))))</f>
        <v/>
      </c>
      <c r="AB2615" s="13" t="n"/>
      <c r="AC2615" s="15">
        <f>IF($B2615="","",IF($AB2615&lt;&gt;"",$AB2615,IF($AA2615="","",IF($AA2615&lt;=設定!$C$3,0,$AA2615))))</f>
        <v/>
      </c>
      <c r="AD2615" s="14">
        <f>IF($B2615="","",IF(AND($AE2615&lt;&gt;"",$AG2615="",$AJ2615=""),"保留中",IF($AJ2615&lt;&gt;"",IF(N($AC2615)&gt;0,"支給済","不支給"),IF($AC2615="","要確認",IF($AC2615=0,"不支給","未処理")))))</f>
        <v/>
      </c>
      <c r="AE2615" s="12" t="n"/>
      <c r="AF2615" s="11" t="n"/>
      <c r="AG2615" s="11" t="n"/>
      <c r="AH2615" s="11" t="n"/>
      <c r="AI2615" s="14">
        <f>IF(AND($AD2615="保留中",$AF2615&lt;&gt;""),TODAY()-$AF2615,"")</f>
        <v/>
      </c>
      <c r="AJ2615" s="12" t="n"/>
      <c r="AK2615" s="14">
        <f>IF($B2615="","",IF($AO2615="","対象年月が未入力／","")&amp;IF($B2615="","",IF($AN2615="","職員マスタに未登録の職員番号／",IF($Y2615="","標準報酬月額が未登録／","")&amp;IF(AND($AO2615&lt;&gt;"",OR(AND(INDEX(職員マスタ!$G$6:$G$405,$AN2615)&lt;&gt;"",INDEX(職員マスタ!$G$6:$G$405,$AN2615)&gt;EOMONTH($AO2615,0)),AND(INDEX(職員マスタ!$H$6:$H$405,$AN2615)&lt;&gt;"",INDEX(職員マスタ!$H$6:$H$405,$AN2615)&lt;$AO2615))),"対象月が時短期間外／","")&amp;IF(AND(INDEX(職員マスタ!$F$6:$F$405,$AN2615)&lt;&gt;"",$AO2615&lt;&gt;"",INDEX(職員マスタ!$F$6:$F$405,$AN2615)&lt;$AO2615),"対象月に子が2歳到達済／","")&amp;IF(AND($H2615&lt;&gt;"",INDEX(職員マスタ!$B$6:$B$405,$AN2615)&lt;&gt;"",SUBSTITUTE(SUBSTITUTE($H2615," ","")," ","")&lt;&gt;SUBSTITUTE(SUBSTITUTE(INDEX(職員マスタ!$B$6:$B$405,$AN2615)," ","")," ","")),"氏名がマスタと相違／","")&amp;IF(AND($Q2615&lt;&gt;"",INDEX(職員マスタ!$E$6:$E$405,$AN2615)&lt;&gt;"",$Q2615&lt;&gt;INDEX(職員マスタ!$E$6:$E$405,$AN2615)),"子の生年月日がマスタと相違／","")&amp;IF(AND($L2615&lt;&gt;"",INDEX(職員マスタ!$G$6:$G$405,$AN2615)&lt;&gt;"",$L2615&lt;&gt;INDEX(職員マスタ!$G$6:$G$405,$AN2615)),"時短開始日がマスタと相違／","")&amp;IF(AND($M2615&lt;&gt;"",INDEX(職員マスタ!$H$6:$H$405,$AN2615)&lt;&gt;"",$M2615&lt;&gt;INDEX(職員マスタ!$H$6:$H$405,$AN2615)),"時短終了日がマスタと相違／","")))&amp;IF(AND($B2615&lt;&gt;"",$E2615=""),"報酬額が未入力／","")&amp;IF(N($U2615)&gt;0,"申請書に入力エラーが残っています／","")&amp;IF(AND($B2615&lt;&gt;"",$AO2615&lt;&gt;""),IF(COUNTIFS($B$6:$B$3005,$B2615,$C$6:$C$3005,$C2615,$D$6:$D$3005,$D2615)&gt;1,"同じ月の請求が重複しています／",""),"")&amp;IF(AND(N($E2615)&gt;0,$Z2615&lt;&gt;"",$Z2615&lt;&gt;"×",$AC2615=0,$AB2615=""),"計算額が下限以下のため不支給／",""))</f>
        <v/>
      </c>
      <c r="AL2615" s="12" t="n"/>
      <c r="AM2615" s="14">
        <f>IF($AD2615="保留中",COUNTIF($AD$6:$AD2615,"保留中"),"")</f>
        <v/>
      </c>
      <c r="AN2615" s="14">
        <f>IF($AO2615="","",IF(SUMPRODUCT(MAX((職員マスタ!$A$6:$A$405=$B2615)*(((職員マスタ!$G$6:$G$405="")+(職員マスタ!$G$6:$G$405&lt;=EOMONTH($AO2615,0)))&gt;0)*(((職員マスタ!$H$6:$H$405="")+(職員マスタ!$H$6:$H$405&gt;=$AO2615))&gt;0)*(ROW(職員マスタ!$A$6:$A$405)-5)))&gt;0,SUMPRODUCT(MAX((職員マスタ!$A$6:$A$405=$B2615)*(((職員マスタ!$G$6:$G$405="")+(職員マスタ!$G$6:$G$405&lt;=EOMONTH($AO2615,0)))&gt;0)*(((職員マスタ!$H$6:$H$405="")+(職員マスタ!$H$6:$H$405&gt;=$AO2615))&gt;0)*(ROW(職員マスタ!$A$6:$A$405)-5))),IFERROR(MATCH($B2615,職員マスタ!$A$6:$A$405,0),"")))</f>
        <v/>
      </c>
      <c r="AO2615" s="16">
        <f>IF(OR($B2615="",$C2615="",$D2615=""),"",DATE($C2615+2018,$D2615,1))</f>
        <v/>
      </c>
    </row>
    <row r="2616">
      <c r="A2616" s="11" t="n"/>
      <c r="B2616" s="12" t="n"/>
      <c r="C2616" s="12" t="n"/>
      <c r="D2616" s="12" t="n"/>
      <c r="E2616" s="13" t="n"/>
      <c r="F2616" s="12" t="n"/>
      <c r="G2616" s="13" t="n"/>
      <c r="H2616" s="12" t="n"/>
      <c r="I2616" s="12" t="n"/>
      <c r="J2616" s="12" t="n"/>
      <c r="K2616" s="12" t="n"/>
      <c r="L2616" s="11" t="n"/>
      <c r="M2616" s="11" t="n"/>
      <c r="N2616" s="11" t="n"/>
      <c r="O2616" s="11" t="n"/>
      <c r="P2616" s="12" t="n"/>
      <c r="Q2616" s="11" t="n"/>
      <c r="R2616" s="12" t="n"/>
      <c r="S2616" s="11" t="n"/>
      <c r="T2616" s="12" t="n"/>
      <c r="U2616" s="12" t="n"/>
      <c r="V2616" s="14">
        <f>IF($AN2616="",IF($B2616="","",$H2616),IF(INDEX(職員マスタ!$B$6:$B$405,$AN2616)="",$H2616,INDEX(職員マスタ!$B$6:$B$405,$AN2616)))</f>
        <v/>
      </c>
      <c r="W2616" s="14">
        <f>IF($AN2616="",IF($B2616="","",$R2616),IF(INDEX(職員マスタ!$C$6:$C$405,$AN2616)="",$R2616,INDEX(職員マスタ!$C$6:$C$405,$AN2616)))</f>
        <v/>
      </c>
      <c r="X2616" s="14">
        <f>IF($AO2616="","","R"&amp;$C2616&amp;"."&amp;$D2616)</f>
        <v/>
      </c>
      <c r="Y2616" s="15">
        <f>IF($AN2616="","",IF(INDEX(職員マスタ!$K$6:$K$405,$AN2616)="","",INDEX(職員マスタ!$K$6:$K$405,$AN2616)))</f>
        <v/>
      </c>
      <c r="Z2616" s="14">
        <f>IF(OR($E2616="",$Y2616=""),"",IF($E2616&gt;=$Y2616,"×",IF($E2616&gt;=$Y2616*設定!$C$5,"△","○")))</f>
        <v/>
      </c>
      <c r="AA2616" s="15">
        <f>IF($Z2616="","",IF($Z2616="×",0,IF($Z2616="○",ROUNDDOWN($E2616*設定!$C$4,0),ROUNDDOWN($E2616*ROUND((9*$Y2616-9*$E2616)/(10*$E2616),4),0))))</f>
        <v/>
      </c>
      <c r="AB2616" s="13" t="n"/>
      <c r="AC2616" s="15">
        <f>IF($B2616="","",IF($AB2616&lt;&gt;"",$AB2616,IF($AA2616="","",IF($AA2616&lt;=設定!$C$3,0,$AA2616))))</f>
        <v/>
      </c>
      <c r="AD2616" s="14">
        <f>IF($B2616="","",IF(AND($AE2616&lt;&gt;"",$AG2616="",$AJ2616=""),"保留中",IF($AJ2616&lt;&gt;"",IF(N($AC2616)&gt;0,"支給済","不支給"),IF($AC2616="","要確認",IF($AC2616=0,"不支給","未処理")))))</f>
        <v/>
      </c>
      <c r="AE2616" s="12" t="n"/>
      <c r="AF2616" s="11" t="n"/>
      <c r="AG2616" s="11" t="n"/>
      <c r="AH2616" s="11" t="n"/>
      <c r="AI2616" s="14">
        <f>IF(AND($AD2616="保留中",$AF2616&lt;&gt;""),TODAY()-$AF2616,"")</f>
        <v/>
      </c>
      <c r="AJ2616" s="12" t="n"/>
      <c r="AK2616" s="14">
        <f>IF($B2616="","",IF($AO2616="","対象年月が未入力／","")&amp;IF($B2616="","",IF($AN2616="","職員マスタに未登録の職員番号／",IF($Y2616="","標準報酬月額が未登録／","")&amp;IF(AND($AO2616&lt;&gt;"",OR(AND(INDEX(職員マスタ!$G$6:$G$405,$AN2616)&lt;&gt;"",INDEX(職員マスタ!$G$6:$G$405,$AN2616)&gt;EOMONTH($AO2616,0)),AND(INDEX(職員マスタ!$H$6:$H$405,$AN2616)&lt;&gt;"",INDEX(職員マスタ!$H$6:$H$405,$AN2616)&lt;$AO2616))),"対象月が時短期間外／","")&amp;IF(AND(INDEX(職員マスタ!$F$6:$F$405,$AN2616)&lt;&gt;"",$AO2616&lt;&gt;"",INDEX(職員マスタ!$F$6:$F$405,$AN2616)&lt;$AO2616),"対象月に子が2歳到達済／","")&amp;IF(AND($H2616&lt;&gt;"",INDEX(職員マスタ!$B$6:$B$405,$AN2616)&lt;&gt;"",SUBSTITUTE(SUBSTITUTE($H2616," ","")," ","")&lt;&gt;SUBSTITUTE(SUBSTITUTE(INDEX(職員マスタ!$B$6:$B$405,$AN2616)," ","")," ","")),"氏名がマスタと相違／","")&amp;IF(AND($Q2616&lt;&gt;"",INDEX(職員マスタ!$E$6:$E$405,$AN2616)&lt;&gt;"",$Q2616&lt;&gt;INDEX(職員マスタ!$E$6:$E$405,$AN2616)),"子の生年月日がマスタと相違／","")&amp;IF(AND($L2616&lt;&gt;"",INDEX(職員マスタ!$G$6:$G$405,$AN2616)&lt;&gt;"",$L2616&lt;&gt;INDEX(職員マスタ!$G$6:$G$405,$AN2616)),"時短開始日がマスタと相違／","")&amp;IF(AND($M2616&lt;&gt;"",INDEX(職員マスタ!$H$6:$H$405,$AN2616)&lt;&gt;"",$M2616&lt;&gt;INDEX(職員マスタ!$H$6:$H$405,$AN2616)),"時短終了日がマスタと相違／","")))&amp;IF(AND($B2616&lt;&gt;"",$E2616=""),"報酬額が未入力／","")&amp;IF(N($U2616)&gt;0,"申請書に入力エラーが残っています／","")&amp;IF(AND($B2616&lt;&gt;"",$AO2616&lt;&gt;""),IF(COUNTIFS($B$6:$B$3005,$B2616,$C$6:$C$3005,$C2616,$D$6:$D$3005,$D2616)&gt;1,"同じ月の請求が重複しています／",""),"")&amp;IF(AND(N($E2616)&gt;0,$Z2616&lt;&gt;"",$Z2616&lt;&gt;"×",$AC2616=0,$AB2616=""),"計算額が下限以下のため不支給／",""))</f>
        <v/>
      </c>
      <c r="AL2616" s="12" t="n"/>
      <c r="AM2616" s="14">
        <f>IF($AD2616="保留中",COUNTIF($AD$6:$AD2616,"保留中"),"")</f>
        <v/>
      </c>
      <c r="AN2616" s="14">
        <f>IF($AO2616="","",IF(SUMPRODUCT(MAX((職員マスタ!$A$6:$A$405=$B2616)*(((職員マスタ!$G$6:$G$405="")+(職員マスタ!$G$6:$G$405&lt;=EOMONTH($AO2616,0)))&gt;0)*(((職員マスタ!$H$6:$H$405="")+(職員マスタ!$H$6:$H$405&gt;=$AO2616))&gt;0)*(ROW(職員マスタ!$A$6:$A$405)-5)))&gt;0,SUMPRODUCT(MAX((職員マスタ!$A$6:$A$405=$B2616)*(((職員マスタ!$G$6:$G$405="")+(職員マスタ!$G$6:$G$405&lt;=EOMONTH($AO2616,0)))&gt;0)*(((職員マスタ!$H$6:$H$405="")+(職員マスタ!$H$6:$H$405&gt;=$AO2616))&gt;0)*(ROW(職員マスタ!$A$6:$A$405)-5))),IFERROR(MATCH($B2616,職員マスタ!$A$6:$A$405,0),"")))</f>
        <v/>
      </c>
      <c r="AO2616" s="16">
        <f>IF(OR($B2616="",$C2616="",$D2616=""),"",DATE($C2616+2018,$D2616,1))</f>
        <v/>
      </c>
    </row>
    <row r="2617">
      <c r="A2617" s="11" t="n"/>
      <c r="B2617" s="12" t="n"/>
      <c r="C2617" s="12" t="n"/>
      <c r="D2617" s="12" t="n"/>
      <c r="E2617" s="13" t="n"/>
      <c r="F2617" s="12" t="n"/>
      <c r="G2617" s="13" t="n"/>
      <c r="H2617" s="12" t="n"/>
      <c r="I2617" s="12" t="n"/>
      <c r="J2617" s="12" t="n"/>
      <c r="K2617" s="12" t="n"/>
      <c r="L2617" s="11" t="n"/>
      <c r="M2617" s="11" t="n"/>
      <c r="N2617" s="11" t="n"/>
      <c r="O2617" s="11" t="n"/>
      <c r="P2617" s="12" t="n"/>
      <c r="Q2617" s="11" t="n"/>
      <c r="R2617" s="12" t="n"/>
      <c r="S2617" s="11" t="n"/>
      <c r="T2617" s="12" t="n"/>
      <c r="U2617" s="12" t="n"/>
      <c r="V2617" s="14">
        <f>IF($AN2617="",IF($B2617="","",$H2617),IF(INDEX(職員マスタ!$B$6:$B$405,$AN2617)="",$H2617,INDEX(職員マスタ!$B$6:$B$405,$AN2617)))</f>
        <v/>
      </c>
      <c r="W2617" s="14">
        <f>IF($AN2617="",IF($B2617="","",$R2617),IF(INDEX(職員マスタ!$C$6:$C$405,$AN2617)="",$R2617,INDEX(職員マスタ!$C$6:$C$405,$AN2617)))</f>
        <v/>
      </c>
      <c r="X2617" s="14">
        <f>IF($AO2617="","","R"&amp;$C2617&amp;"."&amp;$D2617)</f>
        <v/>
      </c>
      <c r="Y2617" s="15">
        <f>IF($AN2617="","",IF(INDEX(職員マスタ!$K$6:$K$405,$AN2617)="","",INDEX(職員マスタ!$K$6:$K$405,$AN2617)))</f>
        <v/>
      </c>
      <c r="Z2617" s="14">
        <f>IF(OR($E2617="",$Y2617=""),"",IF($E2617&gt;=$Y2617,"×",IF($E2617&gt;=$Y2617*設定!$C$5,"△","○")))</f>
        <v/>
      </c>
      <c r="AA2617" s="15">
        <f>IF($Z2617="","",IF($Z2617="×",0,IF($Z2617="○",ROUNDDOWN($E2617*設定!$C$4,0),ROUNDDOWN($E2617*ROUND((9*$Y2617-9*$E2617)/(10*$E2617),4),0))))</f>
        <v/>
      </c>
      <c r="AB2617" s="13" t="n"/>
      <c r="AC2617" s="15">
        <f>IF($B2617="","",IF($AB2617&lt;&gt;"",$AB2617,IF($AA2617="","",IF($AA2617&lt;=設定!$C$3,0,$AA2617))))</f>
        <v/>
      </c>
      <c r="AD2617" s="14">
        <f>IF($B2617="","",IF(AND($AE2617&lt;&gt;"",$AG2617="",$AJ2617=""),"保留中",IF($AJ2617&lt;&gt;"",IF(N($AC2617)&gt;0,"支給済","不支給"),IF($AC2617="","要確認",IF($AC2617=0,"不支給","未処理")))))</f>
        <v/>
      </c>
      <c r="AE2617" s="12" t="n"/>
      <c r="AF2617" s="11" t="n"/>
      <c r="AG2617" s="11" t="n"/>
      <c r="AH2617" s="11" t="n"/>
      <c r="AI2617" s="14">
        <f>IF(AND($AD2617="保留中",$AF2617&lt;&gt;""),TODAY()-$AF2617,"")</f>
        <v/>
      </c>
      <c r="AJ2617" s="12" t="n"/>
      <c r="AK2617" s="14">
        <f>IF($B2617="","",IF($AO2617="","対象年月が未入力／","")&amp;IF($B2617="","",IF($AN2617="","職員マスタに未登録の職員番号／",IF($Y2617="","標準報酬月額が未登録／","")&amp;IF(AND($AO2617&lt;&gt;"",OR(AND(INDEX(職員マスタ!$G$6:$G$405,$AN2617)&lt;&gt;"",INDEX(職員マスタ!$G$6:$G$405,$AN2617)&gt;EOMONTH($AO2617,0)),AND(INDEX(職員マスタ!$H$6:$H$405,$AN2617)&lt;&gt;"",INDEX(職員マスタ!$H$6:$H$405,$AN2617)&lt;$AO2617))),"対象月が時短期間外／","")&amp;IF(AND(INDEX(職員マスタ!$F$6:$F$405,$AN2617)&lt;&gt;"",$AO2617&lt;&gt;"",INDEX(職員マスタ!$F$6:$F$405,$AN2617)&lt;$AO2617),"対象月に子が2歳到達済／","")&amp;IF(AND($H2617&lt;&gt;"",INDEX(職員マスタ!$B$6:$B$405,$AN2617)&lt;&gt;"",SUBSTITUTE(SUBSTITUTE($H2617," ","")," ","")&lt;&gt;SUBSTITUTE(SUBSTITUTE(INDEX(職員マスタ!$B$6:$B$405,$AN2617)," ","")," ","")),"氏名がマスタと相違／","")&amp;IF(AND($Q2617&lt;&gt;"",INDEX(職員マスタ!$E$6:$E$405,$AN2617)&lt;&gt;"",$Q2617&lt;&gt;INDEX(職員マスタ!$E$6:$E$405,$AN2617)),"子の生年月日がマスタと相違／","")&amp;IF(AND($L2617&lt;&gt;"",INDEX(職員マスタ!$G$6:$G$405,$AN2617)&lt;&gt;"",$L2617&lt;&gt;INDEX(職員マスタ!$G$6:$G$405,$AN2617)),"時短開始日がマスタと相違／","")&amp;IF(AND($M2617&lt;&gt;"",INDEX(職員マスタ!$H$6:$H$405,$AN2617)&lt;&gt;"",$M2617&lt;&gt;INDEX(職員マスタ!$H$6:$H$405,$AN2617)),"時短終了日がマスタと相違／","")))&amp;IF(AND($B2617&lt;&gt;"",$E2617=""),"報酬額が未入力／","")&amp;IF(N($U2617)&gt;0,"申請書に入力エラーが残っています／","")&amp;IF(AND($B2617&lt;&gt;"",$AO2617&lt;&gt;""),IF(COUNTIFS($B$6:$B$3005,$B2617,$C$6:$C$3005,$C2617,$D$6:$D$3005,$D2617)&gt;1,"同じ月の請求が重複しています／",""),"")&amp;IF(AND(N($E2617)&gt;0,$Z2617&lt;&gt;"",$Z2617&lt;&gt;"×",$AC2617=0,$AB2617=""),"計算額が下限以下のため不支給／",""))</f>
        <v/>
      </c>
      <c r="AL2617" s="12" t="n"/>
      <c r="AM2617" s="14">
        <f>IF($AD2617="保留中",COUNTIF($AD$6:$AD2617,"保留中"),"")</f>
        <v/>
      </c>
      <c r="AN2617" s="14">
        <f>IF($AO2617="","",IF(SUMPRODUCT(MAX((職員マスタ!$A$6:$A$405=$B2617)*(((職員マスタ!$G$6:$G$405="")+(職員マスタ!$G$6:$G$405&lt;=EOMONTH($AO2617,0)))&gt;0)*(((職員マスタ!$H$6:$H$405="")+(職員マスタ!$H$6:$H$405&gt;=$AO2617))&gt;0)*(ROW(職員マスタ!$A$6:$A$405)-5)))&gt;0,SUMPRODUCT(MAX((職員マスタ!$A$6:$A$405=$B2617)*(((職員マスタ!$G$6:$G$405="")+(職員マスタ!$G$6:$G$405&lt;=EOMONTH($AO2617,0)))&gt;0)*(((職員マスタ!$H$6:$H$405="")+(職員マスタ!$H$6:$H$405&gt;=$AO2617))&gt;0)*(ROW(職員マスタ!$A$6:$A$405)-5))),IFERROR(MATCH($B2617,職員マスタ!$A$6:$A$405,0),"")))</f>
        <v/>
      </c>
      <c r="AO2617" s="16">
        <f>IF(OR($B2617="",$C2617="",$D2617=""),"",DATE($C2617+2018,$D2617,1))</f>
        <v/>
      </c>
    </row>
    <row r="2618">
      <c r="A2618" s="11" t="n"/>
      <c r="B2618" s="12" t="n"/>
      <c r="C2618" s="12" t="n"/>
      <c r="D2618" s="12" t="n"/>
      <c r="E2618" s="13" t="n"/>
      <c r="F2618" s="12" t="n"/>
      <c r="G2618" s="13" t="n"/>
      <c r="H2618" s="12" t="n"/>
      <c r="I2618" s="12" t="n"/>
      <c r="J2618" s="12" t="n"/>
      <c r="K2618" s="12" t="n"/>
      <c r="L2618" s="11" t="n"/>
      <c r="M2618" s="11" t="n"/>
      <c r="N2618" s="11" t="n"/>
      <c r="O2618" s="11" t="n"/>
      <c r="P2618" s="12" t="n"/>
      <c r="Q2618" s="11" t="n"/>
      <c r="R2618" s="12" t="n"/>
      <c r="S2618" s="11" t="n"/>
      <c r="T2618" s="12" t="n"/>
      <c r="U2618" s="12" t="n"/>
      <c r="V2618" s="14">
        <f>IF($AN2618="",IF($B2618="","",$H2618),IF(INDEX(職員マスタ!$B$6:$B$405,$AN2618)="",$H2618,INDEX(職員マスタ!$B$6:$B$405,$AN2618)))</f>
        <v/>
      </c>
      <c r="W2618" s="14">
        <f>IF($AN2618="",IF($B2618="","",$R2618),IF(INDEX(職員マスタ!$C$6:$C$405,$AN2618)="",$R2618,INDEX(職員マスタ!$C$6:$C$405,$AN2618)))</f>
        <v/>
      </c>
      <c r="X2618" s="14">
        <f>IF($AO2618="","","R"&amp;$C2618&amp;"."&amp;$D2618)</f>
        <v/>
      </c>
      <c r="Y2618" s="15">
        <f>IF($AN2618="","",IF(INDEX(職員マスタ!$K$6:$K$405,$AN2618)="","",INDEX(職員マスタ!$K$6:$K$405,$AN2618)))</f>
        <v/>
      </c>
      <c r="Z2618" s="14">
        <f>IF(OR($E2618="",$Y2618=""),"",IF($E2618&gt;=$Y2618,"×",IF($E2618&gt;=$Y2618*設定!$C$5,"△","○")))</f>
        <v/>
      </c>
      <c r="AA2618" s="15">
        <f>IF($Z2618="","",IF($Z2618="×",0,IF($Z2618="○",ROUNDDOWN($E2618*設定!$C$4,0),ROUNDDOWN($E2618*ROUND((9*$Y2618-9*$E2618)/(10*$E2618),4),0))))</f>
        <v/>
      </c>
      <c r="AB2618" s="13" t="n"/>
      <c r="AC2618" s="15">
        <f>IF($B2618="","",IF($AB2618&lt;&gt;"",$AB2618,IF($AA2618="","",IF($AA2618&lt;=設定!$C$3,0,$AA2618))))</f>
        <v/>
      </c>
      <c r="AD2618" s="14">
        <f>IF($B2618="","",IF(AND($AE2618&lt;&gt;"",$AG2618="",$AJ2618=""),"保留中",IF($AJ2618&lt;&gt;"",IF(N($AC2618)&gt;0,"支給済","不支給"),IF($AC2618="","要確認",IF($AC2618=0,"不支給","未処理")))))</f>
        <v/>
      </c>
      <c r="AE2618" s="12" t="n"/>
      <c r="AF2618" s="11" t="n"/>
      <c r="AG2618" s="11" t="n"/>
      <c r="AH2618" s="11" t="n"/>
      <c r="AI2618" s="14">
        <f>IF(AND($AD2618="保留中",$AF2618&lt;&gt;""),TODAY()-$AF2618,"")</f>
        <v/>
      </c>
      <c r="AJ2618" s="12" t="n"/>
      <c r="AK2618" s="14">
        <f>IF($B2618="","",IF($AO2618="","対象年月が未入力／","")&amp;IF($B2618="","",IF($AN2618="","職員マスタに未登録の職員番号／",IF($Y2618="","標準報酬月額が未登録／","")&amp;IF(AND($AO2618&lt;&gt;"",OR(AND(INDEX(職員マスタ!$G$6:$G$405,$AN2618)&lt;&gt;"",INDEX(職員マスタ!$G$6:$G$405,$AN2618)&gt;EOMONTH($AO2618,0)),AND(INDEX(職員マスタ!$H$6:$H$405,$AN2618)&lt;&gt;"",INDEX(職員マスタ!$H$6:$H$405,$AN2618)&lt;$AO2618))),"対象月が時短期間外／","")&amp;IF(AND(INDEX(職員マスタ!$F$6:$F$405,$AN2618)&lt;&gt;"",$AO2618&lt;&gt;"",INDEX(職員マスタ!$F$6:$F$405,$AN2618)&lt;$AO2618),"対象月に子が2歳到達済／","")&amp;IF(AND($H2618&lt;&gt;"",INDEX(職員マスタ!$B$6:$B$405,$AN2618)&lt;&gt;"",SUBSTITUTE(SUBSTITUTE($H2618," ","")," ","")&lt;&gt;SUBSTITUTE(SUBSTITUTE(INDEX(職員マスタ!$B$6:$B$405,$AN2618)," ","")," ","")),"氏名がマスタと相違／","")&amp;IF(AND($Q2618&lt;&gt;"",INDEX(職員マスタ!$E$6:$E$405,$AN2618)&lt;&gt;"",$Q2618&lt;&gt;INDEX(職員マスタ!$E$6:$E$405,$AN2618)),"子の生年月日がマスタと相違／","")&amp;IF(AND($L2618&lt;&gt;"",INDEX(職員マスタ!$G$6:$G$405,$AN2618)&lt;&gt;"",$L2618&lt;&gt;INDEX(職員マスタ!$G$6:$G$405,$AN2618)),"時短開始日がマスタと相違／","")&amp;IF(AND($M2618&lt;&gt;"",INDEX(職員マスタ!$H$6:$H$405,$AN2618)&lt;&gt;"",$M2618&lt;&gt;INDEX(職員マスタ!$H$6:$H$405,$AN2618)),"時短終了日がマスタと相違／","")))&amp;IF(AND($B2618&lt;&gt;"",$E2618=""),"報酬額が未入力／","")&amp;IF(N($U2618)&gt;0,"申請書に入力エラーが残っています／","")&amp;IF(AND($B2618&lt;&gt;"",$AO2618&lt;&gt;""),IF(COUNTIFS($B$6:$B$3005,$B2618,$C$6:$C$3005,$C2618,$D$6:$D$3005,$D2618)&gt;1,"同じ月の請求が重複しています／",""),"")&amp;IF(AND(N($E2618)&gt;0,$Z2618&lt;&gt;"",$Z2618&lt;&gt;"×",$AC2618=0,$AB2618=""),"計算額が下限以下のため不支給／",""))</f>
        <v/>
      </c>
      <c r="AL2618" s="12" t="n"/>
      <c r="AM2618" s="14">
        <f>IF($AD2618="保留中",COUNTIF($AD$6:$AD2618,"保留中"),"")</f>
        <v/>
      </c>
      <c r="AN2618" s="14">
        <f>IF($AO2618="","",IF(SUMPRODUCT(MAX((職員マスタ!$A$6:$A$405=$B2618)*(((職員マスタ!$G$6:$G$405="")+(職員マスタ!$G$6:$G$405&lt;=EOMONTH($AO2618,0)))&gt;0)*(((職員マスタ!$H$6:$H$405="")+(職員マスタ!$H$6:$H$405&gt;=$AO2618))&gt;0)*(ROW(職員マスタ!$A$6:$A$405)-5)))&gt;0,SUMPRODUCT(MAX((職員マスタ!$A$6:$A$405=$B2618)*(((職員マスタ!$G$6:$G$405="")+(職員マスタ!$G$6:$G$405&lt;=EOMONTH($AO2618,0)))&gt;0)*(((職員マスタ!$H$6:$H$405="")+(職員マスタ!$H$6:$H$405&gt;=$AO2618))&gt;0)*(ROW(職員マスタ!$A$6:$A$405)-5))),IFERROR(MATCH($B2618,職員マスタ!$A$6:$A$405,0),"")))</f>
        <v/>
      </c>
      <c r="AO2618" s="16">
        <f>IF(OR($B2618="",$C2618="",$D2618=""),"",DATE($C2618+2018,$D2618,1))</f>
        <v/>
      </c>
    </row>
    <row r="2619">
      <c r="A2619" s="11" t="n"/>
      <c r="B2619" s="12" t="n"/>
      <c r="C2619" s="12" t="n"/>
      <c r="D2619" s="12" t="n"/>
      <c r="E2619" s="13" t="n"/>
      <c r="F2619" s="12" t="n"/>
      <c r="G2619" s="13" t="n"/>
      <c r="H2619" s="12" t="n"/>
      <c r="I2619" s="12" t="n"/>
      <c r="J2619" s="12" t="n"/>
      <c r="K2619" s="12" t="n"/>
      <c r="L2619" s="11" t="n"/>
      <c r="M2619" s="11" t="n"/>
      <c r="N2619" s="11" t="n"/>
      <c r="O2619" s="11" t="n"/>
      <c r="P2619" s="12" t="n"/>
      <c r="Q2619" s="11" t="n"/>
      <c r="R2619" s="12" t="n"/>
      <c r="S2619" s="11" t="n"/>
      <c r="T2619" s="12" t="n"/>
      <c r="U2619" s="12" t="n"/>
      <c r="V2619" s="14">
        <f>IF($AN2619="",IF($B2619="","",$H2619),IF(INDEX(職員マスタ!$B$6:$B$405,$AN2619)="",$H2619,INDEX(職員マスタ!$B$6:$B$405,$AN2619)))</f>
        <v/>
      </c>
      <c r="W2619" s="14">
        <f>IF($AN2619="",IF($B2619="","",$R2619),IF(INDEX(職員マスタ!$C$6:$C$405,$AN2619)="",$R2619,INDEX(職員マスタ!$C$6:$C$405,$AN2619)))</f>
        <v/>
      </c>
      <c r="X2619" s="14">
        <f>IF($AO2619="","","R"&amp;$C2619&amp;"."&amp;$D2619)</f>
        <v/>
      </c>
      <c r="Y2619" s="15">
        <f>IF($AN2619="","",IF(INDEX(職員マスタ!$K$6:$K$405,$AN2619)="","",INDEX(職員マスタ!$K$6:$K$405,$AN2619)))</f>
        <v/>
      </c>
      <c r="Z2619" s="14">
        <f>IF(OR($E2619="",$Y2619=""),"",IF($E2619&gt;=$Y2619,"×",IF($E2619&gt;=$Y2619*設定!$C$5,"△","○")))</f>
        <v/>
      </c>
      <c r="AA2619" s="15">
        <f>IF($Z2619="","",IF($Z2619="×",0,IF($Z2619="○",ROUNDDOWN($E2619*設定!$C$4,0),ROUNDDOWN($E2619*ROUND((9*$Y2619-9*$E2619)/(10*$E2619),4),0))))</f>
        <v/>
      </c>
      <c r="AB2619" s="13" t="n"/>
      <c r="AC2619" s="15">
        <f>IF($B2619="","",IF($AB2619&lt;&gt;"",$AB2619,IF($AA2619="","",IF($AA2619&lt;=設定!$C$3,0,$AA2619))))</f>
        <v/>
      </c>
      <c r="AD2619" s="14">
        <f>IF($B2619="","",IF(AND($AE2619&lt;&gt;"",$AG2619="",$AJ2619=""),"保留中",IF($AJ2619&lt;&gt;"",IF(N($AC2619)&gt;0,"支給済","不支給"),IF($AC2619="","要確認",IF($AC2619=0,"不支給","未処理")))))</f>
        <v/>
      </c>
      <c r="AE2619" s="12" t="n"/>
      <c r="AF2619" s="11" t="n"/>
      <c r="AG2619" s="11" t="n"/>
      <c r="AH2619" s="11" t="n"/>
      <c r="AI2619" s="14">
        <f>IF(AND($AD2619="保留中",$AF2619&lt;&gt;""),TODAY()-$AF2619,"")</f>
        <v/>
      </c>
      <c r="AJ2619" s="12" t="n"/>
      <c r="AK2619" s="14">
        <f>IF($B2619="","",IF($AO2619="","対象年月が未入力／","")&amp;IF($B2619="","",IF($AN2619="","職員マスタに未登録の職員番号／",IF($Y2619="","標準報酬月額が未登録／","")&amp;IF(AND($AO2619&lt;&gt;"",OR(AND(INDEX(職員マスタ!$G$6:$G$405,$AN2619)&lt;&gt;"",INDEX(職員マスタ!$G$6:$G$405,$AN2619)&gt;EOMONTH($AO2619,0)),AND(INDEX(職員マスタ!$H$6:$H$405,$AN2619)&lt;&gt;"",INDEX(職員マスタ!$H$6:$H$405,$AN2619)&lt;$AO2619))),"対象月が時短期間外／","")&amp;IF(AND(INDEX(職員マスタ!$F$6:$F$405,$AN2619)&lt;&gt;"",$AO2619&lt;&gt;"",INDEX(職員マスタ!$F$6:$F$405,$AN2619)&lt;$AO2619),"対象月に子が2歳到達済／","")&amp;IF(AND($H2619&lt;&gt;"",INDEX(職員マスタ!$B$6:$B$405,$AN2619)&lt;&gt;"",SUBSTITUTE(SUBSTITUTE($H2619," ","")," ","")&lt;&gt;SUBSTITUTE(SUBSTITUTE(INDEX(職員マスタ!$B$6:$B$405,$AN2619)," ","")," ","")),"氏名がマスタと相違／","")&amp;IF(AND($Q2619&lt;&gt;"",INDEX(職員マスタ!$E$6:$E$405,$AN2619)&lt;&gt;"",$Q2619&lt;&gt;INDEX(職員マスタ!$E$6:$E$405,$AN2619)),"子の生年月日がマスタと相違／","")&amp;IF(AND($L2619&lt;&gt;"",INDEX(職員マスタ!$G$6:$G$405,$AN2619)&lt;&gt;"",$L2619&lt;&gt;INDEX(職員マスタ!$G$6:$G$405,$AN2619)),"時短開始日がマスタと相違／","")&amp;IF(AND($M2619&lt;&gt;"",INDEX(職員マスタ!$H$6:$H$405,$AN2619)&lt;&gt;"",$M2619&lt;&gt;INDEX(職員マスタ!$H$6:$H$405,$AN2619)),"時短終了日がマスタと相違／","")))&amp;IF(AND($B2619&lt;&gt;"",$E2619=""),"報酬額が未入力／","")&amp;IF(N($U2619)&gt;0,"申請書に入力エラーが残っています／","")&amp;IF(AND($B2619&lt;&gt;"",$AO2619&lt;&gt;""),IF(COUNTIFS($B$6:$B$3005,$B2619,$C$6:$C$3005,$C2619,$D$6:$D$3005,$D2619)&gt;1,"同じ月の請求が重複しています／",""),"")&amp;IF(AND(N($E2619)&gt;0,$Z2619&lt;&gt;"",$Z2619&lt;&gt;"×",$AC2619=0,$AB2619=""),"計算額が下限以下のため不支給／",""))</f>
        <v/>
      </c>
      <c r="AL2619" s="12" t="n"/>
      <c r="AM2619" s="14">
        <f>IF($AD2619="保留中",COUNTIF($AD$6:$AD2619,"保留中"),"")</f>
        <v/>
      </c>
      <c r="AN2619" s="14">
        <f>IF($AO2619="","",IF(SUMPRODUCT(MAX((職員マスタ!$A$6:$A$405=$B2619)*(((職員マスタ!$G$6:$G$405="")+(職員マスタ!$G$6:$G$405&lt;=EOMONTH($AO2619,0)))&gt;0)*(((職員マスタ!$H$6:$H$405="")+(職員マスタ!$H$6:$H$405&gt;=$AO2619))&gt;0)*(ROW(職員マスタ!$A$6:$A$405)-5)))&gt;0,SUMPRODUCT(MAX((職員マスタ!$A$6:$A$405=$B2619)*(((職員マスタ!$G$6:$G$405="")+(職員マスタ!$G$6:$G$405&lt;=EOMONTH($AO2619,0)))&gt;0)*(((職員マスタ!$H$6:$H$405="")+(職員マスタ!$H$6:$H$405&gt;=$AO2619))&gt;0)*(ROW(職員マスタ!$A$6:$A$405)-5))),IFERROR(MATCH($B2619,職員マスタ!$A$6:$A$405,0),"")))</f>
        <v/>
      </c>
      <c r="AO2619" s="16">
        <f>IF(OR($B2619="",$C2619="",$D2619=""),"",DATE($C2619+2018,$D2619,1))</f>
        <v/>
      </c>
    </row>
    <row r="2620">
      <c r="A2620" s="11" t="n"/>
      <c r="B2620" s="12" t="n"/>
      <c r="C2620" s="12" t="n"/>
      <c r="D2620" s="12" t="n"/>
      <c r="E2620" s="13" t="n"/>
      <c r="F2620" s="12" t="n"/>
      <c r="G2620" s="13" t="n"/>
      <c r="H2620" s="12" t="n"/>
      <c r="I2620" s="12" t="n"/>
      <c r="J2620" s="12" t="n"/>
      <c r="K2620" s="12" t="n"/>
      <c r="L2620" s="11" t="n"/>
      <c r="M2620" s="11" t="n"/>
      <c r="N2620" s="11" t="n"/>
      <c r="O2620" s="11" t="n"/>
      <c r="P2620" s="12" t="n"/>
      <c r="Q2620" s="11" t="n"/>
      <c r="R2620" s="12" t="n"/>
      <c r="S2620" s="11" t="n"/>
      <c r="T2620" s="12" t="n"/>
      <c r="U2620" s="12" t="n"/>
      <c r="V2620" s="14">
        <f>IF($AN2620="",IF($B2620="","",$H2620),IF(INDEX(職員マスタ!$B$6:$B$405,$AN2620)="",$H2620,INDEX(職員マスタ!$B$6:$B$405,$AN2620)))</f>
        <v/>
      </c>
      <c r="W2620" s="14">
        <f>IF($AN2620="",IF($B2620="","",$R2620),IF(INDEX(職員マスタ!$C$6:$C$405,$AN2620)="",$R2620,INDEX(職員マスタ!$C$6:$C$405,$AN2620)))</f>
        <v/>
      </c>
      <c r="X2620" s="14">
        <f>IF($AO2620="","","R"&amp;$C2620&amp;"."&amp;$D2620)</f>
        <v/>
      </c>
      <c r="Y2620" s="15">
        <f>IF($AN2620="","",IF(INDEX(職員マスタ!$K$6:$K$405,$AN2620)="","",INDEX(職員マスタ!$K$6:$K$405,$AN2620)))</f>
        <v/>
      </c>
      <c r="Z2620" s="14">
        <f>IF(OR($E2620="",$Y2620=""),"",IF($E2620&gt;=$Y2620,"×",IF($E2620&gt;=$Y2620*設定!$C$5,"△","○")))</f>
        <v/>
      </c>
      <c r="AA2620" s="15">
        <f>IF($Z2620="","",IF($Z2620="×",0,IF($Z2620="○",ROUNDDOWN($E2620*設定!$C$4,0),ROUNDDOWN($E2620*ROUND((9*$Y2620-9*$E2620)/(10*$E2620),4),0))))</f>
        <v/>
      </c>
      <c r="AB2620" s="13" t="n"/>
      <c r="AC2620" s="15">
        <f>IF($B2620="","",IF($AB2620&lt;&gt;"",$AB2620,IF($AA2620="","",IF($AA2620&lt;=設定!$C$3,0,$AA2620))))</f>
        <v/>
      </c>
      <c r="AD2620" s="14">
        <f>IF($B2620="","",IF(AND($AE2620&lt;&gt;"",$AG2620="",$AJ2620=""),"保留中",IF($AJ2620&lt;&gt;"",IF(N($AC2620)&gt;0,"支給済","不支給"),IF($AC2620="","要確認",IF($AC2620=0,"不支給","未処理")))))</f>
        <v/>
      </c>
      <c r="AE2620" s="12" t="n"/>
      <c r="AF2620" s="11" t="n"/>
      <c r="AG2620" s="11" t="n"/>
      <c r="AH2620" s="11" t="n"/>
      <c r="AI2620" s="14">
        <f>IF(AND($AD2620="保留中",$AF2620&lt;&gt;""),TODAY()-$AF2620,"")</f>
        <v/>
      </c>
      <c r="AJ2620" s="12" t="n"/>
      <c r="AK2620" s="14">
        <f>IF($B2620="","",IF($AO2620="","対象年月が未入力／","")&amp;IF($B2620="","",IF($AN2620="","職員マスタに未登録の職員番号／",IF($Y2620="","標準報酬月額が未登録／","")&amp;IF(AND($AO2620&lt;&gt;"",OR(AND(INDEX(職員マスタ!$G$6:$G$405,$AN2620)&lt;&gt;"",INDEX(職員マスタ!$G$6:$G$405,$AN2620)&gt;EOMONTH($AO2620,0)),AND(INDEX(職員マスタ!$H$6:$H$405,$AN2620)&lt;&gt;"",INDEX(職員マスタ!$H$6:$H$405,$AN2620)&lt;$AO2620))),"対象月が時短期間外／","")&amp;IF(AND(INDEX(職員マスタ!$F$6:$F$405,$AN2620)&lt;&gt;"",$AO2620&lt;&gt;"",INDEX(職員マスタ!$F$6:$F$405,$AN2620)&lt;$AO2620),"対象月に子が2歳到達済／","")&amp;IF(AND($H2620&lt;&gt;"",INDEX(職員マスタ!$B$6:$B$405,$AN2620)&lt;&gt;"",SUBSTITUTE(SUBSTITUTE($H2620," ","")," ","")&lt;&gt;SUBSTITUTE(SUBSTITUTE(INDEX(職員マスタ!$B$6:$B$405,$AN2620)," ","")," ","")),"氏名がマスタと相違／","")&amp;IF(AND($Q2620&lt;&gt;"",INDEX(職員マスタ!$E$6:$E$405,$AN2620)&lt;&gt;"",$Q2620&lt;&gt;INDEX(職員マスタ!$E$6:$E$405,$AN2620)),"子の生年月日がマスタと相違／","")&amp;IF(AND($L2620&lt;&gt;"",INDEX(職員マスタ!$G$6:$G$405,$AN2620)&lt;&gt;"",$L2620&lt;&gt;INDEX(職員マスタ!$G$6:$G$405,$AN2620)),"時短開始日がマスタと相違／","")&amp;IF(AND($M2620&lt;&gt;"",INDEX(職員マスタ!$H$6:$H$405,$AN2620)&lt;&gt;"",$M2620&lt;&gt;INDEX(職員マスタ!$H$6:$H$405,$AN2620)),"時短終了日がマスタと相違／","")))&amp;IF(AND($B2620&lt;&gt;"",$E2620=""),"報酬額が未入力／","")&amp;IF(N($U2620)&gt;0,"申請書に入力エラーが残っています／","")&amp;IF(AND($B2620&lt;&gt;"",$AO2620&lt;&gt;""),IF(COUNTIFS($B$6:$B$3005,$B2620,$C$6:$C$3005,$C2620,$D$6:$D$3005,$D2620)&gt;1,"同じ月の請求が重複しています／",""),"")&amp;IF(AND(N($E2620)&gt;0,$Z2620&lt;&gt;"",$Z2620&lt;&gt;"×",$AC2620=0,$AB2620=""),"計算額が下限以下のため不支給／",""))</f>
        <v/>
      </c>
      <c r="AL2620" s="12" t="n"/>
      <c r="AM2620" s="14">
        <f>IF($AD2620="保留中",COUNTIF($AD$6:$AD2620,"保留中"),"")</f>
        <v/>
      </c>
      <c r="AN2620" s="14">
        <f>IF($AO2620="","",IF(SUMPRODUCT(MAX((職員マスタ!$A$6:$A$405=$B2620)*(((職員マスタ!$G$6:$G$405="")+(職員マスタ!$G$6:$G$405&lt;=EOMONTH($AO2620,0)))&gt;0)*(((職員マスタ!$H$6:$H$405="")+(職員マスタ!$H$6:$H$405&gt;=$AO2620))&gt;0)*(ROW(職員マスタ!$A$6:$A$405)-5)))&gt;0,SUMPRODUCT(MAX((職員マスタ!$A$6:$A$405=$B2620)*(((職員マスタ!$G$6:$G$405="")+(職員マスタ!$G$6:$G$405&lt;=EOMONTH($AO2620,0)))&gt;0)*(((職員マスタ!$H$6:$H$405="")+(職員マスタ!$H$6:$H$405&gt;=$AO2620))&gt;0)*(ROW(職員マスタ!$A$6:$A$405)-5))),IFERROR(MATCH($B2620,職員マスタ!$A$6:$A$405,0),"")))</f>
        <v/>
      </c>
      <c r="AO2620" s="16">
        <f>IF(OR($B2620="",$C2620="",$D2620=""),"",DATE($C2620+2018,$D2620,1))</f>
        <v/>
      </c>
    </row>
    <row r="2621">
      <c r="A2621" s="11" t="n"/>
      <c r="B2621" s="12" t="n"/>
      <c r="C2621" s="12" t="n"/>
      <c r="D2621" s="12" t="n"/>
      <c r="E2621" s="13" t="n"/>
      <c r="F2621" s="12" t="n"/>
      <c r="G2621" s="13" t="n"/>
      <c r="H2621" s="12" t="n"/>
      <c r="I2621" s="12" t="n"/>
      <c r="J2621" s="12" t="n"/>
      <c r="K2621" s="12" t="n"/>
      <c r="L2621" s="11" t="n"/>
      <c r="M2621" s="11" t="n"/>
      <c r="N2621" s="11" t="n"/>
      <c r="O2621" s="11" t="n"/>
      <c r="P2621" s="12" t="n"/>
      <c r="Q2621" s="11" t="n"/>
      <c r="R2621" s="12" t="n"/>
      <c r="S2621" s="11" t="n"/>
      <c r="T2621" s="12" t="n"/>
      <c r="U2621" s="12" t="n"/>
      <c r="V2621" s="14">
        <f>IF($AN2621="",IF($B2621="","",$H2621),IF(INDEX(職員マスタ!$B$6:$B$405,$AN2621)="",$H2621,INDEX(職員マスタ!$B$6:$B$405,$AN2621)))</f>
        <v/>
      </c>
      <c r="W2621" s="14">
        <f>IF($AN2621="",IF($B2621="","",$R2621),IF(INDEX(職員マスタ!$C$6:$C$405,$AN2621)="",$R2621,INDEX(職員マスタ!$C$6:$C$405,$AN2621)))</f>
        <v/>
      </c>
      <c r="X2621" s="14">
        <f>IF($AO2621="","","R"&amp;$C2621&amp;"."&amp;$D2621)</f>
        <v/>
      </c>
      <c r="Y2621" s="15">
        <f>IF($AN2621="","",IF(INDEX(職員マスタ!$K$6:$K$405,$AN2621)="","",INDEX(職員マスタ!$K$6:$K$405,$AN2621)))</f>
        <v/>
      </c>
      <c r="Z2621" s="14">
        <f>IF(OR($E2621="",$Y2621=""),"",IF($E2621&gt;=$Y2621,"×",IF($E2621&gt;=$Y2621*設定!$C$5,"△","○")))</f>
        <v/>
      </c>
      <c r="AA2621" s="15">
        <f>IF($Z2621="","",IF($Z2621="×",0,IF($Z2621="○",ROUNDDOWN($E2621*設定!$C$4,0),ROUNDDOWN($E2621*ROUND((9*$Y2621-9*$E2621)/(10*$E2621),4),0))))</f>
        <v/>
      </c>
      <c r="AB2621" s="13" t="n"/>
      <c r="AC2621" s="15">
        <f>IF($B2621="","",IF($AB2621&lt;&gt;"",$AB2621,IF($AA2621="","",IF($AA2621&lt;=設定!$C$3,0,$AA2621))))</f>
        <v/>
      </c>
      <c r="AD2621" s="14">
        <f>IF($B2621="","",IF(AND($AE2621&lt;&gt;"",$AG2621="",$AJ2621=""),"保留中",IF($AJ2621&lt;&gt;"",IF(N($AC2621)&gt;0,"支給済","不支給"),IF($AC2621="","要確認",IF($AC2621=0,"不支給","未処理")))))</f>
        <v/>
      </c>
      <c r="AE2621" s="12" t="n"/>
      <c r="AF2621" s="11" t="n"/>
      <c r="AG2621" s="11" t="n"/>
      <c r="AH2621" s="11" t="n"/>
      <c r="AI2621" s="14">
        <f>IF(AND($AD2621="保留中",$AF2621&lt;&gt;""),TODAY()-$AF2621,"")</f>
        <v/>
      </c>
      <c r="AJ2621" s="12" t="n"/>
      <c r="AK2621" s="14">
        <f>IF($B2621="","",IF($AO2621="","対象年月が未入力／","")&amp;IF($B2621="","",IF($AN2621="","職員マスタに未登録の職員番号／",IF($Y2621="","標準報酬月額が未登録／","")&amp;IF(AND($AO2621&lt;&gt;"",OR(AND(INDEX(職員マスタ!$G$6:$G$405,$AN2621)&lt;&gt;"",INDEX(職員マスタ!$G$6:$G$405,$AN2621)&gt;EOMONTH($AO2621,0)),AND(INDEX(職員マスタ!$H$6:$H$405,$AN2621)&lt;&gt;"",INDEX(職員マスタ!$H$6:$H$405,$AN2621)&lt;$AO2621))),"対象月が時短期間外／","")&amp;IF(AND(INDEX(職員マスタ!$F$6:$F$405,$AN2621)&lt;&gt;"",$AO2621&lt;&gt;"",INDEX(職員マスタ!$F$6:$F$405,$AN2621)&lt;$AO2621),"対象月に子が2歳到達済／","")&amp;IF(AND($H2621&lt;&gt;"",INDEX(職員マスタ!$B$6:$B$405,$AN2621)&lt;&gt;"",SUBSTITUTE(SUBSTITUTE($H2621," ","")," ","")&lt;&gt;SUBSTITUTE(SUBSTITUTE(INDEX(職員マスタ!$B$6:$B$405,$AN2621)," ","")," ","")),"氏名がマスタと相違／","")&amp;IF(AND($Q2621&lt;&gt;"",INDEX(職員マスタ!$E$6:$E$405,$AN2621)&lt;&gt;"",$Q2621&lt;&gt;INDEX(職員マスタ!$E$6:$E$405,$AN2621)),"子の生年月日がマスタと相違／","")&amp;IF(AND($L2621&lt;&gt;"",INDEX(職員マスタ!$G$6:$G$405,$AN2621)&lt;&gt;"",$L2621&lt;&gt;INDEX(職員マスタ!$G$6:$G$405,$AN2621)),"時短開始日がマスタと相違／","")&amp;IF(AND($M2621&lt;&gt;"",INDEX(職員マスタ!$H$6:$H$405,$AN2621)&lt;&gt;"",$M2621&lt;&gt;INDEX(職員マスタ!$H$6:$H$405,$AN2621)),"時短終了日がマスタと相違／","")))&amp;IF(AND($B2621&lt;&gt;"",$E2621=""),"報酬額が未入力／","")&amp;IF(N($U2621)&gt;0,"申請書に入力エラーが残っています／","")&amp;IF(AND($B2621&lt;&gt;"",$AO2621&lt;&gt;""),IF(COUNTIFS($B$6:$B$3005,$B2621,$C$6:$C$3005,$C2621,$D$6:$D$3005,$D2621)&gt;1,"同じ月の請求が重複しています／",""),"")&amp;IF(AND(N($E2621)&gt;0,$Z2621&lt;&gt;"",$Z2621&lt;&gt;"×",$AC2621=0,$AB2621=""),"計算額が下限以下のため不支給／",""))</f>
        <v/>
      </c>
      <c r="AL2621" s="12" t="n"/>
      <c r="AM2621" s="14">
        <f>IF($AD2621="保留中",COUNTIF($AD$6:$AD2621,"保留中"),"")</f>
        <v/>
      </c>
      <c r="AN2621" s="14">
        <f>IF($AO2621="","",IF(SUMPRODUCT(MAX((職員マスタ!$A$6:$A$405=$B2621)*(((職員マスタ!$G$6:$G$405="")+(職員マスタ!$G$6:$G$405&lt;=EOMONTH($AO2621,0)))&gt;0)*(((職員マスタ!$H$6:$H$405="")+(職員マスタ!$H$6:$H$405&gt;=$AO2621))&gt;0)*(ROW(職員マスタ!$A$6:$A$405)-5)))&gt;0,SUMPRODUCT(MAX((職員マスタ!$A$6:$A$405=$B2621)*(((職員マスタ!$G$6:$G$405="")+(職員マスタ!$G$6:$G$405&lt;=EOMONTH($AO2621,0)))&gt;0)*(((職員マスタ!$H$6:$H$405="")+(職員マスタ!$H$6:$H$405&gt;=$AO2621))&gt;0)*(ROW(職員マスタ!$A$6:$A$405)-5))),IFERROR(MATCH($B2621,職員マスタ!$A$6:$A$405,0),"")))</f>
        <v/>
      </c>
      <c r="AO2621" s="16">
        <f>IF(OR($B2621="",$C2621="",$D2621=""),"",DATE($C2621+2018,$D2621,1))</f>
        <v/>
      </c>
    </row>
    <row r="2622">
      <c r="A2622" s="11" t="n"/>
      <c r="B2622" s="12" t="n"/>
      <c r="C2622" s="12" t="n"/>
      <c r="D2622" s="12" t="n"/>
      <c r="E2622" s="13" t="n"/>
      <c r="F2622" s="12" t="n"/>
      <c r="G2622" s="13" t="n"/>
      <c r="H2622" s="12" t="n"/>
      <c r="I2622" s="12" t="n"/>
      <c r="J2622" s="12" t="n"/>
      <c r="K2622" s="12" t="n"/>
      <c r="L2622" s="11" t="n"/>
      <c r="M2622" s="11" t="n"/>
      <c r="N2622" s="11" t="n"/>
      <c r="O2622" s="11" t="n"/>
      <c r="P2622" s="12" t="n"/>
      <c r="Q2622" s="11" t="n"/>
      <c r="R2622" s="12" t="n"/>
      <c r="S2622" s="11" t="n"/>
      <c r="T2622" s="12" t="n"/>
      <c r="U2622" s="12" t="n"/>
      <c r="V2622" s="14">
        <f>IF($AN2622="",IF($B2622="","",$H2622),IF(INDEX(職員マスタ!$B$6:$B$405,$AN2622)="",$H2622,INDEX(職員マスタ!$B$6:$B$405,$AN2622)))</f>
        <v/>
      </c>
      <c r="W2622" s="14">
        <f>IF($AN2622="",IF($B2622="","",$R2622),IF(INDEX(職員マスタ!$C$6:$C$405,$AN2622)="",$R2622,INDEX(職員マスタ!$C$6:$C$405,$AN2622)))</f>
        <v/>
      </c>
      <c r="X2622" s="14">
        <f>IF($AO2622="","","R"&amp;$C2622&amp;"."&amp;$D2622)</f>
        <v/>
      </c>
      <c r="Y2622" s="15">
        <f>IF($AN2622="","",IF(INDEX(職員マスタ!$K$6:$K$405,$AN2622)="","",INDEX(職員マスタ!$K$6:$K$405,$AN2622)))</f>
        <v/>
      </c>
      <c r="Z2622" s="14">
        <f>IF(OR($E2622="",$Y2622=""),"",IF($E2622&gt;=$Y2622,"×",IF($E2622&gt;=$Y2622*設定!$C$5,"△","○")))</f>
        <v/>
      </c>
      <c r="AA2622" s="15">
        <f>IF($Z2622="","",IF($Z2622="×",0,IF($Z2622="○",ROUNDDOWN($E2622*設定!$C$4,0),ROUNDDOWN($E2622*ROUND((9*$Y2622-9*$E2622)/(10*$E2622),4),0))))</f>
        <v/>
      </c>
      <c r="AB2622" s="13" t="n"/>
      <c r="AC2622" s="15">
        <f>IF($B2622="","",IF($AB2622&lt;&gt;"",$AB2622,IF($AA2622="","",IF($AA2622&lt;=設定!$C$3,0,$AA2622))))</f>
        <v/>
      </c>
      <c r="AD2622" s="14">
        <f>IF($B2622="","",IF(AND($AE2622&lt;&gt;"",$AG2622="",$AJ2622=""),"保留中",IF($AJ2622&lt;&gt;"",IF(N($AC2622)&gt;0,"支給済","不支給"),IF($AC2622="","要確認",IF($AC2622=0,"不支給","未処理")))))</f>
        <v/>
      </c>
      <c r="AE2622" s="12" t="n"/>
      <c r="AF2622" s="11" t="n"/>
      <c r="AG2622" s="11" t="n"/>
      <c r="AH2622" s="11" t="n"/>
      <c r="AI2622" s="14">
        <f>IF(AND($AD2622="保留中",$AF2622&lt;&gt;""),TODAY()-$AF2622,"")</f>
        <v/>
      </c>
      <c r="AJ2622" s="12" t="n"/>
      <c r="AK2622" s="14">
        <f>IF($B2622="","",IF($AO2622="","対象年月が未入力／","")&amp;IF($B2622="","",IF($AN2622="","職員マスタに未登録の職員番号／",IF($Y2622="","標準報酬月額が未登録／","")&amp;IF(AND($AO2622&lt;&gt;"",OR(AND(INDEX(職員マスタ!$G$6:$G$405,$AN2622)&lt;&gt;"",INDEX(職員マスタ!$G$6:$G$405,$AN2622)&gt;EOMONTH($AO2622,0)),AND(INDEX(職員マスタ!$H$6:$H$405,$AN2622)&lt;&gt;"",INDEX(職員マスタ!$H$6:$H$405,$AN2622)&lt;$AO2622))),"対象月が時短期間外／","")&amp;IF(AND(INDEX(職員マスタ!$F$6:$F$405,$AN2622)&lt;&gt;"",$AO2622&lt;&gt;"",INDEX(職員マスタ!$F$6:$F$405,$AN2622)&lt;$AO2622),"対象月に子が2歳到達済／","")&amp;IF(AND($H2622&lt;&gt;"",INDEX(職員マスタ!$B$6:$B$405,$AN2622)&lt;&gt;"",SUBSTITUTE(SUBSTITUTE($H2622," ","")," ","")&lt;&gt;SUBSTITUTE(SUBSTITUTE(INDEX(職員マスタ!$B$6:$B$405,$AN2622)," ","")," ","")),"氏名がマスタと相違／","")&amp;IF(AND($Q2622&lt;&gt;"",INDEX(職員マスタ!$E$6:$E$405,$AN2622)&lt;&gt;"",$Q2622&lt;&gt;INDEX(職員マスタ!$E$6:$E$405,$AN2622)),"子の生年月日がマスタと相違／","")&amp;IF(AND($L2622&lt;&gt;"",INDEX(職員マスタ!$G$6:$G$405,$AN2622)&lt;&gt;"",$L2622&lt;&gt;INDEX(職員マスタ!$G$6:$G$405,$AN2622)),"時短開始日がマスタと相違／","")&amp;IF(AND($M2622&lt;&gt;"",INDEX(職員マスタ!$H$6:$H$405,$AN2622)&lt;&gt;"",$M2622&lt;&gt;INDEX(職員マスタ!$H$6:$H$405,$AN2622)),"時短終了日がマスタと相違／","")))&amp;IF(AND($B2622&lt;&gt;"",$E2622=""),"報酬額が未入力／","")&amp;IF(N($U2622)&gt;0,"申請書に入力エラーが残っています／","")&amp;IF(AND($B2622&lt;&gt;"",$AO2622&lt;&gt;""),IF(COUNTIFS($B$6:$B$3005,$B2622,$C$6:$C$3005,$C2622,$D$6:$D$3005,$D2622)&gt;1,"同じ月の請求が重複しています／",""),"")&amp;IF(AND(N($E2622)&gt;0,$Z2622&lt;&gt;"",$Z2622&lt;&gt;"×",$AC2622=0,$AB2622=""),"計算額が下限以下のため不支給／",""))</f>
        <v/>
      </c>
      <c r="AL2622" s="12" t="n"/>
      <c r="AM2622" s="14">
        <f>IF($AD2622="保留中",COUNTIF($AD$6:$AD2622,"保留中"),"")</f>
        <v/>
      </c>
      <c r="AN2622" s="14">
        <f>IF($AO2622="","",IF(SUMPRODUCT(MAX((職員マスタ!$A$6:$A$405=$B2622)*(((職員マスタ!$G$6:$G$405="")+(職員マスタ!$G$6:$G$405&lt;=EOMONTH($AO2622,0)))&gt;0)*(((職員マスタ!$H$6:$H$405="")+(職員マスタ!$H$6:$H$405&gt;=$AO2622))&gt;0)*(ROW(職員マスタ!$A$6:$A$405)-5)))&gt;0,SUMPRODUCT(MAX((職員マスタ!$A$6:$A$405=$B2622)*(((職員マスタ!$G$6:$G$405="")+(職員マスタ!$G$6:$G$405&lt;=EOMONTH($AO2622,0)))&gt;0)*(((職員マスタ!$H$6:$H$405="")+(職員マスタ!$H$6:$H$405&gt;=$AO2622))&gt;0)*(ROW(職員マスタ!$A$6:$A$405)-5))),IFERROR(MATCH($B2622,職員マスタ!$A$6:$A$405,0),"")))</f>
        <v/>
      </c>
      <c r="AO2622" s="16">
        <f>IF(OR($B2622="",$C2622="",$D2622=""),"",DATE($C2622+2018,$D2622,1))</f>
        <v/>
      </c>
    </row>
    <row r="2623">
      <c r="A2623" s="11" t="n"/>
      <c r="B2623" s="12" t="n"/>
      <c r="C2623" s="12" t="n"/>
      <c r="D2623" s="12" t="n"/>
      <c r="E2623" s="13" t="n"/>
      <c r="F2623" s="12" t="n"/>
      <c r="G2623" s="13" t="n"/>
      <c r="H2623" s="12" t="n"/>
      <c r="I2623" s="12" t="n"/>
      <c r="J2623" s="12" t="n"/>
      <c r="K2623" s="12" t="n"/>
      <c r="L2623" s="11" t="n"/>
      <c r="M2623" s="11" t="n"/>
      <c r="N2623" s="11" t="n"/>
      <c r="O2623" s="11" t="n"/>
      <c r="P2623" s="12" t="n"/>
      <c r="Q2623" s="11" t="n"/>
      <c r="R2623" s="12" t="n"/>
      <c r="S2623" s="11" t="n"/>
      <c r="T2623" s="12" t="n"/>
      <c r="U2623" s="12" t="n"/>
      <c r="V2623" s="14">
        <f>IF($AN2623="",IF($B2623="","",$H2623),IF(INDEX(職員マスタ!$B$6:$B$405,$AN2623)="",$H2623,INDEX(職員マスタ!$B$6:$B$405,$AN2623)))</f>
        <v/>
      </c>
      <c r="W2623" s="14">
        <f>IF($AN2623="",IF($B2623="","",$R2623),IF(INDEX(職員マスタ!$C$6:$C$405,$AN2623)="",$R2623,INDEX(職員マスタ!$C$6:$C$405,$AN2623)))</f>
        <v/>
      </c>
      <c r="X2623" s="14">
        <f>IF($AO2623="","","R"&amp;$C2623&amp;"."&amp;$D2623)</f>
        <v/>
      </c>
      <c r="Y2623" s="15">
        <f>IF($AN2623="","",IF(INDEX(職員マスタ!$K$6:$K$405,$AN2623)="","",INDEX(職員マスタ!$K$6:$K$405,$AN2623)))</f>
        <v/>
      </c>
      <c r="Z2623" s="14">
        <f>IF(OR($E2623="",$Y2623=""),"",IF($E2623&gt;=$Y2623,"×",IF($E2623&gt;=$Y2623*設定!$C$5,"△","○")))</f>
        <v/>
      </c>
      <c r="AA2623" s="15">
        <f>IF($Z2623="","",IF($Z2623="×",0,IF($Z2623="○",ROUNDDOWN($E2623*設定!$C$4,0),ROUNDDOWN($E2623*ROUND((9*$Y2623-9*$E2623)/(10*$E2623),4),0))))</f>
        <v/>
      </c>
      <c r="AB2623" s="13" t="n"/>
      <c r="AC2623" s="15">
        <f>IF($B2623="","",IF($AB2623&lt;&gt;"",$AB2623,IF($AA2623="","",IF($AA2623&lt;=設定!$C$3,0,$AA2623))))</f>
        <v/>
      </c>
      <c r="AD2623" s="14">
        <f>IF($B2623="","",IF(AND($AE2623&lt;&gt;"",$AG2623="",$AJ2623=""),"保留中",IF($AJ2623&lt;&gt;"",IF(N($AC2623)&gt;0,"支給済","不支給"),IF($AC2623="","要確認",IF($AC2623=0,"不支給","未処理")))))</f>
        <v/>
      </c>
      <c r="AE2623" s="12" t="n"/>
      <c r="AF2623" s="11" t="n"/>
      <c r="AG2623" s="11" t="n"/>
      <c r="AH2623" s="11" t="n"/>
      <c r="AI2623" s="14">
        <f>IF(AND($AD2623="保留中",$AF2623&lt;&gt;""),TODAY()-$AF2623,"")</f>
        <v/>
      </c>
      <c r="AJ2623" s="12" t="n"/>
      <c r="AK2623" s="14">
        <f>IF($B2623="","",IF($AO2623="","対象年月が未入力／","")&amp;IF($B2623="","",IF($AN2623="","職員マスタに未登録の職員番号／",IF($Y2623="","標準報酬月額が未登録／","")&amp;IF(AND($AO2623&lt;&gt;"",OR(AND(INDEX(職員マスタ!$G$6:$G$405,$AN2623)&lt;&gt;"",INDEX(職員マスタ!$G$6:$G$405,$AN2623)&gt;EOMONTH($AO2623,0)),AND(INDEX(職員マスタ!$H$6:$H$405,$AN2623)&lt;&gt;"",INDEX(職員マスタ!$H$6:$H$405,$AN2623)&lt;$AO2623))),"対象月が時短期間外／","")&amp;IF(AND(INDEX(職員マスタ!$F$6:$F$405,$AN2623)&lt;&gt;"",$AO2623&lt;&gt;"",INDEX(職員マスタ!$F$6:$F$405,$AN2623)&lt;$AO2623),"対象月に子が2歳到達済／","")&amp;IF(AND($H2623&lt;&gt;"",INDEX(職員マスタ!$B$6:$B$405,$AN2623)&lt;&gt;"",SUBSTITUTE(SUBSTITUTE($H2623," ","")," ","")&lt;&gt;SUBSTITUTE(SUBSTITUTE(INDEX(職員マスタ!$B$6:$B$405,$AN2623)," ","")," ","")),"氏名がマスタと相違／","")&amp;IF(AND($Q2623&lt;&gt;"",INDEX(職員マスタ!$E$6:$E$405,$AN2623)&lt;&gt;"",$Q2623&lt;&gt;INDEX(職員マスタ!$E$6:$E$405,$AN2623)),"子の生年月日がマスタと相違／","")&amp;IF(AND($L2623&lt;&gt;"",INDEX(職員マスタ!$G$6:$G$405,$AN2623)&lt;&gt;"",$L2623&lt;&gt;INDEX(職員マスタ!$G$6:$G$405,$AN2623)),"時短開始日がマスタと相違／","")&amp;IF(AND($M2623&lt;&gt;"",INDEX(職員マスタ!$H$6:$H$405,$AN2623)&lt;&gt;"",$M2623&lt;&gt;INDEX(職員マスタ!$H$6:$H$405,$AN2623)),"時短終了日がマスタと相違／","")))&amp;IF(AND($B2623&lt;&gt;"",$E2623=""),"報酬額が未入力／","")&amp;IF(N($U2623)&gt;0,"申請書に入力エラーが残っています／","")&amp;IF(AND($B2623&lt;&gt;"",$AO2623&lt;&gt;""),IF(COUNTIFS($B$6:$B$3005,$B2623,$C$6:$C$3005,$C2623,$D$6:$D$3005,$D2623)&gt;1,"同じ月の請求が重複しています／",""),"")&amp;IF(AND(N($E2623)&gt;0,$Z2623&lt;&gt;"",$Z2623&lt;&gt;"×",$AC2623=0,$AB2623=""),"計算額が下限以下のため不支給／",""))</f>
        <v/>
      </c>
      <c r="AL2623" s="12" t="n"/>
      <c r="AM2623" s="14">
        <f>IF($AD2623="保留中",COUNTIF($AD$6:$AD2623,"保留中"),"")</f>
        <v/>
      </c>
      <c r="AN2623" s="14">
        <f>IF($AO2623="","",IF(SUMPRODUCT(MAX((職員マスタ!$A$6:$A$405=$B2623)*(((職員マスタ!$G$6:$G$405="")+(職員マスタ!$G$6:$G$405&lt;=EOMONTH($AO2623,0)))&gt;0)*(((職員マスタ!$H$6:$H$405="")+(職員マスタ!$H$6:$H$405&gt;=$AO2623))&gt;0)*(ROW(職員マスタ!$A$6:$A$405)-5)))&gt;0,SUMPRODUCT(MAX((職員マスタ!$A$6:$A$405=$B2623)*(((職員マスタ!$G$6:$G$405="")+(職員マスタ!$G$6:$G$405&lt;=EOMONTH($AO2623,0)))&gt;0)*(((職員マスタ!$H$6:$H$405="")+(職員マスタ!$H$6:$H$405&gt;=$AO2623))&gt;0)*(ROW(職員マスタ!$A$6:$A$405)-5))),IFERROR(MATCH($B2623,職員マスタ!$A$6:$A$405,0),"")))</f>
        <v/>
      </c>
      <c r="AO2623" s="16">
        <f>IF(OR($B2623="",$C2623="",$D2623=""),"",DATE($C2623+2018,$D2623,1))</f>
        <v/>
      </c>
    </row>
    <row r="2624">
      <c r="A2624" s="11" t="n"/>
      <c r="B2624" s="12" t="n"/>
      <c r="C2624" s="12" t="n"/>
      <c r="D2624" s="12" t="n"/>
      <c r="E2624" s="13" t="n"/>
      <c r="F2624" s="12" t="n"/>
      <c r="G2624" s="13" t="n"/>
      <c r="H2624" s="12" t="n"/>
      <c r="I2624" s="12" t="n"/>
      <c r="J2624" s="12" t="n"/>
      <c r="K2624" s="12" t="n"/>
      <c r="L2624" s="11" t="n"/>
      <c r="M2624" s="11" t="n"/>
      <c r="N2624" s="11" t="n"/>
      <c r="O2624" s="11" t="n"/>
      <c r="P2624" s="12" t="n"/>
      <c r="Q2624" s="11" t="n"/>
      <c r="R2624" s="12" t="n"/>
      <c r="S2624" s="11" t="n"/>
      <c r="T2624" s="12" t="n"/>
      <c r="U2624" s="12" t="n"/>
      <c r="V2624" s="14">
        <f>IF($AN2624="",IF($B2624="","",$H2624),IF(INDEX(職員マスタ!$B$6:$B$405,$AN2624)="",$H2624,INDEX(職員マスタ!$B$6:$B$405,$AN2624)))</f>
        <v/>
      </c>
      <c r="W2624" s="14">
        <f>IF($AN2624="",IF($B2624="","",$R2624),IF(INDEX(職員マスタ!$C$6:$C$405,$AN2624)="",$R2624,INDEX(職員マスタ!$C$6:$C$405,$AN2624)))</f>
        <v/>
      </c>
      <c r="X2624" s="14">
        <f>IF($AO2624="","","R"&amp;$C2624&amp;"."&amp;$D2624)</f>
        <v/>
      </c>
      <c r="Y2624" s="15">
        <f>IF($AN2624="","",IF(INDEX(職員マスタ!$K$6:$K$405,$AN2624)="","",INDEX(職員マスタ!$K$6:$K$405,$AN2624)))</f>
        <v/>
      </c>
      <c r="Z2624" s="14">
        <f>IF(OR($E2624="",$Y2624=""),"",IF($E2624&gt;=$Y2624,"×",IF($E2624&gt;=$Y2624*設定!$C$5,"△","○")))</f>
        <v/>
      </c>
      <c r="AA2624" s="15">
        <f>IF($Z2624="","",IF($Z2624="×",0,IF($Z2624="○",ROUNDDOWN($E2624*設定!$C$4,0),ROUNDDOWN($E2624*ROUND((9*$Y2624-9*$E2624)/(10*$E2624),4),0))))</f>
        <v/>
      </c>
      <c r="AB2624" s="13" t="n"/>
      <c r="AC2624" s="15">
        <f>IF($B2624="","",IF($AB2624&lt;&gt;"",$AB2624,IF($AA2624="","",IF($AA2624&lt;=設定!$C$3,0,$AA2624))))</f>
        <v/>
      </c>
      <c r="AD2624" s="14">
        <f>IF($B2624="","",IF(AND($AE2624&lt;&gt;"",$AG2624="",$AJ2624=""),"保留中",IF($AJ2624&lt;&gt;"",IF(N($AC2624)&gt;0,"支給済","不支給"),IF($AC2624="","要確認",IF($AC2624=0,"不支給","未処理")))))</f>
        <v/>
      </c>
      <c r="AE2624" s="12" t="n"/>
      <c r="AF2624" s="11" t="n"/>
      <c r="AG2624" s="11" t="n"/>
      <c r="AH2624" s="11" t="n"/>
      <c r="AI2624" s="14">
        <f>IF(AND($AD2624="保留中",$AF2624&lt;&gt;""),TODAY()-$AF2624,"")</f>
        <v/>
      </c>
      <c r="AJ2624" s="12" t="n"/>
      <c r="AK2624" s="14">
        <f>IF($B2624="","",IF($AO2624="","対象年月が未入力／","")&amp;IF($B2624="","",IF($AN2624="","職員マスタに未登録の職員番号／",IF($Y2624="","標準報酬月額が未登録／","")&amp;IF(AND($AO2624&lt;&gt;"",OR(AND(INDEX(職員マスタ!$G$6:$G$405,$AN2624)&lt;&gt;"",INDEX(職員マスタ!$G$6:$G$405,$AN2624)&gt;EOMONTH($AO2624,0)),AND(INDEX(職員マスタ!$H$6:$H$405,$AN2624)&lt;&gt;"",INDEX(職員マスタ!$H$6:$H$405,$AN2624)&lt;$AO2624))),"対象月が時短期間外／","")&amp;IF(AND(INDEX(職員マスタ!$F$6:$F$405,$AN2624)&lt;&gt;"",$AO2624&lt;&gt;"",INDEX(職員マスタ!$F$6:$F$405,$AN2624)&lt;$AO2624),"対象月に子が2歳到達済／","")&amp;IF(AND($H2624&lt;&gt;"",INDEX(職員マスタ!$B$6:$B$405,$AN2624)&lt;&gt;"",SUBSTITUTE(SUBSTITUTE($H2624," ","")," ","")&lt;&gt;SUBSTITUTE(SUBSTITUTE(INDEX(職員マスタ!$B$6:$B$405,$AN2624)," ","")," ","")),"氏名がマスタと相違／","")&amp;IF(AND($Q2624&lt;&gt;"",INDEX(職員マスタ!$E$6:$E$405,$AN2624)&lt;&gt;"",$Q2624&lt;&gt;INDEX(職員マスタ!$E$6:$E$405,$AN2624)),"子の生年月日がマスタと相違／","")&amp;IF(AND($L2624&lt;&gt;"",INDEX(職員マスタ!$G$6:$G$405,$AN2624)&lt;&gt;"",$L2624&lt;&gt;INDEX(職員マスタ!$G$6:$G$405,$AN2624)),"時短開始日がマスタと相違／","")&amp;IF(AND($M2624&lt;&gt;"",INDEX(職員マスタ!$H$6:$H$405,$AN2624)&lt;&gt;"",$M2624&lt;&gt;INDEX(職員マスタ!$H$6:$H$405,$AN2624)),"時短終了日がマスタと相違／","")))&amp;IF(AND($B2624&lt;&gt;"",$E2624=""),"報酬額が未入力／","")&amp;IF(N($U2624)&gt;0,"申請書に入力エラーが残っています／","")&amp;IF(AND($B2624&lt;&gt;"",$AO2624&lt;&gt;""),IF(COUNTIFS($B$6:$B$3005,$B2624,$C$6:$C$3005,$C2624,$D$6:$D$3005,$D2624)&gt;1,"同じ月の請求が重複しています／",""),"")&amp;IF(AND(N($E2624)&gt;0,$Z2624&lt;&gt;"",$Z2624&lt;&gt;"×",$AC2624=0,$AB2624=""),"計算額が下限以下のため不支給／",""))</f>
        <v/>
      </c>
      <c r="AL2624" s="12" t="n"/>
      <c r="AM2624" s="14">
        <f>IF($AD2624="保留中",COUNTIF($AD$6:$AD2624,"保留中"),"")</f>
        <v/>
      </c>
      <c r="AN2624" s="14">
        <f>IF($AO2624="","",IF(SUMPRODUCT(MAX((職員マスタ!$A$6:$A$405=$B2624)*(((職員マスタ!$G$6:$G$405="")+(職員マスタ!$G$6:$G$405&lt;=EOMONTH($AO2624,0)))&gt;0)*(((職員マスタ!$H$6:$H$405="")+(職員マスタ!$H$6:$H$405&gt;=$AO2624))&gt;0)*(ROW(職員マスタ!$A$6:$A$405)-5)))&gt;0,SUMPRODUCT(MAX((職員マスタ!$A$6:$A$405=$B2624)*(((職員マスタ!$G$6:$G$405="")+(職員マスタ!$G$6:$G$405&lt;=EOMONTH($AO2624,0)))&gt;0)*(((職員マスタ!$H$6:$H$405="")+(職員マスタ!$H$6:$H$405&gt;=$AO2624))&gt;0)*(ROW(職員マスタ!$A$6:$A$405)-5))),IFERROR(MATCH($B2624,職員マスタ!$A$6:$A$405,0),"")))</f>
        <v/>
      </c>
      <c r="AO2624" s="16">
        <f>IF(OR($B2624="",$C2624="",$D2624=""),"",DATE($C2624+2018,$D2624,1))</f>
        <v/>
      </c>
    </row>
    <row r="2625">
      <c r="A2625" s="11" t="n"/>
      <c r="B2625" s="12" t="n"/>
      <c r="C2625" s="12" t="n"/>
      <c r="D2625" s="12" t="n"/>
      <c r="E2625" s="13" t="n"/>
      <c r="F2625" s="12" t="n"/>
      <c r="G2625" s="13" t="n"/>
      <c r="H2625" s="12" t="n"/>
      <c r="I2625" s="12" t="n"/>
      <c r="J2625" s="12" t="n"/>
      <c r="K2625" s="12" t="n"/>
      <c r="L2625" s="11" t="n"/>
      <c r="M2625" s="11" t="n"/>
      <c r="N2625" s="11" t="n"/>
      <c r="O2625" s="11" t="n"/>
      <c r="P2625" s="12" t="n"/>
      <c r="Q2625" s="11" t="n"/>
      <c r="R2625" s="12" t="n"/>
      <c r="S2625" s="11" t="n"/>
      <c r="T2625" s="12" t="n"/>
      <c r="U2625" s="12" t="n"/>
      <c r="V2625" s="14">
        <f>IF($AN2625="",IF($B2625="","",$H2625),IF(INDEX(職員マスタ!$B$6:$B$405,$AN2625)="",$H2625,INDEX(職員マスタ!$B$6:$B$405,$AN2625)))</f>
        <v/>
      </c>
      <c r="W2625" s="14">
        <f>IF($AN2625="",IF($B2625="","",$R2625),IF(INDEX(職員マスタ!$C$6:$C$405,$AN2625)="",$R2625,INDEX(職員マスタ!$C$6:$C$405,$AN2625)))</f>
        <v/>
      </c>
      <c r="X2625" s="14">
        <f>IF($AO2625="","","R"&amp;$C2625&amp;"."&amp;$D2625)</f>
        <v/>
      </c>
      <c r="Y2625" s="15">
        <f>IF($AN2625="","",IF(INDEX(職員マスタ!$K$6:$K$405,$AN2625)="","",INDEX(職員マスタ!$K$6:$K$405,$AN2625)))</f>
        <v/>
      </c>
      <c r="Z2625" s="14">
        <f>IF(OR($E2625="",$Y2625=""),"",IF($E2625&gt;=$Y2625,"×",IF($E2625&gt;=$Y2625*設定!$C$5,"△","○")))</f>
        <v/>
      </c>
      <c r="AA2625" s="15">
        <f>IF($Z2625="","",IF($Z2625="×",0,IF($Z2625="○",ROUNDDOWN($E2625*設定!$C$4,0),ROUNDDOWN($E2625*ROUND((9*$Y2625-9*$E2625)/(10*$E2625),4),0))))</f>
        <v/>
      </c>
      <c r="AB2625" s="13" t="n"/>
      <c r="AC2625" s="15">
        <f>IF($B2625="","",IF($AB2625&lt;&gt;"",$AB2625,IF($AA2625="","",IF($AA2625&lt;=設定!$C$3,0,$AA2625))))</f>
        <v/>
      </c>
      <c r="AD2625" s="14">
        <f>IF($B2625="","",IF(AND($AE2625&lt;&gt;"",$AG2625="",$AJ2625=""),"保留中",IF($AJ2625&lt;&gt;"",IF(N($AC2625)&gt;0,"支給済","不支給"),IF($AC2625="","要確認",IF($AC2625=0,"不支給","未処理")))))</f>
        <v/>
      </c>
      <c r="AE2625" s="12" t="n"/>
      <c r="AF2625" s="11" t="n"/>
      <c r="AG2625" s="11" t="n"/>
      <c r="AH2625" s="11" t="n"/>
      <c r="AI2625" s="14">
        <f>IF(AND($AD2625="保留中",$AF2625&lt;&gt;""),TODAY()-$AF2625,"")</f>
        <v/>
      </c>
      <c r="AJ2625" s="12" t="n"/>
      <c r="AK2625" s="14">
        <f>IF($B2625="","",IF($AO2625="","対象年月が未入力／","")&amp;IF($B2625="","",IF($AN2625="","職員マスタに未登録の職員番号／",IF($Y2625="","標準報酬月額が未登録／","")&amp;IF(AND($AO2625&lt;&gt;"",OR(AND(INDEX(職員マスタ!$G$6:$G$405,$AN2625)&lt;&gt;"",INDEX(職員マスタ!$G$6:$G$405,$AN2625)&gt;EOMONTH($AO2625,0)),AND(INDEX(職員マスタ!$H$6:$H$405,$AN2625)&lt;&gt;"",INDEX(職員マスタ!$H$6:$H$405,$AN2625)&lt;$AO2625))),"対象月が時短期間外／","")&amp;IF(AND(INDEX(職員マスタ!$F$6:$F$405,$AN2625)&lt;&gt;"",$AO2625&lt;&gt;"",INDEX(職員マスタ!$F$6:$F$405,$AN2625)&lt;$AO2625),"対象月に子が2歳到達済／","")&amp;IF(AND($H2625&lt;&gt;"",INDEX(職員マスタ!$B$6:$B$405,$AN2625)&lt;&gt;"",SUBSTITUTE(SUBSTITUTE($H2625," ","")," ","")&lt;&gt;SUBSTITUTE(SUBSTITUTE(INDEX(職員マスタ!$B$6:$B$405,$AN2625)," ","")," ","")),"氏名がマスタと相違／","")&amp;IF(AND($Q2625&lt;&gt;"",INDEX(職員マスタ!$E$6:$E$405,$AN2625)&lt;&gt;"",$Q2625&lt;&gt;INDEX(職員マスタ!$E$6:$E$405,$AN2625)),"子の生年月日がマスタと相違／","")&amp;IF(AND($L2625&lt;&gt;"",INDEX(職員マスタ!$G$6:$G$405,$AN2625)&lt;&gt;"",$L2625&lt;&gt;INDEX(職員マスタ!$G$6:$G$405,$AN2625)),"時短開始日がマスタと相違／","")&amp;IF(AND($M2625&lt;&gt;"",INDEX(職員マスタ!$H$6:$H$405,$AN2625)&lt;&gt;"",$M2625&lt;&gt;INDEX(職員マスタ!$H$6:$H$405,$AN2625)),"時短終了日がマスタと相違／","")))&amp;IF(AND($B2625&lt;&gt;"",$E2625=""),"報酬額が未入力／","")&amp;IF(N($U2625)&gt;0,"申請書に入力エラーが残っています／","")&amp;IF(AND($B2625&lt;&gt;"",$AO2625&lt;&gt;""),IF(COUNTIFS($B$6:$B$3005,$B2625,$C$6:$C$3005,$C2625,$D$6:$D$3005,$D2625)&gt;1,"同じ月の請求が重複しています／",""),"")&amp;IF(AND(N($E2625)&gt;0,$Z2625&lt;&gt;"",$Z2625&lt;&gt;"×",$AC2625=0,$AB2625=""),"計算額が下限以下のため不支給／",""))</f>
        <v/>
      </c>
      <c r="AL2625" s="12" t="n"/>
      <c r="AM2625" s="14">
        <f>IF($AD2625="保留中",COUNTIF($AD$6:$AD2625,"保留中"),"")</f>
        <v/>
      </c>
      <c r="AN2625" s="14">
        <f>IF($AO2625="","",IF(SUMPRODUCT(MAX((職員マスタ!$A$6:$A$405=$B2625)*(((職員マスタ!$G$6:$G$405="")+(職員マスタ!$G$6:$G$405&lt;=EOMONTH($AO2625,0)))&gt;0)*(((職員マスタ!$H$6:$H$405="")+(職員マスタ!$H$6:$H$405&gt;=$AO2625))&gt;0)*(ROW(職員マスタ!$A$6:$A$405)-5)))&gt;0,SUMPRODUCT(MAX((職員マスタ!$A$6:$A$405=$B2625)*(((職員マスタ!$G$6:$G$405="")+(職員マスタ!$G$6:$G$405&lt;=EOMONTH($AO2625,0)))&gt;0)*(((職員マスタ!$H$6:$H$405="")+(職員マスタ!$H$6:$H$405&gt;=$AO2625))&gt;0)*(ROW(職員マスタ!$A$6:$A$405)-5))),IFERROR(MATCH($B2625,職員マスタ!$A$6:$A$405,0),"")))</f>
        <v/>
      </c>
      <c r="AO2625" s="16">
        <f>IF(OR($B2625="",$C2625="",$D2625=""),"",DATE($C2625+2018,$D2625,1))</f>
        <v/>
      </c>
    </row>
    <row r="2626">
      <c r="A2626" s="11" t="n"/>
      <c r="B2626" s="12" t="n"/>
      <c r="C2626" s="12" t="n"/>
      <c r="D2626" s="12" t="n"/>
      <c r="E2626" s="13" t="n"/>
      <c r="F2626" s="12" t="n"/>
      <c r="G2626" s="13" t="n"/>
      <c r="H2626" s="12" t="n"/>
      <c r="I2626" s="12" t="n"/>
      <c r="J2626" s="12" t="n"/>
      <c r="K2626" s="12" t="n"/>
      <c r="L2626" s="11" t="n"/>
      <c r="M2626" s="11" t="n"/>
      <c r="N2626" s="11" t="n"/>
      <c r="O2626" s="11" t="n"/>
      <c r="P2626" s="12" t="n"/>
      <c r="Q2626" s="11" t="n"/>
      <c r="R2626" s="12" t="n"/>
      <c r="S2626" s="11" t="n"/>
      <c r="T2626" s="12" t="n"/>
      <c r="U2626" s="12" t="n"/>
      <c r="V2626" s="14">
        <f>IF($AN2626="",IF($B2626="","",$H2626),IF(INDEX(職員マスタ!$B$6:$B$405,$AN2626)="",$H2626,INDEX(職員マスタ!$B$6:$B$405,$AN2626)))</f>
        <v/>
      </c>
      <c r="W2626" s="14">
        <f>IF($AN2626="",IF($B2626="","",$R2626),IF(INDEX(職員マスタ!$C$6:$C$405,$AN2626)="",$R2626,INDEX(職員マスタ!$C$6:$C$405,$AN2626)))</f>
        <v/>
      </c>
      <c r="X2626" s="14">
        <f>IF($AO2626="","","R"&amp;$C2626&amp;"."&amp;$D2626)</f>
        <v/>
      </c>
      <c r="Y2626" s="15">
        <f>IF($AN2626="","",IF(INDEX(職員マスタ!$K$6:$K$405,$AN2626)="","",INDEX(職員マスタ!$K$6:$K$405,$AN2626)))</f>
        <v/>
      </c>
      <c r="Z2626" s="14">
        <f>IF(OR($E2626="",$Y2626=""),"",IF($E2626&gt;=$Y2626,"×",IF($E2626&gt;=$Y2626*設定!$C$5,"△","○")))</f>
        <v/>
      </c>
      <c r="AA2626" s="15">
        <f>IF($Z2626="","",IF($Z2626="×",0,IF($Z2626="○",ROUNDDOWN($E2626*設定!$C$4,0),ROUNDDOWN($E2626*ROUND((9*$Y2626-9*$E2626)/(10*$E2626),4),0))))</f>
        <v/>
      </c>
      <c r="AB2626" s="13" t="n"/>
      <c r="AC2626" s="15">
        <f>IF($B2626="","",IF($AB2626&lt;&gt;"",$AB2626,IF($AA2626="","",IF($AA2626&lt;=設定!$C$3,0,$AA2626))))</f>
        <v/>
      </c>
      <c r="AD2626" s="14">
        <f>IF($B2626="","",IF(AND($AE2626&lt;&gt;"",$AG2626="",$AJ2626=""),"保留中",IF($AJ2626&lt;&gt;"",IF(N($AC2626)&gt;0,"支給済","不支給"),IF($AC2626="","要確認",IF($AC2626=0,"不支給","未処理")))))</f>
        <v/>
      </c>
      <c r="AE2626" s="12" t="n"/>
      <c r="AF2626" s="11" t="n"/>
      <c r="AG2626" s="11" t="n"/>
      <c r="AH2626" s="11" t="n"/>
      <c r="AI2626" s="14">
        <f>IF(AND($AD2626="保留中",$AF2626&lt;&gt;""),TODAY()-$AF2626,"")</f>
        <v/>
      </c>
      <c r="AJ2626" s="12" t="n"/>
      <c r="AK2626" s="14">
        <f>IF($B2626="","",IF($AO2626="","対象年月が未入力／","")&amp;IF($B2626="","",IF($AN2626="","職員マスタに未登録の職員番号／",IF($Y2626="","標準報酬月額が未登録／","")&amp;IF(AND($AO2626&lt;&gt;"",OR(AND(INDEX(職員マスタ!$G$6:$G$405,$AN2626)&lt;&gt;"",INDEX(職員マスタ!$G$6:$G$405,$AN2626)&gt;EOMONTH($AO2626,0)),AND(INDEX(職員マスタ!$H$6:$H$405,$AN2626)&lt;&gt;"",INDEX(職員マスタ!$H$6:$H$405,$AN2626)&lt;$AO2626))),"対象月が時短期間外／","")&amp;IF(AND(INDEX(職員マスタ!$F$6:$F$405,$AN2626)&lt;&gt;"",$AO2626&lt;&gt;"",INDEX(職員マスタ!$F$6:$F$405,$AN2626)&lt;$AO2626),"対象月に子が2歳到達済／","")&amp;IF(AND($H2626&lt;&gt;"",INDEX(職員マスタ!$B$6:$B$405,$AN2626)&lt;&gt;"",SUBSTITUTE(SUBSTITUTE($H2626," ","")," ","")&lt;&gt;SUBSTITUTE(SUBSTITUTE(INDEX(職員マスタ!$B$6:$B$405,$AN2626)," ","")," ","")),"氏名がマスタと相違／","")&amp;IF(AND($Q2626&lt;&gt;"",INDEX(職員マスタ!$E$6:$E$405,$AN2626)&lt;&gt;"",$Q2626&lt;&gt;INDEX(職員マスタ!$E$6:$E$405,$AN2626)),"子の生年月日がマスタと相違／","")&amp;IF(AND($L2626&lt;&gt;"",INDEX(職員マスタ!$G$6:$G$405,$AN2626)&lt;&gt;"",$L2626&lt;&gt;INDEX(職員マスタ!$G$6:$G$405,$AN2626)),"時短開始日がマスタと相違／","")&amp;IF(AND($M2626&lt;&gt;"",INDEX(職員マスタ!$H$6:$H$405,$AN2626)&lt;&gt;"",$M2626&lt;&gt;INDEX(職員マスタ!$H$6:$H$405,$AN2626)),"時短終了日がマスタと相違／","")))&amp;IF(AND($B2626&lt;&gt;"",$E2626=""),"報酬額が未入力／","")&amp;IF(N($U2626)&gt;0,"申請書に入力エラーが残っています／","")&amp;IF(AND($B2626&lt;&gt;"",$AO2626&lt;&gt;""),IF(COUNTIFS($B$6:$B$3005,$B2626,$C$6:$C$3005,$C2626,$D$6:$D$3005,$D2626)&gt;1,"同じ月の請求が重複しています／",""),"")&amp;IF(AND(N($E2626)&gt;0,$Z2626&lt;&gt;"",$Z2626&lt;&gt;"×",$AC2626=0,$AB2626=""),"計算額が下限以下のため不支給／",""))</f>
        <v/>
      </c>
      <c r="AL2626" s="12" t="n"/>
      <c r="AM2626" s="14">
        <f>IF($AD2626="保留中",COUNTIF($AD$6:$AD2626,"保留中"),"")</f>
        <v/>
      </c>
      <c r="AN2626" s="14">
        <f>IF($AO2626="","",IF(SUMPRODUCT(MAX((職員マスタ!$A$6:$A$405=$B2626)*(((職員マスタ!$G$6:$G$405="")+(職員マスタ!$G$6:$G$405&lt;=EOMONTH($AO2626,0)))&gt;0)*(((職員マスタ!$H$6:$H$405="")+(職員マスタ!$H$6:$H$405&gt;=$AO2626))&gt;0)*(ROW(職員マスタ!$A$6:$A$405)-5)))&gt;0,SUMPRODUCT(MAX((職員マスタ!$A$6:$A$405=$B2626)*(((職員マスタ!$G$6:$G$405="")+(職員マスタ!$G$6:$G$405&lt;=EOMONTH($AO2626,0)))&gt;0)*(((職員マスタ!$H$6:$H$405="")+(職員マスタ!$H$6:$H$405&gt;=$AO2626))&gt;0)*(ROW(職員マスタ!$A$6:$A$405)-5))),IFERROR(MATCH($B2626,職員マスタ!$A$6:$A$405,0),"")))</f>
        <v/>
      </c>
      <c r="AO2626" s="16">
        <f>IF(OR($B2626="",$C2626="",$D2626=""),"",DATE($C2626+2018,$D2626,1))</f>
        <v/>
      </c>
    </row>
    <row r="2627">
      <c r="A2627" s="11" t="n"/>
      <c r="B2627" s="12" t="n"/>
      <c r="C2627" s="12" t="n"/>
      <c r="D2627" s="12" t="n"/>
      <c r="E2627" s="13" t="n"/>
      <c r="F2627" s="12" t="n"/>
      <c r="G2627" s="13" t="n"/>
      <c r="H2627" s="12" t="n"/>
      <c r="I2627" s="12" t="n"/>
      <c r="J2627" s="12" t="n"/>
      <c r="K2627" s="12" t="n"/>
      <c r="L2627" s="11" t="n"/>
      <c r="M2627" s="11" t="n"/>
      <c r="N2627" s="11" t="n"/>
      <c r="O2627" s="11" t="n"/>
      <c r="P2627" s="12" t="n"/>
      <c r="Q2627" s="11" t="n"/>
      <c r="R2627" s="12" t="n"/>
      <c r="S2627" s="11" t="n"/>
      <c r="T2627" s="12" t="n"/>
      <c r="U2627" s="12" t="n"/>
      <c r="V2627" s="14">
        <f>IF($AN2627="",IF($B2627="","",$H2627),IF(INDEX(職員マスタ!$B$6:$B$405,$AN2627)="",$H2627,INDEX(職員マスタ!$B$6:$B$405,$AN2627)))</f>
        <v/>
      </c>
      <c r="W2627" s="14">
        <f>IF($AN2627="",IF($B2627="","",$R2627),IF(INDEX(職員マスタ!$C$6:$C$405,$AN2627)="",$R2627,INDEX(職員マスタ!$C$6:$C$405,$AN2627)))</f>
        <v/>
      </c>
      <c r="X2627" s="14">
        <f>IF($AO2627="","","R"&amp;$C2627&amp;"."&amp;$D2627)</f>
        <v/>
      </c>
      <c r="Y2627" s="15">
        <f>IF($AN2627="","",IF(INDEX(職員マスタ!$K$6:$K$405,$AN2627)="","",INDEX(職員マスタ!$K$6:$K$405,$AN2627)))</f>
        <v/>
      </c>
      <c r="Z2627" s="14">
        <f>IF(OR($E2627="",$Y2627=""),"",IF($E2627&gt;=$Y2627,"×",IF($E2627&gt;=$Y2627*設定!$C$5,"△","○")))</f>
        <v/>
      </c>
      <c r="AA2627" s="15">
        <f>IF($Z2627="","",IF($Z2627="×",0,IF($Z2627="○",ROUNDDOWN($E2627*設定!$C$4,0),ROUNDDOWN($E2627*ROUND((9*$Y2627-9*$E2627)/(10*$E2627),4),0))))</f>
        <v/>
      </c>
      <c r="AB2627" s="13" t="n"/>
      <c r="AC2627" s="15">
        <f>IF($B2627="","",IF($AB2627&lt;&gt;"",$AB2627,IF($AA2627="","",IF($AA2627&lt;=設定!$C$3,0,$AA2627))))</f>
        <v/>
      </c>
      <c r="AD2627" s="14">
        <f>IF($B2627="","",IF(AND($AE2627&lt;&gt;"",$AG2627="",$AJ2627=""),"保留中",IF($AJ2627&lt;&gt;"",IF(N($AC2627)&gt;0,"支給済","不支給"),IF($AC2627="","要確認",IF($AC2627=0,"不支給","未処理")))))</f>
        <v/>
      </c>
      <c r="AE2627" s="12" t="n"/>
      <c r="AF2627" s="11" t="n"/>
      <c r="AG2627" s="11" t="n"/>
      <c r="AH2627" s="11" t="n"/>
      <c r="AI2627" s="14">
        <f>IF(AND($AD2627="保留中",$AF2627&lt;&gt;""),TODAY()-$AF2627,"")</f>
        <v/>
      </c>
      <c r="AJ2627" s="12" t="n"/>
      <c r="AK2627" s="14">
        <f>IF($B2627="","",IF($AO2627="","対象年月が未入力／","")&amp;IF($B2627="","",IF($AN2627="","職員マスタに未登録の職員番号／",IF($Y2627="","標準報酬月額が未登録／","")&amp;IF(AND($AO2627&lt;&gt;"",OR(AND(INDEX(職員マスタ!$G$6:$G$405,$AN2627)&lt;&gt;"",INDEX(職員マスタ!$G$6:$G$405,$AN2627)&gt;EOMONTH($AO2627,0)),AND(INDEX(職員マスタ!$H$6:$H$405,$AN2627)&lt;&gt;"",INDEX(職員マスタ!$H$6:$H$405,$AN2627)&lt;$AO2627))),"対象月が時短期間外／","")&amp;IF(AND(INDEX(職員マスタ!$F$6:$F$405,$AN2627)&lt;&gt;"",$AO2627&lt;&gt;"",INDEX(職員マスタ!$F$6:$F$405,$AN2627)&lt;$AO2627),"対象月に子が2歳到達済／","")&amp;IF(AND($H2627&lt;&gt;"",INDEX(職員マスタ!$B$6:$B$405,$AN2627)&lt;&gt;"",SUBSTITUTE(SUBSTITUTE($H2627," ","")," ","")&lt;&gt;SUBSTITUTE(SUBSTITUTE(INDEX(職員マスタ!$B$6:$B$405,$AN2627)," ","")," ","")),"氏名がマスタと相違／","")&amp;IF(AND($Q2627&lt;&gt;"",INDEX(職員マスタ!$E$6:$E$405,$AN2627)&lt;&gt;"",$Q2627&lt;&gt;INDEX(職員マスタ!$E$6:$E$405,$AN2627)),"子の生年月日がマスタと相違／","")&amp;IF(AND($L2627&lt;&gt;"",INDEX(職員マスタ!$G$6:$G$405,$AN2627)&lt;&gt;"",$L2627&lt;&gt;INDEX(職員マスタ!$G$6:$G$405,$AN2627)),"時短開始日がマスタと相違／","")&amp;IF(AND($M2627&lt;&gt;"",INDEX(職員マスタ!$H$6:$H$405,$AN2627)&lt;&gt;"",$M2627&lt;&gt;INDEX(職員マスタ!$H$6:$H$405,$AN2627)),"時短終了日がマスタと相違／","")))&amp;IF(AND($B2627&lt;&gt;"",$E2627=""),"報酬額が未入力／","")&amp;IF(N($U2627)&gt;0,"申請書に入力エラーが残っています／","")&amp;IF(AND($B2627&lt;&gt;"",$AO2627&lt;&gt;""),IF(COUNTIFS($B$6:$B$3005,$B2627,$C$6:$C$3005,$C2627,$D$6:$D$3005,$D2627)&gt;1,"同じ月の請求が重複しています／",""),"")&amp;IF(AND(N($E2627)&gt;0,$Z2627&lt;&gt;"",$Z2627&lt;&gt;"×",$AC2627=0,$AB2627=""),"計算額が下限以下のため不支給／",""))</f>
        <v/>
      </c>
      <c r="AL2627" s="12" t="n"/>
      <c r="AM2627" s="14">
        <f>IF($AD2627="保留中",COUNTIF($AD$6:$AD2627,"保留中"),"")</f>
        <v/>
      </c>
      <c r="AN2627" s="14">
        <f>IF($AO2627="","",IF(SUMPRODUCT(MAX((職員マスタ!$A$6:$A$405=$B2627)*(((職員マスタ!$G$6:$G$405="")+(職員マスタ!$G$6:$G$405&lt;=EOMONTH($AO2627,0)))&gt;0)*(((職員マスタ!$H$6:$H$405="")+(職員マスタ!$H$6:$H$405&gt;=$AO2627))&gt;0)*(ROW(職員マスタ!$A$6:$A$405)-5)))&gt;0,SUMPRODUCT(MAX((職員マスタ!$A$6:$A$405=$B2627)*(((職員マスタ!$G$6:$G$405="")+(職員マスタ!$G$6:$G$405&lt;=EOMONTH($AO2627,0)))&gt;0)*(((職員マスタ!$H$6:$H$405="")+(職員マスタ!$H$6:$H$405&gt;=$AO2627))&gt;0)*(ROW(職員マスタ!$A$6:$A$405)-5))),IFERROR(MATCH($B2627,職員マスタ!$A$6:$A$405,0),"")))</f>
        <v/>
      </c>
      <c r="AO2627" s="16">
        <f>IF(OR($B2627="",$C2627="",$D2627=""),"",DATE($C2627+2018,$D2627,1))</f>
        <v/>
      </c>
    </row>
    <row r="2628">
      <c r="A2628" s="11" t="n"/>
      <c r="B2628" s="12" t="n"/>
      <c r="C2628" s="12" t="n"/>
      <c r="D2628" s="12" t="n"/>
      <c r="E2628" s="13" t="n"/>
      <c r="F2628" s="12" t="n"/>
      <c r="G2628" s="13" t="n"/>
      <c r="H2628" s="12" t="n"/>
      <c r="I2628" s="12" t="n"/>
      <c r="J2628" s="12" t="n"/>
      <c r="K2628" s="12" t="n"/>
      <c r="L2628" s="11" t="n"/>
      <c r="M2628" s="11" t="n"/>
      <c r="N2628" s="11" t="n"/>
      <c r="O2628" s="11" t="n"/>
      <c r="P2628" s="12" t="n"/>
      <c r="Q2628" s="11" t="n"/>
      <c r="R2628" s="12" t="n"/>
      <c r="S2628" s="11" t="n"/>
      <c r="T2628" s="12" t="n"/>
      <c r="U2628" s="12" t="n"/>
      <c r="V2628" s="14">
        <f>IF($AN2628="",IF($B2628="","",$H2628),IF(INDEX(職員マスタ!$B$6:$B$405,$AN2628)="",$H2628,INDEX(職員マスタ!$B$6:$B$405,$AN2628)))</f>
        <v/>
      </c>
      <c r="W2628" s="14">
        <f>IF($AN2628="",IF($B2628="","",$R2628),IF(INDEX(職員マスタ!$C$6:$C$405,$AN2628)="",$R2628,INDEX(職員マスタ!$C$6:$C$405,$AN2628)))</f>
        <v/>
      </c>
      <c r="X2628" s="14">
        <f>IF($AO2628="","","R"&amp;$C2628&amp;"."&amp;$D2628)</f>
        <v/>
      </c>
      <c r="Y2628" s="15">
        <f>IF($AN2628="","",IF(INDEX(職員マスタ!$K$6:$K$405,$AN2628)="","",INDEX(職員マスタ!$K$6:$K$405,$AN2628)))</f>
        <v/>
      </c>
      <c r="Z2628" s="14">
        <f>IF(OR($E2628="",$Y2628=""),"",IF($E2628&gt;=$Y2628,"×",IF($E2628&gt;=$Y2628*設定!$C$5,"△","○")))</f>
        <v/>
      </c>
      <c r="AA2628" s="15">
        <f>IF($Z2628="","",IF($Z2628="×",0,IF($Z2628="○",ROUNDDOWN($E2628*設定!$C$4,0),ROUNDDOWN($E2628*ROUND((9*$Y2628-9*$E2628)/(10*$E2628),4),0))))</f>
        <v/>
      </c>
      <c r="AB2628" s="13" t="n"/>
      <c r="AC2628" s="15">
        <f>IF($B2628="","",IF($AB2628&lt;&gt;"",$AB2628,IF($AA2628="","",IF($AA2628&lt;=設定!$C$3,0,$AA2628))))</f>
        <v/>
      </c>
      <c r="AD2628" s="14">
        <f>IF($B2628="","",IF(AND($AE2628&lt;&gt;"",$AG2628="",$AJ2628=""),"保留中",IF($AJ2628&lt;&gt;"",IF(N($AC2628)&gt;0,"支給済","不支給"),IF($AC2628="","要確認",IF($AC2628=0,"不支給","未処理")))))</f>
        <v/>
      </c>
      <c r="AE2628" s="12" t="n"/>
      <c r="AF2628" s="11" t="n"/>
      <c r="AG2628" s="11" t="n"/>
      <c r="AH2628" s="11" t="n"/>
      <c r="AI2628" s="14">
        <f>IF(AND($AD2628="保留中",$AF2628&lt;&gt;""),TODAY()-$AF2628,"")</f>
        <v/>
      </c>
      <c r="AJ2628" s="12" t="n"/>
      <c r="AK2628" s="14">
        <f>IF($B2628="","",IF($AO2628="","対象年月が未入力／","")&amp;IF($B2628="","",IF($AN2628="","職員マスタに未登録の職員番号／",IF($Y2628="","標準報酬月額が未登録／","")&amp;IF(AND($AO2628&lt;&gt;"",OR(AND(INDEX(職員マスタ!$G$6:$G$405,$AN2628)&lt;&gt;"",INDEX(職員マスタ!$G$6:$G$405,$AN2628)&gt;EOMONTH($AO2628,0)),AND(INDEX(職員マスタ!$H$6:$H$405,$AN2628)&lt;&gt;"",INDEX(職員マスタ!$H$6:$H$405,$AN2628)&lt;$AO2628))),"対象月が時短期間外／","")&amp;IF(AND(INDEX(職員マスタ!$F$6:$F$405,$AN2628)&lt;&gt;"",$AO2628&lt;&gt;"",INDEX(職員マスタ!$F$6:$F$405,$AN2628)&lt;$AO2628),"対象月に子が2歳到達済／","")&amp;IF(AND($H2628&lt;&gt;"",INDEX(職員マスタ!$B$6:$B$405,$AN2628)&lt;&gt;"",SUBSTITUTE(SUBSTITUTE($H2628," ","")," ","")&lt;&gt;SUBSTITUTE(SUBSTITUTE(INDEX(職員マスタ!$B$6:$B$405,$AN2628)," ","")," ","")),"氏名がマスタと相違／","")&amp;IF(AND($Q2628&lt;&gt;"",INDEX(職員マスタ!$E$6:$E$405,$AN2628)&lt;&gt;"",$Q2628&lt;&gt;INDEX(職員マスタ!$E$6:$E$405,$AN2628)),"子の生年月日がマスタと相違／","")&amp;IF(AND($L2628&lt;&gt;"",INDEX(職員マスタ!$G$6:$G$405,$AN2628)&lt;&gt;"",$L2628&lt;&gt;INDEX(職員マスタ!$G$6:$G$405,$AN2628)),"時短開始日がマスタと相違／","")&amp;IF(AND($M2628&lt;&gt;"",INDEX(職員マスタ!$H$6:$H$405,$AN2628)&lt;&gt;"",$M2628&lt;&gt;INDEX(職員マスタ!$H$6:$H$405,$AN2628)),"時短終了日がマスタと相違／","")))&amp;IF(AND($B2628&lt;&gt;"",$E2628=""),"報酬額が未入力／","")&amp;IF(N($U2628)&gt;0,"申請書に入力エラーが残っています／","")&amp;IF(AND($B2628&lt;&gt;"",$AO2628&lt;&gt;""),IF(COUNTIFS($B$6:$B$3005,$B2628,$C$6:$C$3005,$C2628,$D$6:$D$3005,$D2628)&gt;1,"同じ月の請求が重複しています／",""),"")&amp;IF(AND(N($E2628)&gt;0,$Z2628&lt;&gt;"",$Z2628&lt;&gt;"×",$AC2628=0,$AB2628=""),"計算額が下限以下のため不支給／",""))</f>
        <v/>
      </c>
      <c r="AL2628" s="12" t="n"/>
      <c r="AM2628" s="14">
        <f>IF($AD2628="保留中",COUNTIF($AD$6:$AD2628,"保留中"),"")</f>
        <v/>
      </c>
      <c r="AN2628" s="14">
        <f>IF($AO2628="","",IF(SUMPRODUCT(MAX((職員マスタ!$A$6:$A$405=$B2628)*(((職員マスタ!$G$6:$G$405="")+(職員マスタ!$G$6:$G$405&lt;=EOMONTH($AO2628,0)))&gt;0)*(((職員マスタ!$H$6:$H$405="")+(職員マスタ!$H$6:$H$405&gt;=$AO2628))&gt;0)*(ROW(職員マスタ!$A$6:$A$405)-5)))&gt;0,SUMPRODUCT(MAX((職員マスタ!$A$6:$A$405=$B2628)*(((職員マスタ!$G$6:$G$405="")+(職員マスタ!$G$6:$G$405&lt;=EOMONTH($AO2628,0)))&gt;0)*(((職員マスタ!$H$6:$H$405="")+(職員マスタ!$H$6:$H$405&gt;=$AO2628))&gt;0)*(ROW(職員マスタ!$A$6:$A$405)-5))),IFERROR(MATCH($B2628,職員マスタ!$A$6:$A$405,0),"")))</f>
        <v/>
      </c>
      <c r="AO2628" s="16">
        <f>IF(OR($B2628="",$C2628="",$D2628=""),"",DATE($C2628+2018,$D2628,1))</f>
        <v/>
      </c>
    </row>
    <row r="2629">
      <c r="A2629" s="11" t="n"/>
      <c r="B2629" s="12" t="n"/>
      <c r="C2629" s="12" t="n"/>
      <c r="D2629" s="12" t="n"/>
      <c r="E2629" s="13" t="n"/>
      <c r="F2629" s="12" t="n"/>
      <c r="G2629" s="13" t="n"/>
      <c r="H2629" s="12" t="n"/>
      <c r="I2629" s="12" t="n"/>
      <c r="J2629" s="12" t="n"/>
      <c r="K2629" s="12" t="n"/>
      <c r="L2629" s="11" t="n"/>
      <c r="M2629" s="11" t="n"/>
      <c r="N2629" s="11" t="n"/>
      <c r="O2629" s="11" t="n"/>
      <c r="P2629" s="12" t="n"/>
      <c r="Q2629" s="11" t="n"/>
      <c r="R2629" s="12" t="n"/>
      <c r="S2629" s="11" t="n"/>
      <c r="T2629" s="12" t="n"/>
      <c r="U2629" s="12" t="n"/>
      <c r="V2629" s="14">
        <f>IF($AN2629="",IF($B2629="","",$H2629),IF(INDEX(職員マスタ!$B$6:$B$405,$AN2629)="",$H2629,INDEX(職員マスタ!$B$6:$B$405,$AN2629)))</f>
        <v/>
      </c>
      <c r="W2629" s="14">
        <f>IF($AN2629="",IF($B2629="","",$R2629),IF(INDEX(職員マスタ!$C$6:$C$405,$AN2629)="",$R2629,INDEX(職員マスタ!$C$6:$C$405,$AN2629)))</f>
        <v/>
      </c>
      <c r="X2629" s="14">
        <f>IF($AO2629="","","R"&amp;$C2629&amp;"."&amp;$D2629)</f>
        <v/>
      </c>
      <c r="Y2629" s="15">
        <f>IF($AN2629="","",IF(INDEX(職員マスタ!$K$6:$K$405,$AN2629)="","",INDEX(職員マスタ!$K$6:$K$405,$AN2629)))</f>
        <v/>
      </c>
      <c r="Z2629" s="14">
        <f>IF(OR($E2629="",$Y2629=""),"",IF($E2629&gt;=$Y2629,"×",IF($E2629&gt;=$Y2629*設定!$C$5,"△","○")))</f>
        <v/>
      </c>
      <c r="AA2629" s="15">
        <f>IF($Z2629="","",IF($Z2629="×",0,IF($Z2629="○",ROUNDDOWN($E2629*設定!$C$4,0),ROUNDDOWN($E2629*ROUND((9*$Y2629-9*$E2629)/(10*$E2629),4),0))))</f>
        <v/>
      </c>
      <c r="AB2629" s="13" t="n"/>
      <c r="AC2629" s="15">
        <f>IF($B2629="","",IF($AB2629&lt;&gt;"",$AB2629,IF($AA2629="","",IF($AA2629&lt;=設定!$C$3,0,$AA2629))))</f>
        <v/>
      </c>
      <c r="AD2629" s="14">
        <f>IF($B2629="","",IF(AND($AE2629&lt;&gt;"",$AG2629="",$AJ2629=""),"保留中",IF($AJ2629&lt;&gt;"",IF(N($AC2629)&gt;0,"支給済","不支給"),IF($AC2629="","要確認",IF($AC2629=0,"不支給","未処理")))))</f>
        <v/>
      </c>
      <c r="AE2629" s="12" t="n"/>
      <c r="AF2629" s="11" t="n"/>
      <c r="AG2629" s="11" t="n"/>
      <c r="AH2629" s="11" t="n"/>
      <c r="AI2629" s="14">
        <f>IF(AND($AD2629="保留中",$AF2629&lt;&gt;""),TODAY()-$AF2629,"")</f>
        <v/>
      </c>
      <c r="AJ2629" s="12" t="n"/>
      <c r="AK2629" s="14">
        <f>IF($B2629="","",IF($AO2629="","対象年月が未入力／","")&amp;IF($B2629="","",IF($AN2629="","職員マスタに未登録の職員番号／",IF($Y2629="","標準報酬月額が未登録／","")&amp;IF(AND($AO2629&lt;&gt;"",OR(AND(INDEX(職員マスタ!$G$6:$G$405,$AN2629)&lt;&gt;"",INDEX(職員マスタ!$G$6:$G$405,$AN2629)&gt;EOMONTH($AO2629,0)),AND(INDEX(職員マスタ!$H$6:$H$405,$AN2629)&lt;&gt;"",INDEX(職員マスタ!$H$6:$H$405,$AN2629)&lt;$AO2629))),"対象月が時短期間外／","")&amp;IF(AND(INDEX(職員マスタ!$F$6:$F$405,$AN2629)&lt;&gt;"",$AO2629&lt;&gt;"",INDEX(職員マスタ!$F$6:$F$405,$AN2629)&lt;$AO2629),"対象月に子が2歳到達済／","")&amp;IF(AND($H2629&lt;&gt;"",INDEX(職員マスタ!$B$6:$B$405,$AN2629)&lt;&gt;"",SUBSTITUTE(SUBSTITUTE($H2629," ","")," ","")&lt;&gt;SUBSTITUTE(SUBSTITUTE(INDEX(職員マスタ!$B$6:$B$405,$AN2629)," ","")," ","")),"氏名がマスタと相違／","")&amp;IF(AND($Q2629&lt;&gt;"",INDEX(職員マスタ!$E$6:$E$405,$AN2629)&lt;&gt;"",$Q2629&lt;&gt;INDEX(職員マスタ!$E$6:$E$405,$AN2629)),"子の生年月日がマスタと相違／","")&amp;IF(AND($L2629&lt;&gt;"",INDEX(職員マスタ!$G$6:$G$405,$AN2629)&lt;&gt;"",$L2629&lt;&gt;INDEX(職員マスタ!$G$6:$G$405,$AN2629)),"時短開始日がマスタと相違／","")&amp;IF(AND($M2629&lt;&gt;"",INDEX(職員マスタ!$H$6:$H$405,$AN2629)&lt;&gt;"",$M2629&lt;&gt;INDEX(職員マスタ!$H$6:$H$405,$AN2629)),"時短終了日がマスタと相違／","")))&amp;IF(AND($B2629&lt;&gt;"",$E2629=""),"報酬額が未入力／","")&amp;IF(N($U2629)&gt;0,"申請書に入力エラーが残っています／","")&amp;IF(AND($B2629&lt;&gt;"",$AO2629&lt;&gt;""),IF(COUNTIFS($B$6:$B$3005,$B2629,$C$6:$C$3005,$C2629,$D$6:$D$3005,$D2629)&gt;1,"同じ月の請求が重複しています／",""),"")&amp;IF(AND(N($E2629)&gt;0,$Z2629&lt;&gt;"",$Z2629&lt;&gt;"×",$AC2629=0,$AB2629=""),"計算額が下限以下のため不支給／",""))</f>
        <v/>
      </c>
      <c r="AL2629" s="12" t="n"/>
      <c r="AM2629" s="14">
        <f>IF($AD2629="保留中",COUNTIF($AD$6:$AD2629,"保留中"),"")</f>
        <v/>
      </c>
      <c r="AN2629" s="14">
        <f>IF($AO2629="","",IF(SUMPRODUCT(MAX((職員マスタ!$A$6:$A$405=$B2629)*(((職員マスタ!$G$6:$G$405="")+(職員マスタ!$G$6:$G$405&lt;=EOMONTH($AO2629,0)))&gt;0)*(((職員マスタ!$H$6:$H$405="")+(職員マスタ!$H$6:$H$405&gt;=$AO2629))&gt;0)*(ROW(職員マスタ!$A$6:$A$405)-5)))&gt;0,SUMPRODUCT(MAX((職員マスタ!$A$6:$A$405=$B2629)*(((職員マスタ!$G$6:$G$405="")+(職員マスタ!$G$6:$G$405&lt;=EOMONTH($AO2629,0)))&gt;0)*(((職員マスタ!$H$6:$H$405="")+(職員マスタ!$H$6:$H$405&gt;=$AO2629))&gt;0)*(ROW(職員マスタ!$A$6:$A$405)-5))),IFERROR(MATCH($B2629,職員マスタ!$A$6:$A$405,0),"")))</f>
        <v/>
      </c>
      <c r="AO2629" s="16">
        <f>IF(OR($B2629="",$C2629="",$D2629=""),"",DATE($C2629+2018,$D2629,1))</f>
        <v/>
      </c>
    </row>
    <row r="2630">
      <c r="A2630" s="11" t="n"/>
      <c r="B2630" s="12" t="n"/>
      <c r="C2630" s="12" t="n"/>
      <c r="D2630" s="12" t="n"/>
      <c r="E2630" s="13" t="n"/>
      <c r="F2630" s="12" t="n"/>
      <c r="G2630" s="13" t="n"/>
      <c r="H2630" s="12" t="n"/>
      <c r="I2630" s="12" t="n"/>
      <c r="J2630" s="12" t="n"/>
      <c r="K2630" s="12" t="n"/>
      <c r="L2630" s="11" t="n"/>
      <c r="M2630" s="11" t="n"/>
      <c r="N2630" s="11" t="n"/>
      <c r="O2630" s="11" t="n"/>
      <c r="P2630" s="12" t="n"/>
      <c r="Q2630" s="11" t="n"/>
      <c r="R2630" s="12" t="n"/>
      <c r="S2630" s="11" t="n"/>
      <c r="T2630" s="12" t="n"/>
      <c r="U2630" s="12" t="n"/>
      <c r="V2630" s="14">
        <f>IF($AN2630="",IF($B2630="","",$H2630),IF(INDEX(職員マスタ!$B$6:$B$405,$AN2630)="",$H2630,INDEX(職員マスタ!$B$6:$B$405,$AN2630)))</f>
        <v/>
      </c>
      <c r="W2630" s="14">
        <f>IF($AN2630="",IF($B2630="","",$R2630),IF(INDEX(職員マスタ!$C$6:$C$405,$AN2630)="",$R2630,INDEX(職員マスタ!$C$6:$C$405,$AN2630)))</f>
        <v/>
      </c>
      <c r="X2630" s="14">
        <f>IF($AO2630="","","R"&amp;$C2630&amp;"."&amp;$D2630)</f>
        <v/>
      </c>
      <c r="Y2630" s="15">
        <f>IF($AN2630="","",IF(INDEX(職員マスタ!$K$6:$K$405,$AN2630)="","",INDEX(職員マスタ!$K$6:$K$405,$AN2630)))</f>
        <v/>
      </c>
      <c r="Z2630" s="14">
        <f>IF(OR($E2630="",$Y2630=""),"",IF($E2630&gt;=$Y2630,"×",IF($E2630&gt;=$Y2630*設定!$C$5,"△","○")))</f>
        <v/>
      </c>
      <c r="AA2630" s="15">
        <f>IF($Z2630="","",IF($Z2630="×",0,IF($Z2630="○",ROUNDDOWN($E2630*設定!$C$4,0),ROUNDDOWN($E2630*ROUND((9*$Y2630-9*$E2630)/(10*$E2630),4),0))))</f>
        <v/>
      </c>
      <c r="AB2630" s="13" t="n"/>
      <c r="AC2630" s="15">
        <f>IF($B2630="","",IF($AB2630&lt;&gt;"",$AB2630,IF($AA2630="","",IF($AA2630&lt;=設定!$C$3,0,$AA2630))))</f>
        <v/>
      </c>
      <c r="AD2630" s="14">
        <f>IF($B2630="","",IF(AND($AE2630&lt;&gt;"",$AG2630="",$AJ2630=""),"保留中",IF($AJ2630&lt;&gt;"",IF(N($AC2630)&gt;0,"支給済","不支給"),IF($AC2630="","要確認",IF($AC2630=0,"不支給","未処理")))))</f>
        <v/>
      </c>
      <c r="AE2630" s="12" t="n"/>
      <c r="AF2630" s="11" t="n"/>
      <c r="AG2630" s="11" t="n"/>
      <c r="AH2630" s="11" t="n"/>
      <c r="AI2630" s="14">
        <f>IF(AND($AD2630="保留中",$AF2630&lt;&gt;""),TODAY()-$AF2630,"")</f>
        <v/>
      </c>
      <c r="AJ2630" s="12" t="n"/>
      <c r="AK2630" s="14">
        <f>IF($B2630="","",IF($AO2630="","対象年月が未入力／","")&amp;IF($B2630="","",IF($AN2630="","職員マスタに未登録の職員番号／",IF($Y2630="","標準報酬月額が未登録／","")&amp;IF(AND($AO2630&lt;&gt;"",OR(AND(INDEX(職員マスタ!$G$6:$G$405,$AN2630)&lt;&gt;"",INDEX(職員マスタ!$G$6:$G$405,$AN2630)&gt;EOMONTH($AO2630,0)),AND(INDEX(職員マスタ!$H$6:$H$405,$AN2630)&lt;&gt;"",INDEX(職員マスタ!$H$6:$H$405,$AN2630)&lt;$AO2630))),"対象月が時短期間外／","")&amp;IF(AND(INDEX(職員マスタ!$F$6:$F$405,$AN2630)&lt;&gt;"",$AO2630&lt;&gt;"",INDEX(職員マスタ!$F$6:$F$405,$AN2630)&lt;$AO2630),"対象月に子が2歳到達済／","")&amp;IF(AND($H2630&lt;&gt;"",INDEX(職員マスタ!$B$6:$B$405,$AN2630)&lt;&gt;"",SUBSTITUTE(SUBSTITUTE($H2630," ","")," ","")&lt;&gt;SUBSTITUTE(SUBSTITUTE(INDEX(職員マスタ!$B$6:$B$405,$AN2630)," ","")," ","")),"氏名がマスタと相違／","")&amp;IF(AND($Q2630&lt;&gt;"",INDEX(職員マスタ!$E$6:$E$405,$AN2630)&lt;&gt;"",$Q2630&lt;&gt;INDEX(職員マスタ!$E$6:$E$405,$AN2630)),"子の生年月日がマスタと相違／","")&amp;IF(AND($L2630&lt;&gt;"",INDEX(職員マスタ!$G$6:$G$405,$AN2630)&lt;&gt;"",$L2630&lt;&gt;INDEX(職員マスタ!$G$6:$G$405,$AN2630)),"時短開始日がマスタと相違／","")&amp;IF(AND($M2630&lt;&gt;"",INDEX(職員マスタ!$H$6:$H$405,$AN2630)&lt;&gt;"",$M2630&lt;&gt;INDEX(職員マスタ!$H$6:$H$405,$AN2630)),"時短終了日がマスタと相違／","")))&amp;IF(AND($B2630&lt;&gt;"",$E2630=""),"報酬額が未入力／","")&amp;IF(N($U2630)&gt;0,"申請書に入力エラーが残っています／","")&amp;IF(AND($B2630&lt;&gt;"",$AO2630&lt;&gt;""),IF(COUNTIFS($B$6:$B$3005,$B2630,$C$6:$C$3005,$C2630,$D$6:$D$3005,$D2630)&gt;1,"同じ月の請求が重複しています／",""),"")&amp;IF(AND(N($E2630)&gt;0,$Z2630&lt;&gt;"",$Z2630&lt;&gt;"×",$AC2630=0,$AB2630=""),"計算額が下限以下のため不支給／",""))</f>
        <v/>
      </c>
      <c r="AL2630" s="12" t="n"/>
      <c r="AM2630" s="14">
        <f>IF($AD2630="保留中",COUNTIF($AD$6:$AD2630,"保留中"),"")</f>
        <v/>
      </c>
      <c r="AN2630" s="14">
        <f>IF($AO2630="","",IF(SUMPRODUCT(MAX((職員マスタ!$A$6:$A$405=$B2630)*(((職員マスタ!$G$6:$G$405="")+(職員マスタ!$G$6:$G$405&lt;=EOMONTH($AO2630,0)))&gt;0)*(((職員マスタ!$H$6:$H$405="")+(職員マスタ!$H$6:$H$405&gt;=$AO2630))&gt;0)*(ROW(職員マスタ!$A$6:$A$405)-5)))&gt;0,SUMPRODUCT(MAX((職員マスタ!$A$6:$A$405=$B2630)*(((職員マスタ!$G$6:$G$405="")+(職員マスタ!$G$6:$G$405&lt;=EOMONTH($AO2630,0)))&gt;0)*(((職員マスタ!$H$6:$H$405="")+(職員マスタ!$H$6:$H$405&gt;=$AO2630))&gt;0)*(ROW(職員マスタ!$A$6:$A$405)-5))),IFERROR(MATCH($B2630,職員マスタ!$A$6:$A$405,0),"")))</f>
        <v/>
      </c>
      <c r="AO2630" s="16">
        <f>IF(OR($B2630="",$C2630="",$D2630=""),"",DATE($C2630+2018,$D2630,1))</f>
        <v/>
      </c>
    </row>
    <row r="2631">
      <c r="A2631" s="11" t="n"/>
      <c r="B2631" s="12" t="n"/>
      <c r="C2631" s="12" t="n"/>
      <c r="D2631" s="12" t="n"/>
      <c r="E2631" s="13" t="n"/>
      <c r="F2631" s="12" t="n"/>
      <c r="G2631" s="13" t="n"/>
      <c r="H2631" s="12" t="n"/>
      <c r="I2631" s="12" t="n"/>
      <c r="J2631" s="12" t="n"/>
      <c r="K2631" s="12" t="n"/>
      <c r="L2631" s="11" t="n"/>
      <c r="M2631" s="11" t="n"/>
      <c r="N2631" s="11" t="n"/>
      <c r="O2631" s="11" t="n"/>
      <c r="P2631" s="12" t="n"/>
      <c r="Q2631" s="11" t="n"/>
      <c r="R2631" s="12" t="n"/>
      <c r="S2631" s="11" t="n"/>
      <c r="T2631" s="12" t="n"/>
      <c r="U2631" s="12" t="n"/>
      <c r="V2631" s="14">
        <f>IF($AN2631="",IF($B2631="","",$H2631),IF(INDEX(職員マスタ!$B$6:$B$405,$AN2631)="",$H2631,INDEX(職員マスタ!$B$6:$B$405,$AN2631)))</f>
        <v/>
      </c>
      <c r="W2631" s="14">
        <f>IF($AN2631="",IF($B2631="","",$R2631),IF(INDEX(職員マスタ!$C$6:$C$405,$AN2631)="",$R2631,INDEX(職員マスタ!$C$6:$C$405,$AN2631)))</f>
        <v/>
      </c>
      <c r="X2631" s="14">
        <f>IF($AO2631="","","R"&amp;$C2631&amp;"."&amp;$D2631)</f>
        <v/>
      </c>
      <c r="Y2631" s="15">
        <f>IF($AN2631="","",IF(INDEX(職員マスタ!$K$6:$K$405,$AN2631)="","",INDEX(職員マスタ!$K$6:$K$405,$AN2631)))</f>
        <v/>
      </c>
      <c r="Z2631" s="14">
        <f>IF(OR($E2631="",$Y2631=""),"",IF($E2631&gt;=$Y2631,"×",IF($E2631&gt;=$Y2631*設定!$C$5,"△","○")))</f>
        <v/>
      </c>
      <c r="AA2631" s="15">
        <f>IF($Z2631="","",IF($Z2631="×",0,IF($Z2631="○",ROUNDDOWN($E2631*設定!$C$4,0),ROUNDDOWN($E2631*ROUND((9*$Y2631-9*$E2631)/(10*$E2631),4),0))))</f>
        <v/>
      </c>
      <c r="AB2631" s="13" t="n"/>
      <c r="AC2631" s="15">
        <f>IF($B2631="","",IF($AB2631&lt;&gt;"",$AB2631,IF($AA2631="","",IF($AA2631&lt;=設定!$C$3,0,$AA2631))))</f>
        <v/>
      </c>
      <c r="AD2631" s="14">
        <f>IF($B2631="","",IF(AND($AE2631&lt;&gt;"",$AG2631="",$AJ2631=""),"保留中",IF($AJ2631&lt;&gt;"",IF(N($AC2631)&gt;0,"支給済","不支給"),IF($AC2631="","要確認",IF($AC2631=0,"不支給","未処理")))))</f>
        <v/>
      </c>
      <c r="AE2631" s="12" t="n"/>
      <c r="AF2631" s="11" t="n"/>
      <c r="AG2631" s="11" t="n"/>
      <c r="AH2631" s="11" t="n"/>
      <c r="AI2631" s="14">
        <f>IF(AND($AD2631="保留中",$AF2631&lt;&gt;""),TODAY()-$AF2631,"")</f>
        <v/>
      </c>
      <c r="AJ2631" s="12" t="n"/>
      <c r="AK2631" s="14">
        <f>IF($B2631="","",IF($AO2631="","対象年月が未入力／","")&amp;IF($B2631="","",IF($AN2631="","職員マスタに未登録の職員番号／",IF($Y2631="","標準報酬月額が未登録／","")&amp;IF(AND($AO2631&lt;&gt;"",OR(AND(INDEX(職員マスタ!$G$6:$G$405,$AN2631)&lt;&gt;"",INDEX(職員マスタ!$G$6:$G$405,$AN2631)&gt;EOMONTH($AO2631,0)),AND(INDEX(職員マスタ!$H$6:$H$405,$AN2631)&lt;&gt;"",INDEX(職員マスタ!$H$6:$H$405,$AN2631)&lt;$AO2631))),"対象月が時短期間外／","")&amp;IF(AND(INDEX(職員マスタ!$F$6:$F$405,$AN2631)&lt;&gt;"",$AO2631&lt;&gt;"",INDEX(職員マスタ!$F$6:$F$405,$AN2631)&lt;$AO2631),"対象月に子が2歳到達済／","")&amp;IF(AND($H2631&lt;&gt;"",INDEX(職員マスタ!$B$6:$B$405,$AN2631)&lt;&gt;"",SUBSTITUTE(SUBSTITUTE($H2631," ","")," ","")&lt;&gt;SUBSTITUTE(SUBSTITUTE(INDEX(職員マスタ!$B$6:$B$405,$AN2631)," ","")," ","")),"氏名がマスタと相違／","")&amp;IF(AND($Q2631&lt;&gt;"",INDEX(職員マスタ!$E$6:$E$405,$AN2631)&lt;&gt;"",$Q2631&lt;&gt;INDEX(職員マスタ!$E$6:$E$405,$AN2631)),"子の生年月日がマスタと相違／","")&amp;IF(AND($L2631&lt;&gt;"",INDEX(職員マスタ!$G$6:$G$405,$AN2631)&lt;&gt;"",$L2631&lt;&gt;INDEX(職員マスタ!$G$6:$G$405,$AN2631)),"時短開始日がマスタと相違／","")&amp;IF(AND($M2631&lt;&gt;"",INDEX(職員マスタ!$H$6:$H$405,$AN2631)&lt;&gt;"",$M2631&lt;&gt;INDEX(職員マスタ!$H$6:$H$405,$AN2631)),"時短終了日がマスタと相違／","")))&amp;IF(AND($B2631&lt;&gt;"",$E2631=""),"報酬額が未入力／","")&amp;IF(N($U2631)&gt;0,"申請書に入力エラーが残っています／","")&amp;IF(AND($B2631&lt;&gt;"",$AO2631&lt;&gt;""),IF(COUNTIFS($B$6:$B$3005,$B2631,$C$6:$C$3005,$C2631,$D$6:$D$3005,$D2631)&gt;1,"同じ月の請求が重複しています／",""),"")&amp;IF(AND(N($E2631)&gt;0,$Z2631&lt;&gt;"",$Z2631&lt;&gt;"×",$AC2631=0,$AB2631=""),"計算額が下限以下のため不支給／",""))</f>
        <v/>
      </c>
      <c r="AL2631" s="12" t="n"/>
      <c r="AM2631" s="14">
        <f>IF($AD2631="保留中",COUNTIF($AD$6:$AD2631,"保留中"),"")</f>
        <v/>
      </c>
      <c r="AN2631" s="14">
        <f>IF($AO2631="","",IF(SUMPRODUCT(MAX((職員マスタ!$A$6:$A$405=$B2631)*(((職員マスタ!$G$6:$G$405="")+(職員マスタ!$G$6:$G$405&lt;=EOMONTH($AO2631,0)))&gt;0)*(((職員マスタ!$H$6:$H$405="")+(職員マスタ!$H$6:$H$405&gt;=$AO2631))&gt;0)*(ROW(職員マスタ!$A$6:$A$405)-5)))&gt;0,SUMPRODUCT(MAX((職員マスタ!$A$6:$A$405=$B2631)*(((職員マスタ!$G$6:$G$405="")+(職員マスタ!$G$6:$G$405&lt;=EOMONTH($AO2631,0)))&gt;0)*(((職員マスタ!$H$6:$H$405="")+(職員マスタ!$H$6:$H$405&gt;=$AO2631))&gt;0)*(ROW(職員マスタ!$A$6:$A$405)-5))),IFERROR(MATCH($B2631,職員マスタ!$A$6:$A$405,0),"")))</f>
        <v/>
      </c>
      <c r="AO2631" s="16">
        <f>IF(OR($B2631="",$C2631="",$D2631=""),"",DATE($C2631+2018,$D2631,1))</f>
        <v/>
      </c>
    </row>
    <row r="2632">
      <c r="A2632" s="11" t="n"/>
      <c r="B2632" s="12" t="n"/>
      <c r="C2632" s="12" t="n"/>
      <c r="D2632" s="12" t="n"/>
      <c r="E2632" s="13" t="n"/>
      <c r="F2632" s="12" t="n"/>
      <c r="G2632" s="13" t="n"/>
      <c r="H2632" s="12" t="n"/>
      <c r="I2632" s="12" t="n"/>
      <c r="J2632" s="12" t="n"/>
      <c r="K2632" s="12" t="n"/>
      <c r="L2632" s="11" t="n"/>
      <c r="M2632" s="11" t="n"/>
      <c r="N2632" s="11" t="n"/>
      <c r="O2632" s="11" t="n"/>
      <c r="P2632" s="12" t="n"/>
      <c r="Q2632" s="11" t="n"/>
      <c r="R2632" s="12" t="n"/>
      <c r="S2632" s="11" t="n"/>
      <c r="T2632" s="12" t="n"/>
      <c r="U2632" s="12" t="n"/>
      <c r="V2632" s="14">
        <f>IF($AN2632="",IF($B2632="","",$H2632),IF(INDEX(職員マスタ!$B$6:$B$405,$AN2632)="",$H2632,INDEX(職員マスタ!$B$6:$B$405,$AN2632)))</f>
        <v/>
      </c>
      <c r="W2632" s="14">
        <f>IF($AN2632="",IF($B2632="","",$R2632),IF(INDEX(職員マスタ!$C$6:$C$405,$AN2632)="",$R2632,INDEX(職員マスタ!$C$6:$C$405,$AN2632)))</f>
        <v/>
      </c>
      <c r="X2632" s="14">
        <f>IF($AO2632="","","R"&amp;$C2632&amp;"."&amp;$D2632)</f>
        <v/>
      </c>
      <c r="Y2632" s="15">
        <f>IF($AN2632="","",IF(INDEX(職員マスタ!$K$6:$K$405,$AN2632)="","",INDEX(職員マスタ!$K$6:$K$405,$AN2632)))</f>
        <v/>
      </c>
      <c r="Z2632" s="14">
        <f>IF(OR($E2632="",$Y2632=""),"",IF($E2632&gt;=$Y2632,"×",IF($E2632&gt;=$Y2632*設定!$C$5,"△","○")))</f>
        <v/>
      </c>
      <c r="AA2632" s="15">
        <f>IF($Z2632="","",IF($Z2632="×",0,IF($Z2632="○",ROUNDDOWN($E2632*設定!$C$4,0),ROUNDDOWN($E2632*ROUND((9*$Y2632-9*$E2632)/(10*$E2632),4),0))))</f>
        <v/>
      </c>
      <c r="AB2632" s="13" t="n"/>
      <c r="AC2632" s="15">
        <f>IF($B2632="","",IF($AB2632&lt;&gt;"",$AB2632,IF($AA2632="","",IF($AA2632&lt;=設定!$C$3,0,$AA2632))))</f>
        <v/>
      </c>
      <c r="AD2632" s="14">
        <f>IF($B2632="","",IF(AND($AE2632&lt;&gt;"",$AG2632="",$AJ2632=""),"保留中",IF($AJ2632&lt;&gt;"",IF(N($AC2632)&gt;0,"支給済","不支給"),IF($AC2632="","要確認",IF($AC2632=0,"不支給","未処理")))))</f>
        <v/>
      </c>
      <c r="AE2632" s="12" t="n"/>
      <c r="AF2632" s="11" t="n"/>
      <c r="AG2632" s="11" t="n"/>
      <c r="AH2632" s="11" t="n"/>
      <c r="AI2632" s="14">
        <f>IF(AND($AD2632="保留中",$AF2632&lt;&gt;""),TODAY()-$AF2632,"")</f>
        <v/>
      </c>
      <c r="AJ2632" s="12" t="n"/>
      <c r="AK2632" s="14">
        <f>IF($B2632="","",IF($AO2632="","対象年月が未入力／","")&amp;IF($B2632="","",IF($AN2632="","職員マスタに未登録の職員番号／",IF($Y2632="","標準報酬月額が未登録／","")&amp;IF(AND($AO2632&lt;&gt;"",OR(AND(INDEX(職員マスタ!$G$6:$G$405,$AN2632)&lt;&gt;"",INDEX(職員マスタ!$G$6:$G$405,$AN2632)&gt;EOMONTH($AO2632,0)),AND(INDEX(職員マスタ!$H$6:$H$405,$AN2632)&lt;&gt;"",INDEX(職員マスタ!$H$6:$H$405,$AN2632)&lt;$AO2632))),"対象月が時短期間外／","")&amp;IF(AND(INDEX(職員マスタ!$F$6:$F$405,$AN2632)&lt;&gt;"",$AO2632&lt;&gt;"",INDEX(職員マスタ!$F$6:$F$405,$AN2632)&lt;$AO2632),"対象月に子が2歳到達済／","")&amp;IF(AND($H2632&lt;&gt;"",INDEX(職員マスタ!$B$6:$B$405,$AN2632)&lt;&gt;"",SUBSTITUTE(SUBSTITUTE($H2632," ","")," ","")&lt;&gt;SUBSTITUTE(SUBSTITUTE(INDEX(職員マスタ!$B$6:$B$405,$AN2632)," ","")," ","")),"氏名がマスタと相違／","")&amp;IF(AND($Q2632&lt;&gt;"",INDEX(職員マスタ!$E$6:$E$405,$AN2632)&lt;&gt;"",$Q2632&lt;&gt;INDEX(職員マスタ!$E$6:$E$405,$AN2632)),"子の生年月日がマスタと相違／","")&amp;IF(AND($L2632&lt;&gt;"",INDEX(職員マスタ!$G$6:$G$405,$AN2632)&lt;&gt;"",$L2632&lt;&gt;INDEX(職員マスタ!$G$6:$G$405,$AN2632)),"時短開始日がマスタと相違／","")&amp;IF(AND($M2632&lt;&gt;"",INDEX(職員マスタ!$H$6:$H$405,$AN2632)&lt;&gt;"",$M2632&lt;&gt;INDEX(職員マスタ!$H$6:$H$405,$AN2632)),"時短終了日がマスタと相違／","")))&amp;IF(AND($B2632&lt;&gt;"",$E2632=""),"報酬額が未入力／","")&amp;IF(N($U2632)&gt;0,"申請書に入力エラーが残っています／","")&amp;IF(AND($B2632&lt;&gt;"",$AO2632&lt;&gt;""),IF(COUNTIFS($B$6:$B$3005,$B2632,$C$6:$C$3005,$C2632,$D$6:$D$3005,$D2632)&gt;1,"同じ月の請求が重複しています／",""),"")&amp;IF(AND(N($E2632)&gt;0,$Z2632&lt;&gt;"",$Z2632&lt;&gt;"×",$AC2632=0,$AB2632=""),"計算額が下限以下のため不支給／",""))</f>
        <v/>
      </c>
      <c r="AL2632" s="12" t="n"/>
      <c r="AM2632" s="14">
        <f>IF($AD2632="保留中",COUNTIF($AD$6:$AD2632,"保留中"),"")</f>
        <v/>
      </c>
      <c r="AN2632" s="14">
        <f>IF($AO2632="","",IF(SUMPRODUCT(MAX((職員マスタ!$A$6:$A$405=$B2632)*(((職員マスタ!$G$6:$G$405="")+(職員マスタ!$G$6:$G$405&lt;=EOMONTH($AO2632,0)))&gt;0)*(((職員マスタ!$H$6:$H$405="")+(職員マスタ!$H$6:$H$405&gt;=$AO2632))&gt;0)*(ROW(職員マスタ!$A$6:$A$405)-5)))&gt;0,SUMPRODUCT(MAX((職員マスタ!$A$6:$A$405=$B2632)*(((職員マスタ!$G$6:$G$405="")+(職員マスタ!$G$6:$G$405&lt;=EOMONTH($AO2632,0)))&gt;0)*(((職員マスタ!$H$6:$H$405="")+(職員マスタ!$H$6:$H$405&gt;=$AO2632))&gt;0)*(ROW(職員マスタ!$A$6:$A$405)-5))),IFERROR(MATCH($B2632,職員マスタ!$A$6:$A$405,0),"")))</f>
        <v/>
      </c>
      <c r="AO2632" s="16">
        <f>IF(OR($B2632="",$C2632="",$D2632=""),"",DATE($C2632+2018,$D2632,1))</f>
        <v/>
      </c>
    </row>
    <row r="2633">
      <c r="A2633" s="11" t="n"/>
      <c r="B2633" s="12" t="n"/>
      <c r="C2633" s="12" t="n"/>
      <c r="D2633" s="12" t="n"/>
      <c r="E2633" s="13" t="n"/>
      <c r="F2633" s="12" t="n"/>
      <c r="G2633" s="13" t="n"/>
      <c r="H2633" s="12" t="n"/>
      <c r="I2633" s="12" t="n"/>
      <c r="J2633" s="12" t="n"/>
      <c r="K2633" s="12" t="n"/>
      <c r="L2633" s="11" t="n"/>
      <c r="M2633" s="11" t="n"/>
      <c r="N2633" s="11" t="n"/>
      <c r="O2633" s="11" t="n"/>
      <c r="P2633" s="12" t="n"/>
      <c r="Q2633" s="11" t="n"/>
      <c r="R2633" s="12" t="n"/>
      <c r="S2633" s="11" t="n"/>
      <c r="T2633" s="12" t="n"/>
      <c r="U2633" s="12" t="n"/>
      <c r="V2633" s="14">
        <f>IF($AN2633="",IF($B2633="","",$H2633),IF(INDEX(職員マスタ!$B$6:$B$405,$AN2633)="",$H2633,INDEX(職員マスタ!$B$6:$B$405,$AN2633)))</f>
        <v/>
      </c>
      <c r="W2633" s="14">
        <f>IF($AN2633="",IF($B2633="","",$R2633),IF(INDEX(職員マスタ!$C$6:$C$405,$AN2633)="",$R2633,INDEX(職員マスタ!$C$6:$C$405,$AN2633)))</f>
        <v/>
      </c>
      <c r="X2633" s="14">
        <f>IF($AO2633="","","R"&amp;$C2633&amp;"."&amp;$D2633)</f>
        <v/>
      </c>
      <c r="Y2633" s="15">
        <f>IF($AN2633="","",IF(INDEX(職員マスタ!$K$6:$K$405,$AN2633)="","",INDEX(職員マスタ!$K$6:$K$405,$AN2633)))</f>
        <v/>
      </c>
      <c r="Z2633" s="14">
        <f>IF(OR($E2633="",$Y2633=""),"",IF($E2633&gt;=$Y2633,"×",IF($E2633&gt;=$Y2633*設定!$C$5,"△","○")))</f>
        <v/>
      </c>
      <c r="AA2633" s="15">
        <f>IF($Z2633="","",IF($Z2633="×",0,IF($Z2633="○",ROUNDDOWN($E2633*設定!$C$4,0),ROUNDDOWN($E2633*ROUND((9*$Y2633-9*$E2633)/(10*$E2633),4),0))))</f>
        <v/>
      </c>
      <c r="AB2633" s="13" t="n"/>
      <c r="AC2633" s="15">
        <f>IF($B2633="","",IF($AB2633&lt;&gt;"",$AB2633,IF($AA2633="","",IF($AA2633&lt;=設定!$C$3,0,$AA2633))))</f>
        <v/>
      </c>
      <c r="AD2633" s="14">
        <f>IF($B2633="","",IF(AND($AE2633&lt;&gt;"",$AG2633="",$AJ2633=""),"保留中",IF($AJ2633&lt;&gt;"",IF(N($AC2633)&gt;0,"支給済","不支給"),IF($AC2633="","要確認",IF($AC2633=0,"不支給","未処理")))))</f>
        <v/>
      </c>
      <c r="AE2633" s="12" t="n"/>
      <c r="AF2633" s="11" t="n"/>
      <c r="AG2633" s="11" t="n"/>
      <c r="AH2633" s="11" t="n"/>
      <c r="AI2633" s="14">
        <f>IF(AND($AD2633="保留中",$AF2633&lt;&gt;""),TODAY()-$AF2633,"")</f>
        <v/>
      </c>
      <c r="AJ2633" s="12" t="n"/>
      <c r="AK2633" s="14">
        <f>IF($B2633="","",IF($AO2633="","対象年月が未入力／","")&amp;IF($B2633="","",IF($AN2633="","職員マスタに未登録の職員番号／",IF($Y2633="","標準報酬月額が未登録／","")&amp;IF(AND($AO2633&lt;&gt;"",OR(AND(INDEX(職員マスタ!$G$6:$G$405,$AN2633)&lt;&gt;"",INDEX(職員マスタ!$G$6:$G$405,$AN2633)&gt;EOMONTH($AO2633,0)),AND(INDEX(職員マスタ!$H$6:$H$405,$AN2633)&lt;&gt;"",INDEX(職員マスタ!$H$6:$H$405,$AN2633)&lt;$AO2633))),"対象月が時短期間外／","")&amp;IF(AND(INDEX(職員マスタ!$F$6:$F$405,$AN2633)&lt;&gt;"",$AO2633&lt;&gt;"",INDEX(職員マスタ!$F$6:$F$405,$AN2633)&lt;$AO2633),"対象月に子が2歳到達済／","")&amp;IF(AND($H2633&lt;&gt;"",INDEX(職員マスタ!$B$6:$B$405,$AN2633)&lt;&gt;"",SUBSTITUTE(SUBSTITUTE($H2633," ","")," ","")&lt;&gt;SUBSTITUTE(SUBSTITUTE(INDEX(職員マスタ!$B$6:$B$405,$AN2633)," ","")," ","")),"氏名がマスタと相違／","")&amp;IF(AND($Q2633&lt;&gt;"",INDEX(職員マスタ!$E$6:$E$405,$AN2633)&lt;&gt;"",$Q2633&lt;&gt;INDEX(職員マスタ!$E$6:$E$405,$AN2633)),"子の生年月日がマスタと相違／","")&amp;IF(AND($L2633&lt;&gt;"",INDEX(職員マスタ!$G$6:$G$405,$AN2633)&lt;&gt;"",$L2633&lt;&gt;INDEX(職員マスタ!$G$6:$G$405,$AN2633)),"時短開始日がマスタと相違／","")&amp;IF(AND($M2633&lt;&gt;"",INDEX(職員マスタ!$H$6:$H$405,$AN2633)&lt;&gt;"",$M2633&lt;&gt;INDEX(職員マスタ!$H$6:$H$405,$AN2633)),"時短終了日がマスタと相違／","")))&amp;IF(AND($B2633&lt;&gt;"",$E2633=""),"報酬額が未入力／","")&amp;IF(N($U2633)&gt;0,"申請書に入力エラーが残っています／","")&amp;IF(AND($B2633&lt;&gt;"",$AO2633&lt;&gt;""),IF(COUNTIFS($B$6:$B$3005,$B2633,$C$6:$C$3005,$C2633,$D$6:$D$3005,$D2633)&gt;1,"同じ月の請求が重複しています／",""),"")&amp;IF(AND(N($E2633)&gt;0,$Z2633&lt;&gt;"",$Z2633&lt;&gt;"×",$AC2633=0,$AB2633=""),"計算額が下限以下のため不支給／",""))</f>
        <v/>
      </c>
      <c r="AL2633" s="12" t="n"/>
      <c r="AM2633" s="14">
        <f>IF($AD2633="保留中",COUNTIF($AD$6:$AD2633,"保留中"),"")</f>
        <v/>
      </c>
      <c r="AN2633" s="14">
        <f>IF($AO2633="","",IF(SUMPRODUCT(MAX((職員マスタ!$A$6:$A$405=$B2633)*(((職員マスタ!$G$6:$G$405="")+(職員マスタ!$G$6:$G$405&lt;=EOMONTH($AO2633,0)))&gt;0)*(((職員マスタ!$H$6:$H$405="")+(職員マスタ!$H$6:$H$405&gt;=$AO2633))&gt;0)*(ROW(職員マスタ!$A$6:$A$405)-5)))&gt;0,SUMPRODUCT(MAX((職員マスタ!$A$6:$A$405=$B2633)*(((職員マスタ!$G$6:$G$405="")+(職員マスタ!$G$6:$G$405&lt;=EOMONTH($AO2633,0)))&gt;0)*(((職員マスタ!$H$6:$H$405="")+(職員マスタ!$H$6:$H$405&gt;=$AO2633))&gt;0)*(ROW(職員マスタ!$A$6:$A$405)-5))),IFERROR(MATCH($B2633,職員マスタ!$A$6:$A$405,0),"")))</f>
        <v/>
      </c>
      <c r="AO2633" s="16">
        <f>IF(OR($B2633="",$C2633="",$D2633=""),"",DATE($C2633+2018,$D2633,1))</f>
        <v/>
      </c>
    </row>
    <row r="2634">
      <c r="A2634" s="11" t="n"/>
      <c r="B2634" s="12" t="n"/>
      <c r="C2634" s="12" t="n"/>
      <c r="D2634" s="12" t="n"/>
      <c r="E2634" s="13" t="n"/>
      <c r="F2634" s="12" t="n"/>
      <c r="G2634" s="13" t="n"/>
      <c r="H2634" s="12" t="n"/>
      <c r="I2634" s="12" t="n"/>
      <c r="J2634" s="12" t="n"/>
      <c r="K2634" s="12" t="n"/>
      <c r="L2634" s="11" t="n"/>
      <c r="M2634" s="11" t="n"/>
      <c r="N2634" s="11" t="n"/>
      <c r="O2634" s="11" t="n"/>
      <c r="P2634" s="12" t="n"/>
      <c r="Q2634" s="11" t="n"/>
      <c r="R2634" s="12" t="n"/>
      <c r="S2634" s="11" t="n"/>
      <c r="T2634" s="12" t="n"/>
      <c r="U2634" s="12" t="n"/>
      <c r="V2634" s="14">
        <f>IF($AN2634="",IF($B2634="","",$H2634),IF(INDEX(職員マスタ!$B$6:$B$405,$AN2634)="",$H2634,INDEX(職員マスタ!$B$6:$B$405,$AN2634)))</f>
        <v/>
      </c>
      <c r="W2634" s="14">
        <f>IF($AN2634="",IF($B2634="","",$R2634),IF(INDEX(職員マスタ!$C$6:$C$405,$AN2634)="",$R2634,INDEX(職員マスタ!$C$6:$C$405,$AN2634)))</f>
        <v/>
      </c>
      <c r="X2634" s="14">
        <f>IF($AO2634="","","R"&amp;$C2634&amp;"."&amp;$D2634)</f>
        <v/>
      </c>
      <c r="Y2634" s="15">
        <f>IF($AN2634="","",IF(INDEX(職員マスタ!$K$6:$K$405,$AN2634)="","",INDEX(職員マスタ!$K$6:$K$405,$AN2634)))</f>
        <v/>
      </c>
      <c r="Z2634" s="14">
        <f>IF(OR($E2634="",$Y2634=""),"",IF($E2634&gt;=$Y2634,"×",IF($E2634&gt;=$Y2634*設定!$C$5,"△","○")))</f>
        <v/>
      </c>
      <c r="AA2634" s="15">
        <f>IF($Z2634="","",IF($Z2634="×",0,IF($Z2634="○",ROUNDDOWN($E2634*設定!$C$4,0),ROUNDDOWN($E2634*ROUND((9*$Y2634-9*$E2634)/(10*$E2634),4),0))))</f>
        <v/>
      </c>
      <c r="AB2634" s="13" t="n"/>
      <c r="AC2634" s="15">
        <f>IF($B2634="","",IF($AB2634&lt;&gt;"",$AB2634,IF($AA2634="","",IF($AA2634&lt;=設定!$C$3,0,$AA2634))))</f>
        <v/>
      </c>
      <c r="AD2634" s="14">
        <f>IF($B2634="","",IF(AND($AE2634&lt;&gt;"",$AG2634="",$AJ2634=""),"保留中",IF($AJ2634&lt;&gt;"",IF(N($AC2634)&gt;0,"支給済","不支給"),IF($AC2634="","要確認",IF($AC2634=0,"不支給","未処理")))))</f>
        <v/>
      </c>
      <c r="AE2634" s="12" t="n"/>
      <c r="AF2634" s="11" t="n"/>
      <c r="AG2634" s="11" t="n"/>
      <c r="AH2634" s="11" t="n"/>
      <c r="AI2634" s="14">
        <f>IF(AND($AD2634="保留中",$AF2634&lt;&gt;""),TODAY()-$AF2634,"")</f>
        <v/>
      </c>
      <c r="AJ2634" s="12" t="n"/>
      <c r="AK2634" s="14">
        <f>IF($B2634="","",IF($AO2634="","対象年月が未入力／","")&amp;IF($B2634="","",IF($AN2634="","職員マスタに未登録の職員番号／",IF($Y2634="","標準報酬月額が未登録／","")&amp;IF(AND($AO2634&lt;&gt;"",OR(AND(INDEX(職員マスタ!$G$6:$G$405,$AN2634)&lt;&gt;"",INDEX(職員マスタ!$G$6:$G$405,$AN2634)&gt;EOMONTH($AO2634,0)),AND(INDEX(職員マスタ!$H$6:$H$405,$AN2634)&lt;&gt;"",INDEX(職員マスタ!$H$6:$H$405,$AN2634)&lt;$AO2634))),"対象月が時短期間外／","")&amp;IF(AND(INDEX(職員マスタ!$F$6:$F$405,$AN2634)&lt;&gt;"",$AO2634&lt;&gt;"",INDEX(職員マスタ!$F$6:$F$405,$AN2634)&lt;$AO2634),"対象月に子が2歳到達済／","")&amp;IF(AND($H2634&lt;&gt;"",INDEX(職員マスタ!$B$6:$B$405,$AN2634)&lt;&gt;"",SUBSTITUTE(SUBSTITUTE($H2634," ","")," ","")&lt;&gt;SUBSTITUTE(SUBSTITUTE(INDEX(職員マスタ!$B$6:$B$405,$AN2634)," ","")," ","")),"氏名がマスタと相違／","")&amp;IF(AND($Q2634&lt;&gt;"",INDEX(職員マスタ!$E$6:$E$405,$AN2634)&lt;&gt;"",$Q2634&lt;&gt;INDEX(職員マスタ!$E$6:$E$405,$AN2634)),"子の生年月日がマスタと相違／","")&amp;IF(AND($L2634&lt;&gt;"",INDEX(職員マスタ!$G$6:$G$405,$AN2634)&lt;&gt;"",$L2634&lt;&gt;INDEX(職員マスタ!$G$6:$G$405,$AN2634)),"時短開始日がマスタと相違／","")&amp;IF(AND($M2634&lt;&gt;"",INDEX(職員マスタ!$H$6:$H$405,$AN2634)&lt;&gt;"",$M2634&lt;&gt;INDEX(職員マスタ!$H$6:$H$405,$AN2634)),"時短終了日がマスタと相違／","")))&amp;IF(AND($B2634&lt;&gt;"",$E2634=""),"報酬額が未入力／","")&amp;IF(N($U2634)&gt;0,"申請書に入力エラーが残っています／","")&amp;IF(AND($B2634&lt;&gt;"",$AO2634&lt;&gt;""),IF(COUNTIFS($B$6:$B$3005,$B2634,$C$6:$C$3005,$C2634,$D$6:$D$3005,$D2634)&gt;1,"同じ月の請求が重複しています／",""),"")&amp;IF(AND(N($E2634)&gt;0,$Z2634&lt;&gt;"",$Z2634&lt;&gt;"×",$AC2634=0,$AB2634=""),"計算額が下限以下のため不支給／",""))</f>
        <v/>
      </c>
      <c r="AL2634" s="12" t="n"/>
      <c r="AM2634" s="14">
        <f>IF($AD2634="保留中",COUNTIF($AD$6:$AD2634,"保留中"),"")</f>
        <v/>
      </c>
      <c r="AN2634" s="14">
        <f>IF($AO2634="","",IF(SUMPRODUCT(MAX((職員マスタ!$A$6:$A$405=$B2634)*(((職員マスタ!$G$6:$G$405="")+(職員マスタ!$G$6:$G$405&lt;=EOMONTH($AO2634,0)))&gt;0)*(((職員マスタ!$H$6:$H$405="")+(職員マスタ!$H$6:$H$405&gt;=$AO2634))&gt;0)*(ROW(職員マスタ!$A$6:$A$405)-5)))&gt;0,SUMPRODUCT(MAX((職員マスタ!$A$6:$A$405=$B2634)*(((職員マスタ!$G$6:$G$405="")+(職員マスタ!$G$6:$G$405&lt;=EOMONTH($AO2634,0)))&gt;0)*(((職員マスタ!$H$6:$H$405="")+(職員マスタ!$H$6:$H$405&gt;=$AO2634))&gt;0)*(ROW(職員マスタ!$A$6:$A$405)-5))),IFERROR(MATCH($B2634,職員マスタ!$A$6:$A$405,0),"")))</f>
        <v/>
      </c>
      <c r="AO2634" s="16">
        <f>IF(OR($B2634="",$C2634="",$D2634=""),"",DATE($C2634+2018,$D2634,1))</f>
        <v/>
      </c>
    </row>
    <row r="2635">
      <c r="A2635" s="11" t="n"/>
      <c r="B2635" s="12" t="n"/>
      <c r="C2635" s="12" t="n"/>
      <c r="D2635" s="12" t="n"/>
      <c r="E2635" s="13" t="n"/>
      <c r="F2635" s="12" t="n"/>
      <c r="G2635" s="13" t="n"/>
      <c r="H2635" s="12" t="n"/>
      <c r="I2635" s="12" t="n"/>
      <c r="J2635" s="12" t="n"/>
      <c r="K2635" s="12" t="n"/>
      <c r="L2635" s="11" t="n"/>
      <c r="M2635" s="11" t="n"/>
      <c r="N2635" s="11" t="n"/>
      <c r="O2635" s="11" t="n"/>
      <c r="P2635" s="12" t="n"/>
      <c r="Q2635" s="11" t="n"/>
      <c r="R2635" s="12" t="n"/>
      <c r="S2635" s="11" t="n"/>
      <c r="T2635" s="12" t="n"/>
      <c r="U2635" s="12" t="n"/>
      <c r="V2635" s="14">
        <f>IF($AN2635="",IF($B2635="","",$H2635),IF(INDEX(職員マスタ!$B$6:$B$405,$AN2635)="",$H2635,INDEX(職員マスタ!$B$6:$B$405,$AN2635)))</f>
        <v/>
      </c>
      <c r="W2635" s="14">
        <f>IF($AN2635="",IF($B2635="","",$R2635),IF(INDEX(職員マスタ!$C$6:$C$405,$AN2635)="",$R2635,INDEX(職員マスタ!$C$6:$C$405,$AN2635)))</f>
        <v/>
      </c>
      <c r="X2635" s="14">
        <f>IF($AO2635="","","R"&amp;$C2635&amp;"."&amp;$D2635)</f>
        <v/>
      </c>
      <c r="Y2635" s="15">
        <f>IF($AN2635="","",IF(INDEX(職員マスタ!$K$6:$K$405,$AN2635)="","",INDEX(職員マスタ!$K$6:$K$405,$AN2635)))</f>
        <v/>
      </c>
      <c r="Z2635" s="14">
        <f>IF(OR($E2635="",$Y2635=""),"",IF($E2635&gt;=$Y2635,"×",IF($E2635&gt;=$Y2635*設定!$C$5,"△","○")))</f>
        <v/>
      </c>
      <c r="AA2635" s="15">
        <f>IF($Z2635="","",IF($Z2635="×",0,IF($Z2635="○",ROUNDDOWN($E2635*設定!$C$4,0),ROUNDDOWN($E2635*ROUND((9*$Y2635-9*$E2635)/(10*$E2635),4),0))))</f>
        <v/>
      </c>
      <c r="AB2635" s="13" t="n"/>
      <c r="AC2635" s="15">
        <f>IF($B2635="","",IF($AB2635&lt;&gt;"",$AB2635,IF($AA2635="","",IF($AA2635&lt;=設定!$C$3,0,$AA2635))))</f>
        <v/>
      </c>
      <c r="AD2635" s="14">
        <f>IF($B2635="","",IF(AND($AE2635&lt;&gt;"",$AG2635="",$AJ2635=""),"保留中",IF($AJ2635&lt;&gt;"",IF(N($AC2635)&gt;0,"支給済","不支給"),IF($AC2635="","要確認",IF($AC2635=0,"不支給","未処理")))))</f>
        <v/>
      </c>
      <c r="AE2635" s="12" t="n"/>
      <c r="AF2635" s="11" t="n"/>
      <c r="AG2635" s="11" t="n"/>
      <c r="AH2635" s="11" t="n"/>
      <c r="AI2635" s="14">
        <f>IF(AND($AD2635="保留中",$AF2635&lt;&gt;""),TODAY()-$AF2635,"")</f>
        <v/>
      </c>
      <c r="AJ2635" s="12" t="n"/>
      <c r="AK2635" s="14">
        <f>IF($B2635="","",IF($AO2635="","対象年月が未入力／","")&amp;IF($B2635="","",IF($AN2635="","職員マスタに未登録の職員番号／",IF($Y2635="","標準報酬月額が未登録／","")&amp;IF(AND($AO2635&lt;&gt;"",OR(AND(INDEX(職員マスタ!$G$6:$G$405,$AN2635)&lt;&gt;"",INDEX(職員マスタ!$G$6:$G$405,$AN2635)&gt;EOMONTH($AO2635,0)),AND(INDEX(職員マスタ!$H$6:$H$405,$AN2635)&lt;&gt;"",INDEX(職員マスタ!$H$6:$H$405,$AN2635)&lt;$AO2635))),"対象月が時短期間外／","")&amp;IF(AND(INDEX(職員マスタ!$F$6:$F$405,$AN2635)&lt;&gt;"",$AO2635&lt;&gt;"",INDEX(職員マスタ!$F$6:$F$405,$AN2635)&lt;$AO2635),"対象月に子が2歳到達済／","")&amp;IF(AND($H2635&lt;&gt;"",INDEX(職員マスタ!$B$6:$B$405,$AN2635)&lt;&gt;"",SUBSTITUTE(SUBSTITUTE($H2635," ","")," ","")&lt;&gt;SUBSTITUTE(SUBSTITUTE(INDEX(職員マスタ!$B$6:$B$405,$AN2635)," ","")," ","")),"氏名がマスタと相違／","")&amp;IF(AND($Q2635&lt;&gt;"",INDEX(職員マスタ!$E$6:$E$405,$AN2635)&lt;&gt;"",$Q2635&lt;&gt;INDEX(職員マスタ!$E$6:$E$405,$AN2635)),"子の生年月日がマスタと相違／","")&amp;IF(AND($L2635&lt;&gt;"",INDEX(職員マスタ!$G$6:$G$405,$AN2635)&lt;&gt;"",$L2635&lt;&gt;INDEX(職員マスタ!$G$6:$G$405,$AN2635)),"時短開始日がマスタと相違／","")&amp;IF(AND($M2635&lt;&gt;"",INDEX(職員マスタ!$H$6:$H$405,$AN2635)&lt;&gt;"",$M2635&lt;&gt;INDEX(職員マスタ!$H$6:$H$405,$AN2635)),"時短終了日がマスタと相違／","")))&amp;IF(AND($B2635&lt;&gt;"",$E2635=""),"報酬額が未入力／","")&amp;IF(N($U2635)&gt;0,"申請書に入力エラーが残っています／","")&amp;IF(AND($B2635&lt;&gt;"",$AO2635&lt;&gt;""),IF(COUNTIFS($B$6:$B$3005,$B2635,$C$6:$C$3005,$C2635,$D$6:$D$3005,$D2635)&gt;1,"同じ月の請求が重複しています／",""),"")&amp;IF(AND(N($E2635)&gt;0,$Z2635&lt;&gt;"",$Z2635&lt;&gt;"×",$AC2635=0,$AB2635=""),"計算額が下限以下のため不支給／",""))</f>
        <v/>
      </c>
      <c r="AL2635" s="12" t="n"/>
      <c r="AM2635" s="14">
        <f>IF($AD2635="保留中",COUNTIF($AD$6:$AD2635,"保留中"),"")</f>
        <v/>
      </c>
      <c r="AN2635" s="14">
        <f>IF($AO2635="","",IF(SUMPRODUCT(MAX((職員マスタ!$A$6:$A$405=$B2635)*(((職員マスタ!$G$6:$G$405="")+(職員マスタ!$G$6:$G$405&lt;=EOMONTH($AO2635,0)))&gt;0)*(((職員マスタ!$H$6:$H$405="")+(職員マスタ!$H$6:$H$405&gt;=$AO2635))&gt;0)*(ROW(職員マスタ!$A$6:$A$405)-5)))&gt;0,SUMPRODUCT(MAX((職員マスタ!$A$6:$A$405=$B2635)*(((職員マスタ!$G$6:$G$405="")+(職員マスタ!$G$6:$G$405&lt;=EOMONTH($AO2635,0)))&gt;0)*(((職員マスタ!$H$6:$H$405="")+(職員マスタ!$H$6:$H$405&gt;=$AO2635))&gt;0)*(ROW(職員マスタ!$A$6:$A$405)-5))),IFERROR(MATCH($B2635,職員マスタ!$A$6:$A$405,0),"")))</f>
        <v/>
      </c>
      <c r="AO2635" s="16">
        <f>IF(OR($B2635="",$C2635="",$D2635=""),"",DATE($C2635+2018,$D2635,1))</f>
        <v/>
      </c>
    </row>
    <row r="2636">
      <c r="A2636" s="11" t="n"/>
      <c r="B2636" s="12" t="n"/>
      <c r="C2636" s="12" t="n"/>
      <c r="D2636" s="12" t="n"/>
      <c r="E2636" s="13" t="n"/>
      <c r="F2636" s="12" t="n"/>
      <c r="G2636" s="13" t="n"/>
      <c r="H2636" s="12" t="n"/>
      <c r="I2636" s="12" t="n"/>
      <c r="J2636" s="12" t="n"/>
      <c r="K2636" s="12" t="n"/>
      <c r="L2636" s="11" t="n"/>
      <c r="M2636" s="11" t="n"/>
      <c r="N2636" s="11" t="n"/>
      <c r="O2636" s="11" t="n"/>
      <c r="P2636" s="12" t="n"/>
      <c r="Q2636" s="11" t="n"/>
      <c r="R2636" s="12" t="n"/>
      <c r="S2636" s="11" t="n"/>
      <c r="T2636" s="12" t="n"/>
      <c r="U2636" s="12" t="n"/>
      <c r="V2636" s="14">
        <f>IF($AN2636="",IF($B2636="","",$H2636),IF(INDEX(職員マスタ!$B$6:$B$405,$AN2636)="",$H2636,INDEX(職員マスタ!$B$6:$B$405,$AN2636)))</f>
        <v/>
      </c>
      <c r="W2636" s="14">
        <f>IF($AN2636="",IF($B2636="","",$R2636),IF(INDEX(職員マスタ!$C$6:$C$405,$AN2636)="",$R2636,INDEX(職員マスタ!$C$6:$C$405,$AN2636)))</f>
        <v/>
      </c>
      <c r="X2636" s="14">
        <f>IF($AO2636="","","R"&amp;$C2636&amp;"."&amp;$D2636)</f>
        <v/>
      </c>
      <c r="Y2636" s="15">
        <f>IF($AN2636="","",IF(INDEX(職員マスタ!$K$6:$K$405,$AN2636)="","",INDEX(職員マスタ!$K$6:$K$405,$AN2636)))</f>
        <v/>
      </c>
      <c r="Z2636" s="14">
        <f>IF(OR($E2636="",$Y2636=""),"",IF($E2636&gt;=$Y2636,"×",IF($E2636&gt;=$Y2636*設定!$C$5,"△","○")))</f>
        <v/>
      </c>
      <c r="AA2636" s="15">
        <f>IF($Z2636="","",IF($Z2636="×",0,IF($Z2636="○",ROUNDDOWN($E2636*設定!$C$4,0),ROUNDDOWN($E2636*ROUND((9*$Y2636-9*$E2636)/(10*$E2636),4),0))))</f>
        <v/>
      </c>
      <c r="AB2636" s="13" t="n"/>
      <c r="AC2636" s="15">
        <f>IF($B2636="","",IF($AB2636&lt;&gt;"",$AB2636,IF($AA2636="","",IF($AA2636&lt;=設定!$C$3,0,$AA2636))))</f>
        <v/>
      </c>
      <c r="AD2636" s="14">
        <f>IF($B2636="","",IF(AND($AE2636&lt;&gt;"",$AG2636="",$AJ2636=""),"保留中",IF($AJ2636&lt;&gt;"",IF(N($AC2636)&gt;0,"支給済","不支給"),IF($AC2636="","要確認",IF($AC2636=0,"不支給","未処理")))))</f>
        <v/>
      </c>
      <c r="AE2636" s="12" t="n"/>
      <c r="AF2636" s="11" t="n"/>
      <c r="AG2636" s="11" t="n"/>
      <c r="AH2636" s="11" t="n"/>
      <c r="AI2636" s="14">
        <f>IF(AND($AD2636="保留中",$AF2636&lt;&gt;""),TODAY()-$AF2636,"")</f>
        <v/>
      </c>
      <c r="AJ2636" s="12" t="n"/>
      <c r="AK2636" s="14">
        <f>IF($B2636="","",IF($AO2636="","対象年月が未入力／","")&amp;IF($B2636="","",IF($AN2636="","職員マスタに未登録の職員番号／",IF($Y2636="","標準報酬月額が未登録／","")&amp;IF(AND($AO2636&lt;&gt;"",OR(AND(INDEX(職員マスタ!$G$6:$G$405,$AN2636)&lt;&gt;"",INDEX(職員マスタ!$G$6:$G$405,$AN2636)&gt;EOMONTH($AO2636,0)),AND(INDEX(職員マスタ!$H$6:$H$405,$AN2636)&lt;&gt;"",INDEX(職員マスタ!$H$6:$H$405,$AN2636)&lt;$AO2636))),"対象月が時短期間外／","")&amp;IF(AND(INDEX(職員マスタ!$F$6:$F$405,$AN2636)&lt;&gt;"",$AO2636&lt;&gt;"",INDEX(職員マスタ!$F$6:$F$405,$AN2636)&lt;$AO2636),"対象月に子が2歳到達済／","")&amp;IF(AND($H2636&lt;&gt;"",INDEX(職員マスタ!$B$6:$B$405,$AN2636)&lt;&gt;"",SUBSTITUTE(SUBSTITUTE($H2636," ","")," ","")&lt;&gt;SUBSTITUTE(SUBSTITUTE(INDEX(職員マスタ!$B$6:$B$405,$AN2636)," ","")," ","")),"氏名がマスタと相違／","")&amp;IF(AND($Q2636&lt;&gt;"",INDEX(職員マスタ!$E$6:$E$405,$AN2636)&lt;&gt;"",$Q2636&lt;&gt;INDEX(職員マスタ!$E$6:$E$405,$AN2636)),"子の生年月日がマスタと相違／","")&amp;IF(AND($L2636&lt;&gt;"",INDEX(職員マスタ!$G$6:$G$405,$AN2636)&lt;&gt;"",$L2636&lt;&gt;INDEX(職員マスタ!$G$6:$G$405,$AN2636)),"時短開始日がマスタと相違／","")&amp;IF(AND($M2636&lt;&gt;"",INDEX(職員マスタ!$H$6:$H$405,$AN2636)&lt;&gt;"",$M2636&lt;&gt;INDEX(職員マスタ!$H$6:$H$405,$AN2636)),"時短終了日がマスタと相違／","")))&amp;IF(AND($B2636&lt;&gt;"",$E2636=""),"報酬額が未入力／","")&amp;IF(N($U2636)&gt;0,"申請書に入力エラーが残っています／","")&amp;IF(AND($B2636&lt;&gt;"",$AO2636&lt;&gt;""),IF(COUNTIFS($B$6:$B$3005,$B2636,$C$6:$C$3005,$C2636,$D$6:$D$3005,$D2636)&gt;1,"同じ月の請求が重複しています／",""),"")&amp;IF(AND(N($E2636)&gt;0,$Z2636&lt;&gt;"",$Z2636&lt;&gt;"×",$AC2636=0,$AB2636=""),"計算額が下限以下のため不支給／",""))</f>
        <v/>
      </c>
      <c r="AL2636" s="12" t="n"/>
      <c r="AM2636" s="14">
        <f>IF($AD2636="保留中",COUNTIF($AD$6:$AD2636,"保留中"),"")</f>
        <v/>
      </c>
      <c r="AN2636" s="14">
        <f>IF($AO2636="","",IF(SUMPRODUCT(MAX((職員マスタ!$A$6:$A$405=$B2636)*(((職員マスタ!$G$6:$G$405="")+(職員マスタ!$G$6:$G$405&lt;=EOMONTH($AO2636,0)))&gt;0)*(((職員マスタ!$H$6:$H$405="")+(職員マスタ!$H$6:$H$405&gt;=$AO2636))&gt;0)*(ROW(職員マスタ!$A$6:$A$405)-5)))&gt;0,SUMPRODUCT(MAX((職員マスタ!$A$6:$A$405=$B2636)*(((職員マスタ!$G$6:$G$405="")+(職員マスタ!$G$6:$G$405&lt;=EOMONTH($AO2636,0)))&gt;0)*(((職員マスタ!$H$6:$H$405="")+(職員マスタ!$H$6:$H$405&gt;=$AO2636))&gt;0)*(ROW(職員マスタ!$A$6:$A$405)-5))),IFERROR(MATCH($B2636,職員マスタ!$A$6:$A$405,0),"")))</f>
        <v/>
      </c>
      <c r="AO2636" s="16">
        <f>IF(OR($B2636="",$C2636="",$D2636=""),"",DATE($C2636+2018,$D2636,1))</f>
        <v/>
      </c>
    </row>
    <row r="2637">
      <c r="A2637" s="11" t="n"/>
      <c r="B2637" s="12" t="n"/>
      <c r="C2637" s="12" t="n"/>
      <c r="D2637" s="12" t="n"/>
      <c r="E2637" s="13" t="n"/>
      <c r="F2637" s="12" t="n"/>
      <c r="G2637" s="13" t="n"/>
      <c r="H2637" s="12" t="n"/>
      <c r="I2637" s="12" t="n"/>
      <c r="J2637" s="12" t="n"/>
      <c r="K2637" s="12" t="n"/>
      <c r="L2637" s="11" t="n"/>
      <c r="M2637" s="11" t="n"/>
      <c r="N2637" s="11" t="n"/>
      <c r="O2637" s="11" t="n"/>
      <c r="P2637" s="12" t="n"/>
      <c r="Q2637" s="11" t="n"/>
      <c r="R2637" s="12" t="n"/>
      <c r="S2637" s="11" t="n"/>
      <c r="T2637" s="12" t="n"/>
      <c r="U2637" s="12" t="n"/>
      <c r="V2637" s="14">
        <f>IF($AN2637="",IF($B2637="","",$H2637),IF(INDEX(職員マスタ!$B$6:$B$405,$AN2637)="",$H2637,INDEX(職員マスタ!$B$6:$B$405,$AN2637)))</f>
        <v/>
      </c>
      <c r="W2637" s="14">
        <f>IF($AN2637="",IF($B2637="","",$R2637),IF(INDEX(職員マスタ!$C$6:$C$405,$AN2637)="",$R2637,INDEX(職員マスタ!$C$6:$C$405,$AN2637)))</f>
        <v/>
      </c>
      <c r="X2637" s="14">
        <f>IF($AO2637="","","R"&amp;$C2637&amp;"."&amp;$D2637)</f>
        <v/>
      </c>
      <c r="Y2637" s="15">
        <f>IF($AN2637="","",IF(INDEX(職員マスタ!$K$6:$K$405,$AN2637)="","",INDEX(職員マスタ!$K$6:$K$405,$AN2637)))</f>
        <v/>
      </c>
      <c r="Z2637" s="14">
        <f>IF(OR($E2637="",$Y2637=""),"",IF($E2637&gt;=$Y2637,"×",IF($E2637&gt;=$Y2637*設定!$C$5,"△","○")))</f>
        <v/>
      </c>
      <c r="AA2637" s="15">
        <f>IF($Z2637="","",IF($Z2637="×",0,IF($Z2637="○",ROUNDDOWN($E2637*設定!$C$4,0),ROUNDDOWN($E2637*ROUND((9*$Y2637-9*$E2637)/(10*$E2637),4),0))))</f>
        <v/>
      </c>
      <c r="AB2637" s="13" t="n"/>
      <c r="AC2637" s="15">
        <f>IF($B2637="","",IF($AB2637&lt;&gt;"",$AB2637,IF($AA2637="","",IF($AA2637&lt;=設定!$C$3,0,$AA2637))))</f>
        <v/>
      </c>
      <c r="AD2637" s="14">
        <f>IF($B2637="","",IF(AND($AE2637&lt;&gt;"",$AG2637="",$AJ2637=""),"保留中",IF($AJ2637&lt;&gt;"",IF(N($AC2637)&gt;0,"支給済","不支給"),IF($AC2637="","要確認",IF($AC2637=0,"不支給","未処理")))))</f>
        <v/>
      </c>
      <c r="AE2637" s="12" t="n"/>
      <c r="AF2637" s="11" t="n"/>
      <c r="AG2637" s="11" t="n"/>
      <c r="AH2637" s="11" t="n"/>
      <c r="AI2637" s="14">
        <f>IF(AND($AD2637="保留中",$AF2637&lt;&gt;""),TODAY()-$AF2637,"")</f>
        <v/>
      </c>
      <c r="AJ2637" s="12" t="n"/>
      <c r="AK2637" s="14">
        <f>IF($B2637="","",IF($AO2637="","対象年月が未入力／","")&amp;IF($B2637="","",IF($AN2637="","職員マスタに未登録の職員番号／",IF($Y2637="","標準報酬月額が未登録／","")&amp;IF(AND($AO2637&lt;&gt;"",OR(AND(INDEX(職員マスタ!$G$6:$G$405,$AN2637)&lt;&gt;"",INDEX(職員マスタ!$G$6:$G$405,$AN2637)&gt;EOMONTH($AO2637,0)),AND(INDEX(職員マスタ!$H$6:$H$405,$AN2637)&lt;&gt;"",INDEX(職員マスタ!$H$6:$H$405,$AN2637)&lt;$AO2637))),"対象月が時短期間外／","")&amp;IF(AND(INDEX(職員マスタ!$F$6:$F$405,$AN2637)&lt;&gt;"",$AO2637&lt;&gt;"",INDEX(職員マスタ!$F$6:$F$405,$AN2637)&lt;$AO2637),"対象月に子が2歳到達済／","")&amp;IF(AND($H2637&lt;&gt;"",INDEX(職員マスタ!$B$6:$B$405,$AN2637)&lt;&gt;"",SUBSTITUTE(SUBSTITUTE($H2637," ","")," ","")&lt;&gt;SUBSTITUTE(SUBSTITUTE(INDEX(職員マスタ!$B$6:$B$405,$AN2637)," ","")," ","")),"氏名がマスタと相違／","")&amp;IF(AND($Q2637&lt;&gt;"",INDEX(職員マスタ!$E$6:$E$405,$AN2637)&lt;&gt;"",$Q2637&lt;&gt;INDEX(職員マスタ!$E$6:$E$405,$AN2637)),"子の生年月日がマスタと相違／","")&amp;IF(AND($L2637&lt;&gt;"",INDEX(職員マスタ!$G$6:$G$405,$AN2637)&lt;&gt;"",$L2637&lt;&gt;INDEX(職員マスタ!$G$6:$G$405,$AN2637)),"時短開始日がマスタと相違／","")&amp;IF(AND($M2637&lt;&gt;"",INDEX(職員マスタ!$H$6:$H$405,$AN2637)&lt;&gt;"",$M2637&lt;&gt;INDEX(職員マスタ!$H$6:$H$405,$AN2637)),"時短終了日がマスタと相違／","")))&amp;IF(AND($B2637&lt;&gt;"",$E2637=""),"報酬額が未入力／","")&amp;IF(N($U2637)&gt;0,"申請書に入力エラーが残っています／","")&amp;IF(AND($B2637&lt;&gt;"",$AO2637&lt;&gt;""),IF(COUNTIFS($B$6:$B$3005,$B2637,$C$6:$C$3005,$C2637,$D$6:$D$3005,$D2637)&gt;1,"同じ月の請求が重複しています／",""),"")&amp;IF(AND(N($E2637)&gt;0,$Z2637&lt;&gt;"",$Z2637&lt;&gt;"×",$AC2637=0,$AB2637=""),"計算額が下限以下のため不支給／",""))</f>
        <v/>
      </c>
      <c r="AL2637" s="12" t="n"/>
      <c r="AM2637" s="14">
        <f>IF($AD2637="保留中",COUNTIF($AD$6:$AD2637,"保留中"),"")</f>
        <v/>
      </c>
      <c r="AN2637" s="14">
        <f>IF($AO2637="","",IF(SUMPRODUCT(MAX((職員マスタ!$A$6:$A$405=$B2637)*(((職員マスタ!$G$6:$G$405="")+(職員マスタ!$G$6:$G$405&lt;=EOMONTH($AO2637,0)))&gt;0)*(((職員マスタ!$H$6:$H$405="")+(職員マスタ!$H$6:$H$405&gt;=$AO2637))&gt;0)*(ROW(職員マスタ!$A$6:$A$405)-5)))&gt;0,SUMPRODUCT(MAX((職員マスタ!$A$6:$A$405=$B2637)*(((職員マスタ!$G$6:$G$405="")+(職員マスタ!$G$6:$G$405&lt;=EOMONTH($AO2637,0)))&gt;0)*(((職員マスタ!$H$6:$H$405="")+(職員マスタ!$H$6:$H$405&gt;=$AO2637))&gt;0)*(ROW(職員マスタ!$A$6:$A$405)-5))),IFERROR(MATCH($B2637,職員マスタ!$A$6:$A$405,0),"")))</f>
        <v/>
      </c>
      <c r="AO2637" s="16">
        <f>IF(OR($B2637="",$C2637="",$D2637=""),"",DATE($C2637+2018,$D2637,1))</f>
        <v/>
      </c>
    </row>
    <row r="2638">
      <c r="A2638" s="11" t="n"/>
      <c r="B2638" s="12" t="n"/>
      <c r="C2638" s="12" t="n"/>
      <c r="D2638" s="12" t="n"/>
      <c r="E2638" s="13" t="n"/>
      <c r="F2638" s="12" t="n"/>
      <c r="G2638" s="13" t="n"/>
      <c r="H2638" s="12" t="n"/>
      <c r="I2638" s="12" t="n"/>
      <c r="J2638" s="12" t="n"/>
      <c r="K2638" s="12" t="n"/>
      <c r="L2638" s="11" t="n"/>
      <c r="M2638" s="11" t="n"/>
      <c r="N2638" s="11" t="n"/>
      <c r="O2638" s="11" t="n"/>
      <c r="P2638" s="12" t="n"/>
      <c r="Q2638" s="11" t="n"/>
      <c r="R2638" s="12" t="n"/>
      <c r="S2638" s="11" t="n"/>
      <c r="T2638" s="12" t="n"/>
      <c r="U2638" s="12" t="n"/>
      <c r="V2638" s="14">
        <f>IF($AN2638="",IF($B2638="","",$H2638),IF(INDEX(職員マスタ!$B$6:$B$405,$AN2638)="",$H2638,INDEX(職員マスタ!$B$6:$B$405,$AN2638)))</f>
        <v/>
      </c>
      <c r="W2638" s="14">
        <f>IF($AN2638="",IF($B2638="","",$R2638),IF(INDEX(職員マスタ!$C$6:$C$405,$AN2638)="",$R2638,INDEX(職員マスタ!$C$6:$C$405,$AN2638)))</f>
        <v/>
      </c>
      <c r="X2638" s="14">
        <f>IF($AO2638="","","R"&amp;$C2638&amp;"."&amp;$D2638)</f>
        <v/>
      </c>
      <c r="Y2638" s="15">
        <f>IF($AN2638="","",IF(INDEX(職員マスタ!$K$6:$K$405,$AN2638)="","",INDEX(職員マスタ!$K$6:$K$405,$AN2638)))</f>
        <v/>
      </c>
      <c r="Z2638" s="14">
        <f>IF(OR($E2638="",$Y2638=""),"",IF($E2638&gt;=$Y2638,"×",IF($E2638&gt;=$Y2638*設定!$C$5,"△","○")))</f>
        <v/>
      </c>
      <c r="AA2638" s="15">
        <f>IF($Z2638="","",IF($Z2638="×",0,IF($Z2638="○",ROUNDDOWN($E2638*設定!$C$4,0),ROUNDDOWN($E2638*ROUND((9*$Y2638-9*$E2638)/(10*$E2638),4),0))))</f>
        <v/>
      </c>
      <c r="AB2638" s="13" t="n"/>
      <c r="AC2638" s="15">
        <f>IF($B2638="","",IF($AB2638&lt;&gt;"",$AB2638,IF($AA2638="","",IF($AA2638&lt;=設定!$C$3,0,$AA2638))))</f>
        <v/>
      </c>
      <c r="AD2638" s="14">
        <f>IF($B2638="","",IF(AND($AE2638&lt;&gt;"",$AG2638="",$AJ2638=""),"保留中",IF($AJ2638&lt;&gt;"",IF(N($AC2638)&gt;0,"支給済","不支給"),IF($AC2638="","要確認",IF($AC2638=0,"不支給","未処理")))))</f>
        <v/>
      </c>
      <c r="AE2638" s="12" t="n"/>
      <c r="AF2638" s="11" t="n"/>
      <c r="AG2638" s="11" t="n"/>
      <c r="AH2638" s="11" t="n"/>
      <c r="AI2638" s="14">
        <f>IF(AND($AD2638="保留中",$AF2638&lt;&gt;""),TODAY()-$AF2638,"")</f>
        <v/>
      </c>
      <c r="AJ2638" s="12" t="n"/>
      <c r="AK2638" s="14">
        <f>IF($B2638="","",IF($AO2638="","対象年月が未入力／","")&amp;IF($B2638="","",IF($AN2638="","職員マスタに未登録の職員番号／",IF($Y2638="","標準報酬月額が未登録／","")&amp;IF(AND($AO2638&lt;&gt;"",OR(AND(INDEX(職員マスタ!$G$6:$G$405,$AN2638)&lt;&gt;"",INDEX(職員マスタ!$G$6:$G$405,$AN2638)&gt;EOMONTH($AO2638,0)),AND(INDEX(職員マスタ!$H$6:$H$405,$AN2638)&lt;&gt;"",INDEX(職員マスタ!$H$6:$H$405,$AN2638)&lt;$AO2638))),"対象月が時短期間外／","")&amp;IF(AND(INDEX(職員マスタ!$F$6:$F$405,$AN2638)&lt;&gt;"",$AO2638&lt;&gt;"",INDEX(職員マスタ!$F$6:$F$405,$AN2638)&lt;$AO2638),"対象月に子が2歳到達済／","")&amp;IF(AND($H2638&lt;&gt;"",INDEX(職員マスタ!$B$6:$B$405,$AN2638)&lt;&gt;"",SUBSTITUTE(SUBSTITUTE($H2638," ","")," ","")&lt;&gt;SUBSTITUTE(SUBSTITUTE(INDEX(職員マスタ!$B$6:$B$405,$AN2638)," ","")," ","")),"氏名がマスタと相違／","")&amp;IF(AND($Q2638&lt;&gt;"",INDEX(職員マスタ!$E$6:$E$405,$AN2638)&lt;&gt;"",$Q2638&lt;&gt;INDEX(職員マスタ!$E$6:$E$405,$AN2638)),"子の生年月日がマスタと相違／","")&amp;IF(AND($L2638&lt;&gt;"",INDEX(職員マスタ!$G$6:$G$405,$AN2638)&lt;&gt;"",$L2638&lt;&gt;INDEX(職員マスタ!$G$6:$G$405,$AN2638)),"時短開始日がマスタと相違／","")&amp;IF(AND($M2638&lt;&gt;"",INDEX(職員マスタ!$H$6:$H$405,$AN2638)&lt;&gt;"",$M2638&lt;&gt;INDEX(職員マスタ!$H$6:$H$405,$AN2638)),"時短終了日がマスタと相違／","")))&amp;IF(AND($B2638&lt;&gt;"",$E2638=""),"報酬額が未入力／","")&amp;IF(N($U2638)&gt;0,"申請書に入力エラーが残っています／","")&amp;IF(AND($B2638&lt;&gt;"",$AO2638&lt;&gt;""),IF(COUNTIFS($B$6:$B$3005,$B2638,$C$6:$C$3005,$C2638,$D$6:$D$3005,$D2638)&gt;1,"同じ月の請求が重複しています／",""),"")&amp;IF(AND(N($E2638)&gt;0,$Z2638&lt;&gt;"",$Z2638&lt;&gt;"×",$AC2638=0,$AB2638=""),"計算額が下限以下のため不支給／",""))</f>
        <v/>
      </c>
      <c r="AL2638" s="12" t="n"/>
      <c r="AM2638" s="14">
        <f>IF($AD2638="保留中",COUNTIF($AD$6:$AD2638,"保留中"),"")</f>
        <v/>
      </c>
      <c r="AN2638" s="14">
        <f>IF($AO2638="","",IF(SUMPRODUCT(MAX((職員マスタ!$A$6:$A$405=$B2638)*(((職員マスタ!$G$6:$G$405="")+(職員マスタ!$G$6:$G$405&lt;=EOMONTH($AO2638,0)))&gt;0)*(((職員マスタ!$H$6:$H$405="")+(職員マスタ!$H$6:$H$405&gt;=$AO2638))&gt;0)*(ROW(職員マスタ!$A$6:$A$405)-5)))&gt;0,SUMPRODUCT(MAX((職員マスタ!$A$6:$A$405=$B2638)*(((職員マスタ!$G$6:$G$405="")+(職員マスタ!$G$6:$G$405&lt;=EOMONTH($AO2638,0)))&gt;0)*(((職員マスタ!$H$6:$H$405="")+(職員マスタ!$H$6:$H$405&gt;=$AO2638))&gt;0)*(ROW(職員マスタ!$A$6:$A$405)-5))),IFERROR(MATCH($B2638,職員マスタ!$A$6:$A$405,0),"")))</f>
        <v/>
      </c>
      <c r="AO2638" s="16">
        <f>IF(OR($B2638="",$C2638="",$D2638=""),"",DATE($C2638+2018,$D2638,1))</f>
        <v/>
      </c>
    </row>
    <row r="2639">
      <c r="A2639" s="11" t="n"/>
      <c r="B2639" s="12" t="n"/>
      <c r="C2639" s="12" t="n"/>
      <c r="D2639" s="12" t="n"/>
      <c r="E2639" s="13" t="n"/>
      <c r="F2639" s="12" t="n"/>
      <c r="G2639" s="13" t="n"/>
      <c r="H2639" s="12" t="n"/>
      <c r="I2639" s="12" t="n"/>
      <c r="J2639" s="12" t="n"/>
      <c r="K2639" s="12" t="n"/>
      <c r="L2639" s="11" t="n"/>
      <c r="M2639" s="11" t="n"/>
      <c r="N2639" s="11" t="n"/>
      <c r="O2639" s="11" t="n"/>
      <c r="P2639" s="12" t="n"/>
      <c r="Q2639" s="11" t="n"/>
      <c r="R2639" s="12" t="n"/>
      <c r="S2639" s="11" t="n"/>
      <c r="T2639" s="12" t="n"/>
      <c r="U2639" s="12" t="n"/>
      <c r="V2639" s="14">
        <f>IF($AN2639="",IF($B2639="","",$H2639),IF(INDEX(職員マスタ!$B$6:$B$405,$AN2639)="",$H2639,INDEX(職員マスタ!$B$6:$B$405,$AN2639)))</f>
        <v/>
      </c>
      <c r="W2639" s="14">
        <f>IF($AN2639="",IF($B2639="","",$R2639),IF(INDEX(職員マスタ!$C$6:$C$405,$AN2639)="",$R2639,INDEX(職員マスタ!$C$6:$C$405,$AN2639)))</f>
        <v/>
      </c>
      <c r="X2639" s="14">
        <f>IF($AO2639="","","R"&amp;$C2639&amp;"."&amp;$D2639)</f>
        <v/>
      </c>
      <c r="Y2639" s="15">
        <f>IF($AN2639="","",IF(INDEX(職員マスタ!$K$6:$K$405,$AN2639)="","",INDEX(職員マスタ!$K$6:$K$405,$AN2639)))</f>
        <v/>
      </c>
      <c r="Z2639" s="14">
        <f>IF(OR($E2639="",$Y2639=""),"",IF($E2639&gt;=$Y2639,"×",IF($E2639&gt;=$Y2639*設定!$C$5,"△","○")))</f>
        <v/>
      </c>
      <c r="AA2639" s="15">
        <f>IF($Z2639="","",IF($Z2639="×",0,IF($Z2639="○",ROUNDDOWN($E2639*設定!$C$4,0),ROUNDDOWN($E2639*ROUND((9*$Y2639-9*$E2639)/(10*$E2639),4),0))))</f>
        <v/>
      </c>
      <c r="AB2639" s="13" t="n"/>
      <c r="AC2639" s="15">
        <f>IF($B2639="","",IF($AB2639&lt;&gt;"",$AB2639,IF($AA2639="","",IF($AA2639&lt;=設定!$C$3,0,$AA2639))))</f>
        <v/>
      </c>
      <c r="AD2639" s="14">
        <f>IF($B2639="","",IF(AND($AE2639&lt;&gt;"",$AG2639="",$AJ2639=""),"保留中",IF($AJ2639&lt;&gt;"",IF(N($AC2639)&gt;0,"支給済","不支給"),IF($AC2639="","要確認",IF($AC2639=0,"不支給","未処理")))))</f>
        <v/>
      </c>
      <c r="AE2639" s="12" t="n"/>
      <c r="AF2639" s="11" t="n"/>
      <c r="AG2639" s="11" t="n"/>
      <c r="AH2639" s="11" t="n"/>
      <c r="AI2639" s="14">
        <f>IF(AND($AD2639="保留中",$AF2639&lt;&gt;""),TODAY()-$AF2639,"")</f>
        <v/>
      </c>
      <c r="AJ2639" s="12" t="n"/>
      <c r="AK2639" s="14">
        <f>IF($B2639="","",IF($AO2639="","対象年月が未入力／","")&amp;IF($B2639="","",IF($AN2639="","職員マスタに未登録の職員番号／",IF($Y2639="","標準報酬月額が未登録／","")&amp;IF(AND($AO2639&lt;&gt;"",OR(AND(INDEX(職員マスタ!$G$6:$G$405,$AN2639)&lt;&gt;"",INDEX(職員マスタ!$G$6:$G$405,$AN2639)&gt;EOMONTH($AO2639,0)),AND(INDEX(職員マスタ!$H$6:$H$405,$AN2639)&lt;&gt;"",INDEX(職員マスタ!$H$6:$H$405,$AN2639)&lt;$AO2639))),"対象月が時短期間外／","")&amp;IF(AND(INDEX(職員マスタ!$F$6:$F$405,$AN2639)&lt;&gt;"",$AO2639&lt;&gt;"",INDEX(職員マスタ!$F$6:$F$405,$AN2639)&lt;$AO2639),"対象月に子が2歳到達済／","")&amp;IF(AND($H2639&lt;&gt;"",INDEX(職員マスタ!$B$6:$B$405,$AN2639)&lt;&gt;"",SUBSTITUTE(SUBSTITUTE($H2639," ","")," ","")&lt;&gt;SUBSTITUTE(SUBSTITUTE(INDEX(職員マスタ!$B$6:$B$405,$AN2639)," ","")," ","")),"氏名がマスタと相違／","")&amp;IF(AND($Q2639&lt;&gt;"",INDEX(職員マスタ!$E$6:$E$405,$AN2639)&lt;&gt;"",$Q2639&lt;&gt;INDEX(職員マスタ!$E$6:$E$405,$AN2639)),"子の生年月日がマスタと相違／","")&amp;IF(AND($L2639&lt;&gt;"",INDEX(職員マスタ!$G$6:$G$405,$AN2639)&lt;&gt;"",$L2639&lt;&gt;INDEX(職員マスタ!$G$6:$G$405,$AN2639)),"時短開始日がマスタと相違／","")&amp;IF(AND($M2639&lt;&gt;"",INDEX(職員マスタ!$H$6:$H$405,$AN2639)&lt;&gt;"",$M2639&lt;&gt;INDEX(職員マスタ!$H$6:$H$405,$AN2639)),"時短終了日がマスタと相違／","")))&amp;IF(AND($B2639&lt;&gt;"",$E2639=""),"報酬額が未入力／","")&amp;IF(N($U2639)&gt;0,"申請書に入力エラーが残っています／","")&amp;IF(AND($B2639&lt;&gt;"",$AO2639&lt;&gt;""),IF(COUNTIFS($B$6:$B$3005,$B2639,$C$6:$C$3005,$C2639,$D$6:$D$3005,$D2639)&gt;1,"同じ月の請求が重複しています／",""),"")&amp;IF(AND(N($E2639)&gt;0,$Z2639&lt;&gt;"",$Z2639&lt;&gt;"×",$AC2639=0,$AB2639=""),"計算額が下限以下のため不支給／",""))</f>
        <v/>
      </c>
      <c r="AL2639" s="12" t="n"/>
      <c r="AM2639" s="14">
        <f>IF($AD2639="保留中",COUNTIF($AD$6:$AD2639,"保留中"),"")</f>
        <v/>
      </c>
      <c r="AN2639" s="14">
        <f>IF($AO2639="","",IF(SUMPRODUCT(MAX((職員マスタ!$A$6:$A$405=$B2639)*(((職員マスタ!$G$6:$G$405="")+(職員マスタ!$G$6:$G$405&lt;=EOMONTH($AO2639,0)))&gt;0)*(((職員マスタ!$H$6:$H$405="")+(職員マスタ!$H$6:$H$405&gt;=$AO2639))&gt;0)*(ROW(職員マスタ!$A$6:$A$405)-5)))&gt;0,SUMPRODUCT(MAX((職員マスタ!$A$6:$A$405=$B2639)*(((職員マスタ!$G$6:$G$405="")+(職員マスタ!$G$6:$G$405&lt;=EOMONTH($AO2639,0)))&gt;0)*(((職員マスタ!$H$6:$H$405="")+(職員マスタ!$H$6:$H$405&gt;=$AO2639))&gt;0)*(ROW(職員マスタ!$A$6:$A$405)-5))),IFERROR(MATCH($B2639,職員マスタ!$A$6:$A$405,0),"")))</f>
        <v/>
      </c>
      <c r="AO2639" s="16">
        <f>IF(OR($B2639="",$C2639="",$D2639=""),"",DATE($C2639+2018,$D2639,1))</f>
        <v/>
      </c>
    </row>
    <row r="2640">
      <c r="A2640" s="11" t="n"/>
      <c r="B2640" s="12" t="n"/>
      <c r="C2640" s="12" t="n"/>
      <c r="D2640" s="12" t="n"/>
      <c r="E2640" s="13" t="n"/>
      <c r="F2640" s="12" t="n"/>
      <c r="G2640" s="13" t="n"/>
      <c r="H2640" s="12" t="n"/>
      <c r="I2640" s="12" t="n"/>
      <c r="J2640" s="12" t="n"/>
      <c r="K2640" s="12" t="n"/>
      <c r="L2640" s="11" t="n"/>
      <c r="M2640" s="11" t="n"/>
      <c r="N2640" s="11" t="n"/>
      <c r="O2640" s="11" t="n"/>
      <c r="P2640" s="12" t="n"/>
      <c r="Q2640" s="11" t="n"/>
      <c r="R2640" s="12" t="n"/>
      <c r="S2640" s="11" t="n"/>
      <c r="T2640" s="12" t="n"/>
      <c r="U2640" s="12" t="n"/>
      <c r="V2640" s="14">
        <f>IF($AN2640="",IF($B2640="","",$H2640),IF(INDEX(職員マスタ!$B$6:$B$405,$AN2640)="",$H2640,INDEX(職員マスタ!$B$6:$B$405,$AN2640)))</f>
        <v/>
      </c>
      <c r="W2640" s="14">
        <f>IF($AN2640="",IF($B2640="","",$R2640),IF(INDEX(職員マスタ!$C$6:$C$405,$AN2640)="",$R2640,INDEX(職員マスタ!$C$6:$C$405,$AN2640)))</f>
        <v/>
      </c>
      <c r="X2640" s="14">
        <f>IF($AO2640="","","R"&amp;$C2640&amp;"."&amp;$D2640)</f>
        <v/>
      </c>
      <c r="Y2640" s="15">
        <f>IF($AN2640="","",IF(INDEX(職員マスタ!$K$6:$K$405,$AN2640)="","",INDEX(職員マスタ!$K$6:$K$405,$AN2640)))</f>
        <v/>
      </c>
      <c r="Z2640" s="14">
        <f>IF(OR($E2640="",$Y2640=""),"",IF($E2640&gt;=$Y2640,"×",IF($E2640&gt;=$Y2640*設定!$C$5,"△","○")))</f>
        <v/>
      </c>
      <c r="AA2640" s="15">
        <f>IF($Z2640="","",IF($Z2640="×",0,IF($Z2640="○",ROUNDDOWN($E2640*設定!$C$4,0),ROUNDDOWN($E2640*ROUND((9*$Y2640-9*$E2640)/(10*$E2640),4),0))))</f>
        <v/>
      </c>
      <c r="AB2640" s="13" t="n"/>
      <c r="AC2640" s="15">
        <f>IF($B2640="","",IF($AB2640&lt;&gt;"",$AB2640,IF($AA2640="","",IF($AA2640&lt;=設定!$C$3,0,$AA2640))))</f>
        <v/>
      </c>
      <c r="AD2640" s="14">
        <f>IF($B2640="","",IF(AND($AE2640&lt;&gt;"",$AG2640="",$AJ2640=""),"保留中",IF($AJ2640&lt;&gt;"",IF(N($AC2640)&gt;0,"支給済","不支給"),IF($AC2640="","要確認",IF($AC2640=0,"不支給","未処理")))))</f>
        <v/>
      </c>
      <c r="AE2640" s="12" t="n"/>
      <c r="AF2640" s="11" t="n"/>
      <c r="AG2640" s="11" t="n"/>
      <c r="AH2640" s="11" t="n"/>
      <c r="AI2640" s="14">
        <f>IF(AND($AD2640="保留中",$AF2640&lt;&gt;""),TODAY()-$AF2640,"")</f>
        <v/>
      </c>
      <c r="AJ2640" s="12" t="n"/>
      <c r="AK2640" s="14">
        <f>IF($B2640="","",IF($AO2640="","対象年月が未入力／","")&amp;IF($B2640="","",IF($AN2640="","職員マスタに未登録の職員番号／",IF($Y2640="","標準報酬月額が未登録／","")&amp;IF(AND($AO2640&lt;&gt;"",OR(AND(INDEX(職員マスタ!$G$6:$G$405,$AN2640)&lt;&gt;"",INDEX(職員マスタ!$G$6:$G$405,$AN2640)&gt;EOMONTH($AO2640,0)),AND(INDEX(職員マスタ!$H$6:$H$405,$AN2640)&lt;&gt;"",INDEX(職員マスタ!$H$6:$H$405,$AN2640)&lt;$AO2640))),"対象月が時短期間外／","")&amp;IF(AND(INDEX(職員マスタ!$F$6:$F$405,$AN2640)&lt;&gt;"",$AO2640&lt;&gt;"",INDEX(職員マスタ!$F$6:$F$405,$AN2640)&lt;$AO2640),"対象月に子が2歳到達済／","")&amp;IF(AND($H2640&lt;&gt;"",INDEX(職員マスタ!$B$6:$B$405,$AN2640)&lt;&gt;"",SUBSTITUTE(SUBSTITUTE($H2640," ","")," ","")&lt;&gt;SUBSTITUTE(SUBSTITUTE(INDEX(職員マスタ!$B$6:$B$405,$AN2640)," ","")," ","")),"氏名がマスタと相違／","")&amp;IF(AND($Q2640&lt;&gt;"",INDEX(職員マスタ!$E$6:$E$405,$AN2640)&lt;&gt;"",$Q2640&lt;&gt;INDEX(職員マスタ!$E$6:$E$405,$AN2640)),"子の生年月日がマスタと相違／","")&amp;IF(AND($L2640&lt;&gt;"",INDEX(職員マスタ!$G$6:$G$405,$AN2640)&lt;&gt;"",$L2640&lt;&gt;INDEX(職員マスタ!$G$6:$G$405,$AN2640)),"時短開始日がマスタと相違／","")&amp;IF(AND($M2640&lt;&gt;"",INDEX(職員マスタ!$H$6:$H$405,$AN2640)&lt;&gt;"",$M2640&lt;&gt;INDEX(職員マスタ!$H$6:$H$405,$AN2640)),"時短終了日がマスタと相違／","")))&amp;IF(AND($B2640&lt;&gt;"",$E2640=""),"報酬額が未入力／","")&amp;IF(N($U2640)&gt;0,"申請書に入力エラーが残っています／","")&amp;IF(AND($B2640&lt;&gt;"",$AO2640&lt;&gt;""),IF(COUNTIFS($B$6:$B$3005,$B2640,$C$6:$C$3005,$C2640,$D$6:$D$3005,$D2640)&gt;1,"同じ月の請求が重複しています／",""),"")&amp;IF(AND(N($E2640)&gt;0,$Z2640&lt;&gt;"",$Z2640&lt;&gt;"×",$AC2640=0,$AB2640=""),"計算額が下限以下のため不支給／",""))</f>
        <v/>
      </c>
      <c r="AL2640" s="12" t="n"/>
      <c r="AM2640" s="14">
        <f>IF($AD2640="保留中",COUNTIF($AD$6:$AD2640,"保留中"),"")</f>
        <v/>
      </c>
      <c r="AN2640" s="14">
        <f>IF($AO2640="","",IF(SUMPRODUCT(MAX((職員マスタ!$A$6:$A$405=$B2640)*(((職員マスタ!$G$6:$G$405="")+(職員マスタ!$G$6:$G$405&lt;=EOMONTH($AO2640,0)))&gt;0)*(((職員マスタ!$H$6:$H$405="")+(職員マスタ!$H$6:$H$405&gt;=$AO2640))&gt;0)*(ROW(職員マスタ!$A$6:$A$405)-5)))&gt;0,SUMPRODUCT(MAX((職員マスタ!$A$6:$A$405=$B2640)*(((職員マスタ!$G$6:$G$405="")+(職員マスタ!$G$6:$G$405&lt;=EOMONTH($AO2640,0)))&gt;0)*(((職員マスタ!$H$6:$H$405="")+(職員マスタ!$H$6:$H$405&gt;=$AO2640))&gt;0)*(ROW(職員マスタ!$A$6:$A$405)-5))),IFERROR(MATCH($B2640,職員マスタ!$A$6:$A$405,0),"")))</f>
        <v/>
      </c>
      <c r="AO2640" s="16">
        <f>IF(OR($B2640="",$C2640="",$D2640=""),"",DATE($C2640+2018,$D2640,1))</f>
        <v/>
      </c>
    </row>
    <row r="2641">
      <c r="A2641" s="11" t="n"/>
      <c r="B2641" s="12" t="n"/>
      <c r="C2641" s="12" t="n"/>
      <c r="D2641" s="12" t="n"/>
      <c r="E2641" s="13" t="n"/>
      <c r="F2641" s="12" t="n"/>
      <c r="G2641" s="13" t="n"/>
      <c r="H2641" s="12" t="n"/>
      <c r="I2641" s="12" t="n"/>
      <c r="J2641" s="12" t="n"/>
      <c r="K2641" s="12" t="n"/>
      <c r="L2641" s="11" t="n"/>
      <c r="M2641" s="11" t="n"/>
      <c r="N2641" s="11" t="n"/>
      <c r="O2641" s="11" t="n"/>
      <c r="P2641" s="12" t="n"/>
      <c r="Q2641" s="11" t="n"/>
      <c r="R2641" s="12" t="n"/>
      <c r="S2641" s="11" t="n"/>
      <c r="T2641" s="12" t="n"/>
      <c r="U2641" s="12" t="n"/>
      <c r="V2641" s="14">
        <f>IF($AN2641="",IF($B2641="","",$H2641),IF(INDEX(職員マスタ!$B$6:$B$405,$AN2641)="",$H2641,INDEX(職員マスタ!$B$6:$B$405,$AN2641)))</f>
        <v/>
      </c>
      <c r="W2641" s="14">
        <f>IF($AN2641="",IF($B2641="","",$R2641),IF(INDEX(職員マスタ!$C$6:$C$405,$AN2641)="",$R2641,INDEX(職員マスタ!$C$6:$C$405,$AN2641)))</f>
        <v/>
      </c>
      <c r="X2641" s="14">
        <f>IF($AO2641="","","R"&amp;$C2641&amp;"."&amp;$D2641)</f>
        <v/>
      </c>
      <c r="Y2641" s="15">
        <f>IF($AN2641="","",IF(INDEX(職員マスタ!$K$6:$K$405,$AN2641)="","",INDEX(職員マスタ!$K$6:$K$405,$AN2641)))</f>
        <v/>
      </c>
      <c r="Z2641" s="14">
        <f>IF(OR($E2641="",$Y2641=""),"",IF($E2641&gt;=$Y2641,"×",IF($E2641&gt;=$Y2641*設定!$C$5,"△","○")))</f>
        <v/>
      </c>
      <c r="AA2641" s="15">
        <f>IF($Z2641="","",IF($Z2641="×",0,IF($Z2641="○",ROUNDDOWN($E2641*設定!$C$4,0),ROUNDDOWN($E2641*ROUND((9*$Y2641-9*$E2641)/(10*$E2641),4),0))))</f>
        <v/>
      </c>
      <c r="AB2641" s="13" t="n"/>
      <c r="AC2641" s="15">
        <f>IF($B2641="","",IF($AB2641&lt;&gt;"",$AB2641,IF($AA2641="","",IF($AA2641&lt;=設定!$C$3,0,$AA2641))))</f>
        <v/>
      </c>
      <c r="AD2641" s="14">
        <f>IF($B2641="","",IF(AND($AE2641&lt;&gt;"",$AG2641="",$AJ2641=""),"保留中",IF($AJ2641&lt;&gt;"",IF(N($AC2641)&gt;0,"支給済","不支給"),IF($AC2641="","要確認",IF($AC2641=0,"不支給","未処理")))))</f>
        <v/>
      </c>
      <c r="AE2641" s="12" t="n"/>
      <c r="AF2641" s="11" t="n"/>
      <c r="AG2641" s="11" t="n"/>
      <c r="AH2641" s="11" t="n"/>
      <c r="AI2641" s="14">
        <f>IF(AND($AD2641="保留中",$AF2641&lt;&gt;""),TODAY()-$AF2641,"")</f>
        <v/>
      </c>
      <c r="AJ2641" s="12" t="n"/>
      <c r="AK2641" s="14">
        <f>IF($B2641="","",IF($AO2641="","対象年月が未入力／","")&amp;IF($B2641="","",IF($AN2641="","職員マスタに未登録の職員番号／",IF($Y2641="","標準報酬月額が未登録／","")&amp;IF(AND($AO2641&lt;&gt;"",OR(AND(INDEX(職員マスタ!$G$6:$G$405,$AN2641)&lt;&gt;"",INDEX(職員マスタ!$G$6:$G$405,$AN2641)&gt;EOMONTH($AO2641,0)),AND(INDEX(職員マスタ!$H$6:$H$405,$AN2641)&lt;&gt;"",INDEX(職員マスタ!$H$6:$H$405,$AN2641)&lt;$AO2641))),"対象月が時短期間外／","")&amp;IF(AND(INDEX(職員マスタ!$F$6:$F$405,$AN2641)&lt;&gt;"",$AO2641&lt;&gt;"",INDEX(職員マスタ!$F$6:$F$405,$AN2641)&lt;$AO2641),"対象月に子が2歳到達済／","")&amp;IF(AND($H2641&lt;&gt;"",INDEX(職員マスタ!$B$6:$B$405,$AN2641)&lt;&gt;"",SUBSTITUTE(SUBSTITUTE($H2641," ","")," ","")&lt;&gt;SUBSTITUTE(SUBSTITUTE(INDEX(職員マスタ!$B$6:$B$405,$AN2641)," ","")," ","")),"氏名がマスタと相違／","")&amp;IF(AND($Q2641&lt;&gt;"",INDEX(職員マスタ!$E$6:$E$405,$AN2641)&lt;&gt;"",$Q2641&lt;&gt;INDEX(職員マスタ!$E$6:$E$405,$AN2641)),"子の生年月日がマスタと相違／","")&amp;IF(AND($L2641&lt;&gt;"",INDEX(職員マスタ!$G$6:$G$405,$AN2641)&lt;&gt;"",$L2641&lt;&gt;INDEX(職員マスタ!$G$6:$G$405,$AN2641)),"時短開始日がマスタと相違／","")&amp;IF(AND($M2641&lt;&gt;"",INDEX(職員マスタ!$H$6:$H$405,$AN2641)&lt;&gt;"",$M2641&lt;&gt;INDEX(職員マスタ!$H$6:$H$405,$AN2641)),"時短終了日がマスタと相違／","")))&amp;IF(AND($B2641&lt;&gt;"",$E2641=""),"報酬額が未入力／","")&amp;IF(N($U2641)&gt;0,"申請書に入力エラーが残っています／","")&amp;IF(AND($B2641&lt;&gt;"",$AO2641&lt;&gt;""),IF(COUNTIFS($B$6:$B$3005,$B2641,$C$6:$C$3005,$C2641,$D$6:$D$3005,$D2641)&gt;1,"同じ月の請求が重複しています／",""),"")&amp;IF(AND(N($E2641)&gt;0,$Z2641&lt;&gt;"",$Z2641&lt;&gt;"×",$AC2641=0,$AB2641=""),"計算額が下限以下のため不支給／",""))</f>
        <v/>
      </c>
      <c r="AL2641" s="12" t="n"/>
      <c r="AM2641" s="14">
        <f>IF($AD2641="保留中",COUNTIF($AD$6:$AD2641,"保留中"),"")</f>
        <v/>
      </c>
      <c r="AN2641" s="14">
        <f>IF($AO2641="","",IF(SUMPRODUCT(MAX((職員マスタ!$A$6:$A$405=$B2641)*(((職員マスタ!$G$6:$G$405="")+(職員マスタ!$G$6:$G$405&lt;=EOMONTH($AO2641,0)))&gt;0)*(((職員マスタ!$H$6:$H$405="")+(職員マスタ!$H$6:$H$405&gt;=$AO2641))&gt;0)*(ROW(職員マスタ!$A$6:$A$405)-5)))&gt;0,SUMPRODUCT(MAX((職員マスタ!$A$6:$A$405=$B2641)*(((職員マスタ!$G$6:$G$405="")+(職員マスタ!$G$6:$G$405&lt;=EOMONTH($AO2641,0)))&gt;0)*(((職員マスタ!$H$6:$H$405="")+(職員マスタ!$H$6:$H$405&gt;=$AO2641))&gt;0)*(ROW(職員マスタ!$A$6:$A$405)-5))),IFERROR(MATCH($B2641,職員マスタ!$A$6:$A$405,0),"")))</f>
        <v/>
      </c>
      <c r="AO2641" s="16">
        <f>IF(OR($B2641="",$C2641="",$D2641=""),"",DATE($C2641+2018,$D2641,1))</f>
        <v/>
      </c>
    </row>
    <row r="2642">
      <c r="A2642" s="11" t="n"/>
      <c r="B2642" s="12" t="n"/>
      <c r="C2642" s="12" t="n"/>
      <c r="D2642" s="12" t="n"/>
      <c r="E2642" s="13" t="n"/>
      <c r="F2642" s="12" t="n"/>
      <c r="G2642" s="13" t="n"/>
      <c r="H2642" s="12" t="n"/>
      <c r="I2642" s="12" t="n"/>
      <c r="J2642" s="12" t="n"/>
      <c r="K2642" s="12" t="n"/>
      <c r="L2642" s="11" t="n"/>
      <c r="M2642" s="11" t="n"/>
      <c r="N2642" s="11" t="n"/>
      <c r="O2642" s="11" t="n"/>
      <c r="P2642" s="12" t="n"/>
      <c r="Q2642" s="11" t="n"/>
      <c r="R2642" s="12" t="n"/>
      <c r="S2642" s="11" t="n"/>
      <c r="T2642" s="12" t="n"/>
      <c r="U2642" s="12" t="n"/>
      <c r="V2642" s="14">
        <f>IF($AN2642="",IF($B2642="","",$H2642),IF(INDEX(職員マスタ!$B$6:$B$405,$AN2642)="",$H2642,INDEX(職員マスタ!$B$6:$B$405,$AN2642)))</f>
        <v/>
      </c>
      <c r="W2642" s="14">
        <f>IF($AN2642="",IF($B2642="","",$R2642),IF(INDEX(職員マスタ!$C$6:$C$405,$AN2642)="",$R2642,INDEX(職員マスタ!$C$6:$C$405,$AN2642)))</f>
        <v/>
      </c>
      <c r="X2642" s="14">
        <f>IF($AO2642="","","R"&amp;$C2642&amp;"."&amp;$D2642)</f>
        <v/>
      </c>
      <c r="Y2642" s="15">
        <f>IF($AN2642="","",IF(INDEX(職員マスタ!$K$6:$K$405,$AN2642)="","",INDEX(職員マスタ!$K$6:$K$405,$AN2642)))</f>
        <v/>
      </c>
      <c r="Z2642" s="14">
        <f>IF(OR($E2642="",$Y2642=""),"",IF($E2642&gt;=$Y2642,"×",IF($E2642&gt;=$Y2642*設定!$C$5,"△","○")))</f>
        <v/>
      </c>
      <c r="AA2642" s="15">
        <f>IF($Z2642="","",IF($Z2642="×",0,IF($Z2642="○",ROUNDDOWN($E2642*設定!$C$4,0),ROUNDDOWN($E2642*ROUND((9*$Y2642-9*$E2642)/(10*$E2642),4),0))))</f>
        <v/>
      </c>
      <c r="AB2642" s="13" t="n"/>
      <c r="AC2642" s="15">
        <f>IF($B2642="","",IF($AB2642&lt;&gt;"",$AB2642,IF($AA2642="","",IF($AA2642&lt;=設定!$C$3,0,$AA2642))))</f>
        <v/>
      </c>
      <c r="AD2642" s="14">
        <f>IF($B2642="","",IF(AND($AE2642&lt;&gt;"",$AG2642="",$AJ2642=""),"保留中",IF($AJ2642&lt;&gt;"",IF(N($AC2642)&gt;0,"支給済","不支給"),IF($AC2642="","要確認",IF($AC2642=0,"不支給","未処理")))))</f>
        <v/>
      </c>
      <c r="AE2642" s="12" t="n"/>
      <c r="AF2642" s="11" t="n"/>
      <c r="AG2642" s="11" t="n"/>
      <c r="AH2642" s="11" t="n"/>
      <c r="AI2642" s="14">
        <f>IF(AND($AD2642="保留中",$AF2642&lt;&gt;""),TODAY()-$AF2642,"")</f>
        <v/>
      </c>
      <c r="AJ2642" s="12" t="n"/>
      <c r="AK2642" s="14">
        <f>IF($B2642="","",IF($AO2642="","対象年月が未入力／","")&amp;IF($B2642="","",IF($AN2642="","職員マスタに未登録の職員番号／",IF($Y2642="","標準報酬月額が未登録／","")&amp;IF(AND($AO2642&lt;&gt;"",OR(AND(INDEX(職員マスタ!$G$6:$G$405,$AN2642)&lt;&gt;"",INDEX(職員マスタ!$G$6:$G$405,$AN2642)&gt;EOMONTH($AO2642,0)),AND(INDEX(職員マスタ!$H$6:$H$405,$AN2642)&lt;&gt;"",INDEX(職員マスタ!$H$6:$H$405,$AN2642)&lt;$AO2642))),"対象月が時短期間外／","")&amp;IF(AND(INDEX(職員マスタ!$F$6:$F$405,$AN2642)&lt;&gt;"",$AO2642&lt;&gt;"",INDEX(職員マスタ!$F$6:$F$405,$AN2642)&lt;$AO2642),"対象月に子が2歳到達済／","")&amp;IF(AND($H2642&lt;&gt;"",INDEX(職員マスタ!$B$6:$B$405,$AN2642)&lt;&gt;"",SUBSTITUTE(SUBSTITUTE($H2642," ","")," ","")&lt;&gt;SUBSTITUTE(SUBSTITUTE(INDEX(職員マスタ!$B$6:$B$405,$AN2642)," ","")," ","")),"氏名がマスタと相違／","")&amp;IF(AND($Q2642&lt;&gt;"",INDEX(職員マスタ!$E$6:$E$405,$AN2642)&lt;&gt;"",$Q2642&lt;&gt;INDEX(職員マスタ!$E$6:$E$405,$AN2642)),"子の生年月日がマスタと相違／","")&amp;IF(AND($L2642&lt;&gt;"",INDEX(職員マスタ!$G$6:$G$405,$AN2642)&lt;&gt;"",$L2642&lt;&gt;INDEX(職員マスタ!$G$6:$G$405,$AN2642)),"時短開始日がマスタと相違／","")&amp;IF(AND($M2642&lt;&gt;"",INDEX(職員マスタ!$H$6:$H$405,$AN2642)&lt;&gt;"",$M2642&lt;&gt;INDEX(職員マスタ!$H$6:$H$405,$AN2642)),"時短終了日がマスタと相違／","")))&amp;IF(AND($B2642&lt;&gt;"",$E2642=""),"報酬額が未入力／","")&amp;IF(N($U2642)&gt;0,"申請書に入力エラーが残っています／","")&amp;IF(AND($B2642&lt;&gt;"",$AO2642&lt;&gt;""),IF(COUNTIFS($B$6:$B$3005,$B2642,$C$6:$C$3005,$C2642,$D$6:$D$3005,$D2642)&gt;1,"同じ月の請求が重複しています／",""),"")&amp;IF(AND(N($E2642)&gt;0,$Z2642&lt;&gt;"",$Z2642&lt;&gt;"×",$AC2642=0,$AB2642=""),"計算額が下限以下のため不支給／",""))</f>
        <v/>
      </c>
      <c r="AL2642" s="12" t="n"/>
      <c r="AM2642" s="14">
        <f>IF($AD2642="保留中",COUNTIF($AD$6:$AD2642,"保留中"),"")</f>
        <v/>
      </c>
      <c r="AN2642" s="14">
        <f>IF($AO2642="","",IF(SUMPRODUCT(MAX((職員マスタ!$A$6:$A$405=$B2642)*(((職員マスタ!$G$6:$G$405="")+(職員マスタ!$G$6:$G$405&lt;=EOMONTH($AO2642,0)))&gt;0)*(((職員マスタ!$H$6:$H$405="")+(職員マスタ!$H$6:$H$405&gt;=$AO2642))&gt;0)*(ROW(職員マスタ!$A$6:$A$405)-5)))&gt;0,SUMPRODUCT(MAX((職員マスタ!$A$6:$A$405=$B2642)*(((職員マスタ!$G$6:$G$405="")+(職員マスタ!$G$6:$G$405&lt;=EOMONTH($AO2642,0)))&gt;0)*(((職員マスタ!$H$6:$H$405="")+(職員マスタ!$H$6:$H$405&gt;=$AO2642))&gt;0)*(ROW(職員マスタ!$A$6:$A$405)-5))),IFERROR(MATCH($B2642,職員マスタ!$A$6:$A$405,0),"")))</f>
        <v/>
      </c>
      <c r="AO2642" s="16">
        <f>IF(OR($B2642="",$C2642="",$D2642=""),"",DATE($C2642+2018,$D2642,1))</f>
        <v/>
      </c>
    </row>
    <row r="2643">
      <c r="A2643" s="11" t="n"/>
      <c r="B2643" s="12" t="n"/>
      <c r="C2643" s="12" t="n"/>
      <c r="D2643" s="12" t="n"/>
      <c r="E2643" s="13" t="n"/>
      <c r="F2643" s="12" t="n"/>
      <c r="G2643" s="13" t="n"/>
      <c r="H2643" s="12" t="n"/>
      <c r="I2643" s="12" t="n"/>
      <c r="J2643" s="12" t="n"/>
      <c r="K2643" s="12" t="n"/>
      <c r="L2643" s="11" t="n"/>
      <c r="M2643" s="11" t="n"/>
      <c r="N2643" s="11" t="n"/>
      <c r="O2643" s="11" t="n"/>
      <c r="P2643" s="12" t="n"/>
      <c r="Q2643" s="11" t="n"/>
      <c r="R2643" s="12" t="n"/>
      <c r="S2643" s="11" t="n"/>
      <c r="T2643" s="12" t="n"/>
      <c r="U2643" s="12" t="n"/>
      <c r="V2643" s="14">
        <f>IF($AN2643="",IF($B2643="","",$H2643),IF(INDEX(職員マスタ!$B$6:$B$405,$AN2643)="",$H2643,INDEX(職員マスタ!$B$6:$B$405,$AN2643)))</f>
        <v/>
      </c>
      <c r="W2643" s="14">
        <f>IF($AN2643="",IF($B2643="","",$R2643),IF(INDEX(職員マスタ!$C$6:$C$405,$AN2643)="",$R2643,INDEX(職員マスタ!$C$6:$C$405,$AN2643)))</f>
        <v/>
      </c>
      <c r="X2643" s="14">
        <f>IF($AO2643="","","R"&amp;$C2643&amp;"."&amp;$D2643)</f>
        <v/>
      </c>
      <c r="Y2643" s="15">
        <f>IF($AN2643="","",IF(INDEX(職員マスタ!$K$6:$K$405,$AN2643)="","",INDEX(職員マスタ!$K$6:$K$405,$AN2643)))</f>
        <v/>
      </c>
      <c r="Z2643" s="14">
        <f>IF(OR($E2643="",$Y2643=""),"",IF($E2643&gt;=$Y2643,"×",IF($E2643&gt;=$Y2643*設定!$C$5,"△","○")))</f>
        <v/>
      </c>
      <c r="AA2643" s="15">
        <f>IF($Z2643="","",IF($Z2643="×",0,IF($Z2643="○",ROUNDDOWN($E2643*設定!$C$4,0),ROUNDDOWN($E2643*ROUND((9*$Y2643-9*$E2643)/(10*$E2643),4),0))))</f>
        <v/>
      </c>
      <c r="AB2643" s="13" t="n"/>
      <c r="AC2643" s="15">
        <f>IF($B2643="","",IF($AB2643&lt;&gt;"",$AB2643,IF($AA2643="","",IF($AA2643&lt;=設定!$C$3,0,$AA2643))))</f>
        <v/>
      </c>
      <c r="AD2643" s="14">
        <f>IF($B2643="","",IF(AND($AE2643&lt;&gt;"",$AG2643="",$AJ2643=""),"保留中",IF($AJ2643&lt;&gt;"",IF(N($AC2643)&gt;0,"支給済","不支給"),IF($AC2643="","要確認",IF($AC2643=0,"不支給","未処理")))))</f>
        <v/>
      </c>
      <c r="AE2643" s="12" t="n"/>
      <c r="AF2643" s="11" t="n"/>
      <c r="AG2643" s="11" t="n"/>
      <c r="AH2643" s="11" t="n"/>
      <c r="AI2643" s="14">
        <f>IF(AND($AD2643="保留中",$AF2643&lt;&gt;""),TODAY()-$AF2643,"")</f>
        <v/>
      </c>
      <c r="AJ2643" s="12" t="n"/>
      <c r="AK2643" s="14">
        <f>IF($B2643="","",IF($AO2643="","対象年月が未入力／","")&amp;IF($B2643="","",IF($AN2643="","職員マスタに未登録の職員番号／",IF($Y2643="","標準報酬月額が未登録／","")&amp;IF(AND($AO2643&lt;&gt;"",OR(AND(INDEX(職員マスタ!$G$6:$G$405,$AN2643)&lt;&gt;"",INDEX(職員マスタ!$G$6:$G$405,$AN2643)&gt;EOMONTH($AO2643,0)),AND(INDEX(職員マスタ!$H$6:$H$405,$AN2643)&lt;&gt;"",INDEX(職員マスタ!$H$6:$H$405,$AN2643)&lt;$AO2643))),"対象月が時短期間外／","")&amp;IF(AND(INDEX(職員マスタ!$F$6:$F$405,$AN2643)&lt;&gt;"",$AO2643&lt;&gt;"",INDEX(職員マスタ!$F$6:$F$405,$AN2643)&lt;$AO2643),"対象月に子が2歳到達済／","")&amp;IF(AND($H2643&lt;&gt;"",INDEX(職員マスタ!$B$6:$B$405,$AN2643)&lt;&gt;"",SUBSTITUTE(SUBSTITUTE($H2643," ","")," ","")&lt;&gt;SUBSTITUTE(SUBSTITUTE(INDEX(職員マスタ!$B$6:$B$405,$AN2643)," ","")," ","")),"氏名がマスタと相違／","")&amp;IF(AND($Q2643&lt;&gt;"",INDEX(職員マスタ!$E$6:$E$405,$AN2643)&lt;&gt;"",$Q2643&lt;&gt;INDEX(職員マスタ!$E$6:$E$405,$AN2643)),"子の生年月日がマスタと相違／","")&amp;IF(AND($L2643&lt;&gt;"",INDEX(職員マスタ!$G$6:$G$405,$AN2643)&lt;&gt;"",$L2643&lt;&gt;INDEX(職員マスタ!$G$6:$G$405,$AN2643)),"時短開始日がマスタと相違／","")&amp;IF(AND($M2643&lt;&gt;"",INDEX(職員マスタ!$H$6:$H$405,$AN2643)&lt;&gt;"",$M2643&lt;&gt;INDEX(職員マスタ!$H$6:$H$405,$AN2643)),"時短終了日がマスタと相違／","")))&amp;IF(AND($B2643&lt;&gt;"",$E2643=""),"報酬額が未入力／","")&amp;IF(N($U2643)&gt;0,"申請書に入力エラーが残っています／","")&amp;IF(AND($B2643&lt;&gt;"",$AO2643&lt;&gt;""),IF(COUNTIFS($B$6:$B$3005,$B2643,$C$6:$C$3005,$C2643,$D$6:$D$3005,$D2643)&gt;1,"同じ月の請求が重複しています／",""),"")&amp;IF(AND(N($E2643)&gt;0,$Z2643&lt;&gt;"",$Z2643&lt;&gt;"×",$AC2643=0,$AB2643=""),"計算額が下限以下のため不支給／",""))</f>
        <v/>
      </c>
      <c r="AL2643" s="12" t="n"/>
      <c r="AM2643" s="14">
        <f>IF($AD2643="保留中",COUNTIF($AD$6:$AD2643,"保留中"),"")</f>
        <v/>
      </c>
      <c r="AN2643" s="14">
        <f>IF($AO2643="","",IF(SUMPRODUCT(MAX((職員マスタ!$A$6:$A$405=$B2643)*(((職員マスタ!$G$6:$G$405="")+(職員マスタ!$G$6:$G$405&lt;=EOMONTH($AO2643,0)))&gt;0)*(((職員マスタ!$H$6:$H$405="")+(職員マスタ!$H$6:$H$405&gt;=$AO2643))&gt;0)*(ROW(職員マスタ!$A$6:$A$405)-5)))&gt;0,SUMPRODUCT(MAX((職員マスタ!$A$6:$A$405=$B2643)*(((職員マスタ!$G$6:$G$405="")+(職員マスタ!$G$6:$G$405&lt;=EOMONTH($AO2643,0)))&gt;0)*(((職員マスタ!$H$6:$H$405="")+(職員マスタ!$H$6:$H$405&gt;=$AO2643))&gt;0)*(ROW(職員マスタ!$A$6:$A$405)-5))),IFERROR(MATCH($B2643,職員マスタ!$A$6:$A$405,0),"")))</f>
        <v/>
      </c>
      <c r="AO2643" s="16">
        <f>IF(OR($B2643="",$C2643="",$D2643=""),"",DATE($C2643+2018,$D2643,1))</f>
        <v/>
      </c>
    </row>
    <row r="2644">
      <c r="A2644" s="11" t="n"/>
      <c r="B2644" s="12" t="n"/>
      <c r="C2644" s="12" t="n"/>
      <c r="D2644" s="12" t="n"/>
      <c r="E2644" s="13" t="n"/>
      <c r="F2644" s="12" t="n"/>
      <c r="G2644" s="13" t="n"/>
      <c r="H2644" s="12" t="n"/>
      <c r="I2644" s="12" t="n"/>
      <c r="J2644" s="12" t="n"/>
      <c r="K2644" s="12" t="n"/>
      <c r="L2644" s="11" t="n"/>
      <c r="M2644" s="11" t="n"/>
      <c r="N2644" s="11" t="n"/>
      <c r="O2644" s="11" t="n"/>
      <c r="P2644" s="12" t="n"/>
      <c r="Q2644" s="11" t="n"/>
      <c r="R2644" s="12" t="n"/>
      <c r="S2644" s="11" t="n"/>
      <c r="T2644" s="12" t="n"/>
      <c r="U2644" s="12" t="n"/>
      <c r="V2644" s="14">
        <f>IF($AN2644="",IF($B2644="","",$H2644),IF(INDEX(職員マスタ!$B$6:$B$405,$AN2644)="",$H2644,INDEX(職員マスタ!$B$6:$B$405,$AN2644)))</f>
        <v/>
      </c>
      <c r="W2644" s="14">
        <f>IF($AN2644="",IF($B2644="","",$R2644),IF(INDEX(職員マスタ!$C$6:$C$405,$AN2644)="",$R2644,INDEX(職員マスタ!$C$6:$C$405,$AN2644)))</f>
        <v/>
      </c>
      <c r="X2644" s="14">
        <f>IF($AO2644="","","R"&amp;$C2644&amp;"."&amp;$D2644)</f>
        <v/>
      </c>
      <c r="Y2644" s="15">
        <f>IF($AN2644="","",IF(INDEX(職員マスタ!$K$6:$K$405,$AN2644)="","",INDEX(職員マスタ!$K$6:$K$405,$AN2644)))</f>
        <v/>
      </c>
      <c r="Z2644" s="14">
        <f>IF(OR($E2644="",$Y2644=""),"",IF($E2644&gt;=$Y2644,"×",IF($E2644&gt;=$Y2644*設定!$C$5,"△","○")))</f>
        <v/>
      </c>
      <c r="AA2644" s="15">
        <f>IF($Z2644="","",IF($Z2644="×",0,IF($Z2644="○",ROUNDDOWN($E2644*設定!$C$4,0),ROUNDDOWN($E2644*ROUND((9*$Y2644-9*$E2644)/(10*$E2644),4),0))))</f>
        <v/>
      </c>
      <c r="AB2644" s="13" t="n"/>
      <c r="AC2644" s="15">
        <f>IF($B2644="","",IF($AB2644&lt;&gt;"",$AB2644,IF($AA2644="","",IF($AA2644&lt;=設定!$C$3,0,$AA2644))))</f>
        <v/>
      </c>
      <c r="AD2644" s="14">
        <f>IF($B2644="","",IF(AND($AE2644&lt;&gt;"",$AG2644="",$AJ2644=""),"保留中",IF($AJ2644&lt;&gt;"",IF(N($AC2644)&gt;0,"支給済","不支給"),IF($AC2644="","要確認",IF($AC2644=0,"不支給","未処理")))))</f>
        <v/>
      </c>
      <c r="AE2644" s="12" t="n"/>
      <c r="AF2644" s="11" t="n"/>
      <c r="AG2644" s="11" t="n"/>
      <c r="AH2644" s="11" t="n"/>
      <c r="AI2644" s="14">
        <f>IF(AND($AD2644="保留中",$AF2644&lt;&gt;""),TODAY()-$AF2644,"")</f>
        <v/>
      </c>
      <c r="AJ2644" s="12" t="n"/>
      <c r="AK2644" s="14">
        <f>IF($B2644="","",IF($AO2644="","対象年月が未入力／","")&amp;IF($B2644="","",IF($AN2644="","職員マスタに未登録の職員番号／",IF($Y2644="","標準報酬月額が未登録／","")&amp;IF(AND($AO2644&lt;&gt;"",OR(AND(INDEX(職員マスタ!$G$6:$G$405,$AN2644)&lt;&gt;"",INDEX(職員マスタ!$G$6:$G$405,$AN2644)&gt;EOMONTH($AO2644,0)),AND(INDEX(職員マスタ!$H$6:$H$405,$AN2644)&lt;&gt;"",INDEX(職員マスタ!$H$6:$H$405,$AN2644)&lt;$AO2644))),"対象月が時短期間外／","")&amp;IF(AND(INDEX(職員マスタ!$F$6:$F$405,$AN2644)&lt;&gt;"",$AO2644&lt;&gt;"",INDEX(職員マスタ!$F$6:$F$405,$AN2644)&lt;$AO2644),"対象月に子が2歳到達済／","")&amp;IF(AND($H2644&lt;&gt;"",INDEX(職員マスタ!$B$6:$B$405,$AN2644)&lt;&gt;"",SUBSTITUTE(SUBSTITUTE($H2644," ","")," ","")&lt;&gt;SUBSTITUTE(SUBSTITUTE(INDEX(職員マスタ!$B$6:$B$405,$AN2644)," ","")," ","")),"氏名がマスタと相違／","")&amp;IF(AND($Q2644&lt;&gt;"",INDEX(職員マスタ!$E$6:$E$405,$AN2644)&lt;&gt;"",$Q2644&lt;&gt;INDEX(職員マスタ!$E$6:$E$405,$AN2644)),"子の生年月日がマスタと相違／","")&amp;IF(AND($L2644&lt;&gt;"",INDEX(職員マスタ!$G$6:$G$405,$AN2644)&lt;&gt;"",$L2644&lt;&gt;INDEX(職員マスタ!$G$6:$G$405,$AN2644)),"時短開始日がマスタと相違／","")&amp;IF(AND($M2644&lt;&gt;"",INDEX(職員マスタ!$H$6:$H$405,$AN2644)&lt;&gt;"",$M2644&lt;&gt;INDEX(職員マスタ!$H$6:$H$405,$AN2644)),"時短終了日がマスタと相違／","")))&amp;IF(AND($B2644&lt;&gt;"",$E2644=""),"報酬額が未入力／","")&amp;IF(N($U2644)&gt;0,"申請書に入力エラーが残っています／","")&amp;IF(AND($B2644&lt;&gt;"",$AO2644&lt;&gt;""),IF(COUNTIFS($B$6:$B$3005,$B2644,$C$6:$C$3005,$C2644,$D$6:$D$3005,$D2644)&gt;1,"同じ月の請求が重複しています／",""),"")&amp;IF(AND(N($E2644)&gt;0,$Z2644&lt;&gt;"",$Z2644&lt;&gt;"×",$AC2644=0,$AB2644=""),"計算額が下限以下のため不支給／",""))</f>
        <v/>
      </c>
      <c r="AL2644" s="12" t="n"/>
      <c r="AM2644" s="14">
        <f>IF($AD2644="保留中",COUNTIF($AD$6:$AD2644,"保留中"),"")</f>
        <v/>
      </c>
      <c r="AN2644" s="14">
        <f>IF($AO2644="","",IF(SUMPRODUCT(MAX((職員マスタ!$A$6:$A$405=$B2644)*(((職員マスタ!$G$6:$G$405="")+(職員マスタ!$G$6:$G$405&lt;=EOMONTH($AO2644,0)))&gt;0)*(((職員マスタ!$H$6:$H$405="")+(職員マスタ!$H$6:$H$405&gt;=$AO2644))&gt;0)*(ROW(職員マスタ!$A$6:$A$405)-5)))&gt;0,SUMPRODUCT(MAX((職員マスタ!$A$6:$A$405=$B2644)*(((職員マスタ!$G$6:$G$405="")+(職員マスタ!$G$6:$G$405&lt;=EOMONTH($AO2644,0)))&gt;0)*(((職員マスタ!$H$6:$H$405="")+(職員マスタ!$H$6:$H$405&gt;=$AO2644))&gt;0)*(ROW(職員マスタ!$A$6:$A$405)-5))),IFERROR(MATCH($B2644,職員マスタ!$A$6:$A$405,0),"")))</f>
        <v/>
      </c>
      <c r="AO2644" s="16">
        <f>IF(OR($B2644="",$C2644="",$D2644=""),"",DATE($C2644+2018,$D2644,1))</f>
        <v/>
      </c>
    </row>
    <row r="2645">
      <c r="A2645" s="11" t="n"/>
      <c r="B2645" s="12" t="n"/>
      <c r="C2645" s="12" t="n"/>
      <c r="D2645" s="12" t="n"/>
      <c r="E2645" s="13" t="n"/>
      <c r="F2645" s="12" t="n"/>
      <c r="G2645" s="13" t="n"/>
      <c r="H2645" s="12" t="n"/>
      <c r="I2645" s="12" t="n"/>
      <c r="J2645" s="12" t="n"/>
      <c r="K2645" s="12" t="n"/>
      <c r="L2645" s="11" t="n"/>
      <c r="M2645" s="11" t="n"/>
      <c r="N2645" s="11" t="n"/>
      <c r="O2645" s="11" t="n"/>
      <c r="P2645" s="12" t="n"/>
      <c r="Q2645" s="11" t="n"/>
      <c r="R2645" s="12" t="n"/>
      <c r="S2645" s="11" t="n"/>
      <c r="T2645" s="12" t="n"/>
      <c r="U2645" s="12" t="n"/>
      <c r="V2645" s="14">
        <f>IF($AN2645="",IF($B2645="","",$H2645),IF(INDEX(職員マスタ!$B$6:$B$405,$AN2645)="",$H2645,INDEX(職員マスタ!$B$6:$B$405,$AN2645)))</f>
        <v/>
      </c>
      <c r="W2645" s="14">
        <f>IF($AN2645="",IF($B2645="","",$R2645),IF(INDEX(職員マスタ!$C$6:$C$405,$AN2645)="",$R2645,INDEX(職員マスタ!$C$6:$C$405,$AN2645)))</f>
        <v/>
      </c>
      <c r="X2645" s="14">
        <f>IF($AO2645="","","R"&amp;$C2645&amp;"."&amp;$D2645)</f>
        <v/>
      </c>
      <c r="Y2645" s="15">
        <f>IF($AN2645="","",IF(INDEX(職員マスタ!$K$6:$K$405,$AN2645)="","",INDEX(職員マスタ!$K$6:$K$405,$AN2645)))</f>
        <v/>
      </c>
      <c r="Z2645" s="14">
        <f>IF(OR($E2645="",$Y2645=""),"",IF($E2645&gt;=$Y2645,"×",IF($E2645&gt;=$Y2645*設定!$C$5,"△","○")))</f>
        <v/>
      </c>
      <c r="AA2645" s="15">
        <f>IF($Z2645="","",IF($Z2645="×",0,IF($Z2645="○",ROUNDDOWN($E2645*設定!$C$4,0),ROUNDDOWN($E2645*ROUND((9*$Y2645-9*$E2645)/(10*$E2645),4),0))))</f>
        <v/>
      </c>
      <c r="AB2645" s="13" t="n"/>
      <c r="AC2645" s="15">
        <f>IF($B2645="","",IF($AB2645&lt;&gt;"",$AB2645,IF($AA2645="","",IF($AA2645&lt;=設定!$C$3,0,$AA2645))))</f>
        <v/>
      </c>
      <c r="AD2645" s="14">
        <f>IF($B2645="","",IF(AND($AE2645&lt;&gt;"",$AG2645="",$AJ2645=""),"保留中",IF($AJ2645&lt;&gt;"",IF(N($AC2645)&gt;0,"支給済","不支給"),IF($AC2645="","要確認",IF($AC2645=0,"不支給","未処理")))))</f>
        <v/>
      </c>
      <c r="AE2645" s="12" t="n"/>
      <c r="AF2645" s="11" t="n"/>
      <c r="AG2645" s="11" t="n"/>
      <c r="AH2645" s="11" t="n"/>
      <c r="AI2645" s="14">
        <f>IF(AND($AD2645="保留中",$AF2645&lt;&gt;""),TODAY()-$AF2645,"")</f>
        <v/>
      </c>
      <c r="AJ2645" s="12" t="n"/>
      <c r="AK2645" s="14">
        <f>IF($B2645="","",IF($AO2645="","対象年月が未入力／","")&amp;IF($B2645="","",IF($AN2645="","職員マスタに未登録の職員番号／",IF($Y2645="","標準報酬月額が未登録／","")&amp;IF(AND($AO2645&lt;&gt;"",OR(AND(INDEX(職員マスタ!$G$6:$G$405,$AN2645)&lt;&gt;"",INDEX(職員マスタ!$G$6:$G$405,$AN2645)&gt;EOMONTH($AO2645,0)),AND(INDEX(職員マスタ!$H$6:$H$405,$AN2645)&lt;&gt;"",INDEX(職員マスタ!$H$6:$H$405,$AN2645)&lt;$AO2645))),"対象月が時短期間外／","")&amp;IF(AND(INDEX(職員マスタ!$F$6:$F$405,$AN2645)&lt;&gt;"",$AO2645&lt;&gt;"",INDEX(職員マスタ!$F$6:$F$405,$AN2645)&lt;$AO2645),"対象月に子が2歳到達済／","")&amp;IF(AND($H2645&lt;&gt;"",INDEX(職員マスタ!$B$6:$B$405,$AN2645)&lt;&gt;"",SUBSTITUTE(SUBSTITUTE($H2645," ","")," ","")&lt;&gt;SUBSTITUTE(SUBSTITUTE(INDEX(職員マスタ!$B$6:$B$405,$AN2645)," ","")," ","")),"氏名がマスタと相違／","")&amp;IF(AND($Q2645&lt;&gt;"",INDEX(職員マスタ!$E$6:$E$405,$AN2645)&lt;&gt;"",$Q2645&lt;&gt;INDEX(職員マスタ!$E$6:$E$405,$AN2645)),"子の生年月日がマスタと相違／","")&amp;IF(AND($L2645&lt;&gt;"",INDEX(職員マスタ!$G$6:$G$405,$AN2645)&lt;&gt;"",$L2645&lt;&gt;INDEX(職員マスタ!$G$6:$G$405,$AN2645)),"時短開始日がマスタと相違／","")&amp;IF(AND($M2645&lt;&gt;"",INDEX(職員マスタ!$H$6:$H$405,$AN2645)&lt;&gt;"",$M2645&lt;&gt;INDEX(職員マスタ!$H$6:$H$405,$AN2645)),"時短終了日がマスタと相違／","")))&amp;IF(AND($B2645&lt;&gt;"",$E2645=""),"報酬額が未入力／","")&amp;IF(N($U2645)&gt;0,"申請書に入力エラーが残っています／","")&amp;IF(AND($B2645&lt;&gt;"",$AO2645&lt;&gt;""),IF(COUNTIFS($B$6:$B$3005,$B2645,$C$6:$C$3005,$C2645,$D$6:$D$3005,$D2645)&gt;1,"同じ月の請求が重複しています／",""),"")&amp;IF(AND(N($E2645)&gt;0,$Z2645&lt;&gt;"",$Z2645&lt;&gt;"×",$AC2645=0,$AB2645=""),"計算額が下限以下のため不支給／",""))</f>
        <v/>
      </c>
      <c r="AL2645" s="12" t="n"/>
      <c r="AM2645" s="14">
        <f>IF($AD2645="保留中",COUNTIF($AD$6:$AD2645,"保留中"),"")</f>
        <v/>
      </c>
      <c r="AN2645" s="14">
        <f>IF($AO2645="","",IF(SUMPRODUCT(MAX((職員マスタ!$A$6:$A$405=$B2645)*(((職員マスタ!$G$6:$G$405="")+(職員マスタ!$G$6:$G$405&lt;=EOMONTH($AO2645,0)))&gt;0)*(((職員マスタ!$H$6:$H$405="")+(職員マスタ!$H$6:$H$405&gt;=$AO2645))&gt;0)*(ROW(職員マスタ!$A$6:$A$405)-5)))&gt;0,SUMPRODUCT(MAX((職員マスタ!$A$6:$A$405=$B2645)*(((職員マスタ!$G$6:$G$405="")+(職員マスタ!$G$6:$G$405&lt;=EOMONTH($AO2645,0)))&gt;0)*(((職員マスタ!$H$6:$H$405="")+(職員マスタ!$H$6:$H$405&gt;=$AO2645))&gt;0)*(ROW(職員マスタ!$A$6:$A$405)-5))),IFERROR(MATCH($B2645,職員マスタ!$A$6:$A$405,0),"")))</f>
        <v/>
      </c>
      <c r="AO2645" s="16">
        <f>IF(OR($B2645="",$C2645="",$D2645=""),"",DATE($C2645+2018,$D2645,1))</f>
        <v/>
      </c>
    </row>
    <row r="2646">
      <c r="A2646" s="11" t="n"/>
      <c r="B2646" s="12" t="n"/>
      <c r="C2646" s="12" t="n"/>
      <c r="D2646" s="12" t="n"/>
      <c r="E2646" s="13" t="n"/>
      <c r="F2646" s="12" t="n"/>
      <c r="G2646" s="13" t="n"/>
      <c r="H2646" s="12" t="n"/>
      <c r="I2646" s="12" t="n"/>
      <c r="J2646" s="12" t="n"/>
      <c r="K2646" s="12" t="n"/>
      <c r="L2646" s="11" t="n"/>
      <c r="M2646" s="11" t="n"/>
      <c r="N2646" s="11" t="n"/>
      <c r="O2646" s="11" t="n"/>
      <c r="P2646" s="12" t="n"/>
      <c r="Q2646" s="11" t="n"/>
      <c r="R2646" s="12" t="n"/>
      <c r="S2646" s="11" t="n"/>
      <c r="T2646" s="12" t="n"/>
      <c r="U2646" s="12" t="n"/>
      <c r="V2646" s="14">
        <f>IF($AN2646="",IF($B2646="","",$H2646),IF(INDEX(職員マスタ!$B$6:$B$405,$AN2646)="",$H2646,INDEX(職員マスタ!$B$6:$B$405,$AN2646)))</f>
        <v/>
      </c>
      <c r="W2646" s="14">
        <f>IF($AN2646="",IF($B2646="","",$R2646),IF(INDEX(職員マスタ!$C$6:$C$405,$AN2646)="",$R2646,INDEX(職員マスタ!$C$6:$C$405,$AN2646)))</f>
        <v/>
      </c>
      <c r="X2646" s="14">
        <f>IF($AO2646="","","R"&amp;$C2646&amp;"."&amp;$D2646)</f>
        <v/>
      </c>
      <c r="Y2646" s="15">
        <f>IF($AN2646="","",IF(INDEX(職員マスタ!$K$6:$K$405,$AN2646)="","",INDEX(職員マスタ!$K$6:$K$405,$AN2646)))</f>
        <v/>
      </c>
      <c r="Z2646" s="14">
        <f>IF(OR($E2646="",$Y2646=""),"",IF($E2646&gt;=$Y2646,"×",IF($E2646&gt;=$Y2646*設定!$C$5,"△","○")))</f>
        <v/>
      </c>
      <c r="AA2646" s="15">
        <f>IF($Z2646="","",IF($Z2646="×",0,IF($Z2646="○",ROUNDDOWN($E2646*設定!$C$4,0),ROUNDDOWN($E2646*ROUND((9*$Y2646-9*$E2646)/(10*$E2646),4),0))))</f>
        <v/>
      </c>
      <c r="AB2646" s="13" t="n"/>
      <c r="AC2646" s="15">
        <f>IF($B2646="","",IF($AB2646&lt;&gt;"",$AB2646,IF($AA2646="","",IF($AA2646&lt;=設定!$C$3,0,$AA2646))))</f>
        <v/>
      </c>
      <c r="AD2646" s="14">
        <f>IF($B2646="","",IF(AND($AE2646&lt;&gt;"",$AG2646="",$AJ2646=""),"保留中",IF($AJ2646&lt;&gt;"",IF(N($AC2646)&gt;0,"支給済","不支給"),IF($AC2646="","要確認",IF($AC2646=0,"不支給","未処理")))))</f>
        <v/>
      </c>
      <c r="AE2646" s="12" t="n"/>
      <c r="AF2646" s="11" t="n"/>
      <c r="AG2646" s="11" t="n"/>
      <c r="AH2646" s="11" t="n"/>
      <c r="AI2646" s="14">
        <f>IF(AND($AD2646="保留中",$AF2646&lt;&gt;""),TODAY()-$AF2646,"")</f>
        <v/>
      </c>
      <c r="AJ2646" s="12" t="n"/>
      <c r="AK2646" s="14">
        <f>IF($B2646="","",IF($AO2646="","対象年月が未入力／","")&amp;IF($B2646="","",IF($AN2646="","職員マスタに未登録の職員番号／",IF($Y2646="","標準報酬月額が未登録／","")&amp;IF(AND($AO2646&lt;&gt;"",OR(AND(INDEX(職員マスタ!$G$6:$G$405,$AN2646)&lt;&gt;"",INDEX(職員マスタ!$G$6:$G$405,$AN2646)&gt;EOMONTH($AO2646,0)),AND(INDEX(職員マスタ!$H$6:$H$405,$AN2646)&lt;&gt;"",INDEX(職員マスタ!$H$6:$H$405,$AN2646)&lt;$AO2646))),"対象月が時短期間外／","")&amp;IF(AND(INDEX(職員マスタ!$F$6:$F$405,$AN2646)&lt;&gt;"",$AO2646&lt;&gt;"",INDEX(職員マスタ!$F$6:$F$405,$AN2646)&lt;$AO2646),"対象月に子が2歳到達済／","")&amp;IF(AND($H2646&lt;&gt;"",INDEX(職員マスタ!$B$6:$B$405,$AN2646)&lt;&gt;"",SUBSTITUTE(SUBSTITUTE($H2646," ","")," ","")&lt;&gt;SUBSTITUTE(SUBSTITUTE(INDEX(職員マスタ!$B$6:$B$405,$AN2646)," ","")," ","")),"氏名がマスタと相違／","")&amp;IF(AND($Q2646&lt;&gt;"",INDEX(職員マスタ!$E$6:$E$405,$AN2646)&lt;&gt;"",$Q2646&lt;&gt;INDEX(職員マスタ!$E$6:$E$405,$AN2646)),"子の生年月日がマスタと相違／","")&amp;IF(AND($L2646&lt;&gt;"",INDEX(職員マスタ!$G$6:$G$405,$AN2646)&lt;&gt;"",$L2646&lt;&gt;INDEX(職員マスタ!$G$6:$G$405,$AN2646)),"時短開始日がマスタと相違／","")&amp;IF(AND($M2646&lt;&gt;"",INDEX(職員マスタ!$H$6:$H$405,$AN2646)&lt;&gt;"",$M2646&lt;&gt;INDEX(職員マスタ!$H$6:$H$405,$AN2646)),"時短終了日がマスタと相違／","")))&amp;IF(AND($B2646&lt;&gt;"",$E2646=""),"報酬額が未入力／","")&amp;IF(N($U2646)&gt;0,"申請書に入力エラーが残っています／","")&amp;IF(AND($B2646&lt;&gt;"",$AO2646&lt;&gt;""),IF(COUNTIFS($B$6:$B$3005,$B2646,$C$6:$C$3005,$C2646,$D$6:$D$3005,$D2646)&gt;1,"同じ月の請求が重複しています／",""),"")&amp;IF(AND(N($E2646)&gt;0,$Z2646&lt;&gt;"",$Z2646&lt;&gt;"×",$AC2646=0,$AB2646=""),"計算額が下限以下のため不支給／",""))</f>
        <v/>
      </c>
      <c r="AL2646" s="12" t="n"/>
      <c r="AM2646" s="14">
        <f>IF($AD2646="保留中",COUNTIF($AD$6:$AD2646,"保留中"),"")</f>
        <v/>
      </c>
      <c r="AN2646" s="14">
        <f>IF($AO2646="","",IF(SUMPRODUCT(MAX((職員マスタ!$A$6:$A$405=$B2646)*(((職員マスタ!$G$6:$G$405="")+(職員マスタ!$G$6:$G$405&lt;=EOMONTH($AO2646,0)))&gt;0)*(((職員マスタ!$H$6:$H$405="")+(職員マスタ!$H$6:$H$405&gt;=$AO2646))&gt;0)*(ROW(職員マスタ!$A$6:$A$405)-5)))&gt;0,SUMPRODUCT(MAX((職員マスタ!$A$6:$A$405=$B2646)*(((職員マスタ!$G$6:$G$405="")+(職員マスタ!$G$6:$G$405&lt;=EOMONTH($AO2646,0)))&gt;0)*(((職員マスタ!$H$6:$H$405="")+(職員マスタ!$H$6:$H$405&gt;=$AO2646))&gt;0)*(ROW(職員マスタ!$A$6:$A$405)-5))),IFERROR(MATCH($B2646,職員マスタ!$A$6:$A$405,0),"")))</f>
        <v/>
      </c>
      <c r="AO2646" s="16">
        <f>IF(OR($B2646="",$C2646="",$D2646=""),"",DATE($C2646+2018,$D2646,1))</f>
        <v/>
      </c>
    </row>
    <row r="2647">
      <c r="A2647" s="11" t="n"/>
      <c r="B2647" s="12" t="n"/>
      <c r="C2647" s="12" t="n"/>
      <c r="D2647" s="12" t="n"/>
      <c r="E2647" s="13" t="n"/>
      <c r="F2647" s="12" t="n"/>
      <c r="G2647" s="13" t="n"/>
      <c r="H2647" s="12" t="n"/>
      <c r="I2647" s="12" t="n"/>
      <c r="J2647" s="12" t="n"/>
      <c r="K2647" s="12" t="n"/>
      <c r="L2647" s="11" t="n"/>
      <c r="M2647" s="11" t="n"/>
      <c r="N2647" s="11" t="n"/>
      <c r="O2647" s="11" t="n"/>
      <c r="P2647" s="12" t="n"/>
      <c r="Q2647" s="11" t="n"/>
      <c r="R2647" s="12" t="n"/>
      <c r="S2647" s="11" t="n"/>
      <c r="T2647" s="12" t="n"/>
      <c r="U2647" s="12" t="n"/>
      <c r="V2647" s="14">
        <f>IF($AN2647="",IF($B2647="","",$H2647),IF(INDEX(職員マスタ!$B$6:$B$405,$AN2647)="",$H2647,INDEX(職員マスタ!$B$6:$B$405,$AN2647)))</f>
        <v/>
      </c>
      <c r="W2647" s="14">
        <f>IF($AN2647="",IF($B2647="","",$R2647),IF(INDEX(職員マスタ!$C$6:$C$405,$AN2647)="",$R2647,INDEX(職員マスタ!$C$6:$C$405,$AN2647)))</f>
        <v/>
      </c>
      <c r="X2647" s="14">
        <f>IF($AO2647="","","R"&amp;$C2647&amp;"."&amp;$D2647)</f>
        <v/>
      </c>
      <c r="Y2647" s="15">
        <f>IF($AN2647="","",IF(INDEX(職員マスタ!$K$6:$K$405,$AN2647)="","",INDEX(職員マスタ!$K$6:$K$405,$AN2647)))</f>
        <v/>
      </c>
      <c r="Z2647" s="14">
        <f>IF(OR($E2647="",$Y2647=""),"",IF($E2647&gt;=$Y2647,"×",IF($E2647&gt;=$Y2647*設定!$C$5,"△","○")))</f>
        <v/>
      </c>
      <c r="AA2647" s="15">
        <f>IF($Z2647="","",IF($Z2647="×",0,IF($Z2647="○",ROUNDDOWN($E2647*設定!$C$4,0),ROUNDDOWN($E2647*ROUND((9*$Y2647-9*$E2647)/(10*$E2647),4),0))))</f>
        <v/>
      </c>
      <c r="AB2647" s="13" t="n"/>
      <c r="AC2647" s="15">
        <f>IF($B2647="","",IF($AB2647&lt;&gt;"",$AB2647,IF($AA2647="","",IF($AA2647&lt;=設定!$C$3,0,$AA2647))))</f>
        <v/>
      </c>
      <c r="AD2647" s="14">
        <f>IF($B2647="","",IF(AND($AE2647&lt;&gt;"",$AG2647="",$AJ2647=""),"保留中",IF($AJ2647&lt;&gt;"",IF(N($AC2647)&gt;0,"支給済","不支給"),IF($AC2647="","要確認",IF($AC2647=0,"不支給","未処理")))))</f>
        <v/>
      </c>
      <c r="AE2647" s="12" t="n"/>
      <c r="AF2647" s="11" t="n"/>
      <c r="AG2647" s="11" t="n"/>
      <c r="AH2647" s="11" t="n"/>
      <c r="AI2647" s="14">
        <f>IF(AND($AD2647="保留中",$AF2647&lt;&gt;""),TODAY()-$AF2647,"")</f>
        <v/>
      </c>
      <c r="AJ2647" s="12" t="n"/>
      <c r="AK2647" s="14">
        <f>IF($B2647="","",IF($AO2647="","対象年月が未入力／","")&amp;IF($B2647="","",IF($AN2647="","職員マスタに未登録の職員番号／",IF($Y2647="","標準報酬月額が未登録／","")&amp;IF(AND($AO2647&lt;&gt;"",OR(AND(INDEX(職員マスタ!$G$6:$G$405,$AN2647)&lt;&gt;"",INDEX(職員マスタ!$G$6:$G$405,$AN2647)&gt;EOMONTH($AO2647,0)),AND(INDEX(職員マスタ!$H$6:$H$405,$AN2647)&lt;&gt;"",INDEX(職員マスタ!$H$6:$H$405,$AN2647)&lt;$AO2647))),"対象月が時短期間外／","")&amp;IF(AND(INDEX(職員マスタ!$F$6:$F$405,$AN2647)&lt;&gt;"",$AO2647&lt;&gt;"",INDEX(職員マスタ!$F$6:$F$405,$AN2647)&lt;$AO2647),"対象月に子が2歳到達済／","")&amp;IF(AND($H2647&lt;&gt;"",INDEX(職員マスタ!$B$6:$B$405,$AN2647)&lt;&gt;"",SUBSTITUTE(SUBSTITUTE($H2647," ","")," ","")&lt;&gt;SUBSTITUTE(SUBSTITUTE(INDEX(職員マスタ!$B$6:$B$405,$AN2647)," ","")," ","")),"氏名がマスタと相違／","")&amp;IF(AND($Q2647&lt;&gt;"",INDEX(職員マスタ!$E$6:$E$405,$AN2647)&lt;&gt;"",$Q2647&lt;&gt;INDEX(職員マスタ!$E$6:$E$405,$AN2647)),"子の生年月日がマスタと相違／","")&amp;IF(AND($L2647&lt;&gt;"",INDEX(職員マスタ!$G$6:$G$405,$AN2647)&lt;&gt;"",$L2647&lt;&gt;INDEX(職員マスタ!$G$6:$G$405,$AN2647)),"時短開始日がマスタと相違／","")&amp;IF(AND($M2647&lt;&gt;"",INDEX(職員マスタ!$H$6:$H$405,$AN2647)&lt;&gt;"",$M2647&lt;&gt;INDEX(職員マスタ!$H$6:$H$405,$AN2647)),"時短終了日がマスタと相違／","")))&amp;IF(AND($B2647&lt;&gt;"",$E2647=""),"報酬額が未入力／","")&amp;IF(N($U2647)&gt;0,"申請書に入力エラーが残っています／","")&amp;IF(AND($B2647&lt;&gt;"",$AO2647&lt;&gt;""),IF(COUNTIFS($B$6:$B$3005,$B2647,$C$6:$C$3005,$C2647,$D$6:$D$3005,$D2647)&gt;1,"同じ月の請求が重複しています／",""),"")&amp;IF(AND(N($E2647)&gt;0,$Z2647&lt;&gt;"",$Z2647&lt;&gt;"×",$AC2647=0,$AB2647=""),"計算額が下限以下のため不支給／",""))</f>
        <v/>
      </c>
      <c r="AL2647" s="12" t="n"/>
      <c r="AM2647" s="14">
        <f>IF($AD2647="保留中",COUNTIF($AD$6:$AD2647,"保留中"),"")</f>
        <v/>
      </c>
      <c r="AN2647" s="14">
        <f>IF($AO2647="","",IF(SUMPRODUCT(MAX((職員マスタ!$A$6:$A$405=$B2647)*(((職員マスタ!$G$6:$G$405="")+(職員マスタ!$G$6:$G$405&lt;=EOMONTH($AO2647,0)))&gt;0)*(((職員マスタ!$H$6:$H$405="")+(職員マスタ!$H$6:$H$405&gt;=$AO2647))&gt;0)*(ROW(職員マスタ!$A$6:$A$405)-5)))&gt;0,SUMPRODUCT(MAX((職員マスタ!$A$6:$A$405=$B2647)*(((職員マスタ!$G$6:$G$405="")+(職員マスタ!$G$6:$G$405&lt;=EOMONTH($AO2647,0)))&gt;0)*(((職員マスタ!$H$6:$H$405="")+(職員マスタ!$H$6:$H$405&gt;=$AO2647))&gt;0)*(ROW(職員マスタ!$A$6:$A$405)-5))),IFERROR(MATCH($B2647,職員マスタ!$A$6:$A$405,0),"")))</f>
        <v/>
      </c>
      <c r="AO2647" s="16">
        <f>IF(OR($B2647="",$C2647="",$D2647=""),"",DATE($C2647+2018,$D2647,1))</f>
        <v/>
      </c>
    </row>
    <row r="2648">
      <c r="A2648" s="11" t="n"/>
      <c r="B2648" s="12" t="n"/>
      <c r="C2648" s="12" t="n"/>
      <c r="D2648" s="12" t="n"/>
      <c r="E2648" s="13" t="n"/>
      <c r="F2648" s="12" t="n"/>
      <c r="G2648" s="13" t="n"/>
      <c r="H2648" s="12" t="n"/>
      <c r="I2648" s="12" t="n"/>
      <c r="J2648" s="12" t="n"/>
      <c r="K2648" s="12" t="n"/>
      <c r="L2648" s="11" t="n"/>
      <c r="M2648" s="11" t="n"/>
      <c r="N2648" s="11" t="n"/>
      <c r="O2648" s="11" t="n"/>
      <c r="P2648" s="12" t="n"/>
      <c r="Q2648" s="11" t="n"/>
      <c r="R2648" s="12" t="n"/>
      <c r="S2648" s="11" t="n"/>
      <c r="T2648" s="12" t="n"/>
      <c r="U2648" s="12" t="n"/>
      <c r="V2648" s="14">
        <f>IF($AN2648="",IF($B2648="","",$H2648),IF(INDEX(職員マスタ!$B$6:$B$405,$AN2648)="",$H2648,INDEX(職員マスタ!$B$6:$B$405,$AN2648)))</f>
        <v/>
      </c>
      <c r="W2648" s="14">
        <f>IF($AN2648="",IF($B2648="","",$R2648),IF(INDEX(職員マスタ!$C$6:$C$405,$AN2648)="",$R2648,INDEX(職員マスタ!$C$6:$C$405,$AN2648)))</f>
        <v/>
      </c>
      <c r="X2648" s="14">
        <f>IF($AO2648="","","R"&amp;$C2648&amp;"."&amp;$D2648)</f>
        <v/>
      </c>
      <c r="Y2648" s="15">
        <f>IF($AN2648="","",IF(INDEX(職員マスタ!$K$6:$K$405,$AN2648)="","",INDEX(職員マスタ!$K$6:$K$405,$AN2648)))</f>
        <v/>
      </c>
      <c r="Z2648" s="14">
        <f>IF(OR($E2648="",$Y2648=""),"",IF($E2648&gt;=$Y2648,"×",IF($E2648&gt;=$Y2648*設定!$C$5,"△","○")))</f>
        <v/>
      </c>
      <c r="AA2648" s="15">
        <f>IF($Z2648="","",IF($Z2648="×",0,IF($Z2648="○",ROUNDDOWN($E2648*設定!$C$4,0),ROUNDDOWN($E2648*ROUND((9*$Y2648-9*$E2648)/(10*$E2648),4),0))))</f>
        <v/>
      </c>
      <c r="AB2648" s="13" t="n"/>
      <c r="AC2648" s="15">
        <f>IF($B2648="","",IF($AB2648&lt;&gt;"",$AB2648,IF($AA2648="","",IF($AA2648&lt;=設定!$C$3,0,$AA2648))))</f>
        <v/>
      </c>
      <c r="AD2648" s="14">
        <f>IF($B2648="","",IF(AND($AE2648&lt;&gt;"",$AG2648="",$AJ2648=""),"保留中",IF($AJ2648&lt;&gt;"",IF(N($AC2648)&gt;0,"支給済","不支給"),IF($AC2648="","要確認",IF($AC2648=0,"不支給","未処理")))))</f>
        <v/>
      </c>
      <c r="AE2648" s="12" t="n"/>
      <c r="AF2648" s="11" t="n"/>
      <c r="AG2648" s="11" t="n"/>
      <c r="AH2648" s="11" t="n"/>
      <c r="AI2648" s="14">
        <f>IF(AND($AD2648="保留中",$AF2648&lt;&gt;""),TODAY()-$AF2648,"")</f>
        <v/>
      </c>
      <c r="AJ2648" s="12" t="n"/>
      <c r="AK2648" s="14">
        <f>IF($B2648="","",IF($AO2648="","対象年月が未入力／","")&amp;IF($B2648="","",IF($AN2648="","職員マスタに未登録の職員番号／",IF($Y2648="","標準報酬月額が未登録／","")&amp;IF(AND($AO2648&lt;&gt;"",OR(AND(INDEX(職員マスタ!$G$6:$G$405,$AN2648)&lt;&gt;"",INDEX(職員マスタ!$G$6:$G$405,$AN2648)&gt;EOMONTH($AO2648,0)),AND(INDEX(職員マスタ!$H$6:$H$405,$AN2648)&lt;&gt;"",INDEX(職員マスタ!$H$6:$H$405,$AN2648)&lt;$AO2648))),"対象月が時短期間外／","")&amp;IF(AND(INDEX(職員マスタ!$F$6:$F$405,$AN2648)&lt;&gt;"",$AO2648&lt;&gt;"",INDEX(職員マスタ!$F$6:$F$405,$AN2648)&lt;$AO2648),"対象月に子が2歳到達済／","")&amp;IF(AND($H2648&lt;&gt;"",INDEX(職員マスタ!$B$6:$B$405,$AN2648)&lt;&gt;"",SUBSTITUTE(SUBSTITUTE($H2648," ","")," ","")&lt;&gt;SUBSTITUTE(SUBSTITUTE(INDEX(職員マスタ!$B$6:$B$405,$AN2648)," ","")," ","")),"氏名がマスタと相違／","")&amp;IF(AND($Q2648&lt;&gt;"",INDEX(職員マスタ!$E$6:$E$405,$AN2648)&lt;&gt;"",$Q2648&lt;&gt;INDEX(職員マスタ!$E$6:$E$405,$AN2648)),"子の生年月日がマスタと相違／","")&amp;IF(AND($L2648&lt;&gt;"",INDEX(職員マスタ!$G$6:$G$405,$AN2648)&lt;&gt;"",$L2648&lt;&gt;INDEX(職員マスタ!$G$6:$G$405,$AN2648)),"時短開始日がマスタと相違／","")&amp;IF(AND($M2648&lt;&gt;"",INDEX(職員マスタ!$H$6:$H$405,$AN2648)&lt;&gt;"",$M2648&lt;&gt;INDEX(職員マスタ!$H$6:$H$405,$AN2648)),"時短終了日がマスタと相違／","")))&amp;IF(AND($B2648&lt;&gt;"",$E2648=""),"報酬額が未入力／","")&amp;IF(N($U2648)&gt;0,"申請書に入力エラーが残っています／","")&amp;IF(AND($B2648&lt;&gt;"",$AO2648&lt;&gt;""),IF(COUNTIFS($B$6:$B$3005,$B2648,$C$6:$C$3005,$C2648,$D$6:$D$3005,$D2648)&gt;1,"同じ月の請求が重複しています／",""),"")&amp;IF(AND(N($E2648)&gt;0,$Z2648&lt;&gt;"",$Z2648&lt;&gt;"×",$AC2648=0,$AB2648=""),"計算額が下限以下のため不支給／",""))</f>
        <v/>
      </c>
      <c r="AL2648" s="12" t="n"/>
      <c r="AM2648" s="14">
        <f>IF($AD2648="保留中",COUNTIF($AD$6:$AD2648,"保留中"),"")</f>
        <v/>
      </c>
      <c r="AN2648" s="14">
        <f>IF($AO2648="","",IF(SUMPRODUCT(MAX((職員マスタ!$A$6:$A$405=$B2648)*(((職員マスタ!$G$6:$G$405="")+(職員マスタ!$G$6:$G$405&lt;=EOMONTH($AO2648,0)))&gt;0)*(((職員マスタ!$H$6:$H$405="")+(職員マスタ!$H$6:$H$405&gt;=$AO2648))&gt;0)*(ROW(職員マスタ!$A$6:$A$405)-5)))&gt;0,SUMPRODUCT(MAX((職員マスタ!$A$6:$A$405=$B2648)*(((職員マスタ!$G$6:$G$405="")+(職員マスタ!$G$6:$G$405&lt;=EOMONTH($AO2648,0)))&gt;0)*(((職員マスタ!$H$6:$H$405="")+(職員マスタ!$H$6:$H$405&gt;=$AO2648))&gt;0)*(ROW(職員マスタ!$A$6:$A$405)-5))),IFERROR(MATCH($B2648,職員マスタ!$A$6:$A$405,0),"")))</f>
        <v/>
      </c>
      <c r="AO2648" s="16">
        <f>IF(OR($B2648="",$C2648="",$D2648=""),"",DATE($C2648+2018,$D2648,1))</f>
        <v/>
      </c>
    </row>
    <row r="2649">
      <c r="A2649" s="11" t="n"/>
      <c r="B2649" s="12" t="n"/>
      <c r="C2649" s="12" t="n"/>
      <c r="D2649" s="12" t="n"/>
      <c r="E2649" s="13" t="n"/>
      <c r="F2649" s="12" t="n"/>
      <c r="G2649" s="13" t="n"/>
      <c r="H2649" s="12" t="n"/>
      <c r="I2649" s="12" t="n"/>
      <c r="J2649" s="12" t="n"/>
      <c r="K2649" s="12" t="n"/>
      <c r="L2649" s="11" t="n"/>
      <c r="M2649" s="11" t="n"/>
      <c r="N2649" s="11" t="n"/>
      <c r="O2649" s="11" t="n"/>
      <c r="P2649" s="12" t="n"/>
      <c r="Q2649" s="11" t="n"/>
      <c r="R2649" s="12" t="n"/>
      <c r="S2649" s="11" t="n"/>
      <c r="T2649" s="12" t="n"/>
      <c r="U2649" s="12" t="n"/>
      <c r="V2649" s="14">
        <f>IF($AN2649="",IF($B2649="","",$H2649),IF(INDEX(職員マスタ!$B$6:$B$405,$AN2649)="",$H2649,INDEX(職員マスタ!$B$6:$B$405,$AN2649)))</f>
        <v/>
      </c>
      <c r="W2649" s="14">
        <f>IF($AN2649="",IF($B2649="","",$R2649),IF(INDEX(職員マスタ!$C$6:$C$405,$AN2649)="",$R2649,INDEX(職員マスタ!$C$6:$C$405,$AN2649)))</f>
        <v/>
      </c>
      <c r="X2649" s="14">
        <f>IF($AO2649="","","R"&amp;$C2649&amp;"."&amp;$D2649)</f>
        <v/>
      </c>
      <c r="Y2649" s="15">
        <f>IF($AN2649="","",IF(INDEX(職員マスタ!$K$6:$K$405,$AN2649)="","",INDEX(職員マスタ!$K$6:$K$405,$AN2649)))</f>
        <v/>
      </c>
      <c r="Z2649" s="14">
        <f>IF(OR($E2649="",$Y2649=""),"",IF($E2649&gt;=$Y2649,"×",IF($E2649&gt;=$Y2649*設定!$C$5,"△","○")))</f>
        <v/>
      </c>
      <c r="AA2649" s="15">
        <f>IF($Z2649="","",IF($Z2649="×",0,IF($Z2649="○",ROUNDDOWN($E2649*設定!$C$4,0),ROUNDDOWN($E2649*ROUND((9*$Y2649-9*$E2649)/(10*$E2649),4),0))))</f>
        <v/>
      </c>
      <c r="AB2649" s="13" t="n"/>
      <c r="AC2649" s="15">
        <f>IF($B2649="","",IF($AB2649&lt;&gt;"",$AB2649,IF($AA2649="","",IF($AA2649&lt;=設定!$C$3,0,$AA2649))))</f>
        <v/>
      </c>
      <c r="AD2649" s="14">
        <f>IF($B2649="","",IF(AND($AE2649&lt;&gt;"",$AG2649="",$AJ2649=""),"保留中",IF($AJ2649&lt;&gt;"",IF(N($AC2649)&gt;0,"支給済","不支給"),IF($AC2649="","要確認",IF($AC2649=0,"不支給","未処理")))))</f>
        <v/>
      </c>
      <c r="AE2649" s="12" t="n"/>
      <c r="AF2649" s="11" t="n"/>
      <c r="AG2649" s="11" t="n"/>
      <c r="AH2649" s="11" t="n"/>
      <c r="AI2649" s="14">
        <f>IF(AND($AD2649="保留中",$AF2649&lt;&gt;""),TODAY()-$AF2649,"")</f>
        <v/>
      </c>
      <c r="AJ2649" s="12" t="n"/>
      <c r="AK2649" s="14">
        <f>IF($B2649="","",IF($AO2649="","対象年月が未入力／","")&amp;IF($B2649="","",IF($AN2649="","職員マスタに未登録の職員番号／",IF($Y2649="","標準報酬月額が未登録／","")&amp;IF(AND($AO2649&lt;&gt;"",OR(AND(INDEX(職員マスタ!$G$6:$G$405,$AN2649)&lt;&gt;"",INDEX(職員マスタ!$G$6:$G$405,$AN2649)&gt;EOMONTH($AO2649,0)),AND(INDEX(職員マスタ!$H$6:$H$405,$AN2649)&lt;&gt;"",INDEX(職員マスタ!$H$6:$H$405,$AN2649)&lt;$AO2649))),"対象月が時短期間外／","")&amp;IF(AND(INDEX(職員マスタ!$F$6:$F$405,$AN2649)&lt;&gt;"",$AO2649&lt;&gt;"",INDEX(職員マスタ!$F$6:$F$405,$AN2649)&lt;$AO2649),"対象月に子が2歳到達済／","")&amp;IF(AND($H2649&lt;&gt;"",INDEX(職員マスタ!$B$6:$B$405,$AN2649)&lt;&gt;"",SUBSTITUTE(SUBSTITUTE($H2649," ","")," ","")&lt;&gt;SUBSTITUTE(SUBSTITUTE(INDEX(職員マスタ!$B$6:$B$405,$AN2649)," ","")," ","")),"氏名がマスタと相違／","")&amp;IF(AND($Q2649&lt;&gt;"",INDEX(職員マスタ!$E$6:$E$405,$AN2649)&lt;&gt;"",$Q2649&lt;&gt;INDEX(職員マスタ!$E$6:$E$405,$AN2649)),"子の生年月日がマスタと相違／","")&amp;IF(AND($L2649&lt;&gt;"",INDEX(職員マスタ!$G$6:$G$405,$AN2649)&lt;&gt;"",$L2649&lt;&gt;INDEX(職員マスタ!$G$6:$G$405,$AN2649)),"時短開始日がマスタと相違／","")&amp;IF(AND($M2649&lt;&gt;"",INDEX(職員マスタ!$H$6:$H$405,$AN2649)&lt;&gt;"",$M2649&lt;&gt;INDEX(職員マスタ!$H$6:$H$405,$AN2649)),"時短終了日がマスタと相違／","")))&amp;IF(AND($B2649&lt;&gt;"",$E2649=""),"報酬額が未入力／","")&amp;IF(N($U2649)&gt;0,"申請書に入力エラーが残っています／","")&amp;IF(AND($B2649&lt;&gt;"",$AO2649&lt;&gt;""),IF(COUNTIFS($B$6:$B$3005,$B2649,$C$6:$C$3005,$C2649,$D$6:$D$3005,$D2649)&gt;1,"同じ月の請求が重複しています／",""),"")&amp;IF(AND(N($E2649)&gt;0,$Z2649&lt;&gt;"",$Z2649&lt;&gt;"×",$AC2649=0,$AB2649=""),"計算額が下限以下のため不支給／",""))</f>
        <v/>
      </c>
      <c r="AL2649" s="12" t="n"/>
      <c r="AM2649" s="14">
        <f>IF($AD2649="保留中",COUNTIF($AD$6:$AD2649,"保留中"),"")</f>
        <v/>
      </c>
      <c r="AN2649" s="14">
        <f>IF($AO2649="","",IF(SUMPRODUCT(MAX((職員マスタ!$A$6:$A$405=$B2649)*(((職員マスタ!$G$6:$G$405="")+(職員マスタ!$G$6:$G$405&lt;=EOMONTH($AO2649,0)))&gt;0)*(((職員マスタ!$H$6:$H$405="")+(職員マスタ!$H$6:$H$405&gt;=$AO2649))&gt;0)*(ROW(職員マスタ!$A$6:$A$405)-5)))&gt;0,SUMPRODUCT(MAX((職員マスタ!$A$6:$A$405=$B2649)*(((職員マスタ!$G$6:$G$405="")+(職員マスタ!$G$6:$G$405&lt;=EOMONTH($AO2649,0)))&gt;0)*(((職員マスタ!$H$6:$H$405="")+(職員マスタ!$H$6:$H$405&gt;=$AO2649))&gt;0)*(ROW(職員マスタ!$A$6:$A$405)-5))),IFERROR(MATCH($B2649,職員マスタ!$A$6:$A$405,0),"")))</f>
        <v/>
      </c>
      <c r="AO2649" s="16">
        <f>IF(OR($B2649="",$C2649="",$D2649=""),"",DATE($C2649+2018,$D2649,1))</f>
        <v/>
      </c>
    </row>
    <row r="2650">
      <c r="A2650" s="11" t="n"/>
      <c r="B2650" s="12" t="n"/>
      <c r="C2650" s="12" t="n"/>
      <c r="D2650" s="12" t="n"/>
      <c r="E2650" s="13" t="n"/>
      <c r="F2650" s="12" t="n"/>
      <c r="G2650" s="13" t="n"/>
      <c r="H2650" s="12" t="n"/>
      <c r="I2650" s="12" t="n"/>
      <c r="J2650" s="12" t="n"/>
      <c r="K2650" s="12" t="n"/>
      <c r="L2650" s="11" t="n"/>
      <c r="M2650" s="11" t="n"/>
      <c r="N2650" s="11" t="n"/>
      <c r="O2650" s="11" t="n"/>
      <c r="P2650" s="12" t="n"/>
      <c r="Q2650" s="11" t="n"/>
      <c r="R2650" s="12" t="n"/>
      <c r="S2650" s="11" t="n"/>
      <c r="T2650" s="12" t="n"/>
      <c r="U2650" s="12" t="n"/>
      <c r="V2650" s="14">
        <f>IF($AN2650="",IF($B2650="","",$H2650),IF(INDEX(職員マスタ!$B$6:$B$405,$AN2650)="",$H2650,INDEX(職員マスタ!$B$6:$B$405,$AN2650)))</f>
        <v/>
      </c>
      <c r="W2650" s="14">
        <f>IF($AN2650="",IF($B2650="","",$R2650),IF(INDEX(職員マスタ!$C$6:$C$405,$AN2650)="",$R2650,INDEX(職員マスタ!$C$6:$C$405,$AN2650)))</f>
        <v/>
      </c>
      <c r="X2650" s="14">
        <f>IF($AO2650="","","R"&amp;$C2650&amp;"."&amp;$D2650)</f>
        <v/>
      </c>
      <c r="Y2650" s="15">
        <f>IF($AN2650="","",IF(INDEX(職員マスタ!$K$6:$K$405,$AN2650)="","",INDEX(職員マスタ!$K$6:$K$405,$AN2650)))</f>
        <v/>
      </c>
      <c r="Z2650" s="14">
        <f>IF(OR($E2650="",$Y2650=""),"",IF($E2650&gt;=$Y2650,"×",IF($E2650&gt;=$Y2650*設定!$C$5,"△","○")))</f>
        <v/>
      </c>
      <c r="AA2650" s="15">
        <f>IF($Z2650="","",IF($Z2650="×",0,IF($Z2650="○",ROUNDDOWN($E2650*設定!$C$4,0),ROUNDDOWN($E2650*ROUND((9*$Y2650-9*$E2650)/(10*$E2650),4),0))))</f>
        <v/>
      </c>
      <c r="AB2650" s="13" t="n"/>
      <c r="AC2650" s="15">
        <f>IF($B2650="","",IF($AB2650&lt;&gt;"",$AB2650,IF($AA2650="","",IF($AA2650&lt;=設定!$C$3,0,$AA2650))))</f>
        <v/>
      </c>
      <c r="AD2650" s="14">
        <f>IF($B2650="","",IF(AND($AE2650&lt;&gt;"",$AG2650="",$AJ2650=""),"保留中",IF($AJ2650&lt;&gt;"",IF(N($AC2650)&gt;0,"支給済","不支給"),IF($AC2650="","要確認",IF($AC2650=0,"不支給","未処理")))))</f>
        <v/>
      </c>
      <c r="AE2650" s="12" t="n"/>
      <c r="AF2650" s="11" t="n"/>
      <c r="AG2650" s="11" t="n"/>
      <c r="AH2650" s="11" t="n"/>
      <c r="AI2650" s="14">
        <f>IF(AND($AD2650="保留中",$AF2650&lt;&gt;""),TODAY()-$AF2650,"")</f>
        <v/>
      </c>
      <c r="AJ2650" s="12" t="n"/>
      <c r="AK2650" s="14">
        <f>IF($B2650="","",IF($AO2650="","対象年月が未入力／","")&amp;IF($B2650="","",IF($AN2650="","職員マスタに未登録の職員番号／",IF($Y2650="","標準報酬月額が未登録／","")&amp;IF(AND($AO2650&lt;&gt;"",OR(AND(INDEX(職員マスタ!$G$6:$G$405,$AN2650)&lt;&gt;"",INDEX(職員マスタ!$G$6:$G$405,$AN2650)&gt;EOMONTH($AO2650,0)),AND(INDEX(職員マスタ!$H$6:$H$405,$AN2650)&lt;&gt;"",INDEX(職員マスタ!$H$6:$H$405,$AN2650)&lt;$AO2650))),"対象月が時短期間外／","")&amp;IF(AND(INDEX(職員マスタ!$F$6:$F$405,$AN2650)&lt;&gt;"",$AO2650&lt;&gt;"",INDEX(職員マスタ!$F$6:$F$405,$AN2650)&lt;$AO2650),"対象月に子が2歳到達済／","")&amp;IF(AND($H2650&lt;&gt;"",INDEX(職員マスタ!$B$6:$B$405,$AN2650)&lt;&gt;"",SUBSTITUTE(SUBSTITUTE($H2650," ","")," ","")&lt;&gt;SUBSTITUTE(SUBSTITUTE(INDEX(職員マスタ!$B$6:$B$405,$AN2650)," ","")," ","")),"氏名がマスタと相違／","")&amp;IF(AND($Q2650&lt;&gt;"",INDEX(職員マスタ!$E$6:$E$405,$AN2650)&lt;&gt;"",$Q2650&lt;&gt;INDEX(職員マスタ!$E$6:$E$405,$AN2650)),"子の生年月日がマスタと相違／","")&amp;IF(AND($L2650&lt;&gt;"",INDEX(職員マスタ!$G$6:$G$405,$AN2650)&lt;&gt;"",$L2650&lt;&gt;INDEX(職員マスタ!$G$6:$G$405,$AN2650)),"時短開始日がマスタと相違／","")&amp;IF(AND($M2650&lt;&gt;"",INDEX(職員マスタ!$H$6:$H$405,$AN2650)&lt;&gt;"",$M2650&lt;&gt;INDEX(職員マスタ!$H$6:$H$405,$AN2650)),"時短終了日がマスタと相違／","")))&amp;IF(AND($B2650&lt;&gt;"",$E2650=""),"報酬額が未入力／","")&amp;IF(N($U2650)&gt;0,"申請書に入力エラーが残っています／","")&amp;IF(AND($B2650&lt;&gt;"",$AO2650&lt;&gt;""),IF(COUNTIFS($B$6:$B$3005,$B2650,$C$6:$C$3005,$C2650,$D$6:$D$3005,$D2650)&gt;1,"同じ月の請求が重複しています／",""),"")&amp;IF(AND(N($E2650)&gt;0,$Z2650&lt;&gt;"",$Z2650&lt;&gt;"×",$AC2650=0,$AB2650=""),"計算額が下限以下のため不支給／",""))</f>
        <v/>
      </c>
      <c r="AL2650" s="12" t="n"/>
      <c r="AM2650" s="14">
        <f>IF($AD2650="保留中",COUNTIF($AD$6:$AD2650,"保留中"),"")</f>
        <v/>
      </c>
      <c r="AN2650" s="14">
        <f>IF($AO2650="","",IF(SUMPRODUCT(MAX((職員マスタ!$A$6:$A$405=$B2650)*(((職員マスタ!$G$6:$G$405="")+(職員マスタ!$G$6:$G$405&lt;=EOMONTH($AO2650,0)))&gt;0)*(((職員マスタ!$H$6:$H$405="")+(職員マスタ!$H$6:$H$405&gt;=$AO2650))&gt;0)*(ROW(職員マスタ!$A$6:$A$405)-5)))&gt;0,SUMPRODUCT(MAX((職員マスタ!$A$6:$A$405=$B2650)*(((職員マスタ!$G$6:$G$405="")+(職員マスタ!$G$6:$G$405&lt;=EOMONTH($AO2650,0)))&gt;0)*(((職員マスタ!$H$6:$H$405="")+(職員マスタ!$H$6:$H$405&gt;=$AO2650))&gt;0)*(ROW(職員マスタ!$A$6:$A$405)-5))),IFERROR(MATCH($B2650,職員マスタ!$A$6:$A$405,0),"")))</f>
        <v/>
      </c>
      <c r="AO2650" s="16">
        <f>IF(OR($B2650="",$C2650="",$D2650=""),"",DATE($C2650+2018,$D2650,1))</f>
        <v/>
      </c>
    </row>
    <row r="2651">
      <c r="A2651" s="11" t="n"/>
      <c r="B2651" s="12" t="n"/>
      <c r="C2651" s="12" t="n"/>
      <c r="D2651" s="12" t="n"/>
      <c r="E2651" s="13" t="n"/>
      <c r="F2651" s="12" t="n"/>
      <c r="G2651" s="13" t="n"/>
      <c r="H2651" s="12" t="n"/>
      <c r="I2651" s="12" t="n"/>
      <c r="J2651" s="12" t="n"/>
      <c r="K2651" s="12" t="n"/>
      <c r="L2651" s="11" t="n"/>
      <c r="M2651" s="11" t="n"/>
      <c r="N2651" s="11" t="n"/>
      <c r="O2651" s="11" t="n"/>
      <c r="P2651" s="12" t="n"/>
      <c r="Q2651" s="11" t="n"/>
      <c r="R2651" s="12" t="n"/>
      <c r="S2651" s="11" t="n"/>
      <c r="T2651" s="12" t="n"/>
      <c r="U2651" s="12" t="n"/>
      <c r="V2651" s="14">
        <f>IF($AN2651="",IF($B2651="","",$H2651),IF(INDEX(職員マスタ!$B$6:$B$405,$AN2651)="",$H2651,INDEX(職員マスタ!$B$6:$B$405,$AN2651)))</f>
        <v/>
      </c>
      <c r="W2651" s="14">
        <f>IF($AN2651="",IF($B2651="","",$R2651),IF(INDEX(職員マスタ!$C$6:$C$405,$AN2651)="",$R2651,INDEX(職員マスタ!$C$6:$C$405,$AN2651)))</f>
        <v/>
      </c>
      <c r="X2651" s="14">
        <f>IF($AO2651="","","R"&amp;$C2651&amp;"."&amp;$D2651)</f>
        <v/>
      </c>
      <c r="Y2651" s="15">
        <f>IF($AN2651="","",IF(INDEX(職員マスタ!$K$6:$K$405,$AN2651)="","",INDEX(職員マスタ!$K$6:$K$405,$AN2651)))</f>
        <v/>
      </c>
      <c r="Z2651" s="14">
        <f>IF(OR($E2651="",$Y2651=""),"",IF($E2651&gt;=$Y2651,"×",IF($E2651&gt;=$Y2651*設定!$C$5,"△","○")))</f>
        <v/>
      </c>
      <c r="AA2651" s="15">
        <f>IF($Z2651="","",IF($Z2651="×",0,IF($Z2651="○",ROUNDDOWN($E2651*設定!$C$4,0),ROUNDDOWN($E2651*ROUND((9*$Y2651-9*$E2651)/(10*$E2651),4),0))))</f>
        <v/>
      </c>
      <c r="AB2651" s="13" t="n"/>
      <c r="AC2651" s="15">
        <f>IF($B2651="","",IF($AB2651&lt;&gt;"",$AB2651,IF($AA2651="","",IF($AA2651&lt;=設定!$C$3,0,$AA2651))))</f>
        <v/>
      </c>
      <c r="AD2651" s="14">
        <f>IF($B2651="","",IF(AND($AE2651&lt;&gt;"",$AG2651="",$AJ2651=""),"保留中",IF($AJ2651&lt;&gt;"",IF(N($AC2651)&gt;0,"支給済","不支給"),IF($AC2651="","要確認",IF($AC2651=0,"不支給","未処理")))))</f>
        <v/>
      </c>
      <c r="AE2651" s="12" t="n"/>
      <c r="AF2651" s="11" t="n"/>
      <c r="AG2651" s="11" t="n"/>
      <c r="AH2651" s="11" t="n"/>
      <c r="AI2651" s="14">
        <f>IF(AND($AD2651="保留中",$AF2651&lt;&gt;""),TODAY()-$AF2651,"")</f>
        <v/>
      </c>
      <c r="AJ2651" s="12" t="n"/>
      <c r="AK2651" s="14">
        <f>IF($B2651="","",IF($AO2651="","対象年月が未入力／","")&amp;IF($B2651="","",IF($AN2651="","職員マスタに未登録の職員番号／",IF($Y2651="","標準報酬月額が未登録／","")&amp;IF(AND($AO2651&lt;&gt;"",OR(AND(INDEX(職員マスタ!$G$6:$G$405,$AN2651)&lt;&gt;"",INDEX(職員マスタ!$G$6:$G$405,$AN2651)&gt;EOMONTH($AO2651,0)),AND(INDEX(職員マスタ!$H$6:$H$405,$AN2651)&lt;&gt;"",INDEX(職員マスタ!$H$6:$H$405,$AN2651)&lt;$AO2651))),"対象月が時短期間外／","")&amp;IF(AND(INDEX(職員マスタ!$F$6:$F$405,$AN2651)&lt;&gt;"",$AO2651&lt;&gt;"",INDEX(職員マスタ!$F$6:$F$405,$AN2651)&lt;$AO2651),"対象月に子が2歳到達済／","")&amp;IF(AND($H2651&lt;&gt;"",INDEX(職員マスタ!$B$6:$B$405,$AN2651)&lt;&gt;"",SUBSTITUTE(SUBSTITUTE($H2651," ","")," ","")&lt;&gt;SUBSTITUTE(SUBSTITUTE(INDEX(職員マスタ!$B$6:$B$405,$AN2651)," ","")," ","")),"氏名がマスタと相違／","")&amp;IF(AND($Q2651&lt;&gt;"",INDEX(職員マスタ!$E$6:$E$405,$AN2651)&lt;&gt;"",$Q2651&lt;&gt;INDEX(職員マスタ!$E$6:$E$405,$AN2651)),"子の生年月日がマスタと相違／","")&amp;IF(AND($L2651&lt;&gt;"",INDEX(職員マスタ!$G$6:$G$405,$AN2651)&lt;&gt;"",$L2651&lt;&gt;INDEX(職員マスタ!$G$6:$G$405,$AN2651)),"時短開始日がマスタと相違／","")&amp;IF(AND($M2651&lt;&gt;"",INDEX(職員マスタ!$H$6:$H$405,$AN2651)&lt;&gt;"",$M2651&lt;&gt;INDEX(職員マスタ!$H$6:$H$405,$AN2651)),"時短終了日がマスタと相違／","")))&amp;IF(AND($B2651&lt;&gt;"",$E2651=""),"報酬額が未入力／","")&amp;IF(N($U2651)&gt;0,"申請書に入力エラーが残っています／","")&amp;IF(AND($B2651&lt;&gt;"",$AO2651&lt;&gt;""),IF(COUNTIFS($B$6:$B$3005,$B2651,$C$6:$C$3005,$C2651,$D$6:$D$3005,$D2651)&gt;1,"同じ月の請求が重複しています／",""),"")&amp;IF(AND(N($E2651)&gt;0,$Z2651&lt;&gt;"",$Z2651&lt;&gt;"×",$AC2651=0,$AB2651=""),"計算額が下限以下のため不支給／",""))</f>
        <v/>
      </c>
      <c r="AL2651" s="12" t="n"/>
      <c r="AM2651" s="14">
        <f>IF($AD2651="保留中",COUNTIF($AD$6:$AD2651,"保留中"),"")</f>
        <v/>
      </c>
      <c r="AN2651" s="14">
        <f>IF($AO2651="","",IF(SUMPRODUCT(MAX((職員マスタ!$A$6:$A$405=$B2651)*(((職員マスタ!$G$6:$G$405="")+(職員マスタ!$G$6:$G$405&lt;=EOMONTH($AO2651,0)))&gt;0)*(((職員マスタ!$H$6:$H$405="")+(職員マスタ!$H$6:$H$405&gt;=$AO2651))&gt;0)*(ROW(職員マスタ!$A$6:$A$405)-5)))&gt;0,SUMPRODUCT(MAX((職員マスタ!$A$6:$A$405=$B2651)*(((職員マスタ!$G$6:$G$405="")+(職員マスタ!$G$6:$G$405&lt;=EOMONTH($AO2651,0)))&gt;0)*(((職員マスタ!$H$6:$H$405="")+(職員マスタ!$H$6:$H$405&gt;=$AO2651))&gt;0)*(ROW(職員マスタ!$A$6:$A$405)-5))),IFERROR(MATCH($B2651,職員マスタ!$A$6:$A$405,0),"")))</f>
        <v/>
      </c>
      <c r="AO2651" s="16">
        <f>IF(OR($B2651="",$C2651="",$D2651=""),"",DATE($C2651+2018,$D2651,1))</f>
        <v/>
      </c>
    </row>
    <row r="2652">
      <c r="A2652" s="11" t="n"/>
      <c r="B2652" s="12" t="n"/>
      <c r="C2652" s="12" t="n"/>
      <c r="D2652" s="12" t="n"/>
      <c r="E2652" s="13" t="n"/>
      <c r="F2652" s="12" t="n"/>
      <c r="G2652" s="13" t="n"/>
      <c r="H2652" s="12" t="n"/>
      <c r="I2652" s="12" t="n"/>
      <c r="J2652" s="12" t="n"/>
      <c r="K2652" s="12" t="n"/>
      <c r="L2652" s="11" t="n"/>
      <c r="M2652" s="11" t="n"/>
      <c r="N2652" s="11" t="n"/>
      <c r="O2652" s="11" t="n"/>
      <c r="P2652" s="12" t="n"/>
      <c r="Q2652" s="11" t="n"/>
      <c r="R2652" s="12" t="n"/>
      <c r="S2652" s="11" t="n"/>
      <c r="T2652" s="12" t="n"/>
      <c r="U2652" s="12" t="n"/>
      <c r="V2652" s="14">
        <f>IF($AN2652="",IF($B2652="","",$H2652),IF(INDEX(職員マスタ!$B$6:$B$405,$AN2652)="",$H2652,INDEX(職員マスタ!$B$6:$B$405,$AN2652)))</f>
        <v/>
      </c>
      <c r="W2652" s="14">
        <f>IF($AN2652="",IF($B2652="","",$R2652),IF(INDEX(職員マスタ!$C$6:$C$405,$AN2652)="",$R2652,INDEX(職員マスタ!$C$6:$C$405,$AN2652)))</f>
        <v/>
      </c>
      <c r="X2652" s="14">
        <f>IF($AO2652="","","R"&amp;$C2652&amp;"."&amp;$D2652)</f>
        <v/>
      </c>
      <c r="Y2652" s="15">
        <f>IF($AN2652="","",IF(INDEX(職員マスタ!$K$6:$K$405,$AN2652)="","",INDEX(職員マスタ!$K$6:$K$405,$AN2652)))</f>
        <v/>
      </c>
      <c r="Z2652" s="14">
        <f>IF(OR($E2652="",$Y2652=""),"",IF($E2652&gt;=$Y2652,"×",IF($E2652&gt;=$Y2652*設定!$C$5,"△","○")))</f>
        <v/>
      </c>
      <c r="AA2652" s="15">
        <f>IF($Z2652="","",IF($Z2652="×",0,IF($Z2652="○",ROUNDDOWN($E2652*設定!$C$4,0),ROUNDDOWN($E2652*ROUND((9*$Y2652-9*$E2652)/(10*$E2652),4),0))))</f>
        <v/>
      </c>
      <c r="AB2652" s="13" t="n"/>
      <c r="AC2652" s="15">
        <f>IF($B2652="","",IF($AB2652&lt;&gt;"",$AB2652,IF($AA2652="","",IF($AA2652&lt;=設定!$C$3,0,$AA2652))))</f>
        <v/>
      </c>
      <c r="AD2652" s="14">
        <f>IF($B2652="","",IF(AND($AE2652&lt;&gt;"",$AG2652="",$AJ2652=""),"保留中",IF($AJ2652&lt;&gt;"",IF(N($AC2652)&gt;0,"支給済","不支給"),IF($AC2652="","要確認",IF($AC2652=0,"不支給","未処理")))))</f>
        <v/>
      </c>
      <c r="AE2652" s="12" t="n"/>
      <c r="AF2652" s="11" t="n"/>
      <c r="AG2652" s="11" t="n"/>
      <c r="AH2652" s="11" t="n"/>
      <c r="AI2652" s="14">
        <f>IF(AND($AD2652="保留中",$AF2652&lt;&gt;""),TODAY()-$AF2652,"")</f>
        <v/>
      </c>
      <c r="AJ2652" s="12" t="n"/>
      <c r="AK2652" s="14">
        <f>IF($B2652="","",IF($AO2652="","対象年月が未入力／","")&amp;IF($B2652="","",IF($AN2652="","職員マスタに未登録の職員番号／",IF($Y2652="","標準報酬月額が未登録／","")&amp;IF(AND($AO2652&lt;&gt;"",OR(AND(INDEX(職員マスタ!$G$6:$G$405,$AN2652)&lt;&gt;"",INDEX(職員マスタ!$G$6:$G$405,$AN2652)&gt;EOMONTH($AO2652,0)),AND(INDEX(職員マスタ!$H$6:$H$405,$AN2652)&lt;&gt;"",INDEX(職員マスタ!$H$6:$H$405,$AN2652)&lt;$AO2652))),"対象月が時短期間外／","")&amp;IF(AND(INDEX(職員マスタ!$F$6:$F$405,$AN2652)&lt;&gt;"",$AO2652&lt;&gt;"",INDEX(職員マスタ!$F$6:$F$405,$AN2652)&lt;$AO2652),"対象月に子が2歳到達済／","")&amp;IF(AND($H2652&lt;&gt;"",INDEX(職員マスタ!$B$6:$B$405,$AN2652)&lt;&gt;"",SUBSTITUTE(SUBSTITUTE($H2652," ","")," ","")&lt;&gt;SUBSTITUTE(SUBSTITUTE(INDEX(職員マスタ!$B$6:$B$405,$AN2652)," ","")," ","")),"氏名がマスタと相違／","")&amp;IF(AND($Q2652&lt;&gt;"",INDEX(職員マスタ!$E$6:$E$405,$AN2652)&lt;&gt;"",$Q2652&lt;&gt;INDEX(職員マスタ!$E$6:$E$405,$AN2652)),"子の生年月日がマスタと相違／","")&amp;IF(AND($L2652&lt;&gt;"",INDEX(職員マスタ!$G$6:$G$405,$AN2652)&lt;&gt;"",$L2652&lt;&gt;INDEX(職員マスタ!$G$6:$G$405,$AN2652)),"時短開始日がマスタと相違／","")&amp;IF(AND($M2652&lt;&gt;"",INDEX(職員マスタ!$H$6:$H$405,$AN2652)&lt;&gt;"",$M2652&lt;&gt;INDEX(職員マスタ!$H$6:$H$405,$AN2652)),"時短終了日がマスタと相違／","")))&amp;IF(AND($B2652&lt;&gt;"",$E2652=""),"報酬額が未入力／","")&amp;IF(N($U2652)&gt;0,"申請書に入力エラーが残っています／","")&amp;IF(AND($B2652&lt;&gt;"",$AO2652&lt;&gt;""),IF(COUNTIFS($B$6:$B$3005,$B2652,$C$6:$C$3005,$C2652,$D$6:$D$3005,$D2652)&gt;1,"同じ月の請求が重複しています／",""),"")&amp;IF(AND(N($E2652)&gt;0,$Z2652&lt;&gt;"",$Z2652&lt;&gt;"×",$AC2652=0,$AB2652=""),"計算額が下限以下のため不支給／",""))</f>
        <v/>
      </c>
      <c r="AL2652" s="12" t="n"/>
      <c r="AM2652" s="14">
        <f>IF($AD2652="保留中",COUNTIF($AD$6:$AD2652,"保留中"),"")</f>
        <v/>
      </c>
      <c r="AN2652" s="14">
        <f>IF($AO2652="","",IF(SUMPRODUCT(MAX((職員マスタ!$A$6:$A$405=$B2652)*(((職員マスタ!$G$6:$G$405="")+(職員マスタ!$G$6:$G$405&lt;=EOMONTH($AO2652,0)))&gt;0)*(((職員マスタ!$H$6:$H$405="")+(職員マスタ!$H$6:$H$405&gt;=$AO2652))&gt;0)*(ROW(職員マスタ!$A$6:$A$405)-5)))&gt;0,SUMPRODUCT(MAX((職員マスタ!$A$6:$A$405=$B2652)*(((職員マスタ!$G$6:$G$405="")+(職員マスタ!$G$6:$G$405&lt;=EOMONTH($AO2652,0)))&gt;0)*(((職員マスタ!$H$6:$H$405="")+(職員マスタ!$H$6:$H$405&gt;=$AO2652))&gt;0)*(ROW(職員マスタ!$A$6:$A$405)-5))),IFERROR(MATCH($B2652,職員マスタ!$A$6:$A$405,0),"")))</f>
        <v/>
      </c>
      <c r="AO2652" s="16">
        <f>IF(OR($B2652="",$C2652="",$D2652=""),"",DATE($C2652+2018,$D2652,1))</f>
        <v/>
      </c>
    </row>
    <row r="2653">
      <c r="A2653" s="11" t="n"/>
      <c r="B2653" s="12" t="n"/>
      <c r="C2653" s="12" t="n"/>
      <c r="D2653" s="12" t="n"/>
      <c r="E2653" s="13" t="n"/>
      <c r="F2653" s="12" t="n"/>
      <c r="G2653" s="13" t="n"/>
      <c r="H2653" s="12" t="n"/>
      <c r="I2653" s="12" t="n"/>
      <c r="J2653" s="12" t="n"/>
      <c r="K2653" s="12" t="n"/>
      <c r="L2653" s="11" t="n"/>
      <c r="M2653" s="11" t="n"/>
      <c r="N2653" s="11" t="n"/>
      <c r="O2653" s="11" t="n"/>
      <c r="P2653" s="12" t="n"/>
      <c r="Q2653" s="11" t="n"/>
      <c r="R2653" s="12" t="n"/>
      <c r="S2653" s="11" t="n"/>
      <c r="T2653" s="12" t="n"/>
      <c r="U2653" s="12" t="n"/>
      <c r="V2653" s="14">
        <f>IF($AN2653="",IF($B2653="","",$H2653),IF(INDEX(職員マスタ!$B$6:$B$405,$AN2653)="",$H2653,INDEX(職員マスタ!$B$6:$B$405,$AN2653)))</f>
        <v/>
      </c>
      <c r="W2653" s="14">
        <f>IF($AN2653="",IF($B2653="","",$R2653),IF(INDEX(職員マスタ!$C$6:$C$405,$AN2653)="",$R2653,INDEX(職員マスタ!$C$6:$C$405,$AN2653)))</f>
        <v/>
      </c>
      <c r="X2653" s="14">
        <f>IF($AO2653="","","R"&amp;$C2653&amp;"."&amp;$D2653)</f>
        <v/>
      </c>
      <c r="Y2653" s="15">
        <f>IF($AN2653="","",IF(INDEX(職員マスタ!$K$6:$K$405,$AN2653)="","",INDEX(職員マスタ!$K$6:$K$405,$AN2653)))</f>
        <v/>
      </c>
      <c r="Z2653" s="14">
        <f>IF(OR($E2653="",$Y2653=""),"",IF($E2653&gt;=$Y2653,"×",IF($E2653&gt;=$Y2653*設定!$C$5,"△","○")))</f>
        <v/>
      </c>
      <c r="AA2653" s="15">
        <f>IF($Z2653="","",IF($Z2653="×",0,IF($Z2653="○",ROUNDDOWN($E2653*設定!$C$4,0),ROUNDDOWN($E2653*ROUND((9*$Y2653-9*$E2653)/(10*$E2653),4),0))))</f>
        <v/>
      </c>
      <c r="AB2653" s="13" t="n"/>
      <c r="AC2653" s="15">
        <f>IF($B2653="","",IF($AB2653&lt;&gt;"",$AB2653,IF($AA2653="","",IF($AA2653&lt;=設定!$C$3,0,$AA2653))))</f>
        <v/>
      </c>
      <c r="AD2653" s="14">
        <f>IF($B2653="","",IF(AND($AE2653&lt;&gt;"",$AG2653="",$AJ2653=""),"保留中",IF($AJ2653&lt;&gt;"",IF(N($AC2653)&gt;0,"支給済","不支給"),IF($AC2653="","要確認",IF($AC2653=0,"不支給","未処理")))))</f>
        <v/>
      </c>
      <c r="AE2653" s="12" t="n"/>
      <c r="AF2653" s="11" t="n"/>
      <c r="AG2653" s="11" t="n"/>
      <c r="AH2653" s="11" t="n"/>
      <c r="AI2653" s="14">
        <f>IF(AND($AD2653="保留中",$AF2653&lt;&gt;""),TODAY()-$AF2653,"")</f>
        <v/>
      </c>
      <c r="AJ2653" s="12" t="n"/>
      <c r="AK2653" s="14">
        <f>IF($B2653="","",IF($AO2653="","対象年月が未入力／","")&amp;IF($B2653="","",IF($AN2653="","職員マスタに未登録の職員番号／",IF($Y2653="","標準報酬月額が未登録／","")&amp;IF(AND($AO2653&lt;&gt;"",OR(AND(INDEX(職員マスタ!$G$6:$G$405,$AN2653)&lt;&gt;"",INDEX(職員マスタ!$G$6:$G$405,$AN2653)&gt;EOMONTH($AO2653,0)),AND(INDEX(職員マスタ!$H$6:$H$405,$AN2653)&lt;&gt;"",INDEX(職員マスタ!$H$6:$H$405,$AN2653)&lt;$AO2653))),"対象月が時短期間外／","")&amp;IF(AND(INDEX(職員マスタ!$F$6:$F$405,$AN2653)&lt;&gt;"",$AO2653&lt;&gt;"",INDEX(職員マスタ!$F$6:$F$405,$AN2653)&lt;$AO2653),"対象月に子が2歳到達済／","")&amp;IF(AND($H2653&lt;&gt;"",INDEX(職員マスタ!$B$6:$B$405,$AN2653)&lt;&gt;"",SUBSTITUTE(SUBSTITUTE($H2653," ","")," ","")&lt;&gt;SUBSTITUTE(SUBSTITUTE(INDEX(職員マスタ!$B$6:$B$405,$AN2653)," ","")," ","")),"氏名がマスタと相違／","")&amp;IF(AND($Q2653&lt;&gt;"",INDEX(職員マスタ!$E$6:$E$405,$AN2653)&lt;&gt;"",$Q2653&lt;&gt;INDEX(職員マスタ!$E$6:$E$405,$AN2653)),"子の生年月日がマスタと相違／","")&amp;IF(AND($L2653&lt;&gt;"",INDEX(職員マスタ!$G$6:$G$405,$AN2653)&lt;&gt;"",$L2653&lt;&gt;INDEX(職員マスタ!$G$6:$G$405,$AN2653)),"時短開始日がマスタと相違／","")&amp;IF(AND($M2653&lt;&gt;"",INDEX(職員マスタ!$H$6:$H$405,$AN2653)&lt;&gt;"",$M2653&lt;&gt;INDEX(職員マスタ!$H$6:$H$405,$AN2653)),"時短終了日がマスタと相違／","")))&amp;IF(AND($B2653&lt;&gt;"",$E2653=""),"報酬額が未入力／","")&amp;IF(N($U2653)&gt;0,"申請書に入力エラーが残っています／","")&amp;IF(AND($B2653&lt;&gt;"",$AO2653&lt;&gt;""),IF(COUNTIFS($B$6:$B$3005,$B2653,$C$6:$C$3005,$C2653,$D$6:$D$3005,$D2653)&gt;1,"同じ月の請求が重複しています／",""),"")&amp;IF(AND(N($E2653)&gt;0,$Z2653&lt;&gt;"",$Z2653&lt;&gt;"×",$AC2653=0,$AB2653=""),"計算額が下限以下のため不支給／",""))</f>
        <v/>
      </c>
      <c r="AL2653" s="12" t="n"/>
      <c r="AM2653" s="14">
        <f>IF($AD2653="保留中",COUNTIF($AD$6:$AD2653,"保留中"),"")</f>
        <v/>
      </c>
      <c r="AN2653" s="14">
        <f>IF($AO2653="","",IF(SUMPRODUCT(MAX((職員マスタ!$A$6:$A$405=$B2653)*(((職員マスタ!$G$6:$G$405="")+(職員マスタ!$G$6:$G$405&lt;=EOMONTH($AO2653,0)))&gt;0)*(((職員マスタ!$H$6:$H$405="")+(職員マスタ!$H$6:$H$405&gt;=$AO2653))&gt;0)*(ROW(職員マスタ!$A$6:$A$405)-5)))&gt;0,SUMPRODUCT(MAX((職員マスタ!$A$6:$A$405=$B2653)*(((職員マスタ!$G$6:$G$405="")+(職員マスタ!$G$6:$G$405&lt;=EOMONTH($AO2653,0)))&gt;0)*(((職員マスタ!$H$6:$H$405="")+(職員マスタ!$H$6:$H$405&gt;=$AO2653))&gt;0)*(ROW(職員マスタ!$A$6:$A$405)-5))),IFERROR(MATCH($B2653,職員マスタ!$A$6:$A$405,0),"")))</f>
        <v/>
      </c>
      <c r="AO2653" s="16">
        <f>IF(OR($B2653="",$C2653="",$D2653=""),"",DATE($C2653+2018,$D2653,1))</f>
        <v/>
      </c>
    </row>
    <row r="2654">
      <c r="A2654" s="11" t="n"/>
      <c r="B2654" s="12" t="n"/>
      <c r="C2654" s="12" t="n"/>
      <c r="D2654" s="12" t="n"/>
      <c r="E2654" s="13" t="n"/>
      <c r="F2654" s="12" t="n"/>
      <c r="G2654" s="13" t="n"/>
      <c r="H2654" s="12" t="n"/>
      <c r="I2654" s="12" t="n"/>
      <c r="J2654" s="12" t="n"/>
      <c r="K2654" s="12" t="n"/>
      <c r="L2654" s="11" t="n"/>
      <c r="M2654" s="11" t="n"/>
      <c r="N2654" s="11" t="n"/>
      <c r="O2654" s="11" t="n"/>
      <c r="P2654" s="12" t="n"/>
      <c r="Q2654" s="11" t="n"/>
      <c r="R2654" s="12" t="n"/>
      <c r="S2654" s="11" t="n"/>
      <c r="T2654" s="12" t="n"/>
      <c r="U2654" s="12" t="n"/>
      <c r="V2654" s="14">
        <f>IF($AN2654="",IF($B2654="","",$H2654),IF(INDEX(職員マスタ!$B$6:$B$405,$AN2654)="",$H2654,INDEX(職員マスタ!$B$6:$B$405,$AN2654)))</f>
        <v/>
      </c>
      <c r="W2654" s="14">
        <f>IF($AN2654="",IF($B2654="","",$R2654),IF(INDEX(職員マスタ!$C$6:$C$405,$AN2654)="",$R2654,INDEX(職員マスタ!$C$6:$C$405,$AN2654)))</f>
        <v/>
      </c>
      <c r="X2654" s="14">
        <f>IF($AO2654="","","R"&amp;$C2654&amp;"."&amp;$D2654)</f>
        <v/>
      </c>
      <c r="Y2654" s="15">
        <f>IF($AN2654="","",IF(INDEX(職員マスタ!$K$6:$K$405,$AN2654)="","",INDEX(職員マスタ!$K$6:$K$405,$AN2654)))</f>
        <v/>
      </c>
      <c r="Z2654" s="14">
        <f>IF(OR($E2654="",$Y2654=""),"",IF($E2654&gt;=$Y2654,"×",IF($E2654&gt;=$Y2654*設定!$C$5,"△","○")))</f>
        <v/>
      </c>
      <c r="AA2654" s="15">
        <f>IF($Z2654="","",IF($Z2654="×",0,IF($Z2654="○",ROUNDDOWN($E2654*設定!$C$4,0),ROUNDDOWN($E2654*ROUND((9*$Y2654-9*$E2654)/(10*$E2654),4),0))))</f>
        <v/>
      </c>
      <c r="AB2654" s="13" t="n"/>
      <c r="AC2654" s="15">
        <f>IF($B2654="","",IF($AB2654&lt;&gt;"",$AB2654,IF($AA2654="","",IF($AA2654&lt;=設定!$C$3,0,$AA2654))))</f>
        <v/>
      </c>
      <c r="AD2654" s="14">
        <f>IF($B2654="","",IF(AND($AE2654&lt;&gt;"",$AG2654="",$AJ2654=""),"保留中",IF($AJ2654&lt;&gt;"",IF(N($AC2654)&gt;0,"支給済","不支給"),IF($AC2654="","要確認",IF($AC2654=0,"不支給","未処理")))))</f>
        <v/>
      </c>
      <c r="AE2654" s="12" t="n"/>
      <c r="AF2654" s="11" t="n"/>
      <c r="AG2654" s="11" t="n"/>
      <c r="AH2654" s="11" t="n"/>
      <c r="AI2654" s="14">
        <f>IF(AND($AD2654="保留中",$AF2654&lt;&gt;""),TODAY()-$AF2654,"")</f>
        <v/>
      </c>
      <c r="AJ2654" s="12" t="n"/>
      <c r="AK2654" s="14">
        <f>IF($B2654="","",IF($AO2654="","対象年月が未入力／","")&amp;IF($B2654="","",IF($AN2654="","職員マスタに未登録の職員番号／",IF($Y2654="","標準報酬月額が未登録／","")&amp;IF(AND($AO2654&lt;&gt;"",OR(AND(INDEX(職員マスタ!$G$6:$G$405,$AN2654)&lt;&gt;"",INDEX(職員マスタ!$G$6:$G$405,$AN2654)&gt;EOMONTH($AO2654,0)),AND(INDEX(職員マスタ!$H$6:$H$405,$AN2654)&lt;&gt;"",INDEX(職員マスタ!$H$6:$H$405,$AN2654)&lt;$AO2654))),"対象月が時短期間外／","")&amp;IF(AND(INDEX(職員マスタ!$F$6:$F$405,$AN2654)&lt;&gt;"",$AO2654&lt;&gt;"",INDEX(職員マスタ!$F$6:$F$405,$AN2654)&lt;$AO2654),"対象月に子が2歳到達済／","")&amp;IF(AND($H2654&lt;&gt;"",INDEX(職員マスタ!$B$6:$B$405,$AN2654)&lt;&gt;"",SUBSTITUTE(SUBSTITUTE($H2654," ","")," ","")&lt;&gt;SUBSTITUTE(SUBSTITUTE(INDEX(職員マスタ!$B$6:$B$405,$AN2654)," ","")," ","")),"氏名がマスタと相違／","")&amp;IF(AND($Q2654&lt;&gt;"",INDEX(職員マスタ!$E$6:$E$405,$AN2654)&lt;&gt;"",$Q2654&lt;&gt;INDEX(職員マスタ!$E$6:$E$405,$AN2654)),"子の生年月日がマスタと相違／","")&amp;IF(AND($L2654&lt;&gt;"",INDEX(職員マスタ!$G$6:$G$405,$AN2654)&lt;&gt;"",$L2654&lt;&gt;INDEX(職員マスタ!$G$6:$G$405,$AN2654)),"時短開始日がマスタと相違／","")&amp;IF(AND($M2654&lt;&gt;"",INDEX(職員マスタ!$H$6:$H$405,$AN2654)&lt;&gt;"",$M2654&lt;&gt;INDEX(職員マスタ!$H$6:$H$405,$AN2654)),"時短終了日がマスタと相違／","")))&amp;IF(AND($B2654&lt;&gt;"",$E2654=""),"報酬額が未入力／","")&amp;IF(N($U2654)&gt;0,"申請書に入力エラーが残っています／","")&amp;IF(AND($B2654&lt;&gt;"",$AO2654&lt;&gt;""),IF(COUNTIFS($B$6:$B$3005,$B2654,$C$6:$C$3005,$C2654,$D$6:$D$3005,$D2654)&gt;1,"同じ月の請求が重複しています／",""),"")&amp;IF(AND(N($E2654)&gt;0,$Z2654&lt;&gt;"",$Z2654&lt;&gt;"×",$AC2654=0,$AB2654=""),"計算額が下限以下のため不支給／",""))</f>
        <v/>
      </c>
      <c r="AL2654" s="12" t="n"/>
      <c r="AM2654" s="14">
        <f>IF($AD2654="保留中",COUNTIF($AD$6:$AD2654,"保留中"),"")</f>
        <v/>
      </c>
      <c r="AN2654" s="14">
        <f>IF($AO2654="","",IF(SUMPRODUCT(MAX((職員マスタ!$A$6:$A$405=$B2654)*(((職員マスタ!$G$6:$G$405="")+(職員マスタ!$G$6:$G$405&lt;=EOMONTH($AO2654,0)))&gt;0)*(((職員マスタ!$H$6:$H$405="")+(職員マスタ!$H$6:$H$405&gt;=$AO2654))&gt;0)*(ROW(職員マスタ!$A$6:$A$405)-5)))&gt;0,SUMPRODUCT(MAX((職員マスタ!$A$6:$A$405=$B2654)*(((職員マスタ!$G$6:$G$405="")+(職員マスタ!$G$6:$G$405&lt;=EOMONTH($AO2654,0)))&gt;0)*(((職員マスタ!$H$6:$H$405="")+(職員マスタ!$H$6:$H$405&gt;=$AO2654))&gt;0)*(ROW(職員マスタ!$A$6:$A$405)-5))),IFERROR(MATCH($B2654,職員マスタ!$A$6:$A$405,0),"")))</f>
        <v/>
      </c>
      <c r="AO2654" s="16">
        <f>IF(OR($B2654="",$C2654="",$D2654=""),"",DATE($C2654+2018,$D2654,1))</f>
        <v/>
      </c>
    </row>
    <row r="2655">
      <c r="A2655" s="11" t="n"/>
      <c r="B2655" s="12" t="n"/>
      <c r="C2655" s="12" t="n"/>
      <c r="D2655" s="12" t="n"/>
      <c r="E2655" s="13" t="n"/>
      <c r="F2655" s="12" t="n"/>
      <c r="G2655" s="13" t="n"/>
      <c r="H2655" s="12" t="n"/>
      <c r="I2655" s="12" t="n"/>
      <c r="J2655" s="12" t="n"/>
      <c r="K2655" s="12" t="n"/>
      <c r="L2655" s="11" t="n"/>
      <c r="M2655" s="11" t="n"/>
      <c r="N2655" s="11" t="n"/>
      <c r="O2655" s="11" t="n"/>
      <c r="P2655" s="12" t="n"/>
      <c r="Q2655" s="11" t="n"/>
      <c r="R2655" s="12" t="n"/>
      <c r="S2655" s="11" t="n"/>
      <c r="T2655" s="12" t="n"/>
      <c r="U2655" s="12" t="n"/>
      <c r="V2655" s="14">
        <f>IF($AN2655="",IF($B2655="","",$H2655),IF(INDEX(職員マスタ!$B$6:$B$405,$AN2655)="",$H2655,INDEX(職員マスタ!$B$6:$B$405,$AN2655)))</f>
        <v/>
      </c>
      <c r="W2655" s="14">
        <f>IF($AN2655="",IF($B2655="","",$R2655),IF(INDEX(職員マスタ!$C$6:$C$405,$AN2655)="",$R2655,INDEX(職員マスタ!$C$6:$C$405,$AN2655)))</f>
        <v/>
      </c>
      <c r="X2655" s="14">
        <f>IF($AO2655="","","R"&amp;$C2655&amp;"."&amp;$D2655)</f>
        <v/>
      </c>
      <c r="Y2655" s="15">
        <f>IF($AN2655="","",IF(INDEX(職員マスタ!$K$6:$K$405,$AN2655)="","",INDEX(職員マスタ!$K$6:$K$405,$AN2655)))</f>
        <v/>
      </c>
      <c r="Z2655" s="14">
        <f>IF(OR($E2655="",$Y2655=""),"",IF($E2655&gt;=$Y2655,"×",IF($E2655&gt;=$Y2655*設定!$C$5,"△","○")))</f>
        <v/>
      </c>
      <c r="AA2655" s="15">
        <f>IF($Z2655="","",IF($Z2655="×",0,IF($Z2655="○",ROUNDDOWN($E2655*設定!$C$4,0),ROUNDDOWN($E2655*ROUND((9*$Y2655-9*$E2655)/(10*$E2655),4),0))))</f>
        <v/>
      </c>
      <c r="AB2655" s="13" t="n"/>
      <c r="AC2655" s="15">
        <f>IF($B2655="","",IF($AB2655&lt;&gt;"",$AB2655,IF($AA2655="","",IF($AA2655&lt;=設定!$C$3,0,$AA2655))))</f>
        <v/>
      </c>
      <c r="AD2655" s="14">
        <f>IF($B2655="","",IF(AND($AE2655&lt;&gt;"",$AG2655="",$AJ2655=""),"保留中",IF($AJ2655&lt;&gt;"",IF(N($AC2655)&gt;0,"支給済","不支給"),IF($AC2655="","要確認",IF($AC2655=0,"不支給","未処理")))))</f>
        <v/>
      </c>
      <c r="AE2655" s="12" t="n"/>
      <c r="AF2655" s="11" t="n"/>
      <c r="AG2655" s="11" t="n"/>
      <c r="AH2655" s="11" t="n"/>
      <c r="AI2655" s="14">
        <f>IF(AND($AD2655="保留中",$AF2655&lt;&gt;""),TODAY()-$AF2655,"")</f>
        <v/>
      </c>
      <c r="AJ2655" s="12" t="n"/>
      <c r="AK2655" s="14">
        <f>IF($B2655="","",IF($AO2655="","対象年月が未入力／","")&amp;IF($B2655="","",IF($AN2655="","職員マスタに未登録の職員番号／",IF($Y2655="","標準報酬月額が未登録／","")&amp;IF(AND($AO2655&lt;&gt;"",OR(AND(INDEX(職員マスタ!$G$6:$G$405,$AN2655)&lt;&gt;"",INDEX(職員マスタ!$G$6:$G$405,$AN2655)&gt;EOMONTH($AO2655,0)),AND(INDEX(職員マスタ!$H$6:$H$405,$AN2655)&lt;&gt;"",INDEX(職員マスタ!$H$6:$H$405,$AN2655)&lt;$AO2655))),"対象月が時短期間外／","")&amp;IF(AND(INDEX(職員マスタ!$F$6:$F$405,$AN2655)&lt;&gt;"",$AO2655&lt;&gt;"",INDEX(職員マスタ!$F$6:$F$405,$AN2655)&lt;$AO2655),"対象月に子が2歳到達済／","")&amp;IF(AND($H2655&lt;&gt;"",INDEX(職員マスタ!$B$6:$B$405,$AN2655)&lt;&gt;"",SUBSTITUTE(SUBSTITUTE($H2655," ","")," ","")&lt;&gt;SUBSTITUTE(SUBSTITUTE(INDEX(職員マスタ!$B$6:$B$405,$AN2655)," ","")," ","")),"氏名がマスタと相違／","")&amp;IF(AND($Q2655&lt;&gt;"",INDEX(職員マスタ!$E$6:$E$405,$AN2655)&lt;&gt;"",$Q2655&lt;&gt;INDEX(職員マスタ!$E$6:$E$405,$AN2655)),"子の生年月日がマスタと相違／","")&amp;IF(AND($L2655&lt;&gt;"",INDEX(職員マスタ!$G$6:$G$405,$AN2655)&lt;&gt;"",$L2655&lt;&gt;INDEX(職員マスタ!$G$6:$G$405,$AN2655)),"時短開始日がマスタと相違／","")&amp;IF(AND($M2655&lt;&gt;"",INDEX(職員マスタ!$H$6:$H$405,$AN2655)&lt;&gt;"",$M2655&lt;&gt;INDEX(職員マスタ!$H$6:$H$405,$AN2655)),"時短終了日がマスタと相違／","")))&amp;IF(AND($B2655&lt;&gt;"",$E2655=""),"報酬額が未入力／","")&amp;IF(N($U2655)&gt;0,"申請書に入力エラーが残っています／","")&amp;IF(AND($B2655&lt;&gt;"",$AO2655&lt;&gt;""),IF(COUNTIFS($B$6:$B$3005,$B2655,$C$6:$C$3005,$C2655,$D$6:$D$3005,$D2655)&gt;1,"同じ月の請求が重複しています／",""),"")&amp;IF(AND(N($E2655)&gt;0,$Z2655&lt;&gt;"",$Z2655&lt;&gt;"×",$AC2655=0,$AB2655=""),"計算額が下限以下のため不支給／",""))</f>
        <v/>
      </c>
      <c r="AL2655" s="12" t="n"/>
      <c r="AM2655" s="14">
        <f>IF($AD2655="保留中",COUNTIF($AD$6:$AD2655,"保留中"),"")</f>
        <v/>
      </c>
      <c r="AN2655" s="14">
        <f>IF($AO2655="","",IF(SUMPRODUCT(MAX((職員マスタ!$A$6:$A$405=$B2655)*(((職員マスタ!$G$6:$G$405="")+(職員マスタ!$G$6:$G$405&lt;=EOMONTH($AO2655,0)))&gt;0)*(((職員マスタ!$H$6:$H$405="")+(職員マスタ!$H$6:$H$405&gt;=$AO2655))&gt;0)*(ROW(職員マスタ!$A$6:$A$405)-5)))&gt;0,SUMPRODUCT(MAX((職員マスタ!$A$6:$A$405=$B2655)*(((職員マスタ!$G$6:$G$405="")+(職員マスタ!$G$6:$G$405&lt;=EOMONTH($AO2655,0)))&gt;0)*(((職員マスタ!$H$6:$H$405="")+(職員マスタ!$H$6:$H$405&gt;=$AO2655))&gt;0)*(ROW(職員マスタ!$A$6:$A$405)-5))),IFERROR(MATCH($B2655,職員マスタ!$A$6:$A$405,0),"")))</f>
        <v/>
      </c>
      <c r="AO2655" s="16">
        <f>IF(OR($B2655="",$C2655="",$D2655=""),"",DATE($C2655+2018,$D2655,1))</f>
        <v/>
      </c>
    </row>
    <row r="2656">
      <c r="A2656" s="11" t="n"/>
      <c r="B2656" s="12" t="n"/>
      <c r="C2656" s="12" t="n"/>
      <c r="D2656" s="12" t="n"/>
      <c r="E2656" s="13" t="n"/>
      <c r="F2656" s="12" t="n"/>
      <c r="G2656" s="13" t="n"/>
      <c r="H2656" s="12" t="n"/>
      <c r="I2656" s="12" t="n"/>
      <c r="J2656" s="12" t="n"/>
      <c r="K2656" s="12" t="n"/>
      <c r="L2656" s="11" t="n"/>
      <c r="M2656" s="11" t="n"/>
      <c r="N2656" s="11" t="n"/>
      <c r="O2656" s="11" t="n"/>
      <c r="P2656" s="12" t="n"/>
      <c r="Q2656" s="11" t="n"/>
      <c r="R2656" s="12" t="n"/>
      <c r="S2656" s="11" t="n"/>
      <c r="T2656" s="12" t="n"/>
      <c r="U2656" s="12" t="n"/>
      <c r="V2656" s="14">
        <f>IF($AN2656="",IF($B2656="","",$H2656),IF(INDEX(職員マスタ!$B$6:$B$405,$AN2656)="",$H2656,INDEX(職員マスタ!$B$6:$B$405,$AN2656)))</f>
        <v/>
      </c>
      <c r="W2656" s="14">
        <f>IF($AN2656="",IF($B2656="","",$R2656),IF(INDEX(職員マスタ!$C$6:$C$405,$AN2656)="",$R2656,INDEX(職員マスタ!$C$6:$C$405,$AN2656)))</f>
        <v/>
      </c>
      <c r="X2656" s="14">
        <f>IF($AO2656="","","R"&amp;$C2656&amp;"."&amp;$D2656)</f>
        <v/>
      </c>
      <c r="Y2656" s="15">
        <f>IF($AN2656="","",IF(INDEX(職員マスタ!$K$6:$K$405,$AN2656)="","",INDEX(職員マスタ!$K$6:$K$405,$AN2656)))</f>
        <v/>
      </c>
      <c r="Z2656" s="14">
        <f>IF(OR($E2656="",$Y2656=""),"",IF($E2656&gt;=$Y2656,"×",IF($E2656&gt;=$Y2656*設定!$C$5,"△","○")))</f>
        <v/>
      </c>
      <c r="AA2656" s="15">
        <f>IF($Z2656="","",IF($Z2656="×",0,IF($Z2656="○",ROUNDDOWN($E2656*設定!$C$4,0),ROUNDDOWN($E2656*ROUND((9*$Y2656-9*$E2656)/(10*$E2656),4),0))))</f>
        <v/>
      </c>
      <c r="AB2656" s="13" t="n"/>
      <c r="AC2656" s="15">
        <f>IF($B2656="","",IF($AB2656&lt;&gt;"",$AB2656,IF($AA2656="","",IF($AA2656&lt;=設定!$C$3,0,$AA2656))))</f>
        <v/>
      </c>
      <c r="AD2656" s="14">
        <f>IF($B2656="","",IF(AND($AE2656&lt;&gt;"",$AG2656="",$AJ2656=""),"保留中",IF($AJ2656&lt;&gt;"",IF(N($AC2656)&gt;0,"支給済","不支給"),IF($AC2656="","要確認",IF($AC2656=0,"不支給","未処理")))))</f>
        <v/>
      </c>
      <c r="AE2656" s="12" t="n"/>
      <c r="AF2656" s="11" t="n"/>
      <c r="AG2656" s="11" t="n"/>
      <c r="AH2656" s="11" t="n"/>
      <c r="AI2656" s="14">
        <f>IF(AND($AD2656="保留中",$AF2656&lt;&gt;""),TODAY()-$AF2656,"")</f>
        <v/>
      </c>
      <c r="AJ2656" s="12" t="n"/>
      <c r="AK2656" s="14">
        <f>IF($B2656="","",IF($AO2656="","対象年月が未入力／","")&amp;IF($B2656="","",IF($AN2656="","職員マスタに未登録の職員番号／",IF($Y2656="","標準報酬月額が未登録／","")&amp;IF(AND($AO2656&lt;&gt;"",OR(AND(INDEX(職員マスタ!$G$6:$G$405,$AN2656)&lt;&gt;"",INDEX(職員マスタ!$G$6:$G$405,$AN2656)&gt;EOMONTH($AO2656,0)),AND(INDEX(職員マスタ!$H$6:$H$405,$AN2656)&lt;&gt;"",INDEX(職員マスタ!$H$6:$H$405,$AN2656)&lt;$AO2656))),"対象月が時短期間外／","")&amp;IF(AND(INDEX(職員マスタ!$F$6:$F$405,$AN2656)&lt;&gt;"",$AO2656&lt;&gt;"",INDEX(職員マスタ!$F$6:$F$405,$AN2656)&lt;$AO2656),"対象月に子が2歳到達済／","")&amp;IF(AND($H2656&lt;&gt;"",INDEX(職員マスタ!$B$6:$B$405,$AN2656)&lt;&gt;"",SUBSTITUTE(SUBSTITUTE($H2656," ","")," ","")&lt;&gt;SUBSTITUTE(SUBSTITUTE(INDEX(職員マスタ!$B$6:$B$405,$AN2656)," ","")," ","")),"氏名がマスタと相違／","")&amp;IF(AND($Q2656&lt;&gt;"",INDEX(職員マスタ!$E$6:$E$405,$AN2656)&lt;&gt;"",$Q2656&lt;&gt;INDEX(職員マスタ!$E$6:$E$405,$AN2656)),"子の生年月日がマスタと相違／","")&amp;IF(AND($L2656&lt;&gt;"",INDEX(職員マスタ!$G$6:$G$405,$AN2656)&lt;&gt;"",$L2656&lt;&gt;INDEX(職員マスタ!$G$6:$G$405,$AN2656)),"時短開始日がマスタと相違／","")&amp;IF(AND($M2656&lt;&gt;"",INDEX(職員マスタ!$H$6:$H$405,$AN2656)&lt;&gt;"",$M2656&lt;&gt;INDEX(職員マスタ!$H$6:$H$405,$AN2656)),"時短終了日がマスタと相違／","")))&amp;IF(AND($B2656&lt;&gt;"",$E2656=""),"報酬額が未入力／","")&amp;IF(N($U2656)&gt;0,"申請書に入力エラーが残っています／","")&amp;IF(AND($B2656&lt;&gt;"",$AO2656&lt;&gt;""),IF(COUNTIFS($B$6:$B$3005,$B2656,$C$6:$C$3005,$C2656,$D$6:$D$3005,$D2656)&gt;1,"同じ月の請求が重複しています／",""),"")&amp;IF(AND(N($E2656)&gt;0,$Z2656&lt;&gt;"",$Z2656&lt;&gt;"×",$AC2656=0,$AB2656=""),"計算額が下限以下のため不支給／",""))</f>
        <v/>
      </c>
      <c r="AL2656" s="12" t="n"/>
      <c r="AM2656" s="14">
        <f>IF($AD2656="保留中",COUNTIF($AD$6:$AD2656,"保留中"),"")</f>
        <v/>
      </c>
      <c r="AN2656" s="14">
        <f>IF($AO2656="","",IF(SUMPRODUCT(MAX((職員マスタ!$A$6:$A$405=$B2656)*(((職員マスタ!$G$6:$G$405="")+(職員マスタ!$G$6:$G$405&lt;=EOMONTH($AO2656,0)))&gt;0)*(((職員マスタ!$H$6:$H$405="")+(職員マスタ!$H$6:$H$405&gt;=$AO2656))&gt;0)*(ROW(職員マスタ!$A$6:$A$405)-5)))&gt;0,SUMPRODUCT(MAX((職員マスタ!$A$6:$A$405=$B2656)*(((職員マスタ!$G$6:$G$405="")+(職員マスタ!$G$6:$G$405&lt;=EOMONTH($AO2656,0)))&gt;0)*(((職員マスタ!$H$6:$H$405="")+(職員マスタ!$H$6:$H$405&gt;=$AO2656))&gt;0)*(ROW(職員マスタ!$A$6:$A$405)-5))),IFERROR(MATCH($B2656,職員マスタ!$A$6:$A$405,0),"")))</f>
        <v/>
      </c>
      <c r="AO2656" s="16">
        <f>IF(OR($B2656="",$C2656="",$D2656=""),"",DATE($C2656+2018,$D2656,1))</f>
        <v/>
      </c>
    </row>
    <row r="2657">
      <c r="A2657" s="11" t="n"/>
      <c r="B2657" s="12" t="n"/>
      <c r="C2657" s="12" t="n"/>
      <c r="D2657" s="12" t="n"/>
      <c r="E2657" s="13" t="n"/>
      <c r="F2657" s="12" t="n"/>
      <c r="G2657" s="13" t="n"/>
      <c r="H2657" s="12" t="n"/>
      <c r="I2657" s="12" t="n"/>
      <c r="J2657" s="12" t="n"/>
      <c r="K2657" s="12" t="n"/>
      <c r="L2657" s="11" t="n"/>
      <c r="M2657" s="11" t="n"/>
      <c r="N2657" s="11" t="n"/>
      <c r="O2657" s="11" t="n"/>
      <c r="P2657" s="12" t="n"/>
      <c r="Q2657" s="11" t="n"/>
      <c r="R2657" s="12" t="n"/>
      <c r="S2657" s="11" t="n"/>
      <c r="T2657" s="12" t="n"/>
      <c r="U2657" s="12" t="n"/>
      <c r="V2657" s="14">
        <f>IF($AN2657="",IF($B2657="","",$H2657),IF(INDEX(職員マスタ!$B$6:$B$405,$AN2657)="",$H2657,INDEX(職員マスタ!$B$6:$B$405,$AN2657)))</f>
        <v/>
      </c>
      <c r="W2657" s="14">
        <f>IF($AN2657="",IF($B2657="","",$R2657),IF(INDEX(職員マスタ!$C$6:$C$405,$AN2657)="",$R2657,INDEX(職員マスタ!$C$6:$C$405,$AN2657)))</f>
        <v/>
      </c>
      <c r="X2657" s="14">
        <f>IF($AO2657="","","R"&amp;$C2657&amp;"."&amp;$D2657)</f>
        <v/>
      </c>
      <c r="Y2657" s="15">
        <f>IF($AN2657="","",IF(INDEX(職員マスタ!$K$6:$K$405,$AN2657)="","",INDEX(職員マスタ!$K$6:$K$405,$AN2657)))</f>
        <v/>
      </c>
      <c r="Z2657" s="14">
        <f>IF(OR($E2657="",$Y2657=""),"",IF($E2657&gt;=$Y2657,"×",IF($E2657&gt;=$Y2657*設定!$C$5,"△","○")))</f>
        <v/>
      </c>
      <c r="AA2657" s="15">
        <f>IF($Z2657="","",IF($Z2657="×",0,IF($Z2657="○",ROUNDDOWN($E2657*設定!$C$4,0),ROUNDDOWN($E2657*ROUND((9*$Y2657-9*$E2657)/(10*$E2657),4),0))))</f>
        <v/>
      </c>
      <c r="AB2657" s="13" t="n"/>
      <c r="AC2657" s="15">
        <f>IF($B2657="","",IF($AB2657&lt;&gt;"",$AB2657,IF($AA2657="","",IF($AA2657&lt;=設定!$C$3,0,$AA2657))))</f>
        <v/>
      </c>
      <c r="AD2657" s="14">
        <f>IF($B2657="","",IF(AND($AE2657&lt;&gt;"",$AG2657="",$AJ2657=""),"保留中",IF($AJ2657&lt;&gt;"",IF(N($AC2657)&gt;0,"支給済","不支給"),IF($AC2657="","要確認",IF($AC2657=0,"不支給","未処理")))))</f>
        <v/>
      </c>
      <c r="AE2657" s="12" t="n"/>
      <c r="AF2657" s="11" t="n"/>
      <c r="AG2657" s="11" t="n"/>
      <c r="AH2657" s="11" t="n"/>
      <c r="AI2657" s="14">
        <f>IF(AND($AD2657="保留中",$AF2657&lt;&gt;""),TODAY()-$AF2657,"")</f>
        <v/>
      </c>
      <c r="AJ2657" s="12" t="n"/>
      <c r="AK2657" s="14">
        <f>IF($B2657="","",IF($AO2657="","対象年月が未入力／","")&amp;IF($B2657="","",IF($AN2657="","職員マスタに未登録の職員番号／",IF($Y2657="","標準報酬月額が未登録／","")&amp;IF(AND($AO2657&lt;&gt;"",OR(AND(INDEX(職員マスタ!$G$6:$G$405,$AN2657)&lt;&gt;"",INDEX(職員マスタ!$G$6:$G$405,$AN2657)&gt;EOMONTH($AO2657,0)),AND(INDEX(職員マスタ!$H$6:$H$405,$AN2657)&lt;&gt;"",INDEX(職員マスタ!$H$6:$H$405,$AN2657)&lt;$AO2657))),"対象月が時短期間外／","")&amp;IF(AND(INDEX(職員マスタ!$F$6:$F$405,$AN2657)&lt;&gt;"",$AO2657&lt;&gt;"",INDEX(職員マスタ!$F$6:$F$405,$AN2657)&lt;$AO2657),"対象月に子が2歳到達済／","")&amp;IF(AND($H2657&lt;&gt;"",INDEX(職員マスタ!$B$6:$B$405,$AN2657)&lt;&gt;"",SUBSTITUTE(SUBSTITUTE($H2657," ","")," ","")&lt;&gt;SUBSTITUTE(SUBSTITUTE(INDEX(職員マスタ!$B$6:$B$405,$AN2657)," ","")," ","")),"氏名がマスタと相違／","")&amp;IF(AND($Q2657&lt;&gt;"",INDEX(職員マスタ!$E$6:$E$405,$AN2657)&lt;&gt;"",$Q2657&lt;&gt;INDEX(職員マスタ!$E$6:$E$405,$AN2657)),"子の生年月日がマスタと相違／","")&amp;IF(AND($L2657&lt;&gt;"",INDEX(職員マスタ!$G$6:$G$405,$AN2657)&lt;&gt;"",$L2657&lt;&gt;INDEX(職員マスタ!$G$6:$G$405,$AN2657)),"時短開始日がマスタと相違／","")&amp;IF(AND($M2657&lt;&gt;"",INDEX(職員マスタ!$H$6:$H$405,$AN2657)&lt;&gt;"",$M2657&lt;&gt;INDEX(職員マスタ!$H$6:$H$405,$AN2657)),"時短終了日がマスタと相違／","")))&amp;IF(AND($B2657&lt;&gt;"",$E2657=""),"報酬額が未入力／","")&amp;IF(N($U2657)&gt;0,"申請書に入力エラーが残っています／","")&amp;IF(AND($B2657&lt;&gt;"",$AO2657&lt;&gt;""),IF(COUNTIFS($B$6:$B$3005,$B2657,$C$6:$C$3005,$C2657,$D$6:$D$3005,$D2657)&gt;1,"同じ月の請求が重複しています／",""),"")&amp;IF(AND(N($E2657)&gt;0,$Z2657&lt;&gt;"",$Z2657&lt;&gt;"×",$AC2657=0,$AB2657=""),"計算額が下限以下のため不支給／",""))</f>
        <v/>
      </c>
      <c r="AL2657" s="12" t="n"/>
      <c r="AM2657" s="14">
        <f>IF($AD2657="保留中",COUNTIF($AD$6:$AD2657,"保留中"),"")</f>
        <v/>
      </c>
      <c r="AN2657" s="14">
        <f>IF($AO2657="","",IF(SUMPRODUCT(MAX((職員マスタ!$A$6:$A$405=$B2657)*(((職員マスタ!$G$6:$G$405="")+(職員マスタ!$G$6:$G$405&lt;=EOMONTH($AO2657,0)))&gt;0)*(((職員マスタ!$H$6:$H$405="")+(職員マスタ!$H$6:$H$405&gt;=$AO2657))&gt;0)*(ROW(職員マスタ!$A$6:$A$405)-5)))&gt;0,SUMPRODUCT(MAX((職員マスタ!$A$6:$A$405=$B2657)*(((職員マスタ!$G$6:$G$405="")+(職員マスタ!$G$6:$G$405&lt;=EOMONTH($AO2657,0)))&gt;0)*(((職員マスタ!$H$6:$H$405="")+(職員マスタ!$H$6:$H$405&gt;=$AO2657))&gt;0)*(ROW(職員マスタ!$A$6:$A$405)-5))),IFERROR(MATCH($B2657,職員マスタ!$A$6:$A$405,0),"")))</f>
        <v/>
      </c>
      <c r="AO2657" s="16">
        <f>IF(OR($B2657="",$C2657="",$D2657=""),"",DATE($C2657+2018,$D2657,1))</f>
        <v/>
      </c>
    </row>
    <row r="2658">
      <c r="A2658" s="11" t="n"/>
      <c r="B2658" s="12" t="n"/>
      <c r="C2658" s="12" t="n"/>
      <c r="D2658" s="12" t="n"/>
      <c r="E2658" s="13" t="n"/>
      <c r="F2658" s="12" t="n"/>
      <c r="G2658" s="13" t="n"/>
      <c r="H2658" s="12" t="n"/>
      <c r="I2658" s="12" t="n"/>
      <c r="J2658" s="12" t="n"/>
      <c r="K2658" s="12" t="n"/>
      <c r="L2658" s="11" t="n"/>
      <c r="M2658" s="11" t="n"/>
      <c r="N2658" s="11" t="n"/>
      <c r="O2658" s="11" t="n"/>
      <c r="P2658" s="12" t="n"/>
      <c r="Q2658" s="11" t="n"/>
      <c r="R2658" s="12" t="n"/>
      <c r="S2658" s="11" t="n"/>
      <c r="T2658" s="12" t="n"/>
      <c r="U2658" s="12" t="n"/>
      <c r="V2658" s="14">
        <f>IF($AN2658="",IF($B2658="","",$H2658),IF(INDEX(職員マスタ!$B$6:$B$405,$AN2658)="",$H2658,INDEX(職員マスタ!$B$6:$B$405,$AN2658)))</f>
        <v/>
      </c>
      <c r="W2658" s="14">
        <f>IF($AN2658="",IF($B2658="","",$R2658),IF(INDEX(職員マスタ!$C$6:$C$405,$AN2658)="",$R2658,INDEX(職員マスタ!$C$6:$C$405,$AN2658)))</f>
        <v/>
      </c>
      <c r="X2658" s="14">
        <f>IF($AO2658="","","R"&amp;$C2658&amp;"."&amp;$D2658)</f>
        <v/>
      </c>
      <c r="Y2658" s="15">
        <f>IF($AN2658="","",IF(INDEX(職員マスタ!$K$6:$K$405,$AN2658)="","",INDEX(職員マスタ!$K$6:$K$405,$AN2658)))</f>
        <v/>
      </c>
      <c r="Z2658" s="14">
        <f>IF(OR($E2658="",$Y2658=""),"",IF($E2658&gt;=$Y2658,"×",IF($E2658&gt;=$Y2658*設定!$C$5,"△","○")))</f>
        <v/>
      </c>
      <c r="AA2658" s="15">
        <f>IF($Z2658="","",IF($Z2658="×",0,IF($Z2658="○",ROUNDDOWN($E2658*設定!$C$4,0),ROUNDDOWN($E2658*ROUND((9*$Y2658-9*$E2658)/(10*$E2658),4),0))))</f>
        <v/>
      </c>
      <c r="AB2658" s="13" t="n"/>
      <c r="AC2658" s="15">
        <f>IF($B2658="","",IF($AB2658&lt;&gt;"",$AB2658,IF($AA2658="","",IF($AA2658&lt;=設定!$C$3,0,$AA2658))))</f>
        <v/>
      </c>
      <c r="AD2658" s="14">
        <f>IF($B2658="","",IF(AND($AE2658&lt;&gt;"",$AG2658="",$AJ2658=""),"保留中",IF($AJ2658&lt;&gt;"",IF(N($AC2658)&gt;0,"支給済","不支給"),IF($AC2658="","要確認",IF($AC2658=0,"不支給","未処理")))))</f>
        <v/>
      </c>
      <c r="AE2658" s="12" t="n"/>
      <c r="AF2658" s="11" t="n"/>
      <c r="AG2658" s="11" t="n"/>
      <c r="AH2658" s="11" t="n"/>
      <c r="AI2658" s="14">
        <f>IF(AND($AD2658="保留中",$AF2658&lt;&gt;""),TODAY()-$AF2658,"")</f>
        <v/>
      </c>
      <c r="AJ2658" s="12" t="n"/>
      <c r="AK2658" s="14">
        <f>IF($B2658="","",IF($AO2658="","対象年月が未入力／","")&amp;IF($B2658="","",IF($AN2658="","職員マスタに未登録の職員番号／",IF($Y2658="","標準報酬月額が未登録／","")&amp;IF(AND($AO2658&lt;&gt;"",OR(AND(INDEX(職員マスタ!$G$6:$G$405,$AN2658)&lt;&gt;"",INDEX(職員マスタ!$G$6:$G$405,$AN2658)&gt;EOMONTH($AO2658,0)),AND(INDEX(職員マスタ!$H$6:$H$405,$AN2658)&lt;&gt;"",INDEX(職員マスタ!$H$6:$H$405,$AN2658)&lt;$AO2658))),"対象月が時短期間外／","")&amp;IF(AND(INDEX(職員マスタ!$F$6:$F$405,$AN2658)&lt;&gt;"",$AO2658&lt;&gt;"",INDEX(職員マスタ!$F$6:$F$405,$AN2658)&lt;$AO2658),"対象月に子が2歳到達済／","")&amp;IF(AND($H2658&lt;&gt;"",INDEX(職員マスタ!$B$6:$B$405,$AN2658)&lt;&gt;"",SUBSTITUTE(SUBSTITUTE($H2658," ","")," ","")&lt;&gt;SUBSTITUTE(SUBSTITUTE(INDEX(職員マスタ!$B$6:$B$405,$AN2658)," ","")," ","")),"氏名がマスタと相違／","")&amp;IF(AND($Q2658&lt;&gt;"",INDEX(職員マスタ!$E$6:$E$405,$AN2658)&lt;&gt;"",$Q2658&lt;&gt;INDEX(職員マスタ!$E$6:$E$405,$AN2658)),"子の生年月日がマスタと相違／","")&amp;IF(AND($L2658&lt;&gt;"",INDEX(職員マスタ!$G$6:$G$405,$AN2658)&lt;&gt;"",$L2658&lt;&gt;INDEX(職員マスタ!$G$6:$G$405,$AN2658)),"時短開始日がマスタと相違／","")&amp;IF(AND($M2658&lt;&gt;"",INDEX(職員マスタ!$H$6:$H$405,$AN2658)&lt;&gt;"",$M2658&lt;&gt;INDEX(職員マスタ!$H$6:$H$405,$AN2658)),"時短終了日がマスタと相違／","")))&amp;IF(AND($B2658&lt;&gt;"",$E2658=""),"報酬額が未入力／","")&amp;IF(N($U2658)&gt;0,"申請書に入力エラーが残っています／","")&amp;IF(AND($B2658&lt;&gt;"",$AO2658&lt;&gt;""),IF(COUNTIFS($B$6:$B$3005,$B2658,$C$6:$C$3005,$C2658,$D$6:$D$3005,$D2658)&gt;1,"同じ月の請求が重複しています／",""),"")&amp;IF(AND(N($E2658)&gt;0,$Z2658&lt;&gt;"",$Z2658&lt;&gt;"×",$AC2658=0,$AB2658=""),"計算額が下限以下のため不支給／",""))</f>
        <v/>
      </c>
      <c r="AL2658" s="12" t="n"/>
      <c r="AM2658" s="14">
        <f>IF($AD2658="保留中",COUNTIF($AD$6:$AD2658,"保留中"),"")</f>
        <v/>
      </c>
      <c r="AN2658" s="14">
        <f>IF($AO2658="","",IF(SUMPRODUCT(MAX((職員マスタ!$A$6:$A$405=$B2658)*(((職員マスタ!$G$6:$G$405="")+(職員マスタ!$G$6:$G$405&lt;=EOMONTH($AO2658,0)))&gt;0)*(((職員マスタ!$H$6:$H$405="")+(職員マスタ!$H$6:$H$405&gt;=$AO2658))&gt;0)*(ROW(職員マスタ!$A$6:$A$405)-5)))&gt;0,SUMPRODUCT(MAX((職員マスタ!$A$6:$A$405=$B2658)*(((職員マスタ!$G$6:$G$405="")+(職員マスタ!$G$6:$G$405&lt;=EOMONTH($AO2658,0)))&gt;0)*(((職員マスタ!$H$6:$H$405="")+(職員マスタ!$H$6:$H$405&gt;=$AO2658))&gt;0)*(ROW(職員マスタ!$A$6:$A$405)-5))),IFERROR(MATCH($B2658,職員マスタ!$A$6:$A$405,0),"")))</f>
        <v/>
      </c>
      <c r="AO2658" s="16">
        <f>IF(OR($B2658="",$C2658="",$D2658=""),"",DATE($C2658+2018,$D2658,1))</f>
        <v/>
      </c>
    </row>
    <row r="2659">
      <c r="A2659" s="11" t="n"/>
      <c r="B2659" s="12" t="n"/>
      <c r="C2659" s="12" t="n"/>
      <c r="D2659" s="12" t="n"/>
      <c r="E2659" s="13" t="n"/>
      <c r="F2659" s="12" t="n"/>
      <c r="G2659" s="13" t="n"/>
      <c r="H2659" s="12" t="n"/>
      <c r="I2659" s="12" t="n"/>
      <c r="J2659" s="12" t="n"/>
      <c r="K2659" s="12" t="n"/>
      <c r="L2659" s="11" t="n"/>
      <c r="M2659" s="11" t="n"/>
      <c r="N2659" s="11" t="n"/>
      <c r="O2659" s="11" t="n"/>
      <c r="P2659" s="12" t="n"/>
      <c r="Q2659" s="11" t="n"/>
      <c r="R2659" s="12" t="n"/>
      <c r="S2659" s="11" t="n"/>
      <c r="T2659" s="12" t="n"/>
      <c r="U2659" s="12" t="n"/>
      <c r="V2659" s="14">
        <f>IF($AN2659="",IF($B2659="","",$H2659),IF(INDEX(職員マスタ!$B$6:$B$405,$AN2659)="",$H2659,INDEX(職員マスタ!$B$6:$B$405,$AN2659)))</f>
        <v/>
      </c>
      <c r="W2659" s="14">
        <f>IF($AN2659="",IF($B2659="","",$R2659),IF(INDEX(職員マスタ!$C$6:$C$405,$AN2659)="",$R2659,INDEX(職員マスタ!$C$6:$C$405,$AN2659)))</f>
        <v/>
      </c>
      <c r="X2659" s="14">
        <f>IF($AO2659="","","R"&amp;$C2659&amp;"."&amp;$D2659)</f>
        <v/>
      </c>
      <c r="Y2659" s="15">
        <f>IF($AN2659="","",IF(INDEX(職員マスタ!$K$6:$K$405,$AN2659)="","",INDEX(職員マスタ!$K$6:$K$405,$AN2659)))</f>
        <v/>
      </c>
      <c r="Z2659" s="14">
        <f>IF(OR($E2659="",$Y2659=""),"",IF($E2659&gt;=$Y2659,"×",IF($E2659&gt;=$Y2659*設定!$C$5,"△","○")))</f>
        <v/>
      </c>
      <c r="AA2659" s="15">
        <f>IF($Z2659="","",IF($Z2659="×",0,IF($Z2659="○",ROUNDDOWN($E2659*設定!$C$4,0),ROUNDDOWN($E2659*ROUND((9*$Y2659-9*$E2659)/(10*$E2659),4),0))))</f>
        <v/>
      </c>
      <c r="AB2659" s="13" t="n"/>
      <c r="AC2659" s="15">
        <f>IF($B2659="","",IF($AB2659&lt;&gt;"",$AB2659,IF($AA2659="","",IF($AA2659&lt;=設定!$C$3,0,$AA2659))))</f>
        <v/>
      </c>
      <c r="AD2659" s="14">
        <f>IF($B2659="","",IF(AND($AE2659&lt;&gt;"",$AG2659="",$AJ2659=""),"保留中",IF($AJ2659&lt;&gt;"",IF(N($AC2659)&gt;0,"支給済","不支給"),IF($AC2659="","要確認",IF($AC2659=0,"不支給","未処理")))))</f>
        <v/>
      </c>
      <c r="AE2659" s="12" t="n"/>
      <c r="AF2659" s="11" t="n"/>
      <c r="AG2659" s="11" t="n"/>
      <c r="AH2659" s="11" t="n"/>
      <c r="AI2659" s="14">
        <f>IF(AND($AD2659="保留中",$AF2659&lt;&gt;""),TODAY()-$AF2659,"")</f>
        <v/>
      </c>
      <c r="AJ2659" s="12" t="n"/>
      <c r="AK2659" s="14">
        <f>IF($B2659="","",IF($AO2659="","対象年月が未入力／","")&amp;IF($B2659="","",IF($AN2659="","職員マスタに未登録の職員番号／",IF($Y2659="","標準報酬月額が未登録／","")&amp;IF(AND($AO2659&lt;&gt;"",OR(AND(INDEX(職員マスタ!$G$6:$G$405,$AN2659)&lt;&gt;"",INDEX(職員マスタ!$G$6:$G$405,$AN2659)&gt;EOMONTH($AO2659,0)),AND(INDEX(職員マスタ!$H$6:$H$405,$AN2659)&lt;&gt;"",INDEX(職員マスタ!$H$6:$H$405,$AN2659)&lt;$AO2659))),"対象月が時短期間外／","")&amp;IF(AND(INDEX(職員マスタ!$F$6:$F$405,$AN2659)&lt;&gt;"",$AO2659&lt;&gt;"",INDEX(職員マスタ!$F$6:$F$405,$AN2659)&lt;$AO2659),"対象月に子が2歳到達済／","")&amp;IF(AND($H2659&lt;&gt;"",INDEX(職員マスタ!$B$6:$B$405,$AN2659)&lt;&gt;"",SUBSTITUTE(SUBSTITUTE($H2659," ","")," ","")&lt;&gt;SUBSTITUTE(SUBSTITUTE(INDEX(職員マスタ!$B$6:$B$405,$AN2659)," ","")," ","")),"氏名がマスタと相違／","")&amp;IF(AND($Q2659&lt;&gt;"",INDEX(職員マスタ!$E$6:$E$405,$AN2659)&lt;&gt;"",$Q2659&lt;&gt;INDEX(職員マスタ!$E$6:$E$405,$AN2659)),"子の生年月日がマスタと相違／","")&amp;IF(AND($L2659&lt;&gt;"",INDEX(職員マスタ!$G$6:$G$405,$AN2659)&lt;&gt;"",$L2659&lt;&gt;INDEX(職員マスタ!$G$6:$G$405,$AN2659)),"時短開始日がマスタと相違／","")&amp;IF(AND($M2659&lt;&gt;"",INDEX(職員マスタ!$H$6:$H$405,$AN2659)&lt;&gt;"",$M2659&lt;&gt;INDEX(職員マスタ!$H$6:$H$405,$AN2659)),"時短終了日がマスタと相違／","")))&amp;IF(AND($B2659&lt;&gt;"",$E2659=""),"報酬額が未入力／","")&amp;IF(N($U2659)&gt;0,"申請書に入力エラーが残っています／","")&amp;IF(AND($B2659&lt;&gt;"",$AO2659&lt;&gt;""),IF(COUNTIFS($B$6:$B$3005,$B2659,$C$6:$C$3005,$C2659,$D$6:$D$3005,$D2659)&gt;1,"同じ月の請求が重複しています／",""),"")&amp;IF(AND(N($E2659)&gt;0,$Z2659&lt;&gt;"",$Z2659&lt;&gt;"×",$AC2659=0,$AB2659=""),"計算額が下限以下のため不支給／",""))</f>
        <v/>
      </c>
      <c r="AL2659" s="12" t="n"/>
      <c r="AM2659" s="14">
        <f>IF($AD2659="保留中",COUNTIF($AD$6:$AD2659,"保留中"),"")</f>
        <v/>
      </c>
      <c r="AN2659" s="14">
        <f>IF($AO2659="","",IF(SUMPRODUCT(MAX((職員マスタ!$A$6:$A$405=$B2659)*(((職員マスタ!$G$6:$G$405="")+(職員マスタ!$G$6:$G$405&lt;=EOMONTH($AO2659,0)))&gt;0)*(((職員マスタ!$H$6:$H$405="")+(職員マスタ!$H$6:$H$405&gt;=$AO2659))&gt;0)*(ROW(職員マスタ!$A$6:$A$405)-5)))&gt;0,SUMPRODUCT(MAX((職員マスタ!$A$6:$A$405=$B2659)*(((職員マスタ!$G$6:$G$405="")+(職員マスタ!$G$6:$G$405&lt;=EOMONTH($AO2659,0)))&gt;0)*(((職員マスタ!$H$6:$H$405="")+(職員マスタ!$H$6:$H$405&gt;=$AO2659))&gt;0)*(ROW(職員マスタ!$A$6:$A$405)-5))),IFERROR(MATCH($B2659,職員マスタ!$A$6:$A$405,0),"")))</f>
        <v/>
      </c>
      <c r="AO2659" s="16">
        <f>IF(OR($B2659="",$C2659="",$D2659=""),"",DATE($C2659+2018,$D2659,1))</f>
        <v/>
      </c>
    </row>
    <row r="2660">
      <c r="A2660" s="11" t="n"/>
      <c r="B2660" s="12" t="n"/>
      <c r="C2660" s="12" t="n"/>
      <c r="D2660" s="12" t="n"/>
      <c r="E2660" s="13" t="n"/>
      <c r="F2660" s="12" t="n"/>
      <c r="G2660" s="13" t="n"/>
      <c r="H2660" s="12" t="n"/>
      <c r="I2660" s="12" t="n"/>
      <c r="J2660" s="12" t="n"/>
      <c r="K2660" s="12" t="n"/>
      <c r="L2660" s="11" t="n"/>
      <c r="M2660" s="11" t="n"/>
      <c r="N2660" s="11" t="n"/>
      <c r="O2660" s="11" t="n"/>
      <c r="P2660" s="12" t="n"/>
      <c r="Q2660" s="11" t="n"/>
      <c r="R2660" s="12" t="n"/>
      <c r="S2660" s="11" t="n"/>
      <c r="T2660" s="12" t="n"/>
      <c r="U2660" s="12" t="n"/>
      <c r="V2660" s="14">
        <f>IF($AN2660="",IF($B2660="","",$H2660),IF(INDEX(職員マスタ!$B$6:$B$405,$AN2660)="",$H2660,INDEX(職員マスタ!$B$6:$B$405,$AN2660)))</f>
        <v/>
      </c>
      <c r="W2660" s="14">
        <f>IF($AN2660="",IF($B2660="","",$R2660),IF(INDEX(職員マスタ!$C$6:$C$405,$AN2660)="",$R2660,INDEX(職員マスタ!$C$6:$C$405,$AN2660)))</f>
        <v/>
      </c>
      <c r="X2660" s="14">
        <f>IF($AO2660="","","R"&amp;$C2660&amp;"."&amp;$D2660)</f>
        <v/>
      </c>
      <c r="Y2660" s="15">
        <f>IF($AN2660="","",IF(INDEX(職員マスタ!$K$6:$K$405,$AN2660)="","",INDEX(職員マスタ!$K$6:$K$405,$AN2660)))</f>
        <v/>
      </c>
      <c r="Z2660" s="14">
        <f>IF(OR($E2660="",$Y2660=""),"",IF($E2660&gt;=$Y2660,"×",IF($E2660&gt;=$Y2660*設定!$C$5,"△","○")))</f>
        <v/>
      </c>
      <c r="AA2660" s="15">
        <f>IF($Z2660="","",IF($Z2660="×",0,IF($Z2660="○",ROUNDDOWN($E2660*設定!$C$4,0),ROUNDDOWN($E2660*ROUND((9*$Y2660-9*$E2660)/(10*$E2660),4),0))))</f>
        <v/>
      </c>
      <c r="AB2660" s="13" t="n"/>
      <c r="AC2660" s="15">
        <f>IF($B2660="","",IF($AB2660&lt;&gt;"",$AB2660,IF($AA2660="","",IF($AA2660&lt;=設定!$C$3,0,$AA2660))))</f>
        <v/>
      </c>
      <c r="AD2660" s="14">
        <f>IF($B2660="","",IF(AND($AE2660&lt;&gt;"",$AG2660="",$AJ2660=""),"保留中",IF($AJ2660&lt;&gt;"",IF(N($AC2660)&gt;0,"支給済","不支給"),IF($AC2660="","要確認",IF($AC2660=0,"不支給","未処理")))))</f>
        <v/>
      </c>
      <c r="AE2660" s="12" t="n"/>
      <c r="AF2660" s="11" t="n"/>
      <c r="AG2660" s="11" t="n"/>
      <c r="AH2660" s="11" t="n"/>
      <c r="AI2660" s="14">
        <f>IF(AND($AD2660="保留中",$AF2660&lt;&gt;""),TODAY()-$AF2660,"")</f>
        <v/>
      </c>
      <c r="AJ2660" s="12" t="n"/>
      <c r="AK2660" s="14">
        <f>IF($B2660="","",IF($AO2660="","対象年月が未入力／","")&amp;IF($B2660="","",IF($AN2660="","職員マスタに未登録の職員番号／",IF($Y2660="","標準報酬月額が未登録／","")&amp;IF(AND($AO2660&lt;&gt;"",OR(AND(INDEX(職員マスタ!$G$6:$G$405,$AN2660)&lt;&gt;"",INDEX(職員マスタ!$G$6:$G$405,$AN2660)&gt;EOMONTH($AO2660,0)),AND(INDEX(職員マスタ!$H$6:$H$405,$AN2660)&lt;&gt;"",INDEX(職員マスタ!$H$6:$H$405,$AN2660)&lt;$AO2660))),"対象月が時短期間外／","")&amp;IF(AND(INDEX(職員マスタ!$F$6:$F$405,$AN2660)&lt;&gt;"",$AO2660&lt;&gt;"",INDEX(職員マスタ!$F$6:$F$405,$AN2660)&lt;$AO2660),"対象月に子が2歳到達済／","")&amp;IF(AND($H2660&lt;&gt;"",INDEX(職員マスタ!$B$6:$B$405,$AN2660)&lt;&gt;"",SUBSTITUTE(SUBSTITUTE($H2660," ","")," ","")&lt;&gt;SUBSTITUTE(SUBSTITUTE(INDEX(職員マスタ!$B$6:$B$405,$AN2660)," ","")," ","")),"氏名がマスタと相違／","")&amp;IF(AND($Q2660&lt;&gt;"",INDEX(職員マスタ!$E$6:$E$405,$AN2660)&lt;&gt;"",$Q2660&lt;&gt;INDEX(職員マスタ!$E$6:$E$405,$AN2660)),"子の生年月日がマスタと相違／","")&amp;IF(AND($L2660&lt;&gt;"",INDEX(職員マスタ!$G$6:$G$405,$AN2660)&lt;&gt;"",$L2660&lt;&gt;INDEX(職員マスタ!$G$6:$G$405,$AN2660)),"時短開始日がマスタと相違／","")&amp;IF(AND($M2660&lt;&gt;"",INDEX(職員マスタ!$H$6:$H$405,$AN2660)&lt;&gt;"",$M2660&lt;&gt;INDEX(職員マスタ!$H$6:$H$405,$AN2660)),"時短終了日がマスタと相違／","")))&amp;IF(AND($B2660&lt;&gt;"",$E2660=""),"報酬額が未入力／","")&amp;IF(N($U2660)&gt;0,"申請書に入力エラーが残っています／","")&amp;IF(AND($B2660&lt;&gt;"",$AO2660&lt;&gt;""),IF(COUNTIFS($B$6:$B$3005,$B2660,$C$6:$C$3005,$C2660,$D$6:$D$3005,$D2660)&gt;1,"同じ月の請求が重複しています／",""),"")&amp;IF(AND(N($E2660)&gt;0,$Z2660&lt;&gt;"",$Z2660&lt;&gt;"×",$AC2660=0,$AB2660=""),"計算額が下限以下のため不支給／",""))</f>
        <v/>
      </c>
      <c r="AL2660" s="12" t="n"/>
      <c r="AM2660" s="14">
        <f>IF($AD2660="保留中",COUNTIF($AD$6:$AD2660,"保留中"),"")</f>
        <v/>
      </c>
      <c r="AN2660" s="14">
        <f>IF($AO2660="","",IF(SUMPRODUCT(MAX((職員マスタ!$A$6:$A$405=$B2660)*(((職員マスタ!$G$6:$G$405="")+(職員マスタ!$G$6:$G$405&lt;=EOMONTH($AO2660,0)))&gt;0)*(((職員マスタ!$H$6:$H$405="")+(職員マスタ!$H$6:$H$405&gt;=$AO2660))&gt;0)*(ROW(職員マスタ!$A$6:$A$405)-5)))&gt;0,SUMPRODUCT(MAX((職員マスタ!$A$6:$A$405=$B2660)*(((職員マスタ!$G$6:$G$405="")+(職員マスタ!$G$6:$G$405&lt;=EOMONTH($AO2660,0)))&gt;0)*(((職員マスタ!$H$6:$H$405="")+(職員マスタ!$H$6:$H$405&gt;=$AO2660))&gt;0)*(ROW(職員マスタ!$A$6:$A$405)-5))),IFERROR(MATCH($B2660,職員マスタ!$A$6:$A$405,0),"")))</f>
        <v/>
      </c>
      <c r="AO2660" s="16">
        <f>IF(OR($B2660="",$C2660="",$D2660=""),"",DATE($C2660+2018,$D2660,1))</f>
        <v/>
      </c>
    </row>
    <row r="2661">
      <c r="A2661" s="11" t="n"/>
      <c r="B2661" s="12" t="n"/>
      <c r="C2661" s="12" t="n"/>
      <c r="D2661" s="12" t="n"/>
      <c r="E2661" s="13" t="n"/>
      <c r="F2661" s="12" t="n"/>
      <c r="G2661" s="13" t="n"/>
      <c r="H2661" s="12" t="n"/>
      <c r="I2661" s="12" t="n"/>
      <c r="J2661" s="12" t="n"/>
      <c r="K2661" s="12" t="n"/>
      <c r="L2661" s="11" t="n"/>
      <c r="M2661" s="11" t="n"/>
      <c r="N2661" s="11" t="n"/>
      <c r="O2661" s="11" t="n"/>
      <c r="P2661" s="12" t="n"/>
      <c r="Q2661" s="11" t="n"/>
      <c r="R2661" s="12" t="n"/>
      <c r="S2661" s="11" t="n"/>
      <c r="T2661" s="12" t="n"/>
      <c r="U2661" s="12" t="n"/>
      <c r="V2661" s="14">
        <f>IF($AN2661="",IF($B2661="","",$H2661),IF(INDEX(職員マスタ!$B$6:$B$405,$AN2661)="",$H2661,INDEX(職員マスタ!$B$6:$B$405,$AN2661)))</f>
        <v/>
      </c>
      <c r="W2661" s="14">
        <f>IF($AN2661="",IF($B2661="","",$R2661),IF(INDEX(職員マスタ!$C$6:$C$405,$AN2661)="",$R2661,INDEX(職員マスタ!$C$6:$C$405,$AN2661)))</f>
        <v/>
      </c>
      <c r="X2661" s="14">
        <f>IF($AO2661="","","R"&amp;$C2661&amp;"."&amp;$D2661)</f>
        <v/>
      </c>
      <c r="Y2661" s="15">
        <f>IF($AN2661="","",IF(INDEX(職員マスタ!$K$6:$K$405,$AN2661)="","",INDEX(職員マスタ!$K$6:$K$405,$AN2661)))</f>
        <v/>
      </c>
      <c r="Z2661" s="14">
        <f>IF(OR($E2661="",$Y2661=""),"",IF($E2661&gt;=$Y2661,"×",IF($E2661&gt;=$Y2661*設定!$C$5,"△","○")))</f>
        <v/>
      </c>
      <c r="AA2661" s="15">
        <f>IF($Z2661="","",IF($Z2661="×",0,IF($Z2661="○",ROUNDDOWN($E2661*設定!$C$4,0),ROUNDDOWN($E2661*ROUND((9*$Y2661-9*$E2661)/(10*$E2661),4),0))))</f>
        <v/>
      </c>
      <c r="AB2661" s="13" t="n"/>
      <c r="AC2661" s="15">
        <f>IF($B2661="","",IF($AB2661&lt;&gt;"",$AB2661,IF($AA2661="","",IF($AA2661&lt;=設定!$C$3,0,$AA2661))))</f>
        <v/>
      </c>
      <c r="AD2661" s="14">
        <f>IF($B2661="","",IF(AND($AE2661&lt;&gt;"",$AG2661="",$AJ2661=""),"保留中",IF($AJ2661&lt;&gt;"",IF(N($AC2661)&gt;0,"支給済","不支給"),IF($AC2661="","要確認",IF($AC2661=0,"不支給","未処理")))))</f>
        <v/>
      </c>
      <c r="AE2661" s="12" t="n"/>
      <c r="AF2661" s="11" t="n"/>
      <c r="AG2661" s="11" t="n"/>
      <c r="AH2661" s="11" t="n"/>
      <c r="AI2661" s="14">
        <f>IF(AND($AD2661="保留中",$AF2661&lt;&gt;""),TODAY()-$AF2661,"")</f>
        <v/>
      </c>
      <c r="AJ2661" s="12" t="n"/>
      <c r="AK2661" s="14">
        <f>IF($B2661="","",IF($AO2661="","対象年月が未入力／","")&amp;IF($B2661="","",IF($AN2661="","職員マスタに未登録の職員番号／",IF($Y2661="","標準報酬月額が未登録／","")&amp;IF(AND($AO2661&lt;&gt;"",OR(AND(INDEX(職員マスタ!$G$6:$G$405,$AN2661)&lt;&gt;"",INDEX(職員マスタ!$G$6:$G$405,$AN2661)&gt;EOMONTH($AO2661,0)),AND(INDEX(職員マスタ!$H$6:$H$405,$AN2661)&lt;&gt;"",INDEX(職員マスタ!$H$6:$H$405,$AN2661)&lt;$AO2661))),"対象月が時短期間外／","")&amp;IF(AND(INDEX(職員マスタ!$F$6:$F$405,$AN2661)&lt;&gt;"",$AO2661&lt;&gt;"",INDEX(職員マスタ!$F$6:$F$405,$AN2661)&lt;$AO2661),"対象月に子が2歳到達済／","")&amp;IF(AND($H2661&lt;&gt;"",INDEX(職員マスタ!$B$6:$B$405,$AN2661)&lt;&gt;"",SUBSTITUTE(SUBSTITUTE($H2661," ","")," ","")&lt;&gt;SUBSTITUTE(SUBSTITUTE(INDEX(職員マスタ!$B$6:$B$405,$AN2661)," ","")," ","")),"氏名がマスタと相違／","")&amp;IF(AND($Q2661&lt;&gt;"",INDEX(職員マスタ!$E$6:$E$405,$AN2661)&lt;&gt;"",$Q2661&lt;&gt;INDEX(職員マスタ!$E$6:$E$405,$AN2661)),"子の生年月日がマスタと相違／","")&amp;IF(AND($L2661&lt;&gt;"",INDEX(職員マスタ!$G$6:$G$405,$AN2661)&lt;&gt;"",$L2661&lt;&gt;INDEX(職員マスタ!$G$6:$G$405,$AN2661)),"時短開始日がマスタと相違／","")&amp;IF(AND($M2661&lt;&gt;"",INDEX(職員マスタ!$H$6:$H$405,$AN2661)&lt;&gt;"",$M2661&lt;&gt;INDEX(職員マスタ!$H$6:$H$405,$AN2661)),"時短終了日がマスタと相違／","")))&amp;IF(AND($B2661&lt;&gt;"",$E2661=""),"報酬額が未入力／","")&amp;IF(N($U2661)&gt;0,"申請書に入力エラーが残っています／","")&amp;IF(AND($B2661&lt;&gt;"",$AO2661&lt;&gt;""),IF(COUNTIFS($B$6:$B$3005,$B2661,$C$6:$C$3005,$C2661,$D$6:$D$3005,$D2661)&gt;1,"同じ月の請求が重複しています／",""),"")&amp;IF(AND(N($E2661)&gt;0,$Z2661&lt;&gt;"",$Z2661&lt;&gt;"×",$AC2661=0,$AB2661=""),"計算額が下限以下のため不支給／",""))</f>
        <v/>
      </c>
      <c r="AL2661" s="12" t="n"/>
      <c r="AM2661" s="14">
        <f>IF($AD2661="保留中",COUNTIF($AD$6:$AD2661,"保留中"),"")</f>
        <v/>
      </c>
      <c r="AN2661" s="14">
        <f>IF($AO2661="","",IF(SUMPRODUCT(MAX((職員マスタ!$A$6:$A$405=$B2661)*(((職員マスタ!$G$6:$G$405="")+(職員マスタ!$G$6:$G$405&lt;=EOMONTH($AO2661,0)))&gt;0)*(((職員マスタ!$H$6:$H$405="")+(職員マスタ!$H$6:$H$405&gt;=$AO2661))&gt;0)*(ROW(職員マスタ!$A$6:$A$405)-5)))&gt;0,SUMPRODUCT(MAX((職員マスタ!$A$6:$A$405=$B2661)*(((職員マスタ!$G$6:$G$405="")+(職員マスタ!$G$6:$G$405&lt;=EOMONTH($AO2661,0)))&gt;0)*(((職員マスタ!$H$6:$H$405="")+(職員マスタ!$H$6:$H$405&gt;=$AO2661))&gt;0)*(ROW(職員マスタ!$A$6:$A$405)-5))),IFERROR(MATCH($B2661,職員マスタ!$A$6:$A$405,0),"")))</f>
        <v/>
      </c>
      <c r="AO2661" s="16">
        <f>IF(OR($B2661="",$C2661="",$D2661=""),"",DATE($C2661+2018,$D2661,1))</f>
        <v/>
      </c>
    </row>
    <row r="2662">
      <c r="A2662" s="11" t="n"/>
      <c r="B2662" s="12" t="n"/>
      <c r="C2662" s="12" t="n"/>
      <c r="D2662" s="12" t="n"/>
      <c r="E2662" s="13" t="n"/>
      <c r="F2662" s="12" t="n"/>
      <c r="G2662" s="13" t="n"/>
      <c r="H2662" s="12" t="n"/>
      <c r="I2662" s="12" t="n"/>
      <c r="J2662" s="12" t="n"/>
      <c r="K2662" s="12" t="n"/>
      <c r="L2662" s="11" t="n"/>
      <c r="M2662" s="11" t="n"/>
      <c r="N2662" s="11" t="n"/>
      <c r="O2662" s="11" t="n"/>
      <c r="P2662" s="12" t="n"/>
      <c r="Q2662" s="11" t="n"/>
      <c r="R2662" s="12" t="n"/>
      <c r="S2662" s="11" t="n"/>
      <c r="T2662" s="12" t="n"/>
      <c r="U2662" s="12" t="n"/>
      <c r="V2662" s="14">
        <f>IF($AN2662="",IF($B2662="","",$H2662),IF(INDEX(職員マスタ!$B$6:$B$405,$AN2662)="",$H2662,INDEX(職員マスタ!$B$6:$B$405,$AN2662)))</f>
        <v/>
      </c>
      <c r="W2662" s="14">
        <f>IF($AN2662="",IF($B2662="","",$R2662),IF(INDEX(職員マスタ!$C$6:$C$405,$AN2662)="",$R2662,INDEX(職員マスタ!$C$6:$C$405,$AN2662)))</f>
        <v/>
      </c>
      <c r="X2662" s="14">
        <f>IF($AO2662="","","R"&amp;$C2662&amp;"."&amp;$D2662)</f>
        <v/>
      </c>
      <c r="Y2662" s="15">
        <f>IF($AN2662="","",IF(INDEX(職員マスタ!$K$6:$K$405,$AN2662)="","",INDEX(職員マスタ!$K$6:$K$405,$AN2662)))</f>
        <v/>
      </c>
      <c r="Z2662" s="14">
        <f>IF(OR($E2662="",$Y2662=""),"",IF($E2662&gt;=$Y2662,"×",IF($E2662&gt;=$Y2662*設定!$C$5,"△","○")))</f>
        <v/>
      </c>
      <c r="AA2662" s="15">
        <f>IF($Z2662="","",IF($Z2662="×",0,IF($Z2662="○",ROUNDDOWN($E2662*設定!$C$4,0),ROUNDDOWN($E2662*ROUND((9*$Y2662-9*$E2662)/(10*$E2662),4),0))))</f>
        <v/>
      </c>
      <c r="AB2662" s="13" t="n"/>
      <c r="AC2662" s="15">
        <f>IF($B2662="","",IF($AB2662&lt;&gt;"",$AB2662,IF($AA2662="","",IF($AA2662&lt;=設定!$C$3,0,$AA2662))))</f>
        <v/>
      </c>
      <c r="AD2662" s="14">
        <f>IF($B2662="","",IF(AND($AE2662&lt;&gt;"",$AG2662="",$AJ2662=""),"保留中",IF($AJ2662&lt;&gt;"",IF(N($AC2662)&gt;0,"支給済","不支給"),IF($AC2662="","要確認",IF($AC2662=0,"不支給","未処理")))))</f>
        <v/>
      </c>
      <c r="AE2662" s="12" t="n"/>
      <c r="AF2662" s="11" t="n"/>
      <c r="AG2662" s="11" t="n"/>
      <c r="AH2662" s="11" t="n"/>
      <c r="AI2662" s="14">
        <f>IF(AND($AD2662="保留中",$AF2662&lt;&gt;""),TODAY()-$AF2662,"")</f>
        <v/>
      </c>
      <c r="AJ2662" s="12" t="n"/>
      <c r="AK2662" s="14">
        <f>IF($B2662="","",IF($AO2662="","対象年月が未入力／","")&amp;IF($B2662="","",IF($AN2662="","職員マスタに未登録の職員番号／",IF($Y2662="","標準報酬月額が未登録／","")&amp;IF(AND($AO2662&lt;&gt;"",OR(AND(INDEX(職員マスタ!$G$6:$G$405,$AN2662)&lt;&gt;"",INDEX(職員マスタ!$G$6:$G$405,$AN2662)&gt;EOMONTH($AO2662,0)),AND(INDEX(職員マスタ!$H$6:$H$405,$AN2662)&lt;&gt;"",INDEX(職員マスタ!$H$6:$H$405,$AN2662)&lt;$AO2662))),"対象月が時短期間外／","")&amp;IF(AND(INDEX(職員マスタ!$F$6:$F$405,$AN2662)&lt;&gt;"",$AO2662&lt;&gt;"",INDEX(職員マスタ!$F$6:$F$405,$AN2662)&lt;$AO2662),"対象月に子が2歳到達済／","")&amp;IF(AND($H2662&lt;&gt;"",INDEX(職員マスタ!$B$6:$B$405,$AN2662)&lt;&gt;"",SUBSTITUTE(SUBSTITUTE($H2662," ","")," ","")&lt;&gt;SUBSTITUTE(SUBSTITUTE(INDEX(職員マスタ!$B$6:$B$405,$AN2662)," ","")," ","")),"氏名がマスタと相違／","")&amp;IF(AND($Q2662&lt;&gt;"",INDEX(職員マスタ!$E$6:$E$405,$AN2662)&lt;&gt;"",$Q2662&lt;&gt;INDEX(職員マスタ!$E$6:$E$405,$AN2662)),"子の生年月日がマスタと相違／","")&amp;IF(AND($L2662&lt;&gt;"",INDEX(職員マスタ!$G$6:$G$405,$AN2662)&lt;&gt;"",$L2662&lt;&gt;INDEX(職員マスタ!$G$6:$G$405,$AN2662)),"時短開始日がマスタと相違／","")&amp;IF(AND($M2662&lt;&gt;"",INDEX(職員マスタ!$H$6:$H$405,$AN2662)&lt;&gt;"",$M2662&lt;&gt;INDEX(職員マスタ!$H$6:$H$405,$AN2662)),"時短終了日がマスタと相違／","")))&amp;IF(AND($B2662&lt;&gt;"",$E2662=""),"報酬額が未入力／","")&amp;IF(N($U2662)&gt;0,"申請書に入力エラーが残っています／","")&amp;IF(AND($B2662&lt;&gt;"",$AO2662&lt;&gt;""),IF(COUNTIFS($B$6:$B$3005,$B2662,$C$6:$C$3005,$C2662,$D$6:$D$3005,$D2662)&gt;1,"同じ月の請求が重複しています／",""),"")&amp;IF(AND(N($E2662)&gt;0,$Z2662&lt;&gt;"",$Z2662&lt;&gt;"×",$AC2662=0,$AB2662=""),"計算額が下限以下のため不支給／",""))</f>
        <v/>
      </c>
      <c r="AL2662" s="12" t="n"/>
      <c r="AM2662" s="14">
        <f>IF($AD2662="保留中",COUNTIF($AD$6:$AD2662,"保留中"),"")</f>
        <v/>
      </c>
      <c r="AN2662" s="14">
        <f>IF($AO2662="","",IF(SUMPRODUCT(MAX((職員マスタ!$A$6:$A$405=$B2662)*(((職員マスタ!$G$6:$G$405="")+(職員マスタ!$G$6:$G$405&lt;=EOMONTH($AO2662,0)))&gt;0)*(((職員マスタ!$H$6:$H$405="")+(職員マスタ!$H$6:$H$405&gt;=$AO2662))&gt;0)*(ROW(職員マスタ!$A$6:$A$405)-5)))&gt;0,SUMPRODUCT(MAX((職員マスタ!$A$6:$A$405=$B2662)*(((職員マスタ!$G$6:$G$405="")+(職員マスタ!$G$6:$G$405&lt;=EOMONTH($AO2662,0)))&gt;0)*(((職員マスタ!$H$6:$H$405="")+(職員マスタ!$H$6:$H$405&gt;=$AO2662))&gt;0)*(ROW(職員マスタ!$A$6:$A$405)-5))),IFERROR(MATCH($B2662,職員マスタ!$A$6:$A$405,0),"")))</f>
        <v/>
      </c>
      <c r="AO2662" s="16">
        <f>IF(OR($B2662="",$C2662="",$D2662=""),"",DATE($C2662+2018,$D2662,1))</f>
        <v/>
      </c>
    </row>
    <row r="2663">
      <c r="A2663" s="11" t="n"/>
      <c r="B2663" s="12" t="n"/>
      <c r="C2663" s="12" t="n"/>
      <c r="D2663" s="12" t="n"/>
      <c r="E2663" s="13" t="n"/>
      <c r="F2663" s="12" t="n"/>
      <c r="G2663" s="13" t="n"/>
      <c r="H2663" s="12" t="n"/>
      <c r="I2663" s="12" t="n"/>
      <c r="J2663" s="12" t="n"/>
      <c r="K2663" s="12" t="n"/>
      <c r="L2663" s="11" t="n"/>
      <c r="M2663" s="11" t="n"/>
      <c r="N2663" s="11" t="n"/>
      <c r="O2663" s="11" t="n"/>
      <c r="P2663" s="12" t="n"/>
      <c r="Q2663" s="11" t="n"/>
      <c r="R2663" s="12" t="n"/>
      <c r="S2663" s="11" t="n"/>
      <c r="T2663" s="12" t="n"/>
      <c r="U2663" s="12" t="n"/>
      <c r="V2663" s="14">
        <f>IF($AN2663="",IF($B2663="","",$H2663),IF(INDEX(職員マスタ!$B$6:$B$405,$AN2663)="",$H2663,INDEX(職員マスタ!$B$6:$B$405,$AN2663)))</f>
        <v/>
      </c>
      <c r="W2663" s="14">
        <f>IF($AN2663="",IF($B2663="","",$R2663),IF(INDEX(職員マスタ!$C$6:$C$405,$AN2663)="",$R2663,INDEX(職員マスタ!$C$6:$C$405,$AN2663)))</f>
        <v/>
      </c>
      <c r="X2663" s="14">
        <f>IF($AO2663="","","R"&amp;$C2663&amp;"."&amp;$D2663)</f>
        <v/>
      </c>
      <c r="Y2663" s="15">
        <f>IF($AN2663="","",IF(INDEX(職員マスタ!$K$6:$K$405,$AN2663)="","",INDEX(職員マスタ!$K$6:$K$405,$AN2663)))</f>
        <v/>
      </c>
      <c r="Z2663" s="14">
        <f>IF(OR($E2663="",$Y2663=""),"",IF($E2663&gt;=$Y2663,"×",IF($E2663&gt;=$Y2663*設定!$C$5,"△","○")))</f>
        <v/>
      </c>
      <c r="AA2663" s="15">
        <f>IF($Z2663="","",IF($Z2663="×",0,IF($Z2663="○",ROUNDDOWN($E2663*設定!$C$4,0),ROUNDDOWN($E2663*ROUND((9*$Y2663-9*$E2663)/(10*$E2663),4),0))))</f>
        <v/>
      </c>
      <c r="AB2663" s="13" t="n"/>
      <c r="AC2663" s="15">
        <f>IF($B2663="","",IF($AB2663&lt;&gt;"",$AB2663,IF($AA2663="","",IF($AA2663&lt;=設定!$C$3,0,$AA2663))))</f>
        <v/>
      </c>
      <c r="AD2663" s="14">
        <f>IF($B2663="","",IF(AND($AE2663&lt;&gt;"",$AG2663="",$AJ2663=""),"保留中",IF($AJ2663&lt;&gt;"",IF(N($AC2663)&gt;0,"支給済","不支給"),IF($AC2663="","要確認",IF($AC2663=0,"不支給","未処理")))))</f>
        <v/>
      </c>
      <c r="AE2663" s="12" t="n"/>
      <c r="AF2663" s="11" t="n"/>
      <c r="AG2663" s="11" t="n"/>
      <c r="AH2663" s="11" t="n"/>
      <c r="AI2663" s="14">
        <f>IF(AND($AD2663="保留中",$AF2663&lt;&gt;""),TODAY()-$AF2663,"")</f>
        <v/>
      </c>
      <c r="AJ2663" s="12" t="n"/>
      <c r="AK2663" s="14">
        <f>IF($B2663="","",IF($AO2663="","対象年月が未入力／","")&amp;IF($B2663="","",IF($AN2663="","職員マスタに未登録の職員番号／",IF($Y2663="","標準報酬月額が未登録／","")&amp;IF(AND($AO2663&lt;&gt;"",OR(AND(INDEX(職員マスタ!$G$6:$G$405,$AN2663)&lt;&gt;"",INDEX(職員マスタ!$G$6:$G$405,$AN2663)&gt;EOMONTH($AO2663,0)),AND(INDEX(職員マスタ!$H$6:$H$405,$AN2663)&lt;&gt;"",INDEX(職員マスタ!$H$6:$H$405,$AN2663)&lt;$AO2663))),"対象月が時短期間外／","")&amp;IF(AND(INDEX(職員マスタ!$F$6:$F$405,$AN2663)&lt;&gt;"",$AO2663&lt;&gt;"",INDEX(職員マスタ!$F$6:$F$405,$AN2663)&lt;$AO2663),"対象月に子が2歳到達済／","")&amp;IF(AND($H2663&lt;&gt;"",INDEX(職員マスタ!$B$6:$B$405,$AN2663)&lt;&gt;"",SUBSTITUTE(SUBSTITUTE($H2663," ","")," ","")&lt;&gt;SUBSTITUTE(SUBSTITUTE(INDEX(職員マスタ!$B$6:$B$405,$AN2663)," ","")," ","")),"氏名がマスタと相違／","")&amp;IF(AND($Q2663&lt;&gt;"",INDEX(職員マスタ!$E$6:$E$405,$AN2663)&lt;&gt;"",$Q2663&lt;&gt;INDEX(職員マスタ!$E$6:$E$405,$AN2663)),"子の生年月日がマスタと相違／","")&amp;IF(AND($L2663&lt;&gt;"",INDEX(職員マスタ!$G$6:$G$405,$AN2663)&lt;&gt;"",$L2663&lt;&gt;INDEX(職員マスタ!$G$6:$G$405,$AN2663)),"時短開始日がマスタと相違／","")&amp;IF(AND($M2663&lt;&gt;"",INDEX(職員マスタ!$H$6:$H$405,$AN2663)&lt;&gt;"",$M2663&lt;&gt;INDEX(職員マスタ!$H$6:$H$405,$AN2663)),"時短終了日がマスタと相違／","")))&amp;IF(AND($B2663&lt;&gt;"",$E2663=""),"報酬額が未入力／","")&amp;IF(N($U2663)&gt;0,"申請書に入力エラーが残っています／","")&amp;IF(AND($B2663&lt;&gt;"",$AO2663&lt;&gt;""),IF(COUNTIFS($B$6:$B$3005,$B2663,$C$6:$C$3005,$C2663,$D$6:$D$3005,$D2663)&gt;1,"同じ月の請求が重複しています／",""),"")&amp;IF(AND(N($E2663)&gt;0,$Z2663&lt;&gt;"",$Z2663&lt;&gt;"×",$AC2663=0,$AB2663=""),"計算額が下限以下のため不支給／",""))</f>
        <v/>
      </c>
      <c r="AL2663" s="12" t="n"/>
      <c r="AM2663" s="14">
        <f>IF($AD2663="保留中",COUNTIF($AD$6:$AD2663,"保留中"),"")</f>
        <v/>
      </c>
      <c r="AN2663" s="14">
        <f>IF($AO2663="","",IF(SUMPRODUCT(MAX((職員マスタ!$A$6:$A$405=$B2663)*(((職員マスタ!$G$6:$G$405="")+(職員マスタ!$G$6:$G$405&lt;=EOMONTH($AO2663,0)))&gt;0)*(((職員マスタ!$H$6:$H$405="")+(職員マスタ!$H$6:$H$405&gt;=$AO2663))&gt;0)*(ROW(職員マスタ!$A$6:$A$405)-5)))&gt;0,SUMPRODUCT(MAX((職員マスタ!$A$6:$A$405=$B2663)*(((職員マスタ!$G$6:$G$405="")+(職員マスタ!$G$6:$G$405&lt;=EOMONTH($AO2663,0)))&gt;0)*(((職員マスタ!$H$6:$H$405="")+(職員マスタ!$H$6:$H$405&gt;=$AO2663))&gt;0)*(ROW(職員マスタ!$A$6:$A$405)-5))),IFERROR(MATCH($B2663,職員マスタ!$A$6:$A$405,0),"")))</f>
        <v/>
      </c>
      <c r="AO2663" s="16">
        <f>IF(OR($B2663="",$C2663="",$D2663=""),"",DATE($C2663+2018,$D2663,1))</f>
        <v/>
      </c>
    </row>
    <row r="2664">
      <c r="A2664" s="11" t="n"/>
      <c r="B2664" s="12" t="n"/>
      <c r="C2664" s="12" t="n"/>
      <c r="D2664" s="12" t="n"/>
      <c r="E2664" s="13" t="n"/>
      <c r="F2664" s="12" t="n"/>
      <c r="G2664" s="13" t="n"/>
      <c r="H2664" s="12" t="n"/>
      <c r="I2664" s="12" t="n"/>
      <c r="J2664" s="12" t="n"/>
      <c r="K2664" s="12" t="n"/>
      <c r="L2664" s="11" t="n"/>
      <c r="M2664" s="11" t="n"/>
      <c r="N2664" s="11" t="n"/>
      <c r="O2664" s="11" t="n"/>
      <c r="P2664" s="12" t="n"/>
      <c r="Q2664" s="11" t="n"/>
      <c r="R2664" s="12" t="n"/>
      <c r="S2664" s="11" t="n"/>
      <c r="T2664" s="12" t="n"/>
      <c r="U2664" s="12" t="n"/>
      <c r="V2664" s="14">
        <f>IF($AN2664="",IF($B2664="","",$H2664),IF(INDEX(職員マスタ!$B$6:$B$405,$AN2664)="",$H2664,INDEX(職員マスタ!$B$6:$B$405,$AN2664)))</f>
        <v/>
      </c>
      <c r="W2664" s="14">
        <f>IF($AN2664="",IF($B2664="","",$R2664),IF(INDEX(職員マスタ!$C$6:$C$405,$AN2664)="",$R2664,INDEX(職員マスタ!$C$6:$C$405,$AN2664)))</f>
        <v/>
      </c>
      <c r="X2664" s="14">
        <f>IF($AO2664="","","R"&amp;$C2664&amp;"."&amp;$D2664)</f>
        <v/>
      </c>
      <c r="Y2664" s="15">
        <f>IF($AN2664="","",IF(INDEX(職員マスタ!$K$6:$K$405,$AN2664)="","",INDEX(職員マスタ!$K$6:$K$405,$AN2664)))</f>
        <v/>
      </c>
      <c r="Z2664" s="14">
        <f>IF(OR($E2664="",$Y2664=""),"",IF($E2664&gt;=$Y2664,"×",IF($E2664&gt;=$Y2664*設定!$C$5,"△","○")))</f>
        <v/>
      </c>
      <c r="AA2664" s="15">
        <f>IF($Z2664="","",IF($Z2664="×",0,IF($Z2664="○",ROUNDDOWN($E2664*設定!$C$4,0),ROUNDDOWN($E2664*ROUND((9*$Y2664-9*$E2664)/(10*$E2664),4),0))))</f>
        <v/>
      </c>
      <c r="AB2664" s="13" t="n"/>
      <c r="AC2664" s="15">
        <f>IF($B2664="","",IF($AB2664&lt;&gt;"",$AB2664,IF($AA2664="","",IF($AA2664&lt;=設定!$C$3,0,$AA2664))))</f>
        <v/>
      </c>
      <c r="AD2664" s="14">
        <f>IF($B2664="","",IF(AND($AE2664&lt;&gt;"",$AG2664="",$AJ2664=""),"保留中",IF($AJ2664&lt;&gt;"",IF(N($AC2664)&gt;0,"支給済","不支給"),IF($AC2664="","要確認",IF($AC2664=0,"不支給","未処理")))))</f>
        <v/>
      </c>
      <c r="AE2664" s="12" t="n"/>
      <c r="AF2664" s="11" t="n"/>
      <c r="AG2664" s="11" t="n"/>
      <c r="AH2664" s="11" t="n"/>
      <c r="AI2664" s="14">
        <f>IF(AND($AD2664="保留中",$AF2664&lt;&gt;""),TODAY()-$AF2664,"")</f>
        <v/>
      </c>
      <c r="AJ2664" s="12" t="n"/>
      <c r="AK2664" s="14">
        <f>IF($B2664="","",IF($AO2664="","対象年月が未入力／","")&amp;IF($B2664="","",IF($AN2664="","職員マスタに未登録の職員番号／",IF($Y2664="","標準報酬月額が未登録／","")&amp;IF(AND($AO2664&lt;&gt;"",OR(AND(INDEX(職員マスタ!$G$6:$G$405,$AN2664)&lt;&gt;"",INDEX(職員マスタ!$G$6:$G$405,$AN2664)&gt;EOMONTH($AO2664,0)),AND(INDEX(職員マスタ!$H$6:$H$405,$AN2664)&lt;&gt;"",INDEX(職員マスタ!$H$6:$H$405,$AN2664)&lt;$AO2664))),"対象月が時短期間外／","")&amp;IF(AND(INDEX(職員マスタ!$F$6:$F$405,$AN2664)&lt;&gt;"",$AO2664&lt;&gt;"",INDEX(職員マスタ!$F$6:$F$405,$AN2664)&lt;$AO2664),"対象月に子が2歳到達済／","")&amp;IF(AND($H2664&lt;&gt;"",INDEX(職員マスタ!$B$6:$B$405,$AN2664)&lt;&gt;"",SUBSTITUTE(SUBSTITUTE($H2664," ","")," ","")&lt;&gt;SUBSTITUTE(SUBSTITUTE(INDEX(職員マスタ!$B$6:$B$405,$AN2664)," ","")," ","")),"氏名がマスタと相違／","")&amp;IF(AND($Q2664&lt;&gt;"",INDEX(職員マスタ!$E$6:$E$405,$AN2664)&lt;&gt;"",$Q2664&lt;&gt;INDEX(職員マスタ!$E$6:$E$405,$AN2664)),"子の生年月日がマスタと相違／","")&amp;IF(AND($L2664&lt;&gt;"",INDEX(職員マスタ!$G$6:$G$405,$AN2664)&lt;&gt;"",$L2664&lt;&gt;INDEX(職員マスタ!$G$6:$G$405,$AN2664)),"時短開始日がマスタと相違／","")&amp;IF(AND($M2664&lt;&gt;"",INDEX(職員マスタ!$H$6:$H$405,$AN2664)&lt;&gt;"",$M2664&lt;&gt;INDEX(職員マスタ!$H$6:$H$405,$AN2664)),"時短終了日がマスタと相違／","")))&amp;IF(AND($B2664&lt;&gt;"",$E2664=""),"報酬額が未入力／","")&amp;IF(N($U2664)&gt;0,"申請書に入力エラーが残っています／","")&amp;IF(AND($B2664&lt;&gt;"",$AO2664&lt;&gt;""),IF(COUNTIFS($B$6:$B$3005,$B2664,$C$6:$C$3005,$C2664,$D$6:$D$3005,$D2664)&gt;1,"同じ月の請求が重複しています／",""),"")&amp;IF(AND(N($E2664)&gt;0,$Z2664&lt;&gt;"",$Z2664&lt;&gt;"×",$AC2664=0,$AB2664=""),"計算額が下限以下のため不支給／",""))</f>
        <v/>
      </c>
      <c r="AL2664" s="12" t="n"/>
      <c r="AM2664" s="14">
        <f>IF($AD2664="保留中",COUNTIF($AD$6:$AD2664,"保留中"),"")</f>
        <v/>
      </c>
      <c r="AN2664" s="14">
        <f>IF($AO2664="","",IF(SUMPRODUCT(MAX((職員マスタ!$A$6:$A$405=$B2664)*(((職員マスタ!$G$6:$G$405="")+(職員マスタ!$G$6:$G$405&lt;=EOMONTH($AO2664,0)))&gt;0)*(((職員マスタ!$H$6:$H$405="")+(職員マスタ!$H$6:$H$405&gt;=$AO2664))&gt;0)*(ROW(職員マスタ!$A$6:$A$405)-5)))&gt;0,SUMPRODUCT(MAX((職員マスタ!$A$6:$A$405=$B2664)*(((職員マスタ!$G$6:$G$405="")+(職員マスタ!$G$6:$G$405&lt;=EOMONTH($AO2664,0)))&gt;0)*(((職員マスタ!$H$6:$H$405="")+(職員マスタ!$H$6:$H$405&gt;=$AO2664))&gt;0)*(ROW(職員マスタ!$A$6:$A$405)-5))),IFERROR(MATCH($B2664,職員マスタ!$A$6:$A$405,0),"")))</f>
        <v/>
      </c>
      <c r="AO2664" s="16">
        <f>IF(OR($B2664="",$C2664="",$D2664=""),"",DATE($C2664+2018,$D2664,1))</f>
        <v/>
      </c>
    </row>
    <row r="2665">
      <c r="A2665" s="11" t="n"/>
      <c r="B2665" s="12" t="n"/>
      <c r="C2665" s="12" t="n"/>
      <c r="D2665" s="12" t="n"/>
      <c r="E2665" s="13" t="n"/>
      <c r="F2665" s="12" t="n"/>
      <c r="G2665" s="13" t="n"/>
      <c r="H2665" s="12" t="n"/>
      <c r="I2665" s="12" t="n"/>
      <c r="J2665" s="12" t="n"/>
      <c r="K2665" s="12" t="n"/>
      <c r="L2665" s="11" t="n"/>
      <c r="M2665" s="11" t="n"/>
      <c r="N2665" s="11" t="n"/>
      <c r="O2665" s="11" t="n"/>
      <c r="P2665" s="12" t="n"/>
      <c r="Q2665" s="11" t="n"/>
      <c r="R2665" s="12" t="n"/>
      <c r="S2665" s="11" t="n"/>
      <c r="T2665" s="12" t="n"/>
      <c r="U2665" s="12" t="n"/>
      <c r="V2665" s="14">
        <f>IF($AN2665="",IF($B2665="","",$H2665),IF(INDEX(職員マスタ!$B$6:$B$405,$AN2665)="",$H2665,INDEX(職員マスタ!$B$6:$B$405,$AN2665)))</f>
        <v/>
      </c>
      <c r="W2665" s="14">
        <f>IF($AN2665="",IF($B2665="","",$R2665),IF(INDEX(職員マスタ!$C$6:$C$405,$AN2665)="",$R2665,INDEX(職員マスタ!$C$6:$C$405,$AN2665)))</f>
        <v/>
      </c>
      <c r="X2665" s="14">
        <f>IF($AO2665="","","R"&amp;$C2665&amp;"."&amp;$D2665)</f>
        <v/>
      </c>
      <c r="Y2665" s="15">
        <f>IF($AN2665="","",IF(INDEX(職員マスタ!$K$6:$K$405,$AN2665)="","",INDEX(職員マスタ!$K$6:$K$405,$AN2665)))</f>
        <v/>
      </c>
      <c r="Z2665" s="14">
        <f>IF(OR($E2665="",$Y2665=""),"",IF($E2665&gt;=$Y2665,"×",IF($E2665&gt;=$Y2665*設定!$C$5,"△","○")))</f>
        <v/>
      </c>
      <c r="AA2665" s="15">
        <f>IF($Z2665="","",IF($Z2665="×",0,IF($Z2665="○",ROUNDDOWN($E2665*設定!$C$4,0),ROUNDDOWN($E2665*ROUND((9*$Y2665-9*$E2665)/(10*$E2665),4),0))))</f>
        <v/>
      </c>
      <c r="AB2665" s="13" t="n"/>
      <c r="AC2665" s="15">
        <f>IF($B2665="","",IF($AB2665&lt;&gt;"",$AB2665,IF($AA2665="","",IF($AA2665&lt;=設定!$C$3,0,$AA2665))))</f>
        <v/>
      </c>
      <c r="AD2665" s="14">
        <f>IF($B2665="","",IF(AND($AE2665&lt;&gt;"",$AG2665="",$AJ2665=""),"保留中",IF($AJ2665&lt;&gt;"",IF(N($AC2665)&gt;0,"支給済","不支給"),IF($AC2665="","要確認",IF($AC2665=0,"不支給","未処理")))))</f>
        <v/>
      </c>
      <c r="AE2665" s="12" t="n"/>
      <c r="AF2665" s="11" t="n"/>
      <c r="AG2665" s="11" t="n"/>
      <c r="AH2665" s="11" t="n"/>
      <c r="AI2665" s="14">
        <f>IF(AND($AD2665="保留中",$AF2665&lt;&gt;""),TODAY()-$AF2665,"")</f>
        <v/>
      </c>
      <c r="AJ2665" s="12" t="n"/>
      <c r="AK2665" s="14">
        <f>IF($B2665="","",IF($AO2665="","対象年月が未入力／","")&amp;IF($B2665="","",IF($AN2665="","職員マスタに未登録の職員番号／",IF($Y2665="","標準報酬月額が未登録／","")&amp;IF(AND($AO2665&lt;&gt;"",OR(AND(INDEX(職員マスタ!$G$6:$G$405,$AN2665)&lt;&gt;"",INDEX(職員マスタ!$G$6:$G$405,$AN2665)&gt;EOMONTH($AO2665,0)),AND(INDEX(職員マスタ!$H$6:$H$405,$AN2665)&lt;&gt;"",INDEX(職員マスタ!$H$6:$H$405,$AN2665)&lt;$AO2665))),"対象月が時短期間外／","")&amp;IF(AND(INDEX(職員マスタ!$F$6:$F$405,$AN2665)&lt;&gt;"",$AO2665&lt;&gt;"",INDEX(職員マスタ!$F$6:$F$405,$AN2665)&lt;$AO2665),"対象月に子が2歳到達済／","")&amp;IF(AND($H2665&lt;&gt;"",INDEX(職員マスタ!$B$6:$B$405,$AN2665)&lt;&gt;"",SUBSTITUTE(SUBSTITUTE($H2665," ","")," ","")&lt;&gt;SUBSTITUTE(SUBSTITUTE(INDEX(職員マスタ!$B$6:$B$405,$AN2665)," ","")," ","")),"氏名がマスタと相違／","")&amp;IF(AND($Q2665&lt;&gt;"",INDEX(職員マスタ!$E$6:$E$405,$AN2665)&lt;&gt;"",$Q2665&lt;&gt;INDEX(職員マスタ!$E$6:$E$405,$AN2665)),"子の生年月日がマスタと相違／","")&amp;IF(AND($L2665&lt;&gt;"",INDEX(職員マスタ!$G$6:$G$405,$AN2665)&lt;&gt;"",$L2665&lt;&gt;INDEX(職員マスタ!$G$6:$G$405,$AN2665)),"時短開始日がマスタと相違／","")&amp;IF(AND($M2665&lt;&gt;"",INDEX(職員マスタ!$H$6:$H$405,$AN2665)&lt;&gt;"",$M2665&lt;&gt;INDEX(職員マスタ!$H$6:$H$405,$AN2665)),"時短終了日がマスタと相違／","")))&amp;IF(AND($B2665&lt;&gt;"",$E2665=""),"報酬額が未入力／","")&amp;IF(N($U2665)&gt;0,"申請書に入力エラーが残っています／","")&amp;IF(AND($B2665&lt;&gt;"",$AO2665&lt;&gt;""),IF(COUNTIFS($B$6:$B$3005,$B2665,$C$6:$C$3005,$C2665,$D$6:$D$3005,$D2665)&gt;1,"同じ月の請求が重複しています／",""),"")&amp;IF(AND(N($E2665)&gt;0,$Z2665&lt;&gt;"",$Z2665&lt;&gt;"×",$AC2665=0,$AB2665=""),"計算額が下限以下のため不支給／",""))</f>
        <v/>
      </c>
      <c r="AL2665" s="12" t="n"/>
      <c r="AM2665" s="14">
        <f>IF($AD2665="保留中",COUNTIF($AD$6:$AD2665,"保留中"),"")</f>
        <v/>
      </c>
      <c r="AN2665" s="14">
        <f>IF($AO2665="","",IF(SUMPRODUCT(MAX((職員マスタ!$A$6:$A$405=$B2665)*(((職員マスタ!$G$6:$G$405="")+(職員マスタ!$G$6:$G$405&lt;=EOMONTH($AO2665,0)))&gt;0)*(((職員マスタ!$H$6:$H$405="")+(職員マスタ!$H$6:$H$405&gt;=$AO2665))&gt;0)*(ROW(職員マスタ!$A$6:$A$405)-5)))&gt;0,SUMPRODUCT(MAX((職員マスタ!$A$6:$A$405=$B2665)*(((職員マスタ!$G$6:$G$405="")+(職員マスタ!$G$6:$G$405&lt;=EOMONTH($AO2665,0)))&gt;0)*(((職員マスタ!$H$6:$H$405="")+(職員マスタ!$H$6:$H$405&gt;=$AO2665))&gt;0)*(ROW(職員マスタ!$A$6:$A$405)-5))),IFERROR(MATCH($B2665,職員マスタ!$A$6:$A$405,0),"")))</f>
        <v/>
      </c>
      <c r="AO2665" s="16">
        <f>IF(OR($B2665="",$C2665="",$D2665=""),"",DATE($C2665+2018,$D2665,1))</f>
        <v/>
      </c>
    </row>
    <row r="2666">
      <c r="A2666" s="11" t="n"/>
      <c r="B2666" s="12" t="n"/>
      <c r="C2666" s="12" t="n"/>
      <c r="D2666" s="12" t="n"/>
      <c r="E2666" s="13" t="n"/>
      <c r="F2666" s="12" t="n"/>
      <c r="G2666" s="13" t="n"/>
      <c r="H2666" s="12" t="n"/>
      <c r="I2666" s="12" t="n"/>
      <c r="J2666" s="12" t="n"/>
      <c r="K2666" s="12" t="n"/>
      <c r="L2666" s="11" t="n"/>
      <c r="M2666" s="11" t="n"/>
      <c r="N2666" s="11" t="n"/>
      <c r="O2666" s="11" t="n"/>
      <c r="P2666" s="12" t="n"/>
      <c r="Q2666" s="11" t="n"/>
      <c r="R2666" s="12" t="n"/>
      <c r="S2666" s="11" t="n"/>
      <c r="T2666" s="12" t="n"/>
      <c r="U2666" s="12" t="n"/>
      <c r="V2666" s="14">
        <f>IF($AN2666="",IF($B2666="","",$H2666),IF(INDEX(職員マスタ!$B$6:$B$405,$AN2666)="",$H2666,INDEX(職員マスタ!$B$6:$B$405,$AN2666)))</f>
        <v/>
      </c>
      <c r="W2666" s="14">
        <f>IF($AN2666="",IF($B2666="","",$R2666),IF(INDEX(職員マスタ!$C$6:$C$405,$AN2666)="",$R2666,INDEX(職員マスタ!$C$6:$C$405,$AN2666)))</f>
        <v/>
      </c>
      <c r="X2666" s="14">
        <f>IF($AO2666="","","R"&amp;$C2666&amp;"."&amp;$D2666)</f>
        <v/>
      </c>
      <c r="Y2666" s="15">
        <f>IF($AN2666="","",IF(INDEX(職員マスタ!$K$6:$K$405,$AN2666)="","",INDEX(職員マスタ!$K$6:$K$405,$AN2666)))</f>
        <v/>
      </c>
      <c r="Z2666" s="14">
        <f>IF(OR($E2666="",$Y2666=""),"",IF($E2666&gt;=$Y2666,"×",IF($E2666&gt;=$Y2666*設定!$C$5,"△","○")))</f>
        <v/>
      </c>
      <c r="AA2666" s="15">
        <f>IF($Z2666="","",IF($Z2666="×",0,IF($Z2666="○",ROUNDDOWN($E2666*設定!$C$4,0),ROUNDDOWN($E2666*ROUND((9*$Y2666-9*$E2666)/(10*$E2666),4),0))))</f>
        <v/>
      </c>
      <c r="AB2666" s="13" t="n"/>
      <c r="AC2666" s="15">
        <f>IF($B2666="","",IF($AB2666&lt;&gt;"",$AB2666,IF($AA2666="","",IF($AA2666&lt;=設定!$C$3,0,$AA2666))))</f>
        <v/>
      </c>
      <c r="AD2666" s="14">
        <f>IF($B2666="","",IF(AND($AE2666&lt;&gt;"",$AG2666="",$AJ2666=""),"保留中",IF($AJ2666&lt;&gt;"",IF(N($AC2666)&gt;0,"支給済","不支給"),IF($AC2666="","要確認",IF($AC2666=0,"不支給","未処理")))))</f>
        <v/>
      </c>
      <c r="AE2666" s="12" t="n"/>
      <c r="AF2666" s="11" t="n"/>
      <c r="AG2666" s="11" t="n"/>
      <c r="AH2666" s="11" t="n"/>
      <c r="AI2666" s="14">
        <f>IF(AND($AD2666="保留中",$AF2666&lt;&gt;""),TODAY()-$AF2666,"")</f>
        <v/>
      </c>
      <c r="AJ2666" s="12" t="n"/>
      <c r="AK2666" s="14">
        <f>IF($B2666="","",IF($AO2666="","対象年月が未入力／","")&amp;IF($B2666="","",IF($AN2666="","職員マスタに未登録の職員番号／",IF($Y2666="","標準報酬月額が未登録／","")&amp;IF(AND($AO2666&lt;&gt;"",OR(AND(INDEX(職員マスタ!$G$6:$G$405,$AN2666)&lt;&gt;"",INDEX(職員マスタ!$G$6:$G$405,$AN2666)&gt;EOMONTH($AO2666,0)),AND(INDEX(職員マスタ!$H$6:$H$405,$AN2666)&lt;&gt;"",INDEX(職員マスタ!$H$6:$H$405,$AN2666)&lt;$AO2666))),"対象月が時短期間外／","")&amp;IF(AND(INDEX(職員マスタ!$F$6:$F$405,$AN2666)&lt;&gt;"",$AO2666&lt;&gt;"",INDEX(職員マスタ!$F$6:$F$405,$AN2666)&lt;$AO2666),"対象月に子が2歳到達済／","")&amp;IF(AND($H2666&lt;&gt;"",INDEX(職員マスタ!$B$6:$B$405,$AN2666)&lt;&gt;"",SUBSTITUTE(SUBSTITUTE($H2666," ","")," ","")&lt;&gt;SUBSTITUTE(SUBSTITUTE(INDEX(職員マスタ!$B$6:$B$405,$AN2666)," ","")," ","")),"氏名がマスタと相違／","")&amp;IF(AND($Q2666&lt;&gt;"",INDEX(職員マスタ!$E$6:$E$405,$AN2666)&lt;&gt;"",$Q2666&lt;&gt;INDEX(職員マスタ!$E$6:$E$405,$AN2666)),"子の生年月日がマスタと相違／","")&amp;IF(AND($L2666&lt;&gt;"",INDEX(職員マスタ!$G$6:$G$405,$AN2666)&lt;&gt;"",$L2666&lt;&gt;INDEX(職員マスタ!$G$6:$G$405,$AN2666)),"時短開始日がマスタと相違／","")&amp;IF(AND($M2666&lt;&gt;"",INDEX(職員マスタ!$H$6:$H$405,$AN2666)&lt;&gt;"",$M2666&lt;&gt;INDEX(職員マスタ!$H$6:$H$405,$AN2666)),"時短終了日がマスタと相違／","")))&amp;IF(AND($B2666&lt;&gt;"",$E2666=""),"報酬額が未入力／","")&amp;IF(N($U2666)&gt;0,"申請書に入力エラーが残っています／","")&amp;IF(AND($B2666&lt;&gt;"",$AO2666&lt;&gt;""),IF(COUNTIFS($B$6:$B$3005,$B2666,$C$6:$C$3005,$C2666,$D$6:$D$3005,$D2666)&gt;1,"同じ月の請求が重複しています／",""),"")&amp;IF(AND(N($E2666)&gt;0,$Z2666&lt;&gt;"",$Z2666&lt;&gt;"×",$AC2666=0,$AB2666=""),"計算額が下限以下のため不支給／",""))</f>
        <v/>
      </c>
      <c r="AL2666" s="12" t="n"/>
      <c r="AM2666" s="14">
        <f>IF($AD2666="保留中",COUNTIF($AD$6:$AD2666,"保留中"),"")</f>
        <v/>
      </c>
      <c r="AN2666" s="14">
        <f>IF($AO2666="","",IF(SUMPRODUCT(MAX((職員マスタ!$A$6:$A$405=$B2666)*(((職員マスタ!$G$6:$G$405="")+(職員マスタ!$G$6:$G$405&lt;=EOMONTH($AO2666,0)))&gt;0)*(((職員マスタ!$H$6:$H$405="")+(職員マスタ!$H$6:$H$405&gt;=$AO2666))&gt;0)*(ROW(職員マスタ!$A$6:$A$405)-5)))&gt;0,SUMPRODUCT(MAX((職員マスタ!$A$6:$A$405=$B2666)*(((職員マスタ!$G$6:$G$405="")+(職員マスタ!$G$6:$G$405&lt;=EOMONTH($AO2666,0)))&gt;0)*(((職員マスタ!$H$6:$H$405="")+(職員マスタ!$H$6:$H$405&gt;=$AO2666))&gt;0)*(ROW(職員マスタ!$A$6:$A$405)-5))),IFERROR(MATCH($B2666,職員マスタ!$A$6:$A$405,0),"")))</f>
        <v/>
      </c>
      <c r="AO2666" s="16">
        <f>IF(OR($B2666="",$C2666="",$D2666=""),"",DATE($C2666+2018,$D2666,1))</f>
        <v/>
      </c>
    </row>
    <row r="2667">
      <c r="A2667" s="11" t="n"/>
      <c r="B2667" s="12" t="n"/>
      <c r="C2667" s="12" t="n"/>
      <c r="D2667" s="12" t="n"/>
      <c r="E2667" s="13" t="n"/>
      <c r="F2667" s="12" t="n"/>
      <c r="G2667" s="13" t="n"/>
      <c r="H2667" s="12" t="n"/>
      <c r="I2667" s="12" t="n"/>
      <c r="J2667" s="12" t="n"/>
      <c r="K2667" s="12" t="n"/>
      <c r="L2667" s="11" t="n"/>
      <c r="M2667" s="11" t="n"/>
      <c r="N2667" s="11" t="n"/>
      <c r="O2667" s="11" t="n"/>
      <c r="P2667" s="12" t="n"/>
      <c r="Q2667" s="11" t="n"/>
      <c r="R2667" s="12" t="n"/>
      <c r="S2667" s="11" t="n"/>
      <c r="T2667" s="12" t="n"/>
      <c r="U2667" s="12" t="n"/>
      <c r="V2667" s="14">
        <f>IF($AN2667="",IF($B2667="","",$H2667),IF(INDEX(職員マスタ!$B$6:$B$405,$AN2667)="",$H2667,INDEX(職員マスタ!$B$6:$B$405,$AN2667)))</f>
        <v/>
      </c>
      <c r="W2667" s="14">
        <f>IF($AN2667="",IF($B2667="","",$R2667),IF(INDEX(職員マスタ!$C$6:$C$405,$AN2667)="",$R2667,INDEX(職員マスタ!$C$6:$C$405,$AN2667)))</f>
        <v/>
      </c>
      <c r="X2667" s="14">
        <f>IF($AO2667="","","R"&amp;$C2667&amp;"."&amp;$D2667)</f>
        <v/>
      </c>
      <c r="Y2667" s="15">
        <f>IF($AN2667="","",IF(INDEX(職員マスタ!$K$6:$K$405,$AN2667)="","",INDEX(職員マスタ!$K$6:$K$405,$AN2667)))</f>
        <v/>
      </c>
      <c r="Z2667" s="14">
        <f>IF(OR($E2667="",$Y2667=""),"",IF($E2667&gt;=$Y2667,"×",IF($E2667&gt;=$Y2667*設定!$C$5,"△","○")))</f>
        <v/>
      </c>
      <c r="AA2667" s="15">
        <f>IF($Z2667="","",IF($Z2667="×",0,IF($Z2667="○",ROUNDDOWN($E2667*設定!$C$4,0),ROUNDDOWN($E2667*ROUND((9*$Y2667-9*$E2667)/(10*$E2667),4),0))))</f>
        <v/>
      </c>
      <c r="AB2667" s="13" t="n"/>
      <c r="AC2667" s="15">
        <f>IF($B2667="","",IF($AB2667&lt;&gt;"",$AB2667,IF($AA2667="","",IF($AA2667&lt;=設定!$C$3,0,$AA2667))))</f>
        <v/>
      </c>
      <c r="AD2667" s="14">
        <f>IF($B2667="","",IF(AND($AE2667&lt;&gt;"",$AG2667="",$AJ2667=""),"保留中",IF($AJ2667&lt;&gt;"",IF(N($AC2667)&gt;0,"支給済","不支給"),IF($AC2667="","要確認",IF($AC2667=0,"不支給","未処理")))))</f>
        <v/>
      </c>
      <c r="AE2667" s="12" t="n"/>
      <c r="AF2667" s="11" t="n"/>
      <c r="AG2667" s="11" t="n"/>
      <c r="AH2667" s="11" t="n"/>
      <c r="AI2667" s="14">
        <f>IF(AND($AD2667="保留中",$AF2667&lt;&gt;""),TODAY()-$AF2667,"")</f>
        <v/>
      </c>
      <c r="AJ2667" s="12" t="n"/>
      <c r="AK2667" s="14">
        <f>IF($B2667="","",IF($AO2667="","対象年月が未入力／","")&amp;IF($B2667="","",IF($AN2667="","職員マスタに未登録の職員番号／",IF($Y2667="","標準報酬月額が未登録／","")&amp;IF(AND($AO2667&lt;&gt;"",OR(AND(INDEX(職員マスタ!$G$6:$G$405,$AN2667)&lt;&gt;"",INDEX(職員マスタ!$G$6:$G$405,$AN2667)&gt;EOMONTH($AO2667,0)),AND(INDEX(職員マスタ!$H$6:$H$405,$AN2667)&lt;&gt;"",INDEX(職員マスタ!$H$6:$H$405,$AN2667)&lt;$AO2667))),"対象月が時短期間外／","")&amp;IF(AND(INDEX(職員マスタ!$F$6:$F$405,$AN2667)&lt;&gt;"",$AO2667&lt;&gt;"",INDEX(職員マスタ!$F$6:$F$405,$AN2667)&lt;$AO2667),"対象月に子が2歳到達済／","")&amp;IF(AND($H2667&lt;&gt;"",INDEX(職員マスタ!$B$6:$B$405,$AN2667)&lt;&gt;"",SUBSTITUTE(SUBSTITUTE($H2667," ","")," ","")&lt;&gt;SUBSTITUTE(SUBSTITUTE(INDEX(職員マスタ!$B$6:$B$405,$AN2667)," ","")," ","")),"氏名がマスタと相違／","")&amp;IF(AND($Q2667&lt;&gt;"",INDEX(職員マスタ!$E$6:$E$405,$AN2667)&lt;&gt;"",$Q2667&lt;&gt;INDEX(職員マスタ!$E$6:$E$405,$AN2667)),"子の生年月日がマスタと相違／","")&amp;IF(AND($L2667&lt;&gt;"",INDEX(職員マスタ!$G$6:$G$405,$AN2667)&lt;&gt;"",$L2667&lt;&gt;INDEX(職員マスタ!$G$6:$G$405,$AN2667)),"時短開始日がマスタと相違／","")&amp;IF(AND($M2667&lt;&gt;"",INDEX(職員マスタ!$H$6:$H$405,$AN2667)&lt;&gt;"",$M2667&lt;&gt;INDEX(職員マスタ!$H$6:$H$405,$AN2667)),"時短終了日がマスタと相違／","")))&amp;IF(AND($B2667&lt;&gt;"",$E2667=""),"報酬額が未入力／","")&amp;IF(N($U2667)&gt;0,"申請書に入力エラーが残っています／","")&amp;IF(AND($B2667&lt;&gt;"",$AO2667&lt;&gt;""),IF(COUNTIFS($B$6:$B$3005,$B2667,$C$6:$C$3005,$C2667,$D$6:$D$3005,$D2667)&gt;1,"同じ月の請求が重複しています／",""),"")&amp;IF(AND(N($E2667)&gt;0,$Z2667&lt;&gt;"",$Z2667&lt;&gt;"×",$AC2667=0,$AB2667=""),"計算額が下限以下のため不支給／",""))</f>
        <v/>
      </c>
      <c r="AL2667" s="12" t="n"/>
      <c r="AM2667" s="14">
        <f>IF($AD2667="保留中",COUNTIF($AD$6:$AD2667,"保留中"),"")</f>
        <v/>
      </c>
      <c r="AN2667" s="14">
        <f>IF($AO2667="","",IF(SUMPRODUCT(MAX((職員マスタ!$A$6:$A$405=$B2667)*(((職員マスタ!$G$6:$G$405="")+(職員マスタ!$G$6:$G$405&lt;=EOMONTH($AO2667,0)))&gt;0)*(((職員マスタ!$H$6:$H$405="")+(職員マスタ!$H$6:$H$405&gt;=$AO2667))&gt;0)*(ROW(職員マスタ!$A$6:$A$405)-5)))&gt;0,SUMPRODUCT(MAX((職員マスタ!$A$6:$A$405=$B2667)*(((職員マスタ!$G$6:$G$405="")+(職員マスタ!$G$6:$G$405&lt;=EOMONTH($AO2667,0)))&gt;0)*(((職員マスタ!$H$6:$H$405="")+(職員マスタ!$H$6:$H$405&gt;=$AO2667))&gt;0)*(ROW(職員マスタ!$A$6:$A$405)-5))),IFERROR(MATCH($B2667,職員マスタ!$A$6:$A$405,0),"")))</f>
        <v/>
      </c>
      <c r="AO2667" s="16">
        <f>IF(OR($B2667="",$C2667="",$D2667=""),"",DATE($C2667+2018,$D2667,1))</f>
        <v/>
      </c>
    </row>
    <row r="2668">
      <c r="A2668" s="11" t="n"/>
      <c r="B2668" s="12" t="n"/>
      <c r="C2668" s="12" t="n"/>
      <c r="D2668" s="12" t="n"/>
      <c r="E2668" s="13" t="n"/>
      <c r="F2668" s="12" t="n"/>
      <c r="G2668" s="13" t="n"/>
      <c r="H2668" s="12" t="n"/>
      <c r="I2668" s="12" t="n"/>
      <c r="J2668" s="12" t="n"/>
      <c r="K2668" s="12" t="n"/>
      <c r="L2668" s="11" t="n"/>
      <c r="M2668" s="11" t="n"/>
      <c r="N2668" s="11" t="n"/>
      <c r="O2668" s="11" t="n"/>
      <c r="P2668" s="12" t="n"/>
      <c r="Q2668" s="11" t="n"/>
      <c r="R2668" s="12" t="n"/>
      <c r="S2668" s="11" t="n"/>
      <c r="T2668" s="12" t="n"/>
      <c r="U2668" s="12" t="n"/>
      <c r="V2668" s="14">
        <f>IF($AN2668="",IF($B2668="","",$H2668),IF(INDEX(職員マスタ!$B$6:$B$405,$AN2668)="",$H2668,INDEX(職員マスタ!$B$6:$B$405,$AN2668)))</f>
        <v/>
      </c>
      <c r="W2668" s="14">
        <f>IF($AN2668="",IF($B2668="","",$R2668),IF(INDEX(職員マスタ!$C$6:$C$405,$AN2668)="",$R2668,INDEX(職員マスタ!$C$6:$C$405,$AN2668)))</f>
        <v/>
      </c>
      <c r="X2668" s="14">
        <f>IF($AO2668="","","R"&amp;$C2668&amp;"."&amp;$D2668)</f>
        <v/>
      </c>
      <c r="Y2668" s="15">
        <f>IF($AN2668="","",IF(INDEX(職員マスタ!$K$6:$K$405,$AN2668)="","",INDEX(職員マスタ!$K$6:$K$405,$AN2668)))</f>
        <v/>
      </c>
      <c r="Z2668" s="14">
        <f>IF(OR($E2668="",$Y2668=""),"",IF($E2668&gt;=$Y2668,"×",IF($E2668&gt;=$Y2668*設定!$C$5,"△","○")))</f>
        <v/>
      </c>
      <c r="AA2668" s="15">
        <f>IF($Z2668="","",IF($Z2668="×",0,IF($Z2668="○",ROUNDDOWN($E2668*設定!$C$4,0),ROUNDDOWN($E2668*ROUND((9*$Y2668-9*$E2668)/(10*$E2668),4),0))))</f>
        <v/>
      </c>
      <c r="AB2668" s="13" t="n"/>
      <c r="AC2668" s="15">
        <f>IF($B2668="","",IF($AB2668&lt;&gt;"",$AB2668,IF($AA2668="","",IF($AA2668&lt;=設定!$C$3,0,$AA2668))))</f>
        <v/>
      </c>
      <c r="AD2668" s="14">
        <f>IF($B2668="","",IF(AND($AE2668&lt;&gt;"",$AG2668="",$AJ2668=""),"保留中",IF($AJ2668&lt;&gt;"",IF(N($AC2668)&gt;0,"支給済","不支給"),IF($AC2668="","要確認",IF($AC2668=0,"不支給","未処理")))))</f>
        <v/>
      </c>
      <c r="AE2668" s="12" t="n"/>
      <c r="AF2668" s="11" t="n"/>
      <c r="AG2668" s="11" t="n"/>
      <c r="AH2668" s="11" t="n"/>
      <c r="AI2668" s="14">
        <f>IF(AND($AD2668="保留中",$AF2668&lt;&gt;""),TODAY()-$AF2668,"")</f>
        <v/>
      </c>
      <c r="AJ2668" s="12" t="n"/>
      <c r="AK2668" s="14">
        <f>IF($B2668="","",IF($AO2668="","対象年月が未入力／","")&amp;IF($B2668="","",IF($AN2668="","職員マスタに未登録の職員番号／",IF($Y2668="","標準報酬月額が未登録／","")&amp;IF(AND($AO2668&lt;&gt;"",OR(AND(INDEX(職員マスタ!$G$6:$G$405,$AN2668)&lt;&gt;"",INDEX(職員マスタ!$G$6:$G$405,$AN2668)&gt;EOMONTH($AO2668,0)),AND(INDEX(職員マスタ!$H$6:$H$405,$AN2668)&lt;&gt;"",INDEX(職員マスタ!$H$6:$H$405,$AN2668)&lt;$AO2668))),"対象月が時短期間外／","")&amp;IF(AND(INDEX(職員マスタ!$F$6:$F$405,$AN2668)&lt;&gt;"",$AO2668&lt;&gt;"",INDEX(職員マスタ!$F$6:$F$405,$AN2668)&lt;$AO2668),"対象月に子が2歳到達済／","")&amp;IF(AND($H2668&lt;&gt;"",INDEX(職員マスタ!$B$6:$B$405,$AN2668)&lt;&gt;"",SUBSTITUTE(SUBSTITUTE($H2668," ","")," ","")&lt;&gt;SUBSTITUTE(SUBSTITUTE(INDEX(職員マスタ!$B$6:$B$405,$AN2668)," ","")," ","")),"氏名がマスタと相違／","")&amp;IF(AND($Q2668&lt;&gt;"",INDEX(職員マスタ!$E$6:$E$405,$AN2668)&lt;&gt;"",$Q2668&lt;&gt;INDEX(職員マスタ!$E$6:$E$405,$AN2668)),"子の生年月日がマスタと相違／","")&amp;IF(AND($L2668&lt;&gt;"",INDEX(職員マスタ!$G$6:$G$405,$AN2668)&lt;&gt;"",$L2668&lt;&gt;INDEX(職員マスタ!$G$6:$G$405,$AN2668)),"時短開始日がマスタと相違／","")&amp;IF(AND($M2668&lt;&gt;"",INDEX(職員マスタ!$H$6:$H$405,$AN2668)&lt;&gt;"",$M2668&lt;&gt;INDEX(職員マスタ!$H$6:$H$405,$AN2668)),"時短終了日がマスタと相違／","")))&amp;IF(AND($B2668&lt;&gt;"",$E2668=""),"報酬額が未入力／","")&amp;IF(N($U2668)&gt;0,"申請書に入力エラーが残っています／","")&amp;IF(AND($B2668&lt;&gt;"",$AO2668&lt;&gt;""),IF(COUNTIFS($B$6:$B$3005,$B2668,$C$6:$C$3005,$C2668,$D$6:$D$3005,$D2668)&gt;1,"同じ月の請求が重複しています／",""),"")&amp;IF(AND(N($E2668)&gt;0,$Z2668&lt;&gt;"",$Z2668&lt;&gt;"×",$AC2668=0,$AB2668=""),"計算額が下限以下のため不支給／",""))</f>
        <v/>
      </c>
      <c r="AL2668" s="12" t="n"/>
      <c r="AM2668" s="14">
        <f>IF($AD2668="保留中",COUNTIF($AD$6:$AD2668,"保留中"),"")</f>
        <v/>
      </c>
      <c r="AN2668" s="14">
        <f>IF($AO2668="","",IF(SUMPRODUCT(MAX((職員マスタ!$A$6:$A$405=$B2668)*(((職員マスタ!$G$6:$G$405="")+(職員マスタ!$G$6:$G$405&lt;=EOMONTH($AO2668,0)))&gt;0)*(((職員マスタ!$H$6:$H$405="")+(職員マスタ!$H$6:$H$405&gt;=$AO2668))&gt;0)*(ROW(職員マスタ!$A$6:$A$405)-5)))&gt;0,SUMPRODUCT(MAX((職員マスタ!$A$6:$A$405=$B2668)*(((職員マスタ!$G$6:$G$405="")+(職員マスタ!$G$6:$G$405&lt;=EOMONTH($AO2668,0)))&gt;0)*(((職員マスタ!$H$6:$H$405="")+(職員マスタ!$H$6:$H$405&gt;=$AO2668))&gt;0)*(ROW(職員マスタ!$A$6:$A$405)-5))),IFERROR(MATCH($B2668,職員マスタ!$A$6:$A$405,0),"")))</f>
        <v/>
      </c>
      <c r="AO2668" s="16">
        <f>IF(OR($B2668="",$C2668="",$D2668=""),"",DATE($C2668+2018,$D2668,1))</f>
        <v/>
      </c>
    </row>
    <row r="2669">
      <c r="A2669" s="11" t="n"/>
      <c r="B2669" s="12" t="n"/>
      <c r="C2669" s="12" t="n"/>
      <c r="D2669" s="12" t="n"/>
      <c r="E2669" s="13" t="n"/>
      <c r="F2669" s="12" t="n"/>
      <c r="G2669" s="13" t="n"/>
      <c r="H2669" s="12" t="n"/>
      <c r="I2669" s="12" t="n"/>
      <c r="J2669" s="12" t="n"/>
      <c r="K2669" s="12" t="n"/>
      <c r="L2669" s="11" t="n"/>
      <c r="M2669" s="11" t="n"/>
      <c r="N2669" s="11" t="n"/>
      <c r="O2669" s="11" t="n"/>
      <c r="P2669" s="12" t="n"/>
      <c r="Q2669" s="11" t="n"/>
      <c r="R2669" s="12" t="n"/>
      <c r="S2669" s="11" t="n"/>
      <c r="T2669" s="12" t="n"/>
      <c r="U2669" s="12" t="n"/>
      <c r="V2669" s="14">
        <f>IF($AN2669="",IF($B2669="","",$H2669),IF(INDEX(職員マスタ!$B$6:$B$405,$AN2669)="",$H2669,INDEX(職員マスタ!$B$6:$B$405,$AN2669)))</f>
        <v/>
      </c>
      <c r="W2669" s="14">
        <f>IF($AN2669="",IF($B2669="","",$R2669),IF(INDEX(職員マスタ!$C$6:$C$405,$AN2669)="",$R2669,INDEX(職員マスタ!$C$6:$C$405,$AN2669)))</f>
        <v/>
      </c>
      <c r="X2669" s="14">
        <f>IF($AO2669="","","R"&amp;$C2669&amp;"."&amp;$D2669)</f>
        <v/>
      </c>
      <c r="Y2669" s="15">
        <f>IF($AN2669="","",IF(INDEX(職員マスタ!$K$6:$K$405,$AN2669)="","",INDEX(職員マスタ!$K$6:$K$405,$AN2669)))</f>
        <v/>
      </c>
      <c r="Z2669" s="14">
        <f>IF(OR($E2669="",$Y2669=""),"",IF($E2669&gt;=$Y2669,"×",IF($E2669&gt;=$Y2669*設定!$C$5,"△","○")))</f>
        <v/>
      </c>
      <c r="AA2669" s="15">
        <f>IF($Z2669="","",IF($Z2669="×",0,IF($Z2669="○",ROUNDDOWN($E2669*設定!$C$4,0),ROUNDDOWN($E2669*ROUND((9*$Y2669-9*$E2669)/(10*$E2669),4),0))))</f>
        <v/>
      </c>
      <c r="AB2669" s="13" t="n"/>
      <c r="AC2669" s="15">
        <f>IF($B2669="","",IF($AB2669&lt;&gt;"",$AB2669,IF($AA2669="","",IF($AA2669&lt;=設定!$C$3,0,$AA2669))))</f>
        <v/>
      </c>
      <c r="AD2669" s="14">
        <f>IF($B2669="","",IF(AND($AE2669&lt;&gt;"",$AG2669="",$AJ2669=""),"保留中",IF($AJ2669&lt;&gt;"",IF(N($AC2669)&gt;0,"支給済","不支給"),IF($AC2669="","要確認",IF($AC2669=0,"不支給","未処理")))))</f>
        <v/>
      </c>
      <c r="AE2669" s="12" t="n"/>
      <c r="AF2669" s="11" t="n"/>
      <c r="AG2669" s="11" t="n"/>
      <c r="AH2669" s="11" t="n"/>
      <c r="AI2669" s="14">
        <f>IF(AND($AD2669="保留中",$AF2669&lt;&gt;""),TODAY()-$AF2669,"")</f>
        <v/>
      </c>
      <c r="AJ2669" s="12" t="n"/>
      <c r="AK2669" s="14">
        <f>IF($B2669="","",IF($AO2669="","対象年月が未入力／","")&amp;IF($B2669="","",IF($AN2669="","職員マスタに未登録の職員番号／",IF($Y2669="","標準報酬月額が未登録／","")&amp;IF(AND($AO2669&lt;&gt;"",OR(AND(INDEX(職員マスタ!$G$6:$G$405,$AN2669)&lt;&gt;"",INDEX(職員マスタ!$G$6:$G$405,$AN2669)&gt;EOMONTH($AO2669,0)),AND(INDEX(職員マスタ!$H$6:$H$405,$AN2669)&lt;&gt;"",INDEX(職員マスタ!$H$6:$H$405,$AN2669)&lt;$AO2669))),"対象月が時短期間外／","")&amp;IF(AND(INDEX(職員マスタ!$F$6:$F$405,$AN2669)&lt;&gt;"",$AO2669&lt;&gt;"",INDEX(職員マスタ!$F$6:$F$405,$AN2669)&lt;$AO2669),"対象月に子が2歳到達済／","")&amp;IF(AND($H2669&lt;&gt;"",INDEX(職員マスタ!$B$6:$B$405,$AN2669)&lt;&gt;"",SUBSTITUTE(SUBSTITUTE($H2669," ","")," ","")&lt;&gt;SUBSTITUTE(SUBSTITUTE(INDEX(職員マスタ!$B$6:$B$405,$AN2669)," ","")," ","")),"氏名がマスタと相違／","")&amp;IF(AND($Q2669&lt;&gt;"",INDEX(職員マスタ!$E$6:$E$405,$AN2669)&lt;&gt;"",$Q2669&lt;&gt;INDEX(職員マスタ!$E$6:$E$405,$AN2669)),"子の生年月日がマスタと相違／","")&amp;IF(AND($L2669&lt;&gt;"",INDEX(職員マスタ!$G$6:$G$405,$AN2669)&lt;&gt;"",$L2669&lt;&gt;INDEX(職員マスタ!$G$6:$G$405,$AN2669)),"時短開始日がマスタと相違／","")&amp;IF(AND($M2669&lt;&gt;"",INDEX(職員マスタ!$H$6:$H$405,$AN2669)&lt;&gt;"",$M2669&lt;&gt;INDEX(職員マスタ!$H$6:$H$405,$AN2669)),"時短終了日がマスタと相違／","")))&amp;IF(AND($B2669&lt;&gt;"",$E2669=""),"報酬額が未入力／","")&amp;IF(N($U2669)&gt;0,"申請書に入力エラーが残っています／","")&amp;IF(AND($B2669&lt;&gt;"",$AO2669&lt;&gt;""),IF(COUNTIFS($B$6:$B$3005,$B2669,$C$6:$C$3005,$C2669,$D$6:$D$3005,$D2669)&gt;1,"同じ月の請求が重複しています／",""),"")&amp;IF(AND(N($E2669)&gt;0,$Z2669&lt;&gt;"",$Z2669&lt;&gt;"×",$AC2669=0,$AB2669=""),"計算額が下限以下のため不支給／",""))</f>
        <v/>
      </c>
      <c r="AL2669" s="12" t="n"/>
      <c r="AM2669" s="14">
        <f>IF($AD2669="保留中",COUNTIF($AD$6:$AD2669,"保留中"),"")</f>
        <v/>
      </c>
      <c r="AN2669" s="14">
        <f>IF($AO2669="","",IF(SUMPRODUCT(MAX((職員マスタ!$A$6:$A$405=$B2669)*(((職員マスタ!$G$6:$G$405="")+(職員マスタ!$G$6:$G$405&lt;=EOMONTH($AO2669,0)))&gt;0)*(((職員マスタ!$H$6:$H$405="")+(職員マスタ!$H$6:$H$405&gt;=$AO2669))&gt;0)*(ROW(職員マスタ!$A$6:$A$405)-5)))&gt;0,SUMPRODUCT(MAX((職員マスタ!$A$6:$A$405=$B2669)*(((職員マスタ!$G$6:$G$405="")+(職員マスタ!$G$6:$G$405&lt;=EOMONTH($AO2669,0)))&gt;0)*(((職員マスタ!$H$6:$H$405="")+(職員マスタ!$H$6:$H$405&gt;=$AO2669))&gt;0)*(ROW(職員マスタ!$A$6:$A$405)-5))),IFERROR(MATCH($B2669,職員マスタ!$A$6:$A$405,0),"")))</f>
        <v/>
      </c>
      <c r="AO2669" s="16">
        <f>IF(OR($B2669="",$C2669="",$D2669=""),"",DATE($C2669+2018,$D2669,1))</f>
        <v/>
      </c>
    </row>
    <row r="2670">
      <c r="A2670" s="11" t="n"/>
      <c r="B2670" s="12" t="n"/>
      <c r="C2670" s="12" t="n"/>
      <c r="D2670" s="12" t="n"/>
      <c r="E2670" s="13" t="n"/>
      <c r="F2670" s="12" t="n"/>
      <c r="G2670" s="13" t="n"/>
      <c r="H2670" s="12" t="n"/>
      <c r="I2670" s="12" t="n"/>
      <c r="J2670" s="12" t="n"/>
      <c r="K2670" s="12" t="n"/>
      <c r="L2670" s="11" t="n"/>
      <c r="M2670" s="11" t="n"/>
      <c r="N2670" s="11" t="n"/>
      <c r="O2670" s="11" t="n"/>
      <c r="P2670" s="12" t="n"/>
      <c r="Q2670" s="11" t="n"/>
      <c r="R2670" s="12" t="n"/>
      <c r="S2670" s="11" t="n"/>
      <c r="T2670" s="12" t="n"/>
      <c r="U2670" s="12" t="n"/>
      <c r="V2670" s="14">
        <f>IF($AN2670="",IF($B2670="","",$H2670),IF(INDEX(職員マスタ!$B$6:$B$405,$AN2670)="",$H2670,INDEX(職員マスタ!$B$6:$B$405,$AN2670)))</f>
        <v/>
      </c>
      <c r="W2670" s="14">
        <f>IF($AN2670="",IF($B2670="","",$R2670),IF(INDEX(職員マスタ!$C$6:$C$405,$AN2670)="",$R2670,INDEX(職員マスタ!$C$6:$C$405,$AN2670)))</f>
        <v/>
      </c>
      <c r="X2670" s="14">
        <f>IF($AO2670="","","R"&amp;$C2670&amp;"."&amp;$D2670)</f>
        <v/>
      </c>
      <c r="Y2670" s="15">
        <f>IF($AN2670="","",IF(INDEX(職員マスタ!$K$6:$K$405,$AN2670)="","",INDEX(職員マスタ!$K$6:$K$405,$AN2670)))</f>
        <v/>
      </c>
      <c r="Z2670" s="14">
        <f>IF(OR($E2670="",$Y2670=""),"",IF($E2670&gt;=$Y2670,"×",IF($E2670&gt;=$Y2670*設定!$C$5,"△","○")))</f>
        <v/>
      </c>
      <c r="AA2670" s="15">
        <f>IF($Z2670="","",IF($Z2670="×",0,IF($Z2670="○",ROUNDDOWN($E2670*設定!$C$4,0),ROUNDDOWN($E2670*ROUND((9*$Y2670-9*$E2670)/(10*$E2670),4),0))))</f>
        <v/>
      </c>
      <c r="AB2670" s="13" t="n"/>
      <c r="AC2670" s="15">
        <f>IF($B2670="","",IF($AB2670&lt;&gt;"",$AB2670,IF($AA2670="","",IF($AA2670&lt;=設定!$C$3,0,$AA2670))))</f>
        <v/>
      </c>
      <c r="AD2670" s="14">
        <f>IF($B2670="","",IF(AND($AE2670&lt;&gt;"",$AG2670="",$AJ2670=""),"保留中",IF($AJ2670&lt;&gt;"",IF(N($AC2670)&gt;0,"支給済","不支給"),IF($AC2670="","要確認",IF($AC2670=0,"不支給","未処理")))))</f>
        <v/>
      </c>
      <c r="AE2670" s="12" t="n"/>
      <c r="AF2670" s="11" t="n"/>
      <c r="AG2670" s="11" t="n"/>
      <c r="AH2670" s="11" t="n"/>
      <c r="AI2670" s="14">
        <f>IF(AND($AD2670="保留中",$AF2670&lt;&gt;""),TODAY()-$AF2670,"")</f>
        <v/>
      </c>
      <c r="AJ2670" s="12" t="n"/>
      <c r="AK2670" s="14">
        <f>IF($B2670="","",IF($AO2670="","対象年月が未入力／","")&amp;IF($B2670="","",IF($AN2670="","職員マスタに未登録の職員番号／",IF($Y2670="","標準報酬月額が未登録／","")&amp;IF(AND($AO2670&lt;&gt;"",OR(AND(INDEX(職員マスタ!$G$6:$G$405,$AN2670)&lt;&gt;"",INDEX(職員マスタ!$G$6:$G$405,$AN2670)&gt;EOMONTH($AO2670,0)),AND(INDEX(職員マスタ!$H$6:$H$405,$AN2670)&lt;&gt;"",INDEX(職員マスタ!$H$6:$H$405,$AN2670)&lt;$AO2670))),"対象月が時短期間外／","")&amp;IF(AND(INDEX(職員マスタ!$F$6:$F$405,$AN2670)&lt;&gt;"",$AO2670&lt;&gt;"",INDEX(職員マスタ!$F$6:$F$405,$AN2670)&lt;$AO2670),"対象月に子が2歳到達済／","")&amp;IF(AND($H2670&lt;&gt;"",INDEX(職員マスタ!$B$6:$B$405,$AN2670)&lt;&gt;"",SUBSTITUTE(SUBSTITUTE($H2670," ","")," ","")&lt;&gt;SUBSTITUTE(SUBSTITUTE(INDEX(職員マスタ!$B$6:$B$405,$AN2670)," ","")," ","")),"氏名がマスタと相違／","")&amp;IF(AND($Q2670&lt;&gt;"",INDEX(職員マスタ!$E$6:$E$405,$AN2670)&lt;&gt;"",$Q2670&lt;&gt;INDEX(職員マスタ!$E$6:$E$405,$AN2670)),"子の生年月日がマスタと相違／","")&amp;IF(AND($L2670&lt;&gt;"",INDEX(職員マスタ!$G$6:$G$405,$AN2670)&lt;&gt;"",$L2670&lt;&gt;INDEX(職員マスタ!$G$6:$G$405,$AN2670)),"時短開始日がマスタと相違／","")&amp;IF(AND($M2670&lt;&gt;"",INDEX(職員マスタ!$H$6:$H$405,$AN2670)&lt;&gt;"",$M2670&lt;&gt;INDEX(職員マスタ!$H$6:$H$405,$AN2670)),"時短終了日がマスタと相違／","")))&amp;IF(AND($B2670&lt;&gt;"",$E2670=""),"報酬額が未入力／","")&amp;IF(N($U2670)&gt;0,"申請書に入力エラーが残っています／","")&amp;IF(AND($B2670&lt;&gt;"",$AO2670&lt;&gt;""),IF(COUNTIFS($B$6:$B$3005,$B2670,$C$6:$C$3005,$C2670,$D$6:$D$3005,$D2670)&gt;1,"同じ月の請求が重複しています／",""),"")&amp;IF(AND(N($E2670)&gt;0,$Z2670&lt;&gt;"",$Z2670&lt;&gt;"×",$AC2670=0,$AB2670=""),"計算額が下限以下のため不支給／",""))</f>
        <v/>
      </c>
      <c r="AL2670" s="12" t="n"/>
      <c r="AM2670" s="14">
        <f>IF($AD2670="保留中",COUNTIF($AD$6:$AD2670,"保留中"),"")</f>
        <v/>
      </c>
      <c r="AN2670" s="14">
        <f>IF($AO2670="","",IF(SUMPRODUCT(MAX((職員マスタ!$A$6:$A$405=$B2670)*(((職員マスタ!$G$6:$G$405="")+(職員マスタ!$G$6:$G$405&lt;=EOMONTH($AO2670,0)))&gt;0)*(((職員マスタ!$H$6:$H$405="")+(職員マスタ!$H$6:$H$405&gt;=$AO2670))&gt;0)*(ROW(職員マスタ!$A$6:$A$405)-5)))&gt;0,SUMPRODUCT(MAX((職員マスタ!$A$6:$A$405=$B2670)*(((職員マスタ!$G$6:$G$405="")+(職員マスタ!$G$6:$G$405&lt;=EOMONTH($AO2670,0)))&gt;0)*(((職員マスタ!$H$6:$H$405="")+(職員マスタ!$H$6:$H$405&gt;=$AO2670))&gt;0)*(ROW(職員マスタ!$A$6:$A$405)-5))),IFERROR(MATCH($B2670,職員マスタ!$A$6:$A$405,0),"")))</f>
        <v/>
      </c>
      <c r="AO2670" s="16">
        <f>IF(OR($B2670="",$C2670="",$D2670=""),"",DATE($C2670+2018,$D2670,1))</f>
        <v/>
      </c>
    </row>
    <row r="2671">
      <c r="A2671" s="11" t="n"/>
      <c r="B2671" s="12" t="n"/>
      <c r="C2671" s="12" t="n"/>
      <c r="D2671" s="12" t="n"/>
      <c r="E2671" s="13" t="n"/>
      <c r="F2671" s="12" t="n"/>
      <c r="G2671" s="13" t="n"/>
      <c r="H2671" s="12" t="n"/>
      <c r="I2671" s="12" t="n"/>
      <c r="J2671" s="12" t="n"/>
      <c r="K2671" s="12" t="n"/>
      <c r="L2671" s="11" t="n"/>
      <c r="M2671" s="11" t="n"/>
      <c r="N2671" s="11" t="n"/>
      <c r="O2671" s="11" t="n"/>
      <c r="P2671" s="12" t="n"/>
      <c r="Q2671" s="11" t="n"/>
      <c r="R2671" s="12" t="n"/>
      <c r="S2671" s="11" t="n"/>
      <c r="T2671" s="12" t="n"/>
      <c r="U2671" s="12" t="n"/>
      <c r="V2671" s="14">
        <f>IF($AN2671="",IF($B2671="","",$H2671),IF(INDEX(職員マスタ!$B$6:$B$405,$AN2671)="",$H2671,INDEX(職員マスタ!$B$6:$B$405,$AN2671)))</f>
        <v/>
      </c>
      <c r="W2671" s="14">
        <f>IF($AN2671="",IF($B2671="","",$R2671),IF(INDEX(職員マスタ!$C$6:$C$405,$AN2671)="",$R2671,INDEX(職員マスタ!$C$6:$C$405,$AN2671)))</f>
        <v/>
      </c>
      <c r="X2671" s="14">
        <f>IF($AO2671="","","R"&amp;$C2671&amp;"."&amp;$D2671)</f>
        <v/>
      </c>
      <c r="Y2671" s="15">
        <f>IF($AN2671="","",IF(INDEX(職員マスタ!$K$6:$K$405,$AN2671)="","",INDEX(職員マスタ!$K$6:$K$405,$AN2671)))</f>
        <v/>
      </c>
      <c r="Z2671" s="14">
        <f>IF(OR($E2671="",$Y2671=""),"",IF($E2671&gt;=$Y2671,"×",IF($E2671&gt;=$Y2671*設定!$C$5,"△","○")))</f>
        <v/>
      </c>
      <c r="AA2671" s="15">
        <f>IF($Z2671="","",IF($Z2671="×",0,IF($Z2671="○",ROUNDDOWN($E2671*設定!$C$4,0),ROUNDDOWN($E2671*ROUND((9*$Y2671-9*$E2671)/(10*$E2671),4),0))))</f>
        <v/>
      </c>
      <c r="AB2671" s="13" t="n"/>
      <c r="AC2671" s="15">
        <f>IF($B2671="","",IF($AB2671&lt;&gt;"",$AB2671,IF($AA2671="","",IF($AA2671&lt;=設定!$C$3,0,$AA2671))))</f>
        <v/>
      </c>
      <c r="AD2671" s="14">
        <f>IF($B2671="","",IF(AND($AE2671&lt;&gt;"",$AG2671="",$AJ2671=""),"保留中",IF($AJ2671&lt;&gt;"",IF(N($AC2671)&gt;0,"支給済","不支給"),IF($AC2671="","要確認",IF($AC2671=0,"不支給","未処理")))))</f>
        <v/>
      </c>
      <c r="AE2671" s="12" t="n"/>
      <c r="AF2671" s="11" t="n"/>
      <c r="AG2671" s="11" t="n"/>
      <c r="AH2671" s="11" t="n"/>
      <c r="AI2671" s="14">
        <f>IF(AND($AD2671="保留中",$AF2671&lt;&gt;""),TODAY()-$AF2671,"")</f>
        <v/>
      </c>
      <c r="AJ2671" s="12" t="n"/>
      <c r="AK2671" s="14">
        <f>IF($B2671="","",IF($AO2671="","対象年月が未入力／","")&amp;IF($B2671="","",IF($AN2671="","職員マスタに未登録の職員番号／",IF($Y2671="","標準報酬月額が未登録／","")&amp;IF(AND($AO2671&lt;&gt;"",OR(AND(INDEX(職員マスタ!$G$6:$G$405,$AN2671)&lt;&gt;"",INDEX(職員マスタ!$G$6:$G$405,$AN2671)&gt;EOMONTH($AO2671,0)),AND(INDEX(職員マスタ!$H$6:$H$405,$AN2671)&lt;&gt;"",INDEX(職員マスタ!$H$6:$H$405,$AN2671)&lt;$AO2671))),"対象月が時短期間外／","")&amp;IF(AND(INDEX(職員マスタ!$F$6:$F$405,$AN2671)&lt;&gt;"",$AO2671&lt;&gt;"",INDEX(職員マスタ!$F$6:$F$405,$AN2671)&lt;$AO2671),"対象月に子が2歳到達済／","")&amp;IF(AND($H2671&lt;&gt;"",INDEX(職員マスタ!$B$6:$B$405,$AN2671)&lt;&gt;"",SUBSTITUTE(SUBSTITUTE($H2671," ","")," ","")&lt;&gt;SUBSTITUTE(SUBSTITUTE(INDEX(職員マスタ!$B$6:$B$405,$AN2671)," ","")," ","")),"氏名がマスタと相違／","")&amp;IF(AND($Q2671&lt;&gt;"",INDEX(職員マスタ!$E$6:$E$405,$AN2671)&lt;&gt;"",$Q2671&lt;&gt;INDEX(職員マスタ!$E$6:$E$405,$AN2671)),"子の生年月日がマスタと相違／","")&amp;IF(AND($L2671&lt;&gt;"",INDEX(職員マスタ!$G$6:$G$405,$AN2671)&lt;&gt;"",$L2671&lt;&gt;INDEX(職員マスタ!$G$6:$G$405,$AN2671)),"時短開始日がマスタと相違／","")&amp;IF(AND($M2671&lt;&gt;"",INDEX(職員マスタ!$H$6:$H$405,$AN2671)&lt;&gt;"",$M2671&lt;&gt;INDEX(職員マスタ!$H$6:$H$405,$AN2671)),"時短終了日がマスタと相違／","")))&amp;IF(AND($B2671&lt;&gt;"",$E2671=""),"報酬額が未入力／","")&amp;IF(N($U2671)&gt;0,"申請書に入力エラーが残っています／","")&amp;IF(AND($B2671&lt;&gt;"",$AO2671&lt;&gt;""),IF(COUNTIFS($B$6:$B$3005,$B2671,$C$6:$C$3005,$C2671,$D$6:$D$3005,$D2671)&gt;1,"同じ月の請求が重複しています／",""),"")&amp;IF(AND(N($E2671)&gt;0,$Z2671&lt;&gt;"",$Z2671&lt;&gt;"×",$AC2671=0,$AB2671=""),"計算額が下限以下のため不支給／",""))</f>
        <v/>
      </c>
      <c r="AL2671" s="12" t="n"/>
      <c r="AM2671" s="14">
        <f>IF($AD2671="保留中",COUNTIF($AD$6:$AD2671,"保留中"),"")</f>
        <v/>
      </c>
      <c r="AN2671" s="14">
        <f>IF($AO2671="","",IF(SUMPRODUCT(MAX((職員マスタ!$A$6:$A$405=$B2671)*(((職員マスタ!$G$6:$G$405="")+(職員マスタ!$G$6:$G$405&lt;=EOMONTH($AO2671,0)))&gt;0)*(((職員マスタ!$H$6:$H$405="")+(職員マスタ!$H$6:$H$405&gt;=$AO2671))&gt;0)*(ROW(職員マスタ!$A$6:$A$405)-5)))&gt;0,SUMPRODUCT(MAX((職員マスタ!$A$6:$A$405=$B2671)*(((職員マスタ!$G$6:$G$405="")+(職員マスタ!$G$6:$G$405&lt;=EOMONTH($AO2671,0)))&gt;0)*(((職員マスタ!$H$6:$H$405="")+(職員マスタ!$H$6:$H$405&gt;=$AO2671))&gt;0)*(ROW(職員マスタ!$A$6:$A$405)-5))),IFERROR(MATCH($B2671,職員マスタ!$A$6:$A$405,0),"")))</f>
        <v/>
      </c>
      <c r="AO2671" s="16">
        <f>IF(OR($B2671="",$C2671="",$D2671=""),"",DATE($C2671+2018,$D2671,1))</f>
        <v/>
      </c>
    </row>
    <row r="2672">
      <c r="A2672" s="11" t="n"/>
      <c r="B2672" s="12" t="n"/>
      <c r="C2672" s="12" t="n"/>
      <c r="D2672" s="12" t="n"/>
      <c r="E2672" s="13" t="n"/>
      <c r="F2672" s="12" t="n"/>
      <c r="G2672" s="13" t="n"/>
      <c r="H2672" s="12" t="n"/>
      <c r="I2672" s="12" t="n"/>
      <c r="J2672" s="12" t="n"/>
      <c r="K2672" s="12" t="n"/>
      <c r="L2672" s="11" t="n"/>
      <c r="M2672" s="11" t="n"/>
      <c r="N2672" s="11" t="n"/>
      <c r="O2672" s="11" t="n"/>
      <c r="P2672" s="12" t="n"/>
      <c r="Q2672" s="11" t="n"/>
      <c r="R2672" s="12" t="n"/>
      <c r="S2672" s="11" t="n"/>
      <c r="T2672" s="12" t="n"/>
      <c r="U2672" s="12" t="n"/>
      <c r="V2672" s="14">
        <f>IF($AN2672="",IF($B2672="","",$H2672),IF(INDEX(職員マスタ!$B$6:$B$405,$AN2672)="",$H2672,INDEX(職員マスタ!$B$6:$B$405,$AN2672)))</f>
        <v/>
      </c>
      <c r="W2672" s="14">
        <f>IF($AN2672="",IF($B2672="","",$R2672),IF(INDEX(職員マスタ!$C$6:$C$405,$AN2672)="",$R2672,INDEX(職員マスタ!$C$6:$C$405,$AN2672)))</f>
        <v/>
      </c>
      <c r="X2672" s="14">
        <f>IF($AO2672="","","R"&amp;$C2672&amp;"."&amp;$D2672)</f>
        <v/>
      </c>
      <c r="Y2672" s="15">
        <f>IF($AN2672="","",IF(INDEX(職員マスタ!$K$6:$K$405,$AN2672)="","",INDEX(職員マスタ!$K$6:$K$405,$AN2672)))</f>
        <v/>
      </c>
      <c r="Z2672" s="14">
        <f>IF(OR($E2672="",$Y2672=""),"",IF($E2672&gt;=$Y2672,"×",IF($E2672&gt;=$Y2672*設定!$C$5,"△","○")))</f>
        <v/>
      </c>
      <c r="AA2672" s="15">
        <f>IF($Z2672="","",IF($Z2672="×",0,IF($Z2672="○",ROUNDDOWN($E2672*設定!$C$4,0),ROUNDDOWN($E2672*ROUND((9*$Y2672-9*$E2672)/(10*$E2672),4),0))))</f>
        <v/>
      </c>
      <c r="AB2672" s="13" t="n"/>
      <c r="AC2672" s="15">
        <f>IF($B2672="","",IF($AB2672&lt;&gt;"",$AB2672,IF($AA2672="","",IF($AA2672&lt;=設定!$C$3,0,$AA2672))))</f>
        <v/>
      </c>
      <c r="AD2672" s="14">
        <f>IF($B2672="","",IF(AND($AE2672&lt;&gt;"",$AG2672="",$AJ2672=""),"保留中",IF($AJ2672&lt;&gt;"",IF(N($AC2672)&gt;0,"支給済","不支給"),IF($AC2672="","要確認",IF($AC2672=0,"不支給","未処理")))))</f>
        <v/>
      </c>
      <c r="AE2672" s="12" t="n"/>
      <c r="AF2672" s="11" t="n"/>
      <c r="AG2672" s="11" t="n"/>
      <c r="AH2672" s="11" t="n"/>
      <c r="AI2672" s="14">
        <f>IF(AND($AD2672="保留中",$AF2672&lt;&gt;""),TODAY()-$AF2672,"")</f>
        <v/>
      </c>
      <c r="AJ2672" s="12" t="n"/>
      <c r="AK2672" s="14">
        <f>IF($B2672="","",IF($AO2672="","対象年月が未入力／","")&amp;IF($B2672="","",IF($AN2672="","職員マスタに未登録の職員番号／",IF($Y2672="","標準報酬月額が未登録／","")&amp;IF(AND($AO2672&lt;&gt;"",OR(AND(INDEX(職員マスタ!$G$6:$G$405,$AN2672)&lt;&gt;"",INDEX(職員マスタ!$G$6:$G$405,$AN2672)&gt;EOMONTH($AO2672,0)),AND(INDEX(職員マスタ!$H$6:$H$405,$AN2672)&lt;&gt;"",INDEX(職員マスタ!$H$6:$H$405,$AN2672)&lt;$AO2672))),"対象月が時短期間外／","")&amp;IF(AND(INDEX(職員マスタ!$F$6:$F$405,$AN2672)&lt;&gt;"",$AO2672&lt;&gt;"",INDEX(職員マスタ!$F$6:$F$405,$AN2672)&lt;$AO2672),"対象月に子が2歳到達済／","")&amp;IF(AND($H2672&lt;&gt;"",INDEX(職員マスタ!$B$6:$B$405,$AN2672)&lt;&gt;"",SUBSTITUTE(SUBSTITUTE($H2672," ","")," ","")&lt;&gt;SUBSTITUTE(SUBSTITUTE(INDEX(職員マスタ!$B$6:$B$405,$AN2672)," ","")," ","")),"氏名がマスタと相違／","")&amp;IF(AND($Q2672&lt;&gt;"",INDEX(職員マスタ!$E$6:$E$405,$AN2672)&lt;&gt;"",$Q2672&lt;&gt;INDEX(職員マスタ!$E$6:$E$405,$AN2672)),"子の生年月日がマスタと相違／","")&amp;IF(AND($L2672&lt;&gt;"",INDEX(職員マスタ!$G$6:$G$405,$AN2672)&lt;&gt;"",$L2672&lt;&gt;INDEX(職員マスタ!$G$6:$G$405,$AN2672)),"時短開始日がマスタと相違／","")&amp;IF(AND($M2672&lt;&gt;"",INDEX(職員マスタ!$H$6:$H$405,$AN2672)&lt;&gt;"",$M2672&lt;&gt;INDEX(職員マスタ!$H$6:$H$405,$AN2672)),"時短終了日がマスタと相違／","")))&amp;IF(AND($B2672&lt;&gt;"",$E2672=""),"報酬額が未入力／","")&amp;IF(N($U2672)&gt;0,"申請書に入力エラーが残っています／","")&amp;IF(AND($B2672&lt;&gt;"",$AO2672&lt;&gt;""),IF(COUNTIFS($B$6:$B$3005,$B2672,$C$6:$C$3005,$C2672,$D$6:$D$3005,$D2672)&gt;1,"同じ月の請求が重複しています／",""),"")&amp;IF(AND(N($E2672)&gt;0,$Z2672&lt;&gt;"",$Z2672&lt;&gt;"×",$AC2672=0,$AB2672=""),"計算額が下限以下のため不支給／",""))</f>
        <v/>
      </c>
      <c r="AL2672" s="12" t="n"/>
      <c r="AM2672" s="14">
        <f>IF($AD2672="保留中",COUNTIF($AD$6:$AD2672,"保留中"),"")</f>
        <v/>
      </c>
      <c r="AN2672" s="14">
        <f>IF($AO2672="","",IF(SUMPRODUCT(MAX((職員マスタ!$A$6:$A$405=$B2672)*(((職員マスタ!$G$6:$G$405="")+(職員マスタ!$G$6:$G$405&lt;=EOMONTH($AO2672,0)))&gt;0)*(((職員マスタ!$H$6:$H$405="")+(職員マスタ!$H$6:$H$405&gt;=$AO2672))&gt;0)*(ROW(職員マスタ!$A$6:$A$405)-5)))&gt;0,SUMPRODUCT(MAX((職員マスタ!$A$6:$A$405=$B2672)*(((職員マスタ!$G$6:$G$405="")+(職員マスタ!$G$6:$G$405&lt;=EOMONTH($AO2672,0)))&gt;0)*(((職員マスタ!$H$6:$H$405="")+(職員マスタ!$H$6:$H$405&gt;=$AO2672))&gt;0)*(ROW(職員マスタ!$A$6:$A$405)-5))),IFERROR(MATCH($B2672,職員マスタ!$A$6:$A$405,0),"")))</f>
        <v/>
      </c>
      <c r="AO2672" s="16">
        <f>IF(OR($B2672="",$C2672="",$D2672=""),"",DATE($C2672+2018,$D2672,1))</f>
        <v/>
      </c>
    </row>
    <row r="2673">
      <c r="A2673" s="11" t="n"/>
      <c r="B2673" s="12" t="n"/>
      <c r="C2673" s="12" t="n"/>
      <c r="D2673" s="12" t="n"/>
      <c r="E2673" s="13" t="n"/>
      <c r="F2673" s="12" t="n"/>
      <c r="G2673" s="13" t="n"/>
      <c r="H2673" s="12" t="n"/>
      <c r="I2673" s="12" t="n"/>
      <c r="J2673" s="12" t="n"/>
      <c r="K2673" s="12" t="n"/>
      <c r="L2673" s="11" t="n"/>
      <c r="M2673" s="11" t="n"/>
      <c r="N2673" s="11" t="n"/>
      <c r="O2673" s="11" t="n"/>
      <c r="P2673" s="12" t="n"/>
      <c r="Q2673" s="11" t="n"/>
      <c r="R2673" s="12" t="n"/>
      <c r="S2673" s="11" t="n"/>
      <c r="T2673" s="12" t="n"/>
      <c r="U2673" s="12" t="n"/>
      <c r="V2673" s="14">
        <f>IF($AN2673="",IF($B2673="","",$H2673),IF(INDEX(職員マスタ!$B$6:$B$405,$AN2673)="",$H2673,INDEX(職員マスタ!$B$6:$B$405,$AN2673)))</f>
        <v/>
      </c>
      <c r="W2673" s="14">
        <f>IF($AN2673="",IF($B2673="","",$R2673),IF(INDEX(職員マスタ!$C$6:$C$405,$AN2673)="",$R2673,INDEX(職員マスタ!$C$6:$C$405,$AN2673)))</f>
        <v/>
      </c>
      <c r="X2673" s="14">
        <f>IF($AO2673="","","R"&amp;$C2673&amp;"."&amp;$D2673)</f>
        <v/>
      </c>
      <c r="Y2673" s="15">
        <f>IF($AN2673="","",IF(INDEX(職員マスタ!$K$6:$K$405,$AN2673)="","",INDEX(職員マスタ!$K$6:$K$405,$AN2673)))</f>
        <v/>
      </c>
      <c r="Z2673" s="14">
        <f>IF(OR($E2673="",$Y2673=""),"",IF($E2673&gt;=$Y2673,"×",IF($E2673&gt;=$Y2673*設定!$C$5,"△","○")))</f>
        <v/>
      </c>
      <c r="AA2673" s="15">
        <f>IF($Z2673="","",IF($Z2673="×",0,IF($Z2673="○",ROUNDDOWN($E2673*設定!$C$4,0),ROUNDDOWN($E2673*ROUND((9*$Y2673-9*$E2673)/(10*$E2673),4),0))))</f>
        <v/>
      </c>
      <c r="AB2673" s="13" t="n"/>
      <c r="AC2673" s="15">
        <f>IF($B2673="","",IF($AB2673&lt;&gt;"",$AB2673,IF($AA2673="","",IF($AA2673&lt;=設定!$C$3,0,$AA2673))))</f>
        <v/>
      </c>
      <c r="AD2673" s="14">
        <f>IF($B2673="","",IF(AND($AE2673&lt;&gt;"",$AG2673="",$AJ2673=""),"保留中",IF($AJ2673&lt;&gt;"",IF(N($AC2673)&gt;0,"支給済","不支給"),IF($AC2673="","要確認",IF($AC2673=0,"不支給","未処理")))))</f>
        <v/>
      </c>
      <c r="AE2673" s="12" t="n"/>
      <c r="AF2673" s="11" t="n"/>
      <c r="AG2673" s="11" t="n"/>
      <c r="AH2673" s="11" t="n"/>
      <c r="AI2673" s="14">
        <f>IF(AND($AD2673="保留中",$AF2673&lt;&gt;""),TODAY()-$AF2673,"")</f>
        <v/>
      </c>
      <c r="AJ2673" s="12" t="n"/>
      <c r="AK2673" s="14">
        <f>IF($B2673="","",IF($AO2673="","対象年月が未入力／","")&amp;IF($B2673="","",IF($AN2673="","職員マスタに未登録の職員番号／",IF($Y2673="","標準報酬月額が未登録／","")&amp;IF(AND($AO2673&lt;&gt;"",OR(AND(INDEX(職員マスタ!$G$6:$G$405,$AN2673)&lt;&gt;"",INDEX(職員マスタ!$G$6:$G$405,$AN2673)&gt;EOMONTH($AO2673,0)),AND(INDEX(職員マスタ!$H$6:$H$405,$AN2673)&lt;&gt;"",INDEX(職員マスタ!$H$6:$H$405,$AN2673)&lt;$AO2673))),"対象月が時短期間外／","")&amp;IF(AND(INDEX(職員マスタ!$F$6:$F$405,$AN2673)&lt;&gt;"",$AO2673&lt;&gt;"",INDEX(職員マスタ!$F$6:$F$405,$AN2673)&lt;$AO2673),"対象月に子が2歳到達済／","")&amp;IF(AND($H2673&lt;&gt;"",INDEX(職員マスタ!$B$6:$B$405,$AN2673)&lt;&gt;"",SUBSTITUTE(SUBSTITUTE($H2673," ","")," ","")&lt;&gt;SUBSTITUTE(SUBSTITUTE(INDEX(職員マスタ!$B$6:$B$405,$AN2673)," ","")," ","")),"氏名がマスタと相違／","")&amp;IF(AND($Q2673&lt;&gt;"",INDEX(職員マスタ!$E$6:$E$405,$AN2673)&lt;&gt;"",$Q2673&lt;&gt;INDEX(職員マスタ!$E$6:$E$405,$AN2673)),"子の生年月日がマスタと相違／","")&amp;IF(AND($L2673&lt;&gt;"",INDEX(職員マスタ!$G$6:$G$405,$AN2673)&lt;&gt;"",$L2673&lt;&gt;INDEX(職員マスタ!$G$6:$G$405,$AN2673)),"時短開始日がマスタと相違／","")&amp;IF(AND($M2673&lt;&gt;"",INDEX(職員マスタ!$H$6:$H$405,$AN2673)&lt;&gt;"",$M2673&lt;&gt;INDEX(職員マスタ!$H$6:$H$405,$AN2673)),"時短終了日がマスタと相違／","")))&amp;IF(AND($B2673&lt;&gt;"",$E2673=""),"報酬額が未入力／","")&amp;IF(N($U2673)&gt;0,"申請書に入力エラーが残っています／","")&amp;IF(AND($B2673&lt;&gt;"",$AO2673&lt;&gt;""),IF(COUNTIFS($B$6:$B$3005,$B2673,$C$6:$C$3005,$C2673,$D$6:$D$3005,$D2673)&gt;1,"同じ月の請求が重複しています／",""),"")&amp;IF(AND(N($E2673)&gt;0,$Z2673&lt;&gt;"",$Z2673&lt;&gt;"×",$AC2673=0,$AB2673=""),"計算額が下限以下のため不支給／",""))</f>
        <v/>
      </c>
      <c r="AL2673" s="12" t="n"/>
      <c r="AM2673" s="14">
        <f>IF($AD2673="保留中",COUNTIF($AD$6:$AD2673,"保留中"),"")</f>
        <v/>
      </c>
      <c r="AN2673" s="14">
        <f>IF($AO2673="","",IF(SUMPRODUCT(MAX((職員マスタ!$A$6:$A$405=$B2673)*(((職員マスタ!$G$6:$G$405="")+(職員マスタ!$G$6:$G$405&lt;=EOMONTH($AO2673,0)))&gt;0)*(((職員マスタ!$H$6:$H$405="")+(職員マスタ!$H$6:$H$405&gt;=$AO2673))&gt;0)*(ROW(職員マスタ!$A$6:$A$405)-5)))&gt;0,SUMPRODUCT(MAX((職員マスタ!$A$6:$A$405=$B2673)*(((職員マスタ!$G$6:$G$405="")+(職員マスタ!$G$6:$G$405&lt;=EOMONTH($AO2673,0)))&gt;0)*(((職員マスタ!$H$6:$H$405="")+(職員マスタ!$H$6:$H$405&gt;=$AO2673))&gt;0)*(ROW(職員マスタ!$A$6:$A$405)-5))),IFERROR(MATCH($B2673,職員マスタ!$A$6:$A$405,0),"")))</f>
        <v/>
      </c>
      <c r="AO2673" s="16">
        <f>IF(OR($B2673="",$C2673="",$D2673=""),"",DATE($C2673+2018,$D2673,1))</f>
        <v/>
      </c>
    </row>
    <row r="2674">
      <c r="A2674" s="11" t="n"/>
      <c r="B2674" s="12" t="n"/>
      <c r="C2674" s="12" t="n"/>
      <c r="D2674" s="12" t="n"/>
      <c r="E2674" s="13" t="n"/>
      <c r="F2674" s="12" t="n"/>
      <c r="G2674" s="13" t="n"/>
      <c r="H2674" s="12" t="n"/>
      <c r="I2674" s="12" t="n"/>
      <c r="J2674" s="12" t="n"/>
      <c r="K2674" s="12" t="n"/>
      <c r="L2674" s="11" t="n"/>
      <c r="M2674" s="11" t="n"/>
      <c r="N2674" s="11" t="n"/>
      <c r="O2674" s="11" t="n"/>
      <c r="P2674" s="12" t="n"/>
      <c r="Q2674" s="11" t="n"/>
      <c r="R2674" s="12" t="n"/>
      <c r="S2674" s="11" t="n"/>
      <c r="T2674" s="12" t="n"/>
      <c r="U2674" s="12" t="n"/>
      <c r="V2674" s="14">
        <f>IF($AN2674="",IF($B2674="","",$H2674),IF(INDEX(職員マスタ!$B$6:$B$405,$AN2674)="",$H2674,INDEX(職員マスタ!$B$6:$B$405,$AN2674)))</f>
        <v/>
      </c>
      <c r="W2674" s="14">
        <f>IF($AN2674="",IF($B2674="","",$R2674),IF(INDEX(職員マスタ!$C$6:$C$405,$AN2674)="",$R2674,INDEX(職員マスタ!$C$6:$C$405,$AN2674)))</f>
        <v/>
      </c>
      <c r="X2674" s="14">
        <f>IF($AO2674="","","R"&amp;$C2674&amp;"."&amp;$D2674)</f>
        <v/>
      </c>
      <c r="Y2674" s="15">
        <f>IF($AN2674="","",IF(INDEX(職員マスタ!$K$6:$K$405,$AN2674)="","",INDEX(職員マスタ!$K$6:$K$405,$AN2674)))</f>
        <v/>
      </c>
      <c r="Z2674" s="14">
        <f>IF(OR($E2674="",$Y2674=""),"",IF($E2674&gt;=$Y2674,"×",IF($E2674&gt;=$Y2674*設定!$C$5,"△","○")))</f>
        <v/>
      </c>
      <c r="AA2674" s="15">
        <f>IF($Z2674="","",IF($Z2674="×",0,IF($Z2674="○",ROUNDDOWN($E2674*設定!$C$4,0),ROUNDDOWN($E2674*ROUND((9*$Y2674-9*$E2674)/(10*$E2674),4),0))))</f>
        <v/>
      </c>
      <c r="AB2674" s="13" t="n"/>
      <c r="AC2674" s="15">
        <f>IF($B2674="","",IF($AB2674&lt;&gt;"",$AB2674,IF($AA2674="","",IF($AA2674&lt;=設定!$C$3,0,$AA2674))))</f>
        <v/>
      </c>
      <c r="AD2674" s="14">
        <f>IF($B2674="","",IF(AND($AE2674&lt;&gt;"",$AG2674="",$AJ2674=""),"保留中",IF($AJ2674&lt;&gt;"",IF(N($AC2674)&gt;0,"支給済","不支給"),IF($AC2674="","要確認",IF($AC2674=0,"不支給","未処理")))))</f>
        <v/>
      </c>
      <c r="AE2674" s="12" t="n"/>
      <c r="AF2674" s="11" t="n"/>
      <c r="AG2674" s="11" t="n"/>
      <c r="AH2674" s="11" t="n"/>
      <c r="AI2674" s="14">
        <f>IF(AND($AD2674="保留中",$AF2674&lt;&gt;""),TODAY()-$AF2674,"")</f>
        <v/>
      </c>
      <c r="AJ2674" s="12" t="n"/>
      <c r="AK2674" s="14">
        <f>IF($B2674="","",IF($AO2674="","対象年月が未入力／","")&amp;IF($B2674="","",IF($AN2674="","職員マスタに未登録の職員番号／",IF($Y2674="","標準報酬月額が未登録／","")&amp;IF(AND($AO2674&lt;&gt;"",OR(AND(INDEX(職員マスタ!$G$6:$G$405,$AN2674)&lt;&gt;"",INDEX(職員マスタ!$G$6:$G$405,$AN2674)&gt;EOMONTH($AO2674,0)),AND(INDEX(職員マスタ!$H$6:$H$405,$AN2674)&lt;&gt;"",INDEX(職員マスタ!$H$6:$H$405,$AN2674)&lt;$AO2674))),"対象月が時短期間外／","")&amp;IF(AND(INDEX(職員マスタ!$F$6:$F$405,$AN2674)&lt;&gt;"",$AO2674&lt;&gt;"",INDEX(職員マスタ!$F$6:$F$405,$AN2674)&lt;$AO2674),"対象月に子が2歳到達済／","")&amp;IF(AND($H2674&lt;&gt;"",INDEX(職員マスタ!$B$6:$B$405,$AN2674)&lt;&gt;"",SUBSTITUTE(SUBSTITUTE($H2674," ","")," ","")&lt;&gt;SUBSTITUTE(SUBSTITUTE(INDEX(職員マスタ!$B$6:$B$405,$AN2674)," ","")," ","")),"氏名がマスタと相違／","")&amp;IF(AND($Q2674&lt;&gt;"",INDEX(職員マスタ!$E$6:$E$405,$AN2674)&lt;&gt;"",$Q2674&lt;&gt;INDEX(職員マスタ!$E$6:$E$405,$AN2674)),"子の生年月日がマスタと相違／","")&amp;IF(AND($L2674&lt;&gt;"",INDEX(職員マスタ!$G$6:$G$405,$AN2674)&lt;&gt;"",$L2674&lt;&gt;INDEX(職員マスタ!$G$6:$G$405,$AN2674)),"時短開始日がマスタと相違／","")&amp;IF(AND($M2674&lt;&gt;"",INDEX(職員マスタ!$H$6:$H$405,$AN2674)&lt;&gt;"",$M2674&lt;&gt;INDEX(職員マスタ!$H$6:$H$405,$AN2674)),"時短終了日がマスタと相違／","")))&amp;IF(AND($B2674&lt;&gt;"",$E2674=""),"報酬額が未入力／","")&amp;IF(N($U2674)&gt;0,"申請書に入力エラーが残っています／","")&amp;IF(AND($B2674&lt;&gt;"",$AO2674&lt;&gt;""),IF(COUNTIFS($B$6:$B$3005,$B2674,$C$6:$C$3005,$C2674,$D$6:$D$3005,$D2674)&gt;1,"同じ月の請求が重複しています／",""),"")&amp;IF(AND(N($E2674)&gt;0,$Z2674&lt;&gt;"",$Z2674&lt;&gt;"×",$AC2674=0,$AB2674=""),"計算額が下限以下のため不支給／",""))</f>
        <v/>
      </c>
      <c r="AL2674" s="12" t="n"/>
      <c r="AM2674" s="14">
        <f>IF($AD2674="保留中",COUNTIF($AD$6:$AD2674,"保留中"),"")</f>
        <v/>
      </c>
      <c r="AN2674" s="14">
        <f>IF($AO2674="","",IF(SUMPRODUCT(MAX((職員マスタ!$A$6:$A$405=$B2674)*(((職員マスタ!$G$6:$G$405="")+(職員マスタ!$G$6:$G$405&lt;=EOMONTH($AO2674,0)))&gt;0)*(((職員マスタ!$H$6:$H$405="")+(職員マスタ!$H$6:$H$405&gt;=$AO2674))&gt;0)*(ROW(職員マスタ!$A$6:$A$405)-5)))&gt;0,SUMPRODUCT(MAX((職員マスタ!$A$6:$A$405=$B2674)*(((職員マスタ!$G$6:$G$405="")+(職員マスタ!$G$6:$G$405&lt;=EOMONTH($AO2674,0)))&gt;0)*(((職員マスタ!$H$6:$H$405="")+(職員マスタ!$H$6:$H$405&gt;=$AO2674))&gt;0)*(ROW(職員マスタ!$A$6:$A$405)-5))),IFERROR(MATCH($B2674,職員マスタ!$A$6:$A$405,0),"")))</f>
        <v/>
      </c>
      <c r="AO2674" s="16">
        <f>IF(OR($B2674="",$C2674="",$D2674=""),"",DATE($C2674+2018,$D2674,1))</f>
        <v/>
      </c>
    </row>
    <row r="2675">
      <c r="A2675" s="11" t="n"/>
      <c r="B2675" s="12" t="n"/>
      <c r="C2675" s="12" t="n"/>
      <c r="D2675" s="12" t="n"/>
      <c r="E2675" s="13" t="n"/>
      <c r="F2675" s="12" t="n"/>
      <c r="G2675" s="13" t="n"/>
      <c r="H2675" s="12" t="n"/>
      <c r="I2675" s="12" t="n"/>
      <c r="J2675" s="12" t="n"/>
      <c r="K2675" s="12" t="n"/>
      <c r="L2675" s="11" t="n"/>
      <c r="M2675" s="11" t="n"/>
      <c r="N2675" s="11" t="n"/>
      <c r="O2675" s="11" t="n"/>
      <c r="P2675" s="12" t="n"/>
      <c r="Q2675" s="11" t="n"/>
      <c r="R2675" s="12" t="n"/>
      <c r="S2675" s="11" t="n"/>
      <c r="T2675" s="12" t="n"/>
      <c r="U2675" s="12" t="n"/>
      <c r="V2675" s="14">
        <f>IF($AN2675="",IF($B2675="","",$H2675),IF(INDEX(職員マスタ!$B$6:$B$405,$AN2675)="",$H2675,INDEX(職員マスタ!$B$6:$B$405,$AN2675)))</f>
        <v/>
      </c>
      <c r="W2675" s="14">
        <f>IF($AN2675="",IF($B2675="","",$R2675),IF(INDEX(職員マスタ!$C$6:$C$405,$AN2675)="",$R2675,INDEX(職員マスタ!$C$6:$C$405,$AN2675)))</f>
        <v/>
      </c>
      <c r="X2675" s="14">
        <f>IF($AO2675="","","R"&amp;$C2675&amp;"."&amp;$D2675)</f>
        <v/>
      </c>
      <c r="Y2675" s="15">
        <f>IF($AN2675="","",IF(INDEX(職員マスタ!$K$6:$K$405,$AN2675)="","",INDEX(職員マスタ!$K$6:$K$405,$AN2675)))</f>
        <v/>
      </c>
      <c r="Z2675" s="14">
        <f>IF(OR($E2675="",$Y2675=""),"",IF($E2675&gt;=$Y2675,"×",IF($E2675&gt;=$Y2675*設定!$C$5,"△","○")))</f>
        <v/>
      </c>
      <c r="AA2675" s="15">
        <f>IF($Z2675="","",IF($Z2675="×",0,IF($Z2675="○",ROUNDDOWN($E2675*設定!$C$4,0),ROUNDDOWN($E2675*ROUND((9*$Y2675-9*$E2675)/(10*$E2675),4),0))))</f>
        <v/>
      </c>
      <c r="AB2675" s="13" t="n"/>
      <c r="AC2675" s="15">
        <f>IF($B2675="","",IF($AB2675&lt;&gt;"",$AB2675,IF($AA2675="","",IF($AA2675&lt;=設定!$C$3,0,$AA2675))))</f>
        <v/>
      </c>
      <c r="AD2675" s="14">
        <f>IF($B2675="","",IF(AND($AE2675&lt;&gt;"",$AG2675="",$AJ2675=""),"保留中",IF($AJ2675&lt;&gt;"",IF(N($AC2675)&gt;0,"支給済","不支給"),IF($AC2675="","要確認",IF($AC2675=0,"不支給","未処理")))))</f>
        <v/>
      </c>
      <c r="AE2675" s="12" t="n"/>
      <c r="AF2675" s="11" t="n"/>
      <c r="AG2675" s="11" t="n"/>
      <c r="AH2675" s="11" t="n"/>
      <c r="AI2675" s="14">
        <f>IF(AND($AD2675="保留中",$AF2675&lt;&gt;""),TODAY()-$AF2675,"")</f>
        <v/>
      </c>
      <c r="AJ2675" s="12" t="n"/>
      <c r="AK2675" s="14">
        <f>IF($B2675="","",IF($AO2675="","対象年月が未入力／","")&amp;IF($B2675="","",IF($AN2675="","職員マスタに未登録の職員番号／",IF($Y2675="","標準報酬月額が未登録／","")&amp;IF(AND($AO2675&lt;&gt;"",OR(AND(INDEX(職員マスタ!$G$6:$G$405,$AN2675)&lt;&gt;"",INDEX(職員マスタ!$G$6:$G$405,$AN2675)&gt;EOMONTH($AO2675,0)),AND(INDEX(職員マスタ!$H$6:$H$405,$AN2675)&lt;&gt;"",INDEX(職員マスタ!$H$6:$H$405,$AN2675)&lt;$AO2675))),"対象月が時短期間外／","")&amp;IF(AND(INDEX(職員マスタ!$F$6:$F$405,$AN2675)&lt;&gt;"",$AO2675&lt;&gt;"",INDEX(職員マスタ!$F$6:$F$405,$AN2675)&lt;$AO2675),"対象月に子が2歳到達済／","")&amp;IF(AND($H2675&lt;&gt;"",INDEX(職員マスタ!$B$6:$B$405,$AN2675)&lt;&gt;"",SUBSTITUTE(SUBSTITUTE($H2675," ","")," ","")&lt;&gt;SUBSTITUTE(SUBSTITUTE(INDEX(職員マスタ!$B$6:$B$405,$AN2675)," ","")," ","")),"氏名がマスタと相違／","")&amp;IF(AND($Q2675&lt;&gt;"",INDEX(職員マスタ!$E$6:$E$405,$AN2675)&lt;&gt;"",$Q2675&lt;&gt;INDEX(職員マスタ!$E$6:$E$405,$AN2675)),"子の生年月日がマスタと相違／","")&amp;IF(AND($L2675&lt;&gt;"",INDEX(職員マスタ!$G$6:$G$405,$AN2675)&lt;&gt;"",$L2675&lt;&gt;INDEX(職員マスタ!$G$6:$G$405,$AN2675)),"時短開始日がマスタと相違／","")&amp;IF(AND($M2675&lt;&gt;"",INDEX(職員マスタ!$H$6:$H$405,$AN2675)&lt;&gt;"",$M2675&lt;&gt;INDEX(職員マスタ!$H$6:$H$405,$AN2675)),"時短終了日がマスタと相違／","")))&amp;IF(AND($B2675&lt;&gt;"",$E2675=""),"報酬額が未入力／","")&amp;IF(N($U2675)&gt;0,"申請書に入力エラーが残っています／","")&amp;IF(AND($B2675&lt;&gt;"",$AO2675&lt;&gt;""),IF(COUNTIFS($B$6:$B$3005,$B2675,$C$6:$C$3005,$C2675,$D$6:$D$3005,$D2675)&gt;1,"同じ月の請求が重複しています／",""),"")&amp;IF(AND(N($E2675)&gt;0,$Z2675&lt;&gt;"",$Z2675&lt;&gt;"×",$AC2675=0,$AB2675=""),"計算額が下限以下のため不支給／",""))</f>
        <v/>
      </c>
      <c r="AL2675" s="12" t="n"/>
      <c r="AM2675" s="14">
        <f>IF($AD2675="保留中",COUNTIF($AD$6:$AD2675,"保留中"),"")</f>
        <v/>
      </c>
      <c r="AN2675" s="14">
        <f>IF($AO2675="","",IF(SUMPRODUCT(MAX((職員マスタ!$A$6:$A$405=$B2675)*(((職員マスタ!$G$6:$G$405="")+(職員マスタ!$G$6:$G$405&lt;=EOMONTH($AO2675,0)))&gt;0)*(((職員マスタ!$H$6:$H$405="")+(職員マスタ!$H$6:$H$405&gt;=$AO2675))&gt;0)*(ROW(職員マスタ!$A$6:$A$405)-5)))&gt;0,SUMPRODUCT(MAX((職員マスタ!$A$6:$A$405=$B2675)*(((職員マスタ!$G$6:$G$405="")+(職員マスタ!$G$6:$G$405&lt;=EOMONTH($AO2675,0)))&gt;0)*(((職員マスタ!$H$6:$H$405="")+(職員マスタ!$H$6:$H$405&gt;=$AO2675))&gt;0)*(ROW(職員マスタ!$A$6:$A$405)-5))),IFERROR(MATCH($B2675,職員マスタ!$A$6:$A$405,0),"")))</f>
        <v/>
      </c>
      <c r="AO2675" s="16">
        <f>IF(OR($B2675="",$C2675="",$D2675=""),"",DATE($C2675+2018,$D2675,1))</f>
        <v/>
      </c>
    </row>
    <row r="2676">
      <c r="A2676" s="11" t="n"/>
      <c r="B2676" s="12" t="n"/>
      <c r="C2676" s="12" t="n"/>
      <c r="D2676" s="12" t="n"/>
      <c r="E2676" s="13" t="n"/>
      <c r="F2676" s="12" t="n"/>
      <c r="G2676" s="13" t="n"/>
      <c r="H2676" s="12" t="n"/>
      <c r="I2676" s="12" t="n"/>
      <c r="J2676" s="12" t="n"/>
      <c r="K2676" s="12" t="n"/>
      <c r="L2676" s="11" t="n"/>
      <c r="M2676" s="11" t="n"/>
      <c r="N2676" s="11" t="n"/>
      <c r="O2676" s="11" t="n"/>
      <c r="P2676" s="12" t="n"/>
      <c r="Q2676" s="11" t="n"/>
      <c r="R2676" s="12" t="n"/>
      <c r="S2676" s="11" t="n"/>
      <c r="T2676" s="12" t="n"/>
      <c r="U2676" s="12" t="n"/>
      <c r="V2676" s="14">
        <f>IF($AN2676="",IF($B2676="","",$H2676),IF(INDEX(職員マスタ!$B$6:$B$405,$AN2676)="",$H2676,INDEX(職員マスタ!$B$6:$B$405,$AN2676)))</f>
        <v/>
      </c>
      <c r="W2676" s="14">
        <f>IF($AN2676="",IF($B2676="","",$R2676),IF(INDEX(職員マスタ!$C$6:$C$405,$AN2676)="",$R2676,INDEX(職員マスタ!$C$6:$C$405,$AN2676)))</f>
        <v/>
      </c>
      <c r="X2676" s="14">
        <f>IF($AO2676="","","R"&amp;$C2676&amp;"."&amp;$D2676)</f>
        <v/>
      </c>
      <c r="Y2676" s="15">
        <f>IF($AN2676="","",IF(INDEX(職員マスタ!$K$6:$K$405,$AN2676)="","",INDEX(職員マスタ!$K$6:$K$405,$AN2676)))</f>
        <v/>
      </c>
      <c r="Z2676" s="14">
        <f>IF(OR($E2676="",$Y2676=""),"",IF($E2676&gt;=$Y2676,"×",IF($E2676&gt;=$Y2676*設定!$C$5,"△","○")))</f>
        <v/>
      </c>
      <c r="AA2676" s="15">
        <f>IF($Z2676="","",IF($Z2676="×",0,IF($Z2676="○",ROUNDDOWN($E2676*設定!$C$4,0),ROUNDDOWN($E2676*ROUND((9*$Y2676-9*$E2676)/(10*$E2676),4),0))))</f>
        <v/>
      </c>
      <c r="AB2676" s="13" t="n"/>
      <c r="AC2676" s="15">
        <f>IF($B2676="","",IF($AB2676&lt;&gt;"",$AB2676,IF($AA2676="","",IF($AA2676&lt;=設定!$C$3,0,$AA2676))))</f>
        <v/>
      </c>
      <c r="AD2676" s="14">
        <f>IF($B2676="","",IF(AND($AE2676&lt;&gt;"",$AG2676="",$AJ2676=""),"保留中",IF($AJ2676&lt;&gt;"",IF(N($AC2676)&gt;0,"支給済","不支給"),IF($AC2676="","要確認",IF($AC2676=0,"不支給","未処理")))))</f>
        <v/>
      </c>
      <c r="AE2676" s="12" t="n"/>
      <c r="AF2676" s="11" t="n"/>
      <c r="AG2676" s="11" t="n"/>
      <c r="AH2676" s="11" t="n"/>
      <c r="AI2676" s="14">
        <f>IF(AND($AD2676="保留中",$AF2676&lt;&gt;""),TODAY()-$AF2676,"")</f>
        <v/>
      </c>
      <c r="AJ2676" s="12" t="n"/>
      <c r="AK2676" s="14">
        <f>IF($B2676="","",IF($AO2676="","対象年月が未入力／","")&amp;IF($B2676="","",IF($AN2676="","職員マスタに未登録の職員番号／",IF($Y2676="","標準報酬月額が未登録／","")&amp;IF(AND($AO2676&lt;&gt;"",OR(AND(INDEX(職員マスタ!$G$6:$G$405,$AN2676)&lt;&gt;"",INDEX(職員マスタ!$G$6:$G$405,$AN2676)&gt;EOMONTH($AO2676,0)),AND(INDEX(職員マスタ!$H$6:$H$405,$AN2676)&lt;&gt;"",INDEX(職員マスタ!$H$6:$H$405,$AN2676)&lt;$AO2676))),"対象月が時短期間外／","")&amp;IF(AND(INDEX(職員マスタ!$F$6:$F$405,$AN2676)&lt;&gt;"",$AO2676&lt;&gt;"",INDEX(職員マスタ!$F$6:$F$405,$AN2676)&lt;$AO2676),"対象月に子が2歳到達済／","")&amp;IF(AND($H2676&lt;&gt;"",INDEX(職員マスタ!$B$6:$B$405,$AN2676)&lt;&gt;"",SUBSTITUTE(SUBSTITUTE($H2676," ","")," ","")&lt;&gt;SUBSTITUTE(SUBSTITUTE(INDEX(職員マスタ!$B$6:$B$405,$AN2676)," ","")," ","")),"氏名がマスタと相違／","")&amp;IF(AND($Q2676&lt;&gt;"",INDEX(職員マスタ!$E$6:$E$405,$AN2676)&lt;&gt;"",$Q2676&lt;&gt;INDEX(職員マスタ!$E$6:$E$405,$AN2676)),"子の生年月日がマスタと相違／","")&amp;IF(AND($L2676&lt;&gt;"",INDEX(職員マスタ!$G$6:$G$405,$AN2676)&lt;&gt;"",$L2676&lt;&gt;INDEX(職員マスタ!$G$6:$G$405,$AN2676)),"時短開始日がマスタと相違／","")&amp;IF(AND($M2676&lt;&gt;"",INDEX(職員マスタ!$H$6:$H$405,$AN2676)&lt;&gt;"",$M2676&lt;&gt;INDEX(職員マスタ!$H$6:$H$405,$AN2676)),"時短終了日がマスタと相違／","")))&amp;IF(AND($B2676&lt;&gt;"",$E2676=""),"報酬額が未入力／","")&amp;IF(N($U2676)&gt;0,"申請書に入力エラーが残っています／","")&amp;IF(AND($B2676&lt;&gt;"",$AO2676&lt;&gt;""),IF(COUNTIFS($B$6:$B$3005,$B2676,$C$6:$C$3005,$C2676,$D$6:$D$3005,$D2676)&gt;1,"同じ月の請求が重複しています／",""),"")&amp;IF(AND(N($E2676)&gt;0,$Z2676&lt;&gt;"",$Z2676&lt;&gt;"×",$AC2676=0,$AB2676=""),"計算額が下限以下のため不支給／",""))</f>
        <v/>
      </c>
      <c r="AL2676" s="12" t="n"/>
      <c r="AM2676" s="14">
        <f>IF($AD2676="保留中",COUNTIF($AD$6:$AD2676,"保留中"),"")</f>
        <v/>
      </c>
      <c r="AN2676" s="14">
        <f>IF($AO2676="","",IF(SUMPRODUCT(MAX((職員マスタ!$A$6:$A$405=$B2676)*(((職員マスタ!$G$6:$G$405="")+(職員マスタ!$G$6:$G$405&lt;=EOMONTH($AO2676,0)))&gt;0)*(((職員マスタ!$H$6:$H$405="")+(職員マスタ!$H$6:$H$405&gt;=$AO2676))&gt;0)*(ROW(職員マスタ!$A$6:$A$405)-5)))&gt;0,SUMPRODUCT(MAX((職員マスタ!$A$6:$A$405=$B2676)*(((職員マスタ!$G$6:$G$405="")+(職員マスタ!$G$6:$G$405&lt;=EOMONTH($AO2676,0)))&gt;0)*(((職員マスタ!$H$6:$H$405="")+(職員マスタ!$H$6:$H$405&gt;=$AO2676))&gt;0)*(ROW(職員マスタ!$A$6:$A$405)-5))),IFERROR(MATCH($B2676,職員マスタ!$A$6:$A$405,0),"")))</f>
        <v/>
      </c>
      <c r="AO2676" s="16">
        <f>IF(OR($B2676="",$C2676="",$D2676=""),"",DATE($C2676+2018,$D2676,1))</f>
        <v/>
      </c>
    </row>
    <row r="2677">
      <c r="A2677" s="11" t="n"/>
      <c r="B2677" s="12" t="n"/>
      <c r="C2677" s="12" t="n"/>
      <c r="D2677" s="12" t="n"/>
      <c r="E2677" s="13" t="n"/>
      <c r="F2677" s="12" t="n"/>
      <c r="G2677" s="13" t="n"/>
      <c r="H2677" s="12" t="n"/>
      <c r="I2677" s="12" t="n"/>
      <c r="J2677" s="12" t="n"/>
      <c r="K2677" s="12" t="n"/>
      <c r="L2677" s="11" t="n"/>
      <c r="M2677" s="11" t="n"/>
      <c r="N2677" s="11" t="n"/>
      <c r="O2677" s="11" t="n"/>
      <c r="P2677" s="12" t="n"/>
      <c r="Q2677" s="11" t="n"/>
      <c r="R2677" s="12" t="n"/>
      <c r="S2677" s="11" t="n"/>
      <c r="T2677" s="12" t="n"/>
      <c r="U2677" s="12" t="n"/>
      <c r="V2677" s="14">
        <f>IF($AN2677="",IF($B2677="","",$H2677),IF(INDEX(職員マスタ!$B$6:$B$405,$AN2677)="",$H2677,INDEX(職員マスタ!$B$6:$B$405,$AN2677)))</f>
        <v/>
      </c>
      <c r="W2677" s="14">
        <f>IF($AN2677="",IF($B2677="","",$R2677),IF(INDEX(職員マスタ!$C$6:$C$405,$AN2677)="",$R2677,INDEX(職員マスタ!$C$6:$C$405,$AN2677)))</f>
        <v/>
      </c>
      <c r="X2677" s="14">
        <f>IF($AO2677="","","R"&amp;$C2677&amp;"."&amp;$D2677)</f>
        <v/>
      </c>
      <c r="Y2677" s="15">
        <f>IF($AN2677="","",IF(INDEX(職員マスタ!$K$6:$K$405,$AN2677)="","",INDEX(職員マスタ!$K$6:$K$405,$AN2677)))</f>
        <v/>
      </c>
      <c r="Z2677" s="14">
        <f>IF(OR($E2677="",$Y2677=""),"",IF($E2677&gt;=$Y2677,"×",IF($E2677&gt;=$Y2677*設定!$C$5,"△","○")))</f>
        <v/>
      </c>
      <c r="AA2677" s="15">
        <f>IF($Z2677="","",IF($Z2677="×",0,IF($Z2677="○",ROUNDDOWN($E2677*設定!$C$4,0),ROUNDDOWN($E2677*ROUND((9*$Y2677-9*$E2677)/(10*$E2677),4),0))))</f>
        <v/>
      </c>
      <c r="AB2677" s="13" t="n"/>
      <c r="AC2677" s="15">
        <f>IF($B2677="","",IF($AB2677&lt;&gt;"",$AB2677,IF($AA2677="","",IF($AA2677&lt;=設定!$C$3,0,$AA2677))))</f>
        <v/>
      </c>
      <c r="AD2677" s="14">
        <f>IF($B2677="","",IF(AND($AE2677&lt;&gt;"",$AG2677="",$AJ2677=""),"保留中",IF($AJ2677&lt;&gt;"",IF(N($AC2677)&gt;0,"支給済","不支給"),IF($AC2677="","要確認",IF($AC2677=0,"不支給","未処理")))))</f>
        <v/>
      </c>
      <c r="AE2677" s="12" t="n"/>
      <c r="AF2677" s="11" t="n"/>
      <c r="AG2677" s="11" t="n"/>
      <c r="AH2677" s="11" t="n"/>
      <c r="AI2677" s="14">
        <f>IF(AND($AD2677="保留中",$AF2677&lt;&gt;""),TODAY()-$AF2677,"")</f>
        <v/>
      </c>
      <c r="AJ2677" s="12" t="n"/>
      <c r="AK2677" s="14">
        <f>IF($B2677="","",IF($AO2677="","対象年月が未入力／","")&amp;IF($B2677="","",IF($AN2677="","職員マスタに未登録の職員番号／",IF($Y2677="","標準報酬月額が未登録／","")&amp;IF(AND($AO2677&lt;&gt;"",OR(AND(INDEX(職員マスタ!$G$6:$G$405,$AN2677)&lt;&gt;"",INDEX(職員マスタ!$G$6:$G$405,$AN2677)&gt;EOMONTH($AO2677,0)),AND(INDEX(職員マスタ!$H$6:$H$405,$AN2677)&lt;&gt;"",INDEX(職員マスタ!$H$6:$H$405,$AN2677)&lt;$AO2677))),"対象月が時短期間外／","")&amp;IF(AND(INDEX(職員マスタ!$F$6:$F$405,$AN2677)&lt;&gt;"",$AO2677&lt;&gt;"",INDEX(職員マスタ!$F$6:$F$405,$AN2677)&lt;$AO2677),"対象月に子が2歳到達済／","")&amp;IF(AND($H2677&lt;&gt;"",INDEX(職員マスタ!$B$6:$B$405,$AN2677)&lt;&gt;"",SUBSTITUTE(SUBSTITUTE($H2677," ","")," ","")&lt;&gt;SUBSTITUTE(SUBSTITUTE(INDEX(職員マスタ!$B$6:$B$405,$AN2677)," ","")," ","")),"氏名がマスタと相違／","")&amp;IF(AND($Q2677&lt;&gt;"",INDEX(職員マスタ!$E$6:$E$405,$AN2677)&lt;&gt;"",$Q2677&lt;&gt;INDEX(職員マスタ!$E$6:$E$405,$AN2677)),"子の生年月日がマスタと相違／","")&amp;IF(AND($L2677&lt;&gt;"",INDEX(職員マスタ!$G$6:$G$405,$AN2677)&lt;&gt;"",$L2677&lt;&gt;INDEX(職員マスタ!$G$6:$G$405,$AN2677)),"時短開始日がマスタと相違／","")&amp;IF(AND($M2677&lt;&gt;"",INDEX(職員マスタ!$H$6:$H$405,$AN2677)&lt;&gt;"",$M2677&lt;&gt;INDEX(職員マスタ!$H$6:$H$405,$AN2677)),"時短終了日がマスタと相違／","")))&amp;IF(AND($B2677&lt;&gt;"",$E2677=""),"報酬額が未入力／","")&amp;IF(N($U2677)&gt;0,"申請書に入力エラーが残っています／","")&amp;IF(AND($B2677&lt;&gt;"",$AO2677&lt;&gt;""),IF(COUNTIFS($B$6:$B$3005,$B2677,$C$6:$C$3005,$C2677,$D$6:$D$3005,$D2677)&gt;1,"同じ月の請求が重複しています／",""),"")&amp;IF(AND(N($E2677)&gt;0,$Z2677&lt;&gt;"",$Z2677&lt;&gt;"×",$AC2677=0,$AB2677=""),"計算額が下限以下のため不支給／",""))</f>
        <v/>
      </c>
      <c r="AL2677" s="12" t="n"/>
      <c r="AM2677" s="14">
        <f>IF($AD2677="保留中",COUNTIF($AD$6:$AD2677,"保留中"),"")</f>
        <v/>
      </c>
      <c r="AN2677" s="14">
        <f>IF($AO2677="","",IF(SUMPRODUCT(MAX((職員マスタ!$A$6:$A$405=$B2677)*(((職員マスタ!$G$6:$G$405="")+(職員マスタ!$G$6:$G$405&lt;=EOMONTH($AO2677,0)))&gt;0)*(((職員マスタ!$H$6:$H$405="")+(職員マスタ!$H$6:$H$405&gt;=$AO2677))&gt;0)*(ROW(職員マスタ!$A$6:$A$405)-5)))&gt;0,SUMPRODUCT(MAX((職員マスタ!$A$6:$A$405=$B2677)*(((職員マスタ!$G$6:$G$405="")+(職員マスタ!$G$6:$G$405&lt;=EOMONTH($AO2677,0)))&gt;0)*(((職員マスタ!$H$6:$H$405="")+(職員マスタ!$H$6:$H$405&gt;=$AO2677))&gt;0)*(ROW(職員マスタ!$A$6:$A$405)-5))),IFERROR(MATCH($B2677,職員マスタ!$A$6:$A$405,0),"")))</f>
        <v/>
      </c>
      <c r="AO2677" s="16">
        <f>IF(OR($B2677="",$C2677="",$D2677=""),"",DATE($C2677+2018,$D2677,1))</f>
        <v/>
      </c>
    </row>
    <row r="2678">
      <c r="A2678" s="11" t="n"/>
      <c r="B2678" s="12" t="n"/>
      <c r="C2678" s="12" t="n"/>
      <c r="D2678" s="12" t="n"/>
      <c r="E2678" s="13" t="n"/>
      <c r="F2678" s="12" t="n"/>
      <c r="G2678" s="13" t="n"/>
      <c r="H2678" s="12" t="n"/>
      <c r="I2678" s="12" t="n"/>
      <c r="J2678" s="12" t="n"/>
      <c r="K2678" s="12" t="n"/>
      <c r="L2678" s="11" t="n"/>
      <c r="M2678" s="11" t="n"/>
      <c r="N2678" s="11" t="n"/>
      <c r="O2678" s="11" t="n"/>
      <c r="P2678" s="12" t="n"/>
      <c r="Q2678" s="11" t="n"/>
      <c r="R2678" s="12" t="n"/>
      <c r="S2678" s="11" t="n"/>
      <c r="T2678" s="12" t="n"/>
      <c r="U2678" s="12" t="n"/>
      <c r="V2678" s="14">
        <f>IF($AN2678="",IF($B2678="","",$H2678),IF(INDEX(職員マスタ!$B$6:$B$405,$AN2678)="",$H2678,INDEX(職員マスタ!$B$6:$B$405,$AN2678)))</f>
        <v/>
      </c>
      <c r="W2678" s="14">
        <f>IF($AN2678="",IF($B2678="","",$R2678),IF(INDEX(職員マスタ!$C$6:$C$405,$AN2678)="",$R2678,INDEX(職員マスタ!$C$6:$C$405,$AN2678)))</f>
        <v/>
      </c>
      <c r="X2678" s="14">
        <f>IF($AO2678="","","R"&amp;$C2678&amp;"."&amp;$D2678)</f>
        <v/>
      </c>
      <c r="Y2678" s="15">
        <f>IF($AN2678="","",IF(INDEX(職員マスタ!$K$6:$K$405,$AN2678)="","",INDEX(職員マスタ!$K$6:$K$405,$AN2678)))</f>
        <v/>
      </c>
      <c r="Z2678" s="14">
        <f>IF(OR($E2678="",$Y2678=""),"",IF($E2678&gt;=$Y2678,"×",IF($E2678&gt;=$Y2678*設定!$C$5,"△","○")))</f>
        <v/>
      </c>
      <c r="AA2678" s="15">
        <f>IF($Z2678="","",IF($Z2678="×",0,IF($Z2678="○",ROUNDDOWN($E2678*設定!$C$4,0),ROUNDDOWN($E2678*ROUND((9*$Y2678-9*$E2678)/(10*$E2678),4),0))))</f>
        <v/>
      </c>
      <c r="AB2678" s="13" t="n"/>
      <c r="AC2678" s="15">
        <f>IF($B2678="","",IF($AB2678&lt;&gt;"",$AB2678,IF($AA2678="","",IF($AA2678&lt;=設定!$C$3,0,$AA2678))))</f>
        <v/>
      </c>
      <c r="AD2678" s="14">
        <f>IF($B2678="","",IF(AND($AE2678&lt;&gt;"",$AG2678="",$AJ2678=""),"保留中",IF($AJ2678&lt;&gt;"",IF(N($AC2678)&gt;0,"支給済","不支給"),IF($AC2678="","要確認",IF($AC2678=0,"不支給","未処理")))))</f>
        <v/>
      </c>
      <c r="AE2678" s="12" t="n"/>
      <c r="AF2678" s="11" t="n"/>
      <c r="AG2678" s="11" t="n"/>
      <c r="AH2678" s="11" t="n"/>
      <c r="AI2678" s="14">
        <f>IF(AND($AD2678="保留中",$AF2678&lt;&gt;""),TODAY()-$AF2678,"")</f>
        <v/>
      </c>
      <c r="AJ2678" s="12" t="n"/>
      <c r="AK2678" s="14">
        <f>IF($B2678="","",IF($AO2678="","対象年月が未入力／","")&amp;IF($B2678="","",IF($AN2678="","職員マスタに未登録の職員番号／",IF($Y2678="","標準報酬月額が未登録／","")&amp;IF(AND($AO2678&lt;&gt;"",OR(AND(INDEX(職員マスタ!$G$6:$G$405,$AN2678)&lt;&gt;"",INDEX(職員マスタ!$G$6:$G$405,$AN2678)&gt;EOMONTH($AO2678,0)),AND(INDEX(職員マスタ!$H$6:$H$405,$AN2678)&lt;&gt;"",INDEX(職員マスタ!$H$6:$H$405,$AN2678)&lt;$AO2678))),"対象月が時短期間外／","")&amp;IF(AND(INDEX(職員マスタ!$F$6:$F$405,$AN2678)&lt;&gt;"",$AO2678&lt;&gt;"",INDEX(職員マスタ!$F$6:$F$405,$AN2678)&lt;$AO2678),"対象月に子が2歳到達済／","")&amp;IF(AND($H2678&lt;&gt;"",INDEX(職員マスタ!$B$6:$B$405,$AN2678)&lt;&gt;"",SUBSTITUTE(SUBSTITUTE($H2678," ","")," ","")&lt;&gt;SUBSTITUTE(SUBSTITUTE(INDEX(職員マスタ!$B$6:$B$405,$AN2678)," ","")," ","")),"氏名がマスタと相違／","")&amp;IF(AND($Q2678&lt;&gt;"",INDEX(職員マスタ!$E$6:$E$405,$AN2678)&lt;&gt;"",$Q2678&lt;&gt;INDEX(職員マスタ!$E$6:$E$405,$AN2678)),"子の生年月日がマスタと相違／","")&amp;IF(AND($L2678&lt;&gt;"",INDEX(職員マスタ!$G$6:$G$405,$AN2678)&lt;&gt;"",$L2678&lt;&gt;INDEX(職員マスタ!$G$6:$G$405,$AN2678)),"時短開始日がマスタと相違／","")&amp;IF(AND($M2678&lt;&gt;"",INDEX(職員マスタ!$H$6:$H$405,$AN2678)&lt;&gt;"",$M2678&lt;&gt;INDEX(職員マスタ!$H$6:$H$405,$AN2678)),"時短終了日がマスタと相違／","")))&amp;IF(AND($B2678&lt;&gt;"",$E2678=""),"報酬額が未入力／","")&amp;IF(N($U2678)&gt;0,"申請書に入力エラーが残っています／","")&amp;IF(AND($B2678&lt;&gt;"",$AO2678&lt;&gt;""),IF(COUNTIFS($B$6:$B$3005,$B2678,$C$6:$C$3005,$C2678,$D$6:$D$3005,$D2678)&gt;1,"同じ月の請求が重複しています／",""),"")&amp;IF(AND(N($E2678)&gt;0,$Z2678&lt;&gt;"",$Z2678&lt;&gt;"×",$AC2678=0,$AB2678=""),"計算額が下限以下のため不支給／",""))</f>
        <v/>
      </c>
      <c r="AL2678" s="12" t="n"/>
      <c r="AM2678" s="14">
        <f>IF($AD2678="保留中",COUNTIF($AD$6:$AD2678,"保留中"),"")</f>
        <v/>
      </c>
      <c r="AN2678" s="14">
        <f>IF($AO2678="","",IF(SUMPRODUCT(MAX((職員マスタ!$A$6:$A$405=$B2678)*(((職員マスタ!$G$6:$G$405="")+(職員マスタ!$G$6:$G$405&lt;=EOMONTH($AO2678,0)))&gt;0)*(((職員マスタ!$H$6:$H$405="")+(職員マスタ!$H$6:$H$405&gt;=$AO2678))&gt;0)*(ROW(職員マスタ!$A$6:$A$405)-5)))&gt;0,SUMPRODUCT(MAX((職員マスタ!$A$6:$A$405=$B2678)*(((職員マスタ!$G$6:$G$405="")+(職員マスタ!$G$6:$G$405&lt;=EOMONTH($AO2678,0)))&gt;0)*(((職員マスタ!$H$6:$H$405="")+(職員マスタ!$H$6:$H$405&gt;=$AO2678))&gt;0)*(ROW(職員マスタ!$A$6:$A$405)-5))),IFERROR(MATCH($B2678,職員マスタ!$A$6:$A$405,0),"")))</f>
        <v/>
      </c>
      <c r="AO2678" s="16">
        <f>IF(OR($B2678="",$C2678="",$D2678=""),"",DATE($C2678+2018,$D2678,1))</f>
        <v/>
      </c>
    </row>
    <row r="2679">
      <c r="A2679" s="11" t="n"/>
      <c r="B2679" s="12" t="n"/>
      <c r="C2679" s="12" t="n"/>
      <c r="D2679" s="12" t="n"/>
      <c r="E2679" s="13" t="n"/>
      <c r="F2679" s="12" t="n"/>
      <c r="G2679" s="13" t="n"/>
      <c r="H2679" s="12" t="n"/>
      <c r="I2679" s="12" t="n"/>
      <c r="J2679" s="12" t="n"/>
      <c r="K2679" s="12" t="n"/>
      <c r="L2679" s="11" t="n"/>
      <c r="M2679" s="11" t="n"/>
      <c r="N2679" s="11" t="n"/>
      <c r="O2679" s="11" t="n"/>
      <c r="P2679" s="12" t="n"/>
      <c r="Q2679" s="11" t="n"/>
      <c r="R2679" s="12" t="n"/>
      <c r="S2679" s="11" t="n"/>
      <c r="T2679" s="12" t="n"/>
      <c r="U2679" s="12" t="n"/>
      <c r="V2679" s="14">
        <f>IF($AN2679="",IF($B2679="","",$H2679),IF(INDEX(職員マスタ!$B$6:$B$405,$AN2679)="",$H2679,INDEX(職員マスタ!$B$6:$B$405,$AN2679)))</f>
        <v/>
      </c>
      <c r="W2679" s="14">
        <f>IF($AN2679="",IF($B2679="","",$R2679),IF(INDEX(職員マスタ!$C$6:$C$405,$AN2679)="",$R2679,INDEX(職員マスタ!$C$6:$C$405,$AN2679)))</f>
        <v/>
      </c>
      <c r="X2679" s="14">
        <f>IF($AO2679="","","R"&amp;$C2679&amp;"."&amp;$D2679)</f>
        <v/>
      </c>
      <c r="Y2679" s="15">
        <f>IF($AN2679="","",IF(INDEX(職員マスタ!$K$6:$K$405,$AN2679)="","",INDEX(職員マスタ!$K$6:$K$405,$AN2679)))</f>
        <v/>
      </c>
      <c r="Z2679" s="14">
        <f>IF(OR($E2679="",$Y2679=""),"",IF($E2679&gt;=$Y2679,"×",IF($E2679&gt;=$Y2679*設定!$C$5,"△","○")))</f>
        <v/>
      </c>
      <c r="AA2679" s="15">
        <f>IF($Z2679="","",IF($Z2679="×",0,IF($Z2679="○",ROUNDDOWN($E2679*設定!$C$4,0),ROUNDDOWN($E2679*ROUND((9*$Y2679-9*$E2679)/(10*$E2679),4),0))))</f>
        <v/>
      </c>
      <c r="AB2679" s="13" t="n"/>
      <c r="AC2679" s="15">
        <f>IF($B2679="","",IF($AB2679&lt;&gt;"",$AB2679,IF($AA2679="","",IF($AA2679&lt;=設定!$C$3,0,$AA2679))))</f>
        <v/>
      </c>
      <c r="AD2679" s="14">
        <f>IF($B2679="","",IF(AND($AE2679&lt;&gt;"",$AG2679="",$AJ2679=""),"保留中",IF($AJ2679&lt;&gt;"",IF(N($AC2679)&gt;0,"支給済","不支給"),IF($AC2679="","要確認",IF($AC2679=0,"不支給","未処理")))))</f>
        <v/>
      </c>
      <c r="AE2679" s="12" t="n"/>
      <c r="AF2679" s="11" t="n"/>
      <c r="AG2679" s="11" t="n"/>
      <c r="AH2679" s="11" t="n"/>
      <c r="AI2679" s="14">
        <f>IF(AND($AD2679="保留中",$AF2679&lt;&gt;""),TODAY()-$AF2679,"")</f>
        <v/>
      </c>
      <c r="AJ2679" s="12" t="n"/>
      <c r="AK2679" s="14">
        <f>IF($B2679="","",IF($AO2679="","対象年月が未入力／","")&amp;IF($B2679="","",IF($AN2679="","職員マスタに未登録の職員番号／",IF($Y2679="","標準報酬月額が未登録／","")&amp;IF(AND($AO2679&lt;&gt;"",OR(AND(INDEX(職員マスタ!$G$6:$G$405,$AN2679)&lt;&gt;"",INDEX(職員マスタ!$G$6:$G$405,$AN2679)&gt;EOMONTH($AO2679,0)),AND(INDEX(職員マスタ!$H$6:$H$405,$AN2679)&lt;&gt;"",INDEX(職員マスタ!$H$6:$H$405,$AN2679)&lt;$AO2679))),"対象月が時短期間外／","")&amp;IF(AND(INDEX(職員マスタ!$F$6:$F$405,$AN2679)&lt;&gt;"",$AO2679&lt;&gt;"",INDEX(職員マスタ!$F$6:$F$405,$AN2679)&lt;$AO2679),"対象月に子が2歳到達済／","")&amp;IF(AND($H2679&lt;&gt;"",INDEX(職員マスタ!$B$6:$B$405,$AN2679)&lt;&gt;"",SUBSTITUTE(SUBSTITUTE($H2679," ","")," ","")&lt;&gt;SUBSTITUTE(SUBSTITUTE(INDEX(職員マスタ!$B$6:$B$405,$AN2679)," ","")," ","")),"氏名がマスタと相違／","")&amp;IF(AND($Q2679&lt;&gt;"",INDEX(職員マスタ!$E$6:$E$405,$AN2679)&lt;&gt;"",$Q2679&lt;&gt;INDEX(職員マスタ!$E$6:$E$405,$AN2679)),"子の生年月日がマスタと相違／","")&amp;IF(AND($L2679&lt;&gt;"",INDEX(職員マスタ!$G$6:$G$405,$AN2679)&lt;&gt;"",$L2679&lt;&gt;INDEX(職員マスタ!$G$6:$G$405,$AN2679)),"時短開始日がマスタと相違／","")&amp;IF(AND($M2679&lt;&gt;"",INDEX(職員マスタ!$H$6:$H$405,$AN2679)&lt;&gt;"",$M2679&lt;&gt;INDEX(職員マスタ!$H$6:$H$405,$AN2679)),"時短終了日がマスタと相違／","")))&amp;IF(AND($B2679&lt;&gt;"",$E2679=""),"報酬額が未入力／","")&amp;IF(N($U2679)&gt;0,"申請書に入力エラーが残っています／","")&amp;IF(AND($B2679&lt;&gt;"",$AO2679&lt;&gt;""),IF(COUNTIFS($B$6:$B$3005,$B2679,$C$6:$C$3005,$C2679,$D$6:$D$3005,$D2679)&gt;1,"同じ月の請求が重複しています／",""),"")&amp;IF(AND(N($E2679)&gt;0,$Z2679&lt;&gt;"",$Z2679&lt;&gt;"×",$AC2679=0,$AB2679=""),"計算額が下限以下のため不支給／",""))</f>
        <v/>
      </c>
      <c r="AL2679" s="12" t="n"/>
      <c r="AM2679" s="14">
        <f>IF($AD2679="保留中",COUNTIF($AD$6:$AD2679,"保留中"),"")</f>
        <v/>
      </c>
      <c r="AN2679" s="14">
        <f>IF($AO2679="","",IF(SUMPRODUCT(MAX((職員マスタ!$A$6:$A$405=$B2679)*(((職員マスタ!$G$6:$G$405="")+(職員マスタ!$G$6:$G$405&lt;=EOMONTH($AO2679,0)))&gt;0)*(((職員マスタ!$H$6:$H$405="")+(職員マスタ!$H$6:$H$405&gt;=$AO2679))&gt;0)*(ROW(職員マスタ!$A$6:$A$405)-5)))&gt;0,SUMPRODUCT(MAX((職員マスタ!$A$6:$A$405=$B2679)*(((職員マスタ!$G$6:$G$405="")+(職員マスタ!$G$6:$G$405&lt;=EOMONTH($AO2679,0)))&gt;0)*(((職員マスタ!$H$6:$H$405="")+(職員マスタ!$H$6:$H$405&gt;=$AO2679))&gt;0)*(ROW(職員マスタ!$A$6:$A$405)-5))),IFERROR(MATCH($B2679,職員マスタ!$A$6:$A$405,0),"")))</f>
        <v/>
      </c>
      <c r="AO2679" s="16">
        <f>IF(OR($B2679="",$C2679="",$D2679=""),"",DATE($C2679+2018,$D2679,1))</f>
        <v/>
      </c>
    </row>
    <row r="2680">
      <c r="A2680" s="11" t="n"/>
      <c r="B2680" s="12" t="n"/>
      <c r="C2680" s="12" t="n"/>
      <c r="D2680" s="12" t="n"/>
      <c r="E2680" s="13" t="n"/>
      <c r="F2680" s="12" t="n"/>
      <c r="G2680" s="13" t="n"/>
      <c r="H2680" s="12" t="n"/>
      <c r="I2680" s="12" t="n"/>
      <c r="J2680" s="12" t="n"/>
      <c r="K2680" s="12" t="n"/>
      <c r="L2680" s="11" t="n"/>
      <c r="M2680" s="11" t="n"/>
      <c r="N2680" s="11" t="n"/>
      <c r="O2680" s="11" t="n"/>
      <c r="P2680" s="12" t="n"/>
      <c r="Q2680" s="11" t="n"/>
      <c r="R2680" s="12" t="n"/>
      <c r="S2680" s="11" t="n"/>
      <c r="T2680" s="12" t="n"/>
      <c r="U2680" s="12" t="n"/>
      <c r="V2680" s="14">
        <f>IF($AN2680="",IF($B2680="","",$H2680),IF(INDEX(職員マスタ!$B$6:$B$405,$AN2680)="",$H2680,INDEX(職員マスタ!$B$6:$B$405,$AN2680)))</f>
        <v/>
      </c>
      <c r="W2680" s="14">
        <f>IF($AN2680="",IF($B2680="","",$R2680),IF(INDEX(職員マスタ!$C$6:$C$405,$AN2680)="",$R2680,INDEX(職員マスタ!$C$6:$C$405,$AN2680)))</f>
        <v/>
      </c>
      <c r="X2680" s="14">
        <f>IF($AO2680="","","R"&amp;$C2680&amp;"."&amp;$D2680)</f>
        <v/>
      </c>
      <c r="Y2680" s="15">
        <f>IF($AN2680="","",IF(INDEX(職員マスタ!$K$6:$K$405,$AN2680)="","",INDEX(職員マスタ!$K$6:$K$405,$AN2680)))</f>
        <v/>
      </c>
      <c r="Z2680" s="14">
        <f>IF(OR($E2680="",$Y2680=""),"",IF($E2680&gt;=$Y2680,"×",IF($E2680&gt;=$Y2680*設定!$C$5,"△","○")))</f>
        <v/>
      </c>
      <c r="AA2680" s="15">
        <f>IF($Z2680="","",IF($Z2680="×",0,IF($Z2680="○",ROUNDDOWN($E2680*設定!$C$4,0),ROUNDDOWN($E2680*ROUND((9*$Y2680-9*$E2680)/(10*$E2680),4),0))))</f>
        <v/>
      </c>
      <c r="AB2680" s="13" t="n"/>
      <c r="AC2680" s="15">
        <f>IF($B2680="","",IF($AB2680&lt;&gt;"",$AB2680,IF($AA2680="","",IF($AA2680&lt;=設定!$C$3,0,$AA2680))))</f>
        <v/>
      </c>
      <c r="AD2680" s="14">
        <f>IF($B2680="","",IF(AND($AE2680&lt;&gt;"",$AG2680="",$AJ2680=""),"保留中",IF($AJ2680&lt;&gt;"",IF(N($AC2680)&gt;0,"支給済","不支給"),IF($AC2680="","要確認",IF($AC2680=0,"不支給","未処理")))))</f>
        <v/>
      </c>
      <c r="AE2680" s="12" t="n"/>
      <c r="AF2680" s="11" t="n"/>
      <c r="AG2680" s="11" t="n"/>
      <c r="AH2680" s="11" t="n"/>
      <c r="AI2680" s="14">
        <f>IF(AND($AD2680="保留中",$AF2680&lt;&gt;""),TODAY()-$AF2680,"")</f>
        <v/>
      </c>
      <c r="AJ2680" s="12" t="n"/>
      <c r="AK2680" s="14">
        <f>IF($B2680="","",IF($AO2680="","対象年月が未入力／","")&amp;IF($B2680="","",IF($AN2680="","職員マスタに未登録の職員番号／",IF($Y2680="","標準報酬月額が未登録／","")&amp;IF(AND($AO2680&lt;&gt;"",OR(AND(INDEX(職員マスタ!$G$6:$G$405,$AN2680)&lt;&gt;"",INDEX(職員マスタ!$G$6:$G$405,$AN2680)&gt;EOMONTH($AO2680,0)),AND(INDEX(職員マスタ!$H$6:$H$405,$AN2680)&lt;&gt;"",INDEX(職員マスタ!$H$6:$H$405,$AN2680)&lt;$AO2680))),"対象月が時短期間外／","")&amp;IF(AND(INDEX(職員マスタ!$F$6:$F$405,$AN2680)&lt;&gt;"",$AO2680&lt;&gt;"",INDEX(職員マスタ!$F$6:$F$405,$AN2680)&lt;$AO2680),"対象月に子が2歳到達済／","")&amp;IF(AND($H2680&lt;&gt;"",INDEX(職員マスタ!$B$6:$B$405,$AN2680)&lt;&gt;"",SUBSTITUTE(SUBSTITUTE($H2680," ","")," ","")&lt;&gt;SUBSTITUTE(SUBSTITUTE(INDEX(職員マスタ!$B$6:$B$405,$AN2680)," ","")," ","")),"氏名がマスタと相違／","")&amp;IF(AND($Q2680&lt;&gt;"",INDEX(職員マスタ!$E$6:$E$405,$AN2680)&lt;&gt;"",$Q2680&lt;&gt;INDEX(職員マスタ!$E$6:$E$405,$AN2680)),"子の生年月日がマスタと相違／","")&amp;IF(AND($L2680&lt;&gt;"",INDEX(職員マスタ!$G$6:$G$405,$AN2680)&lt;&gt;"",$L2680&lt;&gt;INDEX(職員マスタ!$G$6:$G$405,$AN2680)),"時短開始日がマスタと相違／","")&amp;IF(AND($M2680&lt;&gt;"",INDEX(職員マスタ!$H$6:$H$405,$AN2680)&lt;&gt;"",$M2680&lt;&gt;INDEX(職員マスタ!$H$6:$H$405,$AN2680)),"時短終了日がマスタと相違／","")))&amp;IF(AND($B2680&lt;&gt;"",$E2680=""),"報酬額が未入力／","")&amp;IF(N($U2680)&gt;0,"申請書に入力エラーが残っています／","")&amp;IF(AND($B2680&lt;&gt;"",$AO2680&lt;&gt;""),IF(COUNTIFS($B$6:$B$3005,$B2680,$C$6:$C$3005,$C2680,$D$6:$D$3005,$D2680)&gt;1,"同じ月の請求が重複しています／",""),"")&amp;IF(AND(N($E2680)&gt;0,$Z2680&lt;&gt;"",$Z2680&lt;&gt;"×",$AC2680=0,$AB2680=""),"計算額が下限以下のため不支給／",""))</f>
        <v/>
      </c>
      <c r="AL2680" s="12" t="n"/>
      <c r="AM2680" s="14">
        <f>IF($AD2680="保留中",COUNTIF($AD$6:$AD2680,"保留中"),"")</f>
        <v/>
      </c>
      <c r="AN2680" s="14">
        <f>IF($AO2680="","",IF(SUMPRODUCT(MAX((職員マスタ!$A$6:$A$405=$B2680)*(((職員マスタ!$G$6:$G$405="")+(職員マスタ!$G$6:$G$405&lt;=EOMONTH($AO2680,0)))&gt;0)*(((職員マスタ!$H$6:$H$405="")+(職員マスタ!$H$6:$H$405&gt;=$AO2680))&gt;0)*(ROW(職員マスタ!$A$6:$A$405)-5)))&gt;0,SUMPRODUCT(MAX((職員マスタ!$A$6:$A$405=$B2680)*(((職員マスタ!$G$6:$G$405="")+(職員マスタ!$G$6:$G$405&lt;=EOMONTH($AO2680,0)))&gt;0)*(((職員マスタ!$H$6:$H$405="")+(職員マスタ!$H$6:$H$405&gt;=$AO2680))&gt;0)*(ROW(職員マスタ!$A$6:$A$405)-5))),IFERROR(MATCH($B2680,職員マスタ!$A$6:$A$405,0),"")))</f>
        <v/>
      </c>
      <c r="AO2680" s="16">
        <f>IF(OR($B2680="",$C2680="",$D2680=""),"",DATE($C2680+2018,$D2680,1))</f>
        <v/>
      </c>
    </row>
    <row r="2681">
      <c r="A2681" s="11" t="n"/>
      <c r="B2681" s="12" t="n"/>
      <c r="C2681" s="12" t="n"/>
      <c r="D2681" s="12" t="n"/>
      <c r="E2681" s="13" t="n"/>
      <c r="F2681" s="12" t="n"/>
      <c r="G2681" s="13" t="n"/>
      <c r="H2681" s="12" t="n"/>
      <c r="I2681" s="12" t="n"/>
      <c r="J2681" s="12" t="n"/>
      <c r="K2681" s="12" t="n"/>
      <c r="L2681" s="11" t="n"/>
      <c r="M2681" s="11" t="n"/>
      <c r="N2681" s="11" t="n"/>
      <c r="O2681" s="11" t="n"/>
      <c r="P2681" s="12" t="n"/>
      <c r="Q2681" s="11" t="n"/>
      <c r="R2681" s="12" t="n"/>
      <c r="S2681" s="11" t="n"/>
      <c r="T2681" s="12" t="n"/>
      <c r="U2681" s="12" t="n"/>
      <c r="V2681" s="14">
        <f>IF($AN2681="",IF($B2681="","",$H2681),IF(INDEX(職員マスタ!$B$6:$B$405,$AN2681)="",$H2681,INDEX(職員マスタ!$B$6:$B$405,$AN2681)))</f>
        <v/>
      </c>
      <c r="W2681" s="14">
        <f>IF($AN2681="",IF($B2681="","",$R2681),IF(INDEX(職員マスタ!$C$6:$C$405,$AN2681)="",$R2681,INDEX(職員マスタ!$C$6:$C$405,$AN2681)))</f>
        <v/>
      </c>
      <c r="X2681" s="14">
        <f>IF($AO2681="","","R"&amp;$C2681&amp;"."&amp;$D2681)</f>
        <v/>
      </c>
      <c r="Y2681" s="15">
        <f>IF($AN2681="","",IF(INDEX(職員マスタ!$K$6:$K$405,$AN2681)="","",INDEX(職員マスタ!$K$6:$K$405,$AN2681)))</f>
        <v/>
      </c>
      <c r="Z2681" s="14">
        <f>IF(OR($E2681="",$Y2681=""),"",IF($E2681&gt;=$Y2681,"×",IF($E2681&gt;=$Y2681*設定!$C$5,"△","○")))</f>
        <v/>
      </c>
      <c r="AA2681" s="15">
        <f>IF($Z2681="","",IF($Z2681="×",0,IF($Z2681="○",ROUNDDOWN($E2681*設定!$C$4,0),ROUNDDOWN($E2681*ROUND((9*$Y2681-9*$E2681)/(10*$E2681),4),0))))</f>
        <v/>
      </c>
      <c r="AB2681" s="13" t="n"/>
      <c r="AC2681" s="15">
        <f>IF($B2681="","",IF($AB2681&lt;&gt;"",$AB2681,IF($AA2681="","",IF($AA2681&lt;=設定!$C$3,0,$AA2681))))</f>
        <v/>
      </c>
      <c r="AD2681" s="14">
        <f>IF($B2681="","",IF(AND($AE2681&lt;&gt;"",$AG2681="",$AJ2681=""),"保留中",IF($AJ2681&lt;&gt;"",IF(N($AC2681)&gt;0,"支給済","不支給"),IF($AC2681="","要確認",IF($AC2681=0,"不支給","未処理")))))</f>
        <v/>
      </c>
      <c r="AE2681" s="12" t="n"/>
      <c r="AF2681" s="11" t="n"/>
      <c r="AG2681" s="11" t="n"/>
      <c r="AH2681" s="11" t="n"/>
      <c r="AI2681" s="14">
        <f>IF(AND($AD2681="保留中",$AF2681&lt;&gt;""),TODAY()-$AF2681,"")</f>
        <v/>
      </c>
      <c r="AJ2681" s="12" t="n"/>
      <c r="AK2681" s="14">
        <f>IF($B2681="","",IF($AO2681="","対象年月が未入力／","")&amp;IF($B2681="","",IF($AN2681="","職員マスタに未登録の職員番号／",IF($Y2681="","標準報酬月額が未登録／","")&amp;IF(AND($AO2681&lt;&gt;"",OR(AND(INDEX(職員マスタ!$G$6:$G$405,$AN2681)&lt;&gt;"",INDEX(職員マスタ!$G$6:$G$405,$AN2681)&gt;EOMONTH($AO2681,0)),AND(INDEX(職員マスタ!$H$6:$H$405,$AN2681)&lt;&gt;"",INDEX(職員マスタ!$H$6:$H$405,$AN2681)&lt;$AO2681))),"対象月が時短期間外／","")&amp;IF(AND(INDEX(職員マスタ!$F$6:$F$405,$AN2681)&lt;&gt;"",$AO2681&lt;&gt;"",INDEX(職員マスタ!$F$6:$F$405,$AN2681)&lt;$AO2681),"対象月に子が2歳到達済／","")&amp;IF(AND($H2681&lt;&gt;"",INDEX(職員マスタ!$B$6:$B$405,$AN2681)&lt;&gt;"",SUBSTITUTE(SUBSTITUTE($H2681," ","")," ","")&lt;&gt;SUBSTITUTE(SUBSTITUTE(INDEX(職員マスタ!$B$6:$B$405,$AN2681)," ","")," ","")),"氏名がマスタと相違／","")&amp;IF(AND($Q2681&lt;&gt;"",INDEX(職員マスタ!$E$6:$E$405,$AN2681)&lt;&gt;"",$Q2681&lt;&gt;INDEX(職員マスタ!$E$6:$E$405,$AN2681)),"子の生年月日がマスタと相違／","")&amp;IF(AND($L2681&lt;&gt;"",INDEX(職員マスタ!$G$6:$G$405,$AN2681)&lt;&gt;"",$L2681&lt;&gt;INDEX(職員マスタ!$G$6:$G$405,$AN2681)),"時短開始日がマスタと相違／","")&amp;IF(AND($M2681&lt;&gt;"",INDEX(職員マスタ!$H$6:$H$405,$AN2681)&lt;&gt;"",$M2681&lt;&gt;INDEX(職員マスタ!$H$6:$H$405,$AN2681)),"時短終了日がマスタと相違／","")))&amp;IF(AND($B2681&lt;&gt;"",$E2681=""),"報酬額が未入力／","")&amp;IF(N($U2681)&gt;0,"申請書に入力エラーが残っています／","")&amp;IF(AND($B2681&lt;&gt;"",$AO2681&lt;&gt;""),IF(COUNTIFS($B$6:$B$3005,$B2681,$C$6:$C$3005,$C2681,$D$6:$D$3005,$D2681)&gt;1,"同じ月の請求が重複しています／",""),"")&amp;IF(AND(N($E2681)&gt;0,$Z2681&lt;&gt;"",$Z2681&lt;&gt;"×",$AC2681=0,$AB2681=""),"計算額が下限以下のため不支給／",""))</f>
        <v/>
      </c>
      <c r="AL2681" s="12" t="n"/>
      <c r="AM2681" s="14">
        <f>IF($AD2681="保留中",COUNTIF($AD$6:$AD2681,"保留中"),"")</f>
        <v/>
      </c>
      <c r="AN2681" s="14">
        <f>IF($AO2681="","",IF(SUMPRODUCT(MAX((職員マスタ!$A$6:$A$405=$B2681)*(((職員マスタ!$G$6:$G$405="")+(職員マスタ!$G$6:$G$405&lt;=EOMONTH($AO2681,0)))&gt;0)*(((職員マスタ!$H$6:$H$405="")+(職員マスタ!$H$6:$H$405&gt;=$AO2681))&gt;0)*(ROW(職員マスタ!$A$6:$A$405)-5)))&gt;0,SUMPRODUCT(MAX((職員マスタ!$A$6:$A$405=$B2681)*(((職員マスタ!$G$6:$G$405="")+(職員マスタ!$G$6:$G$405&lt;=EOMONTH($AO2681,0)))&gt;0)*(((職員マスタ!$H$6:$H$405="")+(職員マスタ!$H$6:$H$405&gt;=$AO2681))&gt;0)*(ROW(職員マスタ!$A$6:$A$405)-5))),IFERROR(MATCH($B2681,職員マスタ!$A$6:$A$405,0),"")))</f>
        <v/>
      </c>
      <c r="AO2681" s="16">
        <f>IF(OR($B2681="",$C2681="",$D2681=""),"",DATE($C2681+2018,$D2681,1))</f>
        <v/>
      </c>
    </row>
    <row r="2682">
      <c r="A2682" s="11" t="n"/>
      <c r="B2682" s="12" t="n"/>
      <c r="C2682" s="12" t="n"/>
      <c r="D2682" s="12" t="n"/>
      <c r="E2682" s="13" t="n"/>
      <c r="F2682" s="12" t="n"/>
      <c r="G2682" s="13" t="n"/>
      <c r="H2682" s="12" t="n"/>
      <c r="I2682" s="12" t="n"/>
      <c r="J2682" s="12" t="n"/>
      <c r="K2682" s="12" t="n"/>
      <c r="L2682" s="11" t="n"/>
      <c r="M2682" s="11" t="n"/>
      <c r="N2682" s="11" t="n"/>
      <c r="O2682" s="11" t="n"/>
      <c r="P2682" s="12" t="n"/>
      <c r="Q2682" s="11" t="n"/>
      <c r="R2682" s="12" t="n"/>
      <c r="S2682" s="11" t="n"/>
      <c r="T2682" s="12" t="n"/>
      <c r="U2682" s="12" t="n"/>
      <c r="V2682" s="14">
        <f>IF($AN2682="",IF($B2682="","",$H2682),IF(INDEX(職員マスタ!$B$6:$B$405,$AN2682)="",$H2682,INDEX(職員マスタ!$B$6:$B$405,$AN2682)))</f>
        <v/>
      </c>
      <c r="W2682" s="14">
        <f>IF($AN2682="",IF($B2682="","",$R2682),IF(INDEX(職員マスタ!$C$6:$C$405,$AN2682)="",$R2682,INDEX(職員マスタ!$C$6:$C$405,$AN2682)))</f>
        <v/>
      </c>
      <c r="X2682" s="14">
        <f>IF($AO2682="","","R"&amp;$C2682&amp;"."&amp;$D2682)</f>
        <v/>
      </c>
      <c r="Y2682" s="15">
        <f>IF($AN2682="","",IF(INDEX(職員マスタ!$K$6:$K$405,$AN2682)="","",INDEX(職員マスタ!$K$6:$K$405,$AN2682)))</f>
        <v/>
      </c>
      <c r="Z2682" s="14">
        <f>IF(OR($E2682="",$Y2682=""),"",IF($E2682&gt;=$Y2682,"×",IF($E2682&gt;=$Y2682*設定!$C$5,"△","○")))</f>
        <v/>
      </c>
      <c r="AA2682" s="15">
        <f>IF($Z2682="","",IF($Z2682="×",0,IF($Z2682="○",ROUNDDOWN($E2682*設定!$C$4,0),ROUNDDOWN($E2682*ROUND((9*$Y2682-9*$E2682)/(10*$E2682),4),0))))</f>
        <v/>
      </c>
      <c r="AB2682" s="13" t="n"/>
      <c r="AC2682" s="15">
        <f>IF($B2682="","",IF($AB2682&lt;&gt;"",$AB2682,IF($AA2682="","",IF($AA2682&lt;=設定!$C$3,0,$AA2682))))</f>
        <v/>
      </c>
      <c r="AD2682" s="14">
        <f>IF($B2682="","",IF(AND($AE2682&lt;&gt;"",$AG2682="",$AJ2682=""),"保留中",IF($AJ2682&lt;&gt;"",IF(N($AC2682)&gt;0,"支給済","不支給"),IF($AC2682="","要確認",IF($AC2682=0,"不支給","未処理")))))</f>
        <v/>
      </c>
      <c r="AE2682" s="12" t="n"/>
      <c r="AF2682" s="11" t="n"/>
      <c r="AG2682" s="11" t="n"/>
      <c r="AH2682" s="11" t="n"/>
      <c r="AI2682" s="14">
        <f>IF(AND($AD2682="保留中",$AF2682&lt;&gt;""),TODAY()-$AF2682,"")</f>
        <v/>
      </c>
      <c r="AJ2682" s="12" t="n"/>
      <c r="AK2682" s="14">
        <f>IF($B2682="","",IF($AO2682="","対象年月が未入力／","")&amp;IF($B2682="","",IF($AN2682="","職員マスタに未登録の職員番号／",IF($Y2682="","標準報酬月額が未登録／","")&amp;IF(AND($AO2682&lt;&gt;"",OR(AND(INDEX(職員マスタ!$G$6:$G$405,$AN2682)&lt;&gt;"",INDEX(職員マスタ!$G$6:$G$405,$AN2682)&gt;EOMONTH($AO2682,0)),AND(INDEX(職員マスタ!$H$6:$H$405,$AN2682)&lt;&gt;"",INDEX(職員マスタ!$H$6:$H$405,$AN2682)&lt;$AO2682))),"対象月が時短期間外／","")&amp;IF(AND(INDEX(職員マスタ!$F$6:$F$405,$AN2682)&lt;&gt;"",$AO2682&lt;&gt;"",INDEX(職員マスタ!$F$6:$F$405,$AN2682)&lt;$AO2682),"対象月に子が2歳到達済／","")&amp;IF(AND($H2682&lt;&gt;"",INDEX(職員マスタ!$B$6:$B$405,$AN2682)&lt;&gt;"",SUBSTITUTE(SUBSTITUTE($H2682," ","")," ","")&lt;&gt;SUBSTITUTE(SUBSTITUTE(INDEX(職員マスタ!$B$6:$B$405,$AN2682)," ","")," ","")),"氏名がマスタと相違／","")&amp;IF(AND($Q2682&lt;&gt;"",INDEX(職員マスタ!$E$6:$E$405,$AN2682)&lt;&gt;"",$Q2682&lt;&gt;INDEX(職員マスタ!$E$6:$E$405,$AN2682)),"子の生年月日がマスタと相違／","")&amp;IF(AND($L2682&lt;&gt;"",INDEX(職員マスタ!$G$6:$G$405,$AN2682)&lt;&gt;"",$L2682&lt;&gt;INDEX(職員マスタ!$G$6:$G$405,$AN2682)),"時短開始日がマスタと相違／","")&amp;IF(AND($M2682&lt;&gt;"",INDEX(職員マスタ!$H$6:$H$405,$AN2682)&lt;&gt;"",$M2682&lt;&gt;INDEX(職員マスタ!$H$6:$H$405,$AN2682)),"時短終了日がマスタと相違／","")))&amp;IF(AND($B2682&lt;&gt;"",$E2682=""),"報酬額が未入力／","")&amp;IF(N($U2682)&gt;0,"申請書に入力エラーが残っています／","")&amp;IF(AND($B2682&lt;&gt;"",$AO2682&lt;&gt;""),IF(COUNTIFS($B$6:$B$3005,$B2682,$C$6:$C$3005,$C2682,$D$6:$D$3005,$D2682)&gt;1,"同じ月の請求が重複しています／",""),"")&amp;IF(AND(N($E2682)&gt;0,$Z2682&lt;&gt;"",$Z2682&lt;&gt;"×",$AC2682=0,$AB2682=""),"計算額が下限以下のため不支給／",""))</f>
        <v/>
      </c>
      <c r="AL2682" s="12" t="n"/>
      <c r="AM2682" s="14">
        <f>IF($AD2682="保留中",COUNTIF($AD$6:$AD2682,"保留中"),"")</f>
        <v/>
      </c>
      <c r="AN2682" s="14">
        <f>IF($AO2682="","",IF(SUMPRODUCT(MAX((職員マスタ!$A$6:$A$405=$B2682)*(((職員マスタ!$G$6:$G$405="")+(職員マスタ!$G$6:$G$405&lt;=EOMONTH($AO2682,0)))&gt;0)*(((職員マスタ!$H$6:$H$405="")+(職員マスタ!$H$6:$H$405&gt;=$AO2682))&gt;0)*(ROW(職員マスタ!$A$6:$A$405)-5)))&gt;0,SUMPRODUCT(MAX((職員マスタ!$A$6:$A$405=$B2682)*(((職員マスタ!$G$6:$G$405="")+(職員マスタ!$G$6:$G$405&lt;=EOMONTH($AO2682,0)))&gt;0)*(((職員マスタ!$H$6:$H$405="")+(職員マスタ!$H$6:$H$405&gt;=$AO2682))&gt;0)*(ROW(職員マスタ!$A$6:$A$405)-5))),IFERROR(MATCH($B2682,職員マスタ!$A$6:$A$405,0),"")))</f>
        <v/>
      </c>
      <c r="AO2682" s="16">
        <f>IF(OR($B2682="",$C2682="",$D2682=""),"",DATE($C2682+2018,$D2682,1))</f>
        <v/>
      </c>
    </row>
    <row r="2683">
      <c r="A2683" s="11" t="n"/>
      <c r="B2683" s="12" t="n"/>
      <c r="C2683" s="12" t="n"/>
      <c r="D2683" s="12" t="n"/>
      <c r="E2683" s="13" t="n"/>
      <c r="F2683" s="12" t="n"/>
      <c r="G2683" s="13" t="n"/>
      <c r="H2683" s="12" t="n"/>
      <c r="I2683" s="12" t="n"/>
      <c r="J2683" s="12" t="n"/>
      <c r="K2683" s="12" t="n"/>
      <c r="L2683" s="11" t="n"/>
      <c r="M2683" s="11" t="n"/>
      <c r="N2683" s="11" t="n"/>
      <c r="O2683" s="11" t="n"/>
      <c r="P2683" s="12" t="n"/>
      <c r="Q2683" s="11" t="n"/>
      <c r="R2683" s="12" t="n"/>
      <c r="S2683" s="11" t="n"/>
      <c r="T2683" s="12" t="n"/>
      <c r="U2683" s="12" t="n"/>
      <c r="V2683" s="14">
        <f>IF($AN2683="",IF($B2683="","",$H2683),IF(INDEX(職員マスタ!$B$6:$B$405,$AN2683)="",$H2683,INDEX(職員マスタ!$B$6:$B$405,$AN2683)))</f>
        <v/>
      </c>
      <c r="W2683" s="14">
        <f>IF($AN2683="",IF($B2683="","",$R2683),IF(INDEX(職員マスタ!$C$6:$C$405,$AN2683)="",$R2683,INDEX(職員マスタ!$C$6:$C$405,$AN2683)))</f>
        <v/>
      </c>
      <c r="X2683" s="14">
        <f>IF($AO2683="","","R"&amp;$C2683&amp;"."&amp;$D2683)</f>
        <v/>
      </c>
      <c r="Y2683" s="15">
        <f>IF($AN2683="","",IF(INDEX(職員マスタ!$K$6:$K$405,$AN2683)="","",INDEX(職員マスタ!$K$6:$K$405,$AN2683)))</f>
        <v/>
      </c>
      <c r="Z2683" s="14">
        <f>IF(OR($E2683="",$Y2683=""),"",IF($E2683&gt;=$Y2683,"×",IF($E2683&gt;=$Y2683*設定!$C$5,"△","○")))</f>
        <v/>
      </c>
      <c r="AA2683" s="15">
        <f>IF($Z2683="","",IF($Z2683="×",0,IF($Z2683="○",ROUNDDOWN($E2683*設定!$C$4,0),ROUNDDOWN($E2683*ROUND((9*$Y2683-9*$E2683)/(10*$E2683),4),0))))</f>
        <v/>
      </c>
      <c r="AB2683" s="13" t="n"/>
      <c r="AC2683" s="15">
        <f>IF($B2683="","",IF($AB2683&lt;&gt;"",$AB2683,IF($AA2683="","",IF($AA2683&lt;=設定!$C$3,0,$AA2683))))</f>
        <v/>
      </c>
      <c r="AD2683" s="14">
        <f>IF($B2683="","",IF(AND($AE2683&lt;&gt;"",$AG2683="",$AJ2683=""),"保留中",IF($AJ2683&lt;&gt;"",IF(N($AC2683)&gt;0,"支給済","不支給"),IF($AC2683="","要確認",IF($AC2683=0,"不支給","未処理")))))</f>
        <v/>
      </c>
      <c r="AE2683" s="12" t="n"/>
      <c r="AF2683" s="11" t="n"/>
      <c r="AG2683" s="11" t="n"/>
      <c r="AH2683" s="11" t="n"/>
      <c r="AI2683" s="14">
        <f>IF(AND($AD2683="保留中",$AF2683&lt;&gt;""),TODAY()-$AF2683,"")</f>
        <v/>
      </c>
      <c r="AJ2683" s="12" t="n"/>
      <c r="AK2683" s="14">
        <f>IF($B2683="","",IF($AO2683="","対象年月が未入力／","")&amp;IF($B2683="","",IF($AN2683="","職員マスタに未登録の職員番号／",IF($Y2683="","標準報酬月額が未登録／","")&amp;IF(AND($AO2683&lt;&gt;"",OR(AND(INDEX(職員マスタ!$G$6:$G$405,$AN2683)&lt;&gt;"",INDEX(職員マスタ!$G$6:$G$405,$AN2683)&gt;EOMONTH($AO2683,0)),AND(INDEX(職員マスタ!$H$6:$H$405,$AN2683)&lt;&gt;"",INDEX(職員マスタ!$H$6:$H$405,$AN2683)&lt;$AO2683))),"対象月が時短期間外／","")&amp;IF(AND(INDEX(職員マスタ!$F$6:$F$405,$AN2683)&lt;&gt;"",$AO2683&lt;&gt;"",INDEX(職員マスタ!$F$6:$F$405,$AN2683)&lt;$AO2683),"対象月に子が2歳到達済／","")&amp;IF(AND($H2683&lt;&gt;"",INDEX(職員マスタ!$B$6:$B$405,$AN2683)&lt;&gt;"",SUBSTITUTE(SUBSTITUTE($H2683," ","")," ","")&lt;&gt;SUBSTITUTE(SUBSTITUTE(INDEX(職員マスタ!$B$6:$B$405,$AN2683)," ","")," ","")),"氏名がマスタと相違／","")&amp;IF(AND($Q2683&lt;&gt;"",INDEX(職員マスタ!$E$6:$E$405,$AN2683)&lt;&gt;"",$Q2683&lt;&gt;INDEX(職員マスタ!$E$6:$E$405,$AN2683)),"子の生年月日がマスタと相違／","")&amp;IF(AND($L2683&lt;&gt;"",INDEX(職員マスタ!$G$6:$G$405,$AN2683)&lt;&gt;"",$L2683&lt;&gt;INDEX(職員マスタ!$G$6:$G$405,$AN2683)),"時短開始日がマスタと相違／","")&amp;IF(AND($M2683&lt;&gt;"",INDEX(職員マスタ!$H$6:$H$405,$AN2683)&lt;&gt;"",$M2683&lt;&gt;INDEX(職員マスタ!$H$6:$H$405,$AN2683)),"時短終了日がマスタと相違／","")))&amp;IF(AND($B2683&lt;&gt;"",$E2683=""),"報酬額が未入力／","")&amp;IF(N($U2683)&gt;0,"申請書に入力エラーが残っています／","")&amp;IF(AND($B2683&lt;&gt;"",$AO2683&lt;&gt;""),IF(COUNTIFS($B$6:$B$3005,$B2683,$C$6:$C$3005,$C2683,$D$6:$D$3005,$D2683)&gt;1,"同じ月の請求が重複しています／",""),"")&amp;IF(AND(N($E2683)&gt;0,$Z2683&lt;&gt;"",$Z2683&lt;&gt;"×",$AC2683=0,$AB2683=""),"計算額が下限以下のため不支給／",""))</f>
        <v/>
      </c>
      <c r="AL2683" s="12" t="n"/>
      <c r="AM2683" s="14">
        <f>IF($AD2683="保留中",COUNTIF($AD$6:$AD2683,"保留中"),"")</f>
        <v/>
      </c>
      <c r="AN2683" s="14">
        <f>IF($AO2683="","",IF(SUMPRODUCT(MAX((職員マスタ!$A$6:$A$405=$B2683)*(((職員マスタ!$G$6:$G$405="")+(職員マスタ!$G$6:$G$405&lt;=EOMONTH($AO2683,0)))&gt;0)*(((職員マスタ!$H$6:$H$405="")+(職員マスタ!$H$6:$H$405&gt;=$AO2683))&gt;0)*(ROW(職員マスタ!$A$6:$A$405)-5)))&gt;0,SUMPRODUCT(MAX((職員マスタ!$A$6:$A$405=$B2683)*(((職員マスタ!$G$6:$G$405="")+(職員マスタ!$G$6:$G$405&lt;=EOMONTH($AO2683,0)))&gt;0)*(((職員マスタ!$H$6:$H$405="")+(職員マスタ!$H$6:$H$405&gt;=$AO2683))&gt;0)*(ROW(職員マスタ!$A$6:$A$405)-5))),IFERROR(MATCH($B2683,職員マスタ!$A$6:$A$405,0),"")))</f>
        <v/>
      </c>
      <c r="AO2683" s="16">
        <f>IF(OR($B2683="",$C2683="",$D2683=""),"",DATE($C2683+2018,$D2683,1))</f>
        <v/>
      </c>
    </row>
    <row r="2684">
      <c r="A2684" s="11" t="n"/>
      <c r="B2684" s="12" t="n"/>
      <c r="C2684" s="12" t="n"/>
      <c r="D2684" s="12" t="n"/>
      <c r="E2684" s="13" t="n"/>
      <c r="F2684" s="12" t="n"/>
      <c r="G2684" s="13" t="n"/>
      <c r="H2684" s="12" t="n"/>
      <c r="I2684" s="12" t="n"/>
      <c r="J2684" s="12" t="n"/>
      <c r="K2684" s="12" t="n"/>
      <c r="L2684" s="11" t="n"/>
      <c r="M2684" s="11" t="n"/>
      <c r="N2684" s="11" t="n"/>
      <c r="O2684" s="11" t="n"/>
      <c r="P2684" s="12" t="n"/>
      <c r="Q2684" s="11" t="n"/>
      <c r="R2684" s="12" t="n"/>
      <c r="S2684" s="11" t="n"/>
      <c r="T2684" s="12" t="n"/>
      <c r="U2684" s="12" t="n"/>
      <c r="V2684" s="14">
        <f>IF($AN2684="",IF($B2684="","",$H2684),IF(INDEX(職員マスタ!$B$6:$B$405,$AN2684)="",$H2684,INDEX(職員マスタ!$B$6:$B$405,$AN2684)))</f>
        <v/>
      </c>
      <c r="W2684" s="14">
        <f>IF($AN2684="",IF($B2684="","",$R2684),IF(INDEX(職員マスタ!$C$6:$C$405,$AN2684)="",$R2684,INDEX(職員マスタ!$C$6:$C$405,$AN2684)))</f>
        <v/>
      </c>
      <c r="X2684" s="14">
        <f>IF($AO2684="","","R"&amp;$C2684&amp;"."&amp;$D2684)</f>
        <v/>
      </c>
      <c r="Y2684" s="15">
        <f>IF($AN2684="","",IF(INDEX(職員マスタ!$K$6:$K$405,$AN2684)="","",INDEX(職員マスタ!$K$6:$K$405,$AN2684)))</f>
        <v/>
      </c>
      <c r="Z2684" s="14">
        <f>IF(OR($E2684="",$Y2684=""),"",IF($E2684&gt;=$Y2684,"×",IF($E2684&gt;=$Y2684*設定!$C$5,"△","○")))</f>
        <v/>
      </c>
      <c r="AA2684" s="15">
        <f>IF($Z2684="","",IF($Z2684="×",0,IF($Z2684="○",ROUNDDOWN($E2684*設定!$C$4,0),ROUNDDOWN($E2684*ROUND((9*$Y2684-9*$E2684)/(10*$E2684),4),0))))</f>
        <v/>
      </c>
      <c r="AB2684" s="13" t="n"/>
      <c r="AC2684" s="15">
        <f>IF($B2684="","",IF($AB2684&lt;&gt;"",$AB2684,IF($AA2684="","",IF($AA2684&lt;=設定!$C$3,0,$AA2684))))</f>
        <v/>
      </c>
      <c r="AD2684" s="14">
        <f>IF($B2684="","",IF(AND($AE2684&lt;&gt;"",$AG2684="",$AJ2684=""),"保留中",IF($AJ2684&lt;&gt;"",IF(N($AC2684)&gt;0,"支給済","不支給"),IF($AC2684="","要確認",IF($AC2684=0,"不支給","未処理")))))</f>
        <v/>
      </c>
      <c r="AE2684" s="12" t="n"/>
      <c r="AF2684" s="11" t="n"/>
      <c r="AG2684" s="11" t="n"/>
      <c r="AH2684" s="11" t="n"/>
      <c r="AI2684" s="14">
        <f>IF(AND($AD2684="保留中",$AF2684&lt;&gt;""),TODAY()-$AF2684,"")</f>
        <v/>
      </c>
      <c r="AJ2684" s="12" t="n"/>
      <c r="AK2684" s="14">
        <f>IF($B2684="","",IF($AO2684="","対象年月が未入力／","")&amp;IF($B2684="","",IF($AN2684="","職員マスタに未登録の職員番号／",IF($Y2684="","標準報酬月額が未登録／","")&amp;IF(AND($AO2684&lt;&gt;"",OR(AND(INDEX(職員マスタ!$G$6:$G$405,$AN2684)&lt;&gt;"",INDEX(職員マスタ!$G$6:$G$405,$AN2684)&gt;EOMONTH($AO2684,0)),AND(INDEX(職員マスタ!$H$6:$H$405,$AN2684)&lt;&gt;"",INDEX(職員マスタ!$H$6:$H$405,$AN2684)&lt;$AO2684))),"対象月が時短期間外／","")&amp;IF(AND(INDEX(職員マスタ!$F$6:$F$405,$AN2684)&lt;&gt;"",$AO2684&lt;&gt;"",INDEX(職員マスタ!$F$6:$F$405,$AN2684)&lt;$AO2684),"対象月に子が2歳到達済／","")&amp;IF(AND($H2684&lt;&gt;"",INDEX(職員マスタ!$B$6:$B$405,$AN2684)&lt;&gt;"",SUBSTITUTE(SUBSTITUTE($H2684," ","")," ","")&lt;&gt;SUBSTITUTE(SUBSTITUTE(INDEX(職員マスタ!$B$6:$B$405,$AN2684)," ","")," ","")),"氏名がマスタと相違／","")&amp;IF(AND($Q2684&lt;&gt;"",INDEX(職員マスタ!$E$6:$E$405,$AN2684)&lt;&gt;"",$Q2684&lt;&gt;INDEX(職員マスタ!$E$6:$E$405,$AN2684)),"子の生年月日がマスタと相違／","")&amp;IF(AND($L2684&lt;&gt;"",INDEX(職員マスタ!$G$6:$G$405,$AN2684)&lt;&gt;"",$L2684&lt;&gt;INDEX(職員マスタ!$G$6:$G$405,$AN2684)),"時短開始日がマスタと相違／","")&amp;IF(AND($M2684&lt;&gt;"",INDEX(職員マスタ!$H$6:$H$405,$AN2684)&lt;&gt;"",$M2684&lt;&gt;INDEX(職員マスタ!$H$6:$H$405,$AN2684)),"時短終了日がマスタと相違／","")))&amp;IF(AND($B2684&lt;&gt;"",$E2684=""),"報酬額が未入力／","")&amp;IF(N($U2684)&gt;0,"申請書に入力エラーが残っています／","")&amp;IF(AND($B2684&lt;&gt;"",$AO2684&lt;&gt;""),IF(COUNTIFS($B$6:$B$3005,$B2684,$C$6:$C$3005,$C2684,$D$6:$D$3005,$D2684)&gt;1,"同じ月の請求が重複しています／",""),"")&amp;IF(AND(N($E2684)&gt;0,$Z2684&lt;&gt;"",$Z2684&lt;&gt;"×",$AC2684=0,$AB2684=""),"計算額が下限以下のため不支給／",""))</f>
        <v/>
      </c>
      <c r="AL2684" s="12" t="n"/>
      <c r="AM2684" s="14">
        <f>IF($AD2684="保留中",COUNTIF($AD$6:$AD2684,"保留中"),"")</f>
        <v/>
      </c>
      <c r="AN2684" s="14">
        <f>IF($AO2684="","",IF(SUMPRODUCT(MAX((職員マスタ!$A$6:$A$405=$B2684)*(((職員マスタ!$G$6:$G$405="")+(職員マスタ!$G$6:$G$405&lt;=EOMONTH($AO2684,0)))&gt;0)*(((職員マスタ!$H$6:$H$405="")+(職員マスタ!$H$6:$H$405&gt;=$AO2684))&gt;0)*(ROW(職員マスタ!$A$6:$A$405)-5)))&gt;0,SUMPRODUCT(MAX((職員マスタ!$A$6:$A$405=$B2684)*(((職員マスタ!$G$6:$G$405="")+(職員マスタ!$G$6:$G$405&lt;=EOMONTH($AO2684,0)))&gt;0)*(((職員マスタ!$H$6:$H$405="")+(職員マスタ!$H$6:$H$405&gt;=$AO2684))&gt;0)*(ROW(職員マスタ!$A$6:$A$405)-5))),IFERROR(MATCH($B2684,職員マスタ!$A$6:$A$405,0),"")))</f>
        <v/>
      </c>
      <c r="AO2684" s="16">
        <f>IF(OR($B2684="",$C2684="",$D2684=""),"",DATE($C2684+2018,$D2684,1))</f>
        <v/>
      </c>
    </row>
    <row r="2685">
      <c r="A2685" s="11" t="n"/>
      <c r="B2685" s="12" t="n"/>
      <c r="C2685" s="12" t="n"/>
      <c r="D2685" s="12" t="n"/>
      <c r="E2685" s="13" t="n"/>
      <c r="F2685" s="12" t="n"/>
      <c r="G2685" s="13" t="n"/>
      <c r="H2685" s="12" t="n"/>
      <c r="I2685" s="12" t="n"/>
      <c r="J2685" s="12" t="n"/>
      <c r="K2685" s="12" t="n"/>
      <c r="L2685" s="11" t="n"/>
      <c r="M2685" s="11" t="n"/>
      <c r="N2685" s="11" t="n"/>
      <c r="O2685" s="11" t="n"/>
      <c r="P2685" s="12" t="n"/>
      <c r="Q2685" s="11" t="n"/>
      <c r="R2685" s="12" t="n"/>
      <c r="S2685" s="11" t="n"/>
      <c r="T2685" s="12" t="n"/>
      <c r="U2685" s="12" t="n"/>
      <c r="V2685" s="14">
        <f>IF($AN2685="",IF($B2685="","",$H2685),IF(INDEX(職員マスタ!$B$6:$B$405,$AN2685)="",$H2685,INDEX(職員マスタ!$B$6:$B$405,$AN2685)))</f>
        <v/>
      </c>
      <c r="W2685" s="14">
        <f>IF($AN2685="",IF($B2685="","",$R2685),IF(INDEX(職員マスタ!$C$6:$C$405,$AN2685)="",$R2685,INDEX(職員マスタ!$C$6:$C$405,$AN2685)))</f>
        <v/>
      </c>
      <c r="X2685" s="14">
        <f>IF($AO2685="","","R"&amp;$C2685&amp;"."&amp;$D2685)</f>
        <v/>
      </c>
      <c r="Y2685" s="15">
        <f>IF($AN2685="","",IF(INDEX(職員マスタ!$K$6:$K$405,$AN2685)="","",INDEX(職員マスタ!$K$6:$K$405,$AN2685)))</f>
        <v/>
      </c>
      <c r="Z2685" s="14">
        <f>IF(OR($E2685="",$Y2685=""),"",IF($E2685&gt;=$Y2685,"×",IF($E2685&gt;=$Y2685*設定!$C$5,"△","○")))</f>
        <v/>
      </c>
      <c r="AA2685" s="15">
        <f>IF($Z2685="","",IF($Z2685="×",0,IF($Z2685="○",ROUNDDOWN($E2685*設定!$C$4,0),ROUNDDOWN($E2685*ROUND((9*$Y2685-9*$E2685)/(10*$E2685),4),0))))</f>
        <v/>
      </c>
      <c r="AB2685" s="13" t="n"/>
      <c r="AC2685" s="15">
        <f>IF($B2685="","",IF($AB2685&lt;&gt;"",$AB2685,IF($AA2685="","",IF($AA2685&lt;=設定!$C$3,0,$AA2685))))</f>
        <v/>
      </c>
      <c r="AD2685" s="14">
        <f>IF($B2685="","",IF(AND($AE2685&lt;&gt;"",$AG2685="",$AJ2685=""),"保留中",IF($AJ2685&lt;&gt;"",IF(N($AC2685)&gt;0,"支給済","不支給"),IF($AC2685="","要確認",IF($AC2685=0,"不支給","未処理")))))</f>
        <v/>
      </c>
      <c r="AE2685" s="12" t="n"/>
      <c r="AF2685" s="11" t="n"/>
      <c r="AG2685" s="11" t="n"/>
      <c r="AH2685" s="11" t="n"/>
      <c r="AI2685" s="14">
        <f>IF(AND($AD2685="保留中",$AF2685&lt;&gt;""),TODAY()-$AF2685,"")</f>
        <v/>
      </c>
      <c r="AJ2685" s="12" t="n"/>
      <c r="AK2685" s="14">
        <f>IF($B2685="","",IF($AO2685="","対象年月が未入力／","")&amp;IF($B2685="","",IF($AN2685="","職員マスタに未登録の職員番号／",IF($Y2685="","標準報酬月額が未登録／","")&amp;IF(AND($AO2685&lt;&gt;"",OR(AND(INDEX(職員マスタ!$G$6:$G$405,$AN2685)&lt;&gt;"",INDEX(職員マスタ!$G$6:$G$405,$AN2685)&gt;EOMONTH($AO2685,0)),AND(INDEX(職員マスタ!$H$6:$H$405,$AN2685)&lt;&gt;"",INDEX(職員マスタ!$H$6:$H$405,$AN2685)&lt;$AO2685))),"対象月が時短期間外／","")&amp;IF(AND(INDEX(職員マスタ!$F$6:$F$405,$AN2685)&lt;&gt;"",$AO2685&lt;&gt;"",INDEX(職員マスタ!$F$6:$F$405,$AN2685)&lt;$AO2685),"対象月に子が2歳到達済／","")&amp;IF(AND($H2685&lt;&gt;"",INDEX(職員マスタ!$B$6:$B$405,$AN2685)&lt;&gt;"",SUBSTITUTE(SUBSTITUTE($H2685," ","")," ","")&lt;&gt;SUBSTITUTE(SUBSTITUTE(INDEX(職員マスタ!$B$6:$B$405,$AN2685)," ","")," ","")),"氏名がマスタと相違／","")&amp;IF(AND($Q2685&lt;&gt;"",INDEX(職員マスタ!$E$6:$E$405,$AN2685)&lt;&gt;"",$Q2685&lt;&gt;INDEX(職員マスタ!$E$6:$E$405,$AN2685)),"子の生年月日がマスタと相違／","")&amp;IF(AND($L2685&lt;&gt;"",INDEX(職員マスタ!$G$6:$G$405,$AN2685)&lt;&gt;"",$L2685&lt;&gt;INDEX(職員マスタ!$G$6:$G$405,$AN2685)),"時短開始日がマスタと相違／","")&amp;IF(AND($M2685&lt;&gt;"",INDEX(職員マスタ!$H$6:$H$405,$AN2685)&lt;&gt;"",$M2685&lt;&gt;INDEX(職員マスタ!$H$6:$H$405,$AN2685)),"時短終了日がマスタと相違／","")))&amp;IF(AND($B2685&lt;&gt;"",$E2685=""),"報酬額が未入力／","")&amp;IF(N($U2685)&gt;0,"申請書に入力エラーが残っています／","")&amp;IF(AND($B2685&lt;&gt;"",$AO2685&lt;&gt;""),IF(COUNTIFS($B$6:$B$3005,$B2685,$C$6:$C$3005,$C2685,$D$6:$D$3005,$D2685)&gt;1,"同じ月の請求が重複しています／",""),"")&amp;IF(AND(N($E2685)&gt;0,$Z2685&lt;&gt;"",$Z2685&lt;&gt;"×",$AC2685=0,$AB2685=""),"計算額が下限以下のため不支給／",""))</f>
        <v/>
      </c>
      <c r="AL2685" s="12" t="n"/>
      <c r="AM2685" s="14">
        <f>IF($AD2685="保留中",COUNTIF($AD$6:$AD2685,"保留中"),"")</f>
        <v/>
      </c>
      <c r="AN2685" s="14">
        <f>IF($AO2685="","",IF(SUMPRODUCT(MAX((職員マスタ!$A$6:$A$405=$B2685)*(((職員マスタ!$G$6:$G$405="")+(職員マスタ!$G$6:$G$405&lt;=EOMONTH($AO2685,0)))&gt;0)*(((職員マスタ!$H$6:$H$405="")+(職員マスタ!$H$6:$H$405&gt;=$AO2685))&gt;0)*(ROW(職員マスタ!$A$6:$A$405)-5)))&gt;0,SUMPRODUCT(MAX((職員マスタ!$A$6:$A$405=$B2685)*(((職員マスタ!$G$6:$G$405="")+(職員マスタ!$G$6:$G$405&lt;=EOMONTH($AO2685,0)))&gt;0)*(((職員マスタ!$H$6:$H$405="")+(職員マスタ!$H$6:$H$405&gt;=$AO2685))&gt;0)*(ROW(職員マスタ!$A$6:$A$405)-5))),IFERROR(MATCH($B2685,職員マスタ!$A$6:$A$405,0),"")))</f>
        <v/>
      </c>
      <c r="AO2685" s="16">
        <f>IF(OR($B2685="",$C2685="",$D2685=""),"",DATE($C2685+2018,$D2685,1))</f>
        <v/>
      </c>
    </row>
    <row r="2686">
      <c r="A2686" s="11" t="n"/>
      <c r="B2686" s="12" t="n"/>
      <c r="C2686" s="12" t="n"/>
      <c r="D2686" s="12" t="n"/>
      <c r="E2686" s="13" t="n"/>
      <c r="F2686" s="12" t="n"/>
      <c r="G2686" s="13" t="n"/>
      <c r="H2686" s="12" t="n"/>
      <c r="I2686" s="12" t="n"/>
      <c r="J2686" s="12" t="n"/>
      <c r="K2686" s="12" t="n"/>
      <c r="L2686" s="11" t="n"/>
      <c r="M2686" s="11" t="n"/>
      <c r="N2686" s="11" t="n"/>
      <c r="O2686" s="11" t="n"/>
      <c r="P2686" s="12" t="n"/>
      <c r="Q2686" s="11" t="n"/>
      <c r="R2686" s="12" t="n"/>
      <c r="S2686" s="11" t="n"/>
      <c r="T2686" s="12" t="n"/>
      <c r="U2686" s="12" t="n"/>
      <c r="V2686" s="14">
        <f>IF($AN2686="",IF($B2686="","",$H2686),IF(INDEX(職員マスタ!$B$6:$B$405,$AN2686)="",$H2686,INDEX(職員マスタ!$B$6:$B$405,$AN2686)))</f>
        <v/>
      </c>
      <c r="W2686" s="14">
        <f>IF($AN2686="",IF($B2686="","",$R2686),IF(INDEX(職員マスタ!$C$6:$C$405,$AN2686)="",$R2686,INDEX(職員マスタ!$C$6:$C$405,$AN2686)))</f>
        <v/>
      </c>
      <c r="X2686" s="14">
        <f>IF($AO2686="","","R"&amp;$C2686&amp;"."&amp;$D2686)</f>
        <v/>
      </c>
      <c r="Y2686" s="15">
        <f>IF($AN2686="","",IF(INDEX(職員マスタ!$K$6:$K$405,$AN2686)="","",INDEX(職員マスタ!$K$6:$K$405,$AN2686)))</f>
        <v/>
      </c>
      <c r="Z2686" s="14">
        <f>IF(OR($E2686="",$Y2686=""),"",IF($E2686&gt;=$Y2686,"×",IF($E2686&gt;=$Y2686*設定!$C$5,"△","○")))</f>
        <v/>
      </c>
      <c r="AA2686" s="15">
        <f>IF($Z2686="","",IF($Z2686="×",0,IF($Z2686="○",ROUNDDOWN($E2686*設定!$C$4,0),ROUNDDOWN($E2686*ROUND((9*$Y2686-9*$E2686)/(10*$E2686),4),0))))</f>
        <v/>
      </c>
      <c r="AB2686" s="13" t="n"/>
      <c r="AC2686" s="15">
        <f>IF($B2686="","",IF($AB2686&lt;&gt;"",$AB2686,IF($AA2686="","",IF($AA2686&lt;=設定!$C$3,0,$AA2686))))</f>
        <v/>
      </c>
      <c r="AD2686" s="14">
        <f>IF($B2686="","",IF(AND($AE2686&lt;&gt;"",$AG2686="",$AJ2686=""),"保留中",IF($AJ2686&lt;&gt;"",IF(N($AC2686)&gt;0,"支給済","不支給"),IF($AC2686="","要確認",IF($AC2686=0,"不支給","未処理")))))</f>
        <v/>
      </c>
      <c r="AE2686" s="12" t="n"/>
      <c r="AF2686" s="11" t="n"/>
      <c r="AG2686" s="11" t="n"/>
      <c r="AH2686" s="11" t="n"/>
      <c r="AI2686" s="14">
        <f>IF(AND($AD2686="保留中",$AF2686&lt;&gt;""),TODAY()-$AF2686,"")</f>
        <v/>
      </c>
      <c r="AJ2686" s="12" t="n"/>
      <c r="AK2686" s="14">
        <f>IF($B2686="","",IF($AO2686="","対象年月が未入力／","")&amp;IF($B2686="","",IF($AN2686="","職員マスタに未登録の職員番号／",IF($Y2686="","標準報酬月額が未登録／","")&amp;IF(AND($AO2686&lt;&gt;"",OR(AND(INDEX(職員マスタ!$G$6:$G$405,$AN2686)&lt;&gt;"",INDEX(職員マスタ!$G$6:$G$405,$AN2686)&gt;EOMONTH($AO2686,0)),AND(INDEX(職員マスタ!$H$6:$H$405,$AN2686)&lt;&gt;"",INDEX(職員マスタ!$H$6:$H$405,$AN2686)&lt;$AO2686))),"対象月が時短期間外／","")&amp;IF(AND(INDEX(職員マスタ!$F$6:$F$405,$AN2686)&lt;&gt;"",$AO2686&lt;&gt;"",INDEX(職員マスタ!$F$6:$F$405,$AN2686)&lt;$AO2686),"対象月に子が2歳到達済／","")&amp;IF(AND($H2686&lt;&gt;"",INDEX(職員マスタ!$B$6:$B$405,$AN2686)&lt;&gt;"",SUBSTITUTE(SUBSTITUTE($H2686," ","")," ","")&lt;&gt;SUBSTITUTE(SUBSTITUTE(INDEX(職員マスタ!$B$6:$B$405,$AN2686)," ","")," ","")),"氏名がマスタと相違／","")&amp;IF(AND($Q2686&lt;&gt;"",INDEX(職員マスタ!$E$6:$E$405,$AN2686)&lt;&gt;"",$Q2686&lt;&gt;INDEX(職員マスタ!$E$6:$E$405,$AN2686)),"子の生年月日がマスタと相違／","")&amp;IF(AND($L2686&lt;&gt;"",INDEX(職員マスタ!$G$6:$G$405,$AN2686)&lt;&gt;"",$L2686&lt;&gt;INDEX(職員マスタ!$G$6:$G$405,$AN2686)),"時短開始日がマスタと相違／","")&amp;IF(AND($M2686&lt;&gt;"",INDEX(職員マスタ!$H$6:$H$405,$AN2686)&lt;&gt;"",$M2686&lt;&gt;INDEX(職員マスタ!$H$6:$H$405,$AN2686)),"時短終了日がマスタと相違／","")))&amp;IF(AND($B2686&lt;&gt;"",$E2686=""),"報酬額が未入力／","")&amp;IF(N($U2686)&gt;0,"申請書に入力エラーが残っています／","")&amp;IF(AND($B2686&lt;&gt;"",$AO2686&lt;&gt;""),IF(COUNTIFS($B$6:$B$3005,$B2686,$C$6:$C$3005,$C2686,$D$6:$D$3005,$D2686)&gt;1,"同じ月の請求が重複しています／",""),"")&amp;IF(AND(N($E2686)&gt;0,$Z2686&lt;&gt;"",$Z2686&lt;&gt;"×",$AC2686=0,$AB2686=""),"計算額が下限以下のため不支給／",""))</f>
        <v/>
      </c>
      <c r="AL2686" s="12" t="n"/>
      <c r="AM2686" s="14">
        <f>IF($AD2686="保留中",COUNTIF($AD$6:$AD2686,"保留中"),"")</f>
        <v/>
      </c>
      <c r="AN2686" s="14">
        <f>IF($AO2686="","",IF(SUMPRODUCT(MAX((職員マスタ!$A$6:$A$405=$B2686)*(((職員マスタ!$G$6:$G$405="")+(職員マスタ!$G$6:$G$405&lt;=EOMONTH($AO2686,0)))&gt;0)*(((職員マスタ!$H$6:$H$405="")+(職員マスタ!$H$6:$H$405&gt;=$AO2686))&gt;0)*(ROW(職員マスタ!$A$6:$A$405)-5)))&gt;0,SUMPRODUCT(MAX((職員マスタ!$A$6:$A$405=$B2686)*(((職員マスタ!$G$6:$G$405="")+(職員マスタ!$G$6:$G$405&lt;=EOMONTH($AO2686,0)))&gt;0)*(((職員マスタ!$H$6:$H$405="")+(職員マスタ!$H$6:$H$405&gt;=$AO2686))&gt;0)*(ROW(職員マスタ!$A$6:$A$405)-5))),IFERROR(MATCH($B2686,職員マスタ!$A$6:$A$405,0),"")))</f>
        <v/>
      </c>
      <c r="AO2686" s="16">
        <f>IF(OR($B2686="",$C2686="",$D2686=""),"",DATE($C2686+2018,$D2686,1))</f>
        <v/>
      </c>
    </row>
    <row r="2687">
      <c r="A2687" s="11" t="n"/>
      <c r="B2687" s="12" t="n"/>
      <c r="C2687" s="12" t="n"/>
      <c r="D2687" s="12" t="n"/>
      <c r="E2687" s="13" t="n"/>
      <c r="F2687" s="12" t="n"/>
      <c r="G2687" s="13" t="n"/>
      <c r="H2687" s="12" t="n"/>
      <c r="I2687" s="12" t="n"/>
      <c r="J2687" s="12" t="n"/>
      <c r="K2687" s="12" t="n"/>
      <c r="L2687" s="11" t="n"/>
      <c r="M2687" s="11" t="n"/>
      <c r="N2687" s="11" t="n"/>
      <c r="O2687" s="11" t="n"/>
      <c r="P2687" s="12" t="n"/>
      <c r="Q2687" s="11" t="n"/>
      <c r="R2687" s="12" t="n"/>
      <c r="S2687" s="11" t="n"/>
      <c r="T2687" s="12" t="n"/>
      <c r="U2687" s="12" t="n"/>
      <c r="V2687" s="14">
        <f>IF($AN2687="",IF($B2687="","",$H2687),IF(INDEX(職員マスタ!$B$6:$B$405,$AN2687)="",$H2687,INDEX(職員マスタ!$B$6:$B$405,$AN2687)))</f>
        <v/>
      </c>
      <c r="W2687" s="14">
        <f>IF($AN2687="",IF($B2687="","",$R2687),IF(INDEX(職員マスタ!$C$6:$C$405,$AN2687)="",$R2687,INDEX(職員マスタ!$C$6:$C$405,$AN2687)))</f>
        <v/>
      </c>
      <c r="X2687" s="14">
        <f>IF($AO2687="","","R"&amp;$C2687&amp;"."&amp;$D2687)</f>
        <v/>
      </c>
      <c r="Y2687" s="15">
        <f>IF($AN2687="","",IF(INDEX(職員マスタ!$K$6:$K$405,$AN2687)="","",INDEX(職員マスタ!$K$6:$K$405,$AN2687)))</f>
        <v/>
      </c>
      <c r="Z2687" s="14">
        <f>IF(OR($E2687="",$Y2687=""),"",IF($E2687&gt;=$Y2687,"×",IF($E2687&gt;=$Y2687*設定!$C$5,"△","○")))</f>
        <v/>
      </c>
      <c r="AA2687" s="15">
        <f>IF($Z2687="","",IF($Z2687="×",0,IF($Z2687="○",ROUNDDOWN($E2687*設定!$C$4,0),ROUNDDOWN($E2687*ROUND((9*$Y2687-9*$E2687)/(10*$E2687),4),0))))</f>
        <v/>
      </c>
      <c r="AB2687" s="13" t="n"/>
      <c r="AC2687" s="15">
        <f>IF($B2687="","",IF($AB2687&lt;&gt;"",$AB2687,IF($AA2687="","",IF($AA2687&lt;=設定!$C$3,0,$AA2687))))</f>
        <v/>
      </c>
      <c r="AD2687" s="14">
        <f>IF($B2687="","",IF(AND($AE2687&lt;&gt;"",$AG2687="",$AJ2687=""),"保留中",IF($AJ2687&lt;&gt;"",IF(N($AC2687)&gt;0,"支給済","不支給"),IF($AC2687="","要確認",IF($AC2687=0,"不支給","未処理")))))</f>
        <v/>
      </c>
      <c r="AE2687" s="12" t="n"/>
      <c r="AF2687" s="11" t="n"/>
      <c r="AG2687" s="11" t="n"/>
      <c r="AH2687" s="11" t="n"/>
      <c r="AI2687" s="14">
        <f>IF(AND($AD2687="保留中",$AF2687&lt;&gt;""),TODAY()-$AF2687,"")</f>
        <v/>
      </c>
      <c r="AJ2687" s="12" t="n"/>
      <c r="AK2687" s="14">
        <f>IF($B2687="","",IF($AO2687="","対象年月が未入力／","")&amp;IF($B2687="","",IF($AN2687="","職員マスタに未登録の職員番号／",IF($Y2687="","標準報酬月額が未登録／","")&amp;IF(AND($AO2687&lt;&gt;"",OR(AND(INDEX(職員マスタ!$G$6:$G$405,$AN2687)&lt;&gt;"",INDEX(職員マスタ!$G$6:$G$405,$AN2687)&gt;EOMONTH($AO2687,0)),AND(INDEX(職員マスタ!$H$6:$H$405,$AN2687)&lt;&gt;"",INDEX(職員マスタ!$H$6:$H$405,$AN2687)&lt;$AO2687))),"対象月が時短期間外／","")&amp;IF(AND(INDEX(職員マスタ!$F$6:$F$405,$AN2687)&lt;&gt;"",$AO2687&lt;&gt;"",INDEX(職員マスタ!$F$6:$F$405,$AN2687)&lt;$AO2687),"対象月に子が2歳到達済／","")&amp;IF(AND($H2687&lt;&gt;"",INDEX(職員マスタ!$B$6:$B$405,$AN2687)&lt;&gt;"",SUBSTITUTE(SUBSTITUTE($H2687," ","")," ","")&lt;&gt;SUBSTITUTE(SUBSTITUTE(INDEX(職員マスタ!$B$6:$B$405,$AN2687)," ","")," ","")),"氏名がマスタと相違／","")&amp;IF(AND($Q2687&lt;&gt;"",INDEX(職員マスタ!$E$6:$E$405,$AN2687)&lt;&gt;"",$Q2687&lt;&gt;INDEX(職員マスタ!$E$6:$E$405,$AN2687)),"子の生年月日がマスタと相違／","")&amp;IF(AND($L2687&lt;&gt;"",INDEX(職員マスタ!$G$6:$G$405,$AN2687)&lt;&gt;"",$L2687&lt;&gt;INDEX(職員マスタ!$G$6:$G$405,$AN2687)),"時短開始日がマスタと相違／","")&amp;IF(AND($M2687&lt;&gt;"",INDEX(職員マスタ!$H$6:$H$405,$AN2687)&lt;&gt;"",$M2687&lt;&gt;INDEX(職員マスタ!$H$6:$H$405,$AN2687)),"時短終了日がマスタと相違／","")))&amp;IF(AND($B2687&lt;&gt;"",$E2687=""),"報酬額が未入力／","")&amp;IF(N($U2687)&gt;0,"申請書に入力エラーが残っています／","")&amp;IF(AND($B2687&lt;&gt;"",$AO2687&lt;&gt;""),IF(COUNTIFS($B$6:$B$3005,$B2687,$C$6:$C$3005,$C2687,$D$6:$D$3005,$D2687)&gt;1,"同じ月の請求が重複しています／",""),"")&amp;IF(AND(N($E2687)&gt;0,$Z2687&lt;&gt;"",$Z2687&lt;&gt;"×",$AC2687=0,$AB2687=""),"計算額が下限以下のため不支給／",""))</f>
        <v/>
      </c>
      <c r="AL2687" s="12" t="n"/>
      <c r="AM2687" s="14">
        <f>IF($AD2687="保留中",COUNTIF($AD$6:$AD2687,"保留中"),"")</f>
        <v/>
      </c>
      <c r="AN2687" s="14">
        <f>IF($AO2687="","",IF(SUMPRODUCT(MAX((職員マスタ!$A$6:$A$405=$B2687)*(((職員マスタ!$G$6:$G$405="")+(職員マスタ!$G$6:$G$405&lt;=EOMONTH($AO2687,0)))&gt;0)*(((職員マスタ!$H$6:$H$405="")+(職員マスタ!$H$6:$H$405&gt;=$AO2687))&gt;0)*(ROW(職員マスタ!$A$6:$A$405)-5)))&gt;0,SUMPRODUCT(MAX((職員マスタ!$A$6:$A$405=$B2687)*(((職員マスタ!$G$6:$G$405="")+(職員マスタ!$G$6:$G$405&lt;=EOMONTH($AO2687,0)))&gt;0)*(((職員マスタ!$H$6:$H$405="")+(職員マスタ!$H$6:$H$405&gt;=$AO2687))&gt;0)*(ROW(職員マスタ!$A$6:$A$405)-5))),IFERROR(MATCH($B2687,職員マスタ!$A$6:$A$405,0),"")))</f>
        <v/>
      </c>
      <c r="AO2687" s="16">
        <f>IF(OR($B2687="",$C2687="",$D2687=""),"",DATE($C2687+2018,$D2687,1))</f>
        <v/>
      </c>
    </row>
    <row r="2688">
      <c r="A2688" s="11" t="n"/>
      <c r="B2688" s="12" t="n"/>
      <c r="C2688" s="12" t="n"/>
      <c r="D2688" s="12" t="n"/>
      <c r="E2688" s="13" t="n"/>
      <c r="F2688" s="12" t="n"/>
      <c r="G2688" s="13" t="n"/>
      <c r="H2688" s="12" t="n"/>
      <c r="I2688" s="12" t="n"/>
      <c r="J2688" s="12" t="n"/>
      <c r="K2688" s="12" t="n"/>
      <c r="L2688" s="11" t="n"/>
      <c r="M2688" s="11" t="n"/>
      <c r="N2688" s="11" t="n"/>
      <c r="O2688" s="11" t="n"/>
      <c r="P2688" s="12" t="n"/>
      <c r="Q2688" s="11" t="n"/>
      <c r="R2688" s="12" t="n"/>
      <c r="S2688" s="11" t="n"/>
      <c r="T2688" s="12" t="n"/>
      <c r="U2688" s="12" t="n"/>
      <c r="V2688" s="14">
        <f>IF($AN2688="",IF($B2688="","",$H2688),IF(INDEX(職員マスタ!$B$6:$B$405,$AN2688)="",$H2688,INDEX(職員マスタ!$B$6:$B$405,$AN2688)))</f>
        <v/>
      </c>
      <c r="W2688" s="14">
        <f>IF($AN2688="",IF($B2688="","",$R2688),IF(INDEX(職員マスタ!$C$6:$C$405,$AN2688)="",$R2688,INDEX(職員マスタ!$C$6:$C$405,$AN2688)))</f>
        <v/>
      </c>
      <c r="X2688" s="14">
        <f>IF($AO2688="","","R"&amp;$C2688&amp;"."&amp;$D2688)</f>
        <v/>
      </c>
      <c r="Y2688" s="15">
        <f>IF($AN2688="","",IF(INDEX(職員マスタ!$K$6:$K$405,$AN2688)="","",INDEX(職員マスタ!$K$6:$K$405,$AN2688)))</f>
        <v/>
      </c>
      <c r="Z2688" s="14">
        <f>IF(OR($E2688="",$Y2688=""),"",IF($E2688&gt;=$Y2688,"×",IF($E2688&gt;=$Y2688*設定!$C$5,"△","○")))</f>
        <v/>
      </c>
      <c r="AA2688" s="15">
        <f>IF($Z2688="","",IF($Z2688="×",0,IF($Z2688="○",ROUNDDOWN($E2688*設定!$C$4,0),ROUNDDOWN($E2688*ROUND((9*$Y2688-9*$E2688)/(10*$E2688),4),0))))</f>
        <v/>
      </c>
      <c r="AB2688" s="13" t="n"/>
      <c r="AC2688" s="15">
        <f>IF($B2688="","",IF($AB2688&lt;&gt;"",$AB2688,IF($AA2688="","",IF($AA2688&lt;=設定!$C$3,0,$AA2688))))</f>
        <v/>
      </c>
      <c r="AD2688" s="14">
        <f>IF($B2688="","",IF(AND($AE2688&lt;&gt;"",$AG2688="",$AJ2688=""),"保留中",IF($AJ2688&lt;&gt;"",IF(N($AC2688)&gt;0,"支給済","不支給"),IF($AC2688="","要確認",IF($AC2688=0,"不支給","未処理")))))</f>
        <v/>
      </c>
      <c r="AE2688" s="12" t="n"/>
      <c r="AF2688" s="11" t="n"/>
      <c r="AG2688" s="11" t="n"/>
      <c r="AH2688" s="11" t="n"/>
      <c r="AI2688" s="14">
        <f>IF(AND($AD2688="保留中",$AF2688&lt;&gt;""),TODAY()-$AF2688,"")</f>
        <v/>
      </c>
      <c r="AJ2688" s="12" t="n"/>
      <c r="AK2688" s="14">
        <f>IF($B2688="","",IF($AO2688="","対象年月が未入力／","")&amp;IF($B2688="","",IF($AN2688="","職員マスタに未登録の職員番号／",IF($Y2688="","標準報酬月額が未登録／","")&amp;IF(AND($AO2688&lt;&gt;"",OR(AND(INDEX(職員マスタ!$G$6:$G$405,$AN2688)&lt;&gt;"",INDEX(職員マスタ!$G$6:$G$405,$AN2688)&gt;EOMONTH($AO2688,0)),AND(INDEX(職員マスタ!$H$6:$H$405,$AN2688)&lt;&gt;"",INDEX(職員マスタ!$H$6:$H$405,$AN2688)&lt;$AO2688))),"対象月が時短期間外／","")&amp;IF(AND(INDEX(職員マスタ!$F$6:$F$405,$AN2688)&lt;&gt;"",$AO2688&lt;&gt;"",INDEX(職員マスタ!$F$6:$F$405,$AN2688)&lt;$AO2688),"対象月に子が2歳到達済／","")&amp;IF(AND($H2688&lt;&gt;"",INDEX(職員マスタ!$B$6:$B$405,$AN2688)&lt;&gt;"",SUBSTITUTE(SUBSTITUTE($H2688," ","")," ","")&lt;&gt;SUBSTITUTE(SUBSTITUTE(INDEX(職員マスタ!$B$6:$B$405,$AN2688)," ","")," ","")),"氏名がマスタと相違／","")&amp;IF(AND($Q2688&lt;&gt;"",INDEX(職員マスタ!$E$6:$E$405,$AN2688)&lt;&gt;"",$Q2688&lt;&gt;INDEX(職員マスタ!$E$6:$E$405,$AN2688)),"子の生年月日がマスタと相違／","")&amp;IF(AND($L2688&lt;&gt;"",INDEX(職員マスタ!$G$6:$G$405,$AN2688)&lt;&gt;"",$L2688&lt;&gt;INDEX(職員マスタ!$G$6:$G$405,$AN2688)),"時短開始日がマスタと相違／","")&amp;IF(AND($M2688&lt;&gt;"",INDEX(職員マスタ!$H$6:$H$405,$AN2688)&lt;&gt;"",$M2688&lt;&gt;INDEX(職員マスタ!$H$6:$H$405,$AN2688)),"時短終了日がマスタと相違／","")))&amp;IF(AND($B2688&lt;&gt;"",$E2688=""),"報酬額が未入力／","")&amp;IF(N($U2688)&gt;0,"申請書に入力エラーが残っています／","")&amp;IF(AND($B2688&lt;&gt;"",$AO2688&lt;&gt;""),IF(COUNTIFS($B$6:$B$3005,$B2688,$C$6:$C$3005,$C2688,$D$6:$D$3005,$D2688)&gt;1,"同じ月の請求が重複しています／",""),"")&amp;IF(AND(N($E2688)&gt;0,$Z2688&lt;&gt;"",$Z2688&lt;&gt;"×",$AC2688=0,$AB2688=""),"計算額が下限以下のため不支給／",""))</f>
        <v/>
      </c>
      <c r="AL2688" s="12" t="n"/>
      <c r="AM2688" s="14">
        <f>IF($AD2688="保留中",COUNTIF($AD$6:$AD2688,"保留中"),"")</f>
        <v/>
      </c>
      <c r="AN2688" s="14">
        <f>IF($AO2688="","",IF(SUMPRODUCT(MAX((職員マスタ!$A$6:$A$405=$B2688)*(((職員マスタ!$G$6:$G$405="")+(職員マスタ!$G$6:$G$405&lt;=EOMONTH($AO2688,0)))&gt;0)*(((職員マスタ!$H$6:$H$405="")+(職員マスタ!$H$6:$H$405&gt;=$AO2688))&gt;0)*(ROW(職員マスタ!$A$6:$A$405)-5)))&gt;0,SUMPRODUCT(MAX((職員マスタ!$A$6:$A$405=$B2688)*(((職員マスタ!$G$6:$G$405="")+(職員マスタ!$G$6:$G$405&lt;=EOMONTH($AO2688,0)))&gt;0)*(((職員マスタ!$H$6:$H$405="")+(職員マスタ!$H$6:$H$405&gt;=$AO2688))&gt;0)*(ROW(職員マスタ!$A$6:$A$405)-5))),IFERROR(MATCH($B2688,職員マスタ!$A$6:$A$405,0),"")))</f>
        <v/>
      </c>
      <c r="AO2688" s="16">
        <f>IF(OR($B2688="",$C2688="",$D2688=""),"",DATE($C2688+2018,$D2688,1))</f>
        <v/>
      </c>
    </row>
    <row r="2689">
      <c r="A2689" s="11" t="n"/>
      <c r="B2689" s="12" t="n"/>
      <c r="C2689" s="12" t="n"/>
      <c r="D2689" s="12" t="n"/>
      <c r="E2689" s="13" t="n"/>
      <c r="F2689" s="12" t="n"/>
      <c r="G2689" s="13" t="n"/>
      <c r="H2689" s="12" t="n"/>
      <c r="I2689" s="12" t="n"/>
      <c r="J2689" s="12" t="n"/>
      <c r="K2689" s="12" t="n"/>
      <c r="L2689" s="11" t="n"/>
      <c r="M2689" s="11" t="n"/>
      <c r="N2689" s="11" t="n"/>
      <c r="O2689" s="11" t="n"/>
      <c r="P2689" s="12" t="n"/>
      <c r="Q2689" s="11" t="n"/>
      <c r="R2689" s="12" t="n"/>
      <c r="S2689" s="11" t="n"/>
      <c r="T2689" s="12" t="n"/>
      <c r="U2689" s="12" t="n"/>
      <c r="V2689" s="14">
        <f>IF($AN2689="",IF($B2689="","",$H2689),IF(INDEX(職員マスタ!$B$6:$B$405,$AN2689)="",$H2689,INDEX(職員マスタ!$B$6:$B$405,$AN2689)))</f>
        <v/>
      </c>
      <c r="W2689" s="14">
        <f>IF($AN2689="",IF($B2689="","",$R2689),IF(INDEX(職員マスタ!$C$6:$C$405,$AN2689)="",$R2689,INDEX(職員マスタ!$C$6:$C$405,$AN2689)))</f>
        <v/>
      </c>
      <c r="X2689" s="14">
        <f>IF($AO2689="","","R"&amp;$C2689&amp;"."&amp;$D2689)</f>
        <v/>
      </c>
      <c r="Y2689" s="15">
        <f>IF($AN2689="","",IF(INDEX(職員マスタ!$K$6:$K$405,$AN2689)="","",INDEX(職員マスタ!$K$6:$K$405,$AN2689)))</f>
        <v/>
      </c>
      <c r="Z2689" s="14">
        <f>IF(OR($E2689="",$Y2689=""),"",IF($E2689&gt;=$Y2689,"×",IF($E2689&gt;=$Y2689*設定!$C$5,"△","○")))</f>
        <v/>
      </c>
      <c r="AA2689" s="15">
        <f>IF($Z2689="","",IF($Z2689="×",0,IF($Z2689="○",ROUNDDOWN($E2689*設定!$C$4,0),ROUNDDOWN($E2689*ROUND((9*$Y2689-9*$E2689)/(10*$E2689),4),0))))</f>
        <v/>
      </c>
      <c r="AB2689" s="13" t="n"/>
      <c r="AC2689" s="15">
        <f>IF($B2689="","",IF($AB2689&lt;&gt;"",$AB2689,IF($AA2689="","",IF($AA2689&lt;=設定!$C$3,0,$AA2689))))</f>
        <v/>
      </c>
      <c r="AD2689" s="14">
        <f>IF($B2689="","",IF(AND($AE2689&lt;&gt;"",$AG2689="",$AJ2689=""),"保留中",IF($AJ2689&lt;&gt;"",IF(N($AC2689)&gt;0,"支給済","不支給"),IF($AC2689="","要確認",IF($AC2689=0,"不支給","未処理")))))</f>
        <v/>
      </c>
      <c r="AE2689" s="12" t="n"/>
      <c r="AF2689" s="11" t="n"/>
      <c r="AG2689" s="11" t="n"/>
      <c r="AH2689" s="11" t="n"/>
      <c r="AI2689" s="14">
        <f>IF(AND($AD2689="保留中",$AF2689&lt;&gt;""),TODAY()-$AF2689,"")</f>
        <v/>
      </c>
      <c r="AJ2689" s="12" t="n"/>
      <c r="AK2689" s="14">
        <f>IF($B2689="","",IF($AO2689="","対象年月が未入力／","")&amp;IF($B2689="","",IF($AN2689="","職員マスタに未登録の職員番号／",IF($Y2689="","標準報酬月額が未登録／","")&amp;IF(AND($AO2689&lt;&gt;"",OR(AND(INDEX(職員マスタ!$G$6:$G$405,$AN2689)&lt;&gt;"",INDEX(職員マスタ!$G$6:$G$405,$AN2689)&gt;EOMONTH($AO2689,0)),AND(INDEX(職員マスタ!$H$6:$H$405,$AN2689)&lt;&gt;"",INDEX(職員マスタ!$H$6:$H$405,$AN2689)&lt;$AO2689))),"対象月が時短期間外／","")&amp;IF(AND(INDEX(職員マスタ!$F$6:$F$405,$AN2689)&lt;&gt;"",$AO2689&lt;&gt;"",INDEX(職員マスタ!$F$6:$F$405,$AN2689)&lt;$AO2689),"対象月に子が2歳到達済／","")&amp;IF(AND($H2689&lt;&gt;"",INDEX(職員マスタ!$B$6:$B$405,$AN2689)&lt;&gt;"",SUBSTITUTE(SUBSTITUTE($H2689," ","")," ","")&lt;&gt;SUBSTITUTE(SUBSTITUTE(INDEX(職員マスタ!$B$6:$B$405,$AN2689)," ","")," ","")),"氏名がマスタと相違／","")&amp;IF(AND($Q2689&lt;&gt;"",INDEX(職員マスタ!$E$6:$E$405,$AN2689)&lt;&gt;"",$Q2689&lt;&gt;INDEX(職員マスタ!$E$6:$E$405,$AN2689)),"子の生年月日がマスタと相違／","")&amp;IF(AND($L2689&lt;&gt;"",INDEX(職員マスタ!$G$6:$G$405,$AN2689)&lt;&gt;"",$L2689&lt;&gt;INDEX(職員マスタ!$G$6:$G$405,$AN2689)),"時短開始日がマスタと相違／","")&amp;IF(AND($M2689&lt;&gt;"",INDEX(職員マスタ!$H$6:$H$405,$AN2689)&lt;&gt;"",$M2689&lt;&gt;INDEX(職員マスタ!$H$6:$H$405,$AN2689)),"時短終了日がマスタと相違／","")))&amp;IF(AND($B2689&lt;&gt;"",$E2689=""),"報酬額が未入力／","")&amp;IF(N($U2689)&gt;0,"申請書に入力エラーが残っています／","")&amp;IF(AND($B2689&lt;&gt;"",$AO2689&lt;&gt;""),IF(COUNTIFS($B$6:$B$3005,$B2689,$C$6:$C$3005,$C2689,$D$6:$D$3005,$D2689)&gt;1,"同じ月の請求が重複しています／",""),"")&amp;IF(AND(N($E2689)&gt;0,$Z2689&lt;&gt;"",$Z2689&lt;&gt;"×",$AC2689=0,$AB2689=""),"計算額が下限以下のため不支給／",""))</f>
        <v/>
      </c>
      <c r="AL2689" s="12" t="n"/>
      <c r="AM2689" s="14">
        <f>IF($AD2689="保留中",COUNTIF($AD$6:$AD2689,"保留中"),"")</f>
        <v/>
      </c>
      <c r="AN2689" s="14">
        <f>IF($AO2689="","",IF(SUMPRODUCT(MAX((職員マスタ!$A$6:$A$405=$B2689)*(((職員マスタ!$G$6:$G$405="")+(職員マスタ!$G$6:$G$405&lt;=EOMONTH($AO2689,0)))&gt;0)*(((職員マスタ!$H$6:$H$405="")+(職員マスタ!$H$6:$H$405&gt;=$AO2689))&gt;0)*(ROW(職員マスタ!$A$6:$A$405)-5)))&gt;0,SUMPRODUCT(MAX((職員マスタ!$A$6:$A$405=$B2689)*(((職員マスタ!$G$6:$G$405="")+(職員マスタ!$G$6:$G$405&lt;=EOMONTH($AO2689,0)))&gt;0)*(((職員マスタ!$H$6:$H$405="")+(職員マスタ!$H$6:$H$405&gt;=$AO2689))&gt;0)*(ROW(職員マスタ!$A$6:$A$405)-5))),IFERROR(MATCH($B2689,職員マスタ!$A$6:$A$405,0),"")))</f>
        <v/>
      </c>
      <c r="AO2689" s="16">
        <f>IF(OR($B2689="",$C2689="",$D2689=""),"",DATE($C2689+2018,$D2689,1))</f>
        <v/>
      </c>
    </row>
    <row r="2690">
      <c r="A2690" s="11" t="n"/>
      <c r="B2690" s="12" t="n"/>
      <c r="C2690" s="12" t="n"/>
      <c r="D2690" s="12" t="n"/>
      <c r="E2690" s="13" t="n"/>
      <c r="F2690" s="12" t="n"/>
      <c r="G2690" s="13" t="n"/>
      <c r="H2690" s="12" t="n"/>
      <c r="I2690" s="12" t="n"/>
      <c r="J2690" s="12" t="n"/>
      <c r="K2690" s="12" t="n"/>
      <c r="L2690" s="11" t="n"/>
      <c r="M2690" s="11" t="n"/>
      <c r="N2690" s="11" t="n"/>
      <c r="O2690" s="11" t="n"/>
      <c r="P2690" s="12" t="n"/>
      <c r="Q2690" s="11" t="n"/>
      <c r="R2690" s="12" t="n"/>
      <c r="S2690" s="11" t="n"/>
      <c r="T2690" s="12" t="n"/>
      <c r="U2690" s="12" t="n"/>
      <c r="V2690" s="14">
        <f>IF($AN2690="",IF($B2690="","",$H2690),IF(INDEX(職員マスタ!$B$6:$B$405,$AN2690)="",$H2690,INDEX(職員マスタ!$B$6:$B$405,$AN2690)))</f>
        <v/>
      </c>
      <c r="W2690" s="14">
        <f>IF($AN2690="",IF($B2690="","",$R2690),IF(INDEX(職員マスタ!$C$6:$C$405,$AN2690)="",$R2690,INDEX(職員マスタ!$C$6:$C$405,$AN2690)))</f>
        <v/>
      </c>
      <c r="X2690" s="14">
        <f>IF($AO2690="","","R"&amp;$C2690&amp;"."&amp;$D2690)</f>
        <v/>
      </c>
      <c r="Y2690" s="15">
        <f>IF($AN2690="","",IF(INDEX(職員マスタ!$K$6:$K$405,$AN2690)="","",INDEX(職員マスタ!$K$6:$K$405,$AN2690)))</f>
        <v/>
      </c>
      <c r="Z2690" s="14">
        <f>IF(OR($E2690="",$Y2690=""),"",IF($E2690&gt;=$Y2690,"×",IF($E2690&gt;=$Y2690*設定!$C$5,"△","○")))</f>
        <v/>
      </c>
      <c r="AA2690" s="15">
        <f>IF($Z2690="","",IF($Z2690="×",0,IF($Z2690="○",ROUNDDOWN($E2690*設定!$C$4,0),ROUNDDOWN($E2690*ROUND((9*$Y2690-9*$E2690)/(10*$E2690),4),0))))</f>
        <v/>
      </c>
      <c r="AB2690" s="13" t="n"/>
      <c r="AC2690" s="15">
        <f>IF($B2690="","",IF($AB2690&lt;&gt;"",$AB2690,IF($AA2690="","",IF($AA2690&lt;=設定!$C$3,0,$AA2690))))</f>
        <v/>
      </c>
      <c r="AD2690" s="14">
        <f>IF($B2690="","",IF(AND($AE2690&lt;&gt;"",$AG2690="",$AJ2690=""),"保留中",IF($AJ2690&lt;&gt;"",IF(N($AC2690)&gt;0,"支給済","不支給"),IF($AC2690="","要確認",IF($AC2690=0,"不支給","未処理")))))</f>
        <v/>
      </c>
      <c r="AE2690" s="12" t="n"/>
      <c r="AF2690" s="11" t="n"/>
      <c r="AG2690" s="11" t="n"/>
      <c r="AH2690" s="11" t="n"/>
      <c r="AI2690" s="14">
        <f>IF(AND($AD2690="保留中",$AF2690&lt;&gt;""),TODAY()-$AF2690,"")</f>
        <v/>
      </c>
      <c r="AJ2690" s="12" t="n"/>
      <c r="AK2690" s="14">
        <f>IF($B2690="","",IF($AO2690="","対象年月が未入力／","")&amp;IF($B2690="","",IF($AN2690="","職員マスタに未登録の職員番号／",IF($Y2690="","標準報酬月額が未登録／","")&amp;IF(AND($AO2690&lt;&gt;"",OR(AND(INDEX(職員マスタ!$G$6:$G$405,$AN2690)&lt;&gt;"",INDEX(職員マスタ!$G$6:$G$405,$AN2690)&gt;EOMONTH($AO2690,0)),AND(INDEX(職員マスタ!$H$6:$H$405,$AN2690)&lt;&gt;"",INDEX(職員マスタ!$H$6:$H$405,$AN2690)&lt;$AO2690))),"対象月が時短期間外／","")&amp;IF(AND(INDEX(職員マスタ!$F$6:$F$405,$AN2690)&lt;&gt;"",$AO2690&lt;&gt;"",INDEX(職員マスタ!$F$6:$F$405,$AN2690)&lt;$AO2690),"対象月に子が2歳到達済／","")&amp;IF(AND($H2690&lt;&gt;"",INDEX(職員マスタ!$B$6:$B$405,$AN2690)&lt;&gt;"",SUBSTITUTE(SUBSTITUTE($H2690," ","")," ","")&lt;&gt;SUBSTITUTE(SUBSTITUTE(INDEX(職員マスタ!$B$6:$B$405,$AN2690)," ","")," ","")),"氏名がマスタと相違／","")&amp;IF(AND($Q2690&lt;&gt;"",INDEX(職員マスタ!$E$6:$E$405,$AN2690)&lt;&gt;"",$Q2690&lt;&gt;INDEX(職員マスタ!$E$6:$E$405,$AN2690)),"子の生年月日がマスタと相違／","")&amp;IF(AND($L2690&lt;&gt;"",INDEX(職員マスタ!$G$6:$G$405,$AN2690)&lt;&gt;"",$L2690&lt;&gt;INDEX(職員マスタ!$G$6:$G$405,$AN2690)),"時短開始日がマスタと相違／","")&amp;IF(AND($M2690&lt;&gt;"",INDEX(職員マスタ!$H$6:$H$405,$AN2690)&lt;&gt;"",$M2690&lt;&gt;INDEX(職員マスタ!$H$6:$H$405,$AN2690)),"時短終了日がマスタと相違／","")))&amp;IF(AND($B2690&lt;&gt;"",$E2690=""),"報酬額が未入力／","")&amp;IF(N($U2690)&gt;0,"申請書に入力エラーが残っています／","")&amp;IF(AND($B2690&lt;&gt;"",$AO2690&lt;&gt;""),IF(COUNTIFS($B$6:$B$3005,$B2690,$C$6:$C$3005,$C2690,$D$6:$D$3005,$D2690)&gt;1,"同じ月の請求が重複しています／",""),"")&amp;IF(AND(N($E2690)&gt;0,$Z2690&lt;&gt;"",$Z2690&lt;&gt;"×",$AC2690=0,$AB2690=""),"計算額が下限以下のため不支給／",""))</f>
        <v/>
      </c>
      <c r="AL2690" s="12" t="n"/>
      <c r="AM2690" s="14">
        <f>IF($AD2690="保留中",COUNTIF($AD$6:$AD2690,"保留中"),"")</f>
        <v/>
      </c>
      <c r="AN2690" s="14">
        <f>IF($AO2690="","",IF(SUMPRODUCT(MAX((職員マスタ!$A$6:$A$405=$B2690)*(((職員マスタ!$G$6:$G$405="")+(職員マスタ!$G$6:$G$405&lt;=EOMONTH($AO2690,0)))&gt;0)*(((職員マスタ!$H$6:$H$405="")+(職員マスタ!$H$6:$H$405&gt;=$AO2690))&gt;0)*(ROW(職員マスタ!$A$6:$A$405)-5)))&gt;0,SUMPRODUCT(MAX((職員マスタ!$A$6:$A$405=$B2690)*(((職員マスタ!$G$6:$G$405="")+(職員マスタ!$G$6:$G$405&lt;=EOMONTH($AO2690,0)))&gt;0)*(((職員マスタ!$H$6:$H$405="")+(職員マスタ!$H$6:$H$405&gt;=$AO2690))&gt;0)*(ROW(職員マスタ!$A$6:$A$405)-5))),IFERROR(MATCH($B2690,職員マスタ!$A$6:$A$405,0),"")))</f>
        <v/>
      </c>
      <c r="AO2690" s="16">
        <f>IF(OR($B2690="",$C2690="",$D2690=""),"",DATE($C2690+2018,$D2690,1))</f>
        <v/>
      </c>
    </row>
    <row r="2691">
      <c r="A2691" s="11" t="n"/>
      <c r="B2691" s="12" t="n"/>
      <c r="C2691" s="12" t="n"/>
      <c r="D2691" s="12" t="n"/>
      <c r="E2691" s="13" t="n"/>
      <c r="F2691" s="12" t="n"/>
      <c r="G2691" s="13" t="n"/>
      <c r="H2691" s="12" t="n"/>
      <c r="I2691" s="12" t="n"/>
      <c r="J2691" s="12" t="n"/>
      <c r="K2691" s="12" t="n"/>
      <c r="L2691" s="11" t="n"/>
      <c r="M2691" s="11" t="n"/>
      <c r="N2691" s="11" t="n"/>
      <c r="O2691" s="11" t="n"/>
      <c r="P2691" s="12" t="n"/>
      <c r="Q2691" s="11" t="n"/>
      <c r="R2691" s="12" t="n"/>
      <c r="S2691" s="11" t="n"/>
      <c r="T2691" s="12" t="n"/>
      <c r="U2691" s="12" t="n"/>
      <c r="V2691" s="14">
        <f>IF($AN2691="",IF($B2691="","",$H2691),IF(INDEX(職員マスタ!$B$6:$B$405,$AN2691)="",$H2691,INDEX(職員マスタ!$B$6:$B$405,$AN2691)))</f>
        <v/>
      </c>
      <c r="W2691" s="14">
        <f>IF($AN2691="",IF($B2691="","",$R2691),IF(INDEX(職員マスタ!$C$6:$C$405,$AN2691)="",$R2691,INDEX(職員マスタ!$C$6:$C$405,$AN2691)))</f>
        <v/>
      </c>
      <c r="X2691" s="14">
        <f>IF($AO2691="","","R"&amp;$C2691&amp;"."&amp;$D2691)</f>
        <v/>
      </c>
      <c r="Y2691" s="15">
        <f>IF($AN2691="","",IF(INDEX(職員マスタ!$K$6:$K$405,$AN2691)="","",INDEX(職員マスタ!$K$6:$K$405,$AN2691)))</f>
        <v/>
      </c>
      <c r="Z2691" s="14">
        <f>IF(OR($E2691="",$Y2691=""),"",IF($E2691&gt;=$Y2691,"×",IF($E2691&gt;=$Y2691*設定!$C$5,"△","○")))</f>
        <v/>
      </c>
      <c r="AA2691" s="15">
        <f>IF($Z2691="","",IF($Z2691="×",0,IF($Z2691="○",ROUNDDOWN($E2691*設定!$C$4,0),ROUNDDOWN($E2691*ROUND((9*$Y2691-9*$E2691)/(10*$E2691),4),0))))</f>
        <v/>
      </c>
      <c r="AB2691" s="13" t="n"/>
      <c r="AC2691" s="15">
        <f>IF($B2691="","",IF($AB2691&lt;&gt;"",$AB2691,IF($AA2691="","",IF($AA2691&lt;=設定!$C$3,0,$AA2691))))</f>
        <v/>
      </c>
      <c r="AD2691" s="14">
        <f>IF($B2691="","",IF(AND($AE2691&lt;&gt;"",$AG2691="",$AJ2691=""),"保留中",IF($AJ2691&lt;&gt;"",IF(N($AC2691)&gt;0,"支給済","不支給"),IF($AC2691="","要確認",IF($AC2691=0,"不支給","未処理")))))</f>
        <v/>
      </c>
      <c r="AE2691" s="12" t="n"/>
      <c r="AF2691" s="11" t="n"/>
      <c r="AG2691" s="11" t="n"/>
      <c r="AH2691" s="11" t="n"/>
      <c r="AI2691" s="14">
        <f>IF(AND($AD2691="保留中",$AF2691&lt;&gt;""),TODAY()-$AF2691,"")</f>
        <v/>
      </c>
      <c r="AJ2691" s="12" t="n"/>
      <c r="AK2691" s="14">
        <f>IF($B2691="","",IF($AO2691="","対象年月が未入力／","")&amp;IF($B2691="","",IF($AN2691="","職員マスタに未登録の職員番号／",IF($Y2691="","標準報酬月額が未登録／","")&amp;IF(AND($AO2691&lt;&gt;"",OR(AND(INDEX(職員マスタ!$G$6:$G$405,$AN2691)&lt;&gt;"",INDEX(職員マスタ!$G$6:$G$405,$AN2691)&gt;EOMONTH($AO2691,0)),AND(INDEX(職員マスタ!$H$6:$H$405,$AN2691)&lt;&gt;"",INDEX(職員マスタ!$H$6:$H$405,$AN2691)&lt;$AO2691))),"対象月が時短期間外／","")&amp;IF(AND(INDEX(職員マスタ!$F$6:$F$405,$AN2691)&lt;&gt;"",$AO2691&lt;&gt;"",INDEX(職員マスタ!$F$6:$F$405,$AN2691)&lt;$AO2691),"対象月に子が2歳到達済／","")&amp;IF(AND($H2691&lt;&gt;"",INDEX(職員マスタ!$B$6:$B$405,$AN2691)&lt;&gt;"",SUBSTITUTE(SUBSTITUTE($H2691," ","")," ","")&lt;&gt;SUBSTITUTE(SUBSTITUTE(INDEX(職員マスタ!$B$6:$B$405,$AN2691)," ","")," ","")),"氏名がマスタと相違／","")&amp;IF(AND($Q2691&lt;&gt;"",INDEX(職員マスタ!$E$6:$E$405,$AN2691)&lt;&gt;"",$Q2691&lt;&gt;INDEX(職員マスタ!$E$6:$E$405,$AN2691)),"子の生年月日がマスタと相違／","")&amp;IF(AND($L2691&lt;&gt;"",INDEX(職員マスタ!$G$6:$G$405,$AN2691)&lt;&gt;"",$L2691&lt;&gt;INDEX(職員マスタ!$G$6:$G$405,$AN2691)),"時短開始日がマスタと相違／","")&amp;IF(AND($M2691&lt;&gt;"",INDEX(職員マスタ!$H$6:$H$405,$AN2691)&lt;&gt;"",$M2691&lt;&gt;INDEX(職員マスタ!$H$6:$H$405,$AN2691)),"時短終了日がマスタと相違／","")))&amp;IF(AND($B2691&lt;&gt;"",$E2691=""),"報酬額が未入力／","")&amp;IF(N($U2691)&gt;0,"申請書に入力エラーが残っています／","")&amp;IF(AND($B2691&lt;&gt;"",$AO2691&lt;&gt;""),IF(COUNTIFS($B$6:$B$3005,$B2691,$C$6:$C$3005,$C2691,$D$6:$D$3005,$D2691)&gt;1,"同じ月の請求が重複しています／",""),"")&amp;IF(AND(N($E2691)&gt;0,$Z2691&lt;&gt;"",$Z2691&lt;&gt;"×",$AC2691=0,$AB2691=""),"計算額が下限以下のため不支給／",""))</f>
        <v/>
      </c>
      <c r="AL2691" s="12" t="n"/>
      <c r="AM2691" s="14">
        <f>IF($AD2691="保留中",COUNTIF($AD$6:$AD2691,"保留中"),"")</f>
        <v/>
      </c>
      <c r="AN2691" s="14">
        <f>IF($AO2691="","",IF(SUMPRODUCT(MAX((職員マスタ!$A$6:$A$405=$B2691)*(((職員マスタ!$G$6:$G$405="")+(職員マスタ!$G$6:$G$405&lt;=EOMONTH($AO2691,0)))&gt;0)*(((職員マスタ!$H$6:$H$405="")+(職員マスタ!$H$6:$H$405&gt;=$AO2691))&gt;0)*(ROW(職員マスタ!$A$6:$A$405)-5)))&gt;0,SUMPRODUCT(MAX((職員マスタ!$A$6:$A$405=$B2691)*(((職員マスタ!$G$6:$G$405="")+(職員マスタ!$G$6:$G$405&lt;=EOMONTH($AO2691,0)))&gt;0)*(((職員マスタ!$H$6:$H$405="")+(職員マスタ!$H$6:$H$405&gt;=$AO2691))&gt;0)*(ROW(職員マスタ!$A$6:$A$405)-5))),IFERROR(MATCH($B2691,職員マスタ!$A$6:$A$405,0),"")))</f>
        <v/>
      </c>
      <c r="AO2691" s="16">
        <f>IF(OR($B2691="",$C2691="",$D2691=""),"",DATE($C2691+2018,$D2691,1))</f>
        <v/>
      </c>
    </row>
    <row r="2692">
      <c r="A2692" s="11" t="n"/>
      <c r="B2692" s="12" t="n"/>
      <c r="C2692" s="12" t="n"/>
      <c r="D2692" s="12" t="n"/>
      <c r="E2692" s="13" t="n"/>
      <c r="F2692" s="12" t="n"/>
      <c r="G2692" s="13" t="n"/>
      <c r="H2692" s="12" t="n"/>
      <c r="I2692" s="12" t="n"/>
      <c r="J2692" s="12" t="n"/>
      <c r="K2692" s="12" t="n"/>
      <c r="L2692" s="11" t="n"/>
      <c r="M2692" s="11" t="n"/>
      <c r="N2692" s="11" t="n"/>
      <c r="O2692" s="11" t="n"/>
      <c r="P2692" s="12" t="n"/>
      <c r="Q2692" s="11" t="n"/>
      <c r="R2692" s="12" t="n"/>
      <c r="S2692" s="11" t="n"/>
      <c r="T2692" s="12" t="n"/>
      <c r="U2692" s="12" t="n"/>
      <c r="V2692" s="14">
        <f>IF($AN2692="",IF($B2692="","",$H2692),IF(INDEX(職員マスタ!$B$6:$B$405,$AN2692)="",$H2692,INDEX(職員マスタ!$B$6:$B$405,$AN2692)))</f>
        <v/>
      </c>
      <c r="W2692" s="14">
        <f>IF($AN2692="",IF($B2692="","",$R2692),IF(INDEX(職員マスタ!$C$6:$C$405,$AN2692)="",$R2692,INDEX(職員マスタ!$C$6:$C$405,$AN2692)))</f>
        <v/>
      </c>
      <c r="X2692" s="14">
        <f>IF($AO2692="","","R"&amp;$C2692&amp;"."&amp;$D2692)</f>
        <v/>
      </c>
      <c r="Y2692" s="15">
        <f>IF($AN2692="","",IF(INDEX(職員マスタ!$K$6:$K$405,$AN2692)="","",INDEX(職員マスタ!$K$6:$K$405,$AN2692)))</f>
        <v/>
      </c>
      <c r="Z2692" s="14">
        <f>IF(OR($E2692="",$Y2692=""),"",IF($E2692&gt;=$Y2692,"×",IF($E2692&gt;=$Y2692*設定!$C$5,"△","○")))</f>
        <v/>
      </c>
      <c r="AA2692" s="15">
        <f>IF($Z2692="","",IF($Z2692="×",0,IF($Z2692="○",ROUNDDOWN($E2692*設定!$C$4,0),ROUNDDOWN($E2692*ROUND((9*$Y2692-9*$E2692)/(10*$E2692),4),0))))</f>
        <v/>
      </c>
      <c r="AB2692" s="13" t="n"/>
      <c r="AC2692" s="15">
        <f>IF($B2692="","",IF($AB2692&lt;&gt;"",$AB2692,IF($AA2692="","",IF($AA2692&lt;=設定!$C$3,0,$AA2692))))</f>
        <v/>
      </c>
      <c r="AD2692" s="14">
        <f>IF($B2692="","",IF(AND($AE2692&lt;&gt;"",$AG2692="",$AJ2692=""),"保留中",IF($AJ2692&lt;&gt;"",IF(N($AC2692)&gt;0,"支給済","不支給"),IF($AC2692="","要確認",IF($AC2692=0,"不支給","未処理")))))</f>
        <v/>
      </c>
      <c r="AE2692" s="12" t="n"/>
      <c r="AF2692" s="11" t="n"/>
      <c r="AG2692" s="11" t="n"/>
      <c r="AH2692" s="11" t="n"/>
      <c r="AI2692" s="14">
        <f>IF(AND($AD2692="保留中",$AF2692&lt;&gt;""),TODAY()-$AF2692,"")</f>
        <v/>
      </c>
      <c r="AJ2692" s="12" t="n"/>
      <c r="AK2692" s="14">
        <f>IF($B2692="","",IF($AO2692="","対象年月が未入力／","")&amp;IF($B2692="","",IF($AN2692="","職員マスタに未登録の職員番号／",IF($Y2692="","標準報酬月額が未登録／","")&amp;IF(AND($AO2692&lt;&gt;"",OR(AND(INDEX(職員マスタ!$G$6:$G$405,$AN2692)&lt;&gt;"",INDEX(職員マスタ!$G$6:$G$405,$AN2692)&gt;EOMONTH($AO2692,0)),AND(INDEX(職員マスタ!$H$6:$H$405,$AN2692)&lt;&gt;"",INDEX(職員マスタ!$H$6:$H$405,$AN2692)&lt;$AO2692))),"対象月が時短期間外／","")&amp;IF(AND(INDEX(職員マスタ!$F$6:$F$405,$AN2692)&lt;&gt;"",$AO2692&lt;&gt;"",INDEX(職員マスタ!$F$6:$F$405,$AN2692)&lt;$AO2692),"対象月に子が2歳到達済／","")&amp;IF(AND($H2692&lt;&gt;"",INDEX(職員マスタ!$B$6:$B$405,$AN2692)&lt;&gt;"",SUBSTITUTE(SUBSTITUTE($H2692," ","")," ","")&lt;&gt;SUBSTITUTE(SUBSTITUTE(INDEX(職員マスタ!$B$6:$B$405,$AN2692)," ","")," ","")),"氏名がマスタと相違／","")&amp;IF(AND($Q2692&lt;&gt;"",INDEX(職員マスタ!$E$6:$E$405,$AN2692)&lt;&gt;"",$Q2692&lt;&gt;INDEX(職員マスタ!$E$6:$E$405,$AN2692)),"子の生年月日がマスタと相違／","")&amp;IF(AND($L2692&lt;&gt;"",INDEX(職員マスタ!$G$6:$G$405,$AN2692)&lt;&gt;"",$L2692&lt;&gt;INDEX(職員マスタ!$G$6:$G$405,$AN2692)),"時短開始日がマスタと相違／","")&amp;IF(AND($M2692&lt;&gt;"",INDEX(職員マスタ!$H$6:$H$405,$AN2692)&lt;&gt;"",$M2692&lt;&gt;INDEX(職員マスタ!$H$6:$H$405,$AN2692)),"時短終了日がマスタと相違／","")))&amp;IF(AND($B2692&lt;&gt;"",$E2692=""),"報酬額が未入力／","")&amp;IF(N($U2692)&gt;0,"申請書に入力エラーが残っています／","")&amp;IF(AND($B2692&lt;&gt;"",$AO2692&lt;&gt;""),IF(COUNTIFS($B$6:$B$3005,$B2692,$C$6:$C$3005,$C2692,$D$6:$D$3005,$D2692)&gt;1,"同じ月の請求が重複しています／",""),"")&amp;IF(AND(N($E2692)&gt;0,$Z2692&lt;&gt;"",$Z2692&lt;&gt;"×",$AC2692=0,$AB2692=""),"計算額が下限以下のため不支給／",""))</f>
        <v/>
      </c>
      <c r="AL2692" s="12" t="n"/>
      <c r="AM2692" s="14">
        <f>IF($AD2692="保留中",COUNTIF($AD$6:$AD2692,"保留中"),"")</f>
        <v/>
      </c>
      <c r="AN2692" s="14">
        <f>IF($AO2692="","",IF(SUMPRODUCT(MAX((職員マスタ!$A$6:$A$405=$B2692)*(((職員マスタ!$G$6:$G$405="")+(職員マスタ!$G$6:$G$405&lt;=EOMONTH($AO2692,0)))&gt;0)*(((職員マスタ!$H$6:$H$405="")+(職員マスタ!$H$6:$H$405&gt;=$AO2692))&gt;0)*(ROW(職員マスタ!$A$6:$A$405)-5)))&gt;0,SUMPRODUCT(MAX((職員マスタ!$A$6:$A$405=$B2692)*(((職員マスタ!$G$6:$G$405="")+(職員マスタ!$G$6:$G$405&lt;=EOMONTH($AO2692,0)))&gt;0)*(((職員マスタ!$H$6:$H$405="")+(職員マスタ!$H$6:$H$405&gt;=$AO2692))&gt;0)*(ROW(職員マスタ!$A$6:$A$405)-5))),IFERROR(MATCH($B2692,職員マスタ!$A$6:$A$405,0),"")))</f>
        <v/>
      </c>
      <c r="AO2692" s="16">
        <f>IF(OR($B2692="",$C2692="",$D2692=""),"",DATE($C2692+2018,$D2692,1))</f>
        <v/>
      </c>
    </row>
    <row r="2693">
      <c r="A2693" s="11" t="n"/>
      <c r="B2693" s="12" t="n"/>
      <c r="C2693" s="12" t="n"/>
      <c r="D2693" s="12" t="n"/>
      <c r="E2693" s="13" t="n"/>
      <c r="F2693" s="12" t="n"/>
      <c r="G2693" s="13" t="n"/>
      <c r="H2693" s="12" t="n"/>
      <c r="I2693" s="12" t="n"/>
      <c r="J2693" s="12" t="n"/>
      <c r="K2693" s="12" t="n"/>
      <c r="L2693" s="11" t="n"/>
      <c r="M2693" s="11" t="n"/>
      <c r="N2693" s="11" t="n"/>
      <c r="O2693" s="11" t="n"/>
      <c r="P2693" s="12" t="n"/>
      <c r="Q2693" s="11" t="n"/>
      <c r="R2693" s="12" t="n"/>
      <c r="S2693" s="11" t="n"/>
      <c r="T2693" s="12" t="n"/>
      <c r="U2693" s="12" t="n"/>
      <c r="V2693" s="14">
        <f>IF($AN2693="",IF($B2693="","",$H2693),IF(INDEX(職員マスタ!$B$6:$B$405,$AN2693)="",$H2693,INDEX(職員マスタ!$B$6:$B$405,$AN2693)))</f>
        <v/>
      </c>
      <c r="W2693" s="14">
        <f>IF($AN2693="",IF($B2693="","",$R2693),IF(INDEX(職員マスタ!$C$6:$C$405,$AN2693)="",$R2693,INDEX(職員マスタ!$C$6:$C$405,$AN2693)))</f>
        <v/>
      </c>
      <c r="X2693" s="14">
        <f>IF($AO2693="","","R"&amp;$C2693&amp;"."&amp;$D2693)</f>
        <v/>
      </c>
      <c r="Y2693" s="15">
        <f>IF($AN2693="","",IF(INDEX(職員マスタ!$K$6:$K$405,$AN2693)="","",INDEX(職員マスタ!$K$6:$K$405,$AN2693)))</f>
        <v/>
      </c>
      <c r="Z2693" s="14">
        <f>IF(OR($E2693="",$Y2693=""),"",IF($E2693&gt;=$Y2693,"×",IF($E2693&gt;=$Y2693*設定!$C$5,"△","○")))</f>
        <v/>
      </c>
      <c r="AA2693" s="15">
        <f>IF($Z2693="","",IF($Z2693="×",0,IF($Z2693="○",ROUNDDOWN($E2693*設定!$C$4,0),ROUNDDOWN($E2693*ROUND((9*$Y2693-9*$E2693)/(10*$E2693),4),0))))</f>
        <v/>
      </c>
      <c r="AB2693" s="13" t="n"/>
      <c r="AC2693" s="15">
        <f>IF($B2693="","",IF($AB2693&lt;&gt;"",$AB2693,IF($AA2693="","",IF($AA2693&lt;=設定!$C$3,0,$AA2693))))</f>
        <v/>
      </c>
      <c r="AD2693" s="14">
        <f>IF($B2693="","",IF(AND($AE2693&lt;&gt;"",$AG2693="",$AJ2693=""),"保留中",IF($AJ2693&lt;&gt;"",IF(N($AC2693)&gt;0,"支給済","不支給"),IF($AC2693="","要確認",IF($AC2693=0,"不支給","未処理")))))</f>
        <v/>
      </c>
      <c r="AE2693" s="12" t="n"/>
      <c r="AF2693" s="11" t="n"/>
      <c r="AG2693" s="11" t="n"/>
      <c r="AH2693" s="11" t="n"/>
      <c r="AI2693" s="14">
        <f>IF(AND($AD2693="保留中",$AF2693&lt;&gt;""),TODAY()-$AF2693,"")</f>
        <v/>
      </c>
      <c r="AJ2693" s="12" t="n"/>
      <c r="AK2693" s="14">
        <f>IF($B2693="","",IF($AO2693="","対象年月が未入力／","")&amp;IF($B2693="","",IF($AN2693="","職員マスタに未登録の職員番号／",IF($Y2693="","標準報酬月額が未登録／","")&amp;IF(AND($AO2693&lt;&gt;"",OR(AND(INDEX(職員マスタ!$G$6:$G$405,$AN2693)&lt;&gt;"",INDEX(職員マスタ!$G$6:$G$405,$AN2693)&gt;EOMONTH($AO2693,0)),AND(INDEX(職員マスタ!$H$6:$H$405,$AN2693)&lt;&gt;"",INDEX(職員マスタ!$H$6:$H$405,$AN2693)&lt;$AO2693))),"対象月が時短期間外／","")&amp;IF(AND(INDEX(職員マスタ!$F$6:$F$405,$AN2693)&lt;&gt;"",$AO2693&lt;&gt;"",INDEX(職員マスタ!$F$6:$F$405,$AN2693)&lt;$AO2693),"対象月に子が2歳到達済／","")&amp;IF(AND($H2693&lt;&gt;"",INDEX(職員マスタ!$B$6:$B$405,$AN2693)&lt;&gt;"",SUBSTITUTE(SUBSTITUTE($H2693," ","")," ","")&lt;&gt;SUBSTITUTE(SUBSTITUTE(INDEX(職員マスタ!$B$6:$B$405,$AN2693)," ","")," ","")),"氏名がマスタと相違／","")&amp;IF(AND($Q2693&lt;&gt;"",INDEX(職員マスタ!$E$6:$E$405,$AN2693)&lt;&gt;"",$Q2693&lt;&gt;INDEX(職員マスタ!$E$6:$E$405,$AN2693)),"子の生年月日がマスタと相違／","")&amp;IF(AND($L2693&lt;&gt;"",INDEX(職員マスタ!$G$6:$G$405,$AN2693)&lt;&gt;"",$L2693&lt;&gt;INDEX(職員マスタ!$G$6:$G$405,$AN2693)),"時短開始日がマスタと相違／","")&amp;IF(AND($M2693&lt;&gt;"",INDEX(職員マスタ!$H$6:$H$405,$AN2693)&lt;&gt;"",$M2693&lt;&gt;INDEX(職員マスタ!$H$6:$H$405,$AN2693)),"時短終了日がマスタと相違／","")))&amp;IF(AND($B2693&lt;&gt;"",$E2693=""),"報酬額が未入力／","")&amp;IF(N($U2693)&gt;0,"申請書に入力エラーが残っています／","")&amp;IF(AND($B2693&lt;&gt;"",$AO2693&lt;&gt;""),IF(COUNTIFS($B$6:$B$3005,$B2693,$C$6:$C$3005,$C2693,$D$6:$D$3005,$D2693)&gt;1,"同じ月の請求が重複しています／",""),"")&amp;IF(AND(N($E2693)&gt;0,$Z2693&lt;&gt;"",$Z2693&lt;&gt;"×",$AC2693=0,$AB2693=""),"計算額が下限以下のため不支給／",""))</f>
        <v/>
      </c>
      <c r="AL2693" s="12" t="n"/>
      <c r="AM2693" s="14">
        <f>IF($AD2693="保留中",COUNTIF($AD$6:$AD2693,"保留中"),"")</f>
        <v/>
      </c>
      <c r="AN2693" s="14">
        <f>IF($AO2693="","",IF(SUMPRODUCT(MAX((職員マスタ!$A$6:$A$405=$B2693)*(((職員マスタ!$G$6:$G$405="")+(職員マスタ!$G$6:$G$405&lt;=EOMONTH($AO2693,0)))&gt;0)*(((職員マスタ!$H$6:$H$405="")+(職員マスタ!$H$6:$H$405&gt;=$AO2693))&gt;0)*(ROW(職員マスタ!$A$6:$A$405)-5)))&gt;0,SUMPRODUCT(MAX((職員マスタ!$A$6:$A$405=$B2693)*(((職員マスタ!$G$6:$G$405="")+(職員マスタ!$G$6:$G$405&lt;=EOMONTH($AO2693,0)))&gt;0)*(((職員マスタ!$H$6:$H$405="")+(職員マスタ!$H$6:$H$405&gt;=$AO2693))&gt;0)*(ROW(職員マスタ!$A$6:$A$405)-5))),IFERROR(MATCH($B2693,職員マスタ!$A$6:$A$405,0),"")))</f>
        <v/>
      </c>
      <c r="AO2693" s="16">
        <f>IF(OR($B2693="",$C2693="",$D2693=""),"",DATE($C2693+2018,$D2693,1))</f>
        <v/>
      </c>
    </row>
    <row r="2694">
      <c r="A2694" s="11" t="n"/>
      <c r="B2694" s="12" t="n"/>
      <c r="C2694" s="12" t="n"/>
      <c r="D2694" s="12" t="n"/>
      <c r="E2694" s="13" t="n"/>
      <c r="F2694" s="12" t="n"/>
      <c r="G2694" s="13" t="n"/>
      <c r="H2694" s="12" t="n"/>
      <c r="I2694" s="12" t="n"/>
      <c r="J2694" s="12" t="n"/>
      <c r="K2694" s="12" t="n"/>
      <c r="L2694" s="11" t="n"/>
      <c r="M2694" s="11" t="n"/>
      <c r="N2694" s="11" t="n"/>
      <c r="O2694" s="11" t="n"/>
      <c r="P2694" s="12" t="n"/>
      <c r="Q2694" s="11" t="n"/>
      <c r="R2694" s="12" t="n"/>
      <c r="S2694" s="11" t="n"/>
      <c r="T2694" s="12" t="n"/>
      <c r="U2694" s="12" t="n"/>
      <c r="V2694" s="14">
        <f>IF($AN2694="",IF($B2694="","",$H2694),IF(INDEX(職員マスタ!$B$6:$B$405,$AN2694)="",$H2694,INDEX(職員マスタ!$B$6:$B$405,$AN2694)))</f>
        <v/>
      </c>
      <c r="W2694" s="14">
        <f>IF($AN2694="",IF($B2694="","",$R2694),IF(INDEX(職員マスタ!$C$6:$C$405,$AN2694)="",$R2694,INDEX(職員マスタ!$C$6:$C$405,$AN2694)))</f>
        <v/>
      </c>
      <c r="X2694" s="14">
        <f>IF($AO2694="","","R"&amp;$C2694&amp;"."&amp;$D2694)</f>
        <v/>
      </c>
      <c r="Y2694" s="15">
        <f>IF($AN2694="","",IF(INDEX(職員マスタ!$K$6:$K$405,$AN2694)="","",INDEX(職員マスタ!$K$6:$K$405,$AN2694)))</f>
        <v/>
      </c>
      <c r="Z2694" s="14">
        <f>IF(OR($E2694="",$Y2694=""),"",IF($E2694&gt;=$Y2694,"×",IF($E2694&gt;=$Y2694*設定!$C$5,"△","○")))</f>
        <v/>
      </c>
      <c r="AA2694" s="15">
        <f>IF($Z2694="","",IF($Z2694="×",0,IF($Z2694="○",ROUNDDOWN($E2694*設定!$C$4,0),ROUNDDOWN($E2694*ROUND((9*$Y2694-9*$E2694)/(10*$E2694),4),0))))</f>
        <v/>
      </c>
      <c r="AB2694" s="13" t="n"/>
      <c r="AC2694" s="15">
        <f>IF($B2694="","",IF($AB2694&lt;&gt;"",$AB2694,IF($AA2694="","",IF($AA2694&lt;=設定!$C$3,0,$AA2694))))</f>
        <v/>
      </c>
      <c r="AD2694" s="14">
        <f>IF($B2694="","",IF(AND($AE2694&lt;&gt;"",$AG2694="",$AJ2694=""),"保留中",IF($AJ2694&lt;&gt;"",IF(N($AC2694)&gt;0,"支給済","不支給"),IF($AC2694="","要確認",IF($AC2694=0,"不支給","未処理")))))</f>
        <v/>
      </c>
      <c r="AE2694" s="12" t="n"/>
      <c r="AF2694" s="11" t="n"/>
      <c r="AG2694" s="11" t="n"/>
      <c r="AH2694" s="11" t="n"/>
      <c r="AI2694" s="14">
        <f>IF(AND($AD2694="保留中",$AF2694&lt;&gt;""),TODAY()-$AF2694,"")</f>
        <v/>
      </c>
      <c r="AJ2694" s="12" t="n"/>
      <c r="AK2694" s="14">
        <f>IF($B2694="","",IF($AO2694="","対象年月が未入力／","")&amp;IF($B2694="","",IF($AN2694="","職員マスタに未登録の職員番号／",IF($Y2694="","標準報酬月額が未登録／","")&amp;IF(AND($AO2694&lt;&gt;"",OR(AND(INDEX(職員マスタ!$G$6:$G$405,$AN2694)&lt;&gt;"",INDEX(職員マスタ!$G$6:$G$405,$AN2694)&gt;EOMONTH($AO2694,0)),AND(INDEX(職員マスタ!$H$6:$H$405,$AN2694)&lt;&gt;"",INDEX(職員マスタ!$H$6:$H$405,$AN2694)&lt;$AO2694))),"対象月が時短期間外／","")&amp;IF(AND(INDEX(職員マスタ!$F$6:$F$405,$AN2694)&lt;&gt;"",$AO2694&lt;&gt;"",INDEX(職員マスタ!$F$6:$F$405,$AN2694)&lt;$AO2694),"対象月に子が2歳到達済／","")&amp;IF(AND($H2694&lt;&gt;"",INDEX(職員マスタ!$B$6:$B$405,$AN2694)&lt;&gt;"",SUBSTITUTE(SUBSTITUTE($H2694," ","")," ","")&lt;&gt;SUBSTITUTE(SUBSTITUTE(INDEX(職員マスタ!$B$6:$B$405,$AN2694)," ","")," ","")),"氏名がマスタと相違／","")&amp;IF(AND($Q2694&lt;&gt;"",INDEX(職員マスタ!$E$6:$E$405,$AN2694)&lt;&gt;"",$Q2694&lt;&gt;INDEX(職員マスタ!$E$6:$E$405,$AN2694)),"子の生年月日がマスタと相違／","")&amp;IF(AND($L2694&lt;&gt;"",INDEX(職員マスタ!$G$6:$G$405,$AN2694)&lt;&gt;"",$L2694&lt;&gt;INDEX(職員マスタ!$G$6:$G$405,$AN2694)),"時短開始日がマスタと相違／","")&amp;IF(AND($M2694&lt;&gt;"",INDEX(職員マスタ!$H$6:$H$405,$AN2694)&lt;&gt;"",$M2694&lt;&gt;INDEX(職員マスタ!$H$6:$H$405,$AN2694)),"時短終了日がマスタと相違／","")))&amp;IF(AND($B2694&lt;&gt;"",$E2694=""),"報酬額が未入力／","")&amp;IF(N($U2694)&gt;0,"申請書に入力エラーが残っています／","")&amp;IF(AND($B2694&lt;&gt;"",$AO2694&lt;&gt;""),IF(COUNTIFS($B$6:$B$3005,$B2694,$C$6:$C$3005,$C2694,$D$6:$D$3005,$D2694)&gt;1,"同じ月の請求が重複しています／",""),"")&amp;IF(AND(N($E2694)&gt;0,$Z2694&lt;&gt;"",$Z2694&lt;&gt;"×",$AC2694=0,$AB2694=""),"計算額が下限以下のため不支給／",""))</f>
        <v/>
      </c>
      <c r="AL2694" s="12" t="n"/>
      <c r="AM2694" s="14">
        <f>IF($AD2694="保留中",COUNTIF($AD$6:$AD2694,"保留中"),"")</f>
        <v/>
      </c>
      <c r="AN2694" s="14">
        <f>IF($AO2694="","",IF(SUMPRODUCT(MAX((職員マスタ!$A$6:$A$405=$B2694)*(((職員マスタ!$G$6:$G$405="")+(職員マスタ!$G$6:$G$405&lt;=EOMONTH($AO2694,0)))&gt;0)*(((職員マスタ!$H$6:$H$405="")+(職員マスタ!$H$6:$H$405&gt;=$AO2694))&gt;0)*(ROW(職員マスタ!$A$6:$A$405)-5)))&gt;0,SUMPRODUCT(MAX((職員マスタ!$A$6:$A$405=$B2694)*(((職員マスタ!$G$6:$G$405="")+(職員マスタ!$G$6:$G$405&lt;=EOMONTH($AO2694,0)))&gt;0)*(((職員マスタ!$H$6:$H$405="")+(職員マスタ!$H$6:$H$405&gt;=$AO2694))&gt;0)*(ROW(職員マスタ!$A$6:$A$405)-5))),IFERROR(MATCH($B2694,職員マスタ!$A$6:$A$405,0),"")))</f>
        <v/>
      </c>
      <c r="AO2694" s="16">
        <f>IF(OR($B2694="",$C2694="",$D2694=""),"",DATE($C2694+2018,$D2694,1))</f>
        <v/>
      </c>
    </row>
    <row r="2695">
      <c r="A2695" s="11" t="n"/>
      <c r="B2695" s="12" t="n"/>
      <c r="C2695" s="12" t="n"/>
      <c r="D2695" s="12" t="n"/>
      <c r="E2695" s="13" t="n"/>
      <c r="F2695" s="12" t="n"/>
      <c r="G2695" s="13" t="n"/>
      <c r="H2695" s="12" t="n"/>
      <c r="I2695" s="12" t="n"/>
      <c r="J2695" s="12" t="n"/>
      <c r="K2695" s="12" t="n"/>
      <c r="L2695" s="11" t="n"/>
      <c r="M2695" s="11" t="n"/>
      <c r="N2695" s="11" t="n"/>
      <c r="O2695" s="11" t="n"/>
      <c r="P2695" s="12" t="n"/>
      <c r="Q2695" s="11" t="n"/>
      <c r="R2695" s="12" t="n"/>
      <c r="S2695" s="11" t="n"/>
      <c r="T2695" s="12" t="n"/>
      <c r="U2695" s="12" t="n"/>
      <c r="V2695" s="14">
        <f>IF($AN2695="",IF($B2695="","",$H2695),IF(INDEX(職員マスタ!$B$6:$B$405,$AN2695)="",$H2695,INDEX(職員マスタ!$B$6:$B$405,$AN2695)))</f>
        <v/>
      </c>
      <c r="W2695" s="14">
        <f>IF($AN2695="",IF($B2695="","",$R2695),IF(INDEX(職員マスタ!$C$6:$C$405,$AN2695)="",$R2695,INDEX(職員マスタ!$C$6:$C$405,$AN2695)))</f>
        <v/>
      </c>
      <c r="X2695" s="14">
        <f>IF($AO2695="","","R"&amp;$C2695&amp;"."&amp;$D2695)</f>
        <v/>
      </c>
      <c r="Y2695" s="15">
        <f>IF($AN2695="","",IF(INDEX(職員マスタ!$K$6:$K$405,$AN2695)="","",INDEX(職員マスタ!$K$6:$K$405,$AN2695)))</f>
        <v/>
      </c>
      <c r="Z2695" s="14">
        <f>IF(OR($E2695="",$Y2695=""),"",IF($E2695&gt;=$Y2695,"×",IF($E2695&gt;=$Y2695*設定!$C$5,"△","○")))</f>
        <v/>
      </c>
      <c r="AA2695" s="15">
        <f>IF($Z2695="","",IF($Z2695="×",0,IF($Z2695="○",ROUNDDOWN($E2695*設定!$C$4,0),ROUNDDOWN($E2695*ROUND((9*$Y2695-9*$E2695)/(10*$E2695),4),0))))</f>
        <v/>
      </c>
      <c r="AB2695" s="13" t="n"/>
      <c r="AC2695" s="15">
        <f>IF($B2695="","",IF($AB2695&lt;&gt;"",$AB2695,IF($AA2695="","",IF($AA2695&lt;=設定!$C$3,0,$AA2695))))</f>
        <v/>
      </c>
      <c r="AD2695" s="14">
        <f>IF($B2695="","",IF(AND($AE2695&lt;&gt;"",$AG2695="",$AJ2695=""),"保留中",IF($AJ2695&lt;&gt;"",IF(N($AC2695)&gt;0,"支給済","不支給"),IF($AC2695="","要確認",IF($AC2695=0,"不支給","未処理")))))</f>
        <v/>
      </c>
      <c r="AE2695" s="12" t="n"/>
      <c r="AF2695" s="11" t="n"/>
      <c r="AG2695" s="11" t="n"/>
      <c r="AH2695" s="11" t="n"/>
      <c r="AI2695" s="14">
        <f>IF(AND($AD2695="保留中",$AF2695&lt;&gt;""),TODAY()-$AF2695,"")</f>
        <v/>
      </c>
      <c r="AJ2695" s="12" t="n"/>
      <c r="AK2695" s="14">
        <f>IF($B2695="","",IF($AO2695="","対象年月が未入力／","")&amp;IF($B2695="","",IF($AN2695="","職員マスタに未登録の職員番号／",IF($Y2695="","標準報酬月額が未登録／","")&amp;IF(AND($AO2695&lt;&gt;"",OR(AND(INDEX(職員マスタ!$G$6:$G$405,$AN2695)&lt;&gt;"",INDEX(職員マスタ!$G$6:$G$405,$AN2695)&gt;EOMONTH($AO2695,0)),AND(INDEX(職員マスタ!$H$6:$H$405,$AN2695)&lt;&gt;"",INDEX(職員マスタ!$H$6:$H$405,$AN2695)&lt;$AO2695))),"対象月が時短期間外／","")&amp;IF(AND(INDEX(職員マスタ!$F$6:$F$405,$AN2695)&lt;&gt;"",$AO2695&lt;&gt;"",INDEX(職員マスタ!$F$6:$F$405,$AN2695)&lt;$AO2695),"対象月に子が2歳到達済／","")&amp;IF(AND($H2695&lt;&gt;"",INDEX(職員マスタ!$B$6:$B$405,$AN2695)&lt;&gt;"",SUBSTITUTE(SUBSTITUTE($H2695," ","")," ","")&lt;&gt;SUBSTITUTE(SUBSTITUTE(INDEX(職員マスタ!$B$6:$B$405,$AN2695)," ","")," ","")),"氏名がマスタと相違／","")&amp;IF(AND($Q2695&lt;&gt;"",INDEX(職員マスタ!$E$6:$E$405,$AN2695)&lt;&gt;"",$Q2695&lt;&gt;INDEX(職員マスタ!$E$6:$E$405,$AN2695)),"子の生年月日がマスタと相違／","")&amp;IF(AND($L2695&lt;&gt;"",INDEX(職員マスタ!$G$6:$G$405,$AN2695)&lt;&gt;"",$L2695&lt;&gt;INDEX(職員マスタ!$G$6:$G$405,$AN2695)),"時短開始日がマスタと相違／","")&amp;IF(AND($M2695&lt;&gt;"",INDEX(職員マスタ!$H$6:$H$405,$AN2695)&lt;&gt;"",$M2695&lt;&gt;INDEX(職員マスタ!$H$6:$H$405,$AN2695)),"時短終了日がマスタと相違／","")))&amp;IF(AND($B2695&lt;&gt;"",$E2695=""),"報酬額が未入力／","")&amp;IF(N($U2695)&gt;0,"申請書に入力エラーが残っています／","")&amp;IF(AND($B2695&lt;&gt;"",$AO2695&lt;&gt;""),IF(COUNTIFS($B$6:$B$3005,$B2695,$C$6:$C$3005,$C2695,$D$6:$D$3005,$D2695)&gt;1,"同じ月の請求が重複しています／",""),"")&amp;IF(AND(N($E2695)&gt;0,$Z2695&lt;&gt;"",$Z2695&lt;&gt;"×",$AC2695=0,$AB2695=""),"計算額が下限以下のため不支給／",""))</f>
        <v/>
      </c>
      <c r="AL2695" s="12" t="n"/>
      <c r="AM2695" s="14">
        <f>IF($AD2695="保留中",COUNTIF($AD$6:$AD2695,"保留中"),"")</f>
        <v/>
      </c>
      <c r="AN2695" s="14">
        <f>IF($AO2695="","",IF(SUMPRODUCT(MAX((職員マスタ!$A$6:$A$405=$B2695)*(((職員マスタ!$G$6:$G$405="")+(職員マスタ!$G$6:$G$405&lt;=EOMONTH($AO2695,0)))&gt;0)*(((職員マスタ!$H$6:$H$405="")+(職員マスタ!$H$6:$H$405&gt;=$AO2695))&gt;0)*(ROW(職員マスタ!$A$6:$A$405)-5)))&gt;0,SUMPRODUCT(MAX((職員マスタ!$A$6:$A$405=$B2695)*(((職員マスタ!$G$6:$G$405="")+(職員マスタ!$G$6:$G$405&lt;=EOMONTH($AO2695,0)))&gt;0)*(((職員マスタ!$H$6:$H$405="")+(職員マスタ!$H$6:$H$405&gt;=$AO2695))&gt;0)*(ROW(職員マスタ!$A$6:$A$405)-5))),IFERROR(MATCH($B2695,職員マスタ!$A$6:$A$405,0),"")))</f>
        <v/>
      </c>
      <c r="AO2695" s="16">
        <f>IF(OR($B2695="",$C2695="",$D2695=""),"",DATE($C2695+2018,$D2695,1))</f>
        <v/>
      </c>
    </row>
    <row r="2696">
      <c r="A2696" s="11" t="n"/>
      <c r="B2696" s="12" t="n"/>
      <c r="C2696" s="12" t="n"/>
      <c r="D2696" s="12" t="n"/>
      <c r="E2696" s="13" t="n"/>
      <c r="F2696" s="12" t="n"/>
      <c r="G2696" s="13" t="n"/>
      <c r="H2696" s="12" t="n"/>
      <c r="I2696" s="12" t="n"/>
      <c r="J2696" s="12" t="n"/>
      <c r="K2696" s="12" t="n"/>
      <c r="L2696" s="11" t="n"/>
      <c r="M2696" s="11" t="n"/>
      <c r="N2696" s="11" t="n"/>
      <c r="O2696" s="11" t="n"/>
      <c r="P2696" s="12" t="n"/>
      <c r="Q2696" s="11" t="n"/>
      <c r="R2696" s="12" t="n"/>
      <c r="S2696" s="11" t="n"/>
      <c r="T2696" s="12" t="n"/>
      <c r="U2696" s="12" t="n"/>
      <c r="V2696" s="14">
        <f>IF($AN2696="",IF($B2696="","",$H2696),IF(INDEX(職員マスタ!$B$6:$B$405,$AN2696)="",$H2696,INDEX(職員マスタ!$B$6:$B$405,$AN2696)))</f>
        <v/>
      </c>
      <c r="W2696" s="14">
        <f>IF($AN2696="",IF($B2696="","",$R2696),IF(INDEX(職員マスタ!$C$6:$C$405,$AN2696)="",$R2696,INDEX(職員マスタ!$C$6:$C$405,$AN2696)))</f>
        <v/>
      </c>
      <c r="X2696" s="14">
        <f>IF($AO2696="","","R"&amp;$C2696&amp;"."&amp;$D2696)</f>
        <v/>
      </c>
      <c r="Y2696" s="15">
        <f>IF($AN2696="","",IF(INDEX(職員マスタ!$K$6:$K$405,$AN2696)="","",INDEX(職員マスタ!$K$6:$K$405,$AN2696)))</f>
        <v/>
      </c>
      <c r="Z2696" s="14">
        <f>IF(OR($E2696="",$Y2696=""),"",IF($E2696&gt;=$Y2696,"×",IF($E2696&gt;=$Y2696*設定!$C$5,"△","○")))</f>
        <v/>
      </c>
      <c r="AA2696" s="15">
        <f>IF($Z2696="","",IF($Z2696="×",0,IF($Z2696="○",ROUNDDOWN($E2696*設定!$C$4,0),ROUNDDOWN($E2696*ROUND((9*$Y2696-9*$E2696)/(10*$E2696),4),0))))</f>
        <v/>
      </c>
      <c r="AB2696" s="13" t="n"/>
      <c r="AC2696" s="15">
        <f>IF($B2696="","",IF($AB2696&lt;&gt;"",$AB2696,IF($AA2696="","",IF($AA2696&lt;=設定!$C$3,0,$AA2696))))</f>
        <v/>
      </c>
      <c r="AD2696" s="14">
        <f>IF($B2696="","",IF(AND($AE2696&lt;&gt;"",$AG2696="",$AJ2696=""),"保留中",IF($AJ2696&lt;&gt;"",IF(N($AC2696)&gt;0,"支給済","不支給"),IF($AC2696="","要確認",IF($AC2696=0,"不支給","未処理")))))</f>
        <v/>
      </c>
      <c r="AE2696" s="12" t="n"/>
      <c r="AF2696" s="11" t="n"/>
      <c r="AG2696" s="11" t="n"/>
      <c r="AH2696" s="11" t="n"/>
      <c r="AI2696" s="14">
        <f>IF(AND($AD2696="保留中",$AF2696&lt;&gt;""),TODAY()-$AF2696,"")</f>
        <v/>
      </c>
      <c r="AJ2696" s="12" t="n"/>
      <c r="AK2696" s="14">
        <f>IF($B2696="","",IF($AO2696="","対象年月が未入力／","")&amp;IF($B2696="","",IF($AN2696="","職員マスタに未登録の職員番号／",IF($Y2696="","標準報酬月額が未登録／","")&amp;IF(AND($AO2696&lt;&gt;"",OR(AND(INDEX(職員マスタ!$G$6:$G$405,$AN2696)&lt;&gt;"",INDEX(職員マスタ!$G$6:$G$405,$AN2696)&gt;EOMONTH($AO2696,0)),AND(INDEX(職員マスタ!$H$6:$H$405,$AN2696)&lt;&gt;"",INDEX(職員マスタ!$H$6:$H$405,$AN2696)&lt;$AO2696))),"対象月が時短期間外／","")&amp;IF(AND(INDEX(職員マスタ!$F$6:$F$405,$AN2696)&lt;&gt;"",$AO2696&lt;&gt;"",INDEX(職員マスタ!$F$6:$F$405,$AN2696)&lt;$AO2696),"対象月に子が2歳到達済／","")&amp;IF(AND($H2696&lt;&gt;"",INDEX(職員マスタ!$B$6:$B$405,$AN2696)&lt;&gt;"",SUBSTITUTE(SUBSTITUTE($H2696," ","")," ","")&lt;&gt;SUBSTITUTE(SUBSTITUTE(INDEX(職員マスタ!$B$6:$B$405,$AN2696)," ","")," ","")),"氏名がマスタと相違／","")&amp;IF(AND($Q2696&lt;&gt;"",INDEX(職員マスタ!$E$6:$E$405,$AN2696)&lt;&gt;"",$Q2696&lt;&gt;INDEX(職員マスタ!$E$6:$E$405,$AN2696)),"子の生年月日がマスタと相違／","")&amp;IF(AND($L2696&lt;&gt;"",INDEX(職員マスタ!$G$6:$G$405,$AN2696)&lt;&gt;"",$L2696&lt;&gt;INDEX(職員マスタ!$G$6:$G$405,$AN2696)),"時短開始日がマスタと相違／","")&amp;IF(AND($M2696&lt;&gt;"",INDEX(職員マスタ!$H$6:$H$405,$AN2696)&lt;&gt;"",$M2696&lt;&gt;INDEX(職員マスタ!$H$6:$H$405,$AN2696)),"時短終了日がマスタと相違／","")))&amp;IF(AND($B2696&lt;&gt;"",$E2696=""),"報酬額が未入力／","")&amp;IF(N($U2696)&gt;0,"申請書に入力エラーが残っています／","")&amp;IF(AND($B2696&lt;&gt;"",$AO2696&lt;&gt;""),IF(COUNTIFS($B$6:$B$3005,$B2696,$C$6:$C$3005,$C2696,$D$6:$D$3005,$D2696)&gt;1,"同じ月の請求が重複しています／",""),"")&amp;IF(AND(N($E2696)&gt;0,$Z2696&lt;&gt;"",$Z2696&lt;&gt;"×",$AC2696=0,$AB2696=""),"計算額が下限以下のため不支給／",""))</f>
        <v/>
      </c>
      <c r="AL2696" s="12" t="n"/>
      <c r="AM2696" s="14">
        <f>IF($AD2696="保留中",COUNTIF($AD$6:$AD2696,"保留中"),"")</f>
        <v/>
      </c>
      <c r="AN2696" s="14">
        <f>IF($AO2696="","",IF(SUMPRODUCT(MAX((職員マスタ!$A$6:$A$405=$B2696)*(((職員マスタ!$G$6:$G$405="")+(職員マスタ!$G$6:$G$405&lt;=EOMONTH($AO2696,0)))&gt;0)*(((職員マスタ!$H$6:$H$405="")+(職員マスタ!$H$6:$H$405&gt;=$AO2696))&gt;0)*(ROW(職員マスタ!$A$6:$A$405)-5)))&gt;0,SUMPRODUCT(MAX((職員マスタ!$A$6:$A$405=$B2696)*(((職員マスタ!$G$6:$G$405="")+(職員マスタ!$G$6:$G$405&lt;=EOMONTH($AO2696,0)))&gt;0)*(((職員マスタ!$H$6:$H$405="")+(職員マスタ!$H$6:$H$405&gt;=$AO2696))&gt;0)*(ROW(職員マスタ!$A$6:$A$405)-5))),IFERROR(MATCH($B2696,職員マスタ!$A$6:$A$405,0),"")))</f>
        <v/>
      </c>
      <c r="AO2696" s="16">
        <f>IF(OR($B2696="",$C2696="",$D2696=""),"",DATE($C2696+2018,$D2696,1))</f>
        <v/>
      </c>
    </row>
    <row r="2697">
      <c r="A2697" s="11" t="n"/>
      <c r="B2697" s="12" t="n"/>
      <c r="C2697" s="12" t="n"/>
      <c r="D2697" s="12" t="n"/>
      <c r="E2697" s="13" t="n"/>
      <c r="F2697" s="12" t="n"/>
      <c r="G2697" s="13" t="n"/>
      <c r="H2697" s="12" t="n"/>
      <c r="I2697" s="12" t="n"/>
      <c r="J2697" s="12" t="n"/>
      <c r="K2697" s="12" t="n"/>
      <c r="L2697" s="11" t="n"/>
      <c r="M2697" s="11" t="n"/>
      <c r="N2697" s="11" t="n"/>
      <c r="O2697" s="11" t="n"/>
      <c r="P2697" s="12" t="n"/>
      <c r="Q2697" s="11" t="n"/>
      <c r="R2697" s="12" t="n"/>
      <c r="S2697" s="11" t="n"/>
      <c r="T2697" s="12" t="n"/>
      <c r="U2697" s="12" t="n"/>
      <c r="V2697" s="14">
        <f>IF($AN2697="",IF($B2697="","",$H2697),IF(INDEX(職員マスタ!$B$6:$B$405,$AN2697)="",$H2697,INDEX(職員マスタ!$B$6:$B$405,$AN2697)))</f>
        <v/>
      </c>
      <c r="W2697" s="14">
        <f>IF($AN2697="",IF($B2697="","",$R2697),IF(INDEX(職員マスタ!$C$6:$C$405,$AN2697)="",$R2697,INDEX(職員マスタ!$C$6:$C$405,$AN2697)))</f>
        <v/>
      </c>
      <c r="X2697" s="14">
        <f>IF($AO2697="","","R"&amp;$C2697&amp;"."&amp;$D2697)</f>
        <v/>
      </c>
      <c r="Y2697" s="15">
        <f>IF($AN2697="","",IF(INDEX(職員マスタ!$K$6:$K$405,$AN2697)="","",INDEX(職員マスタ!$K$6:$K$405,$AN2697)))</f>
        <v/>
      </c>
      <c r="Z2697" s="14">
        <f>IF(OR($E2697="",$Y2697=""),"",IF($E2697&gt;=$Y2697,"×",IF($E2697&gt;=$Y2697*設定!$C$5,"△","○")))</f>
        <v/>
      </c>
      <c r="AA2697" s="15">
        <f>IF($Z2697="","",IF($Z2697="×",0,IF($Z2697="○",ROUNDDOWN($E2697*設定!$C$4,0),ROUNDDOWN($E2697*ROUND((9*$Y2697-9*$E2697)/(10*$E2697),4),0))))</f>
        <v/>
      </c>
      <c r="AB2697" s="13" t="n"/>
      <c r="AC2697" s="15">
        <f>IF($B2697="","",IF($AB2697&lt;&gt;"",$AB2697,IF($AA2697="","",IF($AA2697&lt;=設定!$C$3,0,$AA2697))))</f>
        <v/>
      </c>
      <c r="AD2697" s="14">
        <f>IF($B2697="","",IF(AND($AE2697&lt;&gt;"",$AG2697="",$AJ2697=""),"保留中",IF($AJ2697&lt;&gt;"",IF(N($AC2697)&gt;0,"支給済","不支給"),IF($AC2697="","要確認",IF($AC2697=0,"不支給","未処理")))))</f>
        <v/>
      </c>
      <c r="AE2697" s="12" t="n"/>
      <c r="AF2697" s="11" t="n"/>
      <c r="AG2697" s="11" t="n"/>
      <c r="AH2697" s="11" t="n"/>
      <c r="AI2697" s="14">
        <f>IF(AND($AD2697="保留中",$AF2697&lt;&gt;""),TODAY()-$AF2697,"")</f>
        <v/>
      </c>
      <c r="AJ2697" s="12" t="n"/>
      <c r="AK2697" s="14">
        <f>IF($B2697="","",IF($AO2697="","対象年月が未入力／","")&amp;IF($B2697="","",IF($AN2697="","職員マスタに未登録の職員番号／",IF($Y2697="","標準報酬月額が未登録／","")&amp;IF(AND($AO2697&lt;&gt;"",OR(AND(INDEX(職員マスタ!$G$6:$G$405,$AN2697)&lt;&gt;"",INDEX(職員マスタ!$G$6:$G$405,$AN2697)&gt;EOMONTH($AO2697,0)),AND(INDEX(職員マスタ!$H$6:$H$405,$AN2697)&lt;&gt;"",INDEX(職員マスタ!$H$6:$H$405,$AN2697)&lt;$AO2697))),"対象月が時短期間外／","")&amp;IF(AND(INDEX(職員マスタ!$F$6:$F$405,$AN2697)&lt;&gt;"",$AO2697&lt;&gt;"",INDEX(職員マスタ!$F$6:$F$405,$AN2697)&lt;$AO2697),"対象月に子が2歳到達済／","")&amp;IF(AND($H2697&lt;&gt;"",INDEX(職員マスタ!$B$6:$B$405,$AN2697)&lt;&gt;"",SUBSTITUTE(SUBSTITUTE($H2697," ","")," ","")&lt;&gt;SUBSTITUTE(SUBSTITUTE(INDEX(職員マスタ!$B$6:$B$405,$AN2697)," ","")," ","")),"氏名がマスタと相違／","")&amp;IF(AND($Q2697&lt;&gt;"",INDEX(職員マスタ!$E$6:$E$405,$AN2697)&lt;&gt;"",$Q2697&lt;&gt;INDEX(職員マスタ!$E$6:$E$405,$AN2697)),"子の生年月日がマスタと相違／","")&amp;IF(AND($L2697&lt;&gt;"",INDEX(職員マスタ!$G$6:$G$405,$AN2697)&lt;&gt;"",$L2697&lt;&gt;INDEX(職員マスタ!$G$6:$G$405,$AN2697)),"時短開始日がマスタと相違／","")&amp;IF(AND($M2697&lt;&gt;"",INDEX(職員マスタ!$H$6:$H$405,$AN2697)&lt;&gt;"",$M2697&lt;&gt;INDEX(職員マスタ!$H$6:$H$405,$AN2697)),"時短終了日がマスタと相違／","")))&amp;IF(AND($B2697&lt;&gt;"",$E2697=""),"報酬額が未入力／","")&amp;IF(N($U2697)&gt;0,"申請書に入力エラーが残っています／","")&amp;IF(AND($B2697&lt;&gt;"",$AO2697&lt;&gt;""),IF(COUNTIFS($B$6:$B$3005,$B2697,$C$6:$C$3005,$C2697,$D$6:$D$3005,$D2697)&gt;1,"同じ月の請求が重複しています／",""),"")&amp;IF(AND(N($E2697)&gt;0,$Z2697&lt;&gt;"",$Z2697&lt;&gt;"×",$AC2697=0,$AB2697=""),"計算額が下限以下のため不支給／",""))</f>
        <v/>
      </c>
      <c r="AL2697" s="12" t="n"/>
      <c r="AM2697" s="14">
        <f>IF($AD2697="保留中",COUNTIF($AD$6:$AD2697,"保留中"),"")</f>
        <v/>
      </c>
      <c r="AN2697" s="14">
        <f>IF($AO2697="","",IF(SUMPRODUCT(MAX((職員マスタ!$A$6:$A$405=$B2697)*(((職員マスタ!$G$6:$G$405="")+(職員マスタ!$G$6:$G$405&lt;=EOMONTH($AO2697,0)))&gt;0)*(((職員マスタ!$H$6:$H$405="")+(職員マスタ!$H$6:$H$405&gt;=$AO2697))&gt;0)*(ROW(職員マスタ!$A$6:$A$405)-5)))&gt;0,SUMPRODUCT(MAX((職員マスタ!$A$6:$A$405=$B2697)*(((職員マスタ!$G$6:$G$405="")+(職員マスタ!$G$6:$G$405&lt;=EOMONTH($AO2697,0)))&gt;0)*(((職員マスタ!$H$6:$H$405="")+(職員マスタ!$H$6:$H$405&gt;=$AO2697))&gt;0)*(ROW(職員マスタ!$A$6:$A$405)-5))),IFERROR(MATCH($B2697,職員マスタ!$A$6:$A$405,0),"")))</f>
        <v/>
      </c>
      <c r="AO2697" s="16">
        <f>IF(OR($B2697="",$C2697="",$D2697=""),"",DATE($C2697+2018,$D2697,1))</f>
        <v/>
      </c>
    </row>
    <row r="2698">
      <c r="A2698" s="11" t="n"/>
      <c r="B2698" s="12" t="n"/>
      <c r="C2698" s="12" t="n"/>
      <c r="D2698" s="12" t="n"/>
      <c r="E2698" s="13" t="n"/>
      <c r="F2698" s="12" t="n"/>
      <c r="G2698" s="13" t="n"/>
      <c r="H2698" s="12" t="n"/>
      <c r="I2698" s="12" t="n"/>
      <c r="J2698" s="12" t="n"/>
      <c r="K2698" s="12" t="n"/>
      <c r="L2698" s="11" t="n"/>
      <c r="M2698" s="11" t="n"/>
      <c r="N2698" s="11" t="n"/>
      <c r="O2698" s="11" t="n"/>
      <c r="P2698" s="12" t="n"/>
      <c r="Q2698" s="11" t="n"/>
      <c r="R2698" s="12" t="n"/>
      <c r="S2698" s="11" t="n"/>
      <c r="T2698" s="12" t="n"/>
      <c r="U2698" s="12" t="n"/>
      <c r="V2698" s="14">
        <f>IF($AN2698="",IF($B2698="","",$H2698),IF(INDEX(職員マスタ!$B$6:$B$405,$AN2698)="",$H2698,INDEX(職員マスタ!$B$6:$B$405,$AN2698)))</f>
        <v/>
      </c>
      <c r="W2698" s="14">
        <f>IF($AN2698="",IF($B2698="","",$R2698),IF(INDEX(職員マスタ!$C$6:$C$405,$AN2698)="",$R2698,INDEX(職員マスタ!$C$6:$C$405,$AN2698)))</f>
        <v/>
      </c>
      <c r="X2698" s="14">
        <f>IF($AO2698="","","R"&amp;$C2698&amp;"."&amp;$D2698)</f>
        <v/>
      </c>
      <c r="Y2698" s="15">
        <f>IF($AN2698="","",IF(INDEX(職員マスタ!$K$6:$K$405,$AN2698)="","",INDEX(職員マスタ!$K$6:$K$405,$AN2698)))</f>
        <v/>
      </c>
      <c r="Z2698" s="14">
        <f>IF(OR($E2698="",$Y2698=""),"",IF($E2698&gt;=$Y2698,"×",IF($E2698&gt;=$Y2698*設定!$C$5,"△","○")))</f>
        <v/>
      </c>
      <c r="AA2698" s="15">
        <f>IF($Z2698="","",IF($Z2698="×",0,IF($Z2698="○",ROUNDDOWN($E2698*設定!$C$4,0),ROUNDDOWN($E2698*ROUND((9*$Y2698-9*$E2698)/(10*$E2698),4),0))))</f>
        <v/>
      </c>
      <c r="AB2698" s="13" t="n"/>
      <c r="AC2698" s="15">
        <f>IF($B2698="","",IF($AB2698&lt;&gt;"",$AB2698,IF($AA2698="","",IF($AA2698&lt;=設定!$C$3,0,$AA2698))))</f>
        <v/>
      </c>
      <c r="AD2698" s="14">
        <f>IF($B2698="","",IF(AND($AE2698&lt;&gt;"",$AG2698="",$AJ2698=""),"保留中",IF($AJ2698&lt;&gt;"",IF(N($AC2698)&gt;0,"支給済","不支給"),IF($AC2698="","要確認",IF($AC2698=0,"不支給","未処理")))))</f>
        <v/>
      </c>
      <c r="AE2698" s="12" t="n"/>
      <c r="AF2698" s="11" t="n"/>
      <c r="AG2698" s="11" t="n"/>
      <c r="AH2698" s="11" t="n"/>
      <c r="AI2698" s="14">
        <f>IF(AND($AD2698="保留中",$AF2698&lt;&gt;""),TODAY()-$AF2698,"")</f>
        <v/>
      </c>
      <c r="AJ2698" s="12" t="n"/>
      <c r="AK2698" s="14">
        <f>IF($B2698="","",IF($AO2698="","対象年月が未入力／","")&amp;IF($B2698="","",IF($AN2698="","職員マスタに未登録の職員番号／",IF($Y2698="","標準報酬月額が未登録／","")&amp;IF(AND($AO2698&lt;&gt;"",OR(AND(INDEX(職員マスタ!$G$6:$G$405,$AN2698)&lt;&gt;"",INDEX(職員マスタ!$G$6:$G$405,$AN2698)&gt;EOMONTH($AO2698,0)),AND(INDEX(職員マスタ!$H$6:$H$405,$AN2698)&lt;&gt;"",INDEX(職員マスタ!$H$6:$H$405,$AN2698)&lt;$AO2698))),"対象月が時短期間外／","")&amp;IF(AND(INDEX(職員マスタ!$F$6:$F$405,$AN2698)&lt;&gt;"",$AO2698&lt;&gt;"",INDEX(職員マスタ!$F$6:$F$405,$AN2698)&lt;$AO2698),"対象月に子が2歳到達済／","")&amp;IF(AND($H2698&lt;&gt;"",INDEX(職員マスタ!$B$6:$B$405,$AN2698)&lt;&gt;"",SUBSTITUTE(SUBSTITUTE($H2698," ","")," ","")&lt;&gt;SUBSTITUTE(SUBSTITUTE(INDEX(職員マスタ!$B$6:$B$405,$AN2698)," ","")," ","")),"氏名がマスタと相違／","")&amp;IF(AND($Q2698&lt;&gt;"",INDEX(職員マスタ!$E$6:$E$405,$AN2698)&lt;&gt;"",$Q2698&lt;&gt;INDEX(職員マスタ!$E$6:$E$405,$AN2698)),"子の生年月日がマスタと相違／","")&amp;IF(AND($L2698&lt;&gt;"",INDEX(職員マスタ!$G$6:$G$405,$AN2698)&lt;&gt;"",$L2698&lt;&gt;INDEX(職員マスタ!$G$6:$G$405,$AN2698)),"時短開始日がマスタと相違／","")&amp;IF(AND($M2698&lt;&gt;"",INDEX(職員マスタ!$H$6:$H$405,$AN2698)&lt;&gt;"",$M2698&lt;&gt;INDEX(職員マスタ!$H$6:$H$405,$AN2698)),"時短終了日がマスタと相違／","")))&amp;IF(AND($B2698&lt;&gt;"",$E2698=""),"報酬額が未入力／","")&amp;IF(N($U2698)&gt;0,"申請書に入力エラーが残っています／","")&amp;IF(AND($B2698&lt;&gt;"",$AO2698&lt;&gt;""),IF(COUNTIFS($B$6:$B$3005,$B2698,$C$6:$C$3005,$C2698,$D$6:$D$3005,$D2698)&gt;1,"同じ月の請求が重複しています／",""),"")&amp;IF(AND(N($E2698)&gt;0,$Z2698&lt;&gt;"",$Z2698&lt;&gt;"×",$AC2698=0,$AB2698=""),"計算額が下限以下のため不支給／",""))</f>
        <v/>
      </c>
      <c r="AL2698" s="12" t="n"/>
      <c r="AM2698" s="14">
        <f>IF($AD2698="保留中",COUNTIF($AD$6:$AD2698,"保留中"),"")</f>
        <v/>
      </c>
      <c r="AN2698" s="14">
        <f>IF($AO2698="","",IF(SUMPRODUCT(MAX((職員マスタ!$A$6:$A$405=$B2698)*(((職員マスタ!$G$6:$G$405="")+(職員マスタ!$G$6:$G$405&lt;=EOMONTH($AO2698,0)))&gt;0)*(((職員マスタ!$H$6:$H$405="")+(職員マスタ!$H$6:$H$405&gt;=$AO2698))&gt;0)*(ROW(職員マスタ!$A$6:$A$405)-5)))&gt;0,SUMPRODUCT(MAX((職員マスタ!$A$6:$A$405=$B2698)*(((職員マスタ!$G$6:$G$405="")+(職員マスタ!$G$6:$G$405&lt;=EOMONTH($AO2698,0)))&gt;0)*(((職員マスタ!$H$6:$H$405="")+(職員マスタ!$H$6:$H$405&gt;=$AO2698))&gt;0)*(ROW(職員マスタ!$A$6:$A$405)-5))),IFERROR(MATCH($B2698,職員マスタ!$A$6:$A$405,0),"")))</f>
        <v/>
      </c>
      <c r="AO2698" s="16">
        <f>IF(OR($B2698="",$C2698="",$D2698=""),"",DATE($C2698+2018,$D2698,1))</f>
        <v/>
      </c>
    </row>
    <row r="2699">
      <c r="A2699" s="11" t="n"/>
      <c r="B2699" s="12" t="n"/>
      <c r="C2699" s="12" t="n"/>
      <c r="D2699" s="12" t="n"/>
      <c r="E2699" s="13" t="n"/>
      <c r="F2699" s="12" t="n"/>
      <c r="G2699" s="13" t="n"/>
      <c r="H2699" s="12" t="n"/>
      <c r="I2699" s="12" t="n"/>
      <c r="J2699" s="12" t="n"/>
      <c r="K2699" s="12" t="n"/>
      <c r="L2699" s="11" t="n"/>
      <c r="M2699" s="11" t="n"/>
      <c r="N2699" s="11" t="n"/>
      <c r="O2699" s="11" t="n"/>
      <c r="P2699" s="12" t="n"/>
      <c r="Q2699" s="11" t="n"/>
      <c r="R2699" s="12" t="n"/>
      <c r="S2699" s="11" t="n"/>
      <c r="T2699" s="12" t="n"/>
      <c r="U2699" s="12" t="n"/>
      <c r="V2699" s="14">
        <f>IF($AN2699="",IF($B2699="","",$H2699),IF(INDEX(職員マスタ!$B$6:$B$405,$AN2699)="",$H2699,INDEX(職員マスタ!$B$6:$B$405,$AN2699)))</f>
        <v/>
      </c>
      <c r="W2699" s="14">
        <f>IF($AN2699="",IF($B2699="","",$R2699),IF(INDEX(職員マスタ!$C$6:$C$405,$AN2699)="",$R2699,INDEX(職員マスタ!$C$6:$C$405,$AN2699)))</f>
        <v/>
      </c>
      <c r="X2699" s="14">
        <f>IF($AO2699="","","R"&amp;$C2699&amp;"."&amp;$D2699)</f>
        <v/>
      </c>
      <c r="Y2699" s="15">
        <f>IF($AN2699="","",IF(INDEX(職員マスタ!$K$6:$K$405,$AN2699)="","",INDEX(職員マスタ!$K$6:$K$405,$AN2699)))</f>
        <v/>
      </c>
      <c r="Z2699" s="14">
        <f>IF(OR($E2699="",$Y2699=""),"",IF($E2699&gt;=$Y2699,"×",IF($E2699&gt;=$Y2699*設定!$C$5,"△","○")))</f>
        <v/>
      </c>
      <c r="AA2699" s="15">
        <f>IF($Z2699="","",IF($Z2699="×",0,IF($Z2699="○",ROUNDDOWN($E2699*設定!$C$4,0),ROUNDDOWN($E2699*ROUND((9*$Y2699-9*$E2699)/(10*$E2699),4),0))))</f>
        <v/>
      </c>
      <c r="AB2699" s="13" t="n"/>
      <c r="AC2699" s="15">
        <f>IF($B2699="","",IF($AB2699&lt;&gt;"",$AB2699,IF($AA2699="","",IF($AA2699&lt;=設定!$C$3,0,$AA2699))))</f>
        <v/>
      </c>
      <c r="AD2699" s="14">
        <f>IF($B2699="","",IF(AND($AE2699&lt;&gt;"",$AG2699="",$AJ2699=""),"保留中",IF($AJ2699&lt;&gt;"",IF(N($AC2699)&gt;0,"支給済","不支給"),IF($AC2699="","要確認",IF($AC2699=0,"不支給","未処理")))))</f>
        <v/>
      </c>
      <c r="AE2699" s="12" t="n"/>
      <c r="AF2699" s="11" t="n"/>
      <c r="AG2699" s="11" t="n"/>
      <c r="AH2699" s="11" t="n"/>
      <c r="AI2699" s="14">
        <f>IF(AND($AD2699="保留中",$AF2699&lt;&gt;""),TODAY()-$AF2699,"")</f>
        <v/>
      </c>
      <c r="AJ2699" s="12" t="n"/>
      <c r="AK2699" s="14">
        <f>IF($B2699="","",IF($AO2699="","対象年月が未入力／","")&amp;IF($B2699="","",IF($AN2699="","職員マスタに未登録の職員番号／",IF($Y2699="","標準報酬月額が未登録／","")&amp;IF(AND($AO2699&lt;&gt;"",OR(AND(INDEX(職員マスタ!$G$6:$G$405,$AN2699)&lt;&gt;"",INDEX(職員マスタ!$G$6:$G$405,$AN2699)&gt;EOMONTH($AO2699,0)),AND(INDEX(職員マスタ!$H$6:$H$405,$AN2699)&lt;&gt;"",INDEX(職員マスタ!$H$6:$H$405,$AN2699)&lt;$AO2699))),"対象月が時短期間外／","")&amp;IF(AND(INDEX(職員マスタ!$F$6:$F$405,$AN2699)&lt;&gt;"",$AO2699&lt;&gt;"",INDEX(職員マスタ!$F$6:$F$405,$AN2699)&lt;$AO2699),"対象月に子が2歳到達済／","")&amp;IF(AND($H2699&lt;&gt;"",INDEX(職員マスタ!$B$6:$B$405,$AN2699)&lt;&gt;"",SUBSTITUTE(SUBSTITUTE($H2699," ","")," ","")&lt;&gt;SUBSTITUTE(SUBSTITUTE(INDEX(職員マスタ!$B$6:$B$405,$AN2699)," ","")," ","")),"氏名がマスタと相違／","")&amp;IF(AND($Q2699&lt;&gt;"",INDEX(職員マスタ!$E$6:$E$405,$AN2699)&lt;&gt;"",$Q2699&lt;&gt;INDEX(職員マスタ!$E$6:$E$405,$AN2699)),"子の生年月日がマスタと相違／","")&amp;IF(AND($L2699&lt;&gt;"",INDEX(職員マスタ!$G$6:$G$405,$AN2699)&lt;&gt;"",$L2699&lt;&gt;INDEX(職員マスタ!$G$6:$G$405,$AN2699)),"時短開始日がマスタと相違／","")&amp;IF(AND($M2699&lt;&gt;"",INDEX(職員マスタ!$H$6:$H$405,$AN2699)&lt;&gt;"",$M2699&lt;&gt;INDEX(職員マスタ!$H$6:$H$405,$AN2699)),"時短終了日がマスタと相違／","")))&amp;IF(AND($B2699&lt;&gt;"",$E2699=""),"報酬額が未入力／","")&amp;IF(N($U2699)&gt;0,"申請書に入力エラーが残っています／","")&amp;IF(AND($B2699&lt;&gt;"",$AO2699&lt;&gt;""),IF(COUNTIFS($B$6:$B$3005,$B2699,$C$6:$C$3005,$C2699,$D$6:$D$3005,$D2699)&gt;1,"同じ月の請求が重複しています／",""),"")&amp;IF(AND(N($E2699)&gt;0,$Z2699&lt;&gt;"",$Z2699&lt;&gt;"×",$AC2699=0,$AB2699=""),"計算額が下限以下のため不支給／",""))</f>
        <v/>
      </c>
      <c r="AL2699" s="12" t="n"/>
      <c r="AM2699" s="14">
        <f>IF($AD2699="保留中",COUNTIF($AD$6:$AD2699,"保留中"),"")</f>
        <v/>
      </c>
      <c r="AN2699" s="14">
        <f>IF($AO2699="","",IF(SUMPRODUCT(MAX((職員マスタ!$A$6:$A$405=$B2699)*(((職員マスタ!$G$6:$G$405="")+(職員マスタ!$G$6:$G$405&lt;=EOMONTH($AO2699,0)))&gt;0)*(((職員マスタ!$H$6:$H$405="")+(職員マスタ!$H$6:$H$405&gt;=$AO2699))&gt;0)*(ROW(職員マスタ!$A$6:$A$405)-5)))&gt;0,SUMPRODUCT(MAX((職員マスタ!$A$6:$A$405=$B2699)*(((職員マスタ!$G$6:$G$405="")+(職員マスタ!$G$6:$G$405&lt;=EOMONTH($AO2699,0)))&gt;0)*(((職員マスタ!$H$6:$H$405="")+(職員マスタ!$H$6:$H$405&gt;=$AO2699))&gt;0)*(ROW(職員マスタ!$A$6:$A$405)-5))),IFERROR(MATCH($B2699,職員マスタ!$A$6:$A$405,0),"")))</f>
        <v/>
      </c>
      <c r="AO2699" s="16">
        <f>IF(OR($B2699="",$C2699="",$D2699=""),"",DATE($C2699+2018,$D2699,1))</f>
        <v/>
      </c>
    </row>
    <row r="2700">
      <c r="A2700" s="11" t="n"/>
      <c r="B2700" s="12" t="n"/>
      <c r="C2700" s="12" t="n"/>
      <c r="D2700" s="12" t="n"/>
      <c r="E2700" s="13" t="n"/>
      <c r="F2700" s="12" t="n"/>
      <c r="G2700" s="13" t="n"/>
      <c r="H2700" s="12" t="n"/>
      <c r="I2700" s="12" t="n"/>
      <c r="J2700" s="12" t="n"/>
      <c r="K2700" s="12" t="n"/>
      <c r="L2700" s="11" t="n"/>
      <c r="M2700" s="11" t="n"/>
      <c r="N2700" s="11" t="n"/>
      <c r="O2700" s="11" t="n"/>
      <c r="P2700" s="12" t="n"/>
      <c r="Q2700" s="11" t="n"/>
      <c r="R2700" s="12" t="n"/>
      <c r="S2700" s="11" t="n"/>
      <c r="T2700" s="12" t="n"/>
      <c r="U2700" s="12" t="n"/>
      <c r="V2700" s="14">
        <f>IF($AN2700="",IF($B2700="","",$H2700),IF(INDEX(職員マスタ!$B$6:$B$405,$AN2700)="",$H2700,INDEX(職員マスタ!$B$6:$B$405,$AN2700)))</f>
        <v/>
      </c>
      <c r="W2700" s="14">
        <f>IF($AN2700="",IF($B2700="","",$R2700),IF(INDEX(職員マスタ!$C$6:$C$405,$AN2700)="",$R2700,INDEX(職員マスタ!$C$6:$C$405,$AN2700)))</f>
        <v/>
      </c>
      <c r="X2700" s="14">
        <f>IF($AO2700="","","R"&amp;$C2700&amp;"."&amp;$D2700)</f>
        <v/>
      </c>
      <c r="Y2700" s="15">
        <f>IF($AN2700="","",IF(INDEX(職員マスタ!$K$6:$K$405,$AN2700)="","",INDEX(職員マスタ!$K$6:$K$405,$AN2700)))</f>
        <v/>
      </c>
      <c r="Z2700" s="14">
        <f>IF(OR($E2700="",$Y2700=""),"",IF($E2700&gt;=$Y2700,"×",IF($E2700&gt;=$Y2700*設定!$C$5,"△","○")))</f>
        <v/>
      </c>
      <c r="AA2700" s="15">
        <f>IF($Z2700="","",IF($Z2700="×",0,IF($Z2700="○",ROUNDDOWN($E2700*設定!$C$4,0),ROUNDDOWN($E2700*ROUND((9*$Y2700-9*$E2700)/(10*$E2700),4),0))))</f>
        <v/>
      </c>
      <c r="AB2700" s="13" t="n"/>
      <c r="AC2700" s="15">
        <f>IF($B2700="","",IF($AB2700&lt;&gt;"",$AB2700,IF($AA2700="","",IF($AA2700&lt;=設定!$C$3,0,$AA2700))))</f>
        <v/>
      </c>
      <c r="AD2700" s="14">
        <f>IF($B2700="","",IF(AND($AE2700&lt;&gt;"",$AG2700="",$AJ2700=""),"保留中",IF($AJ2700&lt;&gt;"",IF(N($AC2700)&gt;0,"支給済","不支給"),IF($AC2700="","要確認",IF($AC2700=0,"不支給","未処理")))))</f>
        <v/>
      </c>
      <c r="AE2700" s="12" t="n"/>
      <c r="AF2700" s="11" t="n"/>
      <c r="AG2700" s="11" t="n"/>
      <c r="AH2700" s="11" t="n"/>
      <c r="AI2700" s="14">
        <f>IF(AND($AD2700="保留中",$AF2700&lt;&gt;""),TODAY()-$AF2700,"")</f>
        <v/>
      </c>
      <c r="AJ2700" s="12" t="n"/>
      <c r="AK2700" s="14">
        <f>IF($B2700="","",IF($AO2700="","対象年月が未入力／","")&amp;IF($B2700="","",IF($AN2700="","職員マスタに未登録の職員番号／",IF($Y2700="","標準報酬月額が未登録／","")&amp;IF(AND($AO2700&lt;&gt;"",OR(AND(INDEX(職員マスタ!$G$6:$G$405,$AN2700)&lt;&gt;"",INDEX(職員マスタ!$G$6:$G$405,$AN2700)&gt;EOMONTH($AO2700,0)),AND(INDEX(職員マスタ!$H$6:$H$405,$AN2700)&lt;&gt;"",INDEX(職員マスタ!$H$6:$H$405,$AN2700)&lt;$AO2700))),"対象月が時短期間外／","")&amp;IF(AND(INDEX(職員マスタ!$F$6:$F$405,$AN2700)&lt;&gt;"",$AO2700&lt;&gt;"",INDEX(職員マスタ!$F$6:$F$405,$AN2700)&lt;$AO2700),"対象月に子が2歳到達済／","")&amp;IF(AND($H2700&lt;&gt;"",INDEX(職員マスタ!$B$6:$B$405,$AN2700)&lt;&gt;"",SUBSTITUTE(SUBSTITUTE($H2700," ","")," ","")&lt;&gt;SUBSTITUTE(SUBSTITUTE(INDEX(職員マスタ!$B$6:$B$405,$AN2700)," ","")," ","")),"氏名がマスタと相違／","")&amp;IF(AND($Q2700&lt;&gt;"",INDEX(職員マスタ!$E$6:$E$405,$AN2700)&lt;&gt;"",$Q2700&lt;&gt;INDEX(職員マスタ!$E$6:$E$405,$AN2700)),"子の生年月日がマスタと相違／","")&amp;IF(AND($L2700&lt;&gt;"",INDEX(職員マスタ!$G$6:$G$405,$AN2700)&lt;&gt;"",$L2700&lt;&gt;INDEX(職員マスタ!$G$6:$G$405,$AN2700)),"時短開始日がマスタと相違／","")&amp;IF(AND($M2700&lt;&gt;"",INDEX(職員マスタ!$H$6:$H$405,$AN2700)&lt;&gt;"",$M2700&lt;&gt;INDEX(職員マスタ!$H$6:$H$405,$AN2700)),"時短終了日がマスタと相違／","")))&amp;IF(AND($B2700&lt;&gt;"",$E2700=""),"報酬額が未入力／","")&amp;IF(N($U2700)&gt;0,"申請書に入力エラーが残っています／","")&amp;IF(AND($B2700&lt;&gt;"",$AO2700&lt;&gt;""),IF(COUNTIFS($B$6:$B$3005,$B2700,$C$6:$C$3005,$C2700,$D$6:$D$3005,$D2700)&gt;1,"同じ月の請求が重複しています／",""),"")&amp;IF(AND(N($E2700)&gt;0,$Z2700&lt;&gt;"",$Z2700&lt;&gt;"×",$AC2700=0,$AB2700=""),"計算額が下限以下のため不支給／",""))</f>
        <v/>
      </c>
      <c r="AL2700" s="12" t="n"/>
      <c r="AM2700" s="14">
        <f>IF($AD2700="保留中",COUNTIF($AD$6:$AD2700,"保留中"),"")</f>
        <v/>
      </c>
      <c r="AN2700" s="14">
        <f>IF($AO2700="","",IF(SUMPRODUCT(MAX((職員マスタ!$A$6:$A$405=$B2700)*(((職員マスタ!$G$6:$G$405="")+(職員マスタ!$G$6:$G$405&lt;=EOMONTH($AO2700,0)))&gt;0)*(((職員マスタ!$H$6:$H$405="")+(職員マスタ!$H$6:$H$405&gt;=$AO2700))&gt;0)*(ROW(職員マスタ!$A$6:$A$405)-5)))&gt;0,SUMPRODUCT(MAX((職員マスタ!$A$6:$A$405=$B2700)*(((職員マスタ!$G$6:$G$405="")+(職員マスタ!$G$6:$G$405&lt;=EOMONTH($AO2700,0)))&gt;0)*(((職員マスタ!$H$6:$H$405="")+(職員マスタ!$H$6:$H$405&gt;=$AO2700))&gt;0)*(ROW(職員マスタ!$A$6:$A$405)-5))),IFERROR(MATCH($B2700,職員マスタ!$A$6:$A$405,0),"")))</f>
        <v/>
      </c>
      <c r="AO2700" s="16">
        <f>IF(OR($B2700="",$C2700="",$D2700=""),"",DATE($C2700+2018,$D2700,1))</f>
        <v/>
      </c>
    </row>
    <row r="2701">
      <c r="A2701" s="11" t="n"/>
      <c r="B2701" s="12" t="n"/>
      <c r="C2701" s="12" t="n"/>
      <c r="D2701" s="12" t="n"/>
      <c r="E2701" s="13" t="n"/>
      <c r="F2701" s="12" t="n"/>
      <c r="G2701" s="13" t="n"/>
      <c r="H2701" s="12" t="n"/>
      <c r="I2701" s="12" t="n"/>
      <c r="J2701" s="12" t="n"/>
      <c r="K2701" s="12" t="n"/>
      <c r="L2701" s="11" t="n"/>
      <c r="M2701" s="11" t="n"/>
      <c r="N2701" s="11" t="n"/>
      <c r="O2701" s="11" t="n"/>
      <c r="P2701" s="12" t="n"/>
      <c r="Q2701" s="11" t="n"/>
      <c r="R2701" s="12" t="n"/>
      <c r="S2701" s="11" t="n"/>
      <c r="T2701" s="12" t="n"/>
      <c r="U2701" s="12" t="n"/>
      <c r="V2701" s="14">
        <f>IF($AN2701="",IF($B2701="","",$H2701),IF(INDEX(職員マスタ!$B$6:$B$405,$AN2701)="",$H2701,INDEX(職員マスタ!$B$6:$B$405,$AN2701)))</f>
        <v/>
      </c>
      <c r="W2701" s="14">
        <f>IF($AN2701="",IF($B2701="","",$R2701),IF(INDEX(職員マスタ!$C$6:$C$405,$AN2701)="",$R2701,INDEX(職員マスタ!$C$6:$C$405,$AN2701)))</f>
        <v/>
      </c>
      <c r="X2701" s="14">
        <f>IF($AO2701="","","R"&amp;$C2701&amp;"."&amp;$D2701)</f>
        <v/>
      </c>
      <c r="Y2701" s="15">
        <f>IF($AN2701="","",IF(INDEX(職員マスタ!$K$6:$K$405,$AN2701)="","",INDEX(職員マスタ!$K$6:$K$405,$AN2701)))</f>
        <v/>
      </c>
      <c r="Z2701" s="14">
        <f>IF(OR($E2701="",$Y2701=""),"",IF($E2701&gt;=$Y2701,"×",IF($E2701&gt;=$Y2701*設定!$C$5,"△","○")))</f>
        <v/>
      </c>
      <c r="AA2701" s="15">
        <f>IF($Z2701="","",IF($Z2701="×",0,IF($Z2701="○",ROUNDDOWN($E2701*設定!$C$4,0),ROUNDDOWN($E2701*ROUND((9*$Y2701-9*$E2701)/(10*$E2701),4),0))))</f>
        <v/>
      </c>
      <c r="AB2701" s="13" t="n"/>
      <c r="AC2701" s="15">
        <f>IF($B2701="","",IF($AB2701&lt;&gt;"",$AB2701,IF($AA2701="","",IF($AA2701&lt;=設定!$C$3,0,$AA2701))))</f>
        <v/>
      </c>
      <c r="AD2701" s="14">
        <f>IF($B2701="","",IF(AND($AE2701&lt;&gt;"",$AG2701="",$AJ2701=""),"保留中",IF($AJ2701&lt;&gt;"",IF(N($AC2701)&gt;0,"支給済","不支給"),IF($AC2701="","要確認",IF($AC2701=0,"不支給","未処理")))))</f>
        <v/>
      </c>
      <c r="AE2701" s="12" t="n"/>
      <c r="AF2701" s="11" t="n"/>
      <c r="AG2701" s="11" t="n"/>
      <c r="AH2701" s="11" t="n"/>
      <c r="AI2701" s="14">
        <f>IF(AND($AD2701="保留中",$AF2701&lt;&gt;""),TODAY()-$AF2701,"")</f>
        <v/>
      </c>
      <c r="AJ2701" s="12" t="n"/>
      <c r="AK2701" s="14">
        <f>IF($B2701="","",IF($AO2701="","対象年月が未入力／","")&amp;IF($B2701="","",IF($AN2701="","職員マスタに未登録の職員番号／",IF($Y2701="","標準報酬月額が未登録／","")&amp;IF(AND($AO2701&lt;&gt;"",OR(AND(INDEX(職員マスタ!$G$6:$G$405,$AN2701)&lt;&gt;"",INDEX(職員マスタ!$G$6:$G$405,$AN2701)&gt;EOMONTH($AO2701,0)),AND(INDEX(職員マスタ!$H$6:$H$405,$AN2701)&lt;&gt;"",INDEX(職員マスタ!$H$6:$H$405,$AN2701)&lt;$AO2701))),"対象月が時短期間外／","")&amp;IF(AND(INDEX(職員マスタ!$F$6:$F$405,$AN2701)&lt;&gt;"",$AO2701&lt;&gt;"",INDEX(職員マスタ!$F$6:$F$405,$AN2701)&lt;$AO2701),"対象月に子が2歳到達済／","")&amp;IF(AND($H2701&lt;&gt;"",INDEX(職員マスタ!$B$6:$B$405,$AN2701)&lt;&gt;"",SUBSTITUTE(SUBSTITUTE($H2701," ","")," ","")&lt;&gt;SUBSTITUTE(SUBSTITUTE(INDEX(職員マスタ!$B$6:$B$405,$AN2701)," ","")," ","")),"氏名がマスタと相違／","")&amp;IF(AND($Q2701&lt;&gt;"",INDEX(職員マスタ!$E$6:$E$405,$AN2701)&lt;&gt;"",$Q2701&lt;&gt;INDEX(職員マスタ!$E$6:$E$405,$AN2701)),"子の生年月日がマスタと相違／","")&amp;IF(AND($L2701&lt;&gt;"",INDEX(職員マスタ!$G$6:$G$405,$AN2701)&lt;&gt;"",$L2701&lt;&gt;INDEX(職員マスタ!$G$6:$G$405,$AN2701)),"時短開始日がマスタと相違／","")&amp;IF(AND($M2701&lt;&gt;"",INDEX(職員マスタ!$H$6:$H$405,$AN2701)&lt;&gt;"",$M2701&lt;&gt;INDEX(職員マスタ!$H$6:$H$405,$AN2701)),"時短終了日がマスタと相違／","")))&amp;IF(AND($B2701&lt;&gt;"",$E2701=""),"報酬額が未入力／","")&amp;IF(N($U2701)&gt;0,"申請書に入力エラーが残っています／","")&amp;IF(AND($B2701&lt;&gt;"",$AO2701&lt;&gt;""),IF(COUNTIFS($B$6:$B$3005,$B2701,$C$6:$C$3005,$C2701,$D$6:$D$3005,$D2701)&gt;1,"同じ月の請求が重複しています／",""),"")&amp;IF(AND(N($E2701)&gt;0,$Z2701&lt;&gt;"",$Z2701&lt;&gt;"×",$AC2701=0,$AB2701=""),"計算額が下限以下のため不支給／",""))</f>
        <v/>
      </c>
      <c r="AL2701" s="12" t="n"/>
      <c r="AM2701" s="14">
        <f>IF($AD2701="保留中",COUNTIF($AD$6:$AD2701,"保留中"),"")</f>
        <v/>
      </c>
      <c r="AN2701" s="14">
        <f>IF($AO2701="","",IF(SUMPRODUCT(MAX((職員マスタ!$A$6:$A$405=$B2701)*(((職員マスタ!$G$6:$G$405="")+(職員マスタ!$G$6:$G$405&lt;=EOMONTH($AO2701,0)))&gt;0)*(((職員マスタ!$H$6:$H$405="")+(職員マスタ!$H$6:$H$405&gt;=$AO2701))&gt;0)*(ROW(職員マスタ!$A$6:$A$405)-5)))&gt;0,SUMPRODUCT(MAX((職員マスタ!$A$6:$A$405=$B2701)*(((職員マスタ!$G$6:$G$405="")+(職員マスタ!$G$6:$G$405&lt;=EOMONTH($AO2701,0)))&gt;0)*(((職員マスタ!$H$6:$H$405="")+(職員マスタ!$H$6:$H$405&gt;=$AO2701))&gt;0)*(ROW(職員マスタ!$A$6:$A$405)-5))),IFERROR(MATCH($B2701,職員マスタ!$A$6:$A$405,0),"")))</f>
        <v/>
      </c>
      <c r="AO2701" s="16">
        <f>IF(OR($B2701="",$C2701="",$D2701=""),"",DATE($C2701+2018,$D2701,1))</f>
        <v/>
      </c>
    </row>
    <row r="2702">
      <c r="A2702" s="11" t="n"/>
      <c r="B2702" s="12" t="n"/>
      <c r="C2702" s="12" t="n"/>
      <c r="D2702" s="12" t="n"/>
      <c r="E2702" s="13" t="n"/>
      <c r="F2702" s="12" t="n"/>
      <c r="G2702" s="13" t="n"/>
      <c r="H2702" s="12" t="n"/>
      <c r="I2702" s="12" t="n"/>
      <c r="J2702" s="12" t="n"/>
      <c r="K2702" s="12" t="n"/>
      <c r="L2702" s="11" t="n"/>
      <c r="M2702" s="11" t="n"/>
      <c r="N2702" s="11" t="n"/>
      <c r="O2702" s="11" t="n"/>
      <c r="P2702" s="12" t="n"/>
      <c r="Q2702" s="11" t="n"/>
      <c r="R2702" s="12" t="n"/>
      <c r="S2702" s="11" t="n"/>
      <c r="T2702" s="12" t="n"/>
      <c r="U2702" s="12" t="n"/>
      <c r="V2702" s="14">
        <f>IF($AN2702="",IF($B2702="","",$H2702),IF(INDEX(職員マスタ!$B$6:$B$405,$AN2702)="",$H2702,INDEX(職員マスタ!$B$6:$B$405,$AN2702)))</f>
        <v/>
      </c>
      <c r="W2702" s="14">
        <f>IF($AN2702="",IF($B2702="","",$R2702),IF(INDEX(職員マスタ!$C$6:$C$405,$AN2702)="",$R2702,INDEX(職員マスタ!$C$6:$C$405,$AN2702)))</f>
        <v/>
      </c>
      <c r="X2702" s="14">
        <f>IF($AO2702="","","R"&amp;$C2702&amp;"."&amp;$D2702)</f>
        <v/>
      </c>
      <c r="Y2702" s="15">
        <f>IF($AN2702="","",IF(INDEX(職員マスタ!$K$6:$K$405,$AN2702)="","",INDEX(職員マスタ!$K$6:$K$405,$AN2702)))</f>
        <v/>
      </c>
      <c r="Z2702" s="14">
        <f>IF(OR($E2702="",$Y2702=""),"",IF($E2702&gt;=$Y2702,"×",IF($E2702&gt;=$Y2702*設定!$C$5,"△","○")))</f>
        <v/>
      </c>
      <c r="AA2702" s="15">
        <f>IF($Z2702="","",IF($Z2702="×",0,IF($Z2702="○",ROUNDDOWN($E2702*設定!$C$4,0),ROUNDDOWN($E2702*ROUND((9*$Y2702-9*$E2702)/(10*$E2702),4),0))))</f>
        <v/>
      </c>
      <c r="AB2702" s="13" t="n"/>
      <c r="AC2702" s="15">
        <f>IF($B2702="","",IF($AB2702&lt;&gt;"",$AB2702,IF($AA2702="","",IF($AA2702&lt;=設定!$C$3,0,$AA2702))))</f>
        <v/>
      </c>
      <c r="AD2702" s="14">
        <f>IF($B2702="","",IF(AND($AE2702&lt;&gt;"",$AG2702="",$AJ2702=""),"保留中",IF($AJ2702&lt;&gt;"",IF(N($AC2702)&gt;0,"支給済","不支給"),IF($AC2702="","要確認",IF($AC2702=0,"不支給","未処理")))))</f>
        <v/>
      </c>
      <c r="AE2702" s="12" t="n"/>
      <c r="AF2702" s="11" t="n"/>
      <c r="AG2702" s="11" t="n"/>
      <c r="AH2702" s="11" t="n"/>
      <c r="AI2702" s="14">
        <f>IF(AND($AD2702="保留中",$AF2702&lt;&gt;""),TODAY()-$AF2702,"")</f>
        <v/>
      </c>
      <c r="AJ2702" s="12" t="n"/>
      <c r="AK2702" s="14">
        <f>IF($B2702="","",IF($AO2702="","対象年月が未入力／","")&amp;IF($B2702="","",IF($AN2702="","職員マスタに未登録の職員番号／",IF($Y2702="","標準報酬月額が未登録／","")&amp;IF(AND($AO2702&lt;&gt;"",OR(AND(INDEX(職員マスタ!$G$6:$G$405,$AN2702)&lt;&gt;"",INDEX(職員マスタ!$G$6:$G$405,$AN2702)&gt;EOMONTH($AO2702,0)),AND(INDEX(職員マスタ!$H$6:$H$405,$AN2702)&lt;&gt;"",INDEX(職員マスタ!$H$6:$H$405,$AN2702)&lt;$AO2702))),"対象月が時短期間外／","")&amp;IF(AND(INDEX(職員マスタ!$F$6:$F$405,$AN2702)&lt;&gt;"",$AO2702&lt;&gt;"",INDEX(職員マスタ!$F$6:$F$405,$AN2702)&lt;$AO2702),"対象月に子が2歳到達済／","")&amp;IF(AND($H2702&lt;&gt;"",INDEX(職員マスタ!$B$6:$B$405,$AN2702)&lt;&gt;"",SUBSTITUTE(SUBSTITUTE($H2702," ","")," ","")&lt;&gt;SUBSTITUTE(SUBSTITUTE(INDEX(職員マスタ!$B$6:$B$405,$AN2702)," ","")," ","")),"氏名がマスタと相違／","")&amp;IF(AND($Q2702&lt;&gt;"",INDEX(職員マスタ!$E$6:$E$405,$AN2702)&lt;&gt;"",$Q2702&lt;&gt;INDEX(職員マスタ!$E$6:$E$405,$AN2702)),"子の生年月日がマスタと相違／","")&amp;IF(AND($L2702&lt;&gt;"",INDEX(職員マスタ!$G$6:$G$405,$AN2702)&lt;&gt;"",$L2702&lt;&gt;INDEX(職員マスタ!$G$6:$G$405,$AN2702)),"時短開始日がマスタと相違／","")&amp;IF(AND($M2702&lt;&gt;"",INDEX(職員マスタ!$H$6:$H$405,$AN2702)&lt;&gt;"",$M2702&lt;&gt;INDEX(職員マスタ!$H$6:$H$405,$AN2702)),"時短終了日がマスタと相違／","")))&amp;IF(AND($B2702&lt;&gt;"",$E2702=""),"報酬額が未入力／","")&amp;IF(N($U2702)&gt;0,"申請書に入力エラーが残っています／","")&amp;IF(AND($B2702&lt;&gt;"",$AO2702&lt;&gt;""),IF(COUNTIFS($B$6:$B$3005,$B2702,$C$6:$C$3005,$C2702,$D$6:$D$3005,$D2702)&gt;1,"同じ月の請求が重複しています／",""),"")&amp;IF(AND(N($E2702)&gt;0,$Z2702&lt;&gt;"",$Z2702&lt;&gt;"×",$AC2702=0,$AB2702=""),"計算額が下限以下のため不支給／",""))</f>
        <v/>
      </c>
      <c r="AL2702" s="12" t="n"/>
      <c r="AM2702" s="14">
        <f>IF($AD2702="保留中",COUNTIF($AD$6:$AD2702,"保留中"),"")</f>
        <v/>
      </c>
      <c r="AN2702" s="14">
        <f>IF($AO2702="","",IF(SUMPRODUCT(MAX((職員マスタ!$A$6:$A$405=$B2702)*(((職員マスタ!$G$6:$G$405="")+(職員マスタ!$G$6:$G$405&lt;=EOMONTH($AO2702,0)))&gt;0)*(((職員マスタ!$H$6:$H$405="")+(職員マスタ!$H$6:$H$405&gt;=$AO2702))&gt;0)*(ROW(職員マスタ!$A$6:$A$405)-5)))&gt;0,SUMPRODUCT(MAX((職員マスタ!$A$6:$A$405=$B2702)*(((職員マスタ!$G$6:$G$405="")+(職員マスタ!$G$6:$G$405&lt;=EOMONTH($AO2702,0)))&gt;0)*(((職員マスタ!$H$6:$H$405="")+(職員マスタ!$H$6:$H$405&gt;=$AO2702))&gt;0)*(ROW(職員マスタ!$A$6:$A$405)-5))),IFERROR(MATCH($B2702,職員マスタ!$A$6:$A$405,0),"")))</f>
        <v/>
      </c>
      <c r="AO2702" s="16">
        <f>IF(OR($B2702="",$C2702="",$D2702=""),"",DATE($C2702+2018,$D2702,1))</f>
        <v/>
      </c>
    </row>
    <row r="2703">
      <c r="A2703" s="11" t="n"/>
      <c r="B2703" s="12" t="n"/>
      <c r="C2703" s="12" t="n"/>
      <c r="D2703" s="12" t="n"/>
      <c r="E2703" s="13" t="n"/>
      <c r="F2703" s="12" t="n"/>
      <c r="G2703" s="13" t="n"/>
      <c r="H2703" s="12" t="n"/>
      <c r="I2703" s="12" t="n"/>
      <c r="J2703" s="12" t="n"/>
      <c r="K2703" s="12" t="n"/>
      <c r="L2703" s="11" t="n"/>
      <c r="M2703" s="11" t="n"/>
      <c r="N2703" s="11" t="n"/>
      <c r="O2703" s="11" t="n"/>
      <c r="P2703" s="12" t="n"/>
      <c r="Q2703" s="11" t="n"/>
      <c r="R2703" s="12" t="n"/>
      <c r="S2703" s="11" t="n"/>
      <c r="T2703" s="12" t="n"/>
      <c r="U2703" s="12" t="n"/>
      <c r="V2703" s="14">
        <f>IF($AN2703="",IF($B2703="","",$H2703),IF(INDEX(職員マスタ!$B$6:$B$405,$AN2703)="",$H2703,INDEX(職員マスタ!$B$6:$B$405,$AN2703)))</f>
        <v/>
      </c>
      <c r="W2703" s="14">
        <f>IF($AN2703="",IF($B2703="","",$R2703),IF(INDEX(職員マスタ!$C$6:$C$405,$AN2703)="",$R2703,INDEX(職員マスタ!$C$6:$C$405,$AN2703)))</f>
        <v/>
      </c>
      <c r="X2703" s="14">
        <f>IF($AO2703="","","R"&amp;$C2703&amp;"."&amp;$D2703)</f>
        <v/>
      </c>
      <c r="Y2703" s="15">
        <f>IF($AN2703="","",IF(INDEX(職員マスタ!$K$6:$K$405,$AN2703)="","",INDEX(職員マスタ!$K$6:$K$405,$AN2703)))</f>
        <v/>
      </c>
      <c r="Z2703" s="14">
        <f>IF(OR($E2703="",$Y2703=""),"",IF($E2703&gt;=$Y2703,"×",IF($E2703&gt;=$Y2703*設定!$C$5,"△","○")))</f>
        <v/>
      </c>
      <c r="AA2703" s="15">
        <f>IF($Z2703="","",IF($Z2703="×",0,IF($Z2703="○",ROUNDDOWN($E2703*設定!$C$4,0),ROUNDDOWN($E2703*ROUND((9*$Y2703-9*$E2703)/(10*$E2703),4),0))))</f>
        <v/>
      </c>
      <c r="AB2703" s="13" t="n"/>
      <c r="AC2703" s="15">
        <f>IF($B2703="","",IF($AB2703&lt;&gt;"",$AB2703,IF($AA2703="","",IF($AA2703&lt;=設定!$C$3,0,$AA2703))))</f>
        <v/>
      </c>
      <c r="AD2703" s="14">
        <f>IF($B2703="","",IF(AND($AE2703&lt;&gt;"",$AG2703="",$AJ2703=""),"保留中",IF($AJ2703&lt;&gt;"",IF(N($AC2703)&gt;0,"支給済","不支給"),IF($AC2703="","要確認",IF($AC2703=0,"不支給","未処理")))))</f>
        <v/>
      </c>
      <c r="AE2703" s="12" t="n"/>
      <c r="AF2703" s="11" t="n"/>
      <c r="AG2703" s="11" t="n"/>
      <c r="AH2703" s="11" t="n"/>
      <c r="AI2703" s="14">
        <f>IF(AND($AD2703="保留中",$AF2703&lt;&gt;""),TODAY()-$AF2703,"")</f>
        <v/>
      </c>
      <c r="AJ2703" s="12" t="n"/>
      <c r="AK2703" s="14">
        <f>IF($B2703="","",IF($AO2703="","対象年月が未入力／","")&amp;IF($B2703="","",IF($AN2703="","職員マスタに未登録の職員番号／",IF($Y2703="","標準報酬月額が未登録／","")&amp;IF(AND($AO2703&lt;&gt;"",OR(AND(INDEX(職員マスタ!$G$6:$G$405,$AN2703)&lt;&gt;"",INDEX(職員マスタ!$G$6:$G$405,$AN2703)&gt;EOMONTH($AO2703,0)),AND(INDEX(職員マスタ!$H$6:$H$405,$AN2703)&lt;&gt;"",INDEX(職員マスタ!$H$6:$H$405,$AN2703)&lt;$AO2703))),"対象月が時短期間外／","")&amp;IF(AND(INDEX(職員マスタ!$F$6:$F$405,$AN2703)&lt;&gt;"",$AO2703&lt;&gt;"",INDEX(職員マスタ!$F$6:$F$405,$AN2703)&lt;$AO2703),"対象月に子が2歳到達済／","")&amp;IF(AND($H2703&lt;&gt;"",INDEX(職員マスタ!$B$6:$B$405,$AN2703)&lt;&gt;"",SUBSTITUTE(SUBSTITUTE($H2703," ","")," ","")&lt;&gt;SUBSTITUTE(SUBSTITUTE(INDEX(職員マスタ!$B$6:$B$405,$AN2703)," ","")," ","")),"氏名がマスタと相違／","")&amp;IF(AND($Q2703&lt;&gt;"",INDEX(職員マスタ!$E$6:$E$405,$AN2703)&lt;&gt;"",$Q2703&lt;&gt;INDEX(職員マスタ!$E$6:$E$405,$AN2703)),"子の生年月日がマスタと相違／","")&amp;IF(AND($L2703&lt;&gt;"",INDEX(職員マスタ!$G$6:$G$405,$AN2703)&lt;&gt;"",$L2703&lt;&gt;INDEX(職員マスタ!$G$6:$G$405,$AN2703)),"時短開始日がマスタと相違／","")&amp;IF(AND($M2703&lt;&gt;"",INDEX(職員マスタ!$H$6:$H$405,$AN2703)&lt;&gt;"",$M2703&lt;&gt;INDEX(職員マスタ!$H$6:$H$405,$AN2703)),"時短終了日がマスタと相違／","")))&amp;IF(AND($B2703&lt;&gt;"",$E2703=""),"報酬額が未入力／","")&amp;IF(N($U2703)&gt;0,"申請書に入力エラーが残っています／","")&amp;IF(AND($B2703&lt;&gt;"",$AO2703&lt;&gt;""),IF(COUNTIFS($B$6:$B$3005,$B2703,$C$6:$C$3005,$C2703,$D$6:$D$3005,$D2703)&gt;1,"同じ月の請求が重複しています／",""),"")&amp;IF(AND(N($E2703)&gt;0,$Z2703&lt;&gt;"",$Z2703&lt;&gt;"×",$AC2703=0,$AB2703=""),"計算額が下限以下のため不支給／",""))</f>
        <v/>
      </c>
      <c r="AL2703" s="12" t="n"/>
      <c r="AM2703" s="14">
        <f>IF($AD2703="保留中",COUNTIF($AD$6:$AD2703,"保留中"),"")</f>
        <v/>
      </c>
      <c r="AN2703" s="14">
        <f>IF($AO2703="","",IF(SUMPRODUCT(MAX((職員マスタ!$A$6:$A$405=$B2703)*(((職員マスタ!$G$6:$G$405="")+(職員マスタ!$G$6:$G$405&lt;=EOMONTH($AO2703,0)))&gt;0)*(((職員マスタ!$H$6:$H$405="")+(職員マスタ!$H$6:$H$405&gt;=$AO2703))&gt;0)*(ROW(職員マスタ!$A$6:$A$405)-5)))&gt;0,SUMPRODUCT(MAX((職員マスタ!$A$6:$A$405=$B2703)*(((職員マスタ!$G$6:$G$405="")+(職員マスタ!$G$6:$G$405&lt;=EOMONTH($AO2703,0)))&gt;0)*(((職員マスタ!$H$6:$H$405="")+(職員マスタ!$H$6:$H$405&gt;=$AO2703))&gt;0)*(ROW(職員マスタ!$A$6:$A$405)-5))),IFERROR(MATCH($B2703,職員マスタ!$A$6:$A$405,0),"")))</f>
        <v/>
      </c>
      <c r="AO2703" s="16">
        <f>IF(OR($B2703="",$C2703="",$D2703=""),"",DATE($C2703+2018,$D2703,1))</f>
        <v/>
      </c>
    </row>
    <row r="2704">
      <c r="A2704" s="11" t="n"/>
      <c r="B2704" s="12" t="n"/>
      <c r="C2704" s="12" t="n"/>
      <c r="D2704" s="12" t="n"/>
      <c r="E2704" s="13" t="n"/>
      <c r="F2704" s="12" t="n"/>
      <c r="G2704" s="13" t="n"/>
      <c r="H2704" s="12" t="n"/>
      <c r="I2704" s="12" t="n"/>
      <c r="J2704" s="12" t="n"/>
      <c r="K2704" s="12" t="n"/>
      <c r="L2704" s="11" t="n"/>
      <c r="M2704" s="11" t="n"/>
      <c r="N2704" s="11" t="n"/>
      <c r="O2704" s="11" t="n"/>
      <c r="P2704" s="12" t="n"/>
      <c r="Q2704" s="11" t="n"/>
      <c r="R2704" s="12" t="n"/>
      <c r="S2704" s="11" t="n"/>
      <c r="T2704" s="12" t="n"/>
      <c r="U2704" s="12" t="n"/>
      <c r="V2704" s="14">
        <f>IF($AN2704="",IF($B2704="","",$H2704),IF(INDEX(職員マスタ!$B$6:$B$405,$AN2704)="",$H2704,INDEX(職員マスタ!$B$6:$B$405,$AN2704)))</f>
        <v/>
      </c>
      <c r="W2704" s="14">
        <f>IF($AN2704="",IF($B2704="","",$R2704),IF(INDEX(職員マスタ!$C$6:$C$405,$AN2704)="",$R2704,INDEX(職員マスタ!$C$6:$C$405,$AN2704)))</f>
        <v/>
      </c>
      <c r="X2704" s="14">
        <f>IF($AO2704="","","R"&amp;$C2704&amp;"."&amp;$D2704)</f>
        <v/>
      </c>
      <c r="Y2704" s="15">
        <f>IF($AN2704="","",IF(INDEX(職員マスタ!$K$6:$K$405,$AN2704)="","",INDEX(職員マスタ!$K$6:$K$405,$AN2704)))</f>
        <v/>
      </c>
      <c r="Z2704" s="14">
        <f>IF(OR($E2704="",$Y2704=""),"",IF($E2704&gt;=$Y2704,"×",IF($E2704&gt;=$Y2704*設定!$C$5,"△","○")))</f>
        <v/>
      </c>
      <c r="AA2704" s="15">
        <f>IF($Z2704="","",IF($Z2704="×",0,IF($Z2704="○",ROUNDDOWN($E2704*設定!$C$4,0),ROUNDDOWN($E2704*ROUND((9*$Y2704-9*$E2704)/(10*$E2704),4),0))))</f>
        <v/>
      </c>
      <c r="AB2704" s="13" t="n"/>
      <c r="AC2704" s="15">
        <f>IF($B2704="","",IF($AB2704&lt;&gt;"",$AB2704,IF($AA2704="","",IF($AA2704&lt;=設定!$C$3,0,$AA2704))))</f>
        <v/>
      </c>
      <c r="AD2704" s="14">
        <f>IF($B2704="","",IF(AND($AE2704&lt;&gt;"",$AG2704="",$AJ2704=""),"保留中",IF($AJ2704&lt;&gt;"",IF(N($AC2704)&gt;0,"支給済","不支給"),IF($AC2704="","要確認",IF($AC2704=0,"不支給","未処理")))))</f>
        <v/>
      </c>
      <c r="AE2704" s="12" t="n"/>
      <c r="AF2704" s="11" t="n"/>
      <c r="AG2704" s="11" t="n"/>
      <c r="AH2704" s="11" t="n"/>
      <c r="AI2704" s="14">
        <f>IF(AND($AD2704="保留中",$AF2704&lt;&gt;""),TODAY()-$AF2704,"")</f>
        <v/>
      </c>
      <c r="AJ2704" s="12" t="n"/>
      <c r="AK2704" s="14">
        <f>IF($B2704="","",IF($AO2704="","対象年月が未入力／","")&amp;IF($B2704="","",IF($AN2704="","職員マスタに未登録の職員番号／",IF($Y2704="","標準報酬月額が未登録／","")&amp;IF(AND($AO2704&lt;&gt;"",OR(AND(INDEX(職員マスタ!$G$6:$G$405,$AN2704)&lt;&gt;"",INDEX(職員マスタ!$G$6:$G$405,$AN2704)&gt;EOMONTH($AO2704,0)),AND(INDEX(職員マスタ!$H$6:$H$405,$AN2704)&lt;&gt;"",INDEX(職員マスタ!$H$6:$H$405,$AN2704)&lt;$AO2704))),"対象月が時短期間外／","")&amp;IF(AND(INDEX(職員マスタ!$F$6:$F$405,$AN2704)&lt;&gt;"",$AO2704&lt;&gt;"",INDEX(職員マスタ!$F$6:$F$405,$AN2704)&lt;$AO2704),"対象月に子が2歳到達済／","")&amp;IF(AND($H2704&lt;&gt;"",INDEX(職員マスタ!$B$6:$B$405,$AN2704)&lt;&gt;"",SUBSTITUTE(SUBSTITUTE($H2704," ","")," ","")&lt;&gt;SUBSTITUTE(SUBSTITUTE(INDEX(職員マスタ!$B$6:$B$405,$AN2704)," ","")," ","")),"氏名がマスタと相違／","")&amp;IF(AND($Q2704&lt;&gt;"",INDEX(職員マスタ!$E$6:$E$405,$AN2704)&lt;&gt;"",$Q2704&lt;&gt;INDEX(職員マスタ!$E$6:$E$405,$AN2704)),"子の生年月日がマスタと相違／","")&amp;IF(AND($L2704&lt;&gt;"",INDEX(職員マスタ!$G$6:$G$405,$AN2704)&lt;&gt;"",$L2704&lt;&gt;INDEX(職員マスタ!$G$6:$G$405,$AN2704)),"時短開始日がマスタと相違／","")&amp;IF(AND($M2704&lt;&gt;"",INDEX(職員マスタ!$H$6:$H$405,$AN2704)&lt;&gt;"",$M2704&lt;&gt;INDEX(職員マスタ!$H$6:$H$405,$AN2704)),"時短終了日がマスタと相違／","")))&amp;IF(AND($B2704&lt;&gt;"",$E2704=""),"報酬額が未入力／","")&amp;IF(N($U2704)&gt;0,"申請書に入力エラーが残っています／","")&amp;IF(AND($B2704&lt;&gt;"",$AO2704&lt;&gt;""),IF(COUNTIFS($B$6:$B$3005,$B2704,$C$6:$C$3005,$C2704,$D$6:$D$3005,$D2704)&gt;1,"同じ月の請求が重複しています／",""),"")&amp;IF(AND(N($E2704)&gt;0,$Z2704&lt;&gt;"",$Z2704&lt;&gt;"×",$AC2704=0,$AB2704=""),"計算額が下限以下のため不支給／",""))</f>
        <v/>
      </c>
      <c r="AL2704" s="12" t="n"/>
      <c r="AM2704" s="14">
        <f>IF($AD2704="保留中",COUNTIF($AD$6:$AD2704,"保留中"),"")</f>
        <v/>
      </c>
      <c r="AN2704" s="14">
        <f>IF($AO2704="","",IF(SUMPRODUCT(MAX((職員マスタ!$A$6:$A$405=$B2704)*(((職員マスタ!$G$6:$G$405="")+(職員マスタ!$G$6:$G$405&lt;=EOMONTH($AO2704,0)))&gt;0)*(((職員マスタ!$H$6:$H$405="")+(職員マスタ!$H$6:$H$405&gt;=$AO2704))&gt;0)*(ROW(職員マスタ!$A$6:$A$405)-5)))&gt;0,SUMPRODUCT(MAX((職員マスタ!$A$6:$A$405=$B2704)*(((職員マスタ!$G$6:$G$405="")+(職員マスタ!$G$6:$G$405&lt;=EOMONTH($AO2704,0)))&gt;0)*(((職員マスタ!$H$6:$H$405="")+(職員マスタ!$H$6:$H$405&gt;=$AO2704))&gt;0)*(ROW(職員マスタ!$A$6:$A$405)-5))),IFERROR(MATCH($B2704,職員マスタ!$A$6:$A$405,0),"")))</f>
        <v/>
      </c>
      <c r="AO2704" s="16">
        <f>IF(OR($B2704="",$C2704="",$D2704=""),"",DATE($C2704+2018,$D2704,1))</f>
        <v/>
      </c>
    </row>
    <row r="2705">
      <c r="A2705" s="11" t="n"/>
      <c r="B2705" s="12" t="n"/>
      <c r="C2705" s="12" t="n"/>
      <c r="D2705" s="12" t="n"/>
      <c r="E2705" s="13" t="n"/>
      <c r="F2705" s="12" t="n"/>
      <c r="G2705" s="13" t="n"/>
      <c r="H2705" s="12" t="n"/>
      <c r="I2705" s="12" t="n"/>
      <c r="J2705" s="12" t="n"/>
      <c r="K2705" s="12" t="n"/>
      <c r="L2705" s="11" t="n"/>
      <c r="M2705" s="11" t="n"/>
      <c r="N2705" s="11" t="n"/>
      <c r="O2705" s="11" t="n"/>
      <c r="P2705" s="12" t="n"/>
      <c r="Q2705" s="11" t="n"/>
      <c r="R2705" s="12" t="n"/>
      <c r="S2705" s="11" t="n"/>
      <c r="T2705" s="12" t="n"/>
      <c r="U2705" s="12" t="n"/>
      <c r="V2705" s="14">
        <f>IF($AN2705="",IF($B2705="","",$H2705),IF(INDEX(職員マスタ!$B$6:$B$405,$AN2705)="",$H2705,INDEX(職員マスタ!$B$6:$B$405,$AN2705)))</f>
        <v/>
      </c>
      <c r="W2705" s="14">
        <f>IF($AN2705="",IF($B2705="","",$R2705),IF(INDEX(職員マスタ!$C$6:$C$405,$AN2705)="",$R2705,INDEX(職員マスタ!$C$6:$C$405,$AN2705)))</f>
        <v/>
      </c>
      <c r="X2705" s="14">
        <f>IF($AO2705="","","R"&amp;$C2705&amp;"."&amp;$D2705)</f>
        <v/>
      </c>
      <c r="Y2705" s="15">
        <f>IF($AN2705="","",IF(INDEX(職員マスタ!$K$6:$K$405,$AN2705)="","",INDEX(職員マスタ!$K$6:$K$405,$AN2705)))</f>
        <v/>
      </c>
      <c r="Z2705" s="14">
        <f>IF(OR($E2705="",$Y2705=""),"",IF($E2705&gt;=$Y2705,"×",IF($E2705&gt;=$Y2705*設定!$C$5,"△","○")))</f>
        <v/>
      </c>
      <c r="AA2705" s="15">
        <f>IF($Z2705="","",IF($Z2705="×",0,IF($Z2705="○",ROUNDDOWN($E2705*設定!$C$4,0),ROUNDDOWN($E2705*ROUND((9*$Y2705-9*$E2705)/(10*$E2705),4),0))))</f>
        <v/>
      </c>
      <c r="AB2705" s="13" t="n"/>
      <c r="AC2705" s="15">
        <f>IF($B2705="","",IF($AB2705&lt;&gt;"",$AB2705,IF($AA2705="","",IF($AA2705&lt;=設定!$C$3,0,$AA2705))))</f>
        <v/>
      </c>
      <c r="AD2705" s="14">
        <f>IF($B2705="","",IF(AND($AE2705&lt;&gt;"",$AG2705="",$AJ2705=""),"保留中",IF($AJ2705&lt;&gt;"",IF(N($AC2705)&gt;0,"支給済","不支給"),IF($AC2705="","要確認",IF($AC2705=0,"不支給","未処理")))))</f>
        <v/>
      </c>
      <c r="AE2705" s="12" t="n"/>
      <c r="AF2705" s="11" t="n"/>
      <c r="AG2705" s="11" t="n"/>
      <c r="AH2705" s="11" t="n"/>
      <c r="AI2705" s="14">
        <f>IF(AND($AD2705="保留中",$AF2705&lt;&gt;""),TODAY()-$AF2705,"")</f>
        <v/>
      </c>
      <c r="AJ2705" s="12" t="n"/>
      <c r="AK2705" s="14">
        <f>IF($B2705="","",IF($AO2705="","対象年月が未入力／","")&amp;IF($B2705="","",IF($AN2705="","職員マスタに未登録の職員番号／",IF($Y2705="","標準報酬月額が未登録／","")&amp;IF(AND($AO2705&lt;&gt;"",OR(AND(INDEX(職員マスタ!$G$6:$G$405,$AN2705)&lt;&gt;"",INDEX(職員マスタ!$G$6:$G$405,$AN2705)&gt;EOMONTH($AO2705,0)),AND(INDEX(職員マスタ!$H$6:$H$405,$AN2705)&lt;&gt;"",INDEX(職員マスタ!$H$6:$H$405,$AN2705)&lt;$AO2705))),"対象月が時短期間外／","")&amp;IF(AND(INDEX(職員マスタ!$F$6:$F$405,$AN2705)&lt;&gt;"",$AO2705&lt;&gt;"",INDEX(職員マスタ!$F$6:$F$405,$AN2705)&lt;$AO2705),"対象月に子が2歳到達済／","")&amp;IF(AND($H2705&lt;&gt;"",INDEX(職員マスタ!$B$6:$B$405,$AN2705)&lt;&gt;"",SUBSTITUTE(SUBSTITUTE($H2705," ","")," ","")&lt;&gt;SUBSTITUTE(SUBSTITUTE(INDEX(職員マスタ!$B$6:$B$405,$AN2705)," ","")," ","")),"氏名がマスタと相違／","")&amp;IF(AND($Q2705&lt;&gt;"",INDEX(職員マスタ!$E$6:$E$405,$AN2705)&lt;&gt;"",$Q2705&lt;&gt;INDEX(職員マスタ!$E$6:$E$405,$AN2705)),"子の生年月日がマスタと相違／","")&amp;IF(AND($L2705&lt;&gt;"",INDEX(職員マスタ!$G$6:$G$405,$AN2705)&lt;&gt;"",$L2705&lt;&gt;INDEX(職員マスタ!$G$6:$G$405,$AN2705)),"時短開始日がマスタと相違／","")&amp;IF(AND($M2705&lt;&gt;"",INDEX(職員マスタ!$H$6:$H$405,$AN2705)&lt;&gt;"",$M2705&lt;&gt;INDEX(職員マスタ!$H$6:$H$405,$AN2705)),"時短終了日がマスタと相違／","")))&amp;IF(AND($B2705&lt;&gt;"",$E2705=""),"報酬額が未入力／","")&amp;IF(N($U2705)&gt;0,"申請書に入力エラーが残っています／","")&amp;IF(AND($B2705&lt;&gt;"",$AO2705&lt;&gt;""),IF(COUNTIFS($B$6:$B$3005,$B2705,$C$6:$C$3005,$C2705,$D$6:$D$3005,$D2705)&gt;1,"同じ月の請求が重複しています／",""),"")&amp;IF(AND(N($E2705)&gt;0,$Z2705&lt;&gt;"",$Z2705&lt;&gt;"×",$AC2705=0,$AB2705=""),"計算額が下限以下のため不支給／",""))</f>
        <v/>
      </c>
      <c r="AL2705" s="12" t="n"/>
      <c r="AM2705" s="14">
        <f>IF($AD2705="保留中",COUNTIF($AD$6:$AD2705,"保留中"),"")</f>
        <v/>
      </c>
      <c r="AN2705" s="14">
        <f>IF($AO2705="","",IF(SUMPRODUCT(MAX((職員マスタ!$A$6:$A$405=$B2705)*(((職員マスタ!$G$6:$G$405="")+(職員マスタ!$G$6:$G$405&lt;=EOMONTH($AO2705,0)))&gt;0)*(((職員マスタ!$H$6:$H$405="")+(職員マスタ!$H$6:$H$405&gt;=$AO2705))&gt;0)*(ROW(職員マスタ!$A$6:$A$405)-5)))&gt;0,SUMPRODUCT(MAX((職員マスタ!$A$6:$A$405=$B2705)*(((職員マスタ!$G$6:$G$405="")+(職員マスタ!$G$6:$G$405&lt;=EOMONTH($AO2705,0)))&gt;0)*(((職員マスタ!$H$6:$H$405="")+(職員マスタ!$H$6:$H$405&gt;=$AO2705))&gt;0)*(ROW(職員マスタ!$A$6:$A$405)-5))),IFERROR(MATCH($B2705,職員マスタ!$A$6:$A$405,0),"")))</f>
        <v/>
      </c>
      <c r="AO2705" s="16">
        <f>IF(OR($B2705="",$C2705="",$D2705=""),"",DATE($C2705+2018,$D2705,1))</f>
        <v/>
      </c>
    </row>
    <row r="2706">
      <c r="A2706" s="11" t="n"/>
      <c r="B2706" s="12" t="n"/>
      <c r="C2706" s="12" t="n"/>
      <c r="D2706" s="12" t="n"/>
      <c r="E2706" s="13" t="n"/>
      <c r="F2706" s="12" t="n"/>
      <c r="G2706" s="13" t="n"/>
      <c r="H2706" s="12" t="n"/>
      <c r="I2706" s="12" t="n"/>
      <c r="J2706" s="12" t="n"/>
      <c r="K2706" s="12" t="n"/>
      <c r="L2706" s="11" t="n"/>
      <c r="M2706" s="11" t="n"/>
      <c r="N2706" s="11" t="n"/>
      <c r="O2706" s="11" t="n"/>
      <c r="P2706" s="12" t="n"/>
      <c r="Q2706" s="11" t="n"/>
      <c r="R2706" s="12" t="n"/>
      <c r="S2706" s="11" t="n"/>
      <c r="T2706" s="12" t="n"/>
      <c r="U2706" s="12" t="n"/>
      <c r="V2706" s="14">
        <f>IF($AN2706="",IF($B2706="","",$H2706),IF(INDEX(職員マスタ!$B$6:$B$405,$AN2706)="",$H2706,INDEX(職員マスタ!$B$6:$B$405,$AN2706)))</f>
        <v/>
      </c>
      <c r="W2706" s="14">
        <f>IF($AN2706="",IF($B2706="","",$R2706),IF(INDEX(職員マスタ!$C$6:$C$405,$AN2706)="",$R2706,INDEX(職員マスタ!$C$6:$C$405,$AN2706)))</f>
        <v/>
      </c>
      <c r="X2706" s="14">
        <f>IF($AO2706="","","R"&amp;$C2706&amp;"."&amp;$D2706)</f>
        <v/>
      </c>
      <c r="Y2706" s="15">
        <f>IF($AN2706="","",IF(INDEX(職員マスタ!$K$6:$K$405,$AN2706)="","",INDEX(職員マスタ!$K$6:$K$405,$AN2706)))</f>
        <v/>
      </c>
      <c r="Z2706" s="14">
        <f>IF(OR($E2706="",$Y2706=""),"",IF($E2706&gt;=$Y2706,"×",IF($E2706&gt;=$Y2706*設定!$C$5,"△","○")))</f>
        <v/>
      </c>
      <c r="AA2706" s="15">
        <f>IF($Z2706="","",IF($Z2706="×",0,IF($Z2706="○",ROUNDDOWN($E2706*設定!$C$4,0),ROUNDDOWN($E2706*ROUND((9*$Y2706-9*$E2706)/(10*$E2706),4),0))))</f>
        <v/>
      </c>
      <c r="AB2706" s="13" t="n"/>
      <c r="AC2706" s="15">
        <f>IF($B2706="","",IF($AB2706&lt;&gt;"",$AB2706,IF($AA2706="","",IF($AA2706&lt;=設定!$C$3,0,$AA2706))))</f>
        <v/>
      </c>
      <c r="AD2706" s="14">
        <f>IF($B2706="","",IF(AND($AE2706&lt;&gt;"",$AG2706="",$AJ2706=""),"保留中",IF($AJ2706&lt;&gt;"",IF(N($AC2706)&gt;0,"支給済","不支給"),IF($AC2706="","要確認",IF($AC2706=0,"不支給","未処理")))))</f>
        <v/>
      </c>
      <c r="AE2706" s="12" t="n"/>
      <c r="AF2706" s="11" t="n"/>
      <c r="AG2706" s="11" t="n"/>
      <c r="AH2706" s="11" t="n"/>
      <c r="AI2706" s="14">
        <f>IF(AND($AD2706="保留中",$AF2706&lt;&gt;""),TODAY()-$AF2706,"")</f>
        <v/>
      </c>
      <c r="AJ2706" s="12" t="n"/>
      <c r="AK2706" s="14">
        <f>IF($B2706="","",IF($AO2706="","対象年月が未入力／","")&amp;IF($B2706="","",IF($AN2706="","職員マスタに未登録の職員番号／",IF($Y2706="","標準報酬月額が未登録／","")&amp;IF(AND($AO2706&lt;&gt;"",OR(AND(INDEX(職員マスタ!$G$6:$G$405,$AN2706)&lt;&gt;"",INDEX(職員マスタ!$G$6:$G$405,$AN2706)&gt;EOMONTH($AO2706,0)),AND(INDEX(職員マスタ!$H$6:$H$405,$AN2706)&lt;&gt;"",INDEX(職員マスタ!$H$6:$H$405,$AN2706)&lt;$AO2706))),"対象月が時短期間外／","")&amp;IF(AND(INDEX(職員マスタ!$F$6:$F$405,$AN2706)&lt;&gt;"",$AO2706&lt;&gt;"",INDEX(職員マスタ!$F$6:$F$405,$AN2706)&lt;$AO2706),"対象月に子が2歳到達済／","")&amp;IF(AND($H2706&lt;&gt;"",INDEX(職員マスタ!$B$6:$B$405,$AN2706)&lt;&gt;"",SUBSTITUTE(SUBSTITUTE($H2706," ","")," ","")&lt;&gt;SUBSTITUTE(SUBSTITUTE(INDEX(職員マスタ!$B$6:$B$405,$AN2706)," ","")," ","")),"氏名がマスタと相違／","")&amp;IF(AND($Q2706&lt;&gt;"",INDEX(職員マスタ!$E$6:$E$405,$AN2706)&lt;&gt;"",$Q2706&lt;&gt;INDEX(職員マスタ!$E$6:$E$405,$AN2706)),"子の生年月日がマスタと相違／","")&amp;IF(AND($L2706&lt;&gt;"",INDEX(職員マスタ!$G$6:$G$405,$AN2706)&lt;&gt;"",$L2706&lt;&gt;INDEX(職員マスタ!$G$6:$G$405,$AN2706)),"時短開始日がマスタと相違／","")&amp;IF(AND($M2706&lt;&gt;"",INDEX(職員マスタ!$H$6:$H$405,$AN2706)&lt;&gt;"",$M2706&lt;&gt;INDEX(職員マスタ!$H$6:$H$405,$AN2706)),"時短終了日がマスタと相違／","")))&amp;IF(AND($B2706&lt;&gt;"",$E2706=""),"報酬額が未入力／","")&amp;IF(N($U2706)&gt;0,"申請書に入力エラーが残っています／","")&amp;IF(AND($B2706&lt;&gt;"",$AO2706&lt;&gt;""),IF(COUNTIFS($B$6:$B$3005,$B2706,$C$6:$C$3005,$C2706,$D$6:$D$3005,$D2706)&gt;1,"同じ月の請求が重複しています／",""),"")&amp;IF(AND(N($E2706)&gt;0,$Z2706&lt;&gt;"",$Z2706&lt;&gt;"×",$AC2706=0,$AB2706=""),"計算額が下限以下のため不支給／",""))</f>
        <v/>
      </c>
      <c r="AL2706" s="12" t="n"/>
      <c r="AM2706" s="14">
        <f>IF($AD2706="保留中",COUNTIF($AD$6:$AD2706,"保留中"),"")</f>
        <v/>
      </c>
      <c r="AN2706" s="14">
        <f>IF($AO2706="","",IF(SUMPRODUCT(MAX((職員マスタ!$A$6:$A$405=$B2706)*(((職員マスタ!$G$6:$G$405="")+(職員マスタ!$G$6:$G$405&lt;=EOMONTH($AO2706,0)))&gt;0)*(((職員マスタ!$H$6:$H$405="")+(職員マスタ!$H$6:$H$405&gt;=$AO2706))&gt;0)*(ROW(職員マスタ!$A$6:$A$405)-5)))&gt;0,SUMPRODUCT(MAX((職員マスタ!$A$6:$A$405=$B2706)*(((職員マスタ!$G$6:$G$405="")+(職員マスタ!$G$6:$G$405&lt;=EOMONTH($AO2706,0)))&gt;0)*(((職員マスタ!$H$6:$H$405="")+(職員マスタ!$H$6:$H$405&gt;=$AO2706))&gt;0)*(ROW(職員マスタ!$A$6:$A$405)-5))),IFERROR(MATCH($B2706,職員マスタ!$A$6:$A$405,0),"")))</f>
        <v/>
      </c>
      <c r="AO2706" s="16">
        <f>IF(OR($B2706="",$C2706="",$D2706=""),"",DATE($C2706+2018,$D2706,1))</f>
        <v/>
      </c>
    </row>
    <row r="2707">
      <c r="A2707" s="11" t="n"/>
      <c r="B2707" s="12" t="n"/>
      <c r="C2707" s="12" t="n"/>
      <c r="D2707" s="12" t="n"/>
      <c r="E2707" s="13" t="n"/>
      <c r="F2707" s="12" t="n"/>
      <c r="G2707" s="13" t="n"/>
      <c r="H2707" s="12" t="n"/>
      <c r="I2707" s="12" t="n"/>
      <c r="J2707" s="12" t="n"/>
      <c r="K2707" s="12" t="n"/>
      <c r="L2707" s="11" t="n"/>
      <c r="M2707" s="11" t="n"/>
      <c r="N2707" s="11" t="n"/>
      <c r="O2707" s="11" t="n"/>
      <c r="P2707" s="12" t="n"/>
      <c r="Q2707" s="11" t="n"/>
      <c r="R2707" s="12" t="n"/>
      <c r="S2707" s="11" t="n"/>
      <c r="T2707" s="12" t="n"/>
      <c r="U2707" s="12" t="n"/>
      <c r="V2707" s="14">
        <f>IF($AN2707="",IF($B2707="","",$H2707),IF(INDEX(職員マスタ!$B$6:$B$405,$AN2707)="",$H2707,INDEX(職員マスタ!$B$6:$B$405,$AN2707)))</f>
        <v/>
      </c>
      <c r="W2707" s="14">
        <f>IF($AN2707="",IF($B2707="","",$R2707),IF(INDEX(職員マスタ!$C$6:$C$405,$AN2707)="",$R2707,INDEX(職員マスタ!$C$6:$C$405,$AN2707)))</f>
        <v/>
      </c>
      <c r="X2707" s="14">
        <f>IF($AO2707="","","R"&amp;$C2707&amp;"."&amp;$D2707)</f>
        <v/>
      </c>
      <c r="Y2707" s="15">
        <f>IF($AN2707="","",IF(INDEX(職員マスタ!$K$6:$K$405,$AN2707)="","",INDEX(職員マスタ!$K$6:$K$405,$AN2707)))</f>
        <v/>
      </c>
      <c r="Z2707" s="14">
        <f>IF(OR($E2707="",$Y2707=""),"",IF($E2707&gt;=$Y2707,"×",IF($E2707&gt;=$Y2707*設定!$C$5,"△","○")))</f>
        <v/>
      </c>
      <c r="AA2707" s="15">
        <f>IF($Z2707="","",IF($Z2707="×",0,IF($Z2707="○",ROUNDDOWN($E2707*設定!$C$4,0),ROUNDDOWN($E2707*ROUND((9*$Y2707-9*$E2707)/(10*$E2707),4),0))))</f>
        <v/>
      </c>
      <c r="AB2707" s="13" t="n"/>
      <c r="AC2707" s="15">
        <f>IF($B2707="","",IF($AB2707&lt;&gt;"",$AB2707,IF($AA2707="","",IF($AA2707&lt;=設定!$C$3,0,$AA2707))))</f>
        <v/>
      </c>
      <c r="AD2707" s="14">
        <f>IF($B2707="","",IF(AND($AE2707&lt;&gt;"",$AG2707="",$AJ2707=""),"保留中",IF($AJ2707&lt;&gt;"",IF(N($AC2707)&gt;0,"支給済","不支給"),IF($AC2707="","要確認",IF($AC2707=0,"不支給","未処理")))))</f>
        <v/>
      </c>
      <c r="AE2707" s="12" t="n"/>
      <c r="AF2707" s="11" t="n"/>
      <c r="AG2707" s="11" t="n"/>
      <c r="AH2707" s="11" t="n"/>
      <c r="AI2707" s="14">
        <f>IF(AND($AD2707="保留中",$AF2707&lt;&gt;""),TODAY()-$AF2707,"")</f>
        <v/>
      </c>
      <c r="AJ2707" s="12" t="n"/>
      <c r="AK2707" s="14">
        <f>IF($B2707="","",IF($AO2707="","対象年月が未入力／","")&amp;IF($B2707="","",IF($AN2707="","職員マスタに未登録の職員番号／",IF($Y2707="","標準報酬月額が未登録／","")&amp;IF(AND($AO2707&lt;&gt;"",OR(AND(INDEX(職員マスタ!$G$6:$G$405,$AN2707)&lt;&gt;"",INDEX(職員マスタ!$G$6:$G$405,$AN2707)&gt;EOMONTH($AO2707,0)),AND(INDEX(職員マスタ!$H$6:$H$405,$AN2707)&lt;&gt;"",INDEX(職員マスタ!$H$6:$H$405,$AN2707)&lt;$AO2707))),"対象月が時短期間外／","")&amp;IF(AND(INDEX(職員マスタ!$F$6:$F$405,$AN2707)&lt;&gt;"",$AO2707&lt;&gt;"",INDEX(職員マスタ!$F$6:$F$405,$AN2707)&lt;$AO2707),"対象月に子が2歳到達済／","")&amp;IF(AND($H2707&lt;&gt;"",INDEX(職員マスタ!$B$6:$B$405,$AN2707)&lt;&gt;"",SUBSTITUTE(SUBSTITUTE($H2707," ","")," ","")&lt;&gt;SUBSTITUTE(SUBSTITUTE(INDEX(職員マスタ!$B$6:$B$405,$AN2707)," ","")," ","")),"氏名がマスタと相違／","")&amp;IF(AND($Q2707&lt;&gt;"",INDEX(職員マスタ!$E$6:$E$405,$AN2707)&lt;&gt;"",$Q2707&lt;&gt;INDEX(職員マスタ!$E$6:$E$405,$AN2707)),"子の生年月日がマスタと相違／","")&amp;IF(AND($L2707&lt;&gt;"",INDEX(職員マスタ!$G$6:$G$405,$AN2707)&lt;&gt;"",$L2707&lt;&gt;INDEX(職員マスタ!$G$6:$G$405,$AN2707)),"時短開始日がマスタと相違／","")&amp;IF(AND($M2707&lt;&gt;"",INDEX(職員マスタ!$H$6:$H$405,$AN2707)&lt;&gt;"",$M2707&lt;&gt;INDEX(職員マスタ!$H$6:$H$405,$AN2707)),"時短終了日がマスタと相違／","")))&amp;IF(AND($B2707&lt;&gt;"",$E2707=""),"報酬額が未入力／","")&amp;IF(N($U2707)&gt;0,"申請書に入力エラーが残っています／","")&amp;IF(AND($B2707&lt;&gt;"",$AO2707&lt;&gt;""),IF(COUNTIFS($B$6:$B$3005,$B2707,$C$6:$C$3005,$C2707,$D$6:$D$3005,$D2707)&gt;1,"同じ月の請求が重複しています／",""),"")&amp;IF(AND(N($E2707)&gt;0,$Z2707&lt;&gt;"",$Z2707&lt;&gt;"×",$AC2707=0,$AB2707=""),"計算額が下限以下のため不支給／",""))</f>
        <v/>
      </c>
      <c r="AL2707" s="12" t="n"/>
      <c r="AM2707" s="14">
        <f>IF($AD2707="保留中",COUNTIF($AD$6:$AD2707,"保留中"),"")</f>
        <v/>
      </c>
      <c r="AN2707" s="14">
        <f>IF($AO2707="","",IF(SUMPRODUCT(MAX((職員マスタ!$A$6:$A$405=$B2707)*(((職員マスタ!$G$6:$G$405="")+(職員マスタ!$G$6:$G$405&lt;=EOMONTH($AO2707,0)))&gt;0)*(((職員マスタ!$H$6:$H$405="")+(職員マスタ!$H$6:$H$405&gt;=$AO2707))&gt;0)*(ROW(職員マスタ!$A$6:$A$405)-5)))&gt;0,SUMPRODUCT(MAX((職員マスタ!$A$6:$A$405=$B2707)*(((職員マスタ!$G$6:$G$405="")+(職員マスタ!$G$6:$G$405&lt;=EOMONTH($AO2707,0)))&gt;0)*(((職員マスタ!$H$6:$H$405="")+(職員マスタ!$H$6:$H$405&gt;=$AO2707))&gt;0)*(ROW(職員マスタ!$A$6:$A$405)-5))),IFERROR(MATCH($B2707,職員マスタ!$A$6:$A$405,0),"")))</f>
        <v/>
      </c>
      <c r="AO2707" s="16">
        <f>IF(OR($B2707="",$C2707="",$D2707=""),"",DATE($C2707+2018,$D2707,1))</f>
        <v/>
      </c>
    </row>
    <row r="2708">
      <c r="A2708" s="11" t="n"/>
      <c r="B2708" s="12" t="n"/>
      <c r="C2708" s="12" t="n"/>
      <c r="D2708" s="12" t="n"/>
      <c r="E2708" s="13" t="n"/>
      <c r="F2708" s="12" t="n"/>
      <c r="G2708" s="13" t="n"/>
      <c r="H2708" s="12" t="n"/>
      <c r="I2708" s="12" t="n"/>
      <c r="J2708" s="12" t="n"/>
      <c r="K2708" s="12" t="n"/>
      <c r="L2708" s="11" t="n"/>
      <c r="M2708" s="11" t="n"/>
      <c r="N2708" s="11" t="n"/>
      <c r="O2708" s="11" t="n"/>
      <c r="P2708" s="12" t="n"/>
      <c r="Q2708" s="11" t="n"/>
      <c r="R2708" s="12" t="n"/>
      <c r="S2708" s="11" t="n"/>
      <c r="T2708" s="12" t="n"/>
      <c r="U2708" s="12" t="n"/>
      <c r="V2708" s="14">
        <f>IF($AN2708="",IF($B2708="","",$H2708),IF(INDEX(職員マスタ!$B$6:$B$405,$AN2708)="",$H2708,INDEX(職員マスタ!$B$6:$B$405,$AN2708)))</f>
        <v/>
      </c>
      <c r="W2708" s="14">
        <f>IF($AN2708="",IF($B2708="","",$R2708),IF(INDEX(職員マスタ!$C$6:$C$405,$AN2708)="",$R2708,INDEX(職員マスタ!$C$6:$C$405,$AN2708)))</f>
        <v/>
      </c>
      <c r="X2708" s="14">
        <f>IF($AO2708="","","R"&amp;$C2708&amp;"."&amp;$D2708)</f>
        <v/>
      </c>
      <c r="Y2708" s="15">
        <f>IF($AN2708="","",IF(INDEX(職員マスタ!$K$6:$K$405,$AN2708)="","",INDEX(職員マスタ!$K$6:$K$405,$AN2708)))</f>
        <v/>
      </c>
      <c r="Z2708" s="14">
        <f>IF(OR($E2708="",$Y2708=""),"",IF($E2708&gt;=$Y2708,"×",IF($E2708&gt;=$Y2708*設定!$C$5,"△","○")))</f>
        <v/>
      </c>
      <c r="AA2708" s="15">
        <f>IF($Z2708="","",IF($Z2708="×",0,IF($Z2708="○",ROUNDDOWN($E2708*設定!$C$4,0),ROUNDDOWN($E2708*ROUND((9*$Y2708-9*$E2708)/(10*$E2708),4),0))))</f>
        <v/>
      </c>
      <c r="AB2708" s="13" t="n"/>
      <c r="AC2708" s="15">
        <f>IF($B2708="","",IF($AB2708&lt;&gt;"",$AB2708,IF($AA2708="","",IF($AA2708&lt;=設定!$C$3,0,$AA2708))))</f>
        <v/>
      </c>
      <c r="AD2708" s="14">
        <f>IF($B2708="","",IF(AND($AE2708&lt;&gt;"",$AG2708="",$AJ2708=""),"保留中",IF($AJ2708&lt;&gt;"",IF(N($AC2708)&gt;0,"支給済","不支給"),IF($AC2708="","要確認",IF($AC2708=0,"不支給","未処理")))))</f>
        <v/>
      </c>
      <c r="AE2708" s="12" t="n"/>
      <c r="AF2708" s="11" t="n"/>
      <c r="AG2708" s="11" t="n"/>
      <c r="AH2708" s="11" t="n"/>
      <c r="AI2708" s="14">
        <f>IF(AND($AD2708="保留中",$AF2708&lt;&gt;""),TODAY()-$AF2708,"")</f>
        <v/>
      </c>
      <c r="AJ2708" s="12" t="n"/>
      <c r="AK2708" s="14">
        <f>IF($B2708="","",IF($AO2708="","対象年月が未入力／","")&amp;IF($B2708="","",IF($AN2708="","職員マスタに未登録の職員番号／",IF($Y2708="","標準報酬月額が未登録／","")&amp;IF(AND($AO2708&lt;&gt;"",OR(AND(INDEX(職員マスタ!$G$6:$G$405,$AN2708)&lt;&gt;"",INDEX(職員マスタ!$G$6:$G$405,$AN2708)&gt;EOMONTH($AO2708,0)),AND(INDEX(職員マスタ!$H$6:$H$405,$AN2708)&lt;&gt;"",INDEX(職員マスタ!$H$6:$H$405,$AN2708)&lt;$AO2708))),"対象月が時短期間外／","")&amp;IF(AND(INDEX(職員マスタ!$F$6:$F$405,$AN2708)&lt;&gt;"",$AO2708&lt;&gt;"",INDEX(職員マスタ!$F$6:$F$405,$AN2708)&lt;$AO2708),"対象月に子が2歳到達済／","")&amp;IF(AND($H2708&lt;&gt;"",INDEX(職員マスタ!$B$6:$B$405,$AN2708)&lt;&gt;"",SUBSTITUTE(SUBSTITUTE($H2708," ","")," ","")&lt;&gt;SUBSTITUTE(SUBSTITUTE(INDEX(職員マスタ!$B$6:$B$405,$AN2708)," ","")," ","")),"氏名がマスタと相違／","")&amp;IF(AND($Q2708&lt;&gt;"",INDEX(職員マスタ!$E$6:$E$405,$AN2708)&lt;&gt;"",$Q2708&lt;&gt;INDEX(職員マスタ!$E$6:$E$405,$AN2708)),"子の生年月日がマスタと相違／","")&amp;IF(AND($L2708&lt;&gt;"",INDEX(職員マスタ!$G$6:$G$405,$AN2708)&lt;&gt;"",$L2708&lt;&gt;INDEX(職員マスタ!$G$6:$G$405,$AN2708)),"時短開始日がマスタと相違／","")&amp;IF(AND($M2708&lt;&gt;"",INDEX(職員マスタ!$H$6:$H$405,$AN2708)&lt;&gt;"",$M2708&lt;&gt;INDEX(職員マスタ!$H$6:$H$405,$AN2708)),"時短終了日がマスタと相違／","")))&amp;IF(AND($B2708&lt;&gt;"",$E2708=""),"報酬額が未入力／","")&amp;IF(N($U2708)&gt;0,"申請書に入力エラーが残っています／","")&amp;IF(AND($B2708&lt;&gt;"",$AO2708&lt;&gt;""),IF(COUNTIFS($B$6:$B$3005,$B2708,$C$6:$C$3005,$C2708,$D$6:$D$3005,$D2708)&gt;1,"同じ月の請求が重複しています／",""),"")&amp;IF(AND(N($E2708)&gt;0,$Z2708&lt;&gt;"",$Z2708&lt;&gt;"×",$AC2708=0,$AB2708=""),"計算額が下限以下のため不支給／",""))</f>
        <v/>
      </c>
      <c r="AL2708" s="12" t="n"/>
      <c r="AM2708" s="14">
        <f>IF($AD2708="保留中",COUNTIF($AD$6:$AD2708,"保留中"),"")</f>
        <v/>
      </c>
      <c r="AN2708" s="14">
        <f>IF($AO2708="","",IF(SUMPRODUCT(MAX((職員マスタ!$A$6:$A$405=$B2708)*(((職員マスタ!$G$6:$G$405="")+(職員マスタ!$G$6:$G$405&lt;=EOMONTH($AO2708,0)))&gt;0)*(((職員マスタ!$H$6:$H$405="")+(職員マスタ!$H$6:$H$405&gt;=$AO2708))&gt;0)*(ROW(職員マスタ!$A$6:$A$405)-5)))&gt;0,SUMPRODUCT(MAX((職員マスタ!$A$6:$A$405=$B2708)*(((職員マスタ!$G$6:$G$405="")+(職員マスタ!$G$6:$G$405&lt;=EOMONTH($AO2708,0)))&gt;0)*(((職員マスタ!$H$6:$H$405="")+(職員マスタ!$H$6:$H$405&gt;=$AO2708))&gt;0)*(ROW(職員マスタ!$A$6:$A$405)-5))),IFERROR(MATCH($B2708,職員マスタ!$A$6:$A$405,0),"")))</f>
        <v/>
      </c>
      <c r="AO2708" s="16">
        <f>IF(OR($B2708="",$C2708="",$D2708=""),"",DATE($C2708+2018,$D2708,1))</f>
        <v/>
      </c>
    </row>
    <row r="2709">
      <c r="A2709" s="11" t="n"/>
      <c r="B2709" s="12" t="n"/>
      <c r="C2709" s="12" t="n"/>
      <c r="D2709" s="12" t="n"/>
      <c r="E2709" s="13" t="n"/>
      <c r="F2709" s="12" t="n"/>
      <c r="G2709" s="13" t="n"/>
      <c r="H2709" s="12" t="n"/>
      <c r="I2709" s="12" t="n"/>
      <c r="J2709" s="12" t="n"/>
      <c r="K2709" s="12" t="n"/>
      <c r="L2709" s="11" t="n"/>
      <c r="M2709" s="11" t="n"/>
      <c r="N2709" s="11" t="n"/>
      <c r="O2709" s="11" t="n"/>
      <c r="P2709" s="12" t="n"/>
      <c r="Q2709" s="11" t="n"/>
      <c r="R2709" s="12" t="n"/>
      <c r="S2709" s="11" t="n"/>
      <c r="T2709" s="12" t="n"/>
      <c r="U2709" s="12" t="n"/>
      <c r="V2709" s="14">
        <f>IF($AN2709="",IF($B2709="","",$H2709),IF(INDEX(職員マスタ!$B$6:$B$405,$AN2709)="",$H2709,INDEX(職員マスタ!$B$6:$B$405,$AN2709)))</f>
        <v/>
      </c>
      <c r="W2709" s="14">
        <f>IF($AN2709="",IF($B2709="","",$R2709),IF(INDEX(職員マスタ!$C$6:$C$405,$AN2709)="",$R2709,INDEX(職員マスタ!$C$6:$C$405,$AN2709)))</f>
        <v/>
      </c>
      <c r="X2709" s="14">
        <f>IF($AO2709="","","R"&amp;$C2709&amp;"."&amp;$D2709)</f>
        <v/>
      </c>
      <c r="Y2709" s="15">
        <f>IF($AN2709="","",IF(INDEX(職員マスタ!$K$6:$K$405,$AN2709)="","",INDEX(職員マスタ!$K$6:$K$405,$AN2709)))</f>
        <v/>
      </c>
      <c r="Z2709" s="14">
        <f>IF(OR($E2709="",$Y2709=""),"",IF($E2709&gt;=$Y2709,"×",IF($E2709&gt;=$Y2709*設定!$C$5,"△","○")))</f>
        <v/>
      </c>
      <c r="AA2709" s="15">
        <f>IF($Z2709="","",IF($Z2709="×",0,IF($Z2709="○",ROUNDDOWN($E2709*設定!$C$4,0),ROUNDDOWN($E2709*ROUND((9*$Y2709-9*$E2709)/(10*$E2709),4),0))))</f>
        <v/>
      </c>
      <c r="AB2709" s="13" t="n"/>
      <c r="AC2709" s="15">
        <f>IF($B2709="","",IF($AB2709&lt;&gt;"",$AB2709,IF($AA2709="","",IF($AA2709&lt;=設定!$C$3,0,$AA2709))))</f>
        <v/>
      </c>
      <c r="AD2709" s="14">
        <f>IF($B2709="","",IF(AND($AE2709&lt;&gt;"",$AG2709="",$AJ2709=""),"保留中",IF($AJ2709&lt;&gt;"",IF(N($AC2709)&gt;0,"支給済","不支給"),IF($AC2709="","要確認",IF($AC2709=0,"不支給","未処理")))))</f>
        <v/>
      </c>
      <c r="AE2709" s="12" t="n"/>
      <c r="AF2709" s="11" t="n"/>
      <c r="AG2709" s="11" t="n"/>
      <c r="AH2709" s="11" t="n"/>
      <c r="AI2709" s="14">
        <f>IF(AND($AD2709="保留中",$AF2709&lt;&gt;""),TODAY()-$AF2709,"")</f>
        <v/>
      </c>
      <c r="AJ2709" s="12" t="n"/>
      <c r="AK2709" s="14">
        <f>IF($B2709="","",IF($AO2709="","対象年月が未入力／","")&amp;IF($B2709="","",IF($AN2709="","職員マスタに未登録の職員番号／",IF($Y2709="","標準報酬月額が未登録／","")&amp;IF(AND($AO2709&lt;&gt;"",OR(AND(INDEX(職員マスタ!$G$6:$G$405,$AN2709)&lt;&gt;"",INDEX(職員マスタ!$G$6:$G$405,$AN2709)&gt;EOMONTH($AO2709,0)),AND(INDEX(職員マスタ!$H$6:$H$405,$AN2709)&lt;&gt;"",INDEX(職員マスタ!$H$6:$H$405,$AN2709)&lt;$AO2709))),"対象月が時短期間外／","")&amp;IF(AND(INDEX(職員マスタ!$F$6:$F$405,$AN2709)&lt;&gt;"",$AO2709&lt;&gt;"",INDEX(職員マスタ!$F$6:$F$405,$AN2709)&lt;$AO2709),"対象月に子が2歳到達済／","")&amp;IF(AND($H2709&lt;&gt;"",INDEX(職員マスタ!$B$6:$B$405,$AN2709)&lt;&gt;"",SUBSTITUTE(SUBSTITUTE($H2709," ","")," ","")&lt;&gt;SUBSTITUTE(SUBSTITUTE(INDEX(職員マスタ!$B$6:$B$405,$AN2709)," ","")," ","")),"氏名がマスタと相違／","")&amp;IF(AND($Q2709&lt;&gt;"",INDEX(職員マスタ!$E$6:$E$405,$AN2709)&lt;&gt;"",$Q2709&lt;&gt;INDEX(職員マスタ!$E$6:$E$405,$AN2709)),"子の生年月日がマスタと相違／","")&amp;IF(AND($L2709&lt;&gt;"",INDEX(職員マスタ!$G$6:$G$405,$AN2709)&lt;&gt;"",$L2709&lt;&gt;INDEX(職員マスタ!$G$6:$G$405,$AN2709)),"時短開始日がマスタと相違／","")&amp;IF(AND($M2709&lt;&gt;"",INDEX(職員マスタ!$H$6:$H$405,$AN2709)&lt;&gt;"",$M2709&lt;&gt;INDEX(職員マスタ!$H$6:$H$405,$AN2709)),"時短終了日がマスタと相違／","")))&amp;IF(AND($B2709&lt;&gt;"",$E2709=""),"報酬額が未入力／","")&amp;IF(N($U2709)&gt;0,"申請書に入力エラーが残っています／","")&amp;IF(AND($B2709&lt;&gt;"",$AO2709&lt;&gt;""),IF(COUNTIFS($B$6:$B$3005,$B2709,$C$6:$C$3005,$C2709,$D$6:$D$3005,$D2709)&gt;1,"同じ月の請求が重複しています／",""),"")&amp;IF(AND(N($E2709)&gt;0,$Z2709&lt;&gt;"",$Z2709&lt;&gt;"×",$AC2709=0,$AB2709=""),"計算額が下限以下のため不支給／",""))</f>
        <v/>
      </c>
      <c r="AL2709" s="12" t="n"/>
      <c r="AM2709" s="14">
        <f>IF($AD2709="保留中",COUNTIF($AD$6:$AD2709,"保留中"),"")</f>
        <v/>
      </c>
      <c r="AN2709" s="14">
        <f>IF($AO2709="","",IF(SUMPRODUCT(MAX((職員マスタ!$A$6:$A$405=$B2709)*(((職員マスタ!$G$6:$G$405="")+(職員マスタ!$G$6:$G$405&lt;=EOMONTH($AO2709,0)))&gt;0)*(((職員マスタ!$H$6:$H$405="")+(職員マスタ!$H$6:$H$405&gt;=$AO2709))&gt;0)*(ROW(職員マスタ!$A$6:$A$405)-5)))&gt;0,SUMPRODUCT(MAX((職員マスタ!$A$6:$A$405=$B2709)*(((職員マスタ!$G$6:$G$405="")+(職員マスタ!$G$6:$G$405&lt;=EOMONTH($AO2709,0)))&gt;0)*(((職員マスタ!$H$6:$H$405="")+(職員マスタ!$H$6:$H$405&gt;=$AO2709))&gt;0)*(ROW(職員マスタ!$A$6:$A$405)-5))),IFERROR(MATCH($B2709,職員マスタ!$A$6:$A$405,0),"")))</f>
        <v/>
      </c>
      <c r="AO2709" s="16">
        <f>IF(OR($B2709="",$C2709="",$D2709=""),"",DATE($C2709+2018,$D2709,1))</f>
        <v/>
      </c>
    </row>
    <row r="2710">
      <c r="A2710" s="11" t="n"/>
      <c r="B2710" s="12" t="n"/>
      <c r="C2710" s="12" t="n"/>
      <c r="D2710" s="12" t="n"/>
      <c r="E2710" s="13" t="n"/>
      <c r="F2710" s="12" t="n"/>
      <c r="G2710" s="13" t="n"/>
      <c r="H2710" s="12" t="n"/>
      <c r="I2710" s="12" t="n"/>
      <c r="J2710" s="12" t="n"/>
      <c r="K2710" s="12" t="n"/>
      <c r="L2710" s="11" t="n"/>
      <c r="M2710" s="11" t="n"/>
      <c r="N2710" s="11" t="n"/>
      <c r="O2710" s="11" t="n"/>
      <c r="P2710" s="12" t="n"/>
      <c r="Q2710" s="11" t="n"/>
      <c r="R2710" s="12" t="n"/>
      <c r="S2710" s="11" t="n"/>
      <c r="T2710" s="12" t="n"/>
      <c r="U2710" s="12" t="n"/>
      <c r="V2710" s="14">
        <f>IF($AN2710="",IF($B2710="","",$H2710),IF(INDEX(職員マスタ!$B$6:$B$405,$AN2710)="",$H2710,INDEX(職員マスタ!$B$6:$B$405,$AN2710)))</f>
        <v/>
      </c>
      <c r="W2710" s="14">
        <f>IF($AN2710="",IF($B2710="","",$R2710),IF(INDEX(職員マスタ!$C$6:$C$405,$AN2710)="",$R2710,INDEX(職員マスタ!$C$6:$C$405,$AN2710)))</f>
        <v/>
      </c>
      <c r="X2710" s="14">
        <f>IF($AO2710="","","R"&amp;$C2710&amp;"."&amp;$D2710)</f>
        <v/>
      </c>
      <c r="Y2710" s="15">
        <f>IF($AN2710="","",IF(INDEX(職員マスタ!$K$6:$K$405,$AN2710)="","",INDEX(職員マスタ!$K$6:$K$405,$AN2710)))</f>
        <v/>
      </c>
      <c r="Z2710" s="14">
        <f>IF(OR($E2710="",$Y2710=""),"",IF($E2710&gt;=$Y2710,"×",IF($E2710&gt;=$Y2710*設定!$C$5,"△","○")))</f>
        <v/>
      </c>
      <c r="AA2710" s="15">
        <f>IF($Z2710="","",IF($Z2710="×",0,IF($Z2710="○",ROUNDDOWN($E2710*設定!$C$4,0),ROUNDDOWN($E2710*ROUND((9*$Y2710-9*$E2710)/(10*$E2710),4),0))))</f>
        <v/>
      </c>
      <c r="AB2710" s="13" t="n"/>
      <c r="AC2710" s="15">
        <f>IF($B2710="","",IF($AB2710&lt;&gt;"",$AB2710,IF($AA2710="","",IF($AA2710&lt;=設定!$C$3,0,$AA2710))))</f>
        <v/>
      </c>
      <c r="AD2710" s="14">
        <f>IF($B2710="","",IF(AND($AE2710&lt;&gt;"",$AG2710="",$AJ2710=""),"保留中",IF($AJ2710&lt;&gt;"",IF(N($AC2710)&gt;0,"支給済","不支給"),IF($AC2710="","要確認",IF($AC2710=0,"不支給","未処理")))))</f>
        <v/>
      </c>
      <c r="AE2710" s="12" t="n"/>
      <c r="AF2710" s="11" t="n"/>
      <c r="AG2710" s="11" t="n"/>
      <c r="AH2710" s="11" t="n"/>
      <c r="AI2710" s="14">
        <f>IF(AND($AD2710="保留中",$AF2710&lt;&gt;""),TODAY()-$AF2710,"")</f>
        <v/>
      </c>
      <c r="AJ2710" s="12" t="n"/>
      <c r="AK2710" s="14">
        <f>IF($B2710="","",IF($AO2710="","対象年月が未入力／","")&amp;IF($B2710="","",IF($AN2710="","職員マスタに未登録の職員番号／",IF($Y2710="","標準報酬月額が未登録／","")&amp;IF(AND($AO2710&lt;&gt;"",OR(AND(INDEX(職員マスタ!$G$6:$G$405,$AN2710)&lt;&gt;"",INDEX(職員マスタ!$G$6:$G$405,$AN2710)&gt;EOMONTH($AO2710,0)),AND(INDEX(職員マスタ!$H$6:$H$405,$AN2710)&lt;&gt;"",INDEX(職員マスタ!$H$6:$H$405,$AN2710)&lt;$AO2710))),"対象月が時短期間外／","")&amp;IF(AND(INDEX(職員マスタ!$F$6:$F$405,$AN2710)&lt;&gt;"",$AO2710&lt;&gt;"",INDEX(職員マスタ!$F$6:$F$405,$AN2710)&lt;$AO2710),"対象月に子が2歳到達済／","")&amp;IF(AND($H2710&lt;&gt;"",INDEX(職員マスタ!$B$6:$B$405,$AN2710)&lt;&gt;"",SUBSTITUTE(SUBSTITUTE($H2710," ","")," ","")&lt;&gt;SUBSTITUTE(SUBSTITUTE(INDEX(職員マスタ!$B$6:$B$405,$AN2710)," ","")," ","")),"氏名がマスタと相違／","")&amp;IF(AND($Q2710&lt;&gt;"",INDEX(職員マスタ!$E$6:$E$405,$AN2710)&lt;&gt;"",$Q2710&lt;&gt;INDEX(職員マスタ!$E$6:$E$405,$AN2710)),"子の生年月日がマスタと相違／","")&amp;IF(AND($L2710&lt;&gt;"",INDEX(職員マスタ!$G$6:$G$405,$AN2710)&lt;&gt;"",$L2710&lt;&gt;INDEX(職員マスタ!$G$6:$G$405,$AN2710)),"時短開始日がマスタと相違／","")&amp;IF(AND($M2710&lt;&gt;"",INDEX(職員マスタ!$H$6:$H$405,$AN2710)&lt;&gt;"",$M2710&lt;&gt;INDEX(職員マスタ!$H$6:$H$405,$AN2710)),"時短終了日がマスタと相違／","")))&amp;IF(AND($B2710&lt;&gt;"",$E2710=""),"報酬額が未入力／","")&amp;IF(N($U2710)&gt;0,"申請書に入力エラーが残っています／","")&amp;IF(AND($B2710&lt;&gt;"",$AO2710&lt;&gt;""),IF(COUNTIFS($B$6:$B$3005,$B2710,$C$6:$C$3005,$C2710,$D$6:$D$3005,$D2710)&gt;1,"同じ月の請求が重複しています／",""),"")&amp;IF(AND(N($E2710)&gt;0,$Z2710&lt;&gt;"",$Z2710&lt;&gt;"×",$AC2710=0,$AB2710=""),"計算額が下限以下のため不支給／",""))</f>
        <v/>
      </c>
      <c r="AL2710" s="12" t="n"/>
      <c r="AM2710" s="14">
        <f>IF($AD2710="保留中",COUNTIF($AD$6:$AD2710,"保留中"),"")</f>
        <v/>
      </c>
      <c r="AN2710" s="14">
        <f>IF($AO2710="","",IF(SUMPRODUCT(MAX((職員マスタ!$A$6:$A$405=$B2710)*(((職員マスタ!$G$6:$G$405="")+(職員マスタ!$G$6:$G$405&lt;=EOMONTH($AO2710,0)))&gt;0)*(((職員マスタ!$H$6:$H$405="")+(職員マスタ!$H$6:$H$405&gt;=$AO2710))&gt;0)*(ROW(職員マスタ!$A$6:$A$405)-5)))&gt;0,SUMPRODUCT(MAX((職員マスタ!$A$6:$A$405=$B2710)*(((職員マスタ!$G$6:$G$405="")+(職員マスタ!$G$6:$G$405&lt;=EOMONTH($AO2710,0)))&gt;0)*(((職員マスタ!$H$6:$H$405="")+(職員マスタ!$H$6:$H$405&gt;=$AO2710))&gt;0)*(ROW(職員マスタ!$A$6:$A$405)-5))),IFERROR(MATCH($B2710,職員マスタ!$A$6:$A$405,0),"")))</f>
        <v/>
      </c>
      <c r="AO2710" s="16">
        <f>IF(OR($B2710="",$C2710="",$D2710=""),"",DATE($C2710+2018,$D2710,1))</f>
        <v/>
      </c>
    </row>
    <row r="2711">
      <c r="A2711" s="11" t="n"/>
      <c r="B2711" s="12" t="n"/>
      <c r="C2711" s="12" t="n"/>
      <c r="D2711" s="12" t="n"/>
      <c r="E2711" s="13" t="n"/>
      <c r="F2711" s="12" t="n"/>
      <c r="G2711" s="13" t="n"/>
      <c r="H2711" s="12" t="n"/>
      <c r="I2711" s="12" t="n"/>
      <c r="J2711" s="12" t="n"/>
      <c r="K2711" s="12" t="n"/>
      <c r="L2711" s="11" t="n"/>
      <c r="M2711" s="11" t="n"/>
      <c r="N2711" s="11" t="n"/>
      <c r="O2711" s="11" t="n"/>
      <c r="P2711" s="12" t="n"/>
      <c r="Q2711" s="11" t="n"/>
      <c r="R2711" s="12" t="n"/>
      <c r="S2711" s="11" t="n"/>
      <c r="T2711" s="12" t="n"/>
      <c r="U2711" s="12" t="n"/>
      <c r="V2711" s="14">
        <f>IF($AN2711="",IF($B2711="","",$H2711),IF(INDEX(職員マスタ!$B$6:$B$405,$AN2711)="",$H2711,INDEX(職員マスタ!$B$6:$B$405,$AN2711)))</f>
        <v/>
      </c>
      <c r="W2711" s="14">
        <f>IF($AN2711="",IF($B2711="","",$R2711),IF(INDEX(職員マスタ!$C$6:$C$405,$AN2711)="",$R2711,INDEX(職員マスタ!$C$6:$C$405,$AN2711)))</f>
        <v/>
      </c>
      <c r="X2711" s="14">
        <f>IF($AO2711="","","R"&amp;$C2711&amp;"."&amp;$D2711)</f>
        <v/>
      </c>
      <c r="Y2711" s="15">
        <f>IF($AN2711="","",IF(INDEX(職員マスタ!$K$6:$K$405,$AN2711)="","",INDEX(職員マスタ!$K$6:$K$405,$AN2711)))</f>
        <v/>
      </c>
      <c r="Z2711" s="14">
        <f>IF(OR($E2711="",$Y2711=""),"",IF($E2711&gt;=$Y2711,"×",IF($E2711&gt;=$Y2711*設定!$C$5,"△","○")))</f>
        <v/>
      </c>
      <c r="AA2711" s="15">
        <f>IF($Z2711="","",IF($Z2711="×",0,IF($Z2711="○",ROUNDDOWN($E2711*設定!$C$4,0),ROUNDDOWN($E2711*ROUND((9*$Y2711-9*$E2711)/(10*$E2711),4),0))))</f>
        <v/>
      </c>
      <c r="AB2711" s="13" t="n"/>
      <c r="AC2711" s="15">
        <f>IF($B2711="","",IF($AB2711&lt;&gt;"",$AB2711,IF($AA2711="","",IF($AA2711&lt;=設定!$C$3,0,$AA2711))))</f>
        <v/>
      </c>
      <c r="AD2711" s="14">
        <f>IF($B2711="","",IF(AND($AE2711&lt;&gt;"",$AG2711="",$AJ2711=""),"保留中",IF($AJ2711&lt;&gt;"",IF(N($AC2711)&gt;0,"支給済","不支給"),IF($AC2711="","要確認",IF($AC2711=0,"不支給","未処理")))))</f>
        <v/>
      </c>
      <c r="AE2711" s="12" t="n"/>
      <c r="AF2711" s="11" t="n"/>
      <c r="AG2711" s="11" t="n"/>
      <c r="AH2711" s="11" t="n"/>
      <c r="AI2711" s="14">
        <f>IF(AND($AD2711="保留中",$AF2711&lt;&gt;""),TODAY()-$AF2711,"")</f>
        <v/>
      </c>
      <c r="AJ2711" s="12" t="n"/>
      <c r="AK2711" s="14">
        <f>IF($B2711="","",IF($AO2711="","対象年月が未入力／","")&amp;IF($B2711="","",IF($AN2711="","職員マスタに未登録の職員番号／",IF($Y2711="","標準報酬月額が未登録／","")&amp;IF(AND($AO2711&lt;&gt;"",OR(AND(INDEX(職員マスタ!$G$6:$G$405,$AN2711)&lt;&gt;"",INDEX(職員マスタ!$G$6:$G$405,$AN2711)&gt;EOMONTH($AO2711,0)),AND(INDEX(職員マスタ!$H$6:$H$405,$AN2711)&lt;&gt;"",INDEX(職員マスタ!$H$6:$H$405,$AN2711)&lt;$AO2711))),"対象月が時短期間外／","")&amp;IF(AND(INDEX(職員マスタ!$F$6:$F$405,$AN2711)&lt;&gt;"",$AO2711&lt;&gt;"",INDEX(職員マスタ!$F$6:$F$405,$AN2711)&lt;$AO2711),"対象月に子が2歳到達済／","")&amp;IF(AND($H2711&lt;&gt;"",INDEX(職員マスタ!$B$6:$B$405,$AN2711)&lt;&gt;"",SUBSTITUTE(SUBSTITUTE($H2711," ","")," ","")&lt;&gt;SUBSTITUTE(SUBSTITUTE(INDEX(職員マスタ!$B$6:$B$405,$AN2711)," ","")," ","")),"氏名がマスタと相違／","")&amp;IF(AND($Q2711&lt;&gt;"",INDEX(職員マスタ!$E$6:$E$405,$AN2711)&lt;&gt;"",$Q2711&lt;&gt;INDEX(職員マスタ!$E$6:$E$405,$AN2711)),"子の生年月日がマスタと相違／","")&amp;IF(AND($L2711&lt;&gt;"",INDEX(職員マスタ!$G$6:$G$405,$AN2711)&lt;&gt;"",$L2711&lt;&gt;INDEX(職員マスタ!$G$6:$G$405,$AN2711)),"時短開始日がマスタと相違／","")&amp;IF(AND($M2711&lt;&gt;"",INDEX(職員マスタ!$H$6:$H$405,$AN2711)&lt;&gt;"",$M2711&lt;&gt;INDEX(職員マスタ!$H$6:$H$405,$AN2711)),"時短終了日がマスタと相違／","")))&amp;IF(AND($B2711&lt;&gt;"",$E2711=""),"報酬額が未入力／","")&amp;IF(N($U2711)&gt;0,"申請書に入力エラーが残っています／","")&amp;IF(AND($B2711&lt;&gt;"",$AO2711&lt;&gt;""),IF(COUNTIFS($B$6:$B$3005,$B2711,$C$6:$C$3005,$C2711,$D$6:$D$3005,$D2711)&gt;1,"同じ月の請求が重複しています／",""),"")&amp;IF(AND(N($E2711)&gt;0,$Z2711&lt;&gt;"",$Z2711&lt;&gt;"×",$AC2711=0,$AB2711=""),"計算額が下限以下のため不支給／",""))</f>
        <v/>
      </c>
      <c r="AL2711" s="12" t="n"/>
      <c r="AM2711" s="14">
        <f>IF($AD2711="保留中",COUNTIF($AD$6:$AD2711,"保留中"),"")</f>
        <v/>
      </c>
      <c r="AN2711" s="14">
        <f>IF($AO2711="","",IF(SUMPRODUCT(MAX((職員マスタ!$A$6:$A$405=$B2711)*(((職員マスタ!$G$6:$G$405="")+(職員マスタ!$G$6:$G$405&lt;=EOMONTH($AO2711,0)))&gt;0)*(((職員マスタ!$H$6:$H$405="")+(職員マスタ!$H$6:$H$405&gt;=$AO2711))&gt;0)*(ROW(職員マスタ!$A$6:$A$405)-5)))&gt;0,SUMPRODUCT(MAX((職員マスタ!$A$6:$A$405=$B2711)*(((職員マスタ!$G$6:$G$405="")+(職員マスタ!$G$6:$G$405&lt;=EOMONTH($AO2711,0)))&gt;0)*(((職員マスタ!$H$6:$H$405="")+(職員マスタ!$H$6:$H$405&gt;=$AO2711))&gt;0)*(ROW(職員マスタ!$A$6:$A$405)-5))),IFERROR(MATCH($B2711,職員マスタ!$A$6:$A$405,0),"")))</f>
        <v/>
      </c>
      <c r="AO2711" s="16">
        <f>IF(OR($B2711="",$C2711="",$D2711=""),"",DATE($C2711+2018,$D2711,1))</f>
        <v/>
      </c>
    </row>
    <row r="2712">
      <c r="A2712" s="11" t="n"/>
      <c r="B2712" s="12" t="n"/>
      <c r="C2712" s="12" t="n"/>
      <c r="D2712" s="12" t="n"/>
      <c r="E2712" s="13" t="n"/>
      <c r="F2712" s="12" t="n"/>
      <c r="G2712" s="13" t="n"/>
      <c r="H2712" s="12" t="n"/>
      <c r="I2712" s="12" t="n"/>
      <c r="J2712" s="12" t="n"/>
      <c r="K2712" s="12" t="n"/>
      <c r="L2712" s="11" t="n"/>
      <c r="M2712" s="11" t="n"/>
      <c r="N2712" s="11" t="n"/>
      <c r="O2712" s="11" t="n"/>
      <c r="P2712" s="12" t="n"/>
      <c r="Q2712" s="11" t="n"/>
      <c r="R2712" s="12" t="n"/>
      <c r="S2712" s="11" t="n"/>
      <c r="T2712" s="12" t="n"/>
      <c r="U2712" s="12" t="n"/>
      <c r="V2712" s="14">
        <f>IF($AN2712="",IF($B2712="","",$H2712),IF(INDEX(職員マスタ!$B$6:$B$405,$AN2712)="",$H2712,INDEX(職員マスタ!$B$6:$B$405,$AN2712)))</f>
        <v/>
      </c>
      <c r="W2712" s="14">
        <f>IF($AN2712="",IF($B2712="","",$R2712),IF(INDEX(職員マスタ!$C$6:$C$405,$AN2712)="",$R2712,INDEX(職員マスタ!$C$6:$C$405,$AN2712)))</f>
        <v/>
      </c>
      <c r="X2712" s="14">
        <f>IF($AO2712="","","R"&amp;$C2712&amp;"."&amp;$D2712)</f>
        <v/>
      </c>
      <c r="Y2712" s="15">
        <f>IF($AN2712="","",IF(INDEX(職員マスタ!$K$6:$K$405,$AN2712)="","",INDEX(職員マスタ!$K$6:$K$405,$AN2712)))</f>
        <v/>
      </c>
      <c r="Z2712" s="14">
        <f>IF(OR($E2712="",$Y2712=""),"",IF($E2712&gt;=$Y2712,"×",IF($E2712&gt;=$Y2712*設定!$C$5,"△","○")))</f>
        <v/>
      </c>
      <c r="AA2712" s="15">
        <f>IF($Z2712="","",IF($Z2712="×",0,IF($Z2712="○",ROUNDDOWN($E2712*設定!$C$4,0),ROUNDDOWN($E2712*ROUND((9*$Y2712-9*$E2712)/(10*$E2712),4),0))))</f>
        <v/>
      </c>
      <c r="AB2712" s="13" t="n"/>
      <c r="AC2712" s="15">
        <f>IF($B2712="","",IF($AB2712&lt;&gt;"",$AB2712,IF($AA2712="","",IF($AA2712&lt;=設定!$C$3,0,$AA2712))))</f>
        <v/>
      </c>
      <c r="AD2712" s="14">
        <f>IF($B2712="","",IF(AND($AE2712&lt;&gt;"",$AG2712="",$AJ2712=""),"保留中",IF($AJ2712&lt;&gt;"",IF(N($AC2712)&gt;0,"支給済","不支給"),IF($AC2712="","要確認",IF($AC2712=0,"不支給","未処理")))))</f>
        <v/>
      </c>
      <c r="AE2712" s="12" t="n"/>
      <c r="AF2712" s="11" t="n"/>
      <c r="AG2712" s="11" t="n"/>
      <c r="AH2712" s="11" t="n"/>
      <c r="AI2712" s="14">
        <f>IF(AND($AD2712="保留中",$AF2712&lt;&gt;""),TODAY()-$AF2712,"")</f>
        <v/>
      </c>
      <c r="AJ2712" s="12" t="n"/>
      <c r="AK2712" s="14">
        <f>IF($B2712="","",IF($AO2712="","対象年月が未入力／","")&amp;IF($B2712="","",IF($AN2712="","職員マスタに未登録の職員番号／",IF($Y2712="","標準報酬月額が未登録／","")&amp;IF(AND($AO2712&lt;&gt;"",OR(AND(INDEX(職員マスタ!$G$6:$G$405,$AN2712)&lt;&gt;"",INDEX(職員マスタ!$G$6:$G$405,$AN2712)&gt;EOMONTH($AO2712,0)),AND(INDEX(職員マスタ!$H$6:$H$405,$AN2712)&lt;&gt;"",INDEX(職員マスタ!$H$6:$H$405,$AN2712)&lt;$AO2712))),"対象月が時短期間外／","")&amp;IF(AND(INDEX(職員マスタ!$F$6:$F$405,$AN2712)&lt;&gt;"",$AO2712&lt;&gt;"",INDEX(職員マスタ!$F$6:$F$405,$AN2712)&lt;$AO2712),"対象月に子が2歳到達済／","")&amp;IF(AND($H2712&lt;&gt;"",INDEX(職員マスタ!$B$6:$B$405,$AN2712)&lt;&gt;"",SUBSTITUTE(SUBSTITUTE($H2712," ","")," ","")&lt;&gt;SUBSTITUTE(SUBSTITUTE(INDEX(職員マスタ!$B$6:$B$405,$AN2712)," ","")," ","")),"氏名がマスタと相違／","")&amp;IF(AND($Q2712&lt;&gt;"",INDEX(職員マスタ!$E$6:$E$405,$AN2712)&lt;&gt;"",$Q2712&lt;&gt;INDEX(職員マスタ!$E$6:$E$405,$AN2712)),"子の生年月日がマスタと相違／","")&amp;IF(AND($L2712&lt;&gt;"",INDEX(職員マスタ!$G$6:$G$405,$AN2712)&lt;&gt;"",$L2712&lt;&gt;INDEX(職員マスタ!$G$6:$G$405,$AN2712)),"時短開始日がマスタと相違／","")&amp;IF(AND($M2712&lt;&gt;"",INDEX(職員マスタ!$H$6:$H$405,$AN2712)&lt;&gt;"",$M2712&lt;&gt;INDEX(職員マスタ!$H$6:$H$405,$AN2712)),"時短終了日がマスタと相違／","")))&amp;IF(AND($B2712&lt;&gt;"",$E2712=""),"報酬額が未入力／","")&amp;IF(N($U2712)&gt;0,"申請書に入力エラーが残っています／","")&amp;IF(AND($B2712&lt;&gt;"",$AO2712&lt;&gt;""),IF(COUNTIFS($B$6:$B$3005,$B2712,$C$6:$C$3005,$C2712,$D$6:$D$3005,$D2712)&gt;1,"同じ月の請求が重複しています／",""),"")&amp;IF(AND(N($E2712)&gt;0,$Z2712&lt;&gt;"",$Z2712&lt;&gt;"×",$AC2712=0,$AB2712=""),"計算額が下限以下のため不支給／",""))</f>
        <v/>
      </c>
      <c r="AL2712" s="12" t="n"/>
      <c r="AM2712" s="14">
        <f>IF($AD2712="保留中",COUNTIF($AD$6:$AD2712,"保留中"),"")</f>
        <v/>
      </c>
      <c r="AN2712" s="14">
        <f>IF($AO2712="","",IF(SUMPRODUCT(MAX((職員マスタ!$A$6:$A$405=$B2712)*(((職員マスタ!$G$6:$G$405="")+(職員マスタ!$G$6:$G$405&lt;=EOMONTH($AO2712,0)))&gt;0)*(((職員マスタ!$H$6:$H$405="")+(職員マスタ!$H$6:$H$405&gt;=$AO2712))&gt;0)*(ROW(職員マスタ!$A$6:$A$405)-5)))&gt;0,SUMPRODUCT(MAX((職員マスタ!$A$6:$A$405=$B2712)*(((職員マスタ!$G$6:$G$405="")+(職員マスタ!$G$6:$G$405&lt;=EOMONTH($AO2712,0)))&gt;0)*(((職員マスタ!$H$6:$H$405="")+(職員マスタ!$H$6:$H$405&gt;=$AO2712))&gt;0)*(ROW(職員マスタ!$A$6:$A$405)-5))),IFERROR(MATCH($B2712,職員マスタ!$A$6:$A$405,0),"")))</f>
        <v/>
      </c>
      <c r="AO2712" s="16">
        <f>IF(OR($B2712="",$C2712="",$D2712=""),"",DATE($C2712+2018,$D2712,1))</f>
        <v/>
      </c>
    </row>
    <row r="2713">
      <c r="A2713" s="11" t="n"/>
      <c r="B2713" s="12" t="n"/>
      <c r="C2713" s="12" t="n"/>
      <c r="D2713" s="12" t="n"/>
      <c r="E2713" s="13" t="n"/>
      <c r="F2713" s="12" t="n"/>
      <c r="G2713" s="13" t="n"/>
      <c r="H2713" s="12" t="n"/>
      <c r="I2713" s="12" t="n"/>
      <c r="J2713" s="12" t="n"/>
      <c r="K2713" s="12" t="n"/>
      <c r="L2713" s="11" t="n"/>
      <c r="M2713" s="11" t="n"/>
      <c r="N2713" s="11" t="n"/>
      <c r="O2713" s="11" t="n"/>
      <c r="P2713" s="12" t="n"/>
      <c r="Q2713" s="11" t="n"/>
      <c r="R2713" s="12" t="n"/>
      <c r="S2713" s="11" t="n"/>
      <c r="T2713" s="12" t="n"/>
      <c r="U2713" s="12" t="n"/>
      <c r="V2713" s="14">
        <f>IF($AN2713="",IF($B2713="","",$H2713),IF(INDEX(職員マスタ!$B$6:$B$405,$AN2713)="",$H2713,INDEX(職員マスタ!$B$6:$B$405,$AN2713)))</f>
        <v/>
      </c>
      <c r="W2713" s="14">
        <f>IF($AN2713="",IF($B2713="","",$R2713),IF(INDEX(職員マスタ!$C$6:$C$405,$AN2713)="",$R2713,INDEX(職員マスタ!$C$6:$C$405,$AN2713)))</f>
        <v/>
      </c>
      <c r="X2713" s="14">
        <f>IF($AO2713="","","R"&amp;$C2713&amp;"."&amp;$D2713)</f>
        <v/>
      </c>
      <c r="Y2713" s="15">
        <f>IF($AN2713="","",IF(INDEX(職員マスタ!$K$6:$K$405,$AN2713)="","",INDEX(職員マスタ!$K$6:$K$405,$AN2713)))</f>
        <v/>
      </c>
      <c r="Z2713" s="14">
        <f>IF(OR($E2713="",$Y2713=""),"",IF($E2713&gt;=$Y2713,"×",IF($E2713&gt;=$Y2713*設定!$C$5,"△","○")))</f>
        <v/>
      </c>
      <c r="AA2713" s="15">
        <f>IF($Z2713="","",IF($Z2713="×",0,IF($Z2713="○",ROUNDDOWN($E2713*設定!$C$4,0),ROUNDDOWN($E2713*ROUND((9*$Y2713-9*$E2713)/(10*$E2713),4),0))))</f>
        <v/>
      </c>
      <c r="AB2713" s="13" t="n"/>
      <c r="AC2713" s="15">
        <f>IF($B2713="","",IF($AB2713&lt;&gt;"",$AB2713,IF($AA2713="","",IF($AA2713&lt;=設定!$C$3,0,$AA2713))))</f>
        <v/>
      </c>
      <c r="AD2713" s="14">
        <f>IF($B2713="","",IF(AND($AE2713&lt;&gt;"",$AG2713="",$AJ2713=""),"保留中",IF($AJ2713&lt;&gt;"",IF(N($AC2713)&gt;0,"支給済","不支給"),IF($AC2713="","要確認",IF($AC2713=0,"不支給","未処理")))))</f>
        <v/>
      </c>
      <c r="AE2713" s="12" t="n"/>
      <c r="AF2713" s="11" t="n"/>
      <c r="AG2713" s="11" t="n"/>
      <c r="AH2713" s="11" t="n"/>
      <c r="AI2713" s="14">
        <f>IF(AND($AD2713="保留中",$AF2713&lt;&gt;""),TODAY()-$AF2713,"")</f>
        <v/>
      </c>
      <c r="AJ2713" s="12" t="n"/>
      <c r="AK2713" s="14">
        <f>IF($B2713="","",IF($AO2713="","対象年月が未入力／","")&amp;IF($B2713="","",IF($AN2713="","職員マスタに未登録の職員番号／",IF($Y2713="","標準報酬月額が未登録／","")&amp;IF(AND($AO2713&lt;&gt;"",OR(AND(INDEX(職員マスタ!$G$6:$G$405,$AN2713)&lt;&gt;"",INDEX(職員マスタ!$G$6:$G$405,$AN2713)&gt;EOMONTH($AO2713,0)),AND(INDEX(職員マスタ!$H$6:$H$405,$AN2713)&lt;&gt;"",INDEX(職員マスタ!$H$6:$H$405,$AN2713)&lt;$AO2713))),"対象月が時短期間外／","")&amp;IF(AND(INDEX(職員マスタ!$F$6:$F$405,$AN2713)&lt;&gt;"",$AO2713&lt;&gt;"",INDEX(職員マスタ!$F$6:$F$405,$AN2713)&lt;$AO2713),"対象月に子が2歳到達済／","")&amp;IF(AND($H2713&lt;&gt;"",INDEX(職員マスタ!$B$6:$B$405,$AN2713)&lt;&gt;"",SUBSTITUTE(SUBSTITUTE($H2713," ","")," ","")&lt;&gt;SUBSTITUTE(SUBSTITUTE(INDEX(職員マスタ!$B$6:$B$405,$AN2713)," ","")," ","")),"氏名がマスタと相違／","")&amp;IF(AND($Q2713&lt;&gt;"",INDEX(職員マスタ!$E$6:$E$405,$AN2713)&lt;&gt;"",$Q2713&lt;&gt;INDEX(職員マスタ!$E$6:$E$405,$AN2713)),"子の生年月日がマスタと相違／","")&amp;IF(AND($L2713&lt;&gt;"",INDEX(職員マスタ!$G$6:$G$405,$AN2713)&lt;&gt;"",$L2713&lt;&gt;INDEX(職員マスタ!$G$6:$G$405,$AN2713)),"時短開始日がマスタと相違／","")&amp;IF(AND($M2713&lt;&gt;"",INDEX(職員マスタ!$H$6:$H$405,$AN2713)&lt;&gt;"",$M2713&lt;&gt;INDEX(職員マスタ!$H$6:$H$405,$AN2713)),"時短終了日がマスタと相違／","")))&amp;IF(AND($B2713&lt;&gt;"",$E2713=""),"報酬額が未入力／","")&amp;IF(N($U2713)&gt;0,"申請書に入力エラーが残っています／","")&amp;IF(AND($B2713&lt;&gt;"",$AO2713&lt;&gt;""),IF(COUNTIFS($B$6:$B$3005,$B2713,$C$6:$C$3005,$C2713,$D$6:$D$3005,$D2713)&gt;1,"同じ月の請求が重複しています／",""),"")&amp;IF(AND(N($E2713)&gt;0,$Z2713&lt;&gt;"",$Z2713&lt;&gt;"×",$AC2713=0,$AB2713=""),"計算額が下限以下のため不支給／",""))</f>
        <v/>
      </c>
      <c r="AL2713" s="12" t="n"/>
      <c r="AM2713" s="14">
        <f>IF($AD2713="保留中",COUNTIF($AD$6:$AD2713,"保留中"),"")</f>
        <v/>
      </c>
      <c r="AN2713" s="14">
        <f>IF($AO2713="","",IF(SUMPRODUCT(MAX((職員マスタ!$A$6:$A$405=$B2713)*(((職員マスタ!$G$6:$G$405="")+(職員マスタ!$G$6:$G$405&lt;=EOMONTH($AO2713,0)))&gt;0)*(((職員マスタ!$H$6:$H$405="")+(職員マスタ!$H$6:$H$405&gt;=$AO2713))&gt;0)*(ROW(職員マスタ!$A$6:$A$405)-5)))&gt;0,SUMPRODUCT(MAX((職員マスタ!$A$6:$A$405=$B2713)*(((職員マスタ!$G$6:$G$405="")+(職員マスタ!$G$6:$G$405&lt;=EOMONTH($AO2713,0)))&gt;0)*(((職員マスタ!$H$6:$H$405="")+(職員マスタ!$H$6:$H$405&gt;=$AO2713))&gt;0)*(ROW(職員マスタ!$A$6:$A$405)-5))),IFERROR(MATCH($B2713,職員マスタ!$A$6:$A$405,0),"")))</f>
        <v/>
      </c>
      <c r="AO2713" s="16">
        <f>IF(OR($B2713="",$C2713="",$D2713=""),"",DATE($C2713+2018,$D2713,1))</f>
        <v/>
      </c>
    </row>
    <row r="2714">
      <c r="A2714" s="11" t="n"/>
      <c r="B2714" s="12" t="n"/>
      <c r="C2714" s="12" t="n"/>
      <c r="D2714" s="12" t="n"/>
      <c r="E2714" s="13" t="n"/>
      <c r="F2714" s="12" t="n"/>
      <c r="G2714" s="13" t="n"/>
      <c r="H2714" s="12" t="n"/>
      <c r="I2714" s="12" t="n"/>
      <c r="J2714" s="12" t="n"/>
      <c r="K2714" s="12" t="n"/>
      <c r="L2714" s="11" t="n"/>
      <c r="M2714" s="11" t="n"/>
      <c r="N2714" s="11" t="n"/>
      <c r="O2714" s="11" t="n"/>
      <c r="P2714" s="12" t="n"/>
      <c r="Q2714" s="11" t="n"/>
      <c r="R2714" s="12" t="n"/>
      <c r="S2714" s="11" t="n"/>
      <c r="T2714" s="12" t="n"/>
      <c r="U2714" s="12" t="n"/>
      <c r="V2714" s="14">
        <f>IF($AN2714="",IF($B2714="","",$H2714),IF(INDEX(職員マスタ!$B$6:$B$405,$AN2714)="",$H2714,INDEX(職員マスタ!$B$6:$B$405,$AN2714)))</f>
        <v/>
      </c>
      <c r="W2714" s="14">
        <f>IF($AN2714="",IF($B2714="","",$R2714),IF(INDEX(職員マスタ!$C$6:$C$405,$AN2714)="",$R2714,INDEX(職員マスタ!$C$6:$C$405,$AN2714)))</f>
        <v/>
      </c>
      <c r="X2714" s="14">
        <f>IF($AO2714="","","R"&amp;$C2714&amp;"."&amp;$D2714)</f>
        <v/>
      </c>
      <c r="Y2714" s="15">
        <f>IF($AN2714="","",IF(INDEX(職員マスタ!$K$6:$K$405,$AN2714)="","",INDEX(職員マスタ!$K$6:$K$405,$AN2714)))</f>
        <v/>
      </c>
      <c r="Z2714" s="14">
        <f>IF(OR($E2714="",$Y2714=""),"",IF($E2714&gt;=$Y2714,"×",IF($E2714&gt;=$Y2714*設定!$C$5,"△","○")))</f>
        <v/>
      </c>
      <c r="AA2714" s="15">
        <f>IF($Z2714="","",IF($Z2714="×",0,IF($Z2714="○",ROUNDDOWN($E2714*設定!$C$4,0),ROUNDDOWN($E2714*ROUND((9*$Y2714-9*$E2714)/(10*$E2714),4),0))))</f>
        <v/>
      </c>
      <c r="AB2714" s="13" t="n"/>
      <c r="AC2714" s="15">
        <f>IF($B2714="","",IF($AB2714&lt;&gt;"",$AB2714,IF($AA2714="","",IF($AA2714&lt;=設定!$C$3,0,$AA2714))))</f>
        <v/>
      </c>
      <c r="AD2714" s="14">
        <f>IF($B2714="","",IF(AND($AE2714&lt;&gt;"",$AG2714="",$AJ2714=""),"保留中",IF($AJ2714&lt;&gt;"",IF(N($AC2714)&gt;0,"支給済","不支給"),IF($AC2714="","要確認",IF($AC2714=0,"不支給","未処理")))))</f>
        <v/>
      </c>
      <c r="AE2714" s="12" t="n"/>
      <c r="AF2714" s="11" t="n"/>
      <c r="AG2714" s="11" t="n"/>
      <c r="AH2714" s="11" t="n"/>
      <c r="AI2714" s="14">
        <f>IF(AND($AD2714="保留中",$AF2714&lt;&gt;""),TODAY()-$AF2714,"")</f>
        <v/>
      </c>
      <c r="AJ2714" s="12" t="n"/>
      <c r="AK2714" s="14">
        <f>IF($B2714="","",IF($AO2714="","対象年月が未入力／","")&amp;IF($B2714="","",IF($AN2714="","職員マスタに未登録の職員番号／",IF($Y2714="","標準報酬月額が未登録／","")&amp;IF(AND($AO2714&lt;&gt;"",OR(AND(INDEX(職員マスタ!$G$6:$G$405,$AN2714)&lt;&gt;"",INDEX(職員マスタ!$G$6:$G$405,$AN2714)&gt;EOMONTH($AO2714,0)),AND(INDEX(職員マスタ!$H$6:$H$405,$AN2714)&lt;&gt;"",INDEX(職員マスタ!$H$6:$H$405,$AN2714)&lt;$AO2714))),"対象月が時短期間外／","")&amp;IF(AND(INDEX(職員マスタ!$F$6:$F$405,$AN2714)&lt;&gt;"",$AO2714&lt;&gt;"",INDEX(職員マスタ!$F$6:$F$405,$AN2714)&lt;$AO2714),"対象月に子が2歳到達済／","")&amp;IF(AND($H2714&lt;&gt;"",INDEX(職員マスタ!$B$6:$B$405,$AN2714)&lt;&gt;"",SUBSTITUTE(SUBSTITUTE($H2714," ","")," ","")&lt;&gt;SUBSTITUTE(SUBSTITUTE(INDEX(職員マスタ!$B$6:$B$405,$AN2714)," ","")," ","")),"氏名がマスタと相違／","")&amp;IF(AND($Q2714&lt;&gt;"",INDEX(職員マスタ!$E$6:$E$405,$AN2714)&lt;&gt;"",$Q2714&lt;&gt;INDEX(職員マスタ!$E$6:$E$405,$AN2714)),"子の生年月日がマスタと相違／","")&amp;IF(AND($L2714&lt;&gt;"",INDEX(職員マスタ!$G$6:$G$405,$AN2714)&lt;&gt;"",$L2714&lt;&gt;INDEX(職員マスタ!$G$6:$G$405,$AN2714)),"時短開始日がマスタと相違／","")&amp;IF(AND($M2714&lt;&gt;"",INDEX(職員マスタ!$H$6:$H$405,$AN2714)&lt;&gt;"",$M2714&lt;&gt;INDEX(職員マスタ!$H$6:$H$405,$AN2714)),"時短終了日がマスタと相違／","")))&amp;IF(AND($B2714&lt;&gt;"",$E2714=""),"報酬額が未入力／","")&amp;IF(N($U2714)&gt;0,"申請書に入力エラーが残っています／","")&amp;IF(AND($B2714&lt;&gt;"",$AO2714&lt;&gt;""),IF(COUNTIFS($B$6:$B$3005,$B2714,$C$6:$C$3005,$C2714,$D$6:$D$3005,$D2714)&gt;1,"同じ月の請求が重複しています／",""),"")&amp;IF(AND(N($E2714)&gt;0,$Z2714&lt;&gt;"",$Z2714&lt;&gt;"×",$AC2714=0,$AB2714=""),"計算額が下限以下のため不支給／",""))</f>
        <v/>
      </c>
      <c r="AL2714" s="12" t="n"/>
      <c r="AM2714" s="14">
        <f>IF($AD2714="保留中",COUNTIF($AD$6:$AD2714,"保留中"),"")</f>
        <v/>
      </c>
      <c r="AN2714" s="14">
        <f>IF($AO2714="","",IF(SUMPRODUCT(MAX((職員マスタ!$A$6:$A$405=$B2714)*(((職員マスタ!$G$6:$G$405="")+(職員マスタ!$G$6:$G$405&lt;=EOMONTH($AO2714,0)))&gt;0)*(((職員マスタ!$H$6:$H$405="")+(職員マスタ!$H$6:$H$405&gt;=$AO2714))&gt;0)*(ROW(職員マスタ!$A$6:$A$405)-5)))&gt;0,SUMPRODUCT(MAX((職員マスタ!$A$6:$A$405=$B2714)*(((職員マスタ!$G$6:$G$405="")+(職員マスタ!$G$6:$G$405&lt;=EOMONTH($AO2714,0)))&gt;0)*(((職員マスタ!$H$6:$H$405="")+(職員マスタ!$H$6:$H$405&gt;=$AO2714))&gt;0)*(ROW(職員マスタ!$A$6:$A$405)-5))),IFERROR(MATCH($B2714,職員マスタ!$A$6:$A$405,0),"")))</f>
        <v/>
      </c>
      <c r="AO2714" s="16">
        <f>IF(OR($B2714="",$C2714="",$D2714=""),"",DATE($C2714+2018,$D2714,1))</f>
        <v/>
      </c>
    </row>
    <row r="2715">
      <c r="A2715" s="11" t="n"/>
      <c r="B2715" s="12" t="n"/>
      <c r="C2715" s="12" t="n"/>
      <c r="D2715" s="12" t="n"/>
      <c r="E2715" s="13" t="n"/>
      <c r="F2715" s="12" t="n"/>
      <c r="G2715" s="13" t="n"/>
      <c r="H2715" s="12" t="n"/>
      <c r="I2715" s="12" t="n"/>
      <c r="J2715" s="12" t="n"/>
      <c r="K2715" s="12" t="n"/>
      <c r="L2715" s="11" t="n"/>
      <c r="M2715" s="11" t="n"/>
      <c r="N2715" s="11" t="n"/>
      <c r="O2715" s="11" t="n"/>
      <c r="P2715" s="12" t="n"/>
      <c r="Q2715" s="11" t="n"/>
      <c r="R2715" s="12" t="n"/>
      <c r="S2715" s="11" t="n"/>
      <c r="T2715" s="12" t="n"/>
      <c r="U2715" s="12" t="n"/>
      <c r="V2715" s="14">
        <f>IF($AN2715="",IF($B2715="","",$H2715),IF(INDEX(職員マスタ!$B$6:$B$405,$AN2715)="",$H2715,INDEX(職員マスタ!$B$6:$B$405,$AN2715)))</f>
        <v/>
      </c>
      <c r="W2715" s="14">
        <f>IF($AN2715="",IF($B2715="","",$R2715),IF(INDEX(職員マスタ!$C$6:$C$405,$AN2715)="",$R2715,INDEX(職員マスタ!$C$6:$C$405,$AN2715)))</f>
        <v/>
      </c>
      <c r="X2715" s="14">
        <f>IF($AO2715="","","R"&amp;$C2715&amp;"."&amp;$D2715)</f>
        <v/>
      </c>
      <c r="Y2715" s="15">
        <f>IF($AN2715="","",IF(INDEX(職員マスタ!$K$6:$K$405,$AN2715)="","",INDEX(職員マスタ!$K$6:$K$405,$AN2715)))</f>
        <v/>
      </c>
      <c r="Z2715" s="14">
        <f>IF(OR($E2715="",$Y2715=""),"",IF($E2715&gt;=$Y2715,"×",IF($E2715&gt;=$Y2715*設定!$C$5,"△","○")))</f>
        <v/>
      </c>
      <c r="AA2715" s="15">
        <f>IF($Z2715="","",IF($Z2715="×",0,IF($Z2715="○",ROUNDDOWN($E2715*設定!$C$4,0),ROUNDDOWN($E2715*ROUND((9*$Y2715-9*$E2715)/(10*$E2715),4),0))))</f>
        <v/>
      </c>
      <c r="AB2715" s="13" t="n"/>
      <c r="AC2715" s="15">
        <f>IF($B2715="","",IF($AB2715&lt;&gt;"",$AB2715,IF($AA2715="","",IF($AA2715&lt;=設定!$C$3,0,$AA2715))))</f>
        <v/>
      </c>
      <c r="AD2715" s="14">
        <f>IF($B2715="","",IF(AND($AE2715&lt;&gt;"",$AG2715="",$AJ2715=""),"保留中",IF($AJ2715&lt;&gt;"",IF(N($AC2715)&gt;0,"支給済","不支給"),IF($AC2715="","要確認",IF($AC2715=0,"不支給","未処理")))))</f>
        <v/>
      </c>
      <c r="AE2715" s="12" t="n"/>
      <c r="AF2715" s="11" t="n"/>
      <c r="AG2715" s="11" t="n"/>
      <c r="AH2715" s="11" t="n"/>
      <c r="AI2715" s="14">
        <f>IF(AND($AD2715="保留中",$AF2715&lt;&gt;""),TODAY()-$AF2715,"")</f>
        <v/>
      </c>
      <c r="AJ2715" s="12" t="n"/>
      <c r="AK2715" s="14">
        <f>IF($B2715="","",IF($AO2715="","対象年月が未入力／","")&amp;IF($B2715="","",IF($AN2715="","職員マスタに未登録の職員番号／",IF($Y2715="","標準報酬月額が未登録／","")&amp;IF(AND($AO2715&lt;&gt;"",OR(AND(INDEX(職員マスタ!$G$6:$G$405,$AN2715)&lt;&gt;"",INDEX(職員マスタ!$G$6:$G$405,$AN2715)&gt;EOMONTH($AO2715,0)),AND(INDEX(職員マスタ!$H$6:$H$405,$AN2715)&lt;&gt;"",INDEX(職員マスタ!$H$6:$H$405,$AN2715)&lt;$AO2715))),"対象月が時短期間外／","")&amp;IF(AND(INDEX(職員マスタ!$F$6:$F$405,$AN2715)&lt;&gt;"",$AO2715&lt;&gt;"",INDEX(職員マスタ!$F$6:$F$405,$AN2715)&lt;$AO2715),"対象月に子が2歳到達済／","")&amp;IF(AND($H2715&lt;&gt;"",INDEX(職員マスタ!$B$6:$B$405,$AN2715)&lt;&gt;"",SUBSTITUTE(SUBSTITUTE($H2715," ","")," ","")&lt;&gt;SUBSTITUTE(SUBSTITUTE(INDEX(職員マスタ!$B$6:$B$405,$AN2715)," ","")," ","")),"氏名がマスタと相違／","")&amp;IF(AND($Q2715&lt;&gt;"",INDEX(職員マスタ!$E$6:$E$405,$AN2715)&lt;&gt;"",$Q2715&lt;&gt;INDEX(職員マスタ!$E$6:$E$405,$AN2715)),"子の生年月日がマスタと相違／","")&amp;IF(AND($L2715&lt;&gt;"",INDEX(職員マスタ!$G$6:$G$405,$AN2715)&lt;&gt;"",$L2715&lt;&gt;INDEX(職員マスタ!$G$6:$G$405,$AN2715)),"時短開始日がマスタと相違／","")&amp;IF(AND($M2715&lt;&gt;"",INDEX(職員マスタ!$H$6:$H$405,$AN2715)&lt;&gt;"",$M2715&lt;&gt;INDEX(職員マスタ!$H$6:$H$405,$AN2715)),"時短終了日がマスタと相違／","")))&amp;IF(AND($B2715&lt;&gt;"",$E2715=""),"報酬額が未入力／","")&amp;IF(N($U2715)&gt;0,"申請書に入力エラーが残っています／","")&amp;IF(AND($B2715&lt;&gt;"",$AO2715&lt;&gt;""),IF(COUNTIFS($B$6:$B$3005,$B2715,$C$6:$C$3005,$C2715,$D$6:$D$3005,$D2715)&gt;1,"同じ月の請求が重複しています／",""),"")&amp;IF(AND(N($E2715)&gt;0,$Z2715&lt;&gt;"",$Z2715&lt;&gt;"×",$AC2715=0,$AB2715=""),"計算額が下限以下のため不支給／",""))</f>
        <v/>
      </c>
      <c r="AL2715" s="12" t="n"/>
      <c r="AM2715" s="14">
        <f>IF($AD2715="保留中",COUNTIF($AD$6:$AD2715,"保留中"),"")</f>
        <v/>
      </c>
      <c r="AN2715" s="14">
        <f>IF($AO2715="","",IF(SUMPRODUCT(MAX((職員マスタ!$A$6:$A$405=$B2715)*(((職員マスタ!$G$6:$G$405="")+(職員マスタ!$G$6:$G$405&lt;=EOMONTH($AO2715,0)))&gt;0)*(((職員マスタ!$H$6:$H$405="")+(職員マスタ!$H$6:$H$405&gt;=$AO2715))&gt;0)*(ROW(職員マスタ!$A$6:$A$405)-5)))&gt;0,SUMPRODUCT(MAX((職員マスタ!$A$6:$A$405=$B2715)*(((職員マスタ!$G$6:$G$405="")+(職員マスタ!$G$6:$G$405&lt;=EOMONTH($AO2715,0)))&gt;0)*(((職員マスタ!$H$6:$H$405="")+(職員マスタ!$H$6:$H$405&gt;=$AO2715))&gt;0)*(ROW(職員マスタ!$A$6:$A$405)-5))),IFERROR(MATCH($B2715,職員マスタ!$A$6:$A$405,0),"")))</f>
        <v/>
      </c>
      <c r="AO2715" s="16">
        <f>IF(OR($B2715="",$C2715="",$D2715=""),"",DATE($C2715+2018,$D2715,1))</f>
        <v/>
      </c>
    </row>
    <row r="2716">
      <c r="A2716" s="11" t="n"/>
      <c r="B2716" s="12" t="n"/>
      <c r="C2716" s="12" t="n"/>
      <c r="D2716" s="12" t="n"/>
      <c r="E2716" s="13" t="n"/>
      <c r="F2716" s="12" t="n"/>
      <c r="G2716" s="13" t="n"/>
      <c r="H2716" s="12" t="n"/>
      <c r="I2716" s="12" t="n"/>
      <c r="J2716" s="12" t="n"/>
      <c r="K2716" s="12" t="n"/>
      <c r="L2716" s="11" t="n"/>
      <c r="M2716" s="11" t="n"/>
      <c r="N2716" s="11" t="n"/>
      <c r="O2716" s="11" t="n"/>
      <c r="P2716" s="12" t="n"/>
      <c r="Q2716" s="11" t="n"/>
      <c r="R2716" s="12" t="n"/>
      <c r="S2716" s="11" t="n"/>
      <c r="T2716" s="12" t="n"/>
      <c r="U2716" s="12" t="n"/>
      <c r="V2716" s="14">
        <f>IF($AN2716="",IF($B2716="","",$H2716),IF(INDEX(職員マスタ!$B$6:$B$405,$AN2716)="",$H2716,INDEX(職員マスタ!$B$6:$B$405,$AN2716)))</f>
        <v/>
      </c>
      <c r="W2716" s="14">
        <f>IF($AN2716="",IF($B2716="","",$R2716),IF(INDEX(職員マスタ!$C$6:$C$405,$AN2716)="",$R2716,INDEX(職員マスタ!$C$6:$C$405,$AN2716)))</f>
        <v/>
      </c>
      <c r="X2716" s="14">
        <f>IF($AO2716="","","R"&amp;$C2716&amp;"."&amp;$D2716)</f>
        <v/>
      </c>
      <c r="Y2716" s="15">
        <f>IF($AN2716="","",IF(INDEX(職員マスタ!$K$6:$K$405,$AN2716)="","",INDEX(職員マスタ!$K$6:$K$405,$AN2716)))</f>
        <v/>
      </c>
      <c r="Z2716" s="14">
        <f>IF(OR($E2716="",$Y2716=""),"",IF($E2716&gt;=$Y2716,"×",IF($E2716&gt;=$Y2716*設定!$C$5,"△","○")))</f>
        <v/>
      </c>
      <c r="AA2716" s="15">
        <f>IF($Z2716="","",IF($Z2716="×",0,IF($Z2716="○",ROUNDDOWN($E2716*設定!$C$4,0),ROUNDDOWN($E2716*ROUND((9*$Y2716-9*$E2716)/(10*$E2716),4),0))))</f>
        <v/>
      </c>
      <c r="AB2716" s="13" t="n"/>
      <c r="AC2716" s="15">
        <f>IF($B2716="","",IF($AB2716&lt;&gt;"",$AB2716,IF($AA2716="","",IF($AA2716&lt;=設定!$C$3,0,$AA2716))))</f>
        <v/>
      </c>
      <c r="AD2716" s="14">
        <f>IF($B2716="","",IF(AND($AE2716&lt;&gt;"",$AG2716="",$AJ2716=""),"保留中",IF($AJ2716&lt;&gt;"",IF(N($AC2716)&gt;0,"支給済","不支給"),IF($AC2716="","要確認",IF($AC2716=0,"不支給","未処理")))))</f>
        <v/>
      </c>
      <c r="AE2716" s="12" t="n"/>
      <c r="AF2716" s="11" t="n"/>
      <c r="AG2716" s="11" t="n"/>
      <c r="AH2716" s="11" t="n"/>
      <c r="AI2716" s="14">
        <f>IF(AND($AD2716="保留中",$AF2716&lt;&gt;""),TODAY()-$AF2716,"")</f>
        <v/>
      </c>
      <c r="AJ2716" s="12" t="n"/>
      <c r="AK2716" s="14">
        <f>IF($B2716="","",IF($AO2716="","対象年月が未入力／","")&amp;IF($B2716="","",IF($AN2716="","職員マスタに未登録の職員番号／",IF($Y2716="","標準報酬月額が未登録／","")&amp;IF(AND($AO2716&lt;&gt;"",OR(AND(INDEX(職員マスタ!$G$6:$G$405,$AN2716)&lt;&gt;"",INDEX(職員マスタ!$G$6:$G$405,$AN2716)&gt;EOMONTH($AO2716,0)),AND(INDEX(職員マスタ!$H$6:$H$405,$AN2716)&lt;&gt;"",INDEX(職員マスタ!$H$6:$H$405,$AN2716)&lt;$AO2716))),"対象月が時短期間外／","")&amp;IF(AND(INDEX(職員マスタ!$F$6:$F$405,$AN2716)&lt;&gt;"",$AO2716&lt;&gt;"",INDEX(職員マスタ!$F$6:$F$405,$AN2716)&lt;$AO2716),"対象月に子が2歳到達済／","")&amp;IF(AND($H2716&lt;&gt;"",INDEX(職員マスタ!$B$6:$B$405,$AN2716)&lt;&gt;"",SUBSTITUTE(SUBSTITUTE($H2716," ","")," ","")&lt;&gt;SUBSTITUTE(SUBSTITUTE(INDEX(職員マスタ!$B$6:$B$405,$AN2716)," ","")," ","")),"氏名がマスタと相違／","")&amp;IF(AND($Q2716&lt;&gt;"",INDEX(職員マスタ!$E$6:$E$405,$AN2716)&lt;&gt;"",$Q2716&lt;&gt;INDEX(職員マスタ!$E$6:$E$405,$AN2716)),"子の生年月日がマスタと相違／","")&amp;IF(AND($L2716&lt;&gt;"",INDEX(職員マスタ!$G$6:$G$405,$AN2716)&lt;&gt;"",$L2716&lt;&gt;INDEX(職員マスタ!$G$6:$G$405,$AN2716)),"時短開始日がマスタと相違／","")&amp;IF(AND($M2716&lt;&gt;"",INDEX(職員マスタ!$H$6:$H$405,$AN2716)&lt;&gt;"",$M2716&lt;&gt;INDEX(職員マスタ!$H$6:$H$405,$AN2716)),"時短終了日がマスタと相違／","")))&amp;IF(AND($B2716&lt;&gt;"",$E2716=""),"報酬額が未入力／","")&amp;IF(N($U2716)&gt;0,"申請書に入力エラーが残っています／","")&amp;IF(AND($B2716&lt;&gt;"",$AO2716&lt;&gt;""),IF(COUNTIFS($B$6:$B$3005,$B2716,$C$6:$C$3005,$C2716,$D$6:$D$3005,$D2716)&gt;1,"同じ月の請求が重複しています／",""),"")&amp;IF(AND(N($E2716)&gt;0,$Z2716&lt;&gt;"",$Z2716&lt;&gt;"×",$AC2716=0,$AB2716=""),"計算額が下限以下のため不支給／",""))</f>
        <v/>
      </c>
      <c r="AL2716" s="12" t="n"/>
      <c r="AM2716" s="14">
        <f>IF($AD2716="保留中",COUNTIF($AD$6:$AD2716,"保留中"),"")</f>
        <v/>
      </c>
      <c r="AN2716" s="14">
        <f>IF($AO2716="","",IF(SUMPRODUCT(MAX((職員マスタ!$A$6:$A$405=$B2716)*(((職員マスタ!$G$6:$G$405="")+(職員マスタ!$G$6:$G$405&lt;=EOMONTH($AO2716,0)))&gt;0)*(((職員マスタ!$H$6:$H$405="")+(職員マスタ!$H$6:$H$405&gt;=$AO2716))&gt;0)*(ROW(職員マスタ!$A$6:$A$405)-5)))&gt;0,SUMPRODUCT(MAX((職員マスタ!$A$6:$A$405=$B2716)*(((職員マスタ!$G$6:$G$405="")+(職員マスタ!$G$6:$G$405&lt;=EOMONTH($AO2716,0)))&gt;0)*(((職員マスタ!$H$6:$H$405="")+(職員マスタ!$H$6:$H$405&gt;=$AO2716))&gt;0)*(ROW(職員マスタ!$A$6:$A$405)-5))),IFERROR(MATCH($B2716,職員マスタ!$A$6:$A$405,0),"")))</f>
        <v/>
      </c>
      <c r="AO2716" s="16">
        <f>IF(OR($B2716="",$C2716="",$D2716=""),"",DATE($C2716+2018,$D2716,1))</f>
        <v/>
      </c>
    </row>
    <row r="2717">
      <c r="A2717" s="11" t="n"/>
      <c r="B2717" s="12" t="n"/>
      <c r="C2717" s="12" t="n"/>
      <c r="D2717" s="12" t="n"/>
      <c r="E2717" s="13" t="n"/>
      <c r="F2717" s="12" t="n"/>
      <c r="G2717" s="13" t="n"/>
      <c r="H2717" s="12" t="n"/>
      <c r="I2717" s="12" t="n"/>
      <c r="J2717" s="12" t="n"/>
      <c r="K2717" s="12" t="n"/>
      <c r="L2717" s="11" t="n"/>
      <c r="M2717" s="11" t="n"/>
      <c r="N2717" s="11" t="n"/>
      <c r="O2717" s="11" t="n"/>
      <c r="P2717" s="12" t="n"/>
      <c r="Q2717" s="11" t="n"/>
      <c r="R2717" s="12" t="n"/>
      <c r="S2717" s="11" t="n"/>
      <c r="T2717" s="12" t="n"/>
      <c r="U2717" s="12" t="n"/>
      <c r="V2717" s="14">
        <f>IF($AN2717="",IF($B2717="","",$H2717),IF(INDEX(職員マスタ!$B$6:$B$405,$AN2717)="",$H2717,INDEX(職員マスタ!$B$6:$B$405,$AN2717)))</f>
        <v/>
      </c>
      <c r="W2717" s="14">
        <f>IF($AN2717="",IF($B2717="","",$R2717),IF(INDEX(職員マスタ!$C$6:$C$405,$AN2717)="",$R2717,INDEX(職員マスタ!$C$6:$C$405,$AN2717)))</f>
        <v/>
      </c>
      <c r="X2717" s="14">
        <f>IF($AO2717="","","R"&amp;$C2717&amp;"."&amp;$D2717)</f>
        <v/>
      </c>
      <c r="Y2717" s="15">
        <f>IF($AN2717="","",IF(INDEX(職員マスタ!$K$6:$K$405,$AN2717)="","",INDEX(職員マスタ!$K$6:$K$405,$AN2717)))</f>
        <v/>
      </c>
      <c r="Z2717" s="14">
        <f>IF(OR($E2717="",$Y2717=""),"",IF($E2717&gt;=$Y2717,"×",IF($E2717&gt;=$Y2717*設定!$C$5,"△","○")))</f>
        <v/>
      </c>
      <c r="AA2717" s="15">
        <f>IF($Z2717="","",IF($Z2717="×",0,IF($Z2717="○",ROUNDDOWN($E2717*設定!$C$4,0),ROUNDDOWN($E2717*ROUND((9*$Y2717-9*$E2717)/(10*$E2717),4),0))))</f>
        <v/>
      </c>
      <c r="AB2717" s="13" t="n"/>
      <c r="AC2717" s="15">
        <f>IF($B2717="","",IF($AB2717&lt;&gt;"",$AB2717,IF($AA2717="","",IF($AA2717&lt;=設定!$C$3,0,$AA2717))))</f>
        <v/>
      </c>
      <c r="AD2717" s="14">
        <f>IF($B2717="","",IF(AND($AE2717&lt;&gt;"",$AG2717="",$AJ2717=""),"保留中",IF($AJ2717&lt;&gt;"",IF(N($AC2717)&gt;0,"支給済","不支給"),IF($AC2717="","要確認",IF($AC2717=0,"不支給","未処理")))))</f>
        <v/>
      </c>
      <c r="AE2717" s="12" t="n"/>
      <c r="AF2717" s="11" t="n"/>
      <c r="AG2717" s="11" t="n"/>
      <c r="AH2717" s="11" t="n"/>
      <c r="AI2717" s="14">
        <f>IF(AND($AD2717="保留中",$AF2717&lt;&gt;""),TODAY()-$AF2717,"")</f>
        <v/>
      </c>
      <c r="AJ2717" s="12" t="n"/>
      <c r="AK2717" s="14">
        <f>IF($B2717="","",IF($AO2717="","対象年月が未入力／","")&amp;IF($B2717="","",IF($AN2717="","職員マスタに未登録の職員番号／",IF($Y2717="","標準報酬月額が未登録／","")&amp;IF(AND($AO2717&lt;&gt;"",OR(AND(INDEX(職員マスタ!$G$6:$G$405,$AN2717)&lt;&gt;"",INDEX(職員マスタ!$G$6:$G$405,$AN2717)&gt;EOMONTH($AO2717,0)),AND(INDEX(職員マスタ!$H$6:$H$405,$AN2717)&lt;&gt;"",INDEX(職員マスタ!$H$6:$H$405,$AN2717)&lt;$AO2717))),"対象月が時短期間外／","")&amp;IF(AND(INDEX(職員マスタ!$F$6:$F$405,$AN2717)&lt;&gt;"",$AO2717&lt;&gt;"",INDEX(職員マスタ!$F$6:$F$405,$AN2717)&lt;$AO2717),"対象月に子が2歳到達済／","")&amp;IF(AND($H2717&lt;&gt;"",INDEX(職員マスタ!$B$6:$B$405,$AN2717)&lt;&gt;"",SUBSTITUTE(SUBSTITUTE($H2717," ","")," ","")&lt;&gt;SUBSTITUTE(SUBSTITUTE(INDEX(職員マスタ!$B$6:$B$405,$AN2717)," ","")," ","")),"氏名がマスタと相違／","")&amp;IF(AND($Q2717&lt;&gt;"",INDEX(職員マスタ!$E$6:$E$405,$AN2717)&lt;&gt;"",$Q2717&lt;&gt;INDEX(職員マスタ!$E$6:$E$405,$AN2717)),"子の生年月日がマスタと相違／","")&amp;IF(AND($L2717&lt;&gt;"",INDEX(職員マスタ!$G$6:$G$405,$AN2717)&lt;&gt;"",$L2717&lt;&gt;INDEX(職員マスタ!$G$6:$G$405,$AN2717)),"時短開始日がマスタと相違／","")&amp;IF(AND($M2717&lt;&gt;"",INDEX(職員マスタ!$H$6:$H$405,$AN2717)&lt;&gt;"",$M2717&lt;&gt;INDEX(職員マスタ!$H$6:$H$405,$AN2717)),"時短終了日がマスタと相違／","")))&amp;IF(AND($B2717&lt;&gt;"",$E2717=""),"報酬額が未入力／","")&amp;IF(N($U2717)&gt;0,"申請書に入力エラーが残っています／","")&amp;IF(AND($B2717&lt;&gt;"",$AO2717&lt;&gt;""),IF(COUNTIFS($B$6:$B$3005,$B2717,$C$6:$C$3005,$C2717,$D$6:$D$3005,$D2717)&gt;1,"同じ月の請求が重複しています／",""),"")&amp;IF(AND(N($E2717)&gt;0,$Z2717&lt;&gt;"",$Z2717&lt;&gt;"×",$AC2717=0,$AB2717=""),"計算額が下限以下のため不支給／",""))</f>
        <v/>
      </c>
      <c r="AL2717" s="12" t="n"/>
      <c r="AM2717" s="14">
        <f>IF($AD2717="保留中",COUNTIF($AD$6:$AD2717,"保留中"),"")</f>
        <v/>
      </c>
      <c r="AN2717" s="14">
        <f>IF($AO2717="","",IF(SUMPRODUCT(MAX((職員マスタ!$A$6:$A$405=$B2717)*(((職員マスタ!$G$6:$G$405="")+(職員マスタ!$G$6:$G$405&lt;=EOMONTH($AO2717,0)))&gt;0)*(((職員マスタ!$H$6:$H$405="")+(職員マスタ!$H$6:$H$405&gt;=$AO2717))&gt;0)*(ROW(職員マスタ!$A$6:$A$405)-5)))&gt;0,SUMPRODUCT(MAX((職員マスタ!$A$6:$A$405=$B2717)*(((職員マスタ!$G$6:$G$405="")+(職員マスタ!$G$6:$G$405&lt;=EOMONTH($AO2717,0)))&gt;0)*(((職員マスタ!$H$6:$H$405="")+(職員マスタ!$H$6:$H$405&gt;=$AO2717))&gt;0)*(ROW(職員マスタ!$A$6:$A$405)-5))),IFERROR(MATCH($B2717,職員マスタ!$A$6:$A$405,0),"")))</f>
        <v/>
      </c>
      <c r="AO2717" s="16">
        <f>IF(OR($B2717="",$C2717="",$D2717=""),"",DATE($C2717+2018,$D2717,1))</f>
        <v/>
      </c>
    </row>
    <row r="2718">
      <c r="A2718" s="11" t="n"/>
      <c r="B2718" s="12" t="n"/>
      <c r="C2718" s="12" t="n"/>
      <c r="D2718" s="12" t="n"/>
      <c r="E2718" s="13" t="n"/>
      <c r="F2718" s="12" t="n"/>
      <c r="G2718" s="13" t="n"/>
      <c r="H2718" s="12" t="n"/>
      <c r="I2718" s="12" t="n"/>
      <c r="J2718" s="12" t="n"/>
      <c r="K2718" s="12" t="n"/>
      <c r="L2718" s="11" t="n"/>
      <c r="M2718" s="11" t="n"/>
      <c r="N2718" s="11" t="n"/>
      <c r="O2718" s="11" t="n"/>
      <c r="P2718" s="12" t="n"/>
      <c r="Q2718" s="11" t="n"/>
      <c r="R2718" s="12" t="n"/>
      <c r="S2718" s="11" t="n"/>
      <c r="T2718" s="12" t="n"/>
      <c r="U2718" s="12" t="n"/>
      <c r="V2718" s="14">
        <f>IF($AN2718="",IF($B2718="","",$H2718),IF(INDEX(職員マスタ!$B$6:$B$405,$AN2718)="",$H2718,INDEX(職員マスタ!$B$6:$B$405,$AN2718)))</f>
        <v/>
      </c>
      <c r="W2718" s="14">
        <f>IF($AN2718="",IF($B2718="","",$R2718),IF(INDEX(職員マスタ!$C$6:$C$405,$AN2718)="",$R2718,INDEX(職員マスタ!$C$6:$C$405,$AN2718)))</f>
        <v/>
      </c>
      <c r="X2718" s="14">
        <f>IF($AO2718="","","R"&amp;$C2718&amp;"."&amp;$D2718)</f>
        <v/>
      </c>
      <c r="Y2718" s="15">
        <f>IF($AN2718="","",IF(INDEX(職員マスタ!$K$6:$K$405,$AN2718)="","",INDEX(職員マスタ!$K$6:$K$405,$AN2718)))</f>
        <v/>
      </c>
      <c r="Z2718" s="14">
        <f>IF(OR($E2718="",$Y2718=""),"",IF($E2718&gt;=$Y2718,"×",IF($E2718&gt;=$Y2718*設定!$C$5,"△","○")))</f>
        <v/>
      </c>
      <c r="AA2718" s="15">
        <f>IF($Z2718="","",IF($Z2718="×",0,IF($Z2718="○",ROUNDDOWN($E2718*設定!$C$4,0),ROUNDDOWN($E2718*ROUND((9*$Y2718-9*$E2718)/(10*$E2718),4),0))))</f>
        <v/>
      </c>
      <c r="AB2718" s="13" t="n"/>
      <c r="AC2718" s="15">
        <f>IF($B2718="","",IF($AB2718&lt;&gt;"",$AB2718,IF($AA2718="","",IF($AA2718&lt;=設定!$C$3,0,$AA2718))))</f>
        <v/>
      </c>
      <c r="AD2718" s="14">
        <f>IF($B2718="","",IF(AND($AE2718&lt;&gt;"",$AG2718="",$AJ2718=""),"保留中",IF($AJ2718&lt;&gt;"",IF(N($AC2718)&gt;0,"支給済","不支給"),IF($AC2718="","要確認",IF($AC2718=0,"不支給","未処理")))))</f>
        <v/>
      </c>
      <c r="AE2718" s="12" t="n"/>
      <c r="AF2718" s="11" t="n"/>
      <c r="AG2718" s="11" t="n"/>
      <c r="AH2718" s="11" t="n"/>
      <c r="AI2718" s="14">
        <f>IF(AND($AD2718="保留中",$AF2718&lt;&gt;""),TODAY()-$AF2718,"")</f>
        <v/>
      </c>
      <c r="AJ2718" s="12" t="n"/>
      <c r="AK2718" s="14">
        <f>IF($B2718="","",IF($AO2718="","対象年月が未入力／","")&amp;IF($B2718="","",IF($AN2718="","職員マスタに未登録の職員番号／",IF($Y2718="","標準報酬月額が未登録／","")&amp;IF(AND($AO2718&lt;&gt;"",OR(AND(INDEX(職員マスタ!$G$6:$G$405,$AN2718)&lt;&gt;"",INDEX(職員マスタ!$G$6:$G$405,$AN2718)&gt;EOMONTH($AO2718,0)),AND(INDEX(職員マスタ!$H$6:$H$405,$AN2718)&lt;&gt;"",INDEX(職員マスタ!$H$6:$H$405,$AN2718)&lt;$AO2718))),"対象月が時短期間外／","")&amp;IF(AND(INDEX(職員マスタ!$F$6:$F$405,$AN2718)&lt;&gt;"",$AO2718&lt;&gt;"",INDEX(職員マスタ!$F$6:$F$405,$AN2718)&lt;$AO2718),"対象月に子が2歳到達済／","")&amp;IF(AND($H2718&lt;&gt;"",INDEX(職員マスタ!$B$6:$B$405,$AN2718)&lt;&gt;"",SUBSTITUTE(SUBSTITUTE($H2718," ","")," ","")&lt;&gt;SUBSTITUTE(SUBSTITUTE(INDEX(職員マスタ!$B$6:$B$405,$AN2718)," ","")," ","")),"氏名がマスタと相違／","")&amp;IF(AND($Q2718&lt;&gt;"",INDEX(職員マスタ!$E$6:$E$405,$AN2718)&lt;&gt;"",$Q2718&lt;&gt;INDEX(職員マスタ!$E$6:$E$405,$AN2718)),"子の生年月日がマスタと相違／","")&amp;IF(AND($L2718&lt;&gt;"",INDEX(職員マスタ!$G$6:$G$405,$AN2718)&lt;&gt;"",$L2718&lt;&gt;INDEX(職員マスタ!$G$6:$G$405,$AN2718)),"時短開始日がマスタと相違／","")&amp;IF(AND($M2718&lt;&gt;"",INDEX(職員マスタ!$H$6:$H$405,$AN2718)&lt;&gt;"",$M2718&lt;&gt;INDEX(職員マスタ!$H$6:$H$405,$AN2718)),"時短終了日がマスタと相違／","")))&amp;IF(AND($B2718&lt;&gt;"",$E2718=""),"報酬額が未入力／","")&amp;IF(N($U2718)&gt;0,"申請書に入力エラーが残っています／","")&amp;IF(AND($B2718&lt;&gt;"",$AO2718&lt;&gt;""),IF(COUNTIFS($B$6:$B$3005,$B2718,$C$6:$C$3005,$C2718,$D$6:$D$3005,$D2718)&gt;1,"同じ月の請求が重複しています／",""),"")&amp;IF(AND(N($E2718)&gt;0,$Z2718&lt;&gt;"",$Z2718&lt;&gt;"×",$AC2718=0,$AB2718=""),"計算額が下限以下のため不支給／",""))</f>
        <v/>
      </c>
      <c r="AL2718" s="12" t="n"/>
      <c r="AM2718" s="14">
        <f>IF($AD2718="保留中",COUNTIF($AD$6:$AD2718,"保留中"),"")</f>
        <v/>
      </c>
      <c r="AN2718" s="14">
        <f>IF($AO2718="","",IF(SUMPRODUCT(MAX((職員マスタ!$A$6:$A$405=$B2718)*(((職員マスタ!$G$6:$G$405="")+(職員マスタ!$G$6:$G$405&lt;=EOMONTH($AO2718,0)))&gt;0)*(((職員マスタ!$H$6:$H$405="")+(職員マスタ!$H$6:$H$405&gt;=$AO2718))&gt;0)*(ROW(職員マスタ!$A$6:$A$405)-5)))&gt;0,SUMPRODUCT(MAX((職員マスタ!$A$6:$A$405=$B2718)*(((職員マスタ!$G$6:$G$405="")+(職員マスタ!$G$6:$G$405&lt;=EOMONTH($AO2718,0)))&gt;0)*(((職員マスタ!$H$6:$H$405="")+(職員マスタ!$H$6:$H$405&gt;=$AO2718))&gt;0)*(ROW(職員マスタ!$A$6:$A$405)-5))),IFERROR(MATCH($B2718,職員マスタ!$A$6:$A$405,0),"")))</f>
        <v/>
      </c>
      <c r="AO2718" s="16">
        <f>IF(OR($B2718="",$C2718="",$D2718=""),"",DATE($C2718+2018,$D2718,1))</f>
        <v/>
      </c>
    </row>
    <row r="2719">
      <c r="A2719" s="11" t="n"/>
      <c r="B2719" s="12" t="n"/>
      <c r="C2719" s="12" t="n"/>
      <c r="D2719" s="12" t="n"/>
      <c r="E2719" s="13" t="n"/>
      <c r="F2719" s="12" t="n"/>
      <c r="G2719" s="13" t="n"/>
      <c r="H2719" s="12" t="n"/>
      <c r="I2719" s="12" t="n"/>
      <c r="J2719" s="12" t="n"/>
      <c r="K2719" s="12" t="n"/>
      <c r="L2719" s="11" t="n"/>
      <c r="M2719" s="11" t="n"/>
      <c r="N2719" s="11" t="n"/>
      <c r="O2719" s="11" t="n"/>
      <c r="P2719" s="12" t="n"/>
      <c r="Q2719" s="11" t="n"/>
      <c r="R2719" s="12" t="n"/>
      <c r="S2719" s="11" t="n"/>
      <c r="T2719" s="12" t="n"/>
      <c r="U2719" s="12" t="n"/>
      <c r="V2719" s="14">
        <f>IF($AN2719="",IF($B2719="","",$H2719),IF(INDEX(職員マスタ!$B$6:$B$405,$AN2719)="",$H2719,INDEX(職員マスタ!$B$6:$B$405,$AN2719)))</f>
        <v/>
      </c>
      <c r="W2719" s="14">
        <f>IF($AN2719="",IF($B2719="","",$R2719),IF(INDEX(職員マスタ!$C$6:$C$405,$AN2719)="",$R2719,INDEX(職員マスタ!$C$6:$C$405,$AN2719)))</f>
        <v/>
      </c>
      <c r="X2719" s="14">
        <f>IF($AO2719="","","R"&amp;$C2719&amp;"."&amp;$D2719)</f>
        <v/>
      </c>
      <c r="Y2719" s="15">
        <f>IF($AN2719="","",IF(INDEX(職員マスタ!$K$6:$K$405,$AN2719)="","",INDEX(職員マスタ!$K$6:$K$405,$AN2719)))</f>
        <v/>
      </c>
      <c r="Z2719" s="14">
        <f>IF(OR($E2719="",$Y2719=""),"",IF($E2719&gt;=$Y2719,"×",IF($E2719&gt;=$Y2719*設定!$C$5,"△","○")))</f>
        <v/>
      </c>
      <c r="AA2719" s="15">
        <f>IF($Z2719="","",IF($Z2719="×",0,IF($Z2719="○",ROUNDDOWN($E2719*設定!$C$4,0),ROUNDDOWN($E2719*ROUND((9*$Y2719-9*$E2719)/(10*$E2719),4),0))))</f>
        <v/>
      </c>
      <c r="AB2719" s="13" t="n"/>
      <c r="AC2719" s="15">
        <f>IF($B2719="","",IF($AB2719&lt;&gt;"",$AB2719,IF($AA2719="","",IF($AA2719&lt;=設定!$C$3,0,$AA2719))))</f>
        <v/>
      </c>
      <c r="AD2719" s="14">
        <f>IF($B2719="","",IF(AND($AE2719&lt;&gt;"",$AG2719="",$AJ2719=""),"保留中",IF($AJ2719&lt;&gt;"",IF(N($AC2719)&gt;0,"支給済","不支給"),IF($AC2719="","要確認",IF($AC2719=0,"不支給","未処理")))))</f>
        <v/>
      </c>
      <c r="AE2719" s="12" t="n"/>
      <c r="AF2719" s="11" t="n"/>
      <c r="AG2719" s="11" t="n"/>
      <c r="AH2719" s="11" t="n"/>
      <c r="AI2719" s="14">
        <f>IF(AND($AD2719="保留中",$AF2719&lt;&gt;""),TODAY()-$AF2719,"")</f>
        <v/>
      </c>
      <c r="AJ2719" s="12" t="n"/>
      <c r="AK2719" s="14">
        <f>IF($B2719="","",IF($AO2719="","対象年月が未入力／","")&amp;IF($B2719="","",IF($AN2719="","職員マスタに未登録の職員番号／",IF($Y2719="","標準報酬月額が未登録／","")&amp;IF(AND($AO2719&lt;&gt;"",OR(AND(INDEX(職員マスタ!$G$6:$G$405,$AN2719)&lt;&gt;"",INDEX(職員マスタ!$G$6:$G$405,$AN2719)&gt;EOMONTH($AO2719,0)),AND(INDEX(職員マスタ!$H$6:$H$405,$AN2719)&lt;&gt;"",INDEX(職員マスタ!$H$6:$H$405,$AN2719)&lt;$AO2719))),"対象月が時短期間外／","")&amp;IF(AND(INDEX(職員マスタ!$F$6:$F$405,$AN2719)&lt;&gt;"",$AO2719&lt;&gt;"",INDEX(職員マスタ!$F$6:$F$405,$AN2719)&lt;$AO2719),"対象月に子が2歳到達済／","")&amp;IF(AND($H2719&lt;&gt;"",INDEX(職員マスタ!$B$6:$B$405,$AN2719)&lt;&gt;"",SUBSTITUTE(SUBSTITUTE($H2719," ","")," ","")&lt;&gt;SUBSTITUTE(SUBSTITUTE(INDEX(職員マスタ!$B$6:$B$405,$AN2719)," ","")," ","")),"氏名がマスタと相違／","")&amp;IF(AND($Q2719&lt;&gt;"",INDEX(職員マスタ!$E$6:$E$405,$AN2719)&lt;&gt;"",$Q2719&lt;&gt;INDEX(職員マスタ!$E$6:$E$405,$AN2719)),"子の生年月日がマスタと相違／","")&amp;IF(AND($L2719&lt;&gt;"",INDEX(職員マスタ!$G$6:$G$405,$AN2719)&lt;&gt;"",$L2719&lt;&gt;INDEX(職員マスタ!$G$6:$G$405,$AN2719)),"時短開始日がマスタと相違／","")&amp;IF(AND($M2719&lt;&gt;"",INDEX(職員マスタ!$H$6:$H$405,$AN2719)&lt;&gt;"",$M2719&lt;&gt;INDEX(職員マスタ!$H$6:$H$405,$AN2719)),"時短終了日がマスタと相違／","")))&amp;IF(AND($B2719&lt;&gt;"",$E2719=""),"報酬額が未入力／","")&amp;IF(N($U2719)&gt;0,"申請書に入力エラーが残っています／","")&amp;IF(AND($B2719&lt;&gt;"",$AO2719&lt;&gt;""),IF(COUNTIFS($B$6:$B$3005,$B2719,$C$6:$C$3005,$C2719,$D$6:$D$3005,$D2719)&gt;1,"同じ月の請求が重複しています／",""),"")&amp;IF(AND(N($E2719)&gt;0,$Z2719&lt;&gt;"",$Z2719&lt;&gt;"×",$AC2719=0,$AB2719=""),"計算額が下限以下のため不支給／",""))</f>
        <v/>
      </c>
      <c r="AL2719" s="12" t="n"/>
      <c r="AM2719" s="14">
        <f>IF($AD2719="保留中",COUNTIF($AD$6:$AD2719,"保留中"),"")</f>
        <v/>
      </c>
      <c r="AN2719" s="14">
        <f>IF($AO2719="","",IF(SUMPRODUCT(MAX((職員マスタ!$A$6:$A$405=$B2719)*(((職員マスタ!$G$6:$G$405="")+(職員マスタ!$G$6:$G$405&lt;=EOMONTH($AO2719,0)))&gt;0)*(((職員マスタ!$H$6:$H$405="")+(職員マスタ!$H$6:$H$405&gt;=$AO2719))&gt;0)*(ROW(職員マスタ!$A$6:$A$405)-5)))&gt;0,SUMPRODUCT(MAX((職員マスタ!$A$6:$A$405=$B2719)*(((職員マスタ!$G$6:$G$405="")+(職員マスタ!$G$6:$G$405&lt;=EOMONTH($AO2719,0)))&gt;0)*(((職員マスタ!$H$6:$H$405="")+(職員マスタ!$H$6:$H$405&gt;=$AO2719))&gt;0)*(ROW(職員マスタ!$A$6:$A$405)-5))),IFERROR(MATCH($B2719,職員マスタ!$A$6:$A$405,0),"")))</f>
        <v/>
      </c>
      <c r="AO2719" s="16">
        <f>IF(OR($B2719="",$C2719="",$D2719=""),"",DATE($C2719+2018,$D2719,1))</f>
        <v/>
      </c>
    </row>
    <row r="2720">
      <c r="A2720" s="11" t="n"/>
      <c r="B2720" s="12" t="n"/>
      <c r="C2720" s="12" t="n"/>
      <c r="D2720" s="12" t="n"/>
      <c r="E2720" s="13" t="n"/>
      <c r="F2720" s="12" t="n"/>
      <c r="G2720" s="13" t="n"/>
      <c r="H2720" s="12" t="n"/>
      <c r="I2720" s="12" t="n"/>
      <c r="J2720" s="12" t="n"/>
      <c r="K2720" s="12" t="n"/>
      <c r="L2720" s="11" t="n"/>
      <c r="M2720" s="11" t="n"/>
      <c r="N2720" s="11" t="n"/>
      <c r="O2720" s="11" t="n"/>
      <c r="P2720" s="12" t="n"/>
      <c r="Q2720" s="11" t="n"/>
      <c r="R2720" s="12" t="n"/>
      <c r="S2720" s="11" t="n"/>
      <c r="T2720" s="12" t="n"/>
      <c r="U2720" s="12" t="n"/>
      <c r="V2720" s="14">
        <f>IF($AN2720="",IF($B2720="","",$H2720),IF(INDEX(職員マスタ!$B$6:$B$405,$AN2720)="",$H2720,INDEX(職員マスタ!$B$6:$B$405,$AN2720)))</f>
        <v/>
      </c>
      <c r="W2720" s="14">
        <f>IF($AN2720="",IF($B2720="","",$R2720),IF(INDEX(職員マスタ!$C$6:$C$405,$AN2720)="",$R2720,INDEX(職員マスタ!$C$6:$C$405,$AN2720)))</f>
        <v/>
      </c>
      <c r="X2720" s="14">
        <f>IF($AO2720="","","R"&amp;$C2720&amp;"."&amp;$D2720)</f>
        <v/>
      </c>
      <c r="Y2720" s="15">
        <f>IF($AN2720="","",IF(INDEX(職員マスタ!$K$6:$K$405,$AN2720)="","",INDEX(職員マスタ!$K$6:$K$405,$AN2720)))</f>
        <v/>
      </c>
      <c r="Z2720" s="14">
        <f>IF(OR($E2720="",$Y2720=""),"",IF($E2720&gt;=$Y2720,"×",IF($E2720&gt;=$Y2720*設定!$C$5,"△","○")))</f>
        <v/>
      </c>
      <c r="AA2720" s="15">
        <f>IF($Z2720="","",IF($Z2720="×",0,IF($Z2720="○",ROUNDDOWN($E2720*設定!$C$4,0),ROUNDDOWN($E2720*ROUND((9*$Y2720-9*$E2720)/(10*$E2720),4),0))))</f>
        <v/>
      </c>
      <c r="AB2720" s="13" t="n"/>
      <c r="AC2720" s="15">
        <f>IF($B2720="","",IF($AB2720&lt;&gt;"",$AB2720,IF($AA2720="","",IF($AA2720&lt;=設定!$C$3,0,$AA2720))))</f>
        <v/>
      </c>
      <c r="AD2720" s="14">
        <f>IF($B2720="","",IF(AND($AE2720&lt;&gt;"",$AG2720="",$AJ2720=""),"保留中",IF($AJ2720&lt;&gt;"",IF(N($AC2720)&gt;0,"支給済","不支給"),IF($AC2720="","要確認",IF($AC2720=0,"不支給","未処理")))))</f>
        <v/>
      </c>
      <c r="AE2720" s="12" t="n"/>
      <c r="AF2720" s="11" t="n"/>
      <c r="AG2720" s="11" t="n"/>
      <c r="AH2720" s="11" t="n"/>
      <c r="AI2720" s="14">
        <f>IF(AND($AD2720="保留中",$AF2720&lt;&gt;""),TODAY()-$AF2720,"")</f>
        <v/>
      </c>
      <c r="AJ2720" s="12" t="n"/>
      <c r="AK2720" s="14">
        <f>IF($B2720="","",IF($AO2720="","対象年月が未入力／","")&amp;IF($B2720="","",IF($AN2720="","職員マスタに未登録の職員番号／",IF($Y2720="","標準報酬月額が未登録／","")&amp;IF(AND($AO2720&lt;&gt;"",OR(AND(INDEX(職員マスタ!$G$6:$G$405,$AN2720)&lt;&gt;"",INDEX(職員マスタ!$G$6:$G$405,$AN2720)&gt;EOMONTH($AO2720,0)),AND(INDEX(職員マスタ!$H$6:$H$405,$AN2720)&lt;&gt;"",INDEX(職員マスタ!$H$6:$H$405,$AN2720)&lt;$AO2720))),"対象月が時短期間外／","")&amp;IF(AND(INDEX(職員マスタ!$F$6:$F$405,$AN2720)&lt;&gt;"",$AO2720&lt;&gt;"",INDEX(職員マスタ!$F$6:$F$405,$AN2720)&lt;$AO2720),"対象月に子が2歳到達済／","")&amp;IF(AND($H2720&lt;&gt;"",INDEX(職員マスタ!$B$6:$B$405,$AN2720)&lt;&gt;"",SUBSTITUTE(SUBSTITUTE($H2720," ","")," ","")&lt;&gt;SUBSTITUTE(SUBSTITUTE(INDEX(職員マスタ!$B$6:$B$405,$AN2720)," ","")," ","")),"氏名がマスタと相違／","")&amp;IF(AND($Q2720&lt;&gt;"",INDEX(職員マスタ!$E$6:$E$405,$AN2720)&lt;&gt;"",$Q2720&lt;&gt;INDEX(職員マスタ!$E$6:$E$405,$AN2720)),"子の生年月日がマスタと相違／","")&amp;IF(AND($L2720&lt;&gt;"",INDEX(職員マスタ!$G$6:$G$405,$AN2720)&lt;&gt;"",$L2720&lt;&gt;INDEX(職員マスタ!$G$6:$G$405,$AN2720)),"時短開始日がマスタと相違／","")&amp;IF(AND($M2720&lt;&gt;"",INDEX(職員マスタ!$H$6:$H$405,$AN2720)&lt;&gt;"",$M2720&lt;&gt;INDEX(職員マスタ!$H$6:$H$405,$AN2720)),"時短終了日がマスタと相違／","")))&amp;IF(AND($B2720&lt;&gt;"",$E2720=""),"報酬額が未入力／","")&amp;IF(N($U2720)&gt;0,"申請書に入力エラーが残っています／","")&amp;IF(AND($B2720&lt;&gt;"",$AO2720&lt;&gt;""),IF(COUNTIFS($B$6:$B$3005,$B2720,$C$6:$C$3005,$C2720,$D$6:$D$3005,$D2720)&gt;1,"同じ月の請求が重複しています／",""),"")&amp;IF(AND(N($E2720)&gt;0,$Z2720&lt;&gt;"",$Z2720&lt;&gt;"×",$AC2720=0,$AB2720=""),"計算額が下限以下のため不支給／",""))</f>
        <v/>
      </c>
      <c r="AL2720" s="12" t="n"/>
      <c r="AM2720" s="14">
        <f>IF($AD2720="保留中",COUNTIF($AD$6:$AD2720,"保留中"),"")</f>
        <v/>
      </c>
      <c r="AN2720" s="14">
        <f>IF($AO2720="","",IF(SUMPRODUCT(MAX((職員マスタ!$A$6:$A$405=$B2720)*(((職員マスタ!$G$6:$G$405="")+(職員マスタ!$G$6:$G$405&lt;=EOMONTH($AO2720,0)))&gt;0)*(((職員マスタ!$H$6:$H$405="")+(職員マスタ!$H$6:$H$405&gt;=$AO2720))&gt;0)*(ROW(職員マスタ!$A$6:$A$405)-5)))&gt;0,SUMPRODUCT(MAX((職員マスタ!$A$6:$A$405=$B2720)*(((職員マスタ!$G$6:$G$405="")+(職員マスタ!$G$6:$G$405&lt;=EOMONTH($AO2720,0)))&gt;0)*(((職員マスタ!$H$6:$H$405="")+(職員マスタ!$H$6:$H$405&gt;=$AO2720))&gt;0)*(ROW(職員マスタ!$A$6:$A$405)-5))),IFERROR(MATCH($B2720,職員マスタ!$A$6:$A$405,0),"")))</f>
        <v/>
      </c>
      <c r="AO2720" s="16">
        <f>IF(OR($B2720="",$C2720="",$D2720=""),"",DATE($C2720+2018,$D2720,1))</f>
        <v/>
      </c>
    </row>
    <row r="2721">
      <c r="A2721" s="11" t="n"/>
      <c r="B2721" s="12" t="n"/>
      <c r="C2721" s="12" t="n"/>
      <c r="D2721" s="12" t="n"/>
      <c r="E2721" s="13" t="n"/>
      <c r="F2721" s="12" t="n"/>
      <c r="G2721" s="13" t="n"/>
      <c r="H2721" s="12" t="n"/>
      <c r="I2721" s="12" t="n"/>
      <c r="J2721" s="12" t="n"/>
      <c r="K2721" s="12" t="n"/>
      <c r="L2721" s="11" t="n"/>
      <c r="M2721" s="11" t="n"/>
      <c r="N2721" s="11" t="n"/>
      <c r="O2721" s="11" t="n"/>
      <c r="P2721" s="12" t="n"/>
      <c r="Q2721" s="11" t="n"/>
      <c r="R2721" s="12" t="n"/>
      <c r="S2721" s="11" t="n"/>
      <c r="T2721" s="12" t="n"/>
      <c r="U2721" s="12" t="n"/>
      <c r="V2721" s="14">
        <f>IF($AN2721="",IF($B2721="","",$H2721),IF(INDEX(職員マスタ!$B$6:$B$405,$AN2721)="",$H2721,INDEX(職員マスタ!$B$6:$B$405,$AN2721)))</f>
        <v/>
      </c>
      <c r="W2721" s="14">
        <f>IF($AN2721="",IF($B2721="","",$R2721),IF(INDEX(職員マスタ!$C$6:$C$405,$AN2721)="",$R2721,INDEX(職員マスタ!$C$6:$C$405,$AN2721)))</f>
        <v/>
      </c>
      <c r="X2721" s="14">
        <f>IF($AO2721="","","R"&amp;$C2721&amp;"."&amp;$D2721)</f>
        <v/>
      </c>
      <c r="Y2721" s="15">
        <f>IF($AN2721="","",IF(INDEX(職員マスタ!$K$6:$K$405,$AN2721)="","",INDEX(職員マスタ!$K$6:$K$405,$AN2721)))</f>
        <v/>
      </c>
      <c r="Z2721" s="14">
        <f>IF(OR($E2721="",$Y2721=""),"",IF($E2721&gt;=$Y2721,"×",IF($E2721&gt;=$Y2721*設定!$C$5,"△","○")))</f>
        <v/>
      </c>
      <c r="AA2721" s="15">
        <f>IF($Z2721="","",IF($Z2721="×",0,IF($Z2721="○",ROUNDDOWN($E2721*設定!$C$4,0),ROUNDDOWN($E2721*ROUND((9*$Y2721-9*$E2721)/(10*$E2721),4),0))))</f>
        <v/>
      </c>
      <c r="AB2721" s="13" t="n"/>
      <c r="AC2721" s="15">
        <f>IF($B2721="","",IF($AB2721&lt;&gt;"",$AB2721,IF($AA2721="","",IF($AA2721&lt;=設定!$C$3,0,$AA2721))))</f>
        <v/>
      </c>
      <c r="AD2721" s="14">
        <f>IF($B2721="","",IF(AND($AE2721&lt;&gt;"",$AG2721="",$AJ2721=""),"保留中",IF($AJ2721&lt;&gt;"",IF(N($AC2721)&gt;0,"支給済","不支給"),IF($AC2721="","要確認",IF($AC2721=0,"不支給","未処理")))))</f>
        <v/>
      </c>
      <c r="AE2721" s="12" t="n"/>
      <c r="AF2721" s="11" t="n"/>
      <c r="AG2721" s="11" t="n"/>
      <c r="AH2721" s="11" t="n"/>
      <c r="AI2721" s="14">
        <f>IF(AND($AD2721="保留中",$AF2721&lt;&gt;""),TODAY()-$AF2721,"")</f>
        <v/>
      </c>
      <c r="AJ2721" s="12" t="n"/>
      <c r="AK2721" s="14">
        <f>IF($B2721="","",IF($AO2721="","対象年月が未入力／","")&amp;IF($B2721="","",IF($AN2721="","職員マスタに未登録の職員番号／",IF($Y2721="","標準報酬月額が未登録／","")&amp;IF(AND($AO2721&lt;&gt;"",OR(AND(INDEX(職員マスタ!$G$6:$G$405,$AN2721)&lt;&gt;"",INDEX(職員マスタ!$G$6:$G$405,$AN2721)&gt;EOMONTH($AO2721,0)),AND(INDEX(職員マスタ!$H$6:$H$405,$AN2721)&lt;&gt;"",INDEX(職員マスタ!$H$6:$H$405,$AN2721)&lt;$AO2721))),"対象月が時短期間外／","")&amp;IF(AND(INDEX(職員マスタ!$F$6:$F$405,$AN2721)&lt;&gt;"",$AO2721&lt;&gt;"",INDEX(職員マスタ!$F$6:$F$405,$AN2721)&lt;$AO2721),"対象月に子が2歳到達済／","")&amp;IF(AND($H2721&lt;&gt;"",INDEX(職員マスタ!$B$6:$B$405,$AN2721)&lt;&gt;"",SUBSTITUTE(SUBSTITUTE($H2721," ","")," ","")&lt;&gt;SUBSTITUTE(SUBSTITUTE(INDEX(職員マスタ!$B$6:$B$405,$AN2721)," ","")," ","")),"氏名がマスタと相違／","")&amp;IF(AND($Q2721&lt;&gt;"",INDEX(職員マスタ!$E$6:$E$405,$AN2721)&lt;&gt;"",$Q2721&lt;&gt;INDEX(職員マスタ!$E$6:$E$405,$AN2721)),"子の生年月日がマスタと相違／","")&amp;IF(AND($L2721&lt;&gt;"",INDEX(職員マスタ!$G$6:$G$405,$AN2721)&lt;&gt;"",$L2721&lt;&gt;INDEX(職員マスタ!$G$6:$G$405,$AN2721)),"時短開始日がマスタと相違／","")&amp;IF(AND($M2721&lt;&gt;"",INDEX(職員マスタ!$H$6:$H$405,$AN2721)&lt;&gt;"",$M2721&lt;&gt;INDEX(職員マスタ!$H$6:$H$405,$AN2721)),"時短終了日がマスタと相違／","")))&amp;IF(AND($B2721&lt;&gt;"",$E2721=""),"報酬額が未入力／","")&amp;IF(N($U2721)&gt;0,"申請書に入力エラーが残っています／","")&amp;IF(AND($B2721&lt;&gt;"",$AO2721&lt;&gt;""),IF(COUNTIFS($B$6:$B$3005,$B2721,$C$6:$C$3005,$C2721,$D$6:$D$3005,$D2721)&gt;1,"同じ月の請求が重複しています／",""),"")&amp;IF(AND(N($E2721)&gt;0,$Z2721&lt;&gt;"",$Z2721&lt;&gt;"×",$AC2721=0,$AB2721=""),"計算額が下限以下のため不支給／",""))</f>
        <v/>
      </c>
      <c r="AL2721" s="12" t="n"/>
      <c r="AM2721" s="14">
        <f>IF($AD2721="保留中",COUNTIF($AD$6:$AD2721,"保留中"),"")</f>
        <v/>
      </c>
      <c r="AN2721" s="14">
        <f>IF($AO2721="","",IF(SUMPRODUCT(MAX((職員マスタ!$A$6:$A$405=$B2721)*(((職員マスタ!$G$6:$G$405="")+(職員マスタ!$G$6:$G$405&lt;=EOMONTH($AO2721,0)))&gt;0)*(((職員マスタ!$H$6:$H$405="")+(職員マスタ!$H$6:$H$405&gt;=$AO2721))&gt;0)*(ROW(職員マスタ!$A$6:$A$405)-5)))&gt;0,SUMPRODUCT(MAX((職員マスタ!$A$6:$A$405=$B2721)*(((職員マスタ!$G$6:$G$405="")+(職員マスタ!$G$6:$G$405&lt;=EOMONTH($AO2721,0)))&gt;0)*(((職員マスタ!$H$6:$H$405="")+(職員マスタ!$H$6:$H$405&gt;=$AO2721))&gt;0)*(ROW(職員マスタ!$A$6:$A$405)-5))),IFERROR(MATCH($B2721,職員マスタ!$A$6:$A$405,0),"")))</f>
        <v/>
      </c>
      <c r="AO2721" s="16">
        <f>IF(OR($B2721="",$C2721="",$D2721=""),"",DATE($C2721+2018,$D2721,1))</f>
        <v/>
      </c>
    </row>
    <row r="2722">
      <c r="A2722" s="11" t="n"/>
      <c r="B2722" s="12" t="n"/>
      <c r="C2722" s="12" t="n"/>
      <c r="D2722" s="12" t="n"/>
      <c r="E2722" s="13" t="n"/>
      <c r="F2722" s="12" t="n"/>
      <c r="G2722" s="13" t="n"/>
      <c r="H2722" s="12" t="n"/>
      <c r="I2722" s="12" t="n"/>
      <c r="J2722" s="12" t="n"/>
      <c r="K2722" s="12" t="n"/>
      <c r="L2722" s="11" t="n"/>
      <c r="M2722" s="11" t="n"/>
      <c r="N2722" s="11" t="n"/>
      <c r="O2722" s="11" t="n"/>
      <c r="P2722" s="12" t="n"/>
      <c r="Q2722" s="11" t="n"/>
      <c r="R2722" s="12" t="n"/>
      <c r="S2722" s="11" t="n"/>
      <c r="T2722" s="12" t="n"/>
      <c r="U2722" s="12" t="n"/>
      <c r="V2722" s="14">
        <f>IF($AN2722="",IF($B2722="","",$H2722),IF(INDEX(職員マスタ!$B$6:$B$405,$AN2722)="",$H2722,INDEX(職員マスタ!$B$6:$B$405,$AN2722)))</f>
        <v/>
      </c>
      <c r="W2722" s="14">
        <f>IF($AN2722="",IF($B2722="","",$R2722),IF(INDEX(職員マスタ!$C$6:$C$405,$AN2722)="",$R2722,INDEX(職員マスタ!$C$6:$C$405,$AN2722)))</f>
        <v/>
      </c>
      <c r="X2722" s="14">
        <f>IF($AO2722="","","R"&amp;$C2722&amp;"."&amp;$D2722)</f>
        <v/>
      </c>
      <c r="Y2722" s="15">
        <f>IF($AN2722="","",IF(INDEX(職員マスタ!$K$6:$K$405,$AN2722)="","",INDEX(職員マスタ!$K$6:$K$405,$AN2722)))</f>
        <v/>
      </c>
      <c r="Z2722" s="14">
        <f>IF(OR($E2722="",$Y2722=""),"",IF($E2722&gt;=$Y2722,"×",IF($E2722&gt;=$Y2722*設定!$C$5,"△","○")))</f>
        <v/>
      </c>
      <c r="AA2722" s="15">
        <f>IF($Z2722="","",IF($Z2722="×",0,IF($Z2722="○",ROUNDDOWN($E2722*設定!$C$4,0),ROUNDDOWN($E2722*ROUND((9*$Y2722-9*$E2722)/(10*$E2722),4),0))))</f>
        <v/>
      </c>
      <c r="AB2722" s="13" t="n"/>
      <c r="AC2722" s="15">
        <f>IF($B2722="","",IF($AB2722&lt;&gt;"",$AB2722,IF($AA2722="","",IF($AA2722&lt;=設定!$C$3,0,$AA2722))))</f>
        <v/>
      </c>
      <c r="AD2722" s="14">
        <f>IF($B2722="","",IF(AND($AE2722&lt;&gt;"",$AG2722="",$AJ2722=""),"保留中",IF($AJ2722&lt;&gt;"",IF(N($AC2722)&gt;0,"支給済","不支給"),IF($AC2722="","要確認",IF($AC2722=0,"不支給","未処理")))))</f>
        <v/>
      </c>
      <c r="AE2722" s="12" t="n"/>
      <c r="AF2722" s="11" t="n"/>
      <c r="AG2722" s="11" t="n"/>
      <c r="AH2722" s="11" t="n"/>
      <c r="AI2722" s="14">
        <f>IF(AND($AD2722="保留中",$AF2722&lt;&gt;""),TODAY()-$AF2722,"")</f>
        <v/>
      </c>
      <c r="AJ2722" s="12" t="n"/>
      <c r="AK2722" s="14">
        <f>IF($B2722="","",IF($AO2722="","対象年月が未入力／","")&amp;IF($B2722="","",IF($AN2722="","職員マスタに未登録の職員番号／",IF($Y2722="","標準報酬月額が未登録／","")&amp;IF(AND($AO2722&lt;&gt;"",OR(AND(INDEX(職員マスタ!$G$6:$G$405,$AN2722)&lt;&gt;"",INDEX(職員マスタ!$G$6:$G$405,$AN2722)&gt;EOMONTH($AO2722,0)),AND(INDEX(職員マスタ!$H$6:$H$405,$AN2722)&lt;&gt;"",INDEX(職員マスタ!$H$6:$H$405,$AN2722)&lt;$AO2722))),"対象月が時短期間外／","")&amp;IF(AND(INDEX(職員マスタ!$F$6:$F$405,$AN2722)&lt;&gt;"",$AO2722&lt;&gt;"",INDEX(職員マスタ!$F$6:$F$405,$AN2722)&lt;$AO2722),"対象月に子が2歳到達済／","")&amp;IF(AND($H2722&lt;&gt;"",INDEX(職員マスタ!$B$6:$B$405,$AN2722)&lt;&gt;"",SUBSTITUTE(SUBSTITUTE($H2722," ","")," ","")&lt;&gt;SUBSTITUTE(SUBSTITUTE(INDEX(職員マスタ!$B$6:$B$405,$AN2722)," ","")," ","")),"氏名がマスタと相違／","")&amp;IF(AND($Q2722&lt;&gt;"",INDEX(職員マスタ!$E$6:$E$405,$AN2722)&lt;&gt;"",$Q2722&lt;&gt;INDEX(職員マスタ!$E$6:$E$405,$AN2722)),"子の生年月日がマスタと相違／","")&amp;IF(AND($L2722&lt;&gt;"",INDEX(職員マスタ!$G$6:$G$405,$AN2722)&lt;&gt;"",$L2722&lt;&gt;INDEX(職員マスタ!$G$6:$G$405,$AN2722)),"時短開始日がマスタと相違／","")&amp;IF(AND($M2722&lt;&gt;"",INDEX(職員マスタ!$H$6:$H$405,$AN2722)&lt;&gt;"",$M2722&lt;&gt;INDEX(職員マスタ!$H$6:$H$405,$AN2722)),"時短終了日がマスタと相違／","")))&amp;IF(AND($B2722&lt;&gt;"",$E2722=""),"報酬額が未入力／","")&amp;IF(N($U2722)&gt;0,"申請書に入力エラーが残っています／","")&amp;IF(AND($B2722&lt;&gt;"",$AO2722&lt;&gt;""),IF(COUNTIFS($B$6:$B$3005,$B2722,$C$6:$C$3005,$C2722,$D$6:$D$3005,$D2722)&gt;1,"同じ月の請求が重複しています／",""),"")&amp;IF(AND(N($E2722)&gt;0,$Z2722&lt;&gt;"",$Z2722&lt;&gt;"×",$AC2722=0,$AB2722=""),"計算額が下限以下のため不支給／",""))</f>
        <v/>
      </c>
      <c r="AL2722" s="12" t="n"/>
      <c r="AM2722" s="14">
        <f>IF($AD2722="保留中",COUNTIF($AD$6:$AD2722,"保留中"),"")</f>
        <v/>
      </c>
      <c r="AN2722" s="14">
        <f>IF($AO2722="","",IF(SUMPRODUCT(MAX((職員マスタ!$A$6:$A$405=$B2722)*(((職員マスタ!$G$6:$G$405="")+(職員マスタ!$G$6:$G$405&lt;=EOMONTH($AO2722,0)))&gt;0)*(((職員マスタ!$H$6:$H$405="")+(職員マスタ!$H$6:$H$405&gt;=$AO2722))&gt;0)*(ROW(職員マスタ!$A$6:$A$405)-5)))&gt;0,SUMPRODUCT(MAX((職員マスタ!$A$6:$A$405=$B2722)*(((職員マスタ!$G$6:$G$405="")+(職員マスタ!$G$6:$G$405&lt;=EOMONTH($AO2722,0)))&gt;0)*(((職員マスタ!$H$6:$H$405="")+(職員マスタ!$H$6:$H$405&gt;=$AO2722))&gt;0)*(ROW(職員マスタ!$A$6:$A$405)-5))),IFERROR(MATCH($B2722,職員マスタ!$A$6:$A$405,0),"")))</f>
        <v/>
      </c>
      <c r="AO2722" s="16">
        <f>IF(OR($B2722="",$C2722="",$D2722=""),"",DATE($C2722+2018,$D2722,1))</f>
        <v/>
      </c>
    </row>
    <row r="2723">
      <c r="A2723" s="11" t="n"/>
      <c r="B2723" s="12" t="n"/>
      <c r="C2723" s="12" t="n"/>
      <c r="D2723" s="12" t="n"/>
      <c r="E2723" s="13" t="n"/>
      <c r="F2723" s="12" t="n"/>
      <c r="G2723" s="13" t="n"/>
      <c r="H2723" s="12" t="n"/>
      <c r="I2723" s="12" t="n"/>
      <c r="J2723" s="12" t="n"/>
      <c r="K2723" s="12" t="n"/>
      <c r="L2723" s="11" t="n"/>
      <c r="M2723" s="11" t="n"/>
      <c r="N2723" s="11" t="n"/>
      <c r="O2723" s="11" t="n"/>
      <c r="P2723" s="12" t="n"/>
      <c r="Q2723" s="11" t="n"/>
      <c r="R2723" s="12" t="n"/>
      <c r="S2723" s="11" t="n"/>
      <c r="T2723" s="12" t="n"/>
      <c r="U2723" s="12" t="n"/>
      <c r="V2723" s="14">
        <f>IF($AN2723="",IF($B2723="","",$H2723),IF(INDEX(職員マスタ!$B$6:$B$405,$AN2723)="",$H2723,INDEX(職員マスタ!$B$6:$B$405,$AN2723)))</f>
        <v/>
      </c>
      <c r="W2723" s="14">
        <f>IF($AN2723="",IF($B2723="","",$R2723),IF(INDEX(職員マスタ!$C$6:$C$405,$AN2723)="",$R2723,INDEX(職員マスタ!$C$6:$C$405,$AN2723)))</f>
        <v/>
      </c>
      <c r="X2723" s="14">
        <f>IF($AO2723="","","R"&amp;$C2723&amp;"."&amp;$D2723)</f>
        <v/>
      </c>
      <c r="Y2723" s="15">
        <f>IF($AN2723="","",IF(INDEX(職員マスタ!$K$6:$K$405,$AN2723)="","",INDEX(職員マスタ!$K$6:$K$405,$AN2723)))</f>
        <v/>
      </c>
      <c r="Z2723" s="14">
        <f>IF(OR($E2723="",$Y2723=""),"",IF($E2723&gt;=$Y2723,"×",IF($E2723&gt;=$Y2723*設定!$C$5,"△","○")))</f>
        <v/>
      </c>
      <c r="AA2723" s="15">
        <f>IF($Z2723="","",IF($Z2723="×",0,IF($Z2723="○",ROUNDDOWN($E2723*設定!$C$4,0),ROUNDDOWN($E2723*ROUND((9*$Y2723-9*$E2723)/(10*$E2723),4),0))))</f>
        <v/>
      </c>
      <c r="AB2723" s="13" t="n"/>
      <c r="AC2723" s="15">
        <f>IF($B2723="","",IF($AB2723&lt;&gt;"",$AB2723,IF($AA2723="","",IF($AA2723&lt;=設定!$C$3,0,$AA2723))))</f>
        <v/>
      </c>
      <c r="AD2723" s="14">
        <f>IF($B2723="","",IF(AND($AE2723&lt;&gt;"",$AG2723="",$AJ2723=""),"保留中",IF($AJ2723&lt;&gt;"",IF(N($AC2723)&gt;0,"支給済","不支給"),IF($AC2723="","要確認",IF($AC2723=0,"不支給","未処理")))))</f>
        <v/>
      </c>
      <c r="AE2723" s="12" t="n"/>
      <c r="AF2723" s="11" t="n"/>
      <c r="AG2723" s="11" t="n"/>
      <c r="AH2723" s="11" t="n"/>
      <c r="AI2723" s="14">
        <f>IF(AND($AD2723="保留中",$AF2723&lt;&gt;""),TODAY()-$AF2723,"")</f>
        <v/>
      </c>
      <c r="AJ2723" s="12" t="n"/>
      <c r="AK2723" s="14">
        <f>IF($B2723="","",IF($AO2723="","対象年月が未入力／","")&amp;IF($B2723="","",IF($AN2723="","職員マスタに未登録の職員番号／",IF($Y2723="","標準報酬月額が未登録／","")&amp;IF(AND($AO2723&lt;&gt;"",OR(AND(INDEX(職員マスタ!$G$6:$G$405,$AN2723)&lt;&gt;"",INDEX(職員マスタ!$G$6:$G$405,$AN2723)&gt;EOMONTH($AO2723,0)),AND(INDEX(職員マスタ!$H$6:$H$405,$AN2723)&lt;&gt;"",INDEX(職員マスタ!$H$6:$H$405,$AN2723)&lt;$AO2723))),"対象月が時短期間外／","")&amp;IF(AND(INDEX(職員マスタ!$F$6:$F$405,$AN2723)&lt;&gt;"",$AO2723&lt;&gt;"",INDEX(職員マスタ!$F$6:$F$405,$AN2723)&lt;$AO2723),"対象月に子が2歳到達済／","")&amp;IF(AND($H2723&lt;&gt;"",INDEX(職員マスタ!$B$6:$B$405,$AN2723)&lt;&gt;"",SUBSTITUTE(SUBSTITUTE($H2723," ","")," ","")&lt;&gt;SUBSTITUTE(SUBSTITUTE(INDEX(職員マスタ!$B$6:$B$405,$AN2723)," ","")," ","")),"氏名がマスタと相違／","")&amp;IF(AND($Q2723&lt;&gt;"",INDEX(職員マスタ!$E$6:$E$405,$AN2723)&lt;&gt;"",$Q2723&lt;&gt;INDEX(職員マスタ!$E$6:$E$405,$AN2723)),"子の生年月日がマスタと相違／","")&amp;IF(AND($L2723&lt;&gt;"",INDEX(職員マスタ!$G$6:$G$405,$AN2723)&lt;&gt;"",$L2723&lt;&gt;INDEX(職員マスタ!$G$6:$G$405,$AN2723)),"時短開始日がマスタと相違／","")&amp;IF(AND($M2723&lt;&gt;"",INDEX(職員マスタ!$H$6:$H$405,$AN2723)&lt;&gt;"",$M2723&lt;&gt;INDEX(職員マスタ!$H$6:$H$405,$AN2723)),"時短終了日がマスタと相違／","")))&amp;IF(AND($B2723&lt;&gt;"",$E2723=""),"報酬額が未入力／","")&amp;IF(N($U2723)&gt;0,"申請書に入力エラーが残っています／","")&amp;IF(AND($B2723&lt;&gt;"",$AO2723&lt;&gt;""),IF(COUNTIFS($B$6:$B$3005,$B2723,$C$6:$C$3005,$C2723,$D$6:$D$3005,$D2723)&gt;1,"同じ月の請求が重複しています／",""),"")&amp;IF(AND(N($E2723)&gt;0,$Z2723&lt;&gt;"",$Z2723&lt;&gt;"×",$AC2723=0,$AB2723=""),"計算額が下限以下のため不支給／",""))</f>
        <v/>
      </c>
      <c r="AL2723" s="12" t="n"/>
      <c r="AM2723" s="14">
        <f>IF($AD2723="保留中",COUNTIF($AD$6:$AD2723,"保留中"),"")</f>
        <v/>
      </c>
      <c r="AN2723" s="14">
        <f>IF($AO2723="","",IF(SUMPRODUCT(MAX((職員マスタ!$A$6:$A$405=$B2723)*(((職員マスタ!$G$6:$G$405="")+(職員マスタ!$G$6:$G$405&lt;=EOMONTH($AO2723,0)))&gt;0)*(((職員マスタ!$H$6:$H$405="")+(職員マスタ!$H$6:$H$405&gt;=$AO2723))&gt;0)*(ROW(職員マスタ!$A$6:$A$405)-5)))&gt;0,SUMPRODUCT(MAX((職員マスタ!$A$6:$A$405=$B2723)*(((職員マスタ!$G$6:$G$405="")+(職員マスタ!$G$6:$G$405&lt;=EOMONTH($AO2723,0)))&gt;0)*(((職員マスタ!$H$6:$H$405="")+(職員マスタ!$H$6:$H$405&gt;=$AO2723))&gt;0)*(ROW(職員マスタ!$A$6:$A$405)-5))),IFERROR(MATCH($B2723,職員マスタ!$A$6:$A$405,0),"")))</f>
        <v/>
      </c>
      <c r="AO2723" s="16">
        <f>IF(OR($B2723="",$C2723="",$D2723=""),"",DATE($C2723+2018,$D2723,1))</f>
        <v/>
      </c>
    </row>
    <row r="2724">
      <c r="A2724" s="11" t="n"/>
      <c r="B2724" s="12" t="n"/>
      <c r="C2724" s="12" t="n"/>
      <c r="D2724" s="12" t="n"/>
      <c r="E2724" s="13" t="n"/>
      <c r="F2724" s="12" t="n"/>
      <c r="G2724" s="13" t="n"/>
      <c r="H2724" s="12" t="n"/>
      <c r="I2724" s="12" t="n"/>
      <c r="J2724" s="12" t="n"/>
      <c r="K2724" s="12" t="n"/>
      <c r="L2724" s="11" t="n"/>
      <c r="M2724" s="11" t="n"/>
      <c r="N2724" s="11" t="n"/>
      <c r="O2724" s="11" t="n"/>
      <c r="P2724" s="12" t="n"/>
      <c r="Q2724" s="11" t="n"/>
      <c r="R2724" s="12" t="n"/>
      <c r="S2724" s="11" t="n"/>
      <c r="T2724" s="12" t="n"/>
      <c r="U2724" s="12" t="n"/>
      <c r="V2724" s="14">
        <f>IF($AN2724="",IF($B2724="","",$H2724),IF(INDEX(職員マスタ!$B$6:$B$405,$AN2724)="",$H2724,INDEX(職員マスタ!$B$6:$B$405,$AN2724)))</f>
        <v/>
      </c>
      <c r="W2724" s="14">
        <f>IF($AN2724="",IF($B2724="","",$R2724),IF(INDEX(職員マスタ!$C$6:$C$405,$AN2724)="",$R2724,INDEX(職員マスタ!$C$6:$C$405,$AN2724)))</f>
        <v/>
      </c>
      <c r="X2724" s="14">
        <f>IF($AO2724="","","R"&amp;$C2724&amp;"."&amp;$D2724)</f>
        <v/>
      </c>
      <c r="Y2724" s="15">
        <f>IF($AN2724="","",IF(INDEX(職員マスタ!$K$6:$K$405,$AN2724)="","",INDEX(職員マスタ!$K$6:$K$405,$AN2724)))</f>
        <v/>
      </c>
      <c r="Z2724" s="14">
        <f>IF(OR($E2724="",$Y2724=""),"",IF($E2724&gt;=$Y2724,"×",IF($E2724&gt;=$Y2724*設定!$C$5,"△","○")))</f>
        <v/>
      </c>
      <c r="AA2724" s="15">
        <f>IF($Z2724="","",IF($Z2724="×",0,IF($Z2724="○",ROUNDDOWN($E2724*設定!$C$4,0),ROUNDDOWN($E2724*ROUND((9*$Y2724-9*$E2724)/(10*$E2724),4),0))))</f>
        <v/>
      </c>
      <c r="AB2724" s="13" t="n"/>
      <c r="AC2724" s="15">
        <f>IF($B2724="","",IF($AB2724&lt;&gt;"",$AB2724,IF($AA2724="","",IF($AA2724&lt;=設定!$C$3,0,$AA2724))))</f>
        <v/>
      </c>
      <c r="AD2724" s="14">
        <f>IF($B2724="","",IF(AND($AE2724&lt;&gt;"",$AG2724="",$AJ2724=""),"保留中",IF($AJ2724&lt;&gt;"",IF(N($AC2724)&gt;0,"支給済","不支給"),IF($AC2724="","要確認",IF($AC2724=0,"不支給","未処理")))))</f>
        <v/>
      </c>
      <c r="AE2724" s="12" t="n"/>
      <c r="AF2724" s="11" t="n"/>
      <c r="AG2724" s="11" t="n"/>
      <c r="AH2724" s="11" t="n"/>
      <c r="AI2724" s="14">
        <f>IF(AND($AD2724="保留中",$AF2724&lt;&gt;""),TODAY()-$AF2724,"")</f>
        <v/>
      </c>
      <c r="AJ2724" s="12" t="n"/>
      <c r="AK2724" s="14">
        <f>IF($B2724="","",IF($AO2724="","対象年月が未入力／","")&amp;IF($B2724="","",IF($AN2724="","職員マスタに未登録の職員番号／",IF($Y2724="","標準報酬月額が未登録／","")&amp;IF(AND($AO2724&lt;&gt;"",OR(AND(INDEX(職員マスタ!$G$6:$G$405,$AN2724)&lt;&gt;"",INDEX(職員マスタ!$G$6:$G$405,$AN2724)&gt;EOMONTH($AO2724,0)),AND(INDEX(職員マスタ!$H$6:$H$405,$AN2724)&lt;&gt;"",INDEX(職員マスタ!$H$6:$H$405,$AN2724)&lt;$AO2724))),"対象月が時短期間外／","")&amp;IF(AND(INDEX(職員マスタ!$F$6:$F$405,$AN2724)&lt;&gt;"",$AO2724&lt;&gt;"",INDEX(職員マスタ!$F$6:$F$405,$AN2724)&lt;$AO2724),"対象月に子が2歳到達済／","")&amp;IF(AND($H2724&lt;&gt;"",INDEX(職員マスタ!$B$6:$B$405,$AN2724)&lt;&gt;"",SUBSTITUTE(SUBSTITUTE($H2724," ","")," ","")&lt;&gt;SUBSTITUTE(SUBSTITUTE(INDEX(職員マスタ!$B$6:$B$405,$AN2724)," ","")," ","")),"氏名がマスタと相違／","")&amp;IF(AND($Q2724&lt;&gt;"",INDEX(職員マスタ!$E$6:$E$405,$AN2724)&lt;&gt;"",$Q2724&lt;&gt;INDEX(職員マスタ!$E$6:$E$405,$AN2724)),"子の生年月日がマスタと相違／","")&amp;IF(AND($L2724&lt;&gt;"",INDEX(職員マスタ!$G$6:$G$405,$AN2724)&lt;&gt;"",$L2724&lt;&gt;INDEX(職員マスタ!$G$6:$G$405,$AN2724)),"時短開始日がマスタと相違／","")&amp;IF(AND($M2724&lt;&gt;"",INDEX(職員マスタ!$H$6:$H$405,$AN2724)&lt;&gt;"",$M2724&lt;&gt;INDEX(職員マスタ!$H$6:$H$405,$AN2724)),"時短終了日がマスタと相違／","")))&amp;IF(AND($B2724&lt;&gt;"",$E2724=""),"報酬額が未入力／","")&amp;IF(N($U2724)&gt;0,"申請書に入力エラーが残っています／","")&amp;IF(AND($B2724&lt;&gt;"",$AO2724&lt;&gt;""),IF(COUNTIFS($B$6:$B$3005,$B2724,$C$6:$C$3005,$C2724,$D$6:$D$3005,$D2724)&gt;1,"同じ月の請求が重複しています／",""),"")&amp;IF(AND(N($E2724)&gt;0,$Z2724&lt;&gt;"",$Z2724&lt;&gt;"×",$AC2724=0,$AB2724=""),"計算額が下限以下のため不支給／",""))</f>
        <v/>
      </c>
      <c r="AL2724" s="12" t="n"/>
      <c r="AM2724" s="14">
        <f>IF($AD2724="保留中",COUNTIF($AD$6:$AD2724,"保留中"),"")</f>
        <v/>
      </c>
      <c r="AN2724" s="14">
        <f>IF($AO2724="","",IF(SUMPRODUCT(MAX((職員マスタ!$A$6:$A$405=$B2724)*(((職員マスタ!$G$6:$G$405="")+(職員マスタ!$G$6:$G$405&lt;=EOMONTH($AO2724,0)))&gt;0)*(((職員マスタ!$H$6:$H$405="")+(職員マスタ!$H$6:$H$405&gt;=$AO2724))&gt;0)*(ROW(職員マスタ!$A$6:$A$405)-5)))&gt;0,SUMPRODUCT(MAX((職員マスタ!$A$6:$A$405=$B2724)*(((職員マスタ!$G$6:$G$405="")+(職員マスタ!$G$6:$G$405&lt;=EOMONTH($AO2724,0)))&gt;0)*(((職員マスタ!$H$6:$H$405="")+(職員マスタ!$H$6:$H$405&gt;=$AO2724))&gt;0)*(ROW(職員マスタ!$A$6:$A$405)-5))),IFERROR(MATCH($B2724,職員マスタ!$A$6:$A$405,0),"")))</f>
        <v/>
      </c>
      <c r="AO2724" s="16">
        <f>IF(OR($B2724="",$C2724="",$D2724=""),"",DATE($C2724+2018,$D2724,1))</f>
        <v/>
      </c>
    </row>
    <row r="2725">
      <c r="A2725" s="11" t="n"/>
      <c r="B2725" s="12" t="n"/>
      <c r="C2725" s="12" t="n"/>
      <c r="D2725" s="12" t="n"/>
      <c r="E2725" s="13" t="n"/>
      <c r="F2725" s="12" t="n"/>
      <c r="G2725" s="13" t="n"/>
      <c r="H2725" s="12" t="n"/>
      <c r="I2725" s="12" t="n"/>
      <c r="J2725" s="12" t="n"/>
      <c r="K2725" s="12" t="n"/>
      <c r="L2725" s="11" t="n"/>
      <c r="M2725" s="11" t="n"/>
      <c r="N2725" s="11" t="n"/>
      <c r="O2725" s="11" t="n"/>
      <c r="P2725" s="12" t="n"/>
      <c r="Q2725" s="11" t="n"/>
      <c r="R2725" s="12" t="n"/>
      <c r="S2725" s="11" t="n"/>
      <c r="T2725" s="12" t="n"/>
      <c r="U2725" s="12" t="n"/>
      <c r="V2725" s="14">
        <f>IF($AN2725="",IF($B2725="","",$H2725),IF(INDEX(職員マスタ!$B$6:$B$405,$AN2725)="",$H2725,INDEX(職員マスタ!$B$6:$B$405,$AN2725)))</f>
        <v/>
      </c>
      <c r="W2725" s="14">
        <f>IF($AN2725="",IF($B2725="","",$R2725),IF(INDEX(職員マスタ!$C$6:$C$405,$AN2725)="",$R2725,INDEX(職員マスタ!$C$6:$C$405,$AN2725)))</f>
        <v/>
      </c>
      <c r="X2725" s="14">
        <f>IF($AO2725="","","R"&amp;$C2725&amp;"."&amp;$D2725)</f>
        <v/>
      </c>
      <c r="Y2725" s="15">
        <f>IF($AN2725="","",IF(INDEX(職員マスタ!$K$6:$K$405,$AN2725)="","",INDEX(職員マスタ!$K$6:$K$405,$AN2725)))</f>
        <v/>
      </c>
      <c r="Z2725" s="14">
        <f>IF(OR($E2725="",$Y2725=""),"",IF($E2725&gt;=$Y2725,"×",IF($E2725&gt;=$Y2725*設定!$C$5,"△","○")))</f>
        <v/>
      </c>
      <c r="AA2725" s="15">
        <f>IF($Z2725="","",IF($Z2725="×",0,IF($Z2725="○",ROUNDDOWN($E2725*設定!$C$4,0),ROUNDDOWN($E2725*ROUND((9*$Y2725-9*$E2725)/(10*$E2725),4),0))))</f>
        <v/>
      </c>
      <c r="AB2725" s="13" t="n"/>
      <c r="AC2725" s="15">
        <f>IF($B2725="","",IF($AB2725&lt;&gt;"",$AB2725,IF($AA2725="","",IF($AA2725&lt;=設定!$C$3,0,$AA2725))))</f>
        <v/>
      </c>
      <c r="AD2725" s="14">
        <f>IF($B2725="","",IF(AND($AE2725&lt;&gt;"",$AG2725="",$AJ2725=""),"保留中",IF($AJ2725&lt;&gt;"",IF(N($AC2725)&gt;0,"支給済","不支給"),IF($AC2725="","要確認",IF($AC2725=0,"不支給","未処理")))))</f>
        <v/>
      </c>
      <c r="AE2725" s="12" t="n"/>
      <c r="AF2725" s="11" t="n"/>
      <c r="AG2725" s="11" t="n"/>
      <c r="AH2725" s="11" t="n"/>
      <c r="AI2725" s="14">
        <f>IF(AND($AD2725="保留中",$AF2725&lt;&gt;""),TODAY()-$AF2725,"")</f>
        <v/>
      </c>
      <c r="AJ2725" s="12" t="n"/>
      <c r="AK2725" s="14">
        <f>IF($B2725="","",IF($AO2725="","対象年月が未入力／","")&amp;IF($B2725="","",IF($AN2725="","職員マスタに未登録の職員番号／",IF($Y2725="","標準報酬月額が未登録／","")&amp;IF(AND($AO2725&lt;&gt;"",OR(AND(INDEX(職員マスタ!$G$6:$G$405,$AN2725)&lt;&gt;"",INDEX(職員マスタ!$G$6:$G$405,$AN2725)&gt;EOMONTH($AO2725,0)),AND(INDEX(職員マスタ!$H$6:$H$405,$AN2725)&lt;&gt;"",INDEX(職員マスタ!$H$6:$H$405,$AN2725)&lt;$AO2725))),"対象月が時短期間外／","")&amp;IF(AND(INDEX(職員マスタ!$F$6:$F$405,$AN2725)&lt;&gt;"",$AO2725&lt;&gt;"",INDEX(職員マスタ!$F$6:$F$405,$AN2725)&lt;$AO2725),"対象月に子が2歳到達済／","")&amp;IF(AND($H2725&lt;&gt;"",INDEX(職員マスタ!$B$6:$B$405,$AN2725)&lt;&gt;"",SUBSTITUTE(SUBSTITUTE($H2725," ","")," ","")&lt;&gt;SUBSTITUTE(SUBSTITUTE(INDEX(職員マスタ!$B$6:$B$405,$AN2725)," ","")," ","")),"氏名がマスタと相違／","")&amp;IF(AND($Q2725&lt;&gt;"",INDEX(職員マスタ!$E$6:$E$405,$AN2725)&lt;&gt;"",$Q2725&lt;&gt;INDEX(職員マスタ!$E$6:$E$405,$AN2725)),"子の生年月日がマスタと相違／","")&amp;IF(AND($L2725&lt;&gt;"",INDEX(職員マスタ!$G$6:$G$405,$AN2725)&lt;&gt;"",$L2725&lt;&gt;INDEX(職員マスタ!$G$6:$G$405,$AN2725)),"時短開始日がマスタと相違／","")&amp;IF(AND($M2725&lt;&gt;"",INDEX(職員マスタ!$H$6:$H$405,$AN2725)&lt;&gt;"",$M2725&lt;&gt;INDEX(職員マスタ!$H$6:$H$405,$AN2725)),"時短終了日がマスタと相違／","")))&amp;IF(AND($B2725&lt;&gt;"",$E2725=""),"報酬額が未入力／","")&amp;IF(N($U2725)&gt;0,"申請書に入力エラーが残っています／","")&amp;IF(AND($B2725&lt;&gt;"",$AO2725&lt;&gt;""),IF(COUNTIFS($B$6:$B$3005,$B2725,$C$6:$C$3005,$C2725,$D$6:$D$3005,$D2725)&gt;1,"同じ月の請求が重複しています／",""),"")&amp;IF(AND(N($E2725)&gt;0,$Z2725&lt;&gt;"",$Z2725&lt;&gt;"×",$AC2725=0,$AB2725=""),"計算額が下限以下のため不支給／",""))</f>
        <v/>
      </c>
      <c r="AL2725" s="12" t="n"/>
      <c r="AM2725" s="14">
        <f>IF($AD2725="保留中",COUNTIF($AD$6:$AD2725,"保留中"),"")</f>
        <v/>
      </c>
      <c r="AN2725" s="14">
        <f>IF($AO2725="","",IF(SUMPRODUCT(MAX((職員マスタ!$A$6:$A$405=$B2725)*(((職員マスタ!$G$6:$G$405="")+(職員マスタ!$G$6:$G$405&lt;=EOMONTH($AO2725,0)))&gt;0)*(((職員マスタ!$H$6:$H$405="")+(職員マスタ!$H$6:$H$405&gt;=$AO2725))&gt;0)*(ROW(職員マスタ!$A$6:$A$405)-5)))&gt;0,SUMPRODUCT(MAX((職員マスタ!$A$6:$A$405=$B2725)*(((職員マスタ!$G$6:$G$405="")+(職員マスタ!$G$6:$G$405&lt;=EOMONTH($AO2725,0)))&gt;0)*(((職員マスタ!$H$6:$H$405="")+(職員マスタ!$H$6:$H$405&gt;=$AO2725))&gt;0)*(ROW(職員マスタ!$A$6:$A$405)-5))),IFERROR(MATCH($B2725,職員マスタ!$A$6:$A$405,0),"")))</f>
        <v/>
      </c>
      <c r="AO2725" s="16">
        <f>IF(OR($B2725="",$C2725="",$D2725=""),"",DATE($C2725+2018,$D2725,1))</f>
        <v/>
      </c>
    </row>
    <row r="2726">
      <c r="A2726" s="11" t="n"/>
      <c r="B2726" s="12" t="n"/>
      <c r="C2726" s="12" t="n"/>
      <c r="D2726" s="12" t="n"/>
      <c r="E2726" s="13" t="n"/>
      <c r="F2726" s="12" t="n"/>
      <c r="G2726" s="13" t="n"/>
      <c r="H2726" s="12" t="n"/>
      <c r="I2726" s="12" t="n"/>
      <c r="J2726" s="12" t="n"/>
      <c r="K2726" s="12" t="n"/>
      <c r="L2726" s="11" t="n"/>
      <c r="M2726" s="11" t="n"/>
      <c r="N2726" s="11" t="n"/>
      <c r="O2726" s="11" t="n"/>
      <c r="P2726" s="12" t="n"/>
      <c r="Q2726" s="11" t="n"/>
      <c r="R2726" s="12" t="n"/>
      <c r="S2726" s="11" t="n"/>
      <c r="T2726" s="12" t="n"/>
      <c r="U2726" s="12" t="n"/>
      <c r="V2726" s="14">
        <f>IF($AN2726="",IF($B2726="","",$H2726),IF(INDEX(職員マスタ!$B$6:$B$405,$AN2726)="",$H2726,INDEX(職員マスタ!$B$6:$B$405,$AN2726)))</f>
        <v/>
      </c>
      <c r="W2726" s="14">
        <f>IF($AN2726="",IF($B2726="","",$R2726),IF(INDEX(職員マスタ!$C$6:$C$405,$AN2726)="",$R2726,INDEX(職員マスタ!$C$6:$C$405,$AN2726)))</f>
        <v/>
      </c>
      <c r="X2726" s="14">
        <f>IF($AO2726="","","R"&amp;$C2726&amp;"."&amp;$D2726)</f>
        <v/>
      </c>
      <c r="Y2726" s="15">
        <f>IF($AN2726="","",IF(INDEX(職員マスタ!$K$6:$K$405,$AN2726)="","",INDEX(職員マスタ!$K$6:$K$405,$AN2726)))</f>
        <v/>
      </c>
      <c r="Z2726" s="14">
        <f>IF(OR($E2726="",$Y2726=""),"",IF($E2726&gt;=$Y2726,"×",IF($E2726&gt;=$Y2726*設定!$C$5,"△","○")))</f>
        <v/>
      </c>
      <c r="AA2726" s="15">
        <f>IF($Z2726="","",IF($Z2726="×",0,IF($Z2726="○",ROUNDDOWN($E2726*設定!$C$4,0),ROUNDDOWN($E2726*ROUND((9*$Y2726-9*$E2726)/(10*$E2726),4),0))))</f>
        <v/>
      </c>
      <c r="AB2726" s="13" t="n"/>
      <c r="AC2726" s="15">
        <f>IF($B2726="","",IF($AB2726&lt;&gt;"",$AB2726,IF($AA2726="","",IF($AA2726&lt;=設定!$C$3,0,$AA2726))))</f>
        <v/>
      </c>
      <c r="AD2726" s="14">
        <f>IF($B2726="","",IF(AND($AE2726&lt;&gt;"",$AG2726="",$AJ2726=""),"保留中",IF($AJ2726&lt;&gt;"",IF(N($AC2726)&gt;0,"支給済","不支給"),IF($AC2726="","要確認",IF($AC2726=0,"不支給","未処理")))))</f>
        <v/>
      </c>
      <c r="AE2726" s="12" t="n"/>
      <c r="AF2726" s="11" t="n"/>
      <c r="AG2726" s="11" t="n"/>
      <c r="AH2726" s="11" t="n"/>
      <c r="AI2726" s="14">
        <f>IF(AND($AD2726="保留中",$AF2726&lt;&gt;""),TODAY()-$AF2726,"")</f>
        <v/>
      </c>
      <c r="AJ2726" s="12" t="n"/>
      <c r="AK2726" s="14">
        <f>IF($B2726="","",IF($AO2726="","対象年月が未入力／","")&amp;IF($B2726="","",IF($AN2726="","職員マスタに未登録の職員番号／",IF($Y2726="","標準報酬月額が未登録／","")&amp;IF(AND($AO2726&lt;&gt;"",OR(AND(INDEX(職員マスタ!$G$6:$G$405,$AN2726)&lt;&gt;"",INDEX(職員マスタ!$G$6:$G$405,$AN2726)&gt;EOMONTH($AO2726,0)),AND(INDEX(職員マスタ!$H$6:$H$405,$AN2726)&lt;&gt;"",INDEX(職員マスタ!$H$6:$H$405,$AN2726)&lt;$AO2726))),"対象月が時短期間外／","")&amp;IF(AND(INDEX(職員マスタ!$F$6:$F$405,$AN2726)&lt;&gt;"",$AO2726&lt;&gt;"",INDEX(職員マスタ!$F$6:$F$405,$AN2726)&lt;$AO2726),"対象月に子が2歳到達済／","")&amp;IF(AND($H2726&lt;&gt;"",INDEX(職員マスタ!$B$6:$B$405,$AN2726)&lt;&gt;"",SUBSTITUTE(SUBSTITUTE($H2726," ","")," ","")&lt;&gt;SUBSTITUTE(SUBSTITUTE(INDEX(職員マスタ!$B$6:$B$405,$AN2726)," ","")," ","")),"氏名がマスタと相違／","")&amp;IF(AND($Q2726&lt;&gt;"",INDEX(職員マスタ!$E$6:$E$405,$AN2726)&lt;&gt;"",$Q2726&lt;&gt;INDEX(職員マスタ!$E$6:$E$405,$AN2726)),"子の生年月日がマスタと相違／","")&amp;IF(AND($L2726&lt;&gt;"",INDEX(職員マスタ!$G$6:$G$405,$AN2726)&lt;&gt;"",$L2726&lt;&gt;INDEX(職員マスタ!$G$6:$G$405,$AN2726)),"時短開始日がマスタと相違／","")&amp;IF(AND($M2726&lt;&gt;"",INDEX(職員マスタ!$H$6:$H$405,$AN2726)&lt;&gt;"",$M2726&lt;&gt;INDEX(職員マスタ!$H$6:$H$405,$AN2726)),"時短終了日がマスタと相違／","")))&amp;IF(AND($B2726&lt;&gt;"",$E2726=""),"報酬額が未入力／","")&amp;IF(N($U2726)&gt;0,"申請書に入力エラーが残っています／","")&amp;IF(AND($B2726&lt;&gt;"",$AO2726&lt;&gt;""),IF(COUNTIFS($B$6:$B$3005,$B2726,$C$6:$C$3005,$C2726,$D$6:$D$3005,$D2726)&gt;1,"同じ月の請求が重複しています／",""),"")&amp;IF(AND(N($E2726)&gt;0,$Z2726&lt;&gt;"",$Z2726&lt;&gt;"×",$AC2726=0,$AB2726=""),"計算額が下限以下のため不支給／",""))</f>
        <v/>
      </c>
      <c r="AL2726" s="12" t="n"/>
      <c r="AM2726" s="14">
        <f>IF($AD2726="保留中",COUNTIF($AD$6:$AD2726,"保留中"),"")</f>
        <v/>
      </c>
      <c r="AN2726" s="14">
        <f>IF($AO2726="","",IF(SUMPRODUCT(MAX((職員マスタ!$A$6:$A$405=$B2726)*(((職員マスタ!$G$6:$G$405="")+(職員マスタ!$G$6:$G$405&lt;=EOMONTH($AO2726,0)))&gt;0)*(((職員マスタ!$H$6:$H$405="")+(職員マスタ!$H$6:$H$405&gt;=$AO2726))&gt;0)*(ROW(職員マスタ!$A$6:$A$405)-5)))&gt;0,SUMPRODUCT(MAX((職員マスタ!$A$6:$A$405=$B2726)*(((職員マスタ!$G$6:$G$405="")+(職員マスタ!$G$6:$G$405&lt;=EOMONTH($AO2726,0)))&gt;0)*(((職員マスタ!$H$6:$H$405="")+(職員マスタ!$H$6:$H$405&gt;=$AO2726))&gt;0)*(ROW(職員マスタ!$A$6:$A$405)-5))),IFERROR(MATCH($B2726,職員マスタ!$A$6:$A$405,0),"")))</f>
        <v/>
      </c>
      <c r="AO2726" s="16">
        <f>IF(OR($B2726="",$C2726="",$D2726=""),"",DATE($C2726+2018,$D2726,1))</f>
        <v/>
      </c>
    </row>
    <row r="2727">
      <c r="A2727" s="11" t="n"/>
      <c r="B2727" s="12" t="n"/>
      <c r="C2727" s="12" t="n"/>
      <c r="D2727" s="12" t="n"/>
      <c r="E2727" s="13" t="n"/>
      <c r="F2727" s="12" t="n"/>
      <c r="G2727" s="13" t="n"/>
      <c r="H2727" s="12" t="n"/>
      <c r="I2727" s="12" t="n"/>
      <c r="J2727" s="12" t="n"/>
      <c r="K2727" s="12" t="n"/>
      <c r="L2727" s="11" t="n"/>
      <c r="M2727" s="11" t="n"/>
      <c r="N2727" s="11" t="n"/>
      <c r="O2727" s="11" t="n"/>
      <c r="P2727" s="12" t="n"/>
      <c r="Q2727" s="11" t="n"/>
      <c r="R2727" s="12" t="n"/>
      <c r="S2727" s="11" t="n"/>
      <c r="T2727" s="12" t="n"/>
      <c r="U2727" s="12" t="n"/>
      <c r="V2727" s="14">
        <f>IF($AN2727="",IF($B2727="","",$H2727),IF(INDEX(職員マスタ!$B$6:$B$405,$AN2727)="",$H2727,INDEX(職員マスタ!$B$6:$B$405,$AN2727)))</f>
        <v/>
      </c>
      <c r="W2727" s="14">
        <f>IF($AN2727="",IF($B2727="","",$R2727),IF(INDEX(職員マスタ!$C$6:$C$405,$AN2727)="",$R2727,INDEX(職員マスタ!$C$6:$C$405,$AN2727)))</f>
        <v/>
      </c>
      <c r="X2727" s="14">
        <f>IF($AO2727="","","R"&amp;$C2727&amp;"."&amp;$D2727)</f>
        <v/>
      </c>
      <c r="Y2727" s="15">
        <f>IF($AN2727="","",IF(INDEX(職員マスタ!$K$6:$K$405,$AN2727)="","",INDEX(職員マスタ!$K$6:$K$405,$AN2727)))</f>
        <v/>
      </c>
      <c r="Z2727" s="14">
        <f>IF(OR($E2727="",$Y2727=""),"",IF($E2727&gt;=$Y2727,"×",IF($E2727&gt;=$Y2727*設定!$C$5,"△","○")))</f>
        <v/>
      </c>
      <c r="AA2727" s="15">
        <f>IF($Z2727="","",IF($Z2727="×",0,IF($Z2727="○",ROUNDDOWN($E2727*設定!$C$4,0),ROUNDDOWN($E2727*ROUND((9*$Y2727-9*$E2727)/(10*$E2727),4),0))))</f>
        <v/>
      </c>
      <c r="AB2727" s="13" t="n"/>
      <c r="AC2727" s="15">
        <f>IF($B2727="","",IF($AB2727&lt;&gt;"",$AB2727,IF($AA2727="","",IF($AA2727&lt;=設定!$C$3,0,$AA2727))))</f>
        <v/>
      </c>
      <c r="AD2727" s="14">
        <f>IF($B2727="","",IF(AND($AE2727&lt;&gt;"",$AG2727="",$AJ2727=""),"保留中",IF($AJ2727&lt;&gt;"",IF(N($AC2727)&gt;0,"支給済","不支給"),IF($AC2727="","要確認",IF($AC2727=0,"不支給","未処理")))))</f>
        <v/>
      </c>
      <c r="AE2727" s="12" t="n"/>
      <c r="AF2727" s="11" t="n"/>
      <c r="AG2727" s="11" t="n"/>
      <c r="AH2727" s="11" t="n"/>
      <c r="AI2727" s="14">
        <f>IF(AND($AD2727="保留中",$AF2727&lt;&gt;""),TODAY()-$AF2727,"")</f>
        <v/>
      </c>
      <c r="AJ2727" s="12" t="n"/>
      <c r="AK2727" s="14">
        <f>IF($B2727="","",IF($AO2727="","対象年月が未入力／","")&amp;IF($B2727="","",IF($AN2727="","職員マスタに未登録の職員番号／",IF($Y2727="","標準報酬月額が未登録／","")&amp;IF(AND($AO2727&lt;&gt;"",OR(AND(INDEX(職員マスタ!$G$6:$G$405,$AN2727)&lt;&gt;"",INDEX(職員マスタ!$G$6:$G$405,$AN2727)&gt;EOMONTH($AO2727,0)),AND(INDEX(職員マスタ!$H$6:$H$405,$AN2727)&lt;&gt;"",INDEX(職員マスタ!$H$6:$H$405,$AN2727)&lt;$AO2727))),"対象月が時短期間外／","")&amp;IF(AND(INDEX(職員マスタ!$F$6:$F$405,$AN2727)&lt;&gt;"",$AO2727&lt;&gt;"",INDEX(職員マスタ!$F$6:$F$405,$AN2727)&lt;$AO2727),"対象月に子が2歳到達済／","")&amp;IF(AND($H2727&lt;&gt;"",INDEX(職員マスタ!$B$6:$B$405,$AN2727)&lt;&gt;"",SUBSTITUTE(SUBSTITUTE($H2727," ","")," ","")&lt;&gt;SUBSTITUTE(SUBSTITUTE(INDEX(職員マスタ!$B$6:$B$405,$AN2727)," ","")," ","")),"氏名がマスタと相違／","")&amp;IF(AND($Q2727&lt;&gt;"",INDEX(職員マスタ!$E$6:$E$405,$AN2727)&lt;&gt;"",$Q2727&lt;&gt;INDEX(職員マスタ!$E$6:$E$405,$AN2727)),"子の生年月日がマスタと相違／","")&amp;IF(AND($L2727&lt;&gt;"",INDEX(職員マスタ!$G$6:$G$405,$AN2727)&lt;&gt;"",$L2727&lt;&gt;INDEX(職員マスタ!$G$6:$G$405,$AN2727)),"時短開始日がマスタと相違／","")&amp;IF(AND($M2727&lt;&gt;"",INDEX(職員マスタ!$H$6:$H$405,$AN2727)&lt;&gt;"",$M2727&lt;&gt;INDEX(職員マスタ!$H$6:$H$405,$AN2727)),"時短終了日がマスタと相違／","")))&amp;IF(AND($B2727&lt;&gt;"",$E2727=""),"報酬額が未入力／","")&amp;IF(N($U2727)&gt;0,"申請書に入力エラーが残っています／","")&amp;IF(AND($B2727&lt;&gt;"",$AO2727&lt;&gt;""),IF(COUNTIFS($B$6:$B$3005,$B2727,$C$6:$C$3005,$C2727,$D$6:$D$3005,$D2727)&gt;1,"同じ月の請求が重複しています／",""),"")&amp;IF(AND(N($E2727)&gt;0,$Z2727&lt;&gt;"",$Z2727&lt;&gt;"×",$AC2727=0,$AB2727=""),"計算額が下限以下のため不支給／",""))</f>
        <v/>
      </c>
      <c r="AL2727" s="12" t="n"/>
      <c r="AM2727" s="14">
        <f>IF($AD2727="保留中",COUNTIF($AD$6:$AD2727,"保留中"),"")</f>
        <v/>
      </c>
      <c r="AN2727" s="14">
        <f>IF($AO2727="","",IF(SUMPRODUCT(MAX((職員マスタ!$A$6:$A$405=$B2727)*(((職員マスタ!$G$6:$G$405="")+(職員マスタ!$G$6:$G$405&lt;=EOMONTH($AO2727,0)))&gt;0)*(((職員マスタ!$H$6:$H$405="")+(職員マスタ!$H$6:$H$405&gt;=$AO2727))&gt;0)*(ROW(職員マスタ!$A$6:$A$405)-5)))&gt;0,SUMPRODUCT(MAX((職員マスタ!$A$6:$A$405=$B2727)*(((職員マスタ!$G$6:$G$405="")+(職員マスタ!$G$6:$G$405&lt;=EOMONTH($AO2727,0)))&gt;0)*(((職員マスタ!$H$6:$H$405="")+(職員マスタ!$H$6:$H$405&gt;=$AO2727))&gt;0)*(ROW(職員マスタ!$A$6:$A$405)-5))),IFERROR(MATCH($B2727,職員マスタ!$A$6:$A$405,0),"")))</f>
        <v/>
      </c>
      <c r="AO2727" s="16">
        <f>IF(OR($B2727="",$C2727="",$D2727=""),"",DATE($C2727+2018,$D2727,1))</f>
        <v/>
      </c>
    </row>
    <row r="2728">
      <c r="A2728" s="11" t="n"/>
      <c r="B2728" s="12" t="n"/>
      <c r="C2728" s="12" t="n"/>
      <c r="D2728" s="12" t="n"/>
      <c r="E2728" s="13" t="n"/>
      <c r="F2728" s="12" t="n"/>
      <c r="G2728" s="13" t="n"/>
      <c r="H2728" s="12" t="n"/>
      <c r="I2728" s="12" t="n"/>
      <c r="J2728" s="12" t="n"/>
      <c r="K2728" s="12" t="n"/>
      <c r="L2728" s="11" t="n"/>
      <c r="M2728" s="11" t="n"/>
      <c r="N2728" s="11" t="n"/>
      <c r="O2728" s="11" t="n"/>
      <c r="P2728" s="12" t="n"/>
      <c r="Q2728" s="11" t="n"/>
      <c r="R2728" s="12" t="n"/>
      <c r="S2728" s="11" t="n"/>
      <c r="T2728" s="12" t="n"/>
      <c r="U2728" s="12" t="n"/>
      <c r="V2728" s="14">
        <f>IF($AN2728="",IF($B2728="","",$H2728),IF(INDEX(職員マスタ!$B$6:$B$405,$AN2728)="",$H2728,INDEX(職員マスタ!$B$6:$B$405,$AN2728)))</f>
        <v/>
      </c>
      <c r="W2728" s="14">
        <f>IF($AN2728="",IF($B2728="","",$R2728),IF(INDEX(職員マスタ!$C$6:$C$405,$AN2728)="",$R2728,INDEX(職員マスタ!$C$6:$C$405,$AN2728)))</f>
        <v/>
      </c>
      <c r="X2728" s="14">
        <f>IF($AO2728="","","R"&amp;$C2728&amp;"."&amp;$D2728)</f>
        <v/>
      </c>
      <c r="Y2728" s="15">
        <f>IF($AN2728="","",IF(INDEX(職員マスタ!$K$6:$K$405,$AN2728)="","",INDEX(職員マスタ!$K$6:$K$405,$AN2728)))</f>
        <v/>
      </c>
      <c r="Z2728" s="14">
        <f>IF(OR($E2728="",$Y2728=""),"",IF($E2728&gt;=$Y2728,"×",IF($E2728&gt;=$Y2728*設定!$C$5,"△","○")))</f>
        <v/>
      </c>
      <c r="AA2728" s="15">
        <f>IF($Z2728="","",IF($Z2728="×",0,IF($Z2728="○",ROUNDDOWN($E2728*設定!$C$4,0),ROUNDDOWN($E2728*ROUND((9*$Y2728-9*$E2728)/(10*$E2728),4),0))))</f>
        <v/>
      </c>
      <c r="AB2728" s="13" t="n"/>
      <c r="AC2728" s="15">
        <f>IF($B2728="","",IF($AB2728&lt;&gt;"",$AB2728,IF($AA2728="","",IF($AA2728&lt;=設定!$C$3,0,$AA2728))))</f>
        <v/>
      </c>
      <c r="AD2728" s="14">
        <f>IF($B2728="","",IF(AND($AE2728&lt;&gt;"",$AG2728="",$AJ2728=""),"保留中",IF($AJ2728&lt;&gt;"",IF(N($AC2728)&gt;0,"支給済","不支給"),IF($AC2728="","要確認",IF($AC2728=0,"不支給","未処理")))))</f>
        <v/>
      </c>
      <c r="AE2728" s="12" t="n"/>
      <c r="AF2728" s="11" t="n"/>
      <c r="AG2728" s="11" t="n"/>
      <c r="AH2728" s="11" t="n"/>
      <c r="AI2728" s="14">
        <f>IF(AND($AD2728="保留中",$AF2728&lt;&gt;""),TODAY()-$AF2728,"")</f>
        <v/>
      </c>
      <c r="AJ2728" s="12" t="n"/>
      <c r="AK2728" s="14">
        <f>IF($B2728="","",IF($AO2728="","対象年月が未入力／","")&amp;IF($B2728="","",IF($AN2728="","職員マスタに未登録の職員番号／",IF($Y2728="","標準報酬月額が未登録／","")&amp;IF(AND($AO2728&lt;&gt;"",OR(AND(INDEX(職員マスタ!$G$6:$G$405,$AN2728)&lt;&gt;"",INDEX(職員マスタ!$G$6:$G$405,$AN2728)&gt;EOMONTH($AO2728,0)),AND(INDEX(職員マスタ!$H$6:$H$405,$AN2728)&lt;&gt;"",INDEX(職員マスタ!$H$6:$H$405,$AN2728)&lt;$AO2728))),"対象月が時短期間外／","")&amp;IF(AND(INDEX(職員マスタ!$F$6:$F$405,$AN2728)&lt;&gt;"",$AO2728&lt;&gt;"",INDEX(職員マスタ!$F$6:$F$405,$AN2728)&lt;$AO2728),"対象月に子が2歳到達済／","")&amp;IF(AND($H2728&lt;&gt;"",INDEX(職員マスタ!$B$6:$B$405,$AN2728)&lt;&gt;"",SUBSTITUTE(SUBSTITUTE($H2728," ","")," ","")&lt;&gt;SUBSTITUTE(SUBSTITUTE(INDEX(職員マスタ!$B$6:$B$405,$AN2728)," ","")," ","")),"氏名がマスタと相違／","")&amp;IF(AND($Q2728&lt;&gt;"",INDEX(職員マスタ!$E$6:$E$405,$AN2728)&lt;&gt;"",$Q2728&lt;&gt;INDEX(職員マスタ!$E$6:$E$405,$AN2728)),"子の生年月日がマスタと相違／","")&amp;IF(AND($L2728&lt;&gt;"",INDEX(職員マスタ!$G$6:$G$405,$AN2728)&lt;&gt;"",$L2728&lt;&gt;INDEX(職員マスタ!$G$6:$G$405,$AN2728)),"時短開始日がマスタと相違／","")&amp;IF(AND($M2728&lt;&gt;"",INDEX(職員マスタ!$H$6:$H$405,$AN2728)&lt;&gt;"",$M2728&lt;&gt;INDEX(職員マスタ!$H$6:$H$405,$AN2728)),"時短終了日がマスタと相違／","")))&amp;IF(AND($B2728&lt;&gt;"",$E2728=""),"報酬額が未入力／","")&amp;IF(N($U2728)&gt;0,"申請書に入力エラーが残っています／","")&amp;IF(AND($B2728&lt;&gt;"",$AO2728&lt;&gt;""),IF(COUNTIFS($B$6:$B$3005,$B2728,$C$6:$C$3005,$C2728,$D$6:$D$3005,$D2728)&gt;1,"同じ月の請求が重複しています／",""),"")&amp;IF(AND(N($E2728)&gt;0,$Z2728&lt;&gt;"",$Z2728&lt;&gt;"×",$AC2728=0,$AB2728=""),"計算額が下限以下のため不支給／",""))</f>
        <v/>
      </c>
      <c r="AL2728" s="12" t="n"/>
      <c r="AM2728" s="14">
        <f>IF($AD2728="保留中",COUNTIF($AD$6:$AD2728,"保留中"),"")</f>
        <v/>
      </c>
      <c r="AN2728" s="14">
        <f>IF($AO2728="","",IF(SUMPRODUCT(MAX((職員マスタ!$A$6:$A$405=$B2728)*(((職員マスタ!$G$6:$G$405="")+(職員マスタ!$G$6:$G$405&lt;=EOMONTH($AO2728,0)))&gt;0)*(((職員マスタ!$H$6:$H$405="")+(職員マスタ!$H$6:$H$405&gt;=$AO2728))&gt;0)*(ROW(職員マスタ!$A$6:$A$405)-5)))&gt;0,SUMPRODUCT(MAX((職員マスタ!$A$6:$A$405=$B2728)*(((職員マスタ!$G$6:$G$405="")+(職員マスタ!$G$6:$G$405&lt;=EOMONTH($AO2728,0)))&gt;0)*(((職員マスタ!$H$6:$H$405="")+(職員マスタ!$H$6:$H$405&gt;=$AO2728))&gt;0)*(ROW(職員マスタ!$A$6:$A$405)-5))),IFERROR(MATCH($B2728,職員マスタ!$A$6:$A$405,0),"")))</f>
        <v/>
      </c>
      <c r="AO2728" s="16">
        <f>IF(OR($B2728="",$C2728="",$D2728=""),"",DATE($C2728+2018,$D2728,1))</f>
        <v/>
      </c>
    </row>
    <row r="2729">
      <c r="A2729" s="11" t="n"/>
      <c r="B2729" s="12" t="n"/>
      <c r="C2729" s="12" t="n"/>
      <c r="D2729" s="12" t="n"/>
      <c r="E2729" s="13" t="n"/>
      <c r="F2729" s="12" t="n"/>
      <c r="G2729" s="13" t="n"/>
      <c r="H2729" s="12" t="n"/>
      <c r="I2729" s="12" t="n"/>
      <c r="J2729" s="12" t="n"/>
      <c r="K2729" s="12" t="n"/>
      <c r="L2729" s="11" t="n"/>
      <c r="M2729" s="11" t="n"/>
      <c r="N2729" s="11" t="n"/>
      <c r="O2729" s="11" t="n"/>
      <c r="P2729" s="12" t="n"/>
      <c r="Q2729" s="11" t="n"/>
      <c r="R2729" s="12" t="n"/>
      <c r="S2729" s="11" t="n"/>
      <c r="T2729" s="12" t="n"/>
      <c r="U2729" s="12" t="n"/>
      <c r="V2729" s="14">
        <f>IF($AN2729="",IF($B2729="","",$H2729),IF(INDEX(職員マスタ!$B$6:$B$405,$AN2729)="",$H2729,INDEX(職員マスタ!$B$6:$B$405,$AN2729)))</f>
        <v/>
      </c>
      <c r="W2729" s="14">
        <f>IF($AN2729="",IF($B2729="","",$R2729),IF(INDEX(職員マスタ!$C$6:$C$405,$AN2729)="",$R2729,INDEX(職員マスタ!$C$6:$C$405,$AN2729)))</f>
        <v/>
      </c>
      <c r="X2729" s="14">
        <f>IF($AO2729="","","R"&amp;$C2729&amp;"."&amp;$D2729)</f>
        <v/>
      </c>
      <c r="Y2729" s="15">
        <f>IF($AN2729="","",IF(INDEX(職員マスタ!$K$6:$K$405,$AN2729)="","",INDEX(職員マスタ!$K$6:$K$405,$AN2729)))</f>
        <v/>
      </c>
      <c r="Z2729" s="14">
        <f>IF(OR($E2729="",$Y2729=""),"",IF($E2729&gt;=$Y2729,"×",IF($E2729&gt;=$Y2729*設定!$C$5,"△","○")))</f>
        <v/>
      </c>
      <c r="AA2729" s="15">
        <f>IF($Z2729="","",IF($Z2729="×",0,IF($Z2729="○",ROUNDDOWN($E2729*設定!$C$4,0),ROUNDDOWN($E2729*ROUND((9*$Y2729-9*$E2729)/(10*$E2729),4),0))))</f>
        <v/>
      </c>
      <c r="AB2729" s="13" t="n"/>
      <c r="AC2729" s="15">
        <f>IF($B2729="","",IF($AB2729&lt;&gt;"",$AB2729,IF($AA2729="","",IF($AA2729&lt;=設定!$C$3,0,$AA2729))))</f>
        <v/>
      </c>
      <c r="AD2729" s="14">
        <f>IF($B2729="","",IF(AND($AE2729&lt;&gt;"",$AG2729="",$AJ2729=""),"保留中",IF($AJ2729&lt;&gt;"",IF(N($AC2729)&gt;0,"支給済","不支給"),IF($AC2729="","要確認",IF($AC2729=0,"不支給","未処理")))))</f>
        <v/>
      </c>
      <c r="AE2729" s="12" t="n"/>
      <c r="AF2729" s="11" t="n"/>
      <c r="AG2729" s="11" t="n"/>
      <c r="AH2729" s="11" t="n"/>
      <c r="AI2729" s="14">
        <f>IF(AND($AD2729="保留中",$AF2729&lt;&gt;""),TODAY()-$AF2729,"")</f>
        <v/>
      </c>
      <c r="AJ2729" s="12" t="n"/>
      <c r="AK2729" s="14">
        <f>IF($B2729="","",IF($AO2729="","対象年月が未入力／","")&amp;IF($B2729="","",IF($AN2729="","職員マスタに未登録の職員番号／",IF($Y2729="","標準報酬月額が未登録／","")&amp;IF(AND($AO2729&lt;&gt;"",OR(AND(INDEX(職員マスタ!$G$6:$G$405,$AN2729)&lt;&gt;"",INDEX(職員マスタ!$G$6:$G$405,$AN2729)&gt;EOMONTH($AO2729,0)),AND(INDEX(職員マスタ!$H$6:$H$405,$AN2729)&lt;&gt;"",INDEX(職員マスタ!$H$6:$H$405,$AN2729)&lt;$AO2729))),"対象月が時短期間外／","")&amp;IF(AND(INDEX(職員マスタ!$F$6:$F$405,$AN2729)&lt;&gt;"",$AO2729&lt;&gt;"",INDEX(職員マスタ!$F$6:$F$405,$AN2729)&lt;$AO2729),"対象月に子が2歳到達済／","")&amp;IF(AND($H2729&lt;&gt;"",INDEX(職員マスタ!$B$6:$B$405,$AN2729)&lt;&gt;"",SUBSTITUTE(SUBSTITUTE($H2729," ","")," ","")&lt;&gt;SUBSTITUTE(SUBSTITUTE(INDEX(職員マスタ!$B$6:$B$405,$AN2729)," ","")," ","")),"氏名がマスタと相違／","")&amp;IF(AND($Q2729&lt;&gt;"",INDEX(職員マスタ!$E$6:$E$405,$AN2729)&lt;&gt;"",$Q2729&lt;&gt;INDEX(職員マスタ!$E$6:$E$405,$AN2729)),"子の生年月日がマスタと相違／","")&amp;IF(AND($L2729&lt;&gt;"",INDEX(職員マスタ!$G$6:$G$405,$AN2729)&lt;&gt;"",$L2729&lt;&gt;INDEX(職員マスタ!$G$6:$G$405,$AN2729)),"時短開始日がマスタと相違／","")&amp;IF(AND($M2729&lt;&gt;"",INDEX(職員マスタ!$H$6:$H$405,$AN2729)&lt;&gt;"",$M2729&lt;&gt;INDEX(職員マスタ!$H$6:$H$405,$AN2729)),"時短終了日がマスタと相違／","")))&amp;IF(AND($B2729&lt;&gt;"",$E2729=""),"報酬額が未入力／","")&amp;IF(N($U2729)&gt;0,"申請書に入力エラーが残っています／","")&amp;IF(AND($B2729&lt;&gt;"",$AO2729&lt;&gt;""),IF(COUNTIFS($B$6:$B$3005,$B2729,$C$6:$C$3005,$C2729,$D$6:$D$3005,$D2729)&gt;1,"同じ月の請求が重複しています／",""),"")&amp;IF(AND(N($E2729)&gt;0,$Z2729&lt;&gt;"",$Z2729&lt;&gt;"×",$AC2729=0,$AB2729=""),"計算額が下限以下のため不支給／",""))</f>
        <v/>
      </c>
      <c r="AL2729" s="12" t="n"/>
      <c r="AM2729" s="14">
        <f>IF($AD2729="保留中",COUNTIF($AD$6:$AD2729,"保留中"),"")</f>
        <v/>
      </c>
      <c r="AN2729" s="14">
        <f>IF($AO2729="","",IF(SUMPRODUCT(MAX((職員マスタ!$A$6:$A$405=$B2729)*(((職員マスタ!$G$6:$G$405="")+(職員マスタ!$G$6:$G$405&lt;=EOMONTH($AO2729,0)))&gt;0)*(((職員マスタ!$H$6:$H$405="")+(職員マスタ!$H$6:$H$405&gt;=$AO2729))&gt;0)*(ROW(職員マスタ!$A$6:$A$405)-5)))&gt;0,SUMPRODUCT(MAX((職員マスタ!$A$6:$A$405=$B2729)*(((職員マスタ!$G$6:$G$405="")+(職員マスタ!$G$6:$G$405&lt;=EOMONTH($AO2729,0)))&gt;0)*(((職員マスタ!$H$6:$H$405="")+(職員マスタ!$H$6:$H$405&gt;=$AO2729))&gt;0)*(ROW(職員マスタ!$A$6:$A$405)-5))),IFERROR(MATCH($B2729,職員マスタ!$A$6:$A$405,0),"")))</f>
        <v/>
      </c>
      <c r="AO2729" s="16">
        <f>IF(OR($B2729="",$C2729="",$D2729=""),"",DATE($C2729+2018,$D2729,1))</f>
        <v/>
      </c>
    </row>
    <row r="2730">
      <c r="A2730" s="11" t="n"/>
      <c r="B2730" s="12" t="n"/>
      <c r="C2730" s="12" t="n"/>
      <c r="D2730" s="12" t="n"/>
      <c r="E2730" s="13" t="n"/>
      <c r="F2730" s="12" t="n"/>
      <c r="G2730" s="13" t="n"/>
      <c r="H2730" s="12" t="n"/>
      <c r="I2730" s="12" t="n"/>
      <c r="J2730" s="12" t="n"/>
      <c r="K2730" s="12" t="n"/>
      <c r="L2730" s="11" t="n"/>
      <c r="M2730" s="11" t="n"/>
      <c r="N2730" s="11" t="n"/>
      <c r="O2730" s="11" t="n"/>
      <c r="P2730" s="12" t="n"/>
      <c r="Q2730" s="11" t="n"/>
      <c r="R2730" s="12" t="n"/>
      <c r="S2730" s="11" t="n"/>
      <c r="T2730" s="12" t="n"/>
      <c r="U2730" s="12" t="n"/>
      <c r="V2730" s="14">
        <f>IF($AN2730="",IF($B2730="","",$H2730),IF(INDEX(職員マスタ!$B$6:$B$405,$AN2730)="",$H2730,INDEX(職員マスタ!$B$6:$B$405,$AN2730)))</f>
        <v/>
      </c>
      <c r="W2730" s="14">
        <f>IF($AN2730="",IF($B2730="","",$R2730),IF(INDEX(職員マスタ!$C$6:$C$405,$AN2730)="",$R2730,INDEX(職員マスタ!$C$6:$C$405,$AN2730)))</f>
        <v/>
      </c>
      <c r="X2730" s="14">
        <f>IF($AO2730="","","R"&amp;$C2730&amp;"."&amp;$D2730)</f>
        <v/>
      </c>
      <c r="Y2730" s="15">
        <f>IF($AN2730="","",IF(INDEX(職員マスタ!$K$6:$K$405,$AN2730)="","",INDEX(職員マスタ!$K$6:$K$405,$AN2730)))</f>
        <v/>
      </c>
      <c r="Z2730" s="14">
        <f>IF(OR($E2730="",$Y2730=""),"",IF($E2730&gt;=$Y2730,"×",IF($E2730&gt;=$Y2730*設定!$C$5,"△","○")))</f>
        <v/>
      </c>
      <c r="AA2730" s="15">
        <f>IF($Z2730="","",IF($Z2730="×",0,IF($Z2730="○",ROUNDDOWN($E2730*設定!$C$4,0),ROUNDDOWN($E2730*ROUND((9*$Y2730-9*$E2730)/(10*$E2730),4),0))))</f>
        <v/>
      </c>
      <c r="AB2730" s="13" t="n"/>
      <c r="AC2730" s="15">
        <f>IF($B2730="","",IF($AB2730&lt;&gt;"",$AB2730,IF($AA2730="","",IF($AA2730&lt;=設定!$C$3,0,$AA2730))))</f>
        <v/>
      </c>
      <c r="AD2730" s="14">
        <f>IF($B2730="","",IF(AND($AE2730&lt;&gt;"",$AG2730="",$AJ2730=""),"保留中",IF($AJ2730&lt;&gt;"",IF(N($AC2730)&gt;0,"支給済","不支給"),IF($AC2730="","要確認",IF($AC2730=0,"不支給","未処理")))))</f>
        <v/>
      </c>
      <c r="AE2730" s="12" t="n"/>
      <c r="AF2730" s="11" t="n"/>
      <c r="AG2730" s="11" t="n"/>
      <c r="AH2730" s="11" t="n"/>
      <c r="AI2730" s="14">
        <f>IF(AND($AD2730="保留中",$AF2730&lt;&gt;""),TODAY()-$AF2730,"")</f>
        <v/>
      </c>
      <c r="AJ2730" s="12" t="n"/>
      <c r="AK2730" s="14">
        <f>IF($B2730="","",IF($AO2730="","対象年月が未入力／","")&amp;IF($B2730="","",IF($AN2730="","職員マスタに未登録の職員番号／",IF($Y2730="","標準報酬月額が未登録／","")&amp;IF(AND($AO2730&lt;&gt;"",OR(AND(INDEX(職員マスタ!$G$6:$G$405,$AN2730)&lt;&gt;"",INDEX(職員マスタ!$G$6:$G$405,$AN2730)&gt;EOMONTH($AO2730,0)),AND(INDEX(職員マスタ!$H$6:$H$405,$AN2730)&lt;&gt;"",INDEX(職員マスタ!$H$6:$H$405,$AN2730)&lt;$AO2730))),"対象月が時短期間外／","")&amp;IF(AND(INDEX(職員マスタ!$F$6:$F$405,$AN2730)&lt;&gt;"",$AO2730&lt;&gt;"",INDEX(職員マスタ!$F$6:$F$405,$AN2730)&lt;$AO2730),"対象月に子が2歳到達済／","")&amp;IF(AND($H2730&lt;&gt;"",INDEX(職員マスタ!$B$6:$B$405,$AN2730)&lt;&gt;"",SUBSTITUTE(SUBSTITUTE($H2730," ","")," ","")&lt;&gt;SUBSTITUTE(SUBSTITUTE(INDEX(職員マスタ!$B$6:$B$405,$AN2730)," ","")," ","")),"氏名がマスタと相違／","")&amp;IF(AND($Q2730&lt;&gt;"",INDEX(職員マスタ!$E$6:$E$405,$AN2730)&lt;&gt;"",$Q2730&lt;&gt;INDEX(職員マスタ!$E$6:$E$405,$AN2730)),"子の生年月日がマスタと相違／","")&amp;IF(AND($L2730&lt;&gt;"",INDEX(職員マスタ!$G$6:$G$405,$AN2730)&lt;&gt;"",$L2730&lt;&gt;INDEX(職員マスタ!$G$6:$G$405,$AN2730)),"時短開始日がマスタと相違／","")&amp;IF(AND($M2730&lt;&gt;"",INDEX(職員マスタ!$H$6:$H$405,$AN2730)&lt;&gt;"",$M2730&lt;&gt;INDEX(職員マスタ!$H$6:$H$405,$AN2730)),"時短終了日がマスタと相違／","")))&amp;IF(AND($B2730&lt;&gt;"",$E2730=""),"報酬額が未入力／","")&amp;IF(N($U2730)&gt;0,"申請書に入力エラーが残っています／","")&amp;IF(AND($B2730&lt;&gt;"",$AO2730&lt;&gt;""),IF(COUNTIFS($B$6:$B$3005,$B2730,$C$6:$C$3005,$C2730,$D$6:$D$3005,$D2730)&gt;1,"同じ月の請求が重複しています／",""),"")&amp;IF(AND(N($E2730)&gt;0,$Z2730&lt;&gt;"",$Z2730&lt;&gt;"×",$AC2730=0,$AB2730=""),"計算額が下限以下のため不支給／",""))</f>
        <v/>
      </c>
      <c r="AL2730" s="12" t="n"/>
      <c r="AM2730" s="14">
        <f>IF($AD2730="保留中",COUNTIF($AD$6:$AD2730,"保留中"),"")</f>
        <v/>
      </c>
      <c r="AN2730" s="14">
        <f>IF($AO2730="","",IF(SUMPRODUCT(MAX((職員マスタ!$A$6:$A$405=$B2730)*(((職員マスタ!$G$6:$G$405="")+(職員マスタ!$G$6:$G$405&lt;=EOMONTH($AO2730,0)))&gt;0)*(((職員マスタ!$H$6:$H$405="")+(職員マスタ!$H$6:$H$405&gt;=$AO2730))&gt;0)*(ROW(職員マスタ!$A$6:$A$405)-5)))&gt;0,SUMPRODUCT(MAX((職員マスタ!$A$6:$A$405=$B2730)*(((職員マスタ!$G$6:$G$405="")+(職員マスタ!$G$6:$G$405&lt;=EOMONTH($AO2730,0)))&gt;0)*(((職員マスタ!$H$6:$H$405="")+(職員マスタ!$H$6:$H$405&gt;=$AO2730))&gt;0)*(ROW(職員マスタ!$A$6:$A$405)-5))),IFERROR(MATCH($B2730,職員マスタ!$A$6:$A$405,0),"")))</f>
        <v/>
      </c>
      <c r="AO2730" s="16">
        <f>IF(OR($B2730="",$C2730="",$D2730=""),"",DATE($C2730+2018,$D2730,1))</f>
        <v/>
      </c>
    </row>
    <row r="2731">
      <c r="A2731" s="11" t="n"/>
      <c r="B2731" s="12" t="n"/>
      <c r="C2731" s="12" t="n"/>
      <c r="D2731" s="12" t="n"/>
      <c r="E2731" s="13" t="n"/>
      <c r="F2731" s="12" t="n"/>
      <c r="G2731" s="13" t="n"/>
      <c r="H2731" s="12" t="n"/>
      <c r="I2731" s="12" t="n"/>
      <c r="J2731" s="12" t="n"/>
      <c r="K2731" s="12" t="n"/>
      <c r="L2731" s="11" t="n"/>
      <c r="M2731" s="11" t="n"/>
      <c r="N2731" s="11" t="n"/>
      <c r="O2731" s="11" t="n"/>
      <c r="P2731" s="12" t="n"/>
      <c r="Q2731" s="11" t="n"/>
      <c r="R2731" s="12" t="n"/>
      <c r="S2731" s="11" t="n"/>
      <c r="T2731" s="12" t="n"/>
      <c r="U2731" s="12" t="n"/>
      <c r="V2731" s="14">
        <f>IF($AN2731="",IF($B2731="","",$H2731),IF(INDEX(職員マスタ!$B$6:$B$405,$AN2731)="",$H2731,INDEX(職員マスタ!$B$6:$B$405,$AN2731)))</f>
        <v/>
      </c>
      <c r="W2731" s="14">
        <f>IF($AN2731="",IF($B2731="","",$R2731),IF(INDEX(職員マスタ!$C$6:$C$405,$AN2731)="",$R2731,INDEX(職員マスタ!$C$6:$C$405,$AN2731)))</f>
        <v/>
      </c>
      <c r="X2731" s="14">
        <f>IF($AO2731="","","R"&amp;$C2731&amp;"."&amp;$D2731)</f>
        <v/>
      </c>
      <c r="Y2731" s="15">
        <f>IF($AN2731="","",IF(INDEX(職員マスタ!$K$6:$K$405,$AN2731)="","",INDEX(職員マスタ!$K$6:$K$405,$AN2731)))</f>
        <v/>
      </c>
      <c r="Z2731" s="14">
        <f>IF(OR($E2731="",$Y2731=""),"",IF($E2731&gt;=$Y2731,"×",IF($E2731&gt;=$Y2731*設定!$C$5,"△","○")))</f>
        <v/>
      </c>
      <c r="AA2731" s="15">
        <f>IF($Z2731="","",IF($Z2731="×",0,IF($Z2731="○",ROUNDDOWN($E2731*設定!$C$4,0),ROUNDDOWN($E2731*ROUND((9*$Y2731-9*$E2731)/(10*$E2731),4),0))))</f>
        <v/>
      </c>
      <c r="AB2731" s="13" t="n"/>
      <c r="AC2731" s="15">
        <f>IF($B2731="","",IF($AB2731&lt;&gt;"",$AB2731,IF($AA2731="","",IF($AA2731&lt;=設定!$C$3,0,$AA2731))))</f>
        <v/>
      </c>
      <c r="AD2731" s="14">
        <f>IF($B2731="","",IF(AND($AE2731&lt;&gt;"",$AG2731="",$AJ2731=""),"保留中",IF($AJ2731&lt;&gt;"",IF(N($AC2731)&gt;0,"支給済","不支給"),IF($AC2731="","要確認",IF($AC2731=0,"不支給","未処理")))))</f>
        <v/>
      </c>
      <c r="AE2731" s="12" t="n"/>
      <c r="AF2731" s="11" t="n"/>
      <c r="AG2731" s="11" t="n"/>
      <c r="AH2731" s="11" t="n"/>
      <c r="AI2731" s="14">
        <f>IF(AND($AD2731="保留中",$AF2731&lt;&gt;""),TODAY()-$AF2731,"")</f>
        <v/>
      </c>
      <c r="AJ2731" s="12" t="n"/>
      <c r="AK2731" s="14">
        <f>IF($B2731="","",IF($AO2731="","対象年月が未入力／","")&amp;IF($B2731="","",IF($AN2731="","職員マスタに未登録の職員番号／",IF($Y2731="","標準報酬月額が未登録／","")&amp;IF(AND($AO2731&lt;&gt;"",OR(AND(INDEX(職員マスタ!$G$6:$G$405,$AN2731)&lt;&gt;"",INDEX(職員マスタ!$G$6:$G$405,$AN2731)&gt;EOMONTH($AO2731,0)),AND(INDEX(職員マスタ!$H$6:$H$405,$AN2731)&lt;&gt;"",INDEX(職員マスタ!$H$6:$H$405,$AN2731)&lt;$AO2731))),"対象月が時短期間外／","")&amp;IF(AND(INDEX(職員マスタ!$F$6:$F$405,$AN2731)&lt;&gt;"",$AO2731&lt;&gt;"",INDEX(職員マスタ!$F$6:$F$405,$AN2731)&lt;$AO2731),"対象月に子が2歳到達済／","")&amp;IF(AND($H2731&lt;&gt;"",INDEX(職員マスタ!$B$6:$B$405,$AN2731)&lt;&gt;"",SUBSTITUTE(SUBSTITUTE($H2731," ","")," ","")&lt;&gt;SUBSTITUTE(SUBSTITUTE(INDEX(職員マスタ!$B$6:$B$405,$AN2731)," ","")," ","")),"氏名がマスタと相違／","")&amp;IF(AND($Q2731&lt;&gt;"",INDEX(職員マスタ!$E$6:$E$405,$AN2731)&lt;&gt;"",$Q2731&lt;&gt;INDEX(職員マスタ!$E$6:$E$405,$AN2731)),"子の生年月日がマスタと相違／","")&amp;IF(AND($L2731&lt;&gt;"",INDEX(職員マスタ!$G$6:$G$405,$AN2731)&lt;&gt;"",$L2731&lt;&gt;INDEX(職員マスタ!$G$6:$G$405,$AN2731)),"時短開始日がマスタと相違／","")&amp;IF(AND($M2731&lt;&gt;"",INDEX(職員マスタ!$H$6:$H$405,$AN2731)&lt;&gt;"",$M2731&lt;&gt;INDEX(職員マスタ!$H$6:$H$405,$AN2731)),"時短終了日がマスタと相違／","")))&amp;IF(AND($B2731&lt;&gt;"",$E2731=""),"報酬額が未入力／","")&amp;IF(N($U2731)&gt;0,"申請書に入力エラーが残っています／","")&amp;IF(AND($B2731&lt;&gt;"",$AO2731&lt;&gt;""),IF(COUNTIFS($B$6:$B$3005,$B2731,$C$6:$C$3005,$C2731,$D$6:$D$3005,$D2731)&gt;1,"同じ月の請求が重複しています／",""),"")&amp;IF(AND(N($E2731)&gt;0,$Z2731&lt;&gt;"",$Z2731&lt;&gt;"×",$AC2731=0,$AB2731=""),"計算額が下限以下のため不支給／",""))</f>
        <v/>
      </c>
      <c r="AL2731" s="12" t="n"/>
      <c r="AM2731" s="14">
        <f>IF($AD2731="保留中",COUNTIF($AD$6:$AD2731,"保留中"),"")</f>
        <v/>
      </c>
      <c r="AN2731" s="14">
        <f>IF($AO2731="","",IF(SUMPRODUCT(MAX((職員マスタ!$A$6:$A$405=$B2731)*(((職員マスタ!$G$6:$G$405="")+(職員マスタ!$G$6:$G$405&lt;=EOMONTH($AO2731,0)))&gt;0)*(((職員マスタ!$H$6:$H$405="")+(職員マスタ!$H$6:$H$405&gt;=$AO2731))&gt;0)*(ROW(職員マスタ!$A$6:$A$405)-5)))&gt;0,SUMPRODUCT(MAX((職員マスタ!$A$6:$A$405=$B2731)*(((職員マスタ!$G$6:$G$405="")+(職員マスタ!$G$6:$G$405&lt;=EOMONTH($AO2731,0)))&gt;0)*(((職員マスタ!$H$6:$H$405="")+(職員マスタ!$H$6:$H$405&gt;=$AO2731))&gt;0)*(ROW(職員マスタ!$A$6:$A$405)-5))),IFERROR(MATCH($B2731,職員マスタ!$A$6:$A$405,0),"")))</f>
        <v/>
      </c>
      <c r="AO2731" s="16">
        <f>IF(OR($B2731="",$C2731="",$D2731=""),"",DATE($C2731+2018,$D2731,1))</f>
        <v/>
      </c>
    </row>
    <row r="2732">
      <c r="A2732" s="11" t="n"/>
      <c r="B2732" s="12" t="n"/>
      <c r="C2732" s="12" t="n"/>
      <c r="D2732" s="12" t="n"/>
      <c r="E2732" s="13" t="n"/>
      <c r="F2732" s="12" t="n"/>
      <c r="G2732" s="13" t="n"/>
      <c r="H2732" s="12" t="n"/>
      <c r="I2732" s="12" t="n"/>
      <c r="J2732" s="12" t="n"/>
      <c r="K2732" s="12" t="n"/>
      <c r="L2732" s="11" t="n"/>
      <c r="M2732" s="11" t="n"/>
      <c r="N2732" s="11" t="n"/>
      <c r="O2732" s="11" t="n"/>
      <c r="P2732" s="12" t="n"/>
      <c r="Q2732" s="11" t="n"/>
      <c r="R2732" s="12" t="n"/>
      <c r="S2732" s="11" t="n"/>
      <c r="T2732" s="12" t="n"/>
      <c r="U2732" s="12" t="n"/>
      <c r="V2732" s="14">
        <f>IF($AN2732="",IF($B2732="","",$H2732),IF(INDEX(職員マスタ!$B$6:$B$405,$AN2732)="",$H2732,INDEX(職員マスタ!$B$6:$B$405,$AN2732)))</f>
        <v/>
      </c>
      <c r="W2732" s="14">
        <f>IF($AN2732="",IF($B2732="","",$R2732),IF(INDEX(職員マスタ!$C$6:$C$405,$AN2732)="",$R2732,INDEX(職員マスタ!$C$6:$C$405,$AN2732)))</f>
        <v/>
      </c>
      <c r="X2732" s="14">
        <f>IF($AO2732="","","R"&amp;$C2732&amp;"."&amp;$D2732)</f>
        <v/>
      </c>
      <c r="Y2732" s="15">
        <f>IF($AN2732="","",IF(INDEX(職員マスタ!$K$6:$K$405,$AN2732)="","",INDEX(職員マスタ!$K$6:$K$405,$AN2732)))</f>
        <v/>
      </c>
      <c r="Z2732" s="14">
        <f>IF(OR($E2732="",$Y2732=""),"",IF($E2732&gt;=$Y2732,"×",IF($E2732&gt;=$Y2732*設定!$C$5,"△","○")))</f>
        <v/>
      </c>
      <c r="AA2732" s="15">
        <f>IF($Z2732="","",IF($Z2732="×",0,IF($Z2732="○",ROUNDDOWN($E2732*設定!$C$4,0),ROUNDDOWN($E2732*ROUND((9*$Y2732-9*$E2732)/(10*$E2732),4),0))))</f>
        <v/>
      </c>
      <c r="AB2732" s="13" t="n"/>
      <c r="AC2732" s="15">
        <f>IF($B2732="","",IF($AB2732&lt;&gt;"",$AB2732,IF($AA2732="","",IF($AA2732&lt;=設定!$C$3,0,$AA2732))))</f>
        <v/>
      </c>
      <c r="AD2732" s="14">
        <f>IF($B2732="","",IF(AND($AE2732&lt;&gt;"",$AG2732="",$AJ2732=""),"保留中",IF($AJ2732&lt;&gt;"",IF(N($AC2732)&gt;0,"支給済","不支給"),IF($AC2732="","要確認",IF($AC2732=0,"不支給","未処理")))))</f>
        <v/>
      </c>
      <c r="AE2732" s="12" t="n"/>
      <c r="AF2732" s="11" t="n"/>
      <c r="AG2732" s="11" t="n"/>
      <c r="AH2732" s="11" t="n"/>
      <c r="AI2732" s="14">
        <f>IF(AND($AD2732="保留中",$AF2732&lt;&gt;""),TODAY()-$AF2732,"")</f>
        <v/>
      </c>
      <c r="AJ2732" s="12" t="n"/>
      <c r="AK2732" s="14">
        <f>IF($B2732="","",IF($AO2732="","対象年月が未入力／","")&amp;IF($B2732="","",IF($AN2732="","職員マスタに未登録の職員番号／",IF($Y2732="","標準報酬月額が未登録／","")&amp;IF(AND($AO2732&lt;&gt;"",OR(AND(INDEX(職員マスタ!$G$6:$G$405,$AN2732)&lt;&gt;"",INDEX(職員マスタ!$G$6:$G$405,$AN2732)&gt;EOMONTH($AO2732,0)),AND(INDEX(職員マスタ!$H$6:$H$405,$AN2732)&lt;&gt;"",INDEX(職員マスタ!$H$6:$H$405,$AN2732)&lt;$AO2732))),"対象月が時短期間外／","")&amp;IF(AND(INDEX(職員マスタ!$F$6:$F$405,$AN2732)&lt;&gt;"",$AO2732&lt;&gt;"",INDEX(職員マスタ!$F$6:$F$405,$AN2732)&lt;$AO2732),"対象月に子が2歳到達済／","")&amp;IF(AND($H2732&lt;&gt;"",INDEX(職員マスタ!$B$6:$B$405,$AN2732)&lt;&gt;"",SUBSTITUTE(SUBSTITUTE($H2732," ","")," ","")&lt;&gt;SUBSTITUTE(SUBSTITUTE(INDEX(職員マスタ!$B$6:$B$405,$AN2732)," ","")," ","")),"氏名がマスタと相違／","")&amp;IF(AND($Q2732&lt;&gt;"",INDEX(職員マスタ!$E$6:$E$405,$AN2732)&lt;&gt;"",$Q2732&lt;&gt;INDEX(職員マスタ!$E$6:$E$405,$AN2732)),"子の生年月日がマスタと相違／","")&amp;IF(AND($L2732&lt;&gt;"",INDEX(職員マスタ!$G$6:$G$405,$AN2732)&lt;&gt;"",$L2732&lt;&gt;INDEX(職員マスタ!$G$6:$G$405,$AN2732)),"時短開始日がマスタと相違／","")&amp;IF(AND($M2732&lt;&gt;"",INDEX(職員マスタ!$H$6:$H$405,$AN2732)&lt;&gt;"",$M2732&lt;&gt;INDEX(職員マスタ!$H$6:$H$405,$AN2732)),"時短終了日がマスタと相違／","")))&amp;IF(AND($B2732&lt;&gt;"",$E2732=""),"報酬額が未入力／","")&amp;IF(N($U2732)&gt;0,"申請書に入力エラーが残っています／","")&amp;IF(AND($B2732&lt;&gt;"",$AO2732&lt;&gt;""),IF(COUNTIFS($B$6:$B$3005,$B2732,$C$6:$C$3005,$C2732,$D$6:$D$3005,$D2732)&gt;1,"同じ月の請求が重複しています／",""),"")&amp;IF(AND(N($E2732)&gt;0,$Z2732&lt;&gt;"",$Z2732&lt;&gt;"×",$AC2732=0,$AB2732=""),"計算額が下限以下のため不支給／",""))</f>
        <v/>
      </c>
      <c r="AL2732" s="12" t="n"/>
      <c r="AM2732" s="14">
        <f>IF($AD2732="保留中",COUNTIF($AD$6:$AD2732,"保留中"),"")</f>
        <v/>
      </c>
      <c r="AN2732" s="14">
        <f>IF($AO2732="","",IF(SUMPRODUCT(MAX((職員マスタ!$A$6:$A$405=$B2732)*(((職員マスタ!$G$6:$G$405="")+(職員マスタ!$G$6:$G$405&lt;=EOMONTH($AO2732,0)))&gt;0)*(((職員マスタ!$H$6:$H$405="")+(職員マスタ!$H$6:$H$405&gt;=$AO2732))&gt;0)*(ROW(職員マスタ!$A$6:$A$405)-5)))&gt;0,SUMPRODUCT(MAX((職員マスタ!$A$6:$A$405=$B2732)*(((職員マスタ!$G$6:$G$405="")+(職員マスタ!$G$6:$G$405&lt;=EOMONTH($AO2732,0)))&gt;0)*(((職員マスタ!$H$6:$H$405="")+(職員マスタ!$H$6:$H$405&gt;=$AO2732))&gt;0)*(ROW(職員マスタ!$A$6:$A$405)-5))),IFERROR(MATCH($B2732,職員マスタ!$A$6:$A$405,0),"")))</f>
        <v/>
      </c>
      <c r="AO2732" s="16">
        <f>IF(OR($B2732="",$C2732="",$D2732=""),"",DATE($C2732+2018,$D2732,1))</f>
        <v/>
      </c>
    </row>
    <row r="2733">
      <c r="A2733" s="11" t="n"/>
      <c r="B2733" s="12" t="n"/>
      <c r="C2733" s="12" t="n"/>
      <c r="D2733" s="12" t="n"/>
      <c r="E2733" s="13" t="n"/>
      <c r="F2733" s="12" t="n"/>
      <c r="G2733" s="13" t="n"/>
      <c r="H2733" s="12" t="n"/>
      <c r="I2733" s="12" t="n"/>
      <c r="J2733" s="12" t="n"/>
      <c r="K2733" s="12" t="n"/>
      <c r="L2733" s="11" t="n"/>
      <c r="M2733" s="11" t="n"/>
      <c r="N2733" s="11" t="n"/>
      <c r="O2733" s="11" t="n"/>
      <c r="P2733" s="12" t="n"/>
      <c r="Q2733" s="11" t="n"/>
      <c r="R2733" s="12" t="n"/>
      <c r="S2733" s="11" t="n"/>
      <c r="T2733" s="12" t="n"/>
      <c r="U2733" s="12" t="n"/>
      <c r="V2733" s="14">
        <f>IF($AN2733="",IF($B2733="","",$H2733),IF(INDEX(職員マスタ!$B$6:$B$405,$AN2733)="",$H2733,INDEX(職員マスタ!$B$6:$B$405,$AN2733)))</f>
        <v/>
      </c>
      <c r="W2733" s="14">
        <f>IF($AN2733="",IF($B2733="","",$R2733),IF(INDEX(職員マスタ!$C$6:$C$405,$AN2733)="",$R2733,INDEX(職員マスタ!$C$6:$C$405,$AN2733)))</f>
        <v/>
      </c>
      <c r="X2733" s="14">
        <f>IF($AO2733="","","R"&amp;$C2733&amp;"."&amp;$D2733)</f>
        <v/>
      </c>
      <c r="Y2733" s="15">
        <f>IF($AN2733="","",IF(INDEX(職員マスタ!$K$6:$K$405,$AN2733)="","",INDEX(職員マスタ!$K$6:$K$405,$AN2733)))</f>
        <v/>
      </c>
      <c r="Z2733" s="14">
        <f>IF(OR($E2733="",$Y2733=""),"",IF($E2733&gt;=$Y2733,"×",IF($E2733&gt;=$Y2733*設定!$C$5,"△","○")))</f>
        <v/>
      </c>
      <c r="AA2733" s="15">
        <f>IF($Z2733="","",IF($Z2733="×",0,IF($Z2733="○",ROUNDDOWN($E2733*設定!$C$4,0),ROUNDDOWN($E2733*ROUND((9*$Y2733-9*$E2733)/(10*$E2733),4),0))))</f>
        <v/>
      </c>
      <c r="AB2733" s="13" t="n"/>
      <c r="AC2733" s="15">
        <f>IF($B2733="","",IF($AB2733&lt;&gt;"",$AB2733,IF($AA2733="","",IF($AA2733&lt;=設定!$C$3,0,$AA2733))))</f>
        <v/>
      </c>
      <c r="AD2733" s="14">
        <f>IF($B2733="","",IF(AND($AE2733&lt;&gt;"",$AG2733="",$AJ2733=""),"保留中",IF($AJ2733&lt;&gt;"",IF(N($AC2733)&gt;0,"支給済","不支給"),IF($AC2733="","要確認",IF($AC2733=0,"不支給","未処理")))))</f>
        <v/>
      </c>
      <c r="AE2733" s="12" t="n"/>
      <c r="AF2733" s="11" t="n"/>
      <c r="AG2733" s="11" t="n"/>
      <c r="AH2733" s="11" t="n"/>
      <c r="AI2733" s="14">
        <f>IF(AND($AD2733="保留中",$AF2733&lt;&gt;""),TODAY()-$AF2733,"")</f>
        <v/>
      </c>
      <c r="AJ2733" s="12" t="n"/>
      <c r="AK2733" s="14">
        <f>IF($B2733="","",IF($AO2733="","対象年月が未入力／","")&amp;IF($B2733="","",IF($AN2733="","職員マスタに未登録の職員番号／",IF($Y2733="","標準報酬月額が未登録／","")&amp;IF(AND($AO2733&lt;&gt;"",OR(AND(INDEX(職員マスタ!$G$6:$G$405,$AN2733)&lt;&gt;"",INDEX(職員マスタ!$G$6:$G$405,$AN2733)&gt;EOMONTH($AO2733,0)),AND(INDEX(職員マスタ!$H$6:$H$405,$AN2733)&lt;&gt;"",INDEX(職員マスタ!$H$6:$H$405,$AN2733)&lt;$AO2733))),"対象月が時短期間外／","")&amp;IF(AND(INDEX(職員マスタ!$F$6:$F$405,$AN2733)&lt;&gt;"",$AO2733&lt;&gt;"",INDEX(職員マスタ!$F$6:$F$405,$AN2733)&lt;$AO2733),"対象月に子が2歳到達済／","")&amp;IF(AND($H2733&lt;&gt;"",INDEX(職員マスタ!$B$6:$B$405,$AN2733)&lt;&gt;"",SUBSTITUTE(SUBSTITUTE($H2733," ","")," ","")&lt;&gt;SUBSTITUTE(SUBSTITUTE(INDEX(職員マスタ!$B$6:$B$405,$AN2733)," ","")," ","")),"氏名がマスタと相違／","")&amp;IF(AND($Q2733&lt;&gt;"",INDEX(職員マスタ!$E$6:$E$405,$AN2733)&lt;&gt;"",$Q2733&lt;&gt;INDEX(職員マスタ!$E$6:$E$405,$AN2733)),"子の生年月日がマスタと相違／","")&amp;IF(AND($L2733&lt;&gt;"",INDEX(職員マスタ!$G$6:$G$405,$AN2733)&lt;&gt;"",$L2733&lt;&gt;INDEX(職員マスタ!$G$6:$G$405,$AN2733)),"時短開始日がマスタと相違／","")&amp;IF(AND($M2733&lt;&gt;"",INDEX(職員マスタ!$H$6:$H$405,$AN2733)&lt;&gt;"",$M2733&lt;&gt;INDEX(職員マスタ!$H$6:$H$405,$AN2733)),"時短終了日がマスタと相違／","")))&amp;IF(AND($B2733&lt;&gt;"",$E2733=""),"報酬額が未入力／","")&amp;IF(N($U2733)&gt;0,"申請書に入力エラーが残っています／","")&amp;IF(AND($B2733&lt;&gt;"",$AO2733&lt;&gt;""),IF(COUNTIFS($B$6:$B$3005,$B2733,$C$6:$C$3005,$C2733,$D$6:$D$3005,$D2733)&gt;1,"同じ月の請求が重複しています／",""),"")&amp;IF(AND(N($E2733)&gt;0,$Z2733&lt;&gt;"",$Z2733&lt;&gt;"×",$AC2733=0,$AB2733=""),"計算額が下限以下のため不支給／",""))</f>
        <v/>
      </c>
      <c r="AL2733" s="12" t="n"/>
      <c r="AM2733" s="14">
        <f>IF($AD2733="保留中",COUNTIF($AD$6:$AD2733,"保留中"),"")</f>
        <v/>
      </c>
      <c r="AN2733" s="14">
        <f>IF($AO2733="","",IF(SUMPRODUCT(MAX((職員マスタ!$A$6:$A$405=$B2733)*(((職員マスタ!$G$6:$G$405="")+(職員マスタ!$G$6:$G$405&lt;=EOMONTH($AO2733,0)))&gt;0)*(((職員マスタ!$H$6:$H$405="")+(職員マスタ!$H$6:$H$405&gt;=$AO2733))&gt;0)*(ROW(職員マスタ!$A$6:$A$405)-5)))&gt;0,SUMPRODUCT(MAX((職員マスタ!$A$6:$A$405=$B2733)*(((職員マスタ!$G$6:$G$405="")+(職員マスタ!$G$6:$G$405&lt;=EOMONTH($AO2733,0)))&gt;0)*(((職員マスタ!$H$6:$H$405="")+(職員マスタ!$H$6:$H$405&gt;=$AO2733))&gt;0)*(ROW(職員マスタ!$A$6:$A$405)-5))),IFERROR(MATCH($B2733,職員マスタ!$A$6:$A$405,0),"")))</f>
        <v/>
      </c>
      <c r="AO2733" s="16">
        <f>IF(OR($B2733="",$C2733="",$D2733=""),"",DATE($C2733+2018,$D2733,1))</f>
        <v/>
      </c>
    </row>
    <row r="2734">
      <c r="A2734" s="11" t="n"/>
      <c r="B2734" s="12" t="n"/>
      <c r="C2734" s="12" t="n"/>
      <c r="D2734" s="12" t="n"/>
      <c r="E2734" s="13" t="n"/>
      <c r="F2734" s="12" t="n"/>
      <c r="G2734" s="13" t="n"/>
      <c r="H2734" s="12" t="n"/>
      <c r="I2734" s="12" t="n"/>
      <c r="J2734" s="12" t="n"/>
      <c r="K2734" s="12" t="n"/>
      <c r="L2734" s="11" t="n"/>
      <c r="M2734" s="11" t="n"/>
      <c r="N2734" s="11" t="n"/>
      <c r="O2734" s="11" t="n"/>
      <c r="P2734" s="12" t="n"/>
      <c r="Q2734" s="11" t="n"/>
      <c r="R2734" s="12" t="n"/>
      <c r="S2734" s="11" t="n"/>
      <c r="T2734" s="12" t="n"/>
      <c r="U2734" s="12" t="n"/>
      <c r="V2734" s="14">
        <f>IF($AN2734="",IF($B2734="","",$H2734),IF(INDEX(職員マスタ!$B$6:$B$405,$AN2734)="",$H2734,INDEX(職員マスタ!$B$6:$B$405,$AN2734)))</f>
        <v/>
      </c>
      <c r="W2734" s="14">
        <f>IF($AN2734="",IF($B2734="","",$R2734),IF(INDEX(職員マスタ!$C$6:$C$405,$AN2734)="",$R2734,INDEX(職員マスタ!$C$6:$C$405,$AN2734)))</f>
        <v/>
      </c>
      <c r="X2734" s="14">
        <f>IF($AO2734="","","R"&amp;$C2734&amp;"."&amp;$D2734)</f>
        <v/>
      </c>
      <c r="Y2734" s="15">
        <f>IF($AN2734="","",IF(INDEX(職員マスタ!$K$6:$K$405,$AN2734)="","",INDEX(職員マスタ!$K$6:$K$405,$AN2734)))</f>
        <v/>
      </c>
      <c r="Z2734" s="14">
        <f>IF(OR($E2734="",$Y2734=""),"",IF($E2734&gt;=$Y2734,"×",IF($E2734&gt;=$Y2734*設定!$C$5,"△","○")))</f>
        <v/>
      </c>
      <c r="AA2734" s="15">
        <f>IF($Z2734="","",IF($Z2734="×",0,IF($Z2734="○",ROUNDDOWN($E2734*設定!$C$4,0),ROUNDDOWN($E2734*ROUND((9*$Y2734-9*$E2734)/(10*$E2734),4),0))))</f>
        <v/>
      </c>
      <c r="AB2734" s="13" t="n"/>
      <c r="AC2734" s="15">
        <f>IF($B2734="","",IF($AB2734&lt;&gt;"",$AB2734,IF($AA2734="","",IF($AA2734&lt;=設定!$C$3,0,$AA2734))))</f>
        <v/>
      </c>
      <c r="AD2734" s="14">
        <f>IF($B2734="","",IF(AND($AE2734&lt;&gt;"",$AG2734="",$AJ2734=""),"保留中",IF($AJ2734&lt;&gt;"",IF(N($AC2734)&gt;0,"支給済","不支給"),IF($AC2734="","要確認",IF($AC2734=0,"不支給","未処理")))))</f>
        <v/>
      </c>
      <c r="AE2734" s="12" t="n"/>
      <c r="AF2734" s="11" t="n"/>
      <c r="AG2734" s="11" t="n"/>
      <c r="AH2734" s="11" t="n"/>
      <c r="AI2734" s="14">
        <f>IF(AND($AD2734="保留中",$AF2734&lt;&gt;""),TODAY()-$AF2734,"")</f>
        <v/>
      </c>
      <c r="AJ2734" s="12" t="n"/>
      <c r="AK2734" s="14">
        <f>IF($B2734="","",IF($AO2734="","対象年月が未入力／","")&amp;IF($B2734="","",IF($AN2734="","職員マスタに未登録の職員番号／",IF($Y2734="","標準報酬月額が未登録／","")&amp;IF(AND($AO2734&lt;&gt;"",OR(AND(INDEX(職員マスタ!$G$6:$G$405,$AN2734)&lt;&gt;"",INDEX(職員マスタ!$G$6:$G$405,$AN2734)&gt;EOMONTH($AO2734,0)),AND(INDEX(職員マスタ!$H$6:$H$405,$AN2734)&lt;&gt;"",INDEX(職員マスタ!$H$6:$H$405,$AN2734)&lt;$AO2734))),"対象月が時短期間外／","")&amp;IF(AND(INDEX(職員マスタ!$F$6:$F$405,$AN2734)&lt;&gt;"",$AO2734&lt;&gt;"",INDEX(職員マスタ!$F$6:$F$405,$AN2734)&lt;$AO2734),"対象月に子が2歳到達済／","")&amp;IF(AND($H2734&lt;&gt;"",INDEX(職員マスタ!$B$6:$B$405,$AN2734)&lt;&gt;"",SUBSTITUTE(SUBSTITUTE($H2734," ","")," ","")&lt;&gt;SUBSTITUTE(SUBSTITUTE(INDEX(職員マスタ!$B$6:$B$405,$AN2734)," ","")," ","")),"氏名がマスタと相違／","")&amp;IF(AND($Q2734&lt;&gt;"",INDEX(職員マスタ!$E$6:$E$405,$AN2734)&lt;&gt;"",$Q2734&lt;&gt;INDEX(職員マスタ!$E$6:$E$405,$AN2734)),"子の生年月日がマスタと相違／","")&amp;IF(AND($L2734&lt;&gt;"",INDEX(職員マスタ!$G$6:$G$405,$AN2734)&lt;&gt;"",$L2734&lt;&gt;INDEX(職員マスタ!$G$6:$G$405,$AN2734)),"時短開始日がマスタと相違／","")&amp;IF(AND($M2734&lt;&gt;"",INDEX(職員マスタ!$H$6:$H$405,$AN2734)&lt;&gt;"",$M2734&lt;&gt;INDEX(職員マスタ!$H$6:$H$405,$AN2734)),"時短終了日がマスタと相違／","")))&amp;IF(AND($B2734&lt;&gt;"",$E2734=""),"報酬額が未入力／","")&amp;IF(N($U2734)&gt;0,"申請書に入力エラーが残っています／","")&amp;IF(AND($B2734&lt;&gt;"",$AO2734&lt;&gt;""),IF(COUNTIFS($B$6:$B$3005,$B2734,$C$6:$C$3005,$C2734,$D$6:$D$3005,$D2734)&gt;1,"同じ月の請求が重複しています／",""),"")&amp;IF(AND(N($E2734)&gt;0,$Z2734&lt;&gt;"",$Z2734&lt;&gt;"×",$AC2734=0,$AB2734=""),"計算額が下限以下のため不支給／",""))</f>
        <v/>
      </c>
      <c r="AL2734" s="12" t="n"/>
      <c r="AM2734" s="14">
        <f>IF($AD2734="保留中",COUNTIF($AD$6:$AD2734,"保留中"),"")</f>
        <v/>
      </c>
      <c r="AN2734" s="14">
        <f>IF($AO2734="","",IF(SUMPRODUCT(MAX((職員マスタ!$A$6:$A$405=$B2734)*(((職員マスタ!$G$6:$G$405="")+(職員マスタ!$G$6:$G$405&lt;=EOMONTH($AO2734,0)))&gt;0)*(((職員マスタ!$H$6:$H$405="")+(職員マスタ!$H$6:$H$405&gt;=$AO2734))&gt;0)*(ROW(職員マスタ!$A$6:$A$405)-5)))&gt;0,SUMPRODUCT(MAX((職員マスタ!$A$6:$A$405=$B2734)*(((職員マスタ!$G$6:$G$405="")+(職員マスタ!$G$6:$G$405&lt;=EOMONTH($AO2734,0)))&gt;0)*(((職員マスタ!$H$6:$H$405="")+(職員マスタ!$H$6:$H$405&gt;=$AO2734))&gt;0)*(ROW(職員マスタ!$A$6:$A$405)-5))),IFERROR(MATCH($B2734,職員マスタ!$A$6:$A$405,0),"")))</f>
        <v/>
      </c>
      <c r="AO2734" s="16">
        <f>IF(OR($B2734="",$C2734="",$D2734=""),"",DATE($C2734+2018,$D2734,1))</f>
        <v/>
      </c>
    </row>
    <row r="2735">
      <c r="A2735" s="11" t="n"/>
      <c r="B2735" s="12" t="n"/>
      <c r="C2735" s="12" t="n"/>
      <c r="D2735" s="12" t="n"/>
      <c r="E2735" s="13" t="n"/>
      <c r="F2735" s="12" t="n"/>
      <c r="G2735" s="13" t="n"/>
      <c r="H2735" s="12" t="n"/>
      <c r="I2735" s="12" t="n"/>
      <c r="J2735" s="12" t="n"/>
      <c r="K2735" s="12" t="n"/>
      <c r="L2735" s="11" t="n"/>
      <c r="M2735" s="11" t="n"/>
      <c r="N2735" s="11" t="n"/>
      <c r="O2735" s="11" t="n"/>
      <c r="P2735" s="12" t="n"/>
      <c r="Q2735" s="11" t="n"/>
      <c r="R2735" s="12" t="n"/>
      <c r="S2735" s="11" t="n"/>
      <c r="T2735" s="12" t="n"/>
      <c r="U2735" s="12" t="n"/>
      <c r="V2735" s="14">
        <f>IF($AN2735="",IF($B2735="","",$H2735),IF(INDEX(職員マスタ!$B$6:$B$405,$AN2735)="",$H2735,INDEX(職員マスタ!$B$6:$B$405,$AN2735)))</f>
        <v/>
      </c>
      <c r="W2735" s="14">
        <f>IF($AN2735="",IF($B2735="","",$R2735),IF(INDEX(職員マスタ!$C$6:$C$405,$AN2735)="",$R2735,INDEX(職員マスタ!$C$6:$C$405,$AN2735)))</f>
        <v/>
      </c>
      <c r="X2735" s="14">
        <f>IF($AO2735="","","R"&amp;$C2735&amp;"."&amp;$D2735)</f>
        <v/>
      </c>
      <c r="Y2735" s="15">
        <f>IF($AN2735="","",IF(INDEX(職員マスタ!$K$6:$K$405,$AN2735)="","",INDEX(職員マスタ!$K$6:$K$405,$AN2735)))</f>
        <v/>
      </c>
      <c r="Z2735" s="14">
        <f>IF(OR($E2735="",$Y2735=""),"",IF($E2735&gt;=$Y2735,"×",IF($E2735&gt;=$Y2735*設定!$C$5,"△","○")))</f>
        <v/>
      </c>
      <c r="AA2735" s="15">
        <f>IF($Z2735="","",IF($Z2735="×",0,IF($Z2735="○",ROUNDDOWN($E2735*設定!$C$4,0),ROUNDDOWN($E2735*ROUND((9*$Y2735-9*$E2735)/(10*$E2735),4),0))))</f>
        <v/>
      </c>
      <c r="AB2735" s="13" t="n"/>
      <c r="AC2735" s="15">
        <f>IF($B2735="","",IF($AB2735&lt;&gt;"",$AB2735,IF($AA2735="","",IF($AA2735&lt;=設定!$C$3,0,$AA2735))))</f>
        <v/>
      </c>
      <c r="AD2735" s="14">
        <f>IF($B2735="","",IF(AND($AE2735&lt;&gt;"",$AG2735="",$AJ2735=""),"保留中",IF($AJ2735&lt;&gt;"",IF(N($AC2735)&gt;0,"支給済","不支給"),IF($AC2735="","要確認",IF($AC2735=0,"不支給","未処理")))))</f>
        <v/>
      </c>
      <c r="AE2735" s="12" t="n"/>
      <c r="AF2735" s="11" t="n"/>
      <c r="AG2735" s="11" t="n"/>
      <c r="AH2735" s="11" t="n"/>
      <c r="AI2735" s="14">
        <f>IF(AND($AD2735="保留中",$AF2735&lt;&gt;""),TODAY()-$AF2735,"")</f>
        <v/>
      </c>
      <c r="AJ2735" s="12" t="n"/>
      <c r="AK2735" s="14">
        <f>IF($B2735="","",IF($AO2735="","対象年月が未入力／","")&amp;IF($B2735="","",IF($AN2735="","職員マスタに未登録の職員番号／",IF($Y2735="","標準報酬月額が未登録／","")&amp;IF(AND($AO2735&lt;&gt;"",OR(AND(INDEX(職員マスタ!$G$6:$G$405,$AN2735)&lt;&gt;"",INDEX(職員マスタ!$G$6:$G$405,$AN2735)&gt;EOMONTH($AO2735,0)),AND(INDEX(職員マスタ!$H$6:$H$405,$AN2735)&lt;&gt;"",INDEX(職員マスタ!$H$6:$H$405,$AN2735)&lt;$AO2735))),"対象月が時短期間外／","")&amp;IF(AND(INDEX(職員マスタ!$F$6:$F$405,$AN2735)&lt;&gt;"",$AO2735&lt;&gt;"",INDEX(職員マスタ!$F$6:$F$405,$AN2735)&lt;$AO2735),"対象月に子が2歳到達済／","")&amp;IF(AND($H2735&lt;&gt;"",INDEX(職員マスタ!$B$6:$B$405,$AN2735)&lt;&gt;"",SUBSTITUTE(SUBSTITUTE($H2735," ","")," ","")&lt;&gt;SUBSTITUTE(SUBSTITUTE(INDEX(職員マスタ!$B$6:$B$405,$AN2735)," ","")," ","")),"氏名がマスタと相違／","")&amp;IF(AND($Q2735&lt;&gt;"",INDEX(職員マスタ!$E$6:$E$405,$AN2735)&lt;&gt;"",$Q2735&lt;&gt;INDEX(職員マスタ!$E$6:$E$405,$AN2735)),"子の生年月日がマスタと相違／","")&amp;IF(AND($L2735&lt;&gt;"",INDEX(職員マスタ!$G$6:$G$405,$AN2735)&lt;&gt;"",$L2735&lt;&gt;INDEX(職員マスタ!$G$6:$G$405,$AN2735)),"時短開始日がマスタと相違／","")&amp;IF(AND($M2735&lt;&gt;"",INDEX(職員マスタ!$H$6:$H$405,$AN2735)&lt;&gt;"",$M2735&lt;&gt;INDEX(職員マスタ!$H$6:$H$405,$AN2735)),"時短終了日がマスタと相違／","")))&amp;IF(AND($B2735&lt;&gt;"",$E2735=""),"報酬額が未入力／","")&amp;IF(N($U2735)&gt;0,"申請書に入力エラーが残っています／","")&amp;IF(AND($B2735&lt;&gt;"",$AO2735&lt;&gt;""),IF(COUNTIFS($B$6:$B$3005,$B2735,$C$6:$C$3005,$C2735,$D$6:$D$3005,$D2735)&gt;1,"同じ月の請求が重複しています／",""),"")&amp;IF(AND(N($E2735)&gt;0,$Z2735&lt;&gt;"",$Z2735&lt;&gt;"×",$AC2735=0,$AB2735=""),"計算額が下限以下のため不支給／",""))</f>
        <v/>
      </c>
      <c r="AL2735" s="12" t="n"/>
      <c r="AM2735" s="14">
        <f>IF($AD2735="保留中",COUNTIF($AD$6:$AD2735,"保留中"),"")</f>
        <v/>
      </c>
      <c r="AN2735" s="14">
        <f>IF($AO2735="","",IF(SUMPRODUCT(MAX((職員マスタ!$A$6:$A$405=$B2735)*(((職員マスタ!$G$6:$G$405="")+(職員マスタ!$G$6:$G$405&lt;=EOMONTH($AO2735,0)))&gt;0)*(((職員マスタ!$H$6:$H$405="")+(職員マスタ!$H$6:$H$405&gt;=$AO2735))&gt;0)*(ROW(職員マスタ!$A$6:$A$405)-5)))&gt;0,SUMPRODUCT(MAX((職員マスタ!$A$6:$A$405=$B2735)*(((職員マスタ!$G$6:$G$405="")+(職員マスタ!$G$6:$G$405&lt;=EOMONTH($AO2735,0)))&gt;0)*(((職員マスタ!$H$6:$H$405="")+(職員マスタ!$H$6:$H$405&gt;=$AO2735))&gt;0)*(ROW(職員マスタ!$A$6:$A$405)-5))),IFERROR(MATCH($B2735,職員マスタ!$A$6:$A$405,0),"")))</f>
        <v/>
      </c>
      <c r="AO2735" s="16">
        <f>IF(OR($B2735="",$C2735="",$D2735=""),"",DATE($C2735+2018,$D2735,1))</f>
        <v/>
      </c>
    </row>
    <row r="2736">
      <c r="A2736" s="11" t="n"/>
      <c r="B2736" s="12" t="n"/>
      <c r="C2736" s="12" t="n"/>
      <c r="D2736" s="12" t="n"/>
      <c r="E2736" s="13" t="n"/>
      <c r="F2736" s="12" t="n"/>
      <c r="G2736" s="13" t="n"/>
      <c r="H2736" s="12" t="n"/>
      <c r="I2736" s="12" t="n"/>
      <c r="J2736" s="12" t="n"/>
      <c r="K2736" s="12" t="n"/>
      <c r="L2736" s="11" t="n"/>
      <c r="M2736" s="11" t="n"/>
      <c r="N2736" s="11" t="n"/>
      <c r="O2736" s="11" t="n"/>
      <c r="P2736" s="12" t="n"/>
      <c r="Q2736" s="11" t="n"/>
      <c r="R2736" s="12" t="n"/>
      <c r="S2736" s="11" t="n"/>
      <c r="T2736" s="12" t="n"/>
      <c r="U2736" s="12" t="n"/>
      <c r="V2736" s="14">
        <f>IF($AN2736="",IF($B2736="","",$H2736),IF(INDEX(職員マスタ!$B$6:$B$405,$AN2736)="",$H2736,INDEX(職員マスタ!$B$6:$B$405,$AN2736)))</f>
        <v/>
      </c>
      <c r="W2736" s="14">
        <f>IF($AN2736="",IF($B2736="","",$R2736),IF(INDEX(職員マスタ!$C$6:$C$405,$AN2736)="",$R2736,INDEX(職員マスタ!$C$6:$C$405,$AN2736)))</f>
        <v/>
      </c>
      <c r="X2736" s="14">
        <f>IF($AO2736="","","R"&amp;$C2736&amp;"."&amp;$D2736)</f>
        <v/>
      </c>
      <c r="Y2736" s="15">
        <f>IF($AN2736="","",IF(INDEX(職員マスタ!$K$6:$K$405,$AN2736)="","",INDEX(職員マスタ!$K$6:$K$405,$AN2736)))</f>
        <v/>
      </c>
      <c r="Z2736" s="14">
        <f>IF(OR($E2736="",$Y2736=""),"",IF($E2736&gt;=$Y2736,"×",IF($E2736&gt;=$Y2736*設定!$C$5,"△","○")))</f>
        <v/>
      </c>
      <c r="AA2736" s="15">
        <f>IF($Z2736="","",IF($Z2736="×",0,IF($Z2736="○",ROUNDDOWN($E2736*設定!$C$4,0),ROUNDDOWN($E2736*ROUND((9*$Y2736-9*$E2736)/(10*$E2736),4),0))))</f>
        <v/>
      </c>
      <c r="AB2736" s="13" t="n"/>
      <c r="AC2736" s="15">
        <f>IF($B2736="","",IF($AB2736&lt;&gt;"",$AB2736,IF($AA2736="","",IF($AA2736&lt;=設定!$C$3,0,$AA2736))))</f>
        <v/>
      </c>
      <c r="AD2736" s="14">
        <f>IF($B2736="","",IF(AND($AE2736&lt;&gt;"",$AG2736="",$AJ2736=""),"保留中",IF($AJ2736&lt;&gt;"",IF(N($AC2736)&gt;0,"支給済","不支給"),IF($AC2736="","要確認",IF($AC2736=0,"不支給","未処理")))))</f>
        <v/>
      </c>
      <c r="AE2736" s="12" t="n"/>
      <c r="AF2736" s="11" t="n"/>
      <c r="AG2736" s="11" t="n"/>
      <c r="AH2736" s="11" t="n"/>
      <c r="AI2736" s="14">
        <f>IF(AND($AD2736="保留中",$AF2736&lt;&gt;""),TODAY()-$AF2736,"")</f>
        <v/>
      </c>
      <c r="AJ2736" s="12" t="n"/>
      <c r="AK2736" s="14">
        <f>IF($B2736="","",IF($AO2736="","対象年月が未入力／","")&amp;IF($B2736="","",IF($AN2736="","職員マスタに未登録の職員番号／",IF($Y2736="","標準報酬月額が未登録／","")&amp;IF(AND($AO2736&lt;&gt;"",OR(AND(INDEX(職員マスタ!$G$6:$G$405,$AN2736)&lt;&gt;"",INDEX(職員マスタ!$G$6:$G$405,$AN2736)&gt;EOMONTH($AO2736,0)),AND(INDEX(職員マスタ!$H$6:$H$405,$AN2736)&lt;&gt;"",INDEX(職員マスタ!$H$6:$H$405,$AN2736)&lt;$AO2736))),"対象月が時短期間外／","")&amp;IF(AND(INDEX(職員マスタ!$F$6:$F$405,$AN2736)&lt;&gt;"",$AO2736&lt;&gt;"",INDEX(職員マスタ!$F$6:$F$405,$AN2736)&lt;$AO2736),"対象月に子が2歳到達済／","")&amp;IF(AND($H2736&lt;&gt;"",INDEX(職員マスタ!$B$6:$B$405,$AN2736)&lt;&gt;"",SUBSTITUTE(SUBSTITUTE($H2736," ","")," ","")&lt;&gt;SUBSTITUTE(SUBSTITUTE(INDEX(職員マスタ!$B$6:$B$405,$AN2736)," ","")," ","")),"氏名がマスタと相違／","")&amp;IF(AND($Q2736&lt;&gt;"",INDEX(職員マスタ!$E$6:$E$405,$AN2736)&lt;&gt;"",$Q2736&lt;&gt;INDEX(職員マスタ!$E$6:$E$405,$AN2736)),"子の生年月日がマスタと相違／","")&amp;IF(AND($L2736&lt;&gt;"",INDEX(職員マスタ!$G$6:$G$405,$AN2736)&lt;&gt;"",$L2736&lt;&gt;INDEX(職員マスタ!$G$6:$G$405,$AN2736)),"時短開始日がマスタと相違／","")&amp;IF(AND($M2736&lt;&gt;"",INDEX(職員マスタ!$H$6:$H$405,$AN2736)&lt;&gt;"",$M2736&lt;&gt;INDEX(職員マスタ!$H$6:$H$405,$AN2736)),"時短終了日がマスタと相違／","")))&amp;IF(AND($B2736&lt;&gt;"",$E2736=""),"報酬額が未入力／","")&amp;IF(N($U2736)&gt;0,"申請書に入力エラーが残っています／","")&amp;IF(AND($B2736&lt;&gt;"",$AO2736&lt;&gt;""),IF(COUNTIFS($B$6:$B$3005,$B2736,$C$6:$C$3005,$C2736,$D$6:$D$3005,$D2736)&gt;1,"同じ月の請求が重複しています／",""),"")&amp;IF(AND(N($E2736)&gt;0,$Z2736&lt;&gt;"",$Z2736&lt;&gt;"×",$AC2736=0,$AB2736=""),"計算額が下限以下のため不支給／",""))</f>
        <v/>
      </c>
      <c r="AL2736" s="12" t="n"/>
      <c r="AM2736" s="14">
        <f>IF($AD2736="保留中",COUNTIF($AD$6:$AD2736,"保留中"),"")</f>
        <v/>
      </c>
      <c r="AN2736" s="14">
        <f>IF($AO2736="","",IF(SUMPRODUCT(MAX((職員マスタ!$A$6:$A$405=$B2736)*(((職員マスタ!$G$6:$G$405="")+(職員マスタ!$G$6:$G$405&lt;=EOMONTH($AO2736,0)))&gt;0)*(((職員マスタ!$H$6:$H$405="")+(職員マスタ!$H$6:$H$405&gt;=$AO2736))&gt;0)*(ROW(職員マスタ!$A$6:$A$405)-5)))&gt;0,SUMPRODUCT(MAX((職員マスタ!$A$6:$A$405=$B2736)*(((職員マスタ!$G$6:$G$405="")+(職員マスタ!$G$6:$G$405&lt;=EOMONTH($AO2736,0)))&gt;0)*(((職員マスタ!$H$6:$H$405="")+(職員マスタ!$H$6:$H$405&gt;=$AO2736))&gt;0)*(ROW(職員マスタ!$A$6:$A$405)-5))),IFERROR(MATCH($B2736,職員マスタ!$A$6:$A$405,0),"")))</f>
        <v/>
      </c>
      <c r="AO2736" s="16">
        <f>IF(OR($B2736="",$C2736="",$D2736=""),"",DATE($C2736+2018,$D2736,1))</f>
        <v/>
      </c>
    </row>
    <row r="2737">
      <c r="A2737" s="11" t="n"/>
      <c r="B2737" s="12" t="n"/>
      <c r="C2737" s="12" t="n"/>
      <c r="D2737" s="12" t="n"/>
      <c r="E2737" s="13" t="n"/>
      <c r="F2737" s="12" t="n"/>
      <c r="G2737" s="13" t="n"/>
      <c r="H2737" s="12" t="n"/>
      <c r="I2737" s="12" t="n"/>
      <c r="J2737" s="12" t="n"/>
      <c r="K2737" s="12" t="n"/>
      <c r="L2737" s="11" t="n"/>
      <c r="M2737" s="11" t="n"/>
      <c r="N2737" s="11" t="n"/>
      <c r="O2737" s="11" t="n"/>
      <c r="P2737" s="12" t="n"/>
      <c r="Q2737" s="11" t="n"/>
      <c r="R2737" s="12" t="n"/>
      <c r="S2737" s="11" t="n"/>
      <c r="T2737" s="12" t="n"/>
      <c r="U2737" s="12" t="n"/>
      <c r="V2737" s="14">
        <f>IF($AN2737="",IF($B2737="","",$H2737),IF(INDEX(職員マスタ!$B$6:$B$405,$AN2737)="",$H2737,INDEX(職員マスタ!$B$6:$B$405,$AN2737)))</f>
        <v/>
      </c>
      <c r="W2737" s="14">
        <f>IF($AN2737="",IF($B2737="","",$R2737),IF(INDEX(職員マスタ!$C$6:$C$405,$AN2737)="",$R2737,INDEX(職員マスタ!$C$6:$C$405,$AN2737)))</f>
        <v/>
      </c>
      <c r="X2737" s="14">
        <f>IF($AO2737="","","R"&amp;$C2737&amp;"."&amp;$D2737)</f>
        <v/>
      </c>
      <c r="Y2737" s="15">
        <f>IF($AN2737="","",IF(INDEX(職員マスタ!$K$6:$K$405,$AN2737)="","",INDEX(職員マスタ!$K$6:$K$405,$AN2737)))</f>
        <v/>
      </c>
      <c r="Z2737" s="14">
        <f>IF(OR($E2737="",$Y2737=""),"",IF($E2737&gt;=$Y2737,"×",IF($E2737&gt;=$Y2737*設定!$C$5,"△","○")))</f>
        <v/>
      </c>
      <c r="AA2737" s="15">
        <f>IF($Z2737="","",IF($Z2737="×",0,IF($Z2737="○",ROUNDDOWN($E2737*設定!$C$4,0),ROUNDDOWN($E2737*ROUND((9*$Y2737-9*$E2737)/(10*$E2737),4),0))))</f>
        <v/>
      </c>
      <c r="AB2737" s="13" t="n"/>
      <c r="AC2737" s="15">
        <f>IF($B2737="","",IF($AB2737&lt;&gt;"",$AB2737,IF($AA2737="","",IF($AA2737&lt;=設定!$C$3,0,$AA2737))))</f>
        <v/>
      </c>
      <c r="AD2737" s="14">
        <f>IF($B2737="","",IF(AND($AE2737&lt;&gt;"",$AG2737="",$AJ2737=""),"保留中",IF($AJ2737&lt;&gt;"",IF(N($AC2737)&gt;0,"支給済","不支給"),IF($AC2737="","要確認",IF($AC2737=0,"不支給","未処理")))))</f>
        <v/>
      </c>
      <c r="AE2737" s="12" t="n"/>
      <c r="AF2737" s="11" t="n"/>
      <c r="AG2737" s="11" t="n"/>
      <c r="AH2737" s="11" t="n"/>
      <c r="AI2737" s="14">
        <f>IF(AND($AD2737="保留中",$AF2737&lt;&gt;""),TODAY()-$AF2737,"")</f>
        <v/>
      </c>
      <c r="AJ2737" s="12" t="n"/>
      <c r="AK2737" s="14">
        <f>IF($B2737="","",IF($AO2737="","対象年月が未入力／","")&amp;IF($B2737="","",IF($AN2737="","職員マスタに未登録の職員番号／",IF($Y2737="","標準報酬月額が未登録／","")&amp;IF(AND($AO2737&lt;&gt;"",OR(AND(INDEX(職員マスタ!$G$6:$G$405,$AN2737)&lt;&gt;"",INDEX(職員マスタ!$G$6:$G$405,$AN2737)&gt;EOMONTH($AO2737,0)),AND(INDEX(職員マスタ!$H$6:$H$405,$AN2737)&lt;&gt;"",INDEX(職員マスタ!$H$6:$H$405,$AN2737)&lt;$AO2737))),"対象月が時短期間外／","")&amp;IF(AND(INDEX(職員マスタ!$F$6:$F$405,$AN2737)&lt;&gt;"",$AO2737&lt;&gt;"",INDEX(職員マスタ!$F$6:$F$405,$AN2737)&lt;$AO2737),"対象月に子が2歳到達済／","")&amp;IF(AND($H2737&lt;&gt;"",INDEX(職員マスタ!$B$6:$B$405,$AN2737)&lt;&gt;"",SUBSTITUTE(SUBSTITUTE($H2737," ","")," ","")&lt;&gt;SUBSTITUTE(SUBSTITUTE(INDEX(職員マスタ!$B$6:$B$405,$AN2737)," ","")," ","")),"氏名がマスタと相違／","")&amp;IF(AND($Q2737&lt;&gt;"",INDEX(職員マスタ!$E$6:$E$405,$AN2737)&lt;&gt;"",$Q2737&lt;&gt;INDEX(職員マスタ!$E$6:$E$405,$AN2737)),"子の生年月日がマスタと相違／","")&amp;IF(AND($L2737&lt;&gt;"",INDEX(職員マスタ!$G$6:$G$405,$AN2737)&lt;&gt;"",$L2737&lt;&gt;INDEX(職員マスタ!$G$6:$G$405,$AN2737)),"時短開始日がマスタと相違／","")&amp;IF(AND($M2737&lt;&gt;"",INDEX(職員マスタ!$H$6:$H$405,$AN2737)&lt;&gt;"",$M2737&lt;&gt;INDEX(職員マスタ!$H$6:$H$405,$AN2737)),"時短終了日がマスタと相違／","")))&amp;IF(AND($B2737&lt;&gt;"",$E2737=""),"報酬額が未入力／","")&amp;IF(N($U2737)&gt;0,"申請書に入力エラーが残っています／","")&amp;IF(AND($B2737&lt;&gt;"",$AO2737&lt;&gt;""),IF(COUNTIFS($B$6:$B$3005,$B2737,$C$6:$C$3005,$C2737,$D$6:$D$3005,$D2737)&gt;1,"同じ月の請求が重複しています／",""),"")&amp;IF(AND(N($E2737)&gt;0,$Z2737&lt;&gt;"",$Z2737&lt;&gt;"×",$AC2737=0,$AB2737=""),"計算額が下限以下のため不支給／",""))</f>
        <v/>
      </c>
      <c r="AL2737" s="12" t="n"/>
      <c r="AM2737" s="14">
        <f>IF($AD2737="保留中",COUNTIF($AD$6:$AD2737,"保留中"),"")</f>
        <v/>
      </c>
      <c r="AN2737" s="14">
        <f>IF($AO2737="","",IF(SUMPRODUCT(MAX((職員マスタ!$A$6:$A$405=$B2737)*(((職員マスタ!$G$6:$G$405="")+(職員マスタ!$G$6:$G$405&lt;=EOMONTH($AO2737,0)))&gt;0)*(((職員マスタ!$H$6:$H$405="")+(職員マスタ!$H$6:$H$405&gt;=$AO2737))&gt;0)*(ROW(職員マスタ!$A$6:$A$405)-5)))&gt;0,SUMPRODUCT(MAX((職員マスタ!$A$6:$A$405=$B2737)*(((職員マスタ!$G$6:$G$405="")+(職員マスタ!$G$6:$G$405&lt;=EOMONTH($AO2737,0)))&gt;0)*(((職員マスタ!$H$6:$H$405="")+(職員マスタ!$H$6:$H$405&gt;=$AO2737))&gt;0)*(ROW(職員マスタ!$A$6:$A$405)-5))),IFERROR(MATCH($B2737,職員マスタ!$A$6:$A$405,0),"")))</f>
        <v/>
      </c>
      <c r="AO2737" s="16">
        <f>IF(OR($B2737="",$C2737="",$D2737=""),"",DATE($C2737+2018,$D2737,1))</f>
        <v/>
      </c>
    </row>
    <row r="2738">
      <c r="A2738" s="11" t="n"/>
      <c r="B2738" s="12" t="n"/>
      <c r="C2738" s="12" t="n"/>
      <c r="D2738" s="12" t="n"/>
      <c r="E2738" s="13" t="n"/>
      <c r="F2738" s="12" t="n"/>
      <c r="G2738" s="13" t="n"/>
      <c r="H2738" s="12" t="n"/>
      <c r="I2738" s="12" t="n"/>
      <c r="J2738" s="12" t="n"/>
      <c r="K2738" s="12" t="n"/>
      <c r="L2738" s="11" t="n"/>
      <c r="M2738" s="11" t="n"/>
      <c r="N2738" s="11" t="n"/>
      <c r="O2738" s="11" t="n"/>
      <c r="P2738" s="12" t="n"/>
      <c r="Q2738" s="11" t="n"/>
      <c r="R2738" s="12" t="n"/>
      <c r="S2738" s="11" t="n"/>
      <c r="T2738" s="12" t="n"/>
      <c r="U2738" s="12" t="n"/>
      <c r="V2738" s="14">
        <f>IF($AN2738="",IF($B2738="","",$H2738),IF(INDEX(職員マスタ!$B$6:$B$405,$AN2738)="",$H2738,INDEX(職員マスタ!$B$6:$B$405,$AN2738)))</f>
        <v/>
      </c>
      <c r="W2738" s="14">
        <f>IF($AN2738="",IF($B2738="","",$R2738),IF(INDEX(職員マスタ!$C$6:$C$405,$AN2738)="",$R2738,INDEX(職員マスタ!$C$6:$C$405,$AN2738)))</f>
        <v/>
      </c>
      <c r="X2738" s="14">
        <f>IF($AO2738="","","R"&amp;$C2738&amp;"."&amp;$D2738)</f>
        <v/>
      </c>
      <c r="Y2738" s="15">
        <f>IF($AN2738="","",IF(INDEX(職員マスタ!$K$6:$K$405,$AN2738)="","",INDEX(職員マスタ!$K$6:$K$405,$AN2738)))</f>
        <v/>
      </c>
      <c r="Z2738" s="14">
        <f>IF(OR($E2738="",$Y2738=""),"",IF($E2738&gt;=$Y2738,"×",IF($E2738&gt;=$Y2738*設定!$C$5,"△","○")))</f>
        <v/>
      </c>
      <c r="AA2738" s="15">
        <f>IF($Z2738="","",IF($Z2738="×",0,IF($Z2738="○",ROUNDDOWN($E2738*設定!$C$4,0),ROUNDDOWN($E2738*ROUND((9*$Y2738-9*$E2738)/(10*$E2738),4),0))))</f>
        <v/>
      </c>
      <c r="AB2738" s="13" t="n"/>
      <c r="AC2738" s="15">
        <f>IF($B2738="","",IF($AB2738&lt;&gt;"",$AB2738,IF($AA2738="","",IF($AA2738&lt;=設定!$C$3,0,$AA2738))))</f>
        <v/>
      </c>
      <c r="AD2738" s="14">
        <f>IF($B2738="","",IF(AND($AE2738&lt;&gt;"",$AG2738="",$AJ2738=""),"保留中",IF($AJ2738&lt;&gt;"",IF(N($AC2738)&gt;0,"支給済","不支給"),IF($AC2738="","要確認",IF($AC2738=0,"不支給","未処理")))))</f>
        <v/>
      </c>
      <c r="AE2738" s="12" t="n"/>
      <c r="AF2738" s="11" t="n"/>
      <c r="AG2738" s="11" t="n"/>
      <c r="AH2738" s="11" t="n"/>
      <c r="AI2738" s="14">
        <f>IF(AND($AD2738="保留中",$AF2738&lt;&gt;""),TODAY()-$AF2738,"")</f>
        <v/>
      </c>
      <c r="AJ2738" s="12" t="n"/>
      <c r="AK2738" s="14">
        <f>IF($B2738="","",IF($AO2738="","対象年月が未入力／","")&amp;IF($B2738="","",IF($AN2738="","職員マスタに未登録の職員番号／",IF($Y2738="","標準報酬月額が未登録／","")&amp;IF(AND($AO2738&lt;&gt;"",OR(AND(INDEX(職員マスタ!$G$6:$G$405,$AN2738)&lt;&gt;"",INDEX(職員マスタ!$G$6:$G$405,$AN2738)&gt;EOMONTH($AO2738,0)),AND(INDEX(職員マスタ!$H$6:$H$405,$AN2738)&lt;&gt;"",INDEX(職員マスタ!$H$6:$H$405,$AN2738)&lt;$AO2738))),"対象月が時短期間外／","")&amp;IF(AND(INDEX(職員マスタ!$F$6:$F$405,$AN2738)&lt;&gt;"",$AO2738&lt;&gt;"",INDEX(職員マスタ!$F$6:$F$405,$AN2738)&lt;$AO2738),"対象月に子が2歳到達済／","")&amp;IF(AND($H2738&lt;&gt;"",INDEX(職員マスタ!$B$6:$B$405,$AN2738)&lt;&gt;"",SUBSTITUTE(SUBSTITUTE($H2738," ","")," ","")&lt;&gt;SUBSTITUTE(SUBSTITUTE(INDEX(職員マスタ!$B$6:$B$405,$AN2738)," ","")," ","")),"氏名がマスタと相違／","")&amp;IF(AND($Q2738&lt;&gt;"",INDEX(職員マスタ!$E$6:$E$405,$AN2738)&lt;&gt;"",$Q2738&lt;&gt;INDEX(職員マスタ!$E$6:$E$405,$AN2738)),"子の生年月日がマスタと相違／","")&amp;IF(AND($L2738&lt;&gt;"",INDEX(職員マスタ!$G$6:$G$405,$AN2738)&lt;&gt;"",$L2738&lt;&gt;INDEX(職員マスタ!$G$6:$G$405,$AN2738)),"時短開始日がマスタと相違／","")&amp;IF(AND($M2738&lt;&gt;"",INDEX(職員マスタ!$H$6:$H$405,$AN2738)&lt;&gt;"",$M2738&lt;&gt;INDEX(職員マスタ!$H$6:$H$405,$AN2738)),"時短終了日がマスタと相違／","")))&amp;IF(AND($B2738&lt;&gt;"",$E2738=""),"報酬額が未入力／","")&amp;IF(N($U2738)&gt;0,"申請書に入力エラーが残っています／","")&amp;IF(AND($B2738&lt;&gt;"",$AO2738&lt;&gt;""),IF(COUNTIFS($B$6:$B$3005,$B2738,$C$6:$C$3005,$C2738,$D$6:$D$3005,$D2738)&gt;1,"同じ月の請求が重複しています／",""),"")&amp;IF(AND(N($E2738)&gt;0,$Z2738&lt;&gt;"",$Z2738&lt;&gt;"×",$AC2738=0,$AB2738=""),"計算額が下限以下のため不支給／",""))</f>
        <v/>
      </c>
      <c r="AL2738" s="12" t="n"/>
      <c r="AM2738" s="14">
        <f>IF($AD2738="保留中",COUNTIF($AD$6:$AD2738,"保留中"),"")</f>
        <v/>
      </c>
      <c r="AN2738" s="14">
        <f>IF($AO2738="","",IF(SUMPRODUCT(MAX((職員マスタ!$A$6:$A$405=$B2738)*(((職員マスタ!$G$6:$G$405="")+(職員マスタ!$G$6:$G$405&lt;=EOMONTH($AO2738,0)))&gt;0)*(((職員マスタ!$H$6:$H$405="")+(職員マスタ!$H$6:$H$405&gt;=$AO2738))&gt;0)*(ROW(職員マスタ!$A$6:$A$405)-5)))&gt;0,SUMPRODUCT(MAX((職員マスタ!$A$6:$A$405=$B2738)*(((職員マスタ!$G$6:$G$405="")+(職員マスタ!$G$6:$G$405&lt;=EOMONTH($AO2738,0)))&gt;0)*(((職員マスタ!$H$6:$H$405="")+(職員マスタ!$H$6:$H$405&gt;=$AO2738))&gt;0)*(ROW(職員マスタ!$A$6:$A$405)-5))),IFERROR(MATCH($B2738,職員マスタ!$A$6:$A$405,0),"")))</f>
        <v/>
      </c>
      <c r="AO2738" s="16">
        <f>IF(OR($B2738="",$C2738="",$D2738=""),"",DATE($C2738+2018,$D2738,1))</f>
        <v/>
      </c>
    </row>
    <row r="2739">
      <c r="A2739" s="11" t="n"/>
      <c r="B2739" s="12" t="n"/>
      <c r="C2739" s="12" t="n"/>
      <c r="D2739" s="12" t="n"/>
      <c r="E2739" s="13" t="n"/>
      <c r="F2739" s="12" t="n"/>
      <c r="G2739" s="13" t="n"/>
      <c r="H2739" s="12" t="n"/>
      <c r="I2739" s="12" t="n"/>
      <c r="J2739" s="12" t="n"/>
      <c r="K2739" s="12" t="n"/>
      <c r="L2739" s="11" t="n"/>
      <c r="M2739" s="11" t="n"/>
      <c r="N2739" s="11" t="n"/>
      <c r="O2739" s="11" t="n"/>
      <c r="P2739" s="12" t="n"/>
      <c r="Q2739" s="11" t="n"/>
      <c r="R2739" s="12" t="n"/>
      <c r="S2739" s="11" t="n"/>
      <c r="T2739" s="12" t="n"/>
      <c r="U2739" s="12" t="n"/>
      <c r="V2739" s="14">
        <f>IF($AN2739="",IF($B2739="","",$H2739),IF(INDEX(職員マスタ!$B$6:$B$405,$AN2739)="",$H2739,INDEX(職員マスタ!$B$6:$B$405,$AN2739)))</f>
        <v/>
      </c>
      <c r="W2739" s="14">
        <f>IF($AN2739="",IF($B2739="","",$R2739),IF(INDEX(職員マスタ!$C$6:$C$405,$AN2739)="",$R2739,INDEX(職員マスタ!$C$6:$C$405,$AN2739)))</f>
        <v/>
      </c>
      <c r="X2739" s="14">
        <f>IF($AO2739="","","R"&amp;$C2739&amp;"."&amp;$D2739)</f>
        <v/>
      </c>
      <c r="Y2739" s="15">
        <f>IF($AN2739="","",IF(INDEX(職員マスタ!$K$6:$K$405,$AN2739)="","",INDEX(職員マスタ!$K$6:$K$405,$AN2739)))</f>
        <v/>
      </c>
      <c r="Z2739" s="14">
        <f>IF(OR($E2739="",$Y2739=""),"",IF($E2739&gt;=$Y2739,"×",IF($E2739&gt;=$Y2739*設定!$C$5,"△","○")))</f>
        <v/>
      </c>
      <c r="AA2739" s="15">
        <f>IF($Z2739="","",IF($Z2739="×",0,IF($Z2739="○",ROUNDDOWN($E2739*設定!$C$4,0),ROUNDDOWN($E2739*ROUND((9*$Y2739-9*$E2739)/(10*$E2739),4),0))))</f>
        <v/>
      </c>
      <c r="AB2739" s="13" t="n"/>
      <c r="AC2739" s="15">
        <f>IF($B2739="","",IF($AB2739&lt;&gt;"",$AB2739,IF($AA2739="","",IF($AA2739&lt;=設定!$C$3,0,$AA2739))))</f>
        <v/>
      </c>
      <c r="AD2739" s="14">
        <f>IF($B2739="","",IF(AND($AE2739&lt;&gt;"",$AG2739="",$AJ2739=""),"保留中",IF($AJ2739&lt;&gt;"",IF(N($AC2739)&gt;0,"支給済","不支給"),IF($AC2739="","要確認",IF($AC2739=0,"不支給","未処理")))))</f>
        <v/>
      </c>
      <c r="AE2739" s="12" t="n"/>
      <c r="AF2739" s="11" t="n"/>
      <c r="AG2739" s="11" t="n"/>
      <c r="AH2739" s="11" t="n"/>
      <c r="AI2739" s="14">
        <f>IF(AND($AD2739="保留中",$AF2739&lt;&gt;""),TODAY()-$AF2739,"")</f>
        <v/>
      </c>
      <c r="AJ2739" s="12" t="n"/>
      <c r="AK2739" s="14">
        <f>IF($B2739="","",IF($AO2739="","対象年月が未入力／","")&amp;IF($B2739="","",IF($AN2739="","職員マスタに未登録の職員番号／",IF($Y2739="","標準報酬月額が未登録／","")&amp;IF(AND($AO2739&lt;&gt;"",OR(AND(INDEX(職員マスタ!$G$6:$G$405,$AN2739)&lt;&gt;"",INDEX(職員マスタ!$G$6:$G$405,$AN2739)&gt;EOMONTH($AO2739,0)),AND(INDEX(職員マスタ!$H$6:$H$405,$AN2739)&lt;&gt;"",INDEX(職員マスタ!$H$6:$H$405,$AN2739)&lt;$AO2739))),"対象月が時短期間外／","")&amp;IF(AND(INDEX(職員マスタ!$F$6:$F$405,$AN2739)&lt;&gt;"",$AO2739&lt;&gt;"",INDEX(職員マスタ!$F$6:$F$405,$AN2739)&lt;$AO2739),"対象月に子が2歳到達済／","")&amp;IF(AND($H2739&lt;&gt;"",INDEX(職員マスタ!$B$6:$B$405,$AN2739)&lt;&gt;"",SUBSTITUTE(SUBSTITUTE($H2739," ","")," ","")&lt;&gt;SUBSTITUTE(SUBSTITUTE(INDEX(職員マスタ!$B$6:$B$405,$AN2739)," ","")," ","")),"氏名がマスタと相違／","")&amp;IF(AND($Q2739&lt;&gt;"",INDEX(職員マスタ!$E$6:$E$405,$AN2739)&lt;&gt;"",$Q2739&lt;&gt;INDEX(職員マスタ!$E$6:$E$405,$AN2739)),"子の生年月日がマスタと相違／","")&amp;IF(AND($L2739&lt;&gt;"",INDEX(職員マスタ!$G$6:$G$405,$AN2739)&lt;&gt;"",$L2739&lt;&gt;INDEX(職員マスタ!$G$6:$G$405,$AN2739)),"時短開始日がマスタと相違／","")&amp;IF(AND($M2739&lt;&gt;"",INDEX(職員マスタ!$H$6:$H$405,$AN2739)&lt;&gt;"",$M2739&lt;&gt;INDEX(職員マスタ!$H$6:$H$405,$AN2739)),"時短終了日がマスタと相違／","")))&amp;IF(AND($B2739&lt;&gt;"",$E2739=""),"報酬額が未入力／","")&amp;IF(N($U2739)&gt;0,"申請書に入力エラーが残っています／","")&amp;IF(AND($B2739&lt;&gt;"",$AO2739&lt;&gt;""),IF(COUNTIFS($B$6:$B$3005,$B2739,$C$6:$C$3005,$C2739,$D$6:$D$3005,$D2739)&gt;1,"同じ月の請求が重複しています／",""),"")&amp;IF(AND(N($E2739)&gt;0,$Z2739&lt;&gt;"",$Z2739&lt;&gt;"×",$AC2739=0,$AB2739=""),"計算額が下限以下のため不支給／",""))</f>
        <v/>
      </c>
      <c r="AL2739" s="12" t="n"/>
      <c r="AM2739" s="14">
        <f>IF($AD2739="保留中",COUNTIF($AD$6:$AD2739,"保留中"),"")</f>
        <v/>
      </c>
      <c r="AN2739" s="14">
        <f>IF($AO2739="","",IF(SUMPRODUCT(MAX((職員マスタ!$A$6:$A$405=$B2739)*(((職員マスタ!$G$6:$G$405="")+(職員マスタ!$G$6:$G$405&lt;=EOMONTH($AO2739,0)))&gt;0)*(((職員マスタ!$H$6:$H$405="")+(職員マスタ!$H$6:$H$405&gt;=$AO2739))&gt;0)*(ROW(職員マスタ!$A$6:$A$405)-5)))&gt;0,SUMPRODUCT(MAX((職員マスタ!$A$6:$A$405=$B2739)*(((職員マスタ!$G$6:$G$405="")+(職員マスタ!$G$6:$G$405&lt;=EOMONTH($AO2739,0)))&gt;0)*(((職員マスタ!$H$6:$H$405="")+(職員マスタ!$H$6:$H$405&gt;=$AO2739))&gt;0)*(ROW(職員マスタ!$A$6:$A$405)-5))),IFERROR(MATCH($B2739,職員マスタ!$A$6:$A$405,0),"")))</f>
        <v/>
      </c>
      <c r="AO2739" s="16">
        <f>IF(OR($B2739="",$C2739="",$D2739=""),"",DATE($C2739+2018,$D2739,1))</f>
        <v/>
      </c>
    </row>
    <row r="2740">
      <c r="A2740" s="11" t="n"/>
      <c r="B2740" s="12" t="n"/>
      <c r="C2740" s="12" t="n"/>
      <c r="D2740" s="12" t="n"/>
      <c r="E2740" s="13" t="n"/>
      <c r="F2740" s="12" t="n"/>
      <c r="G2740" s="13" t="n"/>
      <c r="H2740" s="12" t="n"/>
      <c r="I2740" s="12" t="n"/>
      <c r="J2740" s="12" t="n"/>
      <c r="K2740" s="12" t="n"/>
      <c r="L2740" s="11" t="n"/>
      <c r="M2740" s="11" t="n"/>
      <c r="N2740" s="11" t="n"/>
      <c r="O2740" s="11" t="n"/>
      <c r="P2740" s="12" t="n"/>
      <c r="Q2740" s="11" t="n"/>
      <c r="R2740" s="12" t="n"/>
      <c r="S2740" s="11" t="n"/>
      <c r="T2740" s="12" t="n"/>
      <c r="U2740" s="12" t="n"/>
      <c r="V2740" s="14">
        <f>IF($AN2740="",IF($B2740="","",$H2740),IF(INDEX(職員マスタ!$B$6:$B$405,$AN2740)="",$H2740,INDEX(職員マスタ!$B$6:$B$405,$AN2740)))</f>
        <v/>
      </c>
      <c r="W2740" s="14">
        <f>IF($AN2740="",IF($B2740="","",$R2740),IF(INDEX(職員マスタ!$C$6:$C$405,$AN2740)="",$R2740,INDEX(職員マスタ!$C$6:$C$405,$AN2740)))</f>
        <v/>
      </c>
      <c r="X2740" s="14">
        <f>IF($AO2740="","","R"&amp;$C2740&amp;"."&amp;$D2740)</f>
        <v/>
      </c>
      <c r="Y2740" s="15">
        <f>IF($AN2740="","",IF(INDEX(職員マスタ!$K$6:$K$405,$AN2740)="","",INDEX(職員マスタ!$K$6:$K$405,$AN2740)))</f>
        <v/>
      </c>
      <c r="Z2740" s="14">
        <f>IF(OR($E2740="",$Y2740=""),"",IF($E2740&gt;=$Y2740,"×",IF($E2740&gt;=$Y2740*設定!$C$5,"△","○")))</f>
        <v/>
      </c>
      <c r="AA2740" s="15">
        <f>IF($Z2740="","",IF($Z2740="×",0,IF($Z2740="○",ROUNDDOWN($E2740*設定!$C$4,0),ROUNDDOWN($E2740*ROUND((9*$Y2740-9*$E2740)/(10*$E2740),4),0))))</f>
        <v/>
      </c>
      <c r="AB2740" s="13" t="n"/>
      <c r="AC2740" s="15">
        <f>IF($B2740="","",IF($AB2740&lt;&gt;"",$AB2740,IF($AA2740="","",IF($AA2740&lt;=設定!$C$3,0,$AA2740))))</f>
        <v/>
      </c>
      <c r="AD2740" s="14">
        <f>IF($B2740="","",IF(AND($AE2740&lt;&gt;"",$AG2740="",$AJ2740=""),"保留中",IF($AJ2740&lt;&gt;"",IF(N($AC2740)&gt;0,"支給済","不支給"),IF($AC2740="","要確認",IF($AC2740=0,"不支給","未処理")))))</f>
        <v/>
      </c>
      <c r="AE2740" s="12" t="n"/>
      <c r="AF2740" s="11" t="n"/>
      <c r="AG2740" s="11" t="n"/>
      <c r="AH2740" s="11" t="n"/>
      <c r="AI2740" s="14">
        <f>IF(AND($AD2740="保留中",$AF2740&lt;&gt;""),TODAY()-$AF2740,"")</f>
        <v/>
      </c>
      <c r="AJ2740" s="12" t="n"/>
      <c r="AK2740" s="14">
        <f>IF($B2740="","",IF($AO2740="","対象年月が未入力／","")&amp;IF($B2740="","",IF($AN2740="","職員マスタに未登録の職員番号／",IF($Y2740="","標準報酬月額が未登録／","")&amp;IF(AND($AO2740&lt;&gt;"",OR(AND(INDEX(職員マスタ!$G$6:$G$405,$AN2740)&lt;&gt;"",INDEX(職員マスタ!$G$6:$G$405,$AN2740)&gt;EOMONTH($AO2740,0)),AND(INDEX(職員マスタ!$H$6:$H$405,$AN2740)&lt;&gt;"",INDEX(職員マスタ!$H$6:$H$405,$AN2740)&lt;$AO2740))),"対象月が時短期間外／","")&amp;IF(AND(INDEX(職員マスタ!$F$6:$F$405,$AN2740)&lt;&gt;"",$AO2740&lt;&gt;"",INDEX(職員マスタ!$F$6:$F$405,$AN2740)&lt;$AO2740),"対象月に子が2歳到達済／","")&amp;IF(AND($H2740&lt;&gt;"",INDEX(職員マスタ!$B$6:$B$405,$AN2740)&lt;&gt;"",SUBSTITUTE(SUBSTITUTE($H2740," ","")," ","")&lt;&gt;SUBSTITUTE(SUBSTITUTE(INDEX(職員マスタ!$B$6:$B$405,$AN2740)," ","")," ","")),"氏名がマスタと相違／","")&amp;IF(AND($Q2740&lt;&gt;"",INDEX(職員マスタ!$E$6:$E$405,$AN2740)&lt;&gt;"",$Q2740&lt;&gt;INDEX(職員マスタ!$E$6:$E$405,$AN2740)),"子の生年月日がマスタと相違／","")&amp;IF(AND($L2740&lt;&gt;"",INDEX(職員マスタ!$G$6:$G$405,$AN2740)&lt;&gt;"",$L2740&lt;&gt;INDEX(職員マスタ!$G$6:$G$405,$AN2740)),"時短開始日がマスタと相違／","")&amp;IF(AND($M2740&lt;&gt;"",INDEX(職員マスタ!$H$6:$H$405,$AN2740)&lt;&gt;"",$M2740&lt;&gt;INDEX(職員マスタ!$H$6:$H$405,$AN2740)),"時短終了日がマスタと相違／","")))&amp;IF(AND($B2740&lt;&gt;"",$E2740=""),"報酬額が未入力／","")&amp;IF(N($U2740)&gt;0,"申請書に入力エラーが残っています／","")&amp;IF(AND($B2740&lt;&gt;"",$AO2740&lt;&gt;""),IF(COUNTIFS($B$6:$B$3005,$B2740,$C$6:$C$3005,$C2740,$D$6:$D$3005,$D2740)&gt;1,"同じ月の請求が重複しています／",""),"")&amp;IF(AND(N($E2740)&gt;0,$Z2740&lt;&gt;"",$Z2740&lt;&gt;"×",$AC2740=0,$AB2740=""),"計算額が下限以下のため不支給／",""))</f>
        <v/>
      </c>
      <c r="AL2740" s="12" t="n"/>
      <c r="AM2740" s="14">
        <f>IF($AD2740="保留中",COUNTIF($AD$6:$AD2740,"保留中"),"")</f>
        <v/>
      </c>
      <c r="AN2740" s="14">
        <f>IF($AO2740="","",IF(SUMPRODUCT(MAX((職員マスタ!$A$6:$A$405=$B2740)*(((職員マスタ!$G$6:$G$405="")+(職員マスタ!$G$6:$G$405&lt;=EOMONTH($AO2740,0)))&gt;0)*(((職員マスタ!$H$6:$H$405="")+(職員マスタ!$H$6:$H$405&gt;=$AO2740))&gt;0)*(ROW(職員マスタ!$A$6:$A$405)-5)))&gt;0,SUMPRODUCT(MAX((職員マスタ!$A$6:$A$405=$B2740)*(((職員マスタ!$G$6:$G$405="")+(職員マスタ!$G$6:$G$405&lt;=EOMONTH($AO2740,0)))&gt;0)*(((職員マスタ!$H$6:$H$405="")+(職員マスタ!$H$6:$H$405&gt;=$AO2740))&gt;0)*(ROW(職員マスタ!$A$6:$A$405)-5))),IFERROR(MATCH($B2740,職員マスタ!$A$6:$A$405,0),"")))</f>
        <v/>
      </c>
      <c r="AO2740" s="16">
        <f>IF(OR($B2740="",$C2740="",$D2740=""),"",DATE($C2740+2018,$D2740,1))</f>
        <v/>
      </c>
    </row>
    <row r="2741">
      <c r="A2741" s="11" t="n"/>
      <c r="B2741" s="12" t="n"/>
      <c r="C2741" s="12" t="n"/>
      <c r="D2741" s="12" t="n"/>
      <c r="E2741" s="13" t="n"/>
      <c r="F2741" s="12" t="n"/>
      <c r="G2741" s="13" t="n"/>
      <c r="H2741" s="12" t="n"/>
      <c r="I2741" s="12" t="n"/>
      <c r="J2741" s="12" t="n"/>
      <c r="K2741" s="12" t="n"/>
      <c r="L2741" s="11" t="n"/>
      <c r="M2741" s="11" t="n"/>
      <c r="N2741" s="11" t="n"/>
      <c r="O2741" s="11" t="n"/>
      <c r="P2741" s="12" t="n"/>
      <c r="Q2741" s="11" t="n"/>
      <c r="R2741" s="12" t="n"/>
      <c r="S2741" s="11" t="n"/>
      <c r="T2741" s="12" t="n"/>
      <c r="U2741" s="12" t="n"/>
      <c r="V2741" s="14">
        <f>IF($AN2741="",IF($B2741="","",$H2741),IF(INDEX(職員マスタ!$B$6:$B$405,$AN2741)="",$H2741,INDEX(職員マスタ!$B$6:$B$405,$AN2741)))</f>
        <v/>
      </c>
      <c r="W2741" s="14">
        <f>IF($AN2741="",IF($B2741="","",$R2741),IF(INDEX(職員マスタ!$C$6:$C$405,$AN2741)="",$R2741,INDEX(職員マスタ!$C$6:$C$405,$AN2741)))</f>
        <v/>
      </c>
      <c r="X2741" s="14">
        <f>IF($AO2741="","","R"&amp;$C2741&amp;"."&amp;$D2741)</f>
        <v/>
      </c>
      <c r="Y2741" s="15">
        <f>IF($AN2741="","",IF(INDEX(職員マスタ!$K$6:$K$405,$AN2741)="","",INDEX(職員マスタ!$K$6:$K$405,$AN2741)))</f>
        <v/>
      </c>
      <c r="Z2741" s="14">
        <f>IF(OR($E2741="",$Y2741=""),"",IF($E2741&gt;=$Y2741,"×",IF($E2741&gt;=$Y2741*設定!$C$5,"△","○")))</f>
        <v/>
      </c>
      <c r="AA2741" s="15">
        <f>IF($Z2741="","",IF($Z2741="×",0,IF($Z2741="○",ROUNDDOWN($E2741*設定!$C$4,0),ROUNDDOWN($E2741*ROUND((9*$Y2741-9*$E2741)/(10*$E2741),4),0))))</f>
        <v/>
      </c>
      <c r="AB2741" s="13" t="n"/>
      <c r="AC2741" s="15">
        <f>IF($B2741="","",IF($AB2741&lt;&gt;"",$AB2741,IF($AA2741="","",IF($AA2741&lt;=設定!$C$3,0,$AA2741))))</f>
        <v/>
      </c>
      <c r="AD2741" s="14">
        <f>IF($B2741="","",IF(AND($AE2741&lt;&gt;"",$AG2741="",$AJ2741=""),"保留中",IF($AJ2741&lt;&gt;"",IF(N($AC2741)&gt;0,"支給済","不支給"),IF($AC2741="","要確認",IF($AC2741=0,"不支給","未処理")))))</f>
        <v/>
      </c>
      <c r="AE2741" s="12" t="n"/>
      <c r="AF2741" s="11" t="n"/>
      <c r="AG2741" s="11" t="n"/>
      <c r="AH2741" s="11" t="n"/>
      <c r="AI2741" s="14">
        <f>IF(AND($AD2741="保留中",$AF2741&lt;&gt;""),TODAY()-$AF2741,"")</f>
        <v/>
      </c>
      <c r="AJ2741" s="12" t="n"/>
      <c r="AK2741" s="14">
        <f>IF($B2741="","",IF($AO2741="","対象年月が未入力／","")&amp;IF($B2741="","",IF($AN2741="","職員マスタに未登録の職員番号／",IF($Y2741="","標準報酬月額が未登録／","")&amp;IF(AND($AO2741&lt;&gt;"",OR(AND(INDEX(職員マスタ!$G$6:$G$405,$AN2741)&lt;&gt;"",INDEX(職員マスタ!$G$6:$G$405,$AN2741)&gt;EOMONTH($AO2741,0)),AND(INDEX(職員マスタ!$H$6:$H$405,$AN2741)&lt;&gt;"",INDEX(職員マスタ!$H$6:$H$405,$AN2741)&lt;$AO2741))),"対象月が時短期間外／","")&amp;IF(AND(INDEX(職員マスタ!$F$6:$F$405,$AN2741)&lt;&gt;"",$AO2741&lt;&gt;"",INDEX(職員マスタ!$F$6:$F$405,$AN2741)&lt;$AO2741),"対象月に子が2歳到達済／","")&amp;IF(AND($H2741&lt;&gt;"",INDEX(職員マスタ!$B$6:$B$405,$AN2741)&lt;&gt;"",SUBSTITUTE(SUBSTITUTE($H2741," ","")," ","")&lt;&gt;SUBSTITUTE(SUBSTITUTE(INDEX(職員マスタ!$B$6:$B$405,$AN2741)," ","")," ","")),"氏名がマスタと相違／","")&amp;IF(AND($Q2741&lt;&gt;"",INDEX(職員マスタ!$E$6:$E$405,$AN2741)&lt;&gt;"",$Q2741&lt;&gt;INDEX(職員マスタ!$E$6:$E$405,$AN2741)),"子の生年月日がマスタと相違／","")&amp;IF(AND($L2741&lt;&gt;"",INDEX(職員マスタ!$G$6:$G$405,$AN2741)&lt;&gt;"",$L2741&lt;&gt;INDEX(職員マスタ!$G$6:$G$405,$AN2741)),"時短開始日がマスタと相違／","")&amp;IF(AND($M2741&lt;&gt;"",INDEX(職員マスタ!$H$6:$H$405,$AN2741)&lt;&gt;"",$M2741&lt;&gt;INDEX(職員マスタ!$H$6:$H$405,$AN2741)),"時短終了日がマスタと相違／","")))&amp;IF(AND($B2741&lt;&gt;"",$E2741=""),"報酬額が未入力／","")&amp;IF(N($U2741)&gt;0,"申請書に入力エラーが残っています／","")&amp;IF(AND($B2741&lt;&gt;"",$AO2741&lt;&gt;""),IF(COUNTIFS($B$6:$B$3005,$B2741,$C$6:$C$3005,$C2741,$D$6:$D$3005,$D2741)&gt;1,"同じ月の請求が重複しています／",""),"")&amp;IF(AND(N($E2741)&gt;0,$Z2741&lt;&gt;"",$Z2741&lt;&gt;"×",$AC2741=0,$AB2741=""),"計算額が下限以下のため不支給／",""))</f>
        <v/>
      </c>
      <c r="AL2741" s="12" t="n"/>
      <c r="AM2741" s="14">
        <f>IF($AD2741="保留中",COUNTIF($AD$6:$AD2741,"保留中"),"")</f>
        <v/>
      </c>
      <c r="AN2741" s="14">
        <f>IF($AO2741="","",IF(SUMPRODUCT(MAX((職員マスタ!$A$6:$A$405=$B2741)*(((職員マスタ!$G$6:$G$405="")+(職員マスタ!$G$6:$G$405&lt;=EOMONTH($AO2741,0)))&gt;0)*(((職員マスタ!$H$6:$H$405="")+(職員マスタ!$H$6:$H$405&gt;=$AO2741))&gt;0)*(ROW(職員マスタ!$A$6:$A$405)-5)))&gt;0,SUMPRODUCT(MAX((職員マスタ!$A$6:$A$405=$B2741)*(((職員マスタ!$G$6:$G$405="")+(職員マスタ!$G$6:$G$405&lt;=EOMONTH($AO2741,0)))&gt;0)*(((職員マスタ!$H$6:$H$405="")+(職員マスタ!$H$6:$H$405&gt;=$AO2741))&gt;0)*(ROW(職員マスタ!$A$6:$A$405)-5))),IFERROR(MATCH($B2741,職員マスタ!$A$6:$A$405,0),"")))</f>
        <v/>
      </c>
      <c r="AO2741" s="16">
        <f>IF(OR($B2741="",$C2741="",$D2741=""),"",DATE($C2741+2018,$D2741,1))</f>
        <v/>
      </c>
    </row>
    <row r="2742">
      <c r="A2742" s="11" t="n"/>
      <c r="B2742" s="12" t="n"/>
      <c r="C2742" s="12" t="n"/>
      <c r="D2742" s="12" t="n"/>
      <c r="E2742" s="13" t="n"/>
      <c r="F2742" s="12" t="n"/>
      <c r="G2742" s="13" t="n"/>
      <c r="H2742" s="12" t="n"/>
      <c r="I2742" s="12" t="n"/>
      <c r="J2742" s="12" t="n"/>
      <c r="K2742" s="12" t="n"/>
      <c r="L2742" s="11" t="n"/>
      <c r="M2742" s="11" t="n"/>
      <c r="N2742" s="11" t="n"/>
      <c r="O2742" s="11" t="n"/>
      <c r="P2742" s="12" t="n"/>
      <c r="Q2742" s="11" t="n"/>
      <c r="R2742" s="12" t="n"/>
      <c r="S2742" s="11" t="n"/>
      <c r="T2742" s="12" t="n"/>
      <c r="U2742" s="12" t="n"/>
      <c r="V2742" s="14">
        <f>IF($AN2742="",IF($B2742="","",$H2742),IF(INDEX(職員マスタ!$B$6:$B$405,$AN2742)="",$H2742,INDEX(職員マスタ!$B$6:$B$405,$AN2742)))</f>
        <v/>
      </c>
      <c r="W2742" s="14">
        <f>IF($AN2742="",IF($B2742="","",$R2742),IF(INDEX(職員マスタ!$C$6:$C$405,$AN2742)="",$R2742,INDEX(職員マスタ!$C$6:$C$405,$AN2742)))</f>
        <v/>
      </c>
      <c r="X2742" s="14">
        <f>IF($AO2742="","","R"&amp;$C2742&amp;"."&amp;$D2742)</f>
        <v/>
      </c>
      <c r="Y2742" s="15">
        <f>IF($AN2742="","",IF(INDEX(職員マスタ!$K$6:$K$405,$AN2742)="","",INDEX(職員マスタ!$K$6:$K$405,$AN2742)))</f>
        <v/>
      </c>
      <c r="Z2742" s="14">
        <f>IF(OR($E2742="",$Y2742=""),"",IF($E2742&gt;=$Y2742,"×",IF($E2742&gt;=$Y2742*設定!$C$5,"△","○")))</f>
        <v/>
      </c>
      <c r="AA2742" s="15">
        <f>IF($Z2742="","",IF($Z2742="×",0,IF($Z2742="○",ROUNDDOWN($E2742*設定!$C$4,0),ROUNDDOWN($E2742*ROUND((9*$Y2742-9*$E2742)/(10*$E2742),4),0))))</f>
        <v/>
      </c>
      <c r="AB2742" s="13" t="n"/>
      <c r="AC2742" s="15">
        <f>IF($B2742="","",IF($AB2742&lt;&gt;"",$AB2742,IF($AA2742="","",IF($AA2742&lt;=設定!$C$3,0,$AA2742))))</f>
        <v/>
      </c>
      <c r="AD2742" s="14">
        <f>IF($B2742="","",IF(AND($AE2742&lt;&gt;"",$AG2742="",$AJ2742=""),"保留中",IF($AJ2742&lt;&gt;"",IF(N($AC2742)&gt;0,"支給済","不支給"),IF($AC2742="","要確認",IF($AC2742=0,"不支給","未処理")))))</f>
        <v/>
      </c>
      <c r="AE2742" s="12" t="n"/>
      <c r="AF2742" s="11" t="n"/>
      <c r="AG2742" s="11" t="n"/>
      <c r="AH2742" s="11" t="n"/>
      <c r="AI2742" s="14">
        <f>IF(AND($AD2742="保留中",$AF2742&lt;&gt;""),TODAY()-$AF2742,"")</f>
        <v/>
      </c>
      <c r="AJ2742" s="12" t="n"/>
      <c r="AK2742" s="14">
        <f>IF($B2742="","",IF($AO2742="","対象年月が未入力／","")&amp;IF($B2742="","",IF($AN2742="","職員マスタに未登録の職員番号／",IF($Y2742="","標準報酬月額が未登録／","")&amp;IF(AND($AO2742&lt;&gt;"",OR(AND(INDEX(職員マスタ!$G$6:$G$405,$AN2742)&lt;&gt;"",INDEX(職員マスタ!$G$6:$G$405,$AN2742)&gt;EOMONTH($AO2742,0)),AND(INDEX(職員マスタ!$H$6:$H$405,$AN2742)&lt;&gt;"",INDEX(職員マスタ!$H$6:$H$405,$AN2742)&lt;$AO2742))),"対象月が時短期間外／","")&amp;IF(AND(INDEX(職員マスタ!$F$6:$F$405,$AN2742)&lt;&gt;"",$AO2742&lt;&gt;"",INDEX(職員マスタ!$F$6:$F$405,$AN2742)&lt;$AO2742),"対象月に子が2歳到達済／","")&amp;IF(AND($H2742&lt;&gt;"",INDEX(職員マスタ!$B$6:$B$405,$AN2742)&lt;&gt;"",SUBSTITUTE(SUBSTITUTE($H2742," ","")," ","")&lt;&gt;SUBSTITUTE(SUBSTITUTE(INDEX(職員マスタ!$B$6:$B$405,$AN2742)," ","")," ","")),"氏名がマスタと相違／","")&amp;IF(AND($Q2742&lt;&gt;"",INDEX(職員マスタ!$E$6:$E$405,$AN2742)&lt;&gt;"",$Q2742&lt;&gt;INDEX(職員マスタ!$E$6:$E$405,$AN2742)),"子の生年月日がマスタと相違／","")&amp;IF(AND($L2742&lt;&gt;"",INDEX(職員マスタ!$G$6:$G$405,$AN2742)&lt;&gt;"",$L2742&lt;&gt;INDEX(職員マスタ!$G$6:$G$405,$AN2742)),"時短開始日がマスタと相違／","")&amp;IF(AND($M2742&lt;&gt;"",INDEX(職員マスタ!$H$6:$H$405,$AN2742)&lt;&gt;"",$M2742&lt;&gt;INDEX(職員マスタ!$H$6:$H$405,$AN2742)),"時短終了日がマスタと相違／","")))&amp;IF(AND($B2742&lt;&gt;"",$E2742=""),"報酬額が未入力／","")&amp;IF(N($U2742)&gt;0,"申請書に入力エラーが残っています／","")&amp;IF(AND($B2742&lt;&gt;"",$AO2742&lt;&gt;""),IF(COUNTIFS($B$6:$B$3005,$B2742,$C$6:$C$3005,$C2742,$D$6:$D$3005,$D2742)&gt;1,"同じ月の請求が重複しています／",""),"")&amp;IF(AND(N($E2742)&gt;0,$Z2742&lt;&gt;"",$Z2742&lt;&gt;"×",$AC2742=0,$AB2742=""),"計算額が下限以下のため不支給／",""))</f>
        <v/>
      </c>
      <c r="AL2742" s="12" t="n"/>
      <c r="AM2742" s="14">
        <f>IF($AD2742="保留中",COUNTIF($AD$6:$AD2742,"保留中"),"")</f>
        <v/>
      </c>
      <c r="AN2742" s="14">
        <f>IF($AO2742="","",IF(SUMPRODUCT(MAX((職員マスタ!$A$6:$A$405=$B2742)*(((職員マスタ!$G$6:$G$405="")+(職員マスタ!$G$6:$G$405&lt;=EOMONTH($AO2742,0)))&gt;0)*(((職員マスタ!$H$6:$H$405="")+(職員マスタ!$H$6:$H$405&gt;=$AO2742))&gt;0)*(ROW(職員マスタ!$A$6:$A$405)-5)))&gt;0,SUMPRODUCT(MAX((職員マスタ!$A$6:$A$405=$B2742)*(((職員マスタ!$G$6:$G$405="")+(職員マスタ!$G$6:$G$405&lt;=EOMONTH($AO2742,0)))&gt;0)*(((職員マスタ!$H$6:$H$405="")+(職員マスタ!$H$6:$H$405&gt;=$AO2742))&gt;0)*(ROW(職員マスタ!$A$6:$A$405)-5))),IFERROR(MATCH($B2742,職員マスタ!$A$6:$A$405,0),"")))</f>
        <v/>
      </c>
      <c r="AO2742" s="16">
        <f>IF(OR($B2742="",$C2742="",$D2742=""),"",DATE($C2742+2018,$D2742,1))</f>
        <v/>
      </c>
    </row>
    <row r="2743">
      <c r="A2743" s="11" t="n"/>
      <c r="B2743" s="12" t="n"/>
      <c r="C2743" s="12" t="n"/>
      <c r="D2743" s="12" t="n"/>
      <c r="E2743" s="13" t="n"/>
      <c r="F2743" s="12" t="n"/>
      <c r="G2743" s="13" t="n"/>
      <c r="H2743" s="12" t="n"/>
      <c r="I2743" s="12" t="n"/>
      <c r="J2743" s="12" t="n"/>
      <c r="K2743" s="12" t="n"/>
      <c r="L2743" s="11" t="n"/>
      <c r="M2743" s="11" t="n"/>
      <c r="N2743" s="11" t="n"/>
      <c r="O2743" s="11" t="n"/>
      <c r="P2743" s="12" t="n"/>
      <c r="Q2743" s="11" t="n"/>
      <c r="R2743" s="12" t="n"/>
      <c r="S2743" s="11" t="n"/>
      <c r="T2743" s="12" t="n"/>
      <c r="U2743" s="12" t="n"/>
      <c r="V2743" s="14">
        <f>IF($AN2743="",IF($B2743="","",$H2743),IF(INDEX(職員マスタ!$B$6:$B$405,$AN2743)="",$H2743,INDEX(職員マスタ!$B$6:$B$405,$AN2743)))</f>
        <v/>
      </c>
      <c r="W2743" s="14">
        <f>IF($AN2743="",IF($B2743="","",$R2743),IF(INDEX(職員マスタ!$C$6:$C$405,$AN2743)="",$R2743,INDEX(職員マスタ!$C$6:$C$405,$AN2743)))</f>
        <v/>
      </c>
      <c r="X2743" s="14">
        <f>IF($AO2743="","","R"&amp;$C2743&amp;"."&amp;$D2743)</f>
        <v/>
      </c>
      <c r="Y2743" s="15">
        <f>IF($AN2743="","",IF(INDEX(職員マスタ!$K$6:$K$405,$AN2743)="","",INDEX(職員マスタ!$K$6:$K$405,$AN2743)))</f>
        <v/>
      </c>
      <c r="Z2743" s="14">
        <f>IF(OR($E2743="",$Y2743=""),"",IF($E2743&gt;=$Y2743,"×",IF($E2743&gt;=$Y2743*設定!$C$5,"△","○")))</f>
        <v/>
      </c>
      <c r="AA2743" s="15">
        <f>IF($Z2743="","",IF($Z2743="×",0,IF($Z2743="○",ROUNDDOWN($E2743*設定!$C$4,0),ROUNDDOWN($E2743*ROUND((9*$Y2743-9*$E2743)/(10*$E2743),4),0))))</f>
        <v/>
      </c>
      <c r="AB2743" s="13" t="n"/>
      <c r="AC2743" s="15">
        <f>IF($B2743="","",IF($AB2743&lt;&gt;"",$AB2743,IF($AA2743="","",IF($AA2743&lt;=設定!$C$3,0,$AA2743))))</f>
        <v/>
      </c>
      <c r="AD2743" s="14">
        <f>IF($B2743="","",IF(AND($AE2743&lt;&gt;"",$AG2743="",$AJ2743=""),"保留中",IF($AJ2743&lt;&gt;"",IF(N($AC2743)&gt;0,"支給済","不支給"),IF($AC2743="","要確認",IF($AC2743=0,"不支給","未処理")))))</f>
        <v/>
      </c>
      <c r="AE2743" s="12" t="n"/>
      <c r="AF2743" s="11" t="n"/>
      <c r="AG2743" s="11" t="n"/>
      <c r="AH2743" s="11" t="n"/>
      <c r="AI2743" s="14">
        <f>IF(AND($AD2743="保留中",$AF2743&lt;&gt;""),TODAY()-$AF2743,"")</f>
        <v/>
      </c>
      <c r="AJ2743" s="12" t="n"/>
      <c r="AK2743" s="14">
        <f>IF($B2743="","",IF($AO2743="","対象年月が未入力／","")&amp;IF($B2743="","",IF($AN2743="","職員マスタに未登録の職員番号／",IF($Y2743="","標準報酬月額が未登録／","")&amp;IF(AND($AO2743&lt;&gt;"",OR(AND(INDEX(職員マスタ!$G$6:$G$405,$AN2743)&lt;&gt;"",INDEX(職員マスタ!$G$6:$G$405,$AN2743)&gt;EOMONTH($AO2743,0)),AND(INDEX(職員マスタ!$H$6:$H$405,$AN2743)&lt;&gt;"",INDEX(職員マスタ!$H$6:$H$405,$AN2743)&lt;$AO2743))),"対象月が時短期間外／","")&amp;IF(AND(INDEX(職員マスタ!$F$6:$F$405,$AN2743)&lt;&gt;"",$AO2743&lt;&gt;"",INDEX(職員マスタ!$F$6:$F$405,$AN2743)&lt;$AO2743),"対象月に子が2歳到達済／","")&amp;IF(AND($H2743&lt;&gt;"",INDEX(職員マスタ!$B$6:$B$405,$AN2743)&lt;&gt;"",SUBSTITUTE(SUBSTITUTE($H2743," ","")," ","")&lt;&gt;SUBSTITUTE(SUBSTITUTE(INDEX(職員マスタ!$B$6:$B$405,$AN2743)," ","")," ","")),"氏名がマスタと相違／","")&amp;IF(AND($Q2743&lt;&gt;"",INDEX(職員マスタ!$E$6:$E$405,$AN2743)&lt;&gt;"",$Q2743&lt;&gt;INDEX(職員マスタ!$E$6:$E$405,$AN2743)),"子の生年月日がマスタと相違／","")&amp;IF(AND($L2743&lt;&gt;"",INDEX(職員マスタ!$G$6:$G$405,$AN2743)&lt;&gt;"",$L2743&lt;&gt;INDEX(職員マスタ!$G$6:$G$405,$AN2743)),"時短開始日がマスタと相違／","")&amp;IF(AND($M2743&lt;&gt;"",INDEX(職員マスタ!$H$6:$H$405,$AN2743)&lt;&gt;"",$M2743&lt;&gt;INDEX(職員マスタ!$H$6:$H$405,$AN2743)),"時短終了日がマスタと相違／","")))&amp;IF(AND($B2743&lt;&gt;"",$E2743=""),"報酬額が未入力／","")&amp;IF(N($U2743)&gt;0,"申請書に入力エラーが残っています／","")&amp;IF(AND($B2743&lt;&gt;"",$AO2743&lt;&gt;""),IF(COUNTIFS($B$6:$B$3005,$B2743,$C$6:$C$3005,$C2743,$D$6:$D$3005,$D2743)&gt;1,"同じ月の請求が重複しています／",""),"")&amp;IF(AND(N($E2743)&gt;0,$Z2743&lt;&gt;"",$Z2743&lt;&gt;"×",$AC2743=0,$AB2743=""),"計算額が下限以下のため不支給／",""))</f>
        <v/>
      </c>
      <c r="AL2743" s="12" t="n"/>
      <c r="AM2743" s="14">
        <f>IF($AD2743="保留中",COUNTIF($AD$6:$AD2743,"保留中"),"")</f>
        <v/>
      </c>
      <c r="AN2743" s="14">
        <f>IF($AO2743="","",IF(SUMPRODUCT(MAX((職員マスタ!$A$6:$A$405=$B2743)*(((職員マスタ!$G$6:$G$405="")+(職員マスタ!$G$6:$G$405&lt;=EOMONTH($AO2743,0)))&gt;0)*(((職員マスタ!$H$6:$H$405="")+(職員マスタ!$H$6:$H$405&gt;=$AO2743))&gt;0)*(ROW(職員マスタ!$A$6:$A$405)-5)))&gt;0,SUMPRODUCT(MAX((職員マスタ!$A$6:$A$405=$B2743)*(((職員マスタ!$G$6:$G$405="")+(職員マスタ!$G$6:$G$405&lt;=EOMONTH($AO2743,0)))&gt;0)*(((職員マスタ!$H$6:$H$405="")+(職員マスタ!$H$6:$H$405&gt;=$AO2743))&gt;0)*(ROW(職員マスタ!$A$6:$A$405)-5))),IFERROR(MATCH($B2743,職員マスタ!$A$6:$A$405,0),"")))</f>
        <v/>
      </c>
      <c r="AO2743" s="16">
        <f>IF(OR($B2743="",$C2743="",$D2743=""),"",DATE($C2743+2018,$D2743,1))</f>
        <v/>
      </c>
    </row>
    <row r="2744">
      <c r="A2744" s="11" t="n"/>
      <c r="B2744" s="12" t="n"/>
      <c r="C2744" s="12" t="n"/>
      <c r="D2744" s="12" t="n"/>
      <c r="E2744" s="13" t="n"/>
      <c r="F2744" s="12" t="n"/>
      <c r="G2744" s="13" t="n"/>
      <c r="H2744" s="12" t="n"/>
      <c r="I2744" s="12" t="n"/>
      <c r="J2744" s="12" t="n"/>
      <c r="K2744" s="12" t="n"/>
      <c r="L2744" s="11" t="n"/>
      <c r="M2744" s="11" t="n"/>
      <c r="N2744" s="11" t="n"/>
      <c r="O2744" s="11" t="n"/>
      <c r="P2744" s="12" t="n"/>
      <c r="Q2744" s="11" t="n"/>
      <c r="R2744" s="12" t="n"/>
      <c r="S2744" s="11" t="n"/>
      <c r="T2744" s="12" t="n"/>
      <c r="U2744" s="12" t="n"/>
      <c r="V2744" s="14">
        <f>IF($AN2744="",IF($B2744="","",$H2744),IF(INDEX(職員マスタ!$B$6:$B$405,$AN2744)="",$H2744,INDEX(職員マスタ!$B$6:$B$405,$AN2744)))</f>
        <v/>
      </c>
      <c r="W2744" s="14">
        <f>IF($AN2744="",IF($B2744="","",$R2744),IF(INDEX(職員マスタ!$C$6:$C$405,$AN2744)="",$R2744,INDEX(職員マスタ!$C$6:$C$405,$AN2744)))</f>
        <v/>
      </c>
      <c r="X2744" s="14">
        <f>IF($AO2744="","","R"&amp;$C2744&amp;"."&amp;$D2744)</f>
        <v/>
      </c>
      <c r="Y2744" s="15">
        <f>IF($AN2744="","",IF(INDEX(職員マスタ!$K$6:$K$405,$AN2744)="","",INDEX(職員マスタ!$K$6:$K$405,$AN2744)))</f>
        <v/>
      </c>
      <c r="Z2744" s="14">
        <f>IF(OR($E2744="",$Y2744=""),"",IF($E2744&gt;=$Y2744,"×",IF($E2744&gt;=$Y2744*設定!$C$5,"△","○")))</f>
        <v/>
      </c>
      <c r="AA2744" s="15">
        <f>IF($Z2744="","",IF($Z2744="×",0,IF($Z2744="○",ROUNDDOWN($E2744*設定!$C$4,0),ROUNDDOWN($E2744*ROUND((9*$Y2744-9*$E2744)/(10*$E2744),4),0))))</f>
        <v/>
      </c>
      <c r="AB2744" s="13" t="n"/>
      <c r="AC2744" s="15">
        <f>IF($B2744="","",IF($AB2744&lt;&gt;"",$AB2744,IF($AA2744="","",IF($AA2744&lt;=設定!$C$3,0,$AA2744))))</f>
        <v/>
      </c>
      <c r="AD2744" s="14">
        <f>IF($B2744="","",IF(AND($AE2744&lt;&gt;"",$AG2744="",$AJ2744=""),"保留中",IF($AJ2744&lt;&gt;"",IF(N($AC2744)&gt;0,"支給済","不支給"),IF($AC2744="","要確認",IF($AC2744=0,"不支給","未処理")))))</f>
        <v/>
      </c>
      <c r="AE2744" s="12" t="n"/>
      <c r="AF2744" s="11" t="n"/>
      <c r="AG2744" s="11" t="n"/>
      <c r="AH2744" s="11" t="n"/>
      <c r="AI2744" s="14">
        <f>IF(AND($AD2744="保留中",$AF2744&lt;&gt;""),TODAY()-$AF2744,"")</f>
        <v/>
      </c>
      <c r="AJ2744" s="12" t="n"/>
      <c r="AK2744" s="14">
        <f>IF($B2744="","",IF($AO2744="","対象年月が未入力／","")&amp;IF($B2744="","",IF($AN2744="","職員マスタに未登録の職員番号／",IF($Y2744="","標準報酬月額が未登録／","")&amp;IF(AND($AO2744&lt;&gt;"",OR(AND(INDEX(職員マスタ!$G$6:$G$405,$AN2744)&lt;&gt;"",INDEX(職員マスタ!$G$6:$G$405,$AN2744)&gt;EOMONTH($AO2744,0)),AND(INDEX(職員マスタ!$H$6:$H$405,$AN2744)&lt;&gt;"",INDEX(職員マスタ!$H$6:$H$405,$AN2744)&lt;$AO2744))),"対象月が時短期間外／","")&amp;IF(AND(INDEX(職員マスタ!$F$6:$F$405,$AN2744)&lt;&gt;"",$AO2744&lt;&gt;"",INDEX(職員マスタ!$F$6:$F$405,$AN2744)&lt;$AO2744),"対象月に子が2歳到達済／","")&amp;IF(AND($H2744&lt;&gt;"",INDEX(職員マスタ!$B$6:$B$405,$AN2744)&lt;&gt;"",SUBSTITUTE(SUBSTITUTE($H2744," ","")," ","")&lt;&gt;SUBSTITUTE(SUBSTITUTE(INDEX(職員マスタ!$B$6:$B$405,$AN2744)," ","")," ","")),"氏名がマスタと相違／","")&amp;IF(AND($Q2744&lt;&gt;"",INDEX(職員マスタ!$E$6:$E$405,$AN2744)&lt;&gt;"",$Q2744&lt;&gt;INDEX(職員マスタ!$E$6:$E$405,$AN2744)),"子の生年月日がマスタと相違／","")&amp;IF(AND($L2744&lt;&gt;"",INDEX(職員マスタ!$G$6:$G$405,$AN2744)&lt;&gt;"",$L2744&lt;&gt;INDEX(職員マスタ!$G$6:$G$405,$AN2744)),"時短開始日がマスタと相違／","")&amp;IF(AND($M2744&lt;&gt;"",INDEX(職員マスタ!$H$6:$H$405,$AN2744)&lt;&gt;"",$M2744&lt;&gt;INDEX(職員マスタ!$H$6:$H$405,$AN2744)),"時短終了日がマスタと相違／","")))&amp;IF(AND($B2744&lt;&gt;"",$E2744=""),"報酬額が未入力／","")&amp;IF(N($U2744)&gt;0,"申請書に入力エラーが残っています／","")&amp;IF(AND($B2744&lt;&gt;"",$AO2744&lt;&gt;""),IF(COUNTIFS($B$6:$B$3005,$B2744,$C$6:$C$3005,$C2744,$D$6:$D$3005,$D2744)&gt;1,"同じ月の請求が重複しています／",""),"")&amp;IF(AND(N($E2744)&gt;0,$Z2744&lt;&gt;"",$Z2744&lt;&gt;"×",$AC2744=0,$AB2744=""),"計算額が下限以下のため不支給／",""))</f>
        <v/>
      </c>
      <c r="AL2744" s="12" t="n"/>
      <c r="AM2744" s="14">
        <f>IF($AD2744="保留中",COUNTIF($AD$6:$AD2744,"保留中"),"")</f>
        <v/>
      </c>
      <c r="AN2744" s="14">
        <f>IF($AO2744="","",IF(SUMPRODUCT(MAX((職員マスタ!$A$6:$A$405=$B2744)*(((職員マスタ!$G$6:$G$405="")+(職員マスタ!$G$6:$G$405&lt;=EOMONTH($AO2744,0)))&gt;0)*(((職員マスタ!$H$6:$H$405="")+(職員マスタ!$H$6:$H$405&gt;=$AO2744))&gt;0)*(ROW(職員マスタ!$A$6:$A$405)-5)))&gt;0,SUMPRODUCT(MAX((職員マスタ!$A$6:$A$405=$B2744)*(((職員マスタ!$G$6:$G$405="")+(職員マスタ!$G$6:$G$405&lt;=EOMONTH($AO2744,0)))&gt;0)*(((職員マスタ!$H$6:$H$405="")+(職員マスタ!$H$6:$H$405&gt;=$AO2744))&gt;0)*(ROW(職員マスタ!$A$6:$A$405)-5))),IFERROR(MATCH($B2744,職員マスタ!$A$6:$A$405,0),"")))</f>
        <v/>
      </c>
      <c r="AO2744" s="16">
        <f>IF(OR($B2744="",$C2744="",$D2744=""),"",DATE($C2744+2018,$D2744,1))</f>
        <v/>
      </c>
    </row>
    <row r="2745">
      <c r="A2745" s="11" t="n"/>
      <c r="B2745" s="12" t="n"/>
      <c r="C2745" s="12" t="n"/>
      <c r="D2745" s="12" t="n"/>
      <c r="E2745" s="13" t="n"/>
      <c r="F2745" s="12" t="n"/>
      <c r="G2745" s="13" t="n"/>
      <c r="H2745" s="12" t="n"/>
      <c r="I2745" s="12" t="n"/>
      <c r="J2745" s="12" t="n"/>
      <c r="K2745" s="12" t="n"/>
      <c r="L2745" s="11" t="n"/>
      <c r="M2745" s="11" t="n"/>
      <c r="N2745" s="11" t="n"/>
      <c r="O2745" s="11" t="n"/>
      <c r="P2745" s="12" t="n"/>
      <c r="Q2745" s="11" t="n"/>
      <c r="R2745" s="12" t="n"/>
      <c r="S2745" s="11" t="n"/>
      <c r="T2745" s="12" t="n"/>
      <c r="U2745" s="12" t="n"/>
      <c r="V2745" s="14">
        <f>IF($AN2745="",IF($B2745="","",$H2745),IF(INDEX(職員マスタ!$B$6:$B$405,$AN2745)="",$H2745,INDEX(職員マスタ!$B$6:$B$405,$AN2745)))</f>
        <v/>
      </c>
      <c r="W2745" s="14">
        <f>IF($AN2745="",IF($B2745="","",$R2745),IF(INDEX(職員マスタ!$C$6:$C$405,$AN2745)="",$R2745,INDEX(職員マスタ!$C$6:$C$405,$AN2745)))</f>
        <v/>
      </c>
      <c r="X2745" s="14">
        <f>IF($AO2745="","","R"&amp;$C2745&amp;"."&amp;$D2745)</f>
        <v/>
      </c>
      <c r="Y2745" s="15">
        <f>IF($AN2745="","",IF(INDEX(職員マスタ!$K$6:$K$405,$AN2745)="","",INDEX(職員マスタ!$K$6:$K$405,$AN2745)))</f>
        <v/>
      </c>
      <c r="Z2745" s="14">
        <f>IF(OR($E2745="",$Y2745=""),"",IF($E2745&gt;=$Y2745,"×",IF($E2745&gt;=$Y2745*設定!$C$5,"△","○")))</f>
        <v/>
      </c>
      <c r="AA2745" s="15">
        <f>IF($Z2745="","",IF($Z2745="×",0,IF($Z2745="○",ROUNDDOWN($E2745*設定!$C$4,0),ROUNDDOWN($E2745*ROUND((9*$Y2745-9*$E2745)/(10*$E2745),4),0))))</f>
        <v/>
      </c>
      <c r="AB2745" s="13" t="n"/>
      <c r="AC2745" s="15">
        <f>IF($B2745="","",IF($AB2745&lt;&gt;"",$AB2745,IF($AA2745="","",IF($AA2745&lt;=設定!$C$3,0,$AA2745))))</f>
        <v/>
      </c>
      <c r="AD2745" s="14">
        <f>IF($B2745="","",IF(AND($AE2745&lt;&gt;"",$AG2745="",$AJ2745=""),"保留中",IF($AJ2745&lt;&gt;"",IF(N($AC2745)&gt;0,"支給済","不支給"),IF($AC2745="","要確認",IF($AC2745=0,"不支給","未処理")))))</f>
        <v/>
      </c>
      <c r="AE2745" s="12" t="n"/>
      <c r="AF2745" s="11" t="n"/>
      <c r="AG2745" s="11" t="n"/>
      <c r="AH2745" s="11" t="n"/>
      <c r="AI2745" s="14">
        <f>IF(AND($AD2745="保留中",$AF2745&lt;&gt;""),TODAY()-$AF2745,"")</f>
        <v/>
      </c>
      <c r="AJ2745" s="12" t="n"/>
      <c r="AK2745" s="14">
        <f>IF($B2745="","",IF($AO2745="","対象年月が未入力／","")&amp;IF($B2745="","",IF($AN2745="","職員マスタに未登録の職員番号／",IF($Y2745="","標準報酬月額が未登録／","")&amp;IF(AND($AO2745&lt;&gt;"",OR(AND(INDEX(職員マスタ!$G$6:$G$405,$AN2745)&lt;&gt;"",INDEX(職員マスタ!$G$6:$G$405,$AN2745)&gt;EOMONTH($AO2745,0)),AND(INDEX(職員マスタ!$H$6:$H$405,$AN2745)&lt;&gt;"",INDEX(職員マスタ!$H$6:$H$405,$AN2745)&lt;$AO2745))),"対象月が時短期間外／","")&amp;IF(AND(INDEX(職員マスタ!$F$6:$F$405,$AN2745)&lt;&gt;"",$AO2745&lt;&gt;"",INDEX(職員マスタ!$F$6:$F$405,$AN2745)&lt;$AO2745),"対象月に子が2歳到達済／","")&amp;IF(AND($H2745&lt;&gt;"",INDEX(職員マスタ!$B$6:$B$405,$AN2745)&lt;&gt;"",SUBSTITUTE(SUBSTITUTE($H2745," ","")," ","")&lt;&gt;SUBSTITUTE(SUBSTITUTE(INDEX(職員マスタ!$B$6:$B$405,$AN2745)," ","")," ","")),"氏名がマスタと相違／","")&amp;IF(AND($Q2745&lt;&gt;"",INDEX(職員マスタ!$E$6:$E$405,$AN2745)&lt;&gt;"",$Q2745&lt;&gt;INDEX(職員マスタ!$E$6:$E$405,$AN2745)),"子の生年月日がマスタと相違／","")&amp;IF(AND($L2745&lt;&gt;"",INDEX(職員マスタ!$G$6:$G$405,$AN2745)&lt;&gt;"",$L2745&lt;&gt;INDEX(職員マスタ!$G$6:$G$405,$AN2745)),"時短開始日がマスタと相違／","")&amp;IF(AND($M2745&lt;&gt;"",INDEX(職員マスタ!$H$6:$H$405,$AN2745)&lt;&gt;"",$M2745&lt;&gt;INDEX(職員マスタ!$H$6:$H$405,$AN2745)),"時短終了日がマスタと相違／","")))&amp;IF(AND($B2745&lt;&gt;"",$E2745=""),"報酬額が未入力／","")&amp;IF(N($U2745)&gt;0,"申請書に入力エラーが残っています／","")&amp;IF(AND($B2745&lt;&gt;"",$AO2745&lt;&gt;""),IF(COUNTIFS($B$6:$B$3005,$B2745,$C$6:$C$3005,$C2745,$D$6:$D$3005,$D2745)&gt;1,"同じ月の請求が重複しています／",""),"")&amp;IF(AND(N($E2745)&gt;0,$Z2745&lt;&gt;"",$Z2745&lt;&gt;"×",$AC2745=0,$AB2745=""),"計算額が下限以下のため不支給／",""))</f>
        <v/>
      </c>
      <c r="AL2745" s="12" t="n"/>
      <c r="AM2745" s="14">
        <f>IF($AD2745="保留中",COUNTIF($AD$6:$AD2745,"保留中"),"")</f>
        <v/>
      </c>
      <c r="AN2745" s="14">
        <f>IF($AO2745="","",IF(SUMPRODUCT(MAX((職員マスタ!$A$6:$A$405=$B2745)*(((職員マスタ!$G$6:$G$405="")+(職員マスタ!$G$6:$G$405&lt;=EOMONTH($AO2745,0)))&gt;0)*(((職員マスタ!$H$6:$H$405="")+(職員マスタ!$H$6:$H$405&gt;=$AO2745))&gt;0)*(ROW(職員マスタ!$A$6:$A$405)-5)))&gt;0,SUMPRODUCT(MAX((職員マスタ!$A$6:$A$405=$B2745)*(((職員マスタ!$G$6:$G$405="")+(職員マスタ!$G$6:$G$405&lt;=EOMONTH($AO2745,0)))&gt;0)*(((職員マスタ!$H$6:$H$405="")+(職員マスタ!$H$6:$H$405&gt;=$AO2745))&gt;0)*(ROW(職員マスタ!$A$6:$A$405)-5))),IFERROR(MATCH($B2745,職員マスタ!$A$6:$A$405,0),"")))</f>
        <v/>
      </c>
      <c r="AO2745" s="16">
        <f>IF(OR($B2745="",$C2745="",$D2745=""),"",DATE($C2745+2018,$D2745,1))</f>
        <v/>
      </c>
    </row>
    <row r="2746">
      <c r="A2746" s="11" t="n"/>
      <c r="B2746" s="12" t="n"/>
      <c r="C2746" s="12" t="n"/>
      <c r="D2746" s="12" t="n"/>
      <c r="E2746" s="13" t="n"/>
      <c r="F2746" s="12" t="n"/>
      <c r="G2746" s="13" t="n"/>
      <c r="H2746" s="12" t="n"/>
      <c r="I2746" s="12" t="n"/>
      <c r="J2746" s="12" t="n"/>
      <c r="K2746" s="12" t="n"/>
      <c r="L2746" s="11" t="n"/>
      <c r="M2746" s="11" t="n"/>
      <c r="N2746" s="11" t="n"/>
      <c r="O2746" s="11" t="n"/>
      <c r="P2746" s="12" t="n"/>
      <c r="Q2746" s="11" t="n"/>
      <c r="R2746" s="12" t="n"/>
      <c r="S2746" s="11" t="n"/>
      <c r="T2746" s="12" t="n"/>
      <c r="U2746" s="12" t="n"/>
      <c r="V2746" s="14">
        <f>IF($AN2746="",IF($B2746="","",$H2746),IF(INDEX(職員マスタ!$B$6:$B$405,$AN2746)="",$H2746,INDEX(職員マスタ!$B$6:$B$405,$AN2746)))</f>
        <v/>
      </c>
      <c r="W2746" s="14">
        <f>IF($AN2746="",IF($B2746="","",$R2746),IF(INDEX(職員マスタ!$C$6:$C$405,$AN2746)="",$R2746,INDEX(職員マスタ!$C$6:$C$405,$AN2746)))</f>
        <v/>
      </c>
      <c r="X2746" s="14">
        <f>IF($AO2746="","","R"&amp;$C2746&amp;"."&amp;$D2746)</f>
        <v/>
      </c>
      <c r="Y2746" s="15">
        <f>IF($AN2746="","",IF(INDEX(職員マスタ!$K$6:$K$405,$AN2746)="","",INDEX(職員マスタ!$K$6:$K$405,$AN2746)))</f>
        <v/>
      </c>
      <c r="Z2746" s="14">
        <f>IF(OR($E2746="",$Y2746=""),"",IF($E2746&gt;=$Y2746,"×",IF($E2746&gt;=$Y2746*設定!$C$5,"△","○")))</f>
        <v/>
      </c>
      <c r="AA2746" s="15">
        <f>IF($Z2746="","",IF($Z2746="×",0,IF($Z2746="○",ROUNDDOWN($E2746*設定!$C$4,0),ROUNDDOWN($E2746*ROUND((9*$Y2746-9*$E2746)/(10*$E2746),4),0))))</f>
        <v/>
      </c>
      <c r="AB2746" s="13" t="n"/>
      <c r="AC2746" s="15">
        <f>IF($B2746="","",IF($AB2746&lt;&gt;"",$AB2746,IF($AA2746="","",IF($AA2746&lt;=設定!$C$3,0,$AA2746))))</f>
        <v/>
      </c>
      <c r="AD2746" s="14">
        <f>IF($B2746="","",IF(AND($AE2746&lt;&gt;"",$AG2746="",$AJ2746=""),"保留中",IF($AJ2746&lt;&gt;"",IF(N($AC2746)&gt;0,"支給済","不支給"),IF($AC2746="","要確認",IF($AC2746=0,"不支給","未処理")))))</f>
        <v/>
      </c>
      <c r="AE2746" s="12" t="n"/>
      <c r="AF2746" s="11" t="n"/>
      <c r="AG2746" s="11" t="n"/>
      <c r="AH2746" s="11" t="n"/>
      <c r="AI2746" s="14">
        <f>IF(AND($AD2746="保留中",$AF2746&lt;&gt;""),TODAY()-$AF2746,"")</f>
        <v/>
      </c>
      <c r="AJ2746" s="12" t="n"/>
      <c r="AK2746" s="14">
        <f>IF($B2746="","",IF($AO2746="","対象年月が未入力／","")&amp;IF($B2746="","",IF($AN2746="","職員マスタに未登録の職員番号／",IF($Y2746="","標準報酬月額が未登録／","")&amp;IF(AND($AO2746&lt;&gt;"",OR(AND(INDEX(職員マスタ!$G$6:$G$405,$AN2746)&lt;&gt;"",INDEX(職員マスタ!$G$6:$G$405,$AN2746)&gt;EOMONTH($AO2746,0)),AND(INDEX(職員マスタ!$H$6:$H$405,$AN2746)&lt;&gt;"",INDEX(職員マスタ!$H$6:$H$405,$AN2746)&lt;$AO2746))),"対象月が時短期間外／","")&amp;IF(AND(INDEX(職員マスタ!$F$6:$F$405,$AN2746)&lt;&gt;"",$AO2746&lt;&gt;"",INDEX(職員マスタ!$F$6:$F$405,$AN2746)&lt;$AO2746),"対象月に子が2歳到達済／","")&amp;IF(AND($H2746&lt;&gt;"",INDEX(職員マスタ!$B$6:$B$405,$AN2746)&lt;&gt;"",SUBSTITUTE(SUBSTITUTE($H2746," ","")," ","")&lt;&gt;SUBSTITUTE(SUBSTITUTE(INDEX(職員マスタ!$B$6:$B$405,$AN2746)," ","")," ","")),"氏名がマスタと相違／","")&amp;IF(AND($Q2746&lt;&gt;"",INDEX(職員マスタ!$E$6:$E$405,$AN2746)&lt;&gt;"",$Q2746&lt;&gt;INDEX(職員マスタ!$E$6:$E$405,$AN2746)),"子の生年月日がマスタと相違／","")&amp;IF(AND($L2746&lt;&gt;"",INDEX(職員マスタ!$G$6:$G$405,$AN2746)&lt;&gt;"",$L2746&lt;&gt;INDEX(職員マスタ!$G$6:$G$405,$AN2746)),"時短開始日がマスタと相違／","")&amp;IF(AND($M2746&lt;&gt;"",INDEX(職員マスタ!$H$6:$H$405,$AN2746)&lt;&gt;"",$M2746&lt;&gt;INDEX(職員マスタ!$H$6:$H$405,$AN2746)),"時短終了日がマスタと相違／","")))&amp;IF(AND($B2746&lt;&gt;"",$E2746=""),"報酬額が未入力／","")&amp;IF(N($U2746)&gt;0,"申請書に入力エラーが残っています／","")&amp;IF(AND($B2746&lt;&gt;"",$AO2746&lt;&gt;""),IF(COUNTIFS($B$6:$B$3005,$B2746,$C$6:$C$3005,$C2746,$D$6:$D$3005,$D2746)&gt;1,"同じ月の請求が重複しています／",""),"")&amp;IF(AND(N($E2746)&gt;0,$Z2746&lt;&gt;"",$Z2746&lt;&gt;"×",$AC2746=0,$AB2746=""),"計算額が下限以下のため不支給／",""))</f>
        <v/>
      </c>
      <c r="AL2746" s="12" t="n"/>
      <c r="AM2746" s="14">
        <f>IF($AD2746="保留中",COUNTIF($AD$6:$AD2746,"保留中"),"")</f>
        <v/>
      </c>
      <c r="AN2746" s="14">
        <f>IF($AO2746="","",IF(SUMPRODUCT(MAX((職員マスタ!$A$6:$A$405=$B2746)*(((職員マスタ!$G$6:$G$405="")+(職員マスタ!$G$6:$G$405&lt;=EOMONTH($AO2746,0)))&gt;0)*(((職員マスタ!$H$6:$H$405="")+(職員マスタ!$H$6:$H$405&gt;=$AO2746))&gt;0)*(ROW(職員マスタ!$A$6:$A$405)-5)))&gt;0,SUMPRODUCT(MAX((職員マスタ!$A$6:$A$405=$B2746)*(((職員マスタ!$G$6:$G$405="")+(職員マスタ!$G$6:$G$405&lt;=EOMONTH($AO2746,0)))&gt;0)*(((職員マスタ!$H$6:$H$405="")+(職員マスタ!$H$6:$H$405&gt;=$AO2746))&gt;0)*(ROW(職員マスタ!$A$6:$A$405)-5))),IFERROR(MATCH($B2746,職員マスタ!$A$6:$A$405,0),"")))</f>
        <v/>
      </c>
      <c r="AO2746" s="16">
        <f>IF(OR($B2746="",$C2746="",$D2746=""),"",DATE($C2746+2018,$D2746,1))</f>
        <v/>
      </c>
    </row>
    <row r="2747">
      <c r="A2747" s="11" t="n"/>
      <c r="B2747" s="12" t="n"/>
      <c r="C2747" s="12" t="n"/>
      <c r="D2747" s="12" t="n"/>
      <c r="E2747" s="13" t="n"/>
      <c r="F2747" s="12" t="n"/>
      <c r="G2747" s="13" t="n"/>
      <c r="H2747" s="12" t="n"/>
      <c r="I2747" s="12" t="n"/>
      <c r="J2747" s="12" t="n"/>
      <c r="K2747" s="12" t="n"/>
      <c r="L2747" s="11" t="n"/>
      <c r="M2747" s="11" t="n"/>
      <c r="N2747" s="11" t="n"/>
      <c r="O2747" s="11" t="n"/>
      <c r="P2747" s="12" t="n"/>
      <c r="Q2747" s="11" t="n"/>
      <c r="R2747" s="12" t="n"/>
      <c r="S2747" s="11" t="n"/>
      <c r="T2747" s="12" t="n"/>
      <c r="U2747" s="12" t="n"/>
      <c r="V2747" s="14">
        <f>IF($AN2747="",IF($B2747="","",$H2747),IF(INDEX(職員マスタ!$B$6:$B$405,$AN2747)="",$H2747,INDEX(職員マスタ!$B$6:$B$405,$AN2747)))</f>
        <v/>
      </c>
      <c r="W2747" s="14">
        <f>IF($AN2747="",IF($B2747="","",$R2747),IF(INDEX(職員マスタ!$C$6:$C$405,$AN2747)="",$R2747,INDEX(職員マスタ!$C$6:$C$405,$AN2747)))</f>
        <v/>
      </c>
      <c r="X2747" s="14">
        <f>IF($AO2747="","","R"&amp;$C2747&amp;"."&amp;$D2747)</f>
        <v/>
      </c>
      <c r="Y2747" s="15">
        <f>IF($AN2747="","",IF(INDEX(職員マスタ!$K$6:$K$405,$AN2747)="","",INDEX(職員マスタ!$K$6:$K$405,$AN2747)))</f>
        <v/>
      </c>
      <c r="Z2747" s="14">
        <f>IF(OR($E2747="",$Y2747=""),"",IF($E2747&gt;=$Y2747,"×",IF($E2747&gt;=$Y2747*設定!$C$5,"△","○")))</f>
        <v/>
      </c>
      <c r="AA2747" s="15">
        <f>IF($Z2747="","",IF($Z2747="×",0,IF($Z2747="○",ROUNDDOWN($E2747*設定!$C$4,0),ROUNDDOWN($E2747*ROUND((9*$Y2747-9*$E2747)/(10*$E2747),4),0))))</f>
        <v/>
      </c>
      <c r="AB2747" s="13" t="n"/>
      <c r="AC2747" s="15">
        <f>IF($B2747="","",IF($AB2747&lt;&gt;"",$AB2747,IF($AA2747="","",IF($AA2747&lt;=設定!$C$3,0,$AA2747))))</f>
        <v/>
      </c>
      <c r="AD2747" s="14">
        <f>IF($B2747="","",IF(AND($AE2747&lt;&gt;"",$AG2747="",$AJ2747=""),"保留中",IF($AJ2747&lt;&gt;"",IF(N($AC2747)&gt;0,"支給済","不支給"),IF($AC2747="","要確認",IF($AC2747=0,"不支給","未処理")))))</f>
        <v/>
      </c>
      <c r="AE2747" s="12" t="n"/>
      <c r="AF2747" s="11" t="n"/>
      <c r="AG2747" s="11" t="n"/>
      <c r="AH2747" s="11" t="n"/>
      <c r="AI2747" s="14">
        <f>IF(AND($AD2747="保留中",$AF2747&lt;&gt;""),TODAY()-$AF2747,"")</f>
        <v/>
      </c>
      <c r="AJ2747" s="12" t="n"/>
      <c r="AK2747" s="14">
        <f>IF($B2747="","",IF($AO2747="","対象年月が未入力／","")&amp;IF($B2747="","",IF($AN2747="","職員マスタに未登録の職員番号／",IF($Y2747="","標準報酬月額が未登録／","")&amp;IF(AND($AO2747&lt;&gt;"",OR(AND(INDEX(職員マスタ!$G$6:$G$405,$AN2747)&lt;&gt;"",INDEX(職員マスタ!$G$6:$G$405,$AN2747)&gt;EOMONTH($AO2747,0)),AND(INDEX(職員マスタ!$H$6:$H$405,$AN2747)&lt;&gt;"",INDEX(職員マスタ!$H$6:$H$405,$AN2747)&lt;$AO2747))),"対象月が時短期間外／","")&amp;IF(AND(INDEX(職員マスタ!$F$6:$F$405,$AN2747)&lt;&gt;"",$AO2747&lt;&gt;"",INDEX(職員マスタ!$F$6:$F$405,$AN2747)&lt;$AO2747),"対象月に子が2歳到達済／","")&amp;IF(AND($H2747&lt;&gt;"",INDEX(職員マスタ!$B$6:$B$405,$AN2747)&lt;&gt;"",SUBSTITUTE(SUBSTITUTE($H2747," ","")," ","")&lt;&gt;SUBSTITUTE(SUBSTITUTE(INDEX(職員マスタ!$B$6:$B$405,$AN2747)," ","")," ","")),"氏名がマスタと相違／","")&amp;IF(AND($Q2747&lt;&gt;"",INDEX(職員マスタ!$E$6:$E$405,$AN2747)&lt;&gt;"",$Q2747&lt;&gt;INDEX(職員マスタ!$E$6:$E$405,$AN2747)),"子の生年月日がマスタと相違／","")&amp;IF(AND($L2747&lt;&gt;"",INDEX(職員マスタ!$G$6:$G$405,$AN2747)&lt;&gt;"",$L2747&lt;&gt;INDEX(職員マスタ!$G$6:$G$405,$AN2747)),"時短開始日がマスタと相違／","")&amp;IF(AND($M2747&lt;&gt;"",INDEX(職員マスタ!$H$6:$H$405,$AN2747)&lt;&gt;"",$M2747&lt;&gt;INDEX(職員マスタ!$H$6:$H$405,$AN2747)),"時短終了日がマスタと相違／","")))&amp;IF(AND($B2747&lt;&gt;"",$E2747=""),"報酬額が未入力／","")&amp;IF(N($U2747)&gt;0,"申請書に入力エラーが残っています／","")&amp;IF(AND($B2747&lt;&gt;"",$AO2747&lt;&gt;""),IF(COUNTIFS($B$6:$B$3005,$B2747,$C$6:$C$3005,$C2747,$D$6:$D$3005,$D2747)&gt;1,"同じ月の請求が重複しています／",""),"")&amp;IF(AND(N($E2747)&gt;0,$Z2747&lt;&gt;"",$Z2747&lt;&gt;"×",$AC2747=0,$AB2747=""),"計算額が下限以下のため不支給／",""))</f>
        <v/>
      </c>
      <c r="AL2747" s="12" t="n"/>
      <c r="AM2747" s="14">
        <f>IF($AD2747="保留中",COUNTIF($AD$6:$AD2747,"保留中"),"")</f>
        <v/>
      </c>
      <c r="AN2747" s="14">
        <f>IF($AO2747="","",IF(SUMPRODUCT(MAX((職員マスタ!$A$6:$A$405=$B2747)*(((職員マスタ!$G$6:$G$405="")+(職員マスタ!$G$6:$G$405&lt;=EOMONTH($AO2747,0)))&gt;0)*(((職員マスタ!$H$6:$H$405="")+(職員マスタ!$H$6:$H$405&gt;=$AO2747))&gt;0)*(ROW(職員マスタ!$A$6:$A$405)-5)))&gt;0,SUMPRODUCT(MAX((職員マスタ!$A$6:$A$405=$B2747)*(((職員マスタ!$G$6:$G$405="")+(職員マスタ!$G$6:$G$405&lt;=EOMONTH($AO2747,0)))&gt;0)*(((職員マスタ!$H$6:$H$405="")+(職員マスタ!$H$6:$H$405&gt;=$AO2747))&gt;0)*(ROW(職員マスタ!$A$6:$A$405)-5))),IFERROR(MATCH($B2747,職員マスタ!$A$6:$A$405,0),"")))</f>
        <v/>
      </c>
      <c r="AO2747" s="16">
        <f>IF(OR($B2747="",$C2747="",$D2747=""),"",DATE($C2747+2018,$D2747,1))</f>
        <v/>
      </c>
    </row>
    <row r="2748">
      <c r="A2748" s="11" t="n"/>
      <c r="B2748" s="12" t="n"/>
      <c r="C2748" s="12" t="n"/>
      <c r="D2748" s="12" t="n"/>
      <c r="E2748" s="13" t="n"/>
      <c r="F2748" s="12" t="n"/>
      <c r="G2748" s="13" t="n"/>
      <c r="H2748" s="12" t="n"/>
      <c r="I2748" s="12" t="n"/>
      <c r="J2748" s="12" t="n"/>
      <c r="K2748" s="12" t="n"/>
      <c r="L2748" s="11" t="n"/>
      <c r="M2748" s="11" t="n"/>
      <c r="N2748" s="11" t="n"/>
      <c r="O2748" s="11" t="n"/>
      <c r="P2748" s="12" t="n"/>
      <c r="Q2748" s="11" t="n"/>
      <c r="R2748" s="12" t="n"/>
      <c r="S2748" s="11" t="n"/>
      <c r="T2748" s="12" t="n"/>
      <c r="U2748" s="12" t="n"/>
      <c r="V2748" s="14">
        <f>IF($AN2748="",IF($B2748="","",$H2748),IF(INDEX(職員マスタ!$B$6:$B$405,$AN2748)="",$H2748,INDEX(職員マスタ!$B$6:$B$405,$AN2748)))</f>
        <v/>
      </c>
      <c r="W2748" s="14">
        <f>IF($AN2748="",IF($B2748="","",$R2748),IF(INDEX(職員マスタ!$C$6:$C$405,$AN2748)="",$R2748,INDEX(職員マスタ!$C$6:$C$405,$AN2748)))</f>
        <v/>
      </c>
      <c r="X2748" s="14">
        <f>IF($AO2748="","","R"&amp;$C2748&amp;"."&amp;$D2748)</f>
        <v/>
      </c>
      <c r="Y2748" s="15">
        <f>IF($AN2748="","",IF(INDEX(職員マスタ!$K$6:$K$405,$AN2748)="","",INDEX(職員マスタ!$K$6:$K$405,$AN2748)))</f>
        <v/>
      </c>
      <c r="Z2748" s="14">
        <f>IF(OR($E2748="",$Y2748=""),"",IF($E2748&gt;=$Y2748,"×",IF($E2748&gt;=$Y2748*設定!$C$5,"△","○")))</f>
        <v/>
      </c>
      <c r="AA2748" s="15">
        <f>IF($Z2748="","",IF($Z2748="×",0,IF($Z2748="○",ROUNDDOWN($E2748*設定!$C$4,0),ROUNDDOWN($E2748*ROUND((9*$Y2748-9*$E2748)/(10*$E2748),4),0))))</f>
        <v/>
      </c>
      <c r="AB2748" s="13" t="n"/>
      <c r="AC2748" s="15">
        <f>IF($B2748="","",IF($AB2748&lt;&gt;"",$AB2748,IF($AA2748="","",IF($AA2748&lt;=設定!$C$3,0,$AA2748))))</f>
        <v/>
      </c>
      <c r="AD2748" s="14">
        <f>IF($B2748="","",IF(AND($AE2748&lt;&gt;"",$AG2748="",$AJ2748=""),"保留中",IF($AJ2748&lt;&gt;"",IF(N($AC2748)&gt;0,"支給済","不支給"),IF($AC2748="","要確認",IF($AC2748=0,"不支給","未処理")))))</f>
        <v/>
      </c>
      <c r="AE2748" s="12" t="n"/>
      <c r="AF2748" s="11" t="n"/>
      <c r="AG2748" s="11" t="n"/>
      <c r="AH2748" s="11" t="n"/>
      <c r="AI2748" s="14">
        <f>IF(AND($AD2748="保留中",$AF2748&lt;&gt;""),TODAY()-$AF2748,"")</f>
        <v/>
      </c>
      <c r="AJ2748" s="12" t="n"/>
      <c r="AK2748" s="14">
        <f>IF($B2748="","",IF($AO2748="","対象年月が未入力／","")&amp;IF($B2748="","",IF($AN2748="","職員マスタに未登録の職員番号／",IF($Y2748="","標準報酬月額が未登録／","")&amp;IF(AND($AO2748&lt;&gt;"",OR(AND(INDEX(職員マスタ!$G$6:$G$405,$AN2748)&lt;&gt;"",INDEX(職員マスタ!$G$6:$G$405,$AN2748)&gt;EOMONTH($AO2748,0)),AND(INDEX(職員マスタ!$H$6:$H$405,$AN2748)&lt;&gt;"",INDEX(職員マスタ!$H$6:$H$405,$AN2748)&lt;$AO2748))),"対象月が時短期間外／","")&amp;IF(AND(INDEX(職員マスタ!$F$6:$F$405,$AN2748)&lt;&gt;"",$AO2748&lt;&gt;"",INDEX(職員マスタ!$F$6:$F$405,$AN2748)&lt;$AO2748),"対象月に子が2歳到達済／","")&amp;IF(AND($H2748&lt;&gt;"",INDEX(職員マスタ!$B$6:$B$405,$AN2748)&lt;&gt;"",SUBSTITUTE(SUBSTITUTE($H2748," ","")," ","")&lt;&gt;SUBSTITUTE(SUBSTITUTE(INDEX(職員マスタ!$B$6:$B$405,$AN2748)," ","")," ","")),"氏名がマスタと相違／","")&amp;IF(AND($Q2748&lt;&gt;"",INDEX(職員マスタ!$E$6:$E$405,$AN2748)&lt;&gt;"",$Q2748&lt;&gt;INDEX(職員マスタ!$E$6:$E$405,$AN2748)),"子の生年月日がマスタと相違／","")&amp;IF(AND($L2748&lt;&gt;"",INDEX(職員マスタ!$G$6:$G$405,$AN2748)&lt;&gt;"",$L2748&lt;&gt;INDEX(職員マスタ!$G$6:$G$405,$AN2748)),"時短開始日がマスタと相違／","")&amp;IF(AND($M2748&lt;&gt;"",INDEX(職員マスタ!$H$6:$H$405,$AN2748)&lt;&gt;"",$M2748&lt;&gt;INDEX(職員マスタ!$H$6:$H$405,$AN2748)),"時短終了日がマスタと相違／","")))&amp;IF(AND($B2748&lt;&gt;"",$E2748=""),"報酬額が未入力／","")&amp;IF(N($U2748)&gt;0,"申請書に入力エラーが残っています／","")&amp;IF(AND($B2748&lt;&gt;"",$AO2748&lt;&gt;""),IF(COUNTIFS($B$6:$B$3005,$B2748,$C$6:$C$3005,$C2748,$D$6:$D$3005,$D2748)&gt;1,"同じ月の請求が重複しています／",""),"")&amp;IF(AND(N($E2748)&gt;0,$Z2748&lt;&gt;"",$Z2748&lt;&gt;"×",$AC2748=0,$AB2748=""),"計算額が下限以下のため不支給／",""))</f>
        <v/>
      </c>
      <c r="AL2748" s="12" t="n"/>
      <c r="AM2748" s="14">
        <f>IF($AD2748="保留中",COUNTIF($AD$6:$AD2748,"保留中"),"")</f>
        <v/>
      </c>
      <c r="AN2748" s="14">
        <f>IF($AO2748="","",IF(SUMPRODUCT(MAX((職員マスタ!$A$6:$A$405=$B2748)*(((職員マスタ!$G$6:$G$405="")+(職員マスタ!$G$6:$G$405&lt;=EOMONTH($AO2748,0)))&gt;0)*(((職員マスタ!$H$6:$H$405="")+(職員マスタ!$H$6:$H$405&gt;=$AO2748))&gt;0)*(ROW(職員マスタ!$A$6:$A$405)-5)))&gt;0,SUMPRODUCT(MAX((職員マスタ!$A$6:$A$405=$B2748)*(((職員マスタ!$G$6:$G$405="")+(職員マスタ!$G$6:$G$405&lt;=EOMONTH($AO2748,0)))&gt;0)*(((職員マスタ!$H$6:$H$405="")+(職員マスタ!$H$6:$H$405&gt;=$AO2748))&gt;0)*(ROW(職員マスタ!$A$6:$A$405)-5))),IFERROR(MATCH($B2748,職員マスタ!$A$6:$A$405,0),"")))</f>
        <v/>
      </c>
      <c r="AO2748" s="16">
        <f>IF(OR($B2748="",$C2748="",$D2748=""),"",DATE($C2748+2018,$D2748,1))</f>
        <v/>
      </c>
    </row>
    <row r="2749">
      <c r="A2749" s="11" t="n"/>
      <c r="B2749" s="12" t="n"/>
      <c r="C2749" s="12" t="n"/>
      <c r="D2749" s="12" t="n"/>
      <c r="E2749" s="13" t="n"/>
      <c r="F2749" s="12" t="n"/>
      <c r="G2749" s="13" t="n"/>
      <c r="H2749" s="12" t="n"/>
      <c r="I2749" s="12" t="n"/>
      <c r="J2749" s="12" t="n"/>
      <c r="K2749" s="12" t="n"/>
      <c r="L2749" s="11" t="n"/>
      <c r="M2749" s="11" t="n"/>
      <c r="N2749" s="11" t="n"/>
      <c r="O2749" s="11" t="n"/>
      <c r="P2749" s="12" t="n"/>
      <c r="Q2749" s="11" t="n"/>
      <c r="R2749" s="12" t="n"/>
      <c r="S2749" s="11" t="n"/>
      <c r="T2749" s="12" t="n"/>
      <c r="U2749" s="12" t="n"/>
      <c r="V2749" s="14">
        <f>IF($AN2749="",IF($B2749="","",$H2749),IF(INDEX(職員マスタ!$B$6:$B$405,$AN2749)="",$H2749,INDEX(職員マスタ!$B$6:$B$405,$AN2749)))</f>
        <v/>
      </c>
      <c r="W2749" s="14">
        <f>IF($AN2749="",IF($B2749="","",$R2749),IF(INDEX(職員マスタ!$C$6:$C$405,$AN2749)="",$R2749,INDEX(職員マスタ!$C$6:$C$405,$AN2749)))</f>
        <v/>
      </c>
      <c r="X2749" s="14">
        <f>IF($AO2749="","","R"&amp;$C2749&amp;"."&amp;$D2749)</f>
        <v/>
      </c>
      <c r="Y2749" s="15">
        <f>IF($AN2749="","",IF(INDEX(職員マスタ!$K$6:$K$405,$AN2749)="","",INDEX(職員マスタ!$K$6:$K$405,$AN2749)))</f>
        <v/>
      </c>
      <c r="Z2749" s="14">
        <f>IF(OR($E2749="",$Y2749=""),"",IF($E2749&gt;=$Y2749,"×",IF($E2749&gt;=$Y2749*設定!$C$5,"△","○")))</f>
        <v/>
      </c>
      <c r="AA2749" s="15">
        <f>IF($Z2749="","",IF($Z2749="×",0,IF($Z2749="○",ROUNDDOWN($E2749*設定!$C$4,0),ROUNDDOWN($E2749*ROUND((9*$Y2749-9*$E2749)/(10*$E2749),4),0))))</f>
        <v/>
      </c>
      <c r="AB2749" s="13" t="n"/>
      <c r="AC2749" s="15">
        <f>IF($B2749="","",IF($AB2749&lt;&gt;"",$AB2749,IF($AA2749="","",IF($AA2749&lt;=設定!$C$3,0,$AA2749))))</f>
        <v/>
      </c>
      <c r="AD2749" s="14">
        <f>IF($B2749="","",IF(AND($AE2749&lt;&gt;"",$AG2749="",$AJ2749=""),"保留中",IF($AJ2749&lt;&gt;"",IF(N($AC2749)&gt;0,"支給済","不支給"),IF($AC2749="","要確認",IF($AC2749=0,"不支給","未処理")))))</f>
        <v/>
      </c>
      <c r="AE2749" s="12" t="n"/>
      <c r="AF2749" s="11" t="n"/>
      <c r="AG2749" s="11" t="n"/>
      <c r="AH2749" s="11" t="n"/>
      <c r="AI2749" s="14">
        <f>IF(AND($AD2749="保留中",$AF2749&lt;&gt;""),TODAY()-$AF2749,"")</f>
        <v/>
      </c>
      <c r="AJ2749" s="12" t="n"/>
      <c r="AK2749" s="14">
        <f>IF($B2749="","",IF($AO2749="","対象年月が未入力／","")&amp;IF($B2749="","",IF($AN2749="","職員マスタに未登録の職員番号／",IF($Y2749="","標準報酬月額が未登録／","")&amp;IF(AND($AO2749&lt;&gt;"",OR(AND(INDEX(職員マスタ!$G$6:$G$405,$AN2749)&lt;&gt;"",INDEX(職員マスタ!$G$6:$G$405,$AN2749)&gt;EOMONTH($AO2749,0)),AND(INDEX(職員マスタ!$H$6:$H$405,$AN2749)&lt;&gt;"",INDEX(職員マスタ!$H$6:$H$405,$AN2749)&lt;$AO2749))),"対象月が時短期間外／","")&amp;IF(AND(INDEX(職員マスタ!$F$6:$F$405,$AN2749)&lt;&gt;"",$AO2749&lt;&gt;"",INDEX(職員マスタ!$F$6:$F$405,$AN2749)&lt;$AO2749),"対象月に子が2歳到達済／","")&amp;IF(AND($H2749&lt;&gt;"",INDEX(職員マスタ!$B$6:$B$405,$AN2749)&lt;&gt;"",SUBSTITUTE(SUBSTITUTE($H2749," ","")," ","")&lt;&gt;SUBSTITUTE(SUBSTITUTE(INDEX(職員マスタ!$B$6:$B$405,$AN2749)," ","")," ","")),"氏名がマスタと相違／","")&amp;IF(AND($Q2749&lt;&gt;"",INDEX(職員マスタ!$E$6:$E$405,$AN2749)&lt;&gt;"",$Q2749&lt;&gt;INDEX(職員マスタ!$E$6:$E$405,$AN2749)),"子の生年月日がマスタと相違／","")&amp;IF(AND($L2749&lt;&gt;"",INDEX(職員マスタ!$G$6:$G$405,$AN2749)&lt;&gt;"",$L2749&lt;&gt;INDEX(職員マスタ!$G$6:$G$405,$AN2749)),"時短開始日がマスタと相違／","")&amp;IF(AND($M2749&lt;&gt;"",INDEX(職員マスタ!$H$6:$H$405,$AN2749)&lt;&gt;"",$M2749&lt;&gt;INDEX(職員マスタ!$H$6:$H$405,$AN2749)),"時短終了日がマスタと相違／","")))&amp;IF(AND($B2749&lt;&gt;"",$E2749=""),"報酬額が未入力／","")&amp;IF(N($U2749)&gt;0,"申請書に入力エラーが残っています／","")&amp;IF(AND($B2749&lt;&gt;"",$AO2749&lt;&gt;""),IF(COUNTIFS($B$6:$B$3005,$B2749,$C$6:$C$3005,$C2749,$D$6:$D$3005,$D2749)&gt;1,"同じ月の請求が重複しています／",""),"")&amp;IF(AND(N($E2749)&gt;0,$Z2749&lt;&gt;"",$Z2749&lt;&gt;"×",$AC2749=0,$AB2749=""),"計算額が下限以下のため不支給／",""))</f>
        <v/>
      </c>
      <c r="AL2749" s="12" t="n"/>
      <c r="AM2749" s="14">
        <f>IF($AD2749="保留中",COUNTIF($AD$6:$AD2749,"保留中"),"")</f>
        <v/>
      </c>
      <c r="AN2749" s="14">
        <f>IF($AO2749="","",IF(SUMPRODUCT(MAX((職員マスタ!$A$6:$A$405=$B2749)*(((職員マスタ!$G$6:$G$405="")+(職員マスタ!$G$6:$G$405&lt;=EOMONTH($AO2749,0)))&gt;0)*(((職員マスタ!$H$6:$H$405="")+(職員マスタ!$H$6:$H$405&gt;=$AO2749))&gt;0)*(ROW(職員マスタ!$A$6:$A$405)-5)))&gt;0,SUMPRODUCT(MAX((職員マスタ!$A$6:$A$405=$B2749)*(((職員マスタ!$G$6:$G$405="")+(職員マスタ!$G$6:$G$405&lt;=EOMONTH($AO2749,0)))&gt;0)*(((職員マスタ!$H$6:$H$405="")+(職員マスタ!$H$6:$H$405&gt;=$AO2749))&gt;0)*(ROW(職員マスタ!$A$6:$A$405)-5))),IFERROR(MATCH($B2749,職員マスタ!$A$6:$A$405,0),"")))</f>
        <v/>
      </c>
      <c r="AO2749" s="16">
        <f>IF(OR($B2749="",$C2749="",$D2749=""),"",DATE($C2749+2018,$D2749,1))</f>
        <v/>
      </c>
    </row>
    <row r="2750">
      <c r="A2750" s="11" t="n"/>
      <c r="B2750" s="12" t="n"/>
      <c r="C2750" s="12" t="n"/>
      <c r="D2750" s="12" t="n"/>
      <c r="E2750" s="13" t="n"/>
      <c r="F2750" s="12" t="n"/>
      <c r="G2750" s="13" t="n"/>
      <c r="H2750" s="12" t="n"/>
      <c r="I2750" s="12" t="n"/>
      <c r="J2750" s="12" t="n"/>
      <c r="K2750" s="12" t="n"/>
      <c r="L2750" s="11" t="n"/>
      <c r="M2750" s="11" t="n"/>
      <c r="N2750" s="11" t="n"/>
      <c r="O2750" s="11" t="n"/>
      <c r="P2750" s="12" t="n"/>
      <c r="Q2750" s="11" t="n"/>
      <c r="R2750" s="12" t="n"/>
      <c r="S2750" s="11" t="n"/>
      <c r="T2750" s="12" t="n"/>
      <c r="U2750" s="12" t="n"/>
      <c r="V2750" s="14">
        <f>IF($AN2750="",IF($B2750="","",$H2750),IF(INDEX(職員マスタ!$B$6:$B$405,$AN2750)="",$H2750,INDEX(職員マスタ!$B$6:$B$405,$AN2750)))</f>
        <v/>
      </c>
      <c r="W2750" s="14">
        <f>IF($AN2750="",IF($B2750="","",$R2750),IF(INDEX(職員マスタ!$C$6:$C$405,$AN2750)="",$R2750,INDEX(職員マスタ!$C$6:$C$405,$AN2750)))</f>
        <v/>
      </c>
      <c r="X2750" s="14">
        <f>IF($AO2750="","","R"&amp;$C2750&amp;"."&amp;$D2750)</f>
        <v/>
      </c>
      <c r="Y2750" s="15">
        <f>IF($AN2750="","",IF(INDEX(職員マスタ!$K$6:$K$405,$AN2750)="","",INDEX(職員マスタ!$K$6:$K$405,$AN2750)))</f>
        <v/>
      </c>
      <c r="Z2750" s="14">
        <f>IF(OR($E2750="",$Y2750=""),"",IF($E2750&gt;=$Y2750,"×",IF($E2750&gt;=$Y2750*設定!$C$5,"△","○")))</f>
        <v/>
      </c>
      <c r="AA2750" s="15">
        <f>IF($Z2750="","",IF($Z2750="×",0,IF($Z2750="○",ROUNDDOWN($E2750*設定!$C$4,0),ROUNDDOWN($E2750*ROUND((9*$Y2750-9*$E2750)/(10*$E2750),4),0))))</f>
        <v/>
      </c>
      <c r="AB2750" s="13" t="n"/>
      <c r="AC2750" s="15">
        <f>IF($B2750="","",IF($AB2750&lt;&gt;"",$AB2750,IF($AA2750="","",IF($AA2750&lt;=設定!$C$3,0,$AA2750))))</f>
        <v/>
      </c>
      <c r="AD2750" s="14">
        <f>IF($B2750="","",IF(AND($AE2750&lt;&gt;"",$AG2750="",$AJ2750=""),"保留中",IF($AJ2750&lt;&gt;"",IF(N($AC2750)&gt;0,"支給済","不支給"),IF($AC2750="","要確認",IF($AC2750=0,"不支給","未処理")))))</f>
        <v/>
      </c>
      <c r="AE2750" s="12" t="n"/>
      <c r="AF2750" s="11" t="n"/>
      <c r="AG2750" s="11" t="n"/>
      <c r="AH2750" s="11" t="n"/>
      <c r="AI2750" s="14">
        <f>IF(AND($AD2750="保留中",$AF2750&lt;&gt;""),TODAY()-$AF2750,"")</f>
        <v/>
      </c>
      <c r="AJ2750" s="12" t="n"/>
      <c r="AK2750" s="14">
        <f>IF($B2750="","",IF($AO2750="","対象年月が未入力／","")&amp;IF($B2750="","",IF($AN2750="","職員マスタに未登録の職員番号／",IF($Y2750="","標準報酬月額が未登録／","")&amp;IF(AND($AO2750&lt;&gt;"",OR(AND(INDEX(職員マスタ!$G$6:$G$405,$AN2750)&lt;&gt;"",INDEX(職員マスタ!$G$6:$G$405,$AN2750)&gt;EOMONTH($AO2750,0)),AND(INDEX(職員マスタ!$H$6:$H$405,$AN2750)&lt;&gt;"",INDEX(職員マスタ!$H$6:$H$405,$AN2750)&lt;$AO2750))),"対象月が時短期間外／","")&amp;IF(AND(INDEX(職員マスタ!$F$6:$F$405,$AN2750)&lt;&gt;"",$AO2750&lt;&gt;"",INDEX(職員マスタ!$F$6:$F$405,$AN2750)&lt;$AO2750),"対象月に子が2歳到達済／","")&amp;IF(AND($H2750&lt;&gt;"",INDEX(職員マスタ!$B$6:$B$405,$AN2750)&lt;&gt;"",SUBSTITUTE(SUBSTITUTE($H2750," ","")," ","")&lt;&gt;SUBSTITUTE(SUBSTITUTE(INDEX(職員マスタ!$B$6:$B$405,$AN2750)," ","")," ","")),"氏名がマスタと相違／","")&amp;IF(AND($Q2750&lt;&gt;"",INDEX(職員マスタ!$E$6:$E$405,$AN2750)&lt;&gt;"",$Q2750&lt;&gt;INDEX(職員マスタ!$E$6:$E$405,$AN2750)),"子の生年月日がマスタと相違／","")&amp;IF(AND($L2750&lt;&gt;"",INDEX(職員マスタ!$G$6:$G$405,$AN2750)&lt;&gt;"",$L2750&lt;&gt;INDEX(職員マスタ!$G$6:$G$405,$AN2750)),"時短開始日がマスタと相違／","")&amp;IF(AND($M2750&lt;&gt;"",INDEX(職員マスタ!$H$6:$H$405,$AN2750)&lt;&gt;"",$M2750&lt;&gt;INDEX(職員マスタ!$H$6:$H$405,$AN2750)),"時短終了日がマスタと相違／","")))&amp;IF(AND($B2750&lt;&gt;"",$E2750=""),"報酬額が未入力／","")&amp;IF(N($U2750)&gt;0,"申請書に入力エラーが残っています／","")&amp;IF(AND($B2750&lt;&gt;"",$AO2750&lt;&gt;""),IF(COUNTIFS($B$6:$B$3005,$B2750,$C$6:$C$3005,$C2750,$D$6:$D$3005,$D2750)&gt;1,"同じ月の請求が重複しています／",""),"")&amp;IF(AND(N($E2750)&gt;0,$Z2750&lt;&gt;"",$Z2750&lt;&gt;"×",$AC2750=0,$AB2750=""),"計算額が下限以下のため不支給／",""))</f>
        <v/>
      </c>
      <c r="AL2750" s="12" t="n"/>
      <c r="AM2750" s="14">
        <f>IF($AD2750="保留中",COUNTIF($AD$6:$AD2750,"保留中"),"")</f>
        <v/>
      </c>
      <c r="AN2750" s="14">
        <f>IF($AO2750="","",IF(SUMPRODUCT(MAX((職員マスタ!$A$6:$A$405=$B2750)*(((職員マスタ!$G$6:$G$405="")+(職員マスタ!$G$6:$G$405&lt;=EOMONTH($AO2750,0)))&gt;0)*(((職員マスタ!$H$6:$H$405="")+(職員マスタ!$H$6:$H$405&gt;=$AO2750))&gt;0)*(ROW(職員マスタ!$A$6:$A$405)-5)))&gt;0,SUMPRODUCT(MAX((職員マスタ!$A$6:$A$405=$B2750)*(((職員マスタ!$G$6:$G$405="")+(職員マスタ!$G$6:$G$405&lt;=EOMONTH($AO2750,0)))&gt;0)*(((職員マスタ!$H$6:$H$405="")+(職員マスタ!$H$6:$H$405&gt;=$AO2750))&gt;0)*(ROW(職員マスタ!$A$6:$A$405)-5))),IFERROR(MATCH($B2750,職員マスタ!$A$6:$A$405,0),"")))</f>
        <v/>
      </c>
      <c r="AO2750" s="16">
        <f>IF(OR($B2750="",$C2750="",$D2750=""),"",DATE($C2750+2018,$D2750,1))</f>
        <v/>
      </c>
    </row>
    <row r="2751">
      <c r="A2751" s="11" t="n"/>
      <c r="B2751" s="12" t="n"/>
      <c r="C2751" s="12" t="n"/>
      <c r="D2751" s="12" t="n"/>
      <c r="E2751" s="13" t="n"/>
      <c r="F2751" s="12" t="n"/>
      <c r="G2751" s="13" t="n"/>
      <c r="H2751" s="12" t="n"/>
      <c r="I2751" s="12" t="n"/>
      <c r="J2751" s="12" t="n"/>
      <c r="K2751" s="12" t="n"/>
      <c r="L2751" s="11" t="n"/>
      <c r="M2751" s="11" t="n"/>
      <c r="N2751" s="11" t="n"/>
      <c r="O2751" s="11" t="n"/>
      <c r="P2751" s="12" t="n"/>
      <c r="Q2751" s="11" t="n"/>
      <c r="R2751" s="12" t="n"/>
      <c r="S2751" s="11" t="n"/>
      <c r="T2751" s="12" t="n"/>
      <c r="U2751" s="12" t="n"/>
      <c r="V2751" s="14">
        <f>IF($AN2751="",IF($B2751="","",$H2751),IF(INDEX(職員マスタ!$B$6:$B$405,$AN2751)="",$H2751,INDEX(職員マスタ!$B$6:$B$405,$AN2751)))</f>
        <v/>
      </c>
      <c r="W2751" s="14">
        <f>IF($AN2751="",IF($B2751="","",$R2751),IF(INDEX(職員マスタ!$C$6:$C$405,$AN2751)="",$R2751,INDEX(職員マスタ!$C$6:$C$405,$AN2751)))</f>
        <v/>
      </c>
      <c r="X2751" s="14">
        <f>IF($AO2751="","","R"&amp;$C2751&amp;"."&amp;$D2751)</f>
        <v/>
      </c>
      <c r="Y2751" s="15">
        <f>IF($AN2751="","",IF(INDEX(職員マスタ!$K$6:$K$405,$AN2751)="","",INDEX(職員マスタ!$K$6:$K$405,$AN2751)))</f>
        <v/>
      </c>
      <c r="Z2751" s="14">
        <f>IF(OR($E2751="",$Y2751=""),"",IF($E2751&gt;=$Y2751,"×",IF($E2751&gt;=$Y2751*設定!$C$5,"△","○")))</f>
        <v/>
      </c>
      <c r="AA2751" s="15">
        <f>IF($Z2751="","",IF($Z2751="×",0,IF($Z2751="○",ROUNDDOWN($E2751*設定!$C$4,0),ROUNDDOWN($E2751*ROUND((9*$Y2751-9*$E2751)/(10*$E2751),4),0))))</f>
        <v/>
      </c>
      <c r="AB2751" s="13" t="n"/>
      <c r="AC2751" s="15">
        <f>IF($B2751="","",IF($AB2751&lt;&gt;"",$AB2751,IF($AA2751="","",IF($AA2751&lt;=設定!$C$3,0,$AA2751))))</f>
        <v/>
      </c>
      <c r="AD2751" s="14">
        <f>IF($B2751="","",IF(AND($AE2751&lt;&gt;"",$AG2751="",$AJ2751=""),"保留中",IF($AJ2751&lt;&gt;"",IF(N($AC2751)&gt;0,"支給済","不支給"),IF($AC2751="","要確認",IF($AC2751=0,"不支給","未処理")))))</f>
        <v/>
      </c>
      <c r="AE2751" s="12" t="n"/>
      <c r="AF2751" s="11" t="n"/>
      <c r="AG2751" s="11" t="n"/>
      <c r="AH2751" s="11" t="n"/>
      <c r="AI2751" s="14">
        <f>IF(AND($AD2751="保留中",$AF2751&lt;&gt;""),TODAY()-$AF2751,"")</f>
        <v/>
      </c>
      <c r="AJ2751" s="12" t="n"/>
      <c r="AK2751" s="14">
        <f>IF($B2751="","",IF($AO2751="","対象年月が未入力／","")&amp;IF($B2751="","",IF($AN2751="","職員マスタに未登録の職員番号／",IF($Y2751="","標準報酬月額が未登録／","")&amp;IF(AND($AO2751&lt;&gt;"",OR(AND(INDEX(職員マスタ!$G$6:$G$405,$AN2751)&lt;&gt;"",INDEX(職員マスタ!$G$6:$G$405,$AN2751)&gt;EOMONTH($AO2751,0)),AND(INDEX(職員マスタ!$H$6:$H$405,$AN2751)&lt;&gt;"",INDEX(職員マスタ!$H$6:$H$405,$AN2751)&lt;$AO2751))),"対象月が時短期間外／","")&amp;IF(AND(INDEX(職員マスタ!$F$6:$F$405,$AN2751)&lt;&gt;"",$AO2751&lt;&gt;"",INDEX(職員マスタ!$F$6:$F$405,$AN2751)&lt;$AO2751),"対象月に子が2歳到達済／","")&amp;IF(AND($H2751&lt;&gt;"",INDEX(職員マスタ!$B$6:$B$405,$AN2751)&lt;&gt;"",SUBSTITUTE(SUBSTITUTE($H2751," ","")," ","")&lt;&gt;SUBSTITUTE(SUBSTITUTE(INDEX(職員マスタ!$B$6:$B$405,$AN2751)," ","")," ","")),"氏名がマスタと相違／","")&amp;IF(AND($Q2751&lt;&gt;"",INDEX(職員マスタ!$E$6:$E$405,$AN2751)&lt;&gt;"",$Q2751&lt;&gt;INDEX(職員マスタ!$E$6:$E$405,$AN2751)),"子の生年月日がマスタと相違／","")&amp;IF(AND($L2751&lt;&gt;"",INDEX(職員マスタ!$G$6:$G$405,$AN2751)&lt;&gt;"",$L2751&lt;&gt;INDEX(職員マスタ!$G$6:$G$405,$AN2751)),"時短開始日がマスタと相違／","")&amp;IF(AND($M2751&lt;&gt;"",INDEX(職員マスタ!$H$6:$H$405,$AN2751)&lt;&gt;"",$M2751&lt;&gt;INDEX(職員マスタ!$H$6:$H$405,$AN2751)),"時短終了日がマスタと相違／","")))&amp;IF(AND($B2751&lt;&gt;"",$E2751=""),"報酬額が未入力／","")&amp;IF(N($U2751)&gt;0,"申請書に入力エラーが残っています／","")&amp;IF(AND($B2751&lt;&gt;"",$AO2751&lt;&gt;""),IF(COUNTIFS($B$6:$B$3005,$B2751,$C$6:$C$3005,$C2751,$D$6:$D$3005,$D2751)&gt;1,"同じ月の請求が重複しています／",""),"")&amp;IF(AND(N($E2751)&gt;0,$Z2751&lt;&gt;"",$Z2751&lt;&gt;"×",$AC2751=0,$AB2751=""),"計算額が下限以下のため不支給／",""))</f>
        <v/>
      </c>
      <c r="AL2751" s="12" t="n"/>
      <c r="AM2751" s="14">
        <f>IF($AD2751="保留中",COUNTIF($AD$6:$AD2751,"保留中"),"")</f>
        <v/>
      </c>
      <c r="AN2751" s="14">
        <f>IF($AO2751="","",IF(SUMPRODUCT(MAX((職員マスタ!$A$6:$A$405=$B2751)*(((職員マスタ!$G$6:$G$405="")+(職員マスタ!$G$6:$G$405&lt;=EOMONTH($AO2751,0)))&gt;0)*(((職員マスタ!$H$6:$H$405="")+(職員マスタ!$H$6:$H$405&gt;=$AO2751))&gt;0)*(ROW(職員マスタ!$A$6:$A$405)-5)))&gt;0,SUMPRODUCT(MAX((職員マスタ!$A$6:$A$405=$B2751)*(((職員マスタ!$G$6:$G$405="")+(職員マスタ!$G$6:$G$405&lt;=EOMONTH($AO2751,0)))&gt;0)*(((職員マスタ!$H$6:$H$405="")+(職員マスタ!$H$6:$H$405&gt;=$AO2751))&gt;0)*(ROW(職員マスタ!$A$6:$A$405)-5))),IFERROR(MATCH($B2751,職員マスタ!$A$6:$A$405,0),"")))</f>
        <v/>
      </c>
      <c r="AO2751" s="16">
        <f>IF(OR($B2751="",$C2751="",$D2751=""),"",DATE($C2751+2018,$D2751,1))</f>
        <v/>
      </c>
    </row>
    <row r="2752">
      <c r="A2752" s="11" t="n"/>
      <c r="B2752" s="12" t="n"/>
      <c r="C2752" s="12" t="n"/>
      <c r="D2752" s="12" t="n"/>
      <c r="E2752" s="13" t="n"/>
      <c r="F2752" s="12" t="n"/>
      <c r="G2752" s="13" t="n"/>
      <c r="H2752" s="12" t="n"/>
      <c r="I2752" s="12" t="n"/>
      <c r="J2752" s="12" t="n"/>
      <c r="K2752" s="12" t="n"/>
      <c r="L2752" s="11" t="n"/>
      <c r="M2752" s="11" t="n"/>
      <c r="N2752" s="11" t="n"/>
      <c r="O2752" s="11" t="n"/>
      <c r="P2752" s="12" t="n"/>
      <c r="Q2752" s="11" t="n"/>
      <c r="R2752" s="12" t="n"/>
      <c r="S2752" s="11" t="n"/>
      <c r="T2752" s="12" t="n"/>
      <c r="U2752" s="12" t="n"/>
      <c r="V2752" s="14">
        <f>IF($AN2752="",IF($B2752="","",$H2752),IF(INDEX(職員マスタ!$B$6:$B$405,$AN2752)="",$H2752,INDEX(職員マスタ!$B$6:$B$405,$AN2752)))</f>
        <v/>
      </c>
      <c r="W2752" s="14">
        <f>IF($AN2752="",IF($B2752="","",$R2752),IF(INDEX(職員マスタ!$C$6:$C$405,$AN2752)="",$R2752,INDEX(職員マスタ!$C$6:$C$405,$AN2752)))</f>
        <v/>
      </c>
      <c r="X2752" s="14">
        <f>IF($AO2752="","","R"&amp;$C2752&amp;"."&amp;$D2752)</f>
        <v/>
      </c>
      <c r="Y2752" s="15">
        <f>IF($AN2752="","",IF(INDEX(職員マスタ!$K$6:$K$405,$AN2752)="","",INDEX(職員マスタ!$K$6:$K$405,$AN2752)))</f>
        <v/>
      </c>
      <c r="Z2752" s="14">
        <f>IF(OR($E2752="",$Y2752=""),"",IF($E2752&gt;=$Y2752,"×",IF($E2752&gt;=$Y2752*設定!$C$5,"△","○")))</f>
        <v/>
      </c>
      <c r="AA2752" s="15">
        <f>IF($Z2752="","",IF($Z2752="×",0,IF($Z2752="○",ROUNDDOWN($E2752*設定!$C$4,0),ROUNDDOWN($E2752*ROUND((9*$Y2752-9*$E2752)/(10*$E2752),4),0))))</f>
        <v/>
      </c>
      <c r="AB2752" s="13" t="n"/>
      <c r="AC2752" s="15">
        <f>IF($B2752="","",IF($AB2752&lt;&gt;"",$AB2752,IF($AA2752="","",IF($AA2752&lt;=設定!$C$3,0,$AA2752))))</f>
        <v/>
      </c>
      <c r="AD2752" s="14">
        <f>IF($B2752="","",IF(AND($AE2752&lt;&gt;"",$AG2752="",$AJ2752=""),"保留中",IF($AJ2752&lt;&gt;"",IF(N($AC2752)&gt;0,"支給済","不支給"),IF($AC2752="","要確認",IF($AC2752=0,"不支給","未処理")))))</f>
        <v/>
      </c>
      <c r="AE2752" s="12" t="n"/>
      <c r="AF2752" s="11" t="n"/>
      <c r="AG2752" s="11" t="n"/>
      <c r="AH2752" s="11" t="n"/>
      <c r="AI2752" s="14">
        <f>IF(AND($AD2752="保留中",$AF2752&lt;&gt;""),TODAY()-$AF2752,"")</f>
        <v/>
      </c>
      <c r="AJ2752" s="12" t="n"/>
      <c r="AK2752" s="14">
        <f>IF($B2752="","",IF($AO2752="","対象年月が未入力／","")&amp;IF($B2752="","",IF($AN2752="","職員マスタに未登録の職員番号／",IF($Y2752="","標準報酬月額が未登録／","")&amp;IF(AND($AO2752&lt;&gt;"",OR(AND(INDEX(職員マスタ!$G$6:$G$405,$AN2752)&lt;&gt;"",INDEX(職員マスタ!$G$6:$G$405,$AN2752)&gt;EOMONTH($AO2752,0)),AND(INDEX(職員マスタ!$H$6:$H$405,$AN2752)&lt;&gt;"",INDEX(職員マスタ!$H$6:$H$405,$AN2752)&lt;$AO2752))),"対象月が時短期間外／","")&amp;IF(AND(INDEX(職員マスタ!$F$6:$F$405,$AN2752)&lt;&gt;"",$AO2752&lt;&gt;"",INDEX(職員マスタ!$F$6:$F$405,$AN2752)&lt;$AO2752),"対象月に子が2歳到達済／","")&amp;IF(AND($H2752&lt;&gt;"",INDEX(職員マスタ!$B$6:$B$405,$AN2752)&lt;&gt;"",SUBSTITUTE(SUBSTITUTE($H2752," ","")," ","")&lt;&gt;SUBSTITUTE(SUBSTITUTE(INDEX(職員マスタ!$B$6:$B$405,$AN2752)," ","")," ","")),"氏名がマスタと相違／","")&amp;IF(AND($Q2752&lt;&gt;"",INDEX(職員マスタ!$E$6:$E$405,$AN2752)&lt;&gt;"",$Q2752&lt;&gt;INDEX(職員マスタ!$E$6:$E$405,$AN2752)),"子の生年月日がマスタと相違／","")&amp;IF(AND($L2752&lt;&gt;"",INDEX(職員マスタ!$G$6:$G$405,$AN2752)&lt;&gt;"",$L2752&lt;&gt;INDEX(職員マスタ!$G$6:$G$405,$AN2752)),"時短開始日がマスタと相違／","")&amp;IF(AND($M2752&lt;&gt;"",INDEX(職員マスタ!$H$6:$H$405,$AN2752)&lt;&gt;"",$M2752&lt;&gt;INDEX(職員マスタ!$H$6:$H$405,$AN2752)),"時短終了日がマスタと相違／","")))&amp;IF(AND($B2752&lt;&gt;"",$E2752=""),"報酬額が未入力／","")&amp;IF(N($U2752)&gt;0,"申請書に入力エラーが残っています／","")&amp;IF(AND($B2752&lt;&gt;"",$AO2752&lt;&gt;""),IF(COUNTIFS($B$6:$B$3005,$B2752,$C$6:$C$3005,$C2752,$D$6:$D$3005,$D2752)&gt;1,"同じ月の請求が重複しています／",""),"")&amp;IF(AND(N($E2752)&gt;0,$Z2752&lt;&gt;"",$Z2752&lt;&gt;"×",$AC2752=0,$AB2752=""),"計算額が下限以下のため不支給／",""))</f>
        <v/>
      </c>
      <c r="AL2752" s="12" t="n"/>
      <c r="AM2752" s="14">
        <f>IF($AD2752="保留中",COUNTIF($AD$6:$AD2752,"保留中"),"")</f>
        <v/>
      </c>
      <c r="AN2752" s="14">
        <f>IF($AO2752="","",IF(SUMPRODUCT(MAX((職員マスタ!$A$6:$A$405=$B2752)*(((職員マスタ!$G$6:$G$405="")+(職員マスタ!$G$6:$G$405&lt;=EOMONTH($AO2752,0)))&gt;0)*(((職員マスタ!$H$6:$H$405="")+(職員マスタ!$H$6:$H$405&gt;=$AO2752))&gt;0)*(ROW(職員マスタ!$A$6:$A$405)-5)))&gt;0,SUMPRODUCT(MAX((職員マスタ!$A$6:$A$405=$B2752)*(((職員マスタ!$G$6:$G$405="")+(職員マスタ!$G$6:$G$405&lt;=EOMONTH($AO2752,0)))&gt;0)*(((職員マスタ!$H$6:$H$405="")+(職員マスタ!$H$6:$H$405&gt;=$AO2752))&gt;0)*(ROW(職員マスタ!$A$6:$A$405)-5))),IFERROR(MATCH($B2752,職員マスタ!$A$6:$A$405,0),"")))</f>
        <v/>
      </c>
      <c r="AO2752" s="16">
        <f>IF(OR($B2752="",$C2752="",$D2752=""),"",DATE($C2752+2018,$D2752,1))</f>
        <v/>
      </c>
    </row>
    <row r="2753">
      <c r="A2753" s="11" t="n"/>
      <c r="B2753" s="12" t="n"/>
      <c r="C2753" s="12" t="n"/>
      <c r="D2753" s="12" t="n"/>
      <c r="E2753" s="13" t="n"/>
      <c r="F2753" s="12" t="n"/>
      <c r="G2753" s="13" t="n"/>
      <c r="H2753" s="12" t="n"/>
      <c r="I2753" s="12" t="n"/>
      <c r="J2753" s="12" t="n"/>
      <c r="K2753" s="12" t="n"/>
      <c r="L2753" s="11" t="n"/>
      <c r="M2753" s="11" t="n"/>
      <c r="N2753" s="11" t="n"/>
      <c r="O2753" s="11" t="n"/>
      <c r="P2753" s="12" t="n"/>
      <c r="Q2753" s="11" t="n"/>
      <c r="R2753" s="12" t="n"/>
      <c r="S2753" s="11" t="n"/>
      <c r="T2753" s="12" t="n"/>
      <c r="U2753" s="12" t="n"/>
      <c r="V2753" s="14">
        <f>IF($AN2753="",IF($B2753="","",$H2753),IF(INDEX(職員マスタ!$B$6:$B$405,$AN2753)="",$H2753,INDEX(職員マスタ!$B$6:$B$405,$AN2753)))</f>
        <v/>
      </c>
      <c r="W2753" s="14">
        <f>IF($AN2753="",IF($B2753="","",$R2753),IF(INDEX(職員マスタ!$C$6:$C$405,$AN2753)="",$R2753,INDEX(職員マスタ!$C$6:$C$405,$AN2753)))</f>
        <v/>
      </c>
      <c r="X2753" s="14">
        <f>IF($AO2753="","","R"&amp;$C2753&amp;"."&amp;$D2753)</f>
        <v/>
      </c>
      <c r="Y2753" s="15">
        <f>IF($AN2753="","",IF(INDEX(職員マスタ!$K$6:$K$405,$AN2753)="","",INDEX(職員マスタ!$K$6:$K$405,$AN2753)))</f>
        <v/>
      </c>
      <c r="Z2753" s="14">
        <f>IF(OR($E2753="",$Y2753=""),"",IF($E2753&gt;=$Y2753,"×",IF($E2753&gt;=$Y2753*設定!$C$5,"△","○")))</f>
        <v/>
      </c>
      <c r="AA2753" s="15">
        <f>IF($Z2753="","",IF($Z2753="×",0,IF($Z2753="○",ROUNDDOWN($E2753*設定!$C$4,0),ROUNDDOWN($E2753*ROUND((9*$Y2753-9*$E2753)/(10*$E2753),4),0))))</f>
        <v/>
      </c>
      <c r="AB2753" s="13" t="n"/>
      <c r="AC2753" s="15">
        <f>IF($B2753="","",IF($AB2753&lt;&gt;"",$AB2753,IF($AA2753="","",IF($AA2753&lt;=設定!$C$3,0,$AA2753))))</f>
        <v/>
      </c>
      <c r="AD2753" s="14">
        <f>IF($B2753="","",IF(AND($AE2753&lt;&gt;"",$AG2753="",$AJ2753=""),"保留中",IF($AJ2753&lt;&gt;"",IF(N($AC2753)&gt;0,"支給済","不支給"),IF($AC2753="","要確認",IF($AC2753=0,"不支給","未処理")))))</f>
        <v/>
      </c>
      <c r="AE2753" s="12" t="n"/>
      <c r="AF2753" s="11" t="n"/>
      <c r="AG2753" s="11" t="n"/>
      <c r="AH2753" s="11" t="n"/>
      <c r="AI2753" s="14">
        <f>IF(AND($AD2753="保留中",$AF2753&lt;&gt;""),TODAY()-$AF2753,"")</f>
        <v/>
      </c>
      <c r="AJ2753" s="12" t="n"/>
      <c r="AK2753" s="14">
        <f>IF($B2753="","",IF($AO2753="","対象年月が未入力／","")&amp;IF($B2753="","",IF($AN2753="","職員マスタに未登録の職員番号／",IF($Y2753="","標準報酬月額が未登録／","")&amp;IF(AND($AO2753&lt;&gt;"",OR(AND(INDEX(職員マスタ!$G$6:$G$405,$AN2753)&lt;&gt;"",INDEX(職員マスタ!$G$6:$G$405,$AN2753)&gt;EOMONTH($AO2753,0)),AND(INDEX(職員マスタ!$H$6:$H$405,$AN2753)&lt;&gt;"",INDEX(職員マスタ!$H$6:$H$405,$AN2753)&lt;$AO2753))),"対象月が時短期間外／","")&amp;IF(AND(INDEX(職員マスタ!$F$6:$F$405,$AN2753)&lt;&gt;"",$AO2753&lt;&gt;"",INDEX(職員マスタ!$F$6:$F$405,$AN2753)&lt;$AO2753),"対象月に子が2歳到達済／","")&amp;IF(AND($H2753&lt;&gt;"",INDEX(職員マスタ!$B$6:$B$405,$AN2753)&lt;&gt;"",SUBSTITUTE(SUBSTITUTE($H2753," ","")," ","")&lt;&gt;SUBSTITUTE(SUBSTITUTE(INDEX(職員マスタ!$B$6:$B$405,$AN2753)," ","")," ","")),"氏名がマスタと相違／","")&amp;IF(AND($Q2753&lt;&gt;"",INDEX(職員マスタ!$E$6:$E$405,$AN2753)&lt;&gt;"",$Q2753&lt;&gt;INDEX(職員マスタ!$E$6:$E$405,$AN2753)),"子の生年月日がマスタと相違／","")&amp;IF(AND($L2753&lt;&gt;"",INDEX(職員マスタ!$G$6:$G$405,$AN2753)&lt;&gt;"",$L2753&lt;&gt;INDEX(職員マスタ!$G$6:$G$405,$AN2753)),"時短開始日がマスタと相違／","")&amp;IF(AND($M2753&lt;&gt;"",INDEX(職員マスタ!$H$6:$H$405,$AN2753)&lt;&gt;"",$M2753&lt;&gt;INDEX(職員マスタ!$H$6:$H$405,$AN2753)),"時短終了日がマスタと相違／","")))&amp;IF(AND($B2753&lt;&gt;"",$E2753=""),"報酬額が未入力／","")&amp;IF(N($U2753)&gt;0,"申請書に入力エラーが残っています／","")&amp;IF(AND($B2753&lt;&gt;"",$AO2753&lt;&gt;""),IF(COUNTIFS($B$6:$B$3005,$B2753,$C$6:$C$3005,$C2753,$D$6:$D$3005,$D2753)&gt;1,"同じ月の請求が重複しています／",""),"")&amp;IF(AND(N($E2753)&gt;0,$Z2753&lt;&gt;"",$Z2753&lt;&gt;"×",$AC2753=0,$AB2753=""),"計算額が下限以下のため不支給／",""))</f>
        <v/>
      </c>
      <c r="AL2753" s="12" t="n"/>
      <c r="AM2753" s="14">
        <f>IF($AD2753="保留中",COUNTIF($AD$6:$AD2753,"保留中"),"")</f>
        <v/>
      </c>
      <c r="AN2753" s="14">
        <f>IF($AO2753="","",IF(SUMPRODUCT(MAX((職員マスタ!$A$6:$A$405=$B2753)*(((職員マスタ!$G$6:$G$405="")+(職員マスタ!$G$6:$G$405&lt;=EOMONTH($AO2753,0)))&gt;0)*(((職員マスタ!$H$6:$H$405="")+(職員マスタ!$H$6:$H$405&gt;=$AO2753))&gt;0)*(ROW(職員マスタ!$A$6:$A$405)-5)))&gt;0,SUMPRODUCT(MAX((職員マスタ!$A$6:$A$405=$B2753)*(((職員マスタ!$G$6:$G$405="")+(職員マスタ!$G$6:$G$405&lt;=EOMONTH($AO2753,0)))&gt;0)*(((職員マスタ!$H$6:$H$405="")+(職員マスタ!$H$6:$H$405&gt;=$AO2753))&gt;0)*(ROW(職員マスタ!$A$6:$A$405)-5))),IFERROR(MATCH($B2753,職員マスタ!$A$6:$A$405,0),"")))</f>
        <v/>
      </c>
      <c r="AO2753" s="16">
        <f>IF(OR($B2753="",$C2753="",$D2753=""),"",DATE($C2753+2018,$D2753,1))</f>
        <v/>
      </c>
    </row>
    <row r="2754">
      <c r="A2754" s="11" t="n"/>
      <c r="B2754" s="12" t="n"/>
      <c r="C2754" s="12" t="n"/>
      <c r="D2754" s="12" t="n"/>
      <c r="E2754" s="13" t="n"/>
      <c r="F2754" s="12" t="n"/>
      <c r="G2754" s="13" t="n"/>
      <c r="H2754" s="12" t="n"/>
      <c r="I2754" s="12" t="n"/>
      <c r="J2754" s="12" t="n"/>
      <c r="K2754" s="12" t="n"/>
      <c r="L2754" s="11" t="n"/>
      <c r="M2754" s="11" t="n"/>
      <c r="N2754" s="11" t="n"/>
      <c r="O2754" s="11" t="n"/>
      <c r="P2754" s="12" t="n"/>
      <c r="Q2754" s="11" t="n"/>
      <c r="R2754" s="12" t="n"/>
      <c r="S2754" s="11" t="n"/>
      <c r="T2754" s="12" t="n"/>
      <c r="U2754" s="12" t="n"/>
      <c r="V2754" s="14">
        <f>IF($AN2754="",IF($B2754="","",$H2754),IF(INDEX(職員マスタ!$B$6:$B$405,$AN2754)="",$H2754,INDEX(職員マスタ!$B$6:$B$405,$AN2754)))</f>
        <v/>
      </c>
      <c r="W2754" s="14">
        <f>IF($AN2754="",IF($B2754="","",$R2754),IF(INDEX(職員マスタ!$C$6:$C$405,$AN2754)="",$R2754,INDEX(職員マスタ!$C$6:$C$405,$AN2754)))</f>
        <v/>
      </c>
      <c r="X2754" s="14">
        <f>IF($AO2754="","","R"&amp;$C2754&amp;"."&amp;$D2754)</f>
        <v/>
      </c>
      <c r="Y2754" s="15">
        <f>IF($AN2754="","",IF(INDEX(職員マスタ!$K$6:$K$405,$AN2754)="","",INDEX(職員マスタ!$K$6:$K$405,$AN2754)))</f>
        <v/>
      </c>
      <c r="Z2754" s="14">
        <f>IF(OR($E2754="",$Y2754=""),"",IF($E2754&gt;=$Y2754,"×",IF($E2754&gt;=$Y2754*設定!$C$5,"△","○")))</f>
        <v/>
      </c>
      <c r="AA2754" s="15">
        <f>IF($Z2754="","",IF($Z2754="×",0,IF($Z2754="○",ROUNDDOWN($E2754*設定!$C$4,0),ROUNDDOWN($E2754*ROUND((9*$Y2754-9*$E2754)/(10*$E2754),4),0))))</f>
        <v/>
      </c>
      <c r="AB2754" s="13" t="n"/>
      <c r="AC2754" s="15">
        <f>IF($B2754="","",IF($AB2754&lt;&gt;"",$AB2754,IF($AA2754="","",IF($AA2754&lt;=設定!$C$3,0,$AA2754))))</f>
        <v/>
      </c>
      <c r="AD2754" s="14">
        <f>IF($B2754="","",IF(AND($AE2754&lt;&gt;"",$AG2754="",$AJ2754=""),"保留中",IF($AJ2754&lt;&gt;"",IF(N($AC2754)&gt;0,"支給済","不支給"),IF($AC2754="","要確認",IF($AC2754=0,"不支給","未処理")))))</f>
        <v/>
      </c>
      <c r="AE2754" s="12" t="n"/>
      <c r="AF2754" s="11" t="n"/>
      <c r="AG2754" s="11" t="n"/>
      <c r="AH2754" s="11" t="n"/>
      <c r="AI2754" s="14">
        <f>IF(AND($AD2754="保留中",$AF2754&lt;&gt;""),TODAY()-$AF2754,"")</f>
        <v/>
      </c>
      <c r="AJ2754" s="12" t="n"/>
      <c r="AK2754" s="14">
        <f>IF($B2754="","",IF($AO2754="","対象年月が未入力／","")&amp;IF($B2754="","",IF($AN2754="","職員マスタに未登録の職員番号／",IF($Y2754="","標準報酬月額が未登録／","")&amp;IF(AND($AO2754&lt;&gt;"",OR(AND(INDEX(職員マスタ!$G$6:$G$405,$AN2754)&lt;&gt;"",INDEX(職員マスタ!$G$6:$G$405,$AN2754)&gt;EOMONTH($AO2754,0)),AND(INDEX(職員マスタ!$H$6:$H$405,$AN2754)&lt;&gt;"",INDEX(職員マスタ!$H$6:$H$405,$AN2754)&lt;$AO2754))),"対象月が時短期間外／","")&amp;IF(AND(INDEX(職員マスタ!$F$6:$F$405,$AN2754)&lt;&gt;"",$AO2754&lt;&gt;"",INDEX(職員マスタ!$F$6:$F$405,$AN2754)&lt;$AO2754),"対象月に子が2歳到達済／","")&amp;IF(AND($H2754&lt;&gt;"",INDEX(職員マスタ!$B$6:$B$405,$AN2754)&lt;&gt;"",SUBSTITUTE(SUBSTITUTE($H2754," ","")," ","")&lt;&gt;SUBSTITUTE(SUBSTITUTE(INDEX(職員マスタ!$B$6:$B$405,$AN2754)," ","")," ","")),"氏名がマスタと相違／","")&amp;IF(AND($Q2754&lt;&gt;"",INDEX(職員マスタ!$E$6:$E$405,$AN2754)&lt;&gt;"",$Q2754&lt;&gt;INDEX(職員マスタ!$E$6:$E$405,$AN2754)),"子の生年月日がマスタと相違／","")&amp;IF(AND($L2754&lt;&gt;"",INDEX(職員マスタ!$G$6:$G$405,$AN2754)&lt;&gt;"",$L2754&lt;&gt;INDEX(職員マスタ!$G$6:$G$405,$AN2754)),"時短開始日がマスタと相違／","")&amp;IF(AND($M2754&lt;&gt;"",INDEX(職員マスタ!$H$6:$H$405,$AN2754)&lt;&gt;"",$M2754&lt;&gt;INDEX(職員マスタ!$H$6:$H$405,$AN2754)),"時短終了日がマスタと相違／","")))&amp;IF(AND($B2754&lt;&gt;"",$E2754=""),"報酬額が未入力／","")&amp;IF(N($U2754)&gt;0,"申請書に入力エラーが残っています／","")&amp;IF(AND($B2754&lt;&gt;"",$AO2754&lt;&gt;""),IF(COUNTIFS($B$6:$B$3005,$B2754,$C$6:$C$3005,$C2754,$D$6:$D$3005,$D2754)&gt;1,"同じ月の請求が重複しています／",""),"")&amp;IF(AND(N($E2754)&gt;0,$Z2754&lt;&gt;"",$Z2754&lt;&gt;"×",$AC2754=0,$AB2754=""),"計算額が下限以下のため不支給／",""))</f>
        <v/>
      </c>
      <c r="AL2754" s="12" t="n"/>
      <c r="AM2754" s="14">
        <f>IF($AD2754="保留中",COUNTIF($AD$6:$AD2754,"保留中"),"")</f>
        <v/>
      </c>
      <c r="AN2754" s="14">
        <f>IF($AO2754="","",IF(SUMPRODUCT(MAX((職員マスタ!$A$6:$A$405=$B2754)*(((職員マスタ!$G$6:$G$405="")+(職員マスタ!$G$6:$G$405&lt;=EOMONTH($AO2754,0)))&gt;0)*(((職員マスタ!$H$6:$H$405="")+(職員マスタ!$H$6:$H$405&gt;=$AO2754))&gt;0)*(ROW(職員マスタ!$A$6:$A$405)-5)))&gt;0,SUMPRODUCT(MAX((職員マスタ!$A$6:$A$405=$B2754)*(((職員マスタ!$G$6:$G$405="")+(職員マスタ!$G$6:$G$405&lt;=EOMONTH($AO2754,0)))&gt;0)*(((職員マスタ!$H$6:$H$405="")+(職員マスタ!$H$6:$H$405&gt;=$AO2754))&gt;0)*(ROW(職員マスタ!$A$6:$A$405)-5))),IFERROR(MATCH($B2754,職員マスタ!$A$6:$A$405,0),"")))</f>
        <v/>
      </c>
      <c r="AO2754" s="16">
        <f>IF(OR($B2754="",$C2754="",$D2754=""),"",DATE($C2754+2018,$D2754,1))</f>
        <v/>
      </c>
    </row>
    <row r="2755">
      <c r="A2755" s="11" t="n"/>
      <c r="B2755" s="12" t="n"/>
      <c r="C2755" s="12" t="n"/>
      <c r="D2755" s="12" t="n"/>
      <c r="E2755" s="13" t="n"/>
      <c r="F2755" s="12" t="n"/>
      <c r="G2755" s="13" t="n"/>
      <c r="H2755" s="12" t="n"/>
      <c r="I2755" s="12" t="n"/>
      <c r="J2755" s="12" t="n"/>
      <c r="K2755" s="12" t="n"/>
      <c r="L2755" s="11" t="n"/>
      <c r="M2755" s="11" t="n"/>
      <c r="N2755" s="11" t="n"/>
      <c r="O2755" s="11" t="n"/>
      <c r="P2755" s="12" t="n"/>
      <c r="Q2755" s="11" t="n"/>
      <c r="R2755" s="12" t="n"/>
      <c r="S2755" s="11" t="n"/>
      <c r="T2755" s="12" t="n"/>
      <c r="U2755" s="12" t="n"/>
      <c r="V2755" s="14">
        <f>IF($AN2755="",IF($B2755="","",$H2755),IF(INDEX(職員マスタ!$B$6:$B$405,$AN2755)="",$H2755,INDEX(職員マスタ!$B$6:$B$405,$AN2755)))</f>
        <v/>
      </c>
      <c r="W2755" s="14">
        <f>IF($AN2755="",IF($B2755="","",$R2755),IF(INDEX(職員マスタ!$C$6:$C$405,$AN2755)="",$R2755,INDEX(職員マスタ!$C$6:$C$405,$AN2755)))</f>
        <v/>
      </c>
      <c r="X2755" s="14">
        <f>IF($AO2755="","","R"&amp;$C2755&amp;"."&amp;$D2755)</f>
        <v/>
      </c>
      <c r="Y2755" s="15">
        <f>IF($AN2755="","",IF(INDEX(職員マスタ!$K$6:$K$405,$AN2755)="","",INDEX(職員マスタ!$K$6:$K$405,$AN2755)))</f>
        <v/>
      </c>
      <c r="Z2755" s="14">
        <f>IF(OR($E2755="",$Y2755=""),"",IF($E2755&gt;=$Y2755,"×",IF($E2755&gt;=$Y2755*設定!$C$5,"△","○")))</f>
        <v/>
      </c>
      <c r="AA2755" s="15">
        <f>IF($Z2755="","",IF($Z2755="×",0,IF($Z2755="○",ROUNDDOWN($E2755*設定!$C$4,0),ROUNDDOWN($E2755*ROUND((9*$Y2755-9*$E2755)/(10*$E2755),4),0))))</f>
        <v/>
      </c>
      <c r="AB2755" s="13" t="n"/>
      <c r="AC2755" s="15">
        <f>IF($B2755="","",IF($AB2755&lt;&gt;"",$AB2755,IF($AA2755="","",IF($AA2755&lt;=設定!$C$3,0,$AA2755))))</f>
        <v/>
      </c>
      <c r="AD2755" s="14">
        <f>IF($B2755="","",IF(AND($AE2755&lt;&gt;"",$AG2755="",$AJ2755=""),"保留中",IF($AJ2755&lt;&gt;"",IF(N($AC2755)&gt;0,"支給済","不支給"),IF($AC2755="","要確認",IF($AC2755=0,"不支給","未処理")))))</f>
        <v/>
      </c>
      <c r="AE2755" s="12" t="n"/>
      <c r="AF2755" s="11" t="n"/>
      <c r="AG2755" s="11" t="n"/>
      <c r="AH2755" s="11" t="n"/>
      <c r="AI2755" s="14">
        <f>IF(AND($AD2755="保留中",$AF2755&lt;&gt;""),TODAY()-$AF2755,"")</f>
        <v/>
      </c>
      <c r="AJ2755" s="12" t="n"/>
      <c r="AK2755" s="14">
        <f>IF($B2755="","",IF($AO2755="","対象年月が未入力／","")&amp;IF($B2755="","",IF($AN2755="","職員マスタに未登録の職員番号／",IF($Y2755="","標準報酬月額が未登録／","")&amp;IF(AND($AO2755&lt;&gt;"",OR(AND(INDEX(職員マスタ!$G$6:$G$405,$AN2755)&lt;&gt;"",INDEX(職員マスタ!$G$6:$G$405,$AN2755)&gt;EOMONTH($AO2755,0)),AND(INDEX(職員マスタ!$H$6:$H$405,$AN2755)&lt;&gt;"",INDEX(職員マスタ!$H$6:$H$405,$AN2755)&lt;$AO2755))),"対象月が時短期間外／","")&amp;IF(AND(INDEX(職員マスタ!$F$6:$F$405,$AN2755)&lt;&gt;"",$AO2755&lt;&gt;"",INDEX(職員マスタ!$F$6:$F$405,$AN2755)&lt;$AO2755),"対象月に子が2歳到達済／","")&amp;IF(AND($H2755&lt;&gt;"",INDEX(職員マスタ!$B$6:$B$405,$AN2755)&lt;&gt;"",SUBSTITUTE(SUBSTITUTE($H2755," ","")," ","")&lt;&gt;SUBSTITUTE(SUBSTITUTE(INDEX(職員マスタ!$B$6:$B$405,$AN2755)," ","")," ","")),"氏名がマスタと相違／","")&amp;IF(AND($Q2755&lt;&gt;"",INDEX(職員マスタ!$E$6:$E$405,$AN2755)&lt;&gt;"",$Q2755&lt;&gt;INDEX(職員マスタ!$E$6:$E$405,$AN2755)),"子の生年月日がマスタと相違／","")&amp;IF(AND($L2755&lt;&gt;"",INDEX(職員マスタ!$G$6:$G$405,$AN2755)&lt;&gt;"",$L2755&lt;&gt;INDEX(職員マスタ!$G$6:$G$405,$AN2755)),"時短開始日がマスタと相違／","")&amp;IF(AND($M2755&lt;&gt;"",INDEX(職員マスタ!$H$6:$H$405,$AN2755)&lt;&gt;"",$M2755&lt;&gt;INDEX(職員マスタ!$H$6:$H$405,$AN2755)),"時短終了日がマスタと相違／","")))&amp;IF(AND($B2755&lt;&gt;"",$E2755=""),"報酬額が未入力／","")&amp;IF(N($U2755)&gt;0,"申請書に入力エラーが残っています／","")&amp;IF(AND($B2755&lt;&gt;"",$AO2755&lt;&gt;""),IF(COUNTIFS($B$6:$B$3005,$B2755,$C$6:$C$3005,$C2755,$D$6:$D$3005,$D2755)&gt;1,"同じ月の請求が重複しています／",""),"")&amp;IF(AND(N($E2755)&gt;0,$Z2755&lt;&gt;"",$Z2755&lt;&gt;"×",$AC2755=0,$AB2755=""),"計算額が下限以下のため不支給／",""))</f>
        <v/>
      </c>
      <c r="AL2755" s="12" t="n"/>
      <c r="AM2755" s="14">
        <f>IF($AD2755="保留中",COUNTIF($AD$6:$AD2755,"保留中"),"")</f>
        <v/>
      </c>
      <c r="AN2755" s="14">
        <f>IF($AO2755="","",IF(SUMPRODUCT(MAX((職員マスタ!$A$6:$A$405=$B2755)*(((職員マスタ!$G$6:$G$405="")+(職員マスタ!$G$6:$G$405&lt;=EOMONTH($AO2755,0)))&gt;0)*(((職員マスタ!$H$6:$H$405="")+(職員マスタ!$H$6:$H$405&gt;=$AO2755))&gt;0)*(ROW(職員マスタ!$A$6:$A$405)-5)))&gt;0,SUMPRODUCT(MAX((職員マスタ!$A$6:$A$405=$B2755)*(((職員マスタ!$G$6:$G$405="")+(職員マスタ!$G$6:$G$405&lt;=EOMONTH($AO2755,0)))&gt;0)*(((職員マスタ!$H$6:$H$405="")+(職員マスタ!$H$6:$H$405&gt;=$AO2755))&gt;0)*(ROW(職員マスタ!$A$6:$A$405)-5))),IFERROR(MATCH($B2755,職員マスタ!$A$6:$A$405,0),"")))</f>
        <v/>
      </c>
      <c r="AO2755" s="16">
        <f>IF(OR($B2755="",$C2755="",$D2755=""),"",DATE($C2755+2018,$D2755,1))</f>
        <v/>
      </c>
    </row>
    <row r="2756">
      <c r="A2756" s="11" t="n"/>
      <c r="B2756" s="12" t="n"/>
      <c r="C2756" s="12" t="n"/>
      <c r="D2756" s="12" t="n"/>
      <c r="E2756" s="13" t="n"/>
      <c r="F2756" s="12" t="n"/>
      <c r="G2756" s="13" t="n"/>
      <c r="H2756" s="12" t="n"/>
      <c r="I2756" s="12" t="n"/>
      <c r="J2756" s="12" t="n"/>
      <c r="K2756" s="12" t="n"/>
      <c r="L2756" s="11" t="n"/>
      <c r="M2756" s="11" t="n"/>
      <c r="N2756" s="11" t="n"/>
      <c r="O2756" s="11" t="n"/>
      <c r="P2756" s="12" t="n"/>
      <c r="Q2756" s="11" t="n"/>
      <c r="R2756" s="12" t="n"/>
      <c r="S2756" s="11" t="n"/>
      <c r="T2756" s="12" t="n"/>
      <c r="U2756" s="12" t="n"/>
      <c r="V2756" s="14">
        <f>IF($AN2756="",IF($B2756="","",$H2756),IF(INDEX(職員マスタ!$B$6:$B$405,$AN2756)="",$H2756,INDEX(職員マスタ!$B$6:$B$405,$AN2756)))</f>
        <v/>
      </c>
      <c r="W2756" s="14">
        <f>IF($AN2756="",IF($B2756="","",$R2756),IF(INDEX(職員マスタ!$C$6:$C$405,$AN2756)="",$R2756,INDEX(職員マスタ!$C$6:$C$405,$AN2756)))</f>
        <v/>
      </c>
      <c r="X2756" s="14">
        <f>IF($AO2756="","","R"&amp;$C2756&amp;"."&amp;$D2756)</f>
        <v/>
      </c>
      <c r="Y2756" s="15">
        <f>IF($AN2756="","",IF(INDEX(職員マスタ!$K$6:$K$405,$AN2756)="","",INDEX(職員マスタ!$K$6:$K$405,$AN2756)))</f>
        <v/>
      </c>
      <c r="Z2756" s="14">
        <f>IF(OR($E2756="",$Y2756=""),"",IF($E2756&gt;=$Y2756,"×",IF($E2756&gt;=$Y2756*設定!$C$5,"△","○")))</f>
        <v/>
      </c>
      <c r="AA2756" s="15">
        <f>IF($Z2756="","",IF($Z2756="×",0,IF($Z2756="○",ROUNDDOWN($E2756*設定!$C$4,0),ROUNDDOWN($E2756*ROUND((9*$Y2756-9*$E2756)/(10*$E2756),4),0))))</f>
        <v/>
      </c>
      <c r="AB2756" s="13" t="n"/>
      <c r="AC2756" s="15">
        <f>IF($B2756="","",IF($AB2756&lt;&gt;"",$AB2756,IF($AA2756="","",IF($AA2756&lt;=設定!$C$3,0,$AA2756))))</f>
        <v/>
      </c>
      <c r="AD2756" s="14">
        <f>IF($B2756="","",IF(AND($AE2756&lt;&gt;"",$AG2756="",$AJ2756=""),"保留中",IF($AJ2756&lt;&gt;"",IF(N($AC2756)&gt;0,"支給済","不支給"),IF($AC2756="","要確認",IF($AC2756=0,"不支給","未処理")))))</f>
        <v/>
      </c>
      <c r="AE2756" s="12" t="n"/>
      <c r="AF2756" s="11" t="n"/>
      <c r="AG2756" s="11" t="n"/>
      <c r="AH2756" s="11" t="n"/>
      <c r="AI2756" s="14">
        <f>IF(AND($AD2756="保留中",$AF2756&lt;&gt;""),TODAY()-$AF2756,"")</f>
        <v/>
      </c>
      <c r="AJ2756" s="12" t="n"/>
      <c r="AK2756" s="14">
        <f>IF($B2756="","",IF($AO2756="","対象年月が未入力／","")&amp;IF($B2756="","",IF($AN2756="","職員マスタに未登録の職員番号／",IF($Y2756="","標準報酬月額が未登録／","")&amp;IF(AND($AO2756&lt;&gt;"",OR(AND(INDEX(職員マスタ!$G$6:$G$405,$AN2756)&lt;&gt;"",INDEX(職員マスタ!$G$6:$G$405,$AN2756)&gt;EOMONTH($AO2756,0)),AND(INDEX(職員マスタ!$H$6:$H$405,$AN2756)&lt;&gt;"",INDEX(職員マスタ!$H$6:$H$405,$AN2756)&lt;$AO2756))),"対象月が時短期間外／","")&amp;IF(AND(INDEX(職員マスタ!$F$6:$F$405,$AN2756)&lt;&gt;"",$AO2756&lt;&gt;"",INDEX(職員マスタ!$F$6:$F$405,$AN2756)&lt;$AO2756),"対象月に子が2歳到達済／","")&amp;IF(AND($H2756&lt;&gt;"",INDEX(職員マスタ!$B$6:$B$405,$AN2756)&lt;&gt;"",SUBSTITUTE(SUBSTITUTE($H2756," ","")," ","")&lt;&gt;SUBSTITUTE(SUBSTITUTE(INDEX(職員マスタ!$B$6:$B$405,$AN2756)," ","")," ","")),"氏名がマスタと相違／","")&amp;IF(AND($Q2756&lt;&gt;"",INDEX(職員マスタ!$E$6:$E$405,$AN2756)&lt;&gt;"",$Q2756&lt;&gt;INDEX(職員マスタ!$E$6:$E$405,$AN2756)),"子の生年月日がマスタと相違／","")&amp;IF(AND($L2756&lt;&gt;"",INDEX(職員マスタ!$G$6:$G$405,$AN2756)&lt;&gt;"",$L2756&lt;&gt;INDEX(職員マスタ!$G$6:$G$405,$AN2756)),"時短開始日がマスタと相違／","")&amp;IF(AND($M2756&lt;&gt;"",INDEX(職員マスタ!$H$6:$H$405,$AN2756)&lt;&gt;"",$M2756&lt;&gt;INDEX(職員マスタ!$H$6:$H$405,$AN2756)),"時短終了日がマスタと相違／","")))&amp;IF(AND($B2756&lt;&gt;"",$E2756=""),"報酬額が未入力／","")&amp;IF(N($U2756)&gt;0,"申請書に入力エラーが残っています／","")&amp;IF(AND($B2756&lt;&gt;"",$AO2756&lt;&gt;""),IF(COUNTIFS($B$6:$B$3005,$B2756,$C$6:$C$3005,$C2756,$D$6:$D$3005,$D2756)&gt;1,"同じ月の請求が重複しています／",""),"")&amp;IF(AND(N($E2756)&gt;0,$Z2756&lt;&gt;"",$Z2756&lt;&gt;"×",$AC2756=0,$AB2756=""),"計算額が下限以下のため不支給／",""))</f>
        <v/>
      </c>
      <c r="AL2756" s="12" t="n"/>
      <c r="AM2756" s="14">
        <f>IF($AD2756="保留中",COUNTIF($AD$6:$AD2756,"保留中"),"")</f>
        <v/>
      </c>
      <c r="AN2756" s="14">
        <f>IF($AO2756="","",IF(SUMPRODUCT(MAX((職員マスタ!$A$6:$A$405=$B2756)*(((職員マスタ!$G$6:$G$405="")+(職員マスタ!$G$6:$G$405&lt;=EOMONTH($AO2756,0)))&gt;0)*(((職員マスタ!$H$6:$H$405="")+(職員マスタ!$H$6:$H$405&gt;=$AO2756))&gt;0)*(ROW(職員マスタ!$A$6:$A$405)-5)))&gt;0,SUMPRODUCT(MAX((職員マスタ!$A$6:$A$405=$B2756)*(((職員マスタ!$G$6:$G$405="")+(職員マスタ!$G$6:$G$405&lt;=EOMONTH($AO2756,0)))&gt;0)*(((職員マスタ!$H$6:$H$405="")+(職員マスタ!$H$6:$H$405&gt;=$AO2756))&gt;0)*(ROW(職員マスタ!$A$6:$A$405)-5))),IFERROR(MATCH($B2756,職員マスタ!$A$6:$A$405,0),"")))</f>
        <v/>
      </c>
      <c r="AO2756" s="16">
        <f>IF(OR($B2756="",$C2756="",$D2756=""),"",DATE($C2756+2018,$D2756,1))</f>
        <v/>
      </c>
    </row>
    <row r="2757">
      <c r="A2757" s="11" t="n"/>
      <c r="B2757" s="12" t="n"/>
      <c r="C2757" s="12" t="n"/>
      <c r="D2757" s="12" t="n"/>
      <c r="E2757" s="13" t="n"/>
      <c r="F2757" s="12" t="n"/>
      <c r="G2757" s="13" t="n"/>
      <c r="H2757" s="12" t="n"/>
      <c r="I2757" s="12" t="n"/>
      <c r="J2757" s="12" t="n"/>
      <c r="K2757" s="12" t="n"/>
      <c r="L2757" s="11" t="n"/>
      <c r="M2757" s="11" t="n"/>
      <c r="N2757" s="11" t="n"/>
      <c r="O2757" s="11" t="n"/>
      <c r="P2757" s="12" t="n"/>
      <c r="Q2757" s="11" t="n"/>
      <c r="R2757" s="12" t="n"/>
      <c r="S2757" s="11" t="n"/>
      <c r="T2757" s="12" t="n"/>
      <c r="U2757" s="12" t="n"/>
      <c r="V2757" s="14">
        <f>IF($AN2757="",IF($B2757="","",$H2757),IF(INDEX(職員マスタ!$B$6:$B$405,$AN2757)="",$H2757,INDEX(職員マスタ!$B$6:$B$405,$AN2757)))</f>
        <v/>
      </c>
      <c r="W2757" s="14">
        <f>IF($AN2757="",IF($B2757="","",$R2757),IF(INDEX(職員マスタ!$C$6:$C$405,$AN2757)="",$R2757,INDEX(職員マスタ!$C$6:$C$405,$AN2757)))</f>
        <v/>
      </c>
      <c r="X2757" s="14">
        <f>IF($AO2757="","","R"&amp;$C2757&amp;"."&amp;$D2757)</f>
        <v/>
      </c>
      <c r="Y2757" s="15">
        <f>IF($AN2757="","",IF(INDEX(職員マスタ!$K$6:$K$405,$AN2757)="","",INDEX(職員マスタ!$K$6:$K$405,$AN2757)))</f>
        <v/>
      </c>
      <c r="Z2757" s="14">
        <f>IF(OR($E2757="",$Y2757=""),"",IF($E2757&gt;=$Y2757,"×",IF($E2757&gt;=$Y2757*設定!$C$5,"△","○")))</f>
        <v/>
      </c>
      <c r="AA2757" s="15">
        <f>IF($Z2757="","",IF($Z2757="×",0,IF($Z2757="○",ROUNDDOWN($E2757*設定!$C$4,0),ROUNDDOWN($E2757*ROUND((9*$Y2757-9*$E2757)/(10*$E2757),4),0))))</f>
        <v/>
      </c>
      <c r="AB2757" s="13" t="n"/>
      <c r="AC2757" s="15">
        <f>IF($B2757="","",IF($AB2757&lt;&gt;"",$AB2757,IF($AA2757="","",IF($AA2757&lt;=設定!$C$3,0,$AA2757))))</f>
        <v/>
      </c>
      <c r="AD2757" s="14">
        <f>IF($B2757="","",IF(AND($AE2757&lt;&gt;"",$AG2757="",$AJ2757=""),"保留中",IF($AJ2757&lt;&gt;"",IF(N($AC2757)&gt;0,"支給済","不支給"),IF($AC2757="","要確認",IF($AC2757=0,"不支給","未処理")))))</f>
        <v/>
      </c>
      <c r="AE2757" s="12" t="n"/>
      <c r="AF2757" s="11" t="n"/>
      <c r="AG2757" s="11" t="n"/>
      <c r="AH2757" s="11" t="n"/>
      <c r="AI2757" s="14">
        <f>IF(AND($AD2757="保留中",$AF2757&lt;&gt;""),TODAY()-$AF2757,"")</f>
        <v/>
      </c>
      <c r="AJ2757" s="12" t="n"/>
      <c r="AK2757" s="14">
        <f>IF($B2757="","",IF($AO2757="","対象年月が未入力／","")&amp;IF($B2757="","",IF($AN2757="","職員マスタに未登録の職員番号／",IF($Y2757="","標準報酬月額が未登録／","")&amp;IF(AND($AO2757&lt;&gt;"",OR(AND(INDEX(職員マスタ!$G$6:$G$405,$AN2757)&lt;&gt;"",INDEX(職員マスタ!$G$6:$G$405,$AN2757)&gt;EOMONTH($AO2757,0)),AND(INDEX(職員マスタ!$H$6:$H$405,$AN2757)&lt;&gt;"",INDEX(職員マスタ!$H$6:$H$405,$AN2757)&lt;$AO2757))),"対象月が時短期間外／","")&amp;IF(AND(INDEX(職員マスタ!$F$6:$F$405,$AN2757)&lt;&gt;"",$AO2757&lt;&gt;"",INDEX(職員マスタ!$F$6:$F$405,$AN2757)&lt;$AO2757),"対象月に子が2歳到達済／","")&amp;IF(AND($H2757&lt;&gt;"",INDEX(職員マスタ!$B$6:$B$405,$AN2757)&lt;&gt;"",SUBSTITUTE(SUBSTITUTE($H2757," ","")," ","")&lt;&gt;SUBSTITUTE(SUBSTITUTE(INDEX(職員マスタ!$B$6:$B$405,$AN2757)," ","")," ","")),"氏名がマスタと相違／","")&amp;IF(AND($Q2757&lt;&gt;"",INDEX(職員マスタ!$E$6:$E$405,$AN2757)&lt;&gt;"",$Q2757&lt;&gt;INDEX(職員マスタ!$E$6:$E$405,$AN2757)),"子の生年月日がマスタと相違／","")&amp;IF(AND($L2757&lt;&gt;"",INDEX(職員マスタ!$G$6:$G$405,$AN2757)&lt;&gt;"",$L2757&lt;&gt;INDEX(職員マスタ!$G$6:$G$405,$AN2757)),"時短開始日がマスタと相違／","")&amp;IF(AND($M2757&lt;&gt;"",INDEX(職員マスタ!$H$6:$H$405,$AN2757)&lt;&gt;"",$M2757&lt;&gt;INDEX(職員マスタ!$H$6:$H$405,$AN2757)),"時短終了日がマスタと相違／","")))&amp;IF(AND($B2757&lt;&gt;"",$E2757=""),"報酬額が未入力／","")&amp;IF(N($U2757)&gt;0,"申請書に入力エラーが残っています／","")&amp;IF(AND($B2757&lt;&gt;"",$AO2757&lt;&gt;""),IF(COUNTIFS($B$6:$B$3005,$B2757,$C$6:$C$3005,$C2757,$D$6:$D$3005,$D2757)&gt;1,"同じ月の請求が重複しています／",""),"")&amp;IF(AND(N($E2757)&gt;0,$Z2757&lt;&gt;"",$Z2757&lt;&gt;"×",$AC2757=0,$AB2757=""),"計算額が下限以下のため不支給／",""))</f>
        <v/>
      </c>
      <c r="AL2757" s="12" t="n"/>
      <c r="AM2757" s="14">
        <f>IF($AD2757="保留中",COUNTIF($AD$6:$AD2757,"保留中"),"")</f>
        <v/>
      </c>
      <c r="AN2757" s="14">
        <f>IF($AO2757="","",IF(SUMPRODUCT(MAX((職員マスタ!$A$6:$A$405=$B2757)*(((職員マスタ!$G$6:$G$405="")+(職員マスタ!$G$6:$G$405&lt;=EOMONTH($AO2757,0)))&gt;0)*(((職員マスタ!$H$6:$H$405="")+(職員マスタ!$H$6:$H$405&gt;=$AO2757))&gt;0)*(ROW(職員マスタ!$A$6:$A$405)-5)))&gt;0,SUMPRODUCT(MAX((職員マスタ!$A$6:$A$405=$B2757)*(((職員マスタ!$G$6:$G$405="")+(職員マスタ!$G$6:$G$405&lt;=EOMONTH($AO2757,0)))&gt;0)*(((職員マスタ!$H$6:$H$405="")+(職員マスタ!$H$6:$H$405&gt;=$AO2757))&gt;0)*(ROW(職員マスタ!$A$6:$A$405)-5))),IFERROR(MATCH($B2757,職員マスタ!$A$6:$A$405,0),"")))</f>
        <v/>
      </c>
      <c r="AO2757" s="16">
        <f>IF(OR($B2757="",$C2757="",$D2757=""),"",DATE($C2757+2018,$D2757,1))</f>
        <v/>
      </c>
    </row>
    <row r="2758">
      <c r="A2758" s="11" t="n"/>
      <c r="B2758" s="12" t="n"/>
      <c r="C2758" s="12" t="n"/>
      <c r="D2758" s="12" t="n"/>
      <c r="E2758" s="13" t="n"/>
      <c r="F2758" s="12" t="n"/>
      <c r="G2758" s="13" t="n"/>
      <c r="H2758" s="12" t="n"/>
      <c r="I2758" s="12" t="n"/>
      <c r="J2758" s="12" t="n"/>
      <c r="K2758" s="12" t="n"/>
      <c r="L2758" s="11" t="n"/>
      <c r="M2758" s="11" t="n"/>
      <c r="N2758" s="11" t="n"/>
      <c r="O2758" s="11" t="n"/>
      <c r="P2758" s="12" t="n"/>
      <c r="Q2758" s="11" t="n"/>
      <c r="R2758" s="12" t="n"/>
      <c r="S2758" s="11" t="n"/>
      <c r="T2758" s="12" t="n"/>
      <c r="U2758" s="12" t="n"/>
      <c r="V2758" s="14">
        <f>IF($AN2758="",IF($B2758="","",$H2758),IF(INDEX(職員マスタ!$B$6:$B$405,$AN2758)="",$H2758,INDEX(職員マスタ!$B$6:$B$405,$AN2758)))</f>
        <v/>
      </c>
      <c r="W2758" s="14">
        <f>IF($AN2758="",IF($B2758="","",$R2758),IF(INDEX(職員マスタ!$C$6:$C$405,$AN2758)="",$R2758,INDEX(職員マスタ!$C$6:$C$405,$AN2758)))</f>
        <v/>
      </c>
      <c r="X2758" s="14">
        <f>IF($AO2758="","","R"&amp;$C2758&amp;"."&amp;$D2758)</f>
        <v/>
      </c>
      <c r="Y2758" s="15">
        <f>IF($AN2758="","",IF(INDEX(職員マスタ!$K$6:$K$405,$AN2758)="","",INDEX(職員マスタ!$K$6:$K$405,$AN2758)))</f>
        <v/>
      </c>
      <c r="Z2758" s="14">
        <f>IF(OR($E2758="",$Y2758=""),"",IF($E2758&gt;=$Y2758,"×",IF($E2758&gt;=$Y2758*設定!$C$5,"△","○")))</f>
        <v/>
      </c>
      <c r="AA2758" s="15">
        <f>IF($Z2758="","",IF($Z2758="×",0,IF($Z2758="○",ROUNDDOWN($E2758*設定!$C$4,0),ROUNDDOWN($E2758*ROUND((9*$Y2758-9*$E2758)/(10*$E2758),4),0))))</f>
        <v/>
      </c>
      <c r="AB2758" s="13" t="n"/>
      <c r="AC2758" s="15">
        <f>IF($B2758="","",IF($AB2758&lt;&gt;"",$AB2758,IF($AA2758="","",IF($AA2758&lt;=設定!$C$3,0,$AA2758))))</f>
        <v/>
      </c>
      <c r="AD2758" s="14">
        <f>IF($B2758="","",IF(AND($AE2758&lt;&gt;"",$AG2758="",$AJ2758=""),"保留中",IF($AJ2758&lt;&gt;"",IF(N($AC2758)&gt;0,"支給済","不支給"),IF($AC2758="","要確認",IF($AC2758=0,"不支給","未処理")))))</f>
        <v/>
      </c>
      <c r="AE2758" s="12" t="n"/>
      <c r="AF2758" s="11" t="n"/>
      <c r="AG2758" s="11" t="n"/>
      <c r="AH2758" s="11" t="n"/>
      <c r="AI2758" s="14">
        <f>IF(AND($AD2758="保留中",$AF2758&lt;&gt;""),TODAY()-$AF2758,"")</f>
        <v/>
      </c>
      <c r="AJ2758" s="12" t="n"/>
      <c r="AK2758" s="14">
        <f>IF($B2758="","",IF($AO2758="","対象年月が未入力／","")&amp;IF($B2758="","",IF($AN2758="","職員マスタに未登録の職員番号／",IF($Y2758="","標準報酬月額が未登録／","")&amp;IF(AND($AO2758&lt;&gt;"",OR(AND(INDEX(職員マスタ!$G$6:$G$405,$AN2758)&lt;&gt;"",INDEX(職員マスタ!$G$6:$G$405,$AN2758)&gt;EOMONTH($AO2758,0)),AND(INDEX(職員マスタ!$H$6:$H$405,$AN2758)&lt;&gt;"",INDEX(職員マスタ!$H$6:$H$405,$AN2758)&lt;$AO2758))),"対象月が時短期間外／","")&amp;IF(AND(INDEX(職員マスタ!$F$6:$F$405,$AN2758)&lt;&gt;"",$AO2758&lt;&gt;"",INDEX(職員マスタ!$F$6:$F$405,$AN2758)&lt;$AO2758),"対象月に子が2歳到達済／","")&amp;IF(AND($H2758&lt;&gt;"",INDEX(職員マスタ!$B$6:$B$405,$AN2758)&lt;&gt;"",SUBSTITUTE(SUBSTITUTE($H2758," ","")," ","")&lt;&gt;SUBSTITUTE(SUBSTITUTE(INDEX(職員マスタ!$B$6:$B$405,$AN2758)," ","")," ","")),"氏名がマスタと相違／","")&amp;IF(AND($Q2758&lt;&gt;"",INDEX(職員マスタ!$E$6:$E$405,$AN2758)&lt;&gt;"",$Q2758&lt;&gt;INDEX(職員マスタ!$E$6:$E$405,$AN2758)),"子の生年月日がマスタと相違／","")&amp;IF(AND($L2758&lt;&gt;"",INDEX(職員マスタ!$G$6:$G$405,$AN2758)&lt;&gt;"",$L2758&lt;&gt;INDEX(職員マスタ!$G$6:$G$405,$AN2758)),"時短開始日がマスタと相違／","")&amp;IF(AND($M2758&lt;&gt;"",INDEX(職員マスタ!$H$6:$H$405,$AN2758)&lt;&gt;"",$M2758&lt;&gt;INDEX(職員マスタ!$H$6:$H$405,$AN2758)),"時短終了日がマスタと相違／","")))&amp;IF(AND($B2758&lt;&gt;"",$E2758=""),"報酬額が未入力／","")&amp;IF(N($U2758)&gt;0,"申請書に入力エラーが残っています／","")&amp;IF(AND($B2758&lt;&gt;"",$AO2758&lt;&gt;""),IF(COUNTIFS($B$6:$B$3005,$B2758,$C$6:$C$3005,$C2758,$D$6:$D$3005,$D2758)&gt;1,"同じ月の請求が重複しています／",""),"")&amp;IF(AND(N($E2758)&gt;0,$Z2758&lt;&gt;"",$Z2758&lt;&gt;"×",$AC2758=0,$AB2758=""),"計算額が下限以下のため不支給／",""))</f>
        <v/>
      </c>
      <c r="AL2758" s="12" t="n"/>
      <c r="AM2758" s="14">
        <f>IF($AD2758="保留中",COUNTIF($AD$6:$AD2758,"保留中"),"")</f>
        <v/>
      </c>
      <c r="AN2758" s="14">
        <f>IF($AO2758="","",IF(SUMPRODUCT(MAX((職員マスタ!$A$6:$A$405=$B2758)*(((職員マスタ!$G$6:$G$405="")+(職員マスタ!$G$6:$G$405&lt;=EOMONTH($AO2758,0)))&gt;0)*(((職員マスタ!$H$6:$H$405="")+(職員マスタ!$H$6:$H$405&gt;=$AO2758))&gt;0)*(ROW(職員マスタ!$A$6:$A$405)-5)))&gt;0,SUMPRODUCT(MAX((職員マスタ!$A$6:$A$405=$B2758)*(((職員マスタ!$G$6:$G$405="")+(職員マスタ!$G$6:$G$405&lt;=EOMONTH($AO2758,0)))&gt;0)*(((職員マスタ!$H$6:$H$405="")+(職員マスタ!$H$6:$H$405&gt;=$AO2758))&gt;0)*(ROW(職員マスタ!$A$6:$A$405)-5))),IFERROR(MATCH($B2758,職員マスタ!$A$6:$A$405,0),"")))</f>
        <v/>
      </c>
      <c r="AO2758" s="16">
        <f>IF(OR($B2758="",$C2758="",$D2758=""),"",DATE($C2758+2018,$D2758,1))</f>
        <v/>
      </c>
    </row>
    <row r="2759">
      <c r="A2759" s="11" t="n"/>
      <c r="B2759" s="12" t="n"/>
      <c r="C2759" s="12" t="n"/>
      <c r="D2759" s="12" t="n"/>
      <c r="E2759" s="13" t="n"/>
      <c r="F2759" s="12" t="n"/>
      <c r="G2759" s="13" t="n"/>
      <c r="H2759" s="12" t="n"/>
      <c r="I2759" s="12" t="n"/>
      <c r="J2759" s="12" t="n"/>
      <c r="K2759" s="12" t="n"/>
      <c r="L2759" s="11" t="n"/>
      <c r="M2759" s="11" t="n"/>
      <c r="N2759" s="11" t="n"/>
      <c r="O2759" s="11" t="n"/>
      <c r="P2759" s="12" t="n"/>
      <c r="Q2759" s="11" t="n"/>
      <c r="R2759" s="12" t="n"/>
      <c r="S2759" s="11" t="n"/>
      <c r="T2759" s="12" t="n"/>
      <c r="U2759" s="12" t="n"/>
      <c r="V2759" s="14">
        <f>IF($AN2759="",IF($B2759="","",$H2759),IF(INDEX(職員マスタ!$B$6:$B$405,$AN2759)="",$H2759,INDEX(職員マスタ!$B$6:$B$405,$AN2759)))</f>
        <v/>
      </c>
      <c r="W2759" s="14">
        <f>IF($AN2759="",IF($B2759="","",$R2759),IF(INDEX(職員マスタ!$C$6:$C$405,$AN2759)="",$R2759,INDEX(職員マスタ!$C$6:$C$405,$AN2759)))</f>
        <v/>
      </c>
      <c r="X2759" s="14">
        <f>IF($AO2759="","","R"&amp;$C2759&amp;"."&amp;$D2759)</f>
        <v/>
      </c>
      <c r="Y2759" s="15">
        <f>IF($AN2759="","",IF(INDEX(職員マスタ!$K$6:$K$405,$AN2759)="","",INDEX(職員マスタ!$K$6:$K$405,$AN2759)))</f>
        <v/>
      </c>
      <c r="Z2759" s="14">
        <f>IF(OR($E2759="",$Y2759=""),"",IF($E2759&gt;=$Y2759,"×",IF($E2759&gt;=$Y2759*設定!$C$5,"△","○")))</f>
        <v/>
      </c>
      <c r="AA2759" s="15">
        <f>IF($Z2759="","",IF($Z2759="×",0,IF($Z2759="○",ROUNDDOWN($E2759*設定!$C$4,0),ROUNDDOWN($E2759*ROUND((9*$Y2759-9*$E2759)/(10*$E2759),4),0))))</f>
        <v/>
      </c>
      <c r="AB2759" s="13" t="n"/>
      <c r="AC2759" s="15">
        <f>IF($B2759="","",IF($AB2759&lt;&gt;"",$AB2759,IF($AA2759="","",IF($AA2759&lt;=設定!$C$3,0,$AA2759))))</f>
        <v/>
      </c>
      <c r="AD2759" s="14">
        <f>IF($B2759="","",IF(AND($AE2759&lt;&gt;"",$AG2759="",$AJ2759=""),"保留中",IF($AJ2759&lt;&gt;"",IF(N($AC2759)&gt;0,"支給済","不支給"),IF($AC2759="","要確認",IF($AC2759=0,"不支給","未処理")))))</f>
        <v/>
      </c>
      <c r="AE2759" s="12" t="n"/>
      <c r="AF2759" s="11" t="n"/>
      <c r="AG2759" s="11" t="n"/>
      <c r="AH2759" s="11" t="n"/>
      <c r="AI2759" s="14">
        <f>IF(AND($AD2759="保留中",$AF2759&lt;&gt;""),TODAY()-$AF2759,"")</f>
        <v/>
      </c>
      <c r="AJ2759" s="12" t="n"/>
      <c r="AK2759" s="14">
        <f>IF($B2759="","",IF($AO2759="","対象年月が未入力／","")&amp;IF($B2759="","",IF($AN2759="","職員マスタに未登録の職員番号／",IF($Y2759="","標準報酬月額が未登録／","")&amp;IF(AND($AO2759&lt;&gt;"",OR(AND(INDEX(職員マスタ!$G$6:$G$405,$AN2759)&lt;&gt;"",INDEX(職員マスタ!$G$6:$G$405,$AN2759)&gt;EOMONTH($AO2759,0)),AND(INDEX(職員マスタ!$H$6:$H$405,$AN2759)&lt;&gt;"",INDEX(職員マスタ!$H$6:$H$405,$AN2759)&lt;$AO2759))),"対象月が時短期間外／","")&amp;IF(AND(INDEX(職員マスタ!$F$6:$F$405,$AN2759)&lt;&gt;"",$AO2759&lt;&gt;"",INDEX(職員マスタ!$F$6:$F$405,$AN2759)&lt;$AO2759),"対象月に子が2歳到達済／","")&amp;IF(AND($H2759&lt;&gt;"",INDEX(職員マスタ!$B$6:$B$405,$AN2759)&lt;&gt;"",SUBSTITUTE(SUBSTITUTE($H2759," ","")," ","")&lt;&gt;SUBSTITUTE(SUBSTITUTE(INDEX(職員マスタ!$B$6:$B$405,$AN2759)," ","")," ","")),"氏名がマスタと相違／","")&amp;IF(AND($Q2759&lt;&gt;"",INDEX(職員マスタ!$E$6:$E$405,$AN2759)&lt;&gt;"",$Q2759&lt;&gt;INDEX(職員マスタ!$E$6:$E$405,$AN2759)),"子の生年月日がマスタと相違／","")&amp;IF(AND($L2759&lt;&gt;"",INDEX(職員マスタ!$G$6:$G$405,$AN2759)&lt;&gt;"",$L2759&lt;&gt;INDEX(職員マスタ!$G$6:$G$405,$AN2759)),"時短開始日がマスタと相違／","")&amp;IF(AND($M2759&lt;&gt;"",INDEX(職員マスタ!$H$6:$H$405,$AN2759)&lt;&gt;"",$M2759&lt;&gt;INDEX(職員マスタ!$H$6:$H$405,$AN2759)),"時短終了日がマスタと相違／","")))&amp;IF(AND($B2759&lt;&gt;"",$E2759=""),"報酬額が未入力／","")&amp;IF(N($U2759)&gt;0,"申請書に入力エラーが残っています／","")&amp;IF(AND($B2759&lt;&gt;"",$AO2759&lt;&gt;""),IF(COUNTIFS($B$6:$B$3005,$B2759,$C$6:$C$3005,$C2759,$D$6:$D$3005,$D2759)&gt;1,"同じ月の請求が重複しています／",""),"")&amp;IF(AND(N($E2759)&gt;0,$Z2759&lt;&gt;"",$Z2759&lt;&gt;"×",$AC2759=0,$AB2759=""),"計算額が下限以下のため不支給／",""))</f>
        <v/>
      </c>
      <c r="AL2759" s="12" t="n"/>
      <c r="AM2759" s="14">
        <f>IF($AD2759="保留中",COUNTIF($AD$6:$AD2759,"保留中"),"")</f>
        <v/>
      </c>
      <c r="AN2759" s="14">
        <f>IF($AO2759="","",IF(SUMPRODUCT(MAX((職員マスタ!$A$6:$A$405=$B2759)*(((職員マスタ!$G$6:$G$405="")+(職員マスタ!$G$6:$G$405&lt;=EOMONTH($AO2759,0)))&gt;0)*(((職員マスタ!$H$6:$H$405="")+(職員マスタ!$H$6:$H$405&gt;=$AO2759))&gt;0)*(ROW(職員マスタ!$A$6:$A$405)-5)))&gt;0,SUMPRODUCT(MAX((職員マスタ!$A$6:$A$405=$B2759)*(((職員マスタ!$G$6:$G$405="")+(職員マスタ!$G$6:$G$405&lt;=EOMONTH($AO2759,0)))&gt;0)*(((職員マスタ!$H$6:$H$405="")+(職員マスタ!$H$6:$H$405&gt;=$AO2759))&gt;0)*(ROW(職員マスタ!$A$6:$A$405)-5))),IFERROR(MATCH($B2759,職員マスタ!$A$6:$A$405,0),"")))</f>
        <v/>
      </c>
      <c r="AO2759" s="16">
        <f>IF(OR($B2759="",$C2759="",$D2759=""),"",DATE($C2759+2018,$D2759,1))</f>
        <v/>
      </c>
    </row>
    <row r="2760">
      <c r="A2760" s="11" t="n"/>
      <c r="B2760" s="12" t="n"/>
      <c r="C2760" s="12" t="n"/>
      <c r="D2760" s="12" t="n"/>
      <c r="E2760" s="13" t="n"/>
      <c r="F2760" s="12" t="n"/>
      <c r="G2760" s="13" t="n"/>
      <c r="H2760" s="12" t="n"/>
      <c r="I2760" s="12" t="n"/>
      <c r="J2760" s="12" t="n"/>
      <c r="K2760" s="12" t="n"/>
      <c r="L2760" s="11" t="n"/>
      <c r="M2760" s="11" t="n"/>
      <c r="N2760" s="11" t="n"/>
      <c r="O2760" s="11" t="n"/>
      <c r="P2760" s="12" t="n"/>
      <c r="Q2760" s="11" t="n"/>
      <c r="R2760" s="12" t="n"/>
      <c r="S2760" s="11" t="n"/>
      <c r="T2760" s="12" t="n"/>
      <c r="U2760" s="12" t="n"/>
      <c r="V2760" s="14">
        <f>IF($AN2760="",IF($B2760="","",$H2760),IF(INDEX(職員マスタ!$B$6:$B$405,$AN2760)="",$H2760,INDEX(職員マスタ!$B$6:$B$405,$AN2760)))</f>
        <v/>
      </c>
      <c r="W2760" s="14">
        <f>IF($AN2760="",IF($B2760="","",$R2760),IF(INDEX(職員マスタ!$C$6:$C$405,$AN2760)="",$R2760,INDEX(職員マスタ!$C$6:$C$405,$AN2760)))</f>
        <v/>
      </c>
      <c r="X2760" s="14">
        <f>IF($AO2760="","","R"&amp;$C2760&amp;"."&amp;$D2760)</f>
        <v/>
      </c>
      <c r="Y2760" s="15">
        <f>IF($AN2760="","",IF(INDEX(職員マスタ!$K$6:$K$405,$AN2760)="","",INDEX(職員マスタ!$K$6:$K$405,$AN2760)))</f>
        <v/>
      </c>
      <c r="Z2760" s="14">
        <f>IF(OR($E2760="",$Y2760=""),"",IF($E2760&gt;=$Y2760,"×",IF($E2760&gt;=$Y2760*設定!$C$5,"△","○")))</f>
        <v/>
      </c>
      <c r="AA2760" s="15">
        <f>IF($Z2760="","",IF($Z2760="×",0,IF($Z2760="○",ROUNDDOWN($E2760*設定!$C$4,0),ROUNDDOWN($E2760*ROUND((9*$Y2760-9*$E2760)/(10*$E2760),4),0))))</f>
        <v/>
      </c>
      <c r="AB2760" s="13" t="n"/>
      <c r="AC2760" s="15">
        <f>IF($B2760="","",IF($AB2760&lt;&gt;"",$AB2760,IF($AA2760="","",IF($AA2760&lt;=設定!$C$3,0,$AA2760))))</f>
        <v/>
      </c>
      <c r="AD2760" s="14">
        <f>IF($B2760="","",IF(AND($AE2760&lt;&gt;"",$AG2760="",$AJ2760=""),"保留中",IF($AJ2760&lt;&gt;"",IF(N($AC2760)&gt;0,"支給済","不支給"),IF($AC2760="","要確認",IF($AC2760=0,"不支給","未処理")))))</f>
        <v/>
      </c>
      <c r="AE2760" s="12" t="n"/>
      <c r="AF2760" s="11" t="n"/>
      <c r="AG2760" s="11" t="n"/>
      <c r="AH2760" s="11" t="n"/>
      <c r="AI2760" s="14">
        <f>IF(AND($AD2760="保留中",$AF2760&lt;&gt;""),TODAY()-$AF2760,"")</f>
        <v/>
      </c>
      <c r="AJ2760" s="12" t="n"/>
      <c r="AK2760" s="14">
        <f>IF($B2760="","",IF($AO2760="","対象年月が未入力／","")&amp;IF($B2760="","",IF($AN2760="","職員マスタに未登録の職員番号／",IF($Y2760="","標準報酬月額が未登録／","")&amp;IF(AND($AO2760&lt;&gt;"",OR(AND(INDEX(職員マスタ!$G$6:$G$405,$AN2760)&lt;&gt;"",INDEX(職員マスタ!$G$6:$G$405,$AN2760)&gt;EOMONTH($AO2760,0)),AND(INDEX(職員マスタ!$H$6:$H$405,$AN2760)&lt;&gt;"",INDEX(職員マスタ!$H$6:$H$405,$AN2760)&lt;$AO2760))),"対象月が時短期間外／","")&amp;IF(AND(INDEX(職員マスタ!$F$6:$F$405,$AN2760)&lt;&gt;"",$AO2760&lt;&gt;"",INDEX(職員マスタ!$F$6:$F$405,$AN2760)&lt;$AO2760),"対象月に子が2歳到達済／","")&amp;IF(AND($H2760&lt;&gt;"",INDEX(職員マスタ!$B$6:$B$405,$AN2760)&lt;&gt;"",SUBSTITUTE(SUBSTITUTE($H2760," ","")," ","")&lt;&gt;SUBSTITUTE(SUBSTITUTE(INDEX(職員マスタ!$B$6:$B$405,$AN2760)," ","")," ","")),"氏名がマスタと相違／","")&amp;IF(AND($Q2760&lt;&gt;"",INDEX(職員マスタ!$E$6:$E$405,$AN2760)&lt;&gt;"",$Q2760&lt;&gt;INDEX(職員マスタ!$E$6:$E$405,$AN2760)),"子の生年月日がマスタと相違／","")&amp;IF(AND($L2760&lt;&gt;"",INDEX(職員マスタ!$G$6:$G$405,$AN2760)&lt;&gt;"",$L2760&lt;&gt;INDEX(職員マスタ!$G$6:$G$405,$AN2760)),"時短開始日がマスタと相違／","")&amp;IF(AND($M2760&lt;&gt;"",INDEX(職員マスタ!$H$6:$H$405,$AN2760)&lt;&gt;"",$M2760&lt;&gt;INDEX(職員マスタ!$H$6:$H$405,$AN2760)),"時短終了日がマスタと相違／","")))&amp;IF(AND($B2760&lt;&gt;"",$E2760=""),"報酬額が未入力／","")&amp;IF(N($U2760)&gt;0,"申請書に入力エラーが残っています／","")&amp;IF(AND($B2760&lt;&gt;"",$AO2760&lt;&gt;""),IF(COUNTIFS($B$6:$B$3005,$B2760,$C$6:$C$3005,$C2760,$D$6:$D$3005,$D2760)&gt;1,"同じ月の請求が重複しています／",""),"")&amp;IF(AND(N($E2760)&gt;0,$Z2760&lt;&gt;"",$Z2760&lt;&gt;"×",$AC2760=0,$AB2760=""),"計算額が下限以下のため不支給／",""))</f>
        <v/>
      </c>
      <c r="AL2760" s="12" t="n"/>
      <c r="AM2760" s="14">
        <f>IF($AD2760="保留中",COUNTIF($AD$6:$AD2760,"保留中"),"")</f>
        <v/>
      </c>
      <c r="AN2760" s="14">
        <f>IF($AO2760="","",IF(SUMPRODUCT(MAX((職員マスタ!$A$6:$A$405=$B2760)*(((職員マスタ!$G$6:$G$405="")+(職員マスタ!$G$6:$G$405&lt;=EOMONTH($AO2760,0)))&gt;0)*(((職員マスタ!$H$6:$H$405="")+(職員マスタ!$H$6:$H$405&gt;=$AO2760))&gt;0)*(ROW(職員マスタ!$A$6:$A$405)-5)))&gt;0,SUMPRODUCT(MAX((職員マスタ!$A$6:$A$405=$B2760)*(((職員マスタ!$G$6:$G$405="")+(職員マスタ!$G$6:$G$405&lt;=EOMONTH($AO2760,0)))&gt;0)*(((職員マスタ!$H$6:$H$405="")+(職員マスタ!$H$6:$H$405&gt;=$AO2760))&gt;0)*(ROW(職員マスタ!$A$6:$A$405)-5))),IFERROR(MATCH($B2760,職員マスタ!$A$6:$A$405,0),"")))</f>
        <v/>
      </c>
      <c r="AO2760" s="16">
        <f>IF(OR($B2760="",$C2760="",$D2760=""),"",DATE($C2760+2018,$D2760,1))</f>
        <v/>
      </c>
    </row>
    <row r="2761">
      <c r="A2761" s="11" t="n"/>
      <c r="B2761" s="12" t="n"/>
      <c r="C2761" s="12" t="n"/>
      <c r="D2761" s="12" t="n"/>
      <c r="E2761" s="13" t="n"/>
      <c r="F2761" s="12" t="n"/>
      <c r="G2761" s="13" t="n"/>
      <c r="H2761" s="12" t="n"/>
      <c r="I2761" s="12" t="n"/>
      <c r="J2761" s="12" t="n"/>
      <c r="K2761" s="12" t="n"/>
      <c r="L2761" s="11" t="n"/>
      <c r="M2761" s="11" t="n"/>
      <c r="N2761" s="11" t="n"/>
      <c r="O2761" s="11" t="n"/>
      <c r="P2761" s="12" t="n"/>
      <c r="Q2761" s="11" t="n"/>
      <c r="R2761" s="12" t="n"/>
      <c r="S2761" s="11" t="n"/>
      <c r="T2761" s="12" t="n"/>
      <c r="U2761" s="12" t="n"/>
      <c r="V2761" s="14">
        <f>IF($AN2761="",IF($B2761="","",$H2761),IF(INDEX(職員マスタ!$B$6:$B$405,$AN2761)="",$H2761,INDEX(職員マスタ!$B$6:$B$405,$AN2761)))</f>
        <v/>
      </c>
      <c r="W2761" s="14">
        <f>IF($AN2761="",IF($B2761="","",$R2761),IF(INDEX(職員マスタ!$C$6:$C$405,$AN2761)="",$R2761,INDEX(職員マスタ!$C$6:$C$405,$AN2761)))</f>
        <v/>
      </c>
      <c r="X2761" s="14">
        <f>IF($AO2761="","","R"&amp;$C2761&amp;"."&amp;$D2761)</f>
        <v/>
      </c>
      <c r="Y2761" s="15">
        <f>IF($AN2761="","",IF(INDEX(職員マスタ!$K$6:$K$405,$AN2761)="","",INDEX(職員マスタ!$K$6:$K$405,$AN2761)))</f>
        <v/>
      </c>
      <c r="Z2761" s="14">
        <f>IF(OR($E2761="",$Y2761=""),"",IF($E2761&gt;=$Y2761,"×",IF($E2761&gt;=$Y2761*設定!$C$5,"△","○")))</f>
        <v/>
      </c>
      <c r="AA2761" s="15">
        <f>IF($Z2761="","",IF($Z2761="×",0,IF($Z2761="○",ROUNDDOWN($E2761*設定!$C$4,0),ROUNDDOWN($E2761*ROUND((9*$Y2761-9*$E2761)/(10*$E2761),4),0))))</f>
        <v/>
      </c>
      <c r="AB2761" s="13" t="n"/>
      <c r="AC2761" s="15">
        <f>IF($B2761="","",IF($AB2761&lt;&gt;"",$AB2761,IF($AA2761="","",IF($AA2761&lt;=設定!$C$3,0,$AA2761))))</f>
        <v/>
      </c>
      <c r="AD2761" s="14">
        <f>IF($B2761="","",IF(AND($AE2761&lt;&gt;"",$AG2761="",$AJ2761=""),"保留中",IF($AJ2761&lt;&gt;"",IF(N($AC2761)&gt;0,"支給済","不支給"),IF($AC2761="","要確認",IF($AC2761=0,"不支給","未処理")))))</f>
        <v/>
      </c>
      <c r="AE2761" s="12" t="n"/>
      <c r="AF2761" s="11" t="n"/>
      <c r="AG2761" s="11" t="n"/>
      <c r="AH2761" s="11" t="n"/>
      <c r="AI2761" s="14">
        <f>IF(AND($AD2761="保留中",$AF2761&lt;&gt;""),TODAY()-$AF2761,"")</f>
        <v/>
      </c>
      <c r="AJ2761" s="12" t="n"/>
      <c r="AK2761" s="14">
        <f>IF($B2761="","",IF($AO2761="","対象年月が未入力／","")&amp;IF($B2761="","",IF($AN2761="","職員マスタに未登録の職員番号／",IF($Y2761="","標準報酬月額が未登録／","")&amp;IF(AND($AO2761&lt;&gt;"",OR(AND(INDEX(職員マスタ!$G$6:$G$405,$AN2761)&lt;&gt;"",INDEX(職員マスタ!$G$6:$G$405,$AN2761)&gt;EOMONTH($AO2761,0)),AND(INDEX(職員マスタ!$H$6:$H$405,$AN2761)&lt;&gt;"",INDEX(職員マスタ!$H$6:$H$405,$AN2761)&lt;$AO2761))),"対象月が時短期間外／","")&amp;IF(AND(INDEX(職員マスタ!$F$6:$F$405,$AN2761)&lt;&gt;"",$AO2761&lt;&gt;"",INDEX(職員マスタ!$F$6:$F$405,$AN2761)&lt;$AO2761),"対象月に子が2歳到達済／","")&amp;IF(AND($H2761&lt;&gt;"",INDEX(職員マスタ!$B$6:$B$405,$AN2761)&lt;&gt;"",SUBSTITUTE(SUBSTITUTE($H2761," ","")," ","")&lt;&gt;SUBSTITUTE(SUBSTITUTE(INDEX(職員マスタ!$B$6:$B$405,$AN2761)," ","")," ","")),"氏名がマスタと相違／","")&amp;IF(AND($Q2761&lt;&gt;"",INDEX(職員マスタ!$E$6:$E$405,$AN2761)&lt;&gt;"",$Q2761&lt;&gt;INDEX(職員マスタ!$E$6:$E$405,$AN2761)),"子の生年月日がマスタと相違／","")&amp;IF(AND($L2761&lt;&gt;"",INDEX(職員マスタ!$G$6:$G$405,$AN2761)&lt;&gt;"",$L2761&lt;&gt;INDEX(職員マスタ!$G$6:$G$405,$AN2761)),"時短開始日がマスタと相違／","")&amp;IF(AND($M2761&lt;&gt;"",INDEX(職員マスタ!$H$6:$H$405,$AN2761)&lt;&gt;"",$M2761&lt;&gt;INDEX(職員マスタ!$H$6:$H$405,$AN2761)),"時短終了日がマスタと相違／","")))&amp;IF(AND($B2761&lt;&gt;"",$E2761=""),"報酬額が未入力／","")&amp;IF(N($U2761)&gt;0,"申請書に入力エラーが残っています／","")&amp;IF(AND($B2761&lt;&gt;"",$AO2761&lt;&gt;""),IF(COUNTIFS($B$6:$B$3005,$B2761,$C$6:$C$3005,$C2761,$D$6:$D$3005,$D2761)&gt;1,"同じ月の請求が重複しています／",""),"")&amp;IF(AND(N($E2761)&gt;0,$Z2761&lt;&gt;"",$Z2761&lt;&gt;"×",$AC2761=0,$AB2761=""),"計算額が下限以下のため不支給／",""))</f>
        <v/>
      </c>
      <c r="AL2761" s="12" t="n"/>
      <c r="AM2761" s="14">
        <f>IF($AD2761="保留中",COUNTIF($AD$6:$AD2761,"保留中"),"")</f>
        <v/>
      </c>
      <c r="AN2761" s="14">
        <f>IF($AO2761="","",IF(SUMPRODUCT(MAX((職員マスタ!$A$6:$A$405=$B2761)*(((職員マスタ!$G$6:$G$405="")+(職員マスタ!$G$6:$G$405&lt;=EOMONTH($AO2761,0)))&gt;0)*(((職員マスタ!$H$6:$H$405="")+(職員マスタ!$H$6:$H$405&gt;=$AO2761))&gt;0)*(ROW(職員マスタ!$A$6:$A$405)-5)))&gt;0,SUMPRODUCT(MAX((職員マスタ!$A$6:$A$405=$B2761)*(((職員マスタ!$G$6:$G$405="")+(職員マスタ!$G$6:$G$405&lt;=EOMONTH($AO2761,0)))&gt;0)*(((職員マスタ!$H$6:$H$405="")+(職員マスタ!$H$6:$H$405&gt;=$AO2761))&gt;0)*(ROW(職員マスタ!$A$6:$A$405)-5))),IFERROR(MATCH($B2761,職員マスタ!$A$6:$A$405,0),"")))</f>
        <v/>
      </c>
      <c r="AO2761" s="16">
        <f>IF(OR($B2761="",$C2761="",$D2761=""),"",DATE($C2761+2018,$D2761,1))</f>
        <v/>
      </c>
    </row>
    <row r="2762">
      <c r="A2762" s="11" t="n"/>
      <c r="B2762" s="12" t="n"/>
      <c r="C2762" s="12" t="n"/>
      <c r="D2762" s="12" t="n"/>
      <c r="E2762" s="13" t="n"/>
      <c r="F2762" s="12" t="n"/>
      <c r="G2762" s="13" t="n"/>
      <c r="H2762" s="12" t="n"/>
      <c r="I2762" s="12" t="n"/>
      <c r="J2762" s="12" t="n"/>
      <c r="K2762" s="12" t="n"/>
      <c r="L2762" s="11" t="n"/>
      <c r="M2762" s="11" t="n"/>
      <c r="N2762" s="11" t="n"/>
      <c r="O2762" s="11" t="n"/>
      <c r="P2762" s="12" t="n"/>
      <c r="Q2762" s="11" t="n"/>
      <c r="R2762" s="12" t="n"/>
      <c r="S2762" s="11" t="n"/>
      <c r="T2762" s="12" t="n"/>
      <c r="U2762" s="12" t="n"/>
      <c r="V2762" s="14">
        <f>IF($AN2762="",IF($B2762="","",$H2762),IF(INDEX(職員マスタ!$B$6:$B$405,$AN2762)="",$H2762,INDEX(職員マスタ!$B$6:$B$405,$AN2762)))</f>
        <v/>
      </c>
      <c r="W2762" s="14">
        <f>IF($AN2762="",IF($B2762="","",$R2762),IF(INDEX(職員マスタ!$C$6:$C$405,$AN2762)="",$R2762,INDEX(職員マスタ!$C$6:$C$405,$AN2762)))</f>
        <v/>
      </c>
      <c r="X2762" s="14">
        <f>IF($AO2762="","","R"&amp;$C2762&amp;"."&amp;$D2762)</f>
        <v/>
      </c>
      <c r="Y2762" s="15">
        <f>IF($AN2762="","",IF(INDEX(職員マスタ!$K$6:$K$405,$AN2762)="","",INDEX(職員マスタ!$K$6:$K$405,$AN2762)))</f>
        <v/>
      </c>
      <c r="Z2762" s="14">
        <f>IF(OR($E2762="",$Y2762=""),"",IF($E2762&gt;=$Y2762,"×",IF($E2762&gt;=$Y2762*設定!$C$5,"△","○")))</f>
        <v/>
      </c>
      <c r="AA2762" s="15">
        <f>IF($Z2762="","",IF($Z2762="×",0,IF($Z2762="○",ROUNDDOWN($E2762*設定!$C$4,0),ROUNDDOWN($E2762*ROUND((9*$Y2762-9*$E2762)/(10*$E2762),4),0))))</f>
        <v/>
      </c>
      <c r="AB2762" s="13" t="n"/>
      <c r="AC2762" s="15">
        <f>IF($B2762="","",IF($AB2762&lt;&gt;"",$AB2762,IF($AA2762="","",IF($AA2762&lt;=設定!$C$3,0,$AA2762))))</f>
        <v/>
      </c>
      <c r="AD2762" s="14">
        <f>IF($B2762="","",IF(AND($AE2762&lt;&gt;"",$AG2762="",$AJ2762=""),"保留中",IF($AJ2762&lt;&gt;"",IF(N($AC2762)&gt;0,"支給済","不支給"),IF($AC2762="","要確認",IF($AC2762=0,"不支給","未処理")))))</f>
        <v/>
      </c>
      <c r="AE2762" s="12" t="n"/>
      <c r="AF2762" s="11" t="n"/>
      <c r="AG2762" s="11" t="n"/>
      <c r="AH2762" s="11" t="n"/>
      <c r="AI2762" s="14">
        <f>IF(AND($AD2762="保留中",$AF2762&lt;&gt;""),TODAY()-$AF2762,"")</f>
        <v/>
      </c>
      <c r="AJ2762" s="12" t="n"/>
      <c r="AK2762" s="14">
        <f>IF($B2762="","",IF($AO2762="","対象年月が未入力／","")&amp;IF($B2762="","",IF($AN2762="","職員マスタに未登録の職員番号／",IF($Y2762="","標準報酬月額が未登録／","")&amp;IF(AND($AO2762&lt;&gt;"",OR(AND(INDEX(職員マスタ!$G$6:$G$405,$AN2762)&lt;&gt;"",INDEX(職員マスタ!$G$6:$G$405,$AN2762)&gt;EOMONTH($AO2762,0)),AND(INDEX(職員マスタ!$H$6:$H$405,$AN2762)&lt;&gt;"",INDEX(職員マスタ!$H$6:$H$405,$AN2762)&lt;$AO2762))),"対象月が時短期間外／","")&amp;IF(AND(INDEX(職員マスタ!$F$6:$F$405,$AN2762)&lt;&gt;"",$AO2762&lt;&gt;"",INDEX(職員マスタ!$F$6:$F$405,$AN2762)&lt;$AO2762),"対象月に子が2歳到達済／","")&amp;IF(AND($H2762&lt;&gt;"",INDEX(職員マスタ!$B$6:$B$405,$AN2762)&lt;&gt;"",SUBSTITUTE(SUBSTITUTE($H2762," ","")," ","")&lt;&gt;SUBSTITUTE(SUBSTITUTE(INDEX(職員マスタ!$B$6:$B$405,$AN2762)," ","")," ","")),"氏名がマスタと相違／","")&amp;IF(AND($Q2762&lt;&gt;"",INDEX(職員マスタ!$E$6:$E$405,$AN2762)&lt;&gt;"",$Q2762&lt;&gt;INDEX(職員マスタ!$E$6:$E$405,$AN2762)),"子の生年月日がマスタと相違／","")&amp;IF(AND($L2762&lt;&gt;"",INDEX(職員マスタ!$G$6:$G$405,$AN2762)&lt;&gt;"",$L2762&lt;&gt;INDEX(職員マスタ!$G$6:$G$405,$AN2762)),"時短開始日がマスタと相違／","")&amp;IF(AND($M2762&lt;&gt;"",INDEX(職員マスタ!$H$6:$H$405,$AN2762)&lt;&gt;"",$M2762&lt;&gt;INDEX(職員マスタ!$H$6:$H$405,$AN2762)),"時短終了日がマスタと相違／","")))&amp;IF(AND($B2762&lt;&gt;"",$E2762=""),"報酬額が未入力／","")&amp;IF(N($U2762)&gt;0,"申請書に入力エラーが残っています／","")&amp;IF(AND($B2762&lt;&gt;"",$AO2762&lt;&gt;""),IF(COUNTIFS($B$6:$B$3005,$B2762,$C$6:$C$3005,$C2762,$D$6:$D$3005,$D2762)&gt;1,"同じ月の請求が重複しています／",""),"")&amp;IF(AND(N($E2762)&gt;0,$Z2762&lt;&gt;"",$Z2762&lt;&gt;"×",$AC2762=0,$AB2762=""),"計算額が下限以下のため不支給／",""))</f>
        <v/>
      </c>
      <c r="AL2762" s="12" t="n"/>
      <c r="AM2762" s="14">
        <f>IF($AD2762="保留中",COUNTIF($AD$6:$AD2762,"保留中"),"")</f>
        <v/>
      </c>
      <c r="AN2762" s="14">
        <f>IF($AO2762="","",IF(SUMPRODUCT(MAX((職員マスタ!$A$6:$A$405=$B2762)*(((職員マスタ!$G$6:$G$405="")+(職員マスタ!$G$6:$G$405&lt;=EOMONTH($AO2762,0)))&gt;0)*(((職員マスタ!$H$6:$H$405="")+(職員マスタ!$H$6:$H$405&gt;=$AO2762))&gt;0)*(ROW(職員マスタ!$A$6:$A$405)-5)))&gt;0,SUMPRODUCT(MAX((職員マスタ!$A$6:$A$405=$B2762)*(((職員マスタ!$G$6:$G$405="")+(職員マスタ!$G$6:$G$405&lt;=EOMONTH($AO2762,0)))&gt;0)*(((職員マスタ!$H$6:$H$405="")+(職員マスタ!$H$6:$H$405&gt;=$AO2762))&gt;0)*(ROW(職員マスタ!$A$6:$A$405)-5))),IFERROR(MATCH($B2762,職員マスタ!$A$6:$A$405,0),"")))</f>
        <v/>
      </c>
      <c r="AO2762" s="16">
        <f>IF(OR($B2762="",$C2762="",$D2762=""),"",DATE($C2762+2018,$D2762,1))</f>
        <v/>
      </c>
    </row>
    <row r="2763">
      <c r="A2763" s="11" t="n"/>
      <c r="B2763" s="12" t="n"/>
      <c r="C2763" s="12" t="n"/>
      <c r="D2763" s="12" t="n"/>
      <c r="E2763" s="13" t="n"/>
      <c r="F2763" s="12" t="n"/>
      <c r="G2763" s="13" t="n"/>
      <c r="H2763" s="12" t="n"/>
      <c r="I2763" s="12" t="n"/>
      <c r="J2763" s="12" t="n"/>
      <c r="K2763" s="12" t="n"/>
      <c r="L2763" s="11" t="n"/>
      <c r="M2763" s="11" t="n"/>
      <c r="N2763" s="11" t="n"/>
      <c r="O2763" s="11" t="n"/>
      <c r="P2763" s="12" t="n"/>
      <c r="Q2763" s="11" t="n"/>
      <c r="R2763" s="12" t="n"/>
      <c r="S2763" s="11" t="n"/>
      <c r="T2763" s="12" t="n"/>
      <c r="U2763" s="12" t="n"/>
      <c r="V2763" s="14">
        <f>IF($AN2763="",IF($B2763="","",$H2763),IF(INDEX(職員マスタ!$B$6:$B$405,$AN2763)="",$H2763,INDEX(職員マスタ!$B$6:$B$405,$AN2763)))</f>
        <v/>
      </c>
      <c r="W2763" s="14">
        <f>IF($AN2763="",IF($B2763="","",$R2763),IF(INDEX(職員マスタ!$C$6:$C$405,$AN2763)="",$R2763,INDEX(職員マスタ!$C$6:$C$405,$AN2763)))</f>
        <v/>
      </c>
      <c r="X2763" s="14">
        <f>IF($AO2763="","","R"&amp;$C2763&amp;"."&amp;$D2763)</f>
        <v/>
      </c>
      <c r="Y2763" s="15">
        <f>IF($AN2763="","",IF(INDEX(職員マスタ!$K$6:$K$405,$AN2763)="","",INDEX(職員マスタ!$K$6:$K$405,$AN2763)))</f>
        <v/>
      </c>
      <c r="Z2763" s="14">
        <f>IF(OR($E2763="",$Y2763=""),"",IF($E2763&gt;=$Y2763,"×",IF($E2763&gt;=$Y2763*設定!$C$5,"△","○")))</f>
        <v/>
      </c>
      <c r="AA2763" s="15">
        <f>IF($Z2763="","",IF($Z2763="×",0,IF($Z2763="○",ROUNDDOWN($E2763*設定!$C$4,0),ROUNDDOWN($E2763*ROUND((9*$Y2763-9*$E2763)/(10*$E2763),4),0))))</f>
        <v/>
      </c>
      <c r="AB2763" s="13" t="n"/>
      <c r="AC2763" s="15">
        <f>IF($B2763="","",IF($AB2763&lt;&gt;"",$AB2763,IF($AA2763="","",IF($AA2763&lt;=設定!$C$3,0,$AA2763))))</f>
        <v/>
      </c>
      <c r="AD2763" s="14">
        <f>IF($B2763="","",IF(AND($AE2763&lt;&gt;"",$AG2763="",$AJ2763=""),"保留中",IF($AJ2763&lt;&gt;"",IF(N($AC2763)&gt;0,"支給済","不支給"),IF($AC2763="","要確認",IF($AC2763=0,"不支給","未処理")))))</f>
        <v/>
      </c>
      <c r="AE2763" s="12" t="n"/>
      <c r="AF2763" s="11" t="n"/>
      <c r="AG2763" s="11" t="n"/>
      <c r="AH2763" s="11" t="n"/>
      <c r="AI2763" s="14">
        <f>IF(AND($AD2763="保留中",$AF2763&lt;&gt;""),TODAY()-$AF2763,"")</f>
        <v/>
      </c>
      <c r="AJ2763" s="12" t="n"/>
      <c r="AK2763" s="14">
        <f>IF($B2763="","",IF($AO2763="","対象年月が未入力／","")&amp;IF($B2763="","",IF($AN2763="","職員マスタに未登録の職員番号／",IF($Y2763="","標準報酬月額が未登録／","")&amp;IF(AND($AO2763&lt;&gt;"",OR(AND(INDEX(職員マスタ!$G$6:$G$405,$AN2763)&lt;&gt;"",INDEX(職員マスタ!$G$6:$G$405,$AN2763)&gt;EOMONTH($AO2763,0)),AND(INDEX(職員マスタ!$H$6:$H$405,$AN2763)&lt;&gt;"",INDEX(職員マスタ!$H$6:$H$405,$AN2763)&lt;$AO2763))),"対象月が時短期間外／","")&amp;IF(AND(INDEX(職員マスタ!$F$6:$F$405,$AN2763)&lt;&gt;"",$AO2763&lt;&gt;"",INDEX(職員マスタ!$F$6:$F$405,$AN2763)&lt;$AO2763),"対象月に子が2歳到達済／","")&amp;IF(AND($H2763&lt;&gt;"",INDEX(職員マスタ!$B$6:$B$405,$AN2763)&lt;&gt;"",SUBSTITUTE(SUBSTITUTE($H2763," ","")," ","")&lt;&gt;SUBSTITUTE(SUBSTITUTE(INDEX(職員マスタ!$B$6:$B$405,$AN2763)," ","")," ","")),"氏名がマスタと相違／","")&amp;IF(AND($Q2763&lt;&gt;"",INDEX(職員マスタ!$E$6:$E$405,$AN2763)&lt;&gt;"",$Q2763&lt;&gt;INDEX(職員マスタ!$E$6:$E$405,$AN2763)),"子の生年月日がマスタと相違／","")&amp;IF(AND($L2763&lt;&gt;"",INDEX(職員マスタ!$G$6:$G$405,$AN2763)&lt;&gt;"",$L2763&lt;&gt;INDEX(職員マスタ!$G$6:$G$405,$AN2763)),"時短開始日がマスタと相違／","")&amp;IF(AND($M2763&lt;&gt;"",INDEX(職員マスタ!$H$6:$H$405,$AN2763)&lt;&gt;"",$M2763&lt;&gt;INDEX(職員マスタ!$H$6:$H$405,$AN2763)),"時短終了日がマスタと相違／","")))&amp;IF(AND($B2763&lt;&gt;"",$E2763=""),"報酬額が未入力／","")&amp;IF(N($U2763)&gt;0,"申請書に入力エラーが残っています／","")&amp;IF(AND($B2763&lt;&gt;"",$AO2763&lt;&gt;""),IF(COUNTIFS($B$6:$B$3005,$B2763,$C$6:$C$3005,$C2763,$D$6:$D$3005,$D2763)&gt;1,"同じ月の請求が重複しています／",""),"")&amp;IF(AND(N($E2763)&gt;0,$Z2763&lt;&gt;"",$Z2763&lt;&gt;"×",$AC2763=0,$AB2763=""),"計算額が下限以下のため不支給／",""))</f>
        <v/>
      </c>
      <c r="AL2763" s="12" t="n"/>
      <c r="AM2763" s="14">
        <f>IF($AD2763="保留中",COUNTIF($AD$6:$AD2763,"保留中"),"")</f>
        <v/>
      </c>
      <c r="AN2763" s="14">
        <f>IF($AO2763="","",IF(SUMPRODUCT(MAX((職員マスタ!$A$6:$A$405=$B2763)*(((職員マスタ!$G$6:$G$405="")+(職員マスタ!$G$6:$G$405&lt;=EOMONTH($AO2763,0)))&gt;0)*(((職員マスタ!$H$6:$H$405="")+(職員マスタ!$H$6:$H$405&gt;=$AO2763))&gt;0)*(ROW(職員マスタ!$A$6:$A$405)-5)))&gt;0,SUMPRODUCT(MAX((職員マスタ!$A$6:$A$405=$B2763)*(((職員マスタ!$G$6:$G$405="")+(職員マスタ!$G$6:$G$405&lt;=EOMONTH($AO2763,0)))&gt;0)*(((職員マスタ!$H$6:$H$405="")+(職員マスタ!$H$6:$H$405&gt;=$AO2763))&gt;0)*(ROW(職員マスタ!$A$6:$A$405)-5))),IFERROR(MATCH($B2763,職員マスタ!$A$6:$A$405,0),"")))</f>
        <v/>
      </c>
      <c r="AO2763" s="16">
        <f>IF(OR($B2763="",$C2763="",$D2763=""),"",DATE($C2763+2018,$D2763,1))</f>
        <v/>
      </c>
    </row>
    <row r="2764">
      <c r="A2764" s="11" t="n"/>
      <c r="B2764" s="12" t="n"/>
      <c r="C2764" s="12" t="n"/>
      <c r="D2764" s="12" t="n"/>
      <c r="E2764" s="13" t="n"/>
      <c r="F2764" s="12" t="n"/>
      <c r="G2764" s="13" t="n"/>
      <c r="H2764" s="12" t="n"/>
      <c r="I2764" s="12" t="n"/>
      <c r="J2764" s="12" t="n"/>
      <c r="K2764" s="12" t="n"/>
      <c r="L2764" s="11" t="n"/>
      <c r="M2764" s="11" t="n"/>
      <c r="N2764" s="11" t="n"/>
      <c r="O2764" s="11" t="n"/>
      <c r="P2764" s="12" t="n"/>
      <c r="Q2764" s="11" t="n"/>
      <c r="R2764" s="12" t="n"/>
      <c r="S2764" s="11" t="n"/>
      <c r="T2764" s="12" t="n"/>
      <c r="U2764" s="12" t="n"/>
      <c r="V2764" s="14">
        <f>IF($AN2764="",IF($B2764="","",$H2764),IF(INDEX(職員マスタ!$B$6:$B$405,$AN2764)="",$H2764,INDEX(職員マスタ!$B$6:$B$405,$AN2764)))</f>
        <v/>
      </c>
      <c r="W2764" s="14">
        <f>IF($AN2764="",IF($B2764="","",$R2764),IF(INDEX(職員マスタ!$C$6:$C$405,$AN2764)="",$R2764,INDEX(職員マスタ!$C$6:$C$405,$AN2764)))</f>
        <v/>
      </c>
      <c r="X2764" s="14">
        <f>IF($AO2764="","","R"&amp;$C2764&amp;"."&amp;$D2764)</f>
        <v/>
      </c>
      <c r="Y2764" s="15">
        <f>IF($AN2764="","",IF(INDEX(職員マスタ!$K$6:$K$405,$AN2764)="","",INDEX(職員マスタ!$K$6:$K$405,$AN2764)))</f>
        <v/>
      </c>
      <c r="Z2764" s="14">
        <f>IF(OR($E2764="",$Y2764=""),"",IF($E2764&gt;=$Y2764,"×",IF($E2764&gt;=$Y2764*設定!$C$5,"△","○")))</f>
        <v/>
      </c>
      <c r="AA2764" s="15">
        <f>IF($Z2764="","",IF($Z2764="×",0,IF($Z2764="○",ROUNDDOWN($E2764*設定!$C$4,0),ROUNDDOWN($E2764*ROUND((9*$Y2764-9*$E2764)/(10*$E2764),4),0))))</f>
        <v/>
      </c>
      <c r="AB2764" s="13" t="n"/>
      <c r="AC2764" s="15">
        <f>IF($B2764="","",IF($AB2764&lt;&gt;"",$AB2764,IF($AA2764="","",IF($AA2764&lt;=設定!$C$3,0,$AA2764))))</f>
        <v/>
      </c>
      <c r="AD2764" s="14">
        <f>IF($B2764="","",IF(AND($AE2764&lt;&gt;"",$AG2764="",$AJ2764=""),"保留中",IF($AJ2764&lt;&gt;"",IF(N($AC2764)&gt;0,"支給済","不支給"),IF($AC2764="","要確認",IF($AC2764=0,"不支給","未処理")))))</f>
        <v/>
      </c>
      <c r="AE2764" s="12" t="n"/>
      <c r="AF2764" s="11" t="n"/>
      <c r="AG2764" s="11" t="n"/>
      <c r="AH2764" s="11" t="n"/>
      <c r="AI2764" s="14">
        <f>IF(AND($AD2764="保留中",$AF2764&lt;&gt;""),TODAY()-$AF2764,"")</f>
        <v/>
      </c>
      <c r="AJ2764" s="12" t="n"/>
      <c r="AK2764" s="14">
        <f>IF($B2764="","",IF($AO2764="","対象年月が未入力／","")&amp;IF($B2764="","",IF($AN2764="","職員マスタに未登録の職員番号／",IF($Y2764="","標準報酬月額が未登録／","")&amp;IF(AND($AO2764&lt;&gt;"",OR(AND(INDEX(職員マスタ!$G$6:$G$405,$AN2764)&lt;&gt;"",INDEX(職員マスタ!$G$6:$G$405,$AN2764)&gt;EOMONTH($AO2764,0)),AND(INDEX(職員マスタ!$H$6:$H$405,$AN2764)&lt;&gt;"",INDEX(職員マスタ!$H$6:$H$405,$AN2764)&lt;$AO2764))),"対象月が時短期間外／","")&amp;IF(AND(INDEX(職員マスタ!$F$6:$F$405,$AN2764)&lt;&gt;"",$AO2764&lt;&gt;"",INDEX(職員マスタ!$F$6:$F$405,$AN2764)&lt;$AO2764),"対象月に子が2歳到達済／","")&amp;IF(AND($H2764&lt;&gt;"",INDEX(職員マスタ!$B$6:$B$405,$AN2764)&lt;&gt;"",SUBSTITUTE(SUBSTITUTE($H2764," ","")," ","")&lt;&gt;SUBSTITUTE(SUBSTITUTE(INDEX(職員マスタ!$B$6:$B$405,$AN2764)," ","")," ","")),"氏名がマスタと相違／","")&amp;IF(AND($Q2764&lt;&gt;"",INDEX(職員マスタ!$E$6:$E$405,$AN2764)&lt;&gt;"",$Q2764&lt;&gt;INDEX(職員マスタ!$E$6:$E$405,$AN2764)),"子の生年月日がマスタと相違／","")&amp;IF(AND($L2764&lt;&gt;"",INDEX(職員マスタ!$G$6:$G$405,$AN2764)&lt;&gt;"",$L2764&lt;&gt;INDEX(職員マスタ!$G$6:$G$405,$AN2764)),"時短開始日がマスタと相違／","")&amp;IF(AND($M2764&lt;&gt;"",INDEX(職員マスタ!$H$6:$H$405,$AN2764)&lt;&gt;"",$M2764&lt;&gt;INDEX(職員マスタ!$H$6:$H$405,$AN2764)),"時短終了日がマスタと相違／","")))&amp;IF(AND($B2764&lt;&gt;"",$E2764=""),"報酬額が未入力／","")&amp;IF(N($U2764)&gt;0,"申請書に入力エラーが残っています／","")&amp;IF(AND($B2764&lt;&gt;"",$AO2764&lt;&gt;""),IF(COUNTIFS($B$6:$B$3005,$B2764,$C$6:$C$3005,$C2764,$D$6:$D$3005,$D2764)&gt;1,"同じ月の請求が重複しています／",""),"")&amp;IF(AND(N($E2764)&gt;0,$Z2764&lt;&gt;"",$Z2764&lt;&gt;"×",$AC2764=0,$AB2764=""),"計算額が下限以下のため不支給／",""))</f>
        <v/>
      </c>
      <c r="AL2764" s="12" t="n"/>
      <c r="AM2764" s="14">
        <f>IF($AD2764="保留中",COUNTIF($AD$6:$AD2764,"保留中"),"")</f>
        <v/>
      </c>
      <c r="AN2764" s="14">
        <f>IF($AO2764="","",IF(SUMPRODUCT(MAX((職員マスタ!$A$6:$A$405=$B2764)*(((職員マスタ!$G$6:$G$405="")+(職員マスタ!$G$6:$G$405&lt;=EOMONTH($AO2764,0)))&gt;0)*(((職員マスタ!$H$6:$H$405="")+(職員マスタ!$H$6:$H$405&gt;=$AO2764))&gt;0)*(ROW(職員マスタ!$A$6:$A$405)-5)))&gt;0,SUMPRODUCT(MAX((職員マスタ!$A$6:$A$405=$B2764)*(((職員マスタ!$G$6:$G$405="")+(職員マスタ!$G$6:$G$405&lt;=EOMONTH($AO2764,0)))&gt;0)*(((職員マスタ!$H$6:$H$405="")+(職員マスタ!$H$6:$H$405&gt;=$AO2764))&gt;0)*(ROW(職員マスタ!$A$6:$A$405)-5))),IFERROR(MATCH($B2764,職員マスタ!$A$6:$A$405,0),"")))</f>
        <v/>
      </c>
      <c r="AO2764" s="16">
        <f>IF(OR($B2764="",$C2764="",$D2764=""),"",DATE($C2764+2018,$D2764,1))</f>
        <v/>
      </c>
    </row>
    <row r="2765">
      <c r="A2765" s="11" t="n"/>
      <c r="B2765" s="12" t="n"/>
      <c r="C2765" s="12" t="n"/>
      <c r="D2765" s="12" t="n"/>
      <c r="E2765" s="13" t="n"/>
      <c r="F2765" s="12" t="n"/>
      <c r="G2765" s="13" t="n"/>
      <c r="H2765" s="12" t="n"/>
      <c r="I2765" s="12" t="n"/>
      <c r="J2765" s="12" t="n"/>
      <c r="K2765" s="12" t="n"/>
      <c r="L2765" s="11" t="n"/>
      <c r="M2765" s="11" t="n"/>
      <c r="N2765" s="11" t="n"/>
      <c r="O2765" s="11" t="n"/>
      <c r="P2765" s="12" t="n"/>
      <c r="Q2765" s="11" t="n"/>
      <c r="R2765" s="12" t="n"/>
      <c r="S2765" s="11" t="n"/>
      <c r="T2765" s="12" t="n"/>
      <c r="U2765" s="12" t="n"/>
      <c r="V2765" s="14">
        <f>IF($AN2765="",IF($B2765="","",$H2765),IF(INDEX(職員マスタ!$B$6:$B$405,$AN2765)="",$H2765,INDEX(職員マスタ!$B$6:$B$405,$AN2765)))</f>
        <v/>
      </c>
      <c r="W2765" s="14">
        <f>IF($AN2765="",IF($B2765="","",$R2765),IF(INDEX(職員マスタ!$C$6:$C$405,$AN2765)="",$R2765,INDEX(職員マスタ!$C$6:$C$405,$AN2765)))</f>
        <v/>
      </c>
      <c r="X2765" s="14">
        <f>IF($AO2765="","","R"&amp;$C2765&amp;"."&amp;$D2765)</f>
        <v/>
      </c>
      <c r="Y2765" s="15">
        <f>IF($AN2765="","",IF(INDEX(職員マスタ!$K$6:$K$405,$AN2765)="","",INDEX(職員マスタ!$K$6:$K$405,$AN2765)))</f>
        <v/>
      </c>
      <c r="Z2765" s="14">
        <f>IF(OR($E2765="",$Y2765=""),"",IF($E2765&gt;=$Y2765,"×",IF($E2765&gt;=$Y2765*設定!$C$5,"△","○")))</f>
        <v/>
      </c>
      <c r="AA2765" s="15">
        <f>IF($Z2765="","",IF($Z2765="×",0,IF($Z2765="○",ROUNDDOWN($E2765*設定!$C$4,0),ROUNDDOWN($E2765*ROUND((9*$Y2765-9*$E2765)/(10*$E2765),4),0))))</f>
        <v/>
      </c>
      <c r="AB2765" s="13" t="n"/>
      <c r="AC2765" s="15">
        <f>IF($B2765="","",IF($AB2765&lt;&gt;"",$AB2765,IF($AA2765="","",IF($AA2765&lt;=設定!$C$3,0,$AA2765))))</f>
        <v/>
      </c>
      <c r="AD2765" s="14">
        <f>IF($B2765="","",IF(AND($AE2765&lt;&gt;"",$AG2765="",$AJ2765=""),"保留中",IF($AJ2765&lt;&gt;"",IF(N($AC2765)&gt;0,"支給済","不支給"),IF($AC2765="","要確認",IF($AC2765=0,"不支給","未処理")))))</f>
        <v/>
      </c>
      <c r="AE2765" s="12" t="n"/>
      <c r="AF2765" s="11" t="n"/>
      <c r="AG2765" s="11" t="n"/>
      <c r="AH2765" s="11" t="n"/>
      <c r="AI2765" s="14">
        <f>IF(AND($AD2765="保留中",$AF2765&lt;&gt;""),TODAY()-$AF2765,"")</f>
        <v/>
      </c>
      <c r="AJ2765" s="12" t="n"/>
      <c r="AK2765" s="14">
        <f>IF($B2765="","",IF($AO2765="","対象年月が未入力／","")&amp;IF($B2765="","",IF($AN2765="","職員マスタに未登録の職員番号／",IF($Y2765="","標準報酬月額が未登録／","")&amp;IF(AND($AO2765&lt;&gt;"",OR(AND(INDEX(職員マスタ!$G$6:$G$405,$AN2765)&lt;&gt;"",INDEX(職員マスタ!$G$6:$G$405,$AN2765)&gt;EOMONTH($AO2765,0)),AND(INDEX(職員マスタ!$H$6:$H$405,$AN2765)&lt;&gt;"",INDEX(職員マスタ!$H$6:$H$405,$AN2765)&lt;$AO2765))),"対象月が時短期間外／","")&amp;IF(AND(INDEX(職員マスタ!$F$6:$F$405,$AN2765)&lt;&gt;"",$AO2765&lt;&gt;"",INDEX(職員マスタ!$F$6:$F$405,$AN2765)&lt;$AO2765),"対象月に子が2歳到達済／","")&amp;IF(AND($H2765&lt;&gt;"",INDEX(職員マスタ!$B$6:$B$405,$AN2765)&lt;&gt;"",SUBSTITUTE(SUBSTITUTE($H2765," ","")," ","")&lt;&gt;SUBSTITUTE(SUBSTITUTE(INDEX(職員マスタ!$B$6:$B$405,$AN2765)," ","")," ","")),"氏名がマスタと相違／","")&amp;IF(AND($Q2765&lt;&gt;"",INDEX(職員マスタ!$E$6:$E$405,$AN2765)&lt;&gt;"",$Q2765&lt;&gt;INDEX(職員マスタ!$E$6:$E$405,$AN2765)),"子の生年月日がマスタと相違／","")&amp;IF(AND($L2765&lt;&gt;"",INDEX(職員マスタ!$G$6:$G$405,$AN2765)&lt;&gt;"",$L2765&lt;&gt;INDEX(職員マスタ!$G$6:$G$405,$AN2765)),"時短開始日がマスタと相違／","")&amp;IF(AND($M2765&lt;&gt;"",INDEX(職員マスタ!$H$6:$H$405,$AN2765)&lt;&gt;"",$M2765&lt;&gt;INDEX(職員マスタ!$H$6:$H$405,$AN2765)),"時短終了日がマスタと相違／","")))&amp;IF(AND($B2765&lt;&gt;"",$E2765=""),"報酬額が未入力／","")&amp;IF(N($U2765)&gt;0,"申請書に入力エラーが残っています／","")&amp;IF(AND($B2765&lt;&gt;"",$AO2765&lt;&gt;""),IF(COUNTIFS($B$6:$B$3005,$B2765,$C$6:$C$3005,$C2765,$D$6:$D$3005,$D2765)&gt;1,"同じ月の請求が重複しています／",""),"")&amp;IF(AND(N($E2765)&gt;0,$Z2765&lt;&gt;"",$Z2765&lt;&gt;"×",$AC2765=0,$AB2765=""),"計算額が下限以下のため不支給／",""))</f>
        <v/>
      </c>
      <c r="AL2765" s="12" t="n"/>
      <c r="AM2765" s="14">
        <f>IF($AD2765="保留中",COUNTIF($AD$6:$AD2765,"保留中"),"")</f>
        <v/>
      </c>
      <c r="AN2765" s="14">
        <f>IF($AO2765="","",IF(SUMPRODUCT(MAX((職員マスタ!$A$6:$A$405=$B2765)*(((職員マスタ!$G$6:$G$405="")+(職員マスタ!$G$6:$G$405&lt;=EOMONTH($AO2765,0)))&gt;0)*(((職員マスタ!$H$6:$H$405="")+(職員マスタ!$H$6:$H$405&gt;=$AO2765))&gt;0)*(ROW(職員マスタ!$A$6:$A$405)-5)))&gt;0,SUMPRODUCT(MAX((職員マスタ!$A$6:$A$405=$B2765)*(((職員マスタ!$G$6:$G$405="")+(職員マスタ!$G$6:$G$405&lt;=EOMONTH($AO2765,0)))&gt;0)*(((職員マスタ!$H$6:$H$405="")+(職員マスタ!$H$6:$H$405&gt;=$AO2765))&gt;0)*(ROW(職員マスタ!$A$6:$A$405)-5))),IFERROR(MATCH($B2765,職員マスタ!$A$6:$A$405,0),"")))</f>
        <v/>
      </c>
      <c r="AO2765" s="16">
        <f>IF(OR($B2765="",$C2765="",$D2765=""),"",DATE($C2765+2018,$D2765,1))</f>
        <v/>
      </c>
    </row>
    <row r="2766">
      <c r="A2766" s="11" t="n"/>
      <c r="B2766" s="12" t="n"/>
      <c r="C2766" s="12" t="n"/>
      <c r="D2766" s="12" t="n"/>
      <c r="E2766" s="13" t="n"/>
      <c r="F2766" s="12" t="n"/>
      <c r="G2766" s="13" t="n"/>
      <c r="H2766" s="12" t="n"/>
      <c r="I2766" s="12" t="n"/>
      <c r="J2766" s="12" t="n"/>
      <c r="K2766" s="12" t="n"/>
      <c r="L2766" s="11" t="n"/>
      <c r="M2766" s="11" t="n"/>
      <c r="N2766" s="11" t="n"/>
      <c r="O2766" s="11" t="n"/>
      <c r="P2766" s="12" t="n"/>
      <c r="Q2766" s="11" t="n"/>
      <c r="R2766" s="12" t="n"/>
      <c r="S2766" s="11" t="n"/>
      <c r="T2766" s="12" t="n"/>
      <c r="U2766" s="12" t="n"/>
      <c r="V2766" s="14">
        <f>IF($AN2766="",IF($B2766="","",$H2766),IF(INDEX(職員マスタ!$B$6:$B$405,$AN2766)="",$H2766,INDEX(職員マスタ!$B$6:$B$405,$AN2766)))</f>
        <v/>
      </c>
      <c r="W2766" s="14">
        <f>IF($AN2766="",IF($B2766="","",$R2766),IF(INDEX(職員マスタ!$C$6:$C$405,$AN2766)="",$R2766,INDEX(職員マスタ!$C$6:$C$405,$AN2766)))</f>
        <v/>
      </c>
      <c r="X2766" s="14">
        <f>IF($AO2766="","","R"&amp;$C2766&amp;"."&amp;$D2766)</f>
        <v/>
      </c>
      <c r="Y2766" s="15">
        <f>IF($AN2766="","",IF(INDEX(職員マスタ!$K$6:$K$405,$AN2766)="","",INDEX(職員マスタ!$K$6:$K$405,$AN2766)))</f>
        <v/>
      </c>
      <c r="Z2766" s="14">
        <f>IF(OR($E2766="",$Y2766=""),"",IF($E2766&gt;=$Y2766,"×",IF($E2766&gt;=$Y2766*設定!$C$5,"△","○")))</f>
        <v/>
      </c>
      <c r="AA2766" s="15">
        <f>IF($Z2766="","",IF($Z2766="×",0,IF($Z2766="○",ROUNDDOWN($E2766*設定!$C$4,0),ROUNDDOWN($E2766*ROUND((9*$Y2766-9*$E2766)/(10*$E2766),4),0))))</f>
        <v/>
      </c>
      <c r="AB2766" s="13" t="n"/>
      <c r="AC2766" s="15">
        <f>IF($B2766="","",IF($AB2766&lt;&gt;"",$AB2766,IF($AA2766="","",IF($AA2766&lt;=設定!$C$3,0,$AA2766))))</f>
        <v/>
      </c>
      <c r="AD2766" s="14">
        <f>IF($B2766="","",IF(AND($AE2766&lt;&gt;"",$AG2766="",$AJ2766=""),"保留中",IF($AJ2766&lt;&gt;"",IF(N($AC2766)&gt;0,"支給済","不支給"),IF($AC2766="","要確認",IF($AC2766=0,"不支給","未処理")))))</f>
        <v/>
      </c>
      <c r="AE2766" s="12" t="n"/>
      <c r="AF2766" s="11" t="n"/>
      <c r="AG2766" s="11" t="n"/>
      <c r="AH2766" s="11" t="n"/>
      <c r="AI2766" s="14">
        <f>IF(AND($AD2766="保留中",$AF2766&lt;&gt;""),TODAY()-$AF2766,"")</f>
        <v/>
      </c>
      <c r="AJ2766" s="12" t="n"/>
      <c r="AK2766" s="14">
        <f>IF($B2766="","",IF($AO2766="","対象年月が未入力／","")&amp;IF($B2766="","",IF($AN2766="","職員マスタに未登録の職員番号／",IF($Y2766="","標準報酬月額が未登録／","")&amp;IF(AND($AO2766&lt;&gt;"",OR(AND(INDEX(職員マスタ!$G$6:$G$405,$AN2766)&lt;&gt;"",INDEX(職員マスタ!$G$6:$G$405,$AN2766)&gt;EOMONTH($AO2766,0)),AND(INDEX(職員マスタ!$H$6:$H$405,$AN2766)&lt;&gt;"",INDEX(職員マスタ!$H$6:$H$405,$AN2766)&lt;$AO2766))),"対象月が時短期間外／","")&amp;IF(AND(INDEX(職員マスタ!$F$6:$F$405,$AN2766)&lt;&gt;"",$AO2766&lt;&gt;"",INDEX(職員マスタ!$F$6:$F$405,$AN2766)&lt;$AO2766),"対象月に子が2歳到達済／","")&amp;IF(AND($H2766&lt;&gt;"",INDEX(職員マスタ!$B$6:$B$405,$AN2766)&lt;&gt;"",SUBSTITUTE(SUBSTITUTE($H2766," ","")," ","")&lt;&gt;SUBSTITUTE(SUBSTITUTE(INDEX(職員マスタ!$B$6:$B$405,$AN2766)," ","")," ","")),"氏名がマスタと相違／","")&amp;IF(AND($Q2766&lt;&gt;"",INDEX(職員マスタ!$E$6:$E$405,$AN2766)&lt;&gt;"",$Q2766&lt;&gt;INDEX(職員マスタ!$E$6:$E$405,$AN2766)),"子の生年月日がマスタと相違／","")&amp;IF(AND($L2766&lt;&gt;"",INDEX(職員マスタ!$G$6:$G$405,$AN2766)&lt;&gt;"",$L2766&lt;&gt;INDEX(職員マスタ!$G$6:$G$405,$AN2766)),"時短開始日がマスタと相違／","")&amp;IF(AND($M2766&lt;&gt;"",INDEX(職員マスタ!$H$6:$H$405,$AN2766)&lt;&gt;"",$M2766&lt;&gt;INDEX(職員マスタ!$H$6:$H$405,$AN2766)),"時短終了日がマスタと相違／","")))&amp;IF(AND($B2766&lt;&gt;"",$E2766=""),"報酬額が未入力／","")&amp;IF(N($U2766)&gt;0,"申請書に入力エラーが残っています／","")&amp;IF(AND($B2766&lt;&gt;"",$AO2766&lt;&gt;""),IF(COUNTIFS($B$6:$B$3005,$B2766,$C$6:$C$3005,$C2766,$D$6:$D$3005,$D2766)&gt;1,"同じ月の請求が重複しています／",""),"")&amp;IF(AND(N($E2766)&gt;0,$Z2766&lt;&gt;"",$Z2766&lt;&gt;"×",$AC2766=0,$AB2766=""),"計算額が下限以下のため不支給／",""))</f>
        <v/>
      </c>
      <c r="AL2766" s="12" t="n"/>
      <c r="AM2766" s="14">
        <f>IF($AD2766="保留中",COUNTIF($AD$6:$AD2766,"保留中"),"")</f>
        <v/>
      </c>
      <c r="AN2766" s="14">
        <f>IF($AO2766="","",IF(SUMPRODUCT(MAX((職員マスタ!$A$6:$A$405=$B2766)*(((職員マスタ!$G$6:$G$405="")+(職員マスタ!$G$6:$G$405&lt;=EOMONTH($AO2766,0)))&gt;0)*(((職員マスタ!$H$6:$H$405="")+(職員マスタ!$H$6:$H$405&gt;=$AO2766))&gt;0)*(ROW(職員マスタ!$A$6:$A$405)-5)))&gt;0,SUMPRODUCT(MAX((職員マスタ!$A$6:$A$405=$B2766)*(((職員マスタ!$G$6:$G$405="")+(職員マスタ!$G$6:$G$405&lt;=EOMONTH($AO2766,0)))&gt;0)*(((職員マスタ!$H$6:$H$405="")+(職員マスタ!$H$6:$H$405&gt;=$AO2766))&gt;0)*(ROW(職員マスタ!$A$6:$A$405)-5))),IFERROR(MATCH($B2766,職員マスタ!$A$6:$A$405,0),"")))</f>
        <v/>
      </c>
      <c r="AO2766" s="16">
        <f>IF(OR($B2766="",$C2766="",$D2766=""),"",DATE($C2766+2018,$D2766,1))</f>
        <v/>
      </c>
    </row>
    <row r="2767">
      <c r="A2767" s="11" t="n"/>
      <c r="B2767" s="12" t="n"/>
      <c r="C2767" s="12" t="n"/>
      <c r="D2767" s="12" t="n"/>
      <c r="E2767" s="13" t="n"/>
      <c r="F2767" s="12" t="n"/>
      <c r="G2767" s="13" t="n"/>
      <c r="H2767" s="12" t="n"/>
      <c r="I2767" s="12" t="n"/>
      <c r="J2767" s="12" t="n"/>
      <c r="K2767" s="12" t="n"/>
      <c r="L2767" s="11" t="n"/>
      <c r="M2767" s="11" t="n"/>
      <c r="N2767" s="11" t="n"/>
      <c r="O2767" s="11" t="n"/>
      <c r="P2767" s="12" t="n"/>
      <c r="Q2767" s="11" t="n"/>
      <c r="R2767" s="12" t="n"/>
      <c r="S2767" s="11" t="n"/>
      <c r="T2767" s="12" t="n"/>
      <c r="U2767" s="12" t="n"/>
      <c r="V2767" s="14">
        <f>IF($AN2767="",IF($B2767="","",$H2767),IF(INDEX(職員マスタ!$B$6:$B$405,$AN2767)="",$H2767,INDEX(職員マスタ!$B$6:$B$405,$AN2767)))</f>
        <v/>
      </c>
      <c r="W2767" s="14">
        <f>IF($AN2767="",IF($B2767="","",$R2767),IF(INDEX(職員マスタ!$C$6:$C$405,$AN2767)="",$R2767,INDEX(職員マスタ!$C$6:$C$405,$AN2767)))</f>
        <v/>
      </c>
      <c r="X2767" s="14">
        <f>IF($AO2767="","","R"&amp;$C2767&amp;"."&amp;$D2767)</f>
        <v/>
      </c>
      <c r="Y2767" s="15">
        <f>IF($AN2767="","",IF(INDEX(職員マスタ!$K$6:$K$405,$AN2767)="","",INDEX(職員マスタ!$K$6:$K$405,$AN2767)))</f>
        <v/>
      </c>
      <c r="Z2767" s="14">
        <f>IF(OR($E2767="",$Y2767=""),"",IF($E2767&gt;=$Y2767,"×",IF($E2767&gt;=$Y2767*設定!$C$5,"△","○")))</f>
        <v/>
      </c>
      <c r="AA2767" s="15">
        <f>IF($Z2767="","",IF($Z2767="×",0,IF($Z2767="○",ROUNDDOWN($E2767*設定!$C$4,0),ROUNDDOWN($E2767*ROUND((9*$Y2767-9*$E2767)/(10*$E2767),4),0))))</f>
        <v/>
      </c>
      <c r="AB2767" s="13" t="n"/>
      <c r="AC2767" s="15">
        <f>IF($B2767="","",IF($AB2767&lt;&gt;"",$AB2767,IF($AA2767="","",IF($AA2767&lt;=設定!$C$3,0,$AA2767))))</f>
        <v/>
      </c>
      <c r="AD2767" s="14">
        <f>IF($B2767="","",IF(AND($AE2767&lt;&gt;"",$AG2767="",$AJ2767=""),"保留中",IF($AJ2767&lt;&gt;"",IF(N($AC2767)&gt;0,"支給済","不支給"),IF($AC2767="","要確認",IF($AC2767=0,"不支給","未処理")))))</f>
        <v/>
      </c>
      <c r="AE2767" s="12" t="n"/>
      <c r="AF2767" s="11" t="n"/>
      <c r="AG2767" s="11" t="n"/>
      <c r="AH2767" s="11" t="n"/>
      <c r="AI2767" s="14">
        <f>IF(AND($AD2767="保留中",$AF2767&lt;&gt;""),TODAY()-$AF2767,"")</f>
        <v/>
      </c>
      <c r="AJ2767" s="12" t="n"/>
      <c r="AK2767" s="14">
        <f>IF($B2767="","",IF($AO2767="","対象年月が未入力／","")&amp;IF($B2767="","",IF($AN2767="","職員マスタに未登録の職員番号／",IF($Y2767="","標準報酬月額が未登録／","")&amp;IF(AND($AO2767&lt;&gt;"",OR(AND(INDEX(職員マスタ!$G$6:$G$405,$AN2767)&lt;&gt;"",INDEX(職員マスタ!$G$6:$G$405,$AN2767)&gt;EOMONTH($AO2767,0)),AND(INDEX(職員マスタ!$H$6:$H$405,$AN2767)&lt;&gt;"",INDEX(職員マスタ!$H$6:$H$405,$AN2767)&lt;$AO2767))),"対象月が時短期間外／","")&amp;IF(AND(INDEX(職員マスタ!$F$6:$F$405,$AN2767)&lt;&gt;"",$AO2767&lt;&gt;"",INDEX(職員マスタ!$F$6:$F$405,$AN2767)&lt;$AO2767),"対象月に子が2歳到達済／","")&amp;IF(AND($H2767&lt;&gt;"",INDEX(職員マスタ!$B$6:$B$405,$AN2767)&lt;&gt;"",SUBSTITUTE(SUBSTITUTE($H2767," ","")," ","")&lt;&gt;SUBSTITUTE(SUBSTITUTE(INDEX(職員マスタ!$B$6:$B$405,$AN2767)," ","")," ","")),"氏名がマスタと相違／","")&amp;IF(AND($Q2767&lt;&gt;"",INDEX(職員マスタ!$E$6:$E$405,$AN2767)&lt;&gt;"",$Q2767&lt;&gt;INDEX(職員マスタ!$E$6:$E$405,$AN2767)),"子の生年月日がマスタと相違／","")&amp;IF(AND($L2767&lt;&gt;"",INDEX(職員マスタ!$G$6:$G$405,$AN2767)&lt;&gt;"",$L2767&lt;&gt;INDEX(職員マスタ!$G$6:$G$405,$AN2767)),"時短開始日がマスタと相違／","")&amp;IF(AND($M2767&lt;&gt;"",INDEX(職員マスタ!$H$6:$H$405,$AN2767)&lt;&gt;"",$M2767&lt;&gt;INDEX(職員マスタ!$H$6:$H$405,$AN2767)),"時短終了日がマスタと相違／","")))&amp;IF(AND($B2767&lt;&gt;"",$E2767=""),"報酬額が未入力／","")&amp;IF(N($U2767)&gt;0,"申請書に入力エラーが残っています／","")&amp;IF(AND($B2767&lt;&gt;"",$AO2767&lt;&gt;""),IF(COUNTIFS($B$6:$B$3005,$B2767,$C$6:$C$3005,$C2767,$D$6:$D$3005,$D2767)&gt;1,"同じ月の請求が重複しています／",""),"")&amp;IF(AND(N($E2767)&gt;0,$Z2767&lt;&gt;"",$Z2767&lt;&gt;"×",$AC2767=0,$AB2767=""),"計算額が下限以下のため不支給／",""))</f>
        <v/>
      </c>
      <c r="AL2767" s="12" t="n"/>
      <c r="AM2767" s="14">
        <f>IF($AD2767="保留中",COUNTIF($AD$6:$AD2767,"保留中"),"")</f>
        <v/>
      </c>
      <c r="AN2767" s="14">
        <f>IF($AO2767="","",IF(SUMPRODUCT(MAX((職員マスタ!$A$6:$A$405=$B2767)*(((職員マスタ!$G$6:$G$405="")+(職員マスタ!$G$6:$G$405&lt;=EOMONTH($AO2767,0)))&gt;0)*(((職員マスタ!$H$6:$H$405="")+(職員マスタ!$H$6:$H$405&gt;=$AO2767))&gt;0)*(ROW(職員マスタ!$A$6:$A$405)-5)))&gt;0,SUMPRODUCT(MAX((職員マスタ!$A$6:$A$405=$B2767)*(((職員マスタ!$G$6:$G$405="")+(職員マスタ!$G$6:$G$405&lt;=EOMONTH($AO2767,0)))&gt;0)*(((職員マスタ!$H$6:$H$405="")+(職員マスタ!$H$6:$H$405&gt;=$AO2767))&gt;0)*(ROW(職員マスタ!$A$6:$A$405)-5))),IFERROR(MATCH($B2767,職員マスタ!$A$6:$A$405,0),"")))</f>
        <v/>
      </c>
      <c r="AO2767" s="16">
        <f>IF(OR($B2767="",$C2767="",$D2767=""),"",DATE($C2767+2018,$D2767,1))</f>
        <v/>
      </c>
    </row>
    <row r="2768">
      <c r="A2768" s="11" t="n"/>
      <c r="B2768" s="12" t="n"/>
      <c r="C2768" s="12" t="n"/>
      <c r="D2768" s="12" t="n"/>
      <c r="E2768" s="13" t="n"/>
      <c r="F2768" s="12" t="n"/>
      <c r="G2768" s="13" t="n"/>
      <c r="H2768" s="12" t="n"/>
      <c r="I2768" s="12" t="n"/>
      <c r="J2768" s="12" t="n"/>
      <c r="K2768" s="12" t="n"/>
      <c r="L2768" s="11" t="n"/>
      <c r="M2768" s="11" t="n"/>
      <c r="N2768" s="11" t="n"/>
      <c r="O2768" s="11" t="n"/>
      <c r="P2768" s="12" t="n"/>
      <c r="Q2768" s="11" t="n"/>
      <c r="R2768" s="12" t="n"/>
      <c r="S2768" s="11" t="n"/>
      <c r="T2768" s="12" t="n"/>
      <c r="U2768" s="12" t="n"/>
      <c r="V2768" s="14">
        <f>IF($AN2768="",IF($B2768="","",$H2768),IF(INDEX(職員マスタ!$B$6:$B$405,$AN2768)="",$H2768,INDEX(職員マスタ!$B$6:$B$405,$AN2768)))</f>
        <v/>
      </c>
      <c r="W2768" s="14">
        <f>IF($AN2768="",IF($B2768="","",$R2768),IF(INDEX(職員マスタ!$C$6:$C$405,$AN2768)="",$R2768,INDEX(職員マスタ!$C$6:$C$405,$AN2768)))</f>
        <v/>
      </c>
      <c r="X2768" s="14">
        <f>IF($AO2768="","","R"&amp;$C2768&amp;"."&amp;$D2768)</f>
        <v/>
      </c>
      <c r="Y2768" s="15">
        <f>IF($AN2768="","",IF(INDEX(職員マスタ!$K$6:$K$405,$AN2768)="","",INDEX(職員マスタ!$K$6:$K$405,$AN2768)))</f>
        <v/>
      </c>
      <c r="Z2768" s="14">
        <f>IF(OR($E2768="",$Y2768=""),"",IF($E2768&gt;=$Y2768,"×",IF($E2768&gt;=$Y2768*設定!$C$5,"△","○")))</f>
        <v/>
      </c>
      <c r="AA2768" s="15">
        <f>IF($Z2768="","",IF($Z2768="×",0,IF($Z2768="○",ROUNDDOWN($E2768*設定!$C$4,0),ROUNDDOWN($E2768*ROUND((9*$Y2768-9*$E2768)/(10*$E2768),4),0))))</f>
        <v/>
      </c>
      <c r="AB2768" s="13" t="n"/>
      <c r="AC2768" s="15">
        <f>IF($B2768="","",IF($AB2768&lt;&gt;"",$AB2768,IF($AA2768="","",IF($AA2768&lt;=設定!$C$3,0,$AA2768))))</f>
        <v/>
      </c>
      <c r="AD2768" s="14">
        <f>IF($B2768="","",IF(AND($AE2768&lt;&gt;"",$AG2768="",$AJ2768=""),"保留中",IF($AJ2768&lt;&gt;"",IF(N($AC2768)&gt;0,"支給済","不支給"),IF($AC2768="","要確認",IF($AC2768=0,"不支給","未処理")))))</f>
        <v/>
      </c>
      <c r="AE2768" s="12" t="n"/>
      <c r="AF2768" s="11" t="n"/>
      <c r="AG2768" s="11" t="n"/>
      <c r="AH2768" s="11" t="n"/>
      <c r="AI2768" s="14">
        <f>IF(AND($AD2768="保留中",$AF2768&lt;&gt;""),TODAY()-$AF2768,"")</f>
        <v/>
      </c>
      <c r="AJ2768" s="12" t="n"/>
      <c r="AK2768" s="14">
        <f>IF($B2768="","",IF($AO2768="","対象年月が未入力／","")&amp;IF($B2768="","",IF($AN2768="","職員マスタに未登録の職員番号／",IF($Y2768="","標準報酬月額が未登録／","")&amp;IF(AND($AO2768&lt;&gt;"",OR(AND(INDEX(職員マスタ!$G$6:$G$405,$AN2768)&lt;&gt;"",INDEX(職員マスタ!$G$6:$G$405,$AN2768)&gt;EOMONTH($AO2768,0)),AND(INDEX(職員マスタ!$H$6:$H$405,$AN2768)&lt;&gt;"",INDEX(職員マスタ!$H$6:$H$405,$AN2768)&lt;$AO2768))),"対象月が時短期間外／","")&amp;IF(AND(INDEX(職員マスタ!$F$6:$F$405,$AN2768)&lt;&gt;"",$AO2768&lt;&gt;"",INDEX(職員マスタ!$F$6:$F$405,$AN2768)&lt;$AO2768),"対象月に子が2歳到達済／","")&amp;IF(AND($H2768&lt;&gt;"",INDEX(職員マスタ!$B$6:$B$405,$AN2768)&lt;&gt;"",SUBSTITUTE(SUBSTITUTE($H2768," ","")," ","")&lt;&gt;SUBSTITUTE(SUBSTITUTE(INDEX(職員マスタ!$B$6:$B$405,$AN2768)," ","")," ","")),"氏名がマスタと相違／","")&amp;IF(AND($Q2768&lt;&gt;"",INDEX(職員マスタ!$E$6:$E$405,$AN2768)&lt;&gt;"",$Q2768&lt;&gt;INDEX(職員マスタ!$E$6:$E$405,$AN2768)),"子の生年月日がマスタと相違／","")&amp;IF(AND($L2768&lt;&gt;"",INDEX(職員マスタ!$G$6:$G$405,$AN2768)&lt;&gt;"",$L2768&lt;&gt;INDEX(職員マスタ!$G$6:$G$405,$AN2768)),"時短開始日がマスタと相違／","")&amp;IF(AND($M2768&lt;&gt;"",INDEX(職員マスタ!$H$6:$H$405,$AN2768)&lt;&gt;"",$M2768&lt;&gt;INDEX(職員マスタ!$H$6:$H$405,$AN2768)),"時短終了日がマスタと相違／","")))&amp;IF(AND($B2768&lt;&gt;"",$E2768=""),"報酬額が未入力／","")&amp;IF(N($U2768)&gt;0,"申請書に入力エラーが残っています／","")&amp;IF(AND($B2768&lt;&gt;"",$AO2768&lt;&gt;""),IF(COUNTIFS($B$6:$B$3005,$B2768,$C$6:$C$3005,$C2768,$D$6:$D$3005,$D2768)&gt;1,"同じ月の請求が重複しています／",""),"")&amp;IF(AND(N($E2768)&gt;0,$Z2768&lt;&gt;"",$Z2768&lt;&gt;"×",$AC2768=0,$AB2768=""),"計算額が下限以下のため不支給／",""))</f>
        <v/>
      </c>
      <c r="AL2768" s="12" t="n"/>
      <c r="AM2768" s="14">
        <f>IF($AD2768="保留中",COUNTIF($AD$6:$AD2768,"保留中"),"")</f>
        <v/>
      </c>
      <c r="AN2768" s="14">
        <f>IF($AO2768="","",IF(SUMPRODUCT(MAX((職員マスタ!$A$6:$A$405=$B2768)*(((職員マスタ!$G$6:$G$405="")+(職員マスタ!$G$6:$G$405&lt;=EOMONTH($AO2768,0)))&gt;0)*(((職員マスタ!$H$6:$H$405="")+(職員マスタ!$H$6:$H$405&gt;=$AO2768))&gt;0)*(ROW(職員マスタ!$A$6:$A$405)-5)))&gt;0,SUMPRODUCT(MAX((職員マスタ!$A$6:$A$405=$B2768)*(((職員マスタ!$G$6:$G$405="")+(職員マスタ!$G$6:$G$405&lt;=EOMONTH($AO2768,0)))&gt;0)*(((職員マスタ!$H$6:$H$405="")+(職員マスタ!$H$6:$H$405&gt;=$AO2768))&gt;0)*(ROW(職員マスタ!$A$6:$A$405)-5))),IFERROR(MATCH($B2768,職員マスタ!$A$6:$A$405,0),"")))</f>
        <v/>
      </c>
      <c r="AO2768" s="16">
        <f>IF(OR($B2768="",$C2768="",$D2768=""),"",DATE($C2768+2018,$D2768,1))</f>
        <v/>
      </c>
    </row>
    <row r="2769">
      <c r="A2769" s="11" t="n"/>
      <c r="B2769" s="12" t="n"/>
      <c r="C2769" s="12" t="n"/>
      <c r="D2769" s="12" t="n"/>
      <c r="E2769" s="13" t="n"/>
      <c r="F2769" s="12" t="n"/>
      <c r="G2769" s="13" t="n"/>
      <c r="H2769" s="12" t="n"/>
      <c r="I2769" s="12" t="n"/>
      <c r="J2769" s="12" t="n"/>
      <c r="K2769" s="12" t="n"/>
      <c r="L2769" s="11" t="n"/>
      <c r="M2769" s="11" t="n"/>
      <c r="N2769" s="11" t="n"/>
      <c r="O2769" s="11" t="n"/>
      <c r="P2769" s="12" t="n"/>
      <c r="Q2769" s="11" t="n"/>
      <c r="R2769" s="12" t="n"/>
      <c r="S2769" s="11" t="n"/>
      <c r="T2769" s="12" t="n"/>
      <c r="U2769" s="12" t="n"/>
      <c r="V2769" s="14">
        <f>IF($AN2769="",IF($B2769="","",$H2769),IF(INDEX(職員マスタ!$B$6:$B$405,$AN2769)="",$H2769,INDEX(職員マスタ!$B$6:$B$405,$AN2769)))</f>
        <v/>
      </c>
      <c r="W2769" s="14">
        <f>IF($AN2769="",IF($B2769="","",$R2769),IF(INDEX(職員マスタ!$C$6:$C$405,$AN2769)="",$R2769,INDEX(職員マスタ!$C$6:$C$405,$AN2769)))</f>
        <v/>
      </c>
      <c r="X2769" s="14">
        <f>IF($AO2769="","","R"&amp;$C2769&amp;"."&amp;$D2769)</f>
        <v/>
      </c>
      <c r="Y2769" s="15">
        <f>IF($AN2769="","",IF(INDEX(職員マスタ!$K$6:$K$405,$AN2769)="","",INDEX(職員マスタ!$K$6:$K$405,$AN2769)))</f>
        <v/>
      </c>
      <c r="Z2769" s="14">
        <f>IF(OR($E2769="",$Y2769=""),"",IF($E2769&gt;=$Y2769,"×",IF($E2769&gt;=$Y2769*設定!$C$5,"△","○")))</f>
        <v/>
      </c>
      <c r="AA2769" s="15">
        <f>IF($Z2769="","",IF($Z2769="×",0,IF($Z2769="○",ROUNDDOWN($E2769*設定!$C$4,0),ROUNDDOWN($E2769*ROUND((9*$Y2769-9*$E2769)/(10*$E2769),4),0))))</f>
        <v/>
      </c>
      <c r="AB2769" s="13" t="n"/>
      <c r="AC2769" s="15">
        <f>IF($B2769="","",IF($AB2769&lt;&gt;"",$AB2769,IF($AA2769="","",IF($AA2769&lt;=設定!$C$3,0,$AA2769))))</f>
        <v/>
      </c>
      <c r="AD2769" s="14">
        <f>IF($B2769="","",IF(AND($AE2769&lt;&gt;"",$AG2769="",$AJ2769=""),"保留中",IF($AJ2769&lt;&gt;"",IF(N($AC2769)&gt;0,"支給済","不支給"),IF($AC2769="","要確認",IF($AC2769=0,"不支給","未処理")))))</f>
        <v/>
      </c>
      <c r="AE2769" s="12" t="n"/>
      <c r="AF2769" s="11" t="n"/>
      <c r="AG2769" s="11" t="n"/>
      <c r="AH2769" s="11" t="n"/>
      <c r="AI2769" s="14">
        <f>IF(AND($AD2769="保留中",$AF2769&lt;&gt;""),TODAY()-$AF2769,"")</f>
        <v/>
      </c>
      <c r="AJ2769" s="12" t="n"/>
      <c r="AK2769" s="14">
        <f>IF($B2769="","",IF($AO2769="","対象年月が未入力／","")&amp;IF($B2769="","",IF($AN2769="","職員マスタに未登録の職員番号／",IF($Y2769="","標準報酬月額が未登録／","")&amp;IF(AND($AO2769&lt;&gt;"",OR(AND(INDEX(職員マスタ!$G$6:$G$405,$AN2769)&lt;&gt;"",INDEX(職員マスタ!$G$6:$G$405,$AN2769)&gt;EOMONTH($AO2769,0)),AND(INDEX(職員マスタ!$H$6:$H$405,$AN2769)&lt;&gt;"",INDEX(職員マスタ!$H$6:$H$405,$AN2769)&lt;$AO2769))),"対象月が時短期間外／","")&amp;IF(AND(INDEX(職員マスタ!$F$6:$F$405,$AN2769)&lt;&gt;"",$AO2769&lt;&gt;"",INDEX(職員マスタ!$F$6:$F$405,$AN2769)&lt;$AO2769),"対象月に子が2歳到達済／","")&amp;IF(AND($H2769&lt;&gt;"",INDEX(職員マスタ!$B$6:$B$405,$AN2769)&lt;&gt;"",SUBSTITUTE(SUBSTITUTE($H2769," ","")," ","")&lt;&gt;SUBSTITUTE(SUBSTITUTE(INDEX(職員マスタ!$B$6:$B$405,$AN2769)," ","")," ","")),"氏名がマスタと相違／","")&amp;IF(AND($Q2769&lt;&gt;"",INDEX(職員マスタ!$E$6:$E$405,$AN2769)&lt;&gt;"",$Q2769&lt;&gt;INDEX(職員マスタ!$E$6:$E$405,$AN2769)),"子の生年月日がマスタと相違／","")&amp;IF(AND($L2769&lt;&gt;"",INDEX(職員マスタ!$G$6:$G$405,$AN2769)&lt;&gt;"",$L2769&lt;&gt;INDEX(職員マスタ!$G$6:$G$405,$AN2769)),"時短開始日がマスタと相違／","")&amp;IF(AND($M2769&lt;&gt;"",INDEX(職員マスタ!$H$6:$H$405,$AN2769)&lt;&gt;"",$M2769&lt;&gt;INDEX(職員マスタ!$H$6:$H$405,$AN2769)),"時短終了日がマスタと相違／","")))&amp;IF(AND($B2769&lt;&gt;"",$E2769=""),"報酬額が未入力／","")&amp;IF(N($U2769)&gt;0,"申請書に入力エラーが残っています／","")&amp;IF(AND($B2769&lt;&gt;"",$AO2769&lt;&gt;""),IF(COUNTIFS($B$6:$B$3005,$B2769,$C$6:$C$3005,$C2769,$D$6:$D$3005,$D2769)&gt;1,"同じ月の請求が重複しています／",""),"")&amp;IF(AND(N($E2769)&gt;0,$Z2769&lt;&gt;"",$Z2769&lt;&gt;"×",$AC2769=0,$AB2769=""),"計算額が下限以下のため不支給／",""))</f>
        <v/>
      </c>
      <c r="AL2769" s="12" t="n"/>
      <c r="AM2769" s="14">
        <f>IF($AD2769="保留中",COUNTIF($AD$6:$AD2769,"保留中"),"")</f>
        <v/>
      </c>
      <c r="AN2769" s="14">
        <f>IF($AO2769="","",IF(SUMPRODUCT(MAX((職員マスタ!$A$6:$A$405=$B2769)*(((職員マスタ!$G$6:$G$405="")+(職員マスタ!$G$6:$G$405&lt;=EOMONTH($AO2769,0)))&gt;0)*(((職員マスタ!$H$6:$H$405="")+(職員マスタ!$H$6:$H$405&gt;=$AO2769))&gt;0)*(ROW(職員マスタ!$A$6:$A$405)-5)))&gt;0,SUMPRODUCT(MAX((職員マスタ!$A$6:$A$405=$B2769)*(((職員マスタ!$G$6:$G$405="")+(職員マスタ!$G$6:$G$405&lt;=EOMONTH($AO2769,0)))&gt;0)*(((職員マスタ!$H$6:$H$405="")+(職員マスタ!$H$6:$H$405&gt;=$AO2769))&gt;0)*(ROW(職員マスタ!$A$6:$A$405)-5))),IFERROR(MATCH($B2769,職員マスタ!$A$6:$A$405,0),"")))</f>
        <v/>
      </c>
      <c r="AO2769" s="16">
        <f>IF(OR($B2769="",$C2769="",$D2769=""),"",DATE($C2769+2018,$D2769,1))</f>
        <v/>
      </c>
    </row>
    <row r="2770">
      <c r="A2770" s="11" t="n"/>
      <c r="B2770" s="12" t="n"/>
      <c r="C2770" s="12" t="n"/>
      <c r="D2770" s="12" t="n"/>
      <c r="E2770" s="13" t="n"/>
      <c r="F2770" s="12" t="n"/>
      <c r="G2770" s="13" t="n"/>
      <c r="H2770" s="12" t="n"/>
      <c r="I2770" s="12" t="n"/>
      <c r="J2770" s="12" t="n"/>
      <c r="K2770" s="12" t="n"/>
      <c r="L2770" s="11" t="n"/>
      <c r="M2770" s="11" t="n"/>
      <c r="N2770" s="11" t="n"/>
      <c r="O2770" s="11" t="n"/>
      <c r="P2770" s="12" t="n"/>
      <c r="Q2770" s="11" t="n"/>
      <c r="R2770" s="12" t="n"/>
      <c r="S2770" s="11" t="n"/>
      <c r="T2770" s="12" t="n"/>
      <c r="U2770" s="12" t="n"/>
      <c r="V2770" s="14">
        <f>IF($AN2770="",IF($B2770="","",$H2770),IF(INDEX(職員マスタ!$B$6:$B$405,$AN2770)="",$H2770,INDEX(職員マスタ!$B$6:$B$405,$AN2770)))</f>
        <v/>
      </c>
      <c r="W2770" s="14">
        <f>IF($AN2770="",IF($B2770="","",$R2770),IF(INDEX(職員マスタ!$C$6:$C$405,$AN2770)="",$R2770,INDEX(職員マスタ!$C$6:$C$405,$AN2770)))</f>
        <v/>
      </c>
      <c r="X2770" s="14">
        <f>IF($AO2770="","","R"&amp;$C2770&amp;"."&amp;$D2770)</f>
        <v/>
      </c>
      <c r="Y2770" s="15">
        <f>IF($AN2770="","",IF(INDEX(職員マスタ!$K$6:$K$405,$AN2770)="","",INDEX(職員マスタ!$K$6:$K$405,$AN2770)))</f>
        <v/>
      </c>
      <c r="Z2770" s="14">
        <f>IF(OR($E2770="",$Y2770=""),"",IF($E2770&gt;=$Y2770,"×",IF($E2770&gt;=$Y2770*設定!$C$5,"△","○")))</f>
        <v/>
      </c>
      <c r="AA2770" s="15">
        <f>IF($Z2770="","",IF($Z2770="×",0,IF($Z2770="○",ROUNDDOWN($E2770*設定!$C$4,0),ROUNDDOWN($E2770*ROUND((9*$Y2770-9*$E2770)/(10*$E2770),4),0))))</f>
        <v/>
      </c>
      <c r="AB2770" s="13" t="n"/>
      <c r="AC2770" s="15">
        <f>IF($B2770="","",IF($AB2770&lt;&gt;"",$AB2770,IF($AA2770="","",IF($AA2770&lt;=設定!$C$3,0,$AA2770))))</f>
        <v/>
      </c>
      <c r="AD2770" s="14">
        <f>IF($B2770="","",IF(AND($AE2770&lt;&gt;"",$AG2770="",$AJ2770=""),"保留中",IF($AJ2770&lt;&gt;"",IF(N($AC2770)&gt;0,"支給済","不支給"),IF($AC2770="","要確認",IF($AC2770=0,"不支給","未処理")))))</f>
        <v/>
      </c>
      <c r="AE2770" s="12" t="n"/>
      <c r="AF2770" s="11" t="n"/>
      <c r="AG2770" s="11" t="n"/>
      <c r="AH2770" s="11" t="n"/>
      <c r="AI2770" s="14">
        <f>IF(AND($AD2770="保留中",$AF2770&lt;&gt;""),TODAY()-$AF2770,"")</f>
        <v/>
      </c>
      <c r="AJ2770" s="12" t="n"/>
      <c r="AK2770" s="14">
        <f>IF($B2770="","",IF($AO2770="","対象年月が未入力／","")&amp;IF($B2770="","",IF($AN2770="","職員マスタに未登録の職員番号／",IF($Y2770="","標準報酬月額が未登録／","")&amp;IF(AND($AO2770&lt;&gt;"",OR(AND(INDEX(職員マスタ!$G$6:$G$405,$AN2770)&lt;&gt;"",INDEX(職員マスタ!$G$6:$G$405,$AN2770)&gt;EOMONTH($AO2770,0)),AND(INDEX(職員マスタ!$H$6:$H$405,$AN2770)&lt;&gt;"",INDEX(職員マスタ!$H$6:$H$405,$AN2770)&lt;$AO2770))),"対象月が時短期間外／","")&amp;IF(AND(INDEX(職員マスタ!$F$6:$F$405,$AN2770)&lt;&gt;"",$AO2770&lt;&gt;"",INDEX(職員マスタ!$F$6:$F$405,$AN2770)&lt;$AO2770),"対象月に子が2歳到達済／","")&amp;IF(AND($H2770&lt;&gt;"",INDEX(職員マスタ!$B$6:$B$405,$AN2770)&lt;&gt;"",SUBSTITUTE(SUBSTITUTE($H2770," ","")," ","")&lt;&gt;SUBSTITUTE(SUBSTITUTE(INDEX(職員マスタ!$B$6:$B$405,$AN2770)," ","")," ","")),"氏名がマスタと相違／","")&amp;IF(AND($Q2770&lt;&gt;"",INDEX(職員マスタ!$E$6:$E$405,$AN2770)&lt;&gt;"",$Q2770&lt;&gt;INDEX(職員マスタ!$E$6:$E$405,$AN2770)),"子の生年月日がマスタと相違／","")&amp;IF(AND($L2770&lt;&gt;"",INDEX(職員マスタ!$G$6:$G$405,$AN2770)&lt;&gt;"",$L2770&lt;&gt;INDEX(職員マスタ!$G$6:$G$405,$AN2770)),"時短開始日がマスタと相違／","")&amp;IF(AND($M2770&lt;&gt;"",INDEX(職員マスタ!$H$6:$H$405,$AN2770)&lt;&gt;"",$M2770&lt;&gt;INDEX(職員マスタ!$H$6:$H$405,$AN2770)),"時短終了日がマスタと相違／","")))&amp;IF(AND($B2770&lt;&gt;"",$E2770=""),"報酬額が未入力／","")&amp;IF(N($U2770)&gt;0,"申請書に入力エラーが残っています／","")&amp;IF(AND($B2770&lt;&gt;"",$AO2770&lt;&gt;""),IF(COUNTIFS($B$6:$B$3005,$B2770,$C$6:$C$3005,$C2770,$D$6:$D$3005,$D2770)&gt;1,"同じ月の請求が重複しています／",""),"")&amp;IF(AND(N($E2770)&gt;0,$Z2770&lt;&gt;"",$Z2770&lt;&gt;"×",$AC2770=0,$AB2770=""),"計算額が下限以下のため不支給／",""))</f>
        <v/>
      </c>
      <c r="AL2770" s="12" t="n"/>
      <c r="AM2770" s="14">
        <f>IF($AD2770="保留中",COUNTIF($AD$6:$AD2770,"保留中"),"")</f>
        <v/>
      </c>
      <c r="AN2770" s="14">
        <f>IF($AO2770="","",IF(SUMPRODUCT(MAX((職員マスタ!$A$6:$A$405=$B2770)*(((職員マスタ!$G$6:$G$405="")+(職員マスタ!$G$6:$G$405&lt;=EOMONTH($AO2770,0)))&gt;0)*(((職員マスタ!$H$6:$H$405="")+(職員マスタ!$H$6:$H$405&gt;=$AO2770))&gt;0)*(ROW(職員マスタ!$A$6:$A$405)-5)))&gt;0,SUMPRODUCT(MAX((職員マスタ!$A$6:$A$405=$B2770)*(((職員マスタ!$G$6:$G$405="")+(職員マスタ!$G$6:$G$405&lt;=EOMONTH($AO2770,0)))&gt;0)*(((職員マスタ!$H$6:$H$405="")+(職員マスタ!$H$6:$H$405&gt;=$AO2770))&gt;0)*(ROW(職員マスタ!$A$6:$A$405)-5))),IFERROR(MATCH($B2770,職員マスタ!$A$6:$A$405,0),"")))</f>
        <v/>
      </c>
      <c r="AO2770" s="16">
        <f>IF(OR($B2770="",$C2770="",$D2770=""),"",DATE($C2770+2018,$D2770,1))</f>
        <v/>
      </c>
    </row>
    <row r="2771">
      <c r="A2771" s="11" t="n"/>
      <c r="B2771" s="12" t="n"/>
      <c r="C2771" s="12" t="n"/>
      <c r="D2771" s="12" t="n"/>
      <c r="E2771" s="13" t="n"/>
      <c r="F2771" s="12" t="n"/>
      <c r="G2771" s="13" t="n"/>
      <c r="H2771" s="12" t="n"/>
      <c r="I2771" s="12" t="n"/>
      <c r="J2771" s="12" t="n"/>
      <c r="K2771" s="12" t="n"/>
      <c r="L2771" s="11" t="n"/>
      <c r="M2771" s="11" t="n"/>
      <c r="N2771" s="11" t="n"/>
      <c r="O2771" s="11" t="n"/>
      <c r="P2771" s="12" t="n"/>
      <c r="Q2771" s="11" t="n"/>
      <c r="R2771" s="12" t="n"/>
      <c r="S2771" s="11" t="n"/>
      <c r="T2771" s="12" t="n"/>
      <c r="U2771" s="12" t="n"/>
      <c r="V2771" s="14">
        <f>IF($AN2771="",IF($B2771="","",$H2771),IF(INDEX(職員マスタ!$B$6:$B$405,$AN2771)="",$H2771,INDEX(職員マスタ!$B$6:$B$405,$AN2771)))</f>
        <v/>
      </c>
      <c r="W2771" s="14">
        <f>IF($AN2771="",IF($B2771="","",$R2771),IF(INDEX(職員マスタ!$C$6:$C$405,$AN2771)="",$R2771,INDEX(職員マスタ!$C$6:$C$405,$AN2771)))</f>
        <v/>
      </c>
      <c r="X2771" s="14">
        <f>IF($AO2771="","","R"&amp;$C2771&amp;"."&amp;$D2771)</f>
        <v/>
      </c>
      <c r="Y2771" s="15">
        <f>IF($AN2771="","",IF(INDEX(職員マスタ!$K$6:$K$405,$AN2771)="","",INDEX(職員マスタ!$K$6:$K$405,$AN2771)))</f>
        <v/>
      </c>
      <c r="Z2771" s="14">
        <f>IF(OR($E2771="",$Y2771=""),"",IF($E2771&gt;=$Y2771,"×",IF($E2771&gt;=$Y2771*設定!$C$5,"△","○")))</f>
        <v/>
      </c>
      <c r="AA2771" s="15">
        <f>IF($Z2771="","",IF($Z2771="×",0,IF($Z2771="○",ROUNDDOWN($E2771*設定!$C$4,0),ROUNDDOWN($E2771*ROUND((9*$Y2771-9*$E2771)/(10*$E2771),4),0))))</f>
        <v/>
      </c>
      <c r="AB2771" s="13" t="n"/>
      <c r="AC2771" s="15">
        <f>IF($B2771="","",IF($AB2771&lt;&gt;"",$AB2771,IF($AA2771="","",IF($AA2771&lt;=設定!$C$3,0,$AA2771))))</f>
        <v/>
      </c>
      <c r="AD2771" s="14">
        <f>IF($B2771="","",IF(AND($AE2771&lt;&gt;"",$AG2771="",$AJ2771=""),"保留中",IF($AJ2771&lt;&gt;"",IF(N($AC2771)&gt;0,"支給済","不支給"),IF($AC2771="","要確認",IF($AC2771=0,"不支給","未処理")))))</f>
        <v/>
      </c>
      <c r="AE2771" s="12" t="n"/>
      <c r="AF2771" s="11" t="n"/>
      <c r="AG2771" s="11" t="n"/>
      <c r="AH2771" s="11" t="n"/>
      <c r="AI2771" s="14">
        <f>IF(AND($AD2771="保留中",$AF2771&lt;&gt;""),TODAY()-$AF2771,"")</f>
        <v/>
      </c>
      <c r="AJ2771" s="12" t="n"/>
      <c r="AK2771" s="14">
        <f>IF($B2771="","",IF($AO2771="","対象年月が未入力／","")&amp;IF($B2771="","",IF($AN2771="","職員マスタに未登録の職員番号／",IF($Y2771="","標準報酬月額が未登録／","")&amp;IF(AND($AO2771&lt;&gt;"",OR(AND(INDEX(職員マスタ!$G$6:$G$405,$AN2771)&lt;&gt;"",INDEX(職員マスタ!$G$6:$G$405,$AN2771)&gt;EOMONTH($AO2771,0)),AND(INDEX(職員マスタ!$H$6:$H$405,$AN2771)&lt;&gt;"",INDEX(職員マスタ!$H$6:$H$405,$AN2771)&lt;$AO2771))),"対象月が時短期間外／","")&amp;IF(AND(INDEX(職員マスタ!$F$6:$F$405,$AN2771)&lt;&gt;"",$AO2771&lt;&gt;"",INDEX(職員マスタ!$F$6:$F$405,$AN2771)&lt;$AO2771),"対象月に子が2歳到達済／","")&amp;IF(AND($H2771&lt;&gt;"",INDEX(職員マスタ!$B$6:$B$405,$AN2771)&lt;&gt;"",SUBSTITUTE(SUBSTITUTE($H2771," ","")," ","")&lt;&gt;SUBSTITUTE(SUBSTITUTE(INDEX(職員マスタ!$B$6:$B$405,$AN2771)," ","")," ","")),"氏名がマスタと相違／","")&amp;IF(AND($Q2771&lt;&gt;"",INDEX(職員マスタ!$E$6:$E$405,$AN2771)&lt;&gt;"",$Q2771&lt;&gt;INDEX(職員マスタ!$E$6:$E$405,$AN2771)),"子の生年月日がマスタと相違／","")&amp;IF(AND($L2771&lt;&gt;"",INDEX(職員マスタ!$G$6:$G$405,$AN2771)&lt;&gt;"",$L2771&lt;&gt;INDEX(職員マスタ!$G$6:$G$405,$AN2771)),"時短開始日がマスタと相違／","")&amp;IF(AND($M2771&lt;&gt;"",INDEX(職員マスタ!$H$6:$H$405,$AN2771)&lt;&gt;"",$M2771&lt;&gt;INDEX(職員マスタ!$H$6:$H$405,$AN2771)),"時短終了日がマスタと相違／","")))&amp;IF(AND($B2771&lt;&gt;"",$E2771=""),"報酬額が未入力／","")&amp;IF(N($U2771)&gt;0,"申請書に入力エラーが残っています／","")&amp;IF(AND($B2771&lt;&gt;"",$AO2771&lt;&gt;""),IF(COUNTIFS($B$6:$B$3005,$B2771,$C$6:$C$3005,$C2771,$D$6:$D$3005,$D2771)&gt;1,"同じ月の請求が重複しています／",""),"")&amp;IF(AND(N($E2771)&gt;0,$Z2771&lt;&gt;"",$Z2771&lt;&gt;"×",$AC2771=0,$AB2771=""),"計算額が下限以下のため不支給／",""))</f>
        <v/>
      </c>
      <c r="AL2771" s="12" t="n"/>
      <c r="AM2771" s="14">
        <f>IF($AD2771="保留中",COUNTIF($AD$6:$AD2771,"保留中"),"")</f>
        <v/>
      </c>
      <c r="AN2771" s="14">
        <f>IF($AO2771="","",IF(SUMPRODUCT(MAX((職員マスタ!$A$6:$A$405=$B2771)*(((職員マスタ!$G$6:$G$405="")+(職員マスタ!$G$6:$G$405&lt;=EOMONTH($AO2771,0)))&gt;0)*(((職員マスタ!$H$6:$H$405="")+(職員マスタ!$H$6:$H$405&gt;=$AO2771))&gt;0)*(ROW(職員マスタ!$A$6:$A$405)-5)))&gt;0,SUMPRODUCT(MAX((職員マスタ!$A$6:$A$405=$B2771)*(((職員マスタ!$G$6:$G$405="")+(職員マスタ!$G$6:$G$405&lt;=EOMONTH($AO2771,0)))&gt;0)*(((職員マスタ!$H$6:$H$405="")+(職員マスタ!$H$6:$H$405&gt;=$AO2771))&gt;0)*(ROW(職員マスタ!$A$6:$A$405)-5))),IFERROR(MATCH($B2771,職員マスタ!$A$6:$A$405,0),"")))</f>
        <v/>
      </c>
      <c r="AO2771" s="16">
        <f>IF(OR($B2771="",$C2771="",$D2771=""),"",DATE($C2771+2018,$D2771,1))</f>
        <v/>
      </c>
    </row>
    <row r="2772">
      <c r="A2772" s="11" t="n"/>
      <c r="B2772" s="12" t="n"/>
      <c r="C2772" s="12" t="n"/>
      <c r="D2772" s="12" t="n"/>
      <c r="E2772" s="13" t="n"/>
      <c r="F2772" s="12" t="n"/>
      <c r="G2772" s="13" t="n"/>
      <c r="H2772" s="12" t="n"/>
      <c r="I2772" s="12" t="n"/>
      <c r="J2772" s="12" t="n"/>
      <c r="K2772" s="12" t="n"/>
      <c r="L2772" s="11" t="n"/>
      <c r="M2772" s="11" t="n"/>
      <c r="N2772" s="11" t="n"/>
      <c r="O2772" s="11" t="n"/>
      <c r="P2772" s="12" t="n"/>
      <c r="Q2772" s="11" t="n"/>
      <c r="R2772" s="12" t="n"/>
      <c r="S2772" s="11" t="n"/>
      <c r="T2772" s="12" t="n"/>
      <c r="U2772" s="12" t="n"/>
      <c r="V2772" s="14">
        <f>IF($AN2772="",IF($B2772="","",$H2772),IF(INDEX(職員マスタ!$B$6:$B$405,$AN2772)="",$H2772,INDEX(職員マスタ!$B$6:$B$405,$AN2772)))</f>
        <v/>
      </c>
      <c r="W2772" s="14">
        <f>IF($AN2772="",IF($B2772="","",$R2772),IF(INDEX(職員マスタ!$C$6:$C$405,$AN2772)="",$R2772,INDEX(職員マスタ!$C$6:$C$405,$AN2772)))</f>
        <v/>
      </c>
      <c r="X2772" s="14">
        <f>IF($AO2772="","","R"&amp;$C2772&amp;"."&amp;$D2772)</f>
        <v/>
      </c>
      <c r="Y2772" s="15">
        <f>IF($AN2772="","",IF(INDEX(職員マスタ!$K$6:$K$405,$AN2772)="","",INDEX(職員マスタ!$K$6:$K$405,$AN2772)))</f>
        <v/>
      </c>
      <c r="Z2772" s="14">
        <f>IF(OR($E2772="",$Y2772=""),"",IF($E2772&gt;=$Y2772,"×",IF($E2772&gt;=$Y2772*設定!$C$5,"△","○")))</f>
        <v/>
      </c>
      <c r="AA2772" s="15">
        <f>IF($Z2772="","",IF($Z2772="×",0,IF($Z2772="○",ROUNDDOWN($E2772*設定!$C$4,0),ROUNDDOWN($E2772*ROUND((9*$Y2772-9*$E2772)/(10*$E2772),4),0))))</f>
        <v/>
      </c>
      <c r="AB2772" s="13" t="n"/>
      <c r="AC2772" s="15">
        <f>IF($B2772="","",IF($AB2772&lt;&gt;"",$AB2772,IF($AA2772="","",IF($AA2772&lt;=設定!$C$3,0,$AA2772))))</f>
        <v/>
      </c>
      <c r="AD2772" s="14">
        <f>IF($B2772="","",IF(AND($AE2772&lt;&gt;"",$AG2772="",$AJ2772=""),"保留中",IF($AJ2772&lt;&gt;"",IF(N($AC2772)&gt;0,"支給済","不支給"),IF($AC2772="","要確認",IF($AC2772=0,"不支給","未処理")))))</f>
        <v/>
      </c>
      <c r="AE2772" s="12" t="n"/>
      <c r="AF2772" s="11" t="n"/>
      <c r="AG2772" s="11" t="n"/>
      <c r="AH2772" s="11" t="n"/>
      <c r="AI2772" s="14">
        <f>IF(AND($AD2772="保留中",$AF2772&lt;&gt;""),TODAY()-$AF2772,"")</f>
        <v/>
      </c>
      <c r="AJ2772" s="12" t="n"/>
      <c r="AK2772" s="14">
        <f>IF($B2772="","",IF($AO2772="","対象年月が未入力／","")&amp;IF($B2772="","",IF($AN2772="","職員マスタに未登録の職員番号／",IF($Y2772="","標準報酬月額が未登録／","")&amp;IF(AND($AO2772&lt;&gt;"",OR(AND(INDEX(職員マスタ!$G$6:$G$405,$AN2772)&lt;&gt;"",INDEX(職員マスタ!$G$6:$G$405,$AN2772)&gt;EOMONTH($AO2772,0)),AND(INDEX(職員マスタ!$H$6:$H$405,$AN2772)&lt;&gt;"",INDEX(職員マスタ!$H$6:$H$405,$AN2772)&lt;$AO2772))),"対象月が時短期間外／","")&amp;IF(AND(INDEX(職員マスタ!$F$6:$F$405,$AN2772)&lt;&gt;"",$AO2772&lt;&gt;"",INDEX(職員マスタ!$F$6:$F$405,$AN2772)&lt;$AO2772),"対象月に子が2歳到達済／","")&amp;IF(AND($H2772&lt;&gt;"",INDEX(職員マスタ!$B$6:$B$405,$AN2772)&lt;&gt;"",SUBSTITUTE(SUBSTITUTE($H2772," ","")," ","")&lt;&gt;SUBSTITUTE(SUBSTITUTE(INDEX(職員マスタ!$B$6:$B$405,$AN2772)," ","")," ","")),"氏名がマスタと相違／","")&amp;IF(AND($Q2772&lt;&gt;"",INDEX(職員マスタ!$E$6:$E$405,$AN2772)&lt;&gt;"",$Q2772&lt;&gt;INDEX(職員マスタ!$E$6:$E$405,$AN2772)),"子の生年月日がマスタと相違／","")&amp;IF(AND($L2772&lt;&gt;"",INDEX(職員マスタ!$G$6:$G$405,$AN2772)&lt;&gt;"",$L2772&lt;&gt;INDEX(職員マスタ!$G$6:$G$405,$AN2772)),"時短開始日がマスタと相違／","")&amp;IF(AND($M2772&lt;&gt;"",INDEX(職員マスタ!$H$6:$H$405,$AN2772)&lt;&gt;"",$M2772&lt;&gt;INDEX(職員マスタ!$H$6:$H$405,$AN2772)),"時短終了日がマスタと相違／","")))&amp;IF(AND($B2772&lt;&gt;"",$E2772=""),"報酬額が未入力／","")&amp;IF(N($U2772)&gt;0,"申請書に入力エラーが残っています／","")&amp;IF(AND($B2772&lt;&gt;"",$AO2772&lt;&gt;""),IF(COUNTIFS($B$6:$B$3005,$B2772,$C$6:$C$3005,$C2772,$D$6:$D$3005,$D2772)&gt;1,"同じ月の請求が重複しています／",""),"")&amp;IF(AND(N($E2772)&gt;0,$Z2772&lt;&gt;"",$Z2772&lt;&gt;"×",$AC2772=0,$AB2772=""),"計算額が下限以下のため不支給／",""))</f>
        <v/>
      </c>
      <c r="AL2772" s="12" t="n"/>
      <c r="AM2772" s="14">
        <f>IF($AD2772="保留中",COUNTIF($AD$6:$AD2772,"保留中"),"")</f>
        <v/>
      </c>
      <c r="AN2772" s="14">
        <f>IF($AO2772="","",IF(SUMPRODUCT(MAX((職員マスタ!$A$6:$A$405=$B2772)*(((職員マスタ!$G$6:$G$405="")+(職員マスタ!$G$6:$G$405&lt;=EOMONTH($AO2772,0)))&gt;0)*(((職員マスタ!$H$6:$H$405="")+(職員マスタ!$H$6:$H$405&gt;=$AO2772))&gt;0)*(ROW(職員マスタ!$A$6:$A$405)-5)))&gt;0,SUMPRODUCT(MAX((職員マスタ!$A$6:$A$405=$B2772)*(((職員マスタ!$G$6:$G$405="")+(職員マスタ!$G$6:$G$405&lt;=EOMONTH($AO2772,0)))&gt;0)*(((職員マスタ!$H$6:$H$405="")+(職員マスタ!$H$6:$H$405&gt;=$AO2772))&gt;0)*(ROW(職員マスタ!$A$6:$A$405)-5))),IFERROR(MATCH($B2772,職員マスタ!$A$6:$A$405,0),"")))</f>
        <v/>
      </c>
      <c r="AO2772" s="16">
        <f>IF(OR($B2772="",$C2772="",$D2772=""),"",DATE($C2772+2018,$D2772,1))</f>
        <v/>
      </c>
    </row>
    <row r="2773">
      <c r="A2773" s="11" t="n"/>
      <c r="B2773" s="12" t="n"/>
      <c r="C2773" s="12" t="n"/>
      <c r="D2773" s="12" t="n"/>
      <c r="E2773" s="13" t="n"/>
      <c r="F2773" s="12" t="n"/>
      <c r="G2773" s="13" t="n"/>
      <c r="H2773" s="12" t="n"/>
      <c r="I2773" s="12" t="n"/>
      <c r="J2773" s="12" t="n"/>
      <c r="K2773" s="12" t="n"/>
      <c r="L2773" s="11" t="n"/>
      <c r="M2773" s="11" t="n"/>
      <c r="N2773" s="11" t="n"/>
      <c r="O2773" s="11" t="n"/>
      <c r="P2773" s="12" t="n"/>
      <c r="Q2773" s="11" t="n"/>
      <c r="R2773" s="12" t="n"/>
      <c r="S2773" s="11" t="n"/>
      <c r="T2773" s="12" t="n"/>
      <c r="U2773" s="12" t="n"/>
      <c r="V2773" s="14">
        <f>IF($AN2773="",IF($B2773="","",$H2773),IF(INDEX(職員マスタ!$B$6:$B$405,$AN2773)="",$H2773,INDEX(職員マスタ!$B$6:$B$405,$AN2773)))</f>
        <v/>
      </c>
      <c r="W2773" s="14">
        <f>IF($AN2773="",IF($B2773="","",$R2773),IF(INDEX(職員マスタ!$C$6:$C$405,$AN2773)="",$R2773,INDEX(職員マスタ!$C$6:$C$405,$AN2773)))</f>
        <v/>
      </c>
      <c r="X2773" s="14">
        <f>IF($AO2773="","","R"&amp;$C2773&amp;"."&amp;$D2773)</f>
        <v/>
      </c>
      <c r="Y2773" s="15">
        <f>IF($AN2773="","",IF(INDEX(職員マスタ!$K$6:$K$405,$AN2773)="","",INDEX(職員マスタ!$K$6:$K$405,$AN2773)))</f>
        <v/>
      </c>
      <c r="Z2773" s="14">
        <f>IF(OR($E2773="",$Y2773=""),"",IF($E2773&gt;=$Y2773,"×",IF($E2773&gt;=$Y2773*設定!$C$5,"△","○")))</f>
        <v/>
      </c>
      <c r="AA2773" s="15">
        <f>IF($Z2773="","",IF($Z2773="×",0,IF($Z2773="○",ROUNDDOWN($E2773*設定!$C$4,0),ROUNDDOWN($E2773*ROUND((9*$Y2773-9*$E2773)/(10*$E2773),4),0))))</f>
        <v/>
      </c>
      <c r="AB2773" s="13" t="n"/>
      <c r="AC2773" s="15">
        <f>IF($B2773="","",IF($AB2773&lt;&gt;"",$AB2773,IF($AA2773="","",IF($AA2773&lt;=設定!$C$3,0,$AA2773))))</f>
        <v/>
      </c>
      <c r="AD2773" s="14">
        <f>IF($B2773="","",IF(AND($AE2773&lt;&gt;"",$AG2773="",$AJ2773=""),"保留中",IF($AJ2773&lt;&gt;"",IF(N($AC2773)&gt;0,"支給済","不支給"),IF($AC2773="","要確認",IF($AC2773=0,"不支給","未処理")))))</f>
        <v/>
      </c>
      <c r="AE2773" s="12" t="n"/>
      <c r="AF2773" s="11" t="n"/>
      <c r="AG2773" s="11" t="n"/>
      <c r="AH2773" s="11" t="n"/>
      <c r="AI2773" s="14">
        <f>IF(AND($AD2773="保留中",$AF2773&lt;&gt;""),TODAY()-$AF2773,"")</f>
        <v/>
      </c>
      <c r="AJ2773" s="12" t="n"/>
      <c r="AK2773" s="14">
        <f>IF($B2773="","",IF($AO2773="","対象年月が未入力／","")&amp;IF($B2773="","",IF($AN2773="","職員マスタに未登録の職員番号／",IF($Y2773="","標準報酬月額が未登録／","")&amp;IF(AND($AO2773&lt;&gt;"",OR(AND(INDEX(職員マスタ!$G$6:$G$405,$AN2773)&lt;&gt;"",INDEX(職員マスタ!$G$6:$G$405,$AN2773)&gt;EOMONTH($AO2773,0)),AND(INDEX(職員マスタ!$H$6:$H$405,$AN2773)&lt;&gt;"",INDEX(職員マスタ!$H$6:$H$405,$AN2773)&lt;$AO2773))),"対象月が時短期間外／","")&amp;IF(AND(INDEX(職員マスタ!$F$6:$F$405,$AN2773)&lt;&gt;"",$AO2773&lt;&gt;"",INDEX(職員マスタ!$F$6:$F$405,$AN2773)&lt;$AO2773),"対象月に子が2歳到達済／","")&amp;IF(AND($H2773&lt;&gt;"",INDEX(職員マスタ!$B$6:$B$405,$AN2773)&lt;&gt;"",SUBSTITUTE(SUBSTITUTE($H2773," ","")," ","")&lt;&gt;SUBSTITUTE(SUBSTITUTE(INDEX(職員マスタ!$B$6:$B$405,$AN2773)," ","")," ","")),"氏名がマスタと相違／","")&amp;IF(AND($Q2773&lt;&gt;"",INDEX(職員マスタ!$E$6:$E$405,$AN2773)&lt;&gt;"",$Q2773&lt;&gt;INDEX(職員マスタ!$E$6:$E$405,$AN2773)),"子の生年月日がマスタと相違／","")&amp;IF(AND($L2773&lt;&gt;"",INDEX(職員マスタ!$G$6:$G$405,$AN2773)&lt;&gt;"",$L2773&lt;&gt;INDEX(職員マスタ!$G$6:$G$405,$AN2773)),"時短開始日がマスタと相違／","")&amp;IF(AND($M2773&lt;&gt;"",INDEX(職員マスタ!$H$6:$H$405,$AN2773)&lt;&gt;"",$M2773&lt;&gt;INDEX(職員マスタ!$H$6:$H$405,$AN2773)),"時短終了日がマスタと相違／","")))&amp;IF(AND($B2773&lt;&gt;"",$E2773=""),"報酬額が未入力／","")&amp;IF(N($U2773)&gt;0,"申請書に入力エラーが残っています／","")&amp;IF(AND($B2773&lt;&gt;"",$AO2773&lt;&gt;""),IF(COUNTIFS($B$6:$B$3005,$B2773,$C$6:$C$3005,$C2773,$D$6:$D$3005,$D2773)&gt;1,"同じ月の請求が重複しています／",""),"")&amp;IF(AND(N($E2773)&gt;0,$Z2773&lt;&gt;"",$Z2773&lt;&gt;"×",$AC2773=0,$AB2773=""),"計算額が下限以下のため不支給／",""))</f>
        <v/>
      </c>
      <c r="AL2773" s="12" t="n"/>
      <c r="AM2773" s="14">
        <f>IF($AD2773="保留中",COUNTIF($AD$6:$AD2773,"保留中"),"")</f>
        <v/>
      </c>
      <c r="AN2773" s="14">
        <f>IF($AO2773="","",IF(SUMPRODUCT(MAX((職員マスタ!$A$6:$A$405=$B2773)*(((職員マスタ!$G$6:$G$405="")+(職員マスタ!$G$6:$G$405&lt;=EOMONTH($AO2773,0)))&gt;0)*(((職員マスタ!$H$6:$H$405="")+(職員マスタ!$H$6:$H$405&gt;=$AO2773))&gt;0)*(ROW(職員マスタ!$A$6:$A$405)-5)))&gt;0,SUMPRODUCT(MAX((職員マスタ!$A$6:$A$405=$B2773)*(((職員マスタ!$G$6:$G$405="")+(職員マスタ!$G$6:$G$405&lt;=EOMONTH($AO2773,0)))&gt;0)*(((職員マスタ!$H$6:$H$405="")+(職員マスタ!$H$6:$H$405&gt;=$AO2773))&gt;0)*(ROW(職員マスタ!$A$6:$A$405)-5))),IFERROR(MATCH($B2773,職員マスタ!$A$6:$A$405,0),"")))</f>
        <v/>
      </c>
      <c r="AO2773" s="16">
        <f>IF(OR($B2773="",$C2773="",$D2773=""),"",DATE($C2773+2018,$D2773,1))</f>
        <v/>
      </c>
    </row>
    <row r="2774">
      <c r="A2774" s="11" t="n"/>
      <c r="B2774" s="12" t="n"/>
      <c r="C2774" s="12" t="n"/>
      <c r="D2774" s="12" t="n"/>
      <c r="E2774" s="13" t="n"/>
      <c r="F2774" s="12" t="n"/>
      <c r="G2774" s="13" t="n"/>
      <c r="H2774" s="12" t="n"/>
      <c r="I2774" s="12" t="n"/>
      <c r="J2774" s="12" t="n"/>
      <c r="K2774" s="12" t="n"/>
      <c r="L2774" s="11" t="n"/>
      <c r="M2774" s="11" t="n"/>
      <c r="N2774" s="11" t="n"/>
      <c r="O2774" s="11" t="n"/>
      <c r="P2774" s="12" t="n"/>
      <c r="Q2774" s="11" t="n"/>
      <c r="R2774" s="12" t="n"/>
      <c r="S2774" s="11" t="n"/>
      <c r="T2774" s="12" t="n"/>
      <c r="U2774" s="12" t="n"/>
      <c r="V2774" s="14">
        <f>IF($AN2774="",IF($B2774="","",$H2774),IF(INDEX(職員マスタ!$B$6:$B$405,$AN2774)="",$H2774,INDEX(職員マスタ!$B$6:$B$405,$AN2774)))</f>
        <v/>
      </c>
      <c r="W2774" s="14">
        <f>IF($AN2774="",IF($B2774="","",$R2774),IF(INDEX(職員マスタ!$C$6:$C$405,$AN2774)="",$R2774,INDEX(職員マスタ!$C$6:$C$405,$AN2774)))</f>
        <v/>
      </c>
      <c r="X2774" s="14">
        <f>IF($AO2774="","","R"&amp;$C2774&amp;"."&amp;$D2774)</f>
        <v/>
      </c>
      <c r="Y2774" s="15">
        <f>IF($AN2774="","",IF(INDEX(職員マスタ!$K$6:$K$405,$AN2774)="","",INDEX(職員マスタ!$K$6:$K$405,$AN2774)))</f>
        <v/>
      </c>
      <c r="Z2774" s="14">
        <f>IF(OR($E2774="",$Y2774=""),"",IF($E2774&gt;=$Y2774,"×",IF($E2774&gt;=$Y2774*設定!$C$5,"△","○")))</f>
        <v/>
      </c>
      <c r="AA2774" s="15">
        <f>IF($Z2774="","",IF($Z2774="×",0,IF($Z2774="○",ROUNDDOWN($E2774*設定!$C$4,0),ROUNDDOWN($E2774*ROUND((9*$Y2774-9*$E2774)/(10*$E2774),4),0))))</f>
        <v/>
      </c>
      <c r="AB2774" s="13" t="n"/>
      <c r="AC2774" s="15">
        <f>IF($B2774="","",IF($AB2774&lt;&gt;"",$AB2774,IF($AA2774="","",IF($AA2774&lt;=設定!$C$3,0,$AA2774))))</f>
        <v/>
      </c>
      <c r="AD2774" s="14">
        <f>IF($B2774="","",IF(AND($AE2774&lt;&gt;"",$AG2774="",$AJ2774=""),"保留中",IF($AJ2774&lt;&gt;"",IF(N($AC2774)&gt;0,"支給済","不支給"),IF($AC2774="","要確認",IF($AC2774=0,"不支給","未処理")))))</f>
        <v/>
      </c>
      <c r="AE2774" s="12" t="n"/>
      <c r="AF2774" s="11" t="n"/>
      <c r="AG2774" s="11" t="n"/>
      <c r="AH2774" s="11" t="n"/>
      <c r="AI2774" s="14">
        <f>IF(AND($AD2774="保留中",$AF2774&lt;&gt;""),TODAY()-$AF2774,"")</f>
        <v/>
      </c>
      <c r="AJ2774" s="12" t="n"/>
      <c r="AK2774" s="14">
        <f>IF($B2774="","",IF($AO2774="","対象年月が未入力／","")&amp;IF($B2774="","",IF($AN2774="","職員マスタに未登録の職員番号／",IF($Y2774="","標準報酬月額が未登録／","")&amp;IF(AND($AO2774&lt;&gt;"",OR(AND(INDEX(職員マスタ!$G$6:$G$405,$AN2774)&lt;&gt;"",INDEX(職員マスタ!$G$6:$G$405,$AN2774)&gt;EOMONTH($AO2774,0)),AND(INDEX(職員マスタ!$H$6:$H$405,$AN2774)&lt;&gt;"",INDEX(職員マスタ!$H$6:$H$405,$AN2774)&lt;$AO2774))),"対象月が時短期間外／","")&amp;IF(AND(INDEX(職員マスタ!$F$6:$F$405,$AN2774)&lt;&gt;"",$AO2774&lt;&gt;"",INDEX(職員マスタ!$F$6:$F$405,$AN2774)&lt;$AO2774),"対象月に子が2歳到達済／","")&amp;IF(AND($H2774&lt;&gt;"",INDEX(職員マスタ!$B$6:$B$405,$AN2774)&lt;&gt;"",SUBSTITUTE(SUBSTITUTE($H2774," ","")," ","")&lt;&gt;SUBSTITUTE(SUBSTITUTE(INDEX(職員マスタ!$B$6:$B$405,$AN2774)," ","")," ","")),"氏名がマスタと相違／","")&amp;IF(AND($Q2774&lt;&gt;"",INDEX(職員マスタ!$E$6:$E$405,$AN2774)&lt;&gt;"",$Q2774&lt;&gt;INDEX(職員マスタ!$E$6:$E$405,$AN2774)),"子の生年月日がマスタと相違／","")&amp;IF(AND($L2774&lt;&gt;"",INDEX(職員マスタ!$G$6:$G$405,$AN2774)&lt;&gt;"",$L2774&lt;&gt;INDEX(職員マスタ!$G$6:$G$405,$AN2774)),"時短開始日がマスタと相違／","")&amp;IF(AND($M2774&lt;&gt;"",INDEX(職員マスタ!$H$6:$H$405,$AN2774)&lt;&gt;"",$M2774&lt;&gt;INDEX(職員マスタ!$H$6:$H$405,$AN2774)),"時短終了日がマスタと相違／","")))&amp;IF(AND($B2774&lt;&gt;"",$E2774=""),"報酬額が未入力／","")&amp;IF(N($U2774)&gt;0,"申請書に入力エラーが残っています／","")&amp;IF(AND($B2774&lt;&gt;"",$AO2774&lt;&gt;""),IF(COUNTIFS($B$6:$B$3005,$B2774,$C$6:$C$3005,$C2774,$D$6:$D$3005,$D2774)&gt;1,"同じ月の請求が重複しています／",""),"")&amp;IF(AND(N($E2774)&gt;0,$Z2774&lt;&gt;"",$Z2774&lt;&gt;"×",$AC2774=0,$AB2774=""),"計算額が下限以下のため不支給／",""))</f>
        <v/>
      </c>
      <c r="AL2774" s="12" t="n"/>
      <c r="AM2774" s="14">
        <f>IF($AD2774="保留中",COUNTIF($AD$6:$AD2774,"保留中"),"")</f>
        <v/>
      </c>
      <c r="AN2774" s="14">
        <f>IF($AO2774="","",IF(SUMPRODUCT(MAX((職員マスタ!$A$6:$A$405=$B2774)*(((職員マスタ!$G$6:$G$405="")+(職員マスタ!$G$6:$G$405&lt;=EOMONTH($AO2774,0)))&gt;0)*(((職員マスタ!$H$6:$H$405="")+(職員マスタ!$H$6:$H$405&gt;=$AO2774))&gt;0)*(ROW(職員マスタ!$A$6:$A$405)-5)))&gt;0,SUMPRODUCT(MAX((職員マスタ!$A$6:$A$405=$B2774)*(((職員マスタ!$G$6:$G$405="")+(職員マスタ!$G$6:$G$405&lt;=EOMONTH($AO2774,0)))&gt;0)*(((職員マスタ!$H$6:$H$405="")+(職員マスタ!$H$6:$H$405&gt;=$AO2774))&gt;0)*(ROW(職員マスタ!$A$6:$A$405)-5))),IFERROR(MATCH($B2774,職員マスタ!$A$6:$A$405,0),"")))</f>
        <v/>
      </c>
      <c r="AO2774" s="16">
        <f>IF(OR($B2774="",$C2774="",$D2774=""),"",DATE($C2774+2018,$D2774,1))</f>
        <v/>
      </c>
    </row>
    <row r="2775">
      <c r="A2775" s="11" t="n"/>
      <c r="B2775" s="12" t="n"/>
      <c r="C2775" s="12" t="n"/>
      <c r="D2775" s="12" t="n"/>
      <c r="E2775" s="13" t="n"/>
      <c r="F2775" s="12" t="n"/>
      <c r="G2775" s="13" t="n"/>
      <c r="H2775" s="12" t="n"/>
      <c r="I2775" s="12" t="n"/>
      <c r="J2775" s="12" t="n"/>
      <c r="K2775" s="12" t="n"/>
      <c r="L2775" s="11" t="n"/>
      <c r="M2775" s="11" t="n"/>
      <c r="N2775" s="11" t="n"/>
      <c r="O2775" s="11" t="n"/>
      <c r="P2775" s="12" t="n"/>
      <c r="Q2775" s="11" t="n"/>
      <c r="R2775" s="12" t="n"/>
      <c r="S2775" s="11" t="n"/>
      <c r="T2775" s="12" t="n"/>
      <c r="U2775" s="12" t="n"/>
      <c r="V2775" s="14">
        <f>IF($AN2775="",IF($B2775="","",$H2775),IF(INDEX(職員マスタ!$B$6:$B$405,$AN2775)="",$H2775,INDEX(職員マスタ!$B$6:$B$405,$AN2775)))</f>
        <v/>
      </c>
      <c r="W2775" s="14">
        <f>IF($AN2775="",IF($B2775="","",$R2775),IF(INDEX(職員マスタ!$C$6:$C$405,$AN2775)="",$R2775,INDEX(職員マスタ!$C$6:$C$405,$AN2775)))</f>
        <v/>
      </c>
      <c r="X2775" s="14">
        <f>IF($AO2775="","","R"&amp;$C2775&amp;"."&amp;$D2775)</f>
        <v/>
      </c>
      <c r="Y2775" s="15">
        <f>IF($AN2775="","",IF(INDEX(職員マスタ!$K$6:$K$405,$AN2775)="","",INDEX(職員マスタ!$K$6:$K$405,$AN2775)))</f>
        <v/>
      </c>
      <c r="Z2775" s="14">
        <f>IF(OR($E2775="",$Y2775=""),"",IF($E2775&gt;=$Y2775,"×",IF($E2775&gt;=$Y2775*設定!$C$5,"△","○")))</f>
        <v/>
      </c>
      <c r="AA2775" s="15">
        <f>IF($Z2775="","",IF($Z2775="×",0,IF($Z2775="○",ROUNDDOWN($E2775*設定!$C$4,0),ROUNDDOWN($E2775*ROUND((9*$Y2775-9*$E2775)/(10*$E2775),4),0))))</f>
        <v/>
      </c>
      <c r="AB2775" s="13" t="n"/>
      <c r="AC2775" s="15">
        <f>IF($B2775="","",IF($AB2775&lt;&gt;"",$AB2775,IF($AA2775="","",IF($AA2775&lt;=設定!$C$3,0,$AA2775))))</f>
        <v/>
      </c>
      <c r="AD2775" s="14">
        <f>IF($B2775="","",IF(AND($AE2775&lt;&gt;"",$AG2775="",$AJ2775=""),"保留中",IF($AJ2775&lt;&gt;"",IF(N($AC2775)&gt;0,"支給済","不支給"),IF($AC2775="","要確認",IF($AC2775=0,"不支給","未処理")))))</f>
        <v/>
      </c>
      <c r="AE2775" s="12" t="n"/>
      <c r="AF2775" s="11" t="n"/>
      <c r="AG2775" s="11" t="n"/>
      <c r="AH2775" s="11" t="n"/>
      <c r="AI2775" s="14">
        <f>IF(AND($AD2775="保留中",$AF2775&lt;&gt;""),TODAY()-$AF2775,"")</f>
        <v/>
      </c>
      <c r="AJ2775" s="12" t="n"/>
      <c r="AK2775" s="14">
        <f>IF($B2775="","",IF($AO2775="","対象年月が未入力／","")&amp;IF($B2775="","",IF($AN2775="","職員マスタに未登録の職員番号／",IF($Y2775="","標準報酬月額が未登録／","")&amp;IF(AND($AO2775&lt;&gt;"",OR(AND(INDEX(職員マスタ!$G$6:$G$405,$AN2775)&lt;&gt;"",INDEX(職員マスタ!$G$6:$G$405,$AN2775)&gt;EOMONTH($AO2775,0)),AND(INDEX(職員マスタ!$H$6:$H$405,$AN2775)&lt;&gt;"",INDEX(職員マスタ!$H$6:$H$405,$AN2775)&lt;$AO2775))),"対象月が時短期間外／","")&amp;IF(AND(INDEX(職員マスタ!$F$6:$F$405,$AN2775)&lt;&gt;"",$AO2775&lt;&gt;"",INDEX(職員マスタ!$F$6:$F$405,$AN2775)&lt;$AO2775),"対象月に子が2歳到達済／","")&amp;IF(AND($H2775&lt;&gt;"",INDEX(職員マスタ!$B$6:$B$405,$AN2775)&lt;&gt;"",SUBSTITUTE(SUBSTITUTE($H2775," ","")," ","")&lt;&gt;SUBSTITUTE(SUBSTITUTE(INDEX(職員マスタ!$B$6:$B$405,$AN2775)," ","")," ","")),"氏名がマスタと相違／","")&amp;IF(AND($Q2775&lt;&gt;"",INDEX(職員マスタ!$E$6:$E$405,$AN2775)&lt;&gt;"",$Q2775&lt;&gt;INDEX(職員マスタ!$E$6:$E$405,$AN2775)),"子の生年月日がマスタと相違／","")&amp;IF(AND($L2775&lt;&gt;"",INDEX(職員マスタ!$G$6:$G$405,$AN2775)&lt;&gt;"",$L2775&lt;&gt;INDEX(職員マスタ!$G$6:$G$405,$AN2775)),"時短開始日がマスタと相違／","")&amp;IF(AND($M2775&lt;&gt;"",INDEX(職員マスタ!$H$6:$H$405,$AN2775)&lt;&gt;"",$M2775&lt;&gt;INDEX(職員マスタ!$H$6:$H$405,$AN2775)),"時短終了日がマスタと相違／","")))&amp;IF(AND($B2775&lt;&gt;"",$E2775=""),"報酬額が未入力／","")&amp;IF(N($U2775)&gt;0,"申請書に入力エラーが残っています／","")&amp;IF(AND($B2775&lt;&gt;"",$AO2775&lt;&gt;""),IF(COUNTIFS($B$6:$B$3005,$B2775,$C$6:$C$3005,$C2775,$D$6:$D$3005,$D2775)&gt;1,"同じ月の請求が重複しています／",""),"")&amp;IF(AND(N($E2775)&gt;0,$Z2775&lt;&gt;"",$Z2775&lt;&gt;"×",$AC2775=0,$AB2775=""),"計算額が下限以下のため不支給／",""))</f>
        <v/>
      </c>
      <c r="AL2775" s="12" t="n"/>
      <c r="AM2775" s="14">
        <f>IF($AD2775="保留中",COUNTIF($AD$6:$AD2775,"保留中"),"")</f>
        <v/>
      </c>
      <c r="AN2775" s="14">
        <f>IF($AO2775="","",IF(SUMPRODUCT(MAX((職員マスタ!$A$6:$A$405=$B2775)*(((職員マスタ!$G$6:$G$405="")+(職員マスタ!$G$6:$G$405&lt;=EOMONTH($AO2775,0)))&gt;0)*(((職員マスタ!$H$6:$H$405="")+(職員マスタ!$H$6:$H$405&gt;=$AO2775))&gt;0)*(ROW(職員マスタ!$A$6:$A$405)-5)))&gt;0,SUMPRODUCT(MAX((職員マスタ!$A$6:$A$405=$B2775)*(((職員マスタ!$G$6:$G$405="")+(職員マスタ!$G$6:$G$405&lt;=EOMONTH($AO2775,0)))&gt;0)*(((職員マスタ!$H$6:$H$405="")+(職員マスタ!$H$6:$H$405&gt;=$AO2775))&gt;0)*(ROW(職員マスタ!$A$6:$A$405)-5))),IFERROR(MATCH($B2775,職員マスタ!$A$6:$A$405,0),"")))</f>
        <v/>
      </c>
      <c r="AO2775" s="16">
        <f>IF(OR($B2775="",$C2775="",$D2775=""),"",DATE($C2775+2018,$D2775,1))</f>
        <v/>
      </c>
    </row>
    <row r="2776">
      <c r="A2776" s="11" t="n"/>
      <c r="B2776" s="12" t="n"/>
      <c r="C2776" s="12" t="n"/>
      <c r="D2776" s="12" t="n"/>
      <c r="E2776" s="13" t="n"/>
      <c r="F2776" s="12" t="n"/>
      <c r="G2776" s="13" t="n"/>
      <c r="H2776" s="12" t="n"/>
      <c r="I2776" s="12" t="n"/>
      <c r="J2776" s="12" t="n"/>
      <c r="K2776" s="12" t="n"/>
      <c r="L2776" s="11" t="n"/>
      <c r="M2776" s="11" t="n"/>
      <c r="N2776" s="11" t="n"/>
      <c r="O2776" s="11" t="n"/>
      <c r="P2776" s="12" t="n"/>
      <c r="Q2776" s="11" t="n"/>
      <c r="R2776" s="12" t="n"/>
      <c r="S2776" s="11" t="n"/>
      <c r="T2776" s="12" t="n"/>
      <c r="U2776" s="12" t="n"/>
      <c r="V2776" s="14">
        <f>IF($AN2776="",IF($B2776="","",$H2776),IF(INDEX(職員マスタ!$B$6:$B$405,$AN2776)="",$H2776,INDEX(職員マスタ!$B$6:$B$405,$AN2776)))</f>
        <v/>
      </c>
      <c r="W2776" s="14">
        <f>IF($AN2776="",IF($B2776="","",$R2776),IF(INDEX(職員マスタ!$C$6:$C$405,$AN2776)="",$R2776,INDEX(職員マスタ!$C$6:$C$405,$AN2776)))</f>
        <v/>
      </c>
      <c r="X2776" s="14">
        <f>IF($AO2776="","","R"&amp;$C2776&amp;"."&amp;$D2776)</f>
        <v/>
      </c>
      <c r="Y2776" s="15">
        <f>IF($AN2776="","",IF(INDEX(職員マスタ!$K$6:$K$405,$AN2776)="","",INDEX(職員マスタ!$K$6:$K$405,$AN2776)))</f>
        <v/>
      </c>
      <c r="Z2776" s="14">
        <f>IF(OR($E2776="",$Y2776=""),"",IF($E2776&gt;=$Y2776,"×",IF($E2776&gt;=$Y2776*設定!$C$5,"△","○")))</f>
        <v/>
      </c>
      <c r="AA2776" s="15">
        <f>IF($Z2776="","",IF($Z2776="×",0,IF($Z2776="○",ROUNDDOWN($E2776*設定!$C$4,0),ROUNDDOWN($E2776*ROUND((9*$Y2776-9*$E2776)/(10*$E2776),4),0))))</f>
        <v/>
      </c>
      <c r="AB2776" s="13" t="n"/>
      <c r="AC2776" s="15">
        <f>IF($B2776="","",IF($AB2776&lt;&gt;"",$AB2776,IF($AA2776="","",IF($AA2776&lt;=設定!$C$3,0,$AA2776))))</f>
        <v/>
      </c>
      <c r="AD2776" s="14">
        <f>IF($B2776="","",IF(AND($AE2776&lt;&gt;"",$AG2776="",$AJ2776=""),"保留中",IF($AJ2776&lt;&gt;"",IF(N($AC2776)&gt;0,"支給済","不支給"),IF($AC2776="","要確認",IF($AC2776=0,"不支給","未処理")))))</f>
        <v/>
      </c>
      <c r="AE2776" s="12" t="n"/>
      <c r="AF2776" s="11" t="n"/>
      <c r="AG2776" s="11" t="n"/>
      <c r="AH2776" s="11" t="n"/>
      <c r="AI2776" s="14">
        <f>IF(AND($AD2776="保留中",$AF2776&lt;&gt;""),TODAY()-$AF2776,"")</f>
        <v/>
      </c>
      <c r="AJ2776" s="12" t="n"/>
      <c r="AK2776" s="14">
        <f>IF($B2776="","",IF($AO2776="","対象年月が未入力／","")&amp;IF($B2776="","",IF($AN2776="","職員マスタに未登録の職員番号／",IF($Y2776="","標準報酬月額が未登録／","")&amp;IF(AND($AO2776&lt;&gt;"",OR(AND(INDEX(職員マスタ!$G$6:$G$405,$AN2776)&lt;&gt;"",INDEX(職員マスタ!$G$6:$G$405,$AN2776)&gt;EOMONTH($AO2776,0)),AND(INDEX(職員マスタ!$H$6:$H$405,$AN2776)&lt;&gt;"",INDEX(職員マスタ!$H$6:$H$405,$AN2776)&lt;$AO2776))),"対象月が時短期間外／","")&amp;IF(AND(INDEX(職員マスタ!$F$6:$F$405,$AN2776)&lt;&gt;"",$AO2776&lt;&gt;"",INDEX(職員マスタ!$F$6:$F$405,$AN2776)&lt;$AO2776),"対象月に子が2歳到達済／","")&amp;IF(AND($H2776&lt;&gt;"",INDEX(職員マスタ!$B$6:$B$405,$AN2776)&lt;&gt;"",SUBSTITUTE(SUBSTITUTE($H2776," ","")," ","")&lt;&gt;SUBSTITUTE(SUBSTITUTE(INDEX(職員マスタ!$B$6:$B$405,$AN2776)," ","")," ","")),"氏名がマスタと相違／","")&amp;IF(AND($Q2776&lt;&gt;"",INDEX(職員マスタ!$E$6:$E$405,$AN2776)&lt;&gt;"",$Q2776&lt;&gt;INDEX(職員マスタ!$E$6:$E$405,$AN2776)),"子の生年月日がマスタと相違／","")&amp;IF(AND($L2776&lt;&gt;"",INDEX(職員マスタ!$G$6:$G$405,$AN2776)&lt;&gt;"",$L2776&lt;&gt;INDEX(職員マスタ!$G$6:$G$405,$AN2776)),"時短開始日がマスタと相違／","")&amp;IF(AND($M2776&lt;&gt;"",INDEX(職員マスタ!$H$6:$H$405,$AN2776)&lt;&gt;"",$M2776&lt;&gt;INDEX(職員マスタ!$H$6:$H$405,$AN2776)),"時短終了日がマスタと相違／","")))&amp;IF(AND($B2776&lt;&gt;"",$E2776=""),"報酬額が未入力／","")&amp;IF(N($U2776)&gt;0,"申請書に入力エラーが残っています／","")&amp;IF(AND($B2776&lt;&gt;"",$AO2776&lt;&gt;""),IF(COUNTIFS($B$6:$B$3005,$B2776,$C$6:$C$3005,$C2776,$D$6:$D$3005,$D2776)&gt;1,"同じ月の請求が重複しています／",""),"")&amp;IF(AND(N($E2776)&gt;0,$Z2776&lt;&gt;"",$Z2776&lt;&gt;"×",$AC2776=0,$AB2776=""),"計算額が下限以下のため不支給／",""))</f>
        <v/>
      </c>
      <c r="AL2776" s="12" t="n"/>
      <c r="AM2776" s="14">
        <f>IF($AD2776="保留中",COUNTIF($AD$6:$AD2776,"保留中"),"")</f>
        <v/>
      </c>
      <c r="AN2776" s="14">
        <f>IF($AO2776="","",IF(SUMPRODUCT(MAX((職員マスタ!$A$6:$A$405=$B2776)*(((職員マスタ!$G$6:$G$405="")+(職員マスタ!$G$6:$G$405&lt;=EOMONTH($AO2776,0)))&gt;0)*(((職員マスタ!$H$6:$H$405="")+(職員マスタ!$H$6:$H$405&gt;=$AO2776))&gt;0)*(ROW(職員マスタ!$A$6:$A$405)-5)))&gt;0,SUMPRODUCT(MAX((職員マスタ!$A$6:$A$405=$B2776)*(((職員マスタ!$G$6:$G$405="")+(職員マスタ!$G$6:$G$405&lt;=EOMONTH($AO2776,0)))&gt;0)*(((職員マスタ!$H$6:$H$405="")+(職員マスタ!$H$6:$H$405&gt;=$AO2776))&gt;0)*(ROW(職員マスタ!$A$6:$A$405)-5))),IFERROR(MATCH($B2776,職員マスタ!$A$6:$A$405,0),"")))</f>
        <v/>
      </c>
      <c r="AO2776" s="16">
        <f>IF(OR($B2776="",$C2776="",$D2776=""),"",DATE($C2776+2018,$D2776,1))</f>
        <v/>
      </c>
    </row>
    <row r="2777">
      <c r="A2777" s="11" t="n"/>
      <c r="B2777" s="12" t="n"/>
      <c r="C2777" s="12" t="n"/>
      <c r="D2777" s="12" t="n"/>
      <c r="E2777" s="13" t="n"/>
      <c r="F2777" s="12" t="n"/>
      <c r="G2777" s="13" t="n"/>
      <c r="H2777" s="12" t="n"/>
      <c r="I2777" s="12" t="n"/>
      <c r="J2777" s="12" t="n"/>
      <c r="K2777" s="12" t="n"/>
      <c r="L2777" s="11" t="n"/>
      <c r="M2777" s="11" t="n"/>
      <c r="N2777" s="11" t="n"/>
      <c r="O2777" s="11" t="n"/>
      <c r="P2777" s="12" t="n"/>
      <c r="Q2777" s="11" t="n"/>
      <c r="R2777" s="12" t="n"/>
      <c r="S2777" s="11" t="n"/>
      <c r="T2777" s="12" t="n"/>
      <c r="U2777" s="12" t="n"/>
      <c r="V2777" s="14">
        <f>IF($AN2777="",IF($B2777="","",$H2777),IF(INDEX(職員マスタ!$B$6:$B$405,$AN2777)="",$H2777,INDEX(職員マスタ!$B$6:$B$405,$AN2777)))</f>
        <v/>
      </c>
      <c r="W2777" s="14">
        <f>IF($AN2777="",IF($B2777="","",$R2777),IF(INDEX(職員マスタ!$C$6:$C$405,$AN2777)="",$R2777,INDEX(職員マスタ!$C$6:$C$405,$AN2777)))</f>
        <v/>
      </c>
      <c r="X2777" s="14">
        <f>IF($AO2777="","","R"&amp;$C2777&amp;"."&amp;$D2777)</f>
        <v/>
      </c>
      <c r="Y2777" s="15">
        <f>IF($AN2777="","",IF(INDEX(職員マスタ!$K$6:$K$405,$AN2777)="","",INDEX(職員マスタ!$K$6:$K$405,$AN2777)))</f>
        <v/>
      </c>
      <c r="Z2777" s="14">
        <f>IF(OR($E2777="",$Y2777=""),"",IF($E2777&gt;=$Y2777,"×",IF($E2777&gt;=$Y2777*設定!$C$5,"△","○")))</f>
        <v/>
      </c>
      <c r="AA2777" s="15">
        <f>IF($Z2777="","",IF($Z2777="×",0,IF($Z2777="○",ROUNDDOWN($E2777*設定!$C$4,0),ROUNDDOWN($E2777*ROUND((9*$Y2777-9*$E2777)/(10*$E2777),4),0))))</f>
        <v/>
      </c>
      <c r="AB2777" s="13" t="n"/>
      <c r="AC2777" s="15">
        <f>IF($B2777="","",IF($AB2777&lt;&gt;"",$AB2777,IF($AA2777="","",IF($AA2777&lt;=設定!$C$3,0,$AA2777))))</f>
        <v/>
      </c>
      <c r="AD2777" s="14">
        <f>IF($B2777="","",IF(AND($AE2777&lt;&gt;"",$AG2777="",$AJ2777=""),"保留中",IF($AJ2777&lt;&gt;"",IF(N($AC2777)&gt;0,"支給済","不支給"),IF($AC2777="","要確認",IF($AC2777=0,"不支給","未処理")))))</f>
        <v/>
      </c>
      <c r="AE2777" s="12" t="n"/>
      <c r="AF2777" s="11" t="n"/>
      <c r="AG2777" s="11" t="n"/>
      <c r="AH2777" s="11" t="n"/>
      <c r="AI2777" s="14">
        <f>IF(AND($AD2777="保留中",$AF2777&lt;&gt;""),TODAY()-$AF2777,"")</f>
        <v/>
      </c>
      <c r="AJ2777" s="12" t="n"/>
      <c r="AK2777" s="14">
        <f>IF($B2777="","",IF($AO2777="","対象年月が未入力／","")&amp;IF($B2777="","",IF($AN2777="","職員マスタに未登録の職員番号／",IF($Y2777="","標準報酬月額が未登録／","")&amp;IF(AND($AO2777&lt;&gt;"",OR(AND(INDEX(職員マスタ!$G$6:$G$405,$AN2777)&lt;&gt;"",INDEX(職員マスタ!$G$6:$G$405,$AN2777)&gt;EOMONTH($AO2777,0)),AND(INDEX(職員マスタ!$H$6:$H$405,$AN2777)&lt;&gt;"",INDEX(職員マスタ!$H$6:$H$405,$AN2777)&lt;$AO2777))),"対象月が時短期間外／","")&amp;IF(AND(INDEX(職員マスタ!$F$6:$F$405,$AN2777)&lt;&gt;"",$AO2777&lt;&gt;"",INDEX(職員マスタ!$F$6:$F$405,$AN2777)&lt;$AO2777),"対象月に子が2歳到達済／","")&amp;IF(AND($H2777&lt;&gt;"",INDEX(職員マスタ!$B$6:$B$405,$AN2777)&lt;&gt;"",SUBSTITUTE(SUBSTITUTE($H2777," ","")," ","")&lt;&gt;SUBSTITUTE(SUBSTITUTE(INDEX(職員マスタ!$B$6:$B$405,$AN2777)," ","")," ","")),"氏名がマスタと相違／","")&amp;IF(AND($Q2777&lt;&gt;"",INDEX(職員マスタ!$E$6:$E$405,$AN2777)&lt;&gt;"",$Q2777&lt;&gt;INDEX(職員マスタ!$E$6:$E$405,$AN2777)),"子の生年月日がマスタと相違／","")&amp;IF(AND($L2777&lt;&gt;"",INDEX(職員マスタ!$G$6:$G$405,$AN2777)&lt;&gt;"",$L2777&lt;&gt;INDEX(職員マスタ!$G$6:$G$405,$AN2777)),"時短開始日がマスタと相違／","")&amp;IF(AND($M2777&lt;&gt;"",INDEX(職員マスタ!$H$6:$H$405,$AN2777)&lt;&gt;"",$M2777&lt;&gt;INDEX(職員マスタ!$H$6:$H$405,$AN2777)),"時短終了日がマスタと相違／","")))&amp;IF(AND($B2777&lt;&gt;"",$E2777=""),"報酬額が未入力／","")&amp;IF(N($U2777)&gt;0,"申請書に入力エラーが残っています／","")&amp;IF(AND($B2777&lt;&gt;"",$AO2777&lt;&gt;""),IF(COUNTIFS($B$6:$B$3005,$B2777,$C$6:$C$3005,$C2777,$D$6:$D$3005,$D2777)&gt;1,"同じ月の請求が重複しています／",""),"")&amp;IF(AND(N($E2777)&gt;0,$Z2777&lt;&gt;"",$Z2777&lt;&gt;"×",$AC2777=0,$AB2777=""),"計算額が下限以下のため不支給／",""))</f>
        <v/>
      </c>
      <c r="AL2777" s="12" t="n"/>
      <c r="AM2777" s="14">
        <f>IF($AD2777="保留中",COUNTIF($AD$6:$AD2777,"保留中"),"")</f>
        <v/>
      </c>
      <c r="AN2777" s="14">
        <f>IF($AO2777="","",IF(SUMPRODUCT(MAX((職員マスタ!$A$6:$A$405=$B2777)*(((職員マスタ!$G$6:$G$405="")+(職員マスタ!$G$6:$G$405&lt;=EOMONTH($AO2777,0)))&gt;0)*(((職員マスタ!$H$6:$H$405="")+(職員マスタ!$H$6:$H$405&gt;=$AO2777))&gt;0)*(ROW(職員マスタ!$A$6:$A$405)-5)))&gt;0,SUMPRODUCT(MAX((職員マスタ!$A$6:$A$405=$B2777)*(((職員マスタ!$G$6:$G$405="")+(職員マスタ!$G$6:$G$405&lt;=EOMONTH($AO2777,0)))&gt;0)*(((職員マスタ!$H$6:$H$405="")+(職員マスタ!$H$6:$H$405&gt;=$AO2777))&gt;0)*(ROW(職員マスタ!$A$6:$A$405)-5))),IFERROR(MATCH($B2777,職員マスタ!$A$6:$A$405,0),"")))</f>
        <v/>
      </c>
      <c r="AO2777" s="16">
        <f>IF(OR($B2777="",$C2777="",$D2777=""),"",DATE($C2777+2018,$D2777,1))</f>
        <v/>
      </c>
    </row>
    <row r="2778">
      <c r="A2778" s="11" t="n"/>
      <c r="B2778" s="12" t="n"/>
      <c r="C2778" s="12" t="n"/>
      <c r="D2778" s="12" t="n"/>
      <c r="E2778" s="13" t="n"/>
      <c r="F2778" s="12" t="n"/>
      <c r="G2778" s="13" t="n"/>
      <c r="H2778" s="12" t="n"/>
      <c r="I2778" s="12" t="n"/>
      <c r="J2778" s="12" t="n"/>
      <c r="K2778" s="12" t="n"/>
      <c r="L2778" s="11" t="n"/>
      <c r="M2778" s="11" t="n"/>
      <c r="N2778" s="11" t="n"/>
      <c r="O2778" s="11" t="n"/>
      <c r="P2778" s="12" t="n"/>
      <c r="Q2778" s="11" t="n"/>
      <c r="R2778" s="12" t="n"/>
      <c r="S2778" s="11" t="n"/>
      <c r="T2778" s="12" t="n"/>
      <c r="U2778" s="12" t="n"/>
      <c r="V2778" s="14">
        <f>IF($AN2778="",IF($B2778="","",$H2778),IF(INDEX(職員マスタ!$B$6:$B$405,$AN2778)="",$H2778,INDEX(職員マスタ!$B$6:$B$405,$AN2778)))</f>
        <v/>
      </c>
      <c r="W2778" s="14">
        <f>IF($AN2778="",IF($B2778="","",$R2778),IF(INDEX(職員マスタ!$C$6:$C$405,$AN2778)="",$R2778,INDEX(職員マスタ!$C$6:$C$405,$AN2778)))</f>
        <v/>
      </c>
      <c r="X2778" s="14">
        <f>IF($AO2778="","","R"&amp;$C2778&amp;"."&amp;$D2778)</f>
        <v/>
      </c>
      <c r="Y2778" s="15">
        <f>IF($AN2778="","",IF(INDEX(職員マスタ!$K$6:$K$405,$AN2778)="","",INDEX(職員マスタ!$K$6:$K$405,$AN2778)))</f>
        <v/>
      </c>
      <c r="Z2778" s="14">
        <f>IF(OR($E2778="",$Y2778=""),"",IF($E2778&gt;=$Y2778,"×",IF($E2778&gt;=$Y2778*設定!$C$5,"△","○")))</f>
        <v/>
      </c>
      <c r="AA2778" s="15">
        <f>IF($Z2778="","",IF($Z2778="×",0,IF($Z2778="○",ROUNDDOWN($E2778*設定!$C$4,0),ROUNDDOWN($E2778*ROUND((9*$Y2778-9*$E2778)/(10*$E2778),4),0))))</f>
        <v/>
      </c>
      <c r="AB2778" s="13" t="n"/>
      <c r="AC2778" s="15">
        <f>IF($B2778="","",IF($AB2778&lt;&gt;"",$AB2778,IF($AA2778="","",IF($AA2778&lt;=設定!$C$3,0,$AA2778))))</f>
        <v/>
      </c>
      <c r="AD2778" s="14">
        <f>IF($B2778="","",IF(AND($AE2778&lt;&gt;"",$AG2778="",$AJ2778=""),"保留中",IF($AJ2778&lt;&gt;"",IF(N($AC2778)&gt;0,"支給済","不支給"),IF($AC2778="","要確認",IF($AC2778=0,"不支給","未処理")))))</f>
        <v/>
      </c>
      <c r="AE2778" s="12" t="n"/>
      <c r="AF2778" s="11" t="n"/>
      <c r="AG2778" s="11" t="n"/>
      <c r="AH2778" s="11" t="n"/>
      <c r="AI2778" s="14">
        <f>IF(AND($AD2778="保留中",$AF2778&lt;&gt;""),TODAY()-$AF2778,"")</f>
        <v/>
      </c>
      <c r="AJ2778" s="12" t="n"/>
      <c r="AK2778" s="14">
        <f>IF($B2778="","",IF($AO2778="","対象年月が未入力／","")&amp;IF($B2778="","",IF($AN2778="","職員マスタに未登録の職員番号／",IF($Y2778="","標準報酬月額が未登録／","")&amp;IF(AND($AO2778&lt;&gt;"",OR(AND(INDEX(職員マスタ!$G$6:$G$405,$AN2778)&lt;&gt;"",INDEX(職員マスタ!$G$6:$G$405,$AN2778)&gt;EOMONTH($AO2778,0)),AND(INDEX(職員マスタ!$H$6:$H$405,$AN2778)&lt;&gt;"",INDEX(職員マスタ!$H$6:$H$405,$AN2778)&lt;$AO2778))),"対象月が時短期間外／","")&amp;IF(AND(INDEX(職員マスタ!$F$6:$F$405,$AN2778)&lt;&gt;"",$AO2778&lt;&gt;"",INDEX(職員マスタ!$F$6:$F$405,$AN2778)&lt;$AO2778),"対象月に子が2歳到達済／","")&amp;IF(AND($H2778&lt;&gt;"",INDEX(職員マスタ!$B$6:$B$405,$AN2778)&lt;&gt;"",SUBSTITUTE(SUBSTITUTE($H2778," ","")," ","")&lt;&gt;SUBSTITUTE(SUBSTITUTE(INDEX(職員マスタ!$B$6:$B$405,$AN2778)," ","")," ","")),"氏名がマスタと相違／","")&amp;IF(AND($Q2778&lt;&gt;"",INDEX(職員マスタ!$E$6:$E$405,$AN2778)&lt;&gt;"",$Q2778&lt;&gt;INDEX(職員マスタ!$E$6:$E$405,$AN2778)),"子の生年月日がマスタと相違／","")&amp;IF(AND($L2778&lt;&gt;"",INDEX(職員マスタ!$G$6:$G$405,$AN2778)&lt;&gt;"",$L2778&lt;&gt;INDEX(職員マスタ!$G$6:$G$405,$AN2778)),"時短開始日がマスタと相違／","")&amp;IF(AND($M2778&lt;&gt;"",INDEX(職員マスタ!$H$6:$H$405,$AN2778)&lt;&gt;"",$M2778&lt;&gt;INDEX(職員マスタ!$H$6:$H$405,$AN2778)),"時短終了日がマスタと相違／","")))&amp;IF(AND($B2778&lt;&gt;"",$E2778=""),"報酬額が未入力／","")&amp;IF(N($U2778)&gt;0,"申請書に入力エラーが残っています／","")&amp;IF(AND($B2778&lt;&gt;"",$AO2778&lt;&gt;""),IF(COUNTIFS($B$6:$B$3005,$B2778,$C$6:$C$3005,$C2778,$D$6:$D$3005,$D2778)&gt;1,"同じ月の請求が重複しています／",""),"")&amp;IF(AND(N($E2778)&gt;0,$Z2778&lt;&gt;"",$Z2778&lt;&gt;"×",$AC2778=0,$AB2778=""),"計算額が下限以下のため不支給／",""))</f>
        <v/>
      </c>
      <c r="AL2778" s="12" t="n"/>
      <c r="AM2778" s="14">
        <f>IF($AD2778="保留中",COUNTIF($AD$6:$AD2778,"保留中"),"")</f>
        <v/>
      </c>
      <c r="AN2778" s="14">
        <f>IF($AO2778="","",IF(SUMPRODUCT(MAX((職員マスタ!$A$6:$A$405=$B2778)*(((職員マスタ!$G$6:$G$405="")+(職員マスタ!$G$6:$G$405&lt;=EOMONTH($AO2778,0)))&gt;0)*(((職員マスタ!$H$6:$H$405="")+(職員マスタ!$H$6:$H$405&gt;=$AO2778))&gt;0)*(ROW(職員マスタ!$A$6:$A$405)-5)))&gt;0,SUMPRODUCT(MAX((職員マスタ!$A$6:$A$405=$B2778)*(((職員マスタ!$G$6:$G$405="")+(職員マスタ!$G$6:$G$405&lt;=EOMONTH($AO2778,0)))&gt;0)*(((職員マスタ!$H$6:$H$405="")+(職員マスタ!$H$6:$H$405&gt;=$AO2778))&gt;0)*(ROW(職員マスタ!$A$6:$A$405)-5))),IFERROR(MATCH($B2778,職員マスタ!$A$6:$A$405,0),"")))</f>
        <v/>
      </c>
      <c r="AO2778" s="16">
        <f>IF(OR($B2778="",$C2778="",$D2778=""),"",DATE($C2778+2018,$D2778,1))</f>
        <v/>
      </c>
    </row>
    <row r="2779">
      <c r="A2779" s="11" t="n"/>
      <c r="B2779" s="12" t="n"/>
      <c r="C2779" s="12" t="n"/>
      <c r="D2779" s="12" t="n"/>
      <c r="E2779" s="13" t="n"/>
      <c r="F2779" s="12" t="n"/>
      <c r="G2779" s="13" t="n"/>
      <c r="H2779" s="12" t="n"/>
      <c r="I2779" s="12" t="n"/>
      <c r="J2779" s="12" t="n"/>
      <c r="K2779" s="12" t="n"/>
      <c r="L2779" s="11" t="n"/>
      <c r="M2779" s="11" t="n"/>
      <c r="N2779" s="11" t="n"/>
      <c r="O2779" s="11" t="n"/>
      <c r="P2779" s="12" t="n"/>
      <c r="Q2779" s="11" t="n"/>
      <c r="R2779" s="12" t="n"/>
      <c r="S2779" s="11" t="n"/>
      <c r="T2779" s="12" t="n"/>
      <c r="U2779" s="12" t="n"/>
      <c r="V2779" s="14">
        <f>IF($AN2779="",IF($B2779="","",$H2779),IF(INDEX(職員マスタ!$B$6:$B$405,$AN2779)="",$H2779,INDEX(職員マスタ!$B$6:$B$405,$AN2779)))</f>
        <v/>
      </c>
      <c r="W2779" s="14">
        <f>IF($AN2779="",IF($B2779="","",$R2779),IF(INDEX(職員マスタ!$C$6:$C$405,$AN2779)="",$R2779,INDEX(職員マスタ!$C$6:$C$405,$AN2779)))</f>
        <v/>
      </c>
      <c r="X2779" s="14">
        <f>IF($AO2779="","","R"&amp;$C2779&amp;"."&amp;$D2779)</f>
        <v/>
      </c>
      <c r="Y2779" s="15">
        <f>IF($AN2779="","",IF(INDEX(職員マスタ!$K$6:$K$405,$AN2779)="","",INDEX(職員マスタ!$K$6:$K$405,$AN2779)))</f>
        <v/>
      </c>
      <c r="Z2779" s="14">
        <f>IF(OR($E2779="",$Y2779=""),"",IF($E2779&gt;=$Y2779,"×",IF($E2779&gt;=$Y2779*設定!$C$5,"△","○")))</f>
        <v/>
      </c>
      <c r="AA2779" s="15">
        <f>IF($Z2779="","",IF($Z2779="×",0,IF($Z2779="○",ROUNDDOWN($E2779*設定!$C$4,0),ROUNDDOWN($E2779*ROUND((9*$Y2779-9*$E2779)/(10*$E2779),4),0))))</f>
        <v/>
      </c>
      <c r="AB2779" s="13" t="n"/>
      <c r="AC2779" s="15">
        <f>IF($B2779="","",IF($AB2779&lt;&gt;"",$AB2779,IF($AA2779="","",IF($AA2779&lt;=設定!$C$3,0,$AA2779))))</f>
        <v/>
      </c>
      <c r="AD2779" s="14">
        <f>IF($B2779="","",IF(AND($AE2779&lt;&gt;"",$AG2779="",$AJ2779=""),"保留中",IF($AJ2779&lt;&gt;"",IF(N($AC2779)&gt;0,"支給済","不支給"),IF($AC2779="","要確認",IF($AC2779=0,"不支給","未処理")))))</f>
        <v/>
      </c>
      <c r="AE2779" s="12" t="n"/>
      <c r="AF2779" s="11" t="n"/>
      <c r="AG2779" s="11" t="n"/>
      <c r="AH2779" s="11" t="n"/>
      <c r="AI2779" s="14">
        <f>IF(AND($AD2779="保留中",$AF2779&lt;&gt;""),TODAY()-$AF2779,"")</f>
        <v/>
      </c>
      <c r="AJ2779" s="12" t="n"/>
      <c r="AK2779" s="14">
        <f>IF($B2779="","",IF($AO2779="","対象年月が未入力／","")&amp;IF($B2779="","",IF($AN2779="","職員マスタに未登録の職員番号／",IF($Y2779="","標準報酬月額が未登録／","")&amp;IF(AND($AO2779&lt;&gt;"",OR(AND(INDEX(職員マスタ!$G$6:$G$405,$AN2779)&lt;&gt;"",INDEX(職員マスタ!$G$6:$G$405,$AN2779)&gt;EOMONTH($AO2779,0)),AND(INDEX(職員マスタ!$H$6:$H$405,$AN2779)&lt;&gt;"",INDEX(職員マスタ!$H$6:$H$405,$AN2779)&lt;$AO2779))),"対象月が時短期間外／","")&amp;IF(AND(INDEX(職員マスタ!$F$6:$F$405,$AN2779)&lt;&gt;"",$AO2779&lt;&gt;"",INDEX(職員マスタ!$F$6:$F$405,$AN2779)&lt;$AO2779),"対象月に子が2歳到達済／","")&amp;IF(AND($H2779&lt;&gt;"",INDEX(職員マスタ!$B$6:$B$405,$AN2779)&lt;&gt;"",SUBSTITUTE(SUBSTITUTE($H2779," ","")," ","")&lt;&gt;SUBSTITUTE(SUBSTITUTE(INDEX(職員マスタ!$B$6:$B$405,$AN2779)," ","")," ","")),"氏名がマスタと相違／","")&amp;IF(AND($Q2779&lt;&gt;"",INDEX(職員マスタ!$E$6:$E$405,$AN2779)&lt;&gt;"",$Q2779&lt;&gt;INDEX(職員マスタ!$E$6:$E$405,$AN2779)),"子の生年月日がマスタと相違／","")&amp;IF(AND($L2779&lt;&gt;"",INDEX(職員マスタ!$G$6:$G$405,$AN2779)&lt;&gt;"",$L2779&lt;&gt;INDEX(職員マスタ!$G$6:$G$405,$AN2779)),"時短開始日がマスタと相違／","")&amp;IF(AND($M2779&lt;&gt;"",INDEX(職員マスタ!$H$6:$H$405,$AN2779)&lt;&gt;"",$M2779&lt;&gt;INDEX(職員マスタ!$H$6:$H$405,$AN2779)),"時短終了日がマスタと相違／","")))&amp;IF(AND($B2779&lt;&gt;"",$E2779=""),"報酬額が未入力／","")&amp;IF(N($U2779)&gt;0,"申請書に入力エラーが残っています／","")&amp;IF(AND($B2779&lt;&gt;"",$AO2779&lt;&gt;""),IF(COUNTIFS($B$6:$B$3005,$B2779,$C$6:$C$3005,$C2779,$D$6:$D$3005,$D2779)&gt;1,"同じ月の請求が重複しています／",""),"")&amp;IF(AND(N($E2779)&gt;0,$Z2779&lt;&gt;"",$Z2779&lt;&gt;"×",$AC2779=0,$AB2779=""),"計算額が下限以下のため不支給／",""))</f>
        <v/>
      </c>
      <c r="AL2779" s="12" t="n"/>
      <c r="AM2779" s="14">
        <f>IF($AD2779="保留中",COUNTIF($AD$6:$AD2779,"保留中"),"")</f>
        <v/>
      </c>
      <c r="AN2779" s="14">
        <f>IF($AO2779="","",IF(SUMPRODUCT(MAX((職員マスタ!$A$6:$A$405=$B2779)*(((職員マスタ!$G$6:$G$405="")+(職員マスタ!$G$6:$G$405&lt;=EOMONTH($AO2779,0)))&gt;0)*(((職員マスタ!$H$6:$H$405="")+(職員マスタ!$H$6:$H$405&gt;=$AO2779))&gt;0)*(ROW(職員マスタ!$A$6:$A$405)-5)))&gt;0,SUMPRODUCT(MAX((職員マスタ!$A$6:$A$405=$B2779)*(((職員マスタ!$G$6:$G$405="")+(職員マスタ!$G$6:$G$405&lt;=EOMONTH($AO2779,0)))&gt;0)*(((職員マスタ!$H$6:$H$405="")+(職員マスタ!$H$6:$H$405&gt;=$AO2779))&gt;0)*(ROW(職員マスタ!$A$6:$A$405)-5))),IFERROR(MATCH($B2779,職員マスタ!$A$6:$A$405,0),"")))</f>
        <v/>
      </c>
      <c r="AO2779" s="16">
        <f>IF(OR($B2779="",$C2779="",$D2779=""),"",DATE($C2779+2018,$D2779,1))</f>
        <v/>
      </c>
    </row>
    <row r="2780">
      <c r="A2780" s="11" t="n"/>
      <c r="B2780" s="12" t="n"/>
      <c r="C2780" s="12" t="n"/>
      <c r="D2780" s="12" t="n"/>
      <c r="E2780" s="13" t="n"/>
      <c r="F2780" s="12" t="n"/>
      <c r="G2780" s="13" t="n"/>
      <c r="H2780" s="12" t="n"/>
      <c r="I2780" s="12" t="n"/>
      <c r="J2780" s="12" t="n"/>
      <c r="K2780" s="12" t="n"/>
      <c r="L2780" s="11" t="n"/>
      <c r="M2780" s="11" t="n"/>
      <c r="N2780" s="11" t="n"/>
      <c r="O2780" s="11" t="n"/>
      <c r="P2780" s="12" t="n"/>
      <c r="Q2780" s="11" t="n"/>
      <c r="R2780" s="12" t="n"/>
      <c r="S2780" s="11" t="n"/>
      <c r="T2780" s="12" t="n"/>
      <c r="U2780" s="12" t="n"/>
      <c r="V2780" s="14">
        <f>IF($AN2780="",IF($B2780="","",$H2780),IF(INDEX(職員マスタ!$B$6:$B$405,$AN2780)="",$H2780,INDEX(職員マスタ!$B$6:$B$405,$AN2780)))</f>
        <v/>
      </c>
      <c r="W2780" s="14">
        <f>IF($AN2780="",IF($B2780="","",$R2780),IF(INDEX(職員マスタ!$C$6:$C$405,$AN2780)="",$R2780,INDEX(職員マスタ!$C$6:$C$405,$AN2780)))</f>
        <v/>
      </c>
      <c r="X2780" s="14">
        <f>IF($AO2780="","","R"&amp;$C2780&amp;"."&amp;$D2780)</f>
        <v/>
      </c>
      <c r="Y2780" s="15">
        <f>IF($AN2780="","",IF(INDEX(職員マスタ!$K$6:$K$405,$AN2780)="","",INDEX(職員マスタ!$K$6:$K$405,$AN2780)))</f>
        <v/>
      </c>
      <c r="Z2780" s="14">
        <f>IF(OR($E2780="",$Y2780=""),"",IF($E2780&gt;=$Y2780,"×",IF($E2780&gt;=$Y2780*設定!$C$5,"△","○")))</f>
        <v/>
      </c>
      <c r="AA2780" s="15">
        <f>IF($Z2780="","",IF($Z2780="×",0,IF($Z2780="○",ROUNDDOWN($E2780*設定!$C$4,0),ROUNDDOWN($E2780*ROUND((9*$Y2780-9*$E2780)/(10*$E2780),4),0))))</f>
        <v/>
      </c>
      <c r="AB2780" s="13" t="n"/>
      <c r="AC2780" s="15">
        <f>IF($B2780="","",IF($AB2780&lt;&gt;"",$AB2780,IF($AA2780="","",IF($AA2780&lt;=設定!$C$3,0,$AA2780))))</f>
        <v/>
      </c>
      <c r="AD2780" s="14">
        <f>IF($B2780="","",IF(AND($AE2780&lt;&gt;"",$AG2780="",$AJ2780=""),"保留中",IF($AJ2780&lt;&gt;"",IF(N($AC2780)&gt;0,"支給済","不支給"),IF($AC2780="","要確認",IF($AC2780=0,"不支給","未処理")))))</f>
        <v/>
      </c>
      <c r="AE2780" s="12" t="n"/>
      <c r="AF2780" s="11" t="n"/>
      <c r="AG2780" s="11" t="n"/>
      <c r="AH2780" s="11" t="n"/>
      <c r="AI2780" s="14">
        <f>IF(AND($AD2780="保留中",$AF2780&lt;&gt;""),TODAY()-$AF2780,"")</f>
        <v/>
      </c>
      <c r="AJ2780" s="12" t="n"/>
      <c r="AK2780" s="14">
        <f>IF($B2780="","",IF($AO2780="","対象年月が未入力／","")&amp;IF($B2780="","",IF($AN2780="","職員マスタに未登録の職員番号／",IF($Y2780="","標準報酬月額が未登録／","")&amp;IF(AND($AO2780&lt;&gt;"",OR(AND(INDEX(職員マスタ!$G$6:$G$405,$AN2780)&lt;&gt;"",INDEX(職員マスタ!$G$6:$G$405,$AN2780)&gt;EOMONTH($AO2780,0)),AND(INDEX(職員マスタ!$H$6:$H$405,$AN2780)&lt;&gt;"",INDEX(職員マスタ!$H$6:$H$405,$AN2780)&lt;$AO2780))),"対象月が時短期間外／","")&amp;IF(AND(INDEX(職員マスタ!$F$6:$F$405,$AN2780)&lt;&gt;"",$AO2780&lt;&gt;"",INDEX(職員マスタ!$F$6:$F$405,$AN2780)&lt;$AO2780),"対象月に子が2歳到達済／","")&amp;IF(AND($H2780&lt;&gt;"",INDEX(職員マスタ!$B$6:$B$405,$AN2780)&lt;&gt;"",SUBSTITUTE(SUBSTITUTE($H2780," ","")," ","")&lt;&gt;SUBSTITUTE(SUBSTITUTE(INDEX(職員マスタ!$B$6:$B$405,$AN2780)," ","")," ","")),"氏名がマスタと相違／","")&amp;IF(AND($Q2780&lt;&gt;"",INDEX(職員マスタ!$E$6:$E$405,$AN2780)&lt;&gt;"",$Q2780&lt;&gt;INDEX(職員マスタ!$E$6:$E$405,$AN2780)),"子の生年月日がマスタと相違／","")&amp;IF(AND($L2780&lt;&gt;"",INDEX(職員マスタ!$G$6:$G$405,$AN2780)&lt;&gt;"",$L2780&lt;&gt;INDEX(職員マスタ!$G$6:$G$405,$AN2780)),"時短開始日がマスタと相違／","")&amp;IF(AND($M2780&lt;&gt;"",INDEX(職員マスタ!$H$6:$H$405,$AN2780)&lt;&gt;"",$M2780&lt;&gt;INDEX(職員マスタ!$H$6:$H$405,$AN2780)),"時短終了日がマスタと相違／","")))&amp;IF(AND($B2780&lt;&gt;"",$E2780=""),"報酬額が未入力／","")&amp;IF(N($U2780)&gt;0,"申請書に入力エラーが残っています／","")&amp;IF(AND($B2780&lt;&gt;"",$AO2780&lt;&gt;""),IF(COUNTIFS($B$6:$B$3005,$B2780,$C$6:$C$3005,$C2780,$D$6:$D$3005,$D2780)&gt;1,"同じ月の請求が重複しています／",""),"")&amp;IF(AND(N($E2780)&gt;0,$Z2780&lt;&gt;"",$Z2780&lt;&gt;"×",$AC2780=0,$AB2780=""),"計算額が下限以下のため不支給／",""))</f>
        <v/>
      </c>
      <c r="AL2780" s="12" t="n"/>
      <c r="AM2780" s="14">
        <f>IF($AD2780="保留中",COUNTIF($AD$6:$AD2780,"保留中"),"")</f>
        <v/>
      </c>
      <c r="AN2780" s="14">
        <f>IF($AO2780="","",IF(SUMPRODUCT(MAX((職員マスタ!$A$6:$A$405=$B2780)*(((職員マスタ!$G$6:$G$405="")+(職員マスタ!$G$6:$G$405&lt;=EOMONTH($AO2780,0)))&gt;0)*(((職員マスタ!$H$6:$H$405="")+(職員マスタ!$H$6:$H$405&gt;=$AO2780))&gt;0)*(ROW(職員マスタ!$A$6:$A$405)-5)))&gt;0,SUMPRODUCT(MAX((職員マスタ!$A$6:$A$405=$B2780)*(((職員マスタ!$G$6:$G$405="")+(職員マスタ!$G$6:$G$405&lt;=EOMONTH($AO2780,0)))&gt;0)*(((職員マスタ!$H$6:$H$405="")+(職員マスタ!$H$6:$H$405&gt;=$AO2780))&gt;0)*(ROW(職員マスタ!$A$6:$A$405)-5))),IFERROR(MATCH($B2780,職員マスタ!$A$6:$A$405,0),"")))</f>
        <v/>
      </c>
      <c r="AO2780" s="16">
        <f>IF(OR($B2780="",$C2780="",$D2780=""),"",DATE($C2780+2018,$D2780,1))</f>
        <v/>
      </c>
    </row>
    <row r="2781">
      <c r="A2781" s="11" t="n"/>
      <c r="B2781" s="12" t="n"/>
      <c r="C2781" s="12" t="n"/>
      <c r="D2781" s="12" t="n"/>
      <c r="E2781" s="13" t="n"/>
      <c r="F2781" s="12" t="n"/>
      <c r="G2781" s="13" t="n"/>
      <c r="H2781" s="12" t="n"/>
      <c r="I2781" s="12" t="n"/>
      <c r="J2781" s="12" t="n"/>
      <c r="K2781" s="12" t="n"/>
      <c r="L2781" s="11" t="n"/>
      <c r="M2781" s="11" t="n"/>
      <c r="N2781" s="11" t="n"/>
      <c r="O2781" s="11" t="n"/>
      <c r="P2781" s="12" t="n"/>
      <c r="Q2781" s="11" t="n"/>
      <c r="R2781" s="12" t="n"/>
      <c r="S2781" s="11" t="n"/>
      <c r="T2781" s="12" t="n"/>
      <c r="U2781" s="12" t="n"/>
      <c r="V2781" s="14">
        <f>IF($AN2781="",IF($B2781="","",$H2781),IF(INDEX(職員マスタ!$B$6:$B$405,$AN2781)="",$H2781,INDEX(職員マスタ!$B$6:$B$405,$AN2781)))</f>
        <v/>
      </c>
      <c r="W2781" s="14">
        <f>IF($AN2781="",IF($B2781="","",$R2781),IF(INDEX(職員マスタ!$C$6:$C$405,$AN2781)="",$R2781,INDEX(職員マスタ!$C$6:$C$405,$AN2781)))</f>
        <v/>
      </c>
      <c r="X2781" s="14">
        <f>IF($AO2781="","","R"&amp;$C2781&amp;"."&amp;$D2781)</f>
        <v/>
      </c>
      <c r="Y2781" s="15">
        <f>IF($AN2781="","",IF(INDEX(職員マスタ!$K$6:$K$405,$AN2781)="","",INDEX(職員マスタ!$K$6:$K$405,$AN2781)))</f>
        <v/>
      </c>
      <c r="Z2781" s="14">
        <f>IF(OR($E2781="",$Y2781=""),"",IF($E2781&gt;=$Y2781,"×",IF($E2781&gt;=$Y2781*設定!$C$5,"△","○")))</f>
        <v/>
      </c>
      <c r="AA2781" s="15">
        <f>IF($Z2781="","",IF($Z2781="×",0,IF($Z2781="○",ROUNDDOWN($E2781*設定!$C$4,0),ROUNDDOWN($E2781*ROUND((9*$Y2781-9*$E2781)/(10*$E2781),4),0))))</f>
        <v/>
      </c>
      <c r="AB2781" s="13" t="n"/>
      <c r="AC2781" s="15">
        <f>IF($B2781="","",IF($AB2781&lt;&gt;"",$AB2781,IF($AA2781="","",IF($AA2781&lt;=設定!$C$3,0,$AA2781))))</f>
        <v/>
      </c>
      <c r="AD2781" s="14">
        <f>IF($B2781="","",IF(AND($AE2781&lt;&gt;"",$AG2781="",$AJ2781=""),"保留中",IF($AJ2781&lt;&gt;"",IF(N($AC2781)&gt;0,"支給済","不支給"),IF($AC2781="","要確認",IF($AC2781=0,"不支給","未処理")))))</f>
        <v/>
      </c>
      <c r="AE2781" s="12" t="n"/>
      <c r="AF2781" s="11" t="n"/>
      <c r="AG2781" s="11" t="n"/>
      <c r="AH2781" s="11" t="n"/>
      <c r="AI2781" s="14">
        <f>IF(AND($AD2781="保留中",$AF2781&lt;&gt;""),TODAY()-$AF2781,"")</f>
        <v/>
      </c>
      <c r="AJ2781" s="12" t="n"/>
      <c r="AK2781" s="14">
        <f>IF($B2781="","",IF($AO2781="","対象年月が未入力／","")&amp;IF($B2781="","",IF($AN2781="","職員マスタに未登録の職員番号／",IF($Y2781="","標準報酬月額が未登録／","")&amp;IF(AND($AO2781&lt;&gt;"",OR(AND(INDEX(職員マスタ!$G$6:$G$405,$AN2781)&lt;&gt;"",INDEX(職員マスタ!$G$6:$G$405,$AN2781)&gt;EOMONTH($AO2781,0)),AND(INDEX(職員マスタ!$H$6:$H$405,$AN2781)&lt;&gt;"",INDEX(職員マスタ!$H$6:$H$405,$AN2781)&lt;$AO2781))),"対象月が時短期間外／","")&amp;IF(AND(INDEX(職員マスタ!$F$6:$F$405,$AN2781)&lt;&gt;"",$AO2781&lt;&gt;"",INDEX(職員マスタ!$F$6:$F$405,$AN2781)&lt;$AO2781),"対象月に子が2歳到達済／","")&amp;IF(AND($H2781&lt;&gt;"",INDEX(職員マスタ!$B$6:$B$405,$AN2781)&lt;&gt;"",SUBSTITUTE(SUBSTITUTE($H2781," ","")," ","")&lt;&gt;SUBSTITUTE(SUBSTITUTE(INDEX(職員マスタ!$B$6:$B$405,$AN2781)," ","")," ","")),"氏名がマスタと相違／","")&amp;IF(AND($Q2781&lt;&gt;"",INDEX(職員マスタ!$E$6:$E$405,$AN2781)&lt;&gt;"",$Q2781&lt;&gt;INDEX(職員マスタ!$E$6:$E$405,$AN2781)),"子の生年月日がマスタと相違／","")&amp;IF(AND($L2781&lt;&gt;"",INDEX(職員マスタ!$G$6:$G$405,$AN2781)&lt;&gt;"",$L2781&lt;&gt;INDEX(職員マスタ!$G$6:$G$405,$AN2781)),"時短開始日がマスタと相違／","")&amp;IF(AND($M2781&lt;&gt;"",INDEX(職員マスタ!$H$6:$H$405,$AN2781)&lt;&gt;"",$M2781&lt;&gt;INDEX(職員マスタ!$H$6:$H$405,$AN2781)),"時短終了日がマスタと相違／","")))&amp;IF(AND($B2781&lt;&gt;"",$E2781=""),"報酬額が未入力／","")&amp;IF(N($U2781)&gt;0,"申請書に入力エラーが残っています／","")&amp;IF(AND($B2781&lt;&gt;"",$AO2781&lt;&gt;""),IF(COUNTIFS($B$6:$B$3005,$B2781,$C$6:$C$3005,$C2781,$D$6:$D$3005,$D2781)&gt;1,"同じ月の請求が重複しています／",""),"")&amp;IF(AND(N($E2781)&gt;0,$Z2781&lt;&gt;"",$Z2781&lt;&gt;"×",$AC2781=0,$AB2781=""),"計算額が下限以下のため不支給／",""))</f>
        <v/>
      </c>
      <c r="AL2781" s="12" t="n"/>
      <c r="AM2781" s="14">
        <f>IF($AD2781="保留中",COUNTIF($AD$6:$AD2781,"保留中"),"")</f>
        <v/>
      </c>
      <c r="AN2781" s="14">
        <f>IF($AO2781="","",IF(SUMPRODUCT(MAX((職員マスタ!$A$6:$A$405=$B2781)*(((職員マスタ!$G$6:$G$405="")+(職員マスタ!$G$6:$G$405&lt;=EOMONTH($AO2781,0)))&gt;0)*(((職員マスタ!$H$6:$H$405="")+(職員マスタ!$H$6:$H$405&gt;=$AO2781))&gt;0)*(ROW(職員マスタ!$A$6:$A$405)-5)))&gt;0,SUMPRODUCT(MAX((職員マスタ!$A$6:$A$405=$B2781)*(((職員マスタ!$G$6:$G$405="")+(職員マスタ!$G$6:$G$405&lt;=EOMONTH($AO2781,0)))&gt;0)*(((職員マスタ!$H$6:$H$405="")+(職員マスタ!$H$6:$H$405&gt;=$AO2781))&gt;0)*(ROW(職員マスタ!$A$6:$A$405)-5))),IFERROR(MATCH($B2781,職員マスタ!$A$6:$A$405,0),"")))</f>
        <v/>
      </c>
      <c r="AO2781" s="16">
        <f>IF(OR($B2781="",$C2781="",$D2781=""),"",DATE($C2781+2018,$D2781,1))</f>
        <v/>
      </c>
    </row>
    <row r="2782">
      <c r="A2782" s="11" t="n"/>
      <c r="B2782" s="12" t="n"/>
      <c r="C2782" s="12" t="n"/>
      <c r="D2782" s="12" t="n"/>
      <c r="E2782" s="13" t="n"/>
      <c r="F2782" s="12" t="n"/>
      <c r="G2782" s="13" t="n"/>
      <c r="H2782" s="12" t="n"/>
      <c r="I2782" s="12" t="n"/>
      <c r="J2782" s="12" t="n"/>
      <c r="K2782" s="12" t="n"/>
      <c r="L2782" s="11" t="n"/>
      <c r="M2782" s="11" t="n"/>
      <c r="N2782" s="11" t="n"/>
      <c r="O2782" s="11" t="n"/>
      <c r="P2782" s="12" t="n"/>
      <c r="Q2782" s="11" t="n"/>
      <c r="R2782" s="12" t="n"/>
      <c r="S2782" s="11" t="n"/>
      <c r="T2782" s="12" t="n"/>
      <c r="U2782" s="12" t="n"/>
      <c r="V2782" s="14">
        <f>IF($AN2782="",IF($B2782="","",$H2782),IF(INDEX(職員マスタ!$B$6:$B$405,$AN2782)="",$H2782,INDEX(職員マスタ!$B$6:$B$405,$AN2782)))</f>
        <v/>
      </c>
      <c r="W2782" s="14">
        <f>IF($AN2782="",IF($B2782="","",$R2782),IF(INDEX(職員マスタ!$C$6:$C$405,$AN2782)="",$R2782,INDEX(職員マスタ!$C$6:$C$405,$AN2782)))</f>
        <v/>
      </c>
      <c r="X2782" s="14">
        <f>IF($AO2782="","","R"&amp;$C2782&amp;"."&amp;$D2782)</f>
        <v/>
      </c>
      <c r="Y2782" s="15">
        <f>IF($AN2782="","",IF(INDEX(職員マスタ!$K$6:$K$405,$AN2782)="","",INDEX(職員マスタ!$K$6:$K$405,$AN2782)))</f>
        <v/>
      </c>
      <c r="Z2782" s="14">
        <f>IF(OR($E2782="",$Y2782=""),"",IF($E2782&gt;=$Y2782,"×",IF($E2782&gt;=$Y2782*設定!$C$5,"△","○")))</f>
        <v/>
      </c>
      <c r="AA2782" s="15">
        <f>IF($Z2782="","",IF($Z2782="×",0,IF($Z2782="○",ROUNDDOWN($E2782*設定!$C$4,0),ROUNDDOWN($E2782*ROUND((9*$Y2782-9*$E2782)/(10*$E2782),4),0))))</f>
        <v/>
      </c>
      <c r="AB2782" s="13" t="n"/>
      <c r="AC2782" s="15">
        <f>IF($B2782="","",IF($AB2782&lt;&gt;"",$AB2782,IF($AA2782="","",IF($AA2782&lt;=設定!$C$3,0,$AA2782))))</f>
        <v/>
      </c>
      <c r="AD2782" s="14">
        <f>IF($B2782="","",IF(AND($AE2782&lt;&gt;"",$AG2782="",$AJ2782=""),"保留中",IF($AJ2782&lt;&gt;"",IF(N($AC2782)&gt;0,"支給済","不支給"),IF($AC2782="","要確認",IF($AC2782=0,"不支給","未処理")))))</f>
        <v/>
      </c>
      <c r="AE2782" s="12" t="n"/>
      <c r="AF2782" s="11" t="n"/>
      <c r="AG2782" s="11" t="n"/>
      <c r="AH2782" s="11" t="n"/>
      <c r="AI2782" s="14">
        <f>IF(AND($AD2782="保留中",$AF2782&lt;&gt;""),TODAY()-$AF2782,"")</f>
        <v/>
      </c>
      <c r="AJ2782" s="12" t="n"/>
      <c r="AK2782" s="14">
        <f>IF($B2782="","",IF($AO2782="","対象年月が未入力／","")&amp;IF($B2782="","",IF($AN2782="","職員マスタに未登録の職員番号／",IF($Y2782="","標準報酬月額が未登録／","")&amp;IF(AND($AO2782&lt;&gt;"",OR(AND(INDEX(職員マスタ!$G$6:$G$405,$AN2782)&lt;&gt;"",INDEX(職員マスタ!$G$6:$G$405,$AN2782)&gt;EOMONTH($AO2782,0)),AND(INDEX(職員マスタ!$H$6:$H$405,$AN2782)&lt;&gt;"",INDEX(職員マスタ!$H$6:$H$405,$AN2782)&lt;$AO2782))),"対象月が時短期間外／","")&amp;IF(AND(INDEX(職員マスタ!$F$6:$F$405,$AN2782)&lt;&gt;"",$AO2782&lt;&gt;"",INDEX(職員マスタ!$F$6:$F$405,$AN2782)&lt;$AO2782),"対象月に子が2歳到達済／","")&amp;IF(AND($H2782&lt;&gt;"",INDEX(職員マスタ!$B$6:$B$405,$AN2782)&lt;&gt;"",SUBSTITUTE(SUBSTITUTE($H2782," ","")," ","")&lt;&gt;SUBSTITUTE(SUBSTITUTE(INDEX(職員マスタ!$B$6:$B$405,$AN2782)," ","")," ","")),"氏名がマスタと相違／","")&amp;IF(AND($Q2782&lt;&gt;"",INDEX(職員マスタ!$E$6:$E$405,$AN2782)&lt;&gt;"",$Q2782&lt;&gt;INDEX(職員マスタ!$E$6:$E$405,$AN2782)),"子の生年月日がマスタと相違／","")&amp;IF(AND($L2782&lt;&gt;"",INDEX(職員マスタ!$G$6:$G$405,$AN2782)&lt;&gt;"",$L2782&lt;&gt;INDEX(職員マスタ!$G$6:$G$405,$AN2782)),"時短開始日がマスタと相違／","")&amp;IF(AND($M2782&lt;&gt;"",INDEX(職員マスタ!$H$6:$H$405,$AN2782)&lt;&gt;"",$M2782&lt;&gt;INDEX(職員マスタ!$H$6:$H$405,$AN2782)),"時短終了日がマスタと相違／","")))&amp;IF(AND($B2782&lt;&gt;"",$E2782=""),"報酬額が未入力／","")&amp;IF(N($U2782)&gt;0,"申請書に入力エラーが残っています／","")&amp;IF(AND($B2782&lt;&gt;"",$AO2782&lt;&gt;""),IF(COUNTIFS($B$6:$B$3005,$B2782,$C$6:$C$3005,$C2782,$D$6:$D$3005,$D2782)&gt;1,"同じ月の請求が重複しています／",""),"")&amp;IF(AND(N($E2782)&gt;0,$Z2782&lt;&gt;"",$Z2782&lt;&gt;"×",$AC2782=0,$AB2782=""),"計算額が下限以下のため不支給／",""))</f>
        <v/>
      </c>
      <c r="AL2782" s="12" t="n"/>
      <c r="AM2782" s="14">
        <f>IF($AD2782="保留中",COUNTIF($AD$6:$AD2782,"保留中"),"")</f>
        <v/>
      </c>
      <c r="AN2782" s="14">
        <f>IF($AO2782="","",IF(SUMPRODUCT(MAX((職員マスタ!$A$6:$A$405=$B2782)*(((職員マスタ!$G$6:$G$405="")+(職員マスタ!$G$6:$G$405&lt;=EOMONTH($AO2782,0)))&gt;0)*(((職員マスタ!$H$6:$H$405="")+(職員マスタ!$H$6:$H$405&gt;=$AO2782))&gt;0)*(ROW(職員マスタ!$A$6:$A$405)-5)))&gt;0,SUMPRODUCT(MAX((職員マスタ!$A$6:$A$405=$B2782)*(((職員マスタ!$G$6:$G$405="")+(職員マスタ!$G$6:$G$405&lt;=EOMONTH($AO2782,0)))&gt;0)*(((職員マスタ!$H$6:$H$405="")+(職員マスタ!$H$6:$H$405&gt;=$AO2782))&gt;0)*(ROW(職員マスタ!$A$6:$A$405)-5))),IFERROR(MATCH($B2782,職員マスタ!$A$6:$A$405,0),"")))</f>
        <v/>
      </c>
      <c r="AO2782" s="16">
        <f>IF(OR($B2782="",$C2782="",$D2782=""),"",DATE($C2782+2018,$D2782,1))</f>
        <v/>
      </c>
    </row>
    <row r="2783">
      <c r="A2783" s="11" t="n"/>
      <c r="B2783" s="12" t="n"/>
      <c r="C2783" s="12" t="n"/>
      <c r="D2783" s="12" t="n"/>
      <c r="E2783" s="13" t="n"/>
      <c r="F2783" s="12" t="n"/>
      <c r="G2783" s="13" t="n"/>
      <c r="H2783" s="12" t="n"/>
      <c r="I2783" s="12" t="n"/>
      <c r="J2783" s="12" t="n"/>
      <c r="K2783" s="12" t="n"/>
      <c r="L2783" s="11" t="n"/>
      <c r="M2783" s="11" t="n"/>
      <c r="N2783" s="11" t="n"/>
      <c r="O2783" s="11" t="n"/>
      <c r="P2783" s="12" t="n"/>
      <c r="Q2783" s="11" t="n"/>
      <c r="R2783" s="12" t="n"/>
      <c r="S2783" s="11" t="n"/>
      <c r="T2783" s="12" t="n"/>
      <c r="U2783" s="12" t="n"/>
      <c r="V2783" s="14">
        <f>IF($AN2783="",IF($B2783="","",$H2783),IF(INDEX(職員マスタ!$B$6:$B$405,$AN2783)="",$H2783,INDEX(職員マスタ!$B$6:$B$405,$AN2783)))</f>
        <v/>
      </c>
      <c r="W2783" s="14">
        <f>IF($AN2783="",IF($B2783="","",$R2783),IF(INDEX(職員マスタ!$C$6:$C$405,$AN2783)="",$R2783,INDEX(職員マスタ!$C$6:$C$405,$AN2783)))</f>
        <v/>
      </c>
      <c r="X2783" s="14">
        <f>IF($AO2783="","","R"&amp;$C2783&amp;"."&amp;$D2783)</f>
        <v/>
      </c>
      <c r="Y2783" s="15">
        <f>IF($AN2783="","",IF(INDEX(職員マスタ!$K$6:$K$405,$AN2783)="","",INDEX(職員マスタ!$K$6:$K$405,$AN2783)))</f>
        <v/>
      </c>
      <c r="Z2783" s="14">
        <f>IF(OR($E2783="",$Y2783=""),"",IF($E2783&gt;=$Y2783,"×",IF($E2783&gt;=$Y2783*設定!$C$5,"△","○")))</f>
        <v/>
      </c>
      <c r="AA2783" s="15">
        <f>IF($Z2783="","",IF($Z2783="×",0,IF($Z2783="○",ROUNDDOWN($E2783*設定!$C$4,0),ROUNDDOWN($E2783*ROUND((9*$Y2783-9*$E2783)/(10*$E2783),4),0))))</f>
        <v/>
      </c>
      <c r="AB2783" s="13" t="n"/>
      <c r="AC2783" s="15">
        <f>IF($B2783="","",IF($AB2783&lt;&gt;"",$AB2783,IF($AA2783="","",IF($AA2783&lt;=設定!$C$3,0,$AA2783))))</f>
        <v/>
      </c>
      <c r="AD2783" s="14">
        <f>IF($B2783="","",IF(AND($AE2783&lt;&gt;"",$AG2783="",$AJ2783=""),"保留中",IF($AJ2783&lt;&gt;"",IF(N($AC2783)&gt;0,"支給済","不支給"),IF($AC2783="","要確認",IF($AC2783=0,"不支給","未処理")))))</f>
        <v/>
      </c>
      <c r="AE2783" s="12" t="n"/>
      <c r="AF2783" s="11" t="n"/>
      <c r="AG2783" s="11" t="n"/>
      <c r="AH2783" s="11" t="n"/>
      <c r="AI2783" s="14">
        <f>IF(AND($AD2783="保留中",$AF2783&lt;&gt;""),TODAY()-$AF2783,"")</f>
        <v/>
      </c>
      <c r="AJ2783" s="12" t="n"/>
      <c r="AK2783" s="14">
        <f>IF($B2783="","",IF($AO2783="","対象年月が未入力／","")&amp;IF($B2783="","",IF($AN2783="","職員マスタに未登録の職員番号／",IF($Y2783="","標準報酬月額が未登録／","")&amp;IF(AND($AO2783&lt;&gt;"",OR(AND(INDEX(職員マスタ!$G$6:$G$405,$AN2783)&lt;&gt;"",INDEX(職員マスタ!$G$6:$G$405,$AN2783)&gt;EOMONTH($AO2783,0)),AND(INDEX(職員マスタ!$H$6:$H$405,$AN2783)&lt;&gt;"",INDEX(職員マスタ!$H$6:$H$405,$AN2783)&lt;$AO2783))),"対象月が時短期間外／","")&amp;IF(AND(INDEX(職員マスタ!$F$6:$F$405,$AN2783)&lt;&gt;"",$AO2783&lt;&gt;"",INDEX(職員マスタ!$F$6:$F$405,$AN2783)&lt;$AO2783),"対象月に子が2歳到達済／","")&amp;IF(AND($H2783&lt;&gt;"",INDEX(職員マスタ!$B$6:$B$405,$AN2783)&lt;&gt;"",SUBSTITUTE(SUBSTITUTE($H2783," ","")," ","")&lt;&gt;SUBSTITUTE(SUBSTITUTE(INDEX(職員マスタ!$B$6:$B$405,$AN2783)," ","")," ","")),"氏名がマスタと相違／","")&amp;IF(AND($Q2783&lt;&gt;"",INDEX(職員マスタ!$E$6:$E$405,$AN2783)&lt;&gt;"",$Q2783&lt;&gt;INDEX(職員マスタ!$E$6:$E$405,$AN2783)),"子の生年月日がマスタと相違／","")&amp;IF(AND($L2783&lt;&gt;"",INDEX(職員マスタ!$G$6:$G$405,$AN2783)&lt;&gt;"",$L2783&lt;&gt;INDEX(職員マスタ!$G$6:$G$405,$AN2783)),"時短開始日がマスタと相違／","")&amp;IF(AND($M2783&lt;&gt;"",INDEX(職員マスタ!$H$6:$H$405,$AN2783)&lt;&gt;"",$M2783&lt;&gt;INDEX(職員マスタ!$H$6:$H$405,$AN2783)),"時短終了日がマスタと相違／","")))&amp;IF(AND($B2783&lt;&gt;"",$E2783=""),"報酬額が未入力／","")&amp;IF(N($U2783)&gt;0,"申請書に入力エラーが残っています／","")&amp;IF(AND($B2783&lt;&gt;"",$AO2783&lt;&gt;""),IF(COUNTIFS($B$6:$B$3005,$B2783,$C$6:$C$3005,$C2783,$D$6:$D$3005,$D2783)&gt;1,"同じ月の請求が重複しています／",""),"")&amp;IF(AND(N($E2783)&gt;0,$Z2783&lt;&gt;"",$Z2783&lt;&gt;"×",$AC2783=0,$AB2783=""),"計算額が下限以下のため不支給／",""))</f>
        <v/>
      </c>
      <c r="AL2783" s="12" t="n"/>
      <c r="AM2783" s="14">
        <f>IF($AD2783="保留中",COUNTIF($AD$6:$AD2783,"保留中"),"")</f>
        <v/>
      </c>
      <c r="AN2783" s="14">
        <f>IF($AO2783="","",IF(SUMPRODUCT(MAX((職員マスタ!$A$6:$A$405=$B2783)*(((職員マスタ!$G$6:$G$405="")+(職員マスタ!$G$6:$G$405&lt;=EOMONTH($AO2783,0)))&gt;0)*(((職員マスタ!$H$6:$H$405="")+(職員マスタ!$H$6:$H$405&gt;=$AO2783))&gt;0)*(ROW(職員マスタ!$A$6:$A$405)-5)))&gt;0,SUMPRODUCT(MAX((職員マスタ!$A$6:$A$405=$B2783)*(((職員マスタ!$G$6:$G$405="")+(職員マスタ!$G$6:$G$405&lt;=EOMONTH($AO2783,0)))&gt;0)*(((職員マスタ!$H$6:$H$405="")+(職員マスタ!$H$6:$H$405&gt;=$AO2783))&gt;0)*(ROW(職員マスタ!$A$6:$A$405)-5))),IFERROR(MATCH($B2783,職員マスタ!$A$6:$A$405,0),"")))</f>
        <v/>
      </c>
      <c r="AO2783" s="16">
        <f>IF(OR($B2783="",$C2783="",$D2783=""),"",DATE($C2783+2018,$D2783,1))</f>
        <v/>
      </c>
    </row>
    <row r="2784">
      <c r="A2784" s="11" t="n"/>
      <c r="B2784" s="12" t="n"/>
      <c r="C2784" s="12" t="n"/>
      <c r="D2784" s="12" t="n"/>
      <c r="E2784" s="13" t="n"/>
      <c r="F2784" s="12" t="n"/>
      <c r="G2784" s="13" t="n"/>
      <c r="H2784" s="12" t="n"/>
      <c r="I2784" s="12" t="n"/>
      <c r="J2784" s="12" t="n"/>
      <c r="K2784" s="12" t="n"/>
      <c r="L2784" s="11" t="n"/>
      <c r="M2784" s="11" t="n"/>
      <c r="N2784" s="11" t="n"/>
      <c r="O2784" s="11" t="n"/>
      <c r="P2784" s="12" t="n"/>
      <c r="Q2784" s="11" t="n"/>
      <c r="R2784" s="12" t="n"/>
      <c r="S2784" s="11" t="n"/>
      <c r="T2784" s="12" t="n"/>
      <c r="U2784" s="12" t="n"/>
      <c r="V2784" s="14">
        <f>IF($AN2784="",IF($B2784="","",$H2784),IF(INDEX(職員マスタ!$B$6:$B$405,$AN2784)="",$H2784,INDEX(職員マスタ!$B$6:$B$405,$AN2784)))</f>
        <v/>
      </c>
      <c r="W2784" s="14">
        <f>IF($AN2784="",IF($B2784="","",$R2784),IF(INDEX(職員マスタ!$C$6:$C$405,$AN2784)="",$R2784,INDEX(職員マスタ!$C$6:$C$405,$AN2784)))</f>
        <v/>
      </c>
      <c r="X2784" s="14">
        <f>IF($AO2784="","","R"&amp;$C2784&amp;"."&amp;$D2784)</f>
        <v/>
      </c>
      <c r="Y2784" s="15">
        <f>IF($AN2784="","",IF(INDEX(職員マスタ!$K$6:$K$405,$AN2784)="","",INDEX(職員マスタ!$K$6:$K$405,$AN2784)))</f>
        <v/>
      </c>
      <c r="Z2784" s="14">
        <f>IF(OR($E2784="",$Y2784=""),"",IF($E2784&gt;=$Y2784,"×",IF($E2784&gt;=$Y2784*設定!$C$5,"△","○")))</f>
        <v/>
      </c>
      <c r="AA2784" s="15">
        <f>IF($Z2784="","",IF($Z2784="×",0,IF($Z2784="○",ROUNDDOWN($E2784*設定!$C$4,0),ROUNDDOWN($E2784*ROUND((9*$Y2784-9*$E2784)/(10*$E2784),4),0))))</f>
        <v/>
      </c>
      <c r="AB2784" s="13" t="n"/>
      <c r="AC2784" s="15">
        <f>IF($B2784="","",IF($AB2784&lt;&gt;"",$AB2784,IF($AA2784="","",IF($AA2784&lt;=設定!$C$3,0,$AA2784))))</f>
        <v/>
      </c>
      <c r="AD2784" s="14">
        <f>IF($B2784="","",IF(AND($AE2784&lt;&gt;"",$AG2784="",$AJ2784=""),"保留中",IF($AJ2784&lt;&gt;"",IF(N($AC2784)&gt;0,"支給済","不支給"),IF($AC2784="","要確認",IF($AC2784=0,"不支給","未処理")))))</f>
        <v/>
      </c>
      <c r="AE2784" s="12" t="n"/>
      <c r="AF2784" s="11" t="n"/>
      <c r="AG2784" s="11" t="n"/>
      <c r="AH2784" s="11" t="n"/>
      <c r="AI2784" s="14">
        <f>IF(AND($AD2784="保留中",$AF2784&lt;&gt;""),TODAY()-$AF2784,"")</f>
        <v/>
      </c>
      <c r="AJ2784" s="12" t="n"/>
      <c r="AK2784" s="14">
        <f>IF($B2784="","",IF($AO2784="","対象年月が未入力／","")&amp;IF($B2784="","",IF($AN2784="","職員マスタに未登録の職員番号／",IF($Y2784="","標準報酬月額が未登録／","")&amp;IF(AND($AO2784&lt;&gt;"",OR(AND(INDEX(職員マスタ!$G$6:$G$405,$AN2784)&lt;&gt;"",INDEX(職員マスタ!$G$6:$G$405,$AN2784)&gt;EOMONTH($AO2784,0)),AND(INDEX(職員マスタ!$H$6:$H$405,$AN2784)&lt;&gt;"",INDEX(職員マスタ!$H$6:$H$405,$AN2784)&lt;$AO2784))),"対象月が時短期間外／","")&amp;IF(AND(INDEX(職員マスタ!$F$6:$F$405,$AN2784)&lt;&gt;"",$AO2784&lt;&gt;"",INDEX(職員マスタ!$F$6:$F$405,$AN2784)&lt;$AO2784),"対象月に子が2歳到達済／","")&amp;IF(AND($H2784&lt;&gt;"",INDEX(職員マスタ!$B$6:$B$405,$AN2784)&lt;&gt;"",SUBSTITUTE(SUBSTITUTE($H2784," ","")," ","")&lt;&gt;SUBSTITUTE(SUBSTITUTE(INDEX(職員マスタ!$B$6:$B$405,$AN2784)," ","")," ","")),"氏名がマスタと相違／","")&amp;IF(AND($Q2784&lt;&gt;"",INDEX(職員マスタ!$E$6:$E$405,$AN2784)&lt;&gt;"",$Q2784&lt;&gt;INDEX(職員マスタ!$E$6:$E$405,$AN2784)),"子の生年月日がマスタと相違／","")&amp;IF(AND($L2784&lt;&gt;"",INDEX(職員マスタ!$G$6:$G$405,$AN2784)&lt;&gt;"",$L2784&lt;&gt;INDEX(職員マスタ!$G$6:$G$405,$AN2784)),"時短開始日がマスタと相違／","")&amp;IF(AND($M2784&lt;&gt;"",INDEX(職員マスタ!$H$6:$H$405,$AN2784)&lt;&gt;"",$M2784&lt;&gt;INDEX(職員マスタ!$H$6:$H$405,$AN2784)),"時短終了日がマスタと相違／","")))&amp;IF(AND($B2784&lt;&gt;"",$E2784=""),"報酬額が未入力／","")&amp;IF(N($U2784)&gt;0,"申請書に入力エラーが残っています／","")&amp;IF(AND($B2784&lt;&gt;"",$AO2784&lt;&gt;""),IF(COUNTIFS($B$6:$B$3005,$B2784,$C$6:$C$3005,$C2784,$D$6:$D$3005,$D2784)&gt;1,"同じ月の請求が重複しています／",""),"")&amp;IF(AND(N($E2784)&gt;0,$Z2784&lt;&gt;"",$Z2784&lt;&gt;"×",$AC2784=0,$AB2784=""),"計算額が下限以下のため不支給／",""))</f>
        <v/>
      </c>
      <c r="AL2784" s="12" t="n"/>
      <c r="AM2784" s="14">
        <f>IF($AD2784="保留中",COUNTIF($AD$6:$AD2784,"保留中"),"")</f>
        <v/>
      </c>
      <c r="AN2784" s="14">
        <f>IF($AO2784="","",IF(SUMPRODUCT(MAX((職員マスタ!$A$6:$A$405=$B2784)*(((職員マスタ!$G$6:$G$405="")+(職員マスタ!$G$6:$G$405&lt;=EOMONTH($AO2784,0)))&gt;0)*(((職員マスタ!$H$6:$H$405="")+(職員マスタ!$H$6:$H$405&gt;=$AO2784))&gt;0)*(ROW(職員マスタ!$A$6:$A$405)-5)))&gt;0,SUMPRODUCT(MAX((職員マスタ!$A$6:$A$405=$B2784)*(((職員マスタ!$G$6:$G$405="")+(職員マスタ!$G$6:$G$405&lt;=EOMONTH($AO2784,0)))&gt;0)*(((職員マスタ!$H$6:$H$405="")+(職員マスタ!$H$6:$H$405&gt;=$AO2784))&gt;0)*(ROW(職員マスタ!$A$6:$A$405)-5))),IFERROR(MATCH($B2784,職員マスタ!$A$6:$A$405,0),"")))</f>
        <v/>
      </c>
      <c r="AO2784" s="16">
        <f>IF(OR($B2784="",$C2784="",$D2784=""),"",DATE($C2784+2018,$D2784,1))</f>
        <v/>
      </c>
    </row>
    <row r="2785">
      <c r="A2785" s="11" t="n"/>
      <c r="B2785" s="12" t="n"/>
      <c r="C2785" s="12" t="n"/>
      <c r="D2785" s="12" t="n"/>
      <c r="E2785" s="13" t="n"/>
      <c r="F2785" s="12" t="n"/>
      <c r="G2785" s="13" t="n"/>
      <c r="H2785" s="12" t="n"/>
      <c r="I2785" s="12" t="n"/>
      <c r="J2785" s="12" t="n"/>
      <c r="K2785" s="12" t="n"/>
      <c r="L2785" s="11" t="n"/>
      <c r="M2785" s="11" t="n"/>
      <c r="N2785" s="11" t="n"/>
      <c r="O2785" s="11" t="n"/>
      <c r="P2785" s="12" t="n"/>
      <c r="Q2785" s="11" t="n"/>
      <c r="R2785" s="12" t="n"/>
      <c r="S2785" s="11" t="n"/>
      <c r="T2785" s="12" t="n"/>
      <c r="U2785" s="12" t="n"/>
      <c r="V2785" s="14">
        <f>IF($AN2785="",IF($B2785="","",$H2785),IF(INDEX(職員マスタ!$B$6:$B$405,$AN2785)="",$H2785,INDEX(職員マスタ!$B$6:$B$405,$AN2785)))</f>
        <v/>
      </c>
      <c r="W2785" s="14">
        <f>IF($AN2785="",IF($B2785="","",$R2785),IF(INDEX(職員マスタ!$C$6:$C$405,$AN2785)="",$R2785,INDEX(職員マスタ!$C$6:$C$405,$AN2785)))</f>
        <v/>
      </c>
      <c r="X2785" s="14">
        <f>IF($AO2785="","","R"&amp;$C2785&amp;"."&amp;$D2785)</f>
        <v/>
      </c>
      <c r="Y2785" s="15">
        <f>IF($AN2785="","",IF(INDEX(職員マスタ!$K$6:$K$405,$AN2785)="","",INDEX(職員マスタ!$K$6:$K$405,$AN2785)))</f>
        <v/>
      </c>
      <c r="Z2785" s="14">
        <f>IF(OR($E2785="",$Y2785=""),"",IF($E2785&gt;=$Y2785,"×",IF($E2785&gt;=$Y2785*設定!$C$5,"△","○")))</f>
        <v/>
      </c>
      <c r="AA2785" s="15">
        <f>IF($Z2785="","",IF($Z2785="×",0,IF($Z2785="○",ROUNDDOWN($E2785*設定!$C$4,0),ROUNDDOWN($E2785*ROUND((9*$Y2785-9*$E2785)/(10*$E2785),4),0))))</f>
        <v/>
      </c>
      <c r="AB2785" s="13" t="n"/>
      <c r="AC2785" s="15">
        <f>IF($B2785="","",IF($AB2785&lt;&gt;"",$AB2785,IF($AA2785="","",IF($AA2785&lt;=設定!$C$3,0,$AA2785))))</f>
        <v/>
      </c>
      <c r="AD2785" s="14">
        <f>IF($B2785="","",IF(AND($AE2785&lt;&gt;"",$AG2785="",$AJ2785=""),"保留中",IF($AJ2785&lt;&gt;"",IF(N($AC2785)&gt;0,"支給済","不支給"),IF($AC2785="","要確認",IF($AC2785=0,"不支給","未処理")))))</f>
        <v/>
      </c>
      <c r="AE2785" s="12" t="n"/>
      <c r="AF2785" s="11" t="n"/>
      <c r="AG2785" s="11" t="n"/>
      <c r="AH2785" s="11" t="n"/>
      <c r="AI2785" s="14">
        <f>IF(AND($AD2785="保留中",$AF2785&lt;&gt;""),TODAY()-$AF2785,"")</f>
        <v/>
      </c>
      <c r="AJ2785" s="12" t="n"/>
      <c r="AK2785" s="14">
        <f>IF($B2785="","",IF($AO2785="","対象年月が未入力／","")&amp;IF($B2785="","",IF($AN2785="","職員マスタに未登録の職員番号／",IF($Y2785="","標準報酬月額が未登録／","")&amp;IF(AND($AO2785&lt;&gt;"",OR(AND(INDEX(職員マスタ!$G$6:$G$405,$AN2785)&lt;&gt;"",INDEX(職員マスタ!$G$6:$G$405,$AN2785)&gt;EOMONTH($AO2785,0)),AND(INDEX(職員マスタ!$H$6:$H$405,$AN2785)&lt;&gt;"",INDEX(職員マスタ!$H$6:$H$405,$AN2785)&lt;$AO2785))),"対象月が時短期間外／","")&amp;IF(AND(INDEX(職員マスタ!$F$6:$F$405,$AN2785)&lt;&gt;"",$AO2785&lt;&gt;"",INDEX(職員マスタ!$F$6:$F$405,$AN2785)&lt;$AO2785),"対象月に子が2歳到達済／","")&amp;IF(AND($H2785&lt;&gt;"",INDEX(職員マスタ!$B$6:$B$405,$AN2785)&lt;&gt;"",SUBSTITUTE(SUBSTITUTE($H2785," ","")," ","")&lt;&gt;SUBSTITUTE(SUBSTITUTE(INDEX(職員マスタ!$B$6:$B$405,$AN2785)," ","")," ","")),"氏名がマスタと相違／","")&amp;IF(AND($Q2785&lt;&gt;"",INDEX(職員マスタ!$E$6:$E$405,$AN2785)&lt;&gt;"",$Q2785&lt;&gt;INDEX(職員マスタ!$E$6:$E$405,$AN2785)),"子の生年月日がマスタと相違／","")&amp;IF(AND($L2785&lt;&gt;"",INDEX(職員マスタ!$G$6:$G$405,$AN2785)&lt;&gt;"",$L2785&lt;&gt;INDEX(職員マスタ!$G$6:$G$405,$AN2785)),"時短開始日がマスタと相違／","")&amp;IF(AND($M2785&lt;&gt;"",INDEX(職員マスタ!$H$6:$H$405,$AN2785)&lt;&gt;"",$M2785&lt;&gt;INDEX(職員マスタ!$H$6:$H$405,$AN2785)),"時短終了日がマスタと相違／","")))&amp;IF(AND($B2785&lt;&gt;"",$E2785=""),"報酬額が未入力／","")&amp;IF(N($U2785)&gt;0,"申請書に入力エラーが残っています／","")&amp;IF(AND($B2785&lt;&gt;"",$AO2785&lt;&gt;""),IF(COUNTIFS($B$6:$B$3005,$B2785,$C$6:$C$3005,$C2785,$D$6:$D$3005,$D2785)&gt;1,"同じ月の請求が重複しています／",""),"")&amp;IF(AND(N($E2785)&gt;0,$Z2785&lt;&gt;"",$Z2785&lt;&gt;"×",$AC2785=0,$AB2785=""),"計算額が下限以下のため不支給／",""))</f>
        <v/>
      </c>
      <c r="AL2785" s="12" t="n"/>
      <c r="AM2785" s="14">
        <f>IF($AD2785="保留中",COUNTIF($AD$6:$AD2785,"保留中"),"")</f>
        <v/>
      </c>
      <c r="AN2785" s="14">
        <f>IF($AO2785="","",IF(SUMPRODUCT(MAX((職員マスタ!$A$6:$A$405=$B2785)*(((職員マスタ!$G$6:$G$405="")+(職員マスタ!$G$6:$G$405&lt;=EOMONTH($AO2785,0)))&gt;0)*(((職員マスタ!$H$6:$H$405="")+(職員マスタ!$H$6:$H$405&gt;=$AO2785))&gt;0)*(ROW(職員マスタ!$A$6:$A$405)-5)))&gt;0,SUMPRODUCT(MAX((職員マスタ!$A$6:$A$405=$B2785)*(((職員マスタ!$G$6:$G$405="")+(職員マスタ!$G$6:$G$405&lt;=EOMONTH($AO2785,0)))&gt;0)*(((職員マスタ!$H$6:$H$405="")+(職員マスタ!$H$6:$H$405&gt;=$AO2785))&gt;0)*(ROW(職員マスタ!$A$6:$A$405)-5))),IFERROR(MATCH($B2785,職員マスタ!$A$6:$A$405,0),"")))</f>
        <v/>
      </c>
      <c r="AO2785" s="16">
        <f>IF(OR($B2785="",$C2785="",$D2785=""),"",DATE($C2785+2018,$D2785,1))</f>
        <v/>
      </c>
    </row>
    <row r="2786">
      <c r="A2786" s="11" t="n"/>
      <c r="B2786" s="12" t="n"/>
      <c r="C2786" s="12" t="n"/>
      <c r="D2786" s="12" t="n"/>
      <c r="E2786" s="13" t="n"/>
      <c r="F2786" s="12" t="n"/>
      <c r="G2786" s="13" t="n"/>
      <c r="H2786" s="12" t="n"/>
      <c r="I2786" s="12" t="n"/>
      <c r="J2786" s="12" t="n"/>
      <c r="K2786" s="12" t="n"/>
      <c r="L2786" s="11" t="n"/>
      <c r="M2786" s="11" t="n"/>
      <c r="N2786" s="11" t="n"/>
      <c r="O2786" s="11" t="n"/>
      <c r="P2786" s="12" t="n"/>
      <c r="Q2786" s="11" t="n"/>
      <c r="R2786" s="12" t="n"/>
      <c r="S2786" s="11" t="n"/>
      <c r="T2786" s="12" t="n"/>
      <c r="U2786" s="12" t="n"/>
      <c r="V2786" s="14">
        <f>IF($AN2786="",IF($B2786="","",$H2786),IF(INDEX(職員マスタ!$B$6:$B$405,$AN2786)="",$H2786,INDEX(職員マスタ!$B$6:$B$405,$AN2786)))</f>
        <v/>
      </c>
      <c r="W2786" s="14">
        <f>IF($AN2786="",IF($B2786="","",$R2786),IF(INDEX(職員マスタ!$C$6:$C$405,$AN2786)="",$R2786,INDEX(職員マスタ!$C$6:$C$405,$AN2786)))</f>
        <v/>
      </c>
      <c r="X2786" s="14">
        <f>IF($AO2786="","","R"&amp;$C2786&amp;"."&amp;$D2786)</f>
        <v/>
      </c>
      <c r="Y2786" s="15">
        <f>IF($AN2786="","",IF(INDEX(職員マスタ!$K$6:$K$405,$AN2786)="","",INDEX(職員マスタ!$K$6:$K$405,$AN2786)))</f>
        <v/>
      </c>
      <c r="Z2786" s="14">
        <f>IF(OR($E2786="",$Y2786=""),"",IF($E2786&gt;=$Y2786,"×",IF($E2786&gt;=$Y2786*設定!$C$5,"△","○")))</f>
        <v/>
      </c>
      <c r="AA2786" s="15">
        <f>IF($Z2786="","",IF($Z2786="×",0,IF($Z2786="○",ROUNDDOWN($E2786*設定!$C$4,0),ROUNDDOWN($E2786*ROUND((9*$Y2786-9*$E2786)/(10*$E2786),4),0))))</f>
        <v/>
      </c>
      <c r="AB2786" s="13" t="n"/>
      <c r="AC2786" s="15">
        <f>IF($B2786="","",IF($AB2786&lt;&gt;"",$AB2786,IF($AA2786="","",IF($AA2786&lt;=設定!$C$3,0,$AA2786))))</f>
        <v/>
      </c>
      <c r="AD2786" s="14">
        <f>IF($B2786="","",IF(AND($AE2786&lt;&gt;"",$AG2786="",$AJ2786=""),"保留中",IF($AJ2786&lt;&gt;"",IF(N($AC2786)&gt;0,"支給済","不支給"),IF($AC2786="","要確認",IF($AC2786=0,"不支給","未処理")))))</f>
        <v/>
      </c>
      <c r="AE2786" s="12" t="n"/>
      <c r="AF2786" s="11" t="n"/>
      <c r="AG2786" s="11" t="n"/>
      <c r="AH2786" s="11" t="n"/>
      <c r="AI2786" s="14">
        <f>IF(AND($AD2786="保留中",$AF2786&lt;&gt;""),TODAY()-$AF2786,"")</f>
        <v/>
      </c>
      <c r="AJ2786" s="12" t="n"/>
      <c r="AK2786" s="14">
        <f>IF($B2786="","",IF($AO2786="","対象年月が未入力／","")&amp;IF($B2786="","",IF($AN2786="","職員マスタに未登録の職員番号／",IF($Y2786="","標準報酬月額が未登録／","")&amp;IF(AND($AO2786&lt;&gt;"",OR(AND(INDEX(職員マスタ!$G$6:$G$405,$AN2786)&lt;&gt;"",INDEX(職員マスタ!$G$6:$G$405,$AN2786)&gt;EOMONTH($AO2786,0)),AND(INDEX(職員マスタ!$H$6:$H$405,$AN2786)&lt;&gt;"",INDEX(職員マスタ!$H$6:$H$405,$AN2786)&lt;$AO2786))),"対象月が時短期間外／","")&amp;IF(AND(INDEX(職員マスタ!$F$6:$F$405,$AN2786)&lt;&gt;"",$AO2786&lt;&gt;"",INDEX(職員マスタ!$F$6:$F$405,$AN2786)&lt;$AO2786),"対象月に子が2歳到達済／","")&amp;IF(AND($H2786&lt;&gt;"",INDEX(職員マスタ!$B$6:$B$405,$AN2786)&lt;&gt;"",SUBSTITUTE(SUBSTITUTE($H2786," ","")," ","")&lt;&gt;SUBSTITUTE(SUBSTITUTE(INDEX(職員マスタ!$B$6:$B$405,$AN2786)," ","")," ","")),"氏名がマスタと相違／","")&amp;IF(AND($Q2786&lt;&gt;"",INDEX(職員マスタ!$E$6:$E$405,$AN2786)&lt;&gt;"",$Q2786&lt;&gt;INDEX(職員マスタ!$E$6:$E$405,$AN2786)),"子の生年月日がマスタと相違／","")&amp;IF(AND($L2786&lt;&gt;"",INDEX(職員マスタ!$G$6:$G$405,$AN2786)&lt;&gt;"",$L2786&lt;&gt;INDEX(職員マスタ!$G$6:$G$405,$AN2786)),"時短開始日がマスタと相違／","")&amp;IF(AND($M2786&lt;&gt;"",INDEX(職員マスタ!$H$6:$H$405,$AN2786)&lt;&gt;"",$M2786&lt;&gt;INDEX(職員マスタ!$H$6:$H$405,$AN2786)),"時短終了日がマスタと相違／","")))&amp;IF(AND($B2786&lt;&gt;"",$E2786=""),"報酬額が未入力／","")&amp;IF(N($U2786)&gt;0,"申請書に入力エラーが残っています／","")&amp;IF(AND($B2786&lt;&gt;"",$AO2786&lt;&gt;""),IF(COUNTIFS($B$6:$B$3005,$B2786,$C$6:$C$3005,$C2786,$D$6:$D$3005,$D2786)&gt;1,"同じ月の請求が重複しています／",""),"")&amp;IF(AND(N($E2786)&gt;0,$Z2786&lt;&gt;"",$Z2786&lt;&gt;"×",$AC2786=0,$AB2786=""),"計算額が下限以下のため不支給／",""))</f>
        <v/>
      </c>
      <c r="AL2786" s="12" t="n"/>
      <c r="AM2786" s="14">
        <f>IF($AD2786="保留中",COUNTIF($AD$6:$AD2786,"保留中"),"")</f>
        <v/>
      </c>
      <c r="AN2786" s="14">
        <f>IF($AO2786="","",IF(SUMPRODUCT(MAX((職員マスタ!$A$6:$A$405=$B2786)*(((職員マスタ!$G$6:$G$405="")+(職員マスタ!$G$6:$G$405&lt;=EOMONTH($AO2786,0)))&gt;0)*(((職員マスタ!$H$6:$H$405="")+(職員マスタ!$H$6:$H$405&gt;=$AO2786))&gt;0)*(ROW(職員マスタ!$A$6:$A$405)-5)))&gt;0,SUMPRODUCT(MAX((職員マスタ!$A$6:$A$405=$B2786)*(((職員マスタ!$G$6:$G$405="")+(職員マスタ!$G$6:$G$405&lt;=EOMONTH($AO2786,0)))&gt;0)*(((職員マスタ!$H$6:$H$405="")+(職員マスタ!$H$6:$H$405&gt;=$AO2786))&gt;0)*(ROW(職員マスタ!$A$6:$A$405)-5))),IFERROR(MATCH($B2786,職員マスタ!$A$6:$A$405,0),"")))</f>
        <v/>
      </c>
      <c r="AO2786" s="16">
        <f>IF(OR($B2786="",$C2786="",$D2786=""),"",DATE($C2786+2018,$D2786,1))</f>
        <v/>
      </c>
    </row>
    <row r="2787">
      <c r="A2787" s="11" t="n"/>
      <c r="B2787" s="12" t="n"/>
      <c r="C2787" s="12" t="n"/>
      <c r="D2787" s="12" t="n"/>
      <c r="E2787" s="13" t="n"/>
      <c r="F2787" s="12" t="n"/>
      <c r="G2787" s="13" t="n"/>
      <c r="H2787" s="12" t="n"/>
      <c r="I2787" s="12" t="n"/>
      <c r="J2787" s="12" t="n"/>
      <c r="K2787" s="12" t="n"/>
      <c r="L2787" s="11" t="n"/>
      <c r="M2787" s="11" t="n"/>
      <c r="N2787" s="11" t="n"/>
      <c r="O2787" s="11" t="n"/>
      <c r="P2787" s="12" t="n"/>
      <c r="Q2787" s="11" t="n"/>
      <c r="R2787" s="12" t="n"/>
      <c r="S2787" s="11" t="n"/>
      <c r="T2787" s="12" t="n"/>
      <c r="U2787" s="12" t="n"/>
      <c r="V2787" s="14">
        <f>IF($AN2787="",IF($B2787="","",$H2787),IF(INDEX(職員マスタ!$B$6:$B$405,$AN2787)="",$H2787,INDEX(職員マスタ!$B$6:$B$405,$AN2787)))</f>
        <v/>
      </c>
      <c r="W2787" s="14">
        <f>IF($AN2787="",IF($B2787="","",$R2787),IF(INDEX(職員マスタ!$C$6:$C$405,$AN2787)="",$R2787,INDEX(職員マスタ!$C$6:$C$405,$AN2787)))</f>
        <v/>
      </c>
      <c r="X2787" s="14">
        <f>IF($AO2787="","","R"&amp;$C2787&amp;"."&amp;$D2787)</f>
        <v/>
      </c>
      <c r="Y2787" s="15">
        <f>IF($AN2787="","",IF(INDEX(職員マスタ!$K$6:$K$405,$AN2787)="","",INDEX(職員マスタ!$K$6:$K$405,$AN2787)))</f>
        <v/>
      </c>
      <c r="Z2787" s="14">
        <f>IF(OR($E2787="",$Y2787=""),"",IF($E2787&gt;=$Y2787,"×",IF($E2787&gt;=$Y2787*設定!$C$5,"△","○")))</f>
        <v/>
      </c>
      <c r="AA2787" s="15">
        <f>IF($Z2787="","",IF($Z2787="×",0,IF($Z2787="○",ROUNDDOWN($E2787*設定!$C$4,0),ROUNDDOWN($E2787*ROUND((9*$Y2787-9*$E2787)/(10*$E2787),4),0))))</f>
        <v/>
      </c>
      <c r="AB2787" s="13" t="n"/>
      <c r="AC2787" s="15">
        <f>IF($B2787="","",IF($AB2787&lt;&gt;"",$AB2787,IF($AA2787="","",IF($AA2787&lt;=設定!$C$3,0,$AA2787))))</f>
        <v/>
      </c>
      <c r="AD2787" s="14">
        <f>IF($B2787="","",IF(AND($AE2787&lt;&gt;"",$AG2787="",$AJ2787=""),"保留中",IF($AJ2787&lt;&gt;"",IF(N($AC2787)&gt;0,"支給済","不支給"),IF($AC2787="","要確認",IF($AC2787=0,"不支給","未処理")))))</f>
        <v/>
      </c>
      <c r="AE2787" s="12" t="n"/>
      <c r="AF2787" s="11" t="n"/>
      <c r="AG2787" s="11" t="n"/>
      <c r="AH2787" s="11" t="n"/>
      <c r="AI2787" s="14">
        <f>IF(AND($AD2787="保留中",$AF2787&lt;&gt;""),TODAY()-$AF2787,"")</f>
        <v/>
      </c>
      <c r="AJ2787" s="12" t="n"/>
      <c r="AK2787" s="14">
        <f>IF($B2787="","",IF($AO2787="","対象年月が未入力／","")&amp;IF($B2787="","",IF($AN2787="","職員マスタに未登録の職員番号／",IF($Y2787="","標準報酬月額が未登録／","")&amp;IF(AND($AO2787&lt;&gt;"",OR(AND(INDEX(職員マスタ!$G$6:$G$405,$AN2787)&lt;&gt;"",INDEX(職員マスタ!$G$6:$G$405,$AN2787)&gt;EOMONTH($AO2787,0)),AND(INDEX(職員マスタ!$H$6:$H$405,$AN2787)&lt;&gt;"",INDEX(職員マスタ!$H$6:$H$405,$AN2787)&lt;$AO2787))),"対象月が時短期間外／","")&amp;IF(AND(INDEX(職員マスタ!$F$6:$F$405,$AN2787)&lt;&gt;"",$AO2787&lt;&gt;"",INDEX(職員マスタ!$F$6:$F$405,$AN2787)&lt;$AO2787),"対象月に子が2歳到達済／","")&amp;IF(AND($H2787&lt;&gt;"",INDEX(職員マスタ!$B$6:$B$405,$AN2787)&lt;&gt;"",SUBSTITUTE(SUBSTITUTE($H2787," ","")," ","")&lt;&gt;SUBSTITUTE(SUBSTITUTE(INDEX(職員マスタ!$B$6:$B$405,$AN2787)," ","")," ","")),"氏名がマスタと相違／","")&amp;IF(AND($Q2787&lt;&gt;"",INDEX(職員マスタ!$E$6:$E$405,$AN2787)&lt;&gt;"",$Q2787&lt;&gt;INDEX(職員マスタ!$E$6:$E$405,$AN2787)),"子の生年月日がマスタと相違／","")&amp;IF(AND($L2787&lt;&gt;"",INDEX(職員マスタ!$G$6:$G$405,$AN2787)&lt;&gt;"",$L2787&lt;&gt;INDEX(職員マスタ!$G$6:$G$405,$AN2787)),"時短開始日がマスタと相違／","")&amp;IF(AND($M2787&lt;&gt;"",INDEX(職員マスタ!$H$6:$H$405,$AN2787)&lt;&gt;"",$M2787&lt;&gt;INDEX(職員マスタ!$H$6:$H$405,$AN2787)),"時短終了日がマスタと相違／","")))&amp;IF(AND($B2787&lt;&gt;"",$E2787=""),"報酬額が未入力／","")&amp;IF(N($U2787)&gt;0,"申請書に入力エラーが残っています／","")&amp;IF(AND($B2787&lt;&gt;"",$AO2787&lt;&gt;""),IF(COUNTIFS($B$6:$B$3005,$B2787,$C$6:$C$3005,$C2787,$D$6:$D$3005,$D2787)&gt;1,"同じ月の請求が重複しています／",""),"")&amp;IF(AND(N($E2787)&gt;0,$Z2787&lt;&gt;"",$Z2787&lt;&gt;"×",$AC2787=0,$AB2787=""),"計算額が下限以下のため不支給／",""))</f>
        <v/>
      </c>
      <c r="AL2787" s="12" t="n"/>
      <c r="AM2787" s="14">
        <f>IF($AD2787="保留中",COUNTIF($AD$6:$AD2787,"保留中"),"")</f>
        <v/>
      </c>
      <c r="AN2787" s="14">
        <f>IF($AO2787="","",IF(SUMPRODUCT(MAX((職員マスタ!$A$6:$A$405=$B2787)*(((職員マスタ!$G$6:$G$405="")+(職員マスタ!$G$6:$G$405&lt;=EOMONTH($AO2787,0)))&gt;0)*(((職員マスタ!$H$6:$H$405="")+(職員マスタ!$H$6:$H$405&gt;=$AO2787))&gt;0)*(ROW(職員マスタ!$A$6:$A$405)-5)))&gt;0,SUMPRODUCT(MAX((職員マスタ!$A$6:$A$405=$B2787)*(((職員マスタ!$G$6:$G$405="")+(職員マスタ!$G$6:$G$405&lt;=EOMONTH($AO2787,0)))&gt;0)*(((職員マスタ!$H$6:$H$405="")+(職員マスタ!$H$6:$H$405&gt;=$AO2787))&gt;0)*(ROW(職員マスタ!$A$6:$A$405)-5))),IFERROR(MATCH($B2787,職員マスタ!$A$6:$A$405,0),"")))</f>
        <v/>
      </c>
      <c r="AO2787" s="16">
        <f>IF(OR($B2787="",$C2787="",$D2787=""),"",DATE($C2787+2018,$D2787,1))</f>
        <v/>
      </c>
    </row>
    <row r="2788">
      <c r="A2788" s="11" t="n"/>
      <c r="B2788" s="12" t="n"/>
      <c r="C2788" s="12" t="n"/>
      <c r="D2788" s="12" t="n"/>
      <c r="E2788" s="13" t="n"/>
      <c r="F2788" s="12" t="n"/>
      <c r="G2788" s="13" t="n"/>
      <c r="H2788" s="12" t="n"/>
      <c r="I2788" s="12" t="n"/>
      <c r="J2788" s="12" t="n"/>
      <c r="K2788" s="12" t="n"/>
      <c r="L2788" s="11" t="n"/>
      <c r="M2788" s="11" t="n"/>
      <c r="N2788" s="11" t="n"/>
      <c r="O2788" s="11" t="n"/>
      <c r="P2788" s="12" t="n"/>
      <c r="Q2788" s="11" t="n"/>
      <c r="R2788" s="12" t="n"/>
      <c r="S2788" s="11" t="n"/>
      <c r="T2788" s="12" t="n"/>
      <c r="U2788" s="12" t="n"/>
      <c r="V2788" s="14">
        <f>IF($AN2788="",IF($B2788="","",$H2788),IF(INDEX(職員マスタ!$B$6:$B$405,$AN2788)="",$H2788,INDEX(職員マスタ!$B$6:$B$405,$AN2788)))</f>
        <v/>
      </c>
      <c r="W2788" s="14">
        <f>IF($AN2788="",IF($B2788="","",$R2788),IF(INDEX(職員マスタ!$C$6:$C$405,$AN2788)="",$R2788,INDEX(職員マスタ!$C$6:$C$405,$AN2788)))</f>
        <v/>
      </c>
      <c r="X2788" s="14">
        <f>IF($AO2788="","","R"&amp;$C2788&amp;"."&amp;$D2788)</f>
        <v/>
      </c>
      <c r="Y2788" s="15">
        <f>IF($AN2788="","",IF(INDEX(職員マスタ!$K$6:$K$405,$AN2788)="","",INDEX(職員マスタ!$K$6:$K$405,$AN2788)))</f>
        <v/>
      </c>
      <c r="Z2788" s="14">
        <f>IF(OR($E2788="",$Y2788=""),"",IF($E2788&gt;=$Y2788,"×",IF($E2788&gt;=$Y2788*設定!$C$5,"△","○")))</f>
        <v/>
      </c>
      <c r="AA2788" s="15">
        <f>IF($Z2788="","",IF($Z2788="×",0,IF($Z2788="○",ROUNDDOWN($E2788*設定!$C$4,0),ROUNDDOWN($E2788*ROUND((9*$Y2788-9*$E2788)/(10*$E2788),4),0))))</f>
        <v/>
      </c>
      <c r="AB2788" s="13" t="n"/>
      <c r="AC2788" s="15">
        <f>IF($B2788="","",IF($AB2788&lt;&gt;"",$AB2788,IF($AA2788="","",IF($AA2788&lt;=設定!$C$3,0,$AA2788))))</f>
        <v/>
      </c>
      <c r="AD2788" s="14">
        <f>IF($B2788="","",IF(AND($AE2788&lt;&gt;"",$AG2788="",$AJ2788=""),"保留中",IF($AJ2788&lt;&gt;"",IF(N($AC2788)&gt;0,"支給済","不支給"),IF($AC2788="","要確認",IF($AC2788=0,"不支給","未処理")))))</f>
        <v/>
      </c>
      <c r="AE2788" s="12" t="n"/>
      <c r="AF2788" s="11" t="n"/>
      <c r="AG2788" s="11" t="n"/>
      <c r="AH2788" s="11" t="n"/>
      <c r="AI2788" s="14">
        <f>IF(AND($AD2788="保留中",$AF2788&lt;&gt;""),TODAY()-$AF2788,"")</f>
        <v/>
      </c>
      <c r="AJ2788" s="12" t="n"/>
      <c r="AK2788" s="14">
        <f>IF($B2788="","",IF($AO2788="","対象年月が未入力／","")&amp;IF($B2788="","",IF($AN2788="","職員マスタに未登録の職員番号／",IF($Y2788="","標準報酬月額が未登録／","")&amp;IF(AND($AO2788&lt;&gt;"",OR(AND(INDEX(職員マスタ!$G$6:$G$405,$AN2788)&lt;&gt;"",INDEX(職員マスタ!$G$6:$G$405,$AN2788)&gt;EOMONTH($AO2788,0)),AND(INDEX(職員マスタ!$H$6:$H$405,$AN2788)&lt;&gt;"",INDEX(職員マスタ!$H$6:$H$405,$AN2788)&lt;$AO2788))),"対象月が時短期間外／","")&amp;IF(AND(INDEX(職員マスタ!$F$6:$F$405,$AN2788)&lt;&gt;"",$AO2788&lt;&gt;"",INDEX(職員マスタ!$F$6:$F$405,$AN2788)&lt;$AO2788),"対象月に子が2歳到達済／","")&amp;IF(AND($H2788&lt;&gt;"",INDEX(職員マスタ!$B$6:$B$405,$AN2788)&lt;&gt;"",SUBSTITUTE(SUBSTITUTE($H2788," ","")," ","")&lt;&gt;SUBSTITUTE(SUBSTITUTE(INDEX(職員マスタ!$B$6:$B$405,$AN2788)," ","")," ","")),"氏名がマスタと相違／","")&amp;IF(AND($Q2788&lt;&gt;"",INDEX(職員マスタ!$E$6:$E$405,$AN2788)&lt;&gt;"",$Q2788&lt;&gt;INDEX(職員マスタ!$E$6:$E$405,$AN2788)),"子の生年月日がマスタと相違／","")&amp;IF(AND($L2788&lt;&gt;"",INDEX(職員マスタ!$G$6:$G$405,$AN2788)&lt;&gt;"",$L2788&lt;&gt;INDEX(職員マスタ!$G$6:$G$405,$AN2788)),"時短開始日がマスタと相違／","")&amp;IF(AND($M2788&lt;&gt;"",INDEX(職員マスタ!$H$6:$H$405,$AN2788)&lt;&gt;"",$M2788&lt;&gt;INDEX(職員マスタ!$H$6:$H$405,$AN2788)),"時短終了日がマスタと相違／","")))&amp;IF(AND($B2788&lt;&gt;"",$E2788=""),"報酬額が未入力／","")&amp;IF(N($U2788)&gt;0,"申請書に入力エラーが残っています／","")&amp;IF(AND($B2788&lt;&gt;"",$AO2788&lt;&gt;""),IF(COUNTIFS($B$6:$B$3005,$B2788,$C$6:$C$3005,$C2788,$D$6:$D$3005,$D2788)&gt;1,"同じ月の請求が重複しています／",""),"")&amp;IF(AND(N($E2788)&gt;0,$Z2788&lt;&gt;"",$Z2788&lt;&gt;"×",$AC2788=0,$AB2788=""),"計算額が下限以下のため不支給／",""))</f>
        <v/>
      </c>
      <c r="AL2788" s="12" t="n"/>
      <c r="AM2788" s="14">
        <f>IF($AD2788="保留中",COUNTIF($AD$6:$AD2788,"保留中"),"")</f>
        <v/>
      </c>
      <c r="AN2788" s="14">
        <f>IF($AO2788="","",IF(SUMPRODUCT(MAX((職員マスタ!$A$6:$A$405=$B2788)*(((職員マスタ!$G$6:$G$405="")+(職員マスタ!$G$6:$G$405&lt;=EOMONTH($AO2788,0)))&gt;0)*(((職員マスタ!$H$6:$H$405="")+(職員マスタ!$H$6:$H$405&gt;=$AO2788))&gt;0)*(ROW(職員マスタ!$A$6:$A$405)-5)))&gt;0,SUMPRODUCT(MAX((職員マスタ!$A$6:$A$405=$B2788)*(((職員マスタ!$G$6:$G$405="")+(職員マスタ!$G$6:$G$405&lt;=EOMONTH($AO2788,0)))&gt;0)*(((職員マスタ!$H$6:$H$405="")+(職員マスタ!$H$6:$H$405&gt;=$AO2788))&gt;0)*(ROW(職員マスタ!$A$6:$A$405)-5))),IFERROR(MATCH($B2788,職員マスタ!$A$6:$A$405,0),"")))</f>
        <v/>
      </c>
      <c r="AO2788" s="16">
        <f>IF(OR($B2788="",$C2788="",$D2788=""),"",DATE($C2788+2018,$D2788,1))</f>
        <v/>
      </c>
    </row>
    <row r="2789">
      <c r="A2789" s="11" t="n"/>
      <c r="B2789" s="12" t="n"/>
      <c r="C2789" s="12" t="n"/>
      <c r="D2789" s="12" t="n"/>
      <c r="E2789" s="13" t="n"/>
      <c r="F2789" s="12" t="n"/>
      <c r="G2789" s="13" t="n"/>
      <c r="H2789" s="12" t="n"/>
      <c r="I2789" s="12" t="n"/>
      <c r="J2789" s="12" t="n"/>
      <c r="K2789" s="12" t="n"/>
      <c r="L2789" s="11" t="n"/>
      <c r="M2789" s="11" t="n"/>
      <c r="N2789" s="11" t="n"/>
      <c r="O2789" s="11" t="n"/>
      <c r="P2789" s="12" t="n"/>
      <c r="Q2789" s="11" t="n"/>
      <c r="R2789" s="12" t="n"/>
      <c r="S2789" s="11" t="n"/>
      <c r="T2789" s="12" t="n"/>
      <c r="U2789" s="12" t="n"/>
      <c r="V2789" s="14">
        <f>IF($AN2789="",IF($B2789="","",$H2789),IF(INDEX(職員マスタ!$B$6:$B$405,$AN2789)="",$H2789,INDEX(職員マスタ!$B$6:$B$405,$AN2789)))</f>
        <v/>
      </c>
      <c r="W2789" s="14">
        <f>IF($AN2789="",IF($B2789="","",$R2789),IF(INDEX(職員マスタ!$C$6:$C$405,$AN2789)="",$R2789,INDEX(職員マスタ!$C$6:$C$405,$AN2789)))</f>
        <v/>
      </c>
      <c r="X2789" s="14">
        <f>IF($AO2789="","","R"&amp;$C2789&amp;"."&amp;$D2789)</f>
        <v/>
      </c>
      <c r="Y2789" s="15">
        <f>IF($AN2789="","",IF(INDEX(職員マスタ!$K$6:$K$405,$AN2789)="","",INDEX(職員マスタ!$K$6:$K$405,$AN2789)))</f>
        <v/>
      </c>
      <c r="Z2789" s="14">
        <f>IF(OR($E2789="",$Y2789=""),"",IF($E2789&gt;=$Y2789,"×",IF($E2789&gt;=$Y2789*設定!$C$5,"△","○")))</f>
        <v/>
      </c>
      <c r="AA2789" s="15">
        <f>IF($Z2789="","",IF($Z2789="×",0,IF($Z2789="○",ROUNDDOWN($E2789*設定!$C$4,0),ROUNDDOWN($E2789*ROUND((9*$Y2789-9*$E2789)/(10*$E2789),4),0))))</f>
        <v/>
      </c>
      <c r="AB2789" s="13" t="n"/>
      <c r="AC2789" s="15">
        <f>IF($B2789="","",IF($AB2789&lt;&gt;"",$AB2789,IF($AA2789="","",IF($AA2789&lt;=設定!$C$3,0,$AA2789))))</f>
        <v/>
      </c>
      <c r="AD2789" s="14">
        <f>IF($B2789="","",IF(AND($AE2789&lt;&gt;"",$AG2789="",$AJ2789=""),"保留中",IF($AJ2789&lt;&gt;"",IF(N($AC2789)&gt;0,"支給済","不支給"),IF($AC2789="","要確認",IF($AC2789=0,"不支給","未処理")))))</f>
        <v/>
      </c>
      <c r="AE2789" s="12" t="n"/>
      <c r="AF2789" s="11" t="n"/>
      <c r="AG2789" s="11" t="n"/>
      <c r="AH2789" s="11" t="n"/>
      <c r="AI2789" s="14">
        <f>IF(AND($AD2789="保留中",$AF2789&lt;&gt;""),TODAY()-$AF2789,"")</f>
        <v/>
      </c>
      <c r="AJ2789" s="12" t="n"/>
      <c r="AK2789" s="14">
        <f>IF($B2789="","",IF($AO2789="","対象年月が未入力／","")&amp;IF($B2789="","",IF($AN2789="","職員マスタに未登録の職員番号／",IF($Y2789="","標準報酬月額が未登録／","")&amp;IF(AND($AO2789&lt;&gt;"",OR(AND(INDEX(職員マスタ!$G$6:$G$405,$AN2789)&lt;&gt;"",INDEX(職員マスタ!$G$6:$G$405,$AN2789)&gt;EOMONTH($AO2789,0)),AND(INDEX(職員マスタ!$H$6:$H$405,$AN2789)&lt;&gt;"",INDEX(職員マスタ!$H$6:$H$405,$AN2789)&lt;$AO2789))),"対象月が時短期間外／","")&amp;IF(AND(INDEX(職員マスタ!$F$6:$F$405,$AN2789)&lt;&gt;"",$AO2789&lt;&gt;"",INDEX(職員マスタ!$F$6:$F$405,$AN2789)&lt;$AO2789),"対象月に子が2歳到達済／","")&amp;IF(AND($H2789&lt;&gt;"",INDEX(職員マスタ!$B$6:$B$405,$AN2789)&lt;&gt;"",SUBSTITUTE(SUBSTITUTE($H2789," ","")," ","")&lt;&gt;SUBSTITUTE(SUBSTITUTE(INDEX(職員マスタ!$B$6:$B$405,$AN2789)," ","")," ","")),"氏名がマスタと相違／","")&amp;IF(AND($Q2789&lt;&gt;"",INDEX(職員マスタ!$E$6:$E$405,$AN2789)&lt;&gt;"",$Q2789&lt;&gt;INDEX(職員マスタ!$E$6:$E$405,$AN2789)),"子の生年月日がマスタと相違／","")&amp;IF(AND($L2789&lt;&gt;"",INDEX(職員マスタ!$G$6:$G$405,$AN2789)&lt;&gt;"",$L2789&lt;&gt;INDEX(職員マスタ!$G$6:$G$405,$AN2789)),"時短開始日がマスタと相違／","")&amp;IF(AND($M2789&lt;&gt;"",INDEX(職員マスタ!$H$6:$H$405,$AN2789)&lt;&gt;"",$M2789&lt;&gt;INDEX(職員マスタ!$H$6:$H$405,$AN2789)),"時短終了日がマスタと相違／","")))&amp;IF(AND($B2789&lt;&gt;"",$E2789=""),"報酬額が未入力／","")&amp;IF(N($U2789)&gt;0,"申請書に入力エラーが残っています／","")&amp;IF(AND($B2789&lt;&gt;"",$AO2789&lt;&gt;""),IF(COUNTIFS($B$6:$B$3005,$B2789,$C$6:$C$3005,$C2789,$D$6:$D$3005,$D2789)&gt;1,"同じ月の請求が重複しています／",""),"")&amp;IF(AND(N($E2789)&gt;0,$Z2789&lt;&gt;"",$Z2789&lt;&gt;"×",$AC2789=0,$AB2789=""),"計算額が下限以下のため不支給／",""))</f>
        <v/>
      </c>
      <c r="AL2789" s="12" t="n"/>
      <c r="AM2789" s="14">
        <f>IF($AD2789="保留中",COUNTIF($AD$6:$AD2789,"保留中"),"")</f>
        <v/>
      </c>
      <c r="AN2789" s="14">
        <f>IF($AO2789="","",IF(SUMPRODUCT(MAX((職員マスタ!$A$6:$A$405=$B2789)*(((職員マスタ!$G$6:$G$405="")+(職員マスタ!$G$6:$G$405&lt;=EOMONTH($AO2789,0)))&gt;0)*(((職員マスタ!$H$6:$H$405="")+(職員マスタ!$H$6:$H$405&gt;=$AO2789))&gt;0)*(ROW(職員マスタ!$A$6:$A$405)-5)))&gt;0,SUMPRODUCT(MAX((職員マスタ!$A$6:$A$405=$B2789)*(((職員マスタ!$G$6:$G$405="")+(職員マスタ!$G$6:$G$405&lt;=EOMONTH($AO2789,0)))&gt;0)*(((職員マスタ!$H$6:$H$405="")+(職員マスタ!$H$6:$H$405&gt;=$AO2789))&gt;0)*(ROW(職員マスタ!$A$6:$A$405)-5))),IFERROR(MATCH($B2789,職員マスタ!$A$6:$A$405,0),"")))</f>
        <v/>
      </c>
      <c r="AO2789" s="16">
        <f>IF(OR($B2789="",$C2789="",$D2789=""),"",DATE($C2789+2018,$D2789,1))</f>
        <v/>
      </c>
    </row>
    <row r="2790">
      <c r="A2790" s="11" t="n"/>
      <c r="B2790" s="12" t="n"/>
      <c r="C2790" s="12" t="n"/>
      <c r="D2790" s="12" t="n"/>
      <c r="E2790" s="13" t="n"/>
      <c r="F2790" s="12" t="n"/>
      <c r="G2790" s="13" t="n"/>
      <c r="H2790" s="12" t="n"/>
      <c r="I2790" s="12" t="n"/>
      <c r="J2790" s="12" t="n"/>
      <c r="K2790" s="12" t="n"/>
      <c r="L2790" s="11" t="n"/>
      <c r="M2790" s="11" t="n"/>
      <c r="N2790" s="11" t="n"/>
      <c r="O2790" s="11" t="n"/>
      <c r="P2790" s="12" t="n"/>
      <c r="Q2790" s="11" t="n"/>
      <c r="R2790" s="12" t="n"/>
      <c r="S2790" s="11" t="n"/>
      <c r="T2790" s="12" t="n"/>
      <c r="U2790" s="12" t="n"/>
      <c r="V2790" s="14">
        <f>IF($AN2790="",IF($B2790="","",$H2790),IF(INDEX(職員マスタ!$B$6:$B$405,$AN2790)="",$H2790,INDEX(職員マスタ!$B$6:$B$405,$AN2790)))</f>
        <v/>
      </c>
      <c r="W2790" s="14">
        <f>IF($AN2790="",IF($B2790="","",$R2790),IF(INDEX(職員マスタ!$C$6:$C$405,$AN2790)="",$R2790,INDEX(職員マスタ!$C$6:$C$405,$AN2790)))</f>
        <v/>
      </c>
      <c r="X2790" s="14">
        <f>IF($AO2790="","","R"&amp;$C2790&amp;"."&amp;$D2790)</f>
        <v/>
      </c>
      <c r="Y2790" s="15">
        <f>IF($AN2790="","",IF(INDEX(職員マスタ!$K$6:$K$405,$AN2790)="","",INDEX(職員マスタ!$K$6:$K$405,$AN2790)))</f>
        <v/>
      </c>
      <c r="Z2790" s="14">
        <f>IF(OR($E2790="",$Y2790=""),"",IF($E2790&gt;=$Y2790,"×",IF($E2790&gt;=$Y2790*設定!$C$5,"△","○")))</f>
        <v/>
      </c>
      <c r="AA2790" s="15">
        <f>IF($Z2790="","",IF($Z2790="×",0,IF($Z2790="○",ROUNDDOWN($E2790*設定!$C$4,0),ROUNDDOWN($E2790*ROUND((9*$Y2790-9*$E2790)/(10*$E2790),4),0))))</f>
        <v/>
      </c>
      <c r="AB2790" s="13" t="n"/>
      <c r="AC2790" s="15">
        <f>IF($B2790="","",IF($AB2790&lt;&gt;"",$AB2790,IF($AA2790="","",IF($AA2790&lt;=設定!$C$3,0,$AA2790))))</f>
        <v/>
      </c>
      <c r="AD2790" s="14">
        <f>IF($B2790="","",IF(AND($AE2790&lt;&gt;"",$AG2790="",$AJ2790=""),"保留中",IF($AJ2790&lt;&gt;"",IF(N($AC2790)&gt;0,"支給済","不支給"),IF($AC2790="","要確認",IF($AC2790=0,"不支給","未処理")))))</f>
        <v/>
      </c>
      <c r="AE2790" s="12" t="n"/>
      <c r="AF2790" s="11" t="n"/>
      <c r="AG2790" s="11" t="n"/>
      <c r="AH2790" s="11" t="n"/>
      <c r="AI2790" s="14">
        <f>IF(AND($AD2790="保留中",$AF2790&lt;&gt;""),TODAY()-$AF2790,"")</f>
        <v/>
      </c>
      <c r="AJ2790" s="12" t="n"/>
      <c r="AK2790" s="14">
        <f>IF($B2790="","",IF($AO2790="","対象年月が未入力／","")&amp;IF($B2790="","",IF($AN2790="","職員マスタに未登録の職員番号／",IF($Y2790="","標準報酬月額が未登録／","")&amp;IF(AND($AO2790&lt;&gt;"",OR(AND(INDEX(職員マスタ!$G$6:$G$405,$AN2790)&lt;&gt;"",INDEX(職員マスタ!$G$6:$G$405,$AN2790)&gt;EOMONTH($AO2790,0)),AND(INDEX(職員マスタ!$H$6:$H$405,$AN2790)&lt;&gt;"",INDEX(職員マスタ!$H$6:$H$405,$AN2790)&lt;$AO2790))),"対象月が時短期間外／","")&amp;IF(AND(INDEX(職員マスタ!$F$6:$F$405,$AN2790)&lt;&gt;"",$AO2790&lt;&gt;"",INDEX(職員マスタ!$F$6:$F$405,$AN2790)&lt;$AO2790),"対象月に子が2歳到達済／","")&amp;IF(AND($H2790&lt;&gt;"",INDEX(職員マスタ!$B$6:$B$405,$AN2790)&lt;&gt;"",SUBSTITUTE(SUBSTITUTE($H2790," ","")," ","")&lt;&gt;SUBSTITUTE(SUBSTITUTE(INDEX(職員マスタ!$B$6:$B$405,$AN2790)," ","")," ","")),"氏名がマスタと相違／","")&amp;IF(AND($Q2790&lt;&gt;"",INDEX(職員マスタ!$E$6:$E$405,$AN2790)&lt;&gt;"",$Q2790&lt;&gt;INDEX(職員マスタ!$E$6:$E$405,$AN2790)),"子の生年月日がマスタと相違／","")&amp;IF(AND($L2790&lt;&gt;"",INDEX(職員マスタ!$G$6:$G$405,$AN2790)&lt;&gt;"",$L2790&lt;&gt;INDEX(職員マスタ!$G$6:$G$405,$AN2790)),"時短開始日がマスタと相違／","")&amp;IF(AND($M2790&lt;&gt;"",INDEX(職員マスタ!$H$6:$H$405,$AN2790)&lt;&gt;"",$M2790&lt;&gt;INDEX(職員マスタ!$H$6:$H$405,$AN2790)),"時短終了日がマスタと相違／","")))&amp;IF(AND($B2790&lt;&gt;"",$E2790=""),"報酬額が未入力／","")&amp;IF(N($U2790)&gt;0,"申請書に入力エラーが残っています／","")&amp;IF(AND($B2790&lt;&gt;"",$AO2790&lt;&gt;""),IF(COUNTIFS($B$6:$B$3005,$B2790,$C$6:$C$3005,$C2790,$D$6:$D$3005,$D2790)&gt;1,"同じ月の請求が重複しています／",""),"")&amp;IF(AND(N($E2790)&gt;0,$Z2790&lt;&gt;"",$Z2790&lt;&gt;"×",$AC2790=0,$AB2790=""),"計算額が下限以下のため不支給／",""))</f>
        <v/>
      </c>
      <c r="AL2790" s="12" t="n"/>
      <c r="AM2790" s="14">
        <f>IF($AD2790="保留中",COUNTIF($AD$6:$AD2790,"保留中"),"")</f>
        <v/>
      </c>
      <c r="AN2790" s="14">
        <f>IF($AO2790="","",IF(SUMPRODUCT(MAX((職員マスタ!$A$6:$A$405=$B2790)*(((職員マスタ!$G$6:$G$405="")+(職員マスタ!$G$6:$G$405&lt;=EOMONTH($AO2790,0)))&gt;0)*(((職員マスタ!$H$6:$H$405="")+(職員マスタ!$H$6:$H$405&gt;=$AO2790))&gt;0)*(ROW(職員マスタ!$A$6:$A$405)-5)))&gt;0,SUMPRODUCT(MAX((職員マスタ!$A$6:$A$405=$B2790)*(((職員マスタ!$G$6:$G$405="")+(職員マスタ!$G$6:$G$405&lt;=EOMONTH($AO2790,0)))&gt;0)*(((職員マスタ!$H$6:$H$405="")+(職員マスタ!$H$6:$H$405&gt;=$AO2790))&gt;0)*(ROW(職員マスタ!$A$6:$A$405)-5))),IFERROR(MATCH($B2790,職員マスタ!$A$6:$A$405,0),"")))</f>
        <v/>
      </c>
      <c r="AO2790" s="16">
        <f>IF(OR($B2790="",$C2790="",$D2790=""),"",DATE($C2790+2018,$D2790,1))</f>
        <v/>
      </c>
    </row>
    <row r="2791">
      <c r="A2791" s="11" t="n"/>
      <c r="B2791" s="12" t="n"/>
      <c r="C2791" s="12" t="n"/>
      <c r="D2791" s="12" t="n"/>
      <c r="E2791" s="13" t="n"/>
      <c r="F2791" s="12" t="n"/>
      <c r="G2791" s="13" t="n"/>
      <c r="H2791" s="12" t="n"/>
      <c r="I2791" s="12" t="n"/>
      <c r="J2791" s="12" t="n"/>
      <c r="K2791" s="12" t="n"/>
      <c r="L2791" s="11" t="n"/>
      <c r="M2791" s="11" t="n"/>
      <c r="N2791" s="11" t="n"/>
      <c r="O2791" s="11" t="n"/>
      <c r="P2791" s="12" t="n"/>
      <c r="Q2791" s="11" t="n"/>
      <c r="R2791" s="12" t="n"/>
      <c r="S2791" s="11" t="n"/>
      <c r="T2791" s="12" t="n"/>
      <c r="U2791" s="12" t="n"/>
      <c r="V2791" s="14">
        <f>IF($AN2791="",IF($B2791="","",$H2791),IF(INDEX(職員マスタ!$B$6:$B$405,$AN2791)="",$H2791,INDEX(職員マスタ!$B$6:$B$405,$AN2791)))</f>
        <v/>
      </c>
      <c r="W2791" s="14">
        <f>IF($AN2791="",IF($B2791="","",$R2791),IF(INDEX(職員マスタ!$C$6:$C$405,$AN2791)="",$R2791,INDEX(職員マスタ!$C$6:$C$405,$AN2791)))</f>
        <v/>
      </c>
      <c r="X2791" s="14">
        <f>IF($AO2791="","","R"&amp;$C2791&amp;"."&amp;$D2791)</f>
        <v/>
      </c>
      <c r="Y2791" s="15">
        <f>IF($AN2791="","",IF(INDEX(職員マスタ!$K$6:$K$405,$AN2791)="","",INDEX(職員マスタ!$K$6:$K$405,$AN2791)))</f>
        <v/>
      </c>
      <c r="Z2791" s="14">
        <f>IF(OR($E2791="",$Y2791=""),"",IF($E2791&gt;=$Y2791,"×",IF($E2791&gt;=$Y2791*設定!$C$5,"△","○")))</f>
        <v/>
      </c>
      <c r="AA2791" s="15">
        <f>IF($Z2791="","",IF($Z2791="×",0,IF($Z2791="○",ROUNDDOWN($E2791*設定!$C$4,0),ROUNDDOWN($E2791*ROUND((9*$Y2791-9*$E2791)/(10*$E2791),4),0))))</f>
        <v/>
      </c>
      <c r="AB2791" s="13" t="n"/>
      <c r="AC2791" s="15">
        <f>IF($B2791="","",IF($AB2791&lt;&gt;"",$AB2791,IF($AA2791="","",IF($AA2791&lt;=設定!$C$3,0,$AA2791))))</f>
        <v/>
      </c>
      <c r="AD2791" s="14">
        <f>IF($B2791="","",IF(AND($AE2791&lt;&gt;"",$AG2791="",$AJ2791=""),"保留中",IF($AJ2791&lt;&gt;"",IF(N($AC2791)&gt;0,"支給済","不支給"),IF($AC2791="","要確認",IF($AC2791=0,"不支給","未処理")))))</f>
        <v/>
      </c>
      <c r="AE2791" s="12" t="n"/>
      <c r="AF2791" s="11" t="n"/>
      <c r="AG2791" s="11" t="n"/>
      <c r="AH2791" s="11" t="n"/>
      <c r="AI2791" s="14">
        <f>IF(AND($AD2791="保留中",$AF2791&lt;&gt;""),TODAY()-$AF2791,"")</f>
        <v/>
      </c>
      <c r="AJ2791" s="12" t="n"/>
      <c r="AK2791" s="14">
        <f>IF($B2791="","",IF($AO2791="","対象年月が未入力／","")&amp;IF($B2791="","",IF($AN2791="","職員マスタに未登録の職員番号／",IF($Y2791="","標準報酬月額が未登録／","")&amp;IF(AND($AO2791&lt;&gt;"",OR(AND(INDEX(職員マスタ!$G$6:$G$405,$AN2791)&lt;&gt;"",INDEX(職員マスタ!$G$6:$G$405,$AN2791)&gt;EOMONTH($AO2791,0)),AND(INDEX(職員マスタ!$H$6:$H$405,$AN2791)&lt;&gt;"",INDEX(職員マスタ!$H$6:$H$405,$AN2791)&lt;$AO2791))),"対象月が時短期間外／","")&amp;IF(AND(INDEX(職員マスタ!$F$6:$F$405,$AN2791)&lt;&gt;"",$AO2791&lt;&gt;"",INDEX(職員マスタ!$F$6:$F$405,$AN2791)&lt;$AO2791),"対象月に子が2歳到達済／","")&amp;IF(AND($H2791&lt;&gt;"",INDEX(職員マスタ!$B$6:$B$405,$AN2791)&lt;&gt;"",SUBSTITUTE(SUBSTITUTE($H2791," ","")," ","")&lt;&gt;SUBSTITUTE(SUBSTITUTE(INDEX(職員マスタ!$B$6:$B$405,$AN2791)," ","")," ","")),"氏名がマスタと相違／","")&amp;IF(AND($Q2791&lt;&gt;"",INDEX(職員マスタ!$E$6:$E$405,$AN2791)&lt;&gt;"",$Q2791&lt;&gt;INDEX(職員マスタ!$E$6:$E$405,$AN2791)),"子の生年月日がマスタと相違／","")&amp;IF(AND($L2791&lt;&gt;"",INDEX(職員マスタ!$G$6:$G$405,$AN2791)&lt;&gt;"",$L2791&lt;&gt;INDEX(職員マスタ!$G$6:$G$405,$AN2791)),"時短開始日がマスタと相違／","")&amp;IF(AND($M2791&lt;&gt;"",INDEX(職員マスタ!$H$6:$H$405,$AN2791)&lt;&gt;"",$M2791&lt;&gt;INDEX(職員マスタ!$H$6:$H$405,$AN2791)),"時短終了日がマスタと相違／","")))&amp;IF(AND($B2791&lt;&gt;"",$E2791=""),"報酬額が未入力／","")&amp;IF(N($U2791)&gt;0,"申請書に入力エラーが残っています／","")&amp;IF(AND($B2791&lt;&gt;"",$AO2791&lt;&gt;""),IF(COUNTIFS($B$6:$B$3005,$B2791,$C$6:$C$3005,$C2791,$D$6:$D$3005,$D2791)&gt;1,"同じ月の請求が重複しています／",""),"")&amp;IF(AND(N($E2791)&gt;0,$Z2791&lt;&gt;"",$Z2791&lt;&gt;"×",$AC2791=0,$AB2791=""),"計算額が下限以下のため不支給／",""))</f>
        <v/>
      </c>
      <c r="AL2791" s="12" t="n"/>
      <c r="AM2791" s="14">
        <f>IF($AD2791="保留中",COUNTIF($AD$6:$AD2791,"保留中"),"")</f>
        <v/>
      </c>
      <c r="AN2791" s="14">
        <f>IF($AO2791="","",IF(SUMPRODUCT(MAX((職員マスタ!$A$6:$A$405=$B2791)*(((職員マスタ!$G$6:$G$405="")+(職員マスタ!$G$6:$G$405&lt;=EOMONTH($AO2791,0)))&gt;0)*(((職員マスタ!$H$6:$H$405="")+(職員マスタ!$H$6:$H$405&gt;=$AO2791))&gt;0)*(ROW(職員マスタ!$A$6:$A$405)-5)))&gt;0,SUMPRODUCT(MAX((職員マスタ!$A$6:$A$405=$B2791)*(((職員マスタ!$G$6:$G$405="")+(職員マスタ!$G$6:$G$405&lt;=EOMONTH($AO2791,0)))&gt;0)*(((職員マスタ!$H$6:$H$405="")+(職員マスタ!$H$6:$H$405&gt;=$AO2791))&gt;0)*(ROW(職員マスタ!$A$6:$A$405)-5))),IFERROR(MATCH($B2791,職員マスタ!$A$6:$A$405,0),"")))</f>
        <v/>
      </c>
      <c r="AO2791" s="16">
        <f>IF(OR($B2791="",$C2791="",$D2791=""),"",DATE($C2791+2018,$D2791,1))</f>
        <v/>
      </c>
    </row>
    <row r="2792">
      <c r="A2792" s="11" t="n"/>
      <c r="B2792" s="12" t="n"/>
      <c r="C2792" s="12" t="n"/>
      <c r="D2792" s="12" t="n"/>
      <c r="E2792" s="13" t="n"/>
      <c r="F2792" s="12" t="n"/>
      <c r="G2792" s="13" t="n"/>
      <c r="H2792" s="12" t="n"/>
      <c r="I2792" s="12" t="n"/>
      <c r="J2792" s="12" t="n"/>
      <c r="K2792" s="12" t="n"/>
      <c r="L2792" s="11" t="n"/>
      <c r="M2792" s="11" t="n"/>
      <c r="N2792" s="11" t="n"/>
      <c r="O2792" s="11" t="n"/>
      <c r="P2792" s="12" t="n"/>
      <c r="Q2792" s="11" t="n"/>
      <c r="R2792" s="12" t="n"/>
      <c r="S2792" s="11" t="n"/>
      <c r="T2792" s="12" t="n"/>
      <c r="U2792" s="12" t="n"/>
      <c r="V2792" s="14">
        <f>IF($AN2792="",IF($B2792="","",$H2792),IF(INDEX(職員マスタ!$B$6:$B$405,$AN2792)="",$H2792,INDEX(職員マスタ!$B$6:$B$405,$AN2792)))</f>
        <v/>
      </c>
      <c r="W2792" s="14">
        <f>IF($AN2792="",IF($B2792="","",$R2792),IF(INDEX(職員マスタ!$C$6:$C$405,$AN2792)="",$R2792,INDEX(職員マスタ!$C$6:$C$405,$AN2792)))</f>
        <v/>
      </c>
      <c r="X2792" s="14">
        <f>IF($AO2792="","","R"&amp;$C2792&amp;"."&amp;$D2792)</f>
        <v/>
      </c>
      <c r="Y2792" s="15">
        <f>IF($AN2792="","",IF(INDEX(職員マスタ!$K$6:$K$405,$AN2792)="","",INDEX(職員マスタ!$K$6:$K$405,$AN2792)))</f>
        <v/>
      </c>
      <c r="Z2792" s="14">
        <f>IF(OR($E2792="",$Y2792=""),"",IF($E2792&gt;=$Y2792,"×",IF($E2792&gt;=$Y2792*設定!$C$5,"△","○")))</f>
        <v/>
      </c>
      <c r="AA2792" s="15">
        <f>IF($Z2792="","",IF($Z2792="×",0,IF($Z2792="○",ROUNDDOWN($E2792*設定!$C$4,0),ROUNDDOWN($E2792*ROUND((9*$Y2792-9*$E2792)/(10*$E2792),4),0))))</f>
        <v/>
      </c>
      <c r="AB2792" s="13" t="n"/>
      <c r="AC2792" s="15">
        <f>IF($B2792="","",IF($AB2792&lt;&gt;"",$AB2792,IF($AA2792="","",IF($AA2792&lt;=設定!$C$3,0,$AA2792))))</f>
        <v/>
      </c>
      <c r="AD2792" s="14">
        <f>IF($B2792="","",IF(AND($AE2792&lt;&gt;"",$AG2792="",$AJ2792=""),"保留中",IF($AJ2792&lt;&gt;"",IF(N($AC2792)&gt;0,"支給済","不支給"),IF($AC2792="","要確認",IF($AC2792=0,"不支給","未処理")))))</f>
        <v/>
      </c>
      <c r="AE2792" s="12" t="n"/>
      <c r="AF2792" s="11" t="n"/>
      <c r="AG2792" s="11" t="n"/>
      <c r="AH2792" s="11" t="n"/>
      <c r="AI2792" s="14">
        <f>IF(AND($AD2792="保留中",$AF2792&lt;&gt;""),TODAY()-$AF2792,"")</f>
        <v/>
      </c>
      <c r="AJ2792" s="12" t="n"/>
      <c r="AK2792" s="14">
        <f>IF($B2792="","",IF($AO2792="","対象年月が未入力／","")&amp;IF($B2792="","",IF($AN2792="","職員マスタに未登録の職員番号／",IF($Y2792="","標準報酬月額が未登録／","")&amp;IF(AND($AO2792&lt;&gt;"",OR(AND(INDEX(職員マスタ!$G$6:$G$405,$AN2792)&lt;&gt;"",INDEX(職員マスタ!$G$6:$G$405,$AN2792)&gt;EOMONTH($AO2792,0)),AND(INDEX(職員マスタ!$H$6:$H$405,$AN2792)&lt;&gt;"",INDEX(職員マスタ!$H$6:$H$405,$AN2792)&lt;$AO2792))),"対象月が時短期間外／","")&amp;IF(AND(INDEX(職員マスタ!$F$6:$F$405,$AN2792)&lt;&gt;"",$AO2792&lt;&gt;"",INDEX(職員マスタ!$F$6:$F$405,$AN2792)&lt;$AO2792),"対象月に子が2歳到達済／","")&amp;IF(AND($H2792&lt;&gt;"",INDEX(職員マスタ!$B$6:$B$405,$AN2792)&lt;&gt;"",SUBSTITUTE(SUBSTITUTE($H2792," ","")," ","")&lt;&gt;SUBSTITUTE(SUBSTITUTE(INDEX(職員マスタ!$B$6:$B$405,$AN2792)," ","")," ","")),"氏名がマスタと相違／","")&amp;IF(AND($Q2792&lt;&gt;"",INDEX(職員マスタ!$E$6:$E$405,$AN2792)&lt;&gt;"",$Q2792&lt;&gt;INDEX(職員マスタ!$E$6:$E$405,$AN2792)),"子の生年月日がマスタと相違／","")&amp;IF(AND($L2792&lt;&gt;"",INDEX(職員マスタ!$G$6:$G$405,$AN2792)&lt;&gt;"",$L2792&lt;&gt;INDEX(職員マスタ!$G$6:$G$405,$AN2792)),"時短開始日がマスタと相違／","")&amp;IF(AND($M2792&lt;&gt;"",INDEX(職員マスタ!$H$6:$H$405,$AN2792)&lt;&gt;"",$M2792&lt;&gt;INDEX(職員マスタ!$H$6:$H$405,$AN2792)),"時短終了日がマスタと相違／","")))&amp;IF(AND($B2792&lt;&gt;"",$E2792=""),"報酬額が未入力／","")&amp;IF(N($U2792)&gt;0,"申請書に入力エラーが残っています／","")&amp;IF(AND($B2792&lt;&gt;"",$AO2792&lt;&gt;""),IF(COUNTIFS($B$6:$B$3005,$B2792,$C$6:$C$3005,$C2792,$D$6:$D$3005,$D2792)&gt;1,"同じ月の請求が重複しています／",""),"")&amp;IF(AND(N($E2792)&gt;0,$Z2792&lt;&gt;"",$Z2792&lt;&gt;"×",$AC2792=0,$AB2792=""),"計算額が下限以下のため不支給／",""))</f>
        <v/>
      </c>
      <c r="AL2792" s="12" t="n"/>
      <c r="AM2792" s="14">
        <f>IF($AD2792="保留中",COUNTIF($AD$6:$AD2792,"保留中"),"")</f>
        <v/>
      </c>
      <c r="AN2792" s="14">
        <f>IF($AO2792="","",IF(SUMPRODUCT(MAX((職員マスタ!$A$6:$A$405=$B2792)*(((職員マスタ!$G$6:$G$405="")+(職員マスタ!$G$6:$G$405&lt;=EOMONTH($AO2792,0)))&gt;0)*(((職員マスタ!$H$6:$H$405="")+(職員マスタ!$H$6:$H$405&gt;=$AO2792))&gt;0)*(ROW(職員マスタ!$A$6:$A$405)-5)))&gt;0,SUMPRODUCT(MAX((職員マスタ!$A$6:$A$405=$B2792)*(((職員マスタ!$G$6:$G$405="")+(職員マスタ!$G$6:$G$405&lt;=EOMONTH($AO2792,0)))&gt;0)*(((職員マスタ!$H$6:$H$405="")+(職員マスタ!$H$6:$H$405&gt;=$AO2792))&gt;0)*(ROW(職員マスタ!$A$6:$A$405)-5))),IFERROR(MATCH($B2792,職員マスタ!$A$6:$A$405,0),"")))</f>
        <v/>
      </c>
      <c r="AO2792" s="16">
        <f>IF(OR($B2792="",$C2792="",$D2792=""),"",DATE($C2792+2018,$D2792,1))</f>
        <v/>
      </c>
    </row>
    <row r="2793">
      <c r="A2793" s="11" t="n"/>
      <c r="B2793" s="12" t="n"/>
      <c r="C2793" s="12" t="n"/>
      <c r="D2793" s="12" t="n"/>
      <c r="E2793" s="13" t="n"/>
      <c r="F2793" s="12" t="n"/>
      <c r="G2793" s="13" t="n"/>
      <c r="H2793" s="12" t="n"/>
      <c r="I2793" s="12" t="n"/>
      <c r="J2793" s="12" t="n"/>
      <c r="K2793" s="12" t="n"/>
      <c r="L2793" s="11" t="n"/>
      <c r="M2793" s="11" t="n"/>
      <c r="N2793" s="11" t="n"/>
      <c r="O2793" s="11" t="n"/>
      <c r="P2793" s="12" t="n"/>
      <c r="Q2793" s="11" t="n"/>
      <c r="R2793" s="12" t="n"/>
      <c r="S2793" s="11" t="n"/>
      <c r="T2793" s="12" t="n"/>
      <c r="U2793" s="12" t="n"/>
      <c r="V2793" s="14">
        <f>IF($AN2793="",IF($B2793="","",$H2793),IF(INDEX(職員マスタ!$B$6:$B$405,$AN2793)="",$H2793,INDEX(職員マスタ!$B$6:$B$405,$AN2793)))</f>
        <v/>
      </c>
      <c r="W2793" s="14">
        <f>IF($AN2793="",IF($B2793="","",$R2793),IF(INDEX(職員マスタ!$C$6:$C$405,$AN2793)="",$R2793,INDEX(職員マスタ!$C$6:$C$405,$AN2793)))</f>
        <v/>
      </c>
      <c r="X2793" s="14">
        <f>IF($AO2793="","","R"&amp;$C2793&amp;"."&amp;$D2793)</f>
        <v/>
      </c>
      <c r="Y2793" s="15">
        <f>IF($AN2793="","",IF(INDEX(職員マスタ!$K$6:$K$405,$AN2793)="","",INDEX(職員マスタ!$K$6:$K$405,$AN2793)))</f>
        <v/>
      </c>
      <c r="Z2793" s="14">
        <f>IF(OR($E2793="",$Y2793=""),"",IF($E2793&gt;=$Y2793,"×",IF($E2793&gt;=$Y2793*設定!$C$5,"△","○")))</f>
        <v/>
      </c>
      <c r="AA2793" s="15">
        <f>IF($Z2793="","",IF($Z2793="×",0,IF($Z2793="○",ROUNDDOWN($E2793*設定!$C$4,0),ROUNDDOWN($E2793*ROUND((9*$Y2793-9*$E2793)/(10*$E2793),4),0))))</f>
        <v/>
      </c>
      <c r="AB2793" s="13" t="n"/>
      <c r="AC2793" s="15">
        <f>IF($B2793="","",IF($AB2793&lt;&gt;"",$AB2793,IF($AA2793="","",IF($AA2793&lt;=設定!$C$3,0,$AA2793))))</f>
        <v/>
      </c>
      <c r="AD2793" s="14">
        <f>IF($B2793="","",IF(AND($AE2793&lt;&gt;"",$AG2793="",$AJ2793=""),"保留中",IF($AJ2793&lt;&gt;"",IF(N($AC2793)&gt;0,"支給済","不支給"),IF($AC2793="","要確認",IF($AC2793=0,"不支給","未処理")))))</f>
        <v/>
      </c>
      <c r="AE2793" s="12" t="n"/>
      <c r="AF2793" s="11" t="n"/>
      <c r="AG2793" s="11" t="n"/>
      <c r="AH2793" s="11" t="n"/>
      <c r="AI2793" s="14">
        <f>IF(AND($AD2793="保留中",$AF2793&lt;&gt;""),TODAY()-$AF2793,"")</f>
        <v/>
      </c>
      <c r="AJ2793" s="12" t="n"/>
      <c r="AK2793" s="14">
        <f>IF($B2793="","",IF($AO2793="","対象年月が未入力／","")&amp;IF($B2793="","",IF($AN2793="","職員マスタに未登録の職員番号／",IF($Y2793="","標準報酬月額が未登録／","")&amp;IF(AND($AO2793&lt;&gt;"",OR(AND(INDEX(職員マスタ!$G$6:$G$405,$AN2793)&lt;&gt;"",INDEX(職員マスタ!$G$6:$G$405,$AN2793)&gt;EOMONTH($AO2793,0)),AND(INDEX(職員マスタ!$H$6:$H$405,$AN2793)&lt;&gt;"",INDEX(職員マスタ!$H$6:$H$405,$AN2793)&lt;$AO2793))),"対象月が時短期間外／","")&amp;IF(AND(INDEX(職員マスタ!$F$6:$F$405,$AN2793)&lt;&gt;"",$AO2793&lt;&gt;"",INDEX(職員マスタ!$F$6:$F$405,$AN2793)&lt;$AO2793),"対象月に子が2歳到達済／","")&amp;IF(AND($H2793&lt;&gt;"",INDEX(職員マスタ!$B$6:$B$405,$AN2793)&lt;&gt;"",SUBSTITUTE(SUBSTITUTE($H2793," ","")," ","")&lt;&gt;SUBSTITUTE(SUBSTITUTE(INDEX(職員マスタ!$B$6:$B$405,$AN2793)," ","")," ","")),"氏名がマスタと相違／","")&amp;IF(AND($Q2793&lt;&gt;"",INDEX(職員マスタ!$E$6:$E$405,$AN2793)&lt;&gt;"",$Q2793&lt;&gt;INDEX(職員マスタ!$E$6:$E$405,$AN2793)),"子の生年月日がマスタと相違／","")&amp;IF(AND($L2793&lt;&gt;"",INDEX(職員マスタ!$G$6:$G$405,$AN2793)&lt;&gt;"",$L2793&lt;&gt;INDEX(職員マスタ!$G$6:$G$405,$AN2793)),"時短開始日がマスタと相違／","")&amp;IF(AND($M2793&lt;&gt;"",INDEX(職員マスタ!$H$6:$H$405,$AN2793)&lt;&gt;"",$M2793&lt;&gt;INDEX(職員マスタ!$H$6:$H$405,$AN2793)),"時短終了日がマスタと相違／","")))&amp;IF(AND($B2793&lt;&gt;"",$E2793=""),"報酬額が未入力／","")&amp;IF(N($U2793)&gt;0,"申請書に入力エラーが残っています／","")&amp;IF(AND($B2793&lt;&gt;"",$AO2793&lt;&gt;""),IF(COUNTIFS($B$6:$B$3005,$B2793,$C$6:$C$3005,$C2793,$D$6:$D$3005,$D2793)&gt;1,"同じ月の請求が重複しています／",""),"")&amp;IF(AND(N($E2793)&gt;0,$Z2793&lt;&gt;"",$Z2793&lt;&gt;"×",$AC2793=0,$AB2793=""),"計算額が下限以下のため不支給／",""))</f>
        <v/>
      </c>
      <c r="AL2793" s="12" t="n"/>
      <c r="AM2793" s="14">
        <f>IF($AD2793="保留中",COUNTIF($AD$6:$AD2793,"保留中"),"")</f>
        <v/>
      </c>
      <c r="AN2793" s="14">
        <f>IF($AO2793="","",IF(SUMPRODUCT(MAX((職員マスタ!$A$6:$A$405=$B2793)*(((職員マスタ!$G$6:$G$405="")+(職員マスタ!$G$6:$G$405&lt;=EOMONTH($AO2793,0)))&gt;0)*(((職員マスタ!$H$6:$H$405="")+(職員マスタ!$H$6:$H$405&gt;=$AO2793))&gt;0)*(ROW(職員マスタ!$A$6:$A$405)-5)))&gt;0,SUMPRODUCT(MAX((職員マスタ!$A$6:$A$405=$B2793)*(((職員マスタ!$G$6:$G$405="")+(職員マスタ!$G$6:$G$405&lt;=EOMONTH($AO2793,0)))&gt;0)*(((職員マスタ!$H$6:$H$405="")+(職員マスタ!$H$6:$H$405&gt;=$AO2793))&gt;0)*(ROW(職員マスタ!$A$6:$A$405)-5))),IFERROR(MATCH($B2793,職員マスタ!$A$6:$A$405,0),"")))</f>
        <v/>
      </c>
      <c r="AO2793" s="16">
        <f>IF(OR($B2793="",$C2793="",$D2793=""),"",DATE($C2793+2018,$D2793,1))</f>
        <v/>
      </c>
    </row>
    <row r="2794">
      <c r="A2794" s="11" t="n"/>
      <c r="B2794" s="12" t="n"/>
      <c r="C2794" s="12" t="n"/>
      <c r="D2794" s="12" t="n"/>
      <c r="E2794" s="13" t="n"/>
      <c r="F2794" s="12" t="n"/>
      <c r="G2794" s="13" t="n"/>
      <c r="H2794" s="12" t="n"/>
      <c r="I2794" s="12" t="n"/>
      <c r="J2794" s="12" t="n"/>
      <c r="K2794" s="12" t="n"/>
      <c r="L2794" s="11" t="n"/>
      <c r="M2794" s="11" t="n"/>
      <c r="N2794" s="11" t="n"/>
      <c r="O2794" s="11" t="n"/>
      <c r="P2794" s="12" t="n"/>
      <c r="Q2794" s="11" t="n"/>
      <c r="R2794" s="12" t="n"/>
      <c r="S2794" s="11" t="n"/>
      <c r="T2794" s="12" t="n"/>
      <c r="U2794" s="12" t="n"/>
      <c r="V2794" s="14">
        <f>IF($AN2794="",IF($B2794="","",$H2794),IF(INDEX(職員マスタ!$B$6:$B$405,$AN2794)="",$H2794,INDEX(職員マスタ!$B$6:$B$405,$AN2794)))</f>
        <v/>
      </c>
      <c r="W2794" s="14">
        <f>IF($AN2794="",IF($B2794="","",$R2794),IF(INDEX(職員マスタ!$C$6:$C$405,$AN2794)="",$R2794,INDEX(職員マスタ!$C$6:$C$405,$AN2794)))</f>
        <v/>
      </c>
      <c r="X2794" s="14">
        <f>IF($AO2794="","","R"&amp;$C2794&amp;"."&amp;$D2794)</f>
        <v/>
      </c>
      <c r="Y2794" s="15">
        <f>IF($AN2794="","",IF(INDEX(職員マスタ!$K$6:$K$405,$AN2794)="","",INDEX(職員マスタ!$K$6:$K$405,$AN2794)))</f>
        <v/>
      </c>
      <c r="Z2794" s="14">
        <f>IF(OR($E2794="",$Y2794=""),"",IF($E2794&gt;=$Y2794,"×",IF($E2794&gt;=$Y2794*設定!$C$5,"△","○")))</f>
        <v/>
      </c>
      <c r="AA2794" s="15">
        <f>IF($Z2794="","",IF($Z2794="×",0,IF($Z2794="○",ROUNDDOWN($E2794*設定!$C$4,0),ROUNDDOWN($E2794*ROUND((9*$Y2794-9*$E2794)/(10*$E2794),4),0))))</f>
        <v/>
      </c>
      <c r="AB2794" s="13" t="n"/>
      <c r="AC2794" s="15">
        <f>IF($B2794="","",IF($AB2794&lt;&gt;"",$AB2794,IF($AA2794="","",IF($AA2794&lt;=設定!$C$3,0,$AA2794))))</f>
        <v/>
      </c>
      <c r="AD2794" s="14">
        <f>IF($B2794="","",IF(AND($AE2794&lt;&gt;"",$AG2794="",$AJ2794=""),"保留中",IF($AJ2794&lt;&gt;"",IF(N($AC2794)&gt;0,"支給済","不支給"),IF($AC2794="","要確認",IF($AC2794=0,"不支給","未処理")))))</f>
        <v/>
      </c>
      <c r="AE2794" s="12" t="n"/>
      <c r="AF2794" s="11" t="n"/>
      <c r="AG2794" s="11" t="n"/>
      <c r="AH2794" s="11" t="n"/>
      <c r="AI2794" s="14">
        <f>IF(AND($AD2794="保留中",$AF2794&lt;&gt;""),TODAY()-$AF2794,"")</f>
        <v/>
      </c>
      <c r="AJ2794" s="12" t="n"/>
      <c r="AK2794" s="14">
        <f>IF($B2794="","",IF($AO2794="","対象年月が未入力／","")&amp;IF($B2794="","",IF($AN2794="","職員マスタに未登録の職員番号／",IF($Y2794="","標準報酬月額が未登録／","")&amp;IF(AND($AO2794&lt;&gt;"",OR(AND(INDEX(職員マスタ!$G$6:$G$405,$AN2794)&lt;&gt;"",INDEX(職員マスタ!$G$6:$G$405,$AN2794)&gt;EOMONTH($AO2794,0)),AND(INDEX(職員マスタ!$H$6:$H$405,$AN2794)&lt;&gt;"",INDEX(職員マスタ!$H$6:$H$405,$AN2794)&lt;$AO2794))),"対象月が時短期間外／","")&amp;IF(AND(INDEX(職員マスタ!$F$6:$F$405,$AN2794)&lt;&gt;"",$AO2794&lt;&gt;"",INDEX(職員マスタ!$F$6:$F$405,$AN2794)&lt;$AO2794),"対象月に子が2歳到達済／","")&amp;IF(AND($H2794&lt;&gt;"",INDEX(職員マスタ!$B$6:$B$405,$AN2794)&lt;&gt;"",SUBSTITUTE(SUBSTITUTE($H2794," ","")," ","")&lt;&gt;SUBSTITUTE(SUBSTITUTE(INDEX(職員マスタ!$B$6:$B$405,$AN2794)," ","")," ","")),"氏名がマスタと相違／","")&amp;IF(AND($Q2794&lt;&gt;"",INDEX(職員マスタ!$E$6:$E$405,$AN2794)&lt;&gt;"",$Q2794&lt;&gt;INDEX(職員マスタ!$E$6:$E$405,$AN2794)),"子の生年月日がマスタと相違／","")&amp;IF(AND($L2794&lt;&gt;"",INDEX(職員マスタ!$G$6:$G$405,$AN2794)&lt;&gt;"",$L2794&lt;&gt;INDEX(職員マスタ!$G$6:$G$405,$AN2794)),"時短開始日がマスタと相違／","")&amp;IF(AND($M2794&lt;&gt;"",INDEX(職員マスタ!$H$6:$H$405,$AN2794)&lt;&gt;"",$M2794&lt;&gt;INDEX(職員マスタ!$H$6:$H$405,$AN2794)),"時短終了日がマスタと相違／","")))&amp;IF(AND($B2794&lt;&gt;"",$E2794=""),"報酬額が未入力／","")&amp;IF(N($U2794)&gt;0,"申請書に入力エラーが残っています／","")&amp;IF(AND($B2794&lt;&gt;"",$AO2794&lt;&gt;""),IF(COUNTIFS($B$6:$B$3005,$B2794,$C$6:$C$3005,$C2794,$D$6:$D$3005,$D2794)&gt;1,"同じ月の請求が重複しています／",""),"")&amp;IF(AND(N($E2794)&gt;0,$Z2794&lt;&gt;"",$Z2794&lt;&gt;"×",$AC2794=0,$AB2794=""),"計算額が下限以下のため不支給／",""))</f>
        <v/>
      </c>
      <c r="AL2794" s="12" t="n"/>
      <c r="AM2794" s="14">
        <f>IF($AD2794="保留中",COUNTIF($AD$6:$AD2794,"保留中"),"")</f>
        <v/>
      </c>
      <c r="AN2794" s="14">
        <f>IF($AO2794="","",IF(SUMPRODUCT(MAX((職員マスタ!$A$6:$A$405=$B2794)*(((職員マスタ!$G$6:$G$405="")+(職員マスタ!$G$6:$G$405&lt;=EOMONTH($AO2794,0)))&gt;0)*(((職員マスタ!$H$6:$H$405="")+(職員マスタ!$H$6:$H$405&gt;=$AO2794))&gt;0)*(ROW(職員マスタ!$A$6:$A$405)-5)))&gt;0,SUMPRODUCT(MAX((職員マスタ!$A$6:$A$405=$B2794)*(((職員マスタ!$G$6:$G$405="")+(職員マスタ!$G$6:$G$405&lt;=EOMONTH($AO2794,0)))&gt;0)*(((職員マスタ!$H$6:$H$405="")+(職員マスタ!$H$6:$H$405&gt;=$AO2794))&gt;0)*(ROW(職員マスタ!$A$6:$A$405)-5))),IFERROR(MATCH($B2794,職員マスタ!$A$6:$A$405,0),"")))</f>
        <v/>
      </c>
      <c r="AO2794" s="16">
        <f>IF(OR($B2794="",$C2794="",$D2794=""),"",DATE($C2794+2018,$D2794,1))</f>
        <v/>
      </c>
    </row>
    <row r="2795">
      <c r="A2795" s="11" t="n"/>
      <c r="B2795" s="12" t="n"/>
      <c r="C2795" s="12" t="n"/>
      <c r="D2795" s="12" t="n"/>
      <c r="E2795" s="13" t="n"/>
      <c r="F2795" s="12" t="n"/>
      <c r="G2795" s="13" t="n"/>
      <c r="H2795" s="12" t="n"/>
      <c r="I2795" s="12" t="n"/>
      <c r="J2795" s="12" t="n"/>
      <c r="K2795" s="12" t="n"/>
      <c r="L2795" s="11" t="n"/>
      <c r="M2795" s="11" t="n"/>
      <c r="N2795" s="11" t="n"/>
      <c r="O2795" s="11" t="n"/>
      <c r="P2795" s="12" t="n"/>
      <c r="Q2795" s="11" t="n"/>
      <c r="R2795" s="12" t="n"/>
      <c r="S2795" s="11" t="n"/>
      <c r="T2795" s="12" t="n"/>
      <c r="U2795" s="12" t="n"/>
      <c r="V2795" s="14">
        <f>IF($AN2795="",IF($B2795="","",$H2795),IF(INDEX(職員マスタ!$B$6:$B$405,$AN2795)="",$H2795,INDEX(職員マスタ!$B$6:$B$405,$AN2795)))</f>
        <v/>
      </c>
      <c r="W2795" s="14">
        <f>IF($AN2795="",IF($B2795="","",$R2795),IF(INDEX(職員マスタ!$C$6:$C$405,$AN2795)="",$R2795,INDEX(職員マスタ!$C$6:$C$405,$AN2795)))</f>
        <v/>
      </c>
      <c r="X2795" s="14">
        <f>IF($AO2795="","","R"&amp;$C2795&amp;"."&amp;$D2795)</f>
        <v/>
      </c>
      <c r="Y2795" s="15">
        <f>IF($AN2795="","",IF(INDEX(職員マスタ!$K$6:$K$405,$AN2795)="","",INDEX(職員マスタ!$K$6:$K$405,$AN2795)))</f>
        <v/>
      </c>
      <c r="Z2795" s="14">
        <f>IF(OR($E2795="",$Y2795=""),"",IF($E2795&gt;=$Y2795,"×",IF($E2795&gt;=$Y2795*設定!$C$5,"△","○")))</f>
        <v/>
      </c>
      <c r="AA2795" s="15">
        <f>IF($Z2795="","",IF($Z2795="×",0,IF($Z2795="○",ROUNDDOWN($E2795*設定!$C$4,0),ROUNDDOWN($E2795*ROUND((9*$Y2795-9*$E2795)/(10*$E2795),4),0))))</f>
        <v/>
      </c>
      <c r="AB2795" s="13" t="n"/>
      <c r="AC2795" s="15">
        <f>IF($B2795="","",IF($AB2795&lt;&gt;"",$AB2795,IF($AA2795="","",IF($AA2795&lt;=設定!$C$3,0,$AA2795))))</f>
        <v/>
      </c>
      <c r="AD2795" s="14">
        <f>IF($B2795="","",IF(AND($AE2795&lt;&gt;"",$AG2795="",$AJ2795=""),"保留中",IF($AJ2795&lt;&gt;"",IF(N($AC2795)&gt;0,"支給済","不支給"),IF($AC2795="","要確認",IF($AC2795=0,"不支給","未処理")))))</f>
        <v/>
      </c>
      <c r="AE2795" s="12" t="n"/>
      <c r="AF2795" s="11" t="n"/>
      <c r="AG2795" s="11" t="n"/>
      <c r="AH2795" s="11" t="n"/>
      <c r="AI2795" s="14">
        <f>IF(AND($AD2795="保留中",$AF2795&lt;&gt;""),TODAY()-$AF2795,"")</f>
        <v/>
      </c>
      <c r="AJ2795" s="12" t="n"/>
      <c r="AK2795" s="14">
        <f>IF($B2795="","",IF($AO2795="","対象年月が未入力／","")&amp;IF($B2795="","",IF($AN2795="","職員マスタに未登録の職員番号／",IF($Y2795="","標準報酬月額が未登録／","")&amp;IF(AND($AO2795&lt;&gt;"",OR(AND(INDEX(職員マスタ!$G$6:$G$405,$AN2795)&lt;&gt;"",INDEX(職員マスタ!$G$6:$G$405,$AN2795)&gt;EOMONTH($AO2795,0)),AND(INDEX(職員マスタ!$H$6:$H$405,$AN2795)&lt;&gt;"",INDEX(職員マスタ!$H$6:$H$405,$AN2795)&lt;$AO2795))),"対象月が時短期間外／","")&amp;IF(AND(INDEX(職員マスタ!$F$6:$F$405,$AN2795)&lt;&gt;"",$AO2795&lt;&gt;"",INDEX(職員マスタ!$F$6:$F$405,$AN2795)&lt;$AO2795),"対象月に子が2歳到達済／","")&amp;IF(AND($H2795&lt;&gt;"",INDEX(職員マスタ!$B$6:$B$405,$AN2795)&lt;&gt;"",SUBSTITUTE(SUBSTITUTE($H2795," ","")," ","")&lt;&gt;SUBSTITUTE(SUBSTITUTE(INDEX(職員マスタ!$B$6:$B$405,$AN2795)," ","")," ","")),"氏名がマスタと相違／","")&amp;IF(AND($Q2795&lt;&gt;"",INDEX(職員マスタ!$E$6:$E$405,$AN2795)&lt;&gt;"",$Q2795&lt;&gt;INDEX(職員マスタ!$E$6:$E$405,$AN2795)),"子の生年月日がマスタと相違／","")&amp;IF(AND($L2795&lt;&gt;"",INDEX(職員マスタ!$G$6:$G$405,$AN2795)&lt;&gt;"",$L2795&lt;&gt;INDEX(職員マスタ!$G$6:$G$405,$AN2795)),"時短開始日がマスタと相違／","")&amp;IF(AND($M2795&lt;&gt;"",INDEX(職員マスタ!$H$6:$H$405,$AN2795)&lt;&gt;"",$M2795&lt;&gt;INDEX(職員マスタ!$H$6:$H$405,$AN2795)),"時短終了日がマスタと相違／","")))&amp;IF(AND($B2795&lt;&gt;"",$E2795=""),"報酬額が未入力／","")&amp;IF(N($U2795)&gt;0,"申請書に入力エラーが残っています／","")&amp;IF(AND($B2795&lt;&gt;"",$AO2795&lt;&gt;""),IF(COUNTIFS($B$6:$B$3005,$B2795,$C$6:$C$3005,$C2795,$D$6:$D$3005,$D2795)&gt;1,"同じ月の請求が重複しています／",""),"")&amp;IF(AND(N($E2795)&gt;0,$Z2795&lt;&gt;"",$Z2795&lt;&gt;"×",$AC2795=0,$AB2795=""),"計算額が下限以下のため不支給／",""))</f>
        <v/>
      </c>
      <c r="AL2795" s="12" t="n"/>
      <c r="AM2795" s="14">
        <f>IF($AD2795="保留中",COUNTIF($AD$6:$AD2795,"保留中"),"")</f>
        <v/>
      </c>
      <c r="AN2795" s="14">
        <f>IF($AO2795="","",IF(SUMPRODUCT(MAX((職員マスタ!$A$6:$A$405=$B2795)*(((職員マスタ!$G$6:$G$405="")+(職員マスタ!$G$6:$G$405&lt;=EOMONTH($AO2795,0)))&gt;0)*(((職員マスタ!$H$6:$H$405="")+(職員マスタ!$H$6:$H$405&gt;=$AO2795))&gt;0)*(ROW(職員マスタ!$A$6:$A$405)-5)))&gt;0,SUMPRODUCT(MAX((職員マスタ!$A$6:$A$405=$B2795)*(((職員マスタ!$G$6:$G$405="")+(職員マスタ!$G$6:$G$405&lt;=EOMONTH($AO2795,0)))&gt;0)*(((職員マスタ!$H$6:$H$405="")+(職員マスタ!$H$6:$H$405&gt;=$AO2795))&gt;0)*(ROW(職員マスタ!$A$6:$A$405)-5))),IFERROR(MATCH($B2795,職員マスタ!$A$6:$A$405,0),"")))</f>
        <v/>
      </c>
      <c r="AO2795" s="16">
        <f>IF(OR($B2795="",$C2795="",$D2795=""),"",DATE($C2795+2018,$D2795,1))</f>
        <v/>
      </c>
    </row>
    <row r="2796">
      <c r="A2796" s="11" t="n"/>
      <c r="B2796" s="12" t="n"/>
      <c r="C2796" s="12" t="n"/>
      <c r="D2796" s="12" t="n"/>
      <c r="E2796" s="13" t="n"/>
      <c r="F2796" s="12" t="n"/>
      <c r="G2796" s="13" t="n"/>
      <c r="H2796" s="12" t="n"/>
      <c r="I2796" s="12" t="n"/>
      <c r="J2796" s="12" t="n"/>
      <c r="K2796" s="12" t="n"/>
      <c r="L2796" s="11" t="n"/>
      <c r="M2796" s="11" t="n"/>
      <c r="N2796" s="11" t="n"/>
      <c r="O2796" s="11" t="n"/>
      <c r="P2796" s="12" t="n"/>
      <c r="Q2796" s="11" t="n"/>
      <c r="R2796" s="12" t="n"/>
      <c r="S2796" s="11" t="n"/>
      <c r="T2796" s="12" t="n"/>
      <c r="U2796" s="12" t="n"/>
      <c r="V2796" s="14">
        <f>IF($AN2796="",IF($B2796="","",$H2796),IF(INDEX(職員マスタ!$B$6:$B$405,$AN2796)="",$H2796,INDEX(職員マスタ!$B$6:$B$405,$AN2796)))</f>
        <v/>
      </c>
      <c r="W2796" s="14">
        <f>IF($AN2796="",IF($B2796="","",$R2796),IF(INDEX(職員マスタ!$C$6:$C$405,$AN2796)="",$R2796,INDEX(職員マスタ!$C$6:$C$405,$AN2796)))</f>
        <v/>
      </c>
      <c r="X2796" s="14">
        <f>IF($AO2796="","","R"&amp;$C2796&amp;"."&amp;$D2796)</f>
        <v/>
      </c>
      <c r="Y2796" s="15">
        <f>IF($AN2796="","",IF(INDEX(職員マスタ!$K$6:$K$405,$AN2796)="","",INDEX(職員マスタ!$K$6:$K$405,$AN2796)))</f>
        <v/>
      </c>
      <c r="Z2796" s="14">
        <f>IF(OR($E2796="",$Y2796=""),"",IF($E2796&gt;=$Y2796,"×",IF($E2796&gt;=$Y2796*設定!$C$5,"△","○")))</f>
        <v/>
      </c>
      <c r="AA2796" s="15">
        <f>IF($Z2796="","",IF($Z2796="×",0,IF($Z2796="○",ROUNDDOWN($E2796*設定!$C$4,0),ROUNDDOWN($E2796*ROUND((9*$Y2796-9*$E2796)/(10*$E2796),4),0))))</f>
        <v/>
      </c>
      <c r="AB2796" s="13" t="n"/>
      <c r="AC2796" s="15">
        <f>IF($B2796="","",IF($AB2796&lt;&gt;"",$AB2796,IF($AA2796="","",IF($AA2796&lt;=設定!$C$3,0,$AA2796))))</f>
        <v/>
      </c>
      <c r="AD2796" s="14">
        <f>IF($B2796="","",IF(AND($AE2796&lt;&gt;"",$AG2796="",$AJ2796=""),"保留中",IF($AJ2796&lt;&gt;"",IF(N($AC2796)&gt;0,"支給済","不支給"),IF($AC2796="","要確認",IF($AC2796=0,"不支給","未処理")))))</f>
        <v/>
      </c>
      <c r="AE2796" s="12" t="n"/>
      <c r="AF2796" s="11" t="n"/>
      <c r="AG2796" s="11" t="n"/>
      <c r="AH2796" s="11" t="n"/>
      <c r="AI2796" s="14">
        <f>IF(AND($AD2796="保留中",$AF2796&lt;&gt;""),TODAY()-$AF2796,"")</f>
        <v/>
      </c>
      <c r="AJ2796" s="12" t="n"/>
      <c r="AK2796" s="14">
        <f>IF($B2796="","",IF($AO2796="","対象年月が未入力／","")&amp;IF($B2796="","",IF($AN2796="","職員マスタに未登録の職員番号／",IF($Y2796="","標準報酬月額が未登録／","")&amp;IF(AND($AO2796&lt;&gt;"",OR(AND(INDEX(職員マスタ!$G$6:$G$405,$AN2796)&lt;&gt;"",INDEX(職員マスタ!$G$6:$G$405,$AN2796)&gt;EOMONTH($AO2796,0)),AND(INDEX(職員マスタ!$H$6:$H$405,$AN2796)&lt;&gt;"",INDEX(職員マスタ!$H$6:$H$405,$AN2796)&lt;$AO2796))),"対象月が時短期間外／","")&amp;IF(AND(INDEX(職員マスタ!$F$6:$F$405,$AN2796)&lt;&gt;"",$AO2796&lt;&gt;"",INDEX(職員マスタ!$F$6:$F$405,$AN2796)&lt;$AO2796),"対象月に子が2歳到達済／","")&amp;IF(AND($H2796&lt;&gt;"",INDEX(職員マスタ!$B$6:$B$405,$AN2796)&lt;&gt;"",SUBSTITUTE(SUBSTITUTE($H2796," ","")," ","")&lt;&gt;SUBSTITUTE(SUBSTITUTE(INDEX(職員マスタ!$B$6:$B$405,$AN2796)," ","")," ","")),"氏名がマスタと相違／","")&amp;IF(AND($Q2796&lt;&gt;"",INDEX(職員マスタ!$E$6:$E$405,$AN2796)&lt;&gt;"",$Q2796&lt;&gt;INDEX(職員マスタ!$E$6:$E$405,$AN2796)),"子の生年月日がマスタと相違／","")&amp;IF(AND($L2796&lt;&gt;"",INDEX(職員マスタ!$G$6:$G$405,$AN2796)&lt;&gt;"",$L2796&lt;&gt;INDEX(職員マスタ!$G$6:$G$405,$AN2796)),"時短開始日がマスタと相違／","")&amp;IF(AND($M2796&lt;&gt;"",INDEX(職員マスタ!$H$6:$H$405,$AN2796)&lt;&gt;"",$M2796&lt;&gt;INDEX(職員マスタ!$H$6:$H$405,$AN2796)),"時短終了日がマスタと相違／","")))&amp;IF(AND($B2796&lt;&gt;"",$E2796=""),"報酬額が未入力／","")&amp;IF(N($U2796)&gt;0,"申請書に入力エラーが残っています／","")&amp;IF(AND($B2796&lt;&gt;"",$AO2796&lt;&gt;""),IF(COUNTIFS($B$6:$B$3005,$B2796,$C$6:$C$3005,$C2796,$D$6:$D$3005,$D2796)&gt;1,"同じ月の請求が重複しています／",""),"")&amp;IF(AND(N($E2796)&gt;0,$Z2796&lt;&gt;"",$Z2796&lt;&gt;"×",$AC2796=0,$AB2796=""),"計算額が下限以下のため不支給／",""))</f>
        <v/>
      </c>
      <c r="AL2796" s="12" t="n"/>
      <c r="AM2796" s="14">
        <f>IF($AD2796="保留中",COUNTIF($AD$6:$AD2796,"保留中"),"")</f>
        <v/>
      </c>
      <c r="AN2796" s="14">
        <f>IF($AO2796="","",IF(SUMPRODUCT(MAX((職員マスタ!$A$6:$A$405=$B2796)*(((職員マスタ!$G$6:$G$405="")+(職員マスタ!$G$6:$G$405&lt;=EOMONTH($AO2796,0)))&gt;0)*(((職員マスタ!$H$6:$H$405="")+(職員マスタ!$H$6:$H$405&gt;=$AO2796))&gt;0)*(ROW(職員マスタ!$A$6:$A$405)-5)))&gt;0,SUMPRODUCT(MAX((職員マスタ!$A$6:$A$405=$B2796)*(((職員マスタ!$G$6:$G$405="")+(職員マスタ!$G$6:$G$405&lt;=EOMONTH($AO2796,0)))&gt;0)*(((職員マスタ!$H$6:$H$405="")+(職員マスタ!$H$6:$H$405&gt;=$AO2796))&gt;0)*(ROW(職員マスタ!$A$6:$A$405)-5))),IFERROR(MATCH($B2796,職員マスタ!$A$6:$A$405,0),"")))</f>
        <v/>
      </c>
      <c r="AO2796" s="16">
        <f>IF(OR($B2796="",$C2796="",$D2796=""),"",DATE($C2796+2018,$D2796,1))</f>
        <v/>
      </c>
    </row>
    <row r="2797">
      <c r="A2797" s="11" t="n"/>
      <c r="B2797" s="12" t="n"/>
      <c r="C2797" s="12" t="n"/>
      <c r="D2797" s="12" t="n"/>
      <c r="E2797" s="13" t="n"/>
      <c r="F2797" s="12" t="n"/>
      <c r="G2797" s="13" t="n"/>
      <c r="H2797" s="12" t="n"/>
      <c r="I2797" s="12" t="n"/>
      <c r="J2797" s="12" t="n"/>
      <c r="K2797" s="12" t="n"/>
      <c r="L2797" s="11" t="n"/>
      <c r="M2797" s="11" t="n"/>
      <c r="N2797" s="11" t="n"/>
      <c r="O2797" s="11" t="n"/>
      <c r="P2797" s="12" t="n"/>
      <c r="Q2797" s="11" t="n"/>
      <c r="R2797" s="12" t="n"/>
      <c r="S2797" s="11" t="n"/>
      <c r="T2797" s="12" t="n"/>
      <c r="U2797" s="12" t="n"/>
      <c r="V2797" s="14">
        <f>IF($AN2797="",IF($B2797="","",$H2797),IF(INDEX(職員マスタ!$B$6:$B$405,$AN2797)="",$H2797,INDEX(職員マスタ!$B$6:$B$405,$AN2797)))</f>
        <v/>
      </c>
      <c r="W2797" s="14">
        <f>IF($AN2797="",IF($B2797="","",$R2797),IF(INDEX(職員マスタ!$C$6:$C$405,$AN2797)="",$R2797,INDEX(職員マスタ!$C$6:$C$405,$AN2797)))</f>
        <v/>
      </c>
      <c r="X2797" s="14">
        <f>IF($AO2797="","","R"&amp;$C2797&amp;"."&amp;$D2797)</f>
        <v/>
      </c>
      <c r="Y2797" s="15">
        <f>IF($AN2797="","",IF(INDEX(職員マスタ!$K$6:$K$405,$AN2797)="","",INDEX(職員マスタ!$K$6:$K$405,$AN2797)))</f>
        <v/>
      </c>
      <c r="Z2797" s="14">
        <f>IF(OR($E2797="",$Y2797=""),"",IF($E2797&gt;=$Y2797,"×",IF($E2797&gt;=$Y2797*設定!$C$5,"△","○")))</f>
        <v/>
      </c>
      <c r="AA2797" s="15">
        <f>IF($Z2797="","",IF($Z2797="×",0,IF($Z2797="○",ROUNDDOWN($E2797*設定!$C$4,0),ROUNDDOWN($E2797*ROUND((9*$Y2797-9*$E2797)/(10*$E2797),4),0))))</f>
        <v/>
      </c>
      <c r="AB2797" s="13" t="n"/>
      <c r="AC2797" s="15">
        <f>IF($B2797="","",IF($AB2797&lt;&gt;"",$AB2797,IF($AA2797="","",IF($AA2797&lt;=設定!$C$3,0,$AA2797))))</f>
        <v/>
      </c>
      <c r="AD2797" s="14">
        <f>IF($B2797="","",IF(AND($AE2797&lt;&gt;"",$AG2797="",$AJ2797=""),"保留中",IF($AJ2797&lt;&gt;"",IF(N($AC2797)&gt;0,"支給済","不支給"),IF($AC2797="","要確認",IF($AC2797=0,"不支給","未処理")))))</f>
        <v/>
      </c>
      <c r="AE2797" s="12" t="n"/>
      <c r="AF2797" s="11" t="n"/>
      <c r="AG2797" s="11" t="n"/>
      <c r="AH2797" s="11" t="n"/>
      <c r="AI2797" s="14">
        <f>IF(AND($AD2797="保留中",$AF2797&lt;&gt;""),TODAY()-$AF2797,"")</f>
        <v/>
      </c>
      <c r="AJ2797" s="12" t="n"/>
      <c r="AK2797" s="14">
        <f>IF($B2797="","",IF($AO2797="","対象年月が未入力／","")&amp;IF($B2797="","",IF($AN2797="","職員マスタに未登録の職員番号／",IF($Y2797="","標準報酬月額が未登録／","")&amp;IF(AND($AO2797&lt;&gt;"",OR(AND(INDEX(職員マスタ!$G$6:$G$405,$AN2797)&lt;&gt;"",INDEX(職員マスタ!$G$6:$G$405,$AN2797)&gt;EOMONTH($AO2797,0)),AND(INDEX(職員マスタ!$H$6:$H$405,$AN2797)&lt;&gt;"",INDEX(職員マスタ!$H$6:$H$405,$AN2797)&lt;$AO2797))),"対象月が時短期間外／","")&amp;IF(AND(INDEX(職員マスタ!$F$6:$F$405,$AN2797)&lt;&gt;"",$AO2797&lt;&gt;"",INDEX(職員マスタ!$F$6:$F$405,$AN2797)&lt;$AO2797),"対象月に子が2歳到達済／","")&amp;IF(AND($H2797&lt;&gt;"",INDEX(職員マスタ!$B$6:$B$405,$AN2797)&lt;&gt;"",SUBSTITUTE(SUBSTITUTE($H2797," ","")," ","")&lt;&gt;SUBSTITUTE(SUBSTITUTE(INDEX(職員マスタ!$B$6:$B$405,$AN2797)," ","")," ","")),"氏名がマスタと相違／","")&amp;IF(AND($Q2797&lt;&gt;"",INDEX(職員マスタ!$E$6:$E$405,$AN2797)&lt;&gt;"",$Q2797&lt;&gt;INDEX(職員マスタ!$E$6:$E$405,$AN2797)),"子の生年月日がマスタと相違／","")&amp;IF(AND($L2797&lt;&gt;"",INDEX(職員マスタ!$G$6:$G$405,$AN2797)&lt;&gt;"",$L2797&lt;&gt;INDEX(職員マスタ!$G$6:$G$405,$AN2797)),"時短開始日がマスタと相違／","")&amp;IF(AND($M2797&lt;&gt;"",INDEX(職員マスタ!$H$6:$H$405,$AN2797)&lt;&gt;"",$M2797&lt;&gt;INDEX(職員マスタ!$H$6:$H$405,$AN2797)),"時短終了日がマスタと相違／","")))&amp;IF(AND($B2797&lt;&gt;"",$E2797=""),"報酬額が未入力／","")&amp;IF(N($U2797)&gt;0,"申請書に入力エラーが残っています／","")&amp;IF(AND($B2797&lt;&gt;"",$AO2797&lt;&gt;""),IF(COUNTIFS($B$6:$B$3005,$B2797,$C$6:$C$3005,$C2797,$D$6:$D$3005,$D2797)&gt;1,"同じ月の請求が重複しています／",""),"")&amp;IF(AND(N($E2797)&gt;0,$Z2797&lt;&gt;"",$Z2797&lt;&gt;"×",$AC2797=0,$AB2797=""),"計算額が下限以下のため不支給／",""))</f>
        <v/>
      </c>
      <c r="AL2797" s="12" t="n"/>
      <c r="AM2797" s="14">
        <f>IF($AD2797="保留中",COUNTIF($AD$6:$AD2797,"保留中"),"")</f>
        <v/>
      </c>
      <c r="AN2797" s="14">
        <f>IF($AO2797="","",IF(SUMPRODUCT(MAX((職員マスタ!$A$6:$A$405=$B2797)*(((職員マスタ!$G$6:$G$405="")+(職員マスタ!$G$6:$G$405&lt;=EOMONTH($AO2797,0)))&gt;0)*(((職員マスタ!$H$6:$H$405="")+(職員マスタ!$H$6:$H$405&gt;=$AO2797))&gt;0)*(ROW(職員マスタ!$A$6:$A$405)-5)))&gt;0,SUMPRODUCT(MAX((職員マスタ!$A$6:$A$405=$B2797)*(((職員マスタ!$G$6:$G$405="")+(職員マスタ!$G$6:$G$405&lt;=EOMONTH($AO2797,0)))&gt;0)*(((職員マスタ!$H$6:$H$405="")+(職員マスタ!$H$6:$H$405&gt;=$AO2797))&gt;0)*(ROW(職員マスタ!$A$6:$A$405)-5))),IFERROR(MATCH($B2797,職員マスタ!$A$6:$A$405,0),"")))</f>
        <v/>
      </c>
      <c r="AO2797" s="16">
        <f>IF(OR($B2797="",$C2797="",$D2797=""),"",DATE($C2797+2018,$D2797,1))</f>
        <v/>
      </c>
    </row>
    <row r="2798">
      <c r="A2798" s="11" t="n"/>
      <c r="B2798" s="12" t="n"/>
      <c r="C2798" s="12" t="n"/>
      <c r="D2798" s="12" t="n"/>
      <c r="E2798" s="13" t="n"/>
      <c r="F2798" s="12" t="n"/>
      <c r="G2798" s="13" t="n"/>
      <c r="H2798" s="12" t="n"/>
      <c r="I2798" s="12" t="n"/>
      <c r="J2798" s="12" t="n"/>
      <c r="K2798" s="12" t="n"/>
      <c r="L2798" s="11" t="n"/>
      <c r="M2798" s="11" t="n"/>
      <c r="N2798" s="11" t="n"/>
      <c r="O2798" s="11" t="n"/>
      <c r="P2798" s="12" t="n"/>
      <c r="Q2798" s="11" t="n"/>
      <c r="R2798" s="12" t="n"/>
      <c r="S2798" s="11" t="n"/>
      <c r="T2798" s="12" t="n"/>
      <c r="U2798" s="12" t="n"/>
      <c r="V2798" s="14">
        <f>IF($AN2798="",IF($B2798="","",$H2798),IF(INDEX(職員マスタ!$B$6:$B$405,$AN2798)="",$H2798,INDEX(職員マスタ!$B$6:$B$405,$AN2798)))</f>
        <v/>
      </c>
      <c r="W2798" s="14">
        <f>IF($AN2798="",IF($B2798="","",$R2798),IF(INDEX(職員マスタ!$C$6:$C$405,$AN2798)="",$R2798,INDEX(職員マスタ!$C$6:$C$405,$AN2798)))</f>
        <v/>
      </c>
      <c r="X2798" s="14">
        <f>IF($AO2798="","","R"&amp;$C2798&amp;"."&amp;$D2798)</f>
        <v/>
      </c>
      <c r="Y2798" s="15">
        <f>IF($AN2798="","",IF(INDEX(職員マスタ!$K$6:$K$405,$AN2798)="","",INDEX(職員マスタ!$K$6:$K$405,$AN2798)))</f>
        <v/>
      </c>
      <c r="Z2798" s="14">
        <f>IF(OR($E2798="",$Y2798=""),"",IF($E2798&gt;=$Y2798,"×",IF($E2798&gt;=$Y2798*設定!$C$5,"△","○")))</f>
        <v/>
      </c>
      <c r="AA2798" s="15">
        <f>IF($Z2798="","",IF($Z2798="×",0,IF($Z2798="○",ROUNDDOWN($E2798*設定!$C$4,0),ROUNDDOWN($E2798*ROUND((9*$Y2798-9*$E2798)/(10*$E2798),4),0))))</f>
        <v/>
      </c>
      <c r="AB2798" s="13" t="n"/>
      <c r="AC2798" s="15">
        <f>IF($B2798="","",IF($AB2798&lt;&gt;"",$AB2798,IF($AA2798="","",IF($AA2798&lt;=設定!$C$3,0,$AA2798))))</f>
        <v/>
      </c>
      <c r="AD2798" s="14">
        <f>IF($B2798="","",IF(AND($AE2798&lt;&gt;"",$AG2798="",$AJ2798=""),"保留中",IF($AJ2798&lt;&gt;"",IF(N($AC2798)&gt;0,"支給済","不支給"),IF($AC2798="","要確認",IF($AC2798=0,"不支給","未処理")))))</f>
        <v/>
      </c>
      <c r="AE2798" s="12" t="n"/>
      <c r="AF2798" s="11" t="n"/>
      <c r="AG2798" s="11" t="n"/>
      <c r="AH2798" s="11" t="n"/>
      <c r="AI2798" s="14">
        <f>IF(AND($AD2798="保留中",$AF2798&lt;&gt;""),TODAY()-$AF2798,"")</f>
        <v/>
      </c>
      <c r="AJ2798" s="12" t="n"/>
      <c r="AK2798" s="14">
        <f>IF($B2798="","",IF($AO2798="","対象年月が未入力／","")&amp;IF($B2798="","",IF($AN2798="","職員マスタに未登録の職員番号／",IF($Y2798="","標準報酬月額が未登録／","")&amp;IF(AND($AO2798&lt;&gt;"",OR(AND(INDEX(職員マスタ!$G$6:$G$405,$AN2798)&lt;&gt;"",INDEX(職員マスタ!$G$6:$G$405,$AN2798)&gt;EOMONTH($AO2798,0)),AND(INDEX(職員マスタ!$H$6:$H$405,$AN2798)&lt;&gt;"",INDEX(職員マスタ!$H$6:$H$405,$AN2798)&lt;$AO2798))),"対象月が時短期間外／","")&amp;IF(AND(INDEX(職員マスタ!$F$6:$F$405,$AN2798)&lt;&gt;"",$AO2798&lt;&gt;"",INDEX(職員マスタ!$F$6:$F$405,$AN2798)&lt;$AO2798),"対象月に子が2歳到達済／","")&amp;IF(AND($H2798&lt;&gt;"",INDEX(職員マスタ!$B$6:$B$405,$AN2798)&lt;&gt;"",SUBSTITUTE(SUBSTITUTE($H2798," ","")," ","")&lt;&gt;SUBSTITUTE(SUBSTITUTE(INDEX(職員マスタ!$B$6:$B$405,$AN2798)," ","")," ","")),"氏名がマスタと相違／","")&amp;IF(AND($Q2798&lt;&gt;"",INDEX(職員マスタ!$E$6:$E$405,$AN2798)&lt;&gt;"",$Q2798&lt;&gt;INDEX(職員マスタ!$E$6:$E$405,$AN2798)),"子の生年月日がマスタと相違／","")&amp;IF(AND($L2798&lt;&gt;"",INDEX(職員マスタ!$G$6:$G$405,$AN2798)&lt;&gt;"",$L2798&lt;&gt;INDEX(職員マスタ!$G$6:$G$405,$AN2798)),"時短開始日がマスタと相違／","")&amp;IF(AND($M2798&lt;&gt;"",INDEX(職員マスタ!$H$6:$H$405,$AN2798)&lt;&gt;"",$M2798&lt;&gt;INDEX(職員マスタ!$H$6:$H$405,$AN2798)),"時短終了日がマスタと相違／","")))&amp;IF(AND($B2798&lt;&gt;"",$E2798=""),"報酬額が未入力／","")&amp;IF(N($U2798)&gt;0,"申請書に入力エラーが残っています／","")&amp;IF(AND($B2798&lt;&gt;"",$AO2798&lt;&gt;""),IF(COUNTIFS($B$6:$B$3005,$B2798,$C$6:$C$3005,$C2798,$D$6:$D$3005,$D2798)&gt;1,"同じ月の請求が重複しています／",""),"")&amp;IF(AND(N($E2798)&gt;0,$Z2798&lt;&gt;"",$Z2798&lt;&gt;"×",$AC2798=0,$AB2798=""),"計算額が下限以下のため不支給／",""))</f>
        <v/>
      </c>
      <c r="AL2798" s="12" t="n"/>
      <c r="AM2798" s="14">
        <f>IF($AD2798="保留中",COUNTIF($AD$6:$AD2798,"保留中"),"")</f>
        <v/>
      </c>
      <c r="AN2798" s="14">
        <f>IF($AO2798="","",IF(SUMPRODUCT(MAX((職員マスタ!$A$6:$A$405=$B2798)*(((職員マスタ!$G$6:$G$405="")+(職員マスタ!$G$6:$G$405&lt;=EOMONTH($AO2798,0)))&gt;0)*(((職員マスタ!$H$6:$H$405="")+(職員マスタ!$H$6:$H$405&gt;=$AO2798))&gt;0)*(ROW(職員マスタ!$A$6:$A$405)-5)))&gt;0,SUMPRODUCT(MAX((職員マスタ!$A$6:$A$405=$B2798)*(((職員マスタ!$G$6:$G$405="")+(職員マスタ!$G$6:$G$405&lt;=EOMONTH($AO2798,0)))&gt;0)*(((職員マスタ!$H$6:$H$405="")+(職員マスタ!$H$6:$H$405&gt;=$AO2798))&gt;0)*(ROW(職員マスタ!$A$6:$A$405)-5))),IFERROR(MATCH($B2798,職員マスタ!$A$6:$A$405,0),"")))</f>
        <v/>
      </c>
      <c r="AO2798" s="16">
        <f>IF(OR($B2798="",$C2798="",$D2798=""),"",DATE($C2798+2018,$D2798,1))</f>
        <v/>
      </c>
    </row>
    <row r="2799">
      <c r="A2799" s="11" t="n"/>
      <c r="B2799" s="12" t="n"/>
      <c r="C2799" s="12" t="n"/>
      <c r="D2799" s="12" t="n"/>
      <c r="E2799" s="13" t="n"/>
      <c r="F2799" s="12" t="n"/>
      <c r="G2799" s="13" t="n"/>
      <c r="H2799" s="12" t="n"/>
      <c r="I2799" s="12" t="n"/>
      <c r="J2799" s="12" t="n"/>
      <c r="K2799" s="12" t="n"/>
      <c r="L2799" s="11" t="n"/>
      <c r="M2799" s="11" t="n"/>
      <c r="N2799" s="11" t="n"/>
      <c r="O2799" s="11" t="n"/>
      <c r="P2799" s="12" t="n"/>
      <c r="Q2799" s="11" t="n"/>
      <c r="R2799" s="12" t="n"/>
      <c r="S2799" s="11" t="n"/>
      <c r="T2799" s="12" t="n"/>
      <c r="U2799" s="12" t="n"/>
      <c r="V2799" s="14">
        <f>IF($AN2799="",IF($B2799="","",$H2799),IF(INDEX(職員マスタ!$B$6:$B$405,$AN2799)="",$H2799,INDEX(職員マスタ!$B$6:$B$405,$AN2799)))</f>
        <v/>
      </c>
      <c r="W2799" s="14">
        <f>IF($AN2799="",IF($B2799="","",$R2799),IF(INDEX(職員マスタ!$C$6:$C$405,$AN2799)="",$R2799,INDEX(職員マスタ!$C$6:$C$405,$AN2799)))</f>
        <v/>
      </c>
      <c r="X2799" s="14">
        <f>IF($AO2799="","","R"&amp;$C2799&amp;"."&amp;$D2799)</f>
        <v/>
      </c>
      <c r="Y2799" s="15">
        <f>IF($AN2799="","",IF(INDEX(職員マスタ!$K$6:$K$405,$AN2799)="","",INDEX(職員マスタ!$K$6:$K$405,$AN2799)))</f>
        <v/>
      </c>
      <c r="Z2799" s="14">
        <f>IF(OR($E2799="",$Y2799=""),"",IF($E2799&gt;=$Y2799,"×",IF($E2799&gt;=$Y2799*設定!$C$5,"△","○")))</f>
        <v/>
      </c>
      <c r="AA2799" s="15">
        <f>IF($Z2799="","",IF($Z2799="×",0,IF($Z2799="○",ROUNDDOWN($E2799*設定!$C$4,0),ROUNDDOWN($E2799*ROUND((9*$Y2799-9*$E2799)/(10*$E2799),4),0))))</f>
        <v/>
      </c>
      <c r="AB2799" s="13" t="n"/>
      <c r="AC2799" s="15">
        <f>IF($B2799="","",IF($AB2799&lt;&gt;"",$AB2799,IF($AA2799="","",IF($AA2799&lt;=設定!$C$3,0,$AA2799))))</f>
        <v/>
      </c>
      <c r="AD2799" s="14">
        <f>IF($B2799="","",IF(AND($AE2799&lt;&gt;"",$AG2799="",$AJ2799=""),"保留中",IF($AJ2799&lt;&gt;"",IF(N($AC2799)&gt;0,"支給済","不支給"),IF($AC2799="","要確認",IF($AC2799=0,"不支給","未処理")))))</f>
        <v/>
      </c>
      <c r="AE2799" s="12" t="n"/>
      <c r="AF2799" s="11" t="n"/>
      <c r="AG2799" s="11" t="n"/>
      <c r="AH2799" s="11" t="n"/>
      <c r="AI2799" s="14">
        <f>IF(AND($AD2799="保留中",$AF2799&lt;&gt;""),TODAY()-$AF2799,"")</f>
        <v/>
      </c>
      <c r="AJ2799" s="12" t="n"/>
      <c r="AK2799" s="14">
        <f>IF($B2799="","",IF($AO2799="","対象年月が未入力／","")&amp;IF($B2799="","",IF($AN2799="","職員マスタに未登録の職員番号／",IF($Y2799="","標準報酬月額が未登録／","")&amp;IF(AND($AO2799&lt;&gt;"",OR(AND(INDEX(職員マスタ!$G$6:$G$405,$AN2799)&lt;&gt;"",INDEX(職員マスタ!$G$6:$G$405,$AN2799)&gt;EOMONTH($AO2799,0)),AND(INDEX(職員マスタ!$H$6:$H$405,$AN2799)&lt;&gt;"",INDEX(職員マスタ!$H$6:$H$405,$AN2799)&lt;$AO2799))),"対象月が時短期間外／","")&amp;IF(AND(INDEX(職員マスタ!$F$6:$F$405,$AN2799)&lt;&gt;"",$AO2799&lt;&gt;"",INDEX(職員マスタ!$F$6:$F$405,$AN2799)&lt;$AO2799),"対象月に子が2歳到達済／","")&amp;IF(AND($H2799&lt;&gt;"",INDEX(職員マスタ!$B$6:$B$405,$AN2799)&lt;&gt;"",SUBSTITUTE(SUBSTITUTE($H2799," ","")," ","")&lt;&gt;SUBSTITUTE(SUBSTITUTE(INDEX(職員マスタ!$B$6:$B$405,$AN2799)," ","")," ","")),"氏名がマスタと相違／","")&amp;IF(AND($Q2799&lt;&gt;"",INDEX(職員マスタ!$E$6:$E$405,$AN2799)&lt;&gt;"",$Q2799&lt;&gt;INDEX(職員マスタ!$E$6:$E$405,$AN2799)),"子の生年月日がマスタと相違／","")&amp;IF(AND($L2799&lt;&gt;"",INDEX(職員マスタ!$G$6:$G$405,$AN2799)&lt;&gt;"",$L2799&lt;&gt;INDEX(職員マスタ!$G$6:$G$405,$AN2799)),"時短開始日がマスタと相違／","")&amp;IF(AND($M2799&lt;&gt;"",INDEX(職員マスタ!$H$6:$H$405,$AN2799)&lt;&gt;"",$M2799&lt;&gt;INDEX(職員マスタ!$H$6:$H$405,$AN2799)),"時短終了日がマスタと相違／","")))&amp;IF(AND($B2799&lt;&gt;"",$E2799=""),"報酬額が未入力／","")&amp;IF(N($U2799)&gt;0,"申請書に入力エラーが残っています／","")&amp;IF(AND($B2799&lt;&gt;"",$AO2799&lt;&gt;""),IF(COUNTIFS($B$6:$B$3005,$B2799,$C$6:$C$3005,$C2799,$D$6:$D$3005,$D2799)&gt;1,"同じ月の請求が重複しています／",""),"")&amp;IF(AND(N($E2799)&gt;0,$Z2799&lt;&gt;"",$Z2799&lt;&gt;"×",$AC2799=0,$AB2799=""),"計算額が下限以下のため不支給／",""))</f>
        <v/>
      </c>
      <c r="AL2799" s="12" t="n"/>
      <c r="AM2799" s="14">
        <f>IF($AD2799="保留中",COUNTIF($AD$6:$AD2799,"保留中"),"")</f>
        <v/>
      </c>
      <c r="AN2799" s="14">
        <f>IF($AO2799="","",IF(SUMPRODUCT(MAX((職員マスタ!$A$6:$A$405=$B2799)*(((職員マスタ!$G$6:$G$405="")+(職員マスタ!$G$6:$G$405&lt;=EOMONTH($AO2799,0)))&gt;0)*(((職員マスタ!$H$6:$H$405="")+(職員マスタ!$H$6:$H$405&gt;=$AO2799))&gt;0)*(ROW(職員マスタ!$A$6:$A$405)-5)))&gt;0,SUMPRODUCT(MAX((職員マスタ!$A$6:$A$405=$B2799)*(((職員マスタ!$G$6:$G$405="")+(職員マスタ!$G$6:$G$405&lt;=EOMONTH($AO2799,0)))&gt;0)*(((職員マスタ!$H$6:$H$405="")+(職員マスタ!$H$6:$H$405&gt;=$AO2799))&gt;0)*(ROW(職員マスタ!$A$6:$A$405)-5))),IFERROR(MATCH($B2799,職員マスタ!$A$6:$A$405,0),"")))</f>
        <v/>
      </c>
      <c r="AO2799" s="16">
        <f>IF(OR($B2799="",$C2799="",$D2799=""),"",DATE($C2799+2018,$D2799,1))</f>
        <v/>
      </c>
    </row>
    <row r="2800">
      <c r="A2800" s="11" t="n"/>
      <c r="B2800" s="12" t="n"/>
      <c r="C2800" s="12" t="n"/>
      <c r="D2800" s="12" t="n"/>
      <c r="E2800" s="13" t="n"/>
      <c r="F2800" s="12" t="n"/>
      <c r="G2800" s="13" t="n"/>
      <c r="H2800" s="12" t="n"/>
      <c r="I2800" s="12" t="n"/>
      <c r="J2800" s="12" t="n"/>
      <c r="K2800" s="12" t="n"/>
      <c r="L2800" s="11" t="n"/>
      <c r="M2800" s="11" t="n"/>
      <c r="N2800" s="11" t="n"/>
      <c r="O2800" s="11" t="n"/>
      <c r="P2800" s="12" t="n"/>
      <c r="Q2800" s="11" t="n"/>
      <c r="R2800" s="12" t="n"/>
      <c r="S2800" s="11" t="n"/>
      <c r="T2800" s="12" t="n"/>
      <c r="U2800" s="12" t="n"/>
      <c r="V2800" s="14">
        <f>IF($AN2800="",IF($B2800="","",$H2800),IF(INDEX(職員マスタ!$B$6:$B$405,$AN2800)="",$H2800,INDEX(職員マスタ!$B$6:$B$405,$AN2800)))</f>
        <v/>
      </c>
      <c r="W2800" s="14">
        <f>IF($AN2800="",IF($B2800="","",$R2800),IF(INDEX(職員マスタ!$C$6:$C$405,$AN2800)="",$R2800,INDEX(職員マスタ!$C$6:$C$405,$AN2800)))</f>
        <v/>
      </c>
      <c r="X2800" s="14">
        <f>IF($AO2800="","","R"&amp;$C2800&amp;"."&amp;$D2800)</f>
        <v/>
      </c>
      <c r="Y2800" s="15">
        <f>IF($AN2800="","",IF(INDEX(職員マスタ!$K$6:$K$405,$AN2800)="","",INDEX(職員マスタ!$K$6:$K$405,$AN2800)))</f>
        <v/>
      </c>
      <c r="Z2800" s="14">
        <f>IF(OR($E2800="",$Y2800=""),"",IF($E2800&gt;=$Y2800,"×",IF($E2800&gt;=$Y2800*設定!$C$5,"△","○")))</f>
        <v/>
      </c>
      <c r="AA2800" s="15">
        <f>IF($Z2800="","",IF($Z2800="×",0,IF($Z2800="○",ROUNDDOWN($E2800*設定!$C$4,0),ROUNDDOWN($E2800*ROUND((9*$Y2800-9*$E2800)/(10*$E2800),4),0))))</f>
        <v/>
      </c>
      <c r="AB2800" s="13" t="n"/>
      <c r="AC2800" s="15">
        <f>IF($B2800="","",IF($AB2800&lt;&gt;"",$AB2800,IF($AA2800="","",IF($AA2800&lt;=設定!$C$3,0,$AA2800))))</f>
        <v/>
      </c>
      <c r="AD2800" s="14">
        <f>IF($B2800="","",IF(AND($AE2800&lt;&gt;"",$AG2800="",$AJ2800=""),"保留中",IF($AJ2800&lt;&gt;"",IF(N($AC2800)&gt;0,"支給済","不支給"),IF($AC2800="","要確認",IF($AC2800=0,"不支給","未処理")))))</f>
        <v/>
      </c>
      <c r="AE2800" s="12" t="n"/>
      <c r="AF2800" s="11" t="n"/>
      <c r="AG2800" s="11" t="n"/>
      <c r="AH2800" s="11" t="n"/>
      <c r="AI2800" s="14">
        <f>IF(AND($AD2800="保留中",$AF2800&lt;&gt;""),TODAY()-$AF2800,"")</f>
        <v/>
      </c>
      <c r="AJ2800" s="12" t="n"/>
      <c r="AK2800" s="14">
        <f>IF($B2800="","",IF($AO2800="","対象年月が未入力／","")&amp;IF($B2800="","",IF($AN2800="","職員マスタに未登録の職員番号／",IF($Y2800="","標準報酬月額が未登録／","")&amp;IF(AND($AO2800&lt;&gt;"",OR(AND(INDEX(職員マスタ!$G$6:$G$405,$AN2800)&lt;&gt;"",INDEX(職員マスタ!$G$6:$G$405,$AN2800)&gt;EOMONTH($AO2800,0)),AND(INDEX(職員マスタ!$H$6:$H$405,$AN2800)&lt;&gt;"",INDEX(職員マスタ!$H$6:$H$405,$AN2800)&lt;$AO2800))),"対象月が時短期間外／","")&amp;IF(AND(INDEX(職員マスタ!$F$6:$F$405,$AN2800)&lt;&gt;"",$AO2800&lt;&gt;"",INDEX(職員マスタ!$F$6:$F$405,$AN2800)&lt;$AO2800),"対象月に子が2歳到達済／","")&amp;IF(AND($H2800&lt;&gt;"",INDEX(職員マスタ!$B$6:$B$405,$AN2800)&lt;&gt;"",SUBSTITUTE(SUBSTITUTE($H2800," ","")," ","")&lt;&gt;SUBSTITUTE(SUBSTITUTE(INDEX(職員マスタ!$B$6:$B$405,$AN2800)," ","")," ","")),"氏名がマスタと相違／","")&amp;IF(AND($Q2800&lt;&gt;"",INDEX(職員マスタ!$E$6:$E$405,$AN2800)&lt;&gt;"",$Q2800&lt;&gt;INDEX(職員マスタ!$E$6:$E$405,$AN2800)),"子の生年月日がマスタと相違／","")&amp;IF(AND($L2800&lt;&gt;"",INDEX(職員マスタ!$G$6:$G$405,$AN2800)&lt;&gt;"",$L2800&lt;&gt;INDEX(職員マスタ!$G$6:$G$405,$AN2800)),"時短開始日がマスタと相違／","")&amp;IF(AND($M2800&lt;&gt;"",INDEX(職員マスタ!$H$6:$H$405,$AN2800)&lt;&gt;"",$M2800&lt;&gt;INDEX(職員マスタ!$H$6:$H$405,$AN2800)),"時短終了日がマスタと相違／","")))&amp;IF(AND($B2800&lt;&gt;"",$E2800=""),"報酬額が未入力／","")&amp;IF(N($U2800)&gt;0,"申請書に入力エラーが残っています／","")&amp;IF(AND($B2800&lt;&gt;"",$AO2800&lt;&gt;""),IF(COUNTIFS($B$6:$B$3005,$B2800,$C$6:$C$3005,$C2800,$D$6:$D$3005,$D2800)&gt;1,"同じ月の請求が重複しています／",""),"")&amp;IF(AND(N($E2800)&gt;0,$Z2800&lt;&gt;"",$Z2800&lt;&gt;"×",$AC2800=0,$AB2800=""),"計算額が下限以下のため不支給／",""))</f>
        <v/>
      </c>
      <c r="AL2800" s="12" t="n"/>
      <c r="AM2800" s="14">
        <f>IF($AD2800="保留中",COUNTIF($AD$6:$AD2800,"保留中"),"")</f>
        <v/>
      </c>
      <c r="AN2800" s="14">
        <f>IF($AO2800="","",IF(SUMPRODUCT(MAX((職員マスタ!$A$6:$A$405=$B2800)*(((職員マスタ!$G$6:$G$405="")+(職員マスタ!$G$6:$G$405&lt;=EOMONTH($AO2800,0)))&gt;0)*(((職員マスタ!$H$6:$H$405="")+(職員マスタ!$H$6:$H$405&gt;=$AO2800))&gt;0)*(ROW(職員マスタ!$A$6:$A$405)-5)))&gt;0,SUMPRODUCT(MAX((職員マスタ!$A$6:$A$405=$B2800)*(((職員マスタ!$G$6:$G$405="")+(職員マスタ!$G$6:$G$405&lt;=EOMONTH($AO2800,0)))&gt;0)*(((職員マスタ!$H$6:$H$405="")+(職員マスタ!$H$6:$H$405&gt;=$AO2800))&gt;0)*(ROW(職員マスタ!$A$6:$A$405)-5))),IFERROR(MATCH($B2800,職員マスタ!$A$6:$A$405,0),"")))</f>
        <v/>
      </c>
      <c r="AO2800" s="16">
        <f>IF(OR($B2800="",$C2800="",$D2800=""),"",DATE($C2800+2018,$D2800,1))</f>
        <v/>
      </c>
    </row>
    <row r="2801">
      <c r="A2801" s="11" t="n"/>
      <c r="B2801" s="12" t="n"/>
      <c r="C2801" s="12" t="n"/>
      <c r="D2801" s="12" t="n"/>
      <c r="E2801" s="13" t="n"/>
      <c r="F2801" s="12" t="n"/>
      <c r="G2801" s="13" t="n"/>
      <c r="H2801" s="12" t="n"/>
      <c r="I2801" s="12" t="n"/>
      <c r="J2801" s="12" t="n"/>
      <c r="K2801" s="12" t="n"/>
      <c r="L2801" s="11" t="n"/>
      <c r="M2801" s="11" t="n"/>
      <c r="N2801" s="11" t="n"/>
      <c r="O2801" s="11" t="n"/>
      <c r="P2801" s="12" t="n"/>
      <c r="Q2801" s="11" t="n"/>
      <c r="R2801" s="12" t="n"/>
      <c r="S2801" s="11" t="n"/>
      <c r="T2801" s="12" t="n"/>
      <c r="U2801" s="12" t="n"/>
      <c r="V2801" s="14">
        <f>IF($AN2801="",IF($B2801="","",$H2801),IF(INDEX(職員マスタ!$B$6:$B$405,$AN2801)="",$H2801,INDEX(職員マスタ!$B$6:$B$405,$AN2801)))</f>
        <v/>
      </c>
      <c r="W2801" s="14">
        <f>IF($AN2801="",IF($B2801="","",$R2801),IF(INDEX(職員マスタ!$C$6:$C$405,$AN2801)="",$R2801,INDEX(職員マスタ!$C$6:$C$405,$AN2801)))</f>
        <v/>
      </c>
      <c r="X2801" s="14">
        <f>IF($AO2801="","","R"&amp;$C2801&amp;"."&amp;$D2801)</f>
        <v/>
      </c>
      <c r="Y2801" s="15">
        <f>IF($AN2801="","",IF(INDEX(職員マスタ!$K$6:$K$405,$AN2801)="","",INDEX(職員マスタ!$K$6:$K$405,$AN2801)))</f>
        <v/>
      </c>
      <c r="Z2801" s="14">
        <f>IF(OR($E2801="",$Y2801=""),"",IF($E2801&gt;=$Y2801,"×",IF($E2801&gt;=$Y2801*設定!$C$5,"△","○")))</f>
        <v/>
      </c>
      <c r="AA2801" s="15">
        <f>IF($Z2801="","",IF($Z2801="×",0,IF($Z2801="○",ROUNDDOWN($E2801*設定!$C$4,0),ROUNDDOWN($E2801*ROUND((9*$Y2801-9*$E2801)/(10*$E2801),4),0))))</f>
        <v/>
      </c>
      <c r="AB2801" s="13" t="n"/>
      <c r="AC2801" s="15">
        <f>IF($B2801="","",IF($AB2801&lt;&gt;"",$AB2801,IF($AA2801="","",IF($AA2801&lt;=設定!$C$3,0,$AA2801))))</f>
        <v/>
      </c>
      <c r="AD2801" s="14">
        <f>IF($B2801="","",IF(AND($AE2801&lt;&gt;"",$AG2801="",$AJ2801=""),"保留中",IF($AJ2801&lt;&gt;"",IF(N($AC2801)&gt;0,"支給済","不支給"),IF($AC2801="","要確認",IF($AC2801=0,"不支給","未処理")))))</f>
        <v/>
      </c>
      <c r="AE2801" s="12" t="n"/>
      <c r="AF2801" s="11" t="n"/>
      <c r="AG2801" s="11" t="n"/>
      <c r="AH2801" s="11" t="n"/>
      <c r="AI2801" s="14">
        <f>IF(AND($AD2801="保留中",$AF2801&lt;&gt;""),TODAY()-$AF2801,"")</f>
        <v/>
      </c>
      <c r="AJ2801" s="12" t="n"/>
      <c r="AK2801" s="14">
        <f>IF($B2801="","",IF($AO2801="","対象年月が未入力／","")&amp;IF($B2801="","",IF($AN2801="","職員マスタに未登録の職員番号／",IF($Y2801="","標準報酬月額が未登録／","")&amp;IF(AND($AO2801&lt;&gt;"",OR(AND(INDEX(職員マスタ!$G$6:$G$405,$AN2801)&lt;&gt;"",INDEX(職員マスタ!$G$6:$G$405,$AN2801)&gt;EOMONTH($AO2801,0)),AND(INDEX(職員マスタ!$H$6:$H$405,$AN2801)&lt;&gt;"",INDEX(職員マスタ!$H$6:$H$405,$AN2801)&lt;$AO2801))),"対象月が時短期間外／","")&amp;IF(AND(INDEX(職員マスタ!$F$6:$F$405,$AN2801)&lt;&gt;"",$AO2801&lt;&gt;"",INDEX(職員マスタ!$F$6:$F$405,$AN2801)&lt;$AO2801),"対象月に子が2歳到達済／","")&amp;IF(AND($H2801&lt;&gt;"",INDEX(職員マスタ!$B$6:$B$405,$AN2801)&lt;&gt;"",SUBSTITUTE(SUBSTITUTE($H2801," ","")," ","")&lt;&gt;SUBSTITUTE(SUBSTITUTE(INDEX(職員マスタ!$B$6:$B$405,$AN2801)," ","")," ","")),"氏名がマスタと相違／","")&amp;IF(AND($Q2801&lt;&gt;"",INDEX(職員マスタ!$E$6:$E$405,$AN2801)&lt;&gt;"",$Q2801&lt;&gt;INDEX(職員マスタ!$E$6:$E$405,$AN2801)),"子の生年月日がマスタと相違／","")&amp;IF(AND($L2801&lt;&gt;"",INDEX(職員マスタ!$G$6:$G$405,$AN2801)&lt;&gt;"",$L2801&lt;&gt;INDEX(職員マスタ!$G$6:$G$405,$AN2801)),"時短開始日がマスタと相違／","")&amp;IF(AND($M2801&lt;&gt;"",INDEX(職員マスタ!$H$6:$H$405,$AN2801)&lt;&gt;"",$M2801&lt;&gt;INDEX(職員マスタ!$H$6:$H$405,$AN2801)),"時短終了日がマスタと相違／","")))&amp;IF(AND($B2801&lt;&gt;"",$E2801=""),"報酬額が未入力／","")&amp;IF(N($U2801)&gt;0,"申請書に入力エラーが残っています／","")&amp;IF(AND($B2801&lt;&gt;"",$AO2801&lt;&gt;""),IF(COUNTIFS($B$6:$B$3005,$B2801,$C$6:$C$3005,$C2801,$D$6:$D$3005,$D2801)&gt;1,"同じ月の請求が重複しています／",""),"")&amp;IF(AND(N($E2801)&gt;0,$Z2801&lt;&gt;"",$Z2801&lt;&gt;"×",$AC2801=0,$AB2801=""),"計算額が下限以下のため不支給／",""))</f>
        <v/>
      </c>
      <c r="AL2801" s="12" t="n"/>
      <c r="AM2801" s="14">
        <f>IF($AD2801="保留中",COUNTIF($AD$6:$AD2801,"保留中"),"")</f>
        <v/>
      </c>
      <c r="AN2801" s="14">
        <f>IF($AO2801="","",IF(SUMPRODUCT(MAX((職員マスタ!$A$6:$A$405=$B2801)*(((職員マスタ!$G$6:$G$405="")+(職員マスタ!$G$6:$G$405&lt;=EOMONTH($AO2801,0)))&gt;0)*(((職員マスタ!$H$6:$H$405="")+(職員マスタ!$H$6:$H$405&gt;=$AO2801))&gt;0)*(ROW(職員マスタ!$A$6:$A$405)-5)))&gt;0,SUMPRODUCT(MAX((職員マスタ!$A$6:$A$405=$B2801)*(((職員マスタ!$G$6:$G$405="")+(職員マスタ!$G$6:$G$405&lt;=EOMONTH($AO2801,0)))&gt;0)*(((職員マスタ!$H$6:$H$405="")+(職員マスタ!$H$6:$H$405&gt;=$AO2801))&gt;0)*(ROW(職員マスタ!$A$6:$A$405)-5))),IFERROR(MATCH($B2801,職員マスタ!$A$6:$A$405,0),"")))</f>
        <v/>
      </c>
      <c r="AO2801" s="16">
        <f>IF(OR($B2801="",$C2801="",$D2801=""),"",DATE($C2801+2018,$D2801,1))</f>
        <v/>
      </c>
    </row>
    <row r="2802">
      <c r="A2802" s="11" t="n"/>
      <c r="B2802" s="12" t="n"/>
      <c r="C2802" s="12" t="n"/>
      <c r="D2802" s="12" t="n"/>
      <c r="E2802" s="13" t="n"/>
      <c r="F2802" s="12" t="n"/>
      <c r="G2802" s="13" t="n"/>
      <c r="H2802" s="12" t="n"/>
      <c r="I2802" s="12" t="n"/>
      <c r="J2802" s="12" t="n"/>
      <c r="K2802" s="12" t="n"/>
      <c r="L2802" s="11" t="n"/>
      <c r="M2802" s="11" t="n"/>
      <c r="N2802" s="11" t="n"/>
      <c r="O2802" s="11" t="n"/>
      <c r="P2802" s="12" t="n"/>
      <c r="Q2802" s="11" t="n"/>
      <c r="R2802" s="12" t="n"/>
      <c r="S2802" s="11" t="n"/>
      <c r="T2802" s="12" t="n"/>
      <c r="U2802" s="12" t="n"/>
      <c r="V2802" s="14">
        <f>IF($AN2802="",IF($B2802="","",$H2802),IF(INDEX(職員マスタ!$B$6:$B$405,$AN2802)="",$H2802,INDEX(職員マスタ!$B$6:$B$405,$AN2802)))</f>
        <v/>
      </c>
      <c r="W2802" s="14">
        <f>IF($AN2802="",IF($B2802="","",$R2802),IF(INDEX(職員マスタ!$C$6:$C$405,$AN2802)="",$R2802,INDEX(職員マスタ!$C$6:$C$405,$AN2802)))</f>
        <v/>
      </c>
      <c r="X2802" s="14">
        <f>IF($AO2802="","","R"&amp;$C2802&amp;"."&amp;$D2802)</f>
        <v/>
      </c>
      <c r="Y2802" s="15">
        <f>IF($AN2802="","",IF(INDEX(職員マスタ!$K$6:$K$405,$AN2802)="","",INDEX(職員マスタ!$K$6:$K$405,$AN2802)))</f>
        <v/>
      </c>
      <c r="Z2802" s="14">
        <f>IF(OR($E2802="",$Y2802=""),"",IF($E2802&gt;=$Y2802,"×",IF($E2802&gt;=$Y2802*設定!$C$5,"△","○")))</f>
        <v/>
      </c>
      <c r="AA2802" s="15">
        <f>IF($Z2802="","",IF($Z2802="×",0,IF($Z2802="○",ROUNDDOWN($E2802*設定!$C$4,0),ROUNDDOWN($E2802*ROUND((9*$Y2802-9*$E2802)/(10*$E2802),4),0))))</f>
        <v/>
      </c>
      <c r="AB2802" s="13" t="n"/>
      <c r="AC2802" s="15">
        <f>IF($B2802="","",IF($AB2802&lt;&gt;"",$AB2802,IF($AA2802="","",IF($AA2802&lt;=設定!$C$3,0,$AA2802))))</f>
        <v/>
      </c>
      <c r="AD2802" s="14">
        <f>IF($B2802="","",IF(AND($AE2802&lt;&gt;"",$AG2802="",$AJ2802=""),"保留中",IF($AJ2802&lt;&gt;"",IF(N($AC2802)&gt;0,"支給済","不支給"),IF($AC2802="","要確認",IF($AC2802=0,"不支給","未処理")))))</f>
        <v/>
      </c>
      <c r="AE2802" s="12" t="n"/>
      <c r="AF2802" s="11" t="n"/>
      <c r="AG2802" s="11" t="n"/>
      <c r="AH2802" s="11" t="n"/>
      <c r="AI2802" s="14">
        <f>IF(AND($AD2802="保留中",$AF2802&lt;&gt;""),TODAY()-$AF2802,"")</f>
        <v/>
      </c>
      <c r="AJ2802" s="12" t="n"/>
      <c r="AK2802" s="14">
        <f>IF($B2802="","",IF($AO2802="","対象年月が未入力／","")&amp;IF($B2802="","",IF($AN2802="","職員マスタに未登録の職員番号／",IF($Y2802="","標準報酬月額が未登録／","")&amp;IF(AND($AO2802&lt;&gt;"",OR(AND(INDEX(職員マスタ!$G$6:$G$405,$AN2802)&lt;&gt;"",INDEX(職員マスタ!$G$6:$G$405,$AN2802)&gt;EOMONTH($AO2802,0)),AND(INDEX(職員マスタ!$H$6:$H$405,$AN2802)&lt;&gt;"",INDEX(職員マスタ!$H$6:$H$405,$AN2802)&lt;$AO2802))),"対象月が時短期間外／","")&amp;IF(AND(INDEX(職員マスタ!$F$6:$F$405,$AN2802)&lt;&gt;"",$AO2802&lt;&gt;"",INDEX(職員マスタ!$F$6:$F$405,$AN2802)&lt;$AO2802),"対象月に子が2歳到達済／","")&amp;IF(AND($H2802&lt;&gt;"",INDEX(職員マスタ!$B$6:$B$405,$AN2802)&lt;&gt;"",SUBSTITUTE(SUBSTITUTE($H2802," ","")," ","")&lt;&gt;SUBSTITUTE(SUBSTITUTE(INDEX(職員マスタ!$B$6:$B$405,$AN2802)," ","")," ","")),"氏名がマスタと相違／","")&amp;IF(AND($Q2802&lt;&gt;"",INDEX(職員マスタ!$E$6:$E$405,$AN2802)&lt;&gt;"",$Q2802&lt;&gt;INDEX(職員マスタ!$E$6:$E$405,$AN2802)),"子の生年月日がマスタと相違／","")&amp;IF(AND($L2802&lt;&gt;"",INDEX(職員マスタ!$G$6:$G$405,$AN2802)&lt;&gt;"",$L2802&lt;&gt;INDEX(職員マスタ!$G$6:$G$405,$AN2802)),"時短開始日がマスタと相違／","")&amp;IF(AND($M2802&lt;&gt;"",INDEX(職員マスタ!$H$6:$H$405,$AN2802)&lt;&gt;"",$M2802&lt;&gt;INDEX(職員マスタ!$H$6:$H$405,$AN2802)),"時短終了日がマスタと相違／","")))&amp;IF(AND($B2802&lt;&gt;"",$E2802=""),"報酬額が未入力／","")&amp;IF(N($U2802)&gt;0,"申請書に入力エラーが残っています／","")&amp;IF(AND($B2802&lt;&gt;"",$AO2802&lt;&gt;""),IF(COUNTIFS($B$6:$B$3005,$B2802,$C$6:$C$3005,$C2802,$D$6:$D$3005,$D2802)&gt;1,"同じ月の請求が重複しています／",""),"")&amp;IF(AND(N($E2802)&gt;0,$Z2802&lt;&gt;"",$Z2802&lt;&gt;"×",$AC2802=0,$AB2802=""),"計算額が下限以下のため不支給／",""))</f>
        <v/>
      </c>
      <c r="AL2802" s="12" t="n"/>
      <c r="AM2802" s="14">
        <f>IF($AD2802="保留中",COUNTIF($AD$6:$AD2802,"保留中"),"")</f>
        <v/>
      </c>
      <c r="AN2802" s="14">
        <f>IF($AO2802="","",IF(SUMPRODUCT(MAX((職員マスタ!$A$6:$A$405=$B2802)*(((職員マスタ!$G$6:$G$405="")+(職員マスタ!$G$6:$G$405&lt;=EOMONTH($AO2802,0)))&gt;0)*(((職員マスタ!$H$6:$H$405="")+(職員マスタ!$H$6:$H$405&gt;=$AO2802))&gt;0)*(ROW(職員マスタ!$A$6:$A$405)-5)))&gt;0,SUMPRODUCT(MAX((職員マスタ!$A$6:$A$405=$B2802)*(((職員マスタ!$G$6:$G$405="")+(職員マスタ!$G$6:$G$405&lt;=EOMONTH($AO2802,0)))&gt;0)*(((職員マスタ!$H$6:$H$405="")+(職員マスタ!$H$6:$H$405&gt;=$AO2802))&gt;0)*(ROW(職員マスタ!$A$6:$A$405)-5))),IFERROR(MATCH($B2802,職員マスタ!$A$6:$A$405,0),"")))</f>
        <v/>
      </c>
      <c r="AO2802" s="16">
        <f>IF(OR($B2802="",$C2802="",$D2802=""),"",DATE($C2802+2018,$D2802,1))</f>
        <v/>
      </c>
    </row>
    <row r="2803">
      <c r="A2803" s="11" t="n"/>
      <c r="B2803" s="12" t="n"/>
      <c r="C2803" s="12" t="n"/>
      <c r="D2803" s="12" t="n"/>
      <c r="E2803" s="13" t="n"/>
      <c r="F2803" s="12" t="n"/>
      <c r="G2803" s="13" t="n"/>
      <c r="H2803" s="12" t="n"/>
      <c r="I2803" s="12" t="n"/>
      <c r="J2803" s="12" t="n"/>
      <c r="K2803" s="12" t="n"/>
      <c r="L2803" s="11" t="n"/>
      <c r="M2803" s="11" t="n"/>
      <c r="N2803" s="11" t="n"/>
      <c r="O2803" s="11" t="n"/>
      <c r="P2803" s="12" t="n"/>
      <c r="Q2803" s="11" t="n"/>
      <c r="R2803" s="12" t="n"/>
      <c r="S2803" s="11" t="n"/>
      <c r="T2803" s="12" t="n"/>
      <c r="U2803" s="12" t="n"/>
      <c r="V2803" s="14">
        <f>IF($AN2803="",IF($B2803="","",$H2803),IF(INDEX(職員マスタ!$B$6:$B$405,$AN2803)="",$H2803,INDEX(職員マスタ!$B$6:$B$405,$AN2803)))</f>
        <v/>
      </c>
      <c r="W2803" s="14">
        <f>IF($AN2803="",IF($B2803="","",$R2803),IF(INDEX(職員マスタ!$C$6:$C$405,$AN2803)="",$R2803,INDEX(職員マスタ!$C$6:$C$405,$AN2803)))</f>
        <v/>
      </c>
      <c r="X2803" s="14">
        <f>IF($AO2803="","","R"&amp;$C2803&amp;"."&amp;$D2803)</f>
        <v/>
      </c>
      <c r="Y2803" s="15">
        <f>IF($AN2803="","",IF(INDEX(職員マスタ!$K$6:$K$405,$AN2803)="","",INDEX(職員マスタ!$K$6:$K$405,$AN2803)))</f>
        <v/>
      </c>
      <c r="Z2803" s="14">
        <f>IF(OR($E2803="",$Y2803=""),"",IF($E2803&gt;=$Y2803,"×",IF($E2803&gt;=$Y2803*設定!$C$5,"△","○")))</f>
        <v/>
      </c>
      <c r="AA2803" s="15">
        <f>IF($Z2803="","",IF($Z2803="×",0,IF($Z2803="○",ROUNDDOWN($E2803*設定!$C$4,0),ROUNDDOWN($E2803*ROUND((9*$Y2803-9*$E2803)/(10*$E2803),4),0))))</f>
        <v/>
      </c>
      <c r="AB2803" s="13" t="n"/>
      <c r="AC2803" s="15">
        <f>IF($B2803="","",IF($AB2803&lt;&gt;"",$AB2803,IF($AA2803="","",IF($AA2803&lt;=設定!$C$3,0,$AA2803))))</f>
        <v/>
      </c>
      <c r="AD2803" s="14">
        <f>IF($B2803="","",IF(AND($AE2803&lt;&gt;"",$AG2803="",$AJ2803=""),"保留中",IF($AJ2803&lt;&gt;"",IF(N($AC2803)&gt;0,"支給済","不支給"),IF($AC2803="","要確認",IF($AC2803=0,"不支給","未処理")))))</f>
        <v/>
      </c>
      <c r="AE2803" s="12" t="n"/>
      <c r="AF2803" s="11" t="n"/>
      <c r="AG2803" s="11" t="n"/>
      <c r="AH2803" s="11" t="n"/>
      <c r="AI2803" s="14">
        <f>IF(AND($AD2803="保留中",$AF2803&lt;&gt;""),TODAY()-$AF2803,"")</f>
        <v/>
      </c>
      <c r="AJ2803" s="12" t="n"/>
      <c r="AK2803" s="14">
        <f>IF($B2803="","",IF($AO2803="","対象年月が未入力／","")&amp;IF($B2803="","",IF($AN2803="","職員マスタに未登録の職員番号／",IF($Y2803="","標準報酬月額が未登録／","")&amp;IF(AND($AO2803&lt;&gt;"",OR(AND(INDEX(職員マスタ!$G$6:$G$405,$AN2803)&lt;&gt;"",INDEX(職員マスタ!$G$6:$G$405,$AN2803)&gt;EOMONTH($AO2803,0)),AND(INDEX(職員マスタ!$H$6:$H$405,$AN2803)&lt;&gt;"",INDEX(職員マスタ!$H$6:$H$405,$AN2803)&lt;$AO2803))),"対象月が時短期間外／","")&amp;IF(AND(INDEX(職員マスタ!$F$6:$F$405,$AN2803)&lt;&gt;"",$AO2803&lt;&gt;"",INDEX(職員マスタ!$F$6:$F$405,$AN2803)&lt;$AO2803),"対象月に子が2歳到達済／","")&amp;IF(AND($H2803&lt;&gt;"",INDEX(職員マスタ!$B$6:$B$405,$AN2803)&lt;&gt;"",SUBSTITUTE(SUBSTITUTE($H2803," ","")," ","")&lt;&gt;SUBSTITUTE(SUBSTITUTE(INDEX(職員マスタ!$B$6:$B$405,$AN2803)," ","")," ","")),"氏名がマスタと相違／","")&amp;IF(AND($Q2803&lt;&gt;"",INDEX(職員マスタ!$E$6:$E$405,$AN2803)&lt;&gt;"",$Q2803&lt;&gt;INDEX(職員マスタ!$E$6:$E$405,$AN2803)),"子の生年月日がマスタと相違／","")&amp;IF(AND($L2803&lt;&gt;"",INDEX(職員マスタ!$G$6:$G$405,$AN2803)&lt;&gt;"",$L2803&lt;&gt;INDEX(職員マスタ!$G$6:$G$405,$AN2803)),"時短開始日がマスタと相違／","")&amp;IF(AND($M2803&lt;&gt;"",INDEX(職員マスタ!$H$6:$H$405,$AN2803)&lt;&gt;"",$M2803&lt;&gt;INDEX(職員マスタ!$H$6:$H$405,$AN2803)),"時短終了日がマスタと相違／","")))&amp;IF(AND($B2803&lt;&gt;"",$E2803=""),"報酬額が未入力／","")&amp;IF(N($U2803)&gt;0,"申請書に入力エラーが残っています／","")&amp;IF(AND($B2803&lt;&gt;"",$AO2803&lt;&gt;""),IF(COUNTIFS($B$6:$B$3005,$B2803,$C$6:$C$3005,$C2803,$D$6:$D$3005,$D2803)&gt;1,"同じ月の請求が重複しています／",""),"")&amp;IF(AND(N($E2803)&gt;0,$Z2803&lt;&gt;"",$Z2803&lt;&gt;"×",$AC2803=0,$AB2803=""),"計算額が下限以下のため不支給／",""))</f>
        <v/>
      </c>
      <c r="AL2803" s="12" t="n"/>
      <c r="AM2803" s="14">
        <f>IF($AD2803="保留中",COUNTIF($AD$6:$AD2803,"保留中"),"")</f>
        <v/>
      </c>
      <c r="AN2803" s="14">
        <f>IF($AO2803="","",IF(SUMPRODUCT(MAX((職員マスタ!$A$6:$A$405=$B2803)*(((職員マスタ!$G$6:$G$405="")+(職員マスタ!$G$6:$G$405&lt;=EOMONTH($AO2803,0)))&gt;0)*(((職員マスタ!$H$6:$H$405="")+(職員マスタ!$H$6:$H$405&gt;=$AO2803))&gt;0)*(ROW(職員マスタ!$A$6:$A$405)-5)))&gt;0,SUMPRODUCT(MAX((職員マスタ!$A$6:$A$405=$B2803)*(((職員マスタ!$G$6:$G$405="")+(職員マスタ!$G$6:$G$405&lt;=EOMONTH($AO2803,0)))&gt;0)*(((職員マスタ!$H$6:$H$405="")+(職員マスタ!$H$6:$H$405&gt;=$AO2803))&gt;0)*(ROW(職員マスタ!$A$6:$A$405)-5))),IFERROR(MATCH($B2803,職員マスタ!$A$6:$A$405,0),"")))</f>
        <v/>
      </c>
      <c r="AO2803" s="16">
        <f>IF(OR($B2803="",$C2803="",$D2803=""),"",DATE($C2803+2018,$D2803,1))</f>
        <v/>
      </c>
    </row>
    <row r="2804">
      <c r="A2804" s="11" t="n"/>
      <c r="B2804" s="12" t="n"/>
      <c r="C2804" s="12" t="n"/>
      <c r="D2804" s="12" t="n"/>
      <c r="E2804" s="13" t="n"/>
      <c r="F2804" s="12" t="n"/>
      <c r="G2804" s="13" t="n"/>
      <c r="H2804" s="12" t="n"/>
      <c r="I2804" s="12" t="n"/>
      <c r="J2804" s="12" t="n"/>
      <c r="K2804" s="12" t="n"/>
      <c r="L2804" s="11" t="n"/>
      <c r="M2804" s="11" t="n"/>
      <c r="N2804" s="11" t="n"/>
      <c r="O2804" s="11" t="n"/>
      <c r="P2804" s="12" t="n"/>
      <c r="Q2804" s="11" t="n"/>
      <c r="R2804" s="12" t="n"/>
      <c r="S2804" s="11" t="n"/>
      <c r="T2804" s="12" t="n"/>
      <c r="U2804" s="12" t="n"/>
      <c r="V2804" s="14">
        <f>IF($AN2804="",IF($B2804="","",$H2804),IF(INDEX(職員マスタ!$B$6:$B$405,$AN2804)="",$H2804,INDEX(職員マスタ!$B$6:$B$405,$AN2804)))</f>
        <v/>
      </c>
      <c r="W2804" s="14">
        <f>IF($AN2804="",IF($B2804="","",$R2804),IF(INDEX(職員マスタ!$C$6:$C$405,$AN2804)="",$R2804,INDEX(職員マスタ!$C$6:$C$405,$AN2804)))</f>
        <v/>
      </c>
      <c r="X2804" s="14">
        <f>IF($AO2804="","","R"&amp;$C2804&amp;"."&amp;$D2804)</f>
        <v/>
      </c>
      <c r="Y2804" s="15">
        <f>IF($AN2804="","",IF(INDEX(職員マスタ!$K$6:$K$405,$AN2804)="","",INDEX(職員マスタ!$K$6:$K$405,$AN2804)))</f>
        <v/>
      </c>
      <c r="Z2804" s="14">
        <f>IF(OR($E2804="",$Y2804=""),"",IF($E2804&gt;=$Y2804,"×",IF($E2804&gt;=$Y2804*設定!$C$5,"△","○")))</f>
        <v/>
      </c>
      <c r="AA2804" s="15">
        <f>IF($Z2804="","",IF($Z2804="×",0,IF($Z2804="○",ROUNDDOWN($E2804*設定!$C$4,0),ROUNDDOWN($E2804*ROUND((9*$Y2804-9*$E2804)/(10*$E2804),4),0))))</f>
        <v/>
      </c>
      <c r="AB2804" s="13" t="n"/>
      <c r="AC2804" s="15">
        <f>IF($B2804="","",IF($AB2804&lt;&gt;"",$AB2804,IF($AA2804="","",IF($AA2804&lt;=設定!$C$3,0,$AA2804))))</f>
        <v/>
      </c>
      <c r="AD2804" s="14">
        <f>IF($B2804="","",IF(AND($AE2804&lt;&gt;"",$AG2804="",$AJ2804=""),"保留中",IF($AJ2804&lt;&gt;"",IF(N($AC2804)&gt;0,"支給済","不支給"),IF($AC2804="","要確認",IF($AC2804=0,"不支給","未処理")))))</f>
        <v/>
      </c>
      <c r="AE2804" s="12" t="n"/>
      <c r="AF2804" s="11" t="n"/>
      <c r="AG2804" s="11" t="n"/>
      <c r="AH2804" s="11" t="n"/>
      <c r="AI2804" s="14">
        <f>IF(AND($AD2804="保留中",$AF2804&lt;&gt;""),TODAY()-$AF2804,"")</f>
        <v/>
      </c>
      <c r="AJ2804" s="12" t="n"/>
      <c r="AK2804" s="14">
        <f>IF($B2804="","",IF($AO2804="","対象年月が未入力／","")&amp;IF($B2804="","",IF($AN2804="","職員マスタに未登録の職員番号／",IF($Y2804="","標準報酬月額が未登録／","")&amp;IF(AND($AO2804&lt;&gt;"",OR(AND(INDEX(職員マスタ!$G$6:$G$405,$AN2804)&lt;&gt;"",INDEX(職員マスタ!$G$6:$G$405,$AN2804)&gt;EOMONTH($AO2804,0)),AND(INDEX(職員マスタ!$H$6:$H$405,$AN2804)&lt;&gt;"",INDEX(職員マスタ!$H$6:$H$405,$AN2804)&lt;$AO2804))),"対象月が時短期間外／","")&amp;IF(AND(INDEX(職員マスタ!$F$6:$F$405,$AN2804)&lt;&gt;"",$AO2804&lt;&gt;"",INDEX(職員マスタ!$F$6:$F$405,$AN2804)&lt;$AO2804),"対象月に子が2歳到達済／","")&amp;IF(AND($H2804&lt;&gt;"",INDEX(職員マスタ!$B$6:$B$405,$AN2804)&lt;&gt;"",SUBSTITUTE(SUBSTITUTE($H2804," ","")," ","")&lt;&gt;SUBSTITUTE(SUBSTITUTE(INDEX(職員マスタ!$B$6:$B$405,$AN2804)," ","")," ","")),"氏名がマスタと相違／","")&amp;IF(AND($Q2804&lt;&gt;"",INDEX(職員マスタ!$E$6:$E$405,$AN2804)&lt;&gt;"",$Q2804&lt;&gt;INDEX(職員マスタ!$E$6:$E$405,$AN2804)),"子の生年月日がマスタと相違／","")&amp;IF(AND($L2804&lt;&gt;"",INDEX(職員マスタ!$G$6:$G$405,$AN2804)&lt;&gt;"",$L2804&lt;&gt;INDEX(職員マスタ!$G$6:$G$405,$AN2804)),"時短開始日がマスタと相違／","")&amp;IF(AND($M2804&lt;&gt;"",INDEX(職員マスタ!$H$6:$H$405,$AN2804)&lt;&gt;"",$M2804&lt;&gt;INDEX(職員マスタ!$H$6:$H$405,$AN2804)),"時短終了日がマスタと相違／","")))&amp;IF(AND($B2804&lt;&gt;"",$E2804=""),"報酬額が未入力／","")&amp;IF(N($U2804)&gt;0,"申請書に入力エラーが残っています／","")&amp;IF(AND($B2804&lt;&gt;"",$AO2804&lt;&gt;""),IF(COUNTIFS($B$6:$B$3005,$B2804,$C$6:$C$3005,$C2804,$D$6:$D$3005,$D2804)&gt;1,"同じ月の請求が重複しています／",""),"")&amp;IF(AND(N($E2804)&gt;0,$Z2804&lt;&gt;"",$Z2804&lt;&gt;"×",$AC2804=0,$AB2804=""),"計算額が下限以下のため不支給／",""))</f>
        <v/>
      </c>
      <c r="AL2804" s="12" t="n"/>
      <c r="AM2804" s="14">
        <f>IF($AD2804="保留中",COUNTIF($AD$6:$AD2804,"保留中"),"")</f>
        <v/>
      </c>
      <c r="AN2804" s="14">
        <f>IF($AO2804="","",IF(SUMPRODUCT(MAX((職員マスタ!$A$6:$A$405=$B2804)*(((職員マスタ!$G$6:$G$405="")+(職員マスタ!$G$6:$G$405&lt;=EOMONTH($AO2804,0)))&gt;0)*(((職員マスタ!$H$6:$H$405="")+(職員マスタ!$H$6:$H$405&gt;=$AO2804))&gt;0)*(ROW(職員マスタ!$A$6:$A$405)-5)))&gt;0,SUMPRODUCT(MAX((職員マスタ!$A$6:$A$405=$B2804)*(((職員マスタ!$G$6:$G$405="")+(職員マスタ!$G$6:$G$405&lt;=EOMONTH($AO2804,0)))&gt;0)*(((職員マスタ!$H$6:$H$405="")+(職員マスタ!$H$6:$H$405&gt;=$AO2804))&gt;0)*(ROW(職員マスタ!$A$6:$A$405)-5))),IFERROR(MATCH($B2804,職員マスタ!$A$6:$A$405,0),"")))</f>
        <v/>
      </c>
      <c r="AO2804" s="16">
        <f>IF(OR($B2804="",$C2804="",$D2804=""),"",DATE($C2804+2018,$D2804,1))</f>
        <v/>
      </c>
    </row>
    <row r="2805">
      <c r="A2805" s="11" t="n"/>
      <c r="B2805" s="12" t="n"/>
      <c r="C2805" s="12" t="n"/>
      <c r="D2805" s="12" t="n"/>
      <c r="E2805" s="13" t="n"/>
      <c r="F2805" s="12" t="n"/>
      <c r="G2805" s="13" t="n"/>
      <c r="H2805" s="12" t="n"/>
      <c r="I2805" s="12" t="n"/>
      <c r="J2805" s="12" t="n"/>
      <c r="K2805" s="12" t="n"/>
      <c r="L2805" s="11" t="n"/>
      <c r="M2805" s="11" t="n"/>
      <c r="N2805" s="11" t="n"/>
      <c r="O2805" s="11" t="n"/>
      <c r="P2805" s="12" t="n"/>
      <c r="Q2805" s="11" t="n"/>
      <c r="R2805" s="12" t="n"/>
      <c r="S2805" s="11" t="n"/>
      <c r="T2805" s="12" t="n"/>
      <c r="U2805" s="12" t="n"/>
      <c r="V2805" s="14">
        <f>IF($AN2805="",IF($B2805="","",$H2805),IF(INDEX(職員マスタ!$B$6:$B$405,$AN2805)="",$H2805,INDEX(職員マスタ!$B$6:$B$405,$AN2805)))</f>
        <v/>
      </c>
      <c r="W2805" s="14">
        <f>IF($AN2805="",IF($B2805="","",$R2805),IF(INDEX(職員マスタ!$C$6:$C$405,$AN2805)="",$R2805,INDEX(職員マスタ!$C$6:$C$405,$AN2805)))</f>
        <v/>
      </c>
      <c r="X2805" s="14">
        <f>IF($AO2805="","","R"&amp;$C2805&amp;"."&amp;$D2805)</f>
        <v/>
      </c>
      <c r="Y2805" s="15">
        <f>IF($AN2805="","",IF(INDEX(職員マスタ!$K$6:$K$405,$AN2805)="","",INDEX(職員マスタ!$K$6:$K$405,$AN2805)))</f>
        <v/>
      </c>
      <c r="Z2805" s="14">
        <f>IF(OR($E2805="",$Y2805=""),"",IF($E2805&gt;=$Y2805,"×",IF($E2805&gt;=$Y2805*設定!$C$5,"△","○")))</f>
        <v/>
      </c>
      <c r="AA2805" s="15">
        <f>IF($Z2805="","",IF($Z2805="×",0,IF($Z2805="○",ROUNDDOWN($E2805*設定!$C$4,0),ROUNDDOWN($E2805*ROUND((9*$Y2805-9*$E2805)/(10*$E2805),4),0))))</f>
        <v/>
      </c>
      <c r="AB2805" s="13" t="n"/>
      <c r="AC2805" s="15">
        <f>IF($B2805="","",IF($AB2805&lt;&gt;"",$AB2805,IF($AA2805="","",IF($AA2805&lt;=設定!$C$3,0,$AA2805))))</f>
        <v/>
      </c>
      <c r="AD2805" s="14">
        <f>IF($B2805="","",IF(AND($AE2805&lt;&gt;"",$AG2805="",$AJ2805=""),"保留中",IF($AJ2805&lt;&gt;"",IF(N($AC2805)&gt;0,"支給済","不支給"),IF($AC2805="","要確認",IF($AC2805=0,"不支給","未処理")))))</f>
        <v/>
      </c>
      <c r="AE2805" s="12" t="n"/>
      <c r="AF2805" s="11" t="n"/>
      <c r="AG2805" s="11" t="n"/>
      <c r="AH2805" s="11" t="n"/>
      <c r="AI2805" s="14">
        <f>IF(AND($AD2805="保留中",$AF2805&lt;&gt;""),TODAY()-$AF2805,"")</f>
        <v/>
      </c>
      <c r="AJ2805" s="12" t="n"/>
      <c r="AK2805" s="14">
        <f>IF($B2805="","",IF($AO2805="","対象年月が未入力／","")&amp;IF($B2805="","",IF($AN2805="","職員マスタに未登録の職員番号／",IF($Y2805="","標準報酬月額が未登録／","")&amp;IF(AND($AO2805&lt;&gt;"",OR(AND(INDEX(職員マスタ!$G$6:$G$405,$AN2805)&lt;&gt;"",INDEX(職員マスタ!$G$6:$G$405,$AN2805)&gt;EOMONTH($AO2805,0)),AND(INDEX(職員マスタ!$H$6:$H$405,$AN2805)&lt;&gt;"",INDEX(職員マスタ!$H$6:$H$405,$AN2805)&lt;$AO2805))),"対象月が時短期間外／","")&amp;IF(AND(INDEX(職員マスタ!$F$6:$F$405,$AN2805)&lt;&gt;"",$AO2805&lt;&gt;"",INDEX(職員マスタ!$F$6:$F$405,$AN2805)&lt;$AO2805),"対象月に子が2歳到達済／","")&amp;IF(AND($H2805&lt;&gt;"",INDEX(職員マスタ!$B$6:$B$405,$AN2805)&lt;&gt;"",SUBSTITUTE(SUBSTITUTE($H2805," ","")," ","")&lt;&gt;SUBSTITUTE(SUBSTITUTE(INDEX(職員マスタ!$B$6:$B$405,$AN2805)," ","")," ","")),"氏名がマスタと相違／","")&amp;IF(AND($Q2805&lt;&gt;"",INDEX(職員マスタ!$E$6:$E$405,$AN2805)&lt;&gt;"",$Q2805&lt;&gt;INDEX(職員マスタ!$E$6:$E$405,$AN2805)),"子の生年月日がマスタと相違／","")&amp;IF(AND($L2805&lt;&gt;"",INDEX(職員マスタ!$G$6:$G$405,$AN2805)&lt;&gt;"",$L2805&lt;&gt;INDEX(職員マスタ!$G$6:$G$405,$AN2805)),"時短開始日がマスタと相違／","")&amp;IF(AND($M2805&lt;&gt;"",INDEX(職員マスタ!$H$6:$H$405,$AN2805)&lt;&gt;"",$M2805&lt;&gt;INDEX(職員マスタ!$H$6:$H$405,$AN2805)),"時短終了日がマスタと相違／","")))&amp;IF(AND($B2805&lt;&gt;"",$E2805=""),"報酬額が未入力／","")&amp;IF(N($U2805)&gt;0,"申請書に入力エラーが残っています／","")&amp;IF(AND($B2805&lt;&gt;"",$AO2805&lt;&gt;""),IF(COUNTIFS($B$6:$B$3005,$B2805,$C$6:$C$3005,$C2805,$D$6:$D$3005,$D2805)&gt;1,"同じ月の請求が重複しています／",""),"")&amp;IF(AND(N($E2805)&gt;0,$Z2805&lt;&gt;"",$Z2805&lt;&gt;"×",$AC2805=0,$AB2805=""),"計算額が下限以下のため不支給／",""))</f>
        <v/>
      </c>
      <c r="AL2805" s="12" t="n"/>
      <c r="AM2805" s="14">
        <f>IF($AD2805="保留中",COUNTIF($AD$6:$AD2805,"保留中"),"")</f>
        <v/>
      </c>
      <c r="AN2805" s="14">
        <f>IF($AO2805="","",IF(SUMPRODUCT(MAX((職員マスタ!$A$6:$A$405=$B2805)*(((職員マスタ!$G$6:$G$405="")+(職員マスタ!$G$6:$G$405&lt;=EOMONTH($AO2805,0)))&gt;0)*(((職員マスタ!$H$6:$H$405="")+(職員マスタ!$H$6:$H$405&gt;=$AO2805))&gt;0)*(ROW(職員マスタ!$A$6:$A$405)-5)))&gt;0,SUMPRODUCT(MAX((職員マスタ!$A$6:$A$405=$B2805)*(((職員マスタ!$G$6:$G$405="")+(職員マスタ!$G$6:$G$405&lt;=EOMONTH($AO2805,0)))&gt;0)*(((職員マスタ!$H$6:$H$405="")+(職員マスタ!$H$6:$H$405&gt;=$AO2805))&gt;0)*(ROW(職員マスタ!$A$6:$A$405)-5))),IFERROR(MATCH($B2805,職員マスタ!$A$6:$A$405,0),"")))</f>
        <v/>
      </c>
      <c r="AO2805" s="16">
        <f>IF(OR($B2805="",$C2805="",$D2805=""),"",DATE($C2805+2018,$D2805,1))</f>
        <v/>
      </c>
    </row>
    <row r="2806">
      <c r="A2806" s="11" t="n"/>
      <c r="B2806" s="12" t="n"/>
      <c r="C2806" s="12" t="n"/>
      <c r="D2806" s="12" t="n"/>
      <c r="E2806" s="13" t="n"/>
      <c r="F2806" s="12" t="n"/>
      <c r="G2806" s="13" t="n"/>
      <c r="H2806" s="12" t="n"/>
      <c r="I2806" s="12" t="n"/>
      <c r="J2806" s="12" t="n"/>
      <c r="K2806" s="12" t="n"/>
      <c r="L2806" s="11" t="n"/>
      <c r="M2806" s="11" t="n"/>
      <c r="N2806" s="11" t="n"/>
      <c r="O2806" s="11" t="n"/>
      <c r="P2806" s="12" t="n"/>
      <c r="Q2806" s="11" t="n"/>
      <c r="R2806" s="12" t="n"/>
      <c r="S2806" s="11" t="n"/>
      <c r="T2806" s="12" t="n"/>
      <c r="U2806" s="12" t="n"/>
      <c r="V2806" s="14">
        <f>IF($AN2806="",IF($B2806="","",$H2806),IF(INDEX(職員マスタ!$B$6:$B$405,$AN2806)="",$H2806,INDEX(職員マスタ!$B$6:$B$405,$AN2806)))</f>
        <v/>
      </c>
      <c r="W2806" s="14">
        <f>IF($AN2806="",IF($B2806="","",$R2806),IF(INDEX(職員マスタ!$C$6:$C$405,$AN2806)="",$R2806,INDEX(職員マスタ!$C$6:$C$405,$AN2806)))</f>
        <v/>
      </c>
      <c r="X2806" s="14">
        <f>IF($AO2806="","","R"&amp;$C2806&amp;"."&amp;$D2806)</f>
        <v/>
      </c>
      <c r="Y2806" s="15">
        <f>IF($AN2806="","",IF(INDEX(職員マスタ!$K$6:$K$405,$AN2806)="","",INDEX(職員マスタ!$K$6:$K$405,$AN2806)))</f>
        <v/>
      </c>
      <c r="Z2806" s="14">
        <f>IF(OR($E2806="",$Y2806=""),"",IF($E2806&gt;=$Y2806,"×",IF($E2806&gt;=$Y2806*設定!$C$5,"△","○")))</f>
        <v/>
      </c>
      <c r="AA2806" s="15">
        <f>IF($Z2806="","",IF($Z2806="×",0,IF($Z2806="○",ROUNDDOWN($E2806*設定!$C$4,0),ROUNDDOWN($E2806*ROUND((9*$Y2806-9*$E2806)/(10*$E2806),4),0))))</f>
        <v/>
      </c>
      <c r="AB2806" s="13" t="n"/>
      <c r="AC2806" s="15">
        <f>IF($B2806="","",IF($AB2806&lt;&gt;"",$AB2806,IF($AA2806="","",IF($AA2806&lt;=設定!$C$3,0,$AA2806))))</f>
        <v/>
      </c>
      <c r="AD2806" s="14">
        <f>IF($B2806="","",IF(AND($AE2806&lt;&gt;"",$AG2806="",$AJ2806=""),"保留中",IF($AJ2806&lt;&gt;"",IF(N($AC2806)&gt;0,"支給済","不支給"),IF($AC2806="","要確認",IF($AC2806=0,"不支給","未処理")))))</f>
        <v/>
      </c>
      <c r="AE2806" s="12" t="n"/>
      <c r="AF2806" s="11" t="n"/>
      <c r="AG2806" s="11" t="n"/>
      <c r="AH2806" s="11" t="n"/>
      <c r="AI2806" s="14">
        <f>IF(AND($AD2806="保留中",$AF2806&lt;&gt;""),TODAY()-$AF2806,"")</f>
        <v/>
      </c>
      <c r="AJ2806" s="12" t="n"/>
      <c r="AK2806" s="14">
        <f>IF($B2806="","",IF($AO2806="","対象年月が未入力／","")&amp;IF($B2806="","",IF($AN2806="","職員マスタに未登録の職員番号／",IF($Y2806="","標準報酬月額が未登録／","")&amp;IF(AND($AO2806&lt;&gt;"",OR(AND(INDEX(職員マスタ!$G$6:$G$405,$AN2806)&lt;&gt;"",INDEX(職員マスタ!$G$6:$G$405,$AN2806)&gt;EOMONTH($AO2806,0)),AND(INDEX(職員マスタ!$H$6:$H$405,$AN2806)&lt;&gt;"",INDEX(職員マスタ!$H$6:$H$405,$AN2806)&lt;$AO2806))),"対象月が時短期間外／","")&amp;IF(AND(INDEX(職員マスタ!$F$6:$F$405,$AN2806)&lt;&gt;"",$AO2806&lt;&gt;"",INDEX(職員マスタ!$F$6:$F$405,$AN2806)&lt;$AO2806),"対象月に子が2歳到達済／","")&amp;IF(AND($H2806&lt;&gt;"",INDEX(職員マスタ!$B$6:$B$405,$AN2806)&lt;&gt;"",SUBSTITUTE(SUBSTITUTE($H2806," ","")," ","")&lt;&gt;SUBSTITUTE(SUBSTITUTE(INDEX(職員マスタ!$B$6:$B$405,$AN2806)," ","")," ","")),"氏名がマスタと相違／","")&amp;IF(AND($Q2806&lt;&gt;"",INDEX(職員マスタ!$E$6:$E$405,$AN2806)&lt;&gt;"",$Q2806&lt;&gt;INDEX(職員マスタ!$E$6:$E$405,$AN2806)),"子の生年月日がマスタと相違／","")&amp;IF(AND($L2806&lt;&gt;"",INDEX(職員マスタ!$G$6:$G$405,$AN2806)&lt;&gt;"",$L2806&lt;&gt;INDEX(職員マスタ!$G$6:$G$405,$AN2806)),"時短開始日がマスタと相違／","")&amp;IF(AND($M2806&lt;&gt;"",INDEX(職員マスタ!$H$6:$H$405,$AN2806)&lt;&gt;"",$M2806&lt;&gt;INDEX(職員マスタ!$H$6:$H$405,$AN2806)),"時短終了日がマスタと相違／","")))&amp;IF(AND($B2806&lt;&gt;"",$E2806=""),"報酬額が未入力／","")&amp;IF(N($U2806)&gt;0,"申請書に入力エラーが残っています／","")&amp;IF(AND($B2806&lt;&gt;"",$AO2806&lt;&gt;""),IF(COUNTIFS($B$6:$B$3005,$B2806,$C$6:$C$3005,$C2806,$D$6:$D$3005,$D2806)&gt;1,"同じ月の請求が重複しています／",""),"")&amp;IF(AND(N($E2806)&gt;0,$Z2806&lt;&gt;"",$Z2806&lt;&gt;"×",$AC2806=0,$AB2806=""),"計算額が下限以下のため不支給／",""))</f>
        <v/>
      </c>
      <c r="AL2806" s="12" t="n"/>
      <c r="AM2806" s="14">
        <f>IF($AD2806="保留中",COUNTIF($AD$6:$AD2806,"保留中"),"")</f>
        <v/>
      </c>
      <c r="AN2806" s="14">
        <f>IF($AO2806="","",IF(SUMPRODUCT(MAX((職員マスタ!$A$6:$A$405=$B2806)*(((職員マスタ!$G$6:$G$405="")+(職員マスタ!$G$6:$G$405&lt;=EOMONTH($AO2806,0)))&gt;0)*(((職員マスタ!$H$6:$H$405="")+(職員マスタ!$H$6:$H$405&gt;=$AO2806))&gt;0)*(ROW(職員マスタ!$A$6:$A$405)-5)))&gt;0,SUMPRODUCT(MAX((職員マスタ!$A$6:$A$405=$B2806)*(((職員マスタ!$G$6:$G$405="")+(職員マスタ!$G$6:$G$405&lt;=EOMONTH($AO2806,0)))&gt;0)*(((職員マスタ!$H$6:$H$405="")+(職員マスタ!$H$6:$H$405&gt;=$AO2806))&gt;0)*(ROW(職員マスタ!$A$6:$A$405)-5))),IFERROR(MATCH($B2806,職員マスタ!$A$6:$A$405,0),"")))</f>
        <v/>
      </c>
      <c r="AO2806" s="16">
        <f>IF(OR($B2806="",$C2806="",$D2806=""),"",DATE($C2806+2018,$D2806,1))</f>
        <v/>
      </c>
    </row>
    <row r="2807">
      <c r="A2807" s="11" t="n"/>
      <c r="B2807" s="12" t="n"/>
      <c r="C2807" s="12" t="n"/>
      <c r="D2807" s="12" t="n"/>
      <c r="E2807" s="13" t="n"/>
      <c r="F2807" s="12" t="n"/>
      <c r="G2807" s="13" t="n"/>
      <c r="H2807" s="12" t="n"/>
      <c r="I2807" s="12" t="n"/>
      <c r="J2807" s="12" t="n"/>
      <c r="K2807" s="12" t="n"/>
      <c r="L2807" s="11" t="n"/>
      <c r="M2807" s="11" t="n"/>
      <c r="N2807" s="11" t="n"/>
      <c r="O2807" s="11" t="n"/>
      <c r="P2807" s="12" t="n"/>
      <c r="Q2807" s="11" t="n"/>
      <c r="R2807" s="12" t="n"/>
      <c r="S2807" s="11" t="n"/>
      <c r="T2807" s="12" t="n"/>
      <c r="U2807" s="12" t="n"/>
      <c r="V2807" s="14">
        <f>IF($AN2807="",IF($B2807="","",$H2807),IF(INDEX(職員マスタ!$B$6:$B$405,$AN2807)="",$H2807,INDEX(職員マスタ!$B$6:$B$405,$AN2807)))</f>
        <v/>
      </c>
      <c r="W2807" s="14">
        <f>IF($AN2807="",IF($B2807="","",$R2807),IF(INDEX(職員マスタ!$C$6:$C$405,$AN2807)="",$R2807,INDEX(職員マスタ!$C$6:$C$405,$AN2807)))</f>
        <v/>
      </c>
      <c r="X2807" s="14">
        <f>IF($AO2807="","","R"&amp;$C2807&amp;"."&amp;$D2807)</f>
        <v/>
      </c>
      <c r="Y2807" s="15">
        <f>IF($AN2807="","",IF(INDEX(職員マスタ!$K$6:$K$405,$AN2807)="","",INDEX(職員マスタ!$K$6:$K$405,$AN2807)))</f>
        <v/>
      </c>
      <c r="Z2807" s="14">
        <f>IF(OR($E2807="",$Y2807=""),"",IF($E2807&gt;=$Y2807,"×",IF($E2807&gt;=$Y2807*設定!$C$5,"△","○")))</f>
        <v/>
      </c>
      <c r="AA2807" s="15">
        <f>IF($Z2807="","",IF($Z2807="×",0,IF($Z2807="○",ROUNDDOWN($E2807*設定!$C$4,0),ROUNDDOWN($E2807*ROUND((9*$Y2807-9*$E2807)/(10*$E2807),4),0))))</f>
        <v/>
      </c>
      <c r="AB2807" s="13" t="n"/>
      <c r="AC2807" s="15">
        <f>IF($B2807="","",IF($AB2807&lt;&gt;"",$AB2807,IF($AA2807="","",IF($AA2807&lt;=設定!$C$3,0,$AA2807))))</f>
        <v/>
      </c>
      <c r="AD2807" s="14">
        <f>IF($B2807="","",IF(AND($AE2807&lt;&gt;"",$AG2807="",$AJ2807=""),"保留中",IF($AJ2807&lt;&gt;"",IF(N($AC2807)&gt;0,"支給済","不支給"),IF($AC2807="","要確認",IF($AC2807=0,"不支給","未処理")))))</f>
        <v/>
      </c>
      <c r="AE2807" s="12" t="n"/>
      <c r="AF2807" s="11" t="n"/>
      <c r="AG2807" s="11" t="n"/>
      <c r="AH2807" s="11" t="n"/>
      <c r="AI2807" s="14">
        <f>IF(AND($AD2807="保留中",$AF2807&lt;&gt;""),TODAY()-$AF2807,"")</f>
        <v/>
      </c>
      <c r="AJ2807" s="12" t="n"/>
      <c r="AK2807" s="14">
        <f>IF($B2807="","",IF($AO2807="","対象年月が未入力／","")&amp;IF($B2807="","",IF($AN2807="","職員マスタに未登録の職員番号／",IF($Y2807="","標準報酬月額が未登録／","")&amp;IF(AND($AO2807&lt;&gt;"",OR(AND(INDEX(職員マスタ!$G$6:$G$405,$AN2807)&lt;&gt;"",INDEX(職員マスタ!$G$6:$G$405,$AN2807)&gt;EOMONTH($AO2807,0)),AND(INDEX(職員マスタ!$H$6:$H$405,$AN2807)&lt;&gt;"",INDEX(職員マスタ!$H$6:$H$405,$AN2807)&lt;$AO2807))),"対象月が時短期間外／","")&amp;IF(AND(INDEX(職員マスタ!$F$6:$F$405,$AN2807)&lt;&gt;"",$AO2807&lt;&gt;"",INDEX(職員マスタ!$F$6:$F$405,$AN2807)&lt;$AO2807),"対象月に子が2歳到達済／","")&amp;IF(AND($H2807&lt;&gt;"",INDEX(職員マスタ!$B$6:$B$405,$AN2807)&lt;&gt;"",SUBSTITUTE(SUBSTITUTE($H2807," ","")," ","")&lt;&gt;SUBSTITUTE(SUBSTITUTE(INDEX(職員マスタ!$B$6:$B$405,$AN2807)," ","")," ","")),"氏名がマスタと相違／","")&amp;IF(AND($Q2807&lt;&gt;"",INDEX(職員マスタ!$E$6:$E$405,$AN2807)&lt;&gt;"",$Q2807&lt;&gt;INDEX(職員マスタ!$E$6:$E$405,$AN2807)),"子の生年月日がマスタと相違／","")&amp;IF(AND($L2807&lt;&gt;"",INDEX(職員マスタ!$G$6:$G$405,$AN2807)&lt;&gt;"",$L2807&lt;&gt;INDEX(職員マスタ!$G$6:$G$405,$AN2807)),"時短開始日がマスタと相違／","")&amp;IF(AND($M2807&lt;&gt;"",INDEX(職員マスタ!$H$6:$H$405,$AN2807)&lt;&gt;"",$M2807&lt;&gt;INDEX(職員マスタ!$H$6:$H$405,$AN2807)),"時短終了日がマスタと相違／","")))&amp;IF(AND($B2807&lt;&gt;"",$E2807=""),"報酬額が未入力／","")&amp;IF(N($U2807)&gt;0,"申請書に入力エラーが残っています／","")&amp;IF(AND($B2807&lt;&gt;"",$AO2807&lt;&gt;""),IF(COUNTIFS($B$6:$B$3005,$B2807,$C$6:$C$3005,$C2807,$D$6:$D$3005,$D2807)&gt;1,"同じ月の請求が重複しています／",""),"")&amp;IF(AND(N($E2807)&gt;0,$Z2807&lt;&gt;"",$Z2807&lt;&gt;"×",$AC2807=0,$AB2807=""),"計算額が下限以下のため不支給／",""))</f>
        <v/>
      </c>
      <c r="AL2807" s="12" t="n"/>
      <c r="AM2807" s="14">
        <f>IF($AD2807="保留中",COUNTIF($AD$6:$AD2807,"保留中"),"")</f>
        <v/>
      </c>
      <c r="AN2807" s="14">
        <f>IF($AO2807="","",IF(SUMPRODUCT(MAX((職員マスタ!$A$6:$A$405=$B2807)*(((職員マスタ!$G$6:$G$405="")+(職員マスタ!$G$6:$G$405&lt;=EOMONTH($AO2807,0)))&gt;0)*(((職員マスタ!$H$6:$H$405="")+(職員マスタ!$H$6:$H$405&gt;=$AO2807))&gt;0)*(ROW(職員マスタ!$A$6:$A$405)-5)))&gt;0,SUMPRODUCT(MAX((職員マスタ!$A$6:$A$405=$B2807)*(((職員マスタ!$G$6:$G$405="")+(職員マスタ!$G$6:$G$405&lt;=EOMONTH($AO2807,0)))&gt;0)*(((職員マスタ!$H$6:$H$405="")+(職員マスタ!$H$6:$H$405&gt;=$AO2807))&gt;0)*(ROW(職員マスタ!$A$6:$A$405)-5))),IFERROR(MATCH($B2807,職員マスタ!$A$6:$A$405,0),"")))</f>
        <v/>
      </c>
      <c r="AO2807" s="16">
        <f>IF(OR($B2807="",$C2807="",$D2807=""),"",DATE($C2807+2018,$D2807,1))</f>
        <v/>
      </c>
    </row>
    <row r="2808">
      <c r="A2808" s="11" t="n"/>
      <c r="B2808" s="12" t="n"/>
      <c r="C2808" s="12" t="n"/>
      <c r="D2808" s="12" t="n"/>
      <c r="E2808" s="13" t="n"/>
      <c r="F2808" s="12" t="n"/>
      <c r="G2808" s="13" t="n"/>
      <c r="H2808" s="12" t="n"/>
      <c r="I2808" s="12" t="n"/>
      <c r="J2808" s="12" t="n"/>
      <c r="K2808" s="12" t="n"/>
      <c r="L2808" s="11" t="n"/>
      <c r="M2808" s="11" t="n"/>
      <c r="N2808" s="11" t="n"/>
      <c r="O2808" s="11" t="n"/>
      <c r="P2808" s="12" t="n"/>
      <c r="Q2808" s="11" t="n"/>
      <c r="R2808" s="12" t="n"/>
      <c r="S2808" s="11" t="n"/>
      <c r="T2808" s="12" t="n"/>
      <c r="U2808" s="12" t="n"/>
      <c r="V2808" s="14">
        <f>IF($AN2808="",IF($B2808="","",$H2808),IF(INDEX(職員マスタ!$B$6:$B$405,$AN2808)="",$H2808,INDEX(職員マスタ!$B$6:$B$405,$AN2808)))</f>
        <v/>
      </c>
      <c r="W2808" s="14">
        <f>IF($AN2808="",IF($B2808="","",$R2808),IF(INDEX(職員マスタ!$C$6:$C$405,$AN2808)="",$R2808,INDEX(職員マスタ!$C$6:$C$405,$AN2808)))</f>
        <v/>
      </c>
      <c r="X2808" s="14">
        <f>IF($AO2808="","","R"&amp;$C2808&amp;"."&amp;$D2808)</f>
        <v/>
      </c>
      <c r="Y2808" s="15">
        <f>IF($AN2808="","",IF(INDEX(職員マスタ!$K$6:$K$405,$AN2808)="","",INDEX(職員マスタ!$K$6:$K$405,$AN2808)))</f>
        <v/>
      </c>
      <c r="Z2808" s="14">
        <f>IF(OR($E2808="",$Y2808=""),"",IF($E2808&gt;=$Y2808,"×",IF($E2808&gt;=$Y2808*設定!$C$5,"△","○")))</f>
        <v/>
      </c>
      <c r="AA2808" s="15">
        <f>IF($Z2808="","",IF($Z2808="×",0,IF($Z2808="○",ROUNDDOWN($E2808*設定!$C$4,0),ROUNDDOWN($E2808*ROUND((9*$Y2808-9*$E2808)/(10*$E2808),4),0))))</f>
        <v/>
      </c>
      <c r="AB2808" s="13" t="n"/>
      <c r="AC2808" s="15">
        <f>IF($B2808="","",IF($AB2808&lt;&gt;"",$AB2808,IF($AA2808="","",IF($AA2808&lt;=設定!$C$3,0,$AA2808))))</f>
        <v/>
      </c>
      <c r="AD2808" s="14">
        <f>IF($B2808="","",IF(AND($AE2808&lt;&gt;"",$AG2808="",$AJ2808=""),"保留中",IF($AJ2808&lt;&gt;"",IF(N($AC2808)&gt;0,"支給済","不支給"),IF($AC2808="","要確認",IF($AC2808=0,"不支給","未処理")))))</f>
        <v/>
      </c>
      <c r="AE2808" s="12" t="n"/>
      <c r="AF2808" s="11" t="n"/>
      <c r="AG2808" s="11" t="n"/>
      <c r="AH2808" s="11" t="n"/>
      <c r="AI2808" s="14">
        <f>IF(AND($AD2808="保留中",$AF2808&lt;&gt;""),TODAY()-$AF2808,"")</f>
        <v/>
      </c>
      <c r="AJ2808" s="12" t="n"/>
      <c r="AK2808" s="14">
        <f>IF($B2808="","",IF($AO2808="","対象年月が未入力／","")&amp;IF($B2808="","",IF($AN2808="","職員マスタに未登録の職員番号／",IF($Y2808="","標準報酬月額が未登録／","")&amp;IF(AND($AO2808&lt;&gt;"",OR(AND(INDEX(職員マスタ!$G$6:$G$405,$AN2808)&lt;&gt;"",INDEX(職員マスタ!$G$6:$G$405,$AN2808)&gt;EOMONTH($AO2808,0)),AND(INDEX(職員マスタ!$H$6:$H$405,$AN2808)&lt;&gt;"",INDEX(職員マスタ!$H$6:$H$405,$AN2808)&lt;$AO2808))),"対象月が時短期間外／","")&amp;IF(AND(INDEX(職員マスタ!$F$6:$F$405,$AN2808)&lt;&gt;"",$AO2808&lt;&gt;"",INDEX(職員マスタ!$F$6:$F$405,$AN2808)&lt;$AO2808),"対象月に子が2歳到達済／","")&amp;IF(AND($H2808&lt;&gt;"",INDEX(職員マスタ!$B$6:$B$405,$AN2808)&lt;&gt;"",SUBSTITUTE(SUBSTITUTE($H2808," ","")," ","")&lt;&gt;SUBSTITUTE(SUBSTITUTE(INDEX(職員マスタ!$B$6:$B$405,$AN2808)," ","")," ","")),"氏名がマスタと相違／","")&amp;IF(AND($Q2808&lt;&gt;"",INDEX(職員マスタ!$E$6:$E$405,$AN2808)&lt;&gt;"",$Q2808&lt;&gt;INDEX(職員マスタ!$E$6:$E$405,$AN2808)),"子の生年月日がマスタと相違／","")&amp;IF(AND($L2808&lt;&gt;"",INDEX(職員マスタ!$G$6:$G$405,$AN2808)&lt;&gt;"",$L2808&lt;&gt;INDEX(職員マスタ!$G$6:$G$405,$AN2808)),"時短開始日がマスタと相違／","")&amp;IF(AND($M2808&lt;&gt;"",INDEX(職員マスタ!$H$6:$H$405,$AN2808)&lt;&gt;"",$M2808&lt;&gt;INDEX(職員マスタ!$H$6:$H$405,$AN2808)),"時短終了日がマスタと相違／","")))&amp;IF(AND($B2808&lt;&gt;"",$E2808=""),"報酬額が未入力／","")&amp;IF(N($U2808)&gt;0,"申請書に入力エラーが残っています／","")&amp;IF(AND($B2808&lt;&gt;"",$AO2808&lt;&gt;""),IF(COUNTIFS($B$6:$B$3005,$B2808,$C$6:$C$3005,$C2808,$D$6:$D$3005,$D2808)&gt;1,"同じ月の請求が重複しています／",""),"")&amp;IF(AND(N($E2808)&gt;0,$Z2808&lt;&gt;"",$Z2808&lt;&gt;"×",$AC2808=0,$AB2808=""),"計算額が下限以下のため不支給／",""))</f>
        <v/>
      </c>
      <c r="AL2808" s="12" t="n"/>
      <c r="AM2808" s="14">
        <f>IF($AD2808="保留中",COUNTIF($AD$6:$AD2808,"保留中"),"")</f>
        <v/>
      </c>
      <c r="AN2808" s="14">
        <f>IF($AO2808="","",IF(SUMPRODUCT(MAX((職員マスタ!$A$6:$A$405=$B2808)*(((職員マスタ!$G$6:$G$405="")+(職員マスタ!$G$6:$G$405&lt;=EOMONTH($AO2808,0)))&gt;0)*(((職員マスタ!$H$6:$H$405="")+(職員マスタ!$H$6:$H$405&gt;=$AO2808))&gt;0)*(ROW(職員マスタ!$A$6:$A$405)-5)))&gt;0,SUMPRODUCT(MAX((職員マスタ!$A$6:$A$405=$B2808)*(((職員マスタ!$G$6:$G$405="")+(職員マスタ!$G$6:$G$405&lt;=EOMONTH($AO2808,0)))&gt;0)*(((職員マスタ!$H$6:$H$405="")+(職員マスタ!$H$6:$H$405&gt;=$AO2808))&gt;0)*(ROW(職員マスタ!$A$6:$A$405)-5))),IFERROR(MATCH($B2808,職員マスタ!$A$6:$A$405,0),"")))</f>
        <v/>
      </c>
      <c r="AO2808" s="16">
        <f>IF(OR($B2808="",$C2808="",$D2808=""),"",DATE($C2808+2018,$D2808,1))</f>
        <v/>
      </c>
    </row>
    <row r="2809">
      <c r="A2809" s="11" t="n"/>
      <c r="B2809" s="12" t="n"/>
      <c r="C2809" s="12" t="n"/>
      <c r="D2809" s="12" t="n"/>
      <c r="E2809" s="13" t="n"/>
      <c r="F2809" s="12" t="n"/>
      <c r="G2809" s="13" t="n"/>
      <c r="H2809" s="12" t="n"/>
      <c r="I2809" s="12" t="n"/>
      <c r="J2809" s="12" t="n"/>
      <c r="K2809" s="12" t="n"/>
      <c r="L2809" s="11" t="n"/>
      <c r="M2809" s="11" t="n"/>
      <c r="N2809" s="11" t="n"/>
      <c r="O2809" s="11" t="n"/>
      <c r="P2809" s="12" t="n"/>
      <c r="Q2809" s="11" t="n"/>
      <c r="R2809" s="12" t="n"/>
      <c r="S2809" s="11" t="n"/>
      <c r="T2809" s="12" t="n"/>
      <c r="U2809" s="12" t="n"/>
      <c r="V2809" s="14">
        <f>IF($AN2809="",IF($B2809="","",$H2809),IF(INDEX(職員マスタ!$B$6:$B$405,$AN2809)="",$H2809,INDEX(職員マスタ!$B$6:$B$405,$AN2809)))</f>
        <v/>
      </c>
      <c r="W2809" s="14">
        <f>IF($AN2809="",IF($B2809="","",$R2809),IF(INDEX(職員マスタ!$C$6:$C$405,$AN2809)="",$R2809,INDEX(職員マスタ!$C$6:$C$405,$AN2809)))</f>
        <v/>
      </c>
      <c r="X2809" s="14">
        <f>IF($AO2809="","","R"&amp;$C2809&amp;"."&amp;$D2809)</f>
        <v/>
      </c>
      <c r="Y2809" s="15">
        <f>IF($AN2809="","",IF(INDEX(職員マスタ!$K$6:$K$405,$AN2809)="","",INDEX(職員マスタ!$K$6:$K$405,$AN2809)))</f>
        <v/>
      </c>
      <c r="Z2809" s="14">
        <f>IF(OR($E2809="",$Y2809=""),"",IF($E2809&gt;=$Y2809,"×",IF($E2809&gt;=$Y2809*設定!$C$5,"△","○")))</f>
        <v/>
      </c>
      <c r="AA2809" s="15">
        <f>IF($Z2809="","",IF($Z2809="×",0,IF($Z2809="○",ROUNDDOWN($E2809*設定!$C$4,0),ROUNDDOWN($E2809*ROUND((9*$Y2809-9*$E2809)/(10*$E2809),4),0))))</f>
        <v/>
      </c>
      <c r="AB2809" s="13" t="n"/>
      <c r="AC2809" s="15">
        <f>IF($B2809="","",IF($AB2809&lt;&gt;"",$AB2809,IF($AA2809="","",IF($AA2809&lt;=設定!$C$3,0,$AA2809))))</f>
        <v/>
      </c>
      <c r="AD2809" s="14">
        <f>IF($B2809="","",IF(AND($AE2809&lt;&gt;"",$AG2809="",$AJ2809=""),"保留中",IF($AJ2809&lt;&gt;"",IF(N($AC2809)&gt;0,"支給済","不支給"),IF($AC2809="","要確認",IF($AC2809=0,"不支給","未処理")))))</f>
        <v/>
      </c>
      <c r="AE2809" s="12" t="n"/>
      <c r="AF2809" s="11" t="n"/>
      <c r="AG2809" s="11" t="n"/>
      <c r="AH2809" s="11" t="n"/>
      <c r="AI2809" s="14">
        <f>IF(AND($AD2809="保留中",$AF2809&lt;&gt;""),TODAY()-$AF2809,"")</f>
        <v/>
      </c>
      <c r="AJ2809" s="12" t="n"/>
      <c r="AK2809" s="14">
        <f>IF($B2809="","",IF($AO2809="","対象年月が未入力／","")&amp;IF($B2809="","",IF($AN2809="","職員マスタに未登録の職員番号／",IF($Y2809="","標準報酬月額が未登録／","")&amp;IF(AND($AO2809&lt;&gt;"",OR(AND(INDEX(職員マスタ!$G$6:$G$405,$AN2809)&lt;&gt;"",INDEX(職員マスタ!$G$6:$G$405,$AN2809)&gt;EOMONTH($AO2809,0)),AND(INDEX(職員マスタ!$H$6:$H$405,$AN2809)&lt;&gt;"",INDEX(職員マスタ!$H$6:$H$405,$AN2809)&lt;$AO2809))),"対象月が時短期間外／","")&amp;IF(AND(INDEX(職員マスタ!$F$6:$F$405,$AN2809)&lt;&gt;"",$AO2809&lt;&gt;"",INDEX(職員マスタ!$F$6:$F$405,$AN2809)&lt;$AO2809),"対象月に子が2歳到達済／","")&amp;IF(AND($H2809&lt;&gt;"",INDEX(職員マスタ!$B$6:$B$405,$AN2809)&lt;&gt;"",SUBSTITUTE(SUBSTITUTE($H2809," ","")," ","")&lt;&gt;SUBSTITUTE(SUBSTITUTE(INDEX(職員マスタ!$B$6:$B$405,$AN2809)," ","")," ","")),"氏名がマスタと相違／","")&amp;IF(AND($Q2809&lt;&gt;"",INDEX(職員マスタ!$E$6:$E$405,$AN2809)&lt;&gt;"",$Q2809&lt;&gt;INDEX(職員マスタ!$E$6:$E$405,$AN2809)),"子の生年月日がマスタと相違／","")&amp;IF(AND($L2809&lt;&gt;"",INDEX(職員マスタ!$G$6:$G$405,$AN2809)&lt;&gt;"",$L2809&lt;&gt;INDEX(職員マスタ!$G$6:$G$405,$AN2809)),"時短開始日がマスタと相違／","")&amp;IF(AND($M2809&lt;&gt;"",INDEX(職員マスタ!$H$6:$H$405,$AN2809)&lt;&gt;"",$M2809&lt;&gt;INDEX(職員マスタ!$H$6:$H$405,$AN2809)),"時短終了日がマスタと相違／","")))&amp;IF(AND($B2809&lt;&gt;"",$E2809=""),"報酬額が未入力／","")&amp;IF(N($U2809)&gt;0,"申請書に入力エラーが残っています／","")&amp;IF(AND($B2809&lt;&gt;"",$AO2809&lt;&gt;""),IF(COUNTIFS($B$6:$B$3005,$B2809,$C$6:$C$3005,$C2809,$D$6:$D$3005,$D2809)&gt;1,"同じ月の請求が重複しています／",""),"")&amp;IF(AND(N($E2809)&gt;0,$Z2809&lt;&gt;"",$Z2809&lt;&gt;"×",$AC2809=0,$AB2809=""),"計算額が下限以下のため不支給／",""))</f>
        <v/>
      </c>
      <c r="AL2809" s="12" t="n"/>
      <c r="AM2809" s="14">
        <f>IF($AD2809="保留中",COUNTIF($AD$6:$AD2809,"保留中"),"")</f>
        <v/>
      </c>
      <c r="AN2809" s="14">
        <f>IF($AO2809="","",IF(SUMPRODUCT(MAX((職員マスタ!$A$6:$A$405=$B2809)*(((職員マスタ!$G$6:$G$405="")+(職員マスタ!$G$6:$G$405&lt;=EOMONTH($AO2809,0)))&gt;0)*(((職員マスタ!$H$6:$H$405="")+(職員マスタ!$H$6:$H$405&gt;=$AO2809))&gt;0)*(ROW(職員マスタ!$A$6:$A$405)-5)))&gt;0,SUMPRODUCT(MAX((職員マスタ!$A$6:$A$405=$B2809)*(((職員マスタ!$G$6:$G$405="")+(職員マスタ!$G$6:$G$405&lt;=EOMONTH($AO2809,0)))&gt;0)*(((職員マスタ!$H$6:$H$405="")+(職員マスタ!$H$6:$H$405&gt;=$AO2809))&gt;0)*(ROW(職員マスタ!$A$6:$A$405)-5))),IFERROR(MATCH($B2809,職員マスタ!$A$6:$A$405,0),"")))</f>
        <v/>
      </c>
      <c r="AO2809" s="16">
        <f>IF(OR($B2809="",$C2809="",$D2809=""),"",DATE($C2809+2018,$D2809,1))</f>
        <v/>
      </c>
    </row>
    <row r="2810">
      <c r="A2810" s="11" t="n"/>
      <c r="B2810" s="12" t="n"/>
      <c r="C2810" s="12" t="n"/>
      <c r="D2810" s="12" t="n"/>
      <c r="E2810" s="13" t="n"/>
      <c r="F2810" s="12" t="n"/>
      <c r="G2810" s="13" t="n"/>
      <c r="H2810" s="12" t="n"/>
      <c r="I2810" s="12" t="n"/>
      <c r="J2810" s="12" t="n"/>
      <c r="K2810" s="12" t="n"/>
      <c r="L2810" s="11" t="n"/>
      <c r="M2810" s="11" t="n"/>
      <c r="N2810" s="11" t="n"/>
      <c r="O2810" s="11" t="n"/>
      <c r="P2810" s="12" t="n"/>
      <c r="Q2810" s="11" t="n"/>
      <c r="R2810" s="12" t="n"/>
      <c r="S2810" s="11" t="n"/>
      <c r="T2810" s="12" t="n"/>
      <c r="U2810" s="12" t="n"/>
      <c r="V2810" s="14">
        <f>IF($AN2810="",IF($B2810="","",$H2810),IF(INDEX(職員マスタ!$B$6:$B$405,$AN2810)="",$H2810,INDEX(職員マスタ!$B$6:$B$405,$AN2810)))</f>
        <v/>
      </c>
      <c r="W2810" s="14">
        <f>IF($AN2810="",IF($B2810="","",$R2810),IF(INDEX(職員マスタ!$C$6:$C$405,$AN2810)="",$R2810,INDEX(職員マスタ!$C$6:$C$405,$AN2810)))</f>
        <v/>
      </c>
      <c r="X2810" s="14">
        <f>IF($AO2810="","","R"&amp;$C2810&amp;"."&amp;$D2810)</f>
        <v/>
      </c>
      <c r="Y2810" s="15">
        <f>IF($AN2810="","",IF(INDEX(職員マスタ!$K$6:$K$405,$AN2810)="","",INDEX(職員マスタ!$K$6:$K$405,$AN2810)))</f>
        <v/>
      </c>
      <c r="Z2810" s="14">
        <f>IF(OR($E2810="",$Y2810=""),"",IF($E2810&gt;=$Y2810,"×",IF($E2810&gt;=$Y2810*設定!$C$5,"△","○")))</f>
        <v/>
      </c>
      <c r="AA2810" s="15">
        <f>IF($Z2810="","",IF($Z2810="×",0,IF($Z2810="○",ROUNDDOWN($E2810*設定!$C$4,0),ROUNDDOWN($E2810*ROUND((9*$Y2810-9*$E2810)/(10*$E2810),4),0))))</f>
        <v/>
      </c>
      <c r="AB2810" s="13" t="n"/>
      <c r="AC2810" s="15">
        <f>IF($B2810="","",IF($AB2810&lt;&gt;"",$AB2810,IF($AA2810="","",IF($AA2810&lt;=設定!$C$3,0,$AA2810))))</f>
        <v/>
      </c>
      <c r="AD2810" s="14">
        <f>IF($B2810="","",IF(AND($AE2810&lt;&gt;"",$AG2810="",$AJ2810=""),"保留中",IF($AJ2810&lt;&gt;"",IF(N($AC2810)&gt;0,"支給済","不支給"),IF($AC2810="","要確認",IF($AC2810=0,"不支給","未処理")))))</f>
        <v/>
      </c>
      <c r="AE2810" s="12" t="n"/>
      <c r="AF2810" s="11" t="n"/>
      <c r="AG2810" s="11" t="n"/>
      <c r="AH2810" s="11" t="n"/>
      <c r="AI2810" s="14">
        <f>IF(AND($AD2810="保留中",$AF2810&lt;&gt;""),TODAY()-$AF2810,"")</f>
        <v/>
      </c>
      <c r="AJ2810" s="12" t="n"/>
      <c r="AK2810" s="14">
        <f>IF($B2810="","",IF($AO2810="","対象年月が未入力／","")&amp;IF($B2810="","",IF($AN2810="","職員マスタに未登録の職員番号／",IF($Y2810="","標準報酬月額が未登録／","")&amp;IF(AND($AO2810&lt;&gt;"",OR(AND(INDEX(職員マスタ!$G$6:$G$405,$AN2810)&lt;&gt;"",INDEX(職員マスタ!$G$6:$G$405,$AN2810)&gt;EOMONTH($AO2810,0)),AND(INDEX(職員マスタ!$H$6:$H$405,$AN2810)&lt;&gt;"",INDEX(職員マスタ!$H$6:$H$405,$AN2810)&lt;$AO2810))),"対象月が時短期間外／","")&amp;IF(AND(INDEX(職員マスタ!$F$6:$F$405,$AN2810)&lt;&gt;"",$AO2810&lt;&gt;"",INDEX(職員マスタ!$F$6:$F$405,$AN2810)&lt;$AO2810),"対象月に子が2歳到達済／","")&amp;IF(AND($H2810&lt;&gt;"",INDEX(職員マスタ!$B$6:$B$405,$AN2810)&lt;&gt;"",SUBSTITUTE(SUBSTITUTE($H2810," ","")," ","")&lt;&gt;SUBSTITUTE(SUBSTITUTE(INDEX(職員マスタ!$B$6:$B$405,$AN2810)," ","")," ","")),"氏名がマスタと相違／","")&amp;IF(AND($Q2810&lt;&gt;"",INDEX(職員マスタ!$E$6:$E$405,$AN2810)&lt;&gt;"",$Q2810&lt;&gt;INDEX(職員マスタ!$E$6:$E$405,$AN2810)),"子の生年月日がマスタと相違／","")&amp;IF(AND($L2810&lt;&gt;"",INDEX(職員マスタ!$G$6:$G$405,$AN2810)&lt;&gt;"",$L2810&lt;&gt;INDEX(職員マスタ!$G$6:$G$405,$AN2810)),"時短開始日がマスタと相違／","")&amp;IF(AND($M2810&lt;&gt;"",INDEX(職員マスタ!$H$6:$H$405,$AN2810)&lt;&gt;"",$M2810&lt;&gt;INDEX(職員マスタ!$H$6:$H$405,$AN2810)),"時短終了日がマスタと相違／","")))&amp;IF(AND($B2810&lt;&gt;"",$E2810=""),"報酬額が未入力／","")&amp;IF(N($U2810)&gt;0,"申請書に入力エラーが残っています／","")&amp;IF(AND($B2810&lt;&gt;"",$AO2810&lt;&gt;""),IF(COUNTIFS($B$6:$B$3005,$B2810,$C$6:$C$3005,$C2810,$D$6:$D$3005,$D2810)&gt;1,"同じ月の請求が重複しています／",""),"")&amp;IF(AND(N($E2810)&gt;0,$Z2810&lt;&gt;"",$Z2810&lt;&gt;"×",$AC2810=0,$AB2810=""),"計算額が下限以下のため不支給／",""))</f>
        <v/>
      </c>
      <c r="AL2810" s="12" t="n"/>
      <c r="AM2810" s="14">
        <f>IF($AD2810="保留中",COUNTIF($AD$6:$AD2810,"保留中"),"")</f>
        <v/>
      </c>
      <c r="AN2810" s="14">
        <f>IF($AO2810="","",IF(SUMPRODUCT(MAX((職員マスタ!$A$6:$A$405=$B2810)*(((職員マスタ!$G$6:$G$405="")+(職員マスタ!$G$6:$G$405&lt;=EOMONTH($AO2810,0)))&gt;0)*(((職員マスタ!$H$6:$H$405="")+(職員マスタ!$H$6:$H$405&gt;=$AO2810))&gt;0)*(ROW(職員マスタ!$A$6:$A$405)-5)))&gt;0,SUMPRODUCT(MAX((職員マスタ!$A$6:$A$405=$B2810)*(((職員マスタ!$G$6:$G$405="")+(職員マスタ!$G$6:$G$405&lt;=EOMONTH($AO2810,0)))&gt;0)*(((職員マスタ!$H$6:$H$405="")+(職員マスタ!$H$6:$H$405&gt;=$AO2810))&gt;0)*(ROW(職員マスタ!$A$6:$A$405)-5))),IFERROR(MATCH($B2810,職員マスタ!$A$6:$A$405,0),"")))</f>
        <v/>
      </c>
      <c r="AO2810" s="16">
        <f>IF(OR($B2810="",$C2810="",$D2810=""),"",DATE($C2810+2018,$D2810,1))</f>
        <v/>
      </c>
    </row>
    <row r="2811">
      <c r="A2811" s="11" t="n"/>
      <c r="B2811" s="12" t="n"/>
      <c r="C2811" s="12" t="n"/>
      <c r="D2811" s="12" t="n"/>
      <c r="E2811" s="13" t="n"/>
      <c r="F2811" s="12" t="n"/>
      <c r="G2811" s="13" t="n"/>
      <c r="H2811" s="12" t="n"/>
      <c r="I2811" s="12" t="n"/>
      <c r="J2811" s="12" t="n"/>
      <c r="K2811" s="12" t="n"/>
      <c r="L2811" s="11" t="n"/>
      <c r="M2811" s="11" t="n"/>
      <c r="N2811" s="11" t="n"/>
      <c r="O2811" s="11" t="n"/>
      <c r="P2811" s="12" t="n"/>
      <c r="Q2811" s="11" t="n"/>
      <c r="R2811" s="12" t="n"/>
      <c r="S2811" s="11" t="n"/>
      <c r="T2811" s="12" t="n"/>
      <c r="U2811" s="12" t="n"/>
      <c r="V2811" s="14">
        <f>IF($AN2811="",IF($B2811="","",$H2811),IF(INDEX(職員マスタ!$B$6:$B$405,$AN2811)="",$H2811,INDEX(職員マスタ!$B$6:$B$405,$AN2811)))</f>
        <v/>
      </c>
      <c r="W2811" s="14">
        <f>IF($AN2811="",IF($B2811="","",$R2811),IF(INDEX(職員マスタ!$C$6:$C$405,$AN2811)="",$R2811,INDEX(職員マスタ!$C$6:$C$405,$AN2811)))</f>
        <v/>
      </c>
      <c r="X2811" s="14">
        <f>IF($AO2811="","","R"&amp;$C2811&amp;"."&amp;$D2811)</f>
        <v/>
      </c>
      <c r="Y2811" s="15">
        <f>IF($AN2811="","",IF(INDEX(職員マスタ!$K$6:$K$405,$AN2811)="","",INDEX(職員マスタ!$K$6:$K$405,$AN2811)))</f>
        <v/>
      </c>
      <c r="Z2811" s="14">
        <f>IF(OR($E2811="",$Y2811=""),"",IF($E2811&gt;=$Y2811,"×",IF($E2811&gt;=$Y2811*設定!$C$5,"△","○")))</f>
        <v/>
      </c>
      <c r="AA2811" s="15">
        <f>IF($Z2811="","",IF($Z2811="×",0,IF($Z2811="○",ROUNDDOWN($E2811*設定!$C$4,0),ROUNDDOWN($E2811*ROUND((9*$Y2811-9*$E2811)/(10*$E2811),4),0))))</f>
        <v/>
      </c>
      <c r="AB2811" s="13" t="n"/>
      <c r="AC2811" s="15">
        <f>IF($B2811="","",IF($AB2811&lt;&gt;"",$AB2811,IF($AA2811="","",IF($AA2811&lt;=設定!$C$3,0,$AA2811))))</f>
        <v/>
      </c>
      <c r="AD2811" s="14">
        <f>IF($B2811="","",IF(AND($AE2811&lt;&gt;"",$AG2811="",$AJ2811=""),"保留中",IF($AJ2811&lt;&gt;"",IF(N($AC2811)&gt;0,"支給済","不支給"),IF($AC2811="","要確認",IF($AC2811=0,"不支給","未処理")))))</f>
        <v/>
      </c>
      <c r="AE2811" s="12" t="n"/>
      <c r="AF2811" s="11" t="n"/>
      <c r="AG2811" s="11" t="n"/>
      <c r="AH2811" s="11" t="n"/>
      <c r="AI2811" s="14">
        <f>IF(AND($AD2811="保留中",$AF2811&lt;&gt;""),TODAY()-$AF2811,"")</f>
        <v/>
      </c>
      <c r="AJ2811" s="12" t="n"/>
      <c r="AK2811" s="14">
        <f>IF($B2811="","",IF($AO2811="","対象年月が未入力／","")&amp;IF($B2811="","",IF($AN2811="","職員マスタに未登録の職員番号／",IF($Y2811="","標準報酬月額が未登録／","")&amp;IF(AND($AO2811&lt;&gt;"",OR(AND(INDEX(職員マスタ!$G$6:$G$405,$AN2811)&lt;&gt;"",INDEX(職員マスタ!$G$6:$G$405,$AN2811)&gt;EOMONTH($AO2811,0)),AND(INDEX(職員マスタ!$H$6:$H$405,$AN2811)&lt;&gt;"",INDEX(職員マスタ!$H$6:$H$405,$AN2811)&lt;$AO2811))),"対象月が時短期間外／","")&amp;IF(AND(INDEX(職員マスタ!$F$6:$F$405,$AN2811)&lt;&gt;"",$AO2811&lt;&gt;"",INDEX(職員マスタ!$F$6:$F$405,$AN2811)&lt;$AO2811),"対象月に子が2歳到達済／","")&amp;IF(AND($H2811&lt;&gt;"",INDEX(職員マスタ!$B$6:$B$405,$AN2811)&lt;&gt;"",SUBSTITUTE(SUBSTITUTE($H2811," ","")," ","")&lt;&gt;SUBSTITUTE(SUBSTITUTE(INDEX(職員マスタ!$B$6:$B$405,$AN2811)," ","")," ","")),"氏名がマスタと相違／","")&amp;IF(AND($Q2811&lt;&gt;"",INDEX(職員マスタ!$E$6:$E$405,$AN2811)&lt;&gt;"",$Q2811&lt;&gt;INDEX(職員マスタ!$E$6:$E$405,$AN2811)),"子の生年月日がマスタと相違／","")&amp;IF(AND($L2811&lt;&gt;"",INDEX(職員マスタ!$G$6:$G$405,$AN2811)&lt;&gt;"",$L2811&lt;&gt;INDEX(職員マスタ!$G$6:$G$405,$AN2811)),"時短開始日がマスタと相違／","")&amp;IF(AND($M2811&lt;&gt;"",INDEX(職員マスタ!$H$6:$H$405,$AN2811)&lt;&gt;"",$M2811&lt;&gt;INDEX(職員マスタ!$H$6:$H$405,$AN2811)),"時短終了日がマスタと相違／","")))&amp;IF(AND($B2811&lt;&gt;"",$E2811=""),"報酬額が未入力／","")&amp;IF(N($U2811)&gt;0,"申請書に入力エラーが残っています／","")&amp;IF(AND($B2811&lt;&gt;"",$AO2811&lt;&gt;""),IF(COUNTIFS($B$6:$B$3005,$B2811,$C$6:$C$3005,$C2811,$D$6:$D$3005,$D2811)&gt;1,"同じ月の請求が重複しています／",""),"")&amp;IF(AND(N($E2811)&gt;0,$Z2811&lt;&gt;"",$Z2811&lt;&gt;"×",$AC2811=0,$AB2811=""),"計算額が下限以下のため不支給／",""))</f>
        <v/>
      </c>
      <c r="AL2811" s="12" t="n"/>
      <c r="AM2811" s="14">
        <f>IF($AD2811="保留中",COUNTIF($AD$6:$AD2811,"保留中"),"")</f>
        <v/>
      </c>
      <c r="AN2811" s="14">
        <f>IF($AO2811="","",IF(SUMPRODUCT(MAX((職員マスタ!$A$6:$A$405=$B2811)*(((職員マスタ!$G$6:$G$405="")+(職員マスタ!$G$6:$G$405&lt;=EOMONTH($AO2811,0)))&gt;0)*(((職員マスタ!$H$6:$H$405="")+(職員マスタ!$H$6:$H$405&gt;=$AO2811))&gt;0)*(ROW(職員マスタ!$A$6:$A$405)-5)))&gt;0,SUMPRODUCT(MAX((職員マスタ!$A$6:$A$405=$B2811)*(((職員マスタ!$G$6:$G$405="")+(職員マスタ!$G$6:$G$405&lt;=EOMONTH($AO2811,0)))&gt;0)*(((職員マスタ!$H$6:$H$405="")+(職員マスタ!$H$6:$H$405&gt;=$AO2811))&gt;0)*(ROW(職員マスタ!$A$6:$A$405)-5))),IFERROR(MATCH($B2811,職員マスタ!$A$6:$A$405,0),"")))</f>
        <v/>
      </c>
      <c r="AO2811" s="16">
        <f>IF(OR($B2811="",$C2811="",$D2811=""),"",DATE($C2811+2018,$D2811,1))</f>
        <v/>
      </c>
    </row>
    <row r="2812">
      <c r="A2812" s="11" t="n"/>
      <c r="B2812" s="12" t="n"/>
      <c r="C2812" s="12" t="n"/>
      <c r="D2812" s="12" t="n"/>
      <c r="E2812" s="13" t="n"/>
      <c r="F2812" s="12" t="n"/>
      <c r="G2812" s="13" t="n"/>
      <c r="H2812" s="12" t="n"/>
      <c r="I2812" s="12" t="n"/>
      <c r="J2812" s="12" t="n"/>
      <c r="K2812" s="12" t="n"/>
      <c r="L2812" s="11" t="n"/>
      <c r="M2812" s="11" t="n"/>
      <c r="N2812" s="11" t="n"/>
      <c r="O2812" s="11" t="n"/>
      <c r="P2812" s="12" t="n"/>
      <c r="Q2812" s="11" t="n"/>
      <c r="R2812" s="12" t="n"/>
      <c r="S2812" s="11" t="n"/>
      <c r="T2812" s="12" t="n"/>
      <c r="U2812" s="12" t="n"/>
      <c r="V2812" s="14">
        <f>IF($AN2812="",IF($B2812="","",$H2812),IF(INDEX(職員マスタ!$B$6:$B$405,$AN2812)="",$H2812,INDEX(職員マスタ!$B$6:$B$405,$AN2812)))</f>
        <v/>
      </c>
      <c r="W2812" s="14">
        <f>IF($AN2812="",IF($B2812="","",$R2812),IF(INDEX(職員マスタ!$C$6:$C$405,$AN2812)="",$R2812,INDEX(職員マスタ!$C$6:$C$405,$AN2812)))</f>
        <v/>
      </c>
      <c r="X2812" s="14">
        <f>IF($AO2812="","","R"&amp;$C2812&amp;"."&amp;$D2812)</f>
        <v/>
      </c>
      <c r="Y2812" s="15">
        <f>IF($AN2812="","",IF(INDEX(職員マスタ!$K$6:$K$405,$AN2812)="","",INDEX(職員マスタ!$K$6:$K$405,$AN2812)))</f>
        <v/>
      </c>
      <c r="Z2812" s="14">
        <f>IF(OR($E2812="",$Y2812=""),"",IF($E2812&gt;=$Y2812,"×",IF($E2812&gt;=$Y2812*設定!$C$5,"△","○")))</f>
        <v/>
      </c>
      <c r="AA2812" s="15">
        <f>IF($Z2812="","",IF($Z2812="×",0,IF($Z2812="○",ROUNDDOWN($E2812*設定!$C$4,0),ROUNDDOWN($E2812*ROUND((9*$Y2812-9*$E2812)/(10*$E2812),4),0))))</f>
        <v/>
      </c>
      <c r="AB2812" s="13" t="n"/>
      <c r="AC2812" s="15">
        <f>IF($B2812="","",IF($AB2812&lt;&gt;"",$AB2812,IF($AA2812="","",IF($AA2812&lt;=設定!$C$3,0,$AA2812))))</f>
        <v/>
      </c>
      <c r="AD2812" s="14">
        <f>IF($B2812="","",IF(AND($AE2812&lt;&gt;"",$AG2812="",$AJ2812=""),"保留中",IF($AJ2812&lt;&gt;"",IF(N($AC2812)&gt;0,"支給済","不支給"),IF($AC2812="","要確認",IF($AC2812=0,"不支給","未処理")))))</f>
        <v/>
      </c>
      <c r="AE2812" s="12" t="n"/>
      <c r="AF2812" s="11" t="n"/>
      <c r="AG2812" s="11" t="n"/>
      <c r="AH2812" s="11" t="n"/>
      <c r="AI2812" s="14">
        <f>IF(AND($AD2812="保留中",$AF2812&lt;&gt;""),TODAY()-$AF2812,"")</f>
        <v/>
      </c>
      <c r="AJ2812" s="12" t="n"/>
      <c r="AK2812" s="14">
        <f>IF($B2812="","",IF($AO2812="","対象年月が未入力／","")&amp;IF($B2812="","",IF($AN2812="","職員マスタに未登録の職員番号／",IF($Y2812="","標準報酬月額が未登録／","")&amp;IF(AND($AO2812&lt;&gt;"",OR(AND(INDEX(職員マスタ!$G$6:$G$405,$AN2812)&lt;&gt;"",INDEX(職員マスタ!$G$6:$G$405,$AN2812)&gt;EOMONTH($AO2812,0)),AND(INDEX(職員マスタ!$H$6:$H$405,$AN2812)&lt;&gt;"",INDEX(職員マスタ!$H$6:$H$405,$AN2812)&lt;$AO2812))),"対象月が時短期間外／","")&amp;IF(AND(INDEX(職員マスタ!$F$6:$F$405,$AN2812)&lt;&gt;"",$AO2812&lt;&gt;"",INDEX(職員マスタ!$F$6:$F$405,$AN2812)&lt;$AO2812),"対象月に子が2歳到達済／","")&amp;IF(AND($H2812&lt;&gt;"",INDEX(職員マスタ!$B$6:$B$405,$AN2812)&lt;&gt;"",SUBSTITUTE(SUBSTITUTE($H2812," ","")," ","")&lt;&gt;SUBSTITUTE(SUBSTITUTE(INDEX(職員マスタ!$B$6:$B$405,$AN2812)," ","")," ","")),"氏名がマスタと相違／","")&amp;IF(AND($Q2812&lt;&gt;"",INDEX(職員マスタ!$E$6:$E$405,$AN2812)&lt;&gt;"",$Q2812&lt;&gt;INDEX(職員マスタ!$E$6:$E$405,$AN2812)),"子の生年月日がマスタと相違／","")&amp;IF(AND($L2812&lt;&gt;"",INDEX(職員マスタ!$G$6:$G$405,$AN2812)&lt;&gt;"",$L2812&lt;&gt;INDEX(職員マスタ!$G$6:$G$405,$AN2812)),"時短開始日がマスタと相違／","")&amp;IF(AND($M2812&lt;&gt;"",INDEX(職員マスタ!$H$6:$H$405,$AN2812)&lt;&gt;"",$M2812&lt;&gt;INDEX(職員マスタ!$H$6:$H$405,$AN2812)),"時短終了日がマスタと相違／","")))&amp;IF(AND($B2812&lt;&gt;"",$E2812=""),"報酬額が未入力／","")&amp;IF(N($U2812)&gt;0,"申請書に入力エラーが残っています／","")&amp;IF(AND($B2812&lt;&gt;"",$AO2812&lt;&gt;""),IF(COUNTIFS($B$6:$B$3005,$B2812,$C$6:$C$3005,$C2812,$D$6:$D$3005,$D2812)&gt;1,"同じ月の請求が重複しています／",""),"")&amp;IF(AND(N($E2812)&gt;0,$Z2812&lt;&gt;"",$Z2812&lt;&gt;"×",$AC2812=0,$AB2812=""),"計算額が下限以下のため不支給／",""))</f>
        <v/>
      </c>
      <c r="AL2812" s="12" t="n"/>
      <c r="AM2812" s="14">
        <f>IF($AD2812="保留中",COUNTIF($AD$6:$AD2812,"保留中"),"")</f>
        <v/>
      </c>
      <c r="AN2812" s="14">
        <f>IF($AO2812="","",IF(SUMPRODUCT(MAX((職員マスタ!$A$6:$A$405=$B2812)*(((職員マスタ!$G$6:$G$405="")+(職員マスタ!$G$6:$G$405&lt;=EOMONTH($AO2812,0)))&gt;0)*(((職員マスタ!$H$6:$H$405="")+(職員マスタ!$H$6:$H$405&gt;=$AO2812))&gt;0)*(ROW(職員マスタ!$A$6:$A$405)-5)))&gt;0,SUMPRODUCT(MAX((職員マスタ!$A$6:$A$405=$B2812)*(((職員マスタ!$G$6:$G$405="")+(職員マスタ!$G$6:$G$405&lt;=EOMONTH($AO2812,0)))&gt;0)*(((職員マスタ!$H$6:$H$405="")+(職員マスタ!$H$6:$H$405&gt;=$AO2812))&gt;0)*(ROW(職員マスタ!$A$6:$A$405)-5))),IFERROR(MATCH($B2812,職員マスタ!$A$6:$A$405,0),"")))</f>
        <v/>
      </c>
      <c r="AO2812" s="16">
        <f>IF(OR($B2812="",$C2812="",$D2812=""),"",DATE($C2812+2018,$D2812,1))</f>
        <v/>
      </c>
    </row>
    <row r="2813">
      <c r="A2813" s="11" t="n"/>
      <c r="B2813" s="12" t="n"/>
      <c r="C2813" s="12" t="n"/>
      <c r="D2813" s="12" t="n"/>
      <c r="E2813" s="13" t="n"/>
      <c r="F2813" s="12" t="n"/>
      <c r="G2813" s="13" t="n"/>
      <c r="H2813" s="12" t="n"/>
      <c r="I2813" s="12" t="n"/>
      <c r="J2813" s="12" t="n"/>
      <c r="K2813" s="12" t="n"/>
      <c r="L2813" s="11" t="n"/>
      <c r="M2813" s="11" t="n"/>
      <c r="N2813" s="11" t="n"/>
      <c r="O2813" s="11" t="n"/>
      <c r="P2813" s="12" t="n"/>
      <c r="Q2813" s="11" t="n"/>
      <c r="R2813" s="12" t="n"/>
      <c r="S2813" s="11" t="n"/>
      <c r="T2813" s="12" t="n"/>
      <c r="U2813" s="12" t="n"/>
      <c r="V2813" s="14">
        <f>IF($AN2813="",IF($B2813="","",$H2813),IF(INDEX(職員マスタ!$B$6:$B$405,$AN2813)="",$H2813,INDEX(職員マスタ!$B$6:$B$405,$AN2813)))</f>
        <v/>
      </c>
      <c r="W2813" s="14">
        <f>IF($AN2813="",IF($B2813="","",$R2813),IF(INDEX(職員マスタ!$C$6:$C$405,$AN2813)="",$R2813,INDEX(職員マスタ!$C$6:$C$405,$AN2813)))</f>
        <v/>
      </c>
      <c r="X2813" s="14">
        <f>IF($AO2813="","","R"&amp;$C2813&amp;"."&amp;$D2813)</f>
        <v/>
      </c>
      <c r="Y2813" s="15">
        <f>IF($AN2813="","",IF(INDEX(職員マスタ!$K$6:$K$405,$AN2813)="","",INDEX(職員マスタ!$K$6:$K$405,$AN2813)))</f>
        <v/>
      </c>
      <c r="Z2813" s="14">
        <f>IF(OR($E2813="",$Y2813=""),"",IF($E2813&gt;=$Y2813,"×",IF($E2813&gt;=$Y2813*設定!$C$5,"△","○")))</f>
        <v/>
      </c>
      <c r="AA2813" s="15">
        <f>IF($Z2813="","",IF($Z2813="×",0,IF($Z2813="○",ROUNDDOWN($E2813*設定!$C$4,0),ROUNDDOWN($E2813*ROUND((9*$Y2813-9*$E2813)/(10*$E2813),4),0))))</f>
        <v/>
      </c>
      <c r="AB2813" s="13" t="n"/>
      <c r="AC2813" s="15">
        <f>IF($B2813="","",IF($AB2813&lt;&gt;"",$AB2813,IF($AA2813="","",IF($AA2813&lt;=設定!$C$3,0,$AA2813))))</f>
        <v/>
      </c>
      <c r="AD2813" s="14">
        <f>IF($B2813="","",IF(AND($AE2813&lt;&gt;"",$AG2813="",$AJ2813=""),"保留中",IF($AJ2813&lt;&gt;"",IF(N($AC2813)&gt;0,"支給済","不支給"),IF($AC2813="","要確認",IF($AC2813=0,"不支給","未処理")))))</f>
        <v/>
      </c>
      <c r="AE2813" s="12" t="n"/>
      <c r="AF2813" s="11" t="n"/>
      <c r="AG2813" s="11" t="n"/>
      <c r="AH2813" s="11" t="n"/>
      <c r="AI2813" s="14">
        <f>IF(AND($AD2813="保留中",$AF2813&lt;&gt;""),TODAY()-$AF2813,"")</f>
        <v/>
      </c>
      <c r="AJ2813" s="12" t="n"/>
      <c r="AK2813" s="14">
        <f>IF($B2813="","",IF($AO2813="","対象年月が未入力／","")&amp;IF($B2813="","",IF($AN2813="","職員マスタに未登録の職員番号／",IF($Y2813="","標準報酬月額が未登録／","")&amp;IF(AND($AO2813&lt;&gt;"",OR(AND(INDEX(職員マスタ!$G$6:$G$405,$AN2813)&lt;&gt;"",INDEX(職員マスタ!$G$6:$G$405,$AN2813)&gt;EOMONTH($AO2813,0)),AND(INDEX(職員マスタ!$H$6:$H$405,$AN2813)&lt;&gt;"",INDEX(職員マスタ!$H$6:$H$405,$AN2813)&lt;$AO2813))),"対象月が時短期間外／","")&amp;IF(AND(INDEX(職員マスタ!$F$6:$F$405,$AN2813)&lt;&gt;"",$AO2813&lt;&gt;"",INDEX(職員マスタ!$F$6:$F$405,$AN2813)&lt;$AO2813),"対象月に子が2歳到達済／","")&amp;IF(AND($H2813&lt;&gt;"",INDEX(職員マスタ!$B$6:$B$405,$AN2813)&lt;&gt;"",SUBSTITUTE(SUBSTITUTE($H2813," ","")," ","")&lt;&gt;SUBSTITUTE(SUBSTITUTE(INDEX(職員マスタ!$B$6:$B$405,$AN2813)," ","")," ","")),"氏名がマスタと相違／","")&amp;IF(AND($Q2813&lt;&gt;"",INDEX(職員マスタ!$E$6:$E$405,$AN2813)&lt;&gt;"",$Q2813&lt;&gt;INDEX(職員マスタ!$E$6:$E$405,$AN2813)),"子の生年月日がマスタと相違／","")&amp;IF(AND($L2813&lt;&gt;"",INDEX(職員マスタ!$G$6:$G$405,$AN2813)&lt;&gt;"",$L2813&lt;&gt;INDEX(職員マスタ!$G$6:$G$405,$AN2813)),"時短開始日がマスタと相違／","")&amp;IF(AND($M2813&lt;&gt;"",INDEX(職員マスタ!$H$6:$H$405,$AN2813)&lt;&gt;"",$M2813&lt;&gt;INDEX(職員マスタ!$H$6:$H$405,$AN2813)),"時短終了日がマスタと相違／","")))&amp;IF(AND($B2813&lt;&gt;"",$E2813=""),"報酬額が未入力／","")&amp;IF(N($U2813)&gt;0,"申請書に入力エラーが残っています／","")&amp;IF(AND($B2813&lt;&gt;"",$AO2813&lt;&gt;""),IF(COUNTIFS($B$6:$B$3005,$B2813,$C$6:$C$3005,$C2813,$D$6:$D$3005,$D2813)&gt;1,"同じ月の請求が重複しています／",""),"")&amp;IF(AND(N($E2813)&gt;0,$Z2813&lt;&gt;"",$Z2813&lt;&gt;"×",$AC2813=0,$AB2813=""),"計算額が下限以下のため不支給／",""))</f>
        <v/>
      </c>
      <c r="AL2813" s="12" t="n"/>
      <c r="AM2813" s="14">
        <f>IF($AD2813="保留中",COUNTIF($AD$6:$AD2813,"保留中"),"")</f>
        <v/>
      </c>
      <c r="AN2813" s="14">
        <f>IF($AO2813="","",IF(SUMPRODUCT(MAX((職員マスタ!$A$6:$A$405=$B2813)*(((職員マスタ!$G$6:$G$405="")+(職員マスタ!$G$6:$G$405&lt;=EOMONTH($AO2813,0)))&gt;0)*(((職員マスタ!$H$6:$H$405="")+(職員マスタ!$H$6:$H$405&gt;=$AO2813))&gt;0)*(ROW(職員マスタ!$A$6:$A$405)-5)))&gt;0,SUMPRODUCT(MAX((職員マスタ!$A$6:$A$405=$B2813)*(((職員マスタ!$G$6:$G$405="")+(職員マスタ!$G$6:$G$405&lt;=EOMONTH($AO2813,0)))&gt;0)*(((職員マスタ!$H$6:$H$405="")+(職員マスタ!$H$6:$H$405&gt;=$AO2813))&gt;0)*(ROW(職員マスタ!$A$6:$A$405)-5))),IFERROR(MATCH($B2813,職員マスタ!$A$6:$A$405,0),"")))</f>
        <v/>
      </c>
      <c r="AO2813" s="16">
        <f>IF(OR($B2813="",$C2813="",$D2813=""),"",DATE($C2813+2018,$D2813,1))</f>
        <v/>
      </c>
    </row>
    <row r="2814">
      <c r="A2814" s="11" t="n"/>
      <c r="B2814" s="12" t="n"/>
      <c r="C2814" s="12" t="n"/>
      <c r="D2814" s="12" t="n"/>
      <c r="E2814" s="13" t="n"/>
      <c r="F2814" s="12" t="n"/>
      <c r="G2814" s="13" t="n"/>
      <c r="H2814" s="12" t="n"/>
      <c r="I2814" s="12" t="n"/>
      <c r="J2814" s="12" t="n"/>
      <c r="K2814" s="12" t="n"/>
      <c r="L2814" s="11" t="n"/>
      <c r="M2814" s="11" t="n"/>
      <c r="N2814" s="11" t="n"/>
      <c r="O2814" s="11" t="n"/>
      <c r="P2814" s="12" t="n"/>
      <c r="Q2814" s="11" t="n"/>
      <c r="R2814" s="12" t="n"/>
      <c r="S2814" s="11" t="n"/>
      <c r="T2814" s="12" t="n"/>
      <c r="U2814" s="12" t="n"/>
      <c r="V2814" s="14">
        <f>IF($AN2814="",IF($B2814="","",$H2814),IF(INDEX(職員マスタ!$B$6:$B$405,$AN2814)="",$H2814,INDEX(職員マスタ!$B$6:$B$405,$AN2814)))</f>
        <v/>
      </c>
      <c r="W2814" s="14">
        <f>IF($AN2814="",IF($B2814="","",$R2814),IF(INDEX(職員マスタ!$C$6:$C$405,$AN2814)="",$R2814,INDEX(職員マスタ!$C$6:$C$405,$AN2814)))</f>
        <v/>
      </c>
      <c r="X2814" s="14">
        <f>IF($AO2814="","","R"&amp;$C2814&amp;"."&amp;$D2814)</f>
        <v/>
      </c>
      <c r="Y2814" s="15">
        <f>IF($AN2814="","",IF(INDEX(職員マスタ!$K$6:$K$405,$AN2814)="","",INDEX(職員マスタ!$K$6:$K$405,$AN2814)))</f>
        <v/>
      </c>
      <c r="Z2814" s="14">
        <f>IF(OR($E2814="",$Y2814=""),"",IF($E2814&gt;=$Y2814,"×",IF($E2814&gt;=$Y2814*設定!$C$5,"△","○")))</f>
        <v/>
      </c>
      <c r="AA2814" s="15">
        <f>IF($Z2814="","",IF($Z2814="×",0,IF($Z2814="○",ROUNDDOWN($E2814*設定!$C$4,0),ROUNDDOWN($E2814*ROUND((9*$Y2814-9*$E2814)/(10*$E2814),4),0))))</f>
        <v/>
      </c>
      <c r="AB2814" s="13" t="n"/>
      <c r="AC2814" s="15">
        <f>IF($B2814="","",IF($AB2814&lt;&gt;"",$AB2814,IF($AA2814="","",IF($AA2814&lt;=設定!$C$3,0,$AA2814))))</f>
        <v/>
      </c>
      <c r="AD2814" s="14">
        <f>IF($B2814="","",IF(AND($AE2814&lt;&gt;"",$AG2814="",$AJ2814=""),"保留中",IF($AJ2814&lt;&gt;"",IF(N($AC2814)&gt;0,"支給済","不支給"),IF($AC2814="","要確認",IF($AC2814=0,"不支給","未処理")))))</f>
        <v/>
      </c>
      <c r="AE2814" s="12" t="n"/>
      <c r="AF2814" s="11" t="n"/>
      <c r="AG2814" s="11" t="n"/>
      <c r="AH2814" s="11" t="n"/>
      <c r="AI2814" s="14">
        <f>IF(AND($AD2814="保留中",$AF2814&lt;&gt;""),TODAY()-$AF2814,"")</f>
        <v/>
      </c>
      <c r="AJ2814" s="12" t="n"/>
      <c r="AK2814" s="14">
        <f>IF($B2814="","",IF($AO2814="","対象年月が未入力／","")&amp;IF($B2814="","",IF($AN2814="","職員マスタに未登録の職員番号／",IF($Y2814="","標準報酬月額が未登録／","")&amp;IF(AND($AO2814&lt;&gt;"",OR(AND(INDEX(職員マスタ!$G$6:$G$405,$AN2814)&lt;&gt;"",INDEX(職員マスタ!$G$6:$G$405,$AN2814)&gt;EOMONTH($AO2814,0)),AND(INDEX(職員マスタ!$H$6:$H$405,$AN2814)&lt;&gt;"",INDEX(職員マスタ!$H$6:$H$405,$AN2814)&lt;$AO2814))),"対象月が時短期間外／","")&amp;IF(AND(INDEX(職員マスタ!$F$6:$F$405,$AN2814)&lt;&gt;"",$AO2814&lt;&gt;"",INDEX(職員マスタ!$F$6:$F$405,$AN2814)&lt;$AO2814),"対象月に子が2歳到達済／","")&amp;IF(AND($H2814&lt;&gt;"",INDEX(職員マスタ!$B$6:$B$405,$AN2814)&lt;&gt;"",SUBSTITUTE(SUBSTITUTE($H2814," ","")," ","")&lt;&gt;SUBSTITUTE(SUBSTITUTE(INDEX(職員マスタ!$B$6:$B$405,$AN2814)," ","")," ","")),"氏名がマスタと相違／","")&amp;IF(AND($Q2814&lt;&gt;"",INDEX(職員マスタ!$E$6:$E$405,$AN2814)&lt;&gt;"",$Q2814&lt;&gt;INDEX(職員マスタ!$E$6:$E$405,$AN2814)),"子の生年月日がマスタと相違／","")&amp;IF(AND($L2814&lt;&gt;"",INDEX(職員マスタ!$G$6:$G$405,$AN2814)&lt;&gt;"",$L2814&lt;&gt;INDEX(職員マスタ!$G$6:$G$405,$AN2814)),"時短開始日がマスタと相違／","")&amp;IF(AND($M2814&lt;&gt;"",INDEX(職員マスタ!$H$6:$H$405,$AN2814)&lt;&gt;"",$M2814&lt;&gt;INDEX(職員マスタ!$H$6:$H$405,$AN2814)),"時短終了日がマスタと相違／","")))&amp;IF(AND($B2814&lt;&gt;"",$E2814=""),"報酬額が未入力／","")&amp;IF(N($U2814)&gt;0,"申請書に入力エラーが残っています／","")&amp;IF(AND($B2814&lt;&gt;"",$AO2814&lt;&gt;""),IF(COUNTIFS($B$6:$B$3005,$B2814,$C$6:$C$3005,$C2814,$D$6:$D$3005,$D2814)&gt;1,"同じ月の請求が重複しています／",""),"")&amp;IF(AND(N($E2814)&gt;0,$Z2814&lt;&gt;"",$Z2814&lt;&gt;"×",$AC2814=0,$AB2814=""),"計算額が下限以下のため不支給／",""))</f>
        <v/>
      </c>
      <c r="AL2814" s="12" t="n"/>
      <c r="AM2814" s="14">
        <f>IF($AD2814="保留中",COUNTIF($AD$6:$AD2814,"保留中"),"")</f>
        <v/>
      </c>
      <c r="AN2814" s="14">
        <f>IF($AO2814="","",IF(SUMPRODUCT(MAX((職員マスタ!$A$6:$A$405=$B2814)*(((職員マスタ!$G$6:$G$405="")+(職員マスタ!$G$6:$G$405&lt;=EOMONTH($AO2814,0)))&gt;0)*(((職員マスタ!$H$6:$H$405="")+(職員マスタ!$H$6:$H$405&gt;=$AO2814))&gt;0)*(ROW(職員マスタ!$A$6:$A$405)-5)))&gt;0,SUMPRODUCT(MAX((職員マスタ!$A$6:$A$405=$B2814)*(((職員マスタ!$G$6:$G$405="")+(職員マスタ!$G$6:$G$405&lt;=EOMONTH($AO2814,0)))&gt;0)*(((職員マスタ!$H$6:$H$405="")+(職員マスタ!$H$6:$H$405&gt;=$AO2814))&gt;0)*(ROW(職員マスタ!$A$6:$A$405)-5))),IFERROR(MATCH($B2814,職員マスタ!$A$6:$A$405,0),"")))</f>
        <v/>
      </c>
      <c r="AO2814" s="16">
        <f>IF(OR($B2814="",$C2814="",$D2814=""),"",DATE($C2814+2018,$D2814,1))</f>
        <v/>
      </c>
    </row>
    <row r="2815">
      <c r="A2815" s="11" t="n"/>
      <c r="B2815" s="12" t="n"/>
      <c r="C2815" s="12" t="n"/>
      <c r="D2815" s="12" t="n"/>
      <c r="E2815" s="13" t="n"/>
      <c r="F2815" s="12" t="n"/>
      <c r="G2815" s="13" t="n"/>
      <c r="H2815" s="12" t="n"/>
      <c r="I2815" s="12" t="n"/>
      <c r="J2815" s="12" t="n"/>
      <c r="K2815" s="12" t="n"/>
      <c r="L2815" s="11" t="n"/>
      <c r="M2815" s="11" t="n"/>
      <c r="N2815" s="11" t="n"/>
      <c r="O2815" s="11" t="n"/>
      <c r="P2815" s="12" t="n"/>
      <c r="Q2815" s="11" t="n"/>
      <c r="R2815" s="12" t="n"/>
      <c r="S2815" s="11" t="n"/>
      <c r="T2815" s="12" t="n"/>
      <c r="U2815" s="12" t="n"/>
      <c r="V2815" s="14">
        <f>IF($AN2815="",IF($B2815="","",$H2815),IF(INDEX(職員マスタ!$B$6:$B$405,$AN2815)="",$H2815,INDEX(職員マスタ!$B$6:$B$405,$AN2815)))</f>
        <v/>
      </c>
      <c r="W2815" s="14">
        <f>IF($AN2815="",IF($B2815="","",$R2815),IF(INDEX(職員マスタ!$C$6:$C$405,$AN2815)="",$R2815,INDEX(職員マスタ!$C$6:$C$405,$AN2815)))</f>
        <v/>
      </c>
      <c r="X2815" s="14">
        <f>IF($AO2815="","","R"&amp;$C2815&amp;"."&amp;$D2815)</f>
        <v/>
      </c>
      <c r="Y2815" s="15">
        <f>IF($AN2815="","",IF(INDEX(職員マスタ!$K$6:$K$405,$AN2815)="","",INDEX(職員マスタ!$K$6:$K$405,$AN2815)))</f>
        <v/>
      </c>
      <c r="Z2815" s="14">
        <f>IF(OR($E2815="",$Y2815=""),"",IF($E2815&gt;=$Y2815,"×",IF($E2815&gt;=$Y2815*設定!$C$5,"△","○")))</f>
        <v/>
      </c>
      <c r="AA2815" s="15">
        <f>IF($Z2815="","",IF($Z2815="×",0,IF($Z2815="○",ROUNDDOWN($E2815*設定!$C$4,0),ROUNDDOWN($E2815*ROUND((9*$Y2815-9*$E2815)/(10*$E2815),4),0))))</f>
        <v/>
      </c>
      <c r="AB2815" s="13" t="n"/>
      <c r="AC2815" s="15">
        <f>IF($B2815="","",IF($AB2815&lt;&gt;"",$AB2815,IF($AA2815="","",IF($AA2815&lt;=設定!$C$3,0,$AA2815))))</f>
        <v/>
      </c>
      <c r="AD2815" s="14">
        <f>IF($B2815="","",IF(AND($AE2815&lt;&gt;"",$AG2815="",$AJ2815=""),"保留中",IF($AJ2815&lt;&gt;"",IF(N($AC2815)&gt;0,"支給済","不支給"),IF($AC2815="","要確認",IF($AC2815=0,"不支給","未処理")))))</f>
        <v/>
      </c>
      <c r="AE2815" s="12" t="n"/>
      <c r="AF2815" s="11" t="n"/>
      <c r="AG2815" s="11" t="n"/>
      <c r="AH2815" s="11" t="n"/>
      <c r="AI2815" s="14">
        <f>IF(AND($AD2815="保留中",$AF2815&lt;&gt;""),TODAY()-$AF2815,"")</f>
        <v/>
      </c>
      <c r="AJ2815" s="12" t="n"/>
      <c r="AK2815" s="14">
        <f>IF($B2815="","",IF($AO2815="","対象年月が未入力／","")&amp;IF($B2815="","",IF($AN2815="","職員マスタに未登録の職員番号／",IF($Y2815="","標準報酬月額が未登録／","")&amp;IF(AND($AO2815&lt;&gt;"",OR(AND(INDEX(職員マスタ!$G$6:$G$405,$AN2815)&lt;&gt;"",INDEX(職員マスタ!$G$6:$G$405,$AN2815)&gt;EOMONTH($AO2815,0)),AND(INDEX(職員マスタ!$H$6:$H$405,$AN2815)&lt;&gt;"",INDEX(職員マスタ!$H$6:$H$405,$AN2815)&lt;$AO2815))),"対象月が時短期間外／","")&amp;IF(AND(INDEX(職員マスタ!$F$6:$F$405,$AN2815)&lt;&gt;"",$AO2815&lt;&gt;"",INDEX(職員マスタ!$F$6:$F$405,$AN2815)&lt;$AO2815),"対象月に子が2歳到達済／","")&amp;IF(AND($H2815&lt;&gt;"",INDEX(職員マスタ!$B$6:$B$405,$AN2815)&lt;&gt;"",SUBSTITUTE(SUBSTITUTE($H2815," ","")," ","")&lt;&gt;SUBSTITUTE(SUBSTITUTE(INDEX(職員マスタ!$B$6:$B$405,$AN2815)," ","")," ","")),"氏名がマスタと相違／","")&amp;IF(AND($Q2815&lt;&gt;"",INDEX(職員マスタ!$E$6:$E$405,$AN2815)&lt;&gt;"",$Q2815&lt;&gt;INDEX(職員マスタ!$E$6:$E$405,$AN2815)),"子の生年月日がマスタと相違／","")&amp;IF(AND($L2815&lt;&gt;"",INDEX(職員マスタ!$G$6:$G$405,$AN2815)&lt;&gt;"",$L2815&lt;&gt;INDEX(職員マスタ!$G$6:$G$405,$AN2815)),"時短開始日がマスタと相違／","")&amp;IF(AND($M2815&lt;&gt;"",INDEX(職員マスタ!$H$6:$H$405,$AN2815)&lt;&gt;"",$M2815&lt;&gt;INDEX(職員マスタ!$H$6:$H$405,$AN2815)),"時短終了日がマスタと相違／","")))&amp;IF(AND($B2815&lt;&gt;"",$E2815=""),"報酬額が未入力／","")&amp;IF(N($U2815)&gt;0,"申請書に入力エラーが残っています／","")&amp;IF(AND($B2815&lt;&gt;"",$AO2815&lt;&gt;""),IF(COUNTIFS($B$6:$B$3005,$B2815,$C$6:$C$3005,$C2815,$D$6:$D$3005,$D2815)&gt;1,"同じ月の請求が重複しています／",""),"")&amp;IF(AND(N($E2815)&gt;0,$Z2815&lt;&gt;"",$Z2815&lt;&gt;"×",$AC2815=0,$AB2815=""),"計算額が下限以下のため不支給／",""))</f>
        <v/>
      </c>
      <c r="AL2815" s="12" t="n"/>
      <c r="AM2815" s="14">
        <f>IF($AD2815="保留中",COUNTIF($AD$6:$AD2815,"保留中"),"")</f>
        <v/>
      </c>
      <c r="AN2815" s="14">
        <f>IF($AO2815="","",IF(SUMPRODUCT(MAX((職員マスタ!$A$6:$A$405=$B2815)*(((職員マスタ!$G$6:$G$405="")+(職員マスタ!$G$6:$G$405&lt;=EOMONTH($AO2815,0)))&gt;0)*(((職員マスタ!$H$6:$H$405="")+(職員マスタ!$H$6:$H$405&gt;=$AO2815))&gt;0)*(ROW(職員マスタ!$A$6:$A$405)-5)))&gt;0,SUMPRODUCT(MAX((職員マスタ!$A$6:$A$405=$B2815)*(((職員マスタ!$G$6:$G$405="")+(職員マスタ!$G$6:$G$405&lt;=EOMONTH($AO2815,0)))&gt;0)*(((職員マスタ!$H$6:$H$405="")+(職員マスタ!$H$6:$H$405&gt;=$AO2815))&gt;0)*(ROW(職員マスタ!$A$6:$A$405)-5))),IFERROR(MATCH($B2815,職員マスタ!$A$6:$A$405,0),"")))</f>
        <v/>
      </c>
      <c r="AO2815" s="16">
        <f>IF(OR($B2815="",$C2815="",$D2815=""),"",DATE($C2815+2018,$D2815,1))</f>
        <v/>
      </c>
    </row>
    <row r="2816">
      <c r="A2816" s="11" t="n"/>
      <c r="B2816" s="12" t="n"/>
      <c r="C2816" s="12" t="n"/>
      <c r="D2816" s="12" t="n"/>
      <c r="E2816" s="13" t="n"/>
      <c r="F2816" s="12" t="n"/>
      <c r="G2816" s="13" t="n"/>
      <c r="H2816" s="12" t="n"/>
      <c r="I2816" s="12" t="n"/>
      <c r="J2816" s="12" t="n"/>
      <c r="K2816" s="12" t="n"/>
      <c r="L2816" s="11" t="n"/>
      <c r="M2816" s="11" t="n"/>
      <c r="N2816" s="11" t="n"/>
      <c r="O2816" s="11" t="n"/>
      <c r="P2816" s="12" t="n"/>
      <c r="Q2816" s="11" t="n"/>
      <c r="R2816" s="12" t="n"/>
      <c r="S2816" s="11" t="n"/>
      <c r="T2816" s="12" t="n"/>
      <c r="U2816" s="12" t="n"/>
      <c r="V2816" s="14">
        <f>IF($AN2816="",IF($B2816="","",$H2816),IF(INDEX(職員マスタ!$B$6:$B$405,$AN2816)="",$H2816,INDEX(職員マスタ!$B$6:$B$405,$AN2816)))</f>
        <v/>
      </c>
      <c r="W2816" s="14">
        <f>IF($AN2816="",IF($B2816="","",$R2816),IF(INDEX(職員マスタ!$C$6:$C$405,$AN2816)="",$R2816,INDEX(職員マスタ!$C$6:$C$405,$AN2816)))</f>
        <v/>
      </c>
      <c r="X2816" s="14">
        <f>IF($AO2816="","","R"&amp;$C2816&amp;"."&amp;$D2816)</f>
        <v/>
      </c>
      <c r="Y2816" s="15">
        <f>IF($AN2816="","",IF(INDEX(職員マスタ!$K$6:$K$405,$AN2816)="","",INDEX(職員マスタ!$K$6:$K$405,$AN2816)))</f>
        <v/>
      </c>
      <c r="Z2816" s="14">
        <f>IF(OR($E2816="",$Y2816=""),"",IF($E2816&gt;=$Y2816,"×",IF($E2816&gt;=$Y2816*設定!$C$5,"△","○")))</f>
        <v/>
      </c>
      <c r="AA2816" s="15">
        <f>IF($Z2816="","",IF($Z2816="×",0,IF($Z2816="○",ROUNDDOWN($E2816*設定!$C$4,0),ROUNDDOWN($E2816*ROUND((9*$Y2816-9*$E2816)/(10*$E2816),4),0))))</f>
        <v/>
      </c>
      <c r="AB2816" s="13" t="n"/>
      <c r="AC2816" s="15">
        <f>IF($B2816="","",IF($AB2816&lt;&gt;"",$AB2816,IF($AA2816="","",IF($AA2816&lt;=設定!$C$3,0,$AA2816))))</f>
        <v/>
      </c>
      <c r="AD2816" s="14">
        <f>IF($B2816="","",IF(AND($AE2816&lt;&gt;"",$AG2816="",$AJ2816=""),"保留中",IF($AJ2816&lt;&gt;"",IF(N($AC2816)&gt;0,"支給済","不支給"),IF($AC2816="","要確認",IF($AC2816=0,"不支給","未処理")))))</f>
        <v/>
      </c>
      <c r="AE2816" s="12" t="n"/>
      <c r="AF2816" s="11" t="n"/>
      <c r="AG2816" s="11" t="n"/>
      <c r="AH2816" s="11" t="n"/>
      <c r="AI2816" s="14">
        <f>IF(AND($AD2816="保留中",$AF2816&lt;&gt;""),TODAY()-$AF2816,"")</f>
        <v/>
      </c>
      <c r="AJ2816" s="12" t="n"/>
      <c r="AK2816" s="14">
        <f>IF($B2816="","",IF($AO2816="","対象年月が未入力／","")&amp;IF($B2816="","",IF($AN2816="","職員マスタに未登録の職員番号／",IF($Y2816="","標準報酬月額が未登録／","")&amp;IF(AND($AO2816&lt;&gt;"",OR(AND(INDEX(職員マスタ!$G$6:$G$405,$AN2816)&lt;&gt;"",INDEX(職員マスタ!$G$6:$G$405,$AN2816)&gt;EOMONTH($AO2816,0)),AND(INDEX(職員マスタ!$H$6:$H$405,$AN2816)&lt;&gt;"",INDEX(職員マスタ!$H$6:$H$405,$AN2816)&lt;$AO2816))),"対象月が時短期間外／","")&amp;IF(AND(INDEX(職員マスタ!$F$6:$F$405,$AN2816)&lt;&gt;"",$AO2816&lt;&gt;"",INDEX(職員マスタ!$F$6:$F$405,$AN2816)&lt;$AO2816),"対象月に子が2歳到達済／","")&amp;IF(AND($H2816&lt;&gt;"",INDEX(職員マスタ!$B$6:$B$405,$AN2816)&lt;&gt;"",SUBSTITUTE(SUBSTITUTE($H2816," ","")," ","")&lt;&gt;SUBSTITUTE(SUBSTITUTE(INDEX(職員マスタ!$B$6:$B$405,$AN2816)," ","")," ","")),"氏名がマスタと相違／","")&amp;IF(AND($Q2816&lt;&gt;"",INDEX(職員マスタ!$E$6:$E$405,$AN2816)&lt;&gt;"",$Q2816&lt;&gt;INDEX(職員マスタ!$E$6:$E$405,$AN2816)),"子の生年月日がマスタと相違／","")&amp;IF(AND($L2816&lt;&gt;"",INDEX(職員マスタ!$G$6:$G$405,$AN2816)&lt;&gt;"",$L2816&lt;&gt;INDEX(職員マスタ!$G$6:$G$405,$AN2816)),"時短開始日がマスタと相違／","")&amp;IF(AND($M2816&lt;&gt;"",INDEX(職員マスタ!$H$6:$H$405,$AN2816)&lt;&gt;"",$M2816&lt;&gt;INDEX(職員マスタ!$H$6:$H$405,$AN2816)),"時短終了日がマスタと相違／","")))&amp;IF(AND($B2816&lt;&gt;"",$E2816=""),"報酬額が未入力／","")&amp;IF(N($U2816)&gt;0,"申請書に入力エラーが残っています／","")&amp;IF(AND($B2816&lt;&gt;"",$AO2816&lt;&gt;""),IF(COUNTIFS($B$6:$B$3005,$B2816,$C$6:$C$3005,$C2816,$D$6:$D$3005,$D2816)&gt;1,"同じ月の請求が重複しています／",""),"")&amp;IF(AND(N($E2816)&gt;0,$Z2816&lt;&gt;"",$Z2816&lt;&gt;"×",$AC2816=0,$AB2816=""),"計算額が下限以下のため不支給／",""))</f>
        <v/>
      </c>
      <c r="AL2816" s="12" t="n"/>
      <c r="AM2816" s="14">
        <f>IF($AD2816="保留中",COUNTIF($AD$6:$AD2816,"保留中"),"")</f>
        <v/>
      </c>
      <c r="AN2816" s="14">
        <f>IF($AO2816="","",IF(SUMPRODUCT(MAX((職員マスタ!$A$6:$A$405=$B2816)*(((職員マスタ!$G$6:$G$405="")+(職員マスタ!$G$6:$G$405&lt;=EOMONTH($AO2816,0)))&gt;0)*(((職員マスタ!$H$6:$H$405="")+(職員マスタ!$H$6:$H$405&gt;=$AO2816))&gt;0)*(ROW(職員マスタ!$A$6:$A$405)-5)))&gt;0,SUMPRODUCT(MAX((職員マスタ!$A$6:$A$405=$B2816)*(((職員マスタ!$G$6:$G$405="")+(職員マスタ!$G$6:$G$405&lt;=EOMONTH($AO2816,0)))&gt;0)*(((職員マスタ!$H$6:$H$405="")+(職員マスタ!$H$6:$H$405&gt;=$AO2816))&gt;0)*(ROW(職員マスタ!$A$6:$A$405)-5))),IFERROR(MATCH($B2816,職員マスタ!$A$6:$A$405,0),"")))</f>
        <v/>
      </c>
      <c r="AO2816" s="16">
        <f>IF(OR($B2816="",$C2816="",$D2816=""),"",DATE($C2816+2018,$D2816,1))</f>
        <v/>
      </c>
    </row>
    <row r="2817">
      <c r="A2817" s="11" t="n"/>
      <c r="B2817" s="12" t="n"/>
      <c r="C2817" s="12" t="n"/>
      <c r="D2817" s="12" t="n"/>
      <c r="E2817" s="13" t="n"/>
      <c r="F2817" s="12" t="n"/>
      <c r="G2817" s="13" t="n"/>
      <c r="H2817" s="12" t="n"/>
      <c r="I2817" s="12" t="n"/>
      <c r="J2817" s="12" t="n"/>
      <c r="K2817" s="12" t="n"/>
      <c r="L2817" s="11" t="n"/>
      <c r="M2817" s="11" t="n"/>
      <c r="N2817" s="11" t="n"/>
      <c r="O2817" s="11" t="n"/>
      <c r="P2817" s="12" t="n"/>
      <c r="Q2817" s="11" t="n"/>
      <c r="R2817" s="12" t="n"/>
      <c r="S2817" s="11" t="n"/>
      <c r="T2817" s="12" t="n"/>
      <c r="U2817" s="12" t="n"/>
      <c r="V2817" s="14">
        <f>IF($AN2817="",IF($B2817="","",$H2817),IF(INDEX(職員マスタ!$B$6:$B$405,$AN2817)="",$H2817,INDEX(職員マスタ!$B$6:$B$405,$AN2817)))</f>
        <v/>
      </c>
      <c r="W2817" s="14">
        <f>IF($AN2817="",IF($B2817="","",$R2817),IF(INDEX(職員マスタ!$C$6:$C$405,$AN2817)="",$R2817,INDEX(職員マスタ!$C$6:$C$405,$AN2817)))</f>
        <v/>
      </c>
      <c r="X2817" s="14">
        <f>IF($AO2817="","","R"&amp;$C2817&amp;"."&amp;$D2817)</f>
        <v/>
      </c>
      <c r="Y2817" s="15">
        <f>IF($AN2817="","",IF(INDEX(職員マスタ!$K$6:$K$405,$AN2817)="","",INDEX(職員マスタ!$K$6:$K$405,$AN2817)))</f>
        <v/>
      </c>
      <c r="Z2817" s="14">
        <f>IF(OR($E2817="",$Y2817=""),"",IF($E2817&gt;=$Y2817,"×",IF($E2817&gt;=$Y2817*設定!$C$5,"△","○")))</f>
        <v/>
      </c>
      <c r="AA2817" s="15">
        <f>IF($Z2817="","",IF($Z2817="×",0,IF($Z2817="○",ROUNDDOWN($E2817*設定!$C$4,0),ROUNDDOWN($E2817*ROUND((9*$Y2817-9*$E2817)/(10*$E2817),4),0))))</f>
        <v/>
      </c>
      <c r="AB2817" s="13" t="n"/>
      <c r="AC2817" s="15">
        <f>IF($B2817="","",IF($AB2817&lt;&gt;"",$AB2817,IF($AA2817="","",IF($AA2817&lt;=設定!$C$3,0,$AA2817))))</f>
        <v/>
      </c>
      <c r="AD2817" s="14">
        <f>IF($B2817="","",IF(AND($AE2817&lt;&gt;"",$AG2817="",$AJ2817=""),"保留中",IF($AJ2817&lt;&gt;"",IF(N($AC2817)&gt;0,"支給済","不支給"),IF($AC2817="","要確認",IF($AC2817=0,"不支給","未処理")))))</f>
        <v/>
      </c>
      <c r="AE2817" s="12" t="n"/>
      <c r="AF2817" s="11" t="n"/>
      <c r="AG2817" s="11" t="n"/>
      <c r="AH2817" s="11" t="n"/>
      <c r="AI2817" s="14">
        <f>IF(AND($AD2817="保留中",$AF2817&lt;&gt;""),TODAY()-$AF2817,"")</f>
        <v/>
      </c>
      <c r="AJ2817" s="12" t="n"/>
      <c r="AK2817" s="14">
        <f>IF($B2817="","",IF($AO2817="","対象年月が未入力／","")&amp;IF($B2817="","",IF($AN2817="","職員マスタに未登録の職員番号／",IF($Y2817="","標準報酬月額が未登録／","")&amp;IF(AND($AO2817&lt;&gt;"",OR(AND(INDEX(職員マスタ!$G$6:$G$405,$AN2817)&lt;&gt;"",INDEX(職員マスタ!$G$6:$G$405,$AN2817)&gt;EOMONTH($AO2817,0)),AND(INDEX(職員マスタ!$H$6:$H$405,$AN2817)&lt;&gt;"",INDEX(職員マスタ!$H$6:$H$405,$AN2817)&lt;$AO2817))),"対象月が時短期間外／","")&amp;IF(AND(INDEX(職員マスタ!$F$6:$F$405,$AN2817)&lt;&gt;"",$AO2817&lt;&gt;"",INDEX(職員マスタ!$F$6:$F$405,$AN2817)&lt;$AO2817),"対象月に子が2歳到達済／","")&amp;IF(AND($H2817&lt;&gt;"",INDEX(職員マスタ!$B$6:$B$405,$AN2817)&lt;&gt;"",SUBSTITUTE(SUBSTITUTE($H2817," ","")," ","")&lt;&gt;SUBSTITUTE(SUBSTITUTE(INDEX(職員マスタ!$B$6:$B$405,$AN2817)," ","")," ","")),"氏名がマスタと相違／","")&amp;IF(AND($Q2817&lt;&gt;"",INDEX(職員マスタ!$E$6:$E$405,$AN2817)&lt;&gt;"",$Q2817&lt;&gt;INDEX(職員マスタ!$E$6:$E$405,$AN2817)),"子の生年月日がマスタと相違／","")&amp;IF(AND($L2817&lt;&gt;"",INDEX(職員マスタ!$G$6:$G$405,$AN2817)&lt;&gt;"",$L2817&lt;&gt;INDEX(職員マスタ!$G$6:$G$405,$AN2817)),"時短開始日がマスタと相違／","")&amp;IF(AND($M2817&lt;&gt;"",INDEX(職員マスタ!$H$6:$H$405,$AN2817)&lt;&gt;"",$M2817&lt;&gt;INDEX(職員マスタ!$H$6:$H$405,$AN2817)),"時短終了日がマスタと相違／","")))&amp;IF(AND($B2817&lt;&gt;"",$E2817=""),"報酬額が未入力／","")&amp;IF(N($U2817)&gt;0,"申請書に入力エラーが残っています／","")&amp;IF(AND($B2817&lt;&gt;"",$AO2817&lt;&gt;""),IF(COUNTIFS($B$6:$B$3005,$B2817,$C$6:$C$3005,$C2817,$D$6:$D$3005,$D2817)&gt;1,"同じ月の請求が重複しています／",""),"")&amp;IF(AND(N($E2817)&gt;0,$Z2817&lt;&gt;"",$Z2817&lt;&gt;"×",$AC2817=0,$AB2817=""),"計算額が下限以下のため不支給／",""))</f>
        <v/>
      </c>
      <c r="AL2817" s="12" t="n"/>
      <c r="AM2817" s="14">
        <f>IF($AD2817="保留中",COUNTIF($AD$6:$AD2817,"保留中"),"")</f>
        <v/>
      </c>
      <c r="AN2817" s="14">
        <f>IF($AO2817="","",IF(SUMPRODUCT(MAX((職員マスタ!$A$6:$A$405=$B2817)*(((職員マスタ!$G$6:$G$405="")+(職員マスタ!$G$6:$G$405&lt;=EOMONTH($AO2817,0)))&gt;0)*(((職員マスタ!$H$6:$H$405="")+(職員マスタ!$H$6:$H$405&gt;=$AO2817))&gt;0)*(ROW(職員マスタ!$A$6:$A$405)-5)))&gt;0,SUMPRODUCT(MAX((職員マスタ!$A$6:$A$405=$B2817)*(((職員マスタ!$G$6:$G$405="")+(職員マスタ!$G$6:$G$405&lt;=EOMONTH($AO2817,0)))&gt;0)*(((職員マスタ!$H$6:$H$405="")+(職員マスタ!$H$6:$H$405&gt;=$AO2817))&gt;0)*(ROW(職員マスタ!$A$6:$A$405)-5))),IFERROR(MATCH($B2817,職員マスタ!$A$6:$A$405,0),"")))</f>
        <v/>
      </c>
      <c r="AO2817" s="16">
        <f>IF(OR($B2817="",$C2817="",$D2817=""),"",DATE($C2817+2018,$D2817,1))</f>
        <v/>
      </c>
    </row>
    <row r="2818">
      <c r="A2818" s="11" t="n"/>
      <c r="B2818" s="12" t="n"/>
      <c r="C2818" s="12" t="n"/>
      <c r="D2818" s="12" t="n"/>
      <c r="E2818" s="13" t="n"/>
      <c r="F2818" s="12" t="n"/>
      <c r="G2818" s="13" t="n"/>
      <c r="H2818" s="12" t="n"/>
      <c r="I2818" s="12" t="n"/>
      <c r="J2818" s="12" t="n"/>
      <c r="K2818" s="12" t="n"/>
      <c r="L2818" s="11" t="n"/>
      <c r="M2818" s="11" t="n"/>
      <c r="N2818" s="11" t="n"/>
      <c r="O2818" s="11" t="n"/>
      <c r="P2818" s="12" t="n"/>
      <c r="Q2818" s="11" t="n"/>
      <c r="R2818" s="12" t="n"/>
      <c r="S2818" s="11" t="n"/>
      <c r="T2818" s="12" t="n"/>
      <c r="U2818" s="12" t="n"/>
      <c r="V2818" s="14">
        <f>IF($AN2818="",IF($B2818="","",$H2818),IF(INDEX(職員マスタ!$B$6:$B$405,$AN2818)="",$H2818,INDEX(職員マスタ!$B$6:$B$405,$AN2818)))</f>
        <v/>
      </c>
      <c r="W2818" s="14">
        <f>IF($AN2818="",IF($B2818="","",$R2818),IF(INDEX(職員マスタ!$C$6:$C$405,$AN2818)="",$R2818,INDEX(職員マスタ!$C$6:$C$405,$AN2818)))</f>
        <v/>
      </c>
      <c r="X2818" s="14">
        <f>IF($AO2818="","","R"&amp;$C2818&amp;"."&amp;$D2818)</f>
        <v/>
      </c>
      <c r="Y2818" s="15">
        <f>IF($AN2818="","",IF(INDEX(職員マスタ!$K$6:$K$405,$AN2818)="","",INDEX(職員マスタ!$K$6:$K$405,$AN2818)))</f>
        <v/>
      </c>
      <c r="Z2818" s="14">
        <f>IF(OR($E2818="",$Y2818=""),"",IF($E2818&gt;=$Y2818,"×",IF($E2818&gt;=$Y2818*設定!$C$5,"△","○")))</f>
        <v/>
      </c>
      <c r="AA2818" s="15">
        <f>IF($Z2818="","",IF($Z2818="×",0,IF($Z2818="○",ROUNDDOWN($E2818*設定!$C$4,0),ROUNDDOWN($E2818*ROUND((9*$Y2818-9*$E2818)/(10*$E2818),4),0))))</f>
        <v/>
      </c>
      <c r="AB2818" s="13" t="n"/>
      <c r="AC2818" s="15">
        <f>IF($B2818="","",IF($AB2818&lt;&gt;"",$AB2818,IF($AA2818="","",IF($AA2818&lt;=設定!$C$3,0,$AA2818))))</f>
        <v/>
      </c>
      <c r="AD2818" s="14">
        <f>IF($B2818="","",IF(AND($AE2818&lt;&gt;"",$AG2818="",$AJ2818=""),"保留中",IF($AJ2818&lt;&gt;"",IF(N($AC2818)&gt;0,"支給済","不支給"),IF($AC2818="","要確認",IF($AC2818=0,"不支給","未処理")))))</f>
        <v/>
      </c>
      <c r="AE2818" s="12" t="n"/>
      <c r="AF2818" s="11" t="n"/>
      <c r="AG2818" s="11" t="n"/>
      <c r="AH2818" s="11" t="n"/>
      <c r="AI2818" s="14">
        <f>IF(AND($AD2818="保留中",$AF2818&lt;&gt;""),TODAY()-$AF2818,"")</f>
        <v/>
      </c>
      <c r="AJ2818" s="12" t="n"/>
      <c r="AK2818" s="14">
        <f>IF($B2818="","",IF($AO2818="","対象年月が未入力／","")&amp;IF($B2818="","",IF($AN2818="","職員マスタに未登録の職員番号／",IF($Y2818="","標準報酬月額が未登録／","")&amp;IF(AND($AO2818&lt;&gt;"",OR(AND(INDEX(職員マスタ!$G$6:$G$405,$AN2818)&lt;&gt;"",INDEX(職員マスタ!$G$6:$G$405,$AN2818)&gt;EOMONTH($AO2818,0)),AND(INDEX(職員マスタ!$H$6:$H$405,$AN2818)&lt;&gt;"",INDEX(職員マスタ!$H$6:$H$405,$AN2818)&lt;$AO2818))),"対象月が時短期間外／","")&amp;IF(AND(INDEX(職員マスタ!$F$6:$F$405,$AN2818)&lt;&gt;"",$AO2818&lt;&gt;"",INDEX(職員マスタ!$F$6:$F$405,$AN2818)&lt;$AO2818),"対象月に子が2歳到達済／","")&amp;IF(AND($H2818&lt;&gt;"",INDEX(職員マスタ!$B$6:$B$405,$AN2818)&lt;&gt;"",SUBSTITUTE(SUBSTITUTE($H2818," ","")," ","")&lt;&gt;SUBSTITUTE(SUBSTITUTE(INDEX(職員マスタ!$B$6:$B$405,$AN2818)," ","")," ","")),"氏名がマスタと相違／","")&amp;IF(AND($Q2818&lt;&gt;"",INDEX(職員マスタ!$E$6:$E$405,$AN2818)&lt;&gt;"",$Q2818&lt;&gt;INDEX(職員マスタ!$E$6:$E$405,$AN2818)),"子の生年月日がマスタと相違／","")&amp;IF(AND($L2818&lt;&gt;"",INDEX(職員マスタ!$G$6:$G$405,$AN2818)&lt;&gt;"",$L2818&lt;&gt;INDEX(職員マスタ!$G$6:$G$405,$AN2818)),"時短開始日がマスタと相違／","")&amp;IF(AND($M2818&lt;&gt;"",INDEX(職員マスタ!$H$6:$H$405,$AN2818)&lt;&gt;"",$M2818&lt;&gt;INDEX(職員マスタ!$H$6:$H$405,$AN2818)),"時短終了日がマスタと相違／","")))&amp;IF(AND($B2818&lt;&gt;"",$E2818=""),"報酬額が未入力／","")&amp;IF(N($U2818)&gt;0,"申請書に入力エラーが残っています／","")&amp;IF(AND($B2818&lt;&gt;"",$AO2818&lt;&gt;""),IF(COUNTIFS($B$6:$B$3005,$B2818,$C$6:$C$3005,$C2818,$D$6:$D$3005,$D2818)&gt;1,"同じ月の請求が重複しています／",""),"")&amp;IF(AND(N($E2818)&gt;0,$Z2818&lt;&gt;"",$Z2818&lt;&gt;"×",$AC2818=0,$AB2818=""),"計算額が下限以下のため不支給／",""))</f>
        <v/>
      </c>
      <c r="AL2818" s="12" t="n"/>
      <c r="AM2818" s="14">
        <f>IF($AD2818="保留中",COUNTIF($AD$6:$AD2818,"保留中"),"")</f>
        <v/>
      </c>
      <c r="AN2818" s="14">
        <f>IF($AO2818="","",IF(SUMPRODUCT(MAX((職員マスタ!$A$6:$A$405=$B2818)*(((職員マスタ!$G$6:$G$405="")+(職員マスタ!$G$6:$G$405&lt;=EOMONTH($AO2818,0)))&gt;0)*(((職員マスタ!$H$6:$H$405="")+(職員マスタ!$H$6:$H$405&gt;=$AO2818))&gt;0)*(ROW(職員マスタ!$A$6:$A$405)-5)))&gt;0,SUMPRODUCT(MAX((職員マスタ!$A$6:$A$405=$B2818)*(((職員マスタ!$G$6:$G$405="")+(職員マスタ!$G$6:$G$405&lt;=EOMONTH($AO2818,0)))&gt;0)*(((職員マスタ!$H$6:$H$405="")+(職員マスタ!$H$6:$H$405&gt;=$AO2818))&gt;0)*(ROW(職員マスタ!$A$6:$A$405)-5))),IFERROR(MATCH($B2818,職員マスタ!$A$6:$A$405,0),"")))</f>
        <v/>
      </c>
      <c r="AO2818" s="16">
        <f>IF(OR($B2818="",$C2818="",$D2818=""),"",DATE($C2818+2018,$D2818,1))</f>
        <v/>
      </c>
    </row>
    <row r="2819">
      <c r="A2819" s="11" t="n"/>
      <c r="B2819" s="12" t="n"/>
      <c r="C2819" s="12" t="n"/>
      <c r="D2819" s="12" t="n"/>
      <c r="E2819" s="13" t="n"/>
      <c r="F2819" s="12" t="n"/>
      <c r="G2819" s="13" t="n"/>
      <c r="H2819" s="12" t="n"/>
      <c r="I2819" s="12" t="n"/>
      <c r="J2819" s="12" t="n"/>
      <c r="K2819" s="12" t="n"/>
      <c r="L2819" s="11" t="n"/>
      <c r="M2819" s="11" t="n"/>
      <c r="N2819" s="11" t="n"/>
      <c r="O2819" s="11" t="n"/>
      <c r="P2819" s="12" t="n"/>
      <c r="Q2819" s="11" t="n"/>
      <c r="R2819" s="12" t="n"/>
      <c r="S2819" s="11" t="n"/>
      <c r="T2819" s="12" t="n"/>
      <c r="U2819" s="12" t="n"/>
      <c r="V2819" s="14">
        <f>IF($AN2819="",IF($B2819="","",$H2819),IF(INDEX(職員マスタ!$B$6:$B$405,$AN2819)="",$H2819,INDEX(職員マスタ!$B$6:$B$405,$AN2819)))</f>
        <v/>
      </c>
      <c r="W2819" s="14">
        <f>IF($AN2819="",IF($B2819="","",$R2819),IF(INDEX(職員マスタ!$C$6:$C$405,$AN2819)="",$R2819,INDEX(職員マスタ!$C$6:$C$405,$AN2819)))</f>
        <v/>
      </c>
      <c r="X2819" s="14">
        <f>IF($AO2819="","","R"&amp;$C2819&amp;"."&amp;$D2819)</f>
        <v/>
      </c>
      <c r="Y2819" s="15">
        <f>IF($AN2819="","",IF(INDEX(職員マスタ!$K$6:$K$405,$AN2819)="","",INDEX(職員マスタ!$K$6:$K$405,$AN2819)))</f>
        <v/>
      </c>
      <c r="Z2819" s="14">
        <f>IF(OR($E2819="",$Y2819=""),"",IF($E2819&gt;=$Y2819,"×",IF($E2819&gt;=$Y2819*設定!$C$5,"△","○")))</f>
        <v/>
      </c>
      <c r="AA2819" s="15">
        <f>IF($Z2819="","",IF($Z2819="×",0,IF($Z2819="○",ROUNDDOWN($E2819*設定!$C$4,0),ROUNDDOWN($E2819*ROUND((9*$Y2819-9*$E2819)/(10*$E2819),4),0))))</f>
        <v/>
      </c>
      <c r="AB2819" s="13" t="n"/>
      <c r="AC2819" s="15">
        <f>IF($B2819="","",IF($AB2819&lt;&gt;"",$AB2819,IF($AA2819="","",IF($AA2819&lt;=設定!$C$3,0,$AA2819))))</f>
        <v/>
      </c>
      <c r="AD2819" s="14">
        <f>IF($B2819="","",IF(AND($AE2819&lt;&gt;"",$AG2819="",$AJ2819=""),"保留中",IF($AJ2819&lt;&gt;"",IF(N($AC2819)&gt;0,"支給済","不支給"),IF($AC2819="","要確認",IF($AC2819=0,"不支給","未処理")))))</f>
        <v/>
      </c>
      <c r="AE2819" s="12" t="n"/>
      <c r="AF2819" s="11" t="n"/>
      <c r="AG2819" s="11" t="n"/>
      <c r="AH2819" s="11" t="n"/>
      <c r="AI2819" s="14">
        <f>IF(AND($AD2819="保留中",$AF2819&lt;&gt;""),TODAY()-$AF2819,"")</f>
        <v/>
      </c>
      <c r="AJ2819" s="12" t="n"/>
      <c r="AK2819" s="14">
        <f>IF($B2819="","",IF($AO2819="","対象年月が未入力／","")&amp;IF($B2819="","",IF($AN2819="","職員マスタに未登録の職員番号／",IF($Y2819="","標準報酬月額が未登録／","")&amp;IF(AND($AO2819&lt;&gt;"",OR(AND(INDEX(職員マスタ!$G$6:$G$405,$AN2819)&lt;&gt;"",INDEX(職員マスタ!$G$6:$G$405,$AN2819)&gt;EOMONTH($AO2819,0)),AND(INDEX(職員マスタ!$H$6:$H$405,$AN2819)&lt;&gt;"",INDEX(職員マスタ!$H$6:$H$405,$AN2819)&lt;$AO2819))),"対象月が時短期間外／","")&amp;IF(AND(INDEX(職員マスタ!$F$6:$F$405,$AN2819)&lt;&gt;"",$AO2819&lt;&gt;"",INDEX(職員マスタ!$F$6:$F$405,$AN2819)&lt;$AO2819),"対象月に子が2歳到達済／","")&amp;IF(AND($H2819&lt;&gt;"",INDEX(職員マスタ!$B$6:$B$405,$AN2819)&lt;&gt;"",SUBSTITUTE(SUBSTITUTE($H2819," ","")," ","")&lt;&gt;SUBSTITUTE(SUBSTITUTE(INDEX(職員マスタ!$B$6:$B$405,$AN2819)," ","")," ","")),"氏名がマスタと相違／","")&amp;IF(AND($Q2819&lt;&gt;"",INDEX(職員マスタ!$E$6:$E$405,$AN2819)&lt;&gt;"",$Q2819&lt;&gt;INDEX(職員マスタ!$E$6:$E$405,$AN2819)),"子の生年月日がマスタと相違／","")&amp;IF(AND($L2819&lt;&gt;"",INDEX(職員マスタ!$G$6:$G$405,$AN2819)&lt;&gt;"",$L2819&lt;&gt;INDEX(職員マスタ!$G$6:$G$405,$AN2819)),"時短開始日がマスタと相違／","")&amp;IF(AND($M2819&lt;&gt;"",INDEX(職員マスタ!$H$6:$H$405,$AN2819)&lt;&gt;"",$M2819&lt;&gt;INDEX(職員マスタ!$H$6:$H$405,$AN2819)),"時短終了日がマスタと相違／","")))&amp;IF(AND($B2819&lt;&gt;"",$E2819=""),"報酬額が未入力／","")&amp;IF(N($U2819)&gt;0,"申請書に入力エラーが残っています／","")&amp;IF(AND($B2819&lt;&gt;"",$AO2819&lt;&gt;""),IF(COUNTIFS($B$6:$B$3005,$B2819,$C$6:$C$3005,$C2819,$D$6:$D$3005,$D2819)&gt;1,"同じ月の請求が重複しています／",""),"")&amp;IF(AND(N($E2819)&gt;0,$Z2819&lt;&gt;"",$Z2819&lt;&gt;"×",$AC2819=0,$AB2819=""),"計算額が下限以下のため不支給／",""))</f>
        <v/>
      </c>
      <c r="AL2819" s="12" t="n"/>
      <c r="AM2819" s="14">
        <f>IF($AD2819="保留中",COUNTIF($AD$6:$AD2819,"保留中"),"")</f>
        <v/>
      </c>
      <c r="AN2819" s="14">
        <f>IF($AO2819="","",IF(SUMPRODUCT(MAX((職員マスタ!$A$6:$A$405=$B2819)*(((職員マスタ!$G$6:$G$405="")+(職員マスタ!$G$6:$G$405&lt;=EOMONTH($AO2819,0)))&gt;0)*(((職員マスタ!$H$6:$H$405="")+(職員マスタ!$H$6:$H$405&gt;=$AO2819))&gt;0)*(ROW(職員マスタ!$A$6:$A$405)-5)))&gt;0,SUMPRODUCT(MAX((職員マスタ!$A$6:$A$405=$B2819)*(((職員マスタ!$G$6:$G$405="")+(職員マスタ!$G$6:$G$405&lt;=EOMONTH($AO2819,0)))&gt;0)*(((職員マスタ!$H$6:$H$405="")+(職員マスタ!$H$6:$H$405&gt;=$AO2819))&gt;0)*(ROW(職員マスタ!$A$6:$A$405)-5))),IFERROR(MATCH($B2819,職員マスタ!$A$6:$A$405,0),"")))</f>
        <v/>
      </c>
      <c r="AO2819" s="16">
        <f>IF(OR($B2819="",$C2819="",$D2819=""),"",DATE($C2819+2018,$D2819,1))</f>
        <v/>
      </c>
    </row>
    <row r="2820">
      <c r="A2820" s="11" t="n"/>
      <c r="B2820" s="12" t="n"/>
      <c r="C2820" s="12" t="n"/>
      <c r="D2820" s="12" t="n"/>
      <c r="E2820" s="13" t="n"/>
      <c r="F2820" s="12" t="n"/>
      <c r="G2820" s="13" t="n"/>
      <c r="H2820" s="12" t="n"/>
      <c r="I2820" s="12" t="n"/>
      <c r="J2820" s="12" t="n"/>
      <c r="K2820" s="12" t="n"/>
      <c r="L2820" s="11" t="n"/>
      <c r="M2820" s="11" t="n"/>
      <c r="N2820" s="11" t="n"/>
      <c r="O2820" s="11" t="n"/>
      <c r="P2820" s="12" t="n"/>
      <c r="Q2820" s="11" t="n"/>
      <c r="R2820" s="12" t="n"/>
      <c r="S2820" s="11" t="n"/>
      <c r="T2820" s="12" t="n"/>
      <c r="U2820" s="12" t="n"/>
      <c r="V2820" s="14">
        <f>IF($AN2820="",IF($B2820="","",$H2820),IF(INDEX(職員マスタ!$B$6:$B$405,$AN2820)="",$H2820,INDEX(職員マスタ!$B$6:$B$405,$AN2820)))</f>
        <v/>
      </c>
      <c r="W2820" s="14">
        <f>IF($AN2820="",IF($B2820="","",$R2820),IF(INDEX(職員マスタ!$C$6:$C$405,$AN2820)="",$R2820,INDEX(職員マスタ!$C$6:$C$405,$AN2820)))</f>
        <v/>
      </c>
      <c r="X2820" s="14">
        <f>IF($AO2820="","","R"&amp;$C2820&amp;"."&amp;$D2820)</f>
        <v/>
      </c>
      <c r="Y2820" s="15">
        <f>IF($AN2820="","",IF(INDEX(職員マスタ!$K$6:$K$405,$AN2820)="","",INDEX(職員マスタ!$K$6:$K$405,$AN2820)))</f>
        <v/>
      </c>
      <c r="Z2820" s="14">
        <f>IF(OR($E2820="",$Y2820=""),"",IF($E2820&gt;=$Y2820,"×",IF($E2820&gt;=$Y2820*設定!$C$5,"△","○")))</f>
        <v/>
      </c>
      <c r="AA2820" s="15">
        <f>IF($Z2820="","",IF($Z2820="×",0,IF($Z2820="○",ROUNDDOWN($E2820*設定!$C$4,0),ROUNDDOWN($E2820*ROUND((9*$Y2820-9*$E2820)/(10*$E2820),4),0))))</f>
        <v/>
      </c>
      <c r="AB2820" s="13" t="n"/>
      <c r="AC2820" s="15">
        <f>IF($B2820="","",IF($AB2820&lt;&gt;"",$AB2820,IF($AA2820="","",IF($AA2820&lt;=設定!$C$3,0,$AA2820))))</f>
        <v/>
      </c>
      <c r="AD2820" s="14">
        <f>IF($B2820="","",IF(AND($AE2820&lt;&gt;"",$AG2820="",$AJ2820=""),"保留中",IF($AJ2820&lt;&gt;"",IF(N($AC2820)&gt;0,"支給済","不支給"),IF($AC2820="","要確認",IF($AC2820=0,"不支給","未処理")))))</f>
        <v/>
      </c>
      <c r="AE2820" s="12" t="n"/>
      <c r="AF2820" s="11" t="n"/>
      <c r="AG2820" s="11" t="n"/>
      <c r="AH2820" s="11" t="n"/>
      <c r="AI2820" s="14">
        <f>IF(AND($AD2820="保留中",$AF2820&lt;&gt;""),TODAY()-$AF2820,"")</f>
        <v/>
      </c>
      <c r="AJ2820" s="12" t="n"/>
      <c r="AK2820" s="14">
        <f>IF($B2820="","",IF($AO2820="","対象年月が未入力／","")&amp;IF($B2820="","",IF($AN2820="","職員マスタに未登録の職員番号／",IF($Y2820="","標準報酬月額が未登録／","")&amp;IF(AND($AO2820&lt;&gt;"",OR(AND(INDEX(職員マスタ!$G$6:$G$405,$AN2820)&lt;&gt;"",INDEX(職員マスタ!$G$6:$G$405,$AN2820)&gt;EOMONTH($AO2820,0)),AND(INDEX(職員マスタ!$H$6:$H$405,$AN2820)&lt;&gt;"",INDEX(職員マスタ!$H$6:$H$405,$AN2820)&lt;$AO2820))),"対象月が時短期間外／","")&amp;IF(AND(INDEX(職員マスタ!$F$6:$F$405,$AN2820)&lt;&gt;"",$AO2820&lt;&gt;"",INDEX(職員マスタ!$F$6:$F$405,$AN2820)&lt;$AO2820),"対象月に子が2歳到達済／","")&amp;IF(AND($H2820&lt;&gt;"",INDEX(職員マスタ!$B$6:$B$405,$AN2820)&lt;&gt;"",SUBSTITUTE(SUBSTITUTE($H2820," ","")," ","")&lt;&gt;SUBSTITUTE(SUBSTITUTE(INDEX(職員マスタ!$B$6:$B$405,$AN2820)," ","")," ","")),"氏名がマスタと相違／","")&amp;IF(AND($Q2820&lt;&gt;"",INDEX(職員マスタ!$E$6:$E$405,$AN2820)&lt;&gt;"",$Q2820&lt;&gt;INDEX(職員マスタ!$E$6:$E$405,$AN2820)),"子の生年月日がマスタと相違／","")&amp;IF(AND($L2820&lt;&gt;"",INDEX(職員マスタ!$G$6:$G$405,$AN2820)&lt;&gt;"",$L2820&lt;&gt;INDEX(職員マスタ!$G$6:$G$405,$AN2820)),"時短開始日がマスタと相違／","")&amp;IF(AND($M2820&lt;&gt;"",INDEX(職員マスタ!$H$6:$H$405,$AN2820)&lt;&gt;"",$M2820&lt;&gt;INDEX(職員マスタ!$H$6:$H$405,$AN2820)),"時短終了日がマスタと相違／","")))&amp;IF(AND($B2820&lt;&gt;"",$E2820=""),"報酬額が未入力／","")&amp;IF(N($U2820)&gt;0,"申請書に入力エラーが残っています／","")&amp;IF(AND($B2820&lt;&gt;"",$AO2820&lt;&gt;""),IF(COUNTIFS($B$6:$B$3005,$B2820,$C$6:$C$3005,$C2820,$D$6:$D$3005,$D2820)&gt;1,"同じ月の請求が重複しています／",""),"")&amp;IF(AND(N($E2820)&gt;0,$Z2820&lt;&gt;"",$Z2820&lt;&gt;"×",$AC2820=0,$AB2820=""),"計算額が下限以下のため不支給／",""))</f>
        <v/>
      </c>
      <c r="AL2820" s="12" t="n"/>
      <c r="AM2820" s="14">
        <f>IF($AD2820="保留中",COUNTIF($AD$6:$AD2820,"保留中"),"")</f>
        <v/>
      </c>
      <c r="AN2820" s="14">
        <f>IF($AO2820="","",IF(SUMPRODUCT(MAX((職員マスタ!$A$6:$A$405=$B2820)*(((職員マスタ!$G$6:$G$405="")+(職員マスタ!$G$6:$G$405&lt;=EOMONTH($AO2820,0)))&gt;0)*(((職員マスタ!$H$6:$H$405="")+(職員マスタ!$H$6:$H$405&gt;=$AO2820))&gt;0)*(ROW(職員マスタ!$A$6:$A$405)-5)))&gt;0,SUMPRODUCT(MAX((職員マスタ!$A$6:$A$405=$B2820)*(((職員マスタ!$G$6:$G$405="")+(職員マスタ!$G$6:$G$405&lt;=EOMONTH($AO2820,0)))&gt;0)*(((職員マスタ!$H$6:$H$405="")+(職員マスタ!$H$6:$H$405&gt;=$AO2820))&gt;0)*(ROW(職員マスタ!$A$6:$A$405)-5))),IFERROR(MATCH($B2820,職員マスタ!$A$6:$A$405,0),"")))</f>
        <v/>
      </c>
      <c r="AO2820" s="16">
        <f>IF(OR($B2820="",$C2820="",$D2820=""),"",DATE($C2820+2018,$D2820,1))</f>
        <v/>
      </c>
    </row>
    <row r="2821">
      <c r="A2821" s="11" t="n"/>
      <c r="B2821" s="12" t="n"/>
      <c r="C2821" s="12" t="n"/>
      <c r="D2821" s="12" t="n"/>
      <c r="E2821" s="13" t="n"/>
      <c r="F2821" s="12" t="n"/>
      <c r="G2821" s="13" t="n"/>
      <c r="H2821" s="12" t="n"/>
      <c r="I2821" s="12" t="n"/>
      <c r="J2821" s="12" t="n"/>
      <c r="K2821" s="12" t="n"/>
      <c r="L2821" s="11" t="n"/>
      <c r="M2821" s="11" t="n"/>
      <c r="N2821" s="11" t="n"/>
      <c r="O2821" s="11" t="n"/>
      <c r="P2821" s="12" t="n"/>
      <c r="Q2821" s="11" t="n"/>
      <c r="R2821" s="12" t="n"/>
      <c r="S2821" s="11" t="n"/>
      <c r="T2821" s="12" t="n"/>
      <c r="U2821" s="12" t="n"/>
      <c r="V2821" s="14">
        <f>IF($AN2821="",IF($B2821="","",$H2821),IF(INDEX(職員マスタ!$B$6:$B$405,$AN2821)="",$H2821,INDEX(職員マスタ!$B$6:$B$405,$AN2821)))</f>
        <v/>
      </c>
      <c r="W2821" s="14">
        <f>IF($AN2821="",IF($B2821="","",$R2821),IF(INDEX(職員マスタ!$C$6:$C$405,$AN2821)="",$R2821,INDEX(職員マスタ!$C$6:$C$405,$AN2821)))</f>
        <v/>
      </c>
      <c r="X2821" s="14">
        <f>IF($AO2821="","","R"&amp;$C2821&amp;"."&amp;$D2821)</f>
        <v/>
      </c>
      <c r="Y2821" s="15">
        <f>IF($AN2821="","",IF(INDEX(職員マスタ!$K$6:$K$405,$AN2821)="","",INDEX(職員マスタ!$K$6:$K$405,$AN2821)))</f>
        <v/>
      </c>
      <c r="Z2821" s="14">
        <f>IF(OR($E2821="",$Y2821=""),"",IF($E2821&gt;=$Y2821,"×",IF($E2821&gt;=$Y2821*設定!$C$5,"△","○")))</f>
        <v/>
      </c>
      <c r="AA2821" s="15">
        <f>IF($Z2821="","",IF($Z2821="×",0,IF($Z2821="○",ROUNDDOWN($E2821*設定!$C$4,0),ROUNDDOWN($E2821*ROUND((9*$Y2821-9*$E2821)/(10*$E2821),4),0))))</f>
        <v/>
      </c>
      <c r="AB2821" s="13" t="n"/>
      <c r="AC2821" s="15">
        <f>IF($B2821="","",IF($AB2821&lt;&gt;"",$AB2821,IF($AA2821="","",IF($AA2821&lt;=設定!$C$3,0,$AA2821))))</f>
        <v/>
      </c>
      <c r="AD2821" s="14">
        <f>IF($B2821="","",IF(AND($AE2821&lt;&gt;"",$AG2821="",$AJ2821=""),"保留中",IF($AJ2821&lt;&gt;"",IF(N($AC2821)&gt;0,"支給済","不支給"),IF($AC2821="","要確認",IF($AC2821=0,"不支給","未処理")))))</f>
        <v/>
      </c>
      <c r="AE2821" s="12" t="n"/>
      <c r="AF2821" s="11" t="n"/>
      <c r="AG2821" s="11" t="n"/>
      <c r="AH2821" s="11" t="n"/>
      <c r="AI2821" s="14">
        <f>IF(AND($AD2821="保留中",$AF2821&lt;&gt;""),TODAY()-$AF2821,"")</f>
        <v/>
      </c>
      <c r="AJ2821" s="12" t="n"/>
      <c r="AK2821" s="14">
        <f>IF($B2821="","",IF($AO2821="","対象年月が未入力／","")&amp;IF($B2821="","",IF($AN2821="","職員マスタに未登録の職員番号／",IF($Y2821="","標準報酬月額が未登録／","")&amp;IF(AND($AO2821&lt;&gt;"",OR(AND(INDEX(職員マスタ!$G$6:$G$405,$AN2821)&lt;&gt;"",INDEX(職員マスタ!$G$6:$G$405,$AN2821)&gt;EOMONTH($AO2821,0)),AND(INDEX(職員マスタ!$H$6:$H$405,$AN2821)&lt;&gt;"",INDEX(職員マスタ!$H$6:$H$405,$AN2821)&lt;$AO2821))),"対象月が時短期間外／","")&amp;IF(AND(INDEX(職員マスタ!$F$6:$F$405,$AN2821)&lt;&gt;"",$AO2821&lt;&gt;"",INDEX(職員マスタ!$F$6:$F$405,$AN2821)&lt;$AO2821),"対象月に子が2歳到達済／","")&amp;IF(AND($H2821&lt;&gt;"",INDEX(職員マスタ!$B$6:$B$405,$AN2821)&lt;&gt;"",SUBSTITUTE(SUBSTITUTE($H2821," ","")," ","")&lt;&gt;SUBSTITUTE(SUBSTITUTE(INDEX(職員マスタ!$B$6:$B$405,$AN2821)," ","")," ","")),"氏名がマスタと相違／","")&amp;IF(AND($Q2821&lt;&gt;"",INDEX(職員マスタ!$E$6:$E$405,$AN2821)&lt;&gt;"",$Q2821&lt;&gt;INDEX(職員マスタ!$E$6:$E$405,$AN2821)),"子の生年月日がマスタと相違／","")&amp;IF(AND($L2821&lt;&gt;"",INDEX(職員マスタ!$G$6:$G$405,$AN2821)&lt;&gt;"",$L2821&lt;&gt;INDEX(職員マスタ!$G$6:$G$405,$AN2821)),"時短開始日がマスタと相違／","")&amp;IF(AND($M2821&lt;&gt;"",INDEX(職員マスタ!$H$6:$H$405,$AN2821)&lt;&gt;"",$M2821&lt;&gt;INDEX(職員マスタ!$H$6:$H$405,$AN2821)),"時短終了日がマスタと相違／","")))&amp;IF(AND($B2821&lt;&gt;"",$E2821=""),"報酬額が未入力／","")&amp;IF(N($U2821)&gt;0,"申請書に入力エラーが残っています／","")&amp;IF(AND($B2821&lt;&gt;"",$AO2821&lt;&gt;""),IF(COUNTIFS($B$6:$B$3005,$B2821,$C$6:$C$3005,$C2821,$D$6:$D$3005,$D2821)&gt;1,"同じ月の請求が重複しています／",""),"")&amp;IF(AND(N($E2821)&gt;0,$Z2821&lt;&gt;"",$Z2821&lt;&gt;"×",$AC2821=0,$AB2821=""),"計算額が下限以下のため不支給／",""))</f>
        <v/>
      </c>
      <c r="AL2821" s="12" t="n"/>
      <c r="AM2821" s="14">
        <f>IF($AD2821="保留中",COUNTIF($AD$6:$AD2821,"保留中"),"")</f>
        <v/>
      </c>
      <c r="AN2821" s="14">
        <f>IF($AO2821="","",IF(SUMPRODUCT(MAX((職員マスタ!$A$6:$A$405=$B2821)*(((職員マスタ!$G$6:$G$405="")+(職員マスタ!$G$6:$G$405&lt;=EOMONTH($AO2821,0)))&gt;0)*(((職員マスタ!$H$6:$H$405="")+(職員マスタ!$H$6:$H$405&gt;=$AO2821))&gt;0)*(ROW(職員マスタ!$A$6:$A$405)-5)))&gt;0,SUMPRODUCT(MAX((職員マスタ!$A$6:$A$405=$B2821)*(((職員マスタ!$G$6:$G$405="")+(職員マスタ!$G$6:$G$405&lt;=EOMONTH($AO2821,0)))&gt;0)*(((職員マスタ!$H$6:$H$405="")+(職員マスタ!$H$6:$H$405&gt;=$AO2821))&gt;0)*(ROW(職員マスタ!$A$6:$A$405)-5))),IFERROR(MATCH($B2821,職員マスタ!$A$6:$A$405,0),"")))</f>
        <v/>
      </c>
      <c r="AO2821" s="16">
        <f>IF(OR($B2821="",$C2821="",$D2821=""),"",DATE($C2821+2018,$D2821,1))</f>
        <v/>
      </c>
    </row>
    <row r="2822">
      <c r="A2822" s="11" t="n"/>
      <c r="B2822" s="12" t="n"/>
      <c r="C2822" s="12" t="n"/>
      <c r="D2822" s="12" t="n"/>
      <c r="E2822" s="13" t="n"/>
      <c r="F2822" s="12" t="n"/>
      <c r="G2822" s="13" t="n"/>
      <c r="H2822" s="12" t="n"/>
      <c r="I2822" s="12" t="n"/>
      <c r="J2822" s="12" t="n"/>
      <c r="K2822" s="12" t="n"/>
      <c r="L2822" s="11" t="n"/>
      <c r="M2822" s="11" t="n"/>
      <c r="N2822" s="11" t="n"/>
      <c r="O2822" s="11" t="n"/>
      <c r="P2822" s="12" t="n"/>
      <c r="Q2822" s="11" t="n"/>
      <c r="R2822" s="12" t="n"/>
      <c r="S2822" s="11" t="n"/>
      <c r="T2822" s="12" t="n"/>
      <c r="U2822" s="12" t="n"/>
      <c r="V2822" s="14">
        <f>IF($AN2822="",IF($B2822="","",$H2822),IF(INDEX(職員マスタ!$B$6:$B$405,$AN2822)="",$H2822,INDEX(職員マスタ!$B$6:$B$405,$AN2822)))</f>
        <v/>
      </c>
      <c r="W2822" s="14">
        <f>IF($AN2822="",IF($B2822="","",$R2822),IF(INDEX(職員マスタ!$C$6:$C$405,$AN2822)="",$R2822,INDEX(職員マスタ!$C$6:$C$405,$AN2822)))</f>
        <v/>
      </c>
      <c r="X2822" s="14">
        <f>IF($AO2822="","","R"&amp;$C2822&amp;"."&amp;$D2822)</f>
        <v/>
      </c>
      <c r="Y2822" s="15">
        <f>IF($AN2822="","",IF(INDEX(職員マスタ!$K$6:$K$405,$AN2822)="","",INDEX(職員マスタ!$K$6:$K$405,$AN2822)))</f>
        <v/>
      </c>
      <c r="Z2822" s="14">
        <f>IF(OR($E2822="",$Y2822=""),"",IF($E2822&gt;=$Y2822,"×",IF($E2822&gt;=$Y2822*設定!$C$5,"△","○")))</f>
        <v/>
      </c>
      <c r="AA2822" s="15">
        <f>IF($Z2822="","",IF($Z2822="×",0,IF($Z2822="○",ROUNDDOWN($E2822*設定!$C$4,0),ROUNDDOWN($E2822*ROUND((9*$Y2822-9*$E2822)/(10*$E2822),4),0))))</f>
        <v/>
      </c>
      <c r="AB2822" s="13" t="n"/>
      <c r="AC2822" s="15">
        <f>IF($B2822="","",IF($AB2822&lt;&gt;"",$AB2822,IF($AA2822="","",IF($AA2822&lt;=設定!$C$3,0,$AA2822))))</f>
        <v/>
      </c>
      <c r="AD2822" s="14">
        <f>IF($B2822="","",IF(AND($AE2822&lt;&gt;"",$AG2822="",$AJ2822=""),"保留中",IF($AJ2822&lt;&gt;"",IF(N($AC2822)&gt;0,"支給済","不支給"),IF($AC2822="","要確認",IF($AC2822=0,"不支給","未処理")))))</f>
        <v/>
      </c>
      <c r="AE2822" s="12" t="n"/>
      <c r="AF2822" s="11" t="n"/>
      <c r="AG2822" s="11" t="n"/>
      <c r="AH2822" s="11" t="n"/>
      <c r="AI2822" s="14">
        <f>IF(AND($AD2822="保留中",$AF2822&lt;&gt;""),TODAY()-$AF2822,"")</f>
        <v/>
      </c>
      <c r="AJ2822" s="12" t="n"/>
      <c r="AK2822" s="14">
        <f>IF($B2822="","",IF($AO2822="","対象年月が未入力／","")&amp;IF($B2822="","",IF($AN2822="","職員マスタに未登録の職員番号／",IF($Y2822="","標準報酬月額が未登録／","")&amp;IF(AND($AO2822&lt;&gt;"",OR(AND(INDEX(職員マスタ!$G$6:$G$405,$AN2822)&lt;&gt;"",INDEX(職員マスタ!$G$6:$G$405,$AN2822)&gt;EOMONTH($AO2822,0)),AND(INDEX(職員マスタ!$H$6:$H$405,$AN2822)&lt;&gt;"",INDEX(職員マスタ!$H$6:$H$405,$AN2822)&lt;$AO2822))),"対象月が時短期間外／","")&amp;IF(AND(INDEX(職員マスタ!$F$6:$F$405,$AN2822)&lt;&gt;"",$AO2822&lt;&gt;"",INDEX(職員マスタ!$F$6:$F$405,$AN2822)&lt;$AO2822),"対象月に子が2歳到達済／","")&amp;IF(AND($H2822&lt;&gt;"",INDEX(職員マスタ!$B$6:$B$405,$AN2822)&lt;&gt;"",SUBSTITUTE(SUBSTITUTE($H2822," ","")," ","")&lt;&gt;SUBSTITUTE(SUBSTITUTE(INDEX(職員マスタ!$B$6:$B$405,$AN2822)," ","")," ","")),"氏名がマスタと相違／","")&amp;IF(AND($Q2822&lt;&gt;"",INDEX(職員マスタ!$E$6:$E$405,$AN2822)&lt;&gt;"",$Q2822&lt;&gt;INDEX(職員マスタ!$E$6:$E$405,$AN2822)),"子の生年月日がマスタと相違／","")&amp;IF(AND($L2822&lt;&gt;"",INDEX(職員マスタ!$G$6:$G$405,$AN2822)&lt;&gt;"",$L2822&lt;&gt;INDEX(職員マスタ!$G$6:$G$405,$AN2822)),"時短開始日がマスタと相違／","")&amp;IF(AND($M2822&lt;&gt;"",INDEX(職員マスタ!$H$6:$H$405,$AN2822)&lt;&gt;"",$M2822&lt;&gt;INDEX(職員マスタ!$H$6:$H$405,$AN2822)),"時短終了日がマスタと相違／","")))&amp;IF(AND($B2822&lt;&gt;"",$E2822=""),"報酬額が未入力／","")&amp;IF(N($U2822)&gt;0,"申請書に入力エラーが残っています／","")&amp;IF(AND($B2822&lt;&gt;"",$AO2822&lt;&gt;""),IF(COUNTIFS($B$6:$B$3005,$B2822,$C$6:$C$3005,$C2822,$D$6:$D$3005,$D2822)&gt;1,"同じ月の請求が重複しています／",""),"")&amp;IF(AND(N($E2822)&gt;0,$Z2822&lt;&gt;"",$Z2822&lt;&gt;"×",$AC2822=0,$AB2822=""),"計算額が下限以下のため不支給／",""))</f>
        <v/>
      </c>
      <c r="AL2822" s="12" t="n"/>
      <c r="AM2822" s="14">
        <f>IF($AD2822="保留中",COUNTIF($AD$6:$AD2822,"保留中"),"")</f>
        <v/>
      </c>
      <c r="AN2822" s="14">
        <f>IF($AO2822="","",IF(SUMPRODUCT(MAX((職員マスタ!$A$6:$A$405=$B2822)*(((職員マスタ!$G$6:$G$405="")+(職員マスタ!$G$6:$G$405&lt;=EOMONTH($AO2822,0)))&gt;0)*(((職員マスタ!$H$6:$H$405="")+(職員マスタ!$H$6:$H$405&gt;=$AO2822))&gt;0)*(ROW(職員マスタ!$A$6:$A$405)-5)))&gt;0,SUMPRODUCT(MAX((職員マスタ!$A$6:$A$405=$B2822)*(((職員マスタ!$G$6:$G$405="")+(職員マスタ!$G$6:$G$405&lt;=EOMONTH($AO2822,0)))&gt;0)*(((職員マスタ!$H$6:$H$405="")+(職員マスタ!$H$6:$H$405&gt;=$AO2822))&gt;0)*(ROW(職員マスタ!$A$6:$A$405)-5))),IFERROR(MATCH($B2822,職員マスタ!$A$6:$A$405,0),"")))</f>
        <v/>
      </c>
      <c r="AO2822" s="16">
        <f>IF(OR($B2822="",$C2822="",$D2822=""),"",DATE($C2822+2018,$D2822,1))</f>
        <v/>
      </c>
    </row>
    <row r="2823">
      <c r="A2823" s="11" t="n"/>
      <c r="B2823" s="12" t="n"/>
      <c r="C2823" s="12" t="n"/>
      <c r="D2823" s="12" t="n"/>
      <c r="E2823" s="13" t="n"/>
      <c r="F2823" s="12" t="n"/>
      <c r="G2823" s="13" t="n"/>
      <c r="H2823" s="12" t="n"/>
      <c r="I2823" s="12" t="n"/>
      <c r="J2823" s="12" t="n"/>
      <c r="K2823" s="12" t="n"/>
      <c r="L2823" s="11" t="n"/>
      <c r="M2823" s="11" t="n"/>
      <c r="N2823" s="11" t="n"/>
      <c r="O2823" s="11" t="n"/>
      <c r="P2823" s="12" t="n"/>
      <c r="Q2823" s="11" t="n"/>
      <c r="R2823" s="12" t="n"/>
      <c r="S2823" s="11" t="n"/>
      <c r="T2823" s="12" t="n"/>
      <c r="U2823" s="12" t="n"/>
      <c r="V2823" s="14">
        <f>IF($AN2823="",IF($B2823="","",$H2823),IF(INDEX(職員マスタ!$B$6:$B$405,$AN2823)="",$H2823,INDEX(職員マスタ!$B$6:$B$405,$AN2823)))</f>
        <v/>
      </c>
      <c r="W2823" s="14">
        <f>IF($AN2823="",IF($B2823="","",$R2823),IF(INDEX(職員マスタ!$C$6:$C$405,$AN2823)="",$R2823,INDEX(職員マスタ!$C$6:$C$405,$AN2823)))</f>
        <v/>
      </c>
      <c r="X2823" s="14">
        <f>IF($AO2823="","","R"&amp;$C2823&amp;"."&amp;$D2823)</f>
        <v/>
      </c>
      <c r="Y2823" s="15">
        <f>IF($AN2823="","",IF(INDEX(職員マスタ!$K$6:$K$405,$AN2823)="","",INDEX(職員マスタ!$K$6:$K$405,$AN2823)))</f>
        <v/>
      </c>
      <c r="Z2823" s="14">
        <f>IF(OR($E2823="",$Y2823=""),"",IF($E2823&gt;=$Y2823,"×",IF($E2823&gt;=$Y2823*設定!$C$5,"△","○")))</f>
        <v/>
      </c>
      <c r="AA2823" s="15">
        <f>IF($Z2823="","",IF($Z2823="×",0,IF($Z2823="○",ROUNDDOWN($E2823*設定!$C$4,0),ROUNDDOWN($E2823*ROUND((9*$Y2823-9*$E2823)/(10*$E2823),4),0))))</f>
        <v/>
      </c>
      <c r="AB2823" s="13" t="n"/>
      <c r="AC2823" s="15">
        <f>IF($B2823="","",IF($AB2823&lt;&gt;"",$AB2823,IF($AA2823="","",IF($AA2823&lt;=設定!$C$3,0,$AA2823))))</f>
        <v/>
      </c>
      <c r="AD2823" s="14">
        <f>IF($B2823="","",IF(AND($AE2823&lt;&gt;"",$AG2823="",$AJ2823=""),"保留中",IF($AJ2823&lt;&gt;"",IF(N($AC2823)&gt;0,"支給済","不支給"),IF($AC2823="","要確認",IF($AC2823=0,"不支給","未処理")))))</f>
        <v/>
      </c>
      <c r="AE2823" s="12" t="n"/>
      <c r="AF2823" s="11" t="n"/>
      <c r="AG2823" s="11" t="n"/>
      <c r="AH2823" s="11" t="n"/>
      <c r="AI2823" s="14">
        <f>IF(AND($AD2823="保留中",$AF2823&lt;&gt;""),TODAY()-$AF2823,"")</f>
        <v/>
      </c>
      <c r="AJ2823" s="12" t="n"/>
      <c r="AK2823" s="14">
        <f>IF($B2823="","",IF($AO2823="","対象年月が未入力／","")&amp;IF($B2823="","",IF($AN2823="","職員マスタに未登録の職員番号／",IF($Y2823="","標準報酬月額が未登録／","")&amp;IF(AND($AO2823&lt;&gt;"",OR(AND(INDEX(職員マスタ!$G$6:$G$405,$AN2823)&lt;&gt;"",INDEX(職員マスタ!$G$6:$G$405,$AN2823)&gt;EOMONTH($AO2823,0)),AND(INDEX(職員マスタ!$H$6:$H$405,$AN2823)&lt;&gt;"",INDEX(職員マスタ!$H$6:$H$405,$AN2823)&lt;$AO2823))),"対象月が時短期間外／","")&amp;IF(AND(INDEX(職員マスタ!$F$6:$F$405,$AN2823)&lt;&gt;"",$AO2823&lt;&gt;"",INDEX(職員マスタ!$F$6:$F$405,$AN2823)&lt;$AO2823),"対象月に子が2歳到達済／","")&amp;IF(AND($H2823&lt;&gt;"",INDEX(職員マスタ!$B$6:$B$405,$AN2823)&lt;&gt;"",SUBSTITUTE(SUBSTITUTE($H2823," ","")," ","")&lt;&gt;SUBSTITUTE(SUBSTITUTE(INDEX(職員マスタ!$B$6:$B$405,$AN2823)," ","")," ","")),"氏名がマスタと相違／","")&amp;IF(AND($Q2823&lt;&gt;"",INDEX(職員マスタ!$E$6:$E$405,$AN2823)&lt;&gt;"",$Q2823&lt;&gt;INDEX(職員マスタ!$E$6:$E$405,$AN2823)),"子の生年月日がマスタと相違／","")&amp;IF(AND($L2823&lt;&gt;"",INDEX(職員マスタ!$G$6:$G$405,$AN2823)&lt;&gt;"",$L2823&lt;&gt;INDEX(職員マスタ!$G$6:$G$405,$AN2823)),"時短開始日がマスタと相違／","")&amp;IF(AND($M2823&lt;&gt;"",INDEX(職員マスタ!$H$6:$H$405,$AN2823)&lt;&gt;"",$M2823&lt;&gt;INDEX(職員マスタ!$H$6:$H$405,$AN2823)),"時短終了日がマスタと相違／","")))&amp;IF(AND($B2823&lt;&gt;"",$E2823=""),"報酬額が未入力／","")&amp;IF(N($U2823)&gt;0,"申請書に入力エラーが残っています／","")&amp;IF(AND($B2823&lt;&gt;"",$AO2823&lt;&gt;""),IF(COUNTIFS($B$6:$B$3005,$B2823,$C$6:$C$3005,$C2823,$D$6:$D$3005,$D2823)&gt;1,"同じ月の請求が重複しています／",""),"")&amp;IF(AND(N($E2823)&gt;0,$Z2823&lt;&gt;"",$Z2823&lt;&gt;"×",$AC2823=0,$AB2823=""),"計算額が下限以下のため不支給／",""))</f>
        <v/>
      </c>
      <c r="AL2823" s="12" t="n"/>
      <c r="AM2823" s="14">
        <f>IF($AD2823="保留中",COUNTIF($AD$6:$AD2823,"保留中"),"")</f>
        <v/>
      </c>
      <c r="AN2823" s="14">
        <f>IF($AO2823="","",IF(SUMPRODUCT(MAX((職員マスタ!$A$6:$A$405=$B2823)*(((職員マスタ!$G$6:$G$405="")+(職員マスタ!$G$6:$G$405&lt;=EOMONTH($AO2823,0)))&gt;0)*(((職員マスタ!$H$6:$H$405="")+(職員マスタ!$H$6:$H$405&gt;=$AO2823))&gt;0)*(ROW(職員マスタ!$A$6:$A$405)-5)))&gt;0,SUMPRODUCT(MAX((職員マスタ!$A$6:$A$405=$B2823)*(((職員マスタ!$G$6:$G$405="")+(職員マスタ!$G$6:$G$405&lt;=EOMONTH($AO2823,0)))&gt;0)*(((職員マスタ!$H$6:$H$405="")+(職員マスタ!$H$6:$H$405&gt;=$AO2823))&gt;0)*(ROW(職員マスタ!$A$6:$A$405)-5))),IFERROR(MATCH($B2823,職員マスタ!$A$6:$A$405,0),"")))</f>
        <v/>
      </c>
      <c r="AO2823" s="16">
        <f>IF(OR($B2823="",$C2823="",$D2823=""),"",DATE($C2823+2018,$D2823,1))</f>
        <v/>
      </c>
    </row>
    <row r="2824">
      <c r="A2824" s="11" t="n"/>
      <c r="B2824" s="12" t="n"/>
      <c r="C2824" s="12" t="n"/>
      <c r="D2824" s="12" t="n"/>
      <c r="E2824" s="13" t="n"/>
      <c r="F2824" s="12" t="n"/>
      <c r="G2824" s="13" t="n"/>
      <c r="H2824" s="12" t="n"/>
      <c r="I2824" s="12" t="n"/>
      <c r="J2824" s="12" t="n"/>
      <c r="K2824" s="12" t="n"/>
      <c r="L2824" s="11" t="n"/>
      <c r="M2824" s="11" t="n"/>
      <c r="N2824" s="11" t="n"/>
      <c r="O2824" s="11" t="n"/>
      <c r="P2824" s="12" t="n"/>
      <c r="Q2824" s="11" t="n"/>
      <c r="R2824" s="12" t="n"/>
      <c r="S2824" s="11" t="n"/>
      <c r="T2824" s="12" t="n"/>
      <c r="U2824" s="12" t="n"/>
      <c r="V2824" s="14">
        <f>IF($AN2824="",IF($B2824="","",$H2824),IF(INDEX(職員マスタ!$B$6:$B$405,$AN2824)="",$H2824,INDEX(職員マスタ!$B$6:$B$405,$AN2824)))</f>
        <v/>
      </c>
      <c r="W2824" s="14">
        <f>IF($AN2824="",IF($B2824="","",$R2824),IF(INDEX(職員マスタ!$C$6:$C$405,$AN2824)="",$R2824,INDEX(職員マスタ!$C$6:$C$405,$AN2824)))</f>
        <v/>
      </c>
      <c r="X2824" s="14">
        <f>IF($AO2824="","","R"&amp;$C2824&amp;"."&amp;$D2824)</f>
        <v/>
      </c>
      <c r="Y2824" s="15">
        <f>IF($AN2824="","",IF(INDEX(職員マスタ!$K$6:$K$405,$AN2824)="","",INDEX(職員マスタ!$K$6:$K$405,$AN2824)))</f>
        <v/>
      </c>
      <c r="Z2824" s="14">
        <f>IF(OR($E2824="",$Y2824=""),"",IF($E2824&gt;=$Y2824,"×",IF($E2824&gt;=$Y2824*設定!$C$5,"△","○")))</f>
        <v/>
      </c>
      <c r="AA2824" s="15">
        <f>IF($Z2824="","",IF($Z2824="×",0,IF($Z2824="○",ROUNDDOWN($E2824*設定!$C$4,0),ROUNDDOWN($E2824*ROUND((9*$Y2824-9*$E2824)/(10*$E2824),4),0))))</f>
        <v/>
      </c>
      <c r="AB2824" s="13" t="n"/>
      <c r="AC2824" s="15">
        <f>IF($B2824="","",IF($AB2824&lt;&gt;"",$AB2824,IF($AA2824="","",IF($AA2824&lt;=設定!$C$3,0,$AA2824))))</f>
        <v/>
      </c>
      <c r="AD2824" s="14">
        <f>IF($B2824="","",IF(AND($AE2824&lt;&gt;"",$AG2824="",$AJ2824=""),"保留中",IF($AJ2824&lt;&gt;"",IF(N($AC2824)&gt;0,"支給済","不支給"),IF($AC2824="","要確認",IF($AC2824=0,"不支給","未処理")))))</f>
        <v/>
      </c>
      <c r="AE2824" s="12" t="n"/>
      <c r="AF2824" s="11" t="n"/>
      <c r="AG2824" s="11" t="n"/>
      <c r="AH2824" s="11" t="n"/>
      <c r="AI2824" s="14">
        <f>IF(AND($AD2824="保留中",$AF2824&lt;&gt;""),TODAY()-$AF2824,"")</f>
        <v/>
      </c>
      <c r="AJ2824" s="12" t="n"/>
      <c r="AK2824" s="14">
        <f>IF($B2824="","",IF($AO2824="","対象年月が未入力／","")&amp;IF($B2824="","",IF($AN2824="","職員マスタに未登録の職員番号／",IF($Y2824="","標準報酬月額が未登録／","")&amp;IF(AND($AO2824&lt;&gt;"",OR(AND(INDEX(職員マスタ!$G$6:$G$405,$AN2824)&lt;&gt;"",INDEX(職員マスタ!$G$6:$G$405,$AN2824)&gt;EOMONTH($AO2824,0)),AND(INDEX(職員マスタ!$H$6:$H$405,$AN2824)&lt;&gt;"",INDEX(職員マスタ!$H$6:$H$405,$AN2824)&lt;$AO2824))),"対象月が時短期間外／","")&amp;IF(AND(INDEX(職員マスタ!$F$6:$F$405,$AN2824)&lt;&gt;"",$AO2824&lt;&gt;"",INDEX(職員マスタ!$F$6:$F$405,$AN2824)&lt;$AO2824),"対象月に子が2歳到達済／","")&amp;IF(AND($H2824&lt;&gt;"",INDEX(職員マスタ!$B$6:$B$405,$AN2824)&lt;&gt;"",SUBSTITUTE(SUBSTITUTE($H2824," ","")," ","")&lt;&gt;SUBSTITUTE(SUBSTITUTE(INDEX(職員マスタ!$B$6:$B$405,$AN2824)," ","")," ","")),"氏名がマスタと相違／","")&amp;IF(AND($Q2824&lt;&gt;"",INDEX(職員マスタ!$E$6:$E$405,$AN2824)&lt;&gt;"",$Q2824&lt;&gt;INDEX(職員マスタ!$E$6:$E$405,$AN2824)),"子の生年月日がマスタと相違／","")&amp;IF(AND($L2824&lt;&gt;"",INDEX(職員マスタ!$G$6:$G$405,$AN2824)&lt;&gt;"",$L2824&lt;&gt;INDEX(職員マスタ!$G$6:$G$405,$AN2824)),"時短開始日がマスタと相違／","")&amp;IF(AND($M2824&lt;&gt;"",INDEX(職員マスタ!$H$6:$H$405,$AN2824)&lt;&gt;"",$M2824&lt;&gt;INDEX(職員マスタ!$H$6:$H$405,$AN2824)),"時短終了日がマスタと相違／","")))&amp;IF(AND($B2824&lt;&gt;"",$E2824=""),"報酬額が未入力／","")&amp;IF(N($U2824)&gt;0,"申請書に入力エラーが残っています／","")&amp;IF(AND($B2824&lt;&gt;"",$AO2824&lt;&gt;""),IF(COUNTIFS($B$6:$B$3005,$B2824,$C$6:$C$3005,$C2824,$D$6:$D$3005,$D2824)&gt;1,"同じ月の請求が重複しています／",""),"")&amp;IF(AND(N($E2824)&gt;0,$Z2824&lt;&gt;"",$Z2824&lt;&gt;"×",$AC2824=0,$AB2824=""),"計算額が下限以下のため不支給／",""))</f>
        <v/>
      </c>
      <c r="AL2824" s="12" t="n"/>
      <c r="AM2824" s="14">
        <f>IF($AD2824="保留中",COUNTIF($AD$6:$AD2824,"保留中"),"")</f>
        <v/>
      </c>
      <c r="AN2824" s="14">
        <f>IF($AO2824="","",IF(SUMPRODUCT(MAX((職員マスタ!$A$6:$A$405=$B2824)*(((職員マスタ!$G$6:$G$405="")+(職員マスタ!$G$6:$G$405&lt;=EOMONTH($AO2824,0)))&gt;0)*(((職員マスタ!$H$6:$H$405="")+(職員マスタ!$H$6:$H$405&gt;=$AO2824))&gt;0)*(ROW(職員マスタ!$A$6:$A$405)-5)))&gt;0,SUMPRODUCT(MAX((職員マスタ!$A$6:$A$405=$B2824)*(((職員マスタ!$G$6:$G$405="")+(職員マスタ!$G$6:$G$405&lt;=EOMONTH($AO2824,0)))&gt;0)*(((職員マスタ!$H$6:$H$405="")+(職員マスタ!$H$6:$H$405&gt;=$AO2824))&gt;0)*(ROW(職員マスタ!$A$6:$A$405)-5))),IFERROR(MATCH($B2824,職員マスタ!$A$6:$A$405,0),"")))</f>
        <v/>
      </c>
      <c r="AO2824" s="16">
        <f>IF(OR($B2824="",$C2824="",$D2824=""),"",DATE($C2824+2018,$D2824,1))</f>
        <v/>
      </c>
    </row>
    <row r="2825">
      <c r="A2825" s="11" t="n"/>
      <c r="B2825" s="12" t="n"/>
      <c r="C2825" s="12" t="n"/>
      <c r="D2825" s="12" t="n"/>
      <c r="E2825" s="13" t="n"/>
      <c r="F2825" s="12" t="n"/>
      <c r="G2825" s="13" t="n"/>
      <c r="H2825" s="12" t="n"/>
      <c r="I2825" s="12" t="n"/>
      <c r="J2825" s="12" t="n"/>
      <c r="K2825" s="12" t="n"/>
      <c r="L2825" s="11" t="n"/>
      <c r="M2825" s="11" t="n"/>
      <c r="N2825" s="11" t="n"/>
      <c r="O2825" s="11" t="n"/>
      <c r="P2825" s="12" t="n"/>
      <c r="Q2825" s="11" t="n"/>
      <c r="R2825" s="12" t="n"/>
      <c r="S2825" s="11" t="n"/>
      <c r="T2825" s="12" t="n"/>
      <c r="U2825" s="12" t="n"/>
      <c r="V2825" s="14">
        <f>IF($AN2825="",IF($B2825="","",$H2825),IF(INDEX(職員マスタ!$B$6:$B$405,$AN2825)="",$H2825,INDEX(職員マスタ!$B$6:$B$405,$AN2825)))</f>
        <v/>
      </c>
      <c r="W2825" s="14">
        <f>IF($AN2825="",IF($B2825="","",$R2825),IF(INDEX(職員マスタ!$C$6:$C$405,$AN2825)="",$R2825,INDEX(職員マスタ!$C$6:$C$405,$AN2825)))</f>
        <v/>
      </c>
      <c r="X2825" s="14">
        <f>IF($AO2825="","","R"&amp;$C2825&amp;"."&amp;$D2825)</f>
        <v/>
      </c>
      <c r="Y2825" s="15">
        <f>IF($AN2825="","",IF(INDEX(職員マスタ!$K$6:$K$405,$AN2825)="","",INDEX(職員マスタ!$K$6:$K$405,$AN2825)))</f>
        <v/>
      </c>
      <c r="Z2825" s="14">
        <f>IF(OR($E2825="",$Y2825=""),"",IF($E2825&gt;=$Y2825,"×",IF($E2825&gt;=$Y2825*設定!$C$5,"△","○")))</f>
        <v/>
      </c>
      <c r="AA2825" s="15">
        <f>IF($Z2825="","",IF($Z2825="×",0,IF($Z2825="○",ROUNDDOWN($E2825*設定!$C$4,0),ROUNDDOWN($E2825*ROUND((9*$Y2825-9*$E2825)/(10*$E2825),4),0))))</f>
        <v/>
      </c>
      <c r="AB2825" s="13" t="n"/>
      <c r="AC2825" s="15">
        <f>IF($B2825="","",IF($AB2825&lt;&gt;"",$AB2825,IF($AA2825="","",IF($AA2825&lt;=設定!$C$3,0,$AA2825))))</f>
        <v/>
      </c>
      <c r="AD2825" s="14">
        <f>IF($B2825="","",IF(AND($AE2825&lt;&gt;"",$AG2825="",$AJ2825=""),"保留中",IF($AJ2825&lt;&gt;"",IF(N($AC2825)&gt;0,"支給済","不支給"),IF($AC2825="","要確認",IF($AC2825=0,"不支給","未処理")))))</f>
        <v/>
      </c>
      <c r="AE2825" s="12" t="n"/>
      <c r="AF2825" s="11" t="n"/>
      <c r="AG2825" s="11" t="n"/>
      <c r="AH2825" s="11" t="n"/>
      <c r="AI2825" s="14">
        <f>IF(AND($AD2825="保留中",$AF2825&lt;&gt;""),TODAY()-$AF2825,"")</f>
        <v/>
      </c>
      <c r="AJ2825" s="12" t="n"/>
      <c r="AK2825" s="14">
        <f>IF($B2825="","",IF($AO2825="","対象年月が未入力／","")&amp;IF($B2825="","",IF($AN2825="","職員マスタに未登録の職員番号／",IF($Y2825="","標準報酬月額が未登録／","")&amp;IF(AND($AO2825&lt;&gt;"",OR(AND(INDEX(職員マスタ!$G$6:$G$405,$AN2825)&lt;&gt;"",INDEX(職員マスタ!$G$6:$G$405,$AN2825)&gt;EOMONTH($AO2825,0)),AND(INDEX(職員マスタ!$H$6:$H$405,$AN2825)&lt;&gt;"",INDEX(職員マスタ!$H$6:$H$405,$AN2825)&lt;$AO2825))),"対象月が時短期間外／","")&amp;IF(AND(INDEX(職員マスタ!$F$6:$F$405,$AN2825)&lt;&gt;"",$AO2825&lt;&gt;"",INDEX(職員マスタ!$F$6:$F$405,$AN2825)&lt;$AO2825),"対象月に子が2歳到達済／","")&amp;IF(AND($H2825&lt;&gt;"",INDEX(職員マスタ!$B$6:$B$405,$AN2825)&lt;&gt;"",SUBSTITUTE(SUBSTITUTE($H2825," ","")," ","")&lt;&gt;SUBSTITUTE(SUBSTITUTE(INDEX(職員マスタ!$B$6:$B$405,$AN2825)," ","")," ","")),"氏名がマスタと相違／","")&amp;IF(AND($Q2825&lt;&gt;"",INDEX(職員マスタ!$E$6:$E$405,$AN2825)&lt;&gt;"",$Q2825&lt;&gt;INDEX(職員マスタ!$E$6:$E$405,$AN2825)),"子の生年月日がマスタと相違／","")&amp;IF(AND($L2825&lt;&gt;"",INDEX(職員マスタ!$G$6:$G$405,$AN2825)&lt;&gt;"",$L2825&lt;&gt;INDEX(職員マスタ!$G$6:$G$405,$AN2825)),"時短開始日がマスタと相違／","")&amp;IF(AND($M2825&lt;&gt;"",INDEX(職員マスタ!$H$6:$H$405,$AN2825)&lt;&gt;"",$M2825&lt;&gt;INDEX(職員マスタ!$H$6:$H$405,$AN2825)),"時短終了日がマスタと相違／","")))&amp;IF(AND($B2825&lt;&gt;"",$E2825=""),"報酬額が未入力／","")&amp;IF(N($U2825)&gt;0,"申請書に入力エラーが残っています／","")&amp;IF(AND($B2825&lt;&gt;"",$AO2825&lt;&gt;""),IF(COUNTIFS($B$6:$B$3005,$B2825,$C$6:$C$3005,$C2825,$D$6:$D$3005,$D2825)&gt;1,"同じ月の請求が重複しています／",""),"")&amp;IF(AND(N($E2825)&gt;0,$Z2825&lt;&gt;"",$Z2825&lt;&gt;"×",$AC2825=0,$AB2825=""),"計算額が下限以下のため不支給／",""))</f>
        <v/>
      </c>
      <c r="AL2825" s="12" t="n"/>
      <c r="AM2825" s="14">
        <f>IF($AD2825="保留中",COUNTIF($AD$6:$AD2825,"保留中"),"")</f>
        <v/>
      </c>
      <c r="AN2825" s="14">
        <f>IF($AO2825="","",IF(SUMPRODUCT(MAX((職員マスタ!$A$6:$A$405=$B2825)*(((職員マスタ!$G$6:$G$405="")+(職員マスタ!$G$6:$G$405&lt;=EOMONTH($AO2825,0)))&gt;0)*(((職員マスタ!$H$6:$H$405="")+(職員マスタ!$H$6:$H$405&gt;=$AO2825))&gt;0)*(ROW(職員マスタ!$A$6:$A$405)-5)))&gt;0,SUMPRODUCT(MAX((職員マスタ!$A$6:$A$405=$B2825)*(((職員マスタ!$G$6:$G$405="")+(職員マスタ!$G$6:$G$405&lt;=EOMONTH($AO2825,0)))&gt;0)*(((職員マスタ!$H$6:$H$405="")+(職員マスタ!$H$6:$H$405&gt;=$AO2825))&gt;0)*(ROW(職員マスタ!$A$6:$A$405)-5))),IFERROR(MATCH($B2825,職員マスタ!$A$6:$A$405,0),"")))</f>
        <v/>
      </c>
      <c r="AO2825" s="16">
        <f>IF(OR($B2825="",$C2825="",$D2825=""),"",DATE($C2825+2018,$D2825,1))</f>
        <v/>
      </c>
    </row>
    <row r="2826">
      <c r="A2826" s="11" t="n"/>
      <c r="B2826" s="12" t="n"/>
      <c r="C2826" s="12" t="n"/>
      <c r="D2826" s="12" t="n"/>
      <c r="E2826" s="13" t="n"/>
      <c r="F2826" s="12" t="n"/>
      <c r="G2826" s="13" t="n"/>
      <c r="H2826" s="12" t="n"/>
      <c r="I2826" s="12" t="n"/>
      <c r="J2826" s="12" t="n"/>
      <c r="K2826" s="12" t="n"/>
      <c r="L2826" s="11" t="n"/>
      <c r="M2826" s="11" t="n"/>
      <c r="N2826" s="11" t="n"/>
      <c r="O2826" s="11" t="n"/>
      <c r="P2826" s="12" t="n"/>
      <c r="Q2826" s="11" t="n"/>
      <c r="R2826" s="12" t="n"/>
      <c r="S2826" s="11" t="n"/>
      <c r="T2826" s="12" t="n"/>
      <c r="U2826" s="12" t="n"/>
      <c r="V2826" s="14">
        <f>IF($AN2826="",IF($B2826="","",$H2826),IF(INDEX(職員マスタ!$B$6:$B$405,$AN2826)="",$H2826,INDEX(職員マスタ!$B$6:$B$405,$AN2826)))</f>
        <v/>
      </c>
      <c r="W2826" s="14">
        <f>IF($AN2826="",IF($B2826="","",$R2826),IF(INDEX(職員マスタ!$C$6:$C$405,$AN2826)="",$R2826,INDEX(職員マスタ!$C$6:$C$405,$AN2826)))</f>
        <v/>
      </c>
      <c r="X2826" s="14">
        <f>IF($AO2826="","","R"&amp;$C2826&amp;"."&amp;$D2826)</f>
        <v/>
      </c>
      <c r="Y2826" s="15">
        <f>IF($AN2826="","",IF(INDEX(職員マスタ!$K$6:$K$405,$AN2826)="","",INDEX(職員マスタ!$K$6:$K$405,$AN2826)))</f>
        <v/>
      </c>
      <c r="Z2826" s="14">
        <f>IF(OR($E2826="",$Y2826=""),"",IF($E2826&gt;=$Y2826,"×",IF($E2826&gt;=$Y2826*設定!$C$5,"△","○")))</f>
        <v/>
      </c>
      <c r="AA2826" s="15">
        <f>IF($Z2826="","",IF($Z2826="×",0,IF($Z2826="○",ROUNDDOWN($E2826*設定!$C$4,0),ROUNDDOWN($E2826*ROUND((9*$Y2826-9*$E2826)/(10*$E2826),4),0))))</f>
        <v/>
      </c>
      <c r="AB2826" s="13" t="n"/>
      <c r="AC2826" s="15">
        <f>IF($B2826="","",IF($AB2826&lt;&gt;"",$AB2826,IF($AA2826="","",IF($AA2826&lt;=設定!$C$3,0,$AA2826))))</f>
        <v/>
      </c>
      <c r="AD2826" s="14">
        <f>IF($B2826="","",IF(AND($AE2826&lt;&gt;"",$AG2826="",$AJ2826=""),"保留中",IF($AJ2826&lt;&gt;"",IF(N($AC2826)&gt;0,"支給済","不支給"),IF($AC2826="","要確認",IF($AC2826=0,"不支給","未処理")))))</f>
        <v/>
      </c>
      <c r="AE2826" s="12" t="n"/>
      <c r="AF2826" s="11" t="n"/>
      <c r="AG2826" s="11" t="n"/>
      <c r="AH2826" s="11" t="n"/>
      <c r="AI2826" s="14">
        <f>IF(AND($AD2826="保留中",$AF2826&lt;&gt;""),TODAY()-$AF2826,"")</f>
        <v/>
      </c>
      <c r="AJ2826" s="12" t="n"/>
      <c r="AK2826" s="14">
        <f>IF($B2826="","",IF($AO2826="","対象年月が未入力／","")&amp;IF($B2826="","",IF($AN2826="","職員マスタに未登録の職員番号／",IF($Y2826="","標準報酬月額が未登録／","")&amp;IF(AND($AO2826&lt;&gt;"",OR(AND(INDEX(職員マスタ!$G$6:$G$405,$AN2826)&lt;&gt;"",INDEX(職員マスタ!$G$6:$G$405,$AN2826)&gt;EOMONTH($AO2826,0)),AND(INDEX(職員マスタ!$H$6:$H$405,$AN2826)&lt;&gt;"",INDEX(職員マスタ!$H$6:$H$405,$AN2826)&lt;$AO2826))),"対象月が時短期間外／","")&amp;IF(AND(INDEX(職員マスタ!$F$6:$F$405,$AN2826)&lt;&gt;"",$AO2826&lt;&gt;"",INDEX(職員マスタ!$F$6:$F$405,$AN2826)&lt;$AO2826),"対象月に子が2歳到達済／","")&amp;IF(AND($H2826&lt;&gt;"",INDEX(職員マスタ!$B$6:$B$405,$AN2826)&lt;&gt;"",SUBSTITUTE(SUBSTITUTE($H2826," ","")," ","")&lt;&gt;SUBSTITUTE(SUBSTITUTE(INDEX(職員マスタ!$B$6:$B$405,$AN2826)," ","")," ","")),"氏名がマスタと相違／","")&amp;IF(AND($Q2826&lt;&gt;"",INDEX(職員マスタ!$E$6:$E$405,$AN2826)&lt;&gt;"",$Q2826&lt;&gt;INDEX(職員マスタ!$E$6:$E$405,$AN2826)),"子の生年月日がマスタと相違／","")&amp;IF(AND($L2826&lt;&gt;"",INDEX(職員マスタ!$G$6:$G$405,$AN2826)&lt;&gt;"",$L2826&lt;&gt;INDEX(職員マスタ!$G$6:$G$405,$AN2826)),"時短開始日がマスタと相違／","")&amp;IF(AND($M2826&lt;&gt;"",INDEX(職員マスタ!$H$6:$H$405,$AN2826)&lt;&gt;"",$M2826&lt;&gt;INDEX(職員マスタ!$H$6:$H$405,$AN2826)),"時短終了日がマスタと相違／","")))&amp;IF(AND($B2826&lt;&gt;"",$E2826=""),"報酬額が未入力／","")&amp;IF(N($U2826)&gt;0,"申請書に入力エラーが残っています／","")&amp;IF(AND($B2826&lt;&gt;"",$AO2826&lt;&gt;""),IF(COUNTIFS($B$6:$B$3005,$B2826,$C$6:$C$3005,$C2826,$D$6:$D$3005,$D2826)&gt;1,"同じ月の請求が重複しています／",""),"")&amp;IF(AND(N($E2826)&gt;0,$Z2826&lt;&gt;"",$Z2826&lt;&gt;"×",$AC2826=0,$AB2826=""),"計算額が下限以下のため不支給／",""))</f>
        <v/>
      </c>
      <c r="AL2826" s="12" t="n"/>
      <c r="AM2826" s="14">
        <f>IF($AD2826="保留中",COUNTIF($AD$6:$AD2826,"保留中"),"")</f>
        <v/>
      </c>
      <c r="AN2826" s="14">
        <f>IF($AO2826="","",IF(SUMPRODUCT(MAX((職員マスタ!$A$6:$A$405=$B2826)*(((職員マスタ!$G$6:$G$405="")+(職員マスタ!$G$6:$G$405&lt;=EOMONTH($AO2826,0)))&gt;0)*(((職員マスタ!$H$6:$H$405="")+(職員マスタ!$H$6:$H$405&gt;=$AO2826))&gt;0)*(ROW(職員マスタ!$A$6:$A$405)-5)))&gt;0,SUMPRODUCT(MAX((職員マスタ!$A$6:$A$405=$B2826)*(((職員マスタ!$G$6:$G$405="")+(職員マスタ!$G$6:$G$405&lt;=EOMONTH($AO2826,0)))&gt;0)*(((職員マスタ!$H$6:$H$405="")+(職員マスタ!$H$6:$H$405&gt;=$AO2826))&gt;0)*(ROW(職員マスタ!$A$6:$A$405)-5))),IFERROR(MATCH($B2826,職員マスタ!$A$6:$A$405,0),"")))</f>
        <v/>
      </c>
      <c r="AO2826" s="16">
        <f>IF(OR($B2826="",$C2826="",$D2826=""),"",DATE($C2826+2018,$D2826,1))</f>
        <v/>
      </c>
    </row>
    <row r="2827">
      <c r="A2827" s="11" t="n"/>
      <c r="B2827" s="12" t="n"/>
      <c r="C2827" s="12" t="n"/>
      <c r="D2827" s="12" t="n"/>
      <c r="E2827" s="13" t="n"/>
      <c r="F2827" s="12" t="n"/>
      <c r="G2827" s="13" t="n"/>
      <c r="H2827" s="12" t="n"/>
      <c r="I2827" s="12" t="n"/>
      <c r="J2827" s="12" t="n"/>
      <c r="K2827" s="12" t="n"/>
      <c r="L2827" s="11" t="n"/>
      <c r="M2827" s="11" t="n"/>
      <c r="N2827" s="11" t="n"/>
      <c r="O2827" s="11" t="n"/>
      <c r="P2827" s="12" t="n"/>
      <c r="Q2827" s="11" t="n"/>
      <c r="R2827" s="12" t="n"/>
      <c r="S2827" s="11" t="n"/>
      <c r="T2827" s="12" t="n"/>
      <c r="U2827" s="12" t="n"/>
      <c r="V2827" s="14">
        <f>IF($AN2827="",IF($B2827="","",$H2827),IF(INDEX(職員マスタ!$B$6:$B$405,$AN2827)="",$H2827,INDEX(職員マスタ!$B$6:$B$405,$AN2827)))</f>
        <v/>
      </c>
      <c r="W2827" s="14">
        <f>IF($AN2827="",IF($B2827="","",$R2827),IF(INDEX(職員マスタ!$C$6:$C$405,$AN2827)="",$R2827,INDEX(職員マスタ!$C$6:$C$405,$AN2827)))</f>
        <v/>
      </c>
      <c r="X2827" s="14">
        <f>IF($AO2827="","","R"&amp;$C2827&amp;"."&amp;$D2827)</f>
        <v/>
      </c>
      <c r="Y2827" s="15">
        <f>IF($AN2827="","",IF(INDEX(職員マスタ!$K$6:$K$405,$AN2827)="","",INDEX(職員マスタ!$K$6:$K$405,$AN2827)))</f>
        <v/>
      </c>
      <c r="Z2827" s="14">
        <f>IF(OR($E2827="",$Y2827=""),"",IF($E2827&gt;=$Y2827,"×",IF($E2827&gt;=$Y2827*設定!$C$5,"△","○")))</f>
        <v/>
      </c>
      <c r="AA2827" s="15">
        <f>IF($Z2827="","",IF($Z2827="×",0,IF($Z2827="○",ROUNDDOWN($E2827*設定!$C$4,0),ROUNDDOWN($E2827*ROUND((9*$Y2827-9*$E2827)/(10*$E2827),4),0))))</f>
        <v/>
      </c>
      <c r="AB2827" s="13" t="n"/>
      <c r="AC2827" s="15">
        <f>IF($B2827="","",IF($AB2827&lt;&gt;"",$AB2827,IF($AA2827="","",IF($AA2827&lt;=設定!$C$3,0,$AA2827))))</f>
        <v/>
      </c>
      <c r="AD2827" s="14">
        <f>IF($B2827="","",IF(AND($AE2827&lt;&gt;"",$AG2827="",$AJ2827=""),"保留中",IF($AJ2827&lt;&gt;"",IF(N($AC2827)&gt;0,"支給済","不支給"),IF($AC2827="","要確認",IF($AC2827=0,"不支給","未処理")))))</f>
        <v/>
      </c>
      <c r="AE2827" s="12" t="n"/>
      <c r="AF2827" s="11" t="n"/>
      <c r="AG2827" s="11" t="n"/>
      <c r="AH2827" s="11" t="n"/>
      <c r="AI2827" s="14">
        <f>IF(AND($AD2827="保留中",$AF2827&lt;&gt;""),TODAY()-$AF2827,"")</f>
        <v/>
      </c>
      <c r="AJ2827" s="12" t="n"/>
      <c r="AK2827" s="14">
        <f>IF($B2827="","",IF($AO2827="","対象年月が未入力／","")&amp;IF($B2827="","",IF($AN2827="","職員マスタに未登録の職員番号／",IF($Y2827="","標準報酬月額が未登録／","")&amp;IF(AND($AO2827&lt;&gt;"",OR(AND(INDEX(職員マスタ!$G$6:$G$405,$AN2827)&lt;&gt;"",INDEX(職員マスタ!$G$6:$G$405,$AN2827)&gt;EOMONTH($AO2827,0)),AND(INDEX(職員マスタ!$H$6:$H$405,$AN2827)&lt;&gt;"",INDEX(職員マスタ!$H$6:$H$405,$AN2827)&lt;$AO2827))),"対象月が時短期間外／","")&amp;IF(AND(INDEX(職員マスタ!$F$6:$F$405,$AN2827)&lt;&gt;"",$AO2827&lt;&gt;"",INDEX(職員マスタ!$F$6:$F$405,$AN2827)&lt;$AO2827),"対象月に子が2歳到達済／","")&amp;IF(AND($H2827&lt;&gt;"",INDEX(職員マスタ!$B$6:$B$405,$AN2827)&lt;&gt;"",SUBSTITUTE(SUBSTITUTE($H2827," ","")," ","")&lt;&gt;SUBSTITUTE(SUBSTITUTE(INDEX(職員マスタ!$B$6:$B$405,$AN2827)," ","")," ","")),"氏名がマスタと相違／","")&amp;IF(AND($Q2827&lt;&gt;"",INDEX(職員マスタ!$E$6:$E$405,$AN2827)&lt;&gt;"",$Q2827&lt;&gt;INDEX(職員マスタ!$E$6:$E$405,$AN2827)),"子の生年月日がマスタと相違／","")&amp;IF(AND($L2827&lt;&gt;"",INDEX(職員マスタ!$G$6:$G$405,$AN2827)&lt;&gt;"",$L2827&lt;&gt;INDEX(職員マスタ!$G$6:$G$405,$AN2827)),"時短開始日がマスタと相違／","")&amp;IF(AND($M2827&lt;&gt;"",INDEX(職員マスタ!$H$6:$H$405,$AN2827)&lt;&gt;"",$M2827&lt;&gt;INDEX(職員マスタ!$H$6:$H$405,$AN2827)),"時短終了日がマスタと相違／","")))&amp;IF(AND($B2827&lt;&gt;"",$E2827=""),"報酬額が未入力／","")&amp;IF(N($U2827)&gt;0,"申請書に入力エラーが残っています／","")&amp;IF(AND($B2827&lt;&gt;"",$AO2827&lt;&gt;""),IF(COUNTIFS($B$6:$B$3005,$B2827,$C$6:$C$3005,$C2827,$D$6:$D$3005,$D2827)&gt;1,"同じ月の請求が重複しています／",""),"")&amp;IF(AND(N($E2827)&gt;0,$Z2827&lt;&gt;"",$Z2827&lt;&gt;"×",$AC2827=0,$AB2827=""),"計算額が下限以下のため不支給／",""))</f>
        <v/>
      </c>
      <c r="AL2827" s="12" t="n"/>
      <c r="AM2827" s="14">
        <f>IF($AD2827="保留中",COUNTIF($AD$6:$AD2827,"保留中"),"")</f>
        <v/>
      </c>
      <c r="AN2827" s="14">
        <f>IF($AO2827="","",IF(SUMPRODUCT(MAX((職員マスタ!$A$6:$A$405=$B2827)*(((職員マスタ!$G$6:$G$405="")+(職員マスタ!$G$6:$G$405&lt;=EOMONTH($AO2827,0)))&gt;0)*(((職員マスタ!$H$6:$H$405="")+(職員マスタ!$H$6:$H$405&gt;=$AO2827))&gt;0)*(ROW(職員マスタ!$A$6:$A$405)-5)))&gt;0,SUMPRODUCT(MAX((職員マスタ!$A$6:$A$405=$B2827)*(((職員マスタ!$G$6:$G$405="")+(職員マスタ!$G$6:$G$405&lt;=EOMONTH($AO2827,0)))&gt;0)*(((職員マスタ!$H$6:$H$405="")+(職員マスタ!$H$6:$H$405&gt;=$AO2827))&gt;0)*(ROW(職員マスタ!$A$6:$A$405)-5))),IFERROR(MATCH($B2827,職員マスタ!$A$6:$A$405,0),"")))</f>
        <v/>
      </c>
      <c r="AO2827" s="16">
        <f>IF(OR($B2827="",$C2827="",$D2827=""),"",DATE($C2827+2018,$D2827,1))</f>
        <v/>
      </c>
    </row>
    <row r="2828">
      <c r="A2828" s="11" t="n"/>
      <c r="B2828" s="12" t="n"/>
      <c r="C2828" s="12" t="n"/>
      <c r="D2828" s="12" t="n"/>
      <c r="E2828" s="13" t="n"/>
      <c r="F2828" s="12" t="n"/>
      <c r="G2828" s="13" t="n"/>
      <c r="H2828" s="12" t="n"/>
      <c r="I2828" s="12" t="n"/>
      <c r="J2828" s="12" t="n"/>
      <c r="K2828" s="12" t="n"/>
      <c r="L2828" s="11" t="n"/>
      <c r="M2828" s="11" t="n"/>
      <c r="N2828" s="11" t="n"/>
      <c r="O2828" s="11" t="n"/>
      <c r="P2828" s="12" t="n"/>
      <c r="Q2828" s="11" t="n"/>
      <c r="R2828" s="12" t="n"/>
      <c r="S2828" s="11" t="n"/>
      <c r="T2828" s="12" t="n"/>
      <c r="U2828" s="12" t="n"/>
      <c r="V2828" s="14">
        <f>IF($AN2828="",IF($B2828="","",$H2828),IF(INDEX(職員マスタ!$B$6:$B$405,$AN2828)="",$H2828,INDEX(職員マスタ!$B$6:$B$405,$AN2828)))</f>
        <v/>
      </c>
      <c r="W2828" s="14">
        <f>IF($AN2828="",IF($B2828="","",$R2828),IF(INDEX(職員マスタ!$C$6:$C$405,$AN2828)="",$R2828,INDEX(職員マスタ!$C$6:$C$405,$AN2828)))</f>
        <v/>
      </c>
      <c r="X2828" s="14">
        <f>IF($AO2828="","","R"&amp;$C2828&amp;"."&amp;$D2828)</f>
        <v/>
      </c>
      <c r="Y2828" s="15">
        <f>IF($AN2828="","",IF(INDEX(職員マスタ!$K$6:$K$405,$AN2828)="","",INDEX(職員マスタ!$K$6:$K$405,$AN2828)))</f>
        <v/>
      </c>
      <c r="Z2828" s="14">
        <f>IF(OR($E2828="",$Y2828=""),"",IF($E2828&gt;=$Y2828,"×",IF($E2828&gt;=$Y2828*設定!$C$5,"△","○")))</f>
        <v/>
      </c>
      <c r="AA2828" s="15">
        <f>IF($Z2828="","",IF($Z2828="×",0,IF($Z2828="○",ROUNDDOWN($E2828*設定!$C$4,0),ROUNDDOWN($E2828*ROUND((9*$Y2828-9*$E2828)/(10*$E2828),4),0))))</f>
        <v/>
      </c>
      <c r="AB2828" s="13" t="n"/>
      <c r="AC2828" s="15">
        <f>IF($B2828="","",IF($AB2828&lt;&gt;"",$AB2828,IF($AA2828="","",IF($AA2828&lt;=設定!$C$3,0,$AA2828))))</f>
        <v/>
      </c>
      <c r="AD2828" s="14">
        <f>IF($B2828="","",IF(AND($AE2828&lt;&gt;"",$AG2828="",$AJ2828=""),"保留中",IF($AJ2828&lt;&gt;"",IF(N($AC2828)&gt;0,"支給済","不支給"),IF($AC2828="","要確認",IF($AC2828=0,"不支給","未処理")))))</f>
        <v/>
      </c>
      <c r="AE2828" s="12" t="n"/>
      <c r="AF2828" s="11" t="n"/>
      <c r="AG2828" s="11" t="n"/>
      <c r="AH2828" s="11" t="n"/>
      <c r="AI2828" s="14">
        <f>IF(AND($AD2828="保留中",$AF2828&lt;&gt;""),TODAY()-$AF2828,"")</f>
        <v/>
      </c>
      <c r="AJ2828" s="12" t="n"/>
      <c r="AK2828" s="14">
        <f>IF($B2828="","",IF($AO2828="","対象年月が未入力／","")&amp;IF($B2828="","",IF($AN2828="","職員マスタに未登録の職員番号／",IF($Y2828="","標準報酬月額が未登録／","")&amp;IF(AND($AO2828&lt;&gt;"",OR(AND(INDEX(職員マスタ!$G$6:$G$405,$AN2828)&lt;&gt;"",INDEX(職員マスタ!$G$6:$G$405,$AN2828)&gt;EOMONTH($AO2828,0)),AND(INDEX(職員マスタ!$H$6:$H$405,$AN2828)&lt;&gt;"",INDEX(職員マスタ!$H$6:$H$405,$AN2828)&lt;$AO2828))),"対象月が時短期間外／","")&amp;IF(AND(INDEX(職員マスタ!$F$6:$F$405,$AN2828)&lt;&gt;"",$AO2828&lt;&gt;"",INDEX(職員マスタ!$F$6:$F$405,$AN2828)&lt;$AO2828),"対象月に子が2歳到達済／","")&amp;IF(AND($H2828&lt;&gt;"",INDEX(職員マスタ!$B$6:$B$405,$AN2828)&lt;&gt;"",SUBSTITUTE(SUBSTITUTE($H2828," ","")," ","")&lt;&gt;SUBSTITUTE(SUBSTITUTE(INDEX(職員マスタ!$B$6:$B$405,$AN2828)," ","")," ","")),"氏名がマスタと相違／","")&amp;IF(AND($Q2828&lt;&gt;"",INDEX(職員マスタ!$E$6:$E$405,$AN2828)&lt;&gt;"",$Q2828&lt;&gt;INDEX(職員マスタ!$E$6:$E$405,$AN2828)),"子の生年月日がマスタと相違／","")&amp;IF(AND($L2828&lt;&gt;"",INDEX(職員マスタ!$G$6:$G$405,$AN2828)&lt;&gt;"",$L2828&lt;&gt;INDEX(職員マスタ!$G$6:$G$405,$AN2828)),"時短開始日がマスタと相違／","")&amp;IF(AND($M2828&lt;&gt;"",INDEX(職員マスタ!$H$6:$H$405,$AN2828)&lt;&gt;"",$M2828&lt;&gt;INDEX(職員マスタ!$H$6:$H$405,$AN2828)),"時短終了日がマスタと相違／","")))&amp;IF(AND($B2828&lt;&gt;"",$E2828=""),"報酬額が未入力／","")&amp;IF(N($U2828)&gt;0,"申請書に入力エラーが残っています／","")&amp;IF(AND($B2828&lt;&gt;"",$AO2828&lt;&gt;""),IF(COUNTIFS($B$6:$B$3005,$B2828,$C$6:$C$3005,$C2828,$D$6:$D$3005,$D2828)&gt;1,"同じ月の請求が重複しています／",""),"")&amp;IF(AND(N($E2828)&gt;0,$Z2828&lt;&gt;"",$Z2828&lt;&gt;"×",$AC2828=0,$AB2828=""),"計算額が下限以下のため不支給／",""))</f>
        <v/>
      </c>
      <c r="AL2828" s="12" t="n"/>
      <c r="AM2828" s="14">
        <f>IF($AD2828="保留中",COUNTIF($AD$6:$AD2828,"保留中"),"")</f>
        <v/>
      </c>
      <c r="AN2828" s="14">
        <f>IF($AO2828="","",IF(SUMPRODUCT(MAX((職員マスタ!$A$6:$A$405=$B2828)*(((職員マスタ!$G$6:$G$405="")+(職員マスタ!$G$6:$G$405&lt;=EOMONTH($AO2828,0)))&gt;0)*(((職員マスタ!$H$6:$H$405="")+(職員マスタ!$H$6:$H$405&gt;=$AO2828))&gt;0)*(ROW(職員マスタ!$A$6:$A$405)-5)))&gt;0,SUMPRODUCT(MAX((職員マスタ!$A$6:$A$405=$B2828)*(((職員マスタ!$G$6:$G$405="")+(職員マスタ!$G$6:$G$405&lt;=EOMONTH($AO2828,0)))&gt;0)*(((職員マスタ!$H$6:$H$405="")+(職員マスタ!$H$6:$H$405&gt;=$AO2828))&gt;0)*(ROW(職員マスタ!$A$6:$A$405)-5))),IFERROR(MATCH($B2828,職員マスタ!$A$6:$A$405,0),"")))</f>
        <v/>
      </c>
      <c r="AO2828" s="16">
        <f>IF(OR($B2828="",$C2828="",$D2828=""),"",DATE($C2828+2018,$D2828,1))</f>
        <v/>
      </c>
    </row>
    <row r="2829">
      <c r="A2829" s="11" t="n"/>
      <c r="B2829" s="12" t="n"/>
      <c r="C2829" s="12" t="n"/>
      <c r="D2829" s="12" t="n"/>
      <c r="E2829" s="13" t="n"/>
      <c r="F2829" s="12" t="n"/>
      <c r="G2829" s="13" t="n"/>
      <c r="H2829" s="12" t="n"/>
      <c r="I2829" s="12" t="n"/>
      <c r="J2829" s="12" t="n"/>
      <c r="K2829" s="12" t="n"/>
      <c r="L2829" s="11" t="n"/>
      <c r="M2829" s="11" t="n"/>
      <c r="N2829" s="11" t="n"/>
      <c r="O2829" s="11" t="n"/>
      <c r="P2829" s="12" t="n"/>
      <c r="Q2829" s="11" t="n"/>
      <c r="R2829" s="12" t="n"/>
      <c r="S2829" s="11" t="n"/>
      <c r="T2829" s="12" t="n"/>
      <c r="U2829" s="12" t="n"/>
      <c r="V2829" s="14">
        <f>IF($AN2829="",IF($B2829="","",$H2829),IF(INDEX(職員マスタ!$B$6:$B$405,$AN2829)="",$H2829,INDEX(職員マスタ!$B$6:$B$405,$AN2829)))</f>
        <v/>
      </c>
      <c r="W2829" s="14">
        <f>IF($AN2829="",IF($B2829="","",$R2829),IF(INDEX(職員マスタ!$C$6:$C$405,$AN2829)="",$R2829,INDEX(職員マスタ!$C$6:$C$405,$AN2829)))</f>
        <v/>
      </c>
      <c r="X2829" s="14">
        <f>IF($AO2829="","","R"&amp;$C2829&amp;"."&amp;$D2829)</f>
        <v/>
      </c>
      <c r="Y2829" s="15">
        <f>IF($AN2829="","",IF(INDEX(職員マスタ!$K$6:$K$405,$AN2829)="","",INDEX(職員マスタ!$K$6:$K$405,$AN2829)))</f>
        <v/>
      </c>
      <c r="Z2829" s="14">
        <f>IF(OR($E2829="",$Y2829=""),"",IF($E2829&gt;=$Y2829,"×",IF($E2829&gt;=$Y2829*設定!$C$5,"△","○")))</f>
        <v/>
      </c>
      <c r="AA2829" s="15">
        <f>IF($Z2829="","",IF($Z2829="×",0,IF($Z2829="○",ROUNDDOWN($E2829*設定!$C$4,0),ROUNDDOWN($E2829*ROUND((9*$Y2829-9*$E2829)/(10*$E2829),4),0))))</f>
        <v/>
      </c>
      <c r="AB2829" s="13" t="n"/>
      <c r="AC2829" s="15">
        <f>IF($B2829="","",IF($AB2829&lt;&gt;"",$AB2829,IF($AA2829="","",IF($AA2829&lt;=設定!$C$3,0,$AA2829))))</f>
        <v/>
      </c>
      <c r="AD2829" s="14">
        <f>IF($B2829="","",IF(AND($AE2829&lt;&gt;"",$AG2829="",$AJ2829=""),"保留中",IF($AJ2829&lt;&gt;"",IF(N($AC2829)&gt;0,"支給済","不支給"),IF($AC2829="","要確認",IF($AC2829=0,"不支給","未処理")))))</f>
        <v/>
      </c>
      <c r="AE2829" s="12" t="n"/>
      <c r="AF2829" s="11" t="n"/>
      <c r="AG2829" s="11" t="n"/>
      <c r="AH2829" s="11" t="n"/>
      <c r="AI2829" s="14">
        <f>IF(AND($AD2829="保留中",$AF2829&lt;&gt;""),TODAY()-$AF2829,"")</f>
        <v/>
      </c>
      <c r="AJ2829" s="12" t="n"/>
      <c r="AK2829" s="14">
        <f>IF($B2829="","",IF($AO2829="","対象年月が未入力／","")&amp;IF($B2829="","",IF($AN2829="","職員マスタに未登録の職員番号／",IF($Y2829="","標準報酬月額が未登録／","")&amp;IF(AND($AO2829&lt;&gt;"",OR(AND(INDEX(職員マスタ!$G$6:$G$405,$AN2829)&lt;&gt;"",INDEX(職員マスタ!$G$6:$G$405,$AN2829)&gt;EOMONTH($AO2829,0)),AND(INDEX(職員マスタ!$H$6:$H$405,$AN2829)&lt;&gt;"",INDEX(職員マスタ!$H$6:$H$405,$AN2829)&lt;$AO2829))),"対象月が時短期間外／","")&amp;IF(AND(INDEX(職員マスタ!$F$6:$F$405,$AN2829)&lt;&gt;"",$AO2829&lt;&gt;"",INDEX(職員マスタ!$F$6:$F$405,$AN2829)&lt;$AO2829),"対象月に子が2歳到達済／","")&amp;IF(AND($H2829&lt;&gt;"",INDEX(職員マスタ!$B$6:$B$405,$AN2829)&lt;&gt;"",SUBSTITUTE(SUBSTITUTE($H2829," ","")," ","")&lt;&gt;SUBSTITUTE(SUBSTITUTE(INDEX(職員マスタ!$B$6:$B$405,$AN2829)," ","")," ","")),"氏名がマスタと相違／","")&amp;IF(AND($Q2829&lt;&gt;"",INDEX(職員マスタ!$E$6:$E$405,$AN2829)&lt;&gt;"",$Q2829&lt;&gt;INDEX(職員マスタ!$E$6:$E$405,$AN2829)),"子の生年月日がマスタと相違／","")&amp;IF(AND($L2829&lt;&gt;"",INDEX(職員マスタ!$G$6:$G$405,$AN2829)&lt;&gt;"",$L2829&lt;&gt;INDEX(職員マスタ!$G$6:$G$405,$AN2829)),"時短開始日がマスタと相違／","")&amp;IF(AND($M2829&lt;&gt;"",INDEX(職員マスタ!$H$6:$H$405,$AN2829)&lt;&gt;"",$M2829&lt;&gt;INDEX(職員マスタ!$H$6:$H$405,$AN2829)),"時短終了日がマスタと相違／","")))&amp;IF(AND($B2829&lt;&gt;"",$E2829=""),"報酬額が未入力／","")&amp;IF(N($U2829)&gt;0,"申請書に入力エラーが残っています／","")&amp;IF(AND($B2829&lt;&gt;"",$AO2829&lt;&gt;""),IF(COUNTIFS($B$6:$B$3005,$B2829,$C$6:$C$3005,$C2829,$D$6:$D$3005,$D2829)&gt;1,"同じ月の請求が重複しています／",""),"")&amp;IF(AND(N($E2829)&gt;0,$Z2829&lt;&gt;"",$Z2829&lt;&gt;"×",$AC2829=0,$AB2829=""),"計算額が下限以下のため不支給／",""))</f>
        <v/>
      </c>
      <c r="AL2829" s="12" t="n"/>
      <c r="AM2829" s="14">
        <f>IF($AD2829="保留中",COUNTIF($AD$6:$AD2829,"保留中"),"")</f>
        <v/>
      </c>
      <c r="AN2829" s="14">
        <f>IF($AO2829="","",IF(SUMPRODUCT(MAX((職員マスタ!$A$6:$A$405=$B2829)*(((職員マスタ!$G$6:$G$405="")+(職員マスタ!$G$6:$G$405&lt;=EOMONTH($AO2829,0)))&gt;0)*(((職員マスタ!$H$6:$H$405="")+(職員マスタ!$H$6:$H$405&gt;=$AO2829))&gt;0)*(ROW(職員マスタ!$A$6:$A$405)-5)))&gt;0,SUMPRODUCT(MAX((職員マスタ!$A$6:$A$405=$B2829)*(((職員マスタ!$G$6:$G$405="")+(職員マスタ!$G$6:$G$405&lt;=EOMONTH($AO2829,0)))&gt;0)*(((職員マスタ!$H$6:$H$405="")+(職員マスタ!$H$6:$H$405&gt;=$AO2829))&gt;0)*(ROW(職員マスタ!$A$6:$A$405)-5))),IFERROR(MATCH($B2829,職員マスタ!$A$6:$A$405,0),"")))</f>
        <v/>
      </c>
      <c r="AO2829" s="16">
        <f>IF(OR($B2829="",$C2829="",$D2829=""),"",DATE($C2829+2018,$D2829,1))</f>
        <v/>
      </c>
    </row>
    <row r="2830">
      <c r="A2830" s="11" t="n"/>
      <c r="B2830" s="12" t="n"/>
      <c r="C2830" s="12" t="n"/>
      <c r="D2830" s="12" t="n"/>
      <c r="E2830" s="13" t="n"/>
      <c r="F2830" s="12" t="n"/>
      <c r="G2830" s="13" t="n"/>
      <c r="H2830" s="12" t="n"/>
      <c r="I2830" s="12" t="n"/>
      <c r="J2830" s="12" t="n"/>
      <c r="K2830" s="12" t="n"/>
      <c r="L2830" s="11" t="n"/>
      <c r="M2830" s="11" t="n"/>
      <c r="N2830" s="11" t="n"/>
      <c r="O2830" s="11" t="n"/>
      <c r="P2830" s="12" t="n"/>
      <c r="Q2830" s="11" t="n"/>
      <c r="R2830" s="12" t="n"/>
      <c r="S2830" s="11" t="n"/>
      <c r="T2830" s="12" t="n"/>
      <c r="U2830" s="12" t="n"/>
      <c r="V2830" s="14">
        <f>IF($AN2830="",IF($B2830="","",$H2830),IF(INDEX(職員マスタ!$B$6:$B$405,$AN2830)="",$H2830,INDEX(職員マスタ!$B$6:$B$405,$AN2830)))</f>
        <v/>
      </c>
      <c r="W2830" s="14">
        <f>IF($AN2830="",IF($B2830="","",$R2830),IF(INDEX(職員マスタ!$C$6:$C$405,$AN2830)="",$R2830,INDEX(職員マスタ!$C$6:$C$405,$AN2830)))</f>
        <v/>
      </c>
      <c r="X2830" s="14">
        <f>IF($AO2830="","","R"&amp;$C2830&amp;"."&amp;$D2830)</f>
        <v/>
      </c>
      <c r="Y2830" s="15">
        <f>IF($AN2830="","",IF(INDEX(職員マスタ!$K$6:$K$405,$AN2830)="","",INDEX(職員マスタ!$K$6:$K$405,$AN2830)))</f>
        <v/>
      </c>
      <c r="Z2830" s="14">
        <f>IF(OR($E2830="",$Y2830=""),"",IF($E2830&gt;=$Y2830,"×",IF($E2830&gt;=$Y2830*設定!$C$5,"△","○")))</f>
        <v/>
      </c>
      <c r="AA2830" s="15">
        <f>IF($Z2830="","",IF($Z2830="×",0,IF($Z2830="○",ROUNDDOWN($E2830*設定!$C$4,0),ROUNDDOWN($E2830*ROUND((9*$Y2830-9*$E2830)/(10*$E2830),4),0))))</f>
        <v/>
      </c>
      <c r="AB2830" s="13" t="n"/>
      <c r="AC2830" s="15">
        <f>IF($B2830="","",IF($AB2830&lt;&gt;"",$AB2830,IF($AA2830="","",IF($AA2830&lt;=設定!$C$3,0,$AA2830))))</f>
        <v/>
      </c>
      <c r="AD2830" s="14">
        <f>IF($B2830="","",IF(AND($AE2830&lt;&gt;"",$AG2830="",$AJ2830=""),"保留中",IF($AJ2830&lt;&gt;"",IF(N($AC2830)&gt;0,"支給済","不支給"),IF($AC2830="","要確認",IF($AC2830=0,"不支給","未処理")))))</f>
        <v/>
      </c>
      <c r="AE2830" s="12" t="n"/>
      <c r="AF2830" s="11" t="n"/>
      <c r="AG2830" s="11" t="n"/>
      <c r="AH2830" s="11" t="n"/>
      <c r="AI2830" s="14">
        <f>IF(AND($AD2830="保留中",$AF2830&lt;&gt;""),TODAY()-$AF2830,"")</f>
        <v/>
      </c>
      <c r="AJ2830" s="12" t="n"/>
      <c r="AK2830" s="14">
        <f>IF($B2830="","",IF($AO2830="","対象年月が未入力／","")&amp;IF($B2830="","",IF($AN2830="","職員マスタに未登録の職員番号／",IF($Y2830="","標準報酬月額が未登録／","")&amp;IF(AND($AO2830&lt;&gt;"",OR(AND(INDEX(職員マスタ!$G$6:$G$405,$AN2830)&lt;&gt;"",INDEX(職員マスタ!$G$6:$G$405,$AN2830)&gt;EOMONTH($AO2830,0)),AND(INDEX(職員マスタ!$H$6:$H$405,$AN2830)&lt;&gt;"",INDEX(職員マスタ!$H$6:$H$405,$AN2830)&lt;$AO2830))),"対象月が時短期間外／","")&amp;IF(AND(INDEX(職員マスタ!$F$6:$F$405,$AN2830)&lt;&gt;"",$AO2830&lt;&gt;"",INDEX(職員マスタ!$F$6:$F$405,$AN2830)&lt;$AO2830),"対象月に子が2歳到達済／","")&amp;IF(AND($H2830&lt;&gt;"",INDEX(職員マスタ!$B$6:$B$405,$AN2830)&lt;&gt;"",SUBSTITUTE(SUBSTITUTE($H2830," ","")," ","")&lt;&gt;SUBSTITUTE(SUBSTITUTE(INDEX(職員マスタ!$B$6:$B$405,$AN2830)," ","")," ","")),"氏名がマスタと相違／","")&amp;IF(AND($Q2830&lt;&gt;"",INDEX(職員マスタ!$E$6:$E$405,$AN2830)&lt;&gt;"",$Q2830&lt;&gt;INDEX(職員マスタ!$E$6:$E$405,$AN2830)),"子の生年月日がマスタと相違／","")&amp;IF(AND($L2830&lt;&gt;"",INDEX(職員マスタ!$G$6:$G$405,$AN2830)&lt;&gt;"",$L2830&lt;&gt;INDEX(職員マスタ!$G$6:$G$405,$AN2830)),"時短開始日がマスタと相違／","")&amp;IF(AND($M2830&lt;&gt;"",INDEX(職員マスタ!$H$6:$H$405,$AN2830)&lt;&gt;"",$M2830&lt;&gt;INDEX(職員マスタ!$H$6:$H$405,$AN2830)),"時短終了日がマスタと相違／","")))&amp;IF(AND($B2830&lt;&gt;"",$E2830=""),"報酬額が未入力／","")&amp;IF(N($U2830)&gt;0,"申請書に入力エラーが残っています／","")&amp;IF(AND($B2830&lt;&gt;"",$AO2830&lt;&gt;""),IF(COUNTIFS($B$6:$B$3005,$B2830,$C$6:$C$3005,$C2830,$D$6:$D$3005,$D2830)&gt;1,"同じ月の請求が重複しています／",""),"")&amp;IF(AND(N($E2830)&gt;0,$Z2830&lt;&gt;"",$Z2830&lt;&gt;"×",$AC2830=0,$AB2830=""),"計算額が下限以下のため不支給／",""))</f>
        <v/>
      </c>
      <c r="AL2830" s="12" t="n"/>
      <c r="AM2830" s="14">
        <f>IF($AD2830="保留中",COUNTIF($AD$6:$AD2830,"保留中"),"")</f>
        <v/>
      </c>
      <c r="AN2830" s="14">
        <f>IF($AO2830="","",IF(SUMPRODUCT(MAX((職員マスタ!$A$6:$A$405=$B2830)*(((職員マスタ!$G$6:$G$405="")+(職員マスタ!$G$6:$G$405&lt;=EOMONTH($AO2830,0)))&gt;0)*(((職員マスタ!$H$6:$H$405="")+(職員マスタ!$H$6:$H$405&gt;=$AO2830))&gt;0)*(ROW(職員マスタ!$A$6:$A$405)-5)))&gt;0,SUMPRODUCT(MAX((職員マスタ!$A$6:$A$405=$B2830)*(((職員マスタ!$G$6:$G$405="")+(職員マスタ!$G$6:$G$405&lt;=EOMONTH($AO2830,0)))&gt;0)*(((職員マスタ!$H$6:$H$405="")+(職員マスタ!$H$6:$H$405&gt;=$AO2830))&gt;0)*(ROW(職員マスタ!$A$6:$A$405)-5))),IFERROR(MATCH($B2830,職員マスタ!$A$6:$A$405,0),"")))</f>
        <v/>
      </c>
      <c r="AO2830" s="16">
        <f>IF(OR($B2830="",$C2830="",$D2830=""),"",DATE($C2830+2018,$D2830,1))</f>
        <v/>
      </c>
    </row>
    <row r="2831">
      <c r="A2831" s="11" t="n"/>
      <c r="B2831" s="12" t="n"/>
      <c r="C2831" s="12" t="n"/>
      <c r="D2831" s="12" t="n"/>
      <c r="E2831" s="13" t="n"/>
      <c r="F2831" s="12" t="n"/>
      <c r="G2831" s="13" t="n"/>
      <c r="H2831" s="12" t="n"/>
      <c r="I2831" s="12" t="n"/>
      <c r="J2831" s="12" t="n"/>
      <c r="K2831" s="12" t="n"/>
      <c r="L2831" s="11" t="n"/>
      <c r="M2831" s="11" t="n"/>
      <c r="N2831" s="11" t="n"/>
      <c r="O2831" s="11" t="n"/>
      <c r="P2831" s="12" t="n"/>
      <c r="Q2831" s="11" t="n"/>
      <c r="R2831" s="12" t="n"/>
      <c r="S2831" s="11" t="n"/>
      <c r="T2831" s="12" t="n"/>
      <c r="U2831" s="12" t="n"/>
      <c r="V2831" s="14">
        <f>IF($AN2831="",IF($B2831="","",$H2831),IF(INDEX(職員マスタ!$B$6:$B$405,$AN2831)="",$H2831,INDEX(職員マスタ!$B$6:$B$405,$AN2831)))</f>
        <v/>
      </c>
      <c r="W2831" s="14">
        <f>IF($AN2831="",IF($B2831="","",$R2831),IF(INDEX(職員マスタ!$C$6:$C$405,$AN2831)="",$R2831,INDEX(職員マスタ!$C$6:$C$405,$AN2831)))</f>
        <v/>
      </c>
      <c r="X2831" s="14">
        <f>IF($AO2831="","","R"&amp;$C2831&amp;"."&amp;$D2831)</f>
        <v/>
      </c>
      <c r="Y2831" s="15">
        <f>IF($AN2831="","",IF(INDEX(職員マスタ!$K$6:$K$405,$AN2831)="","",INDEX(職員マスタ!$K$6:$K$405,$AN2831)))</f>
        <v/>
      </c>
      <c r="Z2831" s="14">
        <f>IF(OR($E2831="",$Y2831=""),"",IF($E2831&gt;=$Y2831,"×",IF($E2831&gt;=$Y2831*設定!$C$5,"△","○")))</f>
        <v/>
      </c>
      <c r="AA2831" s="15">
        <f>IF($Z2831="","",IF($Z2831="×",0,IF($Z2831="○",ROUNDDOWN($E2831*設定!$C$4,0),ROUNDDOWN($E2831*ROUND((9*$Y2831-9*$E2831)/(10*$E2831),4),0))))</f>
        <v/>
      </c>
      <c r="AB2831" s="13" t="n"/>
      <c r="AC2831" s="15">
        <f>IF($B2831="","",IF($AB2831&lt;&gt;"",$AB2831,IF($AA2831="","",IF($AA2831&lt;=設定!$C$3,0,$AA2831))))</f>
        <v/>
      </c>
      <c r="AD2831" s="14">
        <f>IF($B2831="","",IF(AND($AE2831&lt;&gt;"",$AG2831="",$AJ2831=""),"保留中",IF($AJ2831&lt;&gt;"",IF(N($AC2831)&gt;0,"支給済","不支給"),IF($AC2831="","要確認",IF($AC2831=0,"不支給","未処理")))))</f>
        <v/>
      </c>
      <c r="AE2831" s="12" t="n"/>
      <c r="AF2831" s="11" t="n"/>
      <c r="AG2831" s="11" t="n"/>
      <c r="AH2831" s="11" t="n"/>
      <c r="AI2831" s="14">
        <f>IF(AND($AD2831="保留中",$AF2831&lt;&gt;""),TODAY()-$AF2831,"")</f>
        <v/>
      </c>
      <c r="AJ2831" s="12" t="n"/>
      <c r="AK2831" s="14">
        <f>IF($B2831="","",IF($AO2831="","対象年月が未入力／","")&amp;IF($B2831="","",IF($AN2831="","職員マスタに未登録の職員番号／",IF($Y2831="","標準報酬月額が未登録／","")&amp;IF(AND($AO2831&lt;&gt;"",OR(AND(INDEX(職員マスタ!$G$6:$G$405,$AN2831)&lt;&gt;"",INDEX(職員マスタ!$G$6:$G$405,$AN2831)&gt;EOMONTH($AO2831,0)),AND(INDEX(職員マスタ!$H$6:$H$405,$AN2831)&lt;&gt;"",INDEX(職員マスタ!$H$6:$H$405,$AN2831)&lt;$AO2831))),"対象月が時短期間外／","")&amp;IF(AND(INDEX(職員マスタ!$F$6:$F$405,$AN2831)&lt;&gt;"",$AO2831&lt;&gt;"",INDEX(職員マスタ!$F$6:$F$405,$AN2831)&lt;$AO2831),"対象月に子が2歳到達済／","")&amp;IF(AND($H2831&lt;&gt;"",INDEX(職員マスタ!$B$6:$B$405,$AN2831)&lt;&gt;"",SUBSTITUTE(SUBSTITUTE($H2831," ","")," ","")&lt;&gt;SUBSTITUTE(SUBSTITUTE(INDEX(職員マスタ!$B$6:$B$405,$AN2831)," ","")," ","")),"氏名がマスタと相違／","")&amp;IF(AND($Q2831&lt;&gt;"",INDEX(職員マスタ!$E$6:$E$405,$AN2831)&lt;&gt;"",$Q2831&lt;&gt;INDEX(職員マスタ!$E$6:$E$405,$AN2831)),"子の生年月日がマスタと相違／","")&amp;IF(AND($L2831&lt;&gt;"",INDEX(職員マスタ!$G$6:$G$405,$AN2831)&lt;&gt;"",$L2831&lt;&gt;INDEX(職員マスタ!$G$6:$G$405,$AN2831)),"時短開始日がマスタと相違／","")&amp;IF(AND($M2831&lt;&gt;"",INDEX(職員マスタ!$H$6:$H$405,$AN2831)&lt;&gt;"",$M2831&lt;&gt;INDEX(職員マスタ!$H$6:$H$405,$AN2831)),"時短終了日がマスタと相違／","")))&amp;IF(AND($B2831&lt;&gt;"",$E2831=""),"報酬額が未入力／","")&amp;IF(N($U2831)&gt;0,"申請書に入力エラーが残っています／","")&amp;IF(AND($B2831&lt;&gt;"",$AO2831&lt;&gt;""),IF(COUNTIFS($B$6:$B$3005,$B2831,$C$6:$C$3005,$C2831,$D$6:$D$3005,$D2831)&gt;1,"同じ月の請求が重複しています／",""),"")&amp;IF(AND(N($E2831)&gt;0,$Z2831&lt;&gt;"",$Z2831&lt;&gt;"×",$AC2831=0,$AB2831=""),"計算額が下限以下のため不支給／",""))</f>
        <v/>
      </c>
      <c r="AL2831" s="12" t="n"/>
      <c r="AM2831" s="14">
        <f>IF($AD2831="保留中",COUNTIF($AD$6:$AD2831,"保留中"),"")</f>
        <v/>
      </c>
      <c r="AN2831" s="14">
        <f>IF($AO2831="","",IF(SUMPRODUCT(MAX((職員マスタ!$A$6:$A$405=$B2831)*(((職員マスタ!$G$6:$G$405="")+(職員マスタ!$G$6:$G$405&lt;=EOMONTH($AO2831,0)))&gt;0)*(((職員マスタ!$H$6:$H$405="")+(職員マスタ!$H$6:$H$405&gt;=$AO2831))&gt;0)*(ROW(職員マスタ!$A$6:$A$405)-5)))&gt;0,SUMPRODUCT(MAX((職員マスタ!$A$6:$A$405=$B2831)*(((職員マスタ!$G$6:$G$405="")+(職員マスタ!$G$6:$G$405&lt;=EOMONTH($AO2831,0)))&gt;0)*(((職員マスタ!$H$6:$H$405="")+(職員マスタ!$H$6:$H$405&gt;=$AO2831))&gt;0)*(ROW(職員マスタ!$A$6:$A$405)-5))),IFERROR(MATCH($B2831,職員マスタ!$A$6:$A$405,0),"")))</f>
        <v/>
      </c>
      <c r="AO2831" s="16">
        <f>IF(OR($B2831="",$C2831="",$D2831=""),"",DATE($C2831+2018,$D2831,1))</f>
        <v/>
      </c>
    </row>
    <row r="2832">
      <c r="A2832" s="11" t="n"/>
      <c r="B2832" s="12" t="n"/>
      <c r="C2832" s="12" t="n"/>
      <c r="D2832" s="12" t="n"/>
      <c r="E2832" s="13" t="n"/>
      <c r="F2832" s="12" t="n"/>
      <c r="G2832" s="13" t="n"/>
      <c r="H2832" s="12" t="n"/>
      <c r="I2832" s="12" t="n"/>
      <c r="J2832" s="12" t="n"/>
      <c r="K2832" s="12" t="n"/>
      <c r="L2832" s="11" t="n"/>
      <c r="M2832" s="11" t="n"/>
      <c r="N2832" s="11" t="n"/>
      <c r="O2832" s="11" t="n"/>
      <c r="P2832" s="12" t="n"/>
      <c r="Q2832" s="11" t="n"/>
      <c r="R2832" s="12" t="n"/>
      <c r="S2832" s="11" t="n"/>
      <c r="T2832" s="12" t="n"/>
      <c r="U2832" s="12" t="n"/>
      <c r="V2832" s="14">
        <f>IF($AN2832="",IF($B2832="","",$H2832),IF(INDEX(職員マスタ!$B$6:$B$405,$AN2832)="",$H2832,INDEX(職員マスタ!$B$6:$B$405,$AN2832)))</f>
        <v/>
      </c>
      <c r="W2832" s="14">
        <f>IF($AN2832="",IF($B2832="","",$R2832),IF(INDEX(職員マスタ!$C$6:$C$405,$AN2832)="",$R2832,INDEX(職員マスタ!$C$6:$C$405,$AN2832)))</f>
        <v/>
      </c>
      <c r="X2832" s="14">
        <f>IF($AO2832="","","R"&amp;$C2832&amp;"."&amp;$D2832)</f>
        <v/>
      </c>
      <c r="Y2832" s="15">
        <f>IF($AN2832="","",IF(INDEX(職員マスタ!$K$6:$K$405,$AN2832)="","",INDEX(職員マスタ!$K$6:$K$405,$AN2832)))</f>
        <v/>
      </c>
      <c r="Z2832" s="14">
        <f>IF(OR($E2832="",$Y2832=""),"",IF($E2832&gt;=$Y2832,"×",IF($E2832&gt;=$Y2832*設定!$C$5,"△","○")))</f>
        <v/>
      </c>
      <c r="AA2832" s="15">
        <f>IF($Z2832="","",IF($Z2832="×",0,IF($Z2832="○",ROUNDDOWN($E2832*設定!$C$4,0),ROUNDDOWN($E2832*ROUND((9*$Y2832-9*$E2832)/(10*$E2832),4),0))))</f>
        <v/>
      </c>
      <c r="AB2832" s="13" t="n"/>
      <c r="AC2832" s="15">
        <f>IF($B2832="","",IF($AB2832&lt;&gt;"",$AB2832,IF($AA2832="","",IF($AA2832&lt;=設定!$C$3,0,$AA2832))))</f>
        <v/>
      </c>
      <c r="AD2832" s="14">
        <f>IF($B2832="","",IF(AND($AE2832&lt;&gt;"",$AG2832="",$AJ2832=""),"保留中",IF($AJ2832&lt;&gt;"",IF(N($AC2832)&gt;0,"支給済","不支給"),IF($AC2832="","要確認",IF($AC2832=0,"不支給","未処理")))))</f>
        <v/>
      </c>
      <c r="AE2832" s="12" t="n"/>
      <c r="AF2832" s="11" t="n"/>
      <c r="AG2832" s="11" t="n"/>
      <c r="AH2832" s="11" t="n"/>
      <c r="AI2832" s="14">
        <f>IF(AND($AD2832="保留中",$AF2832&lt;&gt;""),TODAY()-$AF2832,"")</f>
        <v/>
      </c>
      <c r="AJ2832" s="12" t="n"/>
      <c r="AK2832" s="14">
        <f>IF($B2832="","",IF($AO2832="","対象年月が未入力／","")&amp;IF($B2832="","",IF($AN2832="","職員マスタに未登録の職員番号／",IF($Y2832="","標準報酬月額が未登録／","")&amp;IF(AND($AO2832&lt;&gt;"",OR(AND(INDEX(職員マスタ!$G$6:$G$405,$AN2832)&lt;&gt;"",INDEX(職員マスタ!$G$6:$G$405,$AN2832)&gt;EOMONTH($AO2832,0)),AND(INDEX(職員マスタ!$H$6:$H$405,$AN2832)&lt;&gt;"",INDEX(職員マスタ!$H$6:$H$405,$AN2832)&lt;$AO2832))),"対象月が時短期間外／","")&amp;IF(AND(INDEX(職員マスタ!$F$6:$F$405,$AN2832)&lt;&gt;"",$AO2832&lt;&gt;"",INDEX(職員マスタ!$F$6:$F$405,$AN2832)&lt;$AO2832),"対象月に子が2歳到達済／","")&amp;IF(AND($H2832&lt;&gt;"",INDEX(職員マスタ!$B$6:$B$405,$AN2832)&lt;&gt;"",SUBSTITUTE(SUBSTITUTE($H2832," ","")," ","")&lt;&gt;SUBSTITUTE(SUBSTITUTE(INDEX(職員マスタ!$B$6:$B$405,$AN2832)," ","")," ","")),"氏名がマスタと相違／","")&amp;IF(AND($Q2832&lt;&gt;"",INDEX(職員マスタ!$E$6:$E$405,$AN2832)&lt;&gt;"",$Q2832&lt;&gt;INDEX(職員マスタ!$E$6:$E$405,$AN2832)),"子の生年月日がマスタと相違／","")&amp;IF(AND($L2832&lt;&gt;"",INDEX(職員マスタ!$G$6:$G$405,$AN2832)&lt;&gt;"",$L2832&lt;&gt;INDEX(職員マスタ!$G$6:$G$405,$AN2832)),"時短開始日がマスタと相違／","")&amp;IF(AND($M2832&lt;&gt;"",INDEX(職員マスタ!$H$6:$H$405,$AN2832)&lt;&gt;"",$M2832&lt;&gt;INDEX(職員マスタ!$H$6:$H$405,$AN2832)),"時短終了日がマスタと相違／","")))&amp;IF(AND($B2832&lt;&gt;"",$E2832=""),"報酬額が未入力／","")&amp;IF(N($U2832)&gt;0,"申請書に入力エラーが残っています／","")&amp;IF(AND($B2832&lt;&gt;"",$AO2832&lt;&gt;""),IF(COUNTIFS($B$6:$B$3005,$B2832,$C$6:$C$3005,$C2832,$D$6:$D$3005,$D2832)&gt;1,"同じ月の請求が重複しています／",""),"")&amp;IF(AND(N($E2832)&gt;0,$Z2832&lt;&gt;"",$Z2832&lt;&gt;"×",$AC2832=0,$AB2832=""),"計算額が下限以下のため不支給／",""))</f>
        <v/>
      </c>
      <c r="AL2832" s="12" t="n"/>
      <c r="AM2832" s="14">
        <f>IF($AD2832="保留中",COUNTIF($AD$6:$AD2832,"保留中"),"")</f>
        <v/>
      </c>
      <c r="AN2832" s="14">
        <f>IF($AO2832="","",IF(SUMPRODUCT(MAX((職員マスタ!$A$6:$A$405=$B2832)*(((職員マスタ!$G$6:$G$405="")+(職員マスタ!$G$6:$G$405&lt;=EOMONTH($AO2832,0)))&gt;0)*(((職員マスタ!$H$6:$H$405="")+(職員マスタ!$H$6:$H$405&gt;=$AO2832))&gt;0)*(ROW(職員マスタ!$A$6:$A$405)-5)))&gt;0,SUMPRODUCT(MAX((職員マスタ!$A$6:$A$405=$B2832)*(((職員マスタ!$G$6:$G$405="")+(職員マスタ!$G$6:$G$405&lt;=EOMONTH($AO2832,0)))&gt;0)*(((職員マスタ!$H$6:$H$405="")+(職員マスタ!$H$6:$H$405&gt;=$AO2832))&gt;0)*(ROW(職員マスタ!$A$6:$A$405)-5))),IFERROR(MATCH($B2832,職員マスタ!$A$6:$A$405,0),"")))</f>
        <v/>
      </c>
      <c r="AO2832" s="16">
        <f>IF(OR($B2832="",$C2832="",$D2832=""),"",DATE($C2832+2018,$D2832,1))</f>
        <v/>
      </c>
    </row>
    <row r="2833">
      <c r="A2833" s="11" t="n"/>
      <c r="B2833" s="12" t="n"/>
      <c r="C2833" s="12" t="n"/>
      <c r="D2833" s="12" t="n"/>
      <c r="E2833" s="13" t="n"/>
      <c r="F2833" s="12" t="n"/>
      <c r="G2833" s="13" t="n"/>
      <c r="H2833" s="12" t="n"/>
      <c r="I2833" s="12" t="n"/>
      <c r="J2833" s="12" t="n"/>
      <c r="K2833" s="12" t="n"/>
      <c r="L2833" s="11" t="n"/>
      <c r="M2833" s="11" t="n"/>
      <c r="N2833" s="11" t="n"/>
      <c r="O2833" s="11" t="n"/>
      <c r="P2833" s="12" t="n"/>
      <c r="Q2833" s="11" t="n"/>
      <c r="R2833" s="12" t="n"/>
      <c r="S2833" s="11" t="n"/>
      <c r="T2833" s="12" t="n"/>
      <c r="U2833" s="12" t="n"/>
      <c r="V2833" s="14">
        <f>IF($AN2833="",IF($B2833="","",$H2833),IF(INDEX(職員マスタ!$B$6:$B$405,$AN2833)="",$H2833,INDEX(職員マスタ!$B$6:$B$405,$AN2833)))</f>
        <v/>
      </c>
      <c r="W2833" s="14">
        <f>IF($AN2833="",IF($B2833="","",$R2833),IF(INDEX(職員マスタ!$C$6:$C$405,$AN2833)="",$R2833,INDEX(職員マスタ!$C$6:$C$405,$AN2833)))</f>
        <v/>
      </c>
      <c r="X2833" s="14">
        <f>IF($AO2833="","","R"&amp;$C2833&amp;"."&amp;$D2833)</f>
        <v/>
      </c>
      <c r="Y2833" s="15">
        <f>IF($AN2833="","",IF(INDEX(職員マスタ!$K$6:$K$405,$AN2833)="","",INDEX(職員マスタ!$K$6:$K$405,$AN2833)))</f>
        <v/>
      </c>
      <c r="Z2833" s="14">
        <f>IF(OR($E2833="",$Y2833=""),"",IF($E2833&gt;=$Y2833,"×",IF($E2833&gt;=$Y2833*設定!$C$5,"△","○")))</f>
        <v/>
      </c>
      <c r="AA2833" s="15">
        <f>IF($Z2833="","",IF($Z2833="×",0,IF($Z2833="○",ROUNDDOWN($E2833*設定!$C$4,0),ROUNDDOWN($E2833*ROUND((9*$Y2833-9*$E2833)/(10*$E2833),4),0))))</f>
        <v/>
      </c>
      <c r="AB2833" s="13" t="n"/>
      <c r="AC2833" s="15">
        <f>IF($B2833="","",IF($AB2833&lt;&gt;"",$AB2833,IF($AA2833="","",IF($AA2833&lt;=設定!$C$3,0,$AA2833))))</f>
        <v/>
      </c>
      <c r="AD2833" s="14">
        <f>IF($B2833="","",IF(AND($AE2833&lt;&gt;"",$AG2833="",$AJ2833=""),"保留中",IF($AJ2833&lt;&gt;"",IF(N($AC2833)&gt;0,"支給済","不支給"),IF($AC2833="","要確認",IF($AC2833=0,"不支給","未処理")))))</f>
        <v/>
      </c>
      <c r="AE2833" s="12" t="n"/>
      <c r="AF2833" s="11" t="n"/>
      <c r="AG2833" s="11" t="n"/>
      <c r="AH2833" s="11" t="n"/>
      <c r="AI2833" s="14">
        <f>IF(AND($AD2833="保留中",$AF2833&lt;&gt;""),TODAY()-$AF2833,"")</f>
        <v/>
      </c>
      <c r="AJ2833" s="12" t="n"/>
      <c r="AK2833" s="14">
        <f>IF($B2833="","",IF($AO2833="","対象年月が未入力／","")&amp;IF($B2833="","",IF($AN2833="","職員マスタに未登録の職員番号／",IF($Y2833="","標準報酬月額が未登録／","")&amp;IF(AND($AO2833&lt;&gt;"",OR(AND(INDEX(職員マスタ!$G$6:$G$405,$AN2833)&lt;&gt;"",INDEX(職員マスタ!$G$6:$G$405,$AN2833)&gt;EOMONTH($AO2833,0)),AND(INDEX(職員マスタ!$H$6:$H$405,$AN2833)&lt;&gt;"",INDEX(職員マスタ!$H$6:$H$405,$AN2833)&lt;$AO2833))),"対象月が時短期間外／","")&amp;IF(AND(INDEX(職員マスタ!$F$6:$F$405,$AN2833)&lt;&gt;"",$AO2833&lt;&gt;"",INDEX(職員マスタ!$F$6:$F$405,$AN2833)&lt;$AO2833),"対象月に子が2歳到達済／","")&amp;IF(AND($H2833&lt;&gt;"",INDEX(職員マスタ!$B$6:$B$405,$AN2833)&lt;&gt;"",SUBSTITUTE(SUBSTITUTE($H2833," ","")," ","")&lt;&gt;SUBSTITUTE(SUBSTITUTE(INDEX(職員マスタ!$B$6:$B$405,$AN2833)," ","")," ","")),"氏名がマスタと相違／","")&amp;IF(AND($Q2833&lt;&gt;"",INDEX(職員マスタ!$E$6:$E$405,$AN2833)&lt;&gt;"",$Q2833&lt;&gt;INDEX(職員マスタ!$E$6:$E$405,$AN2833)),"子の生年月日がマスタと相違／","")&amp;IF(AND($L2833&lt;&gt;"",INDEX(職員マスタ!$G$6:$G$405,$AN2833)&lt;&gt;"",$L2833&lt;&gt;INDEX(職員マスタ!$G$6:$G$405,$AN2833)),"時短開始日がマスタと相違／","")&amp;IF(AND($M2833&lt;&gt;"",INDEX(職員マスタ!$H$6:$H$405,$AN2833)&lt;&gt;"",$M2833&lt;&gt;INDEX(職員マスタ!$H$6:$H$405,$AN2833)),"時短終了日がマスタと相違／","")))&amp;IF(AND($B2833&lt;&gt;"",$E2833=""),"報酬額が未入力／","")&amp;IF(N($U2833)&gt;0,"申請書に入力エラーが残っています／","")&amp;IF(AND($B2833&lt;&gt;"",$AO2833&lt;&gt;""),IF(COUNTIFS($B$6:$B$3005,$B2833,$C$6:$C$3005,$C2833,$D$6:$D$3005,$D2833)&gt;1,"同じ月の請求が重複しています／",""),"")&amp;IF(AND(N($E2833)&gt;0,$Z2833&lt;&gt;"",$Z2833&lt;&gt;"×",$AC2833=0,$AB2833=""),"計算額が下限以下のため不支給／",""))</f>
        <v/>
      </c>
      <c r="AL2833" s="12" t="n"/>
      <c r="AM2833" s="14">
        <f>IF($AD2833="保留中",COUNTIF($AD$6:$AD2833,"保留中"),"")</f>
        <v/>
      </c>
      <c r="AN2833" s="14">
        <f>IF($AO2833="","",IF(SUMPRODUCT(MAX((職員マスタ!$A$6:$A$405=$B2833)*(((職員マスタ!$G$6:$G$405="")+(職員マスタ!$G$6:$G$405&lt;=EOMONTH($AO2833,0)))&gt;0)*(((職員マスタ!$H$6:$H$405="")+(職員マスタ!$H$6:$H$405&gt;=$AO2833))&gt;0)*(ROW(職員マスタ!$A$6:$A$405)-5)))&gt;0,SUMPRODUCT(MAX((職員マスタ!$A$6:$A$405=$B2833)*(((職員マスタ!$G$6:$G$405="")+(職員マスタ!$G$6:$G$405&lt;=EOMONTH($AO2833,0)))&gt;0)*(((職員マスタ!$H$6:$H$405="")+(職員マスタ!$H$6:$H$405&gt;=$AO2833))&gt;0)*(ROW(職員マスタ!$A$6:$A$405)-5))),IFERROR(MATCH($B2833,職員マスタ!$A$6:$A$405,0),"")))</f>
        <v/>
      </c>
      <c r="AO2833" s="16">
        <f>IF(OR($B2833="",$C2833="",$D2833=""),"",DATE($C2833+2018,$D2833,1))</f>
        <v/>
      </c>
    </row>
    <row r="2834">
      <c r="A2834" s="11" t="n"/>
      <c r="B2834" s="12" t="n"/>
      <c r="C2834" s="12" t="n"/>
      <c r="D2834" s="12" t="n"/>
      <c r="E2834" s="13" t="n"/>
      <c r="F2834" s="12" t="n"/>
      <c r="G2834" s="13" t="n"/>
      <c r="H2834" s="12" t="n"/>
      <c r="I2834" s="12" t="n"/>
      <c r="J2834" s="12" t="n"/>
      <c r="K2834" s="12" t="n"/>
      <c r="L2834" s="11" t="n"/>
      <c r="M2834" s="11" t="n"/>
      <c r="N2834" s="11" t="n"/>
      <c r="O2834" s="11" t="n"/>
      <c r="P2834" s="12" t="n"/>
      <c r="Q2834" s="11" t="n"/>
      <c r="R2834" s="12" t="n"/>
      <c r="S2834" s="11" t="n"/>
      <c r="T2834" s="12" t="n"/>
      <c r="U2834" s="12" t="n"/>
      <c r="V2834" s="14">
        <f>IF($AN2834="",IF($B2834="","",$H2834),IF(INDEX(職員マスタ!$B$6:$B$405,$AN2834)="",$H2834,INDEX(職員マスタ!$B$6:$B$405,$AN2834)))</f>
        <v/>
      </c>
      <c r="W2834" s="14">
        <f>IF($AN2834="",IF($B2834="","",$R2834),IF(INDEX(職員マスタ!$C$6:$C$405,$AN2834)="",$R2834,INDEX(職員マスタ!$C$6:$C$405,$AN2834)))</f>
        <v/>
      </c>
      <c r="X2834" s="14">
        <f>IF($AO2834="","","R"&amp;$C2834&amp;"."&amp;$D2834)</f>
        <v/>
      </c>
      <c r="Y2834" s="15">
        <f>IF($AN2834="","",IF(INDEX(職員マスタ!$K$6:$K$405,$AN2834)="","",INDEX(職員マスタ!$K$6:$K$405,$AN2834)))</f>
        <v/>
      </c>
      <c r="Z2834" s="14">
        <f>IF(OR($E2834="",$Y2834=""),"",IF($E2834&gt;=$Y2834,"×",IF($E2834&gt;=$Y2834*設定!$C$5,"△","○")))</f>
        <v/>
      </c>
      <c r="AA2834" s="15">
        <f>IF($Z2834="","",IF($Z2834="×",0,IF($Z2834="○",ROUNDDOWN($E2834*設定!$C$4,0),ROUNDDOWN($E2834*ROUND((9*$Y2834-9*$E2834)/(10*$E2834),4),0))))</f>
        <v/>
      </c>
      <c r="AB2834" s="13" t="n"/>
      <c r="AC2834" s="15">
        <f>IF($B2834="","",IF($AB2834&lt;&gt;"",$AB2834,IF($AA2834="","",IF($AA2834&lt;=設定!$C$3,0,$AA2834))))</f>
        <v/>
      </c>
      <c r="AD2834" s="14">
        <f>IF($B2834="","",IF(AND($AE2834&lt;&gt;"",$AG2834="",$AJ2834=""),"保留中",IF($AJ2834&lt;&gt;"",IF(N($AC2834)&gt;0,"支給済","不支給"),IF($AC2834="","要確認",IF($AC2834=0,"不支給","未処理")))))</f>
        <v/>
      </c>
      <c r="AE2834" s="12" t="n"/>
      <c r="AF2834" s="11" t="n"/>
      <c r="AG2834" s="11" t="n"/>
      <c r="AH2834" s="11" t="n"/>
      <c r="AI2834" s="14">
        <f>IF(AND($AD2834="保留中",$AF2834&lt;&gt;""),TODAY()-$AF2834,"")</f>
        <v/>
      </c>
      <c r="AJ2834" s="12" t="n"/>
      <c r="AK2834" s="14">
        <f>IF($B2834="","",IF($AO2834="","対象年月が未入力／","")&amp;IF($B2834="","",IF($AN2834="","職員マスタに未登録の職員番号／",IF($Y2834="","標準報酬月額が未登録／","")&amp;IF(AND($AO2834&lt;&gt;"",OR(AND(INDEX(職員マスタ!$G$6:$G$405,$AN2834)&lt;&gt;"",INDEX(職員マスタ!$G$6:$G$405,$AN2834)&gt;EOMONTH($AO2834,0)),AND(INDEX(職員マスタ!$H$6:$H$405,$AN2834)&lt;&gt;"",INDEX(職員マスタ!$H$6:$H$405,$AN2834)&lt;$AO2834))),"対象月が時短期間外／","")&amp;IF(AND(INDEX(職員マスタ!$F$6:$F$405,$AN2834)&lt;&gt;"",$AO2834&lt;&gt;"",INDEX(職員マスタ!$F$6:$F$405,$AN2834)&lt;$AO2834),"対象月に子が2歳到達済／","")&amp;IF(AND($H2834&lt;&gt;"",INDEX(職員マスタ!$B$6:$B$405,$AN2834)&lt;&gt;"",SUBSTITUTE(SUBSTITUTE($H2834," ","")," ","")&lt;&gt;SUBSTITUTE(SUBSTITUTE(INDEX(職員マスタ!$B$6:$B$405,$AN2834)," ","")," ","")),"氏名がマスタと相違／","")&amp;IF(AND($Q2834&lt;&gt;"",INDEX(職員マスタ!$E$6:$E$405,$AN2834)&lt;&gt;"",$Q2834&lt;&gt;INDEX(職員マスタ!$E$6:$E$405,$AN2834)),"子の生年月日がマスタと相違／","")&amp;IF(AND($L2834&lt;&gt;"",INDEX(職員マスタ!$G$6:$G$405,$AN2834)&lt;&gt;"",$L2834&lt;&gt;INDEX(職員マスタ!$G$6:$G$405,$AN2834)),"時短開始日がマスタと相違／","")&amp;IF(AND($M2834&lt;&gt;"",INDEX(職員マスタ!$H$6:$H$405,$AN2834)&lt;&gt;"",$M2834&lt;&gt;INDEX(職員マスタ!$H$6:$H$405,$AN2834)),"時短終了日がマスタと相違／","")))&amp;IF(AND($B2834&lt;&gt;"",$E2834=""),"報酬額が未入力／","")&amp;IF(N($U2834)&gt;0,"申請書に入力エラーが残っています／","")&amp;IF(AND($B2834&lt;&gt;"",$AO2834&lt;&gt;""),IF(COUNTIFS($B$6:$B$3005,$B2834,$C$6:$C$3005,$C2834,$D$6:$D$3005,$D2834)&gt;1,"同じ月の請求が重複しています／",""),"")&amp;IF(AND(N($E2834)&gt;0,$Z2834&lt;&gt;"",$Z2834&lt;&gt;"×",$AC2834=0,$AB2834=""),"計算額が下限以下のため不支給／",""))</f>
        <v/>
      </c>
      <c r="AL2834" s="12" t="n"/>
      <c r="AM2834" s="14">
        <f>IF($AD2834="保留中",COUNTIF($AD$6:$AD2834,"保留中"),"")</f>
        <v/>
      </c>
      <c r="AN2834" s="14">
        <f>IF($AO2834="","",IF(SUMPRODUCT(MAX((職員マスタ!$A$6:$A$405=$B2834)*(((職員マスタ!$G$6:$G$405="")+(職員マスタ!$G$6:$G$405&lt;=EOMONTH($AO2834,0)))&gt;0)*(((職員マスタ!$H$6:$H$405="")+(職員マスタ!$H$6:$H$405&gt;=$AO2834))&gt;0)*(ROW(職員マスタ!$A$6:$A$405)-5)))&gt;0,SUMPRODUCT(MAX((職員マスタ!$A$6:$A$405=$B2834)*(((職員マスタ!$G$6:$G$405="")+(職員マスタ!$G$6:$G$405&lt;=EOMONTH($AO2834,0)))&gt;0)*(((職員マスタ!$H$6:$H$405="")+(職員マスタ!$H$6:$H$405&gt;=$AO2834))&gt;0)*(ROW(職員マスタ!$A$6:$A$405)-5))),IFERROR(MATCH($B2834,職員マスタ!$A$6:$A$405,0),"")))</f>
        <v/>
      </c>
      <c r="AO2834" s="16">
        <f>IF(OR($B2834="",$C2834="",$D2834=""),"",DATE($C2834+2018,$D2834,1))</f>
        <v/>
      </c>
    </row>
    <row r="2835">
      <c r="A2835" s="11" t="n"/>
      <c r="B2835" s="12" t="n"/>
      <c r="C2835" s="12" t="n"/>
      <c r="D2835" s="12" t="n"/>
      <c r="E2835" s="13" t="n"/>
      <c r="F2835" s="12" t="n"/>
      <c r="G2835" s="13" t="n"/>
      <c r="H2835" s="12" t="n"/>
      <c r="I2835" s="12" t="n"/>
      <c r="J2835" s="12" t="n"/>
      <c r="K2835" s="12" t="n"/>
      <c r="L2835" s="11" t="n"/>
      <c r="M2835" s="11" t="n"/>
      <c r="N2835" s="11" t="n"/>
      <c r="O2835" s="11" t="n"/>
      <c r="P2835" s="12" t="n"/>
      <c r="Q2835" s="11" t="n"/>
      <c r="R2835" s="12" t="n"/>
      <c r="S2835" s="11" t="n"/>
      <c r="T2835" s="12" t="n"/>
      <c r="U2835" s="12" t="n"/>
      <c r="V2835" s="14">
        <f>IF($AN2835="",IF($B2835="","",$H2835),IF(INDEX(職員マスタ!$B$6:$B$405,$AN2835)="",$H2835,INDEX(職員マスタ!$B$6:$B$405,$AN2835)))</f>
        <v/>
      </c>
      <c r="W2835" s="14">
        <f>IF($AN2835="",IF($B2835="","",$R2835),IF(INDEX(職員マスタ!$C$6:$C$405,$AN2835)="",$R2835,INDEX(職員マスタ!$C$6:$C$405,$AN2835)))</f>
        <v/>
      </c>
      <c r="X2835" s="14">
        <f>IF($AO2835="","","R"&amp;$C2835&amp;"."&amp;$D2835)</f>
        <v/>
      </c>
      <c r="Y2835" s="15">
        <f>IF($AN2835="","",IF(INDEX(職員マスタ!$K$6:$K$405,$AN2835)="","",INDEX(職員マスタ!$K$6:$K$405,$AN2835)))</f>
        <v/>
      </c>
      <c r="Z2835" s="14">
        <f>IF(OR($E2835="",$Y2835=""),"",IF($E2835&gt;=$Y2835,"×",IF($E2835&gt;=$Y2835*設定!$C$5,"△","○")))</f>
        <v/>
      </c>
      <c r="AA2835" s="15">
        <f>IF($Z2835="","",IF($Z2835="×",0,IF($Z2835="○",ROUNDDOWN($E2835*設定!$C$4,0),ROUNDDOWN($E2835*ROUND((9*$Y2835-9*$E2835)/(10*$E2835),4),0))))</f>
        <v/>
      </c>
      <c r="AB2835" s="13" t="n"/>
      <c r="AC2835" s="15">
        <f>IF($B2835="","",IF($AB2835&lt;&gt;"",$AB2835,IF($AA2835="","",IF($AA2835&lt;=設定!$C$3,0,$AA2835))))</f>
        <v/>
      </c>
      <c r="AD2835" s="14">
        <f>IF($B2835="","",IF(AND($AE2835&lt;&gt;"",$AG2835="",$AJ2835=""),"保留中",IF($AJ2835&lt;&gt;"",IF(N($AC2835)&gt;0,"支給済","不支給"),IF($AC2835="","要確認",IF($AC2835=0,"不支給","未処理")))))</f>
        <v/>
      </c>
      <c r="AE2835" s="12" t="n"/>
      <c r="AF2835" s="11" t="n"/>
      <c r="AG2835" s="11" t="n"/>
      <c r="AH2835" s="11" t="n"/>
      <c r="AI2835" s="14">
        <f>IF(AND($AD2835="保留中",$AF2835&lt;&gt;""),TODAY()-$AF2835,"")</f>
        <v/>
      </c>
      <c r="AJ2835" s="12" t="n"/>
      <c r="AK2835" s="14">
        <f>IF($B2835="","",IF($AO2835="","対象年月が未入力／","")&amp;IF($B2835="","",IF($AN2835="","職員マスタに未登録の職員番号／",IF($Y2835="","標準報酬月額が未登録／","")&amp;IF(AND($AO2835&lt;&gt;"",OR(AND(INDEX(職員マスタ!$G$6:$G$405,$AN2835)&lt;&gt;"",INDEX(職員マスタ!$G$6:$G$405,$AN2835)&gt;EOMONTH($AO2835,0)),AND(INDEX(職員マスタ!$H$6:$H$405,$AN2835)&lt;&gt;"",INDEX(職員マスタ!$H$6:$H$405,$AN2835)&lt;$AO2835))),"対象月が時短期間外／","")&amp;IF(AND(INDEX(職員マスタ!$F$6:$F$405,$AN2835)&lt;&gt;"",$AO2835&lt;&gt;"",INDEX(職員マスタ!$F$6:$F$405,$AN2835)&lt;$AO2835),"対象月に子が2歳到達済／","")&amp;IF(AND($H2835&lt;&gt;"",INDEX(職員マスタ!$B$6:$B$405,$AN2835)&lt;&gt;"",SUBSTITUTE(SUBSTITUTE($H2835," ","")," ","")&lt;&gt;SUBSTITUTE(SUBSTITUTE(INDEX(職員マスタ!$B$6:$B$405,$AN2835)," ","")," ","")),"氏名がマスタと相違／","")&amp;IF(AND($Q2835&lt;&gt;"",INDEX(職員マスタ!$E$6:$E$405,$AN2835)&lt;&gt;"",$Q2835&lt;&gt;INDEX(職員マスタ!$E$6:$E$405,$AN2835)),"子の生年月日がマスタと相違／","")&amp;IF(AND($L2835&lt;&gt;"",INDEX(職員マスタ!$G$6:$G$405,$AN2835)&lt;&gt;"",$L2835&lt;&gt;INDEX(職員マスタ!$G$6:$G$405,$AN2835)),"時短開始日がマスタと相違／","")&amp;IF(AND($M2835&lt;&gt;"",INDEX(職員マスタ!$H$6:$H$405,$AN2835)&lt;&gt;"",$M2835&lt;&gt;INDEX(職員マスタ!$H$6:$H$405,$AN2835)),"時短終了日がマスタと相違／","")))&amp;IF(AND($B2835&lt;&gt;"",$E2835=""),"報酬額が未入力／","")&amp;IF(N($U2835)&gt;0,"申請書に入力エラーが残っています／","")&amp;IF(AND($B2835&lt;&gt;"",$AO2835&lt;&gt;""),IF(COUNTIFS($B$6:$B$3005,$B2835,$C$6:$C$3005,$C2835,$D$6:$D$3005,$D2835)&gt;1,"同じ月の請求が重複しています／",""),"")&amp;IF(AND(N($E2835)&gt;0,$Z2835&lt;&gt;"",$Z2835&lt;&gt;"×",$AC2835=0,$AB2835=""),"計算額が下限以下のため不支給／",""))</f>
        <v/>
      </c>
      <c r="AL2835" s="12" t="n"/>
      <c r="AM2835" s="14">
        <f>IF($AD2835="保留中",COUNTIF($AD$6:$AD2835,"保留中"),"")</f>
        <v/>
      </c>
      <c r="AN2835" s="14">
        <f>IF($AO2835="","",IF(SUMPRODUCT(MAX((職員マスタ!$A$6:$A$405=$B2835)*(((職員マスタ!$G$6:$G$405="")+(職員マスタ!$G$6:$G$405&lt;=EOMONTH($AO2835,0)))&gt;0)*(((職員マスタ!$H$6:$H$405="")+(職員マスタ!$H$6:$H$405&gt;=$AO2835))&gt;0)*(ROW(職員マスタ!$A$6:$A$405)-5)))&gt;0,SUMPRODUCT(MAX((職員マスタ!$A$6:$A$405=$B2835)*(((職員マスタ!$G$6:$G$405="")+(職員マスタ!$G$6:$G$405&lt;=EOMONTH($AO2835,0)))&gt;0)*(((職員マスタ!$H$6:$H$405="")+(職員マスタ!$H$6:$H$405&gt;=$AO2835))&gt;0)*(ROW(職員マスタ!$A$6:$A$405)-5))),IFERROR(MATCH($B2835,職員マスタ!$A$6:$A$405,0),"")))</f>
        <v/>
      </c>
      <c r="AO2835" s="16">
        <f>IF(OR($B2835="",$C2835="",$D2835=""),"",DATE($C2835+2018,$D2835,1))</f>
        <v/>
      </c>
    </row>
    <row r="2836">
      <c r="A2836" s="11" t="n"/>
      <c r="B2836" s="12" t="n"/>
      <c r="C2836" s="12" t="n"/>
      <c r="D2836" s="12" t="n"/>
      <c r="E2836" s="13" t="n"/>
      <c r="F2836" s="12" t="n"/>
      <c r="G2836" s="13" t="n"/>
      <c r="H2836" s="12" t="n"/>
      <c r="I2836" s="12" t="n"/>
      <c r="J2836" s="12" t="n"/>
      <c r="K2836" s="12" t="n"/>
      <c r="L2836" s="11" t="n"/>
      <c r="M2836" s="11" t="n"/>
      <c r="N2836" s="11" t="n"/>
      <c r="O2836" s="11" t="n"/>
      <c r="P2836" s="12" t="n"/>
      <c r="Q2836" s="11" t="n"/>
      <c r="R2836" s="12" t="n"/>
      <c r="S2836" s="11" t="n"/>
      <c r="T2836" s="12" t="n"/>
      <c r="U2836" s="12" t="n"/>
      <c r="V2836" s="14">
        <f>IF($AN2836="",IF($B2836="","",$H2836),IF(INDEX(職員マスタ!$B$6:$B$405,$AN2836)="",$H2836,INDEX(職員マスタ!$B$6:$B$405,$AN2836)))</f>
        <v/>
      </c>
      <c r="W2836" s="14">
        <f>IF($AN2836="",IF($B2836="","",$R2836),IF(INDEX(職員マスタ!$C$6:$C$405,$AN2836)="",$R2836,INDEX(職員マスタ!$C$6:$C$405,$AN2836)))</f>
        <v/>
      </c>
      <c r="X2836" s="14">
        <f>IF($AO2836="","","R"&amp;$C2836&amp;"."&amp;$D2836)</f>
        <v/>
      </c>
      <c r="Y2836" s="15">
        <f>IF($AN2836="","",IF(INDEX(職員マスタ!$K$6:$K$405,$AN2836)="","",INDEX(職員マスタ!$K$6:$K$405,$AN2836)))</f>
        <v/>
      </c>
      <c r="Z2836" s="14">
        <f>IF(OR($E2836="",$Y2836=""),"",IF($E2836&gt;=$Y2836,"×",IF($E2836&gt;=$Y2836*設定!$C$5,"△","○")))</f>
        <v/>
      </c>
      <c r="AA2836" s="15">
        <f>IF($Z2836="","",IF($Z2836="×",0,IF($Z2836="○",ROUNDDOWN($E2836*設定!$C$4,0),ROUNDDOWN($E2836*ROUND((9*$Y2836-9*$E2836)/(10*$E2836),4),0))))</f>
        <v/>
      </c>
      <c r="AB2836" s="13" t="n"/>
      <c r="AC2836" s="15">
        <f>IF($B2836="","",IF($AB2836&lt;&gt;"",$AB2836,IF($AA2836="","",IF($AA2836&lt;=設定!$C$3,0,$AA2836))))</f>
        <v/>
      </c>
      <c r="AD2836" s="14">
        <f>IF($B2836="","",IF(AND($AE2836&lt;&gt;"",$AG2836="",$AJ2836=""),"保留中",IF($AJ2836&lt;&gt;"",IF(N($AC2836)&gt;0,"支給済","不支給"),IF($AC2836="","要確認",IF($AC2836=0,"不支給","未処理")))))</f>
        <v/>
      </c>
      <c r="AE2836" s="12" t="n"/>
      <c r="AF2836" s="11" t="n"/>
      <c r="AG2836" s="11" t="n"/>
      <c r="AH2836" s="11" t="n"/>
      <c r="AI2836" s="14">
        <f>IF(AND($AD2836="保留中",$AF2836&lt;&gt;""),TODAY()-$AF2836,"")</f>
        <v/>
      </c>
      <c r="AJ2836" s="12" t="n"/>
      <c r="AK2836" s="14">
        <f>IF($B2836="","",IF($AO2836="","対象年月が未入力／","")&amp;IF($B2836="","",IF($AN2836="","職員マスタに未登録の職員番号／",IF($Y2836="","標準報酬月額が未登録／","")&amp;IF(AND($AO2836&lt;&gt;"",OR(AND(INDEX(職員マスタ!$G$6:$G$405,$AN2836)&lt;&gt;"",INDEX(職員マスタ!$G$6:$G$405,$AN2836)&gt;EOMONTH($AO2836,0)),AND(INDEX(職員マスタ!$H$6:$H$405,$AN2836)&lt;&gt;"",INDEX(職員マスタ!$H$6:$H$405,$AN2836)&lt;$AO2836))),"対象月が時短期間外／","")&amp;IF(AND(INDEX(職員マスタ!$F$6:$F$405,$AN2836)&lt;&gt;"",$AO2836&lt;&gt;"",INDEX(職員マスタ!$F$6:$F$405,$AN2836)&lt;$AO2836),"対象月に子が2歳到達済／","")&amp;IF(AND($H2836&lt;&gt;"",INDEX(職員マスタ!$B$6:$B$405,$AN2836)&lt;&gt;"",SUBSTITUTE(SUBSTITUTE($H2836," ","")," ","")&lt;&gt;SUBSTITUTE(SUBSTITUTE(INDEX(職員マスタ!$B$6:$B$405,$AN2836)," ","")," ","")),"氏名がマスタと相違／","")&amp;IF(AND($Q2836&lt;&gt;"",INDEX(職員マスタ!$E$6:$E$405,$AN2836)&lt;&gt;"",$Q2836&lt;&gt;INDEX(職員マスタ!$E$6:$E$405,$AN2836)),"子の生年月日がマスタと相違／","")&amp;IF(AND($L2836&lt;&gt;"",INDEX(職員マスタ!$G$6:$G$405,$AN2836)&lt;&gt;"",$L2836&lt;&gt;INDEX(職員マスタ!$G$6:$G$405,$AN2836)),"時短開始日がマスタと相違／","")&amp;IF(AND($M2836&lt;&gt;"",INDEX(職員マスタ!$H$6:$H$405,$AN2836)&lt;&gt;"",$M2836&lt;&gt;INDEX(職員マスタ!$H$6:$H$405,$AN2836)),"時短終了日がマスタと相違／","")))&amp;IF(AND($B2836&lt;&gt;"",$E2836=""),"報酬額が未入力／","")&amp;IF(N($U2836)&gt;0,"申請書に入力エラーが残っています／","")&amp;IF(AND($B2836&lt;&gt;"",$AO2836&lt;&gt;""),IF(COUNTIFS($B$6:$B$3005,$B2836,$C$6:$C$3005,$C2836,$D$6:$D$3005,$D2836)&gt;1,"同じ月の請求が重複しています／",""),"")&amp;IF(AND(N($E2836)&gt;0,$Z2836&lt;&gt;"",$Z2836&lt;&gt;"×",$AC2836=0,$AB2836=""),"計算額が下限以下のため不支給／",""))</f>
        <v/>
      </c>
      <c r="AL2836" s="12" t="n"/>
      <c r="AM2836" s="14">
        <f>IF($AD2836="保留中",COUNTIF($AD$6:$AD2836,"保留中"),"")</f>
        <v/>
      </c>
      <c r="AN2836" s="14">
        <f>IF($AO2836="","",IF(SUMPRODUCT(MAX((職員マスタ!$A$6:$A$405=$B2836)*(((職員マスタ!$G$6:$G$405="")+(職員マスタ!$G$6:$G$405&lt;=EOMONTH($AO2836,0)))&gt;0)*(((職員マスタ!$H$6:$H$405="")+(職員マスタ!$H$6:$H$405&gt;=$AO2836))&gt;0)*(ROW(職員マスタ!$A$6:$A$405)-5)))&gt;0,SUMPRODUCT(MAX((職員マスタ!$A$6:$A$405=$B2836)*(((職員マスタ!$G$6:$G$405="")+(職員マスタ!$G$6:$G$405&lt;=EOMONTH($AO2836,0)))&gt;0)*(((職員マスタ!$H$6:$H$405="")+(職員マスタ!$H$6:$H$405&gt;=$AO2836))&gt;0)*(ROW(職員マスタ!$A$6:$A$405)-5))),IFERROR(MATCH($B2836,職員マスタ!$A$6:$A$405,0),"")))</f>
        <v/>
      </c>
      <c r="AO2836" s="16">
        <f>IF(OR($B2836="",$C2836="",$D2836=""),"",DATE($C2836+2018,$D2836,1))</f>
        <v/>
      </c>
    </row>
    <row r="2837">
      <c r="A2837" s="11" t="n"/>
      <c r="B2837" s="12" t="n"/>
      <c r="C2837" s="12" t="n"/>
      <c r="D2837" s="12" t="n"/>
      <c r="E2837" s="13" t="n"/>
      <c r="F2837" s="12" t="n"/>
      <c r="G2837" s="13" t="n"/>
      <c r="H2837" s="12" t="n"/>
      <c r="I2837" s="12" t="n"/>
      <c r="J2837" s="12" t="n"/>
      <c r="K2837" s="12" t="n"/>
      <c r="L2837" s="11" t="n"/>
      <c r="M2837" s="11" t="n"/>
      <c r="N2837" s="11" t="n"/>
      <c r="O2837" s="11" t="n"/>
      <c r="P2837" s="12" t="n"/>
      <c r="Q2837" s="11" t="n"/>
      <c r="R2837" s="12" t="n"/>
      <c r="S2837" s="11" t="n"/>
      <c r="T2837" s="12" t="n"/>
      <c r="U2837" s="12" t="n"/>
      <c r="V2837" s="14">
        <f>IF($AN2837="",IF($B2837="","",$H2837),IF(INDEX(職員マスタ!$B$6:$B$405,$AN2837)="",$H2837,INDEX(職員マスタ!$B$6:$B$405,$AN2837)))</f>
        <v/>
      </c>
      <c r="W2837" s="14">
        <f>IF($AN2837="",IF($B2837="","",$R2837),IF(INDEX(職員マスタ!$C$6:$C$405,$AN2837)="",$R2837,INDEX(職員マスタ!$C$6:$C$405,$AN2837)))</f>
        <v/>
      </c>
      <c r="X2837" s="14">
        <f>IF($AO2837="","","R"&amp;$C2837&amp;"."&amp;$D2837)</f>
        <v/>
      </c>
      <c r="Y2837" s="15">
        <f>IF($AN2837="","",IF(INDEX(職員マスタ!$K$6:$K$405,$AN2837)="","",INDEX(職員マスタ!$K$6:$K$405,$AN2837)))</f>
        <v/>
      </c>
      <c r="Z2837" s="14">
        <f>IF(OR($E2837="",$Y2837=""),"",IF($E2837&gt;=$Y2837,"×",IF($E2837&gt;=$Y2837*設定!$C$5,"△","○")))</f>
        <v/>
      </c>
      <c r="AA2837" s="15">
        <f>IF($Z2837="","",IF($Z2837="×",0,IF($Z2837="○",ROUNDDOWN($E2837*設定!$C$4,0),ROUNDDOWN($E2837*ROUND((9*$Y2837-9*$E2837)/(10*$E2837),4),0))))</f>
        <v/>
      </c>
      <c r="AB2837" s="13" t="n"/>
      <c r="AC2837" s="15">
        <f>IF($B2837="","",IF($AB2837&lt;&gt;"",$AB2837,IF($AA2837="","",IF($AA2837&lt;=設定!$C$3,0,$AA2837))))</f>
        <v/>
      </c>
      <c r="AD2837" s="14">
        <f>IF($B2837="","",IF(AND($AE2837&lt;&gt;"",$AG2837="",$AJ2837=""),"保留中",IF($AJ2837&lt;&gt;"",IF(N($AC2837)&gt;0,"支給済","不支給"),IF($AC2837="","要確認",IF($AC2837=0,"不支給","未処理")))))</f>
        <v/>
      </c>
      <c r="AE2837" s="12" t="n"/>
      <c r="AF2837" s="11" t="n"/>
      <c r="AG2837" s="11" t="n"/>
      <c r="AH2837" s="11" t="n"/>
      <c r="AI2837" s="14">
        <f>IF(AND($AD2837="保留中",$AF2837&lt;&gt;""),TODAY()-$AF2837,"")</f>
        <v/>
      </c>
      <c r="AJ2837" s="12" t="n"/>
      <c r="AK2837" s="14">
        <f>IF($B2837="","",IF($AO2837="","対象年月が未入力／","")&amp;IF($B2837="","",IF($AN2837="","職員マスタに未登録の職員番号／",IF($Y2837="","標準報酬月額が未登録／","")&amp;IF(AND($AO2837&lt;&gt;"",OR(AND(INDEX(職員マスタ!$G$6:$G$405,$AN2837)&lt;&gt;"",INDEX(職員マスタ!$G$6:$G$405,$AN2837)&gt;EOMONTH($AO2837,0)),AND(INDEX(職員マスタ!$H$6:$H$405,$AN2837)&lt;&gt;"",INDEX(職員マスタ!$H$6:$H$405,$AN2837)&lt;$AO2837))),"対象月が時短期間外／","")&amp;IF(AND(INDEX(職員マスタ!$F$6:$F$405,$AN2837)&lt;&gt;"",$AO2837&lt;&gt;"",INDEX(職員マスタ!$F$6:$F$405,$AN2837)&lt;$AO2837),"対象月に子が2歳到達済／","")&amp;IF(AND($H2837&lt;&gt;"",INDEX(職員マスタ!$B$6:$B$405,$AN2837)&lt;&gt;"",SUBSTITUTE(SUBSTITUTE($H2837," ","")," ","")&lt;&gt;SUBSTITUTE(SUBSTITUTE(INDEX(職員マスタ!$B$6:$B$405,$AN2837)," ","")," ","")),"氏名がマスタと相違／","")&amp;IF(AND($Q2837&lt;&gt;"",INDEX(職員マスタ!$E$6:$E$405,$AN2837)&lt;&gt;"",$Q2837&lt;&gt;INDEX(職員マスタ!$E$6:$E$405,$AN2837)),"子の生年月日がマスタと相違／","")&amp;IF(AND($L2837&lt;&gt;"",INDEX(職員マスタ!$G$6:$G$405,$AN2837)&lt;&gt;"",$L2837&lt;&gt;INDEX(職員マスタ!$G$6:$G$405,$AN2837)),"時短開始日がマスタと相違／","")&amp;IF(AND($M2837&lt;&gt;"",INDEX(職員マスタ!$H$6:$H$405,$AN2837)&lt;&gt;"",$M2837&lt;&gt;INDEX(職員マスタ!$H$6:$H$405,$AN2837)),"時短終了日がマスタと相違／","")))&amp;IF(AND($B2837&lt;&gt;"",$E2837=""),"報酬額が未入力／","")&amp;IF(N($U2837)&gt;0,"申請書に入力エラーが残っています／","")&amp;IF(AND($B2837&lt;&gt;"",$AO2837&lt;&gt;""),IF(COUNTIFS($B$6:$B$3005,$B2837,$C$6:$C$3005,$C2837,$D$6:$D$3005,$D2837)&gt;1,"同じ月の請求が重複しています／",""),"")&amp;IF(AND(N($E2837)&gt;0,$Z2837&lt;&gt;"",$Z2837&lt;&gt;"×",$AC2837=0,$AB2837=""),"計算額が下限以下のため不支給／",""))</f>
        <v/>
      </c>
      <c r="AL2837" s="12" t="n"/>
      <c r="AM2837" s="14">
        <f>IF($AD2837="保留中",COUNTIF($AD$6:$AD2837,"保留中"),"")</f>
        <v/>
      </c>
      <c r="AN2837" s="14">
        <f>IF($AO2837="","",IF(SUMPRODUCT(MAX((職員マスタ!$A$6:$A$405=$B2837)*(((職員マスタ!$G$6:$G$405="")+(職員マスタ!$G$6:$G$405&lt;=EOMONTH($AO2837,0)))&gt;0)*(((職員マスタ!$H$6:$H$405="")+(職員マスタ!$H$6:$H$405&gt;=$AO2837))&gt;0)*(ROW(職員マスタ!$A$6:$A$405)-5)))&gt;0,SUMPRODUCT(MAX((職員マスタ!$A$6:$A$405=$B2837)*(((職員マスタ!$G$6:$G$405="")+(職員マスタ!$G$6:$G$405&lt;=EOMONTH($AO2837,0)))&gt;0)*(((職員マスタ!$H$6:$H$405="")+(職員マスタ!$H$6:$H$405&gt;=$AO2837))&gt;0)*(ROW(職員マスタ!$A$6:$A$405)-5))),IFERROR(MATCH($B2837,職員マスタ!$A$6:$A$405,0),"")))</f>
        <v/>
      </c>
      <c r="AO2837" s="16">
        <f>IF(OR($B2837="",$C2837="",$D2837=""),"",DATE($C2837+2018,$D2837,1))</f>
        <v/>
      </c>
    </row>
    <row r="2838">
      <c r="A2838" s="11" t="n"/>
      <c r="B2838" s="12" t="n"/>
      <c r="C2838" s="12" t="n"/>
      <c r="D2838" s="12" t="n"/>
      <c r="E2838" s="13" t="n"/>
      <c r="F2838" s="12" t="n"/>
      <c r="G2838" s="13" t="n"/>
      <c r="H2838" s="12" t="n"/>
      <c r="I2838" s="12" t="n"/>
      <c r="J2838" s="12" t="n"/>
      <c r="K2838" s="12" t="n"/>
      <c r="L2838" s="11" t="n"/>
      <c r="M2838" s="11" t="n"/>
      <c r="N2838" s="11" t="n"/>
      <c r="O2838" s="11" t="n"/>
      <c r="P2838" s="12" t="n"/>
      <c r="Q2838" s="11" t="n"/>
      <c r="R2838" s="12" t="n"/>
      <c r="S2838" s="11" t="n"/>
      <c r="T2838" s="12" t="n"/>
      <c r="U2838" s="12" t="n"/>
      <c r="V2838" s="14">
        <f>IF($AN2838="",IF($B2838="","",$H2838),IF(INDEX(職員マスタ!$B$6:$B$405,$AN2838)="",$H2838,INDEX(職員マスタ!$B$6:$B$405,$AN2838)))</f>
        <v/>
      </c>
      <c r="W2838" s="14">
        <f>IF($AN2838="",IF($B2838="","",$R2838),IF(INDEX(職員マスタ!$C$6:$C$405,$AN2838)="",$R2838,INDEX(職員マスタ!$C$6:$C$405,$AN2838)))</f>
        <v/>
      </c>
      <c r="X2838" s="14">
        <f>IF($AO2838="","","R"&amp;$C2838&amp;"."&amp;$D2838)</f>
        <v/>
      </c>
      <c r="Y2838" s="15">
        <f>IF($AN2838="","",IF(INDEX(職員マスタ!$K$6:$K$405,$AN2838)="","",INDEX(職員マスタ!$K$6:$K$405,$AN2838)))</f>
        <v/>
      </c>
      <c r="Z2838" s="14">
        <f>IF(OR($E2838="",$Y2838=""),"",IF($E2838&gt;=$Y2838,"×",IF($E2838&gt;=$Y2838*設定!$C$5,"△","○")))</f>
        <v/>
      </c>
      <c r="AA2838" s="15">
        <f>IF($Z2838="","",IF($Z2838="×",0,IF($Z2838="○",ROUNDDOWN($E2838*設定!$C$4,0),ROUNDDOWN($E2838*ROUND((9*$Y2838-9*$E2838)/(10*$E2838),4),0))))</f>
        <v/>
      </c>
      <c r="AB2838" s="13" t="n"/>
      <c r="AC2838" s="15">
        <f>IF($B2838="","",IF($AB2838&lt;&gt;"",$AB2838,IF($AA2838="","",IF($AA2838&lt;=設定!$C$3,0,$AA2838))))</f>
        <v/>
      </c>
      <c r="AD2838" s="14">
        <f>IF($B2838="","",IF(AND($AE2838&lt;&gt;"",$AG2838="",$AJ2838=""),"保留中",IF($AJ2838&lt;&gt;"",IF(N($AC2838)&gt;0,"支給済","不支給"),IF($AC2838="","要確認",IF($AC2838=0,"不支給","未処理")))))</f>
        <v/>
      </c>
      <c r="AE2838" s="12" t="n"/>
      <c r="AF2838" s="11" t="n"/>
      <c r="AG2838" s="11" t="n"/>
      <c r="AH2838" s="11" t="n"/>
      <c r="AI2838" s="14">
        <f>IF(AND($AD2838="保留中",$AF2838&lt;&gt;""),TODAY()-$AF2838,"")</f>
        <v/>
      </c>
      <c r="AJ2838" s="12" t="n"/>
      <c r="AK2838" s="14">
        <f>IF($B2838="","",IF($AO2838="","対象年月が未入力／","")&amp;IF($B2838="","",IF($AN2838="","職員マスタに未登録の職員番号／",IF($Y2838="","標準報酬月額が未登録／","")&amp;IF(AND($AO2838&lt;&gt;"",OR(AND(INDEX(職員マスタ!$G$6:$G$405,$AN2838)&lt;&gt;"",INDEX(職員マスタ!$G$6:$G$405,$AN2838)&gt;EOMONTH($AO2838,0)),AND(INDEX(職員マスタ!$H$6:$H$405,$AN2838)&lt;&gt;"",INDEX(職員マスタ!$H$6:$H$405,$AN2838)&lt;$AO2838))),"対象月が時短期間外／","")&amp;IF(AND(INDEX(職員マスタ!$F$6:$F$405,$AN2838)&lt;&gt;"",$AO2838&lt;&gt;"",INDEX(職員マスタ!$F$6:$F$405,$AN2838)&lt;$AO2838),"対象月に子が2歳到達済／","")&amp;IF(AND($H2838&lt;&gt;"",INDEX(職員マスタ!$B$6:$B$405,$AN2838)&lt;&gt;"",SUBSTITUTE(SUBSTITUTE($H2838," ","")," ","")&lt;&gt;SUBSTITUTE(SUBSTITUTE(INDEX(職員マスタ!$B$6:$B$405,$AN2838)," ","")," ","")),"氏名がマスタと相違／","")&amp;IF(AND($Q2838&lt;&gt;"",INDEX(職員マスタ!$E$6:$E$405,$AN2838)&lt;&gt;"",$Q2838&lt;&gt;INDEX(職員マスタ!$E$6:$E$405,$AN2838)),"子の生年月日がマスタと相違／","")&amp;IF(AND($L2838&lt;&gt;"",INDEX(職員マスタ!$G$6:$G$405,$AN2838)&lt;&gt;"",$L2838&lt;&gt;INDEX(職員マスタ!$G$6:$G$405,$AN2838)),"時短開始日がマスタと相違／","")&amp;IF(AND($M2838&lt;&gt;"",INDEX(職員マスタ!$H$6:$H$405,$AN2838)&lt;&gt;"",$M2838&lt;&gt;INDEX(職員マスタ!$H$6:$H$405,$AN2838)),"時短終了日がマスタと相違／","")))&amp;IF(AND($B2838&lt;&gt;"",$E2838=""),"報酬額が未入力／","")&amp;IF(N($U2838)&gt;0,"申請書に入力エラーが残っています／","")&amp;IF(AND($B2838&lt;&gt;"",$AO2838&lt;&gt;""),IF(COUNTIFS($B$6:$B$3005,$B2838,$C$6:$C$3005,$C2838,$D$6:$D$3005,$D2838)&gt;1,"同じ月の請求が重複しています／",""),"")&amp;IF(AND(N($E2838)&gt;0,$Z2838&lt;&gt;"",$Z2838&lt;&gt;"×",$AC2838=0,$AB2838=""),"計算額が下限以下のため不支給／",""))</f>
        <v/>
      </c>
      <c r="AL2838" s="12" t="n"/>
      <c r="AM2838" s="14">
        <f>IF($AD2838="保留中",COUNTIF($AD$6:$AD2838,"保留中"),"")</f>
        <v/>
      </c>
      <c r="AN2838" s="14">
        <f>IF($AO2838="","",IF(SUMPRODUCT(MAX((職員マスタ!$A$6:$A$405=$B2838)*(((職員マスタ!$G$6:$G$405="")+(職員マスタ!$G$6:$G$405&lt;=EOMONTH($AO2838,0)))&gt;0)*(((職員マスタ!$H$6:$H$405="")+(職員マスタ!$H$6:$H$405&gt;=$AO2838))&gt;0)*(ROW(職員マスタ!$A$6:$A$405)-5)))&gt;0,SUMPRODUCT(MAX((職員マスタ!$A$6:$A$405=$B2838)*(((職員マスタ!$G$6:$G$405="")+(職員マスタ!$G$6:$G$405&lt;=EOMONTH($AO2838,0)))&gt;0)*(((職員マスタ!$H$6:$H$405="")+(職員マスタ!$H$6:$H$405&gt;=$AO2838))&gt;0)*(ROW(職員マスタ!$A$6:$A$405)-5))),IFERROR(MATCH($B2838,職員マスタ!$A$6:$A$405,0),"")))</f>
        <v/>
      </c>
      <c r="AO2838" s="16">
        <f>IF(OR($B2838="",$C2838="",$D2838=""),"",DATE($C2838+2018,$D2838,1))</f>
        <v/>
      </c>
    </row>
    <row r="2839">
      <c r="A2839" s="11" t="n"/>
      <c r="B2839" s="12" t="n"/>
      <c r="C2839" s="12" t="n"/>
      <c r="D2839" s="12" t="n"/>
      <c r="E2839" s="13" t="n"/>
      <c r="F2839" s="12" t="n"/>
      <c r="G2839" s="13" t="n"/>
      <c r="H2839" s="12" t="n"/>
      <c r="I2839" s="12" t="n"/>
      <c r="J2839" s="12" t="n"/>
      <c r="K2839" s="12" t="n"/>
      <c r="L2839" s="11" t="n"/>
      <c r="M2839" s="11" t="n"/>
      <c r="N2839" s="11" t="n"/>
      <c r="O2839" s="11" t="n"/>
      <c r="P2839" s="12" t="n"/>
      <c r="Q2839" s="11" t="n"/>
      <c r="R2839" s="12" t="n"/>
      <c r="S2839" s="11" t="n"/>
      <c r="T2839" s="12" t="n"/>
      <c r="U2839" s="12" t="n"/>
      <c r="V2839" s="14">
        <f>IF($AN2839="",IF($B2839="","",$H2839),IF(INDEX(職員マスタ!$B$6:$B$405,$AN2839)="",$H2839,INDEX(職員マスタ!$B$6:$B$405,$AN2839)))</f>
        <v/>
      </c>
      <c r="W2839" s="14">
        <f>IF($AN2839="",IF($B2839="","",$R2839),IF(INDEX(職員マスタ!$C$6:$C$405,$AN2839)="",$R2839,INDEX(職員マスタ!$C$6:$C$405,$AN2839)))</f>
        <v/>
      </c>
      <c r="X2839" s="14">
        <f>IF($AO2839="","","R"&amp;$C2839&amp;"."&amp;$D2839)</f>
        <v/>
      </c>
      <c r="Y2839" s="15">
        <f>IF($AN2839="","",IF(INDEX(職員マスタ!$K$6:$K$405,$AN2839)="","",INDEX(職員マスタ!$K$6:$K$405,$AN2839)))</f>
        <v/>
      </c>
      <c r="Z2839" s="14">
        <f>IF(OR($E2839="",$Y2839=""),"",IF($E2839&gt;=$Y2839,"×",IF($E2839&gt;=$Y2839*設定!$C$5,"△","○")))</f>
        <v/>
      </c>
      <c r="AA2839" s="15">
        <f>IF($Z2839="","",IF($Z2839="×",0,IF($Z2839="○",ROUNDDOWN($E2839*設定!$C$4,0),ROUNDDOWN($E2839*ROUND((9*$Y2839-9*$E2839)/(10*$E2839),4),0))))</f>
        <v/>
      </c>
      <c r="AB2839" s="13" t="n"/>
      <c r="AC2839" s="15">
        <f>IF($B2839="","",IF($AB2839&lt;&gt;"",$AB2839,IF($AA2839="","",IF($AA2839&lt;=設定!$C$3,0,$AA2839))))</f>
        <v/>
      </c>
      <c r="AD2839" s="14">
        <f>IF($B2839="","",IF(AND($AE2839&lt;&gt;"",$AG2839="",$AJ2839=""),"保留中",IF($AJ2839&lt;&gt;"",IF(N($AC2839)&gt;0,"支給済","不支給"),IF($AC2839="","要確認",IF($AC2839=0,"不支給","未処理")))))</f>
        <v/>
      </c>
      <c r="AE2839" s="12" t="n"/>
      <c r="AF2839" s="11" t="n"/>
      <c r="AG2839" s="11" t="n"/>
      <c r="AH2839" s="11" t="n"/>
      <c r="AI2839" s="14">
        <f>IF(AND($AD2839="保留中",$AF2839&lt;&gt;""),TODAY()-$AF2839,"")</f>
        <v/>
      </c>
      <c r="AJ2839" s="12" t="n"/>
      <c r="AK2839" s="14">
        <f>IF($B2839="","",IF($AO2839="","対象年月が未入力／","")&amp;IF($B2839="","",IF($AN2839="","職員マスタに未登録の職員番号／",IF($Y2839="","標準報酬月額が未登録／","")&amp;IF(AND($AO2839&lt;&gt;"",OR(AND(INDEX(職員マスタ!$G$6:$G$405,$AN2839)&lt;&gt;"",INDEX(職員マスタ!$G$6:$G$405,$AN2839)&gt;EOMONTH($AO2839,0)),AND(INDEX(職員マスタ!$H$6:$H$405,$AN2839)&lt;&gt;"",INDEX(職員マスタ!$H$6:$H$405,$AN2839)&lt;$AO2839))),"対象月が時短期間外／","")&amp;IF(AND(INDEX(職員マスタ!$F$6:$F$405,$AN2839)&lt;&gt;"",$AO2839&lt;&gt;"",INDEX(職員マスタ!$F$6:$F$405,$AN2839)&lt;$AO2839),"対象月に子が2歳到達済／","")&amp;IF(AND($H2839&lt;&gt;"",INDEX(職員マスタ!$B$6:$B$405,$AN2839)&lt;&gt;"",SUBSTITUTE(SUBSTITUTE($H2839," ","")," ","")&lt;&gt;SUBSTITUTE(SUBSTITUTE(INDEX(職員マスタ!$B$6:$B$405,$AN2839)," ","")," ","")),"氏名がマスタと相違／","")&amp;IF(AND($Q2839&lt;&gt;"",INDEX(職員マスタ!$E$6:$E$405,$AN2839)&lt;&gt;"",$Q2839&lt;&gt;INDEX(職員マスタ!$E$6:$E$405,$AN2839)),"子の生年月日がマスタと相違／","")&amp;IF(AND($L2839&lt;&gt;"",INDEX(職員マスタ!$G$6:$G$405,$AN2839)&lt;&gt;"",$L2839&lt;&gt;INDEX(職員マスタ!$G$6:$G$405,$AN2839)),"時短開始日がマスタと相違／","")&amp;IF(AND($M2839&lt;&gt;"",INDEX(職員マスタ!$H$6:$H$405,$AN2839)&lt;&gt;"",$M2839&lt;&gt;INDEX(職員マスタ!$H$6:$H$405,$AN2839)),"時短終了日がマスタと相違／","")))&amp;IF(AND($B2839&lt;&gt;"",$E2839=""),"報酬額が未入力／","")&amp;IF(N($U2839)&gt;0,"申請書に入力エラーが残っています／","")&amp;IF(AND($B2839&lt;&gt;"",$AO2839&lt;&gt;""),IF(COUNTIFS($B$6:$B$3005,$B2839,$C$6:$C$3005,$C2839,$D$6:$D$3005,$D2839)&gt;1,"同じ月の請求が重複しています／",""),"")&amp;IF(AND(N($E2839)&gt;0,$Z2839&lt;&gt;"",$Z2839&lt;&gt;"×",$AC2839=0,$AB2839=""),"計算額が下限以下のため不支給／",""))</f>
        <v/>
      </c>
      <c r="AL2839" s="12" t="n"/>
      <c r="AM2839" s="14">
        <f>IF($AD2839="保留中",COUNTIF($AD$6:$AD2839,"保留中"),"")</f>
        <v/>
      </c>
      <c r="AN2839" s="14">
        <f>IF($AO2839="","",IF(SUMPRODUCT(MAX((職員マスタ!$A$6:$A$405=$B2839)*(((職員マスタ!$G$6:$G$405="")+(職員マスタ!$G$6:$G$405&lt;=EOMONTH($AO2839,0)))&gt;0)*(((職員マスタ!$H$6:$H$405="")+(職員マスタ!$H$6:$H$405&gt;=$AO2839))&gt;0)*(ROW(職員マスタ!$A$6:$A$405)-5)))&gt;0,SUMPRODUCT(MAX((職員マスタ!$A$6:$A$405=$B2839)*(((職員マスタ!$G$6:$G$405="")+(職員マスタ!$G$6:$G$405&lt;=EOMONTH($AO2839,0)))&gt;0)*(((職員マスタ!$H$6:$H$405="")+(職員マスタ!$H$6:$H$405&gt;=$AO2839))&gt;0)*(ROW(職員マスタ!$A$6:$A$405)-5))),IFERROR(MATCH($B2839,職員マスタ!$A$6:$A$405,0),"")))</f>
        <v/>
      </c>
      <c r="AO2839" s="16">
        <f>IF(OR($B2839="",$C2839="",$D2839=""),"",DATE($C2839+2018,$D2839,1))</f>
        <v/>
      </c>
    </row>
    <row r="2840">
      <c r="A2840" s="11" t="n"/>
      <c r="B2840" s="12" t="n"/>
      <c r="C2840" s="12" t="n"/>
      <c r="D2840" s="12" t="n"/>
      <c r="E2840" s="13" t="n"/>
      <c r="F2840" s="12" t="n"/>
      <c r="G2840" s="13" t="n"/>
      <c r="H2840" s="12" t="n"/>
      <c r="I2840" s="12" t="n"/>
      <c r="J2840" s="12" t="n"/>
      <c r="K2840" s="12" t="n"/>
      <c r="L2840" s="11" t="n"/>
      <c r="M2840" s="11" t="n"/>
      <c r="N2840" s="11" t="n"/>
      <c r="O2840" s="11" t="n"/>
      <c r="P2840" s="12" t="n"/>
      <c r="Q2840" s="11" t="n"/>
      <c r="R2840" s="12" t="n"/>
      <c r="S2840" s="11" t="n"/>
      <c r="T2840" s="12" t="n"/>
      <c r="U2840" s="12" t="n"/>
      <c r="V2840" s="14">
        <f>IF($AN2840="",IF($B2840="","",$H2840),IF(INDEX(職員マスタ!$B$6:$B$405,$AN2840)="",$H2840,INDEX(職員マスタ!$B$6:$B$405,$AN2840)))</f>
        <v/>
      </c>
      <c r="W2840" s="14">
        <f>IF($AN2840="",IF($B2840="","",$R2840),IF(INDEX(職員マスタ!$C$6:$C$405,$AN2840)="",$R2840,INDEX(職員マスタ!$C$6:$C$405,$AN2840)))</f>
        <v/>
      </c>
      <c r="X2840" s="14">
        <f>IF($AO2840="","","R"&amp;$C2840&amp;"."&amp;$D2840)</f>
        <v/>
      </c>
      <c r="Y2840" s="15">
        <f>IF($AN2840="","",IF(INDEX(職員マスタ!$K$6:$K$405,$AN2840)="","",INDEX(職員マスタ!$K$6:$K$405,$AN2840)))</f>
        <v/>
      </c>
      <c r="Z2840" s="14">
        <f>IF(OR($E2840="",$Y2840=""),"",IF($E2840&gt;=$Y2840,"×",IF($E2840&gt;=$Y2840*設定!$C$5,"△","○")))</f>
        <v/>
      </c>
      <c r="AA2840" s="15">
        <f>IF($Z2840="","",IF($Z2840="×",0,IF($Z2840="○",ROUNDDOWN($E2840*設定!$C$4,0),ROUNDDOWN($E2840*ROUND((9*$Y2840-9*$E2840)/(10*$E2840),4),0))))</f>
        <v/>
      </c>
      <c r="AB2840" s="13" t="n"/>
      <c r="AC2840" s="15">
        <f>IF($B2840="","",IF($AB2840&lt;&gt;"",$AB2840,IF($AA2840="","",IF($AA2840&lt;=設定!$C$3,0,$AA2840))))</f>
        <v/>
      </c>
      <c r="AD2840" s="14">
        <f>IF($B2840="","",IF(AND($AE2840&lt;&gt;"",$AG2840="",$AJ2840=""),"保留中",IF($AJ2840&lt;&gt;"",IF(N($AC2840)&gt;0,"支給済","不支給"),IF($AC2840="","要確認",IF($AC2840=0,"不支給","未処理")))))</f>
        <v/>
      </c>
      <c r="AE2840" s="12" t="n"/>
      <c r="AF2840" s="11" t="n"/>
      <c r="AG2840" s="11" t="n"/>
      <c r="AH2840" s="11" t="n"/>
      <c r="AI2840" s="14">
        <f>IF(AND($AD2840="保留中",$AF2840&lt;&gt;""),TODAY()-$AF2840,"")</f>
        <v/>
      </c>
      <c r="AJ2840" s="12" t="n"/>
      <c r="AK2840" s="14">
        <f>IF($B2840="","",IF($AO2840="","対象年月が未入力／","")&amp;IF($B2840="","",IF($AN2840="","職員マスタに未登録の職員番号／",IF($Y2840="","標準報酬月額が未登録／","")&amp;IF(AND($AO2840&lt;&gt;"",OR(AND(INDEX(職員マスタ!$G$6:$G$405,$AN2840)&lt;&gt;"",INDEX(職員マスタ!$G$6:$G$405,$AN2840)&gt;EOMONTH($AO2840,0)),AND(INDEX(職員マスタ!$H$6:$H$405,$AN2840)&lt;&gt;"",INDEX(職員マスタ!$H$6:$H$405,$AN2840)&lt;$AO2840))),"対象月が時短期間外／","")&amp;IF(AND(INDEX(職員マスタ!$F$6:$F$405,$AN2840)&lt;&gt;"",$AO2840&lt;&gt;"",INDEX(職員マスタ!$F$6:$F$405,$AN2840)&lt;$AO2840),"対象月に子が2歳到達済／","")&amp;IF(AND($H2840&lt;&gt;"",INDEX(職員マスタ!$B$6:$B$405,$AN2840)&lt;&gt;"",SUBSTITUTE(SUBSTITUTE($H2840," ","")," ","")&lt;&gt;SUBSTITUTE(SUBSTITUTE(INDEX(職員マスタ!$B$6:$B$405,$AN2840)," ","")," ","")),"氏名がマスタと相違／","")&amp;IF(AND($Q2840&lt;&gt;"",INDEX(職員マスタ!$E$6:$E$405,$AN2840)&lt;&gt;"",$Q2840&lt;&gt;INDEX(職員マスタ!$E$6:$E$405,$AN2840)),"子の生年月日がマスタと相違／","")&amp;IF(AND($L2840&lt;&gt;"",INDEX(職員マスタ!$G$6:$G$405,$AN2840)&lt;&gt;"",$L2840&lt;&gt;INDEX(職員マスタ!$G$6:$G$405,$AN2840)),"時短開始日がマスタと相違／","")&amp;IF(AND($M2840&lt;&gt;"",INDEX(職員マスタ!$H$6:$H$405,$AN2840)&lt;&gt;"",$M2840&lt;&gt;INDEX(職員マスタ!$H$6:$H$405,$AN2840)),"時短終了日がマスタと相違／","")))&amp;IF(AND($B2840&lt;&gt;"",$E2840=""),"報酬額が未入力／","")&amp;IF(N($U2840)&gt;0,"申請書に入力エラーが残っています／","")&amp;IF(AND($B2840&lt;&gt;"",$AO2840&lt;&gt;""),IF(COUNTIFS($B$6:$B$3005,$B2840,$C$6:$C$3005,$C2840,$D$6:$D$3005,$D2840)&gt;1,"同じ月の請求が重複しています／",""),"")&amp;IF(AND(N($E2840)&gt;0,$Z2840&lt;&gt;"",$Z2840&lt;&gt;"×",$AC2840=0,$AB2840=""),"計算額が下限以下のため不支給／",""))</f>
        <v/>
      </c>
      <c r="AL2840" s="12" t="n"/>
      <c r="AM2840" s="14">
        <f>IF($AD2840="保留中",COUNTIF($AD$6:$AD2840,"保留中"),"")</f>
        <v/>
      </c>
      <c r="AN2840" s="14">
        <f>IF($AO2840="","",IF(SUMPRODUCT(MAX((職員マスタ!$A$6:$A$405=$B2840)*(((職員マスタ!$G$6:$G$405="")+(職員マスタ!$G$6:$G$405&lt;=EOMONTH($AO2840,0)))&gt;0)*(((職員マスタ!$H$6:$H$405="")+(職員マスタ!$H$6:$H$405&gt;=$AO2840))&gt;0)*(ROW(職員マスタ!$A$6:$A$405)-5)))&gt;0,SUMPRODUCT(MAX((職員マスタ!$A$6:$A$405=$B2840)*(((職員マスタ!$G$6:$G$405="")+(職員マスタ!$G$6:$G$405&lt;=EOMONTH($AO2840,0)))&gt;0)*(((職員マスタ!$H$6:$H$405="")+(職員マスタ!$H$6:$H$405&gt;=$AO2840))&gt;0)*(ROW(職員マスタ!$A$6:$A$405)-5))),IFERROR(MATCH($B2840,職員マスタ!$A$6:$A$405,0),"")))</f>
        <v/>
      </c>
      <c r="AO2840" s="16">
        <f>IF(OR($B2840="",$C2840="",$D2840=""),"",DATE($C2840+2018,$D2840,1))</f>
        <v/>
      </c>
    </row>
    <row r="2841">
      <c r="A2841" s="11" t="n"/>
      <c r="B2841" s="12" t="n"/>
      <c r="C2841" s="12" t="n"/>
      <c r="D2841" s="12" t="n"/>
      <c r="E2841" s="13" t="n"/>
      <c r="F2841" s="12" t="n"/>
      <c r="G2841" s="13" t="n"/>
      <c r="H2841" s="12" t="n"/>
      <c r="I2841" s="12" t="n"/>
      <c r="J2841" s="12" t="n"/>
      <c r="K2841" s="12" t="n"/>
      <c r="L2841" s="11" t="n"/>
      <c r="M2841" s="11" t="n"/>
      <c r="N2841" s="11" t="n"/>
      <c r="O2841" s="11" t="n"/>
      <c r="P2841" s="12" t="n"/>
      <c r="Q2841" s="11" t="n"/>
      <c r="R2841" s="12" t="n"/>
      <c r="S2841" s="11" t="n"/>
      <c r="T2841" s="12" t="n"/>
      <c r="U2841" s="12" t="n"/>
      <c r="V2841" s="14">
        <f>IF($AN2841="",IF($B2841="","",$H2841),IF(INDEX(職員マスタ!$B$6:$B$405,$AN2841)="",$H2841,INDEX(職員マスタ!$B$6:$B$405,$AN2841)))</f>
        <v/>
      </c>
      <c r="W2841" s="14">
        <f>IF($AN2841="",IF($B2841="","",$R2841),IF(INDEX(職員マスタ!$C$6:$C$405,$AN2841)="",$R2841,INDEX(職員マスタ!$C$6:$C$405,$AN2841)))</f>
        <v/>
      </c>
      <c r="X2841" s="14">
        <f>IF($AO2841="","","R"&amp;$C2841&amp;"."&amp;$D2841)</f>
        <v/>
      </c>
      <c r="Y2841" s="15">
        <f>IF($AN2841="","",IF(INDEX(職員マスタ!$K$6:$K$405,$AN2841)="","",INDEX(職員マスタ!$K$6:$K$405,$AN2841)))</f>
        <v/>
      </c>
      <c r="Z2841" s="14">
        <f>IF(OR($E2841="",$Y2841=""),"",IF($E2841&gt;=$Y2841,"×",IF($E2841&gt;=$Y2841*設定!$C$5,"△","○")))</f>
        <v/>
      </c>
      <c r="AA2841" s="15">
        <f>IF($Z2841="","",IF($Z2841="×",0,IF($Z2841="○",ROUNDDOWN($E2841*設定!$C$4,0),ROUNDDOWN($E2841*ROUND((9*$Y2841-9*$E2841)/(10*$E2841),4),0))))</f>
        <v/>
      </c>
      <c r="AB2841" s="13" t="n"/>
      <c r="AC2841" s="15">
        <f>IF($B2841="","",IF($AB2841&lt;&gt;"",$AB2841,IF($AA2841="","",IF($AA2841&lt;=設定!$C$3,0,$AA2841))))</f>
        <v/>
      </c>
      <c r="AD2841" s="14">
        <f>IF($B2841="","",IF(AND($AE2841&lt;&gt;"",$AG2841="",$AJ2841=""),"保留中",IF($AJ2841&lt;&gt;"",IF(N($AC2841)&gt;0,"支給済","不支給"),IF($AC2841="","要確認",IF($AC2841=0,"不支給","未処理")))))</f>
        <v/>
      </c>
      <c r="AE2841" s="12" t="n"/>
      <c r="AF2841" s="11" t="n"/>
      <c r="AG2841" s="11" t="n"/>
      <c r="AH2841" s="11" t="n"/>
      <c r="AI2841" s="14">
        <f>IF(AND($AD2841="保留中",$AF2841&lt;&gt;""),TODAY()-$AF2841,"")</f>
        <v/>
      </c>
      <c r="AJ2841" s="12" t="n"/>
      <c r="AK2841" s="14">
        <f>IF($B2841="","",IF($AO2841="","対象年月が未入力／","")&amp;IF($B2841="","",IF($AN2841="","職員マスタに未登録の職員番号／",IF($Y2841="","標準報酬月額が未登録／","")&amp;IF(AND($AO2841&lt;&gt;"",OR(AND(INDEX(職員マスタ!$G$6:$G$405,$AN2841)&lt;&gt;"",INDEX(職員マスタ!$G$6:$G$405,$AN2841)&gt;EOMONTH($AO2841,0)),AND(INDEX(職員マスタ!$H$6:$H$405,$AN2841)&lt;&gt;"",INDEX(職員マスタ!$H$6:$H$405,$AN2841)&lt;$AO2841))),"対象月が時短期間外／","")&amp;IF(AND(INDEX(職員マスタ!$F$6:$F$405,$AN2841)&lt;&gt;"",$AO2841&lt;&gt;"",INDEX(職員マスタ!$F$6:$F$405,$AN2841)&lt;$AO2841),"対象月に子が2歳到達済／","")&amp;IF(AND($H2841&lt;&gt;"",INDEX(職員マスタ!$B$6:$B$405,$AN2841)&lt;&gt;"",SUBSTITUTE(SUBSTITUTE($H2841," ","")," ","")&lt;&gt;SUBSTITUTE(SUBSTITUTE(INDEX(職員マスタ!$B$6:$B$405,$AN2841)," ","")," ","")),"氏名がマスタと相違／","")&amp;IF(AND($Q2841&lt;&gt;"",INDEX(職員マスタ!$E$6:$E$405,$AN2841)&lt;&gt;"",$Q2841&lt;&gt;INDEX(職員マスタ!$E$6:$E$405,$AN2841)),"子の生年月日がマスタと相違／","")&amp;IF(AND($L2841&lt;&gt;"",INDEX(職員マスタ!$G$6:$G$405,$AN2841)&lt;&gt;"",$L2841&lt;&gt;INDEX(職員マスタ!$G$6:$G$405,$AN2841)),"時短開始日がマスタと相違／","")&amp;IF(AND($M2841&lt;&gt;"",INDEX(職員マスタ!$H$6:$H$405,$AN2841)&lt;&gt;"",$M2841&lt;&gt;INDEX(職員マスタ!$H$6:$H$405,$AN2841)),"時短終了日がマスタと相違／","")))&amp;IF(AND($B2841&lt;&gt;"",$E2841=""),"報酬額が未入力／","")&amp;IF(N($U2841)&gt;0,"申請書に入力エラーが残っています／","")&amp;IF(AND($B2841&lt;&gt;"",$AO2841&lt;&gt;""),IF(COUNTIFS($B$6:$B$3005,$B2841,$C$6:$C$3005,$C2841,$D$6:$D$3005,$D2841)&gt;1,"同じ月の請求が重複しています／",""),"")&amp;IF(AND(N($E2841)&gt;0,$Z2841&lt;&gt;"",$Z2841&lt;&gt;"×",$AC2841=0,$AB2841=""),"計算額が下限以下のため不支給／",""))</f>
        <v/>
      </c>
      <c r="AL2841" s="12" t="n"/>
      <c r="AM2841" s="14">
        <f>IF($AD2841="保留中",COUNTIF($AD$6:$AD2841,"保留中"),"")</f>
        <v/>
      </c>
      <c r="AN2841" s="14">
        <f>IF($AO2841="","",IF(SUMPRODUCT(MAX((職員マスタ!$A$6:$A$405=$B2841)*(((職員マスタ!$G$6:$G$405="")+(職員マスタ!$G$6:$G$405&lt;=EOMONTH($AO2841,0)))&gt;0)*(((職員マスタ!$H$6:$H$405="")+(職員マスタ!$H$6:$H$405&gt;=$AO2841))&gt;0)*(ROW(職員マスタ!$A$6:$A$405)-5)))&gt;0,SUMPRODUCT(MAX((職員マスタ!$A$6:$A$405=$B2841)*(((職員マスタ!$G$6:$G$405="")+(職員マスタ!$G$6:$G$405&lt;=EOMONTH($AO2841,0)))&gt;0)*(((職員マスタ!$H$6:$H$405="")+(職員マスタ!$H$6:$H$405&gt;=$AO2841))&gt;0)*(ROW(職員マスタ!$A$6:$A$405)-5))),IFERROR(MATCH($B2841,職員マスタ!$A$6:$A$405,0),"")))</f>
        <v/>
      </c>
      <c r="AO2841" s="16">
        <f>IF(OR($B2841="",$C2841="",$D2841=""),"",DATE($C2841+2018,$D2841,1))</f>
        <v/>
      </c>
    </row>
    <row r="2842">
      <c r="A2842" s="11" t="n"/>
      <c r="B2842" s="12" t="n"/>
      <c r="C2842" s="12" t="n"/>
      <c r="D2842" s="12" t="n"/>
      <c r="E2842" s="13" t="n"/>
      <c r="F2842" s="12" t="n"/>
      <c r="G2842" s="13" t="n"/>
      <c r="H2842" s="12" t="n"/>
      <c r="I2842" s="12" t="n"/>
      <c r="J2842" s="12" t="n"/>
      <c r="K2842" s="12" t="n"/>
      <c r="L2842" s="11" t="n"/>
      <c r="M2842" s="11" t="n"/>
      <c r="N2842" s="11" t="n"/>
      <c r="O2842" s="11" t="n"/>
      <c r="P2842" s="12" t="n"/>
      <c r="Q2842" s="11" t="n"/>
      <c r="R2842" s="12" t="n"/>
      <c r="S2842" s="11" t="n"/>
      <c r="T2842" s="12" t="n"/>
      <c r="U2842" s="12" t="n"/>
      <c r="V2842" s="14">
        <f>IF($AN2842="",IF($B2842="","",$H2842),IF(INDEX(職員マスタ!$B$6:$B$405,$AN2842)="",$H2842,INDEX(職員マスタ!$B$6:$B$405,$AN2842)))</f>
        <v/>
      </c>
      <c r="W2842" s="14">
        <f>IF($AN2842="",IF($B2842="","",$R2842),IF(INDEX(職員マスタ!$C$6:$C$405,$AN2842)="",$R2842,INDEX(職員マスタ!$C$6:$C$405,$AN2842)))</f>
        <v/>
      </c>
      <c r="X2842" s="14">
        <f>IF($AO2842="","","R"&amp;$C2842&amp;"."&amp;$D2842)</f>
        <v/>
      </c>
      <c r="Y2842" s="15">
        <f>IF($AN2842="","",IF(INDEX(職員マスタ!$K$6:$K$405,$AN2842)="","",INDEX(職員マスタ!$K$6:$K$405,$AN2842)))</f>
        <v/>
      </c>
      <c r="Z2842" s="14">
        <f>IF(OR($E2842="",$Y2842=""),"",IF($E2842&gt;=$Y2842,"×",IF($E2842&gt;=$Y2842*設定!$C$5,"△","○")))</f>
        <v/>
      </c>
      <c r="AA2842" s="15">
        <f>IF($Z2842="","",IF($Z2842="×",0,IF($Z2842="○",ROUNDDOWN($E2842*設定!$C$4,0),ROUNDDOWN($E2842*ROUND((9*$Y2842-9*$E2842)/(10*$E2842),4),0))))</f>
        <v/>
      </c>
      <c r="AB2842" s="13" t="n"/>
      <c r="AC2842" s="15">
        <f>IF($B2842="","",IF($AB2842&lt;&gt;"",$AB2842,IF($AA2842="","",IF($AA2842&lt;=設定!$C$3,0,$AA2842))))</f>
        <v/>
      </c>
      <c r="AD2842" s="14">
        <f>IF($B2842="","",IF(AND($AE2842&lt;&gt;"",$AG2842="",$AJ2842=""),"保留中",IF($AJ2842&lt;&gt;"",IF(N($AC2842)&gt;0,"支給済","不支給"),IF($AC2842="","要確認",IF($AC2842=0,"不支給","未処理")))))</f>
        <v/>
      </c>
      <c r="AE2842" s="12" t="n"/>
      <c r="AF2842" s="11" t="n"/>
      <c r="AG2842" s="11" t="n"/>
      <c r="AH2842" s="11" t="n"/>
      <c r="AI2842" s="14">
        <f>IF(AND($AD2842="保留中",$AF2842&lt;&gt;""),TODAY()-$AF2842,"")</f>
        <v/>
      </c>
      <c r="AJ2842" s="12" t="n"/>
      <c r="AK2842" s="14">
        <f>IF($B2842="","",IF($AO2842="","対象年月が未入力／","")&amp;IF($B2842="","",IF($AN2842="","職員マスタに未登録の職員番号／",IF($Y2842="","標準報酬月額が未登録／","")&amp;IF(AND($AO2842&lt;&gt;"",OR(AND(INDEX(職員マスタ!$G$6:$G$405,$AN2842)&lt;&gt;"",INDEX(職員マスタ!$G$6:$G$405,$AN2842)&gt;EOMONTH($AO2842,0)),AND(INDEX(職員マスタ!$H$6:$H$405,$AN2842)&lt;&gt;"",INDEX(職員マスタ!$H$6:$H$405,$AN2842)&lt;$AO2842))),"対象月が時短期間外／","")&amp;IF(AND(INDEX(職員マスタ!$F$6:$F$405,$AN2842)&lt;&gt;"",$AO2842&lt;&gt;"",INDEX(職員マスタ!$F$6:$F$405,$AN2842)&lt;$AO2842),"対象月に子が2歳到達済／","")&amp;IF(AND($H2842&lt;&gt;"",INDEX(職員マスタ!$B$6:$B$405,$AN2842)&lt;&gt;"",SUBSTITUTE(SUBSTITUTE($H2842," ","")," ","")&lt;&gt;SUBSTITUTE(SUBSTITUTE(INDEX(職員マスタ!$B$6:$B$405,$AN2842)," ","")," ","")),"氏名がマスタと相違／","")&amp;IF(AND($Q2842&lt;&gt;"",INDEX(職員マスタ!$E$6:$E$405,$AN2842)&lt;&gt;"",$Q2842&lt;&gt;INDEX(職員マスタ!$E$6:$E$405,$AN2842)),"子の生年月日がマスタと相違／","")&amp;IF(AND($L2842&lt;&gt;"",INDEX(職員マスタ!$G$6:$G$405,$AN2842)&lt;&gt;"",$L2842&lt;&gt;INDEX(職員マスタ!$G$6:$G$405,$AN2842)),"時短開始日がマスタと相違／","")&amp;IF(AND($M2842&lt;&gt;"",INDEX(職員マスタ!$H$6:$H$405,$AN2842)&lt;&gt;"",$M2842&lt;&gt;INDEX(職員マスタ!$H$6:$H$405,$AN2842)),"時短終了日がマスタと相違／","")))&amp;IF(AND($B2842&lt;&gt;"",$E2842=""),"報酬額が未入力／","")&amp;IF(N($U2842)&gt;0,"申請書に入力エラーが残っています／","")&amp;IF(AND($B2842&lt;&gt;"",$AO2842&lt;&gt;""),IF(COUNTIFS($B$6:$B$3005,$B2842,$C$6:$C$3005,$C2842,$D$6:$D$3005,$D2842)&gt;1,"同じ月の請求が重複しています／",""),"")&amp;IF(AND(N($E2842)&gt;0,$Z2842&lt;&gt;"",$Z2842&lt;&gt;"×",$AC2842=0,$AB2842=""),"計算額が下限以下のため不支給／",""))</f>
        <v/>
      </c>
      <c r="AL2842" s="12" t="n"/>
      <c r="AM2842" s="14">
        <f>IF($AD2842="保留中",COUNTIF($AD$6:$AD2842,"保留中"),"")</f>
        <v/>
      </c>
      <c r="AN2842" s="14">
        <f>IF($AO2842="","",IF(SUMPRODUCT(MAX((職員マスタ!$A$6:$A$405=$B2842)*(((職員マスタ!$G$6:$G$405="")+(職員マスタ!$G$6:$G$405&lt;=EOMONTH($AO2842,0)))&gt;0)*(((職員マスタ!$H$6:$H$405="")+(職員マスタ!$H$6:$H$405&gt;=$AO2842))&gt;0)*(ROW(職員マスタ!$A$6:$A$405)-5)))&gt;0,SUMPRODUCT(MAX((職員マスタ!$A$6:$A$405=$B2842)*(((職員マスタ!$G$6:$G$405="")+(職員マスタ!$G$6:$G$405&lt;=EOMONTH($AO2842,0)))&gt;0)*(((職員マスタ!$H$6:$H$405="")+(職員マスタ!$H$6:$H$405&gt;=$AO2842))&gt;0)*(ROW(職員マスタ!$A$6:$A$405)-5))),IFERROR(MATCH($B2842,職員マスタ!$A$6:$A$405,0),"")))</f>
        <v/>
      </c>
      <c r="AO2842" s="16">
        <f>IF(OR($B2842="",$C2842="",$D2842=""),"",DATE($C2842+2018,$D2842,1))</f>
        <v/>
      </c>
    </row>
    <row r="2843">
      <c r="A2843" s="11" t="n"/>
      <c r="B2843" s="12" t="n"/>
      <c r="C2843" s="12" t="n"/>
      <c r="D2843" s="12" t="n"/>
      <c r="E2843" s="13" t="n"/>
      <c r="F2843" s="12" t="n"/>
      <c r="G2843" s="13" t="n"/>
      <c r="H2843" s="12" t="n"/>
      <c r="I2843" s="12" t="n"/>
      <c r="J2843" s="12" t="n"/>
      <c r="K2843" s="12" t="n"/>
      <c r="L2843" s="11" t="n"/>
      <c r="M2843" s="11" t="n"/>
      <c r="N2843" s="11" t="n"/>
      <c r="O2843" s="11" t="n"/>
      <c r="P2843" s="12" t="n"/>
      <c r="Q2843" s="11" t="n"/>
      <c r="R2843" s="12" t="n"/>
      <c r="S2843" s="11" t="n"/>
      <c r="T2843" s="12" t="n"/>
      <c r="U2843" s="12" t="n"/>
      <c r="V2843" s="14">
        <f>IF($AN2843="",IF($B2843="","",$H2843),IF(INDEX(職員マスタ!$B$6:$B$405,$AN2843)="",$H2843,INDEX(職員マスタ!$B$6:$B$405,$AN2843)))</f>
        <v/>
      </c>
      <c r="W2843" s="14">
        <f>IF($AN2843="",IF($B2843="","",$R2843),IF(INDEX(職員マスタ!$C$6:$C$405,$AN2843)="",$R2843,INDEX(職員マスタ!$C$6:$C$405,$AN2843)))</f>
        <v/>
      </c>
      <c r="X2843" s="14">
        <f>IF($AO2843="","","R"&amp;$C2843&amp;"."&amp;$D2843)</f>
        <v/>
      </c>
      <c r="Y2843" s="15">
        <f>IF($AN2843="","",IF(INDEX(職員マスタ!$K$6:$K$405,$AN2843)="","",INDEX(職員マスタ!$K$6:$K$405,$AN2843)))</f>
        <v/>
      </c>
      <c r="Z2843" s="14">
        <f>IF(OR($E2843="",$Y2843=""),"",IF($E2843&gt;=$Y2843,"×",IF($E2843&gt;=$Y2843*設定!$C$5,"△","○")))</f>
        <v/>
      </c>
      <c r="AA2843" s="15">
        <f>IF($Z2843="","",IF($Z2843="×",0,IF($Z2843="○",ROUNDDOWN($E2843*設定!$C$4,0),ROUNDDOWN($E2843*ROUND((9*$Y2843-9*$E2843)/(10*$E2843),4),0))))</f>
        <v/>
      </c>
      <c r="AB2843" s="13" t="n"/>
      <c r="AC2843" s="15">
        <f>IF($B2843="","",IF($AB2843&lt;&gt;"",$AB2843,IF($AA2843="","",IF($AA2843&lt;=設定!$C$3,0,$AA2843))))</f>
        <v/>
      </c>
      <c r="AD2843" s="14">
        <f>IF($B2843="","",IF(AND($AE2843&lt;&gt;"",$AG2843="",$AJ2843=""),"保留中",IF($AJ2843&lt;&gt;"",IF(N($AC2843)&gt;0,"支給済","不支給"),IF($AC2843="","要確認",IF($AC2843=0,"不支給","未処理")))))</f>
        <v/>
      </c>
      <c r="AE2843" s="12" t="n"/>
      <c r="AF2843" s="11" t="n"/>
      <c r="AG2843" s="11" t="n"/>
      <c r="AH2843" s="11" t="n"/>
      <c r="AI2843" s="14">
        <f>IF(AND($AD2843="保留中",$AF2843&lt;&gt;""),TODAY()-$AF2843,"")</f>
        <v/>
      </c>
      <c r="AJ2843" s="12" t="n"/>
      <c r="AK2843" s="14">
        <f>IF($B2843="","",IF($AO2843="","対象年月が未入力／","")&amp;IF($B2843="","",IF($AN2843="","職員マスタに未登録の職員番号／",IF($Y2843="","標準報酬月額が未登録／","")&amp;IF(AND($AO2843&lt;&gt;"",OR(AND(INDEX(職員マスタ!$G$6:$G$405,$AN2843)&lt;&gt;"",INDEX(職員マスタ!$G$6:$G$405,$AN2843)&gt;EOMONTH($AO2843,0)),AND(INDEX(職員マスタ!$H$6:$H$405,$AN2843)&lt;&gt;"",INDEX(職員マスタ!$H$6:$H$405,$AN2843)&lt;$AO2843))),"対象月が時短期間外／","")&amp;IF(AND(INDEX(職員マスタ!$F$6:$F$405,$AN2843)&lt;&gt;"",$AO2843&lt;&gt;"",INDEX(職員マスタ!$F$6:$F$405,$AN2843)&lt;$AO2843),"対象月に子が2歳到達済／","")&amp;IF(AND($H2843&lt;&gt;"",INDEX(職員マスタ!$B$6:$B$405,$AN2843)&lt;&gt;"",SUBSTITUTE(SUBSTITUTE($H2843," ","")," ","")&lt;&gt;SUBSTITUTE(SUBSTITUTE(INDEX(職員マスタ!$B$6:$B$405,$AN2843)," ","")," ","")),"氏名がマスタと相違／","")&amp;IF(AND($Q2843&lt;&gt;"",INDEX(職員マスタ!$E$6:$E$405,$AN2843)&lt;&gt;"",$Q2843&lt;&gt;INDEX(職員マスタ!$E$6:$E$405,$AN2843)),"子の生年月日がマスタと相違／","")&amp;IF(AND($L2843&lt;&gt;"",INDEX(職員マスタ!$G$6:$G$405,$AN2843)&lt;&gt;"",$L2843&lt;&gt;INDEX(職員マスタ!$G$6:$G$405,$AN2843)),"時短開始日がマスタと相違／","")&amp;IF(AND($M2843&lt;&gt;"",INDEX(職員マスタ!$H$6:$H$405,$AN2843)&lt;&gt;"",$M2843&lt;&gt;INDEX(職員マスタ!$H$6:$H$405,$AN2843)),"時短終了日がマスタと相違／","")))&amp;IF(AND($B2843&lt;&gt;"",$E2843=""),"報酬額が未入力／","")&amp;IF(N($U2843)&gt;0,"申請書に入力エラーが残っています／","")&amp;IF(AND($B2843&lt;&gt;"",$AO2843&lt;&gt;""),IF(COUNTIFS($B$6:$B$3005,$B2843,$C$6:$C$3005,$C2843,$D$6:$D$3005,$D2843)&gt;1,"同じ月の請求が重複しています／",""),"")&amp;IF(AND(N($E2843)&gt;0,$Z2843&lt;&gt;"",$Z2843&lt;&gt;"×",$AC2843=0,$AB2843=""),"計算額が下限以下のため不支給／",""))</f>
        <v/>
      </c>
      <c r="AL2843" s="12" t="n"/>
      <c r="AM2843" s="14">
        <f>IF($AD2843="保留中",COUNTIF($AD$6:$AD2843,"保留中"),"")</f>
        <v/>
      </c>
      <c r="AN2843" s="14">
        <f>IF($AO2843="","",IF(SUMPRODUCT(MAX((職員マスタ!$A$6:$A$405=$B2843)*(((職員マスタ!$G$6:$G$405="")+(職員マスタ!$G$6:$G$405&lt;=EOMONTH($AO2843,0)))&gt;0)*(((職員マスタ!$H$6:$H$405="")+(職員マスタ!$H$6:$H$405&gt;=$AO2843))&gt;0)*(ROW(職員マスタ!$A$6:$A$405)-5)))&gt;0,SUMPRODUCT(MAX((職員マスタ!$A$6:$A$405=$B2843)*(((職員マスタ!$G$6:$G$405="")+(職員マスタ!$G$6:$G$405&lt;=EOMONTH($AO2843,0)))&gt;0)*(((職員マスタ!$H$6:$H$405="")+(職員マスタ!$H$6:$H$405&gt;=$AO2843))&gt;0)*(ROW(職員マスタ!$A$6:$A$405)-5))),IFERROR(MATCH($B2843,職員マスタ!$A$6:$A$405,0),"")))</f>
        <v/>
      </c>
      <c r="AO2843" s="16">
        <f>IF(OR($B2843="",$C2843="",$D2843=""),"",DATE($C2843+2018,$D2843,1))</f>
        <v/>
      </c>
    </row>
    <row r="2844">
      <c r="A2844" s="11" t="n"/>
      <c r="B2844" s="12" t="n"/>
      <c r="C2844" s="12" t="n"/>
      <c r="D2844" s="12" t="n"/>
      <c r="E2844" s="13" t="n"/>
      <c r="F2844" s="12" t="n"/>
      <c r="G2844" s="13" t="n"/>
      <c r="H2844" s="12" t="n"/>
      <c r="I2844" s="12" t="n"/>
      <c r="J2844" s="12" t="n"/>
      <c r="K2844" s="12" t="n"/>
      <c r="L2844" s="11" t="n"/>
      <c r="M2844" s="11" t="n"/>
      <c r="N2844" s="11" t="n"/>
      <c r="O2844" s="11" t="n"/>
      <c r="P2844" s="12" t="n"/>
      <c r="Q2844" s="11" t="n"/>
      <c r="R2844" s="12" t="n"/>
      <c r="S2844" s="11" t="n"/>
      <c r="T2844" s="12" t="n"/>
      <c r="U2844" s="12" t="n"/>
      <c r="V2844" s="14">
        <f>IF($AN2844="",IF($B2844="","",$H2844),IF(INDEX(職員マスタ!$B$6:$B$405,$AN2844)="",$H2844,INDEX(職員マスタ!$B$6:$B$405,$AN2844)))</f>
        <v/>
      </c>
      <c r="W2844" s="14">
        <f>IF($AN2844="",IF($B2844="","",$R2844),IF(INDEX(職員マスタ!$C$6:$C$405,$AN2844)="",$R2844,INDEX(職員マスタ!$C$6:$C$405,$AN2844)))</f>
        <v/>
      </c>
      <c r="X2844" s="14">
        <f>IF($AO2844="","","R"&amp;$C2844&amp;"."&amp;$D2844)</f>
        <v/>
      </c>
      <c r="Y2844" s="15">
        <f>IF($AN2844="","",IF(INDEX(職員マスタ!$K$6:$K$405,$AN2844)="","",INDEX(職員マスタ!$K$6:$K$405,$AN2844)))</f>
        <v/>
      </c>
      <c r="Z2844" s="14">
        <f>IF(OR($E2844="",$Y2844=""),"",IF($E2844&gt;=$Y2844,"×",IF($E2844&gt;=$Y2844*設定!$C$5,"△","○")))</f>
        <v/>
      </c>
      <c r="AA2844" s="15">
        <f>IF($Z2844="","",IF($Z2844="×",0,IF($Z2844="○",ROUNDDOWN($E2844*設定!$C$4,0),ROUNDDOWN($E2844*ROUND((9*$Y2844-9*$E2844)/(10*$E2844),4),0))))</f>
        <v/>
      </c>
      <c r="AB2844" s="13" t="n"/>
      <c r="AC2844" s="15">
        <f>IF($B2844="","",IF($AB2844&lt;&gt;"",$AB2844,IF($AA2844="","",IF($AA2844&lt;=設定!$C$3,0,$AA2844))))</f>
        <v/>
      </c>
      <c r="AD2844" s="14">
        <f>IF($B2844="","",IF(AND($AE2844&lt;&gt;"",$AG2844="",$AJ2844=""),"保留中",IF($AJ2844&lt;&gt;"",IF(N($AC2844)&gt;0,"支給済","不支給"),IF($AC2844="","要確認",IF($AC2844=0,"不支給","未処理")))))</f>
        <v/>
      </c>
      <c r="AE2844" s="12" t="n"/>
      <c r="AF2844" s="11" t="n"/>
      <c r="AG2844" s="11" t="n"/>
      <c r="AH2844" s="11" t="n"/>
      <c r="AI2844" s="14">
        <f>IF(AND($AD2844="保留中",$AF2844&lt;&gt;""),TODAY()-$AF2844,"")</f>
        <v/>
      </c>
      <c r="AJ2844" s="12" t="n"/>
      <c r="AK2844" s="14">
        <f>IF($B2844="","",IF($AO2844="","対象年月が未入力／","")&amp;IF($B2844="","",IF($AN2844="","職員マスタに未登録の職員番号／",IF($Y2844="","標準報酬月額が未登録／","")&amp;IF(AND($AO2844&lt;&gt;"",OR(AND(INDEX(職員マスタ!$G$6:$G$405,$AN2844)&lt;&gt;"",INDEX(職員マスタ!$G$6:$G$405,$AN2844)&gt;EOMONTH($AO2844,0)),AND(INDEX(職員マスタ!$H$6:$H$405,$AN2844)&lt;&gt;"",INDEX(職員マスタ!$H$6:$H$405,$AN2844)&lt;$AO2844))),"対象月が時短期間外／","")&amp;IF(AND(INDEX(職員マスタ!$F$6:$F$405,$AN2844)&lt;&gt;"",$AO2844&lt;&gt;"",INDEX(職員マスタ!$F$6:$F$405,$AN2844)&lt;$AO2844),"対象月に子が2歳到達済／","")&amp;IF(AND($H2844&lt;&gt;"",INDEX(職員マスタ!$B$6:$B$405,$AN2844)&lt;&gt;"",SUBSTITUTE(SUBSTITUTE($H2844," ","")," ","")&lt;&gt;SUBSTITUTE(SUBSTITUTE(INDEX(職員マスタ!$B$6:$B$405,$AN2844)," ","")," ","")),"氏名がマスタと相違／","")&amp;IF(AND($Q2844&lt;&gt;"",INDEX(職員マスタ!$E$6:$E$405,$AN2844)&lt;&gt;"",$Q2844&lt;&gt;INDEX(職員マスタ!$E$6:$E$405,$AN2844)),"子の生年月日がマスタと相違／","")&amp;IF(AND($L2844&lt;&gt;"",INDEX(職員マスタ!$G$6:$G$405,$AN2844)&lt;&gt;"",$L2844&lt;&gt;INDEX(職員マスタ!$G$6:$G$405,$AN2844)),"時短開始日がマスタと相違／","")&amp;IF(AND($M2844&lt;&gt;"",INDEX(職員マスタ!$H$6:$H$405,$AN2844)&lt;&gt;"",$M2844&lt;&gt;INDEX(職員マスタ!$H$6:$H$405,$AN2844)),"時短終了日がマスタと相違／","")))&amp;IF(AND($B2844&lt;&gt;"",$E2844=""),"報酬額が未入力／","")&amp;IF(N($U2844)&gt;0,"申請書に入力エラーが残っています／","")&amp;IF(AND($B2844&lt;&gt;"",$AO2844&lt;&gt;""),IF(COUNTIFS($B$6:$B$3005,$B2844,$C$6:$C$3005,$C2844,$D$6:$D$3005,$D2844)&gt;1,"同じ月の請求が重複しています／",""),"")&amp;IF(AND(N($E2844)&gt;0,$Z2844&lt;&gt;"",$Z2844&lt;&gt;"×",$AC2844=0,$AB2844=""),"計算額が下限以下のため不支給／",""))</f>
        <v/>
      </c>
      <c r="AL2844" s="12" t="n"/>
      <c r="AM2844" s="14">
        <f>IF($AD2844="保留中",COUNTIF($AD$6:$AD2844,"保留中"),"")</f>
        <v/>
      </c>
      <c r="AN2844" s="14">
        <f>IF($AO2844="","",IF(SUMPRODUCT(MAX((職員マスタ!$A$6:$A$405=$B2844)*(((職員マスタ!$G$6:$G$405="")+(職員マスタ!$G$6:$G$405&lt;=EOMONTH($AO2844,0)))&gt;0)*(((職員マスタ!$H$6:$H$405="")+(職員マスタ!$H$6:$H$405&gt;=$AO2844))&gt;0)*(ROW(職員マスタ!$A$6:$A$405)-5)))&gt;0,SUMPRODUCT(MAX((職員マスタ!$A$6:$A$405=$B2844)*(((職員マスタ!$G$6:$G$405="")+(職員マスタ!$G$6:$G$405&lt;=EOMONTH($AO2844,0)))&gt;0)*(((職員マスタ!$H$6:$H$405="")+(職員マスタ!$H$6:$H$405&gt;=$AO2844))&gt;0)*(ROW(職員マスタ!$A$6:$A$405)-5))),IFERROR(MATCH($B2844,職員マスタ!$A$6:$A$405,0),"")))</f>
        <v/>
      </c>
      <c r="AO2844" s="16">
        <f>IF(OR($B2844="",$C2844="",$D2844=""),"",DATE($C2844+2018,$D2844,1))</f>
        <v/>
      </c>
    </row>
    <row r="2845">
      <c r="A2845" s="11" t="n"/>
      <c r="B2845" s="12" t="n"/>
      <c r="C2845" s="12" t="n"/>
      <c r="D2845" s="12" t="n"/>
      <c r="E2845" s="13" t="n"/>
      <c r="F2845" s="12" t="n"/>
      <c r="G2845" s="13" t="n"/>
      <c r="H2845" s="12" t="n"/>
      <c r="I2845" s="12" t="n"/>
      <c r="J2845" s="12" t="n"/>
      <c r="K2845" s="12" t="n"/>
      <c r="L2845" s="11" t="n"/>
      <c r="M2845" s="11" t="n"/>
      <c r="N2845" s="11" t="n"/>
      <c r="O2845" s="11" t="n"/>
      <c r="P2845" s="12" t="n"/>
      <c r="Q2845" s="11" t="n"/>
      <c r="R2845" s="12" t="n"/>
      <c r="S2845" s="11" t="n"/>
      <c r="T2845" s="12" t="n"/>
      <c r="U2845" s="12" t="n"/>
      <c r="V2845" s="14">
        <f>IF($AN2845="",IF($B2845="","",$H2845),IF(INDEX(職員マスタ!$B$6:$B$405,$AN2845)="",$H2845,INDEX(職員マスタ!$B$6:$B$405,$AN2845)))</f>
        <v/>
      </c>
      <c r="W2845" s="14">
        <f>IF($AN2845="",IF($B2845="","",$R2845),IF(INDEX(職員マスタ!$C$6:$C$405,$AN2845)="",$R2845,INDEX(職員マスタ!$C$6:$C$405,$AN2845)))</f>
        <v/>
      </c>
      <c r="X2845" s="14">
        <f>IF($AO2845="","","R"&amp;$C2845&amp;"."&amp;$D2845)</f>
        <v/>
      </c>
      <c r="Y2845" s="15">
        <f>IF($AN2845="","",IF(INDEX(職員マスタ!$K$6:$K$405,$AN2845)="","",INDEX(職員マスタ!$K$6:$K$405,$AN2845)))</f>
        <v/>
      </c>
      <c r="Z2845" s="14">
        <f>IF(OR($E2845="",$Y2845=""),"",IF($E2845&gt;=$Y2845,"×",IF($E2845&gt;=$Y2845*設定!$C$5,"△","○")))</f>
        <v/>
      </c>
      <c r="AA2845" s="15">
        <f>IF($Z2845="","",IF($Z2845="×",0,IF($Z2845="○",ROUNDDOWN($E2845*設定!$C$4,0),ROUNDDOWN($E2845*ROUND((9*$Y2845-9*$E2845)/(10*$E2845),4),0))))</f>
        <v/>
      </c>
      <c r="AB2845" s="13" t="n"/>
      <c r="AC2845" s="15">
        <f>IF($B2845="","",IF($AB2845&lt;&gt;"",$AB2845,IF($AA2845="","",IF($AA2845&lt;=設定!$C$3,0,$AA2845))))</f>
        <v/>
      </c>
      <c r="AD2845" s="14">
        <f>IF($B2845="","",IF(AND($AE2845&lt;&gt;"",$AG2845="",$AJ2845=""),"保留中",IF($AJ2845&lt;&gt;"",IF(N($AC2845)&gt;0,"支給済","不支給"),IF($AC2845="","要確認",IF($AC2845=0,"不支給","未処理")))))</f>
        <v/>
      </c>
      <c r="AE2845" s="12" t="n"/>
      <c r="AF2845" s="11" t="n"/>
      <c r="AG2845" s="11" t="n"/>
      <c r="AH2845" s="11" t="n"/>
      <c r="AI2845" s="14">
        <f>IF(AND($AD2845="保留中",$AF2845&lt;&gt;""),TODAY()-$AF2845,"")</f>
        <v/>
      </c>
      <c r="AJ2845" s="12" t="n"/>
      <c r="AK2845" s="14">
        <f>IF($B2845="","",IF($AO2845="","対象年月が未入力／","")&amp;IF($B2845="","",IF($AN2845="","職員マスタに未登録の職員番号／",IF($Y2845="","標準報酬月額が未登録／","")&amp;IF(AND($AO2845&lt;&gt;"",OR(AND(INDEX(職員マスタ!$G$6:$G$405,$AN2845)&lt;&gt;"",INDEX(職員マスタ!$G$6:$G$405,$AN2845)&gt;EOMONTH($AO2845,0)),AND(INDEX(職員マスタ!$H$6:$H$405,$AN2845)&lt;&gt;"",INDEX(職員マスタ!$H$6:$H$405,$AN2845)&lt;$AO2845))),"対象月が時短期間外／","")&amp;IF(AND(INDEX(職員マスタ!$F$6:$F$405,$AN2845)&lt;&gt;"",$AO2845&lt;&gt;"",INDEX(職員マスタ!$F$6:$F$405,$AN2845)&lt;$AO2845),"対象月に子が2歳到達済／","")&amp;IF(AND($H2845&lt;&gt;"",INDEX(職員マスタ!$B$6:$B$405,$AN2845)&lt;&gt;"",SUBSTITUTE(SUBSTITUTE($H2845," ","")," ","")&lt;&gt;SUBSTITUTE(SUBSTITUTE(INDEX(職員マスタ!$B$6:$B$405,$AN2845)," ","")," ","")),"氏名がマスタと相違／","")&amp;IF(AND($Q2845&lt;&gt;"",INDEX(職員マスタ!$E$6:$E$405,$AN2845)&lt;&gt;"",$Q2845&lt;&gt;INDEX(職員マスタ!$E$6:$E$405,$AN2845)),"子の生年月日がマスタと相違／","")&amp;IF(AND($L2845&lt;&gt;"",INDEX(職員マスタ!$G$6:$G$405,$AN2845)&lt;&gt;"",$L2845&lt;&gt;INDEX(職員マスタ!$G$6:$G$405,$AN2845)),"時短開始日がマスタと相違／","")&amp;IF(AND($M2845&lt;&gt;"",INDEX(職員マスタ!$H$6:$H$405,$AN2845)&lt;&gt;"",$M2845&lt;&gt;INDEX(職員マスタ!$H$6:$H$405,$AN2845)),"時短終了日がマスタと相違／","")))&amp;IF(AND($B2845&lt;&gt;"",$E2845=""),"報酬額が未入力／","")&amp;IF(N($U2845)&gt;0,"申請書に入力エラーが残っています／","")&amp;IF(AND($B2845&lt;&gt;"",$AO2845&lt;&gt;""),IF(COUNTIFS($B$6:$B$3005,$B2845,$C$6:$C$3005,$C2845,$D$6:$D$3005,$D2845)&gt;1,"同じ月の請求が重複しています／",""),"")&amp;IF(AND(N($E2845)&gt;0,$Z2845&lt;&gt;"",$Z2845&lt;&gt;"×",$AC2845=0,$AB2845=""),"計算額が下限以下のため不支給／",""))</f>
        <v/>
      </c>
      <c r="AL2845" s="12" t="n"/>
      <c r="AM2845" s="14">
        <f>IF($AD2845="保留中",COUNTIF($AD$6:$AD2845,"保留中"),"")</f>
        <v/>
      </c>
      <c r="AN2845" s="14">
        <f>IF($AO2845="","",IF(SUMPRODUCT(MAX((職員マスタ!$A$6:$A$405=$B2845)*(((職員マスタ!$G$6:$G$405="")+(職員マスタ!$G$6:$G$405&lt;=EOMONTH($AO2845,0)))&gt;0)*(((職員マスタ!$H$6:$H$405="")+(職員マスタ!$H$6:$H$405&gt;=$AO2845))&gt;0)*(ROW(職員マスタ!$A$6:$A$405)-5)))&gt;0,SUMPRODUCT(MAX((職員マスタ!$A$6:$A$405=$B2845)*(((職員マスタ!$G$6:$G$405="")+(職員マスタ!$G$6:$G$405&lt;=EOMONTH($AO2845,0)))&gt;0)*(((職員マスタ!$H$6:$H$405="")+(職員マスタ!$H$6:$H$405&gt;=$AO2845))&gt;0)*(ROW(職員マスタ!$A$6:$A$405)-5))),IFERROR(MATCH($B2845,職員マスタ!$A$6:$A$405,0),"")))</f>
        <v/>
      </c>
      <c r="AO2845" s="16">
        <f>IF(OR($B2845="",$C2845="",$D2845=""),"",DATE($C2845+2018,$D2845,1))</f>
        <v/>
      </c>
    </row>
    <row r="2846">
      <c r="A2846" s="11" t="n"/>
      <c r="B2846" s="12" t="n"/>
      <c r="C2846" s="12" t="n"/>
      <c r="D2846" s="12" t="n"/>
      <c r="E2846" s="13" t="n"/>
      <c r="F2846" s="12" t="n"/>
      <c r="G2846" s="13" t="n"/>
      <c r="H2846" s="12" t="n"/>
      <c r="I2846" s="12" t="n"/>
      <c r="J2846" s="12" t="n"/>
      <c r="K2846" s="12" t="n"/>
      <c r="L2846" s="11" t="n"/>
      <c r="M2846" s="11" t="n"/>
      <c r="N2846" s="11" t="n"/>
      <c r="O2846" s="11" t="n"/>
      <c r="P2846" s="12" t="n"/>
      <c r="Q2846" s="11" t="n"/>
      <c r="R2846" s="12" t="n"/>
      <c r="S2846" s="11" t="n"/>
      <c r="T2846" s="12" t="n"/>
      <c r="U2846" s="12" t="n"/>
      <c r="V2846" s="14">
        <f>IF($AN2846="",IF($B2846="","",$H2846),IF(INDEX(職員マスタ!$B$6:$B$405,$AN2846)="",$H2846,INDEX(職員マスタ!$B$6:$B$405,$AN2846)))</f>
        <v/>
      </c>
      <c r="W2846" s="14">
        <f>IF($AN2846="",IF($B2846="","",$R2846),IF(INDEX(職員マスタ!$C$6:$C$405,$AN2846)="",$R2846,INDEX(職員マスタ!$C$6:$C$405,$AN2846)))</f>
        <v/>
      </c>
      <c r="X2846" s="14">
        <f>IF($AO2846="","","R"&amp;$C2846&amp;"."&amp;$D2846)</f>
        <v/>
      </c>
      <c r="Y2846" s="15">
        <f>IF($AN2846="","",IF(INDEX(職員マスタ!$K$6:$K$405,$AN2846)="","",INDEX(職員マスタ!$K$6:$K$405,$AN2846)))</f>
        <v/>
      </c>
      <c r="Z2846" s="14">
        <f>IF(OR($E2846="",$Y2846=""),"",IF($E2846&gt;=$Y2846,"×",IF($E2846&gt;=$Y2846*設定!$C$5,"△","○")))</f>
        <v/>
      </c>
      <c r="AA2846" s="15">
        <f>IF($Z2846="","",IF($Z2846="×",0,IF($Z2846="○",ROUNDDOWN($E2846*設定!$C$4,0),ROUNDDOWN($E2846*ROUND((9*$Y2846-9*$E2846)/(10*$E2846),4),0))))</f>
        <v/>
      </c>
      <c r="AB2846" s="13" t="n"/>
      <c r="AC2846" s="15">
        <f>IF($B2846="","",IF($AB2846&lt;&gt;"",$AB2846,IF($AA2846="","",IF($AA2846&lt;=設定!$C$3,0,$AA2846))))</f>
        <v/>
      </c>
      <c r="AD2846" s="14">
        <f>IF($B2846="","",IF(AND($AE2846&lt;&gt;"",$AG2846="",$AJ2846=""),"保留中",IF($AJ2846&lt;&gt;"",IF(N($AC2846)&gt;0,"支給済","不支給"),IF($AC2846="","要確認",IF($AC2846=0,"不支給","未処理")))))</f>
        <v/>
      </c>
      <c r="AE2846" s="12" t="n"/>
      <c r="AF2846" s="11" t="n"/>
      <c r="AG2846" s="11" t="n"/>
      <c r="AH2846" s="11" t="n"/>
      <c r="AI2846" s="14">
        <f>IF(AND($AD2846="保留中",$AF2846&lt;&gt;""),TODAY()-$AF2846,"")</f>
        <v/>
      </c>
      <c r="AJ2846" s="12" t="n"/>
      <c r="AK2846" s="14">
        <f>IF($B2846="","",IF($AO2846="","対象年月が未入力／","")&amp;IF($B2846="","",IF($AN2846="","職員マスタに未登録の職員番号／",IF($Y2846="","標準報酬月額が未登録／","")&amp;IF(AND($AO2846&lt;&gt;"",OR(AND(INDEX(職員マスタ!$G$6:$G$405,$AN2846)&lt;&gt;"",INDEX(職員マスタ!$G$6:$G$405,$AN2846)&gt;EOMONTH($AO2846,0)),AND(INDEX(職員マスタ!$H$6:$H$405,$AN2846)&lt;&gt;"",INDEX(職員マスタ!$H$6:$H$405,$AN2846)&lt;$AO2846))),"対象月が時短期間外／","")&amp;IF(AND(INDEX(職員マスタ!$F$6:$F$405,$AN2846)&lt;&gt;"",$AO2846&lt;&gt;"",INDEX(職員マスタ!$F$6:$F$405,$AN2846)&lt;$AO2846),"対象月に子が2歳到達済／","")&amp;IF(AND($H2846&lt;&gt;"",INDEX(職員マスタ!$B$6:$B$405,$AN2846)&lt;&gt;"",SUBSTITUTE(SUBSTITUTE($H2846," ","")," ","")&lt;&gt;SUBSTITUTE(SUBSTITUTE(INDEX(職員マスタ!$B$6:$B$405,$AN2846)," ","")," ","")),"氏名がマスタと相違／","")&amp;IF(AND($Q2846&lt;&gt;"",INDEX(職員マスタ!$E$6:$E$405,$AN2846)&lt;&gt;"",$Q2846&lt;&gt;INDEX(職員マスタ!$E$6:$E$405,$AN2846)),"子の生年月日がマスタと相違／","")&amp;IF(AND($L2846&lt;&gt;"",INDEX(職員マスタ!$G$6:$G$405,$AN2846)&lt;&gt;"",$L2846&lt;&gt;INDEX(職員マスタ!$G$6:$G$405,$AN2846)),"時短開始日がマスタと相違／","")&amp;IF(AND($M2846&lt;&gt;"",INDEX(職員マスタ!$H$6:$H$405,$AN2846)&lt;&gt;"",$M2846&lt;&gt;INDEX(職員マスタ!$H$6:$H$405,$AN2846)),"時短終了日がマスタと相違／","")))&amp;IF(AND($B2846&lt;&gt;"",$E2846=""),"報酬額が未入力／","")&amp;IF(N($U2846)&gt;0,"申請書に入力エラーが残っています／","")&amp;IF(AND($B2846&lt;&gt;"",$AO2846&lt;&gt;""),IF(COUNTIFS($B$6:$B$3005,$B2846,$C$6:$C$3005,$C2846,$D$6:$D$3005,$D2846)&gt;1,"同じ月の請求が重複しています／",""),"")&amp;IF(AND(N($E2846)&gt;0,$Z2846&lt;&gt;"",$Z2846&lt;&gt;"×",$AC2846=0,$AB2846=""),"計算額が下限以下のため不支給／",""))</f>
        <v/>
      </c>
      <c r="AL2846" s="12" t="n"/>
      <c r="AM2846" s="14">
        <f>IF($AD2846="保留中",COUNTIF($AD$6:$AD2846,"保留中"),"")</f>
        <v/>
      </c>
      <c r="AN2846" s="14">
        <f>IF($AO2846="","",IF(SUMPRODUCT(MAX((職員マスタ!$A$6:$A$405=$B2846)*(((職員マスタ!$G$6:$G$405="")+(職員マスタ!$G$6:$G$405&lt;=EOMONTH($AO2846,0)))&gt;0)*(((職員マスタ!$H$6:$H$405="")+(職員マスタ!$H$6:$H$405&gt;=$AO2846))&gt;0)*(ROW(職員マスタ!$A$6:$A$405)-5)))&gt;0,SUMPRODUCT(MAX((職員マスタ!$A$6:$A$405=$B2846)*(((職員マスタ!$G$6:$G$405="")+(職員マスタ!$G$6:$G$405&lt;=EOMONTH($AO2846,0)))&gt;0)*(((職員マスタ!$H$6:$H$405="")+(職員マスタ!$H$6:$H$405&gt;=$AO2846))&gt;0)*(ROW(職員マスタ!$A$6:$A$405)-5))),IFERROR(MATCH($B2846,職員マスタ!$A$6:$A$405,0),"")))</f>
        <v/>
      </c>
      <c r="AO2846" s="16">
        <f>IF(OR($B2846="",$C2846="",$D2846=""),"",DATE($C2846+2018,$D2846,1))</f>
        <v/>
      </c>
    </row>
    <row r="2847">
      <c r="A2847" s="11" t="n"/>
      <c r="B2847" s="12" t="n"/>
      <c r="C2847" s="12" t="n"/>
      <c r="D2847" s="12" t="n"/>
      <c r="E2847" s="13" t="n"/>
      <c r="F2847" s="12" t="n"/>
      <c r="G2847" s="13" t="n"/>
      <c r="H2847" s="12" t="n"/>
      <c r="I2847" s="12" t="n"/>
      <c r="J2847" s="12" t="n"/>
      <c r="K2847" s="12" t="n"/>
      <c r="L2847" s="11" t="n"/>
      <c r="M2847" s="11" t="n"/>
      <c r="N2847" s="11" t="n"/>
      <c r="O2847" s="11" t="n"/>
      <c r="P2847" s="12" t="n"/>
      <c r="Q2847" s="11" t="n"/>
      <c r="R2847" s="12" t="n"/>
      <c r="S2847" s="11" t="n"/>
      <c r="T2847" s="12" t="n"/>
      <c r="U2847" s="12" t="n"/>
      <c r="V2847" s="14">
        <f>IF($AN2847="",IF($B2847="","",$H2847),IF(INDEX(職員マスタ!$B$6:$B$405,$AN2847)="",$H2847,INDEX(職員マスタ!$B$6:$B$405,$AN2847)))</f>
        <v/>
      </c>
      <c r="W2847" s="14">
        <f>IF($AN2847="",IF($B2847="","",$R2847),IF(INDEX(職員マスタ!$C$6:$C$405,$AN2847)="",$R2847,INDEX(職員マスタ!$C$6:$C$405,$AN2847)))</f>
        <v/>
      </c>
      <c r="X2847" s="14">
        <f>IF($AO2847="","","R"&amp;$C2847&amp;"."&amp;$D2847)</f>
        <v/>
      </c>
      <c r="Y2847" s="15">
        <f>IF($AN2847="","",IF(INDEX(職員マスタ!$K$6:$K$405,$AN2847)="","",INDEX(職員マスタ!$K$6:$K$405,$AN2847)))</f>
        <v/>
      </c>
      <c r="Z2847" s="14">
        <f>IF(OR($E2847="",$Y2847=""),"",IF($E2847&gt;=$Y2847,"×",IF($E2847&gt;=$Y2847*設定!$C$5,"△","○")))</f>
        <v/>
      </c>
      <c r="AA2847" s="15">
        <f>IF($Z2847="","",IF($Z2847="×",0,IF($Z2847="○",ROUNDDOWN($E2847*設定!$C$4,0),ROUNDDOWN($E2847*ROUND((9*$Y2847-9*$E2847)/(10*$E2847),4),0))))</f>
        <v/>
      </c>
      <c r="AB2847" s="13" t="n"/>
      <c r="AC2847" s="15">
        <f>IF($B2847="","",IF($AB2847&lt;&gt;"",$AB2847,IF($AA2847="","",IF($AA2847&lt;=設定!$C$3,0,$AA2847))))</f>
        <v/>
      </c>
      <c r="AD2847" s="14">
        <f>IF($B2847="","",IF(AND($AE2847&lt;&gt;"",$AG2847="",$AJ2847=""),"保留中",IF($AJ2847&lt;&gt;"",IF(N($AC2847)&gt;0,"支給済","不支給"),IF($AC2847="","要確認",IF($AC2847=0,"不支給","未処理")))))</f>
        <v/>
      </c>
      <c r="AE2847" s="12" t="n"/>
      <c r="AF2847" s="11" t="n"/>
      <c r="AG2847" s="11" t="n"/>
      <c r="AH2847" s="11" t="n"/>
      <c r="AI2847" s="14">
        <f>IF(AND($AD2847="保留中",$AF2847&lt;&gt;""),TODAY()-$AF2847,"")</f>
        <v/>
      </c>
      <c r="AJ2847" s="12" t="n"/>
      <c r="AK2847" s="14">
        <f>IF($B2847="","",IF($AO2847="","対象年月が未入力／","")&amp;IF($B2847="","",IF($AN2847="","職員マスタに未登録の職員番号／",IF($Y2847="","標準報酬月額が未登録／","")&amp;IF(AND($AO2847&lt;&gt;"",OR(AND(INDEX(職員マスタ!$G$6:$G$405,$AN2847)&lt;&gt;"",INDEX(職員マスタ!$G$6:$G$405,$AN2847)&gt;EOMONTH($AO2847,0)),AND(INDEX(職員マスタ!$H$6:$H$405,$AN2847)&lt;&gt;"",INDEX(職員マスタ!$H$6:$H$405,$AN2847)&lt;$AO2847))),"対象月が時短期間外／","")&amp;IF(AND(INDEX(職員マスタ!$F$6:$F$405,$AN2847)&lt;&gt;"",$AO2847&lt;&gt;"",INDEX(職員マスタ!$F$6:$F$405,$AN2847)&lt;$AO2847),"対象月に子が2歳到達済／","")&amp;IF(AND($H2847&lt;&gt;"",INDEX(職員マスタ!$B$6:$B$405,$AN2847)&lt;&gt;"",SUBSTITUTE(SUBSTITUTE($H2847," ","")," ","")&lt;&gt;SUBSTITUTE(SUBSTITUTE(INDEX(職員マスタ!$B$6:$B$405,$AN2847)," ","")," ","")),"氏名がマスタと相違／","")&amp;IF(AND($Q2847&lt;&gt;"",INDEX(職員マスタ!$E$6:$E$405,$AN2847)&lt;&gt;"",$Q2847&lt;&gt;INDEX(職員マスタ!$E$6:$E$405,$AN2847)),"子の生年月日がマスタと相違／","")&amp;IF(AND($L2847&lt;&gt;"",INDEX(職員マスタ!$G$6:$G$405,$AN2847)&lt;&gt;"",$L2847&lt;&gt;INDEX(職員マスタ!$G$6:$G$405,$AN2847)),"時短開始日がマスタと相違／","")&amp;IF(AND($M2847&lt;&gt;"",INDEX(職員マスタ!$H$6:$H$405,$AN2847)&lt;&gt;"",$M2847&lt;&gt;INDEX(職員マスタ!$H$6:$H$405,$AN2847)),"時短終了日がマスタと相違／","")))&amp;IF(AND($B2847&lt;&gt;"",$E2847=""),"報酬額が未入力／","")&amp;IF(N($U2847)&gt;0,"申請書に入力エラーが残っています／","")&amp;IF(AND($B2847&lt;&gt;"",$AO2847&lt;&gt;""),IF(COUNTIFS($B$6:$B$3005,$B2847,$C$6:$C$3005,$C2847,$D$6:$D$3005,$D2847)&gt;1,"同じ月の請求が重複しています／",""),"")&amp;IF(AND(N($E2847)&gt;0,$Z2847&lt;&gt;"",$Z2847&lt;&gt;"×",$AC2847=0,$AB2847=""),"計算額が下限以下のため不支給／",""))</f>
        <v/>
      </c>
      <c r="AL2847" s="12" t="n"/>
      <c r="AM2847" s="14">
        <f>IF($AD2847="保留中",COUNTIF($AD$6:$AD2847,"保留中"),"")</f>
        <v/>
      </c>
      <c r="AN2847" s="14">
        <f>IF($AO2847="","",IF(SUMPRODUCT(MAX((職員マスタ!$A$6:$A$405=$B2847)*(((職員マスタ!$G$6:$G$405="")+(職員マスタ!$G$6:$G$405&lt;=EOMONTH($AO2847,0)))&gt;0)*(((職員マスタ!$H$6:$H$405="")+(職員マスタ!$H$6:$H$405&gt;=$AO2847))&gt;0)*(ROW(職員マスタ!$A$6:$A$405)-5)))&gt;0,SUMPRODUCT(MAX((職員マスタ!$A$6:$A$405=$B2847)*(((職員マスタ!$G$6:$G$405="")+(職員マスタ!$G$6:$G$405&lt;=EOMONTH($AO2847,0)))&gt;0)*(((職員マスタ!$H$6:$H$405="")+(職員マスタ!$H$6:$H$405&gt;=$AO2847))&gt;0)*(ROW(職員マスタ!$A$6:$A$405)-5))),IFERROR(MATCH($B2847,職員マスタ!$A$6:$A$405,0),"")))</f>
        <v/>
      </c>
      <c r="AO2847" s="16">
        <f>IF(OR($B2847="",$C2847="",$D2847=""),"",DATE($C2847+2018,$D2847,1))</f>
        <v/>
      </c>
    </row>
    <row r="2848">
      <c r="A2848" s="11" t="n"/>
      <c r="B2848" s="12" t="n"/>
      <c r="C2848" s="12" t="n"/>
      <c r="D2848" s="12" t="n"/>
      <c r="E2848" s="13" t="n"/>
      <c r="F2848" s="12" t="n"/>
      <c r="G2848" s="13" t="n"/>
      <c r="H2848" s="12" t="n"/>
      <c r="I2848" s="12" t="n"/>
      <c r="J2848" s="12" t="n"/>
      <c r="K2848" s="12" t="n"/>
      <c r="L2848" s="11" t="n"/>
      <c r="M2848" s="11" t="n"/>
      <c r="N2848" s="11" t="n"/>
      <c r="O2848" s="11" t="n"/>
      <c r="P2848" s="12" t="n"/>
      <c r="Q2848" s="11" t="n"/>
      <c r="R2848" s="12" t="n"/>
      <c r="S2848" s="11" t="n"/>
      <c r="T2848" s="12" t="n"/>
      <c r="U2848" s="12" t="n"/>
      <c r="V2848" s="14">
        <f>IF($AN2848="",IF($B2848="","",$H2848),IF(INDEX(職員マスタ!$B$6:$B$405,$AN2848)="",$H2848,INDEX(職員マスタ!$B$6:$B$405,$AN2848)))</f>
        <v/>
      </c>
      <c r="W2848" s="14">
        <f>IF($AN2848="",IF($B2848="","",$R2848),IF(INDEX(職員マスタ!$C$6:$C$405,$AN2848)="",$R2848,INDEX(職員マスタ!$C$6:$C$405,$AN2848)))</f>
        <v/>
      </c>
      <c r="X2848" s="14">
        <f>IF($AO2848="","","R"&amp;$C2848&amp;"."&amp;$D2848)</f>
        <v/>
      </c>
      <c r="Y2848" s="15">
        <f>IF($AN2848="","",IF(INDEX(職員マスタ!$K$6:$K$405,$AN2848)="","",INDEX(職員マスタ!$K$6:$K$405,$AN2848)))</f>
        <v/>
      </c>
      <c r="Z2848" s="14">
        <f>IF(OR($E2848="",$Y2848=""),"",IF($E2848&gt;=$Y2848,"×",IF($E2848&gt;=$Y2848*設定!$C$5,"△","○")))</f>
        <v/>
      </c>
      <c r="AA2848" s="15">
        <f>IF($Z2848="","",IF($Z2848="×",0,IF($Z2848="○",ROUNDDOWN($E2848*設定!$C$4,0),ROUNDDOWN($E2848*ROUND((9*$Y2848-9*$E2848)/(10*$E2848),4),0))))</f>
        <v/>
      </c>
      <c r="AB2848" s="13" t="n"/>
      <c r="AC2848" s="15">
        <f>IF($B2848="","",IF($AB2848&lt;&gt;"",$AB2848,IF($AA2848="","",IF($AA2848&lt;=設定!$C$3,0,$AA2848))))</f>
        <v/>
      </c>
      <c r="AD2848" s="14">
        <f>IF($B2848="","",IF(AND($AE2848&lt;&gt;"",$AG2848="",$AJ2848=""),"保留中",IF($AJ2848&lt;&gt;"",IF(N($AC2848)&gt;0,"支給済","不支給"),IF($AC2848="","要確認",IF($AC2848=0,"不支給","未処理")))))</f>
        <v/>
      </c>
      <c r="AE2848" s="12" t="n"/>
      <c r="AF2848" s="11" t="n"/>
      <c r="AG2848" s="11" t="n"/>
      <c r="AH2848" s="11" t="n"/>
      <c r="AI2848" s="14">
        <f>IF(AND($AD2848="保留中",$AF2848&lt;&gt;""),TODAY()-$AF2848,"")</f>
        <v/>
      </c>
      <c r="AJ2848" s="12" t="n"/>
      <c r="AK2848" s="14">
        <f>IF($B2848="","",IF($AO2848="","対象年月が未入力／","")&amp;IF($B2848="","",IF($AN2848="","職員マスタに未登録の職員番号／",IF($Y2848="","標準報酬月額が未登録／","")&amp;IF(AND($AO2848&lt;&gt;"",OR(AND(INDEX(職員マスタ!$G$6:$G$405,$AN2848)&lt;&gt;"",INDEX(職員マスタ!$G$6:$G$405,$AN2848)&gt;EOMONTH($AO2848,0)),AND(INDEX(職員マスタ!$H$6:$H$405,$AN2848)&lt;&gt;"",INDEX(職員マスタ!$H$6:$H$405,$AN2848)&lt;$AO2848))),"対象月が時短期間外／","")&amp;IF(AND(INDEX(職員マスタ!$F$6:$F$405,$AN2848)&lt;&gt;"",$AO2848&lt;&gt;"",INDEX(職員マスタ!$F$6:$F$405,$AN2848)&lt;$AO2848),"対象月に子が2歳到達済／","")&amp;IF(AND($H2848&lt;&gt;"",INDEX(職員マスタ!$B$6:$B$405,$AN2848)&lt;&gt;"",SUBSTITUTE(SUBSTITUTE($H2848," ","")," ","")&lt;&gt;SUBSTITUTE(SUBSTITUTE(INDEX(職員マスタ!$B$6:$B$405,$AN2848)," ","")," ","")),"氏名がマスタと相違／","")&amp;IF(AND($Q2848&lt;&gt;"",INDEX(職員マスタ!$E$6:$E$405,$AN2848)&lt;&gt;"",$Q2848&lt;&gt;INDEX(職員マスタ!$E$6:$E$405,$AN2848)),"子の生年月日がマスタと相違／","")&amp;IF(AND($L2848&lt;&gt;"",INDEX(職員マスタ!$G$6:$G$405,$AN2848)&lt;&gt;"",$L2848&lt;&gt;INDEX(職員マスタ!$G$6:$G$405,$AN2848)),"時短開始日がマスタと相違／","")&amp;IF(AND($M2848&lt;&gt;"",INDEX(職員マスタ!$H$6:$H$405,$AN2848)&lt;&gt;"",$M2848&lt;&gt;INDEX(職員マスタ!$H$6:$H$405,$AN2848)),"時短終了日がマスタと相違／","")))&amp;IF(AND($B2848&lt;&gt;"",$E2848=""),"報酬額が未入力／","")&amp;IF(N($U2848)&gt;0,"申請書に入力エラーが残っています／","")&amp;IF(AND($B2848&lt;&gt;"",$AO2848&lt;&gt;""),IF(COUNTIFS($B$6:$B$3005,$B2848,$C$6:$C$3005,$C2848,$D$6:$D$3005,$D2848)&gt;1,"同じ月の請求が重複しています／",""),"")&amp;IF(AND(N($E2848)&gt;0,$Z2848&lt;&gt;"",$Z2848&lt;&gt;"×",$AC2848=0,$AB2848=""),"計算額が下限以下のため不支給／",""))</f>
        <v/>
      </c>
      <c r="AL2848" s="12" t="n"/>
      <c r="AM2848" s="14">
        <f>IF($AD2848="保留中",COUNTIF($AD$6:$AD2848,"保留中"),"")</f>
        <v/>
      </c>
      <c r="AN2848" s="14">
        <f>IF($AO2848="","",IF(SUMPRODUCT(MAX((職員マスタ!$A$6:$A$405=$B2848)*(((職員マスタ!$G$6:$G$405="")+(職員マスタ!$G$6:$G$405&lt;=EOMONTH($AO2848,0)))&gt;0)*(((職員マスタ!$H$6:$H$405="")+(職員マスタ!$H$6:$H$405&gt;=$AO2848))&gt;0)*(ROW(職員マスタ!$A$6:$A$405)-5)))&gt;0,SUMPRODUCT(MAX((職員マスタ!$A$6:$A$405=$B2848)*(((職員マスタ!$G$6:$G$405="")+(職員マスタ!$G$6:$G$405&lt;=EOMONTH($AO2848,0)))&gt;0)*(((職員マスタ!$H$6:$H$405="")+(職員マスタ!$H$6:$H$405&gt;=$AO2848))&gt;0)*(ROW(職員マスタ!$A$6:$A$405)-5))),IFERROR(MATCH($B2848,職員マスタ!$A$6:$A$405,0),"")))</f>
        <v/>
      </c>
      <c r="AO2848" s="16">
        <f>IF(OR($B2848="",$C2848="",$D2848=""),"",DATE($C2848+2018,$D2848,1))</f>
        <v/>
      </c>
    </row>
    <row r="2849">
      <c r="A2849" s="11" t="n"/>
      <c r="B2849" s="12" t="n"/>
      <c r="C2849" s="12" t="n"/>
      <c r="D2849" s="12" t="n"/>
      <c r="E2849" s="13" t="n"/>
      <c r="F2849" s="12" t="n"/>
      <c r="G2849" s="13" t="n"/>
      <c r="H2849" s="12" t="n"/>
      <c r="I2849" s="12" t="n"/>
      <c r="J2849" s="12" t="n"/>
      <c r="K2849" s="12" t="n"/>
      <c r="L2849" s="11" t="n"/>
      <c r="M2849" s="11" t="n"/>
      <c r="N2849" s="11" t="n"/>
      <c r="O2849" s="11" t="n"/>
      <c r="P2849" s="12" t="n"/>
      <c r="Q2849" s="11" t="n"/>
      <c r="R2849" s="12" t="n"/>
      <c r="S2849" s="11" t="n"/>
      <c r="T2849" s="12" t="n"/>
      <c r="U2849" s="12" t="n"/>
      <c r="V2849" s="14">
        <f>IF($AN2849="",IF($B2849="","",$H2849),IF(INDEX(職員マスタ!$B$6:$B$405,$AN2849)="",$H2849,INDEX(職員マスタ!$B$6:$B$405,$AN2849)))</f>
        <v/>
      </c>
      <c r="W2849" s="14">
        <f>IF($AN2849="",IF($B2849="","",$R2849),IF(INDEX(職員マスタ!$C$6:$C$405,$AN2849)="",$R2849,INDEX(職員マスタ!$C$6:$C$405,$AN2849)))</f>
        <v/>
      </c>
      <c r="X2849" s="14">
        <f>IF($AO2849="","","R"&amp;$C2849&amp;"."&amp;$D2849)</f>
        <v/>
      </c>
      <c r="Y2849" s="15">
        <f>IF($AN2849="","",IF(INDEX(職員マスタ!$K$6:$K$405,$AN2849)="","",INDEX(職員マスタ!$K$6:$K$405,$AN2849)))</f>
        <v/>
      </c>
      <c r="Z2849" s="14">
        <f>IF(OR($E2849="",$Y2849=""),"",IF($E2849&gt;=$Y2849,"×",IF($E2849&gt;=$Y2849*設定!$C$5,"△","○")))</f>
        <v/>
      </c>
      <c r="AA2849" s="15">
        <f>IF($Z2849="","",IF($Z2849="×",0,IF($Z2849="○",ROUNDDOWN($E2849*設定!$C$4,0),ROUNDDOWN($E2849*ROUND((9*$Y2849-9*$E2849)/(10*$E2849),4),0))))</f>
        <v/>
      </c>
      <c r="AB2849" s="13" t="n"/>
      <c r="AC2849" s="15">
        <f>IF($B2849="","",IF($AB2849&lt;&gt;"",$AB2849,IF($AA2849="","",IF($AA2849&lt;=設定!$C$3,0,$AA2849))))</f>
        <v/>
      </c>
      <c r="AD2849" s="14">
        <f>IF($B2849="","",IF(AND($AE2849&lt;&gt;"",$AG2849="",$AJ2849=""),"保留中",IF($AJ2849&lt;&gt;"",IF(N($AC2849)&gt;0,"支給済","不支給"),IF($AC2849="","要確認",IF($AC2849=0,"不支給","未処理")))))</f>
        <v/>
      </c>
      <c r="AE2849" s="12" t="n"/>
      <c r="AF2849" s="11" t="n"/>
      <c r="AG2849" s="11" t="n"/>
      <c r="AH2849" s="11" t="n"/>
      <c r="AI2849" s="14">
        <f>IF(AND($AD2849="保留中",$AF2849&lt;&gt;""),TODAY()-$AF2849,"")</f>
        <v/>
      </c>
      <c r="AJ2849" s="12" t="n"/>
      <c r="AK2849" s="14">
        <f>IF($B2849="","",IF($AO2849="","対象年月が未入力／","")&amp;IF($B2849="","",IF($AN2849="","職員マスタに未登録の職員番号／",IF($Y2849="","標準報酬月額が未登録／","")&amp;IF(AND($AO2849&lt;&gt;"",OR(AND(INDEX(職員マスタ!$G$6:$G$405,$AN2849)&lt;&gt;"",INDEX(職員マスタ!$G$6:$G$405,$AN2849)&gt;EOMONTH($AO2849,0)),AND(INDEX(職員マスタ!$H$6:$H$405,$AN2849)&lt;&gt;"",INDEX(職員マスタ!$H$6:$H$405,$AN2849)&lt;$AO2849))),"対象月が時短期間外／","")&amp;IF(AND(INDEX(職員マスタ!$F$6:$F$405,$AN2849)&lt;&gt;"",$AO2849&lt;&gt;"",INDEX(職員マスタ!$F$6:$F$405,$AN2849)&lt;$AO2849),"対象月に子が2歳到達済／","")&amp;IF(AND($H2849&lt;&gt;"",INDEX(職員マスタ!$B$6:$B$405,$AN2849)&lt;&gt;"",SUBSTITUTE(SUBSTITUTE($H2849," ","")," ","")&lt;&gt;SUBSTITUTE(SUBSTITUTE(INDEX(職員マスタ!$B$6:$B$405,$AN2849)," ","")," ","")),"氏名がマスタと相違／","")&amp;IF(AND($Q2849&lt;&gt;"",INDEX(職員マスタ!$E$6:$E$405,$AN2849)&lt;&gt;"",$Q2849&lt;&gt;INDEX(職員マスタ!$E$6:$E$405,$AN2849)),"子の生年月日がマスタと相違／","")&amp;IF(AND($L2849&lt;&gt;"",INDEX(職員マスタ!$G$6:$G$405,$AN2849)&lt;&gt;"",$L2849&lt;&gt;INDEX(職員マスタ!$G$6:$G$405,$AN2849)),"時短開始日がマスタと相違／","")&amp;IF(AND($M2849&lt;&gt;"",INDEX(職員マスタ!$H$6:$H$405,$AN2849)&lt;&gt;"",$M2849&lt;&gt;INDEX(職員マスタ!$H$6:$H$405,$AN2849)),"時短終了日がマスタと相違／","")))&amp;IF(AND($B2849&lt;&gt;"",$E2849=""),"報酬額が未入力／","")&amp;IF(N($U2849)&gt;0,"申請書に入力エラーが残っています／","")&amp;IF(AND($B2849&lt;&gt;"",$AO2849&lt;&gt;""),IF(COUNTIFS($B$6:$B$3005,$B2849,$C$6:$C$3005,$C2849,$D$6:$D$3005,$D2849)&gt;1,"同じ月の請求が重複しています／",""),"")&amp;IF(AND(N($E2849)&gt;0,$Z2849&lt;&gt;"",$Z2849&lt;&gt;"×",$AC2849=0,$AB2849=""),"計算額が下限以下のため不支給／",""))</f>
        <v/>
      </c>
      <c r="AL2849" s="12" t="n"/>
      <c r="AM2849" s="14">
        <f>IF($AD2849="保留中",COUNTIF($AD$6:$AD2849,"保留中"),"")</f>
        <v/>
      </c>
      <c r="AN2849" s="14">
        <f>IF($AO2849="","",IF(SUMPRODUCT(MAX((職員マスタ!$A$6:$A$405=$B2849)*(((職員マスタ!$G$6:$G$405="")+(職員マスタ!$G$6:$G$405&lt;=EOMONTH($AO2849,0)))&gt;0)*(((職員マスタ!$H$6:$H$405="")+(職員マスタ!$H$6:$H$405&gt;=$AO2849))&gt;0)*(ROW(職員マスタ!$A$6:$A$405)-5)))&gt;0,SUMPRODUCT(MAX((職員マスタ!$A$6:$A$405=$B2849)*(((職員マスタ!$G$6:$G$405="")+(職員マスタ!$G$6:$G$405&lt;=EOMONTH($AO2849,0)))&gt;0)*(((職員マスタ!$H$6:$H$405="")+(職員マスタ!$H$6:$H$405&gt;=$AO2849))&gt;0)*(ROW(職員マスタ!$A$6:$A$405)-5))),IFERROR(MATCH($B2849,職員マスタ!$A$6:$A$405,0),"")))</f>
        <v/>
      </c>
      <c r="AO2849" s="16">
        <f>IF(OR($B2849="",$C2849="",$D2849=""),"",DATE($C2849+2018,$D2849,1))</f>
        <v/>
      </c>
    </row>
    <row r="2850">
      <c r="A2850" s="11" t="n"/>
      <c r="B2850" s="12" t="n"/>
      <c r="C2850" s="12" t="n"/>
      <c r="D2850" s="12" t="n"/>
      <c r="E2850" s="13" t="n"/>
      <c r="F2850" s="12" t="n"/>
      <c r="G2850" s="13" t="n"/>
      <c r="H2850" s="12" t="n"/>
      <c r="I2850" s="12" t="n"/>
      <c r="J2850" s="12" t="n"/>
      <c r="K2850" s="12" t="n"/>
      <c r="L2850" s="11" t="n"/>
      <c r="M2850" s="11" t="n"/>
      <c r="N2850" s="11" t="n"/>
      <c r="O2850" s="11" t="n"/>
      <c r="P2850" s="12" t="n"/>
      <c r="Q2850" s="11" t="n"/>
      <c r="R2850" s="12" t="n"/>
      <c r="S2850" s="11" t="n"/>
      <c r="T2850" s="12" t="n"/>
      <c r="U2850" s="12" t="n"/>
      <c r="V2850" s="14">
        <f>IF($AN2850="",IF($B2850="","",$H2850),IF(INDEX(職員マスタ!$B$6:$B$405,$AN2850)="",$H2850,INDEX(職員マスタ!$B$6:$B$405,$AN2850)))</f>
        <v/>
      </c>
      <c r="W2850" s="14">
        <f>IF($AN2850="",IF($B2850="","",$R2850),IF(INDEX(職員マスタ!$C$6:$C$405,$AN2850)="",$R2850,INDEX(職員マスタ!$C$6:$C$405,$AN2850)))</f>
        <v/>
      </c>
      <c r="X2850" s="14">
        <f>IF($AO2850="","","R"&amp;$C2850&amp;"."&amp;$D2850)</f>
        <v/>
      </c>
      <c r="Y2850" s="15">
        <f>IF($AN2850="","",IF(INDEX(職員マスタ!$K$6:$K$405,$AN2850)="","",INDEX(職員マスタ!$K$6:$K$405,$AN2850)))</f>
        <v/>
      </c>
      <c r="Z2850" s="14">
        <f>IF(OR($E2850="",$Y2850=""),"",IF($E2850&gt;=$Y2850,"×",IF($E2850&gt;=$Y2850*設定!$C$5,"△","○")))</f>
        <v/>
      </c>
      <c r="AA2850" s="15">
        <f>IF($Z2850="","",IF($Z2850="×",0,IF($Z2850="○",ROUNDDOWN($E2850*設定!$C$4,0),ROUNDDOWN($E2850*ROUND((9*$Y2850-9*$E2850)/(10*$E2850),4),0))))</f>
        <v/>
      </c>
      <c r="AB2850" s="13" t="n"/>
      <c r="AC2850" s="15">
        <f>IF($B2850="","",IF($AB2850&lt;&gt;"",$AB2850,IF($AA2850="","",IF($AA2850&lt;=設定!$C$3,0,$AA2850))))</f>
        <v/>
      </c>
      <c r="AD2850" s="14">
        <f>IF($B2850="","",IF(AND($AE2850&lt;&gt;"",$AG2850="",$AJ2850=""),"保留中",IF($AJ2850&lt;&gt;"",IF(N($AC2850)&gt;0,"支給済","不支給"),IF($AC2850="","要確認",IF($AC2850=0,"不支給","未処理")))))</f>
        <v/>
      </c>
      <c r="AE2850" s="12" t="n"/>
      <c r="AF2850" s="11" t="n"/>
      <c r="AG2850" s="11" t="n"/>
      <c r="AH2850" s="11" t="n"/>
      <c r="AI2850" s="14">
        <f>IF(AND($AD2850="保留中",$AF2850&lt;&gt;""),TODAY()-$AF2850,"")</f>
        <v/>
      </c>
      <c r="AJ2850" s="12" t="n"/>
      <c r="AK2850" s="14">
        <f>IF($B2850="","",IF($AO2850="","対象年月が未入力／","")&amp;IF($B2850="","",IF($AN2850="","職員マスタに未登録の職員番号／",IF($Y2850="","標準報酬月額が未登録／","")&amp;IF(AND($AO2850&lt;&gt;"",OR(AND(INDEX(職員マスタ!$G$6:$G$405,$AN2850)&lt;&gt;"",INDEX(職員マスタ!$G$6:$G$405,$AN2850)&gt;EOMONTH($AO2850,0)),AND(INDEX(職員マスタ!$H$6:$H$405,$AN2850)&lt;&gt;"",INDEX(職員マスタ!$H$6:$H$405,$AN2850)&lt;$AO2850))),"対象月が時短期間外／","")&amp;IF(AND(INDEX(職員マスタ!$F$6:$F$405,$AN2850)&lt;&gt;"",$AO2850&lt;&gt;"",INDEX(職員マスタ!$F$6:$F$405,$AN2850)&lt;$AO2850),"対象月に子が2歳到達済／","")&amp;IF(AND($H2850&lt;&gt;"",INDEX(職員マスタ!$B$6:$B$405,$AN2850)&lt;&gt;"",SUBSTITUTE(SUBSTITUTE($H2850," ","")," ","")&lt;&gt;SUBSTITUTE(SUBSTITUTE(INDEX(職員マスタ!$B$6:$B$405,$AN2850)," ","")," ","")),"氏名がマスタと相違／","")&amp;IF(AND($Q2850&lt;&gt;"",INDEX(職員マスタ!$E$6:$E$405,$AN2850)&lt;&gt;"",$Q2850&lt;&gt;INDEX(職員マスタ!$E$6:$E$405,$AN2850)),"子の生年月日がマスタと相違／","")&amp;IF(AND($L2850&lt;&gt;"",INDEX(職員マスタ!$G$6:$G$405,$AN2850)&lt;&gt;"",$L2850&lt;&gt;INDEX(職員マスタ!$G$6:$G$405,$AN2850)),"時短開始日がマスタと相違／","")&amp;IF(AND($M2850&lt;&gt;"",INDEX(職員マスタ!$H$6:$H$405,$AN2850)&lt;&gt;"",$M2850&lt;&gt;INDEX(職員マスタ!$H$6:$H$405,$AN2850)),"時短終了日がマスタと相違／","")))&amp;IF(AND($B2850&lt;&gt;"",$E2850=""),"報酬額が未入力／","")&amp;IF(N($U2850)&gt;0,"申請書に入力エラーが残っています／","")&amp;IF(AND($B2850&lt;&gt;"",$AO2850&lt;&gt;""),IF(COUNTIFS($B$6:$B$3005,$B2850,$C$6:$C$3005,$C2850,$D$6:$D$3005,$D2850)&gt;1,"同じ月の請求が重複しています／",""),"")&amp;IF(AND(N($E2850)&gt;0,$Z2850&lt;&gt;"",$Z2850&lt;&gt;"×",$AC2850=0,$AB2850=""),"計算額が下限以下のため不支給／",""))</f>
        <v/>
      </c>
      <c r="AL2850" s="12" t="n"/>
      <c r="AM2850" s="14">
        <f>IF($AD2850="保留中",COUNTIF($AD$6:$AD2850,"保留中"),"")</f>
        <v/>
      </c>
      <c r="AN2850" s="14">
        <f>IF($AO2850="","",IF(SUMPRODUCT(MAX((職員マスタ!$A$6:$A$405=$B2850)*(((職員マスタ!$G$6:$G$405="")+(職員マスタ!$G$6:$G$405&lt;=EOMONTH($AO2850,0)))&gt;0)*(((職員マスタ!$H$6:$H$405="")+(職員マスタ!$H$6:$H$405&gt;=$AO2850))&gt;0)*(ROW(職員マスタ!$A$6:$A$405)-5)))&gt;0,SUMPRODUCT(MAX((職員マスタ!$A$6:$A$405=$B2850)*(((職員マスタ!$G$6:$G$405="")+(職員マスタ!$G$6:$G$405&lt;=EOMONTH($AO2850,0)))&gt;0)*(((職員マスタ!$H$6:$H$405="")+(職員マスタ!$H$6:$H$405&gt;=$AO2850))&gt;0)*(ROW(職員マスタ!$A$6:$A$405)-5))),IFERROR(MATCH($B2850,職員マスタ!$A$6:$A$405,0),"")))</f>
        <v/>
      </c>
      <c r="AO2850" s="16">
        <f>IF(OR($B2850="",$C2850="",$D2850=""),"",DATE($C2850+2018,$D2850,1))</f>
        <v/>
      </c>
    </row>
    <row r="2851">
      <c r="A2851" s="11" t="n"/>
      <c r="B2851" s="12" t="n"/>
      <c r="C2851" s="12" t="n"/>
      <c r="D2851" s="12" t="n"/>
      <c r="E2851" s="13" t="n"/>
      <c r="F2851" s="12" t="n"/>
      <c r="G2851" s="13" t="n"/>
      <c r="H2851" s="12" t="n"/>
      <c r="I2851" s="12" t="n"/>
      <c r="J2851" s="12" t="n"/>
      <c r="K2851" s="12" t="n"/>
      <c r="L2851" s="11" t="n"/>
      <c r="M2851" s="11" t="n"/>
      <c r="N2851" s="11" t="n"/>
      <c r="O2851" s="11" t="n"/>
      <c r="P2851" s="12" t="n"/>
      <c r="Q2851" s="11" t="n"/>
      <c r="R2851" s="12" t="n"/>
      <c r="S2851" s="11" t="n"/>
      <c r="T2851" s="12" t="n"/>
      <c r="U2851" s="12" t="n"/>
      <c r="V2851" s="14">
        <f>IF($AN2851="",IF($B2851="","",$H2851),IF(INDEX(職員マスタ!$B$6:$B$405,$AN2851)="",$H2851,INDEX(職員マスタ!$B$6:$B$405,$AN2851)))</f>
        <v/>
      </c>
      <c r="W2851" s="14">
        <f>IF($AN2851="",IF($B2851="","",$R2851),IF(INDEX(職員マスタ!$C$6:$C$405,$AN2851)="",$R2851,INDEX(職員マスタ!$C$6:$C$405,$AN2851)))</f>
        <v/>
      </c>
      <c r="X2851" s="14">
        <f>IF($AO2851="","","R"&amp;$C2851&amp;"."&amp;$D2851)</f>
        <v/>
      </c>
      <c r="Y2851" s="15">
        <f>IF($AN2851="","",IF(INDEX(職員マスタ!$K$6:$K$405,$AN2851)="","",INDEX(職員マスタ!$K$6:$K$405,$AN2851)))</f>
        <v/>
      </c>
      <c r="Z2851" s="14">
        <f>IF(OR($E2851="",$Y2851=""),"",IF($E2851&gt;=$Y2851,"×",IF($E2851&gt;=$Y2851*設定!$C$5,"△","○")))</f>
        <v/>
      </c>
      <c r="AA2851" s="15">
        <f>IF($Z2851="","",IF($Z2851="×",0,IF($Z2851="○",ROUNDDOWN($E2851*設定!$C$4,0),ROUNDDOWN($E2851*ROUND((9*$Y2851-9*$E2851)/(10*$E2851),4),0))))</f>
        <v/>
      </c>
      <c r="AB2851" s="13" t="n"/>
      <c r="AC2851" s="15">
        <f>IF($B2851="","",IF($AB2851&lt;&gt;"",$AB2851,IF($AA2851="","",IF($AA2851&lt;=設定!$C$3,0,$AA2851))))</f>
        <v/>
      </c>
      <c r="AD2851" s="14">
        <f>IF($B2851="","",IF(AND($AE2851&lt;&gt;"",$AG2851="",$AJ2851=""),"保留中",IF($AJ2851&lt;&gt;"",IF(N($AC2851)&gt;0,"支給済","不支給"),IF($AC2851="","要確認",IF($AC2851=0,"不支給","未処理")))))</f>
        <v/>
      </c>
      <c r="AE2851" s="12" t="n"/>
      <c r="AF2851" s="11" t="n"/>
      <c r="AG2851" s="11" t="n"/>
      <c r="AH2851" s="11" t="n"/>
      <c r="AI2851" s="14">
        <f>IF(AND($AD2851="保留中",$AF2851&lt;&gt;""),TODAY()-$AF2851,"")</f>
        <v/>
      </c>
      <c r="AJ2851" s="12" t="n"/>
      <c r="AK2851" s="14">
        <f>IF($B2851="","",IF($AO2851="","対象年月が未入力／","")&amp;IF($B2851="","",IF($AN2851="","職員マスタに未登録の職員番号／",IF($Y2851="","標準報酬月額が未登録／","")&amp;IF(AND($AO2851&lt;&gt;"",OR(AND(INDEX(職員マスタ!$G$6:$G$405,$AN2851)&lt;&gt;"",INDEX(職員マスタ!$G$6:$G$405,$AN2851)&gt;EOMONTH($AO2851,0)),AND(INDEX(職員マスタ!$H$6:$H$405,$AN2851)&lt;&gt;"",INDEX(職員マスタ!$H$6:$H$405,$AN2851)&lt;$AO2851))),"対象月が時短期間外／","")&amp;IF(AND(INDEX(職員マスタ!$F$6:$F$405,$AN2851)&lt;&gt;"",$AO2851&lt;&gt;"",INDEX(職員マスタ!$F$6:$F$405,$AN2851)&lt;$AO2851),"対象月に子が2歳到達済／","")&amp;IF(AND($H2851&lt;&gt;"",INDEX(職員マスタ!$B$6:$B$405,$AN2851)&lt;&gt;"",SUBSTITUTE(SUBSTITUTE($H2851," ","")," ","")&lt;&gt;SUBSTITUTE(SUBSTITUTE(INDEX(職員マスタ!$B$6:$B$405,$AN2851)," ","")," ","")),"氏名がマスタと相違／","")&amp;IF(AND($Q2851&lt;&gt;"",INDEX(職員マスタ!$E$6:$E$405,$AN2851)&lt;&gt;"",$Q2851&lt;&gt;INDEX(職員マスタ!$E$6:$E$405,$AN2851)),"子の生年月日がマスタと相違／","")&amp;IF(AND($L2851&lt;&gt;"",INDEX(職員マスタ!$G$6:$G$405,$AN2851)&lt;&gt;"",$L2851&lt;&gt;INDEX(職員マスタ!$G$6:$G$405,$AN2851)),"時短開始日がマスタと相違／","")&amp;IF(AND($M2851&lt;&gt;"",INDEX(職員マスタ!$H$6:$H$405,$AN2851)&lt;&gt;"",$M2851&lt;&gt;INDEX(職員マスタ!$H$6:$H$405,$AN2851)),"時短終了日がマスタと相違／","")))&amp;IF(AND($B2851&lt;&gt;"",$E2851=""),"報酬額が未入力／","")&amp;IF(N($U2851)&gt;0,"申請書に入力エラーが残っています／","")&amp;IF(AND($B2851&lt;&gt;"",$AO2851&lt;&gt;""),IF(COUNTIFS($B$6:$B$3005,$B2851,$C$6:$C$3005,$C2851,$D$6:$D$3005,$D2851)&gt;1,"同じ月の請求が重複しています／",""),"")&amp;IF(AND(N($E2851)&gt;0,$Z2851&lt;&gt;"",$Z2851&lt;&gt;"×",$AC2851=0,$AB2851=""),"計算額が下限以下のため不支給／",""))</f>
        <v/>
      </c>
      <c r="AL2851" s="12" t="n"/>
      <c r="AM2851" s="14">
        <f>IF($AD2851="保留中",COUNTIF($AD$6:$AD2851,"保留中"),"")</f>
        <v/>
      </c>
      <c r="AN2851" s="14">
        <f>IF($AO2851="","",IF(SUMPRODUCT(MAX((職員マスタ!$A$6:$A$405=$B2851)*(((職員マスタ!$G$6:$G$405="")+(職員マスタ!$G$6:$G$405&lt;=EOMONTH($AO2851,0)))&gt;0)*(((職員マスタ!$H$6:$H$405="")+(職員マスタ!$H$6:$H$405&gt;=$AO2851))&gt;0)*(ROW(職員マスタ!$A$6:$A$405)-5)))&gt;0,SUMPRODUCT(MAX((職員マスタ!$A$6:$A$405=$B2851)*(((職員マスタ!$G$6:$G$405="")+(職員マスタ!$G$6:$G$405&lt;=EOMONTH($AO2851,0)))&gt;0)*(((職員マスタ!$H$6:$H$405="")+(職員マスタ!$H$6:$H$405&gt;=$AO2851))&gt;0)*(ROW(職員マスタ!$A$6:$A$405)-5))),IFERROR(MATCH($B2851,職員マスタ!$A$6:$A$405,0),"")))</f>
        <v/>
      </c>
      <c r="AO2851" s="16">
        <f>IF(OR($B2851="",$C2851="",$D2851=""),"",DATE($C2851+2018,$D2851,1))</f>
        <v/>
      </c>
    </row>
    <row r="2852">
      <c r="A2852" s="11" t="n"/>
      <c r="B2852" s="12" t="n"/>
      <c r="C2852" s="12" t="n"/>
      <c r="D2852" s="12" t="n"/>
      <c r="E2852" s="13" t="n"/>
      <c r="F2852" s="12" t="n"/>
      <c r="G2852" s="13" t="n"/>
      <c r="H2852" s="12" t="n"/>
      <c r="I2852" s="12" t="n"/>
      <c r="J2852" s="12" t="n"/>
      <c r="K2852" s="12" t="n"/>
      <c r="L2852" s="11" t="n"/>
      <c r="M2852" s="11" t="n"/>
      <c r="N2852" s="11" t="n"/>
      <c r="O2852" s="11" t="n"/>
      <c r="P2852" s="12" t="n"/>
      <c r="Q2852" s="11" t="n"/>
      <c r="R2852" s="12" t="n"/>
      <c r="S2852" s="11" t="n"/>
      <c r="T2852" s="12" t="n"/>
      <c r="U2852" s="12" t="n"/>
      <c r="V2852" s="14">
        <f>IF($AN2852="",IF($B2852="","",$H2852),IF(INDEX(職員マスタ!$B$6:$B$405,$AN2852)="",$H2852,INDEX(職員マスタ!$B$6:$B$405,$AN2852)))</f>
        <v/>
      </c>
      <c r="W2852" s="14">
        <f>IF($AN2852="",IF($B2852="","",$R2852),IF(INDEX(職員マスタ!$C$6:$C$405,$AN2852)="",$R2852,INDEX(職員マスタ!$C$6:$C$405,$AN2852)))</f>
        <v/>
      </c>
      <c r="X2852" s="14">
        <f>IF($AO2852="","","R"&amp;$C2852&amp;"."&amp;$D2852)</f>
        <v/>
      </c>
      <c r="Y2852" s="15">
        <f>IF($AN2852="","",IF(INDEX(職員マスタ!$K$6:$K$405,$AN2852)="","",INDEX(職員マスタ!$K$6:$K$405,$AN2852)))</f>
        <v/>
      </c>
      <c r="Z2852" s="14">
        <f>IF(OR($E2852="",$Y2852=""),"",IF($E2852&gt;=$Y2852,"×",IF($E2852&gt;=$Y2852*設定!$C$5,"△","○")))</f>
        <v/>
      </c>
      <c r="AA2852" s="15">
        <f>IF($Z2852="","",IF($Z2852="×",0,IF($Z2852="○",ROUNDDOWN($E2852*設定!$C$4,0),ROUNDDOWN($E2852*ROUND((9*$Y2852-9*$E2852)/(10*$E2852),4),0))))</f>
        <v/>
      </c>
      <c r="AB2852" s="13" t="n"/>
      <c r="AC2852" s="15">
        <f>IF($B2852="","",IF($AB2852&lt;&gt;"",$AB2852,IF($AA2852="","",IF($AA2852&lt;=設定!$C$3,0,$AA2852))))</f>
        <v/>
      </c>
      <c r="AD2852" s="14">
        <f>IF($B2852="","",IF(AND($AE2852&lt;&gt;"",$AG2852="",$AJ2852=""),"保留中",IF($AJ2852&lt;&gt;"",IF(N($AC2852)&gt;0,"支給済","不支給"),IF($AC2852="","要確認",IF($AC2852=0,"不支給","未処理")))))</f>
        <v/>
      </c>
      <c r="AE2852" s="12" t="n"/>
      <c r="AF2852" s="11" t="n"/>
      <c r="AG2852" s="11" t="n"/>
      <c r="AH2852" s="11" t="n"/>
      <c r="AI2852" s="14">
        <f>IF(AND($AD2852="保留中",$AF2852&lt;&gt;""),TODAY()-$AF2852,"")</f>
        <v/>
      </c>
      <c r="AJ2852" s="12" t="n"/>
      <c r="AK2852" s="14">
        <f>IF($B2852="","",IF($AO2852="","対象年月が未入力／","")&amp;IF($B2852="","",IF($AN2852="","職員マスタに未登録の職員番号／",IF($Y2852="","標準報酬月額が未登録／","")&amp;IF(AND($AO2852&lt;&gt;"",OR(AND(INDEX(職員マスタ!$G$6:$G$405,$AN2852)&lt;&gt;"",INDEX(職員マスタ!$G$6:$G$405,$AN2852)&gt;EOMONTH($AO2852,0)),AND(INDEX(職員マスタ!$H$6:$H$405,$AN2852)&lt;&gt;"",INDEX(職員マスタ!$H$6:$H$405,$AN2852)&lt;$AO2852))),"対象月が時短期間外／","")&amp;IF(AND(INDEX(職員マスタ!$F$6:$F$405,$AN2852)&lt;&gt;"",$AO2852&lt;&gt;"",INDEX(職員マスタ!$F$6:$F$405,$AN2852)&lt;$AO2852),"対象月に子が2歳到達済／","")&amp;IF(AND($H2852&lt;&gt;"",INDEX(職員マスタ!$B$6:$B$405,$AN2852)&lt;&gt;"",SUBSTITUTE(SUBSTITUTE($H2852," ","")," ","")&lt;&gt;SUBSTITUTE(SUBSTITUTE(INDEX(職員マスタ!$B$6:$B$405,$AN2852)," ","")," ","")),"氏名がマスタと相違／","")&amp;IF(AND($Q2852&lt;&gt;"",INDEX(職員マスタ!$E$6:$E$405,$AN2852)&lt;&gt;"",$Q2852&lt;&gt;INDEX(職員マスタ!$E$6:$E$405,$AN2852)),"子の生年月日がマスタと相違／","")&amp;IF(AND($L2852&lt;&gt;"",INDEX(職員マスタ!$G$6:$G$405,$AN2852)&lt;&gt;"",$L2852&lt;&gt;INDEX(職員マスタ!$G$6:$G$405,$AN2852)),"時短開始日がマスタと相違／","")&amp;IF(AND($M2852&lt;&gt;"",INDEX(職員マスタ!$H$6:$H$405,$AN2852)&lt;&gt;"",$M2852&lt;&gt;INDEX(職員マスタ!$H$6:$H$405,$AN2852)),"時短終了日がマスタと相違／","")))&amp;IF(AND($B2852&lt;&gt;"",$E2852=""),"報酬額が未入力／","")&amp;IF(N($U2852)&gt;0,"申請書に入力エラーが残っています／","")&amp;IF(AND($B2852&lt;&gt;"",$AO2852&lt;&gt;""),IF(COUNTIFS($B$6:$B$3005,$B2852,$C$6:$C$3005,$C2852,$D$6:$D$3005,$D2852)&gt;1,"同じ月の請求が重複しています／",""),"")&amp;IF(AND(N($E2852)&gt;0,$Z2852&lt;&gt;"",$Z2852&lt;&gt;"×",$AC2852=0,$AB2852=""),"計算額が下限以下のため不支給／",""))</f>
        <v/>
      </c>
      <c r="AL2852" s="12" t="n"/>
      <c r="AM2852" s="14">
        <f>IF($AD2852="保留中",COUNTIF($AD$6:$AD2852,"保留中"),"")</f>
        <v/>
      </c>
      <c r="AN2852" s="14">
        <f>IF($AO2852="","",IF(SUMPRODUCT(MAX((職員マスタ!$A$6:$A$405=$B2852)*(((職員マスタ!$G$6:$G$405="")+(職員マスタ!$G$6:$G$405&lt;=EOMONTH($AO2852,0)))&gt;0)*(((職員マスタ!$H$6:$H$405="")+(職員マスタ!$H$6:$H$405&gt;=$AO2852))&gt;0)*(ROW(職員マスタ!$A$6:$A$405)-5)))&gt;0,SUMPRODUCT(MAX((職員マスタ!$A$6:$A$405=$B2852)*(((職員マスタ!$G$6:$G$405="")+(職員マスタ!$G$6:$G$405&lt;=EOMONTH($AO2852,0)))&gt;0)*(((職員マスタ!$H$6:$H$405="")+(職員マスタ!$H$6:$H$405&gt;=$AO2852))&gt;0)*(ROW(職員マスタ!$A$6:$A$405)-5))),IFERROR(MATCH($B2852,職員マスタ!$A$6:$A$405,0),"")))</f>
        <v/>
      </c>
      <c r="AO2852" s="16">
        <f>IF(OR($B2852="",$C2852="",$D2852=""),"",DATE($C2852+2018,$D2852,1))</f>
        <v/>
      </c>
    </row>
    <row r="2853">
      <c r="A2853" s="11" t="n"/>
      <c r="B2853" s="12" t="n"/>
      <c r="C2853" s="12" t="n"/>
      <c r="D2853" s="12" t="n"/>
      <c r="E2853" s="13" t="n"/>
      <c r="F2853" s="12" t="n"/>
      <c r="G2853" s="13" t="n"/>
      <c r="H2853" s="12" t="n"/>
      <c r="I2853" s="12" t="n"/>
      <c r="J2853" s="12" t="n"/>
      <c r="K2853" s="12" t="n"/>
      <c r="L2853" s="11" t="n"/>
      <c r="M2853" s="11" t="n"/>
      <c r="N2853" s="11" t="n"/>
      <c r="O2853" s="11" t="n"/>
      <c r="P2853" s="12" t="n"/>
      <c r="Q2853" s="11" t="n"/>
      <c r="R2853" s="12" t="n"/>
      <c r="S2853" s="11" t="n"/>
      <c r="T2853" s="12" t="n"/>
      <c r="U2853" s="12" t="n"/>
      <c r="V2853" s="14">
        <f>IF($AN2853="",IF($B2853="","",$H2853),IF(INDEX(職員マスタ!$B$6:$B$405,$AN2853)="",$H2853,INDEX(職員マスタ!$B$6:$B$405,$AN2853)))</f>
        <v/>
      </c>
      <c r="W2853" s="14">
        <f>IF($AN2853="",IF($B2853="","",$R2853),IF(INDEX(職員マスタ!$C$6:$C$405,$AN2853)="",$R2853,INDEX(職員マスタ!$C$6:$C$405,$AN2853)))</f>
        <v/>
      </c>
      <c r="X2853" s="14">
        <f>IF($AO2853="","","R"&amp;$C2853&amp;"."&amp;$D2853)</f>
        <v/>
      </c>
      <c r="Y2853" s="15">
        <f>IF($AN2853="","",IF(INDEX(職員マスタ!$K$6:$K$405,$AN2853)="","",INDEX(職員マスタ!$K$6:$K$405,$AN2853)))</f>
        <v/>
      </c>
      <c r="Z2853" s="14">
        <f>IF(OR($E2853="",$Y2853=""),"",IF($E2853&gt;=$Y2853,"×",IF($E2853&gt;=$Y2853*設定!$C$5,"△","○")))</f>
        <v/>
      </c>
      <c r="AA2853" s="15">
        <f>IF($Z2853="","",IF($Z2853="×",0,IF($Z2853="○",ROUNDDOWN($E2853*設定!$C$4,0),ROUNDDOWN($E2853*ROUND((9*$Y2853-9*$E2853)/(10*$E2853),4),0))))</f>
        <v/>
      </c>
      <c r="AB2853" s="13" t="n"/>
      <c r="AC2853" s="15">
        <f>IF($B2853="","",IF($AB2853&lt;&gt;"",$AB2853,IF($AA2853="","",IF($AA2853&lt;=設定!$C$3,0,$AA2853))))</f>
        <v/>
      </c>
      <c r="AD2853" s="14">
        <f>IF($B2853="","",IF(AND($AE2853&lt;&gt;"",$AG2853="",$AJ2853=""),"保留中",IF($AJ2853&lt;&gt;"",IF(N($AC2853)&gt;0,"支給済","不支給"),IF($AC2853="","要確認",IF($AC2853=0,"不支給","未処理")))))</f>
        <v/>
      </c>
      <c r="AE2853" s="12" t="n"/>
      <c r="AF2853" s="11" t="n"/>
      <c r="AG2853" s="11" t="n"/>
      <c r="AH2853" s="11" t="n"/>
      <c r="AI2853" s="14">
        <f>IF(AND($AD2853="保留中",$AF2853&lt;&gt;""),TODAY()-$AF2853,"")</f>
        <v/>
      </c>
      <c r="AJ2853" s="12" t="n"/>
      <c r="AK2853" s="14">
        <f>IF($B2853="","",IF($AO2853="","対象年月が未入力／","")&amp;IF($B2853="","",IF($AN2853="","職員マスタに未登録の職員番号／",IF($Y2853="","標準報酬月額が未登録／","")&amp;IF(AND($AO2853&lt;&gt;"",OR(AND(INDEX(職員マスタ!$G$6:$G$405,$AN2853)&lt;&gt;"",INDEX(職員マスタ!$G$6:$G$405,$AN2853)&gt;EOMONTH($AO2853,0)),AND(INDEX(職員マスタ!$H$6:$H$405,$AN2853)&lt;&gt;"",INDEX(職員マスタ!$H$6:$H$405,$AN2853)&lt;$AO2853))),"対象月が時短期間外／","")&amp;IF(AND(INDEX(職員マスタ!$F$6:$F$405,$AN2853)&lt;&gt;"",$AO2853&lt;&gt;"",INDEX(職員マスタ!$F$6:$F$405,$AN2853)&lt;$AO2853),"対象月に子が2歳到達済／","")&amp;IF(AND($H2853&lt;&gt;"",INDEX(職員マスタ!$B$6:$B$405,$AN2853)&lt;&gt;"",SUBSTITUTE(SUBSTITUTE($H2853," ","")," ","")&lt;&gt;SUBSTITUTE(SUBSTITUTE(INDEX(職員マスタ!$B$6:$B$405,$AN2853)," ","")," ","")),"氏名がマスタと相違／","")&amp;IF(AND($Q2853&lt;&gt;"",INDEX(職員マスタ!$E$6:$E$405,$AN2853)&lt;&gt;"",$Q2853&lt;&gt;INDEX(職員マスタ!$E$6:$E$405,$AN2853)),"子の生年月日がマスタと相違／","")&amp;IF(AND($L2853&lt;&gt;"",INDEX(職員マスタ!$G$6:$G$405,$AN2853)&lt;&gt;"",$L2853&lt;&gt;INDEX(職員マスタ!$G$6:$G$405,$AN2853)),"時短開始日がマスタと相違／","")&amp;IF(AND($M2853&lt;&gt;"",INDEX(職員マスタ!$H$6:$H$405,$AN2853)&lt;&gt;"",$M2853&lt;&gt;INDEX(職員マスタ!$H$6:$H$405,$AN2853)),"時短終了日がマスタと相違／","")))&amp;IF(AND($B2853&lt;&gt;"",$E2853=""),"報酬額が未入力／","")&amp;IF(N($U2853)&gt;0,"申請書に入力エラーが残っています／","")&amp;IF(AND($B2853&lt;&gt;"",$AO2853&lt;&gt;""),IF(COUNTIFS($B$6:$B$3005,$B2853,$C$6:$C$3005,$C2853,$D$6:$D$3005,$D2853)&gt;1,"同じ月の請求が重複しています／",""),"")&amp;IF(AND(N($E2853)&gt;0,$Z2853&lt;&gt;"",$Z2853&lt;&gt;"×",$AC2853=0,$AB2853=""),"計算額が下限以下のため不支給／",""))</f>
        <v/>
      </c>
      <c r="AL2853" s="12" t="n"/>
      <c r="AM2853" s="14">
        <f>IF($AD2853="保留中",COUNTIF($AD$6:$AD2853,"保留中"),"")</f>
        <v/>
      </c>
      <c r="AN2853" s="14">
        <f>IF($AO2853="","",IF(SUMPRODUCT(MAX((職員マスタ!$A$6:$A$405=$B2853)*(((職員マスタ!$G$6:$G$405="")+(職員マスタ!$G$6:$G$405&lt;=EOMONTH($AO2853,0)))&gt;0)*(((職員マスタ!$H$6:$H$405="")+(職員マスタ!$H$6:$H$405&gt;=$AO2853))&gt;0)*(ROW(職員マスタ!$A$6:$A$405)-5)))&gt;0,SUMPRODUCT(MAX((職員マスタ!$A$6:$A$405=$B2853)*(((職員マスタ!$G$6:$G$405="")+(職員マスタ!$G$6:$G$405&lt;=EOMONTH($AO2853,0)))&gt;0)*(((職員マスタ!$H$6:$H$405="")+(職員マスタ!$H$6:$H$405&gt;=$AO2853))&gt;0)*(ROW(職員マスタ!$A$6:$A$405)-5))),IFERROR(MATCH($B2853,職員マスタ!$A$6:$A$405,0),"")))</f>
        <v/>
      </c>
      <c r="AO2853" s="16">
        <f>IF(OR($B2853="",$C2853="",$D2853=""),"",DATE($C2853+2018,$D2853,1))</f>
        <v/>
      </c>
    </row>
    <row r="2854">
      <c r="A2854" s="11" t="n"/>
      <c r="B2854" s="12" t="n"/>
      <c r="C2854" s="12" t="n"/>
      <c r="D2854" s="12" t="n"/>
      <c r="E2854" s="13" t="n"/>
      <c r="F2854" s="12" t="n"/>
      <c r="G2854" s="13" t="n"/>
      <c r="H2854" s="12" t="n"/>
      <c r="I2854" s="12" t="n"/>
      <c r="J2854" s="12" t="n"/>
      <c r="K2854" s="12" t="n"/>
      <c r="L2854" s="11" t="n"/>
      <c r="M2854" s="11" t="n"/>
      <c r="N2854" s="11" t="n"/>
      <c r="O2854" s="11" t="n"/>
      <c r="P2854" s="12" t="n"/>
      <c r="Q2854" s="11" t="n"/>
      <c r="R2854" s="12" t="n"/>
      <c r="S2854" s="11" t="n"/>
      <c r="T2854" s="12" t="n"/>
      <c r="U2854" s="12" t="n"/>
      <c r="V2854" s="14">
        <f>IF($AN2854="",IF($B2854="","",$H2854),IF(INDEX(職員マスタ!$B$6:$B$405,$AN2854)="",$H2854,INDEX(職員マスタ!$B$6:$B$405,$AN2854)))</f>
        <v/>
      </c>
      <c r="W2854" s="14">
        <f>IF($AN2854="",IF($B2854="","",$R2854),IF(INDEX(職員マスタ!$C$6:$C$405,$AN2854)="",$R2854,INDEX(職員マスタ!$C$6:$C$405,$AN2854)))</f>
        <v/>
      </c>
      <c r="X2854" s="14">
        <f>IF($AO2854="","","R"&amp;$C2854&amp;"."&amp;$D2854)</f>
        <v/>
      </c>
      <c r="Y2854" s="15">
        <f>IF($AN2854="","",IF(INDEX(職員マスタ!$K$6:$K$405,$AN2854)="","",INDEX(職員マスタ!$K$6:$K$405,$AN2854)))</f>
        <v/>
      </c>
      <c r="Z2854" s="14">
        <f>IF(OR($E2854="",$Y2854=""),"",IF($E2854&gt;=$Y2854,"×",IF($E2854&gt;=$Y2854*設定!$C$5,"△","○")))</f>
        <v/>
      </c>
      <c r="AA2854" s="15">
        <f>IF($Z2854="","",IF($Z2854="×",0,IF($Z2854="○",ROUNDDOWN($E2854*設定!$C$4,0),ROUNDDOWN($E2854*ROUND((9*$Y2854-9*$E2854)/(10*$E2854),4),0))))</f>
        <v/>
      </c>
      <c r="AB2854" s="13" t="n"/>
      <c r="AC2854" s="15">
        <f>IF($B2854="","",IF($AB2854&lt;&gt;"",$AB2854,IF($AA2854="","",IF($AA2854&lt;=設定!$C$3,0,$AA2854))))</f>
        <v/>
      </c>
      <c r="AD2854" s="14">
        <f>IF($B2854="","",IF(AND($AE2854&lt;&gt;"",$AG2854="",$AJ2854=""),"保留中",IF($AJ2854&lt;&gt;"",IF(N($AC2854)&gt;0,"支給済","不支給"),IF($AC2854="","要確認",IF($AC2854=0,"不支給","未処理")))))</f>
        <v/>
      </c>
      <c r="AE2854" s="12" t="n"/>
      <c r="AF2854" s="11" t="n"/>
      <c r="AG2854" s="11" t="n"/>
      <c r="AH2854" s="11" t="n"/>
      <c r="AI2854" s="14">
        <f>IF(AND($AD2854="保留中",$AF2854&lt;&gt;""),TODAY()-$AF2854,"")</f>
        <v/>
      </c>
      <c r="AJ2854" s="12" t="n"/>
      <c r="AK2854" s="14">
        <f>IF($B2854="","",IF($AO2854="","対象年月が未入力／","")&amp;IF($B2854="","",IF($AN2854="","職員マスタに未登録の職員番号／",IF($Y2854="","標準報酬月額が未登録／","")&amp;IF(AND($AO2854&lt;&gt;"",OR(AND(INDEX(職員マスタ!$G$6:$G$405,$AN2854)&lt;&gt;"",INDEX(職員マスタ!$G$6:$G$405,$AN2854)&gt;EOMONTH($AO2854,0)),AND(INDEX(職員マスタ!$H$6:$H$405,$AN2854)&lt;&gt;"",INDEX(職員マスタ!$H$6:$H$405,$AN2854)&lt;$AO2854))),"対象月が時短期間外／","")&amp;IF(AND(INDEX(職員マスタ!$F$6:$F$405,$AN2854)&lt;&gt;"",$AO2854&lt;&gt;"",INDEX(職員マスタ!$F$6:$F$405,$AN2854)&lt;$AO2854),"対象月に子が2歳到達済／","")&amp;IF(AND($H2854&lt;&gt;"",INDEX(職員マスタ!$B$6:$B$405,$AN2854)&lt;&gt;"",SUBSTITUTE(SUBSTITUTE($H2854," ","")," ","")&lt;&gt;SUBSTITUTE(SUBSTITUTE(INDEX(職員マスタ!$B$6:$B$405,$AN2854)," ","")," ","")),"氏名がマスタと相違／","")&amp;IF(AND($Q2854&lt;&gt;"",INDEX(職員マスタ!$E$6:$E$405,$AN2854)&lt;&gt;"",$Q2854&lt;&gt;INDEX(職員マスタ!$E$6:$E$405,$AN2854)),"子の生年月日がマスタと相違／","")&amp;IF(AND($L2854&lt;&gt;"",INDEX(職員マスタ!$G$6:$G$405,$AN2854)&lt;&gt;"",$L2854&lt;&gt;INDEX(職員マスタ!$G$6:$G$405,$AN2854)),"時短開始日がマスタと相違／","")&amp;IF(AND($M2854&lt;&gt;"",INDEX(職員マスタ!$H$6:$H$405,$AN2854)&lt;&gt;"",$M2854&lt;&gt;INDEX(職員マスタ!$H$6:$H$405,$AN2854)),"時短終了日がマスタと相違／","")))&amp;IF(AND($B2854&lt;&gt;"",$E2854=""),"報酬額が未入力／","")&amp;IF(N($U2854)&gt;0,"申請書に入力エラーが残っています／","")&amp;IF(AND($B2854&lt;&gt;"",$AO2854&lt;&gt;""),IF(COUNTIFS($B$6:$B$3005,$B2854,$C$6:$C$3005,$C2854,$D$6:$D$3005,$D2854)&gt;1,"同じ月の請求が重複しています／",""),"")&amp;IF(AND(N($E2854)&gt;0,$Z2854&lt;&gt;"",$Z2854&lt;&gt;"×",$AC2854=0,$AB2854=""),"計算額が下限以下のため不支給／",""))</f>
        <v/>
      </c>
      <c r="AL2854" s="12" t="n"/>
      <c r="AM2854" s="14">
        <f>IF($AD2854="保留中",COUNTIF($AD$6:$AD2854,"保留中"),"")</f>
        <v/>
      </c>
      <c r="AN2854" s="14">
        <f>IF($AO2854="","",IF(SUMPRODUCT(MAX((職員マスタ!$A$6:$A$405=$B2854)*(((職員マスタ!$G$6:$G$405="")+(職員マスタ!$G$6:$G$405&lt;=EOMONTH($AO2854,0)))&gt;0)*(((職員マスタ!$H$6:$H$405="")+(職員マスタ!$H$6:$H$405&gt;=$AO2854))&gt;0)*(ROW(職員マスタ!$A$6:$A$405)-5)))&gt;0,SUMPRODUCT(MAX((職員マスタ!$A$6:$A$405=$B2854)*(((職員マスタ!$G$6:$G$405="")+(職員マスタ!$G$6:$G$405&lt;=EOMONTH($AO2854,0)))&gt;0)*(((職員マスタ!$H$6:$H$405="")+(職員マスタ!$H$6:$H$405&gt;=$AO2854))&gt;0)*(ROW(職員マスタ!$A$6:$A$405)-5))),IFERROR(MATCH($B2854,職員マスタ!$A$6:$A$405,0),"")))</f>
        <v/>
      </c>
      <c r="AO2854" s="16">
        <f>IF(OR($B2854="",$C2854="",$D2854=""),"",DATE($C2854+2018,$D2854,1))</f>
        <v/>
      </c>
    </row>
    <row r="2855">
      <c r="A2855" s="11" t="n"/>
      <c r="B2855" s="12" t="n"/>
      <c r="C2855" s="12" t="n"/>
      <c r="D2855" s="12" t="n"/>
      <c r="E2855" s="13" t="n"/>
      <c r="F2855" s="12" t="n"/>
      <c r="G2855" s="13" t="n"/>
      <c r="H2855" s="12" t="n"/>
      <c r="I2855" s="12" t="n"/>
      <c r="J2855" s="12" t="n"/>
      <c r="K2855" s="12" t="n"/>
      <c r="L2855" s="11" t="n"/>
      <c r="M2855" s="11" t="n"/>
      <c r="N2855" s="11" t="n"/>
      <c r="O2855" s="11" t="n"/>
      <c r="P2855" s="12" t="n"/>
      <c r="Q2855" s="11" t="n"/>
      <c r="R2855" s="12" t="n"/>
      <c r="S2855" s="11" t="n"/>
      <c r="T2855" s="12" t="n"/>
      <c r="U2855" s="12" t="n"/>
      <c r="V2855" s="14">
        <f>IF($AN2855="",IF($B2855="","",$H2855),IF(INDEX(職員マスタ!$B$6:$B$405,$AN2855)="",$H2855,INDEX(職員マスタ!$B$6:$B$405,$AN2855)))</f>
        <v/>
      </c>
      <c r="W2855" s="14">
        <f>IF($AN2855="",IF($B2855="","",$R2855),IF(INDEX(職員マスタ!$C$6:$C$405,$AN2855)="",$R2855,INDEX(職員マスタ!$C$6:$C$405,$AN2855)))</f>
        <v/>
      </c>
      <c r="X2855" s="14">
        <f>IF($AO2855="","","R"&amp;$C2855&amp;"."&amp;$D2855)</f>
        <v/>
      </c>
      <c r="Y2855" s="15">
        <f>IF($AN2855="","",IF(INDEX(職員マスタ!$K$6:$K$405,$AN2855)="","",INDEX(職員マスタ!$K$6:$K$405,$AN2855)))</f>
        <v/>
      </c>
      <c r="Z2855" s="14">
        <f>IF(OR($E2855="",$Y2855=""),"",IF($E2855&gt;=$Y2855,"×",IF($E2855&gt;=$Y2855*設定!$C$5,"△","○")))</f>
        <v/>
      </c>
      <c r="AA2855" s="15">
        <f>IF($Z2855="","",IF($Z2855="×",0,IF($Z2855="○",ROUNDDOWN($E2855*設定!$C$4,0),ROUNDDOWN($E2855*ROUND((9*$Y2855-9*$E2855)/(10*$E2855),4),0))))</f>
        <v/>
      </c>
      <c r="AB2855" s="13" t="n"/>
      <c r="AC2855" s="15">
        <f>IF($B2855="","",IF($AB2855&lt;&gt;"",$AB2855,IF($AA2855="","",IF($AA2855&lt;=設定!$C$3,0,$AA2855))))</f>
        <v/>
      </c>
      <c r="AD2855" s="14">
        <f>IF($B2855="","",IF(AND($AE2855&lt;&gt;"",$AG2855="",$AJ2855=""),"保留中",IF($AJ2855&lt;&gt;"",IF(N($AC2855)&gt;0,"支給済","不支給"),IF($AC2855="","要確認",IF($AC2855=0,"不支給","未処理")))))</f>
        <v/>
      </c>
      <c r="AE2855" s="12" t="n"/>
      <c r="AF2855" s="11" t="n"/>
      <c r="AG2855" s="11" t="n"/>
      <c r="AH2855" s="11" t="n"/>
      <c r="AI2855" s="14">
        <f>IF(AND($AD2855="保留中",$AF2855&lt;&gt;""),TODAY()-$AF2855,"")</f>
        <v/>
      </c>
      <c r="AJ2855" s="12" t="n"/>
      <c r="AK2855" s="14">
        <f>IF($B2855="","",IF($AO2855="","対象年月が未入力／","")&amp;IF($B2855="","",IF($AN2855="","職員マスタに未登録の職員番号／",IF($Y2855="","標準報酬月額が未登録／","")&amp;IF(AND($AO2855&lt;&gt;"",OR(AND(INDEX(職員マスタ!$G$6:$G$405,$AN2855)&lt;&gt;"",INDEX(職員マスタ!$G$6:$G$405,$AN2855)&gt;EOMONTH($AO2855,0)),AND(INDEX(職員マスタ!$H$6:$H$405,$AN2855)&lt;&gt;"",INDEX(職員マスタ!$H$6:$H$405,$AN2855)&lt;$AO2855))),"対象月が時短期間外／","")&amp;IF(AND(INDEX(職員マスタ!$F$6:$F$405,$AN2855)&lt;&gt;"",$AO2855&lt;&gt;"",INDEX(職員マスタ!$F$6:$F$405,$AN2855)&lt;$AO2855),"対象月に子が2歳到達済／","")&amp;IF(AND($H2855&lt;&gt;"",INDEX(職員マスタ!$B$6:$B$405,$AN2855)&lt;&gt;"",SUBSTITUTE(SUBSTITUTE($H2855," ","")," ","")&lt;&gt;SUBSTITUTE(SUBSTITUTE(INDEX(職員マスタ!$B$6:$B$405,$AN2855)," ","")," ","")),"氏名がマスタと相違／","")&amp;IF(AND($Q2855&lt;&gt;"",INDEX(職員マスタ!$E$6:$E$405,$AN2855)&lt;&gt;"",$Q2855&lt;&gt;INDEX(職員マスタ!$E$6:$E$405,$AN2855)),"子の生年月日がマスタと相違／","")&amp;IF(AND($L2855&lt;&gt;"",INDEX(職員マスタ!$G$6:$G$405,$AN2855)&lt;&gt;"",$L2855&lt;&gt;INDEX(職員マスタ!$G$6:$G$405,$AN2855)),"時短開始日がマスタと相違／","")&amp;IF(AND($M2855&lt;&gt;"",INDEX(職員マスタ!$H$6:$H$405,$AN2855)&lt;&gt;"",$M2855&lt;&gt;INDEX(職員マスタ!$H$6:$H$405,$AN2855)),"時短終了日がマスタと相違／","")))&amp;IF(AND($B2855&lt;&gt;"",$E2855=""),"報酬額が未入力／","")&amp;IF(N($U2855)&gt;0,"申請書に入力エラーが残っています／","")&amp;IF(AND($B2855&lt;&gt;"",$AO2855&lt;&gt;""),IF(COUNTIFS($B$6:$B$3005,$B2855,$C$6:$C$3005,$C2855,$D$6:$D$3005,$D2855)&gt;1,"同じ月の請求が重複しています／",""),"")&amp;IF(AND(N($E2855)&gt;0,$Z2855&lt;&gt;"",$Z2855&lt;&gt;"×",$AC2855=0,$AB2855=""),"計算額が下限以下のため不支給／",""))</f>
        <v/>
      </c>
      <c r="AL2855" s="12" t="n"/>
      <c r="AM2855" s="14">
        <f>IF($AD2855="保留中",COUNTIF($AD$6:$AD2855,"保留中"),"")</f>
        <v/>
      </c>
      <c r="AN2855" s="14">
        <f>IF($AO2855="","",IF(SUMPRODUCT(MAX((職員マスタ!$A$6:$A$405=$B2855)*(((職員マスタ!$G$6:$G$405="")+(職員マスタ!$G$6:$G$405&lt;=EOMONTH($AO2855,0)))&gt;0)*(((職員マスタ!$H$6:$H$405="")+(職員マスタ!$H$6:$H$405&gt;=$AO2855))&gt;0)*(ROW(職員マスタ!$A$6:$A$405)-5)))&gt;0,SUMPRODUCT(MAX((職員マスタ!$A$6:$A$405=$B2855)*(((職員マスタ!$G$6:$G$405="")+(職員マスタ!$G$6:$G$405&lt;=EOMONTH($AO2855,0)))&gt;0)*(((職員マスタ!$H$6:$H$405="")+(職員マスタ!$H$6:$H$405&gt;=$AO2855))&gt;0)*(ROW(職員マスタ!$A$6:$A$405)-5))),IFERROR(MATCH($B2855,職員マスタ!$A$6:$A$405,0),"")))</f>
        <v/>
      </c>
      <c r="AO2855" s="16">
        <f>IF(OR($B2855="",$C2855="",$D2855=""),"",DATE($C2855+2018,$D2855,1))</f>
        <v/>
      </c>
    </row>
    <row r="2856">
      <c r="A2856" s="11" t="n"/>
      <c r="B2856" s="12" t="n"/>
      <c r="C2856" s="12" t="n"/>
      <c r="D2856" s="12" t="n"/>
      <c r="E2856" s="13" t="n"/>
      <c r="F2856" s="12" t="n"/>
      <c r="G2856" s="13" t="n"/>
      <c r="H2856" s="12" t="n"/>
      <c r="I2856" s="12" t="n"/>
      <c r="J2856" s="12" t="n"/>
      <c r="K2856" s="12" t="n"/>
      <c r="L2856" s="11" t="n"/>
      <c r="M2856" s="11" t="n"/>
      <c r="N2856" s="11" t="n"/>
      <c r="O2856" s="11" t="n"/>
      <c r="P2856" s="12" t="n"/>
      <c r="Q2856" s="11" t="n"/>
      <c r="R2856" s="12" t="n"/>
      <c r="S2856" s="11" t="n"/>
      <c r="T2856" s="12" t="n"/>
      <c r="U2856" s="12" t="n"/>
      <c r="V2856" s="14">
        <f>IF($AN2856="",IF($B2856="","",$H2856),IF(INDEX(職員マスタ!$B$6:$B$405,$AN2856)="",$H2856,INDEX(職員マスタ!$B$6:$B$405,$AN2856)))</f>
        <v/>
      </c>
      <c r="W2856" s="14">
        <f>IF($AN2856="",IF($B2856="","",$R2856),IF(INDEX(職員マスタ!$C$6:$C$405,$AN2856)="",$R2856,INDEX(職員マスタ!$C$6:$C$405,$AN2856)))</f>
        <v/>
      </c>
      <c r="X2856" s="14">
        <f>IF($AO2856="","","R"&amp;$C2856&amp;"."&amp;$D2856)</f>
        <v/>
      </c>
      <c r="Y2856" s="15">
        <f>IF($AN2856="","",IF(INDEX(職員マスタ!$K$6:$K$405,$AN2856)="","",INDEX(職員マスタ!$K$6:$K$405,$AN2856)))</f>
        <v/>
      </c>
      <c r="Z2856" s="14">
        <f>IF(OR($E2856="",$Y2856=""),"",IF($E2856&gt;=$Y2856,"×",IF($E2856&gt;=$Y2856*設定!$C$5,"△","○")))</f>
        <v/>
      </c>
      <c r="AA2856" s="15">
        <f>IF($Z2856="","",IF($Z2856="×",0,IF($Z2856="○",ROUNDDOWN($E2856*設定!$C$4,0),ROUNDDOWN($E2856*ROUND((9*$Y2856-9*$E2856)/(10*$E2856),4),0))))</f>
        <v/>
      </c>
      <c r="AB2856" s="13" t="n"/>
      <c r="AC2856" s="15">
        <f>IF($B2856="","",IF($AB2856&lt;&gt;"",$AB2856,IF($AA2856="","",IF($AA2856&lt;=設定!$C$3,0,$AA2856))))</f>
        <v/>
      </c>
      <c r="AD2856" s="14">
        <f>IF($B2856="","",IF(AND($AE2856&lt;&gt;"",$AG2856="",$AJ2856=""),"保留中",IF($AJ2856&lt;&gt;"",IF(N($AC2856)&gt;0,"支給済","不支給"),IF($AC2856="","要確認",IF($AC2856=0,"不支給","未処理")))))</f>
        <v/>
      </c>
      <c r="AE2856" s="12" t="n"/>
      <c r="AF2856" s="11" t="n"/>
      <c r="AG2856" s="11" t="n"/>
      <c r="AH2856" s="11" t="n"/>
      <c r="AI2856" s="14">
        <f>IF(AND($AD2856="保留中",$AF2856&lt;&gt;""),TODAY()-$AF2856,"")</f>
        <v/>
      </c>
      <c r="AJ2856" s="12" t="n"/>
      <c r="AK2856" s="14">
        <f>IF($B2856="","",IF($AO2856="","対象年月が未入力／","")&amp;IF($B2856="","",IF($AN2856="","職員マスタに未登録の職員番号／",IF($Y2856="","標準報酬月額が未登録／","")&amp;IF(AND($AO2856&lt;&gt;"",OR(AND(INDEX(職員マスタ!$G$6:$G$405,$AN2856)&lt;&gt;"",INDEX(職員マスタ!$G$6:$G$405,$AN2856)&gt;EOMONTH($AO2856,0)),AND(INDEX(職員マスタ!$H$6:$H$405,$AN2856)&lt;&gt;"",INDEX(職員マスタ!$H$6:$H$405,$AN2856)&lt;$AO2856))),"対象月が時短期間外／","")&amp;IF(AND(INDEX(職員マスタ!$F$6:$F$405,$AN2856)&lt;&gt;"",$AO2856&lt;&gt;"",INDEX(職員マスタ!$F$6:$F$405,$AN2856)&lt;$AO2856),"対象月に子が2歳到達済／","")&amp;IF(AND($H2856&lt;&gt;"",INDEX(職員マスタ!$B$6:$B$405,$AN2856)&lt;&gt;"",SUBSTITUTE(SUBSTITUTE($H2856," ","")," ","")&lt;&gt;SUBSTITUTE(SUBSTITUTE(INDEX(職員マスタ!$B$6:$B$405,$AN2856)," ","")," ","")),"氏名がマスタと相違／","")&amp;IF(AND($Q2856&lt;&gt;"",INDEX(職員マスタ!$E$6:$E$405,$AN2856)&lt;&gt;"",$Q2856&lt;&gt;INDEX(職員マスタ!$E$6:$E$405,$AN2856)),"子の生年月日がマスタと相違／","")&amp;IF(AND($L2856&lt;&gt;"",INDEX(職員マスタ!$G$6:$G$405,$AN2856)&lt;&gt;"",$L2856&lt;&gt;INDEX(職員マスタ!$G$6:$G$405,$AN2856)),"時短開始日がマスタと相違／","")&amp;IF(AND($M2856&lt;&gt;"",INDEX(職員マスタ!$H$6:$H$405,$AN2856)&lt;&gt;"",$M2856&lt;&gt;INDEX(職員マスタ!$H$6:$H$405,$AN2856)),"時短終了日がマスタと相違／","")))&amp;IF(AND($B2856&lt;&gt;"",$E2856=""),"報酬額が未入力／","")&amp;IF(N($U2856)&gt;0,"申請書に入力エラーが残っています／","")&amp;IF(AND($B2856&lt;&gt;"",$AO2856&lt;&gt;""),IF(COUNTIFS($B$6:$B$3005,$B2856,$C$6:$C$3005,$C2856,$D$6:$D$3005,$D2856)&gt;1,"同じ月の請求が重複しています／",""),"")&amp;IF(AND(N($E2856)&gt;0,$Z2856&lt;&gt;"",$Z2856&lt;&gt;"×",$AC2856=0,$AB2856=""),"計算額が下限以下のため不支給／",""))</f>
        <v/>
      </c>
      <c r="AL2856" s="12" t="n"/>
      <c r="AM2856" s="14">
        <f>IF($AD2856="保留中",COUNTIF($AD$6:$AD2856,"保留中"),"")</f>
        <v/>
      </c>
      <c r="AN2856" s="14">
        <f>IF($AO2856="","",IF(SUMPRODUCT(MAX((職員マスタ!$A$6:$A$405=$B2856)*(((職員マスタ!$G$6:$G$405="")+(職員マスタ!$G$6:$G$405&lt;=EOMONTH($AO2856,0)))&gt;0)*(((職員マスタ!$H$6:$H$405="")+(職員マスタ!$H$6:$H$405&gt;=$AO2856))&gt;0)*(ROW(職員マスタ!$A$6:$A$405)-5)))&gt;0,SUMPRODUCT(MAX((職員マスタ!$A$6:$A$405=$B2856)*(((職員マスタ!$G$6:$G$405="")+(職員マスタ!$G$6:$G$405&lt;=EOMONTH($AO2856,0)))&gt;0)*(((職員マスタ!$H$6:$H$405="")+(職員マスタ!$H$6:$H$405&gt;=$AO2856))&gt;0)*(ROW(職員マスタ!$A$6:$A$405)-5))),IFERROR(MATCH($B2856,職員マスタ!$A$6:$A$405,0),"")))</f>
        <v/>
      </c>
      <c r="AO2856" s="16">
        <f>IF(OR($B2856="",$C2856="",$D2856=""),"",DATE($C2856+2018,$D2856,1))</f>
        <v/>
      </c>
    </row>
    <row r="2857">
      <c r="A2857" s="11" t="n"/>
      <c r="B2857" s="12" t="n"/>
      <c r="C2857" s="12" t="n"/>
      <c r="D2857" s="12" t="n"/>
      <c r="E2857" s="13" t="n"/>
      <c r="F2857" s="12" t="n"/>
      <c r="G2857" s="13" t="n"/>
      <c r="H2857" s="12" t="n"/>
      <c r="I2857" s="12" t="n"/>
      <c r="J2857" s="12" t="n"/>
      <c r="K2857" s="12" t="n"/>
      <c r="L2857" s="11" t="n"/>
      <c r="M2857" s="11" t="n"/>
      <c r="N2857" s="11" t="n"/>
      <c r="O2857" s="11" t="n"/>
      <c r="P2857" s="12" t="n"/>
      <c r="Q2857" s="11" t="n"/>
      <c r="R2857" s="12" t="n"/>
      <c r="S2857" s="11" t="n"/>
      <c r="T2857" s="12" t="n"/>
      <c r="U2857" s="12" t="n"/>
      <c r="V2857" s="14">
        <f>IF($AN2857="",IF($B2857="","",$H2857),IF(INDEX(職員マスタ!$B$6:$B$405,$AN2857)="",$H2857,INDEX(職員マスタ!$B$6:$B$405,$AN2857)))</f>
        <v/>
      </c>
      <c r="W2857" s="14">
        <f>IF($AN2857="",IF($B2857="","",$R2857),IF(INDEX(職員マスタ!$C$6:$C$405,$AN2857)="",$R2857,INDEX(職員マスタ!$C$6:$C$405,$AN2857)))</f>
        <v/>
      </c>
      <c r="X2857" s="14">
        <f>IF($AO2857="","","R"&amp;$C2857&amp;"."&amp;$D2857)</f>
        <v/>
      </c>
      <c r="Y2857" s="15">
        <f>IF($AN2857="","",IF(INDEX(職員マスタ!$K$6:$K$405,$AN2857)="","",INDEX(職員マスタ!$K$6:$K$405,$AN2857)))</f>
        <v/>
      </c>
      <c r="Z2857" s="14">
        <f>IF(OR($E2857="",$Y2857=""),"",IF($E2857&gt;=$Y2857,"×",IF($E2857&gt;=$Y2857*設定!$C$5,"△","○")))</f>
        <v/>
      </c>
      <c r="AA2857" s="15">
        <f>IF($Z2857="","",IF($Z2857="×",0,IF($Z2857="○",ROUNDDOWN($E2857*設定!$C$4,0),ROUNDDOWN($E2857*ROUND((9*$Y2857-9*$E2857)/(10*$E2857),4),0))))</f>
        <v/>
      </c>
      <c r="AB2857" s="13" t="n"/>
      <c r="AC2857" s="15">
        <f>IF($B2857="","",IF($AB2857&lt;&gt;"",$AB2857,IF($AA2857="","",IF($AA2857&lt;=設定!$C$3,0,$AA2857))))</f>
        <v/>
      </c>
      <c r="AD2857" s="14">
        <f>IF($B2857="","",IF(AND($AE2857&lt;&gt;"",$AG2857="",$AJ2857=""),"保留中",IF($AJ2857&lt;&gt;"",IF(N($AC2857)&gt;0,"支給済","不支給"),IF($AC2857="","要確認",IF($AC2857=0,"不支給","未処理")))))</f>
        <v/>
      </c>
      <c r="AE2857" s="12" t="n"/>
      <c r="AF2857" s="11" t="n"/>
      <c r="AG2857" s="11" t="n"/>
      <c r="AH2857" s="11" t="n"/>
      <c r="AI2857" s="14">
        <f>IF(AND($AD2857="保留中",$AF2857&lt;&gt;""),TODAY()-$AF2857,"")</f>
        <v/>
      </c>
      <c r="AJ2857" s="12" t="n"/>
      <c r="AK2857" s="14">
        <f>IF($B2857="","",IF($AO2857="","対象年月が未入力／","")&amp;IF($B2857="","",IF($AN2857="","職員マスタに未登録の職員番号／",IF($Y2857="","標準報酬月額が未登録／","")&amp;IF(AND($AO2857&lt;&gt;"",OR(AND(INDEX(職員マスタ!$G$6:$G$405,$AN2857)&lt;&gt;"",INDEX(職員マスタ!$G$6:$G$405,$AN2857)&gt;EOMONTH($AO2857,0)),AND(INDEX(職員マスタ!$H$6:$H$405,$AN2857)&lt;&gt;"",INDEX(職員マスタ!$H$6:$H$405,$AN2857)&lt;$AO2857))),"対象月が時短期間外／","")&amp;IF(AND(INDEX(職員マスタ!$F$6:$F$405,$AN2857)&lt;&gt;"",$AO2857&lt;&gt;"",INDEX(職員マスタ!$F$6:$F$405,$AN2857)&lt;$AO2857),"対象月に子が2歳到達済／","")&amp;IF(AND($H2857&lt;&gt;"",INDEX(職員マスタ!$B$6:$B$405,$AN2857)&lt;&gt;"",SUBSTITUTE(SUBSTITUTE($H2857," ","")," ","")&lt;&gt;SUBSTITUTE(SUBSTITUTE(INDEX(職員マスタ!$B$6:$B$405,$AN2857)," ","")," ","")),"氏名がマスタと相違／","")&amp;IF(AND($Q2857&lt;&gt;"",INDEX(職員マスタ!$E$6:$E$405,$AN2857)&lt;&gt;"",$Q2857&lt;&gt;INDEX(職員マスタ!$E$6:$E$405,$AN2857)),"子の生年月日がマスタと相違／","")&amp;IF(AND($L2857&lt;&gt;"",INDEX(職員マスタ!$G$6:$G$405,$AN2857)&lt;&gt;"",$L2857&lt;&gt;INDEX(職員マスタ!$G$6:$G$405,$AN2857)),"時短開始日がマスタと相違／","")&amp;IF(AND($M2857&lt;&gt;"",INDEX(職員マスタ!$H$6:$H$405,$AN2857)&lt;&gt;"",$M2857&lt;&gt;INDEX(職員マスタ!$H$6:$H$405,$AN2857)),"時短終了日がマスタと相違／","")))&amp;IF(AND($B2857&lt;&gt;"",$E2857=""),"報酬額が未入力／","")&amp;IF(N($U2857)&gt;0,"申請書に入力エラーが残っています／","")&amp;IF(AND($B2857&lt;&gt;"",$AO2857&lt;&gt;""),IF(COUNTIFS($B$6:$B$3005,$B2857,$C$6:$C$3005,$C2857,$D$6:$D$3005,$D2857)&gt;1,"同じ月の請求が重複しています／",""),"")&amp;IF(AND(N($E2857)&gt;0,$Z2857&lt;&gt;"",$Z2857&lt;&gt;"×",$AC2857=0,$AB2857=""),"計算額が下限以下のため不支給／",""))</f>
        <v/>
      </c>
      <c r="AL2857" s="12" t="n"/>
      <c r="AM2857" s="14">
        <f>IF($AD2857="保留中",COUNTIF($AD$6:$AD2857,"保留中"),"")</f>
        <v/>
      </c>
      <c r="AN2857" s="14">
        <f>IF($AO2857="","",IF(SUMPRODUCT(MAX((職員マスタ!$A$6:$A$405=$B2857)*(((職員マスタ!$G$6:$G$405="")+(職員マスタ!$G$6:$G$405&lt;=EOMONTH($AO2857,0)))&gt;0)*(((職員マスタ!$H$6:$H$405="")+(職員マスタ!$H$6:$H$405&gt;=$AO2857))&gt;0)*(ROW(職員マスタ!$A$6:$A$405)-5)))&gt;0,SUMPRODUCT(MAX((職員マスタ!$A$6:$A$405=$B2857)*(((職員マスタ!$G$6:$G$405="")+(職員マスタ!$G$6:$G$405&lt;=EOMONTH($AO2857,0)))&gt;0)*(((職員マスタ!$H$6:$H$405="")+(職員マスタ!$H$6:$H$405&gt;=$AO2857))&gt;0)*(ROW(職員マスタ!$A$6:$A$405)-5))),IFERROR(MATCH($B2857,職員マスタ!$A$6:$A$405,0),"")))</f>
        <v/>
      </c>
      <c r="AO2857" s="16">
        <f>IF(OR($B2857="",$C2857="",$D2857=""),"",DATE($C2857+2018,$D2857,1))</f>
        <v/>
      </c>
    </row>
    <row r="2858">
      <c r="A2858" s="11" t="n"/>
      <c r="B2858" s="12" t="n"/>
      <c r="C2858" s="12" t="n"/>
      <c r="D2858" s="12" t="n"/>
      <c r="E2858" s="13" t="n"/>
      <c r="F2858" s="12" t="n"/>
      <c r="G2858" s="13" t="n"/>
      <c r="H2858" s="12" t="n"/>
      <c r="I2858" s="12" t="n"/>
      <c r="J2858" s="12" t="n"/>
      <c r="K2858" s="12" t="n"/>
      <c r="L2858" s="11" t="n"/>
      <c r="M2858" s="11" t="n"/>
      <c r="N2858" s="11" t="n"/>
      <c r="O2858" s="11" t="n"/>
      <c r="P2858" s="12" t="n"/>
      <c r="Q2858" s="11" t="n"/>
      <c r="R2858" s="12" t="n"/>
      <c r="S2858" s="11" t="n"/>
      <c r="T2858" s="12" t="n"/>
      <c r="U2858" s="12" t="n"/>
      <c r="V2858" s="14">
        <f>IF($AN2858="",IF($B2858="","",$H2858),IF(INDEX(職員マスタ!$B$6:$B$405,$AN2858)="",$H2858,INDEX(職員マスタ!$B$6:$B$405,$AN2858)))</f>
        <v/>
      </c>
      <c r="W2858" s="14">
        <f>IF($AN2858="",IF($B2858="","",$R2858),IF(INDEX(職員マスタ!$C$6:$C$405,$AN2858)="",$R2858,INDEX(職員マスタ!$C$6:$C$405,$AN2858)))</f>
        <v/>
      </c>
      <c r="X2858" s="14">
        <f>IF($AO2858="","","R"&amp;$C2858&amp;"."&amp;$D2858)</f>
        <v/>
      </c>
      <c r="Y2858" s="15">
        <f>IF($AN2858="","",IF(INDEX(職員マスタ!$K$6:$K$405,$AN2858)="","",INDEX(職員マスタ!$K$6:$K$405,$AN2858)))</f>
        <v/>
      </c>
      <c r="Z2858" s="14">
        <f>IF(OR($E2858="",$Y2858=""),"",IF($E2858&gt;=$Y2858,"×",IF($E2858&gt;=$Y2858*設定!$C$5,"△","○")))</f>
        <v/>
      </c>
      <c r="AA2858" s="15">
        <f>IF($Z2858="","",IF($Z2858="×",0,IF($Z2858="○",ROUNDDOWN($E2858*設定!$C$4,0),ROUNDDOWN($E2858*ROUND((9*$Y2858-9*$E2858)/(10*$E2858),4),0))))</f>
        <v/>
      </c>
      <c r="AB2858" s="13" t="n"/>
      <c r="AC2858" s="15">
        <f>IF($B2858="","",IF($AB2858&lt;&gt;"",$AB2858,IF($AA2858="","",IF($AA2858&lt;=設定!$C$3,0,$AA2858))))</f>
        <v/>
      </c>
      <c r="AD2858" s="14">
        <f>IF($B2858="","",IF(AND($AE2858&lt;&gt;"",$AG2858="",$AJ2858=""),"保留中",IF($AJ2858&lt;&gt;"",IF(N($AC2858)&gt;0,"支給済","不支給"),IF($AC2858="","要確認",IF($AC2858=0,"不支給","未処理")))))</f>
        <v/>
      </c>
      <c r="AE2858" s="12" t="n"/>
      <c r="AF2858" s="11" t="n"/>
      <c r="AG2858" s="11" t="n"/>
      <c r="AH2858" s="11" t="n"/>
      <c r="AI2858" s="14">
        <f>IF(AND($AD2858="保留中",$AF2858&lt;&gt;""),TODAY()-$AF2858,"")</f>
        <v/>
      </c>
      <c r="AJ2858" s="12" t="n"/>
      <c r="AK2858" s="14">
        <f>IF($B2858="","",IF($AO2858="","対象年月が未入力／","")&amp;IF($B2858="","",IF($AN2858="","職員マスタに未登録の職員番号／",IF($Y2858="","標準報酬月額が未登録／","")&amp;IF(AND($AO2858&lt;&gt;"",OR(AND(INDEX(職員マスタ!$G$6:$G$405,$AN2858)&lt;&gt;"",INDEX(職員マスタ!$G$6:$G$405,$AN2858)&gt;EOMONTH($AO2858,0)),AND(INDEX(職員マスタ!$H$6:$H$405,$AN2858)&lt;&gt;"",INDEX(職員マスタ!$H$6:$H$405,$AN2858)&lt;$AO2858))),"対象月が時短期間外／","")&amp;IF(AND(INDEX(職員マスタ!$F$6:$F$405,$AN2858)&lt;&gt;"",$AO2858&lt;&gt;"",INDEX(職員マスタ!$F$6:$F$405,$AN2858)&lt;$AO2858),"対象月に子が2歳到達済／","")&amp;IF(AND($H2858&lt;&gt;"",INDEX(職員マスタ!$B$6:$B$405,$AN2858)&lt;&gt;"",SUBSTITUTE(SUBSTITUTE($H2858," ","")," ","")&lt;&gt;SUBSTITUTE(SUBSTITUTE(INDEX(職員マスタ!$B$6:$B$405,$AN2858)," ","")," ","")),"氏名がマスタと相違／","")&amp;IF(AND($Q2858&lt;&gt;"",INDEX(職員マスタ!$E$6:$E$405,$AN2858)&lt;&gt;"",$Q2858&lt;&gt;INDEX(職員マスタ!$E$6:$E$405,$AN2858)),"子の生年月日がマスタと相違／","")&amp;IF(AND($L2858&lt;&gt;"",INDEX(職員マスタ!$G$6:$G$405,$AN2858)&lt;&gt;"",$L2858&lt;&gt;INDEX(職員マスタ!$G$6:$G$405,$AN2858)),"時短開始日がマスタと相違／","")&amp;IF(AND($M2858&lt;&gt;"",INDEX(職員マスタ!$H$6:$H$405,$AN2858)&lt;&gt;"",$M2858&lt;&gt;INDEX(職員マスタ!$H$6:$H$405,$AN2858)),"時短終了日がマスタと相違／","")))&amp;IF(AND($B2858&lt;&gt;"",$E2858=""),"報酬額が未入力／","")&amp;IF(N($U2858)&gt;0,"申請書に入力エラーが残っています／","")&amp;IF(AND($B2858&lt;&gt;"",$AO2858&lt;&gt;""),IF(COUNTIFS($B$6:$B$3005,$B2858,$C$6:$C$3005,$C2858,$D$6:$D$3005,$D2858)&gt;1,"同じ月の請求が重複しています／",""),"")&amp;IF(AND(N($E2858)&gt;0,$Z2858&lt;&gt;"",$Z2858&lt;&gt;"×",$AC2858=0,$AB2858=""),"計算額が下限以下のため不支給／",""))</f>
        <v/>
      </c>
      <c r="AL2858" s="12" t="n"/>
      <c r="AM2858" s="14">
        <f>IF($AD2858="保留中",COUNTIF($AD$6:$AD2858,"保留中"),"")</f>
        <v/>
      </c>
      <c r="AN2858" s="14">
        <f>IF($AO2858="","",IF(SUMPRODUCT(MAX((職員マスタ!$A$6:$A$405=$B2858)*(((職員マスタ!$G$6:$G$405="")+(職員マスタ!$G$6:$G$405&lt;=EOMONTH($AO2858,0)))&gt;0)*(((職員マスタ!$H$6:$H$405="")+(職員マスタ!$H$6:$H$405&gt;=$AO2858))&gt;0)*(ROW(職員マスタ!$A$6:$A$405)-5)))&gt;0,SUMPRODUCT(MAX((職員マスタ!$A$6:$A$405=$B2858)*(((職員マスタ!$G$6:$G$405="")+(職員マスタ!$G$6:$G$405&lt;=EOMONTH($AO2858,0)))&gt;0)*(((職員マスタ!$H$6:$H$405="")+(職員マスタ!$H$6:$H$405&gt;=$AO2858))&gt;0)*(ROW(職員マスタ!$A$6:$A$405)-5))),IFERROR(MATCH($B2858,職員マスタ!$A$6:$A$405,0),"")))</f>
        <v/>
      </c>
      <c r="AO2858" s="16">
        <f>IF(OR($B2858="",$C2858="",$D2858=""),"",DATE($C2858+2018,$D2858,1))</f>
        <v/>
      </c>
    </row>
    <row r="2859">
      <c r="A2859" s="11" t="n"/>
      <c r="B2859" s="12" t="n"/>
      <c r="C2859" s="12" t="n"/>
      <c r="D2859" s="12" t="n"/>
      <c r="E2859" s="13" t="n"/>
      <c r="F2859" s="12" t="n"/>
      <c r="G2859" s="13" t="n"/>
      <c r="H2859" s="12" t="n"/>
      <c r="I2859" s="12" t="n"/>
      <c r="J2859" s="12" t="n"/>
      <c r="K2859" s="12" t="n"/>
      <c r="L2859" s="11" t="n"/>
      <c r="M2859" s="11" t="n"/>
      <c r="N2859" s="11" t="n"/>
      <c r="O2859" s="11" t="n"/>
      <c r="P2859" s="12" t="n"/>
      <c r="Q2859" s="11" t="n"/>
      <c r="R2859" s="12" t="n"/>
      <c r="S2859" s="11" t="n"/>
      <c r="T2859" s="12" t="n"/>
      <c r="U2859" s="12" t="n"/>
      <c r="V2859" s="14">
        <f>IF($AN2859="",IF($B2859="","",$H2859),IF(INDEX(職員マスタ!$B$6:$B$405,$AN2859)="",$H2859,INDEX(職員マスタ!$B$6:$B$405,$AN2859)))</f>
        <v/>
      </c>
      <c r="W2859" s="14">
        <f>IF($AN2859="",IF($B2859="","",$R2859),IF(INDEX(職員マスタ!$C$6:$C$405,$AN2859)="",$R2859,INDEX(職員マスタ!$C$6:$C$405,$AN2859)))</f>
        <v/>
      </c>
      <c r="X2859" s="14">
        <f>IF($AO2859="","","R"&amp;$C2859&amp;"."&amp;$D2859)</f>
        <v/>
      </c>
      <c r="Y2859" s="15">
        <f>IF($AN2859="","",IF(INDEX(職員マスタ!$K$6:$K$405,$AN2859)="","",INDEX(職員マスタ!$K$6:$K$405,$AN2859)))</f>
        <v/>
      </c>
      <c r="Z2859" s="14">
        <f>IF(OR($E2859="",$Y2859=""),"",IF($E2859&gt;=$Y2859,"×",IF($E2859&gt;=$Y2859*設定!$C$5,"△","○")))</f>
        <v/>
      </c>
      <c r="AA2859" s="15">
        <f>IF($Z2859="","",IF($Z2859="×",0,IF($Z2859="○",ROUNDDOWN($E2859*設定!$C$4,0),ROUNDDOWN($E2859*ROUND((9*$Y2859-9*$E2859)/(10*$E2859),4),0))))</f>
        <v/>
      </c>
      <c r="AB2859" s="13" t="n"/>
      <c r="AC2859" s="15">
        <f>IF($B2859="","",IF($AB2859&lt;&gt;"",$AB2859,IF($AA2859="","",IF($AA2859&lt;=設定!$C$3,0,$AA2859))))</f>
        <v/>
      </c>
      <c r="AD2859" s="14">
        <f>IF($B2859="","",IF(AND($AE2859&lt;&gt;"",$AG2859="",$AJ2859=""),"保留中",IF($AJ2859&lt;&gt;"",IF(N($AC2859)&gt;0,"支給済","不支給"),IF($AC2859="","要確認",IF($AC2859=0,"不支給","未処理")))))</f>
        <v/>
      </c>
      <c r="AE2859" s="12" t="n"/>
      <c r="AF2859" s="11" t="n"/>
      <c r="AG2859" s="11" t="n"/>
      <c r="AH2859" s="11" t="n"/>
      <c r="AI2859" s="14">
        <f>IF(AND($AD2859="保留中",$AF2859&lt;&gt;""),TODAY()-$AF2859,"")</f>
        <v/>
      </c>
      <c r="AJ2859" s="12" t="n"/>
      <c r="AK2859" s="14">
        <f>IF($B2859="","",IF($AO2859="","対象年月が未入力／","")&amp;IF($B2859="","",IF($AN2859="","職員マスタに未登録の職員番号／",IF($Y2859="","標準報酬月額が未登録／","")&amp;IF(AND($AO2859&lt;&gt;"",OR(AND(INDEX(職員マスタ!$G$6:$G$405,$AN2859)&lt;&gt;"",INDEX(職員マスタ!$G$6:$G$405,$AN2859)&gt;EOMONTH($AO2859,0)),AND(INDEX(職員マスタ!$H$6:$H$405,$AN2859)&lt;&gt;"",INDEX(職員マスタ!$H$6:$H$405,$AN2859)&lt;$AO2859))),"対象月が時短期間外／","")&amp;IF(AND(INDEX(職員マスタ!$F$6:$F$405,$AN2859)&lt;&gt;"",$AO2859&lt;&gt;"",INDEX(職員マスタ!$F$6:$F$405,$AN2859)&lt;$AO2859),"対象月に子が2歳到達済／","")&amp;IF(AND($H2859&lt;&gt;"",INDEX(職員マスタ!$B$6:$B$405,$AN2859)&lt;&gt;"",SUBSTITUTE(SUBSTITUTE($H2859," ","")," ","")&lt;&gt;SUBSTITUTE(SUBSTITUTE(INDEX(職員マスタ!$B$6:$B$405,$AN2859)," ","")," ","")),"氏名がマスタと相違／","")&amp;IF(AND($Q2859&lt;&gt;"",INDEX(職員マスタ!$E$6:$E$405,$AN2859)&lt;&gt;"",$Q2859&lt;&gt;INDEX(職員マスタ!$E$6:$E$405,$AN2859)),"子の生年月日がマスタと相違／","")&amp;IF(AND($L2859&lt;&gt;"",INDEX(職員マスタ!$G$6:$G$405,$AN2859)&lt;&gt;"",$L2859&lt;&gt;INDEX(職員マスタ!$G$6:$G$405,$AN2859)),"時短開始日がマスタと相違／","")&amp;IF(AND($M2859&lt;&gt;"",INDEX(職員マスタ!$H$6:$H$405,$AN2859)&lt;&gt;"",$M2859&lt;&gt;INDEX(職員マスタ!$H$6:$H$405,$AN2859)),"時短終了日がマスタと相違／","")))&amp;IF(AND($B2859&lt;&gt;"",$E2859=""),"報酬額が未入力／","")&amp;IF(N($U2859)&gt;0,"申請書に入力エラーが残っています／","")&amp;IF(AND($B2859&lt;&gt;"",$AO2859&lt;&gt;""),IF(COUNTIFS($B$6:$B$3005,$B2859,$C$6:$C$3005,$C2859,$D$6:$D$3005,$D2859)&gt;1,"同じ月の請求が重複しています／",""),"")&amp;IF(AND(N($E2859)&gt;0,$Z2859&lt;&gt;"",$Z2859&lt;&gt;"×",$AC2859=0,$AB2859=""),"計算額が下限以下のため不支給／",""))</f>
        <v/>
      </c>
      <c r="AL2859" s="12" t="n"/>
      <c r="AM2859" s="14">
        <f>IF($AD2859="保留中",COUNTIF($AD$6:$AD2859,"保留中"),"")</f>
        <v/>
      </c>
      <c r="AN2859" s="14">
        <f>IF($AO2859="","",IF(SUMPRODUCT(MAX((職員マスタ!$A$6:$A$405=$B2859)*(((職員マスタ!$G$6:$G$405="")+(職員マスタ!$G$6:$G$405&lt;=EOMONTH($AO2859,0)))&gt;0)*(((職員マスタ!$H$6:$H$405="")+(職員マスタ!$H$6:$H$405&gt;=$AO2859))&gt;0)*(ROW(職員マスタ!$A$6:$A$405)-5)))&gt;0,SUMPRODUCT(MAX((職員マスタ!$A$6:$A$405=$B2859)*(((職員マスタ!$G$6:$G$405="")+(職員マスタ!$G$6:$G$405&lt;=EOMONTH($AO2859,0)))&gt;0)*(((職員マスタ!$H$6:$H$405="")+(職員マスタ!$H$6:$H$405&gt;=$AO2859))&gt;0)*(ROW(職員マスタ!$A$6:$A$405)-5))),IFERROR(MATCH($B2859,職員マスタ!$A$6:$A$405,0),"")))</f>
        <v/>
      </c>
      <c r="AO2859" s="16">
        <f>IF(OR($B2859="",$C2859="",$D2859=""),"",DATE($C2859+2018,$D2859,1))</f>
        <v/>
      </c>
    </row>
    <row r="2860">
      <c r="A2860" s="11" t="n"/>
      <c r="B2860" s="12" t="n"/>
      <c r="C2860" s="12" t="n"/>
      <c r="D2860" s="12" t="n"/>
      <c r="E2860" s="13" t="n"/>
      <c r="F2860" s="12" t="n"/>
      <c r="G2860" s="13" t="n"/>
      <c r="H2860" s="12" t="n"/>
      <c r="I2860" s="12" t="n"/>
      <c r="J2860" s="12" t="n"/>
      <c r="K2860" s="12" t="n"/>
      <c r="L2860" s="11" t="n"/>
      <c r="M2860" s="11" t="n"/>
      <c r="N2860" s="11" t="n"/>
      <c r="O2860" s="11" t="n"/>
      <c r="P2860" s="12" t="n"/>
      <c r="Q2860" s="11" t="n"/>
      <c r="R2860" s="12" t="n"/>
      <c r="S2860" s="11" t="n"/>
      <c r="T2860" s="12" t="n"/>
      <c r="U2860" s="12" t="n"/>
      <c r="V2860" s="14">
        <f>IF($AN2860="",IF($B2860="","",$H2860),IF(INDEX(職員マスタ!$B$6:$B$405,$AN2860)="",$H2860,INDEX(職員マスタ!$B$6:$B$405,$AN2860)))</f>
        <v/>
      </c>
      <c r="W2860" s="14">
        <f>IF($AN2860="",IF($B2860="","",$R2860),IF(INDEX(職員マスタ!$C$6:$C$405,$AN2860)="",$R2860,INDEX(職員マスタ!$C$6:$C$405,$AN2860)))</f>
        <v/>
      </c>
      <c r="X2860" s="14">
        <f>IF($AO2860="","","R"&amp;$C2860&amp;"."&amp;$D2860)</f>
        <v/>
      </c>
      <c r="Y2860" s="15">
        <f>IF($AN2860="","",IF(INDEX(職員マスタ!$K$6:$K$405,$AN2860)="","",INDEX(職員マスタ!$K$6:$K$405,$AN2860)))</f>
        <v/>
      </c>
      <c r="Z2860" s="14">
        <f>IF(OR($E2860="",$Y2860=""),"",IF($E2860&gt;=$Y2860,"×",IF($E2860&gt;=$Y2860*設定!$C$5,"△","○")))</f>
        <v/>
      </c>
      <c r="AA2860" s="15">
        <f>IF($Z2860="","",IF($Z2860="×",0,IF($Z2860="○",ROUNDDOWN($E2860*設定!$C$4,0),ROUNDDOWN($E2860*ROUND((9*$Y2860-9*$E2860)/(10*$E2860),4),0))))</f>
        <v/>
      </c>
      <c r="AB2860" s="13" t="n"/>
      <c r="AC2860" s="15">
        <f>IF($B2860="","",IF($AB2860&lt;&gt;"",$AB2860,IF($AA2860="","",IF($AA2860&lt;=設定!$C$3,0,$AA2860))))</f>
        <v/>
      </c>
      <c r="AD2860" s="14">
        <f>IF($B2860="","",IF(AND($AE2860&lt;&gt;"",$AG2860="",$AJ2860=""),"保留中",IF($AJ2860&lt;&gt;"",IF(N($AC2860)&gt;0,"支給済","不支給"),IF($AC2860="","要確認",IF($AC2860=0,"不支給","未処理")))))</f>
        <v/>
      </c>
      <c r="AE2860" s="12" t="n"/>
      <c r="AF2860" s="11" t="n"/>
      <c r="AG2860" s="11" t="n"/>
      <c r="AH2860" s="11" t="n"/>
      <c r="AI2860" s="14">
        <f>IF(AND($AD2860="保留中",$AF2860&lt;&gt;""),TODAY()-$AF2860,"")</f>
        <v/>
      </c>
      <c r="AJ2860" s="12" t="n"/>
      <c r="AK2860" s="14">
        <f>IF($B2860="","",IF($AO2860="","対象年月が未入力／","")&amp;IF($B2860="","",IF($AN2860="","職員マスタに未登録の職員番号／",IF($Y2860="","標準報酬月額が未登録／","")&amp;IF(AND($AO2860&lt;&gt;"",OR(AND(INDEX(職員マスタ!$G$6:$G$405,$AN2860)&lt;&gt;"",INDEX(職員マスタ!$G$6:$G$405,$AN2860)&gt;EOMONTH($AO2860,0)),AND(INDEX(職員マスタ!$H$6:$H$405,$AN2860)&lt;&gt;"",INDEX(職員マスタ!$H$6:$H$405,$AN2860)&lt;$AO2860))),"対象月が時短期間外／","")&amp;IF(AND(INDEX(職員マスタ!$F$6:$F$405,$AN2860)&lt;&gt;"",$AO2860&lt;&gt;"",INDEX(職員マスタ!$F$6:$F$405,$AN2860)&lt;$AO2860),"対象月に子が2歳到達済／","")&amp;IF(AND($H2860&lt;&gt;"",INDEX(職員マスタ!$B$6:$B$405,$AN2860)&lt;&gt;"",SUBSTITUTE(SUBSTITUTE($H2860," ","")," ","")&lt;&gt;SUBSTITUTE(SUBSTITUTE(INDEX(職員マスタ!$B$6:$B$405,$AN2860)," ","")," ","")),"氏名がマスタと相違／","")&amp;IF(AND($Q2860&lt;&gt;"",INDEX(職員マスタ!$E$6:$E$405,$AN2860)&lt;&gt;"",$Q2860&lt;&gt;INDEX(職員マスタ!$E$6:$E$405,$AN2860)),"子の生年月日がマスタと相違／","")&amp;IF(AND($L2860&lt;&gt;"",INDEX(職員マスタ!$G$6:$G$405,$AN2860)&lt;&gt;"",$L2860&lt;&gt;INDEX(職員マスタ!$G$6:$G$405,$AN2860)),"時短開始日がマスタと相違／","")&amp;IF(AND($M2860&lt;&gt;"",INDEX(職員マスタ!$H$6:$H$405,$AN2860)&lt;&gt;"",$M2860&lt;&gt;INDEX(職員マスタ!$H$6:$H$405,$AN2860)),"時短終了日がマスタと相違／","")))&amp;IF(AND($B2860&lt;&gt;"",$E2860=""),"報酬額が未入力／","")&amp;IF(N($U2860)&gt;0,"申請書に入力エラーが残っています／","")&amp;IF(AND($B2860&lt;&gt;"",$AO2860&lt;&gt;""),IF(COUNTIFS($B$6:$B$3005,$B2860,$C$6:$C$3005,$C2860,$D$6:$D$3005,$D2860)&gt;1,"同じ月の請求が重複しています／",""),"")&amp;IF(AND(N($E2860)&gt;0,$Z2860&lt;&gt;"",$Z2860&lt;&gt;"×",$AC2860=0,$AB2860=""),"計算額が下限以下のため不支給／",""))</f>
        <v/>
      </c>
      <c r="AL2860" s="12" t="n"/>
      <c r="AM2860" s="14">
        <f>IF($AD2860="保留中",COUNTIF($AD$6:$AD2860,"保留中"),"")</f>
        <v/>
      </c>
      <c r="AN2860" s="14">
        <f>IF($AO2860="","",IF(SUMPRODUCT(MAX((職員マスタ!$A$6:$A$405=$B2860)*(((職員マスタ!$G$6:$G$405="")+(職員マスタ!$G$6:$G$405&lt;=EOMONTH($AO2860,0)))&gt;0)*(((職員マスタ!$H$6:$H$405="")+(職員マスタ!$H$6:$H$405&gt;=$AO2860))&gt;0)*(ROW(職員マスタ!$A$6:$A$405)-5)))&gt;0,SUMPRODUCT(MAX((職員マスタ!$A$6:$A$405=$B2860)*(((職員マスタ!$G$6:$G$405="")+(職員マスタ!$G$6:$G$405&lt;=EOMONTH($AO2860,0)))&gt;0)*(((職員マスタ!$H$6:$H$405="")+(職員マスタ!$H$6:$H$405&gt;=$AO2860))&gt;0)*(ROW(職員マスタ!$A$6:$A$405)-5))),IFERROR(MATCH($B2860,職員マスタ!$A$6:$A$405,0),"")))</f>
        <v/>
      </c>
      <c r="AO2860" s="16">
        <f>IF(OR($B2860="",$C2860="",$D2860=""),"",DATE($C2860+2018,$D2860,1))</f>
        <v/>
      </c>
    </row>
    <row r="2861">
      <c r="A2861" s="11" t="n"/>
      <c r="B2861" s="12" t="n"/>
      <c r="C2861" s="12" t="n"/>
      <c r="D2861" s="12" t="n"/>
      <c r="E2861" s="13" t="n"/>
      <c r="F2861" s="12" t="n"/>
      <c r="G2861" s="13" t="n"/>
      <c r="H2861" s="12" t="n"/>
      <c r="I2861" s="12" t="n"/>
      <c r="J2861" s="12" t="n"/>
      <c r="K2861" s="12" t="n"/>
      <c r="L2861" s="11" t="n"/>
      <c r="M2861" s="11" t="n"/>
      <c r="N2861" s="11" t="n"/>
      <c r="O2861" s="11" t="n"/>
      <c r="P2861" s="12" t="n"/>
      <c r="Q2861" s="11" t="n"/>
      <c r="R2861" s="12" t="n"/>
      <c r="S2861" s="11" t="n"/>
      <c r="T2861" s="12" t="n"/>
      <c r="U2861" s="12" t="n"/>
      <c r="V2861" s="14">
        <f>IF($AN2861="",IF($B2861="","",$H2861),IF(INDEX(職員マスタ!$B$6:$B$405,$AN2861)="",$H2861,INDEX(職員マスタ!$B$6:$B$405,$AN2861)))</f>
        <v/>
      </c>
      <c r="W2861" s="14">
        <f>IF($AN2861="",IF($B2861="","",$R2861),IF(INDEX(職員マスタ!$C$6:$C$405,$AN2861)="",$R2861,INDEX(職員マスタ!$C$6:$C$405,$AN2861)))</f>
        <v/>
      </c>
      <c r="X2861" s="14">
        <f>IF($AO2861="","","R"&amp;$C2861&amp;"."&amp;$D2861)</f>
        <v/>
      </c>
      <c r="Y2861" s="15">
        <f>IF($AN2861="","",IF(INDEX(職員マスタ!$K$6:$K$405,$AN2861)="","",INDEX(職員マスタ!$K$6:$K$405,$AN2861)))</f>
        <v/>
      </c>
      <c r="Z2861" s="14">
        <f>IF(OR($E2861="",$Y2861=""),"",IF($E2861&gt;=$Y2861,"×",IF($E2861&gt;=$Y2861*設定!$C$5,"△","○")))</f>
        <v/>
      </c>
      <c r="AA2861" s="15">
        <f>IF($Z2861="","",IF($Z2861="×",0,IF($Z2861="○",ROUNDDOWN($E2861*設定!$C$4,0),ROUNDDOWN($E2861*ROUND((9*$Y2861-9*$E2861)/(10*$E2861),4),0))))</f>
        <v/>
      </c>
      <c r="AB2861" s="13" t="n"/>
      <c r="AC2861" s="15">
        <f>IF($B2861="","",IF($AB2861&lt;&gt;"",$AB2861,IF($AA2861="","",IF($AA2861&lt;=設定!$C$3,0,$AA2861))))</f>
        <v/>
      </c>
      <c r="AD2861" s="14">
        <f>IF($B2861="","",IF(AND($AE2861&lt;&gt;"",$AG2861="",$AJ2861=""),"保留中",IF($AJ2861&lt;&gt;"",IF(N($AC2861)&gt;0,"支給済","不支給"),IF($AC2861="","要確認",IF($AC2861=0,"不支給","未処理")))))</f>
        <v/>
      </c>
      <c r="AE2861" s="12" t="n"/>
      <c r="AF2861" s="11" t="n"/>
      <c r="AG2861" s="11" t="n"/>
      <c r="AH2861" s="11" t="n"/>
      <c r="AI2861" s="14">
        <f>IF(AND($AD2861="保留中",$AF2861&lt;&gt;""),TODAY()-$AF2861,"")</f>
        <v/>
      </c>
      <c r="AJ2861" s="12" t="n"/>
      <c r="AK2861" s="14">
        <f>IF($B2861="","",IF($AO2861="","対象年月が未入力／","")&amp;IF($B2861="","",IF($AN2861="","職員マスタに未登録の職員番号／",IF($Y2861="","標準報酬月額が未登録／","")&amp;IF(AND($AO2861&lt;&gt;"",OR(AND(INDEX(職員マスタ!$G$6:$G$405,$AN2861)&lt;&gt;"",INDEX(職員マスタ!$G$6:$G$405,$AN2861)&gt;EOMONTH($AO2861,0)),AND(INDEX(職員マスタ!$H$6:$H$405,$AN2861)&lt;&gt;"",INDEX(職員マスタ!$H$6:$H$405,$AN2861)&lt;$AO2861))),"対象月が時短期間外／","")&amp;IF(AND(INDEX(職員マスタ!$F$6:$F$405,$AN2861)&lt;&gt;"",$AO2861&lt;&gt;"",INDEX(職員マスタ!$F$6:$F$405,$AN2861)&lt;$AO2861),"対象月に子が2歳到達済／","")&amp;IF(AND($H2861&lt;&gt;"",INDEX(職員マスタ!$B$6:$B$405,$AN2861)&lt;&gt;"",SUBSTITUTE(SUBSTITUTE($H2861," ","")," ","")&lt;&gt;SUBSTITUTE(SUBSTITUTE(INDEX(職員マスタ!$B$6:$B$405,$AN2861)," ","")," ","")),"氏名がマスタと相違／","")&amp;IF(AND($Q2861&lt;&gt;"",INDEX(職員マスタ!$E$6:$E$405,$AN2861)&lt;&gt;"",$Q2861&lt;&gt;INDEX(職員マスタ!$E$6:$E$405,$AN2861)),"子の生年月日がマスタと相違／","")&amp;IF(AND($L2861&lt;&gt;"",INDEX(職員マスタ!$G$6:$G$405,$AN2861)&lt;&gt;"",$L2861&lt;&gt;INDEX(職員マスタ!$G$6:$G$405,$AN2861)),"時短開始日がマスタと相違／","")&amp;IF(AND($M2861&lt;&gt;"",INDEX(職員マスタ!$H$6:$H$405,$AN2861)&lt;&gt;"",$M2861&lt;&gt;INDEX(職員マスタ!$H$6:$H$405,$AN2861)),"時短終了日がマスタと相違／","")))&amp;IF(AND($B2861&lt;&gt;"",$E2861=""),"報酬額が未入力／","")&amp;IF(N($U2861)&gt;0,"申請書に入力エラーが残っています／","")&amp;IF(AND($B2861&lt;&gt;"",$AO2861&lt;&gt;""),IF(COUNTIFS($B$6:$B$3005,$B2861,$C$6:$C$3005,$C2861,$D$6:$D$3005,$D2861)&gt;1,"同じ月の請求が重複しています／",""),"")&amp;IF(AND(N($E2861)&gt;0,$Z2861&lt;&gt;"",$Z2861&lt;&gt;"×",$AC2861=0,$AB2861=""),"計算額が下限以下のため不支給／",""))</f>
        <v/>
      </c>
      <c r="AL2861" s="12" t="n"/>
      <c r="AM2861" s="14">
        <f>IF($AD2861="保留中",COUNTIF($AD$6:$AD2861,"保留中"),"")</f>
        <v/>
      </c>
      <c r="AN2861" s="14">
        <f>IF($AO2861="","",IF(SUMPRODUCT(MAX((職員マスタ!$A$6:$A$405=$B2861)*(((職員マスタ!$G$6:$G$405="")+(職員マスタ!$G$6:$G$405&lt;=EOMONTH($AO2861,0)))&gt;0)*(((職員マスタ!$H$6:$H$405="")+(職員マスタ!$H$6:$H$405&gt;=$AO2861))&gt;0)*(ROW(職員マスタ!$A$6:$A$405)-5)))&gt;0,SUMPRODUCT(MAX((職員マスタ!$A$6:$A$405=$B2861)*(((職員マスタ!$G$6:$G$405="")+(職員マスタ!$G$6:$G$405&lt;=EOMONTH($AO2861,0)))&gt;0)*(((職員マスタ!$H$6:$H$405="")+(職員マスタ!$H$6:$H$405&gt;=$AO2861))&gt;0)*(ROW(職員マスタ!$A$6:$A$405)-5))),IFERROR(MATCH($B2861,職員マスタ!$A$6:$A$405,0),"")))</f>
        <v/>
      </c>
      <c r="AO2861" s="16">
        <f>IF(OR($B2861="",$C2861="",$D2861=""),"",DATE($C2861+2018,$D2861,1))</f>
        <v/>
      </c>
    </row>
    <row r="2862">
      <c r="A2862" s="11" t="n"/>
      <c r="B2862" s="12" t="n"/>
      <c r="C2862" s="12" t="n"/>
      <c r="D2862" s="12" t="n"/>
      <c r="E2862" s="13" t="n"/>
      <c r="F2862" s="12" t="n"/>
      <c r="G2862" s="13" t="n"/>
      <c r="H2862" s="12" t="n"/>
      <c r="I2862" s="12" t="n"/>
      <c r="J2862" s="12" t="n"/>
      <c r="K2862" s="12" t="n"/>
      <c r="L2862" s="11" t="n"/>
      <c r="M2862" s="11" t="n"/>
      <c r="N2862" s="11" t="n"/>
      <c r="O2862" s="11" t="n"/>
      <c r="P2862" s="12" t="n"/>
      <c r="Q2862" s="11" t="n"/>
      <c r="R2862" s="12" t="n"/>
      <c r="S2862" s="11" t="n"/>
      <c r="T2862" s="12" t="n"/>
      <c r="U2862" s="12" t="n"/>
      <c r="V2862" s="14">
        <f>IF($AN2862="",IF($B2862="","",$H2862),IF(INDEX(職員マスタ!$B$6:$B$405,$AN2862)="",$H2862,INDEX(職員マスタ!$B$6:$B$405,$AN2862)))</f>
        <v/>
      </c>
      <c r="W2862" s="14">
        <f>IF($AN2862="",IF($B2862="","",$R2862),IF(INDEX(職員マスタ!$C$6:$C$405,$AN2862)="",$R2862,INDEX(職員マスタ!$C$6:$C$405,$AN2862)))</f>
        <v/>
      </c>
      <c r="X2862" s="14">
        <f>IF($AO2862="","","R"&amp;$C2862&amp;"."&amp;$D2862)</f>
        <v/>
      </c>
      <c r="Y2862" s="15">
        <f>IF($AN2862="","",IF(INDEX(職員マスタ!$K$6:$K$405,$AN2862)="","",INDEX(職員マスタ!$K$6:$K$405,$AN2862)))</f>
        <v/>
      </c>
      <c r="Z2862" s="14">
        <f>IF(OR($E2862="",$Y2862=""),"",IF($E2862&gt;=$Y2862,"×",IF($E2862&gt;=$Y2862*設定!$C$5,"△","○")))</f>
        <v/>
      </c>
      <c r="AA2862" s="15">
        <f>IF($Z2862="","",IF($Z2862="×",0,IF($Z2862="○",ROUNDDOWN($E2862*設定!$C$4,0),ROUNDDOWN($E2862*ROUND((9*$Y2862-9*$E2862)/(10*$E2862),4),0))))</f>
        <v/>
      </c>
      <c r="AB2862" s="13" t="n"/>
      <c r="AC2862" s="15">
        <f>IF($B2862="","",IF($AB2862&lt;&gt;"",$AB2862,IF($AA2862="","",IF($AA2862&lt;=設定!$C$3,0,$AA2862))))</f>
        <v/>
      </c>
      <c r="AD2862" s="14">
        <f>IF($B2862="","",IF(AND($AE2862&lt;&gt;"",$AG2862="",$AJ2862=""),"保留中",IF($AJ2862&lt;&gt;"",IF(N($AC2862)&gt;0,"支給済","不支給"),IF($AC2862="","要確認",IF($AC2862=0,"不支給","未処理")))))</f>
        <v/>
      </c>
      <c r="AE2862" s="12" t="n"/>
      <c r="AF2862" s="11" t="n"/>
      <c r="AG2862" s="11" t="n"/>
      <c r="AH2862" s="11" t="n"/>
      <c r="AI2862" s="14">
        <f>IF(AND($AD2862="保留中",$AF2862&lt;&gt;""),TODAY()-$AF2862,"")</f>
        <v/>
      </c>
      <c r="AJ2862" s="12" t="n"/>
      <c r="AK2862" s="14">
        <f>IF($B2862="","",IF($AO2862="","対象年月が未入力／","")&amp;IF($B2862="","",IF($AN2862="","職員マスタに未登録の職員番号／",IF($Y2862="","標準報酬月額が未登録／","")&amp;IF(AND($AO2862&lt;&gt;"",OR(AND(INDEX(職員マスタ!$G$6:$G$405,$AN2862)&lt;&gt;"",INDEX(職員マスタ!$G$6:$G$405,$AN2862)&gt;EOMONTH($AO2862,0)),AND(INDEX(職員マスタ!$H$6:$H$405,$AN2862)&lt;&gt;"",INDEX(職員マスタ!$H$6:$H$405,$AN2862)&lt;$AO2862))),"対象月が時短期間外／","")&amp;IF(AND(INDEX(職員マスタ!$F$6:$F$405,$AN2862)&lt;&gt;"",$AO2862&lt;&gt;"",INDEX(職員マスタ!$F$6:$F$405,$AN2862)&lt;$AO2862),"対象月に子が2歳到達済／","")&amp;IF(AND($H2862&lt;&gt;"",INDEX(職員マスタ!$B$6:$B$405,$AN2862)&lt;&gt;"",SUBSTITUTE(SUBSTITUTE($H2862," ","")," ","")&lt;&gt;SUBSTITUTE(SUBSTITUTE(INDEX(職員マスタ!$B$6:$B$405,$AN2862)," ","")," ","")),"氏名がマスタと相違／","")&amp;IF(AND($Q2862&lt;&gt;"",INDEX(職員マスタ!$E$6:$E$405,$AN2862)&lt;&gt;"",$Q2862&lt;&gt;INDEX(職員マスタ!$E$6:$E$405,$AN2862)),"子の生年月日がマスタと相違／","")&amp;IF(AND($L2862&lt;&gt;"",INDEX(職員マスタ!$G$6:$G$405,$AN2862)&lt;&gt;"",$L2862&lt;&gt;INDEX(職員マスタ!$G$6:$G$405,$AN2862)),"時短開始日がマスタと相違／","")&amp;IF(AND($M2862&lt;&gt;"",INDEX(職員マスタ!$H$6:$H$405,$AN2862)&lt;&gt;"",$M2862&lt;&gt;INDEX(職員マスタ!$H$6:$H$405,$AN2862)),"時短終了日がマスタと相違／","")))&amp;IF(AND($B2862&lt;&gt;"",$E2862=""),"報酬額が未入力／","")&amp;IF(N($U2862)&gt;0,"申請書に入力エラーが残っています／","")&amp;IF(AND($B2862&lt;&gt;"",$AO2862&lt;&gt;""),IF(COUNTIFS($B$6:$B$3005,$B2862,$C$6:$C$3005,$C2862,$D$6:$D$3005,$D2862)&gt;1,"同じ月の請求が重複しています／",""),"")&amp;IF(AND(N($E2862)&gt;0,$Z2862&lt;&gt;"",$Z2862&lt;&gt;"×",$AC2862=0,$AB2862=""),"計算額が下限以下のため不支給／",""))</f>
        <v/>
      </c>
      <c r="AL2862" s="12" t="n"/>
      <c r="AM2862" s="14">
        <f>IF($AD2862="保留中",COUNTIF($AD$6:$AD2862,"保留中"),"")</f>
        <v/>
      </c>
      <c r="AN2862" s="14">
        <f>IF($AO2862="","",IF(SUMPRODUCT(MAX((職員マスタ!$A$6:$A$405=$B2862)*(((職員マスタ!$G$6:$G$405="")+(職員マスタ!$G$6:$G$405&lt;=EOMONTH($AO2862,0)))&gt;0)*(((職員マスタ!$H$6:$H$405="")+(職員マスタ!$H$6:$H$405&gt;=$AO2862))&gt;0)*(ROW(職員マスタ!$A$6:$A$405)-5)))&gt;0,SUMPRODUCT(MAX((職員マスタ!$A$6:$A$405=$B2862)*(((職員マスタ!$G$6:$G$405="")+(職員マスタ!$G$6:$G$405&lt;=EOMONTH($AO2862,0)))&gt;0)*(((職員マスタ!$H$6:$H$405="")+(職員マスタ!$H$6:$H$405&gt;=$AO2862))&gt;0)*(ROW(職員マスタ!$A$6:$A$405)-5))),IFERROR(MATCH($B2862,職員マスタ!$A$6:$A$405,0),"")))</f>
        <v/>
      </c>
      <c r="AO2862" s="16">
        <f>IF(OR($B2862="",$C2862="",$D2862=""),"",DATE($C2862+2018,$D2862,1))</f>
        <v/>
      </c>
    </row>
    <row r="2863">
      <c r="A2863" s="11" t="n"/>
      <c r="B2863" s="12" t="n"/>
      <c r="C2863" s="12" t="n"/>
      <c r="D2863" s="12" t="n"/>
      <c r="E2863" s="13" t="n"/>
      <c r="F2863" s="12" t="n"/>
      <c r="G2863" s="13" t="n"/>
      <c r="H2863" s="12" t="n"/>
      <c r="I2863" s="12" t="n"/>
      <c r="J2863" s="12" t="n"/>
      <c r="K2863" s="12" t="n"/>
      <c r="L2863" s="11" t="n"/>
      <c r="M2863" s="11" t="n"/>
      <c r="N2863" s="11" t="n"/>
      <c r="O2863" s="11" t="n"/>
      <c r="P2863" s="12" t="n"/>
      <c r="Q2863" s="11" t="n"/>
      <c r="R2863" s="12" t="n"/>
      <c r="S2863" s="11" t="n"/>
      <c r="T2863" s="12" t="n"/>
      <c r="U2863" s="12" t="n"/>
      <c r="V2863" s="14">
        <f>IF($AN2863="",IF($B2863="","",$H2863),IF(INDEX(職員マスタ!$B$6:$B$405,$AN2863)="",$H2863,INDEX(職員マスタ!$B$6:$B$405,$AN2863)))</f>
        <v/>
      </c>
      <c r="W2863" s="14">
        <f>IF($AN2863="",IF($B2863="","",$R2863),IF(INDEX(職員マスタ!$C$6:$C$405,$AN2863)="",$R2863,INDEX(職員マスタ!$C$6:$C$405,$AN2863)))</f>
        <v/>
      </c>
      <c r="X2863" s="14">
        <f>IF($AO2863="","","R"&amp;$C2863&amp;"."&amp;$D2863)</f>
        <v/>
      </c>
      <c r="Y2863" s="15">
        <f>IF($AN2863="","",IF(INDEX(職員マスタ!$K$6:$K$405,$AN2863)="","",INDEX(職員マスタ!$K$6:$K$405,$AN2863)))</f>
        <v/>
      </c>
      <c r="Z2863" s="14">
        <f>IF(OR($E2863="",$Y2863=""),"",IF($E2863&gt;=$Y2863,"×",IF($E2863&gt;=$Y2863*設定!$C$5,"△","○")))</f>
        <v/>
      </c>
      <c r="AA2863" s="15">
        <f>IF($Z2863="","",IF($Z2863="×",0,IF($Z2863="○",ROUNDDOWN($E2863*設定!$C$4,0),ROUNDDOWN($E2863*ROUND((9*$Y2863-9*$E2863)/(10*$E2863),4),0))))</f>
        <v/>
      </c>
      <c r="AB2863" s="13" t="n"/>
      <c r="AC2863" s="15">
        <f>IF($B2863="","",IF($AB2863&lt;&gt;"",$AB2863,IF($AA2863="","",IF($AA2863&lt;=設定!$C$3,0,$AA2863))))</f>
        <v/>
      </c>
      <c r="AD2863" s="14">
        <f>IF($B2863="","",IF(AND($AE2863&lt;&gt;"",$AG2863="",$AJ2863=""),"保留中",IF($AJ2863&lt;&gt;"",IF(N($AC2863)&gt;0,"支給済","不支給"),IF($AC2863="","要確認",IF($AC2863=0,"不支給","未処理")))))</f>
        <v/>
      </c>
      <c r="AE2863" s="12" t="n"/>
      <c r="AF2863" s="11" t="n"/>
      <c r="AG2863" s="11" t="n"/>
      <c r="AH2863" s="11" t="n"/>
      <c r="AI2863" s="14">
        <f>IF(AND($AD2863="保留中",$AF2863&lt;&gt;""),TODAY()-$AF2863,"")</f>
        <v/>
      </c>
      <c r="AJ2863" s="12" t="n"/>
      <c r="AK2863" s="14">
        <f>IF($B2863="","",IF($AO2863="","対象年月が未入力／","")&amp;IF($B2863="","",IF($AN2863="","職員マスタに未登録の職員番号／",IF($Y2863="","標準報酬月額が未登録／","")&amp;IF(AND($AO2863&lt;&gt;"",OR(AND(INDEX(職員マスタ!$G$6:$G$405,$AN2863)&lt;&gt;"",INDEX(職員マスタ!$G$6:$G$405,$AN2863)&gt;EOMONTH($AO2863,0)),AND(INDEX(職員マスタ!$H$6:$H$405,$AN2863)&lt;&gt;"",INDEX(職員マスタ!$H$6:$H$405,$AN2863)&lt;$AO2863))),"対象月が時短期間外／","")&amp;IF(AND(INDEX(職員マスタ!$F$6:$F$405,$AN2863)&lt;&gt;"",$AO2863&lt;&gt;"",INDEX(職員マスタ!$F$6:$F$405,$AN2863)&lt;$AO2863),"対象月に子が2歳到達済／","")&amp;IF(AND($H2863&lt;&gt;"",INDEX(職員マスタ!$B$6:$B$405,$AN2863)&lt;&gt;"",SUBSTITUTE(SUBSTITUTE($H2863," ","")," ","")&lt;&gt;SUBSTITUTE(SUBSTITUTE(INDEX(職員マスタ!$B$6:$B$405,$AN2863)," ","")," ","")),"氏名がマスタと相違／","")&amp;IF(AND($Q2863&lt;&gt;"",INDEX(職員マスタ!$E$6:$E$405,$AN2863)&lt;&gt;"",$Q2863&lt;&gt;INDEX(職員マスタ!$E$6:$E$405,$AN2863)),"子の生年月日がマスタと相違／","")&amp;IF(AND($L2863&lt;&gt;"",INDEX(職員マスタ!$G$6:$G$405,$AN2863)&lt;&gt;"",$L2863&lt;&gt;INDEX(職員マスタ!$G$6:$G$405,$AN2863)),"時短開始日がマスタと相違／","")&amp;IF(AND($M2863&lt;&gt;"",INDEX(職員マスタ!$H$6:$H$405,$AN2863)&lt;&gt;"",$M2863&lt;&gt;INDEX(職員マスタ!$H$6:$H$405,$AN2863)),"時短終了日がマスタと相違／","")))&amp;IF(AND($B2863&lt;&gt;"",$E2863=""),"報酬額が未入力／","")&amp;IF(N($U2863)&gt;0,"申請書に入力エラーが残っています／","")&amp;IF(AND($B2863&lt;&gt;"",$AO2863&lt;&gt;""),IF(COUNTIFS($B$6:$B$3005,$B2863,$C$6:$C$3005,$C2863,$D$6:$D$3005,$D2863)&gt;1,"同じ月の請求が重複しています／",""),"")&amp;IF(AND(N($E2863)&gt;0,$Z2863&lt;&gt;"",$Z2863&lt;&gt;"×",$AC2863=0,$AB2863=""),"計算額が下限以下のため不支給／",""))</f>
        <v/>
      </c>
      <c r="AL2863" s="12" t="n"/>
      <c r="AM2863" s="14">
        <f>IF($AD2863="保留中",COUNTIF($AD$6:$AD2863,"保留中"),"")</f>
        <v/>
      </c>
      <c r="AN2863" s="14">
        <f>IF($AO2863="","",IF(SUMPRODUCT(MAX((職員マスタ!$A$6:$A$405=$B2863)*(((職員マスタ!$G$6:$G$405="")+(職員マスタ!$G$6:$G$405&lt;=EOMONTH($AO2863,0)))&gt;0)*(((職員マスタ!$H$6:$H$405="")+(職員マスタ!$H$6:$H$405&gt;=$AO2863))&gt;0)*(ROW(職員マスタ!$A$6:$A$405)-5)))&gt;0,SUMPRODUCT(MAX((職員マスタ!$A$6:$A$405=$B2863)*(((職員マスタ!$G$6:$G$405="")+(職員マスタ!$G$6:$G$405&lt;=EOMONTH($AO2863,0)))&gt;0)*(((職員マスタ!$H$6:$H$405="")+(職員マスタ!$H$6:$H$405&gt;=$AO2863))&gt;0)*(ROW(職員マスタ!$A$6:$A$405)-5))),IFERROR(MATCH($B2863,職員マスタ!$A$6:$A$405,0),"")))</f>
        <v/>
      </c>
      <c r="AO2863" s="16">
        <f>IF(OR($B2863="",$C2863="",$D2863=""),"",DATE($C2863+2018,$D2863,1))</f>
        <v/>
      </c>
    </row>
    <row r="2864">
      <c r="A2864" s="11" t="n"/>
      <c r="B2864" s="12" t="n"/>
      <c r="C2864" s="12" t="n"/>
      <c r="D2864" s="12" t="n"/>
      <c r="E2864" s="13" t="n"/>
      <c r="F2864" s="12" t="n"/>
      <c r="G2864" s="13" t="n"/>
      <c r="H2864" s="12" t="n"/>
      <c r="I2864" s="12" t="n"/>
      <c r="J2864" s="12" t="n"/>
      <c r="K2864" s="12" t="n"/>
      <c r="L2864" s="11" t="n"/>
      <c r="M2864" s="11" t="n"/>
      <c r="N2864" s="11" t="n"/>
      <c r="O2864" s="11" t="n"/>
      <c r="P2864" s="12" t="n"/>
      <c r="Q2864" s="11" t="n"/>
      <c r="R2864" s="12" t="n"/>
      <c r="S2864" s="11" t="n"/>
      <c r="T2864" s="12" t="n"/>
      <c r="U2864" s="12" t="n"/>
      <c r="V2864" s="14">
        <f>IF($AN2864="",IF($B2864="","",$H2864),IF(INDEX(職員マスタ!$B$6:$B$405,$AN2864)="",$H2864,INDEX(職員マスタ!$B$6:$B$405,$AN2864)))</f>
        <v/>
      </c>
      <c r="W2864" s="14">
        <f>IF($AN2864="",IF($B2864="","",$R2864),IF(INDEX(職員マスタ!$C$6:$C$405,$AN2864)="",$R2864,INDEX(職員マスタ!$C$6:$C$405,$AN2864)))</f>
        <v/>
      </c>
      <c r="X2864" s="14">
        <f>IF($AO2864="","","R"&amp;$C2864&amp;"."&amp;$D2864)</f>
        <v/>
      </c>
      <c r="Y2864" s="15">
        <f>IF($AN2864="","",IF(INDEX(職員マスタ!$K$6:$K$405,$AN2864)="","",INDEX(職員マスタ!$K$6:$K$405,$AN2864)))</f>
        <v/>
      </c>
      <c r="Z2864" s="14">
        <f>IF(OR($E2864="",$Y2864=""),"",IF($E2864&gt;=$Y2864,"×",IF($E2864&gt;=$Y2864*設定!$C$5,"△","○")))</f>
        <v/>
      </c>
      <c r="AA2864" s="15">
        <f>IF($Z2864="","",IF($Z2864="×",0,IF($Z2864="○",ROUNDDOWN($E2864*設定!$C$4,0),ROUNDDOWN($E2864*ROUND((9*$Y2864-9*$E2864)/(10*$E2864),4),0))))</f>
        <v/>
      </c>
      <c r="AB2864" s="13" t="n"/>
      <c r="AC2864" s="15">
        <f>IF($B2864="","",IF($AB2864&lt;&gt;"",$AB2864,IF($AA2864="","",IF($AA2864&lt;=設定!$C$3,0,$AA2864))))</f>
        <v/>
      </c>
      <c r="AD2864" s="14">
        <f>IF($B2864="","",IF(AND($AE2864&lt;&gt;"",$AG2864="",$AJ2864=""),"保留中",IF($AJ2864&lt;&gt;"",IF(N($AC2864)&gt;0,"支給済","不支給"),IF($AC2864="","要確認",IF($AC2864=0,"不支給","未処理")))))</f>
        <v/>
      </c>
      <c r="AE2864" s="12" t="n"/>
      <c r="AF2864" s="11" t="n"/>
      <c r="AG2864" s="11" t="n"/>
      <c r="AH2864" s="11" t="n"/>
      <c r="AI2864" s="14">
        <f>IF(AND($AD2864="保留中",$AF2864&lt;&gt;""),TODAY()-$AF2864,"")</f>
        <v/>
      </c>
      <c r="AJ2864" s="12" t="n"/>
      <c r="AK2864" s="14">
        <f>IF($B2864="","",IF($AO2864="","対象年月が未入力／","")&amp;IF($B2864="","",IF($AN2864="","職員マスタに未登録の職員番号／",IF($Y2864="","標準報酬月額が未登録／","")&amp;IF(AND($AO2864&lt;&gt;"",OR(AND(INDEX(職員マスタ!$G$6:$G$405,$AN2864)&lt;&gt;"",INDEX(職員マスタ!$G$6:$G$405,$AN2864)&gt;EOMONTH($AO2864,0)),AND(INDEX(職員マスタ!$H$6:$H$405,$AN2864)&lt;&gt;"",INDEX(職員マスタ!$H$6:$H$405,$AN2864)&lt;$AO2864))),"対象月が時短期間外／","")&amp;IF(AND(INDEX(職員マスタ!$F$6:$F$405,$AN2864)&lt;&gt;"",$AO2864&lt;&gt;"",INDEX(職員マスタ!$F$6:$F$405,$AN2864)&lt;$AO2864),"対象月に子が2歳到達済／","")&amp;IF(AND($H2864&lt;&gt;"",INDEX(職員マスタ!$B$6:$B$405,$AN2864)&lt;&gt;"",SUBSTITUTE(SUBSTITUTE($H2864," ","")," ","")&lt;&gt;SUBSTITUTE(SUBSTITUTE(INDEX(職員マスタ!$B$6:$B$405,$AN2864)," ","")," ","")),"氏名がマスタと相違／","")&amp;IF(AND($Q2864&lt;&gt;"",INDEX(職員マスタ!$E$6:$E$405,$AN2864)&lt;&gt;"",$Q2864&lt;&gt;INDEX(職員マスタ!$E$6:$E$405,$AN2864)),"子の生年月日がマスタと相違／","")&amp;IF(AND($L2864&lt;&gt;"",INDEX(職員マスタ!$G$6:$G$405,$AN2864)&lt;&gt;"",$L2864&lt;&gt;INDEX(職員マスタ!$G$6:$G$405,$AN2864)),"時短開始日がマスタと相違／","")&amp;IF(AND($M2864&lt;&gt;"",INDEX(職員マスタ!$H$6:$H$405,$AN2864)&lt;&gt;"",$M2864&lt;&gt;INDEX(職員マスタ!$H$6:$H$405,$AN2864)),"時短終了日がマスタと相違／","")))&amp;IF(AND($B2864&lt;&gt;"",$E2864=""),"報酬額が未入力／","")&amp;IF(N($U2864)&gt;0,"申請書に入力エラーが残っています／","")&amp;IF(AND($B2864&lt;&gt;"",$AO2864&lt;&gt;""),IF(COUNTIFS($B$6:$B$3005,$B2864,$C$6:$C$3005,$C2864,$D$6:$D$3005,$D2864)&gt;1,"同じ月の請求が重複しています／",""),"")&amp;IF(AND(N($E2864)&gt;0,$Z2864&lt;&gt;"",$Z2864&lt;&gt;"×",$AC2864=0,$AB2864=""),"計算額が下限以下のため不支給／",""))</f>
        <v/>
      </c>
      <c r="AL2864" s="12" t="n"/>
      <c r="AM2864" s="14">
        <f>IF($AD2864="保留中",COUNTIF($AD$6:$AD2864,"保留中"),"")</f>
        <v/>
      </c>
      <c r="AN2864" s="14">
        <f>IF($AO2864="","",IF(SUMPRODUCT(MAX((職員マスタ!$A$6:$A$405=$B2864)*(((職員マスタ!$G$6:$G$405="")+(職員マスタ!$G$6:$G$405&lt;=EOMONTH($AO2864,0)))&gt;0)*(((職員マスタ!$H$6:$H$405="")+(職員マスタ!$H$6:$H$405&gt;=$AO2864))&gt;0)*(ROW(職員マスタ!$A$6:$A$405)-5)))&gt;0,SUMPRODUCT(MAX((職員マスタ!$A$6:$A$405=$B2864)*(((職員マスタ!$G$6:$G$405="")+(職員マスタ!$G$6:$G$405&lt;=EOMONTH($AO2864,0)))&gt;0)*(((職員マスタ!$H$6:$H$405="")+(職員マスタ!$H$6:$H$405&gt;=$AO2864))&gt;0)*(ROW(職員マスタ!$A$6:$A$405)-5))),IFERROR(MATCH($B2864,職員マスタ!$A$6:$A$405,0),"")))</f>
        <v/>
      </c>
      <c r="AO2864" s="16">
        <f>IF(OR($B2864="",$C2864="",$D2864=""),"",DATE($C2864+2018,$D2864,1))</f>
        <v/>
      </c>
    </row>
    <row r="2865">
      <c r="A2865" s="11" t="n"/>
      <c r="B2865" s="12" t="n"/>
      <c r="C2865" s="12" t="n"/>
      <c r="D2865" s="12" t="n"/>
      <c r="E2865" s="13" t="n"/>
      <c r="F2865" s="12" t="n"/>
      <c r="G2865" s="13" t="n"/>
      <c r="H2865" s="12" t="n"/>
      <c r="I2865" s="12" t="n"/>
      <c r="J2865" s="12" t="n"/>
      <c r="K2865" s="12" t="n"/>
      <c r="L2865" s="11" t="n"/>
      <c r="M2865" s="11" t="n"/>
      <c r="N2865" s="11" t="n"/>
      <c r="O2865" s="11" t="n"/>
      <c r="P2865" s="12" t="n"/>
      <c r="Q2865" s="11" t="n"/>
      <c r="R2865" s="12" t="n"/>
      <c r="S2865" s="11" t="n"/>
      <c r="T2865" s="12" t="n"/>
      <c r="U2865" s="12" t="n"/>
      <c r="V2865" s="14">
        <f>IF($AN2865="",IF($B2865="","",$H2865),IF(INDEX(職員マスタ!$B$6:$B$405,$AN2865)="",$H2865,INDEX(職員マスタ!$B$6:$B$405,$AN2865)))</f>
        <v/>
      </c>
      <c r="W2865" s="14">
        <f>IF($AN2865="",IF($B2865="","",$R2865),IF(INDEX(職員マスタ!$C$6:$C$405,$AN2865)="",$R2865,INDEX(職員マスタ!$C$6:$C$405,$AN2865)))</f>
        <v/>
      </c>
      <c r="X2865" s="14">
        <f>IF($AO2865="","","R"&amp;$C2865&amp;"."&amp;$D2865)</f>
        <v/>
      </c>
      <c r="Y2865" s="15">
        <f>IF($AN2865="","",IF(INDEX(職員マスタ!$K$6:$K$405,$AN2865)="","",INDEX(職員マスタ!$K$6:$K$405,$AN2865)))</f>
        <v/>
      </c>
      <c r="Z2865" s="14">
        <f>IF(OR($E2865="",$Y2865=""),"",IF($E2865&gt;=$Y2865,"×",IF($E2865&gt;=$Y2865*設定!$C$5,"△","○")))</f>
        <v/>
      </c>
      <c r="AA2865" s="15">
        <f>IF($Z2865="","",IF($Z2865="×",0,IF($Z2865="○",ROUNDDOWN($E2865*設定!$C$4,0),ROUNDDOWN($E2865*ROUND((9*$Y2865-9*$E2865)/(10*$E2865),4),0))))</f>
        <v/>
      </c>
      <c r="AB2865" s="13" t="n"/>
      <c r="AC2865" s="15">
        <f>IF($B2865="","",IF($AB2865&lt;&gt;"",$AB2865,IF($AA2865="","",IF($AA2865&lt;=設定!$C$3,0,$AA2865))))</f>
        <v/>
      </c>
      <c r="AD2865" s="14">
        <f>IF($B2865="","",IF(AND($AE2865&lt;&gt;"",$AG2865="",$AJ2865=""),"保留中",IF($AJ2865&lt;&gt;"",IF(N($AC2865)&gt;0,"支給済","不支給"),IF($AC2865="","要確認",IF($AC2865=0,"不支給","未処理")))))</f>
        <v/>
      </c>
      <c r="AE2865" s="12" t="n"/>
      <c r="AF2865" s="11" t="n"/>
      <c r="AG2865" s="11" t="n"/>
      <c r="AH2865" s="11" t="n"/>
      <c r="AI2865" s="14">
        <f>IF(AND($AD2865="保留中",$AF2865&lt;&gt;""),TODAY()-$AF2865,"")</f>
        <v/>
      </c>
      <c r="AJ2865" s="12" t="n"/>
      <c r="AK2865" s="14">
        <f>IF($B2865="","",IF($AO2865="","対象年月が未入力／","")&amp;IF($B2865="","",IF($AN2865="","職員マスタに未登録の職員番号／",IF($Y2865="","標準報酬月額が未登録／","")&amp;IF(AND($AO2865&lt;&gt;"",OR(AND(INDEX(職員マスタ!$G$6:$G$405,$AN2865)&lt;&gt;"",INDEX(職員マスタ!$G$6:$G$405,$AN2865)&gt;EOMONTH($AO2865,0)),AND(INDEX(職員マスタ!$H$6:$H$405,$AN2865)&lt;&gt;"",INDEX(職員マスタ!$H$6:$H$405,$AN2865)&lt;$AO2865))),"対象月が時短期間外／","")&amp;IF(AND(INDEX(職員マスタ!$F$6:$F$405,$AN2865)&lt;&gt;"",$AO2865&lt;&gt;"",INDEX(職員マスタ!$F$6:$F$405,$AN2865)&lt;$AO2865),"対象月に子が2歳到達済／","")&amp;IF(AND($H2865&lt;&gt;"",INDEX(職員マスタ!$B$6:$B$405,$AN2865)&lt;&gt;"",SUBSTITUTE(SUBSTITUTE($H2865," ","")," ","")&lt;&gt;SUBSTITUTE(SUBSTITUTE(INDEX(職員マスタ!$B$6:$B$405,$AN2865)," ","")," ","")),"氏名がマスタと相違／","")&amp;IF(AND($Q2865&lt;&gt;"",INDEX(職員マスタ!$E$6:$E$405,$AN2865)&lt;&gt;"",$Q2865&lt;&gt;INDEX(職員マスタ!$E$6:$E$405,$AN2865)),"子の生年月日がマスタと相違／","")&amp;IF(AND($L2865&lt;&gt;"",INDEX(職員マスタ!$G$6:$G$405,$AN2865)&lt;&gt;"",$L2865&lt;&gt;INDEX(職員マスタ!$G$6:$G$405,$AN2865)),"時短開始日がマスタと相違／","")&amp;IF(AND($M2865&lt;&gt;"",INDEX(職員マスタ!$H$6:$H$405,$AN2865)&lt;&gt;"",$M2865&lt;&gt;INDEX(職員マスタ!$H$6:$H$405,$AN2865)),"時短終了日がマスタと相違／","")))&amp;IF(AND($B2865&lt;&gt;"",$E2865=""),"報酬額が未入力／","")&amp;IF(N($U2865)&gt;0,"申請書に入力エラーが残っています／","")&amp;IF(AND($B2865&lt;&gt;"",$AO2865&lt;&gt;""),IF(COUNTIFS($B$6:$B$3005,$B2865,$C$6:$C$3005,$C2865,$D$6:$D$3005,$D2865)&gt;1,"同じ月の請求が重複しています／",""),"")&amp;IF(AND(N($E2865)&gt;0,$Z2865&lt;&gt;"",$Z2865&lt;&gt;"×",$AC2865=0,$AB2865=""),"計算額が下限以下のため不支給／",""))</f>
        <v/>
      </c>
      <c r="AL2865" s="12" t="n"/>
      <c r="AM2865" s="14">
        <f>IF($AD2865="保留中",COUNTIF($AD$6:$AD2865,"保留中"),"")</f>
        <v/>
      </c>
      <c r="AN2865" s="14">
        <f>IF($AO2865="","",IF(SUMPRODUCT(MAX((職員マスタ!$A$6:$A$405=$B2865)*(((職員マスタ!$G$6:$G$405="")+(職員マスタ!$G$6:$G$405&lt;=EOMONTH($AO2865,0)))&gt;0)*(((職員マスタ!$H$6:$H$405="")+(職員マスタ!$H$6:$H$405&gt;=$AO2865))&gt;0)*(ROW(職員マスタ!$A$6:$A$405)-5)))&gt;0,SUMPRODUCT(MAX((職員マスタ!$A$6:$A$405=$B2865)*(((職員マスタ!$G$6:$G$405="")+(職員マスタ!$G$6:$G$405&lt;=EOMONTH($AO2865,0)))&gt;0)*(((職員マスタ!$H$6:$H$405="")+(職員マスタ!$H$6:$H$405&gt;=$AO2865))&gt;0)*(ROW(職員マスタ!$A$6:$A$405)-5))),IFERROR(MATCH($B2865,職員マスタ!$A$6:$A$405,0),"")))</f>
        <v/>
      </c>
      <c r="AO2865" s="16">
        <f>IF(OR($B2865="",$C2865="",$D2865=""),"",DATE($C2865+2018,$D2865,1))</f>
        <v/>
      </c>
    </row>
    <row r="2866">
      <c r="A2866" s="11" t="n"/>
      <c r="B2866" s="12" t="n"/>
      <c r="C2866" s="12" t="n"/>
      <c r="D2866" s="12" t="n"/>
      <c r="E2866" s="13" t="n"/>
      <c r="F2866" s="12" t="n"/>
      <c r="G2866" s="13" t="n"/>
      <c r="H2866" s="12" t="n"/>
      <c r="I2866" s="12" t="n"/>
      <c r="J2866" s="12" t="n"/>
      <c r="K2866" s="12" t="n"/>
      <c r="L2866" s="11" t="n"/>
      <c r="M2866" s="11" t="n"/>
      <c r="N2866" s="11" t="n"/>
      <c r="O2866" s="11" t="n"/>
      <c r="P2866" s="12" t="n"/>
      <c r="Q2866" s="11" t="n"/>
      <c r="R2866" s="12" t="n"/>
      <c r="S2866" s="11" t="n"/>
      <c r="T2866" s="12" t="n"/>
      <c r="U2866" s="12" t="n"/>
      <c r="V2866" s="14">
        <f>IF($AN2866="",IF($B2866="","",$H2866),IF(INDEX(職員マスタ!$B$6:$B$405,$AN2866)="",$H2866,INDEX(職員マスタ!$B$6:$B$405,$AN2866)))</f>
        <v/>
      </c>
      <c r="W2866" s="14">
        <f>IF($AN2866="",IF($B2866="","",$R2866),IF(INDEX(職員マスタ!$C$6:$C$405,$AN2866)="",$R2866,INDEX(職員マスタ!$C$6:$C$405,$AN2866)))</f>
        <v/>
      </c>
      <c r="X2866" s="14">
        <f>IF($AO2866="","","R"&amp;$C2866&amp;"."&amp;$D2866)</f>
        <v/>
      </c>
      <c r="Y2866" s="15">
        <f>IF($AN2866="","",IF(INDEX(職員マスタ!$K$6:$K$405,$AN2866)="","",INDEX(職員マスタ!$K$6:$K$405,$AN2866)))</f>
        <v/>
      </c>
      <c r="Z2866" s="14">
        <f>IF(OR($E2866="",$Y2866=""),"",IF($E2866&gt;=$Y2866,"×",IF($E2866&gt;=$Y2866*設定!$C$5,"△","○")))</f>
        <v/>
      </c>
      <c r="AA2866" s="15">
        <f>IF($Z2866="","",IF($Z2866="×",0,IF($Z2866="○",ROUNDDOWN($E2866*設定!$C$4,0),ROUNDDOWN($E2866*ROUND((9*$Y2866-9*$E2866)/(10*$E2866),4),0))))</f>
        <v/>
      </c>
      <c r="AB2866" s="13" t="n"/>
      <c r="AC2866" s="15">
        <f>IF($B2866="","",IF($AB2866&lt;&gt;"",$AB2866,IF($AA2866="","",IF($AA2866&lt;=設定!$C$3,0,$AA2866))))</f>
        <v/>
      </c>
      <c r="AD2866" s="14">
        <f>IF($B2866="","",IF(AND($AE2866&lt;&gt;"",$AG2866="",$AJ2866=""),"保留中",IF($AJ2866&lt;&gt;"",IF(N($AC2866)&gt;0,"支給済","不支給"),IF($AC2866="","要確認",IF($AC2866=0,"不支給","未処理")))))</f>
        <v/>
      </c>
      <c r="AE2866" s="12" t="n"/>
      <c r="AF2866" s="11" t="n"/>
      <c r="AG2866" s="11" t="n"/>
      <c r="AH2866" s="11" t="n"/>
      <c r="AI2866" s="14">
        <f>IF(AND($AD2866="保留中",$AF2866&lt;&gt;""),TODAY()-$AF2866,"")</f>
        <v/>
      </c>
      <c r="AJ2866" s="12" t="n"/>
      <c r="AK2866" s="14">
        <f>IF($B2866="","",IF($AO2866="","対象年月が未入力／","")&amp;IF($B2866="","",IF($AN2866="","職員マスタに未登録の職員番号／",IF($Y2866="","標準報酬月額が未登録／","")&amp;IF(AND($AO2866&lt;&gt;"",OR(AND(INDEX(職員マスタ!$G$6:$G$405,$AN2866)&lt;&gt;"",INDEX(職員マスタ!$G$6:$G$405,$AN2866)&gt;EOMONTH($AO2866,0)),AND(INDEX(職員マスタ!$H$6:$H$405,$AN2866)&lt;&gt;"",INDEX(職員マスタ!$H$6:$H$405,$AN2866)&lt;$AO2866))),"対象月が時短期間外／","")&amp;IF(AND(INDEX(職員マスタ!$F$6:$F$405,$AN2866)&lt;&gt;"",$AO2866&lt;&gt;"",INDEX(職員マスタ!$F$6:$F$405,$AN2866)&lt;$AO2866),"対象月に子が2歳到達済／","")&amp;IF(AND($H2866&lt;&gt;"",INDEX(職員マスタ!$B$6:$B$405,$AN2866)&lt;&gt;"",SUBSTITUTE(SUBSTITUTE($H2866," ","")," ","")&lt;&gt;SUBSTITUTE(SUBSTITUTE(INDEX(職員マスタ!$B$6:$B$405,$AN2866)," ","")," ","")),"氏名がマスタと相違／","")&amp;IF(AND($Q2866&lt;&gt;"",INDEX(職員マスタ!$E$6:$E$405,$AN2866)&lt;&gt;"",$Q2866&lt;&gt;INDEX(職員マスタ!$E$6:$E$405,$AN2866)),"子の生年月日がマスタと相違／","")&amp;IF(AND($L2866&lt;&gt;"",INDEX(職員マスタ!$G$6:$G$405,$AN2866)&lt;&gt;"",$L2866&lt;&gt;INDEX(職員マスタ!$G$6:$G$405,$AN2866)),"時短開始日がマスタと相違／","")&amp;IF(AND($M2866&lt;&gt;"",INDEX(職員マスタ!$H$6:$H$405,$AN2866)&lt;&gt;"",$M2866&lt;&gt;INDEX(職員マスタ!$H$6:$H$405,$AN2866)),"時短終了日がマスタと相違／","")))&amp;IF(AND($B2866&lt;&gt;"",$E2866=""),"報酬額が未入力／","")&amp;IF(N($U2866)&gt;0,"申請書に入力エラーが残っています／","")&amp;IF(AND($B2866&lt;&gt;"",$AO2866&lt;&gt;""),IF(COUNTIFS($B$6:$B$3005,$B2866,$C$6:$C$3005,$C2866,$D$6:$D$3005,$D2866)&gt;1,"同じ月の請求が重複しています／",""),"")&amp;IF(AND(N($E2866)&gt;0,$Z2866&lt;&gt;"",$Z2866&lt;&gt;"×",$AC2866=0,$AB2866=""),"計算額が下限以下のため不支給／",""))</f>
        <v/>
      </c>
      <c r="AL2866" s="12" t="n"/>
      <c r="AM2866" s="14">
        <f>IF($AD2866="保留中",COUNTIF($AD$6:$AD2866,"保留中"),"")</f>
        <v/>
      </c>
      <c r="AN2866" s="14">
        <f>IF($AO2866="","",IF(SUMPRODUCT(MAX((職員マスタ!$A$6:$A$405=$B2866)*(((職員マスタ!$G$6:$G$405="")+(職員マスタ!$G$6:$G$405&lt;=EOMONTH($AO2866,0)))&gt;0)*(((職員マスタ!$H$6:$H$405="")+(職員マスタ!$H$6:$H$405&gt;=$AO2866))&gt;0)*(ROW(職員マスタ!$A$6:$A$405)-5)))&gt;0,SUMPRODUCT(MAX((職員マスタ!$A$6:$A$405=$B2866)*(((職員マスタ!$G$6:$G$405="")+(職員マスタ!$G$6:$G$405&lt;=EOMONTH($AO2866,0)))&gt;0)*(((職員マスタ!$H$6:$H$405="")+(職員マスタ!$H$6:$H$405&gt;=$AO2866))&gt;0)*(ROW(職員マスタ!$A$6:$A$405)-5))),IFERROR(MATCH($B2866,職員マスタ!$A$6:$A$405,0),"")))</f>
        <v/>
      </c>
      <c r="AO2866" s="16">
        <f>IF(OR($B2866="",$C2866="",$D2866=""),"",DATE($C2866+2018,$D2866,1))</f>
        <v/>
      </c>
    </row>
    <row r="2867">
      <c r="A2867" s="11" t="n"/>
      <c r="B2867" s="12" t="n"/>
      <c r="C2867" s="12" t="n"/>
      <c r="D2867" s="12" t="n"/>
      <c r="E2867" s="13" t="n"/>
      <c r="F2867" s="12" t="n"/>
      <c r="G2867" s="13" t="n"/>
      <c r="H2867" s="12" t="n"/>
      <c r="I2867" s="12" t="n"/>
      <c r="J2867" s="12" t="n"/>
      <c r="K2867" s="12" t="n"/>
      <c r="L2867" s="11" t="n"/>
      <c r="M2867" s="11" t="n"/>
      <c r="N2867" s="11" t="n"/>
      <c r="O2867" s="11" t="n"/>
      <c r="P2867" s="12" t="n"/>
      <c r="Q2867" s="11" t="n"/>
      <c r="R2867" s="12" t="n"/>
      <c r="S2867" s="11" t="n"/>
      <c r="T2867" s="12" t="n"/>
      <c r="U2867" s="12" t="n"/>
      <c r="V2867" s="14">
        <f>IF($AN2867="",IF($B2867="","",$H2867),IF(INDEX(職員マスタ!$B$6:$B$405,$AN2867)="",$H2867,INDEX(職員マスタ!$B$6:$B$405,$AN2867)))</f>
        <v/>
      </c>
      <c r="W2867" s="14">
        <f>IF($AN2867="",IF($B2867="","",$R2867),IF(INDEX(職員マスタ!$C$6:$C$405,$AN2867)="",$R2867,INDEX(職員マスタ!$C$6:$C$405,$AN2867)))</f>
        <v/>
      </c>
      <c r="X2867" s="14">
        <f>IF($AO2867="","","R"&amp;$C2867&amp;"."&amp;$D2867)</f>
        <v/>
      </c>
      <c r="Y2867" s="15">
        <f>IF($AN2867="","",IF(INDEX(職員マスタ!$K$6:$K$405,$AN2867)="","",INDEX(職員マスタ!$K$6:$K$405,$AN2867)))</f>
        <v/>
      </c>
      <c r="Z2867" s="14">
        <f>IF(OR($E2867="",$Y2867=""),"",IF($E2867&gt;=$Y2867,"×",IF($E2867&gt;=$Y2867*設定!$C$5,"△","○")))</f>
        <v/>
      </c>
      <c r="AA2867" s="15">
        <f>IF($Z2867="","",IF($Z2867="×",0,IF($Z2867="○",ROUNDDOWN($E2867*設定!$C$4,0),ROUNDDOWN($E2867*ROUND((9*$Y2867-9*$E2867)/(10*$E2867),4),0))))</f>
        <v/>
      </c>
      <c r="AB2867" s="13" t="n"/>
      <c r="AC2867" s="15">
        <f>IF($B2867="","",IF($AB2867&lt;&gt;"",$AB2867,IF($AA2867="","",IF($AA2867&lt;=設定!$C$3,0,$AA2867))))</f>
        <v/>
      </c>
      <c r="AD2867" s="14">
        <f>IF($B2867="","",IF(AND($AE2867&lt;&gt;"",$AG2867="",$AJ2867=""),"保留中",IF($AJ2867&lt;&gt;"",IF(N($AC2867)&gt;0,"支給済","不支給"),IF($AC2867="","要確認",IF($AC2867=0,"不支給","未処理")))))</f>
        <v/>
      </c>
      <c r="AE2867" s="12" t="n"/>
      <c r="AF2867" s="11" t="n"/>
      <c r="AG2867" s="11" t="n"/>
      <c r="AH2867" s="11" t="n"/>
      <c r="AI2867" s="14">
        <f>IF(AND($AD2867="保留中",$AF2867&lt;&gt;""),TODAY()-$AF2867,"")</f>
        <v/>
      </c>
      <c r="AJ2867" s="12" t="n"/>
      <c r="AK2867" s="14">
        <f>IF($B2867="","",IF($AO2867="","対象年月が未入力／","")&amp;IF($B2867="","",IF($AN2867="","職員マスタに未登録の職員番号／",IF($Y2867="","標準報酬月額が未登録／","")&amp;IF(AND($AO2867&lt;&gt;"",OR(AND(INDEX(職員マスタ!$G$6:$G$405,$AN2867)&lt;&gt;"",INDEX(職員マスタ!$G$6:$G$405,$AN2867)&gt;EOMONTH($AO2867,0)),AND(INDEX(職員マスタ!$H$6:$H$405,$AN2867)&lt;&gt;"",INDEX(職員マスタ!$H$6:$H$405,$AN2867)&lt;$AO2867))),"対象月が時短期間外／","")&amp;IF(AND(INDEX(職員マスタ!$F$6:$F$405,$AN2867)&lt;&gt;"",$AO2867&lt;&gt;"",INDEX(職員マスタ!$F$6:$F$405,$AN2867)&lt;$AO2867),"対象月に子が2歳到達済／","")&amp;IF(AND($H2867&lt;&gt;"",INDEX(職員マスタ!$B$6:$B$405,$AN2867)&lt;&gt;"",SUBSTITUTE(SUBSTITUTE($H2867," ","")," ","")&lt;&gt;SUBSTITUTE(SUBSTITUTE(INDEX(職員マスタ!$B$6:$B$405,$AN2867)," ","")," ","")),"氏名がマスタと相違／","")&amp;IF(AND($Q2867&lt;&gt;"",INDEX(職員マスタ!$E$6:$E$405,$AN2867)&lt;&gt;"",$Q2867&lt;&gt;INDEX(職員マスタ!$E$6:$E$405,$AN2867)),"子の生年月日がマスタと相違／","")&amp;IF(AND($L2867&lt;&gt;"",INDEX(職員マスタ!$G$6:$G$405,$AN2867)&lt;&gt;"",$L2867&lt;&gt;INDEX(職員マスタ!$G$6:$G$405,$AN2867)),"時短開始日がマスタと相違／","")&amp;IF(AND($M2867&lt;&gt;"",INDEX(職員マスタ!$H$6:$H$405,$AN2867)&lt;&gt;"",$M2867&lt;&gt;INDEX(職員マスタ!$H$6:$H$405,$AN2867)),"時短終了日がマスタと相違／","")))&amp;IF(AND($B2867&lt;&gt;"",$E2867=""),"報酬額が未入力／","")&amp;IF(N($U2867)&gt;0,"申請書に入力エラーが残っています／","")&amp;IF(AND($B2867&lt;&gt;"",$AO2867&lt;&gt;""),IF(COUNTIFS($B$6:$B$3005,$B2867,$C$6:$C$3005,$C2867,$D$6:$D$3005,$D2867)&gt;1,"同じ月の請求が重複しています／",""),"")&amp;IF(AND(N($E2867)&gt;0,$Z2867&lt;&gt;"",$Z2867&lt;&gt;"×",$AC2867=0,$AB2867=""),"計算額が下限以下のため不支給／",""))</f>
        <v/>
      </c>
      <c r="AL2867" s="12" t="n"/>
      <c r="AM2867" s="14">
        <f>IF($AD2867="保留中",COUNTIF($AD$6:$AD2867,"保留中"),"")</f>
        <v/>
      </c>
      <c r="AN2867" s="14">
        <f>IF($AO2867="","",IF(SUMPRODUCT(MAX((職員マスタ!$A$6:$A$405=$B2867)*(((職員マスタ!$G$6:$G$405="")+(職員マスタ!$G$6:$G$405&lt;=EOMONTH($AO2867,0)))&gt;0)*(((職員マスタ!$H$6:$H$405="")+(職員マスタ!$H$6:$H$405&gt;=$AO2867))&gt;0)*(ROW(職員マスタ!$A$6:$A$405)-5)))&gt;0,SUMPRODUCT(MAX((職員マスタ!$A$6:$A$405=$B2867)*(((職員マスタ!$G$6:$G$405="")+(職員マスタ!$G$6:$G$405&lt;=EOMONTH($AO2867,0)))&gt;0)*(((職員マスタ!$H$6:$H$405="")+(職員マスタ!$H$6:$H$405&gt;=$AO2867))&gt;0)*(ROW(職員マスタ!$A$6:$A$405)-5))),IFERROR(MATCH($B2867,職員マスタ!$A$6:$A$405,0),"")))</f>
        <v/>
      </c>
      <c r="AO2867" s="16">
        <f>IF(OR($B2867="",$C2867="",$D2867=""),"",DATE($C2867+2018,$D2867,1))</f>
        <v/>
      </c>
    </row>
    <row r="2868">
      <c r="A2868" s="11" t="n"/>
      <c r="B2868" s="12" t="n"/>
      <c r="C2868" s="12" t="n"/>
      <c r="D2868" s="12" t="n"/>
      <c r="E2868" s="13" t="n"/>
      <c r="F2868" s="12" t="n"/>
      <c r="G2868" s="13" t="n"/>
      <c r="H2868" s="12" t="n"/>
      <c r="I2868" s="12" t="n"/>
      <c r="J2868" s="12" t="n"/>
      <c r="K2868" s="12" t="n"/>
      <c r="L2868" s="11" t="n"/>
      <c r="M2868" s="11" t="n"/>
      <c r="N2868" s="11" t="n"/>
      <c r="O2868" s="11" t="n"/>
      <c r="P2868" s="12" t="n"/>
      <c r="Q2868" s="11" t="n"/>
      <c r="R2868" s="12" t="n"/>
      <c r="S2868" s="11" t="n"/>
      <c r="T2868" s="12" t="n"/>
      <c r="U2868" s="12" t="n"/>
      <c r="V2868" s="14">
        <f>IF($AN2868="",IF($B2868="","",$H2868),IF(INDEX(職員マスタ!$B$6:$B$405,$AN2868)="",$H2868,INDEX(職員マスタ!$B$6:$B$405,$AN2868)))</f>
        <v/>
      </c>
      <c r="W2868" s="14">
        <f>IF($AN2868="",IF($B2868="","",$R2868),IF(INDEX(職員マスタ!$C$6:$C$405,$AN2868)="",$R2868,INDEX(職員マスタ!$C$6:$C$405,$AN2868)))</f>
        <v/>
      </c>
      <c r="X2868" s="14">
        <f>IF($AO2868="","","R"&amp;$C2868&amp;"."&amp;$D2868)</f>
        <v/>
      </c>
      <c r="Y2868" s="15">
        <f>IF($AN2868="","",IF(INDEX(職員マスタ!$K$6:$K$405,$AN2868)="","",INDEX(職員マスタ!$K$6:$K$405,$AN2868)))</f>
        <v/>
      </c>
      <c r="Z2868" s="14">
        <f>IF(OR($E2868="",$Y2868=""),"",IF($E2868&gt;=$Y2868,"×",IF($E2868&gt;=$Y2868*設定!$C$5,"△","○")))</f>
        <v/>
      </c>
      <c r="AA2868" s="15">
        <f>IF($Z2868="","",IF($Z2868="×",0,IF($Z2868="○",ROUNDDOWN($E2868*設定!$C$4,0),ROUNDDOWN($E2868*ROUND((9*$Y2868-9*$E2868)/(10*$E2868),4),0))))</f>
        <v/>
      </c>
      <c r="AB2868" s="13" t="n"/>
      <c r="AC2868" s="15">
        <f>IF($B2868="","",IF($AB2868&lt;&gt;"",$AB2868,IF($AA2868="","",IF($AA2868&lt;=設定!$C$3,0,$AA2868))))</f>
        <v/>
      </c>
      <c r="AD2868" s="14">
        <f>IF($B2868="","",IF(AND($AE2868&lt;&gt;"",$AG2868="",$AJ2868=""),"保留中",IF($AJ2868&lt;&gt;"",IF(N($AC2868)&gt;0,"支給済","不支給"),IF($AC2868="","要確認",IF($AC2868=0,"不支給","未処理")))))</f>
        <v/>
      </c>
      <c r="AE2868" s="12" t="n"/>
      <c r="AF2868" s="11" t="n"/>
      <c r="AG2868" s="11" t="n"/>
      <c r="AH2868" s="11" t="n"/>
      <c r="AI2868" s="14">
        <f>IF(AND($AD2868="保留中",$AF2868&lt;&gt;""),TODAY()-$AF2868,"")</f>
        <v/>
      </c>
      <c r="AJ2868" s="12" t="n"/>
      <c r="AK2868" s="14">
        <f>IF($B2868="","",IF($AO2868="","対象年月が未入力／","")&amp;IF($B2868="","",IF($AN2868="","職員マスタに未登録の職員番号／",IF($Y2868="","標準報酬月額が未登録／","")&amp;IF(AND($AO2868&lt;&gt;"",OR(AND(INDEX(職員マスタ!$G$6:$G$405,$AN2868)&lt;&gt;"",INDEX(職員マスタ!$G$6:$G$405,$AN2868)&gt;EOMONTH($AO2868,0)),AND(INDEX(職員マスタ!$H$6:$H$405,$AN2868)&lt;&gt;"",INDEX(職員マスタ!$H$6:$H$405,$AN2868)&lt;$AO2868))),"対象月が時短期間外／","")&amp;IF(AND(INDEX(職員マスタ!$F$6:$F$405,$AN2868)&lt;&gt;"",$AO2868&lt;&gt;"",INDEX(職員マスタ!$F$6:$F$405,$AN2868)&lt;$AO2868),"対象月に子が2歳到達済／","")&amp;IF(AND($H2868&lt;&gt;"",INDEX(職員マスタ!$B$6:$B$405,$AN2868)&lt;&gt;"",SUBSTITUTE(SUBSTITUTE($H2868," ","")," ","")&lt;&gt;SUBSTITUTE(SUBSTITUTE(INDEX(職員マスタ!$B$6:$B$405,$AN2868)," ","")," ","")),"氏名がマスタと相違／","")&amp;IF(AND($Q2868&lt;&gt;"",INDEX(職員マスタ!$E$6:$E$405,$AN2868)&lt;&gt;"",$Q2868&lt;&gt;INDEX(職員マスタ!$E$6:$E$405,$AN2868)),"子の生年月日がマスタと相違／","")&amp;IF(AND($L2868&lt;&gt;"",INDEX(職員マスタ!$G$6:$G$405,$AN2868)&lt;&gt;"",$L2868&lt;&gt;INDEX(職員マスタ!$G$6:$G$405,$AN2868)),"時短開始日がマスタと相違／","")&amp;IF(AND($M2868&lt;&gt;"",INDEX(職員マスタ!$H$6:$H$405,$AN2868)&lt;&gt;"",$M2868&lt;&gt;INDEX(職員マスタ!$H$6:$H$405,$AN2868)),"時短終了日がマスタと相違／","")))&amp;IF(AND($B2868&lt;&gt;"",$E2868=""),"報酬額が未入力／","")&amp;IF(N($U2868)&gt;0,"申請書に入力エラーが残っています／","")&amp;IF(AND($B2868&lt;&gt;"",$AO2868&lt;&gt;""),IF(COUNTIFS($B$6:$B$3005,$B2868,$C$6:$C$3005,$C2868,$D$6:$D$3005,$D2868)&gt;1,"同じ月の請求が重複しています／",""),"")&amp;IF(AND(N($E2868)&gt;0,$Z2868&lt;&gt;"",$Z2868&lt;&gt;"×",$AC2868=0,$AB2868=""),"計算額が下限以下のため不支給／",""))</f>
        <v/>
      </c>
      <c r="AL2868" s="12" t="n"/>
      <c r="AM2868" s="14">
        <f>IF($AD2868="保留中",COUNTIF($AD$6:$AD2868,"保留中"),"")</f>
        <v/>
      </c>
      <c r="AN2868" s="14">
        <f>IF($AO2868="","",IF(SUMPRODUCT(MAX((職員マスタ!$A$6:$A$405=$B2868)*(((職員マスタ!$G$6:$G$405="")+(職員マスタ!$G$6:$G$405&lt;=EOMONTH($AO2868,0)))&gt;0)*(((職員マスタ!$H$6:$H$405="")+(職員マスタ!$H$6:$H$405&gt;=$AO2868))&gt;0)*(ROW(職員マスタ!$A$6:$A$405)-5)))&gt;0,SUMPRODUCT(MAX((職員マスタ!$A$6:$A$405=$B2868)*(((職員マスタ!$G$6:$G$405="")+(職員マスタ!$G$6:$G$405&lt;=EOMONTH($AO2868,0)))&gt;0)*(((職員マスタ!$H$6:$H$405="")+(職員マスタ!$H$6:$H$405&gt;=$AO2868))&gt;0)*(ROW(職員マスタ!$A$6:$A$405)-5))),IFERROR(MATCH($B2868,職員マスタ!$A$6:$A$405,0),"")))</f>
        <v/>
      </c>
      <c r="AO2868" s="16">
        <f>IF(OR($B2868="",$C2868="",$D2868=""),"",DATE($C2868+2018,$D2868,1))</f>
        <v/>
      </c>
    </row>
    <row r="2869">
      <c r="A2869" s="11" t="n"/>
      <c r="B2869" s="12" t="n"/>
      <c r="C2869" s="12" t="n"/>
      <c r="D2869" s="12" t="n"/>
      <c r="E2869" s="13" t="n"/>
      <c r="F2869" s="12" t="n"/>
      <c r="G2869" s="13" t="n"/>
      <c r="H2869" s="12" t="n"/>
      <c r="I2869" s="12" t="n"/>
      <c r="J2869" s="12" t="n"/>
      <c r="K2869" s="12" t="n"/>
      <c r="L2869" s="11" t="n"/>
      <c r="M2869" s="11" t="n"/>
      <c r="N2869" s="11" t="n"/>
      <c r="O2869" s="11" t="n"/>
      <c r="P2869" s="12" t="n"/>
      <c r="Q2869" s="11" t="n"/>
      <c r="R2869" s="12" t="n"/>
      <c r="S2869" s="11" t="n"/>
      <c r="T2869" s="12" t="n"/>
      <c r="U2869" s="12" t="n"/>
      <c r="V2869" s="14">
        <f>IF($AN2869="",IF($B2869="","",$H2869),IF(INDEX(職員マスタ!$B$6:$B$405,$AN2869)="",$H2869,INDEX(職員マスタ!$B$6:$B$405,$AN2869)))</f>
        <v/>
      </c>
      <c r="W2869" s="14">
        <f>IF($AN2869="",IF($B2869="","",$R2869),IF(INDEX(職員マスタ!$C$6:$C$405,$AN2869)="",$R2869,INDEX(職員マスタ!$C$6:$C$405,$AN2869)))</f>
        <v/>
      </c>
      <c r="X2869" s="14">
        <f>IF($AO2869="","","R"&amp;$C2869&amp;"."&amp;$D2869)</f>
        <v/>
      </c>
      <c r="Y2869" s="15">
        <f>IF($AN2869="","",IF(INDEX(職員マスタ!$K$6:$K$405,$AN2869)="","",INDEX(職員マスタ!$K$6:$K$405,$AN2869)))</f>
        <v/>
      </c>
      <c r="Z2869" s="14">
        <f>IF(OR($E2869="",$Y2869=""),"",IF($E2869&gt;=$Y2869,"×",IF($E2869&gt;=$Y2869*設定!$C$5,"△","○")))</f>
        <v/>
      </c>
      <c r="AA2869" s="15">
        <f>IF($Z2869="","",IF($Z2869="×",0,IF($Z2869="○",ROUNDDOWN($E2869*設定!$C$4,0),ROUNDDOWN($E2869*ROUND((9*$Y2869-9*$E2869)/(10*$E2869),4),0))))</f>
        <v/>
      </c>
      <c r="AB2869" s="13" t="n"/>
      <c r="AC2869" s="15">
        <f>IF($B2869="","",IF($AB2869&lt;&gt;"",$AB2869,IF($AA2869="","",IF($AA2869&lt;=設定!$C$3,0,$AA2869))))</f>
        <v/>
      </c>
      <c r="AD2869" s="14">
        <f>IF($B2869="","",IF(AND($AE2869&lt;&gt;"",$AG2869="",$AJ2869=""),"保留中",IF($AJ2869&lt;&gt;"",IF(N($AC2869)&gt;0,"支給済","不支給"),IF($AC2869="","要確認",IF($AC2869=0,"不支給","未処理")))))</f>
        <v/>
      </c>
      <c r="AE2869" s="12" t="n"/>
      <c r="AF2869" s="11" t="n"/>
      <c r="AG2869" s="11" t="n"/>
      <c r="AH2869" s="11" t="n"/>
      <c r="AI2869" s="14">
        <f>IF(AND($AD2869="保留中",$AF2869&lt;&gt;""),TODAY()-$AF2869,"")</f>
        <v/>
      </c>
      <c r="AJ2869" s="12" t="n"/>
      <c r="AK2869" s="14">
        <f>IF($B2869="","",IF($AO2869="","対象年月が未入力／","")&amp;IF($B2869="","",IF($AN2869="","職員マスタに未登録の職員番号／",IF($Y2869="","標準報酬月額が未登録／","")&amp;IF(AND($AO2869&lt;&gt;"",OR(AND(INDEX(職員マスタ!$G$6:$G$405,$AN2869)&lt;&gt;"",INDEX(職員マスタ!$G$6:$G$405,$AN2869)&gt;EOMONTH($AO2869,0)),AND(INDEX(職員マスタ!$H$6:$H$405,$AN2869)&lt;&gt;"",INDEX(職員マスタ!$H$6:$H$405,$AN2869)&lt;$AO2869))),"対象月が時短期間外／","")&amp;IF(AND(INDEX(職員マスタ!$F$6:$F$405,$AN2869)&lt;&gt;"",$AO2869&lt;&gt;"",INDEX(職員マスタ!$F$6:$F$405,$AN2869)&lt;$AO2869),"対象月に子が2歳到達済／","")&amp;IF(AND($H2869&lt;&gt;"",INDEX(職員マスタ!$B$6:$B$405,$AN2869)&lt;&gt;"",SUBSTITUTE(SUBSTITUTE($H2869," ","")," ","")&lt;&gt;SUBSTITUTE(SUBSTITUTE(INDEX(職員マスタ!$B$6:$B$405,$AN2869)," ","")," ","")),"氏名がマスタと相違／","")&amp;IF(AND($Q2869&lt;&gt;"",INDEX(職員マスタ!$E$6:$E$405,$AN2869)&lt;&gt;"",$Q2869&lt;&gt;INDEX(職員マスタ!$E$6:$E$405,$AN2869)),"子の生年月日がマスタと相違／","")&amp;IF(AND($L2869&lt;&gt;"",INDEX(職員マスタ!$G$6:$G$405,$AN2869)&lt;&gt;"",$L2869&lt;&gt;INDEX(職員マスタ!$G$6:$G$405,$AN2869)),"時短開始日がマスタと相違／","")&amp;IF(AND($M2869&lt;&gt;"",INDEX(職員マスタ!$H$6:$H$405,$AN2869)&lt;&gt;"",$M2869&lt;&gt;INDEX(職員マスタ!$H$6:$H$405,$AN2869)),"時短終了日がマスタと相違／","")))&amp;IF(AND($B2869&lt;&gt;"",$E2869=""),"報酬額が未入力／","")&amp;IF(N($U2869)&gt;0,"申請書に入力エラーが残っています／","")&amp;IF(AND($B2869&lt;&gt;"",$AO2869&lt;&gt;""),IF(COUNTIFS($B$6:$B$3005,$B2869,$C$6:$C$3005,$C2869,$D$6:$D$3005,$D2869)&gt;1,"同じ月の請求が重複しています／",""),"")&amp;IF(AND(N($E2869)&gt;0,$Z2869&lt;&gt;"",$Z2869&lt;&gt;"×",$AC2869=0,$AB2869=""),"計算額が下限以下のため不支給／",""))</f>
        <v/>
      </c>
      <c r="AL2869" s="12" t="n"/>
      <c r="AM2869" s="14">
        <f>IF($AD2869="保留中",COUNTIF($AD$6:$AD2869,"保留中"),"")</f>
        <v/>
      </c>
      <c r="AN2869" s="14">
        <f>IF($AO2869="","",IF(SUMPRODUCT(MAX((職員マスタ!$A$6:$A$405=$B2869)*(((職員マスタ!$G$6:$G$405="")+(職員マスタ!$G$6:$G$405&lt;=EOMONTH($AO2869,0)))&gt;0)*(((職員マスタ!$H$6:$H$405="")+(職員マスタ!$H$6:$H$405&gt;=$AO2869))&gt;0)*(ROW(職員マスタ!$A$6:$A$405)-5)))&gt;0,SUMPRODUCT(MAX((職員マスタ!$A$6:$A$405=$B2869)*(((職員マスタ!$G$6:$G$405="")+(職員マスタ!$G$6:$G$405&lt;=EOMONTH($AO2869,0)))&gt;0)*(((職員マスタ!$H$6:$H$405="")+(職員マスタ!$H$6:$H$405&gt;=$AO2869))&gt;0)*(ROW(職員マスタ!$A$6:$A$405)-5))),IFERROR(MATCH($B2869,職員マスタ!$A$6:$A$405,0),"")))</f>
        <v/>
      </c>
      <c r="AO2869" s="16">
        <f>IF(OR($B2869="",$C2869="",$D2869=""),"",DATE($C2869+2018,$D2869,1))</f>
        <v/>
      </c>
    </row>
    <row r="2870">
      <c r="A2870" s="11" t="n"/>
      <c r="B2870" s="12" t="n"/>
      <c r="C2870" s="12" t="n"/>
      <c r="D2870" s="12" t="n"/>
      <c r="E2870" s="13" t="n"/>
      <c r="F2870" s="12" t="n"/>
      <c r="G2870" s="13" t="n"/>
      <c r="H2870" s="12" t="n"/>
      <c r="I2870" s="12" t="n"/>
      <c r="J2870" s="12" t="n"/>
      <c r="K2870" s="12" t="n"/>
      <c r="L2870" s="11" t="n"/>
      <c r="M2870" s="11" t="n"/>
      <c r="N2870" s="11" t="n"/>
      <c r="O2870" s="11" t="n"/>
      <c r="P2870" s="12" t="n"/>
      <c r="Q2870" s="11" t="n"/>
      <c r="R2870" s="12" t="n"/>
      <c r="S2870" s="11" t="n"/>
      <c r="T2870" s="12" t="n"/>
      <c r="U2870" s="12" t="n"/>
      <c r="V2870" s="14">
        <f>IF($AN2870="",IF($B2870="","",$H2870),IF(INDEX(職員マスタ!$B$6:$B$405,$AN2870)="",$H2870,INDEX(職員マスタ!$B$6:$B$405,$AN2870)))</f>
        <v/>
      </c>
      <c r="W2870" s="14">
        <f>IF($AN2870="",IF($B2870="","",$R2870),IF(INDEX(職員マスタ!$C$6:$C$405,$AN2870)="",$R2870,INDEX(職員マスタ!$C$6:$C$405,$AN2870)))</f>
        <v/>
      </c>
      <c r="X2870" s="14">
        <f>IF($AO2870="","","R"&amp;$C2870&amp;"."&amp;$D2870)</f>
        <v/>
      </c>
      <c r="Y2870" s="15">
        <f>IF($AN2870="","",IF(INDEX(職員マスタ!$K$6:$K$405,$AN2870)="","",INDEX(職員マスタ!$K$6:$K$405,$AN2870)))</f>
        <v/>
      </c>
      <c r="Z2870" s="14">
        <f>IF(OR($E2870="",$Y2870=""),"",IF($E2870&gt;=$Y2870,"×",IF($E2870&gt;=$Y2870*設定!$C$5,"△","○")))</f>
        <v/>
      </c>
      <c r="AA2870" s="15">
        <f>IF($Z2870="","",IF($Z2870="×",0,IF($Z2870="○",ROUNDDOWN($E2870*設定!$C$4,0),ROUNDDOWN($E2870*ROUND((9*$Y2870-9*$E2870)/(10*$E2870),4),0))))</f>
        <v/>
      </c>
      <c r="AB2870" s="13" t="n"/>
      <c r="AC2870" s="15">
        <f>IF($B2870="","",IF($AB2870&lt;&gt;"",$AB2870,IF($AA2870="","",IF($AA2870&lt;=設定!$C$3,0,$AA2870))))</f>
        <v/>
      </c>
      <c r="AD2870" s="14">
        <f>IF($B2870="","",IF(AND($AE2870&lt;&gt;"",$AG2870="",$AJ2870=""),"保留中",IF($AJ2870&lt;&gt;"",IF(N($AC2870)&gt;0,"支給済","不支給"),IF($AC2870="","要確認",IF($AC2870=0,"不支給","未処理")))))</f>
        <v/>
      </c>
      <c r="AE2870" s="12" t="n"/>
      <c r="AF2870" s="11" t="n"/>
      <c r="AG2870" s="11" t="n"/>
      <c r="AH2870" s="11" t="n"/>
      <c r="AI2870" s="14">
        <f>IF(AND($AD2870="保留中",$AF2870&lt;&gt;""),TODAY()-$AF2870,"")</f>
        <v/>
      </c>
      <c r="AJ2870" s="12" t="n"/>
      <c r="AK2870" s="14">
        <f>IF($B2870="","",IF($AO2870="","対象年月が未入力／","")&amp;IF($B2870="","",IF($AN2870="","職員マスタに未登録の職員番号／",IF($Y2870="","標準報酬月額が未登録／","")&amp;IF(AND($AO2870&lt;&gt;"",OR(AND(INDEX(職員マスタ!$G$6:$G$405,$AN2870)&lt;&gt;"",INDEX(職員マスタ!$G$6:$G$405,$AN2870)&gt;EOMONTH($AO2870,0)),AND(INDEX(職員マスタ!$H$6:$H$405,$AN2870)&lt;&gt;"",INDEX(職員マスタ!$H$6:$H$405,$AN2870)&lt;$AO2870))),"対象月が時短期間外／","")&amp;IF(AND(INDEX(職員マスタ!$F$6:$F$405,$AN2870)&lt;&gt;"",$AO2870&lt;&gt;"",INDEX(職員マスタ!$F$6:$F$405,$AN2870)&lt;$AO2870),"対象月に子が2歳到達済／","")&amp;IF(AND($H2870&lt;&gt;"",INDEX(職員マスタ!$B$6:$B$405,$AN2870)&lt;&gt;"",SUBSTITUTE(SUBSTITUTE($H2870," ","")," ","")&lt;&gt;SUBSTITUTE(SUBSTITUTE(INDEX(職員マスタ!$B$6:$B$405,$AN2870)," ","")," ","")),"氏名がマスタと相違／","")&amp;IF(AND($Q2870&lt;&gt;"",INDEX(職員マスタ!$E$6:$E$405,$AN2870)&lt;&gt;"",$Q2870&lt;&gt;INDEX(職員マスタ!$E$6:$E$405,$AN2870)),"子の生年月日がマスタと相違／","")&amp;IF(AND($L2870&lt;&gt;"",INDEX(職員マスタ!$G$6:$G$405,$AN2870)&lt;&gt;"",$L2870&lt;&gt;INDEX(職員マスタ!$G$6:$G$405,$AN2870)),"時短開始日がマスタと相違／","")&amp;IF(AND($M2870&lt;&gt;"",INDEX(職員マスタ!$H$6:$H$405,$AN2870)&lt;&gt;"",$M2870&lt;&gt;INDEX(職員マスタ!$H$6:$H$405,$AN2870)),"時短終了日がマスタと相違／","")))&amp;IF(AND($B2870&lt;&gt;"",$E2870=""),"報酬額が未入力／","")&amp;IF(N($U2870)&gt;0,"申請書に入力エラーが残っています／","")&amp;IF(AND($B2870&lt;&gt;"",$AO2870&lt;&gt;""),IF(COUNTIFS($B$6:$B$3005,$B2870,$C$6:$C$3005,$C2870,$D$6:$D$3005,$D2870)&gt;1,"同じ月の請求が重複しています／",""),"")&amp;IF(AND(N($E2870)&gt;0,$Z2870&lt;&gt;"",$Z2870&lt;&gt;"×",$AC2870=0,$AB2870=""),"計算額が下限以下のため不支給／",""))</f>
        <v/>
      </c>
      <c r="AL2870" s="12" t="n"/>
      <c r="AM2870" s="14">
        <f>IF($AD2870="保留中",COUNTIF($AD$6:$AD2870,"保留中"),"")</f>
        <v/>
      </c>
      <c r="AN2870" s="14">
        <f>IF($AO2870="","",IF(SUMPRODUCT(MAX((職員マスタ!$A$6:$A$405=$B2870)*(((職員マスタ!$G$6:$G$405="")+(職員マスタ!$G$6:$G$405&lt;=EOMONTH($AO2870,0)))&gt;0)*(((職員マスタ!$H$6:$H$405="")+(職員マスタ!$H$6:$H$405&gt;=$AO2870))&gt;0)*(ROW(職員マスタ!$A$6:$A$405)-5)))&gt;0,SUMPRODUCT(MAX((職員マスタ!$A$6:$A$405=$B2870)*(((職員マスタ!$G$6:$G$405="")+(職員マスタ!$G$6:$G$405&lt;=EOMONTH($AO2870,0)))&gt;0)*(((職員マスタ!$H$6:$H$405="")+(職員マスタ!$H$6:$H$405&gt;=$AO2870))&gt;0)*(ROW(職員マスタ!$A$6:$A$405)-5))),IFERROR(MATCH($B2870,職員マスタ!$A$6:$A$405,0),"")))</f>
        <v/>
      </c>
      <c r="AO2870" s="16">
        <f>IF(OR($B2870="",$C2870="",$D2870=""),"",DATE($C2870+2018,$D2870,1))</f>
        <v/>
      </c>
    </row>
    <row r="2871">
      <c r="A2871" s="11" t="n"/>
      <c r="B2871" s="12" t="n"/>
      <c r="C2871" s="12" t="n"/>
      <c r="D2871" s="12" t="n"/>
      <c r="E2871" s="13" t="n"/>
      <c r="F2871" s="12" t="n"/>
      <c r="G2871" s="13" t="n"/>
      <c r="H2871" s="12" t="n"/>
      <c r="I2871" s="12" t="n"/>
      <c r="J2871" s="12" t="n"/>
      <c r="K2871" s="12" t="n"/>
      <c r="L2871" s="11" t="n"/>
      <c r="M2871" s="11" t="n"/>
      <c r="N2871" s="11" t="n"/>
      <c r="O2871" s="11" t="n"/>
      <c r="P2871" s="12" t="n"/>
      <c r="Q2871" s="11" t="n"/>
      <c r="R2871" s="12" t="n"/>
      <c r="S2871" s="11" t="n"/>
      <c r="T2871" s="12" t="n"/>
      <c r="U2871" s="12" t="n"/>
      <c r="V2871" s="14">
        <f>IF($AN2871="",IF($B2871="","",$H2871),IF(INDEX(職員マスタ!$B$6:$B$405,$AN2871)="",$H2871,INDEX(職員マスタ!$B$6:$B$405,$AN2871)))</f>
        <v/>
      </c>
      <c r="W2871" s="14">
        <f>IF($AN2871="",IF($B2871="","",$R2871),IF(INDEX(職員マスタ!$C$6:$C$405,$AN2871)="",$R2871,INDEX(職員マスタ!$C$6:$C$405,$AN2871)))</f>
        <v/>
      </c>
      <c r="X2871" s="14">
        <f>IF($AO2871="","","R"&amp;$C2871&amp;"."&amp;$D2871)</f>
        <v/>
      </c>
      <c r="Y2871" s="15">
        <f>IF($AN2871="","",IF(INDEX(職員マスタ!$K$6:$K$405,$AN2871)="","",INDEX(職員マスタ!$K$6:$K$405,$AN2871)))</f>
        <v/>
      </c>
      <c r="Z2871" s="14">
        <f>IF(OR($E2871="",$Y2871=""),"",IF($E2871&gt;=$Y2871,"×",IF($E2871&gt;=$Y2871*設定!$C$5,"△","○")))</f>
        <v/>
      </c>
      <c r="AA2871" s="15">
        <f>IF($Z2871="","",IF($Z2871="×",0,IF($Z2871="○",ROUNDDOWN($E2871*設定!$C$4,0),ROUNDDOWN($E2871*ROUND((9*$Y2871-9*$E2871)/(10*$E2871),4),0))))</f>
        <v/>
      </c>
      <c r="AB2871" s="13" t="n"/>
      <c r="AC2871" s="15">
        <f>IF($B2871="","",IF($AB2871&lt;&gt;"",$AB2871,IF($AA2871="","",IF($AA2871&lt;=設定!$C$3,0,$AA2871))))</f>
        <v/>
      </c>
      <c r="AD2871" s="14">
        <f>IF($B2871="","",IF(AND($AE2871&lt;&gt;"",$AG2871="",$AJ2871=""),"保留中",IF($AJ2871&lt;&gt;"",IF(N($AC2871)&gt;0,"支給済","不支給"),IF($AC2871="","要確認",IF($AC2871=0,"不支給","未処理")))))</f>
        <v/>
      </c>
      <c r="AE2871" s="12" t="n"/>
      <c r="AF2871" s="11" t="n"/>
      <c r="AG2871" s="11" t="n"/>
      <c r="AH2871" s="11" t="n"/>
      <c r="AI2871" s="14">
        <f>IF(AND($AD2871="保留中",$AF2871&lt;&gt;""),TODAY()-$AF2871,"")</f>
        <v/>
      </c>
      <c r="AJ2871" s="12" t="n"/>
      <c r="AK2871" s="14">
        <f>IF($B2871="","",IF($AO2871="","対象年月が未入力／","")&amp;IF($B2871="","",IF($AN2871="","職員マスタに未登録の職員番号／",IF($Y2871="","標準報酬月額が未登録／","")&amp;IF(AND($AO2871&lt;&gt;"",OR(AND(INDEX(職員マスタ!$G$6:$G$405,$AN2871)&lt;&gt;"",INDEX(職員マスタ!$G$6:$G$405,$AN2871)&gt;EOMONTH($AO2871,0)),AND(INDEX(職員マスタ!$H$6:$H$405,$AN2871)&lt;&gt;"",INDEX(職員マスタ!$H$6:$H$405,$AN2871)&lt;$AO2871))),"対象月が時短期間外／","")&amp;IF(AND(INDEX(職員マスタ!$F$6:$F$405,$AN2871)&lt;&gt;"",$AO2871&lt;&gt;"",INDEX(職員マスタ!$F$6:$F$405,$AN2871)&lt;$AO2871),"対象月に子が2歳到達済／","")&amp;IF(AND($H2871&lt;&gt;"",INDEX(職員マスタ!$B$6:$B$405,$AN2871)&lt;&gt;"",SUBSTITUTE(SUBSTITUTE($H2871," ","")," ","")&lt;&gt;SUBSTITUTE(SUBSTITUTE(INDEX(職員マスタ!$B$6:$B$405,$AN2871)," ","")," ","")),"氏名がマスタと相違／","")&amp;IF(AND($Q2871&lt;&gt;"",INDEX(職員マスタ!$E$6:$E$405,$AN2871)&lt;&gt;"",$Q2871&lt;&gt;INDEX(職員マスタ!$E$6:$E$405,$AN2871)),"子の生年月日がマスタと相違／","")&amp;IF(AND($L2871&lt;&gt;"",INDEX(職員マスタ!$G$6:$G$405,$AN2871)&lt;&gt;"",$L2871&lt;&gt;INDEX(職員マスタ!$G$6:$G$405,$AN2871)),"時短開始日がマスタと相違／","")&amp;IF(AND($M2871&lt;&gt;"",INDEX(職員マスタ!$H$6:$H$405,$AN2871)&lt;&gt;"",$M2871&lt;&gt;INDEX(職員マスタ!$H$6:$H$405,$AN2871)),"時短終了日がマスタと相違／","")))&amp;IF(AND($B2871&lt;&gt;"",$E2871=""),"報酬額が未入力／","")&amp;IF(N($U2871)&gt;0,"申請書に入力エラーが残っています／","")&amp;IF(AND($B2871&lt;&gt;"",$AO2871&lt;&gt;""),IF(COUNTIFS($B$6:$B$3005,$B2871,$C$6:$C$3005,$C2871,$D$6:$D$3005,$D2871)&gt;1,"同じ月の請求が重複しています／",""),"")&amp;IF(AND(N($E2871)&gt;0,$Z2871&lt;&gt;"",$Z2871&lt;&gt;"×",$AC2871=0,$AB2871=""),"計算額が下限以下のため不支給／",""))</f>
        <v/>
      </c>
      <c r="AL2871" s="12" t="n"/>
      <c r="AM2871" s="14">
        <f>IF($AD2871="保留中",COUNTIF($AD$6:$AD2871,"保留中"),"")</f>
        <v/>
      </c>
      <c r="AN2871" s="14">
        <f>IF($AO2871="","",IF(SUMPRODUCT(MAX((職員マスタ!$A$6:$A$405=$B2871)*(((職員マスタ!$G$6:$G$405="")+(職員マスタ!$G$6:$G$405&lt;=EOMONTH($AO2871,0)))&gt;0)*(((職員マスタ!$H$6:$H$405="")+(職員マスタ!$H$6:$H$405&gt;=$AO2871))&gt;0)*(ROW(職員マスタ!$A$6:$A$405)-5)))&gt;0,SUMPRODUCT(MAX((職員マスタ!$A$6:$A$405=$B2871)*(((職員マスタ!$G$6:$G$405="")+(職員マスタ!$G$6:$G$405&lt;=EOMONTH($AO2871,0)))&gt;0)*(((職員マスタ!$H$6:$H$405="")+(職員マスタ!$H$6:$H$405&gt;=$AO2871))&gt;0)*(ROW(職員マスタ!$A$6:$A$405)-5))),IFERROR(MATCH($B2871,職員マスタ!$A$6:$A$405,0),"")))</f>
        <v/>
      </c>
      <c r="AO2871" s="16">
        <f>IF(OR($B2871="",$C2871="",$D2871=""),"",DATE($C2871+2018,$D2871,1))</f>
        <v/>
      </c>
    </row>
    <row r="2872">
      <c r="A2872" s="11" t="n"/>
      <c r="B2872" s="12" t="n"/>
      <c r="C2872" s="12" t="n"/>
      <c r="D2872" s="12" t="n"/>
      <c r="E2872" s="13" t="n"/>
      <c r="F2872" s="12" t="n"/>
      <c r="G2872" s="13" t="n"/>
      <c r="H2872" s="12" t="n"/>
      <c r="I2872" s="12" t="n"/>
      <c r="J2872" s="12" t="n"/>
      <c r="K2872" s="12" t="n"/>
      <c r="L2872" s="11" t="n"/>
      <c r="M2872" s="11" t="n"/>
      <c r="N2872" s="11" t="n"/>
      <c r="O2872" s="11" t="n"/>
      <c r="P2872" s="12" t="n"/>
      <c r="Q2872" s="11" t="n"/>
      <c r="R2872" s="12" t="n"/>
      <c r="S2872" s="11" t="n"/>
      <c r="T2872" s="12" t="n"/>
      <c r="U2872" s="12" t="n"/>
      <c r="V2872" s="14">
        <f>IF($AN2872="",IF($B2872="","",$H2872),IF(INDEX(職員マスタ!$B$6:$B$405,$AN2872)="",$H2872,INDEX(職員マスタ!$B$6:$B$405,$AN2872)))</f>
        <v/>
      </c>
      <c r="W2872" s="14">
        <f>IF($AN2872="",IF($B2872="","",$R2872),IF(INDEX(職員マスタ!$C$6:$C$405,$AN2872)="",$R2872,INDEX(職員マスタ!$C$6:$C$405,$AN2872)))</f>
        <v/>
      </c>
      <c r="X2872" s="14">
        <f>IF($AO2872="","","R"&amp;$C2872&amp;"."&amp;$D2872)</f>
        <v/>
      </c>
      <c r="Y2872" s="15">
        <f>IF($AN2872="","",IF(INDEX(職員マスタ!$K$6:$K$405,$AN2872)="","",INDEX(職員マスタ!$K$6:$K$405,$AN2872)))</f>
        <v/>
      </c>
      <c r="Z2872" s="14">
        <f>IF(OR($E2872="",$Y2872=""),"",IF($E2872&gt;=$Y2872,"×",IF($E2872&gt;=$Y2872*設定!$C$5,"△","○")))</f>
        <v/>
      </c>
      <c r="AA2872" s="15">
        <f>IF($Z2872="","",IF($Z2872="×",0,IF($Z2872="○",ROUNDDOWN($E2872*設定!$C$4,0),ROUNDDOWN($E2872*ROUND((9*$Y2872-9*$E2872)/(10*$E2872),4),0))))</f>
        <v/>
      </c>
      <c r="AB2872" s="13" t="n"/>
      <c r="AC2872" s="15">
        <f>IF($B2872="","",IF($AB2872&lt;&gt;"",$AB2872,IF($AA2872="","",IF($AA2872&lt;=設定!$C$3,0,$AA2872))))</f>
        <v/>
      </c>
      <c r="AD2872" s="14">
        <f>IF($B2872="","",IF(AND($AE2872&lt;&gt;"",$AG2872="",$AJ2872=""),"保留中",IF($AJ2872&lt;&gt;"",IF(N($AC2872)&gt;0,"支給済","不支給"),IF($AC2872="","要確認",IF($AC2872=0,"不支給","未処理")))))</f>
        <v/>
      </c>
      <c r="AE2872" s="12" t="n"/>
      <c r="AF2872" s="11" t="n"/>
      <c r="AG2872" s="11" t="n"/>
      <c r="AH2872" s="11" t="n"/>
      <c r="AI2872" s="14">
        <f>IF(AND($AD2872="保留中",$AF2872&lt;&gt;""),TODAY()-$AF2872,"")</f>
        <v/>
      </c>
      <c r="AJ2872" s="12" t="n"/>
      <c r="AK2872" s="14">
        <f>IF($B2872="","",IF($AO2872="","対象年月が未入力／","")&amp;IF($B2872="","",IF($AN2872="","職員マスタに未登録の職員番号／",IF($Y2872="","標準報酬月額が未登録／","")&amp;IF(AND($AO2872&lt;&gt;"",OR(AND(INDEX(職員マスタ!$G$6:$G$405,$AN2872)&lt;&gt;"",INDEX(職員マスタ!$G$6:$G$405,$AN2872)&gt;EOMONTH($AO2872,0)),AND(INDEX(職員マスタ!$H$6:$H$405,$AN2872)&lt;&gt;"",INDEX(職員マスタ!$H$6:$H$405,$AN2872)&lt;$AO2872))),"対象月が時短期間外／","")&amp;IF(AND(INDEX(職員マスタ!$F$6:$F$405,$AN2872)&lt;&gt;"",$AO2872&lt;&gt;"",INDEX(職員マスタ!$F$6:$F$405,$AN2872)&lt;$AO2872),"対象月に子が2歳到達済／","")&amp;IF(AND($H2872&lt;&gt;"",INDEX(職員マスタ!$B$6:$B$405,$AN2872)&lt;&gt;"",SUBSTITUTE(SUBSTITUTE($H2872," ","")," ","")&lt;&gt;SUBSTITUTE(SUBSTITUTE(INDEX(職員マスタ!$B$6:$B$405,$AN2872)," ","")," ","")),"氏名がマスタと相違／","")&amp;IF(AND($Q2872&lt;&gt;"",INDEX(職員マスタ!$E$6:$E$405,$AN2872)&lt;&gt;"",$Q2872&lt;&gt;INDEX(職員マスタ!$E$6:$E$405,$AN2872)),"子の生年月日がマスタと相違／","")&amp;IF(AND($L2872&lt;&gt;"",INDEX(職員マスタ!$G$6:$G$405,$AN2872)&lt;&gt;"",$L2872&lt;&gt;INDEX(職員マスタ!$G$6:$G$405,$AN2872)),"時短開始日がマスタと相違／","")&amp;IF(AND($M2872&lt;&gt;"",INDEX(職員マスタ!$H$6:$H$405,$AN2872)&lt;&gt;"",$M2872&lt;&gt;INDEX(職員マスタ!$H$6:$H$405,$AN2872)),"時短終了日がマスタと相違／","")))&amp;IF(AND($B2872&lt;&gt;"",$E2872=""),"報酬額が未入力／","")&amp;IF(N($U2872)&gt;0,"申請書に入力エラーが残っています／","")&amp;IF(AND($B2872&lt;&gt;"",$AO2872&lt;&gt;""),IF(COUNTIFS($B$6:$B$3005,$B2872,$C$6:$C$3005,$C2872,$D$6:$D$3005,$D2872)&gt;1,"同じ月の請求が重複しています／",""),"")&amp;IF(AND(N($E2872)&gt;0,$Z2872&lt;&gt;"",$Z2872&lt;&gt;"×",$AC2872=0,$AB2872=""),"計算額が下限以下のため不支給／",""))</f>
        <v/>
      </c>
      <c r="AL2872" s="12" t="n"/>
      <c r="AM2872" s="14">
        <f>IF($AD2872="保留中",COUNTIF($AD$6:$AD2872,"保留中"),"")</f>
        <v/>
      </c>
      <c r="AN2872" s="14">
        <f>IF($AO2872="","",IF(SUMPRODUCT(MAX((職員マスタ!$A$6:$A$405=$B2872)*(((職員マスタ!$G$6:$G$405="")+(職員マスタ!$G$6:$G$405&lt;=EOMONTH($AO2872,0)))&gt;0)*(((職員マスタ!$H$6:$H$405="")+(職員マスタ!$H$6:$H$405&gt;=$AO2872))&gt;0)*(ROW(職員マスタ!$A$6:$A$405)-5)))&gt;0,SUMPRODUCT(MAX((職員マスタ!$A$6:$A$405=$B2872)*(((職員マスタ!$G$6:$G$405="")+(職員マスタ!$G$6:$G$405&lt;=EOMONTH($AO2872,0)))&gt;0)*(((職員マスタ!$H$6:$H$405="")+(職員マスタ!$H$6:$H$405&gt;=$AO2872))&gt;0)*(ROW(職員マスタ!$A$6:$A$405)-5))),IFERROR(MATCH($B2872,職員マスタ!$A$6:$A$405,0),"")))</f>
        <v/>
      </c>
      <c r="AO2872" s="16">
        <f>IF(OR($B2872="",$C2872="",$D2872=""),"",DATE($C2872+2018,$D2872,1))</f>
        <v/>
      </c>
    </row>
    <row r="2873">
      <c r="A2873" s="11" t="n"/>
      <c r="B2873" s="12" t="n"/>
      <c r="C2873" s="12" t="n"/>
      <c r="D2873" s="12" t="n"/>
      <c r="E2873" s="13" t="n"/>
      <c r="F2873" s="12" t="n"/>
      <c r="G2873" s="13" t="n"/>
      <c r="H2873" s="12" t="n"/>
      <c r="I2873" s="12" t="n"/>
      <c r="J2873" s="12" t="n"/>
      <c r="K2873" s="12" t="n"/>
      <c r="L2873" s="11" t="n"/>
      <c r="M2873" s="11" t="n"/>
      <c r="N2873" s="11" t="n"/>
      <c r="O2873" s="11" t="n"/>
      <c r="P2873" s="12" t="n"/>
      <c r="Q2873" s="11" t="n"/>
      <c r="R2873" s="12" t="n"/>
      <c r="S2873" s="11" t="n"/>
      <c r="T2873" s="12" t="n"/>
      <c r="U2873" s="12" t="n"/>
      <c r="V2873" s="14">
        <f>IF($AN2873="",IF($B2873="","",$H2873),IF(INDEX(職員マスタ!$B$6:$B$405,$AN2873)="",$H2873,INDEX(職員マスタ!$B$6:$B$405,$AN2873)))</f>
        <v/>
      </c>
      <c r="W2873" s="14">
        <f>IF($AN2873="",IF($B2873="","",$R2873),IF(INDEX(職員マスタ!$C$6:$C$405,$AN2873)="",$R2873,INDEX(職員マスタ!$C$6:$C$405,$AN2873)))</f>
        <v/>
      </c>
      <c r="X2873" s="14">
        <f>IF($AO2873="","","R"&amp;$C2873&amp;"."&amp;$D2873)</f>
        <v/>
      </c>
      <c r="Y2873" s="15">
        <f>IF($AN2873="","",IF(INDEX(職員マスタ!$K$6:$K$405,$AN2873)="","",INDEX(職員マスタ!$K$6:$K$405,$AN2873)))</f>
        <v/>
      </c>
      <c r="Z2873" s="14">
        <f>IF(OR($E2873="",$Y2873=""),"",IF($E2873&gt;=$Y2873,"×",IF($E2873&gt;=$Y2873*設定!$C$5,"△","○")))</f>
        <v/>
      </c>
      <c r="AA2873" s="15">
        <f>IF($Z2873="","",IF($Z2873="×",0,IF($Z2873="○",ROUNDDOWN($E2873*設定!$C$4,0),ROUNDDOWN($E2873*ROUND((9*$Y2873-9*$E2873)/(10*$E2873),4),0))))</f>
        <v/>
      </c>
      <c r="AB2873" s="13" t="n"/>
      <c r="AC2873" s="15">
        <f>IF($B2873="","",IF($AB2873&lt;&gt;"",$AB2873,IF($AA2873="","",IF($AA2873&lt;=設定!$C$3,0,$AA2873))))</f>
        <v/>
      </c>
      <c r="AD2873" s="14">
        <f>IF($B2873="","",IF(AND($AE2873&lt;&gt;"",$AG2873="",$AJ2873=""),"保留中",IF($AJ2873&lt;&gt;"",IF(N($AC2873)&gt;0,"支給済","不支給"),IF($AC2873="","要確認",IF($AC2873=0,"不支給","未処理")))))</f>
        <v/>
      </c>
      <c r="AE2873" s="12" t="n"/>
      <c r="AF2873" s="11" t="n"/>
      <c r="AG2873" s="11" t="n"/>
      <c r="AH2873" s="11" t="n"/>
      <c r="AI2873" s="14">
        <f>IF(AND($AD2873="保留中",$AF2873&lt;&gt;""),TODAY()-$AF2873,"")</f>
        <v/>
      </c>
      <c r="AJ2873" s="12" t="n"/>
      <c r="AK2873" s="14">
        <f>IF($B2873="","",IF($AO2873="","対象年月が未入力／","")&amp;IF($B2873="","",IF($AN2873="","職員マスタに未登録の職員番号／",IF($Y2873="","標準報酬月額が未登録／","")&amp;IF(AND($AO2873&lt;&gt;"",OR(AND(INDEX(職員マスタ!$G$6:$G$405,$AN2873)&lt;&gt;"",INDEX(職員マスタ!$G$6:$G$405,$AN2873)&gt;EOMONTH($AO2873,0)),AND(INDEX(職員マスタ!$H$6:$H$405,$AN2873)&lt;&gt;"",INDEX(職員マスタ!$H$6:$H$405,$AN2873)&lt;$AO2873))),"対象月が時短期間外／","")&amp;IF(AND(INDEX(職員マスタ!$F$6:$F$405,$AN2873)&lt;&gt;"",$AO2873&lt;&gt;"",INDEX(職員マスタ!$F$6:$F$405,$AN2873)&lt;$AO2873),"対象月に子が2歳到達済／","")&amp;IF(AND($H2873&lt;&gt;"",INDEX(職員マスタ!$B$6:$B$405,$AN2873)&lt;&gt;"",SUBSTITUTE(SUBSTITUTE($H2873," ","")," ","")&lt;&gt;SUBSTITUTE(SUBSTITUTE(INDEX(職員マスタ!$B$6:$B$405,$AN2873)," ","")," ","")),"氏名がマスタと相違／","")&amp;IF(AND($Q2873&lt;&gt;"",INDEX(職員マスタ!$E$6:$E$405,$AN2873)&lt;&gt;"",$Q2873&lt;&gt;INDEX(職員マスタ!$E$6:$E$405,$AN2873)),"子の生年月日がマスタと相違／","")&amp;IF(AND($L2873&lt;&gt;"",INDEX(職員マスタ!$G$6:$G$405,$AN2873)&lt;&gt;"",$L2873&lt;&gt;INDEX(職員マスタ!$G$6:$G$405,$AN2873)),"時短開始日がマスタと相違／","")&amp;IF(AND($M2873&lt;&gt;"",INDEX(職員マスタ!$H$6:$H$405,$AN2873)&lt;&gt;"",$M2873&lt;&gt;INDEX(職員マスタ!$H$6:$H$405,$AN2873)),"時短終了日がマスタと相違／","")))&amp;IF(AND($B2873&lt;&gt;"",$E2873=""),"報酬額が未入力／","")&amp;IF(N($U2873)&gt;0,"申請書に入力エラーが残っています／","")&amp;IF(AND($B2873&lt;&gt;"",$AO2873&lt;&gt;""),IF(COUNTIFS($B$6:$B$3005,$B2873,$C$6:$C$3005,$C2873,$D$6:$D$3005,$D2873)&gt;1,"同じ月の請求が重複しています／",""),"")&amp;IF(AND(N($E2873)&gt;0,$Z2873&lt;&gt;"",$Z2873&lt;&gt;"×",$AC2873=0,$AB2873=""),"計算額が下限以下のため不支給／",""))</f>
        <v/>
      </c>
      <c r="AL2873" s="12" t="n"/>
      <c r="AM2873" s="14">
        <f>IF($AD2873="保留中",COUNTIF($AD$6:$AD2873,"保留中"),"")</f>
        <v/>
      </c>
      <c r="AN2873" s="14">
        <f>IF($AO2873="","",IF(SUMPRODUCT(MAX((職員マスタ!$A$6:$A$405=$B2873)*(((職員マスタ!$G$6:$G$405="")+(職員マスタ!$G$6:$G$405&lt;=EOMONTH($AO2873,0)))&gt;0)*(((職員マスタ!$H$6:$H$405="")+(職員マスタ!$H$6:$H$405&gt;=$AO2873))&gt;0)*(ROW(職員マスタ!$A$6:$A$405)-5)))&gt;0,SUMPRODUCT(MAX((職員マスタ!$A$6:$A$405=$B2873)*(((職員マスタ!$G$6:$G$405="")+(職員マスタ!$G$6:$G$405&lt;=EOMONTH($AO2873,0)))&gt;0)*(((職員マスタ!$H$6:$H$405="")+(職員マスタ!$H$6:$H$405&gt;=$AO2873))&gt;0)*(ROW(職員マスタ!$A$6:$A$405)-5))),IFERROR(MATCH($B2873,職員マスタ!$A$6:$A$405,0),"")))</f>
        <v/>
      </c>
      <c r="AO2873" s="16">
        <f>IF(OR($B2873="",$C2873="",$D2873=""),"",DATE($C2873+2018,$D2873,1))</f>
        <v/>
      </c>
    </row>
    <row r="2874">
      <c r="A2874" s="11" t="n"/>
      <c r="B2874" s="12" t="n"/>
      <c r="C2874" s="12" t="n"/>
      <c r="D2874" s="12" t="n"/>
      <c r="E2874" s="13" t="n"/>
      <c r="F2874" s="12" t="n"/>
      <c r="G2874" s="13" t="n"/>
      <c r="H2874" s="12" t="n"/>
      <c r="I2874" s="12" t="n"/>
      <c r="J2874" s="12" t="n"/>
      <c r="K2874" s="12" t="n"/>
      <c r="L2874" s="11" t="n"/>
      <c r="M2874" s="11" t="n"/>
      <c r="N2874" s="11" t="n"/>
      <c r="O2874" s="11" t="n"/>
      <c r="P2874" s="12" t="n"/>
      <c r="Q2874" s="11" t="n"/>
      <c r="R2874" s="12" t="n"/>
      <c r="S2874" s="11" t="n"/>
      <c r="T2874" s="12" t="n"/>
      <c r="U2874" s="12" t="n"/>
      <c r="V2874" s="14">
        <f>IF($AN2874="",IF($B2874="","",$H2874),IF(INDEX(職員マスタ!$B$6:$B$405,$AN2874)="",$H2874,INDEX(職員マスタ!$B$6:$B$405,$AN2874)))</f>
        <v/>
      </c>
      <c r="W2874" s="14">
        <f>IF($AN2874="",IF($B2874="","",$R2874),IF(INDEX(職員マスタ!$C$6:$C$405,$AN2874)="",$R2874,INDEX(職員マスタ!$C$6:$C$405,$AN2874)))</f>
        <v/>
      </c>
      <c r="X2874" s="14">
        <f>IF($AO2874="","","R"&amp;$C2874&amp;"."&amp;$D2874)</f>
        <v/>
      </c>
      <c r="Y2874" s="15">
        <f>IF($AN2874="","",IF(INDEX(職員マスタ!$K$6:$K$405,$AN2874)="","",INDEX(職員マスタ!$K$6:$K$405,$AN2874)))</f>
        <v/>
      </c>
      <c r="Z2874" s="14">
        <f>IF(OR($E2874="",$Y2874=""),"",IF($E2874&gt;=$Y2874,"×",IF($E2874&gt;=$Y2874*設定!$C$5,"△","○")))</f>
        <v/>
      </c>
      <c r="AA2874" s="15">
        <f>IF($Z2874="","",IF($Z2874="×",0,IF($Z2874="○",ROUNDDOWN($E2874*設定!$C$4,0),ROUNDDOWN($E2874*ROUND((9*$Y2874-9*$E2874)/(10*$E2874),4),0))))</f>
        <v/>
      </c>
      <c r="AB2874" s="13" t="n"/>
      <c r="AC2874" s="15">
        <f>IF($B2874="","",IF($AB2874&lt;&gt;"",$AB2874,IF($AA2874="","",IF($AA2874&lt;=設定!$C$3,0,$AA2874))))</f>
        <v/>
      </c>
      <c r="AD2874" s="14">
        <f>IF($B2874="","",IF(AND($AE2874&lt;&gt;"",$AG2874="",$AJ2874=""),"保留中",IF($AJ2874&lt;&gt;"",IF(N($AC2874)&gt;0,"支給済","不支給"),IF($AC2874="","要確認",IF($AC2874=0,"不支給","未処理")))))</f>
        <v/>
      </c>
      <c r="AE2874" s="12" t="n"/>
      <c r="AF2874" s="11" t="n"/>
      <c r="AG2874" s="11" t="n"/>
      <c r="AH2874" s="11" t="n"/>
      <c r="AI2874" s="14">
        <f>IF(AND($AD2874="保留中",$AF2874&lt;&gt;""),TODAY()-$AF2874,"")</f>
        <v/>
      </c>
      <c r="AJ2874" s="12" t="n"/>
      <c r="AK2874" s="14">
        <f>IF($B2874="","",IF($AO2874="","対象年月が未入力／","")&amp;IF($B2874="","",IF($AN2874="","職員マスタに未登録の職員番号／",IF($Y2874="","標準報酬月額が未登録／","")&amp;IF(AND($AO2874&lt;&gt;"",OR(AND(INDEX(職員マスタ!$G$6:$G$405,$AN2874)&lt;&gt;"",INDEX(職員マスタ!$G$6:$G$405,$AN2874)&gt;EOMONTH($AO2874,0)),AND(INDEX(職員マスタ!$H$6:$H$405,$AN2874)&lt;&gt;"",INDEX(職員マスタ!$H$6:$H$405,$AN2874)&lt;$AO2874))),"対象月が時短期間外／","")&amp;IF(AND(INDEX(職員マスタ!$F$6:$F$405,$AN2874)&lt;&gt;"",$AO2874&lt;&gt;"",INDEX(職員マスタ!$F$6:$F$405,$AN2874)&lt;$AO2874),"対象月に子が2歳到達済／","")&amp;IF(AND($H2874&lt;&gt;"",INDEX(職員マスタ!$B$6:$B$405,$AN2874)&lt;&gt;"",SUBSTITUTE(SUBSTITUTE($H2874," ","")," ","")&lt;&gt;SUBSTITUTE(SUBSTITUTE(INDEX(職員マスタ!$B$6:$B$405,$AN2874)," ","")," ","")),"氏名がマスタと相違／","")&amp;IF(AND($Q2874&lt;&gt;"",INDEX(職員マスタ!$E$6:$E$405,$AN2874)&lt;&gt;"",$Q2874&lt;&gt;INDEX(職員マスタ!$E$6:$E$405,$AN2874)),"子の生年月日がマスタと相違／","")&amp;IF(AND($L2874&lt;&gt;"",INDEX(職員マスタ!$G$6:$G$405,$AN2874)&lt;&gt;"",$L2874&lt;&gt;INDEX(職員マスタ!$G$6:$G$405,$AN2874)),"時短開始日がマスタと相違／","")&amp;IF(AND($M2874&lt;&gt;"",INDEX(職員マスタ!$H$6:$H$405,$AN2874)&lt;&gt;"",$M2874&lt;&gt;INDEX(職員マスタ!$H$6:$H$405,$AN2874)),"時短終了日がマスタと相違／","")))&amp;IF(AND($B2874&lt;&gt;"",$E2874=""),"報酬額が未入力／","")&amp;IF(N($U2874)&gt;0,"申請書に入力エラーが残っています／","")&amp;IF(AND($B2874&lt;&gt;"",$AO2874&lt;&gt;""),IF(COUNTIFS($B$6:$B$3005,$B2874,$C$6:$C$3005,$C2874,$D$6:$D$3005,$D2874)&gt;1,"同じ月の請求が重複しています／",""),"")&amp;IF(AND(N($E2874)&gt;0,$Z2874&lt;&gt;"",$Z2874&lt;&gt;"×",$AC2874=0,$AB2874=""),"計算額が下限以下のため不支給／",""))</f>
        <v/>
      </c>
      <c r="AL2874" s="12" t="n"/>
      <c r="AM2874" s="14">
        <f>IF($AD2874="保留中",COUNTIF($AD$6:$AD2874,"保留中"),"")</f>
        <v/>
      </c>
      <c r="AN2874" s="14">
        <f>IF($AO2874="","",IF(SUMPRODUCT(MAX((職員マスタ!$A$6:$A$405=$B2874)*(((職員マスタ!$G$6:$G$405="")+(職員マスタ!$G$6:$G$405&lt;=EOMONTH($AO2874,0)))&gt;0)*(((職員マスタ!$H$6:$H$405="")+(職員マスタ!$H$6:$H$405&gt;=$AO2874))&gt;0)*(ROW(職員マスタ!$A$6:$A$405)-5)))&gt;0,SUMPRODUCT(MAX((職員マスタ!$A$6:$A$405=$B2874)*(((職員マスタ!$G$6:$G$405="")+(職員マスタ!$G$6:$G$405&lt;=EOMONTH($AO2874,0)))&gt;0)*(((職員マスタ!$H$6:$H$405="")+(職員マスタ!$H$6:$H$405&gt;=$AO2874))&gt;0)*(ROW(職員マスタ!$A$6:$A$405)-5))),IFERROR(MATCH($B2874,職員マスタ!$A$6:$A$405,0),"")))</f>
        <v/>
      </c>
      <c r="AO2874" s="16">
        <f>IF(OR($B2874="",$C2874="",$D2874=""),"",DATE($C2874+2018,$D2874,1))</f>
        <v/>
      </c>
    </row>
    <row r="2875">
      <c r="A2875" s="11" t="n"/>
      <c r="B2875" s="12" t="n"/>
      <c r="C2875" s="12" t="n"/>
      <c r="D2875" s="12" t="n"/>
      <c r="E2875" s="13" t="n"/>
      <c r="F2875" s="12" t="n"/>
      <c r="G2875" s="13" t="n"/>
      <c r="H2875" s="12" t="n"/>
      <c r="I2875" s="12" t="n"/>
      <c r="J2875" s="12" t="n"/>
      <c r="K2875" s="12" t="n"/>
      <c r="L2875" s="11" t="n"/>
      <c r="M2875" s="11" t="n"/>
      <c r="N2875" s="11" t="n"/>
      <c r="O2875" s="11" t="n"/>
      <c r="P2875" s="12" t="n"/>
      <c r="Q2875" s="11" t="n"/>
      <c r="R2875" s="12" t="n"/>
      <c r="S2875" s="11" t="n"/>
      <c r="T2875" s="12" t="n"/>
      <c r="U2875" s="12" t="n"/>
      <c r="V2875" s="14">
        <f>IF($AN2875="",IF($B2875="","",$H2875),IF(INDEX(職員マスタ!$B$6:$B$405,$AN2875)="",$H2875,INDEX(職員マスタ!$B$6:$B$405,$AN2875)))</f>
        <v/>
      </c>
      <c r="W2875" s="14">
        <f>IF($AN2875="",IF($B2875="","",$R2875),IF(INDEX(職員マスタ!$C$6:$C$405,$AN2875)="",$R2875,INDEX(職員マスタ!$C$6:$C$405,$AN2875)))</f>
        <v/>
      </c>
      <c r="X2875" s="14">
        <f>IF($AO2875="","","R"&amp;$C2875&amp;"."&amp;$D2875)</f>
        <v/>
      </c>
      <c r="Y2875" s="15">
        <f>IF($AN2875="","",IF(INDEX(職員マスタ!$K$6:$K$405,$AN2875)="","",INDEX(職員マスタ!$K$6:$K$405,$AN2875)))</f>
        <v/>
      </c>
      <c r="Z2875" s="14">
        <f>IF(OR($E2875="",$Y2875=""),"",IF($E2875&gt;=$Y2875,"×",IF($E2875&gt;=$Y2875*設定!$C$5,"△","○")))</f>
        <v/>
      </c>
      <c r="AA2875" s="15">
        <f>IF($Z2875="","",IF($Z2875="×",0,IF($Z2875="○",ROUNDDOWN($E2875*設定!$C$4,0),ROUNDDOWN($E2875*ROUND((9*$Y2875-9*$E2875)/(10*$E2875),4),0))))</f>
        <v/>
      </c>
      <c r="AB2875" s="13" t="n"/>
      <c r="AC2875" s="15">
        <f>IF($B2875="","",IF($AB2875&lt;&gt;"",$AB2875,IF($AA2875="","",IF($AA2875&lt;=設定!$C$3,0,$AA2875))))</f>
        <v/>
      </c>
      <c r="AD2875" s="14">
        <f>IF($B2875="","",IF(AND($AE2875&lt;&gt;"",$AG2875="",$AJ2875=""),"保留中",IF($AJ2875&lt;&gt;"",IF(N($AC2875)&gt;0,"支給済","不支給"),IF($AC2875="","要確認",IF($AC2875=0,"不支給","未処理")))))</f>
        <v/>
      </c>
      <c r="AE2875" s="12" t="n"/>
      <c r="AF2875" s="11" t="n"/>
      <c r="AG2875" s="11" t="n"/>
      <c r="AH2875" s="11" t="n"/>
      <c r="AI2875" s="14">
        <f>IF(AND($AD2875="保留中",$AF2875&lt;&gt;""),TODAY()-$AF2875,"")</f>
        <v/>
      </c>
      <c r="AJ2875" s="12" t="n"/>
      <c r="AK2875" s="14">
        <f>IF($B2875="","",IF($AO2875="","対象年月が未入力／","")&amp;IF($B2875="","",IF($AN2875="","職員マスタに未登録の職員番号／",IF($Y2875="","標準報酬月額が未登録／","")&amp;IF(AND($AO2875&lt;&gt;"",OR(AND(INDEX(職員マスタ!$G$6:$G$405,$AN2875)&lt;&gt;"",INDEX(職員マスタ!$G$6:$G$405,$AN2875)&gt;EOMONTH($AO2875,0)),AND(INDEX(職員マスタ!$H$6:$H$405,$AN2875)&lt;&gt;"",INDEX(職員マスタ!$H$6:$H$405,$AN2875)&lt;$AO2875))),"対象月が時短期間外／","")&amp;IF(AND(INDEX(職員マスタ!$F$6:$F$405,$AN2875)&lt;&gt;"",$AO2875&lt;&gt;"",INDEX(職員マスタ!$F$6:$F$405,$AN2875)&lt;$AO2875),"対象月に子が2歳到達済／","")&amp;IF(AND($H2875&lt;&gt;"",INDEX(職員マスタ!$B$6:$B$405,$AN2875)&lt;&gt;"",SUBSTITUTE(SUBSTITUTE($H2875," ","")," ","")&lt;&gt;SUBSTITUTE(SUBSTITUTE(INDEX(職員マスタ!$B$6:$B$405,$AN2875)," ","")," ","")),"氏名がマスタと相違／","")&amp;IF(AND($Q2875&lt;&gt;"",INDEX(職員マスタ!$E$6:$E$405,$AN2875)&lt;&gt;"",$Q2875&lt;&gt;INDEX(職員マスタ!$E$6:$E$405,$AN2875)),"子の生年月日がマスタと相違／","")&amp;IF(AND($L2875&lt;&gt;"",INDEX(職員マスタ!$G$6:$G$405,$AN2875)&lt;&gt;"",$L2875&lt;&gt;INDEX(職員マスタ!$G$6:$G$405,$AN2875)),"時短開始日がマスタと相違／","")&amp;IF(AND($M2875&lt;&gt;"",INDEX(職員マスタ!$H$6:$H$405,$AN2875)&lt;&gt;"",$M2875&lt;&gt;INDEX(職員マスタ!$H$6:$H$405,$AN2875)),"時短終了日がマスタと相違／","")))&amp;IF(AND($B2875&lt;&gt;"",$E2875=""),"報酬額が未入力／","")&amp;IF(N($U2875)&gt;0,"申請書に入力エラーが残っています／","")&amp;IF(AND($B2875&lt;&gt;"",$AO2875&lt;&gt;""),IF(COUNTIFS($B$6:$B$3005,$B2875,$C$6:$C$3005,$C2875,$D$6:$D$3005,$D2875)&gt;1,"同じ月の請求が重複しています／",""),"")&amp;IF(AND(N($E2875)&gt;0,$Z2875&lt;&gt;"",$Z2875&lt;&gt;"×",$AC2875=0,$AB2875=""),"計算額が下限以下のため不支給／",""))</f>
        <v/>
      </c>
      <c r="AL2875" s="12" t="n"/>
      <c r="AM2875" s="14">
        <f>IF($AD2875="保留中",COUNTIF($AD$6:$AD2875,"保留中"),"")</f>
        <v/>
      </c>
      <c r="AN2875" s="14">
        <f>IF($AO2875="","",IF(SUMPRODUCT(MAX((職員マスタ!$A$6:$A$405=$B2875)*(((職員マスタ!$G$6:$G$405="")+(職員マスタ!$G$6:$G$405&lt;=EOMONTH($AO2875,0)))&gt;0)*(((職員マスタ!$H$6:$H$405="")+(職員マスタ!$H$6:$H$405&gt;=$AO2875))&gt;0)*(ROW(職員マスタ!$A$6:$A$405)-5)))&gt;0,SUMPRODUCT(MAX((職員マスタ!$A$6:$A$405=$B2875)*(((職員マスタ!$G$6:$G$405="")+(職員マスタ!$G$6:$G$405&lt;=EOMONTH($AO2875,0)))&gt;0)*(((職員マスタ!$H$6:$H$405="")+(職員マスタ!$H$6:$H$405&gt;=$AO2875))&gt;0)*(ROW(職員マスタ!$A$6:$A$405)-5))),IFERROR(MATCH($B2875,職員マスタ!$A$6:$A$405,0),"")))</f>
        <v/>
      </c>
      <c r="AO2875" s="16">
        <f>IF(OR($B2875="",$C2875="",$D2875=""),"",DATE($C2875+2018,$D2875,1))</f>
        <v/>
      </c>
    </row>
    <row r="2876">
      <c r="A2876" s="11" t="n"/>
      <c r="B2876" s="12" t="n"/>
      <c r="C2876" s="12" t="n"/>
      <c r="D2876" s="12" t="n"/>
      <c r="E2876" s="13" t="n"/>
      <c r="F2876" s="12" t="n"/>
      <c r="G2876" s="13" t="n"/>
      <c r="H2876" s="12" t="n"/>
      <c r="I2876" s="12" t="n"/>
      <c r="J2876" s="12" t="n"/>
      <c r="K2876" s="12" t="n"/>
      <c r="L2876" s="11" t="n"/>
      <c r="M2876" s="11" t="n"/>
      <c r="N2876" s="11" t="n"/>
      <c r="O2876" s="11" t="n"/>
      <c r="P2876" s="12" t="n"/>
      <c r="Q2876" s="11" t="n"/>
      <c r="R2876" s="12" t="n"/>
      <c r="S2876" s="11" t="n"/>
      <c r="T2876" s="12" t="n"/>
      <c r="U2876" s="12" t="n"/>
      <c r="V2876" s="14">
        <f>IF($AN2876="",IF($B2876="","",$H2876),IF(INDEX(職員マスタ!$B$6:$B$405,$AN2876)="",$H2876,INDEX(職員マスタ!$B$6:$B$405,$AN2876)))</f>
        <v/>
      </c>
      <c r="W2876" s="14">
        <f>IF($AN2876="",IF($B2876="","",$R2876),IF(INDEX(職員マスタ!$C$6:$C$405,$AN2876)="",$R2876,INDEX(職員マスタ!$C$6:$C$405,$AN2876)))</f>
        <v/>
      </c>
      <c r="X2876" s="14">
        <f>IF($AO2876="","","R"&amp;$C2876&amp;"."&amp;$D2876)</f>
        <v/>
      </c>
      <c r="Y2876" s="15">
        <f>IF($AN2876="","",IF(INDEX(職員マスタ!$K$6:$K$405,$AN2876)="","",INDEX(職員マスタ!$K$6:$K$405,$AN2876)))</f>
        <v/>
      </c>
      <c r="Z2876" s="14">
        <f>IF(OR($E2876="",$Y2876=""),"",IF($E2876&gt;=$Y2876,"×",IF($E2876&gt;=$Y2876*設定!$C$5,"△","○")))</f>
        <v/>
      </c>
      <c r="AA2876" s="15">
        <f>IF($Z2876="","",IF($Z2876="×",0,IF($Z2876="○",ROUNDDOWN($E2876*設定!$C$4,0),ROUNDDOWN($E2876*ROUND((9*$Y2876-9*$E2876)/(10*$E2876),4),0))))</f>
        <v/>
      </c>
      <c r="AB2876" s="13" t="n"/>
      <c r="AC2876" s="15">
        <f>IF($B2876="","",IF($AB2876&lt;&gt;"",$AB2876,IF($AA2876="","",IF($AA2876&lt;=設定!$C$3,0,$AA2876))))</f>
        <v/>
      </c>
      <c r="AD2876" s="14">
        <f>IF($B2876="","",IF(AND($AE2876&lt;&gt;"",$AG2876="",$AJ2876=""),"保留中",IF($AJ2876&lt;&gt;"",IF(N($AC2876)&gt;0,"支給済","不支給"),IF($AC2876="","要確認",IF($AC2876=0,"不支給","未処理")))))</f>
        <v/>
      </c>
      <c r="AE2876" s="12" t="n"/>
      <c r="AF2876" s="11" t="n"/>
      <c r="AG2876" s="11" t="n"/>
      <c r="AH2876" s="11" t="n"/>
      <c r="AI2876" s="14">
        <f>IF(AND($AD2876="保留中",$AF2876&lt;&gt;""),TODAY()-$AF2876,"")</f>
        <v/>
      </c>
      <c r="AJ2876" s="12" t="n"/>
      <c r="AK2876" s="14">
        <f>IF($B2876="","",IF($AO2876="","対象年月が未入力／","")&amp;IF($B2876="","",IF($AN2876="","職員マスタに未登録の職員番号／",IF($Y2876="","標準報酬月額が未登録／","")&amp;IF(AND($AO2876&lt;&gt;"",OR(AND(INDEX(職員マスタ!$G$6:$G$405,$AN2876)&lt;&gt;"",INDEX(職員マスタ!$G$6:$G$405,$AN2876)&gt;EOMONTH($AO2876,0)),AND(INDEX(職員マスタ!$H$6:$H$405,$AN2876)&lt;&gt;"",INDEX(職員マスタ!$H$6:$H$405,$AN2876)&lt;$AO2876))),"対象月が時短期間外／","")&amp;IF(AND(INDEX(職員マスタ!$F$6:$F$405,$AN2876)&lt;&gt;"",$AO2876&lt;&gt;"",INDEX(職員マスタ!$F$6:$F$405,$AN2876)&lt;$AO2876),"対象月に子が2歳到達済／","")&amp;IF(AND($H2876&lt;&gt;"",INDEX(職員マスタ!$B$6:$B$405,$AN2876)&lt;&gt;"",SUBSTITUTE(SUBSTITUTE($H2876," ","")," ","")&lt;&gt;SUBSTITUTE(SUBSTITUTE(INDEX(職員マスタ!$B$6:$B$405,$AN2876)," ","")," ","")),"氏名がマスタと相違／","")&amp;IF(AND($Q2876&lt;&gt;"",INDEX(職員マスタ!$E$6:$E$405,$AN2876)&lt;&gt;"",$Q2876&lt;&gt;INDEX(職員マスタ!$E$6:$E$405,$AN2876)),"子の生年月日がマスタと相違／","")&amp;IF(AND($L2876&lt;&gt;"",INDEX(職員マスタ!$G$6:$G$405,$AN2876)&lt;&gt;"",$L2876&lt;&gt;INDEX(職員マスタ!$G$6:$G$405,$AN2876)),"時短開始日がマスタと相違／","")&amp;IF(AND($M2876&lt;&gt;"",INDEX(職員マスタ!$H$6:$H$405,$AN2876)&lt;&gt;"",$M2876&lt;&gt;INDEX(職員マスタ!$H$6:$H$405,$AN2876)),"時短終了日がマスタと相違／","")))&amp;IF(AND($B2876&lt;&gt;"",$E2876=""),"報酬額が未入力／","")&amp;IF(N($U2876)&gt;0,"申請書に入力エラーが残っています／","")&amp;IF(AND($B2876&lt;&gt;"",$AO2876&lt;&gt;""),IF(COUNTIFS($B$6:$B$3005,$B2876,$C$6:$C$3005,$C2876,$D$6:$D$3005,$D2876)&gt;1,"同じ月の請求が重複しています／",""),"")&amp;IF(AND(N($E2876)&gt;0,$Z2876&lt;&gt;"",$Z2876&lt;&gt;"×",$AC2876=0,$AB2876=""),"計算額が下限以下のため不支給／",""))</f>
        <v/>
      </c>
      <c r="AL2876" s="12" t="n"/>
      <c r="AM2876" s="14">
        <f>IF($AD2876="保留中",COUNTIF($AD$6:$AD2876,"保留中"),"")</f>
        <v/>
      </c>
      <c r="AN2876" s="14">
        <f>IF($AO2876="","",IF(SUMPRODUCT(MAX((職員マスタ!$A$6:$A$405=$B2876)*(((職員マスタ!$G$6:$G$405="")+(職員マスタ!$G$6:$G$405&lt;=EOMONTH($AO2876,0)))&gt;0)*(((職員マスタ!$H$6:$H$405="")+(職員マスタ!$H$6:$H$405&gt;=$AO2876))&gt;0)*(ROW(職員マスタ!$A$6:$A$405)-5)))&gt;0,SUMPRODUCT(MAX((職員マスタ!$A$6:$A$405=$B2876)*(((職員マスタ!$G$6:$G$405="")+(職員マスタ!$G$6:$G$405&lt;=EOMONTH($AO2876,0)))&gt;0)*(((職員マスタ!$H$6:$H$405="")+(職員マスタ!$H$6:$H$405&gt;=$AO2876))&gt;0)*(ROW(職員マスタ!$A$6:$A$405)-5))),IFERROR(MATCH($B2876,職員マスタ!$A$6:$A$405,0),"")))</f>
        <v/>
      </c>
      <c r="AO2876" s="16">
        <f>IF(OR($B2876="",$C2876="",$D2876=""),"",DATE($C2876+2018,$D2876,1))</f>
        <v/>
      </c>
    </row>
    <row r="2877">
      <c r="A2877" s="11" t="n"/>
      <c r="B2877" s="12" t="n"/>
      <c r="C2877" s="12" t="n"/>
      <c r="D2877" s="12" t="n"/>
      <c r="E2877" s="13" t="n"/>
      <c r="F2877" s="12" t="n"/>
      <c r="G2877" s="13" t="n"/>
      <c r="H2877" s="12" t="n"/>
      <c r="I2877" s="12" t="n"/>
      <c r="J2877" s="12" t="n"/>
      <c r="K2877" s="12" t="n"/>
      <c r="L2877" s="11" t="n"/>
      <c r="M2877" s="11" t="n"/>
      <c r="N2877" s="11" t="n"/>
      <c r="O2877" s="11" t="n"/>
      <c r="P2877" s="12" t="n"/>
      <c r="Q2877" s="11" t="n"/>
      <c r="R2877" s="12" t="n"/>
      <c r="S2877" s="11" t="n"/>
      <c r="T2877" s="12" t="n"/>
      <c r="U2877" s="12" t="n"/>
      <c r="V2877" s="14">
        <f>IF($AN2877="",IF($B2877="","",$H2877),IF(INDEX(職員マスタ!$B$6:$B$405,$AN2877)="",$H2877,INDEX(職員マスタ!$B$6:$B$405,$AN2877)))</f>
        <v/>
      </c>
      <c r="W2877" s="14">
        <f>IF($AN2877="",IF($B2877="","",$R2877),IF(INDEX(職員マスタ!$C$6:$C$405,$AN2877)="",$R2877,INDEX(職員マスタ!$C$6:$C$405,$AN2877)))</f>
        <v/>
      </c>
      <c r="X2877" s="14">
        <f>IF($AO2877="","","R"&amp;$C2877&amp;"."&amp;$D2877)</f>
        <v/>
      </c>
      <c r="Y2877" s="15">
        <f>IF($AN2877="","",IF(INDEX(職員マスタ!$K$6:$K$405,$AN2877)="","",INDEX(職員マスタ!$K$6:$K$405,$AN2877)))</f>
        <v/>
      </c>
      <c r="Z2877" s="14">
        <f>IF(OR($E2877="",$Y2877=""),"",IF($E2877&gt;=$Y2877,"×",IF($E2877&gt;=$Y2877*設定!$C$5,"△","○")))</f>
        <v/>
      </c>
      <c r="AA2877" s="15">
        <f>IF($Z2877="","",IF($Z2877="×",0,IF($Z2877="○",ROUNDDOWN($E2877*設定!$C$4,0),ROUNDDOWN($E2877*ROUND((9*$Y2877-9*$E2877)/(10*$E2877),4),0))))</f>
        <v/>
      </c>
      <c r="AB2877" s="13" t="n"/>
      <c r="AC2877" s="15">
        <f>IF($B2877="","",IF($AB2877&lt;&gt;"",$AB2877,IF($AA2877="","",IF($AA2877&lt;=設定!$C$3,0,$AA2877))))</f>
        <v/>
      </c>
      <c r="AD2877" s="14">
        <f>IF($B2877="","",IF(AND($AE2877&lt;&gt;"",$AG2877="",$AJ2877=""),"保留中",IF($AJ2877&lt;&gt;"",IF(N($AC2877)&gt;0,"支給済","不支給"),IF($AC2877="","要確認",IF($AC2877=0,"不支給","未処理")))))</f>
        <v/>
      </c>
      <c r="AE2877" s="12" t="n"/>
      <c r="AF2877" s="11" t="n"/>
      <c r="AG2877" s="11" t="n"/>
      <c r="AH2877" s="11" t="n"/>
      <c r="AI2877" s="14">
        <f>IF(AND($AD2877="保留中",$AF2877&lt;&gt;""),TODAY()-$AF2877,"")</f>
        <v/>
      </c>
      <c r="AJ2877" s="12" t="n"/>
      <c r="AK2877" s="14">
        <f>IF($B2877="","",IF($AO2877="","対象年月が未入力／","")&amp;IF($B2877="","",IF($AN2877="","職員マスタに未登録の職員番号／",IF($Y2877="","標準報酬月額が未登録／","")&amp;IF(AND($AO2877&lt;&gt;"",OR(AND(INDEX(職員マスタ!$G$6:$G$405,$AN2877)&lt;&gt;"",INDEX(職員マスタ!$G$6:$G$405,$AN2877)&gt;EOMONTH($AO2877,0)),AND(INDEX(職員マスタ!$H$6:$H$405,$AN2877)&lt;&gt;"",INDEX(職員マスタ!$H$6:$H$405,$AN2877)&lt;$AO2877))),"対象月が時短期間外／","")&amp;IF(AND(INDEX(職員マスタ!$F$6:$F$405,$AN2877)&lt;&gt;"",$AO2877&lt;&gt;"",INDEX(職員マスタ!$F$6:$F$405,$AN2877)&lt;$AO2877),"対象月に子が2歳到達済／","")&amp;IF(AND($H2877&lt;&gt;"",INDEX(職員マスタ!$B$6:$B$405,$AN2877)&lt;&gt;"",SUBSTITUTE(SUBSTITUTE($H2877," ","")," ","")&lt;&gt;SUBSTITUTE(SUBSTITUTE(INDEX(職員マスタ!$B$6:$B$405,$AN2877)," ","")," ","")),"氏名がマスタと相違／","")&amp;IF(AND($Q2877&lt;&gt;"",INDEX(職員マスタ!$E$6:$E$405,$AN2877)&lt;&gt;"",$Q2877&lt;&gt;INDEX(職員マスタ!$E$6:$E$405,$AN2877)),"子の生年月日がマスタと相違／","")&amp;IF(AND($L2877&lt;&gt;"",INDEX(職員マスタ!$G$6:$G$405,$AN2877)&lt;&gt;"",$L2877&lt;&gt;INDEX(職員マスタ!$G$6:$G$405,$AN2877)),"時短開始日がマスタと相違／","")&amp;IF(AND($M2877&lt;&gt;"",INDEX(職員マスタ!$H$6:$H$405,$AN2877)&lt;&gt;"",$M2877&lt;&gt;INDEX(職員マスタ!$H$6:$H$405,$AN2877)),"時短終了日がマスタと相違／","")))&amp;IF(AND($B2877&lt;&gt;"",$E2877=""),"報酬額が未入力／","")&amp;IF(N($U2877)&gt;0,"申請書に入力エラーが残っています／","")&amp;IF(AND($B2877&lt;&gt;"",$AO2877&lt;&gt;""),IF(COUNTIFS($B$6:$B$3005,$B2877,$C$6:$C$3005,$C2877,$D$6:$D$3005,$D2877)&gt;1,"同じ月の請求が重複しています／",""),"")&amp;IF(AND(N($E2877)&gt;0,$Z2877&lt;&gt;"",$Z2877&lt;&gt;"×",$AC2877=0,$AB2877=""),"計算額が下限以下のため不支給／",""))</f>
        <v/>
      </c>
      <c r="AL2877" s="12" t="n"/>
      <c r="AM2877" s="14">
        <f>IF($AD2877="保留中",COUNTIF($AD$6:$AD2877,"保留中"),"")</f>
        <v/>
      </c>
      <c r="AN2877" s="14">
        <f>IF($AO2877="","",IF(SUMPRODUCT(MAX((職員マスタ!$A$6:$A$405=$B2877)*(((職員マスタ!$G$6:$G$405="")+(職員マスタ!$G$6:$G$405&lt;=EOMONTH($AO2877,0)))&gt;0)*(((職員マスタ!$H$6:$H$405="")+(職員マスタ!$H$6:$H$405&gt;=$AO2877))&gt;0)*(ROW(職員マスタ!$A$6:$A$405)-5)))&gt;0,SUMPRODUCT(MAX((職員マスタ!$A$6:$A$405=$B2877)*(((職員マスタ!$G$6:$G$405="")+(職員マスタ!$G$6:$G$405&lt;=EOMONTH($AO2877,0)))&gt;0)*(((職員マスタ!$H$6:$H$405="")+(職員マスタ!$H$6:$H$405&gt;=$AO2877))&gt;0)*(ROW(職員マスタ!$A$6:$A$405)-5))),IFERROR(MATCH($B2877,職員マスタ!$A$6:$A$405,0),"")))</f>
        <v/>
      </c>
      <c r="AO2877" s="16">
        <f>IF(OR($B2877="",$C2877="",$D2877=""),"",DATE($C2877+2018,$D2877,1))</f>
        <v/>
      </c>
    </row>
    <row r="2878">
      <c r="A2878" s="11" t="n"/>
      <c r="B2878" s="12" t="n"/>
      <c r="C2878" s="12" t="n"/>
      <c r="D2878" s="12" t="n"/>
      <c r="E2878" s="13" t="n"/>
      <c r="F2878" s="12" t="n"/>
      <c r="G2878" s="13" t="n"/>
      <c r="H2878" s="12" t="n"/>
      <c r="I2878" s="12" t="n"/>
      <c r="J2878" s="12" t="n"/>
      <c r="K2878" s="12" t="n"/>
      <c r="L2878" s="11" t="n"/>
      <c r="M2878" s="11" t="n"/>
      <c r="N2878" s="11" t="n"/>
      <c r="O2878" s="11" t="n"/>
      <c r="P2878" s="12" t="n"/>
      <c r="Q2878" s="11" t="n"/>
      <c r="R2878" s="12" t="n"/>
      <c r="S2878" s="11" t="n"/>
      <c r="T2878" s="12" t="n"/>
      <c r="U2878" s="12" t="n"/>
      <c r="V2878" s="14">
        <f>IF($AN2878="",IF($B2878="","",$H2878),IF(INDEX(職員マスタ!$B$6:$B$405,$AN2878)="",$H2878,INDEX(職員マスタ!$B$6:$B$405,$AN2878)))</f>
        <v/>
      </c>
      <c r="W2878" s="14">
        <f>IF($AN2878="",IF($B2878="","",$R2878),IF(INDEX(職員マスタ!$C$6:$C$405,$AN2878)="",$R2878,INDEX(職員マスタ!$C$6:$C$405,$AN2878)))</f>
        <v/>
      </c>
      <c r="X2878" s="14">
        <f>IF($AO2878="","","R"&amp;$C2878&amp;"."&amp;$D2878)</f>
        <v/>
      </c>
      <c r="Y2878" s="15">
        <f>IF($AN2878="","",IF(INDEX(職員マスタ!$K$6:$K$405,$AN2878)="","",INDEX(職員マスタ!$K$6:$K$405,$AN2878)))</f>
        <v/>
      </c>
      <c r="Z2878" s="14">
        <f>IF(OR($E2878="",$Y2878=""),"",IF($E2878&gt;=$Y2878,"×",IF($E2878&gt;=$Y2878*設定!$C$5,"△","○")))</f>
        <v/>
      </c>
      <c r="AA2878" s="15">
        <f>IF($Z2878="","",IF($Z2878="×",0,IF($Z2878="○",ROUNDDOWN($E2878*設定!$C$4,0),ROUNDDOWN($E2878*ROUND((9*$Y2878-9*$E2878)/(10*$E2878),4),0))))</f>
        <v/>
      </c>
      <c r="AB2878" s="13" t="n"/>
      <c r="AC2878" s="15">
        <f>IF($B2878="","",IF($AB2878&lt;&gt;"",$AB2878,IF($AA2878="","",IF($AA2878&lt;=設定!$C$3,0,$AA2878))))</f>
        <v/>
      </c>
      <c r="AD2878" s="14">
        <f>IF($B2878="","",IF(AND($AE2878&lt;&gt;"",$AG2878="",$AJ2878=""),"保留中",IF($AJ2878&lt;&gt;"",IF(N($AC2878)&gt;0,"支給済","不支給"),IF($AC2878="","要確認",IF($AC2878=0,"不支給","未処理")))))</f>
        <v/>
      </c>
      <c r="AE2878" s="12" t="n"/>
      <c r="AF2878" s="11" t="n"/>
      <c r="AG2878" s="11" t="n"/>
      <c r="AH2878" s="11" t="n"/>
      <c r="AI2878" s="14">
        <f>IF(AND($AD2878="保留中",$AF2878&lt;&gt;""),TODAY()-$AF2878,"")</f>
        <v/>
      </c>
      <c r="AJ2878" s="12" t="n"/>
      <c r="AK2878" s="14">
        <f>IF($B2878="","",IF($AO2878="","対象年月が未入力／","")&amp;IF($B2878="","",IF($AN2878="","職員マスタに未登録の職員番号／",IF($Y2878="","標準報酬月額が未登録／","")&amp;IF(AND($AO2878&lt;&gt;"",OR(AND(INDEX(職員マスタ!$G$6:$G$405,$AN2878)&lt;&gt;"",INDEX(職員マスタ!$G$6:$G$405,$AN2878)&gt;EOMONTH($AO2878,0)),AND(INDEX(職員マスタ!$H$6:$H$405,$AN2878)&lt;&gt;"",INDEX(職員マスタ!$H$6:$H$405,$AN2878)&lt;$AO2878))),"対象月が時短期間外／","")&amp;IF(AND(INDEX(職員マスタ!$F$6:$F$405,$AN2878)&lt;&gt;"",$AO2878&lt;&gt;"",INDEX(職員マスタ!$F$6:$F$405,$AN2878)&lt;$AO2878),"対象月に子が2歳到達済／","")&amp;IF(AND($H2878&lt;&gt;"",INDEX(職員マスタ!$B$6:$B$405,$AN2878)&lt;&gt;"",SUBSTITUTE(SUBSTITUTE($H2878," ","")," ","")&lt;&gt;SUBSTITUTE(SUBSTITUTE(INDEX(職員マスタ!$B$6:$B$405,$AN2878)," ","")," ","")),"氏名がマスタと相違／","")&amp;IF(AND($Q2878&lt;&gt;"",INDEX(職員マスタ!$E$6:$E$405,$AN2878)&lt;&gt;"",$Q2878&lt;&gt;INDEX(職員マスタ!$E$6:$E$405,$AN2878)),"子の生年月日がマスタと相違／","")&amp;IF(AND($L2878&lt;&gt;"",INDEX(職員マスタ!$G$6:$G$405,$AN2878)&lt;&gt;"",$L2878&lt;&gt;INDEX(職員マスタ!$G$6:$G$405,$AN2878)),"時短開始日がマスタと相違／","")&amp;IF(AND($M2878&lt;&gt;"",INDEX(職員マスタ!$H$6:$H$405,$AN2878)&lt;&gt;"",$M2878&lt;&gt;INDEX(職員マスタ!$H$6:$H$405,$AN2878)),"時短終了日がマスタと相違／","")))&amp;IF(AND($B2878&lt;&gt;"",$E2878=""),"報酬額が未入力／","")&amp;IF(N($U2878)&gt;0,"申請書に入力エラーが残っています／","")&amp;IF(AND($B2878&lt;&gt;"",$AO2878&lt;&gt;""),IF(COUNTIFS($B$6:$B$3005,$B2878,$C$6:$C$3005,$C2878,$D$6:$D$3005,$D2878)&gt;1,"同じ月の請求が重複しています／",""),"")&amp;IF(AND(N($E2878)&gt;0,$Z2878&lt;&gt;"",$Z2878&lt;&gt;"×",$AC2878=0,$AB2878=""),"計算額が下限以下のため不支給／",""))</f>
        <v/>
      </c>
      <c r="AL2878" s="12" t="n"/>
      <c r="AM2878" s="14">
        <f>IF($AD2878="保留中",COUNTIF($AD$6:$AD2878,"保留中"),"")</f>
        <v/>
      </c>
      <c r="AN2878" s="14">
        <f>IF($AO2878="","",IF(SUMPRODUCT(MAX((職員マスタ!$A$6:$A$405=$B2878)*(((職員マスタ!$G$6:$G$405="")+(職員マスタ!$G$6:$G$405&lt;=EOMONTH($AO2878,0)))&gt;0)*(((職員マスタ!$H$6:$H$405="")+(職員マスタ!$H$6:$H$405&gt;=$AO2878))&gt;0)*(ROW(職員マスタ!$A$6:$A$405)-5)))&gt;0,SUMPRODUCT(MAX((職員マスタ!$A$6:$A$405=$B2878)*(((職員マスタ!$G$6:$G$405="")+(職員マスタ!$G$6:$G$405&lt;=EOMONTH($AO2878,0)))&gt;0)*(((職員マスタ!$H$6:$H$405="")+(職員マスタ!$H$6:$H$405&gt;=$AO2878))&gt;0)*(ROW(職員マスタ!$A$6:$A$405)-5))),IFERROR(MATCH($B2878,職員マスタ!$A$6:$A$405,0),"")))</f>
        <v/>
      </c>
      <c r="AO2878" s="16">
        <f>IF(OR($B2878="",$C2878="",$D2878=""),"",DATE($C2878+2018,$D2878,1))</f>
        <v/>
      </c>
    </row>
    <row r="2879">
      <c r="A2879" s="11" t="n"/>
      <c r="B2879" s="12" t="n"/>
      <c r="C2879" s="12" t="n"/>
      <c r="D2879" s="12" t="n"/>
      <c r="E2879" s="13" t="n"/>
      <c r="F2879" s="12" t="n"/>
      <c r="G2879" s="13" t="n"/>
      <c r="H2879" s="12" t="n"/>
      <c r="I2879" s="12" t="n"/>
      <c r="J2879" s="12" t="n"/>
      <c r="K2879" s="12" t="n"/>
      <c r="L2879" s="11" t="n"/>
      <c r="M2879" s="11" t="n"/>
      <c r="N2879" s="11" t="n"/>
      <c r="O2879" s="11" t="n"/>
      <c r="P2879" s="12" t="n"/>
      <c r="Q2879" s="11" t="n"/>
      <c r="R2879" s="12" t="n"/>
      <c r="S2879" s="11" t="n"/>
      <c r="T2879" s="12" t="n"/>
      <c r="U2879" s="12" t="n"/>
      <c r="V2879" s="14">
        <f>IF($AN2879="",IF($B2879="","",$H2879),IF(INDEX(職員マスタ!$B$6:$B$405,$AN2879)="",$H2879,INDEX(職員マスタ!$B$6:$B$405,$AN2879)))</f>
        <v/>
      </c>
      <c r="W2879" s="14">
        <f>IF($AN2879="",IF($B2879="","",$R2879),IF(INDEX(職員マスタ!$C$6:$C$405,$AN2879)="",$R2879,INDEX(職員マスタ!$C$6:$C$405,$AN2879)))</f>
        <v/>
      </c>
      <c r="X2879" s="14">
        <f>IF($AO2879="","","R"&amp;$C2879&amp;"."&amp;$D2879)</f>
        <v/>
      </c>
      <c r="Y2879" s="15">
        <f>IF($AN2879="","",IF(INDEX(職員マスタ!$K$6:$K$405,$AN2879)="","",INDEX(職員マスタ!$K$6:$K$405,$AN2879)))</f>
        <v/>
      </c>
      <c r="Z2879" s="14">
        <f>IF(OR($E2879="",$Y2879=""),"",IF($E2879&gt;=$Y2879,"×",IF($E2879&gt;=$Y2879*設定!$C$5,"△","○")))</f>
        <v/>
      </c>
      <c r="AA2879" s="15">
        <f>IF($Z2879="","",IF($Z2879="×",0,IF($Z2879="○",ROUNDDOWN($E2879*設定!$C$4,0),ROUNDDOWN($E2879*ROUND((9*$Y2879-9*$E2879)/(10*$E2879),4),0))))</f>
        <v/>
      </c>
      <c r="AB2879" s="13" t="n"/>
      <c r="AC2879" s="15">
        <f>IF($B2879="","",IF($AB2879&lt;&gt;"",$AB2879,IF($AA2879="","",IF($AA2879&lt;=設定!$C$3,0,$AA2879))))</f>
        <v/>
      </c>
      <c r="AD2879" s="14">
        <f>IF($B2879="","",IF(AND($AE2879&lt;&gt;"",$AG2879="",$AJ2879=""),"保留中",IF($AJ2879&lt;&gt;"",IF(N($AC2879)&gt;0,"支給済","不支給"),IF($AC2879="","要確認",IF($AC2879=0,"不支給","未処理")))))</f>
        <v/>
      </c>
      <c r="AE2879" s="12" t="n"/>
      <c r="AF2879" s="11" t="n"/>
      <c r="AG2879" s="11" t="n"/>
      <c r="AH2879" s="11" t="n"/>
      <c r="AI2879" s="14">
        <f>IF(AND($AD2879="保留中",$AF2879&lt;&gt;""),TODAY()-$AF2879,"")</f>
        <v/>
      </c>
      <c r="AJ2879" s="12" t="n"/>
      <c r="AK2879" s="14">
        <f>IF($B2879="","",IF($AO2879="","対象年月が未入力／","")&amp;IF($B2879="","",IF($AN2879="","職員マスタに未登録の職員番号／",IF($Y2879="","標準報酬月額が未登録／","")&amp;IF(AND($AO2879&lt;&gt;"",OR(AND(INDEX(職員マスタ!$G$6:$G$405,$AN2879)&lt;&gt;"",INDEX(職員マスタ!$G$6:$G$405,$AN2879)&gt;EOMONTH($AO2879,0)),AND(INDEX(職員マスタ!$H$6:$H$405,$AN2879)&lt;&gt;"",INDEX(職員マスタ!$H$6:$H$405,$AN2879)&lt;$AO2879))),"対象月が時短期間外／","")&amp;IF(AND(INDEX(職員マスタ!$F$6:$F$405,$AN2879)&lt;&gt;"",$AO2879&lt;&gt;"",INDEX(職員マスタ!$F$6:$F$405,$AN2879)&lt;$AO2879),"対象月に子が2歳到達済／","")&amp;IF(AND($H2879&lt;&gt;"",INDEX(職員マスタ!$B$6:$B$405,$AN2879)&lt;&gt;"",SUBSTITUTE(SUBSTITUTE($H2879," ","")," ","")&lt;&gt;SUBSTITUTE(SUBSTITUTE(INDEX(職員マスタ!$B$6:$B$405,$AN2879)," ","")," ","")),"氏名がマスタと相違／","")&amp;IF(AND($Q2879&lt;&gt;"",INDEX(職員マスタ!$E$6:$E$405,$AN2879)&lt;&gt;"",$Q2879&lt;&gt;INDEX(職員マスタ!$E$6:$E$405,$AN2879)),"子の生年月日がマスタと相違／","")&amp;IF(AND($L2879&lt;&gt;"",INDEX(職員マスタ!$G$6:$G$405,$AN2879)&lt;&gt;"",$L2879&lt;&gt;INDEX(職員マスタ!$G$6:$G$405,$AN2879)),"時短開始日がマスタと相違／","")&amp;IF(AND($M2879&lt;&gt;"",INDEX(職員マスタ!$H$6:$H$405,$AN2879)&lt;&gt;"",$M2879&lt;&gt;INDEX(職員マスタ!$H$6:$H$405,$AN2879)),"時短終了日がマスタと相違／","")))&amp;IF(AND($B2879&lt;&gt;"",$E2879=""),"報酬額が未入力／","")&amp;IF(N($U2879)&gt;0,"申請書に入力エラーが残っています／","")&amp;IF(AND($B2879&lt;&gt;"",$AO2879&lt;&gt;""),IF(COUNTIFS($B$6:$B$3005,$B2879,$C$6:$C$3005,$C2879,$D$6:$D$3005,$D2879)&gt;1,"同じ月の請求が重複しています／",""),"")&amp;IF(AND(N($E2879)&gt;0,$Z2879&lt;&gt;"",$Z2879&lt;&gt;"×",$AC2879=0,$AB2879=""),"計算額が下限以下のため不支給／",""))</f>
        <v/>
      </c>
      <c r="AL2879" s="12" t="n"/>
      <c r="AM2879" s="14">
        <f>IF($AD2879="保留中",COUNTIF($AD$6:$AD2879,"保留中"),"")</f>
        <v/>
      </c>
      <c r="AN2879" s="14">
        <f>IF($AO2879="","",IF(SUMPRODUCT(MAX((職員マスタ!$A$6:$A$405=$B2879)*(((職員マスタ!$G$6:$G$405="")+(職員マスタ!$G$6:$G$405&lt;=EOMONTH($AO2879,0)))&gt;0)*(((職員マスタ!$H$6:$H$405="")+(職員マスタ!$H$6:$H$405&gt;=$AO2879))&gt;0)*(ROW(職員マスタ!$A$6:$A$405)-5)))&gt;0,SUMPRODUCT(MAX((職員マスタ!$A$6:$A$405=$B2879)*(((職員マスタ!$G$6:$G$405="")+(職員マスタ!$G$6:$G$405&lt;=EOMONTH($AO2879,0)))&gt;0)*(((職員マスタ!$H$6:$H$405="")+(職員マスタ!$H$6:$H$405&gt;=$AO2879))&gt;0)*(ROW(職員マスタ!$A$6:$A$405)-5))),IFERROR(MATCH($B2879,職員マスタ!$A$6:$A$405,0),"")))</f>
        <v/>
      </c>
      <c r="AO2879" s="16">
        <f>IF(OR($B2879="",$C2879="",$D2879=""),"",DATE($C2879+2018,$D2879,1))</f>
        <v/>
      </c>
    </row>
    <row r="2880">
      <c r="A2880" s="11" t="n"/>
      <c r="B2880" s="12" t="n"/>
      <c r="C2880" s="12" t="n"/>
      <c r="D2880" s="12" t="n"/>
      <c r="E2880" s="13" t="n"/>
      <c r="F2880" s="12" t="n"/>
      <c r="G2880" s="13" t="n"/>
      <c r="H2880" s="12" t="n"/>
      <c r="I2880" s="12" t="n"/>
      <c r="J2880" s="12" t="n"/>
      <c r="K2880" s="12" t="n"/>
      <c r="L2880" s="11" t="n"/>
      <c r="M2880" s="11" t="n"/>
      <c r="N2880" s="11" t="n"/>
      <c r="O2880" s="11" t="n"/>
      <c r="P2880" s="12" t="n"/>
      <c r="Q2880" s="11" t="n"/>
      <c r="R2880" s="12" t="n"/>
      <c r="S2880" s="11" t="n"/>
      <c r="T2880" s="12" t="n"/>
      <c r="U2880" s="12" t="n"/>
      <c r="V2880" s="14">
        <f>IF($AN2880="",IF($B2880="","",$H2880),IF(INDEX(職員マスタ!$B$6:$B$405,$AN2880)="",$H2880,INDEX(職員マスタ!$B$6:$B$405,$AN2880)))</f>
        <v/>
      </c>
      <c r="W2880" s="14">
        <f>IF($AN2880="",IF($B2880="","",$R2880),IF(INDEX(職員マスタ!$C$6:$C$405,$AN2880)="",$R2880,INDEX(職員マスタ!$C$6:$C$405,$AN2880)))</f>
        <v/>
      </c>
      <c r="X2880" s="14">
        <f>IF($AO2880="","","R"&amp;$C2880&amp;"."&amp;$D2880)</f>
        <v/>
      </c>
      <c r="Y2880" s="15">
        <f>IF($AN2880="","",IF(INDEX(職員マスタ!$K$6:$K$405,$AN2880)="","",INDEX(職員マスタ!$K$6:$K$405,$AN2880)))</f>
        <v/>
      </c>
      <c r="Z2880" s="14">
        <f>IF(OR($E2880="",$Y2880=""),"",IF($E2880&gt;=$Y2880,"×",IF($E2880&gt;=$Y2880*設定!$C$5,"△","○")))</f>
        <v/>
      </c>
      <c r="AA2880" s="15">
        <f>IF($Z2880="","",IF($Z2880="×",0,IF($Z2880="○",ROUNDDOWN($E2880*設定!$C$4,0),ROUNDDOWN($E2880*ROUND((9*$Y2880-9*$E2880)/(10*$E2880),4),0))))</f>
        <v/>
      </c>
      <c r="AB2880" s="13" t="n"/>
      <c r="AC2880" s="15">
        <f>IF($B2880="","",IF($AB2880&lt;&gt;"",$AB2880,IF($AA2880="","",IF($AA2880&lt;=設定!$C$3,0,$AA2880))))</f>
        <v/>
      </c>
      <c r="AD2880" s="14">
        <f>IF($B2880="","",IF(AND($AE2880&lt;&gt;"",$AG2880="",$AJ2880=""),"保留中",IF($AJ2880&lt;&gt;"",IF(N($AC2880)&gt;0,"支給済","不支給"),IF($AC2880="","要確認",IF($AC2880=0,"不支給","未処理")))))</f>
        <v/>
      </c>
      <c r="AE2880" s="12" t="n"/>
      <c r="AF2880" s="11" t="n"/>
      <c r="AG2880" s="11" t="n"/>
      <c r="AH2880" s="11" t="n"/>
      <c r="AI2880" s="14">
        <f>IF(AND($AD2880="保留中",$AF2880&lt;&gt;""),TODAY()-$AF2880,"")</f>
        <v/>
      </c>
      <c r="AJ2880" s="12" t="n"/>
      <c r="AK2880" s="14">
        <f>IF($B2880="","",IF($AO2880="","対象年月が未入力／","")&amp;IF($B2880="","",IF($AN2880="","職員マスタに未登録の職員番号／",IF($Y2880="","標準報酬月額が未登録／","")&amp;IF(AND($AO2880&lt;&gt;"",OR(AND(INDEX(職員マスタ!$G$6:$G$405,$AN2880)&lt;&gt;"",INDEX(職員マスタ!$G$6:$G$405,$AN2880)&gt;EOMONTH($AO2880,0)),AND(INDEX(職員マスタ!$H$6:$H$405,$AN2880)&lt;&gt;"",INDEX(職員マスタ!$H$6:$H$405,$AN2880)&lt;$AO2880))),"対象月が時短期間外／","")&amp;IF(AND(INDEX(職員マスタ!$F$6:$F$405,$AN2880)&lt;&gt;"",$AO2880&lt;&gt;"",INDEX(職員マスタ!$F$6:$F$405,$AN2880)&lt;$AO2880),"対象月に子が2歳到達済／","")&amp;IF(AND($H2880&lt;&gt;"",INDEX(職員マスタ!$B$6:$B$405,$AN2880)&lt;&gt;"",SUBSTITUTE(SUBSTITUTE($H2880," ","")," ","")&lt;&gt;SUBSTITUTE(SUBSTITUTE(INDEX(職員マスタ!$B$6:$B$405,$AN2880)," ","")," ","")),"氏名がマスタと相違／","")&amp;IF(AND($Q2880&lt;&gt;"",INDEX(職員マスタ!$E$6:$E$405,$AN2880)&lt;&gt;"",$Q2880&lt;&gt;INDEX(職員マスタ!$E$6:$E$405,$AN2880)),"子の生年月日がマスタと相違／","")&amp;IF(AND($L2880&lt;&gt;"",INDEX(職員マスタ!$G$6:$G$405,$AN2880)&lt;&gt;"",$L2880&lt;&gt;INDEX(職員マスタ!$G$6:$G$405,$AN2880)),"時短開始日がマスタと相違／","")&amp;IF(AND($M2880&lt;&gt;"",INDEX(職員マスタ!$H$6:$H$405,$AN2880)&lt;&gt;"",$M2880&lt;&gt;INDEX(職員マスタ!$H$6:$H$405,$AN2880)),"時短終了日がマスタと相違／","")))&amp;IF(AND($B2880&lt;&gt;"",$E2880=""),"報酬額が未入力／","")&amp;IF(N($U2880)&gt;0,"申請書に入力エラーが残っています／","")&amp;IF(AND($B2880&lt;&gt;"",$AO2880&lt;&gt;""),IF(COUNTIFS($B$6:$B$3005,$B2880,$C$6:$C$3005,$C2880,$D$6:$D$3005,$D2880)&gt;1,"同じ月の請求が重複しています／",""),"")&amp;IF(AND(N($E2880)&gt;0,$Z2880&lt;&gt;"",$Z2880&lt;&gt;"×",$AC2880=0,$AB2880=""),"計算額が下限以下のため不支給／",""))</f>
        <v/>
      </c>
      <c r="AL2880" s="12" t="n"/>
      <c r="AM2880" s="14">
        <f>IF($AD2880="保留中",COUNTIF($AD$6:$AD2880,"保留中"),"")</f>
        <v/>
      </c>
      <c r="AN2880" s="14">
        <f>IF($AO2880="","",IF(SUMPRODUCT(MAX((職員マスタ!$A$6:$A$405=$B2880)*(((職員マスタ!$G$6:$G$405="")+(職員マスタ!$G$6:$G$405&lt;=EOMONTH($AO2880,0)))&gt;0)*(((職員マスタ!$H$6:$H$405="")+(職員マスタ!$H$6:$H$405&gt;=$AO2880))&gt;0)*(ROW(職員マスタ!$A$6:$A$405)-5)))&gt;0,SUMPRODUCT(MAX((職員マスタ!$A$6:$A$405=$B2880)*(((職員マスタ!$G$6:$G$405="")+(職員マスタ!$G$6:$G$405&lt;=EOMONTH($AO2880,0)))&gt;0)*(((職員マスタ!$H$6:$H$405="")+(職員マスタ!$H$6:$H$405&gt;=$AO2880))&gt;0)*(ROW(職員マスタ!$A$6:$A$405)-5))),IFERROR(MATCH($B2880,職員マスタ!$A$6:$A$405,0),"")))</f>
        <v/>
      </c>
      <c r="AO2880" s="16">
        <f>IF(OR($B2880="",$C2880="",$D2880=""),"",DATE($C2880+2018,$D2880,1))</f>
        <v/>
      </c>
    </row>
    <row r="2881">
      <c r="A2881" s="11" t="n"/>
      <c r="B2881" s="12" t="n"/>
      <c r="C2881" s="12" t="n"/>
      <c r="D2881" s="12" t="n"/>
      <c r="E2881" s="13" t="n"/>
      <c r="F2881" s="12" t="n"/>
      <c r="G2881" s="13" t="n"/>
      <c r="H2881" s="12" t="n"/>
      <c r="I2881" s="12" t="n"/>
      <c r="J2881" s="12" t="n"/>
      <c r="K2881" s="12" t="n"/>
      <c r="L2881" s="11" t="n"/>
      <c r="M2881" s="11" t="n"/>
      <c r="N2881" s="11" t="n"/>
      <c r="O2881" s="11" t="n"/>
      <c r="P2881" s="12" t="n"/>
      <c r="Q2881" s="11" t="n"/>
      <c r="R2881" s="12" t="n"/>
      <c r="S2881" s="11" t="n"/>
      <c r="T2881" s="12" t="n"/>
      <c r="U2881" s="12" t="n"/>
      <c r="V2881" s="14">
        <f>IF($AN2881="",IF($B2881="","",$H2881),IF(INDEX(職員マスタ!$B$6:$B$405,$AN2881)="",$H2881,INDEX(職員マスタ!$B$6:$B$405,$AN2881)))</f>
        <v/>
      </c>
      <c r="W2881" s="14">
        <f>IF($AN2881="",IF($B2881="","",$R2881),IF(INDEX(職員マスタ!$C$6:$C$405,$AN2881)="",$R2881,INDEX(職員マスタ!$C$6:$C$405,$AN2881)))</f>
        <v/>
      </c>
      <c r="X2881" s="14">
        <f>IF($AO2881="","","R"&amp;$C2881&amp;"."&amp;$D2881)</f>
        <v/>
      </c>
      <c r="Y2881" s="15">
        <f>IF($AN2881="","",IF(INDEX(職員マスタ!$K$6:$K$405,$AN2881)="","",INDEX(職員マスタ!$K$6:$K$405,$AN2881)))</f>
        <v/>
      </c>
      <c r="Z2881" s="14">
        <f>IF(OR($E2881="",$Y2881=""),"",IF($E2881&gt;=$Y2881,"×",IF($E2881&gt;=$Y2881*設定!$C$5,"△","○")))</f>
        <v/>
      </c>
      <c r="AA2881" s="15">
        <f>IF($Z2881="","",IF($Z2881="×",0,IF($Z2881="○",ROUNDDOWN($E2881*設定!$C$4,0),ROUNDDOWN($E2881*ROUND((9*$Y2881-9*$E2881)/(10*$E2881),4),0))))</f>
        <v/>
      </c>
      <c r="AB2881" s="13" t="n"/>
      <c r="AC2881" s="15">
        <f>IF($B2881="","",IF($AB2881&lt;&gt;"",$AB2881,IF($AA2881="","",IF($AA2881&lt;=設定!$C$3,0,$AA2881))))</f>
        <v/>
      </c>
      <c r="AD2881" s="14">
        <f>IF($B2881="","",IF(AND($AE2881&lt;&gt;"",$AG2881="",$AJ2881=""),"保留中",IF($AJ2881&lt;&gt;"",IF(N($AC2881)&gt;0,"支給済","不支給"),IF($AC2881="","要確認",IF($AC2881=0,"不支給","未処理")))))</f>
        <v/>
      </c>
      <c r="AE2881" s="12" t="n"/>
      <c r="AF2881" s="11" t="n"/>
      <c r="AG2881" s="11" t="n"/>
      <c r="AH2881" s="11" t="n"/>
      <c r="AI2881" s="14">
        <f>IF(AND($AD2881="保留中",$AF2881&lt;&gt;""),TODAY()-$AF2881,"")</f>
        <v/>
      </c>
      <c r="AJ2881" s="12" t="n"/>
      <c r="AK2881" s="14">
        <f>IF($B2881="","",IF($AO2881="","対象年月が未入力／","")&amp;IF($B2881="","",IF($AN2881="","職員マスタに未登録の職員番号／",IF($Y2881="","標準報酬月額が未登録／","")&amp;IF(AND($AO2881&lt;&gt;"",OR(AND(INDEX(職員マスタ!$G$6:$G$405,$AN2881)&lt;&gt;"",INDEX(職員マスタ!$G$6:$G$405,$AN2881)&gt;EOMONTH($AO2881,0)),AND(INDEX(職員マスタ!$H$6:$H$405,$AN2881)&lt;&gt;"",INDEX(職員マスタ!$H$6:$H$405,$AN2881)&lt;$AO2881))),"対象月が時短期間外／","")&amp;IF(AND(INDEX(職員マスタ!$F$6:$F$405,$AN2881)&lt;&gt;"",$AO2881&lt;&gt;"",INDEX(職員マスタ!$F$6:$F$405,$AN2881)&lt;$AO2881),"対象月に子が2歳到達済／","")&amp;IF(AND($H2881&lt;&gt;"",INDEX(職員マスタ!$B$6:$B$405,$AN2881)&lt;&gt;"",SUBSTITUTE(SUBSTITUTE($H2881," ","")," ","")&lt;&gt;SUBSTITUTE(SUBSTITUTE(INDEX(職員マスタ!$B$6:$B$405,$AN2881)," ","")," ","")),"氏名がマスタと相違／","")&amp;IF(AND($Q2881&lt;&gt;"",INDEX(職員マスタ!$E$6:$E$405,$AN2881)&lt;&gt;"",$Q2881&lt;&gt;INDEX(職員マスタ!$E$6:$E$405,$AN2881)),"子の生年月日がマスタと相違／","")&amp;IF(AND($L2881&lt;&gt;"",INDEX(職員マスタ!$G$6:$G$405,$AN2881)&lt;&gt;"",$L2881&lt;&gt;INDEX(職員マスタ!$G$6:$G$405,$AN2881)),"時短開始日がマスタと相違／","")&amp;IF(AND($M2881&lt;&gt;"",INDEX(職員マスタ!$H$6:$H$405,$AN2881)&lt;&gt;"",$M2881&lt;&gt;INDEX(職員マスタ!$H$6:$H$405,$AN2881)),"時短終了日がマスタと相違／","")))&amp;IF(AND($B2881&lt;&gt;"",$E2881=""),"報酬額が未入力／","")&amp;IF(N($U2881)&gt;0,"申請書に入力エラーが残っています／","")&amp;IF(AND($B2881&lt;&gt;"",$AO2881&lt;&gt;""),IF(COUNTIFS($B$6:$B$3005,$B2881,$C$6:$C$3005,$C2881,$D$6:$D$3005,$D2881)&gt;1,"同じ月の請求が重複しています／",""),"")&amp;IF(AND(N($E2881)&gt;0,$Z2881&lt;&gt;"",$Z2881&lt;&gt;"×",$AC2881=0,$AB2881=""),"計算額が下限以下のため不支給／",""))</f>
        <v/>
      </c>
      <c r="AL2881" s="12" t="n"/>
      <c r="AM2881" s="14">
        <f>IF($AD2881="保留中",COUNTIF($AD$6:$AD2881,"保留中"),"")</f>
        <v/>
      </c>
      <c r="AN2881" s="14">
        <f>IF($AO2881="","",IF(SUMPRODUCT(MAX((職員マスタ!$A$6:$A$405=$B2881)*(((職員マスタ!$G$6:$G$405="")+(職員マスタ!$G$6:$G$405&lt;=EOMONTH($AO2881,0)))&gt;0)*(((職員マスタ!$H$6:$H$405="")+(職員マスタ!$H$6:$H$405&gt;=$AO2881))&gt;0)*(ROW(職員マスタ!$A$6:$A$405)-5)))&gt;0,SUMPRODUCT(MAX((職員マスタ!$A$6:$A$405=$B2881)*(((職員マスタ!$G$6:$G$405="")+(職員マスタ!$G$6:$G$405&lt;=EOMONTH($AO2881,0)))&gt;0)*(((職員マスタ!$H$6:$H$405="")+(職員マスタ!$H$6:$H$405&gt;=$AO2881))&gt;0)*(ROW(職員マスタ!$A$6:$A$405)-5))),IFERROR(MATCH($B2881,職員マスタ!$A$6:$A$405,0),"")))</f>
        <v/>
      </c>
      <c r="AO2881" s="16">
        <f>IF(OR($B2881="",$C2881="",$D2881=""),"",DATE($C2881+2018,$D2881,1))</f>
        <v/>
      </c>
    </row>
    <row r="2882">
      <c r="A2882" s="11" t="n"/>
      <c r="B2882" s="12" t="n"/>
      <c r="C2882" s="12" t="n"/>
      <c r="D2882" s="12" t="n"/>
      <c r="E2882" s="13" t="n"/>
      <c r="F2882" s="12" t="n"/>
      <c r="G2882" s="13" t="n"/>
      <c r="H2882" s="12" t="n"/>
      <c r="I2882" s="12" t="n"/>
      <c r="J2882" s="12" t="n"/>
      <c r="K2882" s="12" t="n"/>
      <c r="L2882" s="11" t="n"/>
      <c r="M2882" s="11" t="n"/>
      <c r="N2882" s="11" t="n"/>
      <c r="O2882" s="11" t="n"/>
      <c r="P2882" s="12" t="n"/>
      <c r="Q2882" s="11" t="n"/>
      <c r="R2882" s="12" t="n"/>
      <c r="S2882" s="11" t="n"/>
      <c r="T2882" s="12" t="n"/>
      <c r="U2882" s="12" t="n"/>
      <c r="V2882" s="14">
        <f>IF($AN2882="",IF($B2882="","",$H2882),IF(INDEX(職員マスタ!$B$6:$B$405,$AN2882)="",$H2882,INDEX(職員マスタ!$B$6:$B$405,$AN2882)))</f>
        <v/>
      </c>
      <c r="W2882" s="14">
        <f>IF($AN2882="",IF($B2882="","",$R2882),IF(INDEX(職員マスタ!$C$6:$C$405,$AN2882)="",$R2882,INDEX(職員マスタ!$C$6:$C$405,$AN2882)))</f>
        <v/>
      </c>
      <c r="X2882" s="14">
        <f>IF($AO2882="","","R"&amp;$C2882&amp;"."&amp;$D2882)</f>
        <v/>
      </c>
      <c r="Y2882" s="15">
        <f>IF($AN2882="","",IF(INDEX(職員マスタ!$K$6:$K$405,$AN2882)="","",INDEX(職員マスタ!$K$6:$K$405,$AN2882)))</f>
        <v/>
      </c>
      <c r="Z2882" s="14">
        <f>IF(OR($E2882="",$Y2882=""),"",IF($E2882&gt;=$Y2882,"×",IF($E2882&gt;=$Y2882*設定!$C$5,"△","○")))</f>
        <v/>
      </c>
      <c r="AA2882" s="15">
        <f>IF($Z2882="","",IF($Z2882="×",0,IF($Z2882="○",ROUNDDOWN($E2882*設定!$C$4,0),ROUNDDOWN($E2882*ROUND((9*$Y2882-9*$E2882)/(10*$E2882),4),0))))</f>
        <v/>
      </c>
      <c r="AB2882" s="13" t="n"/>
      <c r="AC2882" s="15">
        <f>IF($B2882="","",IF($AB2882&lt;&gt;"",$AB2882,IF($AA2882="","",IF($AA2882&lt;=設定!$C$3,0,$AA2882))))</f>
        <v/>
      </c>
      <c r="AD2882" s="14">
        <f>IF($B2882="","",IF(AND($AE2882&lt;&gt;"",$AG2882="",$AJ2882=""),"保留中",IF($AJ2882&lt;&gt;"",IF(N($AC2882)&gt;0,"支給済","不支給"),IF($AC2882="","要確認",IF($AC2882=0,"不支給","未処理")))))</f>
        <v/>
      </c>
      <c r="AE2882" s="12" t="n"/>
      <c r="AF2882" s="11" t="n"/>
      <c r="AG2882" s="11" t="n"/>
      <c r="AH2882" s="11" t="n"/>
      <c r="AI2882" s="14">
        <f>IF(AND($AD2882="保留中",$AF2882&lt;&gt;""),TODAY()-$AF2882,"")</f>
        <v/>
      </c>
      <c r="AJ2882" s="12" t="n"/>
      <c r="AK2882" s="14">
        <f>IF($B2882="","",IF($AO2882="","対象年月が未入力／","")&amp;IF($B2882="","",IF($AN2882="","職員マスタに未登録の職員番号／",IF($Y2882="","標準報酬月額が未登録／","")&amp;IF(AND($AO2882&lt;&gt;"",OR(AND(INDEX(職員マスタ!$G$6:$G$405,$AN2882)&lt;&gt;"",INDEX(職員マスタ!$G$6:$G$405,$AN2882)&gt;EOMONTH($AO2882,0)),AND(INDEX(職員マスタ!$H$6:$H$405,$AN2882)&lt;&gt;"",INDEX(職員マスタ!$H$6:$H$405,$AN2882)&lt;$AO2882))),"対象月が時短期間外／","")&amp;IF(AND(INDEX(職員マスタ!$F$6:$F$405,$AN2882)&lt;&gt;"",$AO2882&lt;&gt;"",INDEX(職員マスタ!$F$6:$F$405,$AN2882)&lt;$AO2882),"対象月に子が2歳到達済／","")&amp;IF(AND($H2882&lt;&gt;"",INDEX(職員マスタ!$B$6:$B$405,$AN2882)&lt;&gt;"",SUBSTITUTE(SUBSTITUTE($H2882," ","")," ","")&lt;&gt;SUBSTITUTE(SUBSTITUTE(INDEX(職員マスタ!$B$6:$B$405,$AN2882)," ","")," ","")),"氏名がマスタと相違／","")&amp;IF(AND($Q2882&lt;&gt;"",INDEX(職員マスタ!$E$6:$E$405,$AN2882)&lt;&gt;"",$Q2882&lt;&gt;INDEX(職員マスタ!$E$6:$E$405,$AN2882)),"子の生年月日がマスタと相違／","")&amp;IF(AND($L2882&lt;&gt;"",INDEX(職員マスタ!$G$6:$G$405,$AN2882)&lt;&gt;"",$L2882&lt;&gt;INDEX(職員マスタ!$G$6:$G$405,$AN2882)),"時短開始日がマスタと相違／","")&amp;IF(AND($M2882&lt;&gt;"",INDEX(職員マスタ!$H$6:$H$405,$AN2882)&lt;&gt;"",$M2882&lt;&gt;INDEX(職員マスタ!$H$6:$H$405,$AN2882)),"時短終了日がマスタと相違／","")))&amp;IF(AND($B2882&lt;&gt;"",$E2882=""),"報酬額が未入力／","")&amp;IF(N($U2882)&gt;0,"申請書に入力エラーが残っています／","")&amp;IF(AND($B2882&lt;&gt;"",$AO2882&lt;&gt;""),IF(COUNTIFS($B$6:$B$3005,$B2882,$C$6:$C$3005,$C2882,$D$6:$D$3005,$D2882)&gt;1,"同じ月の請求が重複しています／",""),"")&amp;IF(AND(N($E2882)&gt;0,$Z2882&lt;&gt;"",$Z2882&lt;&gt;"×",$AC2882=0,$AB2882=""),"計算額が下限以下のため不支給／",""))</f>
        <v/>
      </c>
      <c r="AL2882" s="12" t="n"/>
      <c r="AM2882" s="14">
        <f>IF($AD2882="保留中",COUNTIF($AD$6:$AD2882,"保留中"),"")</f>
        <v/>
      </c>
      <c r="AN2882" s="14">
        <f>IF($AO2882="","",IF(SUMPRODUCT(MAX((職員マスタ!$A$6:$A$405=$B2882)*(((職員マスタ!$G$6:$G$405="")+(職員マスタ!$G$6:$G$405&lt;=EOMONTH($AO2882,0)))&gt;0)*(((職員マスタ!$H$6:$H$405="")+(職員マスタ!$H$6:$H$405&gt;=$AO2882))&gt;0)*(ROW(職員マスタ!$A$6:$A$405)-5)))&gt;0,SUMPRODUCT(MAX((職員マスタ!$A$6:$A$405=$B2882)*(((職員マスタ!$G$6:$G$405="")+(職員マスタ!$G$6:$G$405&lt;=EOMONTH($AO2882,0)))&gt;0)*(((職員マスタ!$H$6:$H$405="")+(職員マスタ!$H$6:$H$405&gt;=$AO2882))&gt;0)*(ROW(職員マスタ!$A$6:$A$405)-5))),IFERROR(MATCH($B2882,職員マスタ!$A$6:$A$405,0),"")))</f>
        <v/>
      </c>
      <c r="AO2882" s="16">
        <f>IF(OR($B2882="",$C2882="",$D2882=""),"",DATE($C2882+2018,$D2882,1))</f>
        <v/>
      </c>
    </row>
    <row r="2883">
      <c r="A2883" s="11" t="n"/>
      <c r="B2883" s="12" t="n"/>
      <c r="C2883" s="12" t="n"/>
      <c r="D2883" s="12" t="n"/>
      <c r="E2883" s="13" t="n"/>
      <c r="F2883" s="12" t="n"/>
      <c r="G2883" s="13" t="n"/>
      <c r="H2883" s="12" t="n"/>
      <c r="I2883" s="12" t="n"/>
      <c r="J2883" s="12" t="n"/>
      <c r="K2883" s="12" t="n"/>
      <c r="L2883" s="11" t="n"/>
      <c r="M2883" s="11" t="n"/>
      <c r="N2883" s="11" t="n"/>
      <c r="O2883" s="11" t="n"/>
      <c r="P2883" s="12" t="n"/>
      <c r="Q2883" s="11" t="n"/>
      <c r="R2883" s="12" t="n"/>
      <c r="S2883" s="11" t="n"/>
      <c r="T2883" s="12" t="n"/>
      <c r="U2883" s="12" t="n"/>
      <c r="V2883" s="14">
        <f>IF($AN2883="",IF($B2883="","",$H2883),IF(INDEX(職員マスタ!$B$6:$B$405,$AN2883)="",$H2883,INDEX(職員マスタ!$B$6:$B$405,$AN2883)))</f>
        <v/>
      </c>
      <c r="W2883" s="14">
        <f>IF($AN2883="",IF($B2883="","",$R2883),IF(INDEX(職員マスタ!$C$6:$C$405,$AN2883)="",$R2883,INDEX(職員マスタ!$C$6:$C$405,$AN2883)))</f>
        <v/>
      </c>
      <c r="X2883" s="14">
        <f>IF($AO2883="","","R"&amp;$C2883&amp;"."&amp;$D2883)</f>
        <v/>
      </c>
      <c r="Y2883" s="15">
        <f>IF($AN2883="","",IF(INDEX(職員マスタ!$K$6:$K$405,$AN2883)="","",INDEX(職員マスタ!$K$6:$K$405,$AN2883)))</f>
        <v/>
      </c>
      <c r="Z2883" s="14">
        <f>IF(OR($E2883="",$Y2883=""),"",IF($E2883&gt;=$Y2883,"×",IF($E2883&gt;=$Y2883*設定!$C$5,"△","○")))</f>
        <v/>
      </c>
      <c r="AA2883" s="15">
        <f>IF($Z2883="","",IF($Z2883="×",0,IF($Z2883="○",ROUNDDOWN($E2883*設定!$C$4,0),ROUNDDOWN($E2883*ROUND((9*$Y2883-9*$E2883)/(10*$E2883),4),0))))</f>
        <v/>
      </c>
      <c r="AB2883" s="13" t="n"/>
      <c r="AC2883" s="15">
        <f>IF($B2883="","",IF($AB2883&lt;&gt;"",$AB2883,IF($AA2883="","",IF($AA2883&lt;=設定!$C$3,0,$AA2883))))</f>
        <v/>
      </c>
      <c r="AD2883" s="14">
        <f>IF($B2883="","",IF(AND($AE2883&lt;&gt;"",$AG2883="",$AJ2883=""),"保留中",IF($AJ2883&lt;&gt;"",IF(N($AC2883)&gt;0,"支給済","不支給"),IF($AC2883="","要確認",IF($AC2883=0,"不支給","未処理")))))</f>
        <v/>
      </c>
      <c r="AE2883" s="12" t="n"/>
      <c r="AF2883" s="11" t="n"/>
      <c r="AG2883" s="11" t="n"/>
      <c r="AH2883" s="11" t="n"/>
      <c r="AI2883" s="14">
        <f>IF(AND($AD2883="保留中",$AF2883&lt;&gt;""),TODAY()-$AF2883,"")</f>
        <v/>
      </c>
      <c r="AJ2883" s="12" t="n"/>
      <c r="AK2883" s="14">
        <f>IF($B2883="","",IF($AO2883="","対象年月が未入力／","")&amp;IF($B2883="","",IF($AN2883="","職員マスタに未登録の職員番号／",IF($Y2883="","標準報酬月額が未登録／","")&amp;IF(AND($AO2883&lt;&gt;"",OR(AND(INDEX(職員マスタ!$G$6:$G$405,$AN2883)&lt;&gt;"",INDEX(職員マスタ!$G$6:$G$405,$AN2883)&gt;EOMONTH($AO2883,0)),AND(INDEX(職員マスタ!$H$6:$H$405,$AN2883)&lt;&gt;"",INDEX(職員マスタ!$H$6:$H$405,$AN2883)&lt;$AO2883))),"対象月が時短期間外／","")&amp;IF(AND(INDEX(職員マスタ!$F$6:$F$405,$AN2883)&lt;&gt;"",$AO2883&lt;&gt;"",INDEX(職員マスタ!$F$6:$F$405,$AN2883)&lt;$AO2883),"対象月に子が2歳到達済／","")&amp;IF(AND($H2883&lt;&gt;"",INDEX(職員マスタ!$B$6:$B$405,$AN2883)&lt;&gt;"",SUBSTITUTE(SUBSTITUTE($H2883," ","")," ","")&lt;&gt;SUBSTITUTE(SUBSTITUTE(INDEX(職員マスタ!$B$6:$B$405,$AN2883)," ","")," ","")),"氏名がマスタと相違／","")&amp;IF(AND($Q2883&lt;&gt;"",INDEX(職員マスタ!$E$6:$E$405,$AN2883)&lt;&gt;"",$Q2883&lt;&gt;INDEX(職員マスタ!$E$6:$E$405,$AN2883)),"子の生年月日がマスタと相違／","")&amp;IF(AND($L2883&lt;&gt;"",INDEX(職員マスタ!$G$6:$G$405,$AN2883)&lt;&gt;"",$L2883&lt;&gt;INDEX(職員マスタ!$G$6:$G$405,$AN2883)),"時短開始日がマスタと相違／","")&amp;IF(AND($M2883&lt;&gt;"",INDEX(職員マスタ!$H$6:$H$405,$AN2883)&lt;&gt;"",$M2883&lt;&gt;INDEX(職員マスタ!$H$6:$H$405,$AN2883)),"時短終了日がマスタと相違／","")))&amp;IF(AND($B2883&lt;&gt;"",$E2883=""),"報酬額が未入力／","")&amp;IF(N($U2883)&gt;0,"申請書に入力エラーが残っています／","")&amp;IF(AND($B2883&lt;&gt;"",$AO2883&lt;&gt;""),IF(COUNTIFS($B$6:$B$3005,$B2883,$C$6:$C$3005,$C2883,$D$6:$D$3005,$D2883)&gt;1,"同じ月の請求が重複しています／",""),"")&amp;IF(AND(N($E2883)&gt;0,$Z2883&lt;&gt;"",$Z2883&lt;&gt;"×",$AC2883=0,$AB2883=""),"計算額が下限以下のため不支給／",""))</f>
        <v/>
      </c>
      <c r="AL2883" s="12" t="n"/>
      <c r="AM2883" s="14">
        <f>IF($AD2883="保留中",COUNTIF($AD$6:$AD2883,"保留中"),"")</f>
        <v/>
      </c>
      <c r="AN2883" s="14">
        <f>IF($AO2883="","",IF(SUMPRODUCT(MAX((職員マスタ!$A$6:$A$405=$B2883)*(((職員マスタ!$G$6:$G$405="")+(職員マスタ!$G$6:$G$405&lt;=EOMONTH($AO2883,0)))&gt;0)*(((職員マスタ!$H$6:$H$405="")+(職員マスタ!$H$6:$H$405&gt;=$AO2883))&gt;0)*(ROW(職員マスタ!$A$6:$A$405)-5)))&gt;0,SUMPRODUCT(MAX((職員マスタ!$A$6:$A$405=$B2883)*(((職員マスタ!$G$6:$G$405="")+(職員マスタ!$G$6:$G$405&lt;=EOMONTH($AO2883,0)))&gt;0)*(((職員マスタ!$H$6:$H$405="")+(職員マスタ!$H$6:$H$405&gt;=$AO2883))&gt;0)*(ROW(職員マスタ!$A$6:$A$405)-5))),IFERROR(MATCH($B2883,職員マスタ!$A$6:$A$405,0),"")))</f>
        <v/>
      </c>
      <c r="AO2883" s="16">
        <f>IF(OR($B2883="",$C2883="",$D2883=""),"",DATE($C2883+2018,$D2883,1))</f>
        <v/>
      </c>
    </row>
    <row r="2884">
      <c r="A2884" s="11" t="n"/>
      <c r="B2884" s="12" t="n"/>
      <c r="C2884" s="12" t="n"/>
      <c r="D2884" s="12" t="n"/>
      <c r="E2884" s="13" t="n"/>
      <c r="F2884" s="12" t="n"/>
      <c r="G2884" s="13" t="n"/>
      <c r="H2884" s="12" t="n"/>
      <c r="I2884" s="12" t="n"/>
      <c r="J2884" s="12" t="n"/>
      <c r="K2884" s="12" t="n"/>
      <c r="L2884" s="11" t="n"/>
      <c r="M2884" s="11" t="n"/>
      <c r="N2884" s="11" t="n"/>
      <c r="O2884" s="11" t="n"/>
      <c r="P2884" s="12" t="n"/>
      <c r="Q2884" s="11" t="n"/>
      <c r="R2884" s="12" t="n"/>
      <c r="S2884" s="11" t="n"/>
      <c r="T2884" s="12" t="n"/>
      <c r="U2884" s="12" t="n"/>
      <c r="V2884" s="14">
        <f>IF($AN2884="",IF($B2884="","",$H2884),IF(INDEX(職員マスタ!$B$6:$B$405,$AN2884)="",$H2884,INDEX(職員マスタ!$B$6:$B$405,$AN2884)))</f>
        <v/>
      </c>
      <c r="W2884" s="14">
        <f>IF($AN2884="",IF($B2884="","",$R2884),IF(INDEX(職員マスタ!$C$6:$C$405,$AN2884)="",$R2884,INDEX(職員マスタ!$C$6:$C$405,$AN2884)))</f>
        <v/>
      </c>
      <c r="X2884" s="14">
        <f>IF($AO2884="","","R"&amp;$C2884&amp;"."&amp;$D2884)</f>
        <v/>
      </c>
      <c r="Y2884" s="15">
        <f>IF($AN2884="","",IF(INDEX(職員マスタ!$K$6:$K$405,$AN2884)="","",INDEX(職員マスタ!$K$6:$K$405,$AN2884)))</f>
        <v/>
      </c>
      <c r="Z2884" s="14">
        <f>IF(OR($E2884="",$Y2884=""),"",IF($E2884&gt;=$Y2884,"×",IF($E2884&gt;=$Y2884*設定!$C$5,"△","○")))</f>
        <v/>
      </c>
      <c r="AA2884" s="15">
        <f>IF($Z2884="","",IF($Z2884="×",0,IF($Z2884="○",ROUNDDOWN($E2884*設定!$C$4,0),ROUNDDOWN($E2884*ROUND((9*$Y2884-9*$E2884)/(10*$E2884),4),0))))</f>
        <v/>
      </c>
      <c r="AB2884" s="13" t="n"/>
      <c r="AC2884" s="15">
        <f>IF($B2884="","",IF($AB2884&lt;&gt;"",$AB2884,IF($AA2884="","",IF($AA2884&lt;=設定!$C$3,0,$AA2884))))</f>
        <v/>
      </c>
      <c r="AD2884" s="14">
        <f>IF($B2884="","",IF(AND($AE2884&lt;&gt;"",$AG2884="",$AJ2884=""),"保留中",IF($AJ2884&lt;&gt;"",IF(N($AC2884)&gt;0,"支給済","不支給"),IF($AC2884="","要確認",IF($AC2884=0,"不支給","未処理")))))</f>
        <v/>
      </c>
      <c r="AE2884" s="12" t="n"/>
      <c r="AF2884" s="11" t="n"/>
      <c r="AG2884" s="11" t="n"/>
      <c r="AH2884" s="11" t="n"/>
      <c r="AI2884" s="14">
        <f>IF(AND($AD2884="保留中",$AF2884&lt;&gt;""),TODAY()-$AF2884,"")</f>
        <v/>
      </c>
      <c r="AJ2884" s="12" t="n"/>
      <c r="AK2884" s="14">
        <f>IF($B2884="","",IF($AO2884="","対象年月が未入力／","")&amp;IF($B2884="","",IF($AN2884="","職員マスタに未登録の職員番号／",IF($Y2884="","標準報酬月額が未登録／","")&amp;IF(AND($AO2884&lt;&gt;"",OR(AND(INDEX(職員マスタ!$G$6:$G$405,$AN2884)&lt;&gt;"",INDEX(職員マスタ!$G$6:$G$405,$AN2884)&gt;EOMONTH($AO2884,0)),AND(INDEX(職員マスタ!$H$6:$H$405,$AN2884)&lt;&gt;"",INDEX(職員マスタ!$H$6:$H$405,$AN2884)&lt;$AO2884))),"対象月が時短期間外／","")&amp;IF(AND(INDEX(職員マスタ!$F$6:$F$405,$AN2884)&lt;&gt;"",$AO2884&lt;&gt;"",INDEX(職員マスタ!$F$6:$F$405,$AN2884)&lt;$AO2884),"対象月に子が2歳到達済／","")&amp;IF(AND($H2884&lt;&gt;"",INDEX(職員マスタ!$B$6:$B$405,$AN2884)&lt;&gt;"",SUBSTITUTE(SUBSTITUTE($H2884," ","")," ","")&lt;&gt;SUBSTITUTE(SUBSTITUTE(INDEX(職員マスタ!$B$6:$B$405,$AN2884)," ","")," ","")),"氏名がマスタと相違／","")&amp;IF(AND($Q2884&lt;&gt;"",INDEX(職員マスタ!$E$6:$E$405,$AN2884)&lt;&gt;"",$Q2884&lt;&gt;INDEX(職員マスタ!$E$6:$E$405,$AN2884)),"子の生年月日がマスタと相違／","")&amp;IF(AND($L2884&lt;&gt;"",INDEX(職員マスタ!$G$6:$G$405,$AN2884)&lt;&gt;"",$L2884&lt;&gt;INDEX(職員マスタ!$G$6:$G$405,$AN2884)),"時短開始日がマスタと相違／","")&amp;IF(AND($M2884&lt;&gt;"",INDEX(職員マスタ!$H$6:$H$405,$AN2884)&lt;&gt;"",$M2884&lt;&gt;INDEX(職員マスタ!$H$6:$H$405,$AN2884)),"時短終了日がマスタと相違／","")))&amp;IF(AND($B2884&lt;&gt;"",$E2884=""),"報酬額が未入力／","")&amp;IF(N($U2884)&gt;0,"申請書に入力エラーが残っています／","")&amp;IF(AND($B2884&lt;&gt;"",$AO2884&lt;&gt;""),IF(COUNTIFS($B$6:$B$3005,$B2884,$C$6:$C$3005,$C2884,$D$6:$D$3005,$D2884)&gt;1,"同じ月の請求が重複しています／",""),"")&amp;IF(AND(N($E2884)&gt;0,$Z2884&lt;&gt;"",$Z2884&lt;&gt;"×",$AC2884=0,$AB2884=""),"計算額が下限以下のため不支給／",""))</f>
        <v/>
      </c>
      <c r="AL2884" s="12" t="n"/>
      <c r="AM2884" s="14">
        <f>IF($AD2884="保留中",COUNTIF($AD$6:$AD2884,"保留中"),"")</f>
        <v/>
      </c>
      <c r="AN2884" s="14">
        <f>IF($AO2884="","",IF(SUMPRODUCT(MAX((職員マスタ!$A$6:$A$405=$B2884)*(((職員マスタ!$G$6:$G$405="")+(職員マスタ!$G$6:$G$405&lt;=EOMONTH($AO2884,0)))&gt;0)*(((職員マスタ!$H$6:$H$405="")+(職員マスタ!$H$6:$H$405&gt;=$AO2884))&gt;0)*(ROW(職員マスタ!$A$6:$A$405)-5)))&gt;0,SUMPRODUCT(MAX((職員マスタ!$A$6:$A$405=$B2884)*(((職員マスタ!$G$6:$G$405="")+(職員マスタ!$G$6:$G$405&lt;=EOMONTH($AO2884,0)))&gt;0)*(((職員マスタ!$H$6:$H$405="")+(職員マスタ!$H$6:$H$405&gt;=$AO2884))&gt;0)*(ROW(職員マスタ!$A$6:$A$405)-5))),IFERROR(MATCH($B2884,職員マスタ!$A$6:$A$405,0),"")))</f>
        <v/>
      </c>
      <c r="AO2884" s="16">
        <f>IF(OR($B2884="",$C2884="",$D2884=""),"",DATE($C2884+2018,$D2884,1))</f>
        <v/>
      </c>
    </row>
    <row r="2885">
      <c r="A2885" s="11" t="n"/>
      <c r="B2885" s="12" t="n"/>
      <c r="C2885" s="12" t="n"/>
      <c r="D2885" s="12" t="n"/>
      <c r="E2885" s="13" t="n"/>
      <c r="F2885" s="12" t="n"/>
      <c r="G2885" s="13" t="n"/>
      <c r="H2885" s="12" t="n"/>
      <c r="I2885" s="12" t="n"/>
      <c r="J2885" s="12" t="n"/>
      <c r="K2885" s="12" t="n"/>
      <c r="L2885" s="11" t="n"/>
      <c r="M2885" s="11" t="n"/>
      <c r="N2885" s="11" t="n"/>
      <c r="O2885" s="11" t="n"/>
      <c r="P2885" s="12" t="n"/>
      <c r="Q2885" s="11" t="n"/>
      <c r="R2885" s="12" t="n"/>
      <c r="S2885" s="11" t="n"/>
      <c r="T2885" s="12" t="n"/>
      <c r="U2885" s="12" t="n"/>
      <c r="V2885" s="14">
        <f>IF($AN2885="",IF($B2885="","",$H2885),IF(INDEX(職員マスタ!$B$6:$B$405,$AN2885)="",$H2885,INDEX(職員マスタ!$B$6:$B$405,$AN2885)))</f>
        <v/>
      </c>
      <c r="W2885" s="14">
        <f>IF($AN2885="",IF($B2885="","",$R2885),IF(INDEX(職員マスタ!$C$6:$C$405,$AN2885)="",$R2885,INDEX(職員マスタ!$C$6:$C$405,$AN2885)))</f>
        <v/>
      </c>
      <c r="X2885" s="14">
        <f>IF($AO2885="","","R"&amp;$C2885&amp;"."&amp;$D2885)</f>
        <v/>
      </c>
      <c r="Y2885" s="15">
        <f>IF($AN2885="","",IF(INDEX(職員マスタ!$K$6:$K$405,$AN2885)="","",INDEX(職員マスタ!$K$6:$K$405,$AN2885)))</f>
        <v/>
      </c>
      <c r="Z2885" s="14">
        <f>IF(OR($E2885="",$Y2885=""),"",IF($E2885&gt;=$Y2885,"×",IF($E2885&gt;=$Y2885*設定!$C$5,"△","○")))</f>
        <v/>
      </c>
      <c r="AA2885" s="15">
        <f>IF($Z2885="","",IF($Z2885="×",0,IF($Z2885="○",ROUNDDOWN($E2885*設定!$C$4,0),ROUNDDOWN($E2885*ROUND((9*$Y2885-9*$E2885)/(10*$E2885),4),0))))</f>
        <v/>
      </c>
      <c r="AB2885" s="13" t="n"/>
      <c r="AC2885" s="15">
        <f>IF($B2885="","",IF($AB2885&lt;&gt;"",$AB2885,IF($AA2885="","",IF($AA2885&lt;=設定!$C$3,0,$AA2885))))</f>
        <v/>
      </c>
      <c r="AD2885" s="14">
        <f>IF($B2885="","",IF(AND($AE2885&lt;&gt;"",$AG2885="",$AJ2885=""),"保留中",IF($AJ2885&lt;&gt;"",IF(N($AC2885)&gt;0,"支給済","不支給"),IF($AC2885="","要確認",IF($AC2885=0,"不支給","未処理")))))</f>
        <v/>
      </c>
      <c r="AE2885" s="12" t="n"/>
      <c r="AF2885" s="11" t="n"/>
      <c r="AG2885" s="11" t="n"/>
      <c r="AH2885" s="11" t="n"/>
      <c r="AI2885" s="14">
        <f>IF(AND($AD2885="保留中",$AF2885&lt;&gt;""),TODAY()-$AF2885,"")</f>
        <v/>
      </c>
      <c r="AJ2885" s="12" t="n"/>
      <c r="AK2885" s="14">
        <f>IF($B2885="","",IF($AO2885="","対象年月が未入力／","")&amp;IF($B2885="","",IF($AN2885="","職員マスタに未登録の職員番号／",IF($Y2885="","標準報酬月額が未登録／","")&amp;IF(AND($AO2885&lt;&gt;"",OR(AND(INDEX(職員マスタ!$G$6:$G$405,$AN2885)&lt;&gt;"",INDEX(職員マスタ!$G$6:$G$405,$AN2885)&gt;EOMONTH($AO2885,0)),AND(INDEX(職員マスタ!$H$6:$H$405,$AN2885)&lt;&gt;"",INDEX(職員マスタ!$H$6:$H$405,$AN2885)&lt;$AO2885))),"対象月が時短期間外／","")&amp;IF(AND(INDEX(職員マスタ!$F$6:$F$405,$AN2885)&lt;&gt;"",$AO2885&lt;&gt;"",INDEX(職員マスタ!$F$6:$F$405,$AN2885)&lt;$AO2885),"対象月に子が2歳到達済／","")&amp;IF(AND($H2885&lt;&gt;"",INDEX(職員マスタ!$B$6:$B$405,$AN2885)&lt;&gt;"",SUBSTITUTE(SUBSTITUTE($H2885," ","")," ","")&lt;&gt;SUBSTITUTE(SUBSTITUTE(INDEX(職員マスタ!$B$6:$B$405,$AN2885)," ","")," ","")),"氏名がマスタと相違／","")&amp;IF(AND($Q2885&lt;&gt;"",INDEX(職員マスタ!$E$6:$E$405,$AN2885)&lt;&gt;"",$Q2885&lt;&gt;INDEX(職員マスタ!$E$6:$E$405,$AN2885)),"子の生年月日がマスタと相違／","")&amp;IF(AND($L2885&lt;&gt;"",INDEX(職員マスタ!$G$6:$G$405,$AN2885)&lt;&gt;"",$L2885&lt;&gt;INDEX(職員マスタ!$G$6:$G$405,$AN2885)),"時短開始日がマスタと相違／","")&amp;IF(AND($M2885&lt;&gt;"",INDEX(職員マスタ!$H$6:$H$405,$AN2885)&lt;&gt;"",$M2885&lt;&gt;INDEX(職員マスタ!$H$6:$H$405,$AN2885)),"時短終了日がマスタと相違／","")))&amp;IF(AND($B2885&lt;&gt;"",$E2885=""),"報酬額が未入力／","")&amp;IF(N($U2885)&gt;0,"申請書に入力エラーが残っています／","")&amp;IF(AND($B2885&lt;&gt;"",$AO2885&lt;&gt;""),IF(COUNTIFS($B$6:$B$3005,$B2885,$C$6:$C$3005,$C2885,$D$6:$D$3005,$D2885)&gt;1,"同じ月の請求が重複しています／",""),"")&amp;IF(AND(N($E2885)&gt;0,$Z2885&lt;&gt;"",$Z2885&lt;&gt;"×",$AC2885=0,$AB2885=""),"計算額が下限以下のため不支給／",""))</f>
        <v/>
      </c>
      <c r="AL2885" s="12" t="n"/>
      <c r="AM2885" s="14">
        <f>IF($AD2885="保留中",COUNTIF($AD$6:$AD2885,"保留中"),"")</f>
        <v/>
      </c>
      <c r="AN2885" s="14">
        <f>IF($AO2885="","",IF(SUMPRODUCT(MAX((職員マスタ!$A$6:$A$405=$B2885)*(((職員マスタ!$G$6:$G$405="")+(職員マスタ!$G$6:$G$405&lt;=EOMONTH($AO2885,0)))&gt;0)*(((職員マスタ!$H$6:$H$405="")+(職員マスタ!$H$6:$H$405&gt;=$AO2885))&gt;0)*(ROW(職員マスタ!$A$6:$A$405)-5)))&gt;0,SUMPRODUCT(MAX((職員マスタ!$A$6:$A$405=$B2885)*(((職員マスタ!$G$6:$G$405="")+(職員マスタ!$G$6:$G$405&lt;=EOMONTH($AO2885,0)))&gt;0)*(((職員マスタ!$H$6:$H$405="")+(職員マスタ!$H$6:$H$405&gt;=$AO2885))&gt;0)*(ROW(職員マスタ!$A$6:$A$405)-5))),IFERROR(MATCH($B2885,職員マスタ!$A$6:$A$405,0),"")))</f>
        <v/>
      </c>
      <c r="AO2885" s="16">
        <f>IF(OR($B2885="",$C2885="",$D2885=""),"",DATE($C2885+2018,$D2885,1))</f>
        <v/>
      </c>
    </row>
    <row r="2886">
      <c r="A2886" s="11" t="n"/>
      <c r="B2886" s="12" t="n"/>
      <c r="C2886" s="12" t="n"/>
      <c r="D2886" s="12" t="n"/>
      <c r="E2886" s="13" t="n"/>
      <c r="F2886" s="12" t="n"/>
      <c r="G2886" s="13" t="n"/>
      <c r="H2886" s="12" t="n"/>
      <c r="I2886" s="12" t="n"/>
      <c r="J2886" s="12" t="n"/>
      <c r="K2886" s="12" t="n"/>
      <c r="L2886" s="11" t="n"/>
      <c r="M2886" s="11" t="n"/>
      <c r="N2886" s="11" t="n"/>
      <c r="O2886" s="11" t="n"/>
      <c r="P2886" s="12" t="n"/>
      <c r="Q2886" s="11" t="n"/>
      <c r="R2886" s="12" t="n"/>
      <c r="S2886" s="11" t="n"/>
      <c r="T2886" s="12" t="n"/>
      <c r="U2886" s="12" t="n"/>
      <c r="V2886" s="14">
        <f>IF($AN2886="",IF($B2886="","",$H2886),IF(INDEX(職員マスタ!$B$6:$B$405,$AN2886)="",$H2886,INDEX(職員マスタ!$B$6:$B$405,$AN2886)))</f>
        <v/>
      </c>
      <c r="W2886" s="14">
        <f>IF($AN2886="",IF($B2886="","",$R2886),IF(INDEX(職員マスタ!$C$6:$C$405,$AN2886)="",$R2886,INDEX(職員マスタ!$C$6:$C$405,$AN2886)))</f>
        <v/>
      </c>
      <c r="X2886" s="14">
        <f>IF($AO2886="","","R"&amp;$C2886&amp;"."&amp;$D2886)</f>
        <v/>
      </c>
      <c r="Y2886" s="15">
        <f>IF($AN2886="","",IF(INDEX(職員マスタ!$K$6:$K$405,$AN2886)="","",INDEX(職員マスタ!$K$6:$K$405,$AN2886)))</f>
        <v/>
      </c>
      <c r="Z2886" s="14">
        <f>IF(OR($E2886="",$Y2886=""),"",IF($E2886&gt;=$Y2886,"×",IF($E2886&gt;=$Y2886*設定!$C$5,"△","○")))</f>
        <v/>
      </c>
      <c r="AA2886" s="15">
        <f>IF($Z2886="","",IF($Z2886="×",0,IF($Z2886="○",ROUNDDOWN($E2886*設定!$C$4,0),ROUNDDOWN($E2886*ROUND((9*$Y2886-9*$E2886)/(10*$E2886),4),0))))</f>
        <v/>
      </c>
      <c r="AB2886" s="13" t="n"/>
      <c r="AC2886" s="15">
        <f>IF($B2886="","",IF($AB2886&lt;&gt;"",$AB2886,IF($AA2886="","",IF($AA2886&lt;=設定!$C$3,0,$AA2886))))</f>
        <v/>
      </c>
      <c r="AD2886" s="14">
        <f>IF($B2886="","",IF(AND($AE2886&lt;&gt;"",$AG2886="",$AJ2886=""),"保留中",IF($AJ2886&lt;&gt;"",IF(N($AC2886)&gt;0,"支給済","不支給"),IF($AC2886="","要確認",IF($AC2886=0,"不支給","未処理")))))</f>
        <v/>
      </c>
      <c r="AE2886" s="12" t="n"/>
      <c r="AF2886" s="11" t="n"/>
      <c r="AG2886" s="11" t="n"/>
      <c r="AH2886" s="11" t="n"/>
      <c r="AI2886" s="14">
        <f>IF(AND($AD2886="保留中",$AF2886&lt;&gt;""),TODAY()-$AF2886,"")</f>
        <v/>
      </c>
      <c r="AJ2886" s="12" t="n"/>
      <c r="AK2886" s="14">
        <f>IF($B2886="","",IF($AO2886="","対象年月が未入力／","")&amp;IF($B2886="","",IF($AN2886="","職員マスタに未登録の職員番号／",IF($Y2886="","標準報酬月額が未登録／","")&amp;IF(AND($AO2886&lt;&gt;"",OR(AND(INDEX(職員マスタ!$G$6:$G$405,$AN2886)&lt;&gt;"",INDEX(職員マスタ!$G$6:$G$405,$AN2886)&gt;EOMONTH($AO2886,0)),AND(INDEX(職員マスタ!$H$6:$H$405,$AN2886)&lt;&gt;"",INDEX(職員マスタ!$H$6:$H$405,$AN2886)&lt;$AO2886))),"対象月が時短期間外／","")&amp;IF(AND(INDEX(職員マスタ!$F$6:$F$405,$AN2886)&lt;&gt;"",$AO2886&lt;&gt;"",INDEX(職員マスタ!$F$6:$F$405,$AN2886)&lt;$AO2886),"対象月に子が2歳到達済／","")&amp;IF(AND($H2886&lt;&gt;"",INDEX(職員マスタ!$B$6:$B$405,$AN2886)&lt;&gt;"",SUBSTITUTE(SUBSTITUTE($H2886," ","")," ","")&lt;&gt;SUBSTITUTE(SUBSTITUTE(INDEX(職員マスタ!$B$6:$B$405,$AN2886)," ","")," ","")),"氏名がマスタと相違／","")&amp;IF(AND($Q2886&lt;&gt;"",INDEX(職員マスタ!$E$6:$E$405,$AN2886)&lt;&gt;"",$Q2886&lt;&gt;INDEX(職員マスタ!$E$6:$E$405,$AN2886)),"子の生年月日がマスタと相違／","")&amp;IF(AND($L2886&lt;&gt;"",INDEX(職員マスタ!$G$6:$G$405,$AN2886)&lt;&gt;"",$L2886&lt;&gt;INDEX(職員マスタ!$G$6:$G$405,$AN2886)),"時短開始日がマスタと相違／","")&amp;IF(AND($M2886&lt;&gt;"",INDEX(職員マスタ!$H$6:$H$405,$AN2886)&lt;&gt;"",$M2886&lt;&gt;INDEX(職員マスタ!$H$6:$H$405,$AN2886)),"時短終了日がマスタと相違／","")))&amp;IF(AND($B2886&lt;&gt;"",$E2886=""),"報酬額が未入力／","")&amp;IF(N($U2886)&gt;0,"申請書に入力エラーが残っています／","")&amp;IF(AND($B2886&lt;&gt;"",$AO2886&lt;&gt;""),IF(COUNTIFS($B$6:$B$3005,$B2886,$C$6:$C$3005,$C2886,$D$6:$D$3005,$D2886)&gt;1,"同じ月の請求が重複しています／",""),"")&amp;IF(AND(N($E2886)&gt;0,$Z2886&lt;&gt;"",$Z2886&lt;&gt;"×",$AC2886=0,$AB2886=""),"計算額が下限以下のため不支給／",""))</f>
        <v/>
      </c>
      <c r="AL2886" s="12" t="n"/>
      <c r="AM2886" s="14">
        <f>IF($AD2886="保留中",COUNTIF($AD$6:$AD2886,"保留中"),"")</f>
        <v/>
      </c>
      <c r="AN2886" s="14">
        <f>IF($AO2886="","",IF(SUMPRODUCT(MAX((職員マスタ!$A$6:$A$405=$B2886)*(((職員マスタ!$G$6:$G$405="")+(職員マスタ!$G$6:$G$405&lt;=EOMONTH($AO2886,0)))&gt;0)*(((職員マスタ!$H$6:$H$405="")+(職員マスタ!$H$6:$H$405&gt;=$AO2886))&gt;0)*(ROW(職員マスタ!$A$6:$A$405)-5)))&gt;0,SUMPRODUCT(MAX((職員マスタ!$A$6:$A$405=$B2886)*(((職員マスタ!$G$6:$G$405="")+(職員マスタ!$G$6:$G$405&lt;=EOMONTH($AO2886,0)))&gt;0)*(((職員マスタ!$H$6:$H$405="")+(職員マスタ!$H$6:$H$405&gt;=$AO2886))&gt;0)*(ROW(職員マスタ!$A$6:$A$405)-5))),IFERROR(MATCH($B2886,職員マスタ!$A$6:$A$405,0),"")))</f>
        <v/>
      </c>
      <c r="AO2886" s="16">
        <f>IF(OR($B2886="",$C2886="",$D2886=""),"",DATE($C2886+2018,$D2886,1))</f>
        <v/>
      </c>
    </row>
    <row r="2887">
      <c r="A2887" s="11" t="n"/>
      <c r="B2887" s="12" t="n"/>
      <c r="C2887" s="12" t="n"/>
      <c r="D2887" s="12" t="n"/>
      <c r="E2887" s="13" t="n"/>
      <c r="F2887" s="12" t="n"/>
      <c r="G2887" s="13" t="n"/>
      <c r="H2887" s="12" t="n"/>
      <c r="I2887" s="12" t="n"/>
      <c r="J2887" s="12" t="n"/>
      <c r="K2887" s="12" t="n"/>
      <c r="L2887" s="11" t="n"/>
      <c r="M2887" s="11" t="n"/>
      <c r="N2887" s="11" t="n"/>
      <c r="O2887" s="11" t="n"/>
      <c r="P2887" s="12" t="n"/>
      <c r="Q2887" s="11" t="n"/>
      <c r="R2887" s="12" t="n"/>
      <c r="S2887" s="11" t="n"/>
      <c r="T2887" s="12" t="n"/>
      <c r="U2887" s="12" t="n"/>
      <c r="V2887" s="14">
        <f>IF($AN2887="",IF($B2887="","",$H2887),IF(INDEX(職員マスタ!$B$6:$B$405,$AN2887)="",$H2887,INDEX(職員マスタ!$B$6:$B$405,$AN2887)))</f>
        <v/>
      </c>
      <c r="W2887" s="14">
        <f>IF($AN2887="",IF($B2887="","",$R2887),IF(INDEX(職員マスタ!$C$6:$C$405,$AN2887)="",$R2887,INDEX(職員マスタ!$C$6:$C$405,$AN2887)))</f>
        <v/>
      </c>
      <c r="X2887" s="14">
        <f>IF($AO2887="","","R"&amp;$C2887&amp;"."&amp;$D2887)</f>
        <v/>
      </c>
      <c r="Y2887" s="15">
        <f>IF($AN2887="","",IF(INDEX(職員マスタ!$K$6:$K$405,$AN2887)="","",INDEX(職員マスタ!$K$6:$K$405,$AN2887)))</f>
        <v/>
      </c>
      <c r="Z2887" s="14">
        <f>IF(OR($E2887="",$Y2887=""),"",IF($E2887&gt;=$Y2887,"×",IF($E2887&gt;=$Y2887*設定!$C$5,"△","○")))</f>
        <v/>
      </c>
      <c r="AA2887" s="15">
        <f>IF($Z2887="","",IF($Z2887="×",0,IF($Z2887="○",ROUNDDOWN($E2887*設定!$C$4,0),ROUNDDOWN($E2887*ROUND((9*$Y2887-9*$E2887)/(10*$E2887),4),0))))</f>
        <v/>
      </c>
      <c r="AB2887" s="13" t="n"/>
      <c r="AC2887" s="15">
        <f>IF($B2887="","",IF($AB2887&lt;&gt;"",$AB2887,IF($AA2887="","",IF($AA2887&lt;=設定!$C$3,0,$AA2887))))</f>
        <v/>
      </c>
      <c r="AD2887" s="14">
        <f>IF($B2887="","",IF(AND($AE2887&lt;&gt;"",$AG2887="",$AJ2887=""),"保留中",IF($AJ2887&lt;&gt;"",IF(N($AC2887)&gt;0,"支給済","不支給"),IF($AC2887="","要確認",IF($AC2887=0,"不支給","未処理")))))</f>
        <v/>
      </c>
      <c r="AE2887" s="12" t="n"/>
      <c r="AF2887" s="11" t="n"/>
      <c r="AG2887" s="11" t="n"/>
      <c r="AH2887" s="11" t="n"/>
      <c r="AI2887" s="14">
        <f>IF(AND($AD2887="保留中",$AF2887&lt;&gt;""),TODAY()-$AF2887,"")</f>
        <v/>
      </c>
      <c r="AJ2887" s="12" t="n"/>
      <c r="AK2887" s="14">
        <f>IF($B2887="","",IF($AO2887="","対象年月が未入力／","")&amp;IF($B2887="","",IF($AN2887="","職員マスタに未登録の職員番号／",IF($Y2887="","標準報酬月額が未登録／","")&amp;IF(AND($AO2887&lt;&gt;"",OR(AND(INDEX(職員マスタ!$G$6:$G$405,$AN2887)&lt;&gt;"",INDEX(職員マスタ!$G$6:$G$405,$AN2887)&gt;EOMONTH($AO2887,0)),AND(INDEX(職員マスタ!$H$6:$H$405,$AN2887)&lt;&gt;"",INDEX(職員マスタ!$H$6:$H$405,$AN2887)&lt;$AO2887))),"対象月が時短期間外／","")&amp;IF(AND(INDEX(職員マスタ!$F$6:$F$405,$AN2887)&lt;&gt;"",$AO2887&lt;&gt;"",INDEX(職員マスタ!$F$6:$F$405,$AN2887)&lt;$AO2887),"対象月に子が2歳到達済／","")&amp;IF(AND($H2887&lt;&gt;"",INDEX(職員マスタ!$B$6:$B$405,$AN2887)&lt;&gt;"",SUBSTITUTE(SUBSTITUTE($H2887," ","")," ","")&lt;&gt;SUBSTITUTE(SUBSTITUTE(INDEX(職員マスタ!$B$6:$B$405,$AN2887)," ","")," ","")),"氏名がマスタと相違／","")&amp;IF(AND($Q2887&lt;&gt;"",INDEX(職員マスタ!$E$6:$E$405,$AN2887)&lt;&gt;"",$Q2887&lt;&gt;INDEX(職員マスタ!$E$6:$E$405,$AN2887)),"子の生年月日がマスタと相違／","")&amp;IF(AND($L2887&lt;&gt;"",INDEX(職員マスタ!$G$6:$G$405,$AN2887)&lt;&gt;"",$L2887&lt;&gt;INDEX(職員マスタ!$G$6:$G$405,$AN2887)),"時短開始日がマスタと相違／","")&amp;IF(AND($M2887&lt;&gt;"",INDEX(職員マスタ!$H$6:$H$405,$AN2887)&lt;&gt;"",$M2887&lt;&gt;INDEX(職員マスタ!$H$6:$H$405,$AN2887)),"時短終了日がマスタと相違／","")))&amp;IF(AND($B2887&lt;&gt;"",$E2887=""),"報酬額が未入力／","")&amp;IF(N($U2887)&gt;0,"申請書に入力エラーが残っています／","")&amp;IF(AND($B2887&lt;&gt;"",$AO2887&lt;&gt;""),IF(COUNTIFS($B$6:$B$3005,$B2887,$C$6:$C$3005,$C2887,$D$6:$D$3005,$D2887)&gt;1,"同じ月の請求が重複しています／",""),"")&amp;IF(AND(N($E2887)&gt;0,$Z2887&lt;&gt;"",$Z2887&lt;&gt;"×",$AC2887=0,$AB2887=""),"計算額が下限以下のため不支給／",""))</f>
        <v/>
      </c>
      <c r="AL2887" s="12" t="n"/>
      <c r="AM2887" s="14">
        <f>IF($AD2887="保留中",COUNTIF($AD$6:$AD2887,"保留中"),"")</f>
        <v/>
      </c>
      <c r="AN2887" s="14">
        <f>IF($AO2887="","",IF(SUMPRODUCT(MAX((職員マスタ!$A$6:$A$405=$B2887)*(((職員マスタ!$G$6:$G$405="")+(職員マスタ!$G$6:$G$405&lt;=EOMONTH($AO2887,0)))&gt;0)*(((職員マスタ!$H$6:$H$405="")+(職員マスタ!$H$6:$H$405&gt;=$AO2887))&gt;0)*(ROW(職員マスタ!$A$6:$A$405)-5)))&gt;0,SUMPRODUCT(MAX((職員マスタ!$A$6:$A$405=$B2887)*(((職員マスタ!$G$6:$G$405="")+(職員マスタ!$G$6:$G$405&lt;=EOMONTH($AO2887,0)))&gt;0)*(((職員マスタ!$H$6:$H$405="")+(職員マスタ!$H$6:$H$405&gt;=$AO2887))&gt;0)*(ROW(職員マスタ!$A$6:$A$405)-5))),IFERROR(MATCH($B2887,職員マスタ!$A$6:$A$405,0),"")))</f>
        <v/>
      </c>
      <c r="AO2887" s="16">
        <f>IF(OR($B2887="",$C2887="",$D2887=""),"",DATE($C2887+2018,$D2887,1))</f>
        <v/>
      </c>
    </row>
    <row r="2888">
      <c r="A2888" s="11" t="n"/>
      <c r="B2888" s="12" t="n"/>
      <c r="C2888" s="12" t="n"/>
      <c r="D2888" s="12" t="n"/>
      <c r="E2888" s="13" t="n"/>
      <c r="F2888" s="12" t="n"/>
      <c r="G2888" s="13" t="n"/>
      <c r="H2888" s="12" t="n"/>
      <c r="I2888" s="12" t="n"/>
      <c r="J2888" s="12" t="n"/>
      <c r="K2888" s="12" t="n"/>
      <c r="L2888" s="11" t="n"/>
      <c r="M2888" s="11" t="n"/>
      <c r="N2888" s="11" t="n"/>
      <c r="O2888" s="11" t="n"/>
      <c r="P2888" s="12" t="n"/>
      <c r="Q2888" s="11" t="n"/>
      <c r="R2888" s="12" t="n"/>
      <c r="S2888" s="11" t="n"/>
      <c r="T2888" s="12" t="n"/>
      <c r="U2888" s="12" t="n"/>
      <c r="V2888" s="14">
        <f>IF($AN2888="",IF($B2888="","",$H2888),IF(INDEX(職員マスタ!$B$6:$B$405,$AN2888)="",$H2888,INDEX(職員マスタ!$B$6:$B$405,$AN2888)))</f>
        <v/>
      </c>
      <c r="W2888" s="14">
        <f>IF($AN2888="",IF($B2888="","",$R2888),IF(INDEX(職員マスタ!$C$6:$C$405,$AN2888)="",$R2888,INDEX(職員マスタ!$C$6:$C$405,$AN2888)))</f>
        <v/>
      </c>
      <c r="X2888" s="14">
        <f>IF($AO2888="","","R"&amp;$C2888&amp;"."&amp;$D2888)</f>
        <v/>
      </c>
      <c r="Y2888" s="15">
        <f>IF($AN2888="","",IF(INDEX(職員マスタ!$K$6:$K$405,$AN2888)="","",INDEX(職員マスタ!$K$6:$K$405,$AN2888)))</f>
        <v/>
      </c>
      <c r="Z2888" s="14">
        <f>IF(OR($E2888="",$Y2888=""),"",IF($E2888&gt;=$Y2888,"×",IF($E2888&gt;=$Y2888*設定!$C$5,"△","○")))</f>
        <v/>
      </c>
      <c r="AA2888" s="15">
        <f>IF($Z2888="","",IF($Z2888="×",0,IF($Z2888="○",ROUNDDOWN($E2888*設定!$C$4,0),ROUNDDOWN($E2888*ROUND((9*$Y2888-9*$E2888)/(10*$E2888),4),0))))</f>
        <v/>
      </c>
      <c r="AB2888" s="13" t="n"/>
      <c r="AC2888" s="15">
        <f>IF($B2888="","",IF($AB2888&lt;&gt;"",$AB2888,IF($AA2888="","",IF($AA2888&lt;=設定!$C$3,0,$AA2888))))</f>
        <v/>
      </c>
      <c r="AD2888" s="14">
        <f>IF($B2888="","",IF(AND($AE2888&lt;&gt;"",$AG2888="",$AJ2888=""),"保留中",IF($AJ2888&lt;&gt;"",IF(N($AC2888)&gt;0,"支給済","不支給"),IF($AC2888="","要確認",IF($AC2888=0,"不支給","未処理")))))</f>
        <v/>
      </c>
      <c r="AE2888" s="12" t="n"/>
      <c r="AF2888" s="11" t="n"/>
      <c r="AG2888" s="11" t="n"/>
      <c r="AH2888" s="11" t="n"/>
      <c r="AI2888" s="14">
        <f>IF(AND($AD2888="保留中",$AF2888&lt;&gt;""),TODAY()-$AF2888,"")</f>
        <v/>
      </c>
      <c r="AJ2888" s="12" t="n"/>
      <c r="AK2888" s="14">
        <f>IF($B2888="","",IF($AO2888="","対象年月が未入力／","")&amp;IF($B2888="","",IF($AN2888="","職員マスタに未登録の職員番号／",IF($Y2888="","標準報酬月額が未登録／","")&amp;IF(AND($AO2888&lt;&gt;"",OR(AND(INDEX(職員マスタ!$G$6:$G$405,$AN2888)&lt;&gt;"",INDEX(職員マスタ!$G$6:$G$405,$AN2888)&gt;EOMONTH($AO2888,0)),AND(INDEX(職員マスタ!$H$6:$H$405,$AN2888)&lt;&gt;"",INDEX(職員マスタ!$H$6:$H$405,$AN2888)&lt;$AO2888))),"対象月が時短期間外／","")&amp;IF(AND(INDEX(職員マスタ!$F$6:$F$405,$AN2888)&lt;&gt;"",$AO2888&lt;&gt;"",INDEX(職員マスタ!$F$6:$F$405,$AN2888)&lt;$AO2888),"対象月に子が2歳到達済／","")&amp;IF(AND($H2888&lt;&gt;"",INDEX(職員マスタ!$B$6:$B$405,$AN2888)&lt;&gt;"",SUBSTITUTE(SUBSTITUTE($H2888," ","")," ","")&lt;&gt;SUBSTITUTE(SUBSTITUTE(INDEX(職員マスタ!$B$6:$B$405,$AN2888)," ","")," ","")),"氏名がマスタと相違／","")&amp;IF(AND($Q2888&lt;&gt;"",INDEX(職員マスタ!$E$6:$E$405,$AN2888)&lt;&gt;"",$Q2888&lt;&gt;INDEX(職員マスタ!$E$6:$E$405,$AN2888)),"子の生年月日がマスタと相違／","")&amp;IF(AND($L2888&lt;&gt;"",INDEX(職員マスタ!$G$6:$G$405,$AN2888)&lt;&gt;"",$L2888&lt;&gt;INDEX(職員マスタ!$G$6:$G$405,$AN2888)),"時短開始日がマスタと相違／","")&amp;IF(AND($M2888&lt;&gt;"",INDEX(職員マスタ!$H$6:$H$405,$AN2888)&lt;&gt;"",$M2888&lt;&gt;INDEX(職員マスタ!$H$6:$H$405,$AN2888)),"時短終了日がマスタと相違／","")))&amp;IF(AND($B2888&lt;&gt;"",$E2888=""),"報酬額が未入力／","")&amp;IF(N($U2888)&gt;0,"申請書に入力エラーが残っています／","")&amp;IF(AND($B2888&lt;&gt;"",$AO2888&lt;&gt;""),IF(COUNTIFS($B$6:$B$3005,$B2888,$C$6:$C$3005,$C2888,$D$6:$D$3005,$D2888)&gt;1,"同じ月の請求が重複しています／",""),"")&amp;IF(AND(N($E2888)&gt;0,$Z2888&lt;&gt;"",$Z2888&lt;&gt;"×",$AC2888=0,$AB2888=""),"計算額が下限以下のため不支給／",""))</f>
        <v/>
      </c>
      <c r="AL2888" s="12" t="n"/>
      <c r="AM2888" s="14">
        <f>IF($AD2888="保留中",COUNTIF($AD$6:$AD2888,"保留中"),"")</f>
        <v/>
      </c>
      <c r="AN2888" s="14">
        <f>IF($AO2888="","",IF(SUMPRODUCT(MAX((職員マスタ!$A$6:$A$405=$B2888)*(((職員マスタ!$G$6:$G$405="")+(職員マスタ!$G$6:$G$405&lt;=EOMONTH($AO2888,0)))&gt;0)*(((職員マスタ!$H$6:$H$405="")+(職員マスタ!$H$6:$H$405&gt;=$AO2888))&gt;0)*(ROW(職員マスタ!$A$6:$A$405)-5)))&gt;0,SUMPRODUCT(MAX((職員マスタ!$A$6:$A$405=$B2888)*(((職員マスタ!$G$6:$G$405="")+(職員マスタ!$G$6:$G$405&lt;=EOMONTH($AO2888,0)))&gt;0)*(((職員マスタ!$H$6:$H$405="")+(職員マスタ!$H$6:$H$405&gt;=$AO2888))&gt;0)*(ROW(職員マスタ!$A$6:$A$405)-5))),IFERROR(MATCH($B2888,職員マスタ!$A$6:$A$405,0),"")))</f>
        <v/>
      </c>
      <c r="AO2888" s="16">
        <f>IF(OR($B2888="",$C2888="",$D2888=""),"",DATE($C2888+2018,$D2888,1))</f>
        <v/>
      </c>
    </row>
    <row r="2889">
      <c r="A2889" s="11" t="n"/>
      <c r="B2889" s="12" t="n"/>
      <c r="C2889" s="12" t="n"/>
      <c r="D2889" s="12" t="n"/>
      <c r="E2889" s="13" t="n"/>
      <c r="F2889" s="12" t="n"/>
      <c r="G2889" s="13" t="n"/>
      <c r="H2889" s="12" t="n"/>
      <c r="I2889" s="12" t="n"/>
      <c r="J2889" s="12" t="n"/>
      <c r="K2889" s="12" t="n"/>
      <c r="L2889" s="11" t="n"/>
      <c r="M2889" s="11" t="n"/>
      <c r="N2889" s="11" t="n"/>
      <c r="O2889" s="11" t="n"/>
      <c r="P2889" s="12" t="n"/>
      <c r="Q2889" s="11" t="n"/>
      <c r="R2889" s="12" t="n"/>
      <c r="S2889" s="11" t="n"/>
      <c r="T2889" s="12" t="n"/>
      <c r="U2889" s="12" t="n"/>
      <c r="V2889" s="14">
        <f>IF($AN2889="",IF($B2889="","",$H2889),IF(INDEX(職員マスタ!$B$6:$B$405,$AN2889)="",$H2889,INDEX(職員マスタ!$B$6:$B$405,$AN2889)))</f>
        <v/>
      </c>
      <c r="W2889" s="14">
        <f>IF($AN2889="",IF($B2889="","",$R2889),IF(INDEX(職員マスタ!$C$6:$C$405,$AN2889)="",$R2889,INDEX(職員マスタ!$C$6:$C$405,$AN2889)))</f>
        <v/>
      </c>
      <c r="X2889" s="14">
        <f>IF($AO2889="","","R"&amp;$C2889&amp;"."&amp;$D2889)</f>
        <v/>
      </c>
      <c r="Y2889" s="15">
        <f>IF($AN2889="","",IF(INDEX(職員マスタ!$K$6:$K$405,$AN2889)="","",INDEX(職員マスタ!$K$6:$K$405,$AN2889)))</f>
        <v/>
      </c>
      <c r="Z2889" s="14">
        <f>IF(OR($E2889="",$Y2889=""),"",IF($E2889&gt;=$Y2889,"×",IF($E2889&gt;=$Y2889*設定!$C$5,"△","○")))</f>
        <v/>
      </c>
      <c r="AA2889" s="15">
        <f>IF($Z2889="","",IF($Z2889="×",0,IF($Z2889="○",ROUNDDOWN($E2889*設定!$C$4,0),ROUNDDOWN($E2889*ROUND((9*$Y2889-9*$E2889)/(10*$E2889),4),0))))</f>
        <v/>
      </c>
      <c r="AB2889" s="13" t="n"/>
      <c r="AC2889" s="15">
        <f>IF($B2889="","",IF($AB2889&lt;&gt;"",$AB2889,IF($AA2889="","",IF($AA2889&lt;=設定!$C$3,0,$AA2889))))</f>
        <v/>
      </c>
      <c r="AD2889" s="14">
        <f>IF($B2889="","",IF(AND($AE2889&lt;&gt;"",$AG2889="",$AJ2889=""),"保留中",IF($AJ2889&lt;&gt;"",IF(N($AC2889)&gt;0,"支給済","不支給"),IF($AC2889="","要確認",IF($AC2889=0,"不支給","未処理")))))</f>
        <v/>
      </c>
      <c r="AE2889" s="12" t="n"/>
      <c r="AF2889" s="11" t="n"/>
      <c r="AG2889" s="11" t="n"/>
      <c r="AH2889" s="11" t="n"/>
      <c r="AI2889" s="14">
        <f>IF(AND($AD2889="保留中",$AF2889&lt;&gt;""),TODAY()-$AF2889,"")</f>
        <v/>
      </c>
      <c r="AJ2889" s="12" t="n"/>
      <c r="AK2889" s="14">
        <f>IF($B2889="","",IF($AO2889="","対象年月が未入力／","")&amp;IF($B2889="","",IF($AN2889="","職員マスタに未登録の職員番号／",IF($Y2889="","標準報酬月額が未登録／","")&amp;IF(AND($AO2889&lt;&gt;"",OR(AND(INDEX(職員マスタ!$G$6:$G$405,$AN2889)&lt;&gt;"",INDEX(職員マスタ!$G$6:$G$405,$AN2889)&gt;EOMONTH($AO2889,0)),AND(INDEX(職員マスタ!$H$6:$H$405,$AN2889)&lt;&gt;"",INDEX(職員マスタ!$H$6:$H$405,$AN2889)&lt;$AO2889))),"対象月が時短期間外／","")&amp;IF(AND(INDEX(職員マスタ!$F$6:$F$405,$AN2889)&lt;&gt;"",$AO2889&lt;&gt;"",INDEX(職員マスタ!$F$6:$F$405,$AN2889)&lt;$AO2889),"対象月に子が2歳到達済／","")&amp;IF(AND($H2889&lt;&gt;"",INDEX(職員マスタ!$B$6:$B$405,$AN2889)&lt;&gt;"",SUBSTITUTE(SUBSTITUTE($H2889," ","")," ","")&lt;&gt;SUBSTITUTE(SUBSTITUTE(INDEX(職員マスタ!$B$6:$B$405,$AN2889)," ","")," ","")),"氏名がマスタと相違／","")&amp;IF(AND($Q2889&lt;&gt;"",INDEX(職員マスタ!$E$6:$E$405,$AN2889)&lt;&gt;"",$Q2889&lt;&gt;INDEX(職員マスタ!$E$6:$E$405,$AN2889)),"子の生年月日がマスタと相違／","")&amp;IF(AND($L2889&lt;&gt;"",INDEX(職員マスタ!$G$6:$G$405,$AN2889)&lt;&gt;"",$L2889&lt;&gt;INDEX(職員マスタ!$G$6:$G$405,$AN2889)),"時短開始日がマスタと相違／","")&amp;IF(AND($M2889&lt;&gt;"",INDEX(職員マスタ!$H$6:$H$405,$AN2889)&lt;&gt;"",$M2889&lt;&gt;INDEX(職員マスタ!$H$6:$H$405,$AN2889)),"時短終了日がマスタと相違／","")))&amp;IF(AND($B2889&lt;&gt;"",$E2889=""),"報酬額が未入力／","")&amp;IF(N($U2889)&gt;0,"申請書に入力エラーが残っています／","")&amp;IF(AND($B2889&lt;&gt;"",$AO2889&lt;&gt;""),IF(COUNTIFS($B$6:$B$3005,$B2889,$C$6:$C$3005,$C2889,$D$6:$D$3005,$D2889)&gt;1,"同じ月の請求が重複しています／",""),"")&amp;IF(AND(N($E2889)&gt;0,$Z2889&lt;&gt;"",$Z2889&lt;&gt;"×",$AC2889=0,$AB2889=""),"計算額が下限以下のため不支給／",""))</f>
        <v/>
      </c>
      <c r="AL2889" s="12" t="n"/>
      <c r="AM2889" s="14">
        <f>IF($AD2889="保留中",COUNTIF($AD$6:$AD2889,"保留中"),"")</f>
        <v/>
      </c>
      <c r="AN2889" s="14">
        <f>IF($AO2889="","",IF(SUMPRODUCT(MAX((職員マスタ!$A$6:$A$405=$B2889)*(((職員マスタ!$G$6:$G$405="")+(職員マスタ!$G$6:$G$405&lt;=EOMONTH($AO2889,0)))&gt;0)*(((職員マスタ!$H$6:$H$405="")+(職員マスタ!$H$6:$H$405&gt;=$AO2889))&gt;0)*(ROW(職員マスタ!$A$6:$A$405)-5)))&gt;0,SUMPRODUCT(MAX((職員マスタ!$A$6:$A$405=$B2889)*(((職員マスタ!$G$6:$G$405="")+(職員マスタ!$G$6:$G$405&lt;=EOMONTH($AO2889,0)))&gt;0)*(((職員マスタ!$H$6:$H$405="")+(職員マスタ!$H$6:$H$405&gt;=$AO2889))&gt;0)*(ROW(職員マスタ!$A$6:$A$405)-5))),IFERROR(MATCH($B2889,職員マスタ!$A$6:$A$405,0),"")))</f>
        <v/>
      </c>
      <c r="AO2889" s="16">
        <f>IF(OR($B2889="",$C2889="",$D2889=""),"",DATE($C2889+2018,$D2889,1))</f>
        <v/>
      </c>
    </row>
    <row r="2890">
      <c r="A2890" s="11" t="n"/>
      <c r="B2890" s="12" t="n"/>
      <c r="C2890" s="12" t="n"/>
      <c r="D2890" s="12" t="n"/>
      <c r="E2890" s="13" t="n"/>
      <c r="F2890" s="12" t="n"/>
      <c r="G2890" s="13" t="n"/>
      <c r="H2890" s="12" t="n"/>
      <c r="I2890" s="12" t="n"/>
      <c r="J2890" s="12" t="n"/>
      <c r="K2890" s="12" t="n"/>
      <c r="L2890" s="11" t="n"/>
      <c r="M2890" s="11" t="n"/>
      <c r="N2890" s="11" t="n"/>
      <c r="O2890" s="11" t="n"/>
      <c r="P2890" s="12" t="n"/>
      <c r="Q2890" s="11" t="n"/>
      <c r="R2890" s="12" t="n"/>
      <c r="S2890" s="11" t="n"/>
      <c r="T2890" s="12" t="n"/>
      <c r="U2890" s="12" t="n"/>
      <c r="V2890" s="14">
        <f>IF($AN2890="",IF($B2890="","",$H2890),IF(INDEX(職員マスタ!$B$6:$B$405,$AN2890)="",$H2890,INDEX(職員マスタ!$B$6:$B$405,$AN2890)))</f>
        <v/>
      </c>
      <c r="W2890" s="14">
        <f>IF($AN2890="",IF($B2890="","",$R2890),IF(INDEX(職員マスタ!$C$6:$C$405,$AN2890)="",$R2890,INDEX(職員マスタ!$C$6:$C$405,$AN2890)))</f>
        <v/>
      </c>
      <c r="X2890" s="14">
        <f>IF($AO2890="","","R"&amp;$C2890&amp;"."&amp;$D2890)</f>
        <v/>
      </c>
      <c r="Y2890" s="15">
        <f>IF($AN2890="","",IF(INDEX(職員マスタ!$K$6:$K$405,$AN2890)="","",INDEX(職員マスタ!$K$6:$K$405,$AN2890)))</f>
        <v/>
      </c>
      <c r="Z2890" s="14">
        <f>IF(OR($E2890="",$Y2890=""),"",IF($E2890&gt;=$Y2890,"×",IF($E2890&gt;=$Y2890*設定!$C$5,"△","○")))</f>
        <v/>
      </c>
      <c r="AA2890" s="15">
        <f>IF($Z2890="","",IF($Z2890="×",0,IF($Z2890="○",ROUNDDOWN($E2890*設定!$C$4,0),ROUNDDOWN($E2890*ROUND((9*$Y2890-9*$E2890)/(10*$E2890),4),0))))</f>
        <v/>
      </c>
      <c r="AB2890" s="13" t="n"/>
      <c r="AC2890" s="15">
        <f>IF($B2890="","",IF($AB2890&lt;&gt;"",$AB2890,IF($AA2890="","",IF($AA2890&lt;=設定!$C$3,0,$AA2890))))</f>
        <v/>
      </c>
      <c r="AD2890" s="14">
        <f>IF($B2890="","",IF(AND($AE2890&lt;&gt;"",$AG2890="",$AJ2890=""),"保留中",IF($AJ2890&lt;&gt;"",IF(N($AC2890)&gt;0,"支給済","不支給"),IF($AC2890="","要確認",IF($AC2890=0,"不支給","未処理")))))</f>
        <v/>
      </c>
      <c r="AE2890" s="12" t="n"/>
      <c r="AF2890" s="11" t="n"/>
      <c r="AG2890" s="11" t="n"/>
      <c r="AH2890" s="11" t="n"/>
      <c r="AI2890" s="14">
        <f>IF(AND($AD2890="保留中",$AF2890&lt;&gt;""),TODAY()-$AF2890,"")</f>
        <v/>
      </c>
      <c r="AJ2890" s="12" t="n"/>
      <c r="AK2890" s="14">
        <f>IF($B2890="","",IF($AO2890="","対象年月が未入力／","")&amp;IF($B2890="","",IF($AN2890="","職員マスタに未登録の職員番号／",IF($Y2890="","標準報酬月額が未登録／","")&amp;IF(AND($AO2890&lt;&gt;"",OR(AND(INDEX(職員マスタ!$G$6:$G$405,$AN2890)&lt;&gt;"",INDEX(職員マスタ!$G$6:$G$405,$AN2890)&gt;EOMONTH($AO2890,0)),AND(INDEX(職員マスタ!$H$6:$H$405,$AN2890)&lt;&gt;"",INDEX(職員マスタ!$H$6:$H$405,$AN2890)&lt;$AO2890))),"対象月が時短期間外／","")&amp;IF(AND(INDEX(職員マスタ!$F$6:$F$405,$AN2890)&lt;&gt;"",$AO2890&lt;&gt;"",INDEX(職員マスタ!$F$6:$F$405,$AN2890)&lt;$AO2890),"対象月に子が2歳到達済／","")&amp;IF(AND($H2890&lt;&gt;"",INDEX(職員マスタ!$B$6:$B$405,$AN2890)&lt;&gt;"",SUBSTITUTE(SUBSTITUTE($H2890," ","")," ","")&lt;&gt;SUBSTITUTE(SUBSTITUTE(INDEX(職員マスタ!$B$6:$B$405,$AN2890)," ","")," ","")),"氏名がマスタと相違／","")&amp;IF(AND($Q2890&lt;&gt;"",INDEX(職員マスタ!$E$6:$E$405,$AN2890)&lt;&gt;"",$Q2890&lt;&gt;INDEX(職員マスタ!$E$6:$E$405,$AN2890)),"子の生年月日がマスタと相違／","")&amp;IF(AND($L2890&lt;&gt;"",INDEX(職員マスタ!$G$6:$G$405,$AN2890)&lt;&gt;"",$L2890&lt;&gt;INDEX(職員マスタ!$G$6:$G$405,$AN2890)),"時短開始日がマスタと相違／","")&amp;IF(AND($M2890&lt;&gt;"",INDEX(職員マスタ!$H$6:$H$405,$AN2890)&lt;&gt;"",$M2890&lt;&gt;INDEX(職員マスタ!$H$6:$H$405,$AN2890)),"時短終了日がマスタと相違／","")))&amp;IF(AND($B2890&lt;&gt;"",$E2890=""),"報酬額が未入力／","")&amp;IF(N($U2890)&gt;0,"申請書に入力エラーが残っています／","")&amp;IF(AND($B2890&lt;&gt;"",$AO2890&lt;&gt;""),IF(COUNTIFS($B$6:$B$3005,$B2890,$C$6:$C$3005,$C2890,$D$6:$D$3005,$D2890)&gt;1,"同じ月の請求が重複しています／",""),"")&amp;IF(AND(N($E2890)&gt;0,$Z2890&lt;&gt;"",$Z2890&lt;&gt;"×",$AC2890=0,$AB2890=""),"計算額が下限以下のため不支給／",""))</f>
        <v/>
      </c>
      <c r="AL2890" s="12" t="n"/>
      <c r="AM2890" s="14">
        <f>IF($AD2890="保留中",COUNTIF($AD$6:$AD2890,"保留中"),"")</f>
        <v/>
      </c>
      <c r="AN2890" s="14">
        <f>IF($AO2890="","",IF(SUMPRODUCT(MAX((職員マスタ!$A$6:$A$405=$B2890)*(((職員マスタ!$G$6:$G$405="")+(職員マスタ!$G$6:$G$405&lt;=EOMONTH($AO2890,0)))&gt;0)*(((職員マスタ!$H$6:$H$405="")+(職員マスタ!$H$6:$H$405&gt;=$AO2890))&gt;0)*(ROW(職員マスタ!$A$6:$A$405)-5)))&gt;0,SUMPRODUCT(MAX((職員マスタ!$A$6:$A$405=$B2890)*(((職員マスタ!$G$6:$G$405="")+(職員マスタ!$G$6:$G$405&lt;=EOMONTH($AO2890,0)))&gt;0)*(((職員マスタ!$H$6:$H$405="")+(職員マスタ!$H$6:$H$405&gt;=$AO2890))&gt;0)*(ROW(職員マスタ!$A$6:$A$405)-5))),IFERROR(MATCH($B2890,職員マスタ!$A$6:$A$405,0),"")))</f>
        <v/>
      </c>
      <c r="AO2890" s="16">
        <f>IF(OR($B2890="",$C2890="",$D2890=""),"",DATE($C2890+2018,$D2890,1))</f>
        <v/>
      </c>
    </row>
    <row r="2891">
      <c r="A2891" s="11" t="n"/>
      <c r="B2891" s="12" t="n"/>
      <c r="C2891" s="12" t="n"/>
      <c r="D2891" s="12" t="n"/>
      <c r="E2891" s="13" t="n"/>
      <c r="F2891" s="12" t="n"/>
      <c r="G2891" s="13" t="n"/>
      <c r="H2891" s="12" t="n"/>
      <c r="I2891" s="12" t="n"/>
      <c r="J2891" s="12" t="n"/>
      <c r="K2891" s="12" t="n"/>
      <c r="L2891" s="11" t="n"/>
      <c r="M2891" s="11" t="n"/>
      <c r="N2891" s="11" t="n"/>
      <c r="O2891" s="11" t="n"/>
      <c r="P2891" s="12" t="n"/>
      <c r="Q2891" s="11" t="n"/>
      <c r="R2891" s="12" t="n"/>
      <c r="S2891" s="11" t="n"/>
      <c r="T2891" s="12" t="n"/>
      <c r="U2891" s="12" t="n"/>
      <c r="V2891" s="14">
        <f>IF($AN2891="",IF($B2891="","",$H2891),IF(INDEX(職員マスタ!$B$6:$B$405,$AN2891)="",$H2891,INDEX(職員マスタ!$B$6:$B$405,$AN2891)))</f>
        <v/>
      </c>
      <c r="W2891" s="14">
        <f>IF($AN2891="",IF($B2891="","",$R2891),IF(INDEX(職員マスタ!$C$6:$C$405,$AN2891)="",$R2891,INDEX(職員マスタ!$C$6:$C$405,$AN2891)))</f>
        <v/>
      </c>
      <c r="X2891" s="14">
        <f>IF($AO2891="","","R"&amp;$C2891&amp;"."&amp;$D2891)</f>
        <v/>
      </c>
      <c r="Y2891" s="15">
        <f>IF($AN2891="","",IF(INDEX(職員マスタ!$K$6:$K$405,$AN2891)="","",INDEX(職員マスタ!$K$6:$K$405,$AN2891)))</f>
        <v/>
      </c>
      <c r="Z2891" s="14">
        <f>IF(OR($E2891="",$Y2891=""),"",IF($E2891&gt;=$Y2891,"×",IF($E2891&gt;=$Y2891*設定!$C$5,"△","○")))</f>
        <v/>
      </c>
      <c r="AA2891" s="15">
        <f>IF($Z2891="","",IF($Z2891="×",0,IF($Z2891="○",ROUNDDOWN($E2891*設定!$C$4,0),ROUNDDOWN($E2891*ROUND((9*$Y2891-9*$E2891)/(10*$E2891),4),0))))</f>
        <v/>
      </c>
      <c r="AB2891" s="13" t="n"/>
      <c r="AC2891" s="15">
        <f>IF($B2891="","",IF($AB2891&lt;&gt;"",$AB2891,IF($AA2891="","",IF($AA2891&lt;=設定!$C$3,0,$AA2891))))</f>
        <v/>
      </c>
      <c r="AD2891" s="14">
        <f>IF($B2891="","",IF(AND($AE2891&lt;&gt;"",$AG2891="",$AJ2891=""),"保留中",IF($AJ2891&lt;&gt;"",IF(N($AC2891)&gt;0,"支給済","不支給"),IF($AC2891="","要確認",IF($AC2891=0,"不支給","未処理")))))</f>
        <v/>
      </c>
      <c r="AE2891" s="12" t="n"/>
      <c r="AF2891" s="11" t="n"/>
      <c r="AG2891" s="11" t="n"/>
      <c r="AH2891" s="11" t="n"/>
      <c r="AI2891" s="14">
        <f>IF(AND($AD2891="保留中",$AF2891&lt;&gt;""),TODAY()-$AF2891,"")</f>
        <v/>
      </c>
      <c r="AJ2891" s="12" t="n"/>
      <c r="AK2891" s="14">
        <f>IF($B2891="","",IF($AO2891="","対象年月が未入力／","")&amp;IF($B2891="","",IF($AN2891="","職員マスタに未登録の職員番号／",IF($Y2891="","標準報酬月額が未登録／","")&amp;IF(AND($AO2891&lt;&gt;"",OR(AND(INDEX(職員マスタ!$G$6:$G$405,$AN2891)&lt;&gt;"",INDEX(職員マスタ!$G$6:$G$405,$AN2891)&gt;EOMONTH($AO2891,0)),AND(INDEX(職員マスタ!$H$6:$H$405,$AN2891)&lt;&gt;"",INDEX(職員マスタ!$H$6:$H$405,$AN2891)&lt;$AO2891))),"対象月が時短期間外／","")&amp;IF(AND(INDEX(職員マスタ!$F$6:$F$405,$AN2891)&lt;&gt;"",$AO2891&lt;&gt;"",INDEX(職員マスタ!$F$6:$F$405,$AN2891)&lt;$AO2891),"対象月に子が2歳到達済／","")&amp;IF(AND($H2891&lt;&gt;"",INDEX(職員マスタ!$B$6:$B$405,$AN2891)&lt;&gt;"",SUBSTITUTE(SUBSTITUTE($H2891," ","")," ","")&lt;&gt;SUBSTITUTE(SUBSTITUTE(INDEX(職員マスタ!$B$6:$B$405,$AN2891)," ","")," ","")),"氏名がマスタと相違／","")&amp;IF(AND($Q2891&lt;&gt;"",INDEX(職員マスタ!$E$6:$E$405,$AN2891)&lt;&gt;"",$Q2891&lt;&gt;INDEX(職員マスタ!$E$6:$E$405,$AN2891)),"子の生年月日がマスタと相違／","")&amp;IF(AND($L2891&lt;&gt;"",INDEX(職員マスタ!$G$6:$G$405,$AN2891)&lt;&gt;"",$L2891&lt;&gt;INDEX(職員マスタ!$G$6:$G$405,$AN2891)),"時短開始日がマスタと相違／","")&amp;IF(AND($M2891&lt;&gt;"",INDEX(職員マスタ!$H$6:$H$405,$AN2891)&lt;&gt;"",$M2891&lt;&gt;INDEX(職員マスタ!$H$6:$H$405,$AN2891)),"時短終了日がマスタと相違／","")))&amp;IF(AND($B2891&lt;&gt;"",$E2891=""),"報酬額が未入力／","")&amp;IF(N($U2891)&gt;0,"申請書に入力エラーが残っています／","")&amp;IF(AND($B2891&lt;&gt;"",$AO2891&lt;&gt;""),IF(COUNTIFS($B$6:$B$3005,$B2891,$C$6:$C$3005,$C2891,$D$6:$D$3005,$D2891)&gt;1,"同じ月の請求が重複しています／",""),"")&amp;IF(AND(N($E2891)&gt;0,$Z2891&lt;&gt;"",$Z2891&lt;&gt;"×",$AC2891=0,$AB2891=""),"計算額が下限以下のため不支給／",""))</f>
        <v/>
      </c>
      <c r="AL2891" s="12" t="n"/>
      <c r="AM2891" s="14">
        <f>IF($AD2891="保留中",COUNTIF($AD$6:$AD2891,"保留中"),"")</f>
        <v/>
      </c>
      <c r="AN2891" s="14">
        <f>IF($AO2891="","",IF(SUMPRODUCT(MAX((職員マスタ!$A$6:$A$405=$B2891)*(((職員マスタ!$G$6:$G$405="")+(職員マスタ!$G$6:$G$405&lt;=EOMONTH($AO2891,0)))&gt;0)*(((職員マスタ!$H$6:$H$405="")+(職員マスタ!$H$6:$H$405&gt;=$AO2891))&gt;0)*(ROW(職員マスタ!$A$6:$A$405)-5)))&gt;0,SUMPRODUCT(MAX((職員マスタ!$A$6:$A$405=$B2891)*(((職員マスタ!$G$6:$G$405="")+(職員マスタ!$G$6:$G$405&lt;=EOMONTH($AO2891,0)))&gt;0)*(((職員マスタ!$H$6:$H$405="")+(職員マスタ!$H$6:$H$405&gt;=$AO2891))&gt;0)*(ROW(職員マスタ!$A$6:$A$405)-5))),IFERROR(MATCH($B2891,職員マスタ!$A$6:$A$405,0),"")))</f>
        <v/>
      </c>
      <c r="AO2891" s="16">
        <f>IF(OR($B2891="",$C2891="",$D2891=""),"",DATE($C2891+2018,$D2891,1))</f>
        <v/>
      </c>
    </row>
    <row r="2892">
      <c r="A2892" s="11" t="n"/>
      <c r="B2892" s="12" t="n"/>
      <c r="C2892" s="12" t="n"/>
      <c r="D2892" s="12" t="n"/>
      <c r="E2892" s="13" t="n"/>
      <c r="F2892" s="12" t="n"/>
      <c r="G2892" s="13" t="n"/>
      <c r="H2892" s="12" t="n"/>
      <c r="I2892" s="12" t="n"/>
      <c r="J2892" s="12" t="n"/>
      <c r="K2892" s="12" t="n"/>
      <c r="L2892" s="11" t="n"/>
      <c r="M2892" s="11" t="n"/>
      <c r="N2892" s="11" t="n"/>
      <c r="O2892" s="11" t="n"/>
      <c r="P2892" s="12" t="n"/>
      <c r="Q2892" s="11" t="n"/>
      <c r="R2892" s="12" t="n"/>
      <c r="S2892" s="11" t="n"/>
      <c r="T2892" s="12" t="n"/>
      <c r="U2892" s="12" t="n"/>
      <c r="V2892" s="14">
        <f>IF($AN2892="",IF($B2892="","",$H2892),IF(INDEX(職員マスタ!$B$6:$B$405,$AN2892)="",$H2892,INDEX(職員マスタ!$B$6:$B$405,$AN2892)))</f>
        <v/>
      </c>
      <c r="W2892" s="14">
        <f>IF($AN2892="",IF($B2892="","",$R2892),IF(INDEX(職員マスタ!$C$6:$C$405,$AN2892)="",$R2892,INDEX(職員マスタ!$C$6:$C$405,$AN2892)))</f>
        <v/>
      </c>
      <c r="X2892" s="14">
        <f>IF($AO2892="","","R"&amp;$C2892&amp;"."&amp;$D2892)</f>
        <v/>
      </c>
      <c r="Y2892" s="15">
        <f>IF($AN2892="","",IF(INDEX(職員マスタ!$K$6:$K$405,$AN2892)="","",INDEX(職員マスタ!$K$6:$K$405,$AN2892)))</f>
        <v/>
      </c>
      <c r="Z2892" s="14">
        <f>IF(OR($E2892="",$Y2892=""),"",IF($E2892&gt;=$Y2892,"×",IF($E2892&gt;=$Y2892*設定!$C$5,"△","○")))</f>
        <v/>
      </c>
      <c r="AA2892" s="15">
        <f>IF($Z2892="","",IF($Z2892="×",0,IF($Z2892="○",ROUNDDOWN($E2892*設定!$C$4,0),ROUNDDOWN($E2892*ROUND((9*$Y2892-9*$E2892)/(10*$E2892),4),0))))</f>
        <v/>
      </c>
      <c r="AB2892" s="13" t="n"/>
      <c r="AC2892" s="15">
        <f>IF($B2892="","",IF($AB2892&lt;&gt;"",$AB2892,IF($AA2892="","",IF($AA2892&lt;=設定!$C$3,0,$AA2892))))</f>
        <v/>
      </c>
      <c r="AD2892" s="14">
        <f>IF($B2892="","",IF(AND($AE2892&lt;&gt;"",$AG2892="",$AJ2892=""),"保留中",IF($AJ2892&lt;&gt;"",IF(N($AC2892)&gt;0,"支給済","不支給"),IF($AC2892="","要確認",IF($AC2892=0,"不支給","未処理")))))</f>
        <v/>
      </c>
      <c r="AE2892" s="12" t="n"/>
      <c r="AF2892" s="11" t="n"/>
      <c r="AG2892" s="11" t="n"/>
      <c r="AH2892" s="11" t="n"/>
      <c r="AI2892" s="14">
        <f>IF(AND($AD2892="保留中",$AF2892&lt;&gt;""),TODAY()-$AF2892,"")</f>
        <v/>
      </c>
      <c r="AJ2892" s="12" t="n"/>
      <c r="AK2892" s="14">
        <f>IF($B2892="","",IF($AO2892="","対象年月が未入力／","")&amp;IF($B2892="","",IF($AN2892="","職員マスタに未登録の職員番号／",IF($Y2892="","標準報酬月額が未登録／","")&amp;IF(AND($AO2892&lt;&gt;"",OR(AND(INDEX(職員マスタ!$G$6:$G$405,$AN2892)&lt;&gt;"",INDEX(職員マスタ!$G$6:$G$405,$AN2892)&gt;EOMONTH($AO2892,0)),AND(INDEX(職員マスタ!$H$6:$H$405,$AN2892)&lt;&gt;"",INDEX(職員マスタ!$H$6:$H$405,$AN2892)&lt;$AO2892))),"対象月が時短期間外／","")&amp;IF(AND(INDEX(職員マスタ!$F$6:$F$405,$AN2892)&lt;&gt;"",$AO2892&lt;&gt;"",INDEX(職員マスタ!$F$6:$F$405,$AN2892)&lt;$AO2892),"対象月に子が2歳到達済／","")&amp;IF(AND($H2892&lt;&gt;"",INDEX(職員マスタ!$B$6:$B$405,$AN2892)&lt;&gt;"",SUBSTITUTE(SUBSTITUTE($H2892," ","")," ","")&lt;&gt;SUBSTITUTE(SUBSTITUTE(INDEX(職員マスタ!$B$6:$B$405,$AN2892)," ","")," ","")),"氏名がマスタと相違／","")&amp;IF(AND($Q2892&lt;&gt;"",INDEX(職員マスタ!$E$6:$E$405,$AN2892)&lt;&gt;"",$Q2892&lt;&gt;INDEX(職員マスタ!$E$6:$E$405,$AN2892)),"子の生年月日がマスタと相違／","")&amp;IF(AND($L2892&lt;&gt;"",INDEX(職員マスタ!$G$6:$G$405,$AN2892)&lt;&gt;"",$L2892&lt;&gt;INDEX(職員マスタ!$G$6:$G$405,$AN2892)),"時短開始日がマスタと相違／","")&amp;IF(AND($M2892&lt;&gt;"",INDEX(職員マスタ!$H$6:$H$405,$AN2892)&lt;&gt;"",$M2892&lt;&gt;INDEX(職員マスタ!$H$6:$H$405,$AN2892)),"時短終了日がマスタと相違／","")))&amp;IF(AND($B2892&lt;&gt;"",$E2892=""),"報酬額が未入力／","")&amp;IF(N($U2892)&gt;0,"申請書に入力エラーが残っています／","")&amp;IF(AND($B2892&lt;&gt;"",$AO2892&lt;&gt;""),IF(COUNTIFS($B$6:$B$3005,$B2892,$C$6:$C$3005,$C2892,$D$6:$D$3005,$D2892)&gt;1,"同じ月の請求が重複しています／",""),"")&amp;IF(AND(N($E2892)&gt;0,$Z2892&lt;&gt;"",$Z2892&lt;&gt;"×",$AC2892=0,$AB2892=""),"計算額が下限以下のため不支給／",""))</f>
        <v/>
      </c>
      <c r="AL2892" s="12" t="n"/>
      <c r="AM2892" s="14">
        <f>IF($AD2892="保留中",COUNTIF($AD$6:$AD2892,"保留中"),"")</f>
        <v/>
      </c>
      <c r="AN2892" s="14">
        <f>IF($AO2892="","",IF(SUMPRODUCT(MAX((職員マスタ!$A$6:$A$405=$B2892)*(((職員マスタ!$G$6:$G$405="")+(職員マスタ!$G$6:$G$405&lt;=EOMONTH($AO2892,0)))&gt;0)*(((職員マスタ!$H$6:$H$405="")+(職員マスタ!$H$6:$H$405&gt;=$AO2892))&gt;0)*(ROW(職員マスタ!$A$6:$A$405)-5)))&gt;0,SUMPRODUCT(MAX((職員マスタ!$A$6:$A$405=$B2892)*(((職員マスタ!$G$6:$G$405="")+(職員マスタ!$G$6:$G$405&lt;=EOMONTH($AO2892,0)))&gt;0)*(((職員マスタ!$H$6:$H$405="")+(職員マスタ!$H$6:$H$405&gt;=$AO2892))&gt;0)*(ROW(職員マスタ!$A$6:$A$405)-5))),IFERROR(MATCH($B2892,職員マスタ!$A$6:$A$405,0),"")))</f>
        <v/>
      </c>
      <c r="AO2892" s="16">
        <f>IF(OR($B2892="",$C2892="",$D2892=""),"",DATE($C2892+2018,$D2892,1))</f>
        <v/>
      </c>
    </row>
    <row r="2893">
      <c r="A2893" s="11" t="n"/>
      <c r="B2893" s="12" t="n"/>
      <c r="C2893" s="12" t="n"/>
      <c r="D2893" s="12" t="n"/>
      <c r="E2893" s="13" t="n"/>
      <c r="F2893" s="12" t="n"/>
      <c r="G2893" s="13" t="n"/>
      <c r="H2893" s="12" t="n"/>
      <c r="I2893" s="12" t="n"/>
      <c r="J2893" s="12" t="n"/>
      <c r="K2893" s="12" t="n"/>
      <c r="L2893" s="11" t="n"/>
      <c r="M2893" s="11" t="n"/>
      <c r="N2893" s="11" t="n"/>
      <c r="O2893" s="11" t="n"/>
      <c r="P2893" s="12" t="n"/>
      <c r="Q2893" s="11" t="n"/>
      <c r="R2893" s="12" t="n"/>
      <c r="S2893" s="11" t="n"/>
      <c r="T2893" s="12" t="n"/>
      <c r="U2893" s="12" t="n"/>
      <c r="V2893" s="14">
        <f>IF($AN2893="",IF($B2893="","",$H2893),IF(INDEX(職員マスタ!$B$6:$B$405,$AN2893)="",$H2893,INDEX(職員マスタ!$B$6:$B$405,$AN2893)))</f>
        <v/>
      </c>
      <c r="W2893" s="14">
        <f>IF($AN2893="",IF($B2893="","",$R2893),IF(INDEX(職員マスタ!$C$6:$C$405,$AN2893)="",$R2893,INDEX(職員マスタ!$C$6:$C$405,$AN2893)))</f>
        <v/>
      </c>
      <c r="X2893" s="14">
        <f>IF($AO2893="","","R"&amp;$C2893&amp;"."&amp;$D2893)</f>
        <v/>
      </c>
      <c r="Y2893" s="15">
        <f>IF($AN2893="","",IF(INDEX(職員マスタ!$K$6:$K$405,$AN2893)="","",INDEX(職員マスタ!$K$6:$K$405,$AN2893)))</f>
        <v/>
      </c>
      <c r="Z2893" s="14">
        <f>IF(OR($E2893="",$Y2893=""),"",IF($E2893&gt;=$Y2893,"×",IF($E2893&gt;=$Y2893*設定!$C$5,"△","○")))</f>
        <v/>
      </c>
      <c r="AA2893" s="15">
        <f>IF($Z2893="","",IF($Z2893="×",0,IF($Z2893="○",ROUNDDOWN($E2893*設定!$C$4,0),ROUNDDOWN($E2893*ROUND((9*$Y2893-9*$E2893)/(10*$E2893),4),0))))</f>
        <v/>
      </c>
      <c r="AB2893" s="13" t="n"/>
      <c r="AC2893" s="15">
        <f>IF($B2893="","",IF($AB2893&lt;&gt;"",$AB2893,IF($AA2893="","",IF($AA2893&lt;=設定!$C$3,0,$AA2893))))</f>
        <v/>
      </c>
      <c r="AD2893" s="14">
        <f>IF($B2893="","",IF(AND($AE2893&lt;&gt;"",$AG2893="",$AJ2893=""),"保留中",IF($AJ2893&lt;&gt;"",IF(N($AC2893)&gt;0,"支給済","不支給"),IF($AC2893="","要確認",IF($AC2893=0,"不支給","未処理")))))</f>
        <v/>
      </c>
      <c r="AE2893" s="12" t="n"/>
      <c r="AF2893" s="11" t="n"/>
      <c r="AG2893" s="11" t="n"/>
      <c r="AH2893" s="11" t="n"/>
      <c r="AI2893" s="14">
        <f>IF(AND($AD2893="保留中",$AF2893&lt;&gt;""),TODAY()-$AF2893,"")</f>
        <v/>
      </c>
      <c r="AJ2893" s="12" t="n"/>
      <c r="AK2893" s="14">
        <f>IF($B2893="","",IF($AO2893="","対象年月が未入力／","")&amp;IF($B2893="","",IF($AN2893="","職員マスタに未登録の職員番号／",IF($Y2893="","標準報酬月額が未登録／","")&amp;IF(AND($AO2893&lt;&gt;"",OR(AND(INDEX(職員マスタ!$G$6:$G$405,$AN2893)&lt;&gt;"",INDEX(職員マスタ!$G$6:$G$405,$AN2893)&gt;EOMONTH($AO2893,0)),AND(INDEX(職員マスタ!$H$6:$H$405,$AN2893)&lt;&gt;"",INDEX(職員マスタ!$H$6:$H$405,$AN2893)&lt;$AO2893))),"対象月が時短期間外／","")&amp;IF(AND(INDEX(職員マスタ!$F$6:$F$405,$AN2893)&lt;&gt;"",$AO2893&lt;&gt;"",INDEX(職員マスタ!$F$6:$F$405,$AN2893)&lt;$AO2893),"対象月に子が2歳到達済／","")&amp;IF(AND($H2893&lt;&gt;"",INDEX(職員マスタ!$B$6:$B$405,$AN2893)&lt;&gt;"",SUBSTITUTE(SUBSTITUTE($H2893," ","")," ","")&lt;&gt;SUBSTITUTE(SUBSTITUTE(INDEX(職員マスタ!$B$6:$B$405,$AN2893)," ","")," ","")),"氏名がマスタと相違／","")&amp;IF(AND($Q2893&lt;&gt;"",INDEX(職員マスタ!$E$6:$E$405,$AN2893)&lt;&gt;"",$Q2893&lt;&gt;INDEX(職員マスタ!$E$6:$E$405,$AN2893)),"子の生年月日がマスタと相違／","")&amp;IF(AND($L2893&lt;&gt;"",INDEX(職員マスタ!$G$6:$G$405,$AN2893)&lt;&gt;"",$L2893&lt;&gt;INDEX(職員マスタ!$G$6:$G$405,$AN2893)),"時短開始日がマスタと相違／","")&amp;IF(AND($M2893&lt;&gt;"",INDEX(職員マスタ!$H$6:$H$405,$AN2893)&lt;&gt;"",$M2893&lt;&gt;INDEX(職員マスタ!$H$6:$H$405,$AN2893)),"時短終了日がマスタと相違／","")))&amp;IF(AND($B2893&lt;&gt;"",$E2893=""),"報酬額が未入力／","")&amp;IF(N($U2893)&gt;0,"申請書に入力エラーが残っています／","")&amp;IF(AND($B2893&lt;&gt;"",$AO2893&lt;&gt;""),IF(COUNTIFS($B$6:$B$3005,$B2893,$C$6:$C$3005,$C2893,$D$6:$D$3005,$D2893)&gt;1,"同じ月の請求が重複しています／",""),"")&amp;IF(AND(N($E2893)&gt;0,$Z2893&lt;&gt;"",$Z2893&lt;&gt;"×",$AC2893=0,$AB2893=""),"計算額が下限以下のため不支給／",""))</f>
        <v/>
      </c>
      <c r="AL2893" s="12" t="n"/>
      <c r="AM2893" s="14">
        <f>IF($AD2893="保留中",COUNTIF($AD$6:$AD2893,"保留中"),"")</f>
        <v/>
      </c>
      <c r="AN2893" s="14">
        <f>IF($AO2893="","",IF(SUMPRODUCT(MAX((職員マスタ!$A$6:$A$405=$B2893)*(((職員マスタ!$G$6:$G$405="")+(職員マスタ!$G$6:$G$405&lt;=EOMONTH($AO2893,0)))&gt;0)*(((職員マスタ!$H$6:$H$405="")+(職員マスタ!$H$6:$H$405&gt;=$AO2893))&gt;0)*(ROW(職員マスタ!$A$6:$A$405)-5)))&gt;0,SUMPRODUCT(MAX((職員マスタ!$A$6:$A$405=$B2893)*(((職員マスタ!$G$6:$G$405="")+(職員マスタ!$G$6:$G$405&lt;=EOMONTH($AO2893,0)))&gt;0)*(((職員マスタ!$H$6:$H$405="")+(職員マスタ!$H$6:$H$405&gt;=$AO2893))&gt;0)*(ROW(職員マスタ!$A$6:$A$405)-5))),IFERROR(MATCH($B2893,職員マスタ!$A$6:$A$405,0),"")))</f>
        <v/>
      </c>
      <c r="AO2893" s="16">
        <f>IF(OR($B2893="",$C2893="",$D2893=""),"",DATE($C2893+2018,$D2893,1))</f>
        <v/>
      </c>
    </row>
    <row r="2894">
      <c r="A2894" s="11" t="n"/>
      <c r="B2894" s="12" t="n"/>
      <c r="C2894" s="12" t="n"/>
      <c r="D2894" s="12" t="n"/>
      <c r="E2894" s="13" t="n"/>
      <c r="F2894" s="12" t="n"/>
      <c r="G2894" s="13" t="n"/>
      <c r="H2894" s="12" t="n"/>
      <c r="I2894" s="12" t="n"/>
      <c r="J2894" s="12" t="n"/>
      <c r="K2894" s="12" t="n"/>
      <c r="L2894" s="11" t="n"/>
      <c r="M2894" s="11" t="n"/>
      <c r="N2894" s="11" t="n"/>
      <c r="O2894" s="11" t="n"/>
      <c r="P2894" s="12" t="n"/>
      <c r="Q2894" s="11" t="n"/>
      <c r="R2894" s="12" t="n"/>
      <c r="S2894" s="11" t="n"/>
      <c r="T2894" s="12" t="n"/>
      <c r="U2894" s="12" t="n"/>
      <c r="V2894" s="14">
        <f>IF($AN2894="",IF($B2894="","",$H2894),IF(INDEX(職員マスタ!$B$6:$B$405,$AN2894)="",$H2894,INDEX(職員マスタ!$B$6:$B$405,$AN2894)))</f>
        <v/>
      </c>
      <c r="W2894" s="14">
        <f>IF($AN2894="",IF($B2894="","",$R2894),IF(INDEX(職員マスタ!$C$6:$C$405,$AN2894)="",$R2894,INDEX(職員マスタ!$C$6:$C$405,$AN2894)))</f>
        <v/>
      </c>
      <c r="X2894" s="14">
        <f>IF($AO2894="","","R"&amp;$C2894&amp;"."&amp;$D2894)</f>
        <v/>
      </c>
      <c r="Y2894" s="15">
        <f>IF($AN2894="","",IF(INDEX(職員マスタ!$K$6:$K$405,$AN2894)="","",INDEX(職員マスタ!$K$6:$K$405,$AN2894)))</f>
        <v/>
      </c>
      <c r="Z2894" s="14">
        <f>IF(OR($E2894="",$Y2894=""),"",IF($E2894&gt;=$Y2894,"×",IF($E2894&gt;=$Y2894*設定!$C$5,"△","○")))</f>
        <v/>
      </c>
      <c r="AA2894" s="15">
        <f>IF($Z2894="","",IF($Z2894="×",0,IF($Z2894="○",ROUNDDOWN($E2894*設定!$C$4,0),ROUNDDOWN($E2894*ROUND((9*$Y2894-9*$E2894)/(10*$E2894),4),0))))</f>
        <v/>
      </c>
      <c r="AB2894" s="13" t="n"/>
      <c r="AC2894" s="15">
        <f>IF($B2894="","",IF($AB2894&lt;&gt;"",$AB2894,IF($AA2894="","",IF($AA2894&lt;=設定!$C$3,0,$AA2894))))</f>
        <v/>
      </c>
      <c r="AD2894" s="14">
        <f>IF($B2894="","",IF(AND($AE2894&lt;&gt;"",$AG2894="",$AJ2894=""),"保留中",IF($AJ2894&lt;&gt;"",IF(N($AC2894)&gt;0,"支給済","不支給"),IF($AC2894="","要確認",IF($AC2894=0,"不支給","未処理")))))</f>
        <v/>
      </c>
      <c r="AE2894" s="12" t="n"/>
      <c r="AF2894" s="11" t="n"/>
      <c r="AG2894" s="11" t="n"/>
      <c r="AH2894" s="11" t="n"/>
      <c r="AI2894" s="14">
        <f>IF(AND($AD2894="保留中",$AF2894&lt;&gt;""),TODAY()-$AF2894,"")</f>
        <v/>
      </c>
      <c r="AJ2894" s="12" t="n"/>
      <c r="AK2894" s="14">
        <f>IF($B2894="","",IF($AO2894="","対象年月が未入力／","")&amp;IF($B2894="","",IF($AN2894="","職員マスタに未登録の職員番号／",IF($Y2894="","標準報酬月額が未登録／","")&amp;IF(AND($AO2894&lt;&gt;"",OR(AND(INDEX(職員マスタ!$G$6:$G$405,$AN2894)&lt;&gt;"",INDEX(職員マスタ!$G$6:$G$405,$AN2894)&gt;EOMONTH($AO2894,0)),AND(INDEX(職員マスタ!$H$6:$H$405,$AN2894)&lt;&gt;"",INDEX(職員マスタ!$H$6:$H$405,$AN2894)&lt;$AO2894))),"対象月が時短期間外／","")&amp;IF(AND(INDEX(職員マスタ!$F$6:$F$405,$AN2894)&lt;&gt;"",$AO2894&lt;&gt;"",INDEX(職員マスタ!$F$6:$F$405,$AN2894)&lt;$AO2894),"対象月に子が2歳到達済／","")&amp;IF(AND($H2894&lt;&gt;"",INDEX(職員マスタ!$B$6:$B$405,$AN2894)&lt;&gt;"",SUBSTITUTE(SUBSTITUTE($H2894," ","")," ","")&lt;&gt;SUBSTITUTE(SUBSTITUTE(INDEX(職員マスタ!$B$6:$B$405,$AN2894)," ","")," ","")),"氏名がマスタと相違／","")&amp;IF(AND($Q2894&lt;&gt;"",INDEX(職員マスタ!$E$6:$E$405,$AN2894)&lt;&gt;"",$Q2894&lt;&gt;INDEX(職員マスタ!$E$6:$E$405,$AN2894)),"子の生年月日がマスタと相違／","")&amp;IF(AND($L2894&lt;&gt;"",INDEX(職員マスタ!$G$6:$G$405,$AN2894)&lt;&gt;"",$L2894&lt;&gt;INDEX(職員マスタ!$G$6:$G$405,$AN2894)),"時短開始日がマスタと相違／","")&amp;IF(AND($M2894&lt;&gt;"",INDEX(職員マスタ!$H$6:$H$405,$AN2894)&lt;&gt;"",$M2894&lt;&gt;INDEX(職員マスタ!$H$6:$H$405,$AN2894)),"時短終了日がマスタと相違／","")))&amp;IF(AND($B2894&lt;&gt;"",$E2894=""),"報酬額が未入力／","")&amp;IF(N($U2894)&gt;0,"申請書に入力エラーが残っています／","")&amp;IF(AND($B2894&lt;&gt;"",$AO2894&lt;&gt;""),IF(COUNTIFS($B$6:$B$3005,$B2894,$C$6:$C$3005,$C2894,$D$6:$D$3005,$D2894)&gt;1,"同じ月の請求が重複しています／",""),"")&amp;IF(AND(N($E2894)&gt;0,$Z2894&lt;&gt;"",$Z2894&lt;&gt;"×",$AC2894=0,$AB2894=""),"計算額が下限以下のため不支給／",""))</f>
        <v/>
      </c>
      <c r="AL2894" s="12" t="n"/>
      <c r="AM2894" s="14">
        <f>IF($AD2894="保留中",COUNTIF($AD$6:$AD2894,"保留中"),"")</f>
        <v/>
      </c>
      <c r="AN2894" s="14">
        <f>IF($AO2894="","",IF(SUMPRODUCT(MAX((職員マスタ!$A$6:$A$405=$B2894)*(((職員マスタ!$G$6:$G$405="")+(職員マスタ!$G$6:$G$405&lt;=EOMONTH($AO2894,0)))&gt;0)*(((職員マスタ!$H$6:$H$405="")+(職員マスタ!$H$6:$H$405&gt;=$AO2894))&gt;0)*(ROW(職員マスタ!$A$6:$A$405)-5)))&gt;0,SUMPRODUCT(MAX((職員マスタ!$A$6:$A$405=$B2894)*(((職員マスタ!$G$6:$G$405="")+(職員マスタ!$G$6:$G$405&lt;=EOMONTH($AO2894,0)))&gt;0)*(((職員マスタ!$H$6:$H$405="")+(職員マスタ!$H$6:$H$405&gt;=$AO2894))&gt;0)*(ROW(職員マスタ!$A$6:$A$405)-5))),IFERROR(MATCH($B2894,職員マスタ!$A$6:$A$405,0),"")))</f>
        <v/>
      </c>
      <c r="AO2894" s="16">
        <f>IF(OR($B2894="",$C2894="",$D2894=""),"",DATE($C2894+2018,$D2894,1))</f>
        <v/>
      </c>
    </row>
    <row r="2895">
      <c r="A2895" s="11" t="n"/>
      <c r="B2895" s="12" t="n"/>
      <c r="C2895" s="12" t="n"/>
      <c r="D2895" s="12" t="n"/>
      <c r="E2895" s="13" t="n"/>
      <c r="F2895" s="12" t="n"/>
      <c r="G2895" s="13" t="n"/>
      <c r="H2895" s="12" t="n"/>
      <c r="I2895" s="12" t="n"/>
      <c r="J2895" s="12" t="n"/>
      <c r="K2895" s="12" t="n"/>
      <c r="L2895" s="11" t="n"/>
      <c r="M2895" s="11" t="n"/>
      <c r="N2895" s="11" t="n"/>
      <c r="O2895" s="11" t="n"/>
      <c r="P2895" s="12" t="n"/>
      <c r="Q2895" s="11" t="n"/>
      <c r="R2895" s="12" t="n"/>
      <c r="S2895" s="11" t="n"/>
      <c r="T2895" s="12" t="n"/>
      <c r="U2895" s="12" t="n"/>
      <c r="V2895" s="14">
        <f>IF($AN2895="",IF($B2895="","",$H2895),IF(INDEX(職員マスタ!$B$6:$B$405,$AN2895)="",$H2895,INDEX(職員マスタ!$B$6:$B$405,$AN2895)))</f>
        <v/>
      </c>
      <c r="W2895" s="14">
        <f>IF($AN2895="",IF($B2895="","",$R2895),IF(INDEX(職員マスタ!$C$6:$C$405,$AN2895)="",$R2895,INDEX(職員マスタ!$C$6:$C$405,$AN2895)))</f>
        <v/>
      </c>
      <c r="X2895" s="14">
        <f>IF($AO2895="","","R"&amp;$C2895&amp;"."&amp;$D2895)</f>
        <v/>
      </c>
      <c r="Y2895" s="15">
        <f>IF($AN2895="","",IF(INDEX(職員マスタ!$K$6:$K$405,$AN2895)="","",INDEX(職員マスタ!$K$6:$K$405,$AN2895)))</f>
        <v/>
      </c>
      <c r="Z2895" s="14">
        <f>IF(OR($E2895="",$Y2895=""),"",IF($E2895&gt;=$Y2895,"×",IF($E2895&gt;=$Y2895*設定!$C$5,"△","○")))</f>
        <v/>
      </c>
      <c r="AA2895" s="15">
        <f>IF($Z2895="","",IF($Z2895="×",0,IF($Z2895="○",ROUNDDOWN($E2895*設定!$C$4,0),ROUNDDOWN($E2895*ROUND((9*$Y2895-9*$E2895)/(10*$E2895),4),0))))</f>
        <v/>
      </c>
      <c r="AB2895" s="13" t="n"/>
      <c r="AC2895" s="15">
        <f>IF($B2895="","",IF($AB2895&lt;&gt;"",$AB2895,IF($AA2895="","",IF($AA2895&lt;=設定!$C$3,0,$AA2895))))</f>
        <v/>
      </c>
      <c r="AD2895" s="14">
        <f>IF($B2895="","",IF(AND($AE2895&lt;&gt;"",$AG2895="",$AJ2895=""),"保留中",IF($AJ2895&lt;&gt;"",IF(N($AC2895)&gt;0,"支給済","不支給"),IF($AC2895="","要確認",IF($AC2895=0,"不支給","未処理")))))</f>
        <v/>
      </c>
      <c r="AE2895" s="12" t="n"/>
      <c r="AF2895" s="11" t="n"/>
      <c r="AG2895" s="11" t="n"/>
      <c r="AH2895" s="11" t="n"/>
      <c r="AI2895" s="14">
        <f>IF(AND($AD2895="保留中",$AF2895&lt;&gt;""),TODAY()-$AF2895,"")</f>
        <v/>
      </c>
      <c r="AJ2895" s="12" t="n"/>
      <c r="AK2895" s="14">
        <f>IF($B2895="","",IF($AO2895="","対象年月が未入力／","")&amp;IF($B2895="","",IF($AN2895="","職員マスタに未登録の職員番号／",IF($Y2895="","標準報酬月額が未登録／","")&amp;IF(AND($AO2895&lt;&gt;"",OR(AND(INDEX(職員マスタ!$G$6:$G$405,$AN2895)&lt;&gt;"",INDEX(職員マスタ!$G$6:$G$405,$AN2895)&gt;EOMONTH($AO2895,0)),AND(INDEX(職員マスタ!$H$6:$H$405,$AN2895)&lt;&gt;"",INDEX(職員マスタ!$H$6:$H$405,$AN2895)&lt;$AO2895))),"対象月が時短期間外／","")&amp;IF(AND(INDEX(職員マスタ!$F$6:$F$405,$AN2895)&lt;&gt;"",$AO2895&lt;&gt;"",INDEX(職員マスタ!$F$6:$F$405,$AN2895)&lt;$AO2895),"対象月に子が2歳到達済／","")&amp;IF(AND($H2895&lt;&gt;"",INDEX(職員マスタ!$B$6:$B$405,$AN2895)&lt;&gt;"",SUBSTITUTE(SUBSTITUTE($H2895," ","")," ","")&lt;&gt;SUBSTITUTE(SUBSTITUTE(INDEX(職員マスタ!$B$6:$B$405,$AN2895)," ","")," ","")),"氏名がマスタと相違／","")&amp;IF(AND($Q2895&lt;&gt;"",INDEX(職員マスタ!$E$6:$E$405,$AN2895)&lt;&gt;"",$Q2895&lt;&gt;INDEX(職員マスタ!$E$6:$E$405,$AN2895)),"子の生年月日がマスタと相違／","")&amp;IF(AND($L2895&lt;&gt;"",INDEX(職員マスタ!$G$6:$G$405,$AN2895)&lt;&gt;"",$L2895&lt;&gt;INDEX(職員マスタ!$G$6:$G$405,$AN2895)),"時短開始日がマスタと相違／","")&amp;IF(AND($M2895&lt;&gt;"",INDEX(職員マスタ!$H$6:$H$405,$AN2895)&lt;&gt;"",$M2895&lt;&gt;INDEX(職員マスタ!$H$6:$H$405,$AN2895)),"時短終了日がマスタと相違／","")))&amp;IF(AND($B2895&lt;&gt;"",$E2895=""),"報酬額が未入力／","")&amp;IF(N($U2895)&gt;0,"申請書に入力エラーが残っています／","")&amp;IF(AND($B2895&lt;&gt;"",$AO2895&lt;&gt;""),IF(COUNTIFS($B$6:$B$3005,$B2895,$C$6:$C$3005,$C2895,$D$6:$D$3005,$D2895)&gt;1,"同じ月の請求が重複しています／",""),"")&amp;IF(AND(N($E2895)&gt;0,$Z2895&lt;&gt;"",$Z2895&lt;&gt;"×",$AC2895=0,$AB2895=""),"計算額が下限以下のため不支給／",""))</f>
        <v/>
      </c>
      <c r="AL2895" s="12" t="n"/>
      <c r="AM2895" s="14">
        <f>IF($AD2895="保留中",COUNTIF($AD$6:$AD2895,"保留中"),"")</f>
        <v/>
      </c>
      <c r="AN2895" s="14">
        <f>IF($AO2895="","",IF(SUMPRODUCT(MAX((職員マスタ!$A$6:$A$405=$B2895)*(((職員マスタ!$G$6:$G$405="")+(職員マスタ!$G$6:$G$405&lt;=EOMONTH($AO2895,0)))&gt;0)*(((職員マスタ!$H$6:$H$405="")+(職員マスタ!$H$6:$H$405&gt;=$AO2895))&gt;0)*(ROW(職員マスタ!$A$6:$A$405)-5)))&gt;0,SUMPRODUCT(MAX((職員マスタ!$A$6:$A$405=$B2895)*(((職員マスタ!$G$6:$G$405="")+(職員マスタ!$G$6:$G$405&lt;=EOMONTH($AO2895,0)))&gt;0)*(((職員マスタ!$H$6:$H$405="")+(職員マスタ!$H$6:$H$405&gt;=$AO2895))&gt;0)*(ROW(職員マスタ!$A$6:$A$405)-5))),IFERROR(MATCH($B2895,職員マスタ!$A$6:$A$405,0),"")))</f>
        <v/>
      </c>
      <c r="AO2895" s="16">
        <f>IF(OR($B2895="",$C2895="",$D2895=""),"",DATE($C2895+2018,$D2895,1))</f>
        <v/>
      </c>
    </row>
    <row r="2896">
      <c r="A2896" s="11" t="n"/>
      <c r="B2896" s="12" t="n"/>
      <c r="C2896" s="12" t="n"/>
      <c r="D2896" s="12" t="n"/>
      <c r="E2896" s="13" t="n"/>
      <c r="F2896" s="12" t="n"/>
      <c r="G2896" s="13" t="n"/>
      <c r="H2896" s="12" t="n"/>
      <c r="I2896" s="12" t="n"/>
      <c r="J2896" s="12" t="n"/>
      <c r="K2896" s="12" t="n"/>
      <c r="L2896" s="11" t="n"/>
      <c r="M2896" s="11" t="n"/>
      <c r="N2896" s="11" t="n"/>
      <c r="O2896" s="11" t="n"/>
      <c r="P2896" s="12" t="n"/>
      <c r="Q2896" s="11" t="n"/>
      <c r="R2896" s="12" t="n"/>
      <c r="S2896" s="11" t="n"/>
      <c r="T2896" s="12" t="n"/>
      <c r="U2896" s="12" t="n"/>
      <c r="V2896" s="14">
        <f>IF($AN2896="",IF($B2896="","",$H2896),IF(INDEX(職員マスタ!$B$6:$B$405,$AN2896)="",$H2896,INDEX(職員マスタ!$B$6:$B$405,$AN2896)))</f>
        <v/>
      </c>
      <c r="W2896" s="14">
        <f>IF($AN2896="",IF($B2896="","",$R2896),IF(INDEX(職員マスタ!$C$6:$C$405,$AN2896)="",$R2896,INDEX(職員マスタ!$C$6:$C$405,$AN2896)))</f>
        <v/>
      </c>
      <c r="X2896" s="14">
        <f>IF($AO2896="","","R"&amp;$C2896&amp;"."&amp;$D2896)</f>
        <v/>
      </c>
      <c r="Y2896" s="15">
        <f>IF($AN2896="","",IF(INDEX(職員マスタ!$K$6:$K$405,$AN2896)="","",INDEX(職員マスタ!$K$6:$K$405,$AN2896)))</f>
        <v/>
      </c>
      <c r="Z2896" s="14">
        <f>IF(OR($E2896="",$Y2896=""),"",IF($E2896&gt;=$Y2896,"×",IF($E2896&gt;=$Y2896*設定!$C$5,"△","○")))</f>
        <v/>
      </c>
      <c r="AA2896" s="15">
        <f>IF($Z2896="","",IF($Z2896="×",0,IF($Z2896="○",ROUNDDOWN($E2896*設定!$C$4,0),ROUNDDOWN($E2896*ROUND((9*$Y2896-9*$E2896)/(10*$E2896),4),0))))</f>
        <v/>
      </c>
      <c r="AB2896" s="13" t="n"/>
      <c r="AC2896" s="15">
        <f>IF($B2896="","",IF($AB2896&lt;&gt;"",$AB2896,IF($AA2896="","",IF($AA2896&lt;=設定!$C$3,0,$AA2896))))</f>
        <v/>
      </c>
      <c r="AD2896" s="14">
        <f>IF($B2896="","",IF(AND($AE2896&lt;&gt;"",$AG2896="",$AJ2896=""),"保留中",IF($AJ2896&lt;&gt;"",IF(N($AC2896)&gt;0,"支給済","不支給"),IF($AC2896="","要確認",IF($AC2896=0,"不支給","未処理")))))</f>
        <v/>
      </c>
      <c r="AE2896" s="12" t="n"/>
      <c r="AF2896" s="11" t="n"/>
      <c r="AG2896" s="11" t="n"/>
      <c r="AH2896" s="11" t="n"/>
      <c r="AI2896" s="14">
        <f>IF(AND($AD2896="保留中",$AF2896&lt;&gt;""),TODAY()-$AF2896,"")</f>
        <v/>
      </c>
      <c r="AJ2896" s="12" t="n"/>
      <c r="AK2896" s="14">
        <f>IF($B2896="","",IF($AO2896="","対象年月が未入力／","")&amp;IF($B2896="","",IF($AN2896="","職員マスタに未登録の職員番号／",IF($Y2896="","標準報酬月額が未登録／","")&amp;IF(AND($AO2896&lt;&gt;"",OR(AND(INDEX(職員マスタ!$G$6:$G$405,$AN2896)&lt;&gt;"",INDEX(職員マスタ!$G$6:$G$405,$AN2896)&gt;EOMONTH($AO2896,0)),AND(INDEX(職員マスタ!$H$6:$H$405,$AN2896)&lt;&gt;"",INDEX(職員マスタ!$H$6:$H$405,$AN2896)&lt;$AO2896))),"対象月が時短期間外／","")&amp;IF(AND(INDEX(職員マスタ!$F$6:$F$405,$AN2896)&lt;&gt;"",$AO2896&lt;&gt;"",INDEX(職員マスタ!$F$6:$F$405,$AN2896)&lt;$AO2896),"対象月に子が2歳到達済／","")&amp;IF(AND($H2896&lt;&gt;"",INDEX(職員マスタ!$B$6:$B$405,$AN2896)&lt;&gt;"",SUBSTITUTE(SUBSTITUTE($H2896," ","")," ","")&lt;&gt;SUBSTITUTE(SUBSTITUTE(INDEX(職員マスタ!$B$6:$B$405,$AN2896)," ","")," ","")),"氏名がマスタと相違／","")&amp;IF(AND($Q2896&lt;&gt;"",INDEX(職員マスタ!$E$6:$E$405,$AN2896)&lt;&gt;"",$Q2896&lt;&gt;INDEX(職員マスタ!$E$6:$E$405,$AN2896)),"子の生年月日がマスタと相違／","")&amp;IF(AND($L2896&lt;&gt;"",INDEX(職員マスタ!$G$6:$G$405,$AN2896)&lt;&gt;"",$L2896&lt;&gt;INDEX(職員マスタ!$G$6:$G$405,$AN2896)),"時短開始日がマスタと相違／","")&amp;IF(AND($M2896&lt;&gt;"",INDEX(職員マスタ!$H$6:$H$405,$AN2896)&lt;&gt;"",$M2896&lt;&gt;INDEX(職員マスタ!$H$6:$H$405,$AN2896)),"時短終了日がマスタと相違／","")))&amp;IF(AND($B2896&lt;&gt;"",$E2896=""),"報酬額が未入力／","")&amp;IF(N($U2896)&gt;0,"申請書に入力エラーが残っています／","")&amp;IF(AND($B2896&lt;&gt;"",$AO2896&lt;&gt;""),IF(COUNTIFS($B$6:$B$3005,$B2896,$C$6:$C$3005,$C2896,$D$6:$D$3005,$D2896)&gt;1,"同じ月の請求が重複しています／",""),"")&amp;IF(AND(N($E2896)&gt;0,$Z2896&lt;&gt;"",$Z2896&lt;&gt;"×",$AC2896=0,$AB2896=""),"計算額が下限以下のため不支給／",""))</f>
        <v/>
      </c>
      <c r="AL2896" s="12" t="n"/>
      <c r="AM2896" s="14">
        <f>IF($AD2896="保留中",COUNTIF($AD$6:$AD2896,"保留中"),"")</f>
        <v/>
      </c>
      <c r="AN2896" s="14">
        <f>IF($AO2896="","",IF(SUMPRODUCT(MAX((職員マスタ!$A$6:$A$405=$B2896)*(((職員マスタ!$G$6:$G$405="")+(職員マスタ!$G$6:$G$405&lt;=EOMONTH($AO2896,0)))&gt;0)*(((職員マスタ!$H$6:$H$405="")+(職員マスタ!$H$6:$H$405&gt;=$AO2896))&gt;0)*(ROW(職員マスタ!$A$6:$A$405)-5)))&gt;0,SUMPRODUCT(MAX((職員マスタ!$A$6:$A$405=$B2896)*(((職員マスタ!$G$6:$G$405="")+(職員マスタ!$G$6:$G$405&lt;=EOMONTH($AO2896,0)))&gt;0)*(((職員マスタ!$H$6:$H$405="")+(職員マスタ!$H$6:$H$405&gt;=$AO2896))&gt;0)*(ROW(職員マスタ!$A$6:$A$405)-5))),IFERROR(MATCH($B2896,職員マスタ!$A$6:$A$405,0),"")))</f>
        <v/>
      </c>
      <c r="AO2896" s="16">
        <f>IF(OR($B2896="",$C2896="",$D2896=""),"",DATE($C2896+2018,$D2896,1))</f>
        <v/>
      </c>
    </row>
    <row r="2897">
      <c r="A2897" s="11" t="n"/>
      <c r="B2897" s="12" t="n"/>
      <c r="C2897" s="12" t="n"/>
      <c r="D2897" s="12" t="n"/>
      <c r="E2897" s="13" t="n"/>
      <c r="F2897" s="12" t="n"/>
      <c r="G2897" s="13" t="n"/>
      <c r="H2897" s="12" t="n"/>
      <c r="I2897" s="12" t="n"/>
      <c r="J2897" s="12" t="n"/>
      <c r="K2897" s="12" t="n"/>
      <c r="L2897" s="11" t="n"/>
      <c r="M2897" s="11" t="n"/>
      <c r="N2897" s="11" t="n"/>
      <c r="O2897" s="11" t="n"/>
      <c r="P2897" s="12" t="n"/>
      <c r="Q2897" s="11" t="n"/>
      <c r="R2897" s="12" t="n"/>
      <c r="S2897" s="11" t="n"/>
      <c r="T2897" s="12" t="n"/>
      <c r="U2897" s="12" t="n"/>
      <c r="V2897" s="14">
        <f>IF($AN2897="",IF($B2897="","",$H2897),IF(INDEX(職員マスタ!$B$6:$B$405,$AN2897)="",$H2897,INDEX(職員マスタ!$B$6:$B$405,$AN2897)))</f>
        <v/>
      </c>
      <c r="W2897" s="14">
        <f>IF($AN2897="",IF($B2897="","",$R2897),IF(INDEX(職員マスタ!$C$6:$C$405,$AN2897)="",$R2897,INDEX(職員マスタ!$C$6:$C$405,$AN2897)))</f>
        <v/>
      </c>
      <c r="X2897" s="14">
        <f>IF($AO2897="","","R"&amp;$C2897&amp;"."&amp;$D2897)</f>
        <v/>
      </c>
      <c r="Y2897" s="15">
        <f>IF($AN2897="","",IF(INDEX(職員マスタ!$K$6:$K$405,$AN2897)="","",INDEX(職員マスタ!$K$6:$K$405,$AN2897)))</f>
        <v/>
      </c>
      <c r="Z2897" s="14">
        <f>IF(OR($E2897="",$Y2897=""),"",IF($E2897&gt;=$Y2897,"×",IF($E2897&gt;=$Y2897*設定!$C$5,"△","○")))</f>
        <v/>
      </c>
      <c r="AA2897" s="15">
        <f>IF($Z2897="","",IF($Z2897="×",0,IF($Z2897="○",ROUNDDOWN($E2897*設定!$C$4,0),ROUNDDOWN($E2897*ROUND((9*$Y2897-9*$E2897)/(10*$E2897),4),0))))</f>
        <v/>
      </c>
      <c r="AB2897" s="13" t="n"/>
      <c r="AC2897" s="15">
        <f>IF($B2897="","",IF($AB2897&lt;&gt;"",$AB2897,IF($AA2897="","",IF($AA2897&lt;=設定!$C$3,0,$AA2897))))</f>
        <v/>
      </c>
      <c r="AD2897" s="14">
        <f>IF($B2897="","",IF(AND($AE2897&lt;&gt;"",$AG2897="",$AJ2897=""),"保留中",IF($AJ2897&lt;&gt;"",IF(N($AC2897)&gt;0,"支給済","不支給"),IF($AC2897="","要確認",IF($AC2897=0,"不支給","未処理")))))</f>
        <v/>
      </c>
      <c r="AE2897" s="12" t="n"/>
      <c r="AF2897" s="11" t="n"/>
      <c r="AG2897" s="11" t="n"/>
      <c r="AH2897" s="11" t="n"/>
      <c r="AI2897" s="14">
        <f>IF(AND($AD2897="保留中",$AF2897&lt;&gt;""),TODAY()-$AF2897,"")</f>
        <v/>
      </c>
      <c r="AJ2897" s="12" t="n"/>
      <c r="AK2897" s="14">
        <f>IF($B2897="","",IF($AO2897="","対象年月が未入力／","")&amp;IF($B2897="","",IF($AN2897="","職員マスタに未登録の職員番号／",IF($Y2897="","標準報酬月額が未登録／","")&amp;IF(AND($AO2897&lt;&gt;"",OR(AND(INDEX(職員マスタ!$G$6:$G$405,$AN2897)&lt;&gt;"",INDEX(職員マスタ!$G$6:$G$405,$AN2897)&gt;EOMONTH($AO2897,0)),AND(INDEX(職員マスタ!$H$6:$H$405,$AN2897)&lt;&gt;"",INDEX(職員マスタ!$H$6:$H$405,$AN2897)&lt;$AO2897))),"対象月が時短期間外／","")&amp;IF(AND(INDEX(職員マスタ!$F$6:$F$405,$AN2897)&lt;&gt;"",$AO2897&lt;&gt;"",INDEX(職員マスタ!$F$6:$F$405,$AN2897)&lt;$AO2897),"対象月に子が2歳到達済／","")&amp;IF(AND($H2897&lt;&gt;"",INDEX(職員マスタ!$B$6:$B$405,$AN2897)&lt;&gt;"",SUBSTITUTE(SUBSTITUTE($H2897," ","")," ","")&lt;&gt;SUBSTITUTE(SUBSTITUTE(INDEX(職員マスタ!$B$6:$B$405,$AN2897)," ","")," ","")),"氏名がマスタと相違／","")&amp;IF(AND($Q2897&lt;&gt;"",INDEX(職員マスタ!$E$6:$E$405,$AN2897)&lt;&gt;"",$Q2897&lt;&gt;INDEX(職員マスタ!$E$6:$E$405,$AN2897)),"子の生年月日がマスタと相違／","")&amp;IF(AND($L2897&lt;&gt;"",INDEX(職員マスタ!$G$6:$G$405,$AN2897)&lt;&gt;"",$L2897&lt;&gt;INDEX(職員マスタ!$G$6:$G$405,$AN2897)),"時短開始日がマスタと相違／","")&amp;IF(AND($M2897&lt;&gt;"",INDEX(職員マスタ!$H$6:$H$405,$AN2897)&lt;&gt;"",$M2897&lt;&gt;INDEX(職員マスタ!$H$6:$H$405,$AN2897)),"時短終了日がマスタと相違／","")))&amp;IF(AND($B2897&lt;&gt;"",$E2897=""),"報酬額が未入力／","")&amp;IF(N($U2897)&gt;0,"申請書に入力エラーが残っています／","")&amp;IF(AND($B2897&lt;&gt;"",$AO2897&lt;&gt;""),IF(COUNTIFS($B$6:$B$3005,$B2897,$C$6:$C$3005,$C2897,$D$6:$D$3005,$D2897)&gt;1,"同じ月の請求が重複しています／",""),"")&amp;IF(AND(N($E2897)&gt;0,$Z2897&lt;&gt;"",$Z2897&lt;&gt;"×",$AC2897=0,$AB2897=""),"計算額が下限以下のため不支給／",""))</f>
        <v/>
      </c>
      <c r="AL2897" s="12" t="n"/>
      <c r="AM2897" s="14">
        <f>IF($AD2897="保留中",COUNTIF($AD$6:$AD2897,"保留中"),"")</f>
        <v/>
      </c>
      <c r="AN2897" s="14">
        <f>IF($AO2897="","",IF(SUMPRODUCT(MAX((職員マスタ!$A$6:$A$405=$B2897)*(((職員マスタ!$G$6:$G$405="")+(職員マスタ!$G$6:$G$405&lt;=EOMONTH($AO2897,0)))&gt;0)*(((職員マスタ!$H$6:$H$405="")+(職員マスタ!$H$6:$H$405&gt;=$AO2897))&gt;0)*(ROW(職員マスタ!$A$6:$A$405)-5)))&gt;0,SUMPRODUCT(MAX((職員マスタ!$A$6:$A$405=$B2897)*(((職員マスタ!$G$6:$G$405="")+(職員マスタ!$G$6:$G$405&lt;=EOMONTH($AO2897,0)))&gt;0)*(((職員マスタ!$H$6:$H$405="")+(職員マスタ!$H$6:$H$405&gt;=$AO2897))&gt;0)*(ROW(職員マスタ!$A$6:$A$405)-5))),IFERROR(MATCH($B2897,職員マスタ!$A$6:$A$405,0),"")))</f>
        <v/>
      </c>
      <c r="AO2897" s="16">
        <f>IF(OR($B2897="",$C2897="",$D2897=""),"",DATE($C2897+2018,$D2897,1))</f>
        <v/>
      </c>
    </row>
    <row r="2898">
      <c r="A2898" s="11" t="n"/>
      <c r="B2898" s="12" t="n"/>
      <c r="C2898" s="12" t="n"/>
      <c r="D2898" s="12" t="n"/>
      <c r="E2898" s="13" t="n"/>
      <c r="F2898" s="12" t="n"/>
      <c r="G2898" s="13" t="n"/>
      <c r="H2898" s="12" t="n"/>
      <c r="I2898" s="12" t="n"/>
      <c r="J2898" s="12" t="n"/>
      <c r="K2898" s="12" t="n"/>
      <c r="L2898" s="11" t="n"/>
      <c r="M2898" s="11" t="n"/>
      <c r="N2898" s="11" t="n"/>
      <c r="O2898" s="11" t="n"/>
      <c r="P2898" s="12" t="n"/>
      <c r="Q2898" s="11" t="n"/>
      <c r="R2898" s="12" t="n"/>
      <c r="S2898" s="11" t="n"/>
      <c r="T2898" s="12" t="n"/>
      <c r="U2898" s="12" t="n"/>
      <c r="V2898" s="14">
        <f>IF($AN2898="",IF($B2898="","",$H2898),IF(INDEX(職員マスタ!$B$6:$B$405,$AN2898)="",$H2898,INDEX(職員マスタ!$B$6:$B$405,$AN2898)))</f>
        <v/>
      </c>
      <c r="W2898" s="14">
        <f>IF($AN2898="",IF($B2898="","",$R2898),IF(INDEX(職員マスタ!$C$6:$C$405,$AN2898)="",$R2898,INDEX(職員マスタ!$C$6:$C$405,$AN2898)))</f>
        <v/>
      </c>
      <c r="X2898" s="14">
        <f>IF($AO2898="","","R"&amp;$C2898&amp;"."&amp;$D2898)</f>
        <v/>
      </c>
      <c r="Y2898" s="15">
        <f>IF($AN2898="","",IF(INDEX(職員マスタ!$K$6:$K$405,$AN2898)="","",INDEX(職員マスタ!$K$6:$K$405,$AN2898)))</f>
        <v/>
      </c>
      <c r="Z2898" s="14">
        <f>IF(OR($E2898="",$Y2898=""),"",IF($E2898&gt;=$Y2898,"×",IF($E2898&gt;=$Y2898*設定!$C$5,"△","○")))</f>
        <v/>
      </c>
      <c r="AA2898" s="15">
        <f>IF($Z2898="","",IF($Z2898="×",0,IF($Z2898="○",ROUNDDOWN($E2898*設定!$C$4,0),ROUNDDOWN($E2898*ROUND((9*$Y2898-9*$E2898)/(10*$E2898),4),0))))</f>
        <v/>
      </c>
      <c r="AB2898" s="13" t="n"/>
      <c r="AC2898" s="15">
        <f>IF($B2898="","",IF($AB2898&lt;&gt;"",$AB2898,IF($AA2898="","",IF($AA2898&lt;=設定!$C$3,0,$AA2898))))</f>
        <v/>
      </c>
      <c r="AD2898" s="14">
        <f>IF($B2898="","",IF(AND($AE2898&lt;&gt;"",$AG2898="",$AJ2898=""),"保留中",IF($AJ2898&lt;&gt;"",IF(N($AC2898)&gt;0,"支給済","不支給"),IF($AC2898="","要確認",IF($AC2898=0,"不支給","未処理")))))</f>
        <v/>
      </c>
      <c r="AE2898" s="12" t="n"/>
      <c r="AF2898" s="11" t="n"/>
      <c r="AG2898" s="11" t="n"/>
      <c r="AH2898" s="11" t="n"/>
      <c r="AI2898" s="14">
        <f>IF(AND($AD2898="保留中",$AF2898&lt;&gt;""),TODAY()-$AF2898,"")</f>
        <v/>
      </c>
      <c r="AJ2898" s="12" t="n"/>
      <c r="AK2898" s="14">
        <f>IF($B2898="","",IF($AO2898="","対象年月が未入力／","")&amp;IF($B2898="","",IF($AN2898="","職員マスタに未登録の職員番号／",IF($Y2898="","標準報酬月額が未登録／","")&amp;IF(AND($AO2898&lt;&gt;"",OR(AND(INDEX(職員マスタ!$G$6:$G$405,$AN2898)&lt;&gt;"",INDEX(職員マスタ!$G$6:$G$405,$AN2898)&gt;EOMONTH($AO2898,0)),AND(INDEX(職員マスタ!$H$6:$H$405,$AN2898)&lt;&gt;"",INDEX(職員マスタ!$H$6:$H$405,$AN2898)&lt;$AO2898))),"対象月が時短期間外／","")&amp;IF(AND(INDEX(職員マスタ!$F$6:$F$405,$AN2898)&lt;&gt;"",$AO2898&lt;&gt;"",INDEX(職員マスタ!$F$6:$F$405,$AN2898)&lt;$AO2898),"対象月に子が2歳到達済／","")&amp;IF(AND($H2898&lt;&gt;"",INDEX(職員マスタ!$B$6:$B$405,$AN2898)&lt;&gt;"",SUBSTITUTE(SUBSTITUTE($H2898," ","")," ","")&lt;&gt;SUBSTITUTE(SUBSTITUTE(INDEX(職員マスタ!$B$6:$B$405,$AN2898)," ","")," ","")),"氏名がマスタと相違／","")&amp;IF(AND($Q2898&lt;&gt;"",INDEX(職員マスタ!$E$6:$E$405,$AN2898)&lt;&gt;"",$Q2898&lt;&gt;INDEX(職員マスタ!$E$6:$E$405,$AN2898)),"子の生年月日がマスタと相違／","")&amp;IF(AND($L2898&lt;&gt;"",INDEX(職員マスタ!$G$6:$G$405,$AN2898)&lt;&gt;"",$L2898&lt;&gt;INDEX(職員マスタ!$G$6:$G$405,$AN2898)),"時短開始日がマスタと相違／","")&amp;IF(AND($M2898&lt;&gt;"",INDEX(職員マスタ!$H$6:$H$405,$AN2898)&lt;&gt;"",$M2898&lt;&gt;INDEX(職員マスタ!$H$6:$H$405,$AN2898)),"時短終了日がマスタと相違／","")))&amp;IF(AND($B2898&lt;&gt;"",$E2898=""),"報酬額が未入力／","")&amp;IF(N($U2898)&gt;0,"申請書に入力エラーが残っています／","")&amp;IF(AND($B2898&lt;&gt;"",$AO2898&lt;&gt;""),IF(COUNTIFS($B$6:$B$3005,$B2898,$C$6:$C$3005,$C2898,$D$6:$D$3005,$D2898)&gt;1,"同じ月の請求が重複しています／",""),"")&amp;IF(AND(N($E2898)&gt;0,$Z2898&lt;&gt;"",$Z2898&lt;&gt;"×",$AC2898=0,$AB2898=""),"計算額が下限以下のため不支給／",""))</f>
        <v/>
      </c>
      <c r="AL2898" s="12" t="n"/>
      <c r="AM2898" s="14">
        <f>IF($AD2898="保留中",COUNTIF($AD$6:$AD2898,"保留中"),"")</f>
        <v/>
      </c>
      <c r="AN2898" s="14">
        <f>IF($AO2898="","",IF(SUMPRODUCT(MAX((職員マスタ!$A$6:$A$405=$B2898)*(((職員マスタ!$G$6:$G$405="")+(職員マスタ!$G$6:$G$405&lt;=EOMONTH($AO2898,0)))&gt;0)*(((職員マスタ!$H$6:$H$405="")+(職員マスタ!$H$6:$H$405&gt;=$AO2898))&gt;0)*(ROW(職員マスタ!$A$6:$A$405)-5)))&gt;0,SUMPRODUCT(MAX((職員マスタ!$A$6:$A$405=$B2898)*(((職員マスタ!$G$6:$G$405="")+(職員マスタ!$G$6:$G$405&lt;=EOMONTH($AO2898,0)))&gt;0)*(((職員マスタ!$H$6:$H$405="")+(職員マスタ!$H$6:$H$405&gt;=$AO2898))&gt;0)*(ROW(職員マスタ!$A$6:$A$405)-5))),IFERROR(MATCH($B2898,職員マスタ!$A$6:$A$405,0),"")))</f>
        <v/>
      </c>
      <c r="AO2898" s="16">
        <f>IF(OR($B2898="",$C2898="",$D2898=""),"",DATE($C2898+2018,$D2898,1))</f>
        <v/>
      </c>
    </row>
    <row r="2899">
      <c r="A2899" s="11" t="n"/>
      <c r="B2899" s="12" t="n"/>
      <c r="C2899" s="12" t="n"/>
      <c r="D2899" s="12" t="n"/>
      <c r="E2899" s="13" t="n"/>
      <c r="F2899" s="12" t="n"/>
      <c r="G2899" s="13" t="n"/>
      <c r="H2899" s="12" t="n"/>
      <c r="I2899" s="12" t="n"/>
      <c r="J2899" s="12" t="n"/>
      <c r="K2899" s="12" t="n"/>
      <c r="L2899" s="11" t="n"/>
      <c r="M2899" s="11" t="n"/>
      <c r="N2899" s="11" t="n"/>
      <c r="O2899" s="11" t="n"/>
      <c r="P2899" s="12" t="n"/>
      <c r="Q2899" s="11" t="n"/>
      <c r="R2899" s="12" t="n"/>
      <c r="S2899" s="11" t="n"/>
      <c r="T2899" s="12" t="n"/>
      <c r="U2899" s="12" t="n"/>
      <c r="V2899" s="14">
        <f>IF($AN2899="",IF($B2899="","",$H2899),IF(INDEX(職員マスタ!$B$6:$B$405,$AN2899)="",$H2899,INDEX(職員マスタ!$B$6:$B$405,$AN2899)))</f>
        <v/>
      </c>
      <c r="W2899" s="14">
        <f>IF($AN2899="",IF($B2899="","",$R2899),IF(INDEX(職員マスタ!$C$6:$C$405,$AN2899)="",$R2899,INDEX(職員マスタ!$C$6:$C$405,$AN2899)))</f>
        <v/>
      </c>
      <c r="X2899" s="14">
        <f>IF($AO2899="","","R"&amp;$C2899&amp;"."&amp;$D2899)</f>
        <v/>
      </c>
      <c r="Y2899" s="15">
        <f>IF($AN2899="","",IF(INDEX(職員マスタ!$K$6:$K$405,$AN2899)="","",INDEX(職員マスタ!$K$6:$K$405,$AN2899)))</f>
        <v/>
      </c>
      <c r="Z2899" s="14">
        <f>IF(OR($E2899="",$Y2899=""),"",IF($E2899&gt;=$Y2899,"×",IF($E2899&gt;=$Y2899*設定!$C$5,"△","○")))</f>
        <v/>
      </c>
      <c r="AA2899" s="15">
        <f>IF($Z2899="","",IF($Z2899="×",0,IF($Z2899="○",ROUNDDOWN($E2899*設定!$C$4,0),ROUNDDOWN($E2899*ROUND((9*$Y2899-9*$E2899)/(10*$E2899),4),0))))</f>
        <v/>
      </c>
      <c r="AB2899" s="13" t="n"/>
      <c r="AC2899" s="15">
        <f>IF($B2899="","",IF($AB2899&lt;&gt;"",$AB2899,IF($AA2899="","",IF($AA2899&lt;=設定!$C$3,0,$AA2899))))</f>
        <v/>
      </c>
      <c r="AD2899" s="14">
        <f>IF($B2899="","",IF(AND($AE2899&lt;&gt;"",$AG2899="",$AJ2899=""),"保留中",IF($AJ2899&lt;&gt;"",IF(N($AC2899)&gt;0,"支給済","不支給"),IF($AC2899="","要確認",IF($AC2899=0,"不支給","未処理")))))</f>
        <v/>
      </c>
      <c r="AE2899" s="12" t="n"/>
      <c r="AF2899" s="11" t="n"/>
      <c r="AG2899" s="11" t="n"/>
      <c r="AH2899" s="11" t="n"/>
      <c r="AI2899" s="14">
        <f>IF(AND($AD2899="保留中",$AF2899&lt;&gt;""),TODAY()-$AF2899,"")</f>
        <v/>
      </c>
      <c r="AJ2899" s="12" t="n"/>
      <c r="AK2899" s="14">
        <f>IF($B2899="","",IF($AO2899="","対象年月が未入力／","")&amp;IF($B2899="","",IF($AN2899="","職員マスタに未登録の職員番号／",IF($Y2899="","標準報酬月額が未登録／","")&amp;IF(AND($AO2899&lt;&gt;"",OR(AND(INDEX(職員マスタ!$G$6:$G$405,$AN2899)&lt;&gt;"",INDEX(職員マスタ!$G$6:$G$405,$AN2899)&gt;EOMONTH($AO2899,0)),AND(INDEX(職員マスタ!$H$6:$H$405,$AN2899)&lt;&gt;"",INDEX(職員マスタ!$H$6:$H$405,$AN2899)&lt;$AO2899))),"対象月が時短期間外／","")&amp;IF(AND(INDEX(職員マスタ!$F$6:$F$405,$AN2899)&lt;&gt;"",$AO2899&lt;&gt;"",INDEX(職員マスタ!$F$6:$F$405,$AN2899)&lt;$AO2899),"対象月に子が2歳到達済／","")&amp;IF(AND($H2899&lt;&gt;"",INDEX(職員マスタ!$B$6:$B$405,$AN2899)&lt;&gt;"",SUBSTITUTE(SUBSTITUTE($H2899," ","")," ","")&lt;&gt;SUBSTITUTE(SUBSTITUTE(INDEX(職員マスタ!$B$6:$B$405,$AN2899)," ","")," ","")),"氏名がマスタと相違／","")&amp;IF(AND($Q2899&lt;&gt;"",INDEX(職員マスタ!$E$6:$E$405,$AN2899)&lt;&gt;"",$Q2899&lt;&gt;INDEX(職員マスタ!$E$6:$E$405,$AN2899)),"子の生年月日がマスタと相違／","")&amp;IF(AND($L2899&lt;&gt;"",INDEX(職員マスタ!$G$6:$G$405,$AN2899)&lt;&gt;"",$L2899&lt;&gt;INDEX(職員マスタ!$G$6:$G$405,$AN2899)),"時短開始日がマスタと相違／","")&amp;IF(AND($M2899&lt;&gt;"",INDEX(職員マスタ!$H$6:$H$405,$AN2899)&lt;&gt;"",$M2899&lt;&gt;INDEX(職員マスタ!$H$6:$H$405,$AN2899)),"時短終了日がマスタと相違／","")))&amp;IF(AND($B2899&lt;&gt;"",$E2899=""),"報酬額が未入力／","")&amp;IF(N($U2899)&gt;0,"申請書に入力エラーが残っています／","")&amp;IF(AND($B2899&lt;&gt;"",$AO2899&lt;&gt;""),IF(COUNTIFS($B$6:$B$3005,$B2899,$C$6:$C$3005,$C2899,$D$6:$D$3005,$D2899)&gt;1,"同じ月の請求が重複しています／",""),"")&amp;IF(AND(N($E2899)&gt;0,$Z2899&lt;&gt;"",$Z2899&lt;&gt;"×",$AC2899=0,$AB2899=""),"計算額が下限以下のため不支給／",""))</f>
        <v/>
      </c>
      <c r="AL2899" s="12" t="n"/>
      <c r="AM2899" s="14">
        <f>IF($AD2899="保留中",COUNTIF($AD$6:$AD2899,"保留中"),"")</f>
        <v/>
      </c>
      <c r="AN2899" s="14">
        <f>IF($AO2899="","",IF(SUMPRODUCT(MAX((職員マスタ!$A$6:$A$405=$B2899)*(((職員マスタ!$G$6:$G$405="")+(職員マスタ!$G$6:$G$405&lt;=EOMONTH($AO2899,0)))&gt;0)*(((職員マスタ!$H$6:$H$405="")+(職員マスタ!$H$6:$H$405&gt;=$AO2899))&gt;0)*(ROW(職員マスタ!$A$6:$A$405)-5)))&gt;0,SUMPRODUCT(MAX((職員マスタ!$A$6:$A$405=$B2899)*(((職員マスタ!$G$6:$G$405="")+(職員マスタ!$G$6:$G$405&lt;=EOMONTH($AO2899,0)))&gt;0)*(((職員マスタ!$H$6:$H$405="")+(職員マスタ!$H$6:$H$405&gt;=$AO2899))&gt;0)*(ROW(職員マスタ!$A$6:$A$405)-5))),IFERROR(MATCH($B2899,職員マスタ!$A$6:$A$405,0),"")))</f>
        <v/>
      </c>
      <c r="AO2899" s="16">
        <f>IF(OR($B2899="",$C2899="",$D2899=""),"",DATE($C2899+2018,$D2899,1))</f>
        <v/>
      </c>
    </row>
    <row r="2900">
      <c r="A2900" s="11" t="n"/>
      <c r="B2900" s="12" t="n"/>
      <c r="C2900" s="12" t="n"/>
      <c r="D2900" s="12" t="n"/>
      <c r="E2900" s="13" t="n"/>
      <c r="F2900" s="12" t="n"/>
      <c r="G2900" s="13" t="n"/>
      <c r="H2900" s="12" t="n"/>
      <c r="I2900" s="12" t="n"/>
      <c r="J2900" s="12" t="n"/>
      <c r="K2900" s="12" t="n"/>
      <c r="L2900" s="11" t="n"/>
      <c r="M2900" s="11" t="n"/>
      <c r="N2900" s="11" t="n"/>
      <c r="O2900" s="11" t="n"/>
      <c r="P2900" s="12" t="n"/>
      <c r="Q2900" s="11" t="n"/>
      <c r="R2900" s="12" t="n"/>
      <c r="S2900" s="11" t="n"/>
      <c r="T2900" s="12" t="n"/>
      <c r="U2900" s="12" t="n"/>
      <c r="V2900" s="14">
        <f>IF($AN2900="",IF($B2900="","",$H2900),IF(INDEX(職員マスタ!$B$6:$B$405,$AN2900)="",$H2900,INDEX(職員マスタ!$B$6:$B$405,$AN2900)))</f>
        <v/>
      </c>
      <c r="W2900" s="14">
        <f>IF($AN2900="",IF($B2900="","",$R2900),IF(INDEX(職員マスタ!$C$6:$C$405,$AN2900)="",$R2900,INDEX(職員マスタ!$C$6:$C$405,$AN2900)))</f>
        <v/>
      </c>
      <c r="X2900" s="14">
        <f>IF($AO2900="","","R"&amp;$C2900&amp;"."&amp;$D2900)</f>
        <v/>
      </c>
      <c r="Y2900" s="15">
        <f>IF($AN2900="","",IF(INDEX(職員マスタ!$K$6:$K$405,$AN2900)="","",INDEX(職員マスタ!$K$6:$K$405,$AN2900)))</f>
        <v/>
      </c>
      <c r="Z2900" s="14">
        <f>IF(OR($E2900="",$Y2900=""),"",IF($E2900&gt;=$Y2900,"×",IF($E2900&gt;=$Y2900*設定!$C$5,"△","○")))</f>
        <v/>
      </c>
      <c r="AA2900" s="15">
        <f>IF($Z2900="","",IF($Z2900="×",0,IF($Z2900="○",ROUNDDOWN($E2900*設定!$C$4,0),ROUNDDOWN($E2900*ROUND((9*$Y2900-9*$E2900)/(10*$E2900),4),0))))</f>
        <v/>
      </c>
      <c r="AB2900" s="13" t="n"/>
      <c r="AC2900" s="15">
        <f>IF($B2900="","",IF($AB2900&lt;&gt;"",$AB2900,IF($AA2900="","",IF($AA2900&lt;=設定!$C$3,0,$AA2900))))</f>
        <v/>
      </c>
      <c r="AD2900" s="14">
        <f>IF($B2900="","",IF(AND($AE2900&lt;&gt;"",$AG2900="",$AJ2900=""),"保留中",IF($AJ2900&lt;&gt;"",IF(N($AC2900)&gt;0,"支給済","不支給"),IF($AC2900="","要確認",IF($AC2900=0,"不支給","未処理")))))</f>
        <v/>
      </c>
      <c r="AE2900" s="12" t="n"/>
      <c r="AF2900" s="11" t="n"/>
      <c r="AG2900" s="11" t="n"/>
      <c r="AH2900" s="11" t="n"/>
      <c r="AI2900" s="14">
        <f>IF(AND($AD2900="保留中",$AF2900&lt;&gt;""),TODAY()-$AF2900,"")</f>
        <v/>
      </c>
      <c r="AJ2900" s="12" t="n"/>
      <c r="AK2900" s="14">
        <f>IF($B2900="","",IF($AO2900="","対象年月が未入力／","")&amp;IF($B2900="","",IF($AN2900="","職員マスタに未登録の職員番号／",IF($Y2900="","標準報酬月額が未登録／","")&amp;IF(AND($AO2900&lt;&gt;"",OR(AND(INDEX(職員マスタ!$G$6:$G$405,$AN2900)&lt;&gt;"",INDEX(職員マスタ!$G$6:$G$405,$AN2900)&gt;EOMONTH($AO2900,0)),AND(INDEX(職員マスタ!$H$6:$H$405,$AN2900)&lt;&gt;"",INDEX(職員マスタ!$H$6:$H$405,$AN2900)&lt;$AO2900))),"対象月が時短期間外／","")&amp;IF(AND(INDEX(職員マスタ!$F$6:$F$405,$AN2900)&lt;&gt;"",$AO2900&lt;&gt;"",INDEX(職員マスタ!$F$6:$F$405,$AN2900)&lt;$AO2900),"対象月に子が2歳到達済／","")&amp;IF(AND($H2900&lt;&gt;"",INDEX(職員マスタ!$B$6:$B$405,$AN2900)&lt;&gt;"",SUBSTITUTE(SUBSTITUTE($H2900," ","")," ","")&lt;&gt;SUBSTITUTE(SUBSTITUTE(INDEX(職員マスタ!$B$6:$B$405,$AN2900)," ","")," ","")),"氏名がマスタと相違／","")&amp;IF(AND($Q2900&lt;&gt;"",INDEX(職員マスタ!$E$6:$E$405,$AN2900)&lt;&gt;"",$Q2900&lt;&gt;INDEX(職員マスタ!$E$6:$E$405,$AN2900)),"子の生年月日がマスタと相違／","")&amp;IF(AND($L2900&lt;&gt;"",INDEX(職員マスタ!$G$6:$G$405,$AN2900)&lt;&gt;"",$L2900&lt;&gt;INDEX(職員マスタ!$G$6:$G$405,$AN2900)),"時短開始日がマスタと相違／","")&amp;IF(AND($M2900&lt;&gt;"",INDEX(職員マスタ!$H$6:$H$405,$AN2900)&lt;&gt;"",$M2900&lt;&gt;INDEX(職員マスタ!$H$6:$H$405,$AN2900)),"時短終了日がマスタと相違／","")))&amp;IF(AND($B2900&lt;&gt;"",$E2900=""),"報酬額が未入力／","")&amp;IF(N($U2900)&gt;0,"申請書に入力エラーが残っています／","")&amp;IF(AND($B2900&lt;&gt;"",$AO2900&lt;&gt;""),IF(COUNTIFS($B$6:$B$3005,$B2900,$C$6:$C$3005,$C2900,$D$6:$D$3005,$D2900)&gt;1,"同じ月の請求が重複しています／",""),"")&amp;IF(AND(N($E2900)&gt;0,$Z2900&lt;&gt;"",$Z2900&lt;&gt;"×",$AC2900=0,$AB2900=""),"計算額が下限以下のため不支給／",""))</f>
        <v/>
      </c>
      <c r="AL2900" s="12" t="n"/>
      <c r="AM2900" s="14">
        <f>IF($AD2900="保留中",COUNTIF($AD$6:$AD2900,"保留中"),"")</f>
        <v/>
      </c>
      <c r="AN2900" s="14">
        <f>IF($AO2900="","",IF(SUMPRODUCT(MAX((職員マスタ!$A$6:$A$405=$B2900)*(((職員マスタ!$G$6:$G$405="")+(職員マスタ!$G$6:$G$405&lt;=EOMONTH($AO2900,0)))&gt;0)*(((職員マスタ!$H$6:$H$405="")+(職員マスタ!$H$6:$H$405&gt;=$AO2900))&gt;0)*(ROW(職員マスタ!$A$6:$A$405)-5)))&gt;0,SUMPRODUCT(MAX((職員マスタ!$A$6:$A$405=$B2900)*(((職員マスタ!$G$6:$G$405="")+(職員マスタ!$G$6:$G$405&lt;=EOMONTH($AO2900,0)))&gt;0)*(((職員マスタ!$H$6:$H$405="")+(職員マスタ!$H$6:$H$405&gt;=$AO2900))&gt;0)*(ROW(職員マスタ!$A$6:$A$405)-5))),IFERROR(MATCH($B2900,職員マスタ!$A$6:$A$405,0),"")))</f>
        <v/>
      </c>
      <c r="AO2900" s="16">
        <f>IF(OR($B2900="",$C2900="",$D2900=""),"",DATE($C2900+2018,$D2900,1))</f>
        <v/>
      </c>
    </row>
    <row r="2901">
      <c r="A2901" s="11" t="n"/>
      <c r="B2901" s="12" t="n"/>
      <c r="C2901" s="12" t="n"/>
      <c r="D2901" s="12" t="n"/>
      <c r="E2901" s="13" t="n"/>
      <c r="F2901" s="12" t="n"/>
      <c r="G2901" s="13" t="n"/>
      <c r="H2901" s="12" t="n"/>
      <c r="I2901" s="12" t="n"/>
      <c r="J2901" s="12" t="n"/>
      <c r="K2901" s="12" t="n"/>
      <c r="L2901" s="11" t="n"/>
      <c r="M2901" s="11" t="n"/>
      <c r="N2901" s="11" t="n"/>
      <c r="O2901" s="11" t="n"/>
      <c r="P2901" s="12" t="n"/>
      <c r="Q2901" s="11" t="n"/>
      <c r="R2901" s="12" t="n"/>
      <c r="S2901" s="11" t="n"/>
      <c r="T2901" s="12" t="n"/>
      <c r="U2901" s="12" t="n"/>
      <c r="V2901" s="14">
        <f>IF($AN2901="",IF($B2901="","",$H2901),IF(INDEX(職員マスタ!$B$6:$B$405,$AN2901)="",$H2901,INDEX(職員マスタ!$B$6:$B$405,$AN2901)))</f>
        <v/>
      </c>
      <c r="W2901" s="14">
        <f>IF($AN2901="",IF($B2901="","",$R2901),IF(INDEX(職員マスタ!$C$6:$C$405,$AN2901)="",$R2901,INDEX(職員マスタ!$C$6:$C$405,$AN2901)))</f>
        <v/>
      </c>
      <c r="X2901" s="14">
        <f>IF($AO2901="","","R"&amp;$C2901&amp;"."&amp;$D2901)</f>
        <v/>
      </c>
      <c r="Y2901" s="15">
        <f>IF($AN2901="","",IF(INDEX(職員マスタ!$K$6:$K$405,$AN2901)="","",INDEX(職員マスタ!$K$6:$K$405,$AN2901)))</f>
        <v/>
      </c>
      <c r="Z2901" s="14">
        <f>IF(OR($E2901="",$Y2901=""),"",IF($E2901&gt;=$Y2901,"×",IF($E2901&gt;=$Y2901*設定!$C$5,"△","○")))</f>
        <v/>
      </c>
      <c r="AA2901" s="15">
        <f>IF($Z2901="","",IF($Z2901="×",0,IF($Z2901="○",ROUNDDOWN($E2901*設定!$C$4,0),ROUNDDOWN($E2901*ROUND((9*$Y2901-9*$E2901)/(10*$E2901),4),0))))</f>
        <v/>
      </c>
      <c r="AB2901" s="13" t="n"/>
      <c r="AC2901" s="15">
        <f>IF($B2901="","",IF($AB2901&lt;&gt;"",$AB2901,IF($AA2901="","",IF($AA2901&lt;=設定!$C$3,0,$AA2901))))</f>
        <v/>
      </c>
      <c r="AD2901" s="14">
        <f>IF($B2901="","",IF(AND($AE2901&lt;&gt;"",$AG2901="",$AJ2901=""),"保留中",IF($AJ2901&lt;&gt;"",IF(N($AC2901)&gt;0,"支給済","不支給"),IF($AC2901="","要確認",IF($AC2901=0,"不支給","未処理")))))</f>
        <v/>
      </c>
      <c r="AE2901" s="12" t="n"/>
      <c r="AF2901" s="11" t="n"/>
      <c r="AG2901" s="11" t="n"/>
      <c r="AH2901" s="11" t="n"/>
      <c r="AI2901" s="14">
        <f>IF(AND($AD2901="保留中",$AF2901&lt;&gt;""),TODAY()-$AF2901,"")</f>
        <v/>
      </c>
      <c r="AJ2901" s="12" t="n"/>
      <c r="AK2901" s="14">
        <f>IF($B2901="","",IF($AO2901="","対象年月が未入力／","")&amp;IF($B2901="","",IF($AN2901="","職員マスタに未登録の職員番号／",IF($Y2901="","標準報酬月額が未登録／","")&amp;IF(AND($AO2901&lt;&gt;"",OR(AND(INDEX(職員マスタ!$G$6:$G$405,$AN2901)&lt;&gt;"",INDEX(職員マスタ!$G$6:$G$405,$AN2901)&gt;EOMONTH($AO2901,0)),AND(INDEX(職員マスタ!$H$6:$H$405,$AN2901)&lt;&gt;"",INDEX(職員マスタ!$H$6:$H$405,$AN2901)&lt;$AO2901))),"対象月が時短期間外／","")&amp;IF(AND(INDEX(職員マスタ!$F$6:$F$405,$AN2901)&lt;&gt;"",$AO2901&lt;&gt;"",INDEX(職員マスタ!$F$6:$F$405,$AN2901)&lt;$AO2901),"対象月に子が2歳到達済／","")&amp;IF(AND($H2901&lt;&gt;"",INDEX(職員マスタ!$B$6:$B$405,$AN2901)&lt;&gt;"",SUBSTITUTE(SUBSTITUTE($H2901," ","")," ","")&lt;&gt;SUBSTITUTE(SUBSTITUTE(INDEX(職員マスタ!$B$6:$B$405,$AN2901)," ","")," ","")),"氏名がマスタと相違／","")&amp;IF(AND($Q2901&lt;&gt;"",INDEX(職員マスタ!$E$6:$E$405,$AN2901)&lt;&gt;"",$Q2901&lt;&gt;INDEX(職員マスタ!$E$6:$E$405,$AN2901)),"子の生年月日がマスタと相違／","")&amp;IF(AND($L2901&lt;&gt;"",INDEX(職員マスタ!$G$6:$G$405,$AN2901)&lt;&gt;"",$L2901&lt;&gt;INDEX(職員マスタ!$G$6:$G$405,$AN2901)),"時短開始日がマスタと相違／","")&amp;IF(AND($M2901&lt;&gt;"",INDEX(職員マスタ!$H$6:$H$405,$AN2901)&lt;&gt;"",$M2901&lt;&gt;INDEX(職員マスタ!$H$6:$H$405,$AN2901)),"時短終了日がマスタと相違／","")))&amp;IF(AND($B2901&lt;&gt;"",$E2901=""),"報酬額が未入力／","")&amp;IF(N($U2901)&gt;0,"申請書に入力エラーが残っています／","")&amp;IF(AND($B2901&lt;&gt;"",$AO2901&lt;&gt;""),IF(COUNTIFS($B$6:$B$3005,$B2901,$C$6:$C$3005,$C2901,$D$6:$D$3005,$D2901)&gt;1,"同じ月の請求が重複しています／",""),"")&amp;IF(AND(N($E2901)&gt;0,$Z2901&lt;&gt;"",$Z2901&lt;&gt;"×",$AC2901=0,$AB2901=""),"計算額が下限以下のため不支給／",""))</f>
        <v/>
      </c>
      <c r="AL2901" s="12" t="n"/>
      <c r="AM2901" s="14">
        <f>IF($AD2901="保留中",COUNTIF($AD$6:$AD2901,"保留中"),"")</f>
        <v/>
      </c>
      <c r="AN2901" s="14">
        <f>IF($AO2901="","",IF(SUMPRODUCT(MAX((職員マスタ!$A$6:$A$405=$B2901)*(((職員マスタ!$G$6:$G$405="")+(職員マスタ!$G$6:$G$405&lt;=EOMONTH($AO2901,0)))&gt;0)*(((職員マスタ!$H$6:$H$405="")+(職員マスタ!$H$6:$H$405&gt;=$AO2901))&gt;0)*(ROW(職員マスタ!$A$6:$A$405)-5)))&gt;0,SUMPRODUCT(MAX((職員マスタ!$A$6:$A$405=$B2901)*(((職員マスタ!$G$6:$G$405="")+(職員マスタ!$G$6:$G$405&lt;=EOMONTH($AO2901,0)))&gt;0)*(((職員マスタ!$H$6:$H$405="")+(職員マスタ!$H$6:$H$405&gt;=$AO2901))&gt;0)*(ROW(職員マスタ!$A$6:$A$405)-5))),IFERROR(MATCH($B2901,職員マスタ!$A$6:$A$405,0),"")))</f>
        <v/>
      </c>
      <c r="AO2901" s="16">
        <f>IF(OR($B2901="",$C2901="",$D2901=""),"",DATE($C2901+2018,$D2901,1))</f>
        <v/>
      </c>
    </row>
    <row r="2902">
      <c r="A2902" s="11" t="n"/>
      <c r="B2902" s="12" t="n"/>
      <c r="C2902" s="12" t="n"/>
      <c r="D2902" s="12" t="n"/>
      <c r="E2902" s="13" t="n"/>
      <c r="F2902" s="12" t="n"/>
      <c r="G2902" s="13" t="n"/>
      <c r="H2902" s="12" t="n"/>
      <c r="I2902" s="12" t="n"/>
      <c r="J2902" s="12" t="n"/>
      <c r="K2902" s="12" t="n"/>
      <c r="L2902" s="11" t="n"/>
      <c r="M2902" s="11" t="n"/>
      <c r="N2902" s="11" t="n"/>
      <c r="O2902" s="11" t="n"/>
      <c r="P2902" s="12" t="n"/>
      <c r="Q2902" s="11" t="n"/>
      <c r="R2902" s="12" t="n"/>
      <c r="S2902" s="11" t="n"/>
      <c r="T2902" s="12" t="n"/>
      <c r="U2902" s="12" t="n"/>
      <c r="V2902" s="14">
        <f>IF($AN2902="",IF($B2902="","",$H2902),IF(INDEX(職員マスタ!$B$6:$B$405,$AN2902)="",$H2902,INDEX(職員マスタ!$B$6:$B$405,$AN2902)))</f>
        <v/>
      </c>
      <c r="W2902" s="14">
        <f>IF($AN2902="",IF($B2902="","",$R2902),IF(INDEX(職員マスタ!$C$6:$C$405,$AN2902)="",$R2902,INDEX(職員マスタ!$C$6:$C$405,$AN2902)))</f>
        <v/>
      </c>
      <c r="X2902" s="14">
        <f>IF($AO2902="","","R"&amp;$C2902&amp;"."&amp;$D2902)</f>
        <v/>
      </c>
      <c r="Y2902" s="15">
        <f>IF($AN2902="","",IF(INDEX(職員マスタ!$K$6:$K$405,$AN2902)="","",INDEX(職員マスタ!$K$6:$K$405,$AN2902)))</f>
        <v/>
      </c>
      <c r="Z2902" s="14">
        <f>IF(OR($E2902="",$Y2902=""),"",IF($E2902&gt;=$Y2902,"×",IF($E2902&gt;=$Y2902*設定!$C$5,"△","○")))</f>
        <v/>
      </c>
      <c r="AA2902" s="15">
        <f>IF($Z2902="","",IF($Z2902="×",0,IF($Z2902="○",ROUNDDOWN($E2902*設定!$C$4,0),ROUNDDOWN($E2902*ROUND((9*$Y2902-9*$E2902)/(10*$E2902),4),0))))</f>
        <v/>
      </c>
      <c r="AB2902" s="13" t="n"/>
      <c r="AC2902" s="15">
        <f>IF($B2902="","",IF($AB2902&lt;&gt;"",$AB2902,IF($AA2902="","",IF($AA2902&lt;=設定!$C$3,0,$AA2902))))</f>
        <v/>
      </c>
      <c r="AD2902" s="14">
        <f>IF($B2902="","",IF(AND($AE2902&lt;&gt;"",$AG2902="",$AJ2902=""),"保留中",IF($AJ2902&lt;&gt;"",IF(N($AC2902)&gt;0,"支給済","不支給"),IF($AC2902="","要確認",IF($AC2902=0,"不支給","未処理")))))</f>
        <v/>
      </c>
      <c r="AE2902" s="12" t="n"/>
      <c r="AF2902" s="11" t="n"/>
      <c r="AG2902" s="11" t="n"/>
      <c r="AH2902" s="11" t="n"/>
      <c r="AI2902" s="14">
        <f>IF(AND($AD2902="保留中",$AF2902&lt;&gt;""),TODAY()-$AF2902,"")</f>
        <v/>
      </c>
      <c r="AJ2902" s="12" t="n"/>
      <c r="AK2902" s="14">
        <f>IF($B2902="","",IF($AO2902="","対象年月が未入力／","")&amp;IF($B2902="","",IF($AN2902="","職員マスタに未登録の職員番号／",IF($Y2902="","標準報酬月額が未登録／","")&amp;IF(AND($AO2902&lt;&gt;"",OR(AND(INDEX(職員マスタ!$G$6:$G$405,$AN2902)&lt;&gt;"",INDEX(職員マスタ!$G$6:$G$405,$AN2902)&gt;EOMONTH($AO2902,0)),AND(INDEX(職員マスタ!$H$6:$H$405,$AN2902)&lt;&gt;"",INDEX(職員マスタ!$H$6:$H$405,$AN2902)&lt;$AO2902))),"対象月が時短期間外／","")&amp;IF(AND(INDEX(職員マスタ!$F$6:$F$405,$AN2902)&lt;&gt;"",$AO2902&lt;&gt;"",INDEX(職員マスタ!$F$6:$F$405,$AN2902)&lt;$AO2902),"対象月に子が2歳到達済／","")&amp;IF(AND($H2902&lt;&gt;"",INDEX(職員マスタ!$B$6:$B$405,$AN2902)&lt;&gt;"",SUBSTITUTE(SUBSTITUTE($H2902," ","")," ","")&lt;&gt;SUBSTITUTE(SUBSTITUTE(INDEX(職員マスタ!$B$6:$B$405,$AN2902)," ","")," ","")),"氏名がマスタと相違／","")&amp;IF(AND($Q2902&lt;&gt;"",INDEX(職員マスタ!$E$6:$E$405,$AN2902)&lt;&gt;"",$Q2902&lt;&gt;INDEX(職員マスタ!$E$6:$E$405,$AN2902)),"子の生年月日がマスタと相違／","")&amp;IF(AND($L2902&lt;&gt;"",INDEX(職員マスタ!$G$6:$G$405,$AN2902)&lt;&gt;"",$L2902&lt;&gt;INDEX(職員マスタ!$G$6:$G$405,$AN2902)),"時短開始日がマスタと相違／","")&amp;IF(AND($M2902&lt;&gt;"",INDEX(職員マスタ!$H$6:$H$405,$AN2902)&lt;&gt;"",$M2902&lt;&gt;INDEX(職員マスタ!$H$6:$H$405,$AN2902)),"時短終了日がマスタと相違／","")))&amp;IF(AND($B2902&lt;&gt;"",$E2902=""),"報酬額が未入力／","")&amp;IF(N($U2902)&gt;0,"申請書に入力エラーが残っています／","")&amp;IF(AND($B2902&lt;&gt;"",$AO2902&lt;&gt;""),IF(COUNTIFS($B$6:$B$3005,$B2902,$C$6:$C$3005,$C2902,$D$6:$D$3005,$D2902)&gt;1,"同じ月の請求が重複しています／",""),"")&amp;IF(AND(N($E2902)&gt;0,$Z2902&lt;&gt;"",$Z2902&lt;&gt;"×",$AC2902=0,$AB2902=""),"計算額が下限以下のため不支給／",""))</f>
        <v/>
      </c>
      <c r="AL2902" s="12" t="n"/>
      <c r="AM2902" s="14">
        <f>IF($AD2902="保留中",COUNTIF($AD$6:$AD2902,"保留中"),"")</f>
        <v/>
      </c>
      <c r="AN2902" s="14">
        <f>IF($AO2902="","",IF(SUMPRODUCT(MAX((職員マスタ!$A$6:$A$405=$B2902)*(((職員マスタ!$G$6:$G$405="")+(職員マスタ!$G$6:$G$405&lt;=EOMONTH($AO2902,0)))&gt;0)*(((職員マスタ!$H$6:$H$405="")+(職員マスタ!$H$6:$H$405&gt;=$AO2902))&gt;0)*(ROW(職員マスタ!$A$6:$A$405)-5)))&gt;0,SUMPRODUCT(MAX((職員マスタ!$A$6:$A$405=$B2902)*(((職員マスタ!$G$6:$G$405="")+(職員マスタ!$G$6:$G$405&lt;=EOMONTH($AO2902,0)))&gt;0)*(((職員マスタ!$H$6:$H$405="")+(職員マスタ!$H$6:$H$405&gt;=$AO2902))&gt;0)*(ROW(職員マスタ!$A$6:$A$405)-5))),IFERROR(MATCH($B2902,職員マスタ!$A$6:$A$405,0),"")))</f>
        <v/>
      </c>
      <c r="AO2902" s="16">
        <f>IF(OR($B2902="",$C2902="",$D2902=""),"",DATE($C2902+2018,$D2902,1))</f>
        <v/>
      </c>
    </row>
    <row r="2903">
      <c r="A2903" s="11" t="n"/>
      <c r="B2903" s="12" t="n"/>
      <c r="C2903" s="12" t="n"/>
      <c r="D2903" s="12" t="n"/>
      <c r="E2903" s="13" t="n"/>
      <c r="F2903" s="12" t="n"/>
      <c r="G2903" s="13" t="n"/>
      <c r="H2903" s="12" t="n"/>
      <c r="I2903" s="12" t="n"/>
      <c r="J2903" s="12" t="n"/>
      <c r="K2903" s="12" t="n"/>
      <c r="L2903" s="11" t="n"/>
      <c r="M2903" s="11" t="n"/>
      <c r="N2903" s="11" t="n"/>
      <c r="O2903" s="11" t="n"/>
      <c r="P2903" s="12" t="n"/>
      <c r="Q2903" s="11" t="n"/>
      <c r="R2903" s="12" t="n"/>
      <c r="S2903" s="11" t="n"/>
      <c r="T2903" s="12" t="n"/>
      <c r="U2903" s="12" t="n"/>
      <c r="V2903" s="14">
        <f>IF($AN2903="",IF($B2903="","",$H2903),IF(INDEX(職員マスタ!$B$6:$B$405,$AN2903)="",$H2903,INDEX(職員マスタ!$B$6:$B$405,$AN2903)))</f>
        <v/>
      </c>
      <c r="W2903" s="14">
        <f>IF($AN2903="",IF($B2903="","",$R2903),IF(INDEX(職員マスタ!$C$6:$C$405,$AN2903)="",$R2903,INDEX(職員マスタ!$C$6:$C$405,$AN2903)))</f>
        <v/>
      </c>
      <c r="X2903" s="14">
        <f>IF($AO2903="","","R"&amp;$C2903&amp;"."&amp;$D2903)</f>
        <v/>
      </c>
      <c r="Y2903" s="15">
        <f>IF($AN2903="","",IF(INDEX(職員マスタ!$K$6:$K$405,$AN2903)="","",INDEX(職員マスタ!$K$6:$K$405,$AN2903)))</f>
        <v/>
      </c>
      <c r="Z2903" s="14">
        <f>IF(OR($E2903="",$Y2903=""),"",IF($E2903&gt;=$Y2903,"×",IF($E2903&gt;=$Y2903*設定!$C$5,"△","○")))</f>
        <v/>
      </c>
      <c r="AA2903" s="15">
        <f>IF($Z2903="","",IF($Z2903="×",0,IF($Z2903="○",ROUNDDOWN($E2903*設定!$C$4,0),ROUNDDOWN($E2903*ROUND((9*$Y2903-9*$E2903)/(10*$E2903),4),0))))</f>
        <v/>
      </c>
      <c r="AB2903" s="13" t="n"/>
      <c r="AC2903" s="15">
        <f>IF($B2903="","",IF($AB2903&lt;&gt;"",$AB2903,IF($AA2903="","",IF($AA2903&lt;=設定!$C$3,0,$AA2903))))</f>
        <v/>
      </c>
      <c r="AD2903" s="14">
        <f>IF($B2903="","",IF(AND($AE2903&lt;&gt;"",$AG2903="",$AJ2903=""),"保留中",IF($AJ2903&lt;&gt;"",IF(N($AC2903)&gt;0,"支給済","不支給"),IF($AC2903="","要確認",IF($AC2903=0,"不支給","未処理")))))</f>
        <v/>
      </c>
      <c r="AE2903" s="12" t="n"/>
      <c r="AF2903" s="11" t="n"/>
      <c r="AG2903" s="11" t="n"/>
      <c r="AH2903" s="11" t="n"/>
      <c r="AI2903" s="14">
        <f>IF(AND($AD2903="保留中",$AF2903&lt;&gt;""),TODAY()-$AF2903,"")</f>
        <v/>
      </c>
      <c r="AJ2903" s="12" t="n"/>
      <c r="AK2903" s="14">
        <f>IF($B2903="","",IF($AO2903="","対象年月が未入力／","")&amp;IF($B2903="","",IF($AN2903="","職員マスタに未登録の職員番号／",IF($Y2903="","標準報酬月額が未登録／","")&amp;IF(AND($AO2903&lt;&gt;"",OR(AND(INDEX(職員マスタ!$G$6:$G$405,$AN2903)&lt;&gt;"",INDEX(職員マスタ!$G$6:$G$405,$AN2903)&gt;EOMONTH($AO2903,0)),AND(INDEX(職員マスタ!$H$6:$H$405,$AN2903)&lt;&gt;"",INDEX(職員マスタ!$H$6:$H$405,$AN2903)&lt;$AO2903))),"対象月が時短期間外／","")&amp;IF(AND(INDEX(職員マスタ!$F$6:$F$405,$AN2903)&lt;&gt;"",$AO2903&lt;&gt;"",INDEX(職員マスタ!$F$6:$F$405,$AN2903)&lt;$AO2903),"対象月に子が2歳到達済／","")&amp;IF(AND($H2903&lt;&gt;"",INDEX(職員マスタ!$B$6:$B$405,$AN2903)&lt;&gt;"",SUBSTITUTE(SUBSTITUTE($H2903," ","")," ","")&lt;&gt;SUBSTITUTE(SUBSTITUTE(INDEX(職員マスタ!$B$6:$B$405,$AN2903)," ","")," ","")),"氏名がマスタと相違／","")&amp;IF(AND($Q2903&lt;&gt;"",INDEX(職員マスタ!$E$6:$E$405,$AN2903)&lt;&gt;"",$Q2903&lt;&gt;INDEX(職員マスタ!$E$6:$E$405,$AN2903)),"子の生年月日がマスタと相違／","")&amp;IF(AND($L2903&lt;&gt;"",INDEX(職員マスタ!$G$6:$G$405,$AN2903)&lt;&gt;"",$L2903&lt;&gt;INDEX(職員マスタ!$G$6:$G$405,$AN2903)),"時短開始日がマスタと相違／","")&amp;IF(AND($M2903&lt;&gt;"",INDEX(職員マスタ!$H$6:$H$405,$AN2903)&lt;&gt;"",$M2903&lt;&gt;INDEX(職員マスタ!$H$6:$H$405,$AN2903)),"時短終了日がマスタと相違／","")))&amp;IF(AND($B2903&lt;&gt;"",$E2903=""),"報酬額が未入力／","")&amp;IF(N($U2903)&gt;0,"申請書に入力エラーが残っています／","")&amp;IF(AND($B2903&lt;&gt;"",$AO2903&lt;&gt;""),IF(COUNTIFS($B$6:$B$3005,$B2903,$C$6:$C$3005,$C2903,$D$6:$D$3005,$D2903)&gt;1,"同じ月の請求が重複しています／",""),"")&amp;IF(AND(N($E2903)&gt;0,$Z2903&lt;&gt;"",$Z2903&lt;&gt;"×",$AC2903=0,$AB2903=""),"計算額が下限以下のため不支給／",""))</f>
        <v/>
      </c>
      <c r="AL2903" s="12" t="n"/>
      <c r="AM2903" s="14">
        <f>IF($AD2903="保留中",COUNTIF($AD$6:$AD2903,"保留中"),"")</f>
        <v/>
      </c>
      <c r="AN2903" s="14">
        <f>IF($AO2903="","",IF(SUMPRODUCT(MAX((職員マスタ!$A$6:$A$405=$B2903)*(((職員マスタ!$G$6:$G$405="")+(職員マスタ!$G$6:$G$405&lt;=EOMONTH($AO2903,0)))&gt;0)*(((職員マスタ!$H$6:$H$405="")+(職員マスタ!$H$6:$H$405&gt;=$AO2903))&gt;0)*(ROW(職員マスタ!$A$6:$A$405)-5)))&gt;0,SUMPRODUCT(MAX((職員マスタ!$A$6:$A$405=$B2903)*(((職員マスタ!$G$6:$G$405="")+(職員マスタ!$G$6:$G$405&lt;=EOMONTH($AO2903,0)))&gt;0)*(((職員マスタ!$H$6:$H$405="")+(職員マスタ!$H$6:$H$405&gt;=$AO2903))&gt;0)*(ROW(職員マスタ!$A$6:$A$405)-5))),IFERROR(MATCH($B2903,職員マスタ!$A$6:$A$405,0),"")))</f>
        <v/>
      </c>
      <c r="AO2903" s="16">
        <f>IF(OR($B2903="",$C2903="",$D2903=""),"",DATE($C2903+2018,$D2903,1))</f>
        <v/>
      </c>
    </row>
    <row r="2904">
      <c r="A2904" s="11" t="n"/>
      <c r="B2904" s="12" t="n"/>
      <c r="C2904" s="12" t="n"/>
      <c r="D2904" s="12" t="n"/>
      <c r="E2904" s="13" t="n"/>
      <c r="F2904" s="12" t="n"/>
      <c r="G2904" s="13" t="n"/>
      <c r="H2904" s="12" t="n"/>
      <c r="I2904" s="12" t="n"/>
      <c r="J2904" s="12" t="n"/>
      <c r="K2904" s="12" t="n"/>
      <c r="L2904" s="11" t="n"/>
      <c r="M2904" s="11" t="n"/>
      <c r="N2904" s="11" t="n"/>
      <c r="O2904" s="11" t="n"/>
      <c r="P2904" s="12" t="n"/>
      <c r="Q2904" s="11" t="n"/>
      <c r="R2904" s="12" t="n"/>
      <c r="S2904" s="11" t="n"/>
      <c r="T2904" s="12" t="n"/>
      <c r="U2904" s="12" t="n"/>
      <c r="V2904" s="14">
        <f>IF($AN2904="",IF($B2904="","",$H2904),IF(INDEX(職員マスタ!$B$6:$B$405,$AN2904)="",$H2904,INDEX(職員マスタ!$B$6:$B$405,$AN2904)))</f>
        <v/>
      </c>
      <c r="W2904" s="14">
        <f>IF($AN2904="",IF($B2904="","",$R2904),IF(INDEX(職員マスタ!$C$6:$C$405,$AN2904)="",$R2904,INDEX(職員マスタ!$C$6:$C$405,$AN2904)))</f>
        <v/>
      </c>
      <c r="X2904" s="14">
        <f>IF($AO2904="","","R"&amp;$C2904&amp;"."&amp;$D2904)</f>
        <v/>
      </c>
      <c r="Y2904" s="15">
        <f>IF($AN2904="","",IF(INDEX(職員マスタ!$K$6:$K$405,$AN2904)="","",INDEX(職員マスタ!$K$6:$K$405,$AN2904)))</f>
        <v/>
      </c>
      <c r="Z2904" s="14">
        <f>IF(OR($E2904="",$Y2904=""),"",IF($E2904&gt;=$Y2904,"×",IF($E2904&gt;=$Y2904*設定!$C$5,"△","○")))</f>
        <v/>
      </c>
      <c r="AA2904" s="15">
        <f>IF($Z2904="","",IF($Z2904="×",0,IF($Z2904="○",ROUNDDOWN($E2904*設定!$C$4,0),ROUNDDOWN($E2904*ROUND((9*$Y2904-9*$E2904)/(10*$E2904),4),0))))</f>
        <v/>
      </c>
      <c r="AB2904" s="13" t="n"/>
      <c r="AC2904" s="15">
        <f>IF($B2904="","",IF($AB2904&lt;&gt;"",$AB2904,IF($AA2904="","",IF($AA2904&lt;=設定!$C$3,0,$AA2904))))</f>
        <v/>
      </c>
      <c r="AD2904" s="14">
        <f>IF($B2904="","",IF(AND($AE2904&lt;&gt;"",$AG2904="",$AJ2904=""),"保留中",IF($AJ2904&lt;&gt;"",IF(N($AC2904)&gt;0,"支給済","不支給"),IF($AC2904="","要確認",IF($AC2904=0,"不支給","未処理")))))</f>
        <v/>
      </c>
      <c r="AE2904" s="12" t="n"/>
      <c r="AF2904" s="11" t="n"/>
      <c r="AG2904" s="11" t="n"/>
      <c r="AH2904" s="11" t="n"/>
      <c r="AI2904" s="14">
        <f>IF(AND($AD2904="保留中",$AF2904&lt;&gt;""),TODAY()-$AF2904,"")</f>
        <v/>
      </c>
      <c r="AJ2904" s="12" t="n"/>
      <c r="AK2904" s="14">
        <f>IF($B2904="","",IF($AO2904="","対象年月が未入力／","")&amp;IF($B2904="","",IF($AN2904="","職員マスタに未登録の職員番号／",IF($Y2904="","標準報酬月額が未登録／","")&amp;IF(AND($AO2904&lt;&gt;"",OR(AND(INDEX(職員マスタ!$G$6:$G$405,$AN2904)&lt;&gt;"",INDEX(職員マスタ!$G$6:$G$405,$AN2904)&gt;EOMONTH($AO2904,0)),AND(INDEX(職員マスタ!$H$6:$H$405,$AN2904)&lt;&gt;"",INDEX(職員マスタ!$H$6:$H$405,$AN2904)&lt;$AO2904))),"対象月が時短期間外／","")&amp;IF(AND(INDEX(職員マスタ!$F$6:$F$405,$AN2904)&lt;&gt;"",$AO2904&lt;&gt;"",INDEX(職員マスタ!$F$6:$F$405,$AN2904)&lt;$AO2904),"対象月に子が2歳到達済／","")&amp;IF(AND($H2904&lt;&gt;"",INDEX(職員マスタ!$B$6:$B$405,$AN2904)&lt;&gt;"",SUBSTITUTE(SUBSTITUTE($H2904," ","")," ","")&lt;&gt;SUBSTITUTE(SUBSTITUTE(INDEX(職員マスタ!$B$6:$B$405,$AN2904)," ","")," ","")),"氏名がマスタと相違／","")&amp;IF(AND($Q2904&lt;&gt;"",INDEX(職員マスタ!$E$6:$E$405,$AN2904)&lt;&gt;"",$Q2904&lt;&gt;INDEX(職員マスタ!$E$6:$E$405,$AN2904)),"子の生年月日がマスタと相違／","")&amp;IF(AND($L2904&lt;&gt;"",INDEX(職員マスタ!$G$6:$G$405,$AN2904)&lt;&gt;"",$L2904&lt;&gt;INDEX(職員マスタ!$G$6:$G$405,$AN2904)),"時短開始日がマスタと相違／","")&amp;IF(AND($M2904&lt;&gt;"",INDEX(職員マスタ!$H$6:$H$405,$AN2904)&lt;&gt;"",$M2904&lt;&gt;INDEX(職員マスタ!$H$6:$H$405,$AN2904)),"時短終了日がマスタと相違／","")))&amp;IF(AND($B2904&lt;&gt;"",$E2904=""),"報酬額が未入力／","")&amp;IF(N($U2904)&gt;0,"申請書に入力エラーが残っています／","")&amp;IF(AND($B2904&lt;&gt;"",$AO2904&lt;&gt;""),IF(COUNTIFS($B$6:$B$3005,$B2904,$C$6:$C$3005,$C2904,$D$6:$D$3005,$D2904)&gt;1,"同じ月の請求が重複しています／",""),"")&amp;IF(AND(N($E2904)&gt;0,$Z2904&lt;&gt;"",$Z2904&lt;&gt;"×",$AC2904=0,$AB2904=""),"計算額が下限以下のため不支給／",""))</f>
        <v/>
      </c>
      <c r="AL2904" s="12" t="n"/>
      <c r="AM2904" s="14">
        <f>IF($AD2904="保留中",COUNTIF($AD$6:$AD2904,"保留中"),"")</f>
        <v/>
      </c>
      <c r="AN2904" s="14">
        <f>IF($AO2904="","",IF(SUMPRODUCT(MAX((職員マスタ!$A$6:$A$405=$B2904)*(((職員マスタ!$G$6:$G$405="")+(職員マスタ!$G$6:$G$405&lt;=EOMONTH($AO2904,0)))&gt;0)*(((職員マスタ!$H$6:$H$405="")+(職員マスタ!$H$6:$H$405&gt;=$AO2904))&gt;0)*(ROW(職員マスタ!$A$6:$A$405)-5)))&gt;0,SUMPRODUCT(MAX((職員マスタ!$A$6:$A$405=$B2904)*(((職員マスタ!$G$6:$G$405="")+(職員マスタ!$G$6:$G$405&lt;=EOMONTH($AO2904,0)))&gt;0)*(((職員マスタ!$H$6:$H$405="")+(職員マスタ!$H$6:$H$405&gt;=$AO2904))&gt;0)*(ROW(職員マスタ!$A$6:$A$405)-5))),IFERROR(MATCH($B2904,職員マスタ!$A$6:$A$405,0),"")))</f>
        <v/>
      </c>
      <c r="AO2904" s="16">
        <f>IF(OR($B2904="",$C2904="",$D2904=""),"",DATE($C2904+2018,$D2904,1))</f>
        <v/>
      </c>
    </row>
    <row r="2905">
      <c r="A2905" s="11" t="n"/>
      <c r="B2905" s="12" t="n"/>
      <c r="C2905" s="12" t="n"/>
      <c r="D2905" s="12" t="n"/>
      <c r="E2905" s="13" t="n"/>
      <c r="F2905" s="12" t="n"/>
      <c r="G2905" s="13" t="n"/>
      <c r="H2905" s="12" t="n"/>
      <c r="I2905" s="12" t="n"/>
      <c r="J2905" s="12" t="n"/>
      <c r="K2905" s="12" t="n"/>
      <c r="L2905" s="11" t="n"/>
      <c r="M2905" s="11" t="n"/>
      <c r="N2905" s="11" t="n"/>
      <c r="O2905" s="11" t="n"/>
      <c r="P2905" s="12" t="n"/>
      <c r="Q2905" s="11" t="n"/>
      <c r="R2905" s="12" t="n"/>
      <c r="S2905" s="11" t="n"/>
      <c r="T2905" s="12" t="n"/>
      <c r="U2905" s="12" t="n"/>
      <c r="V2905" s="14">
        <f>IF($AN2905="",IF($B2905="","",$H2905),IF(INDEX(職員マスタ!$B$6:$B$405,$AN2905)="",$H2905,INDEX(職員マスタ!$B$6:$B$405,$AN2905)))</f>
        <v/>
      </c>
      <c r="W2905" s="14">
        <f>IF($AN2905="",IF($B2905="","",$R2905),IF(INDEX(職員マスタ!$C$6:$C$405,$AN2905)="",$R2905,INDEX(職員マスタ!$C$6:$C$405,$AN2905)))</f>
        <v/>
      </c>
      <c r="X2905" s="14">
        <f>IF($AO2905="","","R"&amp;$C2905&amp;"."&amp;$D2905)</f>
        <v/>
      </c>
      <c r="Y2905" s="15">
        <f>IF($AN2905="","",IF(INDEX(職員マスタ!$K$6:$K$405,$AN2905)="","",INDEX(職員マスタ!$K$6:$K$405,$AN2905)))</f>
        <v/>
      </c>
      <c r="Z2905" s="14">
        <f>IF(OR($E2905="",$Y2905=""),"",IF($E2905&gt;=$Y2905,"×",IF($E2905&gt;=$Y2905*設定!$C$5,"△","○")))</f>
        <v/>
      </c>
      <c r="AA2905" s="15">
        <f>IF($Z2905="","",IF($Z2905="×",0,IF($Z2905="○",ROUNDDOWN($E2905*設定!$C$4,0),ROUNDDOWN($E2905*ROUND((9*$Y2905-9*$E2905)/(10*$E2905),4),0))))</f>
        <v/>
      </c>
      <c r="AB2905" s="13" t="n"/>
      <c r="AC2905" s="15">
        <f>IF($B2905="","",IF($AB2905&lt;&gt;"",$AB2905,IF($AA2905="","",IF($AA2905&lt;=設定!$C$3,0,$AA2905))))</f>
        <v/>
      </c>
      <c r="AD2905" s="14">
        <f>IF($B2905="","",IF(AND($AE2905&lt;&gt;"",$AG2905="",$AJ2905=""),"保留中",IF($AJ2905&lt;&gt;"",IF(N($AC2905)&gt;0,"支給済","不支給"),IF($AC2905="","要確認",IF($AC2905=0,"不支給","未処理")))))</f>
        <v/>
      </c>
      <c r="AE2905" s="12" t="n"/>
      <c r="AF2905" s="11" t="n"/>
      <c r="AG2905" s="11" t="n"/>
      <c r="AH2905" s="11" t="n"/>
      <c r="AI2905" s="14">
        <f>IF(AND($AD2905="保留中",$AF2905&lt;&gt;""),TODAY()-$AF2905,"")</f>
        <v/>
      </c>
      <c r="AJ2905" s="12" t="n"/>
      <c r="AK2905" s="14">
        <f>IF($B2905="","",IF($AO2905="","対象年月が未入力／","")&amp;IF($B2905="","",IF($AN2905="","職員マスタに未登録の職員番号／",IF($Y2905="","標準報酬月額が未登録／","")&amp;IF(AND($AO2905&lt;&gt;"",OR(AND(INDEX(職員マスタ!$G$6:$G$405,$AN2905)&lt;&gt;"",INDEX(職員マスタ!$G$6:$G$405,$AN2905)&gt;EOMONTH($AO2905,0)),AND(INDEX(職員マスタ!$H$6:$H$405,$AN2905)&lt;&gt;"",INDEX(職員マスタ!$H$6:$H$405,$AN2905)&lt;$AO2905))),"対象月が時短期間外／","")&amp;IF(AND(INDEX(職員マスタ!$F$6:$F$405,$AN2905)&lt;&gt;"",$AO2905&lt;&gt;"",INDEX(職員マスタ!$F$6:$F$405,$AN2905)&lt;$AO2905),"対象月に子が2歳到達済／","")&amp;IF(AND($H2905&lt;&gt;"",INDEX(職員マスタ!$B$6:$B$405,$AN2905)&lt;&gt;"",SUBSTITUTE(SUBSTITUTE($H2905," ","")," ","")&lt;&gt;SUBSTITUTE(SUBSTITUTE(INDEX(職員マスタ!$B$6:$B$405,$AN2905)," ","")," ","")),"氏名がマスタと相違／","")&amp;IF(AND($Q2905&lt;&gt;"",INDEX(職員マスタ!$E$6:$E$405,$AN2905)&lt;&gt;"",$Q2905&lt;&gt;INDEX(職員マスタ!$E$6:$E$405,$AN2905)),"子の生年月日がマスタと相違／","")&amp;IF(AND($L2905&lt;&gt;"",INDEX(職員マスタ!$G$6:$G$405,$AN2905)&lt;&gt;"",$L2905&lt;&gt;INDEX(職員マスタ!$G$6:$G$405,$AN2905)),"時短開始日がマスタと相違／","")&amp;IF(AND($M2905&lt;&gt;"",INDEX(職員マスタ!$H$6:$H$405,$AN2905)&lt;&gt;"",$M2905&lt;&gt;INDEX(職員マスタ!$H$6:$H$405,$AN2905)),"時短終了日がマスタと相違／","")))&amp;IF(AND($B2905&lt;&gt;"",$E2905=""),"報酬額が未入力／","")&amp;IF(N($U2905)&gt;0,"申請書に入力エラーが残っています／","")&amp;IF(AND($B2905&lt;&gt;"",$AO2905&lt;&gt;""),IF(COUNTIFS($B$6:$B$3005,$B2905,$C$6:$C$3005,$C2905,$D$6:$D$3005,$D2905)&gt;1,"同じ月の請求が重複しています／",""),"")&amp;IF(AND(N($E2905)&gt;0,$Z2905&lt;&gt;"",$Z2905&lt;&gt;"×",$AC2905=0,$AB2905=""),"計算額が下限以下のため不支給／",""))</f>
        <v/>
      </c>
      <c r="AL2905" s="12" t="n"/>
      <c r="AM2905" s="14">
        <f>IF($AD2905="保留中",COUNTIF($AD$6:$AD2905,"保留中"),"")</f>
        <v/>
      </c>
      <c r="AN2905" s="14">
        <f>IF($AO2905="","",IF(SUMPRODUCT(MAX((職員マスタ!$A$6:$A$405=$B2905)*(((職員マスタ!$G$6:$G$405="")+(職員マスタ!$G$6:$G$405&lt;=EOMONTH($AO2905,0)))&gt;0)*(((職員マスタ!$H$6:$H$405="")+(職員マスタ!$H$6:$H$405&gt;=$AO2905))&gt;0)*(ROW(職員マスタ!$A$6:$A$405)-5)))&gt;0,SUMPRODUCT(MAX((職員マスタ!$A$6:$A$405=$B2905)*(((職員マスタ!$G$6:$G$405="")+(職員マスタ!$G$6:$G$405&lt;=EOMONTH($AO2905,0)))&gt;0)*(((職員マスタ!$H$6:$H$405="")+(職員マスタ!$H$6:$H$405&gt;=$AO2905))&gt;0)*(ROW(職員マスタ!$A$6:$A$405)-5))),IFERROR(MATCH($B2905,職員マスタ!$A$6:$A$405,0),"")))</f>
        <v/>
      </c>
      <c r="AO2905" s="16">
        <f>IF(OR($B2905="",$C2905="",$D2905=""),"",DATE($C2905+2018,$D2905,1))</f>
        <v/>
      </c>
    </row>
    <row r="2906">
      <c r="A2906" s="11" t="n"/>
      <c r="B2906" s="12" t="n"/>
      <c r="C2906" s="12" t="n"/>
      <c r="D2906" s="12" t="n"/>
      <c r="E2906" s="13" t="n"/>
      <c r="F2906" s="12" t="n"/>
      <c r="G2906" s="13" t="n"/>
      <c r="H2906" s="12" t="n"/>
      <c r="I2906" s="12" t="n"/>
      <c r="J2906" s="12" t="n"/>
      <c r="K2906" s="12" t="n"/>
      <c r="L2906" s="11" t="n"/>
      <c r="M2906" s="11" t="n"/>
      <c r="N2906" s="11" t="n"/>
      <c r="O2906" s="11" t="n"/>
      <c r="P2906" s="12" t="n"/>
      <c r="Q2906" s="11" t="n"/>
      <c r="R2906" s="12" t="n"/>
      <c r="S2906" s="11" t="n"/>
      <c r="T2906" s="12" t="n"/>
      <c r="U2906" s="12" t="n"/>
      <c r="V2906" s="14">
        <f>IF($AN2906="",IF($B2906="","",$H2906),IF(INDEX(職員マスタ!$B$6:$B$405,$AN2906)="",$H2906,INDEX(職員マスタ!$B$6:$B$405,$AN2906)))</f>
        <v/>
      </c>
      <c r="W2906" s="14">
        <f>IF($AN2906="",IF($B2906="","",$R2906),IF(INDEX(職員マスタ!$C$6:$C$405,$AN2906)="",$R2906,INDEX(職員マスタ!$C$6:$C$405,$AN2906)))</f>
        <v/>
      </c>
      <c r="X2906" s="14">
        <f>IF($AO2906="","","R"&amp;$C2906&amp;"."&amp;$D2906)</f>
        <v/>
      </c>
      <c r="Y2906" s="15">
        <f>IF($AN2906="","",IF(INDEX(職員マスタ!$K$6:$K$405,$AN2906)="","",INDEX(職員マスタ!$K$6:$K$405,$AN2906)))</f>
        <v/>
      </c>
      <c r="Z2906" s="14">
        <f>IF(OR($E2906="",$Y2906=""),"",IF($E2906&gt;=$Y2906,"×",IF($E2906&gt;=$Y2906*設定!$C$5,"△","○")))</f>
        <v/>
      </c>
      <c r="AA2906" s="15">
        <f>IF($Z2906="","",IF($Z2906="×",0,IF($Z2906="○",ROUNDDOWN($E2906*設定!$C$4,0),ROUNDDOWN($E2906*ROUND((9*$Y2906-9*$E2906)/(10*$E2906),4),0))))</f>
        <v/>
      </c>
      <c r="AB2906" s="13" t="n"/>
      <c r="AC2906" s="15">
        <f>IF($B2906="","",IF($AB2906&lt;&gt;"",$AB2906,IF($AA2906="","",IF($AA2906&lt;=設定!$C$3,0,$AA2906))))</f>
        <v/>
      </c>
      <c r="AD2906" s="14">
        <f>IF($B2906="","",IF(AND($AE2906&lt;&gt;"",$AG2906="",$AJ2906=""),"保留中",IF($AJ2906&lt;&gt;"",IF(N($AC2906)&gt;0,"支給済","不支給"),IF($AC2906="","要確認",IF($AC2906=0,"不支給","未処理")))))</f>
        <v/>
      </c>
      <c r="AE2906" s="12" t="n"/>
      <c r="AF2906" s="11" t="n"/>
      <c r="AG2906" s="11" t="n"/>
      <c r="AH2906" s="11" t="n"/>
      <c r="AI2906" s="14">
        <f>IF(AND($AD2906="保留中",$AF2906&lt;&gt;""),TODAY()-$AF2906,"")</f>
        <v/>
      </c>
      <c r="AJ2906" s="12" t="n"/>
      <c r="AK2906" s="14">
        <f>IF($B2906="","",IF($AO2906="","対象年月が未入力／","")&amp;IF($B2906="","",IF($AN2906="","職員マスタに未登録の職員番号／",IF($Y2906="","標準報酬月額が未登録／","")&amp;IF(AND($AO2906&lt;&gt;"",OR(AND(INDEX(職員マスタ!$G$6:$G$405,$AN2906)&lt;&gt;"",INDEX(職員マスタ!$G$6:$G$405,$AN2906)&gt;EOMONTH($AO2906,0)),AND(INDEX(職員マスタ!$H$6:$H$405,$AN2906)&lt;&gt;"",INDEX(職員マスタ!$H$6:$H$405,$AN2906)&lt;$AO2906))),"対象月が時短期間外／","")&amp;IF(AND(INDEX(職員マスタ!$F$6:$F$405,$AN2906)&lt;&gt;"",$AO2906&lt;&gt;"",INDEX(職員マスタ!$F$6:$F$405,$AN2906)&lt;$AO2906),"対象月に子が2歳到達済／","")&amp;IF(AND($H2906&lt;&gt;"",INDEX(職員マスタ!$B$6:$B$405,$AN2906)&lt;&gt;"",SUBSTITUTE(SUBSTITUTE($H2906," ","")," ","")&lt;&gt;SUBSTITUTE(SUBSTITUTE(INDEX(職員マスタ!$B$6:$B$405,$AN2906)," ","")," ","")),"氏名がマスタと相違／","")&amp;IF(AND($Q2906&lt;&gt;"",INDEX(職員マスタ!$E$6:$E$405,$AN2906)&lt;&gt;"",$Q2906&lt;&gt;INDEX(職員マスタ!$E$6:$E$405,$AN2906)),"子の生年月日がマスタと相違／","")&amp;IF(AND($L2906&lt;&gt;"",INDEX(職員マスタ!$G$6:$G$405,$AN2906)&lt;&gt;"",$L2906&lt;&gt;INDEX(職員マスタ!$G$6:$G$405,$AN2906)),"時短開始日がマスタと相違／","")&amp;IF(AND($M2906&lt;&gt;"",INDEX(職員マスタ!$H$6:$H$405,$AN2906)&lt;&gt;"",$M2906&lt;&gt;INDEX(職員マスタ!$H$6:$H$405,$AN2906)),"時短終了日がマスタと相違／","")))&amp;IF(AND($B2906&lt;&gt;"",$E2906=""),"報酬額が未入力／","")&amp;IF(N($U2906)&gt;0,"申請書に入力エラーが残っています／","")&amp;IF(AND($B2906&lt;&gt;"",$AO2906&lt;&gt;""),IF(COUNTIFS($B$6:$B$3005,$B2906,$C$6:$C$3005,$C2906,$D$6:$D$3005,$D2906)&gt;1,"同じ月の請求が重複しています／",""),"")&amp;IF(AND(N($E2906)&gt;0,$Z2906&lt;&gt;"",$Z2906&lt;&gt;"×",$AC2906=0,$AB2906=""),"計算額が下限以下のため不支給／",""))</f>
        <v/>
      </c>
      <c r="AL2906" s="12" t="n"/>
      <c r="AM2906" s="14">
        <f>IF($AD2906="保留中",COUNTIF($AD$6:$AD2906,"保留中"),"")</f>
        <v/>
      </c>
      <c r="AN2906" s="14">
        <f>IF($AO2906="","",IF(SUMPRODUCT(MAX((職員マスタ!$A$6:$A$405=$B2906)*(((職員マスタ!$G$6:$G$405="")+(職員マスタ!$G$6:$G$405&lt;=EOMONTH($AO2906,0)))&gt;0)*(((職員マスタ!$H$6:$H$405="")+(職員マスタ!$H$6:$H$405&gt;=$AO2906))&gt;0)*(ROW(職員マスタ!$A$6:$A$405)-5)))&gt;0,SUMPRODUCT(MAX((職員マスタ!$A$6:$A$405=$B2906)*(((職員マスタ!$G$6:$G$405="")+(職員マスタ!$G$6:$G$405&lt;=EOMONTH($AO2906,0)))&gt;0)*(((職員マスタ!$H$6:$H$405="")+(職員マスタ!$H$6:$H$405&gt;=$AO2906))&gt;0)*(ROW(職員マスタ!$A$6:$A$405)-5))),IFERROR(MATCH($B2906,職員マスタ!$A$6:$A$405,0),"")))</f>
        <v/>
      </c>
      <c r="AO2906" s="16">
        <f>IF(OR($B2906="",$C2906="",$D2906=""),"",DATE($C2906+2018,$D2906,1))</f>
        <v/>
      </c>
    </row>
    <row r="2907">
      <c r="A2907" s="11" t="n"/>
      <c r="B2907" s="12" t="n"/>
      <c r="C2907" s="12" t="n"/>
      <c r="D2907" s="12" t="n"/>
      <c r="E2907" s="13" t="n"/>
      <c r="F2907" s="12" t="n"/>
      <c r="G2907" s="13" t="n"/>
      <c r="H2907" s="12" t="n"/>
      <c r="I2907" s="12" t="n"/>
      <c r="J2907" s="12" t="n"/>
      <c r="K2907" s="12" t="n"/>
      <c r="L2907" s="11" t="n"/>
      <c r="M2907" s="11" t="n"/>
      <c r="N2907" s="11" t="n"/>
      <c r="O2907" s="11" t="n"/>
      <c r="P2907" s="12" t="n"/>
      <c r="Q2907" s="11" t="n"/>
      <c r="R2907" s="12" t="n"/>
      <c r="S2907" s="11" t="n"/>
      <c r="T2907" s="12" t="n"/>
      <c r="U2907" s="12" t="n"/>
      <c r="V2907" s="14">
        <f>IF($AN2907="",IF($B2907="","",$H2907),IF(INDEX(職員マスタ!$B$6:$B$405,$AN2907)="",$H2907,INDEX(職員マスタ!$B$6:$B$405,$AN2907)))</f>
        <v/>
      </c>
      <c r="W2907" s="14">
        <f>IF($AN2907="",IF($B2907="","",$R2907),IF(INDEX(職員マスタ!$C$6:$C$405,$AN2907)="",$R2907,INDEX(職員マスタ!$C$6:$C$405,$AN2907)))</f>
        <v/>
      </c>
      <c r="X2907" s="14">
        <f>IF($AO2907="","","R"&amp;$C2907&amp;"."&amp;$D2907)</f>
        <v/>
      </c>
      <c r="Y2907" s="15">
        <f>IF($AN2907="","",IF(INDEX(職員マスタ!$K$6:$K$405,$AN2907)="","",INDEX(職員マスタ!$K$6:$K$405,$AN2907)))</f>
        <v/>
      </c>
      <c r="Z2907" s="14">
        <f>IF(OR($E2907="",$Y2907=""),"",IF($E2907&gt;=$Y2907,"×",IF($E2907&gt;=$Y2907*設定!$C$5,"△","○")))</f>
        <v/>
      </c>
      <c r="AA2907" s="15">
        <f>IF($Z2907="","",IF($Z2907="×",0,IF($Z2907="○",ROUNDDOWN($E2907*設定!$C$4,0),ROUNDDOWN($E2907*ROUND((9*$Y2907-9*$E2907)/(10*$E2907),4),0))))</f>
        <v/>
      </c>
      <c r="AB2907" s="13" t="n"/>
      <c r="AC2907" s="15">
        <f>IF($B2907="","",IF($AB2907&lt;&gt;"",$AB2907,IF($AA2907="","",IF($AA2907&lt;=設定!$C$3,0,$AA2907))))</f>
        <v/>
      </c>
      <c r="AD2907" s="14">
        <f>IF($B2907="","",IF(AND($AE2907&lt;&gt;"",$AG2907="",$AJ2907=""),"保留中",IF($AJ2907&lt;&gt;"",IF(N($AC2907)&gt;0,"支給済","不支給"),IF($AC2907="","要確認",IF($AC2907=0,"不支給","未処理")))))</f>
        <v/>
      </c>
      <c r="AE2907" s="12" t="n"/>
      <c r="AF2907" s="11" t="n"/>
      <c r="AG2907" s="11" t="n"/>
      <c r="AH2907" s="11" t="n"/>
      <c r="AI2907" s="14">
        <f>IF(AND($AD2907="保留中",$AF2907&lt;&gt;""),TODAY()-$AF2907,"")</f>
        <v/>
      </c>
      <c r="AJ2907" s="12" t="n"/>
      <c r="AK2907" s="14">
        <f>IF($B2907="","",IF($AO2907="","対象年月が未入力／","")&amp;IF($B2907="","",IF($AN2907="","職員マスタに未登録の職員番号／",IF($Y2907="","標準報酬月額が未登録／","")&amp;IF(AND($AO2907&lt;&gt;"",OR(AND(INDEX(職員マスタ!$G$6:$G$405,$AN2907)&lt;&gt;"",INDEX(職員マスタ!$G$6:$G$405,$AN2907)&gt;EOMONTH($AO2907,0)),AND(INDEX(職員マスタ!$H$6:$H$405,$AN2907)&lt;&gt;"",INDEX(職員マスタ!$H$6:$H$405,$AN2907)&lt;$AO2907))),"対象月が時短期間外／","")&amp;IF(AND(INDEX(職員マスタ!$F$6:$F$405,$AN2907)&lt;&gt;"",$AO2907&lt;&gt;"",INDEX(職員マスタ!$F$6:$F$405,$AN2907)&lt;$AO2907),"対象月に子が2歳到達済／","")&amp;IF(AND($H2907&lt;&gt;"",INDEX(職員マスタ!$B$6:$B$405,$AN2907)&lt;&gt;"",SUBSTITUTE(SUBSTITUTE($H2907," ","")," ","")&lt;&gt;SUBSTITUTE(SUBSTITUTE(INDEX(職員マスタ!$B$6:$B$405,$AN2907)," ","")," ","")),"氏名がマスタと相違／","")&amp;IF(AND($Q2907&lt;&gt;"",INDEX(職員マスタ!$E$6:$E$405,$AN2907)&lt;&gt;"",$Q2907&lt;&gt;INDEX(職員マスタ!$E$6:$E$405,$AN2907)),"子の生年月日がマスタと相違／","")&amp;IF(AND($L2907&lt;&gt;"",INDEX(職員マスタ!$G$6:$G$405,$AN2907)&lt;&gt;"",$L2907&lt;&gt;INDEX(職員マスタ!$G$6:$G$405,$AN2907)),"時短開始日がマスタと相違／","")&amp;IF(AND($M2907&lt;&gt;"",INDEX(職員マスタ!$H$6:$H$405,$AN2907)&lt;&gt;"",$M2907&lt;&gt;INDEX(職員マスタ!$H$6:$H$405,$AN2907)),"時短終了日がマスタと相違／","")))&amp;IF(AND($B2907&lt;&gt;"",$E2907=""),"報酬額が未入力／","")&amp;IF(N($U2907)&gt;0,"申請書に入力エラーが残っています／","")&amp;IF(AND($B2907&lt;&gt;"",$AO2907&lt;&gt;""),IF(COUNTIFS($B$6:$B$3005,$B2907,$C$6:$C$3005,$C2907,$D$6:$D$3005,$D2907)&gt;1,"同じ月の請求が重複しています／",""),"")&amp;IF(AND(N($E2907)&gt;0,$Z2907&lt;&gt;"",$Z2907&lt;&gt;"×",$AC2907=0,$AB2907=""),"計算額が下限以下のため不支給／",""))</f>
        <v/>
      </c>
      <c r="AL2907" s="12" t="n"/>
      <c r="AM2907" s="14">
        <f>IF($AD2907="保留中",COUNTIF($AD$6:$AD2907,"保留中"),"")</f>
        <v/>
      </c>
      <c r="AN2907" s="14">
        <f>IF($AO2907="","",IF(SUMPRODUCT(MAX((職員マスタ!$A$6:$A$405=$B2907)*(((職員マスタ!$G$6:$G$405="")+(職員マスタ!$G$6:$G$405&lt;=EOMONTH($AO2907,0)))&gt;0)*(((職員マスタ!$H$6:$H$405="")+(職員マスタ!$H$6:$H$405&gt;=$AO2907))&gt;0)*(ROW(職員マスタ!$A$6:$A$405)-5)))&gt;0,SUMPRODUCT(MAX((職員マスタ!$A$6:$A$405=$B2907)*(((職員マスタ!$G$6:$G$405="")+(職員マスタ!$G$6:$G$405&lt;=EOMONTH($AO2907,0)))&gt;0)*(((職員マスタ!$H$6:$H$405="")+(職員マスタ!$H$6:$H$405&gt;=$AO2907))&gt;0)*(ROW(職員マスタ!$A$6:$A$405)-5))),IFERROR(MATCH($B2907,職員マスタ!$A$6:$A$405,0),"")))</f>
        <v/>
      </c>
      <c r="AO2907" s="16">
        <f>IF(OR($B2907="",$C2907="",$D2907=""),"",DATE($C2907+2018,$D2907,1))</f>
        <v/>
      </c>
    </row>
    <row r="2908">
      <c r="A2908" s="11" t="n"/>
      <c r="B2908" s="12" t="n"/>
      <c r="C2908" s="12" t="n"/>
      <c r="D2908" s="12" t="n"/>
      <c r="E2908" s="13" t="n"/>
      <c r="F2908" s="12" t="n"/>
      <c r="G2908" s="13" t="n"/>
      <c r="H2908" s="12" t="n"/>
      <c r="I2908" s="12" t="n"/>
      <c r="J2908" s="12" t="n"/>
      <c r="K2908" s="12" t="n"/>
      <c r="L2908" s="11" t="n"/>
      <c r="M2908" s="11" t="n"/>
      <c r="N2908" s="11" t="n"/>
      <c r="O2908" s="11" t="n"/>
      <c r="P2908" s="12" t="n"/>
      <c r="Q2908" s="11" t="n"/>
      <c r="R2908" s="12" t="n"/>
      <c r="S2908" s="11" t="n"/>
      <c r="T2908" s="12" t="n"/>
      <c r="U2908" s="12" t="n"/>
      <c r="V2908" s="14">
        <f>IF($AN2908="",IF($B2908="","",$H2908),IF(INDEX(職員マスタ!$B$6:$B$405,$AN2908)="",$H2908,INDEX(職員マスタ!$B$6:$B$405,$AN2908)))</f>
        <v/>
      </c>
      <c r="W2908" s="14">
        <f>IF($AN2908="",IF($B2908="","",$R2908),IF(INDEX(職員マスタ!$C$6:$C$405,$AN2908)="",$R2908,INDEX(職員マスタ!$C$6:$C$405,$AN2908)))</f>
        <v/>
      </c>
      <c r="X2908" s="14">
        <f>IF($AO2908="","","R"&amp;$C2908&amp;"."&amp;$D2908)</f>
        <v/>
      </c>
      <c r="Y2908" s="15">
        <f>IF($AN2908="","",IF(INDEX(職員マスタ!$K$6:$K$405,$AN2908)="","",INDEX(職員マスタ!$K$6:$K$405,$AN2908)))</f>
        <v/>
      </c>
      <c r="Z2908" s="14">
        <f>IF(OR($E2908="",$Y2908=""),"",IF($E2908&gt;=$Y2908,"×",IF($E2908&gt;=$Y2908*設定!$C$5,"△","○")))</f>
        <v/>
      </c>
      <c r="AA2908" s="15">
        <f>IF($Z2908="","",IF($Z2908="×",0,IF($Z2908="○",ROUNDDOWN($E2908*設定!$C$4,0),ROUNDDOWN($E2908*ROUND((9*$Y2908-9*$E2908)/(10*$E2908),4),0))))</f>
        <v/>
      </c>
      <c r="AB2908" s="13" t="n"/>
      <c r="AC2908" s="15">
        <f>IF($B2908="","",IF($AB2908&lt;&gt;"",$AB2908,IF($AA2908="","",IF($AA2908&lt;=設定!$C$3,0,$AA2908))))</f>
        <v/>
      </c>
      <c r="AD2908" s="14">
        <f>IF($B2908="","",IF(AND($AE2908&lt;&gt;"",$AG2908="",$AJ2908=""),"保留中",IF($AJ2908&lt;&gt;"",IF(N($AC2908)&gt;0,"支給済","不支給"),IF($AC2908="","要確認",IF($AC2908=0,"不支給","未処理")))))</f>
        <v/>
      </c>
      <c r="AE2908" s="12" t="n"/>
      <c r="AF2908" s="11" t="n"/>
      <c r="AG2908" s="11" t="n"/>
      <c r="AH2908" s="11" t="n"/>
      <c r="AI2908" s="14">
        <f>IF(AND($AD2908="保留中",$AF2908&lt;&gt;""),TODAY()-$AF2908,"")</f>
        <v/>
      </c>
      <c r="AJ2908" s="12" t="n"/>
      <c r="AK2908" s="14">
        <f>IF($B2908="","",IF($AO2908="","対象年月が未入力／","")&amp;IF($B2908="","",IF($AN2908="","職員マスタに未登録の職員番号／",IF($Y2908="","標準報酬月額が未登録／","")&amp;IF(AND($AO2908&lt;&gt;"",OR(AND(INDEX(職員マスタ!$G$6:$G$405,$AN2908)&lt;&gt;"",INDEX(職員マスタ!$G$6:$G$405,$AN2908)&gt;EOMONTH($AO2908,0)),AND(INDEX(職員マスタ!$H$6:$H$405,$AN2908)&lt;&gt;"",INDEX(職員マスタ!$H$6:$H$405,$AN2908)&lt;$AO2908))),"対象月が時短期間外／","")&amp;IF(AND(INDEX(職員マスタ!$F$6:$F$405,$AN2908)&lt;&gt;"",$AO2908&lt;&gt;"",INDEX(職員マスタ!$F$6:$F$405,$AN2908)&lt;$AO2908),"対象月に子が2歳到達済／","")&amp;IF(AND($H2908&lt;&gt;"",INDEX(職員マスタ!$B$6:$B$405,$AN2908)&lt;&gt;"",SUBSTITUTE(SUBSTITUTE($H2908," ","")," ","")&lt;&gt;SUBSTITUTE(SUBSTITUTE(INDEX(職員マスタ!$B$6:$B$405,$AN2908)," ","")," ","")),"氏名がマスタと相違／","")&amp;IF(AND($Q2908&lt;&gt;"",INDEX(職員マスタ!$E$6:$E$405,$AN2908)&lt;&gt;"",$Q2908&lt;&gt;INDEX(職員マスタ!$E$6:$E$405,$AN2908)),"子の生年月日がマスタと相違／","")&amp;IF(AND($L2908&lt;&gt;"",INDEX(職員マスタ!$G$6:$G$405,$AN2908)&lt;&gt;"",$L2908&lt;&gt;INDEX(職員マスタ!$G$6:$G$405,$AN2908)),"時短開始日がマスタと相違／","")&amp;IF(AND($M2908&lt;&gt;"",INDEX(職員マスタ!$H$6:$H$405,$AN2908)&lt;&gt;"",$M2908&lt;&gt;INDEX(職員マスタ!$H$6:$H$405,$AN2908)),"時短終了日がマスタと相違／","")))&amp;IF(AND($B2908&lt;&gt;"",$E2908=""),"報酬額が未入力／","")&amp;IF(N($U2908)&gt;0,"申請書に入力エラーが残っています／","")&amp;IF(AND($B2908&lt;&gt;"",$AO2908&lt;&gt;""),IF(COUNTIFS($B$6:$B$3005,$B2908,$C$6:$C$3005,$C2908,$D$6:$D$3005,$D2908)&gt;1,"同じ月の請求が重複しています／",""),"")&amp;IF(AND(N($E2908)&gt;0,$Z2908&lt;&gt;"",$Z2908&lt;&gt;"×",$AC2908=0,$AB2908=""),"計算額が下限以下のため不支給／",""))</f>
        <v/>
      </c>
      <c r="AL2908" s="12" t="n"/>
      <c r="AM2908" s="14">
        <f>IF($AD2908="保留中",COUNTIF($AD$6:$AD2908,"保留中"),"")</f>
        <v/>
      </c>
      <c r="AN2908" s="14">
        <f>IF($AO2908="","",IF(SUMPRODUCT(MAX((職員マスタ!$A$6:$A$405=$B2908)*(((職員マスタ!$G$6:$G$405="")+(職員マスタ!$G$6:$G$405&lt;=EOMONTH($AO2908,0)))&gt;0)*(((職員マスタ!$H$6:$H$405="")+(職員マスタ!$H$6:$H$405&gt;=$AO2908))&gt;0)*(ROW(職員マスタ!$A$6:$A$405)-5)))&gt;0,SUMPRODUCT(MAX((職員マスタ!$A$6:$A$405=$B2908)*(((職員マスタ!$G$6:$G$405="")+(職員マスタ!$G$6:$G$405&lt;=EOMONTH($AO2908,0)))&gt;0)*(((職員マスタ!$H$6:$H$405="")+(職員マスタ!$H$6:$H$405&gt;=$AO2908))&gt;0)*(ROW(職員マスタ!$A$6:$A$405)-5))),IFERROR(MATCH($B2908,職員マスタ!$A$6:$A$405,0),"")))</f>
        <v/>
      </c>
      <c r="AO2908" s="16">
        <f>IF(OR($B2908="",$C2908="",$D2908=""),"",DATE($C2908+2018,$D2908,1))</f>
        <v/>
      </c>
    </row>
    <row r="2909">
      <c r="A2909" s="11" t="n"/>
      <c r="B2909" s="12" t="n"/>
      <c r="C2909" s="12" t="n"/>
      <c r="D2909" s="12" t="n"/>
      <c r="E2909" s="13" t="n"/>
      <c r="F2909" s="12" t="n"/>
      <c r="G2909" s="13" t="n"/>
      <c r="H2909" s="12" t="n"/>
      <c r="I2909" s="12" t="n"/>
      <c r="J2909" s="12" t="n"/>
      <c r="K2909" s="12" t="n"/>
      <c r="L2909" s="11" t="n"/>
      <c r="M2909" s="11" t="n"/>
      <c r="N2909" s="11" t="n"/>
      <c r="O2909" s="11" t="n"/>
      <c r="P2909" s="12" t="n"/>
      <c r="Q2909" s="11" t="n"/>
      <c r="R2909" s="12" t="n"/>
      <c r="S2909" s="11" t="n"/>
      <c r="T2909" s="12" t="n"/>
      <c r="U2909" s="12" t="n"/>
      <c r="V2909" s="14">
        <f>IF($AN2909="",IF($B2909="","",$H2909),IF(INDEX(職員マスタ!$B$6:$B$405,$AN2909)="",$H2909,INDEX(職員マスタ!$B$6:$B$405,$AN2909)))</f>
        <v/>
      </c>
      <c r="W2909" s="14">
        <f>IF($AN2909="",IF($B2909="","",$R2909),IF(INDEX(職員マスタ!$C$6:$C$405,$AN2909)="",$R2909,INDEX(職員マスタ!$C$6:$C$405,$AN2909)))</f>
        <v/>
      </c>
      <c r="X2909" s="14">
        <f>IF($AO2909="","","R"&amp;$C2909&amp;"."&amp;$D2909)</f>
        <v/>
      </c>
      <c r="Y2909" s="15">
        <f>IF($AN2909="","",IF(INDEX(職員マスタ!$K$6:$K$405,$AN2909)="","",INDEX(職員マスタ!$K$6:$K$405,$AN2909)))</f>
        <v/>
      </c>
      <c r="Z2909" s="14">
        <f>IF(OR($E2909="",$Y2909=""),"",IF($E2909&gt;=$Y2909,"×",IF($E2909&gt;=$Y2909*設定!$C$5,"△","○")))</f>
        <v/>
      </c>
      <c r="AA2909" s="15">
        <f>IF($Z2909="","",IF($Z2909="×",0,IF($Z2909="○",ROUNDDOWN($E2909*設定!$C$4,0),ROUNDDOWN($E2909*ROUND((9*$Y2909-9*$E2909)/(10*$E2909),4),0))))</f>
        <v/>
      </c>
      <c r="AB2909" s="13" t="n"/>
      <c r="AC2909" s="15">
        <f>IF($B2909="","",IF($AB2909&lt;&gt;"",$AB2909,IF($AA2909="","",IF($AA2909&lt;=設定!$C$3,0,$AA2909))))</f>
        <v/>
      </c>
      <c r="AD2909" s="14">
        <f>IF($B2909="","",IF(AND($AE2909&lt;&gt;"",$AG2909="",$AJ2909=""),"保留中",IF($AJ2909&lt;&gt;"",IF(N($AC2909)&gt;0,"支給済","不支給"),IF($AC2909="","要確認",IF($AC2909=0,"不支給","未処理")))))</f>
        <v/>
      </c>
      <c r="AE2909" s="12" t="n"/>
      <c r="AF2909" s="11" t="n"/>
      <c r="AG2909" s="11" t="n"/>
      <c r="AH2909" s="11" t="n"/>
      <c r="AI2909" s="14">
        <f>IF(AND($AD2909="保留中",$AF2909&lt;&gt;""),TODAY()-$AF2909,"")</f>
        <v/>
      </c>
      <c r="AJ2909" s="12" t="n"/>
      <c r="AK2909" s="14">
        <f>IF($B2909="","",IF($AO2909="","対象年月が未入力／","")&amp;IF($B2909="","",IF($AN2909="","職員マスタに未登録の職員番号／",IF($Y2909="","標準報酬月額が未登録／","")&amp;IF(AND($AO2909&lt;&gt;"",OR(AND(INDEX(職員マスタ!$G$6:$G$405,$AN2909)&lt;&gt;"",INDEX(職員マスタ!$G$6:$G$405,$AN2909)&gt;EOMONTH($AO2909,0)),AND(INDEX(職員マスタ!$H$6:$H$405,$AN2909)&lt;&gt;"",INDEX(職員マスタ!$H$6:$H$405,$AN2909)&lt;$AO2909))),"対象月が時短期間外／","")&amp;IF(AND(INDEX(職員マスタ!$F$6:$F$405,$AN2909)&lt;&gt;"",$AO2909&lt;&gt;"",INDEX(職員マスタ!$F$6:$F$405,$AN2909)&lt;$AO2909),"対象月に子が2歳到達済／","")&amp;IF(AND($H2909&lt;&gt;"",INDEX(職員マスタ!$B$6:$B$405,$AN2909)&lt;&gt;"",SUBSTITUTE(SUBSTITUTE($H2909," ","")," ","")&lt;&gt;SUBSTITUTE(SUBSTITUTE(INDEX(職員マスタ!$B$6:$B$405,$AN2909)," ","")," ","")),"氏名がマスタと相違／","")&amp;IF(AND($Q2909&lt;&gt;"",INDEX(職員マスタ!$E$6:$E$405,$AN2909)&lt;&gt;"",$Q2909&lt;&gt;INDEX(職員マスタ!$E$6:$E$405,$AN2909)),"子の生年月日がマスタと相違／","")&amp;IF(AND($L2909&lt;&gt;"",INDEX(職員マスタ!$G$6:$G$405,$AN2909)&lt;&gt;"",$L2909&lt;&gt;INDEX(職員マスタ!$G$6:$G$405,$AN2909)),"時短開始日がマスタと相違／","")&amp;IF(AND($M2909&lt;&gt;"",INDEX(職員マスタ!$H$6:$H$405,$AN2909)&lt;&gt;"",$M2909&lt;&gt;INDEX(職員マスタ!$H$6:$H$405,$AN2909)),"時短終了日がマスタと相違／","")))&amp;IF(AND($B2909&lt;&gt;"",$E2909=""),"報酬額が未入力／","")&amp;IF(N($U2909)&gt;0,"申請書に入力エラーが残っています／","")&amp;IF(AND($B2909&lt;&gt;"",$AO2909&lt;&gt;""),IF(COUNTIFS($B$6:$B$3005,$B2909,$C$6:$C$3005,$C2909,$D$6:$D$3005,$D2909)&gt;1,"同じ月の請求が重複しています／",""),"")&amp;IF(AND(N($E2909)&gt;0,$Z2909&lt;&gt;"",$Z2909&lt;&gt;"×",$AC2909=0,$AB2909=""),"計算額が下限以下のため不支給／",""))</f>
        <v/>
      </c>
      <c r="AL2909" s="12" t="n"/>
      <c r="AM2909" s="14">
        <f>IF($AD2909="保留中",COUNTIF($AD$6:$AD2909,"保留中"),"")</f>
        <v/>
      </c>
      <c r="AN2909" s="14">
        <f>IF($AO2909="","",IF(SUMPRODUCT(MAX((職員マスタ!$A$6:$A$405=$B2909)*(((職員マスタ!$G$6:$G$405="")+(職員マスタ!$G$6:$G$405&lt;=EOMONTH($AO2909,0)))&gt;0)*(((職員マスタ!$H$6:$H$405="")+(職員マスタ!$H$6:$H$405&gt;=$AO2909))&gt;0)*(ROW(職員マスタ!$A$6:$A$405)-5)))&gt;0,SUMPRODUCT(MAX((職員マスタ!$A$6:$A$405=$B2909)*(((職員マスタ!$G$6:$G$405="")+(職員マスタ!$G$6:$G$405&lt;=EOMONTH($AO2909,0)))&gt;0)*(((職員マスタ!$H$6:$H$405="")+(職員マスタ!$H$6:$H$405&gt;=$AO2909))&gt;0)*(ROW(職員マスタ!$A$6:$A$405)-5))),IFERROR(MATCH($B2909,職員マスタ!$A$6:$A$405,0),"")))</f>
        <v/>
      </c>
      <c r="AO2909" s="16">
        <f>IF(OR($B2909="",$C2909="",$D2909=""),"",DATE($C2909+2018,$D2909,1))</f>
        <v/>
      </c>
    </row>
    <row r="2910">
      <c r="A2910" s="11" t="n"/>
      <c r="B2910" s="12" t="n"/>
      <c r="C2910" s="12" t="n"/>
      <c r="D2910" s="12" t="n"/>
      <c r="E2910" s="13" t="n"/>
      <c r="F2910" s="12" t="n"/>
      <c r="G2910" s="13" t="n"/>
      <c r="H2910" s="12" t="n"/>
      <c r="I2910" s="12" t="n"/>
      <c r="J2910" s="12" t="n"/>
      <c r="K2910" s="12" t="n"/>
      <c r="L2910" s="11" t="n"/>
      <c r="M2910" s="11" t="n"/>
      <c r="N2910" s="11" t="n"/>
      <c r="O2910" s="11" t="n"/>
      <c r="P2910" s="12" t="n"/>
      <c r="Q2910" s="11" t="n"/>
      <c r="R2910" s="12" t="n"/>
      <c r="S2910" s="11" t="n"/>
      <c r="T2910" s="12" t="n"/>
      <c r="U2910" s="12" t="n"/>
      <c r="V2910" s="14">
        <f>IF($AN2910="",IF($B2910="","",$H2910),IF(INDEX(職員マスタ!$B$6:$B$405,$AN2910)="",$H2910,INDEX(職員マスタ!$B$6:$B$405,$AN2910)))</f>
        <v/>
      </c>
      <c r="W2910" s="14">
        <f>IF($AN2910="",IF($B2910="","",$R2910),IF(INDEX(職員マスタ!$C$6:$C$405,$AN2910)="",$R2910,INDEX(職員マスタ!$C$6:$C$405,$AN2910)))</f>
        <v/>
      </c>
      <c r="X2910" s="14">
        <f>IF($AO2910="","","R"&amp;$C2910&amp;"."&amp;$D2910)</f>
        <v/>
      </c>
      <c r="Y2910" s="15">
        <f>IF($AN2910="","",IF(INDEX(職員マスタ!$K$6:$K$405,$AN2910)="","",INDEX(職員マスタ!$K$6:$K$405,$AN2910)))</f>
        <v/>
      </c>
      <c r="Z2910" s="14">
        <f>IF(OR($E2910="",$Y2910=""),"",IF($E2910&gt;=$Y2910,"×",IF($E2910&gt;=$Y2910*設定!$C$5,"△","○")))</f>
        <v/>
      </c>
      <c r="AA2910" s="15">
        <f>IF($Z2910="","",IF($Z2910="×",0,IF($Z2910="○",ROUNDDOWN($E2910*設定!$C$4,0),ROUNDDOWN($E2910*ROUND((9*$Y2910-9*$E2910)/(10*$E2910),4),0))))</f>
        <v/>
      </c>
      <c r="AB2910" s="13" t="n"/>
      <c r="AC2910" s="15">
        <f>IF($B2910="","",IF($AB2910&lt;&gt;"",$AB2910,IF($AA2910="","",IF($AA2910&lt;=設定!$C$3,0,$AA2910))))</f>
        <v/>
      </c>
      <c r="AD2910" s="14">
        <f>IF($B2910="","",IF(AND($AE2910&lt;&gt;"",$AG2910="",$AJ2910=""),"保留中",IF($AJ2910&lt;&gt;"",IF(N($AC2910)&gt;0,"支給済","不支給"),IF($AC2910="","要確認",IF($AC2910=0,"不支給","未処理")))))</f>
        <v/>
      </c>
      <c r="AE2910" s="12" t="n"/>
      <c r="AF2910" s="11" t="n"/>
      <c r="AG2910" s="11" t="n"/>
      <c r="AH2910" s="11" t="n"/>
      <c r="AI2910" s="14">
        <f>IF(AND($AD2910="保留中",$AF2910&lt;&gt;""),TODAY()-$AF2910,"")</f>
        <v/>
      </c>
      <c r="AJ2910" s="12" t="n"/>
      <c r="AK2910" s="14">
        <f>IF($B2910="","",IF($AO2910="","対象年月が未入力／","")&amp;IF($B2910="","",IF($AN2910="","職員マスタに未登録の職員番号／",IF($Y2910="","標準報酬月額が未登録／","")&amp;IF(AND($AO2910&lt;&gt;"",OR(AND(INDEX(職員マスタ!$G$6:$G$405,$AN2910)&lt;&gt;"",INDEX(職員マスタ!$G$6:$G$405,$AN2910)&gt;EOMONTH($AO2910,0)),AND(INDEX(職員マスタ!$H$6:$H$405,$AN2910)&lt;&gt;"",INDEX(職員マスタ!$H$6:$H$405,$AN2910)&lt;$AO2910))),"対象月が時短期間外／","")&amp;IF(AND(INDEX(職員マスタ!$F$6:$F$405,$AN2910)&lt;&gt;"",$AO2910&lt;&gt;"",INDEX(職員マスタ!$F$6:$F$405,$AN2910)&lt;$AO2910),"対象月に子が2歳到達済／","")&amp;IF(AND($H2910&lt;&gt;"",INDEX(職員マスタ!$B$6:$B$405,$AN2910)&lt;&gt;"",SUBSTITUTE(SUBSTITUTE($H2910," ","")," ","")&lt;&gt;SUBSTITUTE(SUBSTITUTE(INDEX(職員マスタ!$B$6:$B$405,$AN2910)," ","")," ","")),"氏名がマスタと相違／","")&amp;IF(AND($Q2910&lt;&gt;"",INDEX(職員マスタ!$E$6:$E$405,$AN2910)&lt;&gt;"",$Q2910&lt;&gt;INDEX(職員マスタ!$E$6:$E$405,$AN2910)),"子の生年月日がマスタと相違／","")&amp;IF(AND($L2910&lt;&gt;"",INDEX(職員マスタ!$G$6:$G$405,$AN2910)&lt;&gt;"",$L2910&lt;&gt;INDEX(職員マスタ!$G$6:$G$405,$AN2910)),"時短開始日がマスタと相違／","")&amp;IF(AND($M2910&lt;&gt;"",INDEX(職員マスタ!$H$6:$H$405,$AN2910)&lt;&gt;"",$M2910&lt;&gt;INDEX(職員マスタ!$H$6:$H$405,$AN2910)),"時短終了日がマスタと相違／","")))&amp;IF(AND($B2910&lt;&gt;"",$E2910=""),"報酬額が未入力／","")&amp;IF(N($U2910)&gt;0,"申請書に入力エラーが残っています／","")&amp;IF(AND($B2910&lt;&gt;"",$AO2910&lt;&gt;""),IF(COUNTIFS($B$6:$B$3005,$B2910,$C$6:$C$3005,$C2910,$D$6:$D$3005,$D2910)&gt;1,"同じ月の請求が重複しています／",""),"")&amp;IF(AND(N($E2910)&gt;0,$Z2910&lt;&gt;"",$Z2910&lt;&gt;"×",$AC2910=0,$AB2910=""),"計算額が下限以下のため不支給／",""))</f>
        <v/>
      </c>
      <c r="AL2910" s="12" t="n"/>
      <c r="AM2910" s="14">
        <f>IF($AD2910="保留中",COUNTIF($AD$6:$AD2910,"保留中"),"")</f>
        <v/>
      </c>
      <c r="AN2910" s="14">
        <f>IF($AO2910="","",IF(SUMPRODUCT(MAX((職員マスタ!$A$6:$A$405=$B2910)*(((職員マスタ!$G$6:$G$405="")+(職員マスタ!$G$6:$G$405&lt;=EOMONTH($AO2910,0)))&gt;0)*(((職員マスタ!$H$6:$H$405="")+(職員マスタ!$H$6:$H$405&gt;=$AO2910))&gt;0)*(ROW(職員マスタ!$A$6:$A$405)-5)))&gt;0,SUMPRODUCT(MAX((職員マスタ!$A$6:$A$405=$B2910)*(((職員マスタ!$G$6:$G$405="")+(職員マスタ!$G$6:$G$405&lt;=EOMONTH($AO2910,0)))&gt;0)*(((職員マスタ!$H$6:$H$405="")+(職員マスタ!$H$6:$H$405&gt;=$AO2910))&gt;0)*(ROW(職員マスタ!$A$6:$A$405)-5))),IFERROR(MATCH($B2910,職員マスタ!$A$6:$A$405,0),"")))</f>
        <v/>
      </c>
      <c r="AO2910" s="16">
        <f>IF(OR($B2910="",$C2910="",$D2910=""),"",DATE($C2910+2018,$D2910,1))</f>
        <v/>
      </c>
    </row>
    <row r="2911">
      <c r="A2911" s="11" t="n"/>
      <c r="B2911" s="12" t="n"/>
      <c r="C2911" s="12" t="n"/>
      <c r="D2911" s="12" t="n"/>
      <c r="E2911" s="13" t="n"/>
      <c r="F2911" s="12" t="n"/>
      <c r="G2911" s="13" t="n"/>
      <c r="H2911" s="12" t="n"/>
      <c r="I2911" s="12" t="n"/>
      <c r="J2911" s="12" t="n"/>
      <c r="K2911" s="12" t="n"/>
      <c r="L2911" s="11" t="n"/>
      <c r="M2911" s="11" t="n"/>
      <c r="N2911" s="11" t="n"/>
      <c r="O2911" s="11" t="n"/>
      <c r="P2911" s="12" t="n"/>
      <c r="Q2911" s="11" t="n"/>
      <c r="R2911" s="12" t="n"/>
      <c r="S2911" s="11" t="n"/>
      <c r="T2911" s="12" t="n"/>
      <c r="U2911" s="12" t="n"/>
      <c r="V2911" s="14">
        <f>IF($AN2911="",IF($B2911="","",$H2911),IF(INDEX(職員マスタ!$B$6:$B$405,$AN2911)="",$H2911,INDEX(職員マスタ!$B$6:$B$405,$AN2911)))</f>
        <v/>
      </c>
      <c r="W2911" s="14">
        <f>IF($AN2911="",IF($B2911="","",$R2911),IF(INDEX(職員マスタ!$C$6:$C$405,$AN2911)="",$R2911,INDEX(職員マスタ!$C$6:$C$405,$AN2911)))</f>
        <v/>
      </c>
      <c r="X2911" s="14">
        <f>IF($AO2911="","","R"&amp;$C2911&amp;"."&amp;$D2911)</f>
        <v/>
      </c>
      <c r="Y2911" s="15">
        <f>IF($AN2911="","",IF(INDEX(職員マスタ!$K$6:$K$405,$AN2911)="","",INDEX(職員マスタ!$K$6:$K$405,$AN2911)))</f>
        <v/>
      </c>
      <c r="Z2911" s="14">
        <f>IF(OR($E2911="",$Y2911=""),"",IF($E2911&gt;=$Y2911,"×",IF($E2911&gt;=$Y2911*設定!$C$5,"△","○")))</f>
        <v/>
      </c>
      <c r="AA2911" s="15">
        <f>IF($Z2911="","",IF($Z2911="×",0,IF($Z2911="○",ROUNDDOWN($E2911*設定!$C$4,0),ROUNDDOWN($E2911*ROUND((9*$Y2911-9*$E2911)/(10*$E2911),4),0))))</f>
        <v/>
      </c>
      <c r="AB2911" s="13" t="n"/>
      <c r="AC2911" s="15">
        <f>IF($B2911="","",IF($AB2911&lt;&gt;"",$AB2911,IF($AA2911="","",IF($AA2911&lt;=設定!$C$3,0,$AA2911))))</f>
        <v/>
      </c>
      <c r="AD2911" s="14">
        <f>IF($B2911="","",IF(AND($AE2911&lt;&gt;"",$AG2911="",$AJ2911=""),"保留中",IF($AJ2911&lt;&gt;"",IF(N($AC2911)&gt;0,"支給済","不支給"),IF($AC2911="","要確認",IF($AC2911=0,"不支給","未処理")))))</f>
        <v/>
      </c>
      <c r="AE2911" s="12" t="n"/>
      <c r="AF2911" s="11" t="n"/>
      <c r="AG2911" s="11" t="n"/>
      <c r="AH2911" s="11" t="n"/>
      <c r="AI2911" s="14">
        <f>IF(AND($AD2911="保留中",$AF2911&lt;&gt;""),TODAY()-$AF2911,"")</f>
        <v/>
      </c>
      <c r="AJ2911" s="12" t="n"/>
      <c r="AK2911" s="14">
        <f>IF($B2911="","",IF($AO2911="","対象年月が未入力／","")&amp;IF($B2911="","",IF($AN2911="","職員マスタに未登録の職員番号／",IF($Y2911="","標準報酬月額が未登録／","")&amp;IF(AND($AO2911&lt;&gt;"",OR(AND(INDEX(職員マスタ!$G$6:$G$405,$AN2911)&lt;&gt;"",INDEX(職員マスタ!$G$6:$G$405,$AN2911)&gt;EOMONTH($AO2911,0)),AND(INDEX(職員マスタ!$H$6:$H$405,$AN2911)&lt;&gt;"",INDEX(職員マスタ!$H$6:$H$405,$AN2911)&lt;$AO2911))),"対象月が時短期間外／","")&amp;IF(AND(INDEX(職員マスタ!$F$6:$F$405,$AN2911)&lt;&gt;"",$AO2911&lt;&gt;"",INDEX(職員マスタ!$F$6:$F$405,$AN2911)&lt;$AO2911),"対象月に子が2歳到達済／","")&amp;IF(AND($H2911&lt;&gt;"",INDEX(職員マスタ!$B$6:$B$405,$AN2911)&lt;&gt;"",SUBSTITUTE(SUBSTITUTE($H2911," ","")," ","")&lt;&gt;SUBSTITUTE(SUBSTITUTE(INDEX(職員マスタ!$B$6:$B$405,$AN2911)," ","")," ","")),"氏名がマスタと相違／","")&amp;IF(AND($Q2911&lt;&gt;"",INDEX(職員マスタ!$E$6:$E$405,$AN2911)&lt;&gt;"",$Q2911&lt;&gt;INDEX(職員マスタ!$E$6:$E$405,$AN2911)),"子の生年月日がマスタと相違／","")&amp;IF(AND($L2911&lt;&gt;"",INDEX(職員マスタ!$G$6:$G$405,$AN2911)&lt;&gt;"",$L2911&lt;&gt;INDEX(職員マスタ!$G$6:$G$405,$AN2911)),"時短開始日がマスタと相違／","")&amp;IF(AND($M2911&lt;&gt;"",INDEX(職員マスタ!$H$6:$H$405,$AN2911)&lt;&gt;"",$M2911&lt;&gt;INDEX(職員マスタ!$H$6:$H$405,$AN2911)),"時短終了日がマスタと相違／","")))&amp;IF(AND($B2911&lt;&gt;"",$E2911=""),"報酬額が未入力／","")&amp;IF(N($U2911)&gt;0,"申請書に入力エラーが残っています／","")&amp;IF(AND($B2911&lt;&gt;"",$AO2911&lt;&gt;""),IF(COUNTIFS($B$6:$B$3005,$B2911,$C$6:$C$3005,$C2911,$D$6:$D$3005,$D2911)&gt;1,"同じ月の請求が重複しています／",""),"")&amp;IF(AND(N($E2911)&gt;0,$Z2911&lt;&gt;"",$Z2911&lt;&gt;"×",$AC2911=0,$AB2911=""),"計算額が下限以下のため不支給／",""))</f>
        <v/>
      </c>
      <c r="AL2911" s="12" t="n"/>
      <c r="AM2911" s="14">
        <f>IF($AD2911="保留中",COUNTIF($AD$6:$AD2911,"保留中"),"")</f>
        <v/>
      </c>
      <c r="AN2911" s="14">
        <f>IF($AO2911="","",IF(SUMPRODUCT(MAX((職員マスタ!$A$6:$A$405=$B2911)*(((職員マスタ!$G$6:$G$405="")+(職員マスタ!$G$6:$G$405&lt;=EOMONTH($AO2911,0)))&gt;0)*(((職員マスタ!$H$6:$H$405="")+(職員マスタ!$H$6:$H$405&gt;=$AO2911))&gt;0)*(ROW(職員マスタ!$A$6:$A$405)-5)))&gt;0,SUMPRODUCT(MAX((職員マスタ!$A$6:$A$405=$B2911)*(((職員マスタ!$G$6:$G$405="")+(職員マスタ!$G$6:$G$405&lt;=EOMONTH($AO2911,0)))&gt;0)*(((職員マスタ!$H$6:$H$405="")+(職員マスタ!$H$6:$H$405&gt;=$AO2911))&gt;0)*(ROW(職員マスタ!$A$6:$A$405)-5))),IFERROR(MATCH($B2911,職員マスタ!$A$6:$A$405,0),"")))</f>
        <v/>
      </c>
      <c r="AO2911" s="16">
        <f>IF(OR($B2911="",$C2911="",$D2911=""),"",DATE($C2911+2018,$D2911,1))</f>
        <v/>
      </c>
    </row>
    <row r="2912">
      <c r="A2912" s="11" t="n"/>
      <c r="B2912" s="12" t="n"/>
      <c r="C2912" s="12" t="n"/>
      <c r="D2912" s="12" t="n"/>
      <c r="E2912" s="13" t="n"/>
      <c r="F2912" s="12" t="n"/>
      <c r="G2912" s="13" t="n"/>
      <c r="H2912" s="12" t="n"/>
      <c r="I2912" s="12" t="n"/>
      <c r="J2912" s="12" t="n"/>
      <c r="K2912" s="12" t="n"/>
      <c r="L2912" s="11" t="n"/>
      <c r="M2912" s="11" t="n"/>
      <c r="N2912" s="11" t="n"/>
      <c r="O2912" s="11" t="n"/>
      <c r="P2912" s="12" t="n"/>
      <c r="Q2912" s="11" t="n"/>
      <c r="R2912" s="12" t="n"/>
      <c r="S2912" s="11" t="n"/>
      <c r="T2912" s="12" t="n"/>
      <c r="U2912" s="12" t="n"/>
      <c r="V2912" s="14">
        <f>IF($AN2912="",IF($B2912="","",$H2912),IF(INDEX(職員マスタ!$B$6:$B$405,$AN2912)="",$H2912,INDEX(職員マスタ!$B$6:$B$405,$AN2912)))</f>
        <v/>
      </c>
      <c r="W2912" s="14">
        <f>IF($AN2912="",IF($B2912="","",$R2912),IF(INDEX(職員マスタ!$C$6:$C$405,$AN2912)="",$R2912,INDEX(職員マスタ!$C$6:$C$405,$AN2912)))</f>
        <v/>
      </c>
      <c r="X2912" s="14">
        <f>IF($AO2912="","","R"&amp;$C2912&amp;"."&amp;$D2912)</f>
        <v/>
      </c>
      <c r="Y2912" s="15">
        <f>IF($AN2912="","",IF(INDEX(職員マスタ!$K$6:$K$405,$AN2912)="","",INDEX(職員マスタ!$K$6:$K$405,$AN2912)))</f>
        <v/>
      </c>
      <c r="Z2912" s="14">
        <f>IF(OR($E2912="",$Y2912=""),"",IF($E2912&gt;=$Y2912,"×",IF($E2912&gt;=$Y2912*設定!$C$5,"△","○")))</f>
        <v/>
      </c>
      <c r="AA2912" s="15">
        <f>IF($Z2912="","",IF($Z2912="×",0,IF($Z2912="○",ROUNDDOWN($E2912*設定!$C$4,0),ROUNDDOWN($E2912*ROUND((9*$Y2912-9*$E2912)/(10*$E2912),4),0))))</f>
        <v/>
      </c>
      <c r="AB2912" s="13" t="n"/>
      <c r="AC2912" s="15">
        <f>IF($B2912="","",IF($AB2912&lt;&gt;"",$AB2912,IF($AA2912="","",IF($AA2912&lt;=設定!$C$3,0,$AA2912))))</f>
        <v/>
      </c>
      <c r="AD2912" s="14">
        <f>IF($B2912="","",IF(AND($AE2912&lt;&gt;"",$AG2912="",$AJ2912=""),"保留中",IF($AJ2912&lt;&gt;"",IF(N($AC2912)&gt;0,"支給済","不支給"),IF($AC2912="","要確認",IF($AC2912=0,"不支給","未処理")))))</f>
        <v/>
      </c>
      <c r="AE2912" s="12" t="n"/>
      <c r="AF2912" s="11" t="n"/>
      <c r="AG2912" s="11" t="n"/>
      <c r="AH2912" s="11" t="n"/>
      <c r="AI2912" s="14">
        <f>IF(AND($AD2912="保留中",$AF2912&lt;&gt;""),TODAY()-$AF2912,"")</f>
        <v/>
      </c>
      <c r="AJ2912" s="12" t="n"/>
      <c r="AK2912" s="14">
        <f>IF($B2912="","",IF($AO2912="","対象年月が未入力／","")&amp;IF($B2912="","",IF($AN2912="","職員マスタに未登録の職員番号／",IF($Y2912="","標準報酬月額が未登録／","")&amp;IF(AND($AO2912&lt;&gt;"",OR(AND(INDEX(職員マスタ!$G$6:$G$405,$AN2912)&lt;&gt;"",INDEX(職員マスタ!$G$6:$G$405,$AN2912)&gt;EOMONTH($AO2912,0)),AND(INDEX(職員マスタ!$H$6:$H$405,$AN2912)&lt;&gt;"",INDEX(職員マスタ!$H$6:$H$405,$AN2912)&lt;$AO2912))),"対象月が時短期間外／","")&amp;IF(AND(INDEX(職員マスタ!$F$6:$F$405,$AN2912)&lt;&gt;"",$AO2912&lt;&gt;"",INDEX(職員マスタ!$F$6:$F$405,$AN2912)&lt;$AO2912),"対象月に子が2歳到達済／","")&amp;IF(AND($H2912&lt;&gt;"",INDEX(職員マスタ!$B$6:$B$405,$AN2912)&lt;&gt;"",SUBSTITUTE(SUBSTITUTE($H2912," ","")," ","")&lt;&gt;SUBSTITUTE(SUBSTITUTE(INDEX(職員マスタ!$B$6:$B$405,$AN2912)," ","")," ","")),"氏名がマスタと相違／","")&amp;IF(AND($Q2912&lt;&gt;"",INDEX(職員マスタ!$E$6:$E$405,$AN2912)&lt;&gt;"",$Q2912&lt;&gt;INDEX(職員マスタ!$E$6:$E$405,$AN2912)),"子の生年月日がマスタと相違／","")&amp;IF(AND($L2912&lt;&gt;"",INDEX(職員マスタ!$G$6:$G$405,$AN2912)&lt;&gt;"",$L2912&lt;&gt;INDEX(職員マスタ!$G$6:$G$405,$AN2912)),"時短開始日がマスタと相違／","")&amp;IF(AND($M2912&lt;&gt;"",INDEX(職員マスタ!$H$6:$H$405,$AN2912)&lt;&gt;"",$M2912&lt;&gt;INDEX(職員マスタ!$H$6:$H$405,$AN2912)),"時短終了日がマスタと相違／","")))&amp;IF(AND($B2912&lt;&gt;"",$E2912=""),"報酬額が未入力／","")&amp;IF(N($U2912)&gt;0,"申請書に入力エラーが残っています／","")&amp;IF(AND($B2912&lt;&gt;"",$AO2912&lt;&gt;""),IF(COUNTIFS($B$6:$B$3005,$B2912,$C$6:$C$3005,$C2912,$D$6:$D$3005,$D2912)&gt;1,"同じ月の請求が重複しています／",""),"")&amp;IF(AND(N($E2912)&gt;0,$Z2912&lt;&gt;"",$Z2912&lt;&gt;"×",$AC2912=0,$AB2912=""),"計算額が下限以下のため不支給／",""))</f>
        <v/>
      </c>
      <c r="AL2912" s="12" t="n"/>
      <c r="AM2912" s="14">
        <f>IF($AD2912="保留中",COUNTIF($AD$6:$AD2912,"保留中"),"")</f>
        <v/>
      </c>
      <c r="AN2912" s="14">
        <f>IF($AO2912="","",IF(SUMPRODUCT(MAX((職員マスタ!$A$6:$A$405=$B2912)*(((職員マスタ!$G$6:$G$405="")+(職員マスタ!$G$6:$G$405&lt;=EOMONTH($AO2912,0)))&gt;0)*(((職員マスタ!$H$6:$H$405="")+(職員マスタ!$H$6:$H$405&gt;=$AO2912))&gt;0)*(ROW(職員マスタ!$A$6:$A$405)-5)))&gt;0,SUMPRODUCT(MAX((職員マスタ!$A$6:$A$405=$B2912)*(((職員マスタ!$G$6:$G$405="")+(職員マスタ!$G$6:$G$405&lt;=EOMONTH($AO2912,0)))&gt;0)*(((職員マスタ!$H$6:$H$405="")+(職員マスタ!$H$6:$H$405&gt;=$AO2912))&gt;0)*(ROW(職員マスタ!$A$6:$A$405)-5))),IFERROR(MATCH($B2912,職員マスタ!$A$6:$A$405,0),"")))</f>
        <v/>
      </c>
      <c r="AO2912" s="16">
        <f>IF(OR($B2912="",$C2912="",$D2912=""),"",DATE($C2912+2018,$D2912,1))</f>
        <v/>
      </c>
    </row>
    <row r="2913">
      <c r="A2913" s="11" t="n"/>
      <c r="B2913" s="12" t="n"/>
      <c r="C2913" s="12" t="n"/>
      <c r="D2913" s="12" t="n"/>
      <c r="E2913" s="13" t="n"/>
      <c r="F2913" s="12" t="n"/>
      <c r="G2913" s="13" t="n"/>
      <c r="H2913" s="12" t="n"/>
      <c r="I2913" s="12" t="n"/>
      <c r="J2913" s="12" t="n"/>
      <c r="K2913" s="12" t="n"/>
      <c r="L2913" s="11" t="n"/>
      <c r="M2913" s="11" t="n"/>
      <c r="N2913" s="11" t="n"/>
      <c r="O2913" s="11" t="n"/>
      <c r="P2913" s="12" t="n"/>
      <c r="Q2913" s="11" t="n"/>
      <c r="R2913" s="12" t="n"/>
      <c r="S2913" s="11" t="n"/>
      <c r="T2913" s="12" t="n"/>
      <c r="U2913" s="12" t="n"/>
      <c r="V2913" s="14">
        <f>IF($AN2913="",IF($B2913="","",$H2913),IF(INDEX(職員マスタ!$B$6:$B$405,$AN2913)="",$H2913,INDEX(職員マスタ!$B$6:$B$405,$AN2913)))</f>
        <v/>
      </c>
      <c r="W2913" s="14">
        <f>IF($AN2913="",IF($B2913="","",$R2913),IF(INDEX(職員マスタ!$C$6:$C$405,$AN2913)="",$R2913,INDEX(職員マスタ!$C$6:$C$405,$AN2913)))</f>
        <v/>
      </c>
      <c r="X2913" s="14">
        <f>IF($AO2913="","","R"&amp;$C2913&amp;"."&amp;$D2913)</f>
        <v/>
      </c>
      <c r="Y2913" s="15">
        <f>IF($AN2913="","",IF(INDEX(職員マスタ!$K$6:$K$405,$AN2913)="","",INDEX(職員マスタ!$K$6:$K$405,$AN2913)))</f>
        <v/>
      </c>
      <c r="Z2913" s="14">
        <f>IF(OR($E2913="",$Y2913=""),"",IF($E2913&gt;=$Y2913,"×",IF($E2913&gt;=$Y2913*設定!$C$5,"△","○")))</f>
        <v/>
      </c>
      <c r="AA2913" s="15">
        <f>IF($Z2913="","",IF($Z2913="×",0,IF($Z2913="○",ROUNDDOWN($E2913*設定!$C$4,0),ROUNDDOWN($E2913*ROUND((9*$Y2913-9*$E2913)/(10*$E2913),4),0))))</f>
        <v/>
      </c>
      <c r="AB2913" s="13" t="n"/>
      <c r="AC2913" s="15">
        <f>IF($B2913="","",IF($AB2913&lt;&gt;"",$AB2913,IF($AA2913="","",IF($AA2913&lt;=設定!$C$3,0,$AA2913))))</f>
        <v/>
      </c>
      <c r="AD2913" s="14">
        <f>IF($B2913="","",IF(AND($AE2913&lt;&gt;"",$AG2913="",$AJ2913=""),"保留中",IF($AJ2913&lt;&gt;"",IF(N($AC2913)&gt;0,"支給済","不支給"),IF($AC2913="","要確認",IF($AC2913=0,"不支給","未処理")))))</f>
        <v/>
      </c>
      <c r="AE2913" s="12" t="n"/>
      <c r="AF2913" s="11" t="n"/>
      <c r="AG2913" s="11" t="n"/>
      <c r="AH2913" s="11" t="n"/>
      <c r="AI2913" s="14">
        <f>IF(AND($AD2913="保留中",$AF2913&lt;&gt;""),TODAY()-$AF2913,"")</f>
        <v/>
      </c>
      <c r="AJ2913" s="12" t="n"/>
      <c r="AK2913" s="14">
        <f>IF($B2913="","",IF($AO2913="","対象年月が未入力／","")&amp;IF($B2913="","",IF($AN2913="","職員マスタに未登録の職員番号／",IF($Y2913="","標準報酬月額が未登録／","")&amp;IF(AND($AO2913&lt;&gt;"",OR(AND(INDEX(職員マスタ!$G$6:$G$405,$AN2913)&lt;&gt;"",INDEX(職員マスタ!$G$6:$G$405,$AN2913)&gt;EOMONTH($AO2913,0)),AND(INDEX(職員マスタ!$H$6:$H$405,$AN2913)&lt;&gt;"",INDEX(職員マスタ!$H$6:$H$405,$AN2913)&lt;$AO2913))),"対象月が時短期間外／","")&amp;IF(AND(INDEX(職員マスタ!$F$6:$F$405,$AN2913)&lt;&gt;"",$AO2913&lt;&gt;"",INDEX(職員マスタ!$F$6:$F$405,$AN2913)&lt;$AO2913),"対象月に子が2歳到達済／","")&amp;IF(AND($H2913&lt;&gt;"",INDEX(職員マスタ!$B$6:$B$405,$AN2913)&lt;&gt;"",SUBSTITUTE(SUBSTITUTE($H2913," ","")," ","")&lt;&gt;SUBSTITUTE(SUBSTITUTE(INDEX(職員マスタ!$B$6:$B$405,$AN2913)," ","")," ","")),"氏名がマスタと相違／","")&amp;IF(AND($Q2913&lt;&gt;"",INDEX(職員マスタ!$E$6:$E$405,$AN2913)&lt;&gt;"",$Q2913&lt;&gt;INDEX(職員マスタ!$E$6:$E$405,$AN2913)),"子の生年月日がマスタと相違／","")&amp;IF(AND($L2913&lt;&gt;"",INDEX(職員マスタ!$G$6:$G$405,$AN2913)&lt;&gt;"",$L2913&lt;&gt;INDEX(職員マスタ!$G$6:$G$405,$AN2913)),"時短開始日がマスタと相違／","")&amp;IF(AND($M2913&lt;&gt;"",INDEX(職員マスタ!$H$6:$H$405,$AN2913)&lt;&gt;"",$M2913&lt;&gt;INDEX(職員マスタ!$H$6:$H$405,$AN2913)),"時短終了日がマスタと相違／","")))&amp;IF(AND($B2913&lt;&gt;"",$E2913=""),"報酬額が未入力／","")&amp;IF(N($U2913)&gt;0,"申請書に入力エラーが残っています／","")&amp;IF(AND($B2913&lt;&gt;"",$AO2913&lt;&gt;""),IF(COUNTIFS($B$6:$B$3005,$B2913,$C$6:$C$3005,$C2913,$D$6:$D$3005,$D2913)&gt;1,"同じ月の請求が重複しています／",""),"")&amp;IF(AND(N($E2913)&gt;0,$Z2913&lt;&gt;"",$Z2913&lt;&gt;"×",$AC2913=0,$AB2913=""),"計算額が下限以下のため不支給／",""))</f>
        <v/>
      </c>
      <c r="AL2913" s="12" t="n"/>
      <c r="AM2913" s="14">
        <f>IF($AD2913="保留中",COUNTIF($AD$6:$AD2913,"保留中"),"")</f>
        <v/>
      </c>
      <c r="AN2913" s="14">
        <f>IF($AO2913="","",IF(SUMPRODUCT(MAX((職員マスタ!$A$6:$A$405=$B2913)*(((職員マスタ!$G$6:$G$405="")+(職員マスタ!$G$6:$G$405&lt;=EOMONTH($AO2913,0)))&gt;0)*(((職員マスタ!$H$6:$H$405="")+(職員マスタ!$H$6:$H$405&gt;=$AO2913))&gt;0)*(ROW(職員マスタ!$A$6:$A$405)-5)))&gt;0,SUMPRODUCT(MAX((職員マスタ!$A$6:$A$405=$B2913)*(((職員マスタ!$G$6:$G$405="")+(職員マスタ!$G$6:$G$405&lt;=EOMONTH($AO2913,0)))&gt;0)*(((職員マスタ!$H$6:$H$405="")+(職員マスタ!$H$6:$H$405&gt;=$AO2913))&gt;0)*(ROW(職員マスタ!$A$6:$A$405)-5))),IFERROR(MATCH($B2913,職員マスタ!$A$6:$A$405,0),"")))</f>
        <v/>
      </c>
      <c r="AO2913" s="16">
        <f>IF(OR($B2913="",$C2913="",$D2913=""),"",DATE($C2913+2018,$D2913,1))</f>
        <v/>
      </c>
    </row>
    <row r="2914">
      <c r="A2914" s="11" t="n"/>
      <c r="B2914" s="12" t="n"/>
      <c r="C2914" s="12" t="n"/>
      <c r="D2914" s="12" t="n"/>
      <c r="E2914" s="13" t="n"/>
      <c r="F2914" s="12" t="n"/>
      <c r="G2914" s="13" t="n"/>
      <c r="H2914" s="12" t="n"/>
      <c r="I2914" s="12" t="n"/>
      <c r="J2914" s="12" t="n"/>
      <c r="K2914" s="12" t="n"/>
      <c r="L2914" s="11" t="n"/>
      <c r="M2914" s="11" t="n"/>
      <c r="N2914" s="11" t="n"/>
      <c r="O2914" s="11" t="n"/>
      <c r="P2914" s="12" t="n"/>
      <c r="Q2914" s="11" t="n"/>
      <c r="R2914" s="12" t="n"/>
      <c r="S2914" s="11" t="n"/>
      <c r="T2914" s="12" t="n"/>
      <c r="U2914" s="12" t="n"/>
      <c r="V2914" s="14">
        <f>IF($AN2914="",IF($B2914="","",$H2914),IF(INDEX(職員マスタ!$B$6:$B$405,$AN2914)="",$H2914,INDEX(職員マスタ!$B$6:$B$405,$AN2914)))</f>
        <v/>
      </c>
      <c r="W2914" s="14">
        <f>IF($AN2914="",IF($B2914="","",$R2914),IF(INDEX(職員マスタ!$C$6:$C$405,$AN2914)="",$R2914,INDEX(職員マスタ!$C$6:$C$405,$AN2914)))</f>
        <v/>
      </c>
      <c r="X2914" s="14">
        <f>IF($AO2914="","","R"&amp;$C2914&amp;"."&amp;$D2914)</f>
        <v/>
      </c>
      <c r="Y2914" s="15">
        <f>IF($AN2914="","",IF(INDEX(職員マスタ!$K$6:$K$405,$AN2914)="","",INDEX(職員マスタ!$K$6:$K$405,$AN2914)))</f>
        <v/>
      </c>
      <c r="Z2914" s="14">
        <f>IF(OR($E2914="",$Y2914=""),"",IF($E2914&gt;=$Y2914,"×",IF($E2914&gt;=$Y2914*設定!$C$5,"△","○")))</f>
        <v/>
      </c>
      <c r="AA2914" s="15">
        <f>IF($Z2914="","",IF($Z2914="×",0,IF($Z2914="○",ROUNDDOWN($E2914*設定!$C$4,0),ROUNDDOWN($E2914*ROUND((9*$Y2914-9*$E2914)/(10*$E2914),4),0))))</f>
        <v/>
      </c>
      <c r="AB2914" s="13" t="n"/>
      <c r="AC2914" s="15">
        <f>IF($B2914="","",IF($AB2914&lt;&gt;"",$AB2914,IF($AA2914="","",IF($AA2914&lt;=設定!$C$3,0,$AA2914))))</f>
        <v/>
      </c>
      <c r="AD2914" s="14">
        <f>IF($B2914="","",IF(AND($AE2914&lt;&gt;"",$AG2914="",$AJ2914=""),"保留中",IF($AJ2914&lt;&gt;"",IF(N($AC2914)&gt;0,"支給済","不支給"),IF($AC2914="","要確認",IF($AC2914=0,"不支給","未処理")))))</f>
        <v/>
      </c>
      <c r="AE2914" s="12" t="n"/>
      <c r="AF2914" s="11" t="n"/>
      <c r="AG2914" s="11" t="n"/>
      <c r="AH2914" s="11" t="n"/>
      <c r="AI2914" s="14">
        <f>IF(AND($AD2914="保留中",$AF2914&lt;&gt;""),TODAY()-$AF2914,"")</f>
        <v/>
      </c>
      <c r="AJ2914" s="12" t="n"/>
      <c r="AK2914" s="14">
        <f>IF($B2914="","",IF($AO2914="","対象年月が未入力／","")&amp;IF($B2914="","",IF($AN2914="","職員マスタに未登録の職員番号／",IF($Y2914="","標準報酬月額が未登録／","")&amp;IF(AND($AO2914&lt;&gt;"",OR(AND(INDEX(職員マスタ!$G$6:$G$405,$AN2914)&lt;&gt;"",INDEX(職員マスタ!$G$6:$G$405,$AN2914)&gt;EOMONTH($AO2914,0)),AND(INDEX(職員マスタ!$H$6:$H$405,$AN2914)&lt;&gt;"",INDEX(職員マスタ!$H$6:$H$405,$AN2914)&lt;$AO2914))),"対象月が時短期間外／","")&amp;IF(AND(INDEX(職員マスタ!$F$6:$F$405,$AN2914)&lt;&gt;"",$AO2914&lt;&gt;"",INDEX(職員マスタ!$F$6:$F$405,$AN2914)&lt;$AO2914),"対象月に子が2歳到達済／","")&amp;IF(AND($H2914&lt;&gt;"",INDEX(職員マスタ!$B$6:$B$405,$AN2914)&lt;&gt;"",SUBSTITUTE(SUBSTITUTE($H2914," ","")," ","")&lt;&gt;SUBSTITUTE(SUBSTITUTE(INDEX(職員マスタ!$B$6:$B$405,$AN2914)," ","")," ","")),"氏名がマスタと相違／","")&amp;IF(AND($Q2914&lt;&gt;"",INDEX(職員マスタ!$E$6:$E$405,$AN2914)&lt;&gt;"",$Q2914&lt;&gt;INDEX(職員マスタ!$E$6:$E$405,$AN2914)),"子の生年月日がマスタと相違／","")&amp;IF(AND($L2914&lt;&gt;"",INDEX(職員マスタ!$G$6:$G$405,$AN2914)&lt;&gt;"",$L2914&lt;&gt;INDEX(職員マスタ!$G$6:$G$405,$AN2914)),"時短開始日がマスタと相違／","")&amp;IF(AND($M2914&lt;&gt;"",INDEX(職員マスタ!$H$6:$H$405,$AN2914)&lt;&gt;"",$M2914&lt;&gt;INDEX(職員マスタ!$H$6:$H$405,$AN2914)),"時短終了日がマスタと相違／","")))&amp;IF(AND($B2914&lt;&gt;"",$E2914=""),"報酬額が未入力／","")&amp;IF(N($U2914)&gt;0,"申請書に入力エラーが残っています／","")&amp;IF(AND($B2914&lt;&gt;"",$AO2914&lt;&gt;""),IF(COUNTIFS($B$6:$B$3005,$B2914,$C$6:$C$3005,$C2914,$D$6:$D$3005,$D2914)&gt;1,"同じ月の請求が重複しています／",""),"")&amp;IF(AND(N($E2914)&gt;0,$Z2914&lt;&gt;"",$Z2914&lt;&gt;"×",$AC2914=0,$AB2914=""),"計算額が下限以下のため不支給／",""))</f>
        <v/>
      </c>
      <c r="AL2914" s="12" t="n"/>
      <c r="AM2914" s="14">
        <f>IF($AD2914="保留中",COUNTIF($AD$6:$AD2914,"保留中"),"")</f>
        <v/>
      </c>
      <c r="AN2914" s="14">
        <f>IF($AO2914="","",IF(SUMPRODUCT(MAX((職員マスタ!$A$6:$A$405=$B2914)*(((職員マスタ!$G$6:$G$405="")+(職員マスタ!$G$6:$G$405&lt;=EOMONTH($AO2914,0)))&gt;0)*(((職員マスタ!$H$6:$H$405="")+(職員マスタ!$H$6:$H$405&gt;=$AO2914))&gt;0)*(ROW(職員マスタ!$A$6:$A$405)-5)))&gt;0,SUMPRODUCT(MAX((職員マスタ!$A$6:$A$405=$B2914)*(((職員マスタ!$G$6:$G$405="")+(職員マスタ!$G$6:$G$405&lt;=EOMONTH($AO2914,0)))&gt;0)*(((職員マスタ!$H$6:$H$405="")+(職員マスタ!$H$6:$H$405&gt;=$AO2914))&gt;0)*(ROW(職員マスタ!$A$6:$A$405)-5))),IFERROR(MATCH($B2914,職員マスタ!$A$6:$A$405,0),"")))</f>
        <v/>
      </c>
      <c r="AO2914" s="16">
        <f>IF(OR($B2914="",$C2914="",$D2914=""),"",DATE($C2914+2018,$D2914,1))</f>
        <v/>
      </c>
    </row>
    <row r="2915">
      <c r="A2915" s="11" t="n"/>
      <c r="B2915" s="12" t="n"/>
      <c r="C2915" s="12" t="n"/>
      <c r="D2915" s="12" t="n"/>
      <c r="E2915" s="13" t="n"/>
      <c r="F2915" s="12" t="n"/>
      <c r="G2915" s="13" t="n"/>
      <c r="H2915" s="12" t="n"/>
      <c r="I2915" s="12" t="n"/>
      <c r="J2915" s="12" t="n"/>
      <c r="K2915" s="12" t="n"/>
      <c r="L2915" s="11" t="n"/>
      <c r="M2915" s="11" t="n"/>
      <c r="N2915" s="11" t="n"/>
      <c r="O2915" s="11" t="n"/>
      <c r="P2915" s="12" t="n"/>
      <c r="Q2915" s="11" t="n"/>
      <c r="R2915" s="12" t="n"/>
      <c r="S2915" s="11" t="n"/>
      <c r="T2915" s="12" t="n"/>
      <c r="U2915" s="12" t="n"/>
      <c r="V2915" s="14">
        <f>IF($AN2915="",IF($B2915="","",$H2915),IF(INDEX(職員マスタ!$B$6:$B$405,$AN2915)="",$H2915,INDEX(職員マスタ!$B$6:$B$405,$AN2915)))</f>
        <v/>
      </c>
      <c r="W2915" s="14">
        <f>IF($AN2915="",IF($B2915="","",$R2915),IF(INDEX(職員マスタ!$C$6:$C$405,$AN2915)="",$R2915,INDEX(職員マスタ!$C$6:$C$405,$AN2915)))</f>
        <v/>
      </c>
      <c r="X2915" s="14">
        <f>IF($AO2915="","","R"&amp;$C2915&amp;"."&amp;$D2915)</f>
        <v/>
      </c>
      <c r="Y2915" s="15">
        <f>IF($AN2915="","",IF(INDEX(職員マスタ!$K$6:$K$405,$AN2915)="","",INDEX(職員マスタ!$K$6:$K$405,$AN2915)))</f>
        <v/>
      </c>
      <c r="Z2915" s="14">
        <f>IF(OR($E2915="",$Y2915=""),"",IF($E2915&gt;=$Y2915,"×",IF($E2915&gt;=$Y2915*設定!$C$5,"△","○")))</f>
        <v/>
      </c>
      <c r="AA2915" s="15">
        <f>IF($Z2915="","",IF($Z2915="×",0,IF($Z2915="○",ROUNDDOWN($E2915*設定!$C$4,0),ROUNDDOWN($E2915*ROUND((9*$Y2915-9*$E2915)/(10*$E2915),4),0))))</f>
        <v/>
      </c>
      <c r="AB2915" s="13" t="n"/>
      <c r="AC2915" s="15">
        <f>IF($B2915="","",IF($AB2915&lt;&gt;"",$AB2915,IF($AA2915="","",IF($AA2915&lt;=設定!$C$3,0,$AA2915))))</f>
        <v/>
      </c>
      <c r="AD2915" s="14">
        <f>IF($B2915="","",IF(AND($AE2915&lt;&gt;"",$AG2915="",$AJ2915=""),"保留中",IF($AJ2915&lt;&gt;"",IF(N($AC2915)&gt;0,"支給済","不支給"),IF($AC2915="","要確認",IF($AC2915=0,"不支給","未処理")))))</f>
        <v/>
      </c>
      <c r="AE2915" s="12" t="n"/>
      <c r="AF2915" s="11" t="n"/>
      <c r="AG2915" s="11" t="n"/>
      <c r="AH2915" s="11" t="n"/>
      <c r="AI2915" s="14">
        <f>IF(AND($AD2915="保留中",$AF2915&lt;&gt;""),TODAY()-$AF2915,"")</f>
        <v/>
      </c>
      <c r="AJ2915" s="12" t="n"/>
      <c r="AK2915" s="14">
        <f>IF($B2915="","",IF($AO2915="","対象年月が未入力／","")&amp;IF($B2915="","",IF($AN2915="","職員マスタに未登録の職員番号／",IF($Y2915="","標準報酬月額が未登録／","")&amp;IF(AND($AO2915&lt;&gt;"",OR(AND(INDEX(職員マスタ!$G$6:$G$405,$AN2915)&lt;&gt;"",INDEX(職員マスタ!$G$6:$G$405,$AN2915)&gt;EOMONTH($AO2915,0)),AND(INDEX(職員マスタ!$H$6:$H$405,$AN2915)&lt;&gt;"",INDEX(職員マスタ!$H$6:$H$405,$AN2915)&lt;$AO2915))),"対象月が時短期間外／","")&amp;IF(AND(INDEX(職員マスタ!$F$6:$F$405,$AN2915)&lt;&gt;"",$AO2915&lt;&gt;"",INDEX(職員マスタ!$F$6:$F$405,$AN2915)&lt;$AO2915),"対象月に子が2歳到達済／","")&amp;IF(AND($H2915&lt;&gt;"",INDEX(職員マスタ!$B$6:$B$405,$AN2915)&lt;&gt;"",SUBSTITUTE(SUBSTITUTE($H2915," ","")," ","")&lt;&gt;SUBSTITUTE(SUBSTITUTE(INDEX(職員マスタ!$B$6:$B$405,$AN2915)," ","")," ","")),"氏名がマスタと相違／","")&amp;IF(AND($Q2915&lt;&gt;"",INDEX(職員マスタ!$E$6:$E$405,$AN2915)&lt;&gt;"",$Q2915&lt;&gt;INDEX(職員マスタ!$E$6:$E$405,$AN2915)),"子の生年月日がマスタと相違／","")&amp;IF(AND($L2915&lt;&gt;"",INDEX(職員マスタ!$G$6:$G$405,$AN2915)&lt;&gt;"",$L2915&lt;&gt;INDEX(職員マスタ!$G$6:$G$405,$AN2915)),"時短開始日がマスタと相違／","")&amp;IF(AND($M2915&lt;&gt;"",INDEX(職員マスタ!$H$6:$H$405,$AN2915)&lt;&gt;"",$M2915&lt;&gt;INDEX(職員マスタ!$H$6:$H$405,$AN2915)),"時短終了日がマスタと相違／","")))&amp;IF(AND($B2915&lt;&gt;"",$E2915=""),"報酬額が未入力／","")&amp;IF(N($U2915)&gt;0,"申請書に入力エラーが残っています／","")&amp;IF(AND($B2915&lt;&gt;"",$AO2915&lt;&gt;""),IF(COUNTIFS($B$6:$B$3005,$B2915,$C$6:$C$3005,$C2915,$D$6:$D$3005,$D2915)&gt;1,"同じ月の請求が重複しています／",""),"")&amp;IF(AND(N($E2915)&gt;0,$Z2915&lt;&gt;"",$Z2915&lt;&gt;"×",$AC2915=0,$AB2915=""),"計算額が下限以下のため不支給／",""))</f>
        <v/>
      </c>
      <c r="AL2915" s="12" t="n"/>
      <c r="AM2915" s="14">
        <f>IF($AD2915="保留中",COUNTIF($AD$6:$AD2915,"保留中"),"")</f>
        <v/>
      </c>
      <c r="AN2915" s="14">
        <f>IF($AO2915="","",IF(SUMPRODUCT(MAX((職員マスタ!$A$6:$A$405=$B2915)*(((職員マスタ!$G$6:$G$405="")+(職員マスタ!$G$6:$G$405&lt;=EOMONTH($AO2915,0)))&gt;0)*(((職員マスタ!$H$6:$H$405="")+(職員マスタ!$H$6:$H$405&gt;=$AO2915))&gt;0)*(ROW(職員マスタ!$A$6:$A$405)-5)))&gt;0,SUMPRODUCT(MAX((職員マスタ!$A$6:$A$405=$B2915)*(((職員マスタ!$G$6:$G$405="")+(職員マスタ!$G$6:$G$405&lt;=EOMONTH($AO2915,0)))&gt;0)*(((職員マスタ!$H$6:$H$405="")+(職員マスタ!$H$6:$H$405&gt;=$AO2915))&gt;0)*(ROW(職員マスタ!$A$6:$A$405)-5))),IFERROR(MATCH($B2915,職員マスタ!$A$6:$A$405,0),"")))</f>
        <v/>
      </c>
      <c r="AO2915" s="16">
        <f>IF(OR($B2915="",$C2915="",$D2915=""),"",DATE($C2915+2018,$D2915,1))</f>
        <v/>
      </c>
    </row>
    <row r="2916">
      <c r="A2916" s="11" t="n"/>
      <c r="B2916" s="12" t="n"/>
      <c r="C2916" s="12" t="n"/>
      <c r="D2916" s="12" t="n"/>
      <c r="E2916" s="13" t="n"/>
      <c r="F2916" s="12" t="n"/>
      <c r="G2916" s="13" t="n"/>
      <c r="H2916" s="12" t="n"/>
      <c r="I2916" s="12" t="n"/>
      <c r="J2916" s="12" t="n"/>
      <c r="K2916" s="12" t="n"/>
      <c r="L2916" s="11" t="n"/>
      <c r="M2916" s="11" t="n"/>
      <c r="N2916" s="11" t="n"/>
      <c r="O2916" s="11" t="n"/>
      <c r="P2916" s="12" t="n"/>
      <c r="Q2916" s="11" t="n"/>
      <c r="R2916" s="12" t="n"/>
      <c r="S2916" s="11" t="n"/>
      <c r="T2916" s="12" t="n"/>
      <c r="U2916" s="12" t="n"/>
      <c r="V2916" s="14">
        <f>IF($AN2916="",IF($B2916="","",$H2916),IF(INDEX(職員マスタ!$B$6:$B$405,$AN2916)="",$H2916,INDEX(職員マスタ!$B$6:$B$405,$AN2916)))</f>
        <v/>
      </c>
      <c r="W2916" s="14">
        <f>IF($AN2916="",IF($B2916="","",$R2916),IF(INDEX(職員マスタ!$C$6:$C$405,$AN2916)="",$R2916,INDEX(職員マスタ!$C$6:$C$405,$AN2916)))</f>
        <v/>
      </c>
      <c r="X2916" s="14">
        <f>IF($AO2916="","","R"&amp;$C2916&amp;"."&amp;$D2916)</f>
        <v/>
      </c>
      <c r="Y2916" s="15">
        <f>IF($AN2916="","",IF(INDEX(職員マスタ!$K$6:$K$405,$AN2916)="","",INDEX(職員マスタ!$K$6:$K$405,$AN2916)))</f>
        <v/>
      </c>
      <c r="Z2916" s="14">
        <f>IF(OR($E2916="",$Y2916=""),"",IF($E2916&gt;=$Y2916,"×",IF($E2916&gt;=$Y2916*設定!$C$5,"△","○")))</f>
        <v/>
      </c>
      <c r="AA2916" s="15">
        <f>IF($Z2916="","",IF($Z2916="×",0,IF($Z2916="○",ROUNDDOWN($E2916*設定!$C$4,0),ROUNDDOWN($E2916*ROUND((9*$Y2916-9*$E2916)/(10*$E2916),4),0))))</f>
        <v/>
      </c>
      <c r="AB2916" s="13" t="n"/>
      <c r="AC2916" s="15">
        <f>IF($B2916="","",IF($AB2916&lt;&gt;"",$AB2916,IF($AA2916="","",IF($AA2916&lt;=設定!$C$3,0,$AA2916))))</f>
        <v/>
      </c>
      <c r="AD2916" s="14">
        <f>IF($B2916="","",IF(AND($AE2916&lt;&gt;"",$AG2916="",$AJ2916=""),"保留中",IF($AJ2916&lt;&gt;"",IF(N($AC2916)&gt;0,"支給済","不支給"),IF($AC2916="","要確認",IF($AC2916=0,"不支給","未処理")))))</f>
        <v/>
      </c>
      <c r="AE2916" s="12" t="n"/>
      <c r="AF2916" s="11" t="n"/>
      <c r="AG2916" s="11" t="n"/>
      <c r="AH2916" s="11" t="n"/>
      <c r="AI2916" s="14">
        <f>IF(AND($AD2916="保留中",$AF2916&lt;&gt;""),TODAY()-$AF2916,"")</f>
        <v/>
      </c>
      <c r="AJ2916" s="12" t="n"/>
      <c r="AK2916" s="14">
        <f>IF($B2916="","",IF($AO2916="","対象年月が未入力／","")&amp;IF($B2916="","",IF($AN2916="","職員マスタに未登録の職員番号／",IF($Y2916="","標準報酬月額が未登録／","")&amp;IF(AND($AO2916&lt;&gt;"",OR(AND(INDEX(職員マスタ!$G$6:$G$405,$AN2916)&lt;&gt;"",INDEX(職員マスタ!$G$6:$G$405,$AN2916)&gt;EOMONTH($AO2916,0)),AND(INDEX(職員マスタ!$H$6:$H$405,$AN2916)&lt;&gt;"",INDEX(職員マスタ!$H$6:$H$405,$AN2916)&lt;$AO2916))),"対象月が時短期間外／","")&amp;IF(AND(INDEX(職員マスタ!$F$6:$F$405,$AN2916)&lt;&gt;"",$AO2916&lt;&gt;"",INDEX(職員マスタ!$F$6:$F$405,$AN2916)&lt;$AO2916),"対象月に子が2歳到達済／","")&amp;IF(AND($H2916&lt;&gt;"",INDEX(職員マスタ!$B$6:$B$405,$AN2916)&lt;&gt;"",SUBSTITUTE(SUBSTITUTE($H2916," ","")," ","")&lt;&gt;SUBSTITUTE(SUBSTITUTE(INDEX(職員マスタ!$B$6:$B$405,$AN2916)," ","")," ","")),"氏名がマスタと相違／","")&amp;IF(AND($Q2916&lt;&gt;"",INDEX(職員マスタ!$E$6:$E$405,$AN2916)&lt;&gt;"",$Q2916&lt;&gt;INDEX(職員マスタ!$E$6:$E$405,$AN2916)),"子の生年月日がマスタと相違／","")&amp;IF(AND($L2916&lt;&gt;"",INDEX(職員マスタ!$G$6:$G$405,$AN2916)&lt;&gt;"",$L2916&lt;&gt;INDEX(職員マスタ!$G$6:$G$405,$AN2916)),"時短開始日がマスタと相違／","")&amp;IF(AND($M2916&lt;&gt;"",INDEX(職員マスタ!$H$6:$H$405,$AN2916)&lt;&gt;"",$M2916&lt;&gt;INDEX(職員マスタ!$H$6:$H$405,$AN2916)),"時短終了日がマスタと相違／","")))&amp;IF(AND($B2916&lt;&gt;"",$E2916=""),"報酬額が未入力／","")&amp;IF(N($U2916)&gt;0,"申請書に入力エラーが残っています／","")&amp;IF(AND($B2916&lt;&gt;"",$AO2916&lt;&gt;""),IF(COUNTIFS($B$6:$B$3005,$B2916,$C$6:$C$3005,$C2916,$D$6:$D$3005,$D2916)&gt;1,"同じ月の請求が重複しています／",""),"")&amp;IF(AND(N($E2916)&gt;0,$Z2916&lt;&gt;"",$Z2916&lt;&gt;"×",$AC2916=0,$AB2916=""),"計算額が下限以下のため不支給／",""))</f>
        <v/>
      </c>
      <c r="AL2916" s="12" t="n"/>
      <c r="AM2916" s="14">
        <f>IF($AD2916="保留中",COUNTIF($AD$6:$AD2916,"保留中"),"")</f>
        <v/>
      </c>
      <c r="AN2916" s="14">
        <f>IF($AO2916="","",IF(SUMPRODUCT(MAX((職員マスタ!$A$6:$A$405=$B2916)*(((職員マスタ!$G$6:$G$405="")+(職員マスタ!$G$6:$G$405&lt;=EOMONTH($AO2916,0)))&gt;0)*(((職員マスタ!$H$6:$H$405="")+(職員マスタ!$H$6:$H$405&gt;=$AO2916))&gt;0)*(ROW(職員マスタ!$A$6:$A$405)-5)))&gt;0,SUMPRODUCT(MAX((職員マスタ!$A$6:$A$405=$B2916)*(((職員マスタ!$G$6:$G$405="")+(職員マスタ!$G$6:$G$405&lt;=EOMONTH($AO2916,0)))&gt;0)*(((職員マスタ!$H$6:$H$405="")+(職員マスタ!$H$6:$H$405&gt;=$AO2916))&gt;0)*(ROW(職員マスタ!$A$6:$A$405)-5))),IFERROR(MATCH($B2916,職員マスタ!$A$6:$A$405,0),"")))</f>
        <v/>
      </c>
      <c r="AO2916" s="16">
        <f>IF(OR($B2916="",$C2916="",$D2916=""),"",DATE($C2916+2018,$D2916,1))</f>
        <v/>
      </c>
    </row>
    <row r="2917">
      <c r="A2917" s="11" t="n"/>
      <c r="B2917" s="12" t="n"/>
      <c r="C2917" s="12" t="n"/>
      <c r="D2917" s="12" t="n"/>
      <c r="E2917" s="13" t="n"/>
      <c r="F2917" s="12" t="n"/>
      <c r="G2917" s="13" t="n"/>
      <c r="H2917" s="12" t="n"/>
      <c r="I2917" s="12" t="n"/>
      <c r="J2917" s="12" t="n"/>
      <c r="K2917" s="12" t="n"/>
      <c r="L2917" s="11" t="n"/>
      <c r="M2917" s="11" t="n"/>
      <c r="N2917" s="11" t="n"/>
      <c r="O2917" s="11" t="n"/>
      <c r="P2917" s="12" t="n"/>
      <c r="Q2917" s="11" t="n"/>
      <c r="R2917" s="12" t="n"/>
      <c r="S2917" s="11" t="n"/>
      <c r="T2917" s="12" t="n"/>
      <c r="U2917" s="12" t="n"/>
      <c r="V2917" s="14">
        <f>IF($AN2917="",IF($B2917="","",$H2917),IF(INDEX(職員マスタ!$B$6:$B$405,$AN2917)="",$H2917,INDEX(職員マスタ!$B$6:$B$405,$AN2917)))</f>
        <v/>
      </c>
      <c r="W2917" s="14">
        <f>IF($AN2917="",IF($B2917="","",$R2917),IF(INDEX(職員マスタ!$C$6:$C$405,$AN2917)="",$R2917,INDEX(職員マスタ!$C$6:$C$405,$AN2917)))</f>
        <v/>
      </c>
      <c r="X2917" s="14">
        <f>IF($AO2917="","","R"&amp;$C2917&amp;"."&amp;$D2917)</f>
        <v/>
      </c>
      <c r="Y2917" s="15">
        <f>IF($AN2917="","",IF(INDEX(職員マスタ!$K$6:$K$405,$AN2917)="","",INDEX(職員マスタ!$K$6:$K$405,$AN2917)))</f>
        <v/>
      </c>
      <c r="Z2917" s="14">
        <f>IF(OR($E2917="",$Y2917=""),"",IF($E2917&gt;=$Y2917,"×",IF($E2917&gt;=$Y2917*設定!$C$5,"△","○")))</f>
        <v/>
      </c>
      <c r="AA2917" s="15">
        <f>IF($Z2917="","",IF($Z2917="×",0,IF($Z2917="○",ROUNDDOWN($E2917*設定!$C$4,0),ROUNDDOWN($E2917*ROUND((9*$Y2917-9*$E2917)/(10*$E2917),4),0))))</f>
        <v/>
      </c>
      <c r="AB2917" s="13" t="n"/>
      <c r="AC2917" s="15">
        <f>IF($B2917="","",IF($AB2917&lt;&gt;"",$AB2917,IF($AA2917="","",IF($AA2917&lt;=設定!$C$3,0,$AA2917))))</f>
        <v/>
      </c>
      <c r="AD2917" s="14">
        <f>IF($B2917="","",IF(AND($AE2917&lt;&gt;"",$AG2917="",$AJ2917=""),"保留中",IF($AJ2917&lt;&gt;"",IF(N($AC2917)&gt;0,"支給済","不支給"),IF($AC2917="","要確認",IF($AC2917=0,"不支給","未処理")))))</f>
        <v/>
      </c>
      <c r="AE2917" s="12" t="n"/>
      <c r="AF2917" s="11" t="n"/>
      <c r="AG2917" s="11" t="n"/>
      <c r="AH2917" s="11" t="n"/>
      <c r="AI2917" s="14">
        <f>IF(AND($AD2917="保留中",$AF2917&lt;&gt;""),TODAY()-$AF2917,"")</f>
        <v/>
      </c>
      <c r="AJ2917" s="12" t="n"/>
      <c r="AK2917" s="14">
        <f>IF($B2917="","",IF($AO2917="","対象年月が未入力／","")&amp;IF($B2917="","",IF($AN2917="","職員マスタに未登録の職員番号／",IF($Y2917="","標準報酬月額が未登録／","")&amp;IF(AND($AO2917&lt;&gt;"",OR(AND(INDEX(職員マスタ!$G$6:$G$405,$AN2917)&lt;&gt;"",INDEX(職員マスタ!$G$6:$G$405,$AN2917)&gt;EOMONTH($AO2917,0)),AND(INDEX(職員マスタ!$H$6:$H$405,$AN2917)&lt;&gt;"",INDEX(職員マスタ!$H$6:$H$405,$AN2917)&lt;$AO2917))),"対象月が時短期間外／","")&amp;IF(AND(INDEX(職員マスタ!$F$6:$F$405,$AN2917)&lt;&gt;"",$AO2917&lt;&gt;"",INDEX(職員マスタ!$F$6:$F$405,$AN2917)&lt;$AO2917),"対象月に子が2歳到達済／","")&amp;IF(AND($H2917&lt;&gt;"",INDEX(職員マスタ!$B$6:$B$405,$AN2917)&lt;&gt;"",SUBSTITUTE(SUBSTITUTE($H2917," ","")," ","")&lt;&gt;SUBSTITUTE(SUBSTITUTE(INDEX(職員マスタ!$B$6:$B$405,$AN2917)," ","")," ","")),"氏名がマスタと相違／","")&amp;IF(AND($Q2917&lt;&gt;"",INDEX(職員マスタ!$E$6:$E$405,$AN2917)&lt;&gt;"",$Q2917&lt;&gt;INDEX(職員マスタ!$E$6:$E$405,$AN2917)),"子の生年月日がマスタと相違／","")&amp;IF(AND($L2917&lt;&gt;"",INDEX(職員マスタ!$G$6:$G$405,$AN2917)&lt;&gt;"",$L2917&lt;&gt;INDEX(職員マスタ!$G$6:$G$405,$AN2917)),"時短開始日がマスタと相違／","")&amp;IF(AND($M2917&lt;&gt;"",INDEX(職員マスタ!$H$6:$H$405,$AN2917)&lt;&gt;"",$M2917&lt;&gt;INDEX(職員マスタ!$H$6:$H$405,$AN2917)),"時短終了日がマスタと相違／","")))&amp;IF(AND($B2917&lt;&gt;"",$E2917=""),"報酬額が未入力／","")&amp;IF(N($U2917)&gt;0,"申請書に入力エラーが残っています／","")&amp;IF(AND($B2917&lt;&gt;"",$AO2917&lt;&gt;""),IF(COUNTIFS($B$6:$B$3005,$B2917,$C$6:$C$3005,$C2917,$D$6:$D$3005,$D2917)&gt;1,"同じ月の請求が重複しています／",""),"")&amp;IF(AND(N($E2917)&gt;0,$Z2917&lt;&gt;"",$Z2917&lt;&gt;"×",$AC2917=0,$AB2917=""),"計算額が下限以下のため不支給／",""))</f>
        <v/>
      </c>
      <c r="AL2917" s="12" t="n"/>
      <c r="AM2917" s="14">
        <f>IF($AD2917="保留中",COUNTIF($AD$6:$AD2917,"保留中"),"")</f>
        <v/>
      </c>
      <c r="AN2917" s="14">
        <f>IF($AO2917="","",IF(SUMPRODUCT(MAX((職員マスタ!$A$6:$A$405=$B2917)*(((職員マスタ!$G$6:$G$405="")+(職員マスタ!$G$6:$G$405&lt;=EOMONTH($AO2917,0)))&gt;0)*(((職員マスタ!$H$6:$H$405="")+(職員マスタ!$H$6:$H$405&gt;=$AO2917))&gt;0)*(ROW(職員マスタ!$A$6:$A$405)-5)))&gt;0,SUMPRODUCT(MAX((職員マスタ!$A$6:$A$405=$B2917)*(((職員マスタ!$G$6:$G$405="")+(職員マスタ!$G$6:$G$405&lt;=EOMONTH($AO2917,0)))&gt;0)*(((職員マスタ!$H$6:$H$405="")+(職員マスタ!$H$6:$H$405&gt;=$AO2917))&gt;0)*(ROW(職員マスタ!$A$6:$A$405)-5))),IFERROR(MATCH($B2917,職員マスタ!$A$6:$A$405,0),"")))</f>
        <v/>
      </c>
      <c r="AO2917" s="16">
        <f>IF(OR($B2917="",$C2917="",$D2917=""),"",DATE($C2917+2018,$D2917,1))</f>
        <v/>
      </c>
    </row>
    <row r="2918">
      <c r="A2918" s="11" t="n"/>
      <c r="B2918" s="12" t="n"/>
      <c r="C2918" s="12" t="n"/>
      <c r="D2918" s="12" t="n"/>
      <c r="E2918" s="13" t="n"/>
      <c r="F2918" s="12" t="n"/>
      <c r="G2918" s="13" t="n"/>
      <c r="H2918" s="12" t="n"/>
      <c r="I2918" s="12" t="n"/>
      <c r="J2918" s="12" t="n"/>
      <c r="K2918" s="12" t="n"/>
      <c r="L2918" s="11" t="n"/>
      <c r="M2918" s="11" t="n"/>
      <c r="N2918" s="11" t="n"/>
      <c r="O2918" s="11" t="n"/>
      <c r="P2918" s="12" t="n"/>
      <c r="Q2918" s="11" t="n"/>
      <c r="R2918" s="12" t="n"/>
      <c r="S2918" s="11" t="n"/>
      <c r="T2918" s="12" t="n"/>
      <c r="U2918" s="12" t="n"/>
      <c r="V2918" s="14">
        <f>IF($AN2918="",IF($B2918="","",$H2918),IF(INDEX(職員マスタ!$B$6:$B$405,$AN2918)="",$H2918,INDEX(職員マスタ!$B$6:$B$405,$AN2918)))</f>
        <v/>
      </c>
      <c r="W2918" s="14">
        <f>IF($AN2918="",IF($B2918="","",$R2918),IF(INDEX(職員マスタ!$C$6:$C$405,$AN2918)="",$R2918,INDEX(職員マスタ!$C$6:$C$405,$AN2918)))</f>
        <v/>
      </c>
      <c r="X2918" s="14">
        <f>IF($AO2918="","","R"&amp;$C2918&amp;"."&amp;$D2918)</f>
        <v/>
      </c>
      <c r="Y2918" s="15">
        <f>IF($AN2918="","",IF(INDEX(職員マスタ!$K$6:$K$405,$AN2918)="","",INDEX(職員マスタ!$K$6:$K$405,$AN2918)))</f>
        <v/>
      </c>
      <c r="Z2918" s="14">
        <f>IF(OR($E2918="",$Y2918=""),"",IF($E2918&gt;=$Y2918,"×",IF($E2918&gt;=$Y2918*設定!$C$5,"△","○")))</f>
        <v/>
      </c>
      <c r="AA2918" s="15">
        <f>IF($Z2918="","",IF($Z2918="×",0,IF($Z2918="○",ROUNDDOWN($E2918*設定!$C$4,0),ROUNDDOWN($E2918*ROUND((9*$Y2918-9*$E2918)/(10*$E2918),4),0))))</f>
        <v/>
      </c>
      <c r="AB2918" s="13" t="n"/>
      <c r="AC2918" s="15">
        <f>IF($B2918="","",IF($AB2918&lt;&gt;"",$AB2918,IF($AA2918="","",IF($AA2918&lt;=設定!$C$3,0,$AA2918))))</f>
        <v/>
      </c>
      <c r="AD2918" s="14">
        <f>IF($B2918="","",IF(AND($AE2918&lt;&gt;"",$AG2918="",$AJ2918=""),"保留中",IF($AJ2918&lt;&gt;"",IF(N($AC2918)&gt;0,"支給済","不支給"),IF($AC2918="","要確認",IF($AC2918=0,"不支給","未処理")))))</f>
        <v/>
      </c>
      <c r="AE2918" s="12" t="n"/>
      <c r="AF2918" s="11" t="n"/>
      <c r="AG2918" s="11" t="n"/>
      <c r="AH2918" s="11" t="n"/>
      <c r="AI2918" s="14">
        <f>IF(AND($AD2918="保留中",$AF2918&lt;&gt;""),TODAY()-$AF2918,"")</f>
        <v/>
      </c>
      <c r="AJ2918" s="12" t="n"/>
      <c r="AK2918" s="14">
        <f>IF($B2918="","",IF($AO2918="","対象年月が未入力／","")&amp;IF($B2918="","",IF($AN2918="","職員マスタに未登録の職員番号／",IF($Y2918="","標準報酬月額が未登録／","")&amp;IF(AND($AO2918&lt;&gt;"",OR(AND(INDEX(職員マスタ!$G$6:$G$405,$AN2918)&lt;&gt;"",INDEX(職員マスタ!$G$6:$G$405,$AN2918)&gt;EOMONTH($AO2918,0)),AND(INDEX(職員マスタ!$H$6:$H$405,$AN2918)&lt;&gt;"",INDEX(職員マスタ!$H$6:$H$405,$AN2918)&lt;$AO2918))),"対象月が時短期間外／","")&amp;IF(AND(INDEX(職員マスタ!$F$6:$F$405,$AN2918)&lt;&gt;"",$AO2918&lt;&gt;"",INDEX(職員マスタ!$F$6:$F$405,$AN2918)&lt;$AO2918),"対象月に子が2歳到達済／","")&amp;IF(AND($H2918&lt;&gt;"",INDEX(職員マスタ!$B$6:$B$405,$AN2918)&lt;&gt;"",SUBSTITUTE(SUBSTITUTE($H2918," ","")," ","")&lt;&gt;SUBSTITUTE(SUBSTITUTE(INDEX(職員マスタ!$B$6:$B$405,$AN2918)," ","")," ","")),"氏名がマスタと相違／","")&amp;IF(AND($Q2918&lt;&gt;"",INDEX(職員マスタ!$E$6:$E$405,$AN2918)&lt;&gt;"",$Q2918&lt;&gt;INDEX(職員マスタ!$E$6:$E$405,$AN2918)),"子の生年月日がマスタと相違／","")&amp;IF(AND($L2918&lt;&gt;"",INDEX(職員マスタ!$G$6:$G$405,$AN2918)&lt;&gt;"",$L2918&lt;&gt;INDEX(職員マスタ!$G$6:$G$405,$AN2918)),"時短開始日がマスタと相違／","")&amp;IF(AND($M2918&lt;&gt;"",INDEX(職員マスタ!$H$6:$H$405,$AN2918)&lt;&gt;"",$M2918&lt;&gt;INDEX(職員マスタ!$H$6:$H$405,$AN2918)),"時短終了日がマスタと相違／","")))&amp;IF(AND($B2918&lt;&gt;"",$E2918=""),"報酬額が未入力／","")&amp;IF(N($U2918)&gt;0,"申請書に入力エラーが残っています／","")&amp;IF(AND($B2918&lt;&gt;"",$AO2918&lt;&gt;""),IF(COUNTIFS($B$6:$B$3005,$B2918,$C$6:$C$3005,$C2918,$D$6:$D$3005,$D2918)&gt;1,"同じ月の請求が重複しています／",""),"")&amp;IF(AND(N($E2918)&gt;0,$Z2918&lt;&gt;"",$Z2918&lt;&gt;"×",$AC2918=0,$AB2918=""),"計算額が下限以下のため不支給／",""))</f>
        <v/>
      </c>
      <c r="AL2918" s="12" t="n"/>
      <c r="AM2918" s="14">
        <f>IF($AD2918="保留中",COUNTIF($AD$6:$AD2918,"保留中"),"")</f>
        <v/>
      </c>
      <c r="AN2918" s="14">
        <f>IF($AO2918="","",IF(SUMPRODUCT(MAX((職員マスタ!$A$6:$A$405=$B2918)*(((職員マスタ!$G$6:$G$405="")+(職員マスタ!$G$6:$G$405&lt;=EOMONTH($AO2918,0)))&gt;0)*(((職員マスタ!$H$6:$H$405="")+(職員マスタ!$H$6:$H$405&gt;=$AO2918))&gt;0)*(ROW(職員マスタ!$A$6:$A$405)-5)))&gt;0,SUMPRODUCT(MAX((職員マスタ!$A$6:$A$405=$B2918)*(((職員マスタ!$G$6:$G$405="")+(職員マスタ!$G$6:$G$405&lt;=EOMONTH($AO2918,0)))&gt;0)*(((職員マスタ!$H$6:$H$405="")+(職員マスタ!$H$6:$H$405&gt;=$AO2918))&gt;0)*(ROW(職員マスタ!$A$6:$A$405)-5))),IFERROR(MATCH($B2918,職員マスタ!$A$6:$A$405,0),"")))</f>
        <v/>
      </c>
      <c r="AO2918" s="16">
        <f>IF(OR($B2918="",$C2918="",$D2918=""),"",DATE($C2918+2018,$D2918,1))</f>
        <v/>
      </c>
    </row>
    <row r="2919">
      <c r="A2919" s="11" t="n"/>
      <c r="B2919" s="12" t="n"/>
      <c r="C2919" s="12" t="n"/>
      <c r="D2919" s="12" t="n"/>
      <c r="E2919" s="13" t="n"/>
      <c r="F2919" s="12" t="n"/>
      <c r="G2919" s="13" t="n"/>
      <c r="H2919" s="12" t="n"/>
      <c r="I2919" s="12" t="n"/>
      <c r="J2919" s="12" t="n"/>
      <c r="K2919" s="12" t="n"/>
      <c r="L2919" s="11" t="n"/>
      <c r="M2919" s="11" t="n"/>
      <c r="N2919" s="11" t="n"/>
      <c r="O2919" s="11" t="n"/>
      <c r="P2919" s="12" t="n"/>
      <c r="Q2919" s="11" t="n"/>
      <c r="R2919" s="12" t="n"/>
      <c r="S2919" s="11" t="n"/>
      <c r="T2919" s="12" t="n"/>
      <c r="U2919" s="12" t="n"/>
      <c r="V2919" s="14">
        <f>IF($AN2919="",IF($B2919="","",$H2919),IF(INDEX(職員マスタ!$B$6:$B$405,$AN2919)="",$H2919,INDEX(職員マスタ!$B$6:$B$405,$AN2919)))</f>
        <v/>
      </c>
      <c r="W2919" s="14">
        <f>IF($AN2919="",IF($B2919="","",$R2919),IF(INDEX(職員マスタ!$C$6:$C$405,$AN2919)="",$R2919,INDEX(職員マスタ!$C$6:$C$405,$AN2919)))</f>
        <v/>
      </c>
      <c r="X2919" s="14">
        <f>IF($AO2919="","","R"&amp;$C2919&amp;"."&amp;$D2919)</f>
        <v/>
      </c>
      <c r="Y2919" s="15">
        <f>IF($AN2919="","",IF(INDEX(職員マスタ!$K$6:$K$405,$AN2919)="","",INDEX(職員マスタ!$K$6:$K$405,$AN2919)))</f>
        <v/>
      </c>
      <c r="Z2919" s="14">
        <f>IF(OR($E2919="",$Y2919=""),"",IF($E2919&gt;=$Y2919,"×",IF($E2919&gt;=$Y2919*設定!$C$5,"△","○")))</f>
        <v/>
      </c>
      <c r="AA2919" s="15">
        <f>IF($Z2919="","",IF($Z2919="×",0,IF($Z2919="○",ROUNDDOWN($E2919*設定!$C$4,0),ROUNDDOWN($E2919*ROUND((9*$Y2919-9*$E2919)/(10*$E2919),4),0))))</f>
        <v/>
      </c>
      <c r="AB2919" s="13" t="n"/>
      <c r="AC2919" s="15">
        <f>IF($B2919="","",IF($AB2919&lt;&gt;"",$AB2919,IF($AA2919="","",IF($AA2919&lt;=設定!$C$3,0,$AA2919))))</f>
        <v/>
      </c>
      <c r="AD2919" s="14">
        <f>IF($B2919="","",IF(AND($AE2919&lt;&gt;"",$AG2919="",$AJ2919=""),"保留中",IF($AJ2919&lt;&gt;"",IF(N($AC2919)&gt;0,"支給済","不支給"),IF($AC2919="","要確認",IF($AC2919=0,"不支給","未処理")))))</f>
        <v/>
      </c>
      <c r="AE2919" s="12" t="n"/>
      <c r="AF2919" s="11" t="n"/>
      <c r="AG2919" s="11" t="n"/>
      <c r="AH2919" s="11" t="n"/>
      <c r="AI2919" s="14">
        <f>IF(AND($AD2919="保留中",$AF2919&lt;&gt;""),TODAY()-$AF2919,"")</f>
        <v/>
      </c>
      <c r="AJ2919" s="12" t="n"/>
      <c r="AK2919" s="14">
        <f>IF($B2919="","",IF($AO2919="","対象年月が未入力／","")&amp;IF($B2919="","",IF($AN2919="","職員マスタに未登録の職員番号／",IF($Y2919="","標準報酬月額が未登録／","")&amp;IF(AND($AO2919&lt;&gt;"",OR(AND(INDEX(職員マスタ!$G$6:$G$405,$AN2919)&lt;&gt;"",INDEX(職員マスタ!$G$6:$G$405,$AN2919)&gt;EOMONTH($AO2919,0)),AND(INDEX(職員マスタ!$H$6:$H$405,$AN2919)&lt;&gt;"",INDEX(職員マスタ!$H$6:$H$405,$AN2919)&lt;$AO2919))),"対象月が時短期間外／","")&amp;IF(AND(INDEX(職員マスタ!$F$6:$F$405,$AN2919)&lt;&gt;"",$AO2919&lt;&gt;"",INDEX(職員マスタ!$F$6:$F$405,$AN2919)&lt;$AO2919),"対象月に子が2歳到達済／","")&amp;IF(AND($H2919&lt;&gt;"",INDEX(職員マスタ!$B$6:$B$405,$AN2919)&lt;&gt;"",SUBSTITUTE(SUBSTITUTE($H2919," ","")," ","")&lt;&gt;SUBSTITUTE(SUBSTITUTE(INDEX(職員マスタ!$B$6:$B$405,$AN2919)," ","")," ","")),"氏名がマスタと相違／","")&amp;IF(AND($Q2919&lt;&gt;"",INDEX(職員マスタ!$E$6:$E$405,$AN2919)&lt;&gt;"",$Q2919&lt;&gt;INDEX(職員マスタ!$E$6:$E$405,$AN2919)),"子の生年月日がマスタと相違／","")&amp;IF(AND($L2919&lt;&gt;"",INDEX(職員マスタ!$G$6:$G$405,$AN2919)&lt;&gt;"",$L2919&lt;&gt;INDEX(職員マスタ!$G$6:$G$405,$AN2919)),"時短開始日がマスタと相違／","")&amp;IF(AND($M2919&lt;&gt;"",INDEX(職員マスタ!$H$6:$H$405,$AN2919)&lt;&gt;"",$M2919&lt;&gt;INDEX(職員マスタ!$H$6:$H$405,$AN2919)),"時短終了日がマスタと相違／","")))&amp;IF(AND($B2919&lt;&gt;"",$E2919=""),"報酬額が未入力／","")&amp;IF(N($U2919)&gt;0,"申請書に入力エラーが残っています／","")&amp;IF(AND($B2919&lt;&gt;"",$AO2919&lt;&gt;""),IF(COUNTIFS($B$6:$B$3005,$B2919,$C$6:$C$3005,$C2919,$D$6:$D$3005,$D2919)&gt;1,"同じ月の請求が重複しています／",""),"")&amp;IF(AND(N($E2919)&gt;0,$Z2919&lt;&gt;"",$Z2919&lt;&gt;"×",$AC2919=0,$AB2919=""),"計算額が下限以下のため不支給／",""))</f>
        <v/>
      </c>
      <c r="AL2919" s="12" t="n"/>
      <c r="AM2919" s="14">
        <f>IF($AD2919="保留中",COUNTIF($AD$6:$AD2919,"保留中"),"")</f>
        <v/>
      </c>
      <c r="AN2919" s="14">
        <f>IF($AO2919="","",IF(SUMPRODUCT(MAX((職員マスタ!$A$6:$A$405=$B2919)*(((職員マスタ!$G$6:$G$405="")+(職員マスタ!$G$6:$G$405&lt;=EOMONTH($AO2919,0)))&gt;0)*(((職員マスタ!$H$6:$H$405="")+(職員マスタ!$H$6:$H$405&gt;=$AO2919))&gt;0)*(ROW(職員マスタ!$A$6:$A$405)-5)))&gt;0,SUMPRODUCT(MAX((職員マスタ!$A$6:$A$405=$B2919)*(((職員マスタ!$G$6:$G$405="")+(職員マスタ!$G$6:$G$405&lt;=EOMONTH($AO2919,0)))&gt;0)*(((職員マスタ!$H$6:$H$405="")+(職員マスタ!$H$6:$H$405&gt;=$AO2919))&gt;0)*(ROW(職員マスタ!$A$6:$A$405)-5))),IFERROR(MATCH($B2919,職員マスタ!$A$6:$A$405,0),"")))</f>
        <v/>
      </c>
      <c r="AO2919" s="16">
        <f>IF(OR($B2919="",$C2919="",$D2919=""),"",DATE($C2919+2018,$D2919,1))</f>
        <v/>
      </c>
    </row>
    <row r="2920">
      <c r="A2920" s="11" t="n"/>
      <c r="B2920" s="12" t="n"/>
      <c r="C2920" s="12" t="n"/>
      <c r="D2920" s="12" t="n"/>
      <c r="E2920" s="13" t="n"/>
      <c r="F2920" s="12" t="n"/>
      <c r="G2920" s="13" t="n"/>
      <c r="H2920" s="12" t="n"/>
      <c r="I2920" s="12" t="n"/>
      <c r="J2920" s="12" t="n"/>
      <c r="K2920" s="12" t="n"/>
      <c r="L2920" s="11" t="n"/>
      <c r="M2920" s="11" t="n"/>
      <c r="N2920" s="11" t="n"/>
      <c r="O2920" s="11" t="n"/>
      <c r="P2920" s="12" t="n"/>
      <c r="Q2920" s="11" t="n"/>
      <c r="R2920" s="12" t="n"/>
      <c r="S2920" s="11" t="n"/>
      <c r="T2920" s="12" t="n"/>
      <c r="U2920" s="12" t="n"/>
      <c r="V2920" s="14">
        <f>IF($AN2920="",IF($B2920="","",$H2920),IF(INDEX(職員マスタ!$B$6:$B$405,$AN2920)="",$H2920,INDEX(職員マスタ!$B$6:$B$405,$AN2920)))</f>
        <v/>
      </c>
      <c r="W2920" s="14">
        <f>IF($AN2920="",IF($B2920="","",$R2920),IF(INDEX(職員マスタ!$C$6:$C$405,$AN2920)="",$R2920,INDEX(職員マスタ!$C$6:$C$405,$AN2920)))</f>
        <v/>
      </c>
      <c r="X2920" s="14">
        <f>IF($AO2920="","","R"&amp;$C2920&amp;"."&amp;$D2920)</f>
        <v/>
      </c>
      <c r="Y2920" s="15">
        <f>IF($AN2920="","",IF(INDEX(職員マスタ!$K$6:$K$405,$AN2920)="","",INDEX(職員マスタ!$K$6:$K$405,$AN2920)))</f>
        <v/>
      </c>
      <c r="Z2920" s="14">
        <f>IF(OR($E2920="",$Y2920=""),"",IF($E2920&gt;=$Y2920,"×",IF($E2920&gt;=$Y2920*設定!$C$5,"△","○")))</f>
        <v/>
      </c>
      <c r="AA2920" s="15">
        <f>IF($Z2920="","",IF($Z2920="×",0,IF($Z2920="○",ROUNDDOWN($E2920*設定!$C$4,0),ROUNDDOWN($E2920*ROUND((9*$Y2920-9*$E2920)/(10*$E2920),4),0))))</f>
        <v/>
      </c>
      <c r="AB2920" s="13" t="n"/>
      <c r="AC2920" s="15">
        <f>IF($B2920="","",IF($AB2920&lt;&gt;"",$AB2920,IF($AA2920="","",IF($AA2920&lt;=設定!$C$3,0,$AA2920))))</f>
        <v/>
      </c>
      <c r="AD2920" s="14">
        <f>IF($B2920="","",IF(AND($AE2920&lt;&gt;"",$AG2920="",$AJ2920=""),"保留中",IF($AJ2920&lt;&gt;"",IF(N($AC2920)&gt;0,"支給済","不支給"),IF($AC2920="","要確認",IF($AC2920=0,"不支給","未処理")))))</f>
        <v/>
      </c>
      <c r="AE2920" s="12" t="n"/>
      <c r="AF2920" s="11" t="n"/>
      <c r="AG2920" s="11" t="n"/>
      <c r="AH2920" s="11" t="n"/>
      <c r="AI2920" s="14">
        <f>IF(AND($AD2920="保留中",$AF2920&lt;&gt;""),TODAY()-$AF2920,"")</f>
        <v/>
      </c>
      <c r="AJ2920" s="12" t="n"/>
      <c r="AK2920" s="14">
        <f>IF($B2920="","",IF($AO2920="","対象年月が未入力／","")&amp;IF($B2920="","",IF($AN2920="","職員マスタに未登録の職員番号／",IF($Y2920="","標準報酬月額が未登録／","")&amp;IF(AND($AO2920&lt;&gt;"",OR(AND(INDEX(職員マスタ!$G$6:$G$405,$AN2920)&lt;&gt;"",INDEX(職員マスタ!$G$6:$G$405,$AN2920)&gt;EOMONTH($AO2920,0)),AND(INDEX(職員マスタ!$H$6:$H$405,$AN2920)&lt;&gt;"",INDEX(職員マスタ!$H$6:$H$405,$AN2920)&lt;$AO2920))),"対象月が時短期間外／","")&amp;IF(AND(INDEX(職員マスタ!$F$6:$F$405,$AN2920)&lt;&gt;"",$AO2920&lt;&gt;"",INDEX(職員マスタ!$F$6:$F$405,$AN2920)&lt;$AO2920),"対象月に子が2歳到達済／","")&amp;IF(AND($H2920&lt;&gt;"",INDEX(職員マスタ!$B$6:$B$405,$AN2920)&lt;&gt;"",SUBSTITUTE(SUBSTITUTE($H2920," ","")," ","")&lt;&gt;SUBSTITUTE(SUBSTITUTE(INDEX(職員マスタ!$B$6:$B$405,$AN2920)," ","")," ","")),"氏名がマスタと相違／","")&amp;IF(AND($Q2920&lt;&gt;"",INDEX(職員マスタ!$E$6:$E$405,$AN2920)&lt;&gt;"",$Q2920&lt;&gt;INDEX(職員マスタ!$E$6:$E$405,$AN2920)),"子の生年月日がマスタと相違／","")&amp;IF(AND($L2920&lt;&gt;"",INDEX(職員マスタ!$G$6:$G$405,$AN2920)&lt;&gt;"",$L2920&lt;&gt;INDEX(職員マスタ!$G$6:$G$405,$AN2920)),"時短開始日がマスタと相違／","")&amp;IF(AND($M2920&lt;&gt;"",INDEX(職員マスタ!$H$6:$H$405,$AN2920)&lt;&gt;"",$M2920&lt;&gt;INDEX(職員マスタ!$H$6:$H$405,$AN2920)),"時短終了日がマスタと相違／","")))&amp;IF(AND($B2920&lt;&gt;"",$E2920=""),"報酬額が未入力／","")&amp;IF(N($U2920)&gt;0,"申請書に入力エラーが残っています／","")&amp;IF(AND($B2920&lt;&gt;"",$AO2920&lt;&gt;""),IF(COUNTIFS($B$6:$B$3005,$B2920,$C$6:$C$3005,$C2920,$D$6:$D$3005,$D2920)&gt;1,"同じ月の請求が重複しています／",""),"")&amp;IF(AND(N($E2920)&gt;0,$Z2920&lt;&gt;"",$Z2920&lt;&gt;"×",$AC2920=0,$AB2920=""),"計算額が下限以下のため不支給／",""))</f>
        <v/>
      </c>
      <c r="AL2920" s="12" t="n"/>
      <c r="AM2920" s="14">
        <f>IF($AD2920="保留中",COUNTIF($AD$6:$AD2920,"保留中"),"")</f>
        <v/>
      </c>
      <c r="AN2920" s="14">
        <f>IF($AO2920="","",IF(SUMPRODUCT(MAX((職員マスタ!$A$6:$A$405=$B2920)*(((職員マスタ!$G$6:$G$405="")+(職員マスタ!$G$6:$G$405&lt;=EOMONTH($AO2920,0)))&gt;0)*(((職員マスタ!$H$6:$H$405="")+(職員マスタ!$H$6:$H$405&gt;=$AO2920))&gt;0)*(ROW(職員マスタ!$A$6:$A$405)-5)))&gt;0,SUMPRODUCT(MAX((職員マスタ!$A$6:$A$405=$B2920)*(((職員マスタ!$G$6:$G$405="")+(職員マスタ!$G$6:$G$405&lt;=EOMONTH($AO2920,0)))&gt;0)*(((職員マスタ!$H$6:$H$405="")+(職員マスタ!$H$6:$H$405&gt;=$AO2920))&gt;0)*(ROW(職員マスタ!$A$6:$A$405)-5))),IFERROR(MATCH($B2920,職員マスタ!$A$6:$A$405,0),"")))</f>
        <v/>
      </c>
      <c r="AO2920" s="16">
        <f>IF(OR($B2920="",$C2920="",$D2920=""),"",DATE($C2920+2018,$D2920,1))</f>
        <v/>
      </c>
    </row>
    <row r="2921">
      <c r="A2921" s="11" t="n"/>
      <c r="B2921" s="12" t="n"/>
      <c r="C2921" s="12" t="n"/>
      <c r="D2921" s="12" t="n"/>
      <c r="E2921" s="13" t="n"/>
      <c r="F2921" s="12" t="n"/>
      <c r="G2921" s="13" t="n"/>
      <c r="H2921" s="12" t="n"/>
      <c r="I2921" s="12" t="n"/>
      <c r="J2921" s="12" t="n"/>
      <c r="K2921" s="12" t="n"/>
      <c r="L2921" s="11" t="n"/>
      <c r="M2921" s="11" t="n"/>
      <c r="N2921" s="11" t="n"/>
      <c r="O2921" s="11" t="n"/>
      <c r="P2921" s="12" t="n"/>
      <c r="Q2921" s="11" t="n"/>
      <c r="R2921" s="12" t="n"/>
      <c r="S2921" s="11" t="n"/>
      <c r="T2921" s="12" t="n"/>
      <c r="U2921" s="12" t="n"/>
      <c r="V2921" s="14">
        <f>IF($AN2921="",IF($B2921="","",$H2921),IF(INDEX(職員マスタ!$B$6:$B$405,$AN2921)="",$H2921,INDEX(職員マスタ!$B$6:$B$405,$AN2921)))</f>
        <v/>
      </c>
      <c r="W2921" s="14">
        <f>IF($AN2921="",IF($B2921="","",$R2921),IF(INDEX(職員マスタ!$C$6:$C$405,$AN2921)="",$R2921,INDEX(職員マスタ!$C$6:$C$405,$AN2921)))</f>
        <v/>
      </c>
      <c r="X2921" s="14">
        <f>IF($AO2921="","","R"&amp;$C2921&amp;"."&amp;$D2921)</f>
        <v/>
      </c>
      <c r="Y2921" s="15">
        <f>IF($AN2921="","",IF(INDEX(職員マスタ!$K$6:$K$405,$AN2921)="","",INDEX(職員マスタ!$K$6:$K$405,$AN2921)))</f>
        <v/>
      </c>
      <c r="Z2921" s="14">
        <f>IF(OR($E2921="",$Y2921=""),"",IF($E2921&gt;=$Y2921,"×",IF($E2921&gt;=$Y2921*設定!$C$5,"△","○")))</f>
        <v/>
      </c>
      <c r="AA2921" s="15">
        <f>IF($Z2921="","",IF($Z2921="×",0,IF($Z2921="○",ROUNDDOWN($E2921*設定!$C$4,0),ROUNDDOWN($E2921*ROUND((9*$Y2921-9*$E2921)/(10*$E2921),4),0))))</f>
        <v/>
      </c>
      <c r="AB2921" s="13" t="n"/>
      <c r="AC2921" s="15">
        <f>IF($B2921="","",IF($AB2921&lt;&gt;"",$AB2921,IF($AA2921="","",IF($AA2921&lt;=設定!$C$3,0,$AA2921))))</f>
        <v/>
      </c>
      <c r="AD2921" s="14">
        <f>IF($B2921="","",IF(AND($AE2921&lt;&gt;"",$AG2921="",$AJ2921=""),"保留中",IF($AJ2921&lt;&gt;"",IF(N($AC2921)&gt;0,"支給済","不支給"),IF($AC2921="","要確認",IF($AC2921=0,"不支給","未処理")))))</f>
        <v/>
      </c>
      <c r="AE2921" s="12" t="n"/>
      <c r="AF2921" s="11" t="n"/>
      <c r="AG2921" s="11" t="n"/>
      <c r="AH2921" s="11" t="n"/>
      <c r="AI2921" s="14">
        <f>IF(AND($AD2921="保留中",$AF2921&lt;&gt;""),TODAY()-$AF2921,"")</f>
        <v/>
      </c>
      <c r="AJ2921" s="12" t="n"/>
      <c r="AK2921" s="14">
        <f>IF($B2921="","",IF($AO2921="","対象年月が未入力／","")&amp;IF($B2921="","",IF($AN2921="","職員マスタに未登録の職員番号／",IF($Y2921="","標準報酬月額が未登録／","")&amp;IF(AND($AO2921&lt;&gt;"",OR(AND(INDEX(職員マスタ!$G$6:$G$405,$AN2921)&lt;&gt;"",INDEX(職員マスタ!$G$6:$G$405,$AN2921)&gt;EOMONTH($AO2921,0)),AND(INDEX(職員マスタ!$H$6:$H$405,$AN2921)&lt;&gt;"",INDEX(職員マスタ!$H$6:$H$405,$AN2921)&lt;$AO2921))),"対象月が時短期間外／","")&amp;IF(AND(INDEX(職員マスタ!$F$6:$F$405,$AN2921)&lt;&gt;"",$AO2921&lt;&gt;"",INDEX(職員マスタ!$F$6:$F$405,$AN2921)&lt;$AO2921),"対象月に子が2歳到達済／","")&amp;IF(AND($H2921&lt;&gt;"",INDEX(職員マスタ!$B$6:$B$405,$AN2921)&lt;&gt;"",SUBSTITUTE(SUBSTITUTE($H2921," ","")," ","")&lt;&gt;SUBSTITUTE(SUBSTITUTE(INDEX(職員マスタ!$B$6:$B$405,$AN2921)," ","")," ","")),"氏名がマスタと相違／","")&amp;IF(AND($Q2921&lt;&gt;"",INDEX(職員マスタ!$E$6:$E$405,$AN2921)&lt;&gt;"",$Q2921&lt;&gt;INDEX(職員マスタ!$E$6:$E$405,$AN2921)),"子の生年月日がマスタと相違／","")&amp;IF(AND($L2921&lt;&gt;"",INDEX(職員マスタ!$G$6:$G$405,$AN2921)&lt;&gt;"",$L2921&lt;&gt;INDEX(職員マスタ!$G$6:$G$405,$AN2921)),"時短開始日がマスタと相違／","")&amp;IF(AND($M2921&lt;&gt;"",INDEX(職員マスタ!$H$6:$H$405,$AN2921)&lt;&gt;"",$M2921&lt;&gt;INDEX(職員マスタ!$H$6:$H$405,$AN2921)),"時短終了日がマスタと相違／","")))&amp;IF(AND($B2921&lt;&gt;"",$E2921=""),"報酬額が未入力／","")&amp;IF(N($U2921)&gt;0,"申請書に入力エラーが残っています／","")&amp;IF(AND($B2921&lt;&gt;"",$AO2921&lt;&gt;""),IF(COUNTIFS($B$6:$B$3005,$B2921,$C$6:$C$3005,$C2921,$D$6:$D$3005,$D2921)&gt;1,"同じ月の請求が重複しています／",""),"")&amp;IF(AND(N($E2921)&gt;0,$Z2921&lt;&gt;"",$Z2921&lt;&gt;"×",$AC2921=0,$AB2921=""),"計算額が下限以下のため不支給／",""))</f>
        <v/>
      </c>
      <c r="AL2921" s="12" t="n"/>
      <c r="AM2921" s="14">
        <f>IF($AD2921="保留中",COUNTIF($AD$6:$AD2921,"保留中"),"")</f>
        <v/>
      </c>
      <c r="AN2921" s="14">
        <f>IF($AO2921="","",IF(SUMPRODUCT(MAX((職員マスタ!$A$6:$A$405=$B2921)*(((職員マスタ!$G$6:$G$405="")+(職員マスタ!$G$6:$G$405&lt;=EOMONTH($AO2921,0)))&gt;0)*(((職員マスタ!$H$6:$H$405="")+(職員マスタ!$H$6:$H$405&gt;=$AO2921))&gt;0)*(ROW(職員マスタ!$A$6:$A$405)-5)))&gt;0,SUMPRODUCT(MAX((職員マスタ!$A$6:$A$405=$B2921)*(((職員マスタ!$G$6:$G$405="")+(職員マスタ!$G$6:$G$405&lt;=EOMONTH($AO2921,0)))&gt;0)*(((職員マスタ!$H$6:$H$405="")+(職員マスタ!$H$6:$H$405&gt;=$AO2921))&gt;0)*(ROW(職員マスタ!$A$6:$A$405)-5))),IFERROR(MATCH($B2921,職員マスタ!$A$6:$A$405,0),"")))</f>
        <v/>
      </c>
      <c r="AO2921" s="16">
        <f>IF(OR($B2921="",$C2921="",$D2921=""),"",DATE($C2921+2018,$D2921,1))</f>
        <v/>
      </c>
    </row>
    <row r="2922">
      <c r="A2922" s="11" t="n"/>
      <c r="B2922" s="12" t="n"/>
      <c r="C2922" s="12" t="n"/>
      <c r="D2922" s="12" t="n"/>
      <c r="E2922" s="13" t="n"/>
      <c r="F2922" s="12" t="n"/>
      <c r="G2922" s="13" t="n"/>
      <c r="H2922" s="12" t="n"/>
      <c r="I2922" s="12" t="n"/>
      <c r="J2922" s="12" t="n"/>
      <c r="K2922" s="12" t="n"/>
      <c r="L2922" s="11" t="n"/>
      <c r="M2922" s="11" t="n"/>
      <c r="N2922" s="11" t="n"/>
      <c r="O2922" s="11" t="n"/>
      <c r="P2922" s="12" t="n"/>
      <c r="Q2922" s="11" t="n"/>
      <c r="R2922" s="12" t="n"/>
      <c r="S2922" s="11" t="n"/>
      <c r="T2922" s="12" t="n"/>
      <c r="U2922" s="12" t="n"/>
      <c r="V2922" s="14">
        <f>IF($AN2922="",IF($B2922="","",$H2922),IF(INDEX(職員マスタ!$B$6:$B$405,$AN2922)="",$H2922,INDEX(職員マスタ!$B$6:$B$405,$AN2922)))</f>
        <v/>
      </c>
      <c r="W2922" s="14">
        <f>IF($AN2922="",IF($B2922="","",$R2922),IF(INDEX(職員マスタ!$C$6:$C$405,$AN2922)="",$R2922,INDEX(職員マスタ!$C$6:$C$405,$AN2922)))</f>
        <v/>
      </c>
      <c r="X2922" s="14">
        <f>IF($AO2922="","","R"&amp;$C2922&amp;"."&amp;$D2922)</f>
        <v/>
      </c>
      <c r="Y2922" s="15">
        <f>IF($AN2922="","",IF(INDEX(職員マスタ!$K$6:$K$405,$AN2922)="","",INDEX(職員マスタ!$K$6:$K$405,$AN2922)))</f>
        <v/>
      </c>
      <c r="Z2922" s="14">
        <f>IF(OR($E2922="",$Y2922=""),"",IF($E2922&gt;=$Y2922,"×",IF($E2922&gt;=$Y2922*設定!$C$5,"△","○")))</f>
        <v/>
      </c>
      <c r="AA2922" s="15">
        <f>IF($Z2922="","",IF($Z2922="×",0,IF($Z2922="○",ROUNDDOWN($E2922*設定!$C$4,0),ROUNDDOWN($E2922*ROUND((9*$Y2922-9*$E2922)/(10*$E2922),4),0))))</f>
        <v/>
      </c>
      <c r="AB2922" s="13" t="n"/>
      <c r="AC2922" s="15">
        <f>IF($B2922="","",IF($AB2922&lt;&gt;"",$AB2922,IF($AA2922="","",IF($AA2922&lt;=設定!$C$3,0,$AA2922))))</f>
        <v/>
      </c>
      <c r="AD2922" s="14">
        <f>IF($B2922="","",IF(AND($AE2922&lt;&gt;"",$AG2922="",$AJ2922=""),"保留中",IF($AJ2922&lt;&gt;"",IF(N($AC2922)&gt;0,"支給済","不支給"),IF($AC2922="","要確認",IF($AC2922=0,"不支給","未処理")))))</f>
        <v/>
      </c>
      <c r="AE2922" s="12" t="n"/>
      <c r="AF2922" s="11" t="n"/>
      <c r="AG2922" s="11" t="n"/>
      <c r="AH2922" s="11" t="n"/>
      <c r="AI2922" s="14">
        <f>IF(AND($AD2922="保留中",$AF2922&lt;&gt;""),TODAY()-$AF2922,"")</f>
        <v/>
      </c>
      <c r="AJ2922" s="12" t="n"/>
      <c r="AK2922" s="14">
        <f>IF($B2922="","",IF($AO2922="","対象年月が未入力／","")&amp;IF($B2922="","",IF($AN2922="","職員マスタに未登録の職員番号／",IF($Y2922="","標準報酬月額が未登録／","")&amp;IF(AND($AO2922&lt;&gt;"",OR(AND(INDEX(職員マスタ!$G$6:$G$405,$AN2922)&lt;&gt;"",INDEX(職員マスタ!$G$6:$G$405,$AN2922)&gt;EOMONTH($AO2922,0)),AND(INDEX(職員マスタ!$H$6:$H$405,$AN2922)&lt;&gt;"",INDEX(職員マスタ!$H$6:$H$405,$AN2922)&lt;$AO2922))),"対象月が時短期間外／","")&amp;IF(AND(INDEX(職員マスタ!$F$6:$F$405,$AN2922)&lt;&gt;"",$AO2922&lt;&gt;"",INDEX(職員マスタ!$F$6:$F$405,$AN2922)&lt;$AO2922),"対象月に子が2歳到達済／","")&amp;IF(AND($H2922&lt;&gt;"",INDEX(職員マスタ!$B$6:$B$405,$AN2922)&lt;&gt;"",SUBSTITUTE(SUBSTITUTE($H2922," ","")," ","")&lt;&gt;SUBSTITUTE(SUBSTITUTE(INDEX(職員マスタ!$B$6:$B$405,$AN2922)," ","")," ","")),"氏名がマスタと相違／","")&amp;IF(AND($Q2922&lt;&gt;"",INDEX(職員マスタ!$E$6:$E$405,$AN2922)&lt;&gt;"",$Q2922&lt;&gt;INDEX(職員マスタ!$E$6:$E$405,$AN2922)),"子の生年月日がマスタと相違／","")&amp;IF(AND($L2922&lt;&gt;"",INDEX(職員マスタ!$G$6:$G$405,$AN2922)&lt;&gt;"",$L2922&lt;&gt;INDEX(職員マスタ!$G$6:$G$405,$AN2922)),"時短開始日がマスタと相違／","")&amp;IF(AND($M2922&lt;&gt;"",INDEX(職員マスタ!$H$6:$H$405,$AN2922)&lt;&gt;"",$M2922&lt;&gt;INDEX(職員マスタ!$H$6:$H$405,$AN2922)),"時短終了日がマスタと相違／","")))&amp;IF(AND($B2922&lt;&gt;"",$E2922=""),"報酬額が未入力／","")&amp;IF(N($U2922)&gt;0,"申請書に入力エラーが残っています／","")&amp;IF(AND($B2922&lt;&gt;"",$AO2922&lt;&gt;""),IF(COUNTIFS($B$6:$B$3005,$B2922,$C$6:$C$3005,$C2922,$D$6:$D$3005,$D2922)&gt;1,"同じ月の請求が重複しています／",""),"")&amp;IF(AND(N($E2922)&gt;0,$Z2922&lt;&gt;"",$Z2922&lt;&gt;"×",$AC2922=0,$AB2922=""),"計算額が下限以下のため不支給／",""))</f>
        <v/>
      </c>
      <c r="AL2922" s="12" t="n"/>
      <c r="AM2922" s="14">
        <f>IF($AD2922="保留中",COUNTIF($AD$6:$AD2922,"保留中"),"")</f>
        <v/>
      </c>
      <c r="AN2922" s="14">
        <f>IF($AO2922="","",IF(SUMPRODUCT(MAX((職員マスタ!$A$6:$A$405=$B2922)*(((職員マスタ!$G$6:$G$405="")+(職員マスタ!$G$6:$G$405&lt;=EOMONTH($AO2922,0)))&gt;0)*(((職員マスタ!$H$6:$H$405="")+(職員マスタ!$H$6:$H$405&gt;=$AO2922))&gt;0)*(ROW(職員マスタ!$A$6:$A$405)-5)))&gt;0,SUMPRODUCT(MAX((職員マスタ!$A$6:$A$405=$B2922)*(((職員マスタ!$G$6:$G$405="")+(職員マスタ!$G$6:$G$405&lt;=EOMONTH($AO2922,0)))&gt;0)*(((職員マスタ!$H$6:$H$405="")+(職員マスタ!$H$6:$H$405&gt;=$AO2922))&gt;0)*(ROW(職員マスタ!$A$6:$A$405)-5))),IFERROR(MATCH($B2922,職員マスタ!$A$6:$A$405,0),"")))</f>
        <v/>
      </c>
      <c r="AO2922" s="16">
        <f>IF(OR($B2922="",$C2922="",$D2922=""),"",DATE($C2922+2018,$D2922,1))</f>
        <v/>
      </c>
    </row>
    <row r="2923">
      <c r="A2923" s="11" t="n"/>
      <c r="B2923" s="12" t="n"/>
      <c r="C2923" s="12" t="n"/>
      <c r="D2923" s="12" t="n"/>
      <c r="E2923" s="13" t="n"/>
      <c r="F2923" s="12" t="n"/>
      <c r="G2923" s="13" t="n"/>
      <c r="H2923" s="12" t="n"/>
      <c r="I2923" s="12" t="n"/>
      <c r="J2923" s="12" t="n"/>
      <c r="K2923" s="12" t="n"/>
      <c r="L2923" s="11" t="n"/>
      <c r="M2923" s="11" t="n"/>
      <c r="N2923" s="11" t="n"/>
      <c r="O2923" s="11" t="n"/>
      <c r="P2923" s="12" t="n"/>
      <c r="Q2923" s="11" t="n"/>
      <c r="R2923" s="12" t="n"/>
      <c r="S2923" s="11" t="n"/>
      <c r="T2923" s="12" t="n"/>
      <c r="U2923" s="12" t="n"/>
      <c r="V2923" s="14">
        <f>IF($AN2923="",IF($B2923="","",$H2923),IF(INDEX(職員マスタ!$B$6:$B$405,$AN2923)="",$H2923,INDEX(職員マスタ!$B$6:$B$405,$AN2923)))</f>
        <v/>
      </c>
      <c r="W2923" s="14">
        <f>IF($AN2923="",IF($B2923="","",$R2923),IF(INDEX(職員マスタ!$C$6:$C$405,$AN2923)="",$R2923,INDEX(職員マスタ!$C$6:$C$405,$AN2923)))</f>
        <v/>
      </c>
      <c r="X2923" s="14">
        <f>IF($AO2923="","","R"&amp;$C2923&amp;"."&amp;$D2923)</f>
        <v/>
      </c>
      <c r="Y2923" s="15">
        <f>IF($AN2923="","",IF(INDEX(職員マスタ!$K$6:$K$405,$AN2923)="","",INDEX(職員マスタ!$K$6:$K$405,$AN2923)))</f>
        <v/>
      </c>
      <c r="Z2923" s="14">
        <f>IF(OR($E2923="",$Y2923=""),"",IF($E2923&gt;=$Y2923,"×",IF($E2923&gt;=$Y2923*設定!$C$5,"△","○")))</f>
        <v/>
      </c>
      <c r="AA2923" s="15">
        <f>IF($Z2923="","",IF($Z2923="×",0,IF($Z2923="○",ROUNDDOWN($E2923*設定!$C$4,0),ROUNDDOWN($E2923*ROUND((9*$Y2923-9*$E2923)/(10*$E2923),4),0))))</f>
        <v/>
      </c>
      <c r="AB2923" s="13" t="n"/>
      <c r="AC2923" s="15">
        <f>IF($B2923="","",IF($AB2923&lt;&gt;"",$AB2923,IF($AA2923="","",IF($AA2923&lt;=設定!$C$3,0,$AA2923))))</f>
        <v/>
      </c>
      <c r="AD2923" s="14">
        <f>IF($B2923="","",IF(AND($AE2923&lt;&gt;"",$AG2923="",$AJ2923=""),"保留中",IF($AJ2923&lt;&gt;"",IF(N($AC2923)&gt;0,"支給済","不支給"),IF($AC2923="","要確認",IF($AC2923=0,"不支給","未処理")))))</f>
        <v/>
      </c>
      <c r="AE2923" s="12" t="n"/>
      <c r="AF2923" s="11" t="n"/>
      <c r="AG2923" s="11" t="n"/>
      <c r="AH2923" s="11" t="n"/>
      <c r="AI2923" s="14">
        <f>IF(AND($AD2923="保留中",$AF2923&lt;&gt;""),TODAY()-$AF2923,"")</f>
        <v/>
      </c>
      <c r="AJ2923" s="12" t="n"/>
      <c r="AK2923" s="14">
        <f>IF($B2923="","",IF($AO2923="","対象年月が未入力／","")&amp;IF($B2923="","",IF($AN2923="","職員マスタに未登録の職員番号／",IF($Y2923="","標準報酬月額が未登録／","")&amp;IF(AND($AO2923&lt;&gt;"",OR(AND(INDEX(職員マスタ!$G$6:$G$405,$AN2923)&lt;&gt;"",INDEX(職員マスタ!$G$6:$G$405,$AN2923)&gt;EOMONTH($AO2923,0)),AND(INDEX(職員マスタ!$H$6:$H$405,$AN2923)&lt;&gt;"",INDEX(職員マスタ!$H$6:$H$405,$AN2923)&lt;$AO2923))),"対象月が時短期間外／","")&amp;IF(AND(INDEX(職員マスタ!$F$6:$F$405,$AN2923)&lt;&gt;"",$AO2923&lt;&gt;"",INDEX(職員マスタ!$F$6:$F$405,$AN2923)&lt;$AO2923),"対象月に子が2歳到達済／","")&amp;IF(AND($H2923&lt;&gt;"",INDEX(職員マスタ!$B$6:$B$405,$AN2923)&lt;&gt;"",SUBSTITUTE(SUBSTITUTE($H2923," ","")," ","")&lt;&gt;SUBSTITUTE(SUBSTITUTE(INDEX(職員マスタ!$B$6:$B$405,$AN2923)," ","")," ","")),"氏名がマスタと相違／","")&amp;IF(AND($Q2923&lt;&gt;"",INDEX(職員マスタ!$E$6:$E$405,$AN2923)&lt;&gt;"",$Q2923&lt;&gt;INDEX(職員マスタ!$E$6:$E$405,$AN2923)),"子の生年月日がマスタと相違／","")&amp;IF(AND($L2923&lt;&gt;"",INDEX(職員マスタ!$G$6:$G$405,$AN2923)&lt;&gt;"",$L2923&lt;&gt;INDEX(職員マスタ!$G$6:$G$405,$AN2923)),"時短開始日がマスタと相違／","")&amp;IF(AND($M2923&lt;&gt;"",INDEX(職員マスタ!$H$6:$H$405,$AN2923)&lt;&gt;"",$M2923&lt;&gt;INDEX(職員マスタ!$H$6:$H$405,$AN2923)),"時短終了日がマスタと相違／","")))&amp;IF(AND($B2923&lt;&gt;"",$E2923=""),"報酬額が未入力／","")&amp;IF(N($U2923)&gt;0,"申請書に入力エラーが残っています／","")&amp;IF(AND($B2923&lt;&gt;"",$AO2923&lt;&gt;""),IF(COUNTIFS($B$6:$B$3005,$B2923,$C$6:$C$3005,$C2923,$D$6:$D$3005,$D2923)&gt;1,"同じ月の請求が重複しています／",""),"")&amp;IF(AND(N($E2923)&gt;0,$Z2923&lt;&gt;"",$Z2923&lt;&gt;"×",$AC2923=0,$AB2923=""),"計算額が下限以下のため不支給／",""))</f>
        <v/>
      </c>
      <c r="AL2923" s="12" t="n"/>
      <c r="AM2923" s="14">
        <f>IF($AD2923="保留中",COUNTIF($AD$6:$AD2923,"保留中"),"")</f>
        <v/>
      </c>
      <c r="AN2923" s="14">
        <f>IF($AO2923="","",IF(SUMPRODUCT(MAX((職員マスタ!$A$6:$A$405=$B2923)*(((職員マスタ!$G$6:$G$405="")+(職員マスタ!$G$6:$G$405&lt;=EOMONTH($AO2923,0)))&gt;0)*(((職員マスタ!$H$6:$H$405="")+(職員マスタ!$H$6:$H$405&gt;=$AO2923))&gt;0)*(ROW(職員マスタ!$A$6:$A$405)-5)))&gt;0,SUMPRODUCT(MAX((職員マスタ!$A$6:$A$405=$B2923)*(((職員マスタ!$G$6:$G$405="")+(職員マスタ!$G$6:$G$405&lt;=EOMONTH($AO2923,0)))&gt;0)*(((職員マスタ!$H$6:$H$405="")+(職員マスタ!$H$6:$H$405&gt;=$AO2923))&gt;0)*(ROW(職員マスタ!$A$6:$A$405)-5))),IFERROR(MATCH($B2923,職員マスタ!$A$6:$A$405,0),"")))</f>
        <v/>
      </c>
      <c r="AO2923" s="16">
        <f>IF(OR($B2923="",$C2923="",$D2923=""),"",DATE($C2923+2018,$D2923,1))</f>
        <v/>
      </c>
    </row>
    <row r="2924">
      <c r="A2924" s="11" t="n"/>
      <c r="B2924" s="12" t="n"/>
      <c r="C2924" s="12" t="n"/>
      <c r="D2924" s="12" t="n"/>
      <c r="E2924" s="13" t="n"/>
      <c r="F2924" s="12" t="n"/>
      <c r="G2924" s="13" t="n"/>
      <c r="H2924" s="12" t="n"/>
      <c r="I2924" s="12" t="n"/>
      <c r="J2924" s="12" t="n"/>
      <c r="K2924" s="12" t="n"/>
      <c r="L2924" s="11" t="n"/>
      <c r="M2924" s="11" t="n"/>
      <c r="N2924" s="11" t="n"/>
      <c r="O2924" s="11" t="n"/>
      <c r="P2924" s="12" t="n"/>
      <c r="Q2924" s="11" t="n"/>
      <c r="R2924" s="12" t="n"/>
      <c r="S2924" s="11" t="n"/>
      <c r="T2924" s="12" t="n"/>
      <c r="U2924" s="12" t="n"/>
      <c r="V2924" s="14">
        <f>IF($AN2924="",IF($B2924="","",$H2924),IF(INDEX(職員マスタ!$B$6:$B$405,$AN2924)="",$H2924,INDEX(職員マスタ!$B$6:$B$405,$AN2924)))</f>
        <v/>
      </c>
      <c r="W2924" s="14">
        <f>IF($AN2924="",IF($B2924="","",$R2924),IF(INDEX(職員マスタ!$C$6:$C$405,$AN2924)="",$R2924,INDEX(職員マスタ!$C$6:$C$405,$AN2924)))</f>
        <v/>
      </c>
      <c r="X2924" s="14">
        <f>IF($AO2924="","","R"&amp;$C2924&amp;"."&amp;$D2924)</f>
        <v/>
      </c>
      <c r="Y2924" s="15">
        <f>IF($AN2924="","",IF(INDEX(職員マスタ!$K$6:$K$405,$AN2924)="","",INDEX(職員マスタ!$K$6:$K$405,$AN2924)))</f>
        <v/>
      </c>
      <c r="Z2924" s="14">
        <f>IF(OR($E2924="",$Y2924=""),"",IF($E2924&gt;=$Y2924,"×",IF($E2924&gt;=$Y2924*設定!$C$5,"△","○")))</f>
        <v/>
      </c>
      <c r="AA2924" s="15">
        <f>IF($Z2924="","",IF($Z2924="×",0,IF($Z2924="○",ROUNDDOWN($E2924*設定!$C$4,0),ROUNDDOWN($E2924*ROUND((9*$Y2924-9*$E2924)/(10*$E2924),4),0))))</f>
        <v/>
      </c>
      <c r="AB2924" s="13" t="n"/>
      <c r="AC2924" s="15">
        <f>IF($B2924="","",IF($AB2924&lt;&gt;"",$AB2924,IF($AA2924="","",IF($AA2924&lt;=設定!$C$3,0,$AA2924))))</f>
        <v/>
      </c>
      <c r="AD2924" s="14">
        <f>IF($B2924="","",IF(AND($AE2924&lt;&gt;"",$AG2924="",$AJ2924=""),"保留中",IF($AJ2924&lt;&gt;"",IF(N($AC2924)&gt;0,"支給済","不支給"),IF($AC2924="","要確認",IF($AC2924=0,"不支給","未処理")))))</f>
        <v/>
      </c>
      <c r="AE2924" s="12" t="n"/>
      <c r="AF2924" s="11" t="n"/>
      <c r="AG2924" s="11" t="n"/>
      <c r="AH2924" s="11" t="n"/>
      <c r="AI2924" s="14">
        <f>IF(AND($AD2924="保留中",$AF2924&lt;&gt;""),TODAY()-$AF2924,"")</f>
        <v/>
      </c>
      <c r="AJ2924" s="12" t="n"/>
      <c r="AK2924" s="14">
        <f>IF($B2924="","",IF($AO2924="","対象年月が未入力／","")&amp;IF($B2924="","",IF($AN2924="","職員マスタに未登録の職員番号／",IF($Y2924="","標準報酬月額が未登録／","")&amp;IF(AND($AO2924&lt;&gt;"",OR(AND(INDEX(職員マスタ!$G$6:$G$405,$AN2924)&lt;&gt;"",INDEX(職員マスタ!$G$6:$G$405,$AN2924)&gt;EOMONTH($AO2924,0)),AND(INDEX(職員マスタ!$H$6:$H$405,$AN2924)&lt;&gt;"",INDEX(職員マスタ!$H$6:$H$405,$AN2924)&lt;$AO2924))),"対象月が時短期間外／","")&amp;IF(AND(INDEX(職員マスタ!$F$6:$F$405,$AN2924)&lt;&gt;"",$AO2924&lt;&gt;"",INDEX(職員マスタ!$F$6:$F$405,$AN2924)&lt;$AO2924),"対象月に子が2歳到達済／","")&amp;IF(AND($H2924&lt;&gt;"",INDEX(職員マスタ!$B$6:$B$405,$AN2924)&lt;&gt;"",SUBSTITUTE(SUBSTITUTE($H2924," ","")," ","")&lt;&gt;SUBSTITUTE(SUBSTITUTE(INDEX(職員マスタ!$B$6:$B$405,$AN2924)," ","")," ","")),"氏名がマスタと相違／","")&amp;IF(AND($Q2924&lt;&gt;"",INDEX(職員マスタ!$E$6:$E$405,$AN2924)&lt;&gt;"",$Q2924&lt;&gt;INDEX(職員マスタ!$E$6:$E$405,$AN2924)),"子の生年月日がマスタと相違／","")&amp;IF(AND($L2924&lt;&gt;"",INDEX(職員マスタ!$G$6:$G$405,$AN2924)&lt;&gt;"",$L2924&lt;&gt;INDEX(職員マスタ!$G$6:$G$405,$AN2924)),"時短開始日がマスタと相違／","")&amp;IF(AND($M2924&lt;&gt;"",INDEX(職員マスタ!$H$6:$H$405,$AN2924)&lt;&gt;"",$M2924&lt;&gt;INDEX(職員マスタ!$H$6:$H$405,$AN2924)),"時短終了日がマスタと相違／","")))&amp;IF(AND($B2924&lt;&gt;"",$E2924=""),"報酬額が未入力／","")&amp;IF(N($U2924)&gt;0,"申請書に入力エラーが残っています／","")&amp;IF(AND($B2924&lt;&gt;"",$AO2924&lt;&gt;""),IF(COUNTIFS($B$6:$B$3005,$B2924,$C$6:$C$3005,$C2924,$D$6:$D$3005,$D2924)&gt;1,"同じ月の請求が重複しています／",""),"")&amp;IF(AND(N($E2924)&gt;0,$Z2924&lt;&gt;"",$Z2924&lt;&gt;"×",$AC2924=0,$AB2924=""),"計算額が下限以下のため不支給／",""))</f>
        <v/>
      </c>
      <c r="AL2924" s="12" t="n"/>
      <c r="AM2924" s="14">
        <f>IF($AD2924="保留中",COUNTIF($AD$6:$AD2924,"保留中"),"")</f>
        <v/>
      </c>
      <c r="AN2924" s="14">
        <f>IF($AO2924="","",IF(SUMPRODUCT(MAX((職員マスタ!$A$6:$A$405=$B2924)*(((職員マスタ!$G$6:$G$405="")+(職員マスタ!$G$6:$G$405&lt;=EOMONTH($AO2924,0)))&gt;0)*(((職員マスタ!$H$6:$H$405="")+(職員マスタ!$H$6:$H$405&gt;=$AO2924))&gt;0)*(ROW(職員マスタ!$A$6:$A$405)-5)))&gt;0,SUMPRODUCT(MAX((職員マスタ!$A$6:$A$405=$B2924)*(((職員マスタ!$G$6:$G$405="")+(職員マスタ!$G$6:$G$405&lt;=EOMONTH($AO2924,0)))&gt;0)*(((職員マスタ!$H$6:$H$405="")+(職員マスタ!$H$6:$H$405&gt;=$AO2924))&gt;0)*(ROW(職員マスタ!$A$6:$A$405)-5))),IFERROR(MATCH($B2924,職員マスタ!$A$6:$A$405,0),"")))</f>
        <v/>
      </c>
      <c r="AO2924" s="16">
        <f>IF(OR($B2924="",$C2924="",$D2924=""),"",DATE($C2924+2018,$D2924,1))</f>
        <v/>
      </c>
    </row>
    <row r="2925">
      <c r="A2925" s="11" t="n"/>
      <c r="B2925" s="12" t="n"/>
      <c r="C2925" s="12" t="n"/>
      <c r="D2925" s="12" t="n"/>
      <c r="E2925" s="13" t="n"/>
      <c r="F2925" s="12" t="n"/>
      <c r="G2925" s="13" t="n"/>
      <c r="H2925" s="12" t="n"/>
      <c r="I2925" s="12" t="n"/>
      <c r="J2925" s="12" t="n"/>
      <c r="K2925" s="12" t="n"/>
      <c r="L2925" s="11" t="n"/>
      <c r="M2925" s="11" t="n"/>
      <c r="N2925" s="11" t="n"/>
      <c r="O2925" s="11" t="n"/>
      <c r="P2925" s="12" t="n"/>
      <c r="Q2925" s="11" t="n"/>
      <c r="R2925" s="12" t="n"/>
      <c r="S2925" s="11" t="n"/>
      <c r="T2925" s="12" t="n"/>
      <c r="U2925" s="12" t="n"/>
      <c r="V2925" s="14">
        <f>IF($AN2925="",IF($B2925="","",$H2925),IF(INDEX(職員マスタ!$B$6:$B$405,$AN2925)="",$H2925,INDEX(職員マスタ!$B$6:$B$405,$AN2925)))</f>
        <v/>
      </c>
      <c r="W2925" s="14">
        <f>IF($AN2925="",IF($B2925="","",$R2925),IF(INDEX(職員マスタ!$C$6:$C$405,$AN2925)="",$R2925,INDEX(職員マスタ!$C$6:$C$405,$AN2925)))</f>
        <v/>
      </c>
      <c r="X2925" s="14">
        <f>IF($AO2925="","","R"&amp;$C2925&amp;"."&amp;$D2925)</f>
        <v/>
      </c>
      <c r="Y2925" s="15">
        <f>IF($AN2925="","",IF(INDEX(職員マスタ!$K$6:$K$405,$AN2925)="","",INDEX(職員マスタ!$K$6:$K$405,$AN2925)))</f>
        <v/>
      </c>
      <c r="Z2925" s="14">
        <f>IF(OR($E2925="",$Y2925=""),"",IF($E2925&gt;=$Y2925,"×",IF($E2925&gt;=$Y2925*設定!$C$5,"△","○")))</f>
        <v/>
      </c>
      <c r="AA2925" s="15">
        <f>IF($Z2925="","",IF($Z2925="×",0,IF($Z2925="○",ROUNDDOWN($E2925*設定!$C$4,0),ROUNDDOWN($E2925*ROUND((9*$Y2925-9*$E2925)/(10*$E2925),4),0))))</f>
        <v/>
      </c>
      <c r="AB2925" s="13" t="n"/>
      <c r="AC2925" s="15">
        <f>IF($B2925="","",IF($AB2925&lt;&gt;"",$AB2925,IF($AA2925="","",IF($AA2925&lt;=設定!$C$3,0,$AA2925))))</f>
        <v/>
      </c>
      <c r="AD2925" s="14">
        <f>IF($B2925="","",IF(AND($AE2925&lt;&gt;"",$AG2925="",$AJ2925=""),"保留中",IF($AJ2925&lt;&gt;"",IF(N($AC2925)&gt;0,"支給済","不支給"),IF($AC2925="","要確認",IF($AC2925=0,"不支給","未処理")))))</f>
        <v/>
      </c>
      <c r="AE2925" s="12" t="n"/>
      <c r="AF2925" s="11" t="n"/>
      <c r="AG2925" s="11" t="n"/>
      <c r="AH2925" s="11" t="n"/>
      <c r="AI2925" s="14">
        <f>IF(AND($AD2925="保留中",$AF2925&lt;&gt;""),TODAY()-$AF2925,"")</f>
        <v/>
      </c>
      <c r="AJ2925" s="12" t="n"/>
      <c r="AK2925" s="14">
        <f>IF($B2925="","",IF($AO2925="","対象年月が未入力／","")&amp;IF($B2925="","",IF($AN2925="","職員マスタに未登録の職員番号／",IF($Y2925="","標準報酬月額が未登録／","")&amp;IF(AND($AO2925&lt;&gt;"",OR(AND(INDEX(職員マスタ!$G$6:$G$405,$AN2925)&lt;&gt;"",INDEX(職員マスタ!$G$6:$G$405,$AN2925)&gt;EOMONTH($AO2925,0)),AND(INDEX(職員マスタ!$H$6:$H$405,$AN2925)&lt;&gt;"",INDEX(職員マスタ!$H$6:$H$405,$AN2925)&lt;$AO2925))),"対象月が時短期間外／","")&amp;IF(AND(INDEX(職員マスタ!$F$6:$F$405,$AN2925)&lt;&gt;"",$AO2925&lt;&gt;"",INDEX(職員マスタ!$F$6:$F$405,$AN2925)&lt;$AO2925),"対象月に子が2歳到達済／","")&amp;IF(AND($H2925&lt;&gt;"",INDEX(職員マスタ!$B$6:$B$405,$AN2925)&lt;&gt;"",SUBSTITUTE(SUBSTITUTE($H2925," ","")," ","")&lt;&gt;SUBSTITUTE(SUBSTITUTE(INDEX(職員マスタ!$B$6:$B$405,$AN2925)," ","")," ","")),"氏名がマスタと相違／","")&amp;IF(AND($Q2925&lt;&gt;"",INDEX(職員マスタ!$E$6:$E$405,$AN2925)&lt;&gt;"",$Q2925&lt;&gt;INDEX(職員マスタ!$E$6:$E$405,$AN2925)),"子の生年月日がマスタと相違／","")&amp;IF(AND($L2925&lt;&gt;"",INDEX(職員マスタ!$G$6:$G$405,$AN2925)&lt;&gt;"",$L2925&lt;&gt;INDEX(職員マスタ!$G$6:$G$405,$AN2925)),"時短開始日がマスタと相違／","")&amp;IF(AND($M2925&lt;&gt;"",INDEX(職員マスタ!$H$6:$H$405,$AN2925)&lt;&gt;"",$M2925&lt;&gt;INDEX(職員マスタ!$H$6:$H$405,$AN2925)),"時短終了日がマスタと相違／","")))&amp;IF(AND($B2925&lt;&gt;"",$E2925=""),"報酬額が未入力／","")&amp;IF(N($U2925)&gt;0,"申請書に入力エラーが残っています／","")&amp;IF(AND($B2925&lt;&gt;"",$AO2925&lt;&gt;""),IF(COUNTIFS($B$6:$B$3005,$B2925,$C$6:$C$3005,$C2925,$D$6:$D$3005,$D2925)&gt;1,"同じ月の請求が重複しています／",""),"")&amp;IF(AND(N($E2925)&gt;0,$Z2925&lt;&gt;"",$Z2925&lt;&gt;"×",$AC2925=0,$AB2925=""),"計算額が下限以下のため不支給／",""))</f>
        <v/>
      </c>
      <c r="AL2925" s="12" t="n"/>
      <c r="AM2925" s="14">
        <f>IF($AD2925="保留中",COUNTIF($AD$6:$AD2925,"保留中"),"")</f>
        <v/>
      </c>
      <c r="AN2925" s="14">
        <f>IF($AO2925="","",IF(SUMPRODUCT(MAX((職員マスタ!$A$6:$A$405=$B2925)*(((職員マスタ!$G$6:$G$405="")+(職員マスタ!$G$6:$G$405&lt;=EOMONTH($AO2925,0)))&gt;0)*(((職員マスタ!$H$6:$H$405="")+(職員マスタ!$H$6:$H$405&gt;=$AO2925))&gt;0)*(ROW(職員マスタ!$A$6:$A$405)-5)))&gt;0,SUMPRODUCT(MAX((職員マスタ!$A$6:$A$405=$B2925)*(((職員マスタ!$G$6:$G$405="")+(職員マスタ!$G$6:$G$405&lt;=EOMONTH($AO2925,0)))&gt;0)*(((職員マスタ!$H$6:$H$405="")+(職員マスタ!$H$6:$H$405&gt;=$AO2925))&gt;0)*(ROW(職員マスタ!$A$6:$A$405)-5))),IFERROR(MATCH($B2925,職員マスタ!$A$6:$A$405,0),"")))</f>
        <v/>
      </c>
      <c r="AO2925" s="16">
        <f>IF(OR($B2925="",$C2925="",$D2925=""),"",DATE($C2925+2018,$D2925,1))</f>
        <v/>
      </c>
    </row>
    <row r="2926">
      <c r="A2926" s="11" t="n"/>
      <c r="B2926" s="12" t="n"/>
      <c r="C2926" s="12" t="n"/>
      <c r="D2926" s="12" t="n"/>
      <c r="E2926" s="13" t="n"/>
      <c r="F2926" s="12" t="n"/>
      <c r="G2926" s="13" t="n"/>
      <c r="H2926" s="12" t="n"/>
      <c r="I2926" s="12" t="n"/>
      <c r="J2926" s="12" t="n"/>
      <c r="K2926" s="12" t="n"/>
      <c r="L2926" s="11" t="n"/>
      <c r="M2926" s="11" t="n"/>
      <c r="N2926" s="11" t="n"/>
      <c r="O2926" s="11" t="n"/>
      <c r="P2926" s="12" t="n"/>
      <c r="Q2926" s="11" t="n"/>
      <c r="R2926" s="12" t="n"/>
      <c r="S2926" s="11" t="n"/>
      <c r="T2926" s="12" t="n"/>
      <c r="U2926" s="12" t="n"/>
      <c r="V2926" s="14">
        <f>IF($AN2926="",IF($B2926="","",$H2926),IF(INDEX(職員マスタ!$B$6:$B$405,$AN2926)="",$H2926,INDEX(職員マスタ!$B$6:$B$405,$AN2926)))</f>
        <v/>
      </c>
      <c r="W2926" s="14">
        <f>IF($AN2926="",IF($B2926="","",$R2926),IF(INDEX(職員マスタ!$C$6:$C$405,$AN2926)="",$R2926,INDEX(職員マスタ!$C$6:$C$405,$AN2926)))</f>
        <v/>
      </c>
      <c r="X2926" s="14">
        <f>IF($AO2926="","","R"&amp;$C2926&amp;"."&amp;$D2926)</f>
        <v/>
      </c>
      <c r="Y2926" s="15">
        <f>IF($AN2926="","",IF(INDEX(職員マスタ!$K$6:$K$405,$AN2926)="","",INDEX(職員マスタ!$K$6:$K$405,$AN2926)))</f>
        <v/>
      </c>
      <c r="Z2926" s="14">
        <f>IF(OR($E2926="",$Y2926=""),"",IF($E2926&gt;=$Y2926,"×",IF($E2926&gt;=$Y2926*設定!$C$5,"△","○")))</f>
        <v/>
      </c>
      <c r="AA2926" s="15">
        <f>IF($Z2926="","",IF($Z2926="×",0,IF($Z2926="○",ROUNDDOWN($E2926*設定!$C$4,0),ROUNDDOWN($E2926*ROUND((9*$Y2926-9*$E2926)/(10*$E2926),4),0))))</f>
        <v/>
      </c>
      <c r="AB2926" s="13" t="n"/>
      <c r="AC2926" s="15">
        <f>IF($B2926="","",IF($AB2926&lt;&gt;"",$AB2926,IF($AA2926="","",IF($AA2926&lt;=設定!$C$3,0,$AA2926))))</f>
        <v/>
      </c>
      <c r="AD2926" s="14">
        <f>IF($B2926="","",IF(AND($AE2926&lt;&gt;"",$AG2926="",$AJ2926=""),"保留中",IF($AJ2926&lt;&gt;"",IF(N($AC2926)&gt;0,"支給済","不支給"),IF($AC2926="","要確認",IF($AC2926=0,"不支給","未処理")))))</f>
        <v/>
      </c>
      <c r="AE2926" s="12" t="n"/>
      <c r="AF2926" s="11" t="n"/>
      <c r="AG2926" s="11" t="n"/>
      <c r="AH2926" s="11" t="n"/>
      <c r="AI2926" s="14">
        <f>IF(AND($AD2926="保留中",$AF2926&lt;&gt;""),TODAY()-$AF2926,"")</f>
        <v/>
      </c>
      <c r="AJ2926" s="12" t="n"/>
      <c r="AK2926" s="14">
        <f>IF($B2926="","",IF($AO2926="","対象年月が未入力／","")&amp;IF($B2926="","",IF($AN2926="","職員マスタに未登録の職員番号／",IF($Y2926="","標準報酬月額が未登録／","")&amp;IF(AND($AO2926&lt;&gt;"",OR(AND(INDEX(職員マスタ!$G$6:$G$405,$AN2926)&lt;&gt;"",INDEX(職員マスタ!$G$6:$G$405,$AN2926)&gt;EOMONTH($AO2926,0)),AND(INDEX(職員マスタ!$H$6:$H$405,$AN2926)&lt;&gt;"",INDEX(職員マスタ!$H$6:$H$405,$AN2926)&lt;$AO2926))),"対象月が時短期間外／","")&amp;IF(AND(INDEX(職員マスタ!$F$6:$F$405,$AN2926)&lt;&gt;"",$AO2926&lt;&gt;"",INDEX(職員マスタ!$F$6:$F$405,$AN2926)&lt;$AO2926),"対象月に子が2歳到達済／","")&amp;IF(AND($H2926&lt;&gt;"",INDEX(職員マスタ!$B$6:$B$405,$AN2926)&lt;&gt;"",SUBSTITUTE(SUBSTITUTE($H2926," ","")," ","")&lt;&gt;SUBSTITUTE(SUBSTITUTE(INDEX(職員マスタ!$B$6:$B$405,$AN2926)," ","")," ","")),"氏名がマスタと相違／","")&amp;IF(AND($Q2926&lt;&gt;"",INDEX(職員マスタ!$E$6:$E$405,$AN2926)&lt;&gt;"",$Q2926&lt;&gt;INDEX(職員マスタ!$E$6:$E$405,$AN2926)),"子の生年月日がマスタと相違／","")&amp;IF(AND($L2926&lt;&gt;"",INDEX(職員マスタ!$G$6:$G$405,$AN2926)&lt;&gt;"",$L2926&lt;&gt;INDEX(職員マスタ!$G$6:$G$405,$AN2926)),"時短開始日がマスタと相違／","")&amp;IF(AND($M2926&lt;&gt;"",INDEX(職員マスタ!$H$6:$H$405,$AN2926)&lt;&gt;"",$M2926&lt;&gt;INDEX(職員マスタ!$H$6:$H$405,$AN2926)),"時短終了日がマスタと相違／","")))&amp;IF(AND($B2926&lt;&gt;"",$E2926=""),"報酬額が未入力／","")&amp;IF(N($U2926)&gt;0,"申請書に入力エラーが残っています／","")&amp;IF(AND($B2926&lt;&gt;"",$AO2926&lt;&gt;""),IF(COUNTIFS($B$6:$B$3005,$B2926,$C$6:$C$3005,$C2926,$D$6:$D$3005,$D2926)&gt;1,"同じ月の請求が重複しています／",""),"")&amp;IF(AND(N($E2926)&gt;0,$Z2926&lt;&gt;"",$Z2926&lt;&gt;"×",$AC2926=0,$AB2926=""),"計算額が下限以下のため不支給／",""))</f>
        <v/>
      </c>
      <c r="AL2926" s="12" t="n"/>
      <c r="AM2926" s="14">
        <f>IF($AD2926="保留中",COUNTIF($AD$6:$AD2926,"保留中"),"")</f>
        <v/>
      </c>
      <c r="AN2926" s="14">
        <f>IF($AO2926="","",IF(SUMPRODUCT(MAX((職員マスタ!$A$6:$A$405=$B2926)*(((職員マスタ!$G$6:$G$405="")+(職員マスタ!$G$6:$G$405&lt;=EOMONTH($AO2926,0)))&gt;0)*(((職員マスタ!$H$6:$H$405="")+(職員マスタ!$H$6:$H$405&gt;=$AO2926))&gt;0)*(ROW(職員マスタ!$A$6:$A$405)-5)))&gt;0,SUMPRODUCT(MAX((職員マスタ!$A$6:$A$405=$B2926)*(((職員マスタ!$G$6:$G$405="")+(職員マスタ!$G$6:$G$405&lt;=EOMONTH($AO2926,0)))&gt;0)*(((職員マスタ!$H$6:$H$405="")+(職員マスタ!$H$6:$H$405&gt;=$AO2926))&gt;0)*(ROW(職員マスタ!$A$6:$A$405)-5))),IFERROR(MATCH($B2926,職員マスタ!$A$6:$A$405,0),"")))</f>
        <v/>
      </c>
      <c r="AO2926" s="16">
        <f>IF(OR($B2926="",$C2926="",$D2926=""),"",DATE($C2926+2018,$D2926,1))</f>
        <v/>
      </c>
    </row>
    <row r="2927">
      <c r="A2927" s="11" t="n"/>
      <c r="B2927" s="12" t="n"/>
      <c r="C2927" s="12" t="n"/>
      <c r="D2927" s="12" t="n"/>
      <c r="E2927" s="13" t="n"/>
      <c r="F2927" s="12" t="n"/>
      <c r="G2927" s="13" t="n"/>
      <c r="H2927" s="12" t="n"/>
      <c r="I2927" s="12" t="n"/>
      <c r="J2927" s="12" t="n"/>
      <c r="K2927" s="12" t="n"/>
      <c r="L2927" s="11" t="n"/>
      <c r="M2927" s="11" t="n"/>
      <c r="N2927" s="11" t="n"/>
      <c r="O2927" s="11" t="n"/>
      <c r="P2927" s="12" t="n"/>
      <c r="Q2927" s="11" t="n"/>
      <c r="R2927" s="12" t="n"/>
      <c r="S2927" s="11" t="n"/>
      <c r="T2927" s="12" t="n"/>
      <c r="U2927" s="12" t="n"/>
      <c r="V2927" s="14">
        <f>IF($AN2927="",IF($B2927="","",$H2927),IF(INDEX(職員マスタ!$B$6:$B$405,$AN2927)="",$H2927,INDEX(職員マスタ!$B$6:$B$405,$AN2927)))</f>
        <v/>
      </c>
      <c r="W2927" s="14">
        <f>IF($AN2927="",IF($B2927="","",$R2927),IF(INDEX(職員マスタ!$C$6:$C$405,$AN2927)="",$R2927,INDEX(職員マスタ!$C$6:$C$405,$AN2927)))</f>
        <v/>
      </c>
      <c r="X2927" s="14">
        <f>IF($AO2927="","","R"&amp;$C2927&amp;"."&amp;$D2927)</f>
        <v/>
      </c>
      <c r="Y2927" s="15">
        <f>IF($AN2927="","",IF(INDEX(職員マスタ!$K$6:$K$405,$AN2927)="","",INDEX(職員マスタ!$K$6:$K$405,$AN2927)))</f>
        <v/>
      </c>
      <c r="Z2927" s="14">
        <f>IF(OR($E2927="",$Y2927=""),"",IF($E2927&gt;=$Y2927,"×",IF($E2927&gt;=$Y2927*設定!$C$5,"△","○")))</f>
        <v/>
      </c>
      <c r="AA2927" s="15">
        <f>IF($Z2927="","",IF($Z2927="×",0,IF($Z2927="○",ROUNDDOWN($E2927*設定!$C$4,0),ROUNDDOWN($E2927*ROUND((9*$Y2927-9*$E2927)/(10*$E2927),4),0))))</f>
        <v/>
      </c>
      <c r="AB2927" s="13" t="n"/>
      <c r="AC2927" s="15">
        <f>IF($B2927="","",IF($AB2927&lt;&gt;"",$AB2927,IF($AA2927="","",IF($AA2927&lt;=設定!$C$3,0,$AA2927))))</f>
        <v/>
      </c>
      <c r="AD2927" s="14">
        <f>IF($B2927="","",IF(AND($AE2927&lt;&gt;"",$AG2927="",$AJ2927=""),"保留中",IF($AJ2927&lt;&gt;"",IF(N($AC2927)&gt;0,"支給済","不支給"),IF($AC2927="","要確認",IF($AC2927=0,"不支給","未処理")))))</f>
        <v/>
      </c>
      <c r="AE2927" s="12" t="n"/>
      <c r="AF2927" s="11" t="n"/>
      <c r="AG2927" s="11" t="n"/>
      <c r="AH2927" s="11" t="n"/>
      <c r="AI2927" s="14">
        <f>IF(AND($AD2927="保留中",$AF2927&lt;&gt;""),TODAY()-$AF2927,"")</f>
        <v/>
      </c>
      <c r="AJ2927" s="12" t="n"/>
      <c r="AK2927" s="14">
        <f>IF($B2927="","",IF($AO2927="","対象年月が未入力／","")&amp;IF($B2927="","",IF($AN2927="","職員マスタに未登録の職員番号／",IF($Y2927="","標準報酬月額が未登録／","")&amp;IF(AND($AO2927&lt;&gt;"",OR(AND(INDEX(職員マスタ!$G$6:$G$405,$AN2927)&lt;&gt;"",INDEX(職員マスタ!$G$6:$G$405,$AN2927)&gt;EOMONTH($AO2927,0)),AND(INDEX(職員マスタ!$H$6:$H$405,$AN2927)&lt;&gt;"",INDEX(職員マスタ!$H$6:$H$405,$AN2927)&lt;$AO2927))),"対象月が時短期間外／","")&amp;IF(AND(INDEX(職員マスタ!$F$6:$F$405,$AN2927)&lt;&gt;"",$AO2927&lt;&gt;"",INDEX(職員マスタ!$F$6:$F$405,$AN2927)&lt;$AO2927),"対象月に子が2歳到達済／","")&amp;IF(AND($H2927&lt;&gt;"",INDEX(職員マスタ!$B$6:$B$405,$AN2927)&lt;&gt;"",SUBSTITUTE(SUBSTITUTE($H2927," ","")," ","")&lt;&gt;SUBSTITUTE(SUBSTITUTE(INDEX(職員マスタ!$B$6:$B$405,$AN2927)," ","")," ","")),"氏名がマスタと相違／","")&amp;IF(AND($Q2927&lt;&gt;"",INDEX(職員マスタ!$E$6:$E$405,$AN2927)&lt;&gt;"",$Q2927&lt;&gt;INDEX(職員マスタ!$E$6:$E$405,$AN2927)),"子の生年月日がマスタと相違／","")&amp;IF(AND($L2927&lt;&gt;"",INDEX(職員マスタ!$G$6:$G$405,$AN2927)&lt;&gt;"",$L2927&lt;&gt;INDEX(職員マスタ!$G$6:$G$405,$AN2927)),"時短開始日がマスタと相違／","")&amp;IF(AND($M2927&lt;&gt;"",INDEX(職員マスタ!$H$6:$H$405,$AN2927)&lt;&gt;"",$M2927&lt;&gt;INDEX(職員マスタ!$H$6:$H$405,$AN2927)),"時短終了日がマスタと相違／","")))&amp;IF(AND($B2927&lt;&gt;"",$E2927=""),"報酬額が未入力／","")&amp;IF(N($U2927)&gt;0,"申請書に入力エラーが残っています／","")&amp;IF(AND($B2927&lt;&gt;"",$AO2927&lt;&gt;""),IF(COUNTIFS($B$6:$B$3005,$B2927,$C$6:$C$3005,$C2927,$D$6:$D$3005,$D2927)&gt;1,"同じ月の請求が重複しています／",""),"")&amp;IF(AND(N($E2927)&gt;0,$Z2927&lt;&gt;"",$Z2927&lt;&gt;"×",$AC2927=0,$AB2927=""),"計算額が下限以下のため不支給／",""))</f>
        <v/>
      </c>
      <c r="AL2927" s="12" t="n"/>
      <c r="AM2927" s="14">
        <f>IF($AD2927="保留中",COUNTIF($AD$6:$AD2927,"保留中"),"")</f>
        <v/>
      </c>
      <c r="AN2927" s="14">
        <f>IF($AO2927="","",IF(SUMPRODUCT(MAX((職員マスタ!$A$6:$A$405=$B2927)*(((職員マスタ!$G$6:$G$405="")+(職員マスタ!$G$6:$G$405&lt;=EOMONTH($AO2927,0)))&gt;0)*(((職員マスタ!$H$6:$H$405="")+(職員マスタ!$H$6:$H$405&gt;=$AO2927))&gt;0)*(ROW(職員マスタ!$A$6:$A$405)-5)))&gt;0,SUMPRODUCT(MAX((職員マスタ!$A$6:$A$405=$B2927)*(((職員マスタ!$G$6:$G$405="")+(職員マスタ!$G$6:$G$405&lt;=EOMONTH($AO2927,0)))&gt;0)*(((職員マスタ!$H$6:$H$405="")+(職員マスタ!$H$6:$H$405&gt;=$AO2927))&gt;0)*(ROW(職員マスタ!$A$6:$A$405)-5))),IFERROR(MATCH($B2927,職員マスタ!$A$6:$A$405,0),"")))</f>
        <v/>
      </c>
      <c r="AO2927" s="16">
        <f>IF(OR($B2927="",$C2927="",$D2927=""),"",DATE($C2927+2018,$D2927,1))</f>
        <v/>
      </c>
    </row>
    <row r="2928">
      <c r="A2928" s="11" t="n"/>
      <c r="B2928" s="12" t="n"/>
      <c r="C2928" s="12" t="n"/>
      <c r="D2928" s="12" t="n"/>
      <c r="E2928" s="13" t="n"/>
      <c r="F2928" s="12" t="n"/>
      <c r="G2928" s="13" t="n"/>
      <c r="H2928" s="12" t="n"/>
      <c r="I2928" s="12" t="n"/>
      <c r="J2928" s="12" t="n"/>
      <c r="K2928" s="12" t="n"/>
      <c r="L2928" s="11" t="n"/>
      <c r="M2928" s="11" t="n"/>
      <c r="N2928" s="11" t="n"/>
      <c r="O2928" s="11" t="n"/>
      <c r="P2928" s="12" t="n"/>
      <c r="Q2928" s="11" t="n"/>
      <c r="R2928" s="12" t="n"/>
      <c r="S2928" s="11" t="n"/>
      <c r="T2928" s="12" t="n"/>
      <c r="U2928" s="12" t="n"/>
      <c r="V2928" s="14">
        <f>IF($AN2928="",IF($B2928="","",$H2928),IF(INDEX(職員マスタ!$B$6:$B$405,$AN2928)="",$H2928,INDEX(職員マスタ!$B$6:$B$405,$AN2928)))</f>
        <v/>
      </c>
      <c r="W2928" s="14">
        <f>IF($AN2928="",IF($B2928="","",$R2928),IF(INDEX(職員マスタ!$C$6:$C$405,$AN2928)="",$R2928,INDEX(職員マスタ!$C$6:$C$405,$AN2928)))</f>
        <v/>
      </c>
      <c r="X2928" s="14">
        <f>IF($AO2928="","","R"&amp;$C2928&amp;"."&amp;$D2928)</f>
        <v/>
      </c>
      <c r="Y2928" s="15">
        <f>IF($AN2928="","",IF(INDEX(職員マスタ!$K$6:$K$405,$AN2928)="","",INDEX(職員マスタ!$K$6:$K$405,$AN2928)))</f>
        <v/>
      </c>
      <c r="Z2928" s="14">
        <f>IF(OR($E2928="",$Y2928=""),"",IF($E2928&gt;=$Y2928,"×",IF($E2928&gt;=$Y2928*設定!$C$5,"△","○")))</f>
        <v/>
      </c>
      <c r="AA2928" s="15">
        <f>IF($Z2928="","",IF($Z2928="×",0,IF($Z2928="○",ROUNDDOWN($E2928*設定!$C$4,0),ROUNDDOWN($E2928*ROUND((9*$Y2928-9*$E2928)/(10*$E2928),4),0))))</f>
        <v/>
      </c>
      <c r="AB2928" s="13" t="n"/>
      <c r="AC2928" s="15">
        <f>IF($B2928="","",IF($AB2928&lt;&gt;"",$AB2928,IF($AA2928="","",IF($AA2928&lt;=設定!$C$3,0,$AA2928))))</f>
        <v/>
      </c>
      <c r="AD2928" s="14">
        <f>IF($B2928="","",IF(AND($AE2928&lt;&gt;"",$AG2928="",$AJ2928=""),"保留中",IF($AJ2928&lt;&gt;"",IF(N($AC2928)&gt;0,"支給済","不支給"),IF($AC2928="","要確認",IF($AC2928=0,"不支給","未処理")))))</f>
        <v/>
      </c>
      <c r="AE2928" s="12" t="n"/>
      <c r="AF2928" s="11" t="n"/>
      <c r="AG2928" s="11" t="n"/>
      <c r="AH2928" s="11" t="n"/>
      <c r="AI2928" s="14">
        <f>IF(AND($AD2928="保留中",$AF2928&lt;&gt;""),TODAY()-$AF2928,"")</f>
        <v/>
      </c>
      <c r="AJ2928" s="12" t="n"/>
      <c r="AK2928" s="14">
        <f>IF($B2928="","",IF($AO2928="","対象年月が未入力／","")&amp;IF($B2928="","",IF($AN2928="","職員マスタに未登録の職員番号／",IF($Y2928="","標準報酬月額が未登録／","")&amp;IF(AND($AO2928&lt;&gt;"",OR(AND(INDEX(職員マスタ!$G$6:$G$405,$AN2928)&lt;&gt;"",INDEX(職員マスタ!$G$6:$G$405,$AN2928)&gt;EOMONTH($AO2928,0)),AND(INDEX(職員マスタ!$H$6:$H$405,$AN2928)&lt;&gt;"",INDEX(職員マスタ!$H$6:$H$405,$AN2928)&lt;$AO2928))),"対象月が時短期間外／","")&amp;IF(AND(INDEX(職員マスタ!$F$6:$F$405,$AN2928)&lt;&gt;"",$AO2928&lt;&gt;"",INDEX(職員マスタ!$F$6:$F$405,$AN2928)&lt;$AO2928),"対象月に子が2歳到達済／","")&amp;IF(AND($H2928&lt;&gt;"",INDEX(職員マスタ!$B$6:$B$405,$AN2928)&lt;&gt;"",SUBSTITUTE(SUBSTITUTE($H2928," ","")," ","")&lt;&gt;SUBSTITUTE(SUBSTITUTE(INDEX(職員マスタ!$B$6:$B$405,$AN2928)," ","")," ","")),"氏名がマスタと相違／","")&amp;IF(AND($Q2928&lt;&gt;"",INDEX(職員マスタ!$E$6:$E$405,$AN2928)&lt;&gt;"",$Q2928&lt;&gt;INDEX(職員マスタ!$E$6:$E$405,$AN2928)),"子の生年月日がマスタと相違／","")&amp;IF(AND($L2928&lt;&gt;"",INDEX(職員マスタ!$G$6:$G$405,$AN2928)&lt;&gt;"",$L2928&lt;&gt;INDEX(職員マスタ!$G$6:$G$405,$AN2928)),"時短開始日がマスタと相違／","")&amp;IF(AND($M2928&lt;&gt;"",INDEX(職員マスタ!$H$6:$H$405,$AN2928)&lt;&gt;"",$M2928&lt;&gt;INDEX(職員マスタ!$H$6:$H$405,$AN2928)),"時短終了日がマスタと相違／","")))&amp;IF(AND($B2928&lt;&gt;"",$E2928=""),"報酬額が未入力／","")&amp;IF(N($U2928)&gt;0,"申請書に入力エラーが残っています／","")&amp;IF(AND($B2928&lt;&gt;"",$AO2928&lt;&gt;""),IF(COUNTIFS($B$6:$B$3005,$B2928,$C$6:$C$3005,$C2928,$D$6:$D$3005,$D2928)&gt;1,"同じ月の請求が重複しています／",""),"")&amp;IF(AND(N($E2928)&gt;0,$Z2928&lt;&gt;"",$Z2928&lt;&gt;"×",$AC2928=0,$AB2928=""),"計算額が下限以下のため不支給／",""))</f>
        <v/>
      </c>
      <c r="AL2928" s="12" t="n"/>
      <c r="AM2928" s="14">
        <f>IF($AD2928="保留中",COUNTIF($AD$6:$AD2928,"保留中"),"")</f>
        <v/>
      </c>
      <c r="AN2928" s="14">
        <f>IF($AO2928="","",IF(SUMPRODUCT(MAX((職員マスタ!$A$6:$A$405=$B2928)*(((職員マスタ!$G$6:$G$405="")+(職員マスタ!$G$6:$G$405&lt;=EOMONTH($AO2928,0)))&gt;0)*(((職員マスタ!$H$6:$H$405="")+(職員マスタ!$H$6:$H$405&gt;=$AO2928))&gt;0)*(ROW(職員マスタ!$A$6:$A$405)-5)))&gt;0,SUMPRODUCT(MAX((職員マスタ!$A$6:$A$405=$B2928)*(((職員マスタ!$G$6:$G$405="")+(職員マスタ!$G$6:$G$405&lt;=EOMONTH($AO2928,0)))&gt;0)*(((職員マスタ!$H$6:$H$405="")+(職員マスタ!$H$6:$H$405&gt;=$AO2928))&gt;0)*(ROW(職員マスタ!$A$6:$A$405)-5))),IFERROR(MATCH($B2928,職員マスタ!$A$6:$A$405,0),"")))</f>
        <v/>
      </c>
      <c r="AO2928" s="16">
        <f>IF(OR($B2928="",$C2928="",$D2928=""),"",DATE($C2928+2018,$D2928,1))</f>
        <v/>
      </c>
    </row>
    <row r="2929">
      <c r="A2929" s="11" t="n"/>
      <c r="B2929" s="12" t="n"/>
      <c r="C2929" s="12" t="n"/>
      <c r="D2929" s="12" t="n"/>
      <c r="E2929" s="13" t="n"/>
      <c r="F2929" s="12" t="n"/>
      <c r="G2929" s="13" t="n"/>
      <c r="H2929" s="12" t="n"/>
      <c r="I2929" s="12" t="n"/>
      <c r="J2929" s="12" t="n"/>
      <c r="K2929" s="12" t="n"/>
      <c r="L2929" s="11" t="n"/>
      <c r="M2929" s="11" t="n"/>
      <c r="N2929" s="11" t="n"/>
      <c r="O2929" s="11" t="n"/>
      <c r="P2929" s="12" t="n"/>
      <c r="Q2929" s="11" t="n"/>
      <c r="R2929" s="12" t="n"/>
      <c r="S2929" s="11" t="n"/>
      <c r="T2929" s="12" t="n"/>
      <c r="U2929" s="12" t="n"/>
      <c r="V2929" s="14">
        <f>IF($AN2929="",IF($B2929="","",$H2929),IF(INDEX(職員マスタ!$B$6:$B$405,$AN2929)="",$H2929,INDEX(職員マスタ!$B$6:$B$405,$AN2929)))</f>
        <v/>
      </c>
      <c r="W2929" s="14">
        <f>IF($AN2929="",IF($B2929="","",$R2929),IF(INDEX(職員マスタ!$C$6:$C$405,$AN2929)="",$R2929,INDEX(職員マスタ!$C$6:$C$405,$AN2929)))</f>
        <v/>
      </c>
      <c r="X2929" s="14">
        <f>IF($AO2929="","","R"&amp;$C2929&amp;"."&amp;$D2929)</f>
        <v/>
      </c>
      <c r="Y2929" s="15">
        <f>IF($AN2929="","",IF(INDEX(職員マスタ!$K$6:$K$405,$AN2929)="","",INDEX(職員マスタ!$K$6:$K$405,$AN2929)))</f>
        <v/>
      </c>
      <c r="Z2929" s="14">
        <f>IF(OR($E2929="",$Y2929=""),"",IF($E2929&gt;=$Y2929,"×",IF($E2929&gt;=$Y2929*設定!$C$5,"△","○")))</f>
        <v/>
      </c>
      <c r="AA2929" s="15">
        <f>IF($Z2929="","",IF($Z2929="×",0,IF($Z2929="○",ROUNDDOWN($E2929*設定!$C$4,0),ROUNDDOWN($E2929*ROUND((9*$Y2929-9*$E2929)/(10*$E2929),4),0))))</f>
        <v/>
      </c>
      <c r="AB2929" s="13" t="n"/>
      <c r="AC2929" s="15">
        <f>IF($B2929="","",IF($AB2929&lt;&gt;"",$AB2929,IF($AA2929="","",IF($AA2929&lt;=設定!$C$3,0,$AA2929))))</f>
        <v/>
      </c>
      <c r="AD2929" s="14">
        <f>IF($B2929="","",IF(AND($AE2929&lt;&gt;"",$AG2929="",$AJ2929=""),"保留中",IF($AJ2929&lt;&gt;"",IF(N($AC2929)&gt;0,"支給済","不支給"),IF($AC2929="","要確認",IF($AC2929=0,"不支給","未処理")))))</f>
        <v/>
      </c>
      <c r="AE2929" s="12" t="n"/>
      <c r="AF2929" s="11" t="n"/>
      <c r="AG2929" s="11" t="n"/>
      <c r="AH2929" s="11" t="n"/>
      <c r="AI2929" s="14">
        <f>IF(AND($AD2929="保留中",$AF2929&lt;&gt;""),TODAY()-$AF2929,"")</f>
        <v/>
      </c>
      <c r="AJ2929" s="12" t="n"/>
      <c r="AK2929" s="14">
        <f>IF($B2929="","",IF($AO2929="","対象年月が未入力／","")&amp;IF($B2929="","",IF($AN2929="","職員マスタに未登録の職員番号／",IF($Y2929="","標準報酬月額が未登録／","")&amp;IF(AND($AO2929&lt;&gt;"",OR(AND(INDEX(職員マスタ!$G$6:$G$405,$AN2929)&lt;&gt;"",INDEX(職員マスタ!$G$6:$G$405,$AN2929)&gt;EOMONTH($AO2929,0)),AND(INDEX(職員マスタ!$H$6:$H$405,$AN2929)&lt;&gt;"",INDEX(職員マスタ!$H$6:$H$405,$AN2929)&lt;$AO2929))),"対象月が時短期間外／","")&amp;IF(AND(INDEX(職員マスタ!$F$6:$F$405,$AN2929)&lt;&gt;"",$AO2929&lt;&gt;"",INDEX(職員マスタ!$F$6:$F$405,$AN2929)&lt;$AO2929),"対象月に子が2歳到達済／","")&amp;IF(AND($H2929&lt;&gt;"",INDEX(職員マスタ!$B$6:$B$405,$AN2929)&lt;&gt;"",SUBSTITUTE(SUBSTITUTE($H2929," ","")," ","")&lt;&gt;SUBSTITUTE(SUBSTITUTE(INDEX(職員マスタ!$B$6:$B$405,$AN2929)," ","")," ","")),"氏名がマスタと相違／","")&amp;IF(AND($Q2929&lt;&gt;"",INDEX(職員マスタ!$E$6:$E$405,$AN2929)&lt;&gt;"",$Q2929&lt;&gt;INDEX(職員マスタ!$E$6:$E$405,$AN2929)),"子の生年月日がマスタと相違／","")&amp;IF(AND($L2929&lt;&gt;"",INDEX(職員マスタ!$G$6:$G$405,$AN2929)&lt;&gt;"",$L2929&lt;&gt;INDEX(職員マスタ!$G$6:$G$405,$AN2929)),"時短開始日がマスタと相違／","")&amp;IF(AND($M2929&lt;&gt;"",INDEX(職員マスタ!$H$6:$H$405,$AN2929)&lt;&gt;"",$M2929&lt;&gt;INDEX(職員マスタ!$H$6:$H$405,$AN2929)),"時短終了日がマスタと相違／","")))&amp;IF(AND($B2929&lt;&gt;"",$E2929=""),"報酬額が未入力／","")&amp;IF(N($U2929)&gt;0,"申請書に入力エラーが残っています／","")&amp;IF(AND($B2929&lt;&gt;"",$AO2929&lt;&gt;""),IF(COUNTIFS($B$6:$B$3005,$B2929,$C$6:$C$3005,$C2929,$D$6:$D$3005,$D2929)&gt;1,"同じ月の請求が重複しています／",""),"")&amp;IF(AND(N($E2929)&gt;0,$Z2929&lt;&gt;"",$Z2929&lt;&gt;"×",$AC2929=0,$AB2929=""),"計算額が下限以下のため不支給／",""))</f>
        <v/>
      </c>
      <c r="AL2929" s="12" t="n"/>
      <c r="AM2929" s="14">
        <f>IF($AD2929="保留中",COUNTIF($AD$6:$AD2929,"保留中"),"")</f>
        <v/>
      </c>
      <c r="AN2929" s="14">
        <f>IF($AO2929="","",IF(SUMPRODUCT(MAX((職員マスタ!$A$6:$A$405=$B2929)*(((職員マスタ!$G$6:$G$405="")+(職員マスタ!$G$6:$G$405&lt;=EOMONTH($AO2929,0)))&gt;0)*(((職員マスタ!$H$6:$H$405="")+(職員マスタ!$H$6:$H$405&gt;=$AO2929))&gt;0)*(ROW(職員マスタ!$A$6:$A$405)-5)))&gt;0,SUMPRODUCT(MAX((職員マスタ!$A$6:$A$405=$B2929)*(((職員マスタ!$G$6:$G$405="")+(職員マスタ!$G$6:$G$405&lt;=EOMONTH($AO2929,0)))&gt;0)*(((職員マスタ!$H$6:$H$405="")+(職員マスタ!$H$6:$H$405&gt;=$AO2929))&gt;0)*(ROW(職員マスタ!$A$6:$A$405)-5))),IFERROR(MATCH($B2929,職員マスタ!$A$6:$A$405,0),"")))</f>
        <v/>
      </c>
      <c r="AO2929" s="16">
        <f>IF(OR($B2929="",$C2929="",$D2929=""),"",DATE($C2929+2018,$D2929,1))</f>
        <v/>
      </c>
    </row>
    <row r="2930">
      <c r="A2930" s="11" t="n"/>
      <c r="B2930" s="12" t="n"/>
      <c r="C2930" s="12" t="n"/>
      <c r="D2930" s="12" t="n"/>
      <c r="E2930" s="13" t="n"/>
      <c r="F2930" s="12" t="n"/>
      <c r="G2930" s="13" t="n"/>
      <c r="H2930" s="12" t="n"/>
      <c r="I2930" s="12" t="n"/>
      <c r="J2930" s="12" t="n"/>
      <c r="K2930" s="12" t="n"/>
      <c r="L2930" s="11" t="n"/>
      <c r="M2930" s="11" t="n"/>
      <c r="N2930" s="11" t="n"/>
      <c r="O2930" s="11" t="n"/>
      <c r="P2930" s="12" t="n"/>
      <c r="Q2930" s="11" t="n"/>
      <c r="R2930" s="12" t="n"/>
      <c r="S2930" s="11" t="n"/>
      <c r="T2930" s="12" t="n"/>
      <c r="U2930" s="12" t="n"/>
      <c r="V2930" s="14">
        <f>IF($AN2930="",IF($B2930="","",$H2930),IF(INDEX(職員マスタ!$B$6:$B$405,$AN2930)="",$H2930,INDEX(職員マスタ!$B$6:$B$405,$AN2930)))</f>
        <v/>
      </c>
      <c r="W2930" s="14">
        <f>IF($AN2930="",IF($B2930="","",$R2930),IF(INDEX(職員マスタ!$C$6:$C$405,$AN2930)="",$R2930,INDEX(職員マスタ!$C$6:$C$405,$AN2930)))</f>
        <v/>
      </c>
      <c r="X2930" s="14">
        <f>IF($AO2930="","","R"&amp;$C2930&amp;"."&amp;$D2930)</f>
        <v/>
      </c>
      <c r="Y2930" s="15">
        <f>IF($AN2930="","",IF(INDEX(職員マスタ!$K$6:$K$405,$AN2930)="","",INDEX(職員マスタ!$K$6:$K$405,$AN2930)))</f>
        <v/>
      </c>
      <c r="Z2930" s="14">
        <f>IF(OR($E2930="",$Y2930=""),"",IF($E2930&gt;=$Y2930,"×",IF($E2930&gt;=$Y2930*設定!$C$5,"△","○")))</f>
        <v/>
      </c>
      <c r="AA2930" s="15">
        <f>IF($Z2930="","",IF($Z2930="×",0,IF($Z2930="○",ROUNDDOWN($E2930*設定!$C$4,0),ROUNDDOWN($E2930*ROUND((9*$Y2930-9*$E2930)/(10*$E2930),4),0))))</f>
        <v/>
      </c>
      <c r="AB2930" s="13" t="n"/>
      <c r="AC2930" s="15">
        <f>IF($B2930="","",IF($AB2930&lt;&gt;"",$AB2930,IF($AA2930="","",IF($AA2930&lt;=設定!$C$3,0,$AA2930))))</f>
        <v/>
      </c>
      <c r="AD2930" s="14">
        <f>IF($B2930="","",IF(AND($AE2930&lt;&gt;"",$AG2930="",$AJ2930=""),"保留中",IF($AJ2930&lt;&gt;"",IF(N($AC2930)&gt;0,"支給済","不支給"),IF($AC2930="","要確認",IF($AC2930=0,"不支給","未処理")))))</f>
        <v/>
      </c>
      <c r="AE2930" s="12" t="n"/>
      <c r="AF2930" s="11" t="n"/>
      <c r="AG2930" s="11" t="n"/>
      <c r="AH2930" s="11" t="n"/>
      <c r="AI2930" s="14">
        <f>IF(AND($AD2930="保留中",$AF2930&lt;&gt;""),TODAY()-$AF2930,"")</f>
        <v/>
      </c>
      <c r="AJ2930" s="12" t="n"/>
      <c r="AK2930" s="14">
        <f>IF($B2930="","",IF($AO2930="","対象年月が未入力／","")&amp;IF($B2930="","",IF($AN2930="","職員マスタに未登録の職員番号／",IF($Y2930="","標準報酬月額が未登録／","")&amp;IF(AND($AO2930&lt;&gt;"",OR(AND(INDEX(職員マスタ!$G$6:$G$405,$AN2930)&lt;&gt;"",INDEX(職員マスタ!$G$6:$G$405,$AN2930)&gt;EOMONTH($AO2930,0)),AND(INDEX(職員マスタ!$H$6:$H$405,$AN2930)&lt;&gt;"",INDEX(職員マスタ!$H$6:$H$405,$AN2930)&lt;$AO2930))),"対象月が時短期間外／","")&amp;IF(AND(INDEX(職員マスタ!$F$6:$F$405,$AN2930)&lt;&gt;"",$AO2930&lt;&gt;"",INDEX(職員マスタ!$F$6:$F$405,$AN2930)&lt;$AO2930),"対象月に子が2歳到達済／","")&amp;IF(AND($H2930&lt;&gt;"",INDEX(職員マスタ!$B$6:$B$405,$AN2930)&lt;&gt;"",SUBSTITUTE(SUBSTITUTE($H2930," ","")," ","")&lt;&gt;SUBSTITUTE(SUBSTITUTE(INDEX(職員マスタ!$B$6:$B$405,$AN2930)," ","")," ","")),"氏名がマスタと相違／","")&amp;IF(AND($Q2930&lt;&gt;"",INDEX(職員マスタ!$E$6:$E$405,$AN2930)&lt;&gt;"",$Q2930&lt;&gt;INDEX(職員マスタ!$E$6:$E$405,$AN2930)),"子の生年月日がマスタと相違／","")&amp;IF(AND($L2930&lt;&gt;"",INDEX(職員マスタ!$G$6:$G$405,$AN2930)&lt;&gt;"",$L2930&lt;&gt;INDEX(職員マスタ!$G$6:$G$405,$AN2930)),"時短開始日がマスタと相違／","")&amp;IF(AND($M2930&lt;&gt;"",INDEX(職員マスタ!$H$6:$H$405,$AN2930)&lt;&gt;"",$M2930&lt;&gt;INDEX(職員マスタ!$H$6:$H$405,$AN2930)),"時短終了日がマスタと相違／","")))&amp;IF(AND($B2930&lt;&gt;"",$E2930=""),"報酬額が未入力／","")&amp;IF(N($U2930)&gt;0,"申請書に入力エラーが残っています／","")&amp;IF(AND($B2930&lt;&gt;"",$AO2930&lt;&gt;""),IF(COUNTIFS($B$6:$B$3005,$B2930,$C$6:$C$3005,$C2930,$D$6:$D$3005,$D2930)&gt;1,"同じ月の請求が重複しています／",""),"")&amp;IF(AND(N($E2930)&gt;0,$Z2930&lt;&gt;"",$Z2930&lt;&gt;"×",$AC2930=0,$AB2930=""),"計算額が下限以下のため不支給／",""))</f>
        <v/>
      </c>
      <c r="AL2930" s="12" t="n"/>
      <c r="AM2930" s="14">
        <f>IF($AD2930="保留中",COUNTIF($AD$6:$AD2930,"保留中"),"")</f>
        <v/>
      </c>
      <c r="AN2930" s="14">
        <f>IF($AO2930="","",IF(SUMPRODUCT(MAX((職員マスタ!$A$6:$A$405=$B2930)*(((職員マスタ!$G$6:$G$405="")+(職員マスタ!$G$6:$G$405&lt;=EOMONTH($AO2930,0)))&gt;0)*(((職員マスタ!$H$6:$H$405="")+(職員マスタ!$H$6:$H$405&gt;=$AO2930))&gt;0)*(ROW(職員マスタ!$A$6:$A$405)-5)))&gt;0,SUMPRODUCT(MAX((職員マスタ!$A$6:$A$405=$B2930)*(((職員マスタ!$G$6:$G$405="")+(職員マスタ!$G$6:$G$405&lt;=EOMONTH($AO2930,0)))&gt;0)*(((職員マスタ!$H$6:$H$405="")+(職員マスタ!$H$6:$H$405&gt;=$AO2930))&gt;0)*(ROW(職員マスタ!$A$6:$A$405)-5))),IFERROR(MATCH($B2930,職員マスタ!$A$6:$A$405,0),"")))</f>
        <v/>
      </c>
      <c r="AO2930" s="16">
        <f>IF(OR($B2930="",$C2930="",$D2930=""),"",DATE($C2930+2018,$D2930,1))</f>
        <v/>
      </c>
    </row>
    <row r="2931">
      <c r="A2931" s="11" t="n"/>
      <c r="B2931" s="12" t="n"/>
      <c r="C2931" s="12" t="n"/>
      <c r="D2931" s="12" t="n"/>
      <c r="E2931" s="13" t="n"/>
      <c r="F2931" s="12" t="n"/>
      <c r="G2931" s="13" t="n"/>
      <c r="H2931" s="12" t="n"/>
      <c r="I2931" s="12" t="n"/>
      <c r="J2931" s="12" t="n"/>
      <c r="K2931" s="12" t="n"/>
      <c r="L2931" s="11" t="n"/>
      <c r="M2931" s="11" t="n"/>
      <c r="N2931" s="11" t="n"/>
      <c r="O2931" s="11" t="n"/>
      <c r="P2931" s="12" t="n"/>
      <c r="Q2931" s="11" t="n"/>
      <c r="R2931" s="12" t="n"/>
      <c r="S2931" s="11" t="n"/>
      <c r="T2931" s="12" t="n"/>
      <c r="U2931" s="12" t="n"/>
      <c r="V2931" s="14">
        <f>IF($AN2931="",IF($B2931="","",$H2931),IF(INDEX(職員マスタ!$B$6:$B$405,$AN2931)="",$H2931,INDEX(職員マスタ!$B$6:$B$405,$AN2931)))</f>
        <v/>
      </c>
      <c r="W2931" s="14">
        <f>IF($AN2931="",IF($B2931="","",$R2931),IF(INDEX(職員マスタ!$C$6:$C$405,$AN2931)="",$R2931,INDEX(職員マスタ!$C$6:$C$405,$AN2931)))</f>
        <v/>
      </c>
      <c r="X2931" s="14">
        <f>IF($AO2931="","","R"&amp;$C2931&amp;"."&amp;$D2931)</f>
        <v/>
      </c>
      <c r="Y2931" s="15">
        <f>IF($AN2931="","",IF(INDEX(職員マスタ!$K$6:$K$405,$AN2931)="","",INDEX(職員マスタ!$K$6:$K$405,$AN2931)))</f>
        <v/>
      </c>
      <c r="Z2931" s="14">
        <f>IF(OR($E2931="",$Y2931=""),"",IF($E2931&gt;=$Y2931,"×",IF($E2931&gt;=$Y2931*設定!$C$5,"△","○")))</f>
        <v/>
      </c>
      <c r="AA2931" s="15">
        <f>IF($Z2931="","",IF($Z2931="×",0,IF($Z2931="○",ROUNDDOWN($E2931*設定!$C$4,0),ROUNDDOWN($E2931*ROUND((9*$Y2931-9*$E2931)/(10*$E2931),4),0))))</f>
        <v/>
      </c>
      <c r="AB2931" s="13" t="n"/>
      <c r="AC2931" s="15">
        <f>IF($B2931="","",IF($AB2931&lt;&gt;"",$AB2931,IF($AA2931="","",IF($AA2931&lt;=設定!$C$3,0,$AA2931))))</f>
        <v/>
      </c>
      <c r="AD2931" s="14">
        <f>IF($B2931="","",IF(AND($AE2931&lt;&gt;"",$AG2931="",$AJ2931=""),"保留中",IF($AJ2931&lt;&gt;"",IF(N($AC2931)&gt;0,"支給済","不支給"),IF($AC2931="","要確認",IF($AC2931=0,"不支給","未処理")))))</f>
        <v/>
      </c>
      <c r="AE2931" s="12" t="n"/>
      <c r="AF2931" s="11" t="n"/>
      <c r="AG2931" s="11" t="n"/>
      <c r="AH2931" s="11" t="n"/>
      <c r="AI2931" s="14">
        <f>IF(AND($AD2931="保留中",$AF2931&lt;&gt;""),TODAY()-$AF2931,"")</f>
        <v/>
      </c>
      <c r="AJ2931" s="12" t="n"/>
      <c r="AK2931" s="14">
        <f>IF($B2931="","",IF($AO2931="","対象年月が未入力／","")&amp;IF($B2931="","",IF($AN2931="","職員マスタに未登録の職員番号／",IF($Y2931="","標準報酬月額が未登録／","")&amp;IF(AND($AO2931&lt;&gt;"",OR(AND(INDEX(職員マスタ!$G$6:$G$405,$AN2931)&lt;&gt;"",INDEX(職員マスタ!$G$6:$G$405,$AN2931)&gt;EOMONTH($AO2931,0)),AND(INDEX(職員マスタ!$H$6:$H$405,$AN2931)&lt;&gt;"",INDEX(職員マスタ!$H$6:$H$405,$AN2931)&lt;$AO2931))),"対象月が時短期間外／","")&amp;IF(AND(INDEX(職員マスタ!$F$6:$F$405,$AN2931)&lt;&gt;"",$AO2931&lt;&gt;"",INDEX(職員マスタ!$F$6:$F$405,$AN2931)&lt;$AO2931),"対象月に子が2歳到達済／","")&amp;IF(AND($H2931&lt;&gt;"",INDEX(職員マスタ!$B$6:$B$405,$AN2931)&lt;&gt;"",SUBSTITUTE(SUBSTITUTE($H2931," ","")," ","")&lt;&gt;SUBSTITUTE(SUBSTITUTE(INDEX(職員マスタ!$B$6:$B$405,$AN2931)," ","")," ","")),"氏名がマスタと相違／","")&amp;IF(AND($Q2931&lt;&gt;"",INDEX(職員マスタ!$E$6:$E$405,$AN2931)&lt;&gt;"",$Q2931&lt;&gt;INDEX(職員マスタ!$E$6:$E$405,$AN2931)),"子の生年月日がマスタと相違／","")&amp;IF(AND($L2931&lt;&gt;"",INDEX(職員マスタ!$G$6:$G$405,$AN2931)&lt;&gt;"",$L2931&lt;&gt;INDEX(職員マスタ!$G$6:$G$405,$AN2931)),"時短開始日がマスタと相違／","")&amp;IF(AND($M2931&lt;&gt;"",INDEX(職員マスタ!$H$6:$H$405,$AN2931)&lt;&gt;"",$M2931&lt;&gt;INDEX(職員マスタ!$H$6:$H$405,$AN2931)),"時短終了日がマスタと相違／","")))&amp;IF(AND($B2931&lt;&gt;"",$E2931=""),"報酬額が未入力／","")&amp;IF(N($U2931)&gt;0,"申請書に入力エラーが残っています／","")&amp;IF(AND($B2931&lt;&gt;"",$AO2931&lt;&gt;""),IF(COUNTIFS($B$6:$B$3005,$B2931,$C$6:$C$3005,$C2931,$D$6:$D$3005,$D2931)&gt;1,"同じ月の請求が重複しています／",""),"")&amp;IF(AND(N($E2931)&gt;0,$Z2931&lt;&gt;"",$Z2931&lt;&gt;"×",$AC2931=0,$AB2931=""),"計算額が下限以下のため不支給／",""))</f>
        <v/>
      </c>
      <c r="AL2931" s="12" t="n"/>
      <c r="AM2931" s="14">
        <f>IF($AD2931="保留中",COUNTIF($AD$6:$AD2931,"保留中"),"")</f>
        <v/>
      </c>
      <c r="AN2931" s="14">
        <f>IF($AO2931="","",IF(SUMPRODUCT(MAX((職員マスタ!$A$6:$A$405=$B2931)*(((職員マスタ!$G$6:$G$405="")+(職員マスタ!$G$6:$G$405&lt;=EOMONTH($AO2931,0)))&gt;0)*(((職員マスタ!$H$6:$H$405="")+(職員マスタ!$H$6:$H$405&gt;=$AO2931))&gt;0)*(ROW(職員マスタ!$A$6:$A$405)-5)))&gt;0,SUMPRODUCT(MAX((職員マスタ!$A$6:$A$405=$B2931)*(((職員マスタ!$G$6:$G$405="")+(職員マスタ!$G$6:$G$405&lt;=EOMONTH($AO2931,0)))&gt;0)*(((職員マスタ!$H$6:$H$405="")+(職員マスタ!$H$6:$H$405&gt;=$AO2931))&gt;0)*(ROW(職員マスタ!$A$6:$A$405)-5))),IFERROR(MATCH($B2931,職員マスタ!$A$6:$A$405,0),"")))</f>
        <v/>
      </c>
      <c r="AO2931" s="16">
        <f>IF(OR($B2931="",$C2931="",$D2931=""),"",DATE($C2931+2018,$D2931,1))</f>
        <v/>
      </c>
    </row>
    <row r="2932">
      <c r="A2932" s="11" t="n"/>
      <c r="B2932" s="12" t="n"/>
      <c r="C2932" s="12" t="n"/>
      <c r="D2932" s="12" t="n"/>
      <c r="E2932" s="13" t="n"/>
      <c r="F2932" s="12" t="n"/>
      <c r="G2932" s="13" t="n"/>
      <c r="H2932" s="12" t="n"/>
      <c r="I2932" s="12" t="n"/>
      <c r="J2932" s="12" t="n"/>
      <c r="K2932" s="12" t="n"/>
      <c r="L2932" s="11" t="n"/>
      <c r="M2932" s="11" t="n"/>
      <c r="N2932" s="11" t="n"/>
      <c r="O2932" s="11" t="n"/>
      <c r="P2932" s="12" t="n"/>
      <c r="Q2932" s="11" t="n"/>
      <c r="R2932" s="12" t="n"/>
      <c r="S2932" s="11" t="n"/>
      <c r="T2932" s="12" t="n"/>
      <c r="U2932" s="12" t="n"/>
      <c r="V2932" s="14">
        <f>IF($AN2932="",IF($B2932="","",$H2932),IF(INDEX(職員マスタ!$B$6:$B$405,$AN2932)="",$H2932,INDEX(職員マスタ!$B$6:$B$405,$AN2932)))</f>
        <v/>
      </c>
      <c r="W2932" s="14">
        <f>IF($AN2932="",IF($B2932="","",$R2932),IF(INDEX(職員マスタ!$C$6:$C$405,$AN2932)="",$R2932,INDEX(職員マスタ!$C$6:$C$405,$AN2932)))</f>
        <v/>
      </c>
      <c r="X2932" s="14">
        <f>IF($AO2932="","","R"&amp;$C2932&amp;"."&amp;$D2932)</f>
        <v/>
      </c>
      <c r="Y2932" s="15">
        <f>IF($AN2932="","",IF(INDEX(職員マスタ!$K$6:$K$405,$AN2932)="","",INDEX(職員マスタ!$K$6:$K$405,$AN2932)))</f>
        <v/>
      </c>
      <c r="Z2932" s="14">
        <f>IF(OR($E2932="",$Y2932=""),"",IF($E2932&gt;=$Y2932,"×",IF($E2932&gt;=$Y2932*設定!$C$5,"△","○")))</f>
        <v/>
      </c>
      <c r="AA2932" s="15">
        <f>IF($Z2932="","",IF($Z2932="×",0,IF($Z2932="○",ROUNDDOWN($E2932*設定!$C$4,0),ROUNDDOWN($E2932*ROUND((9*$Y2932-9*$E2932)/(10*$E2932),4),0))))</f>
        <v/>
      </c>
      <c r="AB2932" s="13" t="n"/>
      <c r="AC2932" s="15">
        <f>IF($B2932="","",IF($AB2932&lt;&gt;"",$AB2932,IF($AA2932="","",IF($AA2932&lt;=設定!$C$3,0,$AA2932))))</f>
        <v/>
      </c>
      <c r="AD2932" s="14">
        <f>IF($B2932="","",IF(AND($AE2932&lt;&gt;"",$AG2932="",$AJ2932=""),"保留中",IF($AJ2932&lt;&gt;"",IF(N($AC2932)&gt;0,"支給済","不支給"),IF($AC2932="","要確認",IF($AC2932=0,"不支給","未処理")))))</f>
        <v/>
      </c>
      <c r="AE2932" s="12" t="n"/>
      <c r="AF2932" s="11" t="n"/>
      <c r="AG2932" s="11" t="n"/>
      <c r="AH2932" s="11" t="n"/>
      <c r="AI2932" s="14">
        <f>IF(AND($AD2932="保留中",$AF2932&lt;&gt;""),TODAY()-$AF2932,"")</f>
        <v/>
      </c>
      <c r="AJ2932" s="12" t="n"/>
      <c r="AK2932" s="14">
        <f>IF($B2932="","",IF($AO2932="","対象年月が未入力／","")&amp;IF($B2932="","",IF($AN2932="","職員マスタに未登録の職員番号／",IF($Y2932="","標準報酬月額が未登録／","")&amp;IF(AND($AO2932&lt;&gt;"",OR(AND(INDEX(職員マスタ!$G$6:$G$405,$AN2932)&lt;&gt;"",INDEX(職員マスタ!$G$6:$G$405,$AN2932)&gt;EOMONTH($AO2932,0)),AND(INDEX(職員マスタ!$H$6:$H$405,$AN2932)&lt;&gt;"",INDEX(職員マスタ!$H$6:$H$405,$AN2932)&lt;$AO2932))),"対象月が時短期間外／","")&amp;IF(AND(INDEX(職員マスタ!$F$6:$F$405,$AN2932)&lt;&gt;"",$AO2932&lt;&gt;"",INDEX(職員マスタ!$F$6:$F$405,$AN2932)&lt;$AO2932),"対象月に子が2歳到達済／","")&amp;IF(AND($H2932&lt;&gt;"",INDEX(職員マスタ!$B$6:$B$405,$AN2932)&lt;&gt;"",SUBSTITUTE(SUBSTITUTE($H2932," ","")," ","")&lt;&gt;SUBSTITUTE(SUBSTITUTE(INDEX(職員マスタ!$B$6:$B$405,$AN2932)," ","")," ","")),"氏名がマスタと相違／","")&amp;IF(AND($Q2932&lt;&gt;"",INDEX(職員マスタ!$E$6:$E$405,$AN2932)&lt;&gt;"",$Q2932&lt;&gt;INDEX(職員マスタ!$E$6:$E$405,$AN2932)),"子の生年月日がマスタと相違／","")&amp;IF(AND($L2932&lt;&gt;"",INDEX(職員マスタ!$G$6:$G$405,$AN2932)&lt;&gt;"",$L2932&lt;&gt;INDEX(職員マスタ!$G$6:$G$405,$AN2932)),"時短開始日がマスタと相違／","")&amp;IF(AND($M2932&lt;&gt;"",INDEX(職員マスタ!$H$6:$H$405,$AN2932)&lt;&gt;"",$M2932&lt;&gt;INDEX(職員マスタ!$H$6:$H$405,$AN2932)),"時短終了日がマスタと相違／","")))&amp;IF(AND($B2932&lt;&gt;"",$E2932=""),"報酬額が未入力／","")&amp;IF(N($U2932)&gt;0,"申請書に入力エラーが残っています／","")&amp;IF(AND($B2932&lt;&gt;"",$AO2932&lt;&gt;""),IF(COUNTIFS($B$6:$B$3005,$B2932,$C$6:$C$3005,$C2932,$D$6:$D$3005,$D2932)&gt;1,"同じ月の請求が重複しています／",""),"")&amp;IF(AND(N($E2932)&gt;0,$Z2932&lt;&gt;"",$Z2932&lt;&gt;"×",$AC2932=0,$AB2932=""),"計算額が下限以下のため不支給／",""))</f>
        <v/>
      </c>
      <c r="AL2932" s="12" t="n"/>
      <c r="AM2932" s="14">
        <f>IF($AD2932="保留中",COUNTIF($AD$6:$AD2932,"保留中"),"")</f>
        <v/>
      </c>
      <c r="AN2932" s="14">
        <f>IF($AO2932="","",IF(SUMPRODUCT(MAX((職員マスタ!$A$6:$A$405=$B2932)*(((職員マスタ!$G$6:$G$405="")+(職員マスタ!$G$6:$G$405&lt;=EOMONTH($AO2932,0)))&gt;0)*(((職員マスタ!$H$6:$H$405="")+(職員マスタ!$H$6:$H$405&gt;=$AO2932))&gt;0)*(ROW(職員マスタ!$A$6:$A$405)-5)))&gt;0,SUMPRODUCT(MAX((職員マスタ!$A$6:$A$405=$B2932)*(((職員マスタ!$G$6:$G$405="")+(職員マスタ!$G$6:$G$405&lt;=EOMONTH($AO2932,0)))&gt;0)*(((職員マスタ!$H$6:$H$405="")+(職員マスタ!$H$6:$H$405&gt;=$AO2932))&gt;0)*(ROW(職員マスタ!$A$6:$A$405)-5))),IFERROR(MATCH($B2932,職員マスタ!$A$6:$A$405,0),"")))</f>
        <v/>
      </c>
      <c r="AO2932" s="16">
        <f>IF(OR($B2932="",$C2932="",$D2932=""),"",DATE($C2932+2018,$D2932,1))</f>
        <v/>
      </c>
    </row>
    <row r="2933">
      <c r="A2933" s="11" t="n"/>
      <c r="B2933" s="12" t="n"/>
      <c r="C2933" s="12" t="n"/>
      <c r="D2933" s="12" t="n"/>
      <c r="E2933" s="13" t="n"/>
      <c r="F2933" s="12" t="n"/>
      <c r="G2933" s="13" t="n"/>
      <c r="H2933" s="12" t="n"/>
      <c r="I2933" s="12" t="n"/>
      <c r="J2933" s="12" t="n"/>
      <c r="K2933" s="12" t="n"/>
      <c r="L2933" s="11" t="n"/>
      <c r="M2933" s="11" t="n"/>
      <c r="N2933" s="11" t="n"/>
      <c r="O2933" s="11" t="n"/>
      <c r="P2933" s="12" t="n"/>
      <c r="Q2933" s="11" t="n"/>
      <c r="R2933" s="12" t="n"/>
      <c r="S2933" s="11" t="n"/>
      <c r="T2933" s="12" t="n"/>
      <c r="U2933" s="12" t="n"/>
      <c r="V2933" s="14">
        <f>IF($AN2933="",IF($B2933="","",$H2933),IF(INDEX(職員マスタ!$B$6:$B$405,$AN2933)="",$H2933,INDEX(職員マスタ!$B$6:$B$405,$AN2933)))</f>
        <v/>
      </c>
      <c r="W2933" s="14">
        <f>IF($AN2933="",IF($B2933="","",$R2933),IF(INDEX(職員マスタ!$C$6:$C$405,$AN2933)="",$R2933,INDEX(職員マスタ!$C$6:$C$405,$AN2933)))</f>
        <v/>
      </c>
      <c r="X2933" s="14">
        <f>IF($AO2933="","","R"&amp;$C2933&amp;"."&amp;$D2933)</f>
        <v/>
      </c>
      <c r="Y2933" s="15">
        <f>IF($AN2933="","",IF(INDEX(職員マスタ!$K$6:$K$405,$AN2933)="","",INDEX(職員マスタ!$K$6:$K$405,$AN2933)))</f>
        <v/>
      </c>
      <c r="Z2933" s="14">
        <f>IF(OR($E2933="",$Y2933=""),"",IF($E2933&gt;=$Y2933,"×",IF($E2933&gt;=$Y2933*設定!$C$5,"△","○")))</f>
        <v/>
      </c>
      <c r="AA2933" s="15">
        <f>IF($Z2933="","",IF($Z2933="×",0,IF($Z2933="○",ROUNDDOWN($E2933*設定!$C$4,0),ROUNDDOWN($E2933*ROUND((9*$Y2933-9*$E2933)/(10*$E2933),4),0))))</f>
        <v/>
      </c>
      <c r="AB2933" s="13" t="n"/>
      <c r="AC2933" s="15">
        <f>IF($B2933="","",IF($AB2933&lt;&gt;"",$AB2933,IF($AA2933="","",IF($AA2933&lt;=設定!$C$3,0,$AA2933))))</f>
        <v/>
      </c>
      <c r="AD2933" s="14">
        <f>IF($B2933="","",IF(AND($AE2933&lt;&gt;"",$AG2933="",$AJ2933=""),"保留中",IF($AJ2933&lt;&gt;"",IF(N($AC2933)&gt;0,"支給済","不支給"),IF($AC2933="","要確認",IF($AC2933=0,"不支給","未処理")))))</f>
        <v/>
      </c>
      <c r="AE2933" s="12" t="n"/>
      <c r="AF2933" s="11" t="n"/>
      <c r="AG2933" s="11" t="n"/>
      <c r="AH2933" s="11" t="n"/>
      <c r="AI2933" s="14">
        <f>IF(AND($AD2933="保留中",$AF2933&lt;&gt;""),TODAY()-$AF2933,"")</f>
        <v/>
      </c>
      <c r="AJ2933" s="12" t="n"/>
      <c r="AK2933" s="14">
        <f>IF($B2933="","",IF($AO2933="","対象年月が未入力／","")&amp;IF($B2933="","",IF($AN2933="","職員マスタに未登録の職員番号／",IF($Y2933="","標準報酬月額が未登録／","")&amp;IF(AND($AO2933&lt;&gt;"",OR(AND(INDEX(職員マスタ!$G$6:$G$405,$AN2933)&lt;&gt;"",INDEX(職員マスタ!$G$6:$G$405,$AN2933)&gt;EOMONTH($AO2933,0)),AND(INDEX(職員マスタ!$H$6:$H$405,$AN2933)&lt;&gt;"",INDEX(職員マスタ!$H$6:$H$405,$AN2933)&lt;$AO2933))),"対象月が時短期間外／","")&amp;IF(AND(INDEX(職員マスタ!$F$6:$F$405,$AN2933)&lt;&gt;"",$AO2933&lt;&gt;"",INDEX(職員マスタ!$F$6:$F$405,$AN2933)&lt;$AO2933),"対象月に子が2歳到達済／","")&amp;IF(AND($H2933&lt;&gt;"",INDEX(職員マスタ!$B$6:$B$405,$AN2933)&lt;&gt;"",SUBSTITUTE(SUBSTITUTE($H2933," ","")," ","")&lt;&gt;SUBSTITUTE(SUBSTITUTE(INDEX(職員マスタ!$B$6:$B$405,$AN2933)," ","")," ","")),"氏名がマスタと相違／","")&amp;IF(AND($Q2933&lt;&gt;"",INDEX(職員マスタ!$E$6:$E$405,$AN2933)&lt;&gt;"",$Q2933&lt;&gt;INDEX(職員マスタ!$E$6:$E$405,$AN2933)),"子の生年月日がマスタと相違／","")&amp;IF(AND($L2933&lt;&gt;"",INDEX(職員マスタ!$G$6:$G$405,$AN2933)&lt;&gt;"",$L2933&lt;&gt;INDEX(職員マスタ!$G$6:$G$405,$AN2933)),"時短開始日がマスタと相違／","")&amp;IF(AND($M2933&lt;&gt;"",INDEX(職員マスタ!$H$6:$H$405,$AN2933)&lt;&gt;"",$M2933&lt;&gt;INDEX(職員マスタ!$H$6:$H$405,$AN2933)),"時短終了日がマスタと相違／","")))&amp;IF(AND($B2933&lt;&gt;"",$E2933=""),"報酬額が未入力／","")&amp;IF(N($U2933)&gt;0,"申請書に入力エラーが残っています／","")&amp;IF(AND($B2933&lt;&gt;"",$AO2933&lt;&gt;""),IF(COUNTIFS($B$6:$B$3005,$B2933,$C$6:$C$3005,$C2933,$D$6:$D$3005,$D2933)&gt;1,"同じ月の請求が重複しています／",""),"")&amp;IF(AND(N($E2933)&gt;0,$Z2933&lt;&gt;"",$Z2933&lt;&gt;"×",$AC2933=0,$AB2933=""),"計算額が下限以下のため不支給／",""))</f>
        <v/>
      </c>
      <c r="AL2933" s="12" t="n"/>
      <c r="AM2933" s="14">
        <f>IF($AD2933="保留中",COUNTIF($AD$6:$AD2933,"保留中"),"")</f>
        <v/>
      </c>
      <c r="AN2933" s="14">
        <f>IF($AO2933="","",IF(SUMPRODUCT(MAX((職員マスタ!$A$6:$A$405=$B2933)*(((職員マスタ!$G$6:$G$405="")+(職員マスタ!$G$6:$G$405&lt;=EOMONTH($AO2933,0)))&gt;0)*(((職員マスタ!$H$6:$H$405="")+(職員マスタ!$H$6:$H$405&gt;=$AO2933))&gt;0)*(ROW(職員マスタ!$A$6:$A$405)-5)))&gt;0,SUMPRODUCT(MAX((職員マスタ!$A$6:$A$405=$B2933)*(((職員マスタ!$G$6:$G$405="")+(職員マスタ!$G$6:$G$405&lt;=EOMONTH($AO2933,0)))&gt;0)*(((職員マスタ!$H$6:$H$405="")+(職員マスタ!$H$6:$H$405&gt;=$AO2933))&gt;0)*(ROW(職員マスタ!$A$6:$A$405)-5))),IFERROR(MATCH($B2933,職員マスタ!$A$6:$A$405,0),"")))</f>
        <v/>
      </c>
      <c r="AO2933" s="16">
        <f>IF(OR($B2933="",$C2933="",$D2933=""),"",DATE($C2933+2018,$D2933,1))</f>
        <v/>
      </c>
    </row>
    <row r="2934">
      <c r="A2934" s="11" t="n"/>
      <c r="B2934" s="12" t="n"/>
      <c r="C2934" s="12" t="n"/>
      <c r="D2934" s="12" t="n"/>
      <c r="E2934" s="13" t="n"/>
      <c r="F2934" s="12" t="n"/>
      <c r="G2934" s="13" t="n"/>
      <c r="H2934" s="12" t="n"/>
      <c r="I2934" s="12" t="n"/>
      <c r="J2934" s="12" t="n"/>
      <c r="K2934" s="12" t="n"/>
      <c r="L2934" s="11" t="n"/>
      <c r="M2934" s="11" t="n"/>
      <c r="N2934" s="11" t="n"/>
      <c r="O2934" s="11" t="n"/>
      <c r="P2934" s="12" t="n"/>
      <c r="Q2934" s="11" t="n"/>
      <c r="R2934" s="12" t="n"/>
      <c r="S2934" s="11" t="n"/>
      <c r="T2934" s="12" t="n"/>
      <c r="U2934" s="12" t="n"/>
      <c r="V2934" s="14">
        <f>IF($AN2934="",IF($B2934="","",$H2934),IF(INDEX(職員マスタ!$B$6:$B$405,$AN2934)="",$H2934,INDEX(職員マスタ!$B$6:$B$405,$AN2934)))</f>
        <v/>
      </c>
      <c r="W2934" s="14">
        <f>IF($AN2934="",IF($B2934="","",$R2934),IF(INDEX(職員マスタ!$C$6:$C$405,$AN2934)="",$R2934,INDEX(職員マスタ!$C$6:$C$405,$AN2934)))</f>
        <v/>
      </c>
      <c r="X2934" s="14">
        <f>IF($AO2934="","","R"&amp;$C2934&amp;"."&amp;$D2934)</f>
        <v/>
      </c>
      <c r="Y2934" s="15">
        <f>IF($AN2934="","",IF(INDEX(職員マスタ!$K$6:$K$405,$AN2934)="","",INDEX(職員マスタ!$K$6:$K$405,$AN2934)))</f>
        <v/>
      </c>
      <c r="Z2934" s="14">
        <f>IF(OR($E2934="",$Y2934=""),"",IF($E2934&gt;=$Y2934,"×",IF($E2934&gt;=$Y2934*設定!$C$5,"△","○")))</f>
        <v/>
      </c>
      <c r="AA2934" s="15">
        <f>IF($Z2934="","",IF($Z2934="×",0,IF($Z2934="○",ROUNDDOWN($E2934*設定!$C$4,0),ROUNDDOWN($E2934*ROUND((9*$Y2934-9*$E2934)/(10*$E2934),4),0))))</f>
        <v/>
      </c>
      <c r="AB2934" s="13" t="n"/>
      <c r="AC2934" s="15">
        <f>IF($B2934="","",IF($AB2934&lt;&gt;"",$AB2934,IF($AA2934="","",IF($AA2934&lt;=設定!$C$3,0,$AA2934))))</f>
        <v/>
      </c>
      <c r="AD2934" s="14">
        <f>IF($B2934="","",IF(AND($AE2934&lt;&gt;"",$AG2934="",$AJ2934=""),"保留中",IF($AJ2934&lt;&gt;"",IF(N($AC2934)&gt;0,"支給済","不支給"),IF($AC2934="","要確認",IF($AC2934=0,"不支給","未処理")))))</f>
        <v/>
      </c>
      <c r="AE2934" s="12" t="n"/>
      <c r="AF2934" s="11" t="n"/>
      <c r="AG2934" s="11" t="n"/>
      <c r="AH2934" s="11" t="n"/>
      <c r="AI2934" s="14">
        <f>IF(AND($AD2934="保留中",$AF2934&lt;&gt;""),TODAY()-$AF2934,"")</f>
        <v/>
      </c>
      <c r="AJ2934" s="12" t="n"/>
      <c r="AK2934" s="14">
        <f>IF($B2934="","",IF($AO2934="","対象年月が未入力／","")&amp;IF($B2934="","",IF($AN2934="","職員マスタに未登録の職員番号／",IF($Y2934="","標準報酬月額が未登録／","")&amp;IF(AND($AO2934&lt;&gt;"",OR(AND(INDEX(職員マスタ!$G$6:$G$405,$AN2934)&lt;&gt;"",INDEX(職員マスタ!$G$6:$G$405,$AN2934)&gt;EOMONTH($AO2934,0)),AND(INDEX(職員マスタ!$H$6:$H$405,$AN2934)&lt;&gt;"",INDEX(職員マスタ!$H$6:$H$405,$AN2934)&lt;$AO2934))),"対象月が時短期間外／","")&amp;IF(AND(INDEX(職員マスタ!$F$6:$F$405,$AN2934)&lt;&gt;"",$AO2934&lt;&gt;"",INDEX(職員マスタ!$F$6:$F$405,$AN2934)&lt;$AO2934),"対象月に子が2歳到達済／","")&amp;IF(AND($H2934&lt;&gt;"",INDEX(職員マスタ!$B$6:$B$405,$AN2934)&lt;&gt;"",SUBSTITUTE(SUBSTITUTE($H2934," ","")," ","")&lt;&gt;SUBSTITUTE(SUBSTITUTE(INDEX(職員マスタ!$B$6:$B$405,$AN2934)," ","")," ","")),"氏名がマスタと相違／","")&amp;IF(AND($Q2934&lt;&gt;"",INDEX(職員マスタ!$E$6:$E$405,$AN2934)&lt;&gt;"",$Q2934&lt;&gt;INDEX(職員マスタ!$E$6:$E$405,$AN2934)),"子の生年月日がマスタと相違／","")&amp;IF(AND($L2934&lt;&gt;"",INDEX(職員マスタ!$G$6:$G$405,$AN2934)&lt;&gt;"",$L2934&lt;&gt;INDEX(職員マスタ!$G$6:$G$405,$AN2934)),"時短開始日がマスタと相違／","")&amp;IF(AND($M2934&lt;&gt;"",INDEX(職員マスタ!$H$6:$H$405,$AN2934)&lt;&gt;"",$M2934&lt;&gt;INDEX(職員マスタ!$H$6:$H$405,$AN2934)),"時短終了日がマスタと相違／","")))&amp;IF(AND($B2934&lt;&gt;"",$E2934=""),"報酬額が未入力／","")&amp;IF(N($U2934)&gt;0,"申請書に入力エラーが残っています／","")&amp;IF(AND($B2934&lt;&gt;"",$AO2934&lt;&gt;""),IF(COUNTIFS($B$6:$B$3005,$B2934,$C$6:$C$3005,$C2934,$D$6:$D$3005,$D2934)&gt;1,"同じ月の請求が重複しています／",""),"")&amp;IF(AND(N($E2934)&gt;0,$Z2934&lt;&gt;"",$Z2934&lt;&gt;"×",$AC2934=0,$AB2934=""),"計算額が下限以下のため不支給／",""))</f>
        <v/>
      </c>
      <c r="AL2934" s="12" t="n"/>
      <c r="AM2934" s="14">
        <f>IF($AD2934="保留中",COUNTIF($AD$6:$AD2934,"保留中"),"")</f>
        <v/>
      </c>
      <c r="AN2934" s="14">
        <f>IF($AO2934="","",IF(SUMPRODUCT(MAX((職員マスタ!$A$6:$A$405=$B2934)*(((職員マスタ!$G$6:$G$405="")+(職員マスタ!$G$6:$G$405&lt;=EOMONTH($AO2934,0)))&gt;0)*(((職員マスタ!$H$6:$H$405="")+(職員マスタ!$H$6:$H$405&gt;=$AO2934))&gt;0)*(ROW(職員マスタ!$A$6:$A$405)-5)))&gt;0,SUMPRODUCT(MAX((職員マスタ!$A$6:$A$405=$B2934)*(((職員マスタ!$G$6:$G$405="")+(職員マスタ!$G$6:$G$405&lt;=EOMONTH($AO2934,0)))&gt;0)*(((職員マスタ!$H$6:$H$405="")+(職員マスタ!$H$6:$H$405&gt;=$AO2934))&gt;0)*(ROW(職員マスタ!$A$6:$A$405)-5))),IFERROR(MATCH($B2934,職員マスタ!$A$6:$A$405,0),"")))</f>
        <v/>
      </c>
      <c r="AO2934" s="16">
        <f>IF(OR($B2934="",$C2934="",$D2934=""),"",DATE($C2934+2018,$D2934,1))</f>
        <v/>
      </c>
    </row>
    <row r="2935">
      <c r="A2935" s="11" t="n"/>
      <c r="B2935" s="12" t="n"/>
      <c r="C2935" s="12" t="n"/>
      <c r="D2935" s="12" t="n"/>
      <c r="E2935" s="13" t="n"/>
      <c r="F2935" s="12" t="n"/>
      <c r="G2935" s="13" t="n"/>
      <c r="H2935" s="12" t="n"/>
      <c r="I2935" s="12" t="n"/>
      <c r="J2935" s="12" t="n"/>
      <c r="K2935" s="12" t="n"/>
      <c r="L2935" s="11" t="n"/>
      <c r="M2935" s="11" t="n"/>
      <c r="N2935" s="11" t="n"/>
      <c r="O2935" s="11" t="n"/>
      <c r="P2935" s="12" t="n"/>
      <c r="Q2935" s="11" t="n"/>
      <c r="R2935" s="12" t="n"/>
      <c r="S2935" s="11" t="n"/>
      <c r="T2935" s="12" t="n"/>
      <c r="U2935" s="12" t="n"/>
      <c r="V2935" s="14">
        <f>IF($AN2935="",IF($B2935="","",$H2935),IF(INDEX(職員マスタ!$B$6:$B$405,$AN2935)="",$H2935,INDEX(職員マスタ!$B$6:$B$405,$AN2935)))</f>
        <v/>
      </c>
      <c r="W2935" s="14">
        <f>IF($AN2935="",IF($B2935="","",$R2935),IF(INDEX(職員マスタ!$C$6:$C$405,$AN2935)="",$R2935,INDEX(職員マスタ!$C$6:$C$405,$AN2935)))</f>
        <v/>
      </c>
      <c r="X2935" s="14">
        <f>IF($AO2935="","","R"&amp;$C2935&amp;"."&amp;$D2935)</f>
        <v/>
      </c>
      <c r="Y2935" s="15">
        <f>IF($AN2935="","",IF(INDEX(職員マスタ!$K$6:$K$405,$AN2935)="","",INDEX(職員マスタ!$K$6:$K$405,$AN2935)))</f>
        <v/>
      </c>
      <c r="Z2935" s="14">
        <f>IF(OR($E2935="",$Y2935=""),"",IF($E2935&gt;=$Y2935,"×",IF($E2935&gt;=$Y2935*設定!$C$5,"△","○")))</f>
        <v/>
      </c>
      <c r="AA2935" s="15">
        <f>IF($Z2935="","",IF($Z2935="×",0,IF($Z2935="○",ROUNDDOWN($E2935*設定!$C$4,0),ROUNDDOWN($E2935*ROUND((9*$Y2935-9*$E2935)/(10*$E2935),4),0))))</f>
        <v/>
      </c>
      <c r="AB2935" s="13" t="n"/>
      <c r="AC2935" s="15">
        <f>IF($B2935="","",IF($AB2935&lt;&gt;"",$AB2935,IF($AA2935="","",IF($AA2935&lt;=設定!$C$3,0,$AA2935))))</f>
        <v/>
      </c>
      <c r="AD2935" s="14">
        <f>IF($B2935="","",IF(AND($AE2935&lt;&gt;"",$AG2935="",$AJ2935=""),"保留中",IF($AJ2935&lt;&gt;"",IF(N($AC2935)&gt;0,"支給済","不支給"),IF($AC2935="","要確認",IF($AC2935=0,"不支給","未処理")))))</f>
        <v/>
      </c>
      <c r="AE2935" s="12" t="n"/>
      <c r="AF2935" s="11" t="n"/>
      <c r="AG2935" s="11" t="n"/>
      <c r="AH2935" s="11" t="n"/>
      <c r="AI2935" s="14">
        <f>IF(AND($AD2935="保留中",$AF2935&lt;&gt;""),TODAY()-$AF2935,"")</f>
        <v/>
      </c>
      <c r="AJ2935" s="12" t="n"/>
      <c r="AK2935" s="14">
        <f>IF($B2935="","",IF($AO2935="","対象年月が未入力／","")&amp;IF($B2935="","",IF($AN2935="","職員マスタに未登録の職員番号／",IF($Y2935="","標準報酬月額が未登録／","")&amp;IF(AND($AO2935&lt;&gt;"",OR(AND(INDEX(職員マスタ!$G$6:$G$405,$AN2935)&lt;&gt;"",INDEX(職員マスタ!$G$6:$G$405,$AN2935)&gt;EOMONTH($AO2935,0)),AND(INDEX(職員マスタ!$H$6:$H$405,$AN2935)&lt;&gt;"",INDEX(職員マスタ!$H$6:$H$405,$AN2935)&lt;$AO2935))),"対象月が時短期間外／","")&amp;IF(AND(INDEX(職員マスタ!$F$6:$F$405,$AN2935)&lt;&gt;"",$AO2935&lt;&gt;"",INDEX(職員マスタ!$F$6:$F$405,$AN2935)&lt;$AO2935),"対象月に子が2歳到達済／","")&amp;IF(AND($H2935&lt;&gt;"",INDEX(職員マスタ!$B$6:$B$405,$AN2935)&lt;&gt;"",SUBSTITUTE(SUBSTITUTE($H2935," ","")," ","")&lt;&gt;SUBSTITUTE(SUBSTITUTE(INDEX(職員マスタ!$B$6:$B$405,$AN2935)," ","")," ","")),"氏名がマスタと相違／","")&amp;IF(AND($Q2935&lt;&gt;"",INDEX(職員マスタ!$E$6:$E$405,$AN2935)&lt;&gt;"",$Q2935&lt;&gt;INDEX(職員マスタ!$E$6:$E$405,$AN2935)),"子の生年月日がマスタと相違／","")&amp;IF(AND($L2935&lt;&gt;"",INDEX(職員マスタ!$G$6:$G$405,$AN2935)&lt;&gt;"",$L2935&lt;&gt;INDEX(職員マスタ!$G$6:$G$405,$AN2935)),"時短開始日がマスタと相違／","")&amp;IF(AND($M2935&lt;&gt;"",INDEX(職員マスタ!$H$6:$H$405,$AN2935)&lt;&gt;"",$M2935&lt;&gt;INDEX(職員マスタ!$H$6:$H$405,$AN2935)),"時短終了日がマスタと相違／","")))&amp;IF(AND($B2935&lt;&gt;"",$E2935=""),"報酬額が未入力／","")&amp;IF(N($U2935)&gt;0,"申請書に入力エラーが残っています／","")&amp;IF(AND($B2935&lt;&gt;"",$AO2935&lt;&gt;""),IF(COUNTIFS($B$6:$B$3005,$B2935,$C$6:$C$3005,$C2935,$D$6:$D$3005,$D2935)&gt;1,"同じ月の請求が重複しています／",""),"")&amp;IF(AND(N($E2935)&gt;0,$Z2935&lt;&gt;"",$Z2935&lt;&gt;"×",$AC2935=0,$AB2935=""),"計算額が下限以下のため不支給／",""))</f>
        <v/>
      </c>
      <c r="AL2935" s="12" t="n"/>
      <c r="AM2935" s="14">
        <f>IF($AD2935="保留中",COUNTIF($AD$6:$AD2935,"保留中"),"")</f>
        <v/>
      </c>
      <c r="AN2935" s="14">
        <f>IF($AO2935="","",IF(SUMPRODUCT(MAX((職員マスタ!$A$6:$A$405=$B2935)*(((職員マスタ!$G$6:$G$405="")+(職員マスタ!$G$6:$G$405&lt;=EOMONTH($AO2935,0)))&gt;0)*(((職員マスタ!$H$6:$H$405="")+(職員マスタ!$H$6:$H$405&gt;=$AO2935))&gt;0)*(ROW(職員マスタ!$A$6:$A$405)-5)))&gt;0,SUMPRODUCT(MAX((職員マスタ!$A$6:$A$405=$B2935)*(((職員マスタ!$G$6:$G$405="")+(職員マスタ!$G$6:$G$405&lt;=EOMONTH($AO2935,0)))&gt;0)*(((職員マスタ!$H$6:$H$405="")+(職員マスタ!$H$6:$H$405&gt;=$AO2935))&gt;0)*(ROW(職員マスタ!$A$6:$A$405)-5))),IFERROR(MATCH($B2935,職員マスタ!$A$6:$A$405,0),"")))</f>
        <v/>
      </c>
      <c r="AO2935" s="16">
        <f>IF(OR($B2935="",$C2935="",$D2935=""),"",DATE($C2935+2018,$D2935,1))</f>
        <v/>
      </c>
    </row>
    <row r="2936">
      <c r="A2936" s="11" t="n"/>
      <c r="B2936" s="12" t="n"/>
      <c r="C2936" s="12" t="n"/>
      <c r="D2936" s="12" t="n"/>
      <c r="E2936" s="13" t="n"/>
      <c r="F2936" s="12" t="n"/>
      <c r="G2936" s="13" t="n"/>
      <c r="H2936" s="12" t="n"/>
      <c r="I2936" s="12" t="n"/>
      <c r="J2936" s="12" t="n"/>
      <c r="K2936" s="12" t="n"/>
      <c r="L2936" s="11" t="n"/>
      <c r="M2936" s="11" t="n"/>
      <c r="N2936" s="11" t="n"/>
      <c r="O2936" s="11" t="n"/>
      <c r="P2936" s="12" t="n"/>
      <c r="Q2936" s="11" t="n"/>
      <c r="R2936" s="12" t="n"/>
      <c r="S2936" s="11" t="n"/>
      <c r="T2936" s="12" t="n"/>
      <c r="U2936" s="12" t="n"/>
      <c r="V2936" s="14">
        <f>IF($AN2936="",IF($B2936="","",$H2936),IF(INDEX(職員マスタ!$B$6:$B$405,$AN2936)="",$H2936,INDEX(職員マスタ!$B$6:$B$405,$AN2936)))</f>
        <v/>
      </c>
      <c r="W2936" s="14">
        <f>IF($AN2936="",IF($B2936="","",$R2936),IF(INDEX(職員マスタ!$C$6:$C$405,$AN2936)="",$R2936,INDEX(職員マスタ!$C$6:$C$405,$AN2936)))</f>
        <v/>
      </c>
      <c r="X2936" s="14">
        <f>IF($AO2936="","","R"&amp;$C2936&amp;"."&amp;$D2936)</f>
        <v/>
      </c>
      <c r="Y2936" s="15">
        <f>IF($AN2936="","",IF(INDEX(職員マスタ!$K$6:$K$405,$AN2936)="","",INDEX(職員マスタ!$K$6:$K$405,$AN2936)))</f>
        <v/>
      </c>
      <c r="Z2936" s="14">
        <f>IF(OR($E2936="",$Y2936=""),"",IF($E2936&gt;=$Y2936,"×",IF($E2936&gt;=$Y2936*設定!$C$5,"△","○")))</f>
        <v/>
      </c>
      <c r="AA2936" s="15">
        <f>IF($Z2936="","",IF($Z2936="×",0,IF($Z2936="○",ROUNDDOWN($E2936*設定!$C$4,0),ROUNDDOWN($E2936*ROUND((9*$Y2936-9*$E2936)/(10*$E2936),4),0))))</f>
        <v/>
      </c>
      <c r="AB2936" s="13" t="n"/>
      <c r="AC2936" s="15">
        <f>IF($B2936="","",IF($AB2936&lt;&gt;"",$AB2936,IF($AA2936="","",IF($AA2936&lt;=設定!$C$3,0,$AA2936))))</f>
        <v/>
      </c>
      <c r="AD2936" s="14">
        <f>IF($B2936="","",IF(AND($AE2936&lt;&gt;"",$AG2936="",$AJ2936=""),"保留中",IF($AJ2936&lt;&gt;"",IF(N($AC2936)&gt;0,"支給済","不支給"),IF($AC2936="","要確認",IF($AC2936=0,"不支給","未処理")))))</f>
        <v/>
      </c>
      <c r="AE2936" s="12" t="n"/>
      <c r="AF2936" s="11" t="n"/>
      <c r="AG2936" s="11" t="n"/>
      <c r="AH2936" s="11" t="n"/>
      <c r="AI2936" s="14">
        <f>IF(AND($AD2936="保留中",$AF2936&lt;&gt;""),TODAY()-$AF2936,"")</f>
        <v/>
      </c>
      <c r="AJ2936" s="12" t="n"/>
      <c r="AK2936" s="14">
        <f>IF($B2936="","",IF($AO2936="","対象年月が未入力／","")&amp;IF($B2936="","",IF($AN2936="","職員マスタに未登録の職員番号／",IF($Y2936="","標準報酬月額が未登録／","")&amp;IF(AND($AO2936&lt;&gt;"",OR(AND(INDEX(職員マスタ!$G$6:$G$405,$AN2936)&lt;&gt;"",INDEX(職員マスタ!$G$6:$G$405,$AN2936)&gt;EOMONTH($AO2936,0)),AND(INDEX(職員マスタ!$H$6:$H$405,$AN2936)&lt;&gt;"",INDEX(職員マスタ!$H$6:$H$405,$AN2936)&lt;$AO2936))),"対象月が時短期間外／","")&amp;IF(AND(INDEX(職員マスタ!$F$6:$F$405,$AN2936)&lt;&gt;"",$AO2936&lt;&gt;"",INDEX(職員マスタ!$F$6:$F$405,$AN2936)&lt;$AO2936),"対象月に子が2歳到達済／","")&amp;IF(AND($H2936&lt;&gt;"",INDEX(職員マスタ!$B$6:$B$405,$AN2936)&lt;&gt;"",SUBSTITUTE(SUBSTITUTE($H2936," ","")," ","")&lt;&gt;SUBSTITUTE(SUBSTITUTE(INDEX(職員マスタ!$B$6:$B$405,$AN2936)," ","")," ","")),"氏名がマスタと相違／","")&amp;IF(AND($Q2936&lt;&gt;"",INDEX(職員マスタ!$E$6:$E$405,$AN2936)&lt;&gt;"",$Q2936&lt;&gt;INDEX(職員マスタ!$E$6:$E$405,$AN2936)),"子の生年月日がマスタと相違／","")&amp;IF(AND($L2936&lt;&gt;"",INDEX(職員マスタ!$G$6:$G$405,$AN2936)&lt;&gt;"",$L2936&lt;&gt;INDEX(職員マスタ!$G$6:$G$405,$AN2936)),"時短開始日がマスタと相違／","")&amp;IF(AND($M2936&lt;&gt;"",INDEX(職員マスタ!$H$6:$H$405,$AN2936)&lt;&gt;"",$M2936&lt;&gt;INDEX(職員マスタ!$H$6:$H$405,$AN2936)),"時短終了日がマスタと相違／","")))&amp;IF(AND($B2936&lt;&gt;"",$E2936=""),"報酬額が未入力／","")&amp;IF(N($U2936)&gt;0,"申請書に入力エラーが残っています／","")&amp;IF(AND($B2936&lt;&gt;"",$AO2936&lt;&gt;""),IF(COUNTIFS($B$6:$B$3005,$B2936,$C$6:$C$3005,$C2936,$D$6:$D$3005,$D2936)&gt;1,"同じ月の請求が重複しています／",""),"")&amp;IF(AND(N($E2936)&gt;0,$Z2936&lt;&gt;"",$Z2936&lt;&gt;"×",$AC2936=0,$AB2936=""),"計算額が下限以下のため不支給／",""))</f>
        <v/>
      </c>
      <c r="AL2936" s="12" t="n"/>
      <c r="AM2936" s="14">
        <f>IF($AD2936="保留中",COUNTIF($AD$6:$AD2936,"保留中"),"")</f>
        <v/>
      </c>
      <c r="AN2936" s="14">
        <f>IF($AO2936="","",IF(SUMPRODUCT(MAX((職員マスタ!$A$6:$A$405=$B2936)*(((職員マスタ!$G$6:$G$405="")+(職員マスタ!$G$6:$G$405&lt;=EOMONTH($AO2936,0)))&gt;0)*(((職員マスタ!$H$6:$H$405="")+(職員マスタ!$H$6:$H$405&gt;=$AO2936))&gt;0)*(ROW(職員マスタ!$A$6:$A$405)-5)))&gt;0,SUMPRODUCT(MAX((職員マスタ!$A$6:$A$405=$B2936)*(((職員マスタ!$G$6:$G$405="")+(職員マスタ!$G$6:$G$405&lt;=EOMONTH($AO2936,0)))&gt;0)*(((職員マスタ!$H$6:$H$405="")+(職員マスタ!$H$6:$H$405&gt;=$AO2936))&gt;0)*(ROW(職員マスタ!$A$6:$A$405)-5))),IFERROR(MATCH($B2936,職員マスタ!$A$6:$A$405,0),"")))</f>
        <v/>
      </c>
      <c r="AO2936" s="16">
        <f>IF(OR($B2936="",$C2936="",$D2936=""),"",DATE($C2936+2018,$D2936,1))</f>
        <v/>
      </c>
    </row>
    <row r="2937">
      <c r="A2937" s="11" t="n"/>
      <c r="B2937" s="12" t="n"/>
      <c r="C2937" s="12" t="n"/>
      <c r="D2937" s="12" t="n"/>
      <c r="E2937" s="13" t="n"/>
      <c r="F2937" s="12" t="n"/>
      <c r="G2937" s="13" t="n"/>
      <c r="H2937" s="12" t="n"/>
      <c r="I2937" s="12" t="n"/>
      <c r="J2937" s="12" t="n"/>
      <c r="K2937" s="12" t="n"/>
      <c r="L2937" s="11" t="n"/>
      <c r="M2937" s="11" t="n"/>
      <c r="N2937" s="11" t="n"/>
      <c r="O2937" s="11" t="n"/>
      <c r="P2937" s="12" t="n"/>
      <c r="Q2937" s="11" t="n"/>
      <c r="R2937" s="12" t="n"/>
      <c r="S2937" s="11" t="n"/>
      <c r="T2937" s="12" t="n"/>
      <c r="U2937" s="12" t="n"/>
      <c r="V2937" s="14">
        <f>IF($AN2937="",IF($B2937="","",$H2937),IF(INDEX(職員マスタ!$B$6:$B$405,$AN2937)="",$H2937,INDEX(職員マスタ!$B$6:$B$405,$AN2937)))</f>
        <v/>
      </c>
      <c r="W2937" s="14">
        <f>IF($AN2937="",IF($B2937="","",$R2937),IF(INDEX(職員マスタ!$C$6:$C$405,$AN2937)="",$R2937,INDEX(職員マスタ!$C$6:$C$405,$AN2937)))</f>
        <v/>
      </c>
      <c r="X2937" s="14">
        <f>IF($AO2937="","","R"&amp;$C2937&amp;"."&amp;$D2937)</f>
        <v/>
      </c>
      <c r="Y2937" s="15">
        <f>IF($AN2937="","",IF(INDEX(職員マスタ!$K$6:$K$405,$AN2937)="","",INDEX(職員マスタ!$K$6:$K$405,$AN2937)))</f>
        <v/>
      </c>
      <c r="Z2937" s="14">
        <f>IF(OR($E2937="",$Y2937=""),"",IF($E2937&gt;=$Y2937,"×",IF($E2937&gt;=$Y2937*設定!$C$5,"△","○")))</f>
        <v/>
      </c>
      <c r="AA2937" s="15">
        <f>IF($Z2937="","",IF($Z2937="×",0,IF($Z2937="○",ROUNDDOWN($E2937*設定!$C$4,0),ROUNDDOWN($E2937*ROUND((9*$Y2937-9*$E2937)/(10*$E2937),4),0))))</f>
        <v/>
      </c>
      <c r="AB2937" s="13" t="n"/>
      <c r="AC2937" s="15">
        <f>IF($B2937="","",IF($AB2937&lt;&gt;"",$AB2937,IF($AA2937="","",IF($AA2937&lt;=設定!$C$3,0,$AA2937))))</f>
        <v/>
      </c>
      <c r="AD2937" s="14">
        <f>IF($B2937="","",IF(AND($AE2937&lt;&gt;"",$AG2937="",$AJ2937=""),"保留中",IF($AJ2937&lt;&gt;"",IF(N($AC2937)&gt;0,"支給済","不支給"),IF($AC2937="","要確認",IF($AC2937=0,"不支給","未処理")))))</f>
        <v/>
      </c>
      <c r="AE2937" s="12" t="n"/>
      <c r="AF2937" s="11" t="n"/>
      <c r="AG2937" s="11" t="n"/>
      <c r="AH2937" s="11" t="n"/>
      <c r="AI2937" s="14">
        <f>IF(AND($AD2937="保留中",$AF2937&lt;&gt;""),TODAY()-$AF2937,"")</f>
        <v/>
      </c>
      <c r="AJ2937" s="12" t="n"/>
      <c r="AK2937" s="14">
        <f>IF($B2937="","",IF($AO2937="","対象年月が未入力／","")&amp;IF($B2937="","",IF($AN2937="","職員マスタに未登録の職員番号／",IF($Y2937="","標準報酬月額が未登録／","")&amp;IF(AND($AO2937&lt;&gt;"",OR(AND(INDEX(職員マスタ!$G$6:$G$405,$AN2937)&lt;&gt;"",INDEX(職員マスタ!$G$6:$G$405,$AN2937)&gt;EOMONTH($AO2937,0)),AND(INDEX(職員マスタ!$H$6:$H$405,$AN2937)&lt;&gt;"",INDEX(職員マスタ!$H$6:$H$405,$AN2937)&lt;$AO2937))),"対象月が時短期間外／","")&amp;IF(AND(INDEX(職員マスタ!$F$6:$F$405,$AN2937)&lt;&gt;"",$AO2937&lt;&gt;"",INDEX(職員マスタ!$F$6:$F$405,$AN2937)&lt;$AO2937),"対象月に子が2歳到達済／","")&amp;IF(AND($H2937&lt;&gt;"",INDEX(職員マスタ!$B$6:$B$405,$AN2937)&lt;&gt;"",SUBSTITUTE(SUBSTITUTE($H2937," ","")," ","")&lt;&gt;SUBSTITUTE(SUBSTITUTE(INDEX(職員マスタ!$B$6:$B$405,$AN2937)," ","")," ","")),"氏名がマスタと相違／","")&amp;IF(AND($Q2937&lt;&gt;"",INDEX(職員マスタ!$E$6:$E$405,$AN2937)&lt;&gt;"",$Q2937&lt;&gt;INDEX(職員マスタ!$E$6:$E$405,$AN2937)),"子の生年月日がマスタと相違／","")&amp;IF(AND($L2937&lt;&gt;"",INDEX(職員マスタ!$G$6:$G$405,$AN2937)&lt;&gt;"",$L2937&lt;&gt;INDEX(職員マスタ!$G$6:$G$405,$AN2937)),"時短開始日がマスタと相違／","")&amp;IF(AND($M2937&lt;&gt;"",INDEX(職員マスタ!$H$6:$H$405,$AN2937)&lt;&gt;"",$M2937&lt;&gt;INDEX(職員マスタ!$H$6:$H$405,$AN2937)),"時短終了日がマスタと相違／","")))&amp;IF(AND($B2937&lt;&gt;"",$E2937=""),"報酬額が未入力／","")&amp;IF(N($U2937)&gt;0,"申請書に入力エラーが残っています／","")&amp;IF(AND($B2937&lt;&gt;"",$AO2937&lt;&gt;""),IF(COUNTIFS($B$6:$B$3005,$B2937,$C$6:$C$3005,$C2937,$D$6:$D$3005,$D2937)&gt;1,"同じ月の請求が重複しています／",""),"")&amp;IF(AND(N($E2937)&gt;0,$Z2937&lt;&gt;"",$Z2937&lt;&gt;"×",$AC2937=0,$AB2937=""),"計算額が下限以下のため不支給／",""))</f>
        <v/>
      </c>
      <c r="AL2937" s="12" t="n"/>
      <c r="AM2937" s="14">
        <f>IF($AD2937="保留中",COUNTIF($AD$6:$AD2937,"保留中"),"")</f>
        <v/>
      </c>
      <c r="AN2937" s="14">
        <f>IF($AO2937="","",IF(SUMPRODUCT(MAX((職員マスタ!$A$6:$A$405=$B2937)*(((職員マスタ!$G$6:$G$405="")+(職員マスタ!$G$6:$G$405&lt;=EOMONTH($AO2937,0)))&gt;0)*(((職員マスタ!$H$6:$H$405="")+(職員マスタ!$H$6:$H$405&gt;=$AO2937))&gt;0)*(ROW(職員マスタ!$A$6:$A$405)-5)))&gt;0,SUMPRODUCT(MAX((職員マスタ!$A$6:$A$405=$B2937)*(((職員マスタ!$G$6:$G$405="")+(職員マスタ!$G$6:$G$405&lt;=EOMONTH($AO2937,0)))&gt;0)*(((職員マスタ!$H$6:$H$405="")+(職員マスタ!$H$6:$H$405&gt;=$AO2937))&gt;0)*(ROW(職員マスタ!$A$6:$A$405)-5))),IFERROR(MATCH($B2937,職員マスタ!$A$6:$A$405,0),"")))</f>
        <v/>
      </c>
      <c r="AO2937" s="16">
        <f>IF(OR($B2937="",$C2937="",$D2937=""),"",DATE($C2937+2018,$D2937,1))</f>
        <v/>
      </c>
    </row>
    <row r="2938">
      <c r="A2938" s="11" t="n"/>
      <c r="B2938" s="12" t="n"/>
      <c r="C2938" s="12" t="n"/>
      <c r="D2938" s="12" t="n"/>
      <c r="E2938" s="13" t="n"/>
      <c r="F2938" s="12" t="n"/>
      <c r="G2938" s="13" t="n"/>
      <c r="H2938" s="12" t="n"/>
      <c r="I2938" s="12" t="n"/>
      <c r="J2938" s="12" t="n"/>
      <c r="K2938" s="12" t="n"/>
      <c r="L2938" s="11" t="n"/>
      <c r="M2938" s="11" t="n"/>
      <c r="N2938" s="11" t="n"/>
      <c r="O2938" s="11" t="n"/>
      <c r="P2938" s="12" t="n"/>
      <c r="Q2938" s="11" t="n"/>
      <c r="R2938" s="12" t="n"/>
      <c r="S2938" s="11" t="n"/>
      <c r="T2938" s="12" t="n"/>
      <c r="U2938" s="12" t="n"/>
      <c r="V2938" s="14">
        <f>IF($AN2938="",IF($B2938="","",$H2938),IF(INDEX(職員マスタ!$B$6:$B$405,$AN2938)="",$H2938,INDEX(職員マスタ!$B$6:$B$405,$AN2938)))</f>
        <v/>
      </c>
      <c r="W2938" s="14">
        <f>IF($AN2938="",IF($B2938="","",$R2938),IF(INDEX(職員マスタ!$C$6:$C$405,$AN2938)="",$R2938,INDEX(職員マスタ!$C$6:$C$405,$AN2938)))</f>
        <v/>
      </c>
      <c r="X2938" s="14">
        <f>IF($AO2938="","","R"&amp;$C2938&amp;"."&amp;$D2938)</f>
        <v/>
      </c>
      <c r="Y2938" s="15">
        <f>IF($AN2938="","",IF(INDEX(職員マスタ!$K$6:$K$405,$AN2938)="","",INDEX(職員マスタ!$K$6:$K$405,$AN2938)))</f>
        <v/>
      </c>
      <c r="Z2938" s="14">
        <f>IF(OR($E2938="",$Y2938=""),"",IF($E2938&gt;=$Y2938,"×",IF($E2938&gt;=$Y2938*設定!$C$5,"△","○")))</f>
        <v/>
      </c>
      <c r="AA2938" s="15">
        <f>IF($Z2938="","",IF($Z2938="×",0,IF($Z2938="○",ROUNDDOWN($E2938*設定!$C$4,0),ROUNDDOWN($E2938*ROUND((9*$Y2938-9*$E2938)/(10*$E2938),4),0))))</f>
        <v/>
      </c>
      <c r="AB2938" s="13" t="n"/>
      <c r="AC2938" s="15">
        <f>IF($B2938="","",IF($AB2938&lt;&gt;"",$AB2938,IF($AA2938="","",IF($AA2938&lt;=設定!$C$3,0,$AA2938))))</f>
        <v/>
      </c>
      <c r="AD2938" s="14">
        <f>IF($B2938="","",IF(AND($AE2938&lt;&gt;"",$AG2938="",$AJ2938=""),"保留中",IF($AJ2938&lt;&gt;"",IF(N($AC2938)&gt;0,"支給済","不支給"),IF($AC2938="","要確認",IF($AC2938=0,"不支給","未処理")))))</f>
        <v/>
      </c>
      <c r="AE2938" s="12" t="n"/>
      <c r="AF2938" s="11" t="n"/>
      <c r="AG2938" s="11" t="n"/>
      <c r="AH2938" s="11" t="n"/>
      <c r="AI2938" s="14">
        <f>IF(AND($AD2938="保留中",$AF2938&lt;&gt;""),TODAY()-$AF2938,"")</f>
        <v/>
      </c>
      <c r="AJ2938" s="12" t="n"/>
      <c r="AK2938" s="14">
        <f>IF($B2938="","",IF($AO2938="","対象年月が未入力／","")&amp;IF($B2938="","",IF($AN2938="","職員マスタに未登録の職員番号／",IF($Y2938="","標準報酬月額が未登録／","")&amp;IF(AND($AO2938&lt;&gt;"",OR(AND(INDEX(職員マスタ!$G$6:$G$405,$AN2938)&lt;&gt;"",INDEX(職員マスタ!$G$6:$G$405,$AN2938)&gt;EOMONTH($AO2938,0)),AND(INDEX(職員マスタ!$H$6:$H$405,$AN2938)&lt;&gt;"",INDEX(職員マスタ!$H$6:$H$405,$AN2938)&lt;$AO2938))),"対象月が時短期間外／","")&amp;IF(AND(INDEX(職員マスタ!$F$6:$F$405,$AN2938)&lt;&gt;"",$AO2938&lt;&gt;"",INDEX(職員マスタ!$F$6:$F$405,$AN2938)&lt;$AO2938),"対象月に子が2歳到達済／","")&amp;IF(AND($H2938&lt;&gt;"",INDEX(職員マスタ!$B$6:$B$405,$AN2938)&lt;&gt;"",SUBSTITUTE(SUBSTITUTE($H2938," ","")," ","")&lt;&gt;SUBSTITUTE(SUBSTITUTE(INDEX(職員マスタ!$B$6:$B$405,$AN2938)," ","")," ","")),"氏名がマスタと相違／","")&amp;IF(AND($Q2938&lt;&gt;"",INDEX(職員マスタ!$E$6:$E$405,$AN2938)&lt;&gt;"",$Q2938&lt;&gt;INDEX(職員マスタ!$E$6:$E$405,$AN2938)),"子の生年月日がマスタと相違／","")&amp;IF(AND($L2938&lt;&gt;"",INDEX(職員マスタ!$G$6:$G$405,$AN2938)&lt;&gt;"",$L2938&lt;&gt;INDEX(職員マスタ!$G$6:$G$405,$AN2938)),"時短開始日がマスタと相違／","")&amp;IF(AND($M2938&lt;&gt;"",INDEX(職員マスタ!$H$6:$H$405,$AN2938)&lt;&gt;"",$M2938&lt;&gt;INDEX(職員マスタ!$H$6:$H$405,$AN2938)),"時短終了日がマスタと相違／","")))&amp;IF(AND($B2938&lt;&gt;"",$E2938=""),"報酬額が未入力／","")&amp;IF(N($U2938)&gt;0,"申請書に入力エラーが残っています／","")&amp;IF(AND($B2938&lt;&gt;"",$AO2938&lt;&gt;""),IF(COUNTIFS($B$6:$B$3005,$B2938,$C$6:$C$3005,$C2938,$D$6:$D$3005,$D2938)&gt;1,"同じ月の請求が重複しています／",""),"")&amp;IF(AND(N($E2938)&gt;0,$Z2938&lt;&gt;"",$Z2938&lt;&gt;"×",$AC2938=0,$AB2938=""),"計算額が下限以下のため不支給／",""))</f>
        <v/>
      </c>
      <c r="AL2938" s="12" t="n"/>
      <c r="AM2938" s="14">
        <f>IF($AD2938="保留中",COUNTIF($AD$6:$AD2938,"保留中"),"")</f>
        <v/>
      </c>
      <c r="AN2938" s="14">
        <f>IF($AO2938="","",IF(SUMPRODUCT(MAX((職員マスタ!$A$6:$A$405=$B2938)*(((職員マスタ!$G$6:$G$405="")+(職員マスタ!$G$6:$G$405&lt;=EOMONTH($AO2938,0)))&gt;0)*(((職員マスタ!$H$6:$H$405="")+(職員マスタ!$H$6:$H$405&gt;=$AO2938))&gt;0)*(ROW(職員マスタ!$A$6:$A$405)-5)))&gt;0,SUMPRODUCT(MAX((職員マスタ!$A$6:$A$405=$B2938)*(((職員マスタ!$G$6:$G$405="")+(職員マスタ!$G$6:$G$405&lt;=EOMONTH($AO2938,0)))&gt;0)*(((職員マスタ!$H$6:$H$405="")+(職員マスタ!$H$6:$H$405&gt;=$AO2938))&gt;0)*(ROW(職員マスタ!$A$6:$A$405)-5))),IFERROR(MATCH($B2938,職員マスタ!$A$6:$A$405,0),"")))</f>
        <v/>
      </c>
      <c r="AO2938" s="16">
        <f>IF(OR($B2938="",$C2938="",$D2938=""),"",DATE($C2938+2018,$D2938,1))</f>
        <v/>
      </c>
    </row>
    <row r="2939">
      <c r="A2939" s="11" t="n"/>
      <c r="B2939" s="12" t="n"/>
      <c r="C2939" s="12" t="n"/>
      <c r="D2939" s="12" t="n"/>
      <c r="E2939" s="13" t="n"/>
      <c r="F2939" s="12" t="n"/>
      <c r="G2939" s="13" t="n"/>
      <c r="H2939" s="12" t="n"/>
      <c r="I2939" s="12" t="n"/>
      <c r="J2939" s="12" t="n"/>
      <c r="K2939" s="12" t="n"/>
      <c r="L2939" s="11" t="n"/>
      <c r="M2939" s="11" t="n"/>
      <c r="N2939" s="11" t="n"/>
      <c r="O2939" s="11" t="n"/>
      <c r="P2939" s="12" t="n"/>
      <c r="Q2939" s="11" t="n"/>
      <c r="R2939" s="12" t="n"/>
      <c r="S2939" s="11" t="n"/>
      <c r="T2939" s="12" t="n"/>
      <c r="U2939" s="12" t="n"/>
      <c r="V2939" s="14">
        <f>IF($AN2939="",IF($B2939="","",$H2939),IF(INDEX(職員マスタ!$B$6:$B$405,$AN2939)="",$H2939,INDEX(職員マスタ!$B$6:$B$405,$AN2939)))</f>
        <v/>
      </c>
      <c r="W2939" s="14">
        <f>IF($AN2939="",IF($B2939="","",$R2939),IF(INDEX(職員マスタ!$C$6:$C$405,$AN2939)="",$R2939,INDEX(職員マスタ!$C$6:$C$405,$AN2939)))</f>
        <v/>
      </c>
      <c r="X2939" s="14">
        <f>IF($AO2939="","","R"&amp;$C2939&amp;"."&amp;$D2939)</f>
        <v/>
      </c>
      <c r="Y2939" s="15">
        <f>IF($AN2939="","",IF(INDEX(職員マスタ!$K$6:$K$405,$AN2939)="","",INDEX(職員マスタ!$K$6:$K$405,$AN2939)))</f>
        <v/>
      </c>
      <c r="Z2939" s="14">
        <f>IF(OR($E2939="",$Y2939=""),"",IF($E2939&gt;=$Y2939,"×",IF($E2939&gt;=$Y2939*設定!$C$5,"△","○")))</f>
        <v/>
      </c>
      <c r="AA2939" s="15">
        <f>IF($Z2939="","",IF($Z2939="×",0,IF($Z2939="○",ROUNDDOWN($E2939*設定!$C$4,0),ROUNDDOWN($E2939*ROUND((9*$Y2939-9*$E2939)/(10*$E2939),4),0))))</f>
        <v/>
      </c>
      <c r="AB2939" s="13" t="n"/>
      <c r="AC2939" s="15">
        <f>IF($B2939="","",IF($AB2939&lt;&gt;"",$AB2939,IF($AA2939="","",IF($AA2939&lt;=設定!$C$3,0,$AA2939))))</f>
        <v/>
      </c>
      <c r="AD2939" s="14">
        <f>IF($B2939="","",IF(AND($AE2939&lt;&gt;"",$AG2939="",$AJ2939=""),"保留中",IF($AJ2939&lt;&gt;"",IF(N($AC2939)&gt;0,"支給済","不支給"),IF($AC2939="","要確認",IF($AC2939=0,"不支給","未処理")))))</f>
        <v/>
      </c>
      <c r="AE2939" s="12" t="n"/>
      <c r="AF2939" s="11" t="n"/>
      <c r="AG2939" s="11" t="n"/>
      <c r="AH2939" s="11" t="n"/>
      <c r="AI2939" s="14">
        <f>IF(AND($AD2939="保留中",$AF2939&lt;&gt;""),TODAY()-$AF2939,"")</f>
        <v/>
      </c>
      <c r="AJ2939" s="12" t="n"/>
      <c r="AK2939" s="14">
        <f>IF($B2939="","",IF($AO2939="","対象年月が未入力／","")&amp;IF($B2939="","",IF($AN2939="","職員マスタに未登録の職員番号／",IF($Y2939="","標準報酬月額が未登録／","")&amp;IF(AND($AO2939&lt;&gt;"",OR(AND(INDEX(職員マスタ!$G$6:$G$405,$AN2939)&lt;&gt;"",INDEX(職員マスタ!$G$6:$G$405,$AN2939)&gt;EOMONTH($AO2939,0)),AND(INDEX(職員マスタ!$H$6:$H$405,$AN2939)&lt;&gt;"",INDEX(職員マスタ!$H$6:$H$405,$AN2939)&lt;$AO2939))),"対象月が時短期間外／","")&amp;IF(AND(INDEX(職員マスタ!$F$6:$F$405,$AN2939)&lt;&gt;"",$AO2939&lt;&gt;"",INDEX(職員マスタ!$F$6:$F$405,$AN2939)&lt;$AO2939),"対象月に子が2歳到達済／","")&amp;IF(AND($H2939&lt;&gt;"",INDEX(職員マスタ!$B$6:$B$405,$AN2939)&lt;&gt;"",SUBSTITUTE(SUBSTITUTE($H2939," ","")," ","")&lt;&gt;SUBSTITUTE(SUBSTITUTE(INDEX(職員マスタ!$B$6:$B$405,$AN2939)," ","")," ","")),"氏名がマスタと相違／","")&amp;IF(AND($Q2939&lt;&gt;"",INDEX(職員マスタ!$E$6:$E$405,$AN2939)&lt;&gt;"",$Q2939&lt;&gt;INDEX(職員マスタ!$E$6:$E$405,$AN2939)),"子の生年月日がマスタと相違／","")&amp;IF(AND($L2939&lt;&gt;"",INDEX(職員マスタ!$G$6:$G$405,$AN2939)&lt;&gt;"",$L2939&lt;&gt;INDEX(職員マスタ!$G$6:$G$405,$AN2939)),"時短開始日がマスタと相違／","")&amp;IF(AND($M2939&lt;&gt;"",INDEX(職員マスタ!$H$6:$H$405,$AN2939)&lt;&gt;"",$M2939&lt;&gt;INDEX(職員マスタ!$H$6:$H$405,$AN2939)),"時短終了日がマスタと相違／","")))&amp;IF(AND($B2939&lt;&gt;"",$E2939=""),"報酬額が未入力／","")&amp;IF(N($U2939)&gt;0,"申請書に入力エラーが残っています／","")&amp;IF(AND($B2939&lt;&gt;"",$AO2939&lt;&gt;""),IF(COUNTIFS($B$6:$B$3005,$B2939,$C$6:$C$3005,$C2939,$D$6:$D$3005,$D2939)&gt;1,"同じ月の請求が重複しています／",""),"")&amp;IF(AND(N($E2939)&gt;0,$Z2939&lt;&gt;"",$Z2939&lt;&gt;"×",$AC2939=0,$AB2939=""),"計算額が下限以下のため不支給／",""))</f>
        <v/>
      </c>
      <c r="AL2939" s="12" t="n"/>
      <c r="AM2939" s="14">
        <f>IF($AD2939="保留中",COUNTIF($AD$6:$AD2939,"保留中"),"")</f>
        <v/>
      </c>
      <c r="AN2939" s="14">
        <f>IF($AO2939="","",IF(SUMPRODUCT(MAX((職員マスタ!$A$6:$A$405=$B2939)*(((職員マスタ!$G$6:$G$405="")+(職員マスタ!$G$6:$G$405&lt;=EOMONTH($AO2939,0)))&gt;0)*(((職員マスタ!$H$6:$H$405="")+(職員マスタ!$H$6:$H$405&gt;=$AO2939))&gt;0)*(ROW(職員マスタ!$A$6:$A$405)-5)))&gt;0,SUMPRODUCT(MAX((職員マスタ!$A$6:$A$405=$B2939)*(((職員マスタ!$G$6:$G$405="")+(職員マスタ!$G$6:$G$405&lt;=EOMONTH($AO2939,0)))&gt;0)*(((職員マスタ!$H$6:$H$405="")+(職員マスタ!$H$6:$H$405&gt;=$AO2939))&gt;0)*(ROW(職員マスタ!$A$6:$A$405)-5))),IFERROR(MATCH($B2939,職員マスタ!$A$6:$A$405,0),"")))</f>
        <v/>
      </c>
      <c r="AO2939" s="16">
        <f>IF(OR($B2939="",$C2939="",$D2939=""),"",DATE($C2939+2018,$D2939,1))</f>
        <v/>
      </c>
    </row>
    <row r="2940">
      <c r="A2940" s="11" t="n"/>
      <c r="B2940" s="12" t="n"/>
      <c r="C2940" s="12" t="n"/>
      <c r="D2940" s="12" t="n"/>
      <c r="E2940" s="13" t="n"/>
      <c r="F2940" s="12" t="n"/>
      <c r="G2940" s="13" t="n"/>
      <c r="H2940" s="12" t="n"/>
      <c r="I2940" s="12" t="n"/>
      <c r="J2940" s="12" t="n"/>
      <c r="K2940" s="12" t="n"/>
      <c r="L2940" s="11" t="n"/>
      <c r="M2940" s="11" t="n"/>
      <c r="N2940" s="11" t="n"/>
      <c r="O2940" s="11" t="n"/>
      <c r="P2940" s="12" t="n"/>
      <c r="Q2940" s="11" t="n"/>
      <c r="R2940" s="12" t="n"/>
      <c r="S2940" s="11" t="n"/>
      <c r="T2940" s="12" t="n"/>
      <c r="U2940" s="12" t="n"/>
      <c r="V2940" s="14">
        <f>IF($AN2940="",IF($B2940="","",$H2940),IF(INDEX(職員マスタ!$B$6:$B$405,$AN2940)="",$H2940,INDEX(職員マスタ!$B$6:$B$405,$AN2940)))</f>
        <v/>
      </c>
      <c r="W2940" s="14">
        <f>IF($AN2940="",IF($B2940="","",$R2940),IF(INDEX(職員マスタ!$C$6:$C$405,$AN2940)="",$R2940,INDEX(職員マスタ!$C$6:$C$405,$AN2940)))</f>
        <v/>
      </c>
      <c r="X2940" s="14">
        <f>IF($AO2940="","","R"&amp;$C2940&amp;"."&amp;$D2940)</f>
        <v/>
      </c>
      <c r="Y2940" s="15">
        <f>IF($AN2940="","",IF(INDEX(職員マスタ!$K$6:$K$405,$AN2940)="","",INDEX(職員マスタ!$K$6:$K$405,$AN2940)))</f>
        <v/>
      </c>
      <c r="Z2940" s="14">
        <f>IF(OR($E2940="",$Y2940=""),"",IF($E2940&gt;=$Y2940,"×",IF($E2940&gt;=$Y2940*設定!$C$5,"△","○")))</f>
        <v/>
      </c>
      <c r="AA2940" s="15">
        <f>IF($Z2940="","",IF($Z2940="×",0,IF($Z2940="○",ROUNDDOWN($E2940*設定!$C$4,0),ROUNDDOWN($E2940*ROUND((9*$Y2940-9*$E2940)/(10*$E2940),4),0))))</f>
        <v/>
      </c>
      <c r="AB2940" s="13" t="n"/>
      <c r="AC2940" s="15">
        <f>IF($B2940="","",IF($AB2940&lt;&gt;"",$AB2940,IF($AA2940="","",IF($AA2940&lt;=設定!$C$3,0,$AA2940))))</f>
        <v/>
      </c>
      <c r="AD2940" s="14">
        <f>IF($B2940="","",IF(AND($AE2940&lt;&gt;"",$AG2940="",$AJ2940=""),"保留中",IF($AJ2940&lt;&gt;"",IF(N($AC2940)&gt;0,"支給済","不支給"),IF($AC2940="","要確認",IF($AC2940=0,"不支給","未処理")))))</f>
        <v/>
      </c>
      <c r="AE2940" s="12" t="n"/>
      <c r="AF2940" s="11" t="n"/>
      <c r="AG2940" s="11" t="n"/>
      <c r="AH2940" s="11" t="n"/>
      <c r="AI2940" s="14">
        <f>IF(AND($AD2940="保留中",$AF2940&lt;&gt;""),TODAY()-$AF2940,"")</f>
        <v/>
      </c>
      <c r="AJ2940" s="12" t="n"/>
      <c r="AK2940" s="14">
        <f>IF($B2940="","",IF($AO2940="","対象年月が未入力／","")&amp;IF($B2940="","",IF($AN2940="","職員マスタに未登録の職員番号／",IF($Y2940="","標準報酬月額が未登録／","")&amp;IF(AND($AO2940&lt;&gt;"",OR(AND(INDEX(職員マスタ!$G$6:$G$405,$AN2940)&lt;&gt;"",INDEX(職員マスタ!$G$6:$G$405,$AN2940)&gt;EOMONTH($AO2940,0)),AND(INDEX(職員マスタ!$H$6:$H$405,$AN2940)&lt;&gt;"",INDEX(職員マスタ!$H$6:$H$405,$AN2940)&lt;$AO2940))),"対象月が時短期間外／","")&amp;IF(AND(INDEX(職員マスタ!$F$6:$F$405,$AN2940)&lt;&gt;"",$AO2940&lt;&gt;"",INDEX(職員マスタ!$F$6:$F$405,$AN2940)&lt;$AO2940),"対象月に子が2歳到達済／","")&amp;IF(AND($H2940&lt;&gt;"",INDEX(職員マスタ!$B$6:$B$405,$AN2940)&lt;&gt;"",SUBSTITUTE(SUBSTITUTE($H2940," ","")," ","")&lt;&gt;SUBSTITUTE(SUBSTITUTE(INDEX(職員マスタ!$B$6:$B$405,$AN2940)," ","")," ","")),"氏名がマスタと相違／","")&amp;IF(AND($Q2940&lt;&gt;"",INDEX(職員マスタ!$E$6:$E$405,$AN2940)&lt;&gt;"",$Q2940&lt;&gt;INDEX(職員マスタ!$E$6:$E$405,$AN2940)),"子の生年月日がマスタと相違／","")&amp;IF(AND($L2940&lt;&gt;"",INDEX(職員マスタ!$G$6:$G$405,$AN2940)&lt;&gt;"",$L2940&lt;&gt;INDEX(職員マスタ!$G$6:$G$405,$AN2940)),"時短開始日がマスタと相違／","")&amp;IF(AND($M2940&lt;&gt;"",INDEX(職員マスタ!$H$6:$H$405,$AN2940)&lt;&gt;"",$M2940&lt;&gt;INDEX(職員マスタ!$H$6:$H$405,$AN2940)),"時短終了日がマスタと相違／","")))&amp;IF(AND($B2940&lt;&gt;"",$E2940=""),"報酬額が未入力／","")&amp;IF(N($U2940)&gt;0,"申請書に入力エラーが残っています／","")&amp;IF(AND($B2940&lt;&gt;"",$AO2940&lt;&gt;""),IF(COUNTIFS($B$6:$B$3005,$B2940,$C$6:$C$3005,$C2940,$D$6:$D$3005,$D2940)&gt;1,"同じ月の請求が重複しています／",""),"")&amp;IF(AND(N($E2940)&gt;0,$Z2940&lt;&gt;"",$Z2940&lt;&gt;"×",$AC2940=0,$AB2940=""),"計算額が下限以下のため不支給／",""))</f>
        <v/>
      </c>
      <c r="AL2940" s="12" t="n"/>
      <c r="AM2940" s="14">
        <f>IF($AD2940="保留中",COUNTIF($AD$6:$AD2940,"保留中"),"")</f>
        <v/>
      </c>
      <c r="AN2940" s="14">
        <f>IF($AO2940="","",IF(SUMPRODUCT(MAX((職員マスタ!$A$6:$A$405=$B2940)*(((職員マスタ!$G$6:$G$405="")+(職員マスタ!$G$6:$G$405&lt;=EOMONTH($AO2940,0)))&gt;0)*(((職員マスタ!$H$6:$H$405="")+(職員マスタ!$H$6:$H$405&gt;=$AO2940))&gt;0)*(ROW(職員マスタ!$A$6:$A$405)-5)))&gt;0,SUMPRODUCT(MAX((職員マスタ!$A$6:$A$405=$B2940)*(((職員マスタ!$G$6:$G$405="")+(職員マスタ!$G$6:$G$405&lt;=EOMONTH($AO2940,0)))&gt;0)*(((職員マスタ!$H$6:$H$405="")+(職員マスタ!$H$6:$H$405&gt;=$AO2940))&gt;0)*(ROW(職員マスタ!$A$6:$A$405)-5))),IFERROR(MATCH($B2940,職員マスタ!$A$6:$A$405,0),"")))</f>
        <v/>
      </c>
      <c r="AO2940" s="16">
        <f>IF(OR($B2940="",$C2940="",$D2940=""),"",DATE($C2940+2018,$D2940,1))</f>
        <v/>
      </c>
    </row>
    <row r="2941">
      <c r="A2941" s="11" t="n"/>
      <c r="B2941" s="12" t="n"/>
      <c r="C2941" s="12" t="n"/>
      <c r="D2941" s="12" t="n"/>
      <c r="E2941" s="13" t="n"/>
      <c r="F2941" s="12" t="n"/>
      <c r="G2941" s="13" t="n"/>
      <c r="H2941" s="12" t="n"/>
      <c r="I2941" s="12" t="n"/>
      <c r="J2941" s="12" t="n"/>
      <c r="K2941" s="12" t="n"/>
      <c r="L2941" s="11" t="n"/>
      <c r="M2941" s="11" t="n"/>
      <c r="N2941" s="11" t="n"/>
      <c r="O2941" s="11" t="n"/>
      <c r="P2941" s="12" t="n"/>
      <c r="Q2941" s="11" t="n"/>
      <c r="R2941" s="12" t="n"/>
      <c r="S2941" s="11" t="n"/>
      <c r="T2941" s="12" t="n"/>
      <c r="U2941" s="12" t="n"/>
      <c r="V2941" s="14">
        <f>IF($AN2941="",IF($B2941="","",$H2941),IF(INDEX(職員マスタ!$B$6:$B$405,$AN2941)="",$H2941,INDEX(職員マスタ!$B$6:$B$405,$AN2941)))</f>
        <v/>
      </c>
      <c r="W2941" s="14">
        <f>IF($AN2941="",IF($B2941="","",$R2941),IF(INDEX(職員マスタ!$C$6:$C$405,$AN2941)="",$R2941,INDEX(職員マスタ!$C$6:$C$405,$AN2941)))</f>
        <v/>
      </c>
      <c r="X2941" s="14">
        <f>IF($AO2941="","","R"&amp;$C2941&amp;"."&amp;$D2941)</f>
        <v/>
      </c>
      <c r="Y2941" s="15">
        <f>IF($AN2941="","",IF(INDEX(職員マスタ!$K$6:$K$405,$AN2941)="","",INDEX(職員マスタ!$K$6:$K$405,$AN2941)))</f>
        <v/>
      </c>
      <c r="Z2941" s="14">
        <f>IF(OR($E2941="",$Y2941=""),"",IF($E2941&gt;=$Y2941,"×",IF($E2941&gt;=$Y2941*設定!$C$5,"△","○")))</f>
        <v/>
      </c>
      <c r="AA2941" s="15">
        <f>IF($Z2941="","",IF($Z2941="×",0,IF($Z2941="○",ROUNDDOWN($E2941*設定!$C$4,0),ROUNDDOWN($E2941*ROUND((9*$Y2941-9*$E2941)/(10*$E2941),4),0))))</f>
        <v/>
      </c>
      <c r="AB2941" s="13" t="n"/>
      <c r="AC2941" s="15">
        <f>IF($B2941="","",IF($AB2941&lt;&gt;"",$AB2941,IF($AA2941="","",IF($AA2941&lt;=設定!$C$3,0,$AA2941))))</f>
        <v/>
      </c>
      <c r="AD2941" s="14">
        <f>IF($B2941="","",IF(AND($AE2941&lt;&gt;"",$AG2941="",$AJ2941=""),"保留中",IF($AJ2941&lt;&gt;"",IF(N($AC2941)&gt;0,"支給済","不支給"),IF($AC2941="","要確認",IF($AC2941=0,"不支給","未処理")))))</f>
        <v/>
      </c>
      <c r="AE2941" s="12" t="n"/>
      <c r="AF2941" s="11" t="n"/>
      <c r="AG2941" s="11" t="n"/>
      <c r="AH2941" s="11" t="n"/>
      <c r="AI2941" s="14">
        <f>IF(AND($AD2941="保留中",$AF2941&lt;&gt;""),TODAY()-$AF2941,"")</f>
        <v/>
      </c>
      <c r="AJ2941" s="12" t="n"/>
      <c r="AK2941" s="14">
        <f>IF($B2941="","",IF($AO2941="","対象年月が未入力／","")&amp;IF($B2941="","",IF($AN2941="","職員マスタに未登録の職員番号／",IF($Y2941="","標準報酬月額が未登録／","")&amp;IF(AND($AO2941&lt;&gt;"",OR(AND(INDEX(職員マスタ!$G$6:$G$405,$AN2941)&lt;&gt;"",INDEX(職員マスタ!$G$6:$G$405,$AN2941)&gt;EOMONTH($AO2941,0)),AND(INDEX(職員マスタ!$H$6:$H$405,$AN2941)&lt;&gt;"",INDEX(職員マスタ!$H$6:$H$405,$AN2941)&lt;$AO2941))),"対象月が時短期間外／","")&amp;IF(AND(INDEX(職員マスタ!$F$6:$F$405,$AN2941)&lt;&gt;"",$AO2941&lt;&gt;"",INDEX(職員マスタ!$F$6:$F$405,$AN2941)&lt;$AO2941),"対象月に子が2歳到達済／","")&amp;IF(AND($H2941&lt;&gt;"",INDEX(職員マスタ!$B$6:$B$405,$AN2941)&lt;&gt;"",SUBSTITUTE(SUBSTITUTE($H2941," ","")," ","")&lt;&gt;SUBSTITUTE(SUBSTITUTE(INDEX(職員マスタ!$B$6:$B$405,$AN2941)," ","")," ","")),"氏名がマスタと相違／","")&amp;IF(AND($Q2941&lt;&gt;"",INDEX(職員マスタ!$E$6:$E$405,$AN2941)&lt;&gt;"",$Q2941&lt;&gt;INDEX(職員マスタ!$E$6:$E$405,$AN2941)),"子の生年月日がマスタと相違／","")&amp;IF(AND($L2941&lt;&gt;"",INDEX(職員マスタ!$G$6:$G$405,$AN2941)&lt;&gt;"",$L2941&lt;&gt;INDEX(職員マスタ!$G$6:$G$405,$AN2941)),"時短開始日がマスタと相違／","")&amp;IF(AND($M2941&lt;&gt;"",INDEX(職員マスタ!$H$6:$H$405,$AN2941)&lt;&gt;"",$M2941&lt;&gt;INDEX(職員マスタ!$H$6:$H$405,$AN2941)),"時短終了日がマスタと相違／","")))&amp;IF(AND($B2941&lt;&gt;"",$E2941=""),"報酬額が未入力／","")&amp;IF(N($U2941)&gt;0,"申請書に入力エラーが残っています／","")&amp;IF(AND($B2941&lt;&gt;"",$AO2941&lt;&gt;""),IF(COUNTIFS($B$6:$B$3005,$B2941,$C$6:$C$3005,$C2941,$D$6:$D$3005,$D2941)&gt;1,"同じ月の請求が重複しています／",""),"")&amp;IF(AND(N($E2941)&gt;0,$Z2941&lt;&gt;"",$Z2941&lt;&gt;"×",$AC2941=0,$AB2941=""),"計算額が下限以下のため不支給／",""))</f>
        <v/>
      </c>
      <c r="AL2941" s="12" t="n"/>
      <c r="AM2941" s="14">
        <f>IF($AD2941="保留中",COUNTIF($AD$6:$AD2941,"保留中"),"")</f>
        <v/>
      </c>
      <c r="AN2941" s="14">
        <f>IF($AO2941="","",IF(SUMPRODUCT(MAX((職員マスタ!$A$6:$A$405=$B2941)*(((職員マスタ!$G$6:$G$405="")+(職員マスタ!$G$6:$G$405&lt;=EOMONTH($AO2941,0)))&gt;0)*(((職員マスタ!$H$6:$H$405="")+(職員マスタ!$H$6:$H$405&gt;=$AO2941))&gt;0)*(ROW(職員マスタ!$A$6:$A$405)-5)))&gt;0,SUMPRODUCT(MAX((職員マスタ!$A$6:$A$405=$B2941)*(((職員マスタ!$G$6:$G$405="")+(職員マスタ!$G$6:$G$405&lt;=EOMONTH($AO2941,0)))&gt;0)*(((職員マスタ!$H$6:$H$405="")+(職員マスタ!$H$6:$H$405&gt;=$AO2941))&gt;0)*(ROW(職員マスタ!$A$6:$A$405)-5))),IFERROR(MATCH($B2941,職員マスタ!$A$6:$A$405,0),"")))</f>
        <v/>
      </c>
      <c r="AO2941" s="16">
        <f>IF(OR($B2941="",$C2941="",$D2941=""),"",DATE($C2941+2018,$D2941,1))</f>
        <v/>
      </c>
    </row>
    <row r="2942">
      <c r="A2942" s="11" t="n"/>
      <c r="B2942" s="12" t="n"/>
      <c r="C2942" s="12" t="n"/>
      <c r="D2942" s="12" t="n"/>
      <c r="E2942" s="13" t="n"/>
      <c r="F2942" s="12" t="n"/>
      <c r="G2942" s="13" t="n"/>
      <c r="H2942" s="12" t="n"/>
      <c r="I2942" s="12" t="n"/>
      <c r="J2942" s="12" t="n"/>
      <c r="K2942" s="12" t="n"/>
      <c r="L2942" s="11" t="n"/>
      <c r="M2942" s="11" t="n"/>
      <c r="N2942" s="11" t="n"/>
      <c r="O2942" s="11" t="n"/>
      <c r="P2942" s="12" t="n"/>
      <c r="Q2942" s="11" t="n"/>
      <c r="R2942" s="12" t="n"/>
      <c r="S2942" s="11" t="n"/>
      <c r="T2942" s="12" t="n"/>
      <c r="U2942" s="12" t="n"/>
      <c r="V2942" s="14">
        <f>IF($AN2942="",IF($B2942="","",$H2942),IF(INDEX(職員マスタ!$B$6:$B$405,$AN2942)="",$H2942,INDEX(職員マスタ!$B$6:$B$405,$AN2942)))</f>
        <v/>
      </c>
      <c r="W2942" s="14">
        <f>IF($AN2942="",IF($B2942="","",$R2942),IF(INDEX(職員マスタ!$C$6:$C$405,$AN2942)="",$R2942,INDEX(職員マスタ!$C$6:$C$405,$AN2942)))</f>
        <v/>
      </c>
      <c r="X2942" s="14">
        <f>IF($AO2942="","","R"&amp;$C2942&amp;"."&amp;$D2942)</f>
        <v/>
      </c>
      <c r="Y2942" s="15">
        <f>IF($AN2942="","",IF(INDEX(職員マスタ!$K$6:$K$405,$AN2942)="","",INDEX(職員マスタ!$K$6:$K$405,$AN2942)))</f>
        <v/>
      </c>
      <c r="Z2942" s="14">
        <f>IF(OR($E2942="",$Y2942=""),"",IF($E2942&gt;=$Y2942,"×",IF($E2942&gt;=$Y2942*設定!$C$5,"△","○")))</f>
        <v/>
      </c>
      <c r="AA2942" s="15">
        <f>IF($Z2942="","",IF($Z2942="×",0,IF($Z2942="○",ROUNDDOWN($E2942*設定!$C$4,0),ROUNDDOWN($E2942*ROUND((9*$Y2942-9*$E2942)/(10*$E2942),4),0))))</f>
        <v/>
      </c>
      <c r="AB2942" s="13" t="n"/>
      <c r="AC2942" s="15">
        <f>IF($B2942="","",IF($AB2942&lt;&gt;"",$AB2942,IF($AA2942="","",IF($AA2942&lt;=設定!$C$3,0,$AA2942))))</f>
        <v/>
      </c>
      <c r="AD2942" s="14">
        <f>IF($B2942="","",IF(AND($AE2942&lt;&gt;"",$AG2942="",$AJ2942=""),"保留中",IF($AJ2942&lt;&gt;"",IF(N($AC2942)&gt;0,"支給済","不支給"),IF($AC2942="","要確認",IF($AC2942=0,"不支給","未処理")))))</f>
        <v/>
      </c>
      <c r="AE2942" s="12" t="n"/>
      <c r="AF2942" s="11" t="n"/>
      <c r="AG2942" s="11" t="n"/>
      <c r="AH2942" s="11" t="n"/>
      <c r="AI2942" s="14">
        <f>IF(AND($AD2942="保留中",$AF2942&lt;&gt;""),TODAY()-$AF2942,"")</f>
        <v/>
      </c>
      <c r="AJ2942" s="12" t="n"/>
      <c r="AK2942" s="14">
        <f>IF($B2942="","",IF($AO2942="","対象年月が未入力／","")&amp;IF($B2942="","",IF($AN2942="","職員マスタに未登録の職員番号／",IF($Y2942="","標準報酬月額が未登録／","")&amp;IF(AND($AO2942&lt;&gt;"",OR(AND(INDEX(職員マスタ!$G$6:$G$405,$AN2942)&lt;&gt;"",INDEX(職員マスタ!$G$6:$G$405,$AN2942)&gt;EOMONTH($AO2942,0)),AND(INDEX(職員マスタ!$H$6:$H$405,$AN2942)&lt;&gt;"",INDEX(職員マスタ!$H$6:$H$405,$AN2942)&lt;$AO2942))),"対象月が時短期間外／","")&amp;IF(AND(INDEX(職員マスタ!$F$6:$F$405,$AN2942)&lt;&gt;"",$AO2942&lt;&gt;"",INDEX(職員マスタ!$F$6:$F$405,$AN2942)&lt;$AO2942),"対象月に子が2歳到達済／","")&amp;IF(AND($H2942&lt;&gt;"",INDEX(職員マスタ!$B$6:$B$405,$AN2942)&lt;&gt;"",SUBSTITUTE(SUBSTITUTE($H2942," ","")," ","")&lt;&gt;SUBSTITUTE(SUBSTITUTE(INDEX(職員マスタ!$B$6:$B$405,$AN2942)," ","")," ","")),"氏名がマスタと相違／","")&amp;IF(AND($Q2942&lt;&gt;"",INDEX(職員マスタ!$E$6:$E$405,$AN2942)&lt;&gt;"",$Q2942&lt;&gt;INDEX(職員マスタ!$E$6:$E$405,$AN2942)),"子の生年月日がマスタと相違／","")&amp;IF(AND($L2942&lt;&gt;"",INDEX(職員マスタ!$G$6:$G$405,$AN2942)&lt;&gt;"",$L2942&lt;&gt;INDEX(職員マスタ!$G$6:$G$405,$AN2942)),"時短開始日がマスタと相違／","")&amp;IF(AND($M2942&lt;&gt;"",INDEX(職員マスタ!$H$6:$H$405,$AN2942)&lt;&gt;"",$M2942&lt;&gt;INDEX(職員マスタ!$H$6:$H$405,$AN2942)),"時短終了日がマスタと相違／","")))&amp;IF(AND($B2942&lt;&gt;"",$E2942=""),"報酬額が未入力／","")&amp;IF(N($U2942)&gt;0,"申請書に入力エラーが残っています／","")&amp;IF(AND($B2942&lt;&gt;"",$AO2942&lt;&gt;""),IF(COUNTIFS($B$6:$B$3005,$B2942,$C$6:$C$3005,$C2942,$D$6:$D$3005,$D2942)&gt;1,"同じ月の請求が重複しています／",""),"")&amp;IF(AND(N($E2942)&gt;0,$Z2942&lt;&gt;"",$Z2942&lt;&gt;"×",$AC2942=0,$AB2942=""),"計算額が下限以下のため不支給／",""))</f>
        <v/>
      </c>
      <c r="AL2942" s="12" t="n"/>
      <c r="AM2942" s="14">
        <f>IF($AD2942="保留中",COUNTIF($AD$6:$AD2942,"保留中"),"")</f>
        <v/>
      </c>
      <c r="AN2942" s="14">
        <f>IF($AO2942="","",IF(SUMPRODUCT(MAX((職員マスタ!$A$6:$A$405=$B2942)*(((職員マスタ!$G$6:$G$405="")+(職員マスタ!$G$6:$G$405&lt;=EOMONTH($AO2942,0)))&gt;0)*(((職員マスタ!$H$6:$H$405="")+(職員マスタ!$H$6:$H$405&gt;=$AO2942))&gt;0)*(ROW(職員マスタ!$A$6:$A$405)-5)))&gt;0,SUMPRODUCT(MAX((職員マスタ!$A$6:$A$405=$B2942)*(((職員マスタ!$G$6:$G$405="")+(職員マスタ!$G$6:$G$405&lt;=EOMONTH($AO2942,0)))&gt;0)*(((職員マスタ!$H$6:$H$405="")+(職員マスタ!$H$6:$H$405&gt;=$AO2942))&gt;0)*(ROW(職員マスタ!$A$6:$A$405)-5))),IFERROR(MATCH($B2942,職員マスタ!$A$6:$A$405,0),"")))</f>
        <v/>
      </c>
      <c r="AO2942" s="16">
        <f>IF(OR($B2942="",$C2942="",$D2942=""),"",DATE($C2942+2018,$D2942,1))</f>
        <v/>
      </c>
    </row>
    <row r="2943">
      <c r="A2943" s="11" t="n"/>
      <c r="B2943" s="12" t="n"/>
      <c r="C2943" s="12" t="n"/>
      <c r="D2943" s="12" t="n"/>
      <c r="E2943" s="13" t="n"/>
      <c r="F2943" s="12" t="n"/>
      <c r="G2943" s="13" t="n"/>
      <c r="H2943" s="12" t="n"/>
      <c r="I2943" s="12" t="n"/>
      <c r="J2943" s="12" t="n"/>
      <c r="K2943" s="12" t="n"/>
      <c r="L2943" s="11" t="n"/>
      <c r="M2943" s="11" t="n"/>
      <c r="N2943" s="11" t="n"/>
      <c r="O2943" s="11" t="n"/>
      <c r="P2943" s="12" t="n"/>
      <c r="Q2943" s="11" t="n"/>
      <c r="R2943" s="12" t="n"/>
      <c r="S2943" s="11" t="n"/>
      <c r="T2943" s="12" t="n"/>
      <c r="U2943" s="12" t="n"/>
      <c r="V2943" s="14">
        <f>IF($AN2943="",IF($B2943="","",$H2943),IF(INDEX(職員マスタ!$B$6:$B$405,$AN2943)="",$H2943,INDEX(職員マスタ!$B$6:$B$405,$AN2943)))</f>
        <v/>
      </c>
      <c r="W2943" s="14">
        <f>IF($AN2943="",IF($B2943="","",$R2943),IF(INDEX(職員マスタ!$C$6:$C$405,$AN2943)="",$R2943,INDEX(職員マスタ!$C$6:$C$405,$AN2943)))</f>
        <v/>
      </c>
      <c r="X2943" s="14">
        <f>IF($AO2943="","","R"&amp;$C2943&amp;"."&amp;$D2943)</f>
        <v/>
      </c>
      <c r="Y2943" s="15">
        <f>IF($AN2943="","",IF(INDEX(職員マスタ!$K$6:$K$405,$AN2943)="","",INDEX(職員マスタ!$K$6:$K$405,$AN2943)))</f>
        <v/>
      </c>
      <c r="Z2943" s="14">
        <f>IF(OR($E2943="",$Y2943=""),"",IF($E2943&gt;=$Y2943,"×",IF($E2943&gt;=$Y2943*設定!$C$5,"△","○")))</f>
        <v/>
      </c>
      <c r="AA2943" s="15">
        <f>IF($Z2943="","",IF($Z2943="×",0,IF($Z2943="○",ROUNDDOWN($E2943*設定!$C$4,0),ROUNDDOWN($E2943*ROUND((9*$Y2943-9*$E2943)/(10*$E2943),4),0))))</f>
        <v/>
      </c>
      <c r="AB2943" s="13" t="n"/>
      <c r="AC2943" s="15">
        <f>IF($B2943="","",IF($AB2943&lt;&gt;"",$AB2943,IF($AA2943="","",IF($AA2943&lt;=設定!$C$3,0,$AA2943))))</f>
        <v/>
      </c>
      <c r="AD2943" s="14">
        <f>IF($B2943="","",IF(AND($AE2943&lt;&gt;"",$AG2943="",$AJ2943=""),"保留中",IF($AJ2943&lt;&gt;"",IF(N($AC2943)&gt;0,"支給済","不支給"),IF($AC2943="","要確認",IF($AC2943=0,"不支給","未処理")))))</f>
        <v/>
      </c>
      <c r="AE2943" s="12" t="n"/>
      <c r="AF2943" s="11" t="n"/>
      <c r="AG2943" s="11" t="n"/>
      <c r="AH2943" s="11" t="n"/>
      <c r="AI2943" s="14">
        <f>IF(AND($AD2943="保留中",$AF2943&lt;&gt;""),TODAY()-$AF2943,"")</f>
        <v/>
      </c>
      <c r="AJ2943" s="12" t="n"/>
      <c r="AK2943" s="14">
        <f>IF($B2943="","",IF($AO2943="","対象年月が未入力／","")&amp;IF($B2943="","",IF($AN2943="","職員マスタに未登録の職員番号／",IF($Y2943="","標準報酬月額が未登録／","")&amp;IF(AND($AO2943&lt;&gt;"",OR(AND(INDEX(職員マスタ!$G$6:$G$405,$AN2943)&lt;&gt;"",INDEX(職員マスタ!$G$6:$G$405,$AN2943)&gt;EOMONTH($AO2943,0)),AND(INDEX(職員マスタ!$H$6:$H$405,$AN2943)&lt;&gt;"",INDEX(職員マスタ!$H$6:$H$405,$AN2943)&lt;$AO2943))),"対象月が時短期間外／","")&amp;IF(AND(INDEX(職員マスタ!$F$6:$F$405,$AN2943)&lt;&gt;"",$AO2943&lt;&gt;"",INDEX(職員マスタ!$F$6:$F$405,$AN2943)&lt;$AO2943),"対象月に子が2歳到達済／","")&amp;IF(AND($H2943&lt;&gt;"",INDEX(職員マスタ!$B$6:$B$405,$AN2943)&lt;&gt;"",SUBSTITUTE(SUBSTITUTE($H2943," ","")," ","")&lt;&gt;SUBSTITUTE(SUBSTITUTE(INDEX(職員マスタ!$B$6:$B$405,$AN2943)," ","")," ","")),"氏名がマスタと相違／","")&amp;IF(AND($Q2943&lt;&gt;"",INDEX(職員マスタ!$E$6:$E$405,$AN2943)&lt;&gt;"",$Q2943&lt;&gt;INDEX(職員マスタ!$E$6:$E$405,$AN2943)),"子の生年月日がマスタと相違／","")&amp;IF(AND($L2943&lt;&gt;"",INDEX(職員マスタ!$G$6:$G$405,$AN2943)&lt;&gt;"",$L2943&lt;&gt;INDEX(職員マスタ!$G$6:$G$405,$AN2943)),"時短開始日がマスタと相違／","")&amp;IF(AND($M2943&lt;&gt;"",INDEX(職員マスタ!$H$6:$H$405,$AN2943)&lt;&gt;"",$M2943&lt;&gt;INDEX(職員マスタ!$H$6:$H$405,$AN2943)),"時短終了日がマスタと相違／","")))&amp;IF(AND($B2943&lt;&gt;"",$E2943=""),"報酬額が未入力／","")&amp;IF(N($U2943)&gt;0,"申請書に入力エラーが残っています／","")&amp;IF(AND($B2943&lt;&gt;"",$AO2943&lt;&gt;""),IF(COUNTIFS($B$6:$B$3005,$B2943,$C$6:$C$3005,$C2943,$D$6:$D$3005,$D2943)&gt;1,"同じ月の請求が重複しています／",""),"")&amp;IF(AND(N($E2943)&gt;0,$Z2943&lt;&gt;"",$Z2943&lt;&gt;"×",$AC2943=0,$AB2943=""),"計算額が下限以下のため不支給／",""))</f>
        <v/>
      </c>
      <c r="AL2943" s="12" t="n"/>
      <c r="AM2943" s="14">
        <f>IF($AD2943="保留中",COUNTIF($AD$6:$AD2943,"保留中"),"")</f>
        <v/>
      </c>
      <c r="AN2943" s="14">
        <f>IF($AO2943="","",IF(SUMPRODUCT(MAX((職員マスタ!$A$6:$A$405=$B2943)*(((職員マスタ!$G$6:$G$405="")+(職員マスタ!$G$6:$G$405&lt;=EOMONTH($AO2943,0)))&gt;0)*(((職員マスタ!$H$6:$H$405="")+(職員マスタ!$H$6:$H$405&gt;=$AO2943))&gt;0)*(ROW(職員マスタ!$A$6:$A$405)-5)))&gt;0,SUMPRODUCT(MAX((職員マスタ!$A$6:$A$405=$B2943)*(((職員マスタ!$G$6:$G$405="")+(職員マスタ!$G$6:$G$405&lt;=EOMONTH($AO2943,0)))&gt;0)*(((職員マスタ!$H$6:$H$405="")+(職員マスタ!$H$6:$H$405&gt;=$AO2943))&gt;0)*(ROW(職員マスタ!$A$6:$A$405)-5))),IFERROR(MATCH($B2943,職員マスタ!$A$6:$A$405,0),"")))</f>
        <v/>
      </c>
      <c r="AO2943" s="16">
        <f>IF(OR($B2943="",$C2943="",$D2943=""),"",DATE($C2943+2018,$D2943,1))</f>
        <v/>
      </c>
    </row>
    <row r="2944">
      <c r="A2944" s="11" t="n"/>
      <c r="B2944" s="12" t="n"/>
      <c r="C2944" s="12" t="n"/>
      <c r="D2944" s="12" t="n"/>
      <c r="E2944" s="13" t="n"/>
      <c r="F2944" s="12" t="n"/>
      <c r="G2944" s="13" t="n"/>
      <c r="H2944" s="12" t="n"/>
      <c r="I2944" s="12" t="n"/>
      <c r="J2944" s="12" t="n"/>
      <c r="K2944" s="12" t="n"/>
      <c r="L2944" s="11" t="n"/>
      <c r="M2944" s="11" t="n"/>
      <c r="N2944" s="11" t="n"/>
      <c r="O2944" s="11" t="n"/>
      <c r="P2944" s="12" t="n"/>
      <c r="Q2944" s="11" t="n"/>
      <c r="R2944" s="12" t="n"/>
      <c r="S2944" s="11" t="n"/>
      <c r="T2944" s="12" t="n"/>
      <c r="U2944" s="12" t="n"/>
      <c r="V2944" s="14">
        <f>IF($AN2944="",IF($B2944="","",$H2944),IF(INDEX(職員マスタ!$B$6:$B$405,$AN2944)="",$H2944,INDEX(職員マスタ!$B$6:$B$405,$AN2944)))</f>
        <v/>
      </c>
      <c r="W2944" s="14">
        <f>IF($AN2944="",IF($B2944="","",$R2944),IF(INDEX(職員マスタ!$C$6:$C$405,$AN2944)="",$R2944,INDEX(職員マスタ!$C$6:$C$405,$AN2944)))</f>
        <v/>
      </c>
      <c r="X2944" s="14">
        <f>IF($AO2944="","","R"&amp;$C2944&amp;"."&amp;$D2944)</f>
        <v/>
      </c>
      <c r="Y2944" s="15">
        <f>IF($AN2944="","",IF(INDEX(職員マスタ!$K$6:$K$405,$AN2944)="","",INDEX(職員マスタ!$K$6:$K$405,$AN2944)))</f>
        <v/>
      </c>
      <c r="Z2944" s="14">
        <f>IF(OR($E2944="",$Y2944=""),"",IF($E2944&gt;=$Y2944,"×",IF($E2944&gt;=$Y2944*設定!$C$5,"△","○")))</f>
        <v/>
      </c>
      <c r="AA2944" s="15">
        <f>IF($Z2944="","",IF($Z2944="×",0,IF($Z2944="○",ROUNDDOWN($E2944*設定!$C$4,0),ROUNDDOWN($E2944*ROUND((9*$Y2944-9*$E2944)/(10*$E2944),4),0))))</f>
        <v/>
      </c>
      <c r="AB2944" s="13" t="n"/>
      <c r="AC2944" s="15">
        <f>IF($B2944="","",IF($AB2944&lt;&gt;"",$AB2944,IF($AA2944="","",IF($AA2944&lt;=設定!$C$3,0,$AA2944))))</f>
        <v/>
      </c>
      <c r="AD2944" s="14">
        <f>IF($B2944="","",IF(AND($AE2944&lt;&gt;"",$AG2944="",$AJ2944=""),"保留中",IF($AJ2944&lt;&gt;"",IF(N($AC2944)&gt;0,"支給済","不支給"),IF($AC2944="","要確認",IF($AC2944=0,"不支給","未処理")))))</f>
        <v/>
      </c>
      <c r="AE2944" s="12" t="n"/>
      <c r="AF2944" s="11" t="n"/>
      <c r="AG2944" s="11" t="n"/>
      <c r="AH2944" s="11" t="n"/>
      <c r="AI2944" s="14">
        <f>IF(AND($AD2944="保留中",$AF2944&lt;&gt;""),TODAY()-$AF2944,"")</f>
        <v/>
      </c>
      <c r="AJ2944" s="12" t="n"/>
      <c r="AK2944" s="14">
        <f>IF($B2944="","",IF($AO2944="","対象年月が未入力／","")&amp;IF($B2944="","",IF($AN2944="","職員マスタに未登録の職員番号／",IF($Y2944="","標準報酬月額が未登録／","")&amp;IF(AND($AO2944&lt;&gt;"",OR(AND(INDEX(職員マスタ!$G$6:$G$405,$AN2944)&lt;&gt;"",INDEX(職員マスタ!$G$6:$G$405,$AN2944)&gt;EOMONTH($AO2944,0)),AND(INDEX(職員マスタ!$H$6:$H$405,$AN2944)&lt;&gt;"",INDEX(職員マスタ!$H$6:$H$405,$AN2944)&lt;$AO2944))),"対象月が時短期間外／","")&amp;IF(AND(INDEX(職員マスタ!$F$6:$F$405,$AN2944)&lt;&gt;"",$AO2944&lt;&gt;"",INDEX(職員マスタ!$F$6:$F$405,$AN2944)&lt;$AO2944),"対象月に子が2歳到達済／","")&amp;IF(AND($H2944&lt;&gt;"",INDEX(職員マスタ!$B$6:$B$405,$AN2944)&lt;&gt;"",SUBSTITUTE(SUBSTITUTE($H2944," ","")," ","")&lt;&gt;SUBSTITUTE(SUBSTITUTE(INDEX(職員マスタ!$B$6:$B$405,$AN2944)," ","")," ","")),"氏名がマスタと相違／","")&amp;IF(AND($Q2944&lt;&gt;"",INDEX(職員マスタ!$E$6:$E$405,$AN2944)&lt;&gt;"",$Q2944&lt;&gt;INDEX(職員マスタ!$E$6:$E$405,$AN2944)),"子の生年月日がマスタと相違／","")&amp;IF(AND($L2944&lt;&gt;"",INDEX(職員マスタ!$G$6:$G$405,$AN2944)&lt;&gt;"",$L2944&lt;&gt;INDEX(職員マスタ!$G$6:$G$405,$AN2944)),"時短開始日がマスタと相違／","")&amp;IF(AND($M2944&lt;&gt;"",INDEX(職員マスタ!$H$6:$H$405,$AN2944)&lt;&gt;"",$M2944&lt;&gt;INDEX(職員マスタ!$H$6:$H$405,$AN2944)),"時短終了日がマスタと相違／","")))&amp;IF(AND($B2944&lt;&gt;"",$E2944=""),"報酬額が未入力／","")&amp;IF(N($U2944)&gt;0,"申請書に入力エラーが残っています／","")&amp;IF(AND($B2944&lt;&gt;"",$AO2944&lt;&gt;""),IF(COUNTIFS($B$6:$B$3005,$B2944,$C$6:$C$3005,$C2944,$D$6:$D$3005,$D2944)&gt;1,"同じ月の請求が重複しています／",""),"")&amp;IF(AND(N($E2944)&gt;0,$Z2944&lt;&gt;"",$Z2944&lt;&gt;"×",$AC2944=0,$AB2944=""),"計算額が下限以下のため不支給／",""))</f>
        <v/>
      </c>
      <c r="AL2944" s="12" t="n"/>
      <c r="AM2944" s="14">
        <f>IF($AD2944="保留中",COUNTIF($AD$6:$AD2944,"保留中"),"")</f>
        <v/>
      </c>
      <c r="AN2944" s="14">
        <f>IF($AO2944="","",IF(SUMPRODUCT(MAX((職員マスタ!$A$6:$A$405=$B2944)*(((職員マスタ!$G$6:$G$405="")+(職員マスタ!$G$6:$G$405&lt;=EOMONTH($AO2944,0)))&gt;0)*(((職員マスタ!$H$6:$H$405="")+(職員マスタ!$H$6:$H$405&gt;=$AO2944))&gt;0)*(ROW(職員マスタ!$A$6:$A$405)-5)))&gt;0,SUMPRODUCT(MAX((職員マスタ!$A$6:$A$405=$B2944)*(((職員マスタ!$G$6:$G$405="")+(職員マスタ!$G$6:$G$405&lt;=EOMONTH($AO2944,0)))&gt;0)*(((職員マスタ!$H$6:$H$405="")+(職員マスタ!$H$6:$H$405&gt;=$AO2944))&gt;0)*(ROW(職員マスタ!$A$6:$A$405)-5))),IFERROR(MATCH($B2944,職員マスタ!$A$6:$A$405,0),"")))</f>
        <v/>
      </c>
      <c r="AO2944" s="16">
        <f>IF(OR($B2944="",$C2944="",$D2944=""),"",DATE($C2944+2018,$D2944,1))</f>
        <v/>
      </c>
    </row>
    <row r="2945">
      <c r="A2945" s="11" t="n"/>
      <c r="B2945" s="12" t="n"/>
      <c r="C2945" s="12" t="n"/>
      <c r="D2945" s="12" t="n"/>
      <c r="E2945" s="13" t="n"/>
      <c r="F2945" s="12" t="n"/>
      <c r="G2945" s="13" t="n"/>
      <c r="H2945" s="12" t="n"/>
      <c r="I2945" s="12" t="n"/>
      <c r="J2945" s="12" t="n"/>
      <c r="K2945" s="12" t="n"/>
      <c r="L2945" s="11" t="n"/>
      <c r="M2945" s="11" t="n"/>
      <c r="N2945" s="11" t="n"/>
      <c r="O2945" s="11" t="n"/>
      <c r="P2945" s="12" t="n"/>
      <c r="Q2945" s="11" t="n"/>
      <c r="R2945" s="12" t="n"/>
      <c r="S2945" s="11" t="n"/>
      <c r="T2945" s="12" t="n"/>
      <c r="U2945" s="12" t="n"/>
      <c r="V2945" s="14">
        <f>IF($AN2945="",IF($B2945="","",$H2945),IF(INDEX(職員マスタ!$B$6:$B$405,$AN2945)="",$H2945,INDEX(職員マスタ!$B$6:$B$405,$AN2945)))</f>
        <v/>
      </c>
      <c r="W2945" s="14">
        <f>IF($AN2945="",IF($B2945="","",$R2945),IF(INDEX(職員マスタ!$C$6:$C$405,$AN2945)="",$R2945,INDEX(職員マスタ!$C$6:$C$405,$AN2945)))</f>
        <v/>
      </c>
      <c r="X2945" s="14">
        <f>IF($AO2945="","","R"&amp;$C2945&amp;"."&amp;$D2945)</f>
        <v/>
      </c>
      <c r="Y2945" s="15">
        <f>IF($AN2945="","",IF(INDEX(職員マスタ!$K$6:$K$405,$AN2945)="","",INDEX(職員マスタ!$K$6:$K$405,$AN2945)))</f>
        <v/>
      </c>
      <c r="Z2945" s="14">
        <f>IF(OR($E2945="",$Y2945=""),"",IF($E2945&gt;=$Y2945,"×",IF($E2945&gt;=$Y2945*設定!$C$5,"△","○")))</f>
        <v/>
      </c>
      <c r="AA2945" s="15">
        <f>IF($Z2945="","",IF($Z2945="×",0,IF($Z2945="○",ROUNDDOWN($E2945*設定!$C$4,0),ROUNDDOWN($E2945*ROUND((9*$Y2945-9*$E2945)/(10*$E2945),4),0))))</f>
        <v/>
      </c>
      <c r="AB2945" s="13" t="n"/>
      <c r="AC2945" s="15">
        <f>IF($B2945="","",IF($AB2945&lt;&gt;"",$AB2945,IF($AA2945="","",IF($AA2945&lt;=設定!$C$3,0,$AA2945))))</f>
        <v/>
      </c>
      <c r="AD2945" s="14">
        <f>IF($B2945="","",IF(AND($AE2945&lt;&gt;"",$AG2945="",$AJ2945=""),"保留中",IF($AJ2945&lt;&gt;"",IF(N($AC2945)&gt;0,"支給済","不支給"),IF($AC2945="","要確認",IF($AC2945=0,"不支給","未処理")))))</f>
        <v/>
      </c>
      <c r="AE2945" s="12" t="n"/>
      <c r="AF2945" s="11" t="n"/>
      <c r="AG2945" s="11" t="n"/>
      <c r="AH2945" s="11" t="n"/>
      <c r="AI2945" s="14">
        <f>IF(AND($AD2945="保留中",$AF2945&lt;&gt;""),TODAY()-$AF2945,"")</f>
        <v/>
      </c>
      <c r="AJ2945" s="12" t="n"/>
      <c r="AK2945" s="14">
        <f>IF($B2945="","",IF($AO2945="","対象年月が未入力／","")&amp;IF($B2945="","",IF($AN2945="","職員マスタに未登録の職員番号／",IF($Y2945="","標準報酬月額が未登録／","")&amp;IF(AND($AO2945&lt;&gt;"",OR(AND(INDEX(職員マスタ!$G$6:$G$405,$AN2945)&lt;&gt;"",INDEX(職員マスタ!$G$6:$G$405,$AN2945)&gt;EOMONTH($AO2945,0)),AND(INDEX(職員マスタ!$H$6:$H$405,$AN2945)&lt;&gt;"",INDEX(職員マスタ!$H$6:$H$405,$AN2945)&lt;$AO2945))),"対象月が時短期間外／","")&amp;IF(AND(INDEX(職員マスタ!$F$6:$F$405,$AN2945)&lt;&gt;"",$AO2945&lt;&gt;"",INDEX(職員マスタ!$F$6:$F$405,$AN2945)&lt;$AO2945),"対象月に子が2歳到達済／","")&amp;IF(AND($H2945&lt;&gt;"",INDEX(職員マスタ!$B$6:$B$405,$AN2945)&lt;&gt;"",SUBSTITUTE(SUBSTITUTE($H2945," ","")," ","")&lt;&gt;SUBSTITUTE(SUBSTITUTE(INDEX(職員マスタ!$B$6:$B$405,$AN2945)," ","")," ","")),"氏名がマスタと相違／","")&amp;IF(AND($Q2945&lt;&gt;"",INDEX(職員マスタ!$E$6:$E$405,$AN2945)&lt;&gt;"",$Q2945&lt;&gt;INDEX(職員マスタ!$E$6:$E$405,$AN2945)),"子の生年月日がマスタと相違／","")&amp;IF(AND($L2945&lt;&gt;"",INDEX(職員マスタ!$G$6:$G$405,$AN2945)&lt;&gt;"",$L2945&lt;&gt;INDEX(職員マスタ!$G$6:$G$405,$AN2945)),"時短開始日がマスタと相違／","")&amp;IF(AND($M2945&lt;&gt;"",INDEX(職員マスタ!$H$6:$H$405,$AN2945)&lt;&gt;"",$M2945&lt;&gt;INDEX(職員マスタ!$H$6:$H$405,$AN2945)),"時短終了日がマスタと相違／","")))&amp;IF(AND($B2945&lt;&gt;"",$E2945=""),"報酬額が未入力／","")&amp;IF(N($U2945)&gt;0,"申請書に入力エラーが残っています／","")&amp;IF(AND($B2945&lt;&gt;"",$AO2945&lt;&gt;""),IF(COUNTIFS($B$6:$B$3005,$B2945,$C$6:$C$3005,$C2945,$D$6:$D$3005,$D2945)&gt;1,"同じ月の請求が重複しています／",""),"")&amp;IF(AND(N($E2945)&gt;0,$Z2945&lt;&gt;"",$Z2945&lt;&gt;"×",$AC2945=0,$AB2945=""),"計算額が下限以下のため不支給／",""))</f>
        <v/>
      </c>
      <c r="AL2945" s="12" t="n"/>
      <c r="AM2945" s="14">
        <f>IF($AD2945="保留中",COUNTIF($AD$6:$AD2945,"保留中"),"")</f>
        <v/>
      </c>
      <c r="AN2945" s="14">
        <f>IF($AO2945="","",IF(SUMPRODUCT(MAX((職員マスタ!$A$6:$A$405=$B2945)*(((職員マスタ!$G$6:$G$405="")+(職員マスタ!$G$6:$G$405&lt;=EOMONTH($AO2945,0)))&gt;0)*(((職員マスタ!$H$6:$H$405="")+(職員マスタ!$H$6:$H$405&gt;=$AO2945))&gt;0)*(ROW(職員マスタ!$A$6:$A$405)-5)))&gt;0,SUMPRODUCT(MAX((職員マスタ!$A$6:$A$405=$B2945)*(((職員マスタ!$G$6:$G$405="")+(職員マスタ!$G$6:$G$405&lt;=EOMONTH($AO2945,0)))&gt;0)*(((職員マスタ!$H$6:$H$405="")+(職員マスタ!$H$6:$H$405&gt;=$AO2945))&gt;0)*(ROW(職員マスタ!$A$6:$A$405)-5))),IFERROR(MATCH($B2945,職員マスタ!$A$6:$A$405,0),"")))</f>
        <v/>
      </c>
      <c r="AO2945" s="16">
        <f>IF(OR($B2945="",$C2945="",$D2945=""),"",DATE($C2945+2018,$D2945,1))</f>
        <v/>
      </c>
    </row>
    <row r="2946">
      <c r="A2946" s="11" t="n"/>
      <c r="B2946" s="12" t="n"/>
      <c r="C2946" s="12" t="n"/>
      <c r="D2946" s="12" t="n"/>
      <c r="E2946" s="13" t="n"/>
      <c r="F2946" s="12" t="n"/>
      <c r="G2946" s="13" t="n"/>
      <c r="H2946" s="12" t="n"/>
      <c r="I2946" s="12" t="n"/>
      <c r="J2946" s="12" t="n"/>
      <c r="K2946" s="12" t="n"/>
      <c r="L2946" s="11" t="n"/>
      <c r="M2946" s="11" t="n"/>
      <c r="N2946" s="11" t="n"/>
      <c r="O2946" s="11" t="n"/>
      <c r="P2946" s="12" t="n"/>
      <c r="Q2946" s="11" t="n"/>
      <c r="R2946" s="12" t="n"/>
      <c r="S2946" s="11" t="n"/>
      <c r="T2946" s="12" t="n"/>
      <c r="U2946" s="12" t="n"/>
      <c r="V2946" s="14">
        <f>IF($AN2946="",IF($B2946="","",$H2946),IF(INDEX(職員マスタ!$B$6:$B$405,$AN2946)="",$H2946,INDEX(職員マスタ!$B$6:$B$405,$AN2946)))</f>
        <v/>
      </c>
      <c r="W2946" s="14">
        <f>IF($AN2946="",IF($B2946="","",$R2946),IF(INDEX(職員マスタ!$C$6:$C$405,$AN2946)="",$R2946,INDEX(職員マスタ!$C$6:$C$405,$AN2946)))</f>
        <v/>
      </c>
      <c r="X2946" s="14">
        <f>IF($AO2946="","","R"&amp;$C2946&amp;"."&amp;$D2946)</f>
        <v/>
      </c>
      <c r="Y2946" s="15">
        <f>IF($AN2946="","",IF(INDEX(職員マスタ!$K$6:$K$405,$AN2946)="","",INDEX(職員マスタ!$K$6:$K$405,$AN2946)))</f>
        <v/>
      </c>
      <c r="Z2946" s="14">
        <f>IF(OR($E2946="",$Y2946=""),"",IF($E2946&gt;=$Y2946,"×",IF($E2946&gt;=$Y2946*設定!$C$5,"△","○")))</f>
        <v/>
      </c>
      <c r="AA2946" s="15">
        <f>IF($Z2946="","",IF($Z2946="×",0,IF($Z2946="○",ROUNDDOWN($E2946*設定!$C$4,0),ROUNDDOWN($E2946*ROUND((9*$Y2946-9*$E2946)/(10*$E2946),4),0))))</f>
        <v/>
      </c>
      <c r="AB2946" s="13" t="n"/>
      <c r="AC2946" s="15">
        <f>IF($B2946="","",IF($AB2946&lt;&gt;"",$AB2946,IF($AA2946="","",IF($AA2946&lt;=設定!$C$3,0,$AA2946))))</f>
        <v/>
      </c>
      <c r="AD2946" s="14">
        <f>IF($B2946="","",IF(AND($AE2946&lt;&gt;"",$AG2946="",$AJ2946=""),"保留中",IF($AJ2946&lt;&gt;"",IF(N($AC2946)&gt;0,"支給済","不支給"),IF($AC2946="","要確認",IF($AC2946=0,"不支給","未処理")))))</f>
        <v/>
      </c>
      <c r="AE2946" s="12" t="n"/>
      <c r="AF2946" s="11" t="n"/>
      <c r="AG2946" s="11" t="n"/>
      <c r="AH2946" s="11" t="n"/>
      <c r="AI2946" s="14">
        <f>IF(AND($AD2946="保留中",$AF2946&lt;&gt;""),TODAY()-$AF2946,"")</f>
        <v/>
      </c>
      <c r="AJ2946" s="12" t="n"/>
      <c r="AK2946" s="14">
        <f>IF($B2946="","",IF($AO2946="","対象年月が未入力／","")&amp;IF($B2946="","",IF($AN2946="","職員マスタに未登録の職員番号／",IF($Y2946="","標準報酬月額が未登録／","")&amp;IF(AND($AO2946&lt;&gt;"",OR(AND(INDEX(職員マスタ!$G$6:$G$405,$AN2946)&lt;&gt;"",INDEX(職員マスタ!$G$6:$G$405,$AN2946)&gt;EOMONTH($AO2946,0)),AND(INDEX(職員マスタ!$H$6:$H$405,$AN2946)&lt;&gt;"",INDEX(職員マスタ!$H$6:$H$405,$AN2946)&lt;$AO2946))),"対象月が時短期間外／","")&amp;IF(AND(INDEX(職員マスタ!$F$6:$F$405,$AN2946)&lt;&gt;"",$AO2946&lt;&gt;"",INDEX(職員マスタ!$F$6:$F$405,$AN2946)&lt;$AO2946),"対象月に子が2歳到達済／","")&amp;IF(AND($H2946&lt;&gt;"",INDEX(職員マスタ!$B$6:$B$405,$AN2946)&lt;&gt;"",SUBSTITUTE(SUBSTITUTE($H2946," ","")," ","")&lt;&gt;SUBSTITUTE(SUBSTITUTE(INDEX(職員マスタ!$B$6:$B$405,$AN2946)," ","")," ","")),"氏名がマスタと相違／","")&amp;IF(AND($Q2946&lt;&gt;"",INDEX(職員マスタ!$E$6:$E$405,$AN2946)&lt;&gt;"",$Q2946&lt;&gt;INDEX(職員マスタ!$E$6:$E$405,$AN2946)),"子の生年月日がマスタと相違／","")&amp;IF(AND($L2946&lt;&gt;"",INDEX(職員マスタ!$G$6:$G$405,$AN2946)&lt;&gt;"",$L2946&lt;&gt;INDEX(職員マスタ!$G$6:$G$405,$AN2946)),"時短開始日がマスタと相違／","")&amp;IF(AND($M2946&lt;&gt;"",INDEX(職員マスタ!$H$6:$H$405,$AN2946)&lt;&gt;"",$M2946&lt;&gt;INDEX(職員マスタ!$H$6:$H$405,$AN2946)),"時短終了日がマスタと相違／","")))&amp;IF(AND($B2946&lt;&gt;"",$E2946=""),"報酬額が未入力／","")&amp;IF(N($U2946)&gt;0,"申請書に入力エラーが残っています／","")&amp;IF(AND($B2946&lt;&gt;"",$AO2946&lt;&gt;""),IF(COUNTIFS($B$6:$B$3005,$B2946,$C$6:$C$3005,$C2946,$D$6:$D$3005,$D2946)&gt;1,"同じ月の請求が重複しています／",""),"")&amp;IF(AND(N($E2946)&gt;0,$Z2946&lt;&gt;"",$Z2946&lt;&gt;"×",$AC2946=0,$AB2946=""),"計算額が下限以下のため不支給／",""))</f>
        <v/>
      </c>
      <c r="AL2946" s="12" t="n"/>
      <c r="AM2946" s="14">
        <f>IF($AD2946="保留中",COUNTIF($AD$6:$AD2946,"保留中"),"")</f>
        <v/>
      </c>
      <c r="AN2946" s="14">
        <f>IF($AO2946="","",IF(SUMPRODUCT(MAX((職員マスタ!$A$6:$A$405=$B2946)*(((職員マスタ!$G$6:$G$405="")+(職員マスタ!$G$6:$G$405&lt;=EOMONTH($AO2946,0)))&gt;0)*(((職員マスタ!$H$6:$H$405="")+(職員マスタ!$H$6:$H$405&gt;=$AO2946))&gt;0)*(ROW(職員マスタ!$A$6:$A$405)-5)))&gt;0,SUMPRODUCT(MAX((職員マスタ!$A$6:$A$405=$B2946)*(((職員マスタ!$G$6:$G$405="")+(職員マスタ!$G$6:$G$405&lt;=EOMONTH($AO2946,0)))&gt;0)*(((職員マスタ!$H$6:$H$405="")+(職員マスタ!$H$6:$H$405&gt;=$AO2946))&gt;0)*(ROW(職員マスタ!$A$6:$A$405)-5))),IFERROR(MATCH($B2946,職員マスタ!$A$6:$A$405,0),"")))</f>
        <v/>
      </c>
      <c r="AO2946" s="16">
        <f>IF(OR($B2946="",$C2946="",$D2946=""),"",DATE($C2946+2018,$D2946,1))</f>
        <v/>
      </c>
    </row>
    <row r="2947">
      <c r="A2947" s="11" t="n"/>
      <c r="B2947" s="12" t="n"/>
      <c r="C2947" s="12" t="n"/>
      <c r="D2947" s="12" t="n"/>
      <c r="E2947" s="13" t="n"/>
      <c r="F2947" s="12" t="n"/>
      <c r="G2947" s="13" t="n"/>
      <c r="H2947" s="12" t="n"/>
      <c r="I2947" s="12" t="n"/>
      <c r="J2947" s="12" t="n"/>
      <c r="K2947" s="12" t="n"/>
      <c r="L2947" s="11" t="n"/>
      <c r="M2947" s="11" t="n"/>
      <c r="N2947" s="11" t="n"/>
      <c r="O2947" s="11" t="n"/>
      <c r="P2947" s="12" t="n"/>
      <c r="Q2947" s="11" t="n"/>
      <c r="R2947" s="12" t="n"/>
      <c r="S2947" s="11" t="n"/>
      <c r="T2947" s="12" t="n"/>
      <c r="U2947" s="12" t="n"/>
      <c r="V2947" s="14">
        <f>IF($AN2947="",IF($B2947="","",$H2947),IF(INDEX(職員マスタ!$B$6:$B$405,$AN2947)="",$H2947,INDEX(職員マスタ!$B$6:$B$405,$AN2947)))</f>
        <v/>
      </c>
      <c r="W2947" s="14">
        <f>IF($AN2947="",IF($B2947="","",$R2947),IF(INDEX(職員マスタ!$C$6:$C$405,$AN2947)="",$R2947,INDEX(職員マスタ!$C$6:$C$405,$AN2947)))</f>
        <v/>
      </c>
      <c r="X2947" s="14">
        <f>IF($AO2947="","","R"&amp;$C2947&amp;"."&amp;$D2947)</f>
        <v/>
      </c>
      <c r="Y2947" s="15">
        <f>IF($AN2947="","",IF(INDEX(職員マスタ!$K$6:$K$405,$AN2947)="","",INDEX(職員マスタ!$K$6:$K$405,$AN2947)))</f>
        <v/>
      </c>
      <c r="Z2947" s="14">
        <f>IF(OR($E2947="",$Y2947=""),"",IF($E2947&gt;=$Y2947,"×",IF($E2947&gt;=$Y2947*設定!$C$5,"△","○")))</f>
        <v/>
      </c>
      <c r="AA2947" s="15">
        <f>IF($Z2947="","",IF($Z2947="×",0,IF($Z2947="○",ROUNDDOWN($E2947*設定!$C$4,0),ROUNDDOWN($E2947*ROUND((9*$Y2947-9*$E2947)/(10*$E2947),4),0))))</f>
        <v/>
      </c>
      <c r="AB2947" s="13" t="n"/>
      <c r="AC2947" s="15">
        <f>IF($B2947="","",IF($AB2947&lt;&gt;"",$AB2947,IF($AA2947="","",IF($AA2947&lt;=設定!$C$3,0,$AA2947))))</f>
        <v/>
      </c>
      <c r="AD2947" s="14">
        <f>IF($B2947="","",IF(AND($AE2947&lt;&gt;"",$AG2947="",$AJ2947=""),"保留中",IF($AJ2947&lt;&gt;"",IF(N($AC2947)&gt;0,"支給済","不支給"),IF($AC2947="","要確認",IF($AC2947=0,"不支給","未処理")))))</f>
        <v/>
      </c>
      <c r="AE2947" s="12" t="n"/>
      <c r="AF2947" s="11" t="n"/>
      <c r="AG2947" s="11" t="n"/>
      <c r="AH2947" s="11" t="n"/>
      <c r="AI2947" s="14">
        <f>IF(AND($AD2947="保留中",$AF2947&lt;&gt;""),TODAY()-$AF2947,"")</f>
        <v/>
      </c>
      <c r="AJ2947" s="12" t="n"/>
      <c r="AK2947" s="14">
        <f>IF($B2947="","",IF($AO2947="","対象年月が未入力／","")&amp;IF($B2947="","",IF($AN2947="","職員マスタに未登録の職員番号／",IF($Y2947="","標準報酬月額が未登録／","")&amp;IF(AND($AO2947&lt;&gt;"",OR(AND(INDEX(職員マスタ!$G$6:$G$405,$AN2947)&lt;&gt;"",INDEX(職員マスタ!$G$6:$G$405,$AN2947)&gt;EOMONTH($AO2947,0)),AND(INDEX(職員マスタ!$H$6:$H$405,$AN2947)&lt;&gt;"",INDEX(職員マスタ!$H$6:$H$405,$AN2947)&lt;$AO2947))),"対象月が時短期間外／","")&amp;IF(AND(INDEX(職員マスタ!$F$6:$F$405,$AN2947)&lt;&gt;"",$AO2947&lt;&gt;"",INDEX(職員マスタ!$F$6:$F$405,$AN2947)&lt;$AO2947),"対象月に子が2歳到達済／","")&amp;IF(AND($H2947&lt;&gt;"",INDEX(職員マスタ!$B$6:$B$405,$AN2947)&lt;&gt;"",SUBSTITUTE(SUBSTITUTE($H2947," ","")," ","")&lt;&gt;SUBSTITUTE(SUBSTITUTE(INDEX(職員マスタ!$B$6:$B$405,$AN2947)," ","")," ","")),"氏名がマスタと相違／","")&amp;IF(AND($Q2947&lt;&gt;"",INDEX(職員マスタ!$E$6:$E$405,$AN2947)&lt;&gt;"",$Q2947&lt;&gt;INDEX(職員マスタ!$E$6:$E$405,$AN2947)),"子の生年月日がマスタと相違／","")&amp;IF(AND($L2947&lt;&gt;"",INDEX(職員マスタ!$G$6:$G$405,$AN2947)&lt;&gt;"",$L2947&lt;&gt;INDEX(職員マスタ!$G$6:$G$405,$AN2947)),"時短開始日がマスタと相違／","")&amp;IF(AND($M2947&lt;&gt;"",INDEX(職員マスタ!$H$6:$H$405,$AN2947)&lt;&gt;"",$M2947&lt;&gt;INDEX(職員マスタ!$H$6:$H$405,$AN2947)),"時短終了日がマスタと相違／","")))&amp;IF(AND($B2947&lt;&gt;"",$E2947=""),"報酬額が未入力／","")&amp;IF(N($U2947)&gt;0,"申請書に入力エラーが残っています／","")&amp;IF(AND($B2947&lt;&gt;"",$AO2947&lt;&gt;""),IF(COUNTIFS($B$6:$B$3005,$B2947,$C$6:$C$3005,$C2947,$D$6:$D$3005,$D2947)&gt;1,"同じ月の請求が重複しています／",""),"")&amp;IF(AND(N($E2947)&gt;0,$Z2947&lt;&gt;"",$Z2947&lt;&gt;"×",$AC2947=0,$AB2947=""),"計算額が下限以下のため不支給／",""))</f>
        <v/>
      </c>
      <c r="AL2947" s="12" t="n"/>
      <c r="AM2947" s="14">
        <f>IF($AD2947="保留中",COUNTIF($AD$6:$AD2947,"保留中"),"")</f>
        <v/>
      </c>
      <c r="AN2947" s="14">
        <f>IF($AO2947="","",IF(SUMPRODUCT(MAX((職員マスタ!$A$6:$A$405=$B2947)*(((職員マスタ!$G$6:$G$405="")+(職員マスタ!$G$6:$G$405&lt;=EOMONTH($AO2947,0)))&gt;0)*(((職員マスタ!$H$6:$H$405="")+(職員マスタ!$H$6:$H$405&gt;=$AO2947))&gt;0)*(ROW(職員マスタ!$A$6:$A$405)-5)))&gt;0,SUMPRODUCT(MAX((職員マスタ!$A$6:$A$405=$B2947)*(((職員マスタ!$G$6:$G$405="")+(職員マスタ!$G$6:$G$405&lt;=EOMONTH($AO2947,0)))&gt;0)*(((職員マスタ!$H$6:$H$405="")+(職員マスタ!$H$6:$H$405&gt;=$AO2947))&gt;0)*(ROW(職員マスタ!$A$6:$A$405)-5))),IFERROR(MATCH($B2947,職員マスタ!$A$6:$A$405,0),"")))</f>
        <v/>
      </c>
      <c r="AO2947" s="16">
        <f>IF(OR($B2947="",$C2947="",$D2947=""),"",DATE($C2947+2018,$D2947,1))</f>
        <v/>
      </c>
    </row>
    <row r="2948">
      <c r="A2948" s="11" t="n"/>
      <c r="B2948" s="12" t="n"/>
      <c r="C2948" s="12" t="n"/>
      <c r="D2948" s="12" t="n"/>
      <c r="E2948" s="13" t="n"/>
      <c r="F2948" s="12" t="n"/>
      <c r="G2948" s="13" t="n"/>
      <c r="H2948" s="12" t="n"/>
      <c r="I2948" s="12" t="n"/>
      <c r="J2948" s="12" t="n"/>
      <c r="K2948" s="12" t="n"/>
      <c r="L2948" s="11" t="n"/>
      <c r="M2948" s="11" t="n"/>
      <c r="N2948" s="11" t="n"/>
      <c r="O2948" s="11" t="n"/>
      <c r="P2948" s="12" t="n"/>
      <c r="Q2948" s="11" t="n"/>
      <c r="R2948" s="12" t="n"/>
      <c r="S2948" s="11" t="n"/>
      <c r="T2948" s="12" t="n"/>
      <c r="U2948" s="12" t="n"/>
      <c r="V2948" s="14">
        <f>IF($AN2948="",IF($B2948="","",$H2948),IF(INDEX(職員マスタ!$B$6:$B$405,$AN2948)="",$H2948,INDEX(職員マスタ!$B$6:$B$405,$AN2948)))</f>
        <v/>
      </c>
      <c r="W2948" s="14">
        <f>IF($AN2948="",IF($B2948="","",$R2948),IF(INDEX(職員マスタ!$C$6:$C$405,$AN2948)="",$R2948,INDEX(職員マスタ!$C$6:$C$405,$AN2948)))</f>
        <v/>
      </c>
      <c r="X2948" s="14">
        <f>IF($AO2948="","","R"&amp;$C2948&amp;"."&amp;$D2948)</f>
        <v/>
      </c>
      <c r="Y2948" s="15">
        <f>IF($AN2948="","",IF(INDEX(職員マスタ!$K$6:$K$405,$AN2948)="","",INDEX(職員マスタ!$K$6:$K$405,$AN2948)))</f>
        <v/>
      </c>
      <c r="Z2948" s="14">
        <f>IF(OR($E2948="",$Y2948=""),"",IF($E2948&gt;=$Y2948,"×",IF($E2948&gt;=$Y2948*設定!$C$5,"△","○")))</f>
        <v/>
      </c>
      <c r="AA2948" s="15">
        <f>IF($Z2948="","",IF($Z2948="×",0,IF($Z2948="○",ROUNDDOWN($E2948*設定!$C$4,0),ROUNDDOWN($E2948*ROUND((9*$Y2948-9*$E2948)/(10*$E2948),4),0))))</f>
        <v/>
      </c>
      <c r="AB2948" s="13" t="n"/>
      <c r="AC2948" s="15">
        <f>IF($B2948="","",IF($AB2948&lt;&gt;"",$AB2948,IF($AA2948="","",IF($AA2948&lt;=設定!$C$3,0,$AA2948))))</f>
        <v/>
      </c>
      <c r="AD2948" s="14">
        <f>IF($B2948="","",IF(AND($AE2948&lt;&gt;"",$AG2948="",$AJ2948=""),"保留中",IF($AJ2948&lt;&gt;"",IF(N($AC2948)&gt;0,"支給済","不支給"),IF($AC2948="","要確認",IF($AC2948=0,"不支給","未処理")))))</f>
        <v/>
      </c>
      <c r="AE2948" s="12" t="n"/>
      <c r="AF2948" s="11" t="n"/>
      <c r="AG2948" s="11" t="n"/>
      <c r="AH2948" s="11" t="n"/>
      <c r="AI2948" s="14">
        <f>IF(AND($AD2948="保留中",$AF2948&lt;&gt;""),TODAY()-$AF2948,"")</f>
        <v/>
      </c>
      <c r="AJ2948" s="12" t="n"/>
      <c r="AK2948" s="14">
        <f>IF($B2948="","",IF($AO2948="","対象年月が未入力／","")&amp;IF($B2948="","",IF($AN2948="","職員マスタに未登録の職員番号／",IF($Y2948="","標準報酬月額が未登録／","")&amp;IF(AND($AO2948&lt;&gt;"",OR(AND(INDEX(職員マスタ!$G$6:$G$405,$AN2948)&lt;&gt;"",INDEX(職員マスタ!$G$6:$G$405,$AN2948)&gt;EOMONTH($AO2948,0)),AND(INDEX(職員マスタ!$H$6:$H$405,$AN2948)&lt;&gt;"",INDEX(職員マスタ!$H$6:$H$405,$AN2948)&lt;$AO2948))),"対象月が時短期間外／","")&amp;IF(AND(INDEX(職員マスタ!$F$6:$F$405,$AN2948)&lt;&gt;"",$AO2948&lt;&gt;"",INDEX(職員マスタ!$F$6:$F$405,$AN2948)&lt;$AO2948),"対象月に子が2歳到達済／","")&amp;IF(AND($H2948&lt;&gt;"",INDEX(職員マスタ!$B$6:$B$405,$AN2948)&lt;&gt;"",SUBSTITUTE(SUBSTITUTE($H2948," ","")," ","")&lt;&gt;SUBSTITUTE(SUBSTITUTE(INDEX(職員マスタ!$B$6:$B$405,$AN2948)," ","")," ","")),"氏名がマスタと相違／","")&amp;IF(AND($Q2948&lt;&gt;"",INDEX(職員マスタ!$E$6:$E$405,$AN2948)&lt;&gt;"",$Q2948&lt;&gt;INDEX(職員マスタ!$E$6:$E$405,$AN2948)),"子の生年月日がマスタと相違／","")&amp;IF(AND($L2948&lt;&gt;"",INDEX(職員マスタ!$G$6:$G$405,$AN2948)&lt;&gt;"",$L2948&lt;&gt;INDEX(職員マスタ!$G$6:$G$405,$AN2948)),"時短開始日がマスタと相違／","")&amp;IF(AND($M2948&lt;&gt;"",INDEX(職員マスタ!$H$6:$H$405,$AN2948)&lt;&gt;"",$M2948&lt;&gt;INDEX(職員マスタ!$H$6:$H$405,$AN2948)),"時短終了日がマスタと相違／","")))&amp;IF(AND($B2948&lt;&gt;"",$E2948=""),"報酬額が未入力／","")&amp;IF(N($U2948)&gt;0,"申請書に入力エラーが残っています／","")&amp;IF(AND($B2948&lt;&gt;"",$AO2948&lt;&gt;""),IF(COUNTIFS($B$6:$B$3005,$B2948,$C$6:$C$3005,$C2948,$D$6:$D$3005,$D2948)&gt;1,"同じ月の請求が重複しています／",""),"")&amp;IF(AND(N($E2948)&gt;0,$Z2948&lt;&gt;"",$Z2948&lt;&gt;"×",$AC2948=0,$AB2948=""),"計算額が下限以下のため不支給／",""))</f>
        <v/>
      </c>
      <c r="AL2948" s="12" t="n"/>
      <c r="AM2948" s="14">
        <f>IF($AD2948="保留中",COUNTIF($AD$6:$AD2948,"保留中"),"")</f>
        <v/>
      </c>
      <c r="AN2948" s="14">
        <f>IF($AO2948="","",IF(SUMPRODUCT(MAX((職員マスタ!$A$6:$A$405=$B2948)*(((職員マスタ!$G$6:$G$405="")+(職員マスタ!$G$6:$G$405&lt;=EOMONTH($AO2948,0)))&gt;0)*(((職員マスタ!$H$6:$H$405="")+(職員マスタ!$H$6:$H$405&gt;=$AO2948))&gt;0)*(ROW(職員マスタ!$A$6:$A$405)-5)))&gt;0,SUMPRODUCT(MAX((職員マスタ!$A$6:$A$405=$B2948)*(((職員マスタ!$G$6:$G$405="")+(職員マスタ!$G$6:$G$405&lt;=EOMONTH($AO2948,0)))&gt;0)*(((職員マスタ!$H$6:$H$405="")+(職員マスタ!$H$6:$H$405&gt;=$AO2948))&gt;0)*(ROW(職員マスタ!$A$6:$A$405)-5))),IFERROR(MATCH($B2948,職員マスタ!$A$6:$A$405,0),"")))</f>
        <v/>
      </c>
      <c r="AO2948" s="16">
        <f>IF(OR($B2948="",$C2948="",$D2948=""),"",DATE($C2948+2018,$D2948,1))</f>
        <v/>
      </c>
    </row>
    <row r="2949">
      <c r="A2949" s="11" t="n"/>
      <c r="B2949" s="12" t="n"/>
      <c r="C2949" s="12" t="n"/>
      <c r="D2949" s="12" t="n"/>
      <c r="E2949" s="13" t="n"/>
      <c r="F2949" s="12" t="n"/>
      <c r="G2949" s="13" t="n"/>
      <c r="H2949" s="12" t="n"/>
      <c r="I2949" s="12" t="n"/>
      <c r="J2949" s="12" t="n"/>
      <c r="K2949" s="12" t="n"/>
      <c r="L2949" s="11" t="n"/>
      <c r="M2949" s="11" t="n"/>
      <c r="N2949" s="11" t="n"/>
      <c r="O2949" s="11" t="n"/>
      <c r="P2949" s="12" t="n"/>
      <c r="Q2949" s="11" t="n"/>
      <c r="R2949" s="12" t="n"/>
      <c r="S2949" s="11" t="n"/>
      <c r="T2949" s="12" t="n"/>
      <c r="U2949" s="12" t="n"/>
      <c r="V2949" s="14">
        <f>IF($AN2949="",IF($B2949="","",$H2949),IF(INDEX(職員マスタ!$B$6:$B$405,$AN2949)="",$H2949,INDEX(職員マスタ!$B$6:$B$405,$AN2949)))</f>
        <v/>
      </c>
      <c r="W2949" s="14">
        <f>IF($AN2949="",IF($B2949="","",$R2949),IF(INDEX(職員マスタ!$C$6:$C$405,$AN2949)="",$R2949,INDEX(職員マスタ!$C$6:$C$405,$AN2949)))</f>
        <v/>
      </c>
      <c r="X2949" s="14">
        <f>IF($AO2949="","","R"&amp;$C2949&amp;"."&amp;$D2949)</f>
        <v/>
      </c>
      <c r="Y2949" s="15">
        <f>IF($AN2949="","",IF(INDEX(職員マスタ!$K$6:$K$405,$AN2949)="","",INDEX(職員マスタ!$K$6:$K$405,$AN2949)))</f>
        <v/>
      </c>
      <c r="Z2949" s="14">
        <f>IF(OR($E2949="",$Y2949=""),"",IF($E2949&gt;=$Y2949,"×",IF($E2949&gt;=$Y2949*設定!$C$5,"△","○")))</f>
        <v/>
      </c>
      <c r="AA2949" s="15">
        <f>IF($Z2949="","",IF($Z2949="×",0,IF($Z2949="○",ROUNDDOWN($E2949*設定!$C$4,0),ROUNDDOWN($E2949*ROUND((9*$Y2949-9*$E2949)/(10*$E2949),4),0))))</f>
        <v/>
      </c>
      <c r="AB2949" s="13" t="n"/>
      <c r="AC2949" s="15">
        <f>IF($B2949="","",IF($AB2949&lt;&gt;"",$AB2949,IF($AA2949="","",IF($AA2949&lt;=設定!$C$3,0,$AA2949))))</f>
        <v/>
      </c>
      <c r="AD2949" s="14">
        <f>IF($B2949="","",IF(AND($AE2949&lt;&gt;"",$AG2949="",$AJ2949=""),"保留中",IF($AJ2949&lt;&gt;"",IF(N($AC2949)&gt;0,"支給済","不支給"),IF($AC2949="","要確認",IF($AC2949=0,"不支給","未処理")))))</f>
        <v/>
      </c>
      <c r="AE2949" s="12" t="n"/>
      <c r="AF2949" s="11" t="n"/>
      <c r="AG2949" s="11" t="n"/>
      <c r="AH2949" s="11" t="n"/>
      <c r="AI2949" s="14">
        <f>IF(AND($AD2949="保留中",$AF2949&lt;&gt;""),TODAY()-$AF2949,"")</f>
        <v/>
      </c>
      <c r="AJ2949" s="12" t="n"/>
      <c r="AK2949" s="14">
        <f>IF($B2949="","",IF($AO2949="","対象年月が未入力／","")&amp;IF($B2949="","",IF($AN2949="","職員マスタに未登録の職員番号／",IF($Y2949="","標準報酬月額が未登録／","")&amp;IF(AND($AO2949&lt;&gt;"",OR(AND(INDEX(職員マスタ!$G$6:$G$405,$AN2949)&lt;&gt;"",INDEX(職員マスタ!$G$6:$G$405,$AN2949)&gt;EOMONTH($AO2949,0)),AND(INDEX(職員マスタ!$H$6:$H$405,$AN2949)&lt;&gt;"",INDEX(職員マスタ!$H$6:$H$405,$AN2949)&lt;$AO2949))),"対象月が時短期間外／","")&amp;IF(AND(INDEX(職員マスタ!$F$6:$F$405,$AN2949)&lt;&gt;"",$AO2949&lt;&gt;"",INDEX(職員マスタ!$F$6:$F$405,$AN2949)&lt;$AO2949),"対象月に子が2歳到達済／","")&amp;IF(AND($H2949&lt;&gt;"",INDEX(職員マスタ!$B$6:$B$405,$AN2949)&lt;&gt;"",SUBSTITUTE(SUBSTITUTE($H2949," ","")," ","")&lt;&gt;SUBSTITUTE(SUBSTITUTE(INDEX(職員マスタ!$B$6:$B$405,$AN2949)," ","")," ","")),"氏名がマスタと相違／","")&amp;IF(AND($Q2949&lt;&gt;"",INDEX(職員マスタ!$E$6:$E$405,$AN2949)&lt;&gt;"",$Q2949&lt;&gt;INDEX(職員マスタ!$E$6:$E$405,$AN2949)),"子の生年月日がマスタと相違／","")&amp;IF(AND($L2949&lt;&gt;"",INDEX(職員マスタ!$G$6:$G$405,$AN2949)&lt;&gt;"",$L2949&lt;&gt;INDEX(職員マスタ!$G$6:$G$405,$AN2949)),"時短開始日がマスタと相違／","")&amp;IF(AND($M2949&lt;&gt;"",INDEX(職員マスタ!$H$6:$H$405,$AN2949)&lt;&gt;"",$M2949&lt;&gt;INDEX(職員マスタ!$H$6:$H$405,$AN2949)),"時短終了日がマスタと相違／","")))&amp;IF(AND($B2949&lt;&gt;"",$E2949=""),"報酬額が未入力／","")&amp;IF(N($U2949)&gt;0,"申請書に入力エラーが残っています／","")&amp;IF(AND($B2949&lt;&gt;"",$AO2949&lt;&gt;""),IF(COUNTIFS($B$6:$B$3005,$B2949,$C$6:$C$3005,$C2949,$D$6:$D$3005,$D2949)&gt;1,"同じ月の請求が重複しています／",""),"")&amp;IF(AND(N($E2949)&gt;0,$Z2949&lt;&gt;"",$Z2949&lt;&gt;"×",$AC2949=0,$AB2949=""),"計算額が下限以下のため不支給／",""))</f>
        <v/>
      </c>
      <c r="AL2949" s="12" t="n"/>
      <c r="AM2949" s="14">
        <f>IF($AD2949="保留中",COUNTIF($AD$6:$AD2949,"保留中"),"")</f>
        <v/>
      </c>
      <c r="AN2949" s="14">
        <f>IF($AO2949="","",IF(SUMPRODUCT(MAX((職員マスタ!$A$6:$A$405=$B2949)*(((職員マスタ!$G$6:$G$405="")+(職員マスタ!$G$6:$G$405&lt;=EOMONTH($AO2949,0)))&gt;0)*(((職員マスタ!$H$6:$H$405="")+(職員マスタ!$H$6:$H$405&gt;=$AO2949))&gt;0)*(ROW(職員マスタ!$A$6:$A$405)-5)))&gt;0,SUMPRODUCT(MAX((職員マスタ!$A$6:$A$405=$B2949)*(((職員マスタ!$G$6:$G$405="")+(職員マスタ!$G$6:$G$405&lt;=EOMONTH($AO2949,0)))&gt;0)*(((職員マスタ!$H$6:$H$405="")+(職員マスタ!$H$6:$H$405&gt;=$AO2949))&gt;0)*(ROW(職員マスタ!$A$6:$A$405)-5))),IFERROR(MATCH($B2949,職員マスタ!$A$6:$A$405,0),"")))</f>
        <v/>
      </c>
      <c r="AO2949" s="16">
        <f>IF(OR($B2949="",$C2949="",$D2949=""),"",DATE($C2949+2018,$D2949,1))</f>
        <v/>
      </c>
    </row>
    <row r="2950">
      <c r="A2950" s="11" t="n"/>
      <c r="B2950" s="12" t="n"/>
      <c r="C2950" s="12" t="n"/>
      <c r="D2950" s="12" t="n"/>
      <c r="E2950" s="13" t="n"/>
      <c r="F2950" s="12" t="n"/>
      <c r="G2950" s="13" t="n"/>
      <c r="H2950" s="12" t="n"/>
      <c r="I2950" s="12" t="n"/>
      <c r="J2950" s="12" t="n"/>
      <c r="K2950" s="12" t="n"/>
      <c r="L2950" s="11" t="n"/>
      <c r="M2950" s="11" t="n"/>
      <c r="N2950" s="11" t="n"/>
      <c r="O2950" s="11" t="n"/>
      <c r="P2950" s="12" t="n"/>
      <c r="Q2950" s="11" t="n"/>
      <c r="R2950" s="12" t="n"/>
      <c r="S2950" s="11" t="n"/>
      <c r="T2950" s="12" t="n"/>
      <c r="U2950" s="12" t="n"/>
      <c r="V2950" s="14">
        <f>IF($AN2950="",IF($B2950="","",$H2950),IF(INDEX(職員マスタ!$B$6:$B$405,$AN2950)="",$H2950,INDEX(職員マスタ!$B$6:$B$405,$AN2950)))</f>
        <v/>
      </c>
      <c r="W2950" s="14">
        <f>IF($AN2950="",IF($B2950="","",$R2950),IF(INDEX(職員マスタ!$C$6:$C$405,$AN2950)="",$R2950,INDEX(職員マスタ!$C$6:$C$405,$AN2950)))</f>
        <v/>
      </c>
      <c r="X2950" s="14">
        <f>IF($AO2950="","","R"&amp;$C2950&amp;"."&amp;$D2950)</f>
        <v/>
      </c>
      <c r="Y2950" s="15">
        <f>IF($AN2950="","",IF(INDEX(職員マスタ!$K$6:$K$405,$AN2950)="","",INDEX(職員マスタ!$K$6:$K$405,$AN2950)))</f>
        <v/>
      </c>
      <c r="Z2950" s="14">
        <f>IF(OR($E2950="",$Y2950=""),"",IF($E2950&gt;=$Y2950,"×",IF($E2950&gt;=$Y2950*設定!$C$5,"△","○")))</f>
        <v/>
      </c>
      <c r="AA2950" s="15">
        <f>IF($Z2950="","",IF($Z2950="×",0,IF($Z2950="○",ROUNDDOWN($E2950*設定!$C$4,0),ROUNDDOWN($E2950*ROUND((9*$Y2950-9*$E2950)/(10*$E2950),4),0))))</f>
        <v/>
      </c>
      <c r="AB2950" s="13" t="n"/>
      <c r="AC2950" s="15">
        <f>IF($B2950="","",IF($AB2950&lt;&gt;"",$AB2950,IF($AA2950="","",IF($AA2950&lt;=設定!$C$3,0,$AA2950))))</f>
        <v/>
      </c>
      <c r="AD2950" s="14">
        <f>IF($B2950="","",IF(AND($AE2950&lt;&gt;"",$AG2950="",$AJ2950=""),"保留中",IF($AJ2950&lt;&gt;"",IF(N($AC2950)&gt;0,"支給済","不支給"),IF($AC2950="","要確認",IF($AC2950=0,"不支給","未処理")))))</f>
        <v/>
      </c>
      <c r="AE2950" s="12" t="n"/>
      <c r="AF2950" s="11" t="n"/>
      <c r="AG2950" s="11" t="n"/>
      <c r="AH2950" s="11" t="n"/>
      <c r="AI2950" s="14">
        <f>IF(AND($AD2950="保留中",$AF2950&lt;&gt;""),TODAY()-$AF2950,"")</f>
        <v/>
      </c>
      <c r="AJ2950" s="12" t="n"/>
      <c r="AK2950" s="14">
        <f>IF($B2950="","",IF($AO2950="","対象年月が未入力／","")&amp;IF($B2950="","",IF($AN2950="","職員マスタに未登録の職員番号／",IF($Y2950="","標準報酬月額が未登録／","")&amp;IF(AND($AO2950&lt;&gt;"",OR(AND(INDEX(職員マスタ!$G$6:$G$405,$AN2950)&lt;&gt;"",INDEX(職員マスタ!$G$6:$G$405,$AN2950)&gt;EOMONTH($AO2950,0)),AND(INDEX(職員マスタ!$H$6:$H$405,$AN2950)&lt;&gt;"",INDEX(職員マスタ!$H$6:$H$405,$AN2950)&lt;$AO2950))),"対象月が時短期間外／","")&amp;IF(AND(INDEX(職員マスタ!$F$6:$F$405,$AN2950)&lt;&gt;"",$AO2950&lt;&gt;"",INDEX(職員マスタ!$F$6:$F$405,$AN2950)&lt;$AO2950),"対象月に子が2歳到達済／","")&amp;IF(AND($H2950&lt;&gt;"",INDEX(職員マスタ!$B$6:$B$405,$AN2950)&lt;&gt;"",SUBSTITUTE(SUBSTITUTE($H2950," ","")," ","")&lt;&gt;SUBSTITUTE(SUBSTITUTE(INDEX(職員マスタ!$B$6:$B$405,$AN2950)," ","")," ","")),"氏名がマスタと相違／","")&amp;IF(AND($Q2950&lt;&gt;"",INDEX(職員マスタ!$E$6:$E$405,$AN2950)&lt;&gt;"",$Q2950&lt;&gt;INDEX(職員マスタ!$E$6:$E$405,$AN2950)),"子の生年月日がマスタと相違／","")&amp;IF(AND($L2950&lt;&gt;"",INDEX(職員マスタ!$G$6:$G$405,$AN2950)&lt;&gt;"",$L2950&lt;&gt;INDEX(職員マスタ!$G$6:$G$405,$AN2950)),"時短開始日がマスタと相違／","")&amp;IF(AND($M2950&lt;&gt;"",INDEX(職員マスタ!$H$6:$H$405,$AN2950)&lt;&gt;"",$M2950&lt;&gt;INDEX(職員マスタ!$H$6:$H$405,$AN2950)),"時短終了日がマスタと相違／","")))&amp;IF(AND($B2950&lt;&gt;"",$E2950=""),"報酬額が未入力／","")&amp;IF(N($U2950)&gt;0,"申請書に入力エラーが残っています／","")&amp;IF(AND($B2950&lt;&gt;"",$AO2950&lt;&gt;""),IF(COUNTIFS($B$6:$B$3005,$B2950,$C$6:$C$3005,$C2950,$D$6:$D$3005,$D2950)&gt;1,"同じ月の請求が重複しています／",""),"")&amp;IF(AND(N($E2950)&gt;0,$Z2950&lt;&gt;"",$Z2950&lt;&gt;"×",$AC2950=0,$AB2950=""),"計算額が下限以下のため不支給／",""))</f>
        <v/>
      </c>
      <c r="AL2950" s="12" t="n"/>
      <c r="AM2950" s="14">
        <f>IF($AD2950="保留中",COUNTIF($AD$6:$AD2950,"保留中"),"")</f>
        <v/>
      </c>
      <c r="AN2950" s="14">
        <f>IF($AO2950="","",IF(SUMPRODUCT(MAX((職員マスタ!$A$6:$A$405=$B2950)*(((職員マスタ!$G$6:$G$405="")+(職員マスタ!$G$6:$G$405&lt;=EOMONTH($AO2950,0)))&gt;0)*(((職員マスタ!$H$6:$H$405="")+(職員マスタ!$H$6:$H$405&gt;=$AO2950))&gt;0)*(ROW(職員マスタ!$A$6:$A$405)-5)))&gt;0,SUMPRODUCT(MAX((職員マスタ!$A$6:$A$405=$B2950)*(((職員マスタ!$G$6:$G$405="")+(職員マスタ!$G$6:$G$405&lt;=EOMONTH($AO2950,0)))&gt;0)*(((職員マスタ!$H$6:$H$405="")+(職員マスタ!$H$6:$H$405&gt;=$AO2950))&gt;0)*(ROW(職員マスタ!$A$6:$A$405)-5))),IFERROR(MATCH($B2950,職員マスタ!$A$6:$A$405,0),"")))</f>
        <v/>
      </c>
      <c r="AO2950" s="16">
        <f>IF(OR($B2950="",$C2950="",$D2950=""),"",DATE($C2950+2018,$D2950,1))</f>
        <v/>
      </c>
    </row>
    <row r="2951">
      <c r="A2951" s="11" t="n"/>
      <c r="B2951" s="12" t="n"/>
      <c r="C2951" s="12" t="n"/>
      <c r="D2951" s="12" t="n"/>
      <c r="E2951" s="13" t="n"/>
      <c r="F2951" s="12" t="n"/>
      <c r="G2951" s="13" t="n"/>
      <c r="H2951" s="12" t="n"/>
      <c r="I2951" s="12" t="n"/>
      <c r="J2951" s="12" t="n"/>
      <c r="K2951" s="12" t="n"/>
      <c r="L2951" s="11" t="n"/>
      <c r="M2951" s="11" t="n"/>
      <c r="N2951" s="11" t="n"/>
      <c r="O2951" s="11" t="n"/>
      <c r="P2951" s="12" t="n"/>
      <c r="Q2951" s="11" t="n"/>
      <c r="R2951" s="12" t="n"/>
      <c r="S2951" s="11" t="n"/>
      <c r="T2951" s="12" t="n"/>
      <c r="U2951" s="12" t="n"/>
      <c r="V2951" s="14">
        <f>IF($AN2951="",IF($B2951="","",$H2951),IF(INDEX(職員マスタ!$B$6:$B$405,$AN2951)="",$H2951,INDEX(職員マスタ!$B$6:$B$405,$AN2951)))</f>
        <v/>
      </c>
      <c r="W2951" s="14">
        <f>IF($AN2951="",IF($B2951="","",$R2951),IF(INDEX(職員マスタ!$C$6:$C$405,$AN2951)="",$R2951,INDEX(職員マスタ!$C$6:$C$405,$AN2951)))</f>
        <v/>
      </c>
      <c r="X2951" s="14">
        <f>IF($AO2951="","","R"&amp;$C2951&amp;"."&amp;$D2951)</f>
        <v/>
      </c>
      <c r="Y2951" s="15">
        <f>IF($AN2951="","",IF(INDEX(職員マスタ!$K$6:$K$405,$AN2951)="","",INDEX(職員マスタ!$K$6:$K$405,$AN2951)))</f>
        <v/>
      </c>
      <c r="Z2951" s="14">
        <f>IF(OR($E2951="",$Y2951=""),"",IF($E2951&gt;=$Y2951,"×",IF($E2951&gt;=$Y2951*設定!$C$5,"△","○")))</f>
        <v/>
      </c>
      <c r="AA2951" s="15">
        <f>IF($Z2951="","",IF($Z2951="×",0,IF($Z2951="○",ROUNDDOWN($E2951*設定!$C$4,0),ROUNDDOWN($E2951*ROUND((9*$Y2951-9*$E2951)/(10*$E2951),4),0))))</f>
        <v/>
      </c>
      <c r="AB2951" s="13" t="n"/>
      <c r="AC2951" s="15">
        <f>IF($B2951="","",IF($AB2951&lt;&gt;"",$AB2951,IF($AA2951="","",IF($AA2951&lt;=設定!$C$3,0,$AA2951))))</f>
        <v/>
      </c>
      <c r="AD2951" s="14">
        <f>IF($B2951="","",IF(AND($AE2951&lt;&gt;"",$AG2951="",$AJ2951=""),"保留中",IF($AJ2951&lt;&gt;"",IF(N($AC2951)&gt;0,"支給済","不支給"),IF($AC2951="","要確認",IF($AC2951=0,"不支給","未処理")))))</f>
        <v/>
      </c>
      <c r="AE2951" s="12" t="n"/>
      <c r="AF2951" s="11" t="n"/>
      <c r="AG2951" s="11" t="n"/>
      <c r="AH2951" s="11" t="n"/>
      <c r="AI2951" s="14">
        <f>IF(AND($AD2951="保留中",$AF2951&lt;&gt;""),TODAY()-$AF2951,"")</f>
        <v/>
      </c>
      <c r="AJ2951" s="12" t="n"/>
      <c r="AK2951" s="14">
        <f>IF($B2951="","",IF($AO2951="","対象年月が未入力／","")&amp;IF($B2951="","",IF($AN2951="","職員マスタに未登録の職員番号／",IF($Y2951="","標準報酬月額が未登録／","")&amp;IF(AND($AO2951&lt;&gt;"",OR(AND(INDEX(職員マスタ!$G$6:$G$405,$AN2951)&lt;&gt;"",INDEX(職員マスタ!$G$6:$G$405,$AN2951)&gt;EOMONTH($AO2951,0)),AND(INDEX(職員マスタ!$H$6:$H$405,$AN2951)&lt;&gt;"",INDEX(職員マスタ!$H$6:$H$405,$AN2951)&lt;$AO2951))),"対象月が時短期間外／","")&amp;IF(AND(INDEX(職員マスタ!$F$6:$F$405,$AN2951)&lt;&gt;"",$AO2951&lt;&gt;"",INDEX(職員マスタ!$F$6:$F$405,$AN2951)&lt;$AO2951),"対象月に子が2歳到達済／","")&amp;IF(AND($H2951&lt;&gt;"",INDEX(職員マスタ!$B$6:$B$405,$AN2951)&lt;&gt;"",SUBSTITUTE(SUBSTITUTE($H2951," ","")," ","")&lt;&gt;SUBSTITUTE(SUBSTITUTE(INDEX(職員マスタ!$B$6:$B$405,$AN2951)," ","")," ","")),"氏名がマスタと相違／","")&amp;IF(AND($Q2951&lt;&gt;"",INDEX(職員マスタ!$E$6:$E$405,$AN2951)&lt;&gt;"",$Q2951&lt;&gt;INDEX(職員マスタ!$E$6:$E$405,$AN2951)),"子の生年月日がマスタと相違／","")&amp;IF(AND($L2951&lt;&gt;"",INDEX(職員マスタ!$G$6:$G$405,$AN2951)&lt;&gt;"",$L2951&lt;&gt;INDEX(職員マスタ!$G$6:$G$405,$AN2951)),"時短開始日がマスタと相違／","")&amp;IF(AND($M2951&lt;&gt;"",INDEX(職員マスタ!$H$6:$H$405,$AN2951)&lt;&gt;"",$M2951&lt;&gt;INDEX(職員マスタ!$H$6:$H$405,$AN2951)),"時短終了日がマスタと相違／","")))&amp;IF(AND($B2951&lt;&gt;"",$E2951=""),"報酬額が未入力／","")&amp;IF(N($U2951)&gt;0,"申請書に入力エラーが残っています／","")&amp;IF(AND($B2951&lt;&gt;"",$AO2951&lt;&gt;""),IF(COUNTIFS($B$6:$B$3005,$B2951,$C$6:$C$3005,$C2951,$D$6:$D$3005,$D2951)&gt;1,"同じ月の請求が重複しています／",""),"")&amp;IF(AND(N($E2951)&gt;0,$Z2951&lt;&gt;"",$Z2951&lt;&gt;"×",$AC2951=0,$AB2951=""),"計算額が下限以下のため不支給／",""))</f>
        <v/>
      </c>
      <c r="AL2951" s="12" t="n"/>
      <c r="AM2951" s="14">
        <f>IF($AD2951="保留中",COUNTIF($AD$6:$AD2951,"保留中"),"")</f>
        <v/>
      </c>
      <c r="AN2951" s="14">
        <f>IF($AO2951="","",IF(SUMPRODUCT(MAX((職員マスタ!$A$6:$A$405=$B2951)*(((職員マスタ!$G$6:$G$405="")+(職員マスタ!$G$6:$G$405&lt;=EOMONTH($AO2951,0)))&gt;0)*(((職員マスタ!$H$6:$H$405="")+(職員マスタ!$H$6:$H$405&gt;=$AO2951))&gt;0)*(ROW(職員マスタ!$A$6:$A$405)-5)))&gt;0,SUMPRODUCT(MAX((職員マスタ!$A$6:$A$405=$B2951)*(((職員マスタ!$G$6:$G$405="")+(職員マスタ!$G$6:$G$405&lt;=EOMONTH($AO2951,0)))&gt;0)*(((職員マスタ!$H$6:$H$405="")+(職員マスタ!$H$6:$H$405&gt;=$AO2951))&gt;0)*(ROW(職員マスタ!$A$6:$A$405)-5))),IFERROR(MATCH($B2951,職員マスタ!$A$6:$A$405,0),"")))</f>
        <v/>
      </c>
      <c r="AO2951" s="16">
        <f>IF(OR($B2951="",$C2951="",$D2951=""),"",DATE($C2951+2018,$D2951,1))</f>
        <v/>
      </c>
    </row>
    <row r="2952">
      <c r="A2952" s="11" t="n"/>
      <c r="B2952" s="12" t="n"/>
      <c r="C2952" s="12" t="n"/>
      <c r="D2952" s="12" t="n"/>
      <c r="E2952" s="13" t="n"/>
      <c r="F2952" s="12" t="n"/>
      <c r="G2952" s="13" t="n"/>
      <c r="H2952" s="12" t="n"/>
      <c r="I2952" s="12" t="n"/>
      <c r="J2952" s="12" t="n"/>
      <c r="K2952" s="12" t="n"/>
      <c r="L2952" s="11" t="n"/>
      <c r="M2952" s="11" t="n"/>
      <c r="N2952" s="11" t="n"/>
      <c r="O2952" s="11" t="n"/>
      <c r="P2952" s="12" t="n"/>
      <c r="Q2952" s="11" t="n"/>
      <c r="R2952" s="12" t="n"/>
      <c r="S2952" s="11" t="n"/>
      <c r="T2952" s="12" t="n"/>
      <c r="U2952" s="12" t="n"/>
      <c r="V2952" s="14">
        <f>IF($AN2952="",IF($B2952="","",$H2952),IF(INDEX(職員マスタ!$B$6:$B$405,$AN2952)="",$H2952,INDEX(職員マスタ!$B$6:$B$405,$AN2952)))</f>
        <v/>
      </c>
      <c r="W2952" s="14">
        <f>IF($AN2952="",IF($B2952="","",$R2952),IF(INDEX(職員マスタ!$C$6:$C$405,$AN2952)="",$R2952,INDEX(職員マスタ!$C$6:$C$405,$AN2952)))</f>
        <v/>
      </c>
      <c r="X2952" s="14">
        <f>IF($AO2952="","","R"&amp;$C2952&amp;"."&amp;$D2952)</f>
        <v/>
      </c>
      <c r="Y2952" s="15">
        <f>IF($AN2952="","",IF(INDEX(職員マスタ!$K$6:$K$405,$AN2952)="","",INDEX(職員マスタ!$K$6:$K$405,$AN2952)))</f>
        <v/>
      </c>
      <c r="Z2952" s="14">
        <f>IF(OR($E2952="",$Y2952=""),"",IF($E2952&gt;=$Y2952,"×",IF($E2952&gt;=$Y2952*設定!$C$5,"△","○")))</f>
        <v/>
      </c>
      <c r="AA2952" s="15">
        <f>IF($Z2952="","",IF($Z2952="×",0,IF($Z2952="○",ROUNDDOWN($E2952*設定!$C$4,0),ROUNDDOWN($E2952*ROUND((9*$Y2952-9*$E2952)/(10*$E2952),4),0))))</f>
        <v/>
      </c>
      <c r="AB2952" s="13" t="n"/>
      <c r="AC2952" s="15">
        <f>IF($B2952="","",IF($AB2952&lt;&gt;"",$AB2952,IF($AA2952="","",IF($AA2952&lt;=設定!$C$3,0,$AA2952))))</f>
        <v/>
      </c>
      <c r="AD2952" s="14">
        <f>IF($B2952="","",IF(AND($AE2952&lt;&gt;"",$AG2952="",$AJ2952=""),"保留中",IF($AJ2952&lt;&gt;"",IF(N($AC2952)&gt;0,"支給済","不支給"),IF($AC2952="","要確認",IF($AC2952=0,"不支給","未処理")))))</f>
        <v/>
      </c>
      <c r="AE2952" s="12" t="n"/>
      <c r="AF2952" s="11" t="n"/>
      <c r="AG2952" s="11" t="n"/>
      <c r="AH2952" s="11" t="n"/>
      <c r="AI2952" s="14">
        <f>IF(AND($AD2952="保留中",$AF2952&lt;&gt;""),TODAY()-$AF2952,"")</f>
        <v/>
      </c>
      <c r="AJ2952" s="12" t="n"/>
      <c r="AK2952" s="14">
        <f>IF($B2952="","",IF($AO2952="","対象年月が未入力／","")&amp;IF($B2952="","",IF($AN2952="","職員マスタに未登録の職員番号／",IF($Y2952="","標準報酬月額が未登録／","")&amp;IF(AND($AO2952&lt;&gt;"",OR(AND(INDEX(職員マスタ!$G$6:$G$405,$AN2952)&lt;&gt;"",INDEX(職員マスタ!$G$6:$G$405,$AN2952)&gt;EOMONTH($AO2952,0)),AND(INDEX(職員マスタ!$H$6:$H$405,$AN2952)&lt;&gt;"",INDEX(職員マスタ!$H$6:$H$405,$AN2952)&lt;$AO2952))),"対象月が時短期間外／","")&amp;IF(AND(INDEX(職員マスタ!$F$6:$F$405,$AN2952)&lt;&gt;"",$AO2952&lt;&gt;"",INDEX(職員マスタ!$F$6:$F$405,$AN2952)&lt;$AO2952),"対象月に子が2歳到達済／","")&amp;IF(AND($H2952&lt;&gt;"",INDEX(職員マスタ!$B$6:$B$405,$AN2952)&lt;&gt;"",SUBSTITUTE(SUBSTITUTE($H2952," ","")," ","")&lt;&gt;SUBSTITUTE(SUBSTITUTE(INDEX(職員マスタ!$B$6:$B$405,$AN2952)," ","")," ","")),"氏名がマスタと相違／","")&amp;IF(AND($Q2952&lt;&gt;"",INDEX(職員マスタ!$E$6:$E$405,$AN2952)&lt;&gt;"",$Q2952&lt;&gt;INDEX(職員マスタ!$E$6:$E$405,$AN2952)),"子の生年月日がマスタと相違／","")&amp;IF(AND($L2952&lt;&gt;"",INDEX(職員マスタ!$G$6:$G$405,$AN2952)&lt;&gt;"",$L2952&lt;&gt;INDEX(職員マスタ!$G$6:$G$405,$AN2952)),"時短開始日がマスタと相違／","")&amp;IF(AND($M2952&lt;&gt;"",INDEX(職員マスタ!$H$6:$H$405,$AN2952)&lt;&gt;"",$M2952&lt;&gt;INDEX(職員マスタ!$H$6:$H$405,$AN2952)),"時短終了日がマスタと相違／","")))&amp;IF(AND($B2952&lt;&gt;"",$E2952=""),"報酬額が未入力／","")&amp;IF(N($U2952)&gt;0,"申請書に入力エラーが残っています／","")&amp;IF(AND($B2952&lt;&gt;"",$AO2952&lt;&gt;""),IF(COUNTIFS($B$6:$B$3005,$B2952,$C$6:$C$3005,$C2952,$D$6:$D$3005,$D2952)&gt;1,"同じ月の請求が重複しています／",""),"")&amp;IF(AND(N($E2952)&gt;0,$Z2952&lt;&gt;"",$Z2952&lt;&gt;"×",$AC2952=0,$AB2952=""),"計算額が下限以下のため不支給／",""))</f>
        <v/>
      </c>
      <c r="AL2952" s="12" t="n"/>
      <c r="AM2952" s="14">
        <f>IF($AD2952="保留中",COUNTIF($AD$6:$AD2952,"保留中"),"")</f>
        <v/>
      </c>
      <c r="AN2952" s="14">
        <f>IF($AO2952="","",IF(SUMPRODUCT(MAX((職員マスタ!$A$6:$A$405=$B2952)*(((職員マスタ!$G$6:$G$405="")+(職員マスタ!$G$6:$G$405&lt;=EOMONTH($AO2952,0)))&gt;0)*(((職員マスタ!$H$6:$H$405="")+(職員マスタ!$H$6:$H$405&gt;=$AO2952))&gt;0)*(ROW(職員マスタ!$A$6:$A$405)-5)))&gt;0,SUMPRODUCT(MAX((職員マスタ!$A$6:$A$405=$B2952)*(((職員マスタ!$G$6:$G$405="")+(職員マスタ!$G$6:$G$405&lt;=EOMONTH($AO2952,0)))&gt;0)*(((職員マスタ!$H$6:$H$405="")+(職員マスタ!$H$6:$H$405&gt;=$AO2952))&gt;0)*(ROW(職員マスタ!$A$6:$A$405)-5))),IFERROR(MATCH($B2952,職員マスタ!$A$6:$A$405,0),"")))</f>
        <v/>
      </c>
      <c r="AO2952" s="16">
        <f>IF(OR($B2952="",$C2952="",$D2952=""),"",DATE($C2952+2018,$D2952,1))</f>
        <v/>
      </c>
    </row>
    <row r="2953">
      <c r="A2953" s="11" t="n"/>
      <c r="B2953" s="12" t="n"/>
      <c r="C2953" s="12" t="n"/>
      <c r="D2953" s="12" t="n"/>
      <c r="E2953" s="13" t="n"/>
      <c r="F2953" s="12" t="n"/>
      <c r="G2953" s="13" t="n"/>
      <c r="H2953" s="12" t="n"/>
      <c r="I2953" s="12" t="n"/>
      <c r="J2953" s="12" t="n"/>
      <c r="K2953" s="12" t="n"/>
      <c r="L2953" s="11" t="n"/>
      <c r="M2953" s="11" t="n"/>
      <c r="N2953" s="11" t="n"/>
      <c r="O2953" s="11" t="n"/>
      <c r="P2953" s="12" t="n"/>
      <c r="Q2953" s="11" t="n"/>
      <c r="R2953" s="12" t="n"/>
      <c r="S2953" s="11" t="n"/>
      <c r="T2953" s="12" t="n"/>
      <c r="U2953" s="12" t="n"/>
      <c r="V2953" s="14">
        <f>IF($AN2953="",IF($B2953="","",$H2953),IF(INDEX(職員マスタ!$B$6:$B$405,$AN2953)="",$H2953,INDEX(職員マスタ!$B$6:$B$405,$AN2953)))</f>
        <v/>
      </c>
      <c r="W2953" s="14">
        <f>IF($AN2953="",IF($B2953="","",$R2953),IF(INDEX(職員マスタ!$C$6:$C$405,$AN2953)="",$R2953,INDEX(職員マスタ!$C$6:$C$405,$AN2953)))</f>
        <v/>
      </c>
      <c r="X2953" s="14">
        <f>IF($AO2953="","","R"&amp;$C2953&amp;"."&amp;$D2953)</f>
        <v/>
      </c>
      <c r="Y2953" s="15">
        <f>IF($AN2953="","",IF(INDEX(職員マスタ!$K$6:$K$405,$AN2953)="","",INDEX(職員マスタ!$K$6:$K$405,$AN2953)))</f>
        <v/>
      </c>
      <c r="Z2953" s="14">
        <f>IF(OR($E2953="",$Y2953=""),"",IF($E2953&gt;=$Y2953,"×",IF($E2953&gt;=$Y2953*設定!$C$5,"△","○")))</f>
        <v/>
      </c>
      <c r="AA2953" s="15">
        <f>IF($Z2953="","",IF($Z2953="×",0,IF($Z2953="○",ROUNDDOWN($E2953*設定!$C$4,0),ROUNDDOWN($E2953*ROUND((9*$Y2953-9*$E2953)/(10*$E2953),4),0))))</f>
        <v/>
      </c>
      <c r="AB2953" s="13" t="n"/>
      <c r="AC2953" s="15">
        <f>IF($B2953="","",IF($AB2953&lt;&gt;"",$AB2953,IF($AA2953="","",IF($AA2953&lt;=設定!$C$3,0,$AA2953))))</f>
        <v/>
      </c>
      <c r="AD2953" s="14">
        <f>IF($B2953="","",IF(AND($AE2953&lt;&gt;"",$AG2953="",$AJ2953=""),"保留中",IF($AJ2953&lt;&gt;"",IF(N($AC2953)&gt;0,"支給済","不支給"),IF($AC2953="","要確認",IF($AC2953=0,"不支給","未処理")))))</f>
        <v/>
      </c>
      <c r="AE2953" s="12" t="n"/>
      <c r="AF2953" s="11" t="n"/>
      <c r="AG2953" s="11" t="n"/>
      <c r="AH2953" s="11" t="n"/>
      <c r="AI2953" s="14">
        <f>IF(AND($AD2953="保留中",$AF2953&lt;&gt;""),TODAY()-$AF2953,"")</f>
        <v/>
      </c>
      <c r="AJ2953" s="12" t="n"/>
      <c r="AK2953" s="14">
        <f>IF($B2953="","",IF($AO2953="","対象年月が未入力／","")&amp;IF($B2953="","",IF($AN2953="","職員マスタに未登録の職員番号／",IF($Y2953="","標準報酬月額が未登録／","")&amp;IF(AND($AO2953&lt;&gt;"",OR(AND(INDEX(職員マスタ!$G$6:$G$405,$AN2953)&lt;&gt;"",INDEX(職員マスタ!$G$6:$G$405,$AN2953)&gt;EOMONTH($AO2953,0)),AND(INDEX(職員マスタ!$H$6:$H$405,$AN2953)&lt;&gt;"",INDEX(職員マスタ!$H$6:$H$405,$AN2953)&lt;$AO2953))),"対象月が時短期間外／","")&amp;IF(AND(INDEX(職員マスタ!$F$6:$F$405,$AN2953)&lt;&gt;"",$AO2953&lt;&gt;"",INDEX(職員マスタ!$F$6:$F$405,$AN2953)&lt;$AO2953),"対象月に子が2歳到達済／","")&amp;IF(AND($H2953&lt;&gt;"",INDEX(職員マスタ!$B$6:$B$405,$AN2953)&lt;&gt;"",SUBSTITUTE(SUBSTITUTE($H2953," ","")," ","")&lt;&gt;SUBSTITUTE(SUBSTITUTE(INDEX(職員マスタ!$B$6:$B$405,$AN2953)," ","")," ","")),"氏名がマスタと相違／","")&amp;IF(AND($Q2953&lt;&gt;"",INDEX(職員マスタ!$E$6:$E$405,$AN2953)&lt;&gt;"",$Q2953&lt;&gt;INDEX(職員マスタ!$E$6:$E$405,$AN2953)),"子の生年月日がマスタと相違／","")&amp;IF(AND($L2953&lt;&gt;"",INDEX(職員マスタ!$G$6:$G$405,$AN2953)&lt;&gt;"",$L2953&lt;&gt;INDEX(職員マスタ!$G$6:$G$405,$AN2953)),"時短開始日がマスタと相違／","")&amp;IF(AND($M2953&lt;&gt;"",INDEX(職員マスタ!$H$6:$H$405,$AN2953)&lt;&gt;"",$M2953&lt;&gt;INDEX(職員マスタ!$H$6:$H$405,$AN2953)),"時短終了日がマスタと相違／","")))&amp;IF(AND($B2953&lt;&gt;"",$E2953=""),"報酬額が未入力／","")&amp;IF(N($U2953)&gt;0,"申請書に入力エラーが残っています／","")&amp;IF(AND($B2953&lt;&gt;"",$AO2953&lt;&gt;""),IF(COUNTIFS($B$6:$B$3005,$B2953,$C$6:$C$3005,$C2953,$D$6:$D$3005,$D2953)&gt;1,"同じ月の請求が重複しています／",""),"")&amp;IF(AND(N($E2953)&gt;0,$Z2953&lt;&gt;"",$Z2953&lt;&gt;"×",$AC2953=0,$AB2953=""),"計算額が下限以下のため不支給／",""))</f>
        <v/>
      </c>
      <c r="AL2953" s="12" t="n"/>
      <c r="AM2953" s="14">
        <f>IF($AD2953="保留中",COUNTIF($AD$6:$AD2953,"保留中"),"")</f>
        <v/>
      </c>
      <c r="AN2953" s="14">
        <f>IF($AO2953="","",IF(SUMPRODUCT(MAX((職員マスタ!$A$6:$A$405=$B2953)*(((職員マスタ!$G$6:$G$405="")+(職員マスタ!$G$6:$G$405&lt;=EOMONTH($AO2953,0)))&gt;0)*(((職員マスタ!$H$6:$H$405="")+(職員マスタ!$H$6:$H$405&gt;=$AO2953))&gt;0)*(ROW(職員マスタ!$A$6:$A$405)-5)))&gt;0,SUMPRODUCT(MAX((職員マスタ!$A$6:$A$405=$B2953)*(((職員マスタ!$G$6:$G$405="")+(職員マスタ!$G$6:$G$405&lt;=EOMONTH($AO2953,0)))&gt;0)*(((職員マスタ!$H$6:$H$405="")+(職員マスタ!$H$6:$H$405&gt;=$AO2953))&gt;0)*(ROW(職員マスタ!$A$6:$A$405)-5))),IFERROR(MATCH($B2953,職員マスタ!$A$6:$A$405,0),"")))</f>
        <v/>
      </c>
      <c r="AO2953" s="16">
        <f>IF(OR($B2953="",$C2953="",$D2953=""),"",DATE($C2953+2018,$D2953,1))</f>
        <v/>
      </c>
    </row>
    <row r="2954">
      <c r="A2954" s="11" t="n"/>
      <c r="B2954" s="12" t="n"/>
      <c r="C2954" s="12" t="n"/>
      <c r="D2954" s="12" t="n"/>
      <c r="E2954" s="13" t="n"/>
      <c r="F2954" s="12" t="n"/>
      <c r="G2954" s="13" t="n"/>
      <c r="H2954" s="12" t="n"/>
      <c r="I2954" s="12" t="n"/>
      <c r="J2954" s="12" t="n"/>
      <c r="K2954" s="12" t="n"/>
      <c r="L2954" s="11" t="n"/>
      <c r="M2954" s="11" t="n"/>
      <c r="N2954" s="11" t="n"/>
      <c r="O2954" s="11" t="n"/>
      <c r="P2954" s="12" t="n"/>
      <c r="Q2954" s="11" t="n"/>
      <c r="R2954" s="12" t="n"/>
      <c r="S2954" s="11" t="n"/>
      <c r="T2954" s="12" t="n"/>
      <c r="U2954" s="12" t="n"/>
      <c r="V2954" s="14">
        <f>IF($AN2954="",IF($B2954="","",$H2954),IF(INDEX(職員マスタ!$B$6:$B$405,$AN2954)="",$H2954,INDEX(職員マスタ!$B$6:$B$405,$AN2954)))</f>
        <v/>
      </c>
      <c r="W2954" s="14">
        <f>IF($AN2954="",IF($B2954="","",$R2954),IF(INDEX(職員マスタ!$C$6:$C$405,$AN2954)="",$R2954,INDEX(職員マスタ!$C$6:$C$405,$AN2954)))</f>
        <v/>
      </c>
      <c r="X2954" s="14">
        <f>IF($AO2954="","","R"&amp;$C2954&amp;"."&amp;$D2954)</f>
        <v/>
      </c>
      <c r="Y2954" s="15">
        <f>IF($AN2954="","",IF(INDEX(職員マスタ!$K$6:$K$405,$AN2954)="","",INDEX(職員マスタ!$K$6:$K$405,$AN2954)))</f>
        <v/>
      </c>
      <c r="Z2954" s="14">
        <f>IF(OR($E2954="",$Y2954=""),"",IF($E2954&gt;=$Y2954,"×",IF($E2954&gt;=$Y2954*設定!$C$5,"△","○")))</f>
        <v/>
      </c>
      <c r="AA2954" s="15">
        <f>IF($Z2954="","",IF($Z2954="×",0,IF($Z2954="○",ROUNDDOWN($E2954*設定!$C$4,0),ROUNDDOWN($E2954*ROUND((9*$Y2954-9*$E2954)/(10*$E2954),4),0))))</f>
        <v/>
      </c>
      <c r="AB2954" s="13" t="n"/>
      <c r="AC2954" s="15">
        <f>IF($B2954="","",IF($AB2954&lt;&gt;"",$AB2954,IF($AA2954="","",IF($AA2954&lt;=設定!$C$3,0,$AA2954))))</f>
        <v/>
      </c>
      <c r="AD2954" s="14">
        <f>IF($B2954="","",IF(AND($AE2954&lt;&gt;"",$AG2954="",$AJ2954=""),"保留中",IF($AJ2954&lt;&gt;"",IF(N($AC2954)&gt;0,"支給済","不支給"),IF($AC2954="","要確認",IF($AC2954=0,"不支給","未処理")))))</f>
        <v/>
      </c>
      <c r="AE2954" s="12" t="n"/>
      <c r="AF2954" s="11" t="n"/>
      <c r="AG2954" s="11" t="n"/>
      <c r="AH2954" s="11" t="n"/>
      <c r="AI2954" s="14">
        <f>IF(AND($AD2954="保留中",$AF2954&lt;&gt;""),TODAY()-$AF2954,"")</f>
        <v/>
      </c>
      <c r="AJ2954" s="12" t="n"/>
      <c r="AK2954" s="14">
        <f>IF($B2954="","",IF($AO2954="","対象年月が未入力／","")&amp;IF($B2954="","",IF($AN2954="","職員マスタに未登録の職員番号／",IF($Y2954="","標準報酬月額が未登録／","")&amp;IF(AND($AO2954&lt;&gt;"",OR(AND(INDEX(職員マスタ!$G$6:$G$405,$AN2954)&lt;&gt;"",INDEX(職員マスタ!$G$6:$G$405,$AN2954)&gt;EOMONTH($AO2954,0)),AND(INDEX(職員マスタ!$H$6:$H$405,$AN2954)&lt;&gt;"",INDEX(職員マスタ!$H$6:$H$405,$AN2954)&lt;$AO2954))),"対象月が時短期間外／","")&amp;IF(AND(INDEX(職員マスタ!$F$6:$F$405,$AN2954)&lt;&gt;"",$AO2954&lt;&gt;"",INDEX(職員マスタ!$F$6:$F$405,$AN2954)&lt;$AO2954),"対象月に子が2歳到達済／","")&amp;IF(AND($H2954&lt;&gt;"",INDEX(職員マスタ!$B$6:$B$405,$AN2954)&lt;&gt;"",SUBSTITUTE(SUBSTITUTE($H2954," ","")," ","")&lt;&gt;SUBSTITUTE(SUBSTITUTE(INDEX(職員マスタ!$B$6:$B$405,$AN2954)," ","")," ","")),"氏名がマスタと相違／","")&amp;IF(AND($Q2954&lt;&gt;"",INDEX(職員マスタ!$E$6:$E$405,$AN2954)&lt;&gt;"",$Q2954&lt;&gt;INDEX(職員マスタ!$E$6:$E$405,$AN2954)),"子の生年月日がマスタと相違／","")&amp;IF(AND($L2954&lt;&gt;"",INDEX(職員マスタ!$G$6:$G$405,$AN2954)&lt;&gt;"",$L2954&lt;&gt;INDEX(職員マスタ!$G$6:$G$405,$AN2954)),"時短開始日がマスタと相違／","")&amp;IF(AND($M2954&lt;&gt;"",INDEX(職員マスタ!$H$6:$H$405,$AN2954)&lt;&gt;"",$M2954&lt;&gt;INDEX(職員マスタ!$H$6:$H$405,$AN2954)),"時短終了日がマスタと相違／","")))&amp;IF(AND($B2954&lt;&gt;"",$E2954=""),"報酬額が未入力／","")&amp;IF(N($U2954)&gt;0,"申請書に入力エラーが残っています／","")&amp;IF(AND($B2954&lt;&gt;"",$AO2954&lt;&gt;""),IF(COUNTIFS($B$6:$B$3005,$B2954,$C$6:$C$3005,$C2954,$D$6:$D$3005,$D2954)&gt;1,"同じ月の請求が重複しています／",""),"")&amp;IF(AND(N($E2954)&gt;0,$Z2954&lt;&gt;"",$Z2954&lt;&gt;"×",$AC2954=0,$AB2954=""),"計算額が下限以下のため不支給／",""))</f>
        <v/>
      </c>
      <c r="AL2954" s="12" t="n"/>
      <c r="AM2954" s="14">
        <f>IF($AD2954="保留中",COUNTIF($AD$6:$AD2954,"保留中"),"")</f>
        <v/>
      </c>
      <c r="AN2954" s="14">
        <f>IF($AO2954="","",IF(SUMPRODUCT(MAX((職員マスタ!$A$6:$A$405=$B2954)*(((職員マスタ!$G$6:$G$405="")+(職員マスタ!$G$6:$G$405&lt;=EOMONTH($AO2954,0)))&gt;0)*(((職員マスタ!$H$6:$H$405="")+(職員マスタ!$H$6:$H$405&gt;=$AO2954))&gt;0)*(ROW(職員マスタ!$A$6:$A$405)-5)))&gt;0,SUMPRODUCT(MAX((職員マスタ!$A$6:$A$405=$B2954)*(((職員マスタ!$G$6:$G$405="")+(職員マスタ!$G$6:$G$405&lt;=EOMONTH($AO2954,0)))&gt;0)*(((職員マスタ!$H$6:$H$405="")+(職員マスタ!$H$6:$H$405&gt;=$AO2954))&gt;0)*(ROW(職員マスタ!$A$6:$A$405)-5))),IFERROR(MATCH($B2954,職員マスタ!$A$6:$A$405,0),"")))</f>
        <v/>
      </c>
      <c r="AO2954" s="16">
        <f>IF(OR($B2954="",$C2954="",$D2954=""),"",DATE($C2954+2018,$D2954,1))</f>
        <v/>
      </c>
    </row>
    <row r="2955">
      <c r="A2955" s="11" t="n"/>
      <c r="B2955" s="12" t="n"/>
      <c r="C2955" s="12" t="n"/>
      <c r="D2955" s="12" t="n"/>
      <c r="E2955" s="13" t="n"/>
      <c r="F2955" s="12" t="n"/>
      <c r="G2955" s="13" t="n"/>
      <c r="H2955" s="12" t="n"/>
      <c r="I2955" s="12" t="n"/>
      <c r="J2955" s="12" t="n"/>
      <c r="K2955" s="12" t="n"/>
      <c r="L2955" s="11" t="n"/>
      <c r="M2955" s="11" t="n"/>
      <c r="N2955" s="11" t="n"/>
      <c r="O2955" s="11" t="n"/>
      <c r="P2955" s="12" t="n"/>
      <c r="Q2955" s="11" t="n"/>
      <c r="R2955" s="12" t="n"/>
      <c r="S2955" s="11" t="n"/>
      <c r="T2955" s="12" t="n"/>
      <c r="U2955" s="12" t="n"/>
      <c r="V2955" s="14">
        <f>IF($AN2955="",IF($B2955="","",$H2955),IF(INDEX(職員マスタ!$B$6:$B$405,$AN2955)="",$H2955,INDEX(職員マスタ!$B$6:$B$405,$AN2955)))</f>
        <v/>
      </c>
      <c r="W2955" s="14">
        <f>IF($AN2955="",IF($B2955="","",$R2955),IF(INDEX(職員マスタ!$C$6:$C$405,$AN2955)="",$R2955,INDEX(職員マスタ!$C$6:$C$405,$AN2955)))</f>
        <v/>
      </c>
      <c r="X2955" s="14">
        <f>IF($AO2955="","","R"&amp;$C2955&amp;"."&amp;$D2955)</f>
        <v/>
      </c>
      <c r="Y2955" s="15">
        <f>IF($AN2955="","",IF(INDEX(職員マスタ!$K$6:$K$405,$AN2955)="","",INDEX(職員マスタ!$K$6:$K$405,$AN2955)))</f>
        <v/>
      </c>
      <c r="Z2955" s="14">
        <f>IF(OR($E2955="",$Y2955=""),"",IF($E2955&gt;=$Y2955,"×",IF($E2955&gt;=$Y2955*設定!$C$5,"△","○")))</f>
        <v/>
      </c>
      <c r="AA2955" s="15">
        <f>IF($Z2955="","",IF($Z2955="×",0,IF($Z2955="○",ROUNDDOWN($E2955*設定!$C$4,0),ROUNDDOWN($E2955*ROUND((9*$Y2955-9*$E2955)/(10*$E2955),4),0))))</f>
        <v/>
      </c>
      <c r="AB2955" s="13" t="n"/>
      <c r="AC2955" s="15">
        <f>IF($B2955="","",IF($AB2955&lt;&gt;"",$AB2955,IF($AA2955="","",IF($AA2955&lt;=設定!$C$3,0,$AA2955))))</f>
        <v/>
      </c>
      <c r="AD2955" s="14">
        <f>IF($B2955="","",IF(AND($AE2955&lt;&gt;"",$AG2955="",$AJ2955=""),"保留中",IF($AJ2955&lt;&gt;"",IF(N($AC2955)&gt;0,"支給済","不支給"),IF($AC2955="","要確認",IF($AC2955=0,"不支給","未処理")))))</f>
        <v/>
      </c>
      <c r="AE2955" s="12" t="n"/>
      <c r="AF2955" s="11" t="n"/>
      <c r="AG2955" s="11" t="n"/>
      <c r="AH2955" s="11" t="n"/>
      <c r="AI2955" s="14">
        <f>IF(AND($AD2955="保留中",$AF2955&lt;&gt;""),TODAY()-$AF2955,"")</f>
        <v/>
      </c>
      <c r="AJ2955" s="12" t="n"/>
      <c r="AK2955" s="14">
        <f>IF($B2955="","",IF($AO2955="","対象年月が未入力／","")&amp;IF($B2955="","",IF($AN2955="","職員マスタに未登録の職員番号／",IF($Y2955="","標準報酬月額が未登録／","")&amp;IF(AND($AO2955&lt;&gt;"",OR(AND(INDEX(職員マスタ!$G$6:$G$405,$AN2955)&lt;&gt;"",INDEX(職員マスタ!$G$6:$G$405,$AN2955)&gt;EOMONTH($AO2955,0)),AND(INDEX(職員マスタ!$H$6:$H$405,$AN2955)&lt;&gt;"",INDEX(職員マスタ!$H$6:$H$405,$AN2955)&lt;$AO2955))),"対象月が時短期間外／","")&amp;IF(AND(INDEX(職員マスタ!$F$6:$F$405,$AN2955)&lt;&gt;"",$AO2955&lt;&gt;"",INDEX(職員マスタ!$F$6:$F$405,$AN2955)&lt;$AO2955),"対象月に子が2歳到達済／","")&amp;IF(AND($H2955&lt;&gt;"",INDEX(職員マスタ!$B$6:$B$405,$AN2955)&lt;&gt;"",SUBSTITUTE(SUBSTITUTE($H2955," ","")," ","")&lt;&gt;SUBSTITUTE(SUBSTITUTE(INDEX(職員マスタ!$B$6:$B$405,$AN2955)," ","")," ","")),"氏名がマスタと相違／","")&amp;IF(AND($Q2955&lt;&gt;"",INDEX(職員マスタ!$E$6:$E$405,$AN2955)&lt;&gt;"",$Q2955&lt;&gt;INDEX(職員マスタ!$E$6:$E$405,$AN2955)),"子の生年月日がマスタと相違／","")&amp;IF(AND($L2955&lt;&gt;"",INDEX(職員マスタ!$G$6:$G$405,$AN2955)&lt;&gt;"",$L2955&lt;&gt;INDEX(職員マスタ!$G$6:$G$405,$AN2955)),"時短開始日がマスタと相違／","")&amp;IF(AND($M2955&lt;&gt;"",INDEX(職員マスタ!$H$6:$H$405,$AN2955)&lt;&gt;"",$M2955&lt;&gt;INDEX(職員マスタ!$H$6:$H$405,$AN2955)),"時短終了日がマスタと相違／","")))&amp;IF(AND($B2955&lt;&gt;"",$E2955=""),"報酬額が未入力／","")&amp;IF(N($U2955)&gt;0,"申請書に入力エラーが残っています／","")&amp;IF(AND($B2955&lt;&gt;"",$AO2955&lt;&gt;""),IF(COUNTIFS($B$6:$B$3005,$B2955,$C$6:$C$3005,$C2955,$D$6:$D$3005,$D2955)&gt;1,"同じ月の請求が重複しています／",""),"")&amp;IF(AND(N($E2955)&gt;0,$Z2955&lt;&gt;"",$Z2955&lt;&gt;"×",$AC2955=0,$AB2955=""),"計算額が下限以下のため不支給／",""))</f>
        <v/>
      </c>
      <c r="AL2955" s="12" t="n"/>
      <c r="AM2955" s="14">
        <f>IF($AD2955="保留中",COUNTIF($AD$6:$AD2955,"保留中"),"")</f>
        <v/>
      </c>
      <c r="AN2955" s="14">
        <f>IF($AO2955="","",IF(SUMPRODUCT(MAX((職員マスタ!$A$6:$A$405=$B2955)*(((職員マスタ!$G$6:$G$405="")+(職員マスタ!$G$6:$G$405&lt;=EOMONTH($AO2955,0)))&gt;0)*(((職員マスタ!$H$6:$H$405="")+(職員マスタ!$H$6:$H$405&gt;=$AO2955))&gt;0)*(ROW(職員マスタ!$A$6:$A$405)-5)))&gt;0,SUMPRODUCT(MAX((職員マスタ!$A$6:$A$405=$B2955)*(((職員マスタ!$G$6:$G$405="")+(職員マスタ!$G$6:$G$405&lt;=EOMONTH($AO2955,0)))&gt;0)*(((職員マスタ!$H$6:$H$405="")+(職員マスタ!$H$6:$H$405&gt;=$AO2955))&gt;0)*(ROW(職員マスタ!$A$6:$A$405)-5))),IFERROR(MATCH($B2955,職員マスタ!$A$6:$A$405,0),"")))</f>
        <v/>
      </c>
      <c r="AO2955" s="16">
        <f>IF(OR($B2955="",$C2955="",$D2955=""),"",DATE($C2955+2018,$D2955,1))</f>
        <v/>
      </c>
    </row>
    <row r="2956">
      <c r="A2956" s="11" t="n"/>
      <c r="B2956" s="12" t="n"/>
      <c r="C2956" s="12" t="n"/>
      <c r="D2956" s="12" t="n"/>
      <c r="E2956" s="13" t="n"/>
      <c r="F2956" s="12" t="n"/>
      <c r="G2956" s="13" t="n"/>
      <c r="H2956" s="12" t="n"/>
      <c r="I2956" s="12" t="n"/>
      <c r="J2956" s="12" t="n"/>
      <c r="K2956" s="12" t="n"/>
      <c r="L2956" s="11" t="n"/>
      <c r="M2956" s="11" t="n"/>
      <c r="N2956" s="11" t="n"/>
      <c r="O2956" s="11" t="n"/>
      <c r="P2956" s="12" t="n"/>
      <c r="Q2956" s="11" t="n"/>
      <c r="R2956" s="12" t="n"/>
      <c r="S2956" s="11" t="n"/>
      <c r="T2956" s="12" t="n"/>
      <c r="U2956" s="12" t="n"/>
      <c r="V2956" s="14">
        <f>IF($AN2956="",IF($B2956="","",$H2956),IF(INDEX(職員マスタ!$B$6:$B$405,$AN2956)="",$H2956,INDEX(職員マスタ!$B$6:$B$405,$AN2956)))</f>
        <v/>
      </c>
      <c r="W2956" s="14">
        <f>IF($AN2956="",IF($B2956="","",$R2956),IF(INDEX(職員マスタ!$C$6:$C$405,$AN2956)="",$R2956,INDEX(職員マスタ!$C$6:$C$405,$AN2956)))</f>
        <v/>
      </c>
      <c r="X2956" s="14">
        <f>IF($AO2956="","","R"&amp;$C2956&amp;"."&amp;$D2956)</f>
        <v/>
      </c>
      <c r="Y2956" s="15">
        <f>IF($AN2956="","",IF(INDEX(職員マスタ!$K$6:$K$405,$AN2956)="","",INDEX(職員マスタ!$K$6:$K$405,$AN2956)))</f>
        <v/>
      </c>
      <c r="Z2956" s="14">
        <f>IF(OR($E2956="",$Y2956=""),"",IF($E2956&gt;=$Y2956,"×",IF($E2956&gt;=$Y2956*設定!$C$5,"△","○")))</f>
        <v/>
      </c>
      <c r="AA2956" s="15">
        <f>IF($Z2956="","",IF($Z2956="×",0,IF($Z2956="○",ROUNDDOWN($E2956*設定!$C$4,0),ROUNDDOWN($E2956*ROUND((9*$Y2956-9*$E2956)/(10*$E2956),4),0))))</f>
        <v/>
      </c>
      <c r="AB2956" s="13" t="n"/>
      <c r="AC2956" s="15">
        <f>IF($B2956="","",IF($AB2956&lt;&gt;"",$AB2956,IF($AA2956="","",IF($AA2956&lt;=設定!$C$3,0,$AA2956))))</f>
        <v/>
      </c>
      <c r="AD2956" s="14">
        <f>IF($B2956="","",IF(AND($AE2956&lt;&gt;"",$AG2956="",$AJ2956=""),"保留中",IF($AJ2956&lt;&gt;"",IF(N($AC2956)&gt;0,"支給済","不支給"),IF($AC2956="","要確認",IF($AC2956=0,"不支給","未処理")))))</f>
        <v/>
      </c>
      <c r="AE2956" s="12" t="n"/>
      <c r="AF2956" s="11" t="n"/>
      <c r="AG2956" s="11" t="n"/>
      <c r="AH2956" s="11" t="n"/>
      <c r="AI2956" s="14">
        <f>IF(AND($AD2956="保留中",$AF2956&lt;&gt;""),TODAY()-$AF2956,"")</f>
        <v/>
      </c>
      <c r="AJ2956" s="12" t="n"/>
      <c r="AK2956" s="14">
        <f>IF($B2956="","",IF($AO2956="","対象年月が未入力／","")&amp;IF($B2956="","",IF($AN2956="","職員マスタに未登録の職員番号／",IF($Y2956="","標準報酬月額が未登録／","")&amp;IF(AND($AO2956&lt;&gt;"",OR(AND(INDEX(職員マスタ!$G$6:$G$405,$AN2956)&lt;&gt;"",INDEX(職員マスタ!$G$6:$G$405,$AN2956)&gt;EOMONTH($AO2956,0)),AND(INDEX(職員マスタ!$H$6:$H$405,$AN2956)&lt;&gt;"",INDEX(職員マスタ!$H$6:$H$405,$AN2956)&lt;$AO2956))),"対象月が時短期間外／","")&amp;IF(AND(INDEX(職員マスタ!$F$6:$F$405,$AN2956)&lt;&gt;"",$AO2956&lt;&gt;"",INDEX(職員マスタ!$F$6:$F$405,$AN2956)&lt;$AO2956),"対象月に子が2歳到達済／","")&amp;IF(AND($H2956&lt;&gt;"",INDEX(職員マスタ!$B$6:$B$405,$AN2956)&lt;&gt;"",SUBSTITUTE(SUBSTITUTE($H2956," ","")," ","")&lt;&gt;SUBSTITUTE(SUBSTITUTE(INDEX(職員マスタ!$B$6:$B$405,$AN2956)," ","")," ","")),"氏名がマスタと相違／","")&amp;IF(AND($Q2956&lt;&gt;"",INDEX(職員マスタ!$E$6:$E$405,$AN2956)&lt;&gt;"",$Q2956&lt;&gt;INDEX(職員マスタ!$E$6:$E$405,$AN2956)),"子の生年月日がマスタと相違／","")&amp;IF(AND($L2956&lt;&gt;"",INDEX(職員マスタ!$G$6:$G$405,$AN2956)&lt;&gt;"",$L2956&lt;&gt;INDEX(職員マスタ!$G$6:$G$405,$AN2956)),"時短開始日がマスタと相違／","")&amp;IF(AND($M2956&lt;&gt;"",INDEX(職員マスタ!$H$6:$H$405,$AN2956)&lt;&gt;"",$M2956&lt;&gt;INDEX(職員マスタ!$H$6:$H$405,$AN2956)),"時短終了日がマスタと相違／","")))&amp;IF(AND($B2956&lt;&gt;"",$E2956=""),"報酬額が未入力／","")&amp;IF(N($U2956)&gt;0,"申請書に入力エラーが残っています／","")&amp;IF(AND($B2956&lt;&gt;"",$AO2956&lt;&gt;""),IF(COUNTIFS($B$6:$B$3005,$B2956,$C$6:$C$3005,$C2956,$D$6:$D$3005,$D2956)&gt;1,"同じ月の請求が重複しています／",""),"")&amp;IF(AND(N($E2956)&gt;0,$Z2956&lt;&gt;"",$Z2956&lt;&gt;"×",$AC2956=0,$AB2956=""),"計算額が下限以下のため不支給／",""))</f>
        <v/>
      </c>
      <c r="AL2956" s="12" t="n"/>
      <c r="AM2956" s="14">
        <f>IF($AD2956="保留中",COUNTIF($AD$6:$AD2956,"保留中"),"")</f>
        <v/>
      </c>
      <c r="AN2956" s="14">
        <f>IF($AO2956="","",IF(SUMPRODUCT(MAX((職員マスタ!$A$6:$A$405=$B2956)*(((職員マスタ!$G$6:$G$405="")+(職員マスタ!$G$6:$G$405&lt;=EOMONTH($AO2956,0)))&gt;0)*(((職員マスタ!$H$6:$H$405="")+(職員マスタ!$H$6:$H$405&gt;=$AO2956))&gt;0)*(ROW(職員マスタ!$A$6:$A$405)-5)))&gt;0,SUMPRODUCT(MAX((職員マスタ!$A$6:$A$405=$B2956)*(((職員マスタ!$G$6:$G$405="")+(職員マスタ!$G$6:$G$405&lt;=EOMONTH($AO2956,0)))&gt;0)*(((職員マスタ!$H$6:$H$405="")+(職員マスタ!$H$6:$H$405&gt;=$AO2956))&gt;0)*(ROW(職員マスタ!$A$6:$A$405)-5))),IFERROR(MATCH($B2956,職員マスタ!$A$6:$A$405,0),"")))</f>
        <v/>
      </c>
      <c r="AO2956" s="16">
        <f>IF(OR($B2956="",$C2956="",$D2956=""),"",DATE($C2956+2018,$D2956,1))</f>
        <v/>
      </c>
    </row>
    <row r="2957">
      <c r="A2957" s="11" t="n"/>
      <c r="B2957" s="12" t="n"/>
      <c r="C2957" s="12" t="n"/>
      <c r="D2957" s="12" t="n"/>
      <c r="E2957" s="13" t="n"/>
      <c r="F2957" s="12" t="n"/>
      <c r="G2957" s="13" t="n"/>
      <c r="H2957" s="12" t="n"/>
      <c r="I2957" s="12" t="n"/>
      <c r="J2957" s="12" t="n"/>
      <c r="K2957" s="12" t="n"/>
      <c r="L2957" s="11" t="n"/>
      <c r="M2957" s="11" t="n"/>
      <c r="N2957" s="11" t="n"/>
      <c r="O2957" s="11" t="n"/>
      <c r="P2957" s="12" t="n"/>
      <c r="Q2957" s="11" t="n"/>
      <c r="R2957" s="12" t="n"/>
      <c r="S2957" s="11" t="n"/>
      <c r="T2957" s="12" t="n"/>
      <c r="U2957" s="12" t="n"/>
      <c r="V2957" s="14">
        <f>IF($AN2957="",IF($B2957="","",$H2957),IF(INDEX(職員マスタ!$B$6:$B$405,$AN2957)="",$H2957,INDEX(職員マスタ!$B$6:$B$405,$AN2957)))</f>
        <v/>
      </c>
      <c r="W2957" s="14">
        <f>IF($AN2957="",IF($B2957="","",$R2957),IF(INDEX(職員マスタ!$C$6:$C$405,$AN2957)="",$R2957,INDEX(職員マスタ!$C$6:$C$405,$AN2957)))</f>
        <v/>
      </c>
      <c r="X2957" s="14">
        <f>IF($AO2957="","","R"&amp;$C2957&amp;"."&amp;$D2957)</f>
        <v/>
      </c>
      <c r="Y2957" s="15">
        <f>IF($AN2957="","",IF(INDEX(職員マスタ!$K$6:$K$405,$AN2957)="","",INDEX(職員マスタ!$K$6:$K$405,$AN2957)))</f>
        <v/>
      </c>
      <c r="Z2957" s="14">
        <f>IF(OR($E2957="",$Y2957=""),"",IF($E2957&gt;=$Y2957,"×",IF($E2957&gt;=$Y2957*設定!$C$5,"△","○")))</f>
        <v/>
      </c>
      <c r="AA2957" s="15">
        <f>IF($Z2957="","",IF($Z2957="×",0,IF($Z2957="○",ROUNDDOWN($E2957*設定!$C$4,0),ROUNDDOWN($E2957*ROUND((9*$Y2957-9*$E2957)/(10*$E2957),4),0))))</f>
        <v/>
      </c>
      <c r="AB2957" s="13" t="n"/>
      <c r="AC2957" s="15">
        <f>IF($B2957="","",IF($AB2957&lt;&gt;"",$AB2957,IF($AA2957="","",IF($AA2957&lt;=設定!$C$3,0,$AA2957))))</f>
        <v/>
      </c>
      <c r="AD2957" s="14">
        <f>IF($B2957="","",IF(AND($AE2957&lt;&gt;"",$AG2957="",$AJ2957=""),"保留中",IF($AJ2957&lt;&gt;"",IF(N($AC2957)&gt;0,"支給済","不支給"),IF($AC2957="","要確認",IF($AC2957=0,"不支給","未処理")))))</f>
        <v/>
      </c>
      <c r="AE2957" s="12" t="n"/>
      <c r="AF2957" s="11" t="n"/>
      <c r="AG2957" s="11" t="n"/>
      <c r="AH2957" s="11" t="n"/>
      <c r="AI2957" s="14">
        <f>IF(AND($AD2957="保留中",$AF2957&lt;&gt;""),TODAY()-$AF2957,"")</f>
        <v/>
      </c>
      <c r="AJ2957" s="12" t="n"/>
      <c r="AK2957" s="14">
        <f>IF($B2957="","",IF($AO2957="","対象年月が未入力／","")&amp;IF($B2957="","",IF($AN2957="","職員マスタに未登録の職員番号／",IF($Y2957="","標準報酬月額が未登録／","")&amp;IF(AND($AO2957&lt;&gt;"",OR(AND(INDEX(職員マスタ!$G$6:$G$405,$AN2957)&lt;&gt;"",INDEX(職員マスタ!$G$6:$G$405,$AN2957)&gt;EOMONTH($AO2957,0)),AND(INDEX(職員マスタ!$H$6:$H$405,$AN2957)&lt;&gt;"",INDEX(職員マスタ!$H$6:$H$405,$AN2957)&lt;$AO2957))),"対象月が時短期間外／","")&amp;IF(AND(INDEX(職員マスタ!$F$6:$F$405,$AN2957)&lt;&gt;"",$AO2957&lt;&gt;"",INDEX(職員マスタ!$F$6:$F$405,$AN2957)&lt;$AO2957),"対象月に子が2歳到達済／","")&amp;IF(AND($H2957&lt;&gt;"",INDEX(職員マスタ!$B$6:$B$405,$AN2957)&lt;&gt;"",SUBSTITUTE(SUBSTITUTE($H2957," ","")," ","")&lt;&gt;SUBSTITUTE(SUBSTITUTE(INDEX(職員マスタ!$B$6:$B$405,$AN2957)," ","")," ","")),"氏名がマスタと相違／","")&amp;IF(AND($Q2957&lt;&gt;"",INDEX(職員マスタ!$E$6:$E$405,$AN2957)&lt;&gt;"",$Q2957&lt;&gt;INDEX(職員マスタ!$E$6:$E$405,$AN2957)),"子の生年月日がマスタと相違／","")&amp;IF(AND($L2957&lt;&gt;"",INDEX(職員マスタ!$G$6:$G$405,$AN2957)&lt;&gt;"",$L2957&lt;&gt;INDEX(職員マスタ!$G$6:$G$405,$AN2957)),"時短開始日がマスタと相違／","")&amp;IF(AND($M2957&lt;&gt;"",INDEX(職員マスタ!$H$6:$H$405,$AN2957)&lt;&gt;"",$M2957&lt;&gt;INDEX(職員マスタ!$H$6:$H$405,$AN2957)),"時短終了日がマスタと相違／","")))&amp;IF(AND($B2957&lt;&gt;"",$E2957=""),"報酬額が未入力／","")&amp;IF(N($U2957)&gt;0,"申請書に入力エラーが残っています／","")&amp;IF(AND($B2957&lt;&gt;"",$AO2957&lt;&gt;""),IF(COUNTIFS($B$6:$B$3005,$B2957,$C$6:$C$3005,$C2957,$D$6:$D$3005,$D2957)&gt;1,"同じ月の請求が重複しています／",""),"")&amp;IF(AND(N($E2957)&gt;0,$Z2957&lt;&gt;"",$Z2957&lt;&gt;"×",$AC2957=0,$AB2957=""),"計算額が下限以下のため不支給／",""))</f>
        <v/>
      </c>
      <c r="AL2957" s="12" t="n"/>
      <c r="AM2957" s="14">
        <f>IF($AD2957="保留中",COUNTIF($AD$6:$AD2957,"保留中"),"")</f>
        <v/>
      </c>
      <c r="AN2957" s="14">
        <f>IF($AO2957="","",IF(SUMPRODUCT(MAX((職員マスタ!$A$6:$A$405=$B2957)*(((職員マスタ!$G$6:$G$405="")+(職員マスタ!$G$6:$G$405&lt;=EOMONTH($AO2957,0)))&gt;0)*(((職員マスタ!$H$6:$H$405="")+(職員マスタ!$H$6:$H$405&gt;=$AO2957))&gt;0)*(ROW(職員マスタ!$A$6:$A$405)-5)))&gt;0,SUMPRODUCT(MAX((職員マスタ!$A$6:$A$405=$B2957)*(((職員マスタ!$G$6:$G$405="")+(職員マスタ!$G$6:$G$405&lt;=EOMONTH($AO2957,0)))&gt;0)*(((職員マスタ!$H$6:$H$405="")+(職員マスタ!$H$6:$H$405&gt;=$AO2957))&gt;0)*(ROW(職員マスタ!$A$6:$A$405)-5))),IFERROR(MATCH($B2957,職員マスタ!$A$6:$A$405,0),"")))</f>
        <v/>
      </c>
      <c r="AO2957" s="16">
        <f>IF(OR($B2957="",$C2957="",$D2957=""),"",DATE($C2957+2018,$D2957,1))</f>
        <v/>
      </c>
    </row>
    <row r="2958">
      <c r="A2958" s="11" t="n"/>
      <c r="B2958" s="12" t="n"/>
      <c r="C2958" s="12" t="n"/>
      <c r="D2958" s="12" t="n"/>
      <c r="E2958" s="13" t="n"/>
      <c r="F2958" s="12" t="n"/>
      <c r="G2958" s="13" t="n"/>
      <c r="H2958" s="12" t="n"/>
      <c r="I2958" s="12" t="n"/>
      <c r="J2958" s="12" t="n"/>
      <c r="K2958" s="12" t="n"/>
      <c r="L2958" s="11" t="n"/>
      <c r="M2958" s="11" t="n"/>
      <c r="N2958" s="11" t="n"/>
      <c r="O2958" s="11" t="n"/>
      <c r="P2958" s="12" t="n"/>
      <c r="Q2958" s="11" t="n"/>
      <c r="R2958" s="12" t="n"/>
      <c r="S2958" s="11" t="n"/>
      <c r="T2958" s="12" t="n"/>
      <c r="U2958" s="12" t="n"/>
      <c r="V2958" s="14">
        <f>IF($AN2958="",IF($B2958="","",$H2958),IF(INDEX(職員マスタ!$B$6:$B$405,$AN2958)="",$H2958,INDEX(職員マスタ!$B$6:$B$405,$AN2958)))</f>
        <v/>
      </c>
      <c r="W2958" s="14">
        <f>IF($AN2958="",IF($B2958="","",$R2958),IF(INDEX(職員マスタ!$C$6:$C$405,$AN2958)="",$R2958,INDEX(職員マスタ!$C$6:$C$405,$AN2958)))</f>
        <v/>
      </c>
      <c r="X2958" s="14">
        <f>IF($AO2958="","","R"&amp;$C2958&amp;"."&amp;$D2958)</f>
        <v/>
      </c>
      <c r="Y2958" s="15">
        <f>IF($AN2958="","",IF(INDEX(職員マスタ!$K$6:$K$405,$AN2958)="","",INDEX(職員マスタ!$K$6:$K$405,$AN2958)))</f>
        <v/>
      </c>
      <c r="Z2958" s="14">
        <f>IF(OR($E2958="",$Y2958=""),"",IF($E2958&gt;=$Y2958,"×",IF($E2958&gt;=$Y2958*設定!$C$5,"△","○")))</f>
        <v/>
      </c>
      <c r="AA2958" s="15">
        <f>IF($Z2958="","",IF($Z2958="×",0,IF($Z2958="○",ROUNDDOWN($E2958*設定!$C$4,0),ROUNDDOWN($E2958*ROUND((9*$Y2958-9*$E2958)/(10*$E2958),4),0))))</f>
        <v/>
      </c>
      <c r="AB2958" s="13" t="n"/>
      <c r="AC2958" s="15">
        <f>IF($B2958="","",IF($AB2958&lt;&gt;"",$AB2958,IF($AA2958="","",IF($AA2958&lt;=設定!$C$3,0,$AA2958))))</f>
        <v/>
      </c>
      <c r="AD2958" s="14">
        <f>IF($B2958="","",IF(AND($AE2958&lt;&gt;"",$AG2958="",$AJ2958=""),"保留中",IF($AJ2958&lt;&gt;"",IF(N($AC2958)&gt;0,"支給済","不支給"),IF($AC2958="","要確認",IF($AC2958=0,"不支給","未処理")))))</f>
        <v/>
      </c>
      <c r="AE2958" s="12" t="n"/>
      <c r="AF2958" s="11" t="n"/>
      <c r="AG2958" s="11" t="n"/>
      <c r="AH2958" s="11" t="n"/>
      <c r="AI2958" s="14">
        <f>IF(AND($AD2958="保留中",$AF2958&lt;&gt;""),TODAY()-$AF2958,"")</f>
        <v/>
      </c>
      <c r="AJ2958" s="12" t="n"/>
      <c r="AK2958" s="14">
        <f>IF($B2958="","",IF($AO2958="","対象年月が未入力／","")&amp;IF($B2958="","",IF($AN2958="","職員マスタに未登録の職員番号／",IF($Y2958="","標準報酬月額が未登録／","")&amp;IF(AND($AO2958&lt;&gt;"",OR(AND(INDEX(職員マスタ!$G$6:$G$405,$AN2958)&lt;&gt;"",INDEX(職員マスタ!$G$6:$G$405,$AN2958)&gt;EOMONTH($AO2958,0)),AND(INDEX(職員マスタ!$H$6:$H$405,$AN2958)&lt;&gt;"",INDEX(職員マスタ!$H$6:$H$405,$AN2958)&lt;$AO2958))),"対象月が時短期間外／","")&amp;IF(AND(INDEX(職員マスタ!$F$6:$F$405,$AN2958)&lt;&gt;"",$AO2958&lt;&gt;"",INDEX(職員マスタ!$F$6:$F$405,$AN2958)&lt;$AO2958),"対象月に子が2歳到達済／","")&amp;IF(AND($H2958&lt;&gt;"",INDEX(職員マスタ!$B$6:$B$405,$AN2958)&lt;&gt;"",SUBSTITUTE(SUBSTITUTE($H2958," ","")," ","")&lt;&gt;SUBSTITUTE(SUBSTITUTE(INDEX(職員マスタ!$B$6:$B$405,$AN2958)," ","")," ","")),"氏名がマスタと相違／","")&amp;IF(AND($Q2958&lt;&gt;"",INDEX(職員マスタ!$E$6:$E$405,$AN2958)&lt;&gt;"",$Q2958&lt;&gt;INDEX(職員マスタ!$E$6:$E$405,$AN2958)),"子の生年月日がマスタと相違／","")&amp;IF(AND($L2958&lt;&gt;"",INDEX(職員マスタ!$G$6:$G$405,$AN2958)&lt;&gt;"",$L2958&lt;&gt;INDEX(職員マスタ!$G$6:$G$405,$AN2958)),"時短開始日がマスタと相違／","")&amp;IF(AND($M2958&lt;&gt;"",INDEX(職員マスタ!$H$6:$H$405,$AN2958)&lt;&gt;"",$M2958&lt;&gt;INDEX(職員マスタ!$H$6:$H$405,$AN2958)),"時短終了日がマスタと相違／","")))&amp;IF(AND($B2958&lt;&gt;"",$E2958=""),"報酬額が未入力／","")&amp;IF(N($U2958)&gt;0,"申請書に入力エラーが残っています／","")&amp;IF(AND($B2958&lt;&gt;"",$AO2958&lt;&gt;""),IF(COUNTIFS($B$6:$B$3005,$B2958,$C$6:$C$3005,$C2958,$D$6:$D$3005,$D2958)&gt;1,"同じ月の請求が重複しています／",""),"")&amp;IF(AND(N($E2958)&gt;0,$Z2958&lt;&gt;"",$Z2958&lt;&gt;"×",$AC2958=0,$AB2958=""),"計算額が下限以下のため不支給／",""))</f>
        <v/>
      </c>
      <c r="AL2958" s="12" t="n"/>
      <c r="AM2958" s="14">
        <f>IF($AD2958="保留中",COUNTIF($AD$6:$AD2958,"保留中"),"")</f>
        <v/>
      </c>
      <c r="AN2958" s="14">
        <f>IF($AO2958="","",IF(SUMPRODUCT(MAX((職員マスタ!$A$6:$A$405=$B2958)*(((職員マスタ!$G$6:$G$405="")+(職員マスタ!$G$6:$G$405&lt;=EOMONTH($AO2958,0)))&gt;0)*(((職員マスタ!$H$6:$H$405="")+(職員マスタ!$H$6:$H$405&gt;=$AO2958))&gt;0)*(ROW(職員マスタ!$A$6:$A$405)-5)))&gt;0,SUMPRODUCT(MAX((職員マスタ!$A$6:$A$405=$B2958)*(((職員マスタ!$G$6:$G$405="")+(職員マスタ!$G$6:$G$405&lt;=EOMONTH($AO2958,0)))&gt;0)*(((職員マスタ!$H$6:$H$405="")+(職員マスタ!$H$6:$H$405&gt;=$AO2958))&gt;0)*(ROW(職員マスタ!$A$6:$A$405)-5))),IFERROR(MATCH($B2958,職員マスタ!$A$6:$A$405,0),"")))</f>
        <v/>
      </c>
      <c r="AO2958" s="16">
        <f>IF(OR($B2958="",$C2958="",$D2958=""),"",DATE($C2958+2018,$D2958,1))</f>
        <v/>
      </c>
    </row>
    <row r="2959">
      <c r="A2959" s="11" t="n"/>
      <c r="B2959" s="12" t="n"/>
      <c r="C2959" s="12" t="n"/>
      <c r="D2959" s="12" t="n"/>
      <c r="E2959" s="13" t="n"/>
      <c r="F2959" s="12" t="n"/>
      <c r="G2959" s="13" t="n"/>
      <c r="H2959" s="12" t="n"/>
      <c r="I2959" s="12" t="n"/>
      <c r="J2959" s="12" t="n"/>
      <c r="K2959" s="12" t="n"/>
      <c r="L2959" s="11" t="n"/>
      <c r="M2959" s="11" t="n"/>
      <c r="N2959" s="11" t="n"/>
      <c r="O2959" s="11" t="n"/>
      <c r="P2959" s="12" t="n"/>
      <c r="Q2959" s="11" t="n"/>
      <c r="R2959" s="12" t="n"/>
      <c r="S2959" s="11" t="n"/>
      <c r="T2959" s="12" t="n"/>
      <c r="U2959" s="12" t="n"/>
      <c r="V2959" s="14">
        <f>IF($AN2959="",IF($B2959="","",$H2959),IF(INDEX(職員マスタ!$B$6:$B$405,$AN2959)="",$H2959,INDEX(職員マスタ!$B$6:$B$405,$AN2959)))</f>
        <v/>
      </c>
      <c r="W2959" s="14">
        <f>IF($AN2959="",IF($B2959="","",$R2959),IF(INDEX(職員マスタ!$C$6:$C$405,$AN2959)="",$R2959,INDEX(職員マスタ!$C$6:$C$405,$AN2959)))</f>
        <v/>
      </c>
      <c r="X2959" s="14">
        <f>IF($AO2959="","","R"&amp;$C2959&amp;"."&amp;$D2959)</f>
        <v/>
      </c>
      <c r="Y2959" s="15">
        <f>IF($AN2959="","",IF(INDEX(職員マスタ!$K$6:$K$405,$AN2959)="","",INDEX(職員マスタ!$K$6:$K$405,$AN2959)))</f>
        <v/>
      </c>
      <c r="Z2959" s="14">
        <f>IF(OR($E2959="",$Y2959=""),"",IF($E2959&gt;=$Y2959,"×",IF($E2959&gt;=$Y2959*設定!$C$5,"△","○")))</f>
        <v/>
      </c>
      <c r="AA2959" s="15">
        <f>IF($Z2959="","",IF($Z2959="×",0,IF($Z2959="○",ROUNDDOWN($E2959*設定!$C$4,0),ROUNDDOWN($E2959*ROUND((9*$Y2959-9*$E2959)/(10*$E2959),4),0))))</f>
        <v/>
      </c>
      <c r="AB2959" s="13" t="n"/>
      <c r="AC2959" s="15">
        <f>IF($B2959="","",IF($AB2959&lt;&gt;"",$AB2959,IF($AA2959="","",IF($AA2959&lt;=設定!$C$3,0,$AA2959))))</f>
        <v/>
      </c>
      <c r="AD2959" s="14">
        <f>IF($B2959="","",IF(AND($AE2959&lt;&gt;"",$AG2959="",$AJ2959=""),"保留中",IF($AJ2959&lt;&gt;"",IF(N($AC2959)&gt;0,"支給済","不支給"),IF($AC2959="","要確認",IF($AC2959=0,"不支給","未処理")))))</f>
        <v/>
      </c>
      <c r="AE2959" s="12" t="n"/>
      <c r="AF2959" s="11" t="n"/>
      <c r="AG2959" s="11" t="n"/>
      <c r="AH2959" s="11" t="n"/>
      <c r="AI2959" s="14">
        <f>IF(AND($AD2959="保留中",$AF2959&lt;&gt;""),TODAY()-$AF2959,"")</f>
        <v/>
      </c>
      <c r="AJ2959" s="12" t="n"/>
      <c r="AK2959" s="14">
        <f>IF($B2959="","",IF($AO2959="","対象年月が未入力／","")&amp;IF($B2959="","",IF($AN2959="","職員マスタに未登録の職員番号／",IF($Y2959="","標準報酬月額が未登録／","")&amp;IF(AND($AO2959&lt;&gt;"",OR(AND(INDEX(職員マスタ!$G$6:$G$405,$AN2959)&lt;&gt;"",INDEX(職員マスタ!$G$6:$G$405,$AN2959)&gt;EOMONTH($AO2959,0)),AND(INDEX(職員マスタ!$H$6:$H$405,$AN2959)&lt;&gt;"",INDEX(職員マスタ!$H$6:$H$405,$AN2959)&lt;$AO2959))),"対象月が時短期間外／","")&amp;IF(AND(INDEX(職員マスタ!$F$6:$F$405,$AN2959)&lt;&gt;"",$AO2959&lt;&gt;"",INDEX(職員マスタ!$F$6:$F$405,$AN2959)&lt;$AO2959),"対象月に子が2歳到達済／","")&amp;IF(AND($H2959&lt;&gt;"",INDEX(職員マスタ!$B$6:$B$405,$AN2959)&lt;&gt;"",SUBSTITUTE(SUBSTITUTE($H2959," ","")," ","")&lt;&gt;SUBSTITUTE(SUBSTITUTE(INDEX(職員マスタ!$B$6:$B$405,$AN2959)," ","")," ","")),"氏名がマスタと相違／","")&amp;IF(AND($Q2959&lt;&gt;"",INDEX(職員マスタ!$E$6:$E$405,$AN2959)&lt;&gt;"",$Q2959&lt;&gt;INDEX(職員マスタ!$E$6:$E$405,$AN2959)),"子の生年月日がマスタと相違／","")&amp;IF(AND($L2959&lt;&gt;"",INDEX(職員マスタ!$G$6:$G$405,$AN2959)&lt;&gt;"",$L2959&lt;&gt;INDEX(職員マスタ!$G$6:$G$405,$AN2959)),"時短開始日がマスタと相違／","")&amp;IF(AND($M2959&lt;&gt;"",INDEX(職員マスタ!$H$6:$H$405,$AN2959)&lt;&gt;"",$M2959&lt;&gt;INDEX(職員マスタ!$H$6:$H$405,$AN2959)),"時短終了日がマスタと相違／","")))&amp;IF(AND($B2959&lt;&gt;"",$E2959=""),"報酬額が未入力／","")&amp;IF(N($U2959)&gt;0,"申請書に入力エラーが残っています／","")&amp;IF(AND($B2959&lt;&gt;"",$AO2959&lt;&gt;""),IF(COUNTIFS($B$6:$B$3005,$B2959,$C$6:$C$3005,$C2959,$D$6:$D$3005,$D2959)&gt;1,"同じ月の請求が重複しています／",""),"")&amp;IF(AND(N($E2959)&gt;0,$Z2959&lt;&gt;"",$Z2959&lt;&gt;"×",$AC2959=0,$AB2959=""),"計算額が下限以下のため不支給／",""))</f>
        <v/>
      </c>
      <c r="AL2959" s="12" t="n"/>
      <c r="AM2959" s="14">
        <f>IF($AD2959="保留中",COUNTIF($AD$6:$AD2959,"保留中"),"")</f>
        <v/>
      </c>
      <c r="AN2959" s="14">
        <f>IF($AO2959="","",IF(SUMPRODUCT(MAX((職員マスタ!$A$6:$A$405=$B2959)*(((職員マスタ!$G$6:$G$405="")+(職員マスタ!$G$6:$G$405&lt;=EOMONTH($AO2959,0)))&gt;0)*(((職員マスタ!$H$6:$H$405="")+(職員マスタ!$H$6:$H$405&gt;=$AO2959))&gt;0)*(ROW(職員マスタ!$A$6:$A$405)-5)))&gt;0,SUMPRODUCT(MAX((職員マスタ!$A$6:$A$405=$B2959)*(((職員マスタ!$G$6:$G$405="")+(職員マスタ!$G$6:$G$405&lt;=EOMONTH($AO2959,0)))&gt;0)*(((職員マスタ!$H$6:$H$405="")+(職員マスタ!$H$6:$H$405&gt;=$AO2959))&gt;0)*(ROW(職員マスタ!$A$6:$A$405)-5))),IFERROR(MATCH($B2959,職員マスタ!$A$6:$A$405,0),"")))</f>
        <v/>
      </c>
      <c r="AO2959" s="16">
        <f>IF(OR($B2959="",$C2959="",$D2959=""),"",DATE($C2959+2018,$D2959,1))</f>
        <v/>
      </c>
    </row>
    <row r="2960">
      <c r="A2960" s="11" t="n"/>
      <c r="B2960" s="12" t="n"/>
      <c r="C2960" s="12" t="n"/>
      <c r="D2960" s="12" t="n"/>
      <c r="E2960" s="13" t="n"/>
      <c r="F2960" s="12" t="n"/>
      <c r="G2960" s="13" t="n"/>
      <c r="H2960" s="12" t="n"/>
      <c r="I2960" s="12" t="n"/>
      <c r="J2960" s="12" t="n"/>
      <c r="K2960" s="12" t="n"/>
      <c r="L2960" s="11" t="n"/>
      <c r="M2960" s="11" t="n"/>
      <c r="N2960" s="11" t="n"/>
      <c r="O2960" s="11" t="n"/>
      <c r="P2960" s="12" t="n"/>
      <c r="Q2960" s="11" t="n"/>
      <c r="R2960" s="12" t="n"/>
      <c r="S2960" s="11" t="n"/>
      <c r="T2960" s="12" t="n"/>
      <c r="U2960" s="12" t="n"/>
      <c r="V2960" s="14">
        <f>IF($AN2960="",IF($B2960="","",$H2960),IF(INDEX(職員マスタ!$B$6:$B$405,$AN2960)="",$H2960,INDEX(職員マスタ!$B$6:$B$405,$AN2960)))</f>
        <v/>
      </c>
      <c r="W2960" s="14">
        <f>IF($AN2960="",IF($B2960="","",$R2960),IF(INDEX(職員マスタ!$C$6:$C$405,$AN2960)="",$R2960,INDEX(職員マスタ!$C$6:$C$405,$AN2960)))</f>
        <v/>
      </c>
      <c r="X2960" s="14">
        <f>IF($AO2960="","","R"&amp;$C2960&amp;"."&amp;$D2960)</f>
        <v/>
      </c>
      <c r="Y2960" s="15">
        <f>IF($AN2960="","",IF(INDEX(職員マスタ!$K$6:$K$405,$AN2960)="","",INDEX(職員マスタ!$K$6:$K$405,$AN2960)))</f>
        <v/>
      </c>
      <c r="Z2960" s="14">
        <f>IF(OR($E2960="",$Y2960=""),"",IF($E2960&gt;=$Y2960,"×",IF($E2960&gt;=$Y2960*設定!$C$5,"△","○")))</f>
        <v/>
      </c>
      <c r="AA2960" s="15">
        <f>IF($Z2960="","",IF($Z2960="×",0,IF($Z2960="○",ROUNDDOWN($E2960*設定!$C$4,0),ROUNDDOWN($E2960*ROUND((9*$Y2960-9*$E2960)/(10*$E2960),4),0))))</f>
        <v/>
      </c>
      <c r="AB2960" s="13" t="n"/>
      <c r="AC2960" s="15">
        <f>IF($B2960="","",IF($AB2960&lt;&gt;"",$AB2960,IF($AA2960="","",IF($AA2960&lt;=設定!$C$3,0,$AA2960))))</f>
        <v/>
      </c>
      <c r="AD2960" s="14">
        <f>IF($B2960="","",IF(AND($AE2960&lt;&gt;"",$AG2960="",$AJ2960=""),"保留中",IF($AJ2960&lt;&gt;"",IF(N($AC2960)&gt;0,"支給済","不支給"),IF($AC2960="","要確認",IF($AC2960=0,"不支給","未処理")))))</f>
        <v/>
      </c>
      <c r="AE2960" s="12" t="n"/>
      <c r="AF2960" s="11" t="n"/>
      <c r="AG2960" s="11" t="n"/>
      <c r="AH2960" s="11" t="n"/>
      <c r="AI2960" s="14">
        <f>IF(AND($AD2960="保留中",$AF2960&lt;&gt;""),TODAY()-$AF2960,"")</f>
        <v/>
      </c>
      <c r="AJ2960" s="12" t="n"/>
      <c r="AK2960" s="14">
        <f>IF($B2960="","",IF($AO2960="","対象年月が未入力／","")&amp;IF($B2960="","",IF($AN2960="","職員マスタに未登録の職員番号／",IF($Y2960="","標準報酬月額が未登録／","")&amp;IF(AND($AO2960&lt;&gt;"",OR(AND(INDEX(職員マスタ!$G$6:$G$405,$AN2960)&lt;&gt;"",INDEX(職員マスタ!$G$6:$G$405,$AN2960)&gt;EOMONTH($AO2960,0)),AND(INDEX(職員マスタ!$H$6:$H$405,$AN2960)&lt;&gt;"",INDEX(職員マスタ!$H$6:$H$405,$AN2960)&lt;$AO2960))),"対象月が時短期間外／","")&amp;IF(AND(INDEX(職員マスタ!$F$6:$F$405,$AN2960)&lt;&gt;"",$AO2960&lt;&gt;"",INDEX(職員マスタ!$F$6:$F$405,$AN2960)&lt;$AO2960),"対象月に子が2歳到達済／","")&amp;IF(AND($H2960&lt;&gt;"",INDEX(職員マスタ!$B$6:$B$405,$AN2960)&lt;&gt;"",SUBSTITUTE(SUBSTITUTE($H2960," ","")," ","")&lt;&gt;SUBSTITUTE(SUBSTITUTE(INDEX(職員マスタ!$B$6:$B$405,$AN2960)," ","")," ","")),"氏名がマスタと相違／","")&amp;IF(AND($Q2960&lt;&gt;"",INDEX(職員マスタ!$E$6:$E$405,$AN2960)&lt;&gt;"",$Q2960&lt;&gt;INDEX(職員マスタ!$E$6:$E$405,$AN2960)),"子の生年月日がマスタと相違／","")&amp;IF(AND($L2960&lt;&gt;"",INDEX(職員マスタ!$G$6:$G$405,$AN2960)&lt;&gt;"",$L2960&lt;&gt;INDEX(職員マスタ!$G$6:$G$405,$AN2960)),"時短開始日がマスタと相違／","")&amp;IF(AND($M2960&lt;&gt;"",INDEX(職員マスタ!$H$6:$H$405,$AN2960)&lt;&gt;"",$M2960&lt;&gt;INDEX(職員マスタ!$H$6:$H$405,$AN2960)),"時短終了日がマスタと相違／","")))&amp;IF(AND($B2960&lt;&gt;"",$E2960=""),"報酬額が未入力／","")&amp;IF(N($U2960)&gt;0,"申請書に入力エラーが残っています／","")&amp;IF(AND($B2960&lt;&gt;"",$AO2960&lt;&gt;""),IF(COUNTIFS($B$6:$B$3005,$B2960,$C$6:$C$3005,$C2960,$D$6:$D$3005,$D2960)&gt;1,"同じ月の請求が重複しています／",""),"")&amp;IF(AND(N($E2960)&gt;0,$Z2960&lt;&gt;"",$Z2960&lt;&gt;"×",$AC2960=0,$AB2960=""),"計算額が下限以下のため不支給／",""))</f>
        <v/>
      </c>
      <c r="AL2960" s="12" t="n"/>
      <c r="AM2960" s="14">
        <f>IF($AD2960="保留中",COUNTIF($AD$6:$AD2960,"保留中"),"")</f>
        <v/>
      </c>
      <c r="AN2960" s="14">
        <f>IF($AO2960="","",IF(SUMPRODUCT(MAX((職員マスタ!$A$6:$A$405=$B2960)*(((職員マスタ!$G$6:$G$405="")+(職員マスタ!$G$6:$G$405&lt;=EOMONTH($AO2960,0)))&gt;0)*(((職員マスタ!$H$6:$H$405="")+(職員マスタ!$H$6:$H$405&gt;=$AO2960))&gt;0)*(ROW(職員マスタ!$A$6:$A$405)-5)))&gt;0,SUMPRODUCT(MAX((職員マスタ!$A$6:$A$405=$B2960)*(((職員マスタ!$G$6:$G$405="")+(職員マスタ!$G$6:$G$405&lt;=EOMONTH($AO2960,0)))&gt;0)*(((職員マスタ!$H$6:$H$405="")+(職員マスタ!$H$6:$H$405&gt;=$AO2960))&gt;0)*(ROW(職員マスタ!$A$6:$A$405)-5))),IFERROR(MATCH($B2960,職員マスタ!$A$6:$A$405,0),"")))</f>
        <v/>
      </c>
      <c r="AO2960" s="16">
        <f>IF(OR($B2960="",$C2960="",$D2960=""),"",DATE($C2960+2018,$D2960,1))</f>
        <v/>
      </c>
    </row>
    <row r="2961">
      <c r="A2961" s="11" t="n"/>
      <c r="B2961" s="12" t="n"/>
      <c r="C2961" s="12" t="n"/>
      <c r="D2961" s="12" t="n"/>
      <c r="E2961" s="13" t="n"/>
      <c r="F2961" s="12" t="n"/>
      <c r="G2961" s="13" t="n"/>
      <c r="H2961" s="12" t="n"/>
      <c r="I2961" s="12" t="n"/>
      <c r="J2961" s="12" t="n"/>
      <c r="K2961" s="12" t="n"/>
      <c r="L2961" s="11" t="n"/>
      <c r="M2961" s="11" t="n"/>
      <c r="N2961" s="11" t="n"/>
      <c r="O2961" s="11" t="n"/>
      <c r="P2961" s="12" t="n"/>
      <c r="Q2961" s="11" t="n"/>
      <c r="R2961" s="12" t="n"/>
      <c r="S2961" s="11" t="n"/>
      <c r="T2961" s="12" t="n"/>
      <c r="U2961" s="12" t="n"/>
      <c r="V2961" s="14">
        <f>IF($AN2961="",IF($B2961="","",$H2961),IF(INDEX(職員マスタ!$B$6:$B$405,$AN2961)="",$H2961,INDEX(職員マスタ!$B$6:$B$405,$AN2961)))</f>
        <v/>
      </c>
      <c r="W2961" s="14">
        <f>IF($AN2961="",IF($B2961="","",$R2961),IF(INDEX(職員マスタ!$C$6:$C$405,$AN2961)="",$R2961,INDEX(職員マスタ!$C$6:$C$405,$AN2961)))</f>
        <v/>
      </c>
      <c r="X2961" s="14">
        <f>IF($AO2961="","","R"&amp;$C2961&amp;"."&amp;$D2961)</f>
        <v/>
      </c>
      <c r="Y2961" s="15">
        <f>IF($AN2961="","",IF(INDEX(職員マスタ!$K$6:$K$405,$AN2961)="","",INDEX(職員マスタ!$K$6:$K$405,$AN2961)))</f>
        <v/>
      </c>
      <c r="Z2961" s="14">
        <f>IF(OR($E2961="",$Y2961=""),"",IF($E2961&gt;=$Y2961,"×",IF($E2961&gt;=$Y2961*設定!$C$5,"△","○")))</f>
        <v/>
      </c>
      <c r="AA2961" s="15">
        <f>IF($Z2961="","",IF($Z2961="×",0,IF($Z2961="○",ROUNDDOWN($E2961*設定!$C$4,0),ROUNDDOWN($E2961*ROUND((9*$Y2961-9*$E2961)/(10*$E2961),4),0))))</f>
        <v/>
      </c>
      <c r="AB2961" s="13" t="n"/>
      <c r="AC2961" s="15">
        <f>IF($B2961="","",IF($AB2961&lt;&gt;"",$AB2961,IF($AA2961="","",IF($AA2961&lt;=設定!$C$3,0,$AA2961))))</f>
        <v/>
      </c>
      <c r="AD2961" s="14">
        <f>IF($B2961="","",IF(AND($AE2961&lt;&gt;"",$AG2961="",$AJ2961=""),"保留中",IF($AJ2961&lt;&gt;"",IF(N($AC2961)&gt;0,"支給済","不支給"),IF($AC2961="","要確認",IF($AC2961=0,"不支給","未処理")))))</f>
        <v/>
      </c>
      <c r="AE2961" s="12" t="n"/>
      <c r="AF2961" s="11" t="n"/>
      <c r="AG2961" s="11" t="n"/>
      <c r="AH2961" s="11" t="n"/>
      <c r="AI2961" s="14">
        <f>IF(AND($AD2961="保留中",$AF2961&lt;&gt;""),TODAY()-$AF2961,"")</f>
        <v/>
      </c>
      <c r="AJ2961" s="12" t="n"/>
      <c r="AK2961" s="14">
        <f>IF($B2961="","",IF($AO2961="","対象年月が未入力／","")&amp;IF($B2961="","",IF($AN2961="","職員マスタに未登録の職員番号／",IF($Y2961="","標準報酬月額が未登録／","")&amp;IF(AND($AO2961&lt;&gt;"",OR(AND(INDEX(職員マスタ!$G$6:$G$405,$AN2961)&lt;&gt;"",INDEX(職員マスタ!$G$6:$G$405,$AN2961)&gt;EOMONTH($AO2961,0)),AND(INDEX(職員マスタ!$H$6:$H$405,$AN2961)&lt;&gt;"",INDEX(職員マスタ!$H$6:$H$405,$AN2961)&lt;$AO2961))),"対象月が時短期間外／","")&amp;IF(AND(INDEX(職員マスタ!$F$6:$F$405,$AN2961)&lt;&gt;"",$AO2961&lt;&gt;"",INDEX(職員マスタ!$F$6:$F$405,$AN2961)&lt;$AO2961),"対象月に子が2歳到達済／","")&amp;IF(AND($H2961&lt;&gt;"",INDEX(職員マスタ!$B$6:$B$405,$AN2961)&lt;&gt;"",SUBSTITUTE(SUBSTITUTE($H2961," ","")," ","")&lt;&gt;SUBSTITUTE(SUBSTITUTE(INDEX(職員マスタ!$B$6:$B$405,$AN2961)," ","")," ","")),"氏名がマスタと相違／","")&amp;IF(AND($Q2961&lt;&gt;"",INDEX(職員マスタ!$E$6:$E$405,$AN2961)&lt;&gt;"",$Q2961&lt;&gt;INDEX(職員マスタ!$E$6:$E$405,$AN2961)),"子の生年月日がマスタと相違／","")&amp;IF(AND($L2961&lt;&gt;"",INDEX(職員マスタ!$G$6:$G$405,$AN2961)&lt;&gt;"",$L2961&lt;&gt;INDEX(職員マスタ!$G$6:$G$405,$AN2961)),"時短開始日がマスタと相違／","")&amp;IF(AND($M2961&lt;&gt;"",INDEX(職員マスタ!$H$6:$H$405,$AN2961)&lt;&gt;"",$M2961&lt;&gt;INDEX(職員マスタ!$H$6:$H$405,$AN2961)),"時短終了日がマスタと相違／","")))&amp;IF(AND($B2961&lt;&gt;"",$E2961=""),"報酬額が未入力／","")&amp;IF(N($U2961)&gt;0,"申請書に入力エラーが残っています／","")&amp;IF(AND($B2961&lt;&gt;"",$AO2961&lt;&gt;""),IF(COUNTIFS($B$6:$B$3005,$B2961,$C$6:$C$3005,$C2961,$D$6:$D$3005,$D2961)&gt;1,"同じ月の請求が重複しています／",""),"")&amp;IF(AND(N($E2961)&gt;0,$Z2961&lt;&gt;"",$Z2961&lt;&gt;"×",$AC2961=0,$AB2961=""),"計算額が下限以下のため不支給／",""))</f>
        <v/>
      </c>
      <c r="AL2961" s="12" t="n"/>
      <c r="AM2961" s="14">
        <f>IF($AD2961="保留中",COUNTIF($AD$6:$AD2961,"保留中"),"")</f>
        <v/>
      </c>
      <c r="AN2961" s="14">
        <f>IF($AO2961="","",IF(SUMPRODUCT(MAX((職員マスタ!$A$6:$A$405=$B2961)*(((職員マスタ!$G$6:$G$405="")+(職員マスタ!$G$6:$G$405&lt;=EOMONTH($AO2961,0)))&gt;0)*(((職員マスタ!$H$6:$H$405="")+(職員マスタ!$H$6:$H$405&gt;=$AO2961))&gt;0)*(ROW(職員マスタ!$A$6:$A$405)-5)))&gt;0,SUMPRODUCT(MAX((職員マスタ!$A$6:$A$405=$B2961)*(((職員マスタ!$G$6:$G$405="")+(職員マスタ!$G$6:$G$405&lt;=EOMONTH($AO2961,0)))&gt;0)*(((職員マスタ!$H$6:$H$405="")+(職員マスタ!$H$6:$H$405&gt;=$AO2961))&gt;0)*(ROW(職員マスタ!$A$6:$A$405)-5))),IFERROR(MATCH($B2961,職員マスタ!$A$6:$A$405,0),"")))</f>
        <v/>
      </c>
      <c r="AO2961" s="16">
        <f>IF(OR($B2961="",$C2961="",$D2961=""),"",DATE($C2961+2018,$D2961,1))</f>
        <v/>
      </c>
    </row>
    <row r="2962">
      <c r="A2962" s="11" t="n"/>
      <c r="B2962" s="12" t="n"/>
      <c r="C2962" s="12" t="n"/>
      <c r="D2962" s="12" t="n"/>
      <c r="E2962" s="13" t="n"/>
      <c r="F2962" s="12" t="n"/>
      <c r="G2962" s="13" t="n"/>
      <c r="H2962" s="12" t="n"/>
      <c r="I2962" s="12" t="n"/>
      <c r="J2962" s="12" t="n"/>
      <c r="K2962" s="12" t="n"/>
      <c r="L2962" s="11" t="n"/>
      <c r="M2962" s="11" t="n"/>
      <c r="N2962" s="11" t="n"/>
      <c r="O2962" s="11" t="n"/>
      <c r="P2962" s="12" t="n"/>
      <c r="Q2962" s="11" t="n"/>
      <c r="R2962" s="12" t="n"/>
      <c r="S2962" s="11" t="n"/>
      <c r="T2962" s="12" t="n"/>
      <c r="U2962" s="12" t="n"/>
      <c r="V2962" s="14">
        <f>IF($AN2962="",IF($B2962="","",$H2962),IF(INDEX(職員マスタ!$B$6:$B$405,$AN2962)="",$H2962,INDEX(職員マスタ!$B$6:$B$405,$AN2962)))</f>
        <v/>
      </c>
      <c r="W2962" s="14">
        <f>IF($AN2962="",IF($B2962="","",$R2962),IF(INDEX(職員マスタ!$C$6:$C$405,$AN2962)="",$R2962,INDEX(職員マスタ!$C$6:$C$405,$AN2962)))</f>
        <v/>
      </c>
      <c r="X2962" s="14">
        <f>IF($AO2962="","","R"&amp;$C2962&amp;"."&amp;$D2962)</f>
        <v/>
      </c>
      <c r="Y2962" s="15">
        <f>IF($AN2962="","",IF(INDEX(職員マスタ!$K$6:$K$405,$AN2962)="","",INDEX(職員マスタ!$K$6:$K$405,$AN2962)))</f>
        <v/>
      </c>
      <c r="Z2962" s="14">
        <f>IF(OR($E2962="",$Y2962=""),"",IF($E2962&gt;=$Y2962,"×",IF($E2962&gt;=$Y2962*設定!$C$5,"△","○")))</f>
        <v/>
      </c>
      <c r="AA2962" s="15">
        <f>IF($Z2962="","",IF($Z2962="×",0,IF($Z2962="○",ROUNDDOWN($E2962*設定!$C$4,0),ROUNDDOWN($E2962*ROUND((9*$Y2962-9*$E2962)/(10*$E2962),4),0))))</f>
        <v/>
      </c>
      <c r="AB2962" s="13" t="n"/>
      <c r="AC2962" s="15">
        <f>IF($B2962="","",IF($AB2962&lt;&gt;"",$AB2962,IF($AA2962="","",IF($AA2962&lt;=設定!$C$3,0,$AA2962))))</f>
        <v/>
      </c>
      <c r="AD2962" s="14">
        <f>IF($B2962="","",IF(AND($AE2962&lt;&gt;"",$AG2962="",$AJ2962=""),"保留中",IF($AJ2962&lt;&gt;"",IF(N($AC2962)&gt;0,"支給済","不支給"),IF($AC2962="","要確認",IF($AC2962=0,"不支給","未処理")))))</f>
        <v/>
      </c>
      <c r="AE2962" s="12" t="n"/>
      <c r="AF2962" s="11" t="n"/>
      <c r="AG2962" s="11" t="n"/>
      <c r="AH2962" s="11" t="n"/>
      <c r="AI2962" s="14">
        <f>IF(AND($AD2962="保留中",$AF2962&lt;&gt;""),TODAY()-$AF2962,"")</f>
        <v/>
      </c>
      <c r="AJ2962" s="12" t="n"/>
      <c r="AK2962" s="14">
        <f>IF($B2962="","",IF($AO2962="","対象年月が未入力／","")&amp;IF($B2962="","",IF($AN2962="","職員マスタに未登録の職員番号／",IF($Y2962="","標準報酬月額が未登録／","")&amp;IF(AND($AO2962&lt;&gt;"",OR(AND(INDEX(職員マスタ!$G$6:$G$405,$AN2962)&lt;&gt;"",INDEX(職員マスタ!$G$6:$G$405,$AN2962)&gt;EOMONTH($AO2962,0)),AND(INDEX(職員マスタ!$H$6:$H$405,$AN2962)&lt;&gt;"",INDEX(職員マスタ!$H$6:$H$405,$AN2962)&lt;$AO2962))),"対象月が時短期間外／","")&amp;IF(AND(INDEX(職員マスタ!$F$6:$F$405,$AN2962)&lt;&gt;"",$AO2962&lt;&gt;"",INDEX(職員マスタ!$F$6:$F$405,$AN2962)&lt;$AO2962),"対象月に子が2歳到達済／","")&amp;IF(AND($H2962&lt;&gt;"",INDEX(職員マスタ!$B$6:$B$405,$AN2962)&lt;&gt;"",SUBSTITUTE(SUBSTITUTE($H2962," ","")," ","")&lt;&gt;SUBSTITUTE(SUBSTITUTE(INDEX(職員マスタ!$B$6:$B$405,$AN2962)," ","")," ","")),"氏名がマスタと相違／","")&amp;IF(AND($Q2962&lt;&gt;"",INDEX(職員マスタ!$E$6:$E$405,$AN2962)&lt;&gt;"",$Q2962&lt;&gt;INDEX(職員マスタ!$E$6:$E$405,$AN2962)),"子の生年月日がマスタと相違／","")&amp;IF(AND($L2962&lt;&gt;"",INDEX(職員マスタ!$G$6:$G$405,$AN2962)&lt;&gt;"",$L2962&lt;&gt;INDEX(職員マスタ!$G$6:$G$405,$AN2962)),"時短開始日がマスタと相違／","")&amp;IF(AND($M2962&lt;&gt;"",INDEX(職員マスタ!$H$6:$H$405,$AN2962)&lt;&gt;"",$M2962&lt;&gt;INDEX(職員マスタ!$H$6:$H$405,$AN2962)),"時短終了日がマスタと相違／","")))&amp;IF(AND($B2962&lt;&gt;"",$E2962=""),"報酬額が未入力／","")&amp;IF(N($U2962)&gt;0,"申請書に入力エラーが残っています／","")&amp;IF(AND($B2962&lt;&gt;"",$AO2962&lt;&gt;""),IF(COUNTIFS($B$6:$B$3005,$B2962,$C$6:$C$3005,$C2962,$D$6:$D$3005,$D2962)&gt;1,"同じ月の請求が重複しています／",""),"")&amp;IF(AND(N($E2962)&gt;0,$Z2962&lt;&gt;"",$Z2962&lt;&gt;"×",$AC2962=0,$AB2962=""),"計算額が下限以下のため不支給／",""))</f>
        <v/>
      </c>
      <c r="AL2962" s="12" t="n"/>
      <c r="AM2962" s="14">
        <f>IF($AD2962="保留中",COUNTIF($AD$6:$AD2962,"保留中"),"")</f>
        <v/>
      </c>
      <c r="AN2962" s="14">
        <f>IF($AO2962="","",IF(SUMPRODUCT(MAX((職員マスタ!$A$6:$A$405=$B2962)*(((職員マスタ!$G$6:$G$405="")+(職員マスタ!$G$6:$G$405&lt;=EOMONTH($AO2962,0)))&gt;0)*(((職員マスタ!$H$6:$H$405="")+(職員マスタ!$H$6:$H$405&gt;=$AO2962))&gt;0)*(ROW(職員マスタ!$A$6:$A$405)-5)))&gt;0,SUMPRODUCT(MAX((職員マスタ!$A$6:$A$405=$B2962)*(((職員マスタ!$G$6:$G$405="")+(職員マスタ!$G$6:$G$405&lt;=EOMONTH($AO2962,0)))&gt;0)*(((職員マスタ!$H$6:$H$405="")+(職員マスタ!$H$6:$H$405&gt;=$AO2962))&gt;0)*(ROW(職員マスタ!$A$6:$A$405)-5))),IFERROR(MATCH($B2962,職員マスタ!$A$6:$A$405,0),"")))</f>
        <v/>
      </c>
      <c r="AO2962" s="16">
        <f>IF(OR($B2962="",$C2962="",$D2962=""),"",DATE($C2962+2018,$D2962,1))</f>
        <v/>
      </c>
    </row>
    <row r="2963">
      <c r="A2963" s="11" t="n"/>
      <c r="B2963" s="12" t="n"/>
      <c r="C2963" s="12" t="n"/>
      <c r="D2963" s="12" t="n"/>
      <c r="E2963" s="13" t="n"/>
      <c r="F2963" s="12" t="n"/>
      <c r="G2963" s="13" t="n"/>
      <c r="H2963" s="12" t="n"/>
      <c r="I2963" s="12" t="n"/>
      <c r="J2963" s="12" t="n"/>
      <c r="K2963" s="12" t="n"/>
      <c r="L2963" s="11" t="n"/>
      <c r="M2963" s="11" t="n"/>
      <c r="N2963" s="11" t="n"/>
      <c r="O2963" s="11" t="n"/>
      <c r="P2963" s="12" t="n"/>
      <c r="Q2963" s="11" t="n"/>
      <c r="R2963" s="12" t="n"/>
      <c r="S2963" s="11" t="n"/>
      <c r="T2963" s="12" t="n"/>
      <c r="U2963" s="12" t="n"/>
      <c r="V2963" s="14">
        <f>IF($AN2963="",IF($B2963="","",$H2963),IF(INDEX(職員マスタ!$B$6:$B$405,$AN2963)="",$H2963,INDEX(職員マスタ!$B$6:$B$405,$AN2963)))</f>
        <v/>
      </c>
      <c r="W2963" s="14">
        <f>IF($AN2963="",IF($B2963="","",$R2963),IF(INDEX(職員マスタ!$C$6:$C$405,$AN2963)="",$R2963,INDEX(職員マスタ!$C$6:$C$405,$AN2963)))</f>
        <v/>
      </c>
      <c r="X2963" s="14">
        <f>IF($AO2963="","","R"&amp;$C2963&amp;"."&amp;$D2963)</f>
        <v/>
      </c>
      <c r="Y2963" s="15">
        <f>IF($AN2963="","",IF(INDEX(職員マスタ!$K$6:$K$405,$AN2963)="","",INDEX(職員マスタ!$K$6:$K$405,$AN2963)))</f>
        <v/>
      </c>
      <c r="Z2963" s="14">
        <f>IF(OR($E2963="",$Y2963=""),"",IF($E2963&gt;=$Y2963,"×",IF($E2963&gt;=$Y2963*設定!$C$5,"△","○")))</f>
        <v/>
      </c>
      <c r="AA2963" s="15">
        <f>IF($Z2963="","",IF($Z2963="×",0,IF($Z2963="○",ROUNDDOWN($E2963*設定!$C$4,0),ROUNDDOWN($E2963*ROUND((9*$Y2963-9*$E2963)/(10*$E2963),4),0))))</f>
        <v/>
      </c>
      <c r="AB2963" s="13" t="n"/>
      <c r="AC2963" s="15">
        <f>IF($B2963="","",IF($AB2963&lt;&gt;"",$AB2963,IF($AA2963="","",IF($AA2963&lt;=設定!$C$3,0,$AA2963))))</f>
        <v/>
      </c>
      <c r="AD2963" s="14">
        <f>IF($B2963="","",IF(AND($AE2963&lt;&gt;"",$AG2963="",$AJ2963=""),"保留中",IF($AJ2963&lt;&gt;"",IF(N($AC2963)&gt;0,"支給済","不支給"),IF($AC2963="","要確認",IF($AC2963=0,"不支給","未処理")))))</f>
        <v/>
      </c>
      <c r="AE2963" s="12" t="n"/>
      <c r="AF2963" s="11" t="n"/>
      <c r="AG2963" s="11" t="n"/>
      <c r="AH2963" s="11" t="n"/>
      <c r="AI2963" s="14">
        <f>IF(AND($AD2963="保留中",$AF2963&lt;&gt;""),TODAY()-$AF2963,"")</f>
        <v/>
      </c>
      <c r="AJ2963" s="12" t="n"/>
      <c r="AK2963" s="14">
        <f>IF($B2963="","",IF($AO2963="","対象年月が未入力／","")&amp;IF($B2963="","",IF($AN2963="","職員マスタに未登録の職員番号／",IF($Y2963="","標準報酬月額が未登録／","")&amp;IF(AND($AO2963&lt;&gt;"",OR(AND(INDEX(職員マスタ!$G$6:$G$405,$AN2963)&lt;&gt;"",INDEX(職員マスタ!$G$6:$G$405,$AN2963)&gt;EOMONTH($AO2963,0)),AND(INDEX(職員マスタ!$H$6:$H$405,$AN2963)&lt;&gt;"",INDEX(職員マスタ!$H$6:$H$405,$AN2963)&lt;$AO2963))),"対象月が時短期間外／","")&amp;IF(AND(INDEX(職員マスタ!$F$6:$F$405,$AN2963)&lt;&gt;"",$AO2963&lt;&gt;"",INDEX(職員マスタ!$F$6:$F$405,$AN2963)&lt;$AO2963),"対象月に子が2歳到達済／","")&amp;IF(AND($H2963&lt;&gt;"",INDEX(職員マスタ!$B$6:$B$405,$AN2963)&lt;&gt;"",SUBSTITUTE(SUBSTITUTE($H2963," ","")," ","")&lt;&gt;SUBSTITUTE(SUBSTITUTE(INDEX(職員マスタ!$B$6:$B$405,$AN2963)," ","")," ","")),"氏名がマスタと相違／","")&amp;IF(AND($Q2963&lt;&gt;"",INDEX(職員マスタ!$E$6:$E$405,$AN2963)&lt;&gt;"",$Q2963&lt;&gt;INDEX(職員マスタ!$E$6:$E$405,$AN2963)),"子の生年月日がマスタと相違／","")&amp;IF(AND($L2963&lt;&gt;"",INDEX(職員マスタ!$G$6:$G$405,$AN2963)&lt;&gt;"",$L2963&lt;&gt;INDEX(職員マスタ!$G$6:$G$405,$AN2963)),"時短開始日がマスタと相違／","")&amp;IF(AND($M2963&lt;&gt;"",INDEX(職員マスタ!$H$6:$H$405,$AN2963)&lt;&gt;"",$M2963&lt;&gt;INDEX(職員マスタ!$H$6:$H$405,$AN2963)),"時短終了日がマスタと相違／","")))&amp;IF(AND($B2963&lt;&gt;"",$E2963=""),"報酬額が未入力／","")&amp;IF(N($U2963)&gt;0,"申請書に入力エラーが残っています／","")&amp;IF(AND($B2963&lt;&gt;"",$AO2963&lt;&gt;""),IF(COUNTIFS($B$6:$B$3005,$B2963,$C$6:$C$3005,$C2963,$D$6:$D$3005,$D2963)&gt;1,"同じ月の請求が重複しています／",""),"")&amp;IF(AND(N($E2963)&gt;0,$Z2963&lt;&gt;"",$Z2963&lt;&gt;"×",$AC2963=0,$AB2963=""),"計算額が下限以下のため不支給／",""))</f>
        <v/>
      </c>
      <c r="AL2963" s="12" t="n"/>
      <c r="AM2963" s="14">
        <f>IF($AD2963="保留中",COUNTIF($AD$6:$AD2963,"保留中"),"")</f>
        <v/>
      </c>
      <c r="AN2963" s="14">
        <f>IF($AO2963="","",IF(SUMPRODUCT(MAX((職員マスタ!$A$6:$A$405=$B2963)*(((職員マスタ!$G$6:$G$405="")+(職員マスタ!$G$6:$G$405&lt;=EOMONTH($AO2963,0)))&gt;0)*(((職員マスタ!$H$6:$H$405="")+(職員マスタ!$H$6:$H$405&gt;=$AO2963))&gt;0)*(ROW(職員マスタ!$A$6:$A$405)-5)))&gt;0,SUMPRODUCT(MAX((職員マスタ!$A$6:$A$405=$B2963)*(((職員マスタ!$G$6:$G$405="")+(職員マスタ!$G$6:$G$405&lt;=EOMONTH($AO2963,0)))&gt;0)*(((職員マスタ!$H$6:$H$405="")+(職員マスタ!$H$6:$H$405&gt;=$AO2963))&gt;0)*(ROW(職員マスタ!$A$6:$A$405)-5))),IFERROR(MATCH($B2963,職員マスタ!$A$6:$A$405,0),"")))</f>
        <v/>
      </c>
      <c r="AO2963" s="16">
        <f>IF(OR($B2963="",$C2963="",$D2963=""),"",DATE($C2963+2018,$D2963,1))</f>
        <v/>
      </c>
    </row>
    <row r="2964">
      <c r="A2964" s="11" t="n"/>
      <c r="B2964" s="12" t="n"/>
      <c r="C2964" s="12" t="n"/>
      <c r="D2964" s="12" t="n"/>
      <c r="E2964" s="13" t="n"/>
      <c r="F2964" s="12" t="n"/>
      <c r="G2964" s="13" t="n"/>
      <c r="H2964" s="12" t="n"/>
      <c r="I2964" s="12" t="n"/>
      <c r="J2964" s="12" t="n"/>
      <c r="K2964" s="12" t="n"/>
      <c r="L2964" s="11" t="n"/>
      <c r="M2964" s="11" t="n"/>
      <c r="N2964" s="11" t="n"/>
      <c r="O2964" s="11" t="n"/>
      <c r="P2964" s="12" t="n"/>
      <c r="Q2964" s="11" t="n"/>
      <c r="R2964" s="12" t="n"/>
      <c r="S2964" s="11" t="n"/>
      <c r="T2964" s="12" t="n"/>
      <c r="U2964" s="12" t="n"/>
      <c r="V2964" s="14">
        <f>IF($AN2964="",IF($B2964="","",$H2964),IF(INDEX(職員マスタ!$B$6:$B$405,$AN2964)="",$H2964,INDEX(職員マスタ!$B$6:$B$405,$AN2964)))</f>
        <v/>
      </c>
      <c r="W2964" s="14">
        <f>IF($AN2964="",IF($B2964="","",$R2964),IF(INDEX(職員マスタ!$C$6:$C$405,$AN2964)="",$R2964,INDEX(職員マスタ!$C$6:$C$405,$AN2964)))</f>
        <v/>
      </c>
      <c r="X2964" s="14">
        <f>IF($AO2964="","","R"&amp;$C2964&amp;"."&amp;$D2964)</f>
        <v/>
      </c>
      <c r="Y2964" s="15">
        <f>IF($AN2964="","",IF(INDEX(職員マスタ!$K$6:$K$405,$AN2964)="","",INDEX(職員マスタ!$K$6:$K$405,$AN2964)))</f>
        <v/>
      </c>
      <c r="Z2964" s="14">
        <f>IF(OR($E2964="",$Y2964=""),"",IF($E2964&gt;=$Y2964,"×",IF($E2964&gt;=$Y2964*設定!$C$5,"△","○")))</f>
        <v/>
      </c>
      <c r="AA2964" s="15">
        <f>IF($Z2964="","",IF($Z2964="×",0,IF($Z2964="○",ROUNDDOWN($E2964*設定!$C$4,0),ROUNDDOWN($E2964*ROUND((9*$Y2964-9*$E2964)/(10*$E2964),4),0))))</f>
        <v/>
      </c>
      <c r="AB2964" s="13" t="n"/>
      <c r="AC2964" s="15">
        <f>IF($B2964="","",IF($AB2964&lt;&gt;"",$AB2964,IF($AA2964="","",IF($AA2964&lt;=設定!$C$3,0,$AA2964))))</f>
        <v/>
      </c>
      <c r="AD2964" s="14">
        <f>IF($B2964="","",IF(AND($AE2964&lt;&gt;"",$AG2964="",$AJ2964=""),"保留中",IF($AJ2964&lt;&gt;"",IF(N($AC2964)&gt;0,"支給済","不支給"),IF($AC2964="","要確認",IF($AC2964=0,"不支給","未処理")))))</f>
        <v/>
      </c>
      <c r="AE2964" s="12" t="n"/>
      <c r="AF2964" s="11" t="n"/>
      <c r="AG2964" s="11" t="n"/>
      <c r="AH2964" s="11" t="n"/>
      <c r="AI2964" s="14">
        <f>IF(AND($AD2964="保留中",$AF2964&lt;&gt;""),TODAY()-$AF2964,"")</f>
        <v/>
      </c>
      <c r="AJ2964" s="12" t="n"/>
      <c r="AK2964" s="14">
        <f>IF($B2964="","",IF($AO2964="","対象年月が未入力／","")&amp;IF($B2964="","",IF($AN2964="","職員マスタに未登録の職員番号／",IF($Y2964="","標準報酬月額が未登録／","")&amp;IF(AND($AO2964&lt;&gt;"",OR(AND(INDEX(職員マスタ!$G$6:$G$405,$AN2964)&lt;&gt;"",INDEX(職員マスタ!$G$6:$G$405,$AN2964)&gt;EOMONTH($AO2964,0)),AND(INDEX(職員マスタ!$H$6:$H$405,$AN2964)&lt;&gt;"",INDEX(職員マスタ!$H$6:$H$405,$AN2964)&lt;$AO2964))),"対象月が時短期間外／","")&amp;IF(AND(INDEX(職員マスタ!$F$6:$F$405,$AN2964)&lt;&gt;"",$AO2964&lt;&gt;"",INDEX(職員マスタ!$F$6:$F$405,$AN2964)&lt;$AO2964),"対象月に子が2歳到達済／","")&amp;IF(AND($H2964&lt;&gt;"",INDEX(職員マスタ!$B$6:$B$405,$AN2964)&lt;&gt;"",SUBSTITUTE(SUBSTITUTE($H2964," ","")," ","")&lt;&gt;SUBSTITUTE(SUBSTITUTE(INDEX(職員マスタ!$B$6:$B$405,$AN2964)," ","")," ","")),"氏名がマスタと相違／","")&amp;IF(AND($Q2964&lt;&gt;"",INDEX(職員マスタ!$E$6:$E$405,$AN2964)&lt;&gt;"",$Q2964&lt;&gt;INDEX(職員マスタ!$E$6:$E$405,$AN2964)),"子の生年月日がマスタと相違／","")&amp;IF(AND($L2964&lt;&gt;"",INDEX(職員マスタ!$G$6:$G$405,$AN2964)&lt;&gt;"",$L2964&lt;&gt;INDEX(職員マスタ!$G$6:$G$405,$AN2964)),"時短開始日がマスタと相違／","")&amp;IF(AND($M2964&lt;&gt;"",INDEX(職員マスタ!$H$6:$H$405,$AN2964)&lt;&gt;"",$M2964&lt;&gt;INDEX(職員マスタ!$H$6:$H$405,$AN2964)),"時短終了日がマスタと相違／","")))&amp;IF(AND($B2964&lt;&gt;"",$E2964=""),"報酬額が未入力／","")&amp;IF(N($U2964)&gt;0,"申請書に入力エラーが残っています／","")&amp;IF(AND($B2964&lt;&gt;"",$AO2964&lt;&gt;""),IF(COUNTIFS($B$6:$B$3005,$B2964,$C$6:$C$3005,$C2964,$D$6:$D$3005,$D2964)&gt;1,"同じ月の請求が重複しています／",""),"")&amp;IF(AND(N($E2964)&gt;0,$Z2964&lt;&gt;"",$Z2964&lt;&gt;"×",$AC2964=0,$AB2964=""),"計算額が下限以下のため不支給／",""))</f>
        <v/>
      </c>
      <c r="AL2964" s="12" t="n"/>
      <c r="AM2964" s="14">
        <f>IF($AD2964="保留中",COUNTIF($AD$6:$AD2964,"保留中"),"")</f>
        <v/>
      </c>
      <c r="AN2964" s="14">
        <f>IF($AO2964="","",IF(SUMPRODUCT(MAX((職員マスタ!$A$6:$A$405=$B2964)*(((職員マスタ!$G$6:$G$405="")+(職員マスタ!$G$6:$G$405&lt;=EOMONTH($AO2964,0)))&gt;0)*(((職員マスタ!$H$6:$H$405="")+(職員マスタ!$H$6:$H$405&gt;=$AO2964))&gt;0)*(ROW(職員マスタ!$A$6:$A$405)-5)))&gt;0,SUMPRODUCT(MAX((職員マスタ!$A$6:$A$405=$B2964)*(((職員マスタ!$G$6:$G$405="")+(職員マスタ!$G$6:$G$405&lt;=EOMONTH($AO2964,0)))&gt;0)*(((職員マスタ!$H$6:$H$405="")+(職員マスタ!$H$6:$H$405&gt;=$AO2964))&gt;0)*(ROW(職員マスタ!$A$6:$A$405)-5))),IFERROR(MATCH($B2964,職員マスタ!$A$6:$A$405,0),"")))</f>
        <v/>
      </c>
      <c r="AO2964" s="16">
        <f>IF(OR($B2964="",$C2964="",$D2964=""),"",DATE($C2964+2018,$D2964,1))</f>
        <v/>
      </c>
    </row>
    <row r="2965">
      <c r="A2965" s="11" t="n"/>
      <c r="B2965" s="12" t="n"/>
      <c r="C2965" s="12" t="n"/>
      <c r="D2965" s="12" t="n"/>
      <c r="E2965" s="13" t="n"/>
      <c r="F2965" s="12" t="n"/>
      <c r="G2965" s="13" t="n"/>
      <c r="H2965" s="12" t="n"/>
      <c r="I2965" s="12" t="n"/>
      <c r="J2965" s="12" t="n"/>
      <c r="K2965" s="12" t="n"/>
      <c r="L2965" s="11" t="n"/>
      <c r="M2965" s="11" t="n"/>
      <c r="N2965" s="11" t="n"/>
      <c r="O2965" s="11" t="n"/>
      <c r="P2965" s="12" t="n"/>
      <c r="Q2965" s="11" t="n"/>
      <c r="R2965" s="12" t="n"/>
      <c r="S2965" s="11" t="n"/>
      <c r="T2965" s="12" t="n"/>
      <c r="U2965" s="12" t="n"/>
      <c r="V2965" s="14">
        <f>IF($AN2965="",IF($B2965="","",$H2965),IF(INDEX(職員マスタ!$B$6:$B$405,$AN2965)="",$H2965,INDEX(職員マスタ!$B$6:$B$405,$AN2965)))</f>
        <v/>
      </c>
      <c r="W2965" s="14">
        <f>IF($AN2965="",IF($B2965="","",$R2965),IF(INDEX(職員マスタ!$C$6:$C$405,$AN2965)="",$R2965,INDEX(職員マスタ!$C$6:$C$405,$AN2965)))</f>
        <v/>
      </c>
      <c r="X2965" s="14">
        <f>IF($AO2965="","","R"&amp;$C2965&amp;"."&amp;$D2965)</f>
        <v/>
      </c>
      <c r="Y2965" s="15">
        <f>IF($AN2965="","",IF(INDEX(職員マスタ!$K$6:$K$405,$AN2965)="","",INDEX(職員マスタ!$K$6:$K$405,$AN2965)))</f>
        <v/>
      </c>
      <c r="Z2965" s="14">
        <f>IF(OR($E2965="",$Y2965=""),"",IF($E2965&gt;=$Y2965,"×",IF($E2965&gt;=$Y2965*設定!$C$5,"△","○")))</f>
        <v/>
      </c>
      <c r="AA2965" s="15">
        <f>IF($Z2965="","",IF($Z2965="×",0,IF($Z2965="○",ROUNDDOWN($E2965*設定!$C$4,0),ROUNDDOWN($E2965*ROUND((9*$Y2965-9*$E2965)/(10*$E2965),4),0))))</f>
        <v/>
      </c>
      <c r="AB2965" s="13" t="n"/>
      <c r="AC2965" s="15">
        <f>IF($B2965="","",IF($AB2965&lt;&gt;"",$AB2965,IF($AA2965="","",IF($AA2965&lt;=設定!$C$3,0,$AA2965))))</f>
        <v/>
      </c>
      <c r="AD2965" s="14">
        <f>IF($B2965="","",IF(AND($AE2965&lt;&gt;"",$AG2965="",$AJ2965=""),"保留中",IF($AJ2965&lt;&gt;"",IF(N($AC2965)&gt;0,"支給済","不支給"),IF($AC2965="","要確認",IF($AC2965=0,"不支給","未処理")))))</f>
        <v/>
      </c>
      <c r="AE2965" s="12" t="n"/>
      <c r="AF2965" s="11" t="n"/>
      <c r="AG2965" s="11" t="n"/>
      <c r="AH2965" s="11" t="n"/>
      <c r="AI2965" s="14">
        <f>IF(AND($AD2965="保留中",$AF2965&lt;&gt;""),TODAY()-$AF2965,"")</f>
        <v/>
      </c>
      <c r="AJ2965" s="12" t="n"/>
      <c r="AK2965" s="14">
        <f>IF($B2965="","",IF($AO2965="","対象年月が未入力／","")&amp;IF($B2965="","",IF($AN2965="","職員マスタに未登録の職員番号／",IF($Y2965="","標準報酬月額が未登録／","")&amp;IF(AND($AO2965&lt;&gt;"",OR(AND(INDEX(職員マスタ!$G$6:$G$405,$AN2965)&lt;&gt;"",INDEX(職員マスタ!$G$6:$G$405,$AN2965)&gt;EOMONTH($AO2965,0)),AND(INDEX(職員マスタ!$H$6:$H$405,$AN2965)&lt;&gt;"",INDEX(職員マスタ!$H$6:$H$405,$AN2965)&lt;$AO2965))),"対象月が時短期間外／","")&amp;IF(AND(INDEX(職員マスタ!$F$6:$F$405,$AN2965)&lt;&gt;"",$AO2965&lt;&gt;"",INDEX(職員マスタ!$F$6:$F$405,$AN2965)&lt;$AO2965),"対象月に子が2歳到達済／","")&amp;IF(AND($H2965&lt;&gt;"",INDEX(職員マスタ!$B$6:$B$405,$AN2965)&lt;&gt;"",SUBSTITUTE(SUBSTITUTE($H2965," ","")," ","")&lt;&gt;SUBSTITUTE(SUBSTITUTE(INDEX(職員マスタ!$B$6:$B$405,$AN2965)," ","")," ","")),"氏名がマスタと相違／","")&amp;IF(AND($Q2965&lt;&gt;"",INDEX(職員マスタ!$E$6:$E$405,$AN2965)&lt;&gt;"",$Q2965&lt;&gt;INDEX(職員マスタ!$E$6:$E$405,$AN2965)),"子の生年月日がマスタと相違／","")&amp;IF(AND($L2965&lt;&gt;"",INDEX(職員マスタ!$G$6:$G$405,$AN2965)&lt;&gt;"",$L2965&lt;&gt;INDEX(職員マスタ!$G$6:$G$405,$AN2965)),"時短開始日がマスタと相違／","")&amp;IF(AND($M2965&lt;&gt;"",INDEX(職員マスタ!$H$6:$H$405,$AN2965)&lt;&gt;"",$M2965&lt;&gt;INDEX(職員マスタ!$H$6:$H$405,$AN2965)),"時短終了日がマスタと相違／","")))&amp;IF(AND($B2965&lt;&gt;"",$E2965=""),"報酬額が未入力／","")&amp;IF(N($U2965)&gt;0,"申請書に入力エラーが残っています／","")&amp;IF(AND($B2965&lt;&gt;"",$AO2965&lt;&gt;""),IF(COUNTIFS($B$6:$B$3005,$B2965,$C$6:$C$3005,$C2965,$D$6:$D$3005,$D2965)&gt;1,"同じ月の請求が重複しています／",""),"")&amp;IF(AND(N($E2965)&gt;0,$Z2965&lt;&gt;"",$Z2965&lt;&gt;"×",$AC2965=0,$AB2965=""),"計算額が下限以下のため不支給／",""))</f>
        <v/>
      </c>
      <c r="AL2965" s="12" t="n"/>
      <c r="AM2965" s="14">
        <f>IF($AD2965="保留中",COUNTIF($AD$6:$AD2965,"保留中"),"")</f>
        <v/>
      </c>
      <c r="AN2965" s="14">
        <f>IF($AO2965="","",IF(SUMPRODUCT(MAX((職員マスタ!$A$6:$A$405=$B2965)*(((職員マスタ!$G$6:$G$405="")+(職員マスタ!$G$6:$G$405&lt;=EOMONTH($AO2965,0)))&gt;0)*(((職員マスタ!$H$6:$H$405="")+(職員マスタ!$H$6:$H$405&gt;=$AO2965))&gt;0)*(ROW(職員マスタ!$A$6:$A$405)-5)))&gt;0,SUMPRODUCT(MAX((職員マスタ!$A$6:$A$405=$B2965)*(((職員マスタ!$G$6:$G$405="")+(職員マスタ!$G$6:$G$405&lt;=EOMONTH($AO2965,0)))&gt;0)*(((職員マスタ!$H$6:$H$405="")+(職員マスタ!$H$6:$H$405&gt;=$AO2965))&gt;0)*(ROW(職員マスタ!$A$6:$A$405)-5))),IFERROR(MATCH($B2965,職員マスタ!$A$6:$A$405,0),"")))</f>
        <v/>
      </c>
      <c r="AO2965" s="16">
        <f>IF(OR($B2965="",$C2965="",$D2965=""),"",DATE($C2965+2018,$D2965,1))</f>
        <v/>
      </c>
    </row>
    <row r="2966">
      <c r="A2966" s="11" t="n"/>
      <c r="B2966" s="12" t="n"/>
      <c r="C2966" s="12" t="n"/>
      <c r="D2966" s="12" t="n"/>
      <c r="E2966" s="13" t="n"/>
      <c r="F2966" s="12" t="n"/>
      <c r="G2966" s="13" t="n"/>
      <c r="H2966" s="12" t="n"/>
      <c r="I2966" s="12" t="n"/>
      <c r="J2966" s="12" t="n"/>
      <c r="K2966" s="12" t="n"/>
      <c r="L2966" s="11" t="n"/>
      <c r="M2966" s="11" t="n"/>
      <c r="N2966" s="11" t="n"/>
      <c r="O2966" s="11" t="n"/>
      <c r="P2966" s="12" t="n"/>
      <c r="Q2966" s="11" t="n"/>
      <c r="R2966" s="12" t="n"/>
      <c r="S2966" s="11" t="n"/>
      <c r="T2966" s="12" t="n"/>
      <c r="U2966" s="12" t="n"/>
      <c r="V2966" s="14">
        <f>IF($AN2966="",IF($B2966="","",$H2966),IF(INDEX(職員マスタ!$B$6:$B$405,$AN2966)="",$H2966,INDEX(職員マスタ!$B$6:$B$405,$AN2966)))</f>
        <v/>
      </c>
      <c r="W2966" s="14">
        <f>IF($AN2966="",IF($B2966="","",$R2966),IF(INDEX(職員マスタ!$C$6:$C$405,$AN2966)="",$R2966,INDEX(職員マスタ!$C$6:$C$405,$AN2966)))</f>
        <v/>
      </c>
      <c r="X2966" s="14">
        <f>IF($AO2966="","","R"&amp;$C2966&amp;"."&amp;$D2966)</f>
        <v/>
      </c>
      <c r="Y2966" s="15">
        <f>IF($AN2966="","",IF(INDEX(職員マスタ!$K$6:$K$405,$AN2966)="","",INDEX(職員マスタ!$K$6:$K$405,$AN2966)))</f>
        <v/>
      </c>
      <c r="Z2966" s="14">
        <f>IF(OR($E2966="",$Y2966=""),"",IF($E2966&gt;=$Y2966,"×",IF($E2966&gt;=$Y2966*設定!$C$5,"△","○")))</f>
        <v/>
      </c>
      <c r="AA2966" s="15">
        <f>IF($Z2966="","",IF($Z2966="×",0,IF($Z2966="○",ROUNDDOWN($E2966*設定!$C$4,0),ROUNDDOWN($E2966*ROUND((9*$Y2966-9*$E2966)/(10*$E2966),4),0))))</f>
        <v/>
      </c>
      <c r="AB2966" s="13" t="n"/>
      <c r="AC2966" s="15">
        <f>IF($B2966="","",IF($AB2966&lt;&gt;"",$AB2966,IF($AA2966="","",IF($AA2966&lt;=設定!$C$3,0,$AA2966))))</f>
        <v/>
      </c>
      <c r="AD2966" s="14">
        <f>IF($B2966="","",IF(AND($AE2966&lt;&gt;"",$AG2966="",$AJ2966=""),"保留中",IF($AJ2966&lt;&gt;"",IF(N($AC2966)&gt;0,"支給済","不支給"),IF($AC2966="","要確認",IF($AC2966=0,"不支給","未処理")))))</f>
        <v/>
      </c>
      <c r="AE2966" s="12" t="n"/>
      <c r="AF2966" s="11" t="n"/>
      <c r="AG2966" s="11" t="n"/>
      <c r="AH2966" s="11" t="n"/>
      <c r="AI2966" s="14">
        <f>IF(AND($AD2966="保留中",$AF2966&lt;&gt;""),TODAY()-$AF2966,"")</f>
        <v/>
      </c>
      <c r="AJ2966" s="12" t="n"/>
      <c r="AK2966" s="14">
        <f>IF($B2966="","",IF($AO2966="","対象年月が未入力／","")&amp;IF($B2966="","",IF($AN2966="","職員マスタに未登録の職員番号／",IF($Y2966="","標準報酬月額が未登録／","")&amp;IF(AND($AO2966&lt;&gt;"",OR(AND(INDEX(職員マスタ!$G$6:$G$405,$AN2966)&lt;&gt;"",INDEX(職員マスタ!$G$6:$G$405,$AN2966)&gt;EOMONTH($AO2966,0)),AND(INDEX(職員マスタ!$H$6:$H$405,$AN2966)&lt;&gt;"",INDEX(職員マスタ!$H$6:$H$405,$AN2966)&lt;$AO2966))),"対象月が時短期間外／","")&amp;IF(AND(INDEX(職員マスタ!$F$6:$F$405,$AN2966)&lt;&gt;"",$AO2966&lt;&gt;"",INDEX(職員マスタ!$F$6:$F$405,$AN2966)&lt;$AO2966),"対象月に子が2歳到達済／","")&amp;IF(AND($H2966&lt;&gt;"",INDEX(職員マスタ!$B$6:$B$405,$AN2966)&lt;&gt;"",SUBSTITUTE(SUBSTITUTE($H2966," ","")," ","")&lt;&gt;SUBSTITUTE(SUBSTITUTE(INDEX(職員マスタ!$B$6:$B$405,$AN2966)," ","")," ","")),"氏名がマスタと相違／","")&amp;IF(AND($Q2966&lt;&gt;"",INDEX(職員マスタ!$E$6:$E$405,$AN2966)&lt;&gt;"",$Q2966&lt;&gt;INDEX(職員マスタ!$E$6:$E$405,$AN2966)),"子の生年月日がマスタと相違／","")&amp;IF(AND($L2966&lt;&gt;"",INDEX(職員マスタ!$G$6:$G$405,$AN2966)&lt;&gt;"",$L2966&lt;&gt;INDEX(職員マスタ!$G$6:$G$405,$AN2966)),"時短開始日がマスタと相違／","")&amp;IF(AND($M2966&lt;&gt;"",INDEX(職員マスタ!$H$6:$H$405,$AN2966)&lt;&gt;"",$M2966&lt;&gt;INDEX(職員マスタ!$H$6:$H$405,$AN2966)),"時短終了日がマスタと相違／","")))&amp;IF(AND($B2966&lt;&gt;"",$E2966=""),"報酬額が未入力／","")&amp;IF(N($U2966)&gt;0,"申請書に入力エラーが残っています／","")&amp;IF(AND($B2966&lt;&gt;"",$AO2966&lt;&gt;""),IF(COUNTIFS($B$6:$B$3005,$B2966,$C$6:$C$3005,$C2966,$D$6:$D$3005,$D2966)&gt;1,"同じ月の請求が重複しています／",""),"")&amp;IF(AND(N($E2966)&gt;0,$Z2966&lt;&gt;"",$Z2966&lt;&gt;"×",$AC2966=0,$AB2966=""),"計算額が下限以下のため不支給／",""))</f>
        <v/>
      </c>
      <c r="AL2966" s="12" t="n"/>
      <c r="AM2966" s="14">
        <f>IF($AD2966="保留中",COUNTIF($AD$6:$AD2966,"保留中"),"")</f>
        <v/>
      </c>
      <c r="AN2966" s="14">
        <f>IF($AO2966="","",IF(SUMPRODUCT(MAX((職員マスタ!$A$6:$A$405=$B2966)*(((職員マスタ!$G$6:$G$405="")+(職員マスタ!$G$6:$G$405&lt;=EOMONTH($AO2966,0)))&gt;0)*(((職員マスタ!$H$6:$H$405="")+(職員マスタ!$H$6:$H$405&gt;=$AO2966))&gt;0)*(ROW(職員マスタ!$A$6:$A$405)-5)))&gt;0,SUMPRODUCT(MAX((職員マスタ!$A$6:$A$405=$B2966)*(((職員マスタ!$G$6:$G$405="")+(職員マスタ!$G$6:$G$405&lt;=EOMONTH($AO2966,0)))&gt;0)*(((職員マスタ!$H$6:$H$405="")+(職員マスタ!$H$6:$H$405&gt;=$AO2966))&gt;0)*(ROW(職員マスタ!$A$6:$A$405)-5))),IFERROR(MATCH($B2966,職員マスタ!$A$6:$A$405,0),"")))</f>
        <v/>
      </c>
      <c r="AO2966" s="16">
        <f>IF(OR($B2966="",$C2966="",$D2966=""),"",DATE($C2966+2018,$D2966,1))</f>
        <v/>
      </c>
    </row>
    <row r="2967">
      <c r="A2967" s="11" t="n"/>
      <c r="B2967" s="12" t="n"/>
      <c r="C2967" s="12" t="n"/>
      <c r="D2967" s="12" t="n"/>
      <c r="E2967" s="13" t="n"/>
      <c r="F2967" s="12" t="n"/>
      <c r="G2967" s="13" t="n"/>
      <c r="H2967" s="12" t="n"/>
      <c r="I2967" s="12" t="n"/>
      <c r="J2967" s="12" t="n"/>
      <c r="K2967" s="12" t="n"/>
      <c r="L2967" s="11" t="n"/>
      <c r="M2967" s="11" t="n"/>
      <c r="N2967" s="11" t="n"/>
      <c r="O2967" s="11" t="n"/>
      <c r="P2967" s="12" t="n"/>
      <c r="Q2967" s="11" t="n"/>
      <c r="R2967" s="12" t="n"/>
      <c r="S2967" s="11" t="n"/>
      <c r="T2967" s="12" t="n"/>
      <c r="U2967" s="12" t="n"/>
      <c r="V2967" s="14">
        <f>IF($AN2967="",IF($B2967="","",$H2967),IF(INDEX(職員マスタ!$B$6:$B$405,$AN2967)="",$H2967,INDEX(職員マスタ!$B$6:$B$405,$AN2967)))</f>
        <v/>
      </c>
      <c r="W2967" s="14">
        <f>IF($AN2967="",IF($B2967="","",$R2967),IF(INDEX(職員マスタ!$C$6:$C$405,$AN2967)="",$R2967,INDEX(職員マスタ!$C$6:$C$405,$AN2967)))</f>
        <v/>
      </c>
      <c r="X2967" s="14">
        <f>IF($AO2967="","","R"&amp;$C2967&amp;"."&amp;$D2967)</f>
        <v/>
      </c>
      <c r="Y2967" s="15">
        <f>IF($AN2967="","",IF(INDEX(職員マスタ!$K$6:$K$405,$AN2967)="","",INDEX(職員マスタ!$K$6:$K$405,$AN2967)))</f>
        <v/>
      </c>
      <c r="Z2967" s="14">
        <f>IF(OR($E2967="",$Y2967=""),"",IF($E2967&gt;=$Y2967,"×",IF($E2967&gt;=$Y2967*設定!$C$5,"△","○")))</f>
        <v/>
      </c>
      <c r="AA2967" s="15">
        <f>IF($Z2967="","",IF($Z2967="×",0,IF($Z2967="○",ROUNDDOWN($E2967*設定!$C$4,0),ROUNDDOWN($E2967*ROUND((9*$Y2967-9*$E2967)/(10*$E2967),4),0))))</f>
        <v/>
      </c>
      <c r="AB2967" s="13" t="n"/>
      <c r="AC2967" s="15">
        <f>IF($B2967="","",IF($AB2967&lt;&gt;"",$AB2967,IF($AA2967="","",IF($AA2967&lt;=設定!$C$3,0,$AA2967))))</f>
        <v/>
      </c>
      <c r="AD2967" s="14">
        <f>IF($B2967="","",IF(AND($AE2967&lt;&gt;"",$AG2967="",$AJ2967=""),"保留中",IF($AJ2967&lt;&gt;"",IF(N($AC2967)&gt;0,"支給済","不支給"),IF($AC2967="","要確認",IF($AC2967=0,"不支給","未処理")))))</f>
        <v/>
      </c>
      <c r="AE2967" s="12" t="n"/>
      <c r="AF2967" s="11" t="n"/>
      <c r="AG2967" s="11" t="n"/>
      <c r="AH2967" s="11" t="n"/>
      <c r="AI2967" s="14">
        <f>IF(AND($AD2967="保留中",$AF2967&lt;&gt;""),TODAY()-$AF2967,"")</f>
        <v/>
      </c>
      <c r="AJ2967" s="12" t="n"/>
      <c r="AK2967" s="14">
        <f>IF($B2967="","",IF($AO2967="","対象年月が未入力／","")&amp;IF($B2967="","",IF($AN2967="","職員マスタに未登録の職員番号／",IF($Y2967="","標準報酬月額が未登録／","")&amp;IF(AND($AO2967&lt;&gt;"",OR(AND(INDEX(職員マスタ!$G$6:$G$405,$AN2967)&lt;&gt;"",INDEX(職員マスタ!$G$6:$G$405,$AN2967)&gt;EOMONTH($AO2967,0)),AND(INDEX(職員マスタ!$H$6:$H$405,$AN2967)&lt;&gt;"",INDEX(職員マスタ!$H$6:$H$405,$AN2967)&lt;$AO2967))),"対象月が時短期間外／","")&amp;IF(AND(INDEX(職員マスタ!$F$6:$F$405,$AN2967)&lt;&gt;"",$AO2967&lt;&gt;"",INDEX(職員マスタ!$F$6:$F$405,$AN2967)&lt;$AO2967),"対象月に子が2歳到達済／","")&amp;IF(AND($H2967&lt;&gt;"",INDEX(職員マスタ!$B$6:$B$405,$AN2967)&lt;&gt;"",SUBSTITUTE(SUBSTITUTE($H2967," ","")," ","")&lt;&gt;SUBSTITUTE(SUBSTITUTE(INDEX(職員マスタ!$B$6:$B$405,$AN2967)," ","")," ","")),"氏名がマスタと相違／","")&amp;IF(AND($Q2967&lt;&gt;"",INDEX(職員マスタ!$E$6:$E$405,$AN2967)&lt;&gt;"",$Q2967&lt;&gt;INDEX(職員マスタ!$E$6:$E$405,$AN2967)),"子の生年月日がマスタと相違／","")&amp;IF(AND($L2967&lt;&gt;"",INDEX(職員マスタ!$G$6:$G$405,$AN2967)&lt;&gt;"",$L2967&lt;&gt;INDEX(職員マスタ!$G$6:$G$405,$AN2967)),"時短開始日がマスタと相違／","")&amp;IF(AND($M2967&lt;&gt;"",INDEX(職員マスタ!$H$6:$H$405,$AN2967)&lt;&gt;"",$M2967&lt;&gt;INDEX(職員マスタ!$H$6:$H$405,$AN2967)),"時短終了日がマスタと相違／","")))&amp;IF(AND($B2967&lt;&gt;"",$E2967=""),"報酬額が未入力／","")&amp;IF(N($U2967)&gt;0,"申請書に入力エラーが残っています／","")&amp;IF(AND($B2967&lt;&gt;"",$AO2967&lt;&gt;""),IF(COUNTIFS($B$6:$B$3005,$B2967,$C$6:$C$3005,$C2967,$D$6:$D$3005,$D2967)&gt;1,"同じ月の請求が重複しています／",""),"")&amp;IF(AND(N($E2967)&gt;0,$Z2967&lt;&gt;"",$Z2967&lt;&gt;"×",$AC2967=0,$AB2967=""),"計算額が下限以下のため不支給／",""))</f>
        <v/>
      </c>
      <c r="AL2967" s="12" t="n"/>
      <c r="AM2967" s="14">
        <f>IF($AD2967="保留中",COUNTIF($AD$6:$AD2967,"保留中"),"")</f>
        <v/>
      </c>
      <c r="AN2967" s="14">
        <f>IF($AO2967="","",IF(SUMPRODUCT(MAX((職員マスタ!$A$6:$A$405=$B2967)*(((職員マスタ!$G$6:$G$405="")+(職員マスタ!$G$6:$G$405&lt;=EOMONTH($AO2967,0)))&gt;0)*(((職員マスタ!$H$6:$H$405="")+(職員マスタ!$H$6:$H$405&gt;=$AO2967))&gt;0)*(ROW(職員マスタ!$A$6:$A$405)-5)))&gt;0,SUMPRODUCT(MAX((職員マスタ!$A$6:$A$405=$B2967)*(((職員マスタ!$G$6:$G$405="")+(職員マスタ!$G$6:$G$405&lt;=EOMONTH($AO2967,0)))&gt;0)*(((職員マスタ!$H$6:$H$405="")+(職員マスタ!$H$6:$H$405&gt;=$AO2967))&gt;0)*(ROW(職員マスタ!$A$6:$A$405)-5))),IFERROR(MATCH($B2967,職員マスタ!$A$6:$A$405,0),"")))</f>
        <v/>
      </c>
      <c r="AO2967" s="16">
        <f>IF(OR($B2967="",$C2967="",$D2967=""),"",DATE($C2967+2018,$D2967,1))</f>
        <v/>
      </c>
    </row>
    <row r="2968">
      <c r="A2968" s="11" t="n"/>
      <c r="B2968" s="12" t="n"/>
      <c r="C2968" s="12" t="n"/>
      <c r="D2968" s="12" t="n"/>
      <c r="E2968" s="13" t="n"/>
      <c r="F2968" s="12" t="n"/>
      <c r="G2968" s="13" t="n"/>
      <c r="H2968" s="12" t="n"/>
      <c r="I2968" s="12" t="n"/>
      <c r="J2968" s="12" t="n"/>
      <c r="K2968" s="12" t="n"/>
      <c r="L2968" s="11" t="n"/>
      <c r="M2968" s="11" t="n"/>
      <c r="N2968" s="11" t="n"/>
      <c r="O2968" s="11" t="n"/>
      <c r="P2968" s="12" t="n"/>
      <c r="Q2968" s="11" t="n"/>
      <c r="R2968" s="12" t="n"/>
      <c r="S2968" s="11" t="n"/>
      <c r="T2968" s="12" t="n"/>
      <c r="U2968" s="12" t="n"/>
      <c r="V2968" s="14">
        <f>IF($AN2968="",IF($B2968="","",$H2968),IF(INDEX(職員マスタ!$B$6:$B$405,$AN2968)="",$H2968,INDEX(職員マスタ!$B$6:$B$405,$AN2968)))</f>
        <v/>
      </c>
      <c r="W2968" s="14">
        <f>IF($AN2968="",IF($B2968="","",$R2968),IF(INDEX(職員マスタ!$C$6:$C$405,$AN2968)="",$R2968,INDEX(職員マスタ!$C$6:$C$405,$AN2968)))</f>
        <v/>
      </c>
      <c r="X2968" s="14">
        <f>IF($AO2968="","","R"&amp;$C2968&amp;"."&amp;$D2968)</f>
        <v/>
      </c>
      <c r="Y2968" s="15">
        <f>IF($AN2968="","",IF(INDEX(職員マスタ!$K$6:$K$405,$AN2968)="","",INDEX(職員マスタ!$K$6:$K$405,$AN2968)))</f>
        <v/>
      </c>
      <c r="Z2968" s="14">
        <f>IF(OR($E2968="",$Y2968=""),"",IF($E2968&gt;=$Y2968,"×",IF($E2968&gt;=$Y2968*設定!$C$5,"△","○")))</f>
        <v/>
      </c>
      <c r="AA2968" s="15">
        <f>IF($Z2968="","",IF($Z2968="×",0,IF($Z2968="○",ROUNDDOWN($E2968*設定!$C$4,0),ROUNDDOWN($E2968*ROUND((9*$Y2968-9*$E2968)/(10*$E2968),4),0))))</f>
        <v/>
      </c>
      <c r="AB2968" s="13" t="n"/>
      <c r="AC2968" s="15">
        <f>IF($B2968="","",IF($AB2968&lt;&gt;"",$AB2968,IF($AA2968="","",IF($AA2968&lt;=設定!$C$3,0,$AA2968))))</f>
        <v/>
      </c>
      <c r="AD2968" s="14">
        <f>IF($B2968="","",IF(AND($AE2968&lt;&gt;"",$AG2968="",$AJ2968=""),"保留中",IF($AJ2968&lt;&gt;"",IF(N($AC2968)&gt;0,"支給済","不支給"),IF($AC2968="","要確認",IF($AC2968=0,"不支給","未処理")))))</f>
        <v/>
      </c>
      <c r="AE2968" s="12" t="n"/>
      <c r="AF2968" s="11" t="n"/>
      <c r="AG2968" s="11" t="n"/>
      <c r="AH2968" s="11" t="n"/>
      <c r="AI2968" s="14">
        <f>IF(AND($AD2968="保留中",$AF2968&lt;&gt;""),TODAY()-$AF2968,"")</f>
        <v/>
      </c>
      <c r="AJ2968" s="12" t="n"/>
      <c r="AK2968" s="14">
        <f>IF($B2968="","",IF($AO2968="","対象年月が未入力／","")&amp;IF($B2968="","",IF($AN2968="","職員マスタに未登録の職員番号／",IF($Y2968="","標準報酬月額が未登録／","")&amp;IF(AND($AO2968&lt;&gt;"",OR(AND(INDEX(職員マスタ!$G$6:$G$405,$AN2968)&lt;&gt;"",INDEX(職員マスタ!$G$6:$G$405,$AN2968)&gt;EOMONTH($AO2968,0)),AND(INDEX(職員マスタ!$H$6:$H$405,$AN2968)&lt;&gt;"",INDEX(職員マスタ!$H$6:$H$405,$AN2968)&lt;$AO2968))),"対象月が時短期間外／","")&amp;IF(AND(INDEX(職員マスタ!$F$6:$F$405,$AN2968)&lt;&gt;"",$AO2968&lt;&gt;"",INDEX(職員マスタ!$F$6:$F$405,$AN2968)&lt;$AO2968),"対象月に子が2歳到達済／","")&amp;IF(AND($H2968&lt;&gt;"",INDEX(職員マスタ!$B$6:$B$405,$AN2968)&lt;&gt;"",SUBSTITUTE(SUBSTITUTE($H2968," ","")," ","")&lt;&gt;SUBSTITUTE(SUBSTITUTE(INDEX(職員マスタ!$B$6:$B$405,$AN2968)," ","")," ","")),"氏名がマスタと相違／","")&amp;IF(AND($Q2968&lt;&gt;"",INDEX(職員マスタ!$E$6:$E$405,$AN2968)&lt;&gt;"",$Q2968&lt;&gt;INDEX(職員マスタ!$E$6:$E$405,$AN2968)),"子の生年月日がマスタと相違／","")&amp;IF(AND($L2968&lt;&gt;"",INDEX(職員マスタ!$G$6:$G$405,$AN2968)&lt;&gt;"",$L2968&lt;&gt;INDEX(職員マスタ!$G$6:$G$405,$AN2968)),"時短開始日がマスタと相違／","")&amp;IF(AND($M2968&lt;&gt;"",INDEX(職員マスタ!$H$6:$H$405,$AN2968)&lt;&gt;"",$M2968&lt;&gt;INDEX(職員マスタ!$H$6:$H$405,$AN2968)),"時短終了日がマスタと相違／","")))&amp;IF(AND($B2968&lt;&gt;"",$E2968=""),"報酬額が未入力／","")&amp;IF(N($U2968)&gt;0,"申請書に入力エラーが残っています／","")&amp;IF(AND($B2968&lt;&gt;"",$AO2968&lt;&gt;""),IF(COUNTIFS($B$6:$B$3005,$B2968,$C$6:$C$3005,$C2968,$D$6:$D$3005,$D2968)&gt;1,"同じ月の請求が重複しています／",""),"")&amp;IF(AND(N($E2968)&gt;0,$Z2968&lt;&gt;"",$Z2968&lt;&gt;"×",$AC2968=0,$AB2968=""),"計算額が下限以下のため不支給／",""))</f>
        <v/>
      </c>
      <c r="AL2968" s="12" t="n"/>
      <c r="AM2968" s="14">
        <f>IF($AD2968="保留中",COUNTIF($AD$6:$AD2968,"保留中"),"")</f>
        <v/>
      </c>
      <c r="AN2968" s="14">
        <f>IF($AO2968="","",IF(SUMPRODUCT(MAX((職員マスタ!$A$6:$A$405=$B2968)*(((職員マスタ!$G$6:$G$405="")+(職員マスタ!$G$6:$G$405&lt;=EOMONTH($AO2968,0)))&gt;0)*(((職員マスタ!$H$6:$H$405="")+(職員マスタ!$H$6:$H$405&gt;=$AO2968))&gt;0)*(ROW(職員マスタ!$A$6:$A$405)-5)))&gt;0,SUMPRODUCT(MAX((職員マスタ!$A$6:$A$405=$B2968)*(((職員マスタ!$G$6:$G$405="")+(職員マスタ!$G$6:$G$405&lt;=EOMONTH($AO2968,0)))&gt;0)*(((職員マスタ!$H$6:$H$405="")+(職員マスタ!$H$6:$H$405&gt;=$AO2968))&gt;0)*(ROW(職員マスタ!$A$6:$A$405)-5))),IFERROR(MATCH($B2968,職員マスタ!$A$6:$A$405,0),"")))</f>
        <v/>
      </c>
      <c r="AO2968" s="16">
        <f>IF(OR($B2968="",$C2968="",$D2968=""),"",DATE($C2968+2018,$D2968,1))</f>
        <v/>
      </c>
    </row>
    <row r="2969">
      <c r="A2969" s="11" t="n"/>
      <c r="B2969" s="12" t="n"/>
      <c r="C2969" s="12" t="n"/>
      <c r="D2969" s="12" t="n"/>
      <c r="E2969" s="13" t="n"/>
      <c r="F2969" s="12" t="n"/>
      <c r="G2969" s="13" t="n"/>
      <c r="H2969" s="12" t="n"/>
      <c r="I2969" s="12" t="n"/>
      <c r="J2969" s="12" t="n"/>
      <c r="K2969" s="12" t="n"/>
      <c r="L2969" s="11" t="n"/>
      <c r="M2969" s="11" t="n"/>
      <c r="N2969" s="11" t="n"/>
      <c r="O2969" s="11" t="n"/>
      <c r="P2969" s="12" t="n"/>
      <c r="Q2969" s="11" t="n"/>
      <c r="R2969" s="12" t="n"/>
      <c r="S2969" s="11" t="n"/>
      <c r="T2969" s="12" t="n"/>
      <c r="U2969" s="12" t="n"/>
      <c r="V2969" s="14">
        <f>IF($AN2969="",IF($B2969="","",$H2969),IF(INDEX(職員マスタ!$B$6:$B$405,$AN2969)="",$H2969,INDEX(職員マスタ!$B$6:$B$405,$AN2969)))</f>
        <v/>
      </c>
      <c r="W2969" s="14">
        <f>IF($AN2969="",IF($B2969="","",$R2969),IF(INDEX(職員マスタ!$C$6:$C$405,$AN2969)="",$R2969,INDEX(職員マスタ!$C$6:$C$405,$AN2969)))</f>
        <v/>
      </c>
      <c r="X2969" s="14">
        <f>IF($AO2969="","","R"&amp;$C2969&amp;"."&amp;$D2969)</f>
        <v/>
      </c>
      <c r="Y2969" s="15">
        <f>IF($AN2969="","",IF(INDEX(職員マスタ!$K$6:$K$405,$AN2969)="","",INDEX(職員マスタ!$K$6:$K$405,$AN2969)))</f>
        <v/>
      </c>
      <c r="Z2969" s="14">
        <f>IF(OR($E2969="",$Y2969=""),"",IF($E2969&gt;=$Y2969,"×",IF($E2969&gt;=$Y2969*設定!$C$5,"△","○")))</f>
        <v/>
      </c>
      <c r="AA2969" s="15">
        <f>IF($Z2969="","",IF($Z2969="×",0,IF($Z2969="○",ROUNDDOWN($E2969*設定!$C$4,0),ROUNDDOWN($E2969*ROUND((9*$Y2969-9*$E2969)/(10*$E2969),4),0))))</f>
        <v/>
      </c>
      <c r="AB2969" s="13" t="n"/>
      <c r="AC2969" s="15">
        <f>IF($B2969="","",IF($AB2969&lt;&gt;"",$AB2969,IF($AA2969="","",IF($AA2969&lt;=設定!$C$3,0,$AA2969))))</f>
        <v/>
      </c>
      <c r="AD2969" s="14">
        <f>IF($B2969="","",IF(AND($AE2969&lt;&gt;"",$AG2969="",$AJ2969=""),"保留中",IF($AJ2969&lt;&gt;"",IF(N($AC2969)&gt;0,"支給済","不支給"),IF($AC2969="","要確認",IF($AC2969=0,"不支給","未処理")))))</f>
        <v/>
      </c>
      <c r="AE2969" s="12" t="n"/>
      <c r="AF2969" s="11" t="n"/>
      <c r="AG2969" s="11" t="n"/>
      <c r="AH2969" s="11" t="n"/>
      <c r="AI2969" s="14">
        <f>IF(AND($AD2969="保留中",$AF2969&lt;&gt;""),TODAY()-$AF2969,"")</f>
        <v/>
      </c>
      <c r="AJ2969" s="12" t="n"/>
      <c r="AK2969" s="14">
        <f>IF($B2969="","",IF($AO2969="","対象年月が未入力／","")&amp;IF($B2969="","",IF($AN2969="","職員マスタに未登録の職員番号／",IF($Y2969="","標準報酬月額が未登録／","")&amp;IF(AND($AO2969&lt;&gt;"",OR(AND(INDEX(職員マスタ!$G$6:$G$405,$AN2969)&lt;&gt;"",INDEX(職員マスタ!$G$6:$G$405,$AN2969)&gt;EOMONTH($AO2969,0)),AND(INDEX(職員マスタ!$H$6:$H$405,$AN2969)&lt;&gt;"",INDEX(職員マスタ!$H$6:$H$405,$AN2969)&lt;$AO2969))),"対象月が時短期間外／","")&amp;IF(AND(INDEX(職員マスタ!$F$6:$F$405,$AN2969)&lt;&gt;"",$AO2969&lt;&gt;"",INDEX(職員マスタ!$F$6:$F$405,$AN2969)&lt;$AO2969),"対象月に子が2歳到達済／","")&amp;IF(AND($H2969&lt;&gt;"",INDEX(職員マスタ!$B$6:$B$405,$AN2969)&lt;&gt;"",SUBSTITUTE(SUBSTITUTE($H2969," ","")," ","")&lt;&gt;SUBSTITUTE(SUBSTITUTE(INDEX(職員マスタ!$B$6:$B$405,$AN2969)," ","")," ","")),"氏名がマスタと相違／","")&amp;IF(AND($Q2969&lt;&gt;"",INDEX(職員マスタ!$E$6:$E$405,$AN2969)&lt;&gt;"",$Q2969&lt;&gt;INDEX(職員マスタ!$E$6:$E$405,$AN2969)),"子の生年月日がマスタと相違／","")&amp;IF(AND($L2969&lt;&gt;"",INDEX(職員マスタ!$G$6:$G$405,$AN2969)&lt;&gt;"",$L2969&lt;&gt;INDEX(職員マスタ!$G$6:$G$405,$AN2969)),"時短開始日がマスタと相違／","")&amp;IF(AND($M2969&lt;&gt;"",INDEX(職員マスタ!$H$6:$H$405,$AN2969)&lt;&gt;"",$M2969&lt;&gt;INDEX(職員マスタ!$H$6:$H$405,$AN2969)),"時短終了日がマスタと相違／","")))&amp;IF(AND($B2969&lt;&gt;"",$E2969=""),"報酬額が未入力／","")&amp;IF(N($U2969)&gt;0,"申請書に入力エラーが残っています／","")&amp;IF(AND($B2969&lt;&gt;"",$AO2969&lt;&gt;""),IF(COUNTIFS($B$6:$B$3005,$B2969,$C$6:$C$3005,$C2969,$D$6:$D$3005,$D2969)&gt;1,"同じ月の請求が重複しています／",""),"")&amp;IF(AND(N($E2969)&gt;0,$Z2969&lt;&gt;"",$Z2969&lt;&gt;"×",$AC2969=0,$AB2969=""),"計算額が下限以下のため不支給／",""))</f>
        <v/>
      </c>
      <c r="AL2969" s="12" t="n"/>
      <c r="AM2969" s="14">
        <f>IF($AD2969="保留中",COUNTIF($AD$6:$AD2969,"保留中"),"")</f>
        <v/>
      </c>
      <c r="AN2969" s="14">
        <f>IF($AO2969="","",IF(SUMPRODUCT(MAX((職員マスタ!$A$6:$A$405=$B2969)*(((職員マスタ!$G$6:$G$405="")+(職員マスタ!$G$6:$G$405&lt;=EOMONTH($AO2969,0)))&gt;0)*(((職員マスタ!$H$6:$H$405="")+(職員マスタ!$H$6:$H$405&gt;=$AO2969))&gt;0)*(ROW(職員マスタ!$A$6:$A$405)-5)))&gt;0,SUMPRODUCT(MAX((職員マスタ!$A$6:$A$405=$B2969)*(((職員マスタ!$G$6:$G$405="")+(職員マスタ!$G$6:$G$405&lt;=EOMONTH($AO2969,0)))&gt;0)*(((職員マスタ!$H$6:$H$405="")+(職員マスタ!$H$6:$H$405&gt;=$AO2969))&gt;0)*(ROW(職員マスタ!$A$6:$A$405)-5))),IFERROR(MATCH($B2969,職員マスタ!$A$6:$A$405,0),"")))</f>
        <v/>
      </c>
      <c r="AO2969" s="16">
        <f>IF(OR($B2969="",$C2969="",$D2969=""),"",DATE($C2969+2018,$D2969,1))</f>
        <v/>
      </c>
    </row>
    <row r="2970">
      <c r="A2970" s="11" t="n"/>
      <c r="B2970" s="12" t="n"/>
      <c r="C2970" s="12" t="n"/>
      <c r="D2970" s="12" t="n"/>
      <c r="E2970" s="13" t="n"/>
      <c r="F2970" s="12" t="n"/>
      <c r="G2970" s="13" t="n"/>
      <c r="H2970" s="12" t="n"/>
      <c r="I2970" s="12" t="n"/>
      <c r="J2970" s="12" t="n"/>
      <c r="K2970" s="12" t="n"/>
      <c r="L2970" s="11" t="n"/>
      <c r="M2970" s="11" t="n"/>
      <c r="N2970" s="11" t="n"/>
      <c r="O2970" s="11" t="n"/>
      <c r="P2970" s="12" t="n"/>
      <c r="Q2970" s="11" t="n"/>
      <c r="R2970" s="12" t="n"/>
      <c r="S2970" s="11" t="n"/>
      <c r="T2970" s="12" t="n"/>
      <c r="U2970" s="12" t="n"/>
      <c r="V2970" s="14">
        <f>IF($AN2970="",IF($B2970="","",$H2970),IF(INDEX(職員マスタ!$B$6:$B$405,$AN2970)="",$H2970,INDEX(職員マスタ!$B$6:$B$405,$AN2970)))</f>
        <v/>
      </c>
      <c r="W2970" s="14">
        <f>IF($AN2970="",IF($B2970="","",$R2970),IF(INDEX(職員マスタ!$C$6:$C$405,$AN2970)="",$R2970,INDEX(職員マスタ!$C$6:$C$405,$AN2970)))</f>
        <v/>
      </c>
      <c r="X2970" s="14">
        <f>IF($AO2970="","","R"&amp;$C2970&amp;"."&amp;$D2970)</f>
        <v/>
      </c>
      <c r="Y2970" s="15">
        <f>IF($AN2970="","",IF(INDEX(職員マスタ!$K$6:$K$405,$AN2970)="","",INDEX(職員マスタ!$K$6:$K$405,$AN2970)))</f>
        <v/>
      </c>
      <c r="Z2970" s="14">
        <f>IF(OR($E2970="",$Y2970=""),"",IF($E2970&gt;=$Y2970,"×",IF($E2970&gt;=$Y2970*設定!$C$5,"△","○")))</f>
        <v/>
      </c>
      <c r="AA2970" s="15">
        <f>IF($Z2970="","",IF($Z2970="×",0,IF($Z2970="○",ROUNDDOWN($E2970*設定!$C$4,0),ROUNDDOWN($E2970*ROUND((9*$Y2970-9*$E2970)/(10*$E2970),4),0))))</f>
        <v/>
      </c>
      <c r="AB2970" s="13" t="n"/>
      <c r="AC2970" s="15">
        <f>IF($B2970="","",IF($AB2970&lt;&gt;"",$AB2970,IF($AA2970="","",IF($AA2970&lt;=設定!$C$3,0,$AA2970))))</f>
        <v/>
      </c>
      <c r="AD2970" s="14">
        <f>IF($B2970="","",IF(AND($AE2970&lt;&gt;"",$AG2970="",$AJ2970=""),"保留中",IF($AJ2970&lt;&gt;"",IF(N($AC2970)&gt;0,"支給済","不支給"),IF($AC2970="","要確認",IF($AC2970=0,"不支給","未処理")))))</f>
        <v/>
      </c>
      <c r="AE2970" s="12" t="n"/>
      <c r="AF2970" s="11" t="n"/>
      <c r="AG2970" s="11" t="n"/>
      <c r="AH2970" s="11" t="n"/>
      <c r="AI2970" s="14">
        <f>IF(AND($AD2970="保留中",$AF2970&lt;&gt;""),TODAY()-$AF2970,"")</f>
        <v/>
      </c>
      <c r="AJ2970" s="12" t="n"/>
      <c r="AK2970" s="14">
        <f>IF($B2970="","",IF($AO2970="","対象年月が未入力／","")&amp;IF($B2970="","",IF($AN2970="","職員マスタに未登録の職員番号／",IF($Y2970="","標準報酬月額が未登録／","")&amp;IF(AND($AO2970&lt;&gt;"",OR(AND(INDEX(職員マスタ!$G$6:$G$405,$AN2970)&lt;&gt;"",INDEX(職員マスタ!$G$6:$G$405,$AN2970)&gt;EOMONTH($AO2970,0)),AND(INDEX(職員マスタ!$H$6:$H$405,$AN2970)&lt;&gt;"",INDEX(職員マスタ!$H$6:$H$405,$AN2970)&lt;$AO2970))),"対象月が時短期間外／","")&amp;IF(AND(INDEX(職員マスタ!$F$6:$F$405,$AN2970)&lt;&gt;"",$AO2970&lt;&gt;"",INDEX(職員マスタ!$F$6:$F$405,$AN2970)&lt;$AO2970),"対象月に子が2歳到達済／","")&amp;IF(AND($H2970&lt;&gt;"",INDEX(職員マスタ!$B$6:$B$405,$AN2970)&lt;&gt;"",SUBSTITUTE(SUBSTITUTE($H2970," ","")," ","")&lt;&gt;SUBSTITUTE(SUBSTITUTE(INDEX(職員マスタ!$B$6:$B$405,$AN2970)," ","")," ","")),"氏名がマスタと相違／","")&amp;IF(AND($Q2970&lt;&gt;"",INDEX(職員マスタ!$E$6:$E$405,$AN2970)&lt;&gt;"",$Q2970&lt;&gt;INDEX(職員マスタ!$E$6:$E$405,$AN2970)),"子の生年月日がマスタと相違／","")&amp;IF(AND($L2970&lt;&gt;"",INDEX(職員マスタ!$G$6:$G$405,$AN2970)&lt;&gt;"",$L2970&lt;&gt;INDEX(職員マスタ!$G$6:$G$405,$AN2970)),"時短開始日がマスタと相違／","")&amp;IF(AND($M2970&lt;&gt;"",INDEX(職員マスタ!$H$6:$H$405,$AN2970)&lt;&gt;"",$M2970&lt;&gt;INDEX(職員マスタ!$H$6:$H$405,$AN2970)),"時短終了日がマスタと相違／","")))&amp;IF(AND($B2970&lt;&gt;"",$E2970=""),"報酬額が未入力／","")&amp;IF(N($U2970)&gt;0,"申請書に入力エラーが残っています／","")&amp;IF(AND($B2970&lt;&gt;"",$AO2970&lt;&gt;""),IF(COUNTIFS($B$6:$B$3005,$B2970,$C$6:$C$3005,$C2970,$D$6:$D$3005,$D2970)&gt;1,"同じ月の請求が重複しています／",""),"")&amp;IF(AND(N($E2970)&gt;0,$Z2970&lt;&gt;"",$Z2970&lt;&gt;"×",$AC2970=0,$AB2970=""),"計算額が下限以下のため不支給／",""))</f>
        <v/>
      </c>
      <c r="AL2970" s="12" t="n"/>
      <c r="AM2970" s="14">
        <f>IF($AD2970="保留中",COUNTIF($AD$6:$AD2970,"保留中"),"")</f>
        <v/>
      </c>
      <c r="AN2970" s="14">
        <f>IF($AO2970="","",IF(SUMPRODUCT(MAX((職員マスタ!$A$6:$A$405=$B2970)*(((職員マスタ!$G$6:$G$405="")+(職員マスタ!$G$6:$G$405&lt;=EOMONTH($AO2970,0)))&gt;0)*(((職員マスタ!$H$6:$H$405="")+(職員マスタ!$H$6:$H$405&gt;=$AO2970))&gt;0)*(ROW(職員マスタ!$A$6:$A$405)-5)))&gt;0,SUMPRODUCT(MAX((職員マスタ!$A$6:$A$405=$B2970)*(((職員マスタ!$G$6:$G$405="")+(職員マスタ!$G$6:$G$405&lt;=EOMONTH($AO2970,0)))&gt;0)*(((職員マスタ!$H$6:$H$405="")+(職員マスタ!$H$6:$H$405&gt;=$AO2970))&gt;0)*(ROW(職員マスタ!$A$6:$A$405)-5))),IFERROR(MATCH($B2970,職員マスタ!$A$6:$A$405,0),"")))</f>
        <v/>
      </c>
      <c r="AO2970" s="16">
        <f>IF(OR($B2970="",$C2970="",$D2970=""),"",DATE($C2970+2018,$D2970,1))</f>
        <v/>
      </c>
    </row>
    <row r="2971">
      <c r="A2971" s="11" t="n"/>
      <c r="B2971" s="12" t="n"/>
      <c r="C2971" s="12" t="n"/>
      <c r="D2971" s="12" t="n"/>
      <c r="E2971" s="13" t="n"/>
      <c r="F2971" s="12" t="n"/>
      <c r="G2971" s="13" t="n"/>
      <c r="H2971" s="12" t="n"/>
      <c r="I2971" s="12" t="n"/>
      <c r="J2971" s="12" t="n"/>
      <c r="K2971" s="12" t="n"/>
      <c r="L2971" s="11" t="n"/>
      <c r="M2971" s="11" t="n"/>
      <c r="N2971" s="11" t="n"/>
      <c r="O2971" s="11" t="n"/>
      <c r="P2971" s="12" t="n"/>
      <c r="Q2971" s="11" t="n"/>
      <c r="R2971" s="12" t="n"/>
      <c r="S2971" s="11" t="n"/>
      <c r="T2971" s="12" t="n"/>
      <c r="U2971" s="12" t="n"/>
      <c r="V2971" s="14">
        <f>IF($AN2971="",IF($B2971="","",$H2971),IF(INDEX(職員マスタ!$B$6:$B$405,$AN2971)="",$H2971,INDEX(職員マスタ!$B$6:$B$405,$AN2971)))</f>
        <v/>
      </c>
      <c r="W2971" s="14">
        <f>IF($AN2971="",IF($B2971="","",$R2971),IF(INDEX(職員マスタ!$C$6:$C$405,$AN2971)="",$R2971,INDEX(職員マスタ!$C$6:$C$405,$AN2971)))</f>
        <v/>
      </c>
      <c r="X2971" s="14">
        <f>IF($AO2971="","","R"&amp;$C2971&amp;"."&amp;$D2971)</f>
        <v/>
      </c>
      <c r="Y2971" s="15">
        <f>IF($AN2971="","",IF(INDEX(職員マスタ!$K$6:$K$405,$AN2971)="","",INDEX(職員マスタ!$K$6:$K$405,$AN2971)))</f>
        <v/>
      </c>
      <c r="Z2971" s="14">
        <f>IF(OR($E2971="",$Y2971=""),"",IF($E2971&gt;=$Y2971,"×",IF($E2971&gt;=$Y2971*設定!$C$5,"△","○")))</f>
        <v/>
      </c>
      <c r="AA2971" s="15">
        <f>IF($Z2971="","",IF($Z2971="×",0,IF($Z2971="○",ROUNDDOWN($E2971*設定!$C$4,0),ROUNDDOWN($E2971*ROUND((9*$Y2971-9*$E2971)/(10*$E2971),4),0))))</f>
        <v/>
      </c>
      <c r="AB2971" s="13" t="n"/>
      <c r="AC2971" s="15">
        <f>IF($B2971="","",IF($AB2971&lt;&gt;"",$AB2971,IF($AA2971="","",IF($AA2971&lt;=設定!$C$3,0,$AA2971))))</f>
        <v/>
      </c>
      <c r="AD2971" s="14">
        <f>IF($B2971="","",IF(AND($AE2971&lt;&gt;"",$AG2971="",$AJ2971=""),"保留中",IF($AJ2971&lt;&gt;"",IF(N($AC2971)&gt;0,"支給済","不支給"),IF($AC2971="","要確認",IF($AC2971=0,"不支給","未処理")))))</f>
        <v/>
      </c>
      <c r="AE2971" s="12" t="n"/>
      <c r="AF2971" s="11" t="n"/>
      <c r="AG2971" s="11" t="n"/>
      <c r="AH2971" s="11" t="n"/>
      <c r="AI2971" s="14">
        <f>IF(AND($AD2971="保留中",$AF2971&lt;&gt;""),TODAY()-$AF2971,"")</f>
        <v/>
      </c>
      <c r="AJ2971" s="12" t="n"/>
      <c r="AK2971" s="14">
        <f>IF($B2971="","",IF($AO2971="","対象年月が未入力／","")&amp;IF($B2971="","",IF($AN2971="","職員マスタに未登録の職員番号／",IF($Y2971="","標準報酬月額が未登録／","")&amp;IF(AND($AO2971&lt;&gt;"",OR(AND(INDEX(職員マスタ!$G$6:$G$405,$AN2971)&lt;&gt;"",INDEX(職員マスタ!$G$6:$G$405,$AN2971)&gt;EOMONTH($AO2971,0)),AND(INDEX(職員マスタ!$H$6:$H$405,$AN2971)&lt;&gt;"",INDEX(職員マスタ!$H$6:$H$405,$AN2971)&lt;$AO2971))),"対象月が時短期間外／","")&amp;IF(AND(INDEX(職員マスタ!$F$6:$F$405,$AN2971)&lt;&gt;"",$AO2971&lt;&gt;"",INDEX(職員マスタ!$F$6:$F$405,$AN2971)&lt;$AO2971),"対象月に子が2歳到達済／","")&amp;IF(AND($H2971&lt;&gt;"",INDEX(職員マスタ!$B$6:$B$405,$AN2971)&lt;&gt;"",SUBSTITUTE(SUBSTITUTE($H2971," ","")," ","")&lt;&gt;SUBSTITUTE(SUBSTITUTE(INDEX(職員マスタ!$B$6:$B$405,$AN2971)," ","")," ","")),"氏名がマスタと相違／","")&amp;IF(AND($Q2971&lt;&gt;"",INDEX(職員マスタ!$E$6:$E$405,$AN2971)&lt;&gt;"",$Q2971&lt;&gt;INDEX(職員マスタ!$E$6:$E$405,$AN2971)),"子の生年月日がマスタと相違／","")&amp;IF(AND($L2971&lt;&gt;"",INDEX(職員マスタ!$G$6:$G$405,$AN2971)&lt;&gt;"",$L2971&lt;&gt;INDEX(職員マスタ!$G$6:$G$405,$AN2971)),"時短開始日がマスタと相違／","")&amp;IF(AND($M2971&lt;&gt;"",INDEX(職員マスタ!$H$6:$H$405,$AN2971)&lt;&gt;"",$M2971&lt;&gt;INDEX(職員マスタ!$H$6:$H$405,$AN2971)),"時短終了日がマスタと相違／","")))&amp;IF(AND($B2971&lt;&gt;"",$E2971=""),"報酬額が未入力／","")&amp;IF(N($U2971)&gt;0,"申請書に入力エラーが残っています／","")&amp;IF(AND($B2971&lt;&gt;"",$AO2971&lt;&gt;""),IF(COUNTIFS($B$6:$B$3005,$B2971,$C$6:$C$3005,$C2971,$D$6:$D$3005,$D2971)&gt;1,"同じ月の請求が重複しています／",""),"")&amp;IF(AND(N($E2971)&gt;0,$Z2971&lt;&gt;"",$Z2971&lt;&gt;"×",$AC2971=0,$AB2971=""),"計算額が下限以下のため不支給／",""))</f>
        <v/>
      </c>
      <c r="AL2971" s="12" t="n"/>
      <c r="AM2971" s="14">
        <f>IF($AD2971="保留中",COUNTIF($AD$6:$AD2971,"保留中"),"")</f>
        <v/>
      </c>
      <c r="AN2971" s="14">
        <f>IF($AO2971="","",IF(SUMPRODUCT(MAX((職員マスタ!$A$6:$A$405=$B2971)*(((職員マスタ!$G$6:$G$405="")+(職員マスタ!$G$6:$G$405&lt;=EOMONTH($AO2971,0)))&gt;0)*(((職員マスタ!$H$6:$H$405="")+(職員マスタ!$H$6:$H$405&gt;=$AO2971))&gt;0)*(ROW(職員マスタ!$A$6:$A$405)-5)))&gt;0,SUMPRODUCT(MAX((職員マスタ!$A$6:$A$405=$B2971)*(((職員マスタ!$G$6:$G$405="")+(職員マスタ!$G$6:$G$405&lt;=EOMONTH($AO2971,0)))&gt;0)*(((職員マスタ!$H$6:$H$405="")+(職員マスタ!$H$6:$H$405&gt;=$AO2971))&gt;0)*(ROW(職員マスタ!$A$6:$A$405)-5))),IFERROR(MATCH($B2971,職員マスタ!$A$6:$A$405,0),"")))</f>
        <v/>
      </c>
      <c r="AO2971" s="16">
        <f>IF(OR($B2971="",$C2971="",$D2971=""),"",DATE($C2971+2018,$D2971,1))</f>
        <v/>
      </c>
    </row>
    <row r="2972">
      <c r="A2972" s="11" t="n"/>
      <c r="B2972" s="12" t="n"/>
      <c r="C2972" s="12" t="n"/>
      <c r="D2972" s="12" t="n"/>
      <c r="E2972" s="13" t="n"/>
      <c r="F2972" s="12" t="n"/>
      <c r="G2972" s="13" t="n"/>
      <c r="H2972" s="12" t="n"/>
      <c r="I2972" s="12" t="n"/>
      <c r="J2972" s="12" t="n"/>
      <c r="K2972" s="12" t="n"/>
      <c r="L2972" s="11" t="n"/>
      <c r="M2972" s="11" t="n"/>
      <c r="N2972" s="11" t="n"/>
      <c r="O2972" s="11" t="n"/>
      <c r="P2972" s="12" t="n"/>
      <c r="Q2972" s="11" t="n"/>
      <c r="R2972" s="12" t="n"/>
      <c r="S2972" s="11" t="n"/>
      <c r="T2972" s="12" t="n"/>
      <c r="U2972" s="12" t="n"/>
      <c r="V2972" s="14">
        <f>IF($AN2972="",IF($B2972="","",$H2972),IF(INDEX(職員マスタ!$B$6:$B$405,$AN2972)="",$H2972,INDEX(職員マスタ!$B$6:$B$405,$AN2972)))</f>
        <v/>
      </c>
      <c r="W2972" s="14">
        <f>IF($AN2972="",IF($B2972="","",$R2972),IF(INDEX(職員マスタ!$C$6:$C$405,$AN2972)="",$R2972,INDEX(職員マスタ!$C$6:$C$405,$AN2972)))</f>
        <v/>
      </c>
      <c r="X2972" s="14">
        <f>IF($AO2972="","","R"&amp;$C2972&amp;"."&amp;$D2972)</f>
        <v/>
      </c>
      <c r="Y2972" s="15">
        <f>IF($AN2972="","",IF(INDEX(職員マスタ!$K$6:$K$405,$AN2972)="","",INDEX(職員マスタ!$K$6:$K$405,$AN2972)))</f>
        <v/>
      </c>
      <c r="Z2972" s="14">
        <f>IF(OR($E2972="",$Y2972=""),"",IF($E2972&gt;=$Y2972,"×",IF($E2972&gt;=$Y2972*設定!$C$5,"△","○")))</f>
        <v/>
      </c>
      <c r="AA2972" s="15">
        <f>IF($Z2972="","",IF($Z2972="×",0,IF($Z2972="○",ROUNDDOWN($E2972*設定!$C$4,0),ROUNDDOWN($E2972*ROUND((9*$Y2972-9*$E2972)/(10*$E2972),4),0))))</f>
        <v/>
      </c>
      <c r="AB2972" s="13" t="n"/>
      <c r="AC2972" s="15">
        <f>IF($B2972="","",IF($AB2972&lt;&gt;"",$AB2972,IF($AA2972="","",IF($AA2972&lt;=設定!$C$3,0,$AA2972))))</f>
        <v/>
      </c>
      <c r="AD2972" s="14">
        <f>IF($B2972="","",IF(AND($AE2972&lt;&gt;"",$AG2972="",$AJ2972=""),"保留中",IF($AJ2972&lt;&gt;"",IF(N($AC2972)&gt;0,"支給済","不支給"),IF($AC2972="","要確認",IF($AC2972=0,"不支給","未処理")))))</f>
        <v/>
      </c>
      <c r="AE2972" s="12" t="n"/>
      <c r="AF2972" s="11" t="n"/>
      <c r="AG2972" s="11" t="n"/>
      <c r="AH2972" s="11" t="n"/>
      <c r="AI2972" s="14">
        <f>IF(AND($AD2972="保留中",$AF2972&lt;&gt;""),TODAY()-$AF2972,"")</f>
        <v/>
      </c>
      <c r="AJ2972" s="12" t="n"/>
      <c r="AK2972" s="14">
        <f>IF($B2972="","",IF($AO2972="","対象年月が未入力／","")&amp;IF($B2972="","",IF($AN2972="","職員マスタに未登録の職員番号／",IF($Y2972="","標準報酬月額が未登録／","")&amp;IF(AND($AO2972&lt;&gt;"",OR(AND(INDEX(職員マスタ!$G$6:$G$405,$AN2972)&lt;&gt;"",INDEX(職員マスタ!$G$6:$G$405,$AN2972)&gt;EOMONTH($AO2972,0)),AND(INDEX(職員マスタ!$H$6:$H$405,$AN2972)&lt;&gt;"",INDEX(職員マスタ!$H$6:$H$405,$AN2972)&lt;$AO2972))),"対象月が時短期間外／","")&amp;IF(AND(INDEX(職員マスタ!$F$6:$F$405,$AN2972)&lt;&gt;"",$AO2972&lt;&gt;"",INDEX(職員マスタ!$F$6:$F$405,$AN2972)&lt;$AO2972),"対象月に子が2歳到達済／","")&amp;IF(AND($H2972&lt;&gt;"",INDEX(職員マスタ!$B$6:$B$405,$AN2972)&lt;&gt;"",SUBSTITUTE(SUBSTITUTE($H2972," ","")," ","")&lt;&gt;SUBSTITUTE(SUBSTITUTE(INDEX(職員マスタ!$B$6:$B$405,$AN2972)," ","")," ","")),"氏名がマスタと相違／","")&amp;IF(AND($Q2972&lt;&gt;"",INDEX(職員マスタ!$E$6:$E$405,$AN2972)&lt;&gt;"",$Q2972&lt;&gt;INDEX(職員マスタ!$E$6:$E$405,$AN2972)),"子の生年月日がマスタと相違／","")&amp;IF(AND($L2972&lt;&gt;"",INDEX(職員マスタ!$G$6:$G$405,$AN2972)&lt;&gt;"",$L2972&lt;&gt;INDEX(職員マスタ!$G$6:$G$405,$AN2972)),"時短開始日がマスタと相違／","")&amp;IF(AND($M2972&lt;&gt;"",INDEX(職員マスタ!$H$6:$H$405,$AN2972)&lt;&gt;"",$M2972&lt;&gt;INDEX(職員マスタ!$H$6:$H$405,$AN2972)),"時短終了日がマスタと相違／","")))&amp;IF(AND($B2972&lt;&gt;"",$E2972=""),"報酬額が未入力／","")&amp;IF(N($U2972)&gt;0,"申請書に入力エラーが残っています／","")&amp;IF(AND($B2972&lt;&gt;"",$AO2972&lt;&gt;""),IF(COUNTIFS($B$6:$B$3005,$B2972,$C$6:$C$3005,$C2972,$D$6:$D$3005,$D2972)&gt;1,"同じ月の請求が重複しています／",""),"")&amp;IF(AND(N($E2972)&gt;0,$Z2972&lt;&gt;"",$Z2972&lt;&gt;"×",$AC2972=0,$AB2972=""),"計算額が下限以下のため不支給／",""))</f>
        <v/>
      </c>
      <c r="AL2972" s="12" t="n"/>
      <c r="AM2972" s="14">
        <f>IF($AD2972="保留中",COUNTIF($AD$6:$AD2972,"保留中"),"")</f>
        <v/>
      </c>
      <c r="AN2972" s="14">
        <f>IF($AO2972="","",IF(SUMPRODUCT(MAX((職員マスタ!$A$6:$A$405=$B2972)*(((職員マスタ!$G$6:$G$405="")+(職員マスタ!$G$6:$G$405&lt;=EOMONTH($AO2972,0)))&gt;0)*(((職員マスタ!$H$6:$H$405="")+(職員マスタ!$H$6:$H$405&gt;=$AO2972))&gt;0)*(ROW(職員マスタ!$A$6:$A$405)-5)))&gt;0,SUMPRODUCT(MAX((職員マスタ!$A$6:$A$405=$B2972)*(((職員マスタ!$G$6:$G$405="")+(職員マスタ!$G$6:$G$405&lt;=EOMONTH($AO2972,0)))&gt;0)*(((職員マスタ!$H$6:$H$405="")+(職員マスタ!$H$6:$H$405&gt;=$AO2972))&gt;0)*(ROW(職員マスタ!$A$6:$A$405)-5))),IFERROR(MATCH($B2972,職員マスタ!$A$6:$A$405,0),"")))</f>
        <v/>
      </c>
      <c r="AO2972" s="16">
        <f>IF(OR($B2972="",$C2972="",$D2972=""),"",DATE($C2972+2018,$D2972,1))</f>
        <v/>
      </c>
    </row>
    <row r="2973">
      <c r="A2973" s="11" t="n"/>
      <c r="B2973" s="12" t="n"/>
      <c r="C2973" s="12" t="n"/>
      <c r="D2973" s="12" t="n"/>
      <c r="E2973" s="13" t="n"/>
      <c r="F2973" s="12" t="n"/>
      <c r="G2973" s="13" t="n"/>
      <c r="H2973" s="12" t="n"/>
      <c r="I2973" s="12" t="n"/>
      <c r="J2973" s="12" t="n"/>
      <c r="K2973" s="12" t="n"/>
      <c r="L2973" s="11" t="n"/>
      <c r="M2973" s="11" t="n"/>
      <c r="N2973" s="11" t="n"/>
      <c r="O2973" s="11" t="n"/>
      <c r="P2973" s="12" t="n"/>
      <c r="Q2973" s="11" t="n"/>
      <c r="R2973" s="12" t="n"/>
      <c r="S2973" s="11" t="n"/>
      <c r="T2973" s="12" t="n"/>
      <c r="U2973" s="12" t="n"/>
      <c r="V2973" s="14">
        <f>IF($AN2973="",IF($B2973="","",$H2973),IF(INDEX(職員マスタ!$B$6:$B$405,$AN2973)="",$H2973,INDEX(職員マスタ!$B$6:$B$405,$AN2973)))</f>
        <v/>
      </c>
      <c r="W2973" s="14">
        <f>IF($AN2973="",IF($B2973="","",$R2973),IF(INDEX(職員マスタ!$C$6:$C$405,$AN2973)="",$R2973,INDEX(職員マスタ!$C$6:$C$405,$AN2973)))</f>
        <v/>
      </c>
      <c r="X2973" s="14">
        <f>IF($AO2973="","","R"&amp;$C2973&amp;"."&amp;$D2973)</f>
        <v/>
      </c>
      <c r="Y2973" s="15">
        <f>IF($AN2973="","",IF(INDEX(職員マスタ!$K$6:$K$405,$AN2973)="","",INDEX(職員マスタ!$K$6:$K$405,$AN2973)))</f>
        <v/>
      </c>
      <c r="Z2973" s="14">
        <f>IF(OR($E2973="",$Y2973=""),"",IF($E2973&gt;=$Y2973,"×",IF($E2973&gt;=$Y2973*設定!$C$5,"△","○")))</f>
        <v/>
      </c>
      <c r="AA2973" s="15">
        <f>IF($Z2973="","",IF($Z2973="×",0,IF($Z2973="○",ROUNDDOWN($E2973*設定!$C$4,0),ROUNDDOWN($E2973*ROUND((9*$Y2973-9*$E2973)/(10*$E2973),4),0))))</f>
        <v/>
      </c>
      <c r="AB2973" s="13" t="n"/>
      <c r="AC2973" s="15">
        <f>IF($B2973="","",IF($AB2973&lt;&gt;"",$AB2973,IF($AA2973="","",IF($AA2973&lt;=設定!$C$3,0,$AA2973))))</f>
        <v/>
      </c>
      <c r="AD2973" s="14">
        <f>IF($B2973="","",IF(AND($AE2973&lt;&gt;"",$AG2973="",$AJ2973=""),"保留中",IF($AJ2973&lt;&gt;"",IF(N($AC2973)&gt;0,"支給済","不支給"),IF($AC2973="","要確認",IF($AC2973=0,"不支給","未処理")))))</f>
        <v/>
      </c>
      <c r="AE2973" s="12" t="n"/>
      <c r="AF2973" s="11" t="n"/>
      <c r="AG2973" s="11" t="n"/>
      <c r="AH2973" s="11" t="n"/>
      <c r="AI2973" s="14">
        <f>IF(AND($AD2973="保留中",$AF2973&lt;&gt;""),TODAY()-$AF2973,"")</f>
        <v/>
      </c>
      <c r="AJ2973" s="12" t="n"/>
      <c r="AK2973" s="14">
        <f>IF($B2973="","",IF($AO2973="","対象年月が未入力／","")&amp;IF($B2973="","",IF($AN2973="","職員マスタに未登録の職員番号／",IF($Y2973="","標準報酬月額が未登録／","")&amp;IF(AND($AO2973&lt;&gt;"",OR(AND(INDEX(職員マスタ!$G$6:$G$405,$AN2973)&lt;&gt;"",INDEX(職員マスタ!$G$6:$G$405,$AN2973)&gt;EOMONTH($AO2973,0)),AND(INDEX(職員マスタ!$H$6:$H$405,$AN2973)&lt;&gt;"",INDEX(職員マスタ!$H$6:$H$405,$AN2973)&lt;$AO2973))),"対象月が時短期間外／","")&amp;IF(AND(INDEX(職員マスタ!$F$6:$F$405,$AN2973)&lt;&gt;"",$AO2973&lt;&gt;"",INDEX(職員マスタ!$F$6:$F$405,$AN2973)&lt;$AO2973),"対象月に子が2歳到達済／","")&amp;IF(AND($H2973&lt;&gt;"",INDEX(職員マスタ!$B$6:$B$405,$AN2973)&lt;&gt;"",SUBSTITUTE(SUBSTITUTE($H2973," ","")," ","")&lt;&gt;SUBSTITUTE(SUBSTITUTE(INDEX(職員マスタ!$B$6:$B$405,$AN2973)," ","")," ","")),"氏名がマスタと相違／","")&amp;IF(AND($Q2973&lt;&gt;"",INDEX(職員マスタ!$E$6:$E$405,$AN2973)&lt;&gt;"",$Q2973&lt;&gt;INDEX(職員マスタ!$E$6:$E$405,$AN2973)),"子の生年月日がマスタと相違／","")&amp;IF(AND($L2973&lt;&gt;"",INDEX(職員マスタ!$G$6:$G$405,$AN2973)&lt;&gt;"",$L2973&lt;&gt;INDEX(職員マスタ!$G$6:$G$405,$AN2973)),"時短開始日がマスタと相違／","")&amp;IF(AND($M2973&lt;&gt;"",INDEX(職員マスタ!$H$6:$H$405,$AN2973)&lt;&gt;"",$M2973&lt;&gt;INDEX(職員マスタ!$H$6:$H$405,$AN2973)),"時短終了日がマスタと相違／","")))&amp;IF(AND($B2973&lt;&gt;"",$E2973=""),"報酬額が未入力／","")&amp;IF(N($U2973)&gt;0,"申請書に入力エラーが残っています／","")&amp;IF(AND($B2973&lt;&gt;"",$AO2973&lt;&gt;""),IF(COUNTIFS($B$6:$B$3005,$B2973,$C$6:$C$3005,$C2973,$D$6:$D$3005,$D2973)&gt;1,"同じ月の請求が重複しています／",""),"")&amp;IF(AND(N($E2973)&gt;0,$Z2973&lt;&gt;"",$Z2973&lt;&gt;"×",$AC2973=0,$AB2973=""),"計算額が下限以下のため不支給／",""))</f>
        <v/>
      </c>
      <c r="AL2973" s="12" t="n"/>
      <c r="AM2973" s="14">
        <f>IF($AD2973="保留中",COUNTIF($AD$6:$AD2973,"保留中"),"")</f>
        <v/>
      </c>
      <c r="AN2973" s="14">
        <f>IF($AO2973="","",IF(SUMPRODUCT(MAX((職員マスタ!$A$6:$A$405=$B2973)*(((職員マスタ!$G$6:$G$405="")+(職員マスタ!$G$6:$G$405&lt;=EOMONTH($AO2973,0)))&gt;0)*(((職員マスタ!$H$6:$H$405="")+(職員マスタ!$H$6:$H$405&gt;=$AO2973))&gt;0)*(ROW(職員マスタ!$A$6:$A$405)-5)))&gt;0,SUMPRODUCT(MAX((職員マスタ!$A$6:$A$405=$B2973)*(((職員マスタ!$G$6:$G$405="")+(職員マスタ!$G$6:$G$405&lt;=EOMONTH($AO2973,0)))&gt;0)*(((職員マスタ!$H$6:$H$405="")+(職員マスタ!$H$6:$H$405&gt;=$AO2973))&gt;0)*(ROW(職員マスタ!$A$6:$A$405)-5))),IFERROR(MATCH($B2973,職員マスタ!$A$6:$A$405,0),"")))</f>
        <v/>
      </c>
      <c r="AO2973" s="16">
        <f>IF(OR($B2973="",$C2973="",$D2973=""),"",DATE($C2973+2018,$D2973,1))</f>
        <v/>
      </c>
    </row>
    <row r="2974">
      <c r="A2974" s="11" t="n"/>
      <c r="B2974" s="12" t="n"/>
      <c r="C2974" s="12" t="n"/>
      <c r="D2974" s="12" t="n"/>
      <c r="E2974" s="13" t="n"/>
      <c r="F2974" s="12" t="n"/>
      <c r="G2974" s="13" t="n"/>
      <c r="H2974" s="12" t="n"/>
      <c r="I2974" s="12" t="n"/>
      <c r="J2974" s="12" t="n"/>
      <c r="K2974" s="12" t="n"/>
      <c r="L2974" s="11" t="n"/>
      <c r="M2974" s="11" t="n"/>
      <c r="N2974" s="11" t="n"/>
      <c r="O2974" s="11" t="n"/>
      <c r="P2974" s="12" t="n"/>
      <c r="Q2974" s="11" t="n"/>
      <c r="R2974" s="12" t="n"/>
      <c r="S2974" s="11" t="n"/>
      <c r="T2974" s="12" t="n"/>
      <c r="U2974" s="12" t="n"/>
      <c r="V2974" s="14">
        <f>IF($AN2974="",IF($B2974="","",$H2974),IF(INDEX(職員マスタ!$B$6:$B$405,$AN2974)="",$H2974,INDEX(職員マスタ!$B$6:$B$405,$AN2974)))</f>
        <v/>
      </c>
      <c r="W2974" s="14">
        <f>IF($AN2974="",IF($B2974="","",$R2974),IF(INDEX(職員マスタ!$C$6:$C$405,$AN2974)="",$R2974,INDEX(職員マスタ!$C$6:$C$405,$AN2974)))</f>
        <v/>
      </c>
      <c r="X2974" s="14">
        <f>IF($AO2974="","","R"&amp;$C2974&amp;"."&amp;$D2974)</f>
        <v/>
      </c>
      <c r="Y2974" s="15">
        <f>IF($AN2974="","",IF(INDEX(職員マスタ!$K$6:$K$405,$AN2974)="","",INDEX(職員マスタ!$K$6:$K$405,$AN2974)))</f>
        <v/>
      </c>
      <c r="Z2974" s="14">
        <f>IF(OR($E2974="",$Y2974=""),"",IF($E2974&gt;=$Y2974,"×",IF($E2974&gt;=$Y2974*設定!$C$5,"△","○")))</f>
        <v/>
      </c>
      <c r="AA2974" s="15">
        <f>IF($Z2974="","",IF($Z2974="×",0,IF($Z2974="○",ROUNDDOWN($E2974*設定!$C$4,0),ROUNDDOWN($E2974*ROUND((9*$Y2974-9*$E2974)/(10*$E2974),4),0))))</f>
        <v/>
      </c>
      <c r="AB2974" s="13" t="n"/>
      <c r="AC2974" s="15">
        <f>IF($B2974="","",IF($AB2974&lt;&gt;"",$AB2974,IF($AA2974="","",IF($AA2974&lt;=設定!$C$3,0,$AA2974))))</f>
        <v/>
      </c>
      <c r="AD2974" s="14">
        <f>IF($B2974="","",IF(AND($AE2974&lt;&gt;"",$AG2974="",$AJ2974=""),"保留中",IF($AJ2974&lt;&gt;"",IF(N($AC2974)&gt;0,"支給済","不支給"),IF($AC2974="","要確認",IF($AC2974=0,"不支給","未処理")))))</f>
        <v/>
      </c>
      <c r="AE2974" s="12" t="n"/>
      <c r="AF2974" s="11" t="n"/>
      <c r="AG2974" s="11" t="n"/>
      <c r="AH2974" s="11" t="n"/>
      <c r="AI2974" s="14">
        <f>IF(AND($AD2974="保留中",$AF2974&lt;&gt;""),TODAY()-$AF2974,"")</f>
        <v/>
      </c>
      <c r="AJ2974" s="12" t="n"/>
      <c r="AK2974" s="14">
        <f>IF($B2974="","",IF($AO2974="","対象年月が未入力／","")&amp;IF($B2974="","",IF($AN2974="","職員マスタに未登録の職員番号／",IF($Y2974="","標準報酬月額が未登録／","")&amp;IF(AND($AO2974&lt;&gt;"",OR(AND(INDEX(職員マスタ!$G$6:$G$405,$AN2974)&lt;&gt;"",INDEX(職員マスタ!$G$6:$G$405,$AN2974)&gt;EOMONTH($AO2974,0)),AND(INDEX(職員マスタ!$H$6:$H$405,$AN2974)&lt;&gt;"",INDEX(職員マスタ!$H$6:$H$405,$AN2974)&lt;$AO2974))),"対象月が時短期間外／","")&amp;IF(AND(INDEX(職員マスタ!$F$6:$F$405,$AN2974)&lt;&gt;"",$AO2974&lt;&gt;"",INDEX(職員マスタ!$F$6:$F$405,$AN2974)&lt;$AO2974),"対象月に子が2歳到達済／","")&amp;IF(AND($H2974&lt;&gt;"",INDEX(職員マスタ!$B$6:$B$405,$AN2974)&lt;&gt;"",SUBSTITUTE(SUBSTITUTE($H2974," ","")," ","")&lt;&gt;SUBSTITUTE(SUBSTITUTE(INDEX(職員マスタ!$B$6:$B$405,$AN2974)," ","")," ","")),"氏名がマスタと相違／","")&amp;IF(AND($Q2974&lt;&gt;"",INDEX(職員マスタ!$E$6:$E$405,$AN2974)&lt;&gt;"",$Q2974&lt;&gt;INDEX(職員マスタ!$E$6:$E$405,$AN2974)),"子の生年月日がマスタと相違／","")&amp;IF(AND($L2974&lt;&gt;"",INDEX(職員マスタ!$G$6:$G$405,$AN2974)&lt;&gt;"",$L2974&lt;&gt;INDEX(職員マスタ!$G$6:$G$405,$AN2974)),"時短開始日がマスタと相違／","")&amp;IF(AND($M2974&lt;&gt;"",INDEX(職員マスタ!$H$6:$H$405,$AN2974)&lt;&gt;"",$M2974&lt;&gt;INDEX(職員マスタ!$H$6:$H$405,$AN2974)),"時短終了日がマスタと相違／","")))&amp;IF(AND($B2974&lt;&gt;"",$E2974=""),"報酬額が未入力／","")&amp;IF(N($U2974)&gt;0,"申請書に入力エラーが残っています／","")&amp;IF(AND($B2974&lt;&gt;"",$AO2974&lt;&gt;""),IF(COUNTIFS($B$6:$B$3005,$B2974,$C$6:$C$3005,$C2974,$D$6:$D$3005,$D2974)&gt;1,"同じ月の請求が重複しています／",""),"")&amp;IF(AND(N($E2974)&gt;0,$Z2974&lt;&gt;"",$Z2974&lt;&gt;"×",$AC2974=0,$AB2974=""),"計算額が下限以下のため不支給／",""))</f>
        <v/>
      </c>
      <c r="AL2974" s="12" t="n"/>
      <c r="AM2974" s="14">
        <f>IF($AD2974="保留中",COUNTIF($AD$6:$AD2974,"保留中"),"")</f>
        <v/>
      </c>
      <c r="AN2974" s="14">
        <f>IF($AO2974="","",IF(SUMPRODUCT(MAX((職員マスタ!$A$6:$A$405=$B2974)*(((職員マスタ!$G$6:$G$405="")+(職員マスタ!$G$6:$G$405&lt;=EOMONTH($AO2974,0)))&gt;0)*(((職員マスタ!$H$6:$H$405="")+(職員マスタ!$H$6:$H$405&gt;=$AO2974))&gt;0)*(ROW(職員マスタ!$A$6:$A$405)-5)))&gt;0,SUMPRODUCT(MAX((職員マスタ!$A$6:$A$405=$B2974)*(((職員マスタ!$G$6:$G$405="")+(職員マスタ!$G$6:$G$405&lt;=EOMONTH($AO2974,0)))&gt;0)*(((職員マスタ!$H$6:$H$405="")+(職員マスタ!$H$6:$H$405&gt;=$AO2974))&gt;0)*(ROW(職員マスタ!$A$6:$A$405)-5))),IFERROR(MATCH($B2974,職員マスタ!$A$6:$A$405,0),"")))</f>
        <v/>
      </c>
      <c r="AO2974" s="16">
        <f>IF(OR($B2974="",$C2974="",$D2974=""),"",DATE($C2974+2018,$D2974,1))</f>
        <v/>
      </c>
    </row>
    <row r="2975">
      <c r="A2975" s="11" t="n"/>
      <c r="B2975" s="12" t="n"/>
      <c r="C2975" s="12" t="n"/>
      <c r="D2975" s="12" t="n"/>
      <c r="E2975" s="13" t="n"/>
      <c r="F2975" s="12" t="n"/>
      <c r="G2975" s="13" t="n"/>
      <c r="H2975" s="12" t="n"/>
      <c r="I2975" s="12" t="n"/>
      <c r="J2975" s="12" t="n"/>
      <c r="K2975" s="12" t="n"/>
      <c r="L2975" s="11" t="n"/>
      <c r="M2975" s="11" t="n"/>
      <c r="N2975" s="11" t="n"/>
      <c r="O2975" s="11" t="n"/>
      <c r="P2975" s="12" t="n"/>
      <c r="Q2975" s="11" t="n"/>
      <c r="R2975" s="12" t="n"/>
      <c r="S2975" s="11" t="n"/>
      <c r="T2975" s="12" t="n"/>
      <c r="U2975" s="12" t="n"/>
      <c r="V2975" s="14">
        <f>IF($AN2975="",IF($B2975="","",$H2975),IF(INDEX(職員マスタ!$B$6:$B$405,$AN2975)="",$H2975,INDEX(職員マスタ!$B$6:$B$405,$AN2975)))</f>
        <v/>
      </c>
      <c r="W2975" s="14">
        <f>IF($AN2975="",IF($B2975="","",$R2975),IF(INDEX(職員マスタ!$C$6:$C$405,$AN2975)="",$R2975,INDEX(職員マスタ!$C$6:$C$405,$AN2975)))</f>
        <v/>
      </c>
      <c r="X2975" s="14">
        <f>IF($AO2975="","","R"&amp;$C2975&amp;"."&amp;$D2975)</f>
        <v/>
      </c>
      <c r="Y2975" s="15">
        <f>IF($AN2975="","",IF(INDEX(職員マスタ!$K$6:$K$405,$AN2975)="","",INDEX(職員マスタ!$K$6:$K$405,$AN2975)))</f>
        <v/>
      </c>
      <c r="Z2975" s="14">
        <f>IF(OR($E2975="",$Y2975=""),"",IF($E2975&gt;=$Y2975,"×",IF($E2975&gt;=$Y2975*設定!$C$5,"△","○")))</f>
        <v/>
      </c>
      <c r="AA2975" s="15">
        <f>IF($Z2975="","",IF($Z2975="×",0,IF($Z2975="○",ROUNDDOWN($E2975*設定!$C$4,0),ROUNDDOWN($E2975*ROUND((9*$Y2975-9*$E2975)/(10*$E2975),4),0))))</f>
        <v/>
      </c>
      <c r="AB2975" s="13" t="n"/>
      <c r="AC2975" s="15">
        <f>IF($B2975="","",IF($AB2975&lt;&gt;"",$AB2975,IF($AA2975="","",IF($AA2975&lt;=設定!$C$3,0,$AA2975))))</f>
        <v/>
      </c>
      <c r="AD2975" s="14">
        <f>IF($B2975="","",IF(AND($AE2975&lt;&gt;"",$AG2975="",$AJ2975=""),"保留中",IF($AJ2975&lt;&gt;"",IF(N($AC2975)&gt;0,"支給済","不支給"),IF($AC2975="","要確認",IF($AC2975=0,"不支給","未処理")))))</f>
        <v/>
      </c>
      <c r="AE2975" s="12" t="n"/>
      <c r="AF2975" s="11" t="n"/>
      <c r="AG2975" s="11" t="n"/>
      <c r="AH2975" s="11" t="n"/>
      <c r="AI2975" s="14">
        <f>IF(AND($AD2975="保留中",$AF2975&lt;&gt;""),TODAY()-$AF2975,"")</f>
        <v/>
      </c>
      <c r="AJ2975" s="12" t="n"/>
      <c r="AK2975" s="14">
        <f>IF($B2975="","",IF($AO2975="","対象年月が未入力／","")&amp;IF($B2975="","",IF($AN2975="","職員マスタに未登録の職員番号／",IF($Y2975="","標準報酬月額が未登録／","")&amp;IF(AND($AO2975&lt;&gt;"",OR(AND(INDEX(職員マスタ!$G$6:$G$405,$AN2975)&lt;&gt;"",INDEX(職員マスタ!$G$6:$G$405,$AN2975)&gt;EOMONTH($AO2975,0)),AND(INDEX(職員マスタ!$H$6:$H$405,$AN2975)&lt;&gt;"",INDEX(職員マスタ!$H$6:$H$405,$AN2975)&lt;$AO2975))),"対象月が時短期間外／","")&amp;IF(AND(INDEX(職員マスタ!$F$6:$F$405,$AN2975)&lt;&gt;"",$AO2975&lt;&gt;"",INDEX(職員マスタ!$F$6:$F$405,$AN2975)&lt;$AO2975),"対象月に子が2歳到達済／","")&amp;IF(AND($H2975&lt;&gt;"",INDEX(職員マスタ!$B$6:$B$405,$AN2975)&lt;&gt;"",SUBSTITUTE(SUBSTITUTE($H2975," ","")," ","")&lt;&gt;SUBSTITUTE(SUBSTITUTE(INDEX(職員マスタ!$B$6:$B$405,$AN2975)," ","")," ","")),"氏名がマスタと相違／","")&amp;IF(AND($Q2975&lt;&gt;"",INDEX(職員マスタ!$E$6:$E$405,$AN2975)&lt;&gt;"",$Q2975&lt;&gt;INDEX(職員マスタ!$E$6:$E$405,$AN2975)),"子の生年月日がマスタと相違／","")&amp;IF(AND($L2975&lt;&gt;"",INDEX(職員マスタ!$G$6:$G$405,$AN2975)&lt;&gt;"",$L2975&lt;&gt;INDEX(職員マスタ!$G$6:$G$405,$AN2975)),"時短開始日がマスタと相違／","")&amp;IF(AND($M2975&lt;&gt;"",INDEX(職員マスタ!$H$6:$H$405,$AN2975)&lt;&gt;"",$M2975&lt;&gt;INDEX(職員マスタ!$H$6:$H$405,$AN2975)),"時短終了日がマスタと相違／","")))&amp;IF(AND($B2975&lt;&gt;"",$E2975=""),"報酬額が未入力／","")&amp;IF(N($U2975)&gt;0,"申請書に入力エラーが残っています／","")&amp;IF(AND($B2975&lt;&gt;"",$AO2975&lt;&gt;""),IF(COUNTIFS($B$6:$B$3005,$B2975,$C$6:$C$3005,$C2975,$D$6:$D$3005,$D2975)&gt;1,"同じ月の請求が重複しています／",""),"")&amp;IF(AND(N($E2975)&gt;0,$Z2975&lt;&gt;"",$Z2975&lt;&gt;"×",$AC2975=0,$AB2975=""),"計算額が下限以下のため不支給／",""))</f>
        <v/>
      </c>
      <c r="AL2975" s="12" t="n"/>
      <c r="AM2975" s="14">
        <f>IF($AD2975="保留中",COUNTIF($AD$6:$AD2975,"保留中"),"")</f>
        <v/>
      </c>
      <c r="AN2975" s="14">
        <f>IF($AO2975="","",IF(SUMPRODUCT(MAX((職員マスタ!$A$6:$A$405=$B2975)*(((職員マスタ!$G$6:$G$405="")+(職員マスタ!$G$6:$G$405&lt;=EOMONTH($AO2975,0)))&gt;0)*(((職員マスタ!$H$6:$H$405="")+(職員マスタ!$H$6:$H$405&gt;=$AO2975))&gt;0)*(ROW(職員マスタ!$A$6:$A$405)-5)))&gt;0,SUMPRODUCT(MAX((職員マスタ!$A$6:$A$405=$B2975)*(((職員マスタ!$G$6:$G$405="")+(職員マスタ!$G$6:$G$405&lt;=EOMONTH($AO2975,0)))&gt;0)*(((職員マスタ!$H$6:$H$405="")+(職員マスタ!$H$6:$H$405&gt;=$AO2975))&gt;0)*(ROW(職員マスタ!$A$6:$A$405)-5))),IFERROR(MATCH($B2975,職員マスタ!$A$6:$A$405,0),"")))</f>
        <v/>
      </c>
      <c r="AO2975" s="16">
        <f>IF(OR($B2975="",$C2975="",$D2975=""),"",DATE($C2975+2018,$D2975,1))</f>
        <v/>
      </c>
    </row>
    <row r="2976">
      <c r="A2976" s="11" t="n"/>
      <c r="B2976" s="12" t="n"/>
      <c r="C2976" s="12" t="n"/>
      <c r="D2976" s="12" t="n"/>
      <c r="E2976" s="13" t="n"/>
      <c r="F2976" s="12" t="n"/>
      <c r="G2976" s="13" t="n"/>
      <c r="H2976" s="12" t="n"/>
      <c r="I2976" s="12" t="n"/>
      <c r="J2976" s="12" t="n"/>
      <c r="K2976" s="12" t="n"/>
      <c r="L2976" s="11" t="n"/>
      <c r="M2976" s="11" t="n"/>
      <c r="N2976" s="11" t="n"/>
      <c r="O2976" s="11" t="n"/>
      <c r="P2976" s="12" t="n"/>
      <c r="Q2976" s="11" t="n"/>
      <c r="R2976" s="12" t="n"/>
      <c r="S2976" s="11" t="n"/>
      <c r="T2976" s="12" t="n"/>
      <c r="U2976" s="12" t="n"/>
      <c r="V2976" s="14">
        <f>IF($AN2976="",IF($B2976="","",$H2976),IF(INDEX(職員マスタ!$B$6:$B$405,$AN2976)="",$H2976,INDEX(職員マスタ!$B$6:$B$405,$AN2976)))</f>
        <v/>
      </c>
      <c r="W2976" s="14">
        <f>IF($AN2976="",IF($B2976="","",$R2976),IF(INDEX(職員マスタ!$C$6:$C$405,$AN2976)="",$R2976,INDEX(職員マスタ!$C$6:$C$405,$AN2976)))</f>
        <v/>
      </c>
      <c r="X2976" s="14">
        <f>IF($AO2976="","","R"&amp;$C2976&amp;"."&amp;$D2976)</f>
        <v/>
      </c>
      <c r="Y2976" s="15">
        <f>IF($AN2976="","",IF(INDEX(職員マスタ!$K$6:$K$405,$AN2976)="","",INDEX(職員マスタ!$K$6:$K$405,$AN2976)))</f>
        <v/>
      </c>
      <c r="Z2976" s="14">
        <f>IF(OR($E2976="",$Y2976=""),"",IF($E2976&gt;=$Y2976,"×",IF($E2976&gt;=$Y2976*設定!$C$5,"△","○")))</f>
        <v/>
      </c>
      <c r="AA2976" s="15">
        <f>IF($Z2976="","",IF($Z2976="×",0,IF($Z2976="○",ROUNDDOWN($E2976*設定!$C$4,0),ROUNDDOWN($E2976*ROUND((9*$Y2976-9*$E2976)/(10*$E2976),4),0))))</f>
        <v/>
      </c>
      <c r="AB2976" s="13" t="n"/>
      <c r="AC2976" s="15">
        <f>IF($B2976="","",IF($AB2976&lt;&gt;"",$AB2976,IF($AA2976="","",IF($AA2976&lt;=設定!$C$3,0,$AA2976))))</f>
        <v/>
      </c>
      <c r="AD2976" s="14">
        <f>IF($B2976="","",IF(AND($AE2976&lt;&gt;"",$AG2976="",$AJ2976=""),"保留中",IF($AJ2976&lt;&gt;"",IF(N($AC2976)&gt;0,"支給済","不支給"),IF($AC2976="","要確認",IF($AC2976=0,"不支給","未処理")))))</f>
        <v/>
      </c>
      <c r="AE2976" s="12" t="n"/>
      <c r="AF2976" s="11" t="n"/>
      <c r="AG2976" s="11" t="n"/>
      <c r="AH2976" s="11" t="n"/>
      <c r="AI2976" s="14">
        <f>IF(AND($AD2976="保留中",$AF2976&lt;&gt;""),TODAY()-$AF2976,"")</f>
        <v/>
      </c>
      <c r="AJ2976" s="12" t="n"/>
      <c r="AK2976" s="14">
        <f>IF($B2976="","",IF($AO2976="","対象年月が未入力／","")&amp;IF($B2976="","",IF($AN2976="","職員マスタに未登録の職員番号／",IF($Y2976="","標準報酬月額が未登録／","")&amp;IF(AND($AO2976&lt;&gt;"",OR(AND(INDEX(職員マスタ!$G$6:$G$405,$AN2976)&lt;&gt;"",INDEX(職員マスタ!$G$6:$G$405,$AN2976)&gt;EOMONTH($AO2976,0)),AND(INDEX(職員マスタ!$H$6:$H$405,$AN2976)&lt;&gt;"",INDEX(職員マスタ!$H$6:$H$405,$AN2976)&lt;$AO2976))),"対象月が時短期間外／","")&amp;IF(AND(INDEX(職員マスタ!$F$6:$F$405,$AN2976)&lt;&gt;"",$AO2976&lt;&gt;"",INDEX(職員マスタ!$F$6:$F$405,$AN2976)&lt;$AO2976),"対象月に子が2歳到達済／","")&amp;IF(AND($H2976&lt;&gt;"",INDEX(職員マスタ!$B$6:$B$405,$AN2976)&lt;&gt;"",SUBSTITUTE(SUBSTITUTE($H2976," ","")," ","")&lt;&gt;SUBSTITUTE(SUBSTITUTE(INDEX(職員マスタ!$B$6:$B$405,$AN2976)," ","")," ","")),"氏名がマスタと相違／","")&amp;IF(AND($Q2976&lt;&gt;"",INDEX(職員マスタ!$E$6:$E$405,$AN2976)&lt;&gt;"",$Q2976&lt;&gt;INDEX(職員マスタ!$E$6:$E$405,$AN2976)),"子の生年月日がマスタと相違／","")&amp;IF(AND($L2976&lt;&gt;"",INDEX(職員マスタ!$G$6:$G$405,$AN2976)&lt;&gt;"",$L2976&lt;&gt;INDEX(職員マスタ!$G$6:$G$405,$AN2976)),"時短開始日がマスタと相違／","")&amp;IF(AND($M2976&lt;&gt;"",INDEX(職員マスタ!$H$6:$H$405,$AN2976)&lt;&gt;"",$M2976&lt;&gt;INDEX(職員マスタ!$H$6:$H$405,$AN2976)),"時短終了日がマスタと相違／","")))&amp;IF(AND($B2976&lt;&gt;"",$E2976=""),"報酬額が未入力／","")&amp;IF(N($U2976)&gt;0,"申請書に入力エラーが残っています／","")&amp;IF(AND($B2976&lt;&gt;"",$AO2976&lt;&gt;""),IF(COUNTIFS($B$6:$B$3005,$B2976,$C$6:$C$3005,$C2976,$D$6:$D$3005,$D2976)&gt;1,"同じ月の請求が重複しています／",""),"")&amp;IF(AND(N($E2976)&gt;0,$Z2976&lt;&gt;"",$Z2976&lt;&gt;"×",$AC2976=0,$AB2976=""),"計算額が下限以下のため不支給／",""))</f>
        <v/>
      </c>
      <c r="AL2976" s="12" t="n"/>
      <c r="AM2976" s="14">
        <f>IF($AD2976="保留中",COUNTIF($AD$6:$AD2976,"保留中"),"")</f>
        <v/>
      </c>
      <c r="AN2976" s="14">
        <f>IF($AO2976="","",IF(SUMPRODUCT(MAX((職員マスタ!$A$6:$A$405=$B2976)*(((職員マスタ!$G$6:$G$405="")+(職員マスタ!$G$6:$G$405&lt;=EOMONTH($AO2976,0)))&gt;0)*(((職員マスタ!$H$6:$H$405="")+(職員マスタ!$H$6:$H$405&gt;=$AO2976))&gt;0)*(ROW(職員マスタ!$A$6:$A$405)-5)))&gt;0,SUMPRODUCT(MAX((職員マスタ!$A$6:$A$405=$B2976)*(((職員マスタ!$G$6:$G$405="")+(職員マスタ!$G$6:$G$405&lt;=EOMONTH($AO2976,0)))&gt;0)*(((職員マスタ!$H$6:$H$405="")+(職員マスタ!$H$6:$H$405&gt;=$AO2976))&gt;0)*(ROW(職員マスタ!$A$6:$A$405)-5))),IFERROR(MATCH($B2976,職員マスタ!$A$6:$A$405,0),"")))</f>
        <v/>
      </c>
      <c r="AO2976" s="16">
        <f>IF(OR($B2976="",$C2976="",$D2976=""),"",DATE($C2976+2018,$D2976,1))</f>
        <v/>
      </c>
    </row>
    <row r="2977">
      <c r="A2977" s="11" t="n"/>
      <c r="B2977" s="12" t="n"/>
      <c r="C2977" s="12" t="n"/>
      <c r="D2977" s="12" t="n"/>
      <c r="E2977" s="13" t="n"/>
      <c r="F2977" s="12" t="n"/>
      <c r="G2977" s="13" t="n"/>
      <c r="H2977" s="12" t="n"/>
      <c r="I2977" s="12" t="n"/>
      <c r="J2977" s="12" t="n"/>
      <c r="K2977" s="12" t="n"/>
      <c r="L2977" s="11" t="n"/>
      <c r="M2977" s="11" t="n"/>
      <c r="N2977" s="11" t="n"/>
      <c r="O2977" s="11" t="n"/>
      <c r="P2977" s="12" t="n"/>
      <c r="Q2977" s="11" t="n"/>
      <c r="R2977" s="12" t="n"/>
      <c r="S2977" s="11" t="n"/>
      <c r="T2977" s="12" t="n"/>
      <c r="U2977" s="12" t="n"/>
      <c r="V2977" s="14">
        <f>IF($AN2977="",IF($B2977="","",$H2977),IF(INDEX(職員マスタ!$B$6:$B$405,$AN2977)="",$H2977,INDEX(職員マスタ!$B$6:$B$405,$AN2977)))</f>
        <v/>
      </c>
      <c r="W2977" s="14">
        <f>IF($AN2977="",IF($B2977="","",$R2977),IF(INDEX(職員マスタ!$C$6:$C$405,$AN2977)="",$R2977,INDEX(職員マスタ!$C$6:$C$405,$AN2977)))</f>
        <v/>
      </c>
      <c r="X2977" s="14">
        <f>IF($AO2977="","","R"&amp;$C2977&amp;"."&amp;$D2977)</f>
        <v/>
      </c>
      <c r="Y2977" s="15">
        <f>IF($AN2977="","",IF(INDEX(職員マスタ!$K$6:$K$405,$AN2977)="","",INDEX(職員マスタ!$K$6:$K$405,$AN2977)))</f>
        <v/>
      </c>
      <c r="Z2977" s="14">
        <f>IF(OR($E2977="",$Y2977=""),"",IF($E2977&gt;=$Y2977,"×",IF($E2977&gt;=$Y2977*設定!$C$5,"△","○")))</f>
        <v/>
      </c>
      <c r="AA2977" s="15">
        <f>IF($Z2977="","",IF($Z2977="×",0,IF($Z2977="○",ROUNDDOWN($E2977*設定!$C$4,0),ROUNDDOWN($E2977*ROUND((9*$Y2977-9*$E2977)/(10*$E2977),4),0))))</f>
        <v/>
      </c>
      <c r="AB2977" s="13" t="n"/>
      <c r="AC2977" s="15">
        <f>IF($B2977="","",IF($AB2977&lt;&gt;"",$AB2977,IF($AA2977="","",IF($AA2977&lt;=設定!$C$3,0,$AA2977))))</f>
        <v/>
      </c>
      <c r="AD2977" s="14">
        <f>IF($B2977="","",IF(AND($AE2977&lt;&gt;"",$AG2977="",$AJ2977=""),"保留中",IF($AJ2977&lt;&gt;"",IF(N($AC2977)&gt;0,"支給済","不支給"),IF($AC2977="","要確認",IF($AC2977=0,"不支給","未処理")))))</f>
        <v/>
      </c>
      <c r="AE2977" s="12" t="n"/>
      <c r="AF2977" s="11" t="n"/>
      <c r="AG2977" s="11" t="n"/>
      <c r="AH2977" s="11" t="n"/>
      <c r="AI2977" s="14">
        <f>IF(AND($AD2977="保留中",$AF2977&lt;&gt;""),TODAY()-$AF2977,"")</f>
        <v/>
      </c>
      <c r="AJ2977" s="12" t="n"/>
      <c r="AK2977" s="14">
        <f>IF($B2977="","",IF($AO2977="","対象年月が未入力／","")&amp;IF($B2977="","",IF($AN2977="","職員マスタに未登録の職員番号／",IF($Y2977="","標準報酬月額が未登録／","")&amp;IF(AND($AO2977&lt;&gt;"",OR(AND(INDEX(職員マスタ!$G$6:$G$405,$AN2977)&lt;&gt;"",INDEX(職員マスタ!$G$6:$G$405,$AN2977)&gt;EOMONTH($AO2977,0)),AND(INDEX(職員マスタ!$H$6:$H$405,$AN2977)&lt;&gt;"",INDEX(職員マスタ!$H$6:$H$405,$AN2977)&lt;$AO2977))),"対象月が時短期間外／","")&amp;IF(AND(INDEX(職員マスタ!$F$6:$F$405,$AN2977)&lt;&gt;"",$AO2977&lt;&gt;"",INDEX(職員マスタ!$F$6:$F$405,$AN2977)&lt;$AO2977),"対象月に子が2歳到達済／","")&amp;IF(AND($H2977&lt;&gt;"",INDEX(職員マスタ!$B$6:$B$405,$AN2977)&lt;&gt;"",SUBSTITUTE(SUBSTITUTE($H2977," ","")," ","")&lt;&gt;SUBSTITUTE(SUBSTITUTE(INDEX(職員マスタ!$B$6:$B$405,$AN2977)," ","")," ","")),"氏名がマスタと相違／","")&amp;IF(AND($Q2977&lt;&gt;"",INDEX(職員マスタ!$E$6:$E$405,$AN2977)&lt;&gt;"",$Q2977&lt;&gt;INDEX(職員マスタ!$E$6:$E$405,$AN2977)),"子の生年月日がマスタと相違／","")&amp;IF(AND($L2977&lt;&gt;"",INDEX(職員マスタ!$G$6:$G$405,$AN2977)&lt;&gt;"",$L2977&lt;&gt;INDEX(職員マスタ!$G$6:$G$405,$AN2977)),"時短開始日がマスタと相違／","")&amp;IF(AND($M2977&lt;&gt;"",INDEX(職員マスタ!$H$6:$H$405,$AN2977)&lt;&gt;"",$M2977&lt;&gt;INDEX(職員マスタ!$H$6:$H$405,$AN2977)),"時短終了日がマスタと相違／","")))&amp;IF(AND($B2977&lt;&gt;"",$E2977=""),"報酬額が未入力／","")&amp;IF(N($U2977)&gt;0,"申請書に入力エラーが残っています／","")&amp;IF(AND($B2977&lt;&gt;"",$AO2977&lt;&gt;""),IF(COUNTIFS($B$6:$B$3005,$B2977,$C$6:$C$3005,$C2977,$D$6:$D$3005,$D2977)&gt;1,"同じ月の請求が重複しています／",""),"")&amp;IF(AND(N($E2977)&gt;0,$Z2977&lt;&gt;"",$Z2977&lt;&gt;"×",$AC2977=0,$AB2977=""),"計算額が下限以下のため不支給／",""))</f>
        <v/>
      </c>
      <c r="AL2977" s="12" t="n"/>
      <c r="AM2977" s="14">
        <f>IF($AD2977="保留中",COUNTIF($AD$6:$AD2977,"保留中"),"")</f>
        <v/>
      </c>
      <c r="AN2977" s="14">
        <f>IF($AO2977="","",IF(SUMPRODUCT(MAX((職員マスタ!$A$6:$A$405=$B2977)*(((職員マスタ!$G$6:$G$405="")+(職員マスタ!$G$6:$G$405&lt;=EOMONTH($AO2977,0)))&gt;0)*(((職員マスタ!$H$6:$H$405="")+(職員マスタ!$H$6:$H$405&gt;=$AO2977))&gt;0)*(ROW(職員マスタ!$A$6:$A$405)-5)))&gt;0,SUMPRODUCT(MAX((職員マスタ!$A$6:$A$405=$B2977)*(((職員マスタ!$G$6:$G$405="")+(職員マスタ!$G$6:$G$405&lt;=EOMONTH($AO2977,0)))&gt;0)*(((職員マスタ!$H$6:$H$405="")+(職員マスタ!$H$6:$H$405&gt;=$AO2977))&gt;0)*(ROW(職員マスタ!$A$6:$A$405)-5))),IFERROR(MATCH($B2977,職員マスタ!$A$6:$A$405,0),"")))</f>
        <v/>
      </c>
      <c r="AO2977" s="16">
        <f>IF(OR($B2977="",$C2977="",$D2977=""),"",DATE($C2977+2018,$D2977,1))</f>
        <v/>
      </c>
    </row>
    <row r="2978">
      <c r="A2978" s="11" t="n"/>
      <c r="B2978" s="12" t="n"/>
      <c r="C2978" s="12" t="n"/>
      <c r="D2978" s="12" t="n"/>
      <c r="E2978" s="13" t="n"/>
      <c r="F2978" s="12" t="n"/>
      <c r="G2978" s="13" t="n"/>
      <c r="H2978" s="12" t="n"/>
      <c r="I2978" s="12" t="n"/>
      <c r="J2978" s="12" t="n"/>
      <c r="K2978" s="12" t="n"/>
      <c r="L2978" s="11" t="n"/>
      <c r="M2978" s="11" t="n"/>
      <c r="N2978" s="11" t="n"/>
      <c r="O2978" s="11" t="n"/>
      <c r="P2978" s="12" t="n"/>
      <c r="Q2978" s="11" t="n"/>
      <c r="R2978" s="12" t="n"/>
      <c r="S2978" s="11" t="n"/>
      <c r="T2978" s="12" t="n"/>
      <c r="U2978" s="12" t="n"/>
      <c r="V2978" s="14">
        <f>IF($AN2978="",IF($B2978="","",$H2978),IF(INDEX(職員マスタ!$B$6:$B$405,$AN2978)="",$H2978,INDEX(職員マスタ!$B$6:$B$405,$AN2978)))</f>
        <v/>
      </c>
      <c r="W2978" s="14">
        <f>IF($AN2978="",IF($B2978="","",$R2978),IF(INDEX(職員マスタ!$C$6:$C$405,$AN2978)="",$R2978,INDEX(職員マスタ!$C$6:$C$405,$AN2978)))</f>
        <v/>
      </c>
      <c r="X2978" s="14">
        <f>IF($AO2978="","","R"&amp;$C2978&amp;"."&amp;$D2978)</f>
        <v/>
      </c>
      <c r="Y2978" s="15">
        <f>IF($AN2978="","",IF(INDEX(職員マスタ!$K$6:$K$405,$AN2978)="","",INDEX(職員マスタ!$K$6:$K$405,$AN2978)))</f>
        <v/>
      </c>
      <c r="Z2978" s="14">
        <f>IF(OR($E2978="",$Y2978=""),"",IF($E2978&gt;=$Y2978,"×",IF($E2978&gt;=$Y2978*設定!$C$5,"△","○")))</f>
        <v/>
      </c>
      <c r="AA2978" s="15">
        <f>IF($Z2978="","",IF($Z2978="×",0,IF($Z2978="○",ROUNDDOWN($E2978*設定!$C$4,0),ROUNDDOWN($E2978*ROUND((9*$Y2978-9*$E2978)/(10*$E2978),4),0))))</f>
        <v/>
      </c>
      <c r="AB2978" s="13" t="n"/>
      <c r="AC2978" s="15">
        <f>IF($B2978="","",IF($AB2978&lt;&gt;"",$AB2978,IF($AA2978="","",IF($AA2978&lt;=設定!$C$3,0,$AA2978))))</f>
        <v/>
      </c>
      <c r="AD2978" s="14">
        <f>IF($B2978="","",IF(AND($AE2978&lt;&gt;"",$AG2978="",$AJ2978=""),"保留中",IF($AJ2978&lt;&gt;"",IF(N($AC2978)&gt;0,"支給済","不支給"),IF($AC2978="","要確認",IF($AC2978=0,"不支給","未処理")))))</f>
        <v/>
      </c>
      <c r="AE2978" s="12" t="n"/>
      <c r="AF2978" s="11" t="n"/>
      <c r="AG2978" s="11" t="n"/>
      <c r="AH2978" s="11" t="n"/>
      <c r="AI2978" s="14">
        <f>IF(AND($AD2978="保留中",$AF2978&lt;&gt;""),TODAY()-$AF2978,"")</f>
        <v/>
      </c>
      <c r="AJ2978" s="12" t="n"/>
      <c r="AK2978" s="14">
        <f>IF($B2978="","",IF($AO2978="","対象年月が未入力／","")&amp;IF($B2978="","",IF($AN2978="","職員マスタに未登録の職員番号／",IF($Y2978="","標準報酬月額が未登録／","")&amp;IF(AND($AO2978&lt;&gt;"",OR(AND(INDEX(職員マスタ!$G$6:$G$405,$AN2978)&lt;&gt;"",INDEX(職員マスタ!$G$6:$G$405,$AN2978)&gt;EOMONTH($AO2978,0)),AND(INDEX(職員マスタ!$H$6:$H$405,$AN2978)&lt;&gt;"",INDEX(職員マスタ!$H$6:$H$405,$AN2978)&lt;$AO2978))),"対象月が時短期間外／","")&amp;IF(AND(INDEX(職員マスタ!$F$6:$F$405,$AN2978)&lt;&gt;"",$AO2978&lt;&gt;"",INDEX(職員マスタ!$F$6:$F$405,$AN2978)&lt;$AO2978),"対象月に子が2歳到達済／","")&amp;IF(AND($H2978&lt;&gt;"",INDEX(職員マスタ!$B$6:$B$405,$AN2978)&lt;&gt;"",SUBSTITUTE(SUBSTITUTE($H2978," ","")," ","")&lt;&gt;SUBSTITUTE(SUBSTITUTE(INDEX(職員マスタ!$B$6:$B$405,$AN2978)," ","")," ","")),"氏名がマスタと相違／","")&amp;IF(AND($Q2978&lt;&gt;"",INDEX(職員マスタ!$E$6:$E$405,$AN2978)&lt;&gt;"",$Q2978&lt;&gt;INDEX(職員マスタ!$E$6:$E$405,$AN2978)),"子の生年月日がマスタと相違／","")&amp;IF(AND($L2978&lt;&gt;"",INDEX(職員マスタ!$G$6:$G$405,$AN2978)&lt;&gt;"",$L2978&lt;&gt;INDEX(職員マスタ!$G$6:$G$405,$AN2978)),"時短開始日がマスタと相違／","")&amp;IF(AND($M2978&lt;&gt;"",INDEX(職員マスタ!$H$6:$H$405,$AN2978)&lt;&gt;"",$M2978&lt;&gt;INDEX(職員マスタ!$H$6:$H$405,$AN2978)),"時短終了日がマスタと相違／","")))&amp;IF(AND($B2978&lt;&gt;"",$E2978=""),"報酬額が未入力／","")&amp;IF(N($U2978)&gt;0,"申請書に入力エラーが残っています／","")&amp;IF(AND($B2978&lt;&gt;"",$AO2978&lt;&gt;""),IF(COUNTIFS($B$6:$B$3005,$B2978,$C$6:$C$3005,$C2978,$D$6:$D$3005,$D2978)&gt;1,"同じ月の請求が重複しています／",""),"")&amp;IF(AND(N($E2978)&gt;0,$Z2978&lt;&gt;"",$Z2978&lt;&gt;"×",$AC2978=0,$AB2978=""),"計算額が下限以下のため不支給／",""))</f>
        <v/>
      </c>
      <c r="AL2978" s="12" t="n"/>
      <c r="AM2978" s="14">
        <f>IF($AD2978="保留中",COUNTIF($AD$6:$AD2978,"保留中"),"")</f>
        <v/>
      </c>
      <c r="AN2978" s="14">
        <f>IF($AO2978="","",IF(SUMPRODUCT(MAX((職員マスタ!$A$6:$A$405=$B2978)*(((職員マスタ!$G$6:$G$405="")+(職員マスタ!$G$6:$G$405&lt;=EOMONTH($AO2978,0)))&gt;0)*(((職員マスタ!$H$6:$H$405="")+(職員マスタ!$H$6:$H$405&gt;=$AO2978))&gt;0)*(ROW(職員マスタ!$A$6:$A$405)-5)))&gt;0,SUMPRODUCT(MAX((職員マスタ!$A$6:$A$405=$B2978)*(((職員マスタ!$G$6:$G$405="")+(職員マスタ!$G$6:$G$405&lt;=EOMONTH($AO2978,0)))&gt;0)*(((職員マスタ!$H$6:$H$405="")+(職員マスタ!$H$6:$H$405&gt;=$AO2978))&gt;0)*(ROW(職員マスタ!$A$6:$A$405)-5))),IFERROR(MATCH($B2978,職員マスタ!$A$6:$A$405,0),"")))</f>
        <v/>
      </c>
      <c r="AO2978" s="16">
        <f>IF(OR($B2978="",$C2978="",$D2978=""),"",DATE($C2978+2018,$D2978,1))</f>
        <v/>
      </c>
    </row>
    <row r="2979">
      <c r="A2979" s="11" t="n"/>
      <c r="B2979" s="12" t="n"/>
      <c r="C2979" s="12" t="n"/>
      <c r="D2979" s="12" t="n"/>
      <c r="E2979" s="13" t="n"/>
      <c r="F2979" s="12" t="n"/>
      <c r="G2979" s="13" t="n"/>
      <c r="H2979" s="12" t="n"/>
      <c r="I2979" s="12" t="n"/>
      <c r="J2979" s="12" t="n"/>
      <c r="K2979" s="12" t="n"/>
      <c r="L2979" s="11" t="n"/>
      <c r="M2979" s="11" t="n"/>
      <c r="N2979" s="11" t="n"/>
      <c r="O2979" s="11" t="n"/>
      <c r="P2979" s="12" t="n"/>
      <c r="Q2979" s="11" t="n"/>
      <c r="R2979" s="12" t="n"/>
      <c r="S2979" s="11" t="n"/>
      <c r="T2979" s="12" t="n"/>
      <c r="U2979" s="12" t="n"/>
      <c r="V2979" s="14">
        <f>IF($AN2979="",IF($B2979="","",$H2979),IF(INDEX(職員マスタ!$B$6:$B$405,$AN2979)="",$H2979,INDEX(職員マスタ!$B$6:$B$405,$AN2979)))</f>
        <v/>
      </c>
      <c r="W2979" s="14">
        <f>IF($AN2979="",IF($B2979="","",$R2979),IF(INDEX(職員マスタ!$C$6:$C$405,$AN2979)="",$R2979,INDEX(職員マスタ!$C$6:$C$405,$AN2979)))</f>
        <v/>
      </c>
      <c r="X2979" s="14">
        <f>IF($AO2979="","","R"&amp;$C2979&amp;"."&amp;$D2979)</f>
        <v/>
      </c>
      <c r="Y2979" s="15">
        <f>IF($AN2979="","",IF(INDEX(職員マスタ!$K$6:$K$405,$AN2979)="","",INDEX(職員マスタ!$K$6:$K$405,$AN2979)))</f>
        <v/>
      </c>
      <c r="Z2979" s="14">
        <f>IF(OR($E2979="",$Y2979=""),"",IF($E2979&gt;=$Y2979,"×",IF($E2979&gt;=$Y2979*設定!$C$5,"△","○")))</f>
        <v/>
      </c>
      <c r="AA2979" s="15">
        <f>IF($Z2979="","",IF($Z2979="×",0,IF($Z2979="○",ROUNDDOWN($E2979*設定!$C$4,0),ROUNDDOWN($E2979*ROUND((9*$Y2979-9*$E2979)/(10*$E2979),4),0))))</f>
        <v/>
      </c>
      <c r="AB2979" s="13" t="n"/>
      <c r="AC2979" s="15">
        <f>IF($B2979="","",IF($AB2979&lt;&gt;"",$AB2979,IF($AA2979="","",IF($AA2979&lt;=設定!$C$3,0,$AA2979))))</f>
        <v/>
      </c>
      <c r="AD2979" s="14">
        <f>IF($B2979="","",IF(AND($AE2979&lt;&gt;"",$AG2979="",$AJ2979=""),"保留中",IF($AJ2979&lt;&gt;"",IF(N($AC2979)&gt;0,"支給済","不支給"),IF($AC2979="","要確認",IF($AC2979=0,"不支給","未処理")))))</f>
        <v/>
      </c>
      <c r="AE2979" s="12" t="n"/>
      <c r="AF2979" s="11" t="n"/>
      <c r="AG2979" s="11" t="n"/>
      <c r="AH2979" s="11" t="n"/>
      <c r="AI2979" s="14">
        <f>IF(AND($AD2979="保留中",$AF2979&lt;&gt;""),TODAY()-$AF2979,"")</f>
        <v/>
      </c>
      <c r="AJ2979" s="12" t="n"/>
      <c r="AK2979" s="14">
        <f>IF($B2979="","",IF($AO2979="","対象年月が未入力／","")&amp;IF($B2979="","",IF($AN2979="","職員マスタに未登録の職員番号／",IF($Y2979="","標準報酬月額が未登録／","")&amp;IF(AND($AO2979&lt;&gt;"",OR(AND(INDEX(職員マスタ!$G$6:$G$405,$AN2979)&lt;&gt;"",INDEX(職員マスタ!$G$6:$G$405,$AN2979)&gt;EOMONTH($AO2979,0)),AND(INDEX(職員マスタ!$H$6:$H$405,$AN2979)&lt;&gt;"",INDEX(職員マスタ!$H$6:$H$405,$AN2979)&lt;$AO2979))),"対象月が時短期間外／","")&amp;IF(AND(INDEX(職員マスタ!$F$6:$F$405,$AN2979)&lt;&gt;"",$AO2979&lt;&gt;"",INDEX(職員マスタ!$F$6:$F$405,$AN2979)&lt;$AO2979),"対象月に子が2歳到達済／","")&amp;IF(AND($H2979&lt;&gt;"",INDEX(職員マスタ!$B$6:$B$405,$AN2979)&lt;&gt;"",SUBSTITUTE(SUBSTITUTE($H2979," ","")," ","")&lt;&gt;SUBSTITUTE(SUBSTITUTE(INDEX(職員マスタ!$B$6:$B$405,$AN2979)," ","")," ","")),"氏名がマスタと相違／","")&amp;IF(AND($Q2979&lt;&gt;"",INDEX(職員マスタ!$E$6:$E$405,$AN2979)&lt;&gt;"",$Q2979&lt;&gt;INDEX(職員マスタ!$E$6:$E$405,$AN2979)),"子の生年月日がマスタと相違／","")&amp;IF(AND($L2979&lt;&gt;"",INDEX(職員マスタ!$G$6:$G$405,$AN2979)&lt;&gt;"",$L2979&lt;&gt;INDEX(職員マスタ!$G$6:$G$405,$AN2979)),"時短開始日がマスタと相違／","")&amp;IF(AND($M2979&lt;&gt;"",INDEX(職員マスタ!$H$6:$H$405,$AN2979)&lt;&gt;"",$M2979&lt;&gt;INDEX(職員マスタ!$H$6:$H$405,$AN2979)),"時短終了日がマスタと相違／","")))&amp;IF(AND($B2979&lt;&gt;"",$E2979=""),"報酬額が未入力／","")&amp;IF(N($U2979)&gt;0,"申請書に入力エラーが残っています／","")&amp;IF(AND($B2979&lt;&gt;"",$AO2979&lt;&gt;""),IF(COUNTIFS($B$6:$B$3005,$B2979,$C$6:$C$3005,$C2979,$D$6:$D$3005,$D2979)&gt;1,"同じ月の請求が重複しています／",""),"")&amp;IF(AND(N($E2979)&gt;0,$Z2979&lt;&gt;"",$Z2979&lt;&gt;"×",$AC2979=0,$AB2979=""),"計算額が下限以下のため不支給／",""))</f>
        <v/>
      </c>
      <c r="AL2979" s="12" t="n"/>
      <c r="AM2979" s="14">
        <f>IF($AD2979="保留中",COUNTIF($AD$6:$AD2979,"保留中"),"")</f>
        <v/>
      </c>
      <c r="AN2979" s="14">
        <f>IF($AO2979="","",IF(SUMPRODUCT(MAX((職員マスタ!$A$6:$A$405=$B2979)*(((職員マスタ!$G$6:$G$405="")+(職員マスタ!$G$6:$G$405&lt;=EOMONTH($AO2979,0)))&gt;0)*(((職員マスタ!$H$6:$H$405="")+(職員マスタ!$H$6:$H$405&gt;=$AO2979))&gt;0)*(ROW(職員マスタ!$A$6:$A$405)-5)))&gt;0,SUMPRODUCT(MAX((職員マスタ!$A$6:$A$405=$B2979)*(((職員マスタ!$G$6:$G$405="")+(職員マスタ!$G$6:$G$405&lt;=EOMONTH($AO2979,0)))&gt;0)*(((職員マスタ!$H$6:$H$405="")+(職員マスタ!$H$6:$H$405&gt;=$AO2979))&gt;0)*(ROW(職員マスタ!$A$6:$A$405)-5))),IFERROR(MATCH($B2979,職員マスタ!$A$6:$A$405,0),"")))</f>
        <v/>
      </c>
      <c r="AO2979" s="16">
        <f>IF(OR($B2979="",$C2979="",$D2979=""),"",DATE($C2979+2018,$D2979,1))</f>
        <v/>
      </c>
    </row>
    <row r="2980">
      <c r="A2980" s="11" t="n"/>
      <c r="B2980" s="12" t="n"/>
      <c r="C2980" s="12" t="n"/>
      <c r="D2980" s="12" t="n"/>
      <c r="E2980" s="13" t="n"/>
      <c r="F2980" s="12" t="n"/>
      <c r="G2980" s="13" t="n"/>
      <c r="H2980" s="12" t="n"/>
      <c r="I2980" s="12" t="n"/>
      <c r="J2980" s="12" t="n"/>
      <c r="K2980" s="12" t="n"/>
      <c r="L2980" s="11" t="n"/>
      <c r="M2980" s="11" t="n"/>
      <c r="N2980" s="11" t="n"/>
      <c r="O2980" s="11" t="n"/>
      <c r="P2980" s="12" t="n"/>
      <c r="Q2980" s="11" t="n"/>
      <c r="R2980" s="12" t="n"/>
      <c r="S2980" s="11" t="n"/>
      <c r="T2980" s="12" t="n"/>
      <c r="U2980" s="12" t="n"/>
      <c r="V2980" s="14">
        <f>IF($AN2980="",IF($B2980="","",$H2980),IF(INDEX(職員マスタ!$B$6:$B$405,$AN2980)="",$H2980,INDEX(職員マスタ!$B$6:$B$405,$AN2980)))</f>
        <v/>
      </c>
      <c r="W2980" s="14">
        <f>IF($AN2980="",IF($B2980="","",$R2980),IF(INDEX(職員マスタ!$C$6:$C$405,$AN2980)="",$R2980,INDEX(職員マスタ!$C$6:$C$405,$AN2980)))</f>
        <v/>
      </c>
      <c r="X2980" s="14">
        <f>IF($AO2980="","","R"&amp;$C2980&amp;"."&amp;$D2980)</f>
        <v/>
      </c>
      <c r="Y2980" s="15">
        <f>IF($AN2980="","",IF(INDEX(職員マスタ!$K$6:$K$405,$AN2980)="","",INDEX(職員マスタ!$K$6:$K$405,$AN2980)))</f>
        <v/>
      </c>
      <c r="Z2980" s="14">
        <f>IF(OR($E2980="",$Y2980=""),"",IF($E2980&gt;=$Y2980,"×",IF($E2980&gt;=$Y2980*設定!$C$5,"△","○")))</f>
        <v/>
      </c>
      <c r="AA2980" s="15">
        <f>IF($Z2980="","",IF($Z2980="×",0,IF($Z2980="○",ROUNDDOWN($E2980*設定!$C$4,0),ROUNDDOWN($E2980*ROUND((9*$Y2980-9*$E2980)/(10*$E2980),4),0))))</f>
        <v/>
      </c>
      <c r="AB2980" s="13" t="n"/>
      <c r="AC2980" s="15">
        <f>IF($B2980="","",IF($AB2980&lt;&gt;"",$AB2980,IF($AA2980="","",IF($AA2980&lt;=設定!$C$3,0,$AA2980))))</f>
        <v/>
      </c>
      <c r="AD2980" s="14">
        <f>IF($B2980="","",IF(AND($AE2980&lt;&gt;"",$AG2980="",$AJ2980=""),"保留中",IF($AJ2980&lt;&gt;"",IF(N($AC2980)&gt;0,"支給済","不支給"),IF($AC2980="","要確認",IF($AC2980=0,"不支給","未処理")))))</f>
        <v/>
      </c>
      <c r="AE2980" s="12" t="n"/>
      <c r="AF2980" s="11" t="n"/>
      <c r="AG2980" s="11" t="n"/>
      <c r="AH2980" s="11" t="n"/>
      <c r="AI2980" s="14">
        <f>IF(AND($AD2980="保留中",$AF2980&lt;&gt;""),TODAY()-$AF2980,"")</f>
        <v/>
      </c>
      <c r="AJ2980" s="12" t="n"/>
      <c r="AK2980" s="14">
        <f>IF($B2980="","",IF($AO2980="","対象年月が未入力／","")&amp;IF($B2980="","",IF($AN2980="","職員マスタに未登録の職員番号／",IF($Y2980="","標準報酬月額が未登録／","")&amp;IF(AND($AO2980&lt;&gt;"",OR(AND(INDEX(職員マスタ!$G$6:$G$405,$AN2980)&lt;&gt;"",INDEX(職員マスタ!$G$6:$G$405,$AN2980)&gt;EOMONTH($AO2980,0)),AND(INDEX(職員マスタ!$H$6:$H$405,$AN2980)&lt;&gt;"",INDEX(職員マスタ!$H$6:$H$405,$AN2980)&lt;$AO2980))),"対象月が時短期間外／","")&amp;IF(AND(INDEX(職員マスタ!$F$6:$F$405,$AN2980)&lt;&gt;"",$AO2980&lt;&gt;"",INDEX(職員マスタ!$F$6:$F$405,$AN2980)&lt;$AO2980),"対象月に子が2歳到達済／","")&amp;IF(AND($H2980&lt;&gt;"",INDEX(職員マスタ!$B$6:$B$405,$AN2980)&lt;&gt;"",SUBSTITUTE(SUBSTITUTE($H2980," ","")," ","")&lt;&gt;SUBSTITUTE(SUBSTITUTE(INDEX(職員マスタ!$B$6:$B$405,$AN2980)," ","")," ","")),"氏名がマスタと相違／","")&amp;IF(AND($Q2980&lt;&gt;"",INDEX(職員マスタ!$E$6:$E$405,$AN2980)&lt;&gt;"",$Q2980&lt;&gt;INDEX(職員マスタ!$E$6:$E$405,$AN2980)),"子の生年月日がマスタと相違／","")&amp;IF(AND($L2980&lt;&gt;"",INDEX(職員マスタ!$G$6:$G$405,$AN2980)&lt;&gt;"",$L2980&lt;&gt;INDEX(職員マスタ!$G$6:$G$405,$AN2980)),"時短開始日がマスタと相違／","")&amp;IF(AND($M2980&lt;&gt;"",INDEX(職員マスタ!$H$6:$H$405,$AN2980)&lt;&gt;"",$M2980&lt;&gt;INDEX(職員マスタ!$H$6:$H$405,$AN2980)),"時短終了日がマスタと相違／","")))&amp;IF(AND($B2980&lt;&gt;"",$E2980=""),"報酬額が未入力／","")&amp;IF(N($U2980)&gt;0,"申請書に入力エラーが残っています／","")&amp;IF(AND($B2980&lt;&gt;"",$AO2980&lt;&gt;""),IF(COUNTIFS($B$6:$B$3005,$B2980,$C$6:$C$3005,$C2980,$D$6:$D$3005,$D2980)&gt;1,"同じ月の請求が重複しています／",""),"")&amp;IF(AND(N($E2980)&gt;0,$Z2980&lt;&gt;"",$Z2980&lt;&gt;"×",$AC2980=0,$AB2980=""),"計算額が下限以下のため不支給／",""))</f>
        <v/>
      </c>
      <c r="AL2980" s="12" t="n"/>
      <c r="AM2980" s="14">
        <f>IF($AD2980="保留中",COUNTIF($AD$6:$AD2980,"保留中"),"")</f>
        <v/>
      </c>
      <c r="AN2980" s="14">
        <f>IF($AO2980="","",IF(SUMPRODUCT(MAX((職員マスタ!$A$6:$A$405=$B2980)*(((職員マスタ!$G$6:$G$405="")+(職員マスタ!$G$6:$G$405&lt;=EOMONTH($AO2980,0)))&gt;0)*(((職員マスタ!$H$6:$H$405="")+(職員マスタ!$H$6:$H$405&gt;=$AO2980))&gt;0)*(ROW(職員マスタ!$A$6:$A$405)-5)))&gt;0,SUMPRODUCT(MAX((職員マスタ!$A$6:$A$405=$B2980)*(((職員マスタ!$G$6:$G$405="")+(職員マスタ!$G$6:$G$405&lt;=EOMONTH($AO2980,0)))&gt;0)*(((職員マスタ!$H$6:$H$405="")+(職員マスタ!$H$6:$H$405&gt;=$AO2980))&gt;0)*(ROW(職員マスタ!$A$6:$A$405)-5))),IFERROR(MATCH($B2980,職員マスタ!$A$6:$A$405,0),"")))</f>
        <v/>
      </c>
      <c r="AO2980" s="16">
        <f>IF(OR($B2980="",$C2980="",$D2980=""),"",DATE($C2980+2018,$D2980,1))</f>
        <v/>
      </c>
    </row>
    <row r="2981">
      <c r="A2981" s="11" t="n"/>
      <c r="B2981" s="12" t="n"/>
      <c r="C2981" s="12" t="n"/>
      <c r="D2981" s="12" t="n"/>
      <c r="E2981" s="13" t="n"/>
      <c r="F2981" s="12" t="n"/>
      <c r="G2981" s="13" t="n"/>
      <c r="H2981" s="12" t="n"/>
      <c r="I2981" s="12" t="n"/>
      <c r="J2981" s="12" t="n"/>
      <c r="K2981" s="12" t="n"/>
      <c r="L2981" s="11" t="n"/>
      <c r="M2981" s="11" t="n"/>
      <c r="N2981" s="11" t="n"/>
      <c r="O2981" s="11" t="n"/>
      <c r="P2981" s="12" t="n"/>
      <c r="Q2981" s="11" t="n"/>
      <c r="R2981" s="12" t="n"/>
      <c r="S2981" s="11" t="n"/>
      <c r="T2981" s="12" t="n"/>
      <c r="U2981" s="12" t="n"/>
      <c r="V2981" s="14">
        <f>IF($AN2981="",IF($B2981="","",$H2981),IF(INDEX(職員マスタ!$B$6:$B$405,$AN2981)="",$H2981,INDEX(職員マスタ!$B$6:$B$405,$AN2981)))</f>
        <v/>
      </c>
      <c r="W2981" s="14">
        <f>IF($AN2981="",IF($B2981="","",$R2981),IF(INDEX(職員マスタ!$C$6:$C$405,$AN2981)="",$R2981,INDEX(職員マスタ!$C$6:$C$405,$AN2981)))</f>
        <v/>
      </c>
      <c r="X2981" s="14">
        <f>IF($AO2981="","","R"&amp;$C2981&amp;"."&amp;$D2981)</f>
        <v/>
      </c>
      <c r="Y2981" s="15">
        <f>IF($AN2981="","",IF(INDEX(職員マスタ!$K$6:$K$405,$AN2981)="","",INDEX(職員マスタ!$K$6:$K$405,$AN2981)))</f>
        <v/>
      </c>
      <c r="Z2981" s="14">
        <f>IF(OR($E2981="",$Y2981=""),"",IF($E2981&gt;=$Y2981,"×",IF($E2981&gt;=$Y2981*設定!$C$5,"△","○")))</f>
        <v/>
      </c>
      <c r="AA2981" s="15">
        <f>IF($Z2981="","",IF($Z2981="×",0,IF($Z2981="○",ROUNDDOWN($E2981*設定!$C$4,0),ROUNDDOWN($E2981*ROUND((9*$Y2981-9*$E2981)/(10*$E2981),4),0))))</f>
        <v/>
      </c>
      <c r="AB2981" s="13" t="n"/>
      <c r="AC2981" s="15">
        <f>IF($B2981="","",IF($AB2981&lt;&gt;"",$AB2981,IF($AA2981="","",IF($AA2981&lt;=設定!$C$3,0,$AA2981))))</f>
        <v/>
      </c>
      <c r="AD2981" s="14">
        <f>IF($B2981="","",IF(AND($AE2981&lt;&gt;"",$AG2981="",$AJ2981=""),"保留中",IF($AJ2981&lt;&gt;"",IF(N($AC2981)&gt;0,"支給済","不支給"),IF($AC2981="","要確認",IF($AC2981=0,"不支給","未処理")))))</f>
        <v/>
      </c>
      <c r="AE2981" s="12" t="n"/>
      <c r="AF2981" s="11" t="n"/>
      <c r="AG2981" s="11" t="n"/>
      <c r="AH2981" s="11" t="n"/>
      <c r="AI2981" s="14">
        <f>IF(AND($AD2981="保留中",$AF2981&lt;&gt;""),TODAY()-$AF2981,"")</f>
        <v/>
      </c>
      <c r="AJ2981" s="12" t="n"/>
      <c r="AK2981" s="14">
        <f>IF($B2981="","",IF($AO2981="","対象年月が未入力／","")&amp;IF($B2981="","",IF($AN2981="","職員マスタに未登録の職員番号／",IF($Y2981="","標準報酬月額が未登録／","")&amp;IF(AND($AO2981&lt;&gt;"",OR(AND(INDEX(職員マスタ!$G$6:$G$405,$AN2981)&lt;&gt;"",INDEX(職員マスタ!$G$6:$G$405,$AN2981)&gt;EOMONTH($AO2981,0)),AND(INDEX(職員マスタ!$H$6:$H$405,$AN2981)&lt;&gt;"",INDEX(職員マスタ!$H$6:$H$405,$AN2981)&lt;$AO2981))),"対象月が時短期間外／","")&amp;IF(AND(INDEX(職員マスタ!$F$6:$F$405,$AN2981)&lt;&gt;"",$AO2981&lt;&gt;"",INDEX(職員マスタ!$F$6:$F$405,$AN2981)&lt;$AO2981),"対象月に子が2歳到達済／","")&amp;IF(AND($H2981&lt;&gt;"",INDEX(職員マスタ!$B$6:$B$405,$AN2981)&lt;&gt;"",SUBSTITUTE(SUBSTITUTE($H2981," ","")," ","")&lt;&gt;SUBSTITUTE(SUBSTITUTE(INDEX(職員マスタ!$B$6:$B$405,$AN2981)," ","")," ","")),"氏名がマスタと相違／","")&amp;IF(AND($Q2981&lt;&gt;"",INDEX(職員マスタ!$E$6:$E$405,$AN2981)&lt;&gt;"",$Q2981&lt;&gt;INDEX(職員マスタ!$E$6:$E$405,$AN2981)),"子の生年月日がマスタと相違／","")&amp;IF(AND($L2981&lt;&gt;"",INDEX(職員マスタ!$G$6:$G$405,$AN2981)&lt;&gt;"",$L2981&lt;&gt;INDEX(職員マスタ!$G$6:$G$405,$AN2981)),"時短開始日がマスタと相違／","")&amp;IF(AND($M2981&lt;&gt;"",INDEX(職員マスタ!$H$6:$H$405,$AN2981)&lt;&gt;"",$M2981&lt;&gt;INDEX(職員マスタ!$H$6:$H$405,$AN2981)),"時短終了日がマスタと相違／","")))&amp;IF(AND($B2981&lt;&gt;"",$E2981=""),"報酬額が未入力／","")&amp;IF(N($U2981)&gt;0,"申請書に入力エラーが残っています／","")&amp;IF(AND($B2981&lt;&gt;"",$AO2981&lt;&gt;""),IF(COUNTIFS($B$6:$B$3005,$B2981,$C$6:$C$3005,$C2981,$D$6:$D$3005,$D2981)&gt;1,"同じ月の請求が重複しています／",""),"")&amp;IF(AND(N($E2981)&gt;0,$Z2981&lt;&gt;"",$Z2981&lt;&gt;"×",$AC2981=0,$AB2981=""),"計算額が下限以下のため不支給／",""))</f>
        <v/>
      </c>
      <c r="AL2981" s="12" t="n"/>
      <c r="AM2981" s="14">
        <f>IF($AD2981="保留中",COUNTIF($AD$6:$AD2981,"保留中"),"")</f>
        <v/>
      </c>
      <c r="AN2981" s="14">
        <f>IF($AO2981="","",IF(SUMPRODUCT(MAX((職員マスタ!$A$6:$A$405=$B2981)*(((職員マスタ!$G$6:$G$405="")+(職員マスタ!$G$6:$G$405&lt;=EOMONTH($AO2981,0)))&gt;0)*(((職員マスタ!$H$6:$H$405="")+(職員マスタ!$H$6:$H$405&gt;=$AO2981))&gt;0)*(ROW(職員マスタ!$A$6:$A$405)-5)))&gt;0,SUMPRODUCT(MAX((職員マスタ!$A$6:$A$405=$B2981)*(((職員マスタ!$G$6:$G$405="")+(職員マスタ!$G$6:$G$405&lt;=EOMONTH($AO2981,0)))&gt;0)*(((職員マスタ!$H$6:$H$405="")+(職員マスタ!$H$6:$H$405&gt;=$AO2981))&gt;0)*(ROW(職員マスタ!$A$6:$A$405)-5))),IFERROR(MATCH($B2981,職員マスタ!$A$6:$A$405,0),"")))</f>
        <v/>
      </c>
      <c r="AO2981" s="16">
        <f>IF(OR($B2981="",$C2981="",$D2981=""),"",DATE($C2981+2018,$D2981,1))</f>
        <v/>
      </c>
    </row>
    <row r="2982">
      <c r="A2982" s="11" t="n"/>
      <c r="B2982" s="12" t="n"/>
      <c r="C2982" s="12" t="n"/>
      <c r="D2982" s="12" t="n"/>
      <c r="E2982" s="13" t="n"/>
      <c r="F2982" s="12" t="n"/>
      <c r="G2982" s="13" t="n"/>
      <c r="H2982" s="12" t="n"/>
      <c r="I2982" s="12" t="n"/>
      <c r="J2982" s="12" t="n"/>
      <c r="K2982" s="12" t="n"/>
      <c r="L2982" s="11" t="n"/>
      <c r="M2982" s="11" t="n"/>
      <c r="N2982" s="11" t="n"/>
      <c r="O2982" s="11" t="n"/>
      <c r="P2982" s="12" t="n"/>
      <c r="Q2982" s="11" t="n"/>
      <c r="R2982" s="12" t="n"/>
      <c r="S2982" s="11" t="n"/>
      <c r="T2982" s="12" t="n"/>
      <c r="U2982" s="12" t="n"/>
      <c r="V2982" s="14">
        <f>IF($AN2982="",IF($B2982="","",$H2982),IF(INDEX(職員マスタ!$B$6:$B$405,$AN2982)="",$H2982,INDEX(職員マスタ!$B$6:$B$405,$AN2982)))</f>
        <v/>
      </c>
      <c r="W2982" s="14">
        <f>IF($AN2982="",IF($B2982="","",$R2982),IF(INDEX(職員マスタ!$C$6:$C$405,$AN2982)="",$R2982,INDEX(職員マスタ!$C$6:$C$405,$AN2982)))</f>
        <v/>
      </c>
      <c r="X2982" s="14">
        <f>IF($AO2982="","","R"&amp;$C2982&amp;"."&amp;$D2982)</f>
        <v/>
      </c>
      <c r="Y2982" s="15">
        <f>IF($AN2982="","",IF(INDEX(職員マスタ!$K$6:$K$405,$AN2982)="","",INDEX(職員マスタ!$K$6:$K$405,$AN2982)))</f>
        <v/>
      </c>
      <c r="Z2982" s="14">
        <f>IF(OR($E2982="",$Y2982=""),"",IF($E2982&gt;=$Y2982,"×",IF($E2982&gt;=$Y2982*設定!$C$5,"△","○")))</f>
        <v/>
      </c>
      <c r="AA2982" s="15">
        <f>IF($Z2982="","",IF($Z2982="×",0,IF($Z2982="○",ROUNDDOWN($E2982*設定!$C$4,0),ROUNDDOWN($E2982*ROUND((9*$Y2982-9*$E2982)/(10*$E2982),4),0))))</f>
        <v/>
      </c>
      <c r="AB2982" s="13" t="n"/>
      <c r="AC2982" s="15">
        <f>IF($B2982="","",IF($AB2982&lt;&gt;"",$AB2982,IF($AA2982="","",IF($AA2982&lt;=設定!$C$3,0,$AA2982))))</f>
        <v/>
      </c>
      <c r="AD2982" s="14">
        <f>IF($B2982="","",IF(AND($AE2982&lt;&gt;"",$AG2982="",$AJ2982=""),"保留中",IF($AJ2982&lt;&gt;"",IF(N($AC2982)&gt;0,"支給済","不支給"),IF($AC2982="","要確認",IF($AC2982=0,"不支給","未処理")))))</f>
        <v/>
      </c>
      <c r="AE2982" s="12" t="n"/>
      <c r="AF2982" s="11" t="n"/>
      <c r="AG2982" s="11" t="n"/>
      <c r="AH2982" s="11" t="n"/>
      <c r="AI2982" s="14">
        <f>IF(AND($AD2982="保留中",$AF2982&lt;&gt;""),TODAY()-$AF2982,"")</f>
        <v/>
      </c>
      <c r="AJ2982" s="12" t="n"/>
      <c r="AK2982" s="14">
        <f>IF($B2982="","",IF($AO2982="","対象年月が未入力／","")&amp;IF($B2982="","",IF($AN2982="","職員マスタに未登録の職員番号／",IF($Y2982="","標準報酬月額が未登録／","")&amp;IF(AND($AO2982&lt;&gt;"",OR(AND(INDEX(職員マスタ!$G$6:$G$405,$AN2982)&lt;&gt;"",INDEX(職員マスタ!$G$6:$G$405,$AN2982)&gt;EOMONTH($AO2982,0)),AND(INDEX(職員マスタ!$H$6:$H$405,$AN2982)&lt;&gt;"",INDEX(職員マスタ!$H$6:$H$405,$AN2982)&lt;$AO2982))),"対象月が時短期間外／","")&amp;IF(AND(INDEX(職員マスタ!$F$6:$F$405,$AN2982)&lt;&gt;"",$AO2982&lt;&gt;"",INDEX(職員マスタ!$F$6:$F$405,$AN2982)&lt;$AO2982),"対象月に子が2歳到達済／","")&amp;IF(AND($H2982&lt;&gt;"",INDEX(職員マスタ!$B$6:$B$405,$AN2982)&lt;&gt;"",SUBSTITUTE(SUBSTITUTE($H2982," ","")," ","")&lt;&gt;SUBSTITUTE(SUBSTITUTE(INDEX(職員マスタ!$B$6:$B$405,$AN2982)," ","")," ","")),"氏名がマスタと相違／","")&amp;IF(AND($Q2982&lt;&gt;"",INDEX(職員マスタ!$E$6:$E$405,$AN2982)&lt;&gt;"",$Q2982&lt;&gt;INDEX(職員マスタ!$E$6:$E$405,$AN2982)),"子の生年月日がマスタと相違／","")&amp;IF(AND($L2982&lt;&gt;"",INDEX(職員マスタ!$G$6:$G$405,$AN2982)&lt;&gt;"",$L2982&lt;&gt;INDEX(職員マスタ!$G$6:$G$405,$AN2982)),"時短開始日がマスタと相違／","")&amp;IF(AND($M2982&lt;&gt;"",INDEX(職員マスタ!$H$6:$H$405,$AN2982)&lt;&gt;"",$M2982&lt;&gt;INDEX(職員マスタ!$H$6:$H$405,$AN2982)),"時短終了日がマスタと相違／","")))&amp;IF(AND($B2982&lt;&gt;"",$E2982=""),"報酬額が未入力／","")&amp;IF(N($U2982)&gt;0,"申請書に入力エラーが残っています／","")&amp;IF(AND($B2982&lt;&gt;"",$AO2982&lt;&gt;""),IF(COUNTIFS($B$6:$B$3005,$B2982,$C$6:$C$3005,$C2982,$D$6:$D$3005,$D2982)&gt;1,"同じ月の請求が重複しています／",""),"")&amp;IF(AND(N($E2982)&gt;0,$Z2982&lt;&gt;"",$Z2982&lt;&gt;"×",$AC2982=0,$AB2982=""),"計算額が下限以下のため不支給／",""))</f>
        <v/>
      </c>
      <c r="AL2982" s="12" t="n"/>
      <c r="AM2982" s="14">
        <f>IF($AD2982="保留中",COUNTIF($AD$6:$AD2982,"保留中"),"")</f>
        <v/>
      </c>
      <c r="AN2982" s="14">
        <f>IF($AO2982="","",IF(SUMPRODUCT(MAX((職員マスタ!$A$6:$A$405=$B2982)*(((職員マスタ!$G$6:$G$405="")+(職員マスタ!$G$6:$G$405&lt;=EOMONTH($AO2982,0)))&gt;0)*(((職員マスタ!$H$6:$H$405="")+(職員マスタ!$H$6:$H$405&gt;=$AO2982))&gt;0)*(ROW(職員マスタ!$A$6:$A$405)-5)))&gt;0,SUMPRODUCT(MAX((職員マスタ!$A$6:$A$405=$B2982)*(((職員マスタ!$G$6:$G$405="")+(職員マスタ!$G$6:$G$405&lt;=EOMONTH($AO2982,0)))&gt;0)*(((職員マスタ!$H$6:$H$405="")+(職員マスタ!$H$6:$H$405&gt;=$AO2982))&gt;0)*(ROW(職員マスタ!$A$6:$A$405)-5))),IFERROR(MATCH($B2982,職員マスタ!$A$6:$A$405,0),"")))</f>
        <v/>
      </c>
      <c r="AO2982" s="16">
        <f>IF(OR($B2982="",$C2982="",$D2982=""),"",DATE($C2982+2018,$D2982,1))</f>
        <v/>
      </c>
    </row>
    <row r="2983">
      <c r="A2983" s="11" t="n"/>
      <c r="B2983" s="12" t="n"/>
      <c r="C2983" s="12" t="n"/>
      <c r="D2983" s="12" t="n"/>
      <c r="E2983" s="13" t="n"/>
      <c r="F2983" s="12" t="n"/>
      <c r="G2983" s="13" t="n"/>
      <c r="H2983" s="12" t="n"/>
      <c r="I2983" s="12" t="n"/>
      <c r="J2983" s="12" t="n"/>
      <c r="K2983" s="12" t="n"/>
      <c r="L2983" s="11" t="n"/>
      <c r="M2983" s="11" t="n"/>
      <c r="N2983" s="11" t="n"/>
      <c r="O2983" s="11" t="n"/>
      <c r="P2983" s="12" t="n"/>
      <c r="Q2983" s="11" t="n"/>
      <c r="R2983" s="12" t="n"/>
      <c r="S2983" s="11" t="n"/>
      <c r="T2983" s="12" t="n"/>
      <c r="U2983" s="12" t="n"/>
      <c r="V2983" s="14">
        <f>IF($AN2983="",IF($B2983="","",$H2983),IF(INDEX(職員マスタ!$B$6:$B$405,$AN2983)="",$H2983,INDEX(職員マスタ!$B$6:$B$405,$AN2983)))</f>
        <v/>
      </c>
      <c r="W2983" s="14">
        <f>IF($AN2983="",IF($B2983="","",$R2983),IF(INDEX(職員マスタ!$C$6:$C$405,$AN2983)="",$R2983,INDEX(職員マスタ!$C$6:$C$405,$AN2983)))</f>
        <v/>
      </c>
      <c r="X2983" s="14">
        <f>IF($AO2983="","","R"&amp;$C2983&amp;"."&amp;$D2983)</f>
        <v/>
      </c>
      <c r="Y2983" s="15">
        <f>IF($AN2983="","",IF(INDEX(職員マスタ!$K$6:$K$405,$AN2983)="","",INDEX(職員マスタ!$K$6:$K$405,$AN2983)))</f>
        <v/>
      </c>
      <c r="Z2983" s="14">
        <f>IF(OR($E2983="",$Y2983=""),"",IF($E2983&gt;=$Y2983,"×",IF($E2983&gt;=$Y2983*設定!$C$5,"△","○")))</f>
        <v/>
      </c>
      <c r="AA2983" s="15">
        <f>IF($Z2983="","",IF($Z2983="×",0,IF($Z2983="○",ROUNDDOWN($E2983*設定!$C$4,0),ROUNDDOWN($E2983*ROUND((9*$Y2983-9*$E2983)/(10*$E2983),4),0))))</f>
        <v/>
      </c>
      <c r="AB2983" s="13" t="n"/>
      <c r="AC2983" s="15">
        <f>IF($B2983="","",IF($AB2983&lt;&gt;"",$AB2983,IF($AA2983="","",IF($AA2983&lt;=設定!$C$3,0,$AA2983))))</f>
        <v/>
      </c>
      <c r="AD2983" s="14">
        <f>IF($B2983="","",IF(AND($AE2983&lt;&gt;"",$AG2983="",$AJ2983=""),"保留中",IF($AJ2983&lt;&gt;"",IF(N($AC2983)&gt;0,"支給済","不支給"),IF($AC2983="","要確認",IF($AC2983=0,"不支給","未処理")))))</f>
        <v/>
      </c>
      <c r="AE2983" s="12" t="n"/>
      <c r="AF2983" s="11" t="n"/>
      <c r="AG2983" s="11" t="n"/>
      <c r="AH2983" s="11" t="n"/>
      <c r="AI2983" s="14">
        <f>IF(AND($AD2983="保留中",$AF2983&lt;&gt;""),TODAY()-$AF2983,"")</f>
        <v/>
      </c>
      <c r="AJ2983" s="12" t="n"/>
      <c r="AK2983" s="14">
        <f>IF($B2983="","",IF($AO2983="","対象年月が未入力／","")&amp;IF($B2983="","",IF($AN2983="","職員マスタに未登録の職員番号／",IF($Y2983="","標準報酬月額が未登録／","")&amp;IF(AND($AO2983&lt;&gt;"",OR(AND(INDEX(職員マスタ!$G$6:$G$405,$AN2983)&lt;&gt;"",INDEX(職員マスタ!$G$6:$G$405,$AN2983)&gt;EOMONTH($AO2983,0)),AND(INDEX(職員マスタ!$H$6:$H$405,$AN2983)&lt;&gt;"",INDEX(職員マスタ!$H$6:$H$405,$AN2983)&lt;$AO2983))),"対象月が時短期間外／","")&amp;IF(AND(INDEX(職員マスタ!$F$6:$F$405,$AN2983)&lt;&gt;"",$AO2983&lt;&gt;"",INDEX(職員マスタ!$F$6:$F$405,$AN2983)&lt;$AO2983),"対象月に子が2歳到達済／","")&amp;IF(AND($H2983&lt;&gt;"",INDEX(職員マスタ!$B$6:$B$405,$AN2983)&lt;&gt;"",SUBSTITUTE(SUBSTITUTE($H2983," ","")," ","")&lt;&gt;SUBSTITUTE(SUBSTITUTE(INDEX(職員マスタ!$B$6:$B$405,$AN2983)," ","")," ","")),"氏名がマスタと相違／","")&amp;IF(AND($Q2983&lt;&gt;"",INDEX(職員マスタ!$E$6:$E$405,$AN2983)&lt;&gt;"",$Q2983&lt;&gt;INDEX(職員マスタ!$E$6:$E$405,$AN2983)),"子の生年月日がマスタと相違／","")&amp;IF(AND($L2983&lt;&gt;"",INDEX(職員マスタ!$G$6:$G$405,$AN2983)&lt;&gt;"",$L2983&lt;&gt;INDEX(職員マスタ!$G$6:$G$405,$AN2983)),"時短開始日がマスタと相違／","")&amp;IF(AND($M2983&lt;&gt;"",INDEX(職員マスタ!$H$6:$H$405,$AN2983)&lt;&gt;"",$M2983&lt;&gt;INDEX(職員マスタ!$H$6:$H$405,$AN2983)),"時短終了日がマスタと相違／","")))&amp;IF(AND($B2983&lt;&gt;"",$E2983=""),"報酬額が未入力／","")&amp;IF(N($U2983)&gt;0,"申請書に入力エラーが残っています／","")&amp;IF(AND($B2983&lt;&gt;"",$AO2983&lt;&gt;""),IF(COUNTIFS($B$6:$B$3005,$B2983,$C$6:$C$3005,$C2983,$D$6:$D$3005,$D2983)&gt;1,"同じ月の請求が重複しています／",""),"")&amp;IF(AND(N($E2983)&gt;0,$Z2983&lt;&gt;"",$Z2983&lt;&gt;"×",$AC2983=0,$AB2983=""),"計算額が下限以下のため不支給／",""))</f>
        <v/>
      </c>
      <c r="AL2983" s="12" t="n"/>
      <c r="AM2983" s="14">
        <f>IF($AD2983="保留中",COUNTIF($AD$6:$AD2983,"保留中"),"")</f>
        <v/>
      </c>
      <c r="AN2983" s="14">
        <f>IF($AO2983="","",IF(SUMPRODUCT(MAX((職員マスタ!$A$6:$A$405=$B2983)*(((職員マスタ!$G$6:$G$405="")+(職員マスタ!$G$6:$G$405&lt;=EOMONTH($AO2983,0)))&gt;0)*(((職員マスタ!$H$6:$H$405="")+(職員マスタ!$H$6:$H$405&gt;=$AO2983))&gt;0)*(ROW(職員マスタ!$A$6:$A$405)-5)))&gt;0,SUMPRODUCT(MAX((職員マスタ!$A$6:$A$405=$B2983)*(((職員マスタ!$G$6:$G$405="")+(職員マスタ!$G$6:$G$405&lt;=EOMONTH($AO2983,0)))&gt;0)*(((職員マスタ!$H$6:$H$405="")+(職員マスタ!$H$6:$H$405&gt;=$AO2983))&gt;0)*(ROW(職員マスタ!$A$6:$A$405)-5))),IFERROR(MATCH($B2983,職員マスタ!$A$6:$A$405,0),"")))</f>
        <v/>
      </c>
      <c r="AO2983" s="16">
        <f>IF(OR($B2983="",$C2983="",$D2983=""),"",DATE($C2983+2018,$D2983,1))</f>
        <v/>
      </c>
    </row>
    <row r="2984">
      <c r="A2984" s="11" t="n"/>
      <c r="B2984" s="12" t="n"/>
      <c r="C2984" s="12" t="n"/>
      <c r="D2984" s="12" t="n"/>
      <c r="E2984" s="13" t="n"/>
      <c r="F2984" s="12" t="n"/>
      <c r="G2984" s="13" t="n"/>
      <c r="H2984" s="12" t="n"/>
      <c r="I2984" s="12" t="n"/>
      <c r="J2984" s="12" t="n"/>
      <c r="K2984" s="12" t="n"/>
      <c r="L2984" s="11" t="n"/>
      <c r="M2984" s="11" t="n"/>
      <c r="N2984" s="11" t="n"/>
      <c r="O2984" s="11" t="n"/>
      <c r="P2984" s="12" t="n"/>
      <c r="Q2984" s="11" t="n"/>
      <c r="R2984" s="12" t="n"/>
      <c r="S2984" s="11" t="n"/>
      <c r="T2984" s="12" t="n"/>
      <c r="U2984" s="12" t="n"/>
      <c r="V2984" s="14">
        <f>IF($AN2984="",IF($B2984="","",$H2984),IF(INDEX(職員マスタ!$B$6:$B$405,$AN2984)="",$H2984,INDEX(職員マスタ!$B$6:$B$405,$AN2984)))</f>
        <v/>
      </c>
      <c r="W2984" s="14">
        <f>IF($AN2984="",IF($B2984="","",$R2984),IF(INDEX(職員マスタ!$C$6:$C$405,$AN2984)="",$R2984,INDEX(職員マスタ!$C$6:$C$405,$AN2984)))</f>
        <v/>
      </c>
      <c r="X2984" s="14">
        <f>IF($AO2984="","","R"&amp;$C2984&amp;"."&amp;$D2984)</f>
        <v/>
      </c>
      <c r="Y2984" s="15">
        <f>IF($AN2984="","",IF(INDEX(職員マスタ!$K$6:$K$405,$AN2984)="","",INDEX(職員マスタ!$K$6:$K$405,$AN2984)))</f>
        <v/>
      </c>
      <c r="Z2984" s="14">
        <f>IF(OR($E2984="",$Y2984=""),"",IF($E2984&gt;=$Y2984,"×",IF($E2984&gt;=$Y2984*設定!$C$5,"△","○")))</f>
        <v/>
      </c>
      <c r="AA2984" s="15">
        <f>IF($Z2984="","",IF($Z2984="×",0,IF($Z2984="○",ROUNDDOWN($E2984*設定!$C$4,0),ROUNDDOWN($E2984*ROUND((9*$Y2984-9*$E2984)/(10*$E2984),4),0))))</f>
        <v/>
      </c>
      <c r="AB2984" s="13" t="n"/>
      <c r="AC2984" s="15">
        <f>IF($B2984="","",IF($AB2984&lt;&gt;"",$AB2984,IF($AA2984="","",IF($AA2984&lt;=設定!$C$3,0,$AA2984))))</f>
        <v/>
      </c>
      <c r="AD2984" s="14">
        <f>IF($B2984="","",IF(AND($AE2984&lt;&gt;"",$AG2984="",$AJ2984=""),"保留中",IF($AJ2984&lt;&gt;"",IF(N($AC2984)&gt;0,"支給済","不支給"),IF($AC2984="","要確認",IF($AC2984=0,"不支給","未処理")))))</f>
        <v/>
      </c>
      <c r="AE2984" s="12" t="n"/>
      <c r="AF2984" s="11" t="n"/>
      <c r="AG2984" s="11" t="n"/>
      <c r="AH2984" s="11" t="n"/>
      <c r="AI2984" s="14">
        <f>IF(AND($AD2984="保留中",$AF2984&lt;&gt;""),TODAY()-$AF2984,"")</f>
        <v/>
      </c>
      <c r="AJ2984" s="12" t="n"/>
      <c r="AK2984" s="14">
        <f>IF($B2984="","",IF($AO2984="","対象年月が未入力／","")&amp;IF($B2984="","",IF($AN2984="","職員マスタに未登録の職員番号／",IF($Y2984="","標準報酬月額が未登録／","")&amp;IF(AND($AO2984&lt;&gt;"",OR(AND(INDEX(職員マスタ!$G$6:$G$405,$AN2984)&lt;&gt;"",INDEX(職員マスタ!$G$6:$G$405,$AN2984)&gt;EOMONTH($AO2984,0)),AND(INDEX(職員マスタ!$H$6:$H$405,$AN2984)&lt;&gt;"",INDEX(職員マスタ!$H$6:$H$405,$AN2984)&lt;$AO2984))),"対象月が時短期間外／","")&amp;IF(AND(INDEX(職員マスタ!$F$6:$F$405,$AN2984)&lt;&gt;"",$AO2984&lt;&gt;"",INDEX(職員マスタ!$F$6:$F$405,$AN2984)&lt;$AO2984),"対象月に子が2歳到達済／","")&amp;IF(AND($H2984&lt;&gt;"",INDEX(職員マスタ!$B$6:$B$405,$AN2984)&lt;&gt;"",SUBSTITUTE(SUBSTITUTE($H2984," ","")," ","")&lt;&gt;SUBSTITUTE(SUBSTITUTE(INDEX(職員マスタ!$B$6:$B$405,$AN2984)," ","")," ","")),"氏名がマスタと相違／","")&amp;IF(AND($Q2984&lt;&gt;"",INDEX(職員マスタ!$E$6:$E$405,$AN2984)&lt;&gt;"",$Q2984&lt;&gt;INDEX(職員マスタ!$E$6:$E$405,$AN2984)),"子の生年月日がマスタと相違／","")&amp;IF(AND($L2984&lt;&gt;"",INDEX(職員マスタ!$G$6:$G$405,$AN2984)&lt;&gt;"",$L2984&lt;&gt;INDEX(職員マスタ!$G$6:$G$405,$AN2984)),"時短開始日がマスタと相違／","")&amp;IF(AND($M2984&lt;&gt;"",INDEX(職員マスタ!$H$6:$H$405,$AN2984)&lt;&gt;"",$M2984&lt;&gt;INDEX(職員マスタ!$H$6:$H$405,$AN2984)),"時短終了日がマスタと相違／","")))&amp;IF(AND($B2984&lt;&gt;"",$E2984=""),"報酬額が未入力／","")&amp;IF(N($U2984)&gt;0,"申請書に入力エラーが残っています／","")&amp;IF(AND($B2984&lt;&gt;"",$AO2984&lt;&gt;""),IF(COUNTIFS($B$6:$B$3005,$B2984,$C$6:$C$3005,$C2984,$D$6:$D$3005,$D2984)&gt;1,"同じ月の請求が重複しています／",""),"")&amp;IF(AND(N($E2984)&gt;0,$Z2984&lt;&gt;"",$Z2984&lt;&gt;"×",$AC2984=0,$AB2984=""),"計算額が下限以下のため不支給／",""))</f>
        <v/>
      </c>
      <c r="AL2984" s="12" t="n"/>
      <c r="AM2984" s="14">
        <f>IF($AD2984="保留中",COUNTIF($AD$6:$AD2984,"保留中"),"")</f>
        <v/>
      </c>
      <c r="AN2984" s="14">
        <f>IF($AO2984="","",IF(SUMPRODUCT(MAX((職員マスタ!$A$6:$A$405=$B2984)*(((職員マスタ!$G$6:$G$405="")+(職員マスタ!$G$6:$G$405&lt;=EOMONTH($AO2984,0)))&gt;0)*(((職員マスタ!$H$6:$H$405="")+(職員マスタ!$H$6:$H$405&gt;=$AO2984))&gt;0)*(ROW(職員マスタ!$A$6:$A$405)-5)))&gt;0,SUMPRODUCT(MAX((職員マスタ!$A$6:$A$405=$B2984)*(((職員マスタ!$G$6:$G$405="")+(職員マスタ!$G$6:$G$405&lt;=EOMONTH($AO2984,0)))&gt;0)*(((職員マスタ!$H$6:$H$405="")+(職員マスタ!$H$6:$H$405&gt;=$AO2984))&gt;0)*(ROW(職員マスタ!$A$6:$A$405)-5))),IFERROR(MATCH($B2984,職員マスタ!$A$6:$A$405,0),"")))</f>
        <v/>
      </c>
      <c r="AO2984" s="16">
        <f>IF(OR($B2984="",$C2984="",$D2984=""),"",DATE($C2984+2018,$D2984,1))</f>
        <v/>
      </c>
    </row>
    <row r="2985">
      <c r="A2985" s="11" t="n"/>
      <c r="B2985" s="12" t="n"/>
      <c r="C2985" s="12" t="n"/>
      <c r="D2985" s="12" t="n"/>
      <c r="E2985" s="13" t="n"/>
      <c r="F2985" s="12" t="n"/>
      <c r="G2985" s="13" t="n"/>
      <c r="H2985" s="12" t="n"/>
      <c r="I2985" s="12" t="n"/>
      <c r="J2985" s="12" t="n"/>
      <c r="K2985" s="12" t="n"/>
      <c r="L2985" s="11" t="n"/>
      <c r="M2985" s="11" t="n"/>
      <c r="N2985" s="11" t="n"/>
      <c r="O2985" s="11" t="n"/>
      <c r="P2985" s="12" t="n"/>
      <c r="Q2985" s="11" t="n"/>
      <c r="R2985" s="12" t="n"/>
      <c r="S2985" s="11" t="n"/>
      <c r="T2985" s="12" t="n"/>
      <c r="U2985" s="12" t="n"/>
      <c r="V2985" s="14">
        <f>IF($AN2985="",IF($B2985="","",$H2985),IF(INDEX(職員マスタ!$B$6:$B$405,$AN2985)="",$H2985,INDEX(職員マスタ!$B$6:$B$405,$AN2985)))</f>
        <v/>
      </c>
      <c r="W2985" s="14">
        <f>IF($AN2985="",IF($B2985="","",$R2985),IF(INDEX(職員マスタ!$C$6:$C$405,$AN2985)="",$R2985,INDEX(職員マスタ!$C$6:$C$405,$AN2985)))</f>
        <v/>
      </c>
      <c r="X2985" s="14">
        <f>IF($AO2985="","","R"&amp;$C2985&amp;"."&amp;$D2985)</f>
        <v/>
      </c>
      <c r="Y2985" s="15">
        <f>IF($AN2985="","",IF(INDEX(職員マスタ!$K$6:$K$405,$AN2985)="","",INDEX(職員マスタ!$K$6:$K$405,$AN2985)))</f>
        <v/>
      </c>
      <c r="Z2985" s="14">
        <f>IF(OR($E2985="",$Y2985=""),"",IF($E2985&gt;=$Y2985,"×",IF($E2985&gt;=$Y2985*設定!$C$5,"△","○")))</f>
        <v/>
      </c>
      <c r="AA2985" s="15">
        <f>IF($Z2985="","",IF($Z2985="×",0,IF($Z2985="○",ROUNDDOWN($E2985*設定!$C$4,0),ROUNDDOWN($E2985*ROUND((9*$Y2985-9*$E2985)/(10*$E2985),4),0))))</f>
        <v/>
      </c>
      <c r="AB2985" s="13" t="n"/>
      <c r="AC2985" s="15">
        <f>IF($B2985="","",IF($AB2985&lt;&gt;"",$AB2985,IF($AA2985="","",IF($AA2985&lt;=設定!$C$3,0,$AA2985))))</f>
        <v/>
      </c>
      <c r="AD2985" s="14">
        <f>IF($B2985="","",IF(AND($AE2985&lt;&gt;"",$AG2985="",$AJ2985=""),"保留中",IF($AJ2985&lt;&gt;"",IF(N($AC2985)&gt;0,"支給済","不支給"),IF($AC2985="","要確認",IF($AC2985=0,"不支給","未処理")))))</f>
        <v/>
      </c>
      <c r="AE2985" s="12" t="n"/>
      <c r="AF2985" s="11" t="n"/>
      <c r="AG2985" s="11" t="n"/>
      <c r="AH2985" s="11" t="n"/>
      <c r="AI2985" s="14">
        <f>IF(AND($AD2985="保留中",$AF2985&lt;&gt;""),TODAY()-$AF2985,"")</f>
        <v/>
      </c>
      <c r="AJ2985" s="12" t="n"/>
      <c r="AK2985" s="14">
        <f>IF($B2985="","",IF($AO2985="","対象年月が未入力／","")&amp;IF($B2985="","",IF($AN2985="","職員マスタに未登録の職員番号／",IF($Y2985="","標準報酬月額が未登録／","")&amp;IF(AND($AO2985&lt;&gt;"",OR(AND(INDEX(職員マスタ!$G$6:$G$405,$AN2985)&lt;&gt;"",INDEX(職員マスタ!$G$6:$G$405,$AN2985)&gt;EOMONTH($AO2985,0)),AND(INDEX(職員マスタ!$H$6:$H$405,$AN2985)&lt;&gt;"",INDEX(職員マスタ!$H$6:$H$405,$AN2985)&lt;$AO2985))),"対象月が時短期間外／","")&amp;IF(AND(INDEX(職員マスタ!$F$6:$F$405,$AN2985)&lt;&gt;"",$AO2985&lt;&gt;"",INDEX(職員マスタ!$F$6:$F$405,$AN2985)&lt;$AO2985),"対象月に子が2歳到達済／","")&amp;IF(AND($H2985&lt;&gt;"",INDEX(職員マスタ!$B$6:$B$405,$AN2985)&lt;&gt;"",SUBSTITUTE(SUBSTITUTE($H2985," ","")," ","")&lt;&gt;SUBSTITUTE(SUBSTITUTE(INDEX(職員マスタ!$B$6:$B$405,$AN2985)," ","")," ","")),"氏名がマスタと相違／","")&amp;IF(AND($Q2985&lt;&gt;"",INDEX(職員マスタ!$E$6:$E$405,$AN2985)&lt;&gt;"",$Q2985&lt;&gt;INDEX(職員マスタ!$E$6:$E$405,$AN2985)),"子の生年月日がマスタと相違／","")&amp;IF(AND($L2985&lt;&gt;"",INDEX(職員マスタ!$G$6:$G$405,$AN2985)&lt;&gt;"",$L2985&lt;&gt;INDEX(職員マスタ!$G$6:$G$405,$AN2985)),"時短開始日がマスタと相違／","")&amp;IF(AND($M2985&lt;&gt;"",INDEX(職員マスタ!$H$6:$H$405,$AN2985)&lt;&gt;"",$M2985&lt;&gt;INDEX(職員マスタ!$H$6:$H$405,$AN2985)),"時短終了日がマスタと相違／","")))&amp;IF(AND($B2985&lt;&gt;"",$E2985=""),"報酬額が未入力／","")&amp;IF(N($U2985)&gt;0,"申請書に入力エラーが残っています／","")&amp;IF(AND($B2985&lt;&gt;"",$AO2985&lt;&gt;""),IF(COUNTIFS($B$6:$B$3005,$B2985,$C$6:$C$3005,$C2985,$D$6:$D$3005,$D2985)&gt;1,"同じ月の請求が重複しています／",""),"")&amp;IF(AND(N($E2985)&gt;0,$Z2985&lt;&gt;"",$Z2985&lt;&gt;"×",$AC2985=0,$AB2985=""),"計算額が下限以下のため不支給／",""))</f>
        <v/>
      </c>
      <c r="AL2985" s="12" t="n"/>
      <c r="AM2985" s="14">
        <f>IF($AD2985="保留中",COUNTIF($AD$6:$AD2985,"保留中"),"")</f>
        <v/>
      </c>
      <c r="AN2985" s="14">
        <f>IF($AO2985="","",IF(SUMPRODUCT(MAX((職員マスタ!$A$6:$A$405=$B2985)*(((職員マスタ!$G$6:$G$405="")+(職員マスタ!$G$6:$G$405&lt;=EOMONTH($AO2985,0)))&gt;0)*(((職員マスタ!$H$6:$H$405="")+(職員マスタ!$H$6:$H$405&gt;=$AO2985))&gt;0)*(ROW(職員マスタ!$A$6:$A$405)-5)))&gt;0,SUMPRODUCT(MAX((職員マスタ!$A$6:$A$405=$B2985)*(((職員マスタ!$G$6:$G$405="")+(職員マスタ!$G$6:$G$405&lt;=EOMONTH($AO2985,0)))&gt;0)*(((職員マスタ!$H$6:$H$405="")+(職員マスタ!$H$6:$H$405&gt;=$AO2985))&gt;0)*(ROW(職員マスタ!$A$6:$A$405)-5))),IFERROR(MATCH($B2985,職員マスタ!$A$6:$A$405,0),"")))</f>
        <v/>
      </c>
      <c r="AO2985" s="16">
        <f>IF(OR($B2985="",$C2985="",$D2985=""),"",DATE($C2985+2018,$D2985,1))</f>
        <v/>
      </c>
    </row>
    <row r="2986">
      <c r="A2986" s="11" t="n"/>
      <c r="B2986" s="12" t="n"/>
      <c r="C2986" s="12" t="n"/>
      <c r="D2986" s="12" t="n"/>
      <c r="E2986" s="13" t="n"/>
      <c r="F2986" s="12" t="n"/>
      <c r="G2986" s="13" t="n"/>
      <c r="H2986" s="12" t="n"/>
      <c r="I2986" s="12" t="n"/>
      <c r="J2986" s="12" t="n"/>
      <c r="K2986" s="12" t="n"/>
      <c r="L2986" s="11" t="n"/>
      <c r="M2986" s="11" t="n"/>
      <c r="N2986" s="11" t="n"/>
      <c r="O2986" s="11" t="n"/>
      <c r="P2986" s="12" t="n"/>
      <c r="Q2986" s="11" t="n"/>
      <c r="R2986" s="12" t="n"/>
      <c r="S2986" s="11" t="n"/>
      <c r="T2986" s="12" t="n"/>
      <c r="U2986" s="12" t="n"/>
      <c r="V2986" s="14">
        <f>IF($AN2986="",IF($B2986="","",$H2986),IF(INDEX(職員マスタ!$B$6:$B$405,$AN2986)="",$H2986,INDEX(職員マスタ!$B$6:$B$405,$AN2986)))</f>
        <v/>
      </c>
      <c r="W2986" s="14">
        <f>IF($AN2986="",IF($B2986="","",$R2986),IF(INDEX(職員マスタ!$C$6:$C$405,$AN2986)="",$R2986,INDEX(職員マスタ!$C$6:$C$405,$AN2986)))</f>
        <v/>
      </c>
      <c r="X2986" s="14">
        <f>IF($AO2986="","","R"&amp;$C2986&amp;"."&amp;$D2986)</f>
        <v/>
      </c>
      <c r="Y2986" s="15">
        <f>IF($AN2986="","",IF(INDEX(職員マスタ!$K$6:$K$405,$AN2986)="","",INDEX(職員マスタ!$K$6:$K$405,$AN2986)))</f>
        <v/>
      </c>
      <c r="Z2986" s="14">
        <f>IF(OR($E2986="",$Y2986=""),"",IF($E2986&gt;=$Y2986,"×",IF($E2986&gt;=$Y2986*設定!$C$5,"△","○")))</f>
        <v/>
      </c>
      <c r="AA2986" s="15">
        <f>IF($Z2986="","",IF($Z2986="×",0,IF($Z2986="○",ROUNDDOWN($E2986*設定!$C$4,0),ROUNDDOWN($E2986*ROUND((9*$Y2986-9*$E2986)/(10*$E2986),4),0))))</f>
        <v/>
      </c>
      <c r="AB2986" s="13" t="n"/>
      <c r="AC2986" s="15">
        <f>IF($B2986="","",IF($AB2986&lt;&gt;"",$AB2986,IF($AA2986="","",IF($AA2986&lt;=設定!$C$3,0,$AA2986))))</f>
        <v/>
      </c>
      <c r="AD2986" s="14">
        <f>IF($B2986="","",IF(AND($AE2986&lt;&gt;"",$AG2986="",$AJ2986=""),"保留中",IF($AJ2986&lt;&gt;"",IF(N($AC2986)&gt;0,"支給済","不支給"),IF($AC2986="","要確認",IF($AC2986=0,"不支給","未処理")))))</f>
        <v/>
      </c>
      <c r="AE2986" s="12" t="n"/>
      <c r="AF2986" s="11" t="n"/>
      <c r="AG2986" s="11" t="n"/>
      <c r="AH2986" s="11" t="n"/>
      <c r="AI2986" s="14">
        <f>IF(AND($AD2986="保留中",$AF2986&lt;&gt;""),TODAY()-$AF2986,"")</f>
        <v/>
      </c>
      <c r="AJ2986" s="12" t="n"/>
      <c r="AK2986" s="14">
        <f>IF($B2986="","",IF($AO2986="","対象年月が未入力／","")&amp;IF($B2986="","",IF($AN2986="","職員マスタに未登録の職員番号／",IF($Y2986="","標準報酬月額が未登録／","")&amp;IF(AND($AO2986&lt;&gt;"",OR(AND(INDEX(職員マスタ!$G$6:$G$405,$AN2986)&lt;&gt;"",INDEX(職員マスタ!$G$6:$G$405,$AN2986)&gt;EOMONTH($AO2986,0)),AND(INDEX(職員マスタ!$H$6:$H$405,$AN2986)&lt;&gt;"",INDEX(職員マスタ!$H$6:$H$405,$AN2986)&lt;$AO2986))),"対象月が時短期間外／","")&amp;IF(AND(INDEX(職員マスタ!$F$6:$F$405,$AN2986)&lt;&gt;"",$AO2986&lt;&gt;"",INDEX(職員マスタ!$F$6:$F$405,$AN2986)&lt;$AO2986),"対象月に子が2歳到達済／","")&amp;IF(AND($H2986&lt;&gt;"",INDEX(職員マスタ!$B$6:$B$405,$AN2986)&lt;&gt;"",SUBSTITUTE(SUBSTITUTE($H2986," ","")," ","")&lt;&gt;SUBSTITUTE(SUBSTITUTE(INDEX(職員マスタ!$B$6:$B$405,$AN2986)," ","")," ","")),"氏名がマスタと相違／","")&amp;IF(AND($Q2986&lt;&gt;"",INDEX(職員マスタ!$E$6:$E$405,$AN2986)&lt;&gt;"",$Q2986&lt;&gt;INDEX(職員マスタ!$E$6:$E$405,$AN2986)),"子の生年月日がマスタと相違／","")&amp;IF(AND($L2986&lt;&gt;"",INDEX(職員マスタ!$G$6:$G$405,$AN2986)&lt;&gt;"",$L2986&lt;&gt;INDEX(職員マスタ!$G$6:$G$405,$AN2986)),"時短開始日がマスタと相違／","")&amp;IF(AND($M2986&lt;&gt;"",INDEX(職員マスタ!$H$6:$H$405,$AN2986)&lt;&gt;"",$M2986&lt;&gt;INDEX(職員マスタ!$H$6:$H$405,$AN2986)),"時短終了日がマスタと相違／","")))&amp;IF(AND($B2986&lt;&gt;"",$E2986=""),"報酬額が未入力／","")&amp;IF(N($U2986)&gt;0,"申請書に入力エラーが残っています／","")&amp;IF(AND($B2986&lt;&gt;"",$AO2986&lt;&gt;""),IF(COUNTIFS($B$6:$B$3005,$B2986,$C$6:$C$3005,$C2986,$D$6:$D$3005,$D2986)&gt;1,"同じ月の請求が重複しています／",""),"")&amp;IF(AND(N($E2986)&gt;0,$Z2986&lt;&gt;"",$Z2986&lt;&gt;"×",$AC2986=0,$AB2986=""),"計算額が下限以下のため不支給／",""))</f>
        <v/>
      </c>
      <c r="AL2986" s="12" t="n"/>
      <c r="AM2986" s="14">
        <f>IF($AD2986="保留中",COUNTIF($AD$6:$AD2986,"保留中"),"")</f>
        <v/>
      </c>
      <c r="AN2986" s="14">
        <f>IF($AO2986="","",IF(SUMPRODUCT(MAX((職員マスタ!$A$6:$A$405=$B2986)*(((職員マスタ!$G$6:$G$405="")+(職員マスタ!$G$6:$G$405&lt;=EOMONTH($AO2986,0)))&gt;0)*(((職員マスタ!$H$6:$H$405="")+(職員マスタ!$H$6:$H$405&gt;=$AO2986))&gt;0)*(ROW(職員マスタ!$A$6:$A$405)-5)))&gt;0,SUMPRODUCT(MAX((職員マスタ!$A$6:$A$405=$B2986)*(((職員マスタ!$G$6:$G$405="")+(職員マスタ!$G$6:$G$405&lt;=EOMONTH($AO2986,0)))&gt;0)*(((職員マスタ!$H$6:$H$405="")+(職員マスタ!$H$6:$H$405&gt;=$AO2986))&gt;0)*(ROW(職員マスタ!$A$6:$A$405)-5))),IFERROR(MATCH($B2986,職員マスタ!$A$6:$A$405,0),"")))</f>
        <v/>
      </c>
      <c r="AO2986" s="16">
        <f>IF(OR($B2986="",$C2986="",$D2986=""),"",DATE($C2986+2018,$D2986,1))</f>
        <v/>
      </c>
    </row>
    <row r="2987">
      <c r="A2987" s="11" t="n"/>
      <c r="B2987" s="12" t="n"/>
      <c r="C2987" s="12" t="n"/>
      <c r="D2987" s="12" t="n"/>
      <c r="E2987" s="13" t="n"/>
      <c r="F2987" s="12" t="n"/>
      <c r="G2987" s="13" t="n"/>
      <c r="H2987" s="12" t="n"/>
      <c r="I2987" s="12" t="n"/>
      <c r="J2987" s="12" t="n"/>
      <c r="K2987" s="12" t="n"/>
      <c r="L2987" s="11" t="n"/>
      <c r="M2987" s="11" t="n"/>
      <c r="N2987" s="11" t="n"/>
      <c r="O2987" s="11" t="n"/>
      <c r="P2987" s="12" t="n"/>
      <c r="Q2987" s="11" t="n"/>
      <c r="R2987" s="12" t="n"/>
      <c r="S2987" s="11" t="n"/>
      <c r="T2987" s="12" t="n"/>
      <c r="U2987" s="12" t="n"/>
      <c r="V2987" s="14">
        <f>IF($AN2987="",IF($B2987="","",$H2987),IF(INDEX(職員マスタ!$B$6:$B$405,$AN2987)="",$H2987,INDEX(職員マスタ!$B$6:$B$405,$AN2987)))</f>
        <v/>
      </c>
      <c r="W2987" s="14">
        <f>IF($AN2987="",IF($B2987="","",$R2987),IF(INDEX(職員マスタ!$C$6:$C$405,$AN2987)="",$R2987,INDEX(職員マスタ!$C$6:$C$405,$AN2987)))</f>
        <v/>
      </c>
      <c r="X2987" s="14">
        <f>IF($AO2987="","","R"&amp;$C2987&amp;"."&amp;$D2987)</f>
        <v/>
      </c>
      <c r="Y2987" s="15">
        <f>IF($AN2987="","",IF(INDEX(職員マスタ!$K$6:$K$405,$AN2987)="","",INDEX(職員マスタ!$K$6:$K$405,$AN2987)))</f>
        <v/>
      </c>
      <c r="Z2987" s="14">
        <f>IF(OR($E2987="",$Y2987=""),"",IF($E2987&gt;=$Y2987,"×",IF($E2987&gt;=$Y2987*設定!$C$5,"△","○")))</f>
        <v/>
      </c>
      <c r="AA2987" s="15">
        <f>IF($Z2987="","",IF($Z2987="×",0,IF($Z2987="○",ROUNDDOWN($E2987*設定!$C$4,0),ROUNDDOWN($E2987*ROUND((9*$Y2987-9*$E2987)/(10*$E2987),4),0))))</f>
        <v/>
      </c>
      <c r="AB2987" s="13" t="n"/>
      <c r="AC2987" s="15">
        <f>IF($B2987="","",IF($AB2987&lt;&gt;"",$AB2987,IF($AA2987="","",IF($AA2987&lt;=設定!$C$3,0,$AA2987))))</f>
        <v/>
      </c>
      <c r="AD2987" s="14">
        <f>IF($B2987="","",IF(AND($AE2987&lt;&gt;"",$AG2987="",$AJ2987=""),"保留中",IF($AJ2987&lt;&gt;"",IF(N($AC2987)&gt;0,"支給済","不支給"),IF($AC2987="","要確認",IF($AC2987=0,"不支給","未処理")))))</f>
        <v/>
      </c>
      <c r="AE2987" s="12" t="n"/>
      <c r="AF2987" s="11" t="n"/>
      <c r="AG2987" s="11" t="n"/>
      <c r="AH2987" s="11" t="n"/>
      <c r="AI2987" s="14">
        <f>IF(AND($AD2987="保留中",$AF2987&lt;&gt;""),TODAY()-$AF2987,"")</f>
        <v/>
      </c>
      <c r="AJ2987" s="12" t="n"/>
      <c r="AK2987" s="14">
        <f>IF($B2987="","",IF($AO2987="","対象年月が未入力／","")&amp;IF($B2987="","",IF($AN2987="","職員マスタに未登録の職員番号／",IF($Y2987="","標準報酬月額が未登録／","")&amp;IF(AND($AO2987&lt;&gt;"",OR(AND(INDEX(職員マスタ!$G$6:$G$405,$AN2987)&lt;&gt;"",INDEX(職員マスタ!$G$6:$G$405,$AN2987)&gt;EOMONTH($AO2987,0)),AND(INDEX(職員マスタ!$H$6:$H$405,$AN2987)&lt;&gt;"",INDEX(職員マスタ!$H$6:$H$405,$AN2987)&lt;$AO2987))),"対象月が時短期間外／","")&amp;IF(AND(INDEX(職員マスタ!$F$6:$F$405,$AN2987)&lt;&gt;"",$AO2987&lt;&gt;"",INDEX(職員マスタ!$F$6:$F$405,$AN2987)&lt;$AO2987),"対象月に子が2歳到達済／","")&amp;IF(AND($H2987&lt;&gt;"",INDEX(職員マスタ!$B$6:$B$405,$AN2987)&lt;&gt;"",SUBSTITUTE(SUBSTITUTE($H2987," ","")," ","")&lt;&gt;SUBSTITUTE(SUBSTITUTE(INDEX(職員マスタ!$B$6:$B$405,$AN2987)," ","")," ","")),"氏名がマスタと相違／","")&amp;IF(AND($Q2987&lt;&gt;"",INDEX(職員マスタ!$E$6:$E$405,$AN2987)&lt;&gt;"",$Q2987&lt;&gt;INDEX(職員マスタ!$E$6:$E$405,$AN2987)),"子の生年月日がマスタと相違／","")&amp;IF(AND($L2987&lt;&gt;"",INDEX(職員マスタ!$G$6:$G$405,$AN2987)&lt;&gt;"",$L2987&lt;&gt;INDEX(職員マスタ!$G$6:$G$405,$AN2987)),"時短開始日がマスタと相違／","")&amp;IF(AND($M2987&lt;&gt;"",INDEX(職員マスタ!$H$6:$H$405,$AN2987)&lt;&gt;"",$M2987&lt;&gt;INDEX(職員マスタ!$H$6:$H$405,$AN2987)),"時短終了日がマスタと相違／","")))&amp;IF(AND($B2987&lt;&gt;"",$E2987=""),"報酬額が未入力／","")&amp;IF(N($U2987)&gt;0,"申請書に入力エラーが残っています／","")&amp;IF(AND($B2987&lt;&gt;"",$AO2987&lt;&gt;""),IF(COUNTIFS($B$6:$B$3005,$B2987,$C$6:$C$3005,$C2987,$D$6:$D$3005,$D2987)&gt;1,"同じ月の請求が重複しています／",""),"")&amp;IF(AND(N($E2987)&gt;0,$Z2987&lt;&gt;"",$Z2987&lt;&gt;"×",$AC2987=0,$AB2987=""),"計算額が下限以下のため不支給／",""))</f>
        <v/>
      </c>
      <c r="AL2987" s="12" t="n"/>
      <c r="AM2987" s="14">
        <f>IF($AD2987="保留中",COUNTIF($AD$6:$AD2987,"保留中"),"")</f>
        <v/>
      </c>
      <c r="AN2987" s="14">
        <f>IF($AO2987="","",IF(SUMPRODUCT(MAX((職員マスタ!$A$6:$A$405=$B2987)*(((職員マスタ!$G$6:$G$405="")+(職員マスタ!$G$6:$G$405&lt;=EOMONTH($AO2987,0)))&gt;0)*(((職員マスタ!$H$6:$H$405="")+(職員マスタ!$H$6:$H$405&gt;=$AO2987))&gt;0)*(ROW(職員マスタ!$A$6:$A$405)-5)))&gt;0,SUMPRODUCT(MAX((職員マスタ!$A$6:$A$405=$B2987)*(((職員マスタ!$G$6:$G$405="")+(職員マスタ!$G$6:$G$405&lt;=EOMONTH($AO2987,0)))&gt;0)*(((職員マスタ!$H$6:$H$405="")+(職員マスタ!$H$6:$H$405&gt;=$AO2987))&gt;0)*(ROW(職員マスタ!$A$6:$A$405)-5))),IFERROR(MATCH($B2987,職員マスタ!$A$6:$A$405,0),"")))</f>
        <v/>
      </c>
      <c r="AO2987" s="16">
        <f>IF(OR($B2987="",$C2987="",$D2987=""),"",DATE($C2987+2018,$D2987,1))</f>
        <v/>
      </c>
    </row>
    <row r="2988">
      <c r="A2988" s="11" t="n"/>
      <c r="B2988" s="12" t="n"/>
      <c r="C2988" s="12" t="n"/>
      <c r="D2988" s="12" t="n"/>
      <c r="E2988" s="13" t="n"/>
      <c r="F2988" s="12" t="n"/>
      <c r="G2988" s="13" t="n"/>
      <c r="H2988" s="12" t="n"/>
      <c r="I2988" s="12" t="n"/>
      <c r="J2988" s="12" t="n"/>
      <c r="K2988" s="12" t="n"/>
      <c r="L2988" s="11" t="n"/>
      <c r="M2988" s="11" t="n"/>
      <c r="N2988" s="11" t="n"/>
      <c r="O2988" s="11" t="n"/>
      <c r="P2988" s="12" t="n"/>
      <c r="Q2988" s="11" t="n"/>
      <c r="R2988" s="12" t="n"/>
      <c r="S2988" s="11" t="n"/>
      <c r="T2988" s="12" t="n"/>
      <c r="U2988" s="12" t="n"/>
      <c r="V2988" s="14">
        <f>IF($AN2988="",IF($B2988="","",$H2988),IF(INDEX(職員マスタ!$B$6:$B$405,$AN2988)="",$H2988,INDEX(職員マスタ!$B$6:$B$405,$AN2988)))</f>
        <v/>
      </c>
      <c r="W2988" s="14">
        <f>IF($AN2988="",IF($B2988="","",$R2988),IF(INDEX(職員マスタ!$C$6:$C$405,$AN2988)="",$R2988,INDEX(職員マスタ!$C$6:$C$405,$AN2988)))</f>
        <v/>
      </c>
      <c r="X2988" s="14">
        <f>IF($AO2988="","","R"&amp;$C2988&amp;"."&amp;$D2988)</f>
        <v/>
      </c>
      <c r="Y2988" s="15">
        <f>IF($AN2988="","",IF(INDEX(職員マスタ!$K$6:$K$405,$AN2988)="","",INDEX(職員マスタ!$K$6:$K$405,$AN2988)))</f>
        <v/>
      </c>
      <c r="Z2988" s="14">
        <f>IF(OR($E2988="",$Y2988=""),"",IF($E2988&gt;=$Y2988,"×",IF($E2988&gt;=$Y2988*設定!$C$5,"△","○")))</f>
        <v/>
      </c>
      <c r="AA2988" s="15">
        <f>IF($Z2988="","",IF($Z2988="×",0,IF($Z2988="○",ROUNDDOWN($E2988*設定!$C$4,0),ROUNDDOWN($E2988*ROUND((9*$Y2988-9*$E2988)/(10*$E2988),4),0))))</f>
        <v/>
      </c>
      <c r="AB2988" s="13" t="n"/>
      <c r="AC2988" s="15">
        <f>IF($B2988="","",IF($AB2988&lt;&gt;"",$AB2988,IF($AA2988="","",IF($AA2988&lt;=設定!$C$3,0,$AA2988))))</f>
        <v/>
      </c>
      <c r="AD2988" s="14">
        <f>IF($B2988="","",IF(AND($AE2988&lt;&gt;"",$AG2988="",$AJ2988=""),"保留中",IF($AJ2988&lt;&gt;"",IF(N($AC2988)&gt;0,"支給済","不支給"),IF($AC2988="","要確認",IF($AC2988=0,"不支給","未処理")))))</f>
        <v/>
      </c>
      <c r="AE2988" s="12" t="n"/>
      <c r="AF2988" s="11" t="n"/>
      <c r="AG2988" s="11" t="n"/>
      <c r="AH2988" s="11" t="n"/>
      <c r="AI2988" s="14">
        <f>IF(AND($AD2988="保留中",$AF2988&lt;&gt;""),TODAY()-$AF2988,"")</f>
        <v/>
      </c>
      <c r="AJ2988" s="12" t="n"/>
      <c r="AK2988" s="14">
        <f>IF($B2988="","",IF($AO2988="","対象年月が未入力／","")&amp;IF($B2988="","",IF($AN2988="","職員マスタに未登録の職員番号／",IF($Y2988="","標準報酬月額が未登録／","")&amp;IF(AND($AO2988&lt;&gt;"",OR(AND(INDEX(職員マスタ!$G$6:$G$405,$AN2988)&lt;&gt;"",INDEX(職員マスタ!$G$6:$G$405,$AN2988)&gt;EOMONTH($AO2988,0)),AND(INDEX(職員マスタ!$H$6:$H$405,$AN2988)&lt;&gt;"",INDEX(職員マスタ!$H$6:$H$405,$AN2988)&lt;$AO2988))),"対象月が時短期間外／","")&amp;IF(AND(INDEX(職員マスタ!$F$6:$F$405,$AN2988)&lt;&gt;"",$AO2988&lt;&gt;"",INDEX(職員マスタ!$F$6:$F$405,$AN2988)&lt;$AO2988),"対象月に子が2歳到達済／","")&amp;IF(AND($H2988&lt;&gt;"",INDEX(職員マスタ!$B$6:$B$405,$AN2988)&lt;&gt;"",SUBSTITUTE(SUBSTITUTE($H2988," ","")," ","")&lt;&gt;SUBSTITUTE(SUBSTITUTE(INDEX(職員マスタ!$B$6:$B$405,$AN2988)," ","")," ","")),"氏名がマスタと相違／","")&amp;IF(AND($Q2988&lt;&gt;"",INDEX(職員マスタ!$E$6:$E$405,$AN2988)&lt;&gt;"",$Q2988&lt;&gt;INDEX(職員マスタ!$E$6:$E$405,$AN2988)),"子の生年月日がマスタと相違／","")&amp;IF(AND($L2988&lt;&gt;"",INDEX(職員マスタ!$G$6:$G$405,$AN2988)&lt;&gt;"",$L2988&lt;&gt;INDEX(職員マスタ!$G$6:$G$405,$AN2988)),"時短開始日がマスタと相違／","")&amp;IF(AND($M2988&lt;&gt;"",INDEX(職員マスタ!$H$6:$H$405,$AN2988)&lt;&gt;"",$M2988&lt;&gt;INDEX(職員マスタ!$H$6:$H$405,$AN2988)),"時短終了日がマスタと相違／","")))&amp;IF(AND($B2988&lt;&gt;"",$E2988=""),"報酬額が未入力／","")&amp;IF(N($U2988)&gt;0,"申請書に入力エラーが残っています／","")&amp;IF(AND($B2988&lt;&gt;"",$AO2988&lt;&gt;""),IF(COUNTIFS($B$6:$B$3005,$B2988,$C$6:$C$3005,$C2988,$D$6:$D$3005,$D2988)&gt;1,"同じ月の請求が重複しています／",""),"")&amp;IF(AND(N($E2988)&gt;0,$Z2988&lt;&gt;"",$Z2988&lt;&gt;"×",$AC2988=0,$AB2988=""),"計算額が下限以下のため不支給／",""))</f>
        <v/>
      </c>
      <c r="AL2988" s="12" t="n"/>
      <c r="AM2988" s="14">
        <f>IF($AD2988="保留中",COUNTIF($AD$6:$AD2988,"保留中"),"")</f>
        <v/>
      </c>
      <c r="AN2988" s="14">
        <f>IF($AO2988="","",IF(SUMPRODUCT(MAX((職員マスタ!$A$6:$A$405=$B2988)*(((職員マスタ!$G$6:$G$405="")+(職員マスタ!$G$6:$G$405&lt;=EOMONTH($AO2988,0)))&gt;0)*(((職員マスタ!$H$6:$H$405="")+(職員マスタ!$H$6:$H$405&gt;=$AO2988))&gt;0)*(ROW(職員マスタ!$A$6:$A$405)-5)))&gt;0,SUMPRODUCT(MAX((職員マスタ!$A$6:$A$405=$B2988)*(((職員マスタ!$G$6:$G$405="")+(職員マスタ!$G$6:$G$405&lt;=EOMONTH($AO2988,0)))&gt;0)*(((職員マスタ!$H$6:$H$405="")+(職員マスタ!$H$6:$H$405&gt;=$AO2988))&gt;0)*(ROW(職員マスタ!$A$6:$A$405)-5))),IFERROR(MATCH($B2988,職員マスタ!$A$6:$A$405,0),"")))</f>
        <v/>
      </c>
      <c r="AO2988" s="16">
        <f>IF(OR($B2988="",$C2988="",$D2988=""),"",DATE($C2988+2018,$D2988,1))</f>
        <v/>
      </c>
    </row>
    <row r="2989">
      <c r="A2989" s="11" t="n"/>
      <c r="B2989" s="12" t="n"/>
      <c r="C2989" s="12" t="n"/>
      <c r="D2989" s="12" t="n"/>
      <c r="E2989" s="13" t="n"/>
      <c r="F2989" s="12" t="n"/>
      <c r="G2989" s="13" t="n"/>
      <c r="H2989" s="12" t="n"/>
      <c r="I2989" s="12" t="n"/>
      <c r="J2989" s="12" t="n"/>
      <c r="K2989" s="12" t="n"/>
      <c r="L2989" s="11" t="n"/>
      <c r="M2989" s="11" t="n"/>
      <c r="N2989" s="11" t="n"/>
      <c r="O2989" s="11" t="n"/>
      <c r="P2989" s="12" t="n"/>
      <c r="Q2989" s="11" t="n"/>
      <c r="R2989" s="12" t="n"/>
      <c r="S2989" s="11" t="n"/>
      <c r="T2989" s="12" t="n"/>
      <c r="U2989" s="12" t="n"/>
      <c r="V2989" s="14">
        <f>IF($AN2989="",IF($B2989="","",$H2989),IF(INDEX(職員マスタ!$B$6:$B$405,$AN2989)="",$H2989,INDEX(職員マスタ!$B$6:$B$405,$AN2989)))</f>
        <v/>
      </c>
      <c r="W2989" s="14">
        <f>IF($AN2989="",IF($B2989="","",$R2989),IF(INDEX(職員マスタ!$C$6:$C$405,$AN2989)="",$R2989,INDEX(職員マスタ!$C$6:$C$405,$AN2989)))</f>
        <v/>
      </c>
      <c r="X2989" s="14">
        <f>IF($AO2989="","","R"&amp;$C2989&amp;"."&amp;$D2989)</f>
        <v/>
      </c>
      <c r="Y2989" s="15">
        <f>IF($AN2989="","",IF(INDEX(職員マスタ!$K$6:$K$405,$AN2989)="","",INDEX(職員マスタ!$K$6:$K$405,$AN2989)))</f>
        <v/>
      </c>
      <c r="Z2989" s="14">
        <f>IF(OR($E2989="",$Y2989=""),"",IF($E2989&gt;=$Y2989,"×",IF($E2989&gt;=$Y2989*設定!$C$5,"△","○")))</f>
        <v/>
      </c>
      <c r="AA2989" s="15">
        <f>IF($Z2989="","",IF($Z2989="×",0,IF($Z2989="○",ROUNDDOWN($E2989*設定!$C$4,0),ROUNDDOWN($E2989*ROUND((9*$Y2989-9*$E2989)/(10*$E2989),4),0))))</f>
        <v/>
      </c>
      <c r="AB2989" s="13" t="n"/>
      <c r="AC2989" s="15">
        <f>IF($B2989="","",IF($AB2989&lt;&gt;"",$AB2989,IF($AA2989="","",IF($AA2989&lt;=設定!$C$3,0,$AA2989))))</f>
        <v/>
      </c>
      <c r="AD2989" s="14">
        <f>IF($B2989="","",IF(AND($AE2989&lt;&gt;"",$AG2989="",$AJ2989=""),"保留中",IF($AJ2989&lt;&gt;"",IF(N($AC2989)&gt;0,"支給済","不支給"),IF($AC2989="","要確認",IF($AC2989=0,"不支給","未処理")))))</f>
        <v/>
      </c>
      <c r="AE2989" s="12" t="n"/>
      <c r="AF2989" s="11" t="n"/>
      <c r="AG2989" s="11" t="n"/>
      <c r="AH2989" s="11" t="n"/>
      <c r="AI2989" s="14">
        <f>IF(AND($AD2989="保留中",$AF2989&lt;&gt;""),TODAY()-$AF2989,"")</f>
        <v/>
      </c>
      <c r="AJ2989" s="12" t="n"/>
      <c r="AK2989" s="14">
        <f>IF($B2989="","",IF($AO2989="","対象年月が未入力／","")&amp;IF($B2989="","",IF($AN2989="","職員マスタに未登録の職員番号／",IF($Y2989="","標準報酬月額が未登録／","")&amp;IF(AND($AO2989&lt;&gt;"",OR(AND(INDEX(職員マスタ!$G$6:$G$405,$AN2989)&lt;&gt;"",INDEX(職員マスタ!$G$6:$G$405,$AN2989)&gt;EOMONTH($AO2989,0)),AND(INDEX(職員マスタ!$H$6:$H$405,$AN2989)&lt;&gt;"",INDEX(職員マスタ!$H$6:$H$405,$AN2989)&lt;$AO2989))),"対象月が時短期間外／","")&amp;IF(AND(INDEX(職員マスタ!$F$6:$F$405,$AN2989)&lt;&gt;"",$AO2989&lt;&gt;"",INDEX(職員マスタ!$F$6:$F$405,$AN2989)&lt;$AO2989),"対象月に子が2歳到達済／","")&amp;IF(AND($H2989&lt;&gt;"",INDEX(職員マスタ!$B$6:$B$405,$AN2989)&lt;&gt;"",SUBSTITUTE(SUBSTITUTE($H2989," ","")," ","")&lt;&gt;SUBSTITUTE(SUBSTITUTE(INDEX(職員マスタ!$B$6:$B$405,$AN2989)," ","")," ","")),"氏名がマスタと相違／","")&amp;IF(AND($Q2989&lt;&gt;"",INDEX(職員マスタ!$E$6:$E$405,$AN2989)&lt;&gt;"",$Q2989&lt;&gt;INDEX(職員マスタ!$E$6:$E$405,$AN2989)),"子の生年月日がマスタと相違／","")&amp;IF(AND($L2989&lt;&gt;"",INDEX(職員マスタ!$G$6:$G$405,$AN2989)&lt;&gt;"",$L2989&lt;&gt;INDEX(職員マスタ!$G$6:$G$405,$AN2989)),"時短開始日がマスタと相違／","")&amp;IF(AND($M2989&lt;&gt;"",INDEX(職員マスタ!$H$6:$H$405,$AN2989)&lt;&gt;"",$M2989&lt;&gt;INDEX(職員マスタ!$H$6:$H$405,$AN2989)),"時短終了日がマスタと相違／","")))&amp;IF(AND($B2989&lt;&gt;"",$E2989=""),"報酬額が未入力／","")&amp;IF(N($U2989)&gt;0,"申請書に入力エラーが残っています／","")&amp;IF(AND($B2989&lt;&gt;"",$AO2989&lt;&gt;""),IF(COUNTIFS($B$6:$B$3005,$B2989,$C$6:$C$3005,$C2989,$D$6:$D$3005,$D2989)&gt;1,"同じ月の請求が重複しています／",""),"")&amp;IF(AND(N($E2989)&gt;0,$Z2989&lt;&gt;"",$Z2989&lt;&gt;"×",$AC2989=0,$AB2989=""),"計算額が下限以下のため不支給／",""))</f>
        <v/>
      </c>
      <c r="AL2989" s="12" t="n"/>
      <c r="AM2989" s="14">
        <f>IF($AD2989="保留中",COUNTIF($AD$6:$AD2989,"保留中"),"")</f>
        <v/>
      </c>
      <c r="AN2989" s="14">
        <f>IF($AO2989="","",IF(SUMPRODUCT(MAX((職員マスタ!$A$6:$A$405=$B2989)*(((職員マスタ!$G$6:$G$405="")+(職員マスタ!$G$6:$G$405&lt;=EOMONTH($AO2989,0)))&gt;0)*(((職員マスタ!$H$6:$H$405="")+(職員マスタ!$H$6:$H$405&gt;=$AO2989))&gt;0)*(ROW(職員マスタ!$A$6:$A$405)-5)))&gt;0,SUMPRODUCT(MAX((職員マスタ!$A$6:$A$405=$B2989)*(((職員マスタ!$G$6:$G$405="")+(職員マスタ!$G$6:$G$405&lt;=EOMONTH($AO2989,0)))&gt;0)*(((職員マスタ!$H$6:$H$405="")+(職員マスタ!$H$6:$H$405&gt;=$AO2989))&gt;0)*(ROW(職員マスタ!$A$6:$A$405)-5))),IFERROR(MATCH($B2989,職員マスタ!$A$6:$A$405,0),"")))</f>
        <v/>
      </c>
      <c r="AO2989" s="16">
        <f>IF(OR($B2989="",$C2989="",$D2989=""),"",DATE($C2989+2018,$D2989,1))</f>
        <v/>
      </c>
    </row>
    <row r="2990">
      <c r="A2990" s="11" t="n"/>
      <c r="B2990" s="12" t="n"/>
      <c r="C2990" s="12" t="n"/>
      <c r="D2990" s="12" t="n"/>
      <c r="E2990" s="13" t="n"/>
      <c r="F2990" s="12" t="n"/>
      <c r="G2990" s="13" t="n"/>
      <c r="H2990" s="12" t="n"/>
      <c r="I2990" s="12" t="n"/>
      <c r="J2990" s="12" t="n"/>
      <c r="K2990" s="12" t="n"/>
      <c r="L2990" s="11" t="n"/>
      <c r="M2990" s="11" t="n"/>
      <c r="N2990" s="11" t="n"/>
      <c r="O2990" s="11" t="n"/>
      <c r="P2990" s="12" t="n"/>
      <c r="Q2990" s="11" t="n"/>
      <c r="R2990" s="12" t="n"/>
      <c r="S2990" s="11" t="n"/>
      <c r="T2990" s="12" t="n"/>
      <c r="U2990" s="12" t="n"/>
      <c r="V2990" s="14">
        <f>IF($AN2990="",IF($B2990="","",$H2990),IF(INDEX(職員マスタ!$B$6:$B$405,$AN2990)="",$H2990,INDEX(職員マスタ!$B$6:$B$405,$AN2990)))</f>
        <v/>
      </c>
      <c r="W2990" s="14">
        <f>IF($AN2990="",IF($B2990="","",$R2990),IF(INDEX(職員マスタ!$C$6:$C$405,$AN2990)="",$R2990,INDEX(職員マスタ!$C$6:$C$405,$AN2990)))</f>
        <v/>
      </c>
      <c r="X2990" s="14">
        <f>IF($AO2990="","","R"&amp;$C2990&amp;"."&amp;$D2990)</f>
        <v/>
      </c>
      <c r="Y2990" s="15">
        <f>IF($AN2990="","",IF(INDEX(職員マスタ!$K$6:$K$405,$AN2990)="","",INDEX(職員マスタ!$K$6:$K$405,$AN2990)))</f>
        <v/>
      </c>
      <c r="Z2990" s="14">
        <f>IF(OR($E2990="",$Y2990=""),"",IF($E2990&gt;=$Y2990,"×",IF($E2990&gt;=$Y2990*設定!$C$5,"△","○")))</f>
        <v/>
      </c>
      <c r="AA2990" s="15">
        <f>IF($Z2990="","",IF($Z2990="×",0,IF($Z2990="○",ROUNDDOWN($E2990*設定!$C$4,0),ROUNDDOWN($E2990*ROUND((9*$Y2990-9*$E2990)/(10*$E2990),4),0))))</f>
        <v/>
      </c>
      <c r="AB2990" s="13" t="n"/>
      <c r="AC2990" s="15">
        <f>IF($B2990="","",IF($AB2990&lt;&gt;"",$AB2990,IF($AA2990="","",IF($AA2990&lt;=設定!$C$3,0,$AA2990))))</f>
        <v/>
      </c>
      <c r="AD2990" s="14">
        <f>IF($B2990="","",IF(AND($AE2990&lt;&gt;"",$AG2990="",$AJ2990=""),"保留中",IF($AJ2990&lt;&gt;"",IF(N($AC2990)&gt;0,"支給済","不支給"),IF($AC2990="","要確認",IF($AC2990=0,"不支給","未処理")))))</f>
        <v/>
      </c>
      <c r="AE2990" s="12" t="n"/>
      <c r="AF2990" s="11" t="n"/>
      <c r="AG2990" s="11" t="n"/>
      <c r="AH2990" s="11" t="n"/>
      <c r="AI2990" s="14">
        <f>IF(AND($AD2990="保留中",$AF2990&lt;&gt;""),TODAY()-$AF2990,"")</f>
        <v/>
      </c>
      <c r="AJ2990" s="12" t="n"/>
      <c r="AK2990" s="14">
        <f>IF($B2990="","",IF($AO2990="","対象年月が未入力／","")&amp;IF($B2990="","",IF($AN2990="","職員マスタに未登録の職員番号／",IF($Y2990="","標準報酬月額が未登録／","")&amp;IF(AND($AO2990&lt;&gt;"",OR(AND(INDEX(職員マスタ!$G$6:$G$405,$AN2990)&lt;&gt;"",INDEX(職員マスタ!$G$6:$G$405,$AN2990)&gt;EOMONTH($AO2990,0)),AND(INDEX(職員マスタ!$H$6:$H$405,$AN2990)&lt;&gt;"",INDEX(職員マスタ!$H$6:$H$405,$AN2990)&lt;$AO2990))),"対象月が時短期間外／","")&amp;IF(AND(INDEX(職員マスタ!$F$6:$F$405,$AN2990)&lt;&gt;"",$AO2990&lt;&gt;"",INDEX(職員マスタ!$F$6:$F$405,$AN2990)&lt;$AO2990),"対象月に子が2歳到達済／","")&amp;IF(AND($H2990&lt;&gt;"",INDEX(職員マスタ!$B$6:$B$405,$AN2990)&lt;&gt;"",SUBSTITUTE(SUBSTITUTE($H2990," ","")," ","")&lt;&gt;SUBSTITUTE(SUBSTITUTE(INDEX(職員マスタ!$B$6:$B$405,$AN2990)," ","")," ","")),"氏名がマスタと相違／","")&amp;IF(AND($Q2990&lt;&gt;"",INDEX(職員マスタ!$E$6:$E$405,$AN2990)&lt;&gt;"",$Q2990&lt;&gt;INDEX(職員マスタ!$E$6:$E$405,$AN2990)),"子の生年月日がマスタと相違／","")&amp;IF(AND($L2990&lt;&gt;"",INDEX(職員マスタ!$G$6:$G$405,$AN2990)&lt;&gt;"",$L2990&lt;&gt;INDEX(職員マスタ!$G$6:$G$405,$AN2990)),"時短開始日がマスタと相違／","")&amp;IF(AND($M2990&lt;&gt;"",INDEX(職員マスタ!$H$6:$H$405,$AN2990)&lt;&gt;"",$M2990&lt;&gt;INDEX(職員マスタ!$H$6:$H$405,$AN2990)),"時短終了日がマスタと相違／","")))&amp;IF(AND($B2990&lt;&gt;"",$E2990=""),"報酬額が未入力／","")&amp;IF(N($U2990)&gt;0,"申請書に入力エラーが残っています／","")&amp;IF(AND($B2990&lt;&gt;"",$AO2990&lt;&gt;""),IF(COUNTIFS($B$6:$B$3005,$B2990,$C$6:$C$3005,$C2990,$D$6:$D$3005,$D2990)&gt;1,"同じ月の請求が重複しています／",""),"")&amp;IF(AND(N($E2990)&gt;0,$Z2990&lt;&gt;"",$Z2990&lt;&gt;"×",$AC2990=0,$AB2990=""),"計算額が下限以下のため不支給／",""))</f>
        <v/>
      </c>
      <c r="AL2990" s="12" t="n"/>
      <c r="AM2990" s="14">
        <f>IF($AD2990="保留中",COUNTIF($AD$6:$AD2990,"保留中"),"")</f>
        <v/>
      </c>
      <c r="AN2990" s="14">
        <f>IF($AO2990="","",IF(SUMPRODUCT(MAX((職員マスタ!$A$6:$A$405=$B2990)*(((職員マスタ!$G$6:$G$405="")+(職員マスタ!$G$6:$G$405&lt;=EOMONTH($AO2990,0)))&gt;0)*(((職員マスタ!$H$6:$H$405="")+(職員マスタ!$H$6:$H$405&gt;=$AO2990))&gt;0)*(ROW(職員マスタ!$A$6:$A$405)-5)))&gt;0,SUMPRODUCT(MAX((職員マスタ!$A$6:$A$405=$B2990)*(((職員マスタ!$G$6:$G$405="")+(職員マスタ!$G$6:$G$405&lt;=EOMONTH($AO2990,0)))&gt;0)*(((職員マスタ!$H$6:$H$405="")+(職員マスタ!$H$6:$H$405&gt;=$AO2990))&gt;0)*(ROW(職員マスタ!$A$6:$A$405)-5))),IFERROR(MATCH($B2990,職員マスタ!$A$6:$A$405,0),"")))</f>
        <v/>
      </c>
      <c r="AO2990" s="16">
        <f>IF(OR($B2990="",$C2990="",$D2990=""),"",DATE($C2990+2018,$D2990,1))</f>
        <v/>
      </c>
    </row>
    <row r="2991">
      <c r="A2991" s="11" t="n"/>
      <c r="B2991" s="12" t="n"/>
      <c r="C2991" s="12" t="n"/>
      <c r="D2991" s="12" t="n"/>
      <c r="E2991" s="13" t="n"/>
      <c r="F2991" s="12" t="n"/>
      <c r="G2991" s="13" t="n"/>
      <c r="H2991" s="12" t="n"/>
      <c r="I2991" s="12" t="n"/>
      <c r="J2991" s="12" t="n"/>
      <c r="K2991" s="12" t="n"/>
      <c r="L2991" s="11" t="n"/>
      <c r="M2991" s="11" t="n"/>
      <c r="N2991" s="11" t="n"/>
      <c r="O2991" s="11" t="n"/>
      <c r="P2991" s="12" t="n"/>
      <c r="Q2991" s="11" t="n"/>
      <c r="R2991" s="12" t="n"/>
      <c r="S2991" s="11" t="n"/>
      <c r="T2991" s="12" t="n"/>
      <c r="U2991" s="12" t="n"/>
      <c r="V2991" s="14">
        <f>IF($AN2991="",IF($B2991="","",$H2991),IF(INDEX(職員マスタ!$B$6:$B$405,$AN2991)="",$H2991,INDEX(職員マスタ!$B$6:$B$405,$AN2991)))</f>
        <v/>
      </c>
      <c r="W2991" s="14">
        <f>IF($AN2991="",IF($B2991="","",$R2991),IF(INDEX(職員マスタ!$C$6:$C$405,$AN2991)="",$R2991,INDEX(職員マスタ!$C$6:$C$405,$AN2991)))</f>
        <v/>
      </c>
      <c r="X2991" s="14">
        <f>IF($AO2991="","","R"&amp;$C2991&amp;"."&amp;$D2991)</f>
        <v/>
      </c>
      <c r="Y2991" s="15">
        <f>IF($AN2991="","",IF(INDEX(職員マスタ!$K$6:$K$405,$AN2991)="","",INDEX(職員マスタ!$K$6:$K$405,$AN2991)))</f>
        <v/>
      </c>
      <c r="Z2991" s="14">
        <f>IF(OR($E2991="",$Y2991=""),"",IF($E2991&gt;=$Y2991,"×",IF($E2991&gt;=$Y2991*設定!$C$5,"△","○")))</f>
        <v/>
      </c>
      <c r="AA2991" s="15">
        <f>IF($Z2991="","",IF($Z2991="×",0,IF($Z2991="○",ROUNDDOWN($E2991*設定!$C$4,0),ROUNDDOWN($E2991*ROUND((9*$Y2991-9*$E2991)/(10*$E2991),4),0))))</f>
        <v/>
      </c>
      <c r="AB2991" s="13" t="n"/>
      <c r="AC2991" s="15">
        <f>IF($B2991="","",IF($AB2991&lt;&gt;"",$AB2991,IF($AA2991="","",IF($AA2991&lt;=設定!$C$3,0,$AA2991))))</f>
        <v/>
      </c>
      <c r="AD2991" s="14">
        <f>IF($B2991="","",IF(AND($AE2991&lt;&gt;"",$AG2991="",$AJ2991=""),"保留中",IF($AJ2991&lt;&gt;"",IF(N($AC2991)&gt;0,"支給済","不支給"),IF($AC2991="","要確認",IF($AC2991=0,"不支給","未処理")))))</f>
        <v/>
      </c>
      <c r="AE2991" s="12" t="n"/>
      <c r="AF2991" s="11" t="n"/>
      <c r="AG2991" s="11" t="n"/>
      <c r="AH2991" s="11" t="n"/>
      <c r="AI2991" s="14">
        <f>IF(AND($AD2991="保留中",$AF2991&lt;&gt;""),TODAY()-$AF2991,"")</f>
        <v/>
      </c>
      <c r="AJ2991" s="12" t="n"/>
      <c r="AK2991" s="14">
        <f>IF($B2991="","",IF($AO2991="","対象年月が未入力／","")&amp;IF($B2991="","",IF($AN2991="","職員マスタに未登録の職員番号／",IF($Y2991="","標準報酬月額が未登録／","")&amp;IF(AND($AO2991&lt;&gt;"",OR(AND(INDEX(職員マスタ!$G$6:$G$405,$AN2991)&lt;&gt;"",INDEX(職員マスタ!$G$6:$G$405,$AN2991)&gt;EOMONTH($AO2991,0)),AND(INDEX(職員マスタ!$H$6:$H$405,$AN2991)&lt;&gt;"",INDEX(職員マスタ!$H$6:$H$405,$AN2991)&lt;$AO2991))),"対象月が時短期間外／","")&amp;IF(AND(INDEX(職員マスタ!$F$6:$F$405,$AN2991)&lt;&gt;"",$AO2991&lt;&gt;"",INDEX(職員マスタ!$F$6:$F$405,$AN2991)&lt;$AO2991),"対象月に子が2歳到達済／","")&amp;IF(AND($H2991&lt;&gt;"",INDEX(職員マスタ!$B$6:$B$405,$AN2991)&lt;&gt;"",SUBSTITUTE(SUBSTITUTE($H2991," ","")," ","")&lt;&gt;SUBSTITUTE(SUBSTITUTE(INDEX(職員マスタ!$B$6:$B$405,$AN2991)," ","")," ","")),"氏名がマスタと相違／","")&amp;IF(AND($Q2991&lt;&gt;"",INDEX(職員マスタ!$E$6:$E$405,$AN2991)&lt;&gt;"",$Q2991&lt;&gt;INDEX(職員マスタ!$E$6:$E$405,$AN2991)),"子の生年月日がマスタと相違／","")&amp;IF(AND($L2991&lt;&gt;"",INDEX(職員マスタ!$G$6:$G$405,$AN2991)&lt;&gt;"",$L2991&lt;&gt;INDEX(職員マスタ!$G$6:$G$405,$AN2991)),"時短開始日がマスタと相違／","")&amp;IF(AND($M2991&lt;&gt;"",INDEX(職員マスタ!$H$6:$H$405,$AN2991)&lt;&gt;"",$M2991&lt;&gt;INDEX(職員マスタ!$H$6:$H$405,$AN2991)),"時短終了日がマスタと相違／","")))&amp;IF(AND($B2991&lt;&gt;"",$E2991=""),"報酬額が未入力／","")&amp;IF(N($U2991)&gt;0,"申請書に入力エラーが残っています／","")&amp;IF(AND($B2991&lt;&gt;"",$AO2991&lt;&gt;""),IF(COUNTIFS($B$6:$B$3005,$B2991,$C$6:$C$3005,$C2991,$D$6:$D$3005,$D2991)&gt;1,"同じ月の請求が重複しています／",""),"")&amp;IF(AND(N($E2991)&gt;0,$Z2991&lt;&gt;"",$Z2991&lt;&gt;"×",$AC2991=0,$AB2991=""),"計算額が下限以下のため不支給／",""))</f>
        <v/>
      </c>
      <c r="AL2991" s="12" t="n"/>
      <c r="AM2991" s="14">
        <f>IF($AD2991="保留中",COUNTIF($AD$6:$AD2991,"保留中"),"")</f>
        <v/>
      </c>
      <c r="AN2991" s="14">
        <f>IF($AO2991="","",IF(SUMPRODUCT(MAX((職員マスタ!$A$6:$A$405=$B2991)*(((職員マスタ!$G$6:$G$405="")+(職員マスタ!$G$6:$G$405&lt;=EOMONTH($AO2991,0)))&gt;0)*(((職員マスタ!$H$6:$H$405="")+(職員マスタ!$H$6:$H$405&gt;=$AO2991))&gt;0)*(ROW(職員マスタ!$A$6:$A$405)-5)))&gt;0,SUMPRODUCT(MAX((職員マスタ!$A$6:$A$405=$B2991)*(((職員マスタ!$G$6:$G$405="")+(職員マスタ!$G$6:$G$405&lt;=EOMONTH($AO2991,0)))&gt;0)*(((職員マスタ!$H$6:$H$405="")+(職員マスタ!$H$6:$H$405&gt;=$AO2991))&gt;0)*(ROW(職員マスタ!$A$6:$A$405)-5))),IFERROR(MATCH($B2991,職員マスタ!$A$6:$A$405,0),"")))</f>
        <v/>
      </c>
      <c r="AO2991" s="16">
        <f>IF(OR($B2991="",$C2991="",$D2991=""),"",DATE($C2991+2018,$D2991,1))</f>
        <v/>
      </c>
    </row>
    <row r="2992">
      <c r="A2992" s="11" t="n"/>
      <c r="B2992" s="12" t="n"/>
      <c r="C2992" s="12" t="n"/>
      <c r="D2992" s="12" t="n"/>
      <c r="E2992" s="13" t="n"/>
      <c r="F2992" s="12" t="n"/>
      <c r="G2992" s="13" t="n"/>
      <c r="H2992" s="12" t="n"/>
      <c r="I2992" s="12" t="n"/>
      <c r="J2992" s="12" t="n"/>
      <c r="K2992" s="12" t="n"/>
      <c r="L2992" s="11" t="n"/>
      <c r="M2992" s="11" t="n"/>
      <c r="N2992" s="11" t="n"/>
      <c r="O2992" s="11" t="n"/>
      <c r="P2992" s="12" t="n"/>
      <c r="Q2992" s="11" t="n"/>
      <c r="R2992" s="12" t="n"/>
      <c r="S2992" s="11" t="n"/>
      <c r="T2992" s="12" t="n"/>
      <c r="U2992" s="12" t="n"/>
      <c r="V2992" s="14">
        <f>IF($AN2992="",IF($B2992="","",$H2992),IF(INDEX(職員マスタ!$B$6:$B$405,$AN2992)="",$H2992,INDEX(職員マスタ!$B$6:$B$405,$AN2992)))</f>
        <v/>
      </c>
      <c r="W2992" s="14">
        <f>IF($AN2992="",IF($B2992="","",$R2992),IF(INDEX(職員マスタ!$C$6:$C$405,$AN2992)="",$R2992,INDEX(職員マスタ!$C$6:$C$405,$AN2992)))</f>
        <v/>
      </c>
      <c r="X2992" s="14">
        <f>IF($AO2992="","","R"&amp;$C2992&amp;"."&amp;$D2992)</f>
        <v/>
      </c>
      <c r="Y2992" s="15">
        <f>IF($AN2992="","",IF(INDEX(職員マスタ!$K$6:$K$405,$AN2992)="","",INDEX(職員マスタ!$K$6:$K$405,$AN2992)))</f>
        <v/>
      </c>
      <c r="Z2992" s="14">
        <f>IF(OR($E2992="",$Y2992=""),"",IF($E2992&gt;=$Y2992,"×",IF($E2992&gt;=$Y2992*設定!$C$5,"△","○")))</f>
        <v/>
      </c>
      <c r="AA2992" s="15">
        <f>IF($Z2992="","",IF($Z2992="×",0,IF($Z2992="○",ROUNDDOWN($E2992*設定!$C$4,0),ROUNDDOWN($E2992*ROUND((9*$Y2992-9*$E2992)/(10*$E2992),4),0))))</f>
        <v/>
      </c>
      <c r="AB2992" s="13" t="n"/>
      <c r="AC2992" s="15">
        <f>IF($B2992="","",IF($AB2992&lt;&gt;"",$AB2992,IF($AA2992="","",IF($AA2992&lt;=設定!$C$3,0,$AA2992))))</f>
        <v/>
      </c>
      <c r="AD2992" s="14">
        <f>IF($B2992="","",IF(AND($AE2992&lt;&gt;"",$AG2992="",$AJ2992=""),"保留中",IF($AJ2992&lt;&gt;"",IF(N($AC2992)&gt;0,"支給済","不支給"),IF($AC2992="","要確認",IF($AC2992=0,"不支給","未処理")))))</f>
        <v/>
      </c>
      <c r="AE2992" s="12" t="n"/>
      <c r="AF2992" s="11" t="n"/>
      <c r="AG2992" s="11" t="n"/>
      <c r="AH2992" s="11" t="n"/>
      <c r="AI2992" s="14">
        <f>IF(AND($AD2992="保留中",$AF2992&lt;&gt;""),TODAY()-$AF2992,"")</f>
        <v/>
      </c>
      <c r="AJ2992" s="12" t="n"/>
      <c r="AK2992" s="14">
        <f>IF($B2992="","",IF($AO2992="","対象年月が未入力／","")&amp;IF($B2992="","",IF($AN2992="","職員マスタに未登録の職員番号／",IF($Y2992="","標準報酬月額が未登録／","")&amp;IF(AND($AO2992&lt;&gt;"",OR(AND(INDEX(職員マスタ!$G$6:$G$405,$AN2992)&lt;&gt;"",INDEX(職員マスタ!$G$6:$G$405,$AN2992)&gt;EOMONTH($AO2992,0)),AND(INDEX(職員マスタ!$H$6:$H$405,$AN2992)&lt;&gt;"",INDEX(職員マスタ!$H$6:$H$405,$AN2992)&lt;$AO2992))),"対象月が時短期間外／","")&amp;IF(AND(INDEX(職員マスタ!$F$6:$F$405,$AN2992)&lt;&gt;"",$AO2992&lt;&gt;"",INDEX(職員マスタ!$F$6:$F$405,$AN2992)&lt;$AO2992),"対象月に子が2歳到達済／","")&amp;IF(AND($H2992&lt;&gt;"",INDEX(職員マスタ!$B$6:$B$405,$AN2992)&lt;&gt;"",SUBSTITUTE(SUBSTITUTE($H2992," ","")," ","")&lt;&gt;SUBSTITUTE(SUBSTITUTE(INDEX(職員マスタ!$B$6:$B$405,$AN2992)," ","")," ","")),"氏名がマスタと相違／","")&amp;IF(AND($Q2992&lt;&gt;"",INDEX(職員マスタ!$E$6:$E$405,$AN2992)&lt;&gt;"",$Q2992&lt;&gt;INDEX(職員マスタ!$E$6:$E$405,$AN2992)),"子の生年月日がマスタと相違／","")&amp;IF(AND($L2992&lt;&gt;"",INDEX(職員マスタ!$G$6:$G$405,$AN2992)&lt;&gt;"",$L2992&lt;&gt;INDEX(職員マスタ!$G$6:$G$405,$AN2992)),"時短開始日がマスタと相違／","")&amp;IF(AND($M2992&lt;&gt;"",INDEX(職員マスタ!$H$6:$H$405,$AN2992)&lt;&gt;"",$M2992&lt;&gt;INDEX(職員マスタ!$H$6:$H$405,$AN2992)),"時短終了日がマスタと相違／","")))&amp;IF(AND($B2992&lt;&gt;"",$E2992=""),"報酬額が未入力／","")&amp;IF(N($U2992)&gt;0,"申請書に入力エラーが残っています／","")&amp;IF(AND($B2992&lt;&gt;"",$AO2992&lt;&gt;""),IF(COUNTIFS($B$6:$B$3005,$B2992,$C$6:$C$3005,$C2992,$D$6:$D$3005,$D2992)&gt;1,"同じ月の請求が重複しています／",""),"")&amp;IF(AND(N($E2992)&gt;0,$Z2992&lt;&gt;"",$Z2992&lt;&gt;"×",$AC2992=0,$AB2992=""),"計算額が下限以下のため不支給／",""))</f>
        <v/>
      </c>
      <c r="AL2992" s="12" t="n"/>
      <c r="AM2992" s="14">
        <f>IF($AD2992="保留中",COUNTIF($AD$6:$AD2992,"保留中"),"")</f>
        <v/>
      </c>
      <c r="AN2992" s="14">
        <f>IF($AO2992="","",IF(SUMPRODUCT(MAX((職員マスタ!$A$6:$A$405=$B2992)*(((職員マスタ!$G$6:$G$405="")+(職員マスタ!$G$6:$G$405&lt;=EOMONTH($AO2992,0)))&gt;0)*(((職員マスタ!$H$6:$H$405="")+(職員マスタ!$H$6:$H$405&gt;=$AO2992))&gt;0)*(ROW(職員マスタ!$A$6:$A$405)-5)))&gt;0,SUMPRODUCT(MAX((職員マスタ!$A$6:$A$405=$B2992)*(((職員マスタ!$G$6:$G$405="")+(職員マスタ!$G$6:$G$405&lt;=EOMONTH($AO2992,0)))&gt;0)*(((職員マスタ!$H$6:$H$405="")+(職員マスタ!$H$6:$H$405&gt;=$AO2992))&gt;0)*(ROW(職員マスタ!$A$6:$A$405)-5))),IFERROR(MATCH($B2992,職員マスタ!$A$6:$A$405,0),"")))</f>
        <v/>
      </c>
      <c r="AO2992" s="16">
        <f>IF(OR($B2992="",$C2992="",$D2992=""),"",DATE($C2992+2018,$D2992,1))</f>
        <v/>
      </c>
    </row>
    <row r="2993">
      <c r="A2993" s="11" t="n"/>
      <c r="B2993" s="12" t="n"/>
      <c r="C2993" s="12" t="n"/>
      <c r="D2993" s="12" t="n"/>
      <c r="E2993" s="13" t="n"/>
      <c r="F2993" s="12" t="n"/>
      <c r="G2993" s="13" t="n"/>
      <c r="H2993" s="12" t="n"/>
      <c r="I2993" s="12" t="n"/>
      <c r="J2993" s="12" t="n"/>
      <c r="K2993" s="12" t="n"/>
      <c r="L2993" s="11" t="n"/>
      <c r="M2993" s="11" t="n"/>
      <c r="N2993" s="11" t="n"/>
      <c r="O2993" s="11" t="n"/>
      <c r="P2993" s="12" t="n"/>
      <c r="Q2993" s="11" t="n"/>
      <c r="R2993" s="12" t="n"/>
      <c r="S2993" s="11" t="n"/>
      <c r="T2993" s="12" t="n"/>
      <c r="U2993" s="12" t="n"/>
      <c r="V2993" s="14">
        <f>IF($AN2993="",IF($B2993="","",$H2993),IF(INDEX(職員マスタ!$B$6:$B$405,$AN2993)="",$H2993,INDEX(職員マスタ!$B$6:$B$405,$AN2993)))</f>
        <v/>
      </c>
      <c r="W2993" s="14">
        <f>IF($AN2993="",IF($B2993="","",$R2993),IF(INDEX(職員マスタ!$C$6:$C$405,$AN2993)="",$R2993,INDEX(職員マスタ!$C$6:$C$405,$AN2993)))</f>
        <v/>
      </c>
      <c r="X2993" s="14">
        <f>IF($AO2993="","","R"&amp;$C2993&amp;"."&amp;$D2993)</f>
        <v/>
      </c>
      <c r="Y2993" s="15">
        <f>IF($AN2993="","",IF(INDEX(職員マスタ!$K$6:$K$405,$AN2993)="","",INDEX(職員マスタ!$K$6:$K$405,$AN2993)))</f>
        <v/>
      </c>
      <c r="Z2993" s="14">
        <f>IF(OR($E2993="",$Y2993=""),"",IF($E2993&gt;=$Y2993,"×",IF($E2993&gt;=$Y2993*設定!$C$5,"△","○")))</f>
        <v/>
      </c>
      <c r="AA2993" s="15">
        <f>IF($Z2993="","",IF($Z2993="×",0,IF($Z2993="○",ROUNDDOWN($E2993*設定!$C$4,0),ROUNDDOWN($E2993*ROUND((9*$Y2993-9*$E2993)/(10*$E2993),4),0))))</f>
        <v/>
      </c>
      <c r="AB2993" s="13" t="n"/>
      <c r="AC2993" s="15">
        <f>IF($B2993="","",IF($AB2993&lt;&gt;"",$AB2993,IF($AA2993="","",IF($AA2993&lt;=設定!$C$3,0,$AA2993))))</f>
        <v/>
      </c>
      <c r="AD2993" s="14">
        <f>IF($B2993="","",IF(AND($AE2993&lt;&gt;"",$AG2993="",$AJ2993=""),"保留中",IF($AJ2993&lt;&gt;"",IF(N($AC2993)&gt;0,"支給済","不支給"),IF($AC2993="","要確認",IF($AC2993=0,"不支給","未処理")))))</f>
        <v/>
      </c>
      <c r="AE2993" s="12" t="n"/>
      <c r="AF2993" s="11" t="n"/>
      <c r="AG2993" s="11" t="n"/>
      <c r="AH2993" s="11" t="n"/>
      <c r="AI2993" s="14">
        <f>IF(AND($AD2993="保留中",$AF2993&lt;&gt;""),TODAY()-$AF2993,"")</f>
        <v/>
      </c>
      <c r="AJ2993" s="12" t="n"/>
      <c r="AK2993" s="14">
        <f>IF($B2993="","",IF($AO2993="","対象年月が未入力／","")&amp;IF($B2993="","",IF($AN2993="","職員マスタに未登録の職員番号／",IF($Y2993="","標準報酬月額が未登録／","")&amp;IF(AND($AO2993&lt;&gt;"",OR(AND(INDEX(職員マスタ!$G$6:$G$405,$AN2993)&lt;&gt;"",INDEX(職員マスタ!$G$6:$G$405,$AN2993)&gt;EOMONTH($AO2993,0)),AND(INDEX(職員マスタ!$H$6:$H$405,$AN2993)&lt;&gt;"",INDEX(職員マスタ!$H$6:$H$405,$AN2993)&lt;$AO2993))),"対象月が時短期間外／","")&amp;IF(AND(INDEX(職員マスタ!$F$6:$F$405,$AN2993)&lt;&gt;"",$AO2993&lt;&gt;"",INDEX(職員マスタ!$F$6:$F$405,$AN2993)&lt;$AO2993),"対象月に子が2歳到達済／","")&amp;IF(AND($H2993&lt;&gt;"",INDEX(職員マスタ!$B$6:$B$405,$AN2993)&lt;&gt;"",SUBSTITUTE(SUBSTITUTE($H2993," ","")," ","")&lt;&gt;SUBSTITUTE(SUBSTITUTE(INDEX(職員マスタ!$B$6:$B$405,$AN2993)," ","")," ","")),"氏名がマスタと相違／","")&amp;IF(AND($Q2993&lt;&gt;"",INDEX(職員マスタ!$E$6:$E$405,$AN2993)&lt;&gt;"",$Q2993&lt;&gt;INDEX(職員マスタ!$E$6:$E$405,$AN2993)),"子の生年月日がマスタと相違／","")&amp;IF(AND($L2993&lt;&gt;"",INDEX(職員マスタ!$G$6:$G$405,$AN2993)&lt;&gt;"",$L2993&lt;&gt;INDEX(職員マスタ!$G$6:$G$405,$AN2993)),"時短開始日がマスタと相違／","")&amp;IF(AND($M2993&lt;&gt;"",INDEX(職員マスタ!$H$6:$H$405,$AN2993)&lt;&gt;"",$M2993&lt;&gt;INDEX(職員マスタ!$H$6:$H$405,$AN2993)),"時短終了日がマスタと相違／","")))&amp;IF(AND($B2993&lt;&gt;"",$E2993=""),"報酬額が未入力／","")&amp;IF(N($U2993)&gt;0,"申請書に入力エラーが残っています／","")&amp;IF(AND($B2993&lt;&gt;"",$AO2993&lt;&gt;""),IF(COUNTIFS($B$6:$B$3005,$B2993,$C$6:$C$3005,$C2993,$D$6:$D$3005,$D2993)&gt;1,"同じ月の請求が重複しています／",""),"")&amp;IF(AND(N($E2993)&gt;0,$Z2993&lt;&gt;"",$Z2993&lt;&gt;"×",$AC2993=0,$AB2993=""),"計算額が下限以下のため不支給／",""))</f>
        <v/>
      </c>
      <c r="AL2993" s="12" t="n"/>
      <c r="AM2993" s="14">
        <f>IF($AD2993="保留中",COUNTIF($AD$6:$AD2993,"保留中"),"")</f>
        <v/>
      </c>
      <c r="AN2993" s="14">
        <f>IF($AO2993="","",IF(SUMPRODUCT(MAX((職員マスタ!$A$6:$A$405=$B2993)*(((職員マスタ!$G$6:$G$405="")+(職員マスタ!$G$6:$G$405&lt;=EOMONTH($AO2993,0)))&gt;0)*(((職員マスタ!$H$6:$H$405="")+(職員マスタ!$H$6:$H$405&gt;=$AO2993))&gt;0)*(ROW(職員マスタ!$A$6:$A$405)-5)))&gt;0,SUMPRODUCT(MAX((職員マスタ!$A$6:$A$405=$B2993)*(((職員マスタ!$G$6:$G$405="")+(職員マスタ!$G$6:$G$405&lt;=EOMONTH($AO2993,0)))&gt;0)*(((職員マスタ!$H$6:$H$405="")+(職員マスタ!$H$6:$H$405&gt;=$AO2993))&gt;0)*(ROW(職員マスタ!$A$6:$A$405)-5))),IFERROR(MATCH($B2993,職員マスタ!$A$6:$A$405,0),"")))</f>
        <v/>
      </c>
      <c r="AO2993" s="16">
        <f>IF(OR($B2993="",$C2993="",$D2993=""),"",DATE($C2993+2018,$D2993,1))</f>
        <v/>
      </c>
    </row>
    <row r="2994">
      <c r="A2994" s="11" t="n"/>
      <c r="B2994" s="12" t="n"/>
      <c r="C2994" s="12" t="n"/>
      <c r="D2994" s="12" t="n"/>
      <c r="E2994" s="13" t="n"/>
      <c r="F2994" s="12" t="n"/>
      <c r="G2994" s="13" t="n"/>
      <c r="H2994" s="12" t="n"/>
      <c r="I2994" s="12" t="n"/>
      <c r="J2994" s="12" t="n"/>
      <c r="K2994" s="12" t="n"/>
      <c r="L2994" s="11" t="n"/>
      <c r="M2994" s="11" t="n"/>
      <c r="N2994" s="11" t="n"/>
      <c r="O2994" s="11" t="n"/>
      <c r="P2994" s="12" t="n"/>
      <c r="Q2994" s="11" t="n"/>
      <c r="R2994" s="12" t="n"/>
      <c r="S2994" s="11" t="n"/>
      <c r="T2994" s="12" t="n"/>
      <c r="U2994" s="12" t="n"/>
      <c r="V2994" s="14">
        <f>IF($AN2994="",IF($B2994="","",$H2994),IF(INDEX(職員マスタ!$B$6:$B$405,$AN2994)="",$H2994,INDEX(職員マスタ!$B$6:$B$405,$AN2994)))</f>
        <v/>
      </c>
      <c r="W2994" s="14">
        <f>IF($AN2994="",IF($B2994="","",$R2994),IF(INDEX(職員マスタ!$C$6:$C$405,$AN2994)="",$R2994,INDEX(職員マスタ!$C$6:$C$405,$AN2994)))</f>
        <v/>
      </c>
      <c r="X2994" s="14">
        <f>IF($AO2994="","","R"&amp;$C2994&amp;"."&amp;$D2994)</f>
        <v/>
      </c>
      <c r="Y2994" s="15">
        <f>IF($AN2994="","",IF(INDEX(職員マスタ!$K$6:$K$405,$AN2994)="","",INDEX(職員マスタ!$K$6:$K$405,$AN2994)))</f>
        <v/>
      </c>
      <c r="Z2994" s="14">
        <f>IF(OR($E2994="",$Y2994=""),"",IF($E2994&gt;=$Y2994,"×",IF($E2994&gt;=$Y2994*設定!$C$5,"△","○")))</f>
        <v/>
      </c>
      <c r="AA2994" s="15">
        <f>IF($Z2994="","",IF($Z2994="×",0,IF($Z2994="○",ROUNDDOWN($E2994*設定!$C$4,0),ROUNDDOWN($E2994*ROUND((9*$Y2994-9*$E2994)/(10*$E2994),4),0))))</f>
        <v/>
      </c>
      <c r="AB2994" s="13" t="n"/>
      <c r="AC2994" s="15">
        <f>IF($B2994="","",IF($AB2994&lt;&gt;"",$AB2994,IF($AA2994="","",IF($AA2994&lt;=設定!$C$3,0,$AA2994))))</f>
        <v/>
      </c>
      <c r="AD2994" s="14">
        <f>IF($B2994="","",IF(AND($AE2994&lt;&gt;"",$AG2994="",$AJ2994=""),"保留中",IF($AJ2994&lt;&gt;"",IF(N($AC2994)&gt;0,"支給済","不支給"),IF($AC2994="","要確認",IF($AC2994=0,"不支給","未処理")))))</f>
        <v/>
      </c>
      <c r="AE2994" s="12" t="n"/>
      <c r="AF2994" s="11" t="n"/>
      <c r="AG2994" s="11" t="n"/>
      <c r="AH2994" s="11" t="n"/>
      <c r="AI2994" s="14">
        <f>IF(AND($AD2994="保留中",$AF2994&lt;&gt;""),TODAY()-$AF2994,"")</f>
        <v/>
      </c>
      <c r="AJ2994" s="12" t="n"/>
      <c r="AK2994" s="14">
        <f>IF($B2994="","",IF($AO2994="","対象年月が未入力／","")&amp;IF($B2994="","",IF($AN2994="","職員マスタに未登録の職員番号／",IF($Y2994="","標準報酬月額が未登録／","")&amp;IF(AND($AO2994&lt;&gt;"",OR(AND(INDEX(職員マスタ!$G$6:$G$405,$AN2994)&lt;&gt;"",INDEX(職員マスタ!$G$6:$G$405,$AN2994)&gt;EOMONTH($AO2994,0)),AND(INDEX(職員マスタ!$H$6:$H$405,$AN2994)&lt;&gt;"",INDEX(職員マスタ!$H$6:$H$405,$AN2994)&lt;$AO2994))),"対象月が時短期間外／","")&amp;IF(AND(INDEX(職員マスタ!$F$6:$F$405,$AN2994)&lt;&gt;"",$AO2994&lt;&gt;"",INDEX(職員マスタ!$F$6:$F$405,$AN2994)&lt;$AO2994),"対象月に子が2歳到達済／","")&amp;IF(AND($H2994&lt;&gt;"",INDEX(職員マスタ!$B$6:$B$405,$AN2994)&lt;&gt;"",SUBSTITUTE(SUBSTITUTE($H2994," ","")," ","")&lt;&gt;SUBSTITUTE(SUBSTITUTE(INDEX(職員マスタ!$B$6:$B$405,$AN2994)," ","")," ","")),"氏名がマスタと相違／","")&amp;IF(AND($Q2994&lt;&gt;"",INDEX(職員マスタ!$E$6:$E$405,$AN2994)&lt;&gt;"",$Q2994&lt;&gt;INDEX(職員マスタ!$E$6:$E$405,$AN2994)),"子の生年月日がマスタと相違／","")&amp;IF(AND($L2994&lt;&gt;"",INDEX(職員マスタ!$G$6:$G$405,$AN2994)&lt;&gt;"",$L2994&lt;&gt;INDEX(職員マスタ!$G$6:$G$405,$AN2994)),"時短開始日がマスタと相違／","")&amp;IF(AND($M2994&lt;&gt;"",INDEX(職員マスタ!$H$6:$H$405,$AN2994)&lt;&gt;"",$M2994&lt;&gt;INDEX(職員マスタ!$H$6:$H$405,$AN2994)),"時短終了日がマスタと相違／","")))&amp;IF(AND($B2994&lt;&gt;"",$E2994=""),"報酬額が未入力／","")&amp;IF(N($U2994)&gt;0,"申請書に入力エラーが残っています／","")&amp;IF(AND($B2994&lt;&gt;"",$AO2994&lt;&gt;""),IF(COUNTIFS($B$6:$B$3005,$B2994,$C$6:$C$3005,$C2994,$D$6:$D$3005,$D2994)&gt;1,"同じ月の請求が重複しています／",""),"")&amp;IF(AND(N($E2994)&gt;0,$Z2994&lt;&gt;"",$Z2994&lt;&gt;"×",$AC2994=0,$AB2994=""),"計算額が下限以下のため不支給／",""))</f>
        <v/>
      </c>
      <c r="AL2994" s="12" t="n"/>
      <c r="AM2994" s="14">
        <f>IF($AD2994="保留中",COUNTIF($AD$6:$AD2994,"保留中"),"")</f>
        <v/>
      </c>
      <c r="AN2994" s="14">
        <f>IF($AO2994="","",IF(SUMPRODUCT(MAX((職員マスタ!$A$6:$A$405=$B2994)*(((職員マスタ!$G$6:$G$405="")+(職員マスタ!$G$6:$G$405&lt;=EOMONTH($AO2994,0)))&gt;0)*(((職員マスタ!$H$6:$H$405="")+(職員マスタ!$H$6:$H$405&gt;=$AO2994))&gt;0)*(ROW(職員マスタ!$A$6:$A$405)-5)))&gt;0,SUMPRODUCT(MAX((職員マスタ!$A$6:$A$405=$B2994)*(((職員マスタ!$G$6:$G$405="")+(職員マスタ!$G$6:$G$405&lt;=EOMONTH($AO2994,0)))&gt;0)*(((職員マスタ!$H$6:$H$405="")+(職員マスタ!$H$6:$H$405&gt;=$AO2994))&gt;0)*(ROW(職員マスタ!$A$6:$A$405)-5))),IFERROR(MATCH($B2994,職員マスタ!$A$6:$A$405,0),"")))</f>
        <v/>
      </c>
      <c r="AO2994" s="16">
        <f>IF(OR($B2994="",$C2994="",$D2994=""),"",DATE($C2994+2018,$D2994,1))</f>
        <v/>
      </c>
    </row>
    <row r="2995">
      <c r="A2995" s="11" t="n"/>
      <c r="B2995" s="12" t="n"/>
      <c r="C2995" s="12" t="n"/>
      <c r="D2995" s="12" t="n"/>
      <c r="E2995" s="13" t="n"/>
      <c r="F2995" s="12" t="n"/>
      <c r="G2995" s="13" t="n"/>
      <c r="H2995" s="12" t="n"/>
      <c r="I2995" s="12" t="n"/>
      <c r="J2995" s="12" t="n"/>
      <c r="K2995" s="12" t="n"/>
      <c r="L2995" s="11" t="n"/>
      <c r="M2995" s="11" t="n"/>
      <c r="N2995" s="11" t="n"/>
      <c r="O2995" s="11" t="n"/>
      <c r="P2995" s="12" t="n"/>
      <c r="Q2995" s="11" t="n"/>
      <c r="R2995" s="12" t="n"/>
      <c r="S2995" s="11" t="n"/>
      <c r="T2995" s="12" t="n"/>
      <c r="U2995" s="12" t="n"/>
      <c r="V2995" s="14">
        <f>IF($AN2995="",IF($B2995="","",$H2995),IF(INDEX(職員マスタ!$B$6:$B$405,$AN2995)="",$H2995,INDEX(職員マスタ!$B$6:$B$405,$AN2995)))</f>
        <v/>
      </c>
      <c r="W2995" s="14">
        <f>IF($AN2995="",IF($B2995="","",$R2995),IF(INDEX(職員マスタ!$C$6:$C$405,$AN2995)="",$R2995,INDEX(職員マスタ!$C$6:$C$405,$AN2995)))</f>
        <v/>
      </c>
      <c r="X2995" s="14">
        <f>IF($AO2995="","","R"&amp;$C2995&amp;"."&amp;$D2995)</f>
        <v/>
      </c>
      <c r="Y2995" s="15">
        <f>IF($AN2995="","",IF(INDEX(職員マスタ!$K$6:$K$405,$AN2995)="","",INDEX(職員マスタ!$K$6:$K$405,$AN2995)))</f>
        <v/>
      </c>
      <c r="Z2995" s="14">
        <f>IF(OR($E2995="",$Y2995=""),"",IF($E2995&gt;=$Y2995,"×",IF($E2995&gt;=$Y2995*設定!$C$5,"△","○")))</f>
        <v/>
      </c>
      <c r="AA2995" s="15">
        <f>IF($Z2995="","",IF($Z2995="×",0,IF($Z2995="○",ROUNDDOWN($E2995*設定!$C$4,0),ROUNDDOWN($E2995*ROUND((9*$Y2995-9*$E2995)/(10*$E2995),4),0))))</f>
        <v/>
      </c>
      <c r="AB2995" s="13" t="n"/>
      <c r="AC2995" s="15">
        <f>IF($B2995="","",IF($AB2995&lt;&gt;"",$AB2995,IF($AA2995="","",IF($AA2995&lt;=設定!$C$3,0,$AA2995))))</f>
        <v/>
      </c>
      <c r="AD2995" s="14">
        <f>IF($B2995="","",IF(AND($AE2995&lt;&gt;"",$AG2995="",$AJ2995=""),"保留中",IF($AJ2995&lt;&gt;"",IF(N($AC2995)&gt;0,"支給済","不支給"),IF($AC2995="","要確認",IF($AC2995=0,"不支給","未処理")))))</f>
        <v/>
      </c>
      <c r="AE2995" s="12" t="n"/>
      <c r="AF2995" s="11" t="n"/>
      <c r="AG2995" s="11" t="n"/>
      <c r="AH2995" s="11" t="n"/>
      <c r="AI2995" s="14">
        <f>IF(AND($AD2995="保留中",$AF2995&lt;&gt;""),TODAY()-$AF2995,"")</f>
        <v/>
      </c>
      <c r="AJ2995" s="12" t="n"/>
      <c r="AK2995" s="14">
        <f>IF($B2995="","",IF($AO2995="","対象年月が未入力／","")&amp;IF($B2995="","",IF($AN2995="","職員マスタに未登録の職員番号／",IF($Y2995="","標準報酬月額が未登録／","")&amp;IF(AND($AO2995&lt;&gt;"",OR(AND(INDEX(職員マスタ!$G$6:$G$405,$AN2995)&lt;&gt;"",INDEX(職員マスタ!$G$6:$G$405,$AN2995)&gt;EOMONTH($AO2995,0)),AND(INDEX(職員マスタ!$H$6:$H$405,$AN2995)&lt;&gt;"",INDEX(職員マスタ!$H$6:$H$405,$AN2995)&lt;$AO2995))),"対象月が時短期間外／","")&amp;IF(AND(INDEX(職員マスタ!$F$6:$F$405,$AN2995)&lt;&gt;"",$AO2995&lt;&gt;"",INDEX(職員マスタ!$F$6:$F$405,$AN2995)&lt;$AO2995),"対象月に子が2歳到達済／","")&amp;IF(AND($H2995&lt;&gt;"",INDEX(職員マスタ!$B$6:$B$405,$AN2995)&lt;&gt;"",SUBSTITUTE(SUBSTITUTE($H2995," ","")," ","")&lt;&gt;SUBSTITUTE(SUBSTITUTE(INDEX(職員マスタ!$B$6:$B$405,$AN2995)," ","")," ","")),"氏名がマスタと相違／","")&amp;IF(AND($Q2995&lt;&gt;"",INDEX(職員マスタ!$E$6:$E$405,$AN2995)&lt;&gt;"",$Q2995&lt;&gt;INDEX(職員マスタ!$E$6:$E$405,$AN2995)),"子の生年月日がマスタと相違／","")&amp;IF(AND($L2995&lt;&gt;"",INDEX(職員マスタ!$G$6:$G$405,$AN2995)&lt;&gt;"",$L2995&lt;&gt;INDEX(職員マスタ!$G$6:$G$405,$AN2995)),"時短開始日がマスタと相違／","")&amp;IF(AND($M2995&lt;&gt;"",INDEX(職員マスタ!$H$6:$H$405,$AN2995)&lt;&gt;"",$M2995&lt;&gt;INDEX(職員マスタ!$H$6:$H$405,$AN2995)),"時短終了日がマスタと相違／","")))&amp;IF(AND($B2995&lt;&gt;"",$E2995=""),"報酬額が未入力／","")&amp;IF(N($U2995)&gt;0,"申請書に入力エラーが残っています／","")&amp;IF(AND($B2995&lt;&gt;"",$AO2995&lt;&gt;""),IF(COUNTIFS($B$6:$B$3005,$B2995,$C$6:$C$3005,$C2995,$D$6:$D$3005,$D2995)&gt;1,"同じ月の請求が重複しています／",""),"")&amp;IF(AND(N($E2995)&gt;0,$Z2995&lt;&gt;"",$Z2995&lt;&gt;"×",$AC2995=0,$AB2995=""),"計算額が下限以下のため不支給／",""))</f>
        <v/>
      </c>
      <c r="AL2995" s="12" t="n"/>
      <c r="AM2995" s="14">
        <f>IF($AD2995="保留中",COUNTIF($AD$6:$AD2995,"保留中"),"")</f>
        <v/>
      </c>
      <c r="AN2995" s="14">
        <f>IF($AO2995="","",IF(SUMPRODUCT(MAX((職員マスタ!$A$6:$A$405=$B2995)*(((職員マスタ!$G$6:$G$405="")+(職員マスタ!$G$6:$G$405&lt;=EOMONTH($AO2995,0)))&gt;0)*(((職員マスタ!$H$6:$H$405="")+(職員マスタ!$H$6:$H$405&gt;=$AO2995))&gt;0)*(ROW(職員マスタ!$A$6:$A$405)-5)))&gt;0,SUMPRODUCT(MAX((職員マスタ!$A$6:$A$405=$B2995)*(((職員マスタ!$G$6:$G$405="")+(職員マスタ!$G$6:$G$405&lt;=EOMONTH($AO2995,0)))&gt;0)*(((職員マスタ!$H$6:$H$405="")+(職員マスタ!$H$6:$H$405&gt;=$AO2995))&gt;0)*(ROW(職員マスタ!$A$6:$A$405)-5))),IFERROR(MATCH($B2995,職員マスタ!$A$6:$A$405,0),"")))</f>
        <v/>
      </c>
      <c r="AO2995" s="16">
        <f>IF(OR($B2995="",$C2995="",$D2995=""),"",DATE($C2995+2018,$D2995,1))</f>
        <v/>
      </c>
    </row>
    <row r="2996">
      <c r="A2996" s="11" t="n"/>
      <c r="B2996" s="12" t="n"/>
      <c r="C2996" s="12" t="n"/>
      <c r="D2996" s="12" t="n"/>
      <c r="E2996" s="13" t="n"/>
      <c r="F2996" s="12" t="n"/>
      <c r="G2996" s="13" t="n"/>
      <c r="H2996" s="12" t="n"/>
      <c r="I2996" s="12" t="n"/>
      <c r="J2996" s="12" t="n"/>
      <c r="K2996" s="12" t="n"/>
      <c r="L2996" s="11" t="n"/>
      <c r="M2996" s="11" t="n"/>
      <c r="N2996" s="11" t="n"/>
      <c r="O2996" s="11" t="n"/>
      <c r="P2996" s="12" t="n"/>
      <c r="Q2996" s="11" t="n"/>
      <c r="R2996" s="12" t="n"/>
      <c r="S2996" s="11" t="n"/>
      <c r="T2996" s="12" t="n"/>
      <c r="U2996" s="12" t="n"/>
      <c r="V2996" s="14">
        <f>IF($AN2996="",IF($B2996="","",$H2996),IF(INDEX(職員マスタ!$B$6:$B$405,$AN2996)="",$H2996,INDEX(職員マスタ!$B$6:$B$405,$AN2996)))</f>
        <v/>
      </c>
      <c r="W2996" s="14">
        <f>IF($AN2996="",IF($B2996="","",$R2996),IF(INDEX(職員マスタ!$C$6:$C$405,$AN2996)="",$R2996,INDEX(職員マスタ!$C$6:$C$405,$AN2996)))</f>
        <v/>
      </c>
      <c r="X2996" s="14">
        <f>IF($AO2996="","","R"&amp;$C2996&amp;"."&amp;$D2996)</f>
        <v/>
      </c>
      <c r="Y2996" s="15">
        <f>IF($AN2996="","",IF(INDEX(職員マスタ!$K$6:$K$405,$AN2996)="","",INDEX(職員マスタ!$K$6:$K$405,$AN2996)))</f>
        <v/>
      </c>
      <c r="Z2996" s="14">
        <f>IF(OR($E2996="",$Y2996=""),"",IF($E2996&gt;=$Y2996,"×",IF($E2996&gt;=$Y2996*設定!$C$5,"△","○")))</f>
        <v/>
      </c>
      <c r="AA2996" s="15">
        <f>IF($Z2996="","",IF($Z2996="×",0,IF($Z2996="○",ROUNDDOWN($E2996*設定!$C$4,0),ROUNDDOWN($E2996*ROUND((9*$Y2996-9*$E2996)/(10*$E2996),4),0))))</f>
        <v/>
      </c>
      <c r="AB2996" s="13" t="n"/>
      <c r="AC2996" s="15">
        <f>IF($B2996="","",IF($AB2996&lt;&gt;"",$AB2996,IF($AA2996="","",IF($AA2996&lt;=設定!$C$3,0,$AA2996))))</f>
        <v/>
      </c>
      <c r="AD2996" s="14">
        <f>IF($B2996="","",IF(AND($AE2996&lt;&gt;"",$AG2996="",$AJ2996=""),"保留中",IF($AJ2996&lt;&gt;"",IF(N($AC2996)&gt;0,"支給済","不支給"),IF($AC2996="","要確認",IF($AC2996=0,"不支給","未処理")))))</f>
        <v/>
      </c>
      <c r="AE2996" s="12" t="n"/>
      <c r="AF2996" s="11" t="n"/>
      <c r="AG2996" s="11" t="n"/>
      <c r="AH2996" s="11" t="n"/>
      <c r="AI2996" s="14">
        <f>IF(AND($AD2996="保留中",$AF2996&lt;&gt;""),TODAY()-$AF2996,"")</f>
        <v/>
      </c>
      <c r="AJ2996" s="12" t="n"/>
      <c r="AK2996" s="14">
        <f>IF($B2996="","",IF($AO2996="","対象年月が未入力／","")&amp;IF($B2996="","",IF($AN2996="","職員マスタに未登録の職員番号／",IF($Y2996="","標準報酬月額が未登録／","")&amp;IF(AND($AO2996&lt;&gt;"",OR(AND(INDEX(職員マスタ!$G$6:$G$405,$AN2996)&lt;&gt;"",INDEX(職員マスタ!$G$6:$G$405,$AN2996)&gt;EOMONTH($AO2996,0)),AND(INDEX(職員マスタ!$H$6:$H$405,$AN2996)&lt;&gt;"",INDEX(職員マスタ!$H$6:$H$405,$AN2996)&lt;$AO2996))),"対象月が時短期間外／","")&amp;IF(AND(INDEX(職員マスタ!$F$6:$F$405,$AN2996)&lt;&gt;"",$AO2996&lt;&gt;"",INDEX(職員マスタ!$F$6:$F$405,$AN2996)&lt;$AO2996),"対象月に子が2歳到達済／","")&amp;IF(AND($H2996&lt;&gt;"",INDEX(職員マスタ!$B$6:$B$405,$AN2996)&lt;&gt;"",SUBSTITUTE(SUBSTITUTE($H2996," ","")," ","")&lt;&gt;SUBSTITUTE(SUBSTITUTE(INDEX(職員マスタ!$B$6:$B$405,$AN2996)," ","")," ","")),"氏名がマスタと相違／","")&amp;IF(AND($Q2996&lt;&gt;"",INDEX(職員マスタ!$E$6:$E$405,$AN2996)&lt;&gt;"",$Q2996&lt;&gt;INDEX(職員マスタ!$E$6:$E$405,$AN2996)),"子の生年月日がマスタと相違／","")&amp;IF(AND($L2996&lt;&gt;"",INDEX(職員マスタ!$G$6:$G$405,$AN2996)&lt;&gt;"",$L2996&lt;&gt;INDEX(職員マスタ!$G$6:$G$405,$AN2996)),"時短開始日がマスタと相違／","")&amp;IF(AND($M2996&lt;&gt;"",INDEX(職員マスタ!$H$6:$H$405,$AN2996)&lt;&gt;"",$M2996&lt;&gt;INDEX(職員マスタ!$H$6:$H$405,$AN2996)),"時短終了日がマスタと相違／","")))&amp;IF(AND($B2996&lt;&gt;"",$E2996=""),"報酬額が未入力／","")&amp;IF(N($U2996)&gt;0,"申請書に入力エラーが残っています／","")&amp;IF(AND($B2996&lt;&gt;"",$AO2996&lt;&gt;""),IF(COUNTIFS($B$6:$B$3005,$B2996,$C$6:$C$3005,$C2996,$D$6:$D$3005,$D2996)&gt;1,"同じ月の請求が重複しています／",""),"")&amp;IF(AND(N($E2996)&gt;0,$Z2996&lt;&gt;"",$Z2996&lt;&gt;"×",$AC2996=0,$AB2996=""),"計算額が下限以下のため不支給／",""))</f>
        <v/>
      </c>
      <c r="AL2996" s="12" t="n"/>
      <c r="AM2996" s="14">
        <f>IF($AD2996="保留中",COUNTIF($AD$6:$AD2996,"保留中"),"")</f>
        <v/>
      </c>
      <c r="AN2996" s="14">
        <f>IF($AO2996="","",IF(SUMPRODUCT(MAX((職員マスタ!$A$6:$A$405=$B2996)*(((職員マスタ!$G$6:$G$405="")+(職員マスタ!$G$6:$G$405&lt;=EOMONTH($AO2996,0)))&gt;0)*(((職員マスタ!$H$6:$H$405="")+(職員マスタ!$H$6:$H$405&gt;=$AO2996))&gt;0)*(ROW(職員マスタ!$A$6:$A$405)-5)))&gt;0,SUMPRODUCT(MAX((職員マスタ!$A$6:$A$405=$B2996)*(((職員マスタ!$G$6:$G$405="")+(職員マスタ!$G$6:$G$405&lt;=EOMONTH($AO2996,0)))&gt;0)*(((職員マスタ!$H$6:$H$405="")+(職員マスタ!$H$6:$H$405&gt;=$AO2996))&gt;0)*(ROW(職員マスタ!$A$6:$A$405)-5))),IFERROR(MATCH($B2996,職員マスタ!$A$6:$A$405,0),"")))</f>
        <v/>
      </c>
      <c r="AO2996" s="16">
        <f>IF(OR($B2996="",$C2996="",$D2996=""),"",DATE($C2996+2018,$D2996,1))</f>
        <v/>
      </c>
    </row>
    <row r="2997">
      <c r="A2997" s="11" t="n"/>
      <c r="B2997" s="12" t="n"/>
      <c r="C2997" s="12" t="n"/>
      <c r="D2997" s="12" t="n"/>
      <c r="E2997" s="13" t="n"/>
      <c r="F2997" s="12" t="n"/>
      <c r="G2997" s="13" t="n"/>
      <c r="H2997" s="12" t="n"/>
      <c r="I2997" s="12" t="n"/>
      <c r="J2997" s="12" t="n"/>
      <c r="K2997" s="12" t="n"/>
      <c r="L2997" s="11" t="n"/>
      <c r="M2997" s="11" t="n"/>
      <c r="N2997" s="11" t="n"/>
      <c r="O2997" s="11" t="n"/>
      <c r="P2997" s="12" t="n"/>
      <c r="Q2997" s="11" t="n"/>
      <c r="R2997" s="12" t="n"/>
      <c r="S2997" s="11" t="n"/>
      <c r="T2997" s="12" t="n"/>
      <c r="U2997" s="12" t="n"/>
      <c r="V2997" s="14">
        <f>IF($AN2997="",IF($B2997="","",$H2997),IF(INDEX(職員マスタ!$B$6:$B$405,$AN2997)="",$H2997,INDEX(職員マスタ!$B$6:$B$405,$AN2997)))</f>
        <v/>
      </c>
      <c r="W2997" s="14">
        <f>IF($AN2997="",IF($B2997="","",$R2997),IF(INDEX(職員マスタ!$C$6:$C$405,$AN2997)="",$R2997,INDEX(職員マスタ!$C$6:$C$405,$AN2997)))</f>
        <v/>
      </c>
      <c r="X2997" s="14">
        <f>IF($AO2997="","","R"&amp;$C2997&amp;"."&amp;$D2997)</f>
        <v/>
      </c>
      <c r="Y2997" s="15">
        <f>IF($AN2997="","",IF(INDEX(職員マスタ!$K$6:$K$405,$AN2997)="","",INDEX(職員マスタ!$K$6:$K$405,$AN2997)))</f>
        <v/>
      </c>
      <c r="Z2997" s="14">
        <f>IF(OR($E2997="",$Y2997=""),"",IF($E2997&gt;=$Y2997,"×",IF($E2997&gt;=$Y2997*設定!$C$5,"△","○")))</f>
        <v/>
      </c>
      <c r="AA2997" s="15">
        <f>IF($Z2997="","",IF($Z2997="×",0,IF($Z2997="○",ROUNDDOWN($E2997*設定!$C$4,0),ROUNDDOWN($E2997*ROUND((9*$Y2997-9*$E2997)/(10*$E2997),4),0))))</f>
        <v/>
      </c>
      <c r="AB2997" s="13" t="n"/>
      <c r="AC2997" s="15">
        <f>IF($B2997="","",IF($AB2997&lt;&gt;"",$AB2997,IF($AA2997="","",IF($AA2997&lt;=設定!$C$3,0,$AA2997))))</f>
        <v/>
      </c>
      <c r="AD2997" s="14">
        <f>IF($B2997="","",IF(AND($AE2997&lt;&gt;"",$AG2997="",$AJ2997=""),"保留中",IF($AJ2997&lt;&gt;"",IF(N($AC2997)&gt;0,"支給済","不支給"),IF($AC2997="","要確認",IF($AC2997=0,"不支給","未処理")))))</f>
        <v/>
      </c>
      <c r="AE2997" s="12" t="n"/>
      <c r="AF2997" s="11" t="n"/>
      <c r="AG2997" s="11" t="n"/>
      <c r="AH2997" s="11" t="n"/>
      <c r="AI2997" s="14">
        <f>IF(AND($AD2997="保留中",$AF2997&lt;&gt;""),TODAY()-$AF2997,"")</f>
        <v/>
      </c>
      <c r="AJ2997" s="12" t="n"/>
      <c r="AK2997" s="14">
        <f>IF($B2997="","",IF($AO2997="","対象年月が未入力／","")&amp;IF($B2997="","",IF($AN2997="","職員マスタに未登録の職員番号／",IF($Y2997="","標準報酬月額が未登録／","")&amp;IF(AND($AO2997&lt;&gt;"",OR(AND(INDEX(職員マスタ!$G$6:$G$405,$AN2997)&lt;&gt;"",INDEX(職員マスタ!$G$6:$G$405,$AN2997)&gt;EOMONTH($AO2997,0)),AND(INDEX(職員マスタ!$H$6:$H$405,$AN2997)&lt;&gt;"",INDEX(職員マスタ!$H$6:$H$405,$AN2997)&lt;$AO2997))),"対象月が時短期間外／","")&amp;IF(AND(INDEX(職員マスタ!$F$6:$F$405,$AN2997)&lt;&gt;"",$AO2997&lt;&gt;"",INDEX(職員マスタ!$F$6:$F$405,$AN2997)&lt;$AO2997),"対象月に子が2歳到達済／","")&amp;IF(AND($H2997&lt;&gt;"",INDEX(職員マスタ!$B$6:$B$405,$AN2997)&lt;&gt;"",SUBSTITUTE(SUBSTITUTE($H2997," ","")," ","")&lt;&gt;SUBSTITUTE(SUBSTITUTE(INDEX(職員マスタ!$B$6:$B$405,$AN2997)," ","")," ","")),"氏名がマスタと相違／","")&amp;IF(AND($Q2997&lt;&gt;"",INDEX(職員マスタ!$E$6:$E$405,$AN2997)&lt;&gt;"",$Q2997&lt;&gt;INDEX(職員マスタ!$E$6:$E$405,$AN2997)),"子の生年月日がマスタと相違／","")&amp;IF(AND($L2997&lt;&gt;"",INDEX(職員マスタ!$G$6:$G$405,$AN2997)&lt;&gt;"",$L2997&lt;&gt;INDEX(職員マスタ!$G$6:$G$405,$AN2997)),"時短開始日がマスタと相違／","")&amp;IF(AND($M2997&lt;&gt;"",INDEX(職員マスタ!$H$6:$H$405,$AN2997)&lt;&gt;"",$M2997&lt;&gt;INDEX(職員マスタ!$H$6:$H$405,$AN2997)),"時短終了日がマスタと相違／","")))&amp;IF(AND($B2997&lt;&gt;"",$E2997=""),"報酬額が未入力／","")&amp;IF(N($U2997)&gt;0,"申請書に入力エラーが残っています／","")&amp;IF(AND($B2997&lt;&gt;"",$AO2997&lt;&gt;""),IF(COUNTIFS($B$6:$B$3005,$B2997,$C$6:$C$3005,$C2997,$D$6:$D$3005,$D2997)&gt;1,"同じ月の請求が重複しています／",""),"")&amp;IF(AND(N($E2997)&gt;0,$Z2997&lt;&gt;"",$Z2997&lt;&gt;"×",$AC2997=0,$AB2997=""),"計算額が下限以下のため不支給／",""))</f>
        <v/>
      </c>
      <c r="AL2997" s="12" t="n"/>
      <c r="AM2997" s="14">
        <f>IF($AD2997="保留中",COUNTIF($AD$6:$AD2997,"保留中"),"")</f>
        <v/>
      </c>
      <c r="AN2997" s="14">
        <f>IF($AO2997="","",IF(SUMPRODUCT(MAX((職員マスタ!$A$6:$A$405=$B2997)*(((職員マスタ!$G$6:$G$405="")+(職員マスタ!$G$6:$G$405&lt;=EOMONTH($AO2997,0)))&gt;0)*(((職員マスタ!$H$6:$H$405="")+(職員マスタ!$H$6:$H$405&gt;=$AO2997))&gt;0)*(ROW(職員マスタ!$A$6:$A$405)-5)))&gt;0,SUMPRODUCT(MAX((職員マスタ!$A$6:$A$405=$B2997)*(((職員マスタ!$G$6:$G$405="")+(職員マスタ!$G$6:$G$405&lt;=EOMONTH($AO2997,0)))&gt;0)*(((職員マスタ!$H$6:$H$405="")+(職員マスタ!$H$6:$H$405&gt;=$AO2997))&gt;0)*(ROW(職員マスタ!$A$6:$A$405)-5))),IFERROR(MATCH($B2997,職員マスタ!$A$6:$A$405,0),"")))</f>
        <v/>
      </c>
      <c r="AO2997" s="16">
        <f>IF(OR($B2997="",$C2997="",$D2997=""),"",DATE($C2997+2018,$D2997,1))</f>
        <v/>
      </c>
    </row>
    <row r="2998">
      <c r="A2998" s="11" t="n"/>
      <c r="B2998" s="12" t="n"/>
      <c r="C2998" s="12" t="n"/>
      <c r="D2998" s="12" t="n"/>
      <c r="E2998" s="13" t="n"/>
      <c r="F2998" s="12" t="n"/>
      <c r="G2998" s="13" t="n"/>
      <c r="H2998" s="12" t="n"/>
      <c r="I2998" s="12" t="n"/>
      <c r="J2998" s="12" t="n"/>
      <c r="K2998" s="12" t="n"/>
      <c r="L2998" s="11" t="n"/>
      <c r="M2998" s="11" t="n"/>
      <c r="N2998" s="11" t="n"/>
      <c r="O2998" s="11" t="n"/>
      <c r="P2998" s="12" t="n"/>
      <c r="Q2998" s="11" t="n"/>
      <c r="R2998" s="12" t="n"/>
      <c r="S2998" s="11" t="n"/>
      <c r="T2998" s="12" t="n"/>
      <c r="U2998" s="12" t="n"/>
      <c r="V2998" s="14">
        <f>IF($AN2998="",IF($B2998="","",$H2998),IF(INDEX(職員マスタ!$B$6:$B$405,$AN2998)="",$H2998,INDEX(職員マスタ!$B$6:$B$405,$AN2998)))</f>
        <v/>
      </c>
      <c r="W2998" s="14">
        <f>IF($AN2998="",IF($B2998="","",$R2998),IF(INDEX(職員マスタ!$C$6:$C$405,$AN2998)="",$R2998,INDEX(職員マスタ!$C$6:$C$405,$AN2998)))</f>
        <v/>
      </c>
      <c r="X2998" s="14">
        <f>IF($AO2998="","","R"&amp;$C2998&amp;"."&amp;$D2998)</f>
        <v/>
      </c>
      <c r="Y2998" s="15">
        <f>IF($AN2998="","",IF(INDEX(職員マスタ!$K$6:$K$405,$AN2998)="","",INDEX(職員マスタ!$K$6:$K$405,$AN2998)))</f>
        <v/>
      </c>
      <c r="Z2998" s="14">
        <f>IF(OR($E2998="",$Y2998=""),"",IF($E2998&gt;=$Y2998,"×",IF($E2998&gt;=$Y2998*設定!$C$5,"△","○")))</f>
        <v/>
      </c>
      <c r="AA2998" s="15">
        <f>IF($Z2998="","",IF($Z2998="×",0,IF($Z2998="○",ROUNDDOWN($E2998*設定!$C$4,0),ROUNDDOWN($E2998*ROUND((9*$Y2998-9*$E2998)/(10*$E2998),4),0))))</f>
        <v/>
      </c>
      <c r="AB2998" s="13" t="n"/>
      <c r="AC2998" s="15">
        <f>IF($B2998="","",IF($AB2998&lt;&gt;"",$AB2998,IF($AA2998="","",IF($AA2998&lt;=設定!$C$3,0,$AA2998))))</f>
        <v/>
      </c>
      <c r="AD2998" s="14">
        <f>IF($B2998="","",IF(AND($AE2998&lt;&gt;"",$AG2998="",$AJ2998=""),"保留中",IF($AJ2998&lt;&gt;"",IF(N($AC2998)&gt;0,"支給済","不支給"),IF($AC2998="","要確認",IF($AC2998=0,"不支給","未処理")))))</f>
        <v/>
      </c>
      <c r="AE2998" s="12" t="n"/>
      <c r="AF2998" s="11" t="n"/>
      <c r="AG2998" s="11" t="n"/>
      <c r="AH2998" s="11" t="n"/>
      <c r="AI2998" s="14">
        <f>IF(AND($AD2998="保留中",$AF2998&lt;&gt;""),TODAY()-$AF2998,"")</f>
        <v/>
      </c>
      <c r="AJ2998" s="12" t="n"/>
      <c r="AK2998" s="14">
        <f>IF($B2998="","",IF($AO2998="","対象年月が未入力／","")&amp;IF($B2998="","",IF($AN2998="","職員マスタに未登録の職員番号／",IF($Y2998="","標準報酬月額が未登録／","")&amp;IF(AND($AO2998&lt;&gt;"",OR(AND(INDEX(職員マスタ!$G$6:$G$405,$AN2998)&lt;&gt;"",INDEX(職員マスタ!$G$6:$G$405,$AN2998)&gt;EOMONTH($AO2998,0)),AND(INDEX(職員マスタ!$H$6:$H$405,$AN2998)&lt;&gt;"",INDEX(職員マスタ!$H$6:$H$405,$AN2998)&lt;$AO2998))),"対象月が時短期間外／","")&amp;IF(AND(INDEX(職員マスタ!$F$6:$F$405,$AN2998)&lt;&gt;"",$AO2998&lt;&gt;"",INDEX(職員マスタ!$F$6:$F$405,$AN2998)&lt;$AO2998),"対象月に子が2歳到達済／","")&amp;IF(AND($H2998&lt;&gt;"",INDEX(職員マスタ!$B$6:$B$405,$AN2998)&lt;&gt;"",SUBSTITUTE(SUBSTITUTE($H2998," ","")," ","")&lt;&gt;SUBSTITUTE(SUBSTITUTE(INDEX(職員マスタ!$B$6:$B$405,$AN2998)," ","")," ","")),"氏名がマスタと相違／","")&amp;IF(AND($Q2998&lt;&gt;"",INDEX(職員マスタ!$E$6:$E$405,$AN2998)&lt;&gt;"",$Q2998&lt;&gt;INDEX(職員マスタ!$E$6:$E$405,$AN2998)),"子の生年月日がマスタと相違／","")&amp;IF(AND($L2998&lt;&gt;"",INDEX(職員マスタ!$G$6:$G$405,$AN2998)&lt;&gt;"",$L2998&lt;&gt;INDEX(職員マスタ!$G$6:$G$405,$AN2998)),"時短開始日がマスタと相違／","")&amp;IF(AND($M2998&lt;&gt;"",INDEX(職員マスタ!$H$6:$H$405,$AN2998)&lt;&gt;"",$M2998&lt;&gt;INDEX(職員マスタ!$H$6:$H$405,$AN2998)),"時短終了日がマスタと相違／","")))&amp;IF(AND($B2998&lt;&gt;"",$E2998=""),"報酬額が未入力／","")&amp;IF(N($U2998)&gt;0,"申請書に入力エラーが残っています／","")&amp;IF(AND($B2998&lt;&gt;"",$AO2998&lt;&gt;""),IF(COUNTIFS($B$6:$B$3005,$B2998,$C$6:$C$3005,$C2998,$D$6:$D$3005,$D2998)&gt;1,"同じ月の請求が重複しています／",""),"")&amp;IF(AND(N($E2998)&gt;0,$Z2998&lt;&gt;"",$Z2998&lt;&gt;"×",$AC2998=0,$AB2998=""),"計算額が下限以下のため不支給／",""))</f>
        <v/>
      </c>
      <c r="AL2998" s="12" t="n"/>
      <c r="AM2998" s="14">
        <f>IF($AD2998="保留中",COUNTIF($AD$6:$AD2998,"保留中"),"")</f>
        <v/>
      </c>
      <c r="AN2998" s="14">
        <f>IF($AO2998="","",IF(SUMPRODUCT(MAX((職員マスタ!$A$6:$A$405=$B2998)*(((職員マスタ!$G$6:$G$405="")+(職員マスタ!$G$6:$G$405&lt;=EOMONTH($AO2998,0)))&gt;0)*(((職員マスタ!$H$6:$H$405="")+(職員マスタ!$H$6:$H$405&gt;=$AO2998))&gt;0)*(ROW(職員マスタ!$A$6:$A$405)-5)))&gt;0,SUMPRODUCT(MAX((職員マスタ!$A$6:$A$405=$B2998)*(((職員マスタ!$G$6:$G$405="")+(職員マスタ!$G$6:$G$405&lt;=EOMONTH($AO2998,0)))&gt;0)*(((職員マスタ!$H$6:$H$405="")+(職員マスタ!$H$6:$H$405&gt;=$AO2998))&gt;0)*(ROW(職員マスタ!$A$6:$A$405)-5))),IFERROR(MATCH($B2998,職員マスタ!$A$6:$A$405,0),"")))</f>
        <v/>
      </c>
      <c r="AO2998" s="16">
        <f>IF(OR($B2998="",$C2998="",$D2998=""),"",DATE($C2998+2018,$D2998,1))</f>
        <v/>
      </c>
    </row>
    <row r="2999">
      <c r="A2999" s="11" t="n"/>
      <c r="B2999" s="12" t="n"/>
      <c r="C2999" s="12" t="n"/>
      <c r="D2999" s="12" t="n"/>
      <c r="E2999" s="13" t="n"/>
      <c r="F2999" s="12" t="n"/>
      <c r="G2999" s="13" t="n"/>
      <c r="H2999" s="12" t="n"/>
      <c r="I2999" s="12" t="n"/>
      <c r="J2999" s="12" t="n"/>
      <c r="K2999" s="12" t="n"/>
      <c r="L2999" s="11" t="n"/>
      <c r="M2999" s="11" t="n"/>
      <c r="N2999" s="11" t="n"/>
      <c r="O2999" s="11" t="n"/>
      <c r="P2999" s="12" t="n"/>
      <c r="Q2999" s="11" t="n"/>
      <c r="R2999" s="12" t="n"/>
      <c r="S2999" s="11" t="n"/>
      <c r="T2999" s="12" t="n"/>
      <c r="U2999" s="12" t="n"/>
      <c r="V2999" s="14">
        <f>IF($AN2999="",IF($B2999="","",$H2999),IF(INDEX(職員マスタ!$B$6:$B$405,$AN2999)="",$H2999,INDEX(職員マスタ!$B$6:$B$405,$AN2999)))</f>
        <v/>
      </c>
      <c r="W2999" s="14">
        <f>IF($AN2999="",IF($B2999="","",$R2999),IF(INDEX(職員マスタ!$C$6:$C$405,$AN2999)="",$R2999,INDEX(職員マスタ!$C$6:$C$405,$AN2999)))</f>
        <v/>
      </c>
      <c r="X2999" s="14">
        <f>IF($AO2999="","","R"&amp;$C2999&amp;"."&amp;$D2999)</f>
        <v/>
      </c>
      <c r="Y2999" s="15">
        <f>IF($AN2999="","",IF(INDEX(職員マスタ!$K$6:$K$405,$AN2999)="","",INDEX(職員マスタ!$K$6:$K$405,$AN2999)))</f>
        <v/>
      </c>
      <c r="Z2999" s="14">
        <f>IF(OR($E2999="",$Y2999=""),"",IF($E2999&gt;=$Y2999,"×",IF($E2999&gt;=$Y2999*設定!$C$5,"△","○")))</f>
        <v/>
      </c>
      <c r="AA2999" s="15">
        <f>IF($Z2999="","",IF($Z2999="×",0,IF($Z2999="○",ROUNDDOWN($E2999*設定!$C$4,0),ROUNDDOWN($E2999*ROUND((9*$Y2999-9*$E2999)/(10*$E2999),4),0))))</f>
        <v/>
      </c>
      <c r="AB2999" s="13" t="n"/>
      <c r="AC2999" s="15">
        <f>IF($B2999="","",IF($AB2999&lt;&gt;"",$AB2999,IF($AA2999="","",IF($AA2999&lt;=設定!$C$3,0,$AA2999))))</f>
        <v/>
      </c>
      <c r="AD2999" s="14">
        <f>IF($B2999="","",IF(AND($AE2999&lt;&gt;"",$AG2999="",$AJ2999=""),"保留中",IF($AJ2999&lt;&gt;"",IF(N($AC2999)&gt;0,"支給済","不支給"),IF($AC2999="","要確認",IF($AC2999=0,"不支給","未処理")))))</f>
        <v/>
      </c>
      <c r="AE2999" s="12" t="n"/>
      <c r="AF2999" s="11" t="n"/>
      <c r="AG2999" s="11" t="n"/>
      <c r="AH2999" s="11" t="n"/>
      <c r="AI2999" s="14">
        <f>IF(AND($AD2999="保留中",$AF2999&lt;&gt;""),TODAY()-$AF2999,"")</f>
        <v/>
      </c>
      <c r="AJ2999" s="12" t="n"/>
      <c r="AK2999" s="14">
        <f>IF($B2999="","",IF($AO2999="","対象年月が未入力／","")&amp;IF($B2999="","",IF($AN2999="","職員マスタに未登録の職員番号／",IF($Y2999="","標準報酬月額が未登録／","")&amp;IF(AND($AO2999&lt;&gt;"",OR(AND(INDEX(職員マスタ!$G$6:$G$405,$AN2999)&lt;&gt;"",INDEX(職員マスタ!$G$6:$G$405,$AN2999)&gt;EOMONTH($AO2999,0)),AND(INDEX(職員マスタ!$H$6:$H$405,$AN2999)&lt;&gt;"",INDEX(職員マスタ!$H$6:$H$405,$AN2999)&lt;$AO2999))),"対象月が時短期間外／","")&amp;IF(AND(INDEX(職員マスタ!$F$6:$F$405,$AN2999)&lt;&gt;"",$AO2999&lt;&gt;"",INDEX(職員マスタ!$F$6:$F$405,$AN2999)&lt;$AO2999),"対象月に子が2歳到達済／","")&amp;IF(AND($H2999&lt;&gt;"",INDEX(職員マスタ!$B$6:$B$405,$AN2999)&lt;&gt;"",SUBSTITUTE(SUBSTITUTE($H2999," ","")," ","")&lt;&gt;SUBSTITUTE(SUBSTITUTE(INDEX(職員マスタ!$B$6:$B$405,$AN2999)," ","")," ","")),"氏名がマスタと相違／","")&amp;IF(AND($Q2999&lt;&gt;"",INDEX(職員マスタ!$E$6:$E$405,$AN2999)&lt;&gt;"",$Q2999&lt;&gt;INDEX(職員マスタ!$E$6:$E$405,$AN2999)),"子の生年月日がマスタと相違／","")&amp;IF(AND($L2999&lt;&gt;"",INDEX(職員マスタ!$G$6:$G$405,$AN2999)&lt;&gt;"",$L2999&lt;&gt;INDEX(職員マスタ!$G$6:$G$405,$AN2999)),"時短開始日がマスタと相違／","")&amp;IF(AND($M2999&lt;&gt;"",INDEX(職員マスタ!$H$6:$H$405,$AN2999)&lt;&gt;"",$M2999&lt;&gt;INDEX(職員マスタ!$H$6:$H$405,$AN2999)),"時短終了日がマスタと相違／","")))&amp;IF(AND($B2999&lt;&gt;"",$E2999=""),"報酬額が未入力／","")&amp;IF(N($U2999)&gt;0,"申請書に入力エラーが残っています／","")&amp;IF(AND($B2999&lt;&gt;"",$AO2999&lt;&gt;""),IF(COUNTIFS($B$6:$B$3005,$B2999,$C$6:$C$3005,$C2999,$D$6:$D$3005,$D2999)&gt;1,"同じ月の請求が重複しています／",""),"")&amp;IF(AND(N($E2999)&gt;0,$Z2999&lt;&gt;"",$Z2999&lt;&gt;"×",$AC2999=0,$AB2999=""),"計算額が下限以下のため不支給／",""))</f>
        <v/>
      </c>
      <c r="AL2999" s="12" t="n"/>
      <c r="AM2999" s="14">
        <f>IF($AD2999="保留中",COUNTIF($AD$6:$AD2999,"保留中"),"")</f>
        <v/>
      </c>
      <c r="AN2999" s="14">
        <f>IF($AO2999="","",IF(SUMPRODUCT(MAX((職員マスタ!$A$6:$A$405=$B2999)*(((職員マスタ!$G$6:$G$405="")+(職員マスタ!$G$6:$G$405&lt;=EOMONTH($AO2999,0)))&gt;0)*(((職員マスタ!$H$6:$H$405="")+(職員マスタ!$H$6:$H$405&gt;=$AO2999))&gt;0)*(ROW(職員マスタ!$A$6:$A$405)-5)))&gt;0,SUMPRODUCT(MAX((職員マスタ!$A$6:$A$405=$B2999)*(((職員マスタ!$G$6:$G$405="")+(職員マスタ!$G$6:$G$405&lt;=EOMONTH($AO2999,0)))&gt;0)*(((職員マスタ!$H$6:$H$405="")+(職員マスタ!$H$6:$H$405&gt;=$AO2999))&gt;0)*(ROW(職員マスタ!$A$6:$A$405)-5))),IFERROR(MATCH($B2999,職員マスタ!$A$6:$A$405,0),"")))</f>
        <v/>
      </c>
      <c r="AO2999" s="16">
        <f>IF(OR($B2999="",$C2999="",$D2999=""),"",DATE($C2999+2018,$D2999,1))</f>
        <v/>
      </c>
    </row>
    <row r="3000">
      <c r="A3000" s="11" t="n"/>
      <c r="B3000" s="12" t="n"/>
      <c r="C3000" s="12" t="n"/>
      <c r="D3000" s="12" t="n"/>
      <c r="E3000" s="13" t="n"/>
      <c r="F3000" s="12" t="n"/>
      <c r="G3000" s="13" t="n"/>
      <c r="H3000" s="12" t="n"/>
      <c r="I3000" s="12" t="n"/>
      <c r="J3000" s="12" t="n"/>
      <c r="K3000" s="12" t="n"/>
      <c r="L3000" s="11" t="n"/>
      <c r="M3000" s="11" t="n"/>
      <c r="N3000" s="11" t="n"/>
      <c r="O3000" s="11" t="n"/>
      <c r="P3000" s="12" t="n"/>
      <c r="Q3000" s="11" t="n"/>
      <c r="R3000" s="12" t="n"/>
      <c r="S3000" s="11" t="n"/>
      <c r="T3000" s="12" t="n"/>
      <c r="U3000" s="12" t="n"/>
      <c r="V3000" s="14">
        <f>IF($AN3000="",IF($B3000="","",$H3000),IF(INDEX(職員マスタ!$B$6:$B$405,$AN3000)="",$H3000,INDEX(職員マスタ!$B$6:$B$405,$AN3000)))</f>
        <v/>
      </c>
      <c r="W3000" s="14">
        <f>IF($AN3000="",IF($B3000="","",$R3000),IF(INDEX(職員マスタ!$C$6:$C$405,$AN3000)="",$R3000,INDEX(職員マスタ!$C$6:$C$405,$AN3000)))</f>
        <v/>
      </c>
      <c r="X3000" s="14">
        <f>IF($AO3000="","","R"&amp;$C3000&amp;"."&amp;$D3000)</f>
        <v/>
      </c>
      <c r="Y3000" s="15">
        <f>IF($AN3000="","",IF(INDEX(職員マスタ!$K$6:$K$405,$AN3000)="","",INDEX(職員マスタ!$K$6:$K$405,$AN3000)))</f>
        <v/>
      </c>
      <c r="Z3000" s="14">
        <f>IF(OR($E3000="",$Y3000=""),"",IF($E3000&gt;=$Y3000,"×",IF($E3000&gt;=$Y3000*設定!$C$5,"△","○")))</f>
        <v/>
      </c>
      <c r="AA3000" s="15">
        <f>IF($Z3000="","",IF($Z3000="×",0,IF($Z3000="○",ROUNDDOWN($E3000*設定!$C$4,0),ROUNDDOWN($E3000*ROUND((9*$Y3000-9*$E3000)/(10*$E3000),4),0))))</f>
        <v/>
      </c>
      <c r="AB3000" s="13" t="n"/>
      <c r="AC3000" s="15">
        <f>IF($B3000="","",IF($AB3000&lt;&gt;"",$AB3000,IF($AA3000="","",IF($AA3000&lt;=設定!$C$3,0,$AA3000))))</f>
        <v/>
      </c>
      <c r="AD3000" s="14">
        <f>IF($B3000="","",IF(AND($AE3000&lt;&gt;"",$AG3000="",$AJ3000=""),"保留中",IF($AJ3000&lt;&gt;"",IF(N($AC3000)&gt;0,"支給済","不支給"),IF($AC3000="","要確認",IF($AC3000=0,"不支給","未処理")))))</f>
        <v/>
      </c>
      <c r="AE3000" s="12" t="n"/>
      <c r="AF3000" s="11" t="n"/>
      <c r="AG3000" s="11" t="n"/>
      <c r="AH3000" s="11" t="n"/>
      <c r="AI3000" s="14">
        <f>IF(AND($AD3000="保留中",$AF3000&lt;&gt;""),TODAY()-$AF3000,"")</f>
        <v/>
      </c>
      <c r="AJ3000" s="12" t="n"/>
      <c r="AK3000" s="14">
        <f>IF($B3000="","",IF($AO3000="","対象年月が未入力／","")&amp;IF($B3000="","",IF($AN3000="","職員マスタに未登録の職員番号／",IF($Y3000="","標準報酬月額が未登録／","")&amp;IF(AND($AO3000&lt;&gt;"",OR(AND(INDEX(職員マスタ!$G$6:$G$405,$AN3000)&lt;&gt;"",INDEX(職員マスタ!$G$6:$G$405,$AN3000)&gt;EOMONTH($AO3000,0)),AND(INDEX(職員マスタ!$H$6:$H$405,$AN3000)&lt;&gt;"",INDEX(職員マスタ!$H$6:$H$405,$AN3000)&lt;$AO3000))),"対象月が時短期間外／","")&amp;IF(AND(INDEX(職員マスタ!$F$6:$F$405,$AN3000)&lt;&gt;"",$AO3000&lt;&gt;"",INDEX(職員マスタ!$F$6:$F$405,$AN3000)&lt;$AO3000),"対象月に子が2歳到達済／","")&amp;IF(AND($H3000&lt;&gt;"",INDEX(職員マスタ!$B$6:$B$405,$AN3000)&lt;&gt;"",SUBSTITUTE(SUBSTITUTE($H3000," ","")," ","")&lt;&gt;SUBSTITUTE(SUBSTITUTE(INDEX(職員マスタ!$B$6:$B$405,$AN3000)," ","")," ","")),"氏名がマスタと相違／","")&amp;IF(AND($Q3000&lt;&gt;"",INDEX(職員マスタ!$E$6:$E$405,$AN3000)&lt;&gt;"",$Q3000&lt;&gt;INDEX(職員マスタ!$E$6:$E$405,$AN3000)),"子の生年月日がマスタと相違／","")&amp;IF(AND($L3000&lt;&gt;"",INDEX(職員マスタ!$G$6:$G$405,$AN3000)&lt;&gt;"",$L3000&lt;&gt;INDEX(職員マスタ!$G$6:$G$405,$AN3000)),"時短開始日がマスタと相違／","")&amp;IF(AND($M3000&lt;&gt;"",INDEX(職員マスタ!$H$6:$H$405,$AN3000)&lt;&gt;"",$M3000&lt;&gt;INDEX(職員マスタ!$H$6:$H$405,$AN3000)),"時短終了日がマスタと相違／","")))&amp;IF(AND($B3000&lt;&gt;"",$E3000=""),"報酬額が未入力／","")&amp;IF(N($U3000)&gt;0,"申請書に入力エラーが残っています／","")&amp;IF(AND($B3000&lt;&gt;"",$AO3000&lt;&gt;""),IF(COUNTIFS($B$6:$B$3005,$B3000,$C$6:$C$3005,$C3000,$D$6:$D$3005,$D3000)&gt;1,"同じ月の請求が重複しています／",""),"")&amp;IF(AND(N($E3000)&gt;0,$Z3000&lt;&gt;"",$Z3000&lt;&gt;"×",$AC3000=0,$AB3000=""),"計算額が下限以下のため不支給／",""))</f>
        <v/>
      </c>
      <c r="AL3000" s="12" t="n"/>
      <c r="AM3000" s="14">
        <f>IF($AD3000="保留中",COUNTIF($AD$6:$AD3000,"保留中"),"")</f>
        <v/>
      </c>
      <c r="AN3000" s="14">
        <f>IF($AO3000="","",IF(SUMPRODUCT(MAX((職員マスタ!$A$6:$A$405=$B3000)*(((職員マスタ!$G$6:$G$405="")+(職員マスタ!$G$6:$G$405&lt;=EOMONTH($AO3000,0)))&gt;0)*(((職員マスタ!$H$6:$H$405="")+(職員マスタ!$H$6:$H$405&gt;=$AO3000))&gt;0)*(ROW(職員マスタ!$A$6:$A$405)-5)))&gt;0,SUMPRODUCT(MAX((職員マスタ!$A$6:$A$405=$B3000)*(((職員マスタ!$G$6:$G$405="")+(職員マスタ!$G$6:$G$405&lt;=EOMONTH($AO3000,0)))&gt;0)*(((職員マスタ!$H$6:$H$405="")+(職員マスタ!$H$6:$H$405&gt;=$AO3000))&gt;0)*(ROW(職員マスタ!$A$6:$A$405)-5))),IFERROR(MATCH($B3000,職員マスタ!$A$6:$A$405,0),"")))</f>
        <v/>
      </c>
      <c r="AO3000" s="16">
        <f>IF(OR($B3000="",$C3000="",$D3000=""),"",DATE($C3000+2018,$D3000,1))</f>
        <v/>
      </c>
    </row>
    <row r="3001">
      <c r="A3001" s="11" t="n"/>
      <c r="B3001" s="12" t="n"/>
      <c r="C3001" s="12" t="n"/>
      <c r="D3001" s="12" t="n"/>
      <c r="E3001" s="13" t="n"/>
      <c r="F3001" s="12" t="n"/>
      <c r="G3001" s="13" t="n"/>
      <c r="H3001" s="12" t="n"/>
      <c r="I3001" s="12" t="n"/>
      <c r="J3001" s="12" t="n"/>
      <c r="K3001" s="12" t="n"/>
      <c r="L3001" s="11" t="n"/>
      <c r="M3001" s="11" t="n"/>
      <c r="N3001" s="11" t="n"/>
      <c r="O3001" s="11" t="n"/>
      <c r="P3001" s="12" t="n"/>
      <c r="Q3001" s="11" t="n"/>
      <c r="R3001" s="12" t="n"/>
      <c r="S3001" s="11" t="n"/>
      <c r="T3001" s="12" t="n"/>
      <c r="U3001" s="12" t="n"/>
      <c r="V3001" s="14">
        <f>IF($AN3001="",IF($B3001="","",$H3001),IF(INDEX(職員マスタ!$B$6:$B$405,$AN3001)="",$H3001,INDEX(職員マスタ!$B$6:$B$405,$AN3001)))</f>
        <v/>
      </c>
      <c r="W3001" s="14">
        <f>IF($AN3001="",IF($B3001="","",$R3001),IF(INDEX(職員マスタ!$C$6:$C$405,$AN3001)="",$R3001,INDEX(職員マスタ!$C$6:$C$405,$AN3001)))</f>
        <v/>
      </c>
      <c r="X3001" s="14">
        <f>IF($AO3001="","","R"&amp;$C3001&amp;"."&amp;$D3001)</f>
        <v/>
      </c>
      <c r="Y3001" s="15">
        <f>IF($AN3001="","",IF(INDEX(職員マスタ!$K$6:$K$405,$AN3001)="","",INDEX(職員マスタ!$K$6:$K$405,$AN3001)))</f>
        <v/>
      </c>
      <c r="Z3001" s="14">
        <f>IF(OR($E3001="",$Y3001=""),"",IF($E3001&gt;=$Y3001,"×",IF($E3001&gt;=$Y3001*設定!$C$5,"△","○")))</f>
        <v/>
      </c>
      <c r="AA3001" s="15">
        <f>IF($Z3001="","",IF($Z3001="×",0,IF($Z3001="○",ROUNDDOWN($E3001*設定!$C$4,0),ROUNDDOWN($E3001*ROUND((9*$Y3001-9*$E3001)/(10*$E3001),4),0))))</f>
        <v/>
      </c>
      <c r="AB3001" s="13" t="n"/>
      <c r="AC3001" s="15">
        <f>IF($B3001="","",IF($AB3001&lt;&gt;"",$AB3001,IF($AA3001="","",IF($AA3001&lt;=設定!$C$3,0,$AA3001))))</f>
        <v/>
      </c>
      <c r="AD3001" s="14">
        <f>IF($B3001="","",IF(AND($AE3001&lt;&gt;"",$AG3001="",$AJ3001=""),"保留中",IF($AJ3001&lt;&gt;"",IF(N($AC3001)&gt;0,"支給済","不支給"),IF($AC3001="","要確認",IF($AC3001=0,"不支給","未処理")))))</f>
        <v/>
      </c>
      <c r="AE3001" s="12" t="n"/>
      <c r="AF3001" s="11" t="n"/>
      <c r="AG3001" s="11" t="n"/>
      <c r="AH3001" s="11" t="n"/>
      <c r="AI3001" s="14">
        <f>IF(AND($AD3001="保留中",$AF3001&lt;&gt;""),TODAY()-$AF3001,"")</f>
        <v/>
      </c>
      <c r="AJ3001" s="12" t="n"/>
      <c r="AK3001" s="14">
        <f>IF($B3001="","",IF($AO3001="","対象年月が未入力／","")&amp;IF($B3001="","",IF($AN3001="","職員マスタに未登録の職員番号／",IF($Y3001="","標準報酬月額が未登録／","")&amp;IF(AND($AO3001&lt;&gt;"",OR(AND(INDEX(職員マスタ!$G$6:$G$405,$AN3001)&lt;&gt;"",INDEX(職員マスタ!$G$6:$G$405,$AN3001)&gt;EOMONTH($AO3001,0)),AND(INDEX(職員マスタ!$H$6:$H$405,$AN3001)&lt;&gt;"",INDEX(職員マスタ!$H$6:$H$405,$AN3001)&lt;$AO3001))),"対象月が時短期間外／","")&amp;IF(AND(INDEX(職員マスタ!$F$6:$F$405,$AN3001)&lt;&gt;"",$AO3001&lt;&gt;"",INDEX(職員マスタ!$F$6:$F$405,$AN3001)&lt;$AO3001),"対象月に子が2歳到達済／","")&amp;IF(AND($H3001&lt;&gt;"",INDEX(職員マスタ!$B$6:$B$405,$AN3001)&lt;&gt;"",SUBSTITUTE(SUBSTITUTE($H3001," ","")," ","")&lt;&gt;SUBSTITUTE(SUBSTITUTE(INDEX(職員マスタ!$B$6:$B$405,$AN3001)," ","")," ","")),"氏名がマスタと相違／","")&amp;IF(AND($Q3001&lt;&gt;"",INDEX(職員マスタ!$E$6:$E$405,$AN3001)&lt;&gt;"",$Q3001&lt;&gt;INDEX(職員マスタ!$E$6:$E$405,$AN3001)),"子の生年月日がマスタと相違／","")&amp;IF(AND($L3001&lt;&gt;"",INDEX(職員マスタ!$G$6:$G$405,$AN3001)&lt;&gt;"",$L3001&lt;&gt;INDEX(職員マスタ!$G$6:$G$405,$AN3001)),"時短開始日がマスタと相違／","")&amp;IF(AND($M3001&lt;&gt;"",INDEX(職員マスタ!$H$6:$H$405,$AN3001)&lt;&gt;"",$M3001&lt;&gt;INDEX(職員マスタ!$H$6:$H$405,$AN3001)),"時短終了日がマスタと相違／","")))&amp;IF(AND($B3001&lt;&gt;"",$E3001=""),"報酬額が未入力／","")&amp;IF(N($U3001)&gt;0,"申請書に入力エラーが残っています／","")&amp;IF(AND($B3001&lt;&gt;"",$AO3001&lt;&gt;""),IF(COUNTIFS($B$6:$B$3005,$B3001,$C$6:$C$3005,$C3001,$D$6:$D$3005,$D3001)&gt;1,"同じ月の請求が重複しています／",""),"")&amp;IF(AND(N($E3001)&gt;0,$Z3001&lt;&gt;"",$Z3001&lt;&gt;"×",$AC3001=0,$AB3001=""),"計算額が下限以下のため不支給／",""))</f>
        <v/>
      </c>
      <c r="AL3001" s="12" t="n"/>
      <c r="AM3001" s="14">
        <f>IF($AD3001="保留中",COUNTIF($AD$6:$AD3001,"保留中"),"")</f>
        <v/>
      </c>
      <c r="AN3001" s="14">
        <f>IF($AO3001="","",IF(SUMPRODUCT(MAX((職員マスタ!$A$6:$A$405=$B3001)*(((職員マスタ!$G$6:$G$405="")+(職員マスタ!$G$6:$G$405&lt;=EOMONTH($AO3001,0)))&gt;0)*(((職員マスタ!$H$6:$H$405="")+(職員マスタ!$H$6:$H$405&gt;=$AO3001))&gt;0)*(ROW(職員マスタ!$A$6:$A$405)-5)))&gt;0,SUMPRODUCT(MAX((職員マスタ!$A$6:$A$405=$B3001)*(((職員マスタ!$G$6:$G$405="")+(職員マスタ!$G$6:$G$405&lt;=EOMONTH($AO3001,0)))&gt;0)*(((職員マスタ!$H$6:$H$405="")+(職員マスタ!$H$6:$H$405&gt;=$AO3001))&gt;0)*(ROW(職員マスタ!$A$6:$A$405)-5))),IFERROR(MATCH($B3001,職員マスタ!$A$6:$A$405,0),"")))</f>
        <v/>
      </c>
      <c r="AO3001" s="16">
        <f>IF(OR($B3001="",$C3001="",$D3001=""),"",DATE($C3001+2018,$D3001,1))</f>
        <v/>
      </c>
    </row>
    <row r="3002">
      <c r="A3002" s="11" t="n"/>
      <c r="B3002" s="12" t="n"/>
      <c r="C3002" s="12" t="n"/>
      <c r="D3002" s="12" t="n"/>
      <c r="E3002" s="13" t="n"/>
      <c r="F3002" s="12" t="n"/>
      <c r="G3002" s="13" t="n"/>
      <c r="H3002" s="12" t="n"/>
      <c r="I3002" s="12" t="n"/>
      <c r="J3002" s="12" t="n"/>
      <c r="K3002" s="12" t="n"/>
      <c r="L3002" s="11" t="n"/>
      <c r="M3002" s="11" t="n"/>
      <c r="N3002" s="11" t="n"/>
      <c r="O3002" s="11" t="n"/>
      <c r="P3002" s="12" t="n"/>
      <c r="Q3002" s="11" t="n"/>
      <c r="R3002" s="12" t="n"/>
      <c r="S3002" s="11" t="n"/>
      <c r="T3002" s="12" t="n"/>
      <c r="U3002" s="12" t="n"/>
      <c r="V3002" s="14">
        <f>IF($AN3002="",IF($B3002="","",$H3002),IF(INDEX(職員マスタ!$B$6:$B$405,$AN3002)="",$H3002,INDEX(職員マスタ!$B$6:$B$405,$AN3002)))</f>
        <v/>
      </c>
      <c r="W3002" s="14">
        <f>IF($AN3002="",IF($B3002="","",$R3002),IF(INDEX(職員マスタ!$C$6:$C$405,$AN3002)="",$R3002,INDEX(職員マスタ!$C$6:$C$405,$AN3002)))</f>
        <v/>
      </c>
      <c r="X3002" s="14">
        <f>IF($AO3002="","","R"&amp;$C3002&amp;"."&amp;$D3002)</f>
        <v/>
      </c>
      <c r="Y3002" s="15">
        <f>IF($AN3002="","",IF(INDEX(職員マスタ!$K$6:$K$405,$AN3002)="","",INDEX(職員マスタ!$K$6:$K$405,$AN3002)))</f>
        <v/>
      </c>
      <c r="Z3002" s="14">
        <f>IF(OR($E3002="",$Y3002=""),"",IF($E3002&gt;=$Y3002,"×",IF($E3002&gt;=$Y3002*設定!$C$5,"△","○")))</f>
        <v/>
      </c>
      <c r="AA3002" s="15">
        <f>IF($Z3002="","",IF($Z3002="×",0,IF($Z3002="○",ROUNDDOWN($E3002*設定!$C$4,0),ROUNDDOWN($E3002*ROUND((9*$Y3002-9*$E3002)/(10*$E3002),4),0))))</f>
        <v/>
      </c>
      <c r="AB3002" s="13" t="n"/>
      <c r="AC3002" s="15">
        <f>IF($B3002="","",IF($AB3002&lt;&gt;"",$AB3002,IF($AA3002="","",IF($AA3002&lt;=設定!$C$3,0,$AA3002))))</f>
        <v/>
      </c>
      <c r="AD3002" s="14">
        <f>IF($B3002="","",IF(AND($AE3002&lt;&gt;"",$AG3002="",$AJ3002=""),"保留中",IF($AJ3002&lt;&gt;"",IF(N($AC3002)&gt;0,"支給済","不支給"),IF($AC3002="","要確認",IF($AC3002=0,"不支給","未処理")))))</f>
        <v/>
      </c>
      <c r="AE3002" s="12" t="n"/>
      <c r="AF3002" s="11" t="n"/>
      <c r="AG3002" s="11" t="n"/>
      <c r="AH3002" s="11" t="n"/>
      <c r="AI3002" s="14">
        <f>IF(AND($AD3002="保留中",$AF3002&lt;&gt;""),TODAY()-$AF3002,"")</f>
        <v/>
      </c>
      <c r="AJ3002" s="12" t="n"/>
      <c r="AK3002" s="14">
        <f>IF($B3002="","",IF($AO3002="","対象年月が未入力／","")&amp;IF($B3002="","",IF($AN3002="","職員マスタに未登録の職員番号／",IF($Y3002="","標準報酬月額が未登録／","")&amp;IF(AND($AO3002&lt;&gt;"",OR(AND(INDEX(職員マスタ!$G$6:$G$405,$AN3002)&lt;&gt;"",INDEX(職員マスタ!$G$6:$G$405,$AN3002)&gt;EOMONTH($AO3002,0)),AND(INDEX(職員マスタ!$H$6:$H$405,$AN3002)&lt;&gt;"",INDEX(職員マスタ!$H$6:$H$405,$AN3002)&lt;$AO3002))),"対象月が時短期間外／","")&amp;IF(AND(INDEX(職員マスタ!$F$6:$F$405,$AN3002)&lt;&gt;"",$AO3002&lt;&gt;"",INDEX(職員マスタ!$F$6:$F$405,$AN3002)&lt;$AO3002),"対象月に子が2歳到達済／","")&amp;IF(AND($H3002&lt;&gt;"",INDEX(職員マスタ!$B$6:$B$405,$AN3002)&lt;&gt;"",SUBSTITUTE(SUBSTITUTE($H3002," ","")," ","")&lt;&gt;SUBSTITUTE(SUBSTITUTE(INDEX(職員マスタ!$B$6:$B$405,$AN3002)," ","")," ","")),"氏名がマスタと相違／","")&amp;IF(AND($Q3002&lt;&gt;"",INDEX(職員マスタ!$E$6:$E$405,$AN3002)&lt;&gt;"",$Q3002&lt;&gt;INDEX(職員マスタ!$E$6:$E$405,$AN3002)),"子の生年月日がマスタと相違／","")&amp;IF(AND($L3002&lt;&gt;"",INDEX(職員マスタ!$G$6:$G$405,$AN3002)&lt;&gt;"",$L3002&lt;&gt;INDEX(職員マスタ!$G$6:$G$405,$AN3002)),"時短開始日がマスタと相違／","")&amp;IF(AND($M3002&lt;&gt;"",INDEX(職員マスタ!$H$6:$H$405,$AN3002)&lt;&gt;"",$M3002&lt;&gt;INDEX(職員マスタ!$H$6:$H$405,$AN3002)),"時短終了日がマスタと相違／","")))&amp;IF(AND($B3002&lt;&gt;"",$E3002=""),"報酬額が未入力／","")&amp;IF(N($U3002)&gt;0,"申請書に入力エラーが残っています／","")&amp;IF(AND($B3002&lt;&gt;"",$AO3002&lt;&gt;""),IF(COUNTIFS($B$6:$B$3005,$B3002,$C$6:$C$3005,$C3002,$D$6:$D$3005,$D3002)&gt;1,"同じ月の請求が重複しています／",""),"")&amp;IF(AND(N($E3002)&gt;0,$Z3002&lt;&gt;"",$Z3002&lt;&gt;"×",$AC3002=0,$AB3002=""),"計算額が下限以下のため不支給／",""))</f>
        <v/>
      </c>
      <c r="AL3002" s="12" t="n"/>
      <c r="AM3002" s="14">
        <f>IF($AD3002="保留中",COUNTIF($AD$6:$AD3002,"保留中"),"")</f>
        <v/>
      </c>
      <c r="AN3002" s="14">
        <f>IF($AO3002="","",IF(SUMPRODUCT(MAX((職員マスタ!$A$6:$A$405=$B3002)*(((職員マスタ!$G$6:$G$405="")+(職員マスタ!$G$6:$G$405&lt;=EOMONTH($AO3002,0)))&gt;0)*(((職員マスタ!$H$6:$H$405="")+(職員マスタ!$H$6:$H$405&gt;=$AO3002))&gt;0)*(ROW(職員マスタ!$A$6:$A$405)-5)))&gt;0,SUMPRODUCT(MAX((職員マスタ!$A$6:$A$405=$B3002)*(((職員マスタ!$G$6:$G$405="")+(職員マスタ!$G$6:$G$405&lt;=EOMONTH($AO3002,0)))&gt;0)*(((職員マスタ!$H$6:$H$405="")+(職員マスタ!$H$6:$H$405&gt;=$AO3002))&gt;0)*(ROW(職員マスタ!$A$6:$A$405)-5))),IFERROR(MATCH($B3002,職員マスタ!$A$6:$A$405,0),"")))</f>
        <v/>
      </c>
      <c r="AO3002" s="16">
        <f>IF(OR($B3002="",$C3002="",$D3002=""),"",DATE($C3002+2018,$D3002,1))</f>
        <v/>
      </c>
    </row>
    <row r="3003">
      <c r="A3003" s="11" t="n"/>
      <c r="B3003" s="12" t="n"/>
      <c r="C3003" s="12" t="n"/>
      <c r="D3003" s="12" t="n"/>
      <c r="E3003" s="13" t="n"/>
      <c r="F3003" s="12" t="n"/>
      <c r="G3003" s="13" t="n"/>
      <c r="H3003" s="12" t="n"/>
      <c r="I3003" s="12" t="n"/>
      <c r="J3003" s="12" t="n"/>
      <c r="K3003" s="12" t="n"/>
      <c r="L3003" s="11" t="n"/>
      <c r="M3003" s="11" t="n"/>
      <c r="N3003" s="11" t="n"/>
      <c r="O3003" s="11" t="n"/>
      <c r="P3003" s="12" t="n"/>
      <c r="Q3003" s="11" t="n"/>
      <c r="R3003" s="12" t="n"/>
      <c r="S3003" s="11" t="n"/>
      <c r="T3003" s="12" t="n"/>
      <c r="U3003" s="12" t="n"/>
      <c r="V3003" s="14">
        <f>IF($AN3003="",IF($B3003="","",$H3003),IF(INDEX(職員マスタ!$B$6:$B$405,$AN3003)="",$H3003,INDEX(職員マスタ!$B$6:$B$405,$AN3003)))</f>
        <v/>
      </c>
      <c r="W3003" s="14">
        <f>IF($AN3003="",IF($B3003="","",$R3003),IF(INDEX(職員マスタ!$C$6:$C$405,$AN3003)="",$R3003,INDEX(職員マスタ!$C$6:$C$405,$AN3003)))</f>
        <v/>
      </c>
      <c r="X3003" s="14">
        <f>IF($AO3003="","","R"&amp;$C3003&amp;"."&amp;$D3003)</f>
        <v/>
      </c>
      <c r="Y3003" s="15">
        <f>IF($AN3003="","",IF(INDEX(職員マスタ!$K$6:$K$405,$AN3003)="","",INDEX(職員マスタ!$K$6:$K$405,$AN3003)))</f>
        <v/>
      </c>
      <c r="Z3003" s="14">
        <f>IF(OR($E3003="",$Y3003=""),"",IF($E3003&gt;=$Y3003,"×",IF($E3003&gt;=$Y3003*設定!$C$5,"△","○")))</f>
        <v/>
      </c>
      <c r="AA3003" s="15">
        <f>IF($Z3003="","",IF($Z3003="×",0,IF($Z3003="○",ROUNDDOWN($E3003*設定!$C$4,0),ROUNDDOWN($E3003*ROUND((9*$Y3003-9*$E3003)/(10*$E3003),4),0))))</f>
        <v/>
      </c>
      <c r="AB3003" s="13" t="n"/>
      <c r="AC3003" s="15">
        <f>IF($B3003="","",IF($AB3003&lt;&gt;"",$AB3003,IF($AA3003="","",IF($AA3003&lt;=設定!$C$3,0,$AA3003))))</f>
        <v/>
      </c>
      <c r="AD3003" s="14">
        <f>IF($B3003="","",IF(AND($AE3003&lt;&gt;"",$AG3003="",$AJ3003=""),"保留中",IF($AJ3003&lt;&gt;"",IF(N($AC3003)&gt;0,"支給済","不支給"),IF($AC3003="","要確認",IF($AC3003=0,"不支給","未処理")))))</f>
        <v/>
      </c>
      <c r="AE3003" s="12" t="n"/>
      <c r="AF3003" s="11" t="n"/>
      <c r="AG3003" s="11" t="n"/>
      <c r="AH3003" s="11" t="n"/>
      <c r="AI3003" s="14">
        <f>IF(AND($AD3003="保留中",$AF3003&lt;&gt;""),TODAY()-$AF3003,"")</f>
        <v/>
      </c>
      <c r="AJ3003" s="12" t="n"/>
      <c r="AK3003" s="14">
        <f>IF($B3003="","",IF($AO3003="","対象年月が未入力／","")&amp;IF($B3003="","",IF($AN3003="","職員マスタに未登録の職員番号／",IF($Y3003="","標準報酬月額が未登録／","")&amp;IF(AND($AO3003&lt;&gt;"",OR(AND(INDEX(職員マスタ!$G$6:$G$405,$AN3003)&lt;&gt;"",INDEX(職員マスタ!$G$6:$G$405,$AN3003)&gt;EOMONTH($AO3003,0)),AND(INDEX(職員マスタ!$H$6:$H$405,$AN3003)&lt;&gt;"",INDEX(職員マスタ!$H$6:$H$405,$AN3003)&lt;$AO3003))),"対象月が時短期間外／","")&amp;IF(AND(INDEX(職員マスタ!$F$6:$F$405,$AN3003)&lt;&gt;"",$AO3003&lt;&gt;"",INDEX(職員マスタ!$F$6:$F$405,$AN3003)&lt;$AO3003),"対象月に子が2歳到達済／","")&amp;IF(AND($H3003&lt;&gt;"",INDEX(職員マスタ!$B$6:$B$405,$AN3003)&lt;&gt;"",SUBSTITUTE(SUBSTITUTE($H3003," ","")," ","")&lt;&gt;SUBSTITUTE(SUBSTITUTE(INDEX(職員マスタ!$B$6:$B$405,$AN3003)," ","")," ","")),"氏名がマスタと相違／","")&amp;IF(AND($Q3003&lt;&gt;"",INDEX(職員マスタ!$E$6:$E$405,$AN3003)&lt;&gt;"",$Q3003&lt;&gt;INDEX(職員マスタ!$E$6:$E$405,$AN3003)),"子の生年月日がマスタと相違／","")&amp;IF(AND($L3003&lt;&gt;"",INDEX(職員マスタ!$G$6:$G$405,$AN3003)&lt;&gt;"",$L3003&lt;&gt;INDEX(職員マスタ!$G$6:$G$405,$AN3003)),"時短開始日がマスタと相違／","")&amp;IF(AND($M3003&lt;&gt;"",INDEX(職員マスタ!$H$6:$H$405,$AN3003)&lt;&gt;"",$M3003&lt;&gt;INDEX(職員マスタ!$H$6:$H$405,$AN3003)),"時短終了日がマスタと相違／","")))&amp;IF(AND($B3003&lt;&gt;"",$E3003=""),"報酬額が未入力／","")&amp;IF(N($U3003)&gt;0,"申請書に入力エラーが残っています／","")&amp;IF(AND($B3003&lt;&gt;"",$AO3003&lt;&gt;""),IF(COUNTIFS($B$6:$B$3005,$B3003,$C$6:$C$3005,$C3003,$D$6:$D$3005,$D3003)&gt;1,"同じ月の請求が重複しています／",""),"")&amp;IF(AND(N($E3003)&gt;0,$Z3003&lt;&gt;"",$Z3003&lt;&gt;"×",$AC3003=0,$AB3003=""),"計算額が下限以下のため不支給／",""))</f>
        <v/>
      </c>
      <c r="AL3003" s="12" t="n"/>
      <c r="AM3003" s="14">
        <f>IF($AD3003="保留中",COUNTIF($AD$6:$AD3003,"保留中"),"")</f>
        <v/>
      </c>
      <c r="AN3003" s="14">
        <f>IF($AO3003="","",IF(SUMPRODUCT(MAX((職員マスタ!$A$6:$A$405=$B3003)*(((職員マスタ!$G$6:$G$405="")+(職員マスタ!$G$6:$G$405&lt;=EOMONTH($AO3003,0)))&gt;0)*(((職員マスタ!$H$6:$H$405="")+(職員マスタ!$H$6:$H$405&gt;=$AO3003))&gt;0)*(ROW(職員マスタ!$A$6:$A$405)-5)))&gt;0,SUMPRODUCT(MAX((職員マスタ!$A$6:$A$405=$B3003)*(((職員マスタ!$G$6:$G$405="")+(職員マスタ!$G$6:$G$405&lt;=EOMONTH($AO3003,0)))&gt;0)*(((職員マスタ!$H$6:$H$405="")+(職員マスタ!$H$6:$H$405&gt;=$AO3003))&gt;0)*(ROW(職員マスタ!$A$6:$A$405)-5))),IFERROR(MATCH($B3003,職員マスタ!$A$6:$A$405,0),"")))</f>
        <v/>
      </c>
      <c r="AO3003" s="16">
        <f>IF(OR($B3003="",$C3003="",$D3003=""),"",DATE($C3003+2018,$D3003,1))</f>
        <v/>
      </c>
    </row>
    <row r="3004">
      <c r="A3004" s="11" t="n"/>
      <c r="B3004" s="12" t="n"/>
      <c r="C3004" s="12" t="n"/>
      <c r="D3004" s="12" t="n"/>
      <c r="E3004" s="13" t="n"/>
      <c r="F3004" s="12" t="n"/>
      <c r="G3004" s="13" t="n"/>
      <c r="H3004" s="12" t="n"/>
      <c r="I3004" s="12" t="n"/>
      <c r="J3004" s="12" t="n"/>
      <c r="K3004" s="12" t="n"/>
      <c r="L3004" s="11" t="n"/>
      <c r="M3004" s="11" t="n"/>
      <c r="N3004" s="11" t="n"/>
      <c r="O3004" s="11" t="n"/>
      <c r="P3004" s="12" t="n"/>
      <c r="Q3004" s="11" t="n"/>
      <c r="R3004" s="12" t="n"/>
      <c r="S3004" s="11" t="n"/>
      <c r="T3004" s="12" t="n"/>
      <c r="U3004" s="12" t="n"/>
      <c r="V3004" s="14">
        <f>IF($AN3004="",IF($B3004="","",$H3004),IF(INDEX(職員マスタ!$B$6:$B$405,$AN3004)="",$H3004,INDEX(職員マスタ!$B$6:$B$405,$AN3004)))</f>
        <v/>
      </c>
      <c r="W3004" s="14">
        <f>IF($AN3004="",IF($B3004="","",$R3004),IF(INDEX(職員マスタ!$C$6:$C$405,$AN3004)="",$R3004,INDEX(職員マスタ!$C$6:$C$405,$AN3004)))</f>
        <v/>
      </c>
      <c r="X3004" s="14">
        <f>IF($AO3004="","","R"&amp;$C3004&amp;"."&amp;$D3004)</f>
        <v/>
      </c>
      <c r="Y3004" s="15">
        <f>IF($AN3004="","",IF(INDEX(職員マスタ!$K$6:$K$405,$AN3004)="","",INDEX(職員マスタ!$K$6:$K$405,$AN3004)))</f>
        <v/>
      </c>
      <c r="Z3004" s="14">
        <f>IF(OR($E3004="",$Y3004=""),"",IF($E3004&gt;=$Y3004,"×",IF($E3004&gt;=$Y3004*設定!$C$5,"△","○")))</f>
        <v/>
      </c>
      <c r="AA3004" s="15">
        <f>IF($Z3004="","",IF($Z3004="×",0,IF($Z3004="○",ROUNDDOWN($E3004*設定!$C$4,0),ROUNDDOWN($E3004*ROUND((9*$Y3004-9*$E3004)/(10*$E3004),4),0))))</f>
        <v/>
      </c>
      <c r="AB3004" s="13" t="n"/>
      <c r="AC3004" s="15">
        <f>IF($B3004="","",IF($AB3004&lt;&gt;"",$AB3004,IF($AA3004="","",IF($AA3004&lt;=設定!$C$3,0,$AA3004))))</f>
        <v/>
      </c>
      <c r="AD3004" s="14">
        <f>IF($B3004="","",IF(AND($AE3004&lt;&gt;"",$AG3004="",$AJ3004=""),"保留中",IF($AJ3004&lt;&gt;"",IF(N($AC3004)&gt;0,"支給済","不支給"),IF($AC3004="","要確認",IF($AC3004=0,"不支給","未処理")))))</f>
        <v/>
      </c>
      <c r="AE3004" s="12" t="n"/>
      <c r="AF3004" s="11" t="n"/>
      <c r="AG3004" s="11" t="n"/>
      <c r="AH3004" s="11" t="n"/>
      <c r="AI3004" s="14">
        <f>IF(AND($AD3004="保留中",$AF3004&lt;&gt;""),TODAY()-$AF3004,"")</f>
        <v/>
      </c>
      <c r="AJ3004" s="12" t="n"/>
      <c r="AK3004" s="14">
        <f>IF($B3004="","",IF($AO3004="","対象年月が未入力／","")&amp;IF($B3004="","",IF($AN3004="","職員マスタに未登録の職員番号／",IF($Y3004="","標準報酬月額が未登録／","")&amp;IF(AND($AO3004&lt;&gt;"",OR(AND(INDEX(職員マスタ!$G$6:$G$405,$AN3004)&lt;&gt;"",INDEX(職員マスタ!$G$6:$G$405,$AN3004)&gt;EOMONTH($AO3004,0)),AND(INDEX(職員マスタ!$H$6:$H$405,$AN3004)&lt;&gt;"",INDEX(職員マスタ!$H$6:$H$405,$AN3004)&lt;$AO3004))),"対象月が時短期間外／","")&amp;IF(AND(INDEX(職員マスタ!$F$6:$F$405,$AN3004)&lt;&gt;"",$AO3004&lt;&gt;"",INDEX(職員マスタ!$F$6:$F$405,$AN3004)&lt;$AO3004),"対象月に子が2歳到達済／","")&amp;IF(AND($H3004&lt;&gt;"",INDEX(職員マスタ!$B$6:$B$405,$AN3004)&lt;&gt;"",SUBSTITUTE(SUBSTITUTE($H3004," ","")," ","")&lt;&gt;SUBSTITUTE(SUBSTITUTE(INDEX(職員マスタ!$B$6:$B$405,$AN3004)," ","")," ","")),"氏名がマスタと相違／","")&amp;IF(AND($Q3004&lt;&gt;"",INDEX(職員マスタ!$E$6:$E$405,$AN3004)&lt;&gt;"",$Q3004&lt;&gt;INDEX(職員マスタ!$E$6:$E$405,$AN3004)),"子の生年月日がマスタと相違／","")&amp;IF(AND($L3004&lt;&gt;"",INDEX(職員マスタ!$G$6:$G$405,$AN3004)&lt;&gt;"",$L3004&lt;&gt;INDEX(職員マスタ!$G$6:$G$405,$AN3004)),"時短開始日がマスタと相違／","")&amp;IF(AND($M3004&lt;&gt;"",INDEX(職員マスタ!$H$6:$H$405,$AN3004)&lt;&gt;"",$M3004&lt;&gt;INDEX(職員マスタ!$H$6:$H$405,$AN3004)),"時短終了日がマスタと相違／","")))&amp;IF(AND($B3004&lt;&gt;"",$E3004=""),"報酬額が未入力／","")&amp;IF(N($U3004)&gt;0,"申請書に入力エラーが残っています／","")&amp;IF(AND($B3004&lt;&gt;"",$AO3004&lt;&gt;""),IF(COUNTIFS($B$6:$B$3005,$B3004,$C$6:$C$3005,$C3004,$D$6:$D$3005,$D3004)&gt;1,"同じ月の請求が重複しています／",""),"")&amp;IF(AND(N($E3004)&gt;0,$Z3004&lt;&gt;"",$Z3004&lt;&gt;"×",$AC3004=0,$AB3004=""),"計算額が下限以下のため不支給／",""))</f>
        <v/>
      </c>
      <c r="AL3004" s="12" t="n"/>
      <c r="AM3004" s="14">
        <f>IF($AD3004="保留中",COUNTIF($AD$6:$AD3004,"保留中"),"")</f>
        <v/>
      </c>
      <c r="AN3004" s="14">
        <f>IF($AO3004="","",IF(SUMPRODUCT(MAX((職員マスタ!$A$6:$A$405=$B3004)*(((職員マスタ!$G$6:$G$405="")+(職員マスタ!$G$6:$G$405&lt;=EOMONTH($AO3004,0)))&gt;0)*(((職員マスタ!$H$6:$H$405="")+(職員マスタ!$H$6:$H$405&gt;=$AO3004))&gt;0)*(ROW(職員マスタ!$A$6:$A$405)-5)))&gt;0,SUMPRODUCT(MAX((職員マスタ!$A$6:$A$405=$B3004)*(((職員マスタ!$G$6:$G$405="")+(職員マスタ!$G$6:$G$405&lt;=EOMONTH($AO3004,0)))&gt;0)*(((職員マスタ!$H$6:$H$405="")+(職員マスタ!$H$6:$H$405&gt;=$AO3004))&gt;0)*(ROW(職員マスタ!$A$6:$A$405)-5))),IFERROR(MATCH($B3004,職員マスタ!$A$6:$A$405,0),"")))</f>
        <v/>
      </c>
      <c r="AO3004" s="16">
        <f>IF(OR($B3004="",$C3004="",$D3004=""),"",DATE($C3004+2018,$D3004,1))</f>
        <v/>
      </c>
    </row>
    <row r="3005">
      <c r="A3005" s="11" t="n"/>
      <c r="B3005" s="12" t="n"/>
      <c r="C3005" s="12" t="n"/>
      <c r="D3005" s="12" t="n"/>
      <c r="E3005" s="13" t="n"/>
      <c r="F3005" s="12" t="n"/>
      <c r="G3005" s="13" t="n"/>
      <c r="H3005" s="12" t="n"/>
      <c r="I3005" s="12" t="n"/>
      <c r="J3005" s="12" t="n"/>
      <c r="K3005" s="12" t="n"/>
      <c r="L3005" s="11" t="n"/>
      <c r="M3005" s="11" t="n"/>
      <c r="N3005" s="11" t="n"/>
      <c r="O3005" s="11" t="n"/>
      <c r="P3005" s="12" t="n"/>
      <c r="Q3005" s="11" t="n"/>
      <c r="R3005" s="12" t="n"/>
      <c r="S3005" s="11" t="n"/>
      <c r="T3005" s="12" t="n"/>
      <c r="U3005" s="12" t="n"/>
      <c r="V3005" s="14">
        <f>IF($AN3005="",IF($B3005="","",$H3005),IF(INDEX(職員マスタ!$B$6:$B$405,$AN3005)="",$H3005,INDEX(職員マスタ!$B$6:$B$405,$AN3005)))</f>
        <v/>
      </c>
      <c r="W3005" s="14">
        <f>IF($AN3005="",IF($B3005="","",$R3005),IF(INDEX(職員マスタ!$C$6:$C$405,$AN3005)="",$R3005,INDEX(職員マスタ!$C$6:$C$405,$AN3005)))</f>
        <v/>
      </c>
      <c r="X3005" s="14">
        <f>IF($AO3005="","","R"&amp;$C3005&amp;"."&amp;$D3005)</f>
        <v/>
      </c>
      <c r="Y3005" s="15">
        <f>IF($AN3005="","",IF(INDEX(職員マスタ!$K$6:$K$405,$AN3005)="","",INDEX(職員マスタ!$K$6:$K$405,$AN3005)))</f>
        <v/>
      </c>
      <c r="Z3005" s="14">
        <f>IF(OR($E3005="",$Y3005=""),"",IF($E3005&gt;=$Y3005,"×",IF($E3005&gt;=$Y3005*設定!$C$5,"△","○")))</f>
        <v/>
      </c>
      <c r="AA3005" s="15">
        <f>IF($Z3005="","",IF($Z3005="×",0,IF($Z3005="○",ROUNDDOWN($E3005*設定!$C$4,0),ROUNDDOWN($E3005*ROUND((9*$Y3005-9*$E3005)/(10*$E3005),4),0))))</f>
        <v/>
      </c>
      <c r="AB3005" s="13" t="n"/>
      <c r="AC3005" s="15">
        <f>IF($B3005="","",IF($AB3005&lt;&gt;"",$AB3005,IF($AA3005="","",IF($AA3005&lt;=設定!$C$3,0,$AA3005))))</f>
        <v/>
      </c>
      <c r="AD3005" s="14">
        <f>IF($B3005="","",IF(AND($AE3005&lt;&gt;"",$AG3005="",$AJ3005=""),"保留中",IF($AJ3005&lt;&gt;"",IF(N($AC3005)&gt;0,"支給済","不支給"),IF($AC3005="","要確認",IF($AC3005=0,"不支給","未処理")))))</f>
        <v/>
      </c>
      <c r="AE3005" s="12" t="n"/>
      <c r="AF3005" s="11" t="n"/>
      <c r="AG3005" s="11" t="n"/>
      <c r="AH3005" s="11" t="n"/>
      <c r="AI3005" s="14">
        <f>IF(AND($AD3005="保留中",$AF3005&lt;&gt;""),TODAY()-$AF3005,"")</f>
        <v/>
      </c>
      <c r="AJ3005" s="12" t="n"/>
      <c r="AK3005" s="14">
        <f>IF($B3005="","",IF($AO3005="","対象年月が未入力／","")&amp;IF($B3005="","",IF($AN3005="","職員マスタに未登録の職員番号／",IF($Y3005="","標準報酬月額が未登録／","")&amp;IF(AND($AO3005&lt;&gt;"",OR(AND(INDEX(職員マスタ!$G$6:$G$405,$AN3005)&lt;&gt;"",INDEX(職員マスタ!$G$6:$G$405,$AN3005)&gt;EOMONTH($AO3005,0)),AND(INDEX(職員マスタ!$H$6:$H$405,$AN3005)&lt;&gt;"",INDEX(職員マスタ!$H$6:$H$405,$AN3005)&lt;$AO3005))),"対象月が時短期間外／","")&amp;IF(AND(INDEX(職員マスタ!$F$6:$F$405,$AN3005)&lt;&gt;"",$AO3005&lt;&gt;"",INDEX(職員マスタ!$F$6:$F$405,$AN3005)&lt;$AO3005),"対象月に子が2歳到達済／","")&amp;IF(AND($H3005&lt;&gt;"",INDEX(職員マスタ!$B$6:$B$405,$AN3005)&lt;&gt;"",SUBSTITUTE(SUBSTITUTE($H3005," ","")," ","")&lt;&gt;SUBSTITUTE(SUBSTITUTE(INDEX(職員マスタ!$B$6:$B$405,$AN3005)," ","")," ","")),"氏名がマスタと相違／","")&amp;IF(AND($Q3005&lt;&gt;"",INDEX(職員マスタ!$E$6:$E$405,$AN3005)&lt;&gt;"",$Q3005&lt;&gt;INDEX(職員マスタ!$E$6:$E$405,$AN3005)),"子の生年月日がマスタと相違／","")&amp;IF(AND($L3005&lt;&gt;"",INDEX(職員マスタ!$G$6:$G$405,$AN3005)&lt;&gt;"",$L3005&lt;&gt;INDEX(職員マスタ!$G$6:$G$405,$AN3005)),"時短開始日がマスタと相違／","")&amp;IF(AND($M3005&lt;&gt;"",INDEX(職員マスタ!$H$6:$H$405,$AN3005)&lt;&gt;"",$M3005&lt;&gt;INDEX(職員マスタ!$H$6:$H$405,$AN3005)),"時短終了日がマスタと相違／","")))&amp;IF(AND($B3005&lt;&gt;"",$E3005=""),"報酬額が未入力／","")&amp;IF(N($U3005)&gt;0,"申請書に入力エラーが残っています／","")&amp;IF(AND($B3005&lt;&gt;"",$AO3005&lt;&gt;""),IF(COUNTIFS($B$6:$B$3005,$B3005,$C$6:$C$3005,$C3005,$D$6:$D$3005,$D3005)&gt;1,"同じ月の請求が重複しています／",""),"")&amp;IF(AND(N($E3005)&gt;0,$Z3005&lt;&gt;"",$Z3005&lt;&gt;"×",$AC3005=0,$AB3005=""),"計算額が下限以下のため不支給／",""))</f>
        <v/>
      </c>
      <c r="AL3005" s="12" t="n"/>
      <c r="AM3005" s="14">
        <f>IF($AD3005="保留中",COUNTIF($AD$6:$AD3005,"保留中"),"")</f>
        <v/>
      </c>
      <c r="AN3005" s="14">
        <f>IF($AO3005="","",IF(SUMPRODUCT(MAX((職員マスタ!$A$6:$A$405=$B3005)*(((職員マスタ!$G$6:$G$405="")+(職員マスタ!$G$6:$G$405&lt;=EOMONTH($AO3005,0)))&gt;0)*(((職員マスタ!$H$6:$H$405="")+(職員マスタ!$H$6:$H$405&gt;=$AO3005))&gt;0)*(ROW(職員マスタ!$A$6:$A$405)-5)))&gt;0,SUMPRODUCT(MAX((職員マスタ!$A$6:$A$405=$B3005)*(((職員マスタ!$G$6:$G$405="")+(職員マスタ!$G$6:$G$405&lt;=EOMONTH($AO3005,0)))&gt;0)*(((職員マスタ!$H$6:$H$405="")+(職員マスタ!$H$6:$H$405&gt;=$AO3005))&gt;0)*(ROW(職員マスタ!$A$6:$A$405)-5))),IFERROR(MATCH($B3005,職員マスタ!$A$6:$A$405,0),"")))</f>
        <v/>
      </c>
      <c r="AO3005" s="16">
        <f>IF(OR($B3005="",$C3005="",$D3005=""),"",DATE($C3005+2018,$D3005,1))</f>
        <v/>
      </c>
    </row>
  </sheetData>
  <autoFilter ref="A5:AO3005"/>
  <conditionalFormatting sqref="A6:AL3005">
    <cfRule type="expression" priority="1" dxfId="0">
      <formula>$AD6="保留中"</formula>
    </cfRule>
    <cfRule type="expression" priority="2" dxfId="1">
      <formula>$AD6="要確認"</formula>
    </cfRule>
  </conditionalFormatting>
  <conditionalFormatting sqref="AK6:AK3005">
    <cfRule type="expression" priority="3" dxfId="2">
      <formula>LEN($AK6)&gt;0</formula>
    </cfRule>
  </conditionalFormatting>
  <conditionalFormatting sqref="AI6:AI3005">
    <cfRule type="expression" priority="4" dxfId="3">
      <formula>AND(ISNUMBER($AI6),$AI6&gt;設定!$C$7)</formula>
    </cfRule>
    <cfRule type="expression" priority="5" dxfId="4">
      <formula>AND(ISNUMBER($AI6),$AI6&gt;設定!$C$6)</formula>
    </cfRule>
  </conditionalFormatting>
  <conditionalFormatting sqref="Z6:Z3005">
    <cfRule type="expression" priority="6" dxfId="2">
      <formula>$Z6="×"</formula>
    </cfRule>
  </conditionalFormatting>
  <dataValidations count="2">
    <dataValidation sqref="AE6:AE3005" showDropDown="0" showInputMessage="0" showErrorMessage="0" allowBlank="1" type="list">
      <formula1>=設定!$F$3:$F$14</formula1>
    </dataValidation>
    <dataValidation sqref="AJ6:AJ3005" showDropDown="0" showInputMessage="0" showErrorMessage="1" allowBlank="1" errorTitle="支給月" error="一覧（例 R8.9）から選んでください。" type="list">
      <formula1>=設定!$H$3:$H$74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9"/>
  <sheetViews>
    <sheetView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26" customWidth="1" min="4" max="4"/>
    <col width="8" customWidth="1" min="5" max="5"/>
    <col width="11" customWidth="1" min="6" max="6"/>
    <col width="11" customWidth="1" min="7" max="7"/>
    <col width="22" customWidth="1" min="8" max="8"/>
    <col width="11" customWidth="1" min="9" max="9"/>
    <col width="8" customWidth="1" min="10" max="10"/>
    <col width="12" customWidth="1" min="11" max="11"/>
    <col width="40" customWidth="1" min="12" max="12"/>
    <col hidden="1" width="5" customWidth="1" min="13" max="13"/>
    <col width="26" customWidth="1" min="15" max="15"/>
    <col width="9" customWidth="1" min="16" max="16"/>
    <col width="9" customWidth="1" min="17" max="17"/>
  </cols>
  <sheetData>
    <row r="1">
      <c r="A1" s="5" t="inlineStr">
        <is>
          <t>保留一覧</t>
        </is>
      </c>
    </row>
    <row r="2">
      <c r="A2" s="6" t="inlineStr">
        <is>
          <t>「請求記録」で保留理由を入れて保留解消日・支給月が空の請求と、「職員マスタ」で保留中の職員を自動で一覧にします</t>
        </is>
      </c>
    </row>
    <row r="3">
      <c r="A3" s="17" t="inlineStr">
        <is>
          <t>保留中の請求</t>
        </is>
      </c>
      <c r="C3" s="17">
        <f>COUNTIF(請求記録!$AD$6:$AD$3005,"保留中")</f>
        <v/>
      </c>
      <c r="D3" s="17" t="inlineStr">
        <is>
          <t>件　決定見込額</t>
        </is>
      </c>
      <c r="F3" s="18">
        <f>SUMIFS(請求記録!$AC$6:$AC$3005,請求記録!$AD$6:$AD$3005,"保留中")</f>
        <v/>
      </c>
      <c r="G3" s="17" t="inlineStr">
        <is>
          <t>円　注意日数超</t>
        </is>
      </c>
      <c r="I3" s="17">
        <f>COUNTIF(請求記録!$AI$6:$AI$3005,"&gt;"&amp;設定!$C$6)</f>
        <v/>
      </c>
      <c r="J3" s="17" t="inlineStr">
        <is>
          <t>件　保留中の職員</t>
        </is>
      </c>
      <c r="L3" s="17">
        <f>COUNTIF(職員マスタ!$P$6:$P$405,"保留中")</f>
        <v/>
      </c>
      <c r="M3" s="17" t="inlineStr">
        <is>
          <t>人</t>
        </is>
      </c>
    </row>
    <row r="5" ht="34" customHeight="1">
      <c r="A5" s="8" t="inlineStr">
        <is>
          <t>No</t>
        </is>
      </c>
      <c r="B5" s="8" t="inlineStr">
        <is>
          <t>職員番号</t>
        </is>
      </c>
      <c r="C5" s="8" t="inlineStr">
        <is>
          <t>氏名</t>
        </is>
      </c>
      <c r="D5" s="8" t="inlineStr">
        <is>
          <t>所属</t>
        </is>
      </c>
      <c r="E5" s="8" t="inlineStr">
        <is>
          <t>対象月</t>
        </is>
      </c>
      <c r="F5" s="8" t="inlineStr">
        <is>
          <t>報酬額</t>
        </is>
      </c>
      <c r="G5" s="8" t="inlineStr">
        <is>
          <t>決定見込額</t>
        </is>
      </c>
      <c r="H5" s="8" t="inlineStr">
        <is>
          <t>保留理由</t>
        </is>
      </c>
      <c r="I5" s="8" t="inlineStr">
        <is>
          <t>保留開始日</t>
        </is>
      </c>
      <c r="J5" s="8" t="inlineStr">
        <is>
          <t>経過日数</t>
        </is>
      </c>
      <c r="K5" s="8" t="inlineStr">
        <is>
          <t>次回確認予定日</t>
        </is>
      </c>
      <c r="L5" s="8" t="inlineStr">
        <is>
          <t>備考</t>
        </is>
      </c>
      <c r="M5" s="8" t="inlineStr">
        <is>
          <t>行</t>
        </is>
      </c>
      <c r="O5" s="9" t="inlineStr">
        <is>
          <t>保留理由</t>
        </is>
      </c>
      <c r="P5" s="9" t="inlineStr">
        <is>
          <t>請求単位</t>
        </is>
      </c>
      <c r="Q5" s="9" t="inlineStr">
        <is>
          <t>職員単位</t>
        </is>
      </c>
    </row>
    <row r="6">
      <c r="A6">
        <f>IF($M6="","",1)</f>
        <v/>
      </c>
      <c r="B6">
        <f>IF($M6="","",IF(INDEX(請求記録!$B$6:$B$3005,$M6)="","",INDEX(請求記録!$B$6:$B$3005,$M6)))</f>
        <v/>
      </c>
      <c r="C6">
        <f>IF($M6="","",IF(INDEX(請求記録!$V$6:$V$3005,$M6)="","",INDEX(請求記録!$V$6:$V$3005,$M6)))</f>
        <v/>
      </c>
      <c r="D6">
        <f>IF($M6="","",IF(INDEX(請求記録!$W$6:$W$3005,$M6)="","",INDEX(請求記録!$W$6:$W$3005,$M6)))</f>
        <v/>
      </c>
      <c r="E6">
        <f>IF($M6="","",IF(INDEX(請求記録!$X$6:$X$3005,$M6)="","",INDEX(請求記録!$X$6:$X$3005,$M6)))</f>
        <v/>
      </c>
      <c r="F6" s="19">
        <f>IF($M6="","",IF(INDEX(請求記録!$E$6:$E$3005,$M6)="","",INDEX(請求記録!$E$6:$E$3005,$M6)))</f>
        <v/>
      </c>
      <c r="G6" s="19">
        <f>IF($M6="","",IF(INDEX(請求記録!$AC$6:$AC$3005,$M6)="","",INDEX(請求記録!$AC$6:$AC$3005,$M6)))</f>
        <v/>
      </c>
      <c r="H6">
        <f>IF($M6="","",IF(INDEX(請求記録!$AE$6:$AE$3005,$M6)="","",INDEX(請求記録!$AE$6:$AE$3005,$M6)))</f>
        <v/>
      </c>
      <c r="I6" s="20">
        <f>IF($M6="","",IF(INDEX(請求記録!$AF$6:$AF$3005,$M6)="","",INDEX(請求記録!$AF$6:$AF$3005,$M6)))</f>
        <v/>
      </c>
      <c r="J6">
        <f>IF($M6="","",IF(INDEX(請求記録!$AI$6:$AI$3005,$M6)="","",INDEX(請求記録!$AI$6:$AI$3005,$M6)))</f>
        <v/>
      </c>
      <c r="K6" s="20">
        <f>IF($M6="","",IF(INDEX(請求記録!$AH$6:$AH$3005,$M6)="","",INDEX(請求記録!$AH$6:$AH$3005,$M6)))</f>
        <v/>
      </c>
      <c r="L6">
        <f>IF($M6="","",IF(INDEX(請求記録!$AL$6:$AL$3005,$M6)="","",INDEX(請求記録!$AL$6:$AL$3005,$M6)))</f>
        <v/>
      </c>
      <c r="M6">
        <f>IFERROR(MATCH(1,請求記録!$AM$6:$AM$3005,0),"")</f>
        <v/>
      </c>
      <c r="O6">
        <f>IF(設定!F3="","",設定!F3)</f>
        <v/>
      </c>
      <c r="P6">
        <f>IF(O6="","",COUNTIFS(請求記録!$AE$6:$AE$3005,O6,請求記録!$AD$6:$AD$3005,"保留中"))</f>
        <v/>
      </c>
      <c r="Q6">
        <f>IF(O6="","",COUNTIFS(職員マスタ!$M$6:$M$405,O6,職員マスタ!$P$6:$P$405,"保留中"))</f>
        <v/>
      </c>
    </row>
    <row r="7">
      <c r="A7">
        <f>IF($M7="","",2)</f>
        <v/>
      </c>
      <c r="B7">
        <f>IF($M7="","",IF(INDEX(請求記録!$B$6:$B$3005,$M7)="","",INDEX(請求記録!$B$6:$B$3005,$M7)))</f>
        <v/>
      </c>
      <c r="C7">
        <f>IF($M7="","",IF(INDEX(請求記録!$V$6:$V$3005,$M7)="","",INDEX(請求記録!$V$6:$V$3005,$M7)))</f>
        <v/>
      </c>
      <c r="D7">
        <f>IF($M7="","",IF(INDEX(請求記録!$W$6:$W$3005,$M7)="","",INDEX(請求記録!$W$6:$W$3005,$M7)))</f>
        <v/>
      </c>
      <c r="E7">
        <f>IF($M7="","",IF(INDEX(請求記録!$X$6:$X$3005,$M7)="","",INDEX(請求記録!$X$6:$X$3005,$M7)))</f>
        <v/>
      </c>
      <c r="F7" s="19">
        <f>IF($M7="","",IF(INDEX(請求記録!$E$6:$E$3005,$M7)="","",INDEX(請求記録!$E$6:$E$3005,$M7)))</f>
        <v/>
      </c>
      <c r="G7" s="19">
        <f>IF($M7="","",IF(INDEX(請求記録!$AC$6:$AC$3005,$M7)="","",INDEX(請求記録!$AC$6:$AC$3005,$M7)))</f>
        <v/>
      </c>
      <c r="H7">
        <f>IF($M7="","",IF(INDEX(請求記録!$AE$6:$AE$3005,$M7)="","",INDEX(請求記録!$AE$6:$AE$3005,$M7)))</f>
        <v/>
      </c>
      <c r="I7" s="20">
        <f>IF($M7="","",IF(INDEX(請求記録!$AF$6:$AF$3005,$M7)="","",INDEX(請求記録!$AF$6:$AF$3005,$M7)))</f>
        <v/>
      </c>
      <c r="J7">
        <f>IF($M7="","",IF(INDEX(請求記録!$AI$6:$AI$3005,$M7)="","",INDEX(請求記録!$AI$6:$AI$3005,$M7)))</f>
        <v/>
      </c>
      <c r="K7" s="20">
        <f>IF($M7="","",IF(INDEX(請求記録!$AH$6:$AH$3005,$M7)="","",INDEX(請求記録!$AH$6:$AH$3005,$M7)))</f>
        <v/>
      </c>
      <c r="L7">
        <f>IF($M7="","",IF(INDEX(請求記録!$AL$6:$AL$3005,$M7)="","",INDEX(請求記録!$AL$6:$AL$3005,$M7)))</f>
        <v/>
      </c>
      <c r="M7">
        <f>IFERROR(MATCH(2,請求記録!$AM$6:$AM$3005,0),"")</f>
        <v/>
      </c>
      <c r="O7">
        <f>IF(設定!F4="","",設定!F4)</f>
        <v/>
      </c>
      <c r="P7">
        <f>IF(O7="","",COUNTIFS(請求記録!$AE$6:$AE$3005,O7,請求記録!$AD$6:$AD$3005,"保留中"))</f>
        <v/>
      </c>
      <c r="Q7">
        <f>IF(O7="","",COUNTIFS(職員マスタ!$M$6:$M$405,O7,職員マスタ!$P$6:$P$405,"保留中"))</f>
        <v/>
      </c>
    </row>
    <row r="8">
      <c r="A8">
        <f>IF($M8="","",3)</f>
        <v/>
      </c>
      <c r="B8">
        <f>IF($M8="","",IF(INDEX(請求記録!$B$6:$B$3005,$M8)="","",INDEX(請求記録!$B$6:$B$3005,$M8)))</f>
        <v/>
      </c>
      <c r="C8">
        <f>IF($M8="","",IF(INDEX(請求記録!$V$6:$V$3005,$M8)="","",INDEX(請求記録!$V$6:$V$3005,$M8)))</f>
        <v/>
      </c>
      <c r="D8">
        <f>IF($M8="","",IF(INDEX(請求記録!$W$6:$W$3005,$M8)="","",INDEX(請求記録!$W$6:$W$3005,$M8)))</f>
        <v/>
      </c>
      <c r="E8">
        <f>IF($M8="","",IF(INDEX(請求記録!$X$6:$X$3005,$M8)="","",INDEX(請求記録!$X$6:$X$3005,$M8)))</f>
        <v/>
      </c>
      <c r="F8" s="19">
        <f>IF($M8="","",IF(INDEX(請求記録!$E$6:$E$3005,$M8)="","",INDEX(請求記録!$E$6:$E$3005,$M8)))</f>
        <v/>
      </c>
      <c r="G8" s="19">
        <f>IF($M8="","",IF(INDEX(請求記録!$AC$6:$AC$3005,$M8)="","",INDEX(請求記録!$AC$6:$AC$3005,$M8)))</f>
        <v/>
      </c>
      <c r="H8">
        <f>IF($M8="","",IF(INDEX(請求記録!$AE$6:$AE$3005,$M8)="","",INDEX(請求記録!$AE$6:$AE$3005,$M8)))</f>
        <v/>
      </c>
      <c r="I8" s="20">
        <f>IF($M8="","",IF(INDEX(請求記録!$AF$6:$AF$3005,$M8)="","",INDEX(請求記録!$AF$6:$AF$3005,$M8)))</f>
        <v/>
      </c>
      <c r="J8">
        <f>IF($M8="","",IF(INDEX(請求記録!$AI$6:$AI$3005,$M8)="","",INDEX(請求記録!$AI$6:$AI$3005,$M8)))</f>
        <v/>
      </c>
      <c r="K8" s="20">
        <f>IF($M8="","",IF(INDEX(請求記録!$AH$6:$AH$3005,$M8)="","",INDEX(請求記録!$AH$6:$AH$3005,$M8)))</f>
        <v/>
      </c>
      <c r="L8">
        <f>IF($M8="","",IF(INDEX(請求記録!$AL$6:$AL$3005,$M8)="","",INDEX(請求記録!$AL$6:$AL$3005,$M8)))</f>
        <v/>
      </c>
      <c r="M8">
        <f>IFERROR(MATCH(3,請求記録!$AM$6:$AM$3005,0),"")</f>
        <v/>
      </c>
      <c r="O8">
        <f>IF(設定!F5="","",設定!F5)</f>
        <v/>
      </c>
      <c r="P8">
        <f>IF(O8="","",COUNTIFS(請求記録!$AE$6:$AE$3005,O8,請求記録!$AD$6:$AD$3005,"保留中"))</f>
        <v/>
      </c>
      <c r="Q8">
        <f>IF(O8="","",COUNTIFS(職員マスタ!$M$6:$M$405,O8,職員マスタ!$P$6:$P$405,"保留中"))</f>
        <v/>
      </c>
    </row>
    <row r="9">
      <c r="A9">
        <f>IF($M9="","",4)</f>
        <v/>
      </c>
      <c r="B9">
        <f>IF($M9="","",IF(INDEX(請求記録!$B$6:$B$3005,$M9)="","",INDEX(請求記録!$B$6:$B$3005,$M9)))</f>
        <v/>
      </c>
      <c r="C9">
        <f>IF($M9="","",IF(INDEX(請求記録!$V$6:$V$3005,$M9)="","",INDEX(請求記録!$V$6:$V$3005,$M9)))</f>
        <v/>
      </c>
      <c r="D9">
        <f>IF($M9="","",IF(INDEX(請求記録!$W$6:$W$3005,$M9)="","",INDEX(請求記録!$W$6:$W$3005,$M9)))</f>
        <v/>
      </c>
      <c r="E9">
        <f>IF($M9="","",IF(INDEX(請求記録!$X$6:$X$3005,$M9)="","",INDEX(請求記録!$X$6:$X$3005,$M9)))</f>
        <v/>
      </c>
      <c r="F9" s="19">
        <f>IF($M9="","",IF(INDEX(請求記録!$E$6:$E$3005,$M9)="","",INDEX(請求記録!$E$6:$E$3005,$M9)))</f>
        <v/>
      </c>
      <c r="G9" s="19">
        <f>IF($M9="","",IF(INDEX(請求記録!$AC$6:$AC$3005,$M9)="","",INDEX(請求記録!$AC$6:$AC$3005,$M9)))</f>
        <v/>
      </c>
      <c r="H9">
        <f>IF($M9="","",IF(INDEX(請求記録!$AE$6:$AE$3005,$M9)="","",INDEX(請求記録!$AE$6:$AE$3005,$M9)))</f>
        <v/>
      </c>
      <c r="I9" s="20">
        <f>IF($M9="","",IF(INDEX(請求記録!$AF$6:$AF$3005,$M9)="","",INDEX(請求記録!$AF$6:$AF$3005,$M9)))</f>
        <v/>
      </c>
      <c r="J9">
        <f>IF($M9="","",IF(INDEX(請求記録!$AI$6:$AI$3005,$M9)="","",INDEX(請求記録!$AI$6:$AI$3005,$M9)))</f>
        <v/>
      </c>
      <c r="K9" s="20">
        <f>IF($M9="","",IF(INDEX(請求記録!$AH$6:$AH$3005,$M9)="","",INDEX(請求記録!$AH$6:$AH$3005,$M9)))</f>
        <v/>
      </c>
      <c r="L9">
        <f>IF($M9="","",IF(INDEX(請求記録!$AL$6:$AL$3005,$M9)="","",INDEX(請求記録!$AL$6:$AL$3005,$M9)))</f>
        <v/>
      </c>
      <c r="M9">
        <f>IFERROR(MATCH(4,請求記録!$AM$6:$AM$3005,0),"")</f>
        <v/>
      </c>
      <c r="O9">
        <f>IF(設定!F6="","",設定!F6)</f>
        <v/>
      </c>
      <c r="P9">
        <f>IF(O9="","",COUNTIFS(請求記録!$AE$6:$AE$3005,O9,請求記録!$AD$6:$AD$3005,"保留中"))</f>
        <v/>
      </c>
      <c r="Q9">
        <f>IF(O9="","",COUNTIFS(職員マスタ!$M$6:$M$405,O9,職員マスタ!$P$6:$P$405,"保留中"))</f>
        <v/>
      </c>
    </row>
    <row r="10">
      <c r="A10">
        <f>IF($M10="","",5)</f>
        <v/>
      </c>
      <c r="B10">
        <f>IF($M10="","",IF(INDEX(請求記録!$B$6:$B$3005,$M10)="","",INDEX(請求記録!$B$6:$B$3005,$M10)))</f>
        <v/>
      </c>
      <c r="C10">
        <f>IF($M10="","",IF(INDEX(請求記録!$V$6:$V$3005,$M10)="","",INDEX(請求記録!$V$6:$V$3005,$M10)))</f>
        <v/>
      </c>
      <c r="D10">
        <f>IF($M10="","",IF(INDEX(請求記録!$W$6:$W$3005,$M10)="","",INDEX(請求記録!$W$6:$W$3005,$M10)))</f>
        <v/>
      </c>
      <c r="E10">
        <f>IF($M10="","",IF(INDEX(請求記録!$X$6:$X$3005,$M10)="","",INDEX(請求記録!$X$6:$X$3005,$M10)))</f>
        <v/>
      </c>
      <c r="F10" s="19">
        <f>IF($M10="","",IF(INDEX(請求記録!$E$6:$E$3005,$M10)="","",INDEX(請求記録!$E$6:$E$3005,$M10)))</f>
        <v/>
      </c>
      <c r="G10" s="19">
        <f>IF($M10="","",IF(INDEX(請求記録!$AC$6:$AC$3005,$M10)="","",INDEX(請求記録!$AC$6:$AC$3005,$M10)))</f>
        <v/>
      </c>
      <c r="H10">
        <f>IF($M10="","",IF(INDEX(請求記録!$AE$6:$AE$3005,$M10)="","",INDEX(請求記録!$AE$6:$AE$3005,$M10)))</f>
        <v/>
      </c>
      <c r="I10" s="20">
        <f>IF($M10="","",IF(INDEX(請求記録!$AF$6:$AF$3005,$M10)="","",INDEX(請求記録!$AF$6:$AF$3005,$M10)))</f>
        <v/>
      </c>
      <c r="J10">
        <f>IF($M10="","",IF(INDEX(請求記録!$AI$6:$AI$3005,$M10)="","",INDEX(請求記録!$AI$6:$AI$3005,$M10)))</f>
        <v/>
      </c>
      <c r="K10" s="20">
        <f>IF($M10="","",IF(INDEX(請求記録!$AH$6:$AH$3005,$M10)="","",INDEX(請求記録!$AH$6:$AH$3005,$M10)))</f>
        <v/>
      </c>
      <c r="L10">
        <f>IF($M10="","",IF(INDEX(請求記録!$AL$6:$AL$3005,$M10)="","",INDEX(請求記録!$AL$6:$AL$3005,$M10)))</f>
        <v/>
      </c>
      <c r="M10">
        <f>IFERROR(MATCH(5,請求記録!$AM$6:$AM$3005,0),"")</f>
        <v/>
      </c>
      <c r="O10">
        <f>IF(設定!F7="","",設定!F7)</f>
        <v/>
      </c>
      <c r="P10">
        <f>IF(O10="","",COUNTIFS(請求記録!$AE$6:$AE$3005,O10,請求記録!$AD$6:$AD$3005,"保留中"))</f>
        <v/>
      </c>
      <c r="Q10">
        <f>IF(O10="","",COUNTIFS(職員マスタ!$M$6:$M$405,O10,職員マスタ!$P$6:$P$405,"保留中"))</f>
        <v/>
      </c>
    </row>
    <row r="11">
      <c r="A11">
        <f>IF($M11="","",6)</f>
        <v/>
      </c>
      <c r="B11">
        <f>IF($M11="","",IF(INDEX(請求記録!$B$6:$B$3005,$M11)="","",INDEX(請求記録!$B$6:$B$3005,$M11)))</f>
        <v/>
      </c>
      <c r="C11">
        <f>IF($M11="","",IF(INDEX(請求記録!$V$6:$V$3005,$M11)="","",INDEX(請求記録!$V$6:$V$3005,$M11)))</f>
        <v/>
      </c>
      <c r="D11">
        <f>IF($M11="","",IF(INDEX(請求記録!$W$6:$W$3005,$M11)="","",INDEX(請求記録!$W$6:$W$3005,$M11)))</f>
        <v/>
      </c>
      <c r="E11">
        <f>IF($M11="","",IF(INDEX(請求記録!$X$6:$X$3005,$M11)="","",INDEX(請求記録!$X$6:$X$3005,$M11)))</f>
        <v/>
      </c>
      <c r="F11" s="19">
        <f>IF($M11="","",IF(INDEX(請求記録!$E$6:$E$3005,$M11)="","",INDEX(請求記録!$E$6:$E$3005,$M11)))</f>
        <v/>
      </c>
      <c r="G11" s="19">
        <f>IF($M11="","",IF(INDEX(請求記録!$AC$6:$AC$3005,$M11)="","",INDEX(請求記録!$AC$6:$AC$3005,$M11)))</f>
        <v/>
      </c>
      <c r="H11">
        <f>IF($M11="","",IF(INDEX(請求記録!$AE$6:$AE$3005,$M11)="","",INDEX(請求記録!$AE$6:$AE$3005,$M11)))</f>
        <v/>
      </c>
      <c r="I11" s="20">
        <f>IF($M11="","",IF(INDEX(請求記録!$AF$6:$AF$3005,$M11)="","",INDEX(請求記録!$AF$6:$AF$3005,$M11)))</f>
        <v/>
      </c>
      <c r="J11">
        <f>IF($M11="","",IF(INDEX(請求記録!$AI$6:$AI$3005,$M11)="","",INDEX(請求記録!$AI$6:$AI$3005,$M11)))</f>
        <v/>
      </c>
      <c r="K11" s="20">
        <f>IF($M11="","",IF(INDEX(請求記録!$AH$6:$AH$3005,$M11)="","",INDEX(請求記録!$AH$6:$AH$3005,$M11)))</f>
        <v/>
      </c>
      <c r="L11">
        <f>IF($M11="","",IF(INDEX(請求記録!$AL$6:$AL$3005,$M11)="","",INDEX(請求記録!$AL$6:$AL$3005,$M11)))</f>
        <v/>
      </c>
      <c r="M11">
        <f>IFERROR(MATCH(6,請求記録!$AM$6:$AM$3005,0),"")</f>
        <v/>
      </c>
      <c r="O11">
        <f>IF(設定!F8="","",設定!F8)</f>
        <v/>
      </c>
      <c r="P11">
        <f>IF(O11="","",COUNTIFS(請求記録!$AE$6:$AE$3005,O11,請求記録!$AD$6:$AD$3005,"保留中"))</f>
        <v/>
      </c>
      <c r="Q11">
        <f>IF(O11="","",COUNTIFS(職員マスタ!$M$6:$M$405,O11,職員マスタ!$P$6:$P$405,"保留中"))</f>
        <v/>
      </c>
    </row>
    <row r="12">
      <c r="A12">
        <f>IF($M12="","",7)</f>
        <v/>
      </c>
      <c r="B12">
        <f>IF($M12="","",IF(INDEX(請求記録!$B$6:$B$3005,$M12)="","",INDEX(請求記録!$B$6:$B$3005,$M12)))</f>
        <v/>
      </c>
      <c r="C12">
        <f>IF($M12="","",IF(INDEX(請求記録!$V$6:$V$3005,$M12)="","",INDEX(請求記録!$V$6:$V$3005,$M12)))</f>
        <v/>
      </c>
      <c r="D12">
        <f>IF($M12="","",IF(INDEX(請求記録!$W$6:$W$3005,$M12)="","",INDEX(請求記録!$W$6:$W$3005,$M12)))</f>
        <v/>
      </c>
      <c r="E12">
        <f>IF($M12="","",IF(INDEX(請求記録!$X$6:$X$3005,$M12)="","",INDEX(請求記録!$X$6:$X$3005,$M12)))</f>
        <v/>
      </c>
      <c r="F12" s="19">
        <f>IF($M12="","",IF(INDEX(請求記録!$E$6:$E$3005,$M12)="","",INDEX(請求記録!$E$6:$E$3005,$M12)))</f>
        <v/>
      </c>
      <c r="G12" s="19">
        <f>IF($M12="","",IF(INDEX(請求記録!$AC$6:$AC$3005,$M12)="","",INDEX(請求記録!$AC$6:$AC$3005,$M12)))</f>
        <v/>
      </c>
      <c r="H12">
        <f>IF($M12="","",IF(INDEX(請求記録!$AE$6:$AE$3005,$M12)="","",INDEX(請求記録!$AE$6:$AE$3005,$M12)))</f>
        <v/>
      </c>
      <c r="I12" s="20">
        <f>IF($M12="","",IF(INDEX(請求記録!$AF$6:$AF$3005,$M12)="","",INDEX(請求記録!$AF$6:$AF$3005,$M12)))</f>
        <v/>
      </c>
      <c r="J12">
        <f>IF($M12="","",IF(INDEX(請求記録!$AI$6:$AI$3005,$M12)="","",INDEX(請求記録!$AI$6:$AI$3005,$M12)))</f>
        <v/>
      </c>
      <c r="K12" s="20">
        <f>IF($M12="","",IF(INDEX(請求記録!$AH$6:$AH$3005,$M12)="","",INDEX(請求記録!$AH$6:$AH$3005,$M12)))</f>
        <v/>
      </c>
      <c r="L12">
        <f>IF($M12="","",IF(INDEX(請求記録!$AL$6:$AL$3005,$M12)="","",INDEX(請求記録!$AL$6:$AL$3005,$M12)))</f>
        <v/>
      </c>
      <c r="M12">
        <f>IFERROR(MATCH(7,請求記録!$AM$6:$AM$3005,0),"")</f>
        <v/>
      </c>
      <c r="O12">
        <f>IF(設定!F9="","",設定!F9)</f>
        <v/>
      </c>
      <c r="P12">
        <f>IF(O12="","",COUNTIFS(請求記録!$AE$6:$AE$3005,O12,請求記録!$AD$6:$AD$3005,"保留中"))</f>
        <v/>
      </c>
      <c r="Q12">
        <f>IF(O12="","",COUNTIFS(職員マスタ!$M$6:$M$405,O12,職員マスタ!$P$6:$P$405,"保留中"))</f>
        <v/>
      </c>
    </row>
    <row r="13">
      <c r="A13">
        <f>IF($M13="","",8)</f>
        <v/>
      </c>
      <c r="B13">
        <f>IF($M13="","",IF(INDEX(請求記録!$B$6:$B$3005,$M13)="","",INDEX(請求記録!$B$6:$B$3005,$M13)))</f>
        <v/>
      </c>
      <c r="C13">
        <f>IF($M13="","",IF(INDEX(請求記録!$V$6:$V$3005,$M13)="","",INDEX(請求記録!$V$6:$V$3005,$M13)))</f>
        <v/>
      </c>
      <c r="D13">
        <f>IF($M13="","",IF(INDEX(請求記録!$W$6:$W$3005,$M13)="","",INDEX(請求記録!$W$6:$W$3005,$M13)))</f>
        <v/>
      </c>
      <c r="E13">
        <f>IF($M13="","",IF(INDEX(請求記録!$X$6:$X$3005,$M13)="","",INDEX(請求記録!$X$6:$X$3005,$M13)))</f>
        <v/>
      </c>
      <c r="F13" s="19">
        <f>IF($M13="","",IF(INDEX(請求記録!$E$6:$E$3005,$M13)="","",INDEX(請求記録!$E$6:$E$3005,$M13)))</f>
        <v/>
      </c>
      <c r="G13" s="19">
        <f>IF($M13="","",IF(INDEX(請求記録!$AC$6:$AC$3005,$M13)="","",INDEX(請求記録!$AC$6:$AC$3005,$M13)))</f>
        <v/>
      </c>
      <c r="H13">
        <f>IF($M13="","",IF(INDEX(請求記録!$AE$6:$AE$3005,$M13)="","",INDEX(請求記録!$AE$6:$AE$3005,$M13)))</f>
        <v/>
      </c>
      <c r="I13" s="20">
        <f>IF($M13="","",IF(INDEX(請求記録!$AF$6:$AF$3005,$M13)="","",INDEX(請求記録!$AF$6:$AF$3005,$M13)))</f>
        <v/>
      </c>
      <c r="J13">
        <f>IF($M13="","",IF(INDEX(請求記録!$AI$6:$AI$3005,$M13)="","",INDEX(請求記録!$AI$6:$AI$3005,$M13)))</f>
        <v/>
      </c>
      <c r="K13" s="20">
        <f>IF($M13="","",IF(INDEX(請求記録!$AH$6:$AH$3005,$M13)="","",INDEX(請求記録!$AH$6:$AH$3005,$M13)))</f>
        <v/>
      </c>
      <c r="L13">
        <f>IF($M13="","",IF(INDEX(請求記録!$AL$6:$AL$3005,$M13)="","",INDEX(請求記録!$AL$6:$AL$3005,$M13)))</f>
        <v/>
      </c>
      <c r="M13">
        <f>IFERROR(MATCH(8,請求記録!$AM$6:$AM$3005,0),"")</f>
        <v/>
      </c>
      <c r="O13">
        <f>IF(設定!F10="","",設定!F10)</f>
        <v/>
      </c>
      <c r="P13">
        <f>IF(O13="","",COUNTIFS(請求記録!$AE$6:$AE$3005,O13,請求記録!$AD$6:$AD$3005,"保留中"))</f>
        <v/>
      </c>
      <c r="Q13">
        <f>IF(O13="","",COUNTIFS(職員マスタ!$M$6:$M$405,O13,職員マスタ!$P$6:$P$405,"保留中"))</f>
        <v/>
      </c>
    </row>
    <row r="14">
      <c r="A14">
        <f>IF($M14="","",9)</f>
        <v/>
      </c>
      <c r="B14">
        <f>IF($M14="","",IF(INDEX(請求記録!$B$6:$B$3005,$M14)="","",INDEX(請求記録!$B$6:$B$3005,$M14)))</f>
        <v/>
      </c>
      <c r="C14">
        <f>IF($M14="","",IF(INDEX(請求記録!$V$6:$V$3005,$M14)="","",INDEX(請求記録!$V$6:$V$3005,$M14)))</f>
        <v/>
      </c>
      <c r="D14">
        <f>IF($M14="","",IF(INDEX(請求記録!$W$6:$W$3005,$M14)="","",INDEX(請求記録!$W$6:$W$3005,$M14)))</f>
        <v/>
      </c>
      <c r="E14">
        <f>IF($M14="","",IF(INDEX(請求記録!$X$6:$X$3005,$M14)="","",INDEX(請求記録!$X$6:$X$3005,$M14)))</f>
        <v/>
      </c>
      <c r="F14" s="19">
        <f>IF($M14="","",IF(INDEX(請求記録!$E$6:$E$3005,$M14)="","",INDEX(請求記録!$E$6:$E$3005,$M14)))</f>
        <v/>
      </c>
      <c r="G14" s="19">
        <f>IF($M14="","",IF(INDEX(請求記録!$AC$6:$AC$3005,$M14)="","",INDEX(請求記録!$AC$6:$AC$3005,$M14)))</f>
        <v/>
      </c>
      <c r="H14">
        <f>IF($M14="","",IF(INDEX(請求記録!$AE$6:$AE$3005,$M14)="","",INDEX(請求記録!$AE$6:$AE$3005,$M14)))</f>
        <v/>
      </c>
      <c r="I14" s="20">
        <f>IF($M14="","",IF(INDEX(請求記録!$AF$6:$AF$3005,$M14)="","",INDEX(請求記録!$AF$6:$AF$3005,$M14)))</f>
        <v/>
      </c>
      <c r="J14">
        <f>IF($M14="","",IF(INDEX(請求記録!$AI$6:$AI$3005,$M14)="","",INDEX(請求記録!$AI$6:$AI$3005,$M14)))</f>
        <v/>
      </c>
      <c r="K14" s="20">
        <f>IF($M14="","",IF(INDEX(請求記録!$AH$6:$AH$3005,$M14)="","",INDEX(請求記録!$AH$6:$AH$3005,$M14)))</f>
        <v/>
      </c>
      <c r="L14">
        <f>IF($M14="","",IF(INDEX(請求記録!$AL$6:$AL$3005,$M14)="","",INDEX(請求記録!$AL$6:$AL$3005,$M14)))</f>
        <v/>
      </c>
      <c r="M14">
        <f>IFERROR(MATCH(9,請求記録!$AM$6:$AM$3005,0),"")</f>
        <v/>
      </c>
      <c r="O14">
        <f>IF(設定!F11="","",設定!F11)</f>
        <v/>
      </c>
      <c r="P14">
        <f>IF(O14="","",COUNTIFS(請求記録!$AE$6:$AE$3005,O14,請求記録!$AD$6:$AD$3005,"保留中"))</f>
        <v/>
      </c>
      <c r="Q14">
        <f>IF(O14="","",COUNTIFS(職員マスタ!$M$6:$M$405,O14,職員マスタ!$P$6:$P$405,"保留中"))</f>
        <v/>
      </c>
    </row>
    <row r="15">
      <c r="A15">
        <f>IF($M15="","",10)</f>
        <v/>
      </c>
      <c r="B15">
        <f>IF($M15="","",IF(INDEX(請求記録!$B$6:$B$3005,$M15)="","",INDEX(請求記録!$B$6:$B$3005,$M15)))</f>
        <v/>
      </c>
      <c r="C15">
        <f>IF($M15="","",IF(INDEX(請求記録!$V$6:$V$3005,$M15)="","",INDEX(請求記録!$V$6:$V$3005,$M15)))</f>
        <v/>
      </c>
      <c r="D15">
        <f>IF($M15="","",IF(INDEX(請求記録!$W$6:$W$3005,$M15)="","",INDEX(請求記録!$W$6:$W$3005,$M15)))</f>
        <v/>
      </c>
      <c r="E15">
        <f>IF($M15="","",IF(INDEX(請求記録!$X$6:$X$3005,$M15)="","",INDEX(請求記録!$X$6:$X$3005,$M15)))</f>
        <v/>
      </c>
      <c r="F15" s="19">
        <f>IF($M15="","",IF(INDEX(請求記録!$E$6:$E$3005,$M15)="","",INDEX(請求記録!$E$6:$E$3005,$M15)))</f>
        <v/>
      </c>
      <c r="G15" s="19">
        <f>IF($M15="","",IF(INDEX(請求記録!$AC$6:$AC$3005,$M15)="","",INDEX(請求記録!$AC$6:$AC$3005,$M15)))</f>
        <v/>
      </c>
      <c r="H15">
        <f>IF($M15="","",IF(INDEX(請求記録!$AE$6:$AE$3005,$M15)="","",INDEX(請求記録!$AE$6:$AE$3005,$M15)))</f>
        <v/>
      </c>
      <c r="I15" s="20">
        <f>IF($M15="","",IF(INDEX(請求記録!$AF$6:$AF$3005,$M15)="","",INDEX(請求記録!$AF$6:$AF$3005,$M15)))</f>
        <v/>
      </c>
      <c r="J15">
        <f>IF($M15="","",IF(INDEX(請求記録!$AI$6:$AI$3005,$M15)="","",INDEX(請求記録!$AI$6:$AI$3005,$M15)))</f>
        <v/>
      </c>
      <c r="K15" s="20">
        <f>IF($M15="","",IF(INDEX(請求記録!$AH$6:$AH$3005,$M15)="","",INDEX(請求記録!$AH$6:$AH$3005,$M15)))</f>
        <v/>
      </c>
      <c r="L15">
        <f>IF($M15="","",IF(INDEX(請求記録!$AL$6:$AL$3005,$M15)="","",INDEX(請求記録!$AL$6:$AL$3005,$M15)))</f>
        <v/>
      </c>
      <c r="M15">
        <f>IFERROR(MATCH(10,請求記録!$AM$6:$AM$3005,0),"")</f>
        <v/>
      </c>
      <c r="O15">
        <f>IF(設定!F12="","",設定!F12)</f>
        <v/>
      </c>
      <c r="P15">
        <f>IF(O15="","",COUNTIFS(請求記録!$AE$6:$AE$3005,O15,請求記録!$AD$6:$AD$3005,"保留中"))</f>
        <v/>
      </c>
      <c r="Q15">
        <f>IF(O15="","",COUNTIFS(職員マスタ!$M$6:$M$405,O15,職員マスタ!$P$6:$P$405,"保留中"))</f>
        <v/>
      </c>
    </row>
    <row r="16">
      <c r="A16">
        <f>IF($M16="","",11)</f>
        <v/>
      </c>
      <c r="B16">
        <f>IF($M16="","",IF(INDEX(請求記録!$B$6:$B$3005,$M16)="","",INDEX(請求記録!$B$6:$B$3005,$M16)))</f>
        <v/>
      </c>
      <c r="C16">
        <f>IF($M16="","",IF(INDEX(請求記録!$V$6:$V$3005,$M16)="","",INDEX(請求記録!$V$6:$V$3005,$M16)))</f>
        <v/>
      </c>
      <c r="D16">
        <f>IF($M16="","",IF(INDEX(請求記録!$W$6:$W$3005,$M16)="","",INDEX(請求記録!$W$6:$W$3005,$M16)))</f>
        <v/>
      </c>
      <c r="E16">
        <f>IF($M16="","",IF(INDEX(請求記録!$X$6:$X$3005,$M16)="","",INDEX(請求記録!$X$6:$X$3005,$M16)))</f>
        <v/>
      </c>
      <c r="F16" s="19">
        <f>IF($M16="","",IF(INDEX(請求記録!$E$6:$E$3005,$M16)="","",INDEX(請求記録!$E$6:$E$3005,$M16)))</f>
        <v/>
      </c>
      <c r="G16" s="19">
        <f>IF($M16="","",IF(INDEX(請求記録!$AC$6:$AC$3005,$M16)="","",INDEX(請求記録!$AC$6:$AC$3005,$M16)))</f>
        <v/>
      </c>
      <c r="H16">
        <f>IF($M16="","",IF(INDEX(請求記録!$AE$6:$AE$3005,$M16)="","",INDEX(請求記録!$AE$6:$AE$3005,$M16)))</f>
        <v/>
      </c>
      <c r="I16" s="20">
        <f>IF($M16="","",IF(INDEX(請求記録!$AF$6:$AF$3005,$M16)="","",INDEX(請求記録!$AF$6:$AF$3005,$M16)))</f>
        <v/>
      </c>
      <c r="J16">
        <f>IF($M16="","",IF(INDEX(請求記録!$AI$6:$AI$3005,$M16)="","",INDEX(請求記録!$AI$6:$AI$3005,$M16)))</f>
        <v/>
      </c>
      <c r="K16" s="20">
        <f>IF($M16="","",IF(INDEX(請求記録!$AH$6:$AH$3005,$M16)="","",INDEX(請求記録!$AH$6:$AH$3005,$M16)))</f>
        <v/>
      </c>
      <c r="L16">
        <f>IF($M16="","",IF(INDEX(請求記録!$AL$6:$AL$3005,$M16)="","",INDEX(請求記録!$AL$6:$AL$3005,$M16)))</f>
        <v/>
      </c>
      <c r="M16">
        <f>IFERROR(MATCH(11,請求記録!$AM$6:$AM$3005,0),"")</f>
        <v/>
      </c>
      <c r="O16">
        <f>IF(設定!F13="","",設定!F13)</f>
        <v/>
      </c>
      <c r="P16">
        <f>IF(O16="","",COUNTIFS(請求記録!$AE$6:$AE$3005,O16,請求記録!$AD$6:$AD$3005,"保留中"))</f>
        <v/>
      </c>
      <c r="Q16">
        <f>IF(O16="","",COUNTIFS(職員マスタ!$M$6:$M$405,O16,職員マスタ!$P$6:$P$405,"保留中"))</f>
        <v/>
      </c>
    </row>
    <row r="17">
      <c r="A17">
        <f>IF($M17="","",12)</f>
        <v/>
      </c>
      <c r="B17">
        <f>IF($M17="","",IF(INDEX(請求記録!$B$6:$B$3005,$M17)="","",INDEX(請求記録!$B$6:$B$3005,$M17)))</f>
        <v/>
      </c>
      <c r="C17">
        <f>IF($M17="","",IF(INDEX(請求記録!$V$6:$V$3005,$M17)="","",INDEX(請求記録!$V$6:$V$3005,$M17)))</f>
        <v/>
      </c>
      <c r="D17">
        <f>IF($M17="","",IF(INDEX(請求記録!$W$6:$W$3005,$M17)="","",INDEX(請求記録!$W$6:$W$3005,$M17)))</f>
        <v/>
      </c>
      <c r="E17">
        <f>IF($M17="","",IF(INDEX(請求記録!$X$6:$X$3005,$M17)="","",INDEX(請求記録!$X$6:$X$3005,$M17)))</f>
        <v/>
      </c>
      <c r="F17" s="19">
        <f>IF($M17="","",IF(INDEX(請求記録!$E$6:$E$3005,$M17)="","",INDEX(請求記録!$E$6:$E$3005,$M17)))</f>
        <v/>
      </c>
      <c r="G17" s="19">
        <f>IF($M17="","",IF(INDEX(請求記録!$AC$6:$AC$3005,$M17)="","",INDEX(請求記録!$AC$6:$AC$3005,$M17)))</f>
        <v/>
      </c>
      <c r="H17">
        <f>IF($M17="","",IF(INDEX(請求記録!$AE$6:$AE$3005,$M17)="","",INDEX(請求記録!$AE$6:$AE$3005,$M17)))</f>
        <v/>
      </c>
      <c r="I17" s="20">
        <f>IF($M17="","",IF(INDEX(請求記録!$AF$6:$AF$3005,$M17)="","",INDEX(請求記録!$AF$6:$AF$3005,$M17)))</f>
        <v/>
      </c>
      <c r="J17">
        <f>IF($M17="","",IF(INDEX(請求記録!$AI$6:$AI$3005,$M17)="","",INDEX(請求記録!$AI$6:$AI$3005,$M17)))</f>
        <v/>
      </c>
      <c r="K17" s="20">
        <f>IF($M17="","",IF(INDEX(請求記録!$AH$6:$AH$3005,$M17)="","",INDEX(請求記録!$AH$6:$AH$3005,$M17)))</f>
        <v/>
      </c>
      <c r="L17">
        <f>IF($M17="","",IF(INDEX(請求記録!$AL$6:$AL$3005,$M17)="","",INDEX(請求記録!$AL$6:$AL$3005,$M17)))</f>
        <v/>
      </c>
      <c r="M17">
        <f>IFERROR(MATCH(12,請求記録!$AM$6:$AM$3005,0),"")</f>
        <v/>
      </c>
      <c r="O17">
        <f>IF(設定!F14="","",設定!F14)</f>
        <v/>
      </c>
      <c r="P17">
        <f>IF(O17="","",COUNTIFS(請求記録!$AE$6:$AE$3005,O17,請求記録!$AD$6:$AD$3005,"保留中"))</f>
        <v/>
      </c>
      <c r="Q17">
        <f>IF(O17="","",COUNTIFS(職員マスタ!$M$6:$M$405,O17,職員マスタ!$P$6:$P$405,"保留中"))</f>
        <v/>
      </c>
    </row>
    <row r="18">
      <c r="A18">
        <f>IF($M18="","",13)</f>
        <v/>
      </c>
      <c r="B18">
        <f>IF($M18="","",IF(INDEX(請求記録!$B$6:$B$3005,$M18)="","",INDEX(請求記録!$B$6:$B$3005,$M18)))</f>
        <v/>
      </c>
      <c r="C18">
        <f>IF($M18="","",IF(INDEX(請求記録!$V$6:$V$3005,$M18)="","",INDEX(請求記録!$V$6:$V$3005,$M18)))</f>
        <v/>
      </c>
      <c r="D18">
        <f>IF($M18="","",IF(INDEX(請求記録!$W$6:$W$3005,$M18)="","",INDEX(請求記録!$W$6:$W$3005,$M18)))</f>
        <v/>
      </c>
      <c r="E18">
        <f>IF($M18="","",IF(INDEX(請求記録!$X$6:$X$3005,$M18)="","",INDEX(請求記録!$X$6:$X$3005,$M18)))</f>
        <v/>
      </c>
      <c r="F18" s="19">
        <f>IF($M18="","",IF(INDEX(請求記録!$E$6:$E$3005,$M18)="","",INDEX(請求記録!$E$6:$E$3005,$M18)))</f>
        <v/>
      </c>
      <c r="G18" s="19">
        <f>IF($M18="","",IF(INDEX(請求記録!$AC$6:$AC$3005,$M18)="","",INDEX(請求記録!$AC$6:$AC$3005,$M18)))</f>
        <v/>
      </c>
      <c r="H18">
        <f>IF($M18="","",IF(INDEX(請求記録!$AE$6:$AE$3005,$M18)="","",INDEX(請求記録!$AE$6:$AE$3005,$M18)))</f>
        <v/>
      </c>
      <c r="I18" s="20">
        <f>IF($M18="","",IF(INDEX(請求記録!$AF$6:$AF$3005,$M18)="","",INDEX(請求記録!$AF$6:$AF$3005,$M18)))</f>
        <v/>
      </c>
      <c r="J18">
        <f>IF($M18="","",IF(INDEX(請求記録!$AI$6:$AI$3005,$M18)="","",INDEX(請求記録!$AI$6:$AI$3005,$M18)))</f>
        <v/>
      </c>
      <c r="K18" s="20">
        <f>IF($M18="","",IF(INDEX(請求記録!$AH$6:$AH$3005,$M18)="","",INDEX(請求記録!$AH$6:$AH$3005,$M18)))</f>
        <v/>
      </c>
      <c r="L18">
        <f>IF($M18="","",IF(INDEX(請求記録!$AL$6:$AL$3005,$M18)="","",INDEX(請求記録!$AL$6:$AL$3005,$M18)))</f>
        <v/>
      </c>
      <c r="M18">
        <f>IFERROR(MATCH(13,請求記録!$AM$6:$AM$3005,0),"")</f>
        <v/>
      </c>
    </row>
    <row r="19">
      <c r="A19">
        <f>IF($M19="","",14)</f>
        <v/>
      </c>
      <c r="B19">
        <f>IF($M19="","",IF(INDEX(請求記録!$B$6:$B$3005,$M19)="","",INDEX(請求記録!$B$6:$B$3005,$M19)))</f>
        <v/>
      </c>
      <c r="C19">
        <f>IF($M19="","",IF(INDEX(請求記録!$V$6:$V$3005,$M19)="","",INDEX(請求記録!$V$6:$V$3005,$M19)))</f>
        <v/>
      </c>
      <c r="D19">
        <f>IF($M19="","",IF(INDEX(請求記録!$W$6:$W$3005,$M19)="","",INDEX(請求記録!$W$6:$W$3005,$M19)))</f>
        <v/>
      </c>
      <c r="E19">
        <f>IF($M19="","",IF(INDEX(請求記録!$X$6:$X$3005,$M19)="","",INDEX(請求記録!$X$6:$X$3005,$M19)))</f>
        <v/>
      </c>
      <c r="F19" s="19">
        <f>IF($M19="","",IF(INDEX(請求記録!$E$6:$E$3005,$M19)="","",INDEX(請求記録!$E$6:$E$3005,$M19)))</f>
        <v/>
      </c>
      <c r="G19" s="19">
        <f>IF($M19="","",IF(INDEX(請求記録!$AC$6:$AC$3005,$M19)="","",INDEX(請求記録!$AC$6:$AC$3005,$M19)))</f>
        <v/>
      </c>
      <c r="H19">
        <f>IF($M19="","",IF(INDEX(請求記録!$AE$6:$AE$3005,$M19)="","",INDEX(請求記録!$AE$6:$AE$3005,$M19)))</f>
        <v/>
      </c>
      <c r="I19" s="20">
        <f>IF($M19="","",IF(INDEX(請求記録!$AF$6:$AF$3005,$M19)="","",INDEX(請求記録!$AF$6:$AF$3005,$M19)))</f>
        <v/>
      </c>
      <c r="J19">
        <f>IF($M19="","",IF(INDEX(請求記録!$AI$6:$AI$3005,$M19)="","",INDEX(請求記録!$AI$6:$AI$3005,$M19)))</f>
        <v/>
      </c>
      <c r="K19" s="20">
        <f>IF($M19="","",IF(INDEX(請求記録!$AH$6:$AH$3005,$M19)="","",INDEX(請求記録!$AH$6:$AH$3005,$M19)))</f>
        <v/>
      </c>
      <c r="L19">
        <f>IF($M19="","",IF(INDEX(請求記録!$AL$6:$AL$3005,$M19)="","",INDEX(請求記録!$AL$6:$AL$3005,$M19)))</f>
        <v/>
      </c>
      <c r="M19">
        <f>IFERROR(MATCH(14,請求記録!$AM$6:$AM$3005,0),"")</f>
        <v/>
      </c>
    </row>
    <row r="20">
      <c r="A20">
        <f>IF($M20="","",15)</f>
        <v/>
      </c>
      <c r="B20">
        <f>IF($M20="","",IF(INDEX(請求記録!$B$6:$B$3005,$M20)="","",INDEX(請求記録!$B$6:$B$3005,$M20)))</f>
        <v/>
      </c>
      <c r="C20">
        <f>IF($M20="","",IF(INDEX(請求記録!$V$6:$V$3005,$M20)="","",INDEX(請求記録!$V$6:$V$3005,$M20)))</f>
        <v/>
      </c>
      <c r="D20">
        <f>IF($M20="","",IF(INDEX(請求記録!$W$6:$W$3005,$M20)="","",INDEX(請求記録!$W$6:$W$3005,$M20)))</f>
        <v/>
      </c>
      <c r="E20">
        <f>IF($M20="","",IF(INDEX(請求記録!$X$6:$X$3005,$M20)="","",INDEX(請求記録!$X$6:$X$3005,$M20)))</f>
        <v/>
      </c>
      <c r="F20" s="19">
        <f>IF($M20="","",IF(INDEX(請求記録!$E$6:$E$3005,$M20)="","",INDEX(請求記録!$E$6:$E$3005,$M20)))</f>
        <v/>
      </c>
      <c r="G20" s="19">
        <f>IF($M20="","",IF(INDEX(請求記録!$AC$6:$AC$3005,$M20)="","",INDEX(請求記録!$AC$6:$AC$3005,$M20)))</f>
        <v/>
      </c>
      <c r="H20">
        <f>IF($M20="","",IF(INDEX(請求記録!$AE$6:$AE$3005,$M20)="","",INDEX(請求記録!$AE$6:$AE$3005,$M20)))</f>
        <v/>
      </c>
      <c r="I20" s="20">
        <f>IF($M20="","",IF(INDEX(請求記録!$AF$6:$AF$3005,$M20)="","",INDEX(請求記録!$AF$6:$AF$3005,$M20)))</f>
        <v/>
      </c>
      <c r="J20">
        <f>IF($M20="","",IF(INDEX(請求記録!$AI$6:$AI$3005,$M20)="","",INDEX(請求記録!$AI$6:$AI$3005,$M20)))</f>
        <v/>
      </c>
      <c r="K20" s="20">
        <f>IF($M20="","",IF(INDEX(請求記録!$AH$6:$AH$3005,$M20)="","",INDEX(請求記録!$AH$6:$AH$3005,$M20)))</f>
        <v/>
      </c>
      <c r="L20">
        <f>IF($M20="","",IF(INDEX(請求記録!$AL$6:$AL$3005,$M20)="","",INDEX(請求記録!$AL$6:$AL$3005,$M20)))</f>
        <v/>
      </c>
      <c r="M20">
        <f>IFERROR(MATCH(15,請求記録!$AM$6:$AM$3005,0),"")</f>
        <v/>
      </c>
    </row>
    <row r="21">
      <c r="A21">
        <f>IF($M21="","",16)</f>
        <v/>
      </c>
      <c r="B21">
        <f>IF($M21="","",IF(INDEX(請求記録!$B$6:$B$3005,$M21)="","",INDEX(請求記録!$B$6:$B$3005,$M21)))</f>
        <v/>
      </c>
      <c r="C21">
        <f>IF($M21="","",IF(INDEX(請求記録!$V$6:$V$3005,$M21)="","",INDEX(請求記録!$V$6:$V$3005,$M21)))</f>
        <v/>
      </c>
      <c r="D21">
        <f>IF($M21="","",IF(INDEX(請求記録!$W$6:$W$3005,$M21)="","",INDEX(請求記録!$W$6:$W$3005,$M21)))</f>
        <v/>
      </c>
      <c r="E21">
        <f>IF($M21="","",IF(INDEX(請求記録!$X$6:$X$3005,$M21)="","",INDEX(請求記録!$X$6:$X$3005,$M21)))</f>
        <v/>
      </c>
      <c r="F21" s="19">
        <f>IF($M21="","",IF(INDEX(請求記録!$E$6:$E$3005,$M21)="","",INDEX(請求記録!$E$6:$E$3005,$M21)))</f>
        <v/>
      </c>
      <c r="G21" s="19">
        <f>IF($M21="","",IF(INDEX(請求記録!$AC$6:$AC$3005,$M21)="","",INDEX(請求記録!$AC$6:$AC$3005,$M21)))</f>
        <v/>
      </c>
      <c r="H21">
        <f>IF($M21="","",IF(INDEX(請求記録!$AE$6:$AE$3005,$M21)="","",INDEX(請求記録!$AE$6:$AE$3005,$M21)))</f>
        <v/>
      </c>
      <c r="I21" s="20">
        <f>IF($M21="","",IF(INDEX(請求記録!$AF$6:$AF$3005,$M21)="","",INDEX(請求記録!$AF$6:$AF$3005,$M21)))</f>
        <v/>
      </c>
      <c r="J21">
        <f>IF($M21="","",IF(INDEX(請求記録!$AI$6:$AI$3005,$M21)="","",INDEX(請求記録!$AI$6:$AI$3005,$M21)))</f>
        <v/>
      </c>
      <c r="K21" s="20">
        <f>IF($M21="","",IF(INDEX(請求記録!$AH$6:$AH$3005,$M21)="","",INDEX(請求記録!$AH$6:$AH$3005,$M21)))</f>
        <v/>
      </c>
      <c r="L21">
        <f>IF($M21="","",IF(INDEX(請求記録!$AL$6:$AL$3005,$M21)="","",INDEX(請求記録!$AL$6:$AL$3005,$M21)))</f>
        <v/>
      </c>
      <c r="M21">
        <f>IFERROR(MATCH(16,請求記録!$AM$6:$AM$3005,0),"")</f>
        <v/>
      </c>
    </row>
    <row r="22">
      <c r="A22">
        <f>IF($M22="","",17)</f>
        <v/>
      </c>
      <c r="B22">
        <f>IF($M22="","",IF(INDEX(請求記録!$B$6:$B$3005,$M22)="","",INDEX(請求記録!$B$6:$B$3005,$M22)))</f>
        <v/>
      </c>
      <c r="C22">
        <f>IF($M22="","",IF(INDEX(請求記録!$V$6:$V$3005,$M22)="","",INDEX(請求記録!$V$6:$V$3005,$M22)))</f>
        <v/>
      </c>
      <c r="D22">
        <f>IF($M22="","",IF(INDEX(請求記録!$W$6:$W$3005,$M22)="","",INDEX(請求記録!$W$6:$W$3005,$M22)))</f>
        <v/>
      </c>
      <c r="E22">
        <f>IF($M22="","",IF(INDEX(請求記録!$X$6:$X$3005,$M22)="","",INDEX(請求記録!$X$6:$X$3005,$M22)))</f>
        <v/>
      </c>
      <c r="F22" s="19">
        <f>IF($M22="","",IF(INDEX(請求記録!$E$6:$E$3005,$M22)="","",INDEX(請求記録!$E$6:$E$3005,$M22)))</f>
        <v/>
      </c>
      <c r="G22" s="19">
        <f>IF($M22="","",IF(INDEX(請求記録!$AC$6:$AC$3005,$M22)="","",INDEX(請求記録!$AC$6:$AC$3005,$M22)))</f>
        <v/>
      </c>
      <c r="H22">
        <f>IF($M22="","",IF(INDEX(請求記録!$AE$6:$AE$3005,$M22)="","",INDEX(請求記録!$AE$6:$AE$3005,$M22)))</f>
        <v/>
      </c>
      <c r="I22" s="20">
        <f>IF($M22="","",IF(INDEX(請求記録!$AF$6:$AF$3005,$M22)="","",INDEX(請求記録!$AF$6:$AF$3005,$M22)))</f>
        <v/>
      </c>
      <c r="J22">
        <f>IF($M22="","",IF(INDEX(請求記録!$AI$6:$AI$3005,$M22)="","",INDEX(請求記録!$AI$6:$AI$3005,$M22)))</f>
        <v/>
      </c>
      <c r="K22" s="20">
        <f>IF($M22="","",IF(INDEX(請求記録!$AH$6:$AH$3005,$M22)="","",INDEX(請求記録!$AH$6:$AH$3005,$M22)))</f>
        <v/>
      </c>
      <c r="L22">
        <f>IF($M22="","",IF(INDEX(請求記録!$AL$6:$AL$3005,$M22)="","",INDEX(請求記録!$AL$6:$AL$3005,$M22)))</f>
        <v/>
      </c>
      <c r="M22">
        <f>IFERROR(MATCH(17,請求記録!$AM$6:$AM$3005,0),"")</f>
        <v/>
      </c>
    </row>
    <row r="23">
      <c r="A23">
        <f>IF($M23="","",18)</f>
        <v/>
      </c>
      <c r="B23">
        <f>IF($M23="","",IF(INDEX(請求記録!$B$6:$B$3005,$M23)="","",INDEX(請求記録!$B$6:$B$3005,$M23)))</f>
        <v/>
      </c>
      <c r="C23">
        <f>IF($M23="","",IF(INDEX(請求記録!$V$6:$V$3005,$M23)="","",INDEX(請求記録!$V$6:$V$3005,$M23)))</f>
        <v/>
      </c>
      <c r="D23">
        <f>IF($M23="","",IF(INDEX(請求記録!$W$6:$W$3005,$M23)="","",INDEX(請求記録!$W$6:$W$3005,$M23)))</f>
        <v/>
      </c>
      <c r="E23">
        <f>IF($M23="","",IF(INDEX(請求記録!$X$6:$X$3005,$M23)="","",INDEX(請求記録!$X$6:$X$3005,$M23)))</f>
        <v/>
      </c>
      <c r="F23" s="19">
        <f>IF($M23="","",IF(INDEX(請求記録!$E$6:$E$3005,$M23)="","",INDEX(請求記録!$E$6:$E$3005,$M23)))</f>
        <v/>
      </c>
      <c r="G23" s="19">
        <f>IF($M23="","",IF(INDEX(請求記録!$AC$6:$AC$3005,$M23)="","",INDEX(請求記録!$AC$6:$AC$3005,$M23)))</f>
        <v/>
      </c>
      <c r="H23">
        <f>IF($M23="","",IF(INDEX(請求記録!$AE$6:$AE$3005,$M23)="","",INDEX(請求記録!$AE$6:$AE$3005,$M23)))</f>
        <v/>
      </c>
      <c r="I23" s="20">
        <f>IF($M23="","",IF(INDEX(請求記録!$AF$6:$AF$3005,$M23)="","",INDEX(請求記録!$AF$6:$AF$3005,$M23)))</f>
        <v/>
      </c>
      <c r="J23">
        <f>IF($M23="","",IF(INDEX(請求記録!$AI$6:$AI$3005,$M23)="","",INDEX(請求記録!$AI$6:$AI$3005,$M23)))</f>
        <v/>
      </c>
      <c r="K23" s="20">
        <f>IF($M23="","",IF(INDEX(請求記録!$AH$6:$AH$3005,$M23)="","",INDEX(請求記録!$AH$6:$AH$3005,$M23)))</f>
        <v/>
      </c>
      <c r="L23">
        <f>IF($M23="","",IF(INDEX(請求記録!$AL$6:$AL$3005,$M23)="","",INDEX(請求記録!$AL$6:$AL$3005,$M23)))</f>
        <v/>
      </c>
      <c r="M23">
        <f>IFERROR(MATCH(18,請求記録!$AM$6:$AM$3005,0),"")</f>
        <v/>
      </c>
    </row>
    <row r="24">
      <c r="A24">
        <f>IF($M24="","",19)</f>
        <v/>
      </c>
      <c r="B24">
        <f>IF($M24="","",IF(INDEX(請求記録!$B$6:$B$3005,$M24)="","",INDEX(請求記録!$B$6:$B$3005,$M24)))</f>
        <v/>
      </c>
      <c r="C24">
        <f>IF($M24="","",IF(INDEX(請求記録!$V$6:$V$3005,$M24)="","",INDEX(請求記録!$V$6:$V$3005,$M24)))</f>
        <v/>
      </c>
      <c r="D24">
        <f>IF($M24="","",IF(INDEX(請求記録!$W$6:$W$3005,$M24)="","",INDEX(請求記録!$W$6:$W$3005,$M24)))</f>
        <v/>
      </c>
      <c r="E24">
        <f>IF($M24="","",IF(INDEX(請求記録!$X$6:$X$3005,$M24)="","",INDEX(請求記録!$X$6:$X$3005,$M24)))</f>
        <v/>
      </c>
      <c r="F24" s="19">
        <f>IF($M24="","",IF(INDEX(請求記録!$E$6:$E$3005,$M24)="","",INDEX(請求記録!$E$6:$E$3005,$M24)))</f>
        <v/>
      </c>
      <c r="G24" s="19">
        <f>IF($M24="","",IF(INDEX(請求記録!$AC$6:$AC$3005,$M24)="","",INDEX(請求記録!$AC$6:$AC$3005,$M24)))</f>
        <v/>
      </c>
      <c r="H24">
        <f>IF($M24="","",IF(INDEX(請求記録!$AE$6:$AE$3005,$M24)="","",INDEX(請求記録!$AE$6:$AE$3005,$M24)))</f>
        <v/>
      </c>
      <c r="I24" s="20">
        <f>IF($M24="","",IF(INDEX(請求記録!$AF$6:$AF$3005,$M24)="","",INDEX(請求記録!$AF$6:$AF$3005,$M24)))</f>
        <v/>
      </c>
      <c r="J24">
        <f>IF($M24="","",IF(INDEX(請求記録!$AI$6:$AI$3005,$M24)="","",INDEX(請求記録!$AI$6:$AI$3005,$M24)))</f>
        <v/>
      </c>
      <c r="K24" s="20">
        <f>IF($M24="","",IF(INDEX(請求記録!$AH$6:$AH$3005,$M24)="","",INDEX(請求記録!$AH$6:$AH$3005,$M24)))</f>
        <v/>
      </c>
      <c r="L24">
        <f>IF($M24="","",IF(INDEX(請求記録!$AL$6:$AL$3005,$M24)="","",INDEX(請求記録!$AL$6:$AL$3005,$M24)))</f>
        <v/>
      </c>
      <c r="M24">
        <f>IFERROR(MATCH(19,請求記録!$AM$6:$AM$3005,0),"")</f>
        <v/>
      </c>
    </row>
    <row r="25">
      <c r="A25">
        <f>IF($M25="","",20)</f>
        <v/>
      </c>
      <c r="B25">
        <f>IF($M25="","",IF(INDEX(請求記録!$B$6:$B$3005,$M25)="","",INDEX(請求記録!$B$6:$B$3005,$M25)))</f>
        <v/>
      </c>
      <c r="C25">
        <f>IF($M25="","",IF(INDEX(請求記録!$V$6:$V$3005,$M25)="","",INDEX(請求記録!$V$6:$V$3005,$M25)))</f>
        <v/>
      </c>
      <c r="D25">
        <f>IF($M25="","",IF(INDEX(請求記録!$W$6:$W$3005,$M25)="","",INDEX(請求記録!$W$6:$W$3005,$M25)))</f>
        <v/>
      </c>
      <c r="E25">
        <f>IF($M25="","",IF(INDEX(請求記録!$X$6:$X$3005,$M25)="","",INDEX(請求記録!$X$6:$X$3005,$M25)))</f>
        <v/>
      </c>
      <c r="F25" s="19">
        <f>IF($M25="","",IF(INDEX(請求記録!$E$6:$E$3005,$M25)="","",INDEX(請求記録!$E$6:$E$3005,$M25)))</f>
        <v/>
      </c>
      <c r="G25" s="19">
        <f>IF($M25="","",IF(INDEX(請求記録!$AC$6:$AC$3005,$M25)="","",INDEX(請求記録!$AC$6:$AC$3005,$M25)))</f>
        <v/>
      </c>
      <c r="H25">
        <f>IF($M25="","",IF(INDEX(請求記録!$AE$6:$AE$3005,$M25)="","",INDEX(請求記録!$AE$6:$AE$3005,$M25)))</f>
        <v/>
      </c>
      <c r="I25" s="20">
        <f>IF($M25="","",IF(INDEX(請求記録!$AF$6:$AF$3005,$M25)="","",INDEX(請求記録!$AF$6:$AF$3005,$M25)))</f>
        <v/>
      </c>
      <c r="J25">
        <f>IF($M25="","",IF(INDEX(請求記録!$AI$6:$AI$3005,$M25)="","",INDEX(請求記録!$AI$6:$AI$3005,$M25)))</f>
        <v/>
      </c>
      <c r="K25" s="20">
        <f>IF($M25="","",IF(INDEX(請求記録!$AH$6:$AH$3005,$M25)="","",INDEX(請求記録!$AH$6:$AH$3005,$M25)))</f>
        <v/>
      </c>
      <c r="L25">
        <f>IF($M25="","",IF(INDEX(請求記録!$AL$6:$AL$3005,$M25)="","",INDEX(請求記録!$AL$6:$AL$3005,$M25)))</f>
        <v/>
      </c>
      <c r="M25">
        <f>IFERROR(MATCH(20,請求記録!$AM$6:$AM$3005,0),"")</f>
        <v/>
      </c>
    </row>
    <row r="26">
      <c r="A26">
        <f>IF($M26="","",21)</f>
        <v/>
      </c>
      <c r="B26">
        <f>IF($M26="","",IF(INDEX(請求記録!$B$6:$B$3005,$M26)="","",INDEX(請求記録!$B$6:$B$3005,$M26)))</f>
        <v/>
      </c>
      <c r="C26">
        <f>IF($M26="","",IF(INDEX(請求記録!$V$6:$V$3005,$M26)="","",INDEX(請求記録!$V$6:$V$3005,$M26)))</f>
        <v/>
      </c>
      <c r="D26">
        <f>IF($M26="","",IF(INDEX(請求記録!$W$6:$W$3005,$M26)="","",INDEX(請求記録!$W$6:$W$3005,$M26)))</f>
        <v/>
      </c>
      <c r="E26">
        <f>IF($M26="","",IF(INDEX(請求記録!$X$6:$X$3005,$M26)="","",INDEX(請求記録!$X$6:$X$3005,$M26)))</f>
        <v/>
      </c>
      <c r="F26" s="19">
        <f>IF($M26="","",IF(INDEX(請求記録!$E$6:$E$3005,$M26)="","",INDEX(請求記録!$E$6:$E$3005,$M26)))</f>
        <v/>
      </c>
      <c r="G26" s="19">
        <f>IF($M26="","",IF(INDEX(請求記録!$AC$6:$AC$3005,$M26)="","",INDEX(請求記録!$AC$6:$AC$3005,$M26)))</f>
        <v/>
      </c>
      <c r="H26">
        <f>IF($M26="","",IF(INDEX(請求記録!$AE$6:$AE$3005,$M26)="","",INDEX(請求記録!$AE$6:$AE$3005,$M26)))</f>
        <v/>
      </c>
      <c r="I26" s="20">
        <f>IF($M26="","",IF(INDEX(請求記録!$AF$6:$AF$3005,$M26)="","",INDEX(請求記録!$AF$6:$AF$3005,$M26)))</f>
        <v/>
      </c>
      <c r="J26">
        <f>IF($M26="","",IF(INDEX(請求記録!$AI$6:$AI$3005,$M26)="","",INDEX(請求記録!$AI$6:$AI$3005,$M26)))</f>
        <v/>
      </c>
      <c r="K26" s="20">
        <f>IF($M26="","",IF(INDEX(請求記録!$AH$6:$AH$3005,$M26)="","",INDEX(請求記録!$AH$6:$AH$3005,$M26)))</f>
        <v/>
      </c>
      <c r="L26">
        <f>IF($M26="","",IF(INDEX(請求記録!$AL$6:$AL$3005,$M26)="","",INDEX(請求記録!$AL$6:$AL$3005,$M26)))</f>
        <v/>
      </c>
      <c r="M26">
        <f>IFERROR(MATCH(21,請求記録!$AM$6:$AM$3005,0),"")</f>
        <v/>
      </c>
    </row>
    <row r="27">
      <c r="A27">
        <f>IF($M27="","",22)</f>
        <v/>
      </c>
      <c r="B27">
        <f>IF($M27="","",IF(INDEX(請求記録!$B$6:$B$3005,$M27)="","",INDEX(請求記録!$B$6:$B$3005,$M27)))</f>
        <v/>
      </c>
      <c r="C27">
        <f>IF($M27="","",IF(INDEX(請求記録!$V$6:$V$3005,$M27)="","",INDEX(請求記録!$V$6:$V$3005,$M27)))</f>
        <v/>
      </c>
      <c r="D27">
        <f>IF($M27="","",IF(INDEX(請求記録!$W$6:$W$3005,$M27)="","",INDEX(請求記録!$W$6:$W$3005,$M27)))</f>
        <v/>
      </c>
      <c r="E27">
        <f>IF($M27="","",IF(INDEX(請求記録!$X$6:$X$3005,$M27)="","",INDEX(請求記録!$X$6:$X$3005,$M27)))</f>
        <v/>
      </c>
      <c r="F27" s="19">
        <f>IF($M27="","",IF(INDEX(請求記録!$E$6:$E$3005,$M27)="","",INDEX(請求記録!$E$6:$E$3005,$M27)))</f>
        <v/>
      </c>
      <c r="G27" s="19">
        <f>IF($M27="","",IF(INDEX(請求記録!$AC$6:$AC$3005,$M27)="","",INDEX(請求記録!$AC$6:$AC$3005,$M27)))</f>
        <v/>
      </c>
      <c r="H27">
        <f>IF($M27="","",IF(INDEX(請求記録!$AE$6:$AE$3005,$M27)="","",INDEX(請求記録!$AE$6:$AE$3005,$M27)))</f>
        <v/>
      </c>
      <c r="I27" s="20">
        <f>IF($M27="","",IF(INDEX(請求記録!$AF$6:$AF$3005,$M27)="","",INDEX(請求記録!$AF$6:$AF$3005,$M27)))</f>
        <v/>
      </c>
      <c r="J27">
        <f>IF($M27="","",IF(INDEX(請求記録!$AI$6:$AI$3005,$M27)="","",INDEX(請求記録!$AI$6:$AI$3005,$M27)))</f>
        <v/>
      </c>
      <c r="K27" s="20">
        <f>IF($M27="","",IF(INDEX(請求記録!$AH$6:$AH$3005,$M27)="","",INDEX(請求記録!$AH$6:$AH$3005,$M27)))</f>
        <v/>
      </c>
      <c r="L27">
        <f>IF($M27="","",IF(INDEX(請求記録!$AL$6:$AL$3005,$M27)="","",INDEX(請求記録!$AL$6:$AL$3005,$M27)))</f>
        <v/>
      </c>
      <c r="M27">
        <f>IFERROR(MATCH(22,請求記録!$AM$6:$AM$3005,0),"")</f>
        <v/>
      </c>
    </row>
    <row r="28">
      <c r="A28">
        <f>IF($M28="","",23)</f>
        <v/>
      </c>
      <c r="B28">
        <f>IF($M28="","",IF(INDEX(請求記録!$B$6:$B$3005,$M28)="","",INDEX(請求記録!$B$6:$B$3005,$M28)))</f>
        <v/>
      </c>
      <c r="C28">
        <f>IF($M28="","",IF(INDEX(請求記録!$V$6:$V$3005,$M28)="","",INDEX(請求記録!$V$6:$V$3005,$M28)))</f>
        <v/>
      </c>
      <c r="D28">
        <f>IF($M28="","",IF(INDEX(請求記録!$W$6:$W$3005,$M28)="","",INDEX(請求記録!$W$6:$W$3005,$M28)))</f>
        <v/>
      </c>
      <c r="E28">
        <f>IF($M28="","",IF(INDEX(請求記録!$X$6:$X$3005,$M28)="","",INDEX(請求記録!$X$6:$X$3005,$M28)))</f>
        <v/>
      </c>
      <c r="F28" s="19">
        <f>IF($M28="","",IF(INDEX(請求記録!$E$6:$E$3005,$M28)="","",INDEX(請求記録!$E$6:$E$3005,$M28)))</f>
        <v/>
      </c>
      <c r="G28" s="19">
        <f>IF($M28="","",IF(INDEX(請求記録!$AC$6:$AC$3005,$M28)="","",INDEX(請求記録!$AC$6:$AC$3005,$M28)))</f>
        <v/>
      </c>
      <c r="H28">
        <f>IF($M28="","",IF(INDEX(請求記録!$AE$6:$AE$3005,$M28)="","",INDEX(請求記録!$AE$6:$AE$3005,$M28)))</f>
        <v/>
      </c>
      <c r="I28" s="20">
        <f>IF($M28="","",IF(INDEX(請求記録!$AF$6:$AF$3005,$M28)="","",INDEX(請求記録!$AF$6:$AF$3005,$M28)))</f>
        <v/>
      </c>
      <c r="J28">
        <f>IF($M28="","",IF(INDEX(請求記録!$AI$6:$AI$3005,$M28)="","",INDEX(請求記録!$AI$6:$AI$3005,$M28)))</f>
        <v/>
      </c>
      <c r="K28" s="20">
        <f>IF($M28="","",IF(INDEX(請求記録!$AH$6:$AH$3005,$M28)="","",INDEX(請求記録!$AH$6:$AH$3005,$M28)))</f>
        <v/>
      </c>
      <c r="L28">
        <f>IF($M28="","",IF(INDEX(請求記録!$AL$6:$AL$3005,$M28)="","",INDEX(請求記録!$AL$6:$AL$3005,$M28)))</f>
        <v/>
      </c>
      <c r="M28">
        <f>IFERROR(MATCH(23,請求記録!$AM$6:$AM$3005,0),"")</f>
        <v/>
      </c>
    </row>
    <row r="29">
      <c r="A29">
        <f>IF($M29="","",24)</f>
        <v/>
      </c>
      <c r="B29">
        <f>IF($M29="","",IF(INDEX(請求記録!$B$6:$B$3005,$M29)="","",INDEX(請求記録!$B$6:$B$3005,$M29)))</f>
        <v/>
      </c>
      <c r="C29">
        <f>IF($M29="","",IF(INDEX(請求記録!$V$6:$V$3005,$M29)="","",INDEX(請求記録!$V$6:$V$3005,$M29)))</f>
        <v/>
      </c>
      <c r="D29">
        <f>IF($M29="","",IF(INDEX(請求記録!$W$6:$W$3005,$M29)="","",INDEX(請求記録!$W$6:$W$3005,$M29)))</f>
        <v/>
      </c>
      <c r="E29">
        <f>IF($M29="","",IF(INDEX(請求記録!$X$6:$X$3005,$M29)="","",INDEX(請求記録!$X$6:$X$3005,$M29)))</f>
        <v/>
      </c>
      <c r="F29" s="19">
        <f>IF($M29="","",IF(INDEX(請求記録!$E$6:$E$3005,$M29)="","",INDEX(請求記録!$E$6:$E$3005,$M29)))</f>
        <v/>
      </c>
      <c r="G29" s="19">
        <f>IF($M29="","",IF(INDEX(請求記録!$AC$6:$AC$3005,$M29)="","",INDEX(請求記録!$AC$6:$AC$3005,$M29)))</f>
        <v/>
      </c>
      <c r="H29">
        <f>IF($M29="","",IF(INDEX(請求記録!$AE$6:$AE$3005,$M29)="","",INDEX(請求記録!$AE$6:$AE$3005,$M29)))</f>
        <v/>
      </c>
      <c r="I29" s="20">
        <f>IF($M29="","",IF(INDEX(請求記録!$AF$6:$AF$3005,$M29)="","",INDEX(請求記録!$AF$6:$AF$3005,$M29)))</f>
        <v/>
      </c>
      <c r="J29">
        <f>IF($M29="","",IF(INDEX(請求記録!$AI$6:$AI$3005,$M29)="","",INDEX(請求記録!$AI$6:$AI$3005,$M29)))</f>
        <v/>
      </c>
      <c r="K29" s="20">
        <f>IF($M29="","",IF(INDEX(請求記録!$AH$6:$AH$3005,$M29)="","",INDEX(請求記録!$AH$6:$AH$3005,$M29)))</f>
        <v/>
      </c>
      <c r="L29">
        <f>IF($M29="","",IF(INDEX(請求記録!$AL$6:$AL$3005,$M29)="","",INDEX(請求記録!$AL$6:$AL$3005,$M29)))</f>
        <v/>
      </c>
      <c r="M29">
        <f>IFERROR(MATCH(24,請求記録!$AM$6:$AM$3005,0),"")</f>
        <v/>
      </c>
    </row>
    <row r="30">
      <c r="A30">
        <f>IF($M30="","",25)</f>
        <v/>
      </c>
      <c r="B30">
        <f>IF($M30="","",IF(INDEX(請求記録!$B$6:$B$3005,$M30)="","",INDEX(請求記録!$B$6:$B$3005,$M30)))</f>
        <v/>
      </c>
      <c r="C30">
        <f>IF($M30="","",IF(INDEX(請求記録!$V$6:$V$3005,$M30)="","",INDEX(請求記録!$V$6:$V$3005,$M30)))</f>
        <v/>
      </c>
      <c r="D30">
        <f>IF($M30="","",IF(INDEX(請求記録!$W$6:$W$3005,$M30)="","",INDEX(請求記録!$W$6:$W$3005,$M30)))</f>
        <v/>
      </c>
      <c r="E30">
        <f>IF($M30="","",IF(INDEX(請求記録!$X$6:$X$3005,$M30)="","",INDEX(請求記録!$X$6:$X$3005,$M30)))</f>
        <v/>
      </c>
      <c r="F30" s="19">
        <f>IF($M30="","",IF(INDEX(請求記録!$E$6:$E$3005,$M30)="","",INDEX(請求記録!$E$6:$E$3005,$M30)))</f>
        <v/>
      </c>
      <c r="G30" s="19">
        <f>IF($M30="","",IF(INDEX(請求記録!$AC$6:$AC$3005,$M30)="","",INDEX(請求記録!$AC$6:$AC$3005,$M30)))</f>
        <v/>
      </c>
      <c r="H30">
        <f>IF($M30="","",IF(INDEX(請求記録!$AE$6:$AE$3005,$M30)="","",INDEX(請求記録!$AE$6:$AE$3005,$M30)))</f>
        <v/>
      </c>
      <c r="I30" s="20">
        <f>IF($M30="","",IF(INDEX(請求記録!$AF$6:$AF$3005,$M30)="","",INDEX(請求記録!$AF$6:$AF$3005,$M30)))</f>
        <v/>
      </c>
      <c r="J30">
        <f>IF($M30="","",IF(INDEX(請求記録!$AI$6:$AI$3005,$M30)="","",INDEX(請求記録!$AI$6:$AI$3005,$M30)))</f>
        <v/>
      </c>
      <c r="K30" s="20">
        <f>IF($M30="","",IF(INDEX(請求記録!$AH$6:$AH$3005,$M30)="","",INDEX(請求記録!$AH$6:$AH$3005,$M30)))</f>
        <v/>
      </c>
      <c r="L30">
        <f>IF($M30="","",IF(INDEX(請求記録!$AL$6:$AL$3005,$M30)="","",INDEX(請求記録!$AL$6:$AL$3005,$M30)))</f>
        <v/>
      </c>
      <c r="M30">
        <f>IFERROR(MATCH(25,請求記録!$AM$6:$AM$3005,0),"")</f>
        <v/>
      </c>
    </row>
    <row r="31">
      <c r="A31">
        <f>IF($M31="","",26)</f>
        <v/>
      </c>
      <c r="B31">
        <f>IF($M31="","",IF(INDEX(請求記録!$B$6:$B$3005,$M31)="","",INDEX(請求記録!$B$6:$B$3005,$M31)))</f>
        <v/>
      </c>
      <c r="C31">
        <f>IF($M31="","",IF(INDEX(請求記録!$V$6:$V$3005,$M31)="","",INDEX(請求記録!$V$6:$V$3005,$M31)))</f>
        <v/>
      </c>
      <c r="D31">
        <f>IF($M31="","",IF(INDEX(請求記録!$W$6:$W$3005,$M31)="","",INDEX(請求記録!$W$6:$W$3005,$M31)))</f>
        <v/>
      </c>
      <c r="E31">
        <f>IF($M31="","",IF(INDEX(請求記録!$X$6:$X$3005,$M31)="","",INDEX(請求記録!$X$6:$X$3005,$M31)))</f>
        <v/>
      </c>
      <c r="F31" s="19">
        <f>IF($M31="","",IF(INDEX(請求記録!$E$6:$E$3005,$M31)="","",INDEX(請求記録!$E$6:$E$3005,$M31)))</f>
        <v/>
      </c>
      <c r="G31" s="19">
        <f>IF($M31="","",IF(INDEX(請求記録!$AC$6:$AC$3005,$M31)="","",INDEX(請求記録!$AC$6:$AC$3005,$M31)))</f>
        <v/>
      </c>
      <c r="H31">
        <f>IF($M31="","",IF(INDEX(請求記録!$AE$6:$AE$3005,$M31)="","",INDEX(請求記録!$AE$6:$AE$3005,$M31)))</f>
        <v/>
      </c>
      <c r="I31" s="20">
        <f>IF($M31="","",IF(INDEX(請求記録!$AF$6:$AF$3005,$M31)="","",INDEX(請求記録!$AF$6:$AF$3005,$M31)))</f>
        <v/>
      </c>
      <c r="J31">
        <f>IF($M31="","",IF(INDEX(請求記録!$AI$6:$AI$3005,$M31)="","",INDEX(請求記録!$AI$6:$AI$3005,$M31)))</f>
        <v/>
      </c>
      <c r="K31" s="20">
        <f>IF($M31="","",IF(INDEX(請求記録!$AH$6:$AH$3005,$M31)="","",INDEX(請求記録!$AH$6:$AH$3005,$M31)))</f>
        <v/>
      </c>
      <c r="L31">
        <f>IF($M31="","",IF(INDEX(請求記録!$AL$6:$AL$3005,$M31)="","",INDEX(請求記録!$AL$6:$AL$3005,$M31)))</f>
        <v/>
      </c>
      <c r="M31">
        <f>IFERROR(MATCH(26,請求記録!$AM$6:$AM$3005,0),"")</f>
        <v/>
      </c>
    </row>
    <row r="32">
      <c r="A32">
        <f>IF($M32="","",27)</f>
        <v/>
      </c>
      <c r="B32">
        <f>IF($M32="","",IF(INDEX(請求記録!$B$6:$B$3005,$M32)="","",INDEX(請求記録!$B$6:$B$3005,$M32)))</f>
        <v/>
      </c>
      <c r="C32">
        <f>IF($M32="","",IF(INDEX(請求記録!$V$6:$V$3005,$M32)="","",INDEX(請求記録!$V$6:$V$3005,$M32)))</f>
        <v/>
      </c>
      <c r="D32">
        <f>IF($M32="","",IF(INDEX(請求記録!$W$6:$W$3005,$M32)="","",INDEX(請求記録!$W$6:$W$3005,$M32)))</f>
        <v/>
      </c>
      <c r="E32">
        <f>IF($M32="","",IF(INDEX(請求記録!$X$6:$X$3005,$M32)="","",INDEX(請求記録!$X$6:$X$3005,$M32)))</f>
        <v/>
      </c>
      <c r="F32" s="19">
        <f>IF($M32="","",IF(INDEX(請求記録!$E$6:$E$3005,$M32)="","",INDEX(請求記録!$E$6:$E$3005,$M32)))</f>
        <v/>
      </c>
      <c r="G32" s="19">
        <f>IF($M32="","",IF(INDEX(請求記録!$AC$6:$AC$3005,$M32)="","",INDEX(請求記録!$AC$6:$AC$3005,$M32)))</f>
        <v/>
      </c>
      <c r="H32">
        <f>IF($M32="","",IF(INDEX(請求記録!$AE$6:$AE$3005,$M32)="","",INDEX(請求記録!$AE$6:$AE$3005,$M32)))</f>
        <v/>
      </c>
      <c r="I32" s="20">
        <f>IF($M32="","",IF(INDEX(請求記録!$AF$6:$AF$3005,$M32)="","",INDEX(請求記録!$AF$6:$AF$3005,$M32)))</f>
        <v/>
      </c>
      <c r="J32">
        <f>IF($M32="","",IF(INDEX(請求記録!$AI$6:$AI$3005,$M32)="","",INDEX(請求記録!$AI$6:$AI$3005,$M32)))</f>
        <v/>
      </c>
      <c r="K32" s="20">
        <f>IF($M32="","",IF(INDEX(請求記録!$AH$6:$AH$3005,$M32)="","",INDEX(請求記録!$AH$6:$AH$3005,$M32)))</f>
        <v/>
      </c>
      <c r="L32">
        <f>IF($M32="","",IF(INDEX(請求記録!$AL$6:$AL$3005,$M32)="","",INDEX(請求記録!$AL$6:$AL$3005,$M32)))</f>
        <v/>
      </c>
      <c r="M32">
        <f>IFERROR(MATCH(27,請求記録!$AM$6:$AM$3005,0),"")</f>
        <v/>
      </c>
    </row>
    <row r="33">
      <c r="A33">
        <f>IF($M33="","",28)</f>
        <v/>
      </c>
      <c r="B33">
        <f>IF($M33="","",IF(INDEX(請求記録!$B$6:$B$3005,$M33)="","",INDEX(請求記録!$B$6:$B$3005,$M33)))</f>
        <v/>
      </c>
      <c r="C33">
        <f>IF($M33="","",IF(INDEX(請求記録!$V$6:$V$3005,$M33)="","",INDEX(請求記録!$V$6:$V$3005,$M33)))</f>
        <v/>
      </c>
      <c r="D33">
        <f>IF($M33="","",IF(INDEX(請求記録!$W$6:$W$3005,$M33)="","",INDEX(請求記録!$W$6:$W$3005,$M33)))</f>
        <v/>
      </c>
      <c r="E33">
        <f>IF($M33="","",IF(INDEX(請求記録!$X$6:$X$3005,$M33)="","",INDEX(請求記録!$X$6:$X$3005,$M33)))</f>
        <v/>
      </c>
      <c r="F33" s="19">
        <f>IF($M33="","",IF(INDEX(請求記録!$E$6:$E$3005,$M33)="","",INDEX(請求記録!$E$6:$E$3005,$M33)))</f>
        <v/>
      </c>
      <c r="G33" s="19">
        <f>IF($M33="","",IF(INDEX(請求記録!$AC$6:$AC$3005,$M33)="","",INDEX(請求記録!$AC$6:$AC$3005,$M33)))</f>
        <v/>
      </c>
      <c r="H33">
        <f>IF($M33="","",IF(INDEX(請求記録!$AE$6:$AE$3005,$M33)="","",INDEX(請求記録!$AE$6:$AE$3005,$M33)))</f>
        <v/>
      </c>
      <c r="I33" s="20">
        <f>IF($M33="","",IF(INDEX(請求記録!$AF$6:$AF$3005,$M33)="","",INDEX(請求記録!$AF$6:$AF$3005,$M33)))</f>
        <v/>
      </c>
      <c r="J33">
        <f>IF($M33="","",IF(INDEX(請求記録!$AI$6:$AI$3005,$M33)="","",INDEX(請求記録!$AI$6:$AI$3005,$M33)))</f>
        <v/>
      </c>
      <c r="K33" s="20">
        <f>IF($M33="","",IF(INDEX(請求記録!$AH$6:$AH$3005,$M33)="","",INDEX(請求記録!$AH$6:$AH$3005,$M33)))</f>
        <v/>
      </c>
      <c r="L33">
        <f>IF($M33="","",IF(INDEX(請求記録!$AL$6:$AL$3005,$M33)="","",INDEX(請求記録!$AL$6:$AL$3005,$M33)))</f>
        <v/>
      </c>
      <c r="M33">
        <f>IFERROR(MATCH(28,請求記録!$AM$6:$AM$3005,0),"")</f>
        <v/>
      </c>
    </row>
    <row r="34">
      <c r="A34">
        <f>IF($M34="","",29)</f>
        <v/>
      </c>
      <c r="B34">
        <f>IF($M34="","",IF(INDEX(請求記録!$B$6:$B$3005,$M34)="","",INDEX(請求記録!$B$6:$B$3005,$M34)))</f>
        <v/>
      </c>
      <c r="C34">
        <f>IF($M34="","",IF(INDEX(請求記録!$V$6:$V$3005,$M34)="","",INDEX(請求記録!$V$6:$V$3005,$M34)))</f>
        <v/>
      </c>
      <c r="D34">
        <f>IF($M34="","",IF(INDEX(請求記録!$W$6:$W$3005,$M34)="","",INDEX(請求記録!$W$6:$W$3005,$M34)))</f>
        <v/>
      </c>
      <c r="E34">
        <f>IF($M34="","",IF(INDEX(請求記録!$X$6:$X$3005,$M34)="","",INDEX(請求記録!$X$6:$X$3005,$M34)))</f>
        <v/>
      </c>
      <c r="F34" s="19">
        <f>IF($M34="","",IF(INDEX(請求記録!$E$6:$E$3005,$M34)="","",INDEX(請求記録!$E$6:$E$3005,$M34)))</f>
        <v/>
      </c>
      <c r="G34" s="19">
        <f>IF($M34="","",IF(INDEX(請求記録!$AC$6:$AC$3005,$M34)="","",INDEX(請求記録!$AC$6:$AC$3005,$M34)))</f>
        <v/>
      </c>
      <c r="H34">
        <f>IF($M34="","",IF(INDEX(請求記録!$AE$6:$AE$3005,$M34)="","",INDEX(請求記録!$AE$6:$AE$3005,$M34)))</f>
        <v/>
      </c>
      <c r="I34" s="20">
        <f>IF($M34="","",IF(INDEX(請求記録!$AF$6:$AF$3005,$M34)="","",INDEX(請求記録!$AF$6:$AF$3005,$M34)))</f>
        <v/>
      </c>
      <c r="J34">
        <f>IF($M34="","",IF(INDEX(請求記録!$AI$6:$AI$3005,$M34)="","",INDEX(請求記録!$AI$6:$AI$3005,$M34)))</f>
        <v/>
      </c>
      <c r="K34" s="20">
        <f>IF($M34="","",IF(INDEX(請求記録!$AH$6:$AH$3005,$M34)="","",INDEX(請求記録!$AH$6:$AH$3005,$M34)))</f>
        <v/>
      </c>
      <c r="L34">
        <f>IF($M34="","",IF(INDEX(請求記録!$AL$6:$AL$3005,$M34)="","",INDEX(請求記録!$AL$6:$AL$3005,$M34)))</f>
        <v/>
      </c>
      <c r="M34">
        <f>IFERROR(MATCH(29,請求記録!$AM$6:$AM$3005,0),"")</f>
        <v/>
      </c>
    </row>
    <row r="35">
      <c r="A35">
        <f>IF($M35="","",30)</f>
        <v/>
      </c>
      <c r="B35">
        <f>IF($M35="","",IF(INDEX(請求記録!$B$6:$B$3005,$M35)="","",INDEX(請求記録!$B$6:$B$3005,$M35)))</f>
        <v/>
      </c>
      <c r="C35">
        <f>IF($M35="","",IF(INDEX(請求記録!$V$6:$V$3005,$M35)="","",INDEX(請求記録!$V$6:$V$3005,$M35)))</f>
        <v/>
      </c>
      <c r="D35">
        <f>IF($M35="","",IF(INDEX(請求記録!$W$6:$W$3005,$M35)="","",INDEX(請求記録!$W$6:$W$3005,$M35)))</f>
        <v/>
      </c>
      <c r="E35">
        <f>IF($M35="","",IF(INDEX(請求記録!$X$6:$X$3005,$M35)="","",INDEX(請求記録!$X$6:$X$3005,$M35)))</f>
        <v/>
      </c>
      <c r="F35" s="19">
        <f>IF($M35="","",IF(INDEX(請求記録!$E$6:$E$3005,$M35)="","",INDEX(請求記録!$E$6:$E$3005,$M35)))</f>
        <v/>
      </c>
      <c r="G35" s="19">
        <f>IF($M35="","",IF(INDEX(請求記録!$AC$6:$AC$3005,$M35)="","",INDEX(請求記録!$AC$6:$AC$3005,$M35)))</f>
        <v/>
      </c>
      <c r="H35">
        <f>IF($M35="","",IF(INDEX(請求記録!$AE$6:$AE$3005,$M35)="","",INDEX(請求記録!$AE$6:$AE$3005,$M35)))</f>
        <v/>
      </c>
      <c r="I35" s="20">
        <f>IF($M35="","",IF(INDEX(請求記録!$AF$6:$AF$3005,$M35)="","",INDEX(請求記録!$AF$6:$AF$3005,$M35)))</f>
        <v/>
      </c>
      <c r="J35">
        <f>IF($M35="","",IF(INDEX(請求記録!$AI$6:$AI$3005,$M35)="","",INDEX(請求記録!$AI$6:$AI$3005,$M35)))</f>
        <v/>
      </c>
      <c r="K35" s="20">
        <f>IF($M35="","",IF(INDEX(請求記録!$AH$6:$AH$3005,$M35)="","",INDEX(請求記録!$AH$6:$AH$3005,$M35)))</f>
        <v/>
      </c>
      <c r="L35">
        <f>IF($M35="","",IF(INDEX(請求記録!$AL$6:$AL$3005,$M35)="","",INDEX(請求記録!$AL$6:$AL$3005,$M35)))</f>
        <v/>
      </c>
      <c r="M35">
        <f>IFERROR(MATCH(30,請求記録!$AM$6:$AM$3005,0),"")</f>
        <v/>
      </c>
    </row>
    <row r="36">
      <c r="A36">
        <f>IF($M36="","",31)</f>
        <v/>
      </c>
      <c r="B36">
        <f>IF($M36="","",IF(INDEX(請求記録!$B$6:$B$3005,$M36)="","",INDEX(請求記録!$B$6:$B$3005,$M36)))</f>
        <v/>
      </c>
      <c r="C36">
        <f>IF($M36="","",IF(INDEX(請求記録!$V$6:$V$3005,$M36)="","",INDEX(請求記録!$V$6:$V$3005,$M36)))</f>
        <v/>
      </c>
      <c r="D36">
        <f>IF($M36="","",IF(INDEX(請求記録!$W$6:$W$3005,$M36)="","",INDEX(請求記録!$W$6:$W$3005,$M36)))</f>
        <v/>
      </c>
      <c r="E36">
        <f>IF($M36="","",IF(INDEX(請求記録!$X$6:$X$3005,$M36)="","",INDEX(請求記録!$X$6:$X$3005,$M36)))</f>
        <v/>
      </c>
      <c r="F36" s="19">
        <f>IF($M36="","",IF(INDEX(請求記録!$E$6:$E$3005,$M36)="","",INDEX(請求記録!$E$6:$E$3005,$M36)))</f>
        <v/>
      </c>
      <c r="G36" s="19">
        <f>IF($M36="","",IF(INDEX(請求記録!$AC$6:$AC$3005,$M36)="","",INDEX(請求記録!$AC$6:$AC$3005,$M36)))</f>
        <v/>
      </c>
      <c r="H36">
        <f>IF($M36="","",IF(INDEX(請求記録!$AE$6:$AE$3005,$M36)="","",INDEX(請求記録!$AE$6:$AE$3005,$M36)))</f>
        <v/>
      </c>
      <c r="I36" s="20">
        <f>IF($M36="","",IF(INDEX(請求記録!$AF$6:$AF$3005,$M36)="","",INDEX(請求記録!$AF$6:$AF$3005,$M36)))</f>
        <v/>
      </c>
      <c r="J36">
        <f>IF($M36="","",IF(INDEX(請求記録!$AI$6:$AI$3005,$M36)="","",INDEX(請求記録!$AI$6:$AI$3005,$M36)))</f>
        <v/>
      </c>
      <c r="K36" s="20">
        <f>IF($M36="","",IF(INDEX(請求記録!$AH$6:$AH$3005,$M36)="","",INDEX(請求記録!$AH$6:$AH$3005,$M36)))</f>
        <v/>
      </c>
      <c r="L36">
        <f>IF($M36="","",IF(INDEX(請求記録!$AL$6:$AL$3005,$M36)="","",INDEX(請求記録!$AL$6:$AL$3005,$M36)))</f>
        <v/>
      </c>
      <c r="M36">
        <f>IFERROR(MATCH(31,請求記録!$AM$6:$AM$3005,0),"")</f>
        <v/>
      </c>
    </row>
    <row r="37">
      <c r="A37">
        <f>IF($M37="","",32)</f>
        <v/>
      </c>
      <c r="B37">
        <f>IF($M37="","",IF(INDEX(請求記録!$B$6:$B$3005,$M37)="","",INDEX(請求記録!$B$6:$B$3005,$M37)))</f>
        <v/>
      </c>
      <c r="C37">
        <f>IF($M37="","",IF(INDEX(請求記録!$V$6:$V$3005,$M37)="","",INDEX(請求記録!$V$6:$V$3005,$M37)))</f>
        <v/>
      </c>
      <c r="D37">
        <f>IF($M37="","",IF(INDEX(請求記録!$W$6:$W$3005,$M37)="","",INDEX(請求記録!$W$6:$W$3005,$M37)))</f>
        <v/>
      </c>
      <c r="E37">
        <f>IF($M37="","",IF(INDEX(請求記録!$X$6:$X$3005,$M37)="","",INDEX(請求記録!$X$6:$X$3005,$M37)))</f>
        <v/>
      </c>
      <c r="F37" s="19">
        <f>IF($M37="","",IF(INDEX(請求記録!$E$6:$E$3005,$M37)="","",INDEX(請求記録!$E$6:$E$3005,$M37)))</f>
        <v/>
      </c>
      <c r="G37" s="19">
        <f>IF($M37="","",IF(INDEX(請求記録!$AC$6:$AC$3005,$M37)="","",INDEX(請求記録!$AC$6:$AC$3005,$M37)))</f>
        <v/>
      </c>
      <c r="H37">
        <f>IF($M37="","",IF(INDEX(請求記録!$AE$6:$AE$3005,$M37)="","",INDEX(請求記録!$AE$6:$AE$3005,$M37)))</f>
        <v/>
      </c>
      <c r="I37" s="20">
        <f>IF($M37="","",IF(INDEX(請求記録!$AF$6:$AF$3005,$M37)="","",INDEX(請求記録!$AF$6:$AF$3005,$M37)))</f>
        <v/>
      </c>
      <c r="J37">
        <f>IF($M37="","",IF(INDEX(請求記録!$AI$6:$AI$3005,$M37)="","",INDEX(請求記録!$AI$6:$AI$3005,$M37)))</f>
        <v/>
      </c>
      <c r="K37" s="20">
        <f>IF($M37="","",IF(INDEX(請求記録!$AH$6:$AH$3005,$M37)="","",INDEX(請求記録!$AH$6:$AH$3005,$M37)))</f>
        <v/>
      </c>
      <c r="L37">
        <f>IF($M37="","",IF(INDEX(請求記録!$AL$6:$AL$3005,$M37)="","",INDEX(請求記録!$AL$6:$AL$3005,$M37)))</f>
        <v/>
      </c>
      <c r="M37">
        <f>IFERROR(MATCH(32,請求記録!$AM$6:$AM$3005,0),"")</f>
        <v/>
      </c>
    </row>
    <row r="38">
      <c r="A38">
        <f>IF($M38="","",33)</f>
        <v/>
      </c>
      <c r="B38">
        <f>IF($M38="","",IF(INDEX(請求記録!$B$6:$B$3005,$M38)="","",INDEX(請求記録!$B$6:$B$3005,$M38)))</f>
        <v/>
      </c>
      <c r="C38">
        <f>IF($M38="","",IF(INDEX(請求記録!$V$6:$V$3005,$M38)="","",INDEX(請求記録!$V$6:$V$3005,$M38)))</f>
        <v/>
      </c>
      <c r="D38">
        <f>IF($M38="","",IF(INDEX(請求記録!$W$6:$W$3005,$M38)="","",INDEX(請求記録!$W$6:$W$3005,$M38)))</f>
        <v/>
      </c>
      <c r="E38">
        <f>IF($M38="","",IF(INDEX(請求記録!$X$6:$X$3005,$M38)="","",INDEX(請求記録!$X$6:$X$3005,$M38)))</f>
        <v/>
      </c>
      <c r="F38" s="19">
        <f>IF($M38="","",IF(INDEX(請求記録!$E$6:$E$3005,$M38)="","",INDEX(請求記録!$E$6:$E$3005,$M38)))</f>
        <v/>
      </c>
      <c r="G38" s="19">
        <f>IF($M38="","",IF(INDEX(請求記録!$AC$6:$AC$3005,$M38)="","",INDEX(請求記録!$AC$6:$AC$3005,$M38)))</f>
        <v/>
      </c>
      <c r="H38">
        <f>IF($M38="","",IF(INDEX(請求記録!$AE$6:$AE$3005,$M38)="","",INDEX(請求記録!$AE$6:$AE$3005,$M38)))</f>
        <v/>
      </c>
      <c r="I38" s="20">
        <f>IF($M38="","",IF(INDEX(請求記録!$AF$6:$AF$3005,$M38)="","",INDEX(請求記録!$AF$6:$AF$3005,$M38)))</f>
        <v/>
      </c>
      <c r="J38">
        <f>IF($M38="","",IF(INDEX(請求記録!$AI$6:$AI$3005,$M38)="","",INDEX(請求記録!$AI$6:$AI$3005,$M38)))</f>
        <v/>
      </c>
      <c r="K38" s="20">
        <f>IF($M38="","",IF(INDEX(請求記録!$AH$6:$AH$3005,$M38)="","",INDEX(請求記録!$AH$6:$AH$3005,$M38)))</f>
        <v/>
      </c>
      <c r="L38">
        <f>IF($M38="","",IF(INDEX(請求記録!$AL$6:$AL$3005,$M38)="","",INDEX(請求記録!$AL$6:$AL$3005,$M38)))</f>
        <v/>
      </c>
      <c r="M38">
        <f>IFERROR(MATCH(33,請求記録!$AM$6:$AM$3005,0),"")</f>
        <v/>
      </c>
    </row>
    <row r="39">
      <c r="A39">
        <f>IF($M39="","",34)</f>
        <v/>
      </c>
      <c r="B39">
        <f>IF($M39="","",IF(INDEX(請求記録!$B$6:$B$3005,$M39)="","",INDEX(請求記録!$B$6:$B$3005,$M39)))</f>
        <v/>
      </c>
      <c r="C39">
        <f>IF($M39="","",IF(INDEX(請求記録!$V$6:$V$3005,$M39)="","",INDEX(請求記録!$V$6:$V$3005,$M39)))</f>
        <v/>
      </c>
      <c r="D39">
        <f>IF($M39="","",IF(INDEX(請求記録!$W$6:$W$3005,$M39)="","",INDEX(請求記録!$W$6:$W$3005,$M39)))</f>
        <v/>
      </c>
      <c r="E39">
        <f>IF($M39="","",IF(INDEX(請求記録!$X$6:$X$3005,$M39)="","",INDEX(請求記録!$X$6:$X$3005,$M39)))</f>
        <v/>
      </c>
      <c r="F39" s="19">
        <f>IF($M39="","",IF(INDEX(請求記録!$E$6:$E$3005,$M39)="","",INDEX(請求記録!$E$6:$E$3005,$M39)))</f>
        <v/>
      </c>
      <c r="G39" s="19">
        <f>IF($M39="","",IF(INDEX(請求記録!$AC$6:$AC$3005,$M39)="","",INDEX(請求記録!$AC$6:$AC$3005,$M39)))</f>
        <v/>
      </c>
      <c r="H39">
        <f>IF($M39="","",IF(INDEX(請求記録!$AE$6:$AE$3005,$M39)="","",INDEX(請求記録!$AE$6:$AE$3005,$M39)))</f>
        <v/>
      </c>
      <c r="I39" s="20">
        <f>IF($M39="","",IF(INDEX(請求記録!$AF$6:$AF$3005,$M39)="","",INDEX(請求記録!$AF$6:$AF$3005,$M39)))</f>
        <v/>
      </c>
      <c r="J39">
        <f>IF($M39="","",IF(INDEX(請求記録!$AI$6:$AI$3005,$M39)="","",INDEX(請求記録!$AI$6:$AI$3005,$M39)))</f>
        <v/>
      </c>
      <c r="K39" s="20">
        <f>IF($M39="","",IF(INDEX(請求記録!$AH$6:$AH$3005,$M39)="","",INDEX(請求記録!$AH$6:$AH$3005,$M39)))</f>
        <v/>
      </c>
      <c r="L39">
        <f>IF($M39="","",IF(INDEX(請求記録!$AL$6:$AL$3005,$M39)="","",INDEX(請求記録!$AL$6:$AL$3005,$M39)))</f>
        <v/>
      </c>
      <c r="M39">
        <f>IFERROR(MATCH(34,請求記録!$AM$6:$AM$3005,0),"")</f>
        <v/>
      </c>
    </row>
    <row r="40">
      <c r="A40">
        <f>IF($M40="","",35)</f>
        <v/>
      </c>
      <c r="B40">
        <f>IF($M40="","",IF(INDEX(請求記録!$B$6:$B$3005,$M40)="","",INDEX(請求記録!$B$6:$B$3005,$M40)))</f>
        <v/>
      </c>
      <c r="C40">
        <f>IF($M40="","",IF(INDEX(請求記録!$V$6:$V$3005,$M40)="","",INDEX(請求記録!$V$6:$V$3005,$M40)))</f>
        <v/>
      </c>
      <c r="D40">
        <f>IF($M40="","",IF(INDEX(請求記録!$W$6:$W$3005,$M40)="","",INDEX(請求記録!$W$6:$W$3005,$M40)))</f>
        <v/>
      </c>
      <c r="E40">
        <f>IF($M40="","",IF(INDEX(請求記録!$X$6:$X$3005,$M40)="","",INDEX(請求記録!$X$6:$X$3005,$M40)))</f>
        <v/>
      </c>
      <c r="F40" s="19">
        <f>IF($M40="","",IF(INDEX(請求記録!$E$6:$E$3005,$M40)="","",INDEX(請求記録!$E$6:$E$3005,$M40)))</f>
        <v/>
      </c>
      <c r="G40" s="19">
        <f>IF($M40="","",IF(INDEX(請求記録!$AC$6:$AC$3005,$M40)="","",INDEX(請求記録!$AC$6:$AC$3005,$M40)))</f>
        <v/>
      </c>
      <c r="H40">
        <f>IF($M40="","",IF(INDEX(請求記録!$AE$6:$AE$3005,$M40)="","",INDEX(請求記録!$AE$6:$AE$3005,$M40)))</f>
        <v/>
      </c>
      <c r="I40" s="20">
        <f>IF($M40="","",IF(INDEX(請求記録!$AF$6:$AF$3005,$M40)="","",INDEX(請求記録!$AF$6:$AF$3005,$M40)))</f>
        <v/>
      </c>
      <c r="J40">
        <f>IF($M40="","",IF(INDEX(請求記録!$AI$6:$AI$3005,$M40)="","",INDEX(請求記録!$AI$6:$AI$3005,$M40)))</f>
        <v/>
      </c>
      <c r="K40" s="20">
        <f>IF($M40="","",IF(INDEX(請求記録!$AH$6:$AH$3005,$M40)="","",INDEX(請求記録!$AH$6:$AH$3005,$M40)))</f>
        <v/>
      </c>
      <c r="L40">
        <f>IF($M40="","",IF(INDEX(請求記録!$AL$6:$AL$3005,$M40)="","",INDEX(請求記録!$AL$6:$AL$3005,$M40)))</f>
        <v/>
      </c>
      <c r="M40">
        <f>IFERROR(MATCH(35,請求記録!$AM$6:$AM$3005,0),"")</f>
        <v/>
      </c>
    </row>
    <row r="41">
      <c r="A41">
        <f>IF($M41="","",36)</f>
        <v/>
      </c>
      <c r="B41">
        <f>IF($M41="","",IF(INDEX(請求記録!$B$6:$B$3005,$M41)="","",INDEX(請求記録!$B$6:$B$3005,$M41)))</f>
        <v/>
      </c>
      <c r="C41">
        <f>IF($M41="","",IF(INDEX(請求記録!$V$6:$V$3005,$M41)="","",INDEX(請求記録!$V$6:$V$3005,$M41)))</f>
        <v/>
      </c>
      <c r="D41">
        <f>IF($M41="","",IF(INDEX(請求記録!$W$6:$W$3005,$M41)="","",INDEX(請求記録!$W$6:$W$3005,$M41)))</f>
        <v/>
      </c>
      <c r="E41">
        <f>IF($M41="","",IF(INDEX(請求記録!$X$6:$X$3005,$M41)="","",INDEX(請求記録!$X$6:$X$3005,$M41)))</f>
        <v/>
      </c>
      <c r="F41" s="19">
        <f>IF($M41="","",IF(INDEX(請求記録!$E$6:$E$3005,$M41)="","",INDEX(請求記録!$E$6:$E$3005,$M41)))</f>
        <v/>
      </c>
      <c r="G41" s="19">
        <f>IF($M41="","",IF(INDEX(請求記録!$AC$6:$AC$3005,$M41)="","",INDEX(請求記録!$AC$6:$AC$3005,$M41)))</f>
        <v/>
      </c>
      <c r="H41">
        <f>IF($M41="","",IF(INDEX(請求記録!$AE$6:$AE$3005,$M41)="","",INDEX(請求記録!$AE$6:$AE$3005,$M41)))</f>
        <v/>
      </c>
      <c r="I41" s="20">
        <f>IF($M41="","",IF(INDEX(請求記録!$AF$6:$AF$3005,$M41)="","",INDEX(請求記録!$AF$6:$AF$3005,$M41)))</f>
        <v/>
      </c>
      <c r="J41">
        <f>IF($M41="","",IF(INDEX(請求記録!$AI$6:$AI$3005,$M41)="","",INDEX(請求記録!$AI$6:$AI$3005,$M41)))</f>
        <v/>
      </c>
      <c r="K41" s="20">
        <f>IF($M41="","",IF(INDEX(請求記録!$AH$6:$AH$3005,$M41)="","",INDEX(請求記録!$AH$6:$AH$3005,$M41)))</f>
        <v/>
      </c>
      <c r="L41">
        <f>IF($M41="","",IF(INDEX(請求記録!$AL$6:$AL$3005,$M41)="","",INDEX(請求記録!$AL$6:$AL$3005,$M41)))</f>
        <v/>
      </c>
      <c r="M41">
        <f>IFERROR(MATCH(36,請求記録!$AM$6:$AM$3005,0),"")</f>
        <v/>
      </c>
    </row>
    <row r="42">
      <c r="A42">
        <f>IF($M42="","",37)</f>
        <v/>
      </c>
      <c r="B42">
        <f>IF($M42="","",IF(INDEX(請求記録!$B$6:$B$3005,$M42)="","",INDEX(請求記録!$B$6:$B$3005,$M42)))</f>
        <v/>
      </c>
      <c r="C42">
        <f>IF($M42="","",IF(INDEX(請求記録!$V$6:$V$3005,$M42)="","",INDEX(請求記録!$V$6:$V$3005,$M42)))</f>
        <v/>
      </c>
      <c r="D42">
        <f>IF($M42="","",IF(INDEX(請求記録!$W$6:$W$3005,$M42)="","",INDEX(請求記録!$W$6:$W$3005,$M42)))</f>
        <v/>
      </c>
      <c r="E42">
        <f>IF($M42="","",IF(INDEX(請求記録!$X$6:$X$3005,$M42)="","",INDEX(請求記録!$X$6:$X$3005,$M42)))</f>
        <v/>
      </c>
      <c r="F42" s="19">
        <f>IF($M42="","",IF(INDEX(請求記録!$E$6:$E$3005,$M42)="","",INDEX(請求記録!$E$6:$E$3005,$M42)))</f>
        <v/>
      </c>
      <c r="G42" s="19">
        <f>IF($M42="","",IF(INDEX(請求記録!$AC$6:$AC$3005,$M42)="","",INDEX(請求記録!$AC$6:$AC$3005,$M42)))</f>
        <v/>
      </c>
      <c r="H42">
        <f>IF($M42="","",IF(INDEX(請求記録!$AE$6:$AE$3005,$M42)="","",INDEX(請求記録!$AE$6:$AE$3005,$M42)))</f>
        <v/>
      </c>
      <c r="I42" s="20">
        <f>IF($M42="","",IF(INDEX(請求記録!$AF$6:$AF$3005,$M42)="","",INDEX(請求記録!$AF$6:$AF$3005,$M42)))</f>
        <v/>
      </c>
      <c r="J42">
        <f>IF($M42="","",IF(INDEX(請求記録!$AI$6:$AI$3005,$M42)="","",INDEX(請求記録!$AI$6:$AI$3005,$M42)))</f>
        <v/>
      </c>
      <c r="K42" s="20">
        <f>IF($M42="","",IF(INDEX(請求記録!$AH$6:$AH$3005,$M42)="","",INDEX(請求記録!$AH$6:$AH$3005,$M42)))</f>
        <v/>
      </c>
      <c r="L42">
        <f>IF($M42="","",IF(INDEX(請求記録!$AL$6:$AL$3005,$M42)="","",INDEX(請求記録!$AL$6:$AL$3005,$M42)))</f>
        <v/>
      </c>
      <c r="M42">
        <f>IFERROR(MATCH(37,請求記録!$AM$6:$AM$3005,0),"")</f>
        <v/>
      </c>
    </row>
    <row r="43">
      <c r="A43">
        <f>IF($M43="","",38)</f>
        <v/>
      </c>
      <c r="B43">
        <f>IF($M43="","",IF(INDEX(請求記録!$B$6:$B$3005,$M43)="","",INDEX(請求記録!$B$6:$B$3005,$M43)))</f>
        <v/>
      </c>
      <c r="C43">
        <f>IF($M43="","",IF(INDEX(請求記録!$V$6:$V$3005,$M43)="","",INDEX(請求記録!$V$6:$V$3005,$M43)))</f>
        <v/>
      </c>
      <c r="D43">
        <f>IF($M43="","",IF(INDEX(請求記録!$W$6:$W$3005,$M43)="","",INDEX(請求記録!$W$6:$W$3005,$M43)))</f>
        <v/>
      </c>
      <c r="E43">
        <f>IF($M43="","",IF(INDEX(請求記録!$X$6:$X$3005,$M43)="","",INDEX(請求記録!$X$6:$X$3005,$M43)))</f>
        <v/>
      </c>
      <c r="F43" s="19">
        <f>IF($M43="","",IF(INDEX(請求記録!$E$6:$E$3005,$M43)="","",INDEX(請求記録!$E$6:$E$3005,$M43)))</f>
        <v/>
      </c>
      <c r="G43" s="19">
        <f>IF($M43="","",IF(INDEX(請求記録!$AC$6:$AC$3005,$M43)="","",INDEX(請求記録!$AC$6:$AC$3005,$M43)))</f>
        <v/>
      </c>
      <c r="H43">
        <f>IF($M43="","",IF(INDEX(請求記録!$AE$6:$AE$3005,$M43)="","",INDEX(請求記録!$AE$6:$AE$3005,$M43)))</f>
        <v/>
      </c>
      <c r="I43" s="20">
        <f>IF($M43="","",IF(INDEX(請求記録!$AF$6:$AF$3005,$M43)="","",INDEX(請求記録!$AF$6:$AF$3005,$M43)))</f>
        <v/>
      </c>
      <c r="J43">
        <f>IF($M43="","",IF(INDEX(請求記録!$AI$6:$AI$3005,$M43)="","",INDEX(請求記録!$AI$6:$AI$3005,$M43)))</f>
        <v/>
      </c>
      <c r="K43" s="20">
        <f>IF($M43="","",IF(INDEX(請求記録!$AH$6:$AH$3005,$M43)="","",INDEX(請求記録!$AH$6:$AH$3005,$M43)))</f>
        <v/>
      </c>
      <c r="L43">
        <f>IF($M43="","",IF(INDEX(請求記録!$AL$6:$AL$3005,$M43)="","",INDEX(請求記録!$AL$6:$AL$3005,$M43)))</f>
        <v/>
      </c>
      <c r="M43">
        <f>IFERROR(MATCH(38,請求記録!$AM$6:$AM$3005,0),"")</f>
        <v/>
      </c>
    </row>
    <row r="44">
      <c r="A44">
        <f>IF($M44="","",39)</f>
        <v/>
      </c>
      <c r="B44">
        <f>IF($M44="","",IF(INDEX(請求記録!$B$6:$B$3005,$M44)="","",INDEX(請求記録!$B$6:$B$3005,$M44)))</f>
        <v/>
      </c>
      <c r="C44">
        <f>IF($M44="","",IF(INDEX(請求記録!$V$6:$V$3005,$M44)="","",INDEX(請求記録!$V$6:$V$3005,$M44)))</f>
        <v/>
      </c>
      <c r="D44">
        <f>IF($M44="","",IF(INDEX(請求記録!$W$6:$W$3005,$M44)="","",INDEX(請求記録!$W$6:$W$3005,$M44)))</f>
        <v/>
      </c>
      <c r="E44">
        <f>IF($M44="","",IF(INDEX(請求記録!$X$6:$X$3005,$M44)="","",INDEX(請求記録!$X$6:$X$3005,$M44)))</f>
        <v/>
      </c>
      <c r="F44" s="19">
        <f>IF($M44="","",IF(INDEX(請求記録!$E$6:$E$3005,$M44)="","",INDEX(請求記録!$E$6:$E$3005,$M44)))</f>
        <v/>
      </c>
      <c r="G44" s="19">
        <f>IF($M44="","",IF(INDEX(請求記録!$AC$6:$AC$3005,$M44)="","",INDEX(請求記録!$AC$6:$AC$3005,$M44)))</f>
        <v/>
      </c>
      <c r="H44">
        <f>IF($M44="","",IF(INDEX(請求記録!$AE$6:$AE$3005,$M44)="","",INDEX(請求記録!$AE$6:$AE$3005,$M44)))</f>
        <v/>
      </c>
      <c r="I44" s="20">
        <f>IF($M44="","",IF(INDEX(請求記録!$AF$6:$AF$3005,$M44)="","",INDEX(請求記録!$AF$6:$AF$3005,$M44)))</f>
        <v/>
      </c>
      <c r="J44">
        <f>IF($M44="","",IF(INDEX(請求記録!$AI$6:$AI$3005,$M44)="","",INDEX(請求記録!$AI$6:$AI$3005,$M44)))</f>
        <v/>
      </c>
      <c r="K44" s="20">
        <f>IF($M44="","",IF(INDEX(請求記録!$AH$6:$AH$3005,$M44)="","",INDEX(請求記録!$AH$6:$AH$3005,$M44)))</f>
        <v/>
      </c>
      <c r="L44">
        <f>IF($M44="","",IF(INDEX(請求記録!$AL$6:$AL$3005,$M44)="","",INDEX(請求記録!$AL$6:$AL$3005,$M44)))</f>
        <v/>
      </c>
      <c r="M44">
        <f>IFERROR(MATCH(39,請求記録!$AM$6:$AM$3005,0),"")</f>
        <v/>
      </c>
    </row>
    <row r="45">
      <c r="A45">
        <f>IF($M45="","",40)</f>
        <v/>
      </c>
      <c r="B45">
        <f>IF($M45="","",IF(INDEX(請求記録!$B$6:$B$3005,$M45)="","",INDEX(請求記録!$B$6:$B$3005,$M45)))</f>
        <v/>
      </c>
      <c r="C45">
        <f>IF($M45="","",IF(INDEX(請求記録!$V$6:$V$3005,$M45)="","",INDEX(請求記録!$V$6:$V$3005,$M45)))</f>
        <v/>
      </c>
      <c r="D45">
        <f>IF($M45="","",IF(INDEX(請求記録!$W$6:$W$3005,$M45)="","",INDEX(請求記録!$W$6:$W$3005,$M45)))</f>
        <v/>
      </c>
      <c r="E45">
        <f>IF($M45="","",IF(INDEX(請求記録!$X$6:$X$3005,$M45)="","",INDEX(請求記録!$X$6:$X$3005,$M45)))</f>
        <v/>
      </c>
      <c r="F45" s="19">
        <f>IF($M45="","",IF(INDEX(請求記録!$E$6:$E$3005,$M45)="","",INDEX(請求記録!$E$6:$E$3005,$M45)))</f>
        <v/>
      </c>
      <c r="G45" s="19">
        <f>IF($M45="","",IF(INDEX(請求記録!$AC$6:$AC$3005,$M45)="","",INDEX(請求記録!$AC$6:$AC$3005,$M45)))</f>
        <v/>
      </c>
      <c r="H45">
        <f>IF($M45="","",IF(INDEX(請求記録!$AE$6:$AE$3005,$M45)="","",INDEX(請求記録!$AE$6:$AE$3005,$M45)))</f>
        <v/>
      </c>
      <c r="I45" s="20">
        <f>IF($M45="","",IF(INDEX(請求記録!$AF$6:$AF$3005,$M45)="","",INDEX(請求記録!$AF$6:$AF$3005,$M45)))</f>
        <v/>
      </c>
      <c r="J45">
        <f>IF($M45="","",IF(INDEX(請求記録!$AI$6:$AI$3005,$M45)="","",INDEX(請求記録!$AI$6:$AI$3005,$M45)))</f>
        <v/>
      </c>
      <c r="K45" s="20">
        <f>IF($M45="","",IF(INDEX(請求記録!$AH$6:$AH$3005,$M45)="","",INDEX(請求記録!$AH$6:$AH$3005,$M45)))</f>
        <v/>
      </c>
      <c r="L45">
        <f>IF($M45="","",IF(INDEX(請求記録!$AL$6:$AL$3005,$M45)="","",INDEX(請求記録!$AL$6:$AL$3005,$M45)))</f>
        <v/>
      </c>
      <c r="M45">
        <f>IFERROR(MATCH(40,請求記録!$AM$6:$AM$3005,0),"")</f>
        <v/>
      </c>
    </row>
    <row r="46">
      <c r="A46">
        <f>IF($M46="","",41)</f>
        <v/>
      </c>
      <c r="B46">
        <f>IF($M46="","",IF(INDEX(請求記録!$B$6:$B$3005,$M46)="","",INDEX(請求記録!$B$6:$B$3005,$M46)))</f>
        <v/>
      </c>
      <c r="C46">
        <f>IF($M46="","",IF(INDEX(請求記録!$V$6:$V$3005,$M46)="","",INDEX(請求記録!$V$6:$V$3005,$M46)))</f>
        <v/>
      </c>
      <c r="D46">
        <f>IF($M46="","",IF(INDEX(請求記録!$W$6:$W$3005,$M46)="","",INDEX(請求記録!$W$6:$W$3005,$M46)))</f>
        <v/>
      </c>
      <c r="E46">
        <f>IF($M46="","",IF(INDEX(請求記録!$X$6:$X$3005,$M46)="","",INDEX(請求記録!$X$6:$X$3005,$M46)))</f>
        <v/>
      </c>
      <c r="F46" s="19">
        <f>IF($M46="","",IF(INDEX(請求記録!$E$6:$E$3005,$M46)="","",INDEX(請求記録!$E$6:$E$3005,$M46)))</f>
        <v/>
      </c>
      <c r="G46" s="19">
        <f>IF($M46="","",IF(INDEX(請求記録!$AC$6:$AC$3005,$M46)="","",INDEX(請求記録!$AC$6:$AC$3005,$M46)))</f>
        <v/>
      </c>
      <c r="H46">
        <f>IF($M46="","",IF(INDEX(請求記録!$AE$6:$AE$3005,$M46)="","",INDEX(請求記録!$AE$6:$AE$3005,$M46)))</f>
        <v/>
      </c>
      <c r="I46" s="20">
        <f>IF($M46="","",IF(INDEX(請求記録!$AF$6:$AF$3005,$M46)="","",INDEX(請求記録!$AF$6:$AF$3005,$M46)))</f>
        <v/>
      </c>
      <c r="J46">
        <f>IF($M46="","",IF(INDEX(請求記録!$AI$6:$AI$3005,$M46)="","",INDEX(請求記録!$AI$6:$AI$3005,$M46)))</f>
        <v/>
      </c>
      <c r="K46" s="20">
        <f>IF($M46="","",IF(INDEX(請求記録!$AH$6:$AH$3005,$M46)="","",INDEX(請求記録!$AH$6:$AH$3005,$M46)))</f>
        <v/>
      </c>
      <c r="L46">
        <f>IF($M46="","",IF(INDEX(請求記録!$AL$6:$AL$3005,$M46)="","",INDEX(請求記録!$AL$6:$AL$3005,$M46)))</f>
        <v/>
      </c>
      <c r="M46">
        <f>IFERROR(MATCH(41,請求記録!$AM$6:$AM$3005,0),"")</f>
        <v/>
      </c>
    </row>
    <row r="47">
      <c r="A47">
        <f>IF($M47="","",42)</f>
        <v/>
      </c>
      <c r="B47">
        <f>IF($M47="","",IF(INDEX(請求記録!$B$6:$B$3005,$M47)="","",INDEX(請求記録!$B$6:$B$3005,$M47)))</f>
        <v/>
      </c>
      <c r="C47">
        <f>IF($M47="","",IF(INDEX(請求記録!$V$6:$V$3005,$M47)="","",INDEX(請求記録!$V$6:$V$3005,$M47)))</f>
        <v/>
      </c>
      <c r="D47">
        <f>IF($M47="","",IF(INDEX(請求記録!$W$6:$W$3005,$M47)="","",INDEX(請求記録!$W$6:$W$3005,$M47)))</f>
        <v/>
      </c>
      <c r="E47">
        <f>IF($M47="","",IF(INDEX(請求記録!$X$6:$X$3005,$M47)="","",INDEX(請求記録!$X$6:$X$3005,$M47)))</f>
        <v/>
      </c>
      <c r="F47" s="19">
        <f>IF($M47="","",IF(INDEX(請求記録!$E$6:$E$3005,$M47)="","",INDEX(請求記録!$E$6:$E$3005,$M47)))</f>
        <v/>
      </c>
      <c r="G47" s="19">
        <f>IF($M47="","",IF(INDEX(請求記録!$AC$6:$AC$3005,$M47)="","",INDEX(請求記録!$AC$6:$AC$3005,$M47)))</f>
        <v/>
      </c>
      <c r="H47">
        <f>IF($M47="","",IF(INDEX(請求記録!$AE$6:$AE$3005,$M47)="","",INDEX(請求記録!$AE$6:$AE$3005,$M47)))</f>
        <v/>
      </c>
      <c r="I47" s="20">
        <f>IF($M47="","",IF(INDEX(請求記録!$AF$6:$AF$3005,$M47)="","",INDEX(請求記録!$AF$6:$AF$3005,$M47)))</f>
        <v/>
      </c>
      <c r="J47">
        <f>IF($M47="","",IF(INDEX(請求記録!$AI$6:$AI$3005,$M47)="","",INDEX(請求記録!$AI$6:$AI$3005,$M47)))</f>
        <v/>
      </c>
      <c r="K47" s="20">
        <f>IF($M47="","",IF(INDEX(請求記録!$AH$6:$AH$3005,$M47)="","",INDEX(請求記録!$AH$6:$AH$3005,$M47)))</f>
        <v/>
      </c>
      <c r="L47">
        <f>IF($M47="","",IF(INDEX(請求記録!$AL$6:$AL$3005,$M47)="","",INDEX(請求記録!$AL$6:$AL$3005,$M47)))</f>
        <v/>
      </c>
      <c r="M47">
        <f>IFERROR(MATCH(42,請求記録!$AM$6:$AM$3005,0),"")</f>
        <v/>
      </c>
    </row>
    <row r="48">
      <c r="A48">
        <f>IF($M48="","",43)</f>
        <v/>
      </c>
      <c r="B48">
        <f>IF($M48="","",IF(INDEX(請求記録!$B$6:$B$3005,$M48)="","",INDEX(請求記録!$B$6:$B$3005,$M48)))</f>
        <v/>
      </c>
      <c r="C48">
        <f>IF($M48="","",IF(INDEX(請求記録!$V$6:$V$3005,$M48)="","",INDEX(請求記録!$V$6:$V$3005,$M48)))</f>
        <v/>
      </c>
      <c r="D48">
        <f>IF($M48="","",IF(INDEX(請求記録!$W$6:$W$3005,$M48)="","",INDEX(請求記録!$W$6:$W$3005,$M48)))</f>
        <v/>
      </c>
      <c r="E48">
        <f>IF($M48="","",IF(INDEX(請求記録!$X$6:$X$3005,$M48)="","",INDEX(請求記録!$X$6:$X$3005,$M48)))</f>
        <v/>
      </c>
      <c r="F48" s="19">
        <f>IF($M48="","",IF(INDEX(請求記録!$E$6:$E$3005,$M48)="","",INDEX(請求記録!$E$6:$E$3005,$M48)))</f>
        <v/>
      </c>
      <c r="G48" s="19">
        <f>IF($M48="","",IF(INDEX(請求記録!$AC$6:$AC$3005,$M48)="","",INDEX(請求記録!$AC$6:$AC$3005,$M48)))</f>
        <v/>
      </c>
      <c r="H48">
        <f>IF($M48="","",IF(INDEX(請求記録!$AE$6:$AE$3005,$M48)="","",INDEX(請求記録!$AE$6:$AE$3005,$M48)))</f>
        <v/>
      </c>
      <c r="I48" s="20">
        <f>IF($M48="","",IF(INDEX(請求記録!$AF$6:$AF$3005,$M48)="","",INDEX(請求記録!$AF$6:$AF$3005,$M48)))</f>
        <v/>
      </c>
      <c r="J48">
        <f>IF($M48="","",IF(INDEX(請求記録!$AI$6:$AI$3005,$M48)="","",INDEX(請求記録!$AI$6:$AI$3005,$M48)))</f>
        <v/>
      </c>
      <c r="K48" s="20">
        <f>IF($M48="","",IF(INDEX(請求記録!$AH$6:$AH$3005,$M48)="","",INDEX(請求記録!$AH$6:$AH$3005,$M48)))</f>
        <v/>
      </c>
      <c r="L48">
        <f>IF($M48="","",IF(INDEX(請求記録!$AL$6:$AL$3005,$M48)="","",INDEX(請求記録!$AL$6:$AL$3005,$M48)))</f>
        <v/>
      </c>
      <c r="M48">
        <f>IFERROR(MATCH(43,請求記録!$AM$6:$AM$3005,0),"")</f>
        <v/>
      </c>
    </row>
    <row r="49">
      <c r="A49">
        <f>IF($M49="","",44)</f>
        <v/>
      </c>
      <c r="B49">
        <f>IF($M49="","",IF(INDEX(請求記録!$B$6:$B$3005,$M49)="","",INDEX(請求記録!$B$6:$B$3005,$M49)))</f>
        <v/>
      </c>
      <c r="C49">
        <f>IF($M49="","",IF(INDEX(請求記録!$V$6:$V$3005,$M49)="","",INDEX(請求記録!$V$6:$V$3005,$M49)))</f>
        <v/>
      </c>
      <c r="D49">
        <f>IF($M49="","",IF(INDEX(請求記録!$W$6:$W$3005,$M49)="","",INDEX(請求記録!$W$6:$W$3005,$M49)))</f>
        <v/>
      </c>
      <c r="E49">
        <f>IF($M49="","",IF(INDEX(請求記録!$X$6:$X$3005,$M49)="","",INDEX(請求記録!$X$6:$X$3005,$M49)))</f>
        <v/>
      </c>
      <c r="F49" s="19">
        <f>IF($M49="","",IF(INDEX(請求記録!$E$6:$E$3005,$M49)="","",INDEX(請求記録!$E$6:$E$3005,$M49)))</f>
        <v/>
      </c>
      <c r="G49" s="19">
        <f>IF($M49="","",IF(INDEX(請求記録!$AC$6:$AC$3005,$M49)="","",INDEX(請求記録!$AC$6:$AC$3005,$M49)))</f>
        <v/>
      </c>
      <c r="H49">
        <f>IF($M49="","",IF(INDEX(請求記録!$AE$6:$AE$3005,$M49)="","",INDEX(請求記録!$AE$6:$AE$3005,$M49)))</f>
        <v/>
      </c>
      <c r="I49" s="20">
        <f>IF($M49="","",IF(INDEX(請求記録!$AF$6:$AF$3005,$M49)="","",INDEX(請求記録!$AF$6:$AF$3005,$M49)))</f>
        <v/>
      </c>
      <c r="J49">
        <f>IF($M49="","",IF(INDEX(請求記録!$AI$6:$AI$3005,$M49)="","",INDEX(請求記録!$AI$6:$AI$3005,$M49)))</f>
        <v/>
      </c>
      <c r="K49" s="20">
        <f>IF($M49="","",IF(INDEX(請求記録!$AH$6:$AH$3005,$M49)="","",INDEX(請求記録!$AH$6:$AH$3005,$M49)))</f>
        <v/>
      </c>
      <c r="L49">
        <f>IF($M49="","",IF(INDEX(請求記録!$AL$6:$AL$3005,$M49)="","",INDEX(請求記録!$AL$6:$AL$3005,$M49)))</f>
        <v/>
      </c>
      <c r="M49">
        <f>IFERROR(MATCH(44,請求記録!$AM$6:$AM$3005,0),"")</f>
        <v/>
      </c>
    </row>
    <row r="50">
      <c r="A50">
        <f>IF($M50="","",45)</f>
        <v/>
      </c>
      <c r="B50">
        <f>IF($M50="","",IF(INDEX(請求記録!$B$6:$B$3005,$M50)="","",INDEX(請求記録!$B$6:$B$3005,$M50)))</f>
        <v/>
      </c>
      <c r="C50">
        <f>IF($M50="","",IF(INDEX(請求記録!$V$6:$V$3005,$M50)="","",INDEX(請求記録!$V$6:$V$3005,$M50)))</f>
        <v/>
      </c>
      <c r="D50">
        <f>IF($M50="","",IF(INDEX(請求記録!$W$6:$W$3005,$M50)="","",INDEX(請求記録!$W$6:$W$3005,$M50)))</f>
        <v/>
      </c>
      <c r="E50">
        <f>IF($M50="","",IF(INDEX(請求記録!$X$6:$X$3005,$M50)="","",INDEX(請求記録!$X$6:$X$3005,$M50)))</f>
        <v/>
      </c>
      <c r="F50" s="19">
        <f>IF($M50="","",IF(INDEX(請求記録!$E$6:$E$3005,$M50)="","",INDEX(請求記録!$E$6:$E$3005,$M50)))</f>
        <v/>
      </c>
      <c r="G50" s="19">
        <f>IF($M50="","",IF(INDEX(請求記録!$AC$6:$AC$3005,$M50)="","",INDEX(請求記録!$AC$6:$AC$3005,$M50)))</f>
        <v/>
      </c>
      <c r="H50">
        <f>IF($M50="","",IF(INDEX(請求記録!$AE$6:$AE$3005,$M50)="","",INDEX(請求記録!$AE$6:$AE$3005,$M50)))</f>
        <v/>
      </c>
      <c r="I50" s="20">
        <f>IF($M50="","",IF(INDEX(請求記録!$AF$6:$AF$3005,$M50)="","",INDEX(請求記録!$AF$6:$AF$3005,$M50)))</f>
        <v/>
      </c>
      <c r="J50">
        <f>IF($M50="","",IF(INDEX(請求記録!$AI$6:$AI$3005,$M50)="","",INDEX(請求記録!$AI$6:$AI$3005,$M50)))</f>
        <v/>
      </c>
      <c r="K50" s="20">
        <f>IF($M50="","",IF(INDEX(請求記録!$AH$6:$AH$3005,$M50)="","",INDEX(請求記録!$AH$6:$AH$3005,$M50)))</f>
        <v/>
      </c>
      <c r="L50">
        <f>IF($M50="","",IF(INDEX(請求記録!$AL$6:$AL$3005,$M50)="","",INDEX(請求記録!$AL$6:$AL$3005,$M50)))</f>
        <v/>
      </c>
      <c r="M50">
        <f>IFERROR(MATCH(45,請求記録!$AM$6:$AM$3005,0),"")</f>
        <v/>
      </c>
    </row>
    <row r="51">
      <c r="A51">
        <f>IF($M51="","",46)</f>
        <v/>
      </c>
      <c r="B51">
        <f>IF($M51="","",IF(INDEX(請求記録!$B$6:$B$3005,$M51)="","",INDEX(請求記録!$B$6:$B$3005,$M51)))</f>
        <v/>
      </c>
      <c r="C51">
        <f>IF($M51="","",IF(INDEX(請求記録!$V$6:$V$3005,$M51)="","",INDEX(請求記録!$V$6:$V$3005,$M51)))</f>
        <v/>
      </c>
      <c r="D51">
        <f>IF($M51="","",IF(INDEX(請求記録!$W$6:$W$3005,$M51)="","",INDEX(請求記録!$W$6:$W$3005,$M51)))</f>
        <v/>
      </c>
      <c r="E51">
        <f>IF($M51="","",IF(INDEX(請求記録!$X$6:$X$3005,$M51)="","",INDEX(請求記録!$X$6:$X$3005,$M51)))</f>
        <v/>
      </c>
      <c r="F51" s="19">
        <f>IF($M51="","",IF(INDEX(請求記録!$E$6:$E$3005,$M51)="","",INDEX(請求記録!$E$6:$E$3005,$M51)))</f>
        <v/>
      </c>
      <c r="G51" s="19">
        <f>IF($M51="","",IF(INDEX(請求記録!$AC$6:$AC$3005,$M51)="","",INDEX(請求記録!$AC$6:$AC$3005,$M51)))</f>
        <v/>
      </c>
      <c r="H51">
        <f>IF($M51="","",IF(INDEX(請求記録!$AE$6:$AE$3005,$M51)="","",INDEX(請求記録!$AE$6:$AE$3005,$M51)))</f>
        <v/>
      </c>
      <c r="I51" s="20">
        <f>IF($M51="","",IF(INDEX(請求記録!$AF$6:$AF$3005,$M51)="","",INDEX(請求記録!$AF$6:$AF$3005,$M51)))</f>
        <v/>
      </c>
      <c r="J51">
        <f>IF($M51="","",IF(INDEX(請求記録!$AI$6:$AI$3005,$M51)="","",INDEX(請求記録!$AI$6:$AI$3005,$M51)))</f>
        <v/>
      </c>
      <c r="K51" s="20">
        <f>IF($M51="","",IF(INDEX(請求記録!$AH$6:$AH$3005,$M51)="","",INDEX(請求記録!$AH$6:$AH$3005,$M51)))</f>
        <v/>
      </c>
      <c r="L51">
        <f>IF($M51="","",IF(INDEX(請求記録!$AL$6:$AL$3005,$M51)="","",INDEX(請求記録!$AL$6:$AL$3005,$M51)))</f>
        <v/>
      </c>
      <c r="M51">
        <f>IFERROR(MATCH(46,請求記録!$AM$6:$AM$3005,0),"")</f>
        <v/>
      </c>
    </row>
    <row r="52">
      <c r="A52">
        <f>IF($M52="","",47)</f>
        <v/>
      </c>
      <c r="B52">
        <f>IF($M52="","",IF(INDEX(請求記録!$B$6:$B$3005,$M52)="","",INDEX(請求記録!$B$6:$B$3005,$M52)))</f>
        <v/>
      </c>
      <c r="C52">
        <f>IF($M52="","",IF(INDEX(請求記録!$V$6:$V$3005,$M52)="","",INDEX(請求記録!$V$6:$V$3005,$M52)))</f>
        <v/>
      </c>
      <c r="D52">
        <f>IF($M52="","",IF(INDEX(請求記録!$W$6:$W$3005,$M52)="","",INDEX(請求記録!$W$6:$W$3005,$M52)))</f>
        <v/>
      </c>
      <c r="E52">
        <f>IF($M52="","",IF(INDEX(請求記録!$X$6:$X$3005,$M52)="","",INDEX(請求記録!$X$6:$X$3005,$M52)))</f>
        <v/>
      </c>
      <c r="F52" s="19">
        <f>IF($M52="","",IF(INDEX(請求記録!$E$6:$E$3005,$M52)="","",INDEX(請求記録!$E$6:$E$3005,$M52)))</f>
        <v/>
      </c>
      <c r="G52" s="19">
        <f>IF($M52="","",IF(INDEX(請求記録!$AC$6:$AC$3005,$M52)="","",INDEX(請求記録!$AC$6:$AC$3005,$M52)))</f>
        <v/>
      </c>
      <c r="H52">
        <f>IF($M52="","",IF(INDEX(請求記録!$AE$6:$AE$3005,$M52)="","",INDEX(請求記録!$AE$6:$AE$3005,$M52)))</f>
        <v/>
      </c>
      <c r="I52" s="20">
        <f>IF($M52="","",IF(INDEX(請求記録!$AF$6:$AF$3005,$M52)="","",INDEX(請求記録!$AF$6:$AF$3005,$M52)))</f>
        <v/>
      </c>
      <c r="J52">
        <f>IF($M52="","",IF(INDEX(請求記録!$AI$6:$AI$3005,$M52)="","",INDEX(請求記録!$AI$6:$AI$3005,$M52)))</f>
        <v/>
      </c>
      <c r="K52" s="20">
        <f>IF($M52="","",IF(INDEX(請求記録!$AH$6:$AH$3005,$M52)="","",INDEX(請求記録!$AH$6:$AH$3005,$M52)))</f>
        <v/>
      </c>
      <c r="L52">
        <f>IF($M52="","",IF(INDEX(請求記録!$AL$6:$AL$3005,$M52)="","",INDEX(請求記録!$AL$6:$AL$3005,$M52)))</f>
        <v/>
      </c>
      <c r="M52">
        <f>IFERROR(MATCH(47,請求記録!$AM$6:$AM$3005,0),"")</f>
        <v/>
      </c>
    </row>
    <row r="53">
      <c r="A53">
        <f>IF($M53="","",48)</f>
        <v/>
      </c>
      <c r="B53">
        <f>IF($M53="","",IF(INDEX(請求記録!$B$6:$B$3005,$M53)="","",INDEX(請求記録!$B$6:$B$3005,$M53)))</f>
        <v/>
      </c>
      <c r="C53">
        <f>IF($M53="","",IF(INDEX(請求記録!$V$6:$V$3005,$M53)="","",INDEX(請求記録!$V$6:$V$3005,$M53)))</f>
        <v/>
      </c>
      <c r="D53">
        <f>IF($M53="","",IF(INDEX(請求記録!$W$6:$W$3005,$M53)="","",INDEX(請求記録!$W$6:$W$3005,$M53)))</f>
        <v/>
      </c>
      <c r="E53">
        <f>IF($M53="","",IF(INDEX(請求記録!$X$6:$X$3005,$M53)="","",INDEX(請求記録!$X$6:$X$3005,$M53)))</f>
        <v/>
      </c>
      <c r="F53" s="19">
        <f>IF($M53="","",IF(INDEX(請求記録!$E$6:$E$3005,$M53)="","",INDEX(請求記録!$E$6:$E$3005,$M53)))</f>
        <v/>
      </c>
      <c r="G53" s="19">
        <f>IF($M53="","",IF(INDEX(請求記録!$AC$6:$AC$3005,$M53)="","",INDEX(請求記録!$AC$6:$AC$3005,$M53)))</f>
        <v/>
      </c>
      <c r="H53">
        <f>IF($M53="","",IF(INDEX(請求記録!$AE$6:$AE$3005,$M53)="","",INDEX(請求記録!$AE$6:$AE$3005,$M53)))</f>
        <v/>
      </c>
      <c r="I53" s="20">
        <f>IF($M53="","",IF(INDEX(請求記録!$AF$6:$AF$3005,$M53)="","",INDEX(請求記録!$AF$6:$AF$3005,$M53)))</f>
        <v/>
      </c>
      <c r="J53">
        <f>IF($M53="","",IF(INDEX(請求記録!$AI$6:$AI$3005,$M53)="","",INDEX(請求記録!$AI$6:$AI$3005,$M53)))</f>
        <v/>
      </c>
      <c r="K53" s="20">
        <f>IF($M53="","",IF(INDEX(請求記録!$AH$6:$AH$3005,$M53)="","",INDEX(請求記録!$AH$6:$AH$3005,$M53)))</f>
        <v/>
      </c>
      <c r="L53">
        <f>IF($M53="","",IF(INDEX(請求記録!$AL$6:$AL$3005,$M53)="","",INDEX(請求記録!$AL$6:$AL$3005,$M53)))</f>
        <v/>
      </c>
      <c r="M53">
        <f>IFERROR(MATCH(48,請求記録!$AM$6:$AM$3005,0),"")</f>
        <v/>
      </c>
    </row>
    <row r="54">
      <c r="A54">
        <f>IF($M54="","",49)</f>
        <v/>
      </c>
      <c r="B54">
        <f>IF($M54="","",IF(INDEX(請求記録!$B$6:$B$3005,$M54)="","",INDEX(請求記録!$B$6:$B$3005,$M54)))</f>
        <v/>
      </c>
      <c r="C54">
        <f>IF($M54="","",IF(INDEX(請求記録!$V$6:$V$3005,$M54)="","",INDEX(請求記録!$V$6:$V$3005,$M54)))</f>
        <v/>
      </c>
      <c r="D54">
        <f>IF($M54="","",IF(INDEX(請求記録!$W$6:$W$3005,$M54)="","",INDEX(請求記録!$W$6:$W$3005,$M54)))</f>
        <v/>
      </c>
      <c r="E54">
        <f>IF($M54="","",IF(INDEX(請求記録!$X$6:$X$3005,$M54)="","",INDEX(請求記録!$X$6:$X$3005,$M54)))</f>
        <v/>
      </c>
      <c r="F54" s="19">
        <f>IF($M54="","",IF(INDEX(請求記録!$E$6:$E$3005,$M54)="","",INDEX(請求記録!$E$6:$E$3005,$M54)))</f>
        <v/>
      </c>
      <c r="G54" s="19">
        <f>IF($M54="","",IF(INDEX(請求記録!$AC$6:$AC$3005,$M54)="","",INDEX(請求記録!$AC$6:$AC$3005,$M54)))</f>
        <v/>
      </c>
      <c r="H54">
        <f>IF($M54="","",IF(INDEX(請求記録!$AE$6:$AE$3005,$M54)="","",INDEX(請求記録!$AE$6:$AE$3005,$M54)))</f>
        <v/>
      </c>
      <c r="I54" s="20">
        <f>IF($M54="","",IF(INDEX(請求記録!$AF$6:$AF$3005,$M54)="","",INDEX(請求記録!$AF$6:$AF$3005,$M54)))</f>
        <v/>
      </c>
      <c r="J54">
        <f>IF($M54="","",IF(INDEX(請求記録!$AI$6:$AI$3005,$M54)="","",INDEX(請求記録!$AI$6:$AI$3005,$M54)))</f>
        <v/>
      </c>
      <c r="K54" s="20">
        <f>IF($M54="","",IF(INDEX(請求記録!$AH$6:$AH$3005,$M54)="","",INDEX(請求記録!$AH$6:$AH$3005,$M54)))</f>
        <v/>
      </c>
      <c r="L54">
        <f>IF($M54="","",IF(INDEX(請求記録!$AL$6:$AL$3005,$M54)="","",INDEX(請求記録!$AL$6:$AL$3005,$M54)))</f>
        <v/>
      </c>
      <c r="M54">
        <f>IFERROR(MATCH(49,請求記録!$AM$6:$AM$3005,0),"")</f>
        <v/>
      </c>
    </row>
    <row r="55">
      <c r="A55">
        <f>IF($M55="","",50)</f>
        <v/>
      </c>
      <c r="B55">
        <f>IF($M55="","",IF(INDEX(請求記録!$B$6:$B$3005,$M55)="","",INDEX(請求記録!$B$6:$B$3005,$M55)))</f>
        <v/>
      </c>
      <c r="C55">
        <f>IF($M55="","",IF(INDEX(請求記録!$V$6:$V$3005,$M55)="","",INDEX(請求記録!$V$6:$V$3005,$M55)))</f>
        <v/>
      </c>
      <c r="D55">
        <f>IF($M55="","",IF(INDEX(請求記録!$W$6:$W$3005,$M55)="","",INDEX(請求記録!$W$6:$W$3005,$M55)))</f>
        <v/>
      </c>
      <c r="E55">
        <f>IF($M55="","",IF(INDEX(請求記録!$X$6:$X$3005,$M55)="","",INDEX(請求記録!$X$6:$X$3005,$M55)))</f>
        <v/>
      </c>
      <c r="F55" s="19">
        <f>IF($M55="","",IF(INDEX(請求記録!$E$6:$E$3005,$M55)="","",INDEX(請求記録!$E$6:$E$3005,$M55)))</f>
        <v/>
      </c>
      <c r="G55" s="19">
        <f>IF($M55="","",IF(INDEX(請求記録!$AC$6:$AC$3005,$M55)="","",INDEX(請求記録!$AC$6:$AC$3005,$M55)))</f>
        <v/>
      </c>
      <c r="H55">
        <f>IF($M55="","",IF(INDEX(請求記録!$AE$6:$AE$3005,$M55)="","",INDEX(請求記録!$AE$6:$AE$3005,$M55)))</f>
        <v/>
      </c>
      <c r="I55" s="20">
        <f>IF($M55="","",IF(INDEX(請求記録!$AF$6:$AF$3005,$M55)="","",INDEX(請求記録!$AF$6:$AF$3005,$M55)))</f>
        <v/>
      </c>
      <c r="J55">
        <f>IF($M55="","",IF(INDEX(請求記録!$AI$6:$AI$3005,$M55)="","",INDEX(請求記録!$AI$6:$AI$3005,$M55)))</f>
        <v/>
      </c>
      <c r="K55" s="20">
        <f>IF($M55="","",IF(INDEX(請求記録!$AH$6:$AH$3005,$M55)="","",INDEX(請求記録!$AH$6:$AH$3005,$M55)))</f>
        <v/>
      </c>
      <c r="L55">
        <f>IF($M55="","",IF(INDEX(請求記録!$AL$6:$AL$3005,$M55)="","",INDEX(請求記録!$AL$6:$AL$3005,$M55)))</f>
        <v/>
      </c>
      <c r="M55">
        <f>IFERROR(MATCH(50,請求記録!$AM$6:$AM$3005,0),"")</f>
        <v/>
      </c>
    </row>
    <row r="56">
      <c r="A56">
        <f>IF($M56="","",51)</f>
        <v/>
      </c>
      <c r="B56">
        <f>IF($M56="","",IF(INDEX(請求記録!$B$6:$B$3005,$M56)="","",INDEX(請求記録!$B$6:$B$3005,$M56)))</f>
        <v/>
      </c>
      <c r="C56">
        <f>IF($M56="","",IF(INDEX(請求記録!$V$6:$V$3005,$M56)="","",INDEX(請求記録!$V$6:$V$3005,$M56)))</f>
        <v/>
      </c>
      <c r="D56">
        <f>IF($M56="","",IF(INDEX(請求記録!$W$6:$W$3005,$M56)="","",INDEX(請求記録!$W$6:$W$3005,$M56)))</f>
        <v/>
      </c>
      <c r="E56">
        <f>IF($M56="","",IF(INDEX(請求記録!$X$6:$X$3005,$M56)="","",INDEX(請求記録!$X$6:$X$3005,$M56)))</f>
        <v/>
      </c>
      <c r="F56" s="19">
        <f>IF($M56="","",IF(INDEX(請求記録!$E$6:$E$3005,$M56)="","",INDEX(請求記録!$E$6:$E$3005,$M56)))</f>
        <v/>
      </c>
      <c r="G56" s="19">
        <f>IF($M56="","",IF(INDEX(請求記録!$AC$6:$AC$3005,$M56)="","",INDEX(請求記録!$AC$6:$AC$3005,$M56)))</f>
        <v/>
      </c>
      <c r="H56">
        <f>IF($M56="","",IF(INDEX(請求記録!$AE$6:$AE$3005,$M56)="","",INDEX(請求記録!$AE$6:$AE$3005,$M56)))</f>
        <v/>
      </c>
      <c r="I56" s="20">
        <f>IF($M56="","",IF(INDEX(請求記録!$AF$6:$AF$3005,$M56)="","",INDEX(請求記録!$AF$6:$AF$3005,$M56)))</f>
        <v/>
      </c>
      <c r="J56">
        <f>IF($M56="","",IF(INDEX(請求記録!$AI$6:$AI$3005,$M56)="","",INDEX(請求記録!$AI$6:$AI$3005,$M56)))</f>
        <v/>
      </c>
      <c r="K56" s="20">
        <f>IF($M56="","",IF(INDEX(請求記録!$AH$6:$AH$3005,$M56)="","",INDEX(請求記録!$AH$6:$AH$3005,$M56)))</f>
        <v/>
      </c>
      <c r="L56">
        <f>IF($M56="","",IF(INDEX(請求記録!$AL$6:$AL$3005,$M56)="","",INDEX(請求記録!$AL$6:$AL$3005,$M56)))</f>
        <v/>
      </c>
      <c r="M56">
        <f>IFERROR(MATCH(51,請求記録!$AM$6:$AM$3005,0),"")</f>
        <v/>
      </c>
    </row>
    <row r="57">
      <c r="A57">
        <f>IF($M57="","",52)</f>
        <v/>
      </c>
      <c r="B57">
        <f>IF($M57="","",IF(INDEX(請求記録!$B$6:$B$3005,$M57)="","",INDEX(請求記録!$B$6:$B$3005,$M57)))</f>
        <v/>
      </c>
      <c r="C57">
        <f>IF($M57="","",IF(INDEX(請求記録!$V$6:$V$3005,$M57)="","",INDEX(請求記録!$V$6:$V$3005,$M57)))</f>
        <v/>
      </c>
      <c r="D57">
        <f>IF($M57="","",IF(INDEX(請求記録!$W$6:$W$3005,$M57)="","",INDEX(請求記録!$W$6:$W$3005,$M57)))</f>
        <v/>
      </c>
      <c r="E57">
        <f>IF($M57="","",IF(INDEX(請求記録!$X$6:$X$3005,$M57)="","",INDEX(請求記録!$X$6:$X$3005,$M57)))</f>
        <v/>
      </c>
      <c r="F57" s="19">
        <f>IF($M57="","",IF(INDEX(請求記録!$E$6:$E$3005,$M57)="","",INDEX(請求記録!$E$6:$E$3005,$M57)))</f>
        <v/>
      </c>
      <c r="G57" s="19">
        <f>IF($M57="","",IF(INDEX(請求記録!$AC$6:$AC$3005,$M57)="","",INDEX(請求記録!$AC$6:$AC$3005,$M57)))</f>
        <v/>
      </c>
      <c r="H57">
        <f>IF($M57="","",IF(INDEX(請求記録!$AE$6:$AE$3005,$M57)="","",INDEX(請求記録!$AE$6:$AE$3005,$M57)))</f>
        <v/>
      </c>
      <c r="I57" s="20">
        <f>IF($M57="","",IF(INDEX(請求記録!$AF$6:$AF$3005,$M57)="","",INDEX(請求記録!$AF$6:$AF$3005,$M57)))</f>
        <v/>
      </c>
      <c r="J57">
        <f>IF($M57="","",IF(INDEX(請求記録!$AI$6:$AI$3005,$M57)="","",INDEX(請求記録!$AI$6:$AI$3005,$M57)))</f>
        <v/>
      </c>
      <c r="K57" s="20">
        <f>IF($M57="","",IF(INDEX(請求記録!$AH$6:$AH$3005,$M57)="","",INDEX(請求記録!$AH$6:$AH$3005,$M57)))</f>
        <v/>
      </c>
      <c r="L57">
        <f>IF($M57="","",IF(INDEX(請求記録!$AL$6:$AL$3005,$M57)="","",INDEX(請求記録!$AL$6:$AL$3005,$M57)))</f>
        <v/>
      </c>
      <c r="M57">
        <f>IFERROR(MATCH(52,請求記録!$AM$6:$AM$3005,0),"")</f>
        <v/>
      </c>
    </row>
    <row r="58">
      <c r="A58">
        <f>IF($M58="","",53)</f>
        <v/>
      </c>
      <c r="B58">
        <f>IF($M58="","",IF(INDEX(請求記録!$B$6:$B$3005,$M58)="","",INDEX(請求記録!$B$6:$B$3005,$M58)))</f>
        <v/>
      </c>
      <c r="C58">
        <f>IF($M58="","",IF(INDEX(請求記録!$V$6:$V$3005,$M58)="","",INDEX(請求記録!$V$6:$V$3005,$M58)))</f>
        <v/>
      </c>
      <c r="D58">
        <f>IF($M58="","",IF(INDEX(請求記録!$W$6:$W$3005,$M58)="","",INDEX(請求記録!$W$6:$W$3005,$M58)))</f>
        <v/>
      </c>
      <c r="E58">
        <f>IF($M58="","",IF(INDEX(請求記録!$X$6:$X$3005,$M58)="","",INDEX(請求記録!$X$6:$X$3005,$M58)))</f>
        <v/>
      </c>
      <c r="F58" s="19">
        <f>IF($M58="","",IF(INDEX(請求記録!$E$6:$E$3005,$M58)="","",INDEX(請求記録!$E$6:$E$3005,$M58)))</f>
        <v/>
      </c>
      <c r="G58" s="19">
        <f>IF($M58="","",IF(INDEX(請求記録!$AC$6:$AC$3005,$M58)="","",INDEX(請求記録!$AC$6:$AC$3005,$M58)))</f>
        <v/>
      </c>
      <c r="H58">
        <f>IF($M58="","",IF(INDEX(請求記録!$AE$6:$AE$3005,$M58)="","",INDEX(請求記録!$AE$6:$AE$3005,$M58)))</f>
        <v/>
      </c>
      <c r="I58" s="20">
        <f>IF($M58="","",IF(INDEX(請求記録!$AF$6:$AF$3005,$M58)="","",INDEX(請求記録!$AF$6:$AF$3005,$M58)))</f>
        <v/>
      </c>
      <c r="J58">
        <f>IF($M58="","",IF(INDEX(請求記録!$AI$6:$AI$3005,$M58)="","",INDEX(請求記録!$AI$6:$AI$3005,$M58)))</f>
        <v/>
      </c>
      <c r="K58" s="20">
        <f>IF($M58="","",IF(INDEX(請求記録!$AH$6:$AH$3005,$M58)="","",INDEX(請求記録!$AH$6:$AH$3005,$M58)))</f>
        <v/>
      </c>
      <c r="L58">
        <f>IF($M58="","",IF(INDEX(請求記録!$AL$6:$AL$3005,$M58)="","",INDEX(請求記録!$AL$6:$AL$3005,$M58)))</f>
        <v/>
      </c>
      <c r="M58">
        <f>IFERROR(MATCH(53,請求記録!$AM$6:$AM$3005,0),"")</f>
        <v/>
      </c>
    </row>
    <row r="59">
      <c r="A59">
        <f>IF($M59="","",54)</f>
        <v/>
      </c>
      <c r="B59">
        <f>IF($M59="","",IF(INDEX(請求記録!$B$6:$B$3005,$M59)="","",INDEX(請求記録!$B$6:$B$3005,$M59)))</f>
        <v/>
      </c>
      <c r="C59">
        <f>IF($M59="","",IF(INDEX(請求記録!$V$6:$V$3005,$M59)="","",INDEX(請求記録!$V$6:$V$3005,$M59)))</f>
        <v/>
      </c>
      <c r="D59">
        <f>IF($M59="","",IF(INDEX(請求記録!$W$6:$W$3005,$M59)="","",INDEX(請求記録!$W$6:$W$3005,$M59)))</f>
        <v/>
      </c>
      <c r="E59">
        <f>IF($M59="","",IF(INDEX(請求記録!$X$6:$X$3005,$M59)="","",INDEX(請求記録!$X$6:$X$3005,$M59)))</f>
        <v/>
      </c>
      <c r="F59" s="19">
        <f>IF($M59="","",IF(INDEX(請求記録!$E$6:$E$3005,$M59)="","",INDEX(請求記録!$E$6:$E$3005,$M59)))</f>
        <v/>
      </c>
      <c r="G59" s="19">
        <f>IF($M59="","",IF(INDEX(請求記録!$AC$6:$AC$3005,$M59)="","",INDEX(請求記録!$AC$6:$AC$3005,$M59)))</f>
        <v/>
      </c>
      <c r="H59">
        <f>IF($M59="","",IF(INDEX(請求記録!$AE$6:$AE$3005,$M59)="","",INDEX(請求記録!$AE$6:$AE$3005,$M59)))</f>
        <v/>
      </c>
      <c r="I59" s="20">
        <f>IF($M59="","",IF(INDEX(請求記録!$AF$6:$AF$3005,$M59)="","",INDEX(請求記録!$AF$6:$AF$3005,$M59)))</f>
        <v/>
      </c>
      <c r="J59">
        <f>IF($M59="","",IF(INDEX(請求記録!$AI$6:$AI$3005,$M59)="","",INDEX(請求記録!$AI$6:$AI$3005,$M59)))</f>
        <v/>
      </c>
      <c r="K59" s="20">
        <f>IF($M59="","",IF(INDEX(請求記録!$AH$6:$AH$3005,$M59)="","",INDEX(請求記録!$AH$6:$AH$3005,$M59)))</f>
        <v/>
      </c>
      <c r="L59">
        <f>IF($M59="","",IF(INDEX(請求記録!$AL$6:$AL$3005,$M59)="","",INDEX(請求記録!$AL$6:$AL$3005,$M59)))</f>
        <v/>
      </c>
      <c r="M59">
        <f>IFERROR(MATCH(54,請求記録!$AM$6:$AM$3005,0),"")</f>
        <v/>
      </c>
    </row>
    <row r="60">
      <c r="A60">
        <f>IF($M60="","",55)</f>
        <v/>
      </c>
      <c r="B60">
        <f>IF($M60="","",IF(INDEX(請求記録!$B$6:$B$3005,$M60)="","",INDEX(請求記録!$B$6:$B$3005,$M60)))</f>
        <v/>
      </c>
      <c r="C60">
        <f>IF($M60="","",IF(INDEX(請求記録!$V$6:$V$3005,$M60)="","",INDEX(請求記録!$V$6:$V$3005,$M60)))</f>
        <v/>
      </c>
      <c r="D60">
        <f>IF($M60="","",IF(INDEX(請求記録!$W$6:$W$3005,$M60)="","",INDEX(請求記録!$W$6:$W$3005,$M60)))</f>
        <v/>
      </c>
      <c r="E60">
        <f>IF($M60="","",IF(INDEX(請求記録!$X$6:$X$3005,$M60)="","",INDEX(請求記録!$X$6:$X$3005,$M60)))</f>
        <v/>
      </c>
      <c r="F60" s="19">
        <f>IF($M60="","",IF(INDEX(請求記録!$E$6:$E$3005,$M60)="","",INDEX(請求記録!$E$6:$E$3005,$M60)))</f>
        <v/>
      </c>
      <c r="G60" s="19">
        <f>IF($M60="","",IF(INDEX(請求記録!$AC$6:$AC$3005,$M60)="","",INDEX(請求記録!$AC$6:$AC$3005,$M60)))</f>
        <v/>
      </c>
      <c r="H60">
        <f>IF($M60="","",IF(INDEX(請求記録!$AE$6:$AE$3005,$M60)="","",INDEX(請求記録!$AE$6:$AE$3005,$M60)))</f>
        <v/>
      </c>
      <c r="I60" s="20">
        <f>IF($M60="","",IF(INDEX(請求記録!$AF$6:$AF$3005,$M60)="","",INDEX(請求記録!$AF$6:$AF$3005,$M60)))</f>
        <v/>
      </c>
      <c r="J60">
        <f>IF($M60="","",IF(INDEX(請求記録!$AI$6:$AI$3005,$M60)="","",INDEX(請求記録!$AI$6:$AI$3005,$M60)))</f>
        <v/>
      </c>
      <c r="K60" s="20">
        <f>IF($M60="","",IF(INDEX(請求記録!$AH$6:$AH$3005,$M60)="","",INDEX(請求記録!$AH$6:$AH$3005,$M60)))</f>
        <v/>
      </c>
      <c r="L60">
        <f>IF($M60="","",IF(INDEX(請求記録!$AL$6:$AL$3005,$M60)="","",INDEX(請求記録!$AL$6:$AL$3005,$M60)))</f>
        <v/>
      </c>
      <c r="M60">
        <f>IFERROR(MATCH(55,請求記録!$AM$6:$AM$3005,0),"")</f>
        <v/>
      </c>
    </row>
    <row r="61">
      <c r="A61">
        <f>IF($M61="","",56)</f>
        <v/>
      </c>
      <c r="B61">
        <f>IF($M61="","",IF(INDEX(請求記録!$B$6:$B$3005,$M61)="","",INDEX(請求記録!$B$6:$B$3005,$M61)))</f>
        <v/>
      </c>
      <c r="C61">
        <f>IF($M61="","",IF(INDEX(請求記録!$V$6:$V$3005,$M61)="","",INDEX(請求記録!$V$6:$V$3005,$M61)))</f>
        <v/>
      </c>
      <c r="D61">
        <f>IF($M61="","",IF(INDEX(請求記録!$W$6:$W$3005,$M61)="","",INDEX(請求記録!$W$6:$W$3005,$M61)))</f>
        <v/>
      </c>
      <c r="E61">
        <f>IF($M61="","",IF(INDEX(請求記録!$X$6:$X$3005,$M61)="","",INDEX(請求記録!$X$6:$X$3005,$M61)))</f>
        <v/>
      </c>
      <c r="F61" s="19">
        <f>IF($M61="","",IF(INDEX(請求記録!$E$6:$E$3005,$M61)="","",INDEX(請求記録!$E$6:$E$3005,$M61)))</f>
        <v/>
      </c>
      <c r="G61" s="19">
        <f>IF($M61="","",IF(INDEX(請求記録!$AC$6:$AC$3005,$M61)="","",INDEX(請求記録!$AC$6:$AC$3005,$M61)))</f>
        <v/>
      </c>
      <c r="H61">
        <f>IF($M61="","",IF(INDEX(請求記録!$AE$6:$AE$3005,$M61)="","",INDEX(請求記録!$AE$6:$AE$3005,$M61)))</f>
        <v/>
      </c>
      <c r="I61" s="20">
        <f>IF($M61="","",IF(INDEX(請求記録!$AF$6:$AF$3005,$M61)="","",INDEX(請求記録!$AF$6:$AF$3005,$M61)))</f>
        <v/>
      </c>
      <c r="J61">
        <f>IF($M61="","",IF(INDEX(請求記録!$AI$6:$AI$3005,$M61)="","",INDEX(請求記録!$AI$6:$AI$3005,$M61)))</f>
        <v/>
      </c>
      <c r="K61" s="20">
        <f>IF($M61="","",IF(INDEX(請求記録!$AH$6:$AH$3005,$M61)="","",INDEX(請求記録!$AH$6:$AH$3005,$M61)))</f>
        <v/>
      </c>
      <c r="L61">
        <f>IF($M61="","",IF(INDEX(請求記録!$AL$6:$AL$3005,$M61)="","",INDEX(請求記録!$AL$6:$AL$3005,$M61)))</f>
        <v/>
      </c>
      <c r="M61">
        <f>IFERROR(MATCH(56,請求記録!$AM$6:$AM$3005,0),"")</f>
        <v/>
      </c>
    </row>
    <row r="62">
      <c r="A62">
        <f>IF($M62="","",57)</f>
        <v/>
      </c>
      <c r="B62">
        <f>IF($M62="","",IF(INDEX(請求記録!$B$6:$B$3005,$M62)="","",INDEX(請求記録!$B$6:$B$3005,$M62)))</f>
        <v/>
      </c>
      <c r="C62">
        <f>IF($M62="","",IF(INDEX(請求記録!$V$6:$V$3005,$M62)="","",INDEX(請求記録!$V$6:$V$3005,$M62)))</f>
        <v/>
      </c>
      <c r="D62">
        <f>IF($M62="","",IF(INDEX(請求記録!$W$6:$W$3005,$M62)="","",INDEX(請求記録!$W$6:$W$3005,$M62)))</f>
        <v/>
      </c>
      <c r="E62">
        <f>IF($M62="","",IF(INDEX(請求記録!$X$6:$X$3005,$M62)="","",INDEX(請求記録!$X$6:$X$3005,$M62)))</f>
        <v/>
      </c>
      <c r="F62" s="19">
        <f>IF($M62="","",IF(INDEX(請求記録!$E$6:$E$3005,$M62)="","",INDEX(請求記録!$E$6:$E$3005,$M62)))</f>
        <v/>
      </c>
      <c r="G62" s="19">
        <f>IF($M62="","",IF(INDEX(請求記録!$AC$6:$AC$3005,$M62)="","",INDEX(請求記録!$AC$6:$AC$3005,$M62)))</f>
        <v/>
      </c>
      <c r="H62">
        <f>IF($M62="","",IF(INDEX(請求記録!$AE$6:$AE$3005,$M62)="","",INDEX(請求記録!$AE$6:$AE$3005,$M62)))</f>
        <v/>
      </c>
      <c r="I62" s="20">
        <f>IF($M62="","",IF(INDEX(請求記録!$AF$6:$AF$3005,$M62)="","",INDEX(請求記録!$AF$6:$AF$3005,$M62)))</f>
        <v/>
      </c>
      <c r="J62">
        <f>IF($M62="","",IF(INDEX(請求記録!$AI$6:$AI$3005,$M62)="","",INDEX(請求記録!$AI$6:$AI$3005,$M62)))</f>
        <v/>
      </c>
      <c r="K62" s="20">
        <f>IF($M62="","",IF(INDEX(請求記録!$AH$6:$AH$3005,$M62)="","",INDEX(請求記録!$AH$6:$AH$3005,$M62)))</f>
        <v/>
      </c>
      <c r="L62">
        <f>IF($M62="","",IF(INDEX(請求記録!$AL$6:$AL$3005,$M62)="","",INDEX(請求記録!$AL$6:$AL$3005,$M62)))</f>
        <v/>
      </c>
      <c r="M62">
        <f>IFERROR(MATCH(57,請求記録!$AM$6:$AM$3005,0),"")</f>
        <v/>
      </c>
    </row>
    <row r="63">
      <c r="A63">
        <f>IF($M63="","",58)</f>
        <v/>
      </c>
      <c r="B63">
        <f>IF($M63="","",IF(INDEX(請求記録!$B$6:$B$3005,$M63)="","",INDEX(請求記録!$B$6:$B$3005,$M63)))</f>
        <v/>
      </c>
      <c r="C63">
        <f>IF($M63="","",IF(INDEX(請求記録!$V$6:$V$3005,$M63)="","",INDEX(請求記録!$V$6:$V$3005,$M63)))</f>
        <v/>
      </c>
      <c r="D63">
        <f>IF($M63="","",IF(INDEX(請求記録!$W$6:$W$3005,$M63)="","",INDEX(請求記録!$W$6:$W$3005,$M63)))</f>
        <v/>
      </c>
      <c r="E63">
        <f>IF($M63="","",IF(INDEX(請求記録!$X$6:$X$3005,$M63)="","",INDEX(請求記録!$X$6:$X$3005,$M63)))</f>
        <v/>
      </c>
      <c r="F63" s="19">
        <f>IF($M63="","",IF(INDEX(請求記録!$E$6:$E$3005,$M63)="","",INDEX(請求記録!$E$6:$E$3005,$M63)))</f>
        <v/>
      </c>
      <c r="G63" s="19">
        <f>IF($M63="","",IF(INDEX(請求記録!$AC$6:$AC$3005,$M63)="","",INDEX(請求記録!$AC$6:$AC$3005,$M63)))</f>
        <v/>
      </c>
      <c r="H63">
        <f>IF($M63="","",IF(INDEX(請求記録!$AE$6:$AE$3005,$M63)="","",INDEX(請求記録!$AE$6:$AE$3005,$M63)))</f>
        <v/>
      </c>
      <c r="I63" s="20">
        <f>IF($M63="","",IF(INDEX(請求記録!$AF$6:$AF$3005,$M63)="","",INDEX(請求記録!$AF$6:$AF$3005,$M63)))</f>
        <v/>
      </c>
      <c r="J63">
        <f>IF($M63="","",IF(INDEX(請求記録!$AI$6:$AI$3005,$M63)="","",INDEX(請求記録!$AI$6:$AI$3005,$M63)))</f>
        <v/>
      </c>
      <c r="K63" s="20">
        <f>IF($M63="","",IF(INDEX(請求記録!$AH$6:$AH$3005,$M63)="","",INDEX(請求記録!$AH$6:$AH$3005,$M63)))</f>
        <v/>
      </c>
      <c r="L63">
        <f>IF($M63="","",IF(INDEX(請求記録!$AL$6:$AL$3005,$M63)="","",INDEX(請求記録!$AL$6:$AL$3005,$M63)))</f>
        <v/>
      </c>
      <c r="M63">
        <f>IFERROR(MATCH(58,請求記録!$AM$6:$AM$3005,0),"")</f>
        <v/>
      </c>
    </row>
    <row r="64">
      <c r="A64">
        <f>IF($M64="","",59)</f>
        <v/>
      </c>
      <c r="B64">
        <f>IF($M64="","",IF(INDEX(請求記録!$B$6:$B$3005,$M64)="","",INDEX(請求記録!$B$6:$B$3005,$M64)))</f>
        <v/>
      </c>
      <c r="C64">
        <f>IF($M64="","",IF(INDEX(請求記録!$V$6:$V$3005,$M64)="","",INDEX(請求記録!$V$6:$V$3005,$M64)))</f>
        <v/>
      </c>
      <c r="D64">
        <f>IF($M64="","",IF(INDEX(請求記録!$W$6:$W$3005,$M64)="","",INDEX(請求記録!$W$6:$W$3005,$M64)))</f>
        <v/>
      </c>
      <c r="E64">
        <f>IF($M64="","",IF(INDEX(請求記録!$X$6:$X$3005,$M64)="","",INDEX(請求記録!$X$6:$X$3005,$M64)))</f>
        <v/>
      </c>
      <c r="F64" s="19">
        <f>IF($M64="","",IF(INDEX(請求記録!$E$6:$E$3005,$M64)="","",INDEX(請求記録!$E$6:$E$3005,$M64)))</f>
        <v/>
      </c>
      <c r="G64" s="19">
        <f>IF($M64="","",IF(INDEX(請求記録!$AC$6:$AC$3005,$M64)="","",INDEX(請求記録!$AC$6:$AC$3005,$M64)))</f>
        <v/>
      </c>
      <c r="H64">
        <f>IF($M64="","",IF(INDEX(請求記録!$AE$6:$AE$3005,$M64)="","",INDEX(請求記録!$AE$6:$AE$3005,$M64)))</f>
        <v/>
      </c>
      <c r="I64" s="20">
        <f>IF($M64="","",IF(INDEX(請求記録!$AF$6:$AF$3005,$M64)="","",INDEX(請求記録!$AF$6:$AF$3005,$M64)))</f>
        <v/>
      </c>
      <c r="J64">
        <f>IF($M64="","",IF(INDEX(請求記録!$AI$6:$AI$3005,$M64)="","",INDEX(請求記録!$AI$6:$AI$3005,$M64)))</f>
        <v/>
      </c>
      <c r="K64" s="20">
        <f>IF($M64="","",IF(INDEX(請求記録!$AH$6:$AH$3005,$M64)="","",INDEX(請求記録!$AH$6:$AH$3005,$M64)))</f>
        <v/>
      </c>
      <c r="L64">
        <f>IF($M64="","",IF(INDEX(請求記録!$AL$6:$AL$3005,$M64)="","",INDEX(請求記録!$AL$6:$AL$3005,$M64)))</f>
        <v/>
      </c>
      <c r="M64">
        <f>IFERROR(MATCH(59,請求記録!$AM$6:$AM$3005,0),"")</f>
        <v/>
      </c>
    </row>
    <row r="65">
      <c r="A65">
        <f>IF($M65="","",60)</f>
        <v/>
      </c>
      <c r="B65">
        <f>IF($M65="","",IF(INDEX(請求記録!$B$6:$B$3005,$M65)="","",INDEX(請求記録!$B$6:$B$3005,$M65)))</f>
        <v/>
      </c>
      <c r="C65">
        <f>IF($M65="","",IF(INDEX(請求記録!$V$6:$V$3005,$M65)="","",INDEX(請求記録!$V$6:$V$3005,$M65)))</f>
        <v/>
      </c>
      <c r="D65">
        <f>IF($M65="","",IF(INDEX(請求記録!$W$6:$W$3005,$M65)="","",INDEX(請求記録!$W$6:$W$3005,$M65)))</f>
        <v/>
      </c>
      <c r="E65">
        <f>IF($M65="","",IF(INDEX(請求記録!$X$6:$X$3005,$M65)="","",INDEX(請求記録!$X$6:$X$3005,$M65)))</f>
        <v/>
      </c>
      <c r="F65" s="19">
        <f>IF($M65="","",IF(INDEX(請求記録!$E$6:$E$3005,$M65)="","",INDEX(請求記録!$E$6:$E$3005,$M65)))</f>
        <v/>
      </c>
      <c r="G65" s="19">
        <f>IF($M65="","",IF(INDEX(請求記録!$AC$6:$AC$3005,$M65)="","",INDEX(請求記録!$AC$6:$AC$3005,$M65)))</f>
        <v/>
      </c>
      <c r="H65">
        <f>IF($M65="","",IF(INDEX(請求記録!$AE$6:$AE$3005,$M65)="","",INDEX(請求記録!$AE$6:$AE$3005,$M65)))</f>
        <v/>
      </c>
      <c r="I65" s="20">
        <f>IF($M65="","",IF(INDEX(請求記録!$AF$6:$AF$3005,$M65)="","",INDEX(請求記録!$AF$6:$AF$3005,$M65)))</f>
        <v/>
      </c>
      <c r="J65">
        <f>IF($M65="","",IF(INDEX(請求記録!$AI$6:$AI$3005,$M65)="","",INDEX(請求記録!$AI$6:$AI$3005,$M65)))</f>
        <v/>
      </c>
      <c r="K65" s="20">
        <f>IF($M65="","",IF(INDEX(請求記録!$AH$6:$AH$3005,$M65)="","",INDEX(請求記録!$AH$6:$AH$3005,$M65)))</f>
        <v/>
      </c>
      <c r="L65">
        <f>IF($M65="","",IF(INDEX(請求記録!$AL$6:$AL$3005,$M65)="","",INDEX(請求記録!$AL$6:$AL$3005,$M65)))</f>
        <v/>
      </c>
      <c r="M65">
        <f>IFERROR(MATCH(60,請求記録!$AM$6:$AM$3005,0),"")</f>
        <v/>
      </c>
    </row>
    <row r="66">
      <c r="A66">
        <f>IF($M66="","",61)</f>
        <v/>
      </c>
      <c r="B66">
        <f>IF($M66="","",IF(INDEX(請求記録!$B$6:$B$3005,$M66)="","",INDEX(請求記録!$B$6:$B$3005,$M66)))</f>
        <v/>
      </c>
      <c r="C66">
        <f>IF($M66="","",IF(INDEX(請求記録!$V$6:$V$3005,$M66)="","",INDEX(請求記録!$V$6:$V$3005,$M66)))</f>
        <v/>
      </c>
      <c r="D66">
        <f>IF($M66="","",IF(INDEX(請求記録!$W$6:$W$3005,$M66)="","",INDEX(請求記録!$W$6:$W$3005,$M66)))</f>
        <v/>
      </c>
      <c r="E66">
        <f>IF($M66="","",IF(INDEX(請求記録!$X$6:$X$3005,$M66)="","",INDEX(請求記録!$X$6:$X$3005,$M66)))</f>
        <v/>
      </c>
      <c r="F66" s="19">
        <f>IF($M66="","",IF(INDEX(請求記録!$E$6:$E$3005,$M66)="","",INDEX(請求記録!$E$6:$E$3005,$M66)))</f>
        <v/>
      </c>
      <c r="G66" s="19">
        <f>IF($M66="","",IF(INDEX(請求記録!$AC$6:$AC$3005,$M66)="","",INDEX(請求記録!$AC$6:$AC$3005,$M66)))</f>
        <v/>
      </c>
      <c r="H66">
        <f>IF($M66="","",IF(INDEX(請求記録!$AE$6:$AE$3005,$M66)="","",INDEX(請求記録!$AE$6:$AE$3005,$M66)))</f>
        <v/>
      </c>
      <c r="I66" s="20">
        <f>IF($M66="","",IF(INDEX(請求記録!$AF$6:$AF$3005,$M66)="","",INDEX(請求記録!$AF$6:$AF$3005,$M66)))</f>
        <v/>
      </c>
      <c r="J66">
        <f>IF($M66="","",IF(INDEX(請求記録!$AI$6:$AI$3005,$M66)="","",INDEX(請求記録!$AI$6:$AI$3005,$M66)))</f>
        <v/>
      </c>
      <c r="K66" s="20">
        <f>IF($M66="","",IF(INDEX(請求記録!$AH$6:$AH$3005,$M66)="","",INDEX(請求記録!$AH$6:$AH$3005,$M66)))</f>
        <v/>
      </c>
      <c r="L66">
        <f>IF($M66="","",IF(INDEX(請求記録!$AL$6:$AL$3005,$M66)="","",INDEX(請求記録!$AL$6:$AL$3005,$M66)))</f>
        <v/>
      </c>
      <c r="M66">
        <f>IFERROR(MATCH(61,請求記録!$AM$6:$AM$3005,0),"")</f>
        <v/>
      </c>
    </row>
    <row r="67">
      <c r="A67">
        <f>IF($M67="","",62)</f>
        <v/>
      </c>
      <c r="B67">
        <f>IF($M67="","",IF(INDEX(請求記録!$B$6:$B$3005,$M67)="","",INDEX(請求記録!$B$6:$B$3005,$M67)))</f>
        <v/>
      </c>
      <c r="C67">
        <f>IF($M67="","",IF(INDEX(請求記録!$V$6:$V$3005,$M67)="","",INDEX(請求記録!$V$6:$V$3005,$M67)))</f>
        <v/>
      </c>
      <c r="D67">
        <f>IF($M67="","",IF(INDEX(請求記録!$W$6:$W$3005,$M67)="","",INDEX(請求記録!$W$6:$W$3005,$M67)))</f>
        <v/>
      </c>
      <c r="E67">
        <f>IF($M67="","",IF(INDEX(請求記録!$X$6:$X$3005,$M67)="","",INDEX(請求記録!$X$6:$X$3005,$M67)))</f>
        <v/>
      </c>
      <c r="F67" s="19">
        <f>IF($M67="","",IF(INDEX(請求記録!$E$6:$E$3005,$M67)="","",INDEX(請求記録!$E$6:$E$3005,$M67)))</f>
        <v/>
      </c>
      <c r="G67" s="19">
        <f>IF($M67="","",IF(INDEX(請求記録!$AC$6:$AC$3005,$M67)="","",INDEX(請求記録!$AC$6:$AC$3005,$M67)))</f>
        <v/>
      </c>
      <c r="H67">
        <f>IF($M67="","",IF(INDEX(請求記録!$AE$6:$AE$3005,$M67)="","",INDEX(請求記録!$AE$6:$AE$3005,$M67)))</f>
        <v/>
      </c>
      <c r="I67" s="20">
        <f>IF($M67="","",IF(INDEX(請求記録!$AF$6:$AF$3005,$M67)="","",INDEX(請求記録!$AF$6:$AF$3005,$M67)))</f>
        <v/>
      </c>
      <c r="J67">
        <f>IF($M67="","",IF(INDEX(請求記録!$AI$6:$AI$3005,$M67)="","",INDEX(請求記録!$AI$6:$AI$3005,$M67)))</f>
        <v/>
      </c>
      <c r="K67" s="20">
        <f>IF($M67="","",IF(INDEX(請求記録!$AH$6:$AH$3005,$M67)="","",INDEX(請求記録!$AH$6:$AH$3005,$M67)))</f>
        <v/>
      </c>
      <c r="L67">
        <f>IF($M67="","",IF(INDEX(請求記録!$AL$6:$AL$3005,$M67)="","",INDEX(請求記録!$AL$6:$AL$3005,$M67)))</f>
        <v/>
      </c>
      <c r="M67">
        <f>IFERROR(MATCH(62,請求記録!$AM$6:$AM$3005,0),"")</f>
        <v/>
      </c>
    </row>
    <row r="68">
      <c r="A68">
        <f>IF($M68="","",63)</f>
        <v/>
      </c>
      <c r="B68">
        <f>IF($M68="","",IF(INDEX(請求記録!$B$6:$B$3005,$M68)="","",INDEX(請求記録!$B$6:$B$3005,$M68)))</f>
        <v/>
      </c>
      <c r="C68">
        <f>IF($M68="","",IF(INDEX(請求記録!$V$6:$V$3005,$M68)="","",INDEX(請求記録!$V$6:$V$3005,$M68)))</f>
        <v/>
      </c>
      <c r="D68">
        <f>IF($M68="","",IF(INDEX(請求記録!$W$6:$W$3005,$M68)="","",INDEX(請求記録!$W$6:$W$3005,$M68)))</f>
        <v/>
      </c>
      <c r="E68">
        <f>IF($M68="","",IF(INDEX(請求記録!$X$6:$X$3005,$M68)="","",INDEX(請求記録!$X$6:$X$3005,$M68)))</f>
        <v/>
      </c>
      <c r="F68" s="19">
        <f>IF($M68="","",IF(INDEX(請求記録!$E$6:$E$3005,$M68)="","",INDEX(請求記録!$E$6:$E$3005,$M68)))</f>
        <v/>
      </c>
      <c r="G68" s="19">
        <f>IF($M68="","",IF(INDEX(請求記録!$AC$6:$AC$3005,$M68)="","",INDEX(請求記録!$AC$6:$AC$3005,$M68)))</f>
        <v/>
      </c>
      <c r="H68">
        <f>IF($M68="","",IF(INDEX(請求記録!$AE$6:$AE$3005,$M68)="","",INDEX(請求記録!$AE$6:$AE$3005,$M68)))</f>
        <v/>
      </c>
      <c r="I68" s="20">
        <f>IF($M68="","",IF(INDEX(請求記録!$AF$6:$AF$3005,$M68)="","",INDEX(請求記録!$AF$6:$AF$3005,$M68)))</f>
        <v/>
      </c>
      <c r="J68">
        <f>IF($M68="","",IF(INDEX(請求記録!$AI$6:$AI$3005,$M68)="","",INDEX(請求記録!$AI$6:$AI$3005,$M68)))</f>
        <v/>
      </c>
      <c r="K68" s="20">
        <f>IF($M68="","",IF(INDEX(請求記録!$AH$6:$AH$3005,$M68)="","",INDEX(請求記録!$AH$6:$AH$3005,$M68)))</f>
        <v/>
      </c>
      <c r="L68">
        <f>IF($M68="","",IF(INDEX(請求記録!$AL$6:$AL$3005,$M68)="","",INDEX(請求記録!$AL$6:$AL$3005,$M68)))</f>
        <v/>
      </c>
      <c r="M68">
        <f>IFERROR(MATCH(63,請求記録!$AM$6:$AM$3005,0),"")</f>
        <v/>
      </c>
    </row>
    <row r="69">
      <c r="A69">
        <f>IF($M69="","",64)</f>
        <v/>
      </c>
      <c r="B69">
        <f>IF($M69="","",IF(INDEX(請求記録!$B$6:$B$3005,$M69)="","",INDEX(請求記録!$B$6:$B$3005,$M69)))</f>
        <v/>
      </c>
      <c r="C69">
        <f>IF($M69="","",IF(INDEX(請求記録!$V$6:$V$3005,$M69)="","",INDEX(請求記録!$V$6:$V$3005,$M69)))</f>
        <v/>
      </c>
      <c r="D69">
        <f>IF($M69="","",IF(INDEX(請求記録!$W$6:$W$3005,$M69)="","",INDEX(請求記録!$W$6:$W$3005,$M69)))</f>
        <v/>
      </c>
      <c r="E69">
        <f>IF($M69="","",IF(INDEX(請求記録!$X$6:$X$3005,$M69)="","",INDEX(請求記録!$X$6:$X$3005,$M69)))</f>
        <v/>
      </c>
      <c r="F69" s="19">
        <f>IF($M69="","",IF(INDEX(請求記録!$E$6:$E$3005,$M69)="","",INDEX(請求記録!$E$6:$E$3005,$M69)))</f>
        <v/>
      </c>
      <c r="G69" s="19">
        <f>IF($M69="","",IF(INDEX(請求記録!$AC$6:$AC$3005,$M69)="","",INDEX(請求記録!$AC$6:$AC$3005,$M69)))</f>
        <v/>
      </c>
      <c r="H69">
        <f>IF($M69="","",IF(INDEX(請求記録!$AE$6:$AE$3005,$M69)="","",INDEX(請求記録!$AE$6:$AE$3005,$M69)))</f>
        <v/>
      </c>
      <c r="I69" s="20">
        <f>IF($M69="","",IF(INDEX(請求記録!$AF$6:$AF$3005,$M69)="","",INDEX(請求記録!$AF$6:$AF$3005,$M69)))</f>
        <v/>
      </c>
      <c r="J69">
        <f>IF($M69="","",IF(INDEX(請求記録!$AI$6:$AI$3005,$M69)="","",INDEX(請求記録!$AI$6:$AI$3005,$M69)))</f>
        <v/>
      </c>
      <c r="K69" s="20">
        <f>IF($M69="","",IF(INDEX(請求記録!$AH$6:$AH$3005,$M69)="","",INDEX(請求記録!$AH$6:$AH$3005,$M69)))</f>
        <v/>
      </c>
      <c r="L69">
        <f>IF($M69="","",IF(INDEX(請求記録!$AL$6:$AL$3005,$M69)="","",INDEX(請求記録!$AL$6:$AL$3005,$M69)))</f>
        <v/>
      </c>
      <c r="M69">
        <f>IFERROR(MATCH(64,請求記録!$AM$6:$AM$3005,0),"")</f>
        <v/>
      </c>
    </row>
    <row r="70">
      <c r="A70">
        <f>IF($M70="","",65)</f>
        <v/>
      </c>
      <c r="B70">
        <f>IF($M70="","",IF(INDEX(請求記録!$B$6:$B$3005,$M70)="","",INDEX(請求記録!$B$6:$B$3005,$M70)))</f>
        <v/>
      </c>
      <c r="C70">
        <f>IF($M70="","",IF(INDEX(請求記録!$V$6:$V$3005,$M70)="","",INDEX(請求記録!$V$6:$V$3005,$M70)))</f>
        <v/>
      </c>
      <c r="D70">
        <f>IF($M70="","",IF(INDEX(請求記録!$W$6:$W$3005,$M70)="","",INDEX(請求記録!$W$6:$W$3005,$M70)))</f>
        <v/>
      </c>
      <c r="E70">
        <f>IF($M70="","",IF(INDEX(請求記録!$X$6:$X$3005,$M70)="","",INDEX(請求記録!$X$6:$X$3005,$M70)))</f>
        <v/>
      </c>
      <c r="F70" s="19">
        <f>IF($M70="","",IF(INDEX(請求記録!$E$6:$E$3005,$M70)="","",INDEX(請求記録!$E$6:$E$3005,$M70)))</f>
        <v/>
      </c>
      <c r="G70" s="19">
        <f>IF($M70="","",IF(INDEX(請求記録!$AC$6:$AC$3005,$M70)="","",INDEX(請求記録!$AC$6:$AC$3005,$M70)))</f>
        <v/>
      </c>
      <c r="H70">
        <f>IF($M70="","",IF(INDEX(請求記録!$AE$6:$AE$3005,$M70)="","",INDEX(請求記録!$AE$6:$AE$3005,$M70)))</f>
        <v/>
      </c>
      <c r="I70" s="20">
        <f>IF($M70="","",IF(INDEX(請求記録!$AF$6:$AF$3005,$M70)="","",INDEX(請求記録!$AF$6:$AF$3005,$M70)))</f>
        <v/>
      </c>
      <c r="J70">
        <f>IF($M70="","",IF(INDEX(請求記録!$AI$6:$AI$3005,$M70)="","",INDEX(請求記録!$AI$6:$AI$3005,$M70)))</f>
        <v/>
      </c>
      <c r="K70" s="20">
        <f>IF($M70="","",IF(INDEX(請求記録!$AH$6:$AH$3005,$M70)="","",INDEX(請求記録!$AH$6:$AH$3005,$M70)))</f>
        <v/>
      </c>
      <c r="L70">
        <f>IF($M70="","",IF(INDEX(請求記録!$AL$6:$AL$3005,$M70)="","",INDEX(請求記録!$AL$6:$AL$3005,$M70)))</f>
        <v/>
      </c>
      <c r="M70">
        <f>IFERROR(MATCH(65,請求記録!$AM$6:$AM$3005,0),"")</f>
        <v/>
      </c>
    </row>
    <row r="71">
      <c r="A71">
        <f>IF($M71="","",66)</f>
        <v/>
      </c>
      <c r="B71">
        <f>IF($M71="","",IF(INDEX(請求記録!$B$6:$B$3005,$M71)="","",INDEX(請求記録!$B$6:$B$3005,$M71)))</f>
        <v/>
      </c>
      <c r="C71">
        <f>IF($M71="","",IF(INDEX(請求記録!$V$6:$V$3005,$M71)="","",INDEX(請求記録!$V$6:$V$3005,$M71)))</f>
        <v/>
      </c>
      <c r="D71">
        <f>IF($M71="","",IF(INDEX(請求記録!$W$6:$W$3005,$M71)="","",INDEX(請求記録!$W$6:$W$3005,$M71)))</f>
        <v/>
      </c>
      <c r="E71">
        <f>IF($M71="","",IF(INDEX(請求記録!$X$6:$X$3005,$M71)="","",INDEX(請求記録!$X$6:$X$3005,$M71)))</f>
        <v/>
      </c>
      <c r="F71" s="19">
        <f>IF($M71="","",IF(INDEX(請求記録!$E$6:$E$3005,$M71)="","",INDEX(請求記録!$E$6:$E$3005,$M71)))</f>
        <v/>
      </c>
      <c r="G71" s="19">
        <f>IF($M71="","",IF(INDEX(請求記録!$AC$6:$AC$3005,$M71)="","",INDEX(請求記録!$AC$6:$AC$3005,$M71)))</f>
        <v/>
      </c>
      <c r="H71">
        <f>IF($M71="","",IF(INDEX(請求記録!$AE$6:$AE$3005,$M71)="","",INDEX(請求記録!$AE$6:$AE$3005,$M71)))</f>
        <v/>
      </c>
      <c r="I71" s="20">
        <f>IF($M71="","",IF(INDEX(請求記録!$AF$6:$AF$3005,$M71)="","",INDEX(請求記録!$AF$6:$AF$3005,$M71)))</f>
        <v/>
      </c>
      <c r="J71">
        <f>IF($M71="","",IF(INDEX(請求記録!$AI$6:$AI$3005,$M71)="","",INDEX(請求記録!$AI$6:$AI$3005,$M71)))</f>
        <v/>
      </c>
      <c r="K71" s="20">
        <f>IF($M71="","",IF(INDEX(請求記録!$AH$6:$AH$3005,$M71)="","",INDEX(請求記録!$AH$6:$AH$3005,$M71)))</f>
        <v/>
      </c>
      <c r="L71">
        <f>IF($M71="","",IF(INDEX(請求記録!$AL$6:$AL$3005,$M71)="","",INDEX(請求記録!$AL$6:$AL$3005,$M71)))</f>
        <v/>
      </c>
      <c r="M71">
        <f>IFERROR(MATCH(66,請求記録!$AM$6:$AM$3005,0),"")</f>
        <v/>
      </c>
    </row>
    <row r="72">
      <c r="A72">
        <f>IF($M72="","",67)</f>
        <v/>
      </c>
      <c r="B72">
        <f>IF($M72="","",IF(INDEX(請求記録!$B$6:$B$3005,$M72)="","",INDEX(請求記録!$B$6:$B$3005,$M72)))</f>
        <v/>
      </c>
      <c r="C72">
        <f>IF($M72="","",IF(INDEX(請求記録!$V$6:$V$3005,$M72)="","",INDEX(請求記録!$V$6:$V$3005,$M72)))</f>
        <v/>
      </c>
      <c r="D72">
        <f>IF($M72="","",IF(INDEX(請求記録!$W$6:$W$3005,$M72)="","",INDEX(請求記録!$W$6:$W$3005,$M72)))</f>
        <v/>
      </c>
      <c r="E72">
        <f>IF($M72="","",IF(INDEX(請求記録!$X$6:$X$3005,$M72)="","",INDEX(請求記録!$X$6:$X$3005,$M72)))</f>
        <v/>
      </c>
      <c r="F72" s="19">
        <f>IF($M72="","",IF(INDEX(請求記録!$E$6:$E$3005,$M72)="","",INDEX(請求記録!$E$6:$E$3005,$M72)))</f>
        <v/>
      </c>
      <c r="G72" s="19">
        <f>IF($M72="","",IF(INDEX(請求記録!$AC$6:$AC$3005,$M72)="","",INDEX(請求記録!$AC$6:$AC$3005,$M72)))</f>
        <v/>
      </c>
      <c r="H72">
        <f>IF($M72="","",IF(INDEX(請求記録!$AE$6:$AE$3005,$M72)="","",INDEX(請求記録!$AE$6:$AE$3005,$M72)))</f>
        <v/>
      </c>
      <c r="I72" s="20">
        <f>IF($M72="","",IF(INDEX(請求記録!$AF$6:$AF$3005,$M72)="","",INDEX(請求記録!$AF$6:$AF$3005,$M72)))</f>
        <v/>
      </c>
      <c r="J72">
        <f>IF($M72="","",IF(INDEX(請求記録!$AI$6:$AI$3005,$M72)="","",INDEX(請求記録!$AI$6:$AI$3005,$M72)))</f>
        <v/>
      </c>
      <c r="K72" s="20">
        <f>IF($M72="","",IF(INDEX(請求記録!$AH$6:$AH$3005,$M72)="","",INDEX(請求記録!$AH$6:$AH$3005,$M72)))</f>
        <v/>
      </c>
      <c r="L72">
        <f>IF($M72="","",IF(INDEX(請求記録!$AL$6:$AL$3005,$M72)="","",INDEX(請求記録!$AL$6:$AL$3005,$M72)))</f>
        <v/>
      </c>
      <c r="M72">
        <f>IFERROR(MATCH(67,請求記録!$AM$6:$AM$3005,0),"")</f>
        <v/>
      </c>
    </row>
    <row r="73">
      <c r="A73">
        <f>IF($M73="","",68)</f>
        <v/>
      </c>
      <c r="B73">
        <f>IF($M73="","",IF(INDEX(請求記録!$B$6:$B$3005,$M73)="","",INDEX(請求記録!$B$6:$B$3005,$M73)))</f>
        <v/>
      </c>
      <c r="C73">
        <f>IF($M73="","",IF(INDEX(請求記録!$V$6:$V$3005,$M73)="","",INDEX(請求記録!$V$6:$V$3005,$M73)))</f>
        <v/>
      </c>
      <c r="D73">
        <f>IF($M73="","",IF(INDEX(請求記録!$W$6:$W$3005,$M73)="","",INDEX(請求記録!$W$6:$W$3005,$M73)))</f>
        <v/>
      </c>
      <c r="E73">
        <f>IF($M73="","",IF(INDEX(請求記録!$X$6:$X$3005,$M73)="","",INDEX(請求記録!$X$6:$X$3005,$M73)))</f>
        <v/>
      </c>
      <c r="F73" s="19">
        <f>IF($M73="","",IF(INDEX(請求記録!$E$6:$E$3005,$M73)="","",INDEX(請求記録!$E$6:$E$3005,$M73)))</f>
        <v/>
      </c>
      <c r="G73" s="19">
        <f>IF($M73="","",IF(INDEX(請求記録!$AC$6:$AC$3005,$M73)="","",INDEX(請求記録!$AC$6:$AC$3005,$M73)))</f>
        <v/>
      </c>
      <c r="H73">
        <f>IF($M73="","",IF(INDEX(請求記録!$AE$6:$AE$3005,$M73)="","",INDEX(請求記録!$AE$6:$AE$3005,$M73)))</f>
        <v/>
      </c>
      <c r="I73" s="20">
        <f>IF($M73="","",IF(INDEX(請求記録!$AF$6:$AF$3005,$M73)="","",INDEX(請求記録!$AF$6:$AF$3005,$M73)))</f>
        <v/>
      </c>
      <c r="J73">
        <f>IF($M73="","",IF(INDEX(請求記録!$AI$6:$AI$3005,$M73)="","",INDEX(請求記録!$AI$6:$AI$3005,$M73)))</f>
        <v/>
      </c>
      <c r="K73" s="20">
        <f>IF($M73="","",IF(INDEX(請求記録!$AH$6:$AH$3005,$M73)="","",INDEX(請求記録!$AH$6:$AH$3005,$M73)))</f>
        <v/>
      </c>
      <c r="L73">
        <f>IF($M73="","",IF(INDEX(請求記録!$AL$6:$AL$3005,$M73)="","",INDEX(請求記録!$AL$6:$AL$3005,$M73)))</f>
        <v/>
      </c>
      <c r="M73">
        <f>IFERROR(MATCH(68,請求記録!$AM$6:$AM$3005,0),"")</f>
        <v/>
      </c>
    </row>
    <row r="74">
      <c r="A74">
        <f>IF($M74="","",69)</f>
        <v/>
      </c>
      <c r="B74">
        <f>IF($M74="","",IF(INDEX(請求記録!$B$6:$B$3005,$M74)="","",INDEX(請求記録!$B$6:$B$3005,$M74)))</f>
        <v/>
      </c>
      <c r="C74">
        <f>IF($M74="","",IF(INDEX(請求記録!$V$6:$V$3005,$M74)="","",INDEX(請求記録!$V$6:$V$3005,$M74)))</f>
        <v/>
      </c>
      <c r="D74">
        <f>IF($M74="","",IF(INDEX(請求記録!$W$6:$W$3005,$M74)="","",INDEX(請求記録!$W$6:$W$3005,$M74)))</f>
        <v/>
      </c>
      <c r="E74">
        <f>IF($M74="","",IF(INDEX(請求記録!$X$6:$X$3005,$M74)="","",INDEX(請求記録!$X$6:$X$3005,$M74)))</f>
        <v/>
      </c>
      <c r="F74" s="19">
        <f>IF($M74="","",IF(INDEX(請求記録!$E$6:$E$3005,$M74)="","",INDEX(請求記録!$E$6:$E$3005,$M74)))</f>
        <v/>
      </c>
      <c r="G74" s="19">
        <f>IF($M74="","",IF(INDEX(請求記録!$AC$6:$AC$3005,$M74)="","",INDEX(請求記録!$AC$6:$AC$3005,$M74)))</f>
        <v/>
      </c>
      <c r="H74">
        <f>IF($M74="","",IF(INDEX(請求記録!$AE$6:$AE$3005,$M74)="","",INDEX(請求記録!$AE$6:$AE$3005,$M74)))</f>
        <v/>
      </c>
      <c r="I74" s="20">
        <f>IF($M74="","",IF(INDEX(請求記録!$AF$6:$AF$3005,$M74)="","",INDEX(請求記録!$AF$6:$AF$3005,$M74)))</f>
        <v/>
      </c>
      <c r="J74">
        <f>IF($M74="","",IF(INDEX(請求記録!$AI$6:$AI$3005,$M74)="","",INDEX(請求記録!$AI$6:$AI$3005,$M74)))</f>
        <v/>
      </c>
      <c r="K74" s="20">
        <f>IF($M74="","",IF(INDEX(請求記録!$AH$6:$AH$3005,$M74)="","",INDEX(請求記録!$AH$6:$AH$3005,$M74)))</f>
        <v/>
      </c>
      <c r="L74">
        <f>IF($M74="","",IF(INDEX(請求記録!$AL$6:$AL$3005,$M74)="","",INDEX(請求記録!$AL$6:$AL$3005,$M74)))</f>
        <v/>
      </c>
      <c r="M74">
        <f>IFERROR(MATCH(69,請求記録!$AM$6:$AM$3005,0),"")</f>
        <v/>
      </c>
    </row>
    <row r="75">
      <c r="A75">
        <f>IF($M75="","",70)</f>
        <v/>
      </c>
      <c r="B75">
        <f>IF($M75="","",IF(INDEX(請求記録!$B$6:$B$3005,$M75)="","",INDEX(請求記録!$B$6:$B$3005,$M75)))</f>
        <v/>
      </c>
      <c r="C75">
        <f>IF($M75="","",IF(INDEX(請求記録!$V$6:$V$3005,$M75)="","",INDEX(請求記録!$V$6:$V$3005,$M75)))</f>
        <v/>
      </c>
      <c r="D75">
        <f>IF($M75="","",IF(INDEX(請求記録!$W$6:$W$3005,$M75)="","",INDEX(請求記録!$W$6:$W$3005,$M75)))</f>
        <v/>
      </c>
      <c r="E75">
        <f>IF($M75="","",IF(INDEX(請求記録!$X$6:$X$3005,$M75)="","",INDEX(請求記録!$X$6:$X$3005,$M75)))</f>
        <v/>
      </c>
      <c r="F75" s="19">
        <f>IF($M75="","",IF(INDEX(請求記録!$E$6:$E$3005,$M75)="","",INDEX(請求記録!$E$6:$E$3005,$M75)))</f>
        <v/>
      </c>
      <c r="G75" s="19">
        <f>IF($M75="","",IF(INDEX(請求記録!$AC$6:$AC$3005,$M75)="","",INDEX(請求記録!$AC$6:$AC$3005,$M75)))</f>
        <v/>
      </c>
      <c r="H75">
        <f>IF($M75="","",IF(INDEX(請求記録!$AE$6:$AE$3005,$M75)="","",INDEX(請求記録!$AE$6:$AE$3005,$M75)))</f>
        <v/>
      </c>
      <c r="I75" s="20">
        <f>IF($M75="","",IF(INDEX(請求記録!$AF$6:$AF$3005,$M75)="","",INDEX(請求記録!$AF$6:$AF$3005,$M75)))</f>
        <v/>
      </c>
      <c r="J75">
        <f>IF($M75="","",IF(INDEX(請求記録!$AI$6:$AI$3005,$M75)="","",INDEX(請求記録!$AI$6:$AI$3005,$M75)))</f>
        <v/>
      </c>
      <c r="K75" s="20">
        <f>IF($M75="","",IF(INDEX(請求記録!$AH$6:$AH$3005,$M75)="","",INDEX(請求記録!$AH$6:$AH$3005,$M75)))</f>
        <v/>
      </c>
      <c r="L75">
        <f>IF($M75="","",IF(INDEX(請求記録!$AL$6:$AL$3005,$M75)="","",INDEX(請求記録!$AL$6:$AL$3005,$M75)))</f>
        <v/>
      </c>
      <c r="M75">
        <f>IFERROR(MATCH(70,請求記録!$AM$6:$AM$3005,0),"")</f>
        <v/>
      </c>
    </row>
    <row r="76">
      <c r="A76">
        <f>IF($M76="","",71)</f>
        <v/>
      </c>
      <c r="B76">
        <f>IF($M76="","",IF(INDEX(請求記録!$B$6:$B$3005,$M76)="","",INDEX(請求記録!$B$6:$B$3005,$M76)))</f>
        <v/>
      </c>
      <c r="C76">
        <f>IF($M76="","",IF(INDEX(請求記録!$V$6:$V$3005,$M76)="","",INDEX(請求記録!$V$6:$V$3005,$M76)))</f>
        <v/>
      </c>
      <c r="D76">
        <f>IF($M76="","",IF(INDEX(請求記録!$W$6:$W$3005,$M76)="","",INDEX(請求記録!$W$6:$W$3005,$M76)))</f>
        <v/>
      </c>
      <c r="E76">
        <f>IF($M76="","",IF(INDEX(請求記録!$X$6:$X$3005,$M76)="","",INDEX(請求記録!$X$6:$X$3005,$M76)))</f>
        <v/>
      </c>
      <c r="F76" s="19">
        <f>IF($M76="","",IF(INDEX(請求記録!$E$6:$E$3005,$M76)="","",INDEX(請求記録!$E$6:$E$3005,$M76)))</f>
        <v/>
      </c>
      <c r="G76" s="19">
        <f>IF($M76="","",IF(INDEX(請求記録!$AC$6:$AC$3005,$M76)="","",INDEX(請求記録!$AC$6:$AC$3005,$M76)))</f>
        <v/>
      </c>
      <c r="H76">
        <f>IF($M76="","",IF(INDEX(請求記録!$AE$6:$AE$3005,$M76)="","",INDEX(請求記録!$AE$6:$AE$3005,$M76)))</f>
        <v/>
      </c>
      <c r="I76" s="20">
        <f>IF($M76="","",IF(INDEX(請求記録!$AF$6:$AF$3005,$M76)="","",INDEX(請求記録!$AF$6:$AF$3005,$M76)))</f>
        <v/>
      </c>
      <c r="J76">
        <f>IF($M76="","",IF(INDEX(請求記録!$AI$6:$AI$3005,$M76)="","",INDEX(請求記録!$AI$6:$AI$3005,$M76)))</f>
        <v/>
      </c>
      <c r="K76" s="20">
        <f>IF($M76="","",IF(INDEX(請求記録!$AH$6:$AH$3005,$M76)="","",INDEX(請求記録!$AH$6:$AH$3005,$M76)))</f>
        <v/>
      </c>
      <c r="L76">
        <f>IF($M76="","",IF(INDEX(請求記録!$AL$6:$AL$3005,$M76)="","",INDEX(請求記録!$AL$6:$AL$3005,$M76)))</f>
        <v/>
      </c>
      <c r="M76">
        <f>IFERROR(MATCH(71,請求記録!$AM$6:$AM$3005,0),"")</f>
        <v/>
      </c>
    </row>
    <row r="77">
      <c r="A77">
        <f>IF($M77="","",72)</f>
        <v/>
      </c>
      <c r="B77">
        <f>IF($M77="","",IF(INDEX(請求記録!$B$6:$B$3005,$M77)="","",INDEX(請求記録!$B$6:$B$3005,$M77)))</f>
        <v/>
      </c>
      <c r="C77">
        <f>IF($M77="","",IF(INDEX(請求記録!$V$6:$V$3005,$M77)="","",INDEX(請求記録!$V$6:$V$3005,$M77)))</f>
        <v/>
      </c>
      <c r="D77">
        <f>IF($M77="","",IF(INDEX(請求記録!$W$6:$W$3005,$M77)="","",INDEX(請求記録!$W$6:$W$3005,$M77)))</f>
        <v/>
      </c>
      <c r="E77">
        <f>IF($M77="","",IF(INDEX(請求記録!$X$6:$X$3005,$M77)="","",INDEX(請求記録!$X$6:$X$3005,$M77)))</f>
        <v/>
      </c>
      <c r="F77" s="19">
        <f>IF($M77="","",IF(INDEX(請求記録!$E$6:$E$3005,$M77)="","",INDEX(請求記録!$E$6:$E$3005,$M77)))</f>
        <v/>
      </c>
      <c r="G77" s="19">
        <f>IF($M77="","",IF(INDEX(請求記録!$AC$6:$AC$3005,$M77)="","",INDEX(請求記録!$AC$6:$AC$3005,$M77)))</f>
        <v/>
      </c>
      <c r="H77">
        <f>IF($M77="","",IF(INDEX(請求記録!$AE$6:$AE$3005,$M77)="","",INDEX(請求記録!$AE$6:$AE$3005,$M77)))</f>
        <v/>
      </c>
      <c r="I77" s="20">
        <f>IF($M77="","",IF(INDEX(請求記録!$AF$6:$AF$3005,$M77)="","",INDEX(請求記録!$AF$6:$AF$3005,$M77)))</f>
        <v/>
      </c>
      <c r="J77">
        <f>IF($M77="","",IF(INDEX(請求記録!$AI$6:$AI$3005,$M77)="","",INDEX(請求記録!$AI$6:$AI$3005,$M77)))</f>
        <v/>
      </c>
      <c r="K77" s="20">
        <f>IF($M77="","",IF(INDEX(請求記録!$AH$6:$AH$3005,$M77)="","",INDEX(請求記録!$AH$6:$AH$3005,$M77)))</f>
        <v/>
      </c>
      <c r="L77">
        <f>IF($M77="","",IF(INDEX(請求記録!$AL$6:$AL$3005,$M77)="","",INDEX(請求記録!$AL$6:$AL$3005,$M77)))</f>
        <v/>
      </c>
      <c r="M77">
        <f>IFERROR(MATCH(72,請求記録!$AM$6:$AM$3005,0),"")</f>
        <v/>
      </c>
    </row>
    <row r="78">
      <c r="A78">
        <f>IF($M78="","",73)</f>
        <v/>
      </c>
      <c r="B78">
        <f>IF($M78="","",IF(INDEX(請求記録!$B$6:$B$3005,$M78)="","",INDEX(請求記録!$B$6:$B$3005,$M78)))</f>
        <v/>
      </c>
      <c r="C78">
        <f>IF($M78="","",IF(INDEX(請求記録!$V$6:$V$3005,$M78)="","",INDEX(請求記録!$V$6:$V$3005,$M78)))</f>
        <v/>
      </c>
      <c r="D78">
        <f>IF($M78="","",IF(INDEX(請求記録!$W$6:$W$3005,$M78)="","",INDEX(請求記録!$W$6:$W$3005,$M78)))</f>
        <v/>
      </c>
      <c r="E78">
        <f>IF($M78="","",IF(INDEX(請求記録!$X$6:$X$3005,$M78)="","",INDEX(請求記録!$X$6:$X$3005,$M78)))</f>
        <v/>
      </c>
      <c r="F78" s="19">
        <f>IF($M78="","",IF(INDEX(請求記録!$E$6:$E$3005,$M78)="","",INDEX(請求記録!$E$6:$E$3005,$M78)))</f>
        <v/>
      </c>
      <c r="G78" s="19">
        <f>IF($M78="","",IF(INDEX(請求記録!$AC$6:$AC$3005,$M78)="","",INDEX(請求記録!$AC$6:$AC$3005,$M78)))</f>
        <v/>
      </c>
      <c r="H78">
        <f>IF($M78="","",IF(INDEX(請求記録!$AE$6:$AE$3005,$M78)="","",INDEX(請求記録!$AE$6:$AE$3005,$M78)))</f>
        <v/>
      </c>
      <c r="I78" s="20">
        <f>IF($M78="","",IF(INDEX(請求記録!$AF$6:$AF$3005,$M78)="","",INDEX(請求記録!$AF$6:$AF$3005,$M78)))</f>
        <v/>
      </c>
      <c r="J78">
        <f>IF($M78="","",IF(INDEX(請求記録!$AI$6:$AI$3005,$M78)="","",INDEX(請求記録!$AI$6:$AI$3005,$M78)))</f>
        <v/>
      </c>
      <c r="K78" s="20">
        <f>IF($M78="","",IF(INDEX(請求記録!$AH$6:$AH$3005,$M78)="","",INDEX(請求記録!$AH$6:$AH$3005,$M78)))</f>
        <v/>
      </c>
      <c r="L78">
        <f>IF($M78="","",IF(INDEX(請求記録!$AL$6:$AL$3005,$M78)="","",INDEX(請求記録!$AL$6:$AL$3005,$M78)))</f>
        <v/>
      </c>
      <c r="M78">
        <f>IFERROR(MATCH(73,請求記録!$AM$6:$AM$3005,0),"")</f>
        <v/>
      </c>
    </row>
    <row r="79">
      <c r="A79">
        <f>IF($M79="","",74)</f>
        <v/>
      </c>
      <c r="B79">
        <f>IF($M79="","",IF(INDEX(請求記録!$B$6:$B$3005,$M79)="","",INDEX(請求記録!$B$6:$B$3005,$M79)))</f>
        <v/>
      </c>
      <c r="C79">
        <f>IF($M79="","",IF(INDEX(請求記録!$V$6:$V$3005,$M79)="","",INDEX(請求記録!$V$6:$V$3005,$M79)))</f>
        <v/>
      </c>
      <c r="D79">
        <f>IF($M79="","",IF(INDEX(請求記録!$W$6:$W$3005,$M79)="","",INDEX(請求記録!$W$6:$W$3005,$M79)))</f>
        <v/>
      </c>
      <c r="E79">
        <f>IF($M79="","",IF(INDEX(請求記録!$X$6:$X$3005,$M79)="","",INDEX(請求記録!$X$6:$X$3005,$M79)))</f>
        <v/>
      </c>
      <c r="F79" s="19">
        <f>IF($M79="","",IF(INDEX(請求記録!$E$6:$E$3005,$M79)="","",INDEX(請求記録!$E$6:$E$3005,$M79)))</f>
        <v/>
      </c>
      <c r="G79" s="19">
        <f>IF($M79="","",IF(INDEX(請求記録!$AC$6:$AC$3005,$M79)="","",INDEX(請求記録!$AC$6:$AC$3005,$M79)))</f>
        <v/>
      </c>
      <c r="H79">
        <f>IF($M79="","",IF(INDEX(請求記録!$AE$6:$AE$3005,$M79)="","",INDEX(請求記録!$AE$6:$AE$3005,$M79)))</f>
        <v/>
      </c>
      <c r="I79" s="20">
        <f>IF($M79="","",IF(INDEX(請求記録!$AF$6:$AF$3005,$M79)="","",INDEX(請求記録!$AF$6:$AF$3005,$M79)))</f>
        <v/>
      </c>
      <c r="J79">
        <f>IF($M79="","",IF(INDEX(請求記録!$AI$6:$AI$3005,$M79)="","",INDEX(請求記録!$AI$6:$AI$3005,$M79)))</f>
        <v/>
      </c>
      <c r="K79" s="20">
        <f>IF($M79="","",IF(INDEX(請求記録!$AH$6:$AH$3005,$M79)="","",INDEX(請求記録!$AH$6:$AH$3005,$M79)))</f>
        <v/>
      </c>
      <c r="L79">
        <f>IF($M79="","",IF(INDEX(請求記録!$AL$6:$AL$3005,$M79)="","",INDEX(請求記録!$AL$6:$AL$3005,$M79)))</f>
        <v/>
      </c>
      <c r="M79">
        <f>IFERROR(MATCH(74,請求記録!$AM$6:$AM$3005,0),"")</f>
        <v/>
      </c>
    </row>
    <row r="80">
      <c r="A80">
        <f>IF($M80="","",75)</f>
        <v/>
      </c>
      <c r="B80">
        <f>IF($M80="","",IF(INDEX(請求記録!$B$6:$B$3005,$M80)="","",INDEX(請求記録!$B$6:$B$3005,$M80)))</f>
        <v/>
      </c>
      <c r="C80">
        <f>IF($M80="","",IF(INDEX(請求記録!$V$6:$V$3005,$M80)="","",INDEX(請求記録!$V$6:$V$3005,$M80)))</f>
        <v/>
      </c>
      <c r="D80">
        <f>IF($M80="","",IF(INDEX(請求記録!$W$6:$W$3005,$M80)="","",INDEX(請求記録!$W$6:$W$3005,$M80)))</f>
        <v/>
      </c>
      <c r="E80">
        <f>IF($M80="","",IF(INDEX(請求記録!$X$6:$X$3005,$M80)="","",INDEX(請求記録!$X$6:$X$3005,$M80)))</f>
        <v/>
      </c>
      <c r="F80" s="19">
        <f>IF($M80="","",IF(INDEX(請求記録!$E$6:$E$3005,$M80)="","",INDEX(請求記録!$E$6:$E$3005,$M80)))</f>
        <v/>
      </c>
      <c r="G80" s="19">
        <f>IF($M80="","",IF(INDEX(請求記録!$AC$6:$AC$3005,$M80)="","",INDEX(請求記録!$AC$6:$AC$3005,$M80)))</f>
        <v/>
      </c>
      <c r="H80">
        <f>IF($M80="","",IF(INDEX(請求記録!$AE$6:$AE$3005,$M80)="","",INDEX(請求記録!$AE$6:$AE$3005,$M80)))</f>
        <v/>
      </c>
      <c r="I80" s="20">
        <f>IF($M80="","",IF(INDEX(請求記録!$AF$6:$AF$3005,$M80)="","",INDEX(請求記録!$AF$6:$AF$3005,$M80)))</f>
        <v/>
      </c>
      <c r="J80">
        <f>IF($M80="","",IF(INDEX(請求記録!$AI$6:$AI$3005,$M80)="","",INDEX(請求記録!$AI$6:$AI$3005,$M80)))</f>
        <v/>
      </c>
      <c r="K80" s="20">
        <f>IF($M80="","",IF(INDEX(請求記録!$AH$6:$AH$3005,$M80)="","",INDEX(請求記録!$AH$6:$AH$3005,$M80)))</f>
        <v/>
      </c>
      <c r="L80">
        <f>IF($M80="","",IF(INDEX(請求記録!$AL$6:$AL$3005,$M80)="","",INDEX(請求記録!$AL$6:$AL$3005,$M80)))</f>
        <v/>
      </c>
      <c r="M80">
        <f>IFERROR(MATCH(75,請求記録!$AM$6:$AM$3005,0),"")</f>
        <v/>
      </c>
    </row>
    <row r="81">
      <c r="A81">
        <f>IF($M81="","",76)</f>
        <v/>
      </c>
      <c r="B81">
        <f>IF($M81="","",IF(INDEX(請求記録!$B$6:$B$3005,$M81)="","",INDEX(請求記録!$B$6:$B$3005,$M81)))</f>
        <v/>
      </c>
      <c r="C81">
        <f>IF($M81="","",IF(INDEX(請求記録!$V$6:$V$3005,$M81)="","",INDEX(請求記録!$V$6:$V$3005,$M81)))</f>
        <v/>
      </c>
      <c r="D81">
        <f>IF($M81="","",IF(INDEX(請求記録!$W$6:$W$3005,$M81)="","",INDEX(請求記録!$W$6:$W$3005,$M81)))</f>
        <v/>
      </c>
      <c r="E81">
        <f>IF($M81="","",IF(INDEX(請求記録!$X$6:$X$3005,$M81)="","",INDEX(請求記録!$X$6:$X$3005,$M81)))</f>
        <v/>
      </c>
      <c r="F81" s="19">
        <f>IF($M81="","",IF(INDEX(請求記録!$E$6:$E$3005,$M81)="","",INDEX(請求記録!$E$6:$E$3005,$M81)))</f>
        <v/>
      </c>
      <c r="G81" s="19">
        <f>IF($M81="","",IF(INDEX(請求記録!$AC$6:$AC$3005,$M81)="","",INDEX(請求記録!$AC$6:$AC$3005,$M81)))</f>
        <v/>
      </c>
      <c r="H81">
        <f>IF($M81="","",IF(INDEX(請求記録!$AE$6:$AE$3005,$M81)="","",INDEX(請求記録!$AE$6:$AE$3005,$M81)))</f>
        <v/>
      </c>
      <c r="I81" s="20">
        <f>IF($M81="","",IF(INDEX(請求記録!$AF$6:$AF$3005,$M81)="","",INDEX(請求記録!$AF$6:$AF$3005,$M81)))</f>
        <v/>
      </c>
      <c r="J81">
        <f>IF($M81="","",IF(INDEX(請求記録!$AI$6:$AI$3005,$M81)="","",INDEX(請求記録!$AI$6:$AI$3005,$M81)))</f>
        <v/>
      </c>
      <c r="K81" s="20">
        <f>IF($M81="","",IF(INDEX(請求記録!$AH$6:$AH$3005,$M81)="","",INDEX(請求記録!$AH$6:$AH$3005,$M81)))</f>
        <v/>
      </c>
      <c r="L81">
        <f>IF($M81="","",IF(INDEX(請求記録!$AL$6:$AL$3005,$M81)="","",INDEX(請求記録!$AL$6:$AL$3005,$M81)))</f>
        <v/>
      </c>
      <c r="M81">
        <f>IFERROR(MATCH(76,請求記録!$AM$6:$AM$3005,0),"")</f>
        <v/>
      </c>
    </row>
    <row r="82">
      <c r="A82">
        <f>IF($M82="","",77)</f>
        <v/>
      </c>
      <c r="B82">
        <f>IF($M82="","",IF(INDEX(請求記録!$B$6:$B$3005,$M82)="","",INDEX(請求記録!$B$6:$B$3005,$M82)))</f>
        <v/>
      </c>
      <c r="C82">
        <f>IF($M82="","",IF(INDEX(請求記録!$V$6:$V$3005,$M82)="","",INDEX(請求記録!$V$6:$V$3005,$M82)))</f>
        <v/>
      </c>
      <c r="D82">
        <f>IF($M82="","",IF(INDEX(請求記録!$W$6:$W$3005,$M82)="","",INDEX(請求記録!$W$6:$W$3005,$M82)))</f>
        <v/>
      </c>
      <c r="E82">
        <f>IF($M82="","",IF(INDEX(請求記録!$X$6:$X$3005,$M82)="","",INDEX(請求記録!$X$6:$X$3005,$M82)))</f>
        <v/>
      </c>
      <c r="F82" s="19">
        <f>IF($M82="","",IF(INDEX(請求記録!$E$6:$E$3005,$M82)="","",INDEX(請求記録!$E$6:$E$3005,$M82)))</f>
        <v/>
      </c>
      <c r="G82" s="19">
        <f>IF($M82="","",IF(INDEX(請求記録!$AC$6:$AC$3005,$M82)="","",INDEX(請求記録!$AC$6:$AC$3005,$M82)))</f>
        <v/>
      </c>
      <c r="H82">
        <f>IF($M82="","",IF(INDEX(請求記録!$AE$6:$AE$3005,$M82)="","",INDEX(請求記録!$AE$6:$AE$3005,$M82)))</f>
        <v/>
      </c>
      <c r="I82" s="20">
        <f>IF($M82="","",IF(INDEX(請求記録!$AF$6:$AF$3005,$M82)="","",INDEX(請求記録!$AF$6:$AF$3005,$M82)))</f>
        <v/>
      </c>
      <c r="J82">
        <f>IF($M82="","",IF(INDEX(請求記録!$AI$6:$AI$3005,$M82)="","",INDEX(請求記録!$AI$6:$AI$3005,$M82)))</f>
        <v/>
      </c>
      <c r="K82" s="20">
        <f>IF($M82="","",IF(INDEX(請求記録!$AH$6:$AH$3005,$M82)="","",INDEX(請求記録!$AH$6:$AH$3005,$M82)))</f>
        <v/>
      </c>
      <c r="L82">
        <f>IF($M82="","",IF(INDEX(請求記録!$AL$6:$AL$3005,$M82)="","",INDEX(請求記録!$AL$6:$AL$3005,$M82)))</f>
        <v/>
      </c>
      <c r="M82">
        <f>IFERROR(MATCH(77,請求記録!$AM$6:$AM$3005,0),"")</f>
        <v/>
      </c>
    </row>
    <row r="83">
      <c r="A83">
        <f>IF($M83="","",78)</f>
        <v/>
      </c>
      <c r="B83">
        <f>IF($M83="","",IF(INDEX(請求記録!$B$6:$B$3005,$M83)="","",INDEX(請求記録!$B$6:$B$3005,$M83)))</f>
        <v/>
      </c>
      <c r="C83">
        <f>IF($M83="","",IF(INDEX(請求記録!$V$6:$V$3005,$M83)="","",INDEX(請求記録!$V$6:$V$3005,$M83)))</f>
        <v/>
      </c>
      <c r="D83">
        <f>IF($M83="","",IF(INDEX(請求記録!$W$6:$W$3005,$M83)="","",INDEX(請求記録!$W$6:$W$3005,$M83)))</f>
        <v/>
      </c>
      <c r="E83">
        <f>IF($M83="","",IF(INDEX(請求記録!$X$6:$X$3005,$M83)="","",INDEX(請求記録!$X$6:$X$3005,$M83)))</f>
        <v/>
      </c>
      <c r="F83" s="19">
        <f>IF($M83="","",IF(INDEX(請求記録!$E$6:$E$3005,$M83)="","",INDEX(請求記録!$E$6:$E$3005,$M83)))</f>
        <v/>
      </c>
      <c r="G83" s="19">
        <f>IF($M83="","",IF(INDEX(請求記録!$AC$6:$AC$3005,$M83)="","",INDEX(請求記録!$AC$6:$AC$3005,$M83)))</f>
        <v/>
      </c>
      <c r="H83">
        <f>IF($M83="","",IF(INDEX(請求記録!$AE$6:$AE$3005,$M83)="","",INDEX(請求記録!$AE$6:$AE$3005,$M83)))</f>
        <v/>
      </c>
      <c r="I83" s="20">
        <f>IF($M83="","",IF(INDEX(請求記録!$AF$6:$AF$3005,$M83)="","",INDEX(請求記録!$AF$6:$AF$3005,$M83)))</f>
        <v/>
      </c>
      <c r="J83">
        <f>IF($M83="","",IF(INDEX(請求記録!$AI$6:$AI$3005,$M83)="","",INDEX(請求記録!$AI$6:$AI$3005,$M83)))</f>
        <v/>
      </c>
      <c r="K83" s="20">
        <f>IF($M83="","",IF(INDEX(請求記録!$AH$6:$AH$3005,$M83)="","",INDEX(請求記録!$AH$6:$AH$3005,$M83)))</f>
        <v/>
      </c>
      <c r="L83">
        <f>IF($M83="","",IF(INDEX(請求記録!$AL$6:$AL$3005,$M83)="","",INDEX(請求記録!$AL$6:$AL$3005,$M83)))</f>
        <v/>
      </c>
      <c r="M83">
        <f>IFERROR(MATCH(78,請求記録!$AM$6:$AM$3005,0),"")</f>
        <v/>
      </c>
    </row>
    <row r="84">
      <c r="A84">
        <f>IF($M84="","",79)</f>
        <v/>
      </c>
      <c r="B84">
        <f>IF($M84="","",IF(INDEX(請求記録!$B$6:$B$3005,$M84)="","",INDEX(請求記録!$B$6:$B$3005,$M84)))</f>
        <v/>
      </c>
      <c r="C84">
        <f>IF($M84="","",IF(INDEX(請求記録!$V$6:$V$3005,$M84)="","",INDEX(請求記録!$V$6:$V$3005,$M84)))</f>
        <v/>
      </c>
      <c r="D84">
        <f>IF($M84="","",IF(INDEX(請求記録!$W$6:$W$3005,$M84)="","",INDEX(請求記録!$W$6:$W$3005,$M84)))</f>
        <v/>
      </c>
      <c r="E84">
        <f>IF($M84="","",IF(INDEX(請求記録!$X$6:$X$3005,$M84)="","",INDEX(請求記録!$X$6:$X$3005,$M84)))</f>
        <v/>
      </c>
      <c r="F84" s="19">
        <f>IF($M84="","",IF(INDEX(請求記録!$E$6:$E$3005,$M84)="","",INDEX(請求記録!$E$6:$E$3005,$M84)))</f>
        <v/>
      </c>
      <c r="G84" s="19">
        <f>IF($M84="","",IF(INDEX(請求記録!$AC$6:$AC$3005,$M84)="","",INDEX(請求記録!$AC$6:$AC$3005,$M84)))</f>
        <v/>
      </c>
      <c r="H84">
        <f>IF($M84="","",IF(INDEX(請求記録!$AE$6:$AE$3005,$M84)="","",INDEX(請求記録!$AE$6:$AE$3005,$M84)))</f>
        <v/>
      </c>
      <c r="I84" s="20">
        <f>IF($M84="","",IF(INDEX(請求記録!$AF$6:$AF$3005,$M84)="","",INDEX(請求記録!$AF$6:$AF$3005,$M84)))</f>
        <v/>
      </c>
      <c r="J84">
        <f>IF($M84="","",IF(INDEX(請求記録!$AI$6:$AI$3005,$M84)="","",INDEX(請求記録!$AI$6:$AI$3005,$M84)))</f>
        <v/>
      </c>
      <c r="K84" s="20">
        <f>IF($M84="","",IF(INDEX(請求記録!$AH$6:$AH$3005,$M84)="","",INDEX(請求記録!$AH$6:$AH$3005,$M84)))</f>
        <v/>
      </c>
      <c r="L84">
        <f>IF($M84="","",IF(INDEX(請求記録!$AL$6:$AL$3005,$M84)="","",INDEX(請求記録!$AL$6:$AL$3005,$M84)))</f>
        <v/>
      </c>
      <c r="M84">
        <f>IFERROR(MATCH(79,請求記録!$AM$6:$AM$3005,0),"")</f>
        <v/>
      </c>
    </row>
    <row r="85">
      <c r="A85">
        <f>IF($M85="","",80)</f>
        <v/>
      </c>
      <c r="B85">
        <f>IF($M85="","",IF(INDEX(請求記録!$B$6:$B$3005,$M85)="","",INDEX(請求記録!$B$6:$B$3005,$M85)))</f>
        <v/>
      </c>
      <c r="C85">
        <f>IF($M85="","",IF(INDEX(請求記録!$V$6:$V$3005,$M85)="","",INDEX(請求記録!$V$6:$V$3005,$M85)))</f>
        <v/>
      </c>
      <c r="D85">
        <f>IF($M85="","",IF(INDEX(請求記録!$W$6:$W$3005,$M85)="","",INDEX(請求記録!$W$6:$W$3005,$M85)))</f>
        <v/>
      </c>
      <c r="E85">
        <f>IF($M85="","",IF(INDEX(請求記録!$X$6:$X$3005,$M85)="","",INDEX(請求記録!$X$6:$X$3005,$M85)))</f>
        <v/>
      </c>
      <c r="F85" s="19">
        <f>IF($M85="","",IF(INDEX(請求記録!$E$6:$E$3005,$M85)="","",INDEX(請求記録!$E$6:$E$3005,$M85)))</f>
        <v/>
      </c>
      <c r="G85" s="19">
        <f>IF($M85="","",IF(INDEX(請求記録!$AC$6:$AC$3005,$M85)="","",INDEX(請求記録!$AC$6:$AC$3005,$M85)))</f>
        <v/>
      </c>
      <c r="H85">
        <f>IF($M85="","",IF(INDEX(請求記録!$AE$6:$AE$3005,$M85)="","",INDEX(請求記録!$AE$6:$AE$3005,$M85)))</f>
        <v/>
      </c>
      <c r="I85" s="20">
        <f>IF($M85="","",IF(INDEX(請求記録!$AF$6:$AF$3005,$M85)="","",INDEX(請求記録!$AF$6:$AF$3005,$M85)))</f>
        <v/>
      </c>
      <c r="J85">
        <f>IF($M85="","",IF(INDEX(請求記録!$AI$6:$AI$3005,$M85)="","",INDEX(請求記録!$AI$6:$AI$3005,$M85)))</f>
        <v/>
      </c>
      <c r="K85" s="20">
        <f>IF($M85="","",IF(INDEX(請求記録!$AH$6:$AH$3005,$M85)="","",INDEX(請求記録!$AH$6:$AH$3005,$M85)))</f>
        <v/>
      </c>
      <c r="L85">
        <f>IF($M85="","",IF(INDEX(請求記録!$AL$6:$AL$3005,$M85)="","",INDEX(請求記録!$AL$6:$AL$3005,$M85)))</f>
        <v/>
      </c>
      <c r="M85">
        <f>IFERROR(MATCH(80,請求記録!$AM$6:$AM$3005,0),"")</f>
        <v/>
      </c>
    </row>
    <row r="86">
      <c r="A86">
        <f>IF($M86="","",81)</f>
        <v/>
      </c>
      <c r="B86">
        <f>IF($M86="","",IF(INDEX(請求記録!$B$6:$B$3005,$M86)="","",INDEX(請求記録!$B$6:$B$3005,$M86)))</f>
        <v/>
      </c>
      <c r="C86">
        <f>IF($M86="","",IF(INDEX(請求記録!$V$6:$V$3005,$M86)="","",INDEX(請求記録!$V$6:$V$3005,$M86)))</f>
        <v/>
      </c>
      <c r="D86">
        <f>IF($M86="","",IF(INDEX(請求記録!$W$6:$W$3005,$M86)="","",INDEX(請求記録!$W$6:$W$3005,$M86)))</f>
        <v/>
      </c>
      <c r="E86">
        <f>IF($M86="","",IF(INDEX(請求記録!$X$6:$X$3005,$M86)="","",INDEX(請求記録!$X$6:$X$3005,$M86)))</f>
        <v/>
      </c>
      <c r="F86" s="19">
        <f>IF($M86="","",IF(INDEX(請求記録!$E$6:$E$3005,$M86)="","",INDEX(請求記録!$E$6:$E$3005,$M86)))</f>
        <v/>
      </c>
      <c r="G86" s="19">
        <f>IF($M86="","",IF(INDEX(請求記録!$AC$6:$AC$3005,$M86)="","",INDEX(請求記録!$AC$6:$AC$3005,$M86)))</f>
        <v/>
      </c>
      <c r="H86">
        <f>IF($M86="","",IF(INDEX(請求記録!$AE$6:$AE$3005,$M86)="","",INDEX(請求記録!$AE$6:$AE$3005,$M86)))</f>
        <v/>
      </c>
      <c r="I86" s="20">
        <f>IF($M86="","",IF(INDEX(請求記録!$AF$6:$AF$3005,$M86)="","",INDEX(請求記録!$AF$6:$AF$3005,$M86)))</f>
        <v/>
      </c>
      <c r="J86">
        <f>IF($M86="","",IF(INDEX(請求記録!$AI$6:$AI$3005,$M86)="","",INDEX(請求記録!$AI$6:$AI$3005,$M86)))</f>
        <v/>
      </c>
      <c r="K86" s="20">
        <f>IF($M86="","",IF(INDEX(請求記録!$AH$6:$AH$3005,$M86)="","",INDEX(請求記録!$AH$6:$AH$3005,$M86)))</f>
        <v/>
      </c>
      <c r="L86">
        <f>IF($M86="","",IF(INDEX(請求記録!$AL$6:$AL$3005,$M86)="","",INDEX(請求記録!$AL$6:$AL$3005,$M86)))</f>
        <v/>
      </c>
      <c r="M86">
        <f>IFERROR(MATCH(81,請求記録!$AM$6:$AM$3005,0),"")</f>
        <v/>
      </c>
    </row>
    <row r="87">
      <c r="A87">
        <f>IF($M87="","",82)</f>
        <v/>
      </c>
      <c r="B87">
        <f>IF($M87="","",IF(INDEX(請求記録!$B$6:$B$3005,$M87)="","",INDEX(請求記録!$B$6:$B$3005,$M87)))</f>
        <v/>
      </c>
      <c r="C87">
        <f>IF($M87="","",IF(INDEX(請求記録!$V$6:$V$3005,$M87)="","",INDEX(請求記録!$V$6:$V$3005,$M87)))</f>
        <v/>
      </c>
      <c r="D87">
        <f>IF($M87="","",IF(INDEX(請求記録!$W$6:$W$3005,$M87)="","",INDEX(請求記録!$W$6:$W$3005,$M87)))</f>
        <v/>
      </c>
      <c r="E87">
        <f>IF($M87="","",IF(INDEX(請求記録!$X$6:$X$3005,$M87)="","",INDEX(請求記録!$X$6:$X$3005,$M87)))</f>
        <v/>
      </c>
      <c r="F87" s="19">
        <f>IF($M87="","",IF(INDEX(請求記録!$E$6:$E$3005,$M87)="","",INDEX(請求記録!$E$6:$E$3005,$M87)))</f>
        <v/>
      </c>
      <c r="G87" s="19">
        <f>IF($M87="","",IF(INDEX(請求記録!$AC$6:$AC$3005,$M87)="","",INDEX(請求記録!$AC$6:$AC$3005,$M87)))</f>
        <v/>
      </c>
      <c r="H87">
        <f>IF($M87="","",IF(INDEX(請求記録!$AE$6:$AE$3005,$M87)="","",INDEX(請求記録!$AE$6:$AE$3005,$M87)))</f>
        <v/>
      </c>
      <c r="I87" s="20">
        <f>IF($M87="","",IF(INDEX(請求記録!$AF$6:$AF$3005,$M87)="","",INDEX(請求記録!$AF$6:$AF$3005,$M87)))</f>
        <v/>
      </c>
      <c r="J87">
        <f>IF($M87="","",IF(INDEX(請求記録!$AI$6:$AI$3005,$M87)="","",INDEX(請求記録!$AI$6:$AI$3005,$M87)))</f>
        <v/>
      </c>
      <c r="K87" s="20">
        <f>IF($M87="","",IF(INDEX(請求記録!$AH$6:$AH$3005,$M87)="","",INDEX(請求記録!$AH$6:$AH$3005,$M87)))</f>
        <v/>
      </c>
      <c r="L87">
        <f>IF($M87="","",IF(INDEX(請求記録!$AL$6:$AL$3005,$M87)="","",INDEX(請求記録!$AL$6:$AL$3005,$M87)))</f>
        <v/>
      </c>
      <c r="M87">
        <f>IFERROR(MATCH(82,請求記録!$AM$6:$AM$3005,0),"")</f>
        <v/>
      </c>
    </row>
    <row r="88">
      <c r="A88">
        <f>IF($M88="","",83)</f>
        <v/>
      </c>
      <c r="B88">
        <f>IF($M88="","",IF(INDEX(請求記録!$B$6:$B$3005,$M88)="","",INDEX(請求記録!$B$6:$B$3005,$M88)))</f>
        <v/>
      </c>
      <c r="C88">
        <f>IF($M88="","",IF(INDEX(請求記録!$V$6:$V$3005,$M88)="","",INDEX(請求記録!$V$6:$V$3005,$M88)))</f>
        <v/>
      </c>
      <c r="D88">
        <f>IF($M88="","",IF(INDEX(請求記録!$W$6:$W$3005,$M88)="","",INDEX(請求記録!$W$6:$W$3005,$M88)))</f>
        <v/>
      </c>
      <c r="E88">
        <f>IF($M88="","",IF(INDEX(請求記録!$X$6:$X$3005,$M88)="","",INDEX(請求記録!$X$6:$X$3005,$M88)))</f>
        <v/>
      </c>
      <c r="F88" s="19">
        <f>IF($M88="","",IF(INDEX(請求記録!$E$6:$E$3005,$M88)="","",INDEX(請求記録!$E$6:$E$3005,$M88)))</f>
        <v/>
      </c>
      <c r="G88" s="19">
        <f>IF($M88="","",IF(INDEX(請求記録!$AC$6:$AC$3005,$M88)="","",INDEX(請求記録!$AC$6:$AC$3005,$M88)))</f>
        <v/>
      </c>
      <c r="H88">
        <f>IF($M88="","",IF(INDEX(請求記録!$AE$6:$AE$3005,$M88)="","",INDEX(請求記録!$AE$6:$AE$3005,$M88)))</f>
        <v/>
      </c>
      <c r="I88" s="20">
        <f>IF($M88="","",IF(INDEX(請求記録!$AF$6:$AF$3005,$M88)="","",INDEX(請求記録!$AF$6:$AF$3005,$M88)))</f>
        <v/>
      </c>
      <c r="J88">
        <f>IF($M88="","",IF(INDEX(請求記録!$AI$6:$AI$3005,$M88)="","",INDEX(請求記録!$AI$6:$AI$3005,$M88)))</f>
        <v/>
      </c>
      <c r="K88" s="20">
        <f>IF($M88="","",IF(INDEX(請求記録!$AH$6:$AH$3005,$M88)="","",INDEX(請求記録!$AH$6:$AH$3005,$M88)))</f>
        <v/>
      </c>
      <c r="L88">
        <f>IF($M88="","",IF(INDEX(請求記録!$AL$6:$AL$3005,$M88)="","",INDEX(請求記録!$AL$6:$AL$3005,$M88)))</f>
        <v/>
      </c>
      <c r="M88">
        <f>IFERROR(MATCH(83,請求記録!$AM$6:$AM$3005,0),"")</f>
        <v/>
      </c>
    </row>
    <row r="89">
      <c r="A89">
        <f>IF($M89="","",84)</f>
        <v/>
      </c>
      <c r="B89">
        <f>IF($M89="","",IF(INDEX(請求記録!$B$6:$B$3005,$M89)="","",INDEX(請求記録!$B$6:$B$3005,$M89)))</f>
        <v/>
      </c>
      <c r="C89">
        <f>IF($M89="","",IF(INDEX(請求記録!$V$6:$V$3005,$M89)="","",INDEX(請求記録!$V$6:$V$3005,$M89)))</f>
        <v/>
      </c>
      <c r="D89">
        <f>IF($M89="","",IF(INDEX(請求記録!$W$6:$W$3005,$M89)="","",INDEX(請求記録!$W$6:$W$3005,$M89)))</f>
        <v/>
      </c>
      <c r="E89">
        <f>IF($M89="","",IF(INDEX(請求記録!$X$6:$X$3005,$M89)="","",INDEX(請求記録!$X$6:$X$3005,$M89)))</f>
        <v/>
      </c>
      <c r="F89" s="19">
        <f>IF($M89="","",IF(INDEX(請求記録!$E$6:$E$3005,$M89)="","",INDEX(請求記録!$E$6:$E$3005,$M89)))</f>
        <v/>
      </c>
      <c r="G89" s="19">
        <f>IF($M89="","",IF(INDEX(請求記録!$AC$6:$AC$3005,$M89)="","",INDEX(請求記録!$AC$6:$AC$3005,$M89)))</f>
        <v/>
      </c>
      <c r="H89">
        <f>IF($M89="","",IF(INDEX(請求記録!$AE$6:$AE$3005,$M89)="","",INDEX(請求記録!$AE$6:$AE$3005,$M89)))</f>
        <v/>
      </c>
      <c r="I89" s="20">
        <f>IF($M89="","",IF(INDEX(請求記録!$AF$6:$AF$3005,$M89)="","",INDEX(請求記録!$AF$6:$AF$3005,$M89)))</f>
        <v/>
      </c>
      <c r="J89">
        <f>IF($M89="","",IF(INDEX(請求記録!$AI$6:$AI$3005,$M89)="","",INDEX(請求記録!$AI$6:$AI$3005,$M89)))</f>
        <v/>
      </c>
      <c r="K89" s="20">
        <f>IF($M89="","",IF(INDEX(請求記録!$AH$6:$AH$3005,$M89)="","",INDEX(請求記録!$AH$6:$AH$3005,$M89)))</f>
        <v/>
      </c>
      <c r="L89">
        <f>IF($M89="","",IF(INDEX(請求記録!$AL$6:$AL$3005,$M89)="","",INDEX(請求記録!$AL$6:$AL$3005,$M89)))</f>
        <v/>
      </c>
      <c r="M89">
        <f>IFERROR(MATCH(84,請求記録!$AM$6:$AM$3005,0),"")</f>
        <v/>
      </c>
    </row>
    <row r="90">
      <c r="A90">
        <f>IF($M90="","",85)</f>
        <v/>
      </c>
      <c r="B90">
        <f>IF($M90="","",IF(INDEX(請求記録!$B$6:$B$3005,$M90)="","",INDEX(請求記録!$B$6:$B$3005,$M90)))</f>
        <v/>
      </c>
      <c r="C90">
        <f>IF($M90="","",IF(INDEX(請求記録!$V$6:$V$3005,$M90)="","",INDEX(請求記録!$V$6:$V$3005,$M90)))</f>
        <v/>
      </c>
      <c r="D90">
        <f>IF($M90="","",IF(INDEX(請求記録!$W$6:$W$3005,$M90)="","",INDEX(請求記録!$W$6:$W$3005,$M90)))</f>
        <v/>
      </c>
      <c r="E90">
        <f>IF($M90="","",IF(INDEX(請求記録!$X$6:$X$3005,$M90)="","",INDEX(請求記録!$X$6:$X$3005,$M90)))</f>
        <v/>
      </c>
      <c r="F90" s="19">
        <f>IF($M90="","",IF(INDEX(請求記録!$E$6:$E$3005,$M90)="","",INDEX(請求記録!$E$6:$E$3005,$M90)))</f>
        <v/>
      </c>
      <c r="G90" s="19">
        <f>IF($M90="","",IF(INDEX(請求記録!$AC$6:$AC$3005,$M90)="","",INDEX(請求記録!$AC$6:$AC$3005,$M90)))</f>
        <v/>
      </c>
      <c r="H90">
        <f>IF($M90="","",IF(INDEX(請求記録!$AE$6:$AE$3005,$M90)="","",INDEX(請求記録!$AE$6:$AE$3005,$M90)))</f>
        <v/>
      </c>
      <c r="I90" s="20">
        <f>IF($M90="","",IF(INDEX(請求記録!$AF$6:$AF$3005,$M90)="","",INDEX(請求記録!$AF$6:$AF$3005,$M90)))</f>
        <v/>
      </c>
      <c r="J90">
        <f>IF($M90="","",IF(INDEX(請求記録!$AI$6:$AI$3005,$M90)="","",INDEX(請求記録!$AI$6:$AI$3005,$M90)))</f>
        <v/>
      </c>
      <c r="K90" s="20">
        <f>IF($M90="","",IF(INDEX(請求記録!$AH$6:$AH$3005,$M90)="","",INDEX(請求記録!$AH$6:$AH$3005,$M90)))</f>
        <v/>
      </c>
      <c r="L90">
        <f>IF($M90="","",IF(INDEX(請求記録!$AL$6:$AL$3005,$M90)="","",INDEX(請求記録!$AL$6:$AL$3005,$M90)))</f>
        <v/>
      </c>
      <c r="M90">
        <f>IFERROR(MATCH(85,請求記録!$AM$6:$AM$3005,0),"")</f>
        <v/>
      </c>
    </row>
    <row r="91">
      <c r="A91">
        <f>IF($M91="","",86)</f>
        <v/>
      </c>
      <c r="B91">
        <f>IF($M91="","",IF(INDEX(請求記録!$B$6:$B$3005,$M91)="","",INDEX(請求記録!$B$6:$B$3005,$M91)))</f>
        <v/>
      </c>
      <c r="C91">
        <f>IF($M91="","",IF(INDEX(請求記録!$V$6:$V$3005,$M91)="","",INDEX(請求記録!$V$6:$V$3005,$M91)))</f>
        <v/>
      </c>
      <c r="D91">
        <f>IF($M91="","",IF(INDEX(請求記録!$W$6:$W$3005,$M91)="","",INDEX(請求記録!$W$6:$W$3005,$M91)))</f>
        <v/>
      </c>
      <c r="E91">
        <f>IF($M91="","",IF(INDEX(請求記録!$X$6:$X$3005,$M91)="","",INDEX(請求記録!$X$6:$X$3005,$M91)))</f>
        <v/>
      </c>
      <c r="F91" s="19">
        <f>IF($M91="","",IF(INDEX(請求記録!$E$6:$E$3005,$M91)="","",INDEX(請求記録!$E$6:$E$3005,$M91)))</f>
        <v/>
      </c>
      <c r="G91" s="19">
        <f>IF($M91="","",IF(INDEX(請求記録!$AC$6:$AC$3005,$M91)="","",INDEX(請求記録!$AC$6:$AC$3005,$M91)))</f>
        <v/>
      </c>
      <c r="H91">
        <f>IF($M91="","",IF(INDEX(請求記録!$AE$6:$AE$3005,$M91)="","",INDEX(請求記録!$AE$6:$AE$3005,$M91)))</f>
        <v/>
      </c>
      <c r="I91" s="20">
        <f>IF($M91="","",IF(INDEX(請求記録!$AF$6:$AF$3005,$M91)="","",INDEX(請求記録!$AF$6:$AF$3005,$M91)))</f>
        <v/>
      </c>
      <c r="J91">
        <f>IF($M91="","",IF(INDEX(請求記録!$AI$6:$AI$3005,$M91)="","",INDEX(請求記録!$AI$6:$AI$3005,$M91)))</f>
        <v/>
      </c>
      <c r="K91" s="20">
        <f>IF($M91="","",IF(INDEX(請求記録!$AH$6:$AH$3005,$M91)="","",INDEX(請求記録!$AH$6:$AH$3005,$M91)))</f>
        <v/>
      </c>
      <c r="L91">
        <f>IF($M91="","",IF(INDEX(請求記録!$AL$6:$AL$3005,$M91)="","",INDEX(請求記録!$AL$6:$AL$3005,$M91)))</f>
        <v/>
      </c>
      <c r="M91">
        <f>IFERROR(MATCH(86,請求記録!$AM$6:$AM$3005,0),"")</f>
        <v/>
      </c>
    </row>
    <row r="92">
      <c r="A92">
        <f>IF($M92="","",87)</f>
        <v/>
      </c>
      <c r="B92">
        <f>IF($M92="","",IF(INDEX(請求記録!$B$6:$B$3005,$M92)="","",INDEX(請求記録!$B$6:$B$3005,$M92)))</f>
        <v/>
      </c>
      <c r="C92">
        <f>IF($M92="","",IF(INDEX(請求記録!$V$6:$V$3005,$M92)="","",INDEX(請求記録!$V$6:$V$3005,$M92)))</f>
        <v/>
      </c>
      <c r="D92">
        <f>IF($M92="","",IF(INDEX(請求記録!$W$6:$W$3005,$M92)="","",INDEX(請求記録!$W$6:$W$3005,$M92)))</f>
        <v/>
      </c>
      <c r="E92">
        <f>IF($M92="","",IF(INDEX(請求記録!$X$6:$X$3005,$M92)="","",INDEX(請求記録!$X$6:$X$3005,$M92)))</f>
        <v/>
      </c>
      <c r="F92" s="19">
        <f>IF($M92="","",IF(INDEX(請求記録!$E$6:$E$3005,$M92)="","",INDEX(請求記録!$E$6:$E$3005,$M92)))</f>
        <v/>
      </c>
      <c r="G92" s="19">
        <f>IF($M92="","",IF(INDEX(請求記録!$AC$6:$AC$3005,$M92)="","",INDEX(請求記録!$AC$6:$AC$3005,$M92)))</f>
        <v/>
      </c>
      <c r="H92">
        <f>IF($M92="","",IF(INDEX(請求記録!$AE$6:$AE$3005,$M92)="","",INDEX(請求記録!$AE$6:$AE$3005,$M92)))</f>
        <v/>
      </c>
      <c r="I92" s="20">
        <f>IF($M92="","",IF(INDEX(請求記録!$AF$6:$AF$3005,$M92)="","",INDEX(請求記録!$AF$6:$AF$3005,$M92)))</f>
        <v/>
      </c>
      <c r="J92">
        <f>IF($M92="","",IF(INDEX(請求記録!$AI$6:$AI$3005,$M92)="","",INDEX(請求記録!$AI$6:$AI$3005,$M92)))</f>
        <v/>
      </c>
      <c r="K92" s="20">
        <f>IF($M92="","",IF(INDEX(請求記録!$AH$6:$AH$3005,$M92)="","",INDEX(請求記録!$AH$6:$AH$3005,$M92)))</f>
        <v/>
      </c>
      <c r="L92">
        <f>IF($M92="","",IF(INDEX(請求記録!$AL$6:$AL$3005,$M92)="","",INDEX(請求記録!$AL$6:$AL$3005,$M92)))</f>
        <v/>
      </c>
      <c r="M92">
        <f>IFERROR(MATCH(87,請求記録!$AM$6:$AM$3005,0),"")</f>
        <v/>
      </c>
    </row>
    <row r="93">
      <c r="A93">
        <f>IF($M93="","",88)</f>
        <v/>
      </c>
      <c r="B93">
        <f>IF($M93="","",IF(INDEX(請求記録!$B$6:$B$3005,$M93)="","",INDEX(請求記録!$B$6:$B$3005,$M93)))</f>
        <v/>
      </c>
      <c r="C93">
        <f>IF($M93="","",IF(INDEX(請求記録!$V$6:$V$3005,$M93)="","",INDEX(請求記録!$V$6:$V$3005,$M93)))</f>
        <v/>
      </c>
      <c r="D93">
        <f>IF($M93="","",IF(INDEX(請求記録!$W$6:$W$3005,$M93)="","",INDEX(請求記録!$W$6:$W$3005,$M93)))</f>
        <v/>
      </c>
      <c r="E93">
        <f>IF($M93="","",IF(INDEX(請求記録!$X$6:$X$3005,$M93)="","",INDEX(請求記録!$X$6:$X$3005,$M93)))</f>
        <v/>
      </c>
      <c r="F93" s="19">
        <f>IF($M93="","",IF(INDEX(請求記録!$E$6:$E$3005,$M93)="","",INDEX(請求記録!$E$6:$E$3005,$M93)))</f>
        <v/>
      </c>
      <c r="G93" s="19">
        <f>IF($M93="","",IF(INDEX(請求記録!$AC$6:$AC$3005,$M93)="","",INDEX(請求記録!$AC$6:$AC$3005,$M93)))</f>
        <v/>
      </c>
      <c r="H93">
        <f>IF($M93="","",IF(INDEX(請求記録!$AE$6:$AE$3005,$M93)="","",INDEX(請求記録!$AE$6:$AE$3005,$M93)))</f>
        <v/>
      </c>
      <c r="I93" s="20">
        <f>IF($M93="","",IF(INDEX(請求記録!$AF$6:$AF$3005,$M93)="","",INDEX(請求記録!$AF$6:$AF$3005,$M93)))</f>
        <v/>
      </c>
      <c r="J93">
        <f>IF($M93="","",IF(INDEX(請求記録!$AI$6:$AI$3005,$M93)="","",INDEX(請求記録!$AI$6:$AI$3005,$M93)))</f>
        <v/>
      </c>
      <c r="K93" s="20">
        <f>IF($M93="","",IF(INDEX(請求記録!$AH$6:$AH$3005,$M93)="","",INDEX(請求記録!$AH$6:$AH$3005,$M93)))</f>
        <v/>
      </c>
      <c r="L93">
        <f>IF($M93="","",IF(INDEX(請求記録!$AL$6:$AL$3005,$M93)="","",INDEX(請求記録!$AL$6:$AL$3005,$M93)))</f>
        <v/>
      </c>
      <c r="M93">
        <f>IFERROR(MATCH(88,請求記録!$AM$6:$AM$3005,0),"")</f>
        <v/>
      </c>
    </row>
    <row r="94">
      <c r="A94">
        <f>IF($M94="","",89)</f>
        <v/>
      </c>
      <c r="B94">
        <f>IF($M94="","",IF(INDEX(請求記録!$B$6:$B$3005,$M94)="","",INDEX(請求記録!$B$6:$B$3005,$M94)))</f>
        <v/>
      </c>
      <c r="C94">
        <f>IF($M94="","",IF(INDEX(請求記録!$V$6:$V$3005,$M94)="","",INDEX(請求記録!$V$6:$V$3005,$M94)))</f>
        <v/>
      </c>
      <c r="D94">
        <f>IF($M94="","",IF(INDEX(請求記録!$W$6:$W$3005,$M94)="","",INDEX(請求記録!$W$6:$W$3005,$M94)))</f>
        <v/>
      </c>
      <c r="E94">
        <f>IF($M94="","",IF(INDEX(請求記録!$X$6:$X$3005,$M94)="","",INDEX(請求記録!$X$6:$X$3005,$M94)))</f>
        <v/>
      </c>
      <c r="F94" s="19">
        <f>IF($M94="","",IF(INDEX(請求記録!$E$6:$E$3005,$M94)="","",INDEX(請求記録!$E$6:$E$3005,$M94)))</f>
        <v/>
      </c>
      <c r="G94" s="19">
        <f>IF($M94="","",IF(INDEX(請求記録!$AC$6:$AC$3005,$M94)="","",INDEX(請求記録!$AC$6:$AC$3005,$M94)))</f>
        <v/>
      </c>
      <c r="H94">
        <f>IF($M94="","",IF(INDEX(請求記録!$AE$6:$AE$3005,$M94)="","",INDEX(請求記録!$AE$6:$AE$3005,$M94)))</f>
        <v/>
      </c>
      <c r="I94" s="20">
        <f>IF($M94="","",IF(INDEX(請求記録!$AF$6:$AF$3005,$M94)="","",INDEX(請求記録!$AF$6:$AF$3005,$M94)))</f>
        <v/>
      </c>
      <c r="J94">
        <f>IF($M94="","",IF(INDEX(請求記録!$AI$6:$AI$3005,$M94)="","",INDEX(請求記録!$AI$6:$AI$3005,$M94)))</f>
        <v/>
      </c>
      <c r="K94" s="20">
        <f>IF($M94="","",IF(INDEX(請求記録!$AH$6:$AH$3005,$M94)="","",INDEX(請求記録!$AH$6:$AH$3005,$M94)))</f>
        <v/>
      </c>
      <c r="L94">
        <f>IF($M94="","",IF(INDEX(請求記録!$AL$6:$AL$3005,$M94)="","",INDEX(請求記録!$AL$6:$AL$3005,$M94)))</f>
        <v/>
      </c>
      <c r="M94">
        <f>IFERROR(MATCH(89,請求記録!$AM$6:$AM$3005,0),"")</f>
        <v/>
      </c>
    </row>
    <row r="95">
      <c r="A95">
        <f>IF($M95="","",90)</f>
        <v/>
      </c>
      <c r="B95">
        <f>IF($M95="","",IF(INDEX(請求記録!$B$6:$B$3005,$M95)="","",INDEX(請求記録!$B$6:$B$3005,$M95)))</f>
        <v/>
      </c>
      <c r="C95">
        <f>IF($M95="","",IF(INDEX(請求記録!$V$6:$V$3005,$M95)="","",INDEX(請求記録!$V$6:$V$3005,$M95)))</f>
        <v/>
      </c>
      <c r="D95">
        <f>IF($M95="","",IF(INDEX(請求記録!$W$6:$W$3005,$M95)="","",INDEX(請求記録!$W$6:$W$3005,$M95)))</f>
        <v/>
      </c>
      <c r="E95">
        <f>IF($M95="","",IF(INDEX(請求記録!$X$6:$X$3005,$M95)="","",INDEX(請求記録!$X$6:$X$3005,$M95)))</f>
        <v/>
      </c>
      <c r="F95" s="19">
        <f>IF($M95="","",IF(INDEX(請求記録!$E$6:$E$3005,$M95)="","",INDEX(請求記録!$E$6:$E$3005,$M95)))</f>
        <v/>
      </c>
      <c r="G95" s="19">
        <f>IF($M95="","",IF(INDEX(請求記録!$AC$6:$AC$3005,$M95)="","",INDEX(請求記録!$AC$6:$AC$3005,$M95)))</f>
        <v/>
      </c>
      <c r="H95">
        <f>IF($M95="","",IF(INDEX(請求記録!$AE$6:$AE$3005,$M95)="","",INDEX(請求記録!$AE$6:$AE$3005,$M95)))</f>
        <v/>
      </c>
      <c r="I95" s="20">
        <f>IF($M95="","",IF(INDEX(請求記録!$AF$6:$AF$3005,$M95)="","",INDEX(請求記録!$AF$6:$AF$3005,$M95)))</f>
        <v/>
      </c>
      <c r="J95">
        <f>IF($M95="","",IF(INDEX(請求記録!$AI$6:$AI$3005,$M95)="","",INDEX(請求記録!$AI$6:$AI$3005,$M95)))</f>
        <v/>
      </c>
      <c r="K95" s="20">
        <f>IF($M95="","",IF(INDEX(請求記録!$AH$6:$AH$3005,$M95)="","",INDEX(請求記録!$AH$6:$AH$3005,$M95)))</f>
        <v/>
      </c>
      <c r="L95">
        <f>IF($M95="","",IF(INDEX(請求記録!$AL$6:$AL$3005,$M95)="","",INDEX(請求記録!$AL$6:$AL$3005,$M95)))</f>
        <v/>
      </c>
      <c r="M95">
        <f>IFERROR(MATCH(90,請求記録!$AM$6:$AM$3005,0),"")</f>
        <v/>
      </c>
    </row>
    <row r="96">
      <c r="A96">
        <f>IF($M96="","",91)</f>
        <v/>
      </c>
      <c r="B96">
        <f>IF($M96="","",IF(INDEX(請求記録!$B$6:$B$3005,$M96)="","",INDEX(請求記録!$B$6:$B$3005,$M96)))</f>
        <v/>
      </c>
      <c r="C96">
        <f>IF($M96="","",IF(INDEX(請求記録!$V$6:$V$3005,$M96)="","",INDEX(請求記録!$V$6:$V$3005,$M96)))</f>
        <v/>
      </c>
      <c r="D96">
        <f>IF($M96="","",IF(INDEX(請求記録!$W$6:$W$3005,$M96)="","",INDEX(請求記録!$W$6:$W$3005,$M96)))</f>
        <v/>
      </c>
      <c r="E96">
        <f>IF($M96="","",IF(INDEX(請求記録!$X$6:$X$3005,$M96)="","",INDEX(請求記録!$X$6:$X$3005,$M96)))</f>
        <v/>
      </c>
      <c r="F96" s="19">
        <f>IF($M96="","",IF(INDEX(請求記録!$E$6:$E$3005,$M96)="","",INDEX(請求記録!$E$6:$E$3005,$M96)))</f>
        <v/>
      </c>
      <c r="G96" s="19">
        <f>IF($M96="","",IF(INDEX(請求記録!$AC$6:$AC$3005,$M96)="","",INDEX(請求記録!$AC$6:$AC$3005,$M96)))</f>
        <v/>
      </c>
      <c r="H96">
        <f>IF($M96="","",IF(INDEX(請求記録!$AE$6:$AE$3005,$M96)="","",INDEX(請求記録!$AE$6:$AE$3005,$M96)))</f>
        <v/>
      </c>
      <c r="I96" s="20">
        <f>IF($M96="","",IF(INDEX(請求記録!$AF$6:$AF$3005,$M96)="","",INDEX(請求記録!$AF$6:$AF$3005,$M96)))</f>
        <v/>
      </c>
      <c r="J96">
        <f>IF($M96="","",IF(INDEX(請求記録!$AI$6:$AI$3005,$M96)="","",INDEX(請求記録!$AI$6:$AI$3005,$M96)))</f>
        <v/>
      </c>
      <c r="K96" s="20">
        <f>IF($M96="","",IF(INDEX(請求記録!$AH$6:$AH$3005,$M96)="","",INDEX(請求記録!$AH$6:$AH$3005,$M96)))</f>
        <v/>
      </c>
      <c r="L96">
        <f>IF($M96="","",IF(INDEX(請求記録!$AL$6:$AL$3005,$M96)="","",INDEX(請求記録!$AL$6:$AL$3005,$M96)))</f>
        <v/>
      </c>
      <c r="M96">
        <f>IFERROR(MATCH(91,請求記録!$AM$6:$AM$3005,0),"")</f>
        <v/>
      </c>
    </row>
    <row r="97">
      <c r="A97">
        <f>IF($M97="","",92)</f>
        <v/>
      </c>
      <c r="B97">
        <f>IF($M97="","",IF(INDEX(請求記録!$B$6:$B$3005,$M97)="","",INDEX(請求記録!$B$6:$B$3005,$M97)))</f>
        <v/>
      </c>
      <c r="C97">
        <f>IF($M97="","",IF(INDEX(請求記録!$V$6:$V$3005,$M97)="","",INDEX(請求記録!$V$6:$V$3005,$M97)))</f>
        <v/>
      </c>
      <c r="D97">
        <f>IF($M97="","",IF(INDEX(請求記録!$W$6:$W$3005,$M97)="","",INDEX(請求記録!$W$6:$W$3005,$M97)))</f>
        <v/>
      </c>
      <c r="E97">
        <f>IF($M97="","",IF(INDEX(請求記録!$X$6:$X$3005,$M97)="","",INDEX(請求記録!$X$6:$X$3005,$M97)))</f>
        <v/>
      </c>
      <c r="F97" s="19">
        <f>IF($M97="","",IF(INDEX(請求記録!$E$6:$E$3005,$M97)="","",INDEX(請求記録!$E$6:$E$3005,$M97)))</f>
        <v/>
      </c>
      <c r="G97" s="19">
        <f>IF($M97="","",IF(INDEX(請求記録!$AC$6:$AC$3005,$M97)="","",INDEX(請求記録!$AC$6:$AC$3005,$M97)))</f>
        <v/>
      </c>
      <c r="H97">
        <f>IF($M97="","",IF(INDEX(請求記録!$AE$6:$AE$3005,$M97)="","",INDEX(請求記録!$AE$6:$AE$3005,$M97)))</f>
        <v/>
      </c>
      <c r="I97" s="20">
        <f>IF($M97="","",IF(INDEX(請求記録!$AF$6:$AF$3005,$M97)="","",INDEX(請求記録!$AF$6:$AF$3005,$M97)))</f>
        <v/>
      </c>
      <c r="J97">
        <f>IF($M97="","",IF(INDEX(請求記録!$AI$6:$AI$3005,$M97)="","",INDEX(請求記録!$AI$6:$AI$3005,$M97)))</f>
        <v/>
      </c>
      <c r="K97" s="20">
        <f>IF($M97="","",IF(INDEX(請求記録!$AH$6:$AH$3005,$M97)="","",INDEX(請求記録!$AH$6:$AH$3005,$M97)))</f>
        <v/>
      </c>
      <c r="L97">
        <f>IF($M97="","",IF(INDEX(請求記録!$AL$6:$AL$3005,$M97)="","",INDEX(請求記録!$AL$6:$AL$3005,$M97)))</f>
        <v/>
      </c>
      <c r="M97">
        <f>IFERROR(MATCH(92,請求記録!$AM$6:$AM$3005,0),"")</f>
        <v/>
      </c>
    </row>
    <row r="98">
      <c r="A98">
        <f>IF($M98="","",93)</f>
        <v/>
      </c>
      <c r="B98">
        <f>IF($M98="","",IF(INDEX(請求記録!$B$6:$B$3005,$M98)="","",INDEX(請求記録!$B$6:$B$3005,$M98)))</f>
        <v/>
      </c>
      <c r="C98">
        <f>IF($M98="","",IF(INDEX(請求記録!$V$6:$V$3005,$M98)="","",INDEX(請求記録!$V$6:$V$3005,$M98)))</f>
        <v/>
      </c>
      <c r="D98">
        <f>IF($M98="","",IF(INDEX(請求記録!$W$6:$W$3005,$M98)="","",INDEX(請求記録!$W$6:$W$3005,$M98)))</f>
        <v/>
      </c>
      <c r="E98">
        <f>IF($M98="","",IF(INDEX(請求記録!$X$6:$X$3005,$M98)="","",INDEX(請求記録!$X$6:$X$3005,$M98)))</f>
        <v/>
      </c>
      <c r="F98" s="19">
        <f>IF($M98="","",IF(INDEX(請求記録!$E$6:$E$3005,$M98)="","",INDEX(請求記録!$E$6:$E$3005,$M98)))</f>
        <v/>
      </c>
      <c r="G98" s="19">
        <f>IF($M98="","",IF(INDEX(請求記録!$AC$6:$AC$3005,$M98)="","",INDEX(請求記録!$AC$6:$AC$3005,$M98)))</f>
        <v/>
      </c>
      <c r="H98">
        <f>IF($M98="","",IF(INDEX(請求記録!$AE$6:$AE$3005,$M98)="","",INDEX(請求記録!$AE$6:$AE$3005,$M98)))</f>
        <v/>
      </c>
      <c r="I98" s="20">
        <f>IF($M98="","",IF(INDEX(請求記録!$AF$6:$AF$3005,$M98)="","",INDEX(請求記録!$AF$6:$AF$3005,$M98)))</f>
        <v/>
      </c>
      <c r="J98">
        <f>IF($M98="","",IF(INDEX(請求記録!$AI$6:$AI$3005,$M98)="","",INDEX(請求記録!$AI$6:$AI$3005,$M98)))</f>
        <v/>
      </c>
      <c r="K98" s="20">
        <f>IF($M98="","",IF(INDEX(請求記録!$AH$6:$AH$3005,$M98)="","",INDEX(請求記録!$AH$6:$AH$3005,$M98)))</f>
        <v/>
      </c>
      <c r="L98">
        <f>IF($M98="","",IF(INDEX(請求記録!$AL$6:$AL$3005,$M98)="","",INDEX(請求記録!$AL$6:$AL$3005,$M98)))</f>
        <v/>
      </c>
      <c r="M98">
        <f>IFERROR(MATCH(93,請求記録!$AM$6:$AM$3005,0),"")</f>
        <v/>
      </c>
    </row>
    <row r="99">
      <c r="A99">
        <f>IF($M99="","",94)</f>
        <v/>
      </c>
      <c r="B99">
        <f>IF($M99="","",IF(INDEX(請求記録!$B$6:$B$3005,$M99)="","",INDEX(請求記録!$B$6:$B$3005,$M99)))</f>
        <v/>
      </c>
      <c r="C99">
        <f>IF($M99="","",IF(INDEX(請求記録!$V$6:$V$3005,$M99)="","",INDEX(請求記録!$V$6:$V$3005,$M99)))</f>
        <v/>
      </c>
      <c r="D99">
        <f>IF($M99="","",IF(INDEX(請求記録!$W$6:$W$3005,$M99)="","",INDEX(請求記録!$W$6:$W$3005,$M99)))</f>
        <v/>
      </c>
      <c r="E99">
        <f>IF($M99="","",IF(INDEX(請求記録!$X$6:$X$3005,$M99)="","",INDEX(請求記録!$X$6:$X$3005,$M99)))</f>
        <v/>
      </c>
      <c r="F99" s="19">
        <f>IF($M99="","",IF(INDEX(請求記録!$E$6:$E$3005,$M99)="","",INDEX(請求記録!$E$6:$E$3005,$M99)))</f>
        <v/>
      </c>
      <c r="G99" s="19">
        <f>IF($M99="","",IF(INDEX(請求記録!$AC$6:$AC$3005,$M99)="","",INDEX(請求記録!$AC$6:$AC$3005,$M99)))</f>
        <v/>
      </c>
      <c r="H99">
        <f>IF($M99="","",IF(INDEX(請求記録!$AE$6:$AE$3005,$M99)="","",INDEX(請求記録!$AE$6:$AE$3005,$M99)))</f>
        <v/>
      </c>
      <c r="I99" s="20">
        <f>IF($M99="","",IF(INDEX(請求記録!$AF$6:$AF$3005,$M99)="","",INDEX(請求記録!$AF$6:$AF$3005,$M99)))</f>
        <v/>
      </c>
      <c r="J99">
        <f>IF($M99="","",IF(INDEX(請求記録!$AI$6:$AI$3005,$M99)="","",INDEX(請求記録!$AI$6:$AI$3005,$M99)))</f>
        <v/>
      </c>
      <c r="K99" s="20">
        <f>IF($M99="","",IF(INDEX(請求記録!$AH$6:$AH$3005,$M99)="","",INDEX(請求記録!$AH$6:$AH$3005,$M99)))</f>
        <v/>
      </c>
      <c r="L99">
        <f>IF($M99="","",IF(INDEX(請求記録!$AL$6:$AL$3005,$M99)="","",INDEX(請求記録!$AL$6:$AL$3005,$M99)))</f>
        <v/>
      </c>
      <c r="M99">
        <f>IFERROR(MATCH(94,請求記録!$AM$6:$AM$3005,0),"")</f>
        <v/>
      </c>
    </row>
    <row r="100">
      <c r="A100">
        <f>IF($M100="","",95)</f>
        <v/>
      </c>
      <c r="B100">
        <f>IF($M100="","",IF(INDEX(請求記録!$B$6:$B$3005,$M100)="","",INDEX(請求記録!$B$6:$B$3005,$M100)))</f>
        <v/>
      </c>
      <c r="C100">
        <f>IF($M100="","",IF(INDEX(請求記録!$V$6:$V$3005,$M100)="","",INDEX(請求記録!$V$6:$V$3005,$M100)))</f>
        <v/>
      </c>
      <c r="D100">
        <f>IF($M100="","",IF(INDEX(請求記録!$W$6:$W$3005,$M100)="","",INDEX(請求記録!$W$6:$W$3005,$M100)))</f>
        <v/>
      </c>
      <c r="E100">
        <f>IF($M100="","",IF(INDEX(請求記録!$X$6:$X$3005,$M100)="","",INDEX(請求記録!$X$6:$X$3005,$M100)))</f>
        <v/>
      </c>
      <c r="F100" s="19">
        <f>IF($M100="","",IF(INDEX(請求記録!$E$6:$E$3005,$M100)="","",INDEX(請求記録!$E$6:$E$3005,$M100)))</f>
        <v/>
      </c>
      <c r="G100" s="19">
        <f>IF($M100="","",IF(INDEX(請求記録!$AC$6:$AC$3005,$M100)="","",INDEX(請求記録!$AC$6:$AC$3005,$M100)))</f>
        <v/>
      </c>
      <c r="H100">
        <f>IF($M100="","",IF(INDEX(請求記録!$AE$6:$AE$3005,$M100)="","",INDEX(請求記録!$AE$6:$AE$3005,$M100)))</f>
        <v/>
      </c>
      <c r="I100" s="20">
        <f>IF($M100="","",IF(INDEX(請求記録!$AF$6:$AF$3005,$M100)="","",INDEX(請求記録!$AF$6:$AF$3005,$M100)))</f>
        <v/>
      </c>
      <c r="J100">
        <f>IF($M100="","",IF(INDEX(請求記録!$AI$6:$AI$3005,$M100)="","",INDEX(請求記録!$AI$6:$AI$3005,$M100)))</f>
        <v/>
      </c>
      <c r="K100" s="20">
        <f>IF($M100="","",IF(INDEX(請求記録!$AH$6:$AH$3005,$M100)="","",INDEX(請求記録!$AH$6:$AH$3005,$M100)))</f>
        <v/>
      </c>
      <c r="L100">
        <f>IF($M100="","",IF(INDEX(請求記録!$AL$6:$AL$3005,$M100)="","",INDEX(請求記録!$AL$6:$AL$3005,$M100)))</f>
        <v/>
      </c>
      <c r="M100">
        <f>IFERROR(MATCH(95,請求記録!$AM$6:$AM$3005,0),"")</f>
        <v/>
      </c>
    </row>
    <row r="101">
      <c r="A101">
        <f>IF($M101="","",96)</f>
        <v/>
      </c>
      <c r="B101">
        <f>IF($M101="","",IF(INDEX(請求記録!$B$6:$B$3005,$M101)="","",INDEX(請求記録!$B$6:$B$3005,$M101)))</f>
        <v/>
      </c>
      <c r="C101">
        <f>IF($M101="","",IF(INDEX(請求記録!$V$6:$V$3005,$M101)="","",INDEX(請求記録!$V$6:$V$3005,$M101)))</f>
        <v/>
      </c>
      <c r="D101">
        <f>IF($M101="","",IF(INDEX(請求記録!$W$6:$W$3005,$M101)="","",INDEX(請求記録!$W$6:$W$3005,$M101)))</f>
        <v/>
      </c>
      <c r="E101">
        <f>IF($M101="","",IF(INDEX(請求記録!$X$6:$X$3005,$M101)="","",INDEX(請求記録!$X$6:$X$3005,$M101)))</f>
        <v/>
      </c>
      <c r="F101" s="19">
        <f>IF($M101="","",IF(INDEX(請求記録!$E$6:$E$3005,$M101)="","",INDEX(請求記録!$E$6:$E$3005,$M101)))</f>
        <v/>
      </c>
      <c r="G101" s="19">
        <f>IF($M101="","",IF(INDEX(請求記録!$AC$6:$AC$3005,$M101)="","",INDEX(請求記録!$AC$6:$AC$3005,$M101)))</f>
        <v/>
      </c>
      <c r="H101">
        <f>IF($M101="","",IF(INDEX(請求記録!$AE$6:$AE$3005,$M101)="","",INDEX(請求記録!$AE$6:$AE$3005,$M101)))</f>
        <v/>
      </c>
      <c r="I101" s="20">
        <f>IF($M101="","",IF(INDEX(請求記録!$AF$6:$AF$3005,$M101)="","",INDEX(請求記録!$AF$6:$AF$3005,$M101)))</f>
        <v/>
      </c>
      <c r="J101">
        <f>IF($M101="","",IF(INDEX(請求記録!$AI$6:$AI$3005,$M101)="","",INDEX(請求記録!$AI$6:$AI$3005,$M101)))</f>
        <v/>
      </c>
      <c r="K101" s="20">
        <f>IF($M101="","",IF(INDEX(請求記録!$AH$6:$AH$3005,$M101)="","",INDEX(請求記録!$AH$6:$AH$3005,$M101)))</f>
        <v/>
      </c>
      <c r="L101">
        <f>IF($M101="","",IF(INDEX(請求記録!$AL$6:$AL$3005,$M101)="","",INDEX(請求記録!$AL$6:$AL$3005,$M101)))</f>
        <v/>
      </c>
      <c r="M101">
        <f>IFERROR(MATCH(96,請求記録!$AM$6:$AM$3005,0),"")</f>
        <v/>
      </c>
    </row>
    <row r="102">
      <c r="A102">
        <f>IF($M102="","",97)</f>
        <v/>
      </c>
      <c r="B102">
        <f>IF($M102="","",IF(INDEX(請求記録!$B$6:$B$3005,$M102)="","",INDEX(請求記録!$B$6:$B$3005,$M102)))</f>
        <v/>
      </c>
      <c r="C102">
        <f>IF($M102="","",IF(INDEX(請求記録!$V$6:$V$3005,$M102)="","",INDEX(請求記録!$V$6:$V$3005,$M102)))</f>
        <v/>
      </c>
      <c r="D102">
        <f>IF($M102="","",IF(INDEX(請求記録!$W$6:$W$3005,$M102)="","",INDEX(請求記録!$W$6:$W$3005,$M102)))</f>
        <v/>
      </c>
      <c r="E102">
        <f>IF($M102="","",IF(INDEX(請求記録!$X$6:$X$3005,$M102)="","",INDEX(請求記録!$X$6:$X$3005,$M102)))</f>
        <v/>
      </c>
      <c r="F102" s="19">
        <f>IF($M102="","",IF(INDEX(請求記録!$E$6:$E$3005,$M102)="","",INDEX(請求記録!$E$6:$E$3005,$M102)))</f>
        <v/>
      </c>
      <c r="G102" s="19">
        <f>IF($M102="","",IF(INDEX(請求記録!$AC$6:$AC$3005,$M102)="","",INDEX(請求記録!$AC$6:$AC$3005,$M102)))</f>
        <v/>
      </c>
      <c r="H102">
        <f>IF($M102="","",IF(INDEX(請求記録!$AE$6:$AE$3005,$M102)="","",INDEX(請求記録!$AE$6:$AE$3005,$M102)))</f>
        <v/>
      </c>
      <c r="I102" s="20">
        <f>IF($M102="","",IF(INDEX(請求記録!$AF$6:$AF$3005,$M102)="","",INDEX(請求記録!$AF$6:$AF$3005,$M102)))</f>
        <v/>
      </c>
      <c r="J102">
        <f>IF($M102="","",IF(INDEX(請求記録!$AI$6:$AI$3005,$M102)="","",INDEX(請求記録!$AI$6:$AI$3005,$M102)))</f>
        <v/>
      </c>
      <c r="K102" s="20">
        <f>IF($M102="","",IF(INDEX(請求記録!$AH$6:$AH$3005,$M102)="","",INDEX(請求記録!$AH$6:$AH$3005,$M102)))</f>
        <v/>
      </c>
      <c r="L102">
        <f>IF($M102="","",IF(INDEX(請求記録!$AL$6:$AL$3005,$M102)="","",INDEX(請求記録!$AL$6:$AL$3005,$M102)))</f>
        <v/>
      </c>
      <c r="M102">
        <f>IFERROR(MATCH(97,請求記録!$AM$6:$AM$3005,0),"")</f>
        <v/>
      </c>
    </row>
    <row r="103">
      <c r="A103">
        <f>IF($M103="","",98)</f>
        <v/>
      </c>
      <c r="B103">
        <f>IF($M103="","",IF(INDEX(請求記録!$B$6:$B$3005,$M103)="","",INDEX(請求記録!$B$6:$B$3005,$M103)))</f>
        <v/>
      </c>
      <c r="C103">
        <f>IF($M103="","",IF(INDEX(請求記録!$V$6:$V$3005,$M103)="","",INDEX(請求記録!$V$6:$V$3005,$M103)))</f>
        <v/>
      </c>
      <c r="D103">
        <f>IF($M103="","",IF(INDEX(請求記録!$W$6:$W$3005,$M103)="","",INDEX(請求記録!$W$6:$W$3005,$M103)))</f>
        <v/>
      </c>
      <c r="E103">
        <f>IF($M103="","",IF(INDEX(請求記録!$X$6:$X$3005,$M103)="","",INDEX(請求記録!$X$6:$X$3005,$M103)))</f>
        <v/>
      </c>
      <c r="F103" s="19">
        <f>IF($M103="","",IF(INDEX(請求記録!$E$6:$E$3005,$M103)="","",INDEX(請求記録!$E$6:$E$3005,$M103)))</f>
        <v/>
      </c>
      <c r="G103" s="19">
        <f>IF($M103="","",IF(INDEX(請求記録!$AC$6:$AC$3005,$M103)="","",INDEX(請求記録!$AC$6:$AC$3005,$M103)))</f>
        <v/>
      </c>
      <c r="H103">
        <f>IF($M103="","",IF(INDEX(請求記録!$AE$6:$AE$3005,$M103)="","",INDEX(請求記録!$AE$6:$AE$3005,$M103)))</f>
        <v/>
      </c>
      <c r="I103" s="20">
        <f>IF($M103="","",IF(INDEX(請求記録!$AF$6:$AF$3005,$M103)="","",INDEX(請求記録!$AF$6:$AF$3005,$M103)))</f>
        <v/>
      </c>
      <c r="J103">
        <f>IF($M103="","",IF(INDEX(請求記録!$AI$6:$AI$3005,$M103)="","",INDEX(請求記録!$AI$6:$AI$3005,$M103)))</f>
        <v/>
      </c>
      <c r="K103" s="20">
        <f>IF($M103="","",IF(INDEX(請求記録!$AH$6:$AH$3005,$M103)="","",INDEX(請求記録!$AH$6:$AH$3005,$M103)))</f>
        <v/>
      </c>
      <c r="L103">
        <f>IF($M103="","",IF(INDEX(請求記録!$AL$6:$AL$3005,$M103)="","",INDEX(請求記録!$AL$6:$AL$3005,$M103)))</f>
        <v/>
      </c>
      <c r="M103">
        <f>IFERROR(MATCH(98,請求記録!$AM$6:$AM$3005,0),"")</f>
        <v/>
      </c>
    </row>
    <row r="104">
      <c r="A104">
        <f>IF($M104="","",99)</f>
        <v/>
      </c>
      <c r="B104">
        <f>IF($M104="","",IF(INDEX(請求記録!$B$6:$B$3005,$M104)="","",INDEX(請求記録!$B$6:$B$3005,$M104)))</f>
        <v/>
      </c>
      <c r="C104">
        <f>IF($M104="","",IF(INDEX(請求記録!$V$6:$V$3005,$M104)="","",INDEX(請求記録!$V$6:$V$3005,$M104)))</f>
        <v/>
      </c>
      <c r="D104">
        <f>IF($M104="","",IF(INDEX(請求記録!$W$6:$W$3005,$M104)="","",INDEX(請求記録!$W$6:$W$3005,$M104)))</f>
        <v/>
      </c>
      <c r="E104">
        <f>IF($M104="","",IF(INDEX(請求記録!$X$6:$X$3005,$M104)="","",INDEX(請求記録!$X$6:$X$3005,$M104)))</f>
        <v/>
      </c>
      <c r="F104" s="19">
        <f>IF($M104="","",IF(INDEX(請求記録!$E$6:$E$3005,$M104)="","",INDEX(請求記録!$E$6:$E$3005,$M104)))</f>
        <v/>
      </c>
      <c r="G104" s="19">
        <f>IF($M104="","",IF(INDEX(請求記録!$AC$6:$AC$3005,$M104)="","",INDEX(請求記録!$AC$6:$AC$3005,$M104)))</f>
        <v/>
      </c>
      <c r="H104">
        <f>IF($M104="","",IF(INDEX(請求記録!$AE$6:$AE$3005,$M104)="","",INDEX(請求記録!$AE$6:$AE$3005,$M104)))</f>
        <v/>
      </c>
      <c r="I104" s="20">
        <f>IF($M104="","",IF(INDEX(請求記録!$AF$6:$AF$3005,$M104)="","",INDEX(請求記録!$AF$6:$AF$3005,$M104)))</f>
        <v/>
      </c>
      <c r="J104">
        <f>IF($M104="","",IF(INDEX(請求記録!$AI$6:$AI$3005,$M104)="","",INDEX(請求記録!$AI$6:$AI$3005,$M104)))</f>
        <v/>
      </c>
      <c r="K104" s="20">
        <f>IF($M104="","",IF(INDEX(請求記録!$AH$6:$AH$3005,$M104)="","",INDEX(請求記録!$AH$6:$AH$3005,$M104)))</f>
        <v/>
      </c>
      <c r="L104">
        <f>IF($M104="","",IF(INDEX(請求記録!$AL$6:$AL$3005,$M104)="","",INDEX(請求記録!$AL$6:$AL$3005,$M104)))</f>
        <v/>
      </c>
      <c r="M104">
        <f>IFERROR(MATCH(99,請求記録!$AM$6:$AM$3005,0),"")</f>
        <v/>
      </c>
    </row>
    <row r="105">
      <c r="A105">
        <f>IF($M105="","",100)</f>
        <v/>
      </c>
      <c r="B105">
        <f>IF($M105="","",IF(INDEX(請求記録!$B$6:$B$3005,$M105)="","",INDEX(請求記録!$B$6:$B$3005,$M105)))</f>
        <v/>
      </c>
      <c r="C105">
        <f>IF($M105="","",IF(INDEX(請求記録!$V$6:$V$3005,$M105)="","",INDEX(請求記録!$V$6:$V$3005,$M105)))</f>
        <v/>
      </c>
      <c r="D105">
        <f>IF($M105="","",IF(INDEX(請求記録!$W$6:$W$3005,$M105)="","",INDEX(請求記録!$W$6:$W$3005,$M105)))</f>
        <v/>
      </c>
      <c r="E105">
        <f>IF($M105="","",IF(INDEX(請求記録!$X$6:$X$3005,$M105)="","",INDEX(請求記録!$X$6:$X$3005,$M105)))</f>
        <v/>
      </c>
      <c r="F105" s="19">
        <f>IF($M105="","",IF(INDEX(請求記録!$E$6:$E$3005,$M105)="","",INDEX(請求記録!$E$6:$E$3005,$M105)))</f>
        <v/>
      </c>
      <c r="G105" s="19">
        <f>IF($M105="","",IF(INDEX(請求記録!$AC$6:$AC$3005,$M105)="","",INDEX(請求記録!$AC$6:$AC$3005,$M105)))</f>
        <v/>
      </c>
      <c r="H105">
        <f>IF($M105="","",IF(INDEX(請求記録!$AE$6:$AE$3005,$M105)="","",INDEX(請求記録!$AE$6:$AE$3005,$M105)))</f>
        <v/>
      </c>
      <c r="I105" s="20">
        <f>IF($M105="","",IF(INDEX(請求記録!$AF$6:$AF$3005,$M105)="","",INDEX(請求記録!$AF$6:$AF$3005,$M105)))</f>
        <v/>
      </c>
      <c r="J105">
        <f>IF($M105="","",IF(INDEX(請求記録!$AI$6:$AI$3005,$M105)="","",INDEX(請求記録!$AI$6:$AI$3005,$M105)))</f>
        <v/>
      </c>
      <c r="K105" s="20">
        <f>IF($M105="","",IF(INDEX(請求記録!$AH$6:$AH$3005,$M105)="","",INDEX(請求記録!$AH$6:$AH$3005,$M105)))</f>
        <v/>
      </c>
      <c r="L105">
        <f>IF($M105="","",IF(INDEX(請求記録!$AL$6:$AL$3005,$M105)="","",INDEX(請求記録!$AL$6:$AL$3005,$M105)))</f>
        <v/>
      </c>
      <c r="M105">
        <f>IFERROR(MATCH(100,請求記録!$AM$6:$AM$3005,0),"")</f>
        <v/>
      </c>
    </row>
    <row r="106">
      <c r="A106">
        <f>IF($M106="","",101)</f>
        <v/>
      </c>
      <c r="B106">
        <f>IF($M106="","",IF(INDEX(請求記録!$B$6:$B$3005,$M106)="","",INDEX(請求記録!$B$6:$B$3005,$M106)))</f>
        <v/>
      </c>
      <c r="C106">
        <f>IF($M106="","",IF(INDEX(請求記録!$V$6:$V$3005,$M106)="","",INDEX(請求記録!$V$6:$V$3005,$M106)))</f>
        <v/>
      </c>
      <c r="D106">
        <f>IF($M106="","",IF(INDEX(請求記録!$W$6:$W$3005,$M106)="","",INDEX(請求記録!$W$6:$W$3005,$M106)))</f>
        <v/>
      </c>
      <c r="E106">
        <f>IF($M106="","",IF(INDEX(請求記録!$X$6:$X$3005,$M106)="","",INDEX(請求記録!$X$6:$X$3005,$M106)))</f>
        <v/>
      </c>
      <c r="F106" s="19">
        <f>IF($M106="","",IF(INDEX(請求記録!$E$6:$E$3005,$M106)="","",INDEX(請求記録!$E$6:$E$3005,$M106)))</f>
        <v/>
      </c>
      <c r="G106" s="19">
        <f>IF($M106="","",IF(INDEX(請求記録!$AC$6:$AC$3005,$M106)="","",INDEX(請求記録!$AC$6:$AC$3005,$M106)))</f>
        <v/>
      </c>
      <c r="H106">
        <f>IF($M106="","",IF(INDEX(請求記録!$AE$6:$AE$3005,$M106)="","",INDEX(請求記録!$AE$6:$AE$3005,$M106)))</f>
        <v/>
      </c>
      <c r="I106" s="20">
        <f>IF($M106="","",IF(INDEX(請求記録!$AF$6:$AF$3005,$M106)="","",INDEX(請求記録!$AF$6:$AF$3005,$M106)))</f>
        <v/>
      </c>
      <c r="J106">
        <f>IF($M106="","",IF(INDEX(請求記録!$AI$6:$AI$3005,$M106)="","",INDEX(請求記録!$AI$6:$AI$3005,$M106)))</f>
        <v/>
      </c>
      <c r="K106" s="20">
        <f>IF($M106="","",IF(INDEX(請求記録!$AH$6:$AH$3005,$M106)="","",INDEX(請求記録!$AH$6:$AH$3005,$M106)))</f>
        <v/>
      </c>
      <c r="L106">
        <f>IF($M106="","",IF(INDEX(請求記録!$AL$6:$AL$3005,$M106)="","",INDEX(請求記録!$AL$6:$AL$3005,$M106)))</f>
        <v/>
      </c>
      <c r="M106">
        <f>IFERROR(MATCH(101,請求記録!$AM$6:$AM$3005,0),"")</f>
        <v/>
      </c>
    </row>
    <row r="107">
      <c r="A107">
        <f>IF($M107="","",102)</f>
        <v/>
      </c>
      <c r="B107">
        <f>IF($M107="","",IF(INDEX(請求記録!$B$6:$B$3005,$M107)="","",INDEX(請求記録!$B$6:$B$3005,$M107)))</f>
        <v/>
      </c>
      <c r="C107">
        <f>IF($M107="","",IF(INDEX(請求記録!$V$6:$V$3005,$M107)="","",INDEX(請求記録!$V$6:$V$3005,$M107)))</f>
        <v/>
      </c>
      <c r="D107">
        <f>IF($M107="","",IF(INDEX(請求記録!$W$6:$W$3005,$M107)="","",INDEX(請求記録!$W$6:$W$3005,$M107)))</f>
        <v/>
      </c>
      <c r="E107">
        <f>IF($M107="","",IF(INDEX(請求記録!$X$6:$X$3005,$M107)="","",INDEX(請求記録!$X$6:$X$3005,$M107)))</f>
        <v/>
      </c>
      <c r="F107" s="19">
        <f>IF($M107="","",IF(INDEX(請求記録!$E$6:$E$3005,$M107)="","",INDEX(請求記録!$E$6:$E$3005,$M107)))</f>
        <v/>
      </c>
      <c r="G107" s="19">
        <f>IF($M107="","",IF(INDEX(請求記録!$AC$6:$AC$3005,$M107)="","",INDEX(請求記録!$AC$6:$AC$3005,$M107)))</f>
        <v/>
      </c>
      <c r="H107">
        <f>IF($M107="","",IF(INDEX(請求記録!$AE$6:$AE$3005,$M107)="","",INDEX(請求記録!$AE$6:$AE$3005,$M107)))</f>
        <v/>
      </c>
      <c r="I107" s="20">
        <f>IF($M107="","",IF(INDEX(請求記録!$AF$6:$AF$3005,$M107)="","",INDEX(請求記録!$AF$6:$AF$3005,$M107)))</f>
        <v/>
      </c>
      <c r="J107">
        <f>IF($M107="","",IF(INDEX(請求記録!$AI$6:$AI$3005,$M107)="","",INDEX(請求記録!$AI$6:$AI$3005,$M107)))</f>
        <v/>
      </c>
      <c r="K107" s="20">
        <f>IF($M107="","",IF(INDEX(請求記録!$AH$6:$AH$3005,$M107)="","",INDEX(請求記録!$AH$6:$AH$3005,$M107)))</f>
        <v/>
      </c>
      <c r="L107">
        <f>IF($M107="","",IF(INDEX(請求記録!$AL$6:$AL$3005,$M107)="","",INDEX(請求記録!$AL$6:$AL$3005,$M107)))</f>
        <v/>
      </c>
      <c r="M107">
        <f>IFERROR(MATCH(102,請求記録!$AM$6:$AM$3005,0),"")</f>
        <v/>
      </c>
    </row>
    <row r="108">
      <c r="A108">
        <f>IF($M108="","",103)</f>
        <v/>
      </c>
      <c r="B108">
        <f>IF($M108="","",IF(INDEX(請求記録!$B$6:$B$3005,$M108)="","",INDEX(請求記録!$B$6:$B$3005,$M108)))</f>
        <v/>
      </c>
      <c r="C108">
        <f>IF($M108="","",IF(INDEX(請求記録!$V$6:$V$3005,$M108)="","",INDEX(請求記録!$V$6:$V$3005,$M108)))</f>
        <v/>
      </c>
      <c r="D108">
        <f>IF($M108="","",IF(INDEX(請求記録!$W$6:$W$3005,$M108)="","",INDEX(請求記録!$W$6:$W$3005,$M108)))</f>
        <v/>
      </c>
      <c r="E108">
        <f>IF($M108="","",IF(INDEX(請求記録!$X$6:$X$3005,$M108)="","",INDEX(請求記録!$X$6:$X$3005,$M108)))</f>
        <v/>
      </c>
      <c r="F108" s="19">
        <f>IF($M108="","",IF(INDEX(請求記録!$E$6:$E$3005,$M108)="","",INDEX(請求記録!$E$6:$E$3005,$M108)))</f>
        <v/>
      </c>
      <c r="G108" s="19">
        <f>IF($M108="","",IF(INDEX(請求記録!$AC$6:$AC$3005,$M108)="","",INDEX(請求記録!$AC$6:$AC$3005,$M108)))</f>
        <v/>
      </c>
      <c r="H108">
        <f>IF($M108="","",IF(INDEX(請求記録!$AE$6:$AE$3005,$M108)="","",INDEX(請求記録!$AE$6:$AE$3005,$M108)))</f>
        <v/>
      </c>
      <c r="I108" s="20">
        <f>IF($M108="","",IF(INDEX(請求記録!$AF$6:$AF$3005,$M108)="","",INDEX(請求記録!$AF$6:$AF$3005,$M108)))</f>
        <v/>
      </c>
      <c r="J108">
        <f>IF($M108="","",IF(INDEX(請求記録!$AI$6:$AI$3005,$M108)="","",INDEX(請求記録!$AI$6:$AI$3005,$M108)))</f>
        <v/>
      </c>
      <c r="K108" s="20">
        <f>IF($M108="","",IF(INDEX(請求記録!$AH$6:$AH$3005,$M108)="","",INDEX(請求記録!$AH$6:$AH$3005,$M108)))</f>
        <v/>
      </c>
      <c r="L108">
        <f>IF($M108="","",IF(INDEX(請求記録!$AL$6:$AL$3005,$M108)="","",INDEX(請求記録!$AL$6:$AL$3005,$M108)))</f>
        <v/>
      </c>
      <c r="M108">
        <f>IFERROR(MATCH(103,請求記録!$AM$6:$AM$3005,0),"")</f>
        <v/>
      </c>
    </row>
    <row r="109">
      <c r="A109">
        <f>IF($M109="","",104)</f>
        <v/>
      </c>
      <c r="B109">
        <f>IF($M109="","",IF(INDEX(請求記録!$B$6:$B$3005,$M109)="","",INDEX(請求記録!$B$6:$B$3005,$M109)))</f>
        <v/>
      </c>
      <c r="C109">
        <f>IF($M109="","",IF(INDEX(請求記録!$V$6:$V$3005,$M109)="","",INDEX(請求記録!$V$6:$V$3005,$M109)))</f>
        <v/>
      </c>
      <c r="D109">
        <f>IF($M109="","",IF(INDEX(請求記録!$W$6:$W$3005,$M109)="","",INDEX(請求記録!$W$6:$W$3005,$M109)))</f>
        <v/>
      </c>
      <c r="E109">
        <f>IF($M109="","",IF(INDEX(請求記録!$X$6:$X$3005,$M109)="","",INDEX(請求記録!$X$6:$X$3005,$M109)))</f>
        <v/>
      </c>
      <c r="F109" s="19">
        <f>IF($M109="","",IF(INDEX(請求記録!$E$6:$E$3005,$M109)="","",INDEX(請求記録!$E$6:$E$3005,$M109)))</f>
        <v/>
      </c>
      <c r="G109" s="19">
        <f>IF($M109="","",IF(INDEX(請求記録!$AC$6:$AC$3005,$M109)="","",INDEX(請求記録!$AC$6:$AC$3005,$M109)))</f>
        <v/>
      </c>
      <c r="H109">
        <f>IF($M109="","",IF(INDEX(請求記録!$AE$6:$AE$3005,$M109)="","",INDEX(請求記録!$AE$6:$AE$3005,$M109)))</f>
        <v/>
      </c>
      <c r="I109" s="20">
        <f>IF($M109="","",IF(INDEX(請求記録!$AF$6:$AF$3005,$M109)="","",INDEX(請求記録!$AF$6:$AF$3005,$M109)))</f>
        <v/>
      </c>
      <c r="J109">
        <f>IF($M109="","",IF(INDEX(請求記録!$AI$6:$AI$3005,$M109)="","",INDEX(請求記録!$AI$6:$AI$3005,$M109)))</f>
        <v/>
      </c>
      <c r="K109" s="20">
        <f>IF($M109="","",IF(INDEX(請求記録!$AH$6:$AH$3005,$M109)="","",INDEX(請求記録!$AH$6:$AH$3005,$M109)))</f>
        <v/>
      </c>
      <c r="L109">
        <f>IF($M109="","",IF(INDEX(請求記録!$AL$6:$AL$3005,$M109)="","",INDEX(請求記録!$AL$6:$AL$3005,$M109)))</f>
        <v/>
      </c>
      <c r="M109">
        <f>IFERROR(MATCH(104,請求記録!$AM$6:$AM$3005,0),"")</f>
        <v/>
      </c>
    </row>
    <row r="110">
      <c r="A110">
        <f>IF($M110="","",105)</f>
        <v/>
      </c>
      <c r="B110">
        <f>IF($M110="","",IF(INDEX(請求記録!$B$6:$B$3005,$M110)="","",INDEX(請求記録!$B$6:$B$3005,$M110)))</f>
        <v/>
      </c>
      <c r="C110">
        <f>IF($M110="","",IF(INDEX(請求記録!$V$6:$V$3005,$M110)="","",INDEX(請求記録!$V$6:$V$3005,$M110)))</f>
        <v/>
      </c>
      <c r="D110">
        <f>IF($M110="","",IF(INDEX(請求記録!$W$6:$W$3005,$M110)="","",INDEX(請求記録!$W$6:$W$3005,$M110)))</f>
        <v/>
      </c>
      <c r="E110">
        <f>IF($M110="","",IF(INDEX(請求記録!$X$6:$X$3005,$M110)="","",INDEX(請求記録!$X$6:$X$3005,$M110)))</f>
        <v/>
      </c>
      <c r="F110" s="19">
        <f>IF($M110="","",IF(INDEX(請求記録!$E$6:$E$3005,$M110)="","",INDEX(請求記録!$E$6:$E$3005,$M110)))</f>
        <v/>
      </c>
      <c r="G110" s="19">
        <f>IF($M110="","",IF(INDEX(請求記録!$AC$6:$AC$3005,$M110)="","",INDEX(請求記録!$AC$6:$AC$3005,$M110)))</f>
        <v/>
      </c>
      <c r="H110">
        <f>IF($M110="","",IF(INDEX(請求記録!$AE$6:$AE$3005,$M110)="","",INDEX(請求記録!$AE$6:$AE$3005,$M110)))</f>
        <v/>
      </c>
      <c r="I110" s="20">
        <f>IF($M110="","",IF(INDEX(請求記録!$AF$6:$AF$3005,$M110)="","",INDEX(請求記録!$AF$6:$AF$3005,$M110)))</f>
        <v/>
      </c>
      <c r="J110">
        <f>IF($M110="","",IF(INDEX(請求記録!$AI$6:$AI$3005,$M110)="","",INDEX(請求記録!$AI$6:$AI$3005,$M110)))</f>
        <v/>
      </c>
      <c r="K110" s="20">
        <f>IF($M110="","",IF(INDEX(請求記録!$AH$6:$AH$3005,$M110)="","",INDEX(請求記録!$AH$6:$AH$3005,$M110)))</f>
        <v/>
      </c>
      <c r="L110">
        <f>IF($M110="","",IF(INDEX(請求記録!$AL$6:$AL$3005,$M110)="","",INDEX(請求記録!$AL$6:$AL$3005,$M110)))</f>
        <v/>
      </c>
      <c r="M110">
        <f>IFERROR(MATCH(105,請求記録!$AM$6:$AM$3005,0),"")</f>
        <v/>
      </c>
    </row>
    <row r="111">
      <c r="A111">
        <f>IF($M111="","",106)</f>
        <v/>
      </c>
      <c r="B111">
        <f>IF($M111="","",IF(INDEX(請求記録!$B$6:$B$3005,$M111)="","",INDEX(請求記録!$B$6:$B$3005,$M111)))</f>
        <v/>
      </c>
      <c r="C111">
        <f>IF($M111="","",IF(INDEX(請求記録!$V$6:$V$3005,$M111)="","",INDEX(請求記録!$V$6:$V$3005,$M111)))</f>
        <v/>
      </c>
      <c r="D111">
        <f>IF($M111="","",IF(INDEX(請求記録!$W$6:$W$3005,$M111)="","",INDEX(請求記録!$W$6:$W$3005,$M111)))</f>
        <v/>
      </c>
      <c r="E111">
        <f>IF($M111="","",IF(INDEX(請求記録!$X$6:$X$3005,$M111)="","",INDEX(請求記録!$X$6:$X$3005,$M111)))</f>
        <v/>
      </c>
      <c r="F111" s="19">
        <f>IF($M111="","",IF(INDEX(請求記録!$E$6:$E$3005,$M111)="","",INDEX(請求記録!$E$6:$E$3005,$M111)))</f>
        <v/>
      </c>
      <c r="G111" s="19">
        <f>IF($M111="","",IF(INDEX(請求記録!$AC$6:$AC$3005,$M111)="","",INDEX(請求記録!$AC$6:$AC$3005,$M111)))</f>
        <v/>
      </c>
      <c r="H111">
        <f>IF($M111="","",IF(INDEX(請求記録!$AE$6:$AE$3005,$M111)="","",INDEX(請求記録!$AE$6:$AE$3005,$M111)))</f>
        <v/>
      </c>
      <c r="I111" s="20">
        <f>IF($M111="","",IF(INDEX(請求記録!$AF$6:$AF$3005,$M111)="","",INDEX(請求記録!$AF$6:$AF$3005,$M111)))</f>
        <v/>
      </c>
      <c r="J111">
        <f>IF($M111="","",IF(INDEX(請求記録!$AI$6:$AI$3005,$M111)="","",INDEX(請求記録!$AI$6:$AI$3005,$M111)))</f>
        <v/>
      </c>
      <c r="K111" s="20">
        <f>IF($M111="","",IF(INDEX(請求記録!$AH$6:$AH$3005,$M111)="","",INDEX(請求記録!$AH$6:$AH$3005,$M111)))</f>
        <v/>
      </c>
      <c r="L111">
        <f>IF($M111="","",IF(INDEX(請求記録!$AL$6:$AL$3005,$M111)="","",INDEX(請求記録!$AL$6:$AL$3005,$M111)))</f>
        <v/>
      </c>
      <c r="M111">
        <f>IFERROR(MATCH(106,請求記録!$AM$6:$AM$3005,0),"")</f>
        <v/>
      </c>
    </row>
    <row r="112">
      <c r="A112">
        <f>IF($M112="","",107)</f>
        <v/>
      </c>
      <c r="B112">
        <f>IF($M112="","",IF(INDEX(請求記録!$B$6:$B$3005,$M112)="","",INDEX(請求記録!$B$6:$B$3005,$M112)))</f>
        <v/>
      </c>
      <c r="C112">
        <f>IF($M112="","",IF(INDEX(請求記録!$V$6:$V$3005,$M112)="","",INDEX(請求記録!$V$6:$V$3005,$M112)))</f>
        <v/>
      </c>
      <c r="D112">
        <f>IF($M112="","",IF(INDEX(請求記録!$W$6:$W$3005,$M112)="","",INDEX(請求記録!$W$6:$W$3005,$M112)))</f>
        <v/>
      </c>
      <c r="E112">
        <f>IF($M112="","",IF(INDEX(請求記録!$X$6:$X$3005,$M112)="","",INDEX(請求記録!$X$6:$X$3005,$M112)))</f>
        <v/>
      </c>
      <c r="F112" s="19">
        <f>IF($M112="","",IF(INDEX(請求記録!$E$6:$E$3005,$M112)="","",INDEX(請求記録!$E$6:$E$3005,$M112)))</f>
        <v/>
      </c>
      <c r="G112" s="19">
        <f>IF($M112="","",IF(INDEX(請求記録!$AC$6:$AC$3005,$M112)="","",INDEX(請求記録!$AC$6:$AC$3005,$M112)))</f>
        <v/>
      </c>
      <c r="H112">
        <f>IF($M112="","",IF(INDEX(請求記録!$AE$6:$AE$3005,$M112)="","",INDEX(請求記録!$AE$6:$AE$3005,$M112)))</f>
        <v/>
      </c>
      <c r="I112" s="20">
        <f>IF($M112="","",IF(INDEX(請求記録!$AF$6:$AF$3005,$M112)="","",INDEX(請求記録!$AF$6:$AF$3005,$M112)))</f>
        <v/>
      </c>
      <c r="J112">
        <f>IF($M112="","",IF(INDEX(請求記録!$AI$6:$AI$3005,$M112)="","",INDEX(請求記録!$AI$6:$AI$3005,$M112)))</f>
        <v/>
      </c>
      <c r="K112" s="20">
        <f>IF($M112="","",IF(INDEX(請求記録!$AH$6:$AH$3005,$M112)="","",INDEX(請求記録!$AH$6:$AH$3005,$M112)))</f>
        <v/>
      </c>
      <c r="L112">
        <f>IF($M112="","",IF(INDEX(請求記録!$AL$6:$AL$3005,$M112)="","",INDEX(請求記録!$AL$6:$AL$3005,$M112)))</f>
        <v/>
      </c>
      <c r="M112">
        <f>IFERROR(MATCH(107,請求記録!$AM$6:$AM$3005,0),"")</f>
        <v/>
      </c>
    </row>
    <row r="113">
      <c r="A113">
        <f>IF($M113="","",108)</f>
        <v/>
      </c>
      <c r="B113">
        <f>IF($M113="","",IF(INDEX(請求記録!$B$6:$B$3005,$M113)="","",INDEX(請求記録!$B$6:$B$3005,$M113)))</f>
        <v/>
      </c>
      <c r="C113">
        <f>IF($M113="","",IF(INDEX(請求記録!$V$6:$V$3005,$M113)="","",INDEX(請求記録!$V$6:$V$3005,$M113)))</f>
        <v/>
      </c>
      <c r="D113">
        <f>IF($M113="","",IF(INDEX(請求記録!$W$6:$W$3005,$M113)="","",INDEX(請求記録!$W$6:$W$3005,$M113)))</f>
        <v/>
      </c>
      <c r="E113">
        <f>IF($M113="","",IF(INDEX(請求記録!$X$6:$X$3005,$M113)="","",INDEX(請求記録!$X$6:$X$3005,$M113)))</f>
        <v/>
      </c>
      <c r="F113" s="19">
        <f>IF($M113="","",IF(INDEX(請求記録!$E$6:$E$3005,$M113)="","",INDEX(請求記録!$E$6:$E$3005,$M113)))</f>
        <v/>
      </c>
      <c r="G113" s="19">
        <f>IF($M113="","",IF(INDEX(請求記録!$AC$6:$AC$3005,$M113)="","",INDEX(請求記録!$AC$6:$AC$3005,$M113)))</f>
        <v/>
      </c>
      <c r="H113">
        <f>IF($M113="","",IF(INDEX(請求記録!$AE$6:$AE$3005,$M113)="","",INDEX(請求記録!$AE$6:$AE$3005,$M113)))</f>
        <v/>
      </c>
      <c r="I113" s="20">
        <f>IF($M113="","",IF(INDEX(請求記録!$AF$6:$AF$3005,$M113)="","",INDEX(請求記録!$AF$6:$AF$3005,$M113)))</f>
        <v/>
      </c>
      <c r="J113">
        <f>IF($M113="","",IF(INDEX(請求記録!$AI$6:$AI$3005,$M113)="","",INDEX(請求記録!$AI$6:$AI$3005,$M113)))</f>
        <v/>
      </c>
      <c r="K113" s="20">
        <f>IF($M113="","",IF(INDEX(請求記録!$AH$6:$AH$3005,$M113)="","",INDEX(請求記録!$AH$6:$AH$3005,$M113)))</f>
        <v/>
      </c>
      <c r="L113">
        <f>IF($M113="","",IF(INDEX(請求記録!$AL$6:$AL$3005,$M113)="","",INDEX(請求記録!$AL$6:$AL$3005,$M113)))</f>
        <v/>
      </c>
      <c r="M113">
        <f>IFERROR(MATCH(108,請求記録!$AM$6:$AM$3005,0),"")</f>
        <v/>
      </c>
    </row>
    <row r="114">
      <c r="A114">
        <f>IF($M114="","",109)</f>
        <v/>
      </c>
      <c r="B114">
        <f>IF($M114="","",IF(INDEX(請求記録!$B$6:$B$3005,$M114)="","",INDEX(請求記録!$B$6:$B$3005,$M114)))</f>
        <v/>
      </c>
      <c r="C114">
        <f>IF($M114="","",IF(INDEX(請求記録!$V$6:$V$3005,$M114)="","",INDEX(請求記録!$V$6:$V$3005,$M114)))</f>
        <v/>
      </c>
      <c r="D114">
        <f>IF($M114="","",IF(INDEX(請求記録!$W$6:$W$3005,$M114)="","",INDEX(請求記録!$W$6:$W$3005,$M114)))</f>
        <v/>
      </c>
      <c r="E114">
        <f>IF($M114="","",IF(INDEX(請求記録!$X$6:$X$3005,$M114)="","",INDEX(請求記録!$X$6:$X$3005,$M114)))</f>
        <v/>
      </c>
      <c r="F114" s="19">
        <f>IF($M114="","",IF(INDEX(請求記録!$E$6:$E$3005,$M114)="","",INDEX(請求記録!$E$6:$E$3005,$M114)))</f>
        <v/>
      </c>
      <c r="G114" s="19">
        <f>IF($M114="","",IF(INDEX(請求記録!$AC$6:$AC$3005,$M114)="","",INDEX(請求記録!$AC$6:$AC$3005,$M114)))</f>
        <v/>
      </c>
      <c r="H114">
        <f>IF($M114="","",IF(INDEX(請求記録!$AE$6:$AE$3005,$M114)="","",INDEX(請求記録!$AE$6:$AE$3005,$M114)))</f>
        <v/>
      </c>
      <c r="I114" s="20">
        <f>IF($M114="","",IF(INDEX(請求記録!$AF$6:$AF$3005,$M114)="","",INDEX(請求記録!$AF$6:$AF$3005,$M114)))</f>
        <v/>
      </c>
      <c r="J114">
        <f>IF($M114="","",IF(INDEX(請求記録!$AI$6:$AI$3005,$M114)="","",INDEX(請求記録!$AI$6:$AI$3005,$M114)))</f>
        <v/>
      </c>
      <c r="K114" s="20">
        <f>IF($M114="","",IF(INDEX(請求記録!$AH$6:$AH$3005,$M114)="","",INDEX(請求記録!$AH$6:$AH$3005,$M114)))</f>
        <v/>
      </c>
      <c r="L114">
        <f>IF($M114="","",IF(INDEX(請求記録!$AL$6:$AL$3005,$M114)="","",INDEX(請求記録!$AL$6:$AL$3005,$M114)))</f>
        <v/>
      </c>
      <c r="M114">
        <f>IFERROR(MATCH(109,請求記録!$AM$6:$AM$3005,0),"")</f>
        <v/>
      </c>
    </row>
    <row r="115">
      <c r="A115">
        <f>IF($M115="","",110)</f>
        <v/>
      </c>
      <c r="B115">
        <f>IF($M115="","",IF(INDEX(請求記録!$B$6:$B$3005,$M115)="","",INDEX(請求記録!$B$6:$B$3005,$M115)))</f>
        <v/>
      </c>
      <c r="C115">
        <f>IF($M115="","",IF(INDEX(請求記録!$V$6:$V$3005,$M115)="","",INDEX(請求記録!$V$6:$V$3005,$M115)))</f>
        <v/>
      </c>
      <c r="D115">
        <f>IF($M115="","",IF(INDEX(請求記録!$W$6:$W$3005,$M115)="","",INDEX(請求記録!$W$6:$W$3005,$M115)))</f>
        <v/>
      </c>
      <c r="E115">
        <f>IF($M115="","",IF(INDEX(請求記録!$X$6:$X$3005,$M115)="","",INDEX(請求記録!$X$6:$X$3005,$M115)))</f>
        <v/>
      </c>
      <c r="F115" s="19">
        <f>IF($M115="","",IF(INDEX(請求記録!$E$6:$E$3005,$M115)="","",INDEX(請求記録!$E$6:$E$3005,$M115)))</f>
        <v/>
      </c>
      <c r="G115" s="19">
        <f>IF($M115="","",IF(INDEX(請求記録!$AC$6:$AC$3005,$M115)="","",INDEX(請求記録!$AC$6:$AC$3005,$M115)))</f>
        <v/>
      </c>
      <c r="H115">
        <f>IF($M115="","",IF(INDEX(請求記録!$AE$6:$AE$3005,$M115)="","",INDEX(請求記録!$AE$6:$AE$3005,$M115)))</f>
        <v/>
      </c>
      <c r="I115" s="20">
        <f>IF($M115="","",IF(INDEX(請求記録!$AF$6:$AF$3005,$M115)="","",INDEX(請求記録!$AF$6:$AF$3005,$M115)))</f>
        <v/>
      </c>
      <c r="J115">
        <f>IF($M115="","",IF(INDEX(請求記録!$AI$6:$AI$3005,$M115)="","",INDEX(請求記録!$AI$6:$AI$3005,$M115)))</f>
        <v/>
      </c>
      <c r="K115" s="20">
        <f>IF($M115="","",IF(INDEX(請求記録!$AH$6:$AH$3005,$M115)="","",INDEX(請求記録!$AH$6:$AH$3005,$M115)))</f>
        <v/>
      </c>
      <c r="L115">
        <f>IF($M115="","",IF(INDEX(請求記録!$AL$6:$AL$3005,$M115)="","",INDEX(請求記録!$AL$6:$AL$3005,$M115)))</f>
        <v/>
      </c>
      <c r="M115">
        <f>IFERROR(MATCH(110,請求記録!$AM$6:$AM$3005,0),"")</f>
        <v/>
      </c>
    </row>
    <row r="116">
      <c r="A116">
        <f>IF($M116="","",111)</f>
        <v/>
      </c>
      <c r="B116">
        <f>IF($M116="","",IF(INDEX(請求記録!$B$6:$B$3005,$M116)="","",INDEX(請求記録!$B$6:$B$3005,$M116)))</f>
        <v/>
      </c>
      <c r="C116">
        <f>IF($M116="","",IF(INDEX(請求記録!$V$6:$V$3005,$M116)="","",INDEX(請求記録!$V$6:$V$3005,$M116)))</f>
        <v/>
      </c>
      <c r="D116">
        <f>IF($M116="","",IF(INDEX(請求記録!$W$6:$W$3005,$M116)="","",INDEX(請求記録!$W$6:$W$3005,$M116)))</f>
        <v/>
      </c>
      <c r="E116">
        <f>IF($M116="","",IF(INDEX(請求記録!$X$6:$X$3005,$M116)="","",INDEX(請求記録!$X$6:$X$3005,$M116)))</f>
        <v/>
      </c>
      <c r="F116" s="19">
        <f>IF($M116="","",IF(INDEX(請求記録!$E$6:$E$3005,$M116)="","",INDEX(請求記録!$E$6:$E$3005,$M116)))</f>
        <v/>
      </c>
      <c r="G116" s="19">
        <f>IF($M116="","",IF(INDEX(請求記録!$AC$6:$AC$3005,$M116)="","",INDEX(請求記録!$AC$6:$AC$3005,$M116)))</f>
        <v/>
      </c>
      <c r="H116">
        <f>IF($M116="","",IF(INDEX(請求記録!$AE$6:$AE$3005,$M116)="","",INDEX(請求記録!$AE$6:$AE$3005,$M116)))</f>
        <v/>
      </c>
      <c r="I116" s="20">
        <f>IF($M116="","",IF(INDEX(請求記録!$AF$6:$AF$3005,$M116)="","",INDEX(請求記録!$AF$6:$AF$3005,$M116)))</f>
        <v/>
      </c>
      <c r="J116">
        <f>IF($M116="","",IF(INDEX(請求記録!$AI$6:$AI$3005,$M116)="","",INDEX(請求記録!$AI$6:$AI$3005,$M116)))</f>
        <v/>
      </c>
      <c r="K116" s="20">
        <f>IF($M116="","",IF(INDEX(請求記録!$AH$6:$AH$3005,$M116)="","",INDEX(請求記録!$AH$6:$AH$3005,$M116)))</f>
        <v/>
      </c>
      <c r="L116">
        <f>IF($M116="","",IF(INDEX(請求記録!$AL$6:$AL$3005,$M116)="","",INDEX(請求記録!$AL$6:$AL$3005,$M116)))</f>
        <v/>
      </c>
      <c r="M116">
        <f>IFERROR(MATCH(111,請求記録!$AM$6:$AM$3005,0),"")</f>
        <v/>
      </c>
    </row>
    <row r="117">
      <c r="A117">
        <f>IF($M117="","",112)</f>
        <v/>
      </c>
      <c r="B117">
        <f>IF($M117="","",IF(INDEX(請求記録!$B$6:$B$3005,$M117)="","",INDEX(請求記録!$B$6:$B$3005,$M117)))</f>
        <v/>
      </c>
      <c r="C117">
        <f>IF($M117="","",IF(INDEX(請求記録!$V$6:$V$3005,$M117)="","",INDEX(請求記録!$V$6:$V$3005,$M117)))</f>
        <v/>
      </c>
      <c r="D117">
        <f>IF($M117="","",IF(INDEX(請求記録!$W$6:$W$3005,$M117)="","",INDEX(請求記録!$W$6:$W$3005,$M117)))</f>
        <v/>
      </c>
      <c r="E117">
        <f>IF($M117="","",IF(INDEX(請求記録!$X$6:$X$3005,$M117)="","",INDEX(請求記録!$X$6:$X$3005,$M117)))</f>
        <v/>
      </c>
      <c r="F117" s="19">
        <f>IF($M117="","",IF(INDEX(請求記録!$E$6:$E$3005,$M117)="","",INDEX(請求記録!$E$6:$E$3005,$M117)))</f>
        <v/>
      </c>
      <c r="G117" s="19">
        <f>IF($M117="","",IF(INDEX(請求記録!$AC$6:$AC$3005,$M117)="","",INDEX(請求記録!$AC$6:$AC$3005,$M117)))</f>
        <v/>
      </c>
      <c r="H117">
        <f>IF($M117="","",IF(INDEX(請求記録!$AE$6:$AE$3005,$M117)="","",INDEX(請求記録!$AE$6:$AE$3005,$M117)))</f>
        <v/>
      </c>
      <c r="I117" s="20">
        <f>IF($M117="","",IF(INDEX(請求記録!$AF$6:$AF$3005,$M117)="","",INDEX(請求記録!$AF$6:$AF$3005,$M117)))</f>
        <v/>
      </c>
      <c r="J117">
        <f>IF($M117="","",IF(INDEX(請求記録!$AI$6:$AI$3005,$M117)="","",INDEX(請求記録!$AI$6:$AI$3005,$M117)))</f>
        <v/>
      </c>
      <c r="K117" s="20">
        <f>IF($M117="","",IF(INDEX(請求記録!$AH$6:$AH$3005,$M117)="","",INDEX(請求記録!$AH$6:$AH$3005,$M117)))</f>
        <v/>
      </c>
      <c r="L117">
        <f>IF($M117="","",IF(INDEX(請求記録!$AL$6:$AL$3005,$M117)="","",INDEX(請求記録!$AL$6:$AL$3005,$M117)))</f>
        <v/>
      </c>
      <c r="M117">
        <f>IFERROR(MATCH(112,請求記録!$AM$6:$AM$3005,0),"")</f>
        <v/>
      </c>
    </row>
    <row r="118">
      <c r="A118">
        <f>IF($M118="","",113)</f>
        <v/>
      </c>
      <c r="B118">
        <f>IF($M118="","",IF(INDEX(請求記録!$B$6:$B$3005,$M118)="","",INDEX(請求記録!$B$6:$B$3005,$M118)))</f>
        <v/>
      </c>
      <c r="C118">
        <f>IF($M118="","",IF(INDEX(請求記録!$V$6:$V$3005,$M118)="","",INDEX(請求記録!$V$6:$V$3005,$M118)))</f>
        <v/>
      </c>
      <c r="D118">
        <f>IF($M118="","",IF(INDEX(請求記録!$W$6:$W$3005,$M118)="","",INDEX(請求記録!$W$6:$W$3005,$M118)))</f>
        <v/>
      </c>
      <c r="E118">
        <f>IF($M118="","",IF(INDEX(請求記録!$X$6:$X$3005,$M118)="","",INDEX(請求記録!$X$6:$X$3005,$M118)))</f>
        <v/>
      </c>
      <c r="F118" s="19">
        <f>IF($M118="","",IF(INDEX(請求記録!$E$6:$E$3005,$M118)="","",INDEX(請求記録!$E$6:$E$3005,$M118)))</f>
        <v/>
      </c>
      <c r="G118" s="19">
        <f>IF($M118="","",IF(INDEX(請求記録!$AC$6:$AC$3005,$M118)="","",INDEX(請求記録!$AC$6:$AC$3005,$M118)))</f>
        <v/>
      </c>
      <c r="H118">
        <f>IF($M118="","",IF(INDEX(請求記録!$AE$6:$AE$3005,$M118)="","",INDEX(請求記録!$AE$6:$AE$3005,$M118)))</f>
        <v/>
      </c>
      <c r="I118" s="20">
        <f>IF($M118="","",IF(INDEX(請求記録!$AF$6:$AF$3005,$M118)="","",INDEX(請求記録!$AF$6:$AF$3005,$M118)))</f>
        <v/>
      </c>
      <c r="J118">
        <f>IF($M118="","",IF(INDEX(請求記録!$AI$6:$AI$3005,$M118)="","",INDEX(請求記録!$AI$6:$AI$3005,$M118)))</f>
        <v/>
      </c>
      <c r="K118" s="20">
        <f>IF($M118="","",IF(INDEX(請求記録!$AH$6:$AH$3005,$M118)="","",INDEX(請求記録!$AH$6:$AH$3005,$M118)))</f>
        <v/>
      </c>
      <c r="L118">
        <f>IF($M118="","",IF(INDEX(請求記録!$AL$6:$AL$3005,$M118)="","",INDEX(請求記録!$AL$6:$AL$3005,$M118)))</f>
        <v/>
      </c>
      <c r="M118">
        <f>IFERROR(MATCH(113,請求記録!$AM$6:$AM$3005,0),"")</f>
        <v/>
      </c>
    </row>
    <row r="119">
      <c r="A119">
        <f>IF($M119="","",114)</f>
        <v/>
      </c>
      <c r="B119">
        <f>IF($M119="","",IF(INDEX(請求記録!$B$6:$B$3005,$M119)="","",INDEX(請求記録!$B$6:$B$3005,$M119)))</f>
        <v/>
      </c>
      <c r="C119">
        <f>IF($M119="","",IF(INDEX(請求記録!$V$6:$V$3005,$M119)="","",INDEX(請求記録!$V$6:$V$3005,$M119)))</f>
        <v/>
      </c>
      <c r="D119">
        <f>IF($M119="","",IF(INDEX(請求記録!$W$6:$W$3005,$M119)="","",INDEX(請求記録!$W$6:$W$3005,$M119)))</f>
        <v/>
      </c>
      <c r="E119">
        <f>IF($M119="","",IF(INDEX(請求記録!$X$6:$X$3005,$M119)="","",INDEX(請求記録!$X$6:$X$3005,$M119)))</f>
        <v/>
      </c>
      <c r="F119" s="19">
        <f>IF($M119="","",IF(INDEX(請求記録!$E$6:$E$3005,$M119)="","",INDEX(請求記録!$E$6:$E$3005,$M119)))</f>
        <v/>
      </c>
      <c r="G119" s="19">
        <f>IF($M119="","",IF(INDEX(請求記録!$AC$6:$AC$3005,$M119)="","",INDEX(請求記録!$AC$6:$AC$3005,$M119)))</f>
        <v/>
      </c>
      <c r="H119">
        <f>IF($M119="","",IF(INDEX(請求記録!$AE$6:$AE$3005,$M119)="","",INDEX(請求記録!$AE$6:$AE$3005,$M119)))</f>
        <v/>
      </c>
      <c r="I119" s="20">
        <f>IF($M119="","",IF(INDEX(請求記録!$AF$6:$AF$3005,$M119)="","",INDEX(請求記録!$AF$6:$AF$3005,$M119)))</f>
        <v/>
      </c>
      <c r="J119">
        <f>IF($M119="","",IF(INDEX(請求記録!$AI$6:$AI$3005,$M119)="","",INDEX(請求記録!$AI$6:$AI$3005,$M119)))</f>
        <v/>
      </c>
      <c r="K119" s="20">
        <f>IF($M119="","",IF(INDEX(請求記録!$AH$6:$AH$3005,$M119)="","",INDEX(請求記録!$AH$6:$AH$3005,$M119)))</f>
        <v/>
      </c>
      <c r="L119">
        <f>IF($M119="","",IF(INDEX(請求記録!$AL$6:$AL$3005,$M119)="","",INDEX(請求記録!$AL$6:$AL$3005,$M119)))</f>
        <v/>
      </c>
      <c r="M119">
        <f>IFERROR(MATCH(114,請求記録!$AM$6:$AM$3005,0),"")</f>
        <v/>
      </c>
    </row>
    <row r="120">
      <c r="A120">
        <f>IF($M120="","",115)</f>
        <v/>
      </c>
      <c r="B120">
        <f>IF($M120="","",IF(INDEX(請求記録!$B$6:$B$3005,$M120)="","",INDEX(請求記録!$B$6:$B$3005,$M120)))</f>
        <v/>
      </c>
      <c r="C120">
        <f>IF($M120="","",IF(INDEX(請求記録!$V$6:$V$3005,$M120)="","",INDEX(請求記録!$V$6:$V$3005,$M120)))</f>
        <v/>
      </c>
      <c r="D120">
        <f>IF($M120="","",IF(INDEX(請求記録!$W$6:$W$3005,$M120)="","",INDEX(請求記録!$W$6:$W$3005,$M120)))</f>
        <v/>
      </c>
      <c r="E120">
        <f>IF($M120="","",IF(INDEX(請求記録!$X$6:$X$3005,$M120)="","",INDEX(請求記録!$X$6:$X$3005,$M120)))</f>
        <v/>
      </c>
      <c r="F120" s="19">
        <f>IF($M120="","",IF(INDEX(請求記録!$E$6:$E$3005,$M120)="","",INDEX(請求記録!$E$6:$E$3005,$M120)))</f>
        <v/>
      </c>
      <c r="G120" s="19">
        <f>IF($M120="","",IF(INDEX(請求記録!$AC$6:$AC$3005,$M120)="","",INDEX(請求記録!$AC$6:$AC$3005,$M120)))</f>
        <v/>
      </c>
      <c r="H120">
        <f>IF($M120="","",IF(INDEX(請求記録!$AE$6:$AE$3005,$M120)="","",INDEX(請求記録!$AE$6:$AE$3005,$M120)))</f>
        <v/>
      </c>
      <c r="I120" s="20">
        <f>IF($M120="","",IF(INDEX(請求記録!$AF$6:$AF$3005,$M120)="","",INDEX(請求記録!$AF$6:$AF$3005,$M120)))</f>
        <v/>
      </c>
      <c r="J120">
        <f>IF($M120="","",IF(INDEX(請求記録!$AI$6:$AI$3005,$M120)="","",INDEX(請求記録!$AI$6:$AI$3005,$M120)))</f>
        <v/>
      </c>
      <c r="K120" s="20">
        <f>IF($M120="","",IF(INDEX(請求記録!$AH$6:$AH$3005,$M120)="","",INDEX(請求記録!$AH$6:$AH$3005,$M120)))</f>
        <v/>
      </c>
      <c r="L120">
        <f>IF($M120="","",IF(INDEX(請求記録!$AL$6:$AL$3005,$M120)="","",INDEX(請求記録!$AL$6:$AL$3005,$M120)))</f>
        <v/>
      </c>
      <c r="M120">
        <f>IFERROR(MATCH(115,請求記録!$AM$6:$AM$3005,0),"")</f>
        <v/>
      </c>
    </row>
    <row r="121">
      <c r="A121">
        <f>IF($M121="","",116)</f>
        <v/>
      </c>
      <c r="B121">
        <f>IF($M121="","",IF(INDEX(請求記録!$B$6:$B$3005,$M121)="","",INDEX(請求記録!$B$6:$B$3005,$M121)))</f>
        <v/>
      </c>
      <c r="C121">
        <f>IF($M121="","",IF(INDEX(請求記録!$V$6:$V$3005,$M121)="","",INDEX(請求記録!$V$6:$V$3005,$M121)))</f>
        <v/>
      </c>
      <c r="D121">
        <f>IF($M121="","",IF(INDEX(請求記録!$W$6:$W$3005,$M121)="","",INDEX(請求記録!$W$6:$W$3005,$M121)))</f>
        <v/>
      </c>
      <c r="E121">
        <f>IF($M121="","",IF(INDEX(請求記録!$X$6:$X$3005,$M121)="","",INDEX(請求記録!$X$6:$X$3005,$M121)))</f>
        <v/>
      </c>
      <c r="F121" s="19">
        <f>IF($M121="","",IF(INDEX(請求記録!$E$6:$E$3005,$M121)="","",INDEX(請求記録!$E$6:$E$3005,$M121)))</f>
        <v/>
      </c>
      <c r="G121" s="19">
        <f>IF($M121="","",IF(INDEX(請求記録!$AC$6:$AC$3005,$M121)="","",INDEX(請求記録!$AC$6:$AC$3005,$M121)))</f>
        <v/>
      </c>
      <c r="H121">
        <f>IF($M121="","",IF(INDEX(請求記録!$AE$6:$AE$3005,$M121)="","",INDEX(請求記録!$AE$6:$AE$3005,$M121)))</f>
        <v/>
      </c>
      <c r="I121" s="20">
        <f>IF($M121="","",IF(INDEX(請求記録!$AF$6:$AF$3005,$M121)="","",INDEX(請求記録!$AF$6:$AF$3005,$M121)))</f>
        <v/>
      </c>
      <c r="J121">
        <f>IF($M121="","",IF(INDEX(請求記録!$AI$6:$AI$3005,$M121)="","",INDEX(請求記録!$AI$6:$AI$3005,$M121)))</f>
        <v/>
      </c>
      <c r="K121" s="20">
        <f>IF($M121="","",IF(INDEX(請求記録!$AH$6:$AH$3005,$M121)="","",INDEX(請求記録!$AH$6:$AH$3005,$M121)))</f>
        <v/>
      </c>
      <c r="L121">
        <f>IF($M121="","",IF(INDEX(請求記録!$AL$6:$AL$3005,$M121)="","",INDEX(請求記録!$AL$6:$AL$3005,$M121)))</f>
        <v/>
      </c>
      <c r="M121">
        <f>IFERROR(MATCH(116,請求記録!$AM$6:$AM$3005,0),"")</f>
        <v/>
      </c>
    </row>
    <row r="122">
      <c r="A122">
        <f>IF($M122="","",117)</f>
        <v/>
      </c>
      <c r="B122">
        <f>IF($M122="","",IF(INDEX(請求記録!$B$6:$B$3005,$M122)="","",INDEX(請求記録!$B$6:$B$3005,$M122)))</f>
        <v/>
      </c>
      <c r="C122">
        <f>IF($M122="","",IF(INDEX(請求記録!$V$6:$V$3005,$M122)="","",INDEX(請求記録!$V$6:$V$3005,$M122)))</f>
        <v/>
      </c>
      <c r="D122">
        <f>IF($M122="","",IF(INDEX(請求記録!$W$6:$W$3005,$M122)="","",INDEX(請求記録!$W$6:$W$3005,$M122)))</f>
        <v/>
      </c>
      <c r="E122">
        <f>IF($M122="","",IF(INDEX(請求記録!$X$6:$X$3005,$M122)="","",INDEX(請求記録!$X$6:$X$3005,$M122)))</f>
        <v/>
      </c>
      <c r="F122" s="19">
        <f>IF($M122="","",IF(INDEX(請求記録!$E$6:$E$3005,$M122)="","",INDEX(請求記録!$E$6:$E$3005,$M122)))</f>
        <v/>
      </c>
      <c r="G122" s="19">
        <f>IF($M122="","",IF(INDEX(請求記録!$AC$6:$AC$3005,$M122)="","",INDEX(請求記録!$AC$6:$AC$3005,$M122)))</f>
        <v/>
      </c>
      <c r="H122">
        <f>IF($M122="","",IF(INDEX(請求記録!$AE$6:$AE$3005,$M122)="","",INDEX(請求記録!$AE$6:$AE$3005,$M122)))</f>
        <v/>
      </c>
      <c r="I122" s="20">
        <f>IF($M122="","",IF(INDEX(請求記録!$AF$6:$AF$3005,$M122)="","",INDEX(請求記録!$AF$6:$AF$3005,$M122)))</f>
        <v/>
      </c>
      <c r="J122">
        <f>IF($M122="","",IF(INDEX(請求記録!$AI$6:$AI$3005,$M122)="","",INDEX(請求記録!$AI$6:$AI$3005,$M122)))</f>
        <v/>
      </c>
      <c r="K122" s="20">
        <f>IF($M122="","",IF(INDEX(請求記録!$AH$6:$AH$3005,$M122)="","",INDEX(請求記録!$AH$6:$AH$3005,$M122)))</f>
        <v/>
      </c>
      <c r="L122">
        <f>IF($M122="","",IF(INDEX(請求記録!$AL$6:$AL$3005,$M122)="","",INDEX(請求記録!$AL$6:$AL$3005,$M122)))</f>
        <v/>
      </c>
      <c r="M122">
        <f>IFERROR(MATCH(117,請求記録!$AM$6:$AM$3005,0),"")</f>
        <v/>
      </c>
    </row>
    <row r="123">
      <c r="A123">
        <f>IF($M123="","",118)</f>
        <v/>
      </c>
      <c r="B123">
        <f>IF($M123="","",IF(INDEX(請求記録!$B$6:$B$3005,$M123)="","",INDEX(請求記録!$B$6:$B$3005,$M123)))</f>
        <v/>
      </c>
      <c r="C123">
        <f>IF($M123="","",IF(INDEX(請求記録!$V$6:$V$3005,$M123)="","",INDEX(請求記録!$V$6:$V$3005,$M123)))</f>
        <v/>
      </c>
      <c r="D123">
        <f>IF($M123="","",IF(INDEX(請求記録!$W$6:$W$3005,$M123)="","",INDEX(請求記録!$W$6:$W$3005,$M123)))</f>
        <v/>
      </c>
      <c r="E123">
        <f>IF($M123="","",IF(INDEX(請求記録!$X$6:$X$3005,$M123)="","",INDEX(請求記録!$X$6:$X$3005,$M123)))</f>
        <v/>
      </c>
      <c r="F123" s="19">
        <f>IF($M123="","",IF(INDEX(請求記録!$E$6:$E$3005,$M123)="","",INDEX(請求記録!$E$6:$E$3005,$M123)))</f>
        <v/>
      </c>
      <c r="G123" s="19">
        <f>IF($M123="","",IF(INDEX(請求記録!$AC$6:$AC$3005,$M123)="","",INDEX(請求記録!$AC$6:$AC$3005,$M123)))</f>
        <v/>
      </c>
      <c r="H123">
        <f>IF($M123="","",IF(INDEX(請求記録!$AE$6:$AE$3005,$M123)="","",INDEX(請求記録!$AE$6:$AE$3005,$M123)))</f>
        <v/>
      </c>
      <c r="I123" s="20">
        <f>IF($M123="","",IF(INDEX(請求記録!$AF$6:$AF$3005,$M123)="","",INDEX(請求記録!$AF$6:$AF$3005,$M123)))</f>
        <v/>
      </c>
      <c r="J123">
        <f>IF($M123="","",IF(INDEX(請求記録!$AI$6:$AI$3005,$M123)="","",INDEX(請求記録!$AI$6:$AI$3005,$M123)))</f>
        <v/>
      </c>
      <c r="K123" s="20">
        <f>IF($M123="","",IF(INDEX(請求記録!$AH$6:$AH$3005,$M123)="","",INDEX(請求記録!$AH$6:$AH$3005,$M123)))</f>
        <v/>
      </c>
      <c r="L123">
        <f>IF($M123="","",IF(INDEX(請求記録!$AL$6:$AL$3005,$M123)="","",INDEX(請求記録!$AL$6:$AL$3005,$M123)))</f>
        <v/>
      </c>
      <c r="M123">
        <f>IFERROR(MATCH(118,請求記録!$AM$6:$AM$3005,0),"")</f>
        <v/>
      </c>
    </row>
    <row r="124">
      <c r="A124">
        <f>IF($M124="","",119)</f>
        <v/>
      </c>
      <c r="B124">
        <f>IF($M124="","",IF(INDEX(請求記録!$B$6:$B$3005,$M124)="","",INDEX(請求記録!$B$6:$B$3005,$M124)))</f>
        <v/>
      </c>
      <c r="C124">
        <f>IF($M124="","",IF(INDEX(請求記録!$V$6:$V$3005,$M124)="","",INDEX(請求記録!$V$6:$V$3005,$M124)))</f>
        <v/>
      </c>
      <c r="D124">
        <f>IF($M124="","",IF(INDEX(請求記録!$W$6:$W$3005,$M124)="","",INDEX(請求記録!$W$6:$W$3005,$M124)))</f>
        <v/>
      </c>
      <c r="E124">
        <f>IF($M124="","",IF(INDEX(請求記録!$X$6:$X$3005,$M124)="","",INDEX(請求記録!$X$6:$X$3005,$M124)))</f>
        <v/>
      </c>
      <c r="F124" s="19">
        <f>IF($M124="","",IF(INDEX(請求記録!$E$6:$E$3005,$M124)="","",INDEX(請求記録!$E$6:$E$3005,$M124)))</f>
        <v/>
      </c>
      <c r="G124" s="19">
        <f>IF($M124="","",IF(INDEX(請求記録!$AC$6:$AC$3005,$M124)="","",INDEX(請求記録!$AC$6:$AC$3005,$M124)))</f>
        <v/>
      </c>
      <c r="H124">
        <f>IF($M124="","",IF(INDEX(請求記録!$AE$6:$AE$3005,$M124)="","",INDEX(請求記録!$AE$6:$AE$3005,$M124)))</f>
        <v/>
      </c>
      <c r="I124" s="20">
        <f>IF($M124="","",IF(INDEX(請求記録!$AF$6:$AF$3005,$M124)="","",INDEX(請求記録!$AF$6:$AF$3005,$M124)))</f>
        <v/>
      </c>
      <c r="J124">
        <f>IF($M124="","",IF(INDEX(請求記録!$AI$6:$AI$3005,$M124)="","",INDEX(請求記録!$AI$6:$AI$3005,$M124)))</f>
        <v/>
      </c>
      <c r="K124" s="20">
        <f>IF($M124="","",IF(INDEX(請求記録!$AH$6:$AH$3005,$M124)="","",INDEX(請求記録!$AH$6:$AH$3005,$M124)))</f>
        <v/>
      </c>
      <c r="L124">
        <f>IF($M124="","",IF(INDEX(請求記録!$AL$6:$AL$3005,$M124)="","",INDEX(請求記録!$AL$6:$AL$3005,$M124)))</f>
        <v/>
      </c>
      <c r="M124">
        <f>IFERROR(MATCH(119,請求記録!$AM$6:$AM$3005,0),"")</f>
        <v/>
      </c>
    </row>
    <row r="125">
      <c r="A125">
        <f>IF($M125="","",120)</f>
        <v/>
      </c>
      <c r="B125">
        <f>IF($M125="","",IF(INDEX(請求記録!$B$6:$B$3005,$M125)="","",INDEX(請求記録!$B$6:$B$3005,$M125)))</f>
        <v/>
      </c>
      <c r="C125">
        <f>IF($M125="","",IF(INDEX(請求記録!$V$6:$V$3005,$M125)="","",INDEX(請求記録!$V$6:$V$3005,$M125)))</f>
        <v/>
      </c>
      <c r="D125">
        <f>IF($M125="","",IF(INDEX(請求記録!$W$6:$W$3005,$M125)="","",INDEX(請求記録!$W$6:$W$3005,$M125)))</f>
        <v/>
      </c>
      <c r="E125">
        <f>IF($M125="","",IF(INDEX(請求記録!$X$6:$X$3005,$M125)="","",INDEX(請求記録!$X$6:$X$3005,$M125)))</f>
        <v/>
      </c>
      <c r="F125" s="19">
        <f>IF($M125="","",IF(INDEX(請求記録!$E$6:$E$3005,$M125)="","",INDEX(請求記録!$E$6:$E$3005,$M125)))</f>
        <v/>
      </c>
      <c r="G125" s="19">
        <f>IF($M125="","",IF(INDEX(請求記録!$AC$6:$AC$3005,$M125)="","",INDEX(請求記録!$AC$6:$AC$3005,$M125)))</f>
        <v/>
      </c>
      <c r="H125">
        <f>IF($M125="","",IF(INDEX(請求記録!$AE$6:$AE$3005,$M125)="","",INDEX(請求記録!$AE$6:$AE$3005,$M125)))</f>
        <v/>
      </c>
      <c r="I125" s="20">
        <f>IF($M125="","",IF(INDEX(請求記録!$AF$6:$AF$3005,$M125)="","",INDEX(請求記録!$AF$6:$AF$3005,$M125)))</f>
        <v/>
      </c>
      <c r="J125">
        <f>IF($M125="","",IF(INDEX(請求記録!$AI$6:$AI$3005,$M125)="","",INDEX(請求記録!$AI$6:$AI$3005,$M125)))</f>
        <v/>
      </c>
      <c r="K125" s="20">
        <f>IF($M125="","",IF(INDEX(請求記録!$AH$6:$AH$3005,$M125)="","",INDEX(請求記録!$AH$6:$AH$3005,$M125)))</f>
        <v/>
      </c>
      <c r="L125">
        <f>IF($M125="","",IF(INDEX(請求記録!$AL$6:$AL$3005,$M125)="","",INDEX(請求記録!$AL$6:$AL$3005,$M125)))</f>
        <v/>
      </c>
      <c r="M125">
        <f>IFERROR(MATCH(120,請求記録!$AM$6:$AM$3005,0),"")</f>
        <v/>
      </c>
    </row>
    <row r="126">
      <c r="A126">
        <f>IF($M126="","",121)</f>
        <v/>
      </c>
      <c r="B126">
        <f>IF($M126="","",IF(INDEX(請求記録!$B$6:$B$3005,$M126)="","",INDEX(請求記録!$B$6:$B$3005,$M126)))</f>
        <v/>
      </c>
      <c r="C126">
        <f>IF($M126="","",IF(INDEX(請求記録!$V$6:$V$3005,$M126)="","",INDEX(請求記録!$V$6:$V$3005,$M126)))</f>
        <v/>
      </c>
      <c r="D126">
        <f>IF($M126="","",IF(INDEX(請求記録!$W$6:$W$3005,$M126)="","",INDEX(請求記録!$W$6:$W$3005,$M126)))</f>
        <v/>
      </c>
      <c r="E126">
        <f>IF($M126="","",IF(INDEX(請求記録!$X$6:$X$3005,$M126)="","",INDEX(請求記録!$X$6:$X$3005,$M126)))</f>
        <v/>
      </c>
      <c r="F126" s="19">
        <f>IF($M126="","",IF(INDEX(請求記録!$E$6:$E$3005,$M126)="","",INDEX(請求記録!$E$6:$E$3005,$M126)))</f>
        <v/>
      </c>
      <c r="G126" s="19">
        <f>IF($M126="","",IF(INDEX(請求記録!$AC$6:$AC$3005,$M126)="","",INDEX(請求記録!$AC$6:$AC$3005,$M126)))</f>
        <v/>
      </c>
      <c r="H126">
        <f>IF($M126="","",IF(INDEX(請求記録!$AE$6:$AE$3005,$M126)="","",INDEX(請求記録!$AE$6:$AE$3005,$M126)))</f>
        <v/>
      </c>
      <c r="I126" s="20">
        <f>IF($M126="","",IF(INDEX(請求記録!$AF$6:$AF$3005,$M126)="","",INDEX(請求記録!$AF$6:$AF$3005,$M126)))</f>
        <v/>
      </c>
      <c r="J126">
        <f>IF($M126="","",IF(INDEX(請求記録!$AI$6:$AI$3005,$M126)="","",INDEX(請求記録!$AI$6:$AI$3005,$M126)))</f>
        <v/>
      </c>
      <c r="K126" s="20">
        <f>IF($M126="","",IF(INDEX(請求記録!$AH$6:$AH$3005,$M126)="","",INDEX(請求記録!$AH$6:$AH$3005,$M126)))</f>
        <v/>
      </c>
      <c r="L126">
        <f>IF($M126="","",IF(INDEX(請求記録!$AL$6:$AL$3005,$M126)="","",INDEX(請求記録!$AL$6:$AL$3005,$M126)))</f>
        <v/>
      </c>
      <c r="M126">
        <f>IFERROR(MATCH(121,請求記録!$AM$6:$AM$3005,0),"")</f>
        <v/>
      </c>
    </row>
    <row r="127">
      <c r="A127">
        <f>IF($M127="","",122)</f>
        <v/>
      </c>
      <c r="B127">
        <f>IF($M127="","",IF(INDEX(請求記録!$B$6:$B$3005,$M127)="","",INDEX(請求記録!$B$6:$B$3005,$M127)))</f>
        <v/>
      </c>
      <c r="C127">
        <f>IF($M127="","",IF(INDEX(請求記録!$V$6:$V$3005,$M127)="","",INDEX(請求記録!$V$6:$V$3005,$M127)))</f>
        <v/>
      </c>
      <c r="D127">
        <f>IF($M127="","",IF(INDEX(請求記録!$W$6:$W$3005,$M127)="","",INDEX(請求記録!$W$6:$W$3005,$M127)))</f>
        <v/>
      </c>
      <c r="E127">
        <f>IF($M127="","",IF(INDEX(請求記録!$X$6:$X$3005,$M127)="","",INDEX(請求記録!$X$6:$X$3005,$M127)))</f>
        <v/>
      </c>
      <c r="F127" s="19">
        <f>IF($M127="","",IF(INDEX(請求記録!$E$6:$E$3005,$M127)="","",INDEX(請求記録!$E$6:$E$3005,$M127)))</f>
        <v/>
      </c>
      <c r="G127" s="19">
        <f>IF($M127="","",IF(INDEX(請求記録!$AC$6:$AC$3005,$M127)="","",INDEX(請求記録!$AC$6:$AC$3005,$M127)))</f>
        <v/>
      </c>
      <c r="H127">
        <f>IF($M127="","",IF(INDEX(請求記録!$AE$6:$AE$3005,$M127)="","",INDEX(請求記録!$AE$6:$AE$3005,$M127)))</f>
        <v/>
      </c>
      <c r="I127" s="20">
        <f>IF($M127="","",IF(INDEX(請求記録!$AF$6:$AF$3005,$M127)="","",INDEX(請求記録!$AF$6:$AF$3005,$M127)))</f>
        <v/>
      </c>
      <c r="J127">
        <f>IF($M127="","",IF(INDEX(請求記録!$AI$6:$AI$3005,$M127)="","",INDEX(請求記録!$AI$6:$AI$3005,$M127)))</f>
        <v/>
      </c>
      <c r="K127" s="20">
        <f>IF($M127="","",IF(INDEX(請求記録!$AH$6:$AH$3005,$M127)="","",INDEX(請求記録!$AH$6:$AH$3005,$M127)))</f>
        <v/>
      </c>
      <c r="L127">
        <f>IF($M127="","",IF(INDEX(請求記録!$AL$6:$AL$3005,$M127)="","",INDEX(請求記録!$AL$6:$AL$3005,$M127)))</f>
        <v/>
      </c>
      <c r="M127">
        <f>IFERROR(MATCH(122,請求記録!$AM$6:$AM$3005,0),"")</f>
        <v/>
      </c>
    </row>
    <row r="128">
      <c r="A128">
        <f>IF($M128="","",123)</f>
        <v/>
      </c>
      <c r="B128">
        <f>IF($M128="","",IF(INDEX(請求記録!$B$6:$B$3005,$M128)="","",INDEX(請求記録!$B$6:$B$3005,$M128)))</f>
        <v/>
      </c>
      <c r="C128">
        <f>IF($M128="","",IF(INDEX(請求記録!$V$6:$V$3005,$M128)="","",INDEX(請求記録!$V$6:$V$3005,$M128)))</f>
        <v/>
      </c>
      <c r="D128">
        <f>IF($M128="","",IF(INDEX(請求記録!$W$6:$W$3005,$M128)="","",INDEX(請求記録!$W$6:$W$3005,$M128)))</f>
        <v/>
      </c>
      <c r="E128">
        <f>IF($M128="","",IF(INDEX(請求記録!$X$6:$X$3005,$M128)="","",INDEX(請求記録!$X$6:$X$3005,$M128)))</f>
        <v/>
      </c>
      <c r="F128" s="19">
        <f>IF($M128="","",IF(INDEX(請求記録!$E$6:$E$3005,$M128)="","",INDEX(請求記録!$E$6:$E$3005,$M128)))</f>
        <v/>
      </c>
      <c r="G128" s="19">
        <f>IF($M128="","",IF(INDEX(請求記録!$AC$6:$AC$3005,$M128)="","",INDEX(請求記録!$AC$6:$AC$3005,$M128)))</f>
        <v/>
      </c>
      <c r="H128">
        <f>IF($M128="","",IF(INDEX(請求記録!$AE$6:$AE$3005,$M128)="","",INDEX(請求記録!$AE$6:$AE$3005,$M128)))</f>
        <v/>
      </c>
      <c r="I128" s="20">
        <f>IF($M128="","",IF(INDEX(請求記録!$AF$6:$AF$3005,$M128)="","",INDEX(請求記録!$AF$6:$AF$3005,$M128)))</f>
        <v/>
      </c>
      <c r="J128">
        <f>IF($M128="","",IF(INDEX(請求記録!$AI$6:$AI$3005,$M128)="","",INDEX(請求記録!$AI$6:$AI$3005,$M128)))</f>
        <v/>
      </c>
      <c r="K128" s="20">
        <f>IF($M128="","",IF(INDEX(請求記録!$AH$6:$AH$3005,$M128)="","",INDEX(請求記録!$AH$6:$AH$3005,$M128)))</f>
        <v/>
      </c>
      <c r="L128">
        <f>IF($M128="","",IF(INDEX(請求記録!$AL$6:$AL$3005,$M128)="","",INDEX(請求記録!$AL$6:$AL$3005,$M128)))</f>
        <v/>
      </c>
      <c r="M128">
        <f>IFERROR(MATCH(123,請求記録!$AM$6:$AM$3005,0),"")</f>
        <v/>
      </c>
    </row>
    <row r="129">
      <c r="A129">
        <f>IF($M129="","",124)</f>
        <v/>
      </c>
      <c r="B129">
        <f>IF($M129="","",IF(INDEX(請求記録!$B$6:$B$3005,$M129)="","",INDEX(請求記録!$B$6:$B$3005,$M129)))</f>
        <v/>
      </c>
      <c r="C129">
        <f>IF($M129="","",IF(INDEX(請求記録!$V$6:$V$3005,$M129)="","",INDEX(請求記録!$V$6:$V$3005,$M129)))</f>
        <v/>
      </c>
      <c r="D129">
        <f>IF($M129="","",IF(INDEX(請求記録!$W$6:$W$3005,$M129)="","",INDEX(請求記録!$W$6:$W$3005,$M129)))</f>
        <v/>
      </c>
      <c r="E129">
        <f>IF($M129="","",IF(INDEX(請求記録!$X$6:$X$3005,$M129)="","",INDEX(請求記録!$X$6:$X$3005,$M129)))</f>
        <v/>
      </c>
      <c r="F129" s="19">
        <f>IF($M129="","",IF(INDEX(請求記録!$E$6:$E$3005,$M129)="","",INDEX(請求記録!$E$6:$E$3005,$M129)))</f>
        <v/>
      </c>
      <c r="G129" s="19">
        <f>IF($M129="","",IF(INDEX(請求記録!$AC$6:$AC$3005,$M129)="","",INDEX(請求記録!$AC$6:$AC$3005,$M129)))</f>
        <v/>
      </c>
      <c r="H129">
        <f>IF($M129="","",IF(INDEX(請求記録!$AE$6:$AE$3005,$M129)="","",INDEX(請求記録!$AE$6:$AE$3005,$M129)))</f>
        <v/>
      </c>
      <c r="I129" s="20">
        <f>IF($M129="","",IF(INDEX(請求記録!$AF$6:$AF$3005,$M129)="","",INDEX(請求記録!$AF$6:$AF$3005,$M129)))</f>
        <v/>
      </c>
      <c r="J129">
        <f>IF($M129="","",IF(INDEX(請求記録!$AI$6:$AI$3005,$M129)="","",INDEX(請求記録!$AI$6:$AI$3005,$M129)))</f>
        <v/>
      </c>
      <c r="K129" s="20">
        <f>IF($M129="","",IF(INDEX(請求記録!$AH$6:$AH$3005,$M129)="","",INDEX(請求記録!$AH$6:$AH$3005,$M129)))</f>
        <v/>
      </c>
      <c r="L129">
        <f>IF($M129="","",IF(INDEX(請求記録!$AL$6:$AL$3005,$M129)="","",INDEX(請求記録!$AL$6:$AL$3005,$M129)))</f>
        <v/>
      </c>
      <c r="M129">
        <f>IFERROR(MATCH(124,請求記録!$AM$6:$AM$3005,0),"")</f>
        <v/>
      </c>
    </row>
    <row r="130">
      <c r="A130">
        <f>IF($M130="","",125)</f>
        <v/>
      </c>
      <c r="B130">
        <f>IF($M130="","",IF(INDEX(請求記録!$B$6:$B$3005,$M130)="","",INDEX(請求記録!$B$6:$B$3005,$M130)))</f>
        <v/>
      </c>
      <c r="C130">
        <f>IF($M130="","",IF(INDEX(請求記録!$V$6:$V$3005,$M130)="","",INDEX(請求記録!$V$6:$V$3005,$M130)))</f>
        <v/>
      </c>
      <c r="D130">
        <f>IF($M130="","",IF(INDEX(請求記録!$W$6:$W$3005,$M130)="","",INDEX(請求記録!$W$6:$W$3005,$M130)))</f>
        <v/>
      </c>
      <c r="E130">
        <f>IF($M130="","",IF(INDEX(請求記録!$X$6:$X$3005,$M130)="","",INDEX(請求記録!$X$6:$X$3005,$M130)))</f>
        <v/>
      </c>
      <c r="F130" s="19">
        <f>IF($M130="","",IF(INDEX(請求記録!$E$6:$E$3005,$M130)="","",INDEX(請求記録!$E$6:$E$3005,$M130)))</f>
        <v/>
      </c>
      <c r="G130" s="19">
        <f>IF($M130="","",IF(INDEX(請求記録!$AC$6:$AC$3005,$M130)="","",INDEX(請求記録!$AC$6:$AC$3005,$M130)))</f>
        <v/>
      </c>
      <c r="H130">
        <f>IF($M130="","",IF(INDEX(請求記録!$AE$6:$AE$3005,$M130)="","",INDEX(請求記録!$AE$6:$AE$3005,$M130)))</f>
        <v/>
      </c>
      <c r="I130" s="20">
        <f>IF($M130="","",IF(INDEX(請求記録!$AF$6:$AF$3005,$M130)="","",INDEX(請求記録!$AF$6:$AF$3005,$M130)))</f>
        <v/>
      </c>
      <c r="J130">
        <f>IF($M130="","",IF(INDEX(請求記録!$AI$6:$AI$3005,$M130)="","",INDEX(請求記録!$AI$6:$AI$3005,$M130)))</f>
        <v/>
      </c>
      <c r="K130" s="20">
        <f>IF($M130="","",IF(INDEX(請求記録!$AH$6:$AH$3005,$M130)="","",INDEX(請求記録!$AH$6:$AH$3005,$M130)))</f>
        <v/>
      </c>
      <c r="L130">
        <f>IF($M130="","",IF(INDEX(請求記録!$AL$6:$AL$3005,$M130)="","",INDEX(請求記録!$AL$6:$AL$3005,$M130)))</f>
        <v/>
      </c>
      <c r="M130">
        <f>IFERROR(MATCH(125,請求記録!$AM$6:$AM$3005,0),"")</f>
        <v/>
      </c>
    </row>
    <row r="131">
      <c r="A131">
        <f>IF($M131="","",126)</f>
        <v/>
      </c>
      <c r="B131">
        <f>IF($M131="","",IF(INDEX(請求記録!$B$6:$B$3005,$M131)="","",INDEX(請求記録!$B$6:$B$3005,$M131)))</f>
        <v/>
      </c>
      <c r="C131">
        <f>IF($M131="","",IF(INDEX(請求記録!$V$6:$V$3005,$M131)="","",INDEX(請求記録!$V$6:$V$3005,$M131)))</f>
        <v/>
      </c>
      <c r="D131">
        <f>IF($M131="","",IF(INDEX(請求記録!$W$6:$W$3005,$M131)="","",INDEX(請求記録!$W$6:$W$3005,$M131)))</f>
        <v/>
      </c>
      <c r="E131">
        <f>IF($M131="","",IF(INDEX(請求記録!$X$6:$X$3005,$M131)="","",INDEX(請求記録!$X$6:$X$3005,$M131)))</f>
        <v/>
      </c>
      <c r="F131" s="19">
        <f>IF($M131="","",IF(INDEX(請求記録!$E$6:$E$3005,$M131)="","",INDEX(請求記録!$E$6:$E$3005,$M131)))</f>
        <v/>
      </c>
      <c r="G131" s="19">
        <f>IF($M131="","",IF(INDEX(請求記録!$AC$6:$AC$3005,$M131)="","",INDEX(請求記録!$AC$6:$AC$3005,$M131)))</f>
        <v/>
      </c>
      <c r="H131">
        <f>IF($M131="","",IF(INDEX(請求記録!$AE$6:$AE$3005,$M131)="","",INDEX(請求記録!$AE$6:$AE$3005,$M131)))</f>
        <v/>
      </c>
      <c r="I131" s="20">
        <f>IF($M131="","",IF(INDEX(請求記録!$AF$6:$AF$3005,$M131)="","",INDEX(請求記録!$AF$6:$AF$3005,$M131)))</f>
        <v/>
      </c>
      <c r="J131">
        <f>IF($M131="","",IF(INDEX(請求記録!$AI$6:$AI$3005,$M131)="","",INDEX(請求記録!$AI$6:$AI$3005,$M131)))</f>
        <v/>
      </c>
      <c r="K131" s="20">
        <f>IF($M131="","",IF(INDEX(請求記録!$AH$6:$AH$3005,$M131)="","",INDEX(請求記録!$AH$6:$AH$3005,$M131)))</f>
        <v/>
      </c>
      <c r="L131">
        <f>IF($M131="","",IF(INDEX(請求記録!$AL$6:$AL$3005,$M131)="","",INDEX(請求記録!$AL$6:$AL$3005,$M131)))</f>
        <v/>
      </c>
      <c r="M131">
        <f>IFERROR(MATCH(126,請求記録!$AM$6:$AM$3005,0),"")</f>
        <v/>
      </c>
    </row>
    <row r="132">
      <c r="A132">
        <f>IF($M132="","",127)</f>
        <v/>
      </c>
      <c r="B132">
        <f>IF($M132="","",IF(INDEX(請求記録!$B$6:$B$3005,$M132)="","",INDEX(請求記録!$B$6:$B$3005,$M132)))</f>
        <v/>
      </c>
      <c r="C132">
        <f>IF($M132="","",IF(INDEX(請求記録!$V$6:$V$3005,$M132)="","",INDEX(請求記録!$V$6:$V$3005,$M132)))</f>
        <v/>
      </c>
      <c r="D132">
        <f>IF($M132="","",IF(INDEX(請求記録!$W$6:$W$3005,$M132)="","",INDEX(請求記録!$W$6:$W$3005,$M132)))</f>
        <v/>
      </c>
      <c r="E132">
        <f>IF($M132="","",IF(INDEX(請求記録!$X$6:$X$3005,$M132)="","",INDEX(請求記録!$X$6:$X$3005,$M132)))</f>
        <v/>
      </c>
      <c r="F132" s="19">
        <f>IF($M132="","",IF(INDEX(請求記録!$E$6:$E$3005,$M132)="","",INDEX(請求記録!$E$6:$E$3005,$M132)))</f>
        <v/>
      </c>
      <c r="G132" s="19">
        <f>IF($M132="","",IF(INDEX(請求記録!$AC$6:$AC$3005,$M132)="","",INDEX(請求記録!$AC$6:$AC$3005,$M132)))</f>
        <v/>
      </c>
      <c r="H132">
        <f>IF($M132="","",IF(INDEX(請求記録!$AE$6:$AE$3005,$M132)="","",INDEX(請求記録!$AE$6:$AE$3005,$M132)))</f>
        <v/>
      </c>
      <c r="I132" s="20">
        <f>IF($M132="","",IF(INDEX(請求記録!$AF$6:$AF$3005,$M132)="","",INDEX(請求記録!$AF$6:$AF$3005,$M132)))</f>
        <v/>
      </c>
      <c r="J132">
        <f>IF($M132="","",IF(INDEX(請求記録!$AI$6:$AI$3005,$M132)="","",INDEX(請求記録!$AI$6:$AI$3005,$M132)))</f>
        <v/>
      </c>
      <c r="K132" s="20">
        <f>IF($M132="","",IF(INDEX(請求記録!$AH$6:$AH$3005,$M132)="","",INDEX(請求記録!$AH$6:$AH$3005,$M132)))</f>
        <v/>
      </c>
      <c r="L132">
        <f>IF($M132="","",IF(INDEX(請求記録!$AL$6:$AL$3005,$M132)="","",INDEX(請求記録!$AL$6:$AL$3005,$M132)))</f>
        <v/>
      </c>
      <c r="M132">
        <f>IFERROR(MATCH(127,請求記録!$AM$6:$AM$3005,0),"")</f>
        <v/>
      </c>
    </row>
    <row r="133">
      <c r="A133">
        <f>IF($M133="","",128)</f>
        <v/>
      </c>
      <c r="B133">
        <f>IF($M133="","",IF(INDEX(請求記録!$B$6:$B$3005,$M133)="","",INDEX(請求記録!$B$6:$B$3005,$M133)))</f>
        <v/>
      </c>
      <c r="C133">
        <f>IF($M133="","",IF(INDEX(請求記録!$V$6:$V$3005,$M133)="","",INDEX(請求記録!$V$6:$V$3005,$M133)))</f>
        <v/>
      </c>
      <c r="D133">
        <f>IF($M133="","",IF(INDEX(請求記録!$W$6:$W$3005,$M133)="","",INDEX(請求記録!$W$6:$W$3005,$M133)))</f>
        <v/>
      </c>
      <c r="E133">
        <f>IF($M133="","",IF(INDEX(請求記録!$X$6:$X$3005,$M133)="","",INDEX(請求記録!$X$6:$X$3005,$M133)))</f>
        <v/>
      </c>
      <c r="F133" s="19">
        <f>IF($M133="","",IF(INDEX(請求記録!$E$6:$E$3005,$M133)="","",INDEX(請求記録!$E$6:$E$3005,$M133)))</f>
        <v/>
      </c>
      <c r="G133" s="19">
        <f>IF($M133="","",IF(INDEX(請求記録!$AC$6:$AC$3005,$M133)="","",INDEX(請求記録!$AC$6:$AC$3005,$M133)))</f>
        <v/>
      </c>
      <c r="H133">
        <f>IF($M133="","",IF(INDEX(請求記録!$AE$6:$AE$3005,$M133)="","",INDEX(請求記録!$AE$6:$AE$3005,$M133)))</f>
        <v/>
      </c>
      <c r="I133" s="20">
        <f>IF($M133="","",IF(INDEX(請求記録!$AF$6:$AF$3005,$M133)="","",INDEX(請求記録!$AF$6:$AF$3005,$M133)))</f>
        <v/>
      </c>
      <c r="J133">
        <f>IF($M133="","",IF(INDEX(請求記録!$AI$6:$AI$3005,$M133)="","",INDEX(請求記録!$AI$6:$AI$3005,$M133)))</f>
        <v/>
      </c>
      <c r="K133" s="20">
        <f>IF($M133="","",IF(INDEX(請求記録!$AH$6:$AH$3005,$M133)="","",INDEX(請求記録!$AH$6:$AH$3005,$M133)))</f>
        <v/>
      </c>
      <c r="L133">
        <f>IF($M133="","",IF(INDEX(請求記録!$AL$6:$AL$3005,$M133)="","",INDEX(請求記録!$AL$6:$AL$3005,$M133)))</f>
        <v/>
      </c>
      <c r="M133">
        <f>IFERROR(MATCH(128,請求記録!$AM$6:$AM$3005,0),"")</f>
        <v/>
      </c>
    </row>
    <row r="134">
      <c r="A134">
        <f>IF($M134="","",129)</f>
        <v/>
      </c>
      <c r="B134">
        <f>IF($M134="","",IF(INDEX(請求記録!$B$6:$B$3005,$M134)="","",INDEX(請求記録!$B$6:$B$3005,$M134)))</f>
        <v/>
      </c>
      <c r="C134">
        <f>IF($M134="","",IF(INDEX(請求記録!$V$6:$V$3005,$M134)="","",INDEX(請求記録!$V$6:$V$3005,$M134)))</f>
        <v/>
      </c>
      <c r="D134">
        <f>IF($M134="","",IF(INDEX(請求記録!$W$6:$W$3005,$M134)="","",INDEX(請求記録!$W$6:$W$3005,$M134)))</f>
        <v/>
      </c>
      <c r="E134">
        <f>IF($M134="","",IF(INDEX(請求記録!$X$6:$X$3005,$M134)="","",INDEX(請求記録!$X$6:$X$3005,$M134)))</f>
        <v/>
      </c>
      <c r="F134" s="19">
        <f>IF($M134="","",IF(INDEX(請求記録!$E$6:$E$3005,$M134)="","",INDEX(請求記録!$E$6:$E$3005,$M134)))</f>
        <v/>
      </c>
      <c r="G134" s="19">
        <f>IF($M134="","",IF(INDEX(請求記録!$AC$6:$AC$3005,$M134)="","",INDEX(請求記録!$AC$6:$AC$3005,$M134)))</f>
        <v/>
      </c>
      <c r="H134">
        <f>IF($M134="","",IF(INDEX(請求記録!$AE$6:$AE$3005,$M134)="","",INDEX(請求記録!$AE$6:$AE$3005,$M134)))</f>
        <v/>
      </c>
      <c r="I134" s="20">
        <f>IF($M134="","",IF(INDEX(請求記録!$AF$6:$AF$3005,$M134)="","",INDEX(請求記録!$AF$6:$AF$3005,$M134)))</f>
        <v/>
      </c>
      <c r="J134">
        <f>IF($M134="","",IF(INDEX(請求記録!$AI$6:$AI$3005,$M134)="","",INDEX(請求記録!$AI$6:$AI$3005,$M134)))</f>
        <v/>
      </c>
      <c r="K134" s="20">
        <f>IF($M134="","",IF(INDEX(請求記録!$AH$6:$AH$3005,$M134)="","",INDEX(請求記録!$AH$6:$AH$3005,$M134)))</f>
        <v/>
      </c>
      <c r="L134">
        <f>IF($M134="","",IF(INDEX(請求記録!$AL$6:$AL$3005,$M134)="","",INDEX(請求記録!$AL$6:$AL$3005,$M134)))</f>
        <v/>
      </c>
      <c r="M134">
        <f>IFERROR(MATCH(129,請求記録!$AM$6:$AM$3005,0),"")</f>
        <v/>
      </c>
    </row>
    <row r="135">
      <c r="A135">
        <f>IF($M135="","",130)</f>
        <v/>
      </c>
      <c r="B135">
        <f>IF($M135="","",IF(INDEX(請求記録!$B$6:$B$3005,$M135)="","",INDEX(請求記録!$B$6:$B$3005,$M135)))</f>
        <v/>
      </c>
      <c r="C135">
        <f>IF($M135="","",IF(INDEX(請求記録!$V$6:$V$3005,$M135)="","",INDEX(請求記録!$V$6:$V$3005,$M135)))</f>
        <v/>
      </c>
      <c r="D135">
        <f>IF($M135="","",IF(INDEX(請求記録!$W$6:$W$3005,$M135)="","",INDEX(請求記録!$W$6:$W$3005,$M135)))</f>
        <v/>
      </c>
      <c r="E135">
        <f>IF($M135="","",IF(INDEX(請求記録!$X$6:$X$3005,$M135)="","",INDEX(請求記録!$X$6:$X$3005,$M135)))</f>
        <v/>
      </c>
      <c r="F135" s="19">
        <f>IF($M135="","",IF(INDEX(請求記録!$E$6:$E$3005,$M135)="","",INDEX(請求記録!$E$6:$E$3005,$M135)))</f>
        <v/>
      </c>
      <c r="G135" s="19">
        <f>IF($M135="","",IF(INDEX(請求記録!$AC$6:$AC$3005,$M135)="","",INDEX(請求記録!$AC$6:$AC$3005,$M135)))</f>
        <v/>
      </c>
      <c r="H135">
        <f>IF($M135="","",IF(INDEX(請求記録!$AE$6:$AE$3005,$M135)="","",INDEX(請求記録!$AE$6:$AE$3005,$M135)))</f>
        <v/>
      </c>
      <c r="I135" s="20">
        <f>IF($M135="","",IF(INDEX(請求記録!$AF$6:$AF$3005,$M135)="","",INDEX(請求記録!$AF$6:$AF$3005,$M135)))</f>
        <v/>
      </c>
      <c r="J135">
        <f>IF($M135="","",IF(INDEX(請求記録!$AI$6:$AI$3005,$M135)="","",INDEX(請求記録!$AI$6:$AI$3005,$M135)))</f>
        <v/>
      </c>
      <c r="K135" s="20">
        <f>IF($M135="","",IF(INDEX(請求記録!$AH$6:$AH$3005,$M135)="","",INDEX(請求記録!$AH$6:$AH$3005,$M135)))</f>
        <v/>
      </c>
      <c r="L135">
        <f>IF($M135="","",IF(INDEX(請求記録!$AL$6:$AL$3005,$M135)="","",INDEX(請求記録!$AL$6:$AL$3005,$M135)))</f>
        <v/>
      </c>
      <c r="M135">
        <f>IFERROR(MATCH(130,請求記録!$AM$6:$AM$3005,0),"")</f>
        <v/>
      </c>
    </row>
    <row r="136">
      <c r="A136">
        <f>IF($M136="","",131)</f>
        <v/>
      </c>
      <c r="B136">
        <f>IF($M136="","",IF(INDEX(請求記録!$B$6:$B$3005,$M136)="","",INDEX(請求記録!$B$6:$B$3005,$M136)))</f>
        <v/>
      </c>
      <c r="C136">
        <f>IF($M136="","",IF(INDEX(請求記録!$V$6:$V$3005,$M136)="","",INDEX(請求記録!$V$6:$V$3005,$M136)))</f>
        <v/>
      </c>
      <c r="D136">
        <f>IF($M136="","",IF(INDEX(請求記録!$W$6:$W$3005,$M136)="","",INDEX(請求記録!$W$6:$W$3005,$M136)))</f>
        <v/>
      </c>
      <c r="E136">
        <f>IF($M136="","",IF(INDEX(請求記録!$X$6:$X$3005,$M136)="","",INDEX(請求記録!$X$6:$X$3005,$M136)))</f>
        <v/>
      </c>
      <c r="F136" s="19">
        <f>IF($M136="","",IF(INDEX(請求記録!$E$6:$E$3005,$M136)="","",INDEX(請求記録!$E$6:$E$3005,$M136)))</f>
        <v/>
      </c>
      <c r="G136" s="19">
        <f>IF($M136="","",IF(INDEX(請求記録!$AC$6:$AC$3005,$M136)="","",INDEX(請求記録!$AC$6:$AC$3005,$M136)))</f>
        <v/>
      </c>
      <c r="H136">
        <f>IF($M136="","",IF(INDEX(請求記録!$AE$6:$AE$3005,$M136)="","",INDEX(請求記録!$AE$6:$AE$3005,$M136)))</f>
        <v/>
      </c>
      <c r="I136" s="20">
        <f>IF($M136="","",IF(INDEX(請求記録!$AF$6:$AF$3005,$M136)="","",INDEX(請求記録!$AF$6:$AF$3005,$M136)))</f>
        <v/>
      </c>
      <c r="J136">
        <f>IF($M136="","",IF(INDEX(請求記録!$AI$6:$AI$3005,$M136)="","",INDEX(請求記録!$AI$6:$AI$3005,$M136)))</f>
        <v/>
      </c>
      <c r="K136" s="20">
        <f>IF($M136="","",IF(INDEX(請求記録!$AH$6:$AH$3005,$M136)="","",INDEX(請求記録!$AH$6:$AH$3005,$M136)))</f>
        <v/>
      </c>
      <c r="L136">
        <f>IF($M136="","",IF(INDEX(請求記録!$AL$6:$AL$3005,$M136)="","",INDEX(請求記録!$AL$6:$AL$3005,$M136)))</f>
        <v/>
      </c>
      <c r="M136">
        <f>IFERROR(MATCH(131,請求記録!$AM$6:$AM$3005,0),"")</f>
        <v/>
      </c>
    </row>
    <row r="137">
      <c r="A137">
        <f>IF($M137="","",132)</f>
        <v/>
      </c>
      <c r="B137">
        <f>IF($M137="","",IF(INDEX(請求記録!$B$6:$B$3005,$M137)="","",INDEX(請求記録!$B$6:$B$3005,$M137)))</f>
        <v/>
      </c>
      <c r="C137">
        <f>IF($M137="","",IF(INDEX(請求記録!$V$6:$V$3005,$M137)="","",INDEX(請求記録!$V$6:$V$3005,$M137)))</f>
        <v/>
      </c>
      <c r="D137">
        <f>IF($M137="","",IF(INDEX(請求記録!$W$6:$W$3005,$M137)="","",INDEX(請求記録!$W$6:$W$3005,$M137)))</f>
        <v/>
      </c>
      <c r="E137">
        <f>IF($M137="","",IF(INDEX(請求記録!$X$6:$X$3005,$M137)="","",INDEX(請求記録!$X$6:$X$3005,$M137)))</f>
        <v/>
      </c>
      <c r="F137" s="19">
        <f>IF($M137="","",IF(INDEX(請求記録!$E$6:$E$3005,$M137)="","",INDEX(請求記録!$E$6:$E$3005,$M137)))</f>
        <v/>
      </c>
      <c r="G137" s="19">
        <f>IF($M137="","",IF(INDEX(請求記録!$AC$6:$AC$3005,$M137)="","",INDEX(請求記録!$AC$6:$AC$3005,$M137)))</f>
        <v/>
      </c>
      <c r="H137">
        <f>IF($M137="","",IF(INDEX(請求記録!$AE$6:$AE$3005,$M137)="","",INDEX(請求記録!$AE$6:$AE$3005,$M137)))</f>
        <v/>
      </c>
      <c r="I137" s="20">
        <f>IF($M137="","",IF(INDEX(請求記録!$AF$6:$AF$3005,$M137)="","",INDEX(請求記録!$AF$6:$AF$3005,$M137)))</f>
        <v/>
      </c>
      <c r="J137">
        <f>IF($M137="","",IF(INDEX(請求記録!$AI$6:$AI$3005,$M137)="","",INDEX(請求記録!$AI$6:$AI$3005,$M137)))</f>
        <v/>
      </c>
      <c r="K137" s="20">
        <f>IF($M137="","",IF(INDEX(請求記録!$AH$6:$AH$3005,$M137)="","",INDEX(請求記録!$AH$6:$AH$3005,$M137)))</f>
        <v/>
      </c>
      <c r="L137">
        <f>IF($M137="","",IF(INDEX(請求記録!$AL$6:$AL$3005,$M137)="","",INDEX(請求記録!$AL$6:$AL$3005,$M137)))</f>
        <v/>
      </c>
      <c r="M137">
        <f>IFERROR(MATCH(132,請求記録!$AM$6:$AM$3005,0),"")</f>
        <v/>
      </c>
    </row>
    <row r="138">
      <c r="A138">
        <f>IF($M138="","",133)</f>
        <v/>
      </c>
      <c r="B138">
        <f>IF($M138="","",IF(INDEX(請求記録!$B$6:$B$3005,$M138)="","",INDEX(請求記録!$B$6:$B$3005,$M138)))</f>
        <v/>
      </c>
      <c r="C138">
        <f>IF($M138="","",IF(INDEX(請求記録!$V$6:$V$3005,$M138)="","",INDEX(請求記録!$V$6:$V$3005,$M138)))</f>
        <v/>
      </c>
      <c r="D138">
        <f>IF($M138="","",IF(INDEX(請求記録!$W$6:$W$3005,$M138)="","",INDEX(請求記録!$W$6:$W$3005,$M138)))</f>
        <v/>
      </c>
      <c r="E138">
        <f>IF($M138="","",IF(INDEX(請求記録!$X$6:$X$3005,$M138)="","",INDEX(請求記録!$X$6:$X$3005,$M138)))</f>
        <v/>
      </c>
      <c r="F138" s="19">
        <f>IF($M138="","",IF(INDEX(請求記録!$E$6:$E$3005,$M138)="","",INDEX(請求記録!$E$6:$E$3005,$M138)))</f>
        <v/>
      </c>
      <c r="G138" s="19">
        <f>IF($M138="","",IF(INDEX(請求記録!$AC$6:$AC$3005,$M138)="","",INDEX(請求記録!$AC$6:$AC$3005,$M138)))</f>
        <v/>
      </c>
      <c r="H138">
        <f>IF($M138="","",IF(INDEX(請求記録!$AE$6:$AE$3005,$M138)="","",INDEX(請求記録!$AE$6:$AE$3005,$M138)))</f>
        <v/>
      </c>
      <c r="I138" s="20">
        <f>IF($M138="","",IF(INDEX(請求記録!$AF$6:$AF$3005,$M138)="","",INDEX(請求記録!$AF$6:$AF$3005,$M138)))</f>
        <v/>
      </c>
      <c r="J138">
        <f>IF($M138="","",IF(INDEX(請求記録!$AI$6:$AI$3005,$M138)="","",INDEX(請求記録!$AI$6:$AI$3005,$M138)))</f>
        <v/>
      </c>
      <c r="K138" s="20">
        <f>IF($M138="","",IF(INDEX(請求記録!$AH$6:$AH$3005,$M138)="","",INDEX(請求記録!$AH$6:$AH$3005,$M138)))</f>
        <v/>
      </c>
      <c r="L138">
        <f>IF($M138="","",IF(INDEX(請求記録!$AL$6:$AL$3005,$M138)="","",INDEX(請求記録!$AL$6:$AL$3005,$M138)))</f>
        <v/>
      </c>
      <c r="M138">
        <f>IFERROR(MATCH(133,請求記録!$AM$6:$AM$3005,0),"")</f>
        <v/>
      </c>
    </row>
    <row r="139">
      <c r="A139">
        <f>IF($M139="","",134)</f>
        <v/>
      </c>
      <c r="B139">
        <f>IF($M139="","",IF(INDEX(請求記録!$B$6:$B$3005,$M139)="","",INDEX(請求記録!$B$6:$B$3005,$M139)))</f>
        <v/>
      </c>
      <c r="C139">
        <f>IF($M139="","",IF(INDEX(請求記録!$V$6:$V$3005,$M139)="","",INDEX(請求記録!$V$6:$V$3005,$M139)))</f>
        <v/>
      </c>
      <c r="D139">
        <f>IF($M139="","",IF(INDEX(請求記録!$W$6:$W$3005,$M139)="","",INDEX(請求記録!$W$6:$W$3005,$M139)))</f>
        <v/>
      </c>
      <c r="E139">
        <f>IF($M139="","",IF(INDEX(請求記録!$X$6:$X$3005,$M139)="","",INDEX(請求記録!$X$6:$X$3005,$M139)))</f>
        <v/>
      </c>
      <c r="F139" s="19">
        <f>IF($M139="","",IF(INDEX(請求記録!$E$6:$E$3005,$M139)="","",INDEX(請求記録!$E$6:$E$3005,$M139)))</f>
        <v/>
      </c>
      <c r="G139" s="19">
        <f>IF($M139="","",IF(INDEX(請求記録!$AC$6:$AC$3005,$M139)="","",INDEX(請求記録!$AC$6:$AC$3005,$M139)))</f>
        <v/>
      </c>
      <c r="H139">
        <f>IF($M139="","",IF(INDEX(請求記録!$AE$6:$AE$3005,$M139)="","",INDEX(請求記録!$AE$6:$AE$3005,$M139)))</f>
        <v/>
      </c>
      <c r="I139" s="20">
        <f>IF($M139="","",IF(INDEX(請求記録!$AF$6:$AF$3005,$M139)="","",INDEX(請求記録!$AF$6:$AF$3005,$M139)))</f>
        <v/>
      </c>
      <c r="J139">
        <f>IF($M139="","",IF(INDEX(請求記録!$AI$6:$AI$3005,$M139)="","",INDEX(請求記録!$AI$6:$AI$3005,$M139)))</f>
        <v/>
      </c>
      <c r="K139" s="20">
        <f>IF($M139="","",IF(INDEX(請求記録!$AH$6:$AH$3005,$M139)="","",INDEX(請求記録!$AH$6:$AH$3005,$M139)))</f>
        <v/>
      </c>
      <c r="L139">
        <f>IF($M139="","",IF(INDEX(請求記録!$AL$6:$AL$3005,$M139)="","",INDEX(請求記録!$AL$6:$AL$3005,$M139)))</f>
        <v/>
      </c>
      <c r="M139">
        <f>IFERROR(MATCH(134,請求記録!$AM$6:$AM$3005,0),"")</f>
        <v/>
      </c>
    </row>
    <row r="140">
      <c r="A140">
        <f>IF($M140="","",135)</f>
        <v/>
      </c>
      <c r="B140">
        <f>IF($M140="","",IF(INDEX(請求記録!$B$6:$B$3005,$M140)="","",INDEX(請求記録!$B$6:$B$3005,$M140)))</f>
        <v/>
      </c>
      <c r="C140">
        <f>IF($M140="","",IF(INDEX(請求記録!$V$6:$V$3005,$M140)="","",INDEX(請求記録!$V$6:$V$3005,$M140)))</f>
        <v/>
      </c>
      <c r="D140">
        <f>IF($M140="","",IF(INDEX(請求記録!$W$6:$W$3005,$M140)="","",INDEX(請求記録!$W$6:$W$3005,$M140)))</f>
        <v/>
      </c>
      <c r="E140">
        <f>IF($M140="","",IF(INDEX(請求記録!$X$6:$X$3005,$M140)="","",INDEX(請求記録!$X$6:$X$3005,$M140)))</f>
        <v/>
      </c>
      <c r="F140" s="19">
        <f>IF($M140="","",IF(INDEX(請求記録!$E$6:$E$3005,$M140)="","",INDEX(請求記録!$E$6:$E$3005,$M140)))</f>
        <v/>
      </c>
      <c r="G140" s="19">
        <f>IF($M140="","",IF(INDEX(請求記録!$AC$6:$AC$3005,$M140)="","",INDEX(請求記録!$AC$6:$AC$3005,$M140)))</f>
        <v/>
      </c>
      <c r="H140">
        <f>IF($M140="","",IF(INDEX(請求記録!$AE$6:$AE$3005,$M140)="","",INDEX(請求記録!$AE$6:$AE$3005,$M140)))</f>
        <v/>
      </c>
      <c r="I140" s="20">
        <f>IF($M140="","",IF(INDEX(請求記録!$AF$6:$AF$3005,$M140)="","",INDEX(請求記録!$AF$6:$AF$3005,$M140)))</f>
        <v/>
      </c>
      <c r="J140">
        <f>IF($M140="","",IF(INDEX(請求記録!$AI$6:$AI$3005,$M140)="","",INDEX(請求記録!$AI$6:$AI$3005,$M140)))</f>
        <v/>
      </c>
      <c r="K140" s="20">
        <f>IF($M140="","",IF(INDEX(請求記録!$AH$6:$AH$3005,$M140)="","",INDEX(請求記録!$AH$6:$AH$3005,$M140)))</f>
        <v/>
      </c>
      <c r="L140">
        <f>IF($M140="","",IF(INDEX(請求記録!$AL$6:$AL$3005,$M140)="","",INDEX(請求記録!$AL$6:$AL$3005,$M140)))</f>
        <v/>
      </c>
      <c r="M140">
        <f>IFERROR(MATCH(135,請求記録!$AM$6:$AM$3005,0),"")</f>
        <v/>
      </c>
    </row>
    <row r="141">
      <c r="A141">
        <f>IF($M141="","",136)</f>
        <v/>
      </c>
      <c r="B141">
        <f>IF($M141="","",IF(INDEX(請求記録!$B$6:$B$3005,$M141)="","",INDEX(請求記録!$B$6:$B$3005,$M141)))</f>
        <v/>
      </c>
      <c r="C141">
        <f>IF($M141="","",IF(INDEX(請求記録!$V$6:$V$3005,$M141)="","",INDEX(請求記録!$V$6:$V$3005,$M141)))</f>
        <v/>
      </c>
      <c r="D141">
        <f>IF($M141="","",IF(INDEX(請求記録!$W$6:$W$3005,$M141)="","",INDEX(請求記録!$W$6:$W$3005,$M141)))</f>
        <v/>
      </c>
      <c r="E141">
        <f>IF($M141="","",IF(INDEX(請求記録!$X$6:$X$3005,$M141)="","",INDEX(請求記録!$X$6:$X$3005,$M141)))</f>
        <v/>
      </c>
      <c r="F141" s="19">
        <f>IF($M141="","",IF(INDEX(請求記録!$E$6:$E$3005,$M141)="","",INDEX(請求記録!$E$6:$E$3005,$M141)))</f>
        <v/>
      </c>
      <c r="G141" s="19">
        <f>IF($M141="","",IF(INDEX(請求記録!$AC$6:$AC$3005,$M141)="","",INDEX(請求記録!$AC$6:$AC$3005,$M141)))</f>
        <v/>
      </c>
      <c r="H141">
        <f>IF($M141="","",IF(INDEX(請求記録!$AE$6:$AE$3005,$M141)="","",INDEX(請求記録!$AE$6:$AE$3005,$M141)))</f>
        <v/>
      </c>
      <c r="I141" s="20">
        <f>IF($M141="","",IF(INDEX(請求記録!$AF$6:$AF$3005,$M141)="","",INDEX(請求記録!$AF$6:$AF$3005,$M141)))</f>
        <v/>
      </c>
      <c r="J141">
        <f>IF($M141="","",IF(INDEX(請求記録!$AI$6:$AI$3005,$M141)="","",INDEX(請求記録!$AI$6:$AI$3005,$M141)))</f>
        <v/>
      </c>
      <c r="K141" s="20">
        <f>IF($M141="","",IF(INDEX(請求記録!$AH$6:$AH$3005,$M141)="","",INDEX(請求記録!$AH$6:$AH$3005,$M141)))</f>
        <v/>
      </c>
      <c r="L141">
        <f>IF($M141="","",IF(INDEX(請求記録!$AL$6:$AL$3005,$M141)="","",INDEX(請求記録!$AL$6:$AL$3005,$M141)))</f>
        <v/>
      </c>
      <c r="M141">
        <f>IFERROR(MATCH(136,請求記録!$AM$6:$AM$3005,0),"")</f>
        <v/>
      </c>
    </row>
    <row r="142">
      <c r="A142">
        <f>IF($M142="","",137)</f>
        <v/>
      </c>
      <c r="B142">
        <f>IF($M142="","",IF(INDEX(請求記録!$B$6:$B$3005,$M142)="","",INDEX(請求記録!$B$6:$B$3005,$M142)))</f>
        <v/>
      </c>
      <c r="C142">
        <f>IF($M142="","",IF(INDEX(請求記録!$V$6:$V$3005,$M142)="","",INDEX(請求記録!$V$6:$V$3005,$M142)))</f>
        <v/>
      </c>
      <c r="D142">
        <f>IF($M142="","",IF(INDEX(請求記録!$W$6:$W$3005,$M142)="","",INDEX(請求記録!$W$6:$W$3005,$M142)))</f>
        <v/>
      </c>
      <c r="E142">
        <f>IF($M142="","",IF(INDEX(請求記録!$X$6:$X$3005,$M142)="","",INDEX(請求記録!$X$6:$X$3005,$M142)))</f>
        <v/>
      </c>
      <c r="F142" s="19">
        <f>IF($M142="","",IF(INDEX(請求記録!$E$6:$E$3005,$M142)="","",INDEX(請求記録!$E$6:$E$3005,$M142)))</f>
        <v/>
      </c>
      <c r="G142" s="19">
        <f>IF($M142="","",IF(INDEX(請求記録!$AC$6:$AC$3005,$M142)="","",INDEX(請求記録!$AC$6:$AC$3005,$M142)))</f>
        <v/>
      </c>
      <c r="H142">
        <f>IF($M142="","",IF(INDEX(請求記録!$AE$6:$AE$3005,$M142)="","",INDEX(請求記録!$AE$6:$AE$3005,$M142)))</f>
        <v/>
      </c>
      <c r="I142" s="20">
        <f>IF($M142="","",IF(INDEX(請求記録!$AF$6:$AF$3005,$M142)="","",INDEX(請求記録!$AF$6:$AF$3005,$M142)))</f>
        <v/>
      </c>
      <c r="J142">
        <f>IF($M142="","",IF(INDEX(請求記録!$AI$6:$AI$3005,$M142)="","",INDEX(請求記録!$AI$6:$AI$3005,$M142)))</f>
        <v/>
      </c>
      <c r="K142" s="20">
        <f>IF($M142="","",IF(INDEX(請求記録!$AH$6:$AH$3005,$M142)="","",INDEX(請求記録!$AH$6:$AH$3005,$M142)))</f>
        <v/>
      </c>
      <c r="L142">
        <f>IF($M142="","",IF(INDEX(請求記録!$AL$6:$AL$3005,$M142)="","",INDEX(請求記録!$AL$6:$AL$3005,$M142)))</f>
        <v/>
      </c>
      <c r="M142">
        <f>IFERROR(MATCH(137,請求記録!$AM$6:$AM$3005,0),"")</f>
        <v/>
      </c>
    </row>
    <row r="143">
      <c r="A143">
        <f>IF($M143="","",138)</f>
        <v/>
      </c>
      <c r="B143">
        <f>IF($M143="","",IF(INDEX(請求記録!$B$6:$B$3005,$M143)="","",INDEX(請求記録!$B$6:$B$3005,$M143)))</f>
        <v/>
      </c>
      <c r="C143">
        <f>IF($M143="","",IF(INDEX(請求記録!$V$6:$V$3005,$M143)="","",INDEX(請求記録!$V$6:$V$3005,$M143)))</f>
        <v/>
      </c>
      <c r="D143">
        <f>IF($M143="","",IF(INDEX(請求記録!$W$6:$W$3005,$M143)="","",INDEX(請求記録!$W$6:$W$3005,$M143)))</f>
        <v/>
      </c>
      <c r="E143">
        <f>IF($M143="","",IF(INDEX(請求記録!$X$6:$X$3005,$M143)="","",INDEX(請求記録!$X$6:$X$3005,$M143)))</f>
        <v/>
      </c>
      <c r="F143" s="19">
        <f>IF($M143="","",IF(INDEX(請求記録!$E$6:$E$3005,$M143)="","",INDEX(請求記録!$E$6:$E$3005,$M143)))</f>
        <v/>
      </c>
      <c r="G143" s="19">
        <f>IF($M143="","",IF(INDEX(請求記録!$AC$6:$AC$3005,$M143)="","",INDEX(請求記録!$AC$6:$AC$3005,$M143)))</f>
        <v/>
      </c>
      <c r="H143">
        <f>IF($M143="","",IF(INDEX(請求記録!$AE$6:$AE$3005,$M143)="","",INDEX(請求記録!$AE$6:$AE$3005,$M143)))</f>
        <v/>
      </c>
      <c r="I143" s="20">
        <f>IF($M143="","",IF(INDEX(請求記録!$AF$6:$AF$3005,$M143)="","",INDEX(請求記録!$AF$6:$AF$3005,$M143)))</f>
        <v/>
      </c>
      <c r="J143">
        <f>IF($M143="","",IF(INDEX(請求記録!$AI$6:$AI$3005,$M143)="","",INDEX(請求記録!$AI$6:$AI$3005,$M143)))</f>
        <v/>
      </c>
      <c r="K143" s="20">
        <f>IF($M143="","",IF(INDEX(請求記録!$AH$6:$AH$3005,$M143)="","",INDEX(請求記録!$AH$6:$AH$3005,$M143)))</f>
        <v/>
      </c>
      <c r="L143">
        <f>IF($M143="","",IF(INDEX(請求記録!$AL$6:$AL$3005,$M143)="","",INDEX(請求記録!$AL$6:$AL$3005,$M143)))</f>
        <v/>
      </c>
      <c r="M143">
        <f>IFERROR(MATCH(138,請求記録!$AM$6:$AM$3005,0),"")</f>
        <v/>
      </c>
    </row>
    <row r="144">
      <c r="A144">
        <f>IF($M144="","",139)</f>
        <v/>
      </c>
      <c r="B144">
        <f>IF($M144="","",IF(INDEX(請求記録!$B$6:$B$3005,$M144)="","",INDEX(請求記録!$B$6:$B$3005,$M144)))</f>
        <v/>
      </c>
      <c r="C144">
        <f>IF($M144="","",IF(INDEX(請求記録!$V$6:$V$3005,$M144)="","",INDEX(請求記録!$V$6:$V$3005,$M144)))</f>
        <v/>
      </c>
      <c r="D144">
        <f>IF($M144="","",IF(INDEX(請求記録!$W$6:$W$3005,$M144)="","",INDEX(請求記録!$W$6:$W$3005,$M144)))</f>
        <v/>
      </c>
      <c r="E144">
        <f>IF($M144="","",IF(INDEX(請求記録!$X$6:$X$3005,$M144)="","",INDEX(請求記録!$X$6:$X$3005,$M144)))</f>
        <v/>
      </c>
      <c r="F144" s="19">
        <f>IF($M144="","",IF(INDEX(請求記録!$E$6:$E$3005,$M144)="","",INDEX(請求記録!$E$6:$E$3005,$M144)))</f>
        <v/>
      </c>
      <c r="G144" s="19">
        <f>IF($M144="","",IF(INDEX(請求記録!$AC$6:$AC$3005,$M144)="","",INDEX(請求記録!$AC$6:$AC$3005,$M144)))</f>
        <v/>
      </c>
      <c r="H144">
        <f>IF($M144="","",IF(INDEX(請求記録!$AE$6:$AE$3005,$M144)="","",INDEX(請求記録!$AE$6:$AE$3005,$M144)))</f>
        <v/>
      </c>
      <c r="I144" s="20">
        <f>IF($M144="","",IF(INDEX(請求記録!$AF$6:$AF$3005,$M144)="","",INDEX(請求記録!$AF$6:$AF$3005,$M144)))</f>
        <v/>
      </c>
      <c r="J144">
        <f>IF($M144="","",IF(INDEX(請求記録!$AI$6:$AI$3005,$M144)="","",INDEX(請求記録!$AI$6:$AI$3005,$M144)))</f>
        <v/>
      </c>
      <c r="K144" s="20">
        <f>IF($M144="","",IF(INDEX(請求記録!$AH$6:$AH$3005,$M144)="","",INDEX(請求記録!$AH$6:$AH$3005,$M144)))</f>
        <v/>
      </c>
      <c r="L144">
        <f>IF($M144="","",IF(INDEX(請求記録!$AL$6:$AL$3005,$M144)="","",INDEX(請求記録!$AL$6:$AL$3005,$M144)))</f>
        <v/>
      </c>
      <c r="M144">
        <f>IFERROR(MATCH(139,請求記録!$AM$6:$AM$3005,0),"")</f>
        <v/>
      </c>
    </row>
    <row r="145">
      <c r="A145">
        <f>IF($M145="","",140)</f>
        <v/>
      </c>
      <c r="B145">
        <f>IF($M145="","",IF(INDEX(請求記録!$B$6:$B$3005,$M145)="","",INDEX(請求記録!$B$6:$B$3005,$M145)))</f>
        <v/>
      </c>
      <c r="C145">
        <f>IF($M145="","",IF(INDEX(請求記録!$V$6:$V$3005,$M145)="","",INDEX(請求記録!$V$6:$V$3005,$M145)))</f>
        <v/>
      </c>
      <c r="D145">
        <f>IF($M145="","",IF(INDEX(請求記録!$W$6:$W$3005,$M145)="","",INDEX(請求記録!$W$6:$W$3005,$M145)))</f>
        <v/>
      </c>
      <c r="E145">
        <f>IF($M145="","",IF(INDEX(請求記録!$X$6:$X$3005,$M145)="","",INDEX(請求記録!$X$6:$X$3005,$M145)))</f>
        <v/>
      </c>
      <c r="F145" s="19">
        <f>IF($M145="","",IF(INDEX(請求記録!$E$6:$E$3005,$M145)="","",INDEX(請求記録!$E$6:$E$3005,$M145)))</f>
        <v/>
      </c>
      <c r="G145" s="19">
        <f>IF($M145="","",IF(INDEX(請求記録!$AC$6:$AC$3005,$M145)="","",INDEX(請求記録!$AC$6:$AC$3005,$M145)))</f>
        <v/>
      </c>
      <c r="H145">
        <f>IF($M145="","",IF(INDEX(請求記録!$AE$6:$AE$3005,$M145)="","",INDEX(請求記録!$AE$6:$AE$3005,$M145)))</f>
        <v/>
      </c>
      <c r="I145" s="20">
        <f>IF($M145="","",IF(INDEX(請求記録!$AF$6:$AF$3005,$M145)="","",INDEX(請求記録!$AF$6:$AF$3005,$M145)))</f>
        <v/>
      </c>
      <c r="J145">
        <f>IF($M145="","",IF(INDEX(請求記録!$AI$6:$AI$3005,$M145)="","",INDEX(請求記録!$AI$6:$AI$3005,$M145)))</f>
        <v/>
      </c>
      <c r="K145" s="20">
        <f>IF($M145="","",IF(INDEX(請求記録!$AH$6:$AH$3005,$M145)="","",INDEX(請求記録!$AH$6:$AH$3005,$M145)))</f>
        <v/>
      </c>
      <c r="L145">
        <f>IF($M145="","",IF(INDEX(請求記録!$AL$6:$AL$3005,$M145)="","",INDEX(請求記録!$AL$6:$AL$3005,$M145)))</f>
        <v/>
      </c>
      <c r="M145">
        <f>IFERROR(MATCH(140,請求記録!$AM$6:$AM$3005,0),"")</f>
        <v/>
      </c>
    </row>
    <row r="146">
      <c r="A146">
        <f>IF($M146="","",141)</f>
        <v/>
      </c>
      <c r="B146">
        <f>IF($M146="","",IF(INDEX(請求記録!$B$6:$B$3005,$M146)="","",INDEX(請求記録!$B$6:$B$3005,$M146)))</f>
        <v/>
      </c>
      <c r="C146">
        <f>IF($M146="","",IF(INDEX(請求記録!$V$6:$V$3005,$M146)="","",INDEX(請求記録!$V$6:$V$3005,$M146)))</f>
        <v/>
      </c>
      <c r="D146">
        <f>IF($M146="","",IF(INDEX(請求記録!$W$6:$W$3005,$M146)="","",INDEX(請求記録!$W$6:$W$3005,$M146)))</f>
        <v/>
      </c>
      <c r="E146">
        <f>IF($M146="","",IF(INDEX(請求記録!$X$6:$X$3005,$M146)="","",INDEX(請求記録!$X$6:$X$3005,$M146)))</f>
        <v/>
      </c>
      <c r="F146" s="19">
        <f>IF($M146="","",IF(INDEX(請求記録!$E$6:$E$3005,$M146)="","",INDEX(請求記録!$E$6:$E$3005,$M146)))</f>
        <v/>
      </c>
      <c r="G146" s="19">
        <f>IF($M146="","",IF(INDEX(請求記録!$AC$6:$AC$3005,$M146)="","",INDEX(請求記録!$AC$6:$AC$3005,$M146)))</f>
        <v/>
      </c>
      <c r="H146">
        <f>IF($M146="","",IF(INDEX(請求記録!$AE$6:$AE$3005,$M146)="","",INDEX(請求記録!$AE$6:$AE$3005,$M146)))</f>
        <v/>
      </c>
      <c r="I146" s="20">
        <f>IF($M146="","",IF(INDEX(請求記録!$AF$6:$AF$3005,$M146)="","",INDEX(請求記録!$AF$6:$AF$3005,$M146)))</f>
        <v/>
      </c>
      <c r="J146">
        <f>IF($M146="","",IF(INDEX(請求記録!$AI$6:$AI$3005,$M146)="","",INDEX(請求記録!$AI$6:$AI$3005,$M146)))</f>
        <v/>
      </c>
      <c r="K146" s="20">
        <f>IF($M146="","",IF(INDEX(請求記録!$AH$6:$AH$3005,$M146)="","",INDEX(請求記録!$AH$6:$AH$3005,$M146)))</f>
        <v/>
      </c>
      <c r="L146">
        <f>IF($M146="","",IF(INDEX(請求記録!$AL$6:$AL$3005,$M146)="","",INDEX(請求記録!$AL$6:$AL$3005,$M146)))</f>
        <v/>
      </c>
      <c r="M146">
        <f>IFERROR(MATCH(141,請求記録!$AM$6:$AM$3005,0),"")</f>
        <v/>
      </c>
    </row>
    <row r="147">
      <c r="A147">
        <f>IF($M147="","",142)</f>
        <v/>
      </c>
      <c r="B147">
        <f>IF($M147="","",IF(INDEX(請求記録!$B$6:$B$3005,$M147)="","",INDEX(請求記録!$B$6:$B$3005,$M147)))</f>
        <v/>
      </c>
      <c r="C147">
        <f>IF($M147="","",IF(INDEX(請求記録!$V$6:$V$3005,$M147)="","",INDEX(請求記録!$V$6:$V$3005,$M147)))</f>
        <v/>
      </c>
      <c r="D147">
        <f>IF($M147="","",IF(INDEX(請求記録!$W$6:$W$3005,$M147)="","",INDEX(請求記録!$W$6:$W$3005,$M147)))</f>
        <v/>
      </c>
      <c r="E147">
        <f>IF($M147="","",IF(INDEX(請求記録!$X$6:$X$3005,$M147)="","",INDEX(請求記録!$X$6:$X$3005,$M147)))</f>
        <v/>
      </c>
      <c r="F147" s="19">
        <f>IF($M147="","",IF(INDEX(請求記録!$E$6:$E$3005,$M147)="","",INDEX(請求記録!$E$6:$E$3005,$M147)))</f>
        <v/>
      </c>
      <c r="G147" s="19">
        <f>IF($M147="","",IF(INDEX(請求記録!$AC$6:$AC$3005,$M147)="","",INDEX(請求記録!$AC$6:$AC$3005,$M147)))</f>
        <v/>
      </c>
      <c r="H147">
        <f>IF($M147="","",IF(INDEX(請求記録!$AE$6:$AE$3005,$M147)="","",INDEX(請求記録!$AE$6:$AE$3005,$M147)))</f>
        <v/>
      </c>
      <c r="I147" s="20">
        <f>IF($M147="","",IF(INDEX(請求記録!$AF$6:$AF$3005,$M147)="","",INDEX(請求記録!$AF$6:$AF$3005,$M147)))</f>
        <v/>
      </c>
      <c r="J147">
        <f>IF($M147="","",IF(INDEX(請求記録!$AI$6:$AI$3005,$M147)="","",INDEX(請求記録!$AI$6:$AI$3005,$M147)))</f>
        <v/>
      </c>
      <c r="K147" s="20">
        <f>IF($M147="","",IF(INDEX(請求記録!$AH$6:$AH$3005,$M147)="","",INDEX(請求記録!$AH$6:$AH$3005,$M147)))</f>
        <v/>
      </c>
      <c r="L147">
        <f>IF($M147="","",IF(INDEX(請求記録!$AL$6:$AL$3005,$M147)="","",INDEX(請求記録!$AL$6:$AL$3005,$M147)))</f>
        <v/>
      </c>
      <c r="M147">
        <f>IFERROR(MATCH(142,請求記録!$AM$6:$AM$3005,0),"")</f>
        <v/>
      </c>
    </row>
    <row r="148">
      <c r="A148">
        <f>IF($M148="","",143)</f>
        <v/>
      </c>
      <c r="B148">
        <f>IF($M148="","",IF(INDEX(請求記録!$B$6:$B$3005,$M148)="","",INDEX(請求記録!$B$6:$B$3005,$M148)))</f>
        <v/>
      </c>
      <c r="C148">
        <f>IF($M148="","",IF(INDEX(請求記録!$V$6:$V$3005,$M148)="","",INDEX(請求記録!$V$6:$V$3005,$M148)))</f>
        <v/>
      </c>
      <c r="D148">
        <f>IF($M148="","",IF(INDEX(請求記録!$W$6:$W$3005,$M148)="","",INDEX(請求記録!$W$6:$W$3005,$M148)))</f>
        <v/>
      </c>
      <c r="E148">
        <f>IF($M148="","",IF(INDEX(請求記録!$X$6:$X$3005,$M148)="","",INDEX(請求記録!$X$6:$X$3005,$M148)))</f>
        <v/>
      </c>
      <c r="F148" s="19">
        <f>IF($M148="","",IF(INDEX(請求記録!$E$6:$E$3005,$M148)="","",INDEX(請求記録!$E$6:$E$3005,$M148)))</f>
        <v/>
      </c>
      <c r="G148" s="19">
        <f>IF($M148="","",IF(INDEX(請求記録!$AC$6:$AC$3005,$M148)="","",INDEX(請求記録!$AC$6:$AC$3005,$M148)))</f>
        <v/>
      </c>
      <c r="H148">
        <f>IF($M148="","",IF(INDEX(請求記録!$AE$6:$AE$3005,$M148)="","",INDEX(請求記録!$AE$6:$AE$3005,$M148)))</f>
        <v/>
      </c>
      <c r="I148" s="20">
        <f>IF($M148="","",IF(INDEX(請求記録!$AF$6:$AF$3005,$M148)="","",INDEX(請求記録!$AF$6:$AF$3005,$M148)))</f>
        <v/>
      </c>
      <c r="J148">
        <f>IF($M148="","",IF(INDEX(請求記録!$AI$6:$AI$3005,$M148)="","",INDEX(請求記録!$AI$6:$AI$3005,$M148)))</f>
        <v/>
      </c>
      <c r="K148" s="20">
        <f>IF($M148="","",IF(INDEX(請求記録!$AH$6:$AH$3005,$M148)="","",INDEX(請求記録!$AH$6:$AH$3005,$M148)))</f>
        <v/>
      </c>
      <c r="L148">
        <f>IF($M148="","",IF(INDEX(請求記録!$AL$6:$AL$3005,$M148)="","",INDEX(請求記録!$AL$6:$AL$3005,$M148)))</f>
        <v/>
      </c>
      <c r="M148">
        <f>IFERROR(MATCH(143,請求記録!$AM$6:$AM$3005,0),"")</f>
        <v/>
      </c>
    </row>
    <row r="149">
      <c r="A149">
        <f>IF($M149="","",144)</f>
        <v/>
      </c>
      <c r="B149">
        <f>IF($M149="","",IF(INDEX(請求記録!$B$6:$B$3005,$M149)="","",INDEX(請求記録!$B$6:$B$3005,$M149)))</f>
        <v/>
      </c>
      <c r="C149">
        <f>IF($M149="","",IF(INDEX(請求記録!$V$6:$V$3005,$M149)="","",INDEX(請求記録!$V$6:$V$3005,$M149)))</f>
        <v/>
      </c>
      <c r="D149">
        <f>IF($M149="","",IF(INDEX(請求記録!$W$6:$W$3005,$M149)="","",INDEX(請求記録!$W$6:$W$3005,$M149)))</f>
        <v/>
      </c>
      <c r="E149">
        <f>IF($M149="","",IF(INDEX(請求記録!$X$6:$X$3005,$M149)="","",INDEX(請求記録!$X$6:$X$3005,$M149)))</f>
        <v/>
      </c>
      <c r="F149" s="19">
        <f>IF($M149="","",IF(INDEX(請求記録!$E$6:$E$3005,$M149)="","",INDEX(請求記録!$E$6:$E$3005,$M149)))</f>
        <v/>
      </c>
      <c r="G149" s="19">
        <f>IF($M149="","",IF(INDEX(請求記録!$AC$6:$AC$3005,$M149)="","",INDEX(請求記録!$AC$6:$AC$3005,$M149)))</f>
        <v/>
      </c>
      <c r="H149">
        <f>IF($M149="","",IF(INDEX(請求記録!$AE$6:$AE$3005,$M149)="","",INDEX(請求記録!$AE$6:$AE$3005,$M149)))</f>
        <v/>
      </c>
      <c r="I149" s="20">
        <f>IF($M149="","",IF(INDEX(請求記録!$AF$6:$AF$3005,$M149)="","",INDEX(請求記録!$AF$6:$AF$3005,$M149)))</f>
        <v/>
      </c>
      <c r="J149">
        <f>IF($M149="","",IF(INDEX(請求記録!$AI$6:$AI$3005,$M149)="","",INDEX(請求記録!$AI$6:$AI$3005,$M149)))</f>
        <v/>
      </c>
      <c r="K149" s="20">
        <f>IF($M149="","",IF(INDEX(請求記録!$AH$6:$AH$3005,$M149)="","",INDEX(請求記録!$AH$6:$AH$3005,$M149)))</f>
        <v/>
      </c>
      <c r="L149">
        <f>IF($M149="","",IF(INDEX(請求記録!$AL$6:$AL$3005,$M149)="","",INDEX(請求記録!$AL$6:$AL$3005,$M149)))</f>
        <v/>
      </c>
      <c r="M149">
        <f>IFERROR(MATCH(144,請求記録!$AM$6:$AM$3005,0),"")</f>
        <v/>
      </c>
    </row>
    <row r="150">
      <c r="A150">
        <f>IF($M150="","",145)</f>
        <v/>
      </c>
      <c r="B150">
        <f>IF($M150="","",IF(INDEX(請求記録!$B$6:$B$3005,$M150)="","",INDEX(請求記録!$B$6:$B$3005,$M150)))</f>
        <v/>
      </c>
      <c r="C150">
        <f>IF($M150="","",IF(INDEX(請求記録!$V$6:$V$3005,$M150)="","",INDEX(請求記録!$V$6:$V$3005,$M150)))</f>
        <v/>
      </c>
      <c r="D150">
        <f>IF($M150="","",IF(INDEX(請求記録!$W$6:$W$3005,$M150)="","",INDEX(請求記録!$W$6:$W$3005,$M150)))</f>
        <v/>
      </c>
      <c r="E150">
        <f>IF($M150="","",IF(INDEX(請求記録!$X$6:$X$3005,$M150)="","",INDEX(請求記録!$X$6:$X$3005,$M150)))</f>
        <v/>
      </c>
      <c r="F150" s="19">
        <f>IF($M150="","",IF(INDEX(請求記録!$E$6:$E$3005,$M150)="","",INDEX(請求記録!$E$6:$E$3005,$M150)))</f>
        <v/>
      </c>
      <c r="G150" s="19">
        <f>IF($M150="","",IF(INDEX(請求記録!$AC$6:$AC$3005,$M150)="","",INDEX(請求記録!$AC$6:$AC$3005,$M150)))</f>
        <v/>
      </c>
      <c r="H150">
        <f>IF($M150="","",IF(INDEX(請求記録!$AE$6:$AE$3005,$M150)="","",INDEX(請求記録!$AE$6:$AE$3005,$M150)))</f>
        <v/>
      </c>
      <c r="I150" s="20">
        <f>IF($M150="","",IF(INDEX(請求記録!$AF$6:$AF$3005,$M150)="","",INDEX(請求記録!$AF$6:$AF$3005,$M150)))</f>
        <v/>
      </c>
      <c r="J150">
        <f>IF($M150="","",IF(INDEX(請求記録!$AI$6:$AI$3005,$M150)="","",INDEX(請求記録!$AI$6:$AI$3005,$M150)))</f>
        <v/>
      </c>
      <c r="K150" s="20">
        <f>IF($M150="","",IF(INDEX(請求記録!$AH$6:$AH$3005,$M150)="","",INDEX(請求記録!$AH$6:$AH$3005,$M150)))</f>
        <v/>
      </c>
      <c r="L150">
        <f>IF($M150="","",IF(INDEX(請求記録!$AL$6:$AL$3005,$M150)="","",INDEX(請求記録!$AL$6:$AL$3005,$M150)))</f>
        <v/>
      </c>
      <c r="M150">
        <f>IFERROR(MATCH(145,請求記録!$AM$6:$AM$3005,0),"")</f>
        <v/>
      </c>
    </row>
    <row r="151">
      <c r="A151">
        <f>IF($M151="","",146)</f>
        <v/>
      </c>
      <c r="B151">
        <f>IF($M151="","",IF(INDEX(請求記録!$B$6:$B$3005,$M151)="","",INDEX(請求記録!$B$6:$B$3005,$M151)))</f>
        <v/>
      </c>
      <c r="C151">
        <f>IF($M151="","",IF(INDEX(請求記録!$V$6:$V$3005,$M151)="","",INDEX(請求記録!$V$6:$V$3005,$M151)))</f>
        <v/>
      </c>
      <c r="D151">
        <f>IF($M151="","",IF(INDEX(請求記録!$W$6:$W$3005,$M151)="","",INDEX(請求記録!$W$6:$W$3005,$M151)))</f>
        <v/>
      </c>
      <c r="E151">
        <f>IF($M151="","",IF(INDEX(請求記録!$X$6:$X$3005,$M151)="","",INDEX(請求記録!$X$6:$X$3005,$M151)))</f>
        <v/>
      </c>
      <c r="F151" s="19">
        <f>IF($M151="","",IF(INDEX(請求記録!$E$6:$E$3005,$M151)="","",INDEX(請求記録!$E$6:$E$3005,$M151)))</f>
        <v/>
      </c>
      <c r="G151" s="19">
        <f>IF($M151="","",IF(INDEX(請求記録!$AC$6:$AC$3005,$M151)="","",INDEX(請求記録!$AC$6:$AC$3005,$M151)))</f>
        <v/>
      </c>
      <c r="H151">
        <f>IF($M151="","",IF(INDEX(請求記録!$AE$6:$AE$3005,$M151)="","",INDEX(請求記録!$AE$6:$AE$3005,$M151)))</f>
        <v/>
      </c>
      <c r="I151" s="20">
        <f>IF($M151="","",IF(INDEX(請求記録!$AF$6:$AF$3005,$M151)="","",INDEX(請求記録!$AF$6:$AF$3005,$M151)))</f>
        <v/>
      </c>
      <c r="J151">
        <f>IF($M151="","",IF(INDEX(請求記録!$AI$6:$AI$3005,$M151)="","",INDEX(請求記録!$AI$6:$AI$3005,$M151)))</f>
        <v/>
      </c>
      <c r="K151" s="20">
        <f>IF($M151="","",IF(INDEX(請求記録!$AH$6:$AH$3005,$M151)="","",INDEX(請求記録!$AH$6:$AH$3005,$M151)))</f>
        <v/>
      </c>
      <c r="L151">
        <f>IF($M151="","",IF(INDEX(請求記録!$AL$6:$AL$3005,$M151)="","",INDEX(請求記録!$AL$6:$AL$3005,$M151)))</f>
        <v/>
      </c>
      <c r="M151">
        <f>IFERROR(MATCH(146,請求記録!$AM$6:$AM$3005,0),"")</f>
        <v/>
      </c>
    </row>
    <row r="152">
      <c r="A152">
        <f>IF($M152="","",147)</f>
        <v/>
      </c>
      <c r="B152">
        <f>IF($M152="","",IF(INDEX(請求記録!$B$6:$B$3005,$M152)="","",INDEX(請求記録!$B$6:$B$3005,$M152)))</f>
        <v/>
      </c>
      <c r="C152">
        <f>IF($M152="","",IF(INDEX(請求記録!$V$6:$V$3005,$M152)="","",INDEX(請求記録!$V$6:$V$3005,$M152)))</f>
        <v/>
      </c>
      <c r="D152">
        <f>IF($M152="","",IF(INDEX(請求記録!$W$6:$W$3005,$M152)="","",INDEX(請求記録!$W$6:$W$3005,$M152)))</f>
        <v/>
      </c>
      <c r="E152">
        <f>IF($M152="","",IF(INDEX(請求記録!$X$6:$X$3005,$M152)="","",INDEX(請求記録!$X$6:$X$3005,$M152)))</f>
        <v/>
      </c>
      <c r="F152" s="19">
        <f>IF($M152="","",IF(INDEX(請求記録!$E$6:$E$3005,$M152)="","",INDEX(請求記録!$E$6:$E$3005,$M152)))</f>
        <v/>
      </c>
      <c r="G152" s="19">
        <f>IF($M152="","",IF(INDEX(請求記録!$AC$6:$AC$3005,$M152)="","",INDEX(請求記録!$AC$6:$AC$3005,$M152)))</f>
        <v/>
      </c>
      <c r="H152">
        <f>IF($M152="","",IF(INDEX(請求記録!$AE$6:$AE$3005,$M152)="","",INDEX(請求記録!$AE$6:$AE$3005,$M152)))</f>
        <v/>
      </c>
      <c r="I152" s="20">
        <f>IF($M152="","",IF(INDEX(請求記録!$AF$6:$AF$3005,$M152)="","",INDEX(請求記録!$AF$6:$AF$3005,$M152)))</f>
        <v/>
      </c>
      <c r="J152">
        <f>IF($M152="","",IF(INDEX(請求記録!$AI$6:$AI$3005,$M152)="","",INDEX(請求記録!$AI$6:$AI$3005,$M152)))</f>
        <v/>
      </c>
      <c r="K152" s="20">
        <f>IF($M152="","",IF(INDEX(請求記録!$AH$6:$AH$3005,$M152)="","",INDEX(請求記録!$AH$6:$AH$3005,$M152)))</f>
        <v/>
      </c>
      <c r="L152">
        <f>IF($M152="","",IF(INDEX(請求記録!$AL$6:$AL$3005,$M152)="","",INDEX(請求記録!$AL$6:$AL$3005,$M152)))</f>
        <v/>
      </c>
      <c r="M152">
        <f>IFERROR(MATCH(147,請求記録!$AM$6:$AM$3005,0),"")</f>
        <v/>
      </c>
    </row>
    <row r="153">
      <c r="A153">
        <f>IF($M153="","",148)</f>
        <v/>
      </c>
      <c r="B153">
        <f>IF($M153="","",IF(INDEX(請求記録!$B$6:$B$3005,$M153)="","",INDEX(請求記録!$B$6:$B$3005,$M153)))</f>
        <v/>
      </c>
      <c r="C153">
        <f>IF($M153="","",IF(INDEX(請求記録!$V$6:$V$3005,$M153)="","",INDEX(請求記録!$V$6:$V$3005,$M153)))</f>
        <v/>
      </c>
      <c r="D153">
        <f>IF($M153="","",IF(INDEX(請求記録!$W$6:$W$3005,$M153)="","",INDEX(請求記録!$W$6:$W$3005,$M153)))</f>
        <v/>
      </c>
      <c r="E153">
        <f>IF($M153="","",IF(INDEX(請求記録!$X$6:$X$3005,$M153)="","",INDEX(請求記録!$X$6:$X$3005,$M153)))</f>
        <v/>
      </c>
      <c r="F153" s="19">
        <f>IF($M153="","",IF(INDEX(請求記録!$E$6:$E$3005,$M153)="","",INDEX(請求記録!$E$6:$E$3005,$M153)))</f>
        <v/>
      </c>
      <c r="G153" s="19">
        <f>IF($M153="","",IF(INDEX(請求記録!$AC$6:$AC$3005,$M153)="","",INDEX(請求記録!$AC$6:$AC$3005,$M153)))</f>
        <v/>
      </c>
      <c r="H153">
        <f>IF($M153="","",IF(INDEX(請求記録!$AE$6:$AE$3005,$M153)="","",INDEX(請求記録!$AE$6:$AE$3005,$M153)))</f>
        <v/>
      </c>
      <c r="I153" s="20">
        <f>IF($M153="","",IF(INDEX(請求記録!$AF$6:$AF$3005,$M153)="","",INDEX(請求記録!$AF$6:$AF$3005,$M153)))</f>
        <v/>
      </c>
      <c r="J153">
        <f>IF($M153="","",IF(INDEX(請求記録!$AI$6:$AI$3005,$M153)="","",INDEX(請求記録!$AI$6:$AI$3005,$M153)))</f>
        <v/>
      </c>
      <c r="K153" s="20">
        <f>IF($M153="","",IF(INDEX(請求記録!$AH$6:$AH$3005,$M153)="","",INDEX(請求記録!$AH$6:$AH$3005,$M153)))</f>
        <v/>
      </c>
      <c r="L153">
        <f>IF($M153="","",IF(INDEX(請求記録!$AL$6:$AL$3005,$M153)="","",INDEX(請求記録!$AL$6:$AL$3005,$M153)))</f>
        <v/>
      </c>
      <c r="M153">
        <f>IFERROR(MATCH(148,請求記録!$AM$6:$AM$3005,0),"")</f>
        <v/>
      </c>
    </row>
    <row r="154">
      <c r="A154">
        <f>IF($M154="","",149)</f>
        <v/>
      </c>
      <c r="B154">
        <f>IF($M154="","",IF(INDEX(請求記録!$B$6:$B$3005,$M154)="","",INDEX(請求記録!$B$6:$B$3005,$M154)))</f>
        <v/>
      </c>
      <c r="C154">
        <f>IF($M154="","",IF(INDEX(請求記録!$V$6:$V$3005,$M154)="","",INDEX(請求記録!$V$6:$V$3005,$M154)))</f>
        <v/>
      </c>
      <c r="D154">
        <f>IF($M154="","",IF(INDEX(請求記録!$W$6:$W$3005,$M154)="","",INDEX(請求記録!$W$6:$W$3005,$M154)))</f>
        <v/>
      </c>
      <c r="E154">
        <f>IF($M154="","",IF(INDEX(請求記録!$X$6:$X$3005,$M154)="","",INDEX(請求記録!$X$6:$X$3005,$M154)))</f>
        <v/>
      </c>
      <c r="F154" s="19">
        <f>IF($M154="","",IF(INDEX(請求記録!$E$6:$E$3005,$M154)="","",INDEX(請求記録!$E$6:$E$3005,$M154)))</f>
        <v/>
      </c>
      <c r="G154" s="19">
        <f>IF($M154="","",IF(INDEX(請求記録!$AC$6:$AC$3005,$M154)="","",INDEX(請求記録!$AC$6:$AC$3005,$M154)))</f>
        <v/>
      </c>
      <c r="H154">
        <f>IF($M154="","",IF(INDEX(請求記録!$AE$6:$AE$3005,$M154)="","",INDEX(請求記録!$AE$6:$AE$3005,$M154)))</f>
        <v/>
      </c>
      <c r="I154" s="20">
        <f>IF($M154="","",IF(INDEX(請求記録!$AF$6:$AF$3005,$M154)="","",INDEX(請求記録!$AF$6:$AF$3005,$M154)))</f>
        <v/>
      </c>
      <c r="J154">
        <f>IF($M154="","",IF(INDEX(請求記録!$AI$6:$AI$3005,$M154)="","",INDEX(請求記録!$AI$6:$AI$3005,$M154)))</f>
        <v/>
      </c>
      <c r="K154" s="20">
        <f>IF($M154="","",IF(INDEX(請求記録!$AH$6:$AH$3005,$M154)="","",INDEX(請求記録!$AH$6:$AH$3005,$M154)))</f>
        <v/>
      </c>
      <c r="L154">
        <f>IF($M154="","",IF(INDEX(請求記録!$AL$6:$AL$3005,$M154)="","",INDEX(請求記録!$AL$6:$AL$3005,$M154)))</f>
        <v/>
      </c>
      <c r="M154">
        <f>IFERROR(MATCH(149,請求記録!$AM$6:$AM$3005,0),"")</f>
        <v/>
      </c>
    </row>
    <row r="155">
      <c r="A155">
        <f>IF($M155="","",150)</f>
        <v/>
      </c>
      <c r="B155">
        <f>IF($M155="","",IF(INDEX(請求記録!$B$6:$B$3005,$M155)="","",INDEX(請求記録!$B$6:$B$3005,$M155)))</f>
        <v/>
      </c>
      <c r="C155">
        <f>IF($M155="","",IF(INDEX(請求記録!$V$6:$V$3005,$M155)="","",INDEX(請求記録!$V$6:$V$3005,$M155)))</f>
        <v/>
      </c>
      <c r="D155">
        <f>IF($M155="","",IF(INDEX(請求記録!$W$6:$W$3005,$M155)="","",INDEX(請求記録!$W$6:$W$3005,$M155)))</f>
        <v/>
      </c>
      <c r="E155">
        <f>IF($M155="","",IF(INDEX(請求記録!$X$6:$X$3005,$M155)="","",INDEX(請求記録!$X$6:$X$3005,$M155)))</f>
        <v/>
      </c>
      <c r="F155" s="19">
        <f>IF($M155="","",IF(INDEX(請求記録!$E$6:$E$3005,$M155)="","",INDEX(請求記録!$E$6:$E$3005,$M155)))</f>
        <v/>
      </c>
      <c r="G155" s="19">
        <f>IF($M155="","",IF(INDEX(請求記録!$AC$6:$AC$3005,$M155)="","",INDEX(請求記録!$AC$6:$AC$3005,$M155)))</f>
        <v/>
      </c>
      <c r="H155">
        <f>IF($M155="","",IF(INDEX(請求記録!$AE$6:$AE$3005,$M155)="","",INDEX(請求記録!$AE$6:$AE$3005,$M155)))</f>
        <v/>
      </c>
      <c r="I155" s="20">
        <f>IF($M155="","",IF(INDEX(請求記録!$AF$6:$AF$3005,$M155)="","",INDEX(請求記録!$AF$6:$AF$3005,$M155)))</f>
        <v/>
      </c>
      <c r="J155">
        <f>IF($M155="","",IF(INDEX(請求記録!$AI$6:$AI$3005,$M155)="","",INDEX(請求記録!$AI$6:$AI$3005,$M155)))</f>
        <v/>
      </c>
      <c r="K155" s="20">
        <f>IF($M155="","",IF(INDEX(請求記録!$AH$6:$AH$3005,$M155)="","",INDEX(請求記録!$AH$6:$AH$3005,$M155)))</f>
        <v/>
      </c>
      <c r="L155">
        <f>IF($M155="","",IF(INDEX(請求記録!$AL$6:$AL$3005,$M155)="","",INDEX(請求記録!$AL$6:$AL$3005,$M155)))</f>
        <v/>
      </c>
      <c r="M155">
        <f>IFERROR(MATCH(150,請求記録!$AM$6:$AM$3005,0),"")</f>
        <v/>
      </c>
    </row>
    <row r="156">
      <c r="A156">
        <f>IF($M156="","",151)</f>
        <v/>
      </c>
      <c r="B156">
        <f>IF($M156="","",IF(INDEX(請求記録!$B$6:$B$3005,$M156)="","",INDEX(請求記録!$B$6:$B$3005,$M156)))</f>
        <v/>
      </c>
      <c r="C156">
        <f>IF($M156="","",IF(INDEX(請求記録!$V$6:$V$3005,$M156)="","",INDEX(請求記録!$V$6:$V$3005,$M156)))</f>
        <v/>
      </c>
      <c r="D156">
        <f>IF($M156="","",IF(INDEX(請求記録!$W$6:$W$3005,$M156)="","",INDEX(請求記録!$W$6:$W$3005,$M156)))</f>
        <v/>
      </c>
      <c r="E156">
        <f>IF($M156="","",IF(INDEX(請求記録!$X$6:$X$3005,$M156)="","",INDEX(請求記録!$X$6:$X$3005,$M156)))</f>
        <v/>
      </c>
      <c r="F156" s="19">
        <f>IF($M156="","",IF(INDEX(請求記録!$E$6:$E$3005,$M156)="","",INDEX(請求記録!$E$6:$E$3005,$M156)))</f>
        <v/>
      </c>
      <c r="G156" s="19">
        <f>IF($M156="","",IF(INDEX(請求記録!$AC$6:$AC$3005,$M156)="","",INDEX(請求記録!$AC$6:$AC$3005,$M156)))</f>
        <v/>
      </c>
      <c r="H156">
        <f>IF($M156="","",IF(INDEX(請求記録!$AE$6:$AE$3005,$M156)="","",INDEX(請求記録!$AE$6:$AE$3005,$M156)))</f>
        <v/>
      </c>
      <c r="I156" s="20">
        <f>IF($M156="","",IF(INDEX(請求記録!$AF$6:$AF$3005,$M156)="","",INDEX(請求記録!$AF$6:$AF$3005,$M156)))</f>
        <v/>
      </c>
      <c r="J156">
        <f>IF($M156="","",IF(INDEX(請求記録!$AI$6:$AI$3005,$M156)="","",INDEX(請求記録!$AI$6:$AI$3005,$M156)))</f>
        <v/>
      </c>
      <c r="K156" s="20">
        <f>IF($M156="","",IF(INDEX(請求記録!$AH$6:$AH$3005,$M156)="","",INDEX(請求記録!$AH$6:$AH$3005,$M156)))</f>
        <v/>
      </c>
      <c r="L156">
        <f>IF($M156="","",IF(INDEX(請求記録!$AL$6:$AL$3005,$M156)="","",INDEX(請求記録!$AL$6:$AL$3005,$M156)))</f>
        <v/>
      </c>
      <c r="M156">
        <f>IFERROR(MATCH(151,請求記録!$AM$6:$AM$3005,0),"")</f>
        <v/>
      </c>
    </row>
    <row r="157">
      <c r="A157">
        <f>IF($M157="","",152)</f>
        <v/>
      </c>
      <c r="B157">
        <f>IF($M157="","",IF(INDEX(請求記録!$B$6:$B$3005,$M157)="","",INDEX(請求記録!$B$6:$B$3005,$M157)))</f>
        <v/>
      </c>
      <c r="C157">
        <f>IF($M157="","",IF(INDEX(請求記録!$V$6:$V$3005,$M157)="","",INDEX(請求記録!$V$6:$V$3005,$M157)))</f>
        <v/>
      </c>
      <c r="D157">
        <f>IF($M157="","",IF(INDEX(請求記録!$W$6:$W$3005,$M157)="","",INDEX(請求記録!$W$6:$W$3005,$M157)))</f>
        <v/>
      </c>
      <c r="E157">
        <f>IF($M157="","",IF(INDEX(請求記録!$X$6:$X$3005,$M157)="","",INDEX(請求記録!$X$6:$X$3005,$M157)))</f>
        <v/>
      </c>
      <c r="F157" s="19">
        <f>IF($M157="","",IF(INDEX(請求記録!$E$6:$E$3005,$M157)="","",INDEX(請求記録!$E$6:$E$3005,$M157)))</f>
        <v/>
      </c>
      <c r="G157" s="19">
        <f>IF($M157="","",IF(INDEX(請求記録!$AC$6:$AC$3005,$M157)="","",INDEX(請求記録!$AC$6:$AC$3005,$M157)))</f>
        <v/>
      </c>
      <c r="H157">
        <f>IF($M157="","",IF(INDEX(請求記録!$AE$6:$AE$3005,$M157)="","",INDEX(請求記録!$AE$6:$AE$3005,$M157)))</f>
        <v/>
      </c>
      <c r="I157" s="20">
        <f>IF($M157="","",IF(INDEX(請求記録!$AF$6:$AF$3005,$M157)="","",INDEX(請求記録!$AF$6:$AF$3005,$M157)))</f>
        <v/>
      </c>
      <c r="J157">
        <f>IF($M157="","",IF(INDEX(請求記録!$AI$6:$AI$3005,$M157)="","",INDEX(請求記録!$AI$6:$AI$3005,$M157)))</f>
        <v/>
      </c>
      <c r="K157" s="20">
        <f>IF($M157="","",IF(INDEX(請求記録!$AH$6:$AH$3005,$M157)="","",INDEX(請求記録!$AH$6:$AH$3005,$M157)))</f>
        <v/>
      </c>
      <c r="L157">
        <f>IF($M157="","",IF(INDEX(請求記録!$AL$6:$AL$3005,$M157)="","",INDEX(請求記録!$AL$6:$AL$3005,$M157)))</f>
        <v/>
      </c>
      <c r="M157">
        <f>IFERROR(MATCH(152,請求記録!$AM$6:$AM$3005,0),"")</f>
        <v/>
      </c>
    </row>
    <row r="158">
      <c r="A158">
        <f>IF($M158="","",153)</f>
        <v/>
      </c>
      <c r="B158">
        <f>IF($M158="","",IF(INDEX(請求記録!$B$6:$B$3005,$M158)="","",INDEX(請求記録!$B$6:$B$3005,$M158)))</f>
        <v/>
      </c>
      <c r="C158">
        <f>IF($M158="","",IF(INDEX(請求記録!$V$6:$V$3005,$M158)="","",INDEX(請求記録!$V$6:$V$3005,$M158)))</f>
        <v/>
      </c>
      <c r="D158">
        <f>IF($M158="","",IF(INDEX(請求記録!$W$6:$W$3005,$M158)="","",INDEX(請求記録!$W$6:$W$3005,$M158)))</f>
        <v/>
      </c>
      <c r="E158">
        <f>IF($M158="","",IF(INDEX(請求記録!$X$6:$X$3005,$M158)="","",INDEX(請求記録!$X$6:$X$3005,$M158)))</f>
        <v/>
      </c>
      <c r="F158" s="19">
        <f>IF($M158="","",IF(INDEX(請求記録!$E$6:$E$3005,$M158)="","",INDEX(請求記録!$E$6:$E$3005,$M158)))</f>
        <v/>
      </c>
      <c r="G158" s="19">
        <f>IF($M158="","",IF(INDEX(請求記録!$AC$6:$AC$3005,$M158)="","",INDEX(請求記録!$AC$6:$AC$3005,$M158)))</f>
        <v/>
      </c>
      <c r="H158">
        <f>IF($M158="","",IF(INDEX(請求記録!$AE$6:$AE$3005,$M158)="","",INDEX(請求記録!$AE$6:$AE$3005,$M158)))</f>
        <v/>
      </c>
      <c r="I158" s="20">
        <f>IF($M158="","",IF(INDEX(請求記録!$AF$6:$AF$3005,$M158)="","",INDEX(請求記録!$AF$6:$AF$3005,$M158)))</f>
        <v/>
      </c>
      <c r="J158">
        <f>IF($M158="","",IF(INDEX(請求記録!$AI$6:$AI$3005,$M158)="","",INDEX(請求記録!$AI$6:$AI$3005,$M158)))</f>
        <v/>
      </c>
      <c r="K158" s="20">
        <f>IF($M158="","",IF(INDEX(請求記録!$AH$6:$AH$3005,$M158)="","",INDEX(請求記録!$AH$6:$AH$3005,$M158)))</f>
        <v/>
      </c>
      <c r="L158">
        <f>IF($M158="","",IF(INDEX(請求記録!$AL$6:$AL$3005,$M158)="","",INDEX(請求記録!$AL$6:$AL$3005,$M158)))</f>
        <v/>
      </c>
      <c r="M158">
        <f>IFERROR(MATCH(153,請求記録!$AM$6:$AM$3005,0),"")</f>
        <v/>
      </c>
    </row>
    <row r="159">
      <c r="A159">
        <f>IF($M159="","",154)</f>
        <v/>
      </c>
      <c r="B159">
        <f>IF($M159="","",IF(INDEX(請求記録!$B$6:$B$3005,$M159)="","",INDEX(請求記録!$B$6:$B$3005,$M159)))</f>
        <v/>
      </c>
      <c r="C159">
        <f>IF($M159="","",IF(INDEX(請求記録!$V$6:$V$3005,$M159)="","",INDEX(請求記録!$V$6:$V$3005,$M159)))</f>
        <v/>
      </c>
      <c r="D159">
        <f>IF($M159="","",IF(INDEX(請求記録!$W$6:$W$3005,$M159)="","",INDEX(請求記録!$W$6:$W$3005,$M159)))</f>
        <v/>
      </c>
      <c r="E159">
        <f>IF($M159="","",IF(INDEX(請求記録!$X$6:$X$3005,$M159)="","",INDEX(請求記録!$X$6:$X$3005,$M159)))</f>
        <v/>
      </c>
      <c r="F159" s="19">
        <f>IF($M159="","",IF(INDEX(請求記録!$E$6:$E$3005,$M159)="","",INDEX(請求記録!$E$6:$E$3005,$M159)))</f>
        <v/>
      </c>
      <c r="G159" s="19">
        <f>IF($M159="","",IF(INDEX(請求記録!$AC$6:$AC$3005,$M159)="","",INDEX(請求記録!$AC$6:$AC$3005,$M159)))</f>
        <v/>
      </c>
      <c r="H159">
        <f>IF($M159="","",IF(INDEX(請求記録!$AE$6:$AE$3005,$M159)="","",INDEX(請求記録!$AE$6:$AE$3005,$M159)))</f>
        <v/>
      </c>
      <c r="I159" s="20">
        <f>IF($M159="","",IF(INDEX(請求記録!$AF$6:$AF$3005,$M159)="","",INDEX(請求記録!$AF$6:$AF$3005,$M159)))</f>
        <v/>
      </c>
      <c r="J159">
        <f>IF($M159="","",IF(INDEX(請求記録!$AI$6:$AI$3005,$M159)="","",INDEX(請求記録!$AI$6:$AI$3005,$M159)))</f>
        <v/>
      </c>
      <c r="K159" s="20">
        <f>IF($M159="","",IF(INDEX(請求記録!$AH$6:$AH$3005,$M159)="","",INDEX(請求記録!$AH$6:$AH$3005,$M159)))</f>
        <v/>
      </c>
      <c r="L159">
        <f>IF($M159="","",IF(INDEX(請求記録!$AL$6:$AL$3005,$M159)="","",INDEX(請求記録!$AL$6:$AL$3005,$M159)))</f>
        <v/>
      </c>
      <c r="M159">
        <f>IFERROR(MATCH(154,請求記録!$AM$6:$AM$3005,0),"")</f>
        <v/>
      </c>
    </row>
    <row r="160">
      <c r="A160">
        <f>IF($M160="","",155)</f>
        <v/>
      </c>
      <c r="B160">
        <f>IF($M160="","",IF(INDEX(請求記録!$B$6:$B$3005,$M160)="","",INDEX(請求記録!$B$6:$B$3005,$M160)))</f>
        <v/>
      </c>
      <c r="C160">
        <f>IF($M160="","",IF(INDEX(請求記録!$V$6:$V$3005,$M160)="","",INDEX(請求記録!$V$6:$V$3005,$M160)))</f>
        <v/>
      </c>
      <c r="D160">
        <f>IF($M160="","",IF(INDEX(請求記録!$W$6:$W$3005,$M160)="","",INDEX(請求記録!$W$6:$W$3005,$M160)))</f>
        <v/>
      </c>
      <c r="E160">
        <f>IF($M160="","",IF(INDEX(請求記録!$X$6:$X$3005,$M160)="","",INDEX(請求記録!$X$6:$X$3005,$M160)))</f>
        <v/>
      </c>
      <c r="F160" s="19">
        <f>IF($M160="","",IF(INDEX(請求記録!$E$6:$E$3005,$M160)="","",INDEX(請求記録!$E$6:$E$3005,$M160)))</f>
        <v/>
      </c>
      <c r="G160" s="19">
        <f>IF($M160="","",IF(INDEX(請求記録!$AC$6:$AC$3005,$M160)="","",INDEX(請求記録!$AC$6:$AC$3005,$M160)))</f>
        <v/>
      </c>
      <c r="H160">
        <f>IF($M160="","",IF(INDEX(請求記録!$AE$6:$AE$3005,$M160)="","",INDEX(請求記録!$AE$6:$AE$3005,$M160)))</f>
        <v/>
      </c>
      <c r="I160" s="20">
        <f>IF($M160="","",IF(INDEX(請求記録!$AF$6:$AF$3005,$M160)="","",INDEX(請求記録!$AF$6:$AF$3005,$M160)))</f>
        <v/>
      </c>
      <c r="J160">
        <f>IF($M160="","",IF(INDEX(請求記録!$AI$6:$AI$3005,$M160)="","",INDEX(請求記録!$AI$6:$AI$3005,$M160)))</f>
        <v/>
      </c>
      <c r="K160" s="20">
        <f>IF($M160="","",IF(INDEX(請求記録!$AH$6:$AH$3005,$M160)="","",INDEX(請求記録!$AH$6:$AH$3005,$M160)))</f>
        <v/>
      </c>
      <c r="L160">
        <f>IF($M160="","",IF(INDEX(請求記録!$AL$6:$AL$3005,$M160)="","",INDEX(請求記録!$AL$6:$AL$3005,$M160)))</f>
        <v/>
      </c>
      <c r="M160">
        <f>IFERROR(MATCH(155,請求記録!$AM$6:$AM$3005,0),"")</f>
        <v/>
      </c>
    </row>
    <row r="161">
      <c r="A161">
        <f>IF($M161="","",156)</f>
        <v/>
      </c>
      <c r="B161">
        <f>IF($M161="","",IF(INDEX(請求記録!$B$6:$B$3005,$M161)="","",INDEX(請求記録!$B$6:$B$3005,$M161)))</f>
        <v/>
      </c>
      <c r="C161">
        <f>IF($M161="","",IF(INDEX(請求記録!$V$6:$V$3005,$M161)="","",INDEX(請求記録!$V$6:$V$3005,$M161)))</f>
        <v/>
      </c>
      <c r="D161">
        <f>IF($M161="","",IF(INDEX(請求記録!$W$6:$W$3005,$M161)="","",INDEX(請求記録!$W$6:$W$3005,$M161)))</f>
        <v/>
      </c>
      <c r="E161">
        <f>IF($M161="","",IF(INDEX(請求記録!$X$6:$X$3005,$M161)="","",INDEX(請求記録!$X$6:$X$3005,$M161)))</f>
        <v/>
      </c>
      <c r="F161" s="19">
        <f>IF($M161="","",IF(INDEX(請求記録!$E$6:$E$3005,$M161)="","",INDEX(請求記録!$E$6:$E$3005,$M161)))</f>
        <v/>
      </c>
      <c r="G161" s="19">
        <f>IF($M161="","",IF(INDEX(請求記録!$AC$6:$AC$3005,$M161)="","",INDEX(請求記録!$AC$6:$AC$3005,$M161)))</f>
        <v/>
      </c>
      <c r="H161">
        <f>IF($M161="","",IF(INDEX(請求記録!$AE$6:$AE$3005,$M161)="","",INDEX(請求記録!$AE$6:$AE$3005,$M161)))</f>
        <v/>
      </c>
      <c r="I161" s="20">
        <f>IF($M161="","",IF(INDEX(請求記録!$AF$6:$AF$3005,$M161)="","",INDEX(請求記録!$AF$6:$AF$3005,$M161)))</f>
        <v/>
      </c>
      <c r="J161">
        <f>IF($M161="","",IF(INDEX(請求記録!$AI$6:$AI$3005,$M161)="","",INDEX(請求記録!$AI$6:$AI$3005,$M161)))</f>
        <v/>
      </c>
      <c r="K161" s="20">
        <f>IF($M161="","",IF(INDEX(請求記録!$AH$6:$AH$3005,$M161)="","",INDEX(請求記録!$AH$6:$AH$3005,$M161)))</f>
        <v/>
      </c>
      <c r="L161">
        <f>IF($M161="","",IF(INDEX(請求記録!$AL$6:$AL$3005,$M161)="","",INDEX(請求記録!$AL$6:$AL$3005,$M161)))</f>
        <v/>
      </c>
      <c r="M161">
        <f>IFERROR(MATCH(156,請求記録!$AM$6:$AM$3005,0),"")</f>
        <v/>
      </c>
    </row>
    <row r="162">
      <c r="A162">
        <f>IF($M162="","",157)</f>
        <v/>
      </c>
      <c r="B162">
        <f>IF($M162="","",IF(INDEX(請求記録!$B$6:$B$3005,$M162)="","",INDEX(請求記録!$B$6:$B$3005,$M162)))</f>
        <v/>
      </c>
      <c r="C162">
        <f>IF($M162="","",IF(INDEX(請求記録!$V$6:$V$3005,$M162)="","",INDEX(請求記録!$V$6:$V$3005,$M162)))</f>
        <v/>
      </c>
      <c r="D162">
        <f>IF($M162="","",IF(INDEX(請求記録!$W$6:$W$3005,$M162)="","",INDEX(請求記録!$W$6:$W$3005,$M162)))</f>
        <v/>
      </c>
      <c r="E162">
        <f>IF($M162="","",IF(INDEX(請求記録!$X$6:$X$3005,$M162)="","",INDEX(請求記録!$X$6:$X$3005,$M162)))</f>
        <v/>
      </c>
      <c r="F162" s="19">
        <f>IF($M162="","",IF(INDEX(請求記録!$E$6:$E$3005,$M162)="","",INDEX(請求記録!$E$6:$E$3005,$M162)))</f>
        <v/>
      </c>
      <c r="G162" s="19">
        <f>IF($M162="","",IF(INDEX(請求記録!$AC$6:$AC$3005,$M162)="","",INDEX(請求記録!$AC$6:$AC$3005,$M162)))</f>
        <v/>
      </c>
      <c r="H162">
        <f>IF($M162="","",IF(INDEX(請求記録!$AE$6:$AE$3005,$M162)="","",INDEX(請求記録!$AE$6:$AE$3005,$M162)))</f>
        <v/>
      </c>
      <c r="I162" s="20">
        <f>IF($M162="","",IF(INDEX(請求記録!$AF$6:$AF$3005,$M162)="","",INDEX(請求記録!$AF$6:$AF$3005,$M162)))</f>
        <v/>
      </c>
      <c r="J162">
        <f>IF($M162="","",IF(INDEX(請求記録!$AI$6:$AI$3005,$M162)="","",INDEX(請求記録!$AI$6:$AI$3005,$M162)))</f>
        <v/>
      </c>
      <c r="K162" s="20">
        <f>IF($M162="","",IF(INDEX(請求記録!$AH$6:$AH$3005,$M162)="","",INDEX(請求記録!$AH$6:$AH$3005,$M162)))</f>
        <v/>
      </c>
      <c r="L162">
        <f>IF($M162="","",IF(INDEX(請求記録!$AL$6:$AL$3005,$M162)="","",INDEX(請求記録!$AL$6:$AL$3005,$M162)))</f>
        <v/>
      </c>
      <c r="M162">
        <f>IFERROR(MATCH(157,請求記録!$AM$6:$AM$3005,0),"")</f>
        <v/>
      </c>
    </row>
    <row r="163">
      <c r="A163">
        <f>IF($M163="","",158)</f>
        <v/>
      </c>
      <c r="B163">
        <f>IF($M163="","",IF(INDEX(請求記録!$B$6:$B$3005,$M163)="","",INDEX(請求記録!$B$6:$B$3005,$M163)))</f>
        <v/>
      </c>
      <c r="C163">
        <f>IF($M163="","",IF(INDEX(請求記録!$V$6:$V$3005,$M163)="","",INDEX(請求記録!$V$6:$V$3005,$M163)))</f>
        <v/>
      </c>
      <c r="D163">
        <f>IF($M163="","",IF(INDEX(請求記録!$W$6:$W$3005,$M163)="","",INDEX(請求記録!$W$6:$W$3005,$M163)))</f>
        <v/>
      </c>
      <c r="E163">
        <f>IF($M163="","",IF(INDEX(請求記録!$X$6:$X$3005,$M163)="","",INDEX(請求記録!$X$6:$X$3005,$M163)))</f>
        <v/>
      </c>
      <c r="F163" s="19">
        <f>IF($M163="","",IF(INDEX(請求記録!$E$6:$E$3005,$M163)="","",INDEX(請求記録!$E$6:$E$3005,$M163)))</f>
        <v/>
      </c>
      <c r="G163" s="19">
        <f>IF($M163="","",IF(INDEX(請求記録!$AC$6:$AC$3005,$M163)="","",INDEX(請求記録!$AC$6:$AC$3005,$M163)))</f>
        <v/>
      </c>
      <c r="H163">
        <f>IF($M163="","",IF(INDEX(請求記録!$AE$6:$AE$3005,$M163)="","",INDEX(請求記録!$AE$6:$AE$3005,$M163)))</f>
        <v/>
      </c>
      <c r="I163" s="20">
        <f>IF($M163="","",IF(INDEX(請求記録!$AF$6:$AF$3005,$M163)="","",INDEX(請求記録!$AF$6:$AF$3005,$M163)))</f>
        <v/>
      </c>
      <c r="J163">
        <f>IF($M163="","",IF(INDEX(請求記録!$AI$6:$AI$3005,$M163)="","",INDEX(請求記録!$AI$6:$AI$3005,$M163)))</f>
        <v/>
      </c>
      <c r="K163" s="20">
        <f>IF($M163="","",IF(INDEX(請求記録!$AH$6:$AH$3005,$M163)="","",INDEX(請求記録!$AH$6:$AH$3005,$M163)))</f>
        <v/>
      </c>
      <c r="L163">
        <f>IF($M163="","",IF(INDEX(請求記録!$AL$6:$AL$3005,$M163)="","",INDEX(請求記録!$AL$6:$AL$3005,$M163)))</f>
        <v/>
      </c>
      <c r="M163">
        <f>IFERROR(MATCH(158,請求記録!$AM$6:$AM$3005,0),"")</f>
        <v/>
      </c>
    </row>
    <row r="164">
      <c r="A164">
        <f>IF($M164="","",159)</f>
        <v/>
      </c>
      <c r="B164">
        <f>IF($M164="","",IF(INDEX(請求記録!$B$6:$B$3005,$M164)="","",INDEX(請求記録!$B$6:$B$3005,$M164)))</f>
        <v/>
      </c>
      <c r="C164">
        <f>IF($M164="","",IF(INDEX(請求記録!$V$6:$V$3005,$M164)="","",INDEX(請求記録!$V$6:$V$3005,$M164)))</f>
        <v/>
      </c>
      <c r="D164">
        <f>IF($M164="","",IF(INDEX(請求記録!$W$6:$W$3005,$M164)="","",INDEX(請求記録!$W$6:$W$3005,$M164)))</f>
        <v/>
      </c>
      <c r="E164">
        <f>IF($M164="","",IF(INDEX(請求記録!$X$6:$X$3005,$M164)="","",INDEX(請求記録!$X$6:$X$3005,$M164)))</f>
        <v/>
      </c>
      <c r="F164" s="19">
        <f>IF($M164="","",IF(INDEX(請求記録!$E$6:$E$3005,$M164)="","",INDEX(請求記録!$E$6:$E$3005,$M164)))</f>
        <v/>
      </c>
      <c r="G164" s="19">
        <f>IF($M164="","",IF(INDEX(請求記録!$AC$6:$AC$3005,$M164)="","",INDEX(請求記録!$AC$6:$AC$3005,$M164)))</f>
        <v/>
      </c>
      <c r="H164">
        <f>IF($M164="","",IF(INDEX(請求記録!$AE$6:$AE$3005,$M164)="","",INDEX(請求記録!$AE$6:$AE$3005,$M164)))</f>
        <v/>
      </c>
      <c r="I164" s="20">
        <f>IF($M164="","",IF(INDEX(請求記録!$AF$6:$AF$3005,$M164)="","",INDEX(請求記録!$AF$6:$AF$3005,$M164)))</f>
        <v/>
      </c>
      <c r="J164">
        <f>IF($M164="","",IF(INDEX(請求記録!$AI$6:$AI$3005,$M164)="","",INDEX(請求記録!$AI$6:$AI$3005,$M164)))</f>
        <v/>
      </c>
      <c r="K164" s="20">
        <f>IF($M164="","",IF(INDEX(請求記録!$AH$6:$AH$3005,$M164)="","",INDEX(請求記録!$AH$6:$AH$3005,$M164)))</f>
        <v/>
      </c>
      <c r="L164">
        <f>IF($M164="","",IF(INDEX(請求記録!$AL$6:$AL$3005,$M164)="","",INDEX(請求記録!$AL$6:$AL$3005,$M164)))</f>
        <v/>
      </c>
      <c r="M164">
        <f>IFERROR(MATCH(159,請求記録!$AM$6:$AM$3005,0),"")</f>
        <v/>
      </c>
    </row>
    <row r="165">
      <c r="A165">
        <f>IF($M165="","",160)</f>
        <v/>
      </c>
      <c r="B165">
        <f>IF($M165="","",IF(INDEX(請求記録!$B$6:$B$3005,$M165)="","",INDEX(請求記録!$B$6:$B$3005,$M165)))</f>
        <v/>
      </c>
      <c r="C165">
        <f>IF($M165="","",IF(INDEX(請求記録!$V$6:$V$3005,$M165)="","",INDEX(請求記録!$V$6:$V$3005,$M165)))</f>
        <v/>
      </c>
      <c r="D165">
        <f>IF($M165="","",IF(INDEX(請求記録!$W$6:$W$3005,$M165)="","",INDEX(請求記録!$W$6:$W$3005,$M165)))</f>
        <v/>
      </c>
      <c r="E165">
        <f>IF($M165="","",IF(INDEX(請求記録!$X$6:$X$3005,$M165)="","",INDEX(請求記録!$X$6:$X$3005,$M165)))</f>
        <v/>
      </c>
      <c r="F165" s="19">
        <f>IF($M165="","",IF(INDEX(請求記録!$E$6:$E$3005,$M165)="","",INDEX(請求記録!$E$6:$E$3005,$M165)))</f>
        <v/>
      </c>
      <c r="G165" s="19">
        <f>IF($M165="","",IF(INDEX(請求記録!$AC$6:$AC$3005,$M165)="","",INDEX(請求記録!$AC$6:$AC$3005,$M165)))</f>
        <v/>
      </c>
      <c r="H165">
        <f>IF($M165="","",IF(INDEX(請求記録!$AE$6:$AE$3005,$M165)="","",INDEX(請求記録!$AE$6:$AE$3005,$M165)))</f>
        <v/>
      </c>
      <c r="I165" s="20">
        <f>IF($M165="","",IF(INDEX(請求記録!$AF$6:$AF$3005,$M165)="","",INDEX(請求記録!$AF$6:$AF$3005,$M165)))</f>
        <v/>
      </c>
      <c r="J165">
        <f>IF($M165="","",IF(INDEX(請求記録!$AI$6:$AI$3005,$M165)="","",INDEX(請求記録!$AI$6:$AI$3005,$M165)))</f>
        <v/>
      </c>
      <c r="K165" s="20">
        <f>IF($M165="","",IF(INDEX(請求記録!$AH$6:$AH$3005,$M165)="","",INDEX(請求記録!$AH$6:$AH$3005,$M165)))</f>
        <v/>
      </c>
      <c r="L165">
        <f>IF($M165="","",IF(INDEX(請求記録!$AL$6:$AL$3005,$M165)="","",INDEX(請求記録!$AL$6:$AL$3005,$M165)))</f>
        <v/>
      </c>
      <c r="M165">
        <f>IFERROR(MATCH(160,請求記録!$AM$6:$AM$3005,0),"")</f>
        <v/>
      </c>
    </row>
    <row r="166">
      <c r="A166">
        <f>IF($M166="","",161)</f>
        <v/>
      </c>
      <c r="B166">
        <f>IF($M166="","",IF(INDEX(請求記録!$B$6:$B$3005,$M166)="","",INDEX(請求記録!$B$6:$B$3005,$M166)))</f>
        <v/>
      </c>
      <c r="C166">
        <f>IF($M166="","",IF(INDEX(請求記録!$V$6:$V$3005,$M166)="","",INDEX(請求記録!$V$6:$V$3005,$M166)))</f>
        <v/>
      </c>
      <c r="D166">
        <f>IF($M166="","",IF(INDEX(請求記録!$W$6:$W$3005,$M166)="","",INDEX(請求記録!$W$6:$W$3005,$M166)))</f>
        <v/>
      </c>
      <c r="E166">
        <f>IF($M166="","",IF(INDEX(請求記録!$X$6:$X$3005,$M166)="","",INDEX(請求記録!$X$6:$X$3005,$M166)))</f>
        <v/>
      </c>
      <c r="F166" s="19">
        <f>IF($M166="","",IF(INDEX(請求記録!$E$6:$E$3005,$M166)="","",INDEX(請求記録!$E$6:$E$3005,$M166)))</f>
        <v/>
      </c>
      <c r="G166" s="19">
        <f>IF($M166="","",IF(INDEX(請求記録!$AC$6:$AC$3005,$M166)="","",INDEX(請求記録!$AC$6:$AC$3005,$M166)))</f>
        <v/>
      </c>
      <c r="H166">
        <f>IF($M166="","",IF(INDEX(請求記録!$AE$6:$AE$3005,$M166)="","",INDEX(請求記録!$AE$6:$AE$3005,$M166)))</f>
        <v/>
      </c>
      <c r="I166" s="20">
        <f>IF($M166="","",IF(INDEX(請求記録!$AF$6:$AF$3005,$M166)="","",INDEX(請求記録!$AF$6:$AF$3005,$M166)))</f>
        <v/>
      </c>
      <c r="J166">
        <f>IF($M166="","",IF(INDEX(請求記録!$AI$6:$AI$3005,$M166)="","",INDEX(請求記録!$AI$6:$AI$3005,$M166)))</f>
        <v/>
      </c>
      <c r="K166" s="20">
        <f>IF($M166="","",IF(INDEX(請求記録!$AH$6:$AH$3005,$M166)="","",INDEX(請求記録!$AH$6:$AH$3005,$M166)))</f>
        <v/>
      </c>
      <c r="L166">
        <f>IF($M166="","",IF(INDEX(請求記録!$AL$6:$AL$3005,$M166)="","",INDEX(請求記録!$AL$6:$AL$3005,$M166)))</f>
        <v/>
      </c>
      <c r="M166">
        <f>IFERROR(MATCH(161,請求記録!$AM$6:$AM$3005,0),"")</f>
        <v/>
      </c>
    </row>
    <row r="167">
      <c r="A167">
        <f>IF($M167="","",162)</f>
        <v/>
      </c>
      <c r="B167">
        <f>IF($M167="","",IF(INDEX(請求記録!$B$6:$B$3005,$M167)="","",INDEX(請求記録!$B$6:$B$3005,$M167)))</f>
        <v/>
      </c>
      <c r="C167">
        <f>IF($M167="","",IF(INDEX(請求記録!$V$6:$V$3005,$M167)="","",INDEX(請求記録!$V$6:$V$3005,$M167)))</f>
        <v/>
      </c>
      <c r="D167">
        <f>IF($M167="","",IF(INDEX(請求記録!$W$6:$W$3005,$M167)="","",INDEX(請求記録!$W$6:$W$3005,$M167)))</f>
        <v/>
      </c>
      <c r="E167">
        <f>IF($M167="","",IF(INDEX(請求記録!$X$6:$X$3005,$M167)="","",INDEX(請求記録!$X$6:$X$3005,$M167)))</f>
        <v/>
      </c>
      <c r="F167" s="19">
        <f>IF($M167="","",IF(INDEX(請求記録!$E$6:$E$3005,$M167)="","",INDEX(請求記録!$E$6:$E$3005,$M167)))</f>
        <v/>
      </c>
      <c r="G167" s="19">
        <f>IF($M167="","",IF(INDEX(請求記録!$AC$6:$AC$3005,$M167)="","",INDEX(請求記録!$AC$6:$AC$3005,$M167)))</f>
        <v/>
      </c>
      <c r="H167">
        <f>IF($M167="","",IF(INDEX(請求記録!$AE$6:$AE$3005,$M167)="","",INDEX(請求記録!$AE$6:$AE$3005,$M167)))</f>
        <v/>
      </c>
      <c r="I167" s="20">
        <f>IF($M167="","",IF(INDEX(請求記録!$AF$6:$AF$3005,$M167)="","",INDEX(請求記録!$AF$6:$AF$3005,$M167)))</f>
        <v/>
      </c>
      <c r="J167">
        <f>IF($M167="","",IF(INDEX(請求記録!$AI$6:$AI$3005,$M167)="","",INDEX(請求記録!$AI$6:$AI$3005,$M167)))</f>
        <v/>
      </c>
      <c r="K167" s="20">
        <f>IF($M167="","",IF(INDEX(請求記録!$AH$6:$AH$3005,$M167)="","",INDEX(請求記録!$AH$6:$AH$3005,$M167)))</f>
        <v/>
      </c>
      <c r="L167">
        <f>IF($M167="","",IF(INDEX(請求記録!$AL$6:$AL$3005,$M167)="","",INDEX(請求記録!$AL$6:$AL$3005,$M167)))</f>
        <v/>
      </c>
      <c r="M167">
        <f>IFERROR(MATCH(162,請求記録!$AM$6:$AM$3005,0),"")</f>
        <v/>
      </c>
    </row>
    <row r="168">
      <c r="A168">
        <f>IF($M168="","",163)</f>
        <v/>
      </c>
      <c r="B168">
        <f>IF($M168="","",IF(INDEX(請求記録!$B$6:$B$3005,$M168)="","",INDEX(請求記録!$B$6:$B$3005,$M168)))</f>
        <v/>
      </c>
      <c r="C168">
        <f>IF($M168="","",IF(INDEX(請求記録!$V$6:$V$3005,$M168)="","",INDEX(請求記録!$V$6:$V$3005,$M168)))</f>
        <v/>
      </c>
      <c r="D168">
        <f>IF($M168="","",IF(INDEX(請求記録!$W$6:$W$3005,$M168)="","",INDEX(請求記録!$W$6:$W$3005,$M168)))</f>
        <v/>
      </c>
      <c r="E168">
        <f>IF($M168="","",IF(INDEX(請求記録!$X$6:$X$3005,$M168)="","",INDEX(請求記録!$X$6:$X$3005,$M168)))</f>
        <v/>
      </c>
      <c r="F168" s="19">
        <f>IF($M168="","",IF(INDEX(請求記録!$E$6:$E$3005,$M168)="","",INDEX(請求記録!$E$6:$E$3005,$M168)))</f>
        <v/>
      </c>
      <c r="G168" s="19">
        <f>IF($M168="","",IF(INDEX(請求記録!$AC$6:$AC$3005,$M168)="","",INDEX(請求記録!$AC$6:$AC$3005,$M168)))</f>
        <v/>
      </c>
      <c r="H168">
        <f>IF($M168="","",IF(INDEX(請求記録!$AE$6:$AE$3005,$M168)="","",INDEX(請求記録!$AE$6:$AE$3005,$M168)))</f>
        <v/>
      </c>
      <c r="I168" s="20">
        <f>IF($M168="","",IF(INDEX(請求記録!$AF$6:$AF$3005,$M168)="","",INDEX(請求記録!$AF$6:$AF$3005,$M168)))</f>
        <v/>
      </c>
      <c r="J168">
        <f>IF($M168="","",IF(INDEX(請求記録!$AI$6:$AI$3005,$M168)="","",INDEX(請求記録!$AI$6:$AI$3005,$M168)))</f>
        <v/>
      </c>
      <c r="K168" s="20">
        <f>IF($M168="","",IF(INDEX(請求記録!$AH$6:$AH$3005,$M168)="","",INDEX(請求記録!$AH$6:$AH$3005,$M168)))</f>
        <v/>
      </c>
      <c r="L168">
        <f>IF($M168="","",IF(INDEX(請求記録!$AL$6:$AL$3005,$M168)="","",INDEX(請求記録!$AL$6:$AL$3005,$M168)))</f>
        <v/>
      </c>
      <c r="M168">
        <f>IFERROR(MATCH(163,請求記録!$AM$6:$AM$3005,0),"")</f>
        <v/>
      </c>
    </row>
    <row r="169">
      <c r="A169">
        <f>IF($M169="","",164)</f>
        <v/>
      </c>
      <c r="B169">
        <f>IF($M169="","",IF(INDEX(請求記録!$B$6:$B$3005,$M169)="","",INDEX(請求記録!$B$6:$B$3005,$M169)))</f>
        <v/>
      </c>
      <c r="C169">
        <f>IF($M169="","",IF(INDEX(請求記録!$V$6:$V$3005,$M169)="","",INDEX(請求記録!$V$6:$V$3005,$M169)))</f>
        <v/>
      </c>
      <c r="D169">
        <f>IF($M169="","",IF(INDEX(請求記録!$W$6:$W$3005,$M169)="","",INDEX(請求記録!$W$6:$W$3005,$M169)))</f>
        <v/>
      </c>
      <c r="E169">
        <f>IF($M169="","",IF(INDEX(請求記録!$X$6:$X$3005,$M169)="","",INDEX(請求記録!$X$6:$X$3005,$M169)))</f>
        <v/>
      </c>
      <c r="F169" s="19">
        <f>IF($M169="","",IF(INDEX(請求記録!$E$6:$E$3005,$M169)="","",INDEX(請求記録!$E$6:$E$3005,$M169)))</f>
        <v/>
      </c>
      <c r="G169" s="19">
        <f>IF($M169="","",IF(INDEX(請求記録!$AC$6:$AC$3005,$M169)="","",INDEX(請求記録!$AC$6:$AC$3005,$M169)))</f>
        <v/>
      </c>
      <c r="H169">
        <f>IF($M169="","",IF(INDEX(請求記録!$AE$6:$AE$3005,$M169)="","",INDEX(請求記録!$AE$6:$AE$3005,$M169)))</f>
        <v/>
      </c>
      <c r="I169" s="20">
        <f>IF($M169="","",IF(INDEX(請求記録!$AF$6:$AF$3005,$M169)="","",INDEX(請求記録!$AF$6:$AF$3005,$M169)))</f>
        <v/>
      </c>
      <c r="J169">
        <f>IF($M169="","",IF(INDEX(請求記録!$AI$6:$AI$3005,$M169)="","",INDEX(請求記録!$AI$6:$AI$3005,$M169)))</f>
        <v/>
      </c>
      <c r="K169" s="20">
        <f>IF($M169="","",IF(INDEX(請求記録!$AH$6:$AH$3005,$M169)="","",INDEX(請求記録!$AH$6:$AH$3005,$M169)))</f>
        <v/>
      </c>
      <c r="L169">
        <f>IF($M169="","",IF(INDEX(請求記録!$AL$6:$AL$3005,$M169)="","",INDEX(請求記録!$AL$6:$AL$3005,$M169)))</f>
        <v/>
      </c>
      <c r="M169">
        <f>IFERROR(MATCH(164,請求記録!$AM$6:$AM$3005,0),"")</f>
        <v/>
      </c>
    </row>
    <row r="170">
      <c r="A170">
        <f>IF($M170="","",165)</f>
        <v/>
      </c>
      <c r="B170">
        <f>IF($M170="","",IF(INDEX(請求記録!$B$6:$B$3005,$M170)="","",INDEX(請求記録!$B$6:$B$3005,$M170)))</f>
        <v/>
      </c>
      <c r="C170">
        <f>IF($M170="","",IF(INDEX(請求記録!$V$6:$V$3005,$M170)="","",INDEX(請求記録!$V$6:$V$3005,$M170)))</f>
        <v/>
      </c>
      <c r="D170">
        <f>IF($M170="","",IF(INDEX(請求記録!$W$6:$W$3005,$M170)="","",INDEX(請求記録!$W$6:$W$3005,$M170)))</f>
        <v/>
      </c>
      <c r="E170">
        <f>IF($M170="","",IF(INDEX(請求記録!$X$6:$X$3005,$M170)="","",INDEX(請求記録!$X$6:$X$3005,$M170)))</f>
        <v/>
      </c>
      <c r="F170" s="19">
        <f>IF($M170="","",IF(INDEX(請求記録!$E$6:$E$3005,$M170)="","",INDEX(請求記録!$E$6:$E$3005,$M170)))</f>
        <v/>
      </c>
      <c r="G170" s="19">
        <f>IF($M170="","",IF(INDEX(請求記録!$AC$6:$AC$3005,$M170)="","",INDEX(請求記録!$AC$6:$AC$3005,$M170)))</f>
        <v/>
      </c>
      <c r="H170">
        <f>IF($M170="","",IF(INDEX(請求記録!$AE$6:$AE$3005,$M170)="","",INDEX(請求記録!$AE$6:$AE$3005,$M170)))</f>
        <v/>
      </c>
      <c r="I170" s="20">
        <f>IF($M170="","",IF(INDEX(請求記録!$AF$6:$AF$3005,$M170)="","",INDEX(請求記録!$AF$6:$AF$3005,$M170)))</f>
        <v/>
      </c>
      <c r="J170">
        <f>IF($M170="","",IF(INDEX(請求記録!$AI$6:$AI$3005,$M170)="","",INDEX(請求記録!$AI$6:$AI$3005,$M170)))</f>
        <v/>
      </c>
      <c r="K170" s="20">
        <f>IF($M170="","",IF(INDEX(請求記録!$AH$6:$AH$3005,$M170)="","",INDEX(請求記録!$AH$6:$AH$3005,$M170)))</f>
        <v/>
      </c>
      <c r="L170">
        <f>IF($M170="","",IF(INDEX(請求記録!$AL$6:$AL$3005,$M170)="","",INDEX(請求記録!$AL$6:$AL$3005,$M170)))</f>
        <v/>
      </c>
      <c r="M170">
        <f>IFERROR(MATCH(165,請求記録!$AM$6:$AM$3005,0),"")</f>
        <v/>
      </c>
    </row>
    <row r="171">
      <c r="A171">
        <f>IF($M171="","",166)</f>
        <v/>
      </c>
      <c r="B171">
        <f>IF($M171="","",IF(INDEX(請求記録!$B$6:$B$3005,$M171)="","",INDEX(請求記録!$B$6:$B$3005,$M171)))</f>
        <v/>
      </c>
      <c r="C171">
        <f>IF($M171="","",IF(INDEX(請求記録!$V$6:$V$3005,$M171)="","",INDEX(請求記録!$V$6:$V$3005,$M171)))</f>
        <v/>
      </c>
      <c r="D171">
        <f>IF($M171="","",IF(INDEX(請求記録!$W$6:$W$3005,$M171)="","",INDEX(請求記録!$W$6:$W$3005,$M171)))</f>
        <v/>
      </c>
      <c r="E171">
        <f>IF($M171="","",IF(INDEX(請求記録!$X$6:$X$3005,$M171)="","",INDEX(請求記録!$X$6:$X$3005,$M171)))</f>
        <v/>
      </c>
      <c r="F171" s="19">
        <f>IF($M171="","",IF(INDEX(請求記録!$E$6:$E$3005,$M171)="","",INDEX(請求記録!$E$6:$E$3005,$M171)))</f>
        <v/>
      </c>
      <c r="G171" s="19">
        <f>IF($M171="","",IF(INDEX(請求記録!$AC$6:$AC$3005,$M171)="","",INDEX(請求記録!$AC$6:$AC$3005,$M171)))</f>
        <v/>
      </c>
      <c r="H171">
        <f>IF($M171="","",IF(INDEX(請求記録!$AE$6:$AE$3005,$M171)="","",INDEX(請求記録!$AE$6:$AE$3005,$M171)))</f>
        <v/>
      </c>
      <c r="I171" s="20">
        <f>IF($M171="","",IF(INDEX(請求記録!$AF$6:$AF$3005,$M171)="","",INDEX(請求記録!$AF$6:$AF$3005,$M171)))</f>
        <v/>
      </c>
      <c r="J171">
        <f>IF($M171="","",IF(INDEX(請求記録!$AI$6:$AI$3005,$M171)="","",INDEX(請求記録!$AI$6:$AI$3005,$M171)))</f>
        <v/>
      </c>
      <c r="K171" s="20">
        <f>IF($M171="","",IF(INDEX(請求記録!$AH$6:$AH$3005,$M171)="","",INDEX(請求記録!$AH$6:$AH$3005,$M171)))</f>
        <v/>
      </c>
      <c r="L171">
        <f>IF($M171="","",IF(INDEX(請求記録!$AL$6:$AL$3005,$M171)="","",INDEX(請求記録!$AL$6:$AL$3005,$M171)))</f>
        <v/>
      </c>
      <c r="M171">
        <f>IFERROR(MATCH(166,請求記録!$AM$6:$AM$3005,0),"")</f>
        <v/>
      </c>
    </row>
    <row r="172">
      <c r="A172">
        <f>IF($M172="","",167)</f>
        <v/>
      </c>
      <c r="B172">
        <f>IF($M172="","",IF(INDEX(請求記録!$B$6:$B$3005,$M172)="","",INDEX(請求記録!$B$6:$B$3005,$M172)))</f>
        <v/>
      </c>
      <c r="C172">
        <f>IF($M172="","",IF(INDEX(請求記録!$V$6:$V$3005,$M172)="","",INDEX(請求記録!$V$6:$V$3005,$M172)))</f>
        <v/>
      </c>
      <c r="D172">
        <f>IF($M172="","",IF(INDEX(請求記録!$W$6:$W$3005,$M172)="","",INDEX(請求記録!$W$6:$W$3005,$M172)))</f>
        <v/>
      </c>
      <c r="E172">
        <f>IF($M172="","",IF(INDEX(請求記録!$X$6:$X$3005,$M172)="","",INDEX(請求記録!$X$6:$X$3005,$M172)))</f>
        <v/>
      </c>
      <c r="F172" s="19">
        <f>IF($M172="","",IF(INDEX(請求記録!$E$6:$E$3005,$M172)="","",INDEX(請求記録!$E$6:$E$3005,$M172)))</f>
        <v/>
      </c>
      <c r="G172" s="19">
        <f>IF($M172="","",IF(INDEX(請求記録!$AC$6:$AC$3005,$M172)="","",INDEX(請求記録!$AC$6:$AC$3005,$M172)))</f>
        <v/>
      </c>
      <c r="H172">
        <f>IF($M172="","",IF(INDEX(請求記録!$AE$6:$AE$3005,$M172)="","",INDEX(請求記録!$AE$6:$AE$3005,$M172)))</f>
        <v/>
      </c>
      <c r="I172" s="20">
        <f>IF($M172="","",IF(INDEX(請求記録!$AF$6:$AF$3005,$M172)="","",INDEX(請求記録!$AF$6:$AF$3005,$M172)))</f>
        <v/>
      </c>
      <c r="J172">
        <f>IF($M172="","",IF(INDEX(請求記録!$AI$6:$AI$3005,$M172)="","",INDEX(請求記録!$AI$6:$AI$3005,$M172)))</f>
        <v/>
      </c>
      <c r="K172" s="20">
        <f>IF($M172="","",IF(INDEX(請求記録!$AH$6:$AH$3005,$M172)="","",INDEX(請求記録!$AH$6:$AH$3005,$M172)))</f>
        <v/>
      </c>
      <c r="L172">
        <f>IF($M172="","",IF(INDEX(請求記録!$AL$6:$AL$3005,$M172)="","",INDEX(請求記録!$AL$6:$AL$3005,$M172)))</f>
        <v/>
      </c>
      <c r="M172">
        <f>IFERROR(MATCH(167,請求記録!$AM$6:$AM$3005,0),"")</f>
        <v/>
      </c>
    </row>
    <row r="173">
      <c r="A173">
        <f>IF($M173="","",168)</f>
        <v/>
      </c>
      <c r="B173">
        <f>IF($M173="","",IF(INDEX(請求記録!$B$6:$B$3005,$M173)="","",INDEX(請求記録!$B$6:$B$3005,$M173)))</f>
        <v/>
      </c>
      <c r="C173">
        <f>IF($M173="","",IF(INDEX(請求記録!$V$6:$V$3005,$M173)="","",INDEX(請求記録!$V$6:$V$3005,$M173)))</f>
        <v/>
      </c>
      <c r="D173">
        <f>IF($M173="","",IF(INDEX(請求記録!$W$6:$W$3005,$M173)="","",INDEX(請求記録!$W$6:$W$3005,$M173)))</f>
        <v/>
      </c>
      <c r="E173">
        <f>IF($M173="","",IF(INDEX(請求記録!$X$6:$X$3005,$M173)="","",INDEX(請求記録!$X$6:$X$3005,$M173)))</f>
        <v/>
      </c>
      <c r="F173" s="19">
        <f>IF($M173="","",IF(INDEX(請求記録!$E$6:$E$3005,$M173)="","",INDEX(請求記録!$E$6:$E$3005,$M173)))</f>
        <v/>
      </c>
      <c r="G173" s="19">
        <f>IF($M173="","",IF(INDEX(請求記録!$AC$6:$AC$3005,$M173)="","",INDEX(請求記録!$AC$6:$AC$3005,$M173)))</f>
        <v/>
      </c>
      <c r="H173">
        <f>IF($M173="","",IF(INDEX(請求記録!$AE$6:$AE$3005,$M173)="","",INDEX(請求記録!$AE$6:$AE$3005,$M173)))</f>
        <v/>
      </c>
      <c r="I173" s="20">
        <f>IF($M173="","",IF(INDEX(請求記録!$AF$6:$AF$3005,$M173)="","",INDEX(請求記録!$AF$6:$AF$3005,$M173)))</f>
        <v/>
      </c>
      <c r="J173">
        <f>IF($M173="","",IF(INDEX(請求記録!$AI$6:$AI$3005,$M173)="","",INDEX(請求記録!$AI$6:$AI$3005,$M173)))</f>
        <v/>
      </c>
      <c r="K173" s="20">
        <f>IF($M173="","",IF(INDEX(請求記録!$AH$6:$AH$3005,$M173)="","",INDEX(請求記録!$AH$6:$AH$3005,$M173)))</f>
        <v/>
      </c>
      <c r="L173">
        <f>IF($M173="","",IF(INDEX(請求記録!$AL$6:$AL$3005,$M173)="","",INDEX(請求記録!$AL$6:$AL$3005,$M173)))</f>
        <v/>
      </c>
      <c r="M173">
        <f>IFERROR(MATCH(168,請求記録!$AM$6:$AM$3005,0),"")</f>
        <v/>
      </c>
    </row>
    <row r="174">
      <c r="A174">
        <f>IF($M174="","",169)</f>
        <v/>
      </c>
      <c r="B174">
        <f>IF($M174="","",IF(INDEX(請求記録!$B$6:$B$3005,$M174)="","",INDEX(請求記録!$B$6:$B$3005,$M174)))</f>
        <v/>
      </c>
      <c r="C174">
        <f>IF($M174="","",IF(INDEX(請求記録!$V$6:$V$3005,$M174)="","",INDEX(請求記録!$V$6:$V$3005,$M174)))</f>
        <v/>
      </c>
      <c r="D174">
        <f>IF($M174="","",IF(INDEX(請求記録!$W$6:$W$3005,$M174)="","",INDEX(請求記録!$W$6:$W$3005,$M174)))</f>
        <v/>
      </c>
      <c r="E174">
        <f>IF($M174="","",IF(INDEX(請求記録!$X$6:$X$3005,$M174)="","",INDEX(請求記録!$X$6:$X$3005,$M174)))</f>
        <v/>
      </c>
      <c r="F174" s="19">
        <f>IF($M174="","",IF(INDEX(請求記録!$E$6:$E$3005,$M174)="","",INDEX(請求記録!$E$6:$E$3005,$M174)))</f>
        <v/>
      </c>
      <c r="G174" s="19">
        <f>IF($M174="","",IF(INDEX(請求記録!$AC$6:$AC$3005,$M174)="","",INDEX(請求記録!$AC$6:$AC$3005,$M174)))</f>
        <v/>
      </c>
      <c r="H174">
        <f>IF($M174="","",IF(INDEX(請求記録!$AE$6:$AE$3005,$M174)="","",INDEX(請求記録!$AE$6:$AE$3005,$M174)))</f>
        <v/>
      </c>
      <c r="I174" s="20">
        <f>IF($M174="","",IF(INDEX(請求記録!$AF$6:$AF$3005,$M174)="","",INDEX(請求記録!$AF$6:$AF$3005,$M174)))</f>
        <v/>
      </c>
      <c r="J174">
        <f>IF($M174="","",IF(INDEX(請求記録!$AI$6:$AI$3005,$M174)="","",INDEX(請求記録!$AI$6:$AI$3005,$M174)))</f>
        <v/>
      </c>
      <c r="K174" s="20">
        <f>IF($M174="","",IF(INDEX(請求記録!$AH$6:$AH$3005,$M174)="","",INDEX(請求記録!$AH$6:$AH$3005,$M174)))</f>
        <v/>
      </c>
      <c r="L174">
        <f>IF($M174="","",IF(INDEX(請求記録!$AL$6:$AL$3005,$M174)="","",INDEX(請求記録!$AL$6:$AL$3005,$M174)))</f>
        <v/>
      </c>
      <c r="M174">
        <f>IFERROR(MATCH(169,請求記録!$AM$6:$AM$3005,0),"")</f>
        <v/>
      </c>
    </row>
    <row r="175">
      <c r="A175">
        <f>IF($M175="","",170)</f>
        <v/>
      </c>
      <c r="B175">
        <f>IF($M175="","",IF(INDEX(請求記録!$B$6:$B$3005,$M175)="","",INDEX(請求記録!$B$6:$B$3005,$M175)))</f>
        <v/>
      </c>
      <c r="C175">
        <f>IF($M175="","",IF(INDEX(請求記録!$V$6:$V$3005,$M175)="","",INDEX(請求記録!$V$6:$V$3005,$M175)))</f>
        <v/>
      </c>
      <c r="D175">
        <f>IF($M175="","",IF(INDEX(請求記録!$W$6:$W$3005,$M175)="","",INDEX(請求記録!$W$6:$W$3005,$M175)))</f>
        <v/>
      </c>
      <c r="E175">
        <f>IF($M175="","",IF(INDEX(請求記録!$X$6:$X$3005,$M175)="","",INDEX(請求記録!$X$6:$X$3005,$M175)))</f>
        <v/>
      </c>
      <c r="F175" s="19">
        <f>IF($M175="","",IF(INDEX(請求記録!$E$6:$E$3005,$M175)="","",INDEX(請求記録!$E$6:$E$3005,$M175)))</f>
        <v/>
      </c>
      <c r="G175" s="19">
        <f>IF($M175="","",IF(INDEX(請求記録!$AC$6:$AC$3005,$M175)="","",INDEX(請求記録!$AC$6:$AC$3005,$M175)))</f>
        <v/>
      </c>
      <c r="H175">
        <f>IF($M175="","",IF(INDEX(請求記録!$AE$6:$AE$3005,$M175)="","",INDEX(請求記録!$AE$6:$AE$3005,$M175)))</f>
        <v/>
      </c>
      <c r="I175" s="20">
        <f>IF($M175="","",IF(INDEX(請求記録!$AF$6:$AF$3005,$M175)="","",INDEX(請求記録!$AF$6:$AF$3005,$M175)))</f>
        <v/>
      </c>
      <c r="J175">
        <f>IF($M175="","",IF(INDEX(請求記録!$AI$6:$AI$3005,$M175)="","",INDEX(請求記録!$AI$6:$AI$3005,$M175)))</f>
        <v/>
      </c>
      <c r="K175" s="20">
        <f>IF($M175="","",IF(INDEX(請求記録!$AH$6:$AH$3005,$M175)="","",INDEX(請求記録!$AH$6:$AH$3005,$M175)))</f>
        <v/>
      </c>
      <c r="L175">
        <f>IF($M175="","",IF(INDEX(請求記録!$AL$6:$AL$3005,$M175)="","",INDEX(請求記録!$AL$6:$AL$3005,$M175)))</f>
        <v/>
      </c>
      <c r="M175">
        <f>IFERROR(MATCH(170,請求記録!$AM$6:$AM$3005,0),"")</f>
        <v/>
      </c>
    </row>
    <row r="176">
      <c r="A176">
        <f>IF($M176="","",171)</f>
        <v/>
      </c>
      <c r="B176">
        <f>IF($M176="","",IF(INDEX(請求記録!$B$6:$B$3005,$M176)="","",INDEX(請求記録!$B$6:$B$3005,$M176)))</f>
        <v/>
      </c>
      <c r="C176">
        <f>IF($M176="","",IF(INDEX(請求記録!$V$6:$V$3005,$M176)="","",INDEX(請求記録!$V$6:$V$3005,$M176)))</f>
        <v/>
      </c>
      <c r="D176">
        <f>IF($M176="","",IF(INDEX(請求記録!$W$6:$W$3005,$M176)="","",INDEX(請求記録!$W$6:$W$3005,$M176)))</f>
        <v/>
      </c>
      <c r="E176">
        <f>IF($M176="","",IF(INDEX(請求記録!$X$6:$X$3005,$M176)="","",INDEX(請求記録!$X$6:$X$3005,$M176)))</f>
        <v/>
      </c>
      <c r="F176" s="19">
        <f>IF($M176="","",IF(INDEX(請求記録!$E$6:$E$3005,$M176)="","",INDEX(請求記録!$E$6:$E$3005,$M176)))</f>
        <v/>
      </c>
      <c r="G176" s="19">
        <f>IF($M176="","",IF(INDEX(請求記録!$AC$6:$AC$3005,$M176)="","",INDEX(請求記録!$AC$6:$AC$3005,$M176)))</f>
        <v/>
      </c>
      <c r="H176">
        <f>IF($M176="","",IF(INDEX(請求記録!$AE$6:$AE$3005,$M176)="","",INDEX(請求記録!$AE$6:$AE$3005,$M176)))</f>
        <v/>
      </c>
      <c r="I176" s="20">
        <f>IF($M176="","",IF(INDEX(請求記録!$AF$6:$AF$3005,$M176)="","",INDEX(請求記録!$AF$6:$AF$3005,$M176)))</f>
        <v/>
      </c>
      <c r="J176">
        <f>IF($M176="","",IF(INDEX(請求記録!$AI$6:$AI$3005,$M176)="","",INDEX(請求記録!$AI$6:$AI$3005,$M176)))</f>
        <v/>
      </c>
      <c r="K176" s="20">
        <f>IF($M176="","",IF(INDEX(請求記録!$AH$6:$AH$3005,$M176)="","",INDEX(請求記録!$AH$6:$AH$3005,$M176)))</f>
        <v/>
      </c>
      <c r="L176">
        <f>IF($M176="","",IF(INDEX(請求記録!$AL$6:$AL$3005,$M176)="","",INDEX(請求記録!$AL$6:$AL$3005,$M176)))</f>
        <v/>
      </c>
      <c r="M176">
        <f>IFERROR(MATCH(171,請求記録!$AM$6:$AM$3005,0),"")</f>
        <v/>
      </c>
    </row>
    <row r="177">
      <c r="A177">
        <f>IF($M177="","",172)</f>
        <v/>
      </c>
      <c r="B177">
        <f>IF($M177="","",IF(INDEX(請求記録!$B$6:$B$3005,$M177)="","",INDEX(請求記録!$B$6:$B$3005,$M177)))</f>
        <v/>
      </c>
      <c r="C177">
        <f>IF($M177="","",IF(INDEX(請求記録!$V$6:$V$3005,$M177)="","",INDEX(請求記録!$V$6:$V$3005,$M177)))</f>
        <v/>
      </c>
      <c r="D177">
        <f>IF($M177="","",IF(INDEX(請求記録!$W$6:$W$3005,$M177)="","",INDEX(請求記録!$W$6:$W$3005,$M177)))</f>
        <v/>
      </c>
      <c r="E177">
        <f>IF($M177="","",IF(INDEX(請求記録!$X$6:$X$3005,$M177)="","",INDEX(請求記録!$X$6:$X$3005,$M177)))</f>
        <v/>
      </c>
      <c r="F177" s="19">
        <f>IF($M177="","",IF(INDEX(請求記録!$E$6:$E$3005,$M177)="","",INDEX(請求記録!$E$6:$E$3005,$M177)))</f>
        <v/>
      </c>
      <c r="G177" s="19">
        <f>IF($M177="","",IF(INDEX(請求記録!$AC$6:$AC$3005,$M177)="","",INDEX(請求記録!$AC$6:$AC$3005,$M177)))</f>
        <v/>
      </c>
      <c r="H177">
        <f>IF($M177="","",IF(INDEX(請求記録!$AE$6:$AE$3005,$M177)="","",INDEX(請求記録!$AE$6:$AE$3005,$M177)))</f>
        <v/>
      </c>
      <c r="I177" s="20">
        <f>IF($M177="","",IF(INDEX(請求記録!$AF$6:$AF$3005,$M177)="","",INDEX(請求記録!$AF$6:$AF$3005,$M177)))</f>
        <v/>
      </c>
      <c r="J177">
        <f>IF($M177="","",IF(INDEX(請求記録!$AI$6:$AI$3005,$M177)="","",INDEX(請求記録!$AI$6:$AI$3005,$M177)))</f>
        <v/>
      </c>
      <c r="K177" s="20">
        <f>IF($M177="","",IF(INDEX(請求記録!$AH$6:$AH$3005,$M177)="","",INDEX(請求記録!$AH$6:$AH$3005,$M177)))</f>
        <v/>
      </c>
      <c r="L177">
        <f>IF($M177="","",IF(INDEX(請求記録!$AL$6:$AL$3005,$M177)="","",INDEX(請求記録!$AL$6:$AL$3005,$M177)))</f>
        <v/>
      </c>
      <c r="M177">
        <f>IFERROR(MATCH(172,請求記録!$AM$6:$AM$3005,0),"")</f>
        <v/>
      </c>
    </row>
    <row r="178">
      <c r="A178">
        <f>IF($M178="","",173)</f>
        <v/>
      </c>
      <c r="B178">
        <f>IF($M178="","",IF(INDEX(請求記録!$B$6:$B$3005,$M178)="","",INDEX(請求記録!$B$6:$B$3005,$M178)))</f>
        <v/>
      </c>
      <c r="C178">
        <f>IF($M178="","",IF(INDEX(請求記録!$V$6:$V$3005,$M178)="","",INDEX(請求記録!$V$6:$V$3005,$M178)))</f>
        <v/>
      </c>
      <c r="D178">
        <f>IF($M178="","",IF(INDEX(請求記録!$W$6:$W$3005,$M178)="","",INDEX(請求記録!$W$6:$W$3005,$M178)))</f>
        <v/>
      </c>
      <c r="E178">
        <f>IF($M178="","",IF(INDEX(請求記録!$X$6:$X$3005,$M178)="","",INDEX(請求記録!$X$6:$X$3005,$M178)))</f>
        <v/>
      </c>
      <c r="F178" s="19">
        <f>IF($M178="","",IF(INDEX(請求記録!$E$6:$E$3005,$M178)="","",INDEX(請求記録!$E$6:$E$3005,$M178)))</f>
        <v/>
      </c>
      <c r="G178" s="19">
        <f>IF($M178="","",IF(INDEX(請求記録!$AC$6:$AC$3005,$M178)="","",INDEX(請求記録!$AC$6:$AC$3005,$M178)))</f>
        <v/>
      </c>
      <c r="H178">
        <f>IF($M178="","",IF(INDEX(請求記録!$AE$6:$AE$3005,$M178)="","",INDEX(請求記録!$AE$6:$AE$3005,$M178)))</f>
        <v/>
      </c>
      <c r="I178" s="20">
        <f>IF($M178="","",IF(INDEX(請求記録!$AF$6:$AF$3005,$M178)="","",INDEX(請求記録!$AF$6:$AF$3005,$M178)))</f>
        <v/>
      </c>
      <c r="J178">
        <f>IF($M178="","",IF(INDEX(請求記録!$AI$6:$AI$3005,$M178)="","",INDEX(請求記録!$AI$6:$AI$3005,$M178)))</f>
        <v/>
      </c>
      <c r="K178" s="20">
        <f>IF($M178="","",IF(INDEX(請求記録!$AH$6:$AH$3005,$M178)="","",INDEX(請求記録!$AH$6:$AH$3005,$M178)))</f>
        <v/>
      </c>
      <c r="L178">
        <f>IF($M178="","",IF(INDEX(請求記録!$AL$6:$AL$3005,$M178)="","",INDEX(請求記録!$AL$6:$AL$3005,$M178)))</f>
        <v/>
      </c>
      <c r="M178">
        <f>IFERROR(MATCH(173,請求記録!$AM$6:$AM$3005,0),"")</f>
        <v/>
      </c>
    </row>
    <row r="179">
      <c r="A179">
        <f>IF($M179="","",174)</f>
        <v/>
      </c>
      <c r="B179">
        <f>IF($M179="","",IF(INDEX(請求記録!$B$6:$B$3005,$M179)="","",INDEX(請求記録!$B$6:$B$3005,$M179)))</f>
        <v/>
      </c>
      <c r="C179">
        <f>IF($M179="","",IF(INDEX(請求記録!$V$6:$V$3005,$M179)="","",INDEX(請求記録!$V$6:$V$3005,$M179)))</f>
        <v/>
      </c>
      <c r="D179">
        <f>IF($M179="","",IF(INDEX(請求記録!$W$6:$W$3005,$M179)="","",INDEX(請求記録!$W$6:$W$3005,$M179)))</f>
        <v/>
      </c>
      <c r="E179">
        <f>IF($M179="","",IF(INDEX(請求記録!$X$6:$X$3005,$M179)="","",INDEX(請求記録!$X$6:$X$3005,$M179)))</f>
        <v/>
      </c>
      <c r="F179" s="19">
        <f>IF($M179="","",IF(INDEX(請求記録!$E$6:$E$3005,$M179)="","",INDEX(請求記録!$E$6:$E$3005,$M179)))</f>
        <v/>
      </c>
      <c r="G179" s="19">
        <f>IF($M179="","",IF(INDEX(請求記録!$AC$6:$AC$3005,$M179)="","",INDEX(請求記録!$AC$6:$AC$3005,$M179)))</f>
        <v/>
      </c>
      <c r="H179">
        <f>IF($M179="","",IF(INDEX(請求記録!$AE$6:$AE$3005,$M179)="","",INDEX(請求記録!$AE$6:$AE$3005,$M179)))</f>
        <v/>
      </c>
      <c r="I179" s="20">
        <f>IF($M179="","",IF(INDEX(請求記録!$AF$6:$AF$3005,$M179)="","",INDEX(請求記録!$AF$6:$AF$3005,$M179)))</f>
        <v/>
      </c>
      <c r="J179">
        <f>IF($M179="","",IF(INDEX(請求記録!$AI$6:$AI$3005,$M179)="","",INDEX(請求記録!$AI$6:$AI$3005,$M179)))</f>
        <v/>
      </c>
      <c r="K179" s="20">
        <f>IF($M179="","",IF(INDEX(請求記録!$AH$6:$AH$3005,$M179)="","",INDEX(請求記録!$AH$6:$AH$3005,$M179)))</f>
        <v/>
      </c>
      <c r="L179">
        <f>IF($M179="","",IF(INDEX(請求記録!$AL$6:$AL$3005,$M179)="","",INDEX(請求記録!$AL$6:$AL$3005,$M179)))</f>
        <v/>
      </c>
      <c r="M179">
        <f>IFERROR(MATCH(174,請求記録!$AM$6:$AM$3005,0),"")</f>
        <v/>
      </c>
    </row>
    <row r="180">
      <c r="A180">
        <f>IF($M180="","",175)</f>
        <v/>
      </c>
      <c r="B180">
        <f>IF($M180="","",IF(INDEX(請求記録!$B$6:$B$3005,$M180)="","",INDEX(請求記録!$B$6:$B$3005,$M180)))</f>
        <v/>
      </c>
      <c r="C180">
        <f>IF($M180="","",IF(INDEX(請求記録!$V$6:$V$3005,$M180)="","",INDEX(請求記録!$V$6:$V$3005,$M180)))</f>
        <v/>
      </c>
      <c r="D180">
        <f>IF($M180="","",IF(INDEX(請求記録!$W$6:$W$3005,$M180)="","",INDEX(請求記録!$W$6:$W$3005,$M180)))</f>
        <v/>
      </c>
      <c r="E180">
        <f>IF($M180="","",IF(INDEX(請求記録!$X$6:$X$3005,$M180)="","",INDEX(請求記録!$X$6:$X$3005,$M180)))</f>
        <v/>
      </c>
      <c r="F180" s="19">
        <f>IF($M180="","",IF(INDEX(請求記録!$E$6:$E$3005,$M180)="","",INDEX(請求記録!$E$6:$E$3005,$M180)))</f>
        <v/>
      </c>
      <c r="G180" s="19">
        <f>IF($M180="","",IF(INDEX(請求記録!$AC$6:$AC$3005,$M180)="","",INDEX(請求記録!$AC$6:$AC$3005,$M180)))</f>
        <v/>
      </c>
      <c r="H180">
        <f>IF($M180="","",IF(INDEX(請求記録!$AE$6:$AE$3005,$M180)="","",INDEX(請求記録!$AE$6:$AE$3005,$M180)))</f>
        <v/>
      </c>
      <c r="I180" s="20">
        <f>IF($M180="","",IF(INDEX(請求記録!$AF$6:$AF$3005,$M180)="","",INDEX(請求記録!$AF$6:$AF$3005,$M180)))</f>
        <v/>
      </c>
      <c r="J180">
        <f>IF($M180="","",IF(INDEX(請求記録!$AI$6:$AI$3005,$M180)="","",INDEX(請求記録!$AI$6:$AI$3005,$M180)))</f>
        <v/>
      </c>
      <c r="K180" s="20">
        <f>IF($M180="","",IF(INDEX(請求記録!$AH$6:$AH$3005,$M180)="","",INDEX(請求記録!$AH$6:$AH$3005,$M180)))</f>
        <v/>
      </c>
      <c r="L180">
        <f>IF($M180="","",IF(INDEX(請求記録!$AL$6:$AL$3005,$M180)="","",INDEX(請求記録!$AL$6:$AL$3005,$M180)))</f>
        <v/>
      </c>
      <c r="M180">
        <f>IFERROR(MATCH(175,請求記録!$AM$6:$AM$3005,0),"")</f>
        <v/>
      </c>
    </row>
    <row r="181">
      <c r="A181">
        <f>IF($M181="","",176)</f>
        <v/>
      </c>
      <c r="B181">
        <f>IF($M181="","",IF(INDEX(請求記録!$B$6:$B$3005,$M181)="","",INDEX(請求記録!$B$6:$B$3005,$M181)))</f>
        <v/>
      </c>
      <c r="C181">
        <f>IF($M181="","",IF(INDEX(請求記録!$V$6:$V$3005,$M181)="","",INDEX(請求記録!$V$6:$V$3005,$M181)))</f>
        <v/>
      </c>
      <c r="D181">
        <f>IF($M181="","",IF(INDEX(請求記録!$W$6:$W$3005,$M181)="","",INDEX(請求記録!$W$6:$W$3005,$M181)))</f>
        <v/>
      </c>
      <c r="E181">
        <f>IF($M181="","",IF(INDEX(請求記録!$X$6:$X$3005,$M181)="","",INDEX(請求記録!$X$6:$X$3005,$M181)))</f>
        <v/>
      </c>
      <c r="F181" s="19">
        <f>IF($M181="","",IF(INDEX(請求記録!$E$6:$E$3005,$M181)="","",INDEX(請求記録!$E$6:$E$3005,$M181)))</f>
        <v/>
      </c>
      <c r="G181" s="19">
        <f>IF($M181="","",IF(INDEX(請求記録!$AC$6:$AC$3005,$M181)="","",INDEX(請求記録!$AC$6:$AC$3005,$M181)))</f>
        <v/>
      </c>
      <c r="H181">
        <f>IF($M181="","",IF(INDEX(請求記録!$AE$6:$AE$3005,$M181)="","",INDEX(請求記録!$AE$6:$AE$3005,$M181)))</f>
        <v/>
      </c>
      <c r="I181" s="20">
        <f>IF($M181="","",IF(INDEX(請求記録!$AF$6:$AF$3005,$M181)="","",INDEX(請求記録!$AF$6:$AF$3005,$M181)))</f>
        <v/>
      </c>
      <c r="J181">
        <f>IF($M181="","",IF(INDEX(請求記録!$AI$6:$AI$3005,$M181)="","",INDEX(請求記録!$AI$6:$AI$3005,$M181)))</f>
        <v/>
      </c>
      <c r="K181" s="20">
        <f>IF($M181="","",IF(INDEX(請求記録!$AH$6:$AH$3005,$M181)="","",INDEX(請求記録!$AH$6:$AH$3005,$M181)))</f>
        <v/>
      </c>
      <c r="L181">
        <f>IF($M181="","",IF(INDEX(請求記録!$AL$6:$AL$3005,$M181)="","",INDEX(請求記録!$AL$6:$AL$3005,$M181)))</f>
        <v/>
      </c>
      <c r="M181">
        <f>IFERROR(MATCH(176,請求記録!$AM$6:$AM$3005,0),"")</f>
        <v/>
      </c>
    </row>
    <row r="182">
      <c r="A182">
        <f>IF($M182="","",177)</f>
        <v/>
      </c>
      <c r="B182">
        <f>IF($M182="","",IF(INDEX(請求記録!$B$6:$B$3005,$M182)="","",INDEX(請求記録!$B$6:$B$3005,$M182)))</f>
        <v/>
      </c>
      <c r="C182">
        <f>IF($M182="","",IF(INDEX(請求記録!$V$6:$V$3005,$M182)="","",INDEX(請求記録!$V$6:$V$3005,$M182)))</f>
        <v/>
      </c>
      <c r="D182">
        <f>IF($M182="","",IF(INDEX(請求記録!$W$6:$W$3005,$M182)="","",INDEX(請求記録!$W$6:$W$3005,$M182)))</f>
        <v/>
      </c>
      <c r="E182">
        <f>IF($M182="","",IF(INDEX(請求記録!$X$6:$X$3005,$M182)="","",INDEX(請求記録!$X$6:$X$3005,$M182)))</f>
        <v/>
      </c>
      <c r="F182" s="19">
        <f>IF($M182="","",IF(INDEX(請求記録!$E$6:$E$3005,$M182)="","",INDEX(請求記録!$E$6:$E$3005,$M182)))</f>
        <v/>
      </c>
      <c r="G182" s="19">
        <f>IF($M182="","",IF(INDEX(請求記録!$AC$6:$AC$3005,$M182)="","",INDEX(請求記録!$AC$6:$AC$3005,$M182)))</f>
        <v/>
      </c>
      <c r="H182">
        <f>IF($M182="","",IF(INDEX(請求記録!$AE$6:$AE$3005,$M182)="","",INDEX(請求記録!$AE$6:$AE$3005,$M182)))</f>
        <v/>
      </c>
      <c r="I182" s="20">
        <f>IF($M182="","",IF(INDEX(請求記録!$AF$6:$AF$3005,$M182)="","",INDEX(請求記録!$AF$6:$AF$3005,$M182)))</f>
        <v/>
      </c>
      <c r="J182">
        <f>IF($M182="","",IF(INDEX(請求記録!$AI$6:$AI$3005,$M182)="","",INDEX(請求記録!$AI$6:$AI$3005,$M182)))</f>
        <v/>
      </c>
      <c r="K182" s="20">
        <f>IF($M182="","",IF(INDEX(請求記録!$AH$6:$AH$3005,$M182)="","",INDEX(請求記録!$AH$6:$AH$3005,$M182)))</f>
        <v/>
      </c>
      <c r="L182">
        <f>IF($M182="","",IF(INDEX(請求記録!$AL$6:$AL$3005,$M182)="","",INDEX(請求記録!$AL$6:$AL$3005,$M182)))</f>
        <v/>
      </c>
      <c r="M182">
        <f>IFERROR(MATCH(177,請求記録!$AM$6:$AM$3005,0),"")</f>
        <v/>
      </c>
    </row>
    <row r="183">
      <c r="A183">
        <f>IF($M183="","",178)</f>
        <v/>
      </c>
      <c r="B183">
        <f>IF($M183="","",IF(INDEX(請求記録!$B$6:$B$3005,$M183)="","",INDEX(請求記録!$B$6:$B$3005,$M183)))</f>
        <v/>
      </c>
      <c r="C183">
        <f>IF($M183="","",IF(INDEX(請求記録!$V$6:$V$3005,$M183)="","",INDEX(請求記録!$V$6:$V$3005,$M183)))</f>
        <v/>
      </c>
      <c r="D183">
        <f>IF($M183="","",IF(INDEX(請求記録!$W$6:$W$3005,$M183)="","",INDEX(請求記録!$W$6:$W$3005,$M183)))</f>
        <v/>
      </c>
      <c r="E183">
        <f>IF($M183="","",IF(INDEX(請求記録!$X$6:$X$3005,$M183)="","",INDEX(請求記録!$X$6:$X$3005,$M183)))</f>
        <v/>
      </c>
      <c r="F183" s="19">
        <f>IF($M183="","",IF(INDEX(請求記録!$E$6:$E$3005,$M183)="","",INDEX(請求記録!$E$6:$E$3005,$M183)))</f>
        <v/>
      </c>
      <c r="G183" s="19">
        <f>IF($M183="","",IF(INDEX(請求記録!$AC$6:$AC$3005,$M183)="","",INDEX(請求記録!$AC$6:$AC$3005,$M183)))</f>
        <v/>
      </c>
      <c r="H183">
        <f>IF($M183="","",IF(INDEX(請求記録!$AE$6:$AE$3005,$M183)="","",INDEX(請求記録!$AE$6:$AE$3005,$M183)))</f>
        <v/>
      </c>
      <c r="I183" s="20">
        <f>IF($M183="","",IF(INDEX(請求記録!$AF$6:$AF$3005,$M183)="","",INDEX(請求記録!$AF$6:$AF$3005,$M183)))</f>
        <v/>
      </c>
      <c r="J183">
        <f>IF($M183="","",IF(INDEX(請求記録!$AI$6:$AI$3005,$M183)="","",INDEX(請求記録!$AI$6:$AI$3005,$M183)))</f>
        <v/>
      </c>
      <c r="K183" s="20">
        <f>IF($M183="","",IF(INDEX(請求記録!$AH$6:$AH$3005,$M183)="","",INDEX(請求記録!$AH$6:$AH$3005,$M183)))</f>
        <v/>
      </c>
      <c r="L183">
        <f>IF($M183="","",IF(INDEX(請求記録!$AL$6:$AL$3005,$M183)="","",INDEX(請求記録!$AL$6:$AL$3005,$M183)))</f>
        <v/>
      </c>
      <c r="M183">
        <f>IFERROR(MATCH(178,請求記録!$AM$6:$AM$3005,0),"")</f>
        <v/>
      </c>
    </row>
    <row r="184">
      <c r="A184">
        <f>IF($M184="","",179)</f>
        <v/>
      </c>
      <c r="B184">
        <f>IF($M184="","",IF(INDEX(請求記録!$B$6:$B$3005,$M184)="","",INDEX(請求記録!$B$6:$B$3005,$M184)))</f>
        <v/>
      </c>
      <c r="C184">
        <f>IF($M184="","",IF(INDEX(請求記録!$V$6:$V$3005,$M184)="","",INDEX(請求記録!$V$6:$V$3005,$M184)))</f>
        <v/>
      </c>
      <c r="D184">
        <f>IF($M184="","",IF(INDEX(請求記録!$W$6:$W$3005,$M184)="","",INDEX(請求記録!$W$6:$W$3005,$M184)))</f>
        <v/>
      </c>
      <c r="E184">
        <f>IF($M184="","",IF(INDEX(請求記録!$X$6:$X$3005,$M184)="","",INDEX(請求記録!$X$6:$X$3005,$M184)))</f>
        <v/>
      </c>
      <c r="F184" s="19">
        <f>IF($M184="","",IF(INDEX(請求記録!$E$6:$E$3005,$M184)="","",INDEX(請求記録!$E$6:$E$3005,$M184)))</f>
        <v/>
      </c>
      <c r="G184" s="19">
        <f>IF($M184="","",IF(INDEX(請求記録!$AC$6:$AC$3005,$M184)="","",INDEX(請求記録!$AC$6:$AC$3005,$M184)))</f>
        <v/>
      </c>
      <c r="H184">
        <f>IF($M184="","",IF(INDEX(請求記録!$AE$6:$AE$3005,$M184)="","",INDEX(請求記録!$AE$6:$AE$3005,$M184)))</f>
        <v/>
      </c>
      <c r="I184" s="20">
        <f>IF($M184="","",IF(INDEX(請求記録!$AF$6:$AF$3005,$M184)="","",INDEX(請求記録!$AF$6:$AF$3005,$M184)))</f>
        <v/>
      </c>
      <c r="J184">
        <f>IF($M184="","",IF(INDEX(請求記録!$AI$6:$AI$3005,$M184)="","",INDEX(請求記録!$AI$6:$AI$3005,$M184)))</f>
        <v/>
      </c>
      <c r="K184" s="20">
        <f>IF($M184="","",IF(INDEX(請求記録!$AH$6:$AH$3005,$M184)="","",INDEX(請求記録!$AH$6:$AH$3005,$M184)))</f>
        <v/>
      </c>
      <c r="L184">
        <f>IF($M184="","",IF(INDEX(請求記録!$AL$6:$AL$3005,$M184)="","",INDEX(請求記録!$AL$6:$AL$3005,$M184)))</f>
        <v/>
      </c>
      <c r="M184">
        <f>IFERROR(MATCH(179,請求記録!$AM$6:$AM$3005,0),"")</f>
        <v/>
      </c>
    </row>
    <row r="185">
      <c r="A185">
        <f>IF($M185="","",180)</f>
        <v/>
      </c>
      <c r="B185">
        <f>IF($M185="","",IF(INDEX(請求記録!$B$6:$B$3005,$M185)="","",INDEX(請求記録!$B$6:$B$3005,$M185)))</f>
        <v/>
      </c>
      <c r="C185">
        <f>IF($M185="","",IF(INDEX(請求記録!$V$6:$V$3005,$M185)="","",INDEX(請求記録!$V$6:$V$3005,$M185)))</f>
        <v/>
      </c>
      <c r="D185">
        <f>IF($M185="","",IF(INDEX(請求記録!$W$6:$W$3005,$M185)="","",INDEX(請求記録!$W$6:$W$3005,$M185)))</f>
        <v/>
      </c>
      <c r="E185">
        <f>IF($M185="","",IF(INDEX(請求記録!$X$6:$X$3005,$M185)="","",INDEX(請求記録!$X$6:$X$3005,$M185)))</f>
        <v/>
      </c>
      <c r="F185" s="19">
        <f>IF($M185="","",IF(INDEX(請求記録!$E$6:$E$3005,$M185)="","",INDEX(請求記録!$E$6:$E$3005,$M185)))</f>
        <v/>
      </c>
      <c r="G185" s="19">
        <f>IF($M185="","",IF(INDEX(請求記録!$AC$6:$AC$3005,$M185)="","",INDEX(請求記録!$AC$6:$AC$3005,$M185)))</f>
        <v/>
      </c>
      <c r="H185">
        <f>IF($M185="","",IF(INDEX(請求記録!$AE$6:$AE$3005,$M185)="","",INDEX(請求記録!$AE$6:$AE$3005,$M185)))</f>
        <v/>
      </c>
      <c r="I185" s="20">
        <f>IF($M185="","",IF(INDEX(請求記録!$AF$6:$AF$3005,$M185)="","",INDEX(請求記録!$AF$6:$AF$3005,$M185)))</f>
        <v/>
      </c>
      <c r="J185">
        <f>IF($M185="","",IF(INDEX(請求記録!$AI$6:$AI$3005,$M185)="","",INDEX(請求記録!$AI$6:$AI$3005,$M185)))</f>
        <v/>
      </c>
      <c r="K185" s="20">
        <f>IF($M185="","",IF(INDEX(請求記録!$AH$6:$AH$3005,$M185)="","",INDEX(請求記録!$AH$6:$AH$3005,$M185)))</f>
        <v/>
      </c>
      <c r="L185">
        <f>IF($M185="","",IF(INDEX(請求記録!$AL$6:$AL$3005,$M185)="","",INDEX(請求記録!$AL$6:$AL$3005,$M185)))</f>
        <v/>
      </c>
      <c r="M185">
        <f>IFERROR(MATCH(180,請求記録!$AM$6:$AM$3005,0),"")</f>
        <v/>
      </c>
    </row>
    <row r="186">
      <c r="A186">
        <f>IF($M186="","",181)</f>
        <v/>
      </c>
      <c r="B186">
        <f>IF($M186="","",IF(INDEX(請求記録!$B$6:$B$3005,$M186)="","",INDEX(請求記録!$B$6:$B$3005,$M186)))</f>
        <v/>
      </c>
      <c r="C186">
        <f>IF($M186="","",IF(INDEX(請求記録!$V$6:$V$3005,$M186)="","",INDEX(請求記録!$V$6:$V$3005,$M186)))</f>
        <v/>
      </c>
      <c r="D186">
        <f>IF($M186="","",IF(INDEX(請求記録!$W$6:$W$3005,$M186)="","",INDEX(請求記録!$W$6:$W$3005,$M186)))</f>
        <v/>
      </c>
      <c r="E186">
        <f>IF($M186="","",IF(INDEX(請求記録!$X$6:$X$3005,$M186)="","",INDEX(請求記録!$X$6:$X$3005,$M186)))</f>
        <v/>
      </c>
      <c r="F186" s="19">
        <f>IF($M186="","",IF(INDEX(請求記録!$E$6:$E$3005,$M186)="","",INDEX(請求記録!$E$6:$E$3005,$M186)))</f>
        <v/>
      </c>
      <c r="G186" s="19">
        <f>IF($M186="","",IF(INDEX(請求記録!$AC$6:$AC$3005,$M186)="","",INDEX(請求記録!$AC$6:$AC$3005,$M186)))</f>
        <v/>
      </c>
      <c r="H186">
        <f>IF($M186="","",IF(INDEX(請求記録!$AE$6:$AE$3005,$M186)="","",INDEX(請求記録!$AE$6:$AE$3005,$M186)))</f>
        <v/>
      </c>
      <c r="I186" s="20">
        <f>IF($M186="","",IF(INDEX(請求記録!$AF$6:$AF$3005,$M186)="","",INDEX(請求記録!$AF$6:$AF$3005,$M186)))</f>
        <v/>
      </c>
      <c r="J186">
        <f>IF($M186="","",IF(INDEX(請求記録!$AI$6:$AI$3005,$M186)="","",INDEX(請求記録!$AI$6:$AI$3005,$M186)))</f>
        <v/>
      </c>
      <c r="K186" s="20">
        <f>IF($M186="","",IF(INDEX(請求記録!$AH$6:$AH$3005,$M186)="","",INDEX(請求記録!$AH$6:$AH$3005,$M186)))</f>
        <v/>
      </c>
      <c r="L186">
        <f>IF($M186="","",IF(INDEX(請求記録!$AL$6:$AL$3005,$M186)="","",INDEX(請求記録!$AL$6:$AL$3005,$M186)))</f>
        <v/>
      </c>
      <c r="M186">
        <f>IFERROR(MATCH(181,請求記録!$AM$6:$AM$3005,0),"")</f>
        <v/>
      </c>
    </row>
    <row r="187">
      <c r="A187">
        <f>IF($M187="","",182)</f>
        <v/>
      </c>
      <c r="B187">
        <f>IF($M187="","",IF(INDEX(請求記録!$B$6:$B$3005,$M187)="","",INDEX(請求記録!$B$6:$B$3005,$M187)))</f>
        <v/>
      </c>
      <c r="C187">
        <f>IF($M187="","",IF(INDEX(請求記録!$V$6:$V$3005,$M187)="","",INDEX(請求記録!$V$6:$V$3005,$M187)))</f>
        <v/>
      </c>
      <c r="D187">
        <f>IF($M187="","",IF(INDEX(請求記録!$W$6:$W$3005,$M187)="","",INDEX(請求記録!$W$6:$W$3005,$M187)))</f>
        <v/>
      </c>
      <c r="E187">
        <f>IF($M187="","",IF(INDEX(請求記録!$X$6:$X$3005,$M187)="","",INDEX(請求記録!$X$6:$X$3005,$M187)))</f>
        <v/>
      </c>
      <c r="F187" s="19">
        <f>IF($M187="","",IF(INDEX(請求記録!$E$6:$E$3005,$M187)="","",INDEX(請求記録!$E$6:$E$3005,$M187)))</f>
        <v/>
      </c>
      <c r="G187" s="19">
        <f>IF($M187="","",IF(INDEX(請求記録!$AC$6:$AC$3005,$M187)="","",INDEX(請求記録!$AC$6:$AC$3005,$M187)))</f>
        <v/>
      </c>
      <c r="H187">
        <f>IF($M187="","",IF(INDEX(請求記録!$AE$6:$AE$3005,$M187)="","",INDEX(請求記録!$AE$6:$AE$3005,$M187)))</f>
        <v/>
      </c>
      <c r="I187" s="20">
        <f>IF($M187="","",IF(INDEX(請求記録!$AF$6:$AF$3005,$M187)="","",INDEX(請求記録!$AF$6:$AF$3005,$M187)))</f>
        <v/>
      </c>
      <c r="J187">
        <f>IF($M187="","",IF(INDEX(請求記録!$AI$6:$AI$3005,$M187)="","",INDEX(請求記録!$AI$6:$AI$3005,$M187)))</f>
        <v/>
      </c>
      <c r="K187" s="20">
        <f>IF($M187="","",IF(INDEX(請求記録!$AH$6:$AH$3005,$M187)="","",INDEX(請求記録!$AH$6:$AH$3005,$M187)))</f>
        <v/>
      </c>
      <c r="L187">
        <f>IF($M187="","",IF(INDEX(請求記録!$AL$6:$AL$3005,$M187)="","",INDEX(請求記録!$AL$6:$AL$3005,$M187)))</f>
        <v/>
      </c>
      <c r="M187">
        <f>IFERROR(MATCH(182,請求記録!$AM$6:$AM$3005,0),"")</f>
        <v/>
      </c>
    </row>
    <row r="188">
      <c r="A188">
        <f>IF($M188="","",183)</f>
        <v/>
      </c>
      <c r="B188">
        <f>IF($M188="","",IF(INDEX(請求記録!$B$6:$B$3005,$M188)="","",INDEX(請求記録!$B$6:$B$3005,$M188)))</f>
        <v/>
      </c>
      <c r="C188">
        <f>IF($M188="","",IF(INDEX(請求記録!$V$6:$V$3005,$M188)="","",INDEX(請求記録!$V$6:$V$3005,$M188)))</f>
        <v/>
      </c>
      <c r="D188">
        <f>IF($M188="","",IF(INDEX(請求記録!$W$6:$W$3005,$M188)="","",INDEX(請求記録!$W$6:$W$3005,$M188)))</f>
        <v/>
      </c>
      <c r="E188">
        <f>IF($M188="","",IF(INDEX(請求記録!$X$6:$X$3005,$M188)="","",INDEX(請求記録!$X$6:$X$3005,$M188)))</f>
        <v/>
      </c>
      <c r="F188" s="19">
        <f>IF($M188="","",IF(INDEX(請求記録!$E$6:$E$3005,$M188)="","",INDEX(請求記録!$E$6:$E$3005,$M188)))</f>
        <v/>
      </c>
      <c r="G188" s="19">
        <f>IF($M188="","",IF(INDEX(請求記録!$AC$6:$AC$3005,$M188)="","",INDEX(請求記録!$AC$6:$AC$3005,$M188)))</f>
        <v/>
      </c>
      <c r="H188">
        <f>IF($M188="","",IF(INDEX(請求記録!$AE$6:$AE$3005,$M188)="","",INDEX(請求記録!$AE$6:$AE$3005,$M188)))</f>
        <v/>
      </c>
      <c r="I188" s="20">
        <f>IF($M188="","",IF(INDEX(請求記録!$AF$6:$AF$3005,$M188)="","",INDEX(請求記録!$AF$6:$AF$3005,$M188)))</f>
        <v/>
      </c>
      <c r="J188">
        <f>IF($M188="","",IF(INDEX(請求記録!$AI$6:$AI$3005,$M188)="","",INDEX(請求記録!$AI$6:$AI$3005,$M188)))</f>
        <v/>
      </c>
      <c r="K188" s="20">
        <f>IF($M188="","",IF(INDEX(請求記録!$AH$6:$AH$3005,$M188)="","",INDEX(請求記録!$AH$6:$AH$3005,$M188)))</f>
        <v/>
      </c>
      <c r="L188">
        <f>IF($M188="","",IF(INDEX(請求記録!$AL$6:$AL$3005,$M188)="","",INDEX(請求記録!$AL$6:$AL$3005,$M188)))</f>
        <v/>
      </c>
      <c r="M188">
        <f>IFERROR(MATCH(183,請求記録!$AM$6:$AM$3005,0),"")</f>
        <v/>
      </c>
    </row>
    <row r="189">
      <c r="A189">
        <f>IF($M189="","",184)</f>
        <v/>
      </c>
      <c r="B189">
        <f>IF($M189="","",IF(INDEX(請求記録!$B$6:$B$3005,$M189)="","",INDEX(請求記録!$B$6:$B$3005,$M189)))</f>
        <v/>
      </c>
      <c r="C189">
        <f>IF($M189="","",IF(INDEX(請求記録!$V$6:$V$3005,$M189)="","",INDEX(請求記録!$V$6:$V$3005,$M189)))</f>
        <v/>
      </c>
      <c r="D189">
        <f>IF($M189="","",IF(INDEX(請求記録!$W$6:$W$3005,$M189)="","",INDEX(請求記録!$W$6:$W$3005,$M189)))</f>
        <v/>
      </c>
      <c r="E189">
        <f>IF($M189="","",IF(INDEX(請求記録!$X$6:$X$3005,$M189)="","",INDEX(請求記録!$X$6:$X$3005,$M189)))</f>
        <v/>
      </c>
      <c r="F189" s="19">
        <f>IF($M189="","",IF(INDEX(請求記録!$E$6:$E$3005,$M189)="","",INDEX(請求記録!$E$6:$E$3005,$M189)))</f>
        <v/>
      </c>
      <c r="G189" s="19">
        <f>IF($M189="","",IF(INDEX(請求記録!$AC$6:$AC$3005,$M189)="","",INDEX(請求記録!$AC$6:$AC$3005,$M189)))</f>
        <v/>
      </c>
      <c r="H189">
        <f>IF($M189="","",IF(INDEX(請求記録!$AE$6:$AE$3005,$M189)="","",INDEX(請求記録!$AE$6:$AE$3005,$M189)))</f>
        <v/>
      </c>
      <c r="I189" s="20">
        <f>IF($M189="","",IF(INDEX(請求記録!$AF$6:$AF$3005,$M189)="","",INDEX(請求記録!$AF$6:$AF$3005,$M189)))</f>
        <v/>
      </c>
      <c r="J189">
        <f>IF($M189="","",IF(INDEX(請求記録!$AI$6:$AI$3005,$M189)="","",INDEX(請求記録!$AI$6:$AI$3005,$M189)))</f>
        <v/>
      </c>
      <c r="K189" s="20">
        <f>IF($M189="","",IF(INDEX(請求記録!$AH$6:$AH$3005,$M189)="","",INDEX(請求記録!$AH$6:$AH$3005,$M189)))</f>
        <v/>
      </c>
      <c r="L189">
        <f>IF($M189="","",IF(INDEX(請求記録!$AL$6:$AL$3005,$M189)="","",INDEX(請求記録!$AL$6:$AL$3005,$M189)))</f>
        <v/>
      </c>
      <c r="M189">
        <f>IFERROR(MATCH(184,請求記録!$AM$6:$AM$3005,0),"")</f>
        <v/>
      </c>
    </row>
    <row r="190">
      <c r="A190">
        <f>IF($M190="","",185)</f>
        <v/>
      </c>
      <c r="B190">
        <f>IF($M190="","",IF(INDEX(請求記録!$B$6:$B$3005,$M190)="","",INDEX(請求記録!$B$6:$B$3005,$M190)))</f>
        <v/>
      </c>
      <c r="C190">
        <f>IF($M190="","",IF(INDEX(請求記録!$V$6:$V$3005,$M190)="","",INDEX(請求記録!$V$6:$V$3005,$M190)))</f>
        <v/>
      </c>
      <c r="D190">
        <f>IF($M190="","",IF(INDEX(請求記録!$W$6:$W$3005,$M190)="","",INDEX(請求記録!$W$6:$W$3005,$M190)))</f>
        <v/>
      </c>
      <c r="E190">
        <f>IF($M190="","",IF(INDEX(請求記録!$X$6:$X$3005,$M190)="","",INDEX(請求記録!$X$6:$X$3005,$M190)))</f>
        <v/>
      </c>
      <c r="F190" s="19">
        <f>IF($M190="","",IF(INDEX(請求記録!$E$6:$E$3005,$M190)="","",INDEX(請求記録!$E$6:$E$3005,$M190)))</f>
        <v/>
      </c>
      <c r="G190" s="19">
        <f>IF($M190="","",IF(INDEX(請求記録!$AC$6:$AC$3005,$M190)="","",INDEX(請求記録!$AC$6:$AC$3005,$M190)))</f>
        <v/>
      </c>
      <c r="H190">
        <f>IF($M190="","",IF(INDEX(請求記録!$AE$6:$AE$3005,$M190)="","",INDEX(請求記録!$AE$6:$AE$3005,$M190)))</f>
        <v/>
      </c>
      <c r="I190" s="20">
        <f>IF($M190="","",IF(INDEX(請求記録!$AF$6:$AF$3005,$M190)="","",INDEX(請求記録!$AF$6:$AF$3005,$M190)))</f>
        <v/>
      </c>
      <c r="J190">
        <f>IF($M190="","",IF(INDEX(請求記録!$AI$6:$AI$3005,$M190)="","",INDEX(請求記録!$AI$6:$AI$3005,$M190)))</f>
        <v/>
      </c>
      <c r="K190" s="20">
        <f>IF($M190="","",IF(INDEX(請求記録!$AH$6:$AH$3005,$M190)="","",INDEX(請求記録!$AH$6:$AH$3005,$M190)))</f>
        <v/>
      </c>
      <c r="L190">
        <f>IF($M190="","",IF(INDEX(請求記録!$AL$6:$AL$3005,$M190)="","",INDEX(請求記録!$AL$6:$AL$3005,$M190)))</f>
        <v/>
      </c>
      <c r="M190">
        <f>IFERROR(MATCH(185,請求記録!$AM$6:$AM$3005,0),"")</f>
        <v/>
      </c>
    </row>
    <row r="191">
      <c r="A191">
        <f>IF($M191="","",186)</f>
        <v/>
      </c>
      <c r="B191">
        <f>IF($M191="","",IF(INDEX(請求記録!$B$6:$B$3005,$M191)="","",INDEX(請求記録!$B$6:$B$3005,$M191)))</f>
        <v/>
      </c>
      <c r="C191">
        <f>IF($M191="","",IF(INDEX(請求記録!$V$6:$V$3005,$M191)="","",INDEX(請求記録!$V$6:$V$3005,$M191)))</f>
        <v/>
      </c>
      <c r="D191">
        <f>IF($M191="","",IF(INDEX(請求記録!$W$6:$W$3005,$M191)="","",INDEX(請求記録!$W$6:$W$3005,$M191)))</f>
        <v/>
      </c>
      <c r="E191">
        <f>IF($M191="","",IF(INDEX(請求記録!$X$6:$X$3005,$M191)="","",INDEX(請求記録!$X$6:$X$3005,$M191)))</f>
        <v/>
      </c>
      <c r="F191" s="19">
        <f>IF($M191="","",IF(INDEX(請求記録!$E$6:$E$3005,$M191)="","",INDEX(請求記録!$E$6:$E$3005,$M191)))</f>
        <v/>
      </c>
      <c r="G191" s="19">
        <f>IF($M191="","",IF(INDEX(請求記録!$AC$6:$AC$3005,$M191)="","",INDEX(請求記録!$AC$6:$AC$3005,$M191)))</f>
        <v/>
      </c>
      <c r="H191">
        <f>IF($M191="","",IF(INDEX(請求記録!$AE$6:$AE$3005,$M191)="","",INDEX(請求記録!$AE$6:$AE$3005,$M191)))</f>
        <v/>
      </c>
      <c r="I191" s="20">
        <f>IF($M191="","",IF(INDEX(請求記録!$AF$6:$AF$3005,$M191)="","",INDEX(請求記録!$AF$6:$AF$3005,$M191)))</f>
        <v/>
      </c>
      <c r="J191">
        <f>IF($M191="","",IF(INDEX(請求記録!$AI$6:$AI$3005,$M191)="","",INDEX(請求記録!$AI$6:$AI$3005,$M191)))</f>
        <v/>
      </c>
      <c r="K191" s="20">
        <f>IF($M191="","",IF(INDEX(請求記録!$AH$6:$AH$3005,$M191)="","",INDEX(請求記録!$AH$6:$AH$3005,$M191)))</f>
        <v/>
      </c>
      <c r="L191">
        <f>IF($M191="","",IF(INDEX(請求記録!$AL$6:$AL$3005,$M191)="","",INDEX(請求記録!$AL$6:$AL$3005,$M191)))</f>
        <v/>
      </c>
      <c r="M191">
        <f>IFERROR(MATCH(186,請求記録!$AM$6:$AM$3005,0),"")</f>
        <v/>
      </c>
    </row>
    <row r="192">
      <c r="A192">
        <f>IF($M192="","",187)</f>
        <v/>
      </c>
      <c r="B192">
        <f>IF($M192="","",IF(INDEX(請求記録!$B$6:$B$3005,$M192)="","",INDEX(請求記録!$B$6:$B$3005,$M192)))</f>
        <v/>
      </c>
      <c r="C192">
        <f>IF($M192="","",IF(INDEX(請求記録!$V$6:$V$3005,$M192)="","",INDEX(請求記録!$V$6:$V$3005,$M192)))</f>
        <v/>
      </c>
      <c r="D192">
        <f>IF($M192="","",IF(INDEX(請求記録!$W$6:$W$3005,$M192)="","",INDEX(請求記録!$W$6:$W$3005,$M192)))</f>
        <v/>
      </c>
      <c r="E192">
        <f>IF($M192="","",IF(INDEX(請求記録!$X$6:$X$3005,$M192)="","",INDEX(請求記録!$X$6:$X$3005,$M192)))</f>
        <v/>
      </c>
      <c r="F192" s="19">
        <f>IF($M192="","",IF(INDEX(請求記録!$E$6:$E$3005,$M192)="","",INDEX(請求記録!$E$6:$E$3005,$M192)))</f>
        <v/>
      </c>
      <c r="G192" s="19">
        <f>IF($M192="","",IF(INDEX(請求記録!$AC$6:$AC$3005,$M192)="","",INDEX(請求記録!$AC$6:$AC$3005,$M192)))</f>
        <v/>
      </c>
      <c r="H192">
        <f>IF($M192="","",IF(INDEX(請求記録!$AE$6:$AE$3005,$M192)="","",INDEX(請求記録!$AE$6:$AE$3005,$M192)))</f>
        <v/>
      </c>
      <c r="I192" s="20">
        <f>IF($M192="","",IF(INDEX(請求記録!$AF$6:$AF$3005,$M192)="","",INDEX(請求記録!$AF$6:$AF$3005,$M192)))</f>
        <v/>
      </c>
      <c r="J192">
        <f>IF($M192="","",IF(INDEX(請求記録!$AI$6:$AI$3005,$M192)="","",INDEX(請求記録!$AI$6:$AI$3005,$M192)))</f>
        <v/>
      </c>
      <c r="K192" s="20">
        <f>IF($M192="","",IF(INDEX(請求記録!$AH$6:$AH$3005,$M192)="","",INDEX(請求記録!$AH$6:$AH$3005,$M192)))</f>
        <v/>
      </c>
      <c r="L192">
        <f>IF($M192="","",IF(INDEX(請求記録!$AL$6:$AL$3005,$M192)="","",INDEX(請求記録!$AL$6:$AL$3005,$M192)))</f>
        <v/>
      </c>
      <c r="M192">
        <f>IFERROR(MATCH(187,請求記録!$AM$6:$AM$3005,0),"")</f>
        <v/>
      </c>
    </row>
    <row r="193">
      <c r="A193">
        <f>IF($M193="","",188)</f>
        <v/>
      </c>
      <c r="B193">
        <f>IF($M193="","",IF(INDEX(請求記録!$B$6:$B$3005,$M193)="","",INDEX(請求記録!$B$6:$B$3005,$M193)))</f>
        <v/>
      </c>
      <c r="C193">
        <f>IF($M193="","",IF(INDEX(請求記録!$V$6:$V$3005,$M193)="","",INDEX(請求記録!$V$6:$V$3005,$M193)))</f>
        <v/>
      </c>
      <c r="D193">
        <f>IF($M193="","",IF(INDEX(請求記録!$W$6:$W$3005,$M193)="","",INDEX(請求記録!$W$6:$W$3005,$M193)))</f>
        <v/>
      </c>
      <c r="E193">
        <f>IF($M193="","",IF(INDEX(請求記録!$X$6:$X$3005,$M193)="","",INDEX(請求記録!$X$6:$X$3005,$M193)))</f>
        <v/>
      </c>
      <c r="F193" s="19">
        <f>IF($M193="","",IF(INDEX(請求記録!$E$6:$E$3005,$M193)="","",INDEX(請求記録!$E$6:$E$3005,$M193)))</f>
        <v/>
      </c>
      <c r="G193" s="19">
        <f>IF($M193="","",IF(INDEX(請求記録!$AC$6:$AC$3005,$M193)="","",INDEX(請求記録!$AC$6:$AC$3005,$M193)))</f>
        <v/>
      </c>
      <c r="H193">
        <f>IF($M193="","",IF(INDEX(請求記録!$AE$6:$AE$3005,$M193)="","",INDEX(請求記録!$AE$6:$AE$3005,$M193)))</f>
        <v/>
      </c>
      <c r="I193" s="20">
        <f>IF($M193="","",IF(INDEX(請求記録!$AF$6:$AF$3005,$M193)="","",INDEX(請求記録!$AF$6:$AF$3005,$M193)))</f>
        <v/>
      </c>
      <c r="J193">
        <f>IF($M193="","",IF(INDEX(請求記録!$AI$6:$AI$3005,$M193)="","",INDEX(請求記録!$AI$6:$AI$3005,$M193)))</f>
        <v/>
      </c>
      <c r="K193" s="20">
        <f>IF($M193="","",IF(INDEX(請求記録!$AH$6:$AH$3005,$M193)="","",INDEX(請求記録!$AH$6:$AH$3005,$M193)))</f>
        <v/>
      </c>
      <c r="L193">
        <f>IF($M193="","",IF(INDEX(請求記録!$AL$6:$AL$3005,$M193)="","",INDEX(請求記録!$AL$6:$AL$3005,$M193)))</f>
        <v/>
      </c>
      <c r="M193">
        <f>IFERROR(MATCH(188,請求記録!$AM$6:$AM$3005,0),"")</f>
        <v/>
      </c>
    </row>
    <row r="194">
      <c r="A194">
        <f>IF($M194="","",189)</f>
        <v/>
      </c>
      <c r="B194">
        <f>IF($M194="","",IF(INDEX(請求記録!$B$6:$B$3005,$M194)="","",INDEX(請求記録!$B$6:$B$3005,$M194)))</f>
        <v/>
      </c>
      <c r="C194">
        <f>IF($M194="","",IF(INDEX(請求記録!$V$6:$V$3005,$M194)="","",INDEX(請求記録!$V$6:$V$3005,$M194)))</f>
        <v/>
      </c>
      <c r="D194">
        <f>IF($M194="","",IF(INDEX(請求記録!$W$6:$W$3005,$M194)="","",INDEX(請求記録!$W$6:$W$3005,$M194)))</f>
        <v/>
      </c>
      <c r="E194">
        <f>IF($M194="","",IF(INDEX(請求記録!$X$6:$X$3005,$M194)="","",INDEX(請求記録!$X$6:$X$3005,$M194)))</f>
        <v/>
      </c>
      <c r="F194" s="19">
        <f>IF($M194="","",IF(INDEX(請求記録!$E$6:$E$3005,$M194)="","",INDEX(請求記録!$E$6:$E$3005,$M194)))</f>
        <v/>
      </c>
      <c r="G194" s="19">
        <f>IF($M194="","",IF(INDEX(請求記録!$AC$6:$AC$3005,$M194)="","",INDEX(請求記録!$AC$6:$AC$3005,$M194)))</f>
        <v/>
      </c>
      <c r="H194">
        <f>IF($M194="","",IF(INDEX(請求記録!$AE$6:$AE$3005,$M194)="","",INDEX(請求記録!$AE$6:$AE$3005,$M194)))</f>
        <v/>
      </c>
      <c r="I194" s="20">
        <f>IF($M194="","",IF(INDEX(請求記録!$AF$6:$AF$3005,$M194)="","",INDEX(請求記録!$AF$6:$AF$3005,$M194)))</f>
        <v/>
      </c>
      <c r="J194">
        <f>IF($M194="","",IF(INDEX(請求記録!$AI$6:$AI$3005,$M194)="","",INDEX(請求記録!$AI$6:$AI$3005,$M194)))</f>
        <v/>
      </c>
      <c r="K194" s="20">
        <f>IF($M194="","",IF(INDEX(請求記録!$AH$6:$AH$3005,$M194)="","",INDEX(請求記録!$AH$6:$AH$3005,$M194)))</f>
        <v/>
      </c>
      <c r="L194">
        <f>IF($M194="","",IF(INDEX(請求記録!$AL$6:$AL$3005,$M194)="","",INDEX(請求記録!$AL$6:$AL$3005,$M194)))</f>
        <v/>
      </c>
      <c r="M194">
        <f>IFERROR(MATCH(189,請求記録!$AM$6:$AM$3005,0),"")</f>
        <v/>
      </c>
    </row>
    <row r="195">
      <c r="A195">
        <f>IF($M195="","",190)</f>
        <v/>
      </c>
      <c r="B195">
        <f>IF($M195="","",IF(INDEX(請求記録!$B$6:$B$3005,$M195)="","",INDEX(請求記録!$B$6:$B$3005,$M195)))</f>
        <v/>
      </c>
      <c r="C195">
        <f>IF($M195="","",IF(INDEX(請求記録!$V$6:$V$3005,$M195)="","",INDEX(請求記録!$V$6:$V$3005,$M195)))</f>
        <v/>
      </c>
      <c r="D195">
        <f>IF($M195="","",IF(INDEX(請求記録!$W$6:$W$3005,$M195)="","",INDEX(請求記録!$W$6:$W$3005,$M195)))</f>
        <v/>
      </c>
      <c r="E195">
        <f>IF($M195="","",IF(INDEX(請求記録!$X$6:$X$3005,$M195)="","",INDEX(請求記録!$X$6:$X$3005,$M195)))</f>
        <v/>
      </c>
      <c r="F195" s="19">
        <f>IF($M195="","",IF(INDEX(請求記録!$E$6:$E$3005,$M195)="","",INDEX(請求記録!$E$6:$E$3005,$M195)))</f>
        <v/>
      </c>
      <c r="G195" s="19">
        <f>IF($M195="","",IF(INDEX(請求記録!$AC$6:$AC$3005,$M195)="","",INDEX(請求記録!$AC$6:$AC$3005,$M195)))</f>
        <v/>
      </c>
      <c r="H195">
        <f>IF($M195="","",IF(INDEX(請求記録!$AE$6:$AE$3005,$M195)="","",INDEX(請求記録!$AE$6:$AE$3005,$M195)))</f>
        <v/>
      </c>
      <c r="I195" s="20">
        <f>IF($M195="","",IF(INDEX(請求記録!$AF$6:$AF$3005,$M195)="","",INDEX(請求記録!$AF$6:$AF$3005,$M195)))</f>
        <v/>
      </c>
      <c r="J195">
        <f>IF($M195="","",IF(INDEX(請求記録!$AI$6:$AI$3005,$M195)="","",INDEX(請求記録!$AI$6:$AI$3005,$M195)))</f>
        <v/>
      </c>
      <c r="K195" s="20">
        <f>IF($M195="","",IF(INDEX(請求記録!$AH$6:$AH$3005,$M195)="","",INDEX(請求記録!$AH$6:$AH$3005,$M195)))</f>
        <v/>
      </c>
      <c r="L195">
        <f>IF($M195="","",IF(INDEX(請求記録!$AL$6:$AL$3005,$M195)="","",INDEX(請求記録!$AL$6:$AL$3005,$M195)))</f>
        <v/>
      </c>
      <c r="M195">
        <f>IFERROR(MATCH(190,請求記録!$AM$6:$AM$3005,0),"")</f>
        <v/>
      </c>
    </row>
    <row r="196">
      <c r="A196">
        <f>IF($M196="","",191)</f>
        <v/>
      </c>
      <c r="B196">
        <f>IF($M196="","",IF(INDEX(請求記録!$B$6:$B$3005,$M196)="","",INDEX(請求記録!$B$6:$B$3005,$M196)))</f>
        <v/>
      </c>
      <c r="C196">
        <f>IF($M196="","",IF(INDEX(請求記録!$V$6:$V$3005,$M196)="","",INDEX(請求記録!$V$6:$V$3005,$M196)))</f>
        <v/>
      </c>
      <c r="D196">
        <f>IF($M196="","",IF(INDEX(請求記録!$W$6:$W$3005,$M196)="","",INDEX(請求記録!$W$6:$W$3005,$M196)))</f>
        <v/>
      </c>
      <c r="E196">
        <f>IF($M196="","",IF(INDEX(請求記録!$X$6:$X$3005,$M196)="","",INDEX(請求記録!$X$6:$X$3005,$M196)))</f>
        <v/>
      </c>
      <c r="F196" s="19">
        <f>IF($M196="","",IF(INDEX(請求記録!$E$6:$E$3005,$M196)="","",INDEX(請求記録!$E$6:$E$3005,$M196)))</f>
        <v/>
      </c>
      <c r="G196" s="19">
        <f>IF($M196="","",IF(INDEX(請求記録!$AC$6:$AC$3005,$M196)="","",INDEX(請求記録!$AC$6:$AC$3005,$M196)))</f>
        <v/>
      </c>
      <c r="H196">
        <f>IF($M196="","",IF(INDEX(請求記録!$AE$6:$AE$3005,$M196)="","",INDEX(請求記録!$AE$6:$AE$3005,$M196)))</f>
        <v/>
      </c>
      <c r="I196" s="20">
        <f>IF($M196="","",IF(INDEX(請求記録!$AF$6:$AF$3005,$M196)="","",INDEX(請求記録!$AF$6:$AF$3005,$M196)))</f>
        <v/>
      </c>
      <c r="J196">
        <f>IF($M196="","",IF(INDEX(請求記録!$AI$6:$AI$3005,$M196)="","",INDEX(請求記録!$AI$6:$AI$3005,$M196)))</f>
        <v/>
      </c>
      <c r="K196" s="20">
        <f>IF($M196="","",IF(INDEX(請求記録!$AH$6:$AH$3005,$M196)="","",INDEX(請求記録!$AH$6:$AH$3005,$M196)))</f>
        <v/>
      </c>
      <c r="L196">
        <f>IF($M196="","",IF(INDEX(請求記録!$AL$6:$AL$3005,$M196)="","",INDEX(請求記録!$AL$6:$AL$3005,$M196)))</f>
        <v/>
      </c>
      <c r="M196">
        <f>IFERROR(MATCH(191,請求記録!$AM$6:$AM$3005,0),"")</f>
        <v/>
      </c>
    </row>
    <row r="197">
      <c r="A197">
        <f>IF($M197="","",192)</f>
        <v/>
      </c>
      <c r="B197">
        <f>IF($M197="","",IF(INDEX(請求記録!$B$6:$B$3005,$M197)="","",INDEX(請求記録!$B$6:$B$3005,$M197)))</f>
        <v/>
      </c>
      <c r="C197">
        <f>IF($M197="","",IF(INDEX(請求記録!$V$6:$V$3005,$M197)="","",INDEX(請求記録!$V$6:$V$3005,$M197)))</f>
        <v/>
      </c>
      <c r="D197">
        <f>IF($M197="","",IF(INDEX(請求記録!$W$6:$W$3005,$M197)="","",INDEX(請求記録!$W$6:$W$3005,$M197)))</f>
        <v/>
      </c>
      <c r="E197">
        <f>IF($M197="","",IF(INDEX(請求記録!$X$6:$X$3005,$M197)="","",INDEX(請求記録!$X$6:$X$3005,$M197)))</f>
        <v/>
      </c>
      <c r="F197" s="19">
        <f>IF($M197="","",IF(INDEX(請求記録!$E$6:$E$3005,$M197)="","",INDEX(請求記録!$E$6:$E$3005,$M197)))</f>
        <v/>
      </c>
      <c r="G197" s="19">
        <f>IF($M197="","",IF(INDEX(請求記録!$AC$6:$AC$3005,$M197)="","",INDEX(請求記録!$AC$6:$AC$3005,$M197)))</f>
        <v/>
      </c>
      <c r="H197">
        <f>IF($M197="","",IF(INDEX(請求記録!$AE$6:$AE$3005,$M197)="","",INDEX(請求記録!$AE$6:$AE$3005,$M197)))</f>
        <v/>
      </c>
      <c r="I197" s="20">
        <f>IF($M197="","",IF(INDEX(請求記録!$AF$6:$AF$3005,$M197)="","",INDEX(請求記録!$AF$6:$AF$3005,$M197)))</f>
        <v/>
      </c>
      <c r="J197">
        <f>IF($M197="","",IF(INDEX(請求記録!$AI$6:$AI$3005,$M197)="","",INDEX(請求記録!$AI$6:$AI$3005,$M197)))</f>
        <v/>
      </c>
      <c r="K197" s="20">
        <f>IF($M197="","",IF(INDEX(請求記録!$AH$6:$AH$3005,$M197)="","",INDEX(請求記録!$AH$6:$AH$3005,$M197)))</f>
        <v/>
      </c>
      <c r="L197">
        <f>IF($M197="","",IF(INDEX(請求記録!$AL$6:$AL$3005,$M197)="","",INDEX(請求記録!$AL$6:$AL$3005,$M197)))</f>
        <v/>
      </c>
      <c r="M197">
        <f>IFERROR(MATCH(192,請求記録!$AM$6:$AM$3005,0),"")</f>
        <v/>
      </c>
    </row>
    <row r="198">
      <c r="A198">
        <f>IF($M198="","",193)</f>
        <v/>
      </c>
      <c r="B198">
        <f>IF($M198="","",IF(INDEX(請求記録!$B$6:$B$3005,$M198)="","",INDEX(請求記録!$B$6:$B$3005,$M198)))</f>
        <v/>
      </c>
      <c r="C198">
        <f>IF($M198="","",IF(INDEX(請求記録!$V$6:$V$3005,$M198)="","",INDEX(請求記録!$V$6:$V$3005,$M198)))</f>
        <v/>
      </c>
      <c r="D198">
        <f>IF($M198="","",IF(INDEX(請求記録!$W$6:$W$3005,$M198)="","",INDEX(請求記録!$W$6:$W$3005,$M198)))</f>
        <v/>
      </c>
      <c r="E198">
        <f>IF($M198="","",IF(INDEX(請求記録!$X$6:$X$3005,$M198)="","",INDEX(請求記録!$X$6:$X$3005,$M198)))</f>
        <v/>
      </c>
      <c r="F198" s="19">
        <f>IF($M198="","",IF(INDEX(請求記録!$E$6:$E$3005,$M198)="","",INDEX(請求記録!$E$6:$E$3005,$M198)))</f>
        <v/>
      </c>
      <c r="G198" s="19">
        <f>IF($M198="","",IF(INDEX(請求記録!$AC$6:$AC$3005,$M198)="","",INDEX(請求記録!$AC$6:$AC$3005,$M198)))</f>
        <v/>
      </c>
      <c r="H198">
        <f>IF($M198="","",IF(INDEX(請求記録!$AE$6:$AE$3005,$M198)="","",INDEX(請求記録!$AE$6:$AE$3005,$M198)))</f>
        <v/>
      </c>
      <c r="I198" s="20">
        <f>IF($M198="","",IF(INDEX(請求記録!$AF$6:$AF$3005,$M198)="","",INDEX(請求記録!$AF$6:$AF$3005,$M198)))</f>
        <v/>
      </c>
      <c r="J198">
        <f>IF($M198="","",IF(INDEX(請求記録!$AI$6:$AI$3005,$M198)="","",INDEX(請求記録!$AI$6:$AI$3005,$M198)))</f>
        <v/>
      </c>
      <c r="K198" s="20">
        <f>IF($M198="","",IF(INDEX(請求記録!$AH$6:$AH$3005,$M198)="","",INDEX(請求記録!$AH$6:$AH$3005,$M198)))</f>
        <v/>
      </c>
      <c r="L198">
        <f>IF($M198="","",IF(INDEX(請求記録!$AL$6:$AL$3005,$M198)="","",INDEX(請求記録!$AL$6:$AL$3005,$M198)))</f>
        <v/>
      </c>
      <c r="M198">
        <f>IFERROR(MATCH(193,請求記録!$AM$6:$AM$3005,0),"")</f>
        <v/>
      </c>
    </row>
    <row r="199">
      <c r="A199">
        <f>IF($M199="","",194)</f>
        <v/>
      </c>
      <c r="B199">
        <f>IF($M199="","",IF(INDEX(請求記録!$B$6:$B$3005,$M199)="","",INDEX(請求記録!$B$6:$B$3005,$M199)))</f>
        <v/>
      </c>
      <c r="C199">
        <f>IF($M199="","",IF(INDEX(請求記録!$V$6:$V$3005,$M199)="","",INDEX(請求記録!$V$6:$V$3005,$M199)))</f>
        <v/>
      </c>
      <c r="D199">
        <f>IF($M199="","",IF(INDEX(請求記録!$W$6:$W$3005,$M199)="","",INDEX(請求記録!$W$6:$W$3005,$M199)))</f>
        <v/>
      </c>
      <c r="E199">
        <f>IF($M199="","",IF(INDEX(請求記録!$X$6:$X$3005,$M199)="","",INDEX(請求記録!$X$6:$X$3005,$M199)))</f>
        <v/>
      </c>
      <c r="F199" s="19">
        <f>IF($M199="","",IF(INDEX(請求記録!$E$6:$E$3005,$M199)="","",INDEX(請求記録!$E$6:$E$3005,$M199)))</f>
        <v/>
      </c>
      <c r="G199" s="19">
        <f>IF($M199="","",IF(INDEX(請求記録!$AC$6:$AC$3005,$M199)="","",INDEX(請求記録!$AC$6:$AC$3005,$M199)))</f>
        <v/>
      </c>
      <c r="H199">
        <f>IF($M199="","",IF(INDEX(請求記録!$AE$6:$AE$3005,$M199)="","",INDEX(請求記録!$AE$6:$AE$3005,$M199)))</f>
        <v/>
      </c>
      <c r="I199" s="20">
        <f>IF($M199="","",IF(INDEX(請求記録!$AF$6:$AF$3005,$M199)="","",INDEX(請求記録!$AF$6:$AF$3005,$M199)))</f>
        <v/>
      </c>
      <c r="J199">
        <f>IF($M199="","",IF(INDEX(請求記録!$AI$6:$AI$3005,$M199)="","",INDEX(請求記録!$AI$6:$AI$3005,$M199)))</f>
        <v/>
      </c>
      <c r="K199" s="20">
        <f>IF($M199="","",IF(INDEX(請求記録!$AH$6:$AH$3005,$M199)="","",INDEX(請求記録!$AH$6:$AH$3005,$M199)))</f>
        <v/>
      </c>
      <c r="L199">
        <f>IF($M199="","",IF(INDEX(請求記録!$AL$6:$AL$3005,$M199)="","",INDEX(請求記録!$AL$6:$AL$3005,$M199)))</f>
        <v/>
      </c>
      <c r="M199">
        <f>IFERROR(MATCH(194,請求記録!$AM$6:$AM$3005,0),"")</f>
        <v/>
      </c>
    </row>
    <row r="200">
      <c r="A200">
        <f>IF($M200="","",195)</f>
        <v/>
      </c>
      <c r="B200">
        <f>IF($M200="","",IF(INDEX(請求記録!$B$6:$B$3005,$M200)="","",INDEX(請求記録!$B$6:$B$3005,$M200)))</f>
        <v/>
      </c>
      <c r="C200">
        <f>IF($M200="","",IF(INDEX(請求記録!$V$6:$V$3005,$M200)="","",INDEX(請求記録!$V$6:$V$3005,$M200)))</f>
        <v/>
      </c>
      <c r="D200">
        <f>IF($M200="","",IF(INDEX(請求記録!$W$6:$W$3005,$M200)="","",INDEX(請求記録!$W$6:$W$3005,$M200)))</f>
        <v/>
      </c>
      <c r="E200">
        <f>IF($M200="","",IF(INDEX(請求記録!$X$6:$X$3005,$M200)="","",INDEX(請求記録!$X$6:$X$3005,$M200)))</f>
        <v/>
      </c>
      <c r="F200" s="19">
        <f>IF($M200="","",IF(INDEX(請求記録!$E$6:$E$3005,$M200)="","",INDEX(請求記録!$E$6:$E$3005,$M200)))</f>
        <v/>
      </c>
      <c r="G200" s="19">
        <f>IF($M200="","",IF(INDEX(請求記録!$AC$6:$AC$3005,$M200)="","",INDEX(請求記録!$AC$6:$AC$3005,$M200)))</f>
        <v/>
      </c>
      <c r="H200">
        <f>IF($M200="","",IF(INDEX(請求記録!$AE$6:$AE$3005,$M200)="","",INDEX(請求記録!$AE$6:$AE$3005,$M200)))</f>
        <v/>
      </c>
      <c r="I200" s="20">
        <f>IF($M200="","",IF(INDEX(請求記録!$AF$6:$AF$3005,$M200)="","",INDEX(請求記録!$AF$6:$AF$3005,$M200)))</f>
        <v/>
      </c>
      <c r="J200">
        <f>IF($M200="","",IF(INDEX(請求記録!$AI$6:$AI$3005,$M200)="","",INDEX(請求記録!$AI$6:$AI$3005,$M200)))</f>
        <v/>
      </c>
      <c r="K200" s="20">
        <f>IF($M200="","",IF(INDEX(請求記録!$AH$6:$AH$3005,$M200)="","",INDEX(請求記録!$AH$6:$AH$3005,$M200)))</f>
        <v/>
      </c>
      <c r="L200">
        <f>IF($M200="","",IF(INDEX(請求記録!$AL$6:$AL$3005,$M200)="","",INDEX(請求記録!$AL$6:$AL$3005,$M200)))</f>
        <v/>
      </c>
      <c r="M200">
        <f>IFERROR(MATCH(195,請求記録!$AM$6:$AM$3005,0),"")</f>
        <v/>
      </c>
    </row>
    <row r="201">
      <c r="A201">
        <f>IF($M201="","",196)</f>
        <v/>
      </c>
      <c r="B201">
        <f>IF($M201="","",IF(INDEX(請求記録!$B$6:$B$3005,$M201)="","",INDEX(請求記録!$B$6:$B$3005,$M201)))</f>
        <v/>
      </c>
      <c r="C201">
        <f>IF($M201="","",IF(INDEX(請求記録!$V$6:$V$3005,$M201)="","",INDEX(請求記録!$V$6:$V$3005,$M201)))</f>
        <v/>
      </c>
      <c r="D201">
        <f>IF($M201="","",IF(INDEX(請求記録!$W$6:$W$3005,$M201)="","",INDEX(請求記録!$W$6:$W$3005,$M201)))</f>
        <v/>
      </c>
      <c r="E201">
        <f>IF($M201="","",IF(INDEX(請求記録!$X$6:$X$3005,$M201)="","",INDEX(請求記録!$X$6:$X$3005,$M201)))</f>
        <v/>
      </c>
      <c r="F201" s="19">
        <f>IF($M201="","",IF(INDEX(請求記録!$E$6:$E$3005,$M201)="","",INDEX(請求記録!$E$6:$E$3005,$M201)))</f>
        <v/>
      </c>
      <c r="G201" s="19">
        <f>IF($M201="","",IF(INDEX(請求記録!$AC$6:$AC$3005,$M201)="","",INDEX(請求記録!$AC$6:$AC$3005,$M201)))</f>
        <v/>
      </c>
      <c r="H201">
        <f>IF($M201="","",IF(INDEX(請求記録!$AE$6:$AE$3005,$M201)="","",INDEX(請求記録!$AE$6:$AE$3005,$M201)))</f>
        <v/>
      </c>
      <c r="I201" s="20">
        <f>IF($M201="","",IF(INDEX(請求記録!$AF$6:$AF$3005,$M201)="","",INDEX(請求記録!$AF$6:$AF$3005,$M201)))</f>
        <v/>
      </c>
      <c r="J201">
        <f>IF($M201="","",IF(INDEX(請求記録!$AI$6:$AI$3005,$M201)="","",INDEX(請求記録!$AI$6:$AI$3005,$M201)))</f>
        <v/>
      </c>
      <c r="K201" s="20">
        <f>IF($M201="","",IF(INDEX(請求記録!$AH$6:$AH$3005,$M201)="","",INDEX(請求記録!$AH$6:$AH$3005,$M201)))</f>
        <v/>
      </c>
      <c r="L201">
        <f>IF($M201="","",IF(INDEX(請求記録!$AL$6:$AL$3005,$M201)="","",INDEX(請求記録!$AL$6:$AL$3005,$M201)))</f>
        <v/>
      </c>
      <c r="M201">
        <f>IFERROR(MATCH(196,請求記録!$AM$6:$AM$3005,0),"")</f>
        <v/>
      </c>
    </row>
    <row r="202">
      <c r="A202">
        <f>IF($M202="","",197)</f>
        <v/>
      </c>
      <c r="B202">
        <f>IF($M202="","",IF(INDEX(請求記録!$B$6:$B$3005,$M202)="","",INDEX(請求記録!$B$6:$B$3005,$M202)))</f>
        <v/>
      </c>
      <c r="C202">
        <f>IF($M202="","",IF(INDEX(請求記録!$V$6:$V$3005,$M202)="","",INDEX(請求記録!$V$6:$V$3005,$M202)))</f>
        <v/>
      </c>
      <c r="D202">
        <f>IF($M202="","",IF(INDEX(請求記録!$W$6:$W$3005,$M202)="","",INDEX(請求記録!$W$6:$W$3005,$M202)))</f>
        <v/>
      </c>
      <c r="E202">
        <f>IF($M202="","",IF(INDEX(請求記録!$X$6:$X$3005,$M202)="","",INDEX(請求記録!$X$6:$X$3005,$M202)))</f>
        <v/>
      </c>
      <c r="F202" s="19">
        <f>IF($M202="","",IF(INDEX(請求記録!$E$6:$E$3005,$M202)="","",INDEX(請求記録!$E$6:$E$3005,$M202)))</f>
        <v/>
      </c>
      <c r="G202" s="19">
        <f>IF($M202="","",IF(INDEX(請求記録!$AC$6:$AC$3005,$M202)="","",INDEX(請求記録!$AC$6:$AC$3005,$M202)))</f>
        <v/>
      </c>
      <c r="H202">
        <f>IF($M202="","",IF(INDEX(請求記録!$AE$6:$AE$3005,$M202)="","",INDEX(請求記録!$AE$6:$AE$3005,$M202)))</f>
        <v/>
      </c>
      <c r="I202" s="20">
        <f>IF($M202="","",IF(INDEX(請求記録!$AF$6:$AF$3005,$M202)="","",INDEX(請求記録!$AF$6:$AF$3005,$M202)))</f>
        <v/>
      </c>
      <c r="J202">
        <f>IF($M202="","",IF(INDEX(請求記録!$AI$6:$AI$3005,$M202)="","",INDEX(請求記録!$AI$6:$AI$3005,$M202)))</f>
        <v/>
      </c>
      <c r="K202" s="20">
        <f>IF($M202="","",IF(INDEX(請求記録!$AH$6:$AH$3005,$M202)="","",INDEX(請求記録!$AH$6:$AH$3005,$M202)))</f>
        <v/>
      </c>
      <c r="L202">
        <f>IF($M202="","",IF(INDEX(請求記録!$AL$6:$AL$3005,$M202)="","",INDEX(請求記録!$AL$6:$AL$3005,$M202)))</f>
        <v/>
      </c>
      <c r="M202">
        <f>IFERROR(MATCH(197,請求記録!$AM$6:$AM$3005,0),"")</f>
        <v/>
      </c>
    </row>
    <row r="203">
      <c r="A203">
        <f>IF($M203="","",198)</f>
        <v/>
      </c>
      <c r="B203">
        <f>IF($M203="","",IF(INDEX(請求記録!$B$6:$B$3005,$M203)="","",INDEX(請求記録!$B$6:$B$3005,$M203)))</f>
        <v/>
      </c>
      <c r="C203">
        <f>IF($M203="","",IF(INDEX(請求記録!$V$6:$V$3005,$M203)="","",INDEX(請求記録!$V$6:$V$3005,$M203)))</f>
        <v/>
      </c>
      <c r="D203">
        <f>IF($M203="","",IF(INDEX(請求記録!$W$6:$W$3005,$M203)="","",INDEX(請求記録!$W$6:$W$3005,$M203)))</f>
        <v/>
      </c>
      <c r="E203">
        <f>IF($M203="","",IF(INDEX(請求記録!$X$6:$X$3005,$M203)="","",INDEX(請求記録!$X$6:$X$3005,$M203)))</f>
        <v/>
      </c>
      <c r="F203" s="19">
        <f>IF($M203="","",IF(INDEX(請求記録!$E$6:$E$3005,$M203)="","",INDEX(請求記録!$E$6:$E$3005,$M203)))</f>
        <v/>
      </c>
      <c r="G203" s="19">
        <f>IF($M203="","",IF(INDEX(請求記録!$AC$6:$AC$3005,$M203)="","",INDEX(請求記録!$AC$6:$AC$3005,$M203)))</f>
        <v/>
      </c>
      <c r="H203">
        <f>IF($M203="","",IF(INDEX(請求記録!$AE$6:$AE$3005,$M203)="","",INDEX(請求記録!$AE$6:$AE$3005,$M203)))</f>
        <v/>
      </c>
      <c r="I203" s="20">
        <f>IF($M203="","",IF(INDEX(請求記録!$AF$6:$AF$3005,$M203)="","",INDEX(請求記録!$AF$6:$AF$3005,$M203)))</f>
        <v/>
      </c>
      <c r="J203">
        <f>IF($M203="","",IF(INDEX(請求記録!$AI$6:$AI$3005,$M203)="","",INDEX(請求記録!$AI$6:$AI$3005,$M203)))</f>
        <v/>
      </c>
      <c r="K203" s="20">
        <f>IF($M203="","",IF(INDEX(請求記録!$AH$6:$AH$3005,$M203)="","",INDEX(請求記録!$AH$6:$AH$3005,$M203)))</f>
        <v/>
      </c>
      <c r="L203">
        <f>IF($M203="","",IF(INDEX(請求記録!$AL$6:$AL$3005,$M203)="","",INDEX(請求記録!$AL$6:$AL$3005,$M203)))</f>
        <v/>
      </c>
      <c r="M203">
        <f>IFERROR(MATCH(198,請求記録!$AM$6:$AM$3005,0),"")</f>
        <v/>
      </c>
    </row>
    <row r="204">
      <c r="A204">
        <f>IF($M204="","",199)</f>
        <v/>
      </c>
      <c r="B204">
        <f>IF($M204="","",IF(INDEX(請求記録!$B$6:$B$3005,$M204)="","",INDEX(請求記録!$B$6:$B$3005,$M204)))</f>
        <v/>
      </c>
      <c r="C204">
        <f>IF($M204="","",IF(INDEX(請求記録!$V$6:$V$3005,$M204)="","",INDEX(請求記録!$V$6:$V$3005,$M204)))</f>
        <v/>
      </c>
      <c r="D204">
        <f>IF($M204="","",IF(INDEX(請求記録!$W$6:$W$3005,$M204)="","",INDEX(請求記録!$W$6:$W$3005,$M204)))</f>
        <v/>
      </c>
      <c r="E204">
        <f>IF($M204="","",IF(INDEX(請求記録!$X$6:$X$3005,$M204)="","",INDEX(請求記録!$X$6:$X$3005,$M204)))</f>
        <v/>
      </c>
      <c r="F204" s="19">
        <f>IF($M204="","",IF(INDEX(請求記録!$E$6:$E$3005,$M204)="","",INDEX(請求記録!$E$6:$E$3005,$M204)))</f>
        <v/>
      </c>
      <c r="G204" s="19">
        <f>IF($M204="","",IF(INDEX(請求記録!$AC$6:$AC$3005,$M204)="","",INDEX(請求記録!$AC$6:$AC$3005,$M204)))</f>
        <v/>
      </c>
      <c r="H204">
        <f>IF($M204="","",IF(INDEX(請求記録!$AE$6:$AE$3005,$M204)="","",INDEX(請求記録!$AE$6:$AE$3005,$M204)))</f>
        <v/>
      </c>
      <c r="I204" s="20">
        <f>IF($M204="","",IF(INDEX(請求記録!$AF$6:$AF$3005,$M204)="","",INDEX(請求記録!$AF$6:$AF$3005,$M204)))</f>
        <v/>
      </c>
      <c r="J204">
        <f>IF($M204="","",IF(INDEX(請求記録!$AI$6:$AI$3005,$M204)="","",INDEX(請求記録!$AI$6:$AI$3005,$M204)))</f>
        <v/>
      </c>
      <c r="K204" s="20">
        <f>IF($M204="","",IF(INDEX(請求記録!$AH$6:$AH$3005,$M204)="","",INDEX(請求記録!$AH$6:$AH$3005,$M204)))</f>
        <v/>
      </c>
      <c r="L204">
        <f>IF($M204="","",IF(INDEX(請求記録!$AL$6:$AL$3005,$M204)="","",INDEX(請求記録!$AL$6:$AL$3005,$M204)))</f>
        <v/>
      </c>
      <c r="M204">
        <f>IFERROR(MATCH(199,請求記録!$AM$6:$AM$3005,0),"")</f>
        <v/>
      </c>
    </row>
    <row r="205">
      <c r="A205">
        <f>IF($M205="","",200)</f>
        <v/>
      </c>
      <c r="B205">
        <f>IF($M205="","",IF(INDEX(請求記録!$B$6:$B$3005,$M205)="","",INDEX(請求記録!$B$6:$B$3005,$M205)))</f>
        <v/>
      </c>
      <c r="C205">
        <f>IF($M205="","",IF(INDEX(請求記録!$V$6:$V$3005,$M205)="","",INDEX(請求記録!$V$6:$V$3005,$M205)))</f>
        <v/>
      </c>
      <c r="D205">
        <f>IF($M205="","",IF(INDEX(請求記録!$W$6:$W$3005,$M205)="","",INDEX(請求記録!$W$6:$W$3005,$M205)))</f>
        <v/>
      </c>
      <c r="E205">
        <f>IF($M205="","",IF(INDEX(請求記録!$X$6:$X$3005,$M205)="","",INDEX(請求記録!$X$6:$X$3005,$M205)))</f>
        <v/>
      </c>
      <c r="F205" s="19">
        <f>IF($M205="","",IF(INDEX(請求記録!$E$6:$E$3005,$M205)="","",INDEX(請求記録!$E$6:$E$3005,$M205)))</f>
        <v/>
      </c>
      <c r="G205" s="19">
        <f>IF($M205="","",IF(INDEX(請求記録!$AC$6:$AC$3005,$M205)="","",INDEX(請求記録!$AC$6:$AC$3005,$M205)))</f>
        <v/>
      </c>
      <c r="H205">
        <f>IF($M205="","",IF(INDEX(請求記録!$AE$6:$AE$3005,$M205)="","",INDEX(請求記録!$AE$6:$AE$3005,$M205)))</f>
        <v/>
      </c>
      <c r="I205" s="20">
        <f>IF($M205="","",IF(INDEX(請求記録!$AF$6:$AF$3005,$M205)="","",INDEX(請求記録!$AF$6:$AF$3005,$M205)))</f>
        <v/>
      </c>
      <c r="J205">
        <f>IF($M205="","",IF(INDEX(請求記録!$AI$6:$AI$3005,$M205)="","",INDEX(請求記録!$AI$6:$AI$3005,$M205)))</f>
        <v/>
      </c>
      <c r="K205" s="20">
        <f>IF($M205="","",IF(INDEX(請求記録!$AH$6:$AH$3005,$M205)="","",INDEX(請求記録!$AH$6:$AH$3005,$M205)))</f>
        <v/>
      </c>
      <c r="L205">
        <f>IF($M205="","",IF(INDEX(請求記録!$AL$6:$AL$3005,$M205)="","",INDEX(請求記録!$AL$6:$AL$3005,$M205)))</f>
        <v/>
      </c>
      <c r="M205">
        <f>IFERROR(MATCH(200,請求記録!$AM$6:$AM$3005,0),"")</f>
        <v/>
      </c>
    </row>
    <row r="208">
      <c r="A208" s="21" t="inlineStr">
        <is>
          <t>▼ 職員単位の保留（請求前の保留：育休期間の変更待ちなど）</t>
        </is>
      </c>
    </row>
    <row r="209" ht="34" customHeight="1">
      <c r="A209" s="9" t="inlineStr">
        <is>
          <t>No</t>
        </is>
      </c>
      <c r="B209" s="9" t="inlineStr">
        <is>
          <t>職員番号</t>
        </is>
      </c>
      <c r="C209" s="9" t="inlineStr">
        <is>
          <t>氏名</t>
        </is>
      </c>
      <c r="D209" s="9" t="inlineStr">
        <is>
          <t>所属</t>
        </is>
      </c>
      <c r="E209" s="9" t="inlineStr">
        <is>
          <t>標準報酬月額</t>
        </is>
      </c>
      <c r="F209" s="9" t="inlineStr">
        <is>
          <t>保留理由</t>
        </is>
      </c>
      <c r="G209" s="9" t="inlineStr">
        <is>
          <t>保留開始日</t>
        </is>
      </c>
      <c r="H209" s="9" t="inlineStr">
        <is>
          <t>経過日数</t>
        </is>
      </c>
      <c r="I209" s="9" t="inlineStr">
        <is>
          <t>職員メモ</t>
        </is>
      </c>
      <c r="J209" s="9" t="inlineStr">
        <is>
          <t>行</t>
        </is>
      </c>
    </row>
    <row r="210">
      <c r="A210">
        <f>IF($J210="","",1)</f>
        <v/>
      </c>
      <c r="B210">
        <f>IF($J210="","",IF(INDEX(職員マスタ!$A$6:$A$405,$J210)="","",INDEX(職員マスタ!$A$6:$A$405,$J210)))</f>
        <v/>
      </c>
      <c r="C210">
        <f>IF($J210="","",IF(INDEX(職員マスタ!$B$6:$B$405,$J210)="","",INDEX(職員マスタ!$B$6:$B$405,$J210)))</f>
        <v/>
      </c>
      <c r="D210">
        <f>IF($J210="","",IF(INDEX(職員マスタ!$C$6:$C$405,$J210)="","",INDEX(職員マスタ!$C$6:$C$405,$J210)))</f>
        <v/>
      </c>
      <c r="E210" s="19">
        <f>IF($J210="","",IF(INDEX(職員マスタ!$K$6:$K$405,$J210)="","",INDEX(職員マスタ!$K$6:$K$405,$J210)))</f>
        <v/>
      </c>
      <c r="F210">
        <f>IF($J210="","",IF(INDEX(職員マスタ!$M$6:$M$405,$J210)="","",INDEX(職員マスタ!$M$6:$M$405,$J210)))</f>
        <v/>
      </c>
      <c r="G210" s="20">
        <f>IF($J210="","",IF(INDEX(職員マスタ!$N$6:$N$405,$J210)="","",INDEX(職員マスタ!$N$6:$N$405,$J210)))</f>
        <v/>
      </c>
      <c r="H210">
        <f>IF(OR($J210="",$G210=""),"",TODAY()-$G210)</f>
        <v/>
      </c>
      <c r="I210">
        <f>IF($J210="","",IF(INDEX(職員マスタ!$L$6:$L$405,$J210)="","",INDEX(職員マスタ!$L$6:$L$405,$J210)))</f>
        <v/>
      </c>
      <c r="J210">
        <f>IFERROR(MATCH(1,職員マスタ!$Q$6:$Q$405,0),"")</f>
        <v/>
      </c>
    </row>
    <row r="211">
      <c r="A211">
        <f>IF($J211="","",2)</f>
        <v/>
      </c>
      <c r="B211">
        <f>IF($J211="","",IF(INDEX(職員マスタ!$A$6:$A$405,$J211)="","",INDEX(職員マスタ!$A$6:$A$405,$J211)))</f>
        <v/>
      </c>
      <c r="C211">
        <f>IF($J211="","",IF(INDEX(職員マスタ!$B$6:$B$405,$J211)="","",INDEX(職員マスタ!$B$6:$B$405,$J211)))</f>
        <v/>
      </c>
      <c r="D211">
        <f>IF($J211="","",IF(INDEX(職員マスタ!$C$6:$C$405,$J211)="","",INDEX(職員マスタ!$C$6:$C$405,$J211)))</f>
        <v/>
      </c>
      <c r="E211" s="19">
        <f>IF($J211="","",IF(INDEX(職員マスタ!$K$6:$K$405,$J211)="","",INDEX(職員マスタ!$K$6:$K$405,$J211)))</f>
        <v/>
      </c>
      <c r="F211">
        <f>IF($J211="","",IF(INDEX(職員マスタ!$M$6:$M$405,$J211)="","",INDEX(職員マスタ!$M$6:$M$405,$J211)))</f>
        <v/>
      </c>
      <c r="G211" s="20">
        <f>IF($J211="","",IF(INDEX(職員マスタ!$N$6:$N$405,$J211)="","",INDEX(職員マスタ!$N$6:$N$405,$J211)))</f>
        <v/>
      </c>
      <c r="H211">
        <f>IF(OR($J211="",$G211=""),"",TODAY()-$G211)</f>
        <v/>
      </c>
      <c r="I211">
        <f>IF($J211="","",IF(INDEX(職員マスタ!$L$6:$L$405,$J211)="","",INDEX(職員マスタ!$L$6:$L$405,$J211)))</f>
        <v/>
      </c>
      <c r="J211">
        <f>IFERROR(MATCH(2,職員マスタ!$Q$6:$Q$405,0),"")</f>
        <v/>
      </c>
    </row>
    <row r="212">
      <c r="A212">
        <f>IF($J212="","",3)</f>
        <v/>
      </c>
      <c r="B212">
        <f>IF($J212="","",IF(INDEX(職員マスタ!$A$6:$A$405,$J212)="","",INDEX(職員マスタ!$A$6:$A$405,$J212)))</f>
        <v/>
      </c>
      <c r="C212">
        <f>IF($J212="","",IF(INDEX(職員マスタ!$B$6:$B$405,$J212)="","",INDEX(職員マスタ!$B$6:$B$405,$J212)))</f>
        <v/>
      </c>
      <c r="D212">
        <f>IF($J212="","",IF(INDEX(職員マスタ!$C$6:$C$405,$J212)="","",INDEX(職員マスタ!$C$6:$C$405,$J212)))</f>
        <v/>
      </c>
      <c r="E212" s="19">
        <f>IF($J212="","",IF(INDEX(職員マスタ!$K$6:$K$405,$J212)="","",INDEX(職員マスタ!$K$6:$K$405,$J212)))</f>
        <v/>
      </c>
      <c r="F212">
        <f>IF($J212="","",IF(INDEX(職員マスタ!$M$6:$M$405,$J212)="","",INDEX(職員マスタ!$M$6:$M$405,$J212)))</f>
        <v/>
      </c>
      <c r="G212" s="20">
        <f>IF($J212="","",IF(INDEX(職員マスタ!$N$6:$N$405,$J212)="","",INDEX(職員マスタ!$N$6:$N$405,$J212)))</f>
        <v/>
      </c>
      <c r="H212">
        <f>IF(OR($J212="",$G212=""),"",TODAY()-$G212)</f>
        <v/>
      </c>
      <c r="I212">
        <f>IF($J212="","",IF(INDEX(職員マスタ!$L$6:$L$405,$J212)="","",INDEX(職員マスタ!$L$6:$L$405,$J212)))</f>
        <v/>
      </c>
      <c r="J212">
        <f>IFERROR(MATCH(3,職員マスタ!$Q$6:$Q$405,0),"")</f>
        <v/>
      </c>
    </row>
    <row r="213">
      <c r="A213">
        <f>IF($J213="","",4)</f>
        <v/>
      </c>
      <c r="B213">
        <f>IF($J213="","",IF(INDEX(職員マスタ!$A$6:$A$405,$J213)="","",INDEX(職員マスタ!$A$6:$A$405,$J213)))</f>
        <v/>
      </c>
      <c r="C213">
        <f>IF($J213="","",IF(INDEX(職員マスタ!$B$6:$B$405,$J213)="","",INDEX(職員マスタ!$B$6:$B$405,$J213)))</f>
        <v/>
      </c>
      <c r="D213">
        <f>IF($J213="","",IF(INDEX(職員マスタ!$C$6:$C$405,$J213)="","",INDEX(職員マスタ!$C$6:$C$405,$J213)))</f>
        <v/>
      </c>
      <c r="E213" s="19">
        <f>IF($J213="","",IF(INDEX(職員マスタ!$K$6:$K$405,$J213)="","",INDEX(職員マスタ!$K$6:$K$405,$J213)))</f>
        <v/>
      </c>
      <c r="F213">
        <f>IF($J213="","",IF(INDEX(職員マスタ!$M$6:$M$405,$J213)="","",INDEX(職員マスタ!$M$6:$M$405,$J213)))</f>
        <v/>
      </c>
      <c r="G213" s="20">
        <f>IF($J213="","",IF(INDEX(職員マスタ!$N$6:$N$405,$J213)="","",INDEX(職員マスタ!$N$6:$N$405,$J213)))</f>
        <v/>
      </c>
      <c r="H213">
        <f>IF(OR($J213="",$G213=""),"",TODAY()-$G213)</f>
        <v/>
      </c>
      <c r="I213">
        <f>IF($J213="","",IF(INDEX(職員マスタ!$L$6:$L$405,$J213)="","",INDEX(職員マスタ!$L$6:$L$405,$J213)))</f>
        <v/>
      </c>
      <c r="J213">
        <f>IFERROR(MATCH(4,職員マスタ!$Q$6:$Q$405,0),"")</f>
        <v/>
      </c>
    </row>
    <row r="214">
      <c r="A214">
        <f>IF($J214="","",5)</f>
        <v/>
      </c>
      <c r="B214">
        <f>IF($J214="","",IF(INDEX(職員マスタ!$A$6:$A$405,$J214)="","",INDEX(職員マスタ!$A$6:$A$405,$J214)))</f>
        <v/>
      </c>
      <c r="C214">
        <f>IF($J214="","",IF(INDEX(職員マスタ!$B$6:$B$405,$J214)="","",INDEX(職員マスタ!$B$6:$B$405,$J214)))</f>
        <v/>
      </c>
      <c r="D214">
        <f>IF($J214="","",IF(INDEX(職員マスタ!$C$6:$C$405,$J214)="","",INDEX(職員マスタ!$C$6:$C$405,$J214)))</f>
        <v/>
      </c>
      <c r="E214" s="19">
        <f>IF($J214="","",IF(INDEX(職員マスタ!$K$6:$K$405,$J214)="","",INDEX(職員マスタ!$K$6:$K$405,$J214)))</f>
        <v/>
      </c>
      <c r="F214">
        <f>IF($J214="","",IF(INDEX(職員マスタ!$M$6:$M$405,$J214)="","",INDEX(職員マスタ!$M$6:$M$405,$J214)))</f>
        <v/>
      </c>
      <c r="G214" s="20">
        <f>IF($J214="","",IF(INDEX(職員マスタ!$N$6:$N$405,$J214)="","",INDEX(職員マスタ!$N$6:$N$405,$J214)))</f>
        <v/>
      </c>
      <c r="H214">
        <f>IF(OR($J214="",$G214=""),"",TODAY()-$G214)</f>
        <v/>
      </c>
      <c r="I214">
        <f>IF($J214="","",IF(INDEX(職員マスタ!$L$6:$L$405,$J214)="","",INDEX(職員マスタ!$L$6:$L$405,$J214)))</f>
        <v/>
      </c>
      <c r="J214">
        <f>IFERROR(MATCH(5,職員マスタ!$Q$6:$Q$405,0),"")</f>
        <v/>
      </c>
    </row>
    <row r="215">
      <c r="A215">
        <f>IF($J215="","",6)</f>
        <v/>
      </c>
      <c r="B215">
        <f>IF($J215="","",IF(INDEX(職員マスタ!$A$6:$A$405,$J215)="","",INDEX(職員マスタ!$A$6:$A$405,$J215)))</f>
        <v/>
      </c>
      <c r="C215">
        <f>IF($J215="","",IF(INDEX(職員マスタ!$B$6:$B$405,$J215)="","",INDEX(職員マスタ!$B$6:$B$405,$J215)))</f>
        <v/>
      </c>
      <c r="D215">
        <f>IF($J215="","",IF(INDEX(職員マスタ!$C$6:$C$405,$J215)="","",INDEX(職員マスタ!$C$6:$C$405,$J215)))</f>
        <v/>
      </c>
      <c r="E215" s="19">
        <f>IF($J215="","",IF(INDEX(職員マスタ!$K$6:$K$405,$J215)="","",INDEX(職員マスタ!$K$6:$K$405,$J215)))</f>
        <v/>
      </c>
      <c r="F215">
        <f>IF($J215="","",IF(INDEX(職員マスタ!$M$6:$M$405,$J215)="","",INDEX(職員マスタ!$M$6:$M$405,$J215)))</f>
        <v/>
      </c>
      <c r="G215" s="20">
        <f>IF($J215="","",IF(INDEX(職員マスタ!$N$6:$N$405,$J215)="","",INDEX(職員マスタ!$N$6:$N$405,$J215)))</f>
        <v/>
      </c>
      <c r="H215">
        <f>IF(OR($J215="",$G215=""),"",TODAY()-$G215)</f>
        <v/>
      </c>
      <c r="I215">
        <f>IF($J215="","",IF(INDEX(職員マスタ!$L$6:$L$405,$J215)="","",INDEX(職員マスタ!$L$6:$L$405,$J215)))</f>
        <v/>
      </c>
      <c r="J215">
        <f>IFERROR(MATCH(6,職員マスタ!$Q$6:$Q$405,0),"")</f>
        <v/>
      </c>
    </row>
    <row r="216">
      <c r="A216">
        <f>IF($J216="","",7)</f>
        <v/>
      </c>
      <c r="B216">
        <f>IF($J216="","",IF(INDEX(職員マスタ!$A$6:$A$405,$J216)="","",INDEX(職員マスタ!$A$6:$A$405,$J216)))</f>
        <v/>
      </c>
      <c r="C216">
        <f>IF($J216="","",IF(INDEX(職員マスタ!$B$6:$B$405,$J216)="","",INDEX(職員マスタ!$B$6:$B$405,$J216)))</f>
        <v/>
      </c>
      <c r="D216">
        <f>IF($J216="","",IF(INDEX(職員マスタ!$C$6:$C$405,$J216)="","",INDEX(職員マスタ!$C$6:$C$405,$J216)))</f>
        <v/>
      </c>
      <c r="E216" s="19">
        <f>IF($J216="","",IF(INDEX(職員マスタ!$K$6:$K$405,$J216)="","",INDEX(職員マスタ!$K$6:$K$405,$J216)))</f>
        <v/>
      </c>
      <c r="F216">
        <f>IF($J216="","",IF(INDEX(職員マスタ!$M$6:$M$405,$J216)="","",INDEX(職員マスタ!$M$6:$M$405,$J216)))</f>
        <v/>
      </c>
      <c r="G216" s="20">
        <f>IF($J216="","",IF(INDEX(職員マスタ!$N$6:$N$405,$J216)="","",INDEX(職員マスタ!$N$6:$N$405,$J216)))</f>
        <v/>
      </c>
      <c r="H216">
        <f>IF(OR($J216="",$G216=""),"",TODAY()-$G216)</f>
        <v/>
      </c>
      <c r="I216">
        <f>IF($J216="","",IF(INDEX(職員マスタ!$L$6:$L$405,$J216)="","",INDEX(職員マスタ!$L$6:$L$405,$J216)))</f>
        <v/>
      </c>
      <c r="J216">
        <f>IFERROR(MATCH(7,職員マスタ!$Q$6:$Q$405,0),"")</f>
        <v/>
      </c>
    </row>
    <row r="217">
      <c r="A217">
        <f>IF($J217="","",8)</f>
        <v/>
      </c>
      <c r="B217">
        <f>IF($J217="","",IF(INDEX(職員マスタ!$A$6:$A$405,$J217)="","",INDEX(職員マスタ!$A$6:$A$405,$J217)))</f>
        <v/>
      </c>
      <c r="C217">
        <f>IF($J217="","",IF(INDEX(職員マスタ!$B$6:$B$405,$J217)="","",INDEX(職員マスタ!$B$6:$B$405,$J217)))</f>
        <v/>
      </c>
      <c r="D217">
        <f>IF($J217="","",IF(INDEX(職員マスタ!$C$6:$C$405,$J217)="","",INDEX(職員マスタ!$C$6:$C$405,$J217)))</f>
        <v/>
      </c>
      <c r="E217" s="19">
        <f>IF($J217="","",IF(INDEX(職員マスタ!$K$6:$K$405,$J217)="","",INDEX(職員マスタ!$K$6:$K$405,$J217)))</f>
        <v/>
      </c>
      <c r="F217">
        <f>IF($J217="","",IF(INDEX(職員マスタ!$M$6:$M$405,$J217)="","",INDEX(職員マスタ!$M$6:$M$405,$J217)))</f>
        <v/>
      </c>
      <c r="G217" s="20">
        <f>IF($J217="","",IF(INDEX(職員マスタ!$N$6:$N$405,$J217)="","",INDEX(職員マスタ!$N$6:$N$405,$J217)))</f>
        <v/>
      </c>
      <c r="H217">
        <f>IF(OR($J217="",$G217=""),"",TODAY()-$G217)</f>
        <v/>
      </c>
      <c r="I217">
        <f>IF($J217="","",IF(INDEX(職員マスタ!$L$6:$L$405,$J217)="","",INDEX(職員マスタ!$L$6:$L$405,$J217)))</f>
        <v/>
      </c>
      <c r="J217">
        <f>IFERROR(MATCH(8,職員マスタ!$Q$6:$Q$405,0),"")</f>
        <v/>
      </c>
    </row>
    <row r="218">
      <c r="A218">
        <f>IF($J218="","",9)</f>
        <v/>
      </c>
      <c r="B218">
        <f>IF($J218="","",IF(INDEX(職員マスタ!$A$6:$A$405,$J218)="","",INDEX(職員マスタ!$A$6:$A$405,$J218)))</f>
        <v/>
      </c>
      <c r="C218">
        <f>IF($J218="","",IF(INDEX(職員マスタ!$B$6:$B$405,$J218)="","",INDEX(職員マスタ!$B$6:$B$405,$J218)))</f>
        <v/>
      </c>
      <c r="D218">
        <f>IF($J218="","",IF(INDEX(職員マスタ!$C$6:$C$405,$J218)="","",INDEX(職員マスタ!$C$6:$C$405,$J218)))</f>
        <v/>
      </c>
      <c r="E218" s="19">
        <f>IF($J218="","",IF(INDEX(職員マスタ!$K$6:$K$405,$J218)="","",INDEX(職員マスタ!$K$6:$K$405,$J218)))</f>
        <v/>
      </c>
      <c r="F218">
        <f>IF($J218="","",IF(INDEX(職員マスタ!$M$6:$M$405,$J218)="","",INDEX(職員マスタ!$M$6:$M$405,$J218)))</f>
        <v/>
      </c>
      <c r="G218" s="20">
        <f>IF($J218="","",IF(INDEX(職員マスタ!$N$6:$N$405,$J218)="","",INDEX(職員マスタ!$N$6:$N$405,$J218)))</f>
        <v/>
      </c>
      <c r="H218">
        <f>IF(OR($J218="",$G218=""),"",TODAY()-$G218)</f>
        <v/>
      </c>
      <c r="I218">
        <f>IF($J218="","",IF(INDEX(職員マスタ!$L$6:$L$405,$J218)="","",INDEX(職員マスタ!$L$6:$L$405,$J218)))</f>
        <v/>
      </c>
      <c r="J218">
        <f>IFERROR(MATCH(9,職員マスタ!$Q$6:$Q$405,0),"")</f>
        <v/>
      </c>
    </row>
    <row r="219">
      <c r="A219">
        <f>IF($J219="","",10)</f>
        <v/>
      </c>
      <c r="B219">
        <f>IF($J219="","",IF(INDEX(職員マスタ!$A$6:$A$405,$J219)="","",INDEX(職員マスタ!$A$6:$A$405,$J219)))</f>
        <v/>
      </c>
      <c r="C219">
        <f>IF($J219="","",IF(INDEX(職員マスタ!$B$6:$B$405,$J219)="","",INDEX(職員マスタ!$B$6:$B$405,$J219)))</f>
        <v/>
      </c>
      <c r="D219">
        <f>IF($J219="","",IF(INDEX(職員マスタ!$C$6:$C$405,$J219)="","",INDEX(職員マスタ!$C$6:$C$405,$J219)))</f>
        <v/>
      </c>
      <c r="E219" s="19">
        <f>IF($J219="","",IF(INDEX(職員マスタ!$K$6:$K$405,$J219)="","",INDEX(職員マスタ!$K$6:$K$405,$J219)))</f>
        <v/>
      </c>
      <c r="F219">
        <f>IF($J219="","",IF(INDEX(職員マスタ!$M$6:$M$405,$J219)="","",INDEX(職員マスタ!$M$6:$M$405,$J219)))</f>
        <v/>
      </c>
      <c r="G219" s="20">
        <f>IF($J219="","",IF(INDEX(職員マスタ!$N$6:$N$405,$J219)="","",INDEX(職員マスタ!$N$6:$N$405,$J219)))</f>
        <v/>
      </c>
      <c r="H219">
        <f>IF(OR($J219="",$G219=""),"",TODAY()-$G219)</f>
        <v/>
      </c>
      <c r="I219">
        <f>IF($J219="","",IF(INDEX(職員マスタ!$L$6:$L$405,$J219)="","",INDEX(職員マスタ!$L$6:$L$405,$J219)))</f>
        <v/>
      </c>
      <c r="J219">
        <f>IFERROR(MATCH(10,職員マスタ!$Q$6:$Q$405,0),"")</f>
        <v/>
      </c>
    </row>
    <row r="220">
      <c r="A220">
        <f>IF($J220="","",11)</f>
        <v/>
      </c>
      <c r="B220">
        <f>IF($J220="","",IF(INDEX(職員マスタ!$A$6:$A$405,$J220)="","",INDEX(職員マスタ!$A$6:$A$405,$J220)))</f>
        <v/>
      </c>
      <c r="C220">
        <f>IF($J220="","",IF(INDEX(職員マスタ!$B$6:$B$405,$J220)="","",INDEX(職員マスタ!$B$6:$B$405,$J220)))</f>
        <v/>
      </c>
      <c r="D220">
        <f>IF($J220="","",IF(INDEX(職員マスタ!$C$6:$C$405,$J220)="","",INDEX(職員マスタ!$C$6:$C$405,$J220)))</f>
        <v/>
      </c>
      <c r="E220" s="19">
        <f>IF($J220="","",IF(INDEX(職員マスタ!$K$6:$K$405,$J220)="","",INDEX(職員マスタ!$K$6:$K$405,$J220)))</f>
        <v/>
      </c>
      <c r="F220">
        <f>IF($J220="","",IF(INDEX(職員マスタ!$M$6:$M$405,$J220)="","",INDEX(職員マスタ!$M$6:$M$405,$J220)))</f>
        <v/>
      </c>
      <c r="G220" s="20">
        <f>IF($J220="","",IF(INDEX(職員マスタ!$N$6:$N$405,$J220)="","",INDEX(職員マスタ!$N$6:$N$405,$J220)))</f>
        <v/>
      </c>
      <c r="H220">
        <f>IF(OR($J220="",$G220=""),"",TODAY()-$G220)</f>
        <v/>
      </c>
      <c r="I220">
        <f>IF($J220="","",IF(INDEX(職員マスタ!$L$6:$L$405,$J220)="","",INDEX(職員マスタ!$L$6:$L$405,$J220)))</f>
        <v/>
      </c>
      <c r="J220">
        <f>IFERROR(MATCH(11,職員マスタ!$Q$6:$Q$405,0),"")</f>
        <v/>
      </c>
    </row>
    <row r="221">
      <c r="A221">
        <f>IF($J221="","",12)</f>
        <v/>
      </c>
      <c r="B221">
        <f>IF($J221="","",IF(INDEX(職員マスタ!$A$6:$A$405,$J221)="","",INDEX(職員マスタ!$A$6:$A$405,$J221)))</f>
        <v/>
      </c>
      <c r="C221">
        <f>IF($J221="","",IF(INDEX(職員マスタ!$B$6:$B$405,$J221)="","",INDEX(職員マスタ!$B$6:$B$405,$J221)))</f>
        <v/>
      </c>
      <c r="D221">
        <f>IF($J221="","",IF(INDEX(職員マスタ!$C$6:$C$405,$J221)="","",INDEX(職員マスタ!$C$6:$C$405,$J221)))</f>
        <v/>
      </c>
      <c r="E221" s="19">
        <f>IF($J221="","",IF(INDEX(職員マスタ!$K$6:$K$405,$J221)="","",INDEX(職員マスタ!$K$6:$K$405,$J221)))</f>
        <v/>
      </c>
      <c r="F221">
        <f>IF($J221="","",IF(INDEX(職員マスタ!$M$6:$M$405,$J221)="","",INDEX(職員マスタ!$M$6:$M$405,$J221)))</f>
        <v/>
      </c>
      <c r="G221" s="20">
        <f>IF($J221="","",IF(INDEX(職員マスタ!$N$6:$N$405,$J221)="","",INDEX(職員マスタ!$N$6:$N$405,$J221)))</f>
        <v/>
      </c>
      <c r="H221">
        <f>IF(OR($J221="",$G221=""),"",TODAY()-$G221)</f>
        <v/>
      </c>
      <c r="I221">
        <f>IF($J221="","",IF(INDEX(職員マスタ!$L$6:$L$405,$J221)="","",INDEX(職員マスタ!$L$6:$L$405,$J221)))</f>
        <v/>
      </c>
      <c r="J221">
        <f>IFERROR(MATCH(12,職員マスタ!$Q$6:$Q$405,0),"")</f>
        <v/>
      </c>
    </row>
    <row r="222">
      <c r="A222">
        <f>IF($J222="","",13)</f>
        <v/>
      </c>
      <c r="B222">
        <f>IF($J222="","",IF(INDEX(職員マスタ!$A$6:$A$405,$J222)="","",INDEX(職員マスタ!$A$6:$A$405,$J222)))</f>
        <v/>
      </c>
      <c r="C222">
        <f>IF($J222="","",IF(INDEX(職員マスタ!$B$6:$B$405,$J222)="","",INDEX(職員マスタ!$B$6:$B$405,$J222)))</f>
        <v/>
      </c>
      <c r="D222">
        <f>IF($J222="","",IF(INDEX(職員マスタ!$C$6:$C$405,$J222)="","",INDEX(職員マスタ!$C$6:$C$405,$J222)))</f>
        <v/>
      </c>
      <c r="E222" s="19">
        <f>IF($J222="","",IF(INDEX(職員マスタ!$K$6:$K$405,$J222)="","",INDEX(職員マスタ!$K$6:$K$405,$J222)))</f>
        <v/>
      </c>
      <c r="F222">
        <f>IF($J222="","",IF(INDEX(職員マスタ!$M$6:$M$405,$J222)="","",INDEX(職員マスタ!$M$6:$M$405,$J222)))</f>
        <v/>
      </c>
      <c r="G222" s="20">
        <f>IF($J222="","",IF(INDEX(職員マスタ!$N$6:$N$405,$J222)="","",INDEX(職員マスタ!$N$6:$N$405,$J222)))</f>
        <v/>
      </c>
      <c r="H222">
        <f>IF(OR($J222="",$G222=""),"",TODAY()-$G222)</f>
        <v/>
      </c>
      <c r="I222">
        <f>IF($J222="","",IF(INDEX(職員マスタ!$L$6:$L$405,$J222)="","",INDEX(職員マスタ!$L$6:$L$405,$J222)))</f>
        <v/>
      </c>
      <c r="J222">
        <f>IFERROR(MATCH(13,職員マスタ!$Q$6:$Q$405,0),"")</f>
        <v/>
      </c>
    </row>
    <row r="223">
      <c r="A223">
        <f>IF($J223="","",14)</f>
        <v/>
      </c>
      <c r="B223">
        <f>IF($J223="","",IF(INDEX(職員マスタ!$A$6:$A$405,$J223)="","",INDEX(職員マスタ!$A$6:$A$405,$J223)))</f>
        <v/>
      </c>
      <c r="C223">
        <f>IF($J223="","",IF(INDEX(職員マスタ!$B$6:$B$405,$J223)="","",INDEX(職員マスタ!$B$6:$B$405,$J223)))</f>
        <v/>
      </c>
      <c r="D223">
        <f>IF($J223="","",IF(INDEX(職員マスタ!$C$6:$C$405,$J223)="","",INDEX(職員マスタ!$C$6:$C$405,$J223)))</f>
        <v/>
      </c>
      <c r="E223" s="19">
        <f>IF($J223="","",IF(INDEX(職員マスタ!$K$6:$K$405,$J223)="","",INDEX(職員マスタ!$K$6:$K$405,$J223)))</f>
        <v/>
      </c>
      <c r="F223">
        <f>IF($J223="","",IF(INDEX(職員マスタ!$M$6:$M$405,$J223)="","",INDEX(職員マスタ!$M$6:$M$405,$J223)))</f>
        <v/>
      </c>
      <c r="G223" s="20">
        <f>IF($J223="","",IF(INDEX(職員マスタ!$N$6:$N$405,$J223)="","",INDEX(職員マスタ!$N$6:$N$405,$J223)))</f>
        <v/>
      </c>
      <c r="H223">
        <f>IF(OR($J223="",$G223=""),"",TODAY()-$G223)</f>
        <v/>
      </c>
      <c r="I223">
        <f>IF($J223="","",IF(INDEX(職員マスタ!$L$6:$L$405,$J223)="","",INDEX(職員マスタ!$L$6:$L$405,$J223)))</f>
        <v/>
      </c>
      <c r="J223">
        <f>IFERROR(MATCH(14,職員マスタ!$Q$6:$Q$405,0),"")</f>
        <v/>
      </c>
    </row>
    <row r="224">
      <c r="A224">
        <f>IF($J224="","",15)</f>
        <v/>
      </c>
      <c r="B224">
        <f>IF($J224="","",IF(INDEX(職員マスタ!$A$6:$A$405,$J224)="","",INDEX(職員マスタ!$A$6:$A$405,$J224)))</f>
        <v/>
      </c>
      <c r="C224">
        <f>IF($J224="","",IF(INDEX(職員マスタ!$B$6:$B$405,$J224)="","",INDEX(職員マスタ!$B$6:$B$405,$J224)))</f>
        <v/>
      </c>
      <c r="D224">
        <f>IF($J224="","",IF(INDEX(職員マスタ!$C$6:$C$405,$J224)="","",INDEX(職員マスタ!$C$6:$C$405,$J224)))</f>
        <v/>
      </c>
      <c r="E224" s="19">
        <f>IF($J224="","",IF(INDEX(職員マスタ!$K$6:$K$405,$J224)="","",INDEX(職員マスタ!$K$6:$K$405,$J224)))</f>
        <v/>
      </c>
      <c r="F224">
        <f>IF($J224="","",IF(INDEX(職員マスタ!$M$6:$M$405,$J224)="","",INDEX(職員マスタ!$M$6:$M$405,$J224)))</f>
        <v/>
      </c>
      <c r="G224" s="20">
        <f>IF($J224="","",IF(INDEX(職員マスタ!$N$6:$N$405,$J224)="","",INDEX(職員マスタ!$N$6:$N$405,$J224)))</f>
        <v/>
      </c>
      <c r="H224">
        <f>IF(OR($J224="",$G224=""),"",TODAY()-$G224)</f>
        <v/>
      </c>
      <c r="I224">
        <f>IF($J224="","",IF(INDEX(職員マスタ!$L$6:$L$405,$J224)="","",INDEX(職員マスタ!$L$6:$L$405,$J224)))</f>
        <v/>
      </c>
      <c r="J224">
        <f>IFERROR(MATCH(15,職員マスタ!$Q$6:$Q$405,0),"")</f>
        <v/>
      </c>
    </row>
    <row r="225">
      <c r="A225">
        <f>IF($J225="","",16)</f>
        <v/>
      </c>
      <c r="B225">
        <f>IF($J225="","",IF(INDEX(職員マスタ!$A$6:$A$405,$J225)="","",INDEX(職員マスタ!$A$6:$A$405,$J225)))</f>
        <v/>
      </c>
      <c r="C225">
        <f>IF($J225="","",IF(INDEX(職員マスタ!$B$6:$B$405,$J225)="","",INDEX(職員マスタ!$B$6:$B$405,$J225)))</f>
        <v/>
      </c>
      <c r="D225">
        <f>IF($J225="","",IF(INDEX(職員マスタ!$C$6:$C$405,$J225)="","",INDEX(職員マスタ!$C$6:$C$405,$J225)))</f>
        <v/>
      </c>
      <c r="E225" s="19">
        <f>IF($J225="","",IF(INDEX(職員マスタ!$K$6:$K$405,$J225)="","",INDEX(職員マスタ!$K$6:$K$405,$J225)))</f>
        <v/>
      </c>
      <c r="F225">
        <f>IF($J225="","",IF(INDEX(職員マスタ!$M$6:$M$405,$J225)="","",INDEX(職員マスタ!$M$6:$M$405,$J225)))</f>
        <v/>
      </c>
      <c r="G225" s="20">
        <f>IF($J225="","",IF(INDEX(職員マスタ!$N$6:$N$405,$J225)="","",INDEX(職員マスタ!$N$6:$N$405,$J225)))</f>
        <v/>
      </c>
      <c r="H225">
        <f>IF(OR($J225="",$G225=""),"",TODAY()-$G225)</f>
        <v/>
      </c>
      <c r="I225">
        <f>IF($J225="","",IF(INDEX(職員マスタ!$L$6:$L$405,$J225)="","",INDEX(職員マスタ!$L$6:$L$405,$J225)))</f>
        <v/>
      </c>
      <c r="J225">
        <f>IFERROR(MATCH(16,職員マスタ!$Q$6:$Q$405,0),"")</f>
        <v/>
      </c>
    </row>
    <row r="226">
      <c r="A226">
        <f>IF($J226="","",17)</f>
        <v/>
      </c>
      <c r="B226">
        <f>IF($J226="","",IF(INDEX(職員マスタ!$A$6:$A$405,$J226)="","",INDEX(職員マスタ!$A$6:$A$405,$J226)))</f>
        <v/>
      </c>
      <c r="C226">
        <f>IF($J226="","",IF(INDEX(職員マスタ!$B$6:$B$405,$J226)="","",INDEX(職員マスタ!$B$6:$B$405,$J226)))</f>
        <v/>
      </c>
      <c r="D226">
        <f>IF($J226="","",IF(INDEX(職員マスタ!$C$6:$C$405,$J226)="","",INDEX(職員マスタ!$C$6:$C$405,$J226)))</f>
        <v/>
      </c>
      <c r="E226" s="19">
        <f>IF($J226="","",IF(INDEX(職員マスタ!$K$6:$K$405,$J226)="","",INDEX(職員マスタ!$K$6:$K$405,$J226)))</f>
        <v/>
      </c>
      <c r="F226">
        <f>IF($J226="","",IF(INDEX(職員マスタ!$M$6:$M$405,$J226)="","",INDEX(職員マスタ!$M$6:$M$405,$J226)))</f>
        <v/>
      </c>
      <c r="G226" s="20">
        <f>IF($J226="","",IF(INDEX(職員マスタ!$N$6:$N$405,$J226)="","",INDEX(職員マスタ!$N$6:$N$405,$J226)))</f>
        <v/>
      </c>
      <c r="H226">
        <f>IF(OR($J226="",$G226=""),"",TODAY()-$G226)</f>
        <v/>
      </c>
      <c r="I226">
        <f>IF($J226="","",IF(INDEX(職員マスタ!$L$6:$L$405,$J226)="","",INDEX(職員マスタ!$L$6:$L$405,$J226)))</f>
        <v/>
      </c>
      <c r="J226">
        <f>IFERROR(MATCH(17,職員マスタ!$Q$6:$Q$405,0),"")</f>
        <v/>
      </c>
    </row>
    <row r="227">
      <c r="A227">
        <f>IF($J227="","",18)</f>
        <v/>
      </c>
      <c r="B227">
        <f>IF($J227="","",IF(INDEX(職員マスタ!$A$6:$A$405,$J227)="","",INDEX(職員マスタ!$A$6:$A$405,$J227)))</f>
        <v/>
      </c>
      <c r="C227">
        <f>IF($J227="","",IF(INDEX(職員マスタ!$B$6:$B$405,$J227)="","",INDEX(職員マスタ!$B$6:$B$405,$J227)))</f>
        <v/>
      </c>
      <c r="D227">
        <f>IF($J227="","",IF(INDEX(職員マスタ!$C$6:$C$405,$J227)="","",INDEX(職員マスタ!$C$6:$C$405,$J227)))</f>
        <v/>
      </c>
      <c r="E227" s="19">
        <f>IF($J227="","",IF(INDEX(職員マスタ!$K$6:$K$405,$J227)="","",INDEX(職員マスタ!$K$6:$K$405,$J227)))</f>
        <v/>
      </c>
      <c r="F227">
        <f>IF($J227="","",IF(INDEX(職員マスタ!$M$6:$M$405,$J227)="","",INDEX(職員マスタ!$M$6:$M$405,$J227)))</f>
        <v/>
      </c>
      <c r="G227" s="20">
        <f>IF($J227="","",IF(INDEX(職員マスタ!$N$6:$N$405,$J227)="","",INDEX(職員マスタ!$N$6:$N$405,$J227)))</f>
        <v/>
      </c>
      <c r="H227">
        <f>IF(OR($J227="",$G227=""),"",TODAY()-$G227)</f>
        <v/>
      </c>
      <c r="I227">
        <f>IF($J227="","",IF(INDEX(職員マスタ!$L$6:$L$405,$J227)="","",INDEX(職員マスタ!$L$6:$L$405,$J227)))</f>
        <v/>
      </c>
      <c r="J227">
        <f>IFERROR(MATCH(18,職員マスタ!$Q$6:$Q$405,0),"")</f>
        <v/>
      </c>
    </row>
    <row r="228">
      <c r="A228">
        <f>IF($J228="","",19)</f>
        <v/>
      </c>
      <c r="B228">
        <f>IF($J228="","",IF(INDEX(職員マスタ!$A$6:$A$405,$J228)="","",INDEX(職員マスタ!$A$6:$A$405,$J228)))</f>
        <v/>
      </c>
      <c r="C228">
        <f>IF($J228="","",IF(INDEX(職員マスタ!$B$6:$B$405,$J228)="","",INDEX(職員マスタ!$B$6:$B$405,$J228)))</f>
        <v/>
      </c>
      <c r="D228">
        <f>IF($J228="","",IF(INDEX(職員マスタ!$C$6:$C$405,$J228)="","",INDEX(職員マスタ!$C$6:$C$405,$J228)))</f>
        <v/>
      </c>
      <c r="E228" s="19">
        <f>IF($J228="","",IF(INDEX(職員マスタ!$K$6:$K$405,$J228)="","",INDEX(職員マスタ!$K$6:$K$405,$J228)))</f>
        <v/>
      </c>
      <c r="F228">
        <f>IF($J228="","",IF(INDEX(職員マスタ!$M$6:$M$405,$J228)="","",INDEX(職員マスタ!$M$6:$M$405,$J228)))</f>
        <v/>
      </c>
      <c r="G228" s="20">
        <f>IF($J228="","",IF(INDEX(職員マスタ!$N$6:$N$405,$J228)="","",INDEX(職員マスタ!$N$6:$N$405,$J228)))</f>
        <v/>
      </c>
      <c r="H228">
        <f>IF(OR($J228="",$G228=""),"",TODAY()-$G228)</f>
        <v/>
      </c>
      <c r="I228">
        <f>IF($J228="","",IF(INDEX(職員マスタ!$L$6:$L$405,$J228)="","",INDEX(職員マスタ!$L$6:$L$405,$J228)))</f>
        <v/>
      </c>
      <c r="J228">
        <f>IFERROR(MATCH(19,職員マスタ!$Q$6:$Q$405,0),"")</f>
        <v/>
      </c>
    </row>
    <row r="229">
      <c r="A229">
        <f>IF($J229="","",20)</f>
        <v/>
      </c>
      <c r="B229">
        <f>IF($J229="","",IF(INDEX(職員マスタ!$A$6:$A$405,$J229)="","",INDEX(職員マスタ!$A$6:$A$405,$J229)))</f>
        <v/>
      </c>
      <c r="C229">
        <f>IF($J229="","",IF(INDEX(職員マスタ!$B$6:$B$405,$J229)="","",INDEX(職員マスタ!$B$6:$B$405,$J229)))</f>
        <v/>
      </c>
      <c r="D229">
        <f>IF($J229="","",IF(INDEX(職員マスタ!$C$6:$C$405,$J229)="","",INDEX(職員マスタ!$C$6:$C$405,$J229)))</f>
        <v/>
      </c>
      <c r="E229" s="19">
        <f>IF($J229="","",IF(INDEX(職員マスタ!$K$6:$K$405,$J229)="","",INDEX(職員マスタ!$K$6:$K$405,$J229)))</f>
        <v/>
      </c>
      <c r="F229">
        <f>IF($J229="","",IF(INDEX(職員マスタ!$M$6:$M$405,$J229)="","",INDEX(職員マスタ!$M$6:$M$405,$J229)))</f>
        <v/>
      </c>
      <c r="G229" s="20">
        <f>IF($J229="","",IF(INDEX(職員マスタ!$N$6:$N$405,$J229)="","",INDEX(職員マスタ!$N$6:$N$405,$J229)))</f>
        <v/>
      </c>
      <c r="H229">
        <f>IF(OR($J229="",$G229=""),"",TODAY()-$G229)</f>
        <v/>
      </c>
      <c r="I229">
        <f>IF($J229="","",IF(INDEX(職員マスタ!$L$6:$L$405,$J229)="","",INDEX(職員マスタ!$L$6:$L$405,$J229)))</f>
        <v/>
      </c>
      <c r="J229">
        <f>IFERROR(MATCH(20,職員マスタ!$Q$6:$Q$405,0),"")</f>
        <v/>
      </c>
    </row>
    <row r="230">
      <c r="A230">
        <f>IF($J230="","",21)</f>
        <v/>
      </c>
      <c r="B230">
        <f>IF($J230="","",IF(INDEX(職員マスタ!$A$6:$A$405,$J230)="","",INDEX(職員マスタ!$A$6:$A$405,$J230)))</f>
        <v/>
      </c>
      <c r="C230">
        <f>IF($J230="","",IF(INDEX(職員マスタ!$B$6:$B$405,$J230)="","",INDEX(職員マスタ!$B$6:$B$405,$J230)))</f>
        <v/>
      </c>
      <c r="D230">
        <f>IF($J230="","",IF(INDEX(職員マスタ!$C$6:$C$405,$J230)="","",INDEX(職員マスタ!$C$6:$C$405,$J230)))</f>
        <v/>
      </c>
      <c r="E230" s="19">
        <f>IF($J230="","",IF(INDEX(職員マスタ!$K$6:$K$405,$J230)="","",INDEX(職員マスタ!$K$6:$K$405,$J230)))</f>
        <v/>
      </c>
      <c r="F230">
        <f>IF($J230="","",IF(INDEX(職員マスタ!$M$6:$M$405,$J230)="","",INDEX(職員マスタ!$M$6:$M$405,$J230)))</f>
        <v/>
      </c>
      <c r="G230" s="20">
        <f>IF($J230="","",IF(INDEX(職員マスタ!$N$6:$N$405,$J230)="","",INDEX(職員マスタ!$N$6:$N$405,$J230)))</f>
        <v/>
      </c>
      <c r="H230">
        <f>IF(OR($J230="",$G230=""),"",TODAY()-$G230)</f>
        <v/>
      </c>
      <c r="I230">
        <f>IF($J230="","",IF(INDEX(職員マスタ!$L$6:$L$405,$J230)="","",INDEX(職員マスタ!$L$6:$L$405,$J230)))</f>
        <v/>
      </c>
      <c r="J230">
        <f>IFERROR(MATCH(21,職員マスタ!$Q$6:$Q$405,0),"")</f>
        <v/>
      </c>
    </row>
    <row r="231">
      <c r="A231">
        <f>IF($J231="","",22)</f>
        <v/>
      </c>
      <c r="B231">
        <f>IF($J231="","",IF(INDEX(職員マスタ!$A$6:$A$405,$J231)="","",INDEX(職員マスタ!$A$6:$A$405,$J231)))</f>
        <v/>
      </c>
      <c r="C231">
        <f>IF($J231="","",IF(INDEX(職員マスタ!$B$6:$B$405,$J231)="","",INDEX(職員マスタ!$B$6:$B$405,$J231)))</f>
        <v/>
      </c>
      <c r="D231">
        <f>IF($J231="","",IF(INDEX(職員マスタ!$C$6:$C$405,$J231)="","",INDEX(職員マスタ!$C$6:$C$405,$J231)))</f>
        <v/>
      </c>
      <c r="E231" s="19">
        <f>IF($J231="","",IF(INDEX(職員マスタ!$K$6:$K$405,$J231)="","",INDEX(職員マスタ!$K$6:$K$405,$J231)))</f>
        <v/>
      </c>
      <c r="F231">
        <f>IF($J231="","",IF(INDEX(職員マスタ!$M$6:$M$405,$J231)="","",INDEX(職員マスタ!$M$6:$M$405,$J231)))</f>
        <v/>
      </c>
      <c r="G231" s="20">
        <f>IF($J231="","",IF(INDEX(職員マスタ!$N$6:$N$405,$J231)="","",INDEX(職員マスタ!$N$6:$N$405,$J231)))</f>
        <v/>
      </c>
      <c r="H231">
        <f>IF(OR($J231="",$G231=""),"",TODAY()-$G231)</f>
        <v/>
      </c>
      <c r="I231">
        <f>IF($J231="","",IF(INDEX(職員マスタ!$L$6:$L$405,$J231)="","",INDEX(職員マスタ!$L$6:$L$405,$J231)))</f>
        <v/>
      </c>
      <c r="J231">
        <f>IFERROR(MATCH(22,職員マスタ!$Q$6:$Q$405,0),"")</f>
        <v/>
      </c>
    </row>
    <row r="232">
      <c r="A232">
        <f>IF($J232="","",23)</f>
        <v/>
      </c>
      <c r="B232">
        <f>IF($J232="","",IF(INDEX(職員マスタ!$A$6:$A$405,$J232)="","",INDEX(職員マスタ!$A$6:$A$405,$J232)))</f>
        <v/>
      </c>
      <c r="C232">
        <f>IF($J232="","",IF(INDEX(職員マスタ!$B$6:$B$405,$J232)="","",INDEX(職員マスタ!$B$6:$B$405,$J232)))</f>
        <v/>
      </c>
      <c r="D232">
        <f>IF($J232="","",IF(INDEX(職員マスタ!$C$6:$C$405,$J232)="","",INDEX(職員マスタ!$C$6:$C$405,$J232)))</f>
        <v/>
      </c>
      <c r="E232" s="19">
        <f>IF($J232="","",IF(INDEX(職員マスタ!$K$6:$K$405,$J232)="","",INDEX(職員マスタ!$K$6:$K$405,$J232)))</f>
        <v/>
      </c>
      <c r="F232">
        <f>IF($J232="","",IF(INDEX(職員マスタ!$M$6:$M$405,$J232)="","",INDEX(職員マスタ!$M$6:$M$405,$J232)))</f>
        <v/>
      </c>
      <c r="G232" s="20">
        <f>IF($J232="","",IF(INDEX(職員マスタ!$N$6:$N$405,$J232)="","",INDEX(職員マスタ!$N$6:$N$405,$J232)))</f>
        <v/>
      </c>
      <c r="H232">
        <f>IF(OR($J232="",$G232=""),"",TODAY()-$G232)</f>
        <v/>
      </c>
      <c r="I232">
        <f>IF($J232="","",IF(INDEX(職員マスタ!$L$6:$L$405,$J232)="","",INDEX(職員マスタ!$L$6:$L$405,$J232)))</f>
        <v/>
      </c>
      <c r="J232">
        <f>IFERROR(MATCH(23,職員マスタ!$Q$6:$Q$405,0),"")</f>
        <v/>
      </c>
    </row>
    <row r="233">
      <c r="A233">
        <f>IF($J233="","",24)</f>
        <v/>
      </c>
      <c r="B233">
        <f>IF($J233="","",IF(INDEX(職員マスタ!$A$6:$A$405,$J233)="","",INDEX(職員マスタ!$A$6:$A$405,$J233)))</f>
        <v/>
      </c>
      <c r="C233">
        <f>IF($J233="","",IF(INDEX(職員マスタ!$B$6:$B$405,$J233)="","",INDEX(職員マスタ!$B$6:$B$405,$J233)))</f>
        <v/>
      </c>
      <c r="D233">
        <f>IF($J233="","",IF(INDEX(職員マスタ!$C$6:$C$405,$J233)="","",INDEX(職員マスタ!$C$6:$C$405,$J233)))</f>
        <v/>
      </c>
      <c r="E233" s="19">
        <f>IF($J233="","",IF(INDEX(職員マスタ!$K$6:$K$405,$J233)="","",INDEX(職員マスタ!$K$6:$K$405,$J233)))</f>
        <v/>
      </c>
      <c r="F233">
        <f>IF($J233="","",IF(INDEX(職員マスタ!$M$6:$M$405,$J233)="","",INDEX(職員マスタ!$M$6:$M$405,$J233)))</f>
        <v/>
      </c>
      <c r="G233" s="20">
        <f>IF($J233="","",IF(INDEX(職員マスタ!$N$6:$N$405,$J233)="","",INDEX(職員マスタ!$N$6:$N$405,$J233)))</f>
        <v/>
      </c>
      <c r="H233">
        <f>IF(OR($J233="",$G233=""),"",TODAY()-$G233)</f>
        <v/>
      </c>
      <c r="I233">
        <f>IF($J233="","",IF(INDEX(職員マスタ!$L$6:$L$405,$J233)="","",INDEX(職員マスタ!$L$6:$L$405,$J233)))</f>
        <v/>
      </c>
      <c r="J233">
        <f>IFERROR(MATCH(24,職員マスタ!$Q$6:$Q$405,0),"")</f>
        <v/>
      </c>
    </row>
    <row r="234">
      <c r="A234">
        <f>IF($J234="","",25)</f>
        <v/>
      </c>
      <c r="B234">
        <f>IF($J234="","",IF(INDEX(職員マスタ!$A$6:$A$405,$J234)="","",INDEX(職員マスタ!$A$6:$A$405,$J234)))</f>
        <v/>
      </c>
      <c r="C234">
        <f>IF($J234="","",IF(INDEX(職員マスタ!$B$6:$B$405,$J234)="","",INDEX(職員マスタ!$B$6:$B$405,$J234)))</f>
        <v/>
      </c>
      <c r="D234">
        <f>IF($J234="","",IF(INDEX(職員マスタ!$C$6:$C$405,$J234)="","",INDEX(職員マスタ!$C$6:$C$405,$J234)))</f>
        <v/>
      </c>
      <c r="E234" s="19">
        <f>IF($J234="","",IF(INDEX(職員マスタ!$K$6:$K$405,$J234)="","",INDEX(職員マスタ!$K$6:$K$405,$J234)))</f>
        <v/>
      </c>
      <c r="F234">
        <f>IF($J234="","",IF(INDEX(職員マスタ!$M$6:$M$405,$J234)="","",INDEX(職員マスタ!$M$6:$M$405,$J234)))</f>
        <v/>
      </c>
      <c r="G234" s="20">
        <f>IF($J234="","",IF(INDEX(職員マスタ!$N$6:$N$405,$J234)="","",INDEX(職員マスタ!$N$6:$N$405,$J234)))</f>
        <v/>
      </c>
      <c r="H234">
        <f>IF(OR($J234="",$G234=""),"",TODAY()-$G234)</f>
        <v/>
      </c>
      <c r="I234">
        <f>IF($J234="","",IF(INDEX(職員マスタ!$L$6:$L$405,$J234)="","",INDEX(職員マスタ!$L$6:$L$405,$J234)))</f>
        <v/>
      </c>
      <c r="J234">
        <f>IFERROR(MATCH(25,職員マスタ!$Q$6:$Q$405,0),"")</f>
        <v/>
      </c>
    </row>
    <row r="235">
      <c r="A235">
        <f>IF($J235="","",26)</f>
        <v/>
      </c>
      <c r="B235">
        <f>IF($J235="","",IF(INDEX(職員マスタ!$A$6:$A$405,$J235)="","",INDEX(職員マスタ!$A$6:$A$405,$J235)))</f>
        <v/>
      </c>
      <c r="C235">
        <f>IF($J235="","",IF(INDEX(職員マスタ!$B$6:$B$405,$J235)="","",INDEX(職員マスタ!$B$6:$B$405,$J235)))</f>
        <v/>
      </c>
      <c r="D235">
        <f>IF($J235="","",IF(INDEX(職員マスタ!$C$6:$C$405,$J235)="","",INDEX(職員マスタ!$C$6:$C$405,$J235)))</f>
        <v/>
      </c>
      <c r="E235" s="19">
        <f>IF($J235="","",IF(INDEX(職員マスタ!$K$6:$K$405,$J235)="","",INDEX(職員マスタ!$K$6:$K$405,$J235)))</f>
        <v/>
      </c>
      <c r="F235">
        <f>IF($J235="","",IF(INDEX(職員マスタ!$M$6:$M$405,$J235)="","",INDEX(職員マスタ!$M$6:$M$405,$J235)))</f>
        <v/>
      </c>
      <c r="G235" s="20">
        <f>IF($J235="","",IF(INDEX(職員マスタ!$N$6:$N$405,$J235)="","",INDEX(職員マスタ!$N$6:$N$405,$J235)))</f>
        <v/>
      </c>
      <c r="H235">
        <f>IF(OR($J235="",$G235=""),"",TODAY()-$G235)</f>
        <v/>
      </c>
      <c r="I235">
        <f>IF($J235="","",IF(INDEX(職員マスタ!$L$6:$L$405,$J235)="","",INDEX(職員マスタ!$L$6:$L$405,$J235)))</f>
        <v/>
      </c>
      <c r="J235">
        <f>IFERROR(MATCH(26,職員マスタ!$Q$6:$Q$405,0),"")</f>
        <v/>
      </c>
    </row>
    <row r="236">
      <c r="A236">
        <f>IF($J236="","",27)</f>
        <v/>
      </c>
      <c r="B236">
        <f>IF($J236="","",IF(INDEX(職員マスタ!$A$6:$A$405,$J236)="","",INDEX(職員マスタ!$A$6:$A$405,$J236)))</f>
        <v/>
      </c>
      <c r="C236">
        <f>IF($J236="","",IF(INDEX(職員マスタ!$B$6:$B$405,$J236)="","",INDEX(職員マスタ!$B$6:$B$405,$J236)))</f>
        <v/>
      </c>
      <c r="D236">
        <f>IF($J236="","",IF(INDEX(職員マスタ!$C$6:$C$405,$J236)="","",INDEX(職員マスタ!$C$6:$C$405,$J236)))</f>
        <v/>
      </c>
      <c r="E236" s="19">
        <f>IF($J236="","",IF(INDEX(職員マスタ!$K$6:$K$405,$J236)="","",INDEX(職員マスタ!$K$6:$K$405,$J236)))</f>
        <v/>
      </c>
      <c r="F236">
        <f>IF($J236="","",IF(INDEX(職員マスタ!$M$6:$M$405,$J236)="","",INDEX(職員マスタ!$M$6:$M$405,$J236)))</f>
        <v/>
      </c>
      <c r="G236" s="20">
        <f>IF($J236="","",IF(INDEX(職員マスタ!$N$6:$N$405,$J236)="","",INDEX(職員マスタ!$N$6:$N$405,$J236)))</f>
        <v/>
      </c>
      <c r="H236">
        <f>IF(OR($J236="",$G236=""),"",TODAY()-$G236)</f>
        <v/>
      </c>
      <c r="I236">
        <f>IF($J236="","",IF(INDEX(職員マスタ!$L$6:$L$405,$J236)="","",INDEX(職員マスタ!$L$6:$L$405,$J236)))</f>
        <v/>
      </c>
      <c r="J236">
        <f>IFERROR(MATCH(27,職員マスタ!$Q$6:$Q$405,0),"")</f>
        <v/>
      </c>
    </row>
    <row r="237">
      <c r="A237">
        <f>IF($J237="","",28)</f>
        <v/>
      </c>
      <c r="B237">
        <f>IF($J237="","",IF(INDEX(職員マスタ!$A$6:$A$405,$J237)="","",INDEX(職員マスタ!$A$6:$A$405,$J237)))</f>
        <v/>
      </c>
      <c r="C237">
        <f>IF($J237="","",IF(INDEX(職員マスタ!$B$6:$B$405,$J237)="","",INDEX(職員マスタ!$B$6:$B$405,$J237)))</f>
        <v/>
      </c>
      <c r="D237">
        <f>IF($J237="","",IF(INDEX(職員マスタ!$C$6:$C$405,$J237)="","",INDEX(職員マスタ!$C$6:$C$405,$J237)))</f>
        <v/>
      </c>
      <c r="E237" s="19">
        <f>IF($J237="","",IF(INDEX(職員マスタ!$K$6:$K$405,$J237)="","",INDEX(職員マスタ!$K$6:$K$405,$J237)))</f>
        <v/>
      </c>
      <c r="F237">
        <f>IF($J237="","",IF(INDEX(職員マスタ!$M$6:$M$405,$J237)="","",INDEX(職員マスタ!$M$6:$M$405,$J237)))</f>
        <v/>
      </c>
      <c r="G237" s="20">
        <f>IF($J237="","",IF(INDEX(職員マスタ!$N$6:$N$405,$J237)="","",INDEX(職員マスタ!$N$6:$N$405,$J237)))</f>
        <v/>
      </c>
      <c r="H237">
        <f>IF(OR($J237="",$G237=""),"",TODAY()-$G237)</f>
        <v/>
      </c>
      <c r="I237">
        <f>IF($J237="","",IF(INDEX(職員マスタ!$L$6:$L$405,$J237)="","",INDEX(職員マスタ!$L$6:$L$405,$J237)))</f>
        <v/>
      </c>
      <c r="J237">
        <f>IFERROR(MATCH(28,職員マスタ!$Q$6:$Q$405,0),"")</f>
        <v/>
      </c>
    </row>
    <row r="238">
      <c r="A238">
        <f>IF($J238="","",29)</f>
        <v/>
      </c>
      <c r="B238">
        <f>IF($J238="","",IF(INDEX(職員マスタ!$A$6:$A$405,$J238)="","",INDEX(職員マスタ!$A$6:$A$405,$J238)))</f>
        <v/>
      </c>
      <c r="C238">
        <f>IF($J238="","",IF(INDEX(職員マスタ!$B$6:$B$405,$J238)="","",INDEX(職員マスタ!$B$6:$B$405,$J238)))</f>
        <v/>
      </c>
      <c r="D238">
        <f>IF($J238="","",IF(INDEX(職員マスタ!$C$6:$C$405,$J238)="","",INDEX(職員マスタ!$C$6:$C$405,$J238)))</f>
        <v/>
      </c>
      <c r="E238" s="19">
        <f>IF($J238="","",IF(INDEX(職員マスタ!$K$6:$K$405,$J238)="","",INDEX(職員マスタ!$K$6:$K$405,$J238)))</f>
        <v/>
      </c>
      <c r="F238">
        <f>IF($J238="","",IF(INDEX(職員マスタ!$M$6:$M$405,$J238)="","",INDEX(職員マスタ!$M$6:$M$405,$J238)))</f>
        <v/>
      </c>
      <c r="G238" s="20">
        <f>IF($J238="","",IF(INDEX(職員マスタ!$N$6:$N$405,$J238)="","",INDEX(職員マスタ!$N$6:$N$405,$J238)))</f>
        <v/>
      </c>
      <c r="H238">
        <f>IF(OR($J238="",$G238=""),"",TODAY()-$G238)</f>
        <v/>
      </c>
      <c r="I238">
        <f>IF($J238="","",IF(INDEX(職員マスタ!$L$6:$L$405,$J238)="","",INDEX(職員マスタ!$L$6:$L$405,$J238)))</f>
        <v/>
      </c>
      <c r="J238">
        <f>IFERROR(MATCH(29,職員マスタ!$Q$6:$Q$405,0),"")</f>
        <v/>
      </c>
    </row>
    <row r="239">
      <c r="A239">
        <f>IF($J239="","",30)</f>
        <v/>
      </c>
      <c r="B239">
        <f>IF($J239="","",IF(INDEX(職員マスタ!$A$6:$A$405,$J239)="","",INDEX(職員マスタ!$A$6:$A$405,$J239)))</f>
        <v/>
      </c>
      <c r="C239">
        <f>IF($J239="","",IF(INDEX(職員マスタ!$B$6:$B$405,$J239)="","",INDEX(職員マスタ!$B$6:$B$405,$J239)))</f>
        <v/>
      </c>
      <c r="D239">
        <f>IF($J239="","",IF(INDEX(職員マスタ!$C$6:$C$405,$J239)="","",INDEX(職員マスタ!$C$6:$C$405,$J239)))</f>
        <v/>
      </c>
      <c r="E239" s="19">
        <f>IF($J239="","",IF(INDEX(職員マスタ!$K$6:$K$405,$J239)="","",INDEX(職員マスタ!$K$6:$K$405,$J239)))</f>
        <v/>
      </c>
      <c r="F239">
        <f>IF($J239="","",IF(INDEX(職員マスタ!$M$6:$M$405,$J239)="","",INDEX(職員マスタ!$M$6:$M$405,$J239)))</f>
        <v/>
      </c>
      <c r="G239" s="20">
        <f>IF($J239="","",IF(INDEX(職員マスタ!$N$6:$N$405,$J239)="","",INDEX(職員マスタ!$N$6:$N$405,$J239)))</f>
        <v/>
      </c>
      <c r="H239">
        <f>IF(OR($J239="",$G239=""),"",TODAY()-$G239)</f>
        <v/>
      </c>
      <c r="I239">
        <f>IF($J239="","",IF(INDEX(職員マスタ!$L$6:$L$405,$J239)="","",INDEX(職員マスタ!$L$6:$L$405,$J239)))</f>
        <v/>
      </c>
      <c r="J239">
        <f>IFERROR(MATCH(30,職員マスタ!$Q$6:$Q$405,0),"")</f>
        <v/>
      </c>
    </row>
    <row r="240">
      <c r="A240">
        <f>IF($J240="","",31)</f>
        <v/>
      </c>
      <c r="B240">
        <f>IF($J240="","",IF(INDEX(職員マスタ!$A$6:$A$405,$J240)="","",INDEX(職員マスタ!$A$6:$A$405,$J240)))</f>
        <v/>
      </c>
      <c r="C240">
        <f>IF($J240="","",IF(INDEX(職員マスタ!$B$6:$B$405,$J240)="","",INDEX(職員マスタ!$B$6:$B$405,$J240)))</f>
        <v/>
      </c>
      <c r="D240">
        <f>IF($J240="","",IF(INDEX(職員マスタ!$C$6:$C$405,$J240)="","",INDEX(職員マスタ!$C$6:$C$405,$J240)))</f>
        <v/>
      </c>
      <c r="E240" s="19">
        <f>IF($J240="","",IF(INDEX(職員マスタ!$K$6:$K$405,$J240)="","",INDEX(職員マスタ!$K$6:$K$405,$J240)))</f>
        <v/>
      </c>
      <c r="F240">
        <f>IF($J240="","",IF(INDEX(職員マスタ!$M$6:$M$405,$J240)="","",INDEX(職員マスタ!$M$6:$M$405,$J240)))</f>
        <v/>
      </c>
      <c r="G240" s="20">
        <f>IF($J240="","",IF(INDEX(職員マスタ!$N$6:$N$405,$J240)="","",INDEX(職員マスタ!$N$6:$N$405,$J240)))</f>
        <v/>
      </c>
      <c r="H240">
        <f>IF(OR($J240="",$G240=""),"",TODAY()-$G240)</f>
        <v/>
      </c>
      <c r="I240">
        <f>IF($J240="","",IF(INDEX(職員マスタ!$L$6:$L$405,$J240)="","",INDEX(職員マスタ!$L$6:$L$405,$J240)))</f>
        <v/>
      </c>
      <c r="J240">
        <f>IFERROR(MATCH(31,職員マスタ!$Q$6:$Q$405,0),"")</f>
        <v/>
      </c>
    </row>
    <row r="241">
      <c r="A241">
        <f>IF($J241="","",32)</f>
        <v/>
      </c>
      <c r="B241">
        <f>IF($J241="","",IF(INDEX(職員マスタ!$A$6:$A$405,$J241)="","",INDEX(職員マスタ!$A$6:$A$405,$J241)))</f>
        <v/>
      </c>
      <c r="C241">
        <f>IF($J241="","",IF(INDEX(職員マスタ!$B$6:$B$405,$J241)="","",INDEX(職員マスタ!$B$6:$B$405,$J241)))</f>
        <v/>
      </c>
      <c r="D241">
        <f>IF($J241="","",IF(INDEX(職員マスタ!$C$6:$C$405,$J241)="","",INDEX(職員マスタ!$C$6:$C$405,$J241)))</f>
        <v/>
      </c>
      <c r="E241" s="19">
        <f>IF($J241="","",IF(INDEX(職員マスタ!$K$6:$K$405,$J241)="","",INDEX(職員マスタ!$K$6:$K$405,$J241)))</f>
        <v/>
      </c>
      <c r="F241">
        <f>IF($J241="","",IF(INDEX(職員マスタ!$M$6:$M$405,$J241)="","",INDEX(職員マスタ!$M$6:$M$405,$J241)))</f>
        <v/>
      </c>
      <c r="G241" s="20">
        <f>IF($J241="","",IF(INDEX(職員マスタ!$N$6:$N$405,$J241)="","",INDEX(職員マスタ!$N$6:$N$405,$J241)))</f>
        <v/>
      </c>
      <c r="H241">
        <f>IF(OR($J241="",$G241=""),"",TODAY()-$G241)</f>
        <v/>
      </c>
      <c r="I241">
        <f>IF($J241="","",IF(INDEX(職員マスタ!$L$6:$L$405,$J241)="","",INDEX(職員マスタ!$L$6:$L$405,$J241)))</f>
        <v/>
      </c>
      <c r="J241">
        <f>IFERROR(MATCH(32,職員マスタ!$Q$6:$Q$405,0),"")</f>
        <v/>
      </c>
    </row>
    <row r="242">
      <c r="A242">
        <f>IF($J242="","",33)</f>
        <v/>
      </c>
      <c r="B242">
        <f>IF($J242="","",IF(INDEX(職員マスタ!$A$6:$A$405,$J242)="","",INDEX(職員マスタ!$A$6:$A$405,$J242)))</f>
        <v/>
      </c>
      <c r="C242">
        <f>IF($J242="","",IF(INDEX(職員マスタ!$B$6:$B$405,$J242)="","",INDEX(職員マスタ!$B$6:$B$405,$J242)))</f>
        <v/>
      </c>
      <c r="D242">
        <f>IF($J242="","",IF(INDEX(職員マスタ!$C$6:$C$405,$J242)="","",INDEX(職員マスタ!$C$6:$C$405,$J242)))</f>
        <v/>
      </c>
      <c r="E242" s="19">
        <f>IF($J242="","",IF(INDEX(職員マスタ!$K$6:$K$405,$J242)="","",INDEX(職員マスタ!$K$6:$K$405,$J242)))</f>
        <v/>
      </c>
      <c r="F242">
        <f>IF($J242="","",IF(INDEX(職員マスタ!$M$6:$M$405,$J242)="","",INDEX(職員マスタ!$M$6:$M$405,$J242)))</f>
        <v/>
      </c>
      <c r="G242" s="20">
        <f>IF($J242="","",IF(INDEX(職員マスタ!$N$6:$N$405,$J242)="","",INDEX(職員マスタ!$N$6:$N$405,$J242)))</f>
        <v/>
      </c>
      <c r="H242">
        <f>IF(OR($J242="",$G242=""),"",TODAY()-$G242)</f>
        <v/>
      </c>
      <c r="I242">
        <f>IF($J242="","",IF(INDEX(職員マスタ!$L$6:$L$405,$J242)="","",INDEX(職員マスタ!$L$6:$L$405,$J242)))</f>
        <v/>
      </c>
      <c r="J242">
        <f>IFERROR(MATCH(33,職員マスタ!$Q$6:$Q$405,0),"")</f>
        <v/>
      </c>
    </row>
    <row r="243">
      <c r="A243">
        <f>IF($J243="","",34)</f>
        <v/>
      </c>
      <c r="B243">
        <f>IF($J243="","",IF(INDEX(職員マスタ!$A$6:$A$405,$J243)="","",INDEX(職員マスタ!$A$6:$A$405,$J243)))</f>
        <v/>
      </c>
      <c r="C243">
        <f>IF($J243="","",IF(INDEX(職員マスタ!$B$6:$B$405,$J243)="","",INDEX(職員マスタ!$B$6:$B$405,$J243)))</f>
        <v/>
      </c>
      <c r="D243">
        <f>IF($J243="","",IF(INDEX(職員マスタ!$C$6:$C$405,$J243)="","",INDEX(職員マスタ!$C$6:$C$405,$J243)))</f>
        <v/>
      </c>
      <c r="E243" s="19">
        <f>IF($J243="","",IF(INDEX(職員マスタ!$K$6:$K$405,$J243)="","",INDEX(職員マスタ!$K$6:$K$405,$J243)))</f>
        <v/>
      </c>
      <c r="F243">
        <f>IF($J243="","",IF(INDEX(職員マスタ!$M$6:$M$405,$J243)="","",INDEX(職員マスタ!$M$6:$M$405,$J243)))</f>
        <v/>
      </c>
      <c r="G243" s="20">
        <f>IF($J243="","",IF(INDEX(職員マスタ!$N$6:$N$405,$J243)="","",INDEX(職員マスタ!$N$6:$N$405,$J243)))</f>
        <v/>
      </c>
      <c r="H243">
        <f>IF(OR($J243="",$G243=""),"",TODAY()-$G243)</f>
        <v/>
      </c>
      <c r="I243">
        <f>IF($J243="","",IF(INDEX(職員マスタ!$L$6:$L$405,$J243)="","",INDEX(職員マスタ!$L$6:$L$405,$J243)))</f>
        <v/>
      </c>
      <c r="J243">
        <f>IFERROR(MATCH(34,職員マスタ!$Q$6:$Q$405,0),"")</f>
        <v/>
      </c>
    </row>
    <row r="244">
      <c r="A244">
        <f>IF($J244="","",35)</f>
        <v/>
      </c>
      <c r="B244">
        <f>IF($J244="","",IF(INDEX(職員マスタ!$A$6:$A$405,$J244)="","",INDEX(職員マスタ!$A$6:$A$405,$J244)))</f>
        <v/>
      </c>
      <c r="C244">
        <f>IF($J244="","",IF(INDEX(職員マスタ!$B$6:$B$405,$J244)="","",INDEX(職員マスタ!$B$6:$B$405,$J244)))</f>
        <v/>
      </c>
      <c r="D244">
        <f>IF($J244="","",IF(INDEX(職員マスタ!$C$6:$C$405,$J244)="","",INDEX(職員マスタ!$C$6:$C$405,$J244)))</f>
        <v/>
      </c>
      <c r="E244" s="19">
        <f>IF($J244="","",IF(INDEX(職員マスタ!$K$6:$K$405,$J244)="","",INDEX(職員マスタ!$K$6:$K$405,$J244)))</f>
        <v/>
      </c>
      <c r="F244">
        <f>IF($J244="","",IF(INDEX(職員マスタ!$M$6:$M$405,$J244)="","",INDEX(職員マスタ!$M$6:$M$405,$J244)))</f>
        <v/>
      </c>
      <c r="G244" s="20">
        <f>IF($J244="","",IF(INDEX(職員マスタ!$N$6:$N$405,$J244)="","",INDEX(職員マスタ!$N$6:$N$405,$J244)))</f>
        <v/>
      </c>
      <c r="H244">
        <f>IF(OR($J244="",$G244=""),"",TODAY()-$G244)</f>
        <v/>
      </c>
      <c r="I244">
        <f>IF($J244="","",IF(INDEX(職員マスタ!$L$6:$L$405,$J244)="","",INDEX(職員マスタ!$L$6:$L$405,$J244)))</f>
        <v/>
      </c>
      <c r="J244">
        <f>IFERROR(MATCH(35,職員マスタ!$Q$6:$Q$405,0),"")</f>
        <v/>
      </c>
    </row>
    <row r="245">
      <c r="A245">
        <f>IF($J245="","",36)</f>
        <v/>
      </c>
      <c r="B245">
        <f>IF($J245="","",IF(INDEX(職員マスタ!$A$6:$A$405,$J245)="","",INDEX(職員マスタ!$A$6:$A$405,$J245)))</f>
        <v/>
      </c>
      <c r="C245">
        <f>IF($J245="","",IF(INDEX(職員マスタ!$B$6:$B$405,$J245)="","",INDEX(職員マスタ!$B$6:$B$405,$J245)))</f>
        <v/>
      </c>
      <c r="D245">
        <f>IF($J245="","",IF(INDEX(職員マスタ!$C$6:$C$405,$J245)="","",INDEX(職員マスタ!$C$6:$C$405,$J245)))</f>
        <v/>
      </c>
      <c r="E245" s="19">
        <f>IF($J245="","",IF(INDEX(職員マスタ!$K$6:$K$405,$J245)="","",INDEX(職員マスタ!$K$6:$K$405,$J245)))</f>
        <v/>
      </c>
      <c r="F245">
        <f>IF($J245="","",IF(INDEX(職員マスタ!$M$6:$M$405,$J245)="","",INDEX(職員マスタ!$M$6:$M$405,$J245)))</f>
        <v/>
      </c>
      <c r="G245" s="20">
        <f>IF($J245="","",IF(INDEX(職員マスタ!$N$6:$N$405,$J245)="","",INDEX(職員マスタ!$N$6:$N$405,$J245)))</f>
        <v/>
      </c>
      <c r="H245">
        <f>IF(OR($J245="",$G245=""),"",TODAY()-$G245)</f>
        <v/>
      </c>
      <c r="I245">
        <f>IF($J245="","",IF(INDEX(職員マスタ!$L$6:$L$405,$J245)="","",INDEX(職員マスタ!$L$6:$L$405,$J245)))</f>
        <v/>
      </c>
      <c r="J245">
        <f>IFERROR(MATCH(36,職員マスタ!$Q$6:$Q$405,0),"")</f>
        <v/>
      </c>
    </row>
    <row r="246">
      <c r="A246">
        <f>IF($J246="","",37)</f>
        <v/>
      </c>
      <c r="B246">
        <f>IF($J246="","",IF(INDEX(職員マスタ!$A$6:$A$405,$J246)="","",INDEX(職員マスタ!$A$6:$A$405,$J246)))</f>
        <v/>
      </c>
      <c r="C246">
        <f>IF($J246="","",IF(INDEX(職員マスタ!$B$6:$B$405,$J246)="","",INDEX(職員マスタ!$B$6:$B$405,$J246)))</f>
        <v/>
      </c>
      <c r="D246">
        <f>IF($J246="","",IF(INDEX(職員マスタ!$C$6:$C$405,$J246)="","",INDEX(職員マスタ!$C$6:$C$405,$J246)))</f>
        <v/>
      </c>
      <c r="E246" s="19">
        <f>IF($J246="","",IF(INDEX(職員マスタ!$K$6:$K$405,$J246)="","",INDEX(職員マスタ!$K$6:$K$405,$J246)))</f>
        <v/>
      </c>
      <c r="F246">
        <f>IF($J246="","",IF(INDEX(職員マスタ!$M$6:$M$405,$J246)="","",INDEX(職員マスタ!$M$6:$M$405,$J246)))</f>
        <v/>
      </c>
      <c r="G246" s="20">
        <f>IF($J246="","",IF(INDEX(職員マスタ!$N$6:$N$405,$J246)="","",INDEX(職員マスタ!$N$6:$N$405,$J246)))</f>
        <v/>
      </c>
      <c r="H246">
        <f>IF(OR($J246="",$G246=""),"",TODAY()-$G246)</f>
        <v/>
      </c>
      <c r="I246">
        <f>IF($J246="","",IF(INDEX(職員マスタ!$L$6:$L$405,$J246)="","",INDEX(職員マスタ!$L$6:$L$405,$J246)))</f>
        <v/>
      </c>
      <c r="J246">
        <f>IFERROR(MATCH(37,職員マスタ!$Q$6:$Q$405,0),"")</f>
        <v/>
      </c>
    </row>
    <row r="247">
      <c r="A247">
        <f>IF($J247="","",38)</f>
        <v/>
      </c>
      <c r="B247">
        <f>IF($J247="","",IF(INDEX(職員マスタ!$A$6:$A$405,$J247)="","",INDEX(職員マスタ!$A$6:$A$405,$J247)))</f>
        <v/>
      </c>
      <c r="C247">
        <f>IF($J247="","",IF(INDEX(職員マスタ!$B$6:$B$405,$J247)="","",INDEX(職員マスタ!$B$6:$B$405,$J247)))</f>
        <v/>
      </c>
      <c r="D247">
        <f>IF($J247="","",IF(INDEX(職員マスタ!$C$6:$C$405,$J247)="","",INDEX(職員マスタ!$C$6:$C$405,$J247)))</f>
        <v/>
      </c>
      <c r="E247" s="19">
        <f>IF($J247="","",IF(INDEX(職員マスタ!$K$6:$K$405,$J247)="","",INDEX(職員マスタ!$K$6:$K$405,$J247)))</f>
        <v/>
      </c>
      <c r="F247">
        <f>IF($J247="","",IF(INDEX(職員マスタ!$M$6:$M$405,$J247)="","",INDEX(職員マスタ!$M$6:$M$405,$J247)))</f>
        <v/>
      </c>
      <c r="G247" s="20">
        <f>IF($J247="","",IF(INDEX(職員マスタ!$N$6:$N$405,$J247)="","",INDEX(職員マスタ!$N$6:$N$405,$J247)))</f>
        <v/>
      </c>
      <c r="H247">
        <f>IF(OR($J247="",$G247=""),"",TODAY()-$G247)</f>
        <v/>
      </c>
      <c r="I247">
        <f>IF($J247="","",IF(INDEX(職員マスタ!$L$6:$L$405,$J247)="","",INDEX(職員マスタ!$L$6:$L$405,$J247)))</f>
        <v/>
      </c>
      <c r="J247">
        <f>IFERROR(MATCH(38,職員マスタ!$Q$6:$Q$405,0),"")</f>
        <v/>
      </c>
    </row>
    <row r="248">
      <c r="A248">
        <f>IF($J248="","",39)</f>
        <v/>
      </c>
      <c r="B248">
        <f>IF($J248="","",IF(INDEX(職員マスタ!$A$6:$A$405,$J248)="","",INDEX(職員マスタ!$A$6:$A$405,$J248)))</f>
        <v/>
      </c>
      <c r="C248">
        <f>IF($J248="","",IF(INDEX(職員マスタ!$B$6:$B$405,$J248)="","",INDEX(職員マスタ!$B$6:$B$405,$J248)))</f>
        <v/>
      </c>
      <c r="D248">
        <f>IF($J248="","",IF(INDEX(職員マスタ!$C$6:$C$405,$J248)="","",INDEX(職員マスタ!$C$6:$C$405,$J248)))</f>
        <v/>
      </c>
      <c r="E248" s="19">
        <f>IF($J248="","",IF(INDEX(職員マスタ!$K$6:$K$405,$J248)="","",INDEX(職員マスタ!$K$6:$K$405,$J248)))</f>
        <v/>
      </c>
      <c r="F248">
        <f>IF($J248="","",IF(INDEX(職員マスタ!$M$6:$M$405,$J248)="","",INDEX(職員マスタ!$M$6:$M$405,$J248)))</f>
        <v/>
      </c>
      <c r="G248" s="20">
        <f>IF($J248="","",IF(INDEX(職員マスタ!$N$6:$N$405,$J248)="","",INDEX(職員マスタ!$N$6:$N$405,$J248)))</f>
        <v/>
      </c>
      <c r="H248">
        <f>IF(OR($J248="",$G248=""),"",TODAY()-$G248)</f>
        <v/>
      </c>
      <c r="I248">
        <f>IF($J248="","",IF(INDEX(職員マスタ!$L$6:$L$405,$J248)="","",INDEX(職員マスタ!$L$6:$L$405,$J248)))</f>
        <v/>
      </c>
      <c r="J248">
        <f>IFERROR(MATCH(39,職員マスタ!$Q$6:$Q$405,0),"")</f>
        <v/>
      </c>
    </row>
    <row r="249">
      <c r="A249">
        <f>IF($J249="","",40)</f>
        <v/>
      </c>
      <c r="B249">
        <f>IF($J249="","",IF(INDEX(職員マスタ!$A$6:$A$405,$J249)="","",INDEX(職員マスタ!$A$6:$A$405,$J249)))</f>
        <v/>
      </c>
      <c r="C249">
        <f>IF($J249="","",IF(INDEX(職員マスタ!$B$6:$B$405,$J249)="","",INDEX(職員マスタ!$B$6:$B$405,$J249)))</f>
        <v/>
      </c>
      <c r="D249">
        <f>IF($J249="","",IF(INDEX(職員マスタ!$C$6:$C$405,$J249)="","",INDEX(職員マスタ!$C$6:$C$405,$J249)))</f>
        <v/>
      </c>
      <c r="E249" s="19">
        <f>IF($J249="","",IF(INDEX(職員マスタ!$K$6:$K$405,$J249)="","",INDEX(職員マスタ!$K$6:$K$405,$J249)))</f>
        <v/>
      </c>
      <c r="F249">
        <f>IF($J249="","",IF(INDEX(職員マスタ!$M$6:$M$405,$J249)="","",INDEX(職員マスタ!$M$6:$M$405,$J249)))</f>
        <v/>
      </c>
      <c r="G249" s="20">
        <f>IF($J249="","",IF(INDEX(職員マスタ!$N$6:$N$405,$J249)="","",INDEX(職員マスタ!$N$6:$N$405,$J249)))</f>
        <v/>
      </c>
      <c r="H249">
        <f>IF(OR($J249="",$G249=""),"",TODAY()-$G249)</f>
        <v/>
      </c>
      <c r="I249">
        <f>IF($J249="","",IF(INDEX(職員マスタ!$L$6:$L$405,$J249)="","",INDEX(職員マスタ!$L$6:$L$405,$J249)))</f>
        <v/>
      </c>
      <c r="J249">
        <f>IFERROR(MATCH(40,職員マスタ!$Q$6:$Q$405,0),"")</f>
        <v/>
      </c>
    </row>
    <row r="250">
      <c r="A250">
        <f>IF($J250="","",41)</f>
        <v/>
      </c>
      <c r="B250">
        <f>IF($J250="","",IF(INDEX(職員マスタ!$A$6:$A$405,$J250)="","",INDEX(職員マスタ!$A$6:$A$405,$J250)))</f>
        <v/>
      </c>
      <c r="C250">
        <f>IF($J250="","",IF(INDEX(職員マスタ!$B$6:$B$405,$J250)="","",INDEX(職員マスタ!$B$6:$B$405,$J250)))</f>
        <v/>
      </c>
      <c r="D250">
        <f>IF($J250="","",IF(INDEX(職員マスタ!$C$6:$C$405,$J250)="","",INDEX(職員マスタ!$C$6:$C$405,$J250)))</f>
        <v/>
      </c>
      <c r="E250" s="19">
        <f>IF($J250="","",IF(INDEX(職員マスタ!$K$6:$K$405,$J250)="","",INDEX(職員マスタ!$K$6:$K$405,$J250)))</f>
        <v/>
      </c>
      <c r="F250">
        <f>IF($J250="","",IF(INDEX(職員マスタ!$M$6:$M$405,$J250)="","",INDEX(職員マスタ!$M$6:$M$405,$J250)))</f>
        <v/>
      </c>
      <c r="G250" s="20">
        <f>IF($J250="","",IF(INDEX(職員マスタ!$N$6:$N$405,$J250)="","",INDEX(職員マスタ!$N$6:$N$405,$J250)))</f>
        <v/>
      </c>
      <c r="H250">
        <f>IF(OR($J250="",$G250=""),"",TODAY()-$G250)</f>
        <v/>
      </c>
      <c r="I250">
        <f>IF($J250="","",IF(INDEX(職員マスタ!$L$6:$L$405,$J250)="","",INDEX(職員マスタ!$L$6:$L$405,$J250)))</f>
        <v/>
      </c>
      <c r="J250">
        <f>IFERROR(MATCH(41,職員マスタ!$Q$6:$Q$405,0),"")</f>
        <v/>
      </c>
    </row>
    <row r="251">
      <c r="A251">
        <f>IF($J251="","",42)</f>
        <v/>
      </c>
      <c r="B251">
        <f>IF($J251="","",IF(INDEX(職員マスタ!$A$6:$A$405,$J251)="","",INDEX(職員マスタ!$A$6:$A$405,$J251)))</f>
        <v/>
      </c>
      <c r="C251">
        <f>IF($J251="","",IF(INDEX(職員マスタ!$B$6:$B$405,$J251)="","",INDEX(職員マスタ!$B$6:$B$405,$J251)))</f>
        <v/>
      </c>
      <c r="D251">
        <f>IF($J251="","",IF(INDEX(職員マスタ!$C$6:$C$405,$J251)="","",INDEX(職員マスタ!$C$6:$C$405,$J251)))</f>
        <v/>
      </c>
      <c r="E251" s="19">
        <f>IF($J251="","",IF(INDEX(職員マスタ!$K$6:$K$405,$J251)="","",INDEX(職員マスタ!$K$6:$K$405,$J251)))</f>
        <v/>
      </c>
      <c r="F251">
        <f>IF($J251="","",IF(INDEX(職員マスタ!$M$6:$M$405,$J251)="","",INDEX(職員マスタ!$M$6:$M$405,$J251)))</f>
        <v/>
      </c>
      <c r="G251" s="20">
        <f>IF($J251="","",IF(INDEX(職員マスタ!$N$6:$N$405,$J251)="","",INDEX(職員マスタ!$N$6:$N$405,$J251)))</f>
        <v/>
      </c>
      <c r="H251">
        <f>IF(OR($J251="",$G251=""),"",TODAY()-$G251)</f>
        <v/>
      </c>
      <c r="I251">
        <f>IF($J251="","",IF(INDEX(職員マスタ!$L$6:$L$405,$J251)="","",INDEX(職員マスタ!$L$6:$L$405,$J251)))</f>
        <v/>
      </c>
      <c r="J251">
        <f>IFERROR(MATCH(42,職員マスタ!$Q$6:$Q$405,0),"")</f>
        <v/>
      </c>
    </row>
    <row r="252">
      <c r="A252">
        <f>IF($J252="","",43)</f>
        <v/>
      </c>
      <c r="B252">
        <f>IF($J252="","",IF(INDEX(職員マスタ!$A$6:$A$405,$J252)="","",INDEX(職員マスタ!$A$6:$A$405,$J252)))</f>
        <v/>
      </c>
      <c r="C252">
        <f>IF($J252="","",IF(INDEX(職員マスタ!$B$6:$B$405,$J252)="","",INDEX(職員マスタ!$B$6:$B$405,$J252)))</f>
        <v/>
      </c>
      <c r="D252">
        <f>IF($J252="","",IF(INDEX(職員マスタ!$C$6:$C$405,$J252)="","",INDEX(職員マスタ!$C$6:$C$405,$J252)))</f>
        <v/>
      </c>
      <c r="E252" s="19">
        <f>IF($J252="","",IF(INDEX(職員マスタ!$K$6:$K$405,$J252)="","",INDEX(職員マスタ!$K$6:$K$405,$J252)))</f>
        <v/>
      </c>
      <c r="F252">
        <f>IF($J252="","",IF(INDEX(職員マスタ!$M$6:$M$405,$J252)="","",INDEX(職員マスタ!$M$6:$M$405,$J252)))</f>
        <v/>
      </c>
      <c r="G252" s="20">
        <f>IF($J252="","",IF(INDEX(職員マスタ!$N$6:$N$405,$J252)="","",INDEX(職員マスタ!$N$6:$N$405,$J252)))</f>
        <v/>
      </c>
      <c r="H252">
        <f>IF(OR($J252="",$G252=""),"",TODAY()-$G252)</f>
        <v/>
      </c>
      <c r="I252">
        <f>IF($J252="","",IF(INDEX(職員マスタ!$L$6:$L$405,$J252)="","",INDEX(職員マスタ!$L$6:$L$405,$J252)))</f>
        <v/>
      </c>
      <c r="J252">
        <f>IFERROR(MATCH(43,職員マスタ!$Q$6:$Q$405,0),"")</f>
        <v/>
      </c>
    </row>
    <row r="253">
      <c r="A253">
        <f>IF($J253="","",44)</f>
        <v/>
      </c>
      <c r="B253">
        <f>IF($J253="","",IF(INDEX(職員マスタ!$A$6:$A$405,$J253)="","",INDEX(職員マスタ!$A$6:$A$405,$J253)))</f>
        <v/>
      </c>
      <c r="C253">
        <f>IF($J253="","",IF(INDEX(職員マスタ!$B$6:$B$405,$J253)="","",INDEX(職員マスタ!$B$6:$B$405,$J253)))</f>
        <v/>
      </c>
      <c r="D253">
        <f>IF($J253="","",IF(INDEX(職員マスタ!$C$6:$C$405,$J253)="","",INDEX(職員マスタ!$C$6:$C$405,$J253)))</f>
        <v/>
      </c>
      <c r="E253" s="19">
        <f>IF($J253="","",IF(INDEX(職員マスタ!$K$6:$K$405,$J253)="","",INDEX(職員マスタ!$K$6:$K$405,$J253)))</f>
        <v/>
      </c>
      <c r="F253">
        <f>IF($J253="","",IF(INDEX(職員マスタ!$M$6:$M$405,$J253)="","",INDEX(職員マスタ!$M$6:$M$405,$J253)))</f>
        <v/>
      </c>
      <c r="G253" s="20">
        <f>IF($J253="","",IF(INDEX(職員マスタ!$N$6:$N$405,$J253)="","",INDEX(職員マスタ!$N$6:$N$405,$J253)))</f>
        <v/>
      </c>
      <c r="H253">
        <f>IF(OR($J253="",$G253=""),"",TODAY()-$G253)</f>
        <v/>
      </c>
      <c r="I253">
        <f>IF($J253="","",IF(INDEX(職員マスタ!$L$6:$L$405,$J253)="","",INDEX(職員マスタ!$L$6:$L$405,$J253)))</f>
        <v/>
      </c>
      <c r="J253">
        <f>IFERROR(MATCH(44,職員マスタ!$Q$6:$Q$405,0),"")</f>
        <v/>
      </c>
    </row>
    <row r="254">
      <c r="A254">
        <f>IF($J254="","",45)</f>
        <v/>
      </c>
      <c r="B254">
        <f>IF($J254="","",IF(INDEX(職員マスタ!$A$6:$A$405,$J254)="","",INDEX(職員マスタ!$A$6:$A$405,$J254)))</f>
        <v/>
      </c>
      <c r="C254">
        <f>IF($J254="","",IF(INDEX(職員マスタ!$B$6:$B$405,$J254)="","",INDEX(職員マスタ!$B$6:$B$405,$J254)))</f>
        <v/>
      </c>
      <c r="D254">
        <f>IF($J254="","",IF(INDEX(職員マスタ!$C$6:$C$405,$J254)="","",INDEX(職員マスタ!$C$6:$C$405,$J254)))</f>
        <v/>
      </c>
      <c r="E254" s="19">
        <f>IF($J254="","",IF(INDEX(職員マスタ!$K$6:$K$405,$J254)="","",INDEX(職員マスタ!$K$6:$K$405,$J254)))</f>
        <v/>
      </c>
      <c r="F254">
        <f>IF($J254="","",IF(INDEX(職員マスタ!$M$6:$M$405,$J254)="","",INDEX(職員マスタ!$M$6:$M$405,$J254)))</f>
        <v/>
      </c>
      <c r="G254" s="20">
        <f>IF($J254="","",IF(INDEX(職員マスタ!$N$6:$N$405,$J254)="","",INDEX(職員マスタ!$N$6:$N$405,$J254)))</f>
        <v/>
      </c>
      <c r="H254">
        <f>IF(OR($J254="",$G254=""),"",TODAY()-$G254)</f>
        <v/>
      </c>
      <c r="I254">
        <f>IF($J254="","",IF(INDEX(職員マスタ!$L$6:$L$405,$J254)="","",INDEX(職員マスタ!$L$6:$L$405,$J254)))</f>
        <v/>
      </c>
      <c r="J254">
        <f>IFERROR(MATCH(45,職員マスタ!$Q$6:$Q$405,0),"")</f>
        <v/>
      </c>
    </row>
    <row r="255">
      <c r="A255">
        <f>IF($J255="","",46)</f>
        <v/>
      </c>
      <c r="B255">
        <f>IF($J255="","",IF(INDEX(職員マスタ!$A$6:$A$405,$J255)="","",INDEX(職員マスタ!$A$6:$A$405,$J255)))</f>
        <v/>
      </c>
      <c r="C255">
        <f>IF($J255="","",IF(INDEX(職員マスタ!$B$6:$B$405,$J255)="","",INDEX(職員マスタ!$B$6:$B$405,$J255)))</f>
        <v/>
      </c>
      <c r="D255">
        <f>IF($J255="","",IF(INDEX(職員マスタ!$C$6:$C$405,$J255)="","",INDEX(職員マスタ!$C$6:$C$405,$J255)))</f>
        <v/>
      </c>
      <c r="E255" s="19">
        <f>IF($J255="","",IF(INDEX(職員マスタ!$K$6:$K$405,$J255)="","",INDEX(職員マスタ!$K$6:$K$405,$J255)))</f>
        <v/>
      </c>
      <c r="F255">
        <f>IF($J255="","",IF(INDEX(職員マスタ!$M$6:$M$405,$J255)="","",INDEX(職員マスタ!$M$6:$M$405,$J255)))</f>
        <v/>
      </c>
      <c r="G255" s="20">
        <f>IF($J255="","",IF(INDEX(職員マスタ!$N$6:$N$405,$J255)="","",INDEX(職員マスタ!$N$6:$N$405,$J255)))</f>
        <v/>
      </c>
      <c r="H255">
        <f>IF(OR($J255="",$G255=""),"",TODAY()-$G255)</f>
        <v/>
      </c>
      <c r="I255">
        <f>IF($J255="","",IF(INDEX(職員マスタ!$L$6:$L$405,$J255)="","",INDEX(職員マスタ!$L$6:$L$405,$J255)))</f>
        <v/>
      </c>
      <c r="J255">
        <f>IFERROR(MATCH(46,職員マスタ!$Q$6:$Q$405,0),"")</f>
        <v/>
      </c>
    </row>
    <row r="256">
      <c r="A256">
        <f>IF($J256="","",47)</f>
        <v/>
      </c>
      <c r="B256">
        <f>IF($J256="","",IF(INDEX(職員マスタ!$A$6:$A$405,$J256)="","",INDEX(職員マスタ!$A$6:$A$405,$J256)))</f>
        <v/>
      </c>
      <c r="C256">
        <f>IF($J256="","",IF(INDEX(職員マスタ!$B$6:$B$405,$J256)="","",INDEX(職員マスタ!$B$6:$B$405,$J256)))</f>
        <v/>
      </c>
      <c r="D256">
        <f>IF($J256="","",IF(INDEX(職員マスタ!$C$6:$C$405,$J256)="","",INDEX(職員マスタ!$C$6:$C$405,$J256)))</f>
        <v/>
      </c>
      <c r="E256" s="19">
        <f>IF($J256="","",IF(INDEX(職員マスタ!$K$6:$K$405,$J256)="","",INDEX(職員マスタ!$K$6:$K$405,$J256)))</f>
        <v/>
      </c>
      <c r="F256">
        <f>IF($J256="","",IF(INDEX(職員マスタ!$M$6:$M$405,$J256)="","",INDEX(職員マスタ!$M$6:$M$405,$J256)))</f>
        <v/>
      </c>
      <c r="G256" s="20">
        <f>IF($J256="","",IF(INDEX(職員マスタ!$N$6:$N$405,$J256)="","",INDEX(職員マスタ!$N$6:$N$405,$J256)))</f>
        <v/>
      </c>
      <c r="H256">
        <f>IF(OR($J256="",$G256=""),"",TODAY()-$G256)</f>
        <v/>
      </c>
      <c r="I256">
        <f>IF($J256="","",IF(INDEX(職員マスタ!$L$6:$L$405,$J256)="","",INDEX(職員マスタ!$L$6:$L$405,$J256)))</f>
        <v/>
      </c>
      <c r="J256">
        <f>IFERROR(MATCH(47,職員マスタ!$Q$6:$Q$405,0),"")</f>
        <v/>
      </c>
    </row>
    <row r="257">
      <c r="A257">
        <f>IF($J257="","",48)</f>
        <v/>
      </c>
      <c r="B257">
        <f>IF($J257="","",IF(INDEX(職員マスタ!$A$6:$A$405,$J257)="","",INDEX(職員マスタ!$A$6:$A$405,$J257)))</f>
        <v/>
      </c>
      <c r="C257">
        <f>IF($J257="","",IF(INDEX(職員マスタ!$B$6:$B$405,$J257)="","",INDEX(職員マスタ!$B$6:$B$405,$J257)))</f>
        <v/>
      </c>
      <c r="D257">
        <f>IF($J257="","",IF(INDEX(職員マスタ!$C$6:$C$405,$J257)="","",INDEX(職員マスタ!$C$6:$C$405,$J257)))</f>
        <v/>
      </c>
      <c r="E257" s="19">
        <f>IF($J257="","",IF(INDEX(職員マスタ!$K$6:$K$405,$J257)="","",INDEX(職員マスタ!$K$6:$K$405,$J257)))</f>
        <v/>
      </c>
      <c r="F257">
        <f>IF($J257="","",IF(INDEX(職員マスタ!$M$6:$M$405,$J257)="","",INDEX(職員マスタ!$M$6:$M$405,$J257)))</f>
        <v/>
      </c>
      <c r="G257" s="20">
        <f>IF($J257="","",IF(INDEX(職員マスタ!$N$6:$N$405,$J257)="","",INDEX(職員マスタ!$N$6:$N$405,$J257)))</f>
        <v/>
      </c>
      <c r="H257">
        <f>IF(OR($J257="",$G257=""),"",TODAY()-$G257)</f>
        <v/>
      </c>
      <c r="I257">
        <f>IF($J257="","",IF(INDEX(職員マスタ!$L$6:$L$405,$J257)="","",INDEX(職員マスタ!$L$6:$L$405,$J257)))</f>
        <v/>
      </c>
      <c r="J257">
        <f>IFERROR(MATCH(48,職員マスタ!$Q$6:$Q$405,0),"")</f>
        <v/>
      </c>
    </row>
    <row r="258">
      <c r="A258">
        <f>IF($J258="","",49)</f>
        <v/>
      </c>
      <c r="B258">
        <f>IF($J258="","",IF(INDEX(職員マスタ!$A$6:$A$405,$J258)="","",INDEX(職員マスタ!$A$6:$A$405,$J258)))</f>
        <v/>
      </c>
      <c r="C258">
        <f>IF($J258="","",IF(INDEX(職員マスタ!$B$6:$B$405,$J258)="","",INDEX(職員マスタ!$B$6:$B$405,$J258)))</f>
        <v/>
      </c>
      <c r="D258">
        <f>IF($J258="","",IF(INDEX(職員マスタ!$C$6:$C$405,$J258)="","",INDEX(職員マスタ!$C$6:$C$405,$J258)))</f>
        <v/>
      </c>
      <c r="E258" s="19">
        <f>IF($J258="","",IF(INDEX(職員マスタ!$K$6:$K$405,$J258)="","",INDEX(職員マスタ!$K$6:$K$405,$J258)))</f>
        <v/>
      </c>
      <c r="F258">
        <f>IF($J258="","",IF(INDEX(職員マスタ!$M$6:$M$405,$J258)="","",INDEX(職員マスタ!$M$6:$M$405,$J258)))</f>
        <v/>
      </c>
      <c r="G258" s="20">
        <f>IF($J258="","",IF(INDEX(職員マスタ!$N$6:$N$405,$J258)="","",INDEX(職員マスタ!$N$6:$N$405,$J258)))</f>
        <v/>
      </c>
      <c r="H258">
        <f>IF(OR($J258="",$G258=""),"",TODAY()-$G258)</f>
        <v/>
      </c>
      <c r="I258">
        <f>IF($J258="","",IF(INDEX(職員マスタ!$L$6:$L$405,$J258)="","",INDEX(職員マスタ!$L$6:$L$405,$J258)))</f>
        <v/>
      </c>
      <c r="J258">
        <f>IFERROR(MATCH(49,職員マスタ!$Q$6:$Q$405,0),"")</f>
        <v/>
      </c>
    </row>
    <row r="259">
      <c r="A259">
        <f>IF($J259="","",50)</f>
        <v/>
      </c>
      <c r="B259">
        <f>IF($J259="","",IF(INDEX(職員マスタ!$A$6:$A$405,$J259)="","",INDEX(職員マスタ!$A$6:$A$405,$J259)))</f>
        <v/>
      </c>
      <c r="C259">
        <f>IF($J259="","",IF(INDEX(職員マスタ!$B$6:$B$405,$J259)="","",INDEX(職員マスタ!$B$6:$B$405,$J259)))</f>
        <v/>
      </c>
      <c r="D259">
        <f>IF($J259="","",IF(INDEX(職員マスタ!$C$6:$C$405,$J259)="","",INDEX(職員マスタ!$C$6:$C$405,$J259)))</f>
        <v/>
      </c>
      <c r="E259" s="19">
        <f>IF($J259="","",IF(INDEX(職員マスタ!$K$6:$K$405,$J259)="","",INDEX(職員マスタ!$K$6:$K$405,$J259)))</f>
        <v/>
      </c>
      <c r="F259">
        <f>IF($J259="","",IF(INDEX(職員マスタ!$M$6:$M$405,$J259)="","",INDEX(職員マスタ!$M$6:$M$405,$J259)))</f>
        <v/>
      </c>
      <c r="G259" s="20">
        <f>IF($J259="","",IF(INDEX(職員マスタ!$N$6:$N$405,$J259)="","",INDEX(職員マスタ!$N$6:$N$405,$J259)))</f>
        <v/>
      </c>
      <c r="H259">
        <f>IF(OR($J259="",$G259=""),"",TODAY()-$G259)</f>
        <v/>
      </c>
      <c r="I259">
        <f>IF($J259="","",IF(INDEX(職員マスタ!$L$6:$L$405,$J259)="","",INDEX(職員マスタ!$L$6:$L$405,$J259)))</f>
        <v/>
      </c>
      <c r="J259">
        <f>IFERROR(MATCH(50,職員マスタ!$Q$6:$Q$405,0),"")</f>
        <v/>
      </c>
    </row>
    <row r="260">
      <c r="A260">
        <f>IF($J260="","",51)</f>
        <v/>
      </c>
      <c r="B260">
        <f>IF($J260="","",IF(INDEX(職員マスタ!$A$6:$A$405,$J260)="","",INDEX(職員マスタ!$A$6:$A$405,$J260)))</f>
        <v/>
      </c>
      <c r="C260">
        <f>IF($J260="","",IF(INDEX(職員マスタ!$B$6:$B$405,$J260)="","",INDEX(職員マスタ!$B$6:$B$405,$J260)))</f>
        <v/>
      </c>
      <c r="D260">
        <f>IF($J260="","",IF(INDEX(職員マスタ!$C$6:$C$405,$J260)="","",INDEX(職員マスタ!$C$6:$C$405,$J260)))</f>
        <v/>
      </c>
      <c r="E260" s="19">
        <f>IF($J260="","",IF(INDEX(職員マスタ!$K$6:$K$405,$J260)="","",INDEX(職員マスタ!$K$6:$K$405,$J260)))</f>
        <v/>
      </c>
      <c r="F260">
        <f>IF($J260="","",IF(INDEX(職員マスタ!$M$6:$M$405,$J260)="","",INDEX(職員マスタ!$M$6:$M$405,$J260)))</f>
        <v/>
      </c>
      <c r="G260" s="20">
        <f>IF($J260="","",IF(INDEX(職員マスタ!$N$6:$N$405,$J260)="","",INDEX(職員マスタ!$N$6:$N$405,$J260)))</f>
        <v/>
      </c>
      <c r="H260">
        <f>IF(OR($J260="",$G260=""),"",TODAY()-$G260)</f>
        <v/>
      </c>
      <c r="I260">
        <f>IF($J260="","",IF(INDEX(職員マスタ!$L$6:$L$405,$J260)="","",INDEX(職員マスタ!$L$6:$L$405,$J260)))</f>
        <v/>
      </c>
      <c r="J260">
        <f>IFERROR(MATCH(51,職員マスタ!$Q$6:$Q$405,0),"")</f>
        <v/>
      </c>
    </row>
    <row r="261">
      <c r="A261">
        <f>IF($J261="","",52)</f>
        <v/>
      </c>
      <c r="B261">
        <f>IF($J261="","",IF(INDEX(職員マスタ!$A$6:$A$405,$J261)="","",INDEX(職員マスタ!$A$6:$A$405,$J261)))</f>
        <v/>
      </c>
      <c r="C261">
        <f>IF($J261="","",IF(INDEX(職員マスタ!$B$6:$B$405,$J261)="","",INDEX(職員マスタ!$B$6:$B$405,$J261)))</f>
        <v/>
      </c>
      <c r="D261">
        <f>IF($J261="","",IF(INDEX(職員マスタ!$C$6:$C$405,$J261)="","",INDEX(職員マスタ!$C$6:$C$405,$J261)))</f>
        <v/>
      </c>
      <c r="E261" s="19">
        <f>IF($J261="","",IF(INDEX(職員マスタ!$K$6:$K$405,$J261)="","",INDEX(職員マスタ!$K$6:$K$405,$J261)))</f>
        <v/>
      </c>
      <c r="F261">
        <f>IF($J261="","",IF(INDEX(職員マスタ!$M$6:$M$405,$J261)="","",INDEX(職員マスタ!$M$6:$M$405,$J261)))</f>
        <v/>
      </c>
      <c r="G261" s="20">
        <f>IF($J261="","",IF(INDEX(職員マスタ!$N$6:$N$405,$J261)="","",INDEX(職員マスタ!$N$6:$N$405,$J261)))</f>
        <v/>
      </c>
      <c r="H261">
        <f>IF(OR($J261="",$G261=""),"",TODAY()-$G261)</f>
        <v/>
      </c>
      <c r="I261">
        <f>IF($J261="","",IF(INDEX(職員マスタ!$L$6:$L$405,$J261)="","",INDEX(職員マスタ!$L$6:$L$405,$J261)))</f>
        <v/>
      </c>
      <c r="J261">
        <f>IFERROR(MATCH(52,職員マスタ!$Q$6:$Q$405,0),"")</f>
        <v/>
      </c>
    </row>
    <row r="262">
      <c r="A262">
        <f>IF($J262="","",53)</f>
        <v/>
      </c>
      <c r="B262">
        <f>IF($J262="","",IF(INDEX(職員マスタ!$A$6:$A$405,$J262)="","",INDEX(職員マスタ!$A$6:$A$405,$J262)))</f>
        <v/>
      </c>
      <c r="C262">
        <f>IF($J262="","",IF(INDEX(職員マスタ!$B$6:$B$405,$J262)="","",INDEX(職員マスタ!$B$6:$B$405,$J262)))</f>
        <v/>
      </c>
      <c r="D262">
        <f>IF($J262="","",IF(INDEX(職員マスタ!$C$6:$C$405,$J262)="","",INDEX(職員マスタ!$C$6:$C$405,$J262)))</f>
        <v/>
      </c>
      <c r="E262" s="19">
        <f>IF($J262="","",IF(INDEX(職員マスタ!$K$6:$K$405,$J262)="","",INDEX(職員マスタ!$K$6:$K$405,$J262)))</f>
        <v/>
      </c>
      <c r="F262">
        <f>IF($J262="","",IF(INDEX(職員マスタ!$M$6:$M$405,$J262)="","",INDEX(職員マスタ!$M$6:$M$405,$J262)))</f>
        <v/>
      </c>
      <c r="G262" s="20">
        <f>IF($J262="","",IF(INDEX(職員マスタ!$N$6:$N$405,$J262)="","",INDEX(職員マスタ!$N$6:$N$405,$J262)))</f>
        <v/>
      </c>
      <c r="H262">
        <f>IF(OR($J262="",$G262=""),"",TODAY()-$G262)</f>
        <v/>
      </c>
      <c r="I262">
        <f>IF($J262="","",IF(INDEX(職員マスタ!$L$6:$L$405,$J262)="","",INDEX(職員マスタ!$L$6:$L$405,$J262)))</f>
        <v/>
      </c>
      <c r="J262">
        <f>IFERROR(MATCH(53,職員マスタ!$Q$6:$Q$405,0),"")</f>
        <v/>
      </c>
    </row>
    <row r="263">
      <c r="A263">
        <f>IF($J263="","",54)</f>
        <v/>
      </c>
      <c r="B263">
        <f>IF($J263="","",IF(INDEX(職員マスタ!$A$6:$A$405,$J263)="","",INDEX(職員マスタ!$A$6:$A$405,$J263)))</f>
        <v/>
      </c>
      <c r="C263">
        <f>IF($J263="","",IF(INDEX(職員マスタ!$B$6:$B$405,$J263)="","",INDEX(職員マスタ!$B$6:$B$405,$J263)))</f>
        <v/>
      </c>
      <c r="D263">
        <f>IF($J263="","",IF(INDEX(職員マスタ!$C$6:$C$405,$J263)="","",INDEX(職員マスタ!$C$6:$C$405,$J263)))</f>
        <v/>
      </c>
      <c r="E263" s="19">
        <f>IF($J263="","",IF(INDEX(職員マスタ!$K$6:$K$405,$J263)="","",INDEX(職員マスタ!$K$6:$K$405,$J263)))</f>
        <v/>
      </c>
      <c r="F263">
        <f>IF($J263="","",IF(INDEX(職員マスタ!$M$6:$M$405,$J263)="","",INDEX(職員マスタ!$M$6:$M$405,$J263)))</f>
        <v/>
      </c>
      <c r="G263" s="20">
        <f>IF($J263="","",IF(INDEX(職員マスタ!$N$6:$N$405,$J263)="","",INDEX(職員マスタ!$N$6:$N$405,$J263)))</f>
        <v/>
      </c>
      <c r="H263">
        <f>IF(OR($J263="",$G263=""),"",TODAY()-$G263)</f>
        <v/>
      </c>
      <c r="I263">
        <f>IF($J263="","",IF(INDEX(職員マスタ!$L$6:$L$405,$J263)="","",INDEX(職員マスタ!$L$6:$L$405,$J263)))</f>
        <v/>
      </c>
      <c r="J263">
        <f>IFERROR(MATCH(54,職員マスタ!$Q$6:$Q$405,0),"")</f>
        <v/>
      </c>
    </row>
    <row r="264">
      <c r="A264">
        <f>IF($J264="","",55)</f>
        <v/>
      </c>
      <c r="B264">
        <f>IF($J264="","",IF(INDEX(職員マスタ!$A$6:$A$405,$J264)="","",INDEX(職員マスタ!$A$6:$A$405,$J264)))</f>
        <v/>
      </c>
      <c r="C264">
        <f>IF($J264="","",IF(INDEX(職員マスタ!$B$6:$B$405,$J264)="","",INDEX(職員マスタ!$B$6:$B$405,$J264)))</f>
        <v/>
      </c>
      <c r="D264">
        <f>IF($J264="","",IF(INDEX(職員マスタ!$C$6:$C$405,$J264)="","",INDEX(職員マスタ!$C$6:$C$405,$J264)))</f>
        <v/>
      </c>
      <c r="E264" s="19">
        <f>IF($J264="","",IF(INDEX(職員マスタ!$K$6:$K$405,$J264)="","",INDEX(職員マスタ!$K$6:$K$405,$J264)))</f>
        <v/>
      </c>
      <c r="F264">
        <f>IF($J264="","",IF(INDEX(職員マスタ!$M$6:$M$405,$J264)="","",INDEX(職員マスタ!$M$6:$M$405,$J264)))</f>
        <v/>
      </c>
      <c r="G264" s="20">
        <f>IF($J264="","",IF(INDEX(職員マスタ!$N$6:$N$405,$J264)="","",INDEX(職員マスタ!$N$6:$N$405,$J264)))</f>
        <v/>
      </c>
      <c r="H264">
        <f>IF(OR($J264="",$G264=""),"",TODAY()-$G264)</f>
        <v/>
      </c>
      <c r="I264">
        <f>IF($J264="","",IF(INDEX(職員マスタ!$L$6:$L$405,$J264)="","",INDEX(職員マスタ!$L$6:$L$405,$J264)))</f>
        <v/>
      </c>
      <c r="J264">
        <f>IFERROR(MATCH(55,職員マスタ!$Q$6:$Q$405,0),"")</f>
        <v/>
      </c>
    </row>
    <row r="265">
      <c r="A265">
        <f>IF($J265="","",56)</f>
        <v/>
      </c>
      <c r="B265">
        <f>IF($J265="","",IF(INDEX(職員マスタ!$A$6:$A$405,$J265)="","",INDEX(職員マスタ!$A$6:$A$405,$J265)))</f>
        <v/>
      </c>
      <c r="C265">
        <f>IF($J265="","",IF(INDEX(職員マスタ!$B$6:$B$405,$J265)="","",INDEX(職員マスタ!$B$6:$B$405,$J265)))</f>
        <v/>
      </c>
      <c r="D265">
        <f>IF($J265="","",IF(INDEX(職員マスタ!$C$6:$C$405,$J265)="","",INDEX(職員マスタ!$C$6:$C$405,$J265)))</f>
        <v/>
      </c>
      <c r="E265" s="19">
        <f>IF($J265="","",IF(INDEX(職員マスタ!$K$6:$K$405,$J265)="","",INDEX(職員マスタ!$K$6:$K$405,$J265)))</f>
        <v/>
      </c>
      <c r="F265">
        <f>IF($J265="","",IF(INDEX(職員マスタ!$M$6:$M$405,$J265)="","",INDEX(職員マスタ!$M$6:$M$405,$J265)))</f>
        <v/>
      </c>
      <c r="G265" s="20">
        <f>IF($J265="","",IF(INDEX(職員マスタ!$N$6:$N$405,$J265)="","",INDEX(職員マスタ!$N$6:$N$405,$J265)))</f>
        <v/>
      </c>
      <c r="H265">
        <f>IF(OR($J265="",$G265=""),"",TODAY()-$G265)</f>
        <v/>
      </c>
      <c r="I265">
        <f>IF($J265="","",IF(INDEX(職員マスタ!$L$6:$L$405,$J265)="","",INDEX(職員マスタ!$L$6:$L$405,$J265)))</f>
        <v/>
      </c>
      <c r="J265">
        <f>IFERROR(MATCH(56,職員マスタ!$Q$6:$Q$405,0),"")</f>
        <v/>
      </c>
    </row>
    <row r="266">
      <c r="A266">
        <f>IF($J266="","",57)</f>
        <v/>
      </c>
      <c r="B266">
        <f>IF($J266="","",IF(INDEX(職員マスタ!$A$6:$A$405,$J266)="","",INDEX(職員マスタ!$A$6:$A$405,$J266)))</f>
        <v/>
      </c>
      <c r="C266">
        <f>IF($J266="","",IF(INDEX(職員マスタ!$B$6:$B$405,$J266)="","",INDEX(職員マスタ!$B$6:$B$405,$J266)))</f>
        <v/>
      </c>
      <c r="D266">
        <f>IF($J266="","",IF(INDEX(職員マスタ!$C$6:$C$405,$J266)="","",INDEX(職員マスタ!$C$6:$C$405,$J266)))</f>
        <v/>
      </c>
      <c r="E266" s="19">
        <f>IF($J266="","",IF(INDEX(職員マスタ!$K$6:$K$405,$J266)="","",INDEX(職員マスタ!$K$6:$K$405,$J266)))</f>
        <v/>
      </c>
      <c r="F266">
        <f>IF($J266="","",IF(INDEX(職員マスタ!$M$6:$M$405,$J266)="","",INDEX(職員マスタ!$M$6:$M$405,$J266)))</f>
        <v/>
      </c>
      <c r="G266" s="20">
        <f>IF($J266="","",IF(INDEX(職員マスタ!$N$6:$N$405,$J266)="","",INDEX(職員マスタ!$N$6:$N$405,$J266)))</f>
        <v/>
      </c>
      <c r="H266">
        <f>IF(OR($J266="",$G266=""),"",TODAY()-$G266)</f>
        <v/>
      </c>
      <c r="I266">
        <f>IF($J266="","",IF(INDEX(職員マスタ!$L$6:$L$405,$J266)="","",INDEX(職員マスタ!$L$6:$L$405,$J266)))</f>
        <v/>
      </c>
      <c r="J266">
        <f>IFERROR(MATCH(57,職員マスタ!$Q$6:$Q$405,0),"")</f>
        <v/>
      </c>
    </row>
    <row r="267">
      <c r="A267">
        <f>IF($J267="","",58)</f>
        <v/>
      </c>
      <c r="B267">
        <f>IF($J267="","",IF(INDEX(職員マスタ!$A$6:$A$405,$J267)="","",INDEX(職員マスタ!$A$6:$A$405,$J267)))</f>
        <v/>
      </c>
      <c r="C267">
        <f>IF($J267="","",IF(INDEX(職員マスタ!$B$6:$B$405,$J267)="","",INDEX(職員マスタ!$B$6:$B$405,$J267)))</f>
        <v/>
      </c>
      <c r="D267">
        <f>IF($J267="","",IF(INDEX(職員マスタ!$C$6:$C$405,$J267)="","",INDEX(職員マスタ!$C$6:$C$405,$J267)))</f>
        <v/>
      </c>
      <c r="E267" s="19">
        <f>IF($J267="","",IF(INDEX(職員マスタ!$K$6:$K$405,$J267)="","",INDEX(職員マスタ!$K$6:$K$405,$J267)))</f>
        <v/>
      </c>
      <c r="F267">
        <f>IF($J267="","",IF(INDEX(職員マスタ!$M$6:$M$405,$J267)="","",INDEX(職員マスタ!$M$6:$M$405,$J267)))</f>
        <v/>
      </c>
      <c r="G267" s="20">
        <f>IF($J267="","",IF(INDEX(職員マスタ!$N$6:$N$405,$J267)="","",INDEX(職員マスタ!$N$6:$N$405,$J267)))</f>
        <v/>
      </c>
      <c r="H267">
        <f>IF(OR($J267="",$G267=""),"",TODAY()-$G267)</f>
        <v/>
      </c>
      <c r="I267">
        <f>IF($J267="","",IF(INDEX(職員マスタ!$L$6:$L$405,$J267)="","",INDEX(職員マスタ!$L$6:$L$405,$J267)))</f>
        <v/>
      </c>
      <c r="J267">
        <f>IFERROR(MATCH(58,職員マスタ!$Q$6:$Q$405,0),"")</f>
        <v/>
      </c>
    </row>
    <row r="268">
      <c r="A268">
        <f>IF($J268="","",59)</f>
        <v/>
      </c>
      <c r="B268">
        <f>IF($J268="","",IF(INDEX(職員マスタ!$A$6:$A$405,$J268)="","",INDEX(職員マスタ!$A$6:$A$405,$J268)))</f>
        <v/>
      </c>
      <c r="C268">
        <f>IF($J268="","",IF(INDEX(職員マスタ!$B$6:$B$405,$J268)="","",INDEX(職員マスタ!$B$6:$B$405,$J268)))</f>
        <v/>
      </c>
      <c r="D268">
        <f>IF($J268="","",IF(INDEX(職員マスタ!$C$6:$C$405,$J268)="","",INDEX(職員マスタ!$C$6:$C$405,$J268)))</f>
        <v/>
      </c>
      <c r="E268" s="19">
        <f>IF($J268="","",IF(INDEX(職員マスタ!$K$6:$K$405,$J268)="","",INDEX(職員マスタ!$K$6:$K$405,$J268)))</f>
        <v/>
      </c>
      <c r="F268">
        <f>IF($J268="","",IF(INDEX(職員マスタ!$M$6:$M$405,$J268)="","",INDEX(職員マスタ!$M$6:$M$405,$J268)))</f>
        <v/>
      </c>
      <c r="G268" s="20">
        <f>IF($J268="","",IF(INDEX(職員マスタ!$N$6:$N$405,$J268)="","",INDEX(職員マスタ!$N$6:$N$405,$J268)))</f>
        <v/>
      </c>
      <c r="H268">
        <f>IF(OR($J268="",$G268=""),"",TODAY()-$G268)</f>
        <v/>
      </c>
      <c r="I268">
        <f>IF($J268="","",IF(INDEX(職員マスタ!$L$6:$L$405,$J268)="","",INDEX(職員マスタ!$L$6:$L$405,$J268)))</f>
        <v/>
      </c>
      <c r="J268">
        <f>IFERROR(MATCH(59,職員マスタ!$Q$6:$Q$405,0),"")</f>
        <v/>
      </c>
    </row>
    <row r="269">
      <c r="A269">
        <f>IF($J269="","",60)</f>
        <v/>
      </c>
      <c r="B269">
        <f>IF($J269="","",IF(INDEX(職員マスタ!$A$6:$A$405,$J269)="","",INDEX(職員マスタ!$A$6:$A$405,$J269)))</f>
        <v/>
      </c>
      <c r="C269">
        <f>IF($J269="","",IF(INDEX(職員マスタ!$B$6:$B$405,$J269)="","",INDEX(職員マスタ!$B$6:$B$405,$J269)))</f>
        <v/>
      </c>
      <c r="D269">
        <f>IF($J269="","",IF(INDEX(職員マスタ!$C$6:$C$405,$J269)="","",INDEX(職員マスタ!$C$6:$C$405,$J269)))</f>
        <v/>
      </c>
      <c r="E269" s="19">
        <f>IF($J269="","",IF(INDEX(職員マスタ!$K$6:$K$405,$J269)="","",INDEX(職員マスタ!$K$6:$K$405,$J269)))</f>
        <v/>
      </c>
      <c r="F269">
        <f>IF($J269="","",IF(INDEX(職員マスタ!$M$6:$M$405,$J269)="","",INDEX(職員マスタ!$M$6:$M$405,$J269)))</f>
        <v/>
      </c>
      <c r="G269" s="20">
        <f>IF($J269="","",IF(INDEX(職員マスタ!$N$6:$N$405,$J269)="","",INDEX(職員マスタ!$N$6:$N$405,$J269)))</f>
        <v/>
      </c>
      <c r="H269">
        <f>IF(OR($J269="",$G269=""),"",TODAY()-$G269)</f>
        <v/>
      </c>
      <c r="I269">
        <f>IF($J269="","",IF(INDEX(職員マスタ!$L$6:$L$405,$J269)="","",INDEX(職員マスタ!$L$6:$L$405,$J269)))</f>
        <v/>
      </c>
      <c r="J269">
        <f>IFERROR(MATCH(60,職員マスタ!$Q$6:$Q$405,0),"")</f>
        <v/>
      </c>
    </row>
  </sheetData>
  <conditionalFormatting sqref="J6:J205">
    <cfRule type="expression" priority="1" dxfId="3">
      <formula>AND(ISNUMBER($J6),$J6&gt;設定!$C$7)</formula>
    </cfRule>
    <cfRule type="expression" priority="2" dxfId="4">
      <formula>AND(ISNUMBER($J6),$J6&gt;設定!$C$6)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zoomScale="9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4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3" customWidth="1" min="10" max="10"/>
    <col width="10" customWidth="1" min="11" max="11"/>
    <col width="8" customWidth="1" min="12" max="12"/>
    <col width="14" customWidth="1" min="13" max="13"/>
  </cols>
  <sheetData>
    <row r="1">
      <c r="A1" s="5" t="inlineStr">
        <is>
          <t>月次集計</t>
        </is>
      </c>
    </row>
    <row r="2">
      <c r="A2" s="6" t="inlineStr">
        <is>
          <t>対象月別の請求状況と、支給月別の支給額</t>
        </is>
      </c>
    </row>
    <row r="4" ht="34" customHeight="1">
      <c r="A4" s="8" t="inlineStr">
        <is>
          <t>対象月</t>
        </is>
      </c>
      <c r="B4" s="8" t="inlineStr">
        <is>
          <t>請求件数</t>
        </is>
      </c>
      <c r="C4" s="8" t="inlineStr">
        <is>
          <t>報酬額 合計</t>
        </is>
      </c>
      <c r="D4" s="8" t="inlineStr">
        <is>
          <t>決定額 合計</t>
        </is>
      </c>
      <c r="E4" s="8" t="inlineStr">
        <is>
          <t>支給済</t>
        </is>
      </c>
      <c r="F4" s="8" t="inlineStr">
        <is>
          <t>未処理</t>
        </is>
      </c>
      <c r="G4" s="8" t="inlineStr">
        <is>
          <t>保留中</t>
        </is>
      </c>
      <c r="H4" s="8" t="inlineStr">
        <is>
          <t>不支給</t>
        </is>
      </c>
      <c r="I4" s="8" t="inlineStr">
        <is>
          <t>要確認</t>
        </is>
      </c>
      <c r="K4" s="10" t="inlineStr">
        <is>
          <t>支給月</t>
        </is>
      </c>
      <c r="L4" s="10" t="inlineStr">
        <is>
          <t>件数</t>
        </is>
      </c>
      <c r="M4" s="10" t="inlineStr">
        <is>
          <t>支給額 合計</t>
        </is>
      </c>
    </row>
    <row r="5">
      <c r="A5" t="inlineStr">
        <is>
          <t>R7.4</t>
        </is>
      </c>
      <c r="B5">
        <f>COUNTIFS(請求記録!$X$6:$X$3005,$A5)</f>
        <v/>
      </c>
      <c r="C5" s="19">
        <f>SUMIFS(請求記録!$E$6:$E$3005,請求記録!$X$6:$X$3005,$A5)</f>
        <v/>
      </c>
      <c r="D5" s="19">
        <f>SUMIFS(請求記録!$AC$6:$AC$3005,請求記録!$X$6:$X$3005,$A5)</f>
        <v/>
      </c>
      <c r="E5">
        <f>COUNTIFS(請求記録!$X$6:$X$3005,$A5,請求記録!$AD$6:$AD$3005,"支給済")</f>
        <v/>
      </c>
      <c r="F5">
        <f>COUNTIFS(請求記録!$X$6:$X$3005,$A5,請求記録!$AD$6:$AD$3005,"未処理")</f>
        <v/>
      </c>
      <c r="G5">
        <f>COUNTIFS(請求記録!$X$6:$X$3005,$A5,請求記録!$AD$6:$AD$3005,"保留中")</f>
        <v/>
      </c>
      <c r="H5">
        <f>COUNTIFS(請求記録!$X$6:$X$3005,$A5,請求記録!$AD$6:$AD$3005,"不支給")</f>
        <v/>
      </c>
      <c r="I5">
        <f>COUNTIFS(請求記録!$X$6:$X$3005,$A5,請求記録!$AD$6:$AD$3005,"要確認")</f>
        <v/>
      </c>
      <c r="K5" t="inlineStr">
        <is>
          <t>R7.6</t>
        </is>
      </c>
      <c r="L5">
        <f>COUNTIFS(請求記録!$AJ$6:$AJ$3005,$K5,請求記録!$AD$6:$AD$3005,"支給済")</f>
        <v/>
      </c>
      <c r="M5" s="19">
        <f>SUMIFS(請求記録!$AC$6:$AC$3005,請求記録!$AJ$6:$AJ$3005,$K5,請求記録!$AD$6:$AD$3005,"支給済")</f>
        <v/>
      </c>
    </row>
    <row r="6">
      <c r="A6" t="inlineStr">
        <is>
          <t>R7.5</t>
        </is>
      </c>
      <c r="B6">
        <f>COUNTIFS(請求記録!$X$6:$X$3005,$A6)</f>
        <v/>
      </c>
      <c r="C6" s="19">
        <f>SUMIFS(請求記録!$E$6:$E$3005,請求記録!$X$6:$X$3005,$A6)</f>
        <v/>
      </c>
      <c r="D6" s="19">
        <f>SUMIFS(請求記録!$AC$6:$AC$3005,請求記録!$X$6:$X$3005,$A6)</f>
        <v/>
      </c>
      <c r="E6">
        <f>COUNTIFS(請求記録!$X$6:$X$3005,$A6,請求記録!$AD$6:$AD$3005,"支給済")</f>
        <v/>
      </c>
      <c r="F6">
        <f>COUNTIFS(請求記録!$X$6:$X$3005,$A6,請求記録!$AD$6:$AD$3005,"未処理")</f>
        <v/>
      </c>
      <c r="G6">
        <f>COUNTIFS(請求記録!$X$6:$X$3005,$A6,請求記録!$AD$6:$AD$3005,"保留中")</f>
        <v/>
      </c>
      <c r="H6">
        <f>COUNTIFS(請求記録!$X$6:$X$3005,$A6,請求記録!$AD$6:$AD$3005,"不支給")</f>
        <v/>
      </c>
      <c r="I6">
        <f>COUNTIFS(請求記録!$X$6:$X$3005,$A6,請求記録!$AD$6:$AD$3005,"要確認")</f>
        <v/>
      </c>
      <c r="K6" t="inlineStr">
        <is>
          <t>R7.7</t>
        </is>
      </c>
      <c r="L6">
        <f>COUNTIFS(請求記録!$AJ$6:$AJ$3005,$K6,請求記録!$AD$6:$AD$3005,"支給済")</f>
        <v/>
      </c>
      <c r="M6" s="19">
        <f>SUMIFS(請求記録!$AC$6:$AC$3005,請求記録!$AJ$6:$AJ$3005,$K6,請求記録!$AD$6:$AD$3005,"支給済")</f>
        <v/>
      </c>
    </row>
    <row r="7">
      <c r="A7" t="inlineStr">
        <is>
          <t>R7.6</t>
        </is>
      </c>
      <c r="B7">
        <f>COUNTIFS(請求記録!$X$6:$X$3005,$A7)</f>
        <v/>
      </c>
      <c r="C7" s="19">
        <f>SUMIFS(請求記録!$E$6:$E$3005,請求記録!$X$6:$X$3005,$A7)</f>
        <v/>
      </c>
      <c r="D7" s="19">
        <f>SUMIFS(請求記録!$AC$6:$AC$3005,請求記録!$X$6:$X$3005,$A7)</f>
        <v/>
      </c>
      <c r="E7">
        <f>COUNTIFS(請求記録!$X$6:$X$3005,$A7,請求記録!$AD$6:$AD$3005,"支給済")</f>
        <v/>
      </c>
      <c r="F7">
        <f>COUNTIFS(請求記録!$X$6:$X$3005,$A7,請求記録!$AD$6:$AD$3005,"未処理")</f>
        <v/>
      </c>
      <c r="G7">
        <f>COUNTIFS(請求記録!$X$6:$X$3005,$A7,請求記録!$AD$6:$AD$3005,"保留中")</f>
        <v/>
      </c>
      <c r="H7">
        <f>COUNTIFS(請求記録!$X$6:$X$3005,$A7,請求記録!$AD$6:$AD$3005,"不支給")</f>
        <v/>
      </c>
      <c r="I7">
        <f>COUNTIFS(請求記録!$X$6:$X$3005,$A7,請求記録!$AD$6:$AD$3005,"要確認")</f>
        <v/>
      </c>
      <c r="K7" t="inlineStr">
        <is>
          <t>R7.8</t>
        </is>
      </c>
      <c r="L7">
        <f>COUNTIFS(請求記録!$AJ$6:$AJ$3005,$K7,請求記録!$AD$6:$AD$3005,"支給済")</f>
        <v/>
      </c>
      <c r="M7" s="19">
        <f>SUMIFS(請求記録!$AC$6:$AC$3005,請求記録!$AJ$6:$AJ$3005,$K7,請求記録!$AD$6:$AD$3005,"支給済")</f>
        <v/>
      </c>
    </row>
    <row r="8">
      <c r="A8" t="inlineStr">
        <is>
          <t>R7.7</t>
        </is>
      </c>
      <c r="B8">
        <f>COUNTIFS(請求記録!$X$6:$X$3005,$A8)</f>
        <v/>
      </c>
      <c r="C8" s="19">
        <f>SUMIFS(請求記録!$E$6:$E$3005,請求記録!$X$6:$X$3005,$A8)</f>
        <v/>
      </c>
      <c r="D8" s="19">
        <f>SUMIFS(請求記録!$AC$6:$AC$3005,請求記録!$X$6:$X$3005,$A8)</f>
        <v/>
      </c>
      <c r="E8">
        <f>COUNTIFS(請求記録!$X$6:$X$3005,$A8,請求記録!$AD$6:$AD$3005,"支給済")</f>
        <v/>
      </c>
      <c r="F8">
        <f>COUNTIFS(請求記録!$X$6:$X$3005,$A8,請求記録!$AD$6:$AD$3005,"未処理")</f>
        <v/>
      </c>
      <c r="G8">
        <f>COUNTIFS(請求記録!$X$6:$X$3005,$A8,請求記録!$AD$6:$AD$3005,"保留中")</f>
        <v/>
      </c>
      <c r="H8">
        <f>COUNTIFS(請求記録!$X$6:$X$3005,$A8,請求記録!$AD$6:$AD$3005,"不支給")</f>
        <v/>
      </c>
      <c r="I8">
        <f>COUNTIFS(請求記録!$X$6:$X$3005,$A8,請求記録!$AD$6:$AD$3005,"要確認")</f>
        <v/>
      </c>
      <c r="K8" t="inlineStr">
        <is>
          <t>R7.9</t>
        </is>
      </c>
      <c r="L8">
        <f>COUNTIFS(請求記録!$AJ$6:$AJ$3005,$K8,請求記録!$AD$6:$AD$3005,"支給済")</f>
        <v/>
      </c>
      <c r="M8" s="19">
        <f>SUMIFS(請求記録!$AC$6:$AC$3005,請求記録!$AJ$6:$AJ$3005,$K8,請求記録!$AD$6:$AD$3005,"支給済")</f>
        <v/>
      </c>
    </row>
    <row r="9">
      <c r="A9" t="inlineStr">
        <is>
          <t>R7.8</t>
        </is>
      </c>
      <c r="B9">
        <f>COUNTIFS(請求記録!$X$6:$X$3005,$A9)</f>
        <v/>
      </c>
      <c r="C9" s="19">
        <f>SUMIFS(請求記録!$E$6:$E$3005,請求記録!$X$6:$X$3005,$A9)</f>
        <v/>
      </c>
      <c r="D9" s="19">
        <f>SUMIFS(請求記録!$AC$6:$AC$3005,請求記録!$X$6:$X$3005,$A9)</f>
        <v/>
      </c>
      <c r="E9">
        <f>COUNTIFS(請求記録!$X$6:$X$3005,$A9,請求記録!$AD$6:$AD$3005,"支給済")</f>
        <v/>
      </c>
      <c r="F9">
        <f>COUNTIFS(請求記録!$X$6:$X$3005,$A9,請求記録!$AD$6:$AD$3005,"未処理")</f>
        <v/>
      </c>
      <c r="G9">
        <f>COUNTIFS(請求記録!$X$6:$X$3005,$A9,請求記録!$AD$6:$AD$3005,"保留中")</f>
        <v/>
      </c>
      <c r="H9">
        <f>COUNTIFS(請求記録!$X$6:$X$3005,$A9,請求記録!$AD$6:$AD$3005,"不支給")</f>
        <v/>
      </c>
      <c r="I9">
        <f>COUNTIFS(請求記録!$X$6:$X$3005,$A9,請求記録!$AD$6:$AD$3005,"要確認")</f>
        <v/>
      </c>
      <c r="K9" t="inlineStr">
        <is>
          <t>R7.10</t>
        </is>
      </c>
      <c r="L9">
        <f>COUNTIFS(請求記録!$AJ$6:$AJ$3005,$K9,請求記録!$AD$6:$AD$3005,"支給済")</f>
        <v/>
      </c>
      <c r="M9" s="19">
        <f>SUMIFS(請求記録!$AC$6:$AC$3005,請求記録!$AJ$6:$AJ$3005,$K9,請求記録!$AD$6:$AD$3005,"支給済")</f>
        <v/>
      </c>
    </row>
    <row r="10">
      <c r="A10" t="inlineStr">
        <is>
          <t>R7.9</t>
        </is>
      </c>
      <c r="B10">
        <f>COUNTIFS(請求記録!$X$6:$X$3005,$A10)</f>
        <v/>
      </c>
      <c r="C10" s="19">
        <f>SUMIFS(請求記録!$E$6:$E$3005,請求記録!$X$6:$X$3005,$A10)</f>
        <v/>
      </c>
      <c r="D10" s="19">
        <f>SUMIFS(請求記録!$AC$6:$AC$3005,請求記録!$X$6:$X$3005,$A10)</f>
        <v/>
      </c>
      <c r="E10">
        <f>COUNTIFS(請求記録!$X$6:$X$3005,$A10,請求記録!$AD$6:$AD$3005,"支給済")</f>
        <v/>
      </c>
      <c r="F10">
        <f>COUNTIFS(請求記録!$X$6:$X$3005,$A10,請求記録!$AD$6:$AD$3005,"未処理")</f>
        <v/>
      </c>
      <c r="G10">
        <f>COUNTIFS(請求記録!$X$6:$X$3005,$A10,請求記録!$AD$6:$AD$3005,"保留中")</f>
        <v/>
      </c>
      <c r="H10">
        <f>COUNTIFS(請求記録!$X$6:$X$3005,$A10,請求記録!$AD$6:$AD$3005,"不支給")</f>
        <v/>
      </c>
      <c r="I10">
        <f>COUNTIFS(請求記録!$X$6:$X$3005,$A10,請求記録!$AD$6:$AD$3005,"要確認")</f>
        <v/>
      </c>
      <c r="K10" t="inlineStr">
        <is>
          <t>R7.11</t>
        </is>
      </c>
      <c r="L10">
        <f>COUNTIFS(請求記録!$AJ$6:$AJ$3005,$K10,請求記録!$AD$6:$AD$3005,"支給済")</f>
        <v/>
      </c>
      <c r="M10" s="19">
        <f>SUMIFS(請求記録!$AC$6:$AC$3005,請求記録!$AJ$6:$AJ$3005,$K10,請求記録!$AD$6:$AD$3005,"支給済")</f>
        <v/>
      </c>
    </row>
    <row r="11">
      <c r="A11" t="inlineStr">
        <is>
          <t>R7.10</t>
        </is>
      </c>
      <c r="B11">
        <f>COUNTIFS(請求記録!$X$6:$X$3005,$A11)</f>
        <v/>
      </c>
      <c r="C11" s="19">
        <f>SUMIFS(請求記録!$E$6:$E$3005,請求記録!$X$6:$X$3005,$A11)</f>
        <v/>
      </c>
      <c r="D11" s="19">
        <f>SUMIFS(請求記録!$AC$6:$AC$3005,請求記録!$X$6:$X$3005,$A11)</f>
        <v/>
      </c>
      <c r="E11">
        <f>COUNTIFS(請求記録!$X$6:$X$3005,$A11,請求記録!$AD$6:$AD$3005,"支給済")</f>
        <v/>
      </c>
      <c r="F11">
        <f>COUNTIFS(請求記録!$X$6:$X$3005,$A11,請求記録!$AD$6:$AD$3005,"未処理")</f>
        <v/>
      </c>
      <c r="G11">
        <f>COUNTIFS(請求記録!$X$6:$X$3005,$A11,請求記録!$AD$6:$AD$3005,"保留中")</f>
        <v/>
      </c>
      <c r="H11">
        <f>COUNTIFS(請求記録!$X$6:$X$3005,$A11,請求記録!$AD$6:$AD$3005,"不支給")</f>
        <v/>
      </c>
      <c r="I11">
        <f>COUNTIFS(請求記録!$X$6:$X$3005,$A11,請求記録!$AD$6:$AD$3005,"要確認")</f>
        <v/>
      </c>
      <c r="K11" t="inlineStr">
        <is>
          <t>R7.12</t>
        </is>
      </c>
      <c r="L11">
        <f>COUNTIFS(請求記録!$AJ$6:$AJ$3005,$K11,請求記録!$AD$6:$AD$3005,"支給済")</f>
        <v/>
      </c>
      <c r="M11" s="19">
        <f>SUMIFS(請求記録!$AC$6:$AC$3005,請求記録!$AJ$6:$AJ$3005,$K11,請求記録!$AD$6:$AD$3005,"支給済")</f>
        <v/>
      </c>
    </row>
    <row r="12">
      <c r="A12" t="inlineStr">
        <is>
          <t>R7.11</t>
        </is>
      </c>
      <c r="B12">
        <f>COUNTIFS(請求記録!$X$6:$X$3005,$A12)</f>
        <v/>
      </c>
      <c r="C12" s="19">
        <f>SUMIFS(請求記録!$E$6:$E$3005,請求記録!$X$6:$X$3005,$A12)</f>
        <v/>
      </c>
      <c r="D12" s="19">
        <f>SUMIFS(請求記録!$AC$6:$AC$3005,請求記録!$X$6:$X$3005,$A12)</f>
        <v/>
      </c>
      <c r="E12">
        <f>COUNTIFS(請求記録!$X$6:$X$3005,$A12,請求記録!$AD$6:$AD$3005,"支給済")</f>
        <v/>
      </c>
      <c r="F12">
        <f>COUNTIFS(請求記録!$X$6:$X$3005,$A12,請求記録!$AD$6:$AD$3005,"未処理")</f>
        <v/>
      </c>
      <c r="G12">
        <f>COUNTIFS(請求記録!$X$6:$X$3005,$A12,請求記録!$AD$6:$AD$3005,"保留中")</f>
        <v/>
      </c>
      <c r="H12">
        <f>COUNTIFS(請求記録!$X$6:$X$3005,$A12,請求記録!$AD$6:$AD$3005,"不支給")</f>
        <v/>
      </c>
      <c r="I12">
        <f>COUNTIFS(請求記録!$X$6:$X$3005,$A12,請求記録!$AD$6:$AD$3005,"要確認")</f>
        <v/>
      </c>
      <c r="K12" t="inlineStr">
        <is>
          <t>R8.1</t>
        </is>
      </c>
      <c r="L12">
        <f>COUNTIFS(請求記録!$AJ$6:$AJ$3005,$K12,請求記録!$AD$6:$AD$3005,"支給済")</f>
        <v/>
      </c>
      <c r="M12" s="19">
        <f>SUMIFS(請求記録!$AC$6:$AC$3005,請求記録!$AJ$6:$AJ$3005,$K12,請求記録!$AD$6:$AD$3005,"支給済")</f>
        <v/>
      </c>
    </row>
    <row r="13">
      <c r="A13" t="inlineStr">
        <is>
          <t>R7.12</t>
        </is>
      </c>
      <c r="B13">
        <f>COUNTIFS(請求記録!$X$6:$X$3005,$A13)</f>
        <v/>
      </c>
      <c r="C13" s="19">
        <f>SUMIFS(請求記録!$E$6:$E$3005,請求記録!$X$6:$X$3005,$A13)</f>
        <v/>
      </c>
      <c r="D13" s="19">
        <f>SUMIFS(請求記録!$AC$6:$AC$3005,請求記録!$X$6:$X$3005,$A13)</f>
        <v/>
      </c>
      <c r="E13">
        <f>COUNTIFS(請求記録!$X$6:$X$3005,$A13,請求記録!$AD$6:$AD$3005,"支給済")</f>
        <v/>
      </c>
      <c r="F13">
        <f>COUNTIFS(請求記録!$X$6:$X$3005,$A13,請求記録!$AD$6:$AD$3005,"未処理")</f>
        <v/>
      </c>
      <c r="G13">
        <f>COUNTIFS(請求記録!$X$6:$X$3005,$A13,請求記録!$AD$6:$AD$3005,"保留中")</f>
        <v/>
      </c>
      <c r="H13">
        <f>COUNTIFS(請求記録!$X$6:$X$3005,$A13,請求記録!$AD$6:$AD$3005,"不支給")</f>
        <v/>
      </c>
      <c r="I13">
        <f>COUNTIFS(請求記録!$X$6:$X$3005,$A13,請求記録!$AD$6:$AD$3005,"要確認")</f>
        <v/>
      </c>
      <c r="K13" t="inlineStr">
        <is>
          <t>R8.2</t>
        </is>
      </c>
      <c r="L13">
        <f>COUNTIFS(請求記録!$AJ$6:$AJ$3005,$K13,請求記録!$AD$6:$AD$3005,"支給済")</f>
        <v/>
      </c>
      <c r="M13" s="19">
        <f>SUMIFS(請求記録!$AC$6:$AC$3005,請求記録!$AJ$6:$AJ$3005,$K13,請求記録!$AD$6:$AD$3005,"支給済")</f>
        <v/>
      </c>
    </row>
    <row r="14">
      <c r="A14" t="inlineStr">
        <is>
          <t>R8.1</t>
        </is>
      </c>
      <c r="B14">
        <f>COUNTIFS(請求記録!$X$6:$X$3005,$A14)</f>
        <v/>
      </c>
      <c r="C14" s="19">
        <f>SUMIFS(請求記録!$E$6:$E$3005,請求記録!$X$6:$X$3005,$A14)</f>
        <v/>
      </c>
      <c r="D14" s="19">
        <f>SUMIFS(請求記録!$AC$6:$AC$3005,請求記録!$X$6:$X$3005,$A14)</f>
        <v/>
      </c>
      <c r="E14">
        <f>COUNTIFS(請求記録!$X$6:$X$3005,$A14,請求記録!$AD$6:$AD$3005,"支給済")</f>
        <v/>
      </c>
      <c r="F14">
        <f>COUNTIFS(請求記録!$X$6:$X$3005,$A14,請求記録!$AD$6:$AD$3005,"未処理")</f>
        <v/>
      </c>
      <c r="G14">
        <f>COUNTIFS(請求記録!$X$6:$X$3005,$A14,請求記録!$AD$6:$AD$3005,"保留中")</f>
        <v/>
      </c>
      <c r="H14">
        <f>COUNTIFS(請求記録!$X$6:$X$3005,$A14,請求記録!$AD$6:$AD$3005,"不支給")</f>
        <v/>
      </c>
      <c r="I14">
        <f>COUNTIFS(請求記録!$X$6:$X$3005,$A14,請求記録!$AD$6:$AD$3005,"要確認")</f>
        <v/>
      </c>
      <c r="K14" t="inlineStr">
        <is>
          <t>R8.3</t>
        </is>
      </c>
      <c r="L14">
        <f>COUNTIFS(請求記録!$AJ$6:$AJ$3005,$K14,請求記録!$AD$6:$AD$3005,"支給済")</f>
        <v/>
      </c>
      <c r="M14" s="19">
        <f>SUMIFS(請求記録!$AC$6:$AC$3005,請求記録!$AJ$6:$AJ$3005,$K14,請求記録!$AD$6:$AD$3005,"支給済")</f>
        <v/>
      </c>
    </row>
    <row r="15">
      <c r="A15" t="inlineStr">
        <is>
          <t>R8.2</t>
        </is>
      </c>
      <c r="B15">
        <f>COUNTIFS(請求記録!$X$6:$X$3005,$A15)</f>
        <v/>
      </c>
      <c r="C15" s="19">
        <f>SUMIFS(請求記録!$E$6:$E$3005,請求記録!$X$6:$X$3005,$A15)</f>
        <v/>
      </c>
      <c r="D15" s="19">
        <f>SUMIFS(請求記録!$AC$6:$AC$3005,請求記録!$X$6:$X$3005,$A15)</f>
        <v/>
      </c>
      <c r="E15">
        <f>COUNTIFS(請求記録!$X$6:$X$3005,$A15,請求記録!$AD$6:$AD$3005,"支給済")</f>
        <v/>
      </c>
      <c r="F15">
        <f>COUNTIFS(請求記録!$X$6:$X$3005,$A15,請求記録!$AD$6:$AD$3005,"未処理")</f>
        <v/>
      </c>
      <c r="G15">
        <f>COUNTIFS(請求記録!$X$6:$X$3005,$A15,請求記録!$AD$6:$AD$3005,"保留中")</f>
        <v/>
      </c>
      <c r="H15">
        <f>COUNTIFS(請求記録!$X$6:$X$3005,$A15,請求記録!$AD$6:$AD$3005,"不支給")</f>
        <v/>
      </c>
      <c r="I15">
        <f>COUNTIFS(請求記録!$X$6:$X$3005,$A15,請求記録!$AD$6:$AD$3005,"要確認")</f>
        <v/>
      </c>
      <c r="K15" t="inlineStr">
        <is>
          <t>R8.4</t>
        </is>
      </c>
      <c r="L15">
        <f>COUNTIFS(請求記録!$AJ$6:$AJ$3005,$K15,請求記録!$AD$6:$AD$3005,"支給済")</f>
        <v/>
      </c>
      <c r="M15" s="19">
        <f>SUMIFS(請求記録!$AC$6:$AC$3005,請求記録!$AJ$6:$AJ$3005,$K15,請求記録!$AD$6:$AD$3005,"支給済")</f>
        <v/>
      </c>
    </row>
    <row r="16">
      <c r="A16" t="inlineStr">
        <is>
          <t>R8.3</t>
        </is>
      </c>
      <c r="B16">
        <f>COUNTIFS(請求記録!$X$6:$X$3005,$A16)</f>
        <v/>
      </c>
      <c r="C16" s="19">
        <f>SUMIFS(請求記録!$E$6:$E$3005,請求記録!$X$6:$X$3005,$A16)</f>
        <v/>
      </c>
      <c r="D16" s="19">
        <f>SUMIFS(請求記録!$AC$6:$AC$3005,請求記録!$X$6:$X$3005,$A16)</f>
        <v/>
      </c>
      <c r="E16">
        <f>COUNTIFS(請求記録!$X$6:$X$3005,$A16,請求記録!$AD$6:$AD$3005,"支給済")</f>
        <v/>
      </c>
      <c r="F16">
        <f>COUNTIFS(請求記録!$X$6:$X$3005,$A16,請求記録!$AD$6:$AD$3005,"未処理")</f>
        <v/>
      </c>
      <c r="G16">
        <f>COUNTIFS(請求記録!$X$6:$X$3005,$A16,請求記録!$AD$6:$AD$3005,"保留中")</f>
        <v/>
      </c>
      <c r="H16">
        <f>COUNTIFS(請求記録!$X$6:$X$3005,$A16,請求記録!$AD$6:$AD$3005,"不支給")</f>
        <v/>
      </c>
      <c r="I16">
        <f>COUNTIFS(請求記録!$X$6:$X$3005,$A16,請求記録!$AD$6:$AD$3005,"要確認")</f>
        <v/>
      </c>
      <c r="K16" t="inlineStr">
        <is>
          <t>R8.5</t>
        </is>
      </c>
      <c r="L16">
        <f>COUNTIFS(請求記録!$AJ$6:$AJ$3005,$K16,請求記録!$AD$6:$AD$3005,"支給済")</f>
        <v/>
      </c>
      <c r="M16" s="19">
        <f>SUMIFS(請求記録!$AC$6:$AC$3005,請求記録!$AJ$6:$AJ$3005,$K16,請求記録!$AD$6:$AD$3005,"支給済")</f>
        <v/>
      </c>
    </row>
    <row r="17">
      <c r="A17" t="inlineStr">
        <is>
          <t>R8.4</t>
        </is>
      </c>
      <c r="B17">
        <f>COUNTIFS(請求記録!$X$6:$X$3005,$A17)</f>
        <v/>
      </c>
      <c r="C17" s="19">
        <f>SUMIFS(請求記録!$E$6:$E$3005,請求記録!$X$6:$X$3005,$A17)</f>
        <v/>
      </c>
      <c r="D17" s="19">
        <f>SUMIFS(請求記録!$AC$6:$AC$3005,請求記録!$X$6:$X$3005,$A17)</f>
        <v/>
      </c>
      <c r="E17">
        <f>COUNTIFS(請求記録!$X$6:$X$3005,$A17,請求記録!$AD$6:$AD$3005,"支給済")</f>
        <v/>
      </c>
      <c r="F17">
        <f>COUNTIFS(請求記録!$X$6:$X$3005,$A17,請求記録!$AD$6:$AD$3005,"未処理")</f>
        <v/>
      </c>
      <c r="G17">
        <f>COUNTIFS(請求記録!$X$6:$X$3005,$A17,請求記録!$AD$6:$AD$3005,"保留中")</f>
        <v/>
      </c>
      <c r="H17">
        <f>COUNTIFS(請求記録!$X$6:$X$3005,$A17,請求記録!$AD$6:$AD$3005,"不支給")</f>
        <v/>
      </c>
      <c r="I17">
        <f>COUNTIFS(請求記録!$X$6:$X$3005,$A17,請求記録!$AD$6:$AD$3005,"要確認")</f>
        <v/>
      </c>
      <c r="K17" t="inlineStr">
        <is>
          <t>R8.6</t>
        </is>
      </c>
      <c r="L17">
        <f>COUNTIFS(請求記録!$AJ$6:$AJ$3005,$K17,請求記録!$AD$6:$AD$3005,"支給済")</f>
        <v/>
      </c>
      <c r="M17" s="19">
        <f>SUMIFS(請求記録!$AC$6:$AC$3005,請求記録!$AJ$6:$AJ$3005,$K17,請求記録!$AD$6:$AD$3005,"支給済")</f>
        <v/>
      </c>
    </row>
    <row r="18">
      <c r="A18" t="inlineStr">
        <is>
          <t>R8.5</t>
        </is>
      </c>
      <c r="B18">
        <f>COUNTIFS(請求記録!$X$6:$X$3005,$A18)</f>
        <v/>
      </c>
      <c r="C18" s="19">
        <f>SUMIFS(請求記録!$E$6:$E$3005,請求記録!$X$6:$X$3005,$A18)</f>
        <v/>
      </c>
      <c r="D18" s="19">
        <f>SUMIFS(請求記録!$AC$6:$AC$3005,請求記録!$X$6:$X$3005,$A18)</f>
        <v/>
      </c>
      <c r="E18">
        <f>COUNTIFS(請求記録!$X$6:$X$3005,$A18,請求記録!$AD$6:$AD$3005,"支給済")</f>
        <v/>
      </c>
      <c r="F18">
        <f>COUNTIFS(請求記録!$X$6:$X$3005,$A18,請求記録!$AD$6:$AD$3005,"未処理")</f>
        <v/>
      </c>
      <c r="G18">
        <f>COUNTIFS(請求記録!$X$6:$X$3005,$A18,請求記録!$AD$6:$AD$3005,"保留中")</f>
        <v/>
      </c>
      <c r="H18">
        <f>COUNTIFS(請求記録!$X$6:$X$3005,$A18,請求記録!$AD$6:$AD$3005,"不支給")</f>
        <v/>
      </c>
      <c r="I18">
        <f>COUNTIFS(請求記録!$X$6:$X$3005,$A18,請求記録!$AD$6:$AD$3005,"要確認")</f>
        <v/>
      </c>
      <c r="K18" t="inlineStr">
        <is>
          <t>R8.7</t>
        </is>
      </c>
      <c r="L18">
        <f>COUNTIFS(請求記録!$AJ$6:$AJ$3005,$K18,請求記録!$AD$6:$AD$3005,"支給済")</f>
        <v/>
      </c>
      <c r="M18" s="19">
        <f>SUMIFS(請求記録!$AC$6:$AC$3005,請求記録!$AJ$6:$AJ$3005,$K18,請求記録!$AD$6:$AD$3005,"支給済")</f>
        <v/>
      </c>
    </row>
    <row r="19">
      <c r="A19" t="inlineStr">
        <is>
          <t>R8.6</t>
        </is>
      </c>
      <c r="B19">
        <f>COUNTIFS(請求記録!$X$6:$X$3005,$A19)</f>
        <v/>
      </c>
      <c r="C19" s="19">
        <f>SUMIFS(請求記録!$E$6:$E$3005,請求記録!$X$6:$X$3005,$A19)</f>
        <v/>
      </c>
      <c r="D19" s="19">
        <f>SUMIFS(請求記録!$AC$6:$AC$3005,請求記録!$X$6:$X$3005,$A19)</f>
        <v/>
      </c>
      <c r="E19">
        <f>COUNTIFS(請求記録!$X$6:$X$3005,$A19,請求記録!$AD$6:$AD$3005,"支給済")</f>
        <v/>
      </c>
      <c r="F19">
        <f>COUNTIFS(請求記録!$X$6:$X$3005,$A19,請求記録!$AD$6:$AD$3005,"未処理")</f>
        <v/>
      </c>
      <c r="G19">
        <f>COUNTIFS(請求記録!$X$6:$X$3005,$A19,請求記録!$AD$6:$AD$3005,"保留中")</f>
        <v/>
      </c>
      <c r="H19">
        <f>COUNTIFS(請求記録!$X$6:$X$3005,$A19,請求記録!$AD$6:$AD$3005,"不支給")</f>
        <v/>
      </c>
      <c r="I19">
        <f>COUNTIFS(請求記録!$X$6:$X$3005,$A19,請求記録!$AD$6:$AD$3005,"要確認")</f>
        <v/>
      </c>
      <c r="K19" t="inlineStr">
        <is>
          <t>R8.8</t>
        </is>
      </c>
      <c r="L19">
        <f>COUNTIFS(請求記録!$AJ$6:$AJ$3005,$K19,請求記録!$AD$6:$AD$3005,"支給済")</f>
        <v/>
      </c>
      <c r="M19" s="19">
        <f>SUMIFS(請求記録!$AC$6:$AC$3005,請求記録!$AJ$6:$AJ$3005,$K19,請求記録!$AD$6:$AD$3005,"支給済")</f>
        <v/>
      </c>
    </row>
    <row r="20">
      <c r="A20" t="inlineStr">
        <is>
          <t>R8.7</t>
        </is>
      </c>
      <c r="B20">
        <f>COUNTIFS(請求記録!$X$6:$X$3005,$A20)</f>
        <v/>
      </c>
      <c r="C20" s="19">
        <f>SUMIFS(請求記録!$E$6:$E$3005,請求記録!$X$6:$X$3005,$A20)</f>
        <v/>
      </c>
      <c r="D20" s="19">
        <f>SUMIFS(請求記録!$AC$6:$AC$3005,請求記録!$X$6:$X$3005,$A20)</f>
        <v/>
      </c>
      <c r="E20">
        <f>COUNTIFS(請求記録!$X$6:$X$3005,$A20,請求記録!$AD$6:$AD$3005,"支給済")</f>
        <v/>
      </c>
      <c r="F20">
        <f>COUNTIFS(請求記録!$X$6:$X$3005,$A20,請求記録!$AD$6:$AD$3005,"未処理")</f>
        <v/>
      </c>
      <c r="G20">
        <f>COUNTIFS(請求記録!$X$6:$X$3005,$A20,請求記録!$AD$6:$AD$3005,"保留中")</f>
        <v/>
      </c>
      <c r="H20">
        <f>COUNTIFS(請求記録!$X$6:$X$3005,$A20,請求記録!$AD$6:$AD$3005,"不支給")</f>
        <v/>
      </c>
      <c r="I20">
        <f>COUNTIFS(請求記録!$X$6:$X$3005,$A20,請求記録!$AD$6:$AD$3005,"要確認")</f>
        <v/>
      </c>
      <c r="K20" t="inlineStr">
        <is>
          <t>R8.9</t>
        </is>
      </c>
      <c r="L20">
        <f>COUNTIFS(請求記録!$AJ$6:$AJ$3005,$K20,請求記録!$AD$6:$AD$3005,"支給済")</f>
        <v/>
      </c>
      <c r="M20" s="19">
        <f>SUMIFS(請求記録!$AC$6:$AC$3005,請求記録!$AJ$6:$AJ$3005,$K20,請求記録!$AD$6:$AD$3005,"支給済")</f>
        <v/>
      </c>
    </row>
    <row r="21">
      <c r="A21" t="inlineStr">
        <is>
          <t>R8.8</t>
        </is>
      </c>
      <c r="B21">
        <f>COUNTIFS(請求記録!$X$6:$X$3005,$A21)</f>
        <v/>
      </c>
      <c r="C21" s="19">
        <f>SUMIFS(請求記録!$E$6:$E$3005,請求記録!$X$6:$X$3005,$A21)</f>
        <v/>
      </c>
      <c r="D21" s="19">
        <f>SUMIFS(請求記録!$AC$6:$AC$3005,請求記録!$X$6:$X$3005,$A21)</f>
        <v/>
      </c>
      <c r="E21">
        <f>COUNTIFS(請求記録!$X$6:$X$3005,$A21,請求記録!$AD$6:$AD$3005,"支給済")</f>
        <v/>
      </c>
      <c r="F21">
        <f>COUNTIFS(請求記録!$X$6:$X$3005,$A21,請求記録!$AD$6:$AD$3005,"未処理")</f>
        <v/>
      </c>
      <c r="G21">
        <f>COUNTIFS(請求記録!$X$6:$X$3005,$A21,請求記録!$AD$6:$AD$3005,"保留中")</f>
        <v/>
      </c>
      <c r="H21">
        <f>COUNTIFS(請求記録!$X$6:$X$3005,$A21,請求記録!$AD$6:$AD$3005,"不支給")</f>
        <v/>
      </c>
      <c r="I21">
        <f>COUNTIFS(請求記録!$X$6:$X$3005,$A21,請求記録!$AD$6:$AD$3005,"要確認")</f>
        <v/>
      </c>
      <c r="K21" t="inlineStr">
        <is>
          <t>R8.10</t>
        </is>
      </c>
      <c r="L21">
        <f>COUNTIFS(請求記録!$AJ$6:$AJ$3005,$K21,請求記録!$AD$6:$AD$3005,"支給済")</f>
        <v/>
      </c>
      <c r="M21" s="19">
        <f>SUMIFS(請求記録!$AC$6:$AC$3005,請求記録!$AJ$6:$AJ$3005,$K21,請求記録!$AD$6:$AD$3005,"支給済")</f>
        <v/>
      </c>
    </row>
    <row r="22">
      <c r="A22" t="inlineStr">
        <is>
          <t>R8.9</t>
        </is>
      </c>
      <c r="B22">
        <f>COUNTIFS(請求記録!$X$6:$X$3005,$A22)</f>
        <v/>
      </c>
      <c r="C22" s="19">
        <f>SUMIFS(請求記録!$E$6:$E$3005,請求記録!$X$6:$X$3005,$A22)</f>
        <v/>
      </c>
      <c r="D22" s="19">
        <f>SUMIFS(請求記録!$AC$6:$AC$3005,請求記録!$X$6:$X$3005,$A22)</f>
        <v/>
      </c>
      <c r="E22">
        <f>COUNTIFS(請求記録!$X$6:$X$3005,$A22,請求記録!$AD$6:$AD$3005,"支給済")</f>
        <v/>
      </c>
      <c r="F22">
        <f>COUNTIFS(請求記録!$X$6:$X$3005,$A22,請求記録!$AD$6:$AD$3005,"未処理")</f>
        <v/>
      </c>
      <c r="G22">
        <f>COUNTIFS(請求記録!$X$6:$X$3005,$A22,請求記録!$AD$6:$AD$3005,"保留中")</f>
        <v/>
      </c>
      <c r="H22">
        <f>COUNTIFS(請求記録!$X$6:$X$3005,$A22,請求記録!$AD$6:$AD$3005,"不支給")</f>
        <v/>
      </c>
      <c r="I22">
        <f>COUNTIFS(請求記録!$X$6:$X$3005,$A22,請求記録!$AD$6:$AD$3005,"要確認")</f>
        <v/>
      </c>
      <c r="K22" t="inlineStr">
        <is>
          <t>R8.11</t>
        </is>
      </c>
      <c r="L22">
        <f>COUNTIFS(請求記録!$AJ$6:$AJ$3005,$K22,請求記録!$AD$6:$AD$3005,"支給済")</f>
        <v/>
      </c>
      <c r="M22" s="19">
        <f>SUMIFS(請求記録!$AC$6:$AC$3005,請求記録!$AJ$6:$AJ$3005,$K22,請求記録!$AD$6:$AD$3005,"支給済")</f>
        <v/>
      </c>
    </row>
    <row r="23">
      <c r="A23" t="inlineStr">
        <is>
          <t>R8.10</t>
        </is>
      </c>
      <c r="B23">
        <f>COUNTIFS(請求記録!$X$6:$X$3005,$A23)</f>
        <v/>
      </c>
      <c r="C23" s="19">
        <f>SUMIFS(請求記録!$E$6:$E$3005,請求記録!$X$6:$X$3005,$A23)</f>
        <v/>
      </c>
      <c r="D23" s="19">
        <f>SUMIFS(請求記録!$AC$6:$AC$3005,請求記録!$X$6:$X$3005,$A23)</f>
        <v/>
      </c>
      <c r="E23">
        <f>COUNTIFS(請求記録!$X$6:$X$3005,$A23,請求記録!$AD$6:$AD$3005,"支給済")</f>
        <v/>
      </c>
      <c r="F23">
        <f>COUNTIFS(請求記録!$X$6:$X$3005,$A23,請求記録!$AD$6:$AD$3005,"未処理")</f>
        <v/>
      </c>
      <c r="G23">
        <f>COUNTIFS(請求記録!$X$6:$X$3005,$A23,請求記録!$AD$6:$AD$3005,"保留中")</f>
        <v/>
      </c>
      <c r="H23">
        <f>COUNTIFS(請求記録!$X$6:$X$3005,$A23,請求記録!$AD$6:$AD$3005,"不支給")</f>
        <v/>
      </c>
      <c r="I23">
        <f>COUNTIFS(請求記録!$X$6:$X$3005,$A23,請求記録!$AD$6:$AD$3005,"要確認")</f>
        <v/>
      </c>
      <c r="K23" t="inlineStr">
        <is>
          <t>R8.12</t>
        </is>
      </c>
      <c r="L23">
        <f>COUNTIFS(請求記録!$AJ$6:$AJ$3005,$K23,請求記録!$AD$6:$AD$3005,"支給済")</f>
        <v/>
      </c>
      <c r="M23" s="19">
        <f>SUMIFS(請求記録!$AC$6:$AC$3005,請求記録!$AJ$6:$AJ$3005,$K23,請求記録!$AD$6:$AD$3005,"支給済")</f>
        <v/>
      </c>
    </row>
    <row r="24">
      <c r="A24" t="inlineStr">
        <is>
          <t>R8.11</t>
        </is>
      </c>
      <c r="B24">
        <f>COUNTIFS(請求記録!$X$6:$X$3005,$A24)</f>
        <v/>
      </c>
      <c r="C24" s="19">
        <f>SUMIFS(請求記録!$E$6:$E$3005,請求記録!$X$6:$X$3005,$A24)</f>
        <v/>
      </c>
      <c r="D24" s="19">
        <f>SUMIFS(請求記録!$AC$6:$AC$3005,請求記録!$X$6:$X$3005,$A24)</f>
        <v/>
      </c>
      <c r="E24">
        <f>COUNTIFS(請求記録!$X$6:$X$3005,$A24,請求記録!$AD$6:$AD$3005,"支給済")</f>
        <v/>
      </c>
      <c r="F24">
        <f>COUNTIFS(請求記録!$X$6:$X$3005,$A24,請求記録!$AD$6:$AD$3005,"未処理")</f>
        <v/>
      </c>
      <c r="G24">
        <f>COUNTIFS(請求記録!$X$6:$X$3005,$A24,請求記録!$AD$6:$AD$3005,"保留中")</f>
        <v/>
      </c>
      <c r="H24">
        <f>COUNTIFS(請求記録!$X$6:$X$3005,$A24,請求記録!$AD$6:$AD$3005,"不支給")</f>
        <v/>
      </c>
      <c r="I24">
        <f>COUNTIFS(請求記録!$X$6:$X$3005,$A24,請求記録!$AD$6:$AD$3005,"要確認")</f>
        <v/>
      </c>
      <c r="K24" t="inlineStr">
        <is>
          <t>R9.1</t>
        </is>
      </c>
      <c r="L24">
        <f>COUNTIFS(請求記録!$AJ$6:$AJ$3005,$K24,請求記録!$AD$6:$AD$3005,"支給済")</f>
        <v/>
      </c>
      <c r="M24" s="19">
        <f>SUMIFS(請求記録!$AC$6:$AC$3005,請求記録!$AJ$6:$AJ$3005,$K24,請求記録!$AD$6:$AD$3005,"支給済")</f>
        <v/>
      </c>
    </row>
    <row r="25">
      <c r="A25" t="inlineStr">
        <is>
          <t>R8.12</t>
        </is>
      </c>
      <c r="B25">
        <f>COUNTIFS(請求記録!$X$6:$X$3005,$A25)</f>
        <v/>
      </c>
      <c r="C25" s="19">
        <f>SUMIFS(請求記録!$E$6:$E$3005,請求記録!$X$6:$X$3005,$A25)</f>
        <v/>
      </c>
      <c r="D25" s="19">
        <f>SUMIFS(請求記録!$AC$6:$AC$3005,請求記録!$X$6:$X$3005,$A25)</f>
        <v/>
      </c>
      <c r="E25">
        <f>COUNTIFS(請求記録!$X$6:$X$3005,$A25,請求記録!$AD$6:$AD$3005,"支給済")</f>
        <v/>
      </c>
      <c r="F25">
        <f>COUNTIFS(請求記録!$X$6:$X$3005,$A25,請求記録!$AD$6:$AD$3005,"未処理")</f>
        <v/>
      </c>
      <c r="G25">
        <f>COUNTIFS(請求記録!$X$6:$X$3005,$A25,請求記録!$AD$6:$AD$3005,"保留中")</f>
        <v/>
      </c>
      <c r="H25">
        <f>COUNTIFS(請求記録!$X$6:$X$3005,$A25,請求記録!$AD$6:$AD$3005,"不支給")</f>
        <v/>
      </c>
      <c r="I25">
        <f>COUNTIFS(請求記録!$X$6:$X$3005,$A25,請求記録!$AD$6:$AD$3005,"要確認")</f>
        <v/>
      </c>
      <c r="K25" t="inlineStr">
        <is>
          <t>R9.2</t>
        </is>
      </c>
      <c r="L25">
        <f>COUNTIFS(請求記録!$AJ$6:$AJ$3005,$K25,請求記録!$AD$6:$AD$3005,"支給済")</f>
        <v/>
      </c>
      <c r="M25" s="19">
        <f>SUMIFS(請求記録!$AC$6:$AC$3005,請求記録!$AJ$6:$AJ$3005,$K25,請求記録!$AD$6:$AD$3005,"支給済")</f>
        <v/>
      </c>
    </row>
    <row r="26">
      <c r="A26" t="inlineStr">
        <is>
          <t>R9.1</t>
        </is>
      </c>
      <c r="B26">
        <f>COUNTIFS(請求記録!$X$6:$X$3005,$A26)</f>
        <v/>
      </c>
      <c r="C26" s="19">
        <f>SUMIFS(請求記録!$E$6:$E$3005,請求記録!$X$6:$X$3005,$A26)</f>
        <v/>
      </c>
      <c r="D26" s="19">
        <f>SUMIFS(請求記録!$AC$6:$AC$3005,請求記録!$X$6:$X$3005,$A26)</f>
        <v/>
      </c>
      <c r="E26">
        <f>COUNTIFS(請求記録!$X$6:$X$3005,$A26,請求記録!$AD$6:$AD$3005,"支給済")</f>
        <v/>
      </c>
      <c r="F26">
        <f>COUNTIFS(請求記録!$X$6:$X$3005,$A26,請求記録!$AD$6:$AD$3005,"未処理")</f>
        <v/>
      </c>
      <c r="G26">
        <f>COUNTIFS(請求記録!$X$6:$X$3005,$A26,請求記録!$AD$6:$AD$3005,"保留中")</f>
        <v/>
      </c>
      <c r="H26">
        <f>COUNTIFS(請求記録!$X$6:$X$3005,$A26,請求記録!$AD$6:$AD$3005,"不支給")</f>
        <v/>
      </c>
      <c r="I26">
        <f>COUNTIFS(請求記録!$X$6:$X$3005,$A26,請求記録!$AD$6:$AD$3005,"要確認")</f>
        <v/>
      </c>
      <c r="K26" t="inlineStr">
        <is>
          <t>R9.3</t>
        </is>
      </c>
      <c r="L26">
        <f>COUNTIFS(請求記録!$AJ$6:$AJ$3005,$K26,請求記録!$AD$6:$AD$3005,"支給済")</f>
        <v/>
      </c>
      <c r="M26" s="19">
        <f>SUMIFS(請求記録!$AC$6:$AC$3005,請求記録!$AJ$6:$AJ$3005,$K26,請求記録!$AD$6:$AD$3005,"支給済")</f>
        <v/>
      </c>
    </row>
    <row r="27">
      <c r="A27" t="inlineStr">
        <is>
          <t>R9.2</t>
        </is>
      </c>
      <c r="B27">
        <f>COUNTIFS(請求記録!$X$6:$X$3005,$A27)</f>
        <v/>
      </c>
      <c r="C27" s="19">
        <f>SUMIFS(請求記録!$E$6:$E$3005,請求記録!$X$6:$X$3005,$A27)</f>
        <v/>
      </c>
      <c r="D27" s="19">
        <f>SUMIFS(請求記録!$AC$6:$AC$3005,請求記録!$X$6:$X$3005,$A27)</f>
        <v/>
      </c>
      <c r="E27">
        <f>COUNTIFS(請求記録!$X$6:$X$3005,$A27,請求記録!$AD$6:$AD$3005,"支給済")</f>
        <v/>
      </c>
      <c r="F27">
        <f>COUNTIFS(請求記録!$X$6:$X$3005,$A27,請求記録!$AD$6:$AD$3005,"未処理")</f>
        <v/>
      </c>
      <c r="G27">
        <f>COUNTIFS(請求記録!$X$6:$X$3005,$A27,請求記録!$AD$6:$AD$3005,"保留中")</f>
        <v/>
      </c>
      <c r="H27">
        <f>COUNTIFS(請求記録!$X$6:$X$3005,$A27,請求記録!$AD$6:$AD$3005,"不支給")</f>
        <v/>
      </c>
      <c r="I27">
        <f>COUNTIFS(請求記録!$X$6:$X$3005,$A27,請求記録!$AD$6:$AD$3005,"要確認")</f>
        <v/>
      </c>
      <c r="K27" t="inlineStr">
        <is>
          <t>R9.4</t>
        </is>
      </c>
      <c r="L27">
        <f>COUNTIFS(請求記録!$AJ$6:$AJ$3005,$K27,請求記録!$AD$6:$AD$3005,"支給済")</f>
        <v/>
      </c>
      <c r="M27" s="19">
        <f>SUMIFS(請求記録!$AC$6:$AC$3005,請求記録!$AJ$6:$AJ$3005,$K27,請求記録!$AD$6:$AD$3005,"支給済")</f>
        <v/>
      </c>
    </row>
    <row r="28">
      <c r="A28" t="inlineStr">
        <is>
          <t>R9.3</t>
        </is>
      </c>
      <c r="B28">
        <f>COUNTIFS(請求記録!$X$6:$X$3005,$A28)</f>
        <v/>
      </c>
      <c r="C28" s="19">
        <f>SUMIFS(請求記録!$E$6:$E$3005,請求記録!$X$6:$X$3005,$A28)</f>
        <v/>
      </c>
      <c r="D28" s="19">
        <f>SUMIFS(請求記録!$AC$6:$AC$3005,請求記録!$X$6:$X$3005,$A28)</f>
        <v/>
      </c>
      <c r="E28">
        <f>COUNTIFS(請求記録!$X$6:$X$3005,$A28,請求記録!$AD$6:$AD$3005,"支給済")</f>
        <v/>
      </c>
      <c r="F28">
        <f>COUNTIFS(請求記録!$X$6:$X$3005,$A28,請求記録!$AD$6:$AD$3005,"未処理")</f>
        <v/>
      </c>
      <c r="G28">
        <f>COUNTIFS(請求記録!$X$6:$X$3005,$A28,請求記録!$AD$6:$AD$3005,"保留中")</f>
        <v/>
      </c>
      <c r="H28">
        <f>COUNTIFS(請求記録!$X$6:$X$3005,$A28,請求記録!$AD$6:$AD$3005,"不支給")</f>
        <v/>
      </c>
      <c r="I28">
        <f>COUNTIFS(請求記録!$X$6:$X$3005,$A28,請求記録!$AD$6:$AD$3005,"要確認")</f>
        <v/>
      </c>
      <c r="K28" t="inlineStr">
        <is>
          <t>R9.5</t>
        </is>
      </c>
      <c r="L28">
        <f>COUNTIFS(請求記録!$AJ$6:$AJ$3005,$K28,請求記録!$AD$6:$AD$3005,"支給済")</f>
        <v/>
      </c>
      <c r="M28" s="19">
        <f>SUMIFS(請求記録!$AC$6:$AC$3005,請求記録!$AJ$6:$AJ$3005,$K28,請求記録!$AD$6:$AD$3005,"支給済")</f>
        <v/>
      </c>
    </row>
    <row r="29">
      <c r="A29" t="inlineStr">
        <is>
          <t>合計</t>
        </is>
      </c>
      <c r="B29" s="22">
        <f>SUM(B5:B28)</f>
        <v/>
      </c>
      <c r="C29" s="22">
        <f>SUM(C5:C28)</f>
        <v/>
      </c>
      <c r="D29" s="22">
        <f>SUM(D5:D28)</f>
        <v/>
      </c>
      <c r="E29" s="22">
        <f>SUM(E5:E28)</f>
        <v/>
      </c>
      <c r="F29" s="22">
        <f>SUM(F5:F28)</f>
        <v/>
      </c>
      <c r="G29" s="22">
        <f>SUM(G5:G28)</f>
        <v/>
      </c>
      <c r="H29" s="22">
        <f>SUM(H5:H28)</f>
        <v/>
      </c>
      <c r="I29" s="22">
        <f>SUM(I5:I28)</f>
        <v/>
      </c>
      <c r="K29" t="inlineStr">
        <is>
          <t>R9.6</t>
        </is>
      </c>
      <c r="L29">
        <f>COUNTIFS(請求記録!$AJ$6:$AJ$3005,$K29,請求記録!$AD$6:$AD$3005,"支給済")</f>
        <v/>
      </c>
      <c r="M29" s="19">
        <f>SUMIFS(請求記録!$AC$6:$AC$3005,請求記録!$AJ$6:$AJ$3005,$K29,請求記録!$AD$6:$AD$3005,"支給済")</f>
        <v/>
      </c>
    </row>
    <row r="30">
      <c r="K30" t="inlineStr">
        <is>
          <t>R9.7</t>
        </is>
      </c>
      <c r="L30">
        <f>COUNTIFS(請求記録!$AJ$6:$AJ$3005,$K30,請求記録!$AD$6:$AD$3005,"支給済")</f>
        <v/>
      </c>
      <c r="M30" s="19">
        <f>SUMIFS(請求記録!$AC$6:$AC$3005,請求記録!$AJ$6:$AJ$3005,$K30,請求記録!$AD$6:$AD$3005,"支給済")</f>
        <v/>
      </c>
    </row>
    <row r="31">
      <c r="K31" t="inlineStr">
        <is>
          <t>R9.8</t>
        </is>
      </c>
      <c r="L31">
        <f>COUNTIFS(請求記録!$AJ$6:$AJ$3005,$K31,請求記録!$AD$6:$AD$3005,"支給済")</f>
        <v/>
      </c>
      <c r="M31" s="19">
        <f>SUMIFS(請求記録!$AC$6:$AC$3005,請求記録!$AJ$6:$AJ$3005,$K31,請求記録!$AD$6:$AD$3005,"支給済")</f>
        <v/>
      </c>
    </row>
    <row r="32">
      <c r="K32" t="inlineStr">
        <is>
          <t>R9.9</t>
        </is>
      </c>
      <c r="L32">
        <f>COUNTIFS(請求記録!$AJ$6:$AJ$3005,$K32,請求記録!$AD$6:$AD$3005,"支給済")</f>
        <v/>
      </c>
      <c r="M32" s="19">
        <f>SUMIFS(請求記録!$AC$6:$AC$3005,請求記録!$AJ$6:$AJ$3005,$K32,請求記録!$AD$6:$AD$3005,"支給済")</f>
        <v/>
      </c>
    </row>
    <row r="33">
      <c r="K33" t="inlineStr">
        <is>
          <t>R9.10</t>
        </is>
      </c>
      <c r="L33">
        <f>COUNTIFS(請求記録!$AJ$6:$AJ$3005,$K33,請求記録!$AD$6:$AD$3005,"支給済")</f>
        <v/>
      </c>
      <c r="M33" s="19">
        <f>SUMIFS(請求記録!$AC$6:$AC$3005,請求記録!$AJ$6:$AJ$3005,$K33,請求記録!$AD$6:$AD$3005,"支給済")</f>
        <v/>
      </c>
    </row>
    <row r="34">
      <c r="K34" t="inlineStr">
        <is>
          <t>R9.11</t>
        </is>
      </c>
      <c r="L34">
        <f>COUNTIFS(請求記録!$AJ$6:$AJ$3005,$K34,請求記録!$AD$6:$AD$3005,"支給済")</f>
        <v/>
      </c>
      <c r="M34" s="19">
        <f>SUMIFS(請求記録!$AC$6:$AC$3005,請求記録!$AJ$6:$AJ$3005,$K34,請求記録!$AD$6:$AD$3005,"支給済")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05"/>
  <sheetViews>
    <sheetView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22" customWidth="1" min="28" max="28"/>
  </cols>
  <sheetData>
    <row r="1">
      <c r="A1" s="5" t="inlineStr">
        <is>
          <t>職員別 月別一覧</t>
        </is>
      </c>
    </row>
    <row r="2">
      <c r="A2" s="6" t="inlineStr">
        <is>
          <t>金額＝決定額、「保留」＝保留中、0＝不支給。従来の「短時間支給リスト」と同じ見方ができます</t>
        </is>
      </c>
    </row>
    <row r="5" ht="34" customHeight="1">
      <c r="A5" s="8" t="inlineStr">
        <is>
          <t>職員番号</t>
        </is>
      </c>
      <c r="B5" s="8" t="inlineStr">
        <is>
          <t>氏名</t>
        </is>
      </c>
      <c r="C5" s="8" t="inlineStr">
        <is>
          <t>所属</t>
        </is>
      </c>
      <c r="D5" s="8" t="inlineStr">
        <is>
          <t>R7.4</t>
        </is>
      </c>
      <c r="E5" s="8" t="inlineStr">
        <is>
          <t>R7.5</t>
        </is>
      </c>
      <c r="F5" s="8" t="inlineStr">
        <is>
          <t>R7.6</t>
        </is>
      </c>
      <c r="G5" s="8" t="inlineStr">
        <is>
          <t>R7.7</t>
        </is>
      </c>
      <c r="H5" s="8" t="inlineStr">
        <is>
          <t>R7.8</t>
        </is>
      </c>
      <c r="I5" s="8" t="inlineStr">
        <is>
          <t>R7.9</t>
        </is>
      </c>
      <c r="J5" s="8" t="inlineStr">
        <is>
          <t>R7.10</t>
        </is>
      </c>
      <c r="K5" s="8" t="inlineStr">
        <is>
          <t>R7.11</t>
        </is>
      </c>
      <c r="L5" s="8" t="inlineStr">
        <is>
          <t>R7.12</t>
        </is>
      </c>
      <c r="M5" s="8" t="inlineStr">
        <is>
          <t>R8.1</t>
        </is>
      </c>
      <c r="N5" s="8" t="inlineStr">
        <is>
          <t>R8.2</t>
        </is>
      </c>
      <c r="O5" s="8" t="inlineStr">
        <is>
          <t>R8.3</t>
        </is>
      </c>
      <c r="P5" s="8" t="inlineStr">
        <is>
          <t>R8.4</t>
        </is>
      </c>
      <c r="Q5" s="8" t="inlineStr">
        <is>
          <t>R8.5</t>
        </is>
      </c>
      <c r="R5" s="8" t="inlineStr">
        <is>
          <t>R8.6</t>
        </is>
      </c>
      <c r="S5" s="8" t="inlineStr">
        <is>
          <t>R8.7</t>
        </is>
      </c>
      <c r="T5" s="8" t="inlineStr">
        <is>
          <t>R8.8</t>
        </is>
      </c>
      <c r="U5" s="8" t="inlineStr">
        <is>
          <t>R8.9</t>
        </is>
      </c>
      <c r="V5" s="8" t="inlineStr">
        <is>
          <t>R8.10</t>
        </is>
      </c>
      <c r="W5" s="8" t="inlineStr">
        <is>
          <t>R8.11</t>
        </is>
      </c>
      <c r="X5" s="8" t="inlineStr">
        <is>
          <t>R8.12</t>
        </is>
      </c>
      <c r="Y5" s="8" t="inlineStr">
        <is>
          <t>R9.1</t>
        </is>
      </c>
      <c r="Z5" s="8" t="inlineStr">
        <is>
          <t>R9.2</t>
        </is>
      </c>
      <c r="AA5" s="8" t="inlineStr">
        <is>
          <t>R9.3</t>
        </is>
      </c>
      <c r="AB5" s="8" t="inlineStr">
        <is>
          <t>職員単位の保留</t>
        </is>
      </c>
    </row>
    <row r="6">
      <c r="A6">
        <f>IF(職員マスタ!A6="","",職員マスタ!A6)</f>
        <v/>
      </c>
      <c r="B6">
        <f>IF($A6="","",職員マスタ!B6)</f>
        <v/>
      </c>
      <c r="C6">
        <f>IF($A6="","",職員マスタ!C6)</f>
        <v/>
      </c>
      <c r="D6" s="19">
        <f>IF($A6="","",IF(COUNTIFS(請求記録!$B$6:$B$3005,$A6,請求記録!$X$6:$X$3005,D$5,請求記録!$AD$6:$AD$3005,"保留中")&gt;0,"保留",IF(COUNTIFS(請求記録!$B$6:$B$3005,$A6,請求記録!$X$6:$X$3005,D$5)=0,"",SUMIFS(請求記録!$AC$6:$AC$3005,請求記録!$B$6:$B$3005,$A6,請求記録!$X$6:$X$3005,D$5))))</f>
        <v/>
      </c>
      <c r="E6" s="19">
        <f>IF($A6="","",IF(COUNTIFS(請求記録!$B$6:$B$3005,$A6,請求記録!$X$6:$X$3005,E$5,請求記録!$AD$6:$AD$3005,"保留中")&gt;0,"保留",IF(COUNTIFS(請求記録!$B$6:$B$3005,$A6,請求記録!$X$6:$X$3005,E$5)=0,"",SUMIFS(請求記録!$AC$6:$AC$3005,請求記録!$B$6:$B$3005,$A6,請求記録!$X$6:$X$3005,E$5))))</f>
        <v/>
      </c>
      <c r="F6" s="19">
        <f>IF($A6="","",IF(COUNTIFS(請求記録!$B$6:$B$3005,$A6,請求記録!$X$6:$X$3005,F$5,請求記録!$AD$6:$AD$3005,"保留中")&gt;0,"保留",IF(COUNTIFS(請求記録!$B$6:$B$3005,$A6,請求記録!$X$6:$X$3005,F$5)=0,"",SUMIFS(請求記録!$AC$6:$AC$3005,請求記録!$B$6:$B$3005,$A6,請求記録!$X$6:$X$3005,F$5))))</f>
        <v/>
      </c>
      <c r="G6" s="19">
        <f>IF($A6="","",IF(COUNTIFS(請求記録!$B$6:$B$3005,$A6,請求記録!$X$6:$X$3005,G$5,請求記録!$AD$6:$AD$3005,"保留中")&gt;0,"保留",IF(COUNTIFS(請求記録!$B$6:$B$3005,$A6,請求記録!$X$6:$X$3005,G$5)=0,"",SUMIFS(請求記録!$AC$6:$AC$3005,請求記録!$B$6:$B$3005,$A6,請求記録!$X$6:$X$3005,G$5))))</f>
        <v/>
      </c>
      <c r="H6" s="19">
        <f>IF($A6="","",IF(COUNTIFS(請求記録!$B$6:$B$3005,$A6,請求記録!$X$6:$X$3005,H$5,請求記録!$AD$6:$AD$3005,"保留中")&gt;0,"保留",IF(COUNTIFS(請求記録!$B$6:$B$3005,$A6,請求記録!$X$6:$X$3005,H$5)=0,"",SUMIFS(請求記録!$AC$6:$AC$3005,請求記録!$B$6:$B$3005,$A6,請求記録!$X$6:$X$3005,H$5))))</f>
        <v/>
      </c>
      <c r="I6" s="19">
        <f>IF($A6="","",IF(COUNTIFS(請求記録!$B$6:$B$3005,$A6,請求記録!$X$6:$X$3005,I$5,請求記録!$AD$6:$AD$3005,"保留中")&gt;0,"保留",IF(COUNTIFS(請求記録!$B$6:$B$3005,$A6,請求記録!$X$6:$X$3005,I$5)=0,"",SUMIFS(請求記録!$AC$6:$AC$3005,請求記録!$B$6:$B$3005,$A6,請求記録!$X$6:$X$3005,I$5))))</f>
        <v/>
      </c>
      <c r="J6" s="19">
        <f>IF($A6="","",IF(COUNTIFS(請求記録!$B$6:$B$3005,$A6,請求記録!$X$6:$X$3005,J$5,請求記録!$AD$6:$AD$3005,"保留中")&gt;0,"保留",IF(COUNTIFS(請求記録!$B$6:$B$3005,$A6,請求記録!$X$6:$X$3005,J$5)=0,"",SUMIFS(請求記録!$AC$6:$AC$3005,請求記録!$B$6:$B$3005,$A6,請求記録!$X$6:$X$3005,J$5))))</f>
        <v/>
      </c>
      <c r="K6" s="19">
        <f>IF($A6="","",IF(COUNTIFS(請求記録!$B$6:$B$3005,$A6,請求記録!$X$6:$X$3005,K$5,請求記録!$AD$6:$AD$3005,"保留中")&gt;0,"保留",IF(COUNTIFS(請求記録!$B$6:$B$3005,$A6,請求記録!$X$6:$X$3005,K$5)=0,"",SUMIFS(請求記録!$AC$6:$AC$3005,請求記録!$B$6:$B$3005,$A6,請求記録!$X$6:$X$3005,K$5))))</f>
        <v/>
      </c>
      <c r="L6" s="19">
        <f>IF($A6="","",IF(COUNTIFS(請求記録!$B$6:$B$3005,$A6,請求記録!$X$6:$X$3005,L$5,請求記録!$AD$6:$AD$3005,"保留中")&gt;0,"保留",IF(COUNTIFS(請求記録!$B$6:$B$3005,$A6,請求記録!$X$6:$X$3005,L$5)=0,"",SUMIFS(請求記録!$AC$6:$AC$3005,請求記録!$B$6:$B$3005,$A6,請求記録!$X$6:$X$3005,L$5))))</f>
        <v/>
      </c>
      <c r="M6" s="19">
        <f>IF($A6="","",IF(COUNTIFS(請求記録!$B$6:$B$3005,$A6,請求記録!$X$6:$X$3005,M$5,請求記録!$AD$6:$AD$3005,"保留中")&gt;0,"保留",IF(COUNTIFS(請求記録!$B$6:$B$3005,$A6,請求記録!$X$6:$X$3005,M$5)=0,"",SUMIFS(請求記録!$AC$6:$AC$3005,請求記録!$B$6:$B$3005,$A6,請求記録!$X$6:$X$3005,M$5))))</f>
        <v/>
      </c>
      <c r="N6" s="19">
        <f>IF($A6="","",IF(COUNTIFS(請求記録!$B$6:$B$3005,$A6,請求記録!$X$6:$X$3005,N$5,請求記録!$AD$6:$AD$3005,"保留中")&gt;0,"保留",IF(COUNTIFS(請求記録!$B$6:$B$3005,$A6,請求記録!$X$6:$X$3005,N$5)=0,"",SUMIFS(請求記録!$AC$6:$AC$3005,請求記録!$B$6:$B$3005,$A6,請求記録!$X$6:$X$3005,N$5))))</f>
        <v/>
      </c>
      <c r="O6" s="19">
        <f>IF($A6="","",IF(COUNTIFS(請求記録!$B$6:$B$3005,$A6,請求記録!$X$6:$X$3005,O$5,請求記録!$AD$6:$AD$3005,"保留中")&gt;0,"保留",IF(COUNTIFS(請求記録!$B$6:$B$3005,$A6,請求記録!$X$6:$X$3005,O$5)=0,"",SUMIFS(請求記録!$AC$6:$AC$3005,請求記録!$B$6:$B$3005,$A6,請求記録!$X$6:$X$3005,O$5))))</f>
        <v/>
      </c>
      <c r="P6" s="19">
        <f>IF($A6="","",IF(COUNTIFS(請求記録!$B$6:$B$3005,$A6,請求記録!$X$6:$X$3005,P$5,請求記録!$AD$6:$AD$3005,"保留中")&gt;0,"保留",IF(COUNTIFS(請求記録!$B$6:$B$3005,$A6,請求記録!$X$6:$X$3005,P$5)=0,"",SUMIFS(請求記録!$AC$6:$AC$3005,請求記録!$B$6:$B$3005,$A6,請求記録!$X$6:$X$3005,P$5))))</f>
        <v/>
      </c>
      <c r="Q6" s="19">
        <f>IF($A6="","",IF(COUNTIFS(請求記録!$B$6:$B$3005,$A6,請求記録!$X$6:$X$3005,Q$5,請求記録!$AD$6:$AD$3005,"保留中")&gt;0,"保留",IF(COUNTIFS(請求記録!$B$6:$B$3005,$A6,請求記録!$X$6:$X$3005,Q$5)=0,"",SUMIFS(請求記録!$AC$6:$AC$3005,請求記録!$B$6:$B$3005,$A6,請求記録!$X$6:$X$3005,Q$5))))</f>
        <v/>
      </c>
      <c r="R6" s="19">
        <f>IF($A6="","",IF(COUNTIFS(請求記録!$B$6:$B$3005,$A6,請求記録!$X$6:$X$3005,R$5,請求記録!$AD$6:$AD$3005,"保留中")&gt;0,"保留",IF(COUNTIFS(請求記録!$B$6:$B$3005,$A6,請求記録!$X$6:$X$3005,R$5)=0,"",SUMIFS(請求記録!$AC$6:$AC$3005,請求記録!$B$6:$B$3005,$A6,請求記録!$X$6:$X$3005,R$5))))</f>
        <v/>
      </c>
      <c r="S6" s="19">
        <f>IF($A6="","",IF(COUNTIFS(請求記録!$B$6:$B$3005,$A6,請求記録!$X$6:$X$3005,S$5,請求記録!$AD$6:$AD$3005,"保留中")&gt;0,"保留",IF(COUNTIFS(請求記録!$B$6:$B$3005,$A6,請求記録!$X$6:$X$3005,S$5)=0,"",SUMIFS(請求記録!$AC$6:$AC$3005,請求記録!$B$6:$B$3005,$A6,請求記録!$X$6:$X$3005,S$5))))</f>
        <v/>
      </c>
      <c r="T6" s="19">
        <f>IF($A6="","",IF(COUNTIFS(請求記録!$B$6:$B$3005,$A6,請求記録!$X$6:$X$3005,T$5,請求記録!$AD$6:$AD$3005,"保留中")&gt;0,"保留",IF(COUNTIFS(請求記録!$B$6:$B$3005,$A6,請求記録!$X$6:$X$3005,T$5)=0,"",SUMIFS(請求記録!$AC$6:$AC$3005,請求記録!$B$6:$B$3005,$A6,請求記録!$X$6:$X$3005,T$5))))</f>
        <v/>
      </c>
      <c r="U6" s="19">
        <f>IF($A6="","",IF(COUNTIFS(請求記録!$B$6:$B$3005,$A6,請求記録!$X$6:$X$3005,U$5,請求記録!$AD$6:$AD$3005,"保留中")&gt;0,"保留",IF(COUNTIFS(請求記録!$B$6:$B$3005,$A6,請求記録!$X$6:$X$3005,U$5)=0,"",SUMIFS(請求記録!$AC$6:$AC$3005,請求記録!$B$6:$B$3005,$A6,請求記録!$X$6:$X$3005,U$5))))</f>
        <v/>
      </c>
      <c r="V6" s="19">
        <f>IF($A6="","",IF(COUNTIFS(請求記録!$B$6:$B$3005,$A6,請求記録!$X$6:$X$3005,V$5,請求記録!$AD$6:$AD$3005,"保留中")&gt;0,"保留",IF(COUNTIFS(請求記録!$B$6:$B$3005,$A6,請求記録!$X$6:$X$3005,V$5)=0,"",SUMIFS(請求記録!$AC$6:$AC$3005,請求記録!$B$6:$B$3005,$A6,請求記録!$X$6:$X$3005,V$5))))</f>
        <v/>
      </c>
      <c r="W6" s="19">
        <f>IF($A6="","",IF(COUNTIFS(請求記録!$B$6:$B$3005,$A6,請求記録!$X$6:$X$3005,W$5,請求記録!$AD$6:$AD$3005,"保留中")&gt;0,"保留",IF(COUNTIFS(請求記録!$B$6:$B$3005,$A6,請求記録!$X$6:$X$3005,W$5)=0,"",SUMIFS(請求記録!$AC$6:$AC$3005,請求記録!$B$6:$B$3005,$A6,請求記録!$X$6:$X$3005,W$5))))</f>
        <v/>
      </c>
      <c r="X6" s="19">
        <f>IF($A6="","",IF(COUNTIFS(請求記録!$B$6:$B$3005,$A6,請求記録!$X$6:$X$3005,X$5,請求記録!$AD$6:$AD$3005,"保留中")&gt;0,"保留",IF(COUNTIFS(請求記録!$B$6:$B$3005,$A6,請求記録!$X$6:$X$3005,X$5)=0,"",SUMIFS(請求記録!$AC$6:$AC$3005,請求記録!$B$6:$B$3005,$A6,請求記録!$X$6:$X$3005,X$5))))</f>
        <v/>
      </c>
      <c r="Y6" s="19">
        <f>IF($A6="","",IF(COUNTIFS(請求記録!$B$6:$B$3005,$A6,請求記録!$X$6:$X$3005,Y$5,請求記録!$AD$6:$AD$3005,"保留中")&gt;0,"保留",IF(COUNTIFS(請求記録!$B$6:$B$3005,$A6,請求記録!$X$6:$X$3005,Y$5)=0,"",SUMIFS(請求記録!$AC$6:$AC$3005,請求記録!$B$6:$B$3005,$A6,請求記録!$X$6:$X$3005,Y$5))))</f>
        <v/>
      </c>
      <c r="Z6" s="19">
        <f>IF($A6="","",IF(COUNTIFS(請求記録!$B$6:$B$3005,$A6,請求記録!$X$6:$X$3005,Z$5,請求記録!$AD$6:$AD$3005,"保留中")&gt;0,"保留",IF(COUNTIFS(請求記録!$B$6:$B$3005,$A6,請求記録!$X$6:$X$3005,Z$5)=0,"",SUMIFS(請求記録!$AC$6:$AC$3005,請求記録!$B$6:$B$3005,$A6,請求記録!$X$6:$X$3005,Z$5))))</f>
        <v/>
      </c>
      <c r="AA6" s="19">
        <f>IF($A6="","",IF(COUNTIFS(請求記録!$B$6:$B$3005,$A6,請求記録!$X$6:$X$3005,AA$5,請求記録!$AD$6:$AD$3005,"保留中")&gt;0,"保留",IF(COUNTIFS(請求記録!$B$6:$B$3005,$A6,請求記録!$X$6:$X$3005,AA$5)=0,"",SUMIFS(請求記録!$AC$6:$AC$3005,請求記録!$B$6:$B$3005,$A6,請求記録!$X$6:$X$3005,AA$5))))</f>
        <v/>
      </c>
      <c r="AB6">
        <f>IF(職員マスタ!P6="保留中",職員マスタ!M6,"")</f>
        <v/>
      </c>
    </row>
    <row r="7">
      <c r="A7">
        <f>IF(職員マスタ!A7="","",職員マスタ!A7)</f>
        <v/>
      </c>
      <c r="B7">
        <f>IF($A7="","",職員マスタ!B7)</f>
        <v/>
      </c>
      <c r="C7">
        <f>IF($A7="","",職員マスタ!C7)</f>
        <v/>
      </c>
      <c r="D7" s="19">
        <f>IF($A7="","",IF(COUNTIFS(請求記録!$B$6:$B$3005,$A7,請求記録!$X$6:$X$3005,D$5,請求記録!$AD$6:$AD$3005,"保留中")&gt;0,"保留",IF(COUNTIFS(請求記録!$B$6:$B$3005,$A7,請求記録!$X$6:$X$3005,D$5)=0,"",SUMIFS(請求記録!$AC$6:$AC$3005,請求記録!$B$6:$B$3005,$A7,請求記録!$X$6:$X$3005,D$5))))</f>
        <v/>
      </c>
      <c r="E7" s="19">
        <f>IF($A7="","",IF(COUNTIFS(請求記録!$B$6:$B$3005,$A7,請求記録!$X$6:$X$3005,E$5,請求記録!$AD$6:$AD$3005,"保留中")&gt;0,"保留",IF(COUNTIFS(請求記録!$B$6:$B$3005,$A7,請求記録!$X$6:$X$3005,E$5)=0,"",SUMIFS(請求記録!$AC$6:$AC$3005,請求記録!$B$6:$B$3005,$A7,請求記録!$X$6:$X$3005,E$5))))</f>
        <v/>
      </c>
      <c r="F7" s="19">
        <f>IF($A7="","",IF(COUNTIFS(請求記録!$B$6:$B$3005,$A7,請求記録!$X$6:$X$3005,F$5,請求記録!$AD$6:$AD$3005,"保留中")&gt;0,"保留",IF(COUNTIFS(請求記録!$B$6:$B$3005,$A7,請求記録!$X$6:$X$3005,F$5)=0,"",SUMIFS(請求記録!$AC$6:$AC$3005,請求記録!$B$6:$B$3005,$A7,請求記録!$X$6:$X$3005,F$5))))</f>
        <v/>
      </c>
      <c r="G7" s="19">
        <f>IF($A7="","",IF(COUNTIFS(請求記録!$B$6:$B$3005,$A7,請求記録!$X$6:$X$3005,G$5,請求記録!$AD$6:$AD$3005,"保留中")&gt;0,"保留",IF(COUNTIFS(請求記録!$B$6:$B$3005,$A7,請求記録!$X$6:$X$3005,G$5)=0,"",SUMIFS(請求記録!$AC$6:$AC$3005,請求記録!$B$6:$B$3005,$A7,請求記録!$X$6:$X$3005,G$5))))</f>
        <v/>
      </c>
      <c r="H7" s="19">
        <f>IF($A7="","",IF(COUNTIFS(請求記録!$B$6:$B$3005,$A7,請求記録!$X$6:$X$3005,H$5,請求記録!$AD$6:$AD$3005,"保留中")&gt;0,"保留",IF(COUNTIFS(請求記録!$B$6:$B$3005,$A7,請求記録!$X$6:$X$3005,H$5)=0,"",SUMIFS(請求記録!$AC$6:$AC$3005,請求記録!$B$6:$B$3005,$A7,請求記録!$X$6:$X$3005,H$5))))</f>
        <v/>
      </c>
      <c r="I7" s="19">
        <f>IF($A7="","",IF(COUNTIFS(請求記録!$B$6:$B$3005,$A7,請求記録!$X$6:$X$3005,I$5,請求記録!$AD$6:$AD$3005,"保留中")&gt;0,"保留",IF(COUNTIFS(請求記録!$B$6:$B$3005,$A7,請求記録!$X$6:$X$3005,I$5)=0,"",SUMIFS(請求記録!$AC$6:$AC$3005,請求記録!$B$6:$B$3005,$A7,請求記録!$X$6:$X$3005,I$5))))</f>
        <v/>
      </c>
      <c r="J7" s="19">
        <f>IF($A7="","",IF(COUNTIFS(請求記録!$B$6:$B$3005,$A7,請求記録!$X$6:$X$3005,J$5,請求記録!$AD$6:$AD$3005,"保留中")&gt;0,"保留",IF(COUNTIFS(請求記録!$B$6:$B$3005,$A7,請求記録!$X$6:$X$3005,J$5)=0,"",SUMIFS(請求記録!$AC$6:$AC$3005,請求記録!$B$6:$B$3005,$A7,請求記録!$X$6:$X$3005,J$5))))</f>
        <v/>
      </c>
      <c r="K7" s="19">
        <f>IF($A7="","",IF(COUNTIFS(請求記録!$B$6:$B$3005,$A7,請求記録!$X$6:$X$3005,K$5,請求記録!$AD$6:$AD$3005,"保留中")&gt;0,"保留",IF(COUNTIFS(請求記録!$B$6:$B$3005,$A7,請求記録!$X$6:$X$3005,K$5)=0,"",SUMIFS(請求記録!$AC$6:$AC$3005,請求記録!$B$6:$B$3005,$A7,請求記録!$X$6:$X$3005,K$5))))</f>
        <v/>
      </c>
      <c r="L7" s="19">
        <f>IF($A7="","",IF(COUNTIFS(請求記録!$B$6:$B$3005,$A7,請求記録!$X$6:$X$3005,L$5,請求記録!$AD$6:$AD$3005,"保留中")&gt;0,"保留",IF(COUNTIFS(請求記録!$B$6:$B$3005,$A7,請求記録!$X$6:$X$3005,L$5)=0,"",SUMIFS(請求記録!$AC$6:$AC$3005,請求記録!$B$6:$B$3005,$A7,請求記録!$X$6:$X$3005,L$5))))</f>
        <v/>
      </c>
      <c r="M7" s="19">
        <f>IF($A7="","",IF(COUNTIFS(請求記録!$B$6:$B$3005,$A7,請求記録!$X$6:$X$3005,M$5,請求記録!$AD$6:$AD$3005,"保留中")&gt;0,"保留",IF(COUNTIFS(請求記録!$B$6:$B$3005,$A7,請求記録!$X$6:$X$3005,M$5)=0,"",SUMIFS(請求記録!$AC$6:$AC$3005,請求記録!$B$6:$B$3005,$A7,請求記録!$X$6:$X$3005,M$5))))</f>
        <v/>
      </c>
      <c r="N7" s="19">
        <f>IF($A7="","",IF(COUNTIFS(請求記録!$B$6:$B$3005,$A7,請求記録!$X$6:$X$3005,N$5,請求記録!$AD$6:$AD$3005,"保留中")&gt;0,"保留",IF(COUNTIFS(請求記録!$B$6:$B$3005,$A7,請求記録!$X$6:$X$3005,N$5)=0,"",SUMIFS(請求記録!$AC$6:$AC$3005,請求記録!$B$6:$B$3005,$A7,請求記録!$X$6:$X$3005,N$5))))</f>
        <v/>
      </c>
      <c r="O7" s="19">
        <f>IF($A7="","",IF(COUNTIFS(請求記録!$B$6:$B$3005,$A7,請求記録!$X$6:$X$3005,O$5,請求記録!$AD$6:$AD$3005,"保留中")&gt;0,"保留",IF(COUNTIFS(請求記録!$B$6:$B$3005,$A7,請求記録!$X$6:$X$3005,O$5)=0,"",SUMIFS(請求記録!$AC$6:$AC$3005,請求記録!$B$6:$B$3005,$A7,請求記録!$X$6:$X$3005,O$5))))</f>
        <v/>
      </c>
      <c r="P7" s="19">
        <f>IF($A7="","",IF(COUNTIFS(請求記録!$B$6:$B$3005,$A7,請求記録!$X$6:$X$3005,P$5,請求記録!$AD$6:$AD$3005,"保留中")&gt;0,"保留",IF(COUNTIFS(請求記録!$B$6:$B$3005,$A7,請求記録!$X$6:$X$3005,P$5)=0,"",SUMIFS(請求記録!$AC$6:$AC$3005,請求記録!$B$6:$B$3005,$A7,請求記録!$X$6:$X$3005,P$5))))</f>
        <v/>
      </c>
      <c r="Q7" s="19">
        <f>IF($A7="","",IF(COUNTIFS(請求記録!$B$6:$B$3005,$A7,請求記録!$X$6:$X$3005,Q$5,請求記録!$AD$6:$AD$3005,"保留中")&gt;0,"保留",IF(COUNTIFS(請求記録!$B$6:$B$3005,$A7,請求記録!$X$6:$X$3005,Q$5)=0,"",SUMIFS(請求記録!$AC$6:$AC$3005,請求記録!$B$6:$B$3005,$A7,請求記録!$X$6:$X$3005,Q$5))))</f>
        <v/>
      </c>
      <c r="R7" s="19">
        <f>IF($A7="","",IF(COUNTIFS(請求記録!$B$6:$B$3005,$A7,請求記録!$X$6:$X$3005,R$5,請求記録!$AD$6:$AD$3005,"保留中")&gt;0,"保留",IF(COUNTIFS(請求記録!$B$6:$B$3005,$A7,請求記録!$X$6:$X$3005,R$5)=0,"",SUMIFS(請求記録!$AC$6:$AC$3005,請求記録!$B$6:$B$3005,$A7,請求記録!$X$6:$X$3005,R$5))))</f>
        <v/>
      </c>
      <c r="S7" s="19">
        <f>IF($A7="","",IF(COUNTIFS(請求記録!$B$6:$B$3005,$A7,請求記録!$X$6:$X$3005,S$5,請求記録!$AD$6:$AD$3005,"保留中")&gt;0,"保留",IF(COUNTIFS(請求記録!$B$6:$B$3005,$A7,請求記録!$X$6:$X$3005,S$5)=0,"",SUMIFS(請求記録!$AC$6:$AC$3005,請求記録!$B$6:$B$3005,$A7,請求記録!$X$6:$X$3005,S$5))))</f>
        <v/>
      </c>
      <c r="T7" s="19">
        <f>IF($A7="","",IF(COUNTIFS(請求記録!$B$6:$B$3005,$A7,請求記録!$X$6:$X$3005,T$5,請求記録!$AD$6:$AD$3005,"保留中")&gt;0,"保留",IF(COUNTIFS(請求記録!$B$6:$B$3005,$A7,請求記録!$X$6:$X$3005,T$5)=0,"",SUMIFS(請求記録!$AC$6:$AC$3005,請求記録!$B$6:$B$3005,$A7,請求記録!$X$6:$X$3005,T$5))))</f>
        <v/>
      </c>
      <c r="U7" s="19">
        <f>IF($A7="","",IF(COUNTIFS(請求記録!$B$6:$B$3005,$A7,請求記録!$X$6:$X$3005,U$5,請求記録!$AD$6:$AD$3005,"保留中")&gt;0,"保留",IF(COUNTIFS(請求記録!$B$6:$B$3005,$A7,請求記録!$X$6:$X$3005,U$5)=0,"",SUMIFS(請求記録!$AC$6:$AC$3005,請求記録!$B$6:$B$3005,$A7,請求記録!$X$6:$X$3005,U$5))))</f>
        <v/>
      </c>
      <c r="V7" s="19">
        <f>IF($A7="","",IF(COUNTIFS(請求記録!$B$6:$B$3005,$A7,請求記録!$X$6:$X$3005,V$5,請求記録!$AD$6:$AD$3005,"保留中")&gt;0,"保留",IF(COUNTIFS(請求記録!$B$6:$B$3005,$A7,請求記録!$X$6:$X$3005,V$5)=0,"",SUMIFS(請求記録!$AC$6:$AC$3005,請求記録!$B$6:$B$3005,$A7,請求記録!$X$6:$X$3005,V$5))))</f>
        <v/>
      </c>
      <c r="W7" s="19">
        <f>IF($A7="","",IF(COUNTIFS(請求記録!$B$6:$B$3005,$A7,請求記録!$X$6:$X$3005,W$5,請求記録!$AD$6:$AD$3005,"保留中")&gt;0,"保留",IF(COUNTIFS(請求記録!$B$6:$B$3005,$A7,請求記録!$X$6:$X$3005,W$5)=0,"",SUMIFS(請求記録!$AC$6:$AC$3005,請求記録!$B$6:$B$3005,$A7,請求記録!$X$6:$X$3005,W$5))))</f>
        <v/>
      </c>
      <c r="X7" s="19">
        <f>IF($A7="","",IF(COUNTIFS(請求記録!$B$6:$B$3005,$A7,請求記録!$X$6:$X$3005,X$5,請求記録!$AD$6:$AD$3005,"保留中")&gt;0,"保留",IF(COUNTIFS(請求記録!$B$6:$B$3005,$A7,請求記録!$X$6:$X$3005,X$5)=0,"",SUMIFS(請求記録!$AC$6:$AC$3005,請求記録!$B$6:$B$3005,$A7,請求記録!$X$6:$X$3005,X$5))))</f>
        <v/>
      </c>
      <c r="Y7" s="19">
        <f>IF($A7="","",IF(COUNTIFS(請求記録!$B$6:$B$3005,$A7,請求記録!$X$6:$X$3005,Y$5,請求記録!$AD$6:$AD$3005,"保留中")&gt;0,"保留",IF(COUNTIFS(請求記録!$B$6:$B$3005,$A7,請求記録!$X$6:$X$3005,Y$5)=0,"",SUMIFS(請求記録!$AC$6:$AC$3005,請求記録!$B$6:$B$3005,$A7,請求記録!$X$6:$X$3005,Y$5))))</f>
        <v/>
      </c>
      <c r="Z7" s="19">
        <f>IF($A7="","",IF(COUNTIFS(請求記録!$B$6:$B$3005,$A7,請求記録!$X$6:$X$3005,Z$5,請求記録!$AD$6:$AD$3005,"保留中")&gt;0,"保留",IF(COUNTIFS(請求記録!$B$6:$B$3005,$A7,請求記録!$X$6:$X$3005,Z$5)=0,"",SUMIFS(請求記録!$AC$6:$AC$3005,請求記録!$B$6:$B$3005,$A7,請求記録!$X$6:$X$3005,Z$5))))</f>
        <v/>
      </c>
      <c r="AA7" s="19">
        <f>IF($A7="","",IF(COUNTIFS(請求記録!$B$6:$B$3005,$A7,請求記録!$X$6:$X$3005,AA$5,請求記録!$AD$6:$AD$3005,"保留中")&gt;0,"保留",IF(COUNTIFS(請求記録!$B$6:$B$3005,$A7,請求記録!$X$6:$X$3005,AA$5)=0,"",SUMIFS(請求記録!$AC$6:$AC$3005,請求記録!$B$6:$B$3005,$A7,請求記録!$X$6:$X$3005,AA$5))))</f>
        <v/>
      </c>
      <c r="AB7">
        <f>IF(職員マスタ!P7="保留中",職員マスタ!M7,"")</f>
        <v/>
      </c>
    </row>
    <row r="8">
      <c r="A8">
        <f>IF(職員マスタ!A8="","",職員マスタ!A8)</f>
        <v/>
      </c>
      <c r="B8">
        <f>IF($A8="","",職員マスタ!B8)</f>
        <v/>
      </c>
      <c r="C8">
        <f>IF($A8="","",職員マスタ!C8)</f>
        <v/>
      </c>
      <c r="D8" s="19">
        <f>IF($A8="","",IF(COUNTIFS(請求記録!$B$6:$B$3005,$A8,請求記録!$X$6:$X$3005,D$5,請求記録!$AD$6:$AD$3005,"保留中")&gt;0,"保留",IF(COUNTIFS(請求記録!$B$6:$B$3005,$A8,請求記録!$X$6:$X$3005,D$5)=0,"",SUMIFS(請求記録!$AC$6:$AC$3005,請求記録!$B$6:$B$3005,$A8,請求記録!$X$6:$X$3005,D$5))))</f>
        <v/>
      </c>
      <c r="E8" s="19">
        <f>IF($A8="","",IF(COUNTIFS(請求記録!$B$6:$B$3005,$A8,請求記録!$X$6:$X$3005,E$5,請求記録!$AD$6:$AD$3005,"保留中")&gt;0,"保留",IF(COUNTIFS(請求記録!$B$6:$B$3005,$A8,請求記録!$X$6:$X$3005,E$5)=0,"",SUMIFS(請求記録!$AC$6:$AC$3005,請求記録!$B$6:$B$3005,$A8,請求記録!$X$6:$X$3005,E$5))))</f>
        <v/>
      </c>
      <c r="F8" s="19">
        <f>IF($A8="","",IF(COUNTIFS(請求記録!$B$6:$B$3005,$A8,請求記録!$X$6:$X$3005,F$5,請求記録!$AD$6:$AD$3005,"保留中")&gt;0,"保留",IF(COUNTIFS(請求記録!$B$6:$B$3005,$A8,請求記録!$X$6:$X$3005,F$5)=0,"",SUMIFS(請求記録!$AC$6:$AC$3005,請求記録!$B$6:$B$3005,$A8,請求記録!$X$6:$X$3005,F$5))))</f>
        <v/>
      </c>
      <c r="G8" s="19">
        <f>IF($A8="","",IF(COUNTIFS(請求記録!$B$6:$B$3005,$A8,請求記録!$X$6:$X$3005,G$5,請求記録!$AD$6:$AD$3005,"保留中")&gt;0,"保留",IF(COUNTIFS(請求記録!$B$6:$B$3005,$A8,請求記録!$X$6:$X$3005,G$5)=0,"",SUMIFS(請求記録!$AC$6:$AC$3005,請求記録!$B$6:$B$3005,$A8,請求記録!$X$6:$X$3005,G$5))))</f>
        <v/>
      </c>
      <c r="H8" s="19">
        <f>IF($A8="","",IF(COUNTIFS(請求記録!$B$6:$B$3005,$A8,請求記録!$X$6:$X$3005,H$5,請求記録!$AD$6:$AD$3005,"保留中")&gt;0,"保留",IF(COUNTIFS(請求記録!$B$6:$B$3005,$A8,請求記録!$X$6:$X$3005,H$5)=0,"",SUMIFS(請求記録!$AC$6:$AC$3005,請求記録!$B$6:$B$3005,$A8,請求記録!$X$6:$X$3005,H$5))))</f>
        <v/>
      </c>
      <c r="I8" s="19">
        <f>IF($A8="","",IF(COUNTIFS(請求記録!$B$6:$B$3005,$A8,請求記録!$X$6:$X$3005,I$5,請求記録!$AD$6:$AD$3005,"保留中")&gt;0,"保留",IF(COUNTIFS(請求記録!$B$6:$B$3005,$A8,請求記録!$X$6:$X$3005,I$5)=0,"",SUMIFS(請求記録!$AC$6:$AC$3005,請求記録!$B$6:$B$3005,$A8,請求記録!$X$6:$X$3005,I$5))))</f>
        <v/>
      </c>
      <c r="J8" s="19">
        <f>IF($A8="","",IF(COUNTIFS(請求記録!$B$6:$B$3005,$A8,請求記録!$X$6:$X$3005,J$5,請求記録!$AD$6:$AD$3005,"保留中")&gt;0,"保留",IF(COUNTIFS(請求記録!$B$6:$B$3005,$A8,請求記録!$X$6:$X$3005,J$5)=0,"",SUMIFS(請求記録!$AC$6:$AC$3005,請求記録!$B$6:$B$3005,$A8,請求記録!$X$6:$X$3005,J$5))))</f>
        <v/>
      </c>
      <c r="K8" s="19">
        <f>IF($A8="","",IF(COUNTIFS(請求記録!$B$6:$B$3005,$A8,請求記録!$X$6:$X$3005,K$5,請求記録!$AD$6:$AD$3005,"保留中")&gt;0,"保留",IF(COUNTIFS(請求記録!$B$6:$B$3005,$A8,請求記録!$X$6:$X$3005,K$5)=0,"",SUMIFS(請求記録!$AC$6:$AC$3005,請求記録!$B$6:$B$3005,$A8,請求記録!$X$6:$X$3005,K$5))))</f>
        <v/>
      </c>
      <c r="L8" s="19">
        <f>IF($A8="","",IF(COUNTIFS(請求記録!$B$6:$B$3005,$A8,請求記録!$X$6:$X$3005,L$5,請求記録!$AD$6:$AD$3005,"保留中")&gt;0,"保留",IF(COUNTIFS(請求記録!$B$6:$B$3005,$A8,請求記録!$X$6:$X$3005,L$5)=0,"",SUMIFS(請求記録!$AC$6:$AC$3005,請求記録!$B$6:$B$3005,$A8,請求記録!$X$6:$X$3005,L$5))))</f>
        <v/>
      </c>
      <c r="M8" s="19">
        <f>IF($A8="","",IF(COUNTIFS(請求記録!$B$6:$B$3005,$A8,請求記録!$X$6:$X$3005,M$5,請求記録!$AD$6:$AD$3005,"保留中")&gt;0,"保留",IF(COUNTIFS(請求記録!$B$6:$B$3005,$A8,請求記録!$X$6:$X$3005,M$5)=0,"",SUMIFS(請求記録!$AC$6:$AC$3005,請求記録!$B$6:$B$3005,$A8,請求記録!$X$6:$X$3005,M$5))))</f>
        <v/>
      </c>
      <c r="N8" s="19">
        <f>IF($A8="","",IF(COUNTIFS(請求記録!$B$6:$B$3005,$A8,請求記録!$X$6:$X$3005,N$5,請求記録!$AD$6:$AD$3005,"保留中")&gt;0,"保留",IF(COUNTIFS(請求記録!$B$6:$B$3005,$A8,請求記録!$X$6:$X$3005,N$5)=0,"",SUMIFS(請求記録!$AC$6:$AC$3005,請求記録!$B$6:$B$3005,$A8,請求記録!$X$6:$X$3005,N$5))))</f>
        <v/>
      </c>
      <c r="O8" s="19">
        <f>IF($A8="","",IF(COUNTIFS(請求記録!$B$6:$B$3005,$A8,請求記録!$X$6:$X$3005,O$5,請求記録!$AD$6:$AD$3005,"保留中")&gt;0,"保留",IF(COUNTIFS(請求記録!$B$6:$B$3005,$A8,請求記録!$X$6:$X$3005,O$5)=0,"",SUMIFS(請求記録!$AC$6:$AC$3005,請求記録!$B$6:$B$3005,$A8,請求記録!$X$6:$X$3005,O$5))))</f>
        <v/>
      </c>
      <c r="P8" s="19">
        <f>IF($A8="","",IF(COUNTIFS(請求記録!$B$6:$B$3005,$A8,請求記録!$X$6:$X$3005,P$5,請求記録!$AD$6:$AD$3005,"保留中")&gt;0,"保留",IF(COUNTIFS(請求記録!$B$6:$B$3005,$A8,請求記録!$X$6:$X$3005,P$5)=0,"",SUMIFS(請求記録!$AC$6:$AC$3005,請求記録!$B$6:$B$3005,$A8,請求記録!$X$6:$X$3005,P$5))))</f>
        <v/>
      </c>
      <c r="Q8" s="19">
        <f>IF($A8="","",IF(COUNTIFS(請求記録!$B$6:$B$3005,$A8,請求記録!$X$6:$X$3005,Q$5,請求記録!$AD$6:$AD$3005,"保留中")&gt;0,"保留",IF(COUNTIFS(請求記録!$B$6:$B$3005,$A8,請求記録!$X$6:$X$3005,Q$5)=0,"",SUMIFS(請求記録!$AC$6:$AC$3005,請求記録!$B$6:$B$3005,$A8,請求記録!$X$6:$X$3005,Q$5))))</f>
        <v/>
      </c>
      <c r="R8" s="19">
        <f>IF($A8="","",IF(COUNTIFS(請求記録!$B$6:$B$3005,$A8,請求記録!$X$6:$X$3005,R$5,請求記録!$AD$6:$AD$3005,"保留中")&gt;0,"保留",IF(COUNTIFS(請求記録!$B$6:$B$3005,$A8,請求記録!$X$6:$X$3005,R$5)=0,"",SUMIFS(請求記録!$AC$6:$AC$3005,請求記録!$B$6:$B$3005,$A8,請求記録!$X$6:$X$3005,R$5))))</f>
        <v/>
      </c>
      <c r="S8" s="19">
        <f>IF($A8="","",IF(COUNTIFS(請求記録!$B$6:$B$3005,$A8,請求記録!$X$6:$X$3005,S$5,請求記録!$AD$6:$AD$3005,"保留中")&gt;0,"保留",IF(COUNTIFS(請求記録!$B$6:$B$3005,$A8,請求記録!$X$6:$X$3005,S$5)=0,"",SUMIFS(請求記録!$AC$6:$AC$3005,請求記録!$B$6:$B$3005,$A8,請求記録!$X$6:$X$3005,S$5))))</f>
        <v/>
      </c>
      <c r="T8" s="19">
        <f>IF($A8="","",IF(COUNTIFS(請求記録!$B$6:$B$3005,$A8,請求記録!$X$6:$X$3005,T$5,請求記録!$AD$6:$AD$3005,"保留中")&gt;0,"保留",IF(COUNTIFS(請求記録!$B$6:$B$3005,$A8,請求記録!$X$6:$X$3005,T$5)=0,"",SUMIFS(請求記録!$AC$6:$AC$3005,請求記録!$B$6:$B$3005,$A8,請求記録!$X$6:$X$3005,T$5))))</f>
        <v/>
      </c>
      <c r="U8" s="19">
        <f>IF($A8="","",IF(COUNTIFS(請求記録!$B$6:$B$3005,$A8,請求記録!$X$6:$X$3005,U$5,請求記録!$AD$6:$AD$3005,"保留中")&gt;0,"保留",IF(COUNTIFS(請求記録!$B$6:$B$3005,$A8,請求記録!$X$6:$X$3005,U$5)=0,"",SUMIFS(請求記録!$AC$6:$AC$3005,請求記録!$B$6:$B$3005,$A8,請求記録!$X$6:$X$3005,U$5))))</f>
        <v/>
      </c>
      <c r="V8" s="19">
        <f>IF($A8="","",IF(COUNTIFS(請求記録!$B$6:$B$3005,$A8,請求記録!$X$6:$X$3005,V$5,請求記録!$AD$6:$AD$3005,"保留中")&gt;0,"保留",IF(COUNTIFS(請求記録!$B$6:$B$3005,$A8,請求記録!$X$6:$X$3005,V$5)=0,"",SUMIFS(請求記録!$AC$6:$AC$3005,請求記録!$B$6:$B$3005,$A8,請求記録!$X$6:$X$3005,V$5))))</f>
        <v/>
      </c>
      <c r="W8" s="19">
        <f>IF($A8="","",IF(COUNTIFS(請求記録!$B$6:$B$3005,$A8,請求記録!$X$6:$X$3005,W$5,請求記録!$AD$6:$AD$3005,"保留中")&gt;0,"保留",IF(COUNTIFS(請求記録!$B$6:$B$3005,$A8,請求記録!$X$6:$X$3005,W$5)=0,"",SUMIFS(請求記録!$AC$6:$AC$3005,請求記録!$B$6:$B$3005,$A8,請求記録!$X$6:$X$3005,W$5))))</f>
        <v/>
      </c>
      <c r="X8" s="19">
        <f>IF($A8="","",IF(COUNTIFS(請求記録!$B$6:$B$3005,$A8,請求記録!$X$6:$X$3005,X$5,請求記録!$AD$6:$AD$3005,"保留中")&gt;0,"保留",IF(COUNTIFS(請求記録!$B$6:$B$3005,$A8,請求記録!$X$6:$X$3005,X$5)=0,"",SUMIFS(請求記録!$AC$6:$AC$3005,請求記録!$B$6:$B$3005,$A8,請求記録!$X$6:$X$3005,X$5))))</f>
        <v/>
      </c>
      <c r="Y8" s="19">
        <f>IF($A8="","",IF(COUNTIFS(請求記録!$B$6:$B$3005,$A8,請求記録!$X$6:$X$3005,Y$5,請求記録!$AD$6:$AD$3005,"保留中")&gt;0,"保留",IF(COUNTIFS(請求記録!$B$6:$B$3005,$A8,請求記録!$X$6:$X$3005,Y$5)=0,"",SUMIFS(請求記録!$AC$6:$AC$3005,請求記録!$B$6:$B$3005,$A8,請求記録!$X$6:$X$3005,Y$5))))</f>
        <v/>
      </c>
      <c r="Z8" s="19">
        <f>IF($A8="","",IF(COUNTIFS(請求記録!$B$6:$B$3005,$A8,請求記録!$X$6:$X$3005,Z$5,請求記録!$AD$6:$AD$3005,"保留中")&gt;0,"保留",IF(COUNTIFS(請求記録!$B$6:$B$3005,$A8,請求記録!$X$6:$X$3005,Z$5)=0,"",SUMIFS(請求記録!$AC$6:$AC$3005,請求記録!$B$6:$B$3005,$A8,請求記録!$X$6:$X$3005,Z$5))))</f>
        <v/>
      </c>
      <c r="AA8" s="19">
        <f>IF($A8="","",IF(COUNTIFS(請求記録!$B$6:$B$3005,$A8,請求記録!$X$6:$X$3005,AA$5,請求記録!$AD$6:$AD$3005,"保留中")&gt;0,"保留",IF(COUNTIFS(請求記録!$B$6:$B$3005,$A8,請求記録!$X$6:$X$3005,AA$5)=0,"",SUMIFS(請求記録!$AC$6:$AC$3005,請求記録!$B$6:$B$3005,$A8,請求記録!$X$6:$X$3005,AA$5))))</f>
        <v/>
      </c>
      <c r="AB8">
        <f>IF(職員マスタ!P8="保留中",職員マスタ!M8,"")</f>
        <v/>
      </c>
    </row>
    <row r="9">
      <c r="A9">
        <f>IF(職員マスタ!A9="","",職員マスタ!A9)</f>
        <v/>
      </c>
      <c r="B9">
        <f>IF($A9="","",職員マスタ!B9)</f>
        <v/>
      </c>
      <c r="C9">
        <f>IF($A9="","",職員マスタ!C9)</f>
        <v/>
      </c>
      <c r="D9" s="19">
        <f>IF($A9="","",IF(COUNTIFS(請求記録!$B$6:$B$3005,$A9,請求記録!$X$6:$X$3005,D$5,請求記録!$AD$6:$AD$3005,"保留中")&gt;0,"保留",IF(COUNTIFS(請求記録!$B$6:$B$3005,$A9,請求記録!$X$6:$X$3005,D$5)=0,"",SUMIFS(請求記録!$AC$6:$AC$3005,請求記録!$B$6:$B$3005,$A9,請求記録!$X$6:$X$3005,D$5))))</f>
        <v/>
      </c>
      <c r="E9" s="19">
        <f>IF($A9="","",IF(COUNTIFS(請求記録!$B$6:$B$3005,$A9,請求記録!$X$6:$X$3005,E$5,請求記録!$AD$6:$AD$3005,"保留中")&gt;0,"保留",IF(COUNTIFS(請求記録!$B$6:$B$3005,$A9,請求記録!$X$6:$X$3005,E$5)=0,"",SUMIFS(請求記録!$AC$6:$AC$3005,請求記録!$B$6:$B$3005,$A9,請求記録!$X$6:$X$3005,E$5))))</f>
        <v/>
      </c>
      <c r="F9" s="19">
        <f>IF($A9="","",IF(COUNTIFS(請求記録!$B$6:$B$3005,$A9,請求記録!$X$6:$X$3005,F$5,請求記録!$AD$6:$AD$3005,"保留中")&gt;0,"保留",IF(COUNTIFS(請求記録!$B$6:$B$3005,$A9,請求記録!$X$6:$X$3005,F$5)=0,"",SUMIFS(請求記録!$AC$6:$AC$3005,請求記録!$B$6:$B$3005,$A9,請求記録!$X$6:$X$3005,F$5))))</f>
        <v/>
      </c>
      <c r="G9" s="19">
        <f>IF($A9="","",IF(COUNTIFS(請求記録!$B$6:$B$3005,$A9,請求記録!$X$6:$X$3005,G$5,請求記録!$AD$6:$AD$3005,"保留中")&gt;0,"保留",IF(COUNTIFS(請求記録!$B$6:$B$3005,$A9,請求記録!$X$6:$X$3005,G$5)=0,"",SUMIFS(請求記録!$AC$6:$AC$3005,請求記録!$B$6:$B$3005,$A9,請求記録!$X$6:$X$3005,G$5))))</f>
        <v/>
      </c>
      <c r="H9" s="19">
        <f>IF($A9="","",IF(COUNTIFS(請求記録!$B$6:$B$3005,$A9,請求記録!$X$6:$X$3005,H$5,請求記録!$AD$6:$AD$3005,"保留中")&gt;0,"保留",IF(COUNTIFS(請求記録!$B$6:$B$3005,$A9,請求記録!$X$6:$X$3005,H$5)=0,"",SUMIFS(請求記録!$AC$6:$AC$3005,請求記録!$B$6:$B$3005,$A9,請求記録!$X$6:$X$3005,H$5))))</f>
        <v/>
      </c>
      <c r="I9" s="19">
        <f>IF($A9="","",IF(COUNTIFS(請求記録!$B$6:$B$3005,$A9,請求記録!$X$6:$X$3005,I$5,請求記録!$AD$6:$AD$3005,"保留中")&gt;0,"保留",IF(COUNTIFS(請求記録!$B$6:$B$3005,$A9,請求記録!$X$6:$X$3005,I$5)=0,"",SUMIFS(請求記録!$AC$6:$AC$3005,請求記録!$B$6:$B$3005,$A9,請求記録!$X$6:$X$3005,I$5))))</f>
        <v/>
      </c>
      <c r="J9" s="19">
        <f>IF($A9="","",IF(COUNTIFS(請求記録!$B$6:$B$3005,$A9,請求記録!$X$6:$X$3005,J$5,請求記録!$AD$6:$AD$3005,"保留中")&gt;0,"保留",IF(COUNTIFS(請求記録!$B$6:$B$3005,$A9,請求記録!$X$6:$X$3005,J$5)=0,"",SUMIFS(請求記録!$AC$6:$AC$3005,請求記録!$B$6:$B$3005,$A9,請求記録!$X$6:$X$3005,J$5))))</f>
        <v/>
      </c>
      <c r="K9" s="19">
        <f>IF($A9="","",IF(COUNTIFS(請求記録!$B$6:$B$3005,$A9,請求記録!$X$6:$X$3005,K$5,請求記録!$AD$6:$AD$3005,"保留中")&gt;0,"保留",IF(COUNTIFS(請求記録!$B$6:$B$3005,$A9,請求記録!$X$6:$X$3005,K$5)=0,"",SUMIFS(請求記録!$AC$6:$AC$3005,請求記録!$B$6:$B$3005,$A9,請求記録!$X$6:$X$3005,K$5))))</f>
        <v/>
      </c>
      <c r="L9" s="19">
        <f>IF($A9="","",IF(COUNTIFS(請求記録!$B$6:$B$3005,$A9,請求記録!$X$6:$X$3005,L$5,請求記録!$AD$6:$AD$3005,"保留中")&gt;0,"保留",IF(COUNTIFS(請求記録!$B$6:$B$3005,$A9,請求記録!$X$6:$X$3005,L$5)=0,"",SUMIFS(請求記録!$AC$6:$AC$3005,請求記録!$B$6:$B$3005,$A9,請求記録!$X$6:$X$3005,L$5))))</f>
        <v/>
      </c>
      <c r="M9" s="19">
        <f>IF($A9="","",IF(COUNTIFS(請求記録!$B$6:$B$3005,$A9,請求記録!$X$6:$X$3005,M$5,請求記録!$AD$6:$AD$3005,"保留中")&gt;0,"保留",IF(COUNTIFS(請求記録!$B$6:$B$3005,$A9,請求記録!$X$6:$X$3005,M$5)=0,"",SUMIFS(請求記録!$AC$6:$AC$3005,請求記録!$B$6:$B$3005,$A9,請求記録!$X$6:$X$3005,M$5))))</f>
        <v/>
      </c>
      <c r="N9" s="19">
        <f>IF($A9="","",IF(COUNTIFS(請求記録!$B$6:$B$3005,$A9,請求記録!$X$6:$X$3005,N$5,請求記録!$AD$6:$AD$3005,"保留中")&gt;0,"保留",IF(COUNTIFS(請求記録!$B$6:$B$3005,$A9,請求記録!$X$6:$X$3005,N$5)=0,"",SUMIFS(請求記録!$AC$6:$AC$3005,請求記録!$B$6:$B$3005,$A9,請求記録!$X$6:$X$3005,N$5))))</f>
        <v/>
      </c>
      <c r="O9" s="19">
        <f>IF($A9="","",IF(COUNTIFS(請求記録!$B$6:$B$3005,$A9,請求記録!$X$6:$X$3005,O$5,請求記録!$AD$6:$AD$3005,"保留中")&gt;0,"保留",IF(COUNTIFS(請求記録!$B$6:$B$3005,$A9,請求記録!$X$6:$X$3005,O$5)=0,"",SUMIFS(請求記録!$AC$6:$AC$3005,請求記録!$B$6:$B$3005,$A9,請求記録!$X$6:$X$3005,O$5))))</f>
        <v/>
      </c>
      <c r="P9" s="19">
        <f>IF($A9="","",IF(COUNTIFS(請求記録!$B$6:$B$3005,$A9,請求記録!$X$6:$X$3005,P$5,請求記録!$AD$6:$AD$3005,"保留中")&gt;0,"保留",IF(COUNTIFS(請求記録!$B$6:$B$3005,$A9,請求記録!$X$6:$X$3005,P$5)=0,"",SUMIFS(請求記録!$AC$6:$AC$3005,請求記録!$B$6:$B$3005,$A9,請求記録!$X$6:$X$3005,P$5))))</f>
        <v/>
      </c>
      <c r="Q9" s="19">
        <f>IF($A9="","",IF(COUNTIFS(請求記録!$B$6:$B$3005,$A9,請求記録!$X$6:$X$3005,Q$5,請求記録!$AD$6:$AD$3005,"保留中")&gt;0,"保留",IF(COUNTIFS(請求記録!$B$6:$B$3005,$A9,請求記録!$X$6:$X$3005,Q$5)=0,"",SUMIFS(請求記録!$AC$6:$AC$3005,請求記録!$B$6:$B$3005,$A9,請求記録!$X$6:$X$3005,Q$5))))</f>
        <v/>
      </c>
      <c r="R9" s="19">
        <f>IF($A9="","",IF(COUNTIFS(請求記録!$B$6:$B$3005,$A9,請求記録!$X$6:$X$3005,R$5,請求記録!$AD$6:$AD$3005,"保留中")&gt;0,"保留",IF(COUNTIFS(請求記録!$B$6:$B$3005,$A9,請求記録!$X$6:$X$3005,R$5)=0,"",SUMIFS(請求記録!$AC$6:$AC$3005,請求記録!$B$6:$B$3005,$A9,請求記録!$X$6:$X$3005,R$5))))</f>
        <v/>
      </c>
      <c r="S9" s="19">
        <f>IF($A9="","",IF(COUNTIFS(請求記録!$B$6:$B$3005,$A9,請求記録!$X$6:$X$3005,S$5,請求記録!$AD$6:$AD$3005,"保留中")&gt;0,"保留",IF(COUNTIFS(請求記録!$B$6:$B$3005,$A9,請求記録!$X$6:$X$3005,S$5)=0,"",SUMIFS(請求記録!$AC$6:$AC$3005,請求記録!$B$6:$B$3005,$A9,請求記録!$X$6:$X$3005,S$5))))</f>
        <v/>
      </c>
      <c r="T9" s="19">
        <f>IF($A9="","",IF(COUNTIFS(請求記録!$B$6:$B$3005,$A9,請求記録!$X$6:$X$3005,T$5,請求記録!$AD$6:$AD$3005,"保留中")&gt;0,"保留",IF(COUNTIFS(請求記録!$B$6:$B$3005,$A9,請求記録!$X$6:$X$3005,T$5)=0,"",SUMIFS(請求記録!$AC$6:$AC$3005,請求記録!$B$6:$B$3005,$A9,請求記録!$X$6:$X$3005,T$5))))</f>
        <v/>
      </c>
      <c r="U9" s="19">
        <f>IF($A9="","",IF(COUNTIFS(請求記録!$B$6:$B$3005,$A9,請求記録!$X$6:$X$3005,U$5,請求記録!$AD$6:$AD$3005,"保留中")&gt;0,"保留",IF(COUNTIFS(請求記録!$B$6:$B$3005,$A9,請求記録!$X$6:$X$3005,U$5)=0,"",SUMIFS(請求記録!$AC$6:$AC$3005,請求記録!$B$6:$B$3005,$A9,請求記録!$X$6:$X$3005,U$5))))</f>
        <v/>
      </c>
      <c r="V9" s="19">
        <f>IF($A9="","",IF(COUNTIFS(請求記録!$B$6:$B$3005,$A9,請求記録!$X$6:$X$3005,V$5,請求記録!$AD$6:$AD$3005,"保留中")&gt;0,"保留",IF(COUNTIFS(請求記録!$B$6:$B$3005,$A9,請求記録!$X$6:$X$3005,V$5)=0,"",SUMIFS(請求記録!$AC$6:$AC$3005,請求記録!$B$6:$B$3005,$A9,請求記録!$X$6:$X$3005,V$5))))</f>
        <v/>
      </c>
      <c r="W9" s="19">
        <f>IF($A9="","",IF(COUNTIFS(請求記録!$B$6:$B$3005,$A9,請求記録!$X$6:$X$3005,W$5,請求記録!$AD$6:$AD$3005,"保留中")&gt;0,"保留",IF(COUNTIFS(請求記録!$B$6:$B$3005,$A9,請求記録!$X$6:$X$3005,W$5)=0,"",SUMIFS(請求記録!$AC$6:$AC$3005,請求記録!$B$6:$B$3005,$A9,請求記録!$X$6:$X$3005,W$5))))</f>
        <v/>
      </c>
      <c r="X9" s="19">
        <f>IF($A9="","",IF(COUNTIFS(請求記録!$B$6:$B$3005,$A9,請求記録!$X$6:$X$3005,X$5,請求記録!$AD$6:$AD$3005,"保留中")&gt;0,"保留",IF(COUNTIFS(請求記録!$B$6:$B$3005,$A9,請求記録!$X$6:$X$3005,X$5)=0,"",SUMIFS(請求記録!$AC$6:$AC$3005,請求記録!$B$6:$B$3005,$A9,請求記録!$X$6:$X$3005,X$5))))</f>
        <v/>
      </c>
      <c r="Y9" s="19">
        <f>IF($A9="","",IF(COUNTIFS(請求記録!$B$6:$B$3005,$A9,請求記録!$X$6:$X$3005,Y$5,請求記録!$AD$6:$AD$3005,"保留中")&gt;0,"保留",IF(COUNTIFS(請求記録!$B$6:$B$3005,$A9,請求記録!$X$6:$X$3005,Y$5)=0,"",SUMIFS(請求記録!$AC$6:$AC$3005,請求記録!$B$6:$B$3005,$A9,請求記録!$X$6:$X$3005,Y$5))))</f>
        <v/>
      </c>
      <c r="Z9" s="19">
        <f>IF($A9="","",IF(COUNTIFS(請求記録!$B$6:$B$3005,$A9,請求記録!$X$6:$X$3005,Z$5,請求記録!$AD$6:$AD$3005,"保留中")&gt;0,"保留",IF(COUNTIFS(請求記録!$B$6:$B$3005,$A9,請求記録!$X$6:$X$3005,Z$5)=0,"",SUMIFS(請求記録!$AC$6:$AC$3005,請求記録!$B$6:$B$3005,$A9,請求記録!$X$6:$X$3005,Z$5))))</f>
        <v/>
      </c>
      <c r="AA9" s="19">
        <f>IF($A9="","",IF(COUNTIFS(請求記録!$B$6:$B$3005,$A9,請求記録!$X$6:$X$3005,AA$5,請求記録!$AD$6:$AD$3005,"保留中")&gt;0,"保留",IF(COUNTIFS(請求記録!$B$6:$B$3005,$A9,請求記録!$X$6:$X$3005,AA$5)=0,"",SUMIFS(請求記録!$AC$6:$AC$3005,請求記録!$B$6:$B$3005,$A9,請求記録!$X$6:$X$3005,AA$5))))</f>
        <v/>
      </c>
      <c r="AB9">
        <f>IF(職員マスタ!P9="保留中",職員マスタ!M9,"")</f>
        <v/>
      </c>
    </row>
    <row r="10">
      <c r="A10">
        <f>IF(職員マスタ!A10="","",職員マスタ!A10)</f>
        <v/>
      </c>
      <c r="B10">
        <f>IF($A10="","",職員マスタ!B10)</f>
        <v/>
      </c>
      <c r="C10">
        <f>IF($A10="","",職員マスタ!C10)</f>
        <v/>
      </c>
      <c r="D10" s="19">
        <f>IF($A10="","",IF(COUNTIFS(請求記録!$B$6:$B$3005,$A10,請求記録!$X$6:$X$3005,D$5,請求記録!$AD$6:$AD$3005,"保留中")&gt;0,"保留",IF(COUNTIFS(請求記録!$B$6:$B$3005,$A10,請求記録!$X$6:$X$3005,D$5)=0,"",SUMIFS(請求記録!$AC$6:$AC$3005,請求記録!$B$6:$B$3005,$A10,請求記録!$X$6:$X$3005,D$5))))</f>
        <v/>
      </c>
      <c r="E10" s="19">
        <f>IF($A10="","",IF(COUNTIFS(請求記録!$B$6:$B$3005,$A10,請求記録!$X$6:$X$3005,E$5,請求記録!$AD$6:$AD$3005,"保留中")&gt;0,"保留",IF(COUNTIFS(請求記録!$B$6:$B$3005,$A10,請求記録!$X$6:$X$3005,E$5)=0,"",SUMIFS(請求記録!$AC$6:$AC$3005,請求記録!$B$6:$B$3005,$A10,請求記録!$X$6:$X$3005,E$5))))</f>
        <v/>
      </c>
      <c r="F10" s="19">
        <f>IF($A10="","",IF(COUNTIFS(請求記録!$B$6:$B$3005,$A10,請求記録!$X$6:$X$3005,F$5,請求記録!$AD$6:$AD$3005,"保留中")&gt;0,"保留",IF(COUNTIFS(請求記録!$B$6:$B$3005,$A10,請求記録!$X$6:$X$3005,F$5)=0,"",SUMIFS(請求記録!$AC$6:$AC$3005,請求記録!$B$6:$B$3005,$A10,請求記録!$X$6:$X$3005,F$5))))</f>
        <v/>
      </c>
      <c r="G10" s="19">
        <f>IF($A10="","",IF(COUNTIFS(請求記録!$B$6:$B$3005,$A10,請求記録!$X$6:$X$3005,G$5,請求記録!$AD$6:$AD$3005,"保留中")&gt;0,"保留",IF(COUNTIFS(請求記録!$B$6:$B$3005,$A10,請求記録!$X$6:$X$3005,G$5)=0,"",SUMIFS(請求記録!$AC$6:$AC$3005,請求記録!$B$6:$B$3005,$A10,請求記録!$X$6:$X$3005,G$5))))</f>
        <v/>
      </c>
      <c r="H10" s="19">
        <f>IF($A10="","",IF(COUNTIFS(請求記録!$B$6:$B$3005,$A10,請求記録!$X$6:$X$3005,H$5,請求記録!$AD$6:$AD$3005,"保留中")&gt;0,"保留",IF(COUNTIFS(請求記録!$B$6:$B$3005,$A10,請求記録!$X$6:$X$3005,H$5)=0,"",SUMIFS(請求記録!$AC$6:$AC$3005,請求記録!$B$6:$B$3005,$A10,請求記録!$X$6:$X$3005,H$5))))</f>
        <v/>
      </c>
      <c r="I10" s="19">
        <f>IF($A10="","",IF(COUNTIFS(請求記録!$B$6:$B$3005,$A10,請求記録!$X$6:$X$3005,I$5,請求記録!$AD$6:$AD$3005,"保留中")&gt;0,"保留",IF(COUNTIFS(請求記録!$B$6:$B$3005,$A10,請求記録!$X$6:$X$3005,I$5)=0,"",SUMIFS(請求記録!$AC$6:$AC$3005,請求記録!$B$6:$B$3005,$A10,請求記録!$X$6:$X$3005,I$5))))</f>
        <v/>
      </c>
      <c r="J10" s="19">
        <f>IF($A10="","",IF(COUNTIFS(請求記録!$B$6:$B$3005,$A10,請求記録!$X$6:$X$3005,J$5,請求記録!$AD$6:$AD$3005,"保留中")&gt;0,"保留",IF(COUNTIFS(請求記録!$B$6:$B$3005,$A10,請求記録!$X$6:$X$3005,J$5)=0,"",SUMIFS(請求記録!$AC$6:$AC$3005,請求記録!$B$6:$B$3005,$A10,請求記録!$X$6:$X$3005,J$5))))</f>
        <v/>
      </c>
      <c r="K10" s="19">
        <f>IF($A10="","",IF(COUNTIFS(請求記録!$B$6:$B$3005,$A10,請求記録!$X$6:$X$3005,K$5,請求記録!$AD$6:$AD$3005,"保留中")&gt;0,"保留",IF(COUNTIFS(請求記録!$B$6:$B$3005,$A10,請求記録!$X$6:$X$3005,K$5)=0,"",SUMIFS(請求記録!$AC$6:$AC$3005,請求記録!$B$6:$B$3005,$A10,請求記録!$X$6:$X$3005,K$5))))</f>
        <v/>
      </c>
      <c r="L10" s="19">
        <f>IF($A10="","",IF(COUNTIFS(請求記録!$B$6:$B$3005,$A10,請求記録!$X$6:$X$3005,L$5,請求記録!$AD$6:$AD$3005,"保留中")&gt;0,"保留",IF(COUNTIFS(請求記録!$B$6:$B$3005,$A10,請求記録!$X$6:$X$3005,L$5)=0,"",SUMIFS(請求記録!$AC$6:$AC$3005,請求記録!$B$6:$B$3005,$A10,請求記録!$X$6:$X$3005,L$5))))</f>
        <v/>
      </c>
      <c r="M10" s="19">
        <f>IF($A10="","",IF(COUNTIFS(請求記録!$B$6:$B$3005,$A10,請求記録!$X$6:$X$3005,M$5,請求記録!$AD$6:$AD$3005,"保留中")&gt;0,"保留",IF(COUNTIFS(請求記録!$B$6:$B$3005,$A10,請求記録!$X$6:$X$3005,M$5)=0,"",SUMIFS(請求記録!$AC$6:$AC$3005,請求記録!$B$6:$B$3005,$A10,請求記録!$X$6:$X$3005,M$5))))</f>
        <v/>
      </c>
      <c r="N10" s="19">
        <f>IF($A10="","",IF(COUNTIFS(請求記録!$B$6:$B$3005,$A10,請求記録!$X$6:$X$3005,N$5,請求記録!$AD$6:$AD$3005,"保留中")&gt;0,"保留",IF(COUNTIFS(請求記録!$B$6:$B$3005,$A10,請求記録!$X$6:$X$3005,N$5)=0,"",SUMIFS(請求記録!$AC$6:$AC$3005,請求記録!$B$6:$B$3005,$A10,請求記録!$X$6:$X$3005,N$5))))</f>
        <v/>
      </c>
      <c r="O10" s="19">
        <f>IF($A10="","",IF(COUNTIFS(請求記録!$B$6:$B$3005,$A10,請求記録!$X$6:$X$3005,O$5,請求記録!$AD$6:$AD$3005,"保留中")&gt;0,"保留",IF(COUNTIFS(請求記録!$B$6:$B$3005,$A10,請求記録!$X$6:$X$3005,O$5)=0,"",SUMIFS(請求記録!$AC$6:$AC$3005,請求記録!$B$6:$B$3005,$A10,請求記録!$X$6:$X$3005,O$5))))</f>
        <v/>
      </c>
      <c r="P10" s="19">
        <f>IF($A10="","",IF(COUNTIFS(請求記録!$B$6:$B$3005,$A10,請求記録!$X$6:$X$3005,P$5,請求記録!$AD$6:$AD$3005,"保留中")&gt;0,"保留",IF(COUNTIFS(請求記録!$B$6:$B$3005,$A10,請求記録!$X$6:$X$3005,P$5)=0,"",SUMIFS(請求記録!$AC$6:$AC$3005,請求記録!$B$6:$B$3005,$A10,請求記録!$X$6:$X$3005,P$5))))</f>
        <v/>
      </c>
      <c r="Q10" s="19">
        <f>IF($A10="","",IF(COUNTIFS(請求記録!$B$6:$B$3005,$A10,請求記録!$X$6:$X$3005,Q$5,請求記録!$AD$6:$AD$3005,"保留中")&gt;0,"保留",IF(COUNTIFS(請求記録!$B$6:$B$3005,$A10,請求記録!$X$6:$X$3005,Q$5)=0,"",SUMIFS(請求記録!$AC$6:$AC$3005,請求記録!$B$6:$B$3005,$A10,請求記録!$X$6:$X$3005,Q$5))))</f>
        <v/>
      </c>
      <c r="R10" s="19">
        <f>IF($A10="","",IF(COUNTIFS(請求記録!$B$6:$B$3005,$A10,請求記録!$X$6:$X$3005,R$5,請求記録!$AD$6:$AD$3005,"保留中")&gt;0,"保留",IF(COUNTIFS(請求記録!$B$6:$B$3005,$A10,請求記録!$X$6:$X$3005,R$5)=0,"",SUMIFS(請求記録!$AC$6:$AC$3005,請求記録!$B$6:$B$3005,$A10,請求記録!$X$6:$X$3005,R$5))))</f>
        <v/>
      </c>
      <c r="S10" s="19">
        <f>IF($A10="","",IF(COUNTIFS(請求記録!$B$6:$B$3005,$A10,請求記録!$X$6:$X$3005,S$5,請求記録!$AD$6:$AD$3005,"保留中")&gt;0,"保留",IF(COUNTIFS(請求記録!$B$6:$B$3005,$A10,請求記録!$X$6:$X$3005,S$5)=0,"",SUMIFS(請求記録!$AC$6:$AC$3005,請求記録!$B$6:$B$3005,$A10,請求記録!$X$6:$X$3005,S$5))))</f>
        <v/>
      </c>
      <c r="T10" s="19">
        <f>IF($A10="","",IF(COUNTIFS(請求記録!$B$6:$B$3005,$A10,請求記録!$X$6:$X$3005,T$5,請求記録!$AD$6:$AD$3005,"保留中")&gt;0,"保留",IF(COUNTIFS(請求記録!$B$6:$B$3005,$A10,請求記録!$X$6:$X$3005,T$5)=0,"",SUMIFS(請求記録!$AC$6:$AC$3005,請求記録!$B$6:$B$3005,$A10,請求記録!$X$6:$X$3005,T$5))))</f>
        <v/>
      </c>
      <c r="U10" s="19">
        <f>IF($A10="","",IF(COUNTIFS(請求記録!$B$6:$B$3005,$A10,請求記録!$X$6:$X$3005,U$5,請求記録!$AD$6:$AD$3005,"保留中")&gt;0,"保留",IF(COUNTIFS(請求記録!$B$6:$B$3005,$A10,請求記録!$X$6:$X$3005,U$5)=0,"",SUMIFS(請求記録!$AC$6:$AC$3005,請求記録!$B$6:$B$3005,$A10,請求記録!$X$6:$X$3005,U$5))))</f>
        <v/>
      </c>
      <c r="V10" s="19">
        <f>IF($A10="","",IF(COUNTIFS(請求記録!$B$6:$B$3005,$A10,請求記録!$X$6:$X$3005,V$5,請求記録!$AD$6:$AD$3005,"保留中")&gt;0,"保留",IF(COUNTIFS(請求記録!$B$6:$B$3005,$A10,請求記録!$X$6:$X$3005,V$5)=0,"",SUMIFS(請求記録!$AC$6:$AC$3005,請求記録!$B$6:$B$3005,$A10,請求記録!$X$6:$X$3005,V$5))))</f>
        <v/>
      </c>
      <c r="W10" s="19">
        <f>IF($A10="","",IF(COUNTIFS(請求記録!$B$6:$B$3005,$A10,請求記録!$X$6:$X$3005,W$5,請求記録!$AD$6:$AD$3005,"保留中")&gt;0,"保留",IF(COUNTIFS(請求記録!$B$6:$B$3005,$A10,請求記録!$X$6:$X$3005,W$5)=0,"",SUMIFS(請求記録!$AC$6:$AC$3005,請求記録!$B$6:$B$3005,$A10,請求記録!$X$6:$X$3005,W$5))))</f>
        <v/>
      </c>
      <c r="X10" s="19">
        <f>IF($A10="","",IF(COUNTIFS(請求記録!$B$6:$B$3005,$A10,請求記録!$X$6:$X$3005,X$5,請求記録!$AD$6:$AD$3005,"保留中")&gt;0,"保留",IF(COUNTIFS(請求記録!$B$6:$B$3005,$A10,請求記録!$X$6:$X$3005,X$5)=0,"",SUMIFS(請求記録!$AC$6:$AC$3005,請求記録!$B$6:$B$3005,$A10,請求記録!$X$6:$X$3005,X$5))))</f>
        <v/>
      </c>
      <c r="Y10" s="19">
        <f>IF($A10="","",IF(COUNTIFS(請求記録!$B$6:$B$3005,$A10,請求記録!$X$6:$X$3005,Y$5,請求記録!$AD$6:$AD$3005,"保留中")&gt;0,"保留",IF(COUNTIFS(請求記録!$B$6:$B$3005,$A10,請求記録!$X$6:$X$3005,Y$5)=0,"",SUMIFS(請求記録!$AC$6:$AC$3005,請求記録!$B$6:$B$3005,$A10,請求記録!$X$6:$X$3005,Y$5))))</f>
        <v/>
      </c>
      <c r="Z10" s="19">
        <f>IF($A10="","",IF(COUNTIFS(請求記録!$B$6:$B$3005,$A10,請求記録!$X$6:$X$3005,Z$5,請求記録!$AD$6:$AD$3005,"保留中")&gt;0,"保留",IF(COUNTIFS(請求記録!$B$6:$B$3005,$A10,請求記録!$X$6:$X$3005,Z$5)=0,"",SUMIFS(請求記録!$AC$6:$AC$3005,請求記録!$B$6:$B$3005,$A10,請求記録!$X$6:$X$3005,Z$5))))</f>
        <v/>
      </c>
      <c r="AA10" s="19">
        <f>IF($A10="","",IF(COUNTIFS(請求記録!$B$6:$B$3005,$A10,請求記録!$X$6:$X$3005,AA$5,請求記録!$AD$6:$AD$3005,"保留中")&gt;0,"保留",IF(COUNTIFS(請求記録!$B$6:$B$3005,$A10,請求記録!$X$6:$X$3005,AA$5)=0,"",SUMIFS(請求記録!$AC$6:$AC$3005,請求記録!$B$6:$B$3005,$A10,請求記録!$X$6:$X$3005,AA$5))))</f>
        <v/>
      </c>
      <c r="AB10">
        <f>IF(職員マスタ!P10="保留中",職員マスタ!M10,"")</f>
        <v/>
      </c>
    </row>
    <row r="11">
      <c r="A11">
        <f>IF(職員マスタ!A11="","",職員マスタ!A11)</f>
        <v/>
      </c>
      <c r="B11">
        <f>IF($A11="","",職員マスタ!B11)</f>
        <v/>
      </c>
      <c r="C11">
        <f>IF($A11="","",職員マスタ!C11)</f>
        <v/>
      </c>
      <c r="D11" s="19">
        <f>IF($A11="","",IF(COUNTIFS(請求記録!$B$6:$B$3005,$A11,請求記録!$X$6:$X$3005,D$5,請求記録!$AD$6:$AD$3005,"保留中")&gt;0,"保留",IF(COUNTIFS(請求記録!$B$6:$B$3005,$A11,請求記録!$X$6:$X$3005,D$5)=0,"",SUMIFS(請求記録!$AC$6:$AC$3005,請求記録!$B$6:$B$3005,$A11,請求記録!$X$6:$X$3005,D$5))))</f>
        <v/>
      </c>
      <c r="E11" s="19">
        <f>IF($A11="","",IF(COUNTIFS(請求記録!$B$6:$B$3005,$A11,請求記録!$X$6:$X$3005,E$5,請求記録!$AD$6:$AD$3005,"保留中")&gt;0,"保留",IF(COUNTIFS(請求記録!$B$6:$B$3005,$A11,請求記録!$X$6:$X$3005,E$5)=0,"",SUMIFS(請求記録!$AC$6:$AC$3005,請求記録!$B$6:$B$3005,$A11,請求記録!$X$6:$X$3005,E$5))))</f>
        <v/>
      </c>
      <c r="F11" s="19">
        <f>IF($A11="","",IF(COUNTIFS(請求記録!$B$6:$B$3005,$A11,請求記録!$X$6:$X$3005,F$5,請求記録!$AD$6:$AD$3005,"保留中")&gt;0,"保留",IF(COUNTIFS(請求記録!$B$6:$B$3005,$A11,請求記録!$X$6:$X$3005,F$5)=0,"",SUMIFS(請求記録!$AC$6:$AC$3005,請求記録!$B$6:$B$3005,$A11,請求記録!$X$6:$X$3005,F$5))))</f>
        <v/>
      </c>
      <c r="G11" s="19">
        <f>IF($A11="","",IF(COUNTIFS(請求記録!$B$6:$B$3005,$A11,請求記録!$X$6:$X$3005,G$5,請求記録!$AD$6:$AD$3005,"保留中")&gt;0,"保留",IF(COUNTIFS(請求記録!$B$6:$B$3005,$A11,請求記録!$X$6:$X$3005,G$5)=0,"",SUMIFS(請求記録!$AC$6:$AC$3005,請求記録!$B$6:$B$3005,$A11,請求記録!$X$6:$X$3005,G$5))))</f>
        <v/>
      </c>
      <c r="H11" s="19">
        <f>IF($A11="","",IF(COUNTIFS(請求記録!$B$6:$B$3005,$A11,請求記録!$X$6:$X$3005,H$5,請求記録!$AD$6:$AD$3005,"保留中")&gt;0,"保留",IF(COUNTIFS(請求記録!$B$6:$B$3005,$A11,請求記録!$X$6:$X$3005,H$5)=0,"",SUMIFS(請求記録!$AC$6:$AC$3005,請求記録!$B$6:$B$3005,$A11,請求記録!$X$6:$X$3005,H$5))))</f>
        <v/>
      </c>
      <c r="I11" s="19">
        <f>IF($A11="","",IF(COUNTIFS(請求記録!$B$6:$B$3005,$A11,請求記録!$X$6:$X$3005,I$5,請求記録!$AD$6:$AD$3005,"保留中")&gt;0,"保留",IF(COUNTIFS(請求記録!$B$6:$B$3005,$A11,請求記録!$X$6:$X$3005,I$5)=0,"",SUMIFS(請求記録!$AC$6:$AC$3005,請求記録!$B$6:$B$3005,$A11,請求記録!$X$6:$X$3005,I$5))))</f>
        <v/>
      </c>
      <c r="J11" s="19">
        <f>IF($A11="","",IF(COUNTIFS(請求記録!$B$6:$B$3005,$A11,請求記録!$X$6:$X$3005,J$5,請求記録!$AD$6:$AD$3005,"保留中")&gt;0,"保留",IF(COUNTIFS(請求記録!$B$6:$B$3005,$A11,請求記録!$X$6:$X$3005,J$5)=0,"",SUMIFS(請求記録!$AC$6:$AC$3005,請求記録!$B$6:$B$3005,$A11,請求記録!$X$6:$X$3005,J$5))))</f>
        <v/>
      </c>
      <c r="K11" s="19">
        <f>IF($A11="","",IF(COUNTIFS(請求記録!$B$6:$B$3005,$A11,請求記録!$X$6:$X$3005,K$5,請求記録!$AD$6:$AD$3005,"保留中")&gt;0,"保留",IF(COUNTIFS(請求記録!$B$6:$B$3005,$A11,請求記録!$X$6:$X$3005,K$5)=0,"",SUMIFS(請求記録!$AC$6:$AC$3005,請求記録!$B$6:$B$3005,$A11,請求記録!$X$6:$X$3005,K$5))))</f>
        <v/>
      </c>
      <c r="L11" s="19">
        <f>IF($A11="","",IF(COUNTIFS(請求記録!$B$6:$B$3005,$A11,請求記録!$X$6:$X$3005,L$5,請求記録!$AD$6:$AD$3005,"保留中")&gt;0,"保留",IF(COUNTIFS(請求記録!$B$6:$B$3005,$A11,請求記録!$X$6:$X$3005,L$5)=0,"",SUMIFS(請求記録!$AC$6:$AC$3005,請求記録!$B$6:$B$3005,$A11,請求記録!$X$6:$X$3005,L$5))))</f>
        <v/>
      </c>
      <c r="M11" s="19">
        <f>IF($A11="","",IF(COUNTIFS(請求記録!$B$6:$B$3005,$A11,請求記録!$X$6:$X$3005,M$5,請求記録!$AD$6:$AD$3005,"保留中")&gt;0,"保留",IF(COUNTIFS(請求記録!$B$6:$B$3005,$A11,請求記録!$X$6:$X$3005,M$5)=0,"",SUMIFS(請求記録!$AC$6:$AC$3005,請求記録!$B$6:$B$3005,$A11,請求記録!$X$6:$X$3005,M$5))))</f>
        <v/>
      </c>
      <c r="N11" s="19">
        <f>IF($A11="","",IF(COUNTIFS(請求記録!$B$6:$B$3005,$A11,請求記録!$X$6:$X$3005,N$5,請求記録!$AD$6:$AD$3005,"保留中")&gt;0,"保留",IF(COUNTIFS(請求記録!$B$6:$B$3005,$A11,請求記録!$X$6:$X$3005,N$5)=0,"",SUMIFS(請求記録!$AC$6:$AC$3005,請求記録!$B$6:$B$3005,$A11,請求記録!$X$6:$X$3005,N$5))))</f>
        <v/>
      </c>
      <c r="O11" s="19">
        <f>IF($A11="","",IF(COUNTIFS(請求記録!$B$6:$B$3005,$A11,請求記録!$X$6:$X$3005,O$5,請求記録!$AD$6:$AD$3005,"保留中")&gt;0,"保留",IF(COUNTIFS(請求記録!$B$6:$B$3005,$A11,請求記録!$X$6:$X$3005,O$5)=0,"",SUMIFS(請求記録!$AC$6:$AC$3005,請求記録!$B$6:$B$3005,$A11,請求記録!$X$6:$X$3005,O$5))))</f>
        <v/>
      </c>
      <c r="P11" s="19">
        <f>IF($A11="","",IF(COUNTIFS(請求記録!$B$6:$B$3005,$A11,請求記録!$X$6:$X$3005,P$5,請求記録!$AD$6:$AD$3005,"保留中")&gt;0,"保留",IF(COUNTIFS(請求記録!$B$6:$B$3005,$A11,請求記録!$X$6:$X$3005,P$5)=0,"",SUMIFS(請求記録!$AC$6:$AC$3005,請求記録!$B$6:$B$3005,$A11,請求記録!$X$6:$X$3005,P$5))))</f>
        <v/>
      </c>
      <c r="Q11" s="19">
        <f>IF($A11="","",IF(COUNTIFS(請求記録!$B$6:$B$3005,$A11,請求記録!$X$6:$X$3005,Q$5,請求記録!$AD$6:$AD$3005,"保留中")&gt;0,"保留",IF(COUNTIFS(請求記録!$B$6:$B$3005,$A11,請求記録!$X$6:$X$3005,Q$5)=0,"",SUMIFS(請求記録!$AC$6:$AC$3005,請求記録!$B$6:$B$3005,$A11,請求記録!$X$6:$X$3005,Q$5))))</f>
        <v/>
      </c>
      <c r="R11" s="19">
        <f>IF($A11="","",IF(COUNTIFS(請求記録!$B$6:$B$3005,$A11,請求記録!$X$6:$X$3005,R$5,請求記録!$AD$6:$AD$3005,"保留中")&gt;0,"保留",IF(COUNTIFS(請求記録!$B$6:$B$3005,$A11,請求記録!$X$6:$X$3005,R$5)=0,"",SUMIFS(請求記録!$AC$6:$AC$3005,請求記録!$B$6:$B$3005,$A11,請求記録!$X$6:$X$3005,R$5))))</f>
        <v/>
      </c>
      <c r="S11" s="19">
        <f>IF($A11="","",IF(COUNTIFS(請求記録!$B$6:$B$3005,$A11,請求記録!$X$6:$X$3005,S$5,請求記録!$AD$6:$AD$3005,"保留中")&gt;0,"保留",IF(COUNTIFS(請求記録!$B$6:$B$3005,$A11,請求記録!$X$6:$X$3005,S$5)=0,"",SUMIFS(請求記録!$AC$6:$AC$3005,請求記録!$B$6:$B$3005,$A11,請求記録!$X$6:$X$3005,S$5))))</f>
        <v/>
      </c>
      <c r="T11" s="19">
        <f>IF($A11="","",IF(COUNTIFS(請求記録!$B$6:$B$3005,$A11,請求記録!$X$6:$X$3005,T$5,請求記録!$AD$6:$AD$3005,"保留中")&gt;0,"保留",IF(COUNTIFS(請求記録!$B$6:$B$3005,$A11,請求記録!$X$6:$X$3005,T$5)=0,"",SUMIFS(請求記録!$AC$6:$AC$3005,請求記録!$B$6:$B$3005,$A11,請求記録!$X$6:$X$3005,T$5))))</f>
        <v/>
      </c>
      <c r="U11" s="19">
        <f>IF($A11="","",IF(COUNTIFS(請求記録!$B$6:$B$3005,$A11,請求記録!$X$6:$X$3005,U$5,請求記録!$AD$6:$AD$3005,"保留中")&gt;0,"保留",IF(COUNTIFS(請求記録!$B$6:$B$3005,$A11,請求記録!$X$6:$X$3005,U$5)=0,"",SUMIFS(請求記録!$AC$6:$AC$3005,請求記録!$B$6:$B$3005,$A11,請求記録!$X$6:$X$3005,U$5))))</f>
        <v/>
      </c>
      <c r="V11" s="19">
        <f>IF($A11="","",IF(COUNTIFS(請求記録!$B$6:$B$3005,$A11,請求記録!$X$6:$X$3005,V$5,請求記録!$AD$6:$AD$3005,"保留中")&gt;0,"保留",IF(COUNTIFS(請求記録!$B$6:$B$3005,$A11,請求記録!$X$6:$X$3005,V$5)=0,"",SUMIFS(請求記録!$AC$6:$AC$3005,請求記録!$B$6:$B$3005,$A11,請求記録!$X$6:$X$3005,V$5))))</f>
        <v/>
      </c>
      <c r="W11" s="19">
        <f>IF($A11="","",IF(COUNTIFS(請求記録!$B$6:$B$3005,$A11,請求記録!$X$6:$X$3005,W$5,請求記録!$AD$6:$AD$3005,"保留中")&gt;0,"保留",IF(COUNTIFS(請求記録!$B$6:$B$3005,$A11,請求記録!$X$6:$X$3005,W$5)=0,"",SUMIFS(請求記録!$AC$6:$AC$3005,請求記録!$B$6:$B$3005,$A11,請求記録!$X$6:$X$3005,W$5))))</f>
        <v/>
      </c>
      <c r="X11" s="19">
        <f>IF($A11="","",IF(COUNTIFS(請求記録!$B$6:$B$3005,$A11,請求記録!$X$6:$X$3005,X$5,請求記録!$AD$6:$AD$3005,"保留中")&gt;0,"保留",IF(COUNTIFS(請求記録!$B$6:$B$3005,$A11,請求記録!$X$6:$X$3005,X$5)=0,"",SUMIFS(請求記録!$AC$6:$AC$3005,請求記録!$B$6:$B$3005,$A11,請求記録!$X$6:$X$3005,X$5))))</f>
        <v/>
      </c>
      <c r="Y11" s="19">
        <f>IF($A11="","",IF(COUNTIFS(請求記録!$B$6:$B$3005,$A11,請求記録!$X$6:$X$3005,Y$5,請求記録!$AD$6:$AD$3005,"保留中")&gt;0,"保留",IF(COUNTIFS(請求記録!$B$6:$B$3005,$A11,請求記録!$X$6:$X$3005,Y$5)=0,"",SUMIFS(請求記録!$AC$6:$AC$3005,請求記録!$B$6:$B$3005,$A11,請求記録!$X$6:$X$3005,Y$5))))</f>
        <v/>
      </c>
      <c r="Z11" s="19">
        <f>IF($A11="","",IF(COUNTIFS(請求記録!$B$6:$B$3005,$A11,請求記録!$X$6:$X$3005,Z$5,請求記録!$AD$6:$AD$3005,"保留中")&gt;0,"保留",IF(COUNTIFS(請求記録!$B$6:$B$3005,$A11,請求記録!$X$6:$X$3005,Z$5)=0,"",SUMIFS(請求記録!$AC$6:$AC$3005,請求記録!$B$6:$B$3005,$A11,請求記録!$X$6:$X$3005,Z$5))))</f>
        <v/>
      </c>
      <c r="AA11" s="19">
        <f>IF($A11="","",IF(COUNTIFS(請求記録!$B$6:$B$3005,$A11,請求記録!$X$6:$X$3005,AA$5,請求記録!$AD$6:$AD$3005,"保留中")&gt;0,"保留",IF(COUNTIFS(請求記録!$B$6:$B$3005,$A11,請求記録!$X$6:$X$3005,AA$5)=0,"",SUMIFS(請求記録!$AC$6:$AC$3005,請求記録!$B$6:$B$3005,$A11,請求記録!$X$6:$X$3005,AA$5))))</f>
        <v/>
      </c>
      <c r="AB11">
        <f>IF(職員マスタ!P11="保留中",職員マスタ!M11,"")</f>
        <v/>
      </c>
    </row>
    <row r="12">
      <c r="A12">
        <f>IF(職員マスタ!A12="","",職員マスタ!A12)</f>
        <v/>
      </c>
      <c r="B12">
        <f>IF($A12="","",職員マスタ!B12)</f>
        <v/>
      </c>
      <c r="C12">
        <f>IF($A12="","",職員マスタ!C12)</f>
        <v/>
      </c>
      <c r="D12" s="19">
        <f>IF($A12="","",IF(COUNTIFS(請求記録!$B$6:$B$3005,$A12,請求記録!$X$6:$X$3005,D$5,請求記録!$AD$6:$AD$3005,"保留中")&gt;0,"保留",IF(COUNTIFS(請求記録!$B$6:$B$3005,$A12,請求記録!$X$6:$X$3005,D$5)=0,"",SUMIFS(請求記録!$AC$6:$AC$3005,請求記録!$B$6:$B$3005,$A12,請求記録!$X$6:$X$3005,D$5))))</f>
        <v/>
      </c>
      <c r="E12" s="19">
        <f>IF($A12="","",IF(COUNTIFS(請求記録!$B$6:$B$3005,$A12,請求記録!$X$6:$X$3005,E$5,請求記録!$AD$6:$AD$3005,"保留中")&gt;0,"保留",IF(COUNTIFS(請求記録!$B$6:$B$3005,$A12,請求記録!$X$6:$X$3005,E$5)=0,"",SUMIFS(請求記録!$AC$6:$AC$3005,請求記録!$B$6:$B$3005,$A12,請求記録!$X$6:$X$3005,E$5))))</f>
        <v/>
      </c>
      <c r="F12" s="19">
        <f>IF($A12="","",IF(COUNTIFS(請求記録!$B$6:$B$3005,$A12,請求記録!$X$6:$X$3005,F$5,請求記録!$AD$6:$AD$3005,"保留中")&gt;0,"保留",IF(COUNTIFS(請求記録!$B$6:$B$3005,$A12,請求記録!$X$6:$X$3005,F$5)=0,"",SUMIFS(請求記録!$AC$6:$AC$3005,請求記録!$B$6:$B$3005,$A12,請求記録!$X$6:$X$3005,F$5))))</f>
        <v/>
      </c>
      <c r="G12" s="19">
        <f>IF($A12="","",IF(COUNTIFS(請求記録!$B$6:$B$3005,$A12,請求記録!$X$6:$X$3005,G$5,請求記録!$AD$6:$AD$3005,"保留中")&gt;0,"保留",IF(COUNTIFS(請求記録!$B$6:$B$3005,$A12,請求記録!$X$6:$X$3005,G$5)=0,"",SUMIFS(請求記録!$AC$6:$AC$3005,請求記録!$B$6:$B$3005,$A12,請求記録!$X$6:$X$3005,G$5))))</f>
        <v/>
      </c>
      <c r="H12" s="19">
        <f>IF($A12="","",IF(COUNTIFS(請求記録!$B$6:$B$3005,$A12,請求記録!$X$6:$X$3005,H$5,請求記録!$AD$6:$AD$3005,"保留中")&gt;0,"保留",IF(COUNTIFS(請求記録!$B$6:$B$3005,$A12,請求記録!$X$6:$X$3005,H$5)=0,"",SUMIFS(請求記録!$AC$6:$AC$3005,請求記録!$B$6:$B$3005,$A12,請求記録!$X$6:$X$3005,H$5))))</f>
        <v/>
      </c>
      <c r="I12" s="19">
        <f>IF($A12="","",IF(COUNTIFS(請求記録!$B$6:$B$3005,$A12,請求記録!$X$6:$X$3005,I$5,請求記録!$AD$6:$AD$3005,"保留中")&gt;0,"保留",IF(COUNTIFS(請求記録!$B$6:$B$3005,$A12,請求記録!$X$6:$X$3005,I$5)=0,"",SUMIFS(請求記録!$AC$6:$AC$3005,請求記録!$B$6:$B$3005,$A12,請求記録!$X$6:$X$3005,I$5))))</f>
        <v/>
      </c>
      <c r="J12" s="19">
        <f>IF($A12="","",IF(COUNTIFS(請求記録!$B$6:$B$3005,$A12,請求記録!$X$6:$X$3005,J$5,請求記録!$AD$6:$AD$3005,"保留中")&gt;0,"保留",IF(COUNTIFS(請求記録!$B$6:$B$3005,$A12,請求記録!$X$6:$X$3005,J$5)=0,"",SUMIFS(請求記録!$AC$6:$AC$3005,請求記録!$B$6:$B$3005,$A12,請求記録!$X$6:$X$3005,J$5))))</f>
        <v/>
      </c>
      <c r="K12" s="19">
        <f>IF($A12="","",IF(COUNTIFS(請求記録!$B$6:$B$3005,$A12,請求記録!$X$6:$X$3005,K$5,請求記録!$AD$6:$AD$3005,"保留中")&gt;0,"保留",IF(COUNTIFS(請求記録!$B$6:$B$3005,$A12,請求記録!$X$6:$X$3005,K$5)=0,"",SUMIFS(請求記録!$AC$6:$AC$3005,請求記録!$B$6:$B$3005,$A12,請求記録!$X$6:$X$3005,K$5))))</f>
        <v/>
      </c>
      <c r="L12" s="19">
        <f>IF($A12="","",IF(COUNTIFS(請求記録!$B$6:$B$3005,$A12,請求記録!$X$6:$X$3005,L$5,請求記録!$AD$6:$AD$3005,"保留中")&gt;0,"保留",IF(COUNTIFS(請求記録!$B$6:$B$3005,$A12,請求記録!$X$6:$X$3005,L$5)=0,"",SUMIFS(請求記録!$AC$6:$AC$3005,請求記録!$B$6:$B$3005,$A12,請求記録!$X$6:$X$3005,L$5))))</f>
        <v/>
      </c>
      <c r="M12" s="19">
        <f>IF($A12="","",IF(COUNTIFS(請求記録!$B$6:$B$3005,$A12,請求記録!$X$6:$X$3005,M$5,請求記録!$AD$6:$AD$3005,"保留中")&gt;0,"保留",IF(COUNTIFS(請求記録!$B$6:$B$3005,$A12,請求記録!$X$6:$X$3005,M$5)=0,"",SUMIFS(請求記録!$AC$6:$AC$3005,請求記録!$B$6:$B$3005,$A12,請求記録!$X$6:$X$3005,M$5))))</f>
        <v/>
      </c>
      <c r="N12" s="19">
        <f>IF($A12="","",IF(COUNTIFS(請求記録!$B$6:$B$3005,$A12,請求記録!$X$6:$X$3005,N$5,請求記録!$AD$6:$AD$3005,"保留中")&gt;0,"保留",IF(COUNTIFS(請求記録!$B$6:$B$3005,$A12,請求記録!$X$6:$X$3005,N$5)=0,"",SUMIFS(請求記録!$AC$6:$AC$3005,請求記録!$B$6:$B$3005,$A12,請求記録!$X$6:$X$3005,N$5))))</f>
        <v/>
      </c>
      <c r="O12" s="19">
        <f>IF($A12="","",IF(COUNTIFS(請求記録!$B$6:$B$3005,$A12,請求記録!$X$6:$X$3005,O$5,請求記録!$AD$6:$AD$3005,"保留中")&gt;0,"保留",IF(COUNTIFS(請求記録!$B$6:$B$3005,$A12,請求記録!$X$6:$X$3005,O$5)=0,"",SUMIFS(請求記録!$AC$6:$AC$3005,請求記録!$B$6:$B$3005,$A12,請求記録!$X$6:$X$3005,O$5))))</f>
        <v/>
      </c>
      <c r="P12" s="19">
        <f>IF($A12="","",IF(COUNTIFS(請求記録!$B$6:$B$3005,$A12,請求記録!$X$6:$X$3005,P$5,請求記録!$AD$6:$AD$3005,"保留中")&gt;0,"保留",IF(COUNTIFS(請求記録!$B$6:$B$3005,$A12,請求記録!$X$6:$X$3005,P$5)=0,"",SUMIFS(請求記録!$AC$6:$AC$3005,請求記録!$B$6:$B$3005,$A12,請求記録!$X$6:$X$3005,P$5))))</f>
        <v/>
      </c>
      <c r="Q12" s="19">
        <f>IF($A12="","",IF(COUNTIFS(請求記録!$B$6:$B$3005,$A12,請求記録!$X$6:$X$3005,Q$5,請求記録!$AD$6:$AD$3005,"保留中")&gt;0,"保留",IF(COUNTIFS(請求記録!$B$6:$B$3005,$A12,請求記録!$X$6:$X$3005,Q$5)=0,"",SUMIFS(請求記録!$AC$6:$AC$3005,請求記録!$B$6:$B$3005,$A12,請求記録!$X$6:$X$3005,Q$5))))</f>
        <v/>
      </c>
      <c r="R12" s="19">
        <f>IF($A12="","",IF(COUNTIFS(請求記録!$B$6:$B$3005,$A12,請求記録!$X$6:$X$3005,R$5,請求記録!$AD$6:$AD$3005,"保留中")&gt;0,"保留",IF(COUNTIFS(請求記録!$B$6:$B$3005,$A12,請求記録!$X$6:$X$3005,R$5)=0,"",SUMIFS(請求記録!$AC$6:$AC$3005,請求記録!$B$6:$B$3005,$A12,請求記録!$X$6:$X$3005,R$5))))</f>
        <v/>
      </c>
      <c r="S12" s="19">
        <f>IF($A12="","",IF(COUNTIFS(請求記録!$B$6:$B$3005,$A12,請求記録!$X$6:$X$3005,S$5,請求記録!$AD$6:$AD$3005,"保留中")&gt;0,"保留",IF(COUNTIFS(請求記録!$B$6:$B$3005,$A12,請求記録!$X$6:$X$3005,S$5)=0,"",SUMIFS(請求記録!$AC$6:$AC$3005,請求記録!$B$6:$B$3005,$A12,請求記録!$X$6:$X$3005,S$5))))</f>
        <v/>
      </c>
      <c r="T12" s="19">
        <f>IF($A12="","",IF(COUNTIFS(請求記録!$B$6:$B$3005,$A12,請求記録!$X$6:$X$3005,T$5,請求記録!$AD$6:$AD$3005,"保留中")&gt;0,"保留",IF(COUNTIFS(請求記録!$B$6:$B$3005,$A12,請求記録!$X$6:$X$3005,T$5)=0,"",SUMIFS(請求記録!$AC$6:$AC$3005,請求記録!$B$6:$B$3005,$A12,請求記録!$X$6:$X$3005,T$5))))</f>
        <v/>
      </c>
      <c r="U12" s="19">
        <f>IF($A12="","",IF(COUNTIFS(請求記録!$B$6:$B$3005,$A12,請求記録!$X$6:$X$3005,U$5,請求記録!$AD$6:$AD$3005,"保留中")&gt;0,"保留",IF(COUNTIFS(請求記録!$B$6:$B$3005,$A12,請求記録!$X$6:$X$3005,U$5)=0,"",SUMIFS(請求記録!$AC$6:$AC$3005,請求記録!$B$6:$B$3005,$A12,請求記録!$X$6:$X$3005,U$5))))</f>
        <v/>
      </c>
      <c r="V12" s="19">
        <f>IF($A12="","",IF(COUNTIFS(請求記録!$B$6:$B$3005,$A12,請求記録!$X$6:$X$3005,V$5,請求記録!$AD$6:$AD$3005,"保留中")&gt;0,"保留",IF(COUNTIFS(請求記録!$B$6:$B$3005,$A12,請求記録!$X$6:$X$3005,V$5)=0,"",SUMIFS(請求記録!$AC$6:$AC$3005,請求記録!$B$6:$B$3005,$A12,請求記録!$X$6:$X$3005,V$5))))</f>
        <v/>
      </c>
      <c r="W12" s="19">
        <f>IF($A12="","",IF(COUNTIFS(請求記録!$B$6:$B$3005,$A12,請求記録!$X$6:$X$3005,W$5,請求記録!$AD$6:$AD$3005,"保留中")&gt;0,"保留",IF(COUNTIFS(請求記録!$B$6:$B$3005,$A12,請求記録!$X$6:$X$3005,W$5)=0,"",SUMIFS(請求記録!$AC$6:$AC$3005,請求記録!$B$6:$B$3005,$A12,請求記録!$X$6:$X$3005,W$5))))</f>
        <v/>
      </c>
      <c r="X12" s="19">
        <f>IF($A12="","",IF(COUNTIFS(請求記録!$B$6:$B$3005,$A12,請求記録!$X$6:$X$3005,X$5,請求記録!$AD$6:$AD$3005,"保留中")&gt;0,"保留",IF(COUNTIFS(請求記録!$B$6:$B$3005,$A12,請求記録!$X$6:$X$3005,X$5)=0,"",SUMIFS(請求記録!$AC$6:$AC$3005,請求記録!$B$6:$B$3005,$A12,請求記録!$X$6:$X$3005,X$5))))</f>
        <v/>
      </c>
      <c r="Y12" s="19">
        <f>IF($A12="","",IF(COUNTIFS(請求記録!$B$6:$B$3005,$A12,請求記録!$X$6:$X$3005,Y$5,請求記録!$AD$6:$AD$3005,"保留中")&gt;0,"保留",IF(COUNTIFS(請求記録!$B$6:$B$3005,$A12,請求記録!$X$6:$X$3005,Y$5)=0,"",SUMIFS(請求記録!$AC$6:$AC$3005,請求記録!$B$6:$B$3005,$A12,請求記録!$X$6:$X$3005,Y$5))))</f>
        <v/>
      </c>
      <c r="Z12" s="19">
        <f>IF($A12="","",IF(COUNTIFS(請求記録!$B$6:$B$3005,$A12,請求記録!$X$6:$X$3005,Z$5,請求記録!$AD$6:$AD$3005,"保留中")&gt;0,"保留",IF(COUNTIFS(請求記録!$B$6:$B$3005,$A12,請求記録!$X$6:$X$3005,Z$5)=0,"",SUMIFS(請求記録!$AC$6:$AC$3005,請求記録!$B$6:$B$3005,$A12,請求記録!$X$6:$X$3005,Z$5))))</f>
        <v/>
      </c>
      <c r="AA12" s="19">
        <f>IF($A12="","",IF(COUNTIFS(請求記録!$B$6:$B$3005,$A12,請求記録!$X$6:$X$3005,AA$5,請求記録!$AD$6:$AD$3005,"保留中")&gt;0,"保留",IF(COUNTIFS(請求記録!$B$6:$B$3005,$A12,請求記録!$X$6:$X$3005,AA$5)=0,"",SUMIFS(請求記録!$AC$6:$AC$3005,請求記録!$B$6:$B$3005,$A12,請求記録!$X$6:$X$3005,AA$5))))</f>
        <v/>
      </c>
      <c r="AB12">
        <f>IF(職員マスタ!P12="保留中",職員マスタ!M12,"")</f>
        <v/>
      </c>
    </row>
    <row r="13">
      <c r="A13">
        <f>IF(職員マスタ!A13="","",職員マスタ!A13)</f>
        <v/>
      </c>
      <c r="B13">
        <f>IF($A13="","",職員マスタ!B13)</f>
        <v/>
      </c>
      <c r="C13">
        <f>IF($A13="","",職員マスタ!C13)</f>
        <v/>
      </c>
      <c r="D13" s="19">
        <f>IF($A13="","",IF(COUNTIFS(請求記録!$B$6:$B$3005,$A13,請求記録!$X$6:$X$3005,D$5,請求記録!$AD$6:$AD$3005,"保留中")&gt;0,"保留",IF(COUNTIFS(請求記録!$B$6:$B$3005,$A13,請求記録!$X$6:$X$3005,D$5)=0,"",SUMIFS(請求記録!$AC$6:$AC$3005,請求記録!$B$6:$B$3005,$A13,請求記録!$X$6:$X$3005,D$5))))</f>
        <v/>
      </c>
      <c r="E13" s="19">
        <f>IF($A13="","",IF(COUNTIFS(請求記録!$B$6:$B$3005,$A13,請求記録!$X$6:$X$3005,E$5,請求記録!$AD$6:$AD$3005,"保留中")&gt;0,"保留",IF(COUNTIFS(請求記録!$B$6:$B$3005,$A13,請求記録!$X$6:$X$3005,E$5)=0,"",SUMIFS(請求記録!$AC$6:$AC$3005,請求記録!$B$6:$B$3005,$A13,請求記録!$X$6:$X$3005,E$5))))</f>
        <v/>
      </c>
      <c r="F13" s="19">
        <f>IF($A13="","",IF(COUNTIFS(請求記録!$B$6:$B$3005,$A13,請求記録!$X$6:$X$3005,F$5,請求記録!$AD$6:$AD$3005,"保留中")&gt;0,"保留",IF(COUNTIFS(請求記録!$B$6:$B$3005,$A13,請求記録!$X$6:$X$3005,F$5)=0,"",SUMIFS(請求記録!$AC$6:$AC$3005,請求記録!$B$6:$B$3005,$A13,請求記録!$X$6:$X$3005,F$5))))</f>
        <v/>
      </c>
      <c r="G13" s="19">
        <f>IF($A13="","",IF(COUNTIFS(請求記録!$B$6:$B$3005,$A13,請求記録!$X$6:$X$3005,G$5,請求記録!$AD$6:$AD$3005,"保留中")&gt;0,"保留",IF(COUNTIFS(請求記録!$B$6:$B$3005,$A13,請求記録!$X$6:$X$3005,G$5)=0,"",SUMIFS(請求記録!$AC$6:$AC$3005,請求記録!$B$6:$B$3005,$A13,請求記録!$X$6:$X$3005,G$5))))</f>
        <v/>
      </c>
      <c r="H13" s="19">
        <f>IF($A13="","",IF(COUNTIFS(請求記録!$B$6:$B$3005,$A13,請求記録!$X$6:$X$3005,H$5,請求記録!$AD$6:$AD$3005,"保留中")&gt;0,"保留",IF(COUNTIFS(請求記録!$B$6:$B$3005,$A13,請求記録!$X$6:$X$3005,H$5)=0,"",SUMIFS(請求記録!$AC$6:$AC$3005,請求記録!$B$6:$B$3005,$A13,請求記録!$X$6:$X$3005,H$5))))</f>
        <v/>
      </c>
      <c r="I13" s="19">
        <f>IF($A13="","",IF(COUNTIFS(請求記録!$B$6:$B$3005,$A13,請求記録!$X$6:$X$3005,I$5,請求記録!$AD$6:$AD$3005,"保留中")&gt;0,"保留",IF(COUNTIFS(請求記録!$B$6:$B$3005,$A13,請求記録!$X$6:$X$3005,I$5)=0,"",SUMIFS(請求記録!$AC$6:$AC$3005,請求記録!$B$6:$B$3005,$A13,請求記録!$X$6:$X$3005,I$5))))</f>
        <v/>
      </c>
      <c r="J13" s="19">
        <f>IF($A13="","",IF(COUNTIFS(請求記録!$B$6:$B$3005,$A13,請求記録!$X$6:$X$3005,J$5,請求記録!$AD$6:$AD$3005,"保留中")&gt;0,"保留",IF(COUNTIFS(請求記録!$B$6:$B$3005,$A13,請求記録!$X$6:$X$3005,J$5)=0,"",SUMIFS(請求記録!$AC$6:$AC$3005,請求記録!$B$6:$B$3005,$A13,請求記録!$X$6:$X$3005,J$5))))</f>
        <v/>
      </c>
      <c r="K13" s="19">
        <f>IF($A13="","",IF(COUNTIFS(請求記録!$B$6:$B$3005,$A13,請求記録!$X$6:$X$3005,K$5,請求記録!$AD$6:$AD$3005,"保留中")&gt;0,"保留",IF(COUNTIFS(請求記録!$B$6:$B$3005,$A13,請求記録!$X$6:$X$3005,K$5)=0,"",SUMIFS(請求記録!$AC$6:$AC$3005,請求記録!$B$6:$B$3005,$A13,請求記録!$X$6:$X$3005,K$5))))</f>
        <v/>
      </c>
      <c r="L13" s="19">
        <f>IF($A13="","",IF(COUNTIFS(請求記録!$B$6:$B$3005,$A13,請求記録!$X$6:$X$3005,L$5,請求記録!$AD$6:$AD$3005,"保留中")&gt;0,"保留",IF(COUNTIFS(請求記録!$B$6:$B$3005,$A13,請求記録!$X$6:$X$3005,L$5)=0,"",SUMIFS(請求記録!$AC$6:$AC$3005,請求記録!$B$6:$B$3005,$A13,請求記録!$X$6:$X$3005,L$5))))</f>
        <v/>
      </c>
      <c r="M13" s="19">
        <f>IF($A13="","",IF(COUNTIFS(請求記録!$B$6:$B$3005,$A13,請求記録!$X$6:$X$3005,M$5,請求記録!$AD$6:$AD$3005,"保留中")&gt;0,"保留",IF(COUNTIFS(請求記録!$B$6:$B$3005,$A13,請求記録!$X$6:$X$3005,M$5)=0,"",SUMIFS(請求記録!$AC$6:$AC$3005,請求記録!$B$6:$B$3005,$A13,請求記録!$X$6:$X$3005,M$5))))</f>
        <v/>
      </c>
      <c r="N13" s="19">
        <f>IF($A13="","",IF(COUNTIFS(請求記録!$B$6:$B$3005,$A13,請求記録!$X$6:$X$3005,N$5,請求記録!$AD$6:$AD$3005,"保留中")&gt;0,"保留",IF(COUNTIFS(請求記録!$B$6:$B$3005,$A13,請求記録!$X$6:$X$3005,N$5)=0,"",SUMIFS(請求記録!$AC$6:$AC$3005,請求記録!$B$6:$B$3005,$A13,請求記録!$X$6:$X$3005,N$5))))</f>
        <v/>
      </c>
      <c r="O13" s="19">
        <f>IF($A13="","",IF(COUNTIFS(請求記録!$B$6:$B$3005,$A13,請求記録!$X$6:$X$3005,O$5,請求記録!$AD$6:$AD$3005,"保留中")&gt;0,"保留",IF(COUNTIFS(請求記録!$B$6:$B$3005,$A13,請求記録!$X$6:$X$3005,O$5)=0,"",SUMIFS(請求記録!$AC$6:$AC$3005,請求記録!$B$6:$B$3005,$A13,請求記録!$X$6:$X$3005,O$5))))</f>
        <v/>
      </c>
      <c r="P13" s="19">
        <f>IF($A13="","",IF(COUNTIFS(請求記録!$B$6:$B$3005,$A13,請求記録!$X$6:$X$3005,P$5,請求記録!$AD$6:$AD$3005,"保留中")&gt;0,"保留",IF(COUNTIFS(請求記録!$B$6:$B$3005,$A13,請求記録!$X$6:$X$3005,P$5)=0,"",SUMIFS(請求記録!$AC$6:$AC$3005,請求記録!$B$6:$B$3005,$A13,請求記録!$X$6:$X$3005,P$5))))</f>
        <v/>
      </c>
      <c r="Q13" s="19">
        <f>IF($A13="","",IF(COUNTIFS(請求記録!$B$6:$B$3005,$A13,請求記録!$X$6:$X$3005,Q$5,請求記録!$AD$6:$AD$3005,"保留中")&gt;0,"保留",IF(COUNTIFS(請求記録!$B$6:$B$3005,$A13,請求記録!$X$6:$X$3005,Q$5)=0,"",SUMIFS(請求記録!$AC$6:$AC$3005,請求記録!$B$6:$B$3005,$A13,請求記録!$X$6:$X$3005,Q$5))))</f>
        <v/>
      </c>
      <c r="R13" s="19">
        <f>IF($A13="","",IF(COUNTIFS(請求記録!$B$6:$B$3005,$A13,請求記録!$X$6:$X$3005,R$5,請求記録!$AD$6:$AD$3005,"保留中")&gt;0,"保留",IF(COUNTIFS(請求記録!$B$6:$B$3005,$A13,請求記録!$X$6:$X$3005,R$5)=0,"",SUMIFS(請求記録!$AC$6:$AC$3005,請求記録!$B$6:$B$3005,$A13,請求記録!$X$6:$X$3005,R$5))))</f>
        <v/>
      </c>
      <c r="S13" s="19">
        <f>IF($A13="","",IF(COUNTIFS(請求記録!$B$6:$B$3005,$A13,請求記録!$X$6:$X$3005,S$5,請求記録!$AD$6:$AD$3005,"保留中")&gt;0,"保留",IF(COUNTIFS(請求記録!$B$6:$B$3005,$A13,請求記録!$X$6:$X$3005,S$5)=0,"",SUMIFS(請求記録!$AC$6:$AC$3005,請求記録!$B$6:$B$3005,$A13,請求記録!$X$6:$X$3005,S$5))))</f>
        <v/>
      </c>
      <c r="T13" s="19">
        <f>IF($A13="","",IF(COUNTIFS(請求記録!$B$6:$B$3005,$A13,請求記録!$X$6:$X$3005,T$5,請求記録!$AD$6:$AD$3005,"保留中")&gt;0,"保留",IF(COUNTIFS(請求記録!$B$6:$B$3005,$A13,請求記録!$X$6:$X$3005,T$5)=0,"",SUMIFS(請求記録!$AC$6:$AC$3005,請求記録!$B$6:$B$3005,$A13,請求記録!$X$6:$X$3005,T$5))))</f>
        <v/>
      </c>
      <c r="U13" s="19">
        <f>IF($A13="","",IF(COUNTIFS(請求記録!$B$6:$B$3005,$A13,請求記録!$X$6:$X$3005,U$5,請求記録!$AD$6:$AD$3005,"保留中")&gt;0,"保留",IF(COUNTIFS(請求記録!$B$6:$B$3005,$A13,請求記録!$X$6:$X$3005,U$5)=0,"",SUMIFS(請求記録!$AC$6:$AC$3005,請求記録!$B$6:$B$3005,$A13,請求記録!$X$6:$X$3005,U$5))))</f>
        <v/>
      </c>
      <c r="V13" s="19">
        <f>IF($A13="","",IF(COUNTIFS(請求記録!$B$6:$B$3005,$A13,請求記録!$X$6:$X$3005,V$5,請求記録!$AD$6:$AD$3005,"保留中")&gt;0,"保留",IF(COUNTIFS(請求記録!$B$6:$B$3005,$A13,請求記録!$X$6:$X$3005,V$5)=0,"",SUMIFS(請求記録!$AC$6:$AC$3005,請求記録!$B$6:$B$3005,$A13,請求記録!$X$6:$X$3005,V$5))))</f>
        <v/>
      </c>
      <c r="W13" s="19">
        <f>IF($A13="","",IF(COUNTIFS(請求記録!$B$6:$B$3005,$A13,請求記録!$X$6:$X$3005,W$5,請求記録!$AD$6:$AD$3005,"保留中")&gt;0,"保留",IF(COUNTIFS(請求記録!$B$6:$B$3005,$A13,請求記録!$X$6:$X$3005,W$5)=0,"",SUMIFS(請求記録!$AC$6:$AC$3005,請求記録!$B$6:$B$3005,$A13,請求記録!$X$6:$X$3005,W$5))))</f>
        <v/>
      </c>
      <c r="X13" s="19">
        <f>IF($A13="","",IF(COUNTIFS(請求記録!$B$6:$B$3005,$A13,請求記録!$X$6:$X$3005,X$5,請求記録!$AD$6:$AD$3005,"保留中")&gt;0,"保留",IF(COUNTIFS(請求記録!$B$6:$B$3005,$A13,請求記録!$X$6:$X$3005,X$5)=0,"",SUMIFS(請求記録!$AC$6:$AC$3005,請求記録!$B$6:$B$3005,$A13,請求記録!$X$6:$X$3005,X$5))))</f>
        <v/>
      </c>
      <c r="Y13" s="19">
        <f>IF($A13="","",IF(COUNTIFS(請求記録!$B$6:$B$3005,$A13,請求記録!$X$6:$X$3005,Y$5,請求記録!$AD$6:$AD$3005,"保留中")&gt;0,"保留",IF(COUNTIFS(請求記録!$B$6:$B$3005,$A13,請求記録!$X$6:$X$3005,Y$5)=0,"",SUMIFS(請求記録!$AC$6:$AC$3005,請求記録!$B$6:$B$3005,$A13,請求記録!$X$6:$X$3005,Y$5))))</f>
        <v/>
      </c>
      <c r="Z13" s="19">
        <f>IF($A13="","",IF(COUNTIFS(請求記録!$B$6:$B$3005,$A13,請求記録!$X$6:$X$3005,Z$5,請求記録!$AD$6:$AD$3005,"保留中")&gt;0,"保留",IF(COUNTIFS(請求記録!$B$6:$B$3005,$A13,請求記録!$X$6:$X$3005,Z$5)=0,"",SUMIFS(請求記録!$AC$6:$AC$3005,請求記録!$B$6:$B$3005,$A13,請求記録!$X$6:$X$3005,Z$5))))</f>
        <v/>
      </c>
      <c r="AA13" s="19">
        <f>IF($A13="","",IF(COUNTIFS(請求記録!$B$6:$B$3005,$A13,請求記録!$X$6:$X$3005,AA$5,請求記録!$AD$6:$AD$3005,"保留中")&gt;0,"保留",IF(COUNTIFS(請求記録!$B$6:$B$3005,$A13,請求記録!$X$6:$X$3005,AA$5)=0,"",SUMIFS(請求記録!$AC$6:$AC$3005,請求記録!$B$6:$B$3005,$A13,請求記録!$X$6:$X$3005,AA$5))))</f>
        <v/>
      </c>
      <c r="AB13">
        <f>IF(職員マスタ!P13="保留中",職員マスタ!M13,"")</f>
        <v/>
      </c>
    </row>
    <row r="14">
      <c r="A14">
        <f>IF(職員マスタ!A14="","",職員マスタ!A14)</f>
        <v/>
      </c>
      <c r="B14">
        <f>IF($A14="","",職員マスタ!B14)</f>
        <v/>
      </c>
      <c r="C14">
        <f>IF($A14="","",職員マスタ!C14)</f>
        <v/>
      </c>
      <c r="D14" s="19">
        <f>IF($A14="","",IF(COUNTIFS(請求記録!$B$6:$B$3005,$A14,請求記録!$X$6:$X$3005,D$5,請求記録!$AD$6:$AD$3005,"保留中")&gt;0,"保留",IF(COUNTIFS(請求記録!$B$6:$B$3005,$A14,請求記録!$X$6:$X$3005,D$5)=0,"",SUMIFS(請求記録!$AC$6:$AC$3005,請求記録!$B$6:$B$3005,$A14,請求記録!$X$6:$X$3005,D$5))))</f>
        <v/>
      </c>
      <c r="E14" s="19">
        <f>IF($A14="","",IF(COUNTIFS(請求記録!$B$6:$B$3005,$A14,請求記録!$X$6:$X$3005,E$5,請求記録!$AD$6:$AD$3005,"保留中")&gt;0,"保留",IF(COUNTIFS(請求記録!$B$6:$B$3005,$A14,請求記録!$X$6:$X$3005,E$5)=0,"",SUMIFS(請求記録!$AC$6:$AC$3005,請求記録!$B$6:$B$3005,$A14,請求記録!$X$6:$X$3005,E$5))))</f>
        <v/>
      </c>
      <c r="F14" s="19">
        <f>IF($A14="","",IF(COUNTIFS(請求記録!$B$6:$B$3005,$A14,請求記録!$X$6:$X$3005,F$5,請求記録!$AD$6:$AD$3005,"保留中")&gt;0,"保留",IF(COUNTIFS(請求記録!$B$6:$B$3005,$A14,請求記録!$X$6:$X$3005,F$5)=0,"",SUMIFS(請求記録!$AC$6:$AC$3005,請求記録!$B$6:$B$3005,$A14,請求記録!$X$6:$X$3005,F$5))))</f>
        <v/>
      </c>
      <c r="G14" s="19">
        <f>IF($A14="","",IF(COUNTIFS(請求記録!$B$6:$B$3005,$A14,請求記録!$X$6:$X$3005,G$5,請求記録!$AD$6:$AD$3005,"保留中")&gt;0,"保留",IF(COUNTIFS(請求記録!$B$6:$B$3005,$A14,請求記録!$X$6:$X$3005,G$5)=0,"",SUMIFS(請求記録!$AC$6:$AC$3005,請求記録!$B$6:$B$3005,$A14,請求記録!$X$6:$X$3005,G$5))))</f>
        <v/>
      </c>
      <c r="H14" s="19">
        <f>IF($A14="","",IF(COUNTIFS(請求記録!$B$6:$B$3005,$A14,請求記録!$X$6:$X$3005,H$5,請求記録!$AD$6:$AD$3005,"保留中")&gt;0,"保留",IF(COUNTIFS(請求記録!$B$6:$B$3005,$A14,請求記録!$X$6:$X$3005,H$5)=0,"",SUMIFS(請求記録!$AC$6:$AC$3005,請求記録!$B$6:$B$3005,$A14,請求記録!$X$6:$X$3005,H$5))))</f>
        <v/>
      </c>
      <c r="I14" s="19">
        <f>IF($A14="","",IF(COUNTIFS(請求記録!$B$6:$B$3005,$A14,請求記録!$X$6:$X$3005,I$5,請求記録!$AD$6:$AD$3005,"保留中")&gt;0,"保留",IF(COUNTIFS(請求記録!$B$6:$B$3005,$A14,請求記録!$X$6:$X$3005,I$5)=0,"",SUMIFS(請求記録!$AC$6:$AC$3005,請求記録!$B$6:$B$3005,$A14,請求記録!$X$6:$X$3005,I$5))))</f>
        <v/>
      </c>
      <c r="J14" s="19">
        <f>IF($A14="","",IF(COUNTIFS(請求記録!$B$6:$B$3005,$A14,請求記録!$X$6:$X$3005,J$5,請求記録!$AD$6:$AD$3005,"保留中")&gt;0,"保留",IF(COUNTIFS(請求記録!$B$6:$B$3005,$A14,請求記録!$X$6:$X$3005,J$5)=0,"",SUMIFS(請求記録!$AC$6:$AC$3005,請求記録!$B$6:$B$3005,$A14,請求記録!$X$6:$X$3005,J$5))))</f>
        <v/>
      </c>
      <c r="K14" s="19">
        <f>IF($A14="","",IF(COUNTIFS(請求記録!$B$6:$B$3005,$A14,請求記録!$X$6:$X$3005,K$5,請求記録!$AD$6:$AD$3005,"保留中")&gt;0,"保留",IF(COUNTIFS(請求記録!$B$6:$B$3005,$A14,請求記録!$X$6:$X$3005,K$5)=0,"",SUMIFS(請求記録!$AC$6:$AC$3005,請求記録!$B$6:$B$3005,$A14,請求記録!$X$6:$X$3005,K$5))))</f>
        <v/>
      </c>
      <c r="L14" s="19">
        <f>IF($A14="","",IF(COUNTIFS(請求記録!$B$6:$B$3005,$A14,請求記録!$X$6:$X$3005,L$5,請求記録!$AD$6:$AD$3005,"保留中")&gt;0,"保留",IF(COUNTIFS(請求記録!$B$6:$B$3005,$A14,請求記録!$X$6:$X$3005,L$5)=0,"",SUMIFS(請求記録!$AC$6:$AC$3005,請求記録!$B$6:$B$3005,$A14,請求記録!$X$6:$X$3005,L$5))))</f>
        <v/>
      </c>
      <c r="M14" s="19">
        <f>IF($A14="","",IF(COUNTIFS(請求記録!$B$6:$B$3005,$A14,請求記録!$X$6:$X$3005,M$5,請求記録!$AD$6:$AD$3005,"保留中")&gt;0,"保留",IF(COUNTIFS(請求記録!$B$6:$B$3005,$A14,請求記録!$X$6:$X$3005,M$5)=0,"",SUMIFS(請求記録!$AC$6:$AC$3005,請求記録!$B$6:$B$3005,$A14,請求記録!$X$6:$X$3005,M$5))))</f>
        <v/>
      </c>
      <c r="N14" s="19">
        <f>IF($A14="","",IF(COUNTIFS(請求記録!$B$6:$B$3005,$A14,請求記録!$X$6:$X$3005,N$5,請求記録!$AD$6:$AD$3005,"保留中")&gt;0,"保留",IF(COUNTIFS(請求記録!$B$6:$B$3005,$A14,請求記録!$X$6:$X$3005,N$5)=0,"",SUMIFS(請求記録!$AC$6:$AC$3005,請求記録!$B$6:$B$3005,$A14,請求記録!$X$6:$X$3005,N$5))))</f>
        <v/>
      </c>
      <c r="O14" s="19">
        <f>IF($A14="","",IF(COUNTIFS(請求記録!$B$6:$B$3005,$A14,請求記録!$X$6:$X$3005,O$5,請求記録!$AD$6:$AD$3005,"保留中")&gt;0,"保留",IF(COUNTIFS(請求記録!$B$6:$B$3005,$A14,請求記録!$X$6:$X$3005,O$5)=0,"",SUMIFS(請求記録!$AC$6:$AC$3005,請求記録!$B$6:$B$3005,$A14,請求記録!$X$6:$X$3005,O$5))))</f>
        <v/>
      </c>
      <c r="P14" s="19">
        <f>IF($A14="","",IF(COUNTIFS(請求記録!$B$6:$B$3005,$A14,請求記録!$X$6:$X$3005,P$5,請求記録!$AD$6:$AD$3005,"保留中")&gt;0,"保留",IF(COUNTIFS(請求記録!$B$6:$B$3005,$A14,請求記録!$X$6:$X$3005,P$5)=0,"",SUMIFS(請求記録!$AC$6:$AC$3005,請求記録!$B$6:$B$3005,$A14,請求記録!$X$6:$X$3005,P$5))))</f>
        <v/>
      </c>
      <c r="Q14" s="19">
        <f>IF($A14="","",IF(COUNTIFS(請求記録!$B$6:$B$3005,$A14,請求記録!$X$6:$X$3005,Q$5,請求記録!$AD$6:$AD$3005,"保留中")&gt;0,"保留",IF(COUNTIFS(請求記録!$B$6:$B$3005,$A14,請求記録!$X$6:$X$3005,Q$5)=0,"",SUMIFS(請求記録!$AC$6:$AC$3005,請求記録!$B$6:$B$3005,$A14,請求記録!$X$6:$X$3005,Q$5))))</f>
        <v/>
      </c>
      <c r="R14" s="19">
        <f>IF($A14="","",IF(COUNTIFS(請求記録!$B$6:$B$3005,$A14,請求記録!$X$6:$X$3005,R$5,請求記録!$AD$6:$AD$3005,"保留中")&gt;0,"保留",IF(COUNTIFS(請求記録!$B$6:$B$3005,$A14,請求記録!$X$6:$X$3005,R$5)=0,"",SUMIFS(請求記録!$AC$6:$AC$3005,請求記録!$B$6:$B$3005,$A14,請求記録!$X$6:$X$3005,R$5))))</f>
        <v/>
      </c>
      <c r="S14" s="19">
        <f>IF($A14="","",IF(COUNTIFS(請求記録!$B$6:$B$3005,$A14,請求記録!$X$6:$X$3005,S$5,請求記録!$AD$6:$AD$3005,"保留中")&gt;0,"保留",IF(COUNTIFS(請求記録!$B$6:$B$3005,$A14,請求記録!$X$6:$X$3005,S$5)=0,"",SUMIFS(請求記録!$AC$6:$AC$3005,請求記録!$B$6:$B$3005,$A14,請求記録!$X$6:$X$3005,S$5))))</f>
        <v/>
      </c>
      <c r="T14" s="19">
        <f>IF($A14="","",IF(COUNTIFS(請求記録!$B$6:$B$3005,$A14,請求記録!$X$6:$X$3005,T$5,請求記録!$AD$6:$AD$3005,"保留中")&gt;0,"保留",IF(COUNTIFS(請求記録!$B$6:$B$3005,$A14,請求記録!$X$6:$X$3005,T$5)=0,"",SUMIFS(請求記録!$AC$6:$AC$3005,請求記録!$B$6:$B$3005,$A14,請求記録!$X$6:$X$3005,T$5))))</f>
        <v/>
      </c>
      <c r="U14" s="19">
        <f>IF($A14="","",IF(COUNTIFS(請求記録!$B$6:$B$3005,$A14,請求記録!$X$6:$X$3005,U$5,請求記録!$AD$6:$AD$3005,"保留中")&gt;0,"保留",IF(COUNTIFS(請求記録!$B$6:$B$3005,$A14,請求記録!$X$6:$X$3005,U$5)=0,"",SUMIFS(請求記録!$AC$6:$AC$3005,請求記録!$B$6:$B$3005,$A14,請求記録!$X$6:$X$3005,U$5))))</f>
        <v/>
      </c>
      <c r="V14" s="19">
        <f>IF($A14="","",IF(COUNTIFS(請求記録!$B$6:$B$3005,$A14,請求記録!$X$6:$X$3005,V$5,請求記録!$AD$6:$AD$3005,"保留中")&gt;0,"保留",IF(COUNTIFS(請求記録!$B$6:$B$3005,$A14,請求記録!$X$6:$X$3005,V$5)=0,"",SUMIFS(請求記録!$AC$6:$AC$3005,請求記録!$B$6:$B$3005,$A14,請求記録!$X$6:$X$3005,V$5))))</f>
        <v/>
      </c>
      <c r="W14" s="19">
        <f>IF($A14="","",IF(COUNTIFS(請求記録!$B$6:$B$3005,$A14,請求記録!$X$6:$X$3005,W$5,請求記録!$AD$6:$AD$3005,"保留中")&gt;0,"保留",IF(COUNTIFS(請求記録!$B$6:$B$3005,$A14,請求記録!$X$6:$X$3005,W$5)=0,"",SUMIFS(請求記録!$AC$6:$AC$3005,請求記録!$B$6:$B$3005,$A14,請求記録!$X$6:$X$3005,W$5))))</f>
        <v/>
      </c>
      <c r="X14" s="19">
        <f>IF($A14="","",IF(COUNTIFS(請求記録!$B$6:$B$3005,$A14,請求記録!$X$6:$X$3005,X$5,請求記録!$AD$6:$AD$3005,"保留中")&gt;0,"保留",IF(COUNTIFS(請求記録!$B$6:$B$3005,$A14,請求記録!$X$6:$X$3005,X$5)=0,"",SUMIFS(請求記録!$AC$6:$AC$3005,請求記録!$B$6:$B$3005,$A14,請求記録!$X$6:$X$3005,X$5))))</f>
        <v/>
      </c>
      <c r="Y14" s="19">
        <f>IF($A14="","",IF(COUNTIFS(請求記録!$B$6:$B$3005,$A14,請求記録!$X$6:$X$3005,Y$5,請求記録!$AD$6:$AD$3005,"保留中")&gt;0,"保留",IF(COUNTIFS(請求記録!$B$6:$B$3005,$A14,請求記録!$X$6:$X$3005,Y$5)=0,"",SUMIFS(請求記録!$AC$6:$AC$3005,請求記録!$B$6:$B$3005,$A14,請求記録!$X$6:$X$3005,Y$5))))</f>
        <v/>
      </c>
      <c r="Z14" s="19">
        <f>IF($A14="","",IF(COUNTIFS(請求記録!$B$6:$B$3005,$A14,請求記録!$X$6:$X$3005,Z$5,請求記録!$AD$6:$AD$3005,"保留中")&gt;0,"保留",IF(COUNTIFS(請求記録!$B$6:$B$3005,$A14,請求記録!$X$6:$X$3005,Z$5)=0,"",SUMIFS(請求記録!$AC$6:$AC$3005,請求記録!$B$6:$B$3005,$A14,請求記録!$X$6:$X$3005,Z$5))))</f>
        <v/>
      </c>
      <c r="AA14" s="19">
        <f>IF($A14="","",IF(COUNTIFS(請求記録!$B$6:$B$3005,$A14,請求記録!$X$6:$X$3005,AA$5,請求記録!$AD$6:$AD$3005,"保留中")&gt;0,"保留",IF(COUNTIFS(請求記録!$B$6:$B$3005,$A14,請求記録!$X$6:$X$3005,AA$5)=0,"",SUMIFS(請求記録!$AC$6:$AC$3005,請求記録!$B$6:$B$3005,$A14,請求記録!$X$6:$X$3005,AA$5))))</f>
        <v/>
      </c>
      <c r="AB14">
        <f>IF(職員マスタ!P14="保留中",職員マスタ!M14,"")</f>
        <v/>
      </c>
    </row>
    <row r="15">
      <c r="A15">
        <f>IF(職員マスタ!A15="","",職員マスタ!A15)</f>
        <v/>
      </c>
      <c r="B15">
        <f>IF($A15="","",職員マスタ!B15)</f>
        <v/>
      </c>
      <c r="C15">
        <f>IF($A15="","",職員マスタ!C15)</f>
        <v/>
      </c>
      <c r="D15" s="19">
        <f>IF($A15="","",IF(COUNTIFS(請求記録!$B$6:$B$3005,$A15,請求記録!$X$6:$X$3005,D$5,請求記録!$AD$6:$AD$3005,"保留中")&gt;0,"保留",IF(COUNTIFS(請求記録!$B$6:$B$3005,$A15,請求記録!$X$6:$X$3005,D$5)=0,"",SUMIFS(請求記録!$AC$6:$AC$3005,請求記録!$B$6:$B$3005,$A15,請求記録!$X$6:$X$3005,D$5))))</f>
        <v/>
      </c>
      <c r="E15" s="19">
        <f>IF($A15="","",IF(COUNTIFS(請求記録!$B$6:$B$3005,$A15,請求記録!$X$6:$X$3005,E$5,請求記録!$AD$6:$AD$3005,"保留中")&gt;0,"保留",IF(COUNTIFS(請求記録!$B$6:$B$3005,$A15,請求記録!$X$6:$X$3005,E$5)=0,"",SUMIFS(請求記録!$AC$6:$AC$3005,請求記録!$B$6:$B$3005,$A15,請求記録!$X$6:$X$3005,E$5))))</f>
        <v/>
      </c>
      <c r="F15" s="19">
        <f>IF($A15="","",IF(COUNTIFS(請求記録!$B$6:$B$3005,$A15,請求記録!$X$6:$X$3005,F$5,請求記録!$AD$6:$AD$3005,"保留中")&gt;0,"保留",IF(COUNTIFS(請求記録!$B$6:$B$3005,$A15,請求記録!$X$6:$X$3005,F$5)=0,"",SUMIFS(請求記録!$AC$6:$AC$3005,請求記録!$B$6:$B$3005,$A15,請求記録!$X$6:$X$3005,F$5))))</f>
        <v/>
      </c>
      <c r="G15" s="19">
        <f>IF($A15="","",IF(COUNTIFS(請求記録!$B$6:$B$3005,$A15,請求記録!$X$6:$X$3005,G$5,請求記録!$AD$6:$AD$3005,"保留中")&gt;0,"保留",IF(COUNTIFS(請求記録!$B$6:$B$3005,$A15,請求記録!$X$6:$X$3005,G$5)=0,"",SUMIFS(請求記録!$AC$6:$AC$3005,請求記録!$B$6:$B$3005,$A15,請求記録!$X$6:$X$3005,G$5))))</f>
        <v/>
      </c>
      <c r="H15" s="19">
        <f>IF($A15="","",IF(COUNTIFS(請求記録!$B$6:$B$3005,$A15,請求記録!$X$6:$X$3005,H$5,請求記録!$AD$6:$AD$3005,"保留中")&gt;0,"保留",IF(COUNTIFS(請求記録!$B$6:$B$3005,$A15,請求記録!$X$6:$X$3005,H$5)=0,"",SUMIFS(請求記録!$AC$6:$AC$3005,請求記録!$B$6:$B$3005,$A15,請求記録!$X$6:$X$3005,H$5))))</f>
        <v/>
      </c>
      <c r="I15" s="19">
        <f>IF($A15="","",IF(COUNTIFS(請求記録!$B$6:$B$3005,$A15,請求記録!$X$6:$X$3005,I$5,請求記録!$AD$6:$AD$3005,"保留中")&gt;0,"保留",IF(COUNTIFS(請求記録!$B$6:$B$3005,$A15,請求記録!$X$6:$X$3005,I$5)=0,"",SUMIFS(請求記録!$AC$6:$AC$3005,請求記録!$B$6:$B$3005,$A15,請求記録!$X$6:$X$3005,I$5))))</f>
        <v/>
      </c>
      <c r="J15" s="19">
        <f>IF($A15="","",IF(COUNTIFS(請求記録!$B$6:$B$3005,$A15,請求記録!$X$6:$X$3005,J$5,請求記録!$AD$6:$AD$3005,"保留中")&gt;0,"保留",IF(COUNTIFS(請求記録!$B$6:$B$3005,$A15,請求記録!$X$6:$X$3005,J$5)=0,"",SUMIFS(請求記録!$AC$6:$AC$3005,請求記録!$B$6:$B$3005,$A15,請求記録!$X$6:$X$3005,J$5))))</f>
        <v/>
      </c>
      <c r="K15" s="19">
        <f>IF($A15="","",IF(COUNTIFS(請求記録!$B$6:$B$3005,$A15,請求記録!$X$6:$X$3005,K$5,請求記録!$AD$6:$AD$3005,"保留中")&gt;0,"保留",IF(COUNTIFS(請求記録!$B$6:$B$3005,$A15,請求記録!$X$6:$X$3005,K$5)=0,"",SUMIFS(請求記録!$AC$6:$AC$3005,請求記録!$B$6:$B$3005,$A15,請求記録!$X$6:$X$3005,K$5))))</f>
        <v/>
      </c>
      <c r="L15" s="19">
        <f>IF($A15="","",IF(COUNTIFS(請求記録!$B$6:$B$3005,$A15,請求記録!$X$6:$X$3005,L$5,請求記録!$AD$6:$AD$3005,"保留中")&gt;0,"保留",IF(COUNTIFS(請求記録!$B$6:$B$3005,$A15,請求記録!$X$6:$X$3005,L$5)=0,"",SUMIFS(請求記録!$AC$6:$AC$3005,請求記録!$B$6:$B$3005,$A15,請求記録!$X$6:$X$3005,L$5))))</f>
        <v/>
      </c>
      <c r="M15" s="19">
        <f>IF($A15="","",IF(COUNTIFS(請求記録!$B$6:$B$3005,$A15,請求記録!$X$6:$X$3005,M$5,請求記録!$AD$6:$AD$3005,"保留中")&gt;0,"保留",IF(COUNTIFS(請求記録!$B$6:$B$3005,$A15,請求記録!$X$6:$X$3005,M$5)=0,"",SUMIFS(請求記録!$AC$6:$AC$3005,請求記録!$B$6:$B$3005,$A15,請求記録!$X$6:$X$3005,M$5))))</f>
        <v/>
      </c>
      <c r="N15" s="19">
        <f>IF($A15="","",IF(COUNTIFS(請求記録!$B$6:$B$3005,$A15,請求記録!$X$6:$X$3005,N$5,請求記録!$AD$6:$AD$3005,"保留中")&gt;0,"保留",IF(COUNTIFS(請求記録!$B$6:$B$3005,$A15,請求記録!$X$6:$X$3005,N$5)=0,"",SUMIFS(請求記録!$AC$6:$AC$3005,請求記録!$B$6:$B$3005,$A15,請求記録!$X$6:$X$3005,N$5))))</f>
        <v/>
      </c>
      <c r="O15" s="19">
        <f>IF($A15="","",IF(COUNTIFS(請求記録!$B$6:$B$3005,$A15,請求記録!$X$6:$X$3005,O$5,請求記録!$AD$6:$AD$3005,"保留中")&gt;0,"保留",IF(COUNTIFS(請求記録!$B$6:$B$3005,$A15,請求記録!$X$6:$X$3005,O$5)=0,"",SUMIFS(請求記録!$AC$6:$AC$3005,請求記録!$B$6:$B$3005,$A15,請求記録!$X$6:$X$3005,O$5))))</f>
        <v/>
      </c>
      <c r="P15" s="19">
        <f>IF($A15="","",IF(COUNTIFS(請求記録!$B$6:$B$3005,$A15,請求記録!$X$6:$X$3005,P$5,請求記録!$AD$6:$AD$3005,"保留中")&gt;0,"保留",IF(COUNTIFS(請求記録!$B$6:$B$3005,$A15,請求記録!$X$6:$X$3005,P$5)=0,"",SUMIFS(請求記録!$AC$6:$AC$3005,請求記録!$B$6:$B$3005,$A15,請求記録!$X$6:$X$3005,P$5))))</f>
        <v/>
      </c>
      <c r="Q15" s="19">
        <f>IF($A15="","",IF(COUNTIFS(請求記録!$B$6:$B$3005,$A15,請求記録!$X$6:$X$3005,Q$5,請求記録!$AD$6:$AD$3005,"保留中")&gt;0,"保留",IF(COUNTIFS(請求記録!$B$6:$B$3005,$A15,請求記録!$X$6:$X$3005,Q$5)=0,"",SUMIFS(請求記録!$AC$6:$AC$3005,請求記録!$B$6:$B$3005,$A15,請求記録!$X$6:$X$3005,Q$5))))</f>
        <v/>
      </c>
      <c r="R15" s="19">
        <f>IF($A15="","",IF(COUNTIFS(請求記録!$B$6:$B$3005,$A15,請求記録!$X$6:$X$3005,R$5,請求記録!$AD$6:$AD$3005,"保留中")&gt;0,"保留",IF(COUNTIFS(請求記録!$B$6:$B$3005,$A15,請求記録!$X$6:$X$3005,R$5)=0,"",SUMIFS(請求記録!$AC$6:$AC$3005,請求記録!$B$6:$B$3005,$A15,請求記録!$X$6:$X$3005,R$5))))</f>
        <v/>
      </c>
      <c r="S15" s="19">
        <f>IF($A15="","",IF(COUNTIFS(請求記録!$B$6:$B$3005,$A15,請求記録!$X$6:$X$3005,S$5,請求記録!$AD$6:$AD$3005,"保留中")&gt;0,"保留",IF(COUNTIFS(請求記録!$B$6:$B$3005,$A15,請求記録!$X$6:$X$3005,S$5)=0,"",SUMIFS(請求記録!$AC$6:$AC$3005,請求記録!$B$6:$B$3005,$A15,請求記録!$X$6:$X$3005,S$5))))</f>
        <v/>
      </c>
      <c r="T15" s="19">
        <f>IF($A15="","",IF(COUNTIFS(請求記録!$B$6:$B$3005,$A15,請求記録!$X$6:$X$3005,T$5,請求記録!$AD$6:$AD$3005,"保留中")&gt;0,"保留",IF(COUNTIFS(請求記録!$B$6:$B$3005,$A15,請求記録!$X$6:$X$3005,T$5)=0,"",SUMIFS(請求記録!$AC$6:$AC$3005,請求記録!$B$6:$B$3005,$A15,請求記録!$X$6:$X$3005,T$5))))</f>
        <v/>
      </c>
      <c r="U15" s="19">
        <f>IF($A15="","",IF(COUNTIFS(請求記録!$B$6:$B$3005,$A15,請求記録!$X$6:$X$3005,U$5,請求記録!$AD$6:$AD$3005,"保留中")&gt;0,"保留",IF(COUNTIFS(請求記録!$B$6:$B$3005,$A15,請求記録!$X$6:$X$3005,U$5)=0,"",SUMIFS(請求記録!$AC$6:$AC$3005,請求記録!$B$6:$B$3005,$A15,請求記録!$X$6:$X$3005,U$5))))</f>
        <v/>
      </c>
      <c r="V15" s="19">
        <f>IF($A15="","",IF(COUNTIFS(請求記録!$B$6:$B$3005,$A15,請求記録!$X$6:$X$3005,V$5,請求記録!$AD$6:$AD$3005,"保留中")&gt;0,"保留",IF(COUNTIFS(請求記録!$B$6:$B$3005,$A15,請求記録!$X$6:$X$3005,V$5)=0,"",SUMIFS(請求記録!$AC$6:$AC$3005,請求記録!$B$6:$B$3005,$A15,請求記録!$X$6:$X$3005,V$5))))</f>
        <v/>
      </c>
      <c r="W15" s="19">
        <f>IF($A15="","",IF(COUNTIFS(請求記録!$B$6:$B$3005,$A15,請求記録!$X$6:$X$3005,W$5,請求記録!$AD$6:$AD$3005,"保留中")&gt;0,"保留",IF(COUNTIFS(請求記録!$B$6:$B$3005,$A15,請求記録!$X$6:$X$3005,W$5)=0,"",SUMIFS(請求記録!$AC$6:$AC$3005,請求記録!$B$6:$B$3005,$A15,請求記録!$X$6:$X$3005,W$5))))</f>
        <v/>
      </c>
      <c r="X15" s="19">
        <f>IF($A15="","",IF(COUNTIFS(請求記録!$B$6:$B$3005,$A15,請求記録!$X$6:$X$3005,X$5,請求記録!$AD$6:$AD$3005,"保留中")&gt;0,"保留",IF(COUNTIFS(請求記録!$B$6:$B$3005,$A15,請求記録!$X$6:$X$3005,X$5)=0,"",SUMIFS(請求記録!$AC$6:$AC$3005,請求記録!$B$6:$B$3005,$A15,請求記録!$X$6:$X$3005,X$5))))</f>
        <v/>
      </c>
      <c r="Y15" s="19">
        <f>IF($A15="","",IF(COUNTIFS(請求記録!$B$6:$B$3005,$A15,請求記録!$X$6:$X$3005,Y$5,請求記録!$AD$6:$AD$3005,"保留中")&gt;0,"保留",IF(COUNTIFS(請求記録!$B$6:$B$3005,$A15,請求記録!$X$6:$X$3005,Y$5)=0,"",SUMIFS(請求記録!$AC$6:$AC$3005,請求記録!$B$6:$B$3005,$A15,請求記録!$X$6:$X$3005,Y$5))))</f>
        <v/>
      </c>
      <c r="Z15" s="19">
        <f>IF($A15="","",IF(COUNTIFS(請求記録!$B$6:$B$3005,$A15,請求記録!$X$6:$X$3005,Z$5,請求記録!$AD$6:$AD$3005,"保留中")&gt;0,"保留",IF(COUNTIFS(請求記録!$B$6:$B$3005,$A15,請求記録!$X$6:$X$3005,Z$5)=0,"",SUMIFS(請求記録!$AC$6:$AC$3005,請求記録!$B$6:$B$3005,$A15,請求記録!$X$6:$X$3005,Z$5))))</f>
        <v/>
      </c>
      <c r="AA15" s="19">
        <f>IF($A15="","",IF(COUNTIFS(請求記録!$B$6:$B$3005,$A15,請求記録!$X$6:$X$3005,AA$5,請求記録!$AD$6:$AD$3005,"保留中")&gt;0,"保留",IF(COUNTIFS(請求記録!$B$6:$B$3005,$A15,請求記録!$X$6:$X$3005,AA$5)=0,"",SUMIFS(請求記録!$AC$6:$AC$3005,請求記録!$B$6:$B$3005,$A15,請求記録!$X$6:$X$3005,AA$5))))</f>
        <v/>
      </c>
      <c r="AB15">
        <f>IF(職員マスタ!P15="保留中",職員マスタ!M15,"")</f>
        <v/>
      </c>
    </row>
    <row r="16">
      <c r="A16">
        <f>IF(職員マスタ!A16="","",職員マスタ!A16)</f>
        <v/>
      </c>
      <c r="B16">
        <f>IF($A16="","",職員マスタ!B16)</f>
        <v/>
      </c>
      <c r="C16">
        <f>IF($A16="","",職員マスタ!C16)</f>
        <v/>
      </c>
      <c r="D16" s="19">
        <f>IF($A16="","",IF(COUNTIFS(請求記録!$B$6:$B$3005,$A16,請求記録!$X$6:$X$3005,D$5,請求記録!$AD$6:$AD$3005,"保留中")&gt;0,"保留",IF(COUNTIFS(請求記録!$B$6:$B$3005,$A16,請求記録!$X$6:$X$3005,D$5)=0,"",SUMIFS(請求記録!$AC$6:$AC$3005,請求記録!$B$6:$B$3005,$A16,請求記録!$X$6:$X$3005,D$5))))</f>
        <v/>
      </c>
      <c r="E16" s="19">
        <f>IF($A16="","",IF(COUNTIFS(請求記録!$B$6:$B$3005,$A16,請求記録!$X$6:$X$3005,E$5,請求記録!$AD$6:$AD$3005,"保留中")&gt;0,"保留",IF(COUNTIFS(請求記録!$B$6:$B$3005,$A16,請求記録!$X$6:$X$3005,E$5)=0,"",SUMIFS(請求記録!$AC$6:$AC$3005,請求記録!$B$6:$B$3005,$A16,請求記録!$X$6:$X$3005,E$5))))</f>
        <v/>
      </c>
      <c r="F16" s="19">
        <f>IF($A16="","",IF(COUNTIFS(請求記録!$B$6:$B$3005,$A16,請求記録!$X$6:$X$3005,F$5,請求記録!$AD$6:$AD$3005,"保留中")&gt;0,"保留",IF(COUNTIFS(請求記録!$B$6:$B$3005,$A16,請求記録!$X$6:$X$3005,F$5)=0,"",SUMIFS(請求記録!$AC$6:$AC$3005,請求記録!$B$6:$B$3005,$A16,請求記録!$X$6:$X$3005,F$5))))</f>
        <v/>
      </c>
      <c r="G16" s="19">
        <f>IF($A16="","",IF(COUNTIFS(請求記録!$B$6:$B$3005,$A16,請求記録!$X$6:$X$3005,G$5,請求記録!$AD$6:$AD$3005,"保留中")&gt;0,"保留",IF(COUNTIFS(請求記録!$B$6:$B$3005,$A16,請求記録!$X$6:$X$3005,G$5)=0,"",SUMIFS(請求記録!$AC$6:$AC$3005,請求記録!$B$6:$B$3005,$A16,請求記録!$X$6:$X$3005,G$5))))</f>
        <v/>
      </c>
      <c r="H16" s="19">
        <f>IF($A16="","",IF(COUNTIFS(請求記録!$B$6:$B$3005,$A16,請求記録!$X$6:$X$3005,H$5,請求記録!$AD$6:$AD$3005,"保留中")&gt;0,"保留",IF(COUNTIFS(請求記録!$B$6:$B$3005,$A16,請求記録!$X$6:$X$3005,H$5)=0,"",SUMIFS(請求記録!$AC$6:$AC$3005,請求記録!$B$6:$B$3005,$A16,請求記録!$X$6:$X$3005,H$5))))</f>
        <v/>
      </c>
      <c r="I16" s="19">
        <f>IF($A16="","",IF(COUNTIFS(請求記録!$B$6:$B$3005,$A16,請求記録!$X$6:$X$3005,I$5,請求記録!$AD$6:$AD$3005,"保留中")&gt;0,"保留",IF(COUNTIFS(請求記録!$B$6:$B$3005,$A16,請求記録!$X$6:$X$3005,I$5)=0,"",SUMIFS(請求記録!$AC$6:$AC$3005,請求記録!$B$6:$B$3005,$A16,請求記録!$X$6:$X$3005,I$5))))</f>
        <v/>
      </c>
      <c r="J16" s="19">
        <f>IF($A16="","",IF(COUNTIFS(請求記録!$B$6:$B$3005,$A16,請求記録!$X$6:$X$3005,J$5,請求記録!$AD$6:$AD$3005,"保留中")&gt;0,"保留",IF(COUNTIFS(請求記録!$B$6:$B$3005,$A16,請求記録!$X$6:$X$3005,J$5)=0,"",SUMIFS(請求記録!$AC$6:$AC$3005,請求記録!$B$6:$B$3005,$A16,請求記録!$X$6:$X$3005,J$5))))</f>
        <v/>
      </c>
      <c r="K16" s="19">
        <f>IF($A16="","",IF(COUNTIFS(請求記録!$B$6:$B$3005,$A16,請求記録!$X$6:$X$3005,K$5,請求記録!$AD$6:$AD$3005,"保留中")&gt;0,"保留",IF(COUNTIFS(請求記録!$B$6:$B$3005,$A16,請求記録!$X$6:$X$3005,K$5)=0,"",SUMIFS(請求記録!$AC$6:$AC$3005,請求記録!$B$6:$B$3005,$A16,請求記録!$X$6:$X$3005,K$5))))</f>
        <v/>
      </c>
      <c r="L16" s="19">
        <f>IF($A16="","",IF(COUNTIFS(請求記録!$B$6:$B$3005,$A16,請求記録!$X$6:$X$3005,L$5,請求記録!$AD$6:$AD$3005,"保留中")&gt;0,"保留",IF(COUNTIFS(請求記録!$B$6:$B$3005,$A16,請求記録!$X$6:$X$3005,L$5)=0,"",SUMIFS(請求記録!$AC$6:$AC$3005,請求記録!$B$6:$B$3005,$A16,請求記録!$X$6:$X$3005,L$5))))</f>
        <v/>
      </c>
      <c r="M16" s="19">
        <f>IF($A16="","",IF(COUNTIFS(請求記録!$B$6:$B$3005,$A16,請求記録!$X$6:$X$3005,M$5,請求記録!$AD$6:$AD$3005,"保留中")&gt;0,"保留",IF(COUNTIFS(請求記録!$B$6:$B$3005,$A16,請求記録!$X$6:$X$3005,M$5)=0,"",SUMIFS(請求記録!$AC$6:$AC$3005,請求記録!$B$6:$B$3005,$A16,請求記録!$X$6:$X$3005,M$5))))</f>
        <v/>
      </c>
      <c r="N16" s="19">
        <f>IF($A16="","",IF(COUNTIFS(請求記録!$B$6:$B$3005,$A16,請求記録!$X$6:$X$3005,N$5,請求記録!$AD$6:$AD$3005,"保留中")&gt;0,"保留",IF(COUNTIFS(請求記録!$B$6:$B$3005,$A16,請求記録!$X$6:$X$3005,N$5)=0,"",SUMIFS(請求記録!$AC$6:$AC$3005,請求記録!$B$6:$B$3005,$A16,請求記録!$X$6:$X$3005,N$5))))</f>
        <v/>
      </c>
      <c r="O16" s="19">
        <f>IF($A16="","",IF(COUNTIFS(請求記録!$B$6:$B$3005,$A16,請求記録!$X$6:$X$3005,O$5,請求記録!$AD$6:$AD$3005,"保留中")&gt;0,"保留",IF(COUNTIFS(請求記録!$B$6:$B$3005,$A16,請求記録!$X$6:$X$3005,O$5)=0,"",SUMIFS(請求記録!$AC$6:$AC$3005,請求記録!$B$6:$B$3005,$A16,請求記録!$X$6:$X$3005,O$5))))</f>
        <v/>
      </c>
      <c r="P16" s="19">
        <f>IF($A16="","",IF(COUNTIFS(請求記録!$B$6:$B$3005,$A16,請求記録!$X$6:$X$3005,P$5,請求記録!$AD$6:$AD$3005,"保留中")&gt;0,"保留",IF(COUNTIFS(請求記録!$B$6:$B$3005,$A16,請求記録!$X$6:$X$3005,P$5)=0,"",SUMIFS(請求記録!$AC$6:$AC$3005,請求記録!$B$6:$B$3005,$A16,請求記録!$X$6:$X$3005,P$5))))</f>
        <v/>
      </c>
      <c r="Q16" s="19">
        <f>IF($A16="","",IF(COUNTIFS(請求記録!$B$6:$B$3005,$A16,請求記録!$X$6:$X$3005,Q$5,請求記録!$AD$6:$AD$3005,"保留中")&gt;0,"保留",IF(COUNTIFS(請求記録!$B$6:$B$3005,$A16,請求記録!$X$6:$X$3005,Q$5)=0,"",SUMIFS(請求記録!$AC$6:$AC$3005,請求記録!$B$6:$B$3005,$A16,請求記録!$X$6:$X$3005,Q$5))))</f>
        <v/>
      </c>
      <c r="R16" s="19">
        <f>IF($A16="","",IF(COUNTIFS(請求記録!$B$6:$B$3005,$A16,請求記録!$X$6:$X$3005,R$5,請求記録!$AD$6:$AD$3005,"保留中")&gt;0,"保留",IF(COUNTIFS(請求記録!$B$6:$B$3005,$A16,請求記録!$X$6:$X$3005,R$5)=0,"",SUMIFS(請求記録!$AC$6:$AC$3005,請求記録!$B$6:$B$3005,$A16,請求記録!$X$6:$X$3005,R$5))))</f>
        <v/>
      </c>
      <c r="S16" s="19">
        <f>IF($A16="","",IF(COUNTIFS(請求記録!$B$6:$B$3005,$A16,請求記録!$X$6:$X$3005,S$5,請求記録!$AD$6:$AD$3005,"保留中")&gt;0,"保留",IF(COUNTIFS(請求記録!$B$6:$B$3005,$A16,請求記録!$X$6:$X$3005,S$5)=0,"",SUMIFS(請求記録!$AC$6:$AC$3005,請求記録!$B$6:$B$3005,$A16,請求記録!$X$6:$X$3005,S$5))))</f>
        <v/>
      </c>
      <c r="T16" s="19">
        <f>IF($A16="","",IF(COUNTIFS(請求記録!$B$6:$B$3005,$A16,請求記録!$X$6:$X$3005,T$5,請求記録!$AD$6:$AD$3005,"保留中")&gt;0,"保留",IF(COUNTIFS(請求記録!$B$6:$B$3005,$A16,請求記録!$X$6:$X$3005,T$5)=0,"",SUMIFS(請求記録!$AC$6:$AC$3005,請求記録!$B$6:$B$3005,$A16,請求記録!$X$6:$X$3005,T$5))))</f>
        <v/>
      </c>
      <c r="U16" s="19">
        <f>IF($A16="","",IF(COUNTIFS(請求記録!$B$6:$B$3005,$A16,請求記録!$X$6:$X$3005,U$5,請求記録!$AD$6:$AD$3005,"保留中")&gt;0,"保留",IF(COUNTIFS(請求記録!$B$6:$B$3005,$A16,請求記録!$X$6:$X$3005,U$5)=0,"",SUMIFS(請求記録!$AC$6:$AC$3005,請求記録!$B$6:$B$3005,$A16,請求記録!$X$6:$X$3005,U$5))))</f>
        <v/>
      </c>
      <c r="V16" s="19">
        <f>IF($A16="","",IF(COUNTIFS(請求記録!$B$6:$B$3005,$A16,請求記録!$X$6:$X$3005,V$5,請求記録!$AD$6:$AD$3005,"保留中")&gt;0,"保留",IF(COUNTIFS(請求記録!$B$6:$B$3005,$A16,請求記録!$X$6:$X$3005,V$5)=0,"",SUMIFS(請求記録!$AC$6:$AC$3005,請求記録!$B$6:$B$3005,$A16,請求記録!$X$6:$X$3005,V$5))))</f>
        <v/>
      </c>
      <c r="W16" s="19">
        <f>IF($A16="","",IF(COUNTIFS(請求記録!$B$6:$B$3005,$A16,請求記録!$X$6:$X$3005,W$5,請求記録!$AD$6:$AD$3005,"保留中")&gt;0,"保留",IF(COUNTIFS(請求記録!$B$6:$B$3005,$A16,請求記録!$X$6:$X$3005,W$5)=0,"",SUMIFS(請求記録!$AC$6:$AC$3005,請求記録!$B$6:$B$3005,$A16,請求記録!$X$6:$X$3005,W$5))))</f>
        <v/>
      </c>
      <c r="X16" s="19">
        <f>IF($A16="","",IF(COUNTIFS(請求記録!$B$6:$B$3005,$A16,請求記録!$X$6:$X$3005,X$5,請求記録!$AD$6:$AD$3005,"保留中")&gt;0,"保留",IF(COUNTIFS(請求記録!$B$6:$B$3005,$A16,請求記録!$X$6:$X$3005,X$5)=0,"",SUMIFS(請求記録!$AC$6:$AC$3005,請求記録!$B$6:$B$3005,$A16,請求記録!$X$6:$X$3005,X$5))))</f>
        <v/>
      </c>
      <c r="Y16" s="19">
        <f>IF($A16="","",IF(COUNTIFS(請求記録!$B$6:$B$3005,$A16,請求記録!$X$6:$X$3005,Y$5,請求記録!$AD$6:$AD$3005,"保留中")&gt;0,"保留",IF(COUNTIFS(請求記録!$B$6:$B$3005,$A16,請求記録!$X$6:$X$3005,Y$5)=0,"",SUMIFS(請求記録!$AC$6:$AC$3005,請求記録!$B$6:$B$3005,$A16,請求記録!$X$6:$X$3005,Y$5))))</f>
        <v/>
      </c>
      <c r="Z16" s="19">
        <f>IF($A16="","",IF(COUNTIFS(請求記録!$B$6:$B$3005,$A16,請求記録!$X$6:$X$3005,Z$5,請求記録!$AD$6:$AD$3005,"保留中")&gt;0,"保留",IF(COUNTIFS(請求記録!$B$6:$B$3005,$A16,請求記録!$X$6:$X$3005,Z$5)=0,"",SUMIFS(請求記録!$AC$6:$AC$3005,請求記録!$B$6:$B$3005,$A16,請求記録!$X$6:$X$3005,Z$5))))</f>
        <v/>
      </c>
      <c r="AA16" s="19">
        <f>IF($A16="","",IF(COUNTIFS(請求記録!$B$6:$B$3005,$A16,請求記録!$X$6:$X$3005,AA$5,請求記録!$AD$6:$AD$3005,"保留中")&gt;0,"保留",IF(COUNTIFS(請求記録!$B$6:$B$3005,$A16,請求記録!$X$6:$X$3005,AA$5)=0,"",SUMIFS(請求記録!$AC$6:$AC$3005,請求記録!$B$6:$B$3005,$A16,請求記録!$X$6:$X$3005,AA$5))))</f>
        <v/>
      </c>
      <c r="AB16">
        <f>IF(職員マスタ!P16="保留中",職員マスタ!M16,"")</f>
        <v/>
      </c>
    </row>
    <row r="17">
      <c r="A17">
        <f>IF(職員マスタ!A17="","",職員マスタ!A17)</f>
        <v/>
      </c>
      <c r="B17">
        <f>IF($A17="","",職員マスタ!B17)</f>
        <v/>
      </c>
      <c r="C17">
        <f>IF($A17="","",職員マスタ!C17)</f>
        <v/>
      </c>
      <c r="D17" s="19">
        <f>IF($A17="","",IF(COUNTIFS(請求記録!$B$6:$B$3005,$A17,請求記録!$X$6:$X$3005,D$5,請求記録!$AD$6:$AD$3005,"保留中")&gt;0,"保留",IF(COUNTIFS(請求記録!$B$6:$B$3005,$A17,請求記録!$X$6:$X$3005,D$5)=0,"",SUMIFS(請求記録!$AC$6:$AC$3005,請求記録!$B$6:$B$3005,$A17,請求記録!$X$6:$X$3005,D$5))))</f>
        <v/>
      </c>
      <c r="E17" s="19">
        <f>IF($A17="","",IF(COUNTIFS(請求記録!$B$6:$B$3005,$A17,請求記録!$X$6:$X$3005,E$5,請求記録!$AD$6:$AD$3005,"保留中")&gt;0,"保留",IF(COUNTIFS(請求記録!$B$6:$B$3005,$A17,請求記録!$X$6:$X$3005,E$5)=0,"",SUMIFS(請求記録!$AC$6:$AC$3005,請求記録!$B$6:$B$3005,$A17,請求記録!$X$6:$X$3005,E$5))))</f>
        <v/>
      </c>
      <c r="F17" s="19">
        <f>IF($A17="","",IF(COUNTIFS(請求記録!$B$6:$B$3005,$A17,請求記録!$X$6:$X$3005,F$5,請求記録!$AD$6:$AD$3005,"保留中")&gt;0,"保留",IF(COUNTIFS(請求記録!$B$6:$B$3005,$A17,請求記録!$X$6:$X$3005,F$5)=0,"",SUMIFS(請求記録!$AC$6:$AC$3005,請求記録!$B$6:$B$3005,$A17,請求記録!$X$6:$X$3005,F$5))))</f>
        <v/>
      </c>
      <c r="G17" s="19">
        <f>IF($A17="","",IF(COUNTIFS(請求記録!$B$6:$B$3005,$A17,請求記録!$X$6:$X$3005,G$5,請求記録!$AD$6:$AD$3005,"保留中")&gt;0,"保留",IF(COUNTIFS(請求記録!$B$6:$B$3005,$A17,請求記録!$X$6:$X$3005,G$5)=0,"",SUMIFS(請求記録!$AC$6:$AC$3005,請求記録!$B$6:$B$3005,$A17,請求記録!$X$6:$X$3005,G$5))))</f>
        <v/>
      </c>
      <c r="H17" s="19">
        <f>IF($A17="","",IF(COUNTIFS(請求記録!$B$6:$B$3005,$A17,請求記録!$X$6:$X$3005,H$5,請求記録!$AD$6:$AD$3005,"保留中")&gt;0,"保留",IF(COUNTIFS(請求記録!$B$6:$B$3005,$A17,請求記録!$X$6:$X$3005,H$5)=0,"",SUMIFS(請求記録!$AC$6:$AC$3005,請求記録!$B$6:$B$3005,$A17,請求記録!$X$6:$X$3005,H$5))))</f>
        <v/>
      </c>
      <c r="I17" s="19">
        <f>IF($A17="","",IF(COUNTIFS(請求記録!$B$6:$B$3005,$A17,請求記録!$X$6:$X$3005,I$5,請求記録!$AD$6:$AD$3005,"保留中")&gt;0,"保留",IF(COUNTIFS(請求記録!$B$6:$B$3005,$A17,請求記録!$X$6:$X$3005,I$5)=0,"",SUMIFS(請求記録!$AC$6:$AC$3005,請求記録!$B$6:$B$3005,$A17,請求記録!$X$6:$X$3005,I$5))))</f>
        <v/>
      </c>
      <c r="J17" s="19">
        <f>IF($A17="","",IF(COUNTIFS(請求記録!$B$6:$B$3005,$A17,請求記録!$X$6:$X$3005,J$5,請求記録!$AD$6:$AD$3005,"保留中")&gt;0,"保留",IF(COUNTIFS(請求記録!$B$6:$B$3005,$A17,請求記録!$X$6:$X$3005,J$5)=0,"",SUMIFS(請求記録!$AC$6:$AC$3005,請求記録!$B$6:$B$3005,$A17,請求記録!$X$6:$X$3005,J$5))))</f>
        <v/>
      </c>
      <c r="K17" s="19">
        <f>IF($A17="","",IF(COUNTIFS(請求記録!$B$6:$B$3005,$A17,請求記録!$X$6:$X$3005,K$5,請求記録!$AD$6:$AD$3005,"保留中")&gt;0,"保留",IF(COUNTIFS(請求記録!$B$6:$B$3005,$A17,請求記録!$X$6:$X$3005,K$5)=0,"",SUMIFS(請求記録!$AC$6:$AC$3005,請求記録!$B$6:$B$3005,$A17,請求記録!$X$6:$X$3005,K$5))))</f>
        <v/>
      </c>
      <c r="L17" s="19">
        <f>IF($A17="","",IF(COUNTIFS(請求記録!$B$6:$B$3005,$A17,請求記録!$X$6:$X$3005,L$5,請求記録!$AD$6:$AD$3005,"保留中")&gt;0,"保留",IF(COUNTIFS(請求記録!$B$6:$B$3005,$A17,請求記録!$X$6:$X$3005,L$5)=0,"",SUMIFS(請求記録!$AC$6:$AC$3005,請求記録!$B$6:$B$3005,$A17,請求記録!$X$6:$X$3005,L$5))))</f>
        <v/>
      </c>
      <c r="M17" s="19">
        <f>IF($A17="","",IF(COUNTIFS(請求記録!$B$6:$B$3005,$A17,請求記録!$X$6:$X$3005,M$5,請求記録!$AD$6:$AD$3005,"保留中")&gt;0,"保留",IF(COUNTIFS(請求記録!$B$6:$B$3005,$A17,請求記録!$X$6:$X$3005,M$5)=0,"",SUMIFS(請求記録!$AC$6:$AC$3005,請求記録!$B$6:$B$3005,$A17,請求記録!$X$6:$X$3005,M$5))))</f>
        <v/>
      </c>
      <c r="N17" s="19">
        <f>IF($A17="","",IF(COUNTIFS(請求記録!$B$6:$B$3005,$A17,請求記録!$X$6:$X$3005,N$5,請求記録!$AD$6:$AD$3005,"保留中")&gt;0,"保留",IF(COUNTIFS(請求記録!$B$6:$B$3005,$A17,請求記録!$X$6:$X$3005,N$5)=0,"",SUMIFS(請求記録!$AC$6:$AC$3005,請求記録!$B$6:$B$3005,$A17,請求記録!$X$6:$X$3005,N$5))))</f>
        <v/>
      </c>
      <c r="O17" s="19">
        <f>IF($A17="","",IF(COUNTIFS(請求記録!$B$6:$B$3005,$A17,請求記録!$X$6:$X$3005,O$5,請求記録!$AD$6:$AD$3005,"保留中")&gt;0,"保留",IF(COUNTIFS(請求記録!$B$6:$B$3005,$A17,請求記録!$X$6:$X$3005,O$5)=0,"",SUMIFS(請求記録!$AC$6:$AC$3005,請求記録!$B$6:$B$3005,$A17,請求記録!$X$6:$X$3005,O$5))))</f>
        <v/>
      </c>
      <c r="P17" s="19">
        <f>IF($A17="","",IF(COUNTIFS(請求記録!$B$6:$B$3005,$A17,請求記録!$X$6:$X$3005,P$5,請求記録!$AD$6:$AD$3005,"保留中")&gt;0,"保留",IF(COUNTIFS(請求記録!$B$6:$B$3005,$A17,請求記録!$X$6:$X$3005,P$5)=0,"",SUMIFS(請求記録!$AC$6:$AC$3005,請求記録!$B$6:$B$3005,$A17,請求記録!$X$6:$X$3005,P$5))))</f>
        <v/>
      </c>
      <c r="Q17" s="19">
        <f>IF($A17="","",IF(COUNTIFS(請求記録!$B$6:$B$3005,$A17,請求記録!$X$6:$X$3005,Q$5,請求記録!$AD$6:$AD$3005,"保留中")&gt;0,"保留",IF(COUNTIFS(請求記録!$B$6:$B$3005,$A17,請求記録!$X$6:$X$3005,Q$5)=0,"",SUMIFS(請求記録!$AC$6:$AC$3005,請求記録!$B$6:$B$3005,$A17,請求記録!$X$6:$X$3005,Q$5))))</f>
        <v/>
      </c>
      <c r="R17" s="19">
        <f>IF($A17="","",IF(COUNTIFS(請求記録!$B$6:$B$3005,$A17,請求記録!$X$6:$X$3005,R$5,請求記録!$AD$6:$AD$3005,"保留中")&gt;0,"保留",IF(COUNTIFS(請求記録!$B$6:$B$3005,$A17,請求記録!$X$6:$X$3005,R$5)=0,"",SUMIFS(請求記録!$AC$6:$AC$3005,請求記録!$B$6:$B$3005,$A17,請求記録!$X$6:$X$3005,R$5))))</f>
        <v/>
      </c>
      <c r="S17" s="19">
        <f>IF($A17="","",IF(COUNTIFS(請求記録!$B$6:$B$3005,$A17,請求記録!$X$6:$X$3005,S$5,請求記録!$AD$6:$AD$3005,"保留中")&gt;0,"保留",IF(COUNTIFS(請求記録!$B$6:$B$3005,$A17,請求記録!$X$6:$X$3005,S$5)=0,"",SUMIFS(請求記録!$AC$6:$AC$3005,請求記録!$B$6:$B$3005,$A17,請求記録!$X$6:$X$3005,S$5))))</f>
        <v/>
      </c>
      <c r="T17" s="19">
        <f>IF($A17="","",IF(COUNTIFS(請求記録!$B$6:$B$3005,$A17,請求記録!$X$6:$X$3005,T$5,請求記録!$AD$6:$AD$3005,"保留中")&gt;0,"保留",IF(COUNTIFS(請求記録!$B$6:$B$3005,$A17,請求記録!$X$6:$X$3005,T$5)=0,"",SUMIFS(請求記録!$AC$6:$AC$3005,請求記録!$B$6:$B$3005,$A17,請求記録!$X$6:$X$3005,T$5))))</f>
        <v/>
      </c>
      <c r="U17" s="19">
        <f>IF($A17="","",IF(COUNTIFS(請求記録!$B$6:$B$3005,$A17,請求記録!$X$6:$X$3005,U$5,請求記録!$AD$6:$AD$3005,"保留中")&gt;0,"保留",IF(COUNTIFS(請求記録!$B$6:$B$3005,$A17,請求記録!$X$6:$X$3005,U$5)=0,"",SUMIFS(請求記録!$AC$6:$AC$3005,請求記録!$B$6:$B$3005,$A17,請求記録!$X$6:$X$3005,U$5))))</f>
        <v/>
      </c>
      <c r="V17" s="19">
        <f>IF($A17="","",IF(COUNTIFS(請求記録!$B$6:$B$3005,$A17,請求記録!$X$6:$X$3005,V$5,請求記録!$AD$6:$AD$3005,"保留中")&gt;0,"保留",IF(COUNTIFS(請求記録!$B$6:$B$3005,$A17,請求記録!$X$6:$X$3005,V$5)=0,"",SUMIFS(請求記録!$AC$6:$AC$3005,請求記録!$B$6:$B$3005,$A17,請求記録!$X$6:$X$3005,V$5))))</f>
        <v/>
      </c>
      <c r="W17" s="19">
        <f>IF($A17="","",IF(COUNTIFS(請求記録!$B$6:$B$3005,$A17,請求記録!$X$6:$X$3005,W$5,請求記録!$AD$6:$AD$3005,"保留中")&gt;0,"保留",IF(COUNTIFS(請求記録!$B$6:$B$3005,$A17,請求記録!$X$6:$X$3005,W$5)=0,"",SUMIFS(請求記録!$AC$6:$AC$3005,請求記録!$B$6:$B$3005,$A17,請求記録!$X$6:$X$3005,W$5))))</f>
        <v/>
      </c>
      <c r="X17" s="19">
        <f>IF($A17="","",IF(COUNTIFS(請求記録!$B$6:$B$3005,$A17,請求記録!$X$6:$X$3005,X$5,請求記録!$AD$6:$AD$3005,"保留中")&gt;0,"保留",IF(COUNTIFS(請求記録!$B$6:$B$3005,$A17,請求記録!$X$6:$X$3005,X$5)=0,"",SUMIFS(請求記録!$AC$6:$AC$3005,請求記録!$B$6:$B$3005,$A17,請求記録!$X$6:$X$3005,X$5))))</f>
        <v/>
      </c>
      <c r="Y17" s="19">
        <f>IF($A17="","",IF(COUNTIFS(請求記録!$B$6:$B$3005,$A17,請求記録!$X$6:$X$3005,Y$5,請求記録!$AD$6:$AD$3005,"保留中")&gt;0,"保留",IF(COUNTIFS(請求記録!$B$6:$B$3005,$A17,請求記録!$X$6:$X$3005,Y$5)=0,"",SUMIFS(請求記録!$AC$6:$AC$3005,請求記録!$B$6:$B$3005,$A17,請求記録!$X$6:$X$3005,Y$5))))</f>
        <v/>
      </c>
      <c r="Z17" s="19">
        <f>IF($A17="","",IF(COUNTIFS(請求記録!$B$6:$B$3005,$A17,請求記録!$X$6:$X$3005,Z$5,請求記録!$AD$6:$AD$3005,"保留中")&gt;0,"保留",IF(COUNTIFS(請求記録!$B$6:$B$3005,$A17,請求記録!$X$6:$X$3005,Z$5)=0,"",SUMIFS(請求記録!$AC$6:$AC$3005,請求記録!$B$6:$B$3005,$A17,請求記録!$X$6:$X$3005,Z$5))))</f>
        <v/>
      </c>
      <c r="AA17" s="19">
        <f>IF($A17="","",IF(COUNTIFS(請求記録!$B$6:$B$3005,$A17,請求記録!$X$6:$X$3005,AA$5,請求記録!$AD$6:$AD$3005,"保留中")&gt;0,"保留",IF(COUNTIFS(請求記録!$B$6:$B$3005,$A17,請求記録!$X$6:$X$3005,AA$5)=0,"",SUMIFS(請求記録!$AC$6:$AC$3005,請求記録!$B$6:$B$3005,$A17,請求記録!$X$6:$X$3005,AA$5))))</f>
        <v/>
      </c>
      <c r="AB17">
        <f>IF(職員マスタ!P17="保留中",職員マスタ!M17,"")</f>
        <v/>
      </c>
    </row>
    <row r="18">
      <c r="A18">
        <f>IF(職員マスタ!A18="","",職員マスタ!A18)</f>
        <v/>
      </c>
      <c r="B18">
        <f>IF($A18="","",職員マスタ!B18)</f>
        <v/>
      </c>
      <c r="C18">
        <f>IF($A18="","",職員マスタ!C18)</f>
        <v/>
      </c>
      <c r="D18" s="19">
        <f>IF($A18="","",IF(COUNTIFS(請求記録!$B$6:$B$3005,$A18,請求記録!$X$6:$X$3005,D$5,請求記録!$AD$6:$AD$3005,"保留中")&gt;0,"保留",IF(COUNTIFS(請求記録!$B$6:$B$3005,$A18,請求記録!$X$6:$X$3005,D$5)=0,"",SUMIFS(請求記録!$AC$6:$AC$3005,請求記録!$B$6:$B$3005,$A18,請求記録!$X$6:$X$3005,D$5))))</f>
        <v/>
      </c>
      <c r="E18" s="19">
        <f>IF($A18="","",IF(COUNTIFS(請求記録!$B$6:$B$3005,$A18,請求記録!$X$6:$X$3005,E$5,請求記録!$AD$6:$AD$3005,"保留中")&gt;0,"保留",IF(COUNTIFS(請求記録!$B$6:$B$3005,$A18,請求記録!$X$6:$X$3005,E$5)=0,"",SUMIFS(請求記録!$AC$6:$AC$3005,請求記録!$B$6:$B$3005,$A18,請求記録!$X$6:$X$3005,E$5))))</f>
        <v/>
      </c>
      <c r="F18" s="19">
        <f>IF($A18="","",IF(COUNTIFS(請求記録!$B$6:$B$3005,$A18,請求記録!$X$6:$X$3005,F$5,請求記録!$AD$6:$AD$3005,"保留中")&gt;0,"保留",IF(COUNTIFS(請求記録!$B$6:$B$3005,$A18,請求記録!$X$6:$X$3005,F$5)=0,"",SUMIFS(請求記録!$AC$6:$AC$3005,請求記録!$B$6:$B$3005,$A18,請求記録!$X$6:$X$3005,F$5))))</f>
        <v/>
      </c>
      <c r="G18" s="19">
        <f>IF($A18="","",IF(COUNTIFS(請求記録!$B$6:$B$3005,$A18,請求記録!$X$6:$X$3005,G$5,請求記録!$AD$6:$AD$3005,"保留中")&gt;0,"保留",IF(COUNTIFS(請求記録!$B$6:$B$3005,$A18,請求記録!$X$6:$X$3005,G$5)=0,"",SUMIFS(請求記録!$AC$6:$AC$3005,請求記録!$B$6:$B$3005,$A18,請求記録!$X$6:$X$3005,G$5))))</f>
        <v/>
      </c>
      <c r="H18" s="19">
        <f>IF($A18="","",IF(COUNTIFS(請求記録!$B$6:$B$3005,$A18,請求記録!$X$6:$X$3005,H$5,請求記録!$AD$6:$AD$3005,"保留中")&gt;0,"保留",IF(COUNTIFS(請求記録!$B$6:$B$3005,$A18,請求記録!$X$6:$X$3005,H$5)=0,"",SUMIFS(請求記録!$AC$6:$AC$3005,請求記録!$B$6:$B$3005,$A18,請求記録!$X$6:$X$3005,H$5))))</f>
        <v/>
      </c>
      <c r="I18" s="19">
        <f>IF($A18="","",IF(COUNTIFS(請求記録!$B$6:$B$3005,$A18,請求記録!$X$6:$X$3005,I$5,請求記録!$AD$6:$AD$3005,"保留中")&gt;0,"保留",IF(COUNTIFS(請求記録!$B$6:$B$3005,$A18,請求記録!$X$6:$X$3005,I$5)=0,"",SUMIFS(請求記録!$AC$6:$AC$3005,請求記録!$B$6:$B$3005,$A18,請求記録!$X$6:$X$3005,I$5))))</f>
        <v/>
      </c>
      <c r="J18" s="19">
        <f>IF($A18="","",IF(COUNTIFS(請求記録!$B$6:$B$3005,$A18,請求記録!$X$6:$X$3005,J$5,請求記録!$AD$6:$AD$3005,"保留中")&gt;0,"保留",IF(COUNTIFS(請求記録!$B$6:$B$3005,$A18,請求記録!$X$6:$X$3005,J$5)=0,"",SUMIFS(請求記録!$AC$6:$AC$3005,請求記録!$B$6:$B$3005,$A18,請求記録!$X$6:$X$3005,J$5))))</f>
        <v/>
      </c>
      <c r="K18" s="19">
        <f>IF($A18="","",IF(COUNTIFS(請求記録!$B$6:$B$3005,$A18,請求記録!$X$6:$X$3005,K$5,請求記録!$AD$6:$AD$3005,"保留中")&gt;0,"保留",IF(COUNTIFS(請求記録!$B$6:$B$3005,$A18,請求記録!$X$6:$X$3005,K$5)=0,"",SUMIFS(請求記録!$AC$6:$AC$3005,請求記録!$B$6:$B$3005,$A18,請求記録!$X$6:$X$3005,K$5))))</f>
        <v/>
      </c>
      <c r="L18" s="19">
        <f>IF($A18="","",IF(COUNTIFS(請求記録!$B$6:$B$3005,$A18,請求記録!$X$6:$X$3005,L$5,請求記録!$AD$6:$AD$3005,"保留中")&gt;0,"保留",IF(COUNTIFS(請求記録!$B$6:$B$3005,$A18,請求記録!$X$6:$X$3005,L$5)=0,"",SUMIFS(請求記録!$AC$6:$AC$3005,請求記録!$B$6:$B$3005,$A18,請求記録!$X$6:$X$3005,L$5))))</f>
        <v/>
      </c>
      <c r="M18" s="19">
        <f>IF($A18="","",IF(COUNTIFS(請求記録!$B$6:$B$3005,$A18,請求記録!$X$6:$X$3005,M$5,請求記録!$AD$6:$AD$3005,"保留中")&gt;0,"保留",IF(COUNTIFS(請求記録!$B$6:$B$3005,$A18,請求記録!$X$6:$X$3005,M$5)=0,"",SUMIFS(請求記録!$AC$6:$AC$3005,請求記録!$B$6:$B$3005,$A18,請求記録!$X$6:$X$3005,M$5))))</f>
        <v/>
      </c>
      <c r="N18" s="19">
        <f>IF($A18="","",IF(COUNTIFS(請求記録!$B$6:$B$3005,$A18,請求記録!$X$6:$X$3005,N$5,請求記録!$AD$6:$AD$3005,"保留中")&gt;0,"保留",IF(COUNTIFS(請求記録!$B$6:$B$3005,$A18,請求記録!$X$6:$X$3005,N$5)=0,"",SUMIFS(請求記録!$AC$6:$AC$3005,請求記録!$B$6:$B$3005,$A18,請求記録!$X$6:$X$3005,N$5))))</f>
        <v/>
      </c>
      <c r="O18" s="19">
        <f>IF($A18="","",IF(COUNTIFS(請求記録!$B$6:$B$3005,$A18,請求記録!$X$6:$X$3005,O$5,請求記録!$AD$6:$AD$3005,"保留中")&gt;0,"保留",IF(COUNTIFS(請求記録!$B$6:$B$3005,$A18,請求記録!$X$6:$X$3005,O$5)=0,"",SUMIFS(請求記録!$AC$6:$AC$3005,請求記録!$B$6:$B$3005,$A18,請求記録!$X$6:$X$3005,O$5))))</f>
        <v/>
      </c>
      <c r="P18" s="19">
        <f>IF($A18="","",IF(COUNTIFS(請求記録!$B$6:$B$3005,$A18,請求記録!$X$6:$X$3005,P$5,請求記録!$AD$6:$AD$3005,"保留中")&gt;0,"保留",IF(COUNTIFS(請求記録!$B$6:$B$3005,$A18,請求記録!$X$6:$X$3005,P$5)=0,"",SUMIFS(請求記録!$AC$6:$AC$3005,請求記録!$B$6:$B$3005,$A18,請求記録!$X$6:$X$3005,P$5))))</f>
        <v/>
      </c>
      <c r="Q18" s="19">
        <f>IF($A18="","",IF(COUNTIFS(請求記録!$B$6:$B$3005,$A18,請求記録!$X$6:$X$3005,Q$5,請求記録!$AD$6:$AD$3005,"保留中")&gt;0,"保留",IF(COUNTIFS(請求記録!$B$6:$B$3005,$A18,請求記録!$X$6:$X$3005,Q$5)=0,"",SUMIFS(請求記録!$AC$6:$AC$3005,請求記録!$B$6:$B$3005,$A18,請求記録!$X$6:$X$3005,Q$5))))</f>
        <v/>
      </c>
      <c r="R18" s="19">
        <f>IF($A18="","",IF(COUNTIFS(請求記録!$B$6:$B$3005,$A18,請求記録!$X$6:$X$3005,R$5,請求記録!$AD$6:$AD$3005,"保留中")&gt;0,"保留",IF(COUNTIFS(請求記録!$B$6:$B$3005,$A18,請求記録!$X$6:$X$3005,R$5)=0,"",SUMIFS(請求記録!$AC$6:$AC$3005,請求記録!$B$6:$B$3005,$A18,請求記録!$X$6:$X$3005,R$5))))</f>
        <v/>
      </c>
      <c r="S18" s="19">
        <f>IF($A18="","",IF(COUNTIFS(請求記録!$B$6:$B$3005,$A18,請求記録!$X$6:$X$3005,S$5,請求記録!$AD$6:$AD$3005,"保留中")&gt;0,"保留",IF(COUNTIFS(請求記録!$B$6:$B$3005,$A18,請求記録!$X$6:$X$3005,S$5)=0,"",SUMIFS(請求記録!$AC$6:$AC$3005,請求記録!$B$6:$B$3005,$A18,請求記録!$X$6:$X$3005,S$5))))</f>
        <v/>
      </c>
      <c r="T18" s="19">
        <f>IF($A18="","",IF(COUNTIFS(請求記録!$B$6:$B$3005,$A18,請求記録!$X$6:$X$3005,T$5,請求記録!$AD$6:$AD$3005,"保留中")&gt;0,"保留",IF(COUNTIFS(請求記録!$B$6:$B$3005,$A18,請求記録!$X$6:$X$3005,T$5)=0,"",SUMIFS(請求記録!$AC$6:$AC$3005,請求記録!$B$6:$B$3005,$A18,請求記録!$X$6:$X$3005,T$5))))</f>
        <v/>
      </c>
      <c r="U18" s="19">
        <f>IF($A18="","",IF(COUNTIFS(請求記録!$B$6:$B$3005,$A18,請求記録!$X$6:$X$3005,U$5,請求記録!$AD$6:$AD$3005,"保留中")&gt;0,"保留",IF(COUNTIFS(請求記録!$B$6:$B$3005,$A18,請求記録!$X$6:$X$3005,U$5)=0,"",SUMIFS(請求記録!$AC$6:$AC$3005,請求記録!$B$6:$B$3005,$A18,請求記録!$X$6:$X$3005,U$5))))</f>
        <v/>
      </c>
      <c r="V18" s="19">
        <f>IF($A18="","",IF(COUNTIFS(請求記録!$B$6:$B$3005,$A18,請求記録!$X$6:$X$3005,V$5,請求記録!$AD$6:$AD$3005,"保留中")&gt;0,"保留",IF(COUNTIFS(請求記録!$B$6:$B$3005,$A18,請求記録!$X$6:$X$3005,V$5)=0,"",SUMIFS(請求記録!$AC$6:$AC$3005,請求記録!$B$6:$B$3005,$A18,請求記録!$X$6:$X$3005,V$5))))</f>
        <v/>
      </c>
      <c r="W18" s="19">
        <f>IF($A18="","",IF(COUNTIFS(請求記録!$B$6:$B$3005,$A18,請求記録!$X$6:$X$3005,W$5,請求記録!$AD$6:$AD$3005,"保留中")&gt;0,"保留",IF(COUNTIFS(請求記録!$B$6:$B$3005,$A18,請求記録!$X$6:$X$3005,W$5)=0,"",SUMIFS(請求記録!$AC$6:$AC$3005,請求記録!$B$6:$B$3005,$A18,請求記録!$X$6:$X$3005,W$5))))</f>
        <v/>
      </c>
      <c r="X18" s="19">
        <f>IF($A18="","",IF(COUNTIFS(請求記録!$B$6:$B$3005,$A18,請求記録!$X$6:$X$3005,X$5,請求記録!$AD$6:$AD$3005,"保留中")&gt;0,"保留",IF(COUNTIFS(請求記録!$B$6:$B$3005,$A18,請求記録!$X$6:$X$3005,X$5)=0,"",SUMIFS(請求記録!$AC$6:$AC$3005,請求記録!$B$6:$B$3005,$A18,請求記録!$X$6:$X$3005,X$5))))</f>
        <v/>
      </c>
      <c r="Y18" s="19">
        <f>IF($A18="","",IF(COUNTIFS(請求記録!$B$6:$B$3005,$A18,請求記録!$X$6:$X$3005,Y$5,請求記録!$AD$6:$AD$3005,"保留中")&gt;0,"保留",IF(COUNTIFS(請求記録!$B$6:$B$3005,$A18,請求記録!$X$6:$X$3005,Y$5)=0,"",SUMIFS(請求記録!$AC$6:$AC$3005,請求記録!$B$6:$B$3005,$A18,請求記録!$X$6:$X$3005,Y$5))))</f>
        <v/>
      </c>
      <c r="Z18" s="19">
        <f>IF($A18="","",IF(COUNTIFS(請求記録!$B$6:$B$3005,$A18,請求記録!$X$6:$X$3005,Z$5,請求記録!$AD$6:$AD$3005,"保留中")&gt;0,"保留",IF(COUNTIFS(請求記録!$B$6:$B$3005,$A18,請求記録!$X$6:$X$3005,Z$5)=0,"",SUMIFS(請求記録!$AC$6:$AC$3005,請求記録!$B$6:$B$3005,$A18,請求記録!$X$6:$X$3005,Z$5))))</f>
        <v/>
      </c>
      <c r="AA18" s="19">
        <f>IF($A18="","",IF(COUNTIFS(請求記録!$B$6:$B$3005,$A18,請求記録!$X$6:$X$3005,AA$5,請求記録!$AD$6:$AD$3005,"保留中")&gt;0,"保留",IF(COUNTIFS(請求記録!$B$6:$B$3005,$A18,請求記録!$X$6:$X$3005,AA$5)=0,"",SUMIFS(請求記録!$AC$6:$AC$3005,請求記録!$B$6:$B$3005,$A18,請求記録!$X$6:$X$3005,AA$5))))</f>
        <v/>
      </c>
      <c r="AB18">
        <f>IF(職員マスタ!P18="保留中",職員マスタ!M18,"")</f>
        <v/>
      </c>
    </row>
    <row r="19">
      <c r="A19">
        <f>IF(職員マスタ!A19="","",職員マスタ!A19)</f>
        <v/>
      </c>
      <c r="B19">
        <f>IF($A19="","",職員マスタ!B19)</f>
        <v/>
      </c>
      <c r="C19">
        <f>IF($A19="","",職員マスタ!C19)</f>
        <v/>
      </c>
      <c r="D19" s="19">
        <f>IF($A19="","",IF(COUNTIFS(請求記録!$B$6:$B$3005,$A19,請求記録!$X$6:$X$3005,D$5,請求記録!$AD$6:$AD$3005,"保留中")&gt;0,"保留",IF(COUNTIFS(請求記録!$B$6:$B$3005,$A19,請求記録!$X$6:$X$3005,D$5)=0,"",SUMIFS(請求記録!$AC$6:$AC$3005,請求記録!$B$6:$B$3005,$A19,請求記録!$X$6:$X$3005,D$5))))</f>
        <v/>
      </c>
      <c r="E19" s="19">
        <f>IF($A19="","",IF(COUNTIFS(請求記録!$B$6:$B$3005,$A19,請求記録!$X$6:$X$3005,E$5,請求記録!$AD$6:$AD$3005,"保留中")&gt;0,"保留",IF(COUNTIFS(請求記録!$B$6:$B$3005,$A19,請求記録!$X$6:$X$3005,E$5)=0,"",SUMIFS(請求記録!$AC$6:$AC$3005,請求記録!$B$6:$B$3005,$A19,請求記録!$X$6:$X$3005,E$5))))</f>
        <v/>
      </c>
      <c r="F19" s="19">
        <f>IF($A19="","",IF(COUNTIFS(請求記録!$B$6:$B$3005,$A19,請求記録!$X$6:$X$3005,F$5,請求記録!$AD$6:$AD$3005,"保留中")&gt;0,"保留",IF(COUNTIFS(請求記録!$B$6:$B$3005,$A19,請求記録!$X$6:$X$3005,F$5)=0,"",SUMIFS(請求記録!$AC$6:$AC$3005,請求記録!$B$6:$B$3005,$A19,請求記録!$X$6:$X$3005,F$5))))</f>
        <v/>
      </c>
      <c r="G19" s="19">
        <f>IF($A19="","",IF(COUNTIFS(請求記録!$B$6:$B$3005,$A19,請求記録!$X$6:$X$3005,G$5,請求記録!$AD$6:$AD$3005,"保留中")&gt;0,"保留",IF(COUNTIFS(請求記録!$B$6:$B$3005,$A19,請求記録!$X$6:$X$3005,G$5)=0,"",SUMIFS(請求記録!$AC$6:$AC$3005,請求記録!$B$6:$B$3005,$A19,請求記録!$X$6:$X$3005,G$5))))</f>
        <v/>
      </c>
      <c r="H19" s="19">
        <f>IF($A19="","",IF(COUNTIFS(請求記録!$B$6:$B$3005,$A19,請求記録!$X$6:$X$3005,H$5,請求記録!$AD$6:$AD$3005,"保留中")&gt;0,"保留",IF(COUNTIFS(請求記録!$B$6:$B$3005,$A19,請求記録!$X$6:$X$3005,H$5)=0,"",SUMIFS(請求記録!$AC$6:$AC$3005,請求記録!$B$6:$B$3005,$A19,請求記録!$X$6:$X$3005,H$5))))</f>
        <v/>
      </c>
      <c r="I19" s="19">
        <f>IF($A19="","",IF(COUNTIFS(請求記録!$B$6:$B$3005,$A19,請求記録!$X$6:$X$3005,I$5,請求記録!$AD$6:$AD$3005,"保留中")&gt;0,"保留",IF(COUNTIFS(請求記録!$B$6:$B$3005,$A19,請求記録!$X$6:$X$3005,I$5)=0,"",SUMIFS(請求記録!$AC$6:$AC$3005,請求記録!$B$6:$B$3005,$A19,請求記録!$X$6:$X$3005,I$5))))</f>
        <v/>
      </c>
      <c r="J19" s="19">
        <f>IF($A19="","",IF(COUNTIFS(請求記録!$B$6:$B$3005,$A19,請求記録!$X$6:$X$3005,J$5,請求記録!$AD$6:$AD$3005,"保留中")&gt;0,"保留",IF(COUNTIFS(請求記録!$B$6:$B$3005,$A19,請求記録!$X$6:$X$3005,J$5)=0,"",SUMIFS(請求記録!$AC$6:$AC$3005,請求記録!$B$6:$B$3005,$A19,請求記録!$X$6:$X$3005,J$5))))</f>
        <v/>
      </c>
      <c r="K19" s="19">
        <f>IF($A19="","",IF(COUNTIFS(請求記録!$B$6:$B$3005,$A19,請求記録!$X$6:$X$3005,K$5,請求記録!$AD$6:$AD$3005,"保留中")&gt;0,"保留",IF(COUNTIFS(請求記録!$B$6:$B$3005,$A19,請求記録!$X$6:$X$3005,K$5)=0,"",SUMIFS(請求記録!$AC$6:$AC$3005,請求記録!$B$6:$B$3005,$A19,請求記録!$X$6:$X$3005,K$5))))</f>
        <v/>
      </c>
      <c r="L19" s="19">
        <f>IF($A19="","",IF(COUNTIFS(請求記録!$B$6:$B$3005,$A19,請求記録!$X$6:$X$3005,L$5,請求記録!$AD$6:$AD$3005,"保留中")&gt;0,"保留",IF(COUNTIFS(請求記録!$B$6:$B$3005,$A19,請求記録!$X$6:$X$3005,L$5)=0,"",SUMIFS(請求記録!$AC$6:$AC$3005,請求記録!$B$6:$B$3005,$A19,請求記録!$X$6:$X$3005,L$5))))</f>
        <v/>
      </c>
      <c r="M19" s="19">
        <f>IF($A19="","",IF(COUNTIFS(請求記録!$B$6:$B$3005,$A19,請求記録!$X$6:$X$3005,M$5,請求記録!$AD$6:$AD$3005,"保留中")&gt;0,"保留",IF(COUNTIFS(請求記録!$B$6:$B$3005,$A19,請求記録!$X$6:$X$3005,M$5)=0,"",SUMIFS(請求記録!$AC$6:$AC$3005,請求記録!$B$6:$B$3005,$A19,請求記録!$X$6:$X$3005,M$5))))</f>
        <v/>
      </c>
      <c r="N19" s="19">
        <f>IF($A19="","",IF(COUNTIFS(請求記録!$B$6:$B$3005,$A19,請求記録!$X$6:$X$3005,N$5,請求記録!$AD$6:$AD$3005,"保留中")&gt;0,"保留",IF(COUNTIFS(請求記録!$B$6:$B$3005,$A19,請求記録!$X$6:$X$3005,N$5)=0,"",SUMIFS(請求記録!$AC$6:$AC$3005,請求記録!$B$6:$B$3005,$A19,請求記録!$X$6:$X$3005,N$5))))</f>
        <v/>
      </c>
      <c r="O19" s="19">
        <f>IF($A19="","",IF(COUNTIFS(請求記録!$B$6:$B$3005,$A19,請求記録!$X$6:$X$3005,O$5,請求記録!$AD$6:$AD$3005,"保留中")&gt;0,"保留",IF(COUNTIFS(請求記録!$B$6:$B$3005,$A19,請求記録!$X$6:$X$3005,O$5)=0,"",SUMIFS(請求記録!$AC$6:$AC$3005,請求記録!$B$6:$B$3005,$A19,請求記録!$X$6:$X$3005,O$5))))</f>
        <v/>
      </c>
      <c r="P19" s="19">
        <f>IF($A19="","",IF(COUNTIFS(請求記録!$B$6:$B$3005,$A19,請求記録!$X$6:$X$3005,P$5,請求記録!$AD$6:$AD$3005,"保留中")&gt;0,"保留",IF(COUNTIFS(請求記録!$B$6:$B$3005,$A19,請求記録!$X$6:$X$3005,P$5)=0,"",SUMIFS(請求記録!$AC$6:$AC$3005,請求記録!$B$6:$B$3005,$A19,請求記録!$X$6:$X$3005,P$5))))</f>
        <v/>
      </c>
      <c r="Q19" s="19">
        <f>IF($A19="","",IF(COUNTIFS(請求記録!$B$6:$B$3005,$A19,請求記録!$X$6:$X$3005,Q$5,請求記録!$AD$6:$AD$3005,"保留中")&gt;0,"保留",IF(COUNTIFS(請求記録!$B$6:$B$3005,$A19,請求記録!$X$6:$X$3005,Q$5)=0,"",SUMIFS(請求記録!$AC$6:$AC$3005,請求記録!$B$6:$B$3005,$A19,請求記録!$X$6:$X$3005,Q$5))))</f>
        <v/>
      </c>
      <c r="R19" s="19">
        <f>IF($A19="","",IF(COUNTIFS(請求記録!$B$6:$B$3005,$A19,請求記録!$X$6:$X$3005,R$5,請求記録!$AD$6:$AD$3005,"保留中")&gt;0,"保留",IF(COUNTIFS(請求記録!$B$6:$B$3005,$A19,請求記録!$X$6:$X$3005,R$5)=0,"",SUMIFS(請求記録!$AC$6:$AC$3005,請求記録!$B$6:$B$3005,$A19,請求記録!$X$6:$X$3005,R$5))))</f>
        <v/>
      </c>
      <c r="S19" s="19">
        <f>IF($A19="","",IF(COUNTIFS(請求記録!$B$6:$B$3005,$A19,請求記録!$X$6:$X$3005,S$5,請求記録!$AD$6:$AD$3005,"保留中")&gt;0,"保留",IF(COUNTIFS(請求記録!$B$6:$B$3005,$A19,請求記録!$X$6:$X$3005,S$5)=0,"",SUMIFS(請求記録!$AC$6:$AC$3005,請求記録!$B$6:$B$3005,$A19,請求記録!$X$6:$X$3005,S$5))))</f>
        <v/>
      </c>
      <c r="T19" s="19">
        <f>IF($A19="","",IF(COUNTIFS(請求記録!$B$6:$B$3005,$A19,請求記録!$X$6:$X$3005,T$5,請求記録!$AD$6:$AD$3005,"保留中")&gt;0,"保留",IF(COUNTIFS(請求記録!$B$6:$B$3005,$A19,請求記録!$X$6:$X$3005,T$5)=0,"",SUMIFS(請求記録!$AC$6:$AC$3005,請求記録!$B$6:$B$3005,$A19,請求記録!$X$6:$X$3005,T$5))))</f>
        <v/>
      </c>
      <c r="U19" s="19">
        <f>IF($A19="","",IF(COUNTIFS(請求記録!$B$6:$B$3005,$A19,請求記録!$X$6:$X$3005,U$5,請求記録!$AD$6:$AD$3005,"保留中")&gt;0,"保留",IF(COUNTIFS(請求記録!$B$6:$B$3005,$A19,請求記録!$X$6:$X$3005,U$5)=0,"",SUMIFS(請求記録!$AC$6:$AC$3005,請求記録!$B$6:$B$3005,$A19,請求記録!$X$6:$X$3005,U$5))))</f>
        <v/>
      </c>
      <c r="V19" s="19">
        <f>IF($A19="","",IF(COUNTIFS(請求記録!$B$6:$B$3005,$A19,請求記録!$X$6:$X$3005,V$5,請求記録!$AD$6:$AD$3005,"保留中")&gt;0,"保留",IF(COUNTIFS(請求記録!$B$6:$B$3005,$A19,請求記録!$X$6:$X$3005,V$5)=0,"",SUMIFS(請求記録!$AC$6:$AC$3005,請求記録!$B$6:$B$3005,$A19,請求記録!$X$6:$X$3005,V$5))))</f>
        <v/>
      </c>
      <c r="W19" s="19">
        <f>IF($A19="","",IF(COUNTIFS(請求記録!$B$6:$B$3005,$A19,請求記録!$X$6:$X$3005,W$5,請求記録!$AD$6:$AD$3005,"保留中")&gt;0,"保留",IF(COUNTIFS(請求記録!$B$6:$B$3005,$A19,請求記録!$X$6:$X$3005,W$5)=0,"",SUMIFS(請求記録!$AC$6:$AC$3005,請求記録!$B$6:$B$3005,$A19,請求記録!$X$6:$X$3005,W$5))))</f>
        <v/>
      </c>
      <c r="X19" s="19">
        <f>IF($A19="","",IF(COUNTIFS(請求記録!$B$6:$B$3005,$A19,請求記録!$X$6:$X$3005,X$5,請求記録!$AD$6:$AD$3005,"保留中")&gt;0,"保留",IF(COUNTIFS(請求記録!$B$6:$B$3005,$A19,請求記録!$X$6:$X$3005,X$5)=0,"",SUMIFS(請求記録!$AC$6:$AC$3005,請求記録!$B$6:$B$3005,$A19,請求記録!$X$6:$X$3005,X$5))))</f>
        <v/>
      </c>
      <c r="Y19" s="19">
        <f>IF($A19="","",IF(COUNTIFS(請求記録!$B$6:$B$3005,$A19,請求記録!$X$6:$X$3005,Y$5,請求記録!$AD$6:$AD$3005,"保留中")&gt;0,"保留",IF(COUNTIFS(請求記録!$B$6:$B$3005,$A19,請求記録!$X$6:$X$3005,Y$5)=0,"",SUMIFS(請求記録!$AC$6:$AC$3005,請求記録!$B$6:$B$3005,$A19,請求記録!$X$6:$X$3005,Y$5))))</f>
        <v/>
      </c>
      <c r="Z19" s="19">
        <f>IF($A19="","",IF(COUNTIFS(請求記録!$B$6:$B$3005,$A19,請求記録!$X$6:$X$3005,Z$5,請求記録!$AD$6:$AD$3005,"保留中")&gt;0,"保留",IF(COUNTIFS(請求記録!$B$6:$B$3005,$A19,請求記録!$X$6:$X$3005,Z$5)=0,"",SUMIFS(請求記録!$AC$6:$AC$3005,請求記録!$B$6:$B$3005,$A19,請求記録!$X$6:$X$3005,Z$5))))</f>
        <v/>
      </c>
      <c r="AA19" s="19">
        <f>IF($A19="","",IF(COUNTIFS(請求記録!$B$6:$B$3005,$A19,請求記録!$X$6:$X$3005,AA$5,請求記録!$AD$6:$AD$3005,"保留中")&gt;0,"保留",IF(COUNTIFS(請求記録!$B$6:$B$3005,$A19,請求記録!$X$6:$X$3005,AA$5)=0,"",SUMIFS(請求記録!$AC$6:$AC$3005,請求記録!$B$6:$B$3005,$A19,請求記録!$X$6:$X$3005,AA$5))))</f>
        <v/>
      </c>
      <c r="AB19">
        <f>IF(職員マスタ!P19="保留中",職員マスタ!M19,"")</f>
        <v/>
      </c>
    </row>
    <row r="20">
      <c r="A20">
        <f>IF(職員マスタ!A20="","",職員マスタ!A20)</f>
        <v/>
      </c>
      <c r="B20">
        <f>IF($A20="","",職員マスタ!B20)</f>
        <v/>
      </c>
      <c r="C20">
        <f>IF($A20="","",職員マスタ!C20)</f>
        <v/>
      </c>
      <c r="D20" s="19">
        <f>IF($A20="","",IF(COUNTIFS(請求記録!$B$6:$B$3005,$A20,請求記録!$X$6:$X$3005,D$5,請求記録!$AD$6:$AD$3005,"保留中")&gt;0,"保留",IF(COUNTIFS(請求記録!$B$6:$B$3005,$A20,請求記録!$X$6:$X$3005,D$5)=0,"",SUMIFS(請求記録!$AC$6:$AC$3005,請求記録!$B$6:$B$3005,$A20,請求記録!$X$6:$X$3005,D$5))))</f>
        <v/>
      </c>
      <c r="E20" s="19">
        <f>IF($A20="","",IF(COUNTIFS(請求記録!$B$6:$B$3005,$A20,請求記録!$X$6:$X$3005,E$5,請求記録!$AD$6:$AD$3005,"保留中")&gt;0,"保留",IF(COUNTIFS(請求記録!$B$6:$B$3005,$A20,請求記録!$X$6:$X$3005,E$5)=0,"",SUMIFS(請求記録!$AC$6:$AC$3005,請求記録!$B$6:$B$3005,$A20,請求記録!$X$6:$X$3005,E$5))))</f>
        <v/>
      </c>
      <c r="F20" s="19">
        <f>IF($A20="","",IF(COUNTIFS(請求記録!$B$6:$B$3005,$A20,請求記録!$X$6:$X$3005,F$5,請求記録!$AD$6:$AD$3005,"保留中")&gt;0,"保留",IF(COUNTIFS(請求記録!$B$6:$B$3005,$A20,請求記録!$X$6:$X$3005,F$5)=0,"",SUMIFS(請求記録!$AC$6:$AC$3005,請求記録!$B$6:$B$3005,$A20,請求記録!$X$6:$X$3005,F$5))))</f>
        <v/>
      </c>
      <c r="G20" s="19">
        <f>IF($A20="","",IF(COUNTIFS(請求記録!$B$6:$B$3005,$A20,請求記録!$X$6:$X$3005,G$5,請求記録!$AD$6:$AD$3005,"保留中")&gt;0,"保留",IF(COUNTIFS(請求記録!$B$6:$B$3005,$A20,請求記録!$X$6:$X$3005,G$5)=0,"",SUMIFS(請求記録!$AC$6:$AC$3005,請求記録!$B$6:$B$3005,$A20,請求記録!$X$6:$X$3005,G$5))))</f>
        <v/>
      </c>
      <c r="H20" s="19">
        <f>IF($A20="","",IF(COUNTIFS(請求記録!$B$6:$B$3005,$A20,請求記録!$X$6:$X$3005,H$5,請求記録!$AD$6:$AD$3005,"保留中")&gt;0,"保留",IF(COUNTIFS(請求記録!$B$6:$B$3005,$A20,請求記録!$X$6:$X$3005,H$5)=0,"",SUMIFS(請求記録!$AC$6:$AC$3005,請求記録!$B$6:$B$3005,$A20,請求記録!$X$6:$X$3005,H$5))))</f>
        <v/>
      </c>
      <c r="I20" s="19">
        <f>IF($A20="","",IF(COUNTIFS(請求記録!$B$6:$B$3005,$A20,請求記録!$X$6:$X$3005,I$5,請求記録!$AD$6:$AD$3005,"保留中")&gt;0,"保留",IF(COUNTIFS(請求記録!$B$6:$B$3005,$A20,請求記録!$X$6:$X$3005,I$5)=0,"",SUMIFS(請求記録!$AC$6:$AC$3005,請求記録!$B$6:$B$3005,$A20,請求記録!$X$6:$X$3005,I$5))))</f>
        <v/>
      </c>
      <c r="J20" s="19">
        <f>IF($A20="","",IF(COUNTIFS(請求記録!$B$6:$B$3005,$A20,請求記録!$X$6:$X$3005,J$5,請求記録!$AD$6:$AD$3005,"保留中")&gt;0,"保留",IF(COUNTIFS(請求記録!$B$6:$B$3005,$A20,請求記録!$X$6:$X$3005,J$5)=0,"",SUMIFS(請求記録!$AC$6:$AC$3005,請求記録!$B$6:$B$3005,$A20,請求記録!$X$6:$X$3005,J$5))))</f>
        <v/>
      </c>
      <c r="K20" s="19">
        <f>IF($A20="","",IF(COUNTIFS(請求記録!$B$6:$B$3005,$A20,請求記録!$X$6:$X$3005,K$5,請求記録!$AD$6:$AD$3005,"保留中")&gt;0,"保留",IF(COUNTIFS(請求記録!$B$6:$B$3005,$A20,請求記録!$X$6:$X$3005,K$5)=0,"",SUMIFS(請求記録!$AC$6:$AC$3005,請求記録!$B$6:$B$3005,$A20,請求記録!$X$6:$X$3005,K$5))))</f>
        <v/>
      </c>
      <c r="L20" s="19">
        <f>IF($A20="","",IF(COUNTIFS(請求記録!$B$6:$B$3005,$A20,請求記録!$X$6:$X$3005,L$5,請求記録!$AD$6:$AD$3005,"保留中")&gt;0,"保留",IF(COUNTIFS(請求記録!$B$6:$B$3005,$A20,請求記録!$X$6:$X$3005,L$5)=0,"",SUMIFS(請求記録!$AC$6:$AC$3005,請求記録!$B$6:$B$3005,$A20,請求記録!$X$6:$X$3005,L$5))))</f>
        <v/>
      </c>
      <c r="M20" s="19">
        <f>IF($A20="","",IF(COUNTIFS(請求記録!$B$6:$B$3005,$A20,請求記録!$X$6:$X$3005,M$5,請求記録!$AD$6:$AD$3005,"保留中")&gt;0,"保留",IF(COUNTIFS(請求記録!$B$6:$B$3005,$A20,請求記録!$X$6:$X$3005,M$5)=0,"",SUMIFS(請求記録!$AC$6:$AC$3005,請求記録!$B$6:$B$3005,$A20,請求記録!$X$6:$X$3005,M$5))))</f>
        <v/>
      </c>
      <c r="N20" s="19">
        <f>IF($A20="","",IF(COUNTIFS(請求記録!$B$6:$B$3005,$A20,請求記録!$X$6:$X$3005,N$5,請求記録!$AD$6:$AD$3005,"保留中")&gt;0,"保留",IF(COUNTIFS(請求記録!$B$6:$B$3005,$A20,請求記録!$X$6:$X$3005,N$5)=0,"",SUMIFS(請求記録!$AC$6:$AC$3005,請求記録!$B$6:$B$3005,$A20,請求記録!$X$6:$X$3005,N$5))))</f>
        <v/>
      </c>
      <c r="O20" s="19">
        <f>IF($A20="","",IF(COUNTIFS(請求記録!$B$6:$B$3005,$A20,請求記録!$X$6:$X$3005,O$5,請求記録!$AD$6:$AD$3005,"保留中")&gt;0,"保留",IF(COUNTIFS(請求記録!$B$6:$B$3005,$A20,請求記録!$X$6:$X$3005,O$5)=0,"",SUMIFS(請求記録!$AC$6:$AC$3005,請求記録!$B$6:$B$3005,$A20,請求記録!$X$6:$X$3005,O$5))))</f>
        <v/>
      </c>
      <c r="P20" s="19">
        <f>IF($A20="","",IF(COUNTIFS(請求記録!$B$6:$B$3005,$A20,請求記録!$X$6:$X$3005,P$5,請求記録!$AD$6:$AD$3005,"保留中")&gt;0,"保留",IF(COUNTIFS(請求記録!$B$6:$B$3005,$A20,請求記録!$X$6:$X$3005,P$5)=0,"",SUMIFS(請求記録!$AC$6:$AC$3005,請求記録!$B$6:$B$3005,$A20,請求記録!$X$6:$X$3005,P$5))))</f>
        <v/>
      </c>
      <c r="Q20" s="19">
        <f>IF($A20="","",IF(COUNTIFS(請求記録!$B$6:$B$3005,$A20,請求記録!$X$6:$X$3005,Q$5,請求記録!$AD$6:$AD$3005,"保留中")&gt;0,"保留",IF(COUNTIFS(請求記録!$B$6:$B$3005,$A20,請求記録!$X$6:$X$3005,Q$5)=0,"",SUMIFS(請求記録!$AC$6:$AC$3005,請求記録!$B$6:$B$3005,$A20,請求記録!$X$6:$X$3005,Q$5))))</f>
        <v/>
      </c>
      <c r="R20" s="19">
        <f>IF($A20="","",IF(COUNTIFS(請求記録!$B$6:$B$3005,$A20,請求記録!$X$6:$X$3005,R$5,請求記録!$AD$6:$AD$3005,"保留中")&gt;0,"保留",IF(COUNTIFS(請求記録!$B$6:$B$3005,$A20,請求記録!$X$6:$X$3005,R$5)=0,"",SUMIFS(請求記録!$AC$6:$AC$3005,請求記録!$B$6:$B$3005,$A20,請求記録!$X$6:$X$3005,R$5))))</f>
        <v/>
      </c>
      <c r="S20" s="19">
        <f>IF($A20="","",IF(COUNTIFS(請求記録!$B$6:$B$3005,$A20,請求記録!$X$6:$X$3005,S$5,請求記録!$AD$6:$AD$3005,"保留中")&gt;0,"保留",IF(COUNTIFS(請求記録!$B$6:$B$3005,$A20,請求記録!$X$6:$X$3005,S$5)=0,"",SUMIFS(請求記録!$AC$6:$AC$3005,請求記録!$B$6:$B$3005,$A20,請求記録!$X$6:$X$3005,S$5))))</f>
        <v/>
      </c>
      <c r="T20" s="19">
        <f>IF($A20="","",IF(COUNTIFS(請求記録!$B$6:$B$3005,$A20,請求記録!$X$6:$X$3005,T$5,請求記録!$AD$6:$AD$3005,"保留中")&gt;0,"保留",IF(COUNTIFS(請求記録!$B$6:$B$3005,$A20,請求記録!$X$6:$X$3005,T$5)=0,"",SUMIFS(請求記録!$AC$6:$AC$3005,請求記録!$B$6:$B$3005,$A20,請求記録!$X$6:$X$3005,T$5))))</f>
        <v/>
      </c>
      <c r="U20" s="19">
        <f>IF($A20="","",IF(COUNTIFS(請求記録!$B$6:$B$3005,$A20,請求記録!$X$6:$X$3005,U$5,請求記録!$AD$6:$AD$3005,"保留中")&gt;0,"保留",IF(COUNTIFS(請求記録!$B$6:$B$3005,$A20,請求記録!$X$6:$X$3005,U$5)=0,"",SUMIFS(請求記録!$AC$6:$AC$3005,請求記録!$B$6:$B$3005,$A20,請求記録!$X$6:$X$3005,U$5))))</f>
        <v/>
      </c>
      <c r="V20" s="19">
        <f>IF($A20="","",IF(COUNTIFS(請求記録!$B$6:$B$3005,$A20,請求記録!$X$6:$X$3005,V$5,請求記録!$AD$6:$AD$3005,"保留中")&gt;0,"保留",IF(COUNTIFS(請求記録!$B$6:$B$3005,$A20,請求記録!$X$6:$X$3005,V$5)=0,"",SUMIFS(請求記録!$AC$6:$AC$3005,請求記録!$B$6:$B$3005,$A20,請求記録!$X$6:$X$3005,V$5))))</f>
        <v/>
      </c>
      <c r="W20" s="19">
        <f>IF($A20="","",IF(COUNTIFS(請求記録!$B$6:$B$3005,$A20,請求記録!$X$6:$X$3005,W$5,請求記録!$AD$6:$AD$3005,"保留中")&gt;0,"保留",IF(COUNTIFS(請求記録!$B$6:$B$3005,$A20,請求記録!$X$6:$X$3005,W$5)=0,"",SUMIFS(請求記録!$AC$6:$AC$3005,請求記録!$B$6:$B$3005,$A20,請求記録!$X$6:$X$3005,W$5))))</f>
        <v/>
      </c>
      <c r="X20" s="19">
        <f>IF($A20="","",IF(COUNTIFS(請求記録!$B$6:$B$3005,$A20,請求記録!$X$6:$X$3005,X$5,請求記録!$AD$6:$AD$3005,"保留中")&gt;0,"保留",IF(COUNTIFS(請求記録!$B$6:$B$3005,$A20,請求記録!$X$6:$X$3005,X$5)=0,"",SUMIFS(請求記録!$AC$6:$AC$3005,請求記録!$B$6:$B$3005,$A20,請求記録!$X$6:$X$3005,X$5))))</f>
        <v/>
      </c>
      <c r="Y20" s="19">
        <f>IF($A20="","",IF(COUNTIFS(請求記録!$B$6:$B$3005,$A20,請求記録!$X$6:$X$3005,Y$5,請求記録!$AD$6:$AD$3005,"保留中")&gt;0,"保留",IF(COUNTIFS(請求記録!$B$6:$B$3005,$A20,請求記録!$X$6:$X$3005,Y$5)=0,"",SUMIFS(請求記録!$AC$6:$AC$3005,請求記録!$B$6:$B$3005,$A20,請求記録!$X$6:$X$3005,Y$5))))</f>
        <v/>
      </c>
      <c r="Z20" s="19">
        <f>IF($A20="","",IF(COUNTIFS(請求記録!$B$6:$B$3005,$A20,請求記録!$X$6:$X$3005,Z$5,請求記録!$AD$6:$AD$3005,"保留中")&gt;0,"保留",IF(COUNTIFS(請求記録!$B$6:$B$3005,$A20,請求記録!$X$6:$X$3005,Z$5)=0,"",SUMIFS(請求記録!$AC$6:$AC$3005,請求記録!$B$6:$B$3005,$A20,請求記録!$X$6:$X$3005,Z$5))))</f>
        <v/>
      </c>
      <c r="AA20" s="19">
        <f>IF($A20="","",IF(COUNTIFS(請求記録!$B$6:$B$3005,$A20,請求記録!$X$6:$X$3005,AA$5,請求記録!$AD$6:$AD$3005,"保留中")&gt;0,"保留",IF(COUNTIFS(請求記録!$B$6:$B$3005,$A20,請求記録!$X$6:$X$3005,AA$5)=0,"",SUMIFS(請求記録!$AC$6:$AC$3005,請求記録!$B$6:$B$3005,$A20,請求記録!$X$6:$X$3005,AA$5))))</f>
        <v/>
      </c>
      <c r="AB20">
        <f>IF(職員マスタ!P20="保留中",職員マスタ!M20,"")</f>
        <v/>
      </c>
    </row>
    <row r="21">
      <c r="A21">
        <f>IF(職員マスタ!A21="","",職員マスタ!A21)</f>
        <v/>
      </c>
      <c r="B21">
        <f>IF($A21="","",職員マスタ!B21)</f>
        <v/>
      </c>
      <c r="C21">
        <f>IF($A21="","",職員マスタ!C21)</f>
        <v/>
      </c>
      <c r="D21" s="19">
        <f>IF($A21="","",IF(COUNTIFS(請求記録!$B$6:$B$3005,$A21,請求記録!$X$6:$X$3005,D$5,請求記録!$AD$6:$AD$3005,"保留中")&gt;0,"保留",IF(COUNTIFS(請求記録!$B$6:$B$3005,$A21,請求記録!$X$6:$X$3005,D$5)=0,"",SUMIFS(請求記録!$AC$6:$AC$3005,請求記録!$B$6:$B$3005,$A21,請求記録!$X$6:$X$3005,D$5))))</f>
        <v/>
      </c>
      <c r="E21" s="19">
        <f>IF($A21="","",IF(COUNTIFS(請求記録!$B$6:$B$3005,$A21,請求記録!$X$6:$X$3005,E$5,請求記録!$AD$6:$AD$3005,"保留中")&gt;0,"保留",IF(COUNTIFS(請求記録!$B$6:$B$3005,$A21,請求記録!$X$6:$X$3005,E$5)=0,"",SUMIFS(請求記録!$AC$6:$AC$3005,請求記録!$B$6:$B$3005,$A21,請求記録!$X$6:$X$3005,E$5))))</f>
        <v/>
      </c>
      <c r="F21" s="19">
        <f>IF($A21="","",IF(COUNTIFS(請求記録!$B$6:$B$3005,$A21,請求記録!$X$6:$X$3005,F$5,請求記録!$AD$6:$AD$3005,"保留中")&gt;0,"保留",IF(COUNTIFS(請求記録!$B$6:$B$3005,$A21,請求記録!$X$6:$X$3005,F$5)=0,"",SUMIFS(請求記録!$AC$6:$AC$3005,請求記録!$B$6:$B$3005,$A21,請求記録!$X$6:$X$3005,F$5))))</f>
        <v/>
      </c>
      <c r="G21" s="19">
        <f>IF($A21="","",IF(COUNTIFS(請求記録!$B$6:$B$3005,$A21,請求記録!$X$6:$X$3005,G$5,請求記録!$AD$6:$AD$3005,"保留中")&gt;0,"保留",IF(COUNTIFS(請求記録!$B$6:$B$3005,$A21,請求記録!$X$6:$X$3005,G$5)=0,"",SUMIFS(請求記録!$AC$6:$AC$3005,請求記録!$B$6:$B$3005,$A21,請求記録!$X$6:$X$3005,G$5))))</f>
        <v/>
      </c>
      <c r="H21" s="19">
        <f>IF($A21="","",IF(COUNTIFS(請求記録!$B$6:$B$3005,$A21,請求記録!$X$6:$X$3005,H$5,請求記録!$AD$6:$AD$3005,"保留中")&gt;0,"保留",IF(COUNTIFS(請求記録!$B$6:$B$3005,$A21,請求記録!$X$6:$X$3005,H$5)=0,"",SUMIFS(請求記録!$AC$6:$AC$3005,請求記録!$B$6:$B$3005,$A21,請求記録!$X$6:$X$3005,H$5))))</f>
        <v/>
      </c>
      <c r="I21" s="19">
        <f>IF($A21="","",IF(COUNTIFS(請求記録!$B$6:$B$3005,$A21,請求記録!$X$6:$X$3005,I$5,請求記録!$AD$6:$AD$3005,"保留中")&gt;0,"保留",IF(COUNTIFS(請求記録!$B$6:$B$3005,$A21,請求記録!$X$6:$X$3005,I$5)=0,"",SUMIFS(請求記録!$AC$6:$AC$3005,請求記録!$B$6:$B$3005,$A21,請求記録!$X$6:$X$3005,I$5))))</f>
        <v/>
      </c>
      <c r="J21" s="19">
        <f>IF($A21="","",IF(COUNTIFS(請求記録!$B$6:$B$3005,$A21,請求記録!$X$6:$X$3005,J$5,請求記録!$AD$6:$AD$3005,"保留中")&gt;0,"保留",IF(COUNTIFS(請求記録!$B$6:$B$3005,$A21,請求記録!$X$6:$X$3005,J$5)=0,"",SUMIFS(請求記録!$AC$6:$AC$3005,請求記録!$B$6:$B$3005,$A21,請求記録!$X$6:$X$3005,J$5))))</f>
        <v/>
      </c>
      <c r="K21" s="19">
        <f>IF($A21="","",IF(COUNTIFS(請求記録!$B$6:$B$3005,$A21,請求記録!$X$6:$X$3005,K$5,請求記録!$AD$6:$AD$3005,"保留中")&gt;0,"保留",IF(COUNTIFS(請求記録!$B$6:$B$3005,$A21,請求記録!$X$6:$X$3005,K$5)=0,"",SUMIFS(請求記録!$AC$6:$AC$3005,請求記録!$B$6:$B$3005,$A21,請求記録!$X$6:$X$3005,K$5))))</f>
        <v/>
      </c>
      <c r="L21" s="19">
        <f>IF($A21="","",IF(COUNTIFS(請求記録!$B$6:$B$3005,$A21,請求記録!$X$6:$X$3005,L$5,請求記録!$AD$6:$AD$3005,"保留中")&gt;0,"保留",IF(COUNTIFS(請求記録!$B$6:$B$3005,$A21,請求記録!$X$6:$X$3005,L$5)=0,"",SUMIFS(請求記録!$AC$6:$AC$3005,請求記録!$B$6:$B$3005,$A21,請求記録!$X$6:$X$3005,L$5))))</f>
        <v/>
      </c>
      <c r="M21" s="19">
        <f>IF($A21="","",IF(COUNTIFS(請求記録!$B$6:$B$3005,$A21,請求記録!$X$6:$X$3005,M$5,請求記録!$AD$6:$AD$3005,"保留中")&gt;0,"保留",IF(COUNTIFS(請求記録!$B$6:$B$3005,$A21,請求記録!$X$6:$X$3005,M$5)=0,"",SUMIFS(請求記録!$AC$6:$AC$3005,請求記録!$B$6:$B$3005,$A21,請求記録!$X$6:$X$3005,M$5))))</f>
        <v/>
      </c>
      <c r="N21" s="19">
        <f>IF($A21="","",IF(COUNTIFS(請求記録!$B$6:$B$3005,$A21,請求記録!$X$6:$X$3005,N$5,請求記録!$AD$6:$AD$3005,"保留中")&gt;0,"保留",IF(COUNTIFS(請求記録!$B$6:$B$3005,$A21,請求記録!$X$6:$X$3005,N$5)=0,"",SUMIFS(請求記録!$AC$6:$AC$3005,請求記録!$B$6:$B$3005,$A21,請求記録!$X$6:$X$3005,N$5))))</f>
        <v/>
      </c>
      <c r="O21" s="19">
        <f>IF($A21="","",IF(COUNTIFS(請求記録!$B$6:$B$3005,$A21,請求記録!$X$6:$X$3005,O$5,請求記録!$AD$6:$AD$3005,"保留中")&gt;0,"保留",IF(COUNTIFS(請求記録!$B$6:$B$3005,$A21,請求記録!$X$6:$X$3005,O$5)=0,"",SUMIFS(請求記録!$AC$6:$AC$3005,請求記録!$B$6:$B$3005,$A21,請求記録!$X$6:$X$3005,O$5))))</f>
        <v/>
      </c>
      <c r="P21" s="19">
        <f>IF($A21="","",IF(COUNTIFS(請求記録!$B$6:$B$3005,$A21,請求記録!$X$6:$X$3005,P$5,請求記録!$AD$6:$AD$3005,"保留中")&gt;0,"保留",IF(COUNTIFS(請求記録!$B$6:$B$3005,$A21,請求記録!$X$6:$X$3005,P$5)=0,"",SUMIFS(請求記録!$AC$6:$AC$3005,請求記録!$B$6:$B$3005,$A21,請求記録!$X$6:$X$3005,P$5))))</f>
        <v/>
      </c>
      <c r="Q21" s="19">
        <f>IF($A21="","",IF(COUNTIFS(請求記録!$B$6:$B$3005,$A21,請求記録!$X$6:$X$3005,Q$5,請求記録!$AD$6:$AD$3005,"保留中")&gt;0,"保留",IF(COUNTIFS(請求記録!$B$6:$B$3005,$A21,請求記録!$X$6:$X$3005,Q$5)=0,"",SUMIFS(請求記録!$AC$6:$AC$3005,請求記録!$B$6:$B$3005,$A21,請求記録!$X$6:$X$3005,Q$5))))</f>
        <v/>
      </c>
      <c r="R21" s="19">
        <f>IF($A21="","",IF(COUNTIFS(請求記録!$B$6:$B$3005,$A21,請求記録!$X$6:$X$3005,R$5,請求記録!$AD$6:$AD$3005,"保留中")&gt;0,"保留",IF(COUNTIFS(請求記録!$B$6:$B$3005,$A21,請求記録!$X$6:$X$3005,R$5)=0,"",SUMIFS(請求記録!$AC$6:$AC$3005,請求記録!$B$6:$B$3005,$A21,請求記録!$X$6:$X$3005,R$5))))</f>
        <v/>
      </c>
      <c r="S21" s="19">
        <f>IF($A21="","",IF(COUNTIFS(請求記録!$B$6:$B$3005,$A21,請求記録!$X$6:$X$3005,S$5,請求記録!$AD$6:$AD$3005,"保留中")&gt;0,"保留",IF(COUNTIFS(請求記録!$B$6:$B$3005,$A21,請求記録!$X$6:$X$3005,S$5)=0,"",SUMIFS(請求記録!$AC$6:$AC$3005,請求記録!$B$6:$B$3005,$A21,請求記録!$X$6:$X$3005,S$5))))</f>
        <v/>
      </c>
      <c r="T21" s="19">
        <f>IF($A21="","",IF(COUNTIFS(請求記録!$B$6:$B$3005,$A21,請求記録!$X$6:$X$3005,T$5,請求記録!$AD$6:$AD$3005,"保留中")&gt;0,"保留",IF(COUNTIFS(請求記録!$B$6:$B$3005,$A21,請求記録!$X$6:$X$3005,T$5)=0,"",SUMIFS(請求記録!$AC$6:$AC$3005,請求記録!$B$6:$B$3005,$A21,請求記録!$X$6:$X$3005,T$5))))</f>
        <v/>
      </c>
      <c r="U21" s="19">
        <f>IF($A21="","",IF(COUNTIFS(請求記録!$B$6:$B$3005,$A21,請求記録!$X$6:$X$3005,U$5,請求記録!$AD$6:$AD$3005,"保留中")&gt;0,"保留",IF(COUNTIFS(請求記録!$B$6:$B$3005,$A21,請求記録!$X$6:$X$3005,U$5)=0,"",SUMIFS(請求記録!$AC$6:$AC$3005,請求記録!$B$6:$B$3005,$A21,請求記録!$X$6:$X$3005,U$5))))</f>
        <v/>
      </c>
      <c r="V21" s="19">
        <f>IF($A21="","",IF(COUNTIFS(請求記録!$B$6:$B$3005,$A21,請求記録!$X$6:$X$3005,V$5,請求記録!$AD$6:$AD$3005,"保留中")&gt;0,"保留",IF(COUNTIFS(請求記録!$B$6:$B$3005,$A21,請求記録!$X$6:$X$3005,V$5)=0,"",SUMIFS(請求記録!$AC$6:$AC$3005,請求記録!$B$6:$B$3005,$A21,請求記録!$X$6:$X$3005,V$5))))</f>
        <v/>
      </c>
      <c r="W21" s="19">
        <f>IF($A21="","",IF(COUNTIFS(請求記録!$B$6:$B$3005,$A21,請求記録!$X$6:$X$3005,W$5,請求記録!$AD$6:$AD$3005,"保留中")&gt;0,"保留",IF(COUNTIFS(請求記録!$B$6:$B$3005,$A21,請求記録!$X$6:$X$3005,W$5)=0,"",SUMIFS(請求記録!$AC$6:$AC$3005,請求記録!$B$6:$B$3005,$A21,請求記録!$X$6:$X$3005,W$5))))</f>
        <v/>
      </c>
      <c r="X21" s="19">
        <f>IF($A21="","",IF(COUNTIFS(請求記録!$B$6:$B$3005,$A21,請求記録!$X$6:$X$3005,X$5,請求記録!$AD$6:$AD$3005,"保留中")&gt;0,"保留",IF(COUNTIFS(請求記録!$B$6:$B$3005,$A21,請求記録!$X$6:$X$3005,X$5)=0,"",SUMIFS(請求記録!$AC$6:$AC$3005,請求記録!$B$6:$B$3005,$A21,請求記録!$X$6:$X$3005,X$5))))</f>
        <v/>
      </c>
      <c r="Y21" s="19">
        <f>IF($A21="","",IF(COUNTIFS(請求記録!$B$6:$B$3005,$A21,請求記録!$X$6:$X$3005,Y$5,請求記録!$AD$6:$AD$3005,"保留中")&gt;0,"保留",IF(COUNTIFS(請求記録!$B$6:$B$3005,$A21,請求記録!$X$6:$X$3005,Y$5)=0,"",SUMIFS(請求記録!$AC$6:$AC$3005,請求記録!$B$6:$B$3005,$A21,請求記録!$X$6:$X$3005,Y$5))))</f>
        <v/>
      </c>
      <c r="Z21" s="19">
        <f>IF($A21="","",IF(COUNTIFS(請求記録!$B$6:$B$3005,$A21,請求記録!$X$6:$X$3005,Z$5,請求記録!$AD$6:$AD$3005,"保留中")&gt;0,"保留",IF(COUNTIFS(請求記録!$B$6:$B$3005,$A21,請求記録!$X$6:$X$3005,Z$5)=0,"",SUMIFS(請求記録!$AC$6:$AC$3005,請求記録!$B$6:$B$3005,$A21,請求記録!$X$6:$X$3005,Z$5))))</f>
        <v/>
      </c>
      <c r="AA21" s="19">
        <f>IF($A21="","",IF(COUNTIFS(請求記録!$B$6:$B$3005,$A21,請求記録!$X$6:$X$3005,AA$5,請求記録!$AD$6:$AD$3005,"保留中")&gt;0,"保留",IF(COUNTIFS(請求記録!$B$6:$B$3005,$A21,請求記録!$X$6:$X$3005,AA$5)=0,"",SUMIFS(請求記録!$AC$6:$AC$3005,請求記録!$B$6:$B$3005,$A21,請求記録!$X$6:$X$3005,AA$5))))</f>
        <v/>
      </c>
      <c r="AB21">
        <f>IF(職員マスタ!P21="保留中",職員マスタ!M21,"")</f>
        <v/>
      </c>
    </row>
    <row r="22">
      <c r="A22">
        <f>IF(職員マスタ!A22="","",職員マスタ!A22)</f>
        <v/>
      </c>
      <c r="B22">
        <f>IF($A22="","",職員マスタ!B22)</f>
        <v/>
      </c>
      <c r="C22">
        <f>IF($A22="","",職員マスタ!C22)</f>
        <v/>
      </c>
      <c r="D22" s="19">
        <f>IF($A22="","",IF(COUNTIFS(請求記録!$B$6:$B$3005,$A22,請求記録!$X$6:$X$3005,D$5,請求記録!$AD$6:$AD$3005,"保留中")&gt;0,"保留",IF(COUNTIFS(請求記録!$B$6:$B$3005,$A22,請求記録!$X$6:$X$3005,D$5)=0,"",SUMIFS(請求記録!$AC$6:$AC$3005,請求記録!$B$6:$B$3005,$A22,請求記録!$X$6:$X$3005,D$5))))</f>
        <v/>
      </c>
      <c r="E22" s="19">
        <f>IF($A22="","",IF(COUNTIFS(請求記録!$B$6:$B$3005,$A22,請求記録!$X$6:$X$3005,E$5,請求記録!$AD$6:$AD$3005,"保留中")&gt;0,"保留",IF(COUNTIFS(請求記録!$B$6:$B$3005,$A22,請求記録!$X$6:$X$3005,E$5)=0,"",SUMIFS(請求記録!$AC$6:$AC$3005,請求記録!$B$6:$B$3005,$A22,請求記録!$X$6:$X$3005,E$5))))</f>
        <v/>
      </c>
      <c r="F22" s="19">
        <f>IF($A22="","",IF(COUNTIFS(請求記録!$B$6:$B$3005,$A22,請求記録!$X$6:$X$3005,F$5,請求記録!$AD$6:$AD$3005,"保留中")&gt;0,"保留",IF(COUNTIFS(請求記録!$B$6:$B$3005,$A22,請求記録!$X$6:$X$3005,F$5)=0,"",SUMIFS(請求記録!$AC$6:$AC$3005,請求記録!$B$6:$B$3005,$A22,請求記録!$X$6:$X$3005,F$5))))</f>
        <v/>
      </c>
      <c r="G22" s="19">
        <f>IF($A22="","",IF(COUNTIFS(請求記録!$B$6:$B$3005,$A22,請求記録!$X$6:$X$3005,G$5,請求記録!$AD$6:$AD$3005,"保留中")&gt;0,"保留",IF(COUNTIFS(請求記録!$B$6:$B$3005,$A22,請求記録!$X$6:$X$3005,G$5)=0,"",SUMIFS(請求記録!$AC$6:$AC$3005,請求記録!$B$6:$B$3005,$A22,請求記録!$X$6:$X$3005,G$5))))</f>
        <v/>
      </c>
      <c r="H22" s="19">
        <f>IF($A22="","",IF(COUNTIFS(請求記録!$B$6:$B$3005,$A22,請求記録!$X$6:$X$3005,H$5,請求記録!$AD$6:$AD$3005,"保留中")&gt;0,"保留",IF(COUNTIFS(請求記録!$B$6:$B$3005,$A22,請求記録!$X$6:$X$3005,H$5)=0,"",SUMIFS(請求記録!$AC$6:$AC$3005,請求記録!$B$6:$B$3005,$A22,請求記録!$X$6:$X$3005,H$5))))</f>
        <v/>
      </c>
      <c r="I22" s="19">
        <f>IF($A22="","",IF(COUNTIFS(請求記録!$B$6:$B$3005,$A22,請求記録!$X$6:$X$3005,I$5,請求記録!$AD$6:$AD$3005,"保留中")&gt;0,"保留",IF(COUNTIFS(請求記録!$B$6:$B$3005,$A22,請求記録!$X$6:$X$3005,I$5)=0,"",SUMIFS(請求記録!$AC$6:$AC$3005,請求記録!$B$6:$B$3005,$A22,請求記録!$X$6:$X$3005,I$5))))</f>
        <v/>
      </c>
      <c r="J22" s="19">
        <f>IF($A22="","",IF(COUNTIFS(請求記録!$B$6:$B$3005,$A22,請求記録!$X$6:$X$3005,J$5,請求記録!$AD$6:$AD$3005,"保留中")&gt;0,"保留",IF(COUNTIFS(請求記録!$B$6:$B$3005,$A22,請求記録!$X$6:$X$3005,J$5)=0,"",SUMIFS(請求記録!$AC$6:$AC$3005,請求記録!$B$6:$B$3005,$A22,請求記録!$X$6:$X$3005,J$5))))</f>
        <v/>
      </c>
      <c r="K22" s="19">
        <f>IF($A22="","",IF(COUNTIFS(請求記録!$B$6:$B$3005,$A22,請求記録!$X$6:$X$3005,K$5,請求記録!$AD$6:$AD$3005,"保留中")&gt;0,"保留",IF(COUNTIFS(請求記録!$B$6:$B$3005,$A22,請求記録!$X$6:$X$3005,K$5)=0,"",SUMIFS(請求記録!$AC$6:$AC$3005,請求記録!$B$6:$B$3005,$A22,請求記録!$X$6:$X$3005,K$5))))</f>
        <v/>
      </c>
      <c r="L22" s="19">
        <f>IF($A22="","",IF(COUNTIFS(請求記録!$B$6:$B$3005,$A22,請求記録!$X$6:$X$3005,L$5,請求記録!$AD$6:$AD$3005,"保留中")&gt;0,"保留",IF(COUNTIFS(請求記録!$B$6:$B$3005,$A22,請求記録!$X$6:$X$3005,L$5)=0,"",SUMIFS(請求記録!$AC$6:$AC$3005,請求記録!$B$6:$B$3005,$A22,請求記録!$X$6:$X$3005,L$5))))</f>
        <v/>
      </c>
      <c r="M22" s="19">
        <f>IF($A22="","",IF(COUNTIFS(請求記録!$B$6:$B$3005,$A22,請求記録!$X$6:$X$3005,M$5,請求記録!$AD$6:$AD$3005,"保留中")&gt;0,"保留",IF(COUNTIFS(請求記録!$B$6:$B$3005,$A22,請求記録!$X$6:$X$3005,M$5)=0,"",SUMIFS(請求記録!$AC$6:$AC$3005,請求記録!$B$6:$B$3005,$A22,請求記録!$X$6:$X$3005,M$5))))</f>
        <v/>
      </c>
      <c r="N22" s="19">
        <f>IF($A22="","",IF(COUNTIFS(請求記録!$B$6:$B$3005,$A22,請求記録!$X$6:$X$3005,N$5,請求記録!$AD$6:$AD$3005,"保留中")&gt;0,"保留",IF(COUNTIFS(請求記録!$B$6:$B$3005,$A22,請求記録!$X$6:$X$3005,N$5)=0,"",SUMIFS(請求記録!$AC$6:$AC$3005,請求記録!$B$6:$B$3005,$A22,請求記録!$X$6:$X$3005,N$5))))</f>
        <v/>
      </c>
      <c r="O22" s="19">
        <f>IF($A22="","",IF(COUNTIFS(請求記録!$B$6:$B$3005,$A22,請求記録!$X$6:$X$3005,O$5,請求記録!$AD$6:$AD$3005,"保留中")&gt;0,"保留",IF(COUNTIFS(請求記録!$B$6:$B$3005,$A22,請求記録!$X$6:$X$3005,O$5)=0,"",SUMIFS(請求記録!$AC$6:$AC$3005,請求記録!$B$6:$B$3005,$A22,請求記録!$X$6:$X$3005,O$5))))</f>
        <v/>
      </c>
      <c r="P22" s="19">
        <f>IF($A22="","",IF(COUNTIFS(請求記録!$B$6:$B$3005,$A22,請求記録!$X$6:$X$3005,P$5,請求記録!$AD$6:$AD$3005,"保留中")&gt;0,"保留",IF(COUNTIFS(請求記録!$B$6:$B$3005,$A22,請求記録!$X$6:$X$3005,P$5)=0,"",SUMIFS(請求記録!$AC$6:$AC$3005,請求記録!$B$6:$B$3005,$A22,請求記録!$X$6:$X$3005,P$5))))</f>
        <v/>
      </c>
      <c r="Q22" s="19">
        <f>IF($A22="","",IF(COUNTIFS(請求記録!$B$6:$B$3005,$A22,請求記録!$X$6:$X$3005,Q$5,請求記録!$AD$6:$AD$3005,"保留中")&gt;0,"保留",IF(COUNTIFS(請求記録!$B$6:$B$3005,$A22,請求記録!$X$6:$X$3005,Q$5)=0,"",SUMIFS(請求記録!$AC$6:$AC$3005,請求記録!$B$6:$B$3005,$A22,請求記録!$X$6:$X$3005,Q$5))))</f>
        <v/>
      </c>
      <c r="R22" s="19">
        <f>IF($A22="","",IF(COUNTIFS(請求記録!$B$6:$B$3005,$A22,請求記録!$X$6:$X$3005,R$5,請求記録!$AD$6:$AD$3005,"保留中")&gt;0,"保留",IF(COUNTIFS(請求記録!$B$6:$B$3005,$A22,請求記録!$X$6:$X$3005,R$5)=0,"",SUMIFS(請求記録!$AC$6:$AC$3005,請求記録!$B$6:$B$3005,$A22,請求記録!$X$6:$X$3005,R$5))))</f>
        <v/>
      </c>
      <c r="S22" s="19">
        <f>IF($A22="","",IF(COUNTIFS(請求記録!$B$6:$B$3005,$A22,請求記録!$X$6:$X$3005,S$5,請求記録!$AD$6:$AD$3005,"保留中")&gt;0,"保留",IF(COUNTIFS(請求記録!$B$6:$B$3005,$A22,請求記録!$X$6:$X$3005,S$5)=0,"",SUMIFS(請求記録!$AC$6:$AC$3005,請求記録!$B$6:$B$3005,$A22,請求記録!$X$6:$X$3005,S$5))))</f>
        <v/>
      </c>
      <c r="T22" s="19">
        <f>IF($A22="","",IF(COUNTIFS(請求記録!$B$6:$B$3005,$A22,請求記録!$X$6:$X$3005,T$5,請求記録!$AD$6:$AD$3005,"保留中")&gt;0,"保留",IF(COUNTIFS(請求記録!$B$6:$B$3005,$A22,請求記録!$X$6:$X$3005,T$5)=0,"",SUMIFS(請求記録!$AC$6:$AC$3005,請求記録!$B$6:$B$3005,$A22,請求記録!$X$6:$X$3005,T$5))))</f>
        <v/>
      </c>
      <c r="U22" s="19">
        <f>IF($A22="","",IF(COUNTIFS(請求記録!$B$6:$B$3005,$A22,請求記録!$X$6:$X$3005,U$5,請求記録!$AD$6:$AD$3005,"保留中")&gt;0,"保留",IF(COUNTIFS(請求記録!$B$6:$B$3005,$A22,請求記録!$X$6:$X$3005,U$5)=0,"",SUMIFS(請求記録!$AC$6:$AC$3005,請求記録!$B$6:$B$3005,$A22,請求記録!$X$6:$X$3005,U$5))))</f>
        <v/>
      </c>
      <c r="V22" s="19">
        <f>IF($A22="","",IF(COUNTIFS(請求記録!$B$6:$B$3005,$A22,請求記録!$X$6:$X$3005,V$5,請求記録!$AD$6:$AD$3005,"保留中")&gt;0,"保留",IF(COUNTIFS(請求記録!$B$6:$B$3005,$A22,請求記録!$X$6:$X$3005,V$5)=0,"",SUMIFS(請求記録!$AC$6:$AC$3005,請求記録!$B$6:$B$3005,$A22,請求記録!$X$6:$X$3005,V$5))))</f>
        <v/>
      </c>
      <c r="W22" s="19">
        <f>IF($A22="","",IF(COUNTIFS(請求記録!$B$6:$B$3005,$A22,請求記録!$X$6:$X$3005,W$5,請求記録!$AD$6:$AD$3005,"保留中")&gt;0,"保留",IF(COUNTIFS(請求記録!$B$6:$B$3005,$A22,請求記録!$X$6:$X$3005,W$5)=0,"",SUMIFS(請求記録!$AC$6:$AC$3005,請求記録!$B$6:$B$3005,$A22,請求記録!$X$6:$X$3005,W$5))))</f>
        <v/>
      </c>
      <c r="X22" s="19">
        <f>IF($A22="","",IF(COUNTIFS(請求記録!$B$6:$B$3005,$A22,請求記録!$X$6:$X$3005,X$5,請求記録!$AD$6:$AD$3005,"保留中")&gt;0,"保留",IF(COUNTIFS(請求記録!$B$6:$B$3005,$A22,請求記録!$X$6:$X$3005,X$5)=0,"",SUMIFS(請求記録!$AC$6:$AC$3005,請求記録!$B$6:$B$3005,$A22,請求記録!$X$6:$X$3005,X$5))))</f>
        <v/>
      </c>
      <c r="Y22" s="19">
        <f>IF($A22="","",IF(COUNTIFS(請求記録!$B$6:$B$3005,$A22,請求記録!$X$6:$X$3005,Y$5,請求記録!$AD$6:$AD$3005,"保留中")&gt;0,"保留",IF(COUNTIFS(請求記録!$B$6:$B$3005,$A22,請求記録!$X$6:$X$3005,Y$5)=0,"",SUMIFS(請求記録!$AC$6:$AC$3005,請求記録!$B$6:$B$3005,$A22,請求記録!$X$6:$X$3005,Y$5))))</f>
        <v/>
      </c>
      <c r="Z22" s="19">
        <f>IF($A22="","",IF(COUNTIFS(請求記録!$B$6:$B$3005,$A22,請求記録!$X$6:$X$3005,Z$5,請求記録!$AD$6:$AD$3005,"保留中")&gt;0,"保留",IF(COUNTIFS(請求記録!$B$6:$B$3005,$A22,請求記録!$X$6:$X$3005,Z$5)=0,"",SUMIFS(請求記録!$AC$6:$AC$3005,請求記録!$B$6:$B$3005,$A22,請求記録!$X$6:$X$3005,Z$5))))</f>
        <v/>
      </c>
      <c r="AA22" s="19">
        <f>IF($A22="","",IF(COUNTIFS(請求記録!$B$6:$B$3005,$A22,請求記録!$X$6:$X$3005,AA$5,請求記録!$AD$6:$AD$3005,"保留中")&gt;0,"保留",IF(COUNTIFS(請求記録!$B$6:$B$3005,$A22,請求記録!$X$6:$X$3005,AA$5)=0,"",SUMIFS(請求記録!$AC$6:$AC$3005,請求記録!$B$6:$B$3005,$A22,請求記録!$X$6:$X$3005,AA$5))))</f>
        <v/>
      </c>
      <c r="AB22">
        <f>IF(職員マスタ!P22="保留中",職員マスタ!M22,"")</f>
        <v/>
      </c>
    </row>
    <row r="23">
      <c r="A23">
        <f>IF(職員マスタ!A23="","",職員マスタ!A23)</f>
        <v/>
      </c>
      <c r="B23">
        <f>IF($A23="","",職員マスタ!B23)</f>
        <v/>
      </c>
      <c r="C23">
        <f>IF($A23="","",職員マスタ!C23)</f>
        <v/>
      </c>
      <c r="D23" s="19">
        <f>IF($A23="","",IF(COUNTIFS(請求記録!$B$6:$B$3005,$A23,請求記録!$X$6:$X$3005,D$5,請求記録!$AD$6:$AD$3005,"保留中")&gt;0,"保留",IF(COUNTIFS(請求記録!$B$6:$B$3005,$A23,請求記録!$X$6:$X$3005,D$5)=0,"",SUMIFS(請求記録!$AC$6:$AC$3005,請求記録!$B$6:$B$3005,$A23,請求記録!$X$6:$X$3005,D$5))))</f>
        <v/>
      </c>
      <c r="E23" s="19">
        <f>IF($A23="","",IF(COUNTIFS(請求記録!$B$6:$B$3005,$A23,請求記録!$X$6:$X$3005,E$5,請求記録!$AD$6:$AD$3005,"保留中")&gt;0,"保留",IF(COUNTIFS(請求記録!$B$6:$B$3005,$A23,請求記録!$X$6:$X$3005,E$5)=0,"",SUMIFS(請求記録!$AC$6:$AC$3005,請求記録!$B$6:$B$3005,$A23,請求記録!$X$6:$X$3005,E$5))))</f>
        <v/>
      </c>
      <c r="F23" s="19">
        <f>IF($A23="","",IF(COUNTIFS(請求記録!$B$6:$B$3005,$A23,請求記録!$X$6:$X$3005,F$5,請求記録!$AD$6:$AD$3005,"保留中")&gt;0,"保留",IF(COUNTIFS(請求記録!$B$6:$B$3005,$A23,請求記録!$X$6:$X$3005,F$5)=0,"",SUMIFS(請求記録!$AC$6:$AC$3005,請求記録!$B$6:$B$3005,$A23,請求記録!$X$6:$X$3005,F$5))))</f>
        <v/>
      </c>
      <c r="G23" s="19">
        <f>IF($A23="","",IF(COUNTIFS(請求記録!$B$6:$B$3005,$A23,請求記録!$X$6:$X$3005,G$5,請求記録!$AD$6:$AD$3005,"保留中")&gt;0,"保留",IF(COUNTIFS(請求記録!$B$6:$B$3005,$A23,請求記録!$X$6:$X$3005,G$5)=0,"",SUMIFS(請求記録!$AC$6:$AC$3005,請求記録!$B$6:$B$3005,$A23,請求記録!$X$6:$X$3005,G$5))))</f>
        <v/>
      </c>
      <c r="H23" s="19">
        <f>IF($A23="","",IF(COUNTIFS(請求記録!$B$6:$B$3005,$A23,請求記録!$X$6:$X$3005,H$5,請求記録!$AD$6:$AD$3005,"保留中")&gt;0,"保留",IF(COUNTIFS(請求記録!$B$6:$B$3005,$A23,請求記録!$X$6:$X$3005,H$5)=0,"",SUMIFS(請求記録!$AC$6:$AC$3005,請求記録!$B$6:$B$3005,$A23,請求記録!$X$6:$X$3005,H$5))))</f>
        <v/>
      </c>
      <c r="I23" s="19">
        <f>IF($A23="","",IF(COUNTIFS(請求記録!$B$6:$B$3005,$A23,請求記録!$X$6:$X$3005,I$5,請求記録!$AD$6:$AD$3005,"保留中")&gt;0,"保留",IF(COUNTIFS(請求記録!$B$6:$B$3005,$A23,請求記録!$X$6:$X$3005,I$5)=0,"",SUMIFS(請求記録!$AC$6:$AC$3005,請求記録!$B$6:$B$3005,$A23,請求記録!$X$6:$X$3005,I$5))))</f>
        <v/>
      </c>
      <c r="J23" s="19">
        <f>IF($A23="","",IF(COUNTIFS(請求記録!$B$6:$B$3005,$A23,請求記録!$X$6:$X$3005,J$5,請求記録!$AD$6:$AD$3005,"保留中")&gt;0,"保留",IF(COUNTIFS(請求記録!$B$6:$B$3005,$A23,請求記録!$X$6:$X$3005,J$5)=0,"",SUMIFS(請求記録!$AC$6:$AC$3005,請求記録!$B$6:$B$3005,$A23,請求記録!$X$6:$X$3005,J$5))))</f>
        <v/>
      </c>
      <c r="K23" s="19">
        <f>IF($A23="","",IF(COUNTIFS(請求記録!$B$6:$B$3005,$A23,請求記録!$X$6:$X$3005,K$5,請求記録!$AD$6:$AD$3005,"保留中")&gt;0,"保留",IF(COUNTIFS(請求記録!$B$6:$B$3005,$A23,請求記録!$X$6:$X$3005,K$5)=0,"",SUMIFS(請求記録!$AC$6:$AC$3005,請求記録!$B$6:$B$3005,$A23,請求記録!$X$6:$X$3005,K$5))))</f>
        <v/>
      </c>
      <c r="L23" s="19">
        <f>IF($A23="","",IF(COUNTIFS(請求記録!$B$6:$B$3005,$A23,請求記録!$X$6:$X$3005,L$5,請求記録!$AD$6:$AD$3005,"保留中")&gt;0,"保留",IF(COUNTIFS(請求記録!$B$6:$B$3005,$A23,請求記録!$X$6:$X$3005,L$5)=0,"",SUMIFS(請求記録!$AC$6:$AC$3005,請求記録!$B$6:$B$3005,$A23,請求記録!$X$6:$X$3005,L$5))))</f>
        <v/>
      </c>
      <c r="M23" s="19">
        <f>IF($A23="","",IF(COUNTIFS(請求記録!$B$6:$B$3005,$A23,請求記録!$X$6:$X$3005,M$5,請求記録!$AD$6:$AD$3005,"保留中")&gt;0,"保留",IF(COUNTIFS(請求記録!$B$6:$B$3005,$A23,請求記録!$X$6:$X$3005,M$5)=0,"",SUMIFS(請求記録!$AC$6:$AC$3005,請求記録!$B$6:$B$3005,$A23,請求記録!$X$6:$X$3005,M$5))))</f>
        <v/>
      </c>
      <c r="N23" s="19">
        <f>IF($A23="","",IF(COUNTIFS(請求記録!$B$6:$B$3005,$A23,請求記録!$X$6:$X$3005,N$5,請求記録!$AD$6:$AD$3005,"保留中")&gt;0,"保留",IF(COUNTIFS(請求記録!$B$6:$B$3005,$A23,請求記録!$X$6:$X$3005,N$5)=0,"",SUMIFS(請求記録!$AC$6:$AC$3005,請求記録!$B$6:$B$3005,$A23,請求記録!$X$6:$X$3005,N$5))))</f>
        <v/>
      </c>
      <c r="O23" s="19">
        <f>IF($A23="","",IF(COUNTIFS(請求記録!$B$6:$B$3005,$A23,請求記録!$X$6:$X$3005,O$5,請求記録!$AD$6:$AD$3005,"保留中")&gt;0,"保留",IF(COUNTIFS(請求記録!$B$6:$B$3005,$A23,請求記録!$X$6:$X$3005,O$5)=0,"",SUMIFS(請求記録!$AC$6:$AC$3005,請求記録!$B$6:$B$3005,$A23,請求記録!$X$6:$X$3005,O$5))))</f>
        <v/>
      </c>
      <c r="P23" s="19">
        <f>IF($A23="","",IF(COUNTIFS(請求記録!$B$6:$B$3005,$A23,請求記録!$X$6:$X$3005,P$5,請求記録!$AD$6:$AD$3005,"保留中")&gt;0,"保留",IF(COUNTIFS(請求記録!$B$6:$B$3005,$A23,請求記録!$X$6:$X$3005,P$5)=0,"",SUMIFS(請求記録!$AC$6:$AC$3005,請求記録!$B$6:$B$3005,$A23,請求記録!$X$6:$X$3005,P$5))))</f>
        <v/>
      </c>
      <c r="Q23" s="19">
        <f>IF($A23="","",IF(COUNTIFS(請求記録!$B$6:$B$3005,$A23,請求記録!$X$6:$X$3005,Q$5,請求記録!$AD$6:$AD$3005,"保留中")&gt;0,"保留",IF(COUNTIFS(請求記録!$B$6:$B$3005,$A23,請求記録!$X$6:$X$3005,Q$5)=0,"",SUMIFS(請求記録!$AC$6:$AC$3005,請求記録!$B$6:$B$3005,$A23,請求記録!$X$6:$X$3005,Q$5))))</f>
        <v/>
      </c>
      <c r="R23" s="19">
        <f>IF($A23="","",IF(COUNTIFS(請求記録!$B$6:$B$3005,$A23,請求記録!$X$6:$X$3005,R$5,請求記録!$AD$6:$AD$3005,"保留中")&gt;0,"保留",IF(COUNTIFS(請求記録!$B$6:$B$3005,$A23,請求記録!$X$6:$X$3005,R$5)=0,"",SUMIFS(請求記録!$AC$6:$AC$3005,請求記録!$B$6:$B$3005,$A23,請求記録!$X$6:$X$3005,R$5))))</f>
        <v/>
      </c>
      <c r="S23" s="19">
        <f>IF($A23="","",IF(COUNTIFS(請求記録!$B$6:$B$3005,$A23,請求記録!$X$6:$X$3005,S$5,請求記録!$AD$6:$AD$3005,"保留中")&gt;0,"保留",IF(COUNTIFS(請求記録!$B$6:$B$3005,$A23,請求記録!$X$6:$X$3005,S$5)=0,"",SUMIFS(請求記録!$AC$6:$AC$3005,請求記録!$B$6:$B$3005,$A23,請求記録!$X$6:$X$3005,S$5))))</f>
        <v/>
      </c>
      <c r="T23" s="19">
        <f>IF($A23="","",IF(COUNTIFS(請求記録!$B$6:$B$3005,$A23,請求記録!$X$6:$X$3005,T$5,請求記録!$AD$6:$AD$3005,"保留中")&gt;0,"保留",IF(COUNTIFS(請求記録!$B$6:$B$3005,$A23,請求記録!$X$6:$X$3005,T$5)=0,"",SUMIFS(請求記録!$AC$6:$AC$3005,請求記録!$B$6:$B$3005,$A23,請求記録!$X$6:$X$3005,T$5))))</f>
        <v/>
      </c>
      <c r="U23" s="19">
        <f>IF($A23="","",IF(COUNTIFS(請求記録!$B$6:$B$3005,$A23,請求記録!$X$6:$X$3005,U$5,請求記録!$AD$6:$AD$3005,"保留中")&gt;0,"保留",IF(COUNTIFS(請求記録!$B$6:$B$3005,$A23,請求記録!$X$6:$X$3005,U$5)=0,"",SUMIFS(請求記録!$AC$6:$AC$3005,請求記録!$B$6:$B$3005,$A23,請求記録!$X$6:$X$3005,U$5))))</f>
        <v/>
      </c>
      <c r="V23" s="19">
        <f>IF($A23="","",IF(COUNTIFS(請求記録!$B$6:$B$3005,$A23,請求記録!$X$6:$X$3005,V$5,請求記録!$AD$6:$AD$3005,"保留中")&gt;0,"保留",IF(COUNTIFS(請求記録!$B$6:$B$3005,$A23,請求記録!$X$6:$X$3005,V$5)=0,"",SUMIFS(請求記録!$AC$6:$AC$3005,請求記録!$B$6:$B$3005,$A23,請求記録!$X$6:$X$3005,V$5))))</f>
        <v/>
      </c>
      <c r="W23" s="19">
        <f>IF($A23="","",IF(COUNTIFS(請求記録!$B$6:$B$3005,$A23,請求記録!$X$6:$X$3005,W$5,請求記録!$AD$6:$AD$3005,"保留中")&gt;0,"保留",IF(COUNTIFS(請求記録!$B$6:$B$3005,$A23,請求記録!$X$6:$X$3005,W$5)=0,"",SUMIFS(請求記録!$AC$6:$AC$3005,請求記録!$B$6:$B$3005,$A23,請求記録!$X$6:$X$3005,W$5))))</f>
        <v/>
      </c>
      <c r="X23" s="19">
        <f>IF($A23="","",IF(COUNTIFS(請求記録!$B$6:$B$3005,$A23,請求記録!$X$6:$X$3005,X$5,請求記録!$AD$6:$AD$3005,"保留中")&gt;0,"保留",IF(COUNTIFS(請求記録!$B$6:$B$3005,$A23,請求記録!$X$6:$X$3005,X$5)=0,"",SUMIFS(請求記録!$AC$6:$AC$3005,請求記録!$B$6:$B$3005,$A23,請求記録!$X$6:$X$3005,X$5))))</f>
        <v/>
      </c>
      <c r="Y23" s="19">
        <f>IF($A23="","",IF(COUNTIFS(請求記録!$B$6:$B$3005,$A23,請求記録!$X$6:$X$3005,Y$5,請求記録!$AD$6:$AD$3005,"保留中")&gt;0,"保留",IF(COUNTIFS(請求記録!$B$6:$B$3005,$A23,請求記録!$X$6:$X$3005,Y$5)=0,"",SUMIFS(請求記録!$AC$6:$AC$3005,請求記録!$B$6:$B$3005,$A23,請求記録!$X$6:$X$3005,Y$5))))</f>
        <v/>
      </c>
      <c r="Z23" s="19">
        <f>IF($A23="","",IF(COUNTIFS(請求記録!$B$6:$B$3005,$A23,請求記録!$X$6:$X$3005,Z$5,請求記録!$AD$6:$AD$3005,"保留中")&gt;0,"保留",IF(COUNTIFS(請求記録!$B$6:$B$3005,$A23,請求記録!$X$6:$X$3005,Z$5)=0,"",SUMIFS(請求記録!$AC$6:$AC$3005,請求記録!$B$6:$B$3005,$A23,請求記録!$X$6:$X$3005,Z$5))))</f>
        <v/>
      </c>
      <c r="AA23" s="19">
        <f>IF($A23="","",IF(COUNTIFS(請求記録!$B$6:$B$3005,$A23,請求記録!$X$6:$X$3005,AA$5,請求記録!$AD$6:$AD$3005,"保留中")&gt;0,"保留",IF(COUNTIFS(請求記録!$B$6:$B$3005,$A23,請求記録!$X$6:$X$3005,AA$5)=0,"",SUMIFS(請求記録!$AC$6:$AC$3005,請求記録!$B$6:$B$3005,$A23,請求記録!$X$6:$X$3005,AA$5))))</f>
        <v/>
      </c>
      <c r="AB23">
        <f>IF(職員マスタ!P23="保留中",職員マスタ!M23,"")</f>
        <v/>
      </c>
    </row>
    <row r="24">
      <c r="A24">
        <f>IF(職員マスタ!A24="","",職員マスタ!A24)</f>
        <v/>
      </c>
      <c r="B24">
        <f>IF($A24="","",職員マスタ!B24)</f>
        <v/>
      </c>
      <c r="C24">
        <f>IF($A24="","",職員マスタ!C24)</f>
        <v/>
      </c>
      <c r="D24" s="19">
        <f>IF($A24="","",IF(COUNTIFS(請求記録!$B$6:$B$3005,$A24,請求記録!$X$6:$X$3005,D$5,請求記録!$AD$6:$AD$3005,"保留中")&gt;0,"保留",IF(COUNTIFS(請求記録!$B$6:$B$3005,$A24,請求記録!$X$6:$X$3005,D$5)=0,"",SUMIFS(請求記録!$AC$6:$AC$3005,請求記録!$B$6:$B$3005,$A24,請求記録!$X$6:$X$3005,D$5))))</f>
        <v/>
      </c>
      <c r="E24" s="19">
        <f>IF($A24="","",IF(COUNTIFS(請求記録!$B$6:$B$3005,$A24,請求記録!$X$6:$X$3005,E$5,請求記録!$AD$6:$AD$3005,"保留中")&gt;0,"保留",IF(COUNTIFS(請求記録!$B$6:$B$3005,$A24,請求記録!$X$6:$X$3005,E$5)=0,"",SUMIFS(請求記録!$AC$6:$AC$3005,請求記録!$B$6:$B$3005,$A24,請求記録!$X$6:$X$3005,E$5))))</f>
        <v/>
      </c>
      <c r="F24" s="19">
        <f>IF($A24="","",IF(COUNTIFS(請求記録!$B$6:$B$3005,$A24,請求記録!$X$6:$X$3005,F$5,請求記録!$AD$6:$AD$3005,"保留中")&gt;0,"保留",IF(COUNTIFS(請求記録!$B$6:$B$3005,$A24,請求記録!$X$6:$X$3005,F$5)=0,"",SUMIFS(請求記録!$AC$6:$AC$3005,請求記録!$B$6:$B$3005,$A24,請求記録!$X$6:$X$3005,F$5))))</f>
        <v/>
      </c>
      <c r="G24" s="19">
        <f>IF($A24="","",IF(COUNTIFS(請求記録!$B$6:$B$3005,$A24,請求記録!$X$6:$X$3005,G$5,請求記録!$AD$6:$AD$3005,"保留中")&gt;0,"保留",IF(COUNTIFS(請求記録!$B$6:$B$3005,$A24,請求記録!$X$6:$X$3005,G$5)=0,"",SUMIFS(請求記録!$AC$6:$AC$3005,請求記録!$B$6:$B$3005,$A24,請求記録!$X$6:$X$3005,G$5))))</f>
        <v/>
      </c>
      <c r="H24" s="19">
        <f>IF($A24="","",IF(COUNTIFS(請求記録!$B$6:$B$3005,$A24,請求記録!$X$6:$X$3005,H$5,請求記録!$AD$6:$AD$3005,"保留中")&gt;0,"保留",IF(COUNTIFS(請求記録!$B$6:$B$3005,$A24,請求記録!$X$6:$X$3005,H$5)=0,"",SUMIFS(請求記録!$AC$6:$AC$3005,請求記録!$B$6:$B$3005,$A24,請求記録!$X$6:$X$3005,H$5))))</f>
        <v/>
      </c>
      <c r="I24" s="19">
        <f>IF($A24="","",IF(COUNTIFS(請求記録!$B$6:$B$3005,$A24,請求記録!$X$6:$X$3005,I$5,請求記録!$AD$6:$AD$3005,"保留中")&gt;0,"保留",IF(COUNTIFS(請求記録!$B$6:$B$3005,$A24,請求記録!$X$6:$X$3005,I$5)=0,"",SUMIFS(請求記録!$AC$6:$AC$3005,請求記録!$B$6:$B$3005,$A24,請求記録!$X$6:$X$3005,I$5))))</f>
        <v/>
      </c>
      <c r="J24" s="19">
        <f>IF($A24="","",IF(COUNTIFS(請求記録!$B$6:$B$3005,$A24,請求記録!$X$6:$X$3005,J$5,請求記録!$AD$6:$AD$3005,"保留中")&gt;0,"保留",IF(COUNTIFS(請求記録!$B$6:$B$3005,$A24,請求記録!$X$6:$X$3005,J$5)=0,"",SUMIFS(請求記録!$AC$6:$AC$3005,請求記録!$B$6:$B$3005,$A24,請求記録!$X$6:$X$3005,J$5))))</f>
        <v/>
      </c>
      <c r="K24" s="19">
        <f>IF($A24="","",IF(COUNTIFS(請求記録!$B$6:$B$3005,$A24,請求記録!$X$6:$X$3005,K$5,請求記録!$AD$6:$AD$3005,"保留中")&gt;0,"保留",IF(COUNTIFS(請求記録!$B$6:$B$3005,$A24,請求記録!$X$6:$X$3005,K$5)=0,"",SUMIFS(請求記録!$AC$6:$AC$3005,請求記録!$B$6:$B$3005,$A24,請求記録!$X$6:$X$3005,K$5))))</f>
        <v/>
      </c>
      <c r="L24" s="19">
        <f>IF($A24="","",IF(COUNTIFS(請求記録!$B$6:$B$3005,$A24,請求記録!$X$6:$X$3005,L$5,請求記録!$AD$6:$AD$3005,"保留中")&gt;0,"保留",IF(COUNTIFS(請求記録!$B$6:$B$3005,$A24,請求記録!$X$6:$X$3005,L$5)=0,"",SUMIFS(請求記録!$AC$6:$AC$3005,請求記録!$B$6:$B$3005,$A24,請求記録!$X$6:$X$3005,L$5))))</f>
        <v/>
      </c>
      <c r="M24" s="19">
        <f>IF($A24="","",IF(COUNTIFS(請求記録!$B$6:$B$3005,$A24,請求記録!$X$6:$X$3005,M$5,請求記録!$AD$6:$AD$3005,"保留中")&gt;0,"保留",IF(COUNTIFS(請求記録!$B$6:$B$3005,$A24,請求記録!$X$6:$X$3005,M$5)=0,"",SUMIFS(請求記録!$AC$6:$AC$3005,請求記録!$B$6:$B$3005,$A24,請求記録!$X$6:$X$3005,M$5))))</f>
        <v/>
      </c>
      <c r="N24" s="19">
        <f>IF($A24="","",IF(COUNTIFS(請求記録!$B$6:$B$3005,$A24,請求記録!$X$6:$X$3005,N$5,請求記録!$AD$6:$AD$3005,"保留中")&gt;0,"保留",IF(COUNTIFS(請求記録!$B$6:$B$3005,$A24,請求記録!$X$6:$X$3005,N$5)=0,"",SUMIFS(請求記録!$AC$6:$AC$3005,請求記録!$B$6:$B$3005,$A24,請求記録!$X$6:$X$3005,N$5))))</f>
        <v/>
      </c>
      <c r="O24" s="19">
        <f>IF($A24="","",IF(COUNTIFS(請求記録!$B$6:$B$3005,$A24,請求記録!$X$6:$X$3005,O$5,請求記録!$AD$6:$AD$3005,"保留中")&gt;0,"保留",IF(COUNTIFS(請求記録!$B$6:$B$3005,$A24,請求記録!$X$6:$X$3005,O$5)=0,"",SUMIFS(請求記録!$AC$6:$AC$3005,請求記録!$B$6:$B$3005,$A24,請求記録!$X$6:$X$3005,O$5))))</f>
        <v/>
      </c>
      <c r="P24" s="19">
        <f>IF($A24="","",IF(COUNTIFS(請求記録!$B$6:$B$3005,$A24,請求記録!$X$6:$X$3005,P$5,請求記録!$AD$6:$AD$3005,"保留中")&gt;0,"保留",IF(COUNTIFS(請求記録!$B$6:$B$3005,$A24,請求記録!$X$6:$X$3005,P$5)=0,"",SUMIFS(請求記録!$AC$6:$AC$3005,請求記録!$B$6:$B$3005,$A24,請求記録!$X$6:$X$3005,P$5))))</f>
        <v/>
      </c>
      <c r="Q24" s="19">
        <f>IF($A24="","",IF(COUNTIFS(請求記録!$B$6:$B$3005,$A24,請求記録!$X$6:$X$3005,Q$5,請求記録!$AD$6:$AD$3005,"保留中")&gt;0,"保留",IF(COUNTIFS(請求記録!$B$6:$B$3005,$A24,請求記録!$X$6:$X$3005,Q$5)=0,"",SUMIFS(請求記録!$AC$6:$AC$3005,請求記録!$B$6:$B$3005,$A24,請求記録!$X$6:$X$3005,Q$5))))</f>
        <v/>
      </c>
      <c r="R24" s="19">
        <f>IF($A24="","",IF(COUNTIFS(請求記録!$B$6:$B$3005,$A24,請求記録!$X$6:$X$3005,R$5,請求記録!$AD$6:$AD$3005,"保留中")&gt;0,"保留",IF(COUNTIFS(請求記録!$B$6:$B$3005,$A24,請求記録!$X$6:$X$3005,R$5)=0,"",SUMIFS(請求記録!$AC$6:$AC$3005,請求記録!$B$6:$B$3005,$A24,請求記録!$X$6:$X$3005,R$5))))</f>
        <v/>
      </c>
      <c r="S24" s="19">
        <f>IF($A24="","",IF(COUNTIFS(請求記録!$B$6:$B$3005,$A24,請求記録!$X$6:$X$3005,S$5,請求記録!$AD$6:$AD$3005,"保留中")&gt;0,"保留",IF(COUNTIFS(請求記録!$B$6:$B$3005,$A24,請求記録!$X$6:$X$3005,S$5)=0,"",SUMIFS(請求記録!$AC$6:$AC$3005,請求記録!$B$6:$B$3005,$A24,請求記録!$X$6:$X$3005,S$5))))</f>
        <v/>
      </c>
      <c r="T24" s="19">
        <f>IF($A24="","",IF(COUNTIFS(請求記録!$B$6:$B$3005,$A24,請求記録!$X$6:$X$3005,T$5,請求記録!$AD$6:$AD$3005,"保留中")&gt;0,"保留",IF(COUNTIFS(請求記録!$B$6:$B$3005,$A24,請求記録!$X$6:$X$3005,T$5)=0,"",SUMIFS(請求記録!$AC$6:$AC$3005,請求記録!$B$6:$B$3005,$A24,請求記録!$X$6:$X$3005,T$5))))</f>
        <v/>
      </c>
      <c r="U24" s="19">
        <f>IF($A24="","",IF(COUNTIFS(請求記録!$B$6:$B$3005,$A24,請求記録!$X$6:$X$3005,U$5,請求記録!$AD$6:$AD$3005,"保留中")&gt;0,"保留",IF(COUNTIFS(請求記録!$B$6:$B$3005,$A24,請求記録!$X$6:$X$3005,U$5)=0,"",SUMIFS(請求記録!$AC$6:$AC$3005,請求記録!$B$6:$B$3005,$A24,請求記録!$X$6:$X$3005,U$5))))</f>
        <v/>
      </c>
      <c r="V24" s="19">
        <f>IF($A24="","",IF(COUNTIFS(請求記録!$B$6:$B$3005,$A24,請求記録!$X$6:$X$3005,V$5,請求記録!$AD$6:$AD$3005,"保留中")&gt;0,"保留",IF(COUNTIFS(請求記録!$B$6:$B$3005,$A24,請求記録!$X$6:$X$3005,V$5)=0,"",SUMIFS(請求記録!$AC$6:$AC$3005,請求記録!$B$6:$B$3005,$A24,請求記録!$X$6:$X$3005,V$5))))</f>
        <v/>
      </c>
      <c r="W24" s="19">
        <f>IF($A24="","",IF(COUNTIFS(請求記録!$B$6:$B$3005,$A24,請求記録!$X$6:$X$3005,W$5,請求記録!$AD$6:$AD$3005,"保留中")&gt;0,"保留",IF(COUNTIFS(請求記録!$B$6:$B$3005,$A24,請求記録!$X$6:$X$3005,W$5)=0,"",SUMIFS(請求記録!$AC$6:$AC$3005,請求記録!$B$6:$B$3005,$A24,請求記録!$X$6:$X$3005,W$5))))</f>
        <v/>
      </c>
      <c r="X24" s="19">
        <f>IF($A24="","",IF(COUNTIFS(請求記録!$B$6:$B$3005,$A24,請求記録!$X$6:$X$3005,X$5,請求記録!$AD$6:$AD$3005,"保留中")&gt;0,"保留",IF(COUNTIFS(請求記録!$B$6:$B$3005,$A24,請求記録!$X$6:$X$3005,X$5)=0,"",SUMIFS(請求記録!$AC$6:$AC$3005,請求記録!$B$6:$B$3005,$A24,請求記録!$X$6:$X$3005,X$5))))</f>
        <v/>
      </c>
      <c r="Y24" s="19">
        <f>IF($A24="","",IF(COUNTIFS(請求記録!$B$6:$B$3005,$A24,請求記録!$X$6:$X$3005,Y$5,請求記録!$AD$6:$AD$3005,"保留中")&gt;0,"保留",IF(COUNTIFS(請求記録!$B$6:$B$3005,$A24,請求記録!$X$6:$X$3005,Y$5)=0,"",SUMIFS(請求記録!$AC$6:$AC$3005,請求記録!$B$6:$B$3005,$A24,請求記録!$X$6:$X$3005,Y$5))))</f>
        <v/>
      </c>
      <c r="Z24" s="19">
        <f>IF($A24="","",IF(COUNTIFS(請求記録!$B$6:$B$3005,$A24,請求記録!$X$6:$X$3005,Z$5,請求記録!$AD$6:$AD$3005,"保留中")&gt;0,"保留",IF(COUNTIFS(請求記録!$B$6:$B$3005,$A24,請求記録!$X$6:$X$3005,Z$5)=0,"",SUMIFS(請求記録!$AC$6:$AC$3005,請求記録!$B$6:$B$3005,$A24,請求記録!$X$6:$X$3005,Z$5))))</f>
        <v/>
      </c>
      <c r="AA24" s="19">
        <f>IF($A24="","",IF(COUNTIFS(請求記録!$B$6:$B$3005,$A24,請求記録!$X$6:$X$3005,AA$5,請求記録!$AD$6:$AD$3005,"保留中")&gt;0,"保留",IF(COUNTIFS(請求記録!$B$6:$B$3005,$A24,請求記録!$X$6:$X$3005,AA$5)=0,"",SUMIFS(請求記録!$AC$6:$AC$3005,請求記録!$B$6:$B$3005,$A24,請求記録!$X$6:$X$3005,AA$5))))</f>
        <v/>
      </c>
      <c r="AB24">
        <f>IF(職員マスタ!P24="保留中",職員マスタ!M24,"")</f>
        <v/>
      </c>
    </row>
    <row r="25">
      <c r="A25">
        <f>IF(職員マスタ!A25="","",職員マスタ!A25)</f>
        <v/>
      </c>
      <c r="B25">
        <f>IF($A25="","",職員マスタ!B25)</f>
        <v/>
      </c>
      <c r="C25">
        <f>IF($A25="","",職員マスタ!C25)</f>
        <v/>
      </c>
      <c r="D25" s="19">
        <f>IF($A25="","",IF(COUNTIFS(請求記録!$B$6:$B$3005,$A25,請求記録!$X$6:$X$3005,D$5,請求記録!$AD$6:$AD$3005,"保留中")&gt;0,"保留",IF(COUNTIFS(請求記録!$B$6:$B$3005,$A25,請求記録!$X$6:$X$3005,D$5)=0,"",SUMIFS(請求記録!$AC$6:$AC$3005,請求記録!$B$6:$B$3005,$A25,請求記録!$X$6:$X$3005,D$5))))</f>
        <v/>
      </c>
      <c r="E25" s="19">
        <f>IF($A25="","",IF(COUNTIFS(請求記録!$B$6:$B$3005,$A25,請求記録!$X$6:$X$3005,E$5,請求記録!$AD$6:$AD$3005,"保留中")&gt;0,"保留",IF(COUNTIFS(請求記録!$B$6:$B$3005,$A25,請求記録!$X$6:$X$3005,E$5)=0,"",SUMIFS(請求記録!$AC$6:$AC$3005,請求記録!$B$6:$B$3005,$A25,請求記録!$X$6:$X$3005,E$5))))</f>
        <v/>
      </c>
      <c r="F25" s="19">
        <f>IF($A25="","",IF(COUNTIFS(請求記録!$B$6:$B$3005,$A25,請求記録!$X$6:$X$3005,F$5,請求記録!$AD$6:$AD$3005,"保留中")&gt;0,"保留",IF(COUNTIFS(請求記録!$B$6:$B$3005,$A25,請求記録!$X$6:$X$3005,F$5)=0,"",SUMIFS(請求記録!$AC$6:$AC$3005,請求記録!$B$6:$B$3005,$A25,請求記録!$X$6:$X$3005,F$5))))</f>
        <v/>
      </c>
      <c r="G25" s="19">
        <f>IF($A25="","",IF(COUNTIFS(請求記録!$B$6:$B$3005,$A25,請求記録!$X$6:$X$3005,G$5,請求記録!$AD$6:$AD$3005,"保留中")&gt;0,"保留",IF(COUNTIFS(請求記録!$B$6:$B$3005,$A25,請求記録!$X$6:$X$3005,G$5)=0,"",SUMIFS(請求記録!$AC$6:$AC$3005,請求記録!$B$6:$B$3005,$A25,請求記録!$X$6:$X$3005,G$5))))</f>
        <v/>
      </c>
      <c r="H25" s="19">
        <f>IF($A25="","",IF(COUNTIFS(請求記録!$B$6:$B$3005,$A25,請求記録!$X$6:$X$3005,H$5,請求記録!$AD$6:$AD$3005,"保留中")&gt;0,"保留",IF(COUNTIFS(請求記録!$B$6:$B$3005,$A25,請求記録!$X$6:$X$3005,H$5)=0,"",SUMIFS(請求記録!$AC$6:$AC$3005,請求記録!$B$6:$B$3005,$A25,請求記録!$X$6:$X$3005,H$5))))</f>
        <v/>
      </c>
      <c r="I25" s="19">
        <f>IF($A25="","",IF(COUNTIFS(請求記録!$B$6:$B$3005,$A25,請求記録!$X$6:$X$3005,I$5,請求記録!$AD$6:$AD$3005,"保留中")&gt;0,"保留",IF(COUNTIFS(請求記録!$B$6:$B$3005,$A25,請求記録!$X$6:$X$3005,I$5)=0,"",SUMIFS(請求記録!$AC$6:$AC$3005,請求記録!$B$6:$B$3005,$A25,請求記録!$X$6:$X$3005,I$5))))</f>
        <v/>
      </c>
      <c r="J25" s="19">
        <f>IF($A25="","",IF(COUNTIFS(請求記録!$B$6:$B$3005,$A25,請求記録!$X$6:$X$3005,J$5,請求記録!$AD$6:$AD$3005,"保留中")&gt;0,"保留",IF(COUNTIFS(請求記録!$B$6:$B$3005,$A25,請求記録!$X$6:$X$3005,J$5)=0,"",SUMIFS(請求記録!$AC$6:$AC$3005,請求記録!$B$6:$B$3005,$A25,請求記録!$X$6:$X$3005,J$5))))</f>
        <v/>
      </c>
      <c r="K25" s="19">
        <f>IF($A25="","",IF(COUNTIFS(請求記録!$B$6:$B$3005,$A25,請求記録!$X$6:$X$3005,K$5,請求記録!$AD$6:$AD$3005,"保留中")&gt;0,"保留",IF(COUNTIFS(請求記録!$B$6:$B$3005,$A25,請求記録!$X$6:$X$3005,K$5)=0,"",SUMIFS(請求記録!$AC$6:$AC$3005,請求記録!$B$6:$B$3005,$A25,請求記録!$X$6:$X$3005,K$5))))</f>
        <v/>
      </c>
      <c r="L25" s="19">
        <f>IF($A25="","",IF(COUNTIFS(請求記録!$B$6:$B$3005,$A25,請求記録!$X$6:$X$3005,L$5,請求記録!$AD$6:$AD$3005,"保留中")&gt;0,"保留",IF(COUNTIFS(請求記録!$B$6:$B$3005,$A25,請求記録!$X$6:$X$3005,L$5)=0,"",SUMIFS(請求記録!$AC$6:$AC$3005,請求記録!$B$6:$B$3005,$A25,請求記録!$X$6:$X$3005,L$5))))</f>
        <v/>
      </c>
      <c r="M25" s="19">
        <f>IF($A25="","",IF(COUNTIFS(請求記録!$B$6:$B$3005,$A25,請求記録!$X$6:$X$3005,M$5,請求記録!$AD$6:$AD$3005,"保留中")&gt;0,"保留",IF(COUNTIFS(請求記録!$B$6:$B$3005,$A25,請求記録!$X$6:$X$3005,M$5)=0,"",SUMIFS(請求記録!$AC$6:$AC$3005,請求記録!$B$6:$B$3005,$A25,請求記録!$X$6:$X$3005,M$5))))</f>
        <v/>
      </c>
      <c r="N25" s="19">
        <f>IF($A25="","",IF(COUNTIFS(請求記録!$B$6:$B$3005,$A25,請求記録!$X$6:$X$3005,N$5,請求記録!$AD$6:$AD$3005,"保留中")&gt;0,"保留",IF(COUNTIFS(請求記録!$B$6:$B$3005,$A25,請求記録!$X$6:$X$3005,N$5)=0,"",SUMIFS(請求記録!$AC$6:$AC$3005,請求記録!$B$6:$B$3005,$A25,請求記録!$X$6:$X$3005,N$5))))</f>
        <v/>
      </c>
      <c r="O25" s="19">
        <f>IF($A25="","",IF(COUNTIFS(請求記録!$B$6:$B$3005,$A25,請求記録!$X$6:$X$3005,O$5,請求記録!$AD$6:$AD$3005,"保留中")&gt;0,"保留",IF(COUNTIFS(請求記録!$B$6:$B$3005,$A25,請求記録!$X$6:$X$3005,O$5)=0,"",SUMIFS(請求記録!$AC$6:$AC$3005,請求記録!$B$6:$B$3005,$A25,請求記録!$X$6:$X$3005,O$5))))</f>
        <v/>
      </c>
      <c r="P25" s="19">
        <f>IF($A25="","",IF(COUNTIFS(請求記録!$B$6:$B$3005,$A25,請求記録!$X$6:$X$3005,P$5,請求記録!$AD$6:$AD$3005,"保留中")&gt;0,"保留",IF(COUNTIFS(請求記録!$B$6:$B$3005,$A25,請求記録!$X$6:$X$3005,P$5)=0,"",SUMIFS(請求記録!$AC$6:$AC$3005,請求記録!$B$6:$B$3005,$A25,請求記録!$X$6:$X$3005,P$5))))</f>
        <v/>
      </c>
      <c r="Q25" s="19">
        <f>IF($A25="","",IF(COUNTIFS(請求記録!$B$6:$B$3005,$A25,請求記録!$X$6:$X$3005,Q$5,請求記録!$AD$6:$AD$3005,"保留中")&gt;0,"保留",IF(COUNTIFS(請求記録!$B$6:$B$3005,$A25,請求記録!$X$6:$X$3005,Q$5)=0,"",SUMIFS(請求記録!$AC$6:$AC$3005,請求記録!$B$6:$B$3005,$A25,請求記録!$X$6:$X$3005,Q$5))))</f>
        <v/>
      </c>
      <c r="R25" s="19">
        <f>IF($A25="","",IF(COUNTIFS(請求記録!$B$6:$B$3005,$A25,請求記録!$X$6:$X$3005,R$5,請求記録!$AD$6:$AD$3005,"保留中")&gt;0,"保留",IF(COUNTIFS(請求記録!$B$6:$B$3005,$A25,請求記録!$X$6:$X$3005,R$5)=0,"",SUMIFS(請求記録!$AC$6:$AC$3005,請求記録!$B$6:$B$3005,$A25,請求記録!$X$6:$X$3005,R$5))))</f>
        <v/>
      </c>
      <c r="S25" s="19">
        <f>IF($A25="","",IF(COUNTIFS(請求記録!$B$6:$B$3005,$A25,請求記録!$X$6:$X$3005,S$5,請求記録!$AD$6:$AD$3005,"保留中")&gt;0,"保留",IF(COUNTIFS(請求記録!$B$6:$B$3005,$A25,請求記録!$X$6:$X$3005,S$5)=0,"",SUMIFS(請求記録!$AC$6:$AC$3005,請求記録!$B$6:$B$3005,$A25,請求記録!$X$6:$X$3005,S$5))))</f>
        <v/>
      </c>
      <c r="T25" s="19">
        <f>IF($A25="","",IF(COUNTIFS(請求記録!$B$6:$B$3005,$A25,請求記録!$X$6:$X$3005,T$5,請求記録!$AD$6:$AD$3005,"保留中")&gt;0,"保留",IF(COUNTIFS(請求記録!$B$6:$B$3005,$A25,請求記録!$X$6:$X$3005,T$5)=0,"",SUMIFS(請求記録!$AC$6:$AC$3005,請求記録!$B$6:$B$3005,$A25,請求記録!$X$6:$X$3005,T$5))))</f>
        <v/>
      </c>
      <c r="U25" s="19">
        <f>IF($A25="","",IF(COUNTIFS(請求記録!$B$6:$B$3005,$A25,請求記録!$X$6:$X$3005,U$5,請求記録!$AD$6:$AD$3005,"保留中")&gt;0,"保留",IF(COUNTIFS(請求記録!$B$6:$B$3005,$A25,請求記録!$X$6:$X$3005,U$5)=0,"",SUMIFS(請求記録!$AC$6:$AC$3005,請求記録!$B$6:$B$3005,$A25,請求記録!$X$6:$X$3005,U$5))))</f>
        <v/>
      </c>
      <c r="V25" s="19">
        <f>IF($A25="","",IF(COUNTIFS(請求記録!$B$6:$B$3005,$A25,請求記録!$X$6:$X$3005,V$5,請求記録!$AD$6:$AD$3005,"保留中")&gt;0,"保留",IF(COUNTIFS(請求記録!$B$6:$B$3005,$A25,請求記録!$X$6:$X$3005,V$5)=0,"",SUMIFS(請求記録!$AC$6:$AC$3005,請求記録!$B$6:$B$3005,$A25,請求記録!$X$6:$X$3005,V$5))))</f>
        <v/>
      </c>
      <c r="W25" s="19">
        <f>IF($A25="","",IF(COUNTIFS(請求記録!$B$6:$B$3005,$A25,請求記録!$X$6:$X$3005,W$5,請求記録!$AD$6:$AD$3005,"保留中")&gt;0,"保留",IF(COUNTIFS(請求記録!$B$6:$B$3005,$A25,請求記録!$X$6:$X$3005,W$5)=0,"",SUMIFS(請求記録!$AC$6:$AC$3005,請求記録!$B$6:$B$3005,$A25,請求記録!$X$6:$X$3005,W$5))))</f>
        <v/>
      </c>
      <c r="X25" s="19">
        <f>IF($A25="","",IF(COUNTIFS(請求記録!$B$6:$B$3005,$A25,請求記録!$X$6:$X$3005,X$5,請求記録!$AD$6:$AD$3005,"保留中")&gt;0,"保留",IF(COUNTIFS(請求記録!$B$6:$B$3005,$A25,請求記録!$X$6:$X$3005,X$5)=0,"",SUMIFS(請求記録!$AC$6:$AC$3005,請求記録!$B$6:$B$3005,$A25,請求記録!$X$6:$X$3005,X$5))))</f>
        <v/>
      </c>
      <c r="Y25" s="19">
        <f>IF($A25="","",IF(COUNTIFS(請求記録!$B$6:$B$3005,$A25,請求記録!$X$6:$X$3005,Y$5,請求記録!$AD$6:$AD$3005,"保留中")&gt;0,"保留",IF(COUNTIFS(請求記録!$B$6:$B$3005,$A25,請求記録!$X$6:$X$3005,Y$5)=0,"",SUMIFS(請求記録!$AC$6:$AC$3005,請求記録!$B$6:$B$3005,$A25,請求記録!$X$6:$X$3005,Y$5))))</f>
        <v/>
      </c>
      <c r="Z25" s="19">
        <f>IF($A25="","",IF(COUNTIFS(請求記録!$B$6:$B$3005,$A25,請求記録!$X$6:$X$3005,Z$5,請求記録!$AD$6:$AD$3005,"保留中")&gt;0,"保留",IF(COUNTIFS(請求記録!$B$6:$B$3005,$A25,請求記録!$X$6:$X$3005,Z$5)=0,"",SUMIFS(請求記録!$AC$6:$AC$3005,請求記録!$B$6:$B$3005,$A25,請求記録!$X$6:$X$3005,Z$5))))</f>
        <v/>
      </c>
      <c r="AA25" s="19">
        <f>IF($A25="","",IF(COUNTIFS(請求記録!$B$6:$B$3005,$A25,請求記録!$X$6:$X$3005,AA$5,請求記録!$AD$6:$AD$3005,"保留中")&gt;0,"保留",IF(COUNTIFS(請求記録!$B$6:$B$3005,$A25,請求記録!$X$6:$X$3005,AA$5)=0,"",SUMIFS(請求記録!$AC$6:$AC$3005,請求記録!$B$6:$B$3005,$A25,請求記録!$X$6:$X$3005,AA$5))))</f>
        <v/>
      </c>
      <c r="AB25">
        <f>IF(職員マスタ!P25="保留中",職員マスタ!M25,"")</f>
        <v/>
      </c>
    </row>
    <row r="26">
      <c r="A26">
        <f>IF(職員マスタ!A26="","",職員マスタ!A26)</f>
        <v/>
      </c>
      <c r="B26">
        <f>IF($A26="","",職員マスタ!B26)</f>
        <v/>
      </c>
      <c r="C26">
        <f>IF($A26="","",職員マスタ!C26)</f>
        <v/>
      </c>
      <c r="D26" s="19">
        <f>IF($A26="","",IF(COUNTIFS(請求記録!$B$6:$B$3005,$A26,請求記録!$X$6:$X$3005,D$5,請求記録!$AD$6:$AD$3005,"保留中")&gt;0,"保留",IF(COUNTIFS(請求記録!$B$6:$B$3005,$A26,請求記録!$X$6:$X$3005,D$5)=0,"",SUMIFS(請求記録!$AC$6:$AC$3005,請求記録!$B$6:$B$3005,$A26,請求記録!$X$6:$X$3005,D$5))))</f>
        <v/>
      </c>
      <c r="E26" s="19">
        <f>IF($A26="","",IF(COUNTIFS(請求記録!$B$6:$B$3005,$A26,請求記録!$X$6:$X$3005,E$5,請求記録!$AD$6:$AD$3005,"保留中")&gt;0,"保留",IF(COUNTIFS(請求記録!$B$6:$B$3005,$A26,請求記録!$X$6:$X$3005,E$5)=0,"",SUMIFS(請求記録!$AC$6:$AC$3005,請求記録!$B$6:$B$3005,$A26,請求記録!$X$6:$X$3005,E$5))))</f>
        <v/>
      </c>
      <c r="F26" s="19">
        <f>IF($A26="","",IF(COUNTIFS(請求記録!$B$6:$B$3005,$A26,請求記録!$X$6:$X$3005,F$5,請求記録!$AD$6:$AD$3005,"保留中")&gt;0,"保留",IF(COUNTIFS(請求記録!$B$6:$B$3005,$A26,請求記録!$X$6:$X$3005,F$5)=0,"",SUMIFS(請求記録!$AC$6:$AC$3005,請求記録!$B$6:$B$3005,$A26,請求記録!$X$6:$X$3005,F$5))))</f>
        <v/>
      </c>
      <c r="G26" s="19">
        <f>IF($A26="","",IF(COUNTIFS(請求記録!$B$6:$B$3005,$A26,請求記録!$X$6:$X$3005,G$5,請求記録!$AD$6:$AD$3005,"保留中")&gt;0,"保留",IF(COUNTIFS(請求記録!$B$6:$B$3005,$A26,請求記録!$X$6:$X$3005,G$5)=0,"",SUMIFS(請求記録!$AC$6:$AC$3005,請求記録!$B$6:$B$3005,$A26,請求記録!$X$6:$X$3005,G$5))))</f>
        <v/>
      </c>
      <c r="H26" s="19">
        <f>IF($A26="","",IF(COUNTIFS(請求記録!$B$6:$B$3005,$A26,請求記録!$X$6:$X$3005,H$5,請求記録!$AD$6:$AD$3005,"保留中")&gt;0,"保留",IF(COUNTIFS(請求記録!$B$6:$B$3005,$A26,請求記録!$X$6:$X$3005,H$5)=0,"",SUMIFS(請求記録!$AC$6:$AC$3005,請求記録!$B$6:$B$3005,$A26,請求記録!$X$6:$X$3005,H$5))))</f>
        <v/>
      </c>
      <c r="I26" s="19">
        <f>IF($A26="","",IF(COUNTIFS(請求記録!$B$6:$B$3005,$A26,請求記録!$X$6:$X$3005,I$5,請求記録!$AD$6:$AD$3005,"保留中")&gt;0,"保留",IF(COUNTIFS(請求記録!$B$6:$B$3005,$A26,請求記録!$X$6:$X$3005,I$5)=0,"",SUMIFS(請求記録!$AC$6:$AC$3005,請求記録!$B$6:$B$3005,$A26,請求記録!$X$6:$X$3005,I$5))))</f>
        <v/>
      </c>
      <c r="J26" s="19">
        <f>IF($A26="","",IF(COUNTIFS(請求記録!$B$6:$B$3005,$A26,請求記録!$X$6:$X$3005,J$5,請求記録!$AD$6:$AD$3005,"保留中")&gt;0,"保留",IF(COUNTIFS(請求記録!$B$6:$B$3005,$A26,請求記録!$X$6:$X$3005,J$5)=0,"",SUMIFS(請求記録!$AC$6:$AC$3005,請求記録!$B$6:$B$3005,$A26,請求記録!$X$6:$X$3005,J$5))))</f>
        <v/>
      </c>
      <c r="K26" s="19">
        <f>IF($A26="","",IF(COUNTIFS(請求記録!$B$6:$B$3005,$A26,請求記録!$X$6:$X$3005,K$5,請求記録!$AD$6:$AD$3005,"保留中")&gt;0,"保留",IF(COUNTIFS(請求記録!$B$6:$B$3005,$A26,請求記録!$X$6:$X$3005,K$5)=0,"",SUMIFS(請求記録!$AC$6:$AC$3005,請求記録!$B$6:$B$3005,$A26,請求記録!$X$6:$X$3005,K$5))))</f>
        <v/>
      </c>
      <c r="L26" s="19">
        <f>IF($A26="","",IF(COUNTIFS(請求記録!$B$6:$B$3005,$A26,請求記録!$X$6:$X$3005,L$5,請求記録!$AD$6:$AD$3005,"保留中")&gt;0,"保留",IF(COUNTIFS(請求記録!$B$6:$B$3005,$A26,請求記録!$X$6:$X$3005,L$5)=0,"",SUMIFS(請求記録!$AC$6:$AC$3005,請求記録!$B$6:$B$3005,$A26,請求記録!$X$6:$X$3005,L$5))))</f>
        <v/>
      </c>
      <c r="M26" s="19">
        <f>IF($A26="","",IF(COUNTIFS(請求記録!$B$6:$B$3005,$A26,請求記録!$X$6:$X$3005,M$5,請求記録!$AD$6:$AD$3005,"保留中")&gt;0,"保留",IF(COUNTIFS(請求記録!$B$6:$B$3005,$A26,請求記録!$X$6:$X$3005,M$5)=0,"",SUMIFS(請求記録!$AC$6:$AC$3005,請求記録!$B$6:$B$3005,$A26,請求記録!$X$6:$X$3005,M$5))))</f>
        <v/>
      </c>
      <c r="N26" s="19">
        <f>IF($A26="","",IF(COUNTIFS(請求記録!$B$6:$B$3005,$A26,請求記録!$X$6:$X$3005,N$5,請求記録!$AD$6:$AD$3005,"保留中")&gt;0,"保留",IF(COUNTIFS(請求記録!$B$6:$B$3005,$A26,請求記録!$X$6:$X$3005,N$5)=0,"",SUMIFS(請求記録!$AC$6:$AC$3005,請求記録!$B$6:$B$3005,$A26,請求記録!$X$6:$X$3005,N$5))))</f>
        <v/>
      </c>
      <c r="O26" s="19">
        <f>IF($A26="","",IF(COUNTIFS(請求記録!$B$6:$B$3005,$A26,請求記録!$X$6:$X$3005,O$5,請求記録!$AD$6:$AD$3005,"保留中")&gt;0,"保留",IF(COUNTIFS(請求記録!$B$6:$B$3005,$A26,請求記録!$X$6:$X$3005,O$5)=0,"",SUMIFS(請求記録!$AC$6:$AC$3005,請求記録!$B$6:$B$3005,$A26,請求記録!$X$6:$X$3005,O$5))))</f>
        <v/>
      </c>
      <c r="P26" s="19">
        <f>IF($A26="","",IF(COUNTIFS(請求記録!$B$6:$B$3005,$A26,請求記録!$X$6:$X$3005,P$5,請求記録!$AD$6:$AD$3005,"保留中")&gt;0,"保留",IF(COUNTIFS(請求記録!$B$6:$B$3005,$A26,請求記録!$X$6:$X$3005,P$5)=0,"",SUMIFS(請求記録!$AC$6:$AC$3005,請求記録!$B$6:$B$3005,$A26,請求記録!$X$6:$X$3005,P$5))))</f>
        <v/>
      </c>
      <c r="Q26" s="19">
        <f>IF($A26="","",IF(COUNTIFS(請求記録!$B$6:$B$3005,$A26,請求記録!$X$6:$X$3005,Q$5,請求記録!$AD$6:$AD$3005,"保留中")&gt;0,"保留",IF(COUNTIFS(請求記録!$B$6:$B$3005,$A26,請求記録!$X$6:$X$3005,Q$5)=0,"",SUMIFS(請求記録!$AC$6:$AC$3005,請求記録!$B$6:$B$3005,$A26,請求記録!$X$6:$X$3005,Q$5))))</f>
        <v/>
      </c>
      <c r="R26" s="19">
        <f>IF($A26="","",IF(COUNTIFS(請求記録!$B$6:$B$3005,$A26,請求記録!$X$6:$X$3005,R$5,請求記録!$AD$6:$AD$3005,"保留中")&gt;0,"保留",IF(COUNTIFS(請求記録!$B$6:$B$3005,$A26,請求記録!$X$6:$X$3005,R$5)=0,"",SUMIFS(請求記録!$AC$6:$AC$3005,請求記録!$B$6:$B$3005,$A26,請求記録!$X$6:$X$3005,R$5))))</f>
        <v/>
      </c>
      <c r="S26" s="19">
        <f>IF($A26="","",IF(COUNTIFS(請求記録!$B$6:$B$3005,$A26,請求記録!$X$6:$X$3005,S$5,請求記録!$AD$6:$AD$3005,"保留中")&gt;0,"保留",IF(COUNTIFS(請求記録!$B$6:$B$3005,$A26,請求記録!$X$6:$X$3005,S$5)=0,"",SUMIFS(請求記録!$AC$6:$AC$3005,請求記録!$B$6:$B$3005,$A26,請求記録!$X$6:$X$3005,S$5))))</f>
        <v/>
      </c>
      <c r="T26" s="19">
        <f>IF($A26="","",IF(COUNTIFS(請求記録!$B$6:$B$3005,$A26,請求記録!$X$6:$X$3005,T$5,請求記録!$AD$6:$AD$3005,"保留中")&gt;0,"保留",IF(COUNTIFS(請求記録!$B$6:$B$3005,$A26,請求記録!$X$6:$X$3005,T$5)=0,"",SUMIFS(請求記録!$AC$6:$AC$3005,請求記録!$B$6:$B$3005,$A26,請求記録!$X$6:$X$3005,T$5))))</f>
        <v/>
      </c>
      <c r="U26" s="19">
        <f>IF($A26="","",IF(COUNTIFS(請求記録!$B$6:$B$3005,$A26,請求記録!$X$6:$X$3005,U$5,請求記録!$AD$6:$AD$3005,"保留中")&gt;0,"保留",IF(COUNTIFS(請求記録!$B$6:$B$3005,$A26,請求記録!$X$6:$X$3005,U$5)=0,"",SUMIFS(請求記録!$AC$6:$AC$3005,請求記録!$B$6:$B$3005,$A26,請求記録!$X$6:$X$3005,U$5))))</f>
        <v/>
      </c>
      <c r="V26" s="19">
        <f>IF($A26="","",IF(COUNTIFS(請求記録!$B$6:$B$3005,$A26,請求記録!$X$6:$X$3005,V$5,請求記録!$AD$6:$AD$3005,"保留中")&gt;0,"保留",IF(COUNTIFS(請求記録!$B$6:$B$3005,$A26,請求記録!$X$6:$X$3005,V$5)=0,"",SUMIFS(請求記録!$AC$6:$AC$3005,請求記録!$B$6:$B$3005,$A26,請求記録!$X$6:$X$3005,V$5))))</f>
        <v/>
      </c>
      <c r="W26" s="19">
        <f>IF($A26="","",IF(COUNTIFS(請求記録!$B$6:$B$3005,$A26,請求記録!$X$6:$X$3005,W$5,請求記録!$AD$6:$AD$3005,"保留中")&gt;0,"保留",IF(COUNTIFS(請求記録!$B$6:$B$3005,$A26,請求記録!$X$6:$X$3005,W$5)=0,"",SUMIFS(請求記録!$AC$6:$AC$3005,請求記録!$B$6:$B$3005,$A26,請求記録!$X$6:$X$3005,W$5))))</f>
        <v/>
      </c>
      <c r="X26" s="19">
        <f>IF($A26="","",IF(COUNTIFS(請求記録!$B$6:$B$3005,$A26,請求記録!$X$6:$X$3005,X$5,請求記録!$AD$6:$AD$3005,"保留中")&gt;0,"保留",IF(COUNTIFS(請求記録!$B$6:$B$3005,$A26,請求記録!$X$6:$X$3005,X$5)=0,"",SUMIFS(請求記録!$AC$6:$AC$3005,請求記録!$B$6:$B$3005,$A26,請求記録!$X$6:$X$3005,X$5))))</f>
        <v/>
      </c>
      <c r="Y26" s="19">
        <f>IF($A26="","",IF(COUNTIFS(請求記録!$B$6:$B$3005,$A26,請求記録!$X$6:$X$3005,Y$5,請求記録!$AD$6:$AD$3005,"保留中")&gt;0,"保留",IF(COUNTIFS(請求記録!$B$6:$B$3005,$A26,請求記録!$X$6:$X$3005,Y$5)=0,"",SUMIFS(請求記録!$AC$6:$AC$3005,請求記録!$B$6:$B$3005,$A26,請求記録!$X$6:$X$3005,Y$5))))</f>
        <v/>
      </c>
      <c r="Z26" s="19">
        <f>IF($A26="","",IF(COUNTIFS(請求記録!$B$6:$B$3005,$A26,請求記録!$X$6:$X$3005,Z$5,請求記録!$AD$6:$AD$3005,"保留中")&gt;0,"保留",IF(COUNTIFS(請求記録!$B$6:$B$3005,$A26,請求記録!$X$6:$X$3005,Z$5)=0,"",SUMIFS(請求記録!$AC$6:$AC$3005,請求記録!$B$6:$B$3005,$A26,請求記録!$X$6:$X$3005,Z$5))))</f>
        <v/>
      </c>
      <c r="AA26" s="19">
        <f>IF($A26="","",IF(COUNTIFS(請求記録!$B$6:$B$3005,$A26,請求記録!$X$6:$X$3005,AA$5,請求記録!$AD$6:$AD$3005,"保留中")&gt;0,"保留",IF(COUNTIFS(請求記録!$B$6:$B$3005,$A26,請求記録!$X$6:$X$3005,AA$5)=0,"",SUMIFS(請求記録!$AC$6:$AC$3005,請求記録!$B$6:$B$3005,$A26,請求記録!$X$6:$X$3005,AA$5))))</f>
        <v/>
      </c>
      <c r="AB26">
        <f>IF(職員マスタ!P26="保留中",職員マスタ!M26,"")</f>
        <v/>
      </c>
    </row>
    <row r="27">
      <c r="A27">
        <f>IF(職員マスタ!A27="","",職員マスタ!A27)</f>
        <v/>
      </c>
      <c r="B27">
        <f>IF($A27="","",職員マスタ!B27)</f>
        <v/>
      </c>
      <c r="C27">
        <f>IF($A27="","",職員マスタ!C27)</f>
        <v/>
      </c>
      <c r="D27" s="19">
        <f>IF($A27="","",IF(COUNTIFS(請求記録!$B$6:$B$3005,$A27,請求記録!$X$6:$X$3005,D$5,請求記録!$AD$6:$AD$3005,"保留中")&gt;0,"保留",IF(COUNTIFS(請求記録!$B$6:$B$3005,$A27,請求記録!$X$6:$X$3005,D$5)=0,"",SUMIFS(請求記録!$AC$6:$AC$3005,請求記録!$B$6:$B$3005,$A27,請求記録!$X$6:$X$3005,D$5))))</f>
        <v/>
      </c>
      <c r="E27" s="19">
        <f>IF($A27="","",IF(COUNTIFS(請求記録!$B$6:$B$3005,$A27,請求記録!$X$6:$X$3005,E$5,請求記録!$AD$6:$AD$3005,"保留中")&gt;0,"保留",IF(COUNTIFS(請求記録!$B$6:$B$3005,$A27,請求記録!$X$6:$X$3005,E$5)=0,"",SUMIFS(請求記録!$AC$6:$AC$3005,請求記録!$B$6:$B$3005,$A27,請求記録!$X$6:$X$3005,E$5))))</f>
        <v/>
      </c>
      <c r="F27" s="19">
        <f>IF($A27="","",IF(COUNTIFS(請求記録!$B$6:$B$3005,$A27,請求記録!$X$6:$X$3005,F$5,請求記録!$AD$6:$AD$3005,"保留中")&gt;0,"保留",IF(COUNTIFS(請求記録!$B$6:$B$3005,$A27,請求記録!$X$6:$X$3005,F$5)=0,"",SUMIFS(請求記録!$AC$6:$AC$3005,請求記録!$B$6:$B$3005,$A27,請求記録!$X$6:$X$3005,F$5))))</f>
        <v/>
      </c>
      <c r="G27" s="19">
        <f>IF($A27="","",IF(COUNTIFS(請求記録!$B$6:$B$3005,$A27,請求記録!$X$6:$X$3005,G$5,請求記録!$AD$6:$AD$3005,"保留中")&gt;0,"保留",IF(COUNTIFS(請求記録!$B$6:$B$3005,$A27,請求記録!$X$6:$X$3005,G$5)=0,"",SUMIFS(請求記録!$AC$6:$AC$3005,請求記録!$B$6:$B$3005,$A27,請求記録!$X$6:$X$3005,G$5))))</f>
        <v/>
      </c>
      <c r="H27" s="19">
        <f>IF($A27="","",IF(COUNTIFS(請求記録!$B$6:$B$3005,$A27,請求記録!$X$6:$X$3005,H$5,請求記録!$AD$6:$AD$3005,"保留中")&gt;0,"保留",IF(COUNTIFS(請求記録!$B$6:$B$3005,$A27,請求記録!$X$6:$X$3005,H$5)=0,"",SUMIFS(請求記録!$AC$6:$AC$3005,請求記録!$B$6:$B$3005,$A27,請求記録!$X$6:$X$3005,H$5))))</f>
        <v/>
      </c>
      <c r="I27" s="19">
        <f>IF($A27="","",IF(COUNTIFS(請求記録!$B$6:$B$3005,$A27,請求記録!$X$6:$X$3005,I$5,請求記録!$AD$6:$AD$3005,"保留中")&gt;0,"保留",IF(COUNTIFS(請求記録!$B$6:$B$3005,$A27,請求記録!$X$6:$X$3005,I$5)=0,"",SUMIFS(請求記録!$AC$6:$AC$3005,請求記録!$B$6:$B$3005,$A27,請求記録!$X$6:$X$3005,I$5))))</f>
        <v/>
      </c>
      <c r="J27" s="19">
        <f>IF($A27="","",IF(COUNTIFS(請求記録!$B$6:$B$3005,$A27,請求記録!$X$6:$X$3005,J$5,請求記録!$AD$6:$AD$3005,"保留中")&gt;0,"保留",IF(COUNTIFS(請求記録!$B$6:$B$3005,$A27,請求記録!$X$6:$X$3005,J$5)=0,"",SUMIFS(請求記録!$AC$6:$AC$3005,請求記録!$B$6:$B$3005,$A27,請求記録!$X$6:$X$3005,J$5))))</f>
        <v/>
      </c>
      <c r="K27" s="19">
        <f>IF($A27="","",IF(COUNTIFS(請求記録!$B$6:$B$3005,$A27,請求記録!$X$6:$X$3005,K$5,請求記録!$AD$6:$AD$3005,"保留中")&gt;0,"保留",IF(COUNTIFS(請求記録!$B$6:$B$3005,$A27,請求記録!$X$6:$X$3005,K$5)=0,"",SUMIFS(請求記録!$AC$6:$AC$3005,請求記録!$B$6:$B$3005,$A27,請求記録!$X$6:$X$3005,K$5))))</f>
        <v/>
      </c>
      <c r="L27" s="19">
        <f>IF($A27="","",IF(COUNTIFS(請求記録!$B$6:$B$3005,$A27,請求記録!$X$6:$X$3005,L$5,請求記録!$AD$6:$AD$3005,"保留中")&gt;0,"保留",IF(COUNTIFS(請求記録!$B$6:$B$3005,$A27,請求記録!$X$6:$X$3005,L$5)=0,"",SUMIFS(請求記録!$AC$6:$AC$3005,請求記録!$B$6:$B$3005,$A27,請求記録!$X$6:$X$3005,L$5))))</f>
        <v/>
      </c>
      <c r="M27" s="19">
        <f>IF($A27="","",IF(COUNTIFS(請求記録!$B$6:$B$3005,$A27,請求記録!$X$6:$X$3005,M$5,請求記録!$AD$6:$AD$3005,"保留中")&gt;0,"保留",IF(COUNTIFS(請求記録!$B$6:$B$3005,$A27,請求記録!$X$6:$X$3005,M$5)=0,"",SUMIFS(請求記録!$AC$6:$AC$3005,請求記録!$B$6:$B$3005,$A27,請求記録!$X$6:$X$3005,M$5))))</f>
        <v/>
      </c>
      <c r="N27" s="19">
        <f>IF($A27="","",IF(COUNTIFS(請求記録!$B$6:$B$3005,$A27,請求記録!$X$6:$X$3005,N$5,請求記録!$AD$6:$AD$3005,"保留中")&gt;0,"保留",IF(COUNTIFS(請求記録!$B$6:$B$3005,$A27,請求記録!$X$6:$X$3005,N$5)=0,"",SUMIFS(請求記録!$AC$6:$AC$3005,請求記録!$B$6:$B$3005,$A27,請求記録!$X$6:$X$3005,N$5))))</f>
        <v/>
      </c>
      <c r="O27" s="19">
        <f>IF($A27="","",IF(COUNTIFS(請求記録!$B$6:$B$3005,$A27,請求記録!$X$6:$X$3005,O$5,請求記録!$AD$6:$AD$3005,"保留中")&gt;0,"保留",IF(COUNTIFS(請求記録!$B$6:$B$3005,$A27,請求記録!$X$6:$X$3005,O$5)=0,"",SUMIFS(請求記録!$AC$6:$AC$3005,請求記録!$B$6:$B$3005,$A27,請求記録!$X$6:$X$3005,O$5))))</f>
        <v/>
      </c>
      <c r="P27" s="19">
        <f>IF($A27="","",IF(COUNTIFS(請求記録!$B$6:$B$3005,$A27,請求記録!$X$6:$X$3005,P$5,請求記録!$AD$6:$AD$3005,"保留中")&gt;0,"保留",IF(COUNTIFS(請求記録!$B$6:$B$3005,$A27,請求記録!$X$6:$X$3005,P$5)=0,"",SUMIFS(請求記録!$AC$6:$AC$3005,請求記録!$B$6:$B$3005,$A27,請求記録!$X$6:$X$3005,P$5))))</f>
        <v/>
      </c>
      <c r="Q27" s="19">
        <f>IF($A27="","",IF(COUNTIFS(請求記録!$B$6:$B$3005,$A27,請求記録!$X$6:$X$3005,Q$5,請求記録!$AD$6:$AD$3005,"保留中")&gt;0,"保留",IF(COUNTIFS(請求記録!$B$6:$B$3005,$A27,請求記録!$X$6:$X$3005,Q$5)=0,"",SUMIFS(請求記録!$AC$6:$AC$3005,請求記録!$B$6:$B$3005,$A27,請求記録!$X$6:$X$3005,Q$5))))</f>
        <v/>
      </c>
      <c r="R27" s="19">
        <f>IF($A27="","",IF(COUNTIFS(請求記録!$B$6:$B$3005,$A27,請求記録!$X$6:$X$3005,R$5,請求記録!$AD$6:$AD$3005,"保留中")&gt;0,"保留",IF(COUNTIFS(請求記録!$B$6:$B$3005,$A27,請求記録!$X$6:$X$3005,R$5)=0,"",SUMIFS(請求記録!$AC$6:$AC$3005,請求記録!$B$6:$B$3005,$A27,請求記録!$X$6:$X$3005,R$5))))</f>
        <v/>
      </c>
      <c r="S27" s="19">
        <f>IF($A27="","",IF(COUNTIFS(請求記録!$B$6:$B$3005,$A27,請求記録!$X$6:$X$3005,S$5,請求記録!$AD$6:$AD$3005,"保留中")&gt;0,"保留",IF(COUNTIFS(請求記録!$B$6:$B$3005,$A27,請求記録!$X$6:$X$3005,S$5)=0,"",SUMIFS(請求記録!$AC$6:$AC$3005,請求記録!$B$6:$B$3005,$A27,請求記録!$X$6:$X$3005,S$5))))</f>
        <v/>
      </c>
      <c r="T27" s="19">
        <f>IF($A27="","",IF(COUNTIFS(請求記録!$B$6:$B$3005,$A27,請求記録!$X$6:$X$3005,T$5,請求記録!$AD$6:$AD$3005,"保留中")&gt;0,"保留",IF(COUNTIFS(請求記録!$B$6:$B$3005,$A27,請求記録!$X$6:$X$3005,T$5)=0,"",SUMIFS(請求記録!$AC$6:$AC$3005,請求記録!$B$6:$B$3005,$A27,請求記録!$X$6:$X$3005,T$5))))</f>
        <v/>
      </c>
      <c r="U27" s="19">
        <f>IF($A27="","",IF(COUNTIFS(請求記録!$B$6:$B$3005,$A27,請求記録!$X$6:$X$3005,U$5,請求記録!$AD$6:$AD$3005,"保留中")&gt;0,"保留",IF(COUNTIFS(請求記録!$B$6:$B$3005,$A27,請求記録!$X$6:$X$3005,U$5)=0,"",SUMIFS(請求記録!$AC$6:$AC$3005,請求記録!$B$6:$B$3005,$A27,請求記録!$X$6:$X$3005,U$5))))</f>
        <v/>
      </c>
      <c r="V27" s="19">
        <f>IF($A27="","",IF(COUNTIFS(請求記録!$B$6:$B$3005,$A27,請求記録!$X$6:$X$3005,V$5,請求記録!$AD$6:$AD$3005,"保留中")&gt;0,"保留",IF(COUNTIFS(請求記録!$B$6:$B$3005,$A27,請求記録!$X$6:$X$3005,V$5)=0,"",SUMIFS(請求記録!$AC$6:$AC$3005,請求記録!$B$6:$B$3005,$A27,請求記録!$X$6:$X$3005,V$5))))</f>
        <v/>
      </c>
      <c r="W27" s="19">
        <f>IF($A27="","",IF(COUNTIFS(請求記録!$B$6:$B$3005,$A27,請求記録!$X$6:$X$3005,W$5,請求記録!$AD$6:$AD$3005,"保留中")&gt;0,"保留",IF(COUNTIFS(請求記録!$B$6:$B$3005,$A27,請求記録!$X$6:$X$3005,W$5)=0,"",SUMIFS(請求記録!$AC$6:$AC$3005,請求記録!$B$6:$B$3005,$A27,請求記録!$X$6:$X$3005,W$5))))</f>
        <v/>
      </c>
      <c r="X27" s="19">
        <f>IF($A27="","",IF(COUNTIFS(請求記録!$B$6:$B$3005,$A27,請求記録!$X$6:$X$3005,X$5,請求記録!$AD$6:$AD$3005,"保留中")&gt;0,"保留",IF(COUNTIFS(請求記録!$B$6:$B$3005,$A27,請求記録!$X$6:$X$3005,X$5)=0,"",SUMIFS(請求記録!$AC$6:$AC$3005,請求記録!$B$6:$B$3005,$A27,請求記録!$X$6:$X$3005,X$5))))</f>
        <v/>
      </c>
      <c r="Y27" s="19">
        <f>IF($A27="","",IF(COUNTIFS(請求記録!$B$6:$B$3005,$A27,請求記録!$X$6:$X$3005,Y$5,請求記録!$AD$6:$AD$3005,"保留中")&gt;0,"保留",IF(COUNTIFS(請求記録!$B$6:$B$3005,$A27,請求記録!$X$6:$X$3005,Y$5)=0,"",SUMIFS(請求記録!$AC$6:$AC$3005,請求記録!$B$6:$B$3005,$A27,請求記録!$X$6:$X$3005,Y$5))))</f>
        <v/>
      </c>
      <c r="Z27" s="19">
        <f>IF($A27="","",IF(COUNTIFS(請求記録!$B$6:$B$3005,$A27,請求記録!$X$6:$X$3005,Z$5,請求記録!$AD$6:$AD$3005,"保留中")&gt;0,"保留",IF(COUNTIFS(請求記録!$B$6:$B$3005,$A27,請求記録!$X$6:$X$3005,Z$5)=0,"",SUMIFS(請求記録!$AC$6:$AC$3005,請求記録!$B$6:$B$3005,$A27,請求記録!$X$6:$X$3005,Z$5))))</f>
        <v/>
      </c>
      <c r="AA27" s="19">
        <f>IF($A27="","",IF(COUNTIFS(請求記録!$B$6:$B$3005,$A27,請求記録!$X$6:$X$3005,AA$5,請求記録!$AD$6:$AD$3005,"保留中")&gt;0,"保留",IF(COUNTIFS(請求記録!$B$6:$B$3005,$A27,請求記録!$X$6:$X$3005,AA$5)=0,"",SUMIFS(請求記録!$AC$6:$AC$3005,請求記録!$B$6:$B$3005,$A27,請求記録!$X$6:$X$3005,AA$5))))</f>
        <v/>
      </c>
      <c r="AB27">
        <f>IF(職員マスタ!P27="保留中",職員マスタ!M27,"")</f>
        <v/>
      </c>
    </row>
    <row r="28">
      <c r="A28">
        <f>IF(職員マスタ!A28="","",職員マスタ!A28)</f>
        <v/>
      </c>
      <c r="B28">
        <f>IF($A28="","",職員マスタ!B28)</f>
        <v/>
      </c>
      <c r="C28">
        <f>IF($A28="","",職員マスタ!C28)</f>
        <v/>
      </c>
      <c r="D28" s="19">
        <f>IF($A28="","",IF(COUNTIFS(請求記録!$B$6:$B$3005,$A28,請求記録!$X$6:$X$3005,D$5,請求記録!$AD$6:$AD$3005,"保留中")&gt;0,"保留",IF(COUNTIFS(請求記録!$B$6:$B$3005,$A28,請求記録!$X$6:$X$3005,D$5)=0,"",SUMIFS(請求記録!$AC$6:$AC$3005,請求記録!$B$6:$B$3005,$A28,請求記録!$X$6:$X$3005,D$5))))</f>
        <v/>
      </c>
      <c r="E28" s="19">
        <f>IF($A28="","",IF(COUNTIFS(請求記録!$B$6:$B$3005,$A28,請求記録!$X$6:$X$3005,E$5,請求記録!$AD$6:$AD$3005,"保留中")&gt;0,"保留",IF(COUNTIFS(請求記録!$B$6:$B$3005,$A28,請求記録!$X$6:$X$3005,E$5)=0,"",SUMIFS(請求記録!$AC$6:$AC$3005,請求記録!$B$6:$B$3005,$A28,請求記録!$X$6:$X$3005,E$5))))</f>
        <v/>
      </c>
      <c r="F28" s="19">
        <f>IF($A28="","",IF(COUNTIFS(請求記録!$B$6:$B$3005,$A28,請求記録!$X$6:$X$3005,F$5,請求記録!$AD$6:$AD$3005,"保留中")&gt;0,"保留",IF(COUNTIFS(請求記録!$B$6:$B$3005,$A28,請求記録!$X$6:$X$3005,F$5)=0,"",SUMIFS(請求記録!$AC$6:$AC$3005,請求記録!$B$6:$B$3005,$A28,請求記録!$X$6:$X$3005,F$5))))</f>
        <v/>
      </c>
      <c r="G28" s="19">
        <f>IF($A28="","",IF(COUNTIFS(請求記録!$B$6:$B$3005,$A28,請求記録!$X$6:$X$3005,G$5,請求記録!$AD$6:$AD$3005,"保留中")&gt;0,"保留",IF(COUNTIFS(請求記録!$B$6:$B$3005,$A28,請求記録!$X$6:$X$3005,G$5)=0,"",SUMIFS(請求記録!$AC$6:$AC$3005,請求記録!$B$6:$B$3005,$A28,請求記録!$X$6:$X$3005,G$5))))</f>
        <v/>
      </c>
      <c r="H28" s="19">
        <f>IF($A28="","",IF(COUNTIFS(請求記録!$B$6:$B$3005,$A28,請求記録!$X$6:$X$3005,H$5,請求記録!$AD$6:$AD$3005,"保留中")&gt;0,"保留",IF(COUNTIFS(請求記録!$B$6:$B$3005,$A28,請求記録!$X$6:$X$3005,H$5)=0,"",SUMIFS(請求記録!$AC$6:$AC$3005,請求記録!$B$6:$B$3005,$A28,請求記録!$X$6:$X$3005,H$5))))</f>
        <v/>
      </c>
      <c r="I28" s="19">
        <f>IF($A28="","",IF(COUNTIFS(請求記録!$B$6:$B$3005,$A28,請求記録!$X$6:$X$3005,I$5,請求記録!$AD$6:$AD$3005,"保留中")&gt;0,"保留",IF(COUNTIFS(請求記録!$B$6:$B$3005,$A28,請求記録!$X$6:$X$3005,I$5)=0,"",SUMIFS(請求記録!$AC$6:$AC$3005,請求記録!$B$6:$B$3005,$A28,請求記録!$X$6:$X$3005,I$5))))</f>
        <v/>
      </c>
      <c r="J28" s="19">
        <f>IF($A28="","",IF(COUNTIFS(請求記録!$B$6:$B$3005,$A28,請求記録!$X$6:$X$3005,J$5,請求記録!$AD$6:$AD$3005,"保留中")&gt;0,"保留",IF(COUNTIFS(請求記録!$B$6:$B$3005,$A28,請求記録!$X$6:$X$3005,J$5)=0,"",SUMIFS(請求記録!$AC$6:$AC$3005,請求記録!$B$6:$B$3005,$A28,請求記録!$X$6:$X$3005,J$5))))</f>
        <v/>
      </c>
      <c r="K28" s="19">
        <f>IF($A28="","",IF(COUNTIFS(請求記録!$B$6:$B$3005,$A28,請求記録!$X$6:$X$3005,K$5,請求記録!$AD$6:$AD$3005,"保留中")&gt;0,"保留",IF(COUNTIFS(請求記録!$B$6:$B$3005,$A28,請求記録!$X$6:$X$3005,K$5)=0,"",SUMIFS(請求記録!$AC$6:$AC$3005,請求記録!$B$6:$B$3005,$A28,請求記録!$X$6:$X$3005,K$5))))</f>
        <v/>
      </c>
      <c r="L28" s="19">
        <f>IF($A28="","",IF(COUNTIFS(請求記録!$B$6:$B$3005,$A28,請求記録!$X$6:$X$3005,L$5,請求記録!$AD$6:$AD$3005,"保留中")&gt;0,"保留",IF(COUNTIFS(請求記録!$B$6:$B$3005,$A28,請求記録!$X$6:$X$3005,L$5)=0,"",SUMIFS(請求記録!$AC$6:$AC$3005,請求記録!$B$6:$B$3005,$A28,請求記録!$X$6:$X$3005,L$5))))</f>
        <v/>
      </c>
      <c r="M28" s="19">
        <f>IF($A28="","",IF(COUNTIFS(請求記録!$B$6:$B$3005,$A28,請求記録!$X$6:$X$3005,M$5,請求記録!$AD$6:$AD$3005,"保留中")&gt;0,"保留",IF(COUNTIFS(請求記録!$B$6:$B$3005,$A28,請求記録!$X$6:$X$3005,M$5)=0,"",SUMIFS(請求記録!$AC$6:$AC$3005,請求記録!$B$6:$B$3005,$A28,請求記録!$X$6:$X$3005,M$5))))</f>
        <v/>
      </c>
      <c r="N28" s="19">
        <f>IF($A28="","",IF(COUNTIFS(請求記録!$B$6:$B$3005,$A28,請求記録!$X$6:$X$3005,N$5,請求記録!$AD$6:$AD$3005,"保留中")&gt;0,"保留",IF(COUNTIFS(請求記録!$B$6:$B$3005,$A28,請求記録!$X$6:$X$3005,N$5)=0,"",SUMIFS(請求記録!$AC$6:$AC$3005,請求記録!$B$6:$B$3005,$A28,請求記録!$X$6:$X$3005,N$5))))</f>
        <v/>
      </c>
      <c r="O28" s="19">
        <f>IF($A28="","",IF(COUNTIFS(請求記録!$B$6:$B$3005,$A28,請求記録!$X$6:$X$3005,O$5,請求記録!$AD$6:$AD$3005,"保留中")&gt;0,"保留",IF(COUNTIFS(請求記録!$B$6:$B$3005,$A28,請求記録!$X$6:$X$3005,O$5)=0,"",SUMIFS(請求記録!$AC$6:$AC$3005,請求記録!$B$6:$B$3005,$A28,請求記録!$X$6:$X$3005,O$5))))</f>
        <v/>
      </c>
      <c r="P28" s="19">
        <f>IF($A28="","",IF(COUNTIFS(請求記録!$B$6:$B$3005,$A28,請求記録!$X$6:$X$3005,P$5,請求記録!$AD$6:$AD$3005,"保留中")&gt;0,"保留",IF(COUNTIFS(請求記録!$B$6:$B$3005,$A28,請求記録!$X$6:$X$3005,P$5)=0,"",SUMIFS(請求記録!$AC$6:$AC$3005,請求記録!$B$6:$B$3005,$A28,請求記録!$X$6:$X$3005,P$5))))</f>
        <v/>
      </c>
      <c r="Q28" s="19">
        <f>IF($A28="","",IF(COUNTIFS(請求記録!$B$6:$B$3005,$A28,請求記録!$X$6:$X$3005,Q$5,請求記録!$AD$6:$AD$3005,"保留中")&gt;0,"保留",IF(COUNTIFS(請求記録!$B$6:$B$3005,$A28,請求記録!$X$6:$X$3005,Q$5)=0,"",SUMIFS(請求記録!$AC$6:$AC$3005,請求記録!$B$6:$B$3005,$A28,請求記録!$X$6:$X$3005,Q$5))))</f>
        <v/>
      </c>
      <c r="R28" s="19">
        <f>IF($A28="","",IF(COUNTIFS(請求記録!$B$6:$B$3005,$A28,請求記録!$X$6:$X$3005,R$5,請求記録!$AD$6:$AD$3005,"保留中")&gt;0,"保留",IF(COUNTIFS(請求記録!$B$6:$B$3005,$A28,請求記録!$X$6:$X$3005,R$5)=0,"",SUMIFS(請求記録!$AC$6:$AC$3005,請求記録!$B$6:$B$3005,$A28,請求記録!$X$6:$X$3005,R$5))))</f>
        <v/>
      </c>
      <c r="S28" s="19">
        <f>IF($A28="","",IF(COUNTIFS(請求記録!$B$6:$B$3005,$A28,請求記録!$X$6:$X$3005,S$5,請求記録!$AD$6:$AD$3005,"保留中")&gt;0,"保留",IF(COUNTIFS(請求記録!$B$6:$B$3005,$A28,請求記録!$X$6:$X$3005,S$5)=0,"",SUMIFS(請求記録!$AC$6:$AC$3005,請求記録!$B$6:$B$3005,$A28,請求記録!$X$6:$X$3005,S$5))))</f>
        <v/>
      </c>
      <c r="T28" s="19">
        <f>IF($A28="","",IF(COUNTIFS(請求記録!$B$6:$B$3005,$A28,請求記録!$X$6:$X$3005,T$5,請求記録!$AD$6:$AD$3005,"保留中")&gt;0,"保留",IF(COUNTIFS(請求記録!$B$6:$B$3005,$A28,請求記録!$X$6:$X$3005,T$5)=0,"",SUMIFS(請求記録!$AC$6:$AC$3005,請求記録!$B$6:$B$3005,$A28,請求記録!$X$6:$X$3005,T$5))))</f>
        <v/>
      </c>
      <c r="U28" s="19">
        <f>IF($A28="","",IF(COUNTIFS(請求記録!$B$6:$B$3005,$A28,請求記録!$X$6:$X$3005,U$5,請求記録!$AD$6:$AD$3005,"保留中")&gt;0,"保留",IF(COUNTIFS(請求記録!$B$6:$B$3005,$A28,請求記録!$X$6:$X$3005,U$5)=0,"",SUMIFS(請求記録!$AC$6:$AC$3005,請求記録!$B$6:$B$3005,$A28,請求記録!$X$6:$X$3005,U$5))))</f>
        <v/>
      </c>
      <c r="V28" s="19">
        <f>IF($A28="","",IF(COUNTIFS(請求記録!$B$6:$B$3005,$A28,請求記録!$X$6:$X$3005,V$5,請求記録!$AD$6:$AD$3005,"保留中")&gt;0,"保留",IF(COUNTIFS(請求記録!$B$6:$B$3005,$A28,請求記録!$X$6:$X$3005,V$5)=0,"",SUMIFS(請求記録!$AC$6:$AC$3005,請求記録!$B$6:$B$3005,$A28,請求記録!$X$6:$X$3005,V$5))))</f>
        <v/>
      </c>
      <c r="W28" s="19">
        <f>IF($A28="","",IF(COUNTIFS(請求記録!$B$6:$B$3005,$A28,請求記録!$X$6:$X$3005,W$5,請求記録!$AD$6:$AD$3005,"保留中")&gt;0,"保留",IF(COUNTIFS(請求記録!$B$6:$B$3005,$A28,請求記録!$X$6:$X$3005,W$5)=0,"",SUMIFS(請求記録!$AC$6:$AC$3005,請求記録!$B$6:$B$3005,$A28,請求記録!$X$6:$X$3005,W$5))))</f>
        <v/>
      </c>
      <c r="X28" s="19">
        <f>IF($A28="","",IF(COUNTIFS(請求記録!$B$6:$B$3005,$A28,請求記録!$X$6:$X$3005,X$5,請求記録!$AD$6:$AD$3005,"保留中")&gt;0,"保留",IF(COUNTIFS(請求記録!$B$6:$B$3005,$A28,請求記録!$X$6:$X$3005,X$5)=0,"",SUMIFS(請求記録!$AC$6:$AC$3005,請求記録!$B$6:$B$3005,$A28,請求記録!$X$6:$X$3005,X$5))))</f>
        <v/>
      </c>
      <c r="Y28" s="19">
        <f>IF($A28="","",IF(COUNTIFS(請求記録!$B$6:$B$3005,$A28,請求記録!$X$6:$X$3005,Y$5,請求記録!$AD$6:$AD$3005,"保留中")&gt;0,"保留",IF(COUNTIFS(請求記録!$B$6:$B$3005,$A28,請求記録!$X$6:$X$3005,Y$5)=0,"",SUMIFS(請求記録!$AC$6:$AC$3005,請求記録!$B$6:$B$3005,$A28,請求記録!$X$6:$X$3005,Y$5))))</f>
        <v/>
      </c>
      <c r="Z28" s="19">
        <f>IF($A28="","",IF(COUNTIFS(請求記録!$B$6:$B$3005,$A28,請求記録!$X$6:$X$3005,Z$5,請求記録!$AD$6:$AD$3005,"保留中")&gt;0,"保留",IF(COUNTIFS(請求記録!$B$6:$B$3005,$A28,請求記録!$X$6:$X$3005,Z$5)=0,"",SUMIFS(請求記録!$AC$6:$AC$3005,請求記録!$B$6:$B$3005,$A28,請求記録!$X$6:$X$3005,Z$5))))</f>
        <v/>
      </c>
      <c r="AA28" s="19">
        <f>IF($A28="","",IF(COUNTIFS(請求記録!$B$6:$B$3005,$A28,請求記録!$X$6:$X$3005,AA$5,請求記録!$AD$6:$AD$3005,"保留中")&gt;0,"保留",IF(COUNTIFS(請求記録!$B$6:$B$3005,$A28,請求記録!$X$6:$X$3005,AA$5)=0,"",SUMIFS(請求記録!$AC$6:$AC$3005,請求記録!$B$6:$B$3005,$A28,請求記録!$X$6:$X$3005,AA$5))))</f>
        <v/>
      </c>
      <c r="AB28">
        <f>IF(職員マスタ!P28="保留中",職員マスタ!M28,"")</f>
        <v/>
      </c>
    </row>
    <row r="29">
      <c r="A29">
        <f>IF(職員マスタ!A29="","",職員マスタ!A29)</f>
        <v/>
      </c>
      <c r="B29">
        <f>IF($A29="","",職員マスタ!B29)</f>
        <v/>
      </c>
      <c r="C29">
        <f>IF($A29="","",職員マスタ!C29)</f>
        <v/>
      </c>
      <c r="D29" s="19">
        <f>IF($A29="","",IF(COUNTIFS(請求記録!$B$6:$B$3005,$A29,請求記録!$X$6:$X$3005,D$5,請求記録!$AD$6:$AD$3005,"保留中")&gt;0,"保留",IF(COUNTIFS(請求記録!$B$6:$B$3005,$A29,請求記録!$X$6:$X$3005,D$5)=0,"",SUMIFS(請求記録!$AC$6:$AC$3005,請求記録!$B$6:$B$3005,$A29,請求記録!$X$6:$X$3005,D$5))))</f>
        <v/>
      </c>
      <c r="E29" s="19">
        <f>IF($A29="","",IF(COUNTIFS(請求記録!$B$6:$B$3005,$A29,請求記録!$X$6:$X$3005,E$5,請求記録!$AD$6:$AD$3005,"保留中")&gt;0,"保留",IF(COUNTIFS(請求記録!$B$6:$B$3005,$A29,請求記録!$X$6:$X$3005,E$5)=0,"",SUMIFS(請求記録!$AC$6:$AC$3005,請求記録!$B$6:$B$3005,$A29,請求記録!$X$6:$X$3005,E$5))))</f>
        <v/>
      </c>
      <c r="F29" s="19">
        <f>IF($A29="","",IF(COUNTIFS(請求記録!$B$6:$B$3005,$A29,請求記録!$X$6:$X$3005,F$5,請求記録!$AD$6:$AD$3005,"保留中")&gt;0,"保留",IF(COUNTIFS(請求記録!$B$6:$B$3005,$A29,請求記録!$X$6:$X$3005,F$5)=0,"",SUMIFS(請求記録!$AC$6:$AC$3005,請求記録!$B$6:$B$3005,$A29,請求記録!$X$6:$X$3005,F$5))))</f>
        <v/>
      </c>
      <c r="G29" s="19">
        <f>IF($A29="","",IF(COUNTIFS(請求記録!$B$6:$B$3005,$A29,請求記録!$X$6:$X$3005,G$5,請求記録!$AD$6:$AD$3005,"保留中")&gt;0,"保留",IF(COUNTIFS(請求記録!$B$6:$B$3005,$A29,請求記録!$X$6:$X$3005,G$5)=0,"",SUMIFS(請求記録!$AC$6:$AC$3005,請求記録!$B$6:$B$3005,$A29,請求記録!$X$6:$X$3005,G$5))))</f>
        <v/>
      </c>
      <c r="H29" s="19">
        <f>IF($A29="","",IF(COUNTIFS(請求記録!$B$6:$B$3005,$A29,請求記録!$X$6:$X$3005,H$5,請求記録!$AD$6:$AD$3005,"保留中")&gt;0,"保留",IF(COUNTIFS(請求記録!$B$6:$B$3005,$A29,請求記録!$X$6:$X$3005,H$5)=0,"",SUMIFS(請求記録!$AC$6:$AC$3005,請求記録!$B$6:$B$3005,$A29,請求記録!$X$6:$X$3005,H$5))))</f>
        <v/>
      </c>
      <c r="I29" s="19">
        <f>IF($A29="","",IF(COUNTIFS(請求記録!$B$6:$B$3005,$A29,請求記録!$X$6:$X$3005,I$5,請求記録!$AD$6:$AD$3005,"保留中")&gt;0,"保留",IF(COUNTIFS(請求記録!$B$6:$B$3005,$A29,請求記録!$X$6:$X$3005,I$5)=0,"",SUMIFS(請求記録!$AC$6:$AC$3005,請求記録!$B$6:$B$3005,$A29,請求記録!$X$6:$X$3005,I$5))))</f>
        <v/>
      </c>
      <c r="J29" s="19">
        <f>IF($A29="","",IF(COUNTIFS(請求記録!$B$6:$B$3005,$A29,請求記録!$X$6:$X$3005,J$5,請求記録!$AD$6:$AD$3005,"保留中")&gt;0,"保留",IF(COUNTIFS(請求記録!$B$6:$B$3005,$A29,請求記録!$X$6:$X$3005,J$5)=0,"",SUMIFS(請求記録!$AC$6:$AC$3005,請求記録!$B$6:$B$3005,$A29,請求記録!$X$6:$X$3005,J$5))))</f>
        <v/>
      </c>
      <c r="K29" s="19">
        <f>IF($A29="","",IF(COUNTIFS(請求記録!$B$6:$B$3005,$A29,請求記録!$X$6:$X$3005,K$5,請求記録!$AD$6:$AD$3005,"保留中")&gt;0,"保留",IF(COUNTIFS(請求記録!$B$6:$B$3005,$A29,請求記録!$X$6:$X$3005,K$5)=0,"",SUMIFS(請求記録!$AC$6:$AC$3005,請求記録!$B$6:$B$3005,$A29,請求記録!$X$6:$X$3005,K$5))))</f>
        <v/>
      </c>
      <c r="L29" s="19">
        <f>IF($A29="","",IF(COUNTIFS(請求記録!$B$6:$B$3005,$A29,請求記録!$X$6:$X$3005,L$5,請求記録!$AD$6:$AD$3005,"保留中")&gt;0,"保留",IF(COUNTIFS(請求記録!$B$6:$B$3005,$A29,請求記録!$X$6:$X$3005,L$5)=0,"",SUMIFS(請求記録!$AC$6:$AC$3005,請求記録!$B$6:$B$3005,$A29,請求記録!$X$6:$X$3005,L$5))))</f>
        <v/>
      </c>
      <c r="M29" s="19">
        <f>IF($A29="","",IF(COUNTIFS(請求記録!$B$6:$B$3005,$A29,請求記録!$X$6:$X$3005,M$5,請求記録!$AD$6:$AD$3005,"保留中")&gt;0,"保留",IF(COUNTIFS(請求記録!$B$6:$B$3005,$A29,請求記録!$X$6:$X$3005,M$5)=0,"",SUMIFS(請求記録!$AC$6:$AC$3005,請求記録!$B$6:$B$3005,$A29,請求記録!$X$6:$X$3005,M$5))))</f>
        <v/>
      </c>
      <c r="N29" s="19">
        <f>IF($A29="","",IF(COUNTIFS(請求記録!$B$6:$B$3005,$A29,請求記録!$X$6:$X$3005,N$5,請求記録!$AD$6:$AD$3005,"保留中")&gt;0,"保留",IF(COUNTIFS(請求記録!$B$6:$B$3005,$A29,請求記録!$X$6:$X$3005,N$5)=0,"",SUMIFS(請求記録!$AC$6:$AC$3005,請求記録!$B$6:$B$3005,$A29,請求記録!$X$6:$X$3005,N$5))))</f>
        <v/>
      </c>
      <c r="O29" s="19">
        <f>IF($A29="","",IF(COUNTIFS(請求記録!$B$6:$B$3005,$A29,請求記録!$X$6:$X$3005,O$5,請求記録!$AD$6:$AD$3005,"保留中")&gt;0,"保留",IF(COUNTIFS(請求記録!$B$6:$B$3005,$A29,請求記録!$X$6:$X$3005,O$5)=0,"",SUMIFS(請求記録!$AC$6:$AC$3005,請求記録!$B$6:$B$3005,$A29,請求記録!$X$6:$X$3005,O$5))))</f>
        <v/>
      </c>
      <c r="P29" s="19">
        <f>IF($A29="","",IF(COUNTIFS(請求記録!$B$6:$B$3005,$A29,請求記録!$X$6:$X$3005,P$5,請求記録!$AD$6:$AD$3005,"保留中")&gt;0,"保留",IF(COUNTIFS(請求記録!$B$6:$B$3005,$A29,請求記録!$X$6:$X$3005,P$5)=0,"",SUMIFS(請求記録!$AC$6:$AC$3005,請求記録!$B$6:$B$3005,$A29,請求記録!$X$6:$X$3005,P$5))))</f>
        <v/>
      </c>
      <c r="Q29" s="19">
        <f>IF($A29="","",IF(COUNTIFS(請求記録!$B$6:$B$3005,$A29,請求記録!$X$6:$X$3005,Q$5,請求記録!$AD$6:$AD$3005,"保留中")&gt;0,"保留",IF(COUNTIFS(請求記録!$B$6:$B$3005,$A29,請求記録!$X$6:$X$3005,Q$5)=0,"",SUMIFS(請求記録!$AC$6:$AC$3005,請求記録!$B$6:$B$3005,$A29,請求記録!$X$6:$X$3005,Q$5))))</f>
        <v/>
      </c>
      <c r="R29" s="19">
        <f>IF($A29="","",IF(COUNTIFS(請求記録!$B$6:$B$3005,$A29,請求記録!$X$6:$X$3005,R$5,請求記録!$AD$6:$AD$3005,"保留中")&gt;0,"保留",IF(COUNTIFS(請求記録!$B$6:$B$3005,$A29,請求記録!$X$6:$X$3005,R$5)=0,"",SUMIFS(請求記録!$AC$6:$AC$3005,請求記録!$B$6:$B$3005,$A29,請求記録!$X$6:$X$3005,R$5))))</f>
        <v/>
      </c>
      <c r="S29" s="19">
        <f>IF($A29="","",IF(COUNTIFS(請求記録!$B$6:$B$3005,$A29,請求記録!$X$6:$X$3005,S$5,請求記録!$AD$6:$AD$3005,"保留中")&gt;0,"保留",IF(COUNTIFS(請求記録!$B$6:$B$3005,$A29,請求記録!$X$6:$X$3005,S$5)=0,"",SUMIFS(請求記録!$AC$6:$AC$3005,請求記録!$B$6:$B$3005,$A29,請求記録!$X$6:$X$3005,S$5))))</f>
        <v/>
      </c>
      <c r="T29" s="19">
        <f>IF($A29="","",IF(COUNTIFS(請求記録!$B$6:$B$3005,$A29,請求記録!$X$6:$X$3005,T$5,請求記録!$AD$6:$AD$3005,"保留中")&gt;0,"保留",IF(COUNTIFS(請求記録!$B$6:$B$3005,$A29,請求記録!$X$6:$X$3005,T$5)=0,"",SUMIFS(請求記録!$AC$6:$AC$3005,請求記録!$B$6:$B$3005,$A29,請求記録!$X$6:$X$3005,T$5))))</f>
        <v/>
      </c>
      <c r="U29" s="19">
        <f>IF($A29="","",IF(COUNTIFS(請求記録!$B$6:$B$3005,$A29,請求記録!$X$6:$X$3005,U$5,請求記録!$AD$6:$AD$3005,"保留中")&gt;0,"保留",IF(COUNTIFS(請求記録!$B$6:$B$3005,$A29,請求記録!$X$6:$X$3005,U$5)=0,"",SUMIFS(請求記録!$AC$6:$AC$3005,請求記録!$B$6:$B$3005,$A29,請求記録!$X$6:$X$3005,U$5))))</f>
        <v/>
      </c>
      <c r="V29" s="19">
        <f>IF($A29="","",IF(COUNTIFS(請求記録!$B$6:$B$3005,$A29,請求記録!$X$6:$X$3005,V$5,請求記録!$AD$6:$AD$3005,"保留中")&gt;0,"保留",IF(COUNTIFS(請求記録!$B$6:$B$3005,$A29,請求記録!$X$6:$X$3005,V$5)=0,"",SUMIFS(請求記録!$AC$6:$AC$3005,請求記録!$B$6:$B$3005,$A29,請求記録!$X$6:$X$3005,V$5))))</f>
        <v/>
      </c>
      <c r="W29" s="19">
        <f>IF($A29="","",IF(COUNTIFS(請求記録!$B$6:$B$3005,$A29,請求記録!$X$6:$X$3005,W$5,請求記録!$AD$6:$AD$3005,"保留中")&gt;0,"保留",IF(COUNTIFS(請求記録!$B$6:$B$3005,$A29,請求記録!$X$6:$X$3005,W$5)=0,"",SUMIFS(請求記録!$AC$6:$AC$3005,請求記録!$B$6:$B$3005,$A29,請求記録!$X$6:$X$3005,W$5))))</f>
        <v/>
      </c>
      <c r="X29" s="19">
        <f>IF($A29="","",IF(COUNTIFS(請求記録!$B$6:$B$3005,$A29,請求記録!$X$6:$X$3005,X$5,請求記録!$AD$6:$AD$3005,"保留中")&gt;0,"保留",IF(COUNTIFS(請求記録!$B$6:$B$3005,$A29,請求記録!$X$6:$X$3005,X$5)=0,"",SUMIFS(請求記録!$AC$6:$AC$3005,請求記録!$B$6:$B$3005,$A29,請求記録!$X$6:$X$3005,X$5))))</f>
        <v/>
      </c>
      <c r="Y29" s="19">
        <f>IF($A29="","",IF(COUNTIFS(請求記録!$B$6:$B$3005,$A29,請求記録!$X$6:$X$3005,Y$5,請求記録!$AD$6:$AD$3005,"保留中")&gt;0,"保留",IF(COUNTIFS(請求記録!$B$6:$B$3005,$A29,請求記録!$X$6:$X$3005,Y$5)=0,"",SUMIFS(請求記録!$AC$6:$AC$3005,請求記録!$B$6:$B$3005,$A29,請求記録!$X$6:$X$3005,Y$5))))</f>
        <v/>
      </c>
      <c r="Z29" s="19">
        <f>IF($A29="","",IF(COUNTIFS(請求記録!$B$6:$B$3005,$A29,請求記録!$X$6:$X$3005,Z$5,請求記録!$AD$6:$AD$3005,"保留中")&gt;0,"保留",IF(COUNTIFS(請求記録!$B$6:$B$3005,$A29,請求記録!$X$6:$X$3005,Z$5)=0,"",SUMIFS(請求記録!$AC$6:$AC$3005,請求記録!$B$6:$B$3005,$A29,請求記録!$X$6:$X$3005,Z$5))))</f>
        <v/>
      </c>
      <c r="AA29" s="19">
        <f>IF($A29="","",IF(COUNTIFS(請求記録!$B$6:$B$3005,$A29,請求記録!$X$6:$X$3005,AA$5,請求記録!$AD$6:$AD$3005,"保留中")&gt;0,"保留",IF(COUNTIFS(請求記録!$B$6:$B$3005,$A29,請求記録!$X$6:$X$3005,AA$5)=0,"",SUMIFS(請求記録!$AC$6:$AC$3005,請求記録!$B$6:$B$3005,$A29,請求記録!$X$6:$X$3005,AA$5))))</f>
        <v/>
      </c>
      <c r="AB29">
        <f>IF(職員マスタ!P29="保留中",職員マスタ!M29,"")</f>
        <v/>
      </c>
    </row>
    <row r="30">
      <c r="A30">
        <f>IF(職員マスタ!A30="","",職員マスタ!A30)</f>
        <v/>
      </c>
      <c r="B30">
        <f>IF($A30="","",職員マスタ!B30)</f>
        <v/>
      </c>
      <c r="C30">
        <f>IF($A30="","",職員マスタ!C30)</f>
        <v/>
      </c>
      <c r="D30" s="19">
        <f>IF($A30="","",IF(COUNTIFS(請求記録!$B$6:$B$3005,$A30,請求記録!$X$6:$X$3005,D$5,請求記録!$AD$6:$AD$3005,"保留中")&gt;0,"保留",IF(COUNTIFS(請求記録!$B$6:$B$3005,$A30,請求記録!$X$6:$X$3005,D$5)=0,"",SUMIFS(請求記録!$AC$6:$AC$3005,請求記録!$B$6:$B$3005,$A30,請求記録!$X$6:$X$3005,D$5))))</f>
        <v/>
      </c>
      <c r="E30" s="19">
        <f>IF($A30="","",IF(COUNTIFS(請求記録!$B$6:$B$3005,$A30,請求記録!$X$6:$X$3005,E$5,請求記録!$AD$6:$AD$3005,"保留中")&gt;0,"保留",IF(COUNTIFS(請求記録!$B$6:$B$3005,$A30,請求記録!$X$6:$X$3005,E$5)=0,"",SUMIFS(請求記録!$AC$6:$AC$3005,請求記録!$B$6:$B$3005,$A30,請求記録!$X$6:$X$3005,E$5))))</f>
        <v/>
      </c>
      <c r="F30" s="19">
        <f>IF($A30="","",IF(COUNTIFS(請求記録!$B$6:$B$3005,$A30,請求記録!$X$6:$X$3005,F$5,請求記録!$AD$6:$AD$3005,"保留中")&gt;0,"保留",IF(COUNTIFS(請求記録!$B$6:$B$3005,$A30,請求記録!$X$6:$X$3005,F$5)=0,"",SUMIFS(請求記録!$AC$6:$AC$3005,請求記録!$B$6:$B$3005,$A30,請求記録!$X$6:$X$3005,F$5))))</f>
        <v/>
      </c>
      <c r="G30" s="19">
        <f>IF($A30="","",IF(COUNTIFS(請求記録!$B$6:$B$3005,$A30,請求記録!$X$6:$X$3005,G$5,請求記録!$AD$6:$AD$3005,"保留中")&gt;0,"保留",IF(COUNTIFS(請求記録!$B$6:$B$3005,$A30,請求記録!$X$6:$X$3005,G$5)=0,"",SUMIFS(請求記録!$AC$6:$AC$3005,請求記録!$B$6:$B$3005,$A30,請求記録!$X$6:$X$3005,G$5))))</f>
        <v/>
      </c>
      <c r="H30" s="19">
        <f>IF($A30="","",IF(COUNTIFS(請求記録!$B$6:$B$3005,$A30,請求記録!$X$6:$X$3005,H$5,請求記録!$AD$6:$AD$3005,"保留中")&gt;0,"保留",IF(COUNTIFS(請求記録!$B$6:$B$3005,$A30,請求記録!$X$6:$X$3005,H$5)=0,"",SUMIFS(請求記録!$AC$6:$AC$3005,請求記録!$B$6:$B$3005,$A30,請求記録!$X$6:$X$3005,H$5))))</f>
        <v/>
      </c>
      <c r="I30" s="19">
        <f>IF($A30="","",IF(COUNTIFS(請求記録!$B$6:$B$3005,$A30,請求記録!$X$6:$X$3005,I$5,請求記録!$AD$6:$AD$3005,"保留中")&gt;0,"保留",IF(COUNTIFS(請求記録!$B$6:$B$3005,$A30,請求記録!$X$6:$X$3005,I$5)=0,"",SUMIFS(請求記録!$AC$6:$AC$3005,請求記録!$B$6:$B$3005,$A30,請求記録!$X$6:$X$3005,I$5))))</f>
        <v/>
      </c>
      <c r="J30" s="19">
        <f>IF($A30="","",IF(COUNTIFS(請求記録!$B$6:$B$3005,$A30,請求記録!$X$6:$X$3005,J$5,請求記録!$AD$6:$AD$3005,"保留中")&gt;0,"保留",IF(COUNTIFS(請求記録!$B$6:$B$3005,$A30,請求記録!$X$6:$X$3005,J$5)=0,"",SUMIFS(請求記録!$AC$6:$AC$3005,請求記録!$B$6:$B$3005,$A30,請求記録!$X$6:$X$3005,J$5))))</f>
        <v/>
      </c>
      <c r="K30" s="19">
        <f>IF($A30="","",IF(COUNTIFS(請求記録!$B$6:$B$3005,$A30,請求記録!$X$6:$X$3005,K$5,請求記録!$AD$6:$AD$3005,"保留中")&gt;0,"保留",IF(COUNTIFS(請求記録!$B$6:$B$3005,$A30,請求記録!$X$6:$X$3005,K$5)=0,"",SUMIFS(請求記録!$AC$6:$AC$3005,請求記録!$B$6:$B$3005,$A30,請求記録!$X$6:$X$3005,K$5))))</f>
        <v/>
      </c>
      <c r="L30" s="19">
        <f>IF($A30="","",IF(COUNTIFS(請求記録!$B$6:$B$3005,$A30,請求記録!$X$6:$X$3005,L$5,請求記録!$AD$6:$AD$3005,"保留中")&gt;0,"保留",IF(COUNTIFS(請求記録!$B$6:$B$3005,$A30,請求記録!$X$6:$X$3005,L$5)=0,"",SUMIFS(請求記録!$AC$6:$AC$3005,請求記録!$B$6:$B$3005,$A30,請求記録!$X$6:$X$3005,L$5))))</f>
        <v/>
      </c>
      <c r="M30" s="19">
        <f>IF($A30="","",IF(COUNTIFS(請求記録!$B$6:$B$3005,$A30,請求記録!$X$6:$X$3005,M$5,請求記録!$AD$6:$AD$3005,"保留中")&gt;0,"保留",IF(COUNTIFS(請求記録!$B$6:$B$3005,$A30,請求記録!$X$6:$X$3005,M$5)=0,"",SUMIFS(請求記録!$AC$6:$AC$3005,請求記録!$B$6:$B$3005,$A30,請求記録!$X$6:$X$3005,M$5))))</f>
        <v/>
      </c>
      <c r="N30" s="19">
        <f>IF($A30="","",IF(COUNTIFS(請求記録!$B$6:$B$3005,$A30,請求記録!$X$6:$X$3005,N$5,請求記録!$AD$6:$AD$3005,"保留中")&gt;0,"保留",IF(COUNTIFS(請求記録!$B$6:$B$3005,$A30,請求記録!$X$6:$X$3005,N$5)=0,"",SUMIFS(請求記録!$AC$6:$AC$3005,請求記録!$B$6:$B$3005,$A30,請求記録!$X$6:$X$3005,N$5))))</f>
        <v/>
      </c>
      <c r="O30" s="19">
        <f>IF($A30="","",IF(COUNTIFS(請求記録!$B$6:$B$3005,$A30,請求記録!$X$6:$X$3005,O$5,請求記録!$AD$6:$AD$3005,"保留中")&gt;0,"保留",IF(COUNTIFS(請求記録!$B$6:$B$3005,$A30,請求記録!$X$6:$X$3005,O$5)=0,"",SUMIFS(請求記録!$AC$6:$AC$3005,請求記録!$B$6:$B$3005,$A30,請求記録!$X$6:$X$3005,O$5))))</f>
        <v/>
      </c>
      <c r="P30" s="19">
        <f>IF($A30="","",IF(COUNTIFS(請求記録!$B$6:$B$3005,$A30,請求記録!$X$6:$X$3005,P$5,請求記録!$AD$6:$AD$3005,"保留中")&gt;0,"保留",IF(COUNTIFS(請求記録!$B$6:$B$3005,$A30,請求記録!$X$6:$X$3005,P$5)=0,"",SUMIFS(請求記録!$AC$6:$AC$3005,請求記録!$B$6:$B$3005,$A30,請求記録!$X$6:$X$3005,P$5))))</f>
        <v/>
      </c>
      <c r="Q30" s="19">
        <f>IF($A30="","",IF(COUNTIFS(請求記録!$B$6:$B$3005,$A30,請求記録!$X$6:$X$3005,Q$5,請求記録!$AD$6:$AD$3005,"保留中")&gt;0,"保留",IF(COUNTIFS(請求記録!$B$6:$B$3005,$A30,請求記録!$X$6:$X$3005,Q$5)=0,"",SUMIFS(請求記録!$AC$6:$AC$3005,請求記録!$B$6:$B$3005,$A30,請求記録!$X$6:$X$3005,Q$5))))</f>
        <v/>
      </c>
      <c r="R30" s="19">
        <f>IF($A30="","",IF(COUNTIFS(請求記録!$B$6:$B$3005,$A30,請求記録!$X$6:$X$3005,R$5,請求記録!$AD$6:$AD$3005,"保留中")&gt;0,"保留",IF(COUNTIFS(請求記録!$B$6:$B$3005,$A30,請求記録!$X$6:$X$3005,R$5)=0,"",SUMIFS(請求記録!$AC$6:$AC$3005,請求記録!$B$6:$B$3005,$A30,請求記録!$X$6:$X$3005,R$5))))</f>
        <v/>
      </c>
      <c r="S30" s="19">
        <f>IF($A30="","",IF(COUNTIFS(請求記録!$B$6:$B$3005,$A30,請求記録!$X$6:$X$3005,S$5,請求記録!$AD$6:$AD$3005,"保留中")&gt;0,"保留",IF(COUNTIFS(請求記録!$B$6:$B$3005,$A30,請求記録!$X$6:$X$3005,S$5)=0,"",SUMIFS(請求記録!$AC$6:$AC$3005,請求記録!$B$6:$B$3005,$A30,請求記録!$X$6:$X$3005,S$5))))</f>
        <v/>
      </c>
      <c r="T30" s="19">
        <f>IF($A30="","",IF(COUNTIFS(請求記録!$B$6:$B$3005,$A30,請求記録!$X$6:$X$3005,T$5,請求記録!$AD$6:$AD$3005,"保留中")&gt;0,"保留",IF(COUNTIFS(請求記録!$B$6:$B$3005,$A30,請求記録!$X$6:$X$3005,T$5)=0,"",SUMIFS(請求記録!$AC$6:$AC$3005,請求記録!$B$6:$B$3005,$A30,請求記録!$X$6:$X$3005,T$5))))</f>
        <v/>
      </c>
      <c r="U30" s="19">
        <f>IF($A30="","",IF(COUNTIFS(請求記録!$B$6:$B$3005,$A30,請求記録!$X$6:$X$3005,U$5,請求記録!$AD$6:$AD$3005,"保留中")&gt;0,"保留",IF(COUNTIFS(請求記録!$B$6:$B$3005,$A30,請求記録!$X$6:$X$3005,U$5)=0,"",SUMIFS(請求記録!$AC$6:$AC$3005,請求記録!$B$6:$B$3005,$A30,請求記録!$X$6:$X$3005,U$5))))</f>
        <v/>
      </c>
      <c r="V30" s="19">
        <f>IF($A30="","",IF(COUNTIFS(請求記録!$B$6:$B$3005,$A30,請求記録!$X$6:$X$3005,V$5,請求記録!$AD$6:$AD$3005,"保留中")&gt;0,"保留",IF(COUNTIFS(請求記録!$B$6:$B$3005,$A30,請求記録!$X$6:$X$3005,V$5)=0,"",SUMIFS(請求記録!$AC$6:$AC$3005,請求記録!$B$6:$B$3005,$A30,請求記録!$X$6:$X$3005,V$5))))</f>
        <v/>
      </c>
      <c r="W30" s="19">
        <f>IF($A30="","",IF(COUNTIFS(請求記録!$B$6:$B$3005,$A30,請求記録!$X$6:$X$3005,W$5,請求記録!$AD$6:$AD$3005,"保留中")&gt;0,"保留",IF(COUNTIFS(請求記録!$B$6:$B$3005,$A30,請求記録!$X$6:$X$3005,W$5)=0,"",SUMIFS(請求記録!$AC$6:$AC$3005,請求記録!$B$6:$B$3005,$A30,請求記録!$X$6:$X$3005,W$5))))</f>
        <v/>
      </c>
      <c r="X30" s="19">
        <f>IF($A30="","",IF(COUNTIFS(請求記録!$B$6:$B$3005,$A30,請求記録!$X$6:$X$3005,X$5,請求記録!$AD$6:$AD$3005,"保留中")&gt;0,"保留",IF(COUNTIFS(請求記録!$B$6:$B$3005,$A30,請求記録!$X$6:$X$3005,X$5)=0,"",SUMIFS(請求記録!$AC$6:$AC$3005,請求記録!$B$6:$B$3005,$A30,請求記録!$X$6:$X$3005,X$5))))</f>
        <v/>
      </c>
      <c r="Y30" s="19">
        <f>IF($A30="","",IF(COUNTIFS(請求記録!$B$6:$B$3005,$A30,請求記録!$X$6:$X$3005,Y$5,請求記録!$AD$6:$AD$3005,"保留中")&gt;0,"保留",IF(COUNTIFS(請求記録!$B$6:$B$3005,$A30,請求記録!$X$6:$X$3005,Y$5)=0,"",SUMIFS(請求記録!$AC$6:$AC$3005,請求記録!$B$6:$B$3005,$A30,請求記録!$X$6:$X$3005,Y$5))))</f>
        <v/>
      </c>
      <c r="Z30" s="19">
        <f>IF($A30="","",IF(COUNTIFS(請求記録!$B$6:$B$3005,$A30,請求記録!$X$6:$X$3005,Z$5,請求記録!$AD$6:$AD$3005,"保留中")&gt;0,"保留",IF(COUNTIFS(請求記録!$B$6:$B$3005,$A30,請求記録!$X$6:$X$3005,Z$5)=0,"",SUMIFS(請求記録!$AC$6:$AC$3005,請求記録!$B$6:$B$3005,$A30,請求記録!$X$6:$X$3005,Z$5))))</f>
        <v/>
      </c>
      <c r="AA30" s="19">
        <f>IF($A30="","",IF(COUNTIFS(請求記録!$B$6:$B$3005,$A30,請求記録!$X$6:$X$3005,AA$5,請求記録!$AD$6:$AD$3005,"保留中")&gt;0,"保留",IF(COUNTIFS(請求記録!$B$6:$B$3005,$A30,請求記録!$X$6:$X$3005,AA$5)=0,"",SUMIFS(請求記録!$AC$6:$AC$3005,請求記録!$B$6:$B$3005,$A30,請求記録!$X$6:$X$3005,AA$5))))</f>
        <v/>
      </c>
      <c r="AB30">
        <f>IF(職員マスタ!P30="保留中",職員マスタ!M30,"")</f>
        <v/>
      </c>
    </row>
    <row r="31">
      <c r="A31">
        <f>IF(職員マスタ!A31="","",職員マスタ!A31)</f>
        <v/>
      </c>
      <c r="B31">
        <f>IF($A31="","",職員マスタ!B31)</f>
        <v/>
      </c>
      <c r="C31">
        <f>IF($A31="","",職員マスタ!C31)</f>
        <v/>
      </c>
      <c r="D31" s="19">
        <f>IF($A31="","",IF(COUNTIFS(請求記録!$B$6:$B$3005,$A31,請求記録!$X$6:$X$3005,D$5,請求記録!$AD$6:$AD$3005,"保留中")&gt;0,"保留",IF(COUNTIFS(請求記録!$B$6:$B$3005,$A31,請求記録!$X$6:$X$3005,D$5)=0,"",SUMIFS(請求記録!$AC$6:$AC$3005,請求記録!$B$6:$B$3005,$A31,請求記録!$X$6:$X$3005,D$5))))</f>
        <v/>
      </c>
      <c r="E31" s="19">
        <f>IF($A31="","",IF(COUNTIFS(請求記録!$B$6:$B$3005,$A31,請求記録!$X$6:$X$3005,E$5,請求記録!$AD$6:$AD$3005,"保留中")&gt;0,"保留",IF(COUNTIFS(請求記録!$B$6:$B$3005,$A31,請求記録!$X$6:$X$3005,E$5)=0,"",SUMIFS(請求記録!$AC$6:$AC$3005,請求記録!$B$6:$B$3005,$A31,請求記録!$X$6:$X$3005,E$5))))</f>
        <v/>
      </c>
      <c r="F31" s="19">
        <f>IF($A31="","",IF(COUNTIFS(請求記録!$B$6:$B$3005,$A31,請求記録!$X$6:$X$3005,F$5,請求記録!$AD$6:$AD$3005,"保留中")&gt;0,"保留",IF(COUNTIFS(請求記録!$B$6:$B$3005,$A31,請求記録!$X$6:$X$3005,F$5)=0,"",SUMIFS(請求記録!$AC$6:$AC$3005,請求記録!$B$6:$B$3005,$A31,請求記録!$X$6:$X$3005,F$5))))</f>
        <v/>
      </c>
      <c r="G31" s="19">
        <f>IF($A31="","",IF(COUNTIFS(請求記録!$B$6:$B$3005,$A31,請求記録!$X$6:$X$3005,G$5,請求記録!$AD$6:$AD$3005,"保留中")&gt;0,"保留",IF(COUNTIFS(請求記録!$B$6:$B$3005,$A31,請求記録!$X$6:$X$3005,G$5)=0,"",SUMIFS(請求記録!$AC$6:$AC$3005,請求記録!$B$6:$B$3005,$A31,請求記録!$X$6:$X$3005,G$5))))</f>
        <v/>
      </c>
      <c r="H31" s="19">
        <f>IF($A31="","",IF(COUNTIFS(請求記録!$B$6:$B$3005,$A31,請求記録!$X$6:$X$3005,H$5,請求記録!$AD$6:$AD$3005,"保留中")&gt;0,"保留",IF(COUNTIFS(請求記録!$B$6:$B$3005,$A31,請求記録!$X$6:$X$3005,H$5)=0,"",SUMIFS(請求記録!$AC$6:$AC$3005,請求記録!$B$6:$B$3005,$A31,請求記録!$X$6:$X$3005,H$5))))</f>
        <v/>
      </c>
      <c r="I31" s="19">
        <f>IF($A31="","",IF(COUNTIFS(請求記録!$B$6:$B$3005,$A31,請求記録!$X$6:$X$3005,I$5,請求記録!$AD$6:$AD$3005,"保留中")&gt;0,"保留",IF(COUNTIFS(請求記録!$B$6:$B$3005,$A31,請求記録!$X$6:$X$3005,I$5)=0,"",SUMIFS(請求記録!$AC$6:$AC$3005,請求記録!$B$6:$B$3005,$A31,請求記録!$X$6:$X$3005,I$5))))</f>
        <v/>
      </c>
      <c r="J31" s="19">
        <f>IF($A31="","",IF(COUNTIFS(請求記録!$B$6:$B$3005,$A31,請求記録!$X$6:$X$3005,J$5,請求記録!$AD$6:$AD$3005,"保留中")&gt;0,"保留",IF(COUNTIFS(請求記録!$B$6:$B$3005,$A31,請求記録!$X$6:$X$3005,J$5)=0,"",SUMIFS(請求記録!$AC$6:$AC$3005,請求記録!$B$6:$B$3005,$A31,請求記録!$X$6:$X$3005,J$5))))</f>
        <v/>
      </c>
      <c r="K31" s="19">
        <f>IF($A31="","",IF(COUNTIFS(請求記録!$B$6:$B$3005,$A31,請求記録!$X$6:$X$3005,K$5,請求記録!$AD$6:$AD$3005,"保留中")&gt;0,"保留",IF(COUNTIFS(請求記録!$B$6:$B$3005,$A31,請求記録!$X$6:$X$3005,K$5)=0,"",SUMIFS(請求記録!$AC$6:$AC$3005,請求記録!$B$6:$B$3005,$A31,請求記録!$X$6:$X$3005,K$5))))</f>
        <v/>
      </c>
      <c r="L31" s="19">
        <f>IF($A31="","",IF(COUNTIFS(請求記録!$B$6:$B$3005,$A31,請求記録!$X$6:$X$3005,L$5,請求記録!$AD$6:$AD$3005,"保留中")&gt;0,"保留",IF(COUNTIFS(請求記録!$B$6:$B$3005,$A31,請求記録!$X$6:$X$3005,L$5)=0,"",SUMIFS(請求記録!$AC$6:$AC$3005,請求記録!$B$6:$B$3005,$A31,請求記録!$X$6:$X$3005,L$5))))</f>
        <v/>
      </c>
      <c r="M31" s="19">
        <f>IF($A31="","",IF(COUNTIFS(請求記録!$B$6:$B$3005,$A31,請求記録!$X$6:$X$3005,M$5,請求記録!$AD$6:$AD$3005,"保留中")&gt;0,"保留",IF(COUNTIFS(請求記録!$B$6:$B$3005,$A31,請求記録!$X$6:$X$3005,M$5)=0,"",SUMIFS(請求記録!$AC$6:$AC$3005,請求記録!$B$6:$B$3005,$A31,請求記録!$X$6:$X$3005,M$5))))</f>
        <v/>
      </c>
      <c r="N31" s="19">
        <f>IF($A31="","",IF(COUNTIFS(請求記録!$B$6:$B$3005,$A31,請求記録!$X$6:$X$3005,N$5,請求記録!$AD$6:$AD$3005,"保留中")&gt;0,"保留",IF(COUNTIFS(請求記録!$B$6:$B$3005,$A31,請求記録!$X$6:$X$3005,N$5)=0,"",SUMIFS(請求記録!$AC$6:$AC$3005,請求記録!$B$6:$B$3005,$A31,請求記録!$X$6:$X$3005,N$5))))</f>
        <v/>
      </c>
      <c r="O31" s="19">
        <f>IF($A31="","",IF(COUNTIFS(請求記録!$B$6:$B$3005,$A31,請求記録!$X$6:$X$3005,O$5,請求記録!$AD$6:$AD$3005,"保留中")&gt;0,"保留",IF(COUNTIFS(請求記録!$B$6:$B$3005,$A31,請求記録!$X$6:$X$3005,O$5)=0,"",SUMIFS(請求記録!$AC$6:$AC$3005,請求記録!$B$6:$B$3005,$A31,請求記録!$X$6:$X$3005,O$5))))</f>
        <v/>
      </c>
      <c r="P31" s="19">
        <f>IF($A31="","",IF(COUNTIFS(請求記録!$B$6:$B$3005,$A31,請求記録!$X$6:$X$3005,P$5,請求記録!$AD$6:$AD$3005,"保留中")&gt;0,"保留",IF(COUNTIFS(請求記録!$B$6:$B$3005,$A31,請求記録!$X$6:$X$3005,P$5)=0,"",SUMIFS(請求記録!$AC$6:$AC$3005,請求記録!$B$6:$B$3005,$A31,請求記録!$X$6:$X$3005,P$5))))</f>
        <v/>
      </c>
      <c r="Q31" s="19">
        <f>IF($A31="","",IF(COUNTIFS(請求記録!$B$6:$B$3005,$A31,請求記録!$X$6:$X$3005,Q$5,請求記録!$AD$6:$AD$3005,"保留中")&gt;0,"保留",IF(COUNTIFS(請求記録!$B$6:$B$3005,$A31,請求記録!$X$6:$X$3005,Q$5)=0,"",SUMIFS(請求記録!$AC$6:$AC$3005,請求記録!$B$6:$B$3005,$A31,請求記録!$X$6:$X$3005,Q$5))))</f>
        <v/>
      </c>
      <c r="R31" s="19">
        <f>IF($A31="","",IF(COUNTIFS(請求記録!$B$6:$B$3005,$A31,請求記録!$X$6:$X$3005,R$5,請求記録!$AD$6:$AD$3005,"保留中")&gt;0,"保留",IF(COUNTIFS(請求記録!$B$6:$B$3005,$A31,請求記録!$X$6:$X$3005,R$5)=0,"",SUMIFS(請求記録!$AC$6:$AC$3005,請求記録!$B$6:$B$3005,$A31,請求記録!$X$6:$X$3005,R$5))))</f>
        <v/>
      </c>
      <c r="S31" s="19">
        <f>IF($A31="","",IF(COUNTIFS(請求記録!$B$6:$B$3005,$A31,請求記録!$X$6:$X$3005,S$5,請求記録!$AD$6:$AD$3005,"保留中")&gt;0,"保留",IF(COUNTIFS(請求記録!$B$6:$B$3005,$A31,請求記録!$X$6:$X$3005,S$5)=0,"",SUMIFS(請求記録!$AC$6:$AC$3005,請求記録!$B$6:$B$3005,$A31,請求記録!$X$6:$X$3005,S$5))))</f>
        <v/>
      </c>
      <c r="T31" s="19">
        <f>IF($A31="","",IF(COUNTIFS(請求記録!$B$6:$B$3005,$A31,請求記録!$X$6:$X$3005,T$5,請求記録!$AD$6:$AD$3005,"保留中")&gt;0,"保留",IF(COUNTIFS(請求記録!$B$6:$B$3005,$A31,請求記録!$X$6:$X$3005,T$5)=0,"",SUMIFS(請求記録!$AC$6:$AC$3005,請求記録!$B$6:$B$3005,$A31,請求記録!$X$6:$X$3005,T$5))))</f>
        <v/>
      </c>
      <c r="U31" s="19">
        <f>IF($A31="","",IF(COUNTIFS(請求記録!$B$6:$B$3005,$A31,請求記録!$X$6:$X$3005,U$5,請求記録!$AD$6:$AD$3005,"保留中")&gt;0,"保留",IF(COUNTIFS(請求記録!$B$6:$B$3005,$A31,請求記録!$X$6:$X$3005,U$5)=0,"",SUMIFS(請求記録!$AC$6:$AC$3005,請求記録!$B$6:$B$3005,$A31,請求記録!$X$6:$X$3005,U$5))))</f>
        <v/>
      </c>
      <c r="V31" s="19">
        <f>IF($A31="","",IF(COUNTIFS(請求記録!$B$6:$B$3005,$A31,請求記録!$X$6:$X$3005,V$5,請求記録!$AD$6:$AD$3005,"保留中")&gt;0,"保留",IF(COUNTIFS(請求記録!$B$6:$B$3005,$A31,請求記録!$X$6:$X$3005,V$5)=0,"",SUMIFS(請求記録!$AC$6:$AC$3005,請求記録!$B$6:$B$3005,$A31,請求記録!$X$6:$X$3005,V$5))))</f>
        <v/>
      </c>
      <c r="W31" s="19">
        <f>IF($A31="","",IF(COUNTIFS(請求記録!$B$6:$B$3005,$A31,請求記録!$X$6:$X$3005,W$5,請求記録!$AD$6:$AD$3005,"保留中")&gt;0,"保留",IF(COUNTIFS(請求記録!$B$6:$B$3005,$A31,請求記録!$X$6:$X$3005,W$5)=0,"",SUMIFS(請求記録!$AC$6:$AC$3005,請求記録!$B$6:$B$3005,$A31,請求記録!$X$6:$X$3005,W$5))))</f>
        <v/>
      </c>
      <c r="X31" s="19">
        <f>IF($A31="","",IF(COUNTIFS(請求記録!$B$6:$B$3005,$A31,請求記録!$X$6:$X$3005,X$5,請求記録!$AD$6:$AD$3005,"保留中")&gt;0,"保留",IF(COUNTIFS(請求記録!$B$6:$B$3005,$A31,請求記録!$X$6:$X$3005,X$5)=0,"",SUMIFS(請求記録!$AC$6:$AC$3005,請求記録!$B$6:$B$3005,$A31,請求記録!$X$6:$X$3005,X$5))))</f>
        <v/>
      </c>
      <c r="Y31" s="19">
        <f>IF($A31="","",IF(COUNTIFS(請求記録!$B$6:$B$3005,$A31,請求記録!$X$6:$X$3005,Y$5,請求記録!$AD$6:$AD$3005,"保留中")&gt;0,"保留",IF(COUNTIFS(請求記録!$B$6:$B$3005,$A31,請求記録!$X$6:$X$3005,Y$5)=0,"",SUMIFS(請求記録!$AC$6:$AC$3005,請求記録!$B$6:$B$3005,$A31,請求記録!$X$6:$X$3005,Y$5))))</f>
        <v/>
      </c>
      <c r="Z31" s="19">
        <f>IF($A31="","",IF(COUNTIFS(請求記録!$B$6:$B$3005,$A31,請求記録!$X$6:$X$3005,Z$5,請求記録!$AD$6:$AD$3005,"保留中")&gt;0,"保留",IF(COUNTIFS(請求記録!$B$6:$B$3005,$A31,請求記録!$X$6:$X$3005,Z$5)=0,"",SUMIFS(請求記録!$AC$6:$AC$3005,請求記録!$B$6:$B$3005,$A31,請求記録!$X$6:$X$3005,Z$5))))</f>
        <v/>
      </c>
      <c r="AA31" s="19">
        <f>IF($A31="","",IF(COUNTIFS(請求記録!$B$6:$B$3005,$A31,請求記録!$X$6:$X$3005,AA$5,請求記録!$AD$6:$AD$3005,"保留中")&gt;0,"保留",IF(COUNTIFS(請求記録!$B$6:$B$3005,$A31,請求記録!$X$6:$X$3005,AA$5)=0,"",SUMIFS(請求記録!$AC$6:$AC$3005,請求記録!$B$6:$B$3005,$A31,請求記録!$X$6:$X$3005,AA$5))))</f>
        <v/>
      </c>
      <c r="AB31">
        <f>IF(職員マスタ!P31="保留中",職員マスタ!M31,"")</f>
        <v/>
      </c>
    </row>
    <row r="32">
      <c r="A32">
        <f>IF(職員マスタ!A32="","",職員マスタ!A32)</f>
        <v/>
      </c>
      <c r="B32">
        <f>IF($A32="","",職員マスタ!B32)</f>
        <v/>
      </c>
      <c r="C32">
        <f>IF($A32="","",職員マスタ!C32)</f>
        <v/>
      </c>
      <c r="D32" s="19">
        <f>IF($A32="","",IF(COUNTIFS(請求記録!$B$6:$B$3005,$A32,請求記録!$X$6:$X$3005,D$5,請求記録!$AD$6:$AD$3005,"保留中")&gt;0,"保留",IF(COUNTIFS(請求記録!$B$6:$B$3005,$A32,請求記録!$X$6:$X$3005,D$5)=0,"",SUMIFS(請求記録!$AC$6:$AC$3005,請求記録!$B$6:$B$3005,$A32,請求記録!$X$6:$X$3005,D$5))))</f>
        <v/>
      </c>
      <c r="E32" s="19">
        <f>IF($A32="","",IF(COUNTIFS(請求記録!$B$6:$B$3005,$A32,請求記録!$X$6:$X$3005,E$5,請求記録!$AD$6:$AD$3005,"保留中")&gt;0,"保留",IF(COUNTIFS(請求記録!$B$6:$B$3005,$A32,請求記録!$X$6:$X$3005,E$5)=0,"",SUMIFS(請求記録!$AC$6:$AC$3005,請求記録!$B$6:$B$3005,$A32,請求記録!$X$6:$X$3005,E$5))))</f>
        <v/>
      </c>
      <c r="F32" s="19">
        <f>IF($A32="","",IF(COUNTIFS(請求記録!$B$6:$B$3005,$A32,請求記録!$X$6:$X$3005,F$5,請求記録!$AD$6:$AD$3005,"保留中")&gt;0,"保留",IF(COUNTIFS(請求記録!$B$6:$B$3005,$A32,請求記録!$X$6:$X$3005,F$5)=0,"",SUMIFS(請求記録!$AC$6:$AC$3005,請求記録!$B$6:$B$3005,$A32,請求記録!$X$6:$X$3005,F$5))))</f>
        <v/>
      </c>
      <c r="G32" s="19">
        <f>IF($A32="","",IF(COUNTIFS(請求記録!$B$6:$B$3005,$A32,請求記録!$X$6:$X$3005,G$5,請求記録!$AD$6:$AD$3005,"保留中")&gt;0,"保留",IF(COUNTIFS(請求記録!$B$6:$B$3005,$A32,請求記録!$X$6:$X$3005,G$5)=0,"",SUMIFS(請求記録!$AC$6:$AC$3005,請求記録!$B$6:$B$3005,$A32,請求記録!$X$6:$X$3005,G$5))))</f>
        <v/>
      </c>
      <c r="H32" s="19">
        <f>IF($A32="","",IF(COUNTIFS(請求記録!$B$6:$B$3005,$A32,請求記録!$X$6:$X$3005,H$5,請求記録!$AD$6:$AD$3005,"保留中")&gt;0,"保留",IF(COUNTIFS(請求記録!$B$6:$B$3005,$A32,請求記録!$X$6:$X$3005,H$5)=0,"",SUMIFS(請求記録!$AC$6:$AC$3005,請求記録!$B$6:$B$3005,$A32,請求記録!$X$6:$X$3005,H$5))))</f>
        <v/>
      </c>
      <c r="I32" s="19">
        <f>IF($A32="","",IF(COUNTIFS(請求記録!$B$6:$B$3005,$A32,請求記録!$X$6:$X$3005,I$5,請求記録!$AD$6:$AD$3005,"保留中")&gt;0,"保留",IF(COUNTIFS(請求記録!$B$6:$B$3005,$A32,請求記録!$X$6:$X$3005,I$5)=0,"",SUMIFS(請求記録!$AC$6:$AC$3005,請求記録!$B$6:$B$3005,$A32,請求記録!$X$6:$X$3005,I$5))))</f>
        <v/>
      </c>
      <c r="J32" s="19">
        <f>IF($A32="","",IF(COUNTIFS(請求記録!$B$6:$B$3005,$A32,請求記録!$X$6:$X$3005,J$5,請求記録!$AD$6:$AD$3005,"保留中")&gt;0,"保留",IF(COUNTIFS(請求記録!$B$6:$B$3005,$A32,請求記録!$X$6:$X$3005,J$5)=0,"",SUMIFS(請求記録!$AC$6:$AC$3005,請求記録!$B$6:$B$3005,$A32,請求記録!$X$6:$X$3005,J$5))))</f>
        <v/>
      </c>
      <c r="K32" s="19">
        <f>IF($A32="","",IF(COUNTIFS(請求記録!$B$6:$B$3005,$A32,請求記録!$X$6:$X$3005,K$5,請求記録!$AD$6:$AD$3005,"保留中")&gt;0,"保留",IF(COUNTIFS(請求記録!$B$6:$B$3005,$A32,請求記録!$X$6:$X$3005,K$5)=0,"",SUMIFS(請求記録!$AC$6:$AC$3005,請求記録!$B$6:$B$3005,$A32,請求記録!$X$6:$X$3005,K$5))))</f>
        <v/>
      </c>
      <c r="L32" s="19">
        <f>IF($A32="","",IF(COUNTIFS(請求記録!$B$6:$B$3005,$A32,請求記録!$X$6:$X$3005,L$5,請求記録!$AD$6:$AD$3005,"保留中")&gt;0,"保留",IF(COUNTIFS(請求記録!$B$6:$B$3005,$A32,請求記録!$X$6:$X$3005,L$5)=0,"",SUMIFS(請求記録!$AC$6:$AC$3005,請求記録!$B$6:$B$3005,$A32,請求記録!$X$6:$X$3005,L$5))))</f>
        <v/>
      </c>
      <c r="M32" s="19">
        <f>IF($A32="","",IF(COUNTIFS(請求記録!$B$6:$B$3005,$A32,請求記録!$X$6:$X$3005,M$5,請求記録!$AD$6:$AD$3005,"保留中")&gt;0,"保留",IF(COUNTIFS(請求記録!$B$6:$B$3005,$A32,請求記録!$X$6:$X$3005,M$5)=0,"",SUMIFS(請求記録!$AC$6:$AC$3005,請求記録!$B$6:$B$3005,$A32,請求記録!$X$6:$X$3005,M$5))))</f>
        <v/>
      </c>
      <c r="N32" s="19">
        <f>IF($A32="","",IF(COUNTIFS(請求記録!$B$6:$B$3005,$A32,請求記録!$X$6:$X$3005,N$5,請求記録!$AD$6:$AD$3005,"保留中")&gt;0,"保留",IF(COUNTIFS(請求記録!$B$6:$B$3005,$A32,請求記録!$X$6:$X$3005,N$5)=0,"",SUMIFS(請求記録!$AC$6:$AC$3005,請求記録!$B$6:$B$3005,$A32,請求記録!$X$6:$X$3005,N$5))))</f>
        <v/>
      </c>
      <c r="O32" s="19">
        <f>IF($A32="","",IF(COUNTIFS(請求記録!$B$6:$B$3005,$A32,請求記録!$X$6:$X$3005,O$5,請求記録!$AD$6:$AD$3005,"保留中")&gt;0,"保留",IF(COUNTIFS(請求記録!$B$6:$B$3005,$A32,請求記録!$X$6:$X$3005,O$5)=0,"",SUMIFS(請求記録!$AC$6:$AC$3005,請求記録!$B$6:$B$3005,$A32,請求記録!$X$6:$X$3005,O$5))))</f>
        <v/>
      </c>
      <c r="P32" s="19">
        <f>IF($A32="","",IF(COUNTIFS(請求記録!$B$6:$B$3005,$A32,請求記録!$X$6:$X$3005,P$5,請求記録!$AD$6:$AD$3005,"保留中")&gt;0,"保留",IF(COUNTIFS(請求記録!$B$6:$B$3005,$A32,請求記録!$X$6:$X$3005,P$5)=0,"",SUMIFS(請求記録!$AC$6:$AC$3005,請求記録!$B$6:$B$3005,$A32,請求記録!$X$6:$X$3005,P$5))))</f>
        <v/>
      </c>
      <c r="Q32" s="19">
        <f>IF($A32="","",IF(COUNTIFS(請求記録!$B$6:$B$3005,$A32,請求記録!$X$6:$X$3005,Q$5,請求記録!$AD$6:$AD$3005,"保留中")&gt;0,"保留",IF(COUNTIFS(請求記録!$B$6:$B$3005,$A32,請求記録!$X$6:$X$3005,Q$5)=0,"",SUMIFS(請求記録!$AC$6:$AC$3005,請求記録!$B$6:$B$3005,$A32,請求記録!$X$6:$X$3005,Q$5))))</f>
        <v/>
      </c>
      <c r="R32" s="19">
        <f>IF($A32="","",IF(COUNTIFS(請求記録!$B$6:$B$3005,$A32,請求記録!$X$6:$X$3005,R$5,請求記録!$AD$6:$AD$3005,"保留中")&gt;0,"保留",IF(COUNTIFS(請求記録!$B$6:$B$3005,$A32,請求記録!$X$6:$X$3005,R$5)=0,"",SUMIFS(請求記録!$AC$6:$AC$3005,請求記録!$B$6:$B$3005,$A32,請求記録!$X$6:$X$3005,R$5))))</f>
        <v/>
      </c>
      <c r="S32" s="19">
        <f>IF($A32="","",IF(COUNTIFS(請求記録!$B$6:$B$3005,$A32,請求記録!$X$6:$X$3005,S$5,請求記録!$AD$6:$AD$3005,"保留中")&gt;0,"保留",IF(COUNTIFS(請求記録!$B$6:$B$3005,$A32,請求記録!$X$6:$X$3005,S$5)=0,"",SUMIFS(請求記録!$AC$6:$AC$3005,請求記録!$B$6:$B$3005,$A32,請求記録!$X$6:$X$3005,S$5))))</f>
        <v/>
      </c>
      <c r="T32" s="19">
        <f>IF($A32="","",IF(COUNTIFS(請求記録!$B$6:$B$3005,$A32,請求記録!$X$6:$X$3005,T$5,請求記録!$AD$6:$AD$3005,"保留中")&gt;0,"保留",IF(COUNTIFS(請求記録!$B$6:$B$3005,$A32,請求記録!$X$6:$X$3005,T$5)=0,"",SUMIFS(請求記録!$AC$6:$AC$3005,請求記録!$B$6:$B$3005,$A32,請求記録!$X$6:$X$3005,T$5))))</f>
        <v/>
      </c>
      <c r="U32" s="19">
        <f>IF($A32="","",IF(COUNTIFS(請求記録!$B$6:$B$3005,$A32,請求記録!$X$6:$X$3005,U$5,請求記録!$AD$6:$AD$3005,"保留中")&gt;0,"保留",IF(COUNTIFS(請求記録!$B$6:$B$3005,$A32,請求記録!$X$6:$X$3005,U$5)=0,"",SUMIFS(請求記録!$AC$6:$AC$3005,請求記録!$B$6:$B$3005,$A32,請求記録!$X$6:$X$3005,U$5))))</f>
        <v/>
      </c>
      <c r="V32" s="19">
        <f>IF($A32="","",IF(COUNTIFS(請求記録!$B$6:$B$3005,$A32,請求記録!$X$6:$X$3005,V$5,請求記録!$AD$6:$AD$3005,"保留中")&gt;0,"保留",IF(COUNTIFS(請求記録!$B$6:$B$3005,$A32,請求記録!$X$6:$X$3005,V$5)=0,"",SUMIFS(請求記録!$AC$6:$AC$3005,請求記録!$B$6:$B$3005,$A32,請求記録!$X$6:$X$3005,V$5))))</f>
        <v/>
      </c>
      <c r="W32" s="19">
        <f>IF($A32="","",IF(COUNTIFS(請求記録!$B$6:$B$3005,$A32,請求記録!$X$6:$X$3005,W$5,請求記録!$AD$6:$AD$3005,"保留中")&gt;0,"保留",IF(COUNTIFS(請求記録!$B$6:$B$3005,$A32,請求記録!$X$6:$X$3005,W$5)=0,"",SUMIFS(請求記録!$AC$6:$AC$3005,請求記録!$B$6:$B$3005,$A32,請求記録!$X$6:$X$3005,W$5))))</f>
        <v/>
      </c>
      <c r="X32" s="19">
        <f>IF($A32="","",IF(COUNTIFS(請求記録!$B$6:$B$3005,$A32,請求記録!$X$6:$X$3005,X$5,請求記録!$AD$6:$AD$3005,"保留中")&gt;0,"保留",IF(COUNTIFS(請求記録!$B$6:$B$3005,$A32,請求記録!$X$6:$X$3005,X$5)=0,"",SUMIFS(請求記録!$AC$6:$AC$3005,請求記録!$B$6:$B$3005,$A32,請求記録!$X$6:$X$3005,X$5))))</f>
        <v/>
      </c>
      <c r="Y32" s="19">
        <f>IF($A32="","",IF(COUNTIFS(請求記録!$B$6:$B$3005,$A32,請求記録!$X$6:$X$3005,Y$5,請求記録!$AD$6:$AD$3005,"保留中")&gt;0,"保留",IF(COUNTIFS(請求記録!$B$6:$B$3005,$A32,請求記録!$X$6:$X$3005,Y$5)=0,"",SUMIFS(請求記録!$AC$6:$AC$3005,請求記録!$B$6:$B$3005,$A32,請求記録!$X$6:$X$3005,Y$5))))</f>
        <v/>
      </c>
      <c r="Z32" s="19">
        <f>IF($A32="","",IF(COUNTIFS(請求記録!$B$6:$B$3005,$A32,請求記録!$X$6:$X$3005,Z$5,請求記録!$AD$6:$AD$3005,"保留中")&gt;0,"保留",IF(COUNTIFS(請求記録!$B$6:$B$3005,$A32,請求記録!$X$6:$X$3005,Z$5)=0,"",SUMIFS(請求記録!$AC$6:$AC$3005,請求記録!$B$6:$B$3005,$A32,請求記録!$X$6:$X$3005,Z$5))))</f>
        <v/>
      </c>
      <c r="AA32" s="19">
        <f>IF($A32="","",IF(COUNTIFS(請求記録!$B$6:$B$3005,$A32,請求記録!$X$6:$X$3005,AA$5,請求記録!$AD$6:$AD$3005,"保留中")&gt;0,"保留",IF(COUNTIFS(請求記録!$B$6:$B$3005,$A32,請求記録!$X$6:$X$3005,AA$5)=0,"",SUMIFS(請求記録!$AC$6:$AC$3005,請求記録!$B$6:$B$3005,$A32,請求記録!$X$6:$X$3005,AA$5))))</f>
        <v/>
      </c>
      <c r="AB32">
        <f>IF(職員マスタ!P32="保留中",職員マスタ!M32,"")</f>
        <v/>
      </c>
    </row>
    <row r="33">
      <c r="A33">
        <f>IF(職員マスタ!A33="","",職員マスタ!A33)</f>
        <v/>
      </c>
      <c r="B33">
        <f>IF($A33="","",職員マスタ!B33)</f>
        <v/>
      </c>
      <c r="C33">
        <f>IF($A33="","",職員マスタ!C33)</f>
        <v/>
      </c>
      <c r="D33" s="19">
        <f>IF($A33="","",IF(COUNTIFS(請求記録!$B$6:$B$3005,$A33,請求記録!$X$6:$X$3005,D$5,請求記録!$AD$6:$AD$3005,"保留中")&gt;0,"保留",IF(COUNTIFS(請求記録!$B$6:$B$3005,$A33,請求記録!$X$6:$X$3005,D$5)=0,"",SUMIFS(請求記録!$AC$6:$AC$3005,請求記録!$B$6:$B$3005,$A33,請求記録!$X$6:$X$3005,D$5))))</f>
        <v/>
      </c>
      <c r="E33" s="19">
        <f>IF($A33="","",IF(COUNTIFS(請求記録!$B$6:$B$3005,$A33,請求記録!$X$6:$X$3005,E$5,請求記録!$AD$6:$AD$3005,"保留中")&gt;0,"保留",IF(COUNTIFS(請求記録!$B$6:$B$3005,$A33,請求記録!$X$6:$X$3005,E$5)=0,"",SUMIFS(請求記録!$AC$6:$AC$3005,請求記録!$B$6:$B$3005,$A33,請求記録!$X$6:$X$3005,E$5))))</f>
        <v/>
      </c>
      <c r="F33" s="19">
        <f>IF($A33="","",IF(COUNTIFS(請求記録!$B$6:$B$3005,$A33,請求記録!$X$6:$X$3005,F$5,請求記録!$AD$6:$AD$3005,"保留中")&gt;0,"保留",IF(COUNTIFS(請求記録!$B$6:$B$3005,$A33,請求記録!$X$6:$X$3005,F$5)=0,"",SUMIFS(請求記録!$AC$6:$AC$3005,請求記録!$B$6:$B$3005,$A33,請求記録!$X$6:$X$3005,F$5))))</f>
        <v/>
      </c>
      <c r="G33" s="19">
        <f>IF($A33="","",IF(COUNTIFS(請求記録!$B$6:$B$3005,$A33,請求記録!$X$6:$X$3005,G$5,請求記録!$AD$6:$AD$3005,"保留中")&gt;0,"保留",IF(COUNTIFS(請求記録!$B$6:$B$3005,$A33,請求記録!$X$6:$X$3005,G$5)=0,"",SUMIFS(請求記録!$AC$6:$AC$3005,請求記録!$B$6:$B$3005,$A33,請求記録!$X$6:$X$3005,G$5))))</f>
        <v/>
      </c>
      <c r="H33" s="19">
        <f>IF($A33="","",IF(COUNTIFS(請求記録!$B$6:$B$3005,$A33,請求記録!$X$6:$X$3005,H$5,請求記録!$AD$6:$AD$3005,"保留中")&gt;0,"保留",IF(COUNTIFS(請求記録!$B$6:$B$3005,$A33,請求記録!$X$6:$X$3005,H$5)=0,"",SUMIFS(請求記録!$AC$6:$AC$3005,請求記録!$B$6:$B$3005,$A33,請求記録!$X$6:$X$3005,H$5))))</f>
        <v/>
      </c>
      <c r="I33" s="19">
        <f>IF($A33="","",IF(COUNTIFS(請求記録!$B$6:$B$3005,$A33,請求記録!$X$6:$X$3005,I$5,請求記録!$AD$6:$AD$3005,"保留中")&gt;0,"保留",IF(COUNTIFS(請求記録!$B$6:$B$3005,$A33,請求記録!$X$6:$X$3005,I$5)=0,"",SUMIFS(請求記録!$AC$6:$AC$3005,請求記録!$B$6:$B$3005,$A33,請求記録!$X$6:$X$3005,I$5))))</f>
        <v/>
      </c>
      <c r="J33" s="19">
        <f>IF($A33="","",IF(COUNTIFS(請求記録!$B$6:$B$3005,$A33,請求記録!$X$6:$X$3005,J$5,請求記録!$AD$6:$AD$3005,"保留中")&gt;0,"保留",IF(COUNTIFS(請求記録!$B$6:$B$3005,$A33,請求記録!$X$6:$X$3005,J$5)=0,"",SUMIFS(請求記録!$AC$6:$AC$3005,請求記録!$B$6:$B$3005,$A33,請求記録!$X$6:$X$3005,J$5))))</f>
        <v/>
      </c>
      <c r="K33" s="19">
        <f>IF($A33="","",IF(COUNTIFS(請求記録!$B$6:$B$3005,$A33,請求記録!$X$6:$X$3005,K$5,請求記録!$AD$6:$AD$3005,"保留中")&gt;0,"保留",IF(COUNTIFS(請求記録!$B$6:$B$3005,$A33,請求記録!$X$6:$X$3005,K$5)=0,"",SUMIFS(請求記録!$AC$6:$AC$3005,請求記録!$B$6:$B$3005,$A33,請求記録!$X$6:$X$3005,K$5))))</f>
        <v/>
      </c>
      <c r="L33" s="19">
        <f>IF($A33="","",IF(COUNTIFS(請求記録!$B$6:$B$3005,$A33,請求記録!$X$6:$X$3005,L$5,請求記録!$AD$6:$AD$3005,"保留中")&gt;0,"保留",IF(COUNTIFS(請求記録!$B$6:$B$3005,$A33,請求記録!$X$6:$X$3005,L$5)=0,"",SUMIFS(請求記録!$AC$6:$AC$3005,請求記録!$B$6:$B$3005,$A33,請求記録!$X$6:$X$3005,L$5))))</f>
        <v/>
      </c>
      <c r="M33" s="19">
        <f>IF($A33="","",IF(COUNTIFS(請求記録!$B$6:$B$3005,$A33,請求記録!$X$6:$X$3005,M$5,請求記録!$AD$6:$AD$3005,"保留中")&gt;0,"保留",IF(COUNTIFS(請求記録!$B$6:$B$3005,$A33,請求記録!$X$6:$X$3005,M$5)=0,"",SUMIFS(請求記録!$AC$6:$AC$3005,請求記録!$B$6:$B$3005,$A33,請求記録!$X$6:$X$3005,M$5))))</f>
        <v/>
      </c>
      <c r="N33" s="19">
        <f>IF($A33="","",IF(COUNTIFS(請求記録!$B$6:$B$3005,$A33,請求記録!$X$6:$X$3005,N$5,請求記録!$AD$6:$AD$3005,"保留中")&gt;0,"保留",IF(COUNTIFS(請求記録!$B$6:$B$3005,$A33,請求記録!$X$6:$X$3005,N$5)=0,"",SUMIFS(請求記録!$AC$6:$AC$3005,請求記録!$B$6:$B$3005,$A33,請求記録!$X$6:$X$3005,N$5))))</f>
        <v/>
      </c>
      <c r="O33" s="19">
        <f>IF($A33="","",IF(COUNTIFS(請求記録!$B$6:$B$3005,$A33,請求記録!$X$6:$X$3005,O$5,請求記録!$AD$6:$AD$3005,"保留中")&gt;0,"保留",IF(COUNTIFS(請求記録!$B$6:$B$3005,$A33,請求記録!$X$6:$X$3005,O$5)=0,"",SUMIFS(請求記録!$AC$6:$AC$3005,請求記録!$B$6:$B$3005,$A33,請求記録!$X$6:$X$3005,O$5))))</f>
        <v/>
      </c>
      <c r="P33" s="19">
        <f>IF($A33="","",IF(COUNTIFS(請求記録!$B$6:$B$3005,$A33,請求記録!$X$6:$X$3005,P$5,請求記録!$AD$6:$AD$3005,"保留中")&gt;0,"保留",IF(COUNTIFS(請求記録!$B$6:$B$3005,$A33,請求記録!$X$6:$X$3005,P$5)=0,"",SUMIFS(請求記録!$AC$6:$AC$3005,請求記録!$B$6:$B$3005,$A33,請求記録!$X$6:$X$3005,P$5))))</f>
        <v/>
      </c>
      <c r="Q33" s="19">
        <f>IF($A33="","",IF(COUNTIFS(請求記録!$B$6:$B$3005,$A33,請求記録!$X$6:$X$3005,Q$5,請求記録!$AD$6:$AD$3005,"保留中")&gt;0,"保留",IF(COUNTIFS(請求記録!$B$6:$B$3005,$A33,請求記録!$X$6:$X$3005,Q$5)=0,"",SUMIFS(請求記録!$AC$6:$AC$3005,請求記録!$B$6:$B$3005,$A33,請求記録!$X$6:$X$3005,Q$5))))</f>
        <v/>
      </c>
      <c r="R33" s="19">
        <f>IF($A33="","",IF(COUNTIFS(請求記録!$B$6:$B$3005,$A33,請求記録!$X$6:$X$3005,R$5,請求記録!$AD$6:$AD$3005,"保留中")&gt;0,"保留",IF(COUNTIFS(請求記録!$B$6:$B$3005,$A33,請求記録!$X$6:$X$3005,R$5)=0,"",SUMIFS(請求記録!$AC$6:$AC$3005,請求記録!$B$6:$B$3005,$A33,請求記録!$X$6:$X$3005,R$5))))</f>
        <v/>
      </c>
      <c r="S33" s="19">
        <f>IF($A33="","",IF(COUNTIFS(請求記録!$B$6:$B$3005,$A33,請求記録!$X$6:$X$3005,S$5,請求記録!$AD$6:$AD$3005,"保留中")&gt;0,"保留",IF(COUNTIFS(請求記録!$B$6:$B$3005,$A33,請求記録!$X$6:$X$3005,S$5)=0,"",SUMIFS(請求記録!$AC$6:$AC$3005,請求記録!$B$6:$B$3005,$A33,請求記録!$X$6:$X$3005,S$5))))</f>
        <v/>
      </c>
      <c r="T33" s="19">
        <f>IF($A33="","",IF(COUNTIFS(請求記録!$B$6:$B$3005,$A33,請求記録!$X$6:$X$3005,T$5,請求記録!$AD$6:$AD$3005,"保留中")&gt;0,"保留",IF(COUNTIFS(請求記録!$B$6:$B$3005,$A33,請求記録!$X$6:$X$3005,T$5)=0,"",SUMIFS(請求記録!$AC$6:$AC$3005,請求記録!$B$6:$B$3005,$A33,請求記録!$X$6:$X$3005,T$5))))</f>
        <v/>
      </c>
      <c r="U33" s="19">
        <f>IF($A33="","",IF(COUNTIFS(請求記録!$B$6:$B$3005,$A33,請求記録!$X$6:$X$3005,U$5,請求記録!$AD$6:$AD$3005,"保留中")&gt;0,"保留",IF(COUNTIFS(請求記録!$B$6:$B$3005,$A33,請求記録!$X$6:$X$3005,U$5)=0,"",SUMIFS(請求記録!$AC$6:$AC$3005,請求記録!$B$6:$B$3005,$A33,請求記録!$X$6:$X$3005,U$5))))</f>
        <v/>
      </c>
      <c r="V33" s="19">
        <f>IF($A33="","",IF(COUNTIFS(請求記録!$B$6:$B$3005,$A33,請求記録!$X$6:$X$3005,V$5,請求記録!$AD$6:$AD$3005,"保留中")&gt;0,"保留",IF(COUNTIFS(請求記録!$B$6:$B$3005,$A33,請求記録!$X$6:$X$3005,V$5)=0,"",SUMIFS(請求記録!$AC$6:$AC$3005,請求記録!$B$6:$B$3005,$A33,請求記録!$X$6:$X$3005,V$5))))</f>
        <v/>
      </c>
      <c r="W33" s="19">
        <f>IF($A33="","",IF(COUNTIFS(請求記録!$B$6:$B$3005,$A33,請求記録!$X$6:$X$3005,W$5,請求記録!$AD$6:$AD$3005,"保留中")&gt;0,"保留",IF(COUNTIFS(請求記録!$B$6:$B$3005,$A33,請求記録!$X$6:$X$3005,W$5)=0,"",SUMIFS(請求記録!$AC$6:$AC$3005,請求記録!$B$6:$B$3005,$A33,請求記録!$X$6:$X$3005,W$5))))</f>
        <v/>
      </c>
      <c r="X33" s="19">
        <f>IF($A33="","",IF(COUNTIFS(請求記録!$B$6:$B$3005,$A33,請求記録!$X$6:$X$3005,X$5,請求記録!$AD$6:$AD$3005,"保留中")&gt;0,"保留",IF(COUNTIFS(請求記録!$B$6:$B$3005,$A33,請求記録!$X$6:$X$3005,X$5)=0,"",SUMIFS(請求記録!$AC$6:$AC$3005,請求記録!$B$6:$B$3005,$A33,請求記録!$X$6:$X$3005,X$5))))</f>
        <v/>
      </c>
      <c r="Y33" s="19">
        <f>IF($A33="","",IF(COUNTIFS(請求記録!$B$6:$B$3005,$A33,請求記録!$X$6:$X$3005,Y$5,請求記録!$AD$6:$AD$3005,"保留中")&gt;0,"保留",IF(COUNTIFS(請求記録!$B$6:$B$3005,$A33,請求記録!$X$6:$X$3005,Y$5)=0,"",SUMIFS(請求記録!$AC$6:$AC$3005,請求記録!$B$6:$B$3005,$A33,請求記録!$X$6:$X$3005,Y$5))))</f>
        <v/>
      </c>
      <c r="Z33" s="19">
        <f>IF($A33="","",IF(COUNTIFS(請求記録!$B$6:$B$3005,$A33,請求記録!$X$6:$X$3005,Z$5,請求記録!$AD$6:$AD$3005,"保留中")&gt;0,"保留",IF(COUNTIFS(請求記録!$B$6:$B$3005,$A33,請求記録!$X$6:$X$3005,Z$5)=0,"",SUMIFS(請求記録!$AC$6:$AC$3005,請求記録!$B$6:$B$3005,$A33,請求記録!$X$6:$X$3005,Z$5))))</f>
        <v/>
      </c>
      <c r="AA33" s="19">
        <f>IF($A33="","",IF(COUNTIFS(請求記録!$B$6:$B$3005,$A33,請求記録!$X$6:$X$3005,AA$5,請求記録!$AD$6:$AD$3005,"保留中")&gt;0,"保留",IF(COUNTIFS(請求記録!$B$6:$B$3005,$A33,請求記録!$X$6:$X$3005,AA$5)=0,"",SUMIFS(請求記録!$AC$6:$AC$3005,請求記録!$B$6:$B$3005,$A33,請求記録!$X$6:$X$3005,AA$5))))</f>
        <v/>
      </c>
      <c r="AB33">
        <f>IF(職員マスタ!P33="保留中",職員マスタ!M33,"")</f>
        <v/>
      </c>
    </row>
    <row r="34">
      <c r="A34">
        <f>IF(職員マスタ!A34="","",職員マスタ!A34)</f>
        <v/>
      </c>
      <c r="B34">
        <f>IF($A34="","",職員マスタ!B34)</f>
        <v/>
      </c>
      <c r="C34">
        <f>IF($A34="","",職員マスタ!C34)</f>
        <v/>
      </c>
      <c r="D34" s="19">
        <f>IF($A34="","",IF(COUNTIFS(請求記録!$B$6:$B$3005,$A34,請求記録!$X$6:$X$3005,D$5,請求記録!$AD$6:$AD$3005,"保留中")&gt;0,"保留",IF(COUNTIFS(請求記録!$B$6:$B$3005,$A34,請求記録!$X$6:$X$3005,D$5)=0,"",SUMIFS(請求記録!$AC$6:$AC$3005,請求記録!$B$6:$B$3005,$A34,請求記録!$X$6:$X$3005,D$5))))</f>
        <v/>
      </c>
      <c r="E34" s="19">
        <f>IF($A34="","",IF(COUNTIFS(請求記録!$B$6:$B$3005,$A34,請求記録!$X$6:$X$3005,E$5,請求記録!$AD$6:$AD$3005,"保留中")&gt;0,"保留",IF(COUNTIFS(請求記録!$B$6:$B$3005,$A34,請求記録!$X$6:$X$3005,E$5)=0,"",SUMIFS(請求記録!$AC$6:$AC$3005,請求記録!$B$6:$B$3005,$A34,請求記録!$X$6:$X$3005,E$5))))</f>
        <v/>
      </c>
      <c r="F34" s="19">
        <f>IF($A34="","",IF(COUNTIFS(請求記録!$B$6:$B$3005,$A34,請求記録!$X$6:$X$3005,F$5,請求記録!$AD$6:$AD$3005,"保留中")&gt;0,"保留",IF(COUNTIFS(請求記録!$B$6:$B$3005,$A34,請求記録!$X$6:$X$3005,F$5)=0,"",SUMIFS(請求記録!$AC$6:$AC$3005,請求記録!$B$6:$B$3005,$A34,請求記録!$X$6:$X$3005,F$5))))</f>
        <v/>
      </c>
      <c r="G34" s="19">
        <f>IF($A34="","",IF(COUNTIFS(請求記録!$B$6:$B$3005,$A34,請求記録!$X$6:$X$3005,G$5,請求記録!$AD$6:$AD$3005,"保留中")&gt;0,"保留",IF(COUNTIFS(請求記録!$B$6:$B$3005,$A34,請求記録!$X$6:$X$3005,G$5)=0,"",SUMIFS(請求記録!$AC$6:$AC$3005,請求記録!$B$6:$B$3005,$A34,請求記録!$X$6:$X$3005,G$5))))</f>
        <v/>
      </c>
      <c r="H34" s="19">
        <f>IF($A34="","",IF(COUNTIFS(請求記録!$B$6:$B$3005,$A34,請求記録!$X$6:$X$3005,H$5,請求記録!$AD$6:$AD$3005,"保留中")&gt;0,"保留",IF(COUNTIFS(請求記録!$B$6:$B$3005,$A34,請求記録!$X$6:$X$3005,H$5)=0,"",SUMIFS(請求記録!$AC$6:$AC$3005,請求記録!$B$6:$B$3005,$A34,請求記録!$X$6:$X$3005,H$5))))</f>
        <v/>
      </c>
      <c r="I34" s="19">
        <f>IF($A34="","",IF(COUNTIFS(請求記録!$B$6:$B$3005,$A34,請求記録!$X$6:$X$3005,I$5,請求記録!$AD$6:$AD$3005,"保留中")&gt;0,"保留",IF(COUNTIFS(請求記録!$B$6:$B$3005,$A34,請求記録!$X$6:$X$3005,I$5)=0,"",SUMIFS(請求記録!$AC$6:$AC$3005,請求記録!$B$6:$B$3005,$A34,請求記録!$X$6:$X$3005,I$5))))</f>
        <v/>
      </c>
      <c r="J34" s="19">
        <f>IF($A34="","",IF(COUNTIFS(請求記録!$B$6:$B$3005,$A34,請求記録!$X$6:$X$3005,J$5,請求記録!$AD$6:$AD$3005,"保留中")&gt;0,"保留",IF(COUNTIFS(請求記録!$B$6:$B$3005,$A34,請求記録!$X$6:$X$3005,J$5)=0,"",SUMIFS(請求記録!$AC$6:$AC$3005,請求記録!$B$6:$B$3005,$A34,請求記録!$X$6:$X$3005,J$5))))</f>
        <v/>
      </c>
      <c r="K34" s="19">
        <f>IF($A34="","",IF(COUNTIFS(請求記録!$B$6:$B$3005,$A34,請求記録!$X$6:$X$3005,K$5,請求記録!$AD$6:$AD$3005,"保留中")&gt;0,"保留",IF(COUNTIFS(請求記録!$B$6:$B$3005,$A34,請求記録!$X$6:$X$3005,K$5)=0,"",SUMIFS(請求記録!$AC$6:$AC$3005,請求記録!$B$6:$B$3005,$A34,請求記録!$X$6:$X$3005,K$5))))</f>
        <v/>
      </c>
      <c r="L34" s="19">
        <f>IF($A34="","",IF(COUNTIFS(請求記録!$B$6:$B$3005,$A34,請求記録!$X$6:$X$3005,L$5,請求記録!$AD$6:$AD$3005,"保留中")&gt;0,"保留",IF(COUNTIFS(請求記録!$B$6:$B$3005,$A34,請求記録!$X$6:$X$3005,L$5)=0,"",SUMIFS(請求記録!$AC$6:$AC$3005,請求記録!$B$6:$B$3005,$A34,請求記録!$X$6:$X$3005,L$5))))</f>
        <v/>
      </c>
      <c r="M34" s="19">
        <f>IF($A34="","",IF(COUNTIFS(請求記録!$B$6:$B$3005,$A34,請求記録!$X$6:$X$3005,M$5,請求記録!$AD$6:$AD$3005,"保留中")&gt;0,"保留",IF(COUNTIFS(請求記録!$B$6:$B$3005,$A34,請求記録!$X$6:$X$3005,M$5)=0,"",SUMIFS(請求記録!$AC$6:$AC$3005,請求記録!$B$6:$B$3005,$A34,請求記録!$X$6:$X$3005,M$5))))</f>
        <v/>
      </c>
      <c r="N34" s="19">
        <f>IF($A34="","",IF(COUNTIFS(請求記録!$B$6:$B$3005,$A34,請求記録!$X$6:$X$3005,N$5,請求記録!$AD$6:$AD$3005,"保留中")&gt;0,"保留",IF(COUNTIFS(請求記録!$B$6:$B$3005,$A34,請求記録!$X$6:$X$3005,N$5)=0,"",SUMIFS(請求記録!$AC$6:$AC$3005,請求記録!$B$6:$B$3005,$A34,請求記録!$X$6:$X$3005,N$5))))</f>
        <v/>
      </c>
      <c r="O34" s="19">
        <f>IF($A34="","",IF(COUNTIFS(請求記録!$B$6:$B$3005,$A34,請求記録!$X$6:$X$3005,O$5,請求記録!$AD$6:$AD$3005,"保留中")&gt;0,"保留",IF(COUNTIFS(請求記録!$B$6:$B$3005,$A34,請求記録!$X$6:$X$3005,O$5)=0,"",SUMIFS(請求記録!$AC$6:$AC$3005,請求記録!$B$6:$B$3005,$A34,請求記録!$X$6:$X$3005,O$5))))</f>
        <v/>
      </c>
      <c r="P34" s="19">
        <f>IF($A34="","",IF(COUNTIFS(請求記録!$B$6:$B$3005,$A34,請求記録!$X$6:$X$3005,P$5,請求記録!$AD$6:$AD$3005,"保留中")&gt;0,"保留",IF(COUNTIFS(請求記録!$B$6:$B$3005,$A34,請求記録!$X$6:$X$3005,P$5)=0,"",SUMIFS(請求記録!$AC$6:$AC$3005,請求記録!$B$6:$B$3005,$A34,請求記録!$X$6:$X$3005,P$5))))</f>
        <v/>
      </c>
      <c r="Q34" s="19">
        <f>IF($A34="","",IF(COUNTIFS(請求記録!$B$6:$B$3005,$A34,請求記録!$X$6:$X$3005,Q$5,請求記録!$AD$6:$AD$3005,"保留中")&gt;0,"保留",IF(COUNTIFS(請求記録!$B$6:$B$3005,$A34,請求記録!$X$6:$X$3005,Q$5)=0,"",SUMIFS(請求記録!$AC$6:$AC$3005,請求記録!$B$6:$B$3005,$A34,請求記録!$X$6:$X$3005,Q$5))))</f>
        <v/>
      </c>
      <c r="R34" s="19">
        <f>IF($A34="","",IF(COUNTIFS(請求記録!$B$6:$B$3005,$A34,請求記録!$X$6:$X$3005,R$5,請求記録!$AD$6:$AD$3005,"保留中")&gt;0,"保留",IF(COUNTIFS(請求記録!$B$6:$B$3005,$A34,請求記録!$X$6:$X$3005,R$5)=0,"",SUMIFS(請求記録!$AC$6:$AC$3005,請求記録!$B$6:$B$3005,$A34,請求記録!$X$6:$X$3005,R$5))))</f>
        <v/>
      </c>
      <c r="S34" s="19">
        <f>IF($A34="","",IF(COUNTIFS(請求記録!$B$6:$B$3005,$A34,請求記録!$X$6:$X$3005,S$5,請求記録!$AD$6:$AD$3005,"保留中")&gt;0,"保留",IF(COUNTIFS(請求記録!$B$6:$B$3005,$A34,請求記録!$X$6:$X$3005,S$5)=0,"",SUMIFS(請求記録!$AC$6:$AC$3005,請求記録!$B$6:$B$3005,$A34,請求記録!$X$6:$X$3005,S$5))))</f>
        <v/>
      </c>
      <c r="T34" s="19">
        <f>IF($A34="","",IF(COUNTIFS(請求記録!$B$6:$B$3005,$A34,請求記録!$X$6:$X$3005,T$5,請求記録!$AD$6:$AD$3005,"保留中")&gt;0,"保留",IF(COUNTIFS(請求記録!$B$6:$B$3005,$A34,請求記録!$X$6:$X$3005,T$5)=0,"",SUMIFS(請求記録!$AC$6:$AC$3005,請求記録!$B$6:$B$3005,$A34,請求記録!$X$6:$X$3005,T$5))))</f>
        <v/>
      </c>
      <c r="U34" s="19">
        <f>IF($A34="","",IF(COUNTIFS(請求記録!$B$6:$B$3005,$A34,請求記録!$X$6:$X$3005,U$5,請求記録!$AD$6:$AD$3005,"保留中")&gt;0,"保留",IF(COUNTIFS(請求記録!$B$6:$B$3005,$A34,請求記録!$X$6:$X$3005,U$5)=0,"",SUMIFS(請求記録!$AC$6:$AC$3005,請求記録!$B$6:$B$3005,$A34,請求記録!$X$6:$X$3005,U$5))))</f>
        <v/>
      </c>
      <c r="V34" s="19">
        <f>IF($A34="","",IF(COUNTIFS(請求記録!$B$6:$B$3005,$A34,請求記録!$X$6:$X$3005,V$5,請求記録!$AD$6:$AD$3005,"保留中")&gt;0,"保留",IF(COUNTIFS(請求記録!$B$6:$B$3005,$A34,請求記録!$X$6:$X$3005,V$5)=0,"",SUMIFS(請求記録!$AC$6:$AC$3005,請求記録!$B$6:$B$3005,$A34,請求記録!$X$6:$X$3005,V$5))))</f>
        <v/>
      </c>
      <c r="W34" s="19">
        <f>IF($A34="","",IF(COUNTIFS(請求記録!$B$6:$B$3005,$A34,請求記録!$X$6:$X$3005,W$5,請求記録!$AD$6:$AD$3005,"保留中")&gt;0,"保留",IF(COUNTIFS(請求記録!$B$6:$B$3005,$A34,請求記録!$X$6:$X$3005,W$5)=0,"",SUMIFS(請求記録!$AC$6:$AC$3005,請求記録!$B$6:$B$3005,$A34,請求記録!$X$6:$X$3005,W$5))))</f>
        <v/>
      </c>
      <c r="X34" s="19">
        <f>IF($A34="","",IF(COUNTIFS(請求記録!$B$6:$B$3005,$A34,請求記録!$X$6:$X$3005,X$5,請求記録!$AD$6:$AD$3005,"保留中")&gt;0,"保留",IF(COUNTIFS(請求記録!$B$6:$B$3005,$A34,請求記録!$X$6:$X$3005,X$5)=0,"",SUMIFS(請求記録!$AC$6:$AC$3005,請求記録!$B$6:$B$3005,$A34,請求記録!$X$6:$X$3005,X$5))))</f>
        <v/>
      </c>
      <c r="Y34" s="19">
        <f>IF($A34="","",IF(COUNTIFS(請求記録!$B$6:$B$3005,$A34,請求記録!$X$6:$X$3005,Y$5,請求記録!$AD$6:$AD$3005,"保留中")&gt;0,"保留",IF(COUNTIFS(請求記録!$B$6:$B$3005,$A34,請求記録!$X$6:$X$3005,Y$5)=0,"",SUMIFS(請求記録!$AC$6:$AC$3005,請求記録!$B$6:$B$3005,$A34,請求記録!$X$6:$X$3005,Y$5))))</f>
        <v/>
      </c>
      <c r="Z34" s="19">
        <f>IF($A34="","",IF(COUNTIFS(請求記録!$B$6:$B$3005,$A34,請求記録!$X$6:$X$3005,Z$5,請求記録!$AD$6:$AD$3005,"保留中")&gt;0,"保留",IF(COUNTIFS(請求記録!$B$6:$B$3005,$A34,請求記録!$X$6:$X$3005,Z$5)=0,"",SUMIFS(請求記録!$AC$6:$AC$3005,請求記録!$B$6:$B$3005,$A34,請求記録!$X$6:$X$3005,Z$5))))</f>
        <v/>
      </c>
      <c r="AA34" s="19">
        <f>IF($A34="","",IF(COUNTIFS(請求記録!$B$6:$B$3005,$A34,請求記録!$X$6:$X$3005,AA$5,請求記録!$AD$6:$AD$3005,"保留中")&gt;0,"保留",IF(COUNTIFS(請求記録!$B$6:$B$3005,$A34,請求記録!$X$6:$X$3005,AA$5)=0,"",SUMIFS(請求記録!$AC$6:$AC$3005,請求記録!$B$6:$B$3005,$A34,請求記録!$X$6:$X$3005,AA$5))))</f>
        <v/>
      </c>
      <c r="AB34">
        <f>IF(職員マスタ!P34="保留中",職員マスタ!M34,"")</f>
        <v/>
      </c>
    </row>
    <row r="35">
      <c r="A35">
        <f>IF(職員マスタ!A35="","",職員マスタ!A35)</f>
        <v/>
      </c>
      <c r="B35">
        <f>IF($A35="","",職員マスタ!B35)</f>
        <v/>
      </c>
      <c r="C35">
        <f>IF($A35="","",職員マスタ!C35)</f>
        <v/>
      </c>
      <c r="D35" s="19">
        <f>IF($A35="","",IF(COUNTIFS(請求記録!$B$6:$B$3005,$A35,請求記録!$X$6:$X$3005,D$5,請求記録!$AD$6:$AD$3005,"保留中")&gt;0,"保留",IF(COUNTIFS(請求記録!$B$6:$B$3005,$A35,請求記録!$X$6:$X$3005,D$5)=0,"",SUMIFS(請求記録!$AC$6:$AC$3005,請求記録!$B$6:$B$3005,$A35,請求記録!$X$6:$X$3005,D$5))))</f>
        <v/>
      </c>
      <c r="E35" s="19">
        <f>IF($A35="","",IF(COUNTIFS(請求記録!$B$6:$B$3005,$A35,請求記録!$X$6:$X$3005,E$5,請求記録!$AD$6:$AD$3005,"保留中")&gt;0,"保留",IF(COUNTIFS(請求記録!$B$6:$B$3005,$A35,請求記録!$X$6:$X$3005,E$5)=0,"",SUMIFS(請求記録!$AC$6:$AC$3005,請求記録!$B$6:$B$3005,$A35,請求記録!$X$6:$X$3005,E$5))))</f>
        <v/>
      </c>
      <c r="F35" s="19">
        <f>IF($A35="","",IF(COUNTIFS(請求記録!$B$6:$B$3005,$A35,請求記録!$X$6:$X$3005,F$5,請求記録!$AD$6:$AD$3005,"保留中")&gt;0,"保留",IF(COUNTIFS(請求記録!$B$6:$B$3005,$A35,請求記録!$X$6:$X$3005,F$5)=0,"",SUMIFS(請求記録!$AC$6:$AC$3005,請求記録!$B$6:$B$3005,$A35,請求記録!$X$6:$X$3005,F$5))))</f>
        <v/>
      </c>
      <c r="G35" s="19">
        <f>IF($A35="","",IF(COUNTIFS(請求記録!$B$6:$B$3005,$A35,請求記録!$X$6:$X$3005,G$5,請求記録!$AD$6:$AD$3005,"保留中")&gt;0,"保留",IF(COUNTIFS(請求記録!$B$6:$B$3005,$A35,請求記録!$X$6:$X$3005,G$5)=0,"",SUMIFS(請求記録!$AC$6:$AC$3005,請求記録!$B$6:$B$3005,$A35,請求記録!$X$6:$X$3005,G$5))))</f>
        <v/>
      </c>
      <c r="H35" s="19">
        <f>IF($A35="","",IF(COUNTIFS(請求記録!$B$6:$B$3005,$A35,請求記録!$X$6:$X$3005,H$5,請求記録!$AD$6:$AD$3005,"保留中")&gt;0,"保留",IF(COUNTIFS(請求記録!$B$6:$B$3005,$A35,請求記録!$X$6:$X$3005,H$5)=0,"",SUMIFS(請求記録!$AC$6:$AC$3005,請求記録!$B$6:$B$3005,$A35,請求記録!$X$6:$X$3005,H$5))))</f>
        <v/>
      </c>
      <c r="I35" s="19">
        <f>IF($A35="","",IF(COUNTIFS(請求記録!$B$6:$B$3005,$A35,請求記録!$X$6:$X$3005,I$5,請求記録!$AD$6:$AD$3005,"保留中")&gt;0,"保留",IF(COUNTIFS(請求記録!$B$6:$B$3005,$A35,請求記録!$X$6:$X$3005,I$5)=0,"",SUMIFS(請求記録!$AC$6:$AC$3005,請求記録!$B$6:$B$3005,$A35,請求記録!$X$6:$X$3005,I$5))))</f>
        <v/>
      </c>
      <c r="J35" s="19">
        <f>IF($A35="","",IF(COUNTIFS(請求記録!$B$6:$B$3005,$A35,請求記録!$X$6:$X$3005,J$5,請求記録!$AD$6:$AD$3005,"保留中")&gt;0,"保留",IF(COUNTIFS(請求記録!$B$6:$B$3005,$A35,請求記録!$X$6:$X$3005,J$5)=0,"",SUMIFS(請求記録!$AC$6:$AC$3005,請求記録!$B$6:$B$3005,$A35,請求記録!$X$6:$X$3005,J$5))))</f>
        <v/>
      </c>
      <c r="K35" s="19">
        <f>IF($A35="","",IF(COUNTIFS(請求記録!$B$6:$B$3005,$A35,請求記録!$X$6:$X$3005,K$5,請求記録!$AD$6:$AD$3005,"保留中")&gt;0,"保留",IF(COUNTIFS(請求記録!$B$6:$B$3005,$A35,請求記録!$X$6:$X$3005,K$5)=0,"",SUMIFS(請求記録!$AC$6:$AC$3005,請求記録!$B$6:$B$3005,$A35,請求記録!$X$6:$X$3005,K$5))))</f>
        <v/>
      </c>
      <c r="L35" s="19">
        <f>IF($A35="","",IF(COUNTIFS(請求記録!$B$6:$B$3005,$A35,請求記録!$X$6:$X$3005,L$5,請求記録!$AD$6:$AD$3005,"保留中")&gt;0,"保留",IF(COUNTIFS(請求記録!$B$6:$B$3005,$A35,請求記録!$X$6:$X$3005,L$5)=0,"",SUMIFS(請求記録!$AC$6:$AC$3005,請求記録!$B$6:$B$3005,$A35,請求記録!$X$6:$X$3005,L$5))))</f>
        <v/>
      </c>
      <c r="M35" s="19">
        <f>IF($A35="","",IF(COUNTIFS(請求記録!$B$6:$B$3005,$A35,請求記録!$X$6:$X$3005,M$5,請求記録!$AD$6:$AD$3005,"保留中")&gt;0,"保留",IF(COUNTIFS(請求記録!$B$6:$B$3005,$A35,請求記録!$X$6:$X$3005,M$5)=0,"",SUMIFS(請求記録!$AC$6:$AC$3005,請求記録!$B$6:$B$3005,$A35,請求記録!$X$6:$X$3005,M$5))))</f>
        <v/>
      </c>
      <c r="N35" s="19">
        <f>IF($A35="","",IF(COUNTIFS(請求記録!$B$6:$B$3005,$A35,請求記録!$X$6:$X$3005,N$5,請求記録!$AD$6:$AD$3005,"保留中")&gt;0,"保留",IF(COUNTIFS(請求記録!$B$6:$B$3005,$A35,請求記録!$X$6:$X$3005,N$5)=0,"",SUMIFS(請求記録!$AC$6:$AC$3005,請求記録!$B$6:$B$3005,$A35,請求記録!$X$6:$X$3005,N$5))))</f>
        <v/>
      </c>
      <c r="O35" s="19">
        <f>IF($A35="","",IF(COUNTIFS(請求記録!$B$6:$B$3005,$A35,請求記録!$X$6:$X$3005,O$5,請求記録!$AD$6:$AD$3005,"保留中")&gt;0,"保留",IF(COUNTIFS(請求記録!$B$6:$B$3005,$A35,請求記録!$X$6:$X$3005,O$5)=0,"",SUMIFS(請求記録!$AC$6:$AC$3005,請求記録!$B$6:$B$3005,$A35,請求記録!$X$6:$X$3005,O$5))))</f>
        <v/>
      </c>
      <c r="P35" s="19">
        <f>IF($A35="","",IF(COUNTIFS(請求記録!$B$6:$B$3005,$A35,請求記録!$X$6:$X$3005,P$5,請求記録!$AD$6:$AD$3005,"保留中")&gt;0,"保留",IF(COUNTIFS(請求記録!$B$6:$B$3005,$A35,請求記録!$X$6:$X$3005,P$5)=0,"",SUMIFS(請求記録!$AC$6:$AC$3005,請求記録!$B$6:$B$3005,$A35,請求記録!$X$6:$X$3005,P$5))))</f>
        <v/>
      </c>
      <c r="Q35" s="19">
        <f>IF($A35="","",IF(COUNTIFS(請求記録!$B$6:$B$3005,$A35,請求記録!$X$6:$X$3005,Q$5,請求記録!$AD$6:$AD$3005,"保留中")&gt;0,"保留",IF(COUNTIFS(請求記録!$B$6:$B$3005,$A35,請求記録!$X$6:$X$3005,Q$5)=0,"",SUMIFS(請求記録!$AC$6:$AC$3005,請求記録!$B$6:$B$3005,$A35,請求記録!$X$6:$X$3005,Q$5))))</f>
        <v/>
      </c>
      <c r="R35" s="19">
        <f>IF($A35="","",IF(COUNTIFS(請求記録!$B$6:$B$3005,$A35,請求記録!$X$6:$X$3005,R$5,請求記録!$AD$6:$AD$3005,"保留中")&gt;0,"保留",IF(COUNTIFS(請求記録!$B$6:$B$3005,$A35,請求記録!$X$6:$X$3005,R$5)=0,"",SUMIFS(請求記録!$AC$6:$AC$3005,請求記録!$B$6:$B$3005,$A35,請求記録!$X$6:$X$3005,R$5))))</f>
        <v/>
      </c>
      <c r="S35" s="19">
        <f>IF($A35="","",IF(COUNTIFS(請求記録!$B$6:$B$3005,$A35,請求記録!$X$6:$X$3005,S$5,請求記録!$AD$6:$AD$3005,"保留中")&gt;0,"保留",IF(COUNTIFS(請求記録!$B$6:$B$3005,$A35,請求記録!$X$6:$X$3005,S$5)=0,"",SUMIFS(請求記録!$AC$6:$AC$3005,請求記録!$B$6:$B$3005,$A35,請求記録!$X$6:$X$3005,S$5))))</f>
        <v/>
      </c>
      <c r="T35" s="19">
        <f>IF($A35="","",IF(COUNTIFS(請求記録!$B$6:$B$3005,$A35,請求記録!$X$6:$X$3005,T$5,請求記録!$AD$6:$AD$3005,"保留中")&gt;0,"保留",IF(COUNTIFS(請求記録!$B$6:$B$3005,$A35,請求記録!$X$6:$X$3005,T$5)=0,"",SUMIFS(請求記録!$AC$6:$AC$3005,請求記録!$B$6:$B$3005,$A35,請求記録!$X$6:$X$3005,T$5))))</f>
        <v/>
      </c>
      <c r="U35" s="19">
        <f>IF($A35="","",IF(COUNTIFS(請求記録!$B$6:$B$3005,$A35,請求記録!$X$6:$X$3005,U$5,請求記録!$AD$6:$AD$3005,"保留中")&gt;0,"保留",IF(COUNTIFS(請求記録!$B$6:$B$3005,$A35,請求記録!$X$6:$X$3005,U$5)=0,"",SUMIFS(請求記録!$AC$6:$AC$3005,請求記録!$B$6:$B$3005,$A35,請求記録!$X$6:$X$3005,U$5))))</f>
        <v/>
      </c>
      <c r="V35" s="19">
        <f>IF($A35="","",IF(COUNTIFS(請求記録!$B$6:$B$3005,$A35,請求記録!$X$6:$X$3005,V$5,請求記録!$AD$6:$AD$3005,"保留中")&gt;0,"保留",IF(COUNTIFS(請求記録!$B$6:$B$3005,$A35,請求記録!$X$6:$X$3005,V$5)=0,"",SUMIFS(請求記録!$AC$6:$AC$3005,請求記録!$B$6:$B$3005,$A35,請求記録!$X$6:$X$3005,V$5))))</f>
        <v/>
      </c>
      <c r="W35" s="19">
        <f>IF($A35="","",IF(COUNTIFS(請求記録!$B$6:$B$3005,$A35,請求記録!$X$6:$X$3005,W$5,請求記録!$AD$6:$AD$3005,"保留中")&gt;0,"保留",IF(COUNTIFS(請求記録!$B$6:$B$3005,$A35,請求記録!$X$6:$X$3005,W$5)=0,"",SUMIFS(請求記録!$AC$6:$AC$3005,請求記録!$B$6:$B$3005,$A35,請求記録!$X$6:$X$3005,W$5))))</f>
        <v/>
      </c>
      <c r="X35" s="19">
        <f>IF($A35="","",IF(COUNTIFS(請求記録!$B$6:$B$3005,$A35,請求記録!$X$6:$X$3005,X$5,請求記録!$AD$6:$AD$3005,"保留中")&gt;0,"保留",IF(COUNTIFS(請求記録!$B$6:$B$3005,$A35,請求記録!$X$6:$X$3005,X$5)=0,"",SUMIFS(請求記録!$AC$6:$AC$3005,請求記録!$B$6:$B$3005,$A35,請求記録!$X$6:$X$3005,X$5))))</f>
        <v/>
      </c>
      <c r="Y35" s="19">
        <f>IF($A35="","",IF(COUNTIFS(請求記録!$B$6:$B$3005,$A35,請求記録!$X$6:$X$3005,Y$5,請求記録!$AD$6:$AD$3005,"保留中")&gt;0,"保留",IF(COUNTIFS(請求記録!$B$6:$B$3005,$A35,請求記録!$X$6:$X$3005,Y$5)=0,"",SUMIFS(請求記録!$AC$6:$AC$3005,請求記録!$B$6:$B$3005,$A35,請求記録!$X$6:$X$3005,Y$5))))</f>
        <v/>
      </c>
      <c r="Z35" s="19">
        <f>IF($A35="","",IF(COUNTIFS(請求記録!$B$6:$B$3005,$A35,請求記録!$X$6:$X$3005,Z$5,請求記録!$AD$6:$AD$3005,"保留中")&gt;0,"保留",IF(COUNTIFS(請求記録!$B$6:$B$3005,$A35,請求記録!$X$6:$X$3005,Z$5)=0,"",SUMIFS(請求記録!$AC$6:$AC$3005,請求記録!$B$6:$B$3005,$A35,請求記録!$X$6:$X$3005,Z$5))))</f>
        <v/>
      </c>
      <c r="AA35" s="19">
        <f>IF($A35="","",IF(COUNTIFS(請求記録!$B$6:$B$3005,$A35,請求記録!$X$6:$X$3005,AA$5,請求記録!$AD$6:$AD$3005,"保留中")&gt;0,"保留",IF(COUNTIFS(請求記録!$B$6:$B$3005,$A35,請求記録!$X$6:$X$3005,AA$5)=0,"",SUMIFS(請求記録!$AC$6:$AC$3005,請求記録!$B$6:$B$3005,$A35,請求記録!$X$6:$X$3005,AA$5))))</f>
        <v/>
      </c>
      <c r="AB35">
        <f>IF(職員マスタ!P35="保留中",職員マスタ!M35,"")</f>
        <v/>
      </c>
    </row>
    <row r="36">
      <c r="A36">
        <f>IF(職員マスタ!A36="","",職員マスタ!A36)</f>
        <v/>
      </c>
      <c r="B36">
        <f>IF($A36="","",職員マスタ!B36)</f>
        <v/>
      </c>
      <c r="C36">
        <f>IF($A36="","",職員マスタ!C36)</f>
        <v/>
      </c>
      <c r="D36" s="19">
        <f>IF($A36="","",IF(COUNTIFS(請求記録!$B$6:$B$3005,$A36,請求記録!$X$6:$X$3005,D$5,請求記録!$AD$6:$AD$3005,"保留中")&gt;0,"保留",IF(COUNTIFS(請求記録!$B$6:$B$3005,$A36,請求記録!$X$6:$X$3005,D$5)=0,"",SUMIFS(請求記録!$AC$6:$AC$3005,請求記録!$B$6:$B$3005,$A36,請求記録!$X$6:$X$3005,D$5))))</f>
        <v/>
      </c>
      <c r="E36" s="19">
        <f>IF($A36="","",IF(COUNTIFS(請求記録!$B$6:$B$3005,$A36,請求記録!$X$6:$X$3005,E$5,請求記録!$AD$6:$AD$3005,"保留中")&gt;0,"保留",IF(COUNTIFS(請求記録!$B$6:$B$3005,$A36,請求記録!$X$6:$X$3005,E$5)=0,"",SUMIFS(請求記録!$AC$6:$AC$3005,請求記録!$B$6:$B$3005,$A36,請求記録!$X$6:$X$3005,E$5))))</f>
        <v/>
      </c>
      <c r="F36" s="19">
        <f>IF($A36="","",IF(COUNTIFS(請求記録!$B$6:$B$3005,$A36,請求記録!$X$6:$X$3005,F$5,請求記録!$AD$6:$AD$3005,"保留中")&gt;0,"保留",IF(COUNTIFS(請求記録!$B$6:$B$3005,$A36,請求記録!$X$6:$X$3005,F$5)=0,"",SUMIFS(請求記録!$AC$6:$AC$3005,請求記録!$B$6:$B$3005,$A36,請求記録!$X$6:$X$3005,F$5))))</f>
        <v/>
      </c>
      <c r="G36" s="19">
        <f>IF($A36="","",IF(COUNTIFS(請求記録!$B$6:$B$3005,$A36,請求記録!$X$6:$X$3005,G$5,請求記録!$AD$6:$AD$3005,"保留中")&gt;0,"保留",IF(COUNTIFS(請求記録!$B$6:$B$3005,$A36,請求記録!$X$6:$X$3005,G$5)=0,"",SUMIFS(請求記録!$AC$6:$AC$3005,請求記録!$B$6:$B$3005,$A36,請求記録!$X$6:$X$3005,G$5))))</f>
        <v/>
      </c>
      <c r="H36" s="19">
        <f>IF($A36="","",IF(COUNTIFS(請求記録!$B$6:$B$3005,$A36,請求記録!$X$6:$X$3005,H$5,請求記録!$AD$6:$AD$3005,"保留中")&gt;0,"保留",IF(COUNTIFS(請求記録!$B$6:$B$3005,$A36,請求記録!$X$6:$X$3005,H$5)=0,"",SUMIFS(請求記録!$AC$6:$AC$3005,請求記録!$B$6:$B$3005,$A36,請求記録!$X$6:$X$3005,H$5))))</f>
        <v/>
      </c>
      <c r="I36" s="19">
        <f>IF($A36="","",IF(COUNTIFS(請求記録!$B$6:$B$3005,$A36,請求記録!$X$6:$X$3005,I$5,請求記録!$AD$6:$AD$3005,"保留中")&gt;0,"保留",IF(COUNTIFS(請求記録!$B$6:$B$3005,$A36,請求記録!$X$6:$X$3005,I$5)=0,"",SUMIFS(請求記録!$AC$6:$AC$3005,請求記録!$B$6:$B$3005,$A36,請求記録!$X$6:$X$3005,I$5))))</f>
        <v/>
      </c>
      <c r="J36" s="19">
        <f>IF($A36="","",IF(COUNTIFS(請求記録!$B$6:$B$3005,$A36,請求記録!$X$6:$X$3005,J$5,請求記録!$AD$6:$AD$3005,"保留中")&gt;0,"保留",IF(COUNTIFS(請求記録!$B$6:$B$3005,$A36,請求記録!$X$6:$X$3005,J$5)=0,"",SUMIFS(請求記録!$AC$6:$AC$3005,請求記録!$B$6:$B$3005,$A36,請求記録!$X$6:$X$3005,J$5))))</f>
        <v/>
      </c>
      <c r="K36" s="19">
        <f>IF($A36="","",IF(COUNTIFS(請求記録!$B$6:$B$3005,$A36,請求記録!$X$6:$X$3005,K$5,請求記録!$AD$6:$AD$3005,"保留中")&gt;0,"保留",IF(COUNTIFS(請求記録!$B$6:$B$3005,$A36,請求記録!$X$6:$X$3005,K$5)=0,"",SUMIFS(請求記録!$AC$6:$AC$3005,請求記録!$B$6:$B$3005,$A36,請求記録!$X$6:$X$3005,K$5))))</f>
        <v/>
      </c>
      <c r="L36" s="19">
        <f>IF($A36="","",IF(COUNTIFS(請求記録!$B$6:$B$3005,$A36,請求記録!$X$6:$X$3005,L$5,請求記録!$AD$6:$AD$3005,"保留中")&gt;0,"保留",IF(COUNTIFS(請求記録!$B$6:$B$3005,$A36,請求記録!$X$6:$X$3005,L$5)=0,"",SUMIFS(請求記録!$AC$6:$AC$3005,請求記録!$B$6:$B$3005,$A36,請求記録!$X$6:$X$3005,L$5))))</f>
        <v/>
      </c>
      <c r="M36" s="19">
        <f>IF($A36="","",IF(COUNTIFS(請求記録!$B$6:$B$3005,$A36,請求記録!$X$6:$X$3005,M$5,請求記録!$AD$6:$AD$3005,"保留中")&gt;0,"保留",IF(COUNTIFS(請求記録!$B$6:$B$3005,$A36,請求記録!$X$6:$X$3005,M$5)=0,"",SUMIFS(請求記録!$AC$6:$AC$3005,請求記録!$B$6:$B$3005,$A36,請求記録!$X$6:$X$3005,M$5))))</f>
        <v/>
      </c>
      <c r="N36" s="19">
        <f>IF($A36="","",IF(COUNTIFS(請求記録!$B$6:$B$3005,$A36,請求記録!$X$6:$X$3005,N$5,請求記録!$AD$6:$AD$3005,"保留中")&gt;0,"保留",IF(COUNTIFS(請求記録!$B$6:$B$3005,$A36,請求記録!$X$6:$X$3005,N$5)=0,"",SUMIFS(請求記録!$AC$6:$AC$3005,請求記録!$B$6:$B$3005,$A36,請求記録!$X$6:$X$3005,N$5))))</f>
        <v/>
      </c>
      <c r="O36" s="19">
        <f>IF($A36="","",IF(COUNTIFS(請求記録!$B$6:$B$3005,$A36,請求記録!$X$6:$X$3005,O$5,請求記録!$AD$6:$AD$3005,"保留中")&gt;0,"保留",IF(COUNTIFS(請求記録!$B$6:$B$3005,$A36,請求記録!$X$6:$X$3005,O$5)=0,"",SUMIFS(請求記録!$AC$6:$AC$3005,請求記録!$B$6:$B$3005,$A36,請求記録!$X$6:$X$3005,O$5))))</f>
        <v/>
      </c>
      <c r="P36" s="19">
        <f>IF($A36="","",IF(COUNTIFS(請求記録!$B$6:$B$3005,$A36,請求記録!$X$6:$X$3005,P$5,請求記録!$AD$6:$AD$3005,"保留中")&gt;0,"保留",IF(COUNTIFS(請求記録!$B$6:$B$3005,$A36,請求記録!$X$6:$X$3005,P$5)=0,"",SUMIFS(請求記録!$AC$6:$AC$3005,請求記録!$B$6:$B$3005,$A36,請求記録!$X$6:$X$3005,P$5))))</f>
        <v/>
      </c>
      <c r="Q36" s="19">
        <f>IF($A36="","",IF(COUNTIFS(請求記録!$B$6:$B$3005,$A36,請求記録!$X$6:$X$3005,Q$5,請求記録!$AD$6:$AD$3005,"保留中")&gt;0,"保留",IF(COUNTIFS(請求記録!$B$6:$B$3005,$A36,請求記録!$X$6:$X$3005,Q$5)=0,"",SUMIFS(請求記録!$AC$6:$AC$3005,請求記録!$B$6:$B$3005,$A36,請求記録!$X$6:$X$3005,Q$5))))</f>
        <v/>
      </c>
      <c r="R36" s="19">
        <f>IF($A36="","",IF(COUNTIFS(請求記録!$B$6:$B$3005,$A36,請求記録!$X$6:$X$3005,R$5,請求記録!$AD$6:$AD$3005,"保留中")&gt;0,"保留",IF(COUNTIFS(請求記録!$B$6:$B$3005,$A36,請求記録!$X$6:$X$3005,R$5)=0,"",SUMIFS(請求記録!$AC$6:$AC$3005,請求記録!$B$6:$B$3005,$A36,請求記録!$X$6:$X$3005,R$5))))</f>
        <v/>
      </c>
      <c r="S36" s="19">
        <f>IF($A36="","",IF(COUNTIFS(請求記録!$B$6:$B$3005,$A36,請求記録!$X$6:$X$3005,S$5,請求記録!$AD$6:$AD$3005,"保留中")&gt;0,"保留",IF(COUNTIFS(請求記録!$B$6:$B$3005,$A36,請求記録!$X$6:$X$3005,S$5)=0,"",SUMIFS(請求記録!$AC$6:$AC$3005,請求記録!$B$6:$B$3005,$A36,請求記録!$X$6:$X$3005,S$5))))</f>
        <v/>
      </c>
      <c r="T36" s="19">
        <f>IF($A36="","",IF(COUNTIFS(請求記録!$B$6:$B$3005,$A36,請求記録!$X$6:$X$3005,T$5,請求記録!$AD$6:$AD$3005,"保留中")&gt;0,"保留",IF(COUNTIFS(請求記録!$B$6:$B$3005,$A36,請求記録!$X$6:$X$3005,T$5)=0,"",SUMIFS(請求記録!$AC$6:$AC$3005,請求記録!$B$6:$B$3005,$A36,請求記録!$X$6:$X$3005,T$5))))</f>
        <v/>
      </c>
      <c r="U36" s="19">
        <f>IF($A36="","",IF(COUNTIFS(請求記録!$B$6:$B$3005,$A36,請求記録!$X$6:$X$3005,U$5,請求記録!$AD$6:$AD$3005,"保留中")&gt;0,"保留",IF(COUNTIFS(請求記録!$B$6:$B$3005,$A36,請求記録!$X$6:$X$3005,U$5)=0,"",SUMIFS(請求記録!$AC$6:$AC$3005,請求記録!$B$6:$B$3005,$A36,請求記録!$X$6:$X$3005,U$5))))</f>
        <v/>
      </c>
      <c r="V36" s="19">
        <f>IF($A36="","",IF(COUNTIFS(請求記録!$B$6:$B$3005,$A36,請求記録!$X$6:$X$3005,V$5,請求記録!$AD$6:$AD$3005,"保留中")&gt;0,"保留",IF(COUNTIFS(請求記録!$B$6:$B$3005,$A36,請求記録!$X$6:$X$3005,V$5)=0,"",SUMIFS(請求記録!$AC$6:$AC$3005,請求記録!$B$6:$B$3005,$A36,請求記録!$X$6:$X$3005,V$5))))</f>
        <v/>
      </c>
      <c r="W36" s="19">
        <f>IF($A36="","",IF(COUNTIFS(請求記録!$B$6:$B$3005,$A36,請求記録!$X$6:$X$3005,W$5,請求記録!$AD$6:$AD$3005,"保留中")&gt;0,"保留",IF(COUNTIFS(請求記録!$B$6:$B$3005,$A36,請求記録!$X$6:$X$3005,W$5)=0,"",SUMIFS(請求記録!$AC$6:$AC$3005,請求記録!$B$6:$B$3005,$A36,請求記録!$X$6:$X$3005,W$5))))</f>
        <v/>
      </c>
      <c r="X36" s="19">
        <f>IF($A36="","",IF(COUNTIFS(請求記録!$B$6:$B$3005,$A36,請求記録!$X$6:$X$3005,X$5,請求記録!$AD$6:$AD$3005,"保留中")&gt;0,"保留",IF(COUNTIFS(請求記録!$B$6:$B$3005,$A36,請求記録!$X$6:$X$3005,X$5)=0,"",SUMIFS(請求記録!$AC$6:$AC$3005,請求記録!$B$6:$B$3005,$A36,請求記録!$X$6:$X$3005,X$5))))</f>
        <v/>
      </c>
      <c r="Y36" s="19">
        <f>IF($A36="","",IF(COUNTIFS(請求記録!$B$6:$B$3005,$A36,請求記録!$X$6:$X$3005,Y$5,請求記録!$AD$6:$AD$3005,"保留中")&gt;0,"保留",IF(COUNTIFS(請求記録!$B$6:$B$3005,$A36,請求記録!$X$6:$X$3005,Y$5)=0,"",SUMIFS(請求記録!$AC$6:$AC$3005,請求記録!$B$6:$B$3005,$A36,請求記録!$X$6:$X$3005,Y$5))))</f>
        <v/>
      </c>
      <c r="Z36" s="19">
        <f>IF($A36="","",IF(COUNTIFS(請求記録!$B$6:$B$3005,$A36,請求記録!$X$6:$X$3005,Z$5,請求記録!$AD$6:$AD$3005,"保留中")&gt;0,"保留",IF(COUNTIFS(請求記録!$B$6:$B$3005,$A36,請求記録!$X$6:$X$3005,Z$5)=0,"",SUMIFS(請求記録!$AC$6:$AC$3005,請求記録!$B$6:$B$3005,$A36,請求記録!$X$6:$X$3005,Z$5))))</f>
        <v/>
      </c>
      <c r="AA36" s="19">
        <f>IF($A36="","",IF(COUNTIFS(請求記録!$B$6:$B$3005,$A36,請求記録!$X$6:$X$3005,AA$5,請求記録!$AD$6:$AD$3005,"保留中")&gt;0,"保留",IF(COUNTIFS(請求記録!$B$6:$B$3005,$A36,請求記録!$X$6:$X$3005,AA$5)=0,"",SUMIFS(請求記録!$AC$6:$AC$3005,請求記録!$B$6:$B$3005,$A36,請求記録!$X$6:$X$3005,AA$5))))</f>
        <v/>
      </c>
      <c r="AB36">
        <f>IF(職員マスタ!P36="保留中",職員マスタ!M36,"")</f>
        <v/>
      </c>
    </row>
    <row r="37">
      <c r="A37">
        <f>IF(職員マスタ!A37="","",職員マスタ!A37)</f>
        <v/>
      </c>
      <c r="B37">
        <f>IF($A37="","",職員マスタ!B37)</f>
        <v/>
      </c>
      <c r="C37">
        <f>IF($A37="","",職員マスタ!C37)</f>
        <v/>
      </c>
      <c r="D37" s="19">
        <f>IF($A37="","",IF(COUNTIFS(請求記録!$B$6:$B$3005,$A37,請求記録!$X$6:$X$3005,D$5,請求記録!$AD$6:$AD$3005,"保留中")&gt;0,"保留",IF(COUNTIFS(請求記録!$B$6:$B$3005,$A37,請求記録!$X$6:$X$3005,D$5)=0,"",SUMIFS(請求記録!$AC$6:$AC$3005,請求記録!$B$6:$B$3005,$A37,請求記録!$X$6:$X$3005,D$5))))</f>
        <v/>
      </c>
      <c r="E37" s="19">
        <f>IF($A37="","",IF(COUNTIFS(請求記録!$B$6:$B$3005,$A37,請求記録!$X$6:$X$3005,E$5,請求記録!$AD$6:$AD$3005,"保留中")&gt;0,"保留",IF(COUNTIFS(請求記録!$B$6:$B$3005,$A37,請求記録!$X$6:$X$3005,E$5)=0,"",SUMIFS(請求記録!$AC$6:$AC$3005,請求記録!$B$6:$B$3005,$A37,請求記録!$X$6:$X$3005,E$5))))</f>
        <v/>
      </c>
      <c r="F37" s="19">
        <f>IF($A37="","",IF(COUNTIFS(請求記録!$B$6:$B$3005,$A37,請求記録!$X$6:$X$3005,F$5,請求記録!$AD$6:$AD$3005,"保留中")&gt;0,"保留",IF(COUNTIFS(請求記録!$B$6:$B$3005,$A37,請求記録!$X$6:$X$3005,F$5)=0,"",SUMIFS(請求記録!$AC$6:$AC$3005,請求記録!$B$6:$B$3005,$A37,請求記録!$X$6:$X$3005,F$5))))</f>
        <v/>
      </c>
      <c r="G37" s="19">
        <f>IF($A37="","",IF(COUNTIFS(請求記録!$B$6:$B$3005,$A37,請求記録!$X$6:$X$3005,G$5,請求記録!$AD$6:$AD$3005,"保留中")&gt;0,"保留",IF(COUNTIFS(請求記録!$B$6:$B$3005,$A37,請求記録!$X$6:$X$3005,G$5)=0,"",SUMIFS(請求記録!$AC$6:$AC$3005,請求記録!$B$6:$B$3005,$A37,請求記録!$X$6:$X$3005,G$5))))</f>
        <v/>
      </c>
      <c r="H37" s="19">
        <f>IF($A37="","",IF(COUNTIFS(請求記録!$B$6:$B$3005,$A37,請求記録!$X$6:$X$3005,H$5,請求記録!$AD$6:$AD$3005,"保留中")&gt;0,"保留",IF(COUNTIFS(請求記録!$B$6:$B$3005,$A37,請求記録!$X$6:$X$3005,H$5)=0,"",SUMIFS(請求記録!$AC$6:$AC$3005,請求記録!$B$6:$B$3005,$A37,請求記録!$X$6:$X$3005,H$5))))</f>
        <v/>
      </c>
      <c r="I37" s="19">
        <f>IF($A37="","",IF(COUNTIFS(請求記録!$B$6:$B$3005,$A37,請求記録!$X$6:$X$3005,I$5,請求記録!$AD$6:$AD$3005,"保留中")&gt;0,"保留",IF(COUNTIFS(請求記録!$B$6:$B$3005,$A37,請求記録!$X$6:$X$3005,I$5)=0,"",SUMIFS(請求記録!$AC$6:$AC$3005,請求記録!$B$6:$B$3005,$A37,請求記録!$X$6:$X$3005,I$5))))</f>
        <v/>
      </c>
      <c r="J37" s="19">
        <f>IF($A37="","",IF(COUNTIFS(請求記録!$B$6:$B$3005,$A37,請求記録!$X$6:$X$3005,J$5,請求記録!$AD$6:$AD$3005,"保留中")&gt;0,"保留",IF(COUNTIFS(請求記録!$B$6:$B$3005,$A37,請求記録!$X$6:$X$3005,J$5)=0,"",SUMIFS(請求記録!$AC$6:$AC$3005,請求記録!$B$6:$B$3005,$A37,請求記録!$X$6:$X$3005,J$5))))</f>
        <v/>
      </c>
      <c r="K37" s="19">
        <f>IF($A37="","",IF(COUNTIFS(請求記録!$B$6:$B$3005,$A37,請求記録!$X$6:$X$3005,K$5,請求記録!$AD$6:$AD$3005,"保留中")&gt;0,"保留",IF(COUNTIFS(請求記録!$B$6:$B$3005,$A37,請求記録!$X$6:$X$3005,K$5)=0,"",SUMIFS(請求記録!$AC$6:$AC$3005,請求記録!$B$6:$B$3005,$A37,請求記録!$X$6:$X$3005,K$5))))</f>
        <v/>
      </c>
      <c r="L37" s="19">
        <f>IF($A37="","",IF(COUNTIFS(請求記録!$B$6:$B$3005,$A37,請求記録!$X$6:$X$3005,L$5,請求記録!$AD$6:$AD$3005,"保留中")&gt;0,"保留",IF(COUNTIFS(請求記録!$B$6:$B$3005,$A37,請求記録!$X$6:$X$3005,L$5)=0,"",SUMIFS(請求記録!$AC$6:$AC$3005,請求記録!$B$6:$B$3005,$A37,請求記録!$X$6:$X$3005,L$5))))</f>
        <v/>
      </c>
      <c r="M37" s="19">
        <f>IF($A37="","",IF(COUNTIFS(請求記録!$B$6:$B$3005,$A37,請求記録!$X$6:$X$3005,M$5,請求記録!$AD$6:$AD$3005,"保留中")&gt;0,"保留",IF(COUNTIFS(請求記録!$B$6:$B$3005,$A37,請求記録!$X$6:$X$3005,M$5)=0,"",SUMIFS(請求記録!$AC$6:$AC$3005,請求記録!$B$6:$B$3005,$A37,請求記録!$X$6:$X$3005,M$5))))</f>
        <v/>
      </c>
      <c r="N37" s="19">
        <f>IF($A37="","",IF(COUNTIFS(請求記録!$B$6:$B$3005,$A37,請求記録!$X$6:$X$3005,N$5,請求記録!$AD$6:$AD$3005,"保留中")&gt;0,"保留",IF(COUNTIFS(請求記録!$B$6:$B$3005,$A37,請求記録!$X$6:$X$3005,N$5)=0,"",SUMIFS(請求記録!$AC$6:$AC$3005,請求記録!$B$6:$B$3005,$A37,請求記録!$X$6:$X$3005,N$5))))</f>
        <v/>
      </c>
      <c r="O37" s="19">
        <f>IF($A37="","",IF(COUNTIFS(請求記録!$B$6:$B$3005,$A37,請求記録!$X$6:$X$3005,O$5,請求記録!$AD$6:$AD$3005,"保留中")&gt;0,"保留",IF(COUNTIFS(請求記録!$B$6:$B$3005,$A37,請求記録!$X$6:$X$3005,O$5)=0,"",SUMIFS(請求記録!$AC$6:$AC$3005,請求記録!$B$6:$B$3005,$A37,請求記録!$X$6:$X$3005,O$5))))</f>
        <v/>
      </c>
      <c r="P37" s="19">
        <f>IF($A37="","",IF(COUNTIFS(請求記録!$B$6:$B$3005,$A37,請求記録!$X$6:$X$3005,P$5,請求記録!$AD$6:$AD$3005,"保留中")&gt;0,"保留",IF(COUNTIFS(請求記録!$B$6:$B$3005,$A37,請求記録!$X$6:$X$3005,P$5)=0,"",SUMIFS(請求記録!$AC$6:$AC$3005,請求記録!$B$6:$B$3005,$A37,請求記録!$X$6:$X$3005,P$5))))</f>
        <v/>
      </c>
      <c r="Q37" s="19">
        <f>IF($A37="","",IF(COUNTIFS(請求記録!$B$6:$B$3005,$A37,請求記録!$X$6:$X$3005,Q$5,請求記録!$AD$6:$AD$3005,"保留中")&gt;0,"保留",IF(COUNTIFS(請求記録!$B$6:$B$3005,$A37,請求記録!$X$6:$X$3005,Q$5)=0,"",SUMIFS(請求記録!$AC$6:$AC$3005,請求記録!$B$6:$B$3005,$A37,請求記録!$X$6:$X$3005,Q$5))))</f>
        <v/>
      </c>
      <c r="R37" s="19">
        <f>IF($A37="","",IF(COUNTIFS(請求記録!$B$6:$B$3005,$A37,請求記録!$X$6:$X$3005,R$5,請求記録!$AD$6:$AD$3005,"保留中")&gt;0,"保留",IF(COUNTIFS(請求記録!$B$6:$B$3005,$A37,請求記録!$X$6:$X$3005,R$5)=0,"",SUMIFS(請求記録!$AC$6:$AC$3005,請求記録!$B$6:$B$3005,$A37,請求記録!$X$6:$X$3005,R$5))))</f>
        <v/>
      </c>
      <c r="S37" s="19">
        <f>IF($A37="","",IF(COUNTIFS(請求記録!$B$6:$B$3005,$A37,請求記録!$X$6:$X$3005,S$5,請求記録!$AD$6:$AD$3005,"保留中")&gt;0,"保留",IF(COUNTIFS(請求記録!$B$6:$B$3005,$A37,請求記録!$X$6:$X$3005,S$5)=0,"",SUMIFS(請求記録!$AC$6:$AC$3005,請求記録!$B$6:$B$3005,$A37,請求記録!$X$6:$X$3005,S$5))))</f>
        <v/>
      </c>
      <c r="T37" s="19">
        <f>IF($A37="","",IF(COUNTIFS(請求記録!$B$6:$B$3005,$A37,請求記録!$X$6:$X$3005,T$5,請求記録!$AD$6:$AD$3005,"保留中")&gt;0,"保留",IF(COUNTIFS(請求記録!$B$6:$B$3005,$A37,請求記録!$X$6:$X$3005,T$5)=0,"",SUMIFS(請求記録!$AC$6:$AC$3005,請求記録!$B$6:$B$3005,$A37,請求記録!$X$6:$X$3005,T$5))))</f>
        <v/>
      </c>
      <c r="U37" s="19">
        <f>IF($A37="","",IF(COUNTIFS(請求記録!$B$6:$B$3005,$A37,請求記録!$X$6:$X$3005,U$5,請求記録!$AD$6:$AD$3005,"保留中")&gt;0,"保留",IF(COUNTIFS(請求記録!$B$6:$B$3005,$A37,請求記録!$X$6:$X$3005,U$5)=0,"",SUMIFS(請求記録!$AC$6:$AC$3005,請求記録!$B$6:$B$3005,$A37,請求記録!$X$6:$X$3005,U$5))))</f>
        <v/>
      </c>
      <c r="V37" s="19">
        <f>IF($A37="","",IF(COUNTIFS(請求記録!$B$6:$B$3005,$A37,請求記録!$X$6:$X$3005,V$5,請求記録!$AD$6:$AD$3005,"保留中")&gt;0,"保留",IF(COUNTIFS(請求記録!$B$6:$B$3005,$A37,請求記録!$X$6:$X$3005,V$5)=0,"",SUMIFS(請求記録!$AC$6:$AC$3005,請求記録!$B$6:$B$3005,$A37,請求記録!$X$6:$X$3005,V$5))))</f>
        <v/>
      </c>
      <c r="W37" s="19">
        <f>IF($A37="","",IF(COUNTIFS(請求記録!$B$6:$B$3005,$A37,請求記録!$X$6:$X$3005,W$5,請求記録!$AD$6:$AD$3005,"保留中")&gt;0,"保留",IF(COUNTIFS(請求記録!$B$6:$B$3005,$A37,請求記録!$X$6:$X$3005,W$5)=0,"",SUMIFS(請求記録!$AC$6:$AC$3005,請求記録!$B$6:$B$3005,$A37,請求記録!$X$6:$X$3005,W$5))))</f>
        <v/>
      </c>
      <c r="X37" s="19">
        <f>IF($A37="","",IF(COUNTIFS(請求記録!$B$6:$B$3005,$A37,請求記録!$X$6:$X$3005,X$5,請求記録!$AD$6:$AD$3005,"保留中")&gt;0,"保留",IF(COUNTIFS(請求記録!$B$6:$B$3005,$A37,請求記録!$X$6:$X$3005,X$5)=0,"",SUMIFS(請求記録!$AC$6:$AC$3005,請求記録!$B$6:$B$3005,$A37,請求記録!$X$6:$X$3005,X$5))))</f>
        <v/>
      </c>
      <c r="Y37" s="19">
        <f>IF($A37="","",IF(COUNTIFS(請求記録!$B$6:$B$3005,$A37,請求記録!$X$6:$X$3005,Y$5,請求記録!$AD$6:$AD$3005,"保留中")&gt;0,"保留",IF(COUNTIFS(請求記録!$B$6:$B$3005,$A37,請求記録!$X$6:$X$3005,Y$5)=0,"",SUMIFS(請求記録!$AC$6:$AC$3005,請求記録!$B$6:$B$3005,$A37,請求記録!$X$6:$X$3005,Y$5))))</f>
        <v/>
      </c>
      <c r="Z37" s="19">
        <f>IF($A37="","",IF(COUNTIFS(請求記録!$B$6:$B$3005,$A37,請求記録!$X$6:$X$3005,Z$5,請求記録!$AD$6:$AD$3005,"保留中")&gt;0,"保留",IF(COUNTIFS(請求記録!$B$6:$B$3005,$A37,請求記録!$X$6:$X$3005,Z$5)=0,"",SUMIFS(請求記録!$AC$6:$AC$3005,請求記録!$B$6:$B$3005,$A37,請求記録!$X$6:$X$3005,Z$5))))</f>
        <v/>
      </c>
      <c r="AA37" s="19">
        <f>IF($A37="","",IF(COUNTIFS(請求記録!$B$6:$B$3005,$A37,請求記録!$X$6:$X$3005,AA$5,請求記録!$AD$6:$AD$3005,"保留中")&gt;0,"保留",IF(COUNTIFS(請求記録!$B$6:$B$3005,$A37,請求記録!$X$6:$X$3005,AA$5)=0,"",SUMIFS(請求記録!$AC$6:$AC$3005,請求記録!$B$6:$B$3005,$A37,請求記録!$X$6:$X$3005,AA$5))))</f>
        <v/>
      </c>
      <c r="AB37">
        <f>IF(職員マスタ!P37="保留中",職員マスタ!M37,"")</f>
        <v/>
      </c>
    </row>
    <row r="38">
      <c r="A38">
        <f>IF(職員マスタ!A38="","",職員マスタ!A38)</f>
        <v/>
      </c>
      <c r="B38">
        <f>IF($A38="","",職員マスタ!B38)</f>
        <v/>
      </c>
      <c r="C38">
        <f>IF($A38="","",職員マスタ!C38)</f>
        <v/>
      </c>
      <c r="D38" s="19">
        <f>IF($A38="","",IF(COUNTIFS(請求記録!$B$6:$B$3005,$A38,請求記録!$X$6:$X$3005,D$5,請求記録!$AD$6:$AD$3005,"保留中")&gt;0,"保留",IF(COUNTIFS(請求記録!$B$6:$B$3005,$A38,請求記録!$X$6:$X$3005,D$5)=0,"",SUMIFS(請求記録!$AC$6:$AC$3005,請求記録!$B$6:$B$3005,$A38,請求記録!$X$6:$X$3005,D$5))))</f>
        <v/>
      </c>
      <c r="E38" s="19">
        <f>IF($A38="","",IF(COUNTIFS(請求記録!$B$6:$B$3005,$A38,請求記録!$X$6:$X$3005,E$5,請求記録!$AD$6:$AD$3005,"保留中")&gt;0,"保留",IF(COUNTIFS(請求記録!$B$6:$B$3005,$A38,請求記録!$X$6:$X$3005,E$5)=0,"",SUMIFS(請求記録!$AC$6:$AC$3005,請求記録!$B$6:$B$3005,$A38,請求記録!$X$6:$X$3005,E$5))))</f>
        <v/>
      </c>
      <c r="F38" s="19">
        <f>IF($A38="","",IF(COUNTIFS(請求記録!$B$6:$B$3005,$A38,請求記録!$X$6:$X$3005,F$5,請求記録!$AD$6:$AD$3005,"保留中")&gt;0,"保留",IF(COUNTIFS(請求記録!$B$6:$B$3005,$A38,請求記録!$X$6:$X$3005,F$5)=0,"",SUMIFS(請求記録!$AC$6:$AC$3005,請求記録!$B$6:$B$3005,$A38,請求記録!$X$6:$X$3005,F$5))))</f>
        <v/>
      </c>
      <c r="G38" s="19">
        <f>IF($A38="","",IF(COUNTIFS(請求記録!$B$6:$B$3005,$A38,請求記録!$X$6:$X$3005,G$5,請求記録!$AD$6:$AD$3005,"保留中")&gt;0,"保留",IF(COUNTIFS(請求記録!$B$6:$B$3005,$A38,請求記録!$X$6:$X$3005,G$5)=0,"",SUMIFS(請求記録!$AC$6:$AC$3005,請求記録!$B$6:$B$3005,$A38,請求記録!$X$6:$X$3005,G$5))))</f>
        <v/>
      </c>
      <c r="H38" s="19">
        <f>IF($A38="","",IF(COUNTIFS(請求記録!$B$6:$B$3005,$A38,請求記録!$X$6:$X$3005,H$5,請求記録!$AD$6:$AD$3005,"保留中")&gt;0,"保留",IF(COUNTIFS(請求記録!$B$6:$B$3005,$A38,請求記録!$X$6:$X$3005,H$5)=0,"",SUMIFS(請求記録!$AC$6:$AC$3005,請求記録!$B$6:$B$3005,$A38,請求記録!$X$6:$X$3005,H$5))))</f>
        <v/>
      </c>
      <c r="I38" s="19">
        <f>IF($A38="","",IF(COUNTIFS(請求記録!$B$6:$B$3005,$A38,請求記録!$X$6:$X$3005,I$5,請求記録!$AD$6:$AD$3005,"保留中")&gt;0,"保留",IF(COUNTIFS(請求記録!$B$6:$B$3005,$A38,請求記録!$X$6:$X$3005,I$5)=0,"",SUMIFS(請求記録!$AC$6:$AC$3005,請求記録!$B$6:$B$3005,$A38,請求記録!$X$6:$X$3005,I$5))))</f>
        <v/>
      </c>
      <c r="J38" s="19">
        <f>IF($A38="","",IF(COUNTIFS(請求記録!$B$6:$B$3005,$A38,請求記録!$X$6:$X$3005,J$5,請求記録!$AD$6:$AD$3005,"保留中")&gt;0,"保留",IF(COUNTIFS(請求記録!$B$6:$B$3005,$A38,請求記録!$X$6:$X$3005,J$5)=0,"",SUMIFS(請求記録!$AC$6:$AC$3005,請求記録!$B$6:$B$3005,$A38,請求記録!$X$6:$X$3005,J$5))))</f>
        <v/>
      </c>
      <c r="K38" s="19">
        <f>IF($A38="","",IF(COUNTIFS(請求記録!$B$6:$B$3005,$A38,請求記録!$X$6:$X$3005,K$5,請求記録!$AD$6:$AD$3005,"保留中")&gt;0,"保留",IF(COUNTIFS(請求記録!$B$6:$B$3005,$A38,請求記録!$X$6:$X$3005,K$5)=0,"",SUMIFS(請求記録!$AC$6:$AC$3005,請求記録!$B$6:$B$3005,$A38,請求記録!$X$6:$X$3005,K$5))))</f>
        <v/>
      </c>
      <c r="L38" s="19">
        <f>IF($A38="","",IF(COUNTIFS(請求記録!$B$6:$B$3005,$A38,請求記録!$X$6:$X$3005,L$5,請求記録!$AD$6:$AD$3005,"保留中")&gt;0,"保留",IF(COUNTIFS(請求記録!$B$6:$B$3005,$A38,請求記録!$X$6:$X$3005,L$5)=0,"",SUMIFS(請求記録!$AC$6:$AC$3005,請求記録!$B$6:$B$3005,$A38,請求記録!$X$6:$X$3005,L$5))))</f>
        <v/>
      </c>
      <c r="M38" s="19">
        <f>IF($A38="","",IF(COUNTIFS(請求記録!$B$6:$B$3005,$A38,請求記録!$X$6:$X$3005,M$5,請求記録!$AD$6:$AD$3005,"保留中")&gt;0,"保留",IF(COUNTIFS(請求記録!$B$6:$B$3005,$A38,請求記録!$X$6:$X$3005,M$5)=0,"",SUMIFS(請求記録!$AC$6:$AC$3005,請求記録!$B$6:$B$3005,$A38,請求記録!$X$6:$X$3005,M$5))))</f>
        <v/>
      </c>
      <c r="N38" s="19">
        <f>IF($A38="","",IF(COUNTIFS(請求記録!$B$6:$B$3005,$A38,請求記録!$X$6:$X$3005,N$5,請求記録!$AD$6:$AD$3005,"保留中")&gt;0,"保留",IF(COUNTIFS(請求記録!$B$6:$B$3005,$A38,請求記録!$X$6:$X$3005,N$5)=0,"",SUMIFS(請求記録!$AC$6:$AC$3005,請求記録!$B$6:$B$3005,$A38,請求記録!$X$6:$X$3005,N$5))))</f>
        <v/>
      </c>
      <c r="O38" s="19">
        <f>IF($A38="","",IF(COUNTIFS(請求記録!$B$6:$B$3005,$A38,請求記録!$X$6:$X$3005,O$5,請求記録!$AD$6:$AD$3005,"保留中")&gt;0,"保留",IF(COUNTIFS(請求記録!$B$6:$B$3005,$A38,請求記録!$X$6:$X$3005,O$5)=0,"",SUMIFS(請求記録!$AC$6:$AC$3005,請求記録!$B$6:$B$3005,$A38,請求記録!$X$6:$X$3005,O$5))))</f>
        <v/>
      </c>
      <c r="P38" s="19">
        <f>IF($A38="","",IF(COUNTIFS(請求記録!$B$6:$B$3005,$A38,請求記録!$X$6:$X$3005,P$5,請求記録!$AD$6:$AD$3005,"保留中")&gt;0,"保留",IF(COUNTIFS(請求記録!$B$6:$B$3005,$A38,請求記録!$X$6:$X$3005,P$5)=0,"",SUMIFS(請求記録!$AC$6:$AC$3005,請求記録!$B$6:$B$3005,$A38,請求記録!$X$6:$X$3005,P$5))))</f>
        <v/>
      </c>
      <c r="Q38" s="19">
        <f>IF($A38="","",IF(COUNTIFS(請求記録!$B$6:$B$3005,$A38,請求記録!$X$6:$X$3005,Q$5,請求記録!$AD$6:$AD$3005,"保留中")&gt;0,"保留",IF(COUNTIFS(請求記録!$B$6:$B$3005,$A38,請求記録!$X$6:$X$3005,Q$5)=0,"",SUMIFS(請求記録!$AC$6:$AC$3005,請求記録!$B$6:$B$3005,$A38,請求記録!$X$6:$X$3005,Q$5))))</f>
        <v/>
      </c>
      <c r="R38" s="19">
        <f>IF($A38="","",IF(COUNTIFS(請求記録!$B$6:$B$3005,$A38,請求記録!$X$6:$X$3005,R$5,請求記録!$AD$6:$AD$3005,"保留中")&gt;0,"保留",IF(COUNTIFS(請求記録!$B$6:$B$3005,$A38,請求記録!$X$6:$X$3005,R$5)=0,"",SUMIFS(請求記録!$AC$6:$AC$3005,請求記録!$B$6:$B$3005,$A38,請求記録!$X$6:$X$3005,R$5))))</f>
        <v/>
      </c>
      <c r="S38" s="19">
        <f>IF($A38="","",IF(COUNTIFS(請求記録!$B$6:$B$3005,$A38,請求記録!$X$6:$X$3005,S$5,請求記録!$AD$6:$AD$3005,"保留中")&gt;0,"保留",IF(COUNTIFS(請求記録!$B$6:$B$3005,$A38,請求記録!$X$6:$X$3005,S$5)=0,"",SUMIFS(請求記録!$AC$6:$AC$3005,請求記録!$B$6:$B$3005,$A38,請求記録!$X$6:$X$3005,S$5))))</f>
        <v/>
      </c>
      <c r="T38" s="19">
        <f>IF($A38="","",IF(COUNTIFS(請求記録!$B$6:$B$3005,$A38,請求記録!$X$6:$X$3005,T$5,請求記録!$AD$6:$AD$3005,"保留中")&gt;0,"保留",IF(COUNTIFS(請求記録!$B$6:$B$3005,$A38,請求記録!$X$6:$X$3005,T$5)=0,"",SUMIFS(請求記録!$AC$6:$AC$3005,請求記録!$B$6:$B$3005,$A38,請求記録!$X$6:$X$3005,T$5))))</f>
        <v/>
      </c>
      <c r="U38" s="19">
        <f>IF($A38="","",IF(COUNTIFS(請求記録!$B$6:$B$3005,$A38,請求記録!$X$6:$X$3005,U$5,請求記録!$AD$6:$AD$3005,"保留中")&gt;0,"保留",IF(COUNTIFS(請求記録!$B$6:$B$3005,$A38,請求記録!$X$6:$X$3005,U$5)=0,"",SUMIFS(請求記録!$AC$6:$AC$3005,請求記録!$B$6:$B$3005,$A38,請求記録!$X$6:$X$3005,U$5))))</f>
        <v/>
      </c>
      <c r="V38" s="19">
        <f>IF($A38="","",IF(COUNTIFS(請求記録!$B$6:$B$3005,$A38,請求記録!$X$6:$X$3005,V$5,請求記録!$AD$6:$AD$3005,"保留中")&gt;0,"保留",IF(COUNTIFS(請求記録!$B$6:$B$3005,$A38,請求記録!$X$6:$X$3005,V$5)=0,"",SUMIFS(請求記録!$AC$6:$AC$3005,請求記録!$B$6:$B$3005,$A38,請求記録!$X$6:$X$3005,V$5))))</f>
        <v/>
      </c>
      <c r="W38" s="19">
        <f>IF($A38="","",IF(COUNTIFS(請求記録!$B$6:$B$3005,$A38,請求記録!$X$6:$X$3005,W$5,請求記録!$AD$6:$AD$3005,"保留中")&gt;0,"保留",IF(COUNTIFS(請求記録!$B$6:$B$3005,$A38,請求記録!$X$6:$X$3005,W$5)=0,"",SUMIFS(請求記録!$AC$6:$AC$3005,請求記録!$B$6:$B$3005,$A38,請求記録!$X$6:$X$3005,W$5))))</f>
        <v/>
      </c>
      <c r="X38" s="19">
        <f>IF($A38="","",IF(COUNTIFS(請求記録!$B$6:$B$3005,$A38,請求記録!$X$6:$X$3005,X$5,請求記録!$AD$6:$AD$3005,"保留中")&gt;0,"保留",IF(COUNTIFS(請求記録!$B$6:$B$3005,$A38,請求記録!$X$6:$X$3005,X$5)=0,"",SUMIFS(請求記録!$AC$6:$AC$3005,請求記録!$B$6:$B$3005,$A38,請求記録!$X$6:$X$3005,X$5))))</f>
        <v/>
      </c>
      <c r="Y38" s="19">
        <f>IF($A38="","",IF(COUNTIFS(請求記録!$B$6:$B$3005,$A38,請求記録!$X$6:$X$3005,Y$5,請求記録!$AD$6:$AD$3005,"保留中")&gt;0,"保留",IF(COUNTIFS(請求記録!$B$6:$B$3005,$A38,請求記録!$X$6:$X$3005,Y$5)=0,"",SUMIFS(請求記録!$AC$6:$AC$3005,請求記録!$B$6:$B$3005,$A38,請求記録!$X$6:$X$3005,Y$5))))</f>
        <v/>
      </c>
      <c r="Z38" s="19">
        <f>IF($A38="","",IF(COUNTIFS(請求記録!$B$6:$B$3005,$A38,請求記録!$X$6:$X$3005,Z$5,請求記録!$AD$6:$AD$3005,"保留中")&gt;0,"保留",IF(COUNTIFS(請求記録!$B$6:$B$3005,$A38,請求記録!$X$6:$X$3005,Z$5)=0,"",SUMIFS(請求記録!$AC$6:$AC$3005,請求記録!$B$6:$B$3005,$A38,請求記録!$X$6:$X$3005,Z$5))))</f>
        <v/>
      </c>
      <c r="AA38" s="19">
        <f>IF($A38="","",IF(COUNTIFS(請求記録!$B$6:$B$3005,$A38,請求記録!$X$6:$X$3005,AA$5,請求記録!$AD$6:$AD$3005,"保留中")&gt;0,"保留",IF(COUNTIFS(請求記録!$B$6:$B$3005,$A38,請求記録!$X$6:$X$3005,AA$5)=0,"",SUMIFS(請求記録!$AC$6:$AC$3005,請求記録!$B$6:$B$3005,$A38,請求記録!$X$6:$X$3005,AA$5))))</f>
        <v/>
      </c>
      <c r="AB38">
        <f>IF(職員マスタ!P38="保留中",職員マスタ!M38,"")</f>
        <v/>
      </c>
    </row>
    <row r="39">
      <c r="A39">
        <f>IF(職員マスタ!A39="","",職員マスタ!A39)</f>
        <v/>
      </c>
      <c r="B39">
        <f>IF($A39="","",職員マスタ!B39)</f>
        <v/>
      </c>
      <c r="C39">
        <f>IF($A39="","",職員マスタ!C39)</f>
        <v/>
      </c>
      <c r="D39" s="19">
        <f>IF($A39="","",IF(COUNTIFS(請求記録!$B$6:$B$3005,$A39,請求記録!$X$6:$X$3005,D$5,請求記録!$AD$6:$AD$3005,"保留中")&gt;0,"保留",IF(COUNTIFS(請求記録!$B$6:$B$3005,$A39,請求記録!$X$6:$X$3005,D$5)=0,"",SUMIFS(請求記録!$AC$6:$AC$3005,請求記録!$B$6:$B$3005,$A39,請求記録!$X$6:$X$3005,D$5))))</f>
        <v/>
      </c>
      <c r="E39" s="19">
        <f>IF($A39="","",IF(COUNTIFS(請求記録!$B$6:$B$3005,$A39,請求記録!$X$6:$X$3005,E$5,請求記録!$AD$6:$AD$3005,"保留中")&gt;0,"保留",IF(COUNTIFS(請求記録!$B$6:$B$3005,$A39,請求記録!$X$6:$X$3005,E$5)=0,"",SUMIFS(請求記録!$AC$6:$AC$3005,請求記録!$B$6:$B$3005,$A39,請求記録!$X$6:$X$3005,E$5))))</f>
        <v/>
      </c>
      <c r="F39" s="19">
        <f>IF($A39="","",IF(COUNTIFS(請求記録!$B$6:$B$3005,$A39,請求記録!$X$6:$X$3005,F$5,請求記録!$AD$6:$AD$3005,"保留中")&gt;0,"保留",IF(COUNTIFS(請求記録!$B$6:$B$3005,$A39,請求記録!$X$6:$X$3005,F$5)=0,"",SUMIFS(請求記録!$AC$6:$AC$3005,請求記録!$B$6:$B$3005,$A39,請求記録!$X$6:$X$3005,F$5))))</f>
        <v/>
      </c>
      <c r="G39" s="19">
        <f>IF($A39="","",IF(COUNTIFS(請求記録!$B$6:$B$3005,$A39,請求記録!$X$6:$X$3005,G$5,請求記録!$AD$6:$AD$3005,"保留中")&gt;0,"保留",IF(COUNTIFS(請求記録!$B$6:$B$3005,$A39,請求記録!$X$6:$X$3005,G$5)=0,"",SUMIFS(請求記録!$AC$6:$AC$3005,請求記録!$B$6:$B$3005,$A39,請求記録!$X$6:$X$3005,G$5))))</f>
        <v/>
      </c>
      <c r="H39" s="19">
        <f>IF($A39="","",IF(COUNTIFS(請求記録!$B$6:$B$3005,$A39,請求記録!$X$6:$X$3005,H$5,請求記録!$AD$6:$AD$3005,"保留中")&gt;0,"保留",IF(COUNTIFS(請求記録!$B$6:$B$3005,$A39,請求記録!$X$6:$X$3005,H$5)=0,"",SUMIFS(請求記録!$AC$6:$AC$3005,請求記録!$B$6:$B$3005,$A39,請求記録!$X$6:$X$3005,H$5))))</f>
        <v/>
      </c>
      <c r="I39" s="19">
        <f>IF($A39="","",IF(COUNTIFS(請求記録!$B$6:$B$3005,$A39,請求記録!$X$6:$X$3005,I$5,請求記録!$AD$6:$AD$3005,"保留中")&gt;0,"保留",IF(COUNTIFS(請求記録!$B$6:$B$3005,$A39,請求記録!$X$6:$X$3005,I$5)=0,"",SUMIFS(請求記録!$AC$6:$AC$3005,請求記録!$B$6:$B$3005,$A39,請求記録!$X$6:$X$3005,I$5))))</f>
        <v/>
      </c>
      <c r="J39" s="19">
        <f>IF($A39="","",IF(COUNTIFS(請求記録!$B$6:$B$3005,$A39,請求記録!$X$6:$X$3005,J$5,請求記録!$AD$6:$AD$3005,"保留中")&gt;0,"保留",IF(COUNTIFS(請求記録!$B$6:$B$3005,$A39,請求記録!$X$6:$X$3005,J$5)=0,"",SUMIFS(請求記録!$AC$6:$AC$3005,請求記録!$B$6:$B$3005,$A39,請求記録!$X$6:$X$3005,J$5))))</f>
        <v/>
      </c>
      <c r="K39" s="19">
        <f>IF($A39="","",IF(COUNTIFS(請求記録!$B$6:$B$3005,$A39,請求記録!$X$6:$X$3005,K$5,請求記録!$AD$6:$AD$3005,"保留中")&gt;0,"保留",IF(COUNTIFS(請求記録!$B$6:$B$3005,$A39,請求記録!$X$6:$X$3005,K$5)=0,"",SUMIFS(請求記録!$AC$6:$AC$3005,請求記録!$B$6:$B$3005,$A39,請求記録!$X$6:$X$3005,K$5))))</f>
        <v/>
      </c>
      <c r="L39" s="19">
        <f>IF($A39="","",IF(COUNTIFS(請求記録!$B$6:$B$3005,$A39,請求記録!$X$6:$X$3005,L$5,請求記録!$AD$6:$AD$3005,"保留中")&gt;0,"保留",IF(COUNTIFS(請求記録!$B$6:$B$3005,$A39,請求記録!$X$6:$X$3005,L$5)=0,"",SUMIFS(請求記録!$AC$6:$AC$3005,請求記録!$B$6:$B$3005,$A39,請求記録!$X$6:$X$3005,L$5))))</f>
        <v/>
      </c>
      <c r="M39" s="19">
        <f>IF($A39="","",IF(COUNTIFS(請求記録!$B$6:$B$3005,$A39,請求記録!$X$6:$X$3005,M$5,請求記録!$AD$6:$AD$3005,"保留中")&gt;0,"保留",IF(COUNTIFS(請求記録!$B$6:$B$3005,$A39,請求記録!$X$6:$X$3005,M$5)=0,"",SUMIFS(請求記録!$AC$6:$AC$3005,請求記録!$B$6:$B$3005,$A39,請求記録!$X$6:$X$3005,M$5))))</f>
        <v/>
      </c>
      <c r="N39" s="19">
        <f>IF($A39="","",IF(COUNTIFS(請求記録!$B$6:$B$3005,$A39,請求記録!$X$6:$X$3005,N$5,請求記録!$AD$6:$AD$3005,"保留中")&gt;0,"保留",IF(COUNTIFS(請求記録!$B$6:$B$3005,$A39,請求記録!$X$6:$X$3005,N$5)=0,"",SUMIFS(請求記録!$AC$6:$AC$3005,請求記録!$B$6:$B$3005,$A39,請求記録!$X$6:$X$3005,N$5))))</f>
        <v/>
      </c>
      <c r="O39" s="19">
        <f>IF($A39="","",IF(COUNTIFS(請求記録!$B$6:$B$3005,$A39,請求記録!$X$6:$X$3005,O$5,請求記録!$AD$6:$AD$3005,"保留中")&gt;0,"保留",IF(COUNTIFS(請求記録!$B$6:$B$3005,$A39,請求記録!$X$6:$X$3005,O$5)=0,"",SUMIFS(請求記録!$AC$6:$AC$3005,請求記録!$B$6:$B$3005,$A39,請求記録!$X$6:$X$3005,O$5))))</f>
        <v/>
      </c>
      <c r="P39" s="19">
        <f>IF($A39="","",IF(COUNTIFS(請求記録!$B$6:$B$3005,$A39,請求記録!$X$6:$X$3005,P$5,請求記録!$AD$6:$AD$3005,"保留中")&gt;0,"保留",IF(COUNTIFS(請求記録!$B$6:$B$3005,$A39,請求記録!$X$6:$X$3005,P$5)=0,"",SUMIFS(請求記録!$AC$6:$AC$3005,請求記録!$B$6:$B$3005,$A39,請求記録!$X$6:$X$3005,P$5))))</f>
        <v/>
      </c>
      <c r="Q39" s="19">
        <f>IF($A39="","",IF(COUNTIFS(請求記録!$B$6:$B$3005,$A39,請求記録!$X$6:$X$3005,Q$5,請求記録!$AD$6:$AD$3005,"保留中")&gt;0,"保留",IF(COUNTIFS(請求記録!$B$6:$B$3005,$A39,請求記録!$X$6:$X$3005,Q$5)=0,"",SUMIFS(請求記録!$AC$6:$AC$3005,請求記録!$B$6:$B$3005,$A39,請求記録!$X$6:$X$3005,Q$5))))</f>
        <v/>
      </c>
      <c r="R39" s="19">
        <f>IF($A39="","",IF(COUNTIFS(請求記録!$B$6:$B$3005,$A39,請求記録!$X$6:$X$3005,R$5,請求記録!$AD$6:$AD$3005,"保留中")&gt;0,"保留",IF(COUNTIFS(請求記録!$B$6:$B$3005,$A39,請求記録!$X$6:$X$3005,R$5)=0,"",SUMIFS(請求記録!$AC$6:$AC$3005,請求記録!$B$6:$B$3005,$A39,請求記録!$X$6:$X$3005,R$5))))</f>
        <v/>
      </c>
      <c r="S39" s="19">
        <f>IF($A39="","",IF(COUNTIFS(請求記録!$B$6:$B$3005,$A39,請求記録!$X$6:$X$3005,S$5,請求記録!$AD$6:$AD$3005,"保留中")&gt;0,"保留",IF(COUNTIFS(請求記録!$B$6:$B$3005,$A39,請求記録!$X$6:$X$3005,S$5)=0,"",SUMIFS(請求記録!$AC$6:$AC$3005,請求記録!$B$6:$B$3005,$A39,請求記録!$X$6:$X$3005,S$5))))</f>
        <v/>
      </c>
      <c r="T39" s="19">
        <f>IF($A39="","",IF(COUNTIFS(請求記録!$B$6:$B$3005,$A39,請求記録!$X$6:$X$3005,T$5,請求記録!$AD$6:$AD$3005,"保留中")&gt;0,"保留",IF(COUNTIFS(請求記録!$B$6:$B$3005,$A39,請求記録!$X$6:$X$3005,T$5)=0,"",SUMIFS(請求記録!$AC$6:$AC$3005,請求記録!$B$6:$B$3005,$A39,請求記録!$X$6:$X$3005,T$5))))</f>
        <v/>
      </c>
      <c r="U39" s="19">
        <f>IF($A39="","",IF(COUNTIFS(請求記録!$B$6:$B$3005,$A39,請求記録!$X$6:$X$3005,U$5,請求記録!$AD$6:$AD$3005,"保留中")&gt;0,"保留",IF(COUNTIFS(請求記録!$B$6:$B$3005,$A39,請求記録!$X$6:$X$3005,U$5)=0,"",SUMIFS(請求記録!$AC$6:$AC$3005,請求記録!$B$6:$B$3005,$A39,請求記録!$X$6:$X$3005,U$5))))</f>
        <v/>
      </c>
      <c r="V39" s="19">
        <f>IF($A39="","",IF(COUNTIFS(請求記録!$B$6:$B$3005,$A39,請求記録!$X$6:$X$3005,V$5,請求記録!$AD$6:$AD$3005,"保留中")&gt;0,"保留",IF(COUNTIFS(請求記録!$B$6:$B$3005,$A39,請求記録!$X$6:$X$3005,V$5)=0,"",SUMIFS(請求記録!$AC$6:$AC$3005,請求記録!$B$6:$B$3005,$A39,請求記録!$X$6:$X$3005,V$5))))</f>
        <v/>
      </c>
      <c r="W39" s="19">
        <f>IF($A39="","",IF(COUNTIFS(請求記録!$B$6:$B$3005,$A39,請求記録!$X$6:$X$3005,W$5,請求記録!$AD$6:$AD$3005,"保留中")&gt;0,"保留",IF(COUNTIFS(請求記録!$B$6:$B$3005,$A39,請求記録!$X$6:$X$3005,W$5)=0,"",SUMIFS(請求記録!$AC$6:$AC$3005,請求記録!$B$6:$B$3005,$A39,請求記録!$X$6:$X$3005,W$5))))</f>
        <v/>
      </c>
      <c r="X39" s="19">
        <f>IF($A39="","",IF(COUNTIFS(請求記録!$B$6:$B$3005,$A39,請求記録!$X$6:$X$3005,X$5,請求記録!$AD$6:$AD$3005,"保留中")&gt;0,"保留",IF(COUNTIFS(請求記録!$B$6:$B$3005,$A39,請求記録!$X$6:$X$3005,X$5)=0,"",SUMIFS(請求記録!$AC$6:$AC$3005,請求記録!$B$6:$B$3005,$A39,請求記録!$X$6:$X$3005,X$5))))</f>
        <v/>
      </c>
      <c r="Y39" s="19">
        <f>IF($A39="","",IF(COUNTIFS(請求記録!$B$6:$B$3005,$A39,請求記録!$X$6:$X$3005,Y$5,請求記録!$AD$6:$AD$3005,"保留中")&gt;0,"保留",IF(COUNTIFS(請求記録!$B$6:$B$3005,$A39,請求記録!$X$6:$X$3005,Y$5)=0,"",SUMIFS(請求記録!$AC$6:$AC$3005,請求記録!$B$6:$B$3005,$A39,請求記録!$X$6:$X$3005,Y$5))))</f>
        <v/>
      </c>
      <c r="Z39" s="19">
        <f>IF($A39="","",IF(COUNTIFS(請求記録!$B$6:$B$3005,$A39,請求記録!$X$6:$X$3005,Z$5,請求記録!$AD$6:$AD$3005,"保留中")&gt;0,"保留",IF(COUNTIFS(請求記録!$B$6:$B$3005,$A39,請求記録!$X$6:$X$3005,Z$5)=0,"",SUMIFS(請求記録!$AC$6:$AC$3005,請求記録!$B$6:$B$3005,$A39,請求記録!$X$6:$X$3005,Z$5))))</f>
        <v/>
      </c>
      <c r="AA39" s="19">
        <f>IF($A39="","",IF(COUNTIFS(請求記録!$B$6:$B$3005,$A39,請求記録!$X$6:$X$3005,AA$5,請求記録!$AD$6:$AD$3005,"保留中")&gt;0,"保留",IF(COUNTIFS(請求記録!$B$6:$B$3005,$A39,請求記録!$X$6:$X$3005,AA$5)=0,"",SUMIFS(請求記録!$AC$6:$AC$3005,請求記録!$B$6:$B$3005,$A39,請求記録!$X$6:$X$3005,AA$5))))</f>
        <v/>
      </c>
      <c r="AB39">
        <f>IF(職員マスタ!P39="保留中",職員マスタ!M39,"")</f>
        <v/>
      </c>
    </row>
    <row r="40">
      <c r="A40">
        <f>IF(職員マスタ!A40="","",職員マスタ!A40)</f>
        <v/>
      </c>
      <c r="B40">
        <f>IF($A40="","",職員マスタ!B40)</f>
        <v/>
      </c>
      <c r="C40">
        <f>IF($A40="","",職員マスタ!C40)</f>
        <v/>
      </c>
      <c r="D40" s="19">
        <f>IF($A40="","",IF(COUNTIFS(請求記録!$B$6:$B$3005,$A40,請求記録!$X$6:$X$3005,D$5,請求記録!$AD$6:$AD$3005,"保留中")&gt;0,"保留",IF(COUNTIFS(請求記録!$B$6:$B$3005,$A40,請求記録!$X$6:$X$3005,D$5)=0,"",SUMIFS(請求記録!$AC$6:$AC$3005,請求記録!$B$6:$B$3005,$A40,請求記録!$X$6:$X$3005,D$5))))</f>
        <v/>
      </c>
      <c r="E40" s="19">
        <f>IF($A40="","",IF(COUNTIFS(請求記録!$B$6:$B$3005,$A40,請求記録!$X$6:$X$3005,E$5,請求記録!$AD$6:$AD$3005,"保留中")&gt;0,"保留",IF(COUNTIFS(請求記録!$B$6:$B$3005,$A40,請求記録!$X$6:$X$3005,E$5)=0,"",SUMIFS(請求記録!$AC$6:$AC$3005,請求記録!$B$6:$B$3005,$A40,請求記録!$X$6:$X$3005,E$5))))</f>
        <v/>
      </c>
      <c r="F40" s="19">
        <f>IF($A40="","",IF(COUNTIFS(請求記録!$B$6:$B$3005,$A40,請求記録!$X$6:$X$3005,F$5,請求記録!$AD$6:$AD$3005,"保留中")&gt;0,"保留",IF(COUNTIFS(請求記録!$B$6:$B$3005,$A40,請求記録!$X$6:$X$3005,F$5)=0,"",SUMIFS(請求記録!$AC$6:$AC$3005,請求記録!$B$6:$B$3005,$A40,請求記録!$X$6:$X$3005,F$5))))</f>
        <v/>
      </c>
      <c r="G40" s="19">
        <f>IF($A40="","",IF(COUNTIFS(請求記録!$B$6:$B$3005,$A40,請求記録!$X$6:$X$3005,G$5,請求記録!$AD$6:$AD$3005,"保留中")&gt;0,"保留",IF(COUNTIFS(請求記録!$B$6:$B$3005,$A40,請求記録!$X$6:$X$3005,G$5)=0,"",SUMIFS(請求記録!$AC$6:$AC$3005,請求記録!$B$6:$B$3005,$A40,請求記録!$X$6:$X$3005,G$5))))</f>
        <v/>
      </c>
      <c r="H40" s="19">
        <f>IF($A40="","",IF(COUNTIFS(請求記録!$B$6:$B$3005,$A40,請求記録!$X$6:$X$3005,H$5,請求記録!$AD$6:$AD$3005,"保留中")&gt;0,"保留",IF(COUNTIFS(請求記録!$B$6:$B$3005,$A40,請求記録!$X$6:$X$3005,H$5)=0,"",SUMIFS(請求記録!$AC$6:$AC$3005,請求記録!$B$6:$B$3005,$A40,請求記録!$X$6:$X$3005,H$5))))</f>
        <v/>
      </c>
      <c r="I40" s="19">
        <f>IF($A40="","",IF(COUNTIFS(請求記録!$B$6:$B$3005,$A40,請求記録!$X$6:$X$3005,I$5,請求記録!$AD$6:$AD$3005,"保留中")&gt;0,"保留",IF(COUNTIFS(請求記録!$B$6:$B$3005,$A40,請求記録!$X$6:$X$3005,I$5)=0,"",SUMIFS(請求記録!$AC$6:$AC$3005,請求記録!$B$6:$B$3005,$A40,請求記録!$X$6:$X$3005,I$5))))</f>
        <v/>
      </c>
      <c r="J40" s="19">
        <f>IF($A40="","",IF(COUNTIFS(請求記録!$B$6:$B$3005,$A40,請求記録!$X$6:$X$3005,J$5,請求記録!$AD$6:$AD$3005,"保留中")&gt;0,"保留",IF(COUNTIFS(請求記録!$B$6:$B$3005,$A40,請求記録!$X$6:$X$3005,J$5)=0,"",SUMIFS(請求記録!$AC$6:$AC$3005,請求記録!$B$6:$B$3005,$A40,請求記録!$X$6:$X$3005,J$5))))</f>
        <v/>
      </c>
      <c r="K40" s="19">
        <f>IF($A40="","",IF(COUNTIFS(請求記録!$B$6:$B$3005,$A40,請求記録!$X$6:$X$3005,K$5,請求記録!$AD$6:$AD$3005,"保留中")&gt;0,"保留",IF(COUNTIFS(請求記録!$B$6:$B$3005,$A40,請求記録!$X$6:$X$3005,K$5)=0,"",SUMIFS(請求記録!$AC$6:$AC$3005,請求記録!$B$6:$B$3005,$A40,請求記録!$X$6:$X$3005,K$5))))</f>
        <v/>
      </c>
      <c r="L40" s="19">
        <f>IF($A40="","",IF(COUNTIFS(請求記録!$B$6:$B$3005,$A40,請求記録!$X$6:$X$3005,L$5,請求記録!$AD$6:$AD$3005,"保留中")&gt;0,"保留",IF(COUNTIFS(請求記録!$B$6:$B$3005,$A40,請求記録!$X$6:$X$3005,L$5)=0,"",SUMIFS(請求記録!$AC$6:$AC$3005,請求記録!$B$6:$B$3005,$A40,請求記録!$X$6:$X$3005,L$5))))</f>
        <v/>
      </c>
      <c r="M40" s="19">
        <f>IF($A40="","",IF(COUNTIFS(請求記録!$B$6:$B$3005,$A40,請求記録!$X$6:$X$3005,M$5,請求記録!$AD$6:$AD$3005,"保留中")&gt;0,"保留",IF(COUNTIFS(請求記録!$B$6:$B$3005,$A40,請求記録!$X$6:$X$3005,M$5)=0,"",SUMIFS(請求記録!$AC$6:$AC$3005,請求記録!$B$6:$B$3005,$A40,請求記録!$X$6:$X$3005,M$5))))</f>
        <v/>
      </c>
      <c r="N40" s="19">
        <f>IF($A40="","",IF(COUNTIFS(請求記録!$B$6:$B$3005,$A40,請求記録!$X$6:$X$3005,N$5,請求記録!$AD$6:$AD$3005,"保留中")&gt;0,"保留",IF(COUNTIFS(請求記録!$B$6:$B$3005,$A40,請求記録!$X$6:$X$3005,N$5)=0,"",SUMIFS(請求記録!$AC$6:$AC$3005,請求記録!$B$6:$B$3005,$A40,請求記録!$X$6:$X$3005,N$5))))</f>
        <v/>
      </c>
      <c r="O40" s="19">
        <f>IF($A40="","",IF(COUNTIFS(請求記録!$B$6:$B$3005,$A40,請求記録!$X$6:$X$3005,O$5,請求記録!$AD$6:$AD$3005,"保留中")&gt;0,"保留",IF(COUNTIFS(請求記録!$B$6:$B$3005,$A40,請求記録!$X$6:$X$3005,O$5)=0,"",SUMIFS(請求記録!$AC$6:$AC$3005,請求記録!$B$6:$B$3005,$A40,請求記録!$X$6:$X$3005,O$5))))</f>
        <v/>
      </c>
      <c r="P40" s="19">
        <f>IF($A40="","",IF(COUNTIFS(請求記録!$B$6:$B$3005,$A40,請求記録!$X$6:$X$3005,P$5,請求記録!$AD$6:$AD$3005,"保留中")&gt;0,"保留",IF(COUNTIFS(請求記録!$B$6:$B$3005,$A40,請求記録!$X$6:$X$3005,P$5)=0,"",SUMIFS(請求記録!$AC$6:$AC$3005,請求記録!$B$6:$B$3005,$A40,請求記録!$X$6:$X$3005,P$5))))</f>
        <v/>
      </c>
      <c r="Q40" s="19">
        <f>IF($A40="","",IF(COUNTIFS(請求記録!$B$6:$B$3005,$A40,請求記録!$X$6:$X$3005,Q$5,請求記録!$AD$6:$AD$3005,"保留中")&gt;0,"保留",IF(COUNTIFS(請求記録!$B$6:$B$3005,$A40,請求記録!$X$6:$X$3005,Q$5)=0,"",SUMIFS(請求記録!$AC$6:$AC$3005,請求記録!$B$6:$B$3005,$A40,請求記録!$X$6:$X$3005,Q$5))))</f>
        <v/>
      </c>
      <c r="R40" s="19">
        <f>IF($A40="","",IF(COUNTIFS(請求記録!$B$6:$B$3005,$A40,請求記録!$X$6:$X$3005,R$5,請求記録!$AD$6:$AD$3005,"保留中")&gt;0,"保留",IF(COUNTIFS(請求記録!$B$6:$B$3005,$A40,請求記録!$X$6:$X$3005,R$5)=0,"",SUMIFS(請求記録!$AC$6:$AC$3005,請求記録!$B$6:$B$3005,$A40,請求記録!$X$6:$X$3005,R$5))))</f>
        <v/>
      </c>
      <c r="S40" s="19">
        <f>IF($A40="","",IF(COUNTIFS(請求記録!$B$6:$B$3005,$A40,請求記録!$X$6:$X$3005,S$5,請求記録!$AD$6:$AD$3005,"保留中")&gt;0,"保留",IF(COUNTIFS(請求記録!$B$6:$B$3005,$A40,請求記録!$X$6:$X$3005,S$5)=0,"",SUMIFS(請求記録!$AC$6:$AC$3005,請求記録!$B$6:$B$3005,$A40,請求記録!$X$6:$X$3005,S$5))))</f>
        <v/>
      </c>
      <c r="T40" s="19">
        <f>IF($A40="","",IF(COUNTIFS(請求記録!$B$6:$B$3005,$A40,請求記録!$X$6:$X$3005,T$5,請求記録!$AD$6:$AD$3005,"保留中")&gt;0,"保留",IF(COUNTIFS(請求記録!$B$6:$B$3005,$A40,請求記録!$X$6:$X$3005,T$5)=0,"",SUMIFS(請求記録!$AC$6:$AC$3005,請求記録!$B$6:$B$3005,$A40,請求記録!$X$6:$X$3005,T$5))))</f>
        <v/>
      </c>
      <c r="U40" s="19">
        <f>IF($A40="","",IF(COUNTIFS(請求記録!$B$6:$B$3005,$A40,請求記録!$X$6:$X$3005,U$5,請求記録!$AD$6:$AD$3005,"保留中")&gt;0,"保留",IF(COUNTIFS(請求記録!$B$6:$B$3005,$A40,請求記録!$X$6:$X$3005,U$5)=0,"",SUMIFS(請求記録!$AC$6:$AC$3005,請求記録!$B$6:$B$3005,$A40,請求記録!$X$6:$X$3005,U$5))))</f>
        <v/>
      </c>
      <c r="V40" s="19">
        <f>IF($A40="","",IF(COUNTIFS(請求記録!$B$6:$B$3005,$A40,請求記録!$X$6:$X$3005,V$5,請求記録!$AD$6:$AD$3005,"保留中")&gt;0,"保留",IF(COUNTIFS(請求記録!$B$6:$B$3005,$A40,請求記録!$X$6:$X$3005,V$5)=0,"",SUMIFS(請求記録!$AC$6:$AC$3005,請求記録!$B$6:$B$3005,$A40,請求記録!$X$6:$X$3005,V$5))))</f>
        <v/>
      </c>
      <c r="W40" s="19">
        <f>IF($A40="","",IF(COUNTIFS(請求記録!$B$6:$B$3005,$A40,請求記録!$X$6:$X$3005,W$5,請求記録!$AD$6:$AD$3005,"保留中")&gt;0,"保留",IF(COUNTIFS(請求記録!$B$6:$B$3005,$A40,請求記録!$X$6:$X$3005,W$5)=0,"",SUMIFS(請求記録!$AC$6:$AC$3005,請求記録!$B$6:$B$3005,$A40,請求記録!$X$6:$X$3005,W$5))))</f>
        <v/>
      </c>
      <c r="X40" s="19">
        <f>IF($A40="","",IF(COUNTIFS(請求記録!$B$6:$B$3005,$A40,請求記録!$X$6:$X$3005,X$5,請求記録!$AD$6:$AD$3005,"保留中")&gt;0,"保留",IF(COUNTIFS(請求記録!$B$6:$B$3005,$A40,請求記録!$X$6:$X$3005,X$5)=0,"",SUMIFS(請求記録!$AC$6:$AC$3005,請求記録!$B$6:$B$3005,$A40,請求記録!$X$6:$X$3005,X$5))))</f>
        <v/>
      </c>
      <c r="Y40" s="19">
        <f>IF($A40="","",IF(COUNTIFS(請求記録!$B$6:$B$3005,$A40,請求記録!$X$6:$X$3005,Y$5,請求記録!$AD$6:$AD$3005,"保留中")&gt;0,"保留",IF(COUNTIFS(請求記録!$B$6:$B$3005,$A40,請求記録!$X$6:$X$3005,Y$5)=0,"",SUMIFS(請求記録!$AC$6:$AC$3005,請求記録!$B$6:$B$3005,$A40,請求記録!$X$6:$X$3005,Y$5))))</f>
        <v/>
      </c>
      <c r="Z40" s="19">
        <f>IF($A40="","",IF(COUNTIFS(請求記録!$B$6:$B$3005,$A40,請求記録!$X$6:$X$3005,Z$5,請求記録!$AD$6:$AD$3005,"保留中")&gt;0,"保留",IF(COUNTIFS(請求記録!$B$6:$B$3005,$A40,請求記録!$X$6:$X$3005,Z$5)=0,"",SUMIFS(請求記録!$AC$6:$AC$3005,請求記録!$B$6:$B$3005,$A40,請求記録!$X$6:$X$3005,Z$5))))</f>
        <v/>
      </c>
      <c r="AA40" s="19">
        <f>IF($A40="","",IF(COUNTIFS(請求記録!$B$6:$B$3005,$A40,請求記録!$X$6:$X$3005,AA$5,請求記録!$AD$6:$AD$3005,"保留中")&gt;0,"保留",IF(COUNTIFS(請求記録!$B$6:$B$3005,$A40,請求記録!$X$6:$X$3005,AA$5)=0,"",SUMIFS(請求記録!$AC$6:$AC$3005,請求記録!$B$6:$B$3005,$A40,請求記録!$X$6:$X$3005,AA$5))))</f>
        <v/>
      </c>
      <c r="AB40">
        <f>IF(職員マスタ!P40="保留中",職員マスタ!M40,"")</f>
        <v/>
      </c>
    </row>
    <row r="41">
      <c r="A41">
        <f>IF(職員マスタ!A41="","",職員マスタ!A41)</f>
        <v/>
      </c>
      <c r="B41">
        <f>IF($A41="","",職員マスタ!B41)</f>
        <v/>
      </c>
      <c r="C41">
        <f>IF($A41="","",職員マスタ!C41)</f>
        <v/>
      </c>
      <c r="D41" s="19">
        <f>IF($A41="","",IF(COUNTIFS(請求記録!$B$6:$B$3005,$A41,請求記録!$X$6:$X$3005,D$5,請求記録!$AD$6:$AD$3005,"保留中")&gt;0,"保留",IF(COUNTIFS(請求記録!$B$6:$B$3005,$A41,請求記録!$X$6:$X$3005,D$5)=0,"",SUMIFS(請求記録!$AC$6:$AC$3005,請求記録!$B$6:$B$3005,$A41,請求記録!$X$6:$X$3005,D$5))))</f>
        <v/>
      </c>
      <c r="E41" s="19">
        <f>IF($A41="","",IF(COUNTIFS(請求記録!$B$6:$B$3005,$A41,請求記録!$X$6:$X$3005,E$5,請求記録!$AD$6:$AD$3005,"保留中")&gt;0,"保留",IF(COUNTIFS(請求記録!$B$6:$B$3005,$A41,請求記録!$X$6:$X$3005,E$5)=0,"",SUMIFS(請求記録!$AC$6:$AC$3005,請求記録!$B$6:$B$3005,$A41,請求記録!$X$6:$X$3005,E$5))))</f>
        <v/>
      </c>
      <c r="F41" s="19">
        <f>IF($A41="","",IF(COUNTIFS(請求記録!$B$6:$B$3005,$A41,請求記録!$X$6:$X$3005,F$5,請求記録!$AD$6:$AD$3005,"保留中")&gt;0,"保留",IF(COUNTIFS(請求記録!$B$6:$B$3005,$A41,請求記録!$X$6:$X$3005,F$5)=0,"",SUMIFS(請求記録!$AC$6:$AC$3005,請求記録!$B$6:$B$3005,$A41,請求記録!$X$6:$X$3005,F$5))))</f>
        <v/>
      </c>
      <c r="G41" s="19">
        <f>IF($A41="","",IF(COUNTIFS(請求記録!$B$6:$B$3005,$A41,請求記録!$X$6:$X$3005,G$5,請求記録!$AD$6:$AD$3005,"保留中")&gt;0,"保留",IF(COUNTIFS(請求記録!$B$6:$B$3005,$A41,請求記録!$X$6:$X$3005,G$5)=0,"",SUMIFS(請求記録!$AC$6:$AC$3005,請求記録!$B$6:$B$3005,$A41,請求記録!$X$6:$X$3005,G$5))))</f>
        <v/>
      </c>
      <c r="H41" s="19">
        <f>IF($A41="","",IF(COUNTIFS(請求記録!$B$6:$B$3005,$A41,請求記録!$X$6:$X$3005,H$5,請求記録!$AD$6:$AD$3005,"保留中")&gt;0,"保留",IF(COUNTIFS(請求記録!$B$6:$B$3005,$A41,請求記録!$X$6:$X$3005,H$5)=0,"",SUMIFS(請求記録!$AC$6:$AC$3005,請求記録!$B$6:$B$3005,$A41,請求記録!$X$6:$X$3005,H$5))))</f>
        <v/>
      </c>
      <c r="I41" s="19">
        <f>IF($A41="","",IF(COUNTIFS(請求記録!$B$6:$B$3005,$A41,請求記録!$X$6:$X$3005,I$5,請求記録!$AD$6:$AD$3005,"保留中")&gt;0,"保留",IF(COUNTIFS(請求記録!$B$6:$B$3005,$A41,請求記録!$X$6:$X$3005,I$5)=0,"",SUMIFS(請求記録!$AC$6:$AC$3005,請求記録!$B$6:$B$3005,$A41,請求記録!$X$6:$X$3005,I$5))))</f>
        <v/>
      </c>
      <c r="J41" s="19">
        <f>IF($A41="","",IF(COUNTIFS(請求記録!$B$6:$B$3005,$A41,請求記録!$X$6:$X$3005,J$5,請求記録!$AD$6:$AD$3005,"保留中")&gt;0,"保留",IF(COUNTIFS(請求記録!$B$6:$B$3005,$A41,請求記録!$X$6:$X$3005,J$5)=0,"",SUMIFS(請求記録!$AC$6:$AC$3005,請求記録!$B$6:$B$3005,$A41,請求記録!$X$6:$X$3005,J$5))))</f>
        <v/>
      </c>
      <c r="K41" s="19">
        <f>IF($A41="","",IF(COUNTIFS(請求記録!$B$6:$B$3005,$A41,請求記録!$X$6:$X$3005,K$5,請求記録!$AD$6:$AD$3005,"保留中")&gt;0,"保留",IF(COUNTIFS(請求記録!$B$6:$B$3005,$A41,請求記録!$X$6:$X$3005,K$5)=0,"",SUMIFS(請求記録!$AC$6:$AC$3005,請求記録!$B$6:$B$3005,$A41,請求記録!$X$6:$X$3005,K$5))))</f>
        <v/>
      </c>
      <c r="L41" s="19">
        <f>IF($A41="","",IF(COUNTIFS(請求記録!$B$6:$B$3005,$A41,請求記録!$X$6:$X$3005,L$5,請求記録!$AD$6:$AD$3005,"保留中")&gt;0,"保留",IF(COUNTIFS(請求記録!$B$6:$B$3005,$A41,請求記録!$X$6:$X$3005,L$5)=0,"",SUMIFS(請求記録!$AC$6:$AC$3005,請求記録!$B$6:$B$3005,$A41,請求記録!$X$6:$X$3005,L$5))))</f>
        <v/>
      </c>
      <c r="M41" s="19">
        <f>IF($A41="","",IF(COUNTIFS(請求記録!$B$6:$B$3005,$A41,請求記録!$X$6:$X$3005,M$5,請求記録!$AD$6:$AD$3005,"保留中")&gt;0,"保留",IF(COUNTIFS(請求記録!$B$6:$B$3005,$A41,請求記録!$X$6:$X$3005,M$5)=0,"",SUMIFS(請求記録!$AC$6:$AC$3005,請求記録!$B$6:$B$3005,$A41,請求記録!$X$6:$X$3005,M$5))))</f>
        <v/>
      </c>
      <c r="N41" s="19">
        <f>IF($A41="","",IF(COUNTIFS(請求記録!$B$6:$B$3005,$A41,請求記録!$X$6:$X$3005,N$5,請求記録!$AD$6:$AD$3005,"保留中")&gt;0,"保留",IF(COUNTIFS(請求記録!$B$6:$B$3005,$A41,請求記録!$X$6:$X$3005,N$5)=0,"",SUMIFS(請求記録!$AC$6:$AC$3005,請求記録!$B$6:$B$3005,$A41,請求記録!$X$6:$X$3005,N$5))))</f>
        <v/>
      </c>
      <c r="O41" s="19">
        <f>IF($A41="","",IF(COUNTIFS(請求記録!$B$6:$B$3005,$A41,請求記録!$X$6:$X$3005,O$5,請求記録!$AD$6:$AD$3005,"保留中")&gt;0,"保留",IF(COUNTIFS(請求記録!$B$6:$B$3005,$A41,請求記録!$X$6:$X$3005,O$5)=0,"",SUMIFS(請求記録!$AC$6:$AC$3005,請求記録!$B$6:$B$3005,$A41,請求記録!$X$6:$X$3005,O$5))))</f>
        <v/>
      </c>
      <c r="P41" s="19">
        <f>IF($A41="","",IF(COUNTIFS(請求記録!$B$6:$B$3005,$A41,請求記録!$X$6:$X$3005,P$5,請求記録!$AD$6:$AD$3005,"保留中")&gt;0,"保留",IF(COUNTIFS(請求記録!$B$6:$B$3005,$A41,請求記録!$X$6:$X$3005,P$5)=0,"",SUMIFS(請求記録!$AC$6:$AC$3005,請求記録!$B$6:$B$3005,$A41,請求記録!$X$6:$X$3005,P$5))))</f>
        <v/>
      </c>
      <c r="Q41" s="19">
        <f>IF($A41="","",IF(COUNTIFS(請求記録!$B$6:$B$3005,$A41,請求記録!$X$6:$X$3005,Q$5,請求記録!$AD$6:$AD$3005,"保留中")&gt;0,"保留",IF(COUNTIFS(請求記録!$B$6:$B$3005,$A41,請求記録!$X$6:$X$3005,Q$5)=0,"",SUMIFS(請求記録!$AC$6:$AC$3005,請求記録!$B$6:$B$3005,$A41,請求記録!$X$6:$X$3005,Q$5))))</f>
        <v/>
      </c>
      <c r="R41" s="19">
        <f>IF($A41="","",IF(COUNTIFS(請求記録!$B$6:$B$3005,$A41,請求記録!$X$6:$X$3005,R$5,請求記録!$AD$6:$AD$3005,"保留中")&gt;0,"保留",IF(COUNTIFS(請求記録!$B$6:$B$3005,$A41,請求記録!$X$6:$X$3005,R$5)=0,"",SUMIFS(請求記録!$AC$6:$AC$3005,請求記録!$B$6:$B$3005,$A41,請求記録!$X$6:$X$3005,R$5))))</f>
        <v/>
      </c>
      <c r="S41" s="19">
        <f>IF($A41="","",IF(COUNTIFS(請求記録!$B$6:$B$3005,$A41,請求記録!$X$6:$X$3005,S$5,請求記録!$AD$6:$AD$3005,"保留中")&gt;0,"保留",IF(COUNTIFS(請求記録!$B$6:$B$3005,$A41,請求記録!$X$6:$X$3005,S$5)=0,"",SUMIFS(請求記録!$AC$6:$AC$3005,請求記録!$B$6:$B$3005,$A41,請求記録!$X$6:$X$3005,S$5))))</f>
        <v/>
      </c>
      <c r="T41" s="19">
        <f>IF($A41="","",IF(COUNTIFS(請求記録!$B$6:$B$3005,$A41,請求記録!$X$6:$X$3005,T$5,請求記録!$AD$6:$AD$3005,"保留中")&gt;0,"保留",IF(COUNTIFS(請求記録!$B$6:$B$3005,$A41,請求記録!$X$6:$X$3005,T$5)=0,"",SUMIFS(請求記録!$AC$6:$AC$3005,請求記録!$B$6:$B$3005,$A41,請求記録!$X$6:$X$3005,T$5))))</f>
        <v/>
      </c>
      <c r="U41" s="19">
        <f>IF($A41="","",IF(COUNTIFS(請求記録!$B$6:$B$3005,$A41,請求記録!$X$6:$X$3005,U$5,請求記録!$AD$6:$AD$3005,"保留中")&gt;0,"保留",IF(COUNTIFS(請求記録!$B$6:$B$3005,$A41,請求記録!$X$6:$X$3005,U$5)=0,"",SUMIFS(請求記録!$AC$6:$AC$3005,請求記録!$B$6:$B$3005,$A41,請求記録!$X$6:$X$3005,U$5))))</f>
        <v/>
      </c>
      <c r="V41" s="19">
        <f>IF($A41="","",IF(COUNTIFS(請求記録!$B$6:$B$3005,$A41,請求記録!$X$6:$X$3005,V$5,請求記録!$AD$6:$AD$3005,"保留中")&gt;0,"保留",IF(COUNTIFS(請求記録!$B$6:$B$3005,$A41,請求記録!$X$6:$X$3005,V$5)=0,"",SUMIFS(請求記録!$AC$6:$AC$3005,請求記録!$B$6:$B$3005,$A41,請求記録!$X$6:$X$3005,V$5))))</f>
        <v/>
      </c>
      <c r="W41" s="19">
        <f>IF($A41="","",IF(COUNTIFS(請求記録!$B$6:$B$3005,$A41,請求記録!$X$6:$X$3005,W$5,請求記録!$AD$6:$AD$3005,"保留中")&gt;0,"保留",IF(COUNTIFS(請求記録!$B$6:$B$3005,$A41,請求記録!$X$6:$X$3005,W$5)=0,"",SUMIFS(請求記録!$AC$6:$AC$3005,請求記録!$B$6:$B$3005,$A41,請求記録!$X$6:$X$3005,W$5))))</f>
        <v/>
      </c>
      <c r="X41" s="19">
        <f>IF($A41="","",IF(COUNTIFS(請求記録!$B$6:$B$3005,$A41,請求記録!$X$6:$X$3005,X$5,請求記録!$AD$6:$AD$3005,"保留中")&gt;0,"保留",IF(COUNTIFS(請求記録!$B$6:$B$3005,$A41,請求記録!$X$6:$X$3005,X$5)=0,"",SUMIFS(請求記録!$AC$6:$AC$3005,請求記録!$B$6:$B$3005,$A41,請求記録!$X$6:$X$3005,X$5))))</f>
        <v/>
      </c>
      <c r="Y41" s="19">
        <f>IF($A41="","",IF(COUNTIFS(請求記録!$B$6:$B$3005,$A41,請求記録!$X$6:$X$3005,Y$5,請求記録!$AD$6:$AD$3005,"保留中")&gt;0,"保留",IF(COUNTIFS(請求記録!$B$6:$B$3005,$A41,請求記録!$X$6:$X$3005,Y$5)=0,"",SUMIFS(請求記録!$AC$6:$AC$3005,請求記録!$B$6:$B$3005,$A41,請求記録!$X$6:$X$3005,Y$5))))</f>
        <v/>
      </c>
      <c r="Z41" s="19">
        <f>IF($A41="","",IF(COUNTIFS(請求記録!$B$6:$B$3005,$A41,請求記録!$X$6:$X$3005,Z$5,請求記録!$AD$6:$AD$3005,"保留中")&gt;0,"保留",IF(COUNTIFS(請求記録!$B$6:$B$3005,$A41,請求記録!$X$6:$X$3005,Z$5)=0,"",SUMIFS(請求記録!$AC$6:$AC$3005,請求記録!$B$6:$B$3005,$A41,請求記録!$X$6:$X$3005,Z$5))))</f>
        <v/>
      </c>
      <c r="AA41" s="19">
        <f>IF($A41="","",IF(COUNTIFS(請求記録!$B$6:$B$3005,$A41,請求記録!$X$6:$X$3005,AA$5,請求記録!$AD$6:$AD$3005,"保留中")&gt;0,"保留",IF(COUNTIFS(請求記録!$B$6:$B$3005,$A41,請求記録!$X$6:$X$3005,AA$5)=0,"",SUMIFS(請求記録!$AC$6:$AC$3005,請求記録!$B$6:$B$3005,$A41,請求記録!$X$6:$X$3005,AA$5))))</f>
        <v/>
      </c>
      <c r="AB41">
        <f>IF(職員マスタ!P41="保留中",職員マスタ!M41,"")</f>
        <v/>
      </c>
    </row>
    <row r="42">
      <c r="A42">
        <f>IF(職員マスタ!A42="","",職員マスタ!A42)</f>
        <v/>
      </c>
      <c r="B42">
        <f>IF($A42="","",職員マスタ!B42)</f>
        <v/>
      </c>
      <c r="C42">
        <f>IF($A42="","",職員マスタ!C42)</f>
        <v/>
      </c>
      <c r="D42" s="19">
        <f>IF($A42="","",IF(COUNTIFS(請求記録!$B$6:$B$3005,$A42,請求記録!$X$6:$X$3005,D$5,請求記録!$AD$6:$AD$3005,"保留中")&gt;0,"保留",IF(COUNTIFS(請求記録!$B$6:$B$3005,$A42,請求記録!$X$6:$X$3005,D$5)=0,"",SUMIFS(請求記録!$AC$6:$AC$3005,請求記録!$B$6:$B$3005,$A42,請求記録!$X$6:$X$3005,D$5))))</f>
        <v/>
      </c>
      <c r="E42" s="19">
        <f>IF($A42="","",IF(COUNTIFS(請求記録!$B$6:$B$3005,$A42,請求記録!$X$6:$X$3005,E$5,請求記録!$AD$6:$AD$3005,"保留中")&gt;0,"保留",IF(COUNTIFS(請求記録!$B$6:$B$3005,$A42,請求記録!$X$6:$X$3005,E$5)=0,"",SUMIFS(請求記録!$AC$6:$AC$3005,請求記録!$B$6:$B$3005,$A42,請求記録!$X$6:$X$3005,E$5))))</f>
        <v/>
      </c>
      <c r="F42" s="19">
        <f>IF($A42="","",IF(COUNTIFS(請求記録!$B$6:$B$3005,$A42,請求記録!$X$6:$X$3005,F$5,請求記録!$AD$6:$AD$3005,"保留中")&gt;0,"保留",IF(COUNTIFS(請求記録!$B$6:$B$3005,$A42,請求記録!$X$6:$X$3005,F$5)=0,"",SUMIFS(請求記録!$AC$6:$AC$3005,請求記録!$B$6:$B$3005,$A42,請求記録!$X$6:$X$3005,F$5))))</f>
        <v/>
      </c>
      <c r="G42" s="19">
        <f>IF($A42="","",IF(COUNTIFS(請求記録!$B$6:$B$3005,$A42,請求記録!$X$6:$X$3005,G$5,請求記録!$AD$6:$AD$3005,"保留中")&gt;0,"保留",IF(COUNTIFS(請求記録!$B$6:$B$3005,$A42,請求記録!$X$6:$X$3005,G$5)=0,"",SUMIFS(請求記録!$AC$6:$AC$3005,請求記録!$B$6:$B$3005,$A42,請求記録!$X$6:$X$3005,G$5))))</f>
        <v/>
      </c>
      <c r="H42" s="19">
        <f>IF($A42="","",IF(COUNTIFS(請求記録!$B$6:$B$3005,$A42,請求記録!$X$6:$X$3005,H$5,請求記録!$AD$6:$AD$3005,"保留中")&gt;0,"保留",IF(COUNTIFS(請求記録!$B$6:$B$3005,$A42,請求記録!$X$6:$X$3005,H$5)=0,"",SUMIFS(請求記録!$AC$6:$AC$3005,請求記録!$B$6:$B$3005,$A42,請求記録!$X$6:$X$3005,H$5))))</f>
        <v/>
      </c>
      <c r="I42" s="19">
        <f>IF($A42="","",IF(COUNTIFS(請求記録!$B$6:$B$3005,$A42,請求記録!$X$6:$X$3005,I$5,請求記録!$AD$6:$AD$3005,"保留中")&gt;0,"保留",IF(COUNTIFS(請求記録!$B$6:$B$3005,$A42,請求記録!$X$6:$X$3005,I$5)=0,"",SUMIFS(請求記録!$AC$6:$AC$3005,請求記録!$B$6:$B$3005,$A42,請求記録!$X$6:$X$3005,I$5))))</f>
        <v/>
      </c>
      <c r="J42" s="19">
        <f>IF($A42="","",IF(COUNTIFS(請求記録!$B$6:$B$3005,$A42,請求記録!$X$6:$X$3005,J$5,請求記録!$AD$6:$AD$3005,"保留中")&gt;0,"保留",IF(COUNTIFS(請求記録!$B$6:$B$3005,$A42,請求記録!$X$6:$X$3005,J$5)=0,"",SUMIFS(請求記録!$AC$6:$AC$3005,請求記録!$B$6:$B$3005,$A42,請求記録!$X$6:$X$3005,J$5))))</f>
        <v/>
      </c>
      <c r="K42" s="19">
        <f>IF($A42="","",IF(COUNTIFS(請求記録!$B$6:$B$3005,$A42,請求記録!$X$6:$X$3005,K$5,請求記録!$AD$6:$AD$3005,"保留中")&gt;0,"保留",IF(COUNTIFS(請求記録!$B$6:$B$3005,$A42,請求記録!$X$6:$X$3005,K$5)=0,"",SUMIFS(請求記録!$AC$6:$AC$3005,請求記録!$B$6:$B$3005,$A42,請求記録!$X$6:$X$3005,K$5))))</f>
        <v/>
      </c>
      <c r="L42" s="19">
        <f>IF($A42="","",IF(COUNTIFS(請求記録!$B$6:$B$3005,$A42,請求記録!$X$6:$X$3005,L$5,請求記録!$AD$6:$AD$3005,"保留中")&gt;0,"保留",IF(COUNTIFS(請求記録!$B$6:$B$3005,$A42,請求記録!$X$6:$X$3005,L$5)=0,"",SUMIFS(請求記録!$AC$6:$AC$3005,請求記録!$B$6:$B$3005,$A42,請求記録!$X$6:$X$3005,L$5))))</f>
        <v/>
      </c>
      <c r="M42" s="19">
        <f>IF($A42="","",IF(COUNTIFS(請求記録!$B$6:$B$3005,$A42,請求記録!$X$6:$X$3005,M$5,請求記録!$AD$6:$AD$3005,"保留中")&gt;0,"保留",IF(COUNTIFS(請求記録!$B$6:$B$3005,$A42,請求記録!$X$6:$X$3005,M$5)=0,"",SUMIFS(請求記録!$AC$6:$AC$3005,請求記録!$B$6:$B$3005,$A42,請求記録!$X$6:$X$3005,M$5))))</f>
        <v/>
      </c>
      <c r="N42" s="19">
        <f>IF($A42="","",IF(COUNTIFS(請求記録!$B$6:$B$3005,$A42,請求記録!$X$6:$X$3005,N$5,請求記録!$AD$6:$AD$3005,"保留中")&gt;0,"保留",IF(COUNTIFS(請求記録!$B$6:$B$3005,$A42,請求記録!$X$6:$X$3005,N$5)=0,"",SUMIFS(請求記録!$AC$6:$AC$3005,請求記録!$B$6:$B$3005,$A42,請求記録!$X$6:$X$3005,N$5))))</f>
        <v/>
      </c>
      <c r="O42" s="19">
        <f>IF($A42="","",IF(COUNTIFS(請求記録!$B$6:$B$3005,$A42,請求記録!$X$6:$X$3005,O$5,請求記録!$AD$6:$AD$3005,"保留中")&gt;0,"保留",IF(COUNTIFS(請求記録!$B$6:$B$3005,$A42,請求記録!$X$6:$X$3005,O$5)=0,"",SUMIFS(請求記録!$AC$6:$AC$3005,請求記録!$B$6:$B$3005,$A42,請求記録!$X$6:$X$3005,O$5))))</f>
        <v/>
      </c>
      <c r="P42" s="19">
        <f>IF($A42="","",IF(COUNTIFS(請求記録!$B$6:$B$3005,$A42,請求記録!$X$6:$X$3005,P$5,請求記録!$AD$6:$AD$3005,"保留中")&gt;0,"保留",IF(COUNTIFS(請求記録!$B$6:$B$3005,$A42,請求記録!$X$6:$X$3005,P$5)=0,"",SUMIFS(請求記録!$AC$6:$AC$3005,請求記録!$B$6:$B$3005,$A42,請求記録!$X$6:$X$3005,P$5))))</f>
        <v/>
      </c>
      <c r="Q42" s="19">
        <f>IF($A42="","",IF(COUNTIFS(請求記録!$B$6:$B$3005,$A42,請求記録!$X$6:$X$3005,Q$5,請求記録!$AD$6:$AD$3005,"保留中")&gt;0,"保留",IF(COUNTIFS(請求記録!$B$6:$B$3005,$A42,請求記録!$X$6:$X$3005,Q$5)=0,"",SUMIFS(請求記録!$AC$6:$AC$3005,請求記録!$B$6:$B$3005,$A42,請求記録!$X$6:$X$3005,Q$5))))</f>
        <v/>
      </c>
      <c r="R42" s="19">
        <f>IF($A42="","",IF(COUNTIFS(請求記録!$B$6:$B$3005,$A42,請求記録!$X$6:$X$3005,R$5,請求記録!$AD$6:$AD$3005,"保留中")&gt;0,"保留",IF(COUNTIFS(請求記録!$B$6:$B$3005,$A42,請求記録!$X$6:$X$3005,R$5)=0,"",SUMIFS(請求記録!$AC$6:$AC$3005,請求記録!$B$6:$B$3005,$A42,請求記録!$X$6:$X$3005,R$5))))</f>
        <v/>
      </c>
      <c r="S42" s="19">
        <f>IF($A42="","",IF(COUNTIFS(請求記録!$B$6:$B$3005,$A42,請求記録!$X$6:$X$3005,S$5,請求記録!$AD$6:$AD$3005,"保留中")&gt;0,"保留",IF(COUNTIFS(請求記録!$B$6:$B$3005,$A42,請求記録!$X$6:$X$3005,S$5)=0,"",SUMIFS(請求記録!$AC$6:$AC$3005,請求記録!$B$6:$B$3005,$A42,請求記録!$X$6:$X$3005,S$5))))</f>
        <v/>
      </c>
      <c r="T42" s="19">
        <f>IF($A42="","",IF(COUNTIFS(請求記録!$B$6:$B$3005,$A42,請求記録!$X$6:$X$3005,T$5,請求記録!$AD$6:$AD$3005,"保留中")&gt;0,"保留",IF(COUNTIFS(請求記録!$B$6:$B$3005,$A42,請求記録!$X$6:$X$3005,T$5)=0,"",SUMIFS(請求記録!$AC$6:$AC$3005,請求記録!$B$6:$B$3005,$A42,請求記録!$X$6:$X$3005,T$5))))</f>
        <v/>
      </c>
      <c r="U42" s="19">
        <f>IF($A42="","",IF(COUNTIFS(請求記録!$B$6:$B$3005,$A42,請求記録!$X$6:$X$3005,U$5,請求記録!$AD$6:$AD$3005,"保留中")&gt;0,"保留",IF(COUNTIFS(請求記録!$B$6:$B$3005,$A42,請求記録!$X$6:$X$3005,U$5)=0,"",SUMIFS(請求記録!$AC$6:$AC$3005,請求記録!$B$6:$B$3005,$A42,請求記録!$X$6:$X$3005,U$5))))</f>
        <v/>
      </c>
      <c r="V42" s="19">
        <f>IF($A42="","",IF(COUNTIFS(請求記録!$B$6:$B$3005,$A42,請求記録!$X$6:$X$3005,V$5,請求記録!$AD$6:$AD$3005,"保留中")&gt;0,"保留",IF(COUNTIFS(請求記録!$B$6:$B$3005,$A42,請求記録!$X$6:$X$3005,V$5)=0,"",SUMIFS(請求記録!$AC$6:$AC$3005,請求記録!$B$6:$B$3005,$A42,請求記録!$X$6:$X$3005,V$5))))</f>
        <v/>
      </c>
      <c r="W42" s="19">
        <f>IF($A42="","",IF(COUNTIFS(請求記録!$B$6:$B$3005,$A42,請求記録!$X$6:$X$3005,W$5,請求記録!$AD$6:$AD$3005,"保留中")&gt;0,"保留",IF(COUNTIFS(請求記録!$B$6:$B$3005,$A42,請求記録!$X$6:$X$3005,W$5)=0,"",SUMIFS(請求記録!$AC$6:$AC$3005,請求記録!$B$6:$B$3005,$A42,請求記録!$X$6:$X$3005,W$5))))</f>
        <v/>
      </c>
      <c r="X42" s="19">
        <f>IF($A42="","",IF(COUNTIFS(請求記録!$B$6:$B$3005,$A42,請求記録!$X$6:$X$3005,X$5,請求記録!$AD$6:$AD$3005,"保留中")&gt;0,"保留",IF(COUNTIFS(請求記録!$B$6:$B$3005,$A42,請求記録!$X$6:$X$3005,X$5)=0,"",SUMIFS(請求記録!$AC$6:$AC$3005,請求記録!$B$6:$B$3005,$A42,請求記録!$X$6:$X$3005,X$5))))</f>
        <v/>
      </c>
      <c r="Y42" s="19">
        <f>IF($A42="","",IF(COUNTIFS(請求記録!$B$6:$B$3005,$A42,請求記録!$X$6:$X$3005,Y$5,請求記録!$AD$6:$AD$3005,"保留中")&gt;0,"保留",IF(COUNTIFS(請求記録!$B$6:$B$3005,$A42,請求記録!$X$6:$X$3005,Y$5)=0,"",SUMIFS(請求記録!$AC$6:$AC$3005,請求記録!$B$6:$B$3005,$A42,請求記録!$X$6:$X$3005,Y$5))))</f>
        <v/>
      </c>
      <c r="Z42" s="19">
        <f>IF($A42="","",IF(COUNTIFS(請求記録!$B$6:$B$3005,$A42,請求記録!$X$6:$X$3005,Z$5,請求記録!$AD$6:$AD$3005,"保留中")&gt;0,"保留",IF(COUNTIFS(請求記録!$B$6:$B$3005,$A42,請求記録!$X$6:$X$3005,Z$5)=0,"",SUMIFS(請求記録!$AC$6:$AC$3005,請求記録!$B$6:$B$3005,$A42,請求記録!$X$6:$X$3005,Z$5))))</f>
        <v/>
      </c>
      <c r="AA42" s="19">
        <f>IF($A42="","",IF(COUNTIFS(請求記録!$B$6:$B$3005,$A42,請求記録!$X$6:$X$3005,AA$5,請求記録!$AD$6:$AD$3005,"保留中")&gt;0,"保留",IF(COUNTIFS(請求記録!$B$6:$B$3005,$A42,請求記録!$X$6:$X$3005,AA$5)=0,"",SUMIFS(請求記録!$AC$6:$AC$3005,請求記録!$B$6:$B$3005,$A42,請求記録!$X$6:$X$3005,AA$5))))</f>
        <v/>
      </c>
      <c r="AB42">
        <f>IF(職員マスタ!P42="保留中",職員マスタ!M42,"")</f>
        <v/>
      </c>
    </row>
    <row r="43">
      <c r="A43">
        <f>IF(職員マスタ!A43="","",職員マスタ!A43)</f>
        <v/>
      </c>
      <c r="B43">
        <f>IF($A43="","",職員マスタ!B43)</f>
        <v/>
      </c>
      <c r="C43">
        <f>IF($A43="","",職員マスタ!C43)</f>
        <v/>
      </c>
      <c r="D43" s="19">
        <f>IF($A43="","",IF(COUNTIFS(請求記録!$B$6:$B$3005,$A43,請求記録!$X$6:$X$3005,D$5,請求記録!$AD$6:$AD$3005,"保留中")&gt;0,"保留",IF(COUNTIFS(請求記録!$B$6:$B$3005,$A43,請求記録!$X$6:$X$3005,D$5)=0,"",SUMIFS(請求記録!$AC$6:$AC$3005,請求記録!$B$6:$B$3005,$A43,請求記録!$X$6:$X$3005,D$5))))</f>
        <v/>
      </c>
      <c r="E43" s="19">
        <f>IF($A43="","",IF(COUNTIFS(請求記録!$B$6:$B$3005,$A43,請求記録!$X$6:$X$3005,E$5,請求記録!$AD$6:$AD$3005,"保留中")&gt;0,"保留",IF(COUNTIFS(請求記録!$B$6:$B$3005,$A43,請求記録!$X$6:$X$3005,E$5)=0,"",SUMIFS(請求記録!$AC$6:$AC$3005,請求記録!$B$6:$B$3005,$A43,請求記録!$X$6:$X$3005,E$5))))</f>
        <v/>
      </c>
      <c r="F43" s="19">
        <f>IF($A43="","",IF(COUNTIFS(請求記録!$B$6:$B$3005,$A43,請求記録!$X$6:$X$3005,F$5,請求記録!$AD$6:$AD$3005,"保留中")&gt;0,"保留",IF(COUNTIFS(請求記録!$B$6:$B$3005,$A43,請求記録!$X$6:$X$3005,F$5)=0,"",SUMIFS(請求記録!$AC$6:$AC$3005,請求記録!$B$6:$B$3005,$A43,請求記録!$X$6:$X$3005,F$5))))</f>
        <v/>
      </c>
      <c r="G43" s="19">
        <f>IF($A43="","",IF(COUNTIFS(請求記録!$B$6:$B$3005,$A43,請求記録!$X$6:$X$3005,G$5,請求記録!$AD$6:$AD$3005,"保留中")&gt;0,"保留",IF(COUNTIFS(請求記録!$B$6:$B$3005,$A43,請求記録!$X$6:$X$3005,G$5)=0,"",SUMIFS(請求記録!$AC$6:$AC$3005,請求記録!$B$6:$B$3005,$A43,請求記録!$X$6:$X$3005,G$5))))</f>
        <v/>
      </c>
      <c r="H43" s="19">
        <f>IF($A43="","",IF(COUNTIFS(請求記録!$B$6:$B$3005,$A43,請求記録!$X$6:$X$3005,H$5,請求記録!$AD$6:$AD$3005,"保留中")&gt;0,"保留",IF(COUNTIFS(請求記録!$B$6:$B$3005,$A43,請求記録!$X$6:$X$3005,H$5)=0,"",SUMIFS(請求記録!$AC$6:$AC$3005,請求記録!$B$6:$B$3005,$A43,請求記録!$X$6:$X$3005,H$5))))</f>
        <v/>
      </c>
      <c r="I43" s="19">
        <f>IF($A43="","",IF(COUNTIFS(請求記録!$B$6:$B$3005,$A43,請求記録!$X$6:$X$3005,I$5,請求記録!$AD$6:$AD$3005,"保留中")&gt;0,"保留",IF(COUNTIFS(請求記録!$B$6:$B$3005,$A43,請求記録!$X$6:$X$3005,I$5)=0,"",SUMIFS(請求記録!$AC$6:$AC$3005,請求記録!$B$6:$B$3005,$A43,請求記録!$X$6:$X$3005,I$5))))</f>
        <v/>
      </c>
      <c r="J43" s="19">
        <f>IF($A43="","",IF(COUNTIFS(請求記録!$B$6:$B$3005,$A43,請求記録!$X$6:$X$3005,J$5,請求記録!$AD$6:$AD$3005,"保留中")&gt;0,"保留",IF(COUNTIFS(請求記録!$B$6:$B$3005,$A43,請求記録!$X$6:$X$3005,J$5)=0,"",SUMIFS(請求記録!$AC$6:$AC$3005,請求記録!$B$6:$B$3005,$A43,請求記録!$X$6:$X$3005,J$5))))</f>
        <v/>
      </c>
      <c r="K43" s="19">
        <f>IF($A43="","",IF(COUNTIFS(請求記録!$B$6:$B$3005,$A43,請求記録!$X$6:$X$3005,K$5,請求記録!$AD$6:$AD$3005,"保留中")&gt;0,"保留",IF(COUNTIFS(請求記録!$B$6:$B$3005,$A43,請求記録!$X$6:$X$3005,K$5)=0,"",SUMIFS(請求記録!$AC$6:$AC$3005,請求記録!$B$6:$B$3005,$A43,請求記録!$X$6:$X$3005,K$5))))</f>
        <v/>
      </c>
      <c r="L43" s="19">
        <f>IF($A43="","",IF(COUNTIFS(請求記録!$B$6:$B$3005,$A43,請求記録!$X$6:$X$3005,L$5,請求記録!$AD$6:$AD$3005,"保留中")&gt;0,"保留",IF(COUNTIFS(請求記録!$B$6:$B$3005,$A43,請求記録!$X$6:$X$3005,L$5)=0,"",SUMIFS(請求記録!$AC$6:$AC$3005,請求記録!$B$6:$B$3005,$A43,請求記録!$X$6:$X$3005,L$5))))</f>
        <v/>
      </c>
      <c r="M43" s="19">
        <f>IF($A43="","",IF(COUNTIFS(請求記録!$B$6:$B$3005,$A43,請求記録!$X$6:$X$3005,M$5,請求記録!$AD$6:$AD$3005,"保留中")&gt;0,"保留",IF(COUNTIFS(請求記録!$B$6:$B$3005,$A43,請求記録!$X$6:$X$3005,M$5)=0,"",SUMIFS(請求記録!$AC$6:$AC$3005,請求記録!$B$6:$B$3005,$A43,請求記録!$X$6:$X$3005,M$5))))</f>
        <v/>
      </c>
      <c r="N43" s="19">
        <f>IF($A43="","",IF(COUNTIFS(請求記録!$B$6:$B$3005,$A43,請求記録!$X$6:$X$3005,N$5,請求記録!$AD$6:$AD$3005,"保留中")&gt;0,"保留",IF(COUNTIFS(請求記録!$B$6:$B$3005,$A43,請求記録!$X$6:$X$3005,N$5)=0,"",SUMIFS(請求記録!$AC$6:$AC$3005,請求記録!$B$6:$B$3005,$A43,請求記録!$X$6:$X$3005,N$5))))</f>
        <v/>
      </c>
      <c r="O43" s="19">
        <f>IF($A43="","",IF(COUNTIFS(請求記録!$B$6:$B$3005,$A43,請求記録!$X$6:$X$3005,O$5,請求記録!$AD$6:$AD$3005,"保留中")&gt;0,"保留",IF(COUNTIFS(請求記録!$B$6:$B$3005,$A43,請求記録!$X$6:$X$3005,O$5)=0,"",SUMIFS(請求記録!$AC$6:$AC$3005,請求記録!$B$6:$B$3005,$A43,請求記録!$X$6:$X$3005,O$5))))</f>
        <v/>
      </c>
      <c r="P43" s="19">
        <f>IF($A43="","",IF(COUNTIFS(請求記録!$B$6:$B$3005,$A43,請求記録!$X$6:$X$3005,P$5,請求記録!$AD$6:$AD$3005,"保留中")&gt;0,"保留",IF(COUNTIFS(請求記録!$B$6:$B$3005,$A43,請求記録!$X$6:$X$3005,P$5)=0,"",SUMIFS(請求記録!$AC$6:$AC$3005,請求記録!$B$6:$B$3005,$A43,請求記録!$X$6:$X$3005,P$5))))</f>
        <v/>
      </c>
      <c r="Q43" s="19">
        <f>IF($A43="","",IF(COUNTIFS(請求記録!$B$6:$B$3005,$A43,請求記録!$X$6:$X$3005,Q$5,請求記録!$AD$6:$AD$3005,"保留中")&gt;0,"保留",IF(COUNTIFS(請求記録!$B$6:$B$3005,$A43,請求記録!$X$6:$X$3005,Q$5)=0,"",SUMIFS(請求記録!$AC$6:$AC$3005,請求記録!$B$6:$B$3005,$A43,請求記録!$X$6:$X$3005,Q$5))))</f>
        <v/>
      </c>
      <c r="R43" s="19">
        <f>IF($A43="","",IF(COUNTIFS(請求記録!$B$6:$B$3005,$A43,請求記録!$X$6:$X$3005,R$5,請求記録!$AD$6:$AD$3005,"保留中")&gt;0,"保留",IF(COUNTIFS(請求記録!$B$6:$B$3005,$A43,請求記録!$X$6:$X$3005,R$5)=0,"",SUMIFS(請求記録!$AC$6:$AC$3005,請求記録!$B$6:$B$3005,$A43,請求記録!$X$6:$X$3005,R$5))))</f>
        <v/>
      </c>
      <c r="S43" s="19">
        <f>IF($A43="","",IF(COUNTIFS(請求記録!$B$6:$B$3005,$A43,請求記録!$X$6:$X$3005,S$5,請求記録!$AD$6:$AD$3005,"保留中")&gt;0,"保留",IF(COUNTIFS(請求記録!$B$6:$B$3005,$A43,請求記録!$X$6:$X$3005,S$5)=0,"",SUMIFS(請求記録!$AC$6:$AC$3005,請求記録!$B$6:$B$3005,$A43,請求記録!$X$6:$X$3005,S$5))))</f>
        <v/>
      </c>
      <c r="T43" s="19">
        <f>IF($A43="","",IF(COUNTIFS(請求記録!$B$6:$B$3005,$A43,請求記録!$X$6:$X$3005,T$5,請求記録!$AD$6:$AD$3005,"保留中")&gt;0,"保留",IF(COUNTIFS(請求記録!$B$6:$B$3005,$A43,請求記録!$X$6:$X$3005,T$5)=0,"",SUMIFS(請求記録!$AC$6:$AC$3005,請求記録!$B$6:$B$3005,$A43,請求記録!$X$6:$X$3005,T$5))))</f>
        <v/>
      </c>
      <c r="U43" s="19">
        <f>IF($A43="","",IF(COUNTIFS(請求記録!$B$6:$B$3005,$A43,請求記録!$X$6:$X$3005,U$5,請求記録!$AD$6:$AD$3005,"保留中")&gt;0,"保留",IF(COUNTIFS(請求記録!$B$6:$B$3005,$A43,請求記録!$X$6:$X$3005,U$5)=0,"",SUMIFS(請求記録!$AC$6:$AC$3005,請求記録!$B$6:$B$3005,$A43,請求記録!$X$6:$X$3005,U$5))))</f>
        <v/>
      </c>
      <c r="V43" s="19">
        <f>IF($A43="","",IF(COUNTIFS(請求記録!$B$6:$B$3005,$A43,請求記録!$X$6:$X$3005,V$5,請求記録!$AD$6:$AD$3005,"保留中")&gt;0,"保留",IF(COUNTIFS(請求記録!$B$6:$B$3005,$A43,請求記録!$X$6:$X$3005,V$5)=0,"",SUMIFS(請求記録!$AC$6:$AC$3005,請求記録!$B$6:$B$3005,$A43,請求記録!$X$6:$X$3005,V$5))))</f>
        <v/>
      </c>
      <c r="W43" s="19">
        <f>IF($A43="","",IF(COUNTIFS(請求記録!$B$6:$B$3005,$A43,請求記録!$X$6:$X$3005,W$5,請求記録!$AD$6:$AD$3005,"保留中")&gt;0,"保留",IF(COUNTIFS(請求記録!$B$6:$B$3005,$A43,請求記録!$X$6:$X$3005,W$5)=0,"",SUMIFS(請求記録!$AC$6:$AC$3005,請求記録!$B$6:$B$3005,$A43,請求記録!$X$6:$X$3005,W$5))))</f>
        <v/>
      </c>
      <c r="X43" s="19">
        <f>IF($A43="","",IF(COUNTIFS(請求記録!$B$6:$B$3005,$A43,請求記録!$X$6:$X$3005,X$5,請求記録!$AD$6:$AD$3005,"保留中")&gt;0,"保留",IF(COUNTIFS(請求記録!$B$6:$B$3005,$A43,請求記録!$X$6:$X$3005,X$5)=0,"",SUMIFS(請求記録!$AC$6:$AC$3005,請求記録!$B$6:$B$3005,$A43,請求記録!$X$6:$X$3005,X$5))))</f>
        <v/>
      </c>
      <c r="Y43" s="19">
        <f>IF($A43="","",IF(COUNTIFS(請求記録!$B$6:$B$3005,$A43,請求記録!$X$6:$X$3005,Y$5,請求記録!$AD$6:$AD$3005,"保留中")&gt;0,"保留",IF(COUNTIFS(請求記録!$B$6:$B$3005,$A43,請求記録!$X$6:$X$3005,Y$5)=0,"",SUMIFS(請求記録!$AC$6:$AC$3005,請求記録!$B$6:$B$3005,$A43,請求記録!$X$6:$X$3005,Y$5))))</f>
        <v/>
      </c>
      <c r="Z43" s="19">
        <f>IF($A43="","",IF(COUNTIFS(請求記録!$B$6:$B$3005,$A43,請求記録!$X$6:$X$3005,Z$5,請求記録!$AD$6:$AD$3005,"保留中")&gt;0,"保留",IF(COUNTIFS(請求記録!$B$6:$B$3005,$A43,請求記録!$X$6:$X$3005,Z$5)=0,"",SUMIFS(請求記録!$AC$6:$AC$3005,請求記録!$B$6:$B$3005,$A43,請求記録!$X$6:$X$3005,Z$5))))</f>
        <v/>
      </c>
      <c r="AA43" s="19">
        <f>IF($A43="","",IF(COUNTIFS(請求記録!$B$6:$B$3005,$A43,請求記録!$X$6:$X$3005,AA$5,請求記録!$AD$6:$AD$3005,"保留中")&gt;0,"保留",IF(COUNTIFS(請求記録!$B$6:$B$3005,$A43,請求記録!$X$6:$X$3005,AA$5)=0,"",SUMIFS(請求記録!$AC$6:$AC$3005,請求記録!$B$6:$B$3005,$A43,請求記録!$X$6:$X$3005,AA$5))))</f>
        <v/>
      </c>
      <c r="AB43">
        <f>IF(職員マスタ!P43="保留中",職員マスタ!M43,"")</f>
        <v/>
      </c>
    </row>
    <row r="44">
      <c r="A44">
        <f>IF(職員マスタ!A44="","",職員マスタ!A44)</f>
        <v/>
      </c>
      <c r="B44">
        <f>IF($A44="","",職員マスタ!B44)</f>
        <v/>
      </c>
      <c r="C44">
        <f>IF($A44="","",職員マスタ!C44)</f>
        <v/>
      </c>
      <c r="D44" s="19">
        <f>IF($A44="","",IF(COUNTIFS(請求記録!$B$6:$B$3005,$A44,請求記録!$X$6:$X$3005,D$5,請求記録!$AD$6:$AD$3005,"保留中")&gt;0,"保留",IF(COUNTIFS(請求記録!$B$6:$B$3005,$A44,請求記録!$X$6:$X$3005,D$5)=0,"",SUMIFS(請求記録!$AC$6:$AC$3005,請求記録!$B$6:$B$3005,$A44,請求記録!$X$6:$X$3005,D$5))))</f>
        <v/>
      </c>
      <c r="E44" s="19">
        <f>IF($A44="","",IF(COUNTIFS(請求記録!$B$6:$B$3005,$A44,請求記録!$X$6:$X$3005,E$5,請求記録!$AD$6:$AD$3005,"保留中")&gt;0,"保留",IF(COUNTIFS(請求記録!$B$6:$B$3005,$A44,請求記録!$X$6:$X$3005,E$5)=0,"",SUMIFS(請求記録!$AC$6:$AC$3005,請求記録!$B$6:$B$3005,$A44,請求記録!$X$6:$X$3005,E$5))))</f>
        <v/>
      </c>
      <c r="F44" s="19">
        <f>IF($A44="","",IF(COUNTIFS(請求記録!$B$6:$B$3005,$A44,請求記録!$X$6:$X$3005,F$5,請求記録!$AD$6:$AD$3005,"保留中")&gt;0,"保留",IF(COUNTIFS(請求記録!$B$6:$B$3005,$A44,請求記録!$X$6:$X$3005,F$5)=0,"",SUMIFS(請求記録!$AC$6:$AC$3005,請求記録!$B$6:$B$3005,$A44,請求記録!$X$6:$X$3005,F$5))))</f>
        <v/>
      </c>
      <c r="G44" s="19">
        <f>IF($A44="","",IF(COUNTIFS(請求記録!$B$6:$B$3005,$A44,請求記録!$X$6:$X$3005,G$5,請求記録!$AD$6:$AD$3005,"保留中")&gt;0,"保留",IF(COUNTIFS(請求記録!$B$6:$B$3005,$A44,請求記録!$X$6:$X$3005,G$5)=0,"",SUMIFS(請求記録!$AC$6:$AC$3005,請求記録!$B$6:$B$3005,$A44,請求記録!$X$6:$X$3005,G$5))))</f>
        <v/>
      </c>
      <c r="H44" s="19">
        <f>IF($A44="","",IF(COUNTIFS(請求記録!$B$6:$B$3005,$A44,請求記録!$X$6:$X$3005,H$5,請求記録!$AD$6:$AD$3005,"保留中")&gt;0,"保留",IF(COUNTIFS(請求記録!$B$6:$B$3005,$A44,請求記録!$X$6:$X$3005,H$5)=0,"",SUMIFS(請求記録!$AC$6:$AC$3005,請求記録!$B$6:$B$3005,$A44,請求記録!$X$6:$X$3005,H$5))))</f>
        <v/>
      </c>
      <c r="I44" s="19">
        <f>IF($A44="","",IF(COUNTIFS(請求記録!$B$6:$B$3005,$A44,請求記録!$X$6:$X$3005,I$5,請求記録!$AD$6:$AD$3005,"保留中")&gt;0,"保留",IF(COUNTIFS(請求記録!$B$6:$B$3005,$A44,請求記録!$X$6:$X$3005,I$5)=0,"",SUMIFS(請求記録!$AC$6:$AC$3005,請求記録!$B$6:$B$3005,$A44,請求記録!$X$6:$X$3005,I$5))))</f>
        <v/>
      </c>
      <c r="J44" s="19">
        <f>IF($A44="","",IF(COUNTIFS(請求記録!$B$6:$B$3005,$A44,請求記録!$X$6:$X$3005,J$5,請求記録!$AD$6:$AD$3005,"保留中")&gt;0,"保留",IF(COUNTIFS(請求記録!$B$6:$B$3005,$A44,請求記録!$X$6:$X$3005,J$5)=0,"",SUMIFS(請求記録!$AC$6:$AC$3005,請求記録!$B$6:$B$3005,$A44,請求記録!$X$6:$X$3005,J$5))))</f>
        <v/>
      </c>
      <c r="K44" s="19">
        <f>IF($A44="","",IF(COUNTIFS(請求記録!$B$6:$B$3005,$A44,請求記録!$X$6:$X$3005,K$5,請求記録!$AD$6:$AD$3005,"保留中")&gt;0,"保留",IF(COUNTIFS(請求記録!$B$6:$B$3005,$A44,請求記録!$X$6:$X$3005,K$5)=0,"",SUMIFS(請求記録!$AC$6:$AC$3005,請求記録!$B$6:$B$3005,$A44,請求記録!$X$6:$X$3005,K$5))))</f>
        <v/>
      </c>
      <c r="L44" s="19">
        <f>IF($A44="","",IF(COUNTIFS(請求記録!$B$6:$B$3005,$A44,請求記録!$X$6:$X$3005,L$5,請求記録!$AD$6:$AD$3005,"保留中")&gt;0,"保留",IF(COUNTIFS(請求記録!$B$6:$B$3005,$A44,請求記録!$X$6:$X$3005,L$5)=0,"",SUMIFS(請求記録!$AC$6:$AC$3005,請求記録!$B$6:$B$3005,$A44,請求記録!$X$6:$X$3005,L$5))))</f>
        <v/>
      </c>
      <c r="M44" s="19">
        <f>IF($A44="","",IF(COUNTIFS(請求記録!$B$6:$B$3005,$A44,請求記録!$X$6:$X$3005,M$5,請求記録!$AD$6:$AD$3005,"保留中")&gt;0,"保留",IF(COUNTIFS(請求記録!$B$6:$B$3005,$A44,請求記録!$X$6:$X$3005,M$5)=0,"",SUMIFS(請求記録!$AC$6:$AC$3005,請求記録!$B$6:$B$3005,$A44,請求記録!$X$6:$X$3005,M$5))))</f>
        <v/>
      </c>
      <c r="N44" s="19">
        <f>IF($A44="","",IF(COUNTIFS(請求記録!$B$6:$B$3005,$A44,請求記録!$X$6:$X$3005,N$5,請求記録!$AD$6:$AD$3005,"保留中")&gt;0,"保留",IF(COUNTIFS(請求記録!$B$6:$B$3005,$A44,請求記録!$X$6:$X$3005,N$5)=0,"",SUMIFS(請求記録!$AC$6:$AC$3005,請求記録!$B$6:$B$3005,$A44,請求記録!$X$6:$X$3005,N$5))))</f>
        <v/>
      </c>
      <c r="O44" s="19">
        <f>IF($A44="","",IF(COUNTIFS(請求記録!$B$6:$B$3005,$A44,請求記録!$X$6:$X$3005,O$5,請求記録!$AD$6:$AD$3005,"保留中")&gt;0,"保留",IF(COUNTIFS(請求記録!$B$6:$B$3005,$A44,請求記録!$X$6:$X$3005,O$5)=0,"",SUMIFS(請求記録!$AC$6:$AC$3005,請求記録!$B$6:$B$3005,$A44,請求記録!$X$6:$X$3005,O$5))))</f>
        <v/>
      </c>
      <c r="P44" s="19">
        <f>IF($A44="","",IF(COUNTIFS(請求記録!$B$6:$B$3005,$A44,請求記録!$X$6:$X$3005,P$5,請求記録!$AD$6:$AD$3005,"保留中")&gt;0,"保留",IF(COUNTIFS(請求記録!$B$6:$B$3005,$A44,請求記録!$X$6:$X$3005,P$5)=0,"",SUMIFS(請求記録!$AC$6:$AC$3005,請求記録!$B$6:$B$3005,$A44,請求記録!$X$6:$X$3005,P$5))))</f>
        <v/>
      </c>
      <c r="Q44" s="19">
        <f>IF($A44="","",IF(COUNTIFS(請求記録!$B$6:$B$3005,$A44,請求記録!$X$6:$X$3005,Q$5,請求記録!$AD$6:$AD$3005,"保留中")&gt;0,"保留",IF(COUNTIFS(請求記録!$B$6:$B$3005,$A44,請求記録!$X$6:$X$3005,Q$5)=0,"",SUMIFS(請求記録!$AC$6:$AC$3005,請求記録!$B$6:$B$3005,$A44,請求記録!$X$6:$X$3005,Q$5))))</f>
        <v/>
      </c>
      <c r="R44" s="19">
        <f>IF($A44="","",IF(COUNTIFS(請求記録!$B$6:$B$3005,$A44,請求記録!$X$6:$X$3005,R$5,請求記録!$AD$6:$AD$3005,"保留中")&gt;0,"保留",IF(COUNTIFS(請求記録!$B$6:$B$3005,$A44,請求記録!$X$6:$X$3005,R$5)=0,"",SUMIFS(請求記録!$AC$6:$AC$3005,請求記録!$B$6:$B$3005,$A44,請求記録!$X$6:$X$3005,R$5))))</f>
        <v/>
      </c>
      <c r="S44" s="19">
        <f>IF($A44="","",IF(COUNTIFS(請求記録!$B$6:$B$3005,$A44,請求記録!$X$6:$X$3005,S$5,請求記録!$AD$6:$AD$3005,"保留中")&gt;0,"保留",IF(COUNTIFS(請求記録!$B$6:$B$3005,$A44,請求記録!$X$6:$X$3005,S$5)=0,"",SUMIFS(請求記録!$AC$6:$AC$3005,請求記録!$B$6:$B$3005,$A44,請求記録!$X$6:$X$3005,S$5))))</f>
        <v/>
      </c>
      <c r="T44" s="19">
        <f>IF($A44="","",IF(COUNTIFS(請求記録!$B$6:$B$3005,$A44,請求記録!$X$6:$X$3005,T$5,請求記録!$AD$6:$AD$3005,"保留中")&gt;0,"保留",IF(COUNTIFS(請求記録!$B$6:$B$3005,$A44,請求記録!$X$6:$X$3005,T$5)=0,"",SUMIFS(請求記録!$AC$6:$AC$3005,請求記録!$B$6:$B$3005,$A44,請求記録!$X$6:$X$3005,T$5))))</f>
        <v/>
      </c>
      <c r="U44" s="19">
        <f>IF($A44="","",IF(COUNTIFS(請求記録!$B$6:$B$3005,$A44,請求記録!$X$6:$X$3005,U$5,請求記録!$AD$6:$AD$3005,"保留中")&gt;0,"保留",IF(COUNTIFS(請求記録!$B$6:$B$3005,$A44,請求記録!$X$6:$X$3005,U$5)=0,"",SUMIFS(請求記録!$AC$6:$AC$3005,請求記録!$B$6:$B$3005,$A44,請求記録!$X$6:$X$3005,U$5))))</f>
        <v/>
      </c>
      <c r="V44" s="19">
        <f>IF($A44="","",IF(COUNTIFS(請求記録!$B$6:$B$3005,$A44,請求記録!$X$6:$X$3005,V$5,請求記録!$AD$6:$AD$3005,"保留中")&gt;0,"保留",IF(COUNTIFS(請求記録!$B$6:$B$3005,$A44,請求記録!$X$6:$X$3005,V$5)=0,"",SUMIFS(請求記録!$AC$6:$AC$3005,請求記録!$B$6:$B$3005,$A44,請求記録!$X$6:$X$3005,V$5))))</f>
        <v/>
      </c>
      <c r="W44" s="19">
        <f>IF($A44="","",IF(COUNTIFS(請求記録!$B$6:$B$3005,$A44,請求記録!$X$6:$X$3005,W$5,請求記録!$AD$6:$AD$3005,"保留中")&gt;0,"保留",IF(COUNTIFS(請求記録!$B$6:$B$3005,$A44,請求記録!$X$6:$X$3005,W$5)=0,"",SUMIFS(請求記録!$AC$6:$AC$3005,請求記録!$B$6:$B$3005,$A44,請求記録!$X$6:$X$3005,W$5))))</f>
        <v/>
      </c>
      <c r="X44" s="19">
        <f>IF($A44="","",IF(COUNTIFS(請求記録!$B$6:$B$3005,$A44,請求記録!$X$6:$X$3005,X$5,請求記録!$AD$6:$AD$3005,"保留中")&gt;0,"保留",IF(COUNTIFS(請求記録!$B$6:$B$3005,$A44,請求記録!$X$6:$X$3005,X$5)=0,"",SUMIFS(請求記録!$AC$6:$AC$3005,請求記録!$B$6:$B$3005,$A44,請求記録!$X$6:$X$3005,X$5))))</f>
        <v/>
      </c>
      <c r="Y44" s="19">
        <f>IF($A44="","",IF(COUNTIFS(請求記録!$B$6:$B$3005,$A44,請求記録!$X$6:$X$3005,Y$5,請求記録!$AD$6:$AD$3005,"保留中")&gt;0,"保留",IF(COUNTIFS(請求記録!$B$6:$B$3005,$A44,請求記録!$X$6:$X$3005,Y$5)=0,"",SUMIFS(請求記録!$AC$6:$AC$3005,請求記録!$B$6:$B$3005,$A44,請求記録!$X$6:$X$3005,Y$5))))</f>
        <v/>
      </c>
      <c r="Z44" s="19">
        <f>IF($A44="","",IF(COUNTIFS(請求記録!$B$6:$B$3005,$A44,請求記録!$X$6:$X$3005,Z$5,請求記録!$AD$6:$AD$3005,"保留中")&gt;0,"保留",IF(COUNTIFS(請求記録!$B$6:$B$3005,$A44,請求記録!$X$6:$X$3005,Z$5)=0,"",SUMIFS(請求記録!$AC$6:$AC$3005,請求記録!$B$6:$B$3005,$A44,請求記録!$X$6:$X$3005,Z$5))))</f>
        <v/>
      </c>
      <c r="AA44" s="19">
        <f>IF($A44="","",IF(COUNTIFS(請求記録!$B$6:$B$3005,$A44,請求記録!$X$6:$X$3005,AA$5,請求記録!$AD$6:$AD$3005,"保留中")&gt;0,"保留",IF(COUNTIFS(請求記録!$B$6:$B$3005,$A44,請求記録!$X$6:$X$3005,AA$5)=0,"",SUMIFS(請求記録!$AC$6:$AC$3005,請求記録!$B$6:$B$3005,$A44,請求記録!$X$6:$X$3005,AA$5))))</f>
        <v/>
      </c>
      <c r="AB44">
        <f>IF(職員マスタ!P44="保留中",職員マスタ!M44,"")</f>
        <v/>
      </c>
    </row>
    <row r="45">
      <c r="A45">
        <f>IF(職員マスタ!A45="","",職員マスタ!A45)</f>
        <v/>
      </c>
      <c r="B45">
        <f>IF($A45="","",職員マスタ!B45)</f>
        <v/>
      </c>
      <c r="C45">
        <f>IF($A45="","",職員マスタ!C45)</f>
        <v/>
      </c>
      <c r="D45" s="19">
        <f>IF($A45="","",IF(COUNTIFS(請求記録!$B$6:$B$3005,$A45,請求記録!$X$6:$X$3005,D$5,請求記録!$AD$6:$AD$3005,"保留中")&gt;0,"保留",IF(COUNTIFS(請求記録!$B$6:$B$3005,$A45,請求記録!$X$6:$X$3005,D$5)=0,"",SUMIFS(請求記録!$AC$6:$AC$3005,請求記録!$B$6:$B$3005,$A45,請求記録!$X$6:$X$3005,D$5))))</f>
        <v/>
      </c>
      <c r="E45" s="19">
        <f>IF($A45="","",IF(COUNTIFS(請求記録!$B$6:$B$3005,$A45,請求記録!$X$6:$X$3005,E$5,請求記録!$AD$6:$AD$3005,"保留中")&gt;0,"保留",IF(COUNTIFS(請求記録!$B$6:$B$3005,$A45,請求記録!$X$6:$X$3005,E$5)=0,"",SUMIFS(請求記録!$AC$6:$AC$3005,請求記録!$B$6:$B$3005,$A45,請求記録!$X$6:$X$3005,E$5))))</f>
        <v/>
      </c>
      <c r="F45" s="19">
        <f>IF($A45="","",IF(COUNTIFS(請求記録!$B$6:$B$3005,$A45,請求記録!$X$6:$X$3005,F$5,請求記録!$AD$6:$AD$3005,"保留中")&gt;0,"保留",IF(COUNTIFS(請求記録!$B$6:$B$3005,$A45,請求記録!$X$6:$X$3005,F$5)=0,"",SUMIFS(請求記録!$AC$6:$AC$3005,請求記録!$B$6:$B$3005,$A45,請求記録!$X$6:$X$3005,F$5))))</f>
        <v/>
      </c>
      <c r="G45" s="19">
        <f>IF($A45="","",IF(COUNTIFS(請求記録!$B$6:$B$3005,$A45,請求記録!$X$6:$X$3005,G$5,請求記録!$AD$6:$AD$3005,"保留中")&gt;0,"保留",IF(COUNTIFS(請求記録!$B$6:$B$3005,$A45,請求記録!$X$6:$X$3005,G$5)=0,"",SUMIFS(請求記録!$AC$6:$AC$3005,請求記録!$B$6:$B$3005,$A45,請求記録!$X$6:$X$3005,G$5))))</f>
        <v/>
      </c>
      <c r="H45" s="19">
        <f>IF($A45="","",IF(COUNTIFS(請求記録!$B$6:$B$3005,$A45,請求記録!$X$6:$X$3005,H$5,請求記録!$AD$6:$AD$3005,"保留中")&gt;0,"保留",IF(COUNTIFS(請求記録!$B$6:$B$3005,$A45,請求記録!$X$6:$X$3005,H$5)=0,"",SUMIFS(請求記録!$AC$6:$AC$3005,請求記録!$B$6:$B$3005,$A45,請求記録!$X$6:$X$3005,H$5))))</f>
        <v/>
      </c>
      <c r="I45" s="19">
        <f>IF($A45="","",IF(COUNTIFS(請求記録!$B$6:$B$3005,$A45,請求記録!$X$6:$X$3005,I$5,請求記録!$AD$6:$AD$3005,"保留中")&gt;0,"保留",IF(COUNTIFS(請求記録!$B$6:$B$3005,$A45,請求記録!$X$6:$X$3005,I$5)=0,"",SUMIFS(請求記録!$AC$6:$AC$3005,請求記録!$B$6:$B$3005,$A45,請求記録!$X$6:$X$3005,I$5))))</f>
        <v/>
      </c>
      <c r="J45" s="19">
        <f>IF($A45="","",IF(COUNTIFS(請求記録!$B$6:$B$3005,$A45,請求記録!$X$6:$X$3005,J$5,請求記録!$AD$6:$AD$3005,"保留中")&gt;0,"保留",IF(COUNTIFS(請求記録!$B$6:$B$3005,$A45,請求記録!$X$6:$X$3005,J$5)=0,"",SUMIFS(請求記録!$AC$6:$AC$3005,請求記録!$B$6:$B$3005,$A45,請求記録!$X$6:$X$3005,J$5))))</f>
        <v/>
      </c>
      <c r="K45" s="19">
        <f>IF($A45="","",IF(COUNTIFS(請求記録!$B$6:$B$3005,$A45,請求記録!$X$6:$X$3005,K$5,請求記録!$AD$6:$AD$3005,"保留中")&gt;0,"保留",IF(COUNTIFS(請求記録!$B$6:$B$3005,$A45,請求記録!$X$6:$X$3005,K$5)=0,"",SUMIFS(請求記録!$AC$6:$AC$3005,請求記録!$B$6:$B$3005,$A45,請求記録!$X$6:$X$3005,K$5))))</f>
        <v/>
      </c>
      <c r="L45" s="19">
        <f>IF($A45="","",IF(COUNTIFS(請求記録!$B$6:$B$3005,$A45,請求記録!$X$6:$X$3005,L$5,請求記録!$AD$6:$AD$3005,"保留中")&gt;0,"保留",IF(COUNTIFS(請求記録!$B$6:$B$3005,$A45,請求記録!$X$6:$X$3005,L$5)=0,"",SUMIFS(請求記録!$AC$6:$AC$3005,請求記録!$B$6:$B$3005,$A45,請求記録!$X$6:$X$3005,L$5))))</f>
        <v/>
      </c>
      <c r="M45" s="19">
        <f>IF($A45="","",IF(COUNTIFS(請求記録!$B$6:$B$3005,$A45,請求記録!$X$6:$X$3005,M$5,請求記録!$AD$6:$AD$3005,"保留中")&gt;0,"保留",IF(COUNTIFS(請求記録!$B$6:$B$3005,$A45,請求記録!$X$6:$X$3005,M$5)=0,"",SUMIFS(請求記録!$AC$6:$AC$3005,請求記録!$B$6:$B$3005,$A45,請求記録!$X$6:$X$3005,M$5))))</f>
        <v/>
      </c>
      <c r="N45" s="19">
        <f>IF($A45="","",IF(COUNTIFS(請求記録!$B$6:$B$3005,$A45,請求記録!$X$6:$X$3005,N$5,請求記録!$AD$6:$AD$3005,"保留中")&gt;0,"保留",IF(COUNTIFS(請求記録!$B$6:$B$3005,$A45,請求記録!$X$6:$X$3005,N$5)=0,"",SUMIFS(請求記録!$AC$6:$AC$3005,請求記録!$B$6:$B$3005,$A45,請求記録!$X$6:$X$3005,N$5))))</f>
        <v/>
      </c>
      <c r="O45" s="19">
        <f>IF($A45="","",IF(COUNTIFS(請求記録!$B$6:$B$3005,$A45,請求記録!$X$6:$X$3005,O$5,請求記録!$AD$6:$AD$3005,"保留中")&gt;0,"保留",IF(COUNTIFS(請求記録!$B$6:$B$3005,$A45,請求記録!$X$6:$X$3005,O$5)=0,"",SUMIFS(請求記録!$AC$6:$AC$3005,請求記録!$B$6:$B$3005,$A45,請求記録!$X$6:$X$3005,O$5))))</f>
        <v/>
      </c>
      <c r="P45" s="19">
        <f>IF($A45="","",IF(COUNTIFS(請求記録!$B$6:$B$3005,$A45,請求記録!$X$6:$X$3005,P$5,請求記録!$AD$6:$AD$3005,"保留中")&gt;0,"保留",IF(COUNTIFS(請求記録!$B$6:$B$3005,$A45,請求記録!$X$6:$X$3005,P$5)=0,"",SUMIFS(請求記録!$AC$6:$AC$3005,請求記録!$B$6:$B$3005,$A45,請求記録!$X$6:$X$3005,P$5))))</f>
        <v/>
      </c>
      <c r="Q45" s="19">
        <f>IF($A45="","",IF(COUNTIFS(請求記録!$B$6:$B$3005,$A45,請求記録!$X$6:$X$3005,Q$5,請求記録!$AD$6:$AD$3005,"保留中")&gt;0,"保留",IF(COUNTIFS(請求記録!$B$6:$B$3005,$A45,請求記録!$X$6:$X$3005,Q$5)=0,"",SUMIFS(請求記録!$AC$6:$AC$3005,請求記録!$B$6:$B$3005,$A45,請求記録!$X$6:$X$3005,Q$5))))</f>
        <v/>
      </c>
      <c r="R45" s="19">
        <f>IF($A45="","",IF(COUNTIFS(請求記録!$B$6:$B$3005,$A45,請求記録!$X$6:$X$3005,R$5,請求記録!$AD$6:$AD$3005,"保留中")&gt;0,"保留",IF(COUNTIFS(請求記録!$B$6:$B$3005,$A45,請求記録!$X$6:$X$3005,R$5)=0,"",SUMIFS(請求記録!$AC$6:$AC$3005,請求記録!$B$6:$B$3005,$A45,請求記録!$X$6:$X$3005,R$5))))</f>
        <v/>
      </c>
      <c r="S45" s="19">
        <f>IF($A45="","",IF(COUNTIFS(請求記録!$B$6:$B$3005,$A45,請求記録!$X$6:$X$3005,S$5,請求記録!$AD$6:$AD$3005,"保留中")&gt;0,"保留",IF(COUNTIFS(請求記録!$B$6:$B$3005,$A45,請求記録!$X$6:$X$3005,S$5)=0,"",SUMIFS(請求記録!$AC$6:$AC$3005,請求記録!$B$6:$B$3005,$A45,請求記録!$X$6:$X$3005,S$5))))</f>
        <v/>
      </c>
      <c r="T45" s="19">
        <f>IF($A45="","",IF(COUNTIFS(請求記録!$B$6:$B$3005,$A45,請求記録!$X$6:$X$3005,T$5,請求記録!$AD$6:$AD$3005,"保留中")&gt;0,"保留",IF(COUNTIFS(請求記録!$B$6:$B$3005,$A45,請求記録!$X$6:$X$3005,T$5)=0,"",SUMIFS(請求記録!$AC$6:$AC$3005,請求記録!$B$6:$B$3005,$A45,請求記録!$X$6:$X$3005,T$5))))</f>
        <v/>
      </c>
      <c r="U45" s="19">
        <f>IF($A45="","",IF(COUNTIFS(請求記録!$B$6:$B$3005,$A45,請求記録!$X$6:$X$3005,U$5,請求記録!$AD$6:$AD$3005,"保留中")&gt;0,"保留",IF(COUNTIFS(請求記録!$B$6:$B$3005,$A45,請求記録!$X$6:$X$3005,U$5)=0,"",SUMIFS(請求記録!$AC$6:$AC$3005,請求記録!$B$6:$B$3005,$A45,請求記録!$X$6:$X$3005,U$5))))</f>
        <v/>
      </c>
      <c r="V45" s="19">
        <f>IF($A45="","",IF(COUNTIFS(請求記録!$B$6:$B$3005,$A45,請求記録!$X$6:$X$3005,V$5,請求記録!$AD$6:$AD$3005,"保留中")&gt;0,"保留",IF(COUNTIFS(請求記録!$B$6:$B$3005,$A45,請求記録!$X$6:$X$3005,V$5)=0,"",SUMIFS(請求記録!$AC$6:$AC$3005,請求記録!$B$6:$B$3005,$A45,請求記録!$X$6:$X$3005,V$5))))</f>
        <v/>
      </c>
      <c r="W45" s="19">
        <f>IF($A45="","",IF(COUNTIFS(請求記録!$B$6:$B$3005,$A45,請求記録!$X$6:$X$3005,W$5,請求記録!$AD$6:$AD$3005,"保留中")&gt;0,"保留",IF(COUNTIFS(請求記録!$B$6:$B$3005,$A45,請求記録!$X$6:$X$3005,W$5)=0,"",SUMIFS(請求記録!$AC$6:$AC$3005,請求記録!$B$6:$B$3005,$A45,請求記録!$X$6:$X$3005,W$5))))</f>
        <v/>
      </c>
      <c r="X45" s="19">
        <f>IF($A45="","",IF(COUNTIFS(請求記録!$B$6:$B$3005,$A45,請求記録!$X$6:$X$3005,X$5,請求記録!$AD$6:$AD$3005,"保留中")&gt;0,"保留",IF(COUNTIFS(請求記録!$B$6:$B$3005,$A45,請求記録!$X$6:$X$3005,X$5)=0,"",SUMIFS(請求記録!$AC$6:$AC$3005,請求記録!$B$6:$B$3005,$A45,請求記録!$X$6:$X$3005,X$5))))</f>
        <v/>
      </c>
      <c r="Y45" s="19">
        <f>IF($A45="","",IF(COUNTIFS(請求記録!$B$6:$B$3005,$A45,請求記録!$X$6:$X$3005,Y$5,請求記録!$AD$6:$AD$3005,"保留中")&gt;0,"保留",IF(COUNTIFS(請求記録!$B$6:$B$3005,$A45,請求記録!$X$6:$X$3005,Y$5)=0,"",SUMIFS(請求記録!$AC$6:$AC$3005,請求記録!$B$6:$B$3005,$A45,請求記録!$X$6:$X$3005,Y$5))))</f>
        <v/>
      </c>
      <c r="Z45" s="19">
        <f>IF($A45="","",IF(COUNTIFS(請求記録!$B$6:$B$3005,$A45,請求記録!$X$6:$X$3005,Z$5,請求記録!$AD$6:$AD$3005,"保留中")&gt;0,"保留",IF(COUNTIFS(請求記録!$B$6:$B$3005,$A45,請求記録!$X$6:$X$3005,Z$5)=0,"",SUMIFS(請求記録!$AC$6:$AC$3005,請求記録!$B$6:$B$3005,$A45,請求記録!$X$6:$X$3005,Z$5))))</f>
        <v/>
      </c>
      <c r="AA45" s="19">
        <f>IF($A45="","",IF(COUNTIFS(請求記録!$B$6:$B$3005,$A45,請求記録!$X$6:$X$3005,AA$5,請求記録!$AD$6:$AD$3005,"保留中")&gt;0,"保留",IF(COUNTIFS(請求記録!$B$6:$B$3005,$A45,請求記録!$X$6:$X$3005,AA$5)=0,"",SUMIFS(請求記録!$AC$6:$AC$3005,請求記録!$B$6:$B$3005,$A45,請求記録!$X$6:$X$3005,AA$5))))</f>
        <v/>
      </c>
      <c r="AB45">
        <f>IF(職員マスタ!P45="保留中",職員マスタ!M45,"")</f>
        <v/>
      </c>
    </row>
    <row r="46">
      <c r="A46">
        <f>IF(職員マスタ!A46="","",職員マスタ!A46)</f>
        <v/>
      </c>
      <c r="B46">
        <f>IF($A46="","",職員マスタ!B46)</f>
        <v/>
      </c>
      <c r="C46">
        <f>IF($A46="","",職員マスタ!C46)</f>
        <v/>
      </c>
      <c r="D46" s="19">
        <f>IF($A46="","",IF(COUNTIFS(請求記録!$B$6:$B$3005,$A46,請求記録!$X$6:$X$3005,D$5,請求記録!$AD$6:$AD$3005,"保留中")&gt;0,"保留",IF(COUNTIFS(請求記録!$B$6:$B$3005,$A46,請求記録!$X$6:$X$3005,D$5)=0,"",SUMIFS(請求記録!$AC$6:$AC$3005,請求記録!$B$6:$B$3005,$A46,請求記録!$X$6:$X$3005,D$5))))</f>
        <v/>
      </c>
      <c r="E46" s="19">
        <f>IF($A46="","",IF(COUNTIFS(請求記録!$B$6:$B$3005,$A46,請求記録!$X$6:$X$3005,E$5,請求記録!$AD$6:$AD$3005,"保留中")&gt;0,"保留",IF(COUNTIFS(請求記録!$B$6:$B$3005,$A46,請求記録!$X$6:$X$3005,E$5)=0,"",SUMIFS(請求記録!$AC$6:$AC$3005,請求記録!$B$6:$B$3005,$A46,請求記録!$X$6:$X$3005,E$5))))</f>
        <v/>
      </c>
      <c r="F46" s="19">
        <f>IF($A46="","",IF(COUNTIFS(請求記録!$B$6:$B$3005,$A46,請求記録!$X$6:$X$3005,F$5,請求記録!$AD$6:$AD$3005,"保留中")&gt;0,"保留",IF(COUNTIFS(請求記録!$B$6:$B$3005,$A46,請求記録!$X$6:$X$3005,F$5)=0,"",SUMIFS(請求記録!$AC$6:$AC$3005,請求記録!$B$6:$B$3005,$A46,請求記録!$X$6:$X$3005,F$5))))</f>
        <v/>
      </c>
      <c r="G46" s="19">
        <f>IF($A46="","",IF(COUNTIFS(請求記録!$B$6:$B$3005,$A46,請求記録!$X$6:$X$3005,G$5,請求記録!$AD$6:$AD$3005,"保留中")&gt;0,"保留",IF(COUNTIFS(請求記録!$B$6:$B$3005,$A46,請求記録!$X$6:$X$3005,G$5)=0,"",SUMIFS(請求記録!$AC$6:$AC$3005,請求記録!$B$6:$B$3005,$A46,請求記録!$X$6:$X$3005,G$5))))</f>
        <v/>
      </c>
      <c r="H46" s="19">
        <f>IF($A46="","",IF(COUNTIFS(請求記録!$B$6:$B$3005,$A46,請求記録!$X$6:$X$3005,H$5,請求記録!$AD$6:$AD$3005,"保留中")&gt;0,"保留",IF(COUNTIFS(請求記録!$B$6:$B$3005,$A46,請求記録!$X$6:$X$3005,H$5)=0,"",SUMIFS(請求記録!$AC$6:$AC$3005,請求記録!$B$6:$B$3005,$A46,請求記録!$X$6:$X$3005,H$5))))</f>
        <v/>
      </c>
      <c r="I46" s="19">
        <f>IF($A46="","",IF(COUNTIFS(請求記録!$B$6:$B$3005,$A46,請求記録!$X$6:$X$3005,I$5,請求記録!$AD$6:$AD$3005,"保留中")&gt;0,"保留",IF(COUNTIFS(請求記録!$B$6:$B$3005,$A46,請求記録!$X$6:$X$3005,I$5)=0,"",SUMIFS(請求記録!$AC$6:$AC$3005,請求記録!$B$6:$B$3005,$A46,請求記録!$X$6:$X$3005,I$5))))</f>
        <v/>
      </c>
      <c r="J46" s="19">
        <f>IF($A46="","",IF(COUNTIFS(請求記録!$B$6:$B$3005,$A46,請求記録!$X$6:$X$3005,J$5,請求記録!$AD$6:$AD$3005,"保留中")&gt;0,"保留",IF(COUNTIFS(請求記録!$B$6:$B$3005,$A46,請求記録!$X$6:$X$3005,J$5)=0,"",SUMIFS(請求記録!$AC$6:$AC$3005,請求記録!$B$6:$B$3005,$A46,請求記録!$X$6:$X$3005,J$5))))</f>
        <v/>
      </c>
      <c r="K46" s="19">
        <f>IF($A46="","",IF(COUNTIFS(請求記録!$B$6:$B$3005,$A46,請求記録!$X$6:$X$3005,K$5,請求記録!$AD$6:$AD$3005,"保留中")&gt;0,"保留",IF(COUNTIFS(請求記録!$B$6:$B$3005,$A46,請求記録!$X$6:$X$3005,K$5)=0,"",SUMIFS(請求記録!$AC$6:$AC$3005,請求記録!$B$6:$B$3005,$A46,請求記録!$X$6:$X$3005,K$5))))</f>
        <v/>
      </c>
      <c r="L46" s="19">
        <f>IF($A46="","",IF(COUNTIFS(請求記録!$B$6:$B$3005,$A46,請求記録!$X$6:$X$3005,L$5,請求記録!$AD$6:$AD$3005,"保留中")&gt;0,"保留",IF(COUNTIFS(請求記録!$B$6:$B$3005,$A46,請求記録!$X$6:$X$3005,L$5)=0,"",SUMIFS(請求記録!$AC$6:$AC$3005,請求記録!$B$6:$B$3005,$A46,請求記録!$X$6:$X$3005,L$5))))</f>
        <v/>
      </c>
      <c r="M46" s="19">
        <f>IF($A46="","",IF(COUNTIFS(請求記録!$B$6:$B$3005,$A46,請求記録!$X$6:$X$3005,M$5,請求記録!$AD$6:$AD$3005,"保留中")&gt;0,"保留",IF(COUNTIFS(請求記録!$B$6:$B$3005,$A46,請求記録!$X$6:$X$3005,M$5)=0,"",SUMIFS(請求記録!$AC$6:$AC$3005,請求記録!$B$6:$B$3005,$A46,請求記録!$X$6:$X$3005,M$5))))</f>
        <v/>
      </c>
      <c r="N46" s="19">
        <f>IF($A46="","",IF(COUNTIFS(請求記録!$B$6:$B$3005,$A46,請求記録!$X$6:$X$3005,N$5,請求記録!$AD$6:$AD$3005,"保留中")&gt;0,"保留",IF(COUNTIFS(請求記録!$B$6:$B$3005,$A46,請求記録!$X$6:$X$3005,N$5)=0,"",SUMIFS(請求記録!$AC$6:$AC$3005,請求記録!$B$6:$B$3005,$A46,請求記録!$X$6:$X$3005,N$5))))</f>
        <v/>
      </c>
      <c r="O46" s="19">
        <f>IF($A46="","",IF(COUNTIFS(請求記録!$B$6:$B$3005,$A46,請求記録!$X$6:$X$3005,O$5,請求記録!$AD$6:$AD$3005,"保留中")&gt;0,"保留",IF(COUNTIFS(請求記録!$B$6:$B$3005,$A46,請求記録!$X$6:$X$3005,O$5)=0,"",SUMIFS(請求記録!$AC$6:$AC$3005,請求記録!$B$6:$B$3005,$A46,請求記録!$X$6:$X$3005,O$5))))</f>
        <v/>
      </c>
      <c r="P46" s="19">
        <f>IF($A46="","",IF(COUNTIFS(請求記録!$B$6:$B$3005,$A46,請求記録!$X$6:$X$3005,P$5,請求記録!$AD$6:$AD$3005,"保留中")&gt;0,"保留",IF(COUNTIFS(請求記録!$B$6:$B$3005,$A46,請求記録!$X$6:$X$3005,P$5)=0,"",SUMIFS(請求記録!$AC$6:$AC$3005,請求記録!$B$6:$B$3005,$A46,請求記録!$X$6:$X$3005,P$5))))</f>
        <v/>
      </c>
      <c r="Q46" s="19">
        <f>IF($A46="","",IF(COUNTIFS(請求記録!$B$6:$B$3005,$A46,請求記録!$X$6:$X$3005,Q$5,請求記録!$AD$6:$AD$3005,"保留中")&gt;0,"保留",IF(COUNTIFS(請求記録!$B$6:$B$3005,$A46,請求記録!$X$6:$X$3005,Q$5)=0,"",SUMIFS(請求記録!$AC$6:$AC$3005,請求記録!$B$6:$B$3005,$A46,請求記録!$X$6:$X$3005,Q$5))))</f>
        <v/>
      </c>
      <c r="R46" s="19">
        <f>IF($A46="","",IF(COUNTIFS(請求記録!$B$6:$B$3005,$A46,請求記録!$X$6:$X$3005,R$5,請求記録!$AD$6:$AD$3005,"保留中")&gt;0,"保留",IF(COUNTIFS(請求記録!$B$6:$B$3005,$A46,請求記録!$X$6:$X$3005,R$5)=0,"",SUMIFS(請求記録!$AC$6:$AC$3005,請求記録!$B$6:$B$3005,$A46,請求記録!$X$6:$X$3005,R$5))))</f>
        <v/>
      </c>
      <c r="S46" s="19">
        <f>IF($A46="","",IF(COUNTIFS(請求記録!$B$6:$B$3005,$A46,請求記録!$X$6:$X$3005,S$5,請求記録!$AD$6:$AD$3005,"保留中")&gt;0,"保留",IF(COUNTIFS(請求記録!$B$6:$B$3005,$A46,請求記録!$X$6:$X$3005,S$5)=0,"",SUMIFS(請求記録!$AC$6:$AC$3005,請求記録!$B$6:$B$3005,$A46,請求記録!$X$6:$X$3005,S$5))))</f>
        <v/>
      </c>
      <c r="T46" s="19">
        <f>IF($A46="","",IF(COUNTIFS(請求記録!$B$6:$B$3005,$A46,請求記録!$X$6:$X$3005,T$5,請求記録!$AD$6:$AD$3005,"保留中")&gt;0,"保留",IF(COUNTIFS(請求記録!$B$6:$B$3005,$A46,請求記録!$X$6:$X$3005,T$5)=0,"",SUMIFS(請求記録!$AC$6:$AC$3005,請求記録!$B$6:$B$3005,$A46,請求記録!$X$6:$X$3005,T$5))))</f>
        <v/>
      </c>
      <c r="U46" s="19">
        <f>IF($A46="","",IF(COUNTIFS(請求記録!$B$6:$B$3005,$A46,請求記録!$X$6:$X$3005,U$5,請求記録!$AD$6:$AD$3005,"保留中")&gt;0,"保留",IF(COUNTIFS(請求記録!$B$6:$B$3005,$A46,請求記録!$X$6:$X$3005,U$5)=0,"",SUMIFS(請求記録!$AC$6:$AC$3005,請求記録!$B$6:$B$3005,$A46,請求記録!$X$6:$X$3005,U$5))))</f>
        <v/>
      </c>
      <c r="V46" s="19">
        <f>IF($A46="","",IF(COUNTIFS(請求記録!$B$6:$B$3005,$A46,請求記録!$X$6:$X$3005,V$5,請求記録!$AD$6:$AD$3005,"保留中")&gt;0,"保留",IF(COUNTIFS(請求記録!$B$6:$B$3005,$A46,請求記録!$X$6:$X$3005,V$5)=0,"",SUMIFS(請求記録!$AC$6:$AC$3005,請求記録!$B$6:$B$3005,$A46,請求記録!$X$6:$X$3005,V$5))))</f>
        <v/>
      </c>
      <c r="W46" s="19">
        <f>IF($A46="","",IF(COUNTIFS(請求記録!$B$6:$B$3005,$A46,請求記録!$X$6:$X$3005,W$5,請求記録!$AD$6:$AD$3005,"保留中")&gt;0,"保留",IF(COUNTIFS(請求記録!$B$6:$B$3005,$A46,請求記録!$X$6:$X$3005,W$5)=0,"",SUMIFS(請求記録!$AC$6:$AC$3005,請求記録!$B$6:$B$3005,$A46,請求記録!$X$6:$X$3005,W$5))))</f>
        <v/>
      </c>
      <c r="X46" s="19">
        <f>IF($A46="","",IF(COUNTIFS(請求記録!$B$6:$B$3005,$A46,請求記録!$X$6:$X$3005,X$5,請求記録!$AD$6:$AD$3005,"保留中")&gt;0,"保留",IF(COUNTIFS(請求記録!$B$6:$B$3005,$A46,請求記録!$X$6:$X$3005,X$5)=0,"",SUMIFS(請求記録!$AC$6:$AC$3005,請求記録!$B$6:$B$3005,$A46,請求記録!$X$6:$X$3005,X$5))))</f>
        <v/>
      </c>
      <c r="Y46" s="19">
        <f>IF($A46="","",IF(COUNTIFS(請求記録!$B$6:$B$3005,$A46,請求記録!$X$6:$X$3005,Y$5,請求記録!$AD$6:$AD$3005,"保留中")&gt;0,"保留",IF(COUNTIFS(請求記録!$B$6:$B$3005,$A46,請求記録!$X$6:$X$3005,Y$5)=0,"",SUMIFS(請求記録!$AC$6:$AC$3005,請求記録!$B$6:$B$3005,$A46,請求記録!$X$6:$X$3005,Y$5))))</f>
        <v/>
      </c>
      <c r="Z46" s="19">
        <f>IF($A46="","",IF(COUNTIFS(請求記録!$B$6:$B$3005,$A46,請求記録!$X$6:$X$3005,Z$5,請求記録!$AD$6:$AD$3005,"保留中")&gt;0,"保留",IF(COUNTIFS(請求記録!$B$6:$B$3005,$A46,請求記録!$X$6:$X$3005,Z$5)=0,"",SUMIFS(請求記録!$AC$6:$AC$3005,請求記録!$B$6:$B$3005,$A46,請求記録!$X$6:$X$3005,Z$5))))</f>
        <v/>
      </c>
      <c r="AA46" s="19">
        <f>IF($A46="","",IF(COUNTIFS(請求記録!$B$6:$B$3005,$A46,請求記録!$X$6:$X$3005,AA$5,請求記録!$AD$6:$AD$3005,"保留中")&gt;0,"保留",IF(COUNTIFS(請求記録!$B$6:$B$3005,$A46,請求記録!$X$6:$X$3005,AA$5)=0,"",SUMIFS(請求記録!$AC$6:$AC$3005,請求記録!$B$6:$B$3005,$A46,請求記録!$X$6:$X$3005,AA$5))))</f>
        <v/>
      </c>
      <c r="AB46">
        <f>IF(職員マスタ!P46="保留中",職員マスタ!M46,"")</f>
        <v/>
      </c>
    </row>
    <row r="47">
      <c r="A47">
        <f>IF(職員マスタ!A47="","",職員マスタ!A47)</f>
        <v/>
      </c>
      <c r="B47">
        <f>IF($A47="","",職員マスタ!B47)</f>
        <v/>
      </c>
      <c r="C47">
        <f>IF($A47="","",職員マスタ!C47)</f>
        <v/>
      </c>
      <c r="D47" s="19">
        <f>IF($A47="","",IF(COUNTIFS(請求記録!$B$6:$B$3005,$A47,請求記録!$X$6:$X$3005,D$5,請求記録!$AD$6:$AD$3005,"保留中")&gt;0,"保留",IF(COUNTIFS(請求記録!$B$6:$B$3005,$A47,請求記録!$X$6:$X$3005,D$5)=0,"",SUMIFS(請求記録!$AC$6:$AC$3005,請求記録!$B$6:$B$3005,$A47,請求記録!$X$6:$X$3005,D$5))))</f>
        <v/>
      </c>
      <c r="E47" s="19">
        <f>IF($A47="","",IF(COUNTIFS(請求記録!$B$6:$B$3005,$A47,請求記録!$X$6:$X$3005,E$5,請求記録!$AD$6:$AD$3005,"保留中")&gt;0,"保留",IF(COUNTIFS(請求記録!$B$6:$B$3005,$A47,請求記録!$X$6:$X$3005,E$5)=0,"",SUMIFS(請求記録!$AC$6:$AC$3005,請求記録!$B$6:$B$3005,$A47,請求記録!$X$6:$X$3005,E$5))))</f>
        <v/>
      </c>
      <c r="F47" s="19">
        <f>IF($A47="","",IF(COUNTIFS(請求記録!$B$6:$B$3005,$A47,請求記録!$X$6:$X$3005,F$5,請求記録!$AD$6:$AD$3005,"保留中")&gt;0,"保留",IF(COUNTIFS(請求記録!$B$6:$B$3005,$A47,請求記録!$X$6:$X$3005,F$5)=0,"",SUMIFS(請求記録!$AC$6:$AC$3005,請求記録!$B$6:$B$3005,$A47,請求記録!$X$6:$X$3005,F$5))))</f>
        <v/>
      </c>
      <c r="G47" s="19">
        <f>IF($A47="","",IF(COUNTIFS(請求記録!$B$6:$B$3005,$A47,請求記録!$X$6:$X$3005,G$5,請求記録!$AD$6:$AD$3005,"保留中")&gt;0,"保留",IF(COUNTIFS(請求記録!$B$6:$B$3005,$A47,請求記録!$X$6:$X$3005,G$5)=0,"",SUMIFS(請求記録!$AC$6:$AC$3005,請求記録!$B$6:$B$3005,$A47,請求記録!$X$6:$X$3005,G$5))))</f>
        <v/>
      </c>
      <c r="H47" s="19">
        <f>IF($A47="","",IF(COUNTIFS(請求記録!$B$6:$B$3005,$A47,請求記録!$X$6:$X$3005,H$5,請求記録!$AD$6:$AD$3005,"保留中")&gt;0,"保留",IF(COUNTIFS(請求記録!$B$6:$B$3005,$A47,請求記録!$X$6:$X$3005,H$5)=0,"",SUMIFS(請求記録!$AC$6:$AC$3005,請求記録!$B$6:$B$3005,$A47,請求記録!$X$6:$X$3005,H$5))))</f>
        <v/>
      </c>
      <c r="I47" s="19">
        <f>IF($A47="","",IF(COUNTIFS(請求記録!$B$6:$B$3005,$A47,請求記録!$X$6:$X$3005,I$5,請求記録!$AD$6:$AD$3005,"保留中")&gt;0,"保留",IF(COUNTIFS(請求記録!$B$6:$B$3005,$A47,請求記録!$X$6:$X$3005,I$5)=0,"",SUMIFS(請求記録!$AC$6:$AC$3005,請求記録!$B$6:$B$3005,$A47,請求記録!$X$6:$X$3005,I$5))))</f>
        <v/>
      </c>
      <c r="J47" s="19">
        <f>IF($A47="","",IF(COUNTIFS(請求記録!$B$6:$B$3005,$A47,請求記録!$X$6:$X$3005,J$5,請求記録!$AD$6:$AD$3005,"保留中")&gt;0,"保留",IF(COUNTIFS(請求記録!$B$6:$B$3005,$A47,請求記録!$X$6:$X$3005,J$5)=0,"",SUMIFS(請求記録!$AC$6:$AC$3005,請求記録!$B$6:$B$3005,$A47,請求記録!$X$6:$X$3005,J$5))))</f>
        <v/>
      </c>
      <c r="K47" s="19">
        <f>IF($A47="","",IF(COUNTIFS(請求記録!$B$6:$B$3005,$A47,請求記録!$X$6:$X$3005,K$5,請求記録!$AD$6:$AD$3005,"保留中")&gt;0,"保留",IF(COUNTIFS(請求記録!$B$6:$B$3005,$A47,請求記録!$X$6:$X$3005,K$5)=0,"",SUMIFS(請求記録!$AC$6:$AC$3005,請求記録!$B$6:$B$3005,$A47,請求記録!$X$6:$X$3005,K$5))))</f>
        <v/>
      </c>
      <c r="L47" s="19">
        <f>IF($A47="","",IF(COUNTIFS(請求記録!$B$6:$B$3005,$A47,請求記録!$X$6:$X$3005,L$5,請求記録!$AD$6:$AD$3005,"保留中")&gt;0,"保留",IF(COUNTIFS(請求記録!$B$6:$B$3005,$A47,請求記録!$X$6:$X$3005,L$5)=0,"",SUMIFS(請求記録!$AC$6:$AC$3005,請求記録!$B$6:$B$3005,$A47,請求記録!$X$6:$X$3005,L$5))))</f>
        <v/>
      </c>
      <c r="M47" s="19">
        <f>IF($A47="","",IF(COUNTIFS(請求記録!$B$6:$B$3005,$A47,請求記録!$X$6:$X$3005,M$5,請求記録!$AD$6:$AD$3005,"保留中")&gt;0,"保留",IF(COUNTIFS(請求記録!$B$6:$B$3005,$A47,請求記録!$X$6:$X$3005,M$5)=0,"",SUMIFS(請求記録!$AC$6:$AC$3005,請求記録!$B$6:$B$3005,$A47,請求記録!$X$6:$X$3005,M$5))))</f>
        <v/>
      </c>
      <c r="N47" s="19">
        <f>IF($A47="","",IF(COUNTIFS(請求記録!$B$6:$B$3005,$A47,請求記録!$X$6:$X$3005,N$5,請求記録!$AD$6:$AD$3005,"保留中")&gt;0,"保留",IF(COUNTIFS(請求記録!$B$6:$B$3005,$A47,請求記録!$X$6:$X$3005,N$5)=0,"",SUMIFS(請求記録!$AC$6:$AC$3005,請求記録!$B$6:$B$3005,$A47,請求記録!$X$6:$X$3005,N$5))))</f>
        <v/>
      </c>
      <c r="O47" s="19">
        <f>IF($A47="","",IF(COUNTIFS(請求記録!$B$6:$B$3005,$A47,請求記録!$X$6:$X$3005,O$5,請求記録!$AD$6:$AD$3005,"保留中")&gt;0,"保留",IF(COUNTIFS(請求記録!$B$6:$B$3005,$A47,請求記録!$X$6:$X$3005,O$5)=0,"",SUMIFS(請求記録!$AC$6:$AC$3005,請求記録!$B$6:$B$3005,$A47,請求記録!$X$6:$X$3005,O$5))))</f>
        <v/>
      </c>
      <c r="P47" s="19">
        <f>IF($A47="","",IF(COUNTIFS(請求記録!$B$6:$B$3005,$A47,請求記録!$X$6:$X$3005,P$5,請求記録!$AD$6:$AD$3005,"保留中")&gt;0,"保留",IF(COUNTIFS(請求記録!$B$6:$B$3005,$A47,請求記録!$X$6:$X$3005,P$5)=0,"",SUMIFS(請求記録!$AC$6:$AC$3005,請求記録!$B$6:$B$3005,$A47,請求記録!$X$6:$X$3005,P$5))))</f>
        <v/>
      </c>
      <c r="Q47" s="19">
        <f>IF($A47="","",IF(COUNTIFS(請求記録!$B$6:$B$3005,$A47,請求記録!$X$6:$X$3005,Q$5,請求記録!$AD$6:$AD$3005,"保留中")&gt;0,"保留",IF(COUNTIFS(請求記録!$B$6:$B$3005,$A47,請求記録!$X$6:$X$3005,Q$5)=0,"",SUMIFS(請求記録!$AC$6:$AC$3005,請求記録!$B$6:$B$3005,$A47,請求記録!$X$6:$X$3005,Q$5))))</f>
        <v/>
      </c>
      <c r="R47" s="19">
        <f>IF($A47="","",IF(COUNTIFS(請求記録!$B$6:$B$3005,$A47,請求記録!$X$6:$X$3005,R$5,請求記録!$AD$6:$AD$3005,"保留中")&gt;0,"保留",IF(COUNTIFS(請求記録!$B$6:$B$3005,$A47,請求記録!$X$6:$X$3005,R$5)=0,"",SUMIFS(請求記録!$AC$6:$AC$3005,請求記録!$B$6:$B$3005,$A47,請求記録!$X$6:$X$3005,R$5))))</f>
        <v/>
      </c>
      <c r="S47" s="19">
        <f>IF($A47="","",IF(COUNTIFS(請求記録!$B$6:$B$3005,$A47,請求記録!$X$6:$X$3005,S$5,請求記録!$AD$6:$AD$3005,"保留中")&gt;0,"保留",IF(COUNTIFS(請求記録!$B$6:$B$3005,$A47,請求記録!$X$6:$X$3005,S$5)=0,"",SUMIFS(請求記録!$AC$6:$AC$3005,請求記録!$B$6:$B$3005,$A47,請求記録!$X$6:$X$3005,S$5))))</f>
        <v/>
      </c>
      <c r="T47" s="19">
        <f>IF($A47="","",IF(COUNTIFS(請求記録!$B$6:$B$3005,$A47,請求記録!$X$6:$X$3005,T$5,請求記録!$AD$6:$AD$3005,"保留中")&gt;0,"保留",IF(COUNTIFS(請求記録!$B$6:$B$3005,$A47,請求記録!$X$6:$X$3005,T$5)=0,"",SUMIFS(請求記録!$AC$6:$AC$3005,請求記録!$B$6:$B$3005,$A47,請求記録!$X$6:$X$3005,T$5))))</f>
        <v/>
      </c>
      <c r="U47" s="19">
        <f>IF($A47="","",IF(COUNTIFS(請求記録!$B$6:$B$3005,$A47,請求記録!$X$6:$X$3005,U$5,請求記録!$AD$6:$AD$3005,"保留中")&gt;0,"保留",IF(COUNTIFS(請求記録!$B$6:$B$3005,$A47,請求記録!$X$6:$X$3005,U$5)=0,"",SUMIFS(請求記録!$AC$6:$AC$3005,請求記録!$B$6:$B$3005,$A47,請求記録!$X$6:$X$3005,U$5))))</f>
        <v/>
      </c>
      <c r="V47" s="19">
        <f>IF($A47="","",IF(COUNTIFS(請求記録!$B$6:$B$3005,$A47,請求記録!$X$6:$X$3005,V$5,請求記録!$AD$6:$AD$3005,"保留中")&gt;0,"保留",IF(COUNTIFS(請求記録!$B$6:$B$3005,$A47,請求記録!$X$6:$X$3005,V$5)=0,"",SUMIFS(請求記録!$AC$6:$AC$3005,請求記録!$B$6:$B$3005,$A47,請求記録!$X$6:$X$3005,V$5))))</f>
        <v/>
      </c>
      <c r="W47" s="19">
        <f>IF($A47="","",IF(COUNTIFS(請求記録!$B$6:$B$3005,$A47,請求記録!$X$6:$X$3005,W$5,請求記録!$AD$6:$AD$3005,"保留中")&gt;0,"保留",IF(COUNTIFS(請求記録!$B$6:$B$3005,$A47,請求記録!$X$6:$X$3005,W$5)=0,"",SUMIFS(請求記録!$AC$6:$AC$3005,請求記録!$B$6:$B$3005,$A47,請求記録!$X$6:$X$3005,W$5))))</f>
        <v/>
      </c>
      <c r="X47" s="19">
        <f>IF($A47="","",IF(COUNTIFS(請求記録!$B$6:$B$3005,$A47,請求記録!$X$6:$X$3005,X$5,請求記録!$AD$6:$AD$3005,"保留中")&gt;0,"保留",IF(COUNTIFS(請求記録!$B$6:$B$3005,$A47,請求記録!$X$6:$X$3005,X$5)=0,"",SUMIFS(請求記録!$AC$6:$AC$3005,請求記録!$B$6:$B$3005,$A47,請求記録!$X$6:$X$3005,X$5))))</f>
        <v/>
      </c>
      <c r="Y47" s="19">
        <f>IF($A47="","",IF(COUNTIFS(請求記録!$B$6:$B$3005,$A47,請求記録!$X$6:$X$3005,Y$5,請求記録!$AD$6:$AD$3005,"保留中")&gt;0,"保留",IF(COUNTIFS(請求記録!$B$6:$B$3005,$A47,請求記録!$X$6:$X$3005,Y$5)=0,"",SUMIFS(請求記録!$AC$6:$AC$3005,請求記録!$B$6:$B$3005,$A47,請求記録!$X$6:$X$3005,Y$5))))</f>
        <v/>
      </c>
      <c r="Z47" s="19">
        <f>IF($A47="","",IF(COUNTIFS(請求記録!$B$6:$B$3005,$A47,請求記録!$X$6:$X$3005,Z$5,請求記録!$AD$6:$AD$3005,"保留中")&gt;0,"保留",IF(COUNTIFS(請求記録!$B$6:$B$3005,$A47,請求記録!$X$6:$X$3005,Z$5)=0,"",SUMIFS(請求記録!$AC$6:$AC$3005,請求記録!$B$6:$B$3005,$A47,請求記録!$X$6:$X$3005,Z$5))))</f>
        <v/>
      </c>
      <c r="AA47" s="19">
        <f>IF($A47="","",IF(COUNTIFS(請求記録!$B$6:$B$3005,$A47,請求記録!$X$6:$X$3005,AA$5,請求記録!$AD$6:$AD$3005,"保留中")&gt;0,"保留",IF(COUNTIFS(請求記録!$B$6:$B$3005,$A47,請求記録!$X$6:$X$3005,AA$5)=0,"",SUMIFS(請求記録!$AC$6:$AC$3005,請求記録!$B$6:$B$3005,$A47,請求記録!$X$6:$X$3005,AA$5))))</f>
        <v/>
      </c>
      <c r="AB47">
        <f>IF(職員マスタ!P47="保留中",職員マスタ!M47,"")</f>
        <v/>
      </c>
    </row>
    <row r="48">
      <c r="A48">
        <f>IF(職員マスタ!A48="","",職員マスタ!A48)</f>
        <v/>
      </c>
      <c r="B48">
        <f>IF($A48="","",職員マスタ!B48)</f>
        <v/>
      </c>
      <c r="C48">
        <f>IF($A48="","",職員マスタ!C48)</f>
        <v/>
      </c>
      <c r="D48" s="19">
        <f>IF($A48="","",IF(COUNTIFS(請求記録!$B$6:$B$3005,$A48,請求記録!$X$6:$X$3005,D$5,請求記録!$AD$6:$AD$3005,"保留中")&gt;0,"保留",IF(COUNTIFS(請求記録!$B$6:$B$3005,$A48,請求記録!$X$6:$X$3005,D$5)=0,"",SUMIFS(請求記録!$AC$6:$AC$3005,請求記録!$B$6:$B$3005,$A48,請求記録!$X$6:$X$3005,D$5))))</f>
        <v/>
      </c>
      <c r="E48" s="19">
        <f>IF($A48="","",IF(COUNTIFS(請求記録!$B$6:$B$3005,$A48,請求記録!$X$6:$X$3005,E$5,請求記録!$AD$6:$AD$3005,"保留中")&gt;0,"保留",IF(COUNTIFS(請求記録!$B$6:$B$3005,$A48,請求記録!$X$6:$X$3005,E$5)=0,"",SUMIFS(請求記録!$AC$6:$AC$3005,請求記録!$B$6:$B$3005,$A48,請求記録!$X$6:$X$3005,E$5))))</f>
        <v/>
      </c>
      <c r="F48" s="19">
        <f>IF($A48="","",IF(COUNTIFS(請求記録!$B$6:$B$3005,$A48,請求記録!$X$6:$X$3005,F$5,請求記録!$AD$6:$AD$3005,"保留中")&gt;0,"保留",IF(COUNTIFS(請求記録!$B$6:$B$3005,$A48,請求記録!$X$6:$X$3005,F$5)=0,"",SUMIFS(請求記録!$AC$6:$AC$3005,請求記録!$B$6:$B$3005,$A48,請求記録!$X$6:$X$3005,F$5))))</f>
        <v/>
      </c>
      <c r="G48" s="19">
        <f>IF($A48="","",IF(COUNTIFS(請求記録!$B$6:$B$3005,$A48,請求記録!$X$6:$X$3005,G$5,請求記録!$AD$6:$AD$3005,"保留中")&gt;0,"保留",IF(COUNTIFS(請求記録!$B$6:$B$3005,$A48,請求記録!$X$6:$X$3005,G$5)=0,"",SUMIFS(請求記録!$AC$6:$AC$3005,請求記録!$B$6:$B$3005,$A48,請求記録!$X$6:$X$3005,G$5))))</f>
        <v/>
      </c>
      <c r="H48" s="19">
        <f>IF($A48="","",IF(COUNTIFS(請求記録!$B$6:$B$3005,$A48,請求記録!$X$6:$X$3005,H$5,請求記録!$AD$6:$AD$3005,"保留中")&gt;0,"保留",IF(COUNTIFS(請求記録!$B$6:$B$3005,$A48,請求記録!$X$6:$X$3005,H$5)=0,"",SUMIFS(請求記録!$AC$6:$AC$3005,請求記録!$B$6:$B$3005,$A48,請求記録!$X$6:$X$3005,H$5))))</f>
        <v/>
      </c>
      <c r="I48" s="19">
        <f>IF($A48="","",IF(COUNTIFS(請求記録!$B$6:$B$3005,$A48,請求記録!$X$6:$X$3005,I$5,請求記録!$AD$6:$AD$3005,"保留中")&gt;0,"保留",IF(COUNTIFS(請求記録!$B$6:$B$3005,$A48,請求記録!$X$6:$X$3005,I$5)=0,"",SUMIFS(請求記録!$AC$6:$AC$3005,請求記録!$B$6:$B$3005,$A48,請求記録!$X$6:$X$3005,I$5))))</f>
        <v/>
      </c>
      <c r="J48" s="19">
        <f>IF($A48="","",IF(COUNTIFS(請求記録!$B$6:$B$3005,$A48,請求記録!$X$6:$X$3005,J$5,請求記録!$AD$6:$AD$3005,"保留中")&gt;0,"保留",IF(COUNTIFS(請求記録!$B$6:$B$3005,$A48,請求記録!$X$6:$X$3005,J$5)=0,"",SUMIFS(請求記録!$AC$6:$AC$3005,請求記録!$B$6:$B$3005,$A48,請求記録!$X$6:$X$3005,J$5))))</f>
        <v/>
      </c>
      <c r="K48" s="19">
        <f>IF($A48="","",IF(COUNTIFS(請求記録!$B$6:$B$3005,$A48,請求記録!$X$6:$X$3005,K$5,請求記録!$AD$6:$AD$3005,"保留中")&gt;0,"保留",IF(COUNTIFS(請求記録!$B$6:$B$3005,$A48,請求記録!$X$6:$X$3005,K$5)=0,"",SUMIFS(請求記録!$AC$6:$AC$3005,請求記録!$B$6:$B$3005,$A48,請求記録!$X$6:$X$3005,K$5))))</f>
        <v/>
      </c>
      <c r="L48" s="19">
        <f>IF($A48="","",IF(COUNTIFS(請求記録!$B$6:$B$3005,$A48,請求記録!$X$6:$X$3005,L$5,請求記録!$AD$6:$AD$3005,"保留中")&gt;0,"保留",IF(COUNTIFS(請求記録!$B$6:$B$3005,$A48,請求記録!$X$6:$X$3005,L$5)=0,"",SUMIFS(請求記録!$AC$6:$AC$3005,請求記録!$B$6:$B$3005,$A48,請求記録!$X$6:$X$3005,L$5))))</f>
        <v/>
      </c>
      <c r="M48" s="19">
        <f>IF($A48="","",IF(COUNTIFS(請求記録!$B$6:$B$3005,$A48,請求記録!$X$6:$X$3005,M$5,請求記録!$AD$6:$AD$3005,"保留中")&gt;0,"保留",IF(COUNTIFS(請求記録!$B$6:$B$3005,$A48,請求記録!$X$6:$X$3005,M$5)=0,"",SUMIFS(請求記録!$AC$6:$AC$3005,請求記録!$B$6:$B$3005,$A48,請求記録!$X$6:$X$3005,M$5))))</f>
        <v/>
      </c>
      <c r="N48" s="19">
        <f>IF($A48="","",IF(COUNTIFS(請求記録!$B$6:$B$3005,$A48,請求記録!$X$6:$X$3005,N$5,請求記録!$AD$6:$AD$3005,"保留中")&gt;0,"保留",IF(COUNTIFS(請求記録!$B$6:$B$3005,$A48,請求記録!$X$6:$X$3005,N$5)=0,"",SUMIFS(請求記録!$AC$6:$AC$3005,請求記録!$B$6:$B$3005,$A48,請求記録!$X$6:$X$3005,N$5))))</f>
        <v/>
      </c>
      <c r="O48" s="19">
        <f>IF($A48="","",IF(COUNTIFS(請求記録!$B$6:$B$3005,$A48,請求記録!$X$6:$X$3005,O$5,請求記録!$AD$6:$AD$3005,"保留中")&gt;0,"保留",IF(COUNTIFS(請求記録!$B$6:$B$3005,$A48,請求記録!$X$6:$X$3005,O$5)=0,"",SUMIFS(請求記録!$AC$6:$AC$3005,請求記録!$B$6:$B$3005,$A48,請求記録!$X$6:$X$3005,O$5))))</f>
        <v/>
      </c>
      <c r="P48" s="19">
        <f>IF($A48="","",IF(COUNTIFS(請求記録!$B$6:$B$3005,$A48,請求記録!$X$6:$X$3005,P$5,請求記録!$AD$6:$AD$3005,"保留中")&gt;0,"保留",IF(COUNTIFS(請求記録!$B$6:$B$3005,$A48,請求記録!$X$6:$X$3005,P$5)=0,"",SUMIFS(請求記録!$AC$6:$AC$3005,請求記録!$B$6:$B$3005,$A48,請求記録!$X$6:$X$3005,P$5))))</f>
        <v/>
      </c>
      <c r="Q48" s="19">
        <f>IF($A48="","",IF(COUNTIFS(請求記録!$B$6:$B$3005,$A48,請求記録!$X$6:$X$3005,Q$5,請求記録!$AD$6:$AD$3005,"保留中")&gt;0,"保留",IF(COUNTIFS(請求記録!$B$6:$B$3005,$A48,請求記録!$X$6:$X$3005,Q$5)=0,"",SUMIFS(請求記録!$AC$6:$AC$3005,請求記録!$B$6:$B$3005,$A48,請求記録!$X$6:$X$3005,Q$5))))</f>
        <v/>
      </c>
      <c r="R48" s="19">
        <f>IF($A48="","",IF(COUNTIFS(請求記録!$B$6:$B$3005,$A48,請求記録!$X$6:$X$3005,R$5,請求記録!$AD$6:$AD$3005,"保留中")&gt;0,"保留",IF(COUNTIFS(請求記録!$B$6:$B$3005,$A48,請求記録!$X$6:$X$3005,R$5)=0,"",SUMIFS(請求記録!$AC$6:$AC$3005,請求記録!$B$6:$B$3005,$A48,請求記録!$X$6:$X$3005,R$5))))</f>
        <v/>
      </c>
      <c r="S48" s="19">
        <f>IF($A48="","",IF(COUNTIFS(請求記録!$B$6:$B$3005,$A48,請求記録!$X$6:$X$3005,S$5,請求記録!$AD$6:$AD$3005,"保留中")&gt;0,"保留",IF(COUNTIFS(請求記録!$B$6:$B$3005,$A48,請求記録!$X$6:$X$3005,S$5)=0,"",SUMIFS(請求記録!$AC$6:$AC$3005,請求記録!$B$6:$B$3005,$A48,請求記録!$X$6:$X$3005,S$5))))</f>
        <v/>
      </c>
      <c r="T48" s="19">
        <f>IF($A48="","",IF(COUNTIFS(請求記録!$B$6:$B$3005,$A48,請求記録!$X$6:$X$3005,T$5,請求記録!$AD$6:$AD$3005,"保留中")&gt;0,"保留",IF(COUNTIFS(請求記録!$B$6:$B$3005,$A48,請求記録!$X$6:$X$3005,T$5)=0,"",SUMIFS(請求記録!$AC$6:$AC$3005,請求記録!$B$6:$B$3005,$A48,請求記録!$X$6:$X$3005,T$5))))</f>
        <v/>
      </c>
      <c r="U48" s="19">
        <f>IF($A48="","",IF(COUNTIFS(請求記録!$B$6:$B$3005,$A48,請求記録!$X$6:$X$3005,U$5,請求記録!$AD$6:$AD$3005,"保留中")&gt;0,"保留",IF(COUNTIFS(請求記録!$B$6:$B$3005,$A48,請求記録!$X$6:$X$3005,U$5)=0,"",SUMIFS(請求記録!$AC$6:$AC$3005,請求記録!$B$6:$B$3005,$A48,請求記録!$X$6:$X$3005,U$5))))</f>
        <v/>
      </c>
      <c r="V48" s="19">
        <f>IF($A48="","",IF(COUNTIFS(請求記録!$B$6:$B$3005,$A48,請求記録!$X$6:$X$3005,V$5,請求記録!$AD$6:$AD$3005,"保留中")&gt;0,"保留",IF(COUNTIFS(請求記録!$B$6:$B$3005,$A48,請求記録!$X$6:$X$3005,V$5)=0,"",SUMIFS(請求記録!$AC$6:$AC$3005,請求記録!$B$6:$B$3005,$A48,請求記録!$X$6:$X$3005,V$5))))</f>
        <v/>
      </c>
      <c r="W48" s="19">
        <f>IF($A48="","",IF(COUNTIFS(請求記録!$B$6:$B$3005,$A48,請求記録!$X$6:$X$3005,W$5,請求記録!$AD$6:$AD$3005,"保留中")&gt;0,"保留",IF(COUNTIFS(請求記録!$B$6:$B$3005,$A48,請求記録!$X$6:$X$3005,W$5)=0,"",SUMIFS(請求記録!$AC$6:$AC$3005,請求記録!$B$6:$B$3005,$A48,請求記録!$X$6:$X$3005,W$5))))</f>
        <v/>
      </c>
      <c r="X48" s="19">
        <f>IF($A48="","",IF(COUNTIFS(請求記録!$B$6:$B$3005,$A48,請求記録!$X$6:$X$3005,X$5,請求記録!$AD$6:$AD$3005,"保留中")&gt;0,"保留",IF(COUNTIFS(請求記録!$B$6:$B$3005,$A48,請求記録!$X$6:$X$3005,X$5)=0,"",SUMIFS(請求記録!$AC$6:$AC$3005,請求記録!$B$6:$B$3005,$A48,請求記録!$X$6:$X$3005,X$5))))</f>
        <v/>
      </c>
      <c r="Y48" s="19">
        <f>IF($A48="","",IF(COUNTIFS(請求記録!$B$6:$B$3005,$A48,請求記録!$X$6:$X$3005,Y$5,請求記録!$AD$6:$AD$3005,"保留中")&gt;0,"保留",IF(COUNTIFS(請求記録!$B$6:$B$3005,$A48,請求記録!$X$6:$X$3005,Y$5)=0,"",SUMIFS(請求記録!$AC$6:$AC$3005,請求記録!$B$6:$B$3005,$A48,請求記録!$X$6:$X$3005,Y$5))))</f>
        <v/>
      </c>
      <c r="Z48" s="19">
        <f>IF($A48="","",IF(COUNTIFS(請求記録!$B$6:$B$3005,$A48,請求記録!$X$6:$X$3005,Z$5,請求記録!$AD$6:$AD$3005,"保留中")&gt;0,"保留",IF(COUNTIFS(請求記録!$B$6:$B$3005,$A48,請求記録!$X$6:$X$3005,Z$5)=0,"",SUMIFS(請求記録!$AC$6:$AC$3005,請求記録!$B$6:$B$3005,$A48,請求記録!$X$6:$X$3005,Z$5))))</f>
        <v/>
      </c>
      <c r="AA48" s="19">
        <f>IF($A48="","",IF(COUNTIFS(請求記録!$B$6:$B$3005,$A48,請求記録!$X$6:$X$3005,AA$5,請求記録!$AD$6:$AD$3005,"保留中")&gt;0,"保留",IF(COUNTIFS(請求記録!$B$6:$B$3005,$A48,請求記録!$X$6:$X$3005,AA$5)=0,"",SUMIFS(請求記録!$AC$6:$AC$3005,請求記録!$B$6:$B$3005,$A48,請求記録!$X$6:$X$3005,AA$5))))</f>
        <v/>
      </c>
      <c r="AB48">
        <f>IF(職員マスタ!P48="保留中",職員マスタ!M48,"")</f>
        <v/>
      </c>
    </row>
    <row r="49">
      <c r="A49">
        <f>IF(職員マスタ!A49="","",職員マスタ!A49)</f>
        <v/>
      </c>
      <c r="B49">
        <f>IF($A49="","",職員マスタ!B49)</f>
        <v/>
      </c>
      <c r="C49">
        <f>IF($A49="","",職員マスタ!C49)</f>
        <v/>
      </c>
      <c r="D49" s="19">
        <f>IF($A49="","",IF(COUNTIFS(請求記録!$B$6:$B$3005,$A49,請求記録!$X$6:$X$3005,D$5,請求記録!$AD$6:$AD$3005,"保留中")&gt;0,"保留",IF(COUNTIFS(請求記録!$B$6:$B$3005,$A49,請求記録!$X$6:$X$3005,D$5)=0,"",SUMIFS(請求記録!$AC$6:$AC$3005,請求記録!$B$6:$B$3005,$A49,請求記録!$X$6:$X$3005,D$5))))</f>
        <v/>
      </c>
      <c r="E49" s="19">
        <f>IF($A49="","",IF(COUNTIFS(請求記録!$B$6:$B$3005,$A49,請求記録!$X$6:$X$3005,E$5,請求記録!$AD$6:$AD$3005,"保留中")&gt;0,"保留",IF(COUNTIFS(請求記録!$B$6:$B$3005,$A49,請求記録!$X$6:$X$3005,E$5)=0,"",SUMIFS(請求記録!$AC$6:$AC$3005,請求記録!$B$6:$B$3005,$A49,請求記録!$X$6:$X$3005,E$5))))</f>
        <v/>
      </c>
      <c r="F49" s="19">
        <f>IF($A49="","",IF(COUNTIFS(請求記録!$B$6:$B$3005,$A49,請求記録!$X$6:$X$3005,F$5,請求記録!$AD$6:$AD$3005,"保留中")&gt;0,"保留",IF(COUNTIFS(請求記録!$B$6:$B$3005,$A49,請求記録!$X$6:$X$3005,F$5)=0,"",SUMIFS(請求記録!$AC$6:$AC$3005,請求記録!$B$6:$B$3005,$A49,請求記録!$X$6:$X$3005,F$5))))</f>
        <v/>
      </c>
      <c r="G49" s="19">
        <f>IF($A49="","",IF(COUNTIFS(請求記録!$B$6:$B$3005,$A49,請求記録!$X$6:$X$3005,G$5,請求記録!$AD$6:$AD$3005,"保留中")&gt;0,"保留",IF(COUNTIFS(請求記録!$B$6:$B$3005,$A49,請求記録!$X$6:$X$3005,G$5)=0,"",SUMIFS(請求記録!$AC$6:$AC$3005,請求記録!$B$6:$B$3005,$A49,請求記録!$X$6:$X$3005,G$5))))</f>
        <v/>
      </c>
      <c r="H49" s="19">
        <f>IF($A49="","",IF(COUNTIFS(請求記録!$B$6:$B$3005,$A49,請求記録!$X$6:$X$3005,H$5,請求記録!$AD$6:$AD$3005,"保留中")&gt;0,"保留",IF(COUNTIFS(請求記録!$B$6:$B$3005,$A49,請求記録!$X$6:$X$3005,H$5)=0,"",SUMIFS(請求記録!$AC$6:$AC$3005,請求記録!$B$6:$B$3005,$A49,請求記録!$X$6:$X$3005,H$5))))</f>
        <v/>
      </c>
      <c r="I49" s="19">
        <f>IF($A49="","",IF(COUNTIFS(請求記録!$B$6:$B$3005,$A49,請求記録!$X$6:$X$3005,I$5,請求記録!$AD$6:$AD$3005,"保留中")&gt;0,"保留",IF(COUNTIFS(請求記録!$B$6:$B$3005,$A49,請求記録!$X$6:$X$3005,I$5)=0,"",SUMIFS(請求記録!$AC$6:$AC$3005,請求記録!$B$6:$B$3005,$A49,請求記録!$X$6:$X$3005,I$5))))</f>
        <v/>
      </c>
      <c r="J49" s="19">
        <f>IF($A49="","",IF(COUNTIFS(請求記録!$B$6:$B$3005,$A49,請求記録!$X$6:$X$3005,J$5,請求記録!$AD$6:$AD$3005,"保留中")&gt;0,"保留",IF(COUNTIFS(請求記録!$B$6:$B$3005,$A49,請求記録!$X$6:$X$3005,J$5)=0,"",SUMIFS(請求記録!$AC$6:$AC$3005,請求記録!$B$6:$B$3005,$A49,請求記録!$X$6:$X$3005,J$5))))</f>
        <v/>
      </c>
      <c r="K49" s="19">
        <f>IF($A49="","",IF(COUNTIFS(請求記録!$B$6:$B$3005,$A49,請求記録!$X$6:$X$3005,K$5,請求記録!$AD$6:$AD$3005,"保留中")&gt;0,"保留",IF(COUNTIFS(請求記録!$B$6:$B$3005,$A49,請求記録!$X$6:$X$3005,K$5)=0,"",SUMIFS(請求記録!$AC$6:$AC$3005,請求記録!$B$6:$B$3005,$A49,請求記録!$X$6:$X$3005,K$5))))</f>
        <v/>
      </c>
      <c r="L49" s="19">
        <f>IF($A49="","",IF(COUNTIFS(請求記録!$B$6:$B$3005,$A49,請求記録!$X$6:$X$3005,L$5,請求記録!$AD$6:$AD$3005,"保留中")&gt;0,"保留",IF(COUNTIFS(請求記録!$B$6:$B$3005,$A49,請求記録!$X$6:$X$3005,L$5)=0,"",SUMIFS(請求記録!$AC$6:$AC$3005,請求記録!$B$6:$B$3005,$A49,請求記録!$X$6:$X$3005,L$5))))</f>
        <v/>
      </c>
      <c r="M49" s="19">
        <f>IF($A49="","",IF(COUNTIFS(請求記録!$B$6:$B$3005,$A49,請求記録!$X$6:$X$3005,M$5,請求記録!$AD$6:$AD$3005,"保留中")&gt;0,"保留",IF(COUNTIFS(請求記録!$B$6:$B$3005,$A49,請求記録!$X$6:$X$3005,M$5)=0,"",SUMIFS(請求記録!$AC$6:$AC$3005,請求記録!$B$6:$B$3005,$A49,請求記録!$X$6:$X$3005,M$5))))</f>
        <v/>
      </c>
      <c r="N49" s="19">
        <f>IF($A49="","",IF(COUNTIFS(請求記録!$B$6:$B$3005,$A49,請求記録!$X$6:$X$3005,N$5,請求記録!$AD$6:$AD$3005,"保留中")&gt;0,"保留",IF(COUNTIFS(請求記録!$B$6:$B$3005,$A49,請求記録!$X$6:$X$3005,N$5)=0,"",SUMIFS(請求記録!$AC$6:$AC$3005,請求記録!$B$6:$B$3005,$A49,請求記録!$X$6:$X$3005,N$5))))</f>
        <v/>
      </c>
      <c r="O49" s="19">
        <f>IF($A49="","",IF(COUNTIFS(請求記録!$B$6:$B$3005,$A49,請求記録!$X$6:$X$3005,O$5,請求記録!$AD$6:$AD$3005,"保留中")&gt;0,"保留",IF(COUNTIFS(請求記録!$B$6:$B$3005,$A49,請求記録!$X$6:$X$3005,O$5)=0,"",SUMIFS(請求記録!$AC$6:$AC$3005,請求記録!$B$6:$B$3005,$A49,請求記録!$X$6:$X$3005,O$5))))</f>
        <v/>
      </c>
      <c r="P49" s="19">
        <f>IF($A49="","",IF(COUNTIFS(請求記録!$B$6:$B$3005,$A49,請求記録!$X$6:$X$3005,P$5,請求記録!$AD$6:$AD$3005,"保留中")&gt;0,"保留",IF(COUNTIFS(請求記録!$B$6:$B$3005,$A49,請求記録!$X$6:$X$3005,P$5)=0,"",SUMIFS(請求記録!$AC$6:$AC$3005,請求記録!$B$6:$B$3005,$A49,請求記録!$X$6:$X$3005,P$5))))</f>
        <v/>
      </c>
      <c r="Q49" s="19">
        <f>IF($A49="","",IF(COUNTIFS(請求記録!$B$6:$B$3005,$A49,請求記録!$X$6:$X$3005,Q$5,請求記録!$AD$6:$AD$3005,"保留中")&gt;0,"保留",IF(COUNTIFS(請求記録!$B$6:$B$3005,$A49,請求記録!$X$6:$X$3005,Q$5)=0,"",SUMIFS(請求記録!$AC$6:$AC$3005,請求記録!$B$6:$B$3005,$A49,請求記録!$X$6:$X$3005,Q$5))))</f>
        <v/>
      </c>
      <c r="R49" s="19">
        <f>IF($A49="","",IF(COUNTIFS(請求記録!$B$6:$B$3005,$A49,請求記録!$X$6:$X$3005,R$5,請求記録!$AD$6:$AD$3005,"保留中")&gt;0,"保留",IF(COUNTIFS(請求記録!$B$6:$B$3005,$A49,請求記録!$X$6:$X$3005,R$5)=0,"",SUMIFS(請求記録!$AC$6:$AC$3005,請求記録!$B$6:$B$3005,$A49,請求記録!$X$6:$X$3005,R$5))))</f>
        <v/>
      </c>
      <c r="S49" s="19">
        <f>IF($A49="","",IF(COUNTIFS(請求記録!$B$6:$B$3005,$A49,請求記録!$X$6:$X$3005,S$5,請求記録!$AD$6:$AD$3005,"保留中")&gt;0,"保留",IF(COUNTIFS(請求記録!$B$6:$B$3005,$A49,請求記録!$X$6:$X$3005,S$5)=0,"",SUMIFS(請求記録!$AC$6:$AC$3005,請求記録!$B$6:$B$3005,$A49,請求記録!$X$6:$X$3005,S$5))))</f>
        <v/>
      </c>
      <c r="T49" s="19">
        <f>IF($A49="","",IF(COUNTIFS(請求記録!$B$6:$B$3005,$A49,請求記録!$X$6:$X$3005,T$5,請求記録!$AD$6:$AD$3005,"保留中")&gt;0,"保留",IF(COUNTIFS(請求記録!$B$6:$B$3005,$A49,請求記録!$X$6:$X$3005,T$5)=0,"",SUMIFS(請求記録!$AC$6:$AC$3005,請求記録!$B$6:$B$3005,$A49,請求記録!$X$6:$X$3005,T$5))))</f>
        <v/>
      </c>
      <c r="U49" s="19">
        <f>IF($A49="","",IF(COUNTIFS(請求記録!$B$6:$B$3005,$A49,請求記録!$X$6:$X$3005,U$5,請求記録!$AD$6:$AD$3005,"保留中")&gt;0,"保留",IF(COUNTIFS(請求記録!$B$6:$B$3005,$A49,請求記録!$X$6:$X$3005,U$5)=0,"",SUMIFS(請求記録!$AC$6:$AC$3005,請求記録!$B$6:$B$3005,$A49,請求記録!$X$6:$X$3005,U$5))))</f>
        <v/>
      </c>
      <c r="V49" s="19">
        <f>IF($A49="","",IF(COUNTIFS(請求記録!$B$6:$B$3005,$A49,請求記録!$X$6:$X$3005,V$5,請求記録!$AD$6:$AD$3005,"保留中")&gt;0,"保留",IF(COUNTIFS(請求記録!$B$6:$B$3005,$A49,請求記録!$X$6:$X$3005,V$5)=0,"",SUMIFS(請求記録!$AC$6:$AC$3005,請求記録!$B$6:$B$3005,$A49,請求記録!$X$6:$X$3005,V$5))))</f>
        <v/>
      </c>
      <c r="W49" s="19">
        <f>IF($A49="","",IF(COUNTIFS(請求記録!$B$6:$B$3005,$A49,請求記録!$X$6:$X$3005,W$5,請求記録!$AD$6:$AD$3005,"保留中")&gt;0,"保留",IF(COUNTIFS(請求記録!$B$6:$B$3005,$A49,請求記録!$X$6:$X$3005,W$5)=0,"",SUMIFS(請求記録!$AC$6:$AC$3005,請求記録!$B$6:$B$3005,$A49,請求記録!$X$6:$X$3005,W$5))))</f>
        <v/>
      </c>
      <c r="X49" s="19">
        <f>IF($A49="","",IF(COUNTIFS(請求記録!$B$6:$B$3005,$A49,請求記録!$X$6:$X$3005,X$5,請求記録!$AD$6:$AD$3005,"保留中")&gt;0,"保留",IF(COUNTIFS(請求記録!$B$6:$B$3005,$A49,請求記録!$X$6:$X$3005,X$5)=0,"",SUMIFS(請求記録!$AC$6:$AC$3005,請求記録!$B$6:$B$3005,$A49,請求記録!$X$6:$X$3005,X$5))))</f>
        <v/>
      </c>
      <c r="Y49" s="19">
        <f>IF($A49="","",IF(COUNTIFS(請求記録!$B$6:$B$3005,$A49,請求記録!$X$6:$X$3005,Y$5,請求記録!$AD$6:$AD$3005,"保留中")&gt;0,"保留",IF(COUNTIFS(請求記録!$B$6:$B$3005,$A49,請求記録!$X$6:$X$3005,Y$5)=0,"",SUMIFS(請求記録!$AC$6:$AC$3005,請求記録!$B$6:$B$3005,$A49,請求記録!$X$6:$X$3005,Y$5))))</f>
        <v/>
      </c>
      <c r="Z49" s="19">
        <f>IF($A49="","",IF(COUNTIFS(請求記録!$B$6:$B$3005,$A49,請求記録!$X$6:$X$3005,Z$5,請求記録!$AD$6:$AD$3005,"保留中")&gt;0,"保留",IF(COUNTIFS(請求記録!$B$6:$B$3005,$A49,請求記録!$X$6:$X$3005,Z$5)=0,"",SUMIFS(請求記録!$AC$6:$AC$3005,請求記録!$B$6:$B$3005,$A49,請求記録!$X$6:$X$3005,Z$5))))</f>
        <v/>
      </c>
      <c r="AA49" s="19">
        <f>IF($A49="","",IF(COUNTIFS(請求記録!$B$6:$B$3005,$A49,請求記録!$X$6:$X$3005,AA$5,請求記録!$AD$6:$AD$3005,"保留中")&gt;0,"保留",IF(COUNTIFS(請求記録!$B$6:$B$3005,$A49,請求記録!$X$6:$X$3005,AA$5)=0,"",SUMIFS(請求記録!$AC$6:$AC$3005,請求記録!$B$6:$B$3005,$A49,請求記録!$X$6:$X$3005,AA$5))))</f>
        <v/>
      </c>
      <c r="AB49">
        <f>IF(職員マスタ!P49="保留中",職員マスタ!M49,"")</f>
        <v/>
      </c>
    </row>
    <row r="50">
      <c r="A50">
        <f>IF(職員マスタ!A50="","",職員マスタ!A50)</f>
        <v/>
      </c>
      <c r="B50">
        <f>IF($A50="","",職員マスタ!B50)</f>
        <v/>
      </c>
      <c r="C50">
        <f>IF($A50="","",職員マスタ!C50)</f>
        <v/>
      </c>
      <c r="D50" s="19">
        <f>IF($A50="","",IF(COUNTIFS(請求記録!$B$6:$B$3005,$A50,請求記録!$X$6:$X$3005,D$5,請求記録!$AD$6:$AD$3005,"保留中")&gt;0,"保留",IF(COUNTIFS(請求記録!$B$6:$B$3005,$A50,請求記録!$X$6:$X$3005,D$5)=0,"",SUMIFS(請求記録!$AC$6:$AC$3005,請求記録!$B$6:$B$3005,$A50,請求記録!$X$6:$X$3005,D$5))))</f>
        <v/>
      </c>
      <c r="E50" s="19">
        <f>IF($A50="","",IF(COUNTIFS(請求記録!$B$6:$B$3005,$A50,請求記録!$X$6:$X$3005,E$5,請求記録!$AD$6:$AD$3005,"保留中")&gt;0,"保留",IF(COUNTIFS(請求記録!$B$6:$B$3005,$A50,請求記録!$X$6:$X$3005,E$5)=0,"",SUMIFS(請求記録!$AC$6:$AC$3005,請求記録!$B$6:$B$3005,$A50,請求記録!$X$6:$X$3005,E$5))))</f>
        <v/>
      </c>
      <c r="F50" s="19">
        <f>IF($A50="","",IF(COUNTIFS(請求記録!$B$6:$B$3005,$A50,請求記録!$X$6:$X$3005,F$5,請求記録!$AD$6:$AD$3005,"保留中")&gt;0,"保留",IF(COUNTIFS(請求記録!$B$6:$B$3005,$A50,請求記録!$X$6:$X$3005,F$5)=0,"",SUMIFS(請求記録!$AC$6:$AC$3005,請求記録!$B$6:$B$3005,$A50,請求記録!$X$6:$X$3005,F$5))))</f>
        <v/>
      </c>
      <c r="G50" s="19">
        <f>IF($A50="","",IF(COUNTIFS(請求記録!$B$6:$B$3005,$A50,請求記録!$X$6:$X$3005,G$5,請求記録!$AD$6:$AD$3005,"保留中")&gt;0,"保留",IF(COUNTIFS(請求記録!$B$6:$B$3005,$A50,請求記録!$X$6:$X$3005,G$5)=0,"",SUMIFS(請求記録!$AC$6:$AC$3005,請求記録!$B$6:$B$3005,$A50,請求記録!$X$6:$X$3005,G$5))))</f>
        <v/>
      </c>
      <c r="H50" s="19">
        <f>IF($A50="","",IF(COUNTIFS(請求記録!$B$6:$B$3005,$A50,請求記録!$X$6:$X$3005,H$5,請求記録!$AD$6:$AD$3005,"保留中")&gt;0,"保留",IF(COUNTIFS(請求記録!$B$6:$B$3005,$A50,請求記録!$X$6:$X$3005,H$5)=0,"",SUMIFS(請求記録!$AC$6:$AC$3005,請求記録!$B$6:$B$3005,$A50,請求記録!$X$6:$X$3005,H$5))))</f>
        <v/>
      </c>
      <c r="I50" s="19">
        <f>IF($A50="","",IF(COUNTIFS(請求記録!$B$6:$B$3005,$A50,請求記録!$X$6:$X$3005,I$5,請求記録!$AD$6:$AD$3005,"保留中")&gt;0,"保留",IF(COUNTIFS(請求記録!$B$6:$B$3005,$A50,請求記録!$X$6:$X$3005,I$5)=0,"",SUMIFS(請求記録!$AC$6:$AC$3005,請求記録!$B$6:$B$3005,$A50,請求記録!$X$6:$X$3005,I$5))))</f>
        <v/>
      </c>
      <c r="J50" s="19">
        <f>IF($A50="","",IF(COUNTIFS(請求記録!$B$6:$B$3005,$A50,請求記録!$X$6:$X$3005,J$5,請求記録!$AD$6:$AD$3005,"保留中")&gt;0,"保留",IF(COUNTIFS(請求記録!$B$6:$B$3005,$A50,請求記録!$X$6:$X$3005,J$5)=0,"",SUMIFS(請求記録!$AC$6:$AC$3005,請求記録!$B$6:$B$3005,$A50,請求記録!$X$6:$X$3005,J$5))))</f>
        <v/>
      </c>
      <c r="K50" s="19">
        <f>IF($A50="","",IF(COUNTIFS(請求記録!$B$6:$B$3005,$A50,請求記録!$X$6:$X$3005,K$5,請求記録!$AD$6:$AD$3005,"保留中")&gt;0,"保留",IF(COUNTIFS(請求記録!$B$6:$B$3005,$A50,請求記録!$X$6:$X$3005,K$5)=0,"",SUMIFS(請求記録!$AC$6:$AC$3005,請求記録!$B$6:$B$3005,$A50,請求記録!$X$6:$X$3005,K$5))))</f>
        <v/>
      </c>
      <c r="L50" s="19">
        <f>IF($A50="","",IF(COUNTIFS(請求記録!$B$6:$B$3005,$A50,請求記録!$X$6:$X$3005,L$5,請求記録!$AD$6:$AD$3005,"保留中")&gt;0,"保留",IF(COUNTIFS(請求記録!$B$6:$B$3005,$A50,請求記録!$X$6:$X$3005,L$5)=0,"",SUMIFS(請求記録!$AC$6:$AC$3005,請求記録!$B$6:$B$3005,$A50,請求記録!$X$6:$X$3005,L$5))))</f>
        <v/>
      </c>
      <c r="M50" s="19">
        <f>IF($A50="","",IF(COUNTIFS(請求記録!$B$6:$B$3005,$A50,請求記録!$X$6:$X$3005,M$5,請求記録!$AD$6:$AD$3005,"保留中")&gt;0,"保留",IF(COUNTIFS(請求記録!$B$6:$B$3005,$A50,請求記録!$X$6:$X$3005,M$5)=0,"",SUMIFS(請求記録!$AC$6:$AC$3005,請求記録!$B$6:$B$3005,$A50,請求記録!$X$6:$X$3005,M$5))))</f>
        <v/>
      </c>
      <c r="N50" s="19">
        <f>IF($A50="","",IF(COUNTIFS(請求記録!$B$6:$B$3005,$A50,請求記録!$X$6:$X$3005,N$5,請求記録!$AD$6:$AD$3005,"保留中")&gt;0,"保留",IF(COUNTIFS(請求記録!$B$6:$B$3005,$A50,請求記録!$X$6:$X$3005,N$5)=0,"",SUMIFS(請求記録!$AC$6:$AC$3005,請求記録!$B$6:$B$3005,$A50,請求記録!$X$6:$X$3005,N$5))))</f>
        <v/>
      </c>
      <c r="O50" s="19">
        <f>IF($A50="","",IF(COUNTIFS(請求記録!$B$6:$B$3005,$A50,請求記録!$X$6:$X$3005,O$5,請求記録!$AD$6:$AD$3005,"保留中")&gt;0,"保留",IF(COUNTIFS(請求記録!$B$6:$B$3005,$A50,請求記録!$X$6:$X$3005,O$5)=0,"",SUMIFS(請求記録!$AC$6:$AC$3005,請求記録!$B$6:$B$3005,$A50,請求記録!$X$6:$X$3005,O$5))))</f>
        <v/>
      </c>
      <c r="P50" s="19">
        <f>IF($A50="","",IF(COUNTIFS(請求記録!$B$6:$B$3005,$A50,請求記録!$X$6:$X$3005,P$5,請求記録!$AD$6:$AD$3005,"保留中")&gt;0,"保留",IF(COUNTIFS(請求記録!$B$6:$B$3005,$A50,請求記録!$X$6:$X$3005,P$5)=0,"",SUMIFS(請求記録!$AC$6:$AC$3005,請求記録!$B$6:$B$3005,$A50,請求記録!$X$6:$X$3005,P$5))))</f>
        <v/>
      </c>
      <c r="Q50" s="19">
        <f>IF($A50="","",IF(COUNTIFS(請求記録!$B$6:$B$3005,$A50,請求記録!$X$6:$X$3005,Q$5,請求記録!$AD$6:$AD$3005,"保留中")&gt;0,"保留",IF(COUNTIFS(請求記録!$B$6:$B$3005,$A50,請求記録!$X$6:$X$3005,Q$5)=0,"",SUMIFS(請求記録!$AC$6:$AC$3005,請求記録!$B$6:$B$3005,$A50,請求記録!$X$6:$X$3005,Q$5))))</f>
        <v/>
      </c>
      <c r="R50" s="19">
        <f>IF($A50="","",IF(COUNTIFS(請求記録!$B$6:$B$3005,$A50,請求記録!$X$6:$X$3005,R$5,請求記録!$AD$6:$AD$3005,"保留中")&gt;0,"保留",IF(COUNTIFS(請求記録!$B$6:$B$3005,$A50,請求記録!$X$6:$X$3005,R$5)=0,"",SUMIFS(請求記録!$AC$6:$AC$3005,請求記録!$B$6:$B$3005,$A50,請求記録!$X$6:$X$3005,R$5))))</f>
        <v/>
      </c>
      <c r="S50" s="19">
        <f>IF($A50="","",IF(COUNTIFS(請求記録!$B$6:$B$3005,$A50,請求記録!$X$6:$X$3005,S$5,請求記録!$AD$6:$AD$3005,"保留中")&gt;0,"保留",IF(COUNTIFS(請求記録!$B$6:$B$3005,$A50,請求記録!$X$6:$X$3005,S$5)=0,"",SUMIFS(請求記録!$AC$6:$AC$3005,請求記録!$B$6:$B$3005,$A50,請求記録!$X$6:$X$3005,S$5))))</f>
        <v/>
      </c>
      <c r="T50" s="19">
        <f>IF($A50="","",IF(COUNTIFS(請求記録!$B$6:$B$3005,$A50,請求記録!$X$6:$X$3005,T$5,請求記録!$AD$6:$AD$3005,"保留中")&gt;0,"保留",IF(COUNTIFS(請求記録!$B$6:$B$3005,$A50,請求記録!$X$6:$X$3005,T$5)=0,"",SUMIFS(請求記録!$AC$6:$AC$3005,請求記録!$B$6:$B$3005,$A50,請求記録!$X$6:$X$3005,T$5))))</f>
        <v/>
      </c>
      <c r="U50" s="19">
        <f>IF($A50="","",IF(COUNTIFS(請求記録!$B$6:$B$3005,$A50,請求記録!$X$6:$X$3005,U$5,請求記録!$AD$6:$AD$3005,"保留中")&gt;0,"保留",IF(COUNTIFS(請求記録!$B$6:$B$3005,$A50,請求記録!$X$6:$X$3005,U$5)=0,"",SUMIFS(請求記録!$AC$6:$AC$3005,請求記録!$B$6:$B$3005,$A50,請求記録!$X$6:$X$3005,U$5))))</f>
        <v/>
      </c>
      <c r="V50" s="19">
        <f>IF($A50="","",IF(COUNTIFS(請求記録!$B$6:$B$3005,$A50,請求記録!$X$6:$X$3005,V$5,請求記録!$AD$6:$AD$3005,"保留中")&gt;0,"保留",IF(COUNTIFS(請求記録!$B$6:$B$3005,$A50,請求記録!$X$6:$X$3005,V$5)=0,"",SUMIFS(請求記録!$AC$6:$AC$3005,請求記録!$B$6:$B$3005,$A50,請求記録!$X$6:$X$3005,V$5))))</f>
        <v/>
      </c>
      <c r="W50" s="19">
        <f>IF($A50="","",IF(COUNTIFS(請求記録!$B$6:$B$3005,$A50,請求記録!$X$6:$X$3005,W$5,請求記録!$AD$6:$AD$3005,"保留中")&gt;0,"保留",IF(COUNTIFS(請求記録!$B$6:$B$3005,$A50,請求記録!$X$6:$X$3005,W$5)=0,"",SUMIFS(請求記録!$AC$6:$AC$3005,請求記録!$B$6:$B$3005,$A50,請求記録!$X$6:$X$3005,W$5))))</f>
        <v/>
      </c>
      <c r="X50" s="19">
        <f>IF($A50="","",IF(COUNTIFS(請求記録!$B$6:$B$3005,$A50,請求記録!$X$6:$X$3005,X$5,請求記録!$AD$6:$AD$3005,"保留中")&gt;0,"保留",IF(COUNTIFS(請求記録!$B$6:$B$3005,$A50,請求記録!$X$6:$X$3005,X$5)=0,"",SUMIFS(請求記録!$AC$6:$AC$3005,請求記録!$B$6:$B$3005,$A50,請求記録!$X$6:$X$3005,X$5))))</f>
        <v/>
      </c>
      <c r="Y50" s="19">
        <f>IF($A50="","",IF(COUNTIFS(請求記録!$B$6:$B$3005,$A50,請求記録!$X$6:$X$3005,Y$5,請求記録!$AD$6:$AD$3005,"保留中")&gt;0,"保留",IF(COUNTIFS(請求記録!$B$6:$B$3005,$A50,請求記録!$X$6:$X$3005,Y$5)=0,"",SUMIFS(請求記録!$AC$6:$AC$3005,請求記録!$B$6:$B$3005,$A50,請求記録!$X$6:$X$3005,Y$5))))</f>
        <v/>
      </c>
      <c r="Z50" s="19">
        <f>IF($A50="","",IF(COUNTIFS(請求記録!$B$6:$B$3005,$A50,請求記録!$X$6:$X$3005,Z$5,請求記録!$AD$6:$AD$3005,"保留中")&gt;0,"保留",IF(COUNTIFS(請求記録!$B$6:$B$3005,$A50,請求記録!$X$6:$X$3005,Z$5)=0,"",SUMIFS(請求記録!$AC$6:$AC$3005,請求記録!$B$6:$B$3005,$A50,請求記録!$X$6:$X$3005,Z$5))))</f>
        <v/>
      </c>
      <c r="AA50" s="19">
        <f>IF($A50="","",IF(COUNTIFS(請求記録!$B$6:$B$3005,$A50,請求記録!$X$6:$X$3005,AA$5,請求記録!$AD$6:$AD$3005,"保留中")&gt;0,"保留",IF(COUNTIFS(請求記録!$B$6:$B$3005,$A50,請求記録!$X$6:$X$3005,AA$5)=0,"",SUMIFS(請求記録!$AC$6:$AC$3005,請求記録!$B$6:$B$3005,$A50,請求記録!$X$6:$X$3005,AA$5))))</f>
        <v/>
      </c>
      <c r="AB50">
        <f>IF(職員マスタ!P50="保留中",職員マスタ!M50,"")</f>
        <v/>
      </c>
    </row>
    <row r="51">
      <c r="A51">
        <f>IF(職員マスタ!A51="","",職員マスタ!A51)</f>
        <v/>
      </c>
      <c r="B51">
        <f>IF($A51="","",職員マスタ!B51)</f>
        <v/>
      </c>
      <c r="C51">
        <f>IF($A51="","",職員マスタ!C51)</f>
        <v/>
      </c>
      <c r="D51" s="19">
        <f>IF($A51="","",IF(COUNTIFS(請求記録!$B$6:$B$3005,$A51,請求記録!$X$6:$X$3005,D$5,請求記録!$AD$6:$AD$3005,"保留中")&gt;0,"保留",IF(COUNTIFS(請求記録!$B$6:$B$3005,$A51,請求記録!$X$6:$X$3005,D$5)=0,"",SUMIFS(請求記録!$AC$6:$AC$3005,請求記録!$B$6:$B$3005,$A51,請求記録!$X$6:$X$3005,D$5))))</f>
        <v/>
      </c>
      <c r="E51" s="19">
        <f>IF($A51="","",IF(COUNTIFS(請求記録!$B$6:$B$3005,$A51,請求記録!$X$6:$X$3005,E$5,請求記録!$AD$6:$AD$3005,"保留中")&gt;0,"保留",IF(COUNTIFS(請求記録!$B$6:$B$3005,$A51,請求記録!$X$6:$X$3005,E$5)=0,"",SUMIFS(請求記録!$AC$6:$AC$3005,請求記録!$B$6:$B$3005,$A51,請求記録!$X$6:$X$3005,E$5))))</f>
        <v/>
      </c>
      <c r="F51" s="19">
        <f>IF($A51="","",IF(COUNTIFS(請求記録!$B$6:$B$3005,$A51,請求記録!$X$6:$X$3005,F$5,請求記録!$AD$6:$AD$3005,"保留中")&gt;0,"保留",IF(COUNTIFS(請求記録!$B$6:$B$3005,$A51,請求記録!$X$6:$X$3005,F$5)=0,"",SUMIFS(請求記録!$AC$6:$AC$3005,請求記録!$B$6:$B$3005,$A51,請求記録!$X$6:$X$3005,F$5))))</f>
        <v/>
      </c>
      <c r="G51" s="19">
        <f>IF($A51="","",IF(COUNTIFS(請求記録!$B$6:$B$3005,$A51,請求記録!$X$6:$X$3005,G$5,請求記録!$AD$6:$AD$3005,"保留中")&gt;0,"保留",IF(COUNTIFS(請求記録!$B$6:$B$3005,$A51,請求記録!$X$6:$X$3005,G$5)=0,"",SUMIFS(請求記録!$AC$6:$AC$3005,請求記録!$B$6:$B$3005,$A51,請求記録!$X$6:$X$3005,G$5))))</f>
        <v/>
      </c>
      <c r="H51" s="19">
        <f>IF($A51="","",IF(COUNTIFS(請求記録!$B$6:$B$3005,$A51,請求記録!$X$6:$X$3005,H$5,請求記録!$AD$6:$AD$3005,"保留中")&gt;0,"保留",IF(COUNTIFS(請求記録!$B$6:$B$3005,$A51,請求記録!$X$6:$X$3005,H$5)=0,"",SUMIFS(請求記録!$AC$6:$AC$3005,請求記録!$B$6:$B$3005,$A51,請求記録!$X$6:$X$3005,H$5))))</f>
        <v/>
      </c>
      <c r="I51" s="19">
        <f>IF($A51="","",IF(COUNTIFS(請求記録!$B$6:$B$3005,$A51,請求記録!$X$6:$X$3005,I$5,請求記録!$AD$6:$AD$3005,"保留中")&gt;0,"保留",IF(COUNTIFS(請求記録!$B$6:$B$3005,$A51,請求記録!$X$6:$X$3005,I$5)=0,"",SUMIFS(請求記録!$AC$6:$AC$3005,請求記録!$B$6:$B$3005,$A51,請求記録!$X$6:$X$3005,I$5))))</f>
        <v/>
      </c>
      <c r="J51" s="19">
        <f>IF($A51="","",IF(COUNTIFS(請求記録!$B$6:$B$3005,$A51,請求記録!$X$6:$X$3005,J$5,請求記録!$AD$6:$AD$3005,"保留中")&gt;0,"保留",IF(COUNTIFS(請求記録!$B$6:$B$3005,$A51,請求記録!$X$6:$X$3005,J$5)=0,"",SUMIFS(請求記録!$AC$6:$AC$3005,請求記録!$B$6:$B$3005,$A51,請求記録!$X$6:$X$3005,J$5))))</f>
        <v/>
      </c>
      <c r="K51" s="19">
        <f>IF($A51="","",IF(COUNTIFS(請求記録!$B$6:$B$3005,$A51,請求記録!$X$6:$X$3005,K$5,請求記録!$AD$6:$AD$3005,"保留中")&gt;0,"保留",IF(COUNTIFS(請求記録!$B$6:$B$3005,$A51,請求記録!$X$6:$X$3005,K$5)=0,"",SUMIFS(請求記録!$AC$6:$AC$3005,請求記録!$B$6:$B$3005,$A51,請求記録!$X$6:$X$3005,K$5))))</f>
        <v/>
      </c>
      <c r="L51" s="19">
        <f>IF($A51="","",IF(COUNTIFS(請求記録!$B$6:$B$3005,$A51,請求記録!$X$6:$X$3005,L$5,請求記録!$AD$6:$AD$3005,"保留中")&gt;0,"保留",IF(COUNTIFS(請求記録!$B$6:$B$3005,$A51,請求記録!$X$6:$X$3005,L$5)=0,"",SUMIFS(請求記録!$AC$6:$AC$3005,請求記録!$B$6:$B$3005,$A51,請求記録!$X$6:$X$3005,L$5))))</f>
        <v/>
      </c>
      <c r="M51" s="19">
        <f>IF($A51="","",IF(COUNTIFS(請求記録!$B$6:$B$3005,$A51,請求記録!$X$6:$X$3005,M$5,請求記録!$AD$6:$AD$3005,"保留中")&gt;0,"保留",IF(COUNTIFS(請求記録!$B$6:$B$3005,$A51,請求記録!$X$6:$X$3005,M$5)=0,"",SUMIFS(請求記録!$AC$6:$AC$3005,請求記録!$B$6:$B$3005,$A51,請求記録!$X$6:$X$3005,M$5))))</f>
        <v/>
      </c>
      <c r="N51" s="19">
        <f>IF($A51="","",IF(COUNTIFS(請求記録!$B$6:$B$3005,$A51,請求記録!$X$6:$X$3005,N$5,請求記録!$AD$6:$AD$3005,"保留中")&gt;0,"保留",IF(COUNTIFS(請求記録!$B$6:$B$3005,$A51,請求記録!$X$6:$X$3005,N$5)=0,"",SUMIFS(請求記録!$AC$6:$AC$3005,請求記録!$B$6:$B$3005,$A51,請求記録!$X$6:$X$3005,N$5))))</f>
        <v/>
      </c>
      <c r="O51" s="19">
        <f>IF($A51="","",IF(COUNTIFS(請求記録!$B$6:$B$3005,$A51,請求記録!$X$6:$X$3005,O$5,請求記録!$AD$6:$AD$3005,"保留中")&gt;0,"保留",IF(COUNTIFS(請求記録!$B$6:$B$3005,$A51,請求記録!$X$6:$X$3005,O$5)=0,"",SUMIFS(請求記録!$AC$6:$AC$3005,請求記録!$B$6:$B$3005,$A51,請求記録!$X$6:$X$3005,O$5))))</f>
        <v/>
      </c>
      <c r="P51" s="19">
        <f>IF($A51="","",IF(COUNTIFS(請求記録!$B$6:$B$3005,$A51,請求記録!$X$6:$X$3005,P$5,請求記録!$AD$6:$AD$3005,"保留中")&gt;0,"保留",IF(COUNTIFS(請求記録!$B$6:$B$3005,$A51,請求記録!$X$6:$X$3005,P$5)=0,"",SUMIFS(請求記録!$AC$6:$AC$3005,請求記録!$B$6:$B$3005,$A51,請求記録!$X$6:$X$3005,P$5))))</f>
        <v/>
      </c>
      <c r="Q51" s="19">
        <f>IF($A51="","",IF(COUNTIFS(請求記録!$B$6:$B$3005,$A51,請求記録!$X$6:$X$3005,Q$5,請求記録!$AD$6:$AD$3005,"保留中")&gt;0,"保留",IF(COUNTIFS(請求記録!$B$6:$B$3005,$A51,請求記録!$X$6:$X$3005,Q$5)=0,"",SUMIFS(請求記録!$AC$6:$AC$3005,請求記録!$B$6:$B$3005,$A51,請求記録!$X$6:$X$3005,Q$5))))</f>
        <v/>
      </c>
      <c r="R51" s="19">
        <f>IF($A51="","",IF(COUNTIFS(請求記録!$B$6:$B$3005,$A51,請求記録!$X$6:$X$3005,R$5,請求記録!$AD$6:$AD$3005,"保留中")&gt;0,"保留",IF(COUNTIFS(請求記録!$B$6:$B$3005,$A51,請求記録!$X$6:$X$3005,R$5)=0,"",SUMIFS(請求記録!$AC$6:$AC$3005,請求記録!$B$6:$B$3005,$A51,請求記録!$X$6:$X$3005,R$5))))</f>
        <v/>
      </c>
      <c r="S51" s="19">
        <f>IF($A51="","",IF(COUNTIFS(請求記録!$B$6:$B$3005,$A51,請求記録!$X$6:$X$3005,S$5,請求記録!$AD$6:$AD$3005,"保留中")&gt;0,"保留",IF(COUNTIFS(請求記録!$B$6:$B$3005,$A51,請求記録!$X$6:$X$3005,S$5)=0,"",SUMIFS(請求記録!$AC$6:$AC$3005,請求記録!$B$6:$B$3005,$A51,請求記録!$X$6:$X$3005,S$5))))</f>
        <v/>
      </c>
      <c r="T51" s="19">
        <f>IF($A51="","",IF(COUNTIFS(請求記録!$B$6:$B$3005,$A51,請求記録!$X$6:$X$3005,T$5,請求記録!$AD$6:$AD$3005,"保留中")&gt;0,"保留",IF(COUNTIFS(請求記録!$B$6:$B$3005,$A51,請求記録!$X$6:$X$3005,T$5)=0,"",SUMIFS(請求記録!$AC$6:$AC$3005,請求記録!$B$6:$B$3005,$A51,請求記録!$X$6:$X$3005,T$5))))</f>
        <v/>
      </c>
      <c r="U51" s="19">
        <f>IF($A51="","",IF(COUNTIFS(請求記録!$B$6:$B$3005,$A51,請求記録!$X$6:$X$3005,U$5,請求記録!$AD$6:$AD$3005,"保留中")&gt;0,"保留",IF(COUNTIFS(請求記録!$B$6:$B$3005,$A51,請求記録!$X$6:$X$3005,U$5)=0,"",SUMIFS(請求記録!$AC$6:$AC$3005,請求記録!$B$6:$B$3005,$A51,請求記録!$X$6:$X$3005,U$5))))</f>
        <v/>
      </c>
      <c r="V51" s="19">
        <f>IF($A51="","",IF(COUNTIFS(請求記録!$B$6:$B$3005,$A51,請求記録!$X$6:$X$3005,V$5,請求記録!$AD$6:$AD$3005,"保留中")&gt;0,"保留",IF(COUNTIFS(請求記録!$B$6:$B$3005,$A51,請求記録!$X$6:$X$3005,V$5)=0,"",SUMIFS(請求記録!$AC$6:$AC$3005,請求記録!$B$6:$B$3005,$A51,請求記録!$X$6:$X$3005,V$5))))</f>
        <v/>
      </c>
      <c r="W51" s="19">
        <f>IF($A51="","",IF(COUNTIFS(請求記録!$B$6:$B$3005,$A51,請求記録!$X$6:$X$3005,W$5,請求記録!$AD$6:$AD$3005,"保留中")&gt;0,"保留",IF(COUNTIFS(請求記録!$B$6:$B$3005,$A51,請求記録!$X$6:$X$3005,W$5)=0,"",SUMIFS(請求記録!$AC$6:$AC$3005,請求記録!$B$6:$B$3005,$A51,請求記録!$X$6:$X$3005,W$5))))</f>
        <v/>
      </c>
      <c r="X51" s="19">
        <f>IF($A51="","",IF(COUNTIFS(請求記録!$B$6:$B$3005,$A51,請求記録!$X$6:$X$3005,X$5,請求記録!$AD$6:$AD$3005,"保留中")&gt;0,"保留",IF(COUNTIFS(請求記録!$B$6:$B$3005,$A51,請求記録!$X$6:$X$3005,X$5)=0,"",SUMIFS(請求記録!$AC$6:$AC$3005,請求記録!$B$6:$B$3005,$A51,請求記録!$X$6:$X$3005,X$5))))</f>
        <v/>
      </c>
      <c r="Y51" s="19">
        <f>IF($A51="","",IF(COUNTIFS(請求記録!$B$6:$B$3005,$A51,請求記録!$X$6:$X$3005,Y$5,請求記録!$AD$6:$AD$3005,"保留中")&gt;0,"保留",IF(COUNTIFS(請求記録!$B$6:$B$3005,$A51,請求記録!$X$6:$X$3005,Y$5)=0,"",SUMIFS(請求記録!$AC$6:$AC$3005,請求記録!$B$6:$B$3005,$A51,請求記録!$X$6:$X$3005,Y$5))))</f>
        <v/>
      </c>
      <c r="Z51" s="19">
        <f>IF($A51="","",IF(COUNTIFS(請求記録!$B$6:$B$3005,$A51,請求記録!$X$6:$X$3005,Z$5,請求記録!$AD$6:$AD$3005,"保留中")&gt;0,"保留",IF(COUNTIFS(請求記録!$B$6:$B$3005,$A51,請求記録!$X$6:$X$3005,Z$5)=0,"",SUMIFS(請求記録!$AC$6:$AC$3005,請求記録!$B$6:$B$3005,$A51,請求記録!$X$6:$X$3005,Z$5))))</f>
        <v/>
      </c>
      <c r="AA51" s="19">
        <f>IF($A51="","",IF(COUNTIFS(請求記録!$B$6:$B$3005,$A51,請求記録!$X$6:$X$3005,AA$5,請求記録!$AD$6:$AD$3005,"保留中")&gt;0,"保留",IF(COUNTIFS(請求記録!$B$6:$B$3005,$A51,請求記録!$X$6:$X$3005,AA$5)=0,"",SUMIFS(請求記録!$AC$6:$AC$3005,請求記録!$B$6:$B$3005,$A51,請求記録!$X$6:$X$3005,AA$5))))</f>
        <v/>
      </c>
      <c r="AB51">
        <f>IF(職員マスタ!P51="保留中",職員マスタ!M51,"")</f>
        <v/>
      </c>
    </row>
    <row r="52">
      <c r="A52">
        <f>IF(職員マスタ!A52="","",職員マスタ!A52)</f>
        <v/>
      </c>
      <c r="B52">
        <f>IF($A52="","",職員マスタ!B52)</f>
        <v/>
      </c>
      <c r="C52">
        <f>IF($A52="","",職員マスタ!C52)</f>
        <v/>
      </c>
      <c r="D52" s="19">
        <f>IF($A52="","",IF(COUNTIFS(請求記録!$B$6:$B$3005,$A52,請求記録!$X$6:$X$3005,D$5,請求記録!$AD$6:$AD$3005,"保留中")&gt;0,"保留",IF(COUNTIFS(請求記録!$B$6:$B$3005,$A52,請求記録!$X$6:$X$3005,D$5)=0,"",SUMIFS(請求記録!$AC$6:$AC$3005,請求記録!$B$6:$B$3005,$A52,請求記録!$X$6:$X$3005,D$5))))</f>
        <v/>
      </c>
      <c r="E52" s="19">
        <f>IF($A52="","",IF(COUNTIFS(請求記録!$B$6:$B$3005,$A52,請求記録!$X$6:$X$3005,E$5,請求記録!$AD$6:$AD$3005,"保留中")&gt;0,"保留",IF(COUNTIFS(請求記録!$B$6:$B$3005,$A52,請求記録!$X$6:$X$3005,E$5)=0,"",SUMIFS(請求記録!$AC$6:$AC$3005,請求記録!$B$6:$B$3005,$A52,請求記録!$X$6:$X$3005,E$5))))</f>
        <v/>
      </c>
      <c r="F52" s="19">
        <f>IF($A52="","",IF(COUNTIFS(請求記録!$B$6:$B$3005,$A52,請求記録!$X$6:$X$3005,F$5,請求記録!$AD$6:$AD$3005,"保留中")&gt;0,"保留",IF(COUNTIFS(請求記録!$B$6:$B$3005,$A52,請求記録!$X$6:$X$3005,F$5)=0,"",SUMIFS(請求記録!$AC$6:$AC$3005,請求記録!$B$6:$B$3005,$A52,請求記録!$X$6:$X$3005,F$5))))</f>
        <v/>
      </c>
      <c r="G52" s="19">
        <f>IF($A52="","",IF(COUNTIFS(請求記録!$B$6:$B$3005,$A52,請求記録!$X$6:$X$3005,G$5,請求記録!$AD$6:$AD$3005,"保留中")&gt;0,"保留",IF(COUNTIFS(請求記録!$B$6:$B$3005,$A52,請求記録!$X$6:$X$3005,G$5)=0,"",SUMIFS(請求記録!$AC$6:$AC$3005,請求記録!$B$6:$B$3005,$A52,請求記録!$X$6:$X$3005,G$5))))</f>
        <v/>
      </c>
      <c r="H52" s="19">
        <f>IF($A52="","",IF(COUNTIFS(請求記録!$B$6:$B$3005,$A52,請求記録!$X$6:$X$3005,H$5,請求記録!$AD$6:$AD$3005,"保留中")&gt;0,"保留",IF(COUNTIFS(請求記録!$B$6:$B$3005,$A52,請求記録!$X$6:$X$3005,H$5)=0,"",SUMIFS(請求記録!$AC$6:$AC$3005,請求記録!$B$6:$B$3005,$A52,請求記録!$X$6:$X$3005,H$5))))</f>
        <v/>
      </c>
      <c r="I52" s="19">
        <f>IF($A52="","",IF(COUNTIFS(請求記録!$B$6:$B$3005,$A52,請求記録!$X$6:$X$3005,I$5,請求記録!$AD$6:$AD$3005,"保留中")&gt;0,"保留",IF(COUNTIFS(請求記録!$B$6:$B$3005,$A52,請求記録!$X$6:$X$3005,I$5)=0,"",SUMIFS(請求記録!$AC$6:$AC$3005,請求記録!$B$6:$B$3005,$A52,請求記録!$X$6:$X$3005,I$5))))</f>
        <v/>
      </c>
      <c r="J52" s="19">
        <f>IF($A52="","",IF(COUNTIFS(請求記録!$B$6:$B$3005,$A52,請求記録!$X$6:$X$3005,J$5,請求記録!$AD$6:$AD$3005,"保留中")&gt;0,"保留",IF(COUNTIFS(請求記録!$B$6:$B$3005,$A52,請求記録!$X$6:$X$3005,J$5)=0,"",SUMIFS(請求記録!$AC$6:$AC$3005,請求記録!$B$6:$B$3005,$A52,請求記録!$X$6:$X$3005,J$5))))</f>
        <v/>
      </c>
      <c r="K52" s="19">
        <f>IF($A52="","",IF(COUNTIFS(請求記録!$B$6:$B$3005,$A52,請求記録!$X$6:$X$3005,K$5,請求記録!$AD$6:$AD$3005,"保留中")&gt;0,"保留",IF(COUNTIFS(請求記録!$B$6:$B$3005,$A52,請求記録!$X$6:$X$3005,K$5)=0,"",SUMIFS(請求記録!$AC$6:$AC$3005,請求記録!$B$6:$B$3005,$A52,請求記録!$X$6:$X$3005,K$5))))</f>
        <v/>
      </c>
      <c r="L52" s="19">
        <f>IF($A52="","",IF(COUNTIFS(請求記録!$B$6:$B$3005,$A52,請求記録!$X$6:$X$3005,L$5,請求記録!$AD$6:$AD$3005,"保留中")&gt;0,"保留",IF(COUNTIFS(請求記録!$B$6:$B$3005,$A52,請求記録!$X$6:$X$3005,L$5)=0,"",SUMIFS(請求記録!$AC$6:$AC$3005,請求記録!$B$6:$B$3005,$A52,請求記録!$X$6:$X$3005,L$5))))</f>
        <v/>
      </c>
      <c r="M52" s="19">
        <f>IF($A52="","",IF(COUNTIFS(請求記録!$B$6:$B$3005,$A52,請求記録!$X$6:$X$3005,M$5,請求記録!$AD$6:$AD$3005,"保留中")&gt;0,"保留",IF(COUNTIFS(請求記録!$B$6:$B$3005,$A52,請求記録!$X$6:$X$3005,M$5)=0,"",SUMIFS(請求記録!$AC$6:$AC$3005,請求記録!$B$6:$B$3005,$A52,請求記録!$X$6:$X$3005,M$5))))</f>
        <v/>
      </c>
      <c r="N52" s="19">
        <f>IF($A52="","",IF(COUNTIFS(請求記録!$B$6:$B$3005,$A52,請求記録!$X$6:$X$3005,N$5,請求記録!$AD$6:$AD$3005,"保留中")&gt;0,"保留",IF(COUNTIFS(請求記録!$B$6:$B$3005,$A52,請求記録!$X$6:$X$3005,N$5)=0,"",SUMIFS(請求記録!$AC$6:$AC$3005,請求記録!$B$6:$B$3005,$A52,請求記録!$X$6:$X$3005,N$5))))</f>
        <v/>
      </c>
      <c r="O52" s="19">
        <f>IF($A52="","",IF(COUNTIFS(請求記録!$B$6:$B$3005,$A52,請求記録!$X$6:$X$3005,O$5,請求記録!$AD$6:$AD$3005,"保留中")&gt;0,"保留",IF(COUNTIFS(請求記録!$B$6:$B$3005,$A52,請求記録!$X$6:$X$3005,O$5)=0,"",SUMIFS(請求記録!$AC$6:$AC$3005,請求記録!$B$6:$B$3005,$A52,請求記録!$X$6:$X$3005,O$5))))</f>
        <v/>
      </c>
      <c r="P52" s="19">
        <f>IF($A52="","",IF(COUNTIFS(請求記録!$B$6:$B$3005,$A52,請求記録!$X$6:$X$3005,P$5,請求記録!$AD$6:$AD$3005,"保留中")&gt;0,"保留",IF(COUNTIFS(請求記録!$B$6:$B$3005,$A52,請求記録!$X$6:$X$3005,P$5)=0,"",SUMIFS(請求記録!$AC$6:$AC$3005,請求記録!$B$6:$B$3005,$A52,請求記録!$X$6:$X$3005,P$5))))</f>
        <v/>
      </c>
      <c r="Q52" s="19">
        <f>IF($A52="","",IF(COUNTIFS(請求記録!$B$6:$B$3005,$A52,請求記録!$X$6:$X$3005,Q$5,請求記録!$AD$6:$AD$3005,"保留中")&gt;0,"保留",IF(COUNTIFS(請求記録!$B$6:$B$3005,$A52,請求記録!$X$6:$X$3005,Q$5)=0,"",SUMIFS(請求記録!$AC$6:$AC$3005,請求記録!$B$6:$B$3005,$A52,請求記録!$X$6:$X$3005,Q$5))))</f>
        <v/>
      </c>
      <c r="R52" s="19">
        <f>IF($A52="","",IF(COUNTIFS(請求記録!$B$6:$B$3005,$A52,請求記録!$X$6:$X$3005,R$5,請求記録!$AD$6:$AD$3005,"保留中")&gt;0,"保留",IF(COUNTIFS(請求記録!$B$6:$B$3005,$A52,請求記録!$X$6:$X$3005,R$5)=0,"",SUMIFS(請求記録!$AC$6:$AC$3005,請求記録!$B$6:$B$3005,$A52,請求記録!$X$6:$X$3005,R$5))))</f>
        <v/>
      </c>
      <c r="S52" s="19">
        <f>IF($A52="","",IF(COUNTIFS(請求記録!$B$6:$B$3005,$A52,請求記録!$X$6:$X$3005,S$5,請求記録!$AD$6:$AD$3005,"保留中")&gt;0,"保留",IF(COUNTIFS(請求記録!$B$6:$B$3005,$A52,請求記録!$X$6:$X$3005,S$5)=0,"",SUMIFS(請求記録!$AC$6:$AC$3005,請求記録!$B$6:$B$3005,$A52,請求記録!$X$6:$X$3005,S$5))))</f>
        <v/>
      </c>
      <c r="T52" s="19">
        <f>IF($A52="","",IF(COUNTIFS(請求記録!$B$6:$B$3005,$A52,請求記録!$X$6:$X$3005,T$5,請求記録!$AD$6:$AD$3005,"保留中")&gt;0,"保留",IF(COUNTIFS(請求記録!$B$6:$B$3005,$A52,請求記録!$X$6:$X$3005,T$5)=0,"",SUMIFS(請求記録!$AC$6:$AC$3005,請求記録!$B$6:$B$3005,$A52,請求記録!$X$6:$X$3005,T$5))))</f>
        <v/>
      </c>
      <c r="U52" s="19">
        <f>IF($A52="","",IF(COUNTIFS(請求記録!$B$6:$B$3005,$A52,請求記録!$X$6:$X$3005,U$5,請求記録!$AD$6:$AD$3005,"保留中")&gt;0,"保留",IF(COUNTIFS(請求記録!$B$6:$B$3005,$A52,請求記録!$X$6:$X$3005,U$5)=0,"",SUMIFS(請求記録!$AC$6:$AC$3005,請求記録!$B$6:$B$3005,$A52,請求記録!$X$6:$X$3005,U$5))))</f>
        <v/>
      </c>
      <c r="V52" s="19">
        <f>IF($A52="","",IF(COUNTIFS(請求記録!$B$6:$B$3005,$A52,請求記録!$X$6:$X$3005,V$5,請求記録!$AD$6:$AD$3005,"保留中")&gt;0,"保留",IF(COUNTIFS(請求記録!$B$6:$B$3005,$A52,請求記録!$X$6:$X$3005,V$5)=0,"",SUMIFS(請求記録!$AC$6:$AC$3005,請求記録!$B$6:$B$3005,$A52,請求記録!$X$6:$X$3005,V$5))))</f>
        <v/>
      </c>
      <c r="W52" s="19">
        <f>IF($A52="","",IF(COUNTIFS(請求記録!$B$6:$B$3005,$A52,請求記録!$X$6:$X$3005,W$5,請求記録!$AD$6:$AD$3005,"保留中")&gt;0,"保留",IF(COUNTIFS(請求記録!$B$6:$B$3005,$A52,請求記録!$X$6:$X$3005,W$5)=0,"",SUMIFS(請求記録!$AC$6:$AC$3005,請求記録!$B$6:$B$3005,$A52,請求記録!$X$6:$X$3005,W$5))))</f>
        <v/>
      </c>
      <c r="X52" s="19">
        <f>IF($A52="","",IF(COUNTIFS(請求記録!$B$6:$B$3005,$A52,請求記録!$X$6:$X$3005,X$5,請求記録!$AD$6:$AD$3005,"保留中")&gt;0,"保留",IF(COUNTIFS(請求記録!$B$6:$B$3005,$A52,請求記録!$X$6:$X$3005,X$5)=0,"",SUMIFS(請求記録!$AC$6:$AC$3005,請求記録!$B$6:$B$3005,$A52,請求記録!$X$6:$X$3005,X$5))))</f>
        <v/>
      </c>
      <c r="Y52" s="19">
        <f>IF($A52="","",IF(COUNTIFS(請求記録!$B$6:$B$3005,$A52,請求記録!$X$6:$X$3005,Y$5,請求記録!$AD$6:$AD$3005,"保留中")&gt;0,"保留",IF(COUNTIFS(請求記録!$B$6:$B$3005,$A52,請求記録!$X$6:$X$3005,Y$5)=0,"",SUMIFS(請求記録!$AC$6:$AC$3005,請求記録!$B$6:$B$3005,$A52,請求記録!$X$6:$X$3005,Y$5))))</f>
        <v/>
      </c>
      <c r="Z52" s="19">
        <f>IF($A52="","",IF(COUNTIFS(請求記録!$B$6:$B$3005,$A52,請求記録!$X$6:$X$3005,Z$5,請求記録!$AD$6:$AD$3005,"保留中")&gt;0,"保留",IF(COUNTIFS(請求記録!$B$6:$B$3005,$A52,請求記録!$X$6:$X$3005,Z$5)=0,"",SUMIFS(請求記録!$AC$6:$AC$3005,請求記録!$B$6:$B$3005,$A52,請求記録!$X$6:$X$3005,Z$5))))</f>
        <v/>
      </c>
      <c r="AA52" s="19">
        <f>IF($A52="","",IF(COUNTIFS(請求記録!$B$6:$B$3005,$A52,請求記録!$X$6:$X$3005,AA$5,請求記録!$AD$6:$AD$3005,"保留中")&gt;0,"保留",IF(COUNTIFS(請求記録!$B$6:$B$3005,$A52,請求記録!$X$6:$X$3005,AA$5)=0,"",SUMIFS(請求記録!$AC$6:$AC$3005,請求記録!$B$6:$B$3005,$A52,請求記録!$X$6:$X$3005,AA$5))))</f>
        <v/>
      </c>
      <c r="AB52">
        <f>IF(職員マスタ!P52="保留中",職員マスタ!M52,"")</f>
        <v/>
      </c>
    </row>
    <row r="53">
      <c r="A53">
        <f>IF(職員マスタ!A53="","",職員マスタ!A53)</f>
        <v/>
      </c>
      <c r="B53">
        <f>IF($A53="","",職員マスタ!B53)</f>
        <v/>
      </c>
      <c r="C53">
        <f>IF($A53="","",職員マスタ!C53)</f>
        <v/>
      </c>
      <c r="D53" s="19">
        <f>IF($A53="","",IF(COUNTIFS(請求記録!$B$6:$B$3005,$A53,請求記録!$X$6:$X$3005,D$5,請求記録!$AD$6:$AD$3005,"保留中")&gt;0,"保留",IF(COUNTIFS(請求記録!$B$6:$B$3005,$A53,請求記録!$X$6:$X$3005,D$5)=0,"",SUMIFS(請求記録!$AC$6:$AC$3005,請求記録!$B$6:$B$3005,$A53,請求記録!$X$6:$X$3005,D$5))))</f>
        <v/>
      </c>
      <c r="E53" s="19">
        <f>IF($A53="","",IF(COUNTIFS(請求記録!$B$6:$B$3005,$A53,請求記録!$X$6:$X$3005,E$5,請求記録!$AD$6:$AD$3005,"保留中")&gt;0,"保留",IF(COUNTIFS(請求記録!$B$6:$B$3005,$A53,請求記録!$X$6:$X$3005,E$5)=0,"",SUMIFS(請求記録!$AC$6:$AC$3005,請求記録!$B$6:$B$3005,$A53,請求記録!$X$6:$X$3005,E$5))))</f>
        <v/>
      </c>
      <c r="F53" s="19">
        <f>IF($A53="","",IF(COUNTIFS(請求記録!$B$6:$B$3005,$A53,請求記録!$X$6:$X$3005,F$5,請求記録!$AD$6:$AD$3005,"保留中")&gt;0,"保留",IF(COUNTIFS(請求記録!$B$6:$B$3005,$A53,請求記録!$X$6:$X$3005,F$5)=0,"",SUMIFS(請求記録!$AC$6:$AC$3005,請求記録!$B$6:$B$3005,$A53,請求記録!$X$6:$X$3005,F$5))))</f>
        <v/>
      </c>
      <c r="G53" s="19">
        <f>IF($A53="","",IF(COUNTIFS(請求記録!$B$6:$B$3005,$A53,請求記録!$X$6:$X$3005,G$5,請求記録!$AD$6:$AD$3005,"保留中")&gt;0,"保留",IF(COUNTIFS(請求記録!$B$6:$B$3005,$A53,請求記録!$X$6:$X$3005,G$5)=0,"",SUMIFS(請求記録!$AC$6:$AC$3005,請求記録!$B$6:$B$3005,$A53,請求記録!$X$6:$X$3005,G$5))))</f>
        <v/>
      </c>
      <c r="H53" s="19">
        <f>IF($A53="","",IF(COUNTIFS(請求記録!$B$6:$B$3005,$A53,請求記録!$X$6:$X$3005,H$5,請求記録!$AD$6:$AD$3005,"保留中")&gt;0,"保留",IF(COUNTIFS(請求記録!$B$6:$B$3005,$A53,請求記録!$X$6:$X$3005,H$5)=0,"",SUMIFS(請求記録!$AC$6:$AC$3005,請求記録!$B$6:$B$3005,$A53,請求記録!$X$6:$X$3005,H$5))))</f>
        <v/>
      </c>
      <c r="I53" s="19">
        <f>IF($A53="","",IF(COUNTIFS(請求記録!$B$6:$B$3005,$A53,請求記録!$X$6:$X$3005,I$5,請求記録!$AD$6:$AD$3005,"保留中")&gt;0,"保留",IF(COUNTIFS(請求記録!$B$6:$B$3005,$A53,請求記録!$X$6:$X$3005,I$5)=0,"",SUMIFS(請求記録!$AC$6:$AC$3005,請求記録!$B$6:$B$3005,$A53,請求記録!$X$6:$X$3005,I$5))))</f>
        <v/>
      </c>
      <c r="J53" s="19">
        <f>IF($A53="","",IF(COUNTIFS(請求記録!$B$6:$B$3005,$A53,請求記録!$X$6:$X$3005,J$5,請求記録!$AD$6:$AD$3005,"保留中")&gt;0,"保留",IF(COUNTIFS(請求記録!$B$6:$B$3005,$A53,請求記録!$X$6:$X$3005,J$5)=0,"",SUMIFS(請求記録!$AC$6:$AC$3005,請求記録!$B$6:$B$3005,$A53,請求記録!$X$6:$X$3005,J$5))))</f>
        <v/>
      </c>
      <c r="K53" s="19">
        <f>IF($A53="","",IF(COUNTIFS(請求記録!$B$6:$B$3005,$A53,請求記録!$X$6:$X$3005,K$5,請求記録!$AD$6:$AD$3005,"保留中")&gt;0,"保留",IF(COUNTIFS(請求記録!$B$6:$B$3005,$A53,請求記録!$X$6:$X$3005,K$5)=0,"",SUMIFS(請求記録!$AC$6:$AC$3005,請求記録!$B$6:$B$3005,$A53,請求記録!$X$6:$X$3005,K$5))))</f>
        <v/>
      </c>
      <c r="L53" s="19">
        <f>IF($A53="","",IF(COUNTIFS(請求記録!$B$6:$B$3005,$A53,請求記録!$X$6:$X$3005,L$5,請求記録!$AD$6:$AD$3005,"保留中")&gt;0,"保留",IF(COUNTIFS(請求記録!$B$6:$B$3005,$A53,請求記録!$X$6:$X$3005,L$5)=0,"",SUMIFS(請求記録!$AC$6:$AC$3005,請求記録!$B$6:$B$3005,$A53,請求記録!$X$6:$X$3005,L$5))))</f>
        <v/>
      </c>
      <c r="M53" s="19">
        <f>IF($A53="","",IF(COUNTIFS(請求記録!$B$6:$B$3005,$A53,請求記録!$X$6:$X$3005,M$5,請求記録!$AD$6:$AD$3005,"保留中")&gt;0,"保留",IF(COUNTIFS(請求記録!$B$6:$B$3005,$A53,請求記録!$X$6:$X$3005,M$5)=0,"",SUMIFS(請求記録!$AC$6:$AC$3005,請求記録!$B$6:$B$3005,$A53,請求記録!$X$6:$X$3005,M$5))))</f>
        <v/>
      </c>
      <c r="N53" s="19">
        <f>IF($A53="","",IF(COUNTIFS(請求記録!$B$6:$B$3005,$A53,請求記録!$X$6:$X$3005,N$5,請求記録!$AD$6:$AD$3005,"保留中")&gt;0,"保留",IF(COUNTIFS(請求記録!$B$6:$B$3005,$A53,請求記録!$X$6:$X$3005,N$5)=0,"",SUMIFS(請求記録!$AC$6:$AC$3005,請求記録!$B$6:$B$3005,$A53,請求記録!$X$6:$X$3005,N$5))))</f>
        <v/>
      </c>
      <c r="O53" s="19">
        <f>IF($A53="","",IF(COUNTIFS(請求記録!$B$6:$B$3005,$A53,請求記録!$X$6:$X$3005,O$5,請求記録!$AD$6:$AD$3005,"保留中")&gt;0,"保留",IF(COUNTIFS(請求記録!$B$6:$B$3005,$A53,請求記録!$X$6:$X$3005,O$5)=0,"",SUMIFS(請求記録!$AC$6:$AC$3005,請求記録!$B$6:$B$3005,$A53,請求記録!$X$6:$X$3005,O$5))))</f>
        <v/>
      </c>
      <c r="P53" s="19">
        <f>IF($A53="","",IF(COUNTIFS(請求記録!$B$6:$B$3005,$A53,請求記録!$X$6:$X$3005,P$5,請求記録!$AD$6:$AD$3005,"保留中")&gt;0,"保留",IF(COUNTIFS(請求記録!$B$6:$B$3005,$A53,請求記録!$X$6:$X$3005,P$5)=0,"",SUMIFS(請求記録!$AC$6:$AC$3005,請求記録!$B$6:$B$3005,$A53,請求記録!$X$6:$X$3005,P$5))))</f>
        <v/>
      </c>
      <c r="Q53" s="19">
        <f>IF($A53="","",IF(COUNTIFS(請求記録!$B$6:$B$3005,$A53,請求記録!$X$6:$X$3005,Q$5,請求記録!$AD$6:$AD$3005,"保留中")&gt;0,"保留",IF(COUNTIFS(請求記録!$B$6:$B$3005,$A53,請求記録!$X$6:$X$3005,Q$5)=0,"",SUMIFS(請求記録!$AC$6:$AC$3005,請求記録!$B$6:$B$3005,$A53,請求記録!$X$6:$X$3005,Q$5))))</f>
        <v/>
      </c>
      <c r="R53" s="19">
        <f>IF($A53="","",IF(COUNTIFS(請求記録!$B$6:$B$3005,$A53,請求記録!$X$6:$X$3005,R$5,請求記録!$AD$6:$AD$3005,"保留中")&gt;0,"保留",IF(COUNTIFS(請求記録!$B$6:$B$3005,$A53,請求記録!$X$6:$X$3005,R$5)=0,"",SUMIFS(請求記録!$AC$6:$AC$3005,請求記録!$B$6:$B$3005,$A53,請求記録!$X$6:$X$3005,R$5))))</f>
        <v/>
      </c>
      <c r="S53" s="19">
        <f>IF($A53="","",IF(COUNTIFS(請求記録!$B$6:$B$3005,$A53,請求記録!$X$6:$X$3005,S$5,請求記録!$AD$6:$AD$3005,"保留中")&gt;0,"保留",IF(COUNTIFS(請求記録!$B$6:$B$3005,$A53,請求記録!$X$6:$X$3005,S$5)=0,"",SUMIFS(請求記録!$AC$6:$AC$3005,請求記録!$B$6:$B$3005,$A53,請求記録!$X$6:$X$3005,S$5))))</f>
        <v/>
      </c>
      <c r="T53" s="19">
        <f>IF($A53="","",IF(COUNTIFS(請求記録!$B$6:$B$3005,$A53,請求記録!$X$6:$X$3005,T$5,請求記録!$AD$6:$AD$3005,"保留中")&gt;0,"保留",IF(COUNTIFS(請求記録!$B$6:$B$3005,$A53,請求記録!$X$6:$X$3005,T$5)=0,"",SUMIFS(請求記録!$AC$6:$AC$3005,請求記録!$B$6:$B$3005,$A53,請求記録!$X$6:$X$3005,T$5))))</f>
        <v/>
      </c>
      <c r="U53" s="19">
        <f>IF($A53="","",IF(COUNTIFS(請求記録!$B$6:$B$3005,$A53,請求記録!$X$6:$X$3005,U$5,請求記録!$AD$6:$AD$3005,"保留中")&gt;0,"保留",IF(COUNTIFS(請求記録!$B$6:$B$3005,$A53,請求記録!$X$6:$X$3005,U$5)=0,"",SUMIFS(請求記録!$AC$6:$AC$3005,請求記録!$B$6:$B$3005,$A53,請求記録!$X$6:$X$3005,U$5))))</f>
        <v/>
      </c>
      <c r="V53" s="19">
        <f>IF($A53="","",IF(COUNTIFS(請求記録!$B$6:$B$3005,$A53,請求記録!$X$6:$X$3005,V$5,請求記録!$AD$6:$AD$3005,"保留中")&gt;0,"保留",IF(COUNTIFS(請求記録!$B$6:$B$3005,$A53,請求記録!$X$6:$X$3005,V$5)=0,"",SUMIFS(請求記録!$AC$6:$AC$3005,請求記録!$B$6:$B$3005,$A53,請求記録!$X$6:$X$3005,V$5))))</f>
        <v/>
      </c>
      <c r="W53" s="19">
        <f>IF($A53="","",IF(COUNTIFS(請求記録!$B$6:$B$3005,$A53,請求記録!$X$6:$X$3005,W$5,請求記録!$AD$6:$AD$3005,"保留中")&gt;0,"保留",IF(COUNTIFS(請求記録!$B$6:$B$3005,$A53,請求記録!$X$6:$X$3005,W$5)=0,"",SUMIFS(請求記録!$AC$6:$AC$3005,請求記録!$B$6:$B$3005,$A53,請求記録!$X$6:$X$3005,W$5))))</f>
        <v/>
      </c>
      <c r="X53" s="19">
        <f>IF($A53="","",IF(COUNTIFS(請求記録!$B$6:$B$3005,$A53,請求記録!$X$6:$X$3005,X$5,請求記録!$AD$6:$AD$3005,"保留中")&gt;0,"保留",IF(COUNTIFS(請求記録!$B$6:$B$3005,$A53,請求記録!$X$6:$X$3005,X$5)=0,"",SUMIFS(請求記録!$AC$6:$AC$3005,請求記録!$B$6:$B$3005,$A53,請求記録!$X$6:$X$3005,X$5))))</f>
        <v/>
      </c>
      <c r="Y53" s="19">
        <f>IF($A53="","",IF(COUNTIFS(請求記録!$B$6:$B$3005,$A53,請求記録!$X$6:$X$3005,Y$5,請求記録!$AD$6:$AD$3005,"保留中")&gt;0,"保留",IF(COUNTIFS(請求記録!$B$6:$B$3005,$A53,請求記録!$X$6:$X$3005,Y$5)=0,"",SUMIFS(請求記録!$AC$6:$AC$3005,請求記録!$B$6:$B$3005,$A53,請求記録!$X$6:$X$3005,Y$5))))</f>
        <v/>
      </c>
      <c r="Z53" s="19">
        <f>IF($A53="","",IF(COUNTIFS(請求記録!$B$6:$B$3005,$A53,請求記録!$X$6:$X$3005,Z$5,請求記録!$AD$6:$AD$3005,"保留中")&gt;0,"保留",IF(COUNTIFS(請求記録!$B$6:$B$3005,$A53,請求記録!$X$6:$X$3005,Z$5)=0,"",SUMIFS(請求記録!$AC$6:$AC$3005,請求記録!$B$6:$B$3005,$A53,請求記録!$X$6:$X$3005,Z$5))))</f>
        <v/>
      </c>
      <c r="AA53" s="19">
        <f>IF($A53="","",IF(COUNTIFS(請求記録!$B$6:$B$3005,$A53,請求記録!$X$6:$X$3005,AA$5,請求記録!$AD$6:$AD$3005,"保留中")&gt;0,"保留",IF(COUNTIFS(請求記録!$B$6:$B$3005,$A53,請求記録!$X$6:$X$3005,AA$5)=0,"",SUMIFS(請求記録!$AC$6:$AC$3005,請求記録!$B$6:$B$3005,$A53,請求記録!$X$6:$X$3005,AA$5))))</f>
        <v/>
      </c>
      <c r="AB53">
        <f>IF(職員マスタ!P53="保留中",職員マスタ!M53,"")</f>
        <v/>
      </c>
    </row>
    <row r="54">
      <c r="A54">
        <f>IF(職員マスタ!A54="","",職員マスタ!A54)</f>
        <v/>
      </c>
      <c r="B54">
        <f>IF($A54="","",職員マスタ!B54)</f>
        <v/>
      </c>
      <c r="C54">
        <f>IF($A54="","",職員マスタ!C54)</f>
        <v/>
      </c>
      <c r="D54" s="19">
        <f>IF($A54="","",IF(COUNTIFS(請求記録!$B$6:$B$3005,$A54,請求記録!$X$6:$X$3005,D$5,請求記録!$AD$6:$AD$3005,"保留中")&gt;0,"保留",IF(COUNTIFS(請求記録!$B$6:$B$3005,$A54,請求記録!$X$6:$X$3005,D$5)=0,"",SUMIFS(請求記録!$AC$6:$AC$3005,請求記録!$B$6:$B$3005,$A54,請求記録!$X$6:$X$3005,D$5))))</f>
        <v/>
      </c>
      <c r="E54" s="19">
        <f>IF($A54="","",IF(COUNTIFS(請求記録!$B$6:$B$3005,$A54,請求記録!$X$6:$X$3005,E$5,請求記録!$AD$6:$AD$3005,"保留中")&gt;0,"保留",IF(COUNTIFS(請求記録!$B$6:$B$3005,$A54,請求記録!$X$6:$X$3005,E$5)=0,"",SUMIFS(請求記録!$AC$6:$AC$3005,請求記録!$B$6:$B$3005,$A54,請求記録!$X$6:$X$3005,E$5))))</f>
        <v/>
      </c>
      <c r="F54" s="19">
        <f>IF($A54="","",IF(COUNTIFS(請求記録!$B$6:$B$3005,$A54,請求記録!$X$6:$X$3005,F$5,請求記録!$AD$6:$AD$3005,"保留中")&gt;0,"保留",IF(COUNTIFS(請求記録!$B$6:$B$3005,$A54,請求記録!$X$6:$X$3005,F$5)=0,"",SUMIFS(請求記録!$AC$6:$AC$3005,請求記録!$B$6:$B$3005,$A54,請求記録!$X$6:$X$3005,F$5))))</f>
        <v/>
      </c>
      <c r="G54" s="19">
        <f>IF($A54="","",IF(COUNTIFS(請求記録!$B$6:$B$3005,$A54,請求記録!$X$6:$X$3005,G$5,請求記録!$AD$6:$AD$3005,"保留中")&gt;0,"保留",IF(COUNTIFS(請求記録!$B$6:$B$3005,$A54,請求記録!$X$6:$X$3005,G$5)=0,"",SUMIFS(請求記録!$AC$6:$AC$3005,請求記録!$B$6:$B$3005,$A54,請求記録!$X$6:$X$3005,G$5))))</f>
        <v/>
      </c>
      <c r="H54" s="19">
        <f>IF($A54="","",IF(COUNTIFS(請求記録!$B$6:$B$3005,$A54,請求記録!$X$6:$X$3005,H$5,請求記録!$AD$6:$AD$3005,"保留中")&gt;0,"保留",IF(COUNTIFS(請求記録!$B$6:$B$3005,$A54,請求記録!$X$6:$X$3005,H$5)=0,"",SUMIFS(請求記録!$AC$6:$AC$3005,請求記録!$B$6:$B$3005,$A54,請求記録!$X$6:$X$3005,H$5))))</f>
        <v/>
      </c>
      <c r="I54" s="19">
        <f>IF($A54="","",IF(COUNTIFS(請求記録!$B$6:$B$3005,$A54,請求記録!$X$6:$X$3005,I$5,請求記録!$AD$6:$AD$3005,"保留中")&gt;0,"保留",IF(COUNTIFS(請求記録!$B$6:$B$3005,$A54,請求記録!$X$6:$X$3005,I$5)=0,"",SUMIFS(請求記録!$AC$6:$AC$3005,請求記録!$B$6:$B$3005,$A54,請求記録!$X$6:$X$3005,I$5))))</f>
        <v/>
      </c>
      <c r="J54" s="19">
        <f>IF($A54="","",IF(COUNTIFS(請求記録!$B$6:$B$3005,$A54,請求記録!$X$6:$X$3005,J$5,請求記録!$AD$6:$AD$3005,"保留中")&gt;0,"保留",IF(COUNTIFS(請求記録!$B$6:$B$3005,$A54,請求記録!$X$6:$X$3005,J$5)=0,"",SUMIFS(請求記録!$AC$6:$AC$3005,請求記録!$B$6:$B$3005,$A54,請求記録!$X$6:$X$3005,J$5))))</f>
        <v/>
      </c>
      <c r="K54" s="19">
        <f>IF($A54="","",IF(COUNTIFS(請求記録!$B$6:$B$3005,$A54,請求記録!$X$6:$X$3005,K$5,請求記録!$AD$6:$AD$3005,"保留中")&gt;0,"保留",IF(COUNTIFS(請求記録!$B$6:$B$3005,$A54,請求記録!$X$6:$X$3005,K$5)=0,"",SUMIFS(請求記録!$AC$6:$AC$3005,請求記録!$B$6:$B$3005,$A54,請求記録!$X$6:$X$3005,K$5))))</f>
        <v/>
      </c>
      <c r="L54" s="19">
        <f>IF($A54="","",IF(COUNTIFS(請求記録!$B$6:$B$3005,$A54,請求記録!$X$6:$X$3005,L$5,請求記録!$AD$6:$AD$3005,"保留中")&gt;0,"保留",IF(COUNTIFS(請求記録!$B$6:$B$3005,$A54,請求記録!$X$6:$X$3005,L$5)=0,"",SUMIFS(請求記録!$AC$6:$AC$3005,請求記録!$B$6:$B$3005,$A54,請求記録!$X$6:$X$3005,L$5))))</f>
        <v/>
      </c>
      <c r="M54" s="19">
        <f>IF($A54="","",IF(COUNTIFS(請求記録!$B$6:$B$3005,$A54,請求記録!$X$6:$X$3005,M$5,請求記録!$AD$6:$AD$3005,"保留中")&gt;0,"保留",IF(COUNTIFS(請求記録!$B$6:$B$3005,$A54,請求記録!$X$6:$X$3005,M$5)=0,"",SUMIFS(請求記録!$AC$6:$AC$3005,請求記録!$B$6:$B$3005,$A54,請求記録!$X$6:$X$3005,M$5))))</f>
        <v/>
      </c>
      <c r="N54" s="19">
        <f>IF($A54="","",IF(COUNTIFS(請求記録!$B$6:$B$3005,$A54,請求記録!$X$6:$X$3005,N$5,請求記録!$AD$6:$AD$3005,"保留中")&gt;0,"保留",IF(COUNTIFS(請求記録!$B$6:$B$3005,$A54,請求記録!$X$6:$X$3005,N$5)=0,"",SUMIFS(請求記録!$AC$6:$AC$3005,請求記録!$B$6:$B$3005,$A54,請求記録!$X$6:$X$3005,N$5))))</f>
        <v/>
      </c>
      <c r="O54" s="19">
        <f>IF($A54="","",IF(COUNTIFS(請求記録!$B$6:$B$3005,$A54,請求記録!$X$6:$X$3005,O$5,請求記録!$AD$6:$AD$3005,"保留中")&gt;0,"保留",IF(COUNTIFS(請求記録!$B$6:$B$3005,$A54,請求記録!$X$6:$X$3005,O$5)=0,"",SUMIFS(請求記録!$AC$6:$AC$3005,請求記録!$B$6:$B$3005,$A54,請求記録!$X$6:$X$3005,O$5))))</f>
        <v/>
      </c>
      <c r="P54" s="19">
        <f>IF($A54="","",IF(COUNTIFS(請求記録!$B$6:$B$3005,$A54,請求記録!$X$6:$X$3005,P$5,請求記録!$AD$6:$AD$3005,"保留中")&gt;0,"保留",IF(COUNTIFS(請求記録!$B$6:$B$3005,$A54,請求記録!$X$6:$X$3005,P$5)=0,"",SUMIFS(請求記録!$AC$6:$AC$3005,請求記録!$B$6:$B$3005,$A54,請求記録!$X$6:$X$3005,P$5))))</f>
        <v/>
      </c>
      <c r="Q54" s="19">
        <f>IF($A54="","",IF(COUNTIFS(請求記録!$B$6:$B$3005,$A54,請求記録!$X$6:$X$3005,Q$5,請求記録!$AD$6:$AD$3005,"保留中")&gt;0,"保留",IF(COUNTIFS(請求記録!$B$6:$B$3005,$A54,請求記録!$X$6:$X$3005,Q$5)=0,"",SUMIFS(請求記録!$AC$6:$AC$3005,請求記録!$B$6:$B$3005,$A54,請求記録!$X$6:$X$3005,Q$5))))</f>
        <v/>
      </c>
      <c r="R54" s="19">
        <f>IF($A54="","",IF(COUNTIFS(請求記録!$B$6:$B$3005,$A54,請求記録!$X$6:$X$3005,R$5,請求記録!$AD$6:$AD$3005,"保留中")&gt;0,"保留",IF(COUNTIFS(請求記録!$B$6:$B$3005,$A54,請求記録!$X$6:$X$3005,R$5)=0,"",SUMIFS(請求記録!$AC$6:$AC$3005,請求記録!$B$6:$B$3005,$A54,請求記録!$X$6:$X$3005,R$5))))</f>
        <v/>
      </c>
      <c r="S54" s="19">
        <f>IF($A54="","",IF(COUNTIFS(請求記録!$B$6:$B$3005,$A54,請求記録!$X$6:$X$3005,S$5,請求記録!$AD$6:$AD$3005,"保留中")&gt;0,"保留",IF(COUNTIFS(請求記録!$B$6:$B$3005,$A54,請求記録!$X$6:$X$3005,S$5)=0,"",SUMIFS(請求記録!$AC$6:$AC$3005,請求記録!$B$6:$B$3005,$A54,請求記録!$X$6:$X$3005,S$5))))</f>
        <v/>
      </c>
      <c r="T54" s="19">
        <f>IF($A54="","",IF(COUNTIFS(請求記録!$B$6:$B$3005,$A54,請求記録!$X$6:$X$3005,T$5,請求記録!$AD$6:$AD$3005,"保留中")&gt;0,"保留",IF(COUNTIFS(請求記録!$B$6:$B$3005,$A54,請求記録!$X$6:$X$3005,T$5)=0,"",SUMIFS(請求記録!$AC$6:$AC$3005,請求記録!$B$6:$B$3005,$A54,請求記録!$X$6:$X$3005,T$5))))</f>
        <v/>
      </c>
      <c r="U54" s="19">
        <f>IF($A54="","",IF(COUNTIFS(請求記録!$B$6:$B$3005,$A54,請求記録!$X$6:$X$3005,U$5,請求記録!$AD$6:$AD$3005,"保留中")&gt;0,"保留",IF(COUNTIFS(請求記録!$B$6:$B$3005,$A54,請求記録!$X$6:$X$3005,U$5)=0,"",SUMIFS(請求記録!$AC$6:$AC$3005,請求記録!$B$6:$B$3005,$A54,請求記録!$X$6:$X$3005,U$5))))</f>
        <v/>
      </c>
      <c r="V54" s="19">
        <f>IF($A54="","",IF(COUNTIFS(請求記録!$B$6:$B$3005,$A54,請求記録!$X$6:$X$3005,V$5,請求記録!$AD$6:$AD$3005,"保留中")&gt;0,"保留",IF(COUNTIFS(請求記録!$B$6:$B$3005,$A54,請求記録!$X$6:$X$3005,V$5)=0,"",SUMIFS(請求記録!$AC$6:$AC$3005,請求記録!$B$6:$B$3005,$A54,請求記録!$X$6:$X$3005,V$5))))</f>
        <v/>
      </c>
      <c r="W54" s="19">
        <f>IF($A54="","",IF(COUNTIFS(請求記録!$B$6:$B$3005,$A54,請求記録!$X$6:$X$3005,W$5,請求記録!$AD$6:$AD$3005,"保留中")&gt;0,"保留",IF(COUNTIFS(請求記録!$B$6:$B$3005,$A54,請求記録!$X$6:$X$3005,W$5)=0,"",SUMIFS(請求記録!$AC$6:$AC$3005,請求記録!$B$6:$B$3005,$A54,請求記録!$X$6:$X$3005,W$5))))</f>
        <v/>
      </c>
      <c r="X54" s="19">
        <f>IF($A54="","",IF(COUNTIFS(請求記録!$B$6:$B$3005,$A54,請求記録!$X$6:$X$3005,X$5,請求記録!$AD$6:$AD$3005,"保留中")&gt;0,"保留",IF(COUNTIFS(請求記録!$B$6:$B$3005,$A54,請求記録!$X$6:$X$3005,X$5)=0,"",SUMIFS(請求記録!$AC$6:$AC$3005,請求記録!$B$6:$B$3005,$A54,請求記録!$X$6:$X$3005,X$5))))</f>
        <v/>
      </c>
      <c r="Y54" s="19">
        <f>IF($A54="","",IF(COUNTIFS(請求記録!$B$6:$B$3005,$A54,請求記録!$X$6:$X$3005,Y$5,請求記録!$AD$6:$AD$3005,"保留中")&gt;0,"保留",IF(COUNTIFS(請求記録!$B$6:$B$3005,$A54,請求記録!$X$6:$X$3005,Y$5)=0,"",SUMIFS(請求記録!$AC$6:$AC$3005,請求記録!$B$6:$B$3005,$A54,請求記録!$X$6:$X$3005,Y$5))))</f>
        <v/>
      </c>
      <c r="Z54" s="19">
        <f>IF($A54="","",IF(COUNTIFS(請求記録!$B$6:$B$3005,$A54,請求記録!$X$6:$X$3005,Z$5,請求記録!$AD$6:$AD$3005,"保留中")&gt;0,"保留",IF(COUNTIFS(請求記録!$B$6:$B$3005,$A54,請求記録!$X$6:$X$3005,Z$5)=0,"",SUMIFS(請求記録!$AC$6:$AC$3005,請求記録!$B$6:$B$3005,$A54,請求記録!$X$6:$X$3005,Z$5))))</f>
        <v/>
      </c>
      <c r="AA54" s="19">
        <f>IF($A54="","",IF(COUNTIFS(請求記録!$B$6:$B$3005,$A54,請求記録!$X$6:$X$3005,AA$5,請求記録!$AD$6:$AD$3005,"保留中")&gt;0,"保留",IF(COUNTIFS(請求記録!$B$6:$B$3005,$A54,請求記録!$X$6:$X$3005,AA$5)=0,"",SUMIFS(請求記録!$AC$6:$AC$3005,請求記録!$B$6:$B$3005,$A54,請求記録!$X$6:$X$3005,AA$5))))</f>
        <v/>
      </c>
      <c r="AB54">
        <f>IF(職員マスタ!P54="保留中",職員マスタ!M54,"")</f>
        <v/>
      </c>
    </row>
    <row r="55">
      <c r="A55">
        <f>IF(職員マスタ!A55="","",職員マスタ!A55)</f>
        <v/>
      </c>
      <c r="B55">
        <f>IF($A55="","",職員マスタ!B55)</f>
        <v/>
      </c>
      <c r="C55">
        <f>IF($A55="","",職員マスタ!C55)</f>
        <v/>
      </c>
      <c r="D55" s="19">
        <f>IF($A55="","",IF(COUNTIFS(請求記録!$B$6:$B$3005,$A55,請求記録!$X$6:$X$3005,D$5,請求記録!$AD$6:$AD$3005,"保留中")&gt;0,"保留",IF(COUNTIFS(請求記録!$B$6:$B$3005,$A55,請求記録!$X$6:$X$3005,D$5)=0,"",SUMIFS(請求記録!$AC$6:$AC$3005,請求記録!$B$6:$B$3005,$A55,請求記録!$X$6:$X$3005,D$5))))</f>
        <v/>
      </c>
      <c r="E55" s="19">
        <f>IF($A55="","",IF(COUNTIFS(請求記録!$B$6:$B$3005,$A55,請求記録!$X$6:$X$3005,E$5,請求記録!$AD$6:$AD$3005,"保留中")&gt;0,"保留",IF(COUNTIFS(請求記録!$B$6:$B$3005,$A55,請求記録!$X$6:$X$3005,E$5)=0,"",SUMIFS(請求記録!$AC$6:$AC$3005,請求記録!$B$6:$B$3005,$A55,請求記録!$X$6:$X$3005,E$5))))</f>
        <v/>
      </c>
      <c r="F55" s="19">
        <f>IF($A55="","",IF(COUNTIFS(請求記録!$B$6:$B$3005,$A55,請求記録!$X$6:$X$3005,F$5,請求記録!$AD$6:$AD$3005,"保留中")&gt;0,"保留",IF(COUNTIFS(請求記録!$B$6:$B$3005,$A55,請求記録!$X$6:$X$3005,F$5)=0,"",SUMIFS(請求記録!$AC$6:$AC$3005,請求記録!$B$6:$B$3005,$A55,請求記録!$X$6:$X$3005,F$5))))</f>
        <v/>
      </c>
      <c r="G55" s="19">
        <f>IF($A55="","",IF(COUNTIFS(請求記録!$B$6:$B$3005,$A55,請求記録!$X$6:$X$3005,G$5,請求記録!$AD$6:$AD$3005,"保留中")&gt;0,"保留",IF(COUNTIFS(請求記録!$B$6:$B$3005,$A55,請求記録!$X$6:$X$3005,G$5)=0,"",SUMIFS(請求記録!$AC$6:$AC$3005,請求記録!$B$6:$B$3005,$A55,請求記録!$X$6:$X$3005,G$5))))</f>
        <v/>
      </c>
      <c r="H55" s="19">
        <f>IF($A55="","",IF(COUNTIFS(請求記録!$B$6:$B$3005,$A55,請求記録!$X$6:$X$3005,H$5,請求記録!$AD$6:$AD$3005,"保留中")&gt;0,"保留",IF(COUNTIFS(請求記録!$B$6:$B$3005,$A55,請求記録!$X$6:$X$3005,H$5)=0,"",SUMIFS(請求記録!$AC$6:$AC$3005,請求記録!$B$6:$B$3005,$A55,請求記録!$X$6:$X$3005,H$5))))</f>
        <v/>
      </c>
      <c r="I55" s="19">
        <f>IF($A55="","",IF(COUNTIFS(請求記録!$B$6:$B$3005,$A55,請求記録!$X$6:$X$3005,I$5,請求記録!$AD$6:$AD$3005,"保留中")&gt;0,"保留",IF(COUNTIFS(請求記録!$B$6:$B$3005,$A55,請求記録!$X$6:$X$3005,I$5)=0,"",SUMIFS(請求記録!$AC$6:$AC$3005,請求記録!$B$6:$B$3005,$A55,請求記録!$X$6:$X$3005,I$5))))</f>
        <v/>
      </c>
      <c r="J55" s="19">
        <f>IF($A55="","",IF(COUNTIFS(請求記録!$B$6:$B$3005,$A55,請求記録!$X$6:$X$3005,J$5,請求記録!$AD$6:$AD$3005,"保留中")&gt;0,"保留",IF(COUNTIFS(請求記録!$B$6:$B$3005,$A55,請求記録!$X$6:$X$3005,J$5)=0,"",SUMIFS(請求記録!$AC$6:$AC$3005,請求記録!$B$6:$B$3005,$A55,請求記録!$X$6:$X$3005,J$5))))</f>
        <v/>
      </c>
      <c r="K55" s="19">
        <f>IF($A55="","",IF(COUNTIFS(請求記録!$B$6:$B$3005,$A55,請求記録!$X$6:$X$3005,K$5,請求記録!$AD$6:$AD$3005,"保留中")&gt;0,"保留",IF(COUNTIFS(請求記録!$B$6:$B$3005,$A55,請求記録!$X$6:$X$3005,K$5)=0,"",SUMIFS(請求記録!$AC$6:$AC$3005,請求記録!$B$6:$B$3005,$A55,請求記録!$X$6:$X$3005,K$5))))</f>
        <v/>
      </c>
      <c r="L55" s="19">
        <f>IF($A55="","",IF(COUNTIFS(請求記録!$B$6:$B$3005,$A55,請求記録!$X$6:$X$3005,L$5,請求記録!$AD$6:$AD$3005,"保留中")&gt;0,"保留",IF(COUNTIFS(請求記録!$B$6:$B$3005,$A55,請求記録!$X$6:$X$3005,L$5)=0,"",SUMIFS(請求記録!$AC$6:$AC$3005,請求記録!$B$6:$B$3005,$A55,請求記録!$X$6:$X$3005,L$5))))</f>
        <v/>
      </c>
      <c r="M55" s="19">
        <f>IF($A55="","",IF(COUNTIFS(請求記録!$B$6:$B$3005,$A55,請求記録!$X$6:$X$3005,M$5,請求記録!$AD$6:$AD$3005,"保留中")&gt;0,"保留",IF(COUNTIFS(請求記録!$B$6:$B$3005,$A55,請求記録!$X$6:$X$3005,M$5)=0,"",SUMIFS(請求記録!$AC$6:$AC$3005,請求記録!$B$6:$B$3005,$A55,請求記録!$X$6:$X$3005,M$5))))</f>
        <v/>
      </c>
      <c r="N55" s="19">
        <f>IF($A55="","",IF(COUNTIFS(請求記録!$B$6:$B$3005,$A55,請求記録!$X$6:$X$3005,N$5,請求記録!$AD$6:$AD$3005,"保留中")&gt;0,"保留",IF(COUNTIFS(請求記録!$B$6:$B$3005,$A55,請求記録!$X$6:$X$3005,N$5)=0,"",SUMIFS(請求記録!$AC$6:$AC$3005,請求記録!$B$6:$B$3005,$A55,請求記録!$X$6:$X$3005,N$5))))</f>
        <v/>
      </c>
      <c r="O55" s="19">
        <f>IF($A55="","",IF(COUNTIFS(請求記録!$B$6:$B$3005,$A55,請求記録!$X$6:$X$3005,O$5,請求記録!$AD$6:$AD$3005,"保留中")&gt;0,"保留",IF(COUNTIFS(請求記録!$B$6:$B$3005,$A55,請求記録!$X$6:$X$3005,O$5)=0,"",SUMIFS(請求記録!$AC$6:$AC$3005,請求記録!$B$6:$B$3005,$A55,請求記録!$X$6:$X$3005,O$5))))</f>
        <v/>
      </c>
      <c r="P55" s="19">
        <f>IF($A55="","",IF(COUNTIFS(請求記録!$B$6:$B$3005,$A55,請求記録!$X$6:$X$3005,P$5,請求記録!$AD$6:$AD$3005,"保留中")&gt;0,"保留",IF(COUNTIFS(請求記録!$B$6:$B$3005,$A55,請求記録!$X$6:$X$3005,P$5)=0,"",SUMIFS(請求記録!$AC$6:$AC$3005,請求記録!$B$6:$B$3005,$A55,請求記録!$X$6:$X$3005,P$5))))</f>
        <v/>
      </c>
      <c r="Q55" s="19">
        <f>IF($A55="","",IF(COUNTIFS(請求記録!$B$6:$B$3005,$A55,請求記録!$X$6:$X$3005,Q$5,請求記録!$AD$6:$AD$3005,"保留中")&gt;0,"保留",IF(COUNTIFS(請求記録!$B$6:$B$3005,$A55,請求記録!$X$6:$X$3005,Q$5)=0,"",SUMIFS(請求記録!$AC$6:$AC$3005,請求記録!$B$6:$B$3005,$A55,請求記録!$X$6:$X$3005,Q$5))))</f>
        <v/>
      </c>
      <c r="R55" s="19">
        <f>IF($A55="","",IF(COUNTIFS(請求記録!$B$6:$B$3005,$A55,請求記録!$X$6:$X$3005,R$5,請求記録!$AD$6:$AD$3005,"保留中")&gt;0,"保留",IF(COUNTIFS(請求記録!$B$6:$B$3005,$A55,請求記録!$X$6:$X$3005,R$5)=0,"",SUMIFS(請求記録!$AC$6:$AC$3005,請求記録!$B$6:$B$3005,$A55,請求記録!$X$6:$X$3005,R$5))))</f>
        <v/>
      </c>
      <c r="S55" s="19">
        <f>IF($A55="","",IF(COUNTIFS(請求記録!$B$6:$B$3005,$A55,請求記録!$X$6:$X$3005,S$5,請求記録!$AD$6:$AD$3005,"保留中")&gt;0,"保留",IF(COUNTIFS(請求記録!$B$6:$B$3005,$A55,請求記録!$X$6:$X$3005,S$5)=0,"",SUMIFS(請求記録!$AC$6:$AC$3005,請求記録!$B$6:$B$3005,$A55,請求記録!$X$6:$X$3005,S$5))))</f>
        <v/>
      </c>
      <c r="T55" s="19">
        <f>IF($A55="","",IF(COUNTIFS(請求記録!$B$6:$B$3005,$A55,請求記録!$X$6:$X$3005,T$5,請求記録!$AD$6:$AD$3005,"保留中")&gt;0,"保留",IF(COUNTIFS(請求記録!$B$6:$B$3005,$A55,請求記録!$X$6:$X$3005,T$5)=0,"",SUMIFS(請求記録!$AC$6:$AC$3005,請求記録!$B$6:$B$3005,$A55,請求記録!$X$6:$X$3005,T$5))))</f>
        <v/>
      </c>
      <c r="U55" s="19">
        <f>IF($A55="","",IF(COUNTIFS(請求記録!$B$6:$B$3005,$A55,請求記録!$X$6:$X$3005,U$5,請求記録!$AD$6:$AD$3005,"保留中")&gt;0,"保留",IF(COUNTIFS(請求記録!$B$6:$B$3005,$A55,請求記録!$X$6:$X$3005,U$5)=0,"",SUMIFS(請求記録!$AC$6:$AC$3005,請求記録!$B$6:$B$3005,$A55,請求記録!$X$6:$X$3005,U$5))))</f>
        <v/>
      </c>
      <c r="V55" s="19">
        <f>IF($A55="","",IF(COUNTIFS(請求記録!$B$6:$B$3005,$A55,請求記録!$X$6:$X$3005,V$5,請求記録!$AD$6:$AD$3005,"保留中")&gt;0,"保留",IF(COUNTIFS(請求記録!$B$6:$B$3005,$A55,請求記録!$X$6:$X$3005,V$5)=0,"",SUMIFS(請求記録!$AC$6:$AC$3005,請求記録!$B$6:$B$3005,$A55,請求記録!$X$6:$X$3005,V$5))))</f>
        <v/>
      </c>
      <c r="W55" s="19">
        <f>IF($A55="","",IF(COUNTIFS(請求記録!$B$6:$B$3005,$A55,請求記録!$X$6:$X$3005,W$5,請求記録!$AD$6:$AD$3005,"保留中")&gt;0,"保留",IF(COUNTIFS(請求記録!$B$6:$B$3005,$A55,請求記録!$X$6:$X$3005,W$5)=0,"",SUMIFS(請求記録!$AC$6:$AC$3005,請求記録!$B$6:$B$3005,$A55,請求記録!$X$6:$X$3005,W$5))))</f>
        <v/>
      </c>
      <c r="X55" s="19">
        <f>IF($A55="","",IF(COUNTIFS(請求記録!$B$6:$B$3005,$A55,請求記録!$X$6:$X$3005,X$5,請求記録!$AD$6:$AD$3005,"保留中")&gt;0,"保留",IF(COUNTIFS(請求記録!$B$6:$B$3005,$A55,請求記録!$X$6:$X$3005,X$5)=0,"",SUMIFS(請求記録!$AC$6:$AC$3005,請求記録!$B$6:$B$3005,$A55,請求記録!$X$6:$X$3005,X$5))))</f>
        <v/>
      </c>
      <c r="Y55" s="19">
        <f>IF($A55="","",IF(COUNTIFS(請求記録!$B$6:$B$3005,$A55,請求記録!$X$6:$X$3005,Y$5,請求記録!$AD$6:$AD$3005,"保留中")&gt;0,"保留",IF(COUNTIFS(請求記録!$B$6:$B$3005,$A55,請求記録!$X$6:$X$3005,Y$5)=0,"",SUMIFS(請求記録!$AC$6:$AC$3005,請求記録!$B$6:$B$3005,$A55,請求記録!$X$6:$X$3005,Y$5))))</f>
        <v/>
      </c>
      <c r="Z55" s="19">
        <f>IF($A55="","",IF(COUNTIFS(請求記録!$B$6:$B$3005,$A55,請求記録!$X$6:$X$3005,Z$5,請求記録!$AD$6:$AD$3005,"保留中")&gt;0,"保留",IF(COUNTIFS(請求記録!$B$6:$B$3005,$A55,請求記録!$X$6:$X$3005,Z$5)=0,"",SUMIFS(請求記録!$AC$6:$AC$3005,請求記録!$B$6:$B$3005,$A55,請求記録!$X$6:$X$3005,Z$5))))</f>
        <v/>
      </c>
      <c r="AA55" s="19">
        <f>IF($A55="","",IF(COUNTIFS(請求記録!$B$6:$B$3005,$A55,請求記録!$X$6:$X$3005,AA$5,請求記録!$AD$6:$AD$3005,"保留中")&gt;0,"保留",IF(COUNTIFS(請求記録!$B$6:$B$3005,$A55,請求記録!$X$6:$X$3005,AA$5)=0,"",SUMIFS(請求記録!$AC$6:$AC$3005,請求記録!$B$6:$B$3005,$A55,請求記録!$X$6:$X$3005,AA$5))))</f>
        <v/>
      </c>
      <c r="AB55">
        <f>IF(職員マスタ!P55="保留中",職員マスタ!M55,"")</f>
        <v/>
      </c>
    </row>
    <row r="56">
      <c r="A56">
        <f>IF(職員マスタ!A56="","",職員マスタ!A56)</f>
        <v/>
      </c>
      <c r="B56">
        <f>IF($A56="","",職員マスタ!B56)</f>
        <v/>
      </c>
      <c r="C56">
        <f>IF($A56="","",職員マスタ!C56)</f>
        <v/>
      </c>
      <c r="D56" s="19">
        <f>IF($A56="","",IF(COUNTIFS(請求記録!$B$6:$B$3005,$A56,請求記録!$X$6:$X$3005,D$5,請求記録!$AD$6:$AD$3005,"保留中")&gt;0,"保留",IF(COUNTIFS(請求記録!$B$6:$B$3005,$A56,請求記録!$X$6:$X$3005,D$5)=0,"",SUMIFS(請求記録!$AC$6:$AC$3005,請求記録!$B$6:$B$3005,$A56,請求記録!$X$6:$X$3005,D$5))))</f>
        <v/>
      </c>
      <c r="E56" s="19">
        <f>IF($A56="","",IF(COUNTIFS(請求記録!$B$6:$B$3005,$A56,請求記録!$X$6:$X$3005,E$5,請求記録!$AD$6:$AD$3005,"保留中")&gt;0,"保留",IF(COUNTIFS(請求記録!$B$6:$B$3005,$A56,請求記録!$X$6:$X$3005,E$5)=0,"",SUMIFS(請求記録!$AC$6:$AC$3005,請求記録!$B$6:$B$3005,$A56,請求記録!$X$6:$X$3005,E$5))))</f>
        <v/>
      </c>
      <c r="F56" s="19">
        <f>IF($A56="","",IF(COUNTIFS(請求記録!$B$6:$B$3005,$A56,請求記録!$X$6:$X$3005,F$5,請求記録!$AD$6:$AD$3005,"保留中")&gt;0,"保留",IF(COUNTIFS(請求記録!$B$6:$B$3005,$A56,請求記録!$X$6:$X$3005,F$5)=0,"",SUMIFS(請求記録!$AC$6:$AC$3005,請求記録!$B$6:$B$3005,$A56,請求記録!$X$6:$X$3005,F$5))))</f>
        <v/>
      </c>
      <c r="G56" s="19">
        <f>IF($A56="","",IF(COUNTIFS(請求記録!$B$6:$B$3005,$A56,請求記録!$X$6:$X$3005,G$5,請求記録!$AD$6:$AD$3005,"保留中")&gt;0,"保留",IF(COUNTIFS(請求記録!$B$6:$B$3005,$A56,請求記録!$X$6:$X$3005,G$5)=0,"",SUMIFS(請求記録!$AC$6:$AC$3005,請求記録!$B$6:$B$3005,$A56,請求記録!$X$6:$X$3005,G$5))))</f>
        <v/>
      </c>
      <c r="H56" s="19">
        <f>IF($A56="","",IF(COUNTIFS(請求記録!$B$6:$B$3005,$A56,請求記録!$X$6:$X$3005,H$5,請求記録!$AD$6:$AD$3005,"保留中")&gt;0,"保留",IF(COUNTIFS(請求記録!$B$6:$B$3005,$A56,請求記録!$X$6:$X$3005,H$5)=0,"",SUMIFS(請求記録!$AC$6:$AC$3005,請求記録!$B$6:$B$3005,$A56,請求記録!$X$6:$X$3005,H$5))))</f>
        <v/>
      </c>
      <c r="I56" s="19">
        <f>IF($A56="","",IF(COUNTIFS(請求記録!$B$6:$B$3005,$A56,請求記録!$X$6:$X$3005,I$5,請求記録!$AD$6:$AD$3005,"保留中")&gt;0,"保留",IF(COUNTIFS(請求記録!$B$6:$B$3005,$A56,請求記録!$X$6:$X$3005,I$5)=0,"",SUMIFS(請求記録!$AC$6:$AC$3005,請求記録!$B$6:$B$3005,$A56,請求記録!$X$6:$X$3005,I$5))))</f>
        <v/>
      </c>
      <c r="J56" s="19">
        <f>IF($A56="","",IF(COUNTIFS(請求記録!$B$6:$B$3005,$A56,請求記録!$X$6:$X$3005,J$5,請求記録!$AD$6:$AD$3005,"保留中")&gt;0,"保留",IF(COUNTIFS(請求記録!$B$6:$B$3005,$A56,請求記録!$X$6:$X$3005,J$5)=0,"",SUMIFS(請求記録!$AC$6:$AC$3005,請求記録!$B$6:$B$3005,$A56,請求記録!$X$6:$X$3005,J$5))))</f>
        <v/>
      </c>
      <c r="K56" s="19">
        <f>IF($A56="","",IF(COUNTIFS(請求記録!$B$6:$B$3005,$A56,請求記録!$X$6:$X$3005,K$5,請求記録!$AD$6:$AD$3005,"保留中")&gt;0,"保留",IF(COUNTIFS(請求記録!$B$6:$B$3005,$A56,請求記録!$X$6:$X$3005,K$5)=0,"",SUMIFS(請求記録!$AC$6:$AC$3005,請求記録!$B$6:$B$3005,$A56,請求記録!$X$6:$X$3005,K$5))))</f>
        <v/>
      </c>
      <c r="L56" s="19">
        <f>IF($A56="","",IF(COUNTIFS(請求記録!$B$6:$B$3005,$A56,請求記録!$X$6:$X$3005,L$5,請求記録!$AD$6:$AD$3005,"保留中")&gt;0,"保留",IF(COUNTIFS(請求記録!$B$6:$B$3005,$A56,請求記録!$X$6:$X$3005,L$5)=0,"",SUMIFS(請求記録!$AC$6:$AC$3005,請求記録!$B$6:$B$3005,$A56,請求記録!$X$6:$X$3005,L$5))))</f>
        <v/>
      </c>
      <c r="M56" s="19">
        <f>IF($A56="","",IF(COUNTIFS(請求記録!$B$6:$B$3005,$A56,請求記録!$X$6:$X$3005,M$5,請求記録!$AD$6:$AD$3005,"保留中")&gt;0,"保留",IF(COUNTIFS(請求記録!$B$6:$B$3005,$A56,請求記録!$X$6:$X$3005,M$5)=0,"",SUMIFS(請求記録!$AC$6:$AC$3005,請求記録!$B$6:$B$3005,$A56,請求記録!$X$6:$X$3005,M$5))))</f>
        <v/>
      </c>
      <c r="N56" s="19">
        <f>IF($A56="","",IF(COUNTIFS(請求記録!$B$6:$B$3005,$A56,請求記録!$X$6:$X$3005,N$5,請求記録!$AD$6:$AD$3005,"保留中")&gt;0,"保留",IF(COUNTIFS(請求記録!$B$6:$B$3005,$A56,請求記録!$X$6:$X$3005,N$5)=0,"",SUMIFS(請求記録!$AC$6:$AC$3005,請求記録!$B$6:$B$3005,$A56,請求記録!$X$6:$X$3005,N$5))))</f>
        <v/>
      </c>
      <c r="O56" s="19">
        <f>IF($A56="","",IF(COUNTIFS(請求記録!$B$6:$B$3005,$A56,請求記録!$X$6:$X$3005,O$5,請求記録!$AD$6:$AD$3005,"保留中")&gt;0,"保留",IF(COUNTIFS(請求記録!$B$6:$B$3005,$A56,請求記録!$X$6:$X$3005,O$5)=0,"",SUMIFS(請求記録!$AC$6:$AC$3005,請求記録!$B$6:$B$3005,$A56,請求記録!$X$6:$X$3005,O$5))))</f>
        <v/>
      </c>
      <c r="P56" s="19">
        <f>IF($A56="","",IF(COUNTIFS(請求記録!$B$6:$B$3005,$A56,請求記録!$X$6:$X$3005,P$5,請求記録!$AD$6:$AD$3005,"保留中")&gt;0,"保留",IF(COUNTIFS(請求記録!$B$6:$B$3005,$A56,請求記録!$X$6:$X$3005,P$5)=0,"",SUMIFS(請求記録!$AC$6:$AC$3005,請求記録!$B$6:$B$3005,$A56,請求記録!$X$6:$X$3005,P$5))))</f>
        <v/>
      </c>
      <c r="Q56" s="19">
        <f>IF($A56="","",IF(COUNTIFS(請求記録!$B$6:$B$3005,$A56,請求記録!$X$6:$X$3005,Q$5,請求記録!$AD$6:$AD$3005,"保留中")&gt;0,"保留",IF(COUNTIFS(請求記録!$B$6:$B$3005,$A56,請求記録!$X$6:$X$3005,Q$5)=0,"",SUMIFS(請求記録!$AC$6:$AC$3005,請求記録!$B$6:$B$3005,$A56,請求記録!$X$6:$X$3005,Q$5))))</f>
        <v/>
      </c>
      <c r="R56" s="19">
        <f>IF($A56="","",IF(COUNTIFS(請求記録!$B$6:$B$3005,$A56,請求記録!$X$6:$X$3005,R$5,請求記録!$AD$6:$AD$3005,"保留中")&gt;0,"保留",IF(COUNTIFS(請求記録!$B$6:$B$3005,$A56,請求記録!$X$6:$X$3005,R$5)=0,"",SUMIFS(請求記録!$AC$6:$AC$3005,請求記録!$B$6:$B$3005,$A56,請求記録!$X$6:$X$3005,R$5))))</f>
        <v/>
      </c>
      <c r="S56" s="19">
        <f>IF($A56="","",IF(COUNTIFS(請求記録!$B$6:$B$3005,$A56,請求記録!$X$6:$X$3005,S$5,請求記録!$AD$6:$AD$3005,"保留中")&gt;0,"保留",IF(COUNTIFS(請求記録!$B$6:$B$3005,$A56,請求記録!$X$6:$X$3005,S$5)=0,"",SUMIFS(請求記録!$AC$6:$AC$3005,請求記録!$B$6:$B$3005,$A56,請求記録!$X$6:$X$3005,S$5))))</f>
        <v/>
      </c>
      <c r="T56" s="19">
        <f>IF($A56="","",IF(COUNTIFS(請求記録!$B$6:$B$3005,$A56,請求記録!$X$6:$X$3005,T$5,請求記録!$AD$6:$AD$3005,"保留中")&gt;0,"保留",IF(COUNTIFS(請求記録!$B$6:$B$3005,$A56,請求記録!$X$6:$X$3005,T$5)=0,"",SUMIFS(請求記録!$AC$6:$AC$3005,請求記録!$B$6:$B$3005,$A56,請求記録!$X$6:$X$3005,T$5))))</f>
        <v/>
      </c>
      <c r="U56" s="19">
        <f>IF($A56="","",IF(COUNTIFS(請求記録!$B$6:$B$3005,$A56,請求記録!$X$6:$X$3005,U$5,請求記録!$AD$6:$AD$3005,"保留中")&gt;0,"保留",IF(COUNTIFS(請求記録!$B$6:$B$3005,$A56,請求記録!$X$6:$X$3005,U$5)=0,"",SUMIFS(請求記録!$AC$6:$AC$3005,請求記録!$B$6:$B$3005,$A56,請求記録!$X$6:$X$3005,U$5))))</f>
        <v/>
      </c>
      <c r="V56" s="19">
        <f>IF($A56="","",IF(COUNTIFS(請求記録!$B$6:$B$3005,$A56,請求記録!$X$6:$X$3005,V$5,請求記録!$AD$6:$AD$3005,"保留中")&gt;0,"保留",IF(COUNTIFS(請求記録!$B$6:$B$3005,$A56,請求記録!$X$6:$X$3005,V$5)=0,"",SUMIFS(請求記録!$AC$6:$AC$3005,請求記録!$B$6:$B$3005,$A56,請求記録!$X$6:$X$3005,V$5))))</f>
        <v/>
      </c>
      <c r="W56" s="19">
        <f>IF($A56="","",IF(COUNTIFS(請求記録!$B$6:$B$3005,$A56,請求記録!$X$6:$X$3005,W$5,請求記録!$AD$6:$AD$3005,"保留中")&gt;0,"保留",IF(COUNTIFS(請求記録!$B$6:$B$3005,$A56,請求記録!$X$6:$X$3005,W$5)=0,"",SUMIFS(請求記録!$AC$6:$AC$3005,請求記録!$B$6:$B$3005,$A56,請求記録!$X$6:$X$3005,W$5))))</f>
        <v/>
      </c>
      <c r="X56" s="19">
        <f>IF($A56="","",IF(COUNTIFS(請求記録!$B$6:$B$3005,$A56,請求記録!$X$6:$X$3005,X$5,請求記録!$AD$6:$AD$3005,"保留中")&gt;0,"保留",IF(COUNTIFS(請求記録!$B$6:$B$3005,$A56,請求記録!$X$6:$X$3005,X$5)=0,"",SUMIFS(請求記録!$AC$6:$AC$3005,請求記録!$B$6:$B$3005,$A56,請求記録!$X$6:$X$3005,X$5))))</f>
        <v/>
      </c>
      <c r="Y56" s="19">
        <f>IF($A56="","",IF(COUNTIFS(請求記録!$B$6:$B$3005,$A56,請求記録!$X$6:$X$3005,Y$5,請求記録!$AD$6:$AD$3005,"保留中")&gt;0,"保留",IF(COUNTIFS(請求記録!$B$6:$B$3005,$A56,請求記録!$X$6:$X$3005,Y$5)=0,"",SUMIFS(請求記録!$AC$6:$AC$3005,請求記録!$B$6:$B$3005,$A56,請求記録!$X$6:$X$3005,Y$5))))</f>
        <v/>
      </c>
      <c r="Z56" s="19">
        <f>IF($A56="","",IF(COUNTIFS(請求記録!$B$6:$B$3005,$A56,請求記録!$X$6:$X$3005,Z$5,請求記録!$AD$6:$AD$3005,"保留中")&gt;0,"保留",IF(COUNTIFS(請求記録!$B$6:$B$3005,$A56,請求記録!$X$6:$X$3005,Z$5)=0,"",SUMIFS(請求記録!$AC$6:$AC$3005,請求記録!$B$6:$B$3005,$A56,請求記録!$X$6:$X$3005,Z$5))))</f>
        <v/>
      </c>
      <c r="AA56" s="19">
        <f>IF($A56="","",IF(COUNTIFS(請求記録!$B$6:$B$3005,$A56,請求記録!$X$6:$X$3005,AA$5,請求記録!$AD$6:$AD$3005,"保留中")&gt;0,"保留",IF(COUNTIFS(請求記録!$B$6:$B$3005,$A56,請求記録!$X$6:$X$3005,AA$5)=0,"",SUMIFS(請求記録!$AC$6:$AC$3005,請求記録!$B$6:$B$3005,$A56,請求記録!$X$6:$X$3005,AA$5))))</f>
        <v/>
      </c>
      <c r="AB56">
        <f>IF(職員マスタ!P56="保留中",職員マスタ!M56,"")</f>
        <v/>
      </c>
    </row>
    <row r="57">
      <c r="A57">
        <f>IF(職員マスタ!A57="","",職員マスタ!A57)</f>
        <v/>
      </c>
      <c r="B57">
        <f>IF($A57="","",職員マスタ!B57)</f>
        <v/>
      </c>
      <c r="C57">
        <f>IF($A57="","",職員マスタ!C57)</f>
        <v/>
      </c>
      <c r="D57" s="19">
        <f>IF($A57="","",IF(COUNTIFS(請求記録!$B$6:$B$3005,$A57,請求記録!$X$6:$X$3005,D$5,請求記録!$AD$6:$AD$3005,"保留中")&gt;0,"保留",IF(COUNTIFS(請求記録!$B$6:$B$3005,$A57,請求記録!$X$6:$X$3005,D$5)=0,"",SUMIFS(請求記録!$AC$6:$AC$3005,請求記録!$B$6:$B$3005,$A57,請求記録!$X$6:$X$3005,D$5))))</f>
        <v/>
      </c>
      <c r="E57" s="19">
        <f>IF($A57="","",IF(COUNTIFS(請求記録!$B$6:$B$3005,$A57,請求記録!$X$6:$X$3005,E$5,請求記録!$AD$6:$AD$3005,"保留中")&gt;0,"保留",IF(COUNTIFS(請求記録!$B$6:$B$3005,$A57,請求記録!$X$6:$X$3005,E$5)=0,"",SUMIFS(請求記録!$AC$6:$AC$3005,請求記録!$B$6:$B$3005,$A57,請求記録!$X$6:$X$3005,E$5))))</f>
        <v/>
      </c>
      <c r="F57" s="19">
        <f>IF($A57="","",IF(COUNTIFS(請求記録!$B$6:$B$3005,$A57,請求記録!$X$6:$X$3005,F$5,請求記録!$AD$6:$AD$3005,"保留中")&gt;0,"保留",IF(COUNTIFS(請求記録!$B$6:$B$3005,$A57,請求記録!$X$6:$X$3005,F$5)=0,"",SUMIFS(請求記録!$AC$6:$AC$3005,請求記録!$B$6:$B$3005,$A57,請求記録!$X$6:$X$3005,F$5))))</f>
        <v/>
      </c>
      <c r="G57" s="19">
        <f>IF($A57="","",IF(COUNTIFS(請求記録!$B$6:$B$3005,$A57,請求記録!$X$6:$X$3005,G$5,請求記録!$AD$6:$AD$3005,"保留中")&gt;0,"保留",IF(COUNTIFS(請求記録!$B$6:$B$3005,$A57,請求記録!$X$6:$X$3005,G$5)=0,"",SUMIFS(請求記録!$AC$6:$AC$3005,請求記録!$B$6:$B$3005,$A57,請求記録!$X$6:$X$3005,G$5))))</f>
        <v/>
      </c>
      <c r="H57" s="19">
        <f>IF($A57="","",IF(COUNTIFS(請求記録!$B$6:$B$3005,$A57,請求記録!$X$6:$X$3005,H$5,請求記録!$AD$6:$AD$3005,"保留中")&gt;0,"保留",IF(COUNTIFS(請求記録!$B$6:$B$3005,$A57,請求記録!$X$6:$X$3005,H$5)=0,"",SUMIFS(請求記録!$AC$6:$AC$3005,請求記録!$B$6:$B$3005,$A57,請求記録!$X$6:$X$3005,H$5))))</f>
        <v/>
      </c>
      <c r="I57" s="19">
        <f>IF($A57="","",IF(COUNTIFS(請求記録!$B$6:$B$3005,$A57,請求記録!$X$6:$X$3005,I$5,請求記録!$AD$6:$AD$3005,"保留中")&gt;0,"保留",IF(COUNTIFS(請求記録!$B$6:$B$3005,$A57,請求記録!$X$6:$X$3005,I$5)=0,"",SUMIFS(請求記録!$AC$6:$AC$3005,請求記録!$B$6:$B$3005,$A57,請求記録!$X$6:$X$3005,I$5))))</f>
        <v/>
      </c>
      <c r="J57" s="19">
        <f>IF($A57="","",IF(COUNTIFS(請求記録!$B$6:$B$3005,$A57,請求記録!$X$6:$X$3005,J$5,請求記録!$AD$6:$AD$3005,"保留中")&gt;0,"保留",IF(COUNTIFS(請求記録!$B$6:$B$3005,$A57,請求記録!$X$6:$X$3005,J$5)=0,"",SUMIFS(請求記録!$AC$6:$AC$3005,請求記録!$B$6:$B$3005,$A57,請求記録!$X$6:$X$3005,J$5))))</f>
        <v/>
      </c>
      <c r="K57" s="19">
        <f>IF($A57="","",IF(COUNTIFS(請求記録!$B$6:$B$3005,$A57,請求記録!$X$6:$X$3005,K$5,請求記録!$AD$6:$AD$3005,"保留中")&gt;0,"保留",IF(COUNTIFS(請求記録!$B$6:$B$3005,$A57,請求記録!$X$6:$X$3005,K$5)=0,"",SUMIFS(請求記録!$AC$6:$AC$3005,請求記録!$B$6:$B$3005,$A57,請求記録!$X$6:$X$3005,K$5))))</f>
        <v/>
      </c>
      <c r="L57" s="19">
        <f>IF($A57="","",IF(COUNTIFS(請求記録!$B$6:$B$3005,$A57,請求記録!$X$6:$X$3005,L$5,請求記録!$AD$6:$AD$3005,"保留中")&gt;0,"保留",IF(COUNTIFS(請求記録!$B$6:$B$3005,$A57,請求記録!$X$6:$X$3005,L$5)=0,"",SUMIFS(請求記録!$AC$6:$AC$3005,請求記録!$B$6:$B$3005,$A57,請求記録!$X$6:$X$3005,L$5))))</f>
        <v/>
      </c>
      <c r="M57" s="19">
        <f>IF($A57="","",IF(COUNTIFS(請求記録!$B$6:$B$3005,$A57,請求記録!$X$6:$X$3005,M$5,請求記録!$AD$6:$AD$3005,"保留中")&gt;0,"保留",IF(COUNTIFS(請求記録!$B$6:$B$3005,$A57,請求記録!$X$6:$X$3005,M$5)=0,"",SUMIFS(請求記録!$AC$6:$AC$3005,請求記録!$B$6:$B$3005,$A57,請求記録!$X$6:$X$3005,M$5))))</f>
        <v/>
      </c>
      <c r="N57" s="19">
        <f>IF($A57="","",IF(COUNTIFS(請求記録!$B$6:$B$3005,$A57,請求記録!$X$6:$X$3005,N$5,請求記録!$AD$6:$AD$3005,"保留中")&gt;0,"保留",IF(COUNTIFS(請求記録!$B$6:$B$3005,$A57,請求記録!$X$6:$X$3005,N$5)=0,"",SUMIFS(請求記録!$AC$6:$AC$3005,請求記録!$B$6:$B$3005,$A57,請求記録!$X$6:$X$3005,N$5))))</f>
        <v/>
      </c>
      <c r="O57" s="19">
        <f>IF($A57="","",IF(COUNTIFS(請求記録!$B$6:$B$3005,$A57,請求記録!$X$6:$X$3005,O$5,請求記録!$AD$6:$AD$3005,"保留中")&gt;0,"保留",IF(COUNTIFS(請求記録!$B$6:$B$3005,$A57,請求記録!$X$6:$X$3005,O$5)=0,"",SUMIFS(請求記録!$AC$6:$AC$3005,請求記録!$B$6:$B$3005,$A57,請求記録!$X$6:$X$3005,O$5))))</f>
        <v/>
      </c>
      <c r="P57" s="19">
        <f>IF($A57="","",IF(COUNTIFS(請求記録!$B$6:$B$3005,$A57,請求記録!$X$6:$X$3005,P$5,請求記録!$AD$6:$AD$3005,"保留中")&gt;0,"保留",IF(COUNTIFS(請求記録!$B$6:$B$3005,$A57,請求記録!$X$6:$X$3005,P$5)=0,"",SUMIFS(請求記録!$AC$6:$AC$3005,請求記録!$B$6:$B$3005,$A57,請求記録!$X$6:$X$3005,P$5))))</f>
        <v/>
      </c>
      <c r="Q57" s="19">
        <f>IF($A57="","",IF(COUNTIFS(請求記録!$B$6:$B$3005,$A57,請求記録!$X$6:$X$3005,Q$5,請求記録!$AD$6:$AD$3005,"保留中")&gt;0,"保留",IF(COUNTIFS(請求記録!$B$6:$B$3005,$A57,請求記録!$X$6:$X$3005,Q$5)=0,"",SUMIFS(請求記録!$AC$6:$AC$3005,請求記録!$B$6:$B$3005,$A57,請求記録!$X$6:$X$3005,Q$5))))</f>
        <v/>
      </c>
      <c r="R57" s="19">
        <f>IF($A57="","",IF(COUNTIFS(請求記録!$B$6:$B$3005,$A57,請求記録!$X$6:$X$3005,R$5,請求記録!$AD$6:$AD$3005,"保留中")&gt;0,"保留",IF(COUNTIFS(請求記録!$B$6:$B$3005,$A57,請求記録!$X$6:$X$3005,R$5)=0,"",SUMIFS(請求記録!$AC$6:$AC$3005,請求記録!$B$6:$B$3005,$A57,請求記録!$X$6:$X$3005,R$5))))</f>
        <v/>
      </c>
      <c r="S57" s="19">
        <f>IF($A57="","",IF(COUNTIFS(請求記録!$B$6:$B$3005,$A57,請求記録!$X$6:$X$3005,S$5,請求記録!$AD$6:$AD$3005,"保留中")&gt;0,"保留",IF(COUNTIFS(請求記録!$B$6:$B$3005,$A57,請求記録!$X$6:$X$3005,S$5)=0,"",SUMIFS(請求記録!$AC$6:$AC$3005,請求記録!$B$6:$B$3005,$A57,請求記録!$X$6:$X$3005,S$5))))</f>
        <v/>
      </c>
      <c r="T57" s="19">
        <f>IF($A57="","",IF(COUNTIFS(請求記録!$B$6:$B$3005,$A57,請求記録!$X$6:$X$3005,T$5,請求記録!$AD$6:$AD$3005,"保留中")&gt;0,"保留",IF(COUNTIFS(請求記録!$B$6:$B$3005,$A57,請求記録!$X$6:$X$3005,T$5)=0,"",SUMIFS(請求記録!$AC$6:$AC$3005,請求記録!$B$6:$B$3005,$A57,請求記録!$X$6:$X$3005,T$5))))</f>
        <v/>
      </c>
      <c r="U57" s="19">
        <f>IF($A57="","",IF(COUNTIFS(請求記録!$B$6:$B$3005,$A57,請求記録!$X$6:$X$3005,U$5,請求記録!$AD$6:$AD$3005,"保留中")&gt;0,"保留",IF(COUNTIFS(請求記録!$B$6:$B$3005,$A57,請求記録!$X$6:$X$3005,U$5)=0,"",SUMIFS(請求記録!$AC$6:$AC$3005,請求記録!$B$6:$B$3005,$A57,請求記録!$X$6:$X$3005,U$5))))</f>
        <v/>
      </c>
      <c r="V57" s="19">
        <f>IF($A57="","",IF(COUNTIFS(請求記録!$B$6:$B$3005,$A57,請求記録!$X$6:$X$3005,V$5,請求記録!$AD$6:$AD$3005,"保留中")&gt;0,"保留",IF(COUNTIFS(請求記録!$B$6:$B$3005,$A57,請求記録!$X$6:$X$3005,V$5)=0,"",SUMIFS(請求記録!$AC$6:$AC$3005,請求記録!$B$6:$B$3005,$A57,請求記録!$X$6:$X$3005,V$5))))</f>
        <v/>
      </c>
      <c r="W57" s="19">
        <f>IF($A57="","",IF(COUNTIFS(請求記録!$B$6:$B$3005,$A57,請求記録!$X$6:$X$3005,W$5,請求記録!$AD$6:$AD$3005,"保留中")&gt;0,"保留",IF(COUNTIFS(請求記録!$B$6:$B$3005,$A57,請求記録!$X$6:$X$3005,W$5)=0,"",SUMIFS(請求記録!$AC$6:$AC$3005,請求記録!$B$6:$B$3005,$A57,請求記録!$X$6:$X$3005,W$5))))</f>
        <v/>
      </c>
      <c r="X57" s="19">
        <f>IF($A57="","",IF(COUNTIFS(請求記録!$B$6:$B$3005,$A57,請求記録!$X$6:$X$3005,X$5,請求記録!$AD$6:$AD$3005,"保留中")&gt;0,"保留",IF(COUNTIFS(請求記録!$B$6:$B$3005,$A57,請求記録!$X$6:$X$3005,X$5)=0,"",SUMIFS(請求記録!$AC$6:$AC$3005,請求記録!$B$6:$B$3005,$A57,請求記録!$X$6:$X$3005,X$5))))</f>
        <v/>
      </c>
      <c r="Y57" s="19">
        <f>IF($A57="","",IF(COUNTIFS(請求記録!$B$6:$B$3005,$A57,請求記録!$X$6:$X$3005,Y$5,請求記録!$AD$6:$AD$3005,"保留中")&gt;0,"保留",IF(COUNTIFS(請求記録!$B$6:$B$3005,$A57,請求記録!$X$6:$X$3005,Y$5)=0,"",SUMIFS(請求記録!$AC$6:$AC$3005,請求記録!$B$6:$B$3005,$A57,請求記録!$X$6:$X$3005,Y$5))))</f>
        <v/>
      </c>
      <c r="Z57" s="19">
        <f>IF($A57="","",IF(COUNTIFS(請求記録!$B$6:$B$3005,$A57,請求記録!$X$6:$X$3005,Z$5,請求記録!$AD$6:$AD$3005,"保留中")&gt;0,"保留",IF(COUNTIFS(請求記録!$B$6:$B$3005,$A57,請求記録!$X$6:$X$3005,Z$5)=0,"",SUMIFS(請求記録!$AC$6:$AC$3005,請求記録!$B$6:$B$3005,$A57,請求記録!$X$6:$X$3005,Z$5))))</f>
        <v/>
      </c>
      <c r="AA57" s="19">
        <f>IF($A57="","",IF(COUNTIFS(請求記録!$B$6:$B$3005,$A57,請求記録!$X$6:$X$3005,AA$5,請求記録!$AD$6:$AD$3005,"保留中")&gt;0,"保留",IF(COUNTIFS(請求記録!$B$6:$B$3005,$A57,請求記録!$X$6:$X$3005,AA$5)=0,"",SUMIFS(請求記録!$AC$6:$AC$3005,請求記録!$B$6:$B$3005,$A57,請求記録!$X$6:$X$3005,AA$5))))</f>
        <v/>
      </c>
      <c r="AB57">
        <f>IF(職員マスタ!P57="保留中",職員マスタ!M57,"")</f>
        <v/>
      </c>
    </row>
    <row r="58">
      <c r="A58">
        <f>IF(職員マスタ!A58="","",職員マスタ!A58)</f>
        <v/>
      </c>
      <c r="B58">
        <f>IF($A58="","",職員マスタ!B58)</f>
        <v/>
      </c>
      <c r="C58">
        <f>IF($A58="","",職員マスタ!C58)</f>
        <v/>
      </c>
      <c r="D58" s="19">
        <f>IF($A58="","",IF(COUNTIFS(請求記録!$B$6:$B$3005,$A58,請求記録!$X$6:$X$3005,D$5,請求記録!$AD$6:$AD$3005,"保留中")&gt;0,"保留",IF(COUNTIFS(請求記録!$B$6:$B$3005,$A58,請求記録!$X$6:$X$3005,D$5)=0,"",SUMIFS(請求記録!$AC$6:$AC$3005,請求記録!$B$6:$B$3005,$A58,請求記録!$X$6:$X$3005,D$5))))</f>
        <v/>
      </c>
      <c r="E58" s="19">
        <f>IF($A58="","",IF(COUNTIFS(請求記録!$B$6:$B$3005,$A58,請求記録!$X$6:$X$3005,E$5,請求記録!$AD$6:$AD$3005,"保留中")&gt;0,"保留",IF(COUNTIFS(請求記録!$B$6:$B$3005,$A58,請求記録!$X$6:$X$3005,E$5)=0,"",SUMIFS(請求記録!$AC$6:$AC$3005,請求記録!$B$6:$B$3005,$A58,請求記録!$X$6:$X$3005,E$5))))</f>
        <v/>
      </c>
      <c r="F58" s="19">
        <f>IF($A58="","",IF(COUNTIFS(請求記録!$B$6:$B$3005,$A58,請求記録!$X$6:$X$3005,F$5,請求記録!$AD$6:$AD$3005,"保留中")&gt;0,"保留",IF(COUNTIFS(請求記録!$B$6:$B$3005,$A58,請求記録!$X$6:$X$3005,F$5)=0,"",SUMIFS(請求記録!$AC$6:$AC$3005,請求記録!$B$6:$B$3005,$A58,請求記録!$X$6:$X$3005,F$5))))</f>
        <v/>
      </c>
      <c r="G58" s="19">
        <f>IF($A58="","",IF(COUNTIFS(請求記録!$B$6:$B$3005,$A58,請求記録!$X$6:$X$3005,G$5,請求記録!$AD$6:$AD$3005,"保留中")&gt;0,"保留",IF(COUNTIFS(請求記録!$B$6:$B$3005,$A58,請求記録!$X$6:$X$3005,G$5)=0,"",SUMIFS(請求記録!$AC$6:$AC$3005,請求記録!$B$6:$B$3005,$A58,請求記録!$X$6:$X$3005,G$5))))</f>
        <v/>
      </c>
      <c r="H58" s="19">
        <f>IF($A58="","",IF(COUNTIFS(請求記録!$B$6:$B$3005,$A58,請求記録!$X$6:$X$3005,H$5,請求記録!$AD$6:$AD$3005,"保留中")&gt;0,"保留",IF(COUNTIFS(請求記録!$B$6:$B$3005,$A58,請求記録!$X$6:$X$3005,H$5)=0,"",SUMIFS(請求記録!$AC$6:$AC$3005,請求記録!$B$6:$B$3005,$A58,請求記録!$X$6:$X$3005,H$5))))</f>
        <v/>
      </c>
      <c r="I58" s="19">
        <f>IF($A58="","",IF(COUNTIFS(請求記録!$B$6:$B$3005,$A58,請求記録!$X$6:$X$3005,I$5,請求記録!$AD$6:$AD$3005,"保留中")&gt;0,"保留",IF(COUNTIFS(請求記録!$B$6:$B$3005,$A58,請求記録!$X$6:$X$3005,I$5)=0,"",SUMIFS(請求記録!$AC$6:$AC$3005,請求記録!$B$6:$B$3005,$A58,請求記録!$X$6:$X$3005,I$5))))</f>
        <v/>
      </c>
      <c r="J58" s="19">
        <f>IF($A58="","",IF(COUNTIFS(請求記録!$B$6:$B$3005,$A58,請求記録!$X$6:$X$3005,J$5,請求記録!$AD$6:$AD$3005,"保留中")&gt;0,"保留",IF(COUNTIFS(請求記録!$B$6:$B$3005,$A58,請求記録!$X$6:$X$3005,J$5)=0,"",SUMIFS(請求記録!$AC$6:$AC$3005,請求記録!$B$6:$B$3005,$A58,請求記録!$X$6:$X$3005,J$5))))</f>
        <v/>
      </c>
      <c r="K58" s="19">
        <f>IF($A58="","",IF(COUNTIFS(請求記録!$B$6:$B$3005,$A58,請求記録!$X$6:$X$3005,K$5,請求記録!$AD$6:$AD$3005,"保留中")&gt;0,"保留",IF(COUNTIFS(請求記録!$B$6:$B$3005,$A58,請求記録!$X$6:$X$3005,K$5)=0,"",SUMIFS(請求記録!$AC$6:$AC$3005,請求記録!$B$6:$B$3005,$A58,請求記録!$X$6:$X$3005,K$5))))</f>
        <v/>
      </c>
      <c r="L58" s="19">
        <f>IF($A58="","",IF(COUNTIFS(請求記録!$B$6:$B$3005,$A58,請求記録!$X$6:$X$3005,L$5,請求記録!$AD$6:$AD$3005,"保留中")&gt;0,"保留",IF(COUNTIFS(請求記録!$B$6:$B$3005,$A58,請求記録!$X$6:$X$3005,L$5)=0,"",SUMIFS(請求記録!$AC$6:$AC$3005,請求記録!$B$6:$B$3005,$A58,請求記録!$X$6:$X$3005,L$5))))</f>
        <v/>
      </c>
      <c r="M58" s="19">
        <f>IF($A58="","",IF(COUNTIFS(請求記録!$B$6:$B$3005,$A58,請求記録!$X$6:$X$3005,M$5,請求記録!$AD$6:$AD$3005,"保留中")&gt;0,"保留",IF(COUNTIFS(請求記録!$B$6:$B$3005,$A58,請求記録!$X$6:$X$3005,M$5)=0,"",SUMIFS(請求記録!$AC$6:$AC$3005,請求記録!$B$6:$B$3005,$A58,請求記録!$X$6:$X$3005,M$5))))</f>
        <v/>
      </c>
      <c r="N58" s="19">
        <f>IF($A58="","",IF(COUNTIFS(請求記録!$B$6:$B$3005,$A58,請求記録!$X$6:$X$3005,N$5,請求記録!$AD$6:$AD$3005,"保留中")&gt;0,"保留",IF(COUNTIFS(請求記録!$B$6:$B$3005,$A58,請求記録!$X$6:$X$3005,N$5)=0,"",SUMIFS(請求記録!$AC$6:$AC$3005,請求記録!$B$6:$B$3005,$A58,請求記録!$X$6:$X$3005,N$5))))</f>
        <v/>
      </c>
      <c r="O58" s="19">
        <f>IF($A58="","",IF(COUNTIFS(請求記録!$B$6:$B$3005,$A58,請求記録!$X$6:$X$3005,O$5,請求記録!$AD$6:$AD$3005,"保留中")&gt;0,"保留",IF(COUNTIFS(請求記録!$B$6:$B$3005,$A58,請求記録!$X$6:$X$3005,O$5)=0,"",SUMIFS(請求記録!$AC$6:$AC$3005,請求記録!$B$6:$B$3005,$A58,請求記録!$X$6:$X$3005,O$5))))</f>
        <v/>
      </c>
      <c r="P58" s="19">
        <f>IF($A58="","",IF(COUNTIFS(請求記録!$B$6:$B$3005,$A58,請求記録!$X$6:$X$3005,P$5,請求記録!$AD$6:$AD$3005,"保留中")&gt;0,"保留",IF(COUNTIFS(請求記録!$B$6:$B$3005,$A58,請求記録!$X$6:$X$3005,P$5)=0,"",SUMIFS(請求記録!$AC$6:$AC$3005,請求記録!$B$6:$B$3005,$A58,請求記録!$X$6:$X$3005,P$5))))</f>
        <v/>
      </c>
      <c r="Q58" s="19">
        <f>IF($A58="","",IF(COUNTIFS(請求記録!$B$6:$B$3005,$A58,請求記録!$X$6:$X$3005,Q$5,請求記録!$AD$6:$AD$3005,"保留中")&gt;0,"保留",IF(COUNTIFS(請求記録!$B$6:$B$3005,$A58,請求記録!$X$6:$X$3005,Q$5)=0,"",SUMIFS(請求記録!$AC$6:$AC$3005,請求記録!$B$6:$B$3005,$A58,請求記録!$X$6:$X$3005,Q$5))))</f>
        <v/>
      </c>
      <c r="R58" s="19">
        <f>IF($A58="","",IF(COUNTIFS(請求記録!$B$6:$B$3005,$A58,請求記録!$X$6:$X$3005,R$5,請求記録!$AD$6:$AD$3005,"保留中")&gt;0,"保留",IF(COUNTIFS(請求記録!$B$6:$B$3005,$A58,請求記録!$X$6:$X$3005,R$5)=0,"",SUMIFS(請求記録!$AC$6:$AC$3005,請求記録!$B$6:$B$3005,$A58,請求記録!$X$6:$X$3005,R$5))))</f>
        <v/>
      </c>
      <c r="S58" s="19">
        <f>IF($A58="","",IF(COUNTIFS(請求記録!$B$6:$B$3005,$A58,請求記録!$X$6:$X$3005,S$5,請求記録!$AD$6:$AD$3005,"保留中")&gt;0,"保留",IF(COUNTIFS(請求記録!$B$6:$B$3005,$A58,請求記録!$X$6:$X$3005,S$5)=0,"",SUMIFS(請求記録!$AC$6:$AC$3005,請求記録!$B$6:$B$3005,$A58,請求記録!$X$6:$X$3005,S$5))))</f>
        <v/>
      </c>
      <c r="T58" s="19">
        <f>IF($A58="","",IF(COUNTIFS(請求記録!$B$6:$B$3005,$A58,請求記録!$X$6:$X$3005,T$5,請求記録!$AD$6:$AD$3005,"保留中")&gt;0,"保留",IF(COUNTIFS(請求記録!$B$6:$B$3005,$A58,請求記録!$X$6:$X$3005,T$5)=0,"",SUMIFS(請求記録!$AC$6:$AC$3005,請求記録!$B$6:$B$3005,$A58,請求記録!$X$6:$X$3005,T$5))))</f>
        <v/>
      </c>
      <c r="U58" s="19">
        <f>IF($A58="","",IF(COUNTIFS(請求記録!$B$6:$B$3005,$A58,請求記録!$X$6:$X$3005,U$5,請求記録!$AD$6:$AD$3005,"保留中")&gt;0,"保留",IF(COUNTIFS(請求記録!$B$6:$B$3005,$A58,請求記録!$X$6:$X$3005,U$5)=0,"",SUMIFS(請求記録!$AC$6:$AC$3005,請求記録!$B$6:$B$3005,$A58,請求記録!$X$6:$X$3005,U$5))))</f>
        <v/>
      </c>
      <c r="V58" s="19">
        <f>IF($A58="","",IF(COUNTIFS(請求記録!$B$6:$B$3005,$A58,請求記録!$X$6:$X$3005,V$5,請求記録!$AD$6:$AD$3005,"保留中")&gt;0,"保留",IF(COUNTIFS(請求記録!$B$6:$B$3005,$A58,請求記録!$X$6:$X$3005,V$5)=0,"",SUMIFS(請求記録!$AC$6:$AC$3005,請求記録!$B$6:$B$3005,$A58,請求記録!$X$6:$X$3005,V$5))))</f>
        <v/>
      </c>
      <c r="W58" s="19">
        <f>IF($A58="","",IF(COUNTIFS(請求記録!$B$6:$B$3005,$A58,請求記録!$X$6:$X$3005,W$5,請求記録!$AD$6:$AD$3005,"保留中")&gt;0,"保留",IF(COUNTIFS(請求記録!$B$6:$B$3005,$A58,請求記録!$X$6:$X$3005,W$5)=0,"",SUMIFS(請求記録!$AC$6:$AC$3005,請求記録!$B$6:$B$3005,$A58,請求記録!$X$6:$X$3005,W$5))))</f>
        <v/>
      </c>
      <c r="X58" s="19">
        <f>IF($A58="","",IF(COUNTIFS(請求記録!$B$6:$B$3005,$A58,請求記録!$X$6:$X$3005,X$5,請求記録!$AD$6:$AD$3005,"保留中")&gt;0,"保留",IF(COUNTIFS(請求記録!$B$6:$B$3005,$A58,請求記録!$X$6:$X$3005,X$5)=0,"",SUMIFS(請求記録!$AC$6:$AC$3005,請求記録!$B$6:$B$3005,$A58,請求記録!$X$6:$X$3005,X$5))))</f>
        <v/>
      </c>
      <c r="Y58" s="19">
        <f>IF($A58="","",IF(COUNTIFS(請求記録!$B$6:$B$3005,$A58,請求記録!$X$6:$X$3005,Y$5,請求記録!$AD$6:$AD$3005,"保留中")&gt;0,"保留",IF(COUNTIFS(請求記録!$B$6:$B$3005,$A58,請求記録!$X$6:$X$3005,Y$5)=0,"",SUMIFS(請求記録!$AC$6:$AC$3005,請求記録!$B$6:$B$3005,$A58,請求記録!$X$6:$X$3005,Y$5))))</f>
        <v/>
      </c>
      <c r="Z58" s="19">
        <f>IF($A58="","",IF(COUNTIFS(請求記録!$B$6:$B$3005,$A58,請求記録!$X$6:$X$3005,Z$5,請求記録!$AD$6:$AD$3005,"保留中")&gt;0,"保留",IF(COUNTIFS(請求記録!$B$6:$B$3005,$A58,請求記録!$X$6:$X$3005,Z$5)=0,"",SUMIFS(請求記録!$AC$6:$AC$3005,請求記録!$B$6:$B$3005,$A58,請求記録!$X$6:$X$3005,Z$5))))</f>
        <v/>
      </c>
      <c r="AA58" s="19">
        <f>IF($A58="","",IF(COUNTIFS(請求記録!$B$6:$B$3005,$A58,請求記録!$X$6:$X$3005,AA$5,請求記録!$AD$6:$AD$3005,"保留中")&gt;0,"保留",IF(COUNTIFS(請求記録!$B$6:$B$3005,$A58,請求記録!$X$6:$X$3005,AA$5)=0,"",SUMIFS(請求記録!$AC$6:$AC$3005,請求記録!$B$6:$B$3005,$A58,請求記録!$X$6:$X$3005,AA$5))))</f>
        <v/>
      </c>
      <c r="AB58">
        <f>IF(職員マスタ!P58="保留中",職員マスタ!M58,"")</f>
        <v/>
      </c>
    </row>
    <row r="59">
      <c r="A59">
        <f>IF(職員マスタ!A59="","",職員マスタ!A59)</f>
        <v/>
      </c>
      <c r="B59">
        <f>IF($A59="","",職員マスタ!B59)</f>
        <v/>
      </c>
      <c r="C59">
        <f>IF($A59="","",職員マスタ!C59)</f>
        <v/>
      </c>
      <c r="D59" s="19">
        <f>IF($A59="","",IF(COUNTIFS(請求記録!$B$6:$B$3005,$A59,請求記録!$X$6:$X$3005,D$5,請求記録!$AD$6:$AD$3005,"保留中")&gt;0,"保留",IF(COUNTIFS(請求記録!$B$6:$B$3005,$A59,請求記録!$X$6:$X$3005,D$5)=0,"",SUMIFS(請求記録!$AC$6:$AC$3005,請求記録!$B$6:$B$3005,$A59,請求記録!$X$6:$X$3005,D$5))))</f>
        <v/>
      </c>
      <c r="E59" s="19">
        <f>IF($A59="","",IF(COUNTIFS(請求記録!$B$6:$B$3005,$A59,請求記録!$X$6:$X$3005,E$5,請求記録!$AD$6:$AD$3005,"保留中")&gt;0,"保留",IF(COUNTIFS(請求記録!$B$6:$B$3005,$A59,請求記録!$X$6:$X$3005,E$5)=0,"",SUMIFS(請求記録!$AC$6:$AC$3005,請求記録!$B$6:$B$3005,$A59,請求記録!$X$6:$X$3005,E$5))))</f>
        <v/>
      </c>
      <c r="F59" s="19">
        <f>IF($A59="","",IF(COUNTIFS(請求記録!$B$6:$B$3005,$A59,請求記録!$X$6:$X$3005,F$5,請求記録!$AD$6:$AD$3005,"保留中")&gt;0,"保留",IF(COUNTIFS(請求記録!$B$6:$B$3005,$A59,請求記録!$X$6:$X$3005,F$5)=0,"",SUMIFS(請求記録!$AC$6:$AC$3005,請求記録!$B$6:$B$3005,$A59,請求記録!$X$6:$X$3005,F$5))))</f>
        <v/>
      </c>
      <c r="G59" s="19">
        <f>IF($A59="","",IF(COUNTIFS(請求記録!$B$6:$B$3005,$A59,請求記録!$X$6:$X$3005,G$5,請求記録!$AD$6:$AD$3005,"保留中")&gt;0,"保留",IF(COUNTIFS(請求記録!$B$6:$B$3005,$A59,請求記録!$X$6:$X$3005,G$5)=0,"",SUMIFS(請求記録!$AC$6:$AC$3005,請求記録!$B$6:$B$3005,$A59,請求記録!$X$6:$X$3005,G$5))))</f>
        <v/>
      </c>
      <c r="H59" s="19">
        <f>IF($A59="","",IF(COUNTIFS(請求記録!$B$6:$B$3005,$A59,請求記録!$X$6:$X$3005,H$5,請求記録!$AD$6:$AD$3005,"保留中")&gt;0,"保留",IF(COUNTIFS(請求記録!$B$6:$B$3005,$A59,請求記録!$X$6:$X$3005,H$5)=0,"",SUMIFS(請求記録!$AC$6:$AC$3005,請求記録!$B$6:$B$3005,$A59,請求記録!$X$6:$X$3005,H$5))))</f>
        <v/>
      </c>
      <c r="I59" s="19">
        <f>IF($A59="","",IF(COUNTIFS(請求記録!$B$6:$B$3005,$A59,請求記録!$X$6:$X$3005,I$5,請求記録!$AD$6:$AD$3005,"保留中")&gt;0,"保留",IF(COUNTIFS(請求記録!$B$6:$B$3005,$A59,請求記録!$X$6:$X$3005,I$5)=0,"",SUMIFS(請求記録!$AC$6:$AC$3005,請求記録!$B$6:$B$3005,$A59,請求記録!$X$6:$X$3005,I$5))))</f>
        <v/>
      </c>
      <c r="J59" s="19">
        <f>IF($A59="","",IF(COUNTIFS(請求記録!$B$6:$B$3005,$A59,請求記録!$X$6:$X$3005,J$5,請求記録!$AD$6:$AD$3005,"保留中")&gt;0,"保留",IF(COUNTIFS(請求記録!$B$6:$B$3005,$A59,請求記録!$X$6:$X$3005,J$5)=0,"",SUMIFS(請求記録!$AC$6:$AC$3005,請求記録!$B$6:$B$3005,$A59,請求記録!$X$6:$X$3005,J$5))))</f>
        <v/>
      </c>
      <c r="K59" s="19">
        <f>IF($A59="","",IF(COUNTIFS(請求記録!$B$6:$B$3005,$A59,請求記録!$X$6:$X$3005,K$5,請求記録!$AD$6:$AD$3005,"保留中")&gt;0,"保留",IF(COUNTIFS(請求記録!$B$6:$B$3005,$A59,請求記録!$X$6:$X$3005,K$5)=0,"",SUMIFS(請求記録!$AC$6:$AC$3005,請求記録!$B$6:$B$3005,$A59,請求記録!$X$6:$X$3005,K$5))))</f>
        <v/>
      </c>
      <c r="L59" s="19">
        <f>IF($A59="","",IF(COUNTIFS(請求記録!$B$6:$B$3005,$A59,請求記録!$X$6:$X$3005,L$5,請求記録!$AD$6:$AD$3005,"保留中")&gt;0,"保留",IF(COUNTIFS(請求記録!$B$6:$B$3005,$A59,請求記録!$X$6:$X$3005,L$5)=0,"",SUMIFS(請求記録!$AC$6:$AC$3005,請求記録!$B$6:$B$3005,$A59,請求記録!$X$6:$X$3005,L$5))))</f>
        <v/>
      </c>
      <c r="M59" s="19">
        <f>IF($A59="","",IF(COUNTIFS(請求記録!$B$6:$B$3005,$A59,請求記録!$X$6:$X$3005,M$5,請求記録!$AD$6:$AD$3005,"保留中")&gt;0,"保留",IF(COUNTIFS(請求記録!$B$6:$B$3005,$A59,請求記録!$X$6:$X$3005,M$5)=0,"",SUMIFS(請求記録!$AC$6:$AC$3005,請求記録!$B$6:$B$3005,$A59,請求記録!$X$6:$X$3005,M$5))))</f>
        <v/>
      </c>
      <c r="N59" s="19">
        <f>IF($A59="","",IF(COUNTIFS(請求記録!$B$6:$B$3005,$A59,請求記録!$X$6:$X$3005,N$5,請求記録!$AD$6:$AD$3005,"保留中")&gt;0,"保留",IF(COUNTIFS(請求記録!$B$6:$B$3005,$A59,請求記録!$X$6:$X$3005,N$5)=0,"",SUMIFS(請求記録!$AC$6:$AC$3005,請求記録!$B$6:$B$3005,$A59,請求記録!$X$6:$X$3005,N$5))))</f>
        <v/>
      </c>
      <c r="O59" s="19">
        <f>IF($A59="","",IF(COUNTIFS(請求記録!$B$6:$B$3005,$A59,請求記録!$X$6:$X$3005,O$5,請求記録!$AD$6:$AD$3005,"保留中")&gt;0,"保留",IF(COUNTIFS(請求記録!$B$6:$B$3005,$A59,請求記録!$X$6:$X$3005,O$5)=0,"",SUMIFS(請求記録!$AC$6:$AC$3005,請求記録!$B$6:$B$3005,$A59,請求記録!$X$6:$X$3005,O$5))))</f>
        <v/>
      </c>
      <c r="P59" s="19">
        <f>IF($A59="","",IF(COUNTIFS(請求記録!$B$6:$B$3005,$A59,請求記録!$X$6:$X$3005,P$5,請求記録!$AD$6:$AD$3005,"保留中")&gt;0,"保留",IF(COUNTIFS(請求記録!$B$6:$B$3005,$A59,請求記録!$X$6:$X$3005,P$5)=0,"",SUMIFS(請求記録!$AC$6:$AC$3005,請求記録!$B$6:$B$3005,$A59,請求記録!$X$6:$X$3005,P$5))))</f>
        <v/>
      </c>
      <c r="Q59" s="19">
        <f>IF($A59="","",IF(COUNTIFS(請求記録!$B$6:$B$3005,$A59,請求記録!$X$6:$X$3005,Q$5,請求記録!$AD$6:$AD$3005,"保留中")&gt;0,"保留",IF(COUNTIFS(請求記録!$B$6:$B$3005,$A59,請求記録!$X$6:$X$3005,Q$5)=0,"",SUMIFS(請求記録!$AC$6:$AC$3005,請求記録!$B$6:$B$3005,$A59,請求記録!$X$6:$X$3005,Q$5))))</f>
        <v/>
      </c>
      <c r="R59" s="19">
        <f>IF($A59="","",IF(COUNTIFS(請求記録!$B$6:$B$3005,$A59,請求記録!$X$6:$X$3005,R$5,請求記録!$AD$6:$AD$3005,"保留中")&gt;0,"保留",IF(COUNTIFS(請求記録!$B$6:$B$3005,$A59,請求記録!$X$6:$X$3005,R$5)=0,"",SUMIFS(請求記録!$AC$6:$AC$3005,請求記録!$B$6:$B$3005,$A59,請求記録!$X$6:$X$3005,R$5))))</f>
        <v/>
      </c>
      <c r="S59" s="19">
        <f>IF($A59="","",IF(COUNTIFS(請求記録!$B$6:$B$3005,$A59,請求記録!$X$6:$X$3005,S$5,請求記録!$AD$6:$AD$3005,"保留中")&gt;0,"保留",IF(COUNTIFS(請求記録!$B$6:$B$3005,$A59,請求記録!$X$6:$X$3005,S$5)=0,"",SUMIFS(請求記録!$AC$6:$AC$3005,請求記録!$B$6:$B$3005,$A59,請求記録!$X$6:$X$3005,S$5))))</f>
        <v/>
      </c>
      <c r="T59" s="19">
        <f>IF($A59="","",IF(COUNTIFS(請求記録!$B$6:$B$3005,$A59,請求記録!$X$6:$X$3005,T$5,請求記録!$AD$6:$AD$3005,"保留中")&gt;0,"保留",IF(COUNTIFS(請求記録!$B$6:$B$3005,$A59,請求記録!$X$6:$X$3005,T$5)=0,"",SUMIFS(請求記録!$AC$6:$AC$3005,請求記録!$B$6:$B$3005,$A59,請求記録!$X$6:$X$3005,T$5))))</f>
        <v/>
      </c>
      <c r="U59" s="19">
        <f>IF($A59="","",IF(COUNTIFS(請求記録!$B$6:$B$3005,$A59,請求記録!$X$6:$X$3005,U$5,請求記録!$AD$6:$AD$3005,"保留中")&gt;0,"保留",IF(COUNTIFS(請求記録!$B$6:$B$3005,$A59,請求記録!$X$6:$X$3005,U$5)=0,"",SUMIFS(請求記録!$AC$6:$AC$3005,請求記録!$B$6:$B$3005,$A59,請求記録!$X$6:$X$3005,U$5))))</f>
        <v/>
      </c>
      <c r="V59" s="19">
        <f>IF($A59="","",IF(COUNTIFS(請求記録!$B$6:$B$3005,$A59,請求記録!$X$6:$X$3005,V$5,請求記録!$AD$6:$AD$3005,"保留中")&gt;0,"保留",IF(COUNTIFS(請求記録!$B$6:$B$3005,$A59,請求記録!$X$6:$X$3005,V$5)=0,"",SUMIFS(請求記録!$AC$6:$AC$3005,請求記録!$B$6:$B$3005,$A59,請求記録!$X$6:$X$3005,V$5))))</f>
        <v/>
      </c>
      <c r="W59" s="19">
        <f>IF($A59="","",IF(COUNTIFS(請求記録!$B$6:$B$3005,$A59,請求記録!$X$6:$X$3005,W$5,請求記録!$AD$6:$AD$3005,"保留中")&gt;0,"保留",IF(COUNTIFS(請求記録!$B$6:$B$3005,$A59,請求記録!$X$6:$X$3005,W$5)=0,"",SUMIFS(請求記録!$AC$6:$AC$3005,請求記録!$B$6:$B$3005,$A59,請求記録!$X$6:$X$3005,W$5))))</f>
        <v/>
      </c>
      <c r="X59" s="19">
        <f>IF($A59="","",IF(COUNTIFS(請求記録!$B$6:$B$3005,$A59,請求記録!$X$6:$X$3005,X$5,請求記録!$AD$6:$AD$3005,"保留中")&gt;0,"保留",IF(COUNTIFS(請求記録!$B$6:$B$3005,$A59,請求記録!$X$6:$X$3005,X$5)=0,"",SUMIFS(請求記録!$AC$6:$AC$3005,請求記録!$B$6:$B$3005,$A59,請求記録!$X$6:$X$3005,X$5))))</f>
        <v/>
      </c>
      <c r="Y59" s="19">
        <f>IF($A59="","",IF(COUNTIFS(請求記録!$B$6:$B$3005,$A59,請求記録!$X$6:$X$3005,Y$5,請求記録!$AD$6:$AD$3005,"保留中")&gt;0,"保留",IF(COUNTIFS(請求記録!$B$6:$B$3005,$A59,請求記録!$X$6:$X$3005,Y$5)=0,"",SUMIFS(請求記録!$AC$6:$AC$3005,請求記録!$B$6:$B$3005,$A59,請求記録!$X$6:$X$3005,Y$5))))</f>
        <v/>
      </c>
      <c r="Z59" s="19">
        <f>IF($A59="","",IF(COUNTIFS(請求記録!$B$6:$B$3005,$A59,請求記録!$X$6:$X$3005,Z$5,請求記録!$AD$6:$AD$3005,"保留中")&gt;0,"保留",IF(COUNTIFS(請求記録!$B$6:$B$3005,$A59,請求記録!$X$6:$X$3005,Z$5)=0,"",SUMIFS(請求記録!$AC$6:$AC$3005,請求記録!$B$6:$B$3005,$A59,請求記録!$X$6:$X$3005,Z$5))))</f>
        <v/>
      </c>
      <c r="AA59" s="19">
        <f>IF($A59="","",IF(COUNTIFS(請求記録!$B$6:$B$3005,$A59,請求記録!$X$6:$X$3005,AA$5,請求記録!$AD$6:$AD$3005,"保留中")&gt;0,"保留",IF(COUNTIFS(請求記録!$B$6:$B$3005,$A59,請求記録!$X$6:$X$3005,AA$5)=0,"",SUMIFS(請求記録!$AC$6:$AC$3005,請求記録!$B$6:$B$3005,$A59,請求記録!$X$6:$X$3005,AA$5))))</f>
        <v/>
      </c>
      <c r="AB59">
        <f>IF(職員マスタ!P59="保留中",職員マスタ!M59,"")</f>
        <v/>
      </c>
    </row>
    <row r="60">
      <c r="A60">
        <f>IF(職員マスタ!A60="","",職員マスタ!A60)</f>
        <v/>
      </c>
      <c r="B60">
        <f>IF($A60="","",職員マスタ!B60)</f>
        <v/>
      </c>
      <c r="C60">
        <f>IF($A60="","",職員マスタ!C60)</f>
        <v/>
      </c>
      <c r="D60" s="19">
        <f>IF($A60="","",IF(COUNTIFS(請求記録!$B$6:$B$3005,$A60,請求記録!$X$6:$X$3005,D$5,請求記録!$AD$6:$AD$3005,"保留中")&gt;0,"保留",IF(COUNTIFS(請求記録!$B$6:$B$3005,$A60,請求記録!$X$6:$X$3005,D$5)=0,"",SUMIFS(請求記録!$AC$6:$AC$3005,請求記録!$B$6:$B$3005,$A60,請求記録!$X$6:$X$3005,D$5))))</f>
        <v/>
      </c>
      <c r="E60" s="19">
        <f>IF($A60="","",IF(COUNTIFS(請求記録!$B$6:$B$3005,$A60,請求記録!$X$6:$X$3005,E$5,請求記録!$AD$6:$AD$3005,"保留中")&gt;0,"保留",IF(COUNTIFS(請求記録!$B$6:$B$3005,$A60,請求記録!$X$6:$X$3005,E$5)=0,"",SUMIFS(請求記録!$AC$6:$AC$3005,請求記録!$B$6:$B$3005,$A60,請求記録!$X$6:$X$3005,E$5))))</f>
        <v/>
      </c>
      <c r="F60" s="19">
        <f>IF($A60="","",IF(COUNTIFS(請求記録!$B$6:$B$3005,$A60,請求記録!$X$6:$X$3005,F$5,請求記録!$AD$6:$AD$3005,"保留中")&gt;0,"保留",IF(COUNTIFS(請求記録!$B$6:$B$3005,$A60,請求記録!$X$6:$X$3005,F$5)=0,"",SUMIFS(請求記録!$AC$6:$AC$3005,請求記録!$B$6:$B$3005,$A60,請求記録!$X$6:$X$3005,F$5))))</f>
        <v/>
      </c>
      <c r="G60" s="19">
        <f>IF($A60="","",IF(COUNTIFS(請求記録!$B$6:$B$3005,$A60,請求記録!$X$6:$X$3005,G$5,請求記録!$AD$6:$AD$3005,"保留中")&gt;0,"保留",IF(COUNTIFS(請求記録!$B$6:$B$3005,$A60,請求記録!$X$6:$X$3005,G$5)=0,"",SUMIFS(請求記録!$AC$6:$AC$3005,請求記録!$B$6:$B$3005,$A60,請求記録!$X$6:$X$3005,G$5))))</f>
        <v/>
      </c>
      <c r="H60" s="19">
        <f>IF($A60="","",IF(COUNTIFS(請求記録!$B$6:$B$3005,$A60,請求記録!$X$6:$X$3005,H$5,請求記録!$AD$6:$AD$3005,"保留中")&gt;0,"保留",IF(COUNTIFS(請求記録!$B$6:$B$3005,$A60,請求記録!$X$6:$X$3005,H$5)=0,"",SUMIFS(請求記録!$AC$6:$AC$3005,請求記録!$B$6:$B$3005,$A60,請求記録!$X$6:$X$3005,H$5))))</f>
        <v/>
      </c>
      <c r="I60" s="19">
        <f>IF($A60="","",IF(COUNTIFS(請求記録!$B$6:$B$3005,$A60,請求記録!$X$6:$X$3005,I$5,請求記録!$AD$6:$AD$3005,"保留中")&gt;0,"保留",IF(COUNTIFS(請求記録!$B$6:$B$3005,$A60,請求記録!$X$6:$X$3005,I$5)=0,"",SUMIFS(請求記録!$AC$6:$AC$3005,請求記録!$B$6:$B$3005,$A60,請求記録!$X$6:$X$3005,I$5))))</f>
        <v/>
      </c>
      <c r="J60" s="19">
        <f>IF($A60="","",IF(COUNTIFS(請求記録!$B$6:$B$3005,$A60,請求記録!$X$6:$X$3005,J$5,請求記録!$AD$6:$AD$3005,"保留中")&gt;0,"保留",IF(COUNTIFS(請求記録!$B$6:$B$3005,$A60,請求記録!$X$6:$X$3005,J$5)=0,"",SUMIFS(請求記録!$AC$6:$AC$3005,請求記録!$B$6:$B$3005,$A60,請求記録!$X$6:$X$3005,J$5))))</f>
        <v/>
      </c>
      <c r="K60" s="19">
        <f>IF($A60="","",IF(COUNTIFS(請求記録!$B$6:$B$3005,$A60,請求記録!$X$6:$X$3005,K$5,請求記録!$AD$6:$AD$3005,"保留中")&gt;0,"保留",IF(COUNTIFS(請求記録!$B$6:$B$3005,$A60,請求記録!$X$6:$X$3005,K$5)=0,"",SUMIFS(請求記録!$AC$6:$AC$3005,請求記録!$B$6:$B$3005,$A60,請求記録!$X$6:$X$3005,K$5))))</f>
        <v/>
      </c>
      <c r="L60" s="19">
        <f>IF($A60="","",IF(COUNTIFS(請求記録!$B$6:$B$3005,$A60,請求記録!$X$6:$X$3005,L$5,請求記録!$AD$6:$AD$3005,"保留中")&gt;0,"保留",IF(COUNTIFS(請求記録!$B$6:$B$3005,$A60,請求記録!$X$6:$X$3005,L$5)=0,"",SUMIFS(請求記録!$AC$6:$AC$3005,請求記録!$B$6:$B$3005,$A60,請求記録!$X$6:$X$3005,L$5))))</f>
        <v/>
      </c>
      <c r="M60" s="19">
        <f>IF($A60="","",IF(COUNTIFS(請求記録!$B$6:$B$3005,$A60,請求記録!$X$6:$X$3005,M$5,請求記録!$AD$6:$AD$3005,"保留中")&gt;0,"保留",IF(COUNTIFS(請求記録!$B$6:$B$3005,$A60,請求記録!$X$6:$X$3005,M$5)=0,"",SUMIFS(請求記録!$AC$6:$AC$3005,請求記録!$B$6:$B$3005,$A60,請求記録!$X$6:$X$3005,M$5))))</f>
        <v/>
      </c>
      <c r="N60" s="19">
        <f>IF($A60="","",IF(COUNTIFS(請求記録!$B$6:$B$3005,$A60,請求記録!$X$6:$X$3005,N$5,請求記録!$AD$6:$AD$3005,"保留中")&gt;0,"保留",IF(COUNTIFS(請求記録!$B$6:$B$3005,$A60,請求記録!$X$6:$X$3005,N$5)=0,"",SUMIFS(請求記録!$AC$6:$AC$3005,請求記録!$B$6:$B$3005,$A60,請求記録!$X$6:$X$3005,N$5))))</f>
        <v/>
      </c>
      <c r="O60" s="19">
        <f>IF($A60="","",IF(COUNTIFS(請求記録!$B$6:$B$3005,$A60,請求記録!$X$6:$X$3005,O$5,請求記録!$AD$6:$AD$3005,"保留中")&gt;0,"保留",IF(COUNTIFS(請求記録!$B$6:$B$3005,$A60,請求記録!$X$6:$X$3005,O$5)=0,"",SUMIFS(請求記録!$AC$6:$AC$3005,請求記録!$B$6:$B$3005,$A60,請求記録!$X$6:$X$3005,O$5))))</f>
        <v/>
      </c>
      <c r="P60" s="19">
        <f>IF($A60="","",IF(COUNTIFS(請求記録!$B$6:$B$3005,$A60,請求記録!$X$6:$X$3005,P$5,請求記録!$AD$6:$AD$3005,"保留中")&gt;0,"保留",IF(COUNTIFS(請求記録!$B$6:$B$3005,$A60,請求記録!$X$6:$X$3005,P$5)=0,"",SUMIFS(請求記録!$AC$6:$AC$3005,請求記録!$B$6:$B$3005,$A60,請求記録!$X$6:$X$3005,P$5))))</f>
        <v/>
      </c>
      <c r="Q60" s="19">
        <f>IF($A60="","",IF(COUNTIFS(請求記録!$B$6:$B$3005,$A60,請求記録!$X$6:$X$3005,Q$5,請求記録!$AD$6:$AD$3005,"保留中")&gt;0,"保留",IF(COUNTIFS(請求記録!$B$6:$B$3005,$A60,請求記録!$X$6:$X$3005,Q$5)=0,"",SUMIFS(請求記録!$AC$6:$AC$3005,請求記録!$B$6:$B$3005,$A60,請求記録!$X$6:$X$3005,Q$5))))</f>
        <v/>
      </c>
      <c r="R60" s="19">
        <f>IF($A60="","",IF(COUNTIFS(請求記録!$B$6:$B$3005,$A60,請求記録!$X$6:$X$3005,R$5,請求記録!$AD$6:$AD$3005,"保留中")&gt;0,"保留",IF(COUNTIFS(請求記録!$B$6:$B$3005,$A60,請求記録!$X$6:$X$3005,R$5)=0,"",SUMIFS(請求記録!$AC$6:$AC$3005,請求記録!$B$6:$B$3005,$A60,請求記録!$X$6:$X$3005,R$5))))</f>
        <v/>
      </c>
      <c r="S60" s="19">
        <f>IF($A60="","",IF(COUNTIFS(請求記録!$B$6:$B$3005,$A60,請求記録!$X$6:$X$3005,S$5,請求記録!$AD$6:$AD$3005,"保留中")&gt;0,"保留",IF(COUNTIFS(請求記録!$B$6:$B$3005,$A60,請求記録!$X$6:$X$3005,S$5)=0,"",SUMIFS(請求記録!$AC$6:$AC$3005,請求記録!$B$6:$B$3005,$A60,請求記録!$X$6:$X$3005,S$5))))</f>
        <v/>
      </c>
      <c r="T60" s="19">
        <f>IF($A60="","",IF(COUNTIFS(請求記録!$B$6:$B$3005,$A60,請求記録!$X$6:$X$3005,T$5,請求記録!$AD$6:$AD$3005,"保留中")&gt;0,"保留",IF(COUNTIFS(請求記録!$B$6:$B$3005,$A60,請求記録!$X$6:$X$3005,T$5)=0,"",SUMIFS(請求記録!$AC$6:$AC$3005,請求記録!$B$6:$B$3005,$A60,請求記録!$X$6:$X$3005,T$5))))</f>
        <v/>
      </c>
      <c r="U60" s="19">
        <f>IF($A60="","",IF(COUNTIFS(請求記録!$B$6:$B$3005,$A60,請求記録!$X$6:$X$3005,U$5,請求記録!$AD$6:$AD$3005,"保留中")&gt;0,"保留",IF(COUNTIFS(請求記録!$B$6:$B$3005,$A60,請求記録!$X$6:$X$3005,U$5)=0,"",SUMIFS(請求記録!$AC$6:$AC$3005,請求記録!$B$6:$B$3005,$A60,請求記録!$X$6:$X$3005,U$5))))</f>
        <v/>
      </c>
      <c r="V60" s="19">
        <f>IF($A60="","",IF(COUNTIFS(請求記録!$B$6:$B$3005,$A60,請求記録!$X$6:$X$3005,V$5,請求記録!$AD$6:$AD$3005,"保留中")&gt;0,"保留",IF(COUNTIFS(請求記録!$B$6:$B$3005,$A60,請求記録!$X$6:$X$3005,V$5)=0,"",SUMIFS(請求記録!$AC$6:$AC$3005,請求記録!$B$6:$B$3005,$A60,請求記録!$X$6:$X$3005,V$5))))</f>
        <v/>
      </c>
      <c r="W60" s="19">
        <f>IF($A60="","",IF(COUNTIFS(請求記録!$B$6:$B$3005,$A60,請求記録!$X$6:$X$3005,W$5,請求記録!$AD$6:$AD$3005,"保留中")&gt;0,"保留",IF(COUNTIFS(請求記録!$B$6:$B$3005,$A60,請求記録!$X$6:$X$3005,W$5)=0,"",SUMIFS(請求記録!$AC$6:$AC$3005,請求記録!$B$6:$B$3005,$A60,請求記録!$X$6:$X$3005,W$5))))</f>
        <v/>
      </c>
      <c r="X60" s="19">
        <f>IF($A60="","",IF(COUNTIFS(請求記録!$B$6:$B$3005,$A60,請求記録!$X$6:$X$3005,X$5,請求記録!$AD$6:$AD$3005,"保留中")&gt;0,"保留",IF(COUNTIFS(請求記録!$B$6:$B$3005,$A60,請求記録!$X$6:$X$3005,X$5)=0,"",SUMIFS(請求記録!$AC$6:$AC$3005,請求記録!$B$6:$B$3005,$A60,請求記録!$X$6:$X$3005,X$5))))</f>
        <v/>
      </c>
      <c r="Y60" s="19">
        <f>IF($A60="","",IF(COUNTIFS(請求記録!$B$6:$B$3005,$A60,請求記録!$X$6:$X$3005,Y$5,請求記録!$AD$6:$AD$3005,"保留中")&gt;0,"保留",IF(COUNTIFS(請求記録!$B$6:$B$3005,$A60,請求記録!$X$6:$X$3005,Y$5)=0,"",SUMIFS(請求記録!$AC$6:$AC$3005,請求記録!$B$6:$B$3005,$A60,請求記録!$X$6:$X$3005,Y$5))))</f>
        <v/>
      </c>
      <c r="Z60" s="19">
        <f>IF($A60="","",IF(COUNTIFS(請求記録!$B$6:$B$3005,$A60,請求記録!$X$6:$X$3005,Z$5,請求記録!$AD$6:$AD$3005,"保留中")&gt;0,"保留",IF(COUNTIFS(請求記録!$B$6:$B$3005,$A60,請求記録!$X$6:$X$3005,Z$5)=0,"",SUMIFS(請求記録!$AC$6:$AC$3005,請求記録!$B$6:$B$3005,$A60,請求記録!$X$6:$X$3005,Z$5))))</f>
        <v/>
      </c>
      <c r="AA60" s="19">
        <f>IF($A60="","",IF(COUNTIFS(請求記録!$B$6:$B$3005,$A60,請求記録!$X$6:$X$3005,AA$5,請求記録!$AD$6:$AD$3005,"保留中")&gt;0,"保留",IF(COUNTIFS(請求記録!$B$6:$B$3005,$A60,請求記録!$X$6:$X$3005,AA$5)=0,"",SUMIFS(請求記録!$AC$6:$AC$3005,請求記録!$B$6:$B$3005,$A60,請求記録!$X$6:$X$3005,AA$5))))</f>
        <v/>
      </c>
      <c r="AB60">
        <f>IF(職員マスタ!P60="保留中",職員マスタ!M60,"")</f>
        <v/>
      </c>
    </row>
    <row r="61">
      <c r="A61">
        <f>IF(職員マスタ!A61="","",職員マスタ!A61)</f>
        <v/>
      </c>
      <c r="B61">
        <f>IF($A61="","",職員マスタ!B61)</f>
        <v/>
      </c>
      <c r="C61">
        <f>IF($A61="","",職員マスタ!C61)</f>
        <v/>
      </c>
      <c r="D61" s="19">
        <f>IF($A61="","",IF(COUNTIFS(請求記録!$B$6:$B$3005,$A61,請求記録!$X$6:$X$3005,D$5,請求記録!$AD$6:$AD$3005,"保留中")&gt;0,"保留",IF(COUNTIFS(請求記録!$B$6:$B$3005,$A61,請求記録!$X$6:$X$3005,D$5)=0,"",SUMIFS(請求記録!$AC$6:$AC$3005,請求記録!$B$6:$B$3005,$A61,請求記録!$X$6:$X$3005,D$5))))</f>
        <v/>
      </c>
      <c r="E61" s="19">
        <f>IF($A61="","",IF(COUNTIFS(請求記録!$B$6:$B$3005,$A61,請求記録!$X$6:$X$3005,E$5,請求記録!$AD$6:$AD$3005,"保留中")&gt;0,"保留",IF(COUNTIFS(請求記録!$B$6:$B$3005,$A61,請求記録!$X$6:$X$3005,E$5)=0,"",SUMIFS(請求記録!$AC$6:$AC$3005,請求記録!$B$6:$B$3005,$A61,請求記録!$X$6:$X$3005,E$5))))</f>
        <v/>
      </c>
      <c r="F61" s="19">
        <f>IF($A61="","",IF(COUNTIFS(請求記録!$B$6:$B$3005,$A61,請求記録!$X$6:$X$3005,F$5,請求記録!$AD$6:$AD$3005,"保留中")&gt;0,"保留",IF(COUNTIFS(請求記録!$B$6:$B$3005,$A61,請求記録!$X$6:$X$3005,F$5)=0,"",SUMIFS(請求記録!$AC$6:$AC$3005,請求記録!$B$6:$B$3005,$A61,請求記録!$X$6:$X$3005,F$5))))</f>
        <v/>
      </c>
      <c r="G61" s="19">
        <f>IF($A61="","",IF(COUNTIFS(請求記録!$B$6:$B$3005,$A61,請求記録!$X$6:$X$3005,G$5,請求記録!$AD$6:$AD$3005,"保留中")&gt;0,"保留",IF(COUNTIFS(請求記録!$B$6:$B$3005,$A61,請求記録!$X$6:$X$3005,G$5)=0,"",SUMIFS(請求記録!$AC$6:$AC$3005,請求記録!$B$6:$B$3005,$A61,請求記録!$X$6:$X$3005,G$5))))</f>
        <v/>
      </c>
      <c r="H61" s="19">
        <f>IF($A61="","",IF(COUNTIFS(請求記録!$B$6:$B$3005,$A61,請求記録!$X$6:$X$3005,H$5,請求記録!$AD$6:$AD$3005,"保留中")&gt;0,"保留",IF(COUNTIFS(請求記録!$B$6:$B$3005,$A61,請求記録!$X$6:$X$3005,H$5)=0,"",SUMIFS(請求記録!$AC$6:$AC$3005,請求記録!$B$6:$B$3005,$A61,請求記録!$X$6:$X$3005,H$5))))</f>
        <v/>
      </c>
      <c r="I61" s="19">
        <f>IF($A61="","",IF(COUNTIFS(請求記録!$B$6:$B$3005,$A61,請求記録!$X$6:$X$3005,I$5,請求記録!$AD$6:$AD$3005,"保留中")&gt;0,"保留",IF(COUNTIFS(請求記録!$B$6:$B$3005,$A61,請求記録!$X$6:$X$3005,I$5)=0,"",SUMIFS(請求記録!$AC$6:$AC$3005,請求記録!$B$6:$B$3005,$A61,請求記録!$X$6:$X$3005,I$5))))</f>
        <v/>
      </c>
      <c r="J61" s="19">
        <f>IF($A61="","",IF(COUNTIFS(請求記録!$B$6:$B$3005,$A61,請求記録!$X$6:$X$3005,J$5,請求記録!$AD$6:$AD$3005,"保留中")&gt;0,"保留",IF(COUNTIFS(請求記録!$B$6:$B$3005,$A61,請求記録!$X$6:$X$3005,J$5)=0,"",SUMIFS(請求記録!$AC$6:$AC$3005,請求記録!$B$6:$B$3005,$A61,請求記録!$X$6:$X$3005,J$5))))</f>
        <v/>
      </c>
      <c r="K61" s="19">
        <f>IF($A61="","",IF(COUNTIFS(請求記録!$B$6:$B$3005,$A61,請求記録!$X$6:$X$3005,K$5,請求記録!$AD$6:$AD$3005,"保留中")&gt;0,"保留",IF(COUNTIFS(請求記録!$B$6:$B$3005,$A61,請求記録!$X$6:$X$3005,K$5)=0,"",SUMIFS(請求記録!$AC$6:$AC$3005,請求記録!$B$6:$B$3005,$A61,請求記録!$X$6:$X$3005,K$5))))</f>
        <v/>
      </c>
      <c r="L61" s="19">
        <f>IF($A61="","",IF(COUNTIFS(請求記録!$B$6:$B$3005,$A61,請求記録!$X$6:$X$3005,L$5,請求記録!$AD$6:$AD$3005,"保留中")&gt;0,"保留",IF(COUNTIFS(請求記録!$B$6:$B$3005,$A61,請求記録!$X$6:$X$3005,L$5)=0,"",SUMIFS(請求記録!$AC$6:$AC$3005,請求記録!$B$6:$B$3005,$A61,請求記録!$X$6:$X$3005,L$5))))</f>
        <v/>
      </c>
      <c r="M61" s="19">
        <f>IF($A61="","",IF(COUNTIFS(請求記録!$B$6:$B$3005,$A61,請求記録!$X$6:$X$3005,M$5,請求記録!$AD$6:$AD$3005,"保留中")&gt;0,"保留",IF(COUNTIFS(請求記録!$B$6:$B$3005,$A61,請求記録!$X$6:$X$3005,M$5)=0,"",SUMIFS(請求記録!$AC$6:$AC$3005,請求記録!$B$6:$B$3005,$A61,請求記録!$X$6:$X$3005,M$5))))</f>
        <v/>
      </c>
      <c r="N61" s="19">
        <f>IF($A61="","",IF(COUNTIFS(請求記録!$B$6:$B$3005,$A61,請求記録!$X$6:$X$3005,N$5,請求記録!$AD$6:$AD$3005,"保留中")&gt;0,"保留",IF(COUNTIFS(請求記録!$B$6:$B$3005,$A61,請求記録!$X$6:$X$3005,N$5)=0,"",SUMIFS(請求記録!$AC$6:$AC$3005,請求記録!$B$6:$B$3005,$A61,請求記録!$X$6:$X$3005,N$5))))</f>
        <v/>
      </c>
      <c r="O61" s="19">
        <f>IF($A61="","",IF(COUNTIFS(請求記録!$B$6:$B$3005,$A61,請求記録!$X$6:$X$3005,O$5,請求記録!$AD$6:$AD$3005,"保留中")&gt;0,"保留",IF(COUNTIFS(請求記録!$B$6:$B$3005,$A61,請求記録!$X$6:$X$3005,O$5)=0,"",SUMIFS(請求記録!$AC$6:$AC$3005,請求記録!$B$6:$B$3005,$A61,請求記録!$X$6:$X$3005,O$5))))</f>
        <v/>
      </c>
      <c r="P61" s="19">
        <f>IF($A61="","",IF(COUNTIFS(請求記録!$B$6:$B$3005,$A61,請求記録!$X$6:$X$3005,P$5,請求記録!$AD$6:$AD$3005,"保留中")&gt;0,"保留",IF(COUNTIFS(請求記録!$B$6:$B$3005,$A61,請求記録!$X$6:$X$3005,P$5)=0,"",SUMIFS(請求記録!$AC$6:$AC$3005,請求記録!$B$6:$B$3005,$A61,請求記録!$X$6:$X$3005,P$5))))</f>
        <v/>
      </c>
      <c r="Q61" s="19">
        <f>IF($A61="","",IF(COUNTIFS(請求記録!$B$6:$B$3005,$A61,請求記録!$X$6:$X$3005,Q$5,請求記録!$AD$6:$AD$3005,"保留中")&gt;0,"保留",IF(COUNTIFS(請求記録!$B$6:$B$3005,$A61,請求記録!$X$6:$X$3005,Q$5)=0,"",SUMIFS(請求記録!$AC$6:$AC$3005,請求記録!$B$6:$B$3005,$A61,請求記録!$X$6:$X$3005,Q$5))))</f>
        <v/>
      </c>
      <c r="R61" s="19">
        <f>IF($A61="","",IF(COUNTIFS(請求記録!$B$6:$B$3005,$A61,請求記録!$X$6:$X$3005,R$5,請求記録!$AD$6:$AD$3005,"保留中")&gt;0,"保留",IF(COUNTIFS(請求記録!$B$6:$B$3005,$A61,請求記録!$X$6:$X$3005,R$5)=0,"",SUMIFS(請求記録!$AC$6:$AC$3005,請求記録!$B$6:$B$3005,$A61,請求記録!$X$6:$X$3005,R$5))))</f>
        <v/>
      </c>
      <c r="S61" s="19">
        <f>IF($A61="","",IF(COUNTIFS(請求記録!$B$6:$B$3005,$A61,請求記録!$X$6:$X$3005,S$5,請求記録!$AD$6:$AD$3005,"保留中")&gt;0,"保留",IF(COUNTIFS(請求記録!$B$6:$B$3005,$A61,請求記録!$X$6:$X$3005,S$5)=0,"",SUMIFS(請求記録!$AC$6:$AC$3005,請求記録!$B$6:$B$3005,$A61,請求記録!$X$6:$X$3005,S$5))))</f>
        <v/>
      </c>
      <c r="T61" s="19">
        <f>IF($A61="","",IF(COUNTIFS(請求記録!$B$6:$B$3005,$A61,請求記録!$X$6:$X$3005,T$5,請求記録!$AD$6:$AD$3005,"保留中")&gt;0,"保留",IF(COUNTIFS(請求記録!$B$6:$B$3005,$A61,請求記録!$X$6:$X$3005,T$5)=0,"",SUMIFS(請求記録!$AC$6:$AC$3005,請求記録!$B$6:$B$3005,$A61,請求記録!$X$6:$X$3005,T$5))))</f>
        <v/>
      </c>
      <c r="U61" s="19">
        <f>IF($A61="","",IF(COUNTIFS(請求記録!$B$6:$B$3005,$A61,請求記録!$X$6:$X$3005,U$5,請求記録!$AD$6:$AD$3005,"保留中")&gt;0,"保留",IF(COUNTIFS(請求記録!$B$6:$B$3005,$A61,請求記録!$X$6:$X$3005,U$5)=0,"",SUMIFS(請求記録!$AC$6:$AC$3005,請求記録!$B$6:$B$3005,$A61,請求記録!$X$6:$X$3005,U$5))))</f>
        <v/>
      </c>
      <c r="V61" s="19">
        <f>IF($A61="","",IF(COUNTIFS(請求記録!$B$6:$B$3005,$A61,請求記録!$X$6:$X$3005,V$5,請求記録!$AD$6:$AD$3005,"保留中")&gt;0,"保留",IF(COUNTIFS(請求記録!$B$6:$B$3005,$A61,請求記録!$X$6:$X$3005,V$5)=0,"",SUMIFS(請求記録!$AC$6:$AC$3005,請求記録!$B$6:$B$3005,$A61,請求記録!$X$6:$X$3005,V$5))))</f>
        <v/>
      </c>
      <c r="W61" s="19">
        <f>IF($A61="","",IF(COUNTIFS(請求記録!$B$6:$B$3005,$A61,請求記録!$X$6:$X$3005,W$5,請求記録!$AD$6:$AD$3005,"保留中")&gt;0,"保留",IF(COUNTIFS(請求記録!$B$6:$B$3005,$A61,請求記録!$X$6:$X$3005,W$5)=0,"",SUMIFS(請求記録!$AC$6:$AC$3005,請求記録!$B$6:$B$3005,$A61,請求記録!$X$6:$X$3005,W$5))))</f>
        <v/>
      </c>
      <c r="X61" s="19">
        <f>IF($A61="","",IF(COUNTIFS(請求記録!$B$6:$B$3005,$A61,請求記録!$X$6:$X$3005,X$5,請求記録!$AD$6:$AD$3005,"保留中")&gt;0,"保留",IF(COUNTIFS(請求記録!$B$6:$B$3005,$A61,請求記録!$X$6:$X$3005,X$5)=0,"",SUMIFS(請求記録!$AC$6:$AC$3005,請求記録!$B$6:$B$3005,$A61,請求記録!$X$6:$X$3005,X$5))))</f>
        <v/>
      </c>
      <c r="Y61" s="19">
        <f>IF($A61="","",IF(COUNTIFS(請求記録!$B$6:$B$3005,$A61,請求記録!$X$6:$X$3005,Y$5,請求記録!$AD$6:$AD$3005,"保留中")&gt;0,"保留",IF(COUNTIFS(請求記録!$B$6:$B$3005,$A61,請求記録!$X$6:$X$3005,Y$5)=0,"",SUMIFS(請求記録!$AC$6:$AC$3005,請求記録!$B$6:$B$3005,$A61,請求記録!$X$6:$X$3005,Y$5))))</f>
        <v/>
      </c>
      <c r="Z61" s="19">
        <f>IF($A61="","",IF(COUNTIFS(請求記録!$B$6:$B$3005,$A61,請求記録!$X$6:$X$3005,Z$5,請求記録!$AD$6:$AD$3005,"保留中")&gt;0,"保留",IF(COUNTIFS(請求記録!$B$6:$B$3005,$A61,請求記録!$X$6:$X$3005,Z$5)=0,"",SUMIFS(請求記録!$AC$6:$AC$3005,請求記録!$B$6:$B$3005,$A61,請求記録!$X$6:$X$3005,Z$5))))</f>
        <v/>
      </c>
      <c r="AA61" s="19">
        <f>IF($A61="","",IF(COUNTIFS(請求記録!$B$6:$B$3005,$A61,請求記録!$X$6:$X$3005,AA$5,請求記録!$AD$6:$AD$3005,"保留中")&gt;0,"保留",IF(COUNTIFS(請求記録!$B$6:$B$3005,$A61,請求記録!$X$6:$X$3005,AA$5)=0,"",SUMIFS(請求記録!$AC$6:$AC$3005,請求記録!$B$6:$B$3005,$A61,請求記録!$X$6:$X$3005,AA$5))))</f>
        <v/>
      </c>
      <c r="AB61">
        <f>IF(職員マスタ!P61="保留中",職員マスタ!M61,"")</f>
        <v/>
      </c>
    </row>
    <row r="62">
      <c r="A62">
        <f>IF(職員マスタ!A62="","",職員マスタ!A62)</f>
        <v/>
      </c>
      <c r="B62">
        <f>IF($A62="","",職員マスタ!B62)</f>
        <v/>
      </c>
      <c r="C62">
        <f>IF($A62="","",職員マスタ!C62)</f>
        <v/>
      </c>
      <c r="D62" s="19">
        <f>IF($A62="","",IF(COUNTIFS(請求記録!$B$6:$B$3005,$A62,請求記録!$X$6:$X$3005,D$5,請求記録!$AD$6:$AD$3005,"保留中")&gt;0,"保留",IF(COUNTIFS(請求記録!$B$6:$B$3005,$A62,請求記録!$X$6:$X$3005,D$5)=0,"",SUMIFS(請求記録!$AC$6:$AC$3005,請求記録!$B$6:$B$3005,$A62,請求記録!$X$6:$X$3005,D$5))))</f>
        <v/>
      </c>
      <c r="E62" s="19">
        <f>IF($A62="","",IF(COUNTIFS(請求記録!$B$6:$B$3005,$A62,請求記録!$X$6:$X$3005,E$5,請求記録!$AD$6:$AD$3005,"保留中")&gt;0,"保留",IF(COUNTIFS(請求記録!$B$6:$B$3005,$A62,請求記録!$X$6:$X$3005,E$5)=0,"",SUMIFS(請求記録!$AC$6:$AC$3005,請求記録!$B$6:$B$3005,$A62,請求記録!$X$6:$X$3005,E$5))))</f>
        <v/>
      </c>
      <c r="F62" s="19">
        <f>IF($A62="","",IF(COUNTIFS(請求記録!$B$6:$B$3005,$A62,請求記録!$X$6:$X$3005,F$5,請求記録!$AD$6:$AD$3005,"保留中")&gt;0,"保留",IF(COUNTIFS(請求記録!$B$6:$B$3005,$A62,請求記録!$X$6:$X$3005,F$5)=0,"",SUMIFS(請求記録!$AC$6:$AC$3005,請求記録!$B$6:$B$3005,$A62,請求記録!$X$6:$X$3005,F$5))))</f>
        <v/>
      </c>
      <c r="G62" s="19">
        <f>IF($A62="","",IF(COUNTIFS(請求記録!$B$6:$B$3005,$A62,請求記録!$X$6:$X$3005,G$5,請求記録!$AD$6:$AD$3005,"保留中")&gt;0,"保留",IF(COUNTIFS(請求記録!$B$6:$B$3005,$A62,請求記録!$X$6:$X$3005,G$5)=0,"",SUMIFS(請求記録!$AC$6:$AC$3005,請求記録!$B$6:$B$3005,$A62,請求記録!$X$6:$X$3005,G$5))))</f>
        <v/>
      </c>
      <c r="H62" s="19">
        <f>IF($A62="","",IF(COUNTIFS(請求記録!$B$6:$B$3005,$A62,請求記録!$X$6:$X$3005,H$5,請求記録!$AD$6:$AD$3005,"保留中")&gt;0,"保留",IF(COUNTIFS(請求記録!$B$6:$B$3005,$A62,請求記録!$X$6:$X$3005,H$5)=0,"",SUMIFS(請求記録!$AC$6:$AC$3005,請求記録!$B$6:$B$3005,$A62,請求記録!$X$6:$X$3005,H$5))))</f>
        <v/>
      </c>
      <c r="I62" s="19">
        <f>IF($A62="","",IF(COUNTIFS(請求記録!$B$6:$B$3005,$A62,請求記録!$X$6:$X$3005,I$5,請求記録!$AD$6:$AD$3005,"保留中")&gt;0,"保留",IF(COUNTIFS(請求記録!$B$6:$B$3005,$A62,請求記録!$X$6:$X$3005,I$5)=0,"",SUMIFS(請求記録!$AC$6:$AC$3005,請求記録!$B$6:$B$3005,$A62,請求記録!$X$6:$X$3005,I$5))))</f>
        <v/>
      </c>
      <c r="J62" s="19">
        <f>IF($A62="","",IF(COUNTIFS(請求記録!$B$6:$B$3005,$A62,請求記録!$X$6:$X$3005,J$5,請求記録!$AD$6:$AD$3005,"保留中")&gt;0,"保留",IF(COUNTIFS(請求記録!$B$6:$B$3005,$A62,請求記録!$X$6:$X$3005,J$5)=0,"",SUMIFS(請求記録!$AC$6:$AC$3005,請求記録!$B$6:$B$3005,$A62,請求記録!$X$6:$X$3005,J$5))))</f>
        <v/>
      </c>
      <c r="K62" s="19">
        <f>IF($A62="","",IF(COUNTIFS(請求記録!$B$6:$B$3005,$A62,請求記録!$X$6:$X$3005,K$5,請求記録!$AD$6:$AD$3005,"保留中")&gt;0,"保留",IF(COUNTIFS(請求記録!$B$6:$B$3005,$A62,請求記録!$X$6:$X$3005,K$5)=0,"",SUMIFS(請求記録!$AC$6:$AC$3005,請求記録!$B$6:$B$3005,$A62,請求記録!$X$6:$X$3005,K$5))))</f>
        <v/>
      </c>
      <c r="L62" s="19">
        <f>IF($A62="","",IF(COUNTIFS(請求記録!$B$6:$B$3005,$A62,請求記録!$X$6:$X$3005,L$5,請求記録!$AD$6:$AD$3005,"保留中")&gt;0,"保留",IF(COUNTIFS(請求記録!$B$6:$B$3005,$A62,請求記録!$X$6:$X$3005,L$5)=0,"",SUMIFS(請求記録!$AC$6:$AC$3005,請求記録!$B$6:$B$3005,$A62,請求記録!$X$6:$X$3005,L$5))))</f>
        <v/>
      </c>
      <c r="M62" s="19">
        <f>IF($A62="","",IF(COUNTIFS(請求記録!$B$6:$B$3005,$A62,請求記録!$X$6:$X$3005,M$5,請求記録!$AD$6:$AD$3005,"保留中")&gt;0,"保留",IF(COUNTIFS(請求記録!$B$6:$B$3005,$A62,請求記録!$X$6:$X$3005,M$5)=0,"",SUMIFS(請求記録!$AC$6:$AC$3005,請求記録!$B$6:$B$3005,$A62,請求記録!$X$6:$X$3005,M$5))))</f>
        <v/>
      </c>
      <c r="N62" s="19">
        <f>IF($A62="","",IF(COUNTIFS(請求記録!$B$6:$B$3005,$A62,請求記録!$X$6:$X$3005,N$5,請求記録!$AD$6:$AD$3005,"保留中")&gt;0,"保留",IF(COUNTIFS(請求記録!$B$6:$B$3005,$A62,請求記録!$X$6:$X$3005,N$5)=0,"",SUMIFS(請求記録!$AC$6:$AC$3005,請求記録!$B$6:$B$3005,$A62,請求記録!$X$6:$X$3005,N$5))))</f>
        <v/>
      </c>
      <c r="O62" s="19">
        <f>IF($A62="","",IF(COUNTIFS(請求記録!$B$6:$B$3005,$A62,請求記録!$X$6:$X$3005,O$5,請求記録!$AD$6:$AD$3005,"保留中")&gt;0,"保留",IF(COUNTIFS(請求記録!$B$6:$B$3005,$A62,請求記録!$X$6:$X$3005,O$5)=0,"",SUMIFS(請求記録!$AC$6:$AC$3005,請求記録!$B$6:$B$3005,$A62,請求記録!$X$6:$X$3005,O$5))))</f>
        <v/>
      </c>
      <c r="P62" s="19">
        <f>IF($A62="","",IF(COUNTIFS(請求記録!$B$6:$B$3005,$A62,請求記録!$X$6:$X$3005,P$5,請求記録!$AD$6:$AD$3005,"保留中")&gt;0,"保留",IF(COUNTIFS(請求記録!$B$6:$B$3005,$A62,請求記録!$X$6:$X$3005,P$5)=0,"",SUMIFS(請求記録!$AC$6:$AC$3005,請求記録!$B$6:$B$3005,$A62,請求記録!$X$6:$X$3005,P$5))))</f>
        <v/>
      </c>
      <c r="Q62" s="19">
        <f>IF($A62="","",IF(COUNTIFS(請求記録!$B$6:$B$3005,$A62,請求記録!$X$6:$X$3005,Q$5,請求記録!$AD$6:$AD$3005,"保留中")&gt;0,"保留",IF(COUNTIFS(請求記録!$B$6:$B$3005,$A62,請求記録!$X$6:$X$3005,Q$5)=0,"",SUMIFS(請求記録!$AC$6:$AC$3005,請求記録!$B$6:$B$3005,$A62,請求記録!$X$6:$X$3005,Q$5))))</f>
        <v/>
      </c>
      <c r="R62" s="19">
        <f>IF($A62="","",IF(COUNTIFS(請求記録!$B$6:$B$3005,$A62,請求記録!$X$6:$X$3005,R$5,請求記録!$AD$6:$AD$3005,"保留中")&gt;0,"保留",IF(COUNTIFS(請求記録!$B$6:$B$3005,$A62,請求記録!$X$6:$X$3005,R$5)=0,"",SUMIFS(請求記録!$AC$6:$AC$3005,請求記録!$B$6:$B$3005,$A62,請求記録!$X$6:$X$3005,R$5))))</f>
        <v/>
      </c>
      <c r="S62" s="19">
        <f>IF($A62="","",IF(COUNTIFS(請求記録!$B$6:$B$3005,$A62,請求記録!$X$6:$X$3005,S$5,請求記録!$AD$6:$AD$3005,"保留中")&gt;0,"保留",IF(COUNTIFS(請求記録!$B$6:$B$3005,$A62,請求記録!$X$6:$X$3005,S$5)=0,"",SUMIFS(請求記録!$AC$6:$AC$3005,請求記録!$B$6:$B$3005,$A62,請求記録!$X$6:$X$3005,S$5))))</f>
        <v/>
      </c>
      <c r="T62" s="19">
        <f>IF($A62="","",IF(COUNTIFS(請求記録!$B$6:$B$3005,$A62,請求記録!$X$6:$X$3005,T$5,請求記録!$AD$6:$AD$3005,"保留中")&gt;0,"保留",IF(COUNTIFS(請求記録!$B$6:$B$3005,$A62,請求記録!$X$6:$X$3005,T$5)=0,"",SUMIFS(請求記録!$AC$6:$AC$3005,請求記録!$B$6:$B$3005,$A62,請求記録!$X$6:$X$3005,T$5))))</f>
        <v/>
      </c>
      <c r="U62" s="19">
        <f>IF($A62="","",IF(COUNTIFS(請求記録!$B$6:$B$3005,$A62,請求記録!$X$6:$X$3005,U$5,請求記録!$AD$6:$AD$3005,"保留中")&gt;0,"保留",IF(COUNTIFS(請求記録!$B$6:$B$3005,$A62,請求記録!$X$6:$X$3005,U$5)=0,"",SUMIFS(請求記録!$AC$6:$AC$3005,請求記録!$B$6:$B$3005,$A62,請求記録!$X$6:$X$3005,U$5))))</f>
        <v/>
      </c>
      <c r="V62" s="19">
        <f>IF($A62="","",IF(COUNTIFS(請求記録!$B$6:$B$3005,$A62,請求記録!$X$6:$X$3005,V$5,請求記録!$AD$6:$AD$3005,"保留中")&gt;0,"保留",IF(COUNTIFS(請求記録!$B$6:$B$3005,$A62,請求記録!$X$6:$X$3005,V$5)=0,"",SUMIFS(請求記録!$AC$6:$AC$3005,請求記録!$B$6:$B$3005,$A62,請求記録!$X$6:$X$3005,V$5))))</f>
        <v/>
      </c>
      <c r="W62" s="19">
        <f>IF($A62="","",IF(COUNTIFS(請求記録!$B$6:$B$3005,$A62,請求記録!$X$6:$X$3005,W$5,請求記録!$AD$6:$AD$3005,"保留中")&gt;0,"保留",IF(COUNTIFS(請求記録!$B$6:$B$3005,$A62,請求記録!$X$6:$X$3005,W$5)=0,"",SUMIFS(請求記録!$AC$6:$AC$3005,請求記録!$B$6:$B$3005,$A62,請求記録!$X$6:$X$3005,W$5))))</f>
        <v/>
      </c>
      <c r="X62" s="19">
        <f>IF($A62="","",IF(COUNTIFS(請求記録!$B$6:$B$3005,$A62,請求記録!$X$6:$X$3005,X$5,請求記録!$AD$6:$AD$3005,"保留中")&gt;0,"保留",IF(COUNTIFS(請求記録!$B$6:$B$3005,$A62,請求記録!$X$6:$X$3005,X$5)=0,"",SUMIFS(請求記録!$AC$6:$AC$3005,請求記録!$B$6:$B$3005,$A62,請求記録!$X$6:$X$3005,X$5))))</f>
        <v/>
      </c>
      <c r="Y62" s="19">
        <f>IF($A62="","",IF(COUNTIFS(請求記録!$B$6:$B$3005,$A62,請求記録!$X$6:$X$3005,Y$5,請求記録!$AD$6:$AD$3005,"保留中")&gt;0,"保留",IF(COUNTIFS(請求記録!$B$6:$B$3005,$A62,請求記録!$X$6:$X$3005,Y$5)=0,"",SUMIFS(請求記録!$AC$6:$AC$3005,請求記録!$B$6:$B$3005,$A62,請求記録!$X$6:$X$3005,Y$5))))</f>
        <v/>
      </c>
      <c r="Z62" s="19">
        <f>IF($A62="","",IF(COUNTIFS(請求記録!$B$6:$B$3005,$A62,請求記録!$X$6:$X$3005,Z$5,請求記録!$AD$6:$AD$3005,"保留中")&gt;0,"保留",IF(COUNTIFS(請求記録!$B$6:$B$3005,$A62,請求記録!$X$6:$X$3005,Z$5)=0,"",SUMIFS(請求記録!$AC$6:$AC$3005,請求記録!$B$6:$B$3005,$A62,請求記録!$X$6:$X$3005,Z$5))))</f>
        <v/>
      </c>
      <c r="AA62" s="19">
        <f>IF($A62="","",IF(COUNTIFS(請求記録!$B$6:$B$3005,$A62,請求記録!$X$6:$X$3005,AA$5,請求記録!$AD$6:$AD$3005,"保留中")&gt;0,"保留",IF(COUNTIFS(請求記録!$B$6:$B$3005,$A62,請求記録!$X$6:$X$3005,AA$5)=0,"",SUMIFS(請求記録!$AC$6:$AC$3005,請求記録!$B$6:$B$3005,$A62,請求記録!$X$6:$X$3005,AA$5))))</f>
        <v/>
      </c>
      <c r="AB62">
        <f>IF(職員マスタ!P62="保留中",職員マスタ!M62,"")</f>
        <v/>
      </c>
    </row>
    <row r="63">
      <c r="A63">
        <f>IF(職員マスタ!A63="","",職員マスタ!A63)</f>
        <v/>
      </c>
      <c r="B63">
        <f>IF($A63="","",職員マスタ!B63)</f>
        <v/>
      </c>
      <c r="C63">
        <f>IF($A63="","",職員マスタ!C63)</f>
        <v/>
      </c>
      <c r="D63" s="19">
        <f>IF($A63="","",IF(COUNTIFS(請求記録!$B$6:$B$3005,$A63,請求記録!$X$6:$X$3005,D$5,請求記録!$AD$6:$AD$3005,"保留中")&gt;0,"保留",IF(COUNTIFS(請求記録!$B$6:$B$3005,$A63,請求記録!$X$6:$X$3005,D$5)=0,"",SUMIFS(請求記録!$AC$6:$AC$3005,請求記録!$B$6:$B$3005,$A63,請求記録!$X$6:$X$3005,D$5))))</f>
        <v/>
      </c>
      <c r="E63" s="19">
        <f>IF($A63="","",IF(COUNTIFS(請求記録!$B$6:$B$3005,$A63,請求記録!$X$6:$X$3005,E$5,請求記録!$AD$6:$AD$3005,"保留中")&gt;0,"保留",IF(COUNTIFS(請求記録!$B$6:$B$3005,$A63,請求記録!$X$6:$X$3005,E$5)=0,"",SUMIFS(請求記録!$AC$6:$AC$3005,請求記録!$B$6:$B$3005,$A63,請求記録!$X$6:$X$3005,E$5))))</f>
        <v/>
      </c>
      <c r="F63" s="19">
        <f>IF($A63="","",IF(COUNTIFS(請求記録!$B$6:$B$3005,$A63,請求記録!$X$6:$X$3005,F$5,請求記録!$AD$6:$AD$3005,"保留中")&gt;0,"保留",IF(COUNTIFS(請求記録!$B$6:$B$3005,$A63,請求記録!$X$6:$X$3005,F$5)=0,"",SUMIFS(請求記録!$AC$6:$AC$3005,請求記録!$B$6:$B$3005,$A63,請求記録!$X$6:$X$3005,F$5))))</f>
        <v/>
      </c>
      <c r="G63" s="19">
        <f>IF($A63="","",IF(COUNTIFS(請求記録!$B$6:$B$3005,$A63,請求記録!$X$6:$X$3005,G$5,請求記録!$AD$6:$AD$3005,"保留中")&gt;0,"保留",IF(COUNTIFS(請求記録!$B$6:$B$3005,$A63,請求記録!$X$6:$X$3005,G$5)=0,"",SUMIFS(請求記録!$AC$6:$AC$3005,請求記録!$B$6:$B$3005,$A63,請求記録!$X$6:$X$3005,G$5))))</f>
        <v/>
      </c>
      <c r="H63" s="19">
        <f>IF($A63="","",IF(COUNTIFS(請求記録!$B$6:$B$3005,$A63,請求記録!$X$6:$X$3005,H$5,請求記録!$AD$6:$AD$3005,"保留中")&gt;0,"保留",IF(COUNTIFS(請求記録!$B$6:$B$3005,$A63,請求記録!$X$6:$X$3005,H$5)=0,"",SUMIFS(請求記録!$AC$6:$AC$3005,請求記録!$B$6:$B$3005,$A63,請求記録!$X$6:$X$3005,H$5))))</f>
        <v/>
      </c>
      <c r="I63" s="19">
        <f>IF($A63="","",IF(COUNTIFS(請求記録!$B$6:$B$3005,$A63,請求記録!$X$6:$X$3005,I$5,請求記録!$AD$6:$AD$3005,"保留中")&gt;0,"保留",IF(COUNTIFS(請求記録!$B$6:$B$3005,$A63,請求記録!$X$6:$X$3005,I$5)=0,"",SUMIFS(請求記録!$AC$6:$AC$3005,請求記録!$B$6:$B$3005,$A63,請求記録!$X$6:$X$3005,I$5))))</f>
        <v/>
      </c>
      <c r="J63" s="19">
        <f>IF($A63="","",IF(COUNTIFS(請求記録!$B$6:$B$3005,$A63,請求記録!$X$6:$X$3005,J$5,請求記録!$AD$6:$AD$3005,"保留中")&gt;0,"保留",IF(COUNTIFS(請求記録!$B$6:$B$3005,$A63,請求記録!$X$6:$X$3005,J$5)=0,"",SUMIFS(請求記録!$AC$6:$AC$3005,請求記録!$B$6:$B$3005,$A63,請求記録!$X$6:$X$3005,J$5))))</f>
        <v/>
      </c>
      <c r="K63" s="19">
        <f>IF($A63="","",IF(COUNTIFS(請求記録!$B$6:$B$3005,$A63,請求記録!$X$6:$X$3005,K$5,請求記録!$AD$6:$AD$3005,"保留中")&gt;0,"保留",IF(COUNTIFS(請求記録!$B$6:$B$3005,$A63,請求記録!$X$6:$X$3005,K$5)=0,"",SUMIFS(請求記録!$AC$6:$AC$3005,請求記録!$B$6:$B$3005,$A63,請求記録!$X$6:$X$3005,K$5))))</f>
        <v/>
      </c>
      <c r="L63" s="19">
        <f>IF($A63="","",IF(COUNTIFS(請求記録!$B$6:$B$3005,$A63,請求記録!$X$6:$X$3005,L$5,請求記録!$AD$6:$AD$3005,"保留中")&gt;0,"保留",IF(COUNTIFS(請求記録!$B$6:$B$3005,$A63,請求記録!$X$6:$X$3005,L$5)=0,"",SUMIFS(請求記録!$AC$6:$AC$3005,請求記録!$B$6:$B$3005,$A63,請求記録!$X$6:$X$3005,L$5))))</f>
        <v/>
      </c>
      <c r="M63" s="19">
        <f>IF($A63="","",IF(COUNTIFS(請求記録!$B$6:$B$3005,$A63,請求記録!$X$6:$X$3005,M$5,請求記録!$AD$6:$AD$3005,"保留中")&gt;0,"保留",IF(COUNTIFS(請求記録!$B$6:$B$3005,$A63,請求記録!$X$6:$X$3005,M$5)=0,"",SUMIFS(請求記録!$AC$6:$AC$3005,請求記録!$B$6:$B$3005,$A63,請求記録!$X$6:$X$3005,M$5))))</f>
        <v/>
      </c>
      <c r="N63" s="19">
        <f>IF($A63="","",IF(COUNTIFS(請求記録!$B$6:$B$3005,$A63,請求記録!$X$6:$X$3005,N$5,請求記録!$AD$6:$AD$3005,"保留中")&gt;0,"保留",IF(COUNTIFS(請求記録!$B$6:$B$3005,$A63,請求記録!$X$6:$X$3005,N$5)=0,"",SUMIFS(請求記録!$AC$6:$AC$3005,請求記録!$B$6:$B$3005,$A63,請求記録!$X$6:$X$3005,N$5))))</f>
        <v/>
      </c>
      <c r="O63" s="19">
        <f>IF($A63="","",IF(COUNTIFS(請求記録!$B$6:$B$3005,$A63,請求記録!$X$6:$X$3005,O$5,請求記録!$AD$6:$AD$3005,"保留中")&gt;0,"保留",IF(COUNTIFS(請求記録!$B$6:$B$3005,$A63,請求記録!$X$6:$X$3005,O$5)=0,"",SUMIFS(請求記録!$AC$6:$AC$3005,請求記録!$B$6:$B$3005,$A63,請求記録!$X$6:$X$3005,O$5))))</f>
        <v/>
      </c>
      <c r="P63" s="19">
        <f>IF($A63="","",IF(COUNTIFS(請求記録!$B$6:$B$3005,$A63,請求記録!$X$6:$X$3005,P$5,請求記録!$AD$6:$AD$3005,"保留中")&gt;0,"保留",IF(COUNTIFS(請求記録!$B$6:$B$3005,$A63,請求記録!$X$6:$X$3005,P$5)=0,"",SUMIFS(請求記録!$AC$6:$AC$3005,請求記録!$B$6:$B$3005,$A63,請求記録!$X$6:$X$3005,P$5))))</f>
        <v/>
      </c>
      <c r="Q63" s="19">
        <f>IF($A63="","",IF(COUNTIFS(請求記録!$B$6:$B$3005,$A63,請求記録!$X$6:$X$3005,Q$5,請求記録!$AD$6:$AD$3005,"保留中")&gt;0,"保留",IF(COUNTIFS(請求記録!$B$6:$B$3005,$A63,請求記録!$X$6:$X$3005,Q$5)=0,"",SUMIFS(請求記録!$AC$6:$AC$3005,請求記録!$B$6:$B$3005,$A63,請求記録!$X$6:$X$3005,Q$5))))</f>
        <v/>
      </c>
      <c r="R63" s="19">
        <f>IF($A63="","",IF(COUNTIFS(請求記録!$B$6:$B$3005,$A63,請求記録!$X$6:$X$3005,R$5,請求記録!$AD$6:$AD$3005,"保留中")&gt;0,"保留",IF(COUNTIFS(請求記録!$B$6:$B$3005,$A63,請求記録!$X$6:$X$3005,R$5)=0,"",SUMIFS(請求記録!$AC$6:$AC$3005,請求記録!$B$6:$B$3005,$A63,請求記録!$X$6:$X$3005,R$5))))</f>
        <v/>
      </c>
      <c r="S63" s="19">
        <f>IF($A63="","",IF(COUNTIFS(請求記録!$B$6:$B$3005,$A63,請求記録!$X$6:$X$3005,S$5,請求記録!$AD$6:$AD$3005,"保留中")&gt;0,"保留",IF(COUNTIFS(請求記録!$B$6:$B$3005,$A63,請求記録!$X$6:$X$3005,S$5)=0,"",SUMIFS(請求記録!$AC$6:$AC$3005,請求記録!$B$6:$B$3005,$A63,請求記録!$X$6:$X$3005,S$5))))</f>
        <v/>
      </c>
      <c r="T63" s="19">
        <f>IF($A63="","",IF(COUNTIFS(請求記録!$B$6:$B$3005,$A63,請求記録!$X$6:$X$3005,T$5,請求記録!$AD$6:$AD$3005,"保留中")&gt;0,"保留",IF(COUNTIFS(請求記録!$B$6:$B$3005,$A63,請求記録!$X$6:$X$3005,T$5)=0,"",SUMIFS(請求記録!$AC$6:$AC$3005,請求記録!$B$6:$B$3005,$A63,請求記録!$X$6:$X$3005,T$5))))</f>
        <v/>
      </c>
      <c r="U63" s="19">
        <f>IF($A63="","",IF(COUNTIFS(請求記録!$B$6:$B$3005,$A63,請求記録!$X$6:$X$3005,U$5,請求記録!$AD$6:$AD$3005,"保留中")&gt;0,"保留",IF(COUNTIFS(請求記録!$B$6:$B$3005,$A63,請求記録!$X$6:$X$3005,U$5)=0,"",SUMIFS(請求記録!$AC$6:$AC$3005,請求記録!$B$6:$B$3005,$A63,請求記録!$X$6:$X$3005,U$5))))</f>
        <v/>
      </c>
      <c r="V63" s="19">
        <f>IF($A63="","",IF(COUNTIFS(請求記録!$B$6:$B$3005,$A63,請求記録!$X$6:$X$3005,V$5,請求記録!$AD$6:$AD$3005,"保留中")&gt;0,"保留",IF(COUNTIFS(請求記録!$B$6:$B$3005,$A63,請求記録!$X$6:$X$3005,V$5)=0,"",SUMIFS(請求記録!$AC$6:$AC$3005,請求記録!$B$6:$B$3005,$A63,請求記録!$X$6:$X$3005,V$5))))</f>
        <v/>
      </c>
      <c r="W63" s="19">
        <f>IF($A63="","",IF(COUNTIFS(請求記録!$B$6:$B$3005,$A63,請求記録!$X$6:$X$3005,W$5,請求記録!$AD$6:$AD$3005,"保留中")&gt;0,"保留",IF(COUNTIFS(請求記録!$B$6:$B$3005,$A63,請求記録!$X$6:$X$3005,W$5)=0,"",SUMIFS(請求記録!$AC$6:$AC$3005,請求記録!$B$6:$B$3005,$A63,請求記録!$X$6:$X$3005,W$5))))</f>
        <v/>
      </c>
      <c r="X63" s="19">
        <f>IF($A63="","",IF(COUNTIFS(請求記録!$B$6:$B$3005,$A63,請求記録!$X$6:$X$3005,X$5,請求記録!$AD$6:$AD$3005,"保留中")&gt;0,"保留",IF(COUNTIFS(請求記録!$B$6:$B$3005,$A63,請求記録!$X$6:$X$3005,X$5)=0,"",SUMIFS(請求記録!$AC$6:$AC$3005,請求記録!$B$6:$B$3005,$A63,請求記録!$X$6:$X$3005,X$5))))</f>
        <v/>
      </c>
      <c r="Y63" s="19">
        <f>IF($A63="","",IF(COUNTIFS(請求記録!$B$6:$B$3005,$A63,請求記録!$X$6:$X$3005,Y$5,請求記録!$AD$6:$AD$3005,"保留中")&gt;0,"保留",IF(COUNTIFS(請求記録!$B$6:$B$3005,$A63,請求記録!$X$6:$X$3005,Y$5)=0,"",SUMIFS(請求記録!$AC$6:$AC$3005,請求記録!$B$6:$B$3005,$A63,請求記録!$X$6:$X$3005,Y$5))))</f>
        <v/>
      </c>
      <c r="Z63" s="19">
        <f>IF($A63="","",IF(COUNTIFS(請求記録!$B$6:$B$3005,$A63,請求記録!$X$6:$X$3005,Z$5,請求記録!$AD$6:$AD$3005,"保留中")&gt;0,"保留",IF(COUNTIFS(請求記録!$B$6:$B$3005,$A63,請求記録!$X$6:$X$3005,Z$5)=0,"",SUMIFS(請求記録!$AC$6:$AC$3005,請求記録!$B$6:$B$3005,$A63,請求記録!$X$6:$X$3005,Z$5))))</f>
        <v/>
      </c>
      <c r="AA63" s="19">
        <f>IF($A63="","",IF(COUNTIFS(請求記録!$B$6:$B$3005,$A63,請求記録!$X$6:$X$3005,AA$5,請求記録!$AD$6:$AD$3005,"保留中")&gt;0,"保留",IF(COUNTIFS(請求記録!$B$6:$B$3005,$A63,請求記録!$X$6:$X$3005,AA$5)=0,"",SUMIFS(請求記録!$AC$6:$AC$3005,請求記録!$B$6:$B$3005,$A63,請求記録!$X$6:$X$3005,AA$5))))</f>
        <v/>
      </c>
      <c r="AB63">
        <f>IF(職員マスタ!P63="保留中",職員マスタ!M63,"")</f>
        <v/>
      </c>
    </row>
    <row r="64">
      <c r="A64">
        <f>IF(職員マスタ!A64="","",職員マスタ!A64)</f>
        <v/>
      </c>
      <c r="B64">
        <f>IF($A64="","",職員マスタ!B64)</f>
        <v/>
      </c>
      <c r="C64">
        <f>IF($A64="","",職員マスタ!C64)</f>
        <v/>
      </c>
      <c r="D64" s="19">
        <f>IF($A64="","",IF(COUNTIFS(請求記録!$B$6:$B$3005,$A64,請求記録!$X$6:$X$3005,D$5,請求記録!$AD$6:$AD$3005,"保留中")&gt;0,"保留",IF(COUNTIFS(請求記録!$B$6:$B$3005,$A64,請求記録!$X$6:$X$3005,D$5)=0,"",SUMIFS(請求記録!$AC$6:$AC$3005,請求記録!$B$6:$B$3005,$A64,請求記録!$X$6:$X$3005,D$5))))</f>
        <v/>
      </c>
      <c r="E64" s="19">
        <f>IF($A64="","",IF(COUNTIFS(請求記録!$B$6:$B$3005,$A64,請求記録!$X$6:$X$3005,E$5,請求記録!$AD$6:$AD$3005,"保留中")&gt;0,"保留",IF(COUNTIFS(請求記録!$B$6:$B$3005,$A64,請求記録!$X$6:$X$3005,E$5)=0,"",SUMIFS(請求記録!$AC$6:$AC$3005,請求記録!$B$6:$B$3005,$A64,請求記録!$X$6:$X$3005,E$5))))</f>
        <v/>
      </c>
      <c r="F64" s="19">
        <f>IF($A64="","",IF(COUNTIFS(請求記録!$B$6:$B$3005,$A64,請求記録!$X$6:$X$3005,F$5,請求記録!$AD$6:$AD$3005,"保留中")&gt;0,"保留",IF(COUNTIFS(請求記録!$B$6:$B$3005,$A64,請求記録!$X$6:$X$3005,F$5)=0,"",SUMIFS(請求記録!$AC$6:$AC$3005,請求記録!$B$6:$B$3005,$A64,請求記録!$X$6:$X$3005,F$5))))</f>
        <v/>
      </c>
      <c r="G64" s="19">
        <f>IF($A64="","",IF(COUNTIFS(請求記録!$B$6:$B$3005,$A64,請求記録!$X$6:$X$3005,G$5,請求記録!$AD$6:$AD$3005,"保留中")&gt;0,"保留",IF(COUNTIFS(請求記録!$B$6:$B$3005,$A64,請求記録!$X$6:$X$3005,G$5)=0,"",SUMIFS(請求記録!$AC$6:$AC$3005,請求記録!$B$6:$B$3005,$A64,請求記録!$X$6:$X$3005,G$5))))</f>
        <v/>
      </c>
      <c r="H64" s="19">
        <f>IF($A64="","",IF(COUNTIFS(請求記録!$B$6:$B$3005,$A64,請求記録!$X$6:$X$3005,H$5,請求記録!$AD$6:$AD$3005,"保留中")&gt;0,"保留",IF(COUNTIFS(請求記録!$B$6:$B$3005,$A64,請求記録!$X$6:$X$3005,H$5)=0,"",SUMIFS(請求記録!$AC$6:$AC$3005,請求記録!$B$6:$B$3005,$A64,請求記録!$X$6:$X$3005,H$5))))</f>
        <v/>
      </c>
      <c r="I64" s="19">
        <f>IF($A64="","",IF(COUNTIFS(請求記録!$B$6:$B$3005,$A64,請求記録!$X$6:$X$3005,I$5,請求記録!$AD$6:$AD$3005,"保留中")&gt;0,"保留",IF(COUNTIFS(請求記録!$B$6:$B$3005,$A64,請求記録!$X$6:$X$3005,I$5)=0,"",SUMIFS(請求記録!$AC$6:$AC$3005,請求記録!$B$6:$B$3005,$A64,請求記録!$X$6:$X$3005,I$5))))</f>
        <v/>
      </c>
      <c r="J64" s="19">
        <f>IF($A64="","",IF(COUNTIFS(請求記録!$B$6:$B$3005,$A64,請求記録!$X$6:$X$3005,J$5,請求記録!$AD$6:$AD$3005,"保留中")&gt;0,"保留",IF(COUNTIFS(請求記録!$B$6:$B$3005,$A64,請求記録!$X$6:$X$3005,J$5)=0,"",SUMIFS(請求記録!$AC$6:$AC$3005,請求記録!$B$6:$B$3005,$A64,請求記録!$X$6:$X$3005,J$5))))</f>
        <v/>
      </c>
      <c r="K64" s="19">
        <f>IF($A64="","",IF(COUNTIFS(請求記録!$B$6:$B$3005,$A64,請求記録!$X$6:$X$3005,K$5,請求記録!$AD$6:$AD$3005,"保留中")&gt;0,"保留",IF(COUNTIFS(請求記録!$B$6:$B$3005,$A64,請求記録!$X$6:$X$3005,K$5)=0,"",SUMIFS(請求記録!$AC$6:$AC$3005,請求記録!$B$6:$B$3005,$A64,請求記録!$X$6:$X$3005,K$5))))</f>
        <v/>
      </c>
      <c r="L64" s="19">
        <f>IF($A64="","",IF(COUNTIFS(請求記録!$B$6:$B$3005,$A64,請求記録!$X$6:$X$3005,L$5,請求記録!$AD$6:$AD$3005,"保留中")&gt;0,"保留",IF(COUNTIFS(請求記録!$B$6:$B$3005,$A64,請求記録!$X$6:$X$3005,L$5)=0,"",SUMIFS(請求記録!$AC$6:$AC$3005,請求記録!$B$6:$B$3005,$A64,請求記録!$X$6:$X$3005,L$5))))</f>
        <v/>
      </c>
      <c r="M64" s="19">
        <f>IF($A64="","",IF(COUNTIFS(請求記録!$B$6:$B$3005,$A64,請求記録!$X$6:$X$3005,M$5,請求記録!$AD$6:$AD$3005,"保留中")&gt;0,"保留",IF(COUNTIFS(請求記録!$B$6:$B$3005,$A64,請求記録!$X$6:$X$3005,M$5)=0,"",SUMIFS(請求記録!$AC$6:$AC$3005,請求記録!$B$6:$B$3005,$A64,請求記録!$X$6:$X$3005,M$5))))</f>
        <v/>
      </c>
      <c r="N64" s="19">
        <f>IF($A64="","",IF(COUNTIFS(請求記録!$B$6:$B$3005,$A64,請求記録!$X$6:$X$3005,N$5,請求記録!$AD$6:$AD$3005,"保留中")&gt;0,"保留",IF(COUNTIFS(請求記録!$B$6:$B$3005,$A64,請求記録!$X$6:$X$3005,N$5)=0,"",SUMIFS(請求記録!$AC$6:$AC$3005,請求記録!$B$6:$B$3005,$A64,請求記録!$X$6:$X$3005,N$5))))</f>
        <v/>
      </c>
      <c r="O64" s="19">
        <f>IF($A64="","",IF(COUNTIFS(請求記録!$B$6:$B$3005,$A64,請求記録!$X$6:$X$3005,O$5,請求記録!$AD$6:$AD$3005,"保留中")&gt;0,"保留",IF(COUNTIFS(請求記録!$B$6:$B$3005,$A64,請求記録!$X$6:$X$3005,O$5)=0,"",SUMIFS(請求記録!$AC$6:$AC$3005,請求記録!$B$6:$B$3005,$A64,請求記録!$X$6:$X$3005,O$5))))</f>
        <v/>
      </c>
      <c r="P64" s="19">
        <f>IF($A64="","",IF(COUNTIFS(請求記録!$B$6:$B$3005,$A64,請求記録!$X$6:$X$3005,P$5,請求記録!$AD$6:$AD$3005,"保留中")&gt;0,"保留",IF(COUNTIFS(請求記録!$B$6:$B$3005,$A64,請求記録!$X$6:$X$3005,P$5)=0,"",SUMIFS(請求記録!$AC$6:$AC$3005,請求記録!$B$6:$B$3005,$A64,請求記録!$X$6:$X$3005,P$5))))</f>
        <v/>
      </c>
      <c r="Q64" s="19">
        <f>IF($A64="","",IF(COUNTIFS(請求記録!$B$6:$B$3005,$A64,請求記録!$X$6:$X$3005,Q$5,請求記録!$AD$6:$AD$3005,"保留中")&gt;0,"保留",IF(COUNTIFS(請求記録!$B$6:$B$3005,$A64,請求記録!$X$6:$X$3005,Q$5)=0,"",SUMIFS(請求記録!$AC$6:$AC$3005,請求記録!$B$6:$B$3005,$A64,請求記録!$X$6:$X$3005,Q$5))))</f>
        <v/>
      </c>
      <c r="R64" s="19">
        <f>IF($A64="","",IF(COUNTIFS(請求記録!$B$6:$B$3005,$A64,請求記録!$X$6:$X$3005,R$5,請求記録!$AD$6:$AD$3005,"保留中")&gt;0,"保留",IF(COUNTIFS(請求記録!$B$6:$B$3005,$A64,請求記録!$X$6:$X$3005,R$5)=0,"",SUMIFS(請求記録!$AC$6:$AC$3005,請求記録!$B$6:$B$3005,$A64,請求記録!$X$6:$X$3005,R$5))))</f>
        <v/>
      </c>
      <c r="S64" s="19">
        <f>IF($A64="","",IF(COUNTIFS(請求記録!$B$6:$B$3005,$A64,請求記録!$X$6:$X$3005,S$5,請求記録!$AD$6:$AD$3005,"保留中")&gt;0,"保留",IF(COUNTIFS(請求記録!$B$6:$B$3005,$A64,請求記録!$X$6:$X$3005,S$5)=0,"",SUMIFS(請求記録!$AC$6:$AC$3005,請求記録!$B$6:$B$3005,$A64,請求記録!$X$6:$X$3005,S$5))))</f>
        <v/>
      </c>
      <c r="T64" s="19">
        <f>IF($A64="","",IF(COUNTIFS(請求記録!$B$6:$B$3005,$A64,請求記録!$X$6:$X$3005,T$5,請求記録!$AD$6:$AD$3005,"保留中")&gt;0,"保留",IF(COUNTIFS(請求記録!$B$6:$B$3005,$A64,請求記録!$X$6:$X$3005,T$5)=0,"",SUMIFS(請求記録!$AC$6:$AC$3005,請求記録!$B$6:$B$3005,$A64,請求記録!$X$6:$X$3005,T$5))))</f>
        <v/>
      </c>
      <c r="U64" s="19">
        <f>IF($A64="","",IF(COUNTIFS(請求記録!$B$6:$B$3005,$A64,請求記録!$X$6:$X$3005,U$5,請求記録!$AD$6:$AD$3005,"保留中")&gt;0,"保留",IF(COUNTIFS(請求記録!$B$6:$B$3005,$A64,請求記録!$X$6:$X$3005,U$5)=0,"",SUMIFS(請求記録!$AC$6:$AC$3005,請求記録!$B$6:$B$3005,$A64,請求記録!$X$6:$X$3005,U$5))))</f>
        <v/>
      </c>
      <c r="V64" s="19">
        <f>IF($A64="","",IF(COUNTIFS(請求記録!$B$6:$B$3005,$A64,請求記録!$X$6:$X$3005,V$5,請求記録!$AD$6:$AD$3005,"保留中")&gt;0,"保留",IF(COUNTIFS(請求記録!$B$6:$B$3005,$A64,請求記録!$X$6:$X$3005,V$5)=0,"",SUMIFS(請求記録!$AC$6:$AC$3005,請求記録!$B$6:$B$3005,$A64,請求記録!$X$6:$X$3005,V$5))))</f>
        <v/>
      </c>
      <c r="W64" s="19">
        <f>IF($A64="","",IF(COUNTIFS(請求記録!$B$6:$B$3005,$A64,請求記録!$X$6:$X$3005,W$5,請求記録!$AD$6:$AD$3005,"保留中")&gt;0,"保留",IF(COUNTIFS(請求記録!$B$6:$B$3005,$A64,請求記録!$X$6:$X$3005,W$5)=0,"",SUMIFS(請求記録!$AC$6:$AC$3005,請求記録!$B$6:$B$3005,$A64,請求記録!$X$6:$X$3005,W$5))))</f>
        <v/>
      </c>
      <c r="X64" s="19">
        <f>IF($A64="","",IF(COUNTIFS(請求記録!$B$6:$B$3005,$A64,請求記録!$X$6:$X$3005,X$5,請求記録!$AD$6:$AD$3005,"保留中")&gt;0,"保留",IF(COUNTIFS(請求記録!$B$6:$B$3005,$A64,請求記録!$X$6:$X$3005,X$5)=0,"",SUMIFS(請求記録!$AC$6:$AC$3005,請求記録!$B$6:$B$3005,$A64,請求記録!$X$6:$X$3005,X$5))))</f>
        <v/>
      </c>
      <c r="Y64" s="19">
        <f>IF($A64="","",IF(COUNTIFS(請求記録!$B$6:$B$3005,$A64,請求記録!$X$6:$X$3005,Y$5,請求記録!$AD$6:$AD$3005,"保留中")&gt;0,"保留",IF(COUNTIFS(請求記録!$B$6:$B$3005,$A64,請求記録!$X$6:$X$3005,Y$5)=0,"",SUMIFS(請求記録!$AC$6:$AC$3005,請求記録!$B$6:$B$3005,$A64,請求記録!$X$6:$X$3005,Y$5))))</f>
        <v/>
      </c>
      <c r="Z64" s="19">
        <f>IF($A64="","",IF(COUNTIFS(請求記録!$B$6:$B$3005,$A64,請求記録!$X$6:$X$3005,Z$5,請求記録!$AD$6:$AD$3005,"保留中")&gt;0,"保留",IF(COUNTIFS(請求記録!$B$6:$B$3005,$A64,請求記録!$X$6:$X$3005,Z$5)=0,"",SUMIFS(請求記録!$AC$6:$AC$3005,請求記録!$B$6:$B$3005,$A64,請求記録!$X$6:$X$3005,Z$5))))</f>
        <v/>
      </c>
      <c r="AA64" s="19">
        <f>IF($A64="","",IF(COUNTIFS(請求記録!$B$6:$B$3005,$A64,請求記録!$X$6:$X$3005,AA$5,請求記録!$AD$6:$AD$3005,"保留中")&gt;0,"保留",IF(COUNTIFS(請求記録!$B$6:$B$3005,$A64,請求記録!$X$6:$X$3005,AA$5)=0,"",SUMIFS(請求記録!$AC$6:$AC$3005,請求記録!$B$6:$B$3005,$A64,請求記録!$X$6:$X$3005,AA$5))))</f>
        <v/>
      </c>
      <c r="AB64">
        <f>IF(職員マスタ!P64="保留中",職員マスタ!M64,"")</f>
        <v/>
      </c>
    </row>
    <row r="65">
      <c r="A65">
        <f>IF(職員マスタ!A65="","",職員マスタ!A65)</f>
        <v/>
      </c>
      <c r="B65">
        <f>IF($A65="","",職員マスタ!B65)</f>
        <v/>
      </c>
      <c r="C65">
        <f>IF($A65="","",職員マスタ!C65)</f>
        <v/>
      </c>
      <c r="D65" s="19">
        <f>IF($A65="","",IF(COUNTIFS(請求記録!$B$6:$B$3005,$A65,請求記録!$X$6:$X$3005,D$5,請求記録!$AD$6:$AD$3005,"保留中")&gt;0,"保留",IF(COUNTIFS(請求記録!$B$6:$B$3005,$A65,請求記録!$X$6:$X$3005,D$5)=0,"",SUMIFS(請求記録!$AC$6:$AC$3005,請求記録!$B$6:$B$3005,$A65,請求記録!$X$6:$X$3005,D$5))))</f>
        <v/>
      </c>
      <c r="E65" s="19">
        <f>IF($A65="","",IF(COUNTIFS(請求記録!$B$6:$B$3005,$A65,請求記録!$X$6:$X$3005,E$5,請求記録!$AD$6:$AD$3005,"保留中")&gt;0,"保留",IF(COUNTIFS(請求記録!$B$6:$B$3005,$A65,請求記録!$X$6:$X$3005,E$5)=0,"",SUMIFS(請求記録!$AC$6:$AC$3005,請求記録!$B$6:$B$3005,$A65,請求記録!$X$6:$X$3005,E$5))))</f>
        <v/>
      </c>
      <c r="F65" s="19">
        <f>IF($A65="","",IF(COUNTIFS(請求記録!$B$6:$B$3005,$A65,請求記録!$X$6:$X$3005,F$5,請求記録!$AD$6:$AD$3005,"保留中")&gt;0,"保留",IF(COUNTIFS(請求記録!$B$6:$B$3005,$A65,請求記録!$X$6:$X$3005,F$5)=0,"",SUMIFS(請求記録!$AC$6:$AC$3005,請求記録!$B$6:$B$3005,$A65,請求記録!$X$6:$X$3005,F$5))))</f>
        <v/>
      </c>
      <c r="G65" s="19">
        <f>IF($A65="","",IF(COUNTIFS(請求記録!$B$6:$B$3005,$A65,請求記録!$X$6:$X$3005,G$5,請求記録!$AD$6:$AD$3005,"保留中")&gt;0,"保留",IF(COUNTIFS(請求記録!$B$6:$B$3005,$A65,請求記録!$X$6:$X$3005,G$5)=0,"",SUMIFS(請求記録!$AC$6:$AC$3005,請求記録!$B$6:$B$3005,$A65,請求記録!$X$6:$X$3005,G$5))))</f>
        <v/>
      </c>
      <c r="H65" s="19">
        <f>IF($A65="","",IF(COUNTIFS(請求記録!$B$6:$B$3005,$A65,請求記録!$X$6:$X$3005,H$5,請求記録!$AD$6:$AD$3005,"保留中")&gt;0,"保留",IF(COUNTIFS(請求記録!$B$6:$B$3005,$A65,請求記録!$X$6:$X$3005,H$5)=0,"",SUMIFS(請求記録!$AC$6:$AC$3005,請求記録!$B$6:$B$3005,$A65,請求記録!$X$6:$X$3005,H$5))))</f>
        <v/>
      </c>
      <c r="I65" s="19">
        <f>IF($A65="","",IF(COUNTIFS(請求記録!$B$6:$B$3005,$A65,請求記録!$X$6:$X$3005,I$5,請求記録!$AD$6:$AD$3005,"保留中")&gt;0,"保留",IF(COUNTIFS(請求記録!$B$6:$B$3005,$A65,請求記録!$X$6:$X$3005,I$5)=0,"",SUMIFS(請求記録!$AC$6:$AC$3005,請求記録!$B$6:$B$3005,$A65,請求記録!$X$6:$X$3005,I$5))))</f>
        <v/>
      </c>
      <c r="J65" s="19">
        <f>IF($A65="","",IF(COUNTIFS(請求記録!$B$6:$B$3005,$A65,請求記録!$X$6:$X$3005,J$5,請求記録!$AD$6:$AD$3005,"保留中")&gt;0,"保留",IF(COUNTIFS(請求記録!$B$6:$B$3005,$A65,請求記録!$X$6:$X$3005,J$5)=0,"",SUMIFS(請求記録!$AC$6:$AC$3005,請求記録!$B$6:$B$3005,$A65,請求記録!$X$6:$X$3005,J$5))))</f>
        <v/>
      </c>
      <c r="K65" s="19">
        <f>IF($A65="","",IF(COUNTIFS(請求記録!$B$6:$B$3005,$A65,請求記録!$X$6:$X$3005,K$5,請求記録!$AD$6:$AD$3005,"保留中")&gt;0,"保留",IF(COUNTIFS(請求記録!$B$6:$B$3005,$A65,請求記録!$X$6:$X$3005,K$5)=0,"",SUMIFS(請求記録!$AC$6:$AC$3005,請求記録!$B$6:$B$3005,$A65,請求記録!$X$6:$X$3005,K$5))))</f>
        <v/>
      </c>
      <c r="L65" s="19">
        <f>IF($A65="","",IF(COUNTIFS(請求記録!$B$6:$B$3005,$A65,請求記録!$X$6:$X$3005,L$5,請求記録!$AD$6:$AD$3005,"保留中")&gt;0,"保留",IF(COUNTIFS(請求記録!$B$6:$B$3005,$A65,請求記録!$X$6:$X$3005,L$5)=0,"",SUMIFS(請求記録!$AC$6:$AC$3005,請求記録!$B$6:$B$3005,$A65,請求記録!$X$6:$X$3005,L$5))))</f>
        <v/>
      </c>
      <c r="M65" s="19">
        <f>IF($A65="","",IF(COUNTIFS(請求記録!$B$6:$B$3005,$A65,請求記録!$X$6:$X$3005,M$5,請求記録!$AD$6:$AD$3005,"保留中")&gt;0,"保留",IF(COUNTIFS(請求記録!$B$6:$B$3005,$A65,請求記録!$X$6:$X$3005,M$5)=0,"",SUMIFS(請求記録!$AC$6:$AC$3005,請求記録!$B$6:$B$3005,$A65,請求記録!$X$6:$X$3005,M$5))))</f>
        <v/>
      </c>
      <c r="N65" s="19">
        <f>IF($A65="","",IF(COUNTIFS(請求記録!$B$6:$B$3005,$A65,請求記録!$X$6:$X$3005,N$5,請求記録!$AD$6:$AD$3005,"保留中")&gt;0,"保留",IF(COUNTIFS(請求記録!$B$6:$B$3005,$A65,請求記録!$X$6:$X$3005,N$5)=0,"",SUMIFS(請求記録!$AC$6:$AC$3005,請求記録!$B$6:$B$3005,$A65,請求記録!$X$6:$X$3005,N$5))))</f>
        <v/>
      </c>
      <c r="O65" s="19">
        <f>IF($A65="","",IF(COUNTIFS(請求記録!$B$6:$B$3005,$A65,請求記録!$X$6:$X$3005,O$5,請求記録!$AD$6:$AD$3005,"保留中")&gt;0,"保留",IF(COUNTIFS(請求記録!$B$6:$B$3005,$A65,請求記録!$X$6:$X$3005,O$5)=0,"",SUMIFS(請求記録!$AC$6:$AC$3005,請求記録!$B$6:$B$3005,$A65,請求記録!$X$6:$X$3005,O$5))))</f>
        <v/>
      </c>
      <c r="P65" s="19">
        <f>IF($A65="","",IF(COUNTIFS(請求記録!$B$6:$B$3005,$A65,請求記録!$X$6:$X$3005,P$5,請求記録!$AD$6:$AD$3005,"保留中")&gt;0,"保留",IF(COUNTIFS(請求記録!$B$6:$B$3005,$A65,請求記録!$X$6:$X$3005,P$5)=0,"",SUMIFS(請求記録!$AC$6:$AC$3005,請求記録!$B$6:$B$3005,$A65,請求記録!$X$6:$X$3005,P$5))))</f>
        <v/>
      </c>
      <c r="Q65" s="19">
        <f>IF($A65="","",IF(COUNTIFS(請求記録!$B$6:$B$3005,$A65,請求記録!$X$6:$X$3005,Q$5,請求記録!$AD$6:$AD$3005,"保留中")&gt;0,"保留",IF(COUNTIFS(請求記録!$B$6:$B$3005,$A65,請求記録!$X$6:$X$3005,Q$5)=0,"",SUMIFS(請求記録!$AC$6:$AC$3005,請求記録!$B$6:$B$3005,$A65,請求記録!$X$6:$X$3005,Q$5))))</f>
        <v/>
      </c>
      <c r="R65" s="19">
        <f>IF($A65="","",IF(COUNTIFS(請求記録!$B$6:$B$3005,$A65,請求記録!$X$6:$X$3005,R$5,請求記録!$AD$6:$AD$3005,"保留中")&gt;0,"保留",IF(COUNTIFS(請求記録!$B$6:$B$3005,$A65,請求記録!$X$6:$X$3005,R$5)=0,"",SUMIFS(請求記録!$AC$6:$AC$3005,請求記録!$B$6:$B$3005,$A65,請求記録!$X$6:$X$3005,R$5))))</f>
        <v/>
      </c>
      <c r="S65" s="19">
        <f>IF($A65="","",IF(COUNTIFS(請求記録!$B$6:$B$3005,$A65,請求記録!$X$6:$X$3005,S$5,請求記録!$AD$6:$AD$3005,"保留中")&gt;0,"保留",IF(COUNTIFS(請求記録!$B$6:$B$3005,$A65,請求記録!$X$6:$X$3005,S$5)=0,"",SUMIFS(請求記録!$AC$6:$AC$3005,請求記録!$B$6:$B$3005,$A65,請求記録!$X$6:$X$3005,S$5))))</f>
        <v/>
      </c>
      <c r="T65" s="19">
        <f>IF($A65="","",IF(COUNTIFS(請求記録!$B$6:$B$3005,$A65,請求記録!$X$6:$X$3005,T$5,請求記録!$AD$6:$AD$3005,"保留中")&gt;0,"保留",IF(COUNTIFS(請求記録!$B$6:$B$3005,$A65,請求記録!$X$6:$X$3005,T$5)=0,"",SUMIFS(請求記録!$AC$6:$AC$3005,請求記録!$B$6:$B$3005,$A65,請求記録!$X$6:$X$3005,T$5))))</f>
        <v/>
      </c>
      <c r="U65" s="19">
        <f>IF($A65="","",IF(COUNTIFS(請求記録!$B$6:$B$3005,$A65,請求記録!$X$6:$X$3005,U$5,請求記録!$AD$6:$AD$3005,"保留中")&gt;0,"保留",IF(COUNTIFS(請求記録!$B$6:$B$3005,$A65,請求記録!$X$6:$X$3005,U$5)=0,"",SUMIFS(請求記録!$AC$6:$AC$3005,請求記録!$B$6:$B$3005,$A65,請求記録!$X$6:$X$3005,U$5))))</f>
        <v/>
      </c>
      <c r="V65" s="19">
        <f>IF($A65="","",IF(COUNTIFS(請求記録!$B$6:$B$3005,$A65,請求記録!$X$6:$X$3005,V$5,請求記録!$AD$6:$AD$3005,"保留中")&gt;0,"保留",IF(COUNTIFS(請求記録!$B$6:$B$3005,$A65,請求記録!$X$6:$X$3005,V$5)=0,"",SUMIFS(請求記録!$AC$6:$AC$3005,請求記録!$B$6:$B$3005,$A65,請求記録!$X$6:$X$3005,V$5))))</f>
        <v/>
      </c>
      <c r="W65" s="19">
        <f>IF($A65="","",IF(COUNTIFS(請求記録!$B$6:$B$3005,$A65,請求記録!$X$6:$X$3005,W$5,請求記録!$AD$6:$AD$3005,"保留中")&gt;0,"保留",IF(COUNTIFS(請求記録!$B$6:$B$3005,$A65,請求記録!$X$6:$X$3005,W$5)=0,"",SUMIFS(請求記録!$AC$6:$AC$3005,請求記録!$B$6:$B$3005,$A65,請求記録!$X$6:$X$3005,W$5))))</f>
        <v/>
      </c>
      <c r="X65" s="19">
        <f>IF($A65="","",IF(COUNTIFS(請求記録!$B$6:$B$3005,$A65,請求記録!$X$6:$X$3005,X$5,請求記録!$AD$6:$AD$3005,"保留中")&gt;0,"保留",IF(COUNTIFS(請求記録!$B$6:$B$3005,$A65,請求記録!$X$6:$X$3005,X$5)=0,"",SUMIFS(請求記録!$AC$6:$AC$3005,請求記録!$B$6:$B$3005,$A65,請求記録!$X$6:$X$3005,X$5))))</f>
        <v/>
      </c>
      <c r="Y65" s="19">
        <f>IF($A65="","",IF(COUNTIFS(請求記録!$B$6:$B$3005,$A65,請求記録!$X$6:$X$3005,Y$5,請求記録!$AD$6:$AD$3005,"保留中")&gt;0,"保留",IF(COUNTIFS(請求記録!$B$6:$B$3005,$A65,請求記録!$X$6:$X$3005,Y$5)=0,"",SUMIFS(請求記録!$AC$6:$AC$3005,請求記録!$B$6:$B$3005,$A65,請求記録!$X$6:$X$3005,Y$5))))</f>
        <v/>
      </c>
      <c r="Z65" s="19">
        <f>IF($A65="","",IF(COUNTIFS(請求記録!$B$6:$B$3005,$A65,請求記録!$X$6:$X$3005,Z$5,請求記録!$AD$6:$AD$3005,"保留中")&gt;0,"保留",IF(COUNTIFS(請求記録!$B$6:$B$3005,$A65,請求記録!$X$6:$X$3005,Z$5)=0,"",SUMIFS(請求記録!$AC$6:$AC$3005,請求記録!$B$6:$B$3005,$A65,請求記録!$X$6:$X$3005,Z$5))))</f>
        <v/>
      </c>
      <c r="AA65" s="19">
        <f>IF($A65="","",IF(COUNTIFS(請求記録!$B$6:$B$3005,$A65,請求記録!$X$6:$X$3005,AA$5,請求記録!$AD$6:$AD$3005,"保留中")&gt;0,"保留",IF(COUNTIFS(請求記録!$B$6:$B$3005,$A65,請求記録!$X$6:$X$3005,AA$5)=0,"",SUMIFS(請求記録!$AC$6:$AC$3005,請求記録!$B$6:$B$3005,$A65,請求記録!$X$6:$X$3005,AA$5))))</f>
        <v/>
      </c>
      <c r="AB65">
        <f>IF(職員マスタ!P65="保留中",職員マスタ!M65,"")</f>
        <v/>
      </c>
    </row>
    <row r="66">
      <c r="A66">
        <f>IF(職員マスタ!A66="","",職員マスタ!A66)</f>
        <v/>
      </c>
      <c r="B66">
        <f>IF($A66="","",職員マスタ!B66)</f>
        <v/>
      </c>
      <c r="C66">
        <f>IF($A66="","",職員マスタ!C66)</f>
        <v/>
      </c>
      <c r="D66" s="19">
        <f>IF($A66="","",IF(COUNTIFS(請求記録!$B$6:$B$3005,$A66,請求記録!$X$6:$X$3005,D$5,請求記録!$AD$6:$AD$3005,"保留中")&gt;0,"保留",IF(COUNTIFS(請求記録!$B$6:$B$3005,$A66,請求記録!$X$6:$X$3005,D$5)=0,"",SUMIFS(請求記録!$AC$6:$AC$3005,請求記録!$B$6:$B$3005,$A66,請求記録!$X$6:$X$3005,D$5))))</f>
        <v/>
      </c>
      <c r="E66" s="19">
        <f>IF($A66="","",IF(COUNTIFS(請求記録!$B$6:$B$3005,$A66,請求記録!$X$6:$X$3005,E$5,請求記録!$AD$6:$AD$3005,"保留中")&gt;0,"保留",IF(COUNTIFS(請求記録!$B$6:$B$3005,$A66,請求記録!$X$6:$X$3005,E$5)=0,"",SUMIFS(請求記録!$AC$6:$AC$3005,請求記録!$B$6:$B$3005,$A66,請求記録!$X$6:$X$3005,E$5))))</f>
        <v/>
      </c>
      <c r="F66" s="19">
        <f>IF($A66="","",IF(COUNTIFS(請求記録!$B$6:$B$3005,$A66,請求記録!$X$6:$X$3005,F$5,請求記録!$AD$6:$AD$3005,"保留中")&gt;0,"保留",IF(COUNTIFS(請求記録!$B$6:$B$3005,$A66,請求記録!$X$6:$X$3005,F$5)=0,"",SUMIFS(請求記録!$AC$6:$AC$3005,請求記録!$B$6:$B$3005,$A66,請求記録!$X$6:$X$3005,F$5))))</f>
        <v/>
      </c>
      <c r="G66" s="19">
        <f>IF($A66="","",IF(COUNTIFS(請求記録!$B$6:$B$3005,$A66,請求記録!$X$6:$X$3005,G$5,請求記録!$AD$6:$AD$3005,"保留中")&gt;0,"保留",IF(COUNTIFS(請求記録!$B$6:$B$3005,$A66,請求記録!$X$6:$X$3005,G$5)=0,"",SUMIFS(請求記録!$AC$6:$AC$3005,請求記録!$B$6:$B$3005,$A66,請求記録!$X$6:$X$3005,G$5))))</f>
        <v/>
      </c>
      <c r="H66" s="19">
        <f>IF($A66="","",IF(COUNTIFS(請求記録!$B$6:$B$3005,$A66,請求記録!$X$6:$X$3005,H$5,請求記録!$AD$6:$AD$3005,"保留中")&gt;0,"保留",IF(COUNTIFS(請求記録!$B$6:$B$3005,$A66,請求記録!$X$6:$X$3005,H$5)=0,"",SUMIFS(請求記録!$AC$6:$AC$3005,請求記録!$B$6:$B$3005,$A66,請求記録!$X$6:$X$3005,H$5))))</f>
        <v/>
      </c>
      <c r="I66" s="19">
        <f>IF($A66="","",IF(COUNTIFS(請求記録!$B$6:$B$3005,$A66,請求記録!$X$6:$X$3005,I$5,請求記録!$AD$6:$AD$3005,"保留中")&gt;0,"保留",IF(COUNTIFS(請求記録!$B$6:$B$3005,$A66,請求記録!$X$6:$X$3005,I$5)=0,"",SUMIFS(請求記録!$AC$6:$AC$3005,請求記録!$B$6:$B$3005,$A66,請求記録!$X$6:$X$3005,I$5))))</f>
        <v/>
      </c>
      <c r="J66" s="19">
        <f>IF($A66="","",IF(COUNTIFS(請求記録!$B$6:$B$3005,$A66,請求記録!$X$6:$X$3005,J$5,請求記録!$AD$6:$AD$3005,"保留中")&gt;0,"保留",IF(COUNTIFS(請求記録!$B$6:$B$3005,$A66,請求記録!$X$6:$X$3005,J$5)=0,"",SUMIFS(請求記録!$AC$6:$AC$3005,請求記録!$B$6:$B$3005,$A66,請求記録!$X$6:$X$3005,J$5))))</f>
        <v/>
      </c>
      <c r="K66" s="19">
        <f>IF($A66="","",IF(COUNTIFS(請求記録!$B$6:$B$3005,$A66,請求記録!$X$6:$X$3005,K$5,請求記録!$AD$6:$AD$3005,"保留中")&gt;0,"保留",IF(COUNTIFS(請求記録!$B$6:$B$3005,$A66,請求記録!$X$6:$X$3005,K$5)=0,"",SUMIFS(請求記録!$AC$6:$AC$3005,請求記録!$B$6:$B$3005,$A66,請求記録!$X$6:$X$3005,K$5))))</f>
        <v/>
      </c>
      <c r="L66" s="19">
        <f>IF($A66="","",IF(COUNTIFS(請求記録!$B$6:$B$3005,$A66,請求記録!$X$6:$X$3005,L$5,請求記録!$AD$6:$AD$3005,"保留中")&gt;0,"保留",IF(COUNTIFS(請求記録!$B$6:$B$3005,$A66,請求記録!$X$6:$X$3005,L$5)=0,"",SUMIFS(請求記録!$AC$6:$AC$3005,請求記録!$B$6:$B$3005,$A66,請求記録!$X$6:$X$3005,L$5))))</f>
        <v/>
      </c>
      <c r="M66" s="19">
        <f>IF($A66="","",IF(COUNTIFS(請求記録!$B$6:$B$3005,$A66,請求記録!$X$6:$X$3005,M$5,請求記録!$AD$6:$AD$3005,"保留中")&gt;0,"保留",IF(COUNTIFS(請求記録!$B$6:$B$3005,$A66,請求記録!$X$6:$X$3005,M$5)=0,"",SUMIFS(請求記録!$AC$6:$AC$3005,請求記録!$B$6:$B$3005,$A66,請求記録!$X$6:$X$3005,M$5))))</f>
        <v/>
      </c>
      <c r="N66" s="19">
        <f>IF($A66="","",IF(COUNTIFS(請求記録!$B$6:$B$3005,$A66,請求記録!$X$6:$X$3005,N$5,請求記録!$AD$6:$AD$3005,"保留中")&gt;0,"保留",IF(COUNTIFS(請求記録!$B$6:$B$3005,$A66,請求記録!$X$6:$X$3005,N$5)=0,"",SUMIFS(請求記録!$AC$6:$AC$3005,請求記録!$B$6:$B$3005,$A66,請求記録!$X$6:$X$3005,N$5))))</f>
        <v/>
      </c>
      <c r="O66" s="19">
        <f>IF($A66="","",IF(COUNTIFS(請求記録!$B$6:$B$3005,$A66,請求記録!$X$6:$X$3005,O$5,請求記録!$AD$6:$AD$3005,"保留中")&gt;0,"保留",IF(COUNTIFS(請求記録!$B$6:$B$3005,$A66,請求記録!$X$6:$X$3005,O$5)=0,"",SUMIFS(請求記録!$AC$6:$AC$3005,請求記録!$B$6:$B$3005,$A66,請求記録!$X$6:$X$3005,O$5))))</f>
        <v/>
      </c>
      <c r="P66" s="19">
        <f>IF($A66="","",IF(COUNTIFS(請求記録!$B$6:$B$3005,$A66,請求記録!$X$6:$X$3005,P$5,請求記録!$AD$6:$AD$3005,"保留中")&gt;0,"保留",IF(COUNTIFS(請求記録!$B$6:$B$3005,$A66,請求記録!$X$6:$X$3005,P$5)=0,"",SUMIFS(請求記録!$AC$6:$AC$3005,請求記録!$B$6:$B$3005,$A66,請求記録!$X$6:$X$3005,P$5))))</f>
        <v/>
      </c>
      <c r="Q66" s="19">
        <f>IF($A66="","",IF(COUNTIFS(請求記録!$B$6:$B$3005,$A66,請求記録!$X$6:$X$3005,Q$5,請求記録!$AD$6:$AD$3005,"保留中")&gt;0,"保留",IF(COUNTIFS(請求記録!$B$6:$B$3005,$A66,請求記録!$X$6:$X$3005,Q$5)=0,"",SUMIFS(請求記録!$AC$6:$AC$3005,請求記録!$B$6:$B$3005,$A66,請求記録!$X$6:$X$3005,Q$5))))</f>
        <v/>
      </c>
      <c r="R66" s="19">
        <f>IF($A66="","",IF(COUNTIFS(請求記録!$B$6:$B$3005,$A66,請求記録!$X$6:$X$3005,R$5,請求記録!$AD$6:$AD$3005,"保留中")&gt;0,"保留",IF(COUNTIFS(請求記録!$B$6:$B$3005,$A66,請求記録!$X$6:$X$3005,R$5)=0,"",SUMIFS(請求記録!$AC$6:$AC$3005,請求記録!$B$6:$B$3005,$A66,請求記録!$X$6:$X$3005,R$5))))</f>
        <v/>
      </c>
      <c r="S66" s="19">
        <f>IF($A66="","",IF(COUNTIFS(請求記録!$B$6:$B$3005,$A66,請求記録!$X$6:$X$3005,S$5,請求記録!$AD$6:$AD$3005,"保留中")&gt;0,"保留",IF(COUNTIFS(請求記録!$B$6:$B$3005,$A66,請求記録!$X$6:$X$3005,S$5)=0,"",SUMIFS(請求記録!$AC$6:$AC$3005,請求記録!$B$6:$B$3005,$A66,請求記録!$X$6:$X$3005,S$5))))</f>
        <v/>
      </c>
      <c r="T66" s="19">
        <f>IF($A66="","",IF(COUNTIFS(請求記録!$B$6:$B$3005,$A66,請求記録!$X$6:$X$3005,T$5,請求記録!$AD$6:$AD$3005,"保留中")&gt;0,"保留",IF(COUNTIFS(請求記録!$B$6:$B$3005,$A66,請求記録!$X$6:$X$3005,T$5)=0,"",SUMIFS(請求記録!$AC$6:$AC$3005,請求記録!$B$6:$B$3005,$A66,請求記録!$X$6:$X$3005,T$5))))</f>
        <v/>
      </c>
      <c r="U66" s="19">
        <f>IF($A66="","",IF(COUNTIFS(請求記録!$B$6:$B$3005,$A66,請求記録!$X$6:$X$3005,U$5,請求記録!$AD$6:$AD$3005,"保留中")&gt;0,"保留",IF(COUNTIFS(請求記録!$B$6:$B$3005,$A66,請求記録!$X$6:$X$3005,U$5)=0,"",SUMIFS(請求記録!$AC$6:$AC$3005,請求記録!$B$6:$B$3005,$A66,請求記録!$X$6:$X$3005,U$5))))</f>
        <v/>
      </c>
      <c r="V66" s="19">
        <f>IF($A66="","",IF(COUNTIFS(請求記録!$B$6:$B$3005,$A66,請求記録!$X$6:$X$3005,V$5,請求記録!$AD$6:$AD$3005,"保留中")&gt;0,"保留",IF(COUNTIFS(請求記録!$B$6:$B$3005,$A66,請求記録!$X$6:$X$3005,V$5)=0,"",SUMIFS(請求記録!$AC$6:$AC$3005,請求記録!$B$6:$B$3005,$A66,請求記録!$X$6:$X$3005,V$5))))</f>
        <v/>
      </c>
      <c r="W66" s="19">
        <f>IF($A66="","",IF(COUNTIFS(請求記録!$B$6:$B$3005,$A66,請求記録!$X$6:$X$3005,W$5,請求記録!$AD$6:$AD$3005,"保留中")&gt;0,"保留",IF(COUNTIFS(請求記録!$B$6:$B$3005,$A66,請求記録!$X$6:$X$3005,W$5)=0,"",SUMIFS(請求記録!$AC$6:$AC$3005,請求記録!$B$6:$B$3005,$A66,請求記録!$X$6:$X$3005,W$5))))</f>
        <v/>
      </c>
      <c r="X66" s="19">
        <f>IF($A66="","",IF(COUNTIFS(請求記録!$B$6:$B$3005,$A66,請求記録!$X$6:$X$3005,X$5,請求記録!$AD$6:$AD$3005,"保留中")&gt;0,"保留",IF(COUNTIFS(請求記録!$B$6:$B$3005,$A66,請求記録!$X$6:$X$3005,X$5)=0,"",SUMIFS(請求記録!$AC$6:$AC$3005,請求記録!$B$6:$B$3005,$A66,請求記録!$X$6:$X$3005,X$5))))</f>
        <v/>
      </c>
      <c r="Y66" s="19">
        <f>IF($A66="","",IF(COUNTIFS(請求記録!$B$6:$B$3005,$A66,請求記録!$X$6:$X$3005,Y$5,請求記録!$AD$6:$AD$3005,"保留中")&gt;0,"保留",IF(COUNTIFS(請求記録!$B$6:$B$3005,$A66,請求記録!$X$6:$X$3005,Y$5)=0,"",SUMIFS(請求記録!$AC$6:$AC$3005,請求記録!$B$6:$B$3005,$A66,請求記録!$X$6:$X$3005,Y$5))))</f>
        <v/>
      </c>
      <c r="Z66" s="19">
        <f>IF($A66="","",IF(COUNTIFS(請求記録!$B$6:$B$3005,$A66,請求記録!$X$6:$X$3005,Z$5,請求記録!$AD$6:$AD$3005,"保留中")&gt;0,"保留",IF(COUNTIFS(請求記録!$B$6:$B$3005,$A66,請求記録!$X$6:$X$3005,Z$5)=0,"",SUMIFS(請求記録!$AC$6:$AC$3005,請求記録!$B$6:$B$3005,$A66,請求記録!$X$6:$X$3005,Z$5))))</f>
        <v/>
      </c>
      <c r="AA66" s="19">
        <f>IF($A66="","",IF(COUNTIFS(請求記録!$B$6:$B$3005,$A66,請求記録!$X$6:$X$3005,AA$5,請求記録!$AD$6:$AD$3005,"保留中")&gt;0,"保留",IF(COUNTIFS(請求記録!$B$6:$B$3005,$A66,請求記録!$X$6:$X$3005,AA$5)=0,"",SUMIFS(請求記録!$AC$6:$AC$3005,請求記録!$B$6:$B$3005,$A66,請求記録!$X$6:$X$3005,AA$5))))</f>
        <v/>
      </c>
      <c r="AB66">
        <f>IF(職員マスタ!P66="保留中",職員マスタ!M66,"")</f>
        <v/>
      </c>
    </row>
    <row r="67">
      <c r="A67">
        <f>IF(職員マスタ!A67="","",職員マスタ!A67)</f>
        <v/>
      </c>
      <c r="B67">
        <f>IF($A67="","",職員マスタ!B67)</f>
        <v/>
      </c>
      <c r="C67">
        <f>IF($A67="","",職員マスタ!C67)</f>
        <v/>
      </c>
      <c r="D67" s="19">
        <f>IF($A67="","",IF(COUNTIFS(請求記録!$B$6:$B$3005,$A67,請求記録!$X$6:$X$3005,D$5,請求記録!$AD$6:$AD$3005,"保留中")&gt;0,"保留",IF(COUNTIFS(請求記録!$B$6:$B$3005,$A67,請求記録!$X$6:$X$3005,D$5)=0,"",SUMIFS(請求記録!$AC$6:$AC$3005,請求記録!$B$6:$B$3005,$A67,請求記録!$X$6:$X$3005,D$5))))</f>
        <v/>
      </c>
      <c r="E67" s="19">
        <f>IF($A67="","",IF(COUNTIFS(請求記録!$B$6:$B$3005,$A67,請求記録!$X$6:$X$3005,E$5,請求記録!$AD$6:$AD$3005,"保留中")&gt;0,"保留",IF(COUNTIFS(請求記録!$B$6:$B$3005,$A67,請求記録!$X$6:$X$3005,E$5)=0,"",SUMIFS(請求記録!$AC$6:$AC$3005,請求記録!$B$6:$B$3005,$A67,請求記録!$X$6:$X$3005,E$5))))</f>
        <v/>
      </c>
      <c r="F67" s="19">
        <f>IF($A67="","",IF(COUNTIFS(請求記録!$B$6:$B$3005,$A67,請求記録!$X$6:$X$3005,F$5,請求記録!$AD$6:$AD$3005,"保留中")&gt;0,"保留",IF(COUNTIFS(請求記録!$B$6:$B$3005,$A67,請求記録!$X$6:$X$3005,F$5)=0,"",SUMIFS(請求記録!$AC$6:$AC$3005,請求記録!$B$6:$B$3005,$A67,請求記録!$X$6:$X$3005,F$5))))</f>
        <v/>
      </c>
      <c r="G67" s="19">
        <f>IF($A67="","",IF(COUNTIFS(請求記録!$B$6:$B$3005,$A67,請求記録!$X$6:$X$3005,G$5,請求記録!$AD$6:$AD$3005,"保留中")&gt;0,"保留",IF(COUNTIFS(請求記録!$B$6:$B$3005,$A67,請求記録!$X$6:$X$3005,G$5)=0,"",SUMIFS(請求記録!$AC$6:$AC$3005,請求記録!$B$6:$B$3005,$A67,請求記録!$X$6:$X$3005,G$5))))</f>
        <v/>
      </c>
      <c r="H67" s="19">
        <f>IF($A67="","",IF(COUNTIFS(請求記録!$B$6:$B$3005,$A67,請求記録!$X$6:$X$3005,H$5,請求記録!$AD$6:$AD$3005,"保留中")&gt;0,"保留",IF(COUNTIFS(請求記録!$B$6:$B$3005,$A67,請求記録!$X$6:$X$3005,H$5)=0,"",SUMIFS(請求記録!$AC$6:$AC$3005,請求記録!$B$6:$B$3005,$A67,請求記録!$X$6:$X$3005,H$5))))</f>
        <v/>
      </c>
      <c r="I67" s="19">
        <f>IF($A67="","",IF(COUNTIFS(請求記録!$B$6:$B$3005,$A67,請求記録!$X$6:$X$3005,I$5,請求記録!$AD$6:$AD$3005,"保留中")&gt;0,"保留",IF(COUNTIFS(請求記録!$B$6:$B$3005,$A67,請求記録!$X$6:$X$3005,I$5)=0,"",SUMIFS(請求記録!$AC$6:$AC$3005,請求記録!$B$6:$B$3005,$A67,請求記録!$X$6:$X$3005,I$5))))</f>
        <v/>
      </c>
      <c r="J67" s="19">
        <f>IF($A67="","",IF(COUNTIFS(請求記録!$B$6:$B$3005,$A67,請求記録!$X$6:$X$3005,J$5,請求記録!$AD$6:$AD$3005,"保留中")&gt;0,"保留",IF(COUNTIFS(請求記録!$B$6:$B$3005,$A67,請求記録!$X$6:$X$3005,J$5)=0,"",SUMIFS(請求記録!$AC$6:$AC$3005,請求記録!$B$6:$B$3005,$A67,請求記録!$X$6:$X$3005,J$5))))</f>
        <v/>
      </c>
      <c r="K67" s="19">
        <f>IF($A67="","",IF(COUNTIFS(請求記録!$B$6:$B$3005,$A67,請求記録!$X$6:$X$3005,K$5,請求記録!$AD$6:$AD$3005,"保留中")&gt;0,"保留",IF(COUNTIFS(請求記録!$B$6:$B$3005,$A67,請求記録!$X$6:$X$3005,K$5)=0,"",SUMIFS(請求記録!$AC$6:$AC$3005,請求記録!$B$6:$B$3005,$A67,請求記録!$X$6:$X$3005,K$5))))</f>
        <v/>
      </c>
      <c r="L67" s="19">
        <f>IF($A67="","",IF(COUNTIFS(請求記録!$B$6:$B$3005,$A67,請求記録!$X$6:$X$3005,L$5,請求記録!$AD$6:$AD$3005,"保留中")&gt;0,"保留",IF(COUNTIFS(請求記録!$B$6:$B$3005,$A67,請求記録!$X$6:$X$3005,L$5)=0,"",SUMIFS(請求記録!$AC$6:$AC$3005,請求記録!$B$6:$B$3005,$A67,請求記録!$X$6:$X$3005,L$5))))</f>
        <v/>
      </c>
      <c r="M67" s="19">
        <f>IF($A67="","",IF(COUNTIFS(請求記録!$B$6:$B$3005,$A67,請求記録!$X$6:$X$3005,M$5,請求記録!$AD$6:$AD$3005,"保留中")&gt;0,"保留",IF(COUNTIFS(請求記録!$B$6:$B$3005,$A67,請求記録!$X$6:$X$3005,M$5)=0,"",SUMIFS(請求記録!$AC$6:$AC$3005,請求記録!$B$6:$B$3005,$A67,請求記録!$X$6:$X$3005,M$5))))</f>
        <v/>
      </c>
      <c r="N67" s="19">
        <f>IF($A67="","",IF(COUNTIFS(請求記録!$B$6:$B$3005,$A67,請求記録!$X$6:$X$3005,N$5,請求記録!$AD$6:$AD$3005,"保留中")&gt;0,"保留",IF(COUNTIFS(請求記録!$B$6:$B$3005,$A67,請求記録!$X$6:$X$3005,N$5)=0,"",SUMIFS(請求記録!$AC$6:$AC$3005,請求記録!$B$6:$B$3005,$A67,請求記録!$X$6:$X$3005,N$5))))</f>
        <v/>
      </c>
      <c r="O67" s="19">
        <f>IF($A67="","",IF(COUNTIFS(請求記録!$B$6:$B$3005,$A67,請求記録!$X$6:$X$3005,O$5,請求記録!$AD$6:$AD$3005,"保留中")&gt;0,"保留",IF(COUNTIFS(請求記録!$B$6:$B$3005,$A67,請求記録!$X$6:$X$3005,O$5)=0,"",SUMIFS(請求記録!$AC$6:$AC$3005,請求記録!$B$6:$B$3005,$A67,請求記録!$X$6:$X$3005,O$5))))</f>
        <v/>
      </c>
      <c r="P67" s="19">
        <f>IF($A67="","",IF(COUNTIFS(請求記録!$B$6:$B$3005,$A67,請求記録!$X$6:$X$3005,P$5,請求記録!$AD$6:$AD$3005,"保留中")&gt;0,"保留",IF(COUNTIFS(請求記録!$B$6:$B$3005,$A67,請求記録!$X$6:$X$3005,P$5)=0,"",SUMIFS(請求記録!$AC$6:$AC$3005,請求記録!$B$6:$B$3005,$A67,請求記録!$X$6:$X$3005,P$5))))</f>
        <v/>
      </c>
      <c r="Q67" s="19">
        <f>IF($A67="","",IF(COUNTIFS(請求記録!$B$6:$B$3005,$A67,請求記録!$X$6:$X$3005,Q$5,請求記録!$AD$6:$AD$3005,"保留中")&gt;0,"保留",IF(COUNTIFS(請求記録!$B$6:$B$3005,$A67,請求記録!$X$6:$X$3005,Q$5)=0,"",SUMIFS(請求記録!$AC$6:$AC$3005,請求記録!$B$6:$B$3005,$A67,請求記録!$X$6:$X$3005,Q$5))))</f>
        <v/>
      </c>
      <c r="R67" s="19">
        <f>IF($A67="","",IF(COUNTIFS(請求記録!$B$6:$B$3005,$A67,請求記録!$X$6:$X$3005,R$5,請求記録!$AD$6:$AD$3005,"保留中")&gt;0,"保留",IF(COUNTIFS(請求記録!$B$6:$B$3005,$A67,請求記録!$X$6:$X$3005,R$5)=0,"",SUMIFS(請求記録!$AC$6:$AC$3005,請求記録!$B$6:$B$3005,$A67,請求記録!$X$6:$X$3005,R$5))))</f>
        <v/>
      </c>
      <c r="S67" s="19">
        <f>IF($A67="","",IF(COUNTIFS(請求記録!$B$6:$B$3005,$A67,請求記録!$X$6:$X$3005,S$5,請求記録!$AD$6:$AD$3005,"保留中")&gt;0,"保留",IF(COUNTIFS(請求記録!$B$6:$B$3005,$A67,請求記録!$X$6:$X$3005,S$5)=0,"",SUMIFS(請求記録!$AC$6:$AC$3005,請求記録!$B$6:$B$3005,$A67,請求記録!$X$6:$X$3005,S$5))))</f>
        <v/>
      </c>
      <c r="T67" s="19">
        <f>IF($A67="","",IF(COUNTIFS(請求記録!$B$6:$B$3005,$A67,請求記録!$X$6:$X$3005,T$5,請求記録!$AD$6:$AD$3005,"保留中")&gt;0,"保留",IF(COUNTIFS(請求記録!$B$6:$B$3005,$A67,請求記録!$X$6:$X$3005,T$5)=0,"",SUMIFS(請求記録!$AC$6:$AC$3005,請求記録!$B$6:$B$3005,$A67,請求記録!$X$6:$X$3005,T$5))))</f>
        <v/>
      </c>
      <c r="U67" s="19">
        <f>IF($A67="","",IF(COUNTIFS(請求記録!$B$6:$B$3005,$A67,請求記録!$X$6:$X$3005,U$5,請求記録!$AD$6:$AD$3005,"保留中")&gt;0,"保留",IF(COUNTIFS(請求記録!$B$6:$B$3005,$A67,請求記録!$X$6:$X$3005,U$5)=0,"",SUMIFS(請求記録!$AC$6:$AC$3005,請求記録!$B$6:$B$3005,$A67,請求記録!$X$6:$X$3005,U$5))))</f>
        <v/>
      </c>
      <c r="V67" s="19">
        <f>IF($A67="","",IF(COUNTIFS(請求記録!$B$6:$B$3005,$A67,請求記録!$X$6:$X$3005,V$5,請求記録!$AD$6:$AD$3005,"保留中")&gt;0,"保留",IF(COUNTIFS(請求記録!$B$6:$B$3005,$A67,請求記録!$X$6:$X$3005,V$5)=0,"",SUMIFS(請求記録!$AC$6:$AC$3005,請求記録!$B$6:$B$3005,$A67,請求記録!$X$6:$X$3005,V$5))))</f>
        <v/>
      </c>
      <c r="W67" s="19">
        <f>IF($A67="","",IF(COUNTIFS(請求記録!$B$6:$B$3005,$A67,請求記録!$X$6:$X$3005,W$5,請求記録!$AD$6:$AD$3005,"保留中")&gt;0,"保留",IF(COUNTIFS(請求記録!$B$6:$B$3005,$A67,請求記録!$X$6:$X$3005,W$5)=0,"",SUMIFS(請求記録!$AC$6:$AC$3005,請求記録!$B$6:$B$3005,$A67,請求記録!$X$6:$X$3005,W$5))))</f>
        <v/>
      </c>
      <c r="X67" s="19">
        <f>IF($A67="","",IF(COUNTIFS(請求記録!$B$6:$B$3005,$A67,請求記録!$X$6:$X$3005,X$5,請求記録!$AD$6:$AD$3005,"保留中")&gt;0,"保留",IF(COUNTIFS(請求記録!$B$6:$B$3005,$A67,請求記録!$X$6:$X$3005,X$5)=0,"",SUMIFS(請求記録!$AC$6:$AC$3005,請求記録!$B$6:$B$3005,$A67,請求記録!$X$6:$X$3005,X$5))))</f>
        <v/>
      </c>
      <c r="Y67" s="19">
        <f>IF($A67="","",IF(COUNTIFS(請求記録!$B$6:$B$3005,$A67,請求記録!$X$6:$X$3005,Y$5,請求記録!$AD$6:$AD$3005,"保留中")&gt;0,"保留",IF(COUNTIFS(請求記録!$B$6:$B$3005,$A67,請求記録!$X$6:$X$3005,Y$5)=0,"",SUMIFS(請求記録!$AC$6:$AC$3005,請求記録!$B$6:$B$3005,$A67,請求記録!$X$6:$X$3005,Y$5))))</f>
        <v/>
      </c>
      <c r="Z67" s="19">
        <f>IF($A67="","",IF(COUNTIFS(請求記録!$B$6:$B$3005,$A67,請求記録!$X$6:$X$3005,Z$5,請求記録!$AD$6:$AD$3005,"保留中")&gt;0,"保留",IF(COUNTIFS(請求記録!$B$6:$B$3005,$A67,請求記録!$X$6:$X$3005,Z$5)=0,"",SUMIFS(請求記録!$AC$6:$AC$3005,請求記録!$B$6:$B$3005,$A67,請求記録!$X$6:$X$3005,Z$5))))</f>
        <v/>
      </c>
      <c r="AA67" s="19">
        <f>IF($A67="","",IF(COUNTIFS(請求記録!$B$6:$B$3005,$A67,請求記録!$X$6:$X$3005,AA$5,請求記録!$AD$6:$AD$3005,"保留中")&gt;0,"保留",IF(COUNTIFS(請求記録!$B$6:$B$3005,$A67,請求記録!$X$6:$X$3005,AA$5)=0,"",SUMIFS(請求記録!$AC$6:$AC$3005,請求記録!$B$6:$B$3005,$A67,請求記録!$X$6:$X$3005,AA$5))))</f>
        <v/>
      </c>
      <c r="AB67">
        <f>IF(職員マスタ!P67="保留中",職員マスタ!M67,"")</f>
        <v/>
      </c>
    </row>
    <row r="68">
      <c r="A68">
        <f>IF(職員マスタ!A68="","",職員マスタ!A68)</f>
        <v/>
      </c>
      <c r="B68">
        <f>IF($A68="","",職員マスタ!B68)</f>
        <v/>
      </c>
      <c r="C68">
        <f>IF($A68="","",職員マスタ!C68)</f>
        <v/>
      </c>
      <c r="D68" s="19">
        <f>IF($A68="","",IF(COUNTIFS(請求記録!$B$6:$B$3005,$A68,請求記録!$X$6:$X$3005,D$5,請求記録!$AD$6:$AD$3005,"保留中")&gt;0,"保留",IF(COUNTIFS(請求記録!$B$6:$B$3005,$A68,請求記録!$X$6:$X$3005,D$5)=0,"",SUMIFS(請求記録!$AC$6:$AC$3005,請求記録!$B$6:$B$3005,$A68,請求記録!$X$6:$X$3005,D$5))))</f>
        <v/>
      </c>
      <c r="E68" s="19">
        <f>IF($A68="","",IF(COUNTIFS(請求記録!$B$6:$B$3005,$A68,請求記録!$X$6:$X$3005,E$5,請求記録!$AD$6:$AD$3005,"保留中")&gt;0,"保留",IF(COUNTIFS(請求記録!$B$6:$B$3005,$A68,請求記録!$X$6:$X$3005,E$5)=0,"",SUMIFS(請求記録!$AC$6:$AC$3005,請求記録!$B$6:$B$3005,$A68,請求記録!$X$6:$X$3005,E$5))))</f>
        <v/>
      </c>
      <c r="F68" s="19">
        <f>IF($A68="","",IF(COUNTIFS(請求記録!$B$6:$B$3005,$A68,請求記録!$X$6:$X$3005,F$5,請求記録!$AD$6:$AD$3005,"保留中")&gt;0,"保留",IF(COUNTIFS(請求記録!$B$6:$B$3005,$A68,請求記録!$X$6:$X$3005,F$5)=0,"",SUMIFS(請求記録!$AC$6:$AC$3005,請求記録!$B$6:$B$3005,$A68,請求記録!$X$6:$X$3005,F$5))))</f>
        <v/>
      </c>
      <c r="G68" s="19">
        <f>IF($A68="","",IF(COUNTIFS(請求記録!$B$6:$B$3005,$A68,請求記録!$X$6:$X$3005,G$5,請求記録!$AD$6:$AD$3005,"保留中")&gt;0,"保留",IF(COUNTIFS(請求記録!$B$6:$B$3005,$A68,請求記録!$X$6:$X$3005,G$5)=0,"",SUMIFS(請求記録!$AC$6:$AC$3005,請求記録!$B$6:$B$3005,$A68,請求記録!$X$6:$X$3005,G$5))))</f>
        <v/>
      </c>
      <c r="H68" s="19">
        <f>IF($A68="","",IF(COUNTIFS(請求記録!$B$6:$B$3005,$A68,請求記録!$X$6:$X$3005,H$5,請求記録!$AD$6:$AD$3005,"保留中")&gt;0,"保留",IF(COUNTIFS(請求記録!$B$6:$B$3005,$A68,請求記録!$X$6:$X$3005,H$5)=0,"",SUMIFS(請求記録!$AC$6:$AC$3005,請求記録!$B$6:$B$3005,$A68,請求記録!$X$6:$X$3005,H$5))))</f>
        <v/>
      </c>
      <c r="I68" s="19">
        <f>IF($A68="","",IF(COUNTIFS(請求記録!$B$6:$B$3005,$A68,請求記録!$X$6:$X$3005,I$5,請求記録!$AD$6:$AD$3005,"保留中")&gt;0,"保留",IF(COUNTIFS(請求記録!$B$6:$B$3005,$A68,請求記録!$X$6:$X$3005,I$5)=0,"",SUMIFS(請求記録!$AC$6:$AC$3005,請求記録!$B$6:$B$3005,$A68,請求記録!$X$6:$X$3005,I$5))))</f>
        <v/>
      </c>
      <c r="J68" s="19">
        <f>IF($A68="","",IF(COUNTIFS(請求記録!$B$6:$B$3005,$A68,請求記録!$X$6:$X$3005,J$5,請求記録!$AD$6:$AD$3005,"保留中")&gt;0,"保留",IF(COUNTIFS(請求記録!$B$6:$B$3005,$A68,請求記録!$X$6:$X$3005,J$5)=0,"",SUMIFS(請求記録!$AC$6:$AC$3005,請求記録!$B$6:$B$3005,$A68,請求記録!$X$6:$X$3005,J$5))))</f>
        <v/>
      </c>
      <c r="K68" s="19">
        <f>IF($A68="","",IF(COUNTIFS(請求記録!$B$6:$B$3005,$A68,請求記録!$X$6:$X$3005,K$5,請求記録!$AD$6:$AD$3005,"保留中")&gt;0,"保留",IF(COUNTIFS(請求記録!$B$6:$B$3005,$A68,請求記録!$X$6:$X$3005,K$5)=0,"",SUMIFS(請求記録!$AC$6:$AC$3005,請求記録!$B$6:$B$3005,$A68,請求記録!$X$6:$X$3005,K$5))))</f>
        <v/>
      </c>
      <c r="L68" s="19">
        <f>IF($A68="","",IF(COUNTIFS(請求記録!$B$6:$B$3005,$A68,請求記録!$X$6:$X$3005,L$5,請求記録!$AD$6:$AD$3005,"保留中")&gt;0,"保留",IF(COUNTIFS(請求記録!$B$6:$B$3005,$A68,請求記録!$X$6:$X$3005,L$5)=0,"",SUMIFS(請求記録!$AC$6:$AC$3005,請求記録!$B$6:$B$3005,$A68,請求記録!$X$6:$X$3005,L$5))))</f>
        <v/>
      </c>
      <c r="M68" s="19">
        <f>IF($A68="","",IF(COUNTIFS(請求記録!$B$6:$B$3005,$A68,請求記録!$X$6:$X$3005,M$5,請求記録!$AD$6:$AD$3005,"保留中")&gt;0,"保留",IF(COUNTIFS(請求記録!$B$6:$B$3005,$A68,請求記録!$X$6:$X$3005,M$5)=0,"",SUMIFS(請求記録!$AC$6:$AC$3005,請求記録!$B$6:$B$3005,$A68,請求記録!$X$6:$X$3005,M$5))))</f>
        <v/>
      </c>
      <c r="N68" s="19">
        <f>IF($A68="","",IF(COUNTIFS(請求記録!$B$6:$B$3005,$A68,請求記録!$X$6:$X$3005,N$5,請求記録!$AD$6:$AD$3005,"保留中")&gt;0,"保留",IF(COUNTIFS(請求記録!$B$6:$B$3005,$A68,請求記録!$X$6:$X$3005,N$5)=0,"",SUMIFS(請求記録!$AC$6:$AC$3005,請求記録!$B$6:$B$3005,$A68,請求記録!$X$6:$X$3005,N$5))))</f>
        <v/>
      </c>
      <c r="O68" s="19">
        <f>IF($A68="","",IF(COUNTIFS(請求記録!$B$6:$B$3005,$A68,請求記録!$X$6:$X$3005,O$5,請求記録!$AD$6:$AD$3005,"保留中")&gt;0,"保留",IF(COUNTIFS(請求記録!$B$6:$B$3005,$A68,請求記録!$X$6:$X$3005,O$5)=0,"",SUMIFS(請求記録!$AC$6:$AC$3005,請求記録!$B$6:$B$3005,$A68,請求記録!$X$6:$X$3005,O$5))))</f>
        <v/>
      </c>
      <c r="P68" s="19">
        <f>IF($A68="","",IF(COUNTIFS(請求記録!$B$6:$B$3005,$A68,請求記録!$X$6:$X$3005,P$5,請求記録!$AD$6:$AD$3005,"保留中")&gt;0,"保留",IF(COUNTIFS(請求記録!$B$6:$B$3005,$A68,請求記録!$X$6:$X$3005,P$5)=0,"",SUMIFS(請求記録!$AC$6:$AC$3005,請求記録!$B$6:$B$3005,$A68,請求記録!$X$6:$X$3005,P$5))))</f>
        <v/>
      </c>
      <c r="Q68" s="19">
        <f>IF($A68="","",IF(COUNTIFS(請求記録!$B$6:$B$3005,$A68,請求記録!$X$6:$X$3005,Q$5,請求記録!$AD$6:$AD$3005,"保留中")&gt;0,"保留",IF(COUNTIFS(請求記録!$B$6:$B$3005,$A68,請求記録!$X$6:$X$3005,Q$5)=0,"",SUMIFS(請求記録!$AC$6:$AC$3005,請求記録!$B$6:$B$3005,$A68,請求記録!$X$6:$X$3005,Q$5))))</f>
        <v/>
      </c>
      <c r="R68" s="19">
        <f>IF($A68="","",IF(COUNTIFS(請求記録!$B$6:$B$3005,$A68,請求記録!$X$6:$X$3005,R$5,請求記録!$AD$6:$AD$3005,"保留中")&gt;0,"保留",IF(COUNTIFS(請求記録!$B$6:$B$3005,$A68,請求記録!$X$6:$X$3005,R$5)=0,"",SUMIFS(請求記録!$AC$6:$AC$3005,請求記録!$B$6:$B$3005,$A68,請求記録!$X$6:$X$3005,R$5))))</f>
        <v/>
      </c>
      <c r="S68" s="19">
        <f>IF($A68="","",IF(COUNTIFS(請求記録!$B$6:$B$3005,$A68,請求記録!$X$6:$X$3005,S$5,請求記録!$AD$6:$AD$3005,"保留中")&gt;0,"保留",IF(COUNTIFS(請求記録!$B$6:$B$3005,$A68,請求記録!$X$6:$X$3005,S$5)=0,"",SUMIFS(請求記録!$AC$6:$AC$3005,請求記録!$B$6:$B$3005,$A68,請求記録!$X$6:$X$3005,S$5))))</f>
        <v/>
      </c>
      <c r="T68" s="19">
        <f>IF($A68="","",IF(COUNTIFS(請求記録!$B$6:$B$3005,$A68,請求記録!$X$6:$X$3005,T$5,請求記録!$AD$6:$AD$3005,"保留中")&gt;0,"保留",IF(COUNTIFS(請求記録!$B$6:$B$3005,$A68,請求記録!$X$6:$X$3005,T$5)=0,"",SUMIFS(請求記録!$AC$6:$AC$3005,請求記録!$B$6:$B$3005,$A68,請求記録!$X$6:$X$3005,T$5))))</f>
        <v/>
      </c>
      <c r="U68" s="19">
        <f>IF($A68="","",IF(COUNTIFS(請求記録!$B$6:$B$3005,$A68,請求記録!$X$6:$X$3005,U$5,請求記録!$AD$6:$AD$3005,"保留中")&gt;0,"保留",IF(COUNTIFS(請求記録!$B$6:$B$3005,$A68,請求記録!$X$6:$X$3005,U$5)=0,"",SUMIFS(請求記録!$AC$6:$AC$3005,請求記録!$B$6:$B$3005,$A68,請求記録!$X$6:$X$3005,U$5))))</f>
        <v/>
      </c>
      <c r="V68" s="19">
        <f>IF($A68="","",IF(COUNTIFS(請求記録!$B$6:$B$3005,$A68,請求記録!$X$6:$X$3005,V$5,請求記録!$AD$6:$AD$3005,"保留中")&gt;0,"保留",IF(COUNTIFS(請求記録!$B$6:$B$3005,$A68,請求記録!$X$6:$X$3005,V$5)=0,"",SUMIFS(請求記録!$AC$6:$AC$3005,請求記録!$B$6:$B$3005,$A68,請求記録!$X$6:$X$3005,V$5))))</f>
        <v/>
      </c>
      <c r="W68" s="19">
        <f>IF($A68="","",IF(COUNTIFS(請求記録!$B$6:$B$3005,$A68,請求記録!$X$6:$X$3005,W$5,請求記録!$AD$6:$AD$3005,"保留中")&gt;0,"保留",IF(COUNTIFS(請求記録!$B$6:$B$3005,$A68,請求記録!$X$6:$X$3005,W$5)=0,"",SUMIFS(請求記録!$AC$6:$AC$3005,請求記録!$B$6:$B$3005,$A68,請求記録!$X$6:$X$3005,W$5))))</f>
        <v/>
      </c>
      <c r="X68" s="19">
        <f>IF($A68="","",IF(COUNTIFS(請求記録!$B$6:$B$3005,$A68,請求記録!$X$6:$X$3005,X$5,請求記録!$AD$6:$AD$3005,"保留中")&gt;0,"保留",IF(COUNTIFS(請求記録!$B$6:$B$3005,$A68,請求記録!$X$6:$X$3005,X$5)=0,"",SUMIFS(請求記録!$AC$6:$AC$3005,請求記録!$B$6:$B$3005,$A68,請求記録!$X$6:$X$3005,X$5))))</f>
        <v/>
      </c>
      <c r="Y68" s="19">
        <f>IF($A68="","",IF(COUNTIFS(請求記録!$B$6:$B$3005,$A68,請求記録!$X$6:$X$3005,Y$5,請求記録!$AD$6:$AD$3005,"保留中")&gt;0,"保留",IF(COUNTIFS(請求記録!$B$6:$B$3005,$A68,請求記録!$X$6:$X$3005,Y$5)=0,"",SUMIFS(請求記録!$AC$6:$AC$3005,請求記録!$B$6:$B$3005,$A68,請求記録!$X$6:$X$3005,Y$5))))</f>
        <v/>
      </c>
      <c r="Z68" s="19">
        <f>IF($A68="","",IF(COUNTIFS(請求記録!$B$6:$B$3005,$A68,請求記録!$X$6:$X$3005,Z$5,請求記録!$AD$6:$AD$3005,"保留中")&gt;0,"保留",IF(COUNTIFS(請求記録!$B$6:$B$3005,$A68,請求記録!$X$6:$X$3005,Z$5)=0,"",SUMIFS(請求記録!$AC$6:$AC$3005,請求記録!$B$6:$B$3005,$A68,請求記録!$X$6:$X$3005,Z$5))))</f>
        <v/>
      </c>
      <c r="AA68" s="19">
        <f>IF($A68="","",IF(COUNTIFS(請求記録!$B$6:$B$3005,$A68,請求記録!$X$6:$X$3005,AA$5,請求記録!$AD$6:$AD$3005,"保留中")&gt;0,"保留",IF(COUNTIFS(請求記録!$B$6:$B$3005,$A68,請求記録!$X$6:$X$3005,AA$5)=0,"",SUMIFS(請求記録!$AC$6:$AC$3005,請求記録!$B$6:$B$3005,$A68,請求記録!$X$6:$X$3005,AA$5))))</f>
        <v/>
      </c>
      <c r="AB68">
        <f>IF(職員マスタ!P68="保留中",職員マスタ!M68,"")</f>
        <v/>
      </c>
    </row>
    <row r="69">
      <c r="A69">
        <f>IF(職員マスタ!A69="","",職員マスタ!A69)</f>
        <v/>
      </c>
      <c r="B69">
        <f>IF($A69="","",職員マスタ!B69)</f>
        <v/>
      </c>
      <c r="C69">
        <f>IF($A69="","",職員マスタ!C69)</f>
        <v/>
      </c>
      <c r="D69" s="19">
        <f>IF($A69="","",IF(COUNTIFS(請求記録!$B$6:$B$3005,$A69,請求記録!$X$6:$X$3005,D$5,請求記録!$AD$6:$AD$3005,"保留中")&gt;0,"保留",IF(COUNTIFS(請求記録!$B$6:$B$3005,$A69,請求記録!$X$6:$X$3005,D$5)=0,"",SUMIFS(請求記録!$AC$6:$AC$3005,請求記録!$B$6:$B$3005,$A69,請求記録!$X$6:$X$3005,D$5))))</f>
        <v/>
      </c>
      <c r="E69" s="19">
        <f>IF($A69="","",IF(COUNTIFS(請求記録!$B$6:$B$3005,$A69,請求記録!$X$6:$X$3005,E$5,請求記録!$AD$6:$AD$3005,"保留中")&gt;0,"保留",IF(COUNTIFS(請求記録!$B$6:$B$3005,$A69,請求記録!$X$6:$X$3005,E$5)=0,"",SUMIFS(請求記録!$AC$6:$AC$3005,請求記録!$B$6:$B$3005,$A69,請求記録!$X$6:$X$3005,E$5))))</f>
        <v/>
      </c>
      <c r="F69" s="19">
        <f>IF($A69="","",IF(COUNTIFS(請求記録!$B$6:$B$3005,$A69,請求記録!$X$6:$X$3005,F$5,請求記録!$AD$6:$AD$3005,"保留中")&gt;0,"保留",IF(COUNTIFS(請求記録!$B$6:$B$3005,$A69,請求記録!$X$6:$X$3005,F$5)=0,"",SUMIFS(請求記録!$AC$6:$AC$3005,請求記録!$B$6:$B$3005,$A69,請求記録!$X$6:$X$3005,F$5))))</f>
        <v/>
      </c>
      <c r="G69" s="19">
        <f>IF($A69="","",IF(COUNTIFS(請求記録!$B$6:$B$3005,$A69,請求記録!$X$6:$X$3005,G$5,請求記録!$AD$6:$AD$3005,"保留中")&gt;0,"保留",IF(COUNTIFS(請求記録!$B$6:$B$3005,$A69,請求記録!$X$6:$X$3005,G$5)=0,"",SUMIFS(請求記録!$AC$6:$AC$3005,請求記録!$B$6:$B$3005,$A69,請求記録!$X$6:$X$3005,G$5))))</f>
        <v/>
      </c>
      <c r="H69" s="19">
        <f>IF($A69="","",IF(COUNTIFS(請求記録!$B$6:$B$3005,$A69,請求記録!$X$6:$X$3005,H$5,請求記録!$AD$6:$AD$3005,"保留中")&gt;0,"保留",IF(COUNTIFS(請求記録!$B$6:$B$3005,$A69,請求記録!$X$6:$X$3005,H$5)=0,"",SUMIFS(請求記録!$AC$6:$AC$3005,請求記録!$B$6:$B$3005,$A69,請求記録!$X$6:$X$3005,H$5))))</f>
        <v/>
      </c>
      <c r="I69" s="19">
        <f>IF($A69="","",IF(COUNTIFS(請求記録!$B$6:$B$3005,$A69,請求記録!$X$6:$X$3005,I$5,請求記録!$AD$6:$AD$3005,"保留中")&gt;0,"保留",IF(COUNTIFS(請求記録!$B$6:$B$3005,$A69,請求記録!$X$6:$X$3005,I$5)=0,"",SUMIFS(請求記録!$AC$6:$AC$3005,請求記録!$B$6:$B$3005,$A69,請求記録!$X$6:$X$3005,I$5))))</f>
        <v/>
      </c>
      <c r="J69" s="19">
        <f>IF($A69="","",IF(COUNTIFS(請求記録!$B$6:$B$3005,$A69,請求記録!$X$6:$X$3005,J$5,請求記録!$AD$6:$AD$3005,"保留中")&gt;0,"保留",IF(COUNTIFS(請求記録!$B$6:$B$3005,$A69,請求記録!$X$6:$X$3005,J$5)=0,"",SUMIFS(請求記録!$AC$6:$AC$3005,請求記録!$B$6:$B$3005,$A69,請求記録!$X$6:$X$3005,J$5))))</f>
        <v/>
      </c>
      <c r="K69" s="19">
        <f>IF($A69="","",IF(COUNTIFS(請求記録!$B$6:$B$3005,$A69,請求記録!$X$6:$X$3005,K$5,請求記録!$AD$6:$AD$3005,"保留中")&gt;0,"保留",IF(COUNTIFS(請求記録!$B$6:$B$3005,$A69,請求記録!$X$6:$X$3005,K$5)=0,"",SUMIFS(請求記録!$AC$6:$AC$3005,請求記録!$B$6:$B$3005,$A69,請求記録!$X$6:$X$3005,K$5))))</f>
        <v/>
      </c>
      <c r="L69" s="19">
        <f>IF($A69="","",IF(COUNTIFS(請求記録!$B$6:$B$3005,$A69,請求記録!$X$6:$X$3005,L$5,請求記録!$AD$6:$AD$3005,"保留中")&gt;0,"保留",IF(COUNTIFS(請求記録!$B$6:$B$3005,$A69,請求記録!$X$6:$X$3005,L$5)=0,"",SUMIFS(請求記録!$AC$6:$AC$3005,請求記録!$B$6:$B$3005,$A69,請求記録!$X$6:$X$3005,L$5))))</f>
        <v/>
      </c>
      <c r="M69" s="19">
        <f>IF($A69="","",IF(COUNTIFS(請求記録!$B$6:$B$3005,$A69,請求記録!$X$6:$X$3005,M$5,請求記録!$AD$6:$AD$3005,"保留中")&gt;0,"保留",IF(COUNTIFS(請求記録!$B$6:$B$3005,$A69,請求記録!$X$6:$X$3005,M$5)=0,"",SUMIFS(請求記録!$AC$6:$AC$3005,請求記録!$B$6:$B$3005,$A69,請求記録!$X$6:$X$3005,M$5))))</f>
        <v/>
      </c>
      <c r="N69" s="19">
        <f>IF($A69="","",IF(COUNTIFS(請求記録!$B$6:$B$3005,$A69,請求記録!$X$6:$X$3005,N$5,請求記録!$AD$6:$AD$3005,"保留中")&gt;0,"保留",IF(COUNTIFS(請求記録!$B$6:$B$3005,$A69,請求記録!$X$6:$X$3005,N$5)=0,"",SUMIFS(請求記録!$AC$6:$AC$3005,請求記録!$B$6:$B$3005,$A69,請求記録!$X$6:$X$3005,N$5))))</f>
        <v/>
      </c>
      <c r="O69" s="19">
        <f>IF($A69="","",IF(COUNTIFS(請求記録!$B$6:$B$3005,$A69,請求記録!$X$6:$X$3005,O$5,請求記録!$AD$6:$AD$3005,"保留中")&gt;0,"保留",IF(COUNTIFS(請求記録!$B$6:$B$3005,$A69,請求記録!$X$6:$X$3005,O$5)=0,"",SUMIFS(請求記録!$AC$6:$AC$3005,請求記録!$B$6:$B$3005,$A69,請求記録!$X$6:$X$3005,O$5))))</f>
        <v/>
      </c>
      <c r="P69" s="19">
        <f>IF($A69="","",IF(COUNTIFS(請求記録!$B$6:$B$3005,$A69,請求記録!$X$6:$X$3005,P$5,請求記録!$AD$6:$AD$3005,"保留中")&gt;0,"保留",IF(COUNTIFS(請求記録!$B$6:$B$3005,$A69,請求記録!$X$6:$X$3005,P$5)=0,"",SUMIFS(請求記録!$AC$6:$AC$3005,請求記録!$B$6:$B$3005,$A69,請求記録!$X$6:$X$3005,P$5))))</f>
        <v/>
      </c>
      <c r="Q69" s="19">
        <f>IF($A69="","",IF(COUNTIFS(請求記録!$B$6:$B$3005,$A69,請求記録!$X$6:$X$3005,Q$5,請求記録!$AD$6:$AD$3005,"保留中")&gt;0,"保留",IF(COUNTIFS(請求記録!$B$6:$B$3005,$A69,請求記録!$X$6:$X$3005,Q$5)=0,"",SUMIFS(請求記録!$AC$6:$AC$3005,請求記録!$B$6:$B$3005,$A69,請求記録!$X$6:$X$3005,Q$5))))</f>
        <v/>
      </c>
      <c r="R69" s="19">
        <f>IF($A69="","",IF(COUNTIFS(請求記録!$B$6:$B$3005,$A69,請求記録!$X$6:$X$3005,R$5,請求記録!$AD$6:$AD$3005,"保留中")&gt;0,"保留",IF(COUNTIFS(請求記録!$B$6:$B$3005,$A69,請求記録!$X$6:$X$3005,R$5)=0,"",SUMIFS(請求記録!$AC$6:$AC$3005,請求記録!$B$6:$B$3005,$A69,請求記録!$X$6:$X$3005,R$5))))</f>
        <v/>
      </c>
      <c r="S69" s="19">
        <f>IF($A69="","",IF(COUNTIFS(請求記録!$B$6:$B$3005,$A69,請求記録!$X$6:$X$3005,S$5,請求記録!$AD$6:$AD$3005,"保留中")&gt;0,"保留",IF(COUNTIFS(請求記録!$B$6:$B$3005,$A69,請求記録!$X$6:$X$3005,S$5)=0,"",SUMIFS(請求記録!$AC$6:$AC$3005,請求記録!$B$6:$B$3005,$A69,請求記録!$X$6:$X$3005,S$5))))</f>
        <v/>
      </c>
      <c r="T69" s="19">
        <f>IF($A69="","",IF(COUNTIFS(請求記録!$B$6:$B$3005,$A69,請求記録!$X$6:$X$3005,T$5,請求記録!$AD$6:$AD$3005,"保留中")&gt;0,"保留",IF(COUNTIFS(請求記録!$B$6:$B$3005,$A69,請求記録!$X$6:$X$3005,T$5)=0,"",SUMIFS(請求記録!$AC$6:$AC$3005,請求記録!$B$6:$B$3005,$A69,請求記録!$X$6:$X$3005,T$5))))</f>
        <v/>
      </c>
      <c r="U69" s="19">
        <f>IF($A69="","",IF(COUNTIFS(請求記録!$B$6:$B$3005,$A69,請求記録!$X$6:$X$3005,U$5,請求記録!$AD$6:$AD$3005,"保留中")&gt;0,"保留",IF(COUNTIFS(請求記録!$B$6:$B$3005,$A69,請求記録!$X$6:$X$3005,U$5)=0,"",SUMIFS(請求記録!$AC$6:$AC$3005,請求記録!$B$6:$B$3005,$A69,請求記録!$X$6:$X$3005,U$5))))</f>
        <v/>
      </c>
      <c r="V69" s="19">
        <f>IF($A69="","",IF(COUNTIFS(請求記録!$B$6:$B$3005,$A69,請求記録!$X$6:$X$3005,V$5,請求記録!$AD$6:$AD$3005,"保留中")&gt;0,"保留",IF(COUNTIFS(請求記録!$B$6:$B$3005,$A69,請求記録!$X$6:$X$3005,V$5)=0,"",SUMIFS(請求記録!$AC$6:$AC$3005,請求記録!$B$6:$B$3005,$A69,請求記録!$X$6:$X$3005,V$5))))</f>
        <v/>
      </c>
      <c r="W69" s="19">
        <f>IF($A69="","",IF(COUNTIFS(請求記録!$B$6:$B$3005,$A69,請求記録!$X$6:$X$3005,W$5,請求記録!$AD$6:$AD$3005,"保留中")&gt;0,"保留",IF(COUNTIFS(請求記録!$B$6:$B$3005,$A69,請求記録!$X$6:$X$3005,W$5)=0,"",SUMIFS(請求記録!$AC$6:$AC$3005,請求記録!$B$6:$B$3005,$A69,請求記録!$X$6:$X$3005,W$5))))</f>
        <v/>
      </c>
      <c r="X69" s="19">
        <f>IF($A69="","",IF(COUNTIFS(請求記録!$B$6:$B$3005,$A69,請求記録!$X$6:$X$3005,X$5,請求記録!$AD$6:$AD$3005,"保留中")&gt;0,"保留",IF(COUNTIFS(請求記録!$B$6:$B$3005,$A69,請求記録!$X$6:$X$3005,X$5)=0,"",SUMIFS(請求記録!$AC$6:$AC$3005,請求記録!$B$6:$B$3005,$A69,請求記録!$X$6:$X$3005,X$5))))</f>
        <v/>
      </c>
      <c r="Y69" s="19">
        <f>IF($A69="","",IF(COUNTIFS(請求記録!$B$6:$B$3005,$A69,請求記録!$X$6:$X$3005,Y$5,請求記録!$AD$6:$AD$3005,"保留中")&gt;0,"保留",IF(COUNTIFS(請求記録!$B$6:$B$3005,$A69,請求記録!$X$6:$X$3005,Y$5)=0,"",SUMIFS(請求記録!$AC$6:$AC$3005,請求記録!$B$6:$B$3005,$A69,請求記録!$X$6:$X$3005,Y$5))))</f>
        <v/>
      </c>
      <c r="Z69" s="19">
        <f>IF($A69="","",IF(COUNTIFS(請求記録!$B$6:$B$3005,$A69,請求記録!$X$6:$X$3005,Z$5,請求記録!$AD$6:$AD$3005,"保留中")&gt;0,"保留",IF(COUNTIFS(請求記録!$B$6:$B$3005,$A69,請求記録!$X$6:$X$3005,Z$5)=0,"",SUMIFS(請求記録!$AC$6:$AC$3005,請求記録!$B$6:$B$3005,$A69,請求記録!$X$6:$X$3005,Z$5))))</f>
        <v/>
      </c>
      <c r="AA69" s="19">
        <f>IF($A69="","",IF(COUNTIFS(請求記録!$B$6:$B$3005,$A69,請求記録!$X$6:$X$3005,AA$5,請求記録!$AD$6:$AD$3005,"保留中")&gt;0,"保留",IF(COUNTIFS(請求記録!$B$6:$B$3005,$A69,請求記録!$X$6:$X$3005,AA$5)=0,"",SUMIFS(請求記録!$AC$6:$AC$3005,請求記録!$B$6:$B$3005,$A69,請求記録!$X$6:$X$3005,AA$5))))</f>
        <v/>
      </c>
      <c r="AB69">
        <f>IF(職員マスタ!P69="保留中",職員マスタ!M69,"")</f>
        <v/>
      </c>
    </row>
    <row r="70">
      <c r="A70">
        <f>IF(職員マスタ!A70="","",職員マスタ!A70)</f>
        <v/>
      </c>
      <c r="B70">
        <f>IF($A70="","",職員マスタ!B70)</f>
        <v/>
      </c>
      <c r="C70">
        <f>IF($A70="","",職員マスタ!C70)</f>
        <v/>
      </c>
      <c r="D70" s="19">
        <f>IF($A70="","",IF(COUNTIFS(請求記録!$B$6:$B$3005,$A70,請求記録!$X$6:$X$3005,D$5,請求記録!$AD$6:$AD$3005,"保留中")&gt;0,"保留",IF(COUNTIFS(請求記録!$B$6:$B$3005,$A70,請求記録!$X$6:$X$3005,D$5)=0,"",SUMIFS(請求記録!$AC$6:$AC$3005,請求記録!$B$6:$B$3005,$A70,請求記録!$X$6:$X$3005,D$5))))</f>
        <v/>
      </c>
      <c r="E70" s="19">
        <f>IF($A70="","",IF(COUNTIFS(請求記録!$B$6:$B$3005,$A70,請求記録!$X$6:$X$3005,E$5,請求記録!$AD$6:$AD$3005,"保留中")&gt;0,"保留",IF(COUNTIFS(請求記録!$B$6:$B$3005,$A70,請求記録!$X$6:$X$3005,E$5)=0,"",SUMIFS(請求記録!$AC$6:$AC$3005,請求記録!$B$6:$B$3005,$A70,請求記録!$X$6:$X$3005,E$5))))</f>
        <v/>
      </c>
      <c r="F70" s="19">
        <f>IF($A70="","",IF(COUNTIFS(請求記録!$B$6:$B$3005,$A70,請求記録!$X$6:$X$3005,F$5,請求記録!$AD$6:$AD$3005,"保留中")&gt;0,"保留",IF(COUNTIFS(請求記録!$B$6:$B$3005,$A70,請求記録!$X$6:$X$3005,F$5)=0,"",SUMIFS(請求記録!$AC$6:$AC$3005,請求記録!$B$6:$B$3005,$A70,請求記録!$X$6:$X$3005,F$5))))</f>
        <v/>
      </c>
      <c r="G70" s="19">
        <f>IF($A70="","",IF(COUNTIFS(請求記録!$B$6:$B$3005,$A70,請求記録!$X$6:$X$3005,G$5,請求記録!$AD$6:$AD$3005,"保留中")&gt;0,"保留",IF(COUNTIFS(請求記録!$B$6:$B$3005,$A70,請求記録!$X$6:$X$3005,G$5)=0,"",SUMIFS(請求記録!$AC$6:$AC$3005,請求記録!$B$6:$B$3005,$A70,請求記録!$X$6:$X$3005,G$5))))</f>
        <v/>
      </c>
      <c r="H70" s="19">
        <f>IF($A70="","",IF(COUNTIFS(請求記録!$B$6:$B$3005,$A70,請求記録!$X$6:$X$3005,H$5,請求記録!$AD$6:$AD$3005,"保留中")&gt;0,"保留",IF(COUNTIFS(請求記録!$B$6:$B$3005,$A70,請求記録!$X$6:$X$3005,H$5)=0,"",SUMIFS(請求記録!$AC$6:$AC$3005,請求記録!$B$6:$B$3005,$A70,請求記録!$X$6:$X$3005,H$5))))</f>
        <v/>
      </c>
      <c r="I70" s="19">
        <f>IF($A70="","",IF(COUNTIFS(請求記録!$B$6:$B$3005,$A70,請求記録!$X$6:$X$3005,I$5,請求記録!$AD$6:$AD$3005,"保留中")&gt;0,"保留",IF(COUNTIFS(請求記録!$B$6:$B$3005,$A70,請求記録!$X$6:$X$3005,I$5)=0,"",SUMIFS(請求記録!$AC$6:$AC$3005,請求記録!$B$6:$B$3005,$A70,請求記録!$X$6:$X$3005,I$5))))</f>
        <v/>
      </c>
      <c r="J70" s="19">
        <f>IF($A70="","",IF(COUNTIFS(請求記録!$B$6:$B$3005,$A70,請求記録!$X$6:$X$3005,J$5,請求記録!$AD$6:$AD$3005,"保留中")&gt;0,"保留",IF(COUNTIFS(請求記録!$B$6:$B$3005,$A70,請求記録!$X$6:$X$3005,J$5)=0,"",SUMIFS(請求記録!$AC$6:$AC$3005,請求記録!$B$6:$B$3005,$A70,請求記録!$X$6:$X$3005,J$5))))</f>
        <v/>
      </c>
      <c r="K70" s="19">
        <f>IF($A70="","",IF(COUNTIFS(請求記録!$B$6:$B$3005,$A70,請求記録!$X$6:$X$3005,K$5,請求記録!$AD$6:$AD$3005,"保留中")&gt;0,"保留",IF(COUNTIFS(請求記録!$B$6:$B$3005,$A70,請求記録!$X$6:$X$3005,K$5)=0,"",SUMIFS(請求記録!$AC$6:$AC$3005,請求記録!$B$6:$B$3005,$A70,請求記録!$X$6:$X$3005,K$5))))</f>
        <v/>
      </c>
      <c r="L70" s="19">
        <f>IF($A70="","",IF(COUNTIFS(請求記録!$B$6:$B$3005,$A70,請求記録!$X$6:$X$3005,L$5,請求記録!$AD$6:$AD$3005,"保留中")&gt;0,"保留",IF(COUNTIFS(請求記録!$B$6:$B$3005,$A70,請求記録!$X$6:$X$3005,L$5)=0,"",SUMIFS(請求記録!$AC$6:$AC$3005,請求記録!$B$6:$B$3005,$A70,請求記録!$X$6:$X$3005,L$5))))</f>
        <v/>
      </c>
      <c r="M70" s="19">
        <f>IF($A70="","",IF(COUNTIFS(請求記録!$B$6:$B$3005,$A70,請求記録!$X$6:$X$3005,M$5,請求記録!$AD$6:$AD$3005,"保留中")&gt;0,"保留",IF(COUNTIFS(請求記録!$B$6:$B$3005,$A70,請求記録!$X$6:$X$3005,M$5)=0,"",SUMIFS(請求記録!$AC$6:$AC$3005,請求記録!$B$6:$B$3005,$A70,請求記録!$X$6:$X$3005,M$5))))</f>
        <v/>
      </c>
      <c r="N70" s="19">
        <f>IF($A70="","",IF(COUNTIFS(請求記録!$B$6:$B$3005,$A70,請求記録!$X$6:$X$3005,N$5,請求記録!$AD$6:$AD$3005,"保留中")&gt;0,"保留",IF(COUNTIFS(請求記録!$B$6:$B$3005,$A70,請求記録!$X$6:$X$3005,N$5)=0,"",SUMIFS(請求記録!$AC$6:$AC$3005,請求記録!$B$6:$B$3005,$A70,請求記録!$X$6:$X$3005,N$5))))</f>
        <v/>
      </c>
      <c r="O70" s="19">
        <f>IF($A70="","",IF(COUNTIFS(請求記録!$B$6:$B$3005,$A70,請求記録!$X$6:$X$3005,O$5,請求記録!$AD$6:$AD$3005,"保留中")&gt;0,"保留",IF(COUNTIFS(請求記録!$B$6:$B$3005,$A70,請求記録!$X$6:$X$3005,O$5)=0,"",SUMIFS(請求記録!$AC$6:$AC$3005,請求記録!$B$6:$B$3005,$A70,請求記録!$X$6:$X$3005,O$5))))</f>
        <v/>
      </c>
      <c r="P70" s="19">
        <f>IF($A70="","",IF(COUNTIFS(請求記録!$B$6:$B$3005,$A70,請求記録!$X$6:$X$3005,P$5,請求記録!$AD$6:$AD$3005,"保留中")&gt;0,"保留",IF(COUNTIFS(請求記録!$B$6:$B$3005,$A70,請求記録!$X$6:$X$3005,P$5)=0,"",SUMIFS(請求記録!$AC$6:$AC$3005,請求記録!$B$6:$B$3005,$A70,請求記録!$X$6:$X$3005,P$5))))</f>
        <v/>
      </c>
      <c r="Q70" s="19">
        <f>IF($A70="","",IF(COUNTIFS(請求記録!$B$6:$B$3005,$A70,請求記録!$X$6:$X$3005,Q$5,請求記録!$AD$6:$AD$3005,"保留中")&gt;0,"保留",IF(COUNTIFS(請求記録!$B$6:$B$3005,$A70,請求記録!$X$6:$X$3005,Q$5)=0,"",SUMIFS(請求記録!$AC$6:$AC$3005,請求記録!$B$6:$B$3005,$A70,請求記録!$X$6:$X$3005,Q$5))))</f>
        <v/>
      </c>
      <c r="R70" s="19">
        <f>IF($A70="","",IF(COUNTIFS(請求記録!$B$6:$B$3005,$A70,請求記録!$X$6:$X$3005,R$5,請求記録!$AD$6:$AD$3005,"保留中")&gt;0,"保留",IF(COUNTIFS(請求記録!$B$6:$B$3005,$A70,請求記録!$X$6:$X$3005,R$5)=0,"",SUMIFS(請求記録!$AC$6:$AC$3005,請求記録!$B$6:$B$3005,$A70,請求記録!$X$6:$X$3005,R$5))))</f>
        <v/>
      </c>
      <c r="S70" s="19">
        <f>IF($A70="","",IF(COUNTIFS(請求記録!$B$6:$B$3005,$A70,請求記録!$X$6:$X$3005,S$5,請求記録!$AD$6:$AD$3005,"保留中")&gt;0,"保留",IF(COUNTIFS(請求記録!$B$6:$B$3005,$A70,請求記録!$X$6:$X$3005,S$5)=0,"",SUMIFS(請求記録!$AC$6:$AC$3005,請求記録!$B$6:$B$3005,$A70,請求記録!$X$6:$X$3005,S$5))))</f>
        <v/>
      </c>
      <c r="T70" s="19">
        <f>IF($A70="","",IF(COUNTIFS(請求記録!$B$6:$B$3005,$A70,請求記録!$X$6:$X$3005,T$5,請求記録!$AD$6:$AD$3005,"保留中")&gt;0,"保留",IF(COUNTIFS(請求記録!$B$6:$B$3005,$A70,請求記録!$X$6:$X$3005,T$5)=0,"",SUMIFS(請求記録!$AC$6:$AC$3005,請求記録!$B$6:$B$3005,$A70,請求記録!$X$6:$X$3005,T$5))))</f>
        <v/>
      </c>
      <c r="U70" s="19">
        <f>IF($A70="","",IF(COUNTIFS(請求記録!$B$6:$B$3005,$A70,請求記録!$X$6:$X$3005,U$5,請求記録!$AD$6:$AD$3005,"保留中")&gt;0,"保留",IF(COUNTIFS(請求記録!$B$6:$B$3005,$A70,請求記録!$X$6:$X$3005,U$5)=0,"",SUMIFS(請求記録!$AC$6:$AC$3005,請求記録!$B$6:$B$3005,$A70,請求記録!$X$6:$X$3005,U$5))))</f>
        <v/>
      </c>
      <c r="V70" s="19">
        <f>IF($A70="","",IF(COUNTIFS(請求記録!$B$6:$B$3005,$A70,請求記録!$X$6:$X$3005,V$5,請求記録!$AD$6:$AD$3005,"保留中")&gt;0,"保留",IF(COUNTIFS(請求記録!$B$6:$B$3005,$A70,請求記録!$X$6:$X$3005,V$5)=0,"",SUMIFS(請求記録!$AC$6:$AC$3005,請求記録!$B$6:$B$3005,$A70,請求記録!$X$6:$X$3005,V$5))))</f>
        <v/>
      </c>
      <c r="W70" s="19">
        <f>IF($A70="","",IF(COUNTIFS(請求記録!$B$6:$B$3005,$A70,請求記録!$X$6:$X$3005,W$5,請求記録!$AD$6:$AD$3005,"保留中")&gt;0,"保留",IF(COUNTIFS(請求記録!$B$6:$B$3005,$A70,請求記録!$X$6:$X$3005,W$5)=0,"",SUMIFS(請求記録!$AC$6:$AC$3005,請求記録!$B$6:$B$3005,$A70,請求記録!$X$6:$X$3005,W$5))))</f>
        <v/>
      </c>
      <c r="X70" s="19">
        <f>IF($A70="","",IF(COUNTIFS(請求記録!$B$6:$B$3005,$A70,請求記録!$X$6:$X$3005,X$5,請求記録!$AD$6:$AD$3005,"保留中")&gt;0,"保留",IF(COUNTIFS(請求記録!$B$6:$B$3005,$A70,請求記録!$X$6:$X$3005,X$5)=0,"",SUMIFS(請求記録!$AC$6:$AC$3005,請求記録!$B$6:$B$3005,$A70,請求記録!$X$6:$X$3005,X$5))))</f>
        <v/>
      </c>
      <c r="Y70" s="19">
        <f>IF($A70="","",IF(COUNTIFS(請求記録!$B$6:$B$3005,$A70,請求記録!$X$6:$X$3005,Y$5,請求記録!$AD$6:$AD$3005,"保留中")&gt;0,"保留",IF(COUNTIFS(請求記録!$B$6:$B$3005,$A70,請求記録!$X$6:$X$3005,Y$5)=0,"",SUMIFS(請求記録!$AC$6:$AC$3005,請求記録!$B$6:$B$3005,$A70,請求記録!$X$6:$X$3005,Y$5))))</f>
        <v/>
      </c>
      <c r="Z70" s="19">
        <f>IF($A70="","",IF(COUNTIFS(請求記録!$B$6:$B$3005,$A70,請求記録!$X$6:$X$3005,Z$5,請求記録!$AD$6:$AD$3005,"保留中")&gt;0,"保留",IF(COUNTIFS(請求記録!$B$6:$B$3005,$A70,請求記録!$X$6:$X$3005,Z$5)=0,"",SUMIFS(請求記録!$AC$6:$AC$3005,請求記録!$B$6:$B$3005,$A70,請求記録!$X$6:$X$3005,Z$5))))</f>
        <v/>
      </c>
      <c r="AA70" s="19">
        <f>IF($A70="","",IF(COUNTIFS(請求記録!$B$6:$B$3005,$A70,請求記録!$X$6:$X$3005,AA$5,請求記録!$AD$6:$AD$3005,"保留中")&gt;0,"保留",IF(COUNTIFS(請求記録!$B$6:$B$3005,$A70,請求記録!$X$6:$X$3005,AA$5)=0,"",SUMIFS(請求記録!$AC$6:$AC$3005,請求記録!$B$6:$B$3005,$A70,請求記録!$X$6:$X$3005,AA$5))))</f>
        <v/>
      </c>
      <c r="AB70">
        <f>IF(職員マスタ!P70="保留中",職員マスタ!M70,"")</f>
        <v/>
      </c>
    </row>
    <row r="71">
      <c r="A71">
        <f>IF(職員マスタ!A71="","",職員マスタ!A71)</f>
        <v/>
      </c>
      <c r="B71">
        <f>IF($A71="","",職員マスタ!B71)</f>
        <v/>
      </c>
      <c r="C71">
        <f>IF($A71="","",職員マスタ!C71)</f>
        <v/>
      </c>
      <c r="D71" s="19">
        <f>IF($A71="","",IF(COUNTIFS(請求記録!$B$6:$B$3005,$A71,請求記録!$X$6:$X$3005,D$5,請求記録!$AD$6:$AD$3005,"保留中")&gt;0,"保留",IF(COUNTIFS(請求記録!$B$6:$B$3005,$A71,請求記録!$X$6:$X$3005,D$5)=0,"",SUMIFS(請求記録!$AC$6:$AC$3005,請求記録!$B$6:$B$3005,$A71,請求記録!$X$6:$X$3005,D$5))))</f>
        <v/>
      </c>
      <c r="E71" s="19">
        <f>IF($A71="","",IF(COUNTIFS(請求記録!$B$6:$B$3005,$A71,請求記録!$X$6:$X$3005,E$5,請求記録!$AD$6:$AD$3005,"保留中")&gt;0,"保留",IF(COUNTIFS(請求記録!$B$6:$B$3005,$A71,請求記録!$X$6:$X$3005,E$5)=0,"",SUMIFS(請求記録!$AC$6:$AC$3005,請求記録!$B$6:$B$3005,$A71,請求記録!$X$6:$X$3005,E$5))))</f>
        <v/>
      </c>
      <c r="F71" s="19">
        <f>IF($A71="","",IF(COUNTIFS(請求記録!$B$6:$B$3005,$A71,請求記録!$X$6:$X$3005,F$5,請求記録!$AD$6:$AD$3005,"保留中")&gt;0,"保留",IF(COUNTIFS(請求記録!$B$6:$B$3005,$A71,請求記録!$X$6:$X$3005,F$5)=0,"",SUMIFS(請求記録!$AC$6:$AC$3005,請求記録!$B$6:$B$3005,$A71,請求記録!$X$6:$X$3005,F$5))))</f>
        <v/>
      </c>
      <c r="G71" s="19">
        <f>IF($A71="","",IF(COUNTIFS(請求記録!$B$6:$B$3005,$A71,請求記録!$X$6:$X$3005,G$5,請求記録!$AD$6:$AD$3005,"保留中")&gt;0,"保留",IF(COUNTIFS(請求記録!$B$6:$B$3005,$A71,請求記録!$X$6:$X$3005,G$5)=0,"",SUMIFS(請求記録!$AC$6:$AC$3005,請求記録!$B$6:$B$3005,$A71,請求記録!$X$6:$X$3005,G$5))))</f>
        <v/>
      </c>
      <c r="H71" s="19">
        <f>IF($A71="","",IF(COUNTIFS(請求記録!$B$6:$B$3005,$A71,請求記録!$X$6:$X$3005,H$5,請求記録!$AD$6:$AD$3005,"保留中")&gt;0,"保留",IF(COUNTIFS(請求記録!$B$6:$B$3005,$A71,請求記録!$X$6:$X$3005,H$5)=0,"",SUMIFS(請求記録!$AC$6:$AC$3005,請求記録!$B$6:$B$3005,$A71,請求記録!$X$6:$X$3005,H$5))))</f>
        <v/>
      </c>
      <c r="I71" s="19">
        <f>IF($A71="","",IF(COUNTIFS(請求記録!$B$6:$B$3005,$A71,請求記録!$X$6:$X$3005,I$5,請求記録!$AD$6:$AD$3005,"保留中")&gt;0,"保留",IF(COUNTIFS(請求記録!$B$6:$B$3005,$A71,請求記録!$X$6:$X$3005,I$5)=0,"",SUMIFS(請求記録!$AC$6:$AC$3005,請求記録!$B$6:$B$3005,$A71,請求記録!$X$6:$X$3005,I$5))))</f>
        <v/>
      </c>
      <c r="J71" s="19">
        <f>IF($A71="","",IF(COUNTIFS(請求記録!$B$6:$B$3005,$A71,請求記録!$X$6:$X$3005,J$5,請求記録!$AD$6:$AD$3005,"保留中")&gt;0,"保留",IF(COUNTIFS(請求記録!$B$6:$B$3005,$A71,請求記録!$X$6:$X$3005,J$5)=0,"",SUMIFS(請求記録!$AC$6:$AC$3005,請求記録!$B$6:$B$3005,$A71,請求記録!$X$6:$X$3005,J$5))))</f>
        <v/>
      </c>
      <c r="K71" s="19">
        <f>IF($A71="","",IF(COUNTIFS(請求記録!$B$6:$B$3005,$A71,請求記録!$X$6:$X$3005,K$5,請求記録!$AD$6:$AD$3005,"保留中")&gt;0,"保留",IF(COUNTIFS(請求記録!$B$6:$B$3005,$A71,請求記録!$X$6:$X$3005,K$5)=0,"",SUMIFS(請求記録!$AC$6:$AC$3005,請求記録!$B$6:$B$3005,$A71,請求記録!$X$6:$X$3005,K$5))))</f>
        <v/>
      </c>
      <c r="L71" s="19">
        <f>IF($A71="","",IF(COUNTIFS(請求記録!$B$6:$B$3005,$A71,請求記録!$X$6:$X$3005,L$5,請求記録!$AD$6:$AD$3005,"保留中")&gt;0,"保留",IF(COUNTIFS(請求記録!$B$6:$B$3005,$A71,請求記録!$X$6:$X$3005,L$5)=0,"",SUMIFS(請求記録!$AC$6:$AC$3005,請求記録!$B$6:$B$3005,$A71,請求記録!$X$6:$X$3005,L$5))))</f>
        <v/>
      </c>
      <c r="M71" s="19">
        <f>IF($A71="","",IF(COUNTIFS(請求記録!$B$6:$B$3005,$A71,請求記録!$X$6:$X$3005,M$5,請求記録!$AD$6:$AD$3005,"保留中")&gt;0,"保留",IF(COUNTIFS(請求記録!$B$6:$B$3005,$A71,請求記録!$X$6:$X$3005,M$5)=0,"",SUMIFS(請求記録!$AC$6:$AC$3005,請求記録!$B$6:$B$3005,$A71,請求記録!$X$6:$X$3005,M$5))))</f>
        <v/>
      </c>
      <c r="N71" s="19">
        <f>IF($A71="","",IF(COUNTIFS(請求記録!$B$6:$B$3005,$A71,請求記録!$X$6:$X$3005,N$5,請求記録!$AD$6:$AD$3005,"保留中")&gt;0,"保留",IF(COUNTIFS(請求記録!$B$6:$B$3005,$A71,請求記録!$X$6:$X$3005,N$5)=0,"",SUMIFS(請求記録!$AC$6:$AC$3005,請求記録!$B$6:$B$3005,$A71,請求記録!$X$6:$X$3005,N$5))))</f>
        <v/>
      </c>
      <c r="O71" s="19">
        <f>IF($A71="","",IF(COUNTIFS(請求記録!$B$6:$B$3005,$A71,請求記録!$X$6:$X$3005,O$5,請求記録!$AD$6:$AD$3005,"保留中")&gt;0,"保留",IF(COUNTIFS(請求記録!$B$6:$B$3005,$A71,請求記録!$X$6:$X$3005,O$5)=0,"",SUMIFS(請求記録!$AC$6:$AC$3005,請求記録!$B$6:$B$3005,$A71,請求記録!$X$6:$X$3005,O$5))))</f>
        <v/>
      </c>
      <c r="P71" s="19">
        <f>IF($A71="","",IF(COUNTIFS(請求記録!$B$6:$B$3005,$A71,請求記録!$X$6:$X$3005,P$5,請求記録!$AD$6:$AD$3005,"保留中")&gt;0,"保留",IF(COUNTIFS(請求記録!$B$6:$B$3005,$A71,請求記録!$X$6:$X$3005,P$5)=0,"",SUMIFS(請求記録!$AC$6:$AC$3005,請求記録!$B$6:$B$3005,$A71,請求記録!$X$6:$X$3005,P$5))))</f>
        <v/>
      </c>
      <c r="Q71" s="19">
        <f>IF($A71="","",IF(COUNTIFS(請求記録!$B$6:$B$3005,$A71,請求記録!$X$6:$X$3005,Q$5,請求記録!$AD$6:$AD$3005,"保留中")&gt;0,"保留",IF(COUNTIFS(請求記録!$B$6:$B$3005,$A71,請求記録!$X$6:$X$3005,Q$5)=0,"",SUMIFS(請求記録!$AC$6:$AC$3005,請求記録!$B$6:$B$3005,$A71,請求記録!$X$6:$X$3005,Q$5))))</f>
        <v/>
      </c>
      <c r="R71" s="19">
        <f>IF($A71="","",IF(COUNTIFS(請求記録!$B$6:$B$3005,$A71,請求記録!$X$6:$X$3005,R$5,請求記録!$AD$6:$AD$3005,"保留中")&gt;0,"保留",IF(COUNTIFS(請求記録!$B$6:$B$3005,$A71,請求記録!$X$6:$X$3005,R$5)=0,"",SUMIFS(請求記録!$AC$6:$AC$3005,請求記録!$B$6:$B$3005,$A71,請求記録!$X$6:$X$3005,R$5))))</f>
        <v/>
      </c>
      <c r="S71" s="19">
        <f>IF($A71="","",IF(COUNTIFS(請求記録!$B$6:$B$3005,$A71,請求記録!$X$6:$X$3005,S$5,請求記録!$AD$6:$AD$3005,"保留中")&gt;0,"保留",IF(COUNTIFS(請求記録!$B$6:$B$3005,$A71,請求記録!$X$6:$X$3005,S$5)=0,"",SUMIFS(請求記録!$AC$6:$AC$3005,請求記録!$B$6:$B$3005,$A71,請求記録!$X$6:$X$3005,S$5))))</f>
        <v/>
      </c>
      <c r="T71" s="19">
        <f>IF($A71="","",IF(COUNTIFS(請求記録!$B$6:$B$3005,$A71,請求記録!$X$6:$X$3005,T$5,請求記録!$AD$6:$AD$3005,"保留中")&gt;0,"保留",IF(COUNTIFS(請求記録!$B$6:$B$3005,$A71,請求記録!$X$6:$X$3005,T$5)=0,"",SUMIFS(請求記録!$AC$6:$AC$3005,請求記録!$B$6:$B$3005,$A71,請求記録!$X$6:$X$3005,T$5))))</f>
        <v/>
      </c>
      <c r="U71" s="19">
        <f>IF($A71="","",IF(COUNTIFS(請求記録!$B$6:$B$3005,$A71,請求記録!$X$6:$X$3005,U$5,請求記録!$AD$6:$AD$3005,"保留中")&gt;0,"保留",IF(COUNTIFS(請求記録!$B$6:$B$3005,$A71,請求記録!$X$6:$X$3005,U$5)=0,"",SUMIFS(請求記録!$AC$6:$AC$3005,請求記録!$B$6:$B$3005,$A71,請求記録!$X$6:$X$3005,U$5))))</f>
        <v/>
      </c>
      <c r="V71" s="19">
        <f>IF($A71="","",IF(COUNTIFS(請求記録!$B$6:$B$3005,$A71,請求記録!$X$6:$X$3005,V$5,請求記録!$AD$6:$AD$3005,"保留中")&gt;0,"保留",IF(COUNTIFS(請求記録!$B$6:$B$3005,$A71,請求記録!$X$6:$X$3005,V$5)=0,"",SUMIFS(請求記録!$AC$6:$AC$3005,請求記録!$B$6:$B$3005,$A71,請求記録!$X$6:$X$3005,V$5))))</f>
        <v/>
      </c>
      <c r="W71" s="19">
        <f>IF($A71="","",IF(COUNTIFS(請求記録!$B$6:$B$3005,$A71,請求記録!$X$6:$X$3005,W$5,請求記録!$AD$6:$AD$3005,"保留中")&gt;0,"保留",IF(COUNTIFS(請求記録!$B$6:$B$3005,$A71,請求記録!$X$6:$X$3005,W$5)=0,"",SUMIFS(請求記録!$AC$6:$AC$3005,請求記録!$B$6:$B$3005,$A71,請求記録!$X$6:$X$3005,W$5))))</f>
        <v/>
      </c>
      <c r="X71" s="19">
        <f>IF($A71="","",IF(COUNTIFS(請求記録!$B$6:$B$3005,$A71,請求記録!$X$6:$X$3005,X$5,請求記録!$AD$6:$AD$3005,"保留中")&gt;0,"保留",IF(COUNTIFS(請求記録!$B$6:$B$3005,$A71,請求記録!$X$6:$X$3005,X$5)=0,"",SUMIFS(請求記録!$AC$6:$AC$3005,請求記録!$B$6:$B$3005,$A71,請求記録!$X$6:$X$3005,X$5))))</f>
        <v/>
      </c>
      <c r="Y71" s="19">
        <f>IF($A71="","",IF(COUNTIFS(請求記録!$B$6:$B$3005,$A71,請求記録!$X$6:$X$3005,Y$5,請求記録!$AD$6:$AD$3005,"保留中")&gt;0,"保留",IF(COUNTIFS(請求記録!$B$6:$B$3005,$A71,請求記録!$X$6:$X$3005,Y$5)=0,"",SUMIFS(請求記録!$AC$6:$AC$3005,請求記録!$B$6:$B$3005,$A71,請求記録!$X$6:$X$3005,Y$5))))</f>
        <v/>
      </c>
      <c r="Z71" s="19">
        <f>IF($A71="","",IF(COUNTIFS(請求記録!$B$6:$B$3005,$A71,請求記録!$X$6:$X$3005,Z$5,請求記録!$AD$6:$AD$3005,"保留中")&gt;0,"保留",IF(COUNTIFS(請求記録!$B$6:$B$3005,$A71,請求記録!$X$6:$X$3005,Z$5)=0,"",SUMIFS(請求記録!$AC$6:$AC$3005,請求記録!$B$6:$B$3005,$A71,請求記録!$X$6:$X$3005,Z$5))))</f>
        <v/>
      </c>
      <c r="AA71" s="19">
        <f>IF($A71="","",IF(COUNTIFS(請求記録!$B$6:$B$3005,$A71,請求記録!$X$6:$X$3005,AA$5,請求記録!$AD$6:$AD$3005,"保留中")&gt;0,"保留",IF(COUNTIFS(請求記録!$B$6:$B$3005,$A71,請求記録!$X$6:$X$3005,AA$5)=0,"",SUMIFS(請求記録!$AC$6:$AC$3005,請求記録!$B$6:$B$3005,$A71,請求記録!$X$6:$X$3005,AA$5))))</f>
        <v/>
      </c>
      <c r="AB71">
        <f>IF(職員マスタ!P71="保留中",職員マスタ!M71,"")</f>
        <v/>
      </c>
    </row>
    <row r="72">
      <c r="A72">
        <f>IF(職員マスタ!A72="","",職員マスタ!A72)</f>
        <v/>
      </c>
      <c r="B72">
        <f>IF($A72="","",職員マスタ!B72)</f>
        <v/>
      </c>
      <c r="C72">
        <f>IF($A72="","",職員マスタ!C72)</f>
        <v/>
      </c>
      <c r="D72" s="19">
        <f>IF($A72="","",IF(COUNTIFS(請求記録!$B$6:$B$3005,$A72,請求記録!$X$6:$X$3005,D$5,請求記録!$AD$6:$AD$3005,"保留中")&gt;0,"保留",IF(COUNTIFS(請求記録!$B$6:$B$3005,$A72,請求記録!$X$6:$X$3005,D$5)=0,"",SUMIFS(請求記録!$AC$6:$AC$3005,請求記録!$B$6:$B$3005,$A72,請求記録!$X$6:$X$3005,D$5))))</f>
        <v/>
      </c>
      <c r="E72" s="19">
        <f>IF($A72="","",IF(COUNTIFS(請求記録!$B$6:$B$3005,$A72,請求記録!$X$6:$X$3005,E$5,請求記録!$AD$6:$AD$3005,"保留中")&gt;0,"保留",IF(COUNTIFS(請求記録!$B$6:$B$3005,$A72,請求記録!$X$6:$X$3005,E$5)=0,"",SUMIFS(請求記録!$AC$6:$AC$3005,請求記録!$B$6:$B$3005,$A72,請求記録!$X$6:$X$3005,E$5))))</f>
        <v/>
      </c>
      <c r="F72" s="19">
        <f>IF($A72="","",IF(COUNTIFS(請求記録!$B$6:$B$3005,$A72,請求記録!$X$6:$X$3005,F$5,請求記録!$AD$6:$AD$3005,"保留中")&gt;0,"保留",IF(COUNTIFS(請求記録!$B$6:$B$3005,$A72,請求記録!$X$6:$X$3005,F$5)=0,"",SUMIFS(請求記録!$AC$6:$AC$3005,請求記録!$B$6:$B$3005,$A72,請求記録!$X$6:$X$3005,F$5))))</f>
        <v/>
      </c>
      <c r="G72" s="19">
        <f>IF($A72="","",IF(COUNTIFS(請求記録!$B$6:$B$3005,$A72,請求記録!$X$6:$X$3005,G$5,請求記録!$AD$6:$AD$3005,"保留中")&gt;0,"保留",IF(COUNTIFS(請求記録!$B$6:$B$3005,$A72,請求記録!$X$6:$X$3005,G$5)=0,"",SUMIFS(請求記録!$AC$6:$AC$3005,請求記録!$B$6:$B$3005,$A72,請求記録!$X$6:$X$3005,G$5))))</f>
        <v/>
      </c>
      <c r="H72" s="19">
        <f>IF($A72="","",IF(COUNTIFS(請求記録!$B$6:$B$3005,$A72,請求記録!$X$6:$X$3005,H$5,請求記録!$AD$6:$AD$3005,"保留中")&gt;0,"保留",IF(COUNTIFS(請求記録!$B$6:$B$3005,$A72,請求記録!$X$6:$X$3005,H$5)=0,"",SUMIFS(請求記録!$AC$6:$AC$3005,請求記録!$B$6:$B$3005,$A72,請求記録!$X$6:$X$3005,H$5))))</f>
        <v/>
      </c>
      <c r="I72" s="19">
        <f>IF($A72="","",IF(COUNTIFS(請求記録!$B$6:$B$3005,$A72,請求記録!$X$6:$X$3005,I$5,請求記録!$AD$6:$AD$3005,"保留中")&gt;0,"保留",IF(COUNTIFS(請求記録!$B$6:$B$3005,$A72,請求記録!$X$6:$X$3005,I$5)=0,"",SUMIFS(請求記録!$AC$6:$AC$3005,請求記録!$B$6:$B$3005,$A72,請求記録!$X$6:$X$3005,I$5))))</f>
        <v/>
      </c>
      <c r="J72" s="19">
        <f>IF($A72="","",IF(COUNTIFS(請求記録!$B$6:$B$3005,$A72,請求記録!$X$6:$X$3005,J$5,請求記録!$AD$6:$AD$3005,"保留中")&gt;0,"保留",IF(COUNTIFS(請求記録!$B$6:$B$3005,$A72,請求記録!$X$6:$X$3005,J$5)=0,"",SUMIFS(請求記録!$AC$6:$AC$3005,請求記録!$B$6:$B$3005,$A72,請求記録!$X$6:$X$3005,J$5))))</f>
        <v/>
      </c>
      <c r="K72" s="19">
        <f>IF($A72="","",IF(COUNTIFS(請求記録!$B$6:$B$3005,$A72,請求記録!$X$6:$X$3005,K$5,請求記録!$AD$6:$AD$3005,"保留中")&gt;0,"保留",IF(COUNTIFS(請求記録!$B$6:$B$3005,$A72,請求記録!$X$6:$X$3005,K$5)=0,"",SUMIFS(請求記録!$AC$6:$AC$3005,請求記録!$B$6:$B$3005,$A72,請求記録!$X$6:$X$3005,K$5))))</f>
        <v/>
      </c>
      <c r="L72" s="19">
        <f>IF($A72="","",IF(COUNTIFS(請求記録!$B$6:$B$3005,$A72,請求記録!$X$6:$X$3005,L$5,請求記録!$AD$6:$AD$3005,"保留中")&gt;0,"保留",IF(COUNTIFS(請求記録!$B$6:$B$3005,$A72,請求記録!$X$6:$X$3005,L$5)=0,"",SUMIFS(請求記録!$AC$6:$AC$3005,請求記録!$B$6:$B$3005,$A72,請求記録!$X$6:$X$3005,L$5))))</f>
        <v/>
      </c>
      <c r="M72" s="19">
        <f>IF($A72="","",IF(COUNTIFS(請求記録!$B$6:$B$3005,$A72,請求記録!$X$6:$X$3005,M$5,請求記録!$AD$6:$AD$3005,"保留中")&gt;0,"保留",IF(COUNTIFS(請求記録!$B$6:$B$3005,$A72,請求記録!$X$6:$X$3005,M$5)=0,"",SUMIFS(請求記録!$AC$6:$AC$3005,請求記録!$B$6:$B$3005,$A72,請求記録!$X$6:$X$3005,M$5))))</f>
        <v/>
      </c>
      <c r="N72" s="19">
        <f>IF($A72="","",IF(COUNTIFS(請求記録!$B$6:$B$3005,$A72,請求記録!$X$6:$X$3005,N$5,請求記録!$AD$6:$AD$3005,"保留中")&gt;0,"保留",IF(COUNTIFS(請求記録!$B$6:$B$3005,$A72,請求記録!$X$6:$X$3005,N$5)=0,"",SUMIFS(請求記録!$AC$6:$AC$3005,請求記録!$B$6:$B$3005,$A72,請求記録!$X$6:$X$3005,N$5))))</f>
        <v/>
      </c>
      <c r="O72" s="19">
        <f>IF($A72="","",IF(COUNTIFS(請求記録!$B$6:$B$3005,$A72,請求記録!$X$6:$X$3005,O$5,請求記録!$AD$6:$AD$3005,"保留中")&gt;0,"保留",IF(COUNTIFS(請求記録!$B$6:$B$3005,$A72,請求記録!$X$6:$X$3005,O$5)=0,"",SUMIFS(請求記録!$AC$6:$AC$3005,請求記録!$B$6:$B$3005,$A72,請求記録!$X$6:$X$3005,O$5))))</f>
        <v/>
      </c>
      <c r="P72" s="19">
        <f>IF($A72="","",IF(COUNTIFS(請求記録!$B$6:$B$3005,$A72,請求記録!$X$6:$X$3005,P$5,請求記録!$AD$6:$AD$3005,"保留中")&gt;0,"保留",IF(COUNTIFS(請求記録!$B$6:$B$3005,$A72,請求記録!$X$6:$X$3005,P$5)=0,"",SUMIFS(請求記録!$AC$6:$AC$3005,請求記録!$B$6:$B$3005,$A72,請求記録!$X$6:$X$3005,P$5))))</f>
        <v/>
      </c>
      <c r="Q72" s="19">
        <f>IF($A72="","",IF(COUNTIFS(請求記録!$B$6:$B$3005,$A72,請求記録!$X$6:$X$3005,Q$5,請求記録!$AD$6:$AD$3005,"保留中")&gt;0,"保留",IF(COUNTIFS(請求記録!$B$6:$B$3005,$A72,請求記録!$X$6:$X$3005,Q$5)=0,"",SUMIFS(請求記録!$AC$6:$AC$3005,請求記録!$B$6:$B$3005,$A72,請求記録!$X$6:$X$3005,Q$5))))</f>
        <v/>
      </c>
      <c r="R72" s="19">
        <f>IF($A72="","",IF(COUNTIFS(請求記録!$B$6:$B$3005,$A72,請求記録!$X$6:$X$3005,R$5,請求記録!$AD$6:$AD$3005,"保留中")&gt;0,"保留",IF(COUNTIFS(請求記録!$B$6:$B$3005,$A72,請求記録!$X$6:$X$3005,R$5)=0,"",SUMIFS(請求記録!$AC$6:$AC$3005,請求記録!$B$6:$B$3005,$A72,請求記録!$X$6:$X$3005,R$5))))</f>
        <v/>
      </c>
      <c r="S72" s="19">
        <f>IF($A72="","",IF(COUNTIFS(請求記録!$B$6:$B$3005,$A72,請求記録!$X$6:$X$3005,S$5,請求記録!$AD$6:$AD$3005,"保留中")&gt;0,"保留",IF(COUNTIFS(請求記録!$B$6:$B$3005,$A72,請求記録!$X$6:$X$3005,S$5)=0,"",SUMIFS(請求記録!$AC$6:$AC$3005,請求記録!$B$6:$B$3005,$A72,請求記録!$X$6:$X$3005,S$5))))</f>
        <v/>
      </c>
      <c r="T72" s="19">
        <f>IF($A72="","",IF(COUNTIFS(請求記録!$B$6:$B$3005,$A72,請求記録!$X$6:$X$3005,T$5,請求記録!$AD$6:$AD$3005,"保留中")&gt;0,"保留",IF(COUNTIFS(請求記録!$B$6:$B$3005,$A72,請求記録!$X$6:$X$3005,T$5)=0,"",SUMIFS(請求記録!$AC$6:$AC$3005,請求記録!$B$6:$B$3005,$A72,請求記録!$X$6:$X$3005,T$5))))</f>
        <v/>
      </c>
      <c r="U72" s="19">
        <f>IF($A72="","",IF(COUNTIFS(請求記録!$B$6:$B$3005,$A72,請求記録!$X$6:$X$3005,U$5,請求記録!$AD$6:$AD$3005,"保留中")&gt;0,"保留",IF(COUNTIFS(請求記録!$B$6:$B$3005,$A72,請求記録!$X$6:$X$3005,U$5)=0,"",SUMIFS(請求記録!$AC$6:$AC$3005,請求記録!$B$6:$B$3005,$A72,請求記録!$X$6:$X$3005,U$5))))</f>
        <v/>
      </c>
      <c r="V72" s="19">
        <f>IF($A72="","",IF(COUNTIFS(請求記録!$B$6:$B$3005,$A72,請求記録!$X$6:$X$3005,V$5,請求記録!$AD$6:$AD$3005,"保留中")&gt;0,"保留",IF(COUNTIFS(請求記録!$B$6:$B$3005,$A72,請求記録!$X$6:$X$3005,V$5)=0,"",SUMIFS(請求記録!$AC$6:$AC$3005,請求記録!$B$6:$B$3005,$A72,請求記録!$X$6:$X$3005,V$5))))</f>
        <v/>
      </c>
      <c r="W72" s="19">
        <f>IF($A72="","",IF(COUNTIFS(請求記録!$B$6:$B$3005,$A72,請求記録!$X$6:$X$3005,W$5,請求記録!$AD$6:$AD$3005,"保留中")&gt;0,"保留",IF(COUNTIFS(請求記録!$B$6:$B$3005,$A72,請求記録!$X$6:$X$3005,W$5)=0,"",SUMIFS(請求記録!$AC$6:$AC$3005,請求記録!$B$6:$B$3005,$A72,請求記録!$X$6:$X$3005,W$5))))</f>
        <v/>
      </c>
      <c r="X72" s="19">
        <f>IF($A72="","",IF(COUNTIFS(請求記録!$B$6:$B$3005,$A72,請求記録!$X$6:$X$3005,X$5,請求記録!$AD$6:$AD$3005,"保留中")&gt;0,"保留",IF(COUNTIFS(請求記録!$B$6:$B$3005,$A72,請求記録!$X$6:$X$3005,X$5)=0,"",SUMIFS(請求記録!$AC$6:$AC$3005,請求記録!$B$6:$B$3005,$A72,請求記録!$X$6:$X$3005,X$5))))</f>
        <v/>
      </c>
      <c r="Y72" s="19">
        <f>IF($A72="","",IF(COUNTIFS(請求記録!$B$6:$B$3005,$A72,請求記録!$X$6:$X$3005,Y$5,請求記録!$AD$6:$AD$3005,"保留中")&gt;0,"保留",IF(COUNTIFS(請求記録!$B$6:$B$3005,$A72,請求記録!$X$6:$X$3005,Y$5)=0,"",SUMIFS(請求記録!$AC$6:$AC$3005,請求記録!$B$6:$B$3005,$A72,請求記録!$X$6:$X$3005,Y$5))))</f>
        <v/>
      </c>
      <c r="Z72" s="19">
        <f>IF($A72="","",IF(COUNTIFS(請求記録!$B$6:$B$3005,$A72,請求記録!$X$6:$X$3005,Z$5,請求記録!$AD$6:$AD$3005,"保留中")&gt;0,"保留",IF(COUNTIFS(請求記録!$B$6:$B$3005,$A72,請求記録!$X$6:$X$3005,Z$5)=0,"",SUMIFS(請求記録!$AC$6:$AC$3005,請求記録!$B$6:$B$3005,$A72,請求記録!$X$6:$X$3005,Z$5))))</f>
        <v/>
      </c>
      <c r="AA72" s="19">
        <f>IF($A72="","",IF(COUNTIFS(請求記録!$B$6:$B$3005,$A72,請求記録!$X$6:$X$3005,AA$5,請求記録!$AD$6:$AD$3005,"保留中")&gt;0,"保留",IF(COUNTIFS(請求記録!$B$6:$B$3005,$A72,請求記録!$X$6:$X$3005,AA$5)=0,"",SUMIFS(請求記録!$AC$6:$AC$3005,請求記録!$B$6:$B$3005,$A72,請求記録!$X$6:$X$3005,AA$5))))</f>
        <v/>
      </c>
      <c r="AB72">
        <f>IF(職員マスタ!P72="保留中",職員マスタ!M72,"")</f>
        <v/>
      </c>
    </row>
    <row r="73">
      <c r="A73">
        <f>IF(職員マスタ!A73="","",職員マスタ!A73)</f>
        <v/>
      </c>
      <c r="B73">
        <f>IF($A73="","",職員マスタ!B73)</f>
        <v/>
      </c>
      <c r="C73">
        <f>IF($A73="","",職員マスタ!C73)</f>
        <v/>
      </c>
      <c r="D73" s="19">
        <f>IF($A73="","",IF(COUNTIFS(請求記録!$B$6:$B$3005,$A73,請求記録!$X$6:$X$3005,D$5,請求記録!$AD$6:$AD$3005,"保留中")&gt;0,"保留",IF(COUNTIFS(請求記録!$B$6:$B$3005,$A73,請求記録!$X$6:$X$3005,D$5)=0,"",SUMIFS(請求記録!$AC$6:$AC$3005,請求記録!$B$6:$B$3005,$A73,請求記録!$X$6:$X$3005,D$5))))</f>
        <v/>
      </c>
      <c r="E73" s="19">
        <f>IF($A73="","",IF(COUNTIFS(請求記録!$B$6:$B$3005,$A73,請求記録!$X$6:$X$3005,E$5,請求記録!$AD$6:$AD$3005,"保留中")&gt;0,"保留",IF(COUNTIFS(請求記録!$B$6:$B$3005,$A73,請求記録!$X$6:$X$3005,E$5)=0,"",SUMIFS(請求記録!$AC$6:$AC$3005,請求記録!$B$6:$B$3005,$A73,請求記録!$X$6:$X$3005,E$5))))</f>
        <v/>
      </c>
      <c r="F73" s="19">
        <f>IF($A73="","",IF(COUNTIFS(請求記録!$B$6:$B$3005,$A73,請求記録!$X$6:$X$3005,F$5,請求記録!$AD$6:$AD$3005,"保留中")&gt;0,"保留",IF(COUNTIFS(請求記録!$B$6:$B$3005,$A73,請求記録!$X$6:$X$3005,F$5)=0,"",SUMIFS(請求記録!$AC$6:$AC$3005,請求記録!$B$6:$B$3005,$A73,請求記録!$X$6:$X$3005,F$5))))</f>
        <v/>
      </c>
      <c r="G73" s="19">
        <f>IF($A73="","",IF(COUNTIFS(請求記録!$B$6:$B$3005,$A73,請求記録!$X$6:$X$3005,G$5,請求記録!$AD$6:$AD$3005,"保留中")&gt;0,"保留",IF(COUNTIFS(請求記録!$B$6:$B$3005,$A73,請求記録!$X$6:$X$3005,G$5)=0,"",SUMIFS(請求記録!$AC$6:$AC$3005,請求記録!$B$6:$B$3005,$A73,請求記録!$X$6:$X$3005,G$5))))</f>
        <v/>
      </c>
      <c r="H73" s="19">
        <f>IF($A73="","",IF(COUNTIFS(請求記録!$B$6:$B$3005,$A73,請求記録!$X$6:$X$3005,H$5,請求記録!$AD$6:$AD$3005,"保留中")&gt;0,"保留",IF(COUNTIFS(請求記録!$B$6:$B$3005,$A73,請求記録!$X$6:$X$3005,H$5)=0,"",SUMIFS(請求記録!$AC$6:$AC$3005,請求記録!$B$6:$B$3005,$A73,請求記録!$X$6:$X$3005,H$5))))</f>
        <v/>
      </c>
      <c r="I73" s="19">
        <f>IF($A73="","",IF(COUNTIFS(請求記録!$B$6:$B$3005,$A73,請求記録!$X$6:$X$3005,I$5,請求記録!$AD$6:$AD$3005,"保留中")&gt;0,"保留",IF(COUNTIFS(請求記録!$B$6:$B$3005,$A73,請求記録!$X$6:$X$3005,I$5)=0,"",SUMIFS(請求記録!$AC$6:$AC$3005,請求記録!$B$6:$B$3005,$A73,請求記録!$X$6:$X$3005,I$5))))</f>
        <v/>
      </c>
      <c r="J73" s="19">
        <f>IF($A73="","",IF(COUNTIFS(請求記録!$B$6:$B$3005,$A73,請求記録!$X$6:$X$3005,J$5,請求記録!$AD$6:$AD$3005,"保留中")&gt;0,"保留",IF(COUNTIFS(請求記録!$B$6:$B$3005,$A73,請求記録!$X$6:$X$3005,J$5)=0,"",SUMIFS(請求記録!$AC$6:$AC$3005,請求記録!$B$6:$B$3005,$A73,請求記録!$X$6:$X$3005,J$5))))</f>
        <v/>
      </c>
      <c r="K73" s="19">
        <f>IF($A73="","",IF(COUNTIFS(請求記録!$B$6:$B$3005,$A73,請求記録!$X$6:$X$3005,K$5,請求記録!$AD$6:$AD$3005,"保留中")&gt;0,"保留",IF(COUNTIFS(請求記録!$B$6:$B$3005,$A73,請求記録!$X$6:$X$3005,K$5)=0,"",SUMIFS(請求記録!$AC$6:$AC$3005,請求記録!$B$6:$B$3005,$A73,請求記録!$X$6:$X$3005,K$5))))</f>
        <v/>
      </c>
      <c r="L73" s="19">
        <f>IF($A73="","",IF(COUNTIFS(請求記録!$B$6:$B$3005,$A73,請求記録!$X$6:$X$3005,L$5,請求記録!$AD$6:$AD$3005,"保留中")&gt;0,"保留",IF(COUNTIFS(請求記録!$B$6:$B$3005,$A73,請求記録!$X$6:$X$3005,L$5)=0,"",SUMIFS(請求記録!$AC$6:$AC$3005,請求記録!$B$6:$B$3005,$A73,請求記録!$X$6:$X$3005,L$5))))</f>
        <v/>
      </c>
      <c r="M73" s="19">
        <f>IF($A73="","",IF(COUNTIFS(請求記録!$B$6:$B$3005,$A73,請求記録!$X$6:$X$3005,M$5,請求記録!$AD$6:$AD$3005,"保留中")&gt;0,"保留",IF(COUNTIFS(請求記録!$B$6:$B$3005,$A73,請求記録!$X$6:$X$3005,M$5)=0,"",SUMIFS(請求記録!$AC$6:$AC$3005,請求記録!$B$6:$B$3005,$A73,請求記録!$X$6:$X$3005,M$5))))</f>
        <v/>
      </c>
      <c r="N73" s="19">
        <f>IF($A73="","",IF(COUNTIFS(請求記録!$B$6:$B$3005,$A73,請求記録!$X$6:$X$3005,N$5,請求記録!$AD$6:$AD$3005,"保留中")&gt;0,"保留",IF(COUNTIFS(請求記録!$B$6:$B$3005,$A73,請求記録!$X$6:$X$3005,N$5)=0,"",SUMIFS(請求記録!$AC$6:$AC$3005,請求記録!$B$6:$B$3005,$A73,請求記録!$X$6:$X$3005,N$5))))</f>
        <v/>
      </c>
      <c r="O73" s="19">
        <f>IF($A73="","",IF(COUNTIFS(請求記録!$B$6:$B$3005,$A73,請求記録!$X$6:$X$3005,O$5,請求記録!$AD$6:$AD$3005,"保留中")&gt;0,"保留",IF(COUNTIFS(請求記録!$B$6:$B$3005,$A73,請求記録!$X$6:$X$3005,O$5)=0,"",SUMIFS(請求記録!$AC$6:$AC$3005,請求記録!$B$6:$B$3005,$A73,請求記録!$X$6:$X$3005,O$5))))</f>
        <v/>
      </c>
      <c r="P73" s="19">
        <f>IF($A73="","",IF(COUNTIFS(請求記録!$B$6:$B$3005,$A73,請求記録!$X$6:$X$3005,P$5,請求記録!$AD$6:$AD$3005,"保留中")&gt;0,"保留",IF(COUNTIFS(請求記録!$B$6:$B$3005,$A73,請求記録!$X$6:$X$3005,P$5)=0,"",SUMIFS(請求記録!$AC$6:$AC$3005,請求記録!$B$6:$B$3005,$A73,請求記録!$X$6:$X$3005,P$5))))</f>
        <v/>
      </c>
      <c r="Q73" s="19">
        <f>IF($A73="","",IF(COUNTIFS(請求記録!$B$6:$B$3005,$A73,請求記録!$X$6:$X$3005,Q$5,請求記録!$AD$6:$AD$3005,"保留中")&gt;0,"保留",IF(COUNTIFS(請求記録!$B$6:$B$3005,$A73,請求記録!$X$6:$X$3005,Q$5)=0,"",SUMIFS(請求記録!$AC$6:$AC$3005,請求記録!$B$6:$B$3005,$A73,請求記録!$X$6:$X$3005,Q$5))))</f>
        <v/>
      </c>
      <c r="R73" s="19">
        <f>IF($A73="","",IF(COUNTIFS(請求記録!$B$6:$B$3005,$A73,請求記録!$X$6:$X$3005,R$5,請求記録!$AD$6:$AD$3005,"保留中")&gt;0,"保留",IF(COUNTIFS(請求記録!$B$6:$B$3005,$A73,請求記録!$X$6:$X$3005,R$5)=0,"",SUMIFS(請求記録!$AC$6:$AC$3005,請求記録!$B$6:$B$3005,$A73,請求記録!$X$6:$X$3005,R$5))))</f>
        <v/>
      </c>
      <c r="S73" s="19">
        <f>IF($A73="","",IF(COUNTIFS(請求記録!$B$6:$B$3005,$A73,請求記録!$X$6:$X$3005,S$5,請求記録!$AD$6:$AD$3005,"保留中")&gt;0,"保留",IF(COUNTIFS(請求記録!$B$6:$B$3005,$A73,請求記録!$X$6:$X$3005,S$5)=0,"",SUMIFS(請求記録!$AC$6:$AC$3005,請求記録!$B$6:$B$3005,$A73,請求記録!$X$6:$X$3005,S$5))))</f>
        <v/>
      </c>
      <c r="T73" s="19">
        <f>IF($A73="","",IF(COUNTIFS(請求記録!$B$6:$B$3005,$A73,請求記録!$X$6:$X$3005,T$5,請求記録!$AD$6:$AD$3005,"保留中")&gt;0,"保留",IF(COUNTIFS(請求記録!$B$6:$B$3005,$A73,請求記録!$X$6:$X$3005,T$5)=0,"",SUMIFS(請求記録!$AC$6:$AC$3005,請求記録!$B$6:$B$3005,$A73,請求記録!$X$6:$X$3005,T$5))))</f>
        <v/>
      </c>
      <c r="U73" s="19">
        <f>IF($A73="","",IF(COUNTIFS(請求記録!$B$6:$B$3005,$A73,請求記録!$X$6:$X$3005,U$5,請求記録!$AD$6:$AD$3005,"保留中")&gt;0,"保留",IF(COUNTIFS(請求記録!$B$6:$B$3005,$A73,請求記録!$X$6:$X$3005,U$5)=0,"",SUMIFS(請求記録!$AC$6:$AC$3005,請求記録!$B$6:$B$3005,$A73,請求記録!$X$6:$X$3005,U$5))))</f>
        <v/>
      </c>
      <c r="V73" s="19">
        <f>IF($A73="","",IF(COUNTIFS(請求記録!$B$6:$B$3005,$A73,請求記録!$X$6:$X$3005,V$5,請求記録!$AD$6:$AD$3005,"保留中")&gt;0,"保留",IF(COUNTIFS(請求記録!$B$6:$B$3005,$A73,請求記録!$X$6:$X$3005,V$5)=0,"",SUMIFS(請求記録!$AC$6:$AC$3005,請求記録!$B$6:$B$3005,$A73,請求記録!$X$6:$X$3005,V$5))))</f>
        <v/>
      </c>
      <c r="W73" s="19">
        <f>IF($A73="","",IF(COUNTIFS(請求記録!$B$6:$B$3005,$A73,請求記録!$X$6:$X$3005,W$5,請求記録!$AD$6:$AD$3005,"保留中")&gt;0,"保留",IF(COUNTIFS(請求記録!$B$6:$B$3005,$A73,請求記録!$X$6:$X$3005,W$5)=0,"",SUMIFS(請求記録!$AC$6:$AC$3005,請求記録!$B$6:$B$3005,$A73,請求記録!$X$6:$X$3005,W$5))))</f>
        <v/>
      </c>
      <c r="X73" s="19">
        <f>IF($A73="","",IF(COUNTIFS(請求記録!$B$6:$B$3005,$A73,請求記録!$X$6:$X$3005,X$5,請求記録!$AD$6:$AD$3005,"保留中")&gt;0,"保留",IF(COUNTIFS(請求記録!$B$6:$B$3005,$A73,請求記録!$X$6:$X$3005,X$5)=0,"",SUMIFS(請求記録!$AC$6:$AC$3005,請求記録!$B$6:$B$3005,$A73,請求記録!$X$6:$X$3005,X$5))))</f>
        <v/>
      </c>
      <c r="Y73" s="19">
        <f>IF($A73="","",IF(COUNTIFS(請求記録!$B$6:$B$3005,$A73,請求記録!$X$6:$X$3005,Y$5,請求記録!$AD$6:$AD$3005,"保留中")&gt;0,"保留",IF(COUNTIFS(請求記録!$B$6:$B$3005,$A73,請求記録!$X$6:$X$3005,Y$5)=0,"",SUMIFS(請求記録!$AC$6:$AC$3005,請求記録!$B$6:$B$3005,$A73,請求記録!$X$6:$X$3005,Y$5))))</f>
        <v/>
      </c>
      <c r="Z73" s="19">
        <f>IF($A73="","",IF(COUNTIFS(請求記録!$B$6:$B$3005,$A73,請求記録!$X$6:$X$3005,Z$5,請求記録!$AD$6:$AD$3005,"保留中")&gt;0,"保留",IF(COUNTIFS(請求記録!$B$6:$B$3005,$A73,請求記録!$X$6:$X$3005,Z$5)=0,"",SUMIFS(請求記録!$AC$6:$AC$3005,請求記録!$B$6:$B$3005,$A73,請求記録!$X$6:$X$3005,Z$5))))</f>
        <v/>
      </c>
      <c r="AA73" s="19">
        <f>IF($A73="","",IF(COUNTIFS(請求記録!$B$6:$B$3005,$A73,請求記録!$X$6:$X$3005,AA$5,請求記録!$AD$6:$AD$3005,"保留中")&gt;0,"保留",IF(COUNTIFS(請求記録!$B$6:$B$3005,$A73,請求記録!$X$6:$X$3005,AA$5)=0,"",SUMIFS(請求記録!$AC$6:$AC$3005,請求記録!$B$6:$B$3005,$A73,請求記録!$X$6:$X$3005,AA$5))))</f>
        <v/>
      </c>
      <c r="AB73">
        <f>IF(職員マスタ!P73="保留中",職員マスタ!M73,"")</f>
        <v/>
      </c>
    </row>
    <row r="74">
      <c r="A74">
        <f>IF(職員マスタ!A74="","",職員マスタ!A74)</f>
        <v/>
      </c>
      <c r="B74">
        <f>IF($A74="","",職員マスタ!B74)</f>
        <v/>
      </c>
      <c r="C74">
        <f>IF($A74="","",職員マスタ!C74)</f>
        <v/>
      </c>
      <c r="D74" s="19">
        <f>IF($A74="","",IF(COUNTIFS(請求記録!$B$6:$B$3005,$A74,請求記録!$X$6:$X$3005,D$5,請求記録!$AD$6:$AD$3005,"保留中")&gt;0,"保留",IF(COUNTIFS(請求記録!$B$6:$B$3005,$A74,請求記録!$X$6:$X$3005,D$5)=0,"",SUMIFS(請求記録!$AC$6:$AC$3005,請求記録!$B$6:$B$3005,$A74,請求記録!$X$6:$X$3005,D$5))))</f>
        <v/>
      </c>
      <c r="E74" s="19">
        <f>IF($A74="","",IF(COUNTIFS(請求記録!$B$6:$B$3005,$A74,請求記録!$X$6:$X$3005,E$5,請求記録!$AD$6:$AD$3005,"保留中")&gt;0,"保留",IF(COUNTIFS(請求記録!$B$6:$B$3005,$A74,請求記録!$X$6:$X$3005,E$5)=0,"",SUMIFS(請求記録!$AC$6:$AC$3005,請求記録!$B$6:$B$3005,$A74,請求記録!$X$6:$X$3005,E$5))))</f>
        <v/>
      </c>
      <c r="F74" s="19">
        <f>IF($A74="","",IF(COUNTIFS(請求記録!$B$6:$B$3005,$A74,請求記録!$X$6:$X$3005,F$5,請求記録!$AD$6:$AD$3005,"保留中")&gt;0,"保留",IF(COUNTIFS(請求記録!$B$6:$B$3005,$A74,請求記録!$X$6:$X$3005,F$5)=0,"",SUMIFS(請求記録!$AC$6:$AC$3005,請求記録!$B$6:$B$3005,$A74,請求記録!$X$6:$X$3005,F$5))))</f>
        <v/>
      </c>
      <c r="G74" s="19">
        <f>IF($A74="","",IF(COUNTIFS(請求記録!$B$6:$B$3005,$A74,請求記録!$X$6:$X$3005,G$5,請求記録!$AD$6:$AD$3005,"保留中")&gt;0,"保留",IF(COUNTIFS(請求記録!$B$6:$B$3005,$A74,請求記録!$X$6:$X$3005,G$5)=0,"",SUMIFS(請求記録!$AC$6:$AC$3005,請求記録!$B$6:$B$3005,$A74,請求記録!$X$6:$X$3005,G$5))))</f>
        <v/>
      </c>
      <c r="H74" s="19">
        <f>IF($A74="","",IF(COUNTIFS(請求記録!$B$6:$B$3005,$A74,請求記録!$X$6:$X$3005,H$5,請求記録!$AD$6:$AD$3005,"保留中")&gt;0,"保留",IF(COUNTIFS(請求記録!$B$6:$B$3005,$A74,請求記録!$X$6:$X$3005,H$5)=0,"",SUMIFS(請求記録!$AC$6:$AC$3005,請求記録!$B$6:$B$3005,$A74,請求記録!$X$6:$X$3005,H$5))))</f>
        <v/>
      </c>
      <c r="I74" s="19">
        <f>IF($A74="","",IF(COUNTIFS(請求記録!$B$6:$B$3005,$A74,請求記録!$X$6:$X$3005,I$5,請求記録!$AD$6:$AD$3005,"保留中")&gt;0,"保留",IF(COUNTIFS(請求記録!$B$6:$B$3005,$A74,請求記録!$X$6:$X$3005,I$5)=0,"",SUMIFS(請求記録!$AC$6:$AC$3005,請求記録!$B$6:$B$3005,$A74,請求記録!$X$6:$X$3005,I$5))))</f>
        <v/>
      </c>
      <c r="J74" s="19">
        <f>IF($A74="","",IF(COUNTIFS(請求記録!$B$6:$B$3005,$A74,請求記録!$X$6:$X$3005,J$5,請求記録!$AD$6:$AD$3005,"保留中")&gt;0,"保留",IF(COUNTIFS(請求記録!$B$6:$B$3005,$A74,請求記録!$X$6:$X$3005,J$5)=0,"",SUMIFS(請求記録!$AC$6:$AC$3005,請求記録!$B$6:$B$3005,$A74,請求記録!$X$6:$X$3005,J$5))))</f>
        <v/>
      </c>
      <c r="K74" s="19">
        <f>IF($A74="","",IF(COUNTIFS(請求記録!$B$6:$B$3005,$A74,請求記録!$X$6:$X$3005,K$5,請求記録!$AD$6:$AD$3005,"保留中")&gt;0,"保留",IF(COUNTIFS(請求記録!$B$6:$B$3005,$A74,請求記録!$X$6:$X$3005,K$5)=0,"",SUMIFS(請求記録!$AC$6:$AC$3005,請求記録!$B$6:$B$3005,$A74,請求記録!$X$6:$X$3005,K$5))))</f>
        <v/>
      </c>
      <c r="L74" s="19">
        <f>IF($A74="","",IF(COUNTIFS(請求記録!$B$6:$B$3005,$A74,請求記録!$X$6:$X$3005,L$5,請求記録!$AD$6:$AD$3005,"保留中")&gt;0,"保留",IF(COUNTIFS(請求記録!$B$6:$B$3005,$A74,請求記録!$X$6:$X$3005,L$5)=0,"",SUMIFS(請求記録!$AC$6:$AC$3005,請求記録!$B$6:$B$3005,$A74,請求記録!$X$6:$X$3005,L$5))))</f>
        <v/>
      </c>
      <c r="M74" s="19">
        <f>IF($A74="","",IF(COUNTIFS(請求記録!$B$6:$B$3005,$A74,請求記録!$X$6:$X$3005,M$5,請求記録!$AD$6:$AD$3005,"保留中")&gt;0,"保留",IF(COUNTIFS(請求記録!$B$6:$B$3005,$A74,請求記録!$X$6:$X$3005,M$5)=0,"",SUMIFS(請求記録!$AC$6:$AC$3005,請求記録!$B$6:$B$3005,$A74,請求記録!$X$6:$X$3005,M$5))))</f>
        <v/>
      </c>
      <c r="N74" s="19">
        <f>IF($A74="","",IF(COUNTIFS(請求記録!$B$6:$B$3005,$A74,請求記録!$X$6:$X$3005,N$5,請求記録!$AD$6:$AD$3005,"保留中")&gt;0,"保留",IF(COUNTIFS(請求記録!$B$6:$B$3005,$A74,請求記録!$X$6:$X$3005,N$5)=0,"",SUMIFS(請求記録!$AC$6:$AC$3005,請求記録!$B$6:$B$3005,$A74,請求記録!$X$6:$X$3005,N$5))))</f>
        <v/>
      </c>
      <c r="O74" s="19">
        <f>IF($A74="","",IF(COUNTIFS(請求記録!$B$6:$B$3005,$A74,請求記録!$X$6:$X$3005,O$5,請求記録!$AD$6:$AD$3005,"保留中")&gt;0,"保留",IF(COUNTIFS(請求記録!$B$6:$B$3005,$A74,請求記録!$X$6:$X$3005,O$5)=0,"",SUMIFS(請求記録!$AC$6:$AC$3005,請求記録!$B$6:$B$3005,$A74,請求記録!$X$6:$X$3005,O$5))))</f>
        <v/>
      </c>
      <c r="P74" s="19">
        <f>IF($A74="","",IF(COUNTIFS(請求記録!$B$6:$B$3005,$A74,請求記録!$X$6:$X$3005,P$5,請求記録!$AD$6:$AD$3005,"保留中")&gt;0,"保留",IF(COUNTIFS(請求記録!$B$6:$B$3005,$A74,請求記録!$X$6:$X$3005,P$5)=0,"",SUMIFS(請求記録!$AC$6:$AC$3005,請求記録!$B$6:$B$3005,$A74,請求記録!$X$6:$X$3005,P$5))))</f>
        <v/>
      </c>
      <c r="Q74" s="19">
        <f>IF($A74="","",IF(COUNTIFS(請求記録!$B$6:$B$3005,$A74,請求記録!$X$6:$X$3005,Q$5,請求記録!$AD$6:$AD$3005,"保留中")&gt;0,"保留",IF(COUNTIFS(請求記録!$B$6:$B$3005,$A74,請求記録!$X$6:$X$3005,Q$5)=0,"",SUMIFS(請求記録!$AC$6:$AC$3005,請求記録!$B$6:$B$3005,$A74,請求記録!$X$6:$X$3005,Q$5))))</f>
        <v/>
      </c>
      <c r="R74" s="19">
        <f>IF($A74="","",IF(COUNTIFS(請求記録!$B$6:$B$3005,$A74,請求記録!$X$6:$X$3005,R$5,請求記録!$AD$6:$AD$3005,"保留中")&gt;0,"保留",IF(COUNTIFS(請求記録!$B$6:$B$3005,$A74,請求記録!$X$6:$X$3005,R$5)=0,"",SUMIFS(請求記録!$AC$6:$AC$3005,請求記録!$B$6:$B$3005,$A74,請求記録!$X$6:$X$3005,R$5))))</f>
        <v/>
      </c>
      <c r="S74" s="19">
        <f>IF($A74="","",IF(COUNTIFS(請求記録!$B$6:$B$3005,$A74,請求記録!$X$6:$X$3005,S$5,請求記録!$AD$6:$AD$3005,"保留中")&gt;0,"保留",IF(COUNTIFS(請求記録!$B$6:$B$3005,$A74,請求記録!$X$6:$X$3005,S$5)=0,"",SUMIFS(請求記録!$AC$6:$AC$3005,請求記録!$B$6:$B$3005,$A74,請求記録!$X$6:$X$3005,S$5))))</f>
        <v/>
      </c>
      <c r="T74" s="19">
        <f>IF($A74="","",IF(COUNTIFS(請求記録!$B$6:$B$3005,$A74,請求記録!$X$6:$X$3005,T$5,請求記録!$AD$6:$AD$3005,"保留中")&gt;0,"保留",IF(COUNTIFS(請求記録!$B$6:$B$3005,$A74,請求記録!$X$6:$X$3005,T$5)=0,"",SUMIFS(請求記録!$AC$6:$AC$3005,請求記録!$B$6:$B$3005,$A74,請求記録!$X$6:$X$3005,T$5))))</f>
        <v/>
      </c>
      <c r="U74" s="19">
        <f>IF($A74="","",IF(COUNTIFS(請求記録!$B$6:$B$3005,$A74,請求記録!$X$6:$X$3005,U$5,請求記録!$AD$6:$AD$3005,"保留中")&gt;0,"保留",IF(COUNTIFS(請求記録!$B$6:$B$3005,$A74,請求記録!$X$6:$X$3005,U$5)=0,"",SUMIFS(請求記録!$AC$6:$AC$3005,請求記録!$B$6:$B$3005,$A74,請求記録!$X$6:$X$3005,U$5))))</f>
        <v/>
      </c>
      <c r="V74" s="19">
        <f>IF($A74="","",IF(COUNTIFS(請求記録!$B$6:$B$3005,$A74,請求記録!$X$6:$X$3005,V$5,請求記録!$AD$6:$AD$3005,"保留中")&gt;0,"保留",IF(COUNTIFS(請求記録!$B$6:$B$3005,$A74,請求記録!$X$6:$X$3005,V$5)=0,"",SUMIFS(請求記録!$AC$6:$AC$3005,請求記録!$B$6:$B$3005,$A74,請求記録!$X$6:$X$3005,V$5))))</f>
        <v/>
      </c>
      <c r="W74" s="19">
        <f>IF($A74="","",IF(COUNTIFS(請求記録!$B$6:$B$3005,$A74,請求記録!$X$6:$X$3005,W$5,請求記録!$AD$6:$AD$3005,"保留中")&gt;0,"保留",IF(COUNTIFS(請求記録!$B$6:$B$3005,$A74,請求記録!$X$6:$X$3005,W$5)=0,"",SUMIFS(請求記録!$AC$6:$AC$3005,請求記録!$B$6:$B$3005,$A74,請求記録!$X$6:$X$3005,W$5))))</f>
        <v/>
      </c>
      <c r="X74" s="19">
        <f>IF($A74="","",IF(COUNTIFS(請求記録!$B$6:$B$3005,$A74,請求記録!$X$6:$X$3005,X$5,請求記録!$AD$6:$AD$3005,"保留中")&gt;0,"保留",IF(COUNTIFS(請求記録!$B$6:$B$3005,$A74,請求記録!$X$6:$X$3005,X$5)=0,"",SUMIFS(請求記録!$AC$6:$AC$3005,請求記録!$B$6:$B$3005,$A74,請求記録!$X$6:$X$3005,X$5))))</f>
        <v/>
      </c>
      <c r="Y74" s="19">
        <f>IF($A74="","",IF(COUNTIFS(請求記録!$B$6:$B$3005,$A74,請求記録!$X$6:$X$3005,Y$5,請求記録!$AD$6:$AD$3005,"保留中")&gt;0,"保留",IF(COUNTIFS(請求記録!$B$6:$B$3005,$A74,請求記録!$X$6:$X$3005,Y$5)=0,"",SUMIFS(請求記録!$AC$6:$AC$3005,請求記録!$B$6:$B$3005,$A74,請求記録!$X$6:$X$3005,Y$5))))</f>
        <v/>
      </c>
      <c r="Z74" s="19">
        <f>IF($A74="","",IF(COUNTIFS(請求記録!$B$6:$B$3005,$A74,請求記録!$X$6:$X$3005,Z$5,請求記録!$AD$6:$AD$3005,"保留中")&gt;0,"保留",IF(COUNTIFS(請求記録!$B$6:$B$3005,$A74,請求記録!$X$6:$X$3005,Z$5)=0,"",SUMIFS(請求記録!$AC$6:$AC$3005,請求記録!$B$6:$B$3005,$A74,請求記録!$X$6:$X$3005,Z$5))))</f>
        <v/>
      </c>
      <c r="AA74" s="19">
        <f>IF($A74="","",IF(COUNTIFS(請求記録!$B$6:$B$3005,$A74,請求記録!$X$6:$X$3005,AA$5,請求記録!$AD$6:$AD$3005,"保留中")&gt;0,"保留",IF(COUNTIFS(請求記録!$B$6:$B$3005,$A74,請求記録!$X$6:$X$3005,AA$5)=0,"",SUMIFS(請求記録!$AC$6:$AC$3005,請求記録!$B$6:$B$3005,$A74,請求記録!$X$6:$X$3005,AA$5))))</f>
        <v/>
      </c>
      <c r="AB74">
        <f>IF(職員マスタ!P74="保留中",職員マスタ!M74,"")</f>
        <v/>
      </c>
    </row>
    <row r="75">
      <c r="A75">
        <f>IF(職員マスタ!A75="","",職員マスタ!A75)</f>
        <v/>
      </c>
      <c r="B75">
        <f>IF($A75="","",職員マスタ!B75)</f>
        <v/>
      </c>
      <c r="C75">
        <f>IF($A75="","",職員マスタ!C75)</f>
        <v/>
      </c>
      <c r="D75" s="19">
        <f>IF($A75="","",IF(COUNTIFS(請求記録!$B$6:$B$3005,$A75,請求記録!$X$6:$X$3005,D$5,請求記録!$AD$6:$AD$3005,"保留中")&gt;0,"保留",IF(COUNTIFS(請求記録!$B$6:$B$3005,$A75,請求記録!$X$6:$X$3005,D$5)=0,"",SUMIFS(請求記録!$AC$6:$AC$3005,請求記録!$B$6:$B$3005,$A75,請求記録!$X$6:$X$3005,D$5))))</f>
        <v/>
      </c>
      <c r="E75" s="19">
        <f>IF($A75="","",IF(COUNTIFS(請求記録!$B$6:$B$3005,$A75,請求記録!$X$6:$X$3005,E$5,請求記録!$AD$6:$AD$3005,"保留中")&gt;0,"保留",IF(COUNTIFS(請求記録!$B$6:$B$3005,$A75,請求記録!$X$6:$X$3005,E$5)=0,"",SUMIFS(請求記録!$AC$6:$AC$3005,請求記録!$B$6:$B$3005,$A75,請求記録!$X$6:$X$3005,E$5))))</f>
        <v/>
      </c>
      <c r="F75" s="19">
        <f>IF($A75="","",IF(COUNTIFS(請求記録!$B$6:$B$3005,$A75,請求記録!$X$6:$X$3005,F$5,請求記録!$AD$6:$AD$3005,"保留中")&gt;0,"保留",IF(COUNTIFS(請求記録!$B$6:$B$3005,$A75,請求記録!$X$6:$X$3005,F$5)=0,"",SUMIFS(請求記録!$AC$6:$AC$3005,請求記録!$B$6:$B$3005,$A75,請求記録!$X$6:$X$3005,F$5))))</f>
        <v/>
      </c>
      <c r="G75" s="19">
        <f>IF($A75="","",IF(COUNTIFS(請求記録!$B$6:$B$3005,$A75,請求記録!$X$6:$X$3005,G$5,請求記録!$AD$6:$AD$3005,"保留中")&gt;0,"保留",IF(COUNTIFS(請求記録!$B$6:$B$3005,$A75,請求記録!$X$6:$X$3005,G$5)=0,"",SUMIFS(請求記録!$AC$6:$AC$3005,請求記録!$B$6:$B$3005,$A75,請求記録!$X$6:$X$3005,G$5))))</f>
        <v/>
      </c>
      <c r="H75" s="19">
        <f>IF($A75="","",IF(COUNTIFS(請求記録!$B$6:$B$3005,$A75,請求記録!$X$6:$X$3005,H$5,請求記録!$AD$6:$AD$3005,"保留中")&gt;0,"保留",IF(COUNTIFS(請求記録!$B$6:$B$3005,$A75,請求記録!$X$6:$X$3005,H$5)=0,"",SUMIFS(請求記録!$AC$6:$AC$3005,請求記録!$B$6:$B$3005,$A75,請求記録!$X$6:$X$3005,H$5))))</f>
        <v/>
      </c>
      <c r="I75" s="19">
        <f>IF($A75="","",IF(COUNTIFS(請求記録!$B$6:$B$3005,$A75,請求記録!$X$6:$X$3005,I$5,請求記録!$AD$6:$AD$3005,"保留中")&gt;0,"保留",IF(COUNTIFS(請求記録!$B$6:$B$3005,$A75,請求記録!$X$6:$X$3005,I$5)=0,"",SUMIFS(請求記録!$AC$6:$AC$3005,請求記録!$B$6:$B$3005,$A75,請求記録!$X$6:$X$3005,I$5))))</f>
        <v/>
      </c>
      <c r="J75" s="19">
        <f>IF($A75="","",IF(COUNTIFS(請求記録!$B$6:$B$3005,$A75,請求記録!$X$6:$X$3005,J$5,請求記録!$AD$6:$AD$3005,"保留中")&gt;0,"保留",IF(COUNTIFS(請求記録!$B$6:$B$3005,$A75,請求記録!$X$6:$X$3005,J$5)=0,"",SUMIFS(請求記録!$AC$6:$AC$3005,請求記録!$B$6:$B$3005,$A75,請求記録!$X$6:$X$3005,J$5))))</f>
        <v/>
      </c>
      <c r="K75" s="19">
        <f>IF($A75="","",IF(COUNTIFS(請求記録!$B$6:$B$3005,$A75,請求記録!$X$6:$X$3005,K$5,請求記録!$AD$6:$AD$3005,"保留中")&gt;0,"保留",IF(COUNTIFS(請求記録!$B$6:$B$3005,$A75,請求記録!$X$6:$X$3005,K$5)=0,"",SUMIFS(請求記録!$AC$6:$AC$3005,請求記録!$B$6:$B$3005,$A75,請求記録!$X$6:$X$3005,K$5))))</f>
        <v/>
      </c>
      <c r="L75" s="19">
        <f>IF($A75="","",IF(COUNTIFS(請求記録!$B$6:$B$3005,$A75,請求記録!$X$6:$X$3005,L$5,請求記録!$AD$6:$AD$3005,"保留中")&gt;0,"保留",IF(COUNTIFS(請求記録!$B$6:$B$3005,$A75,請求記録!$X$6:$X$3005,L$5)=0,"",SUMIFS(請求記録!$AC$6:$AC$3005,請求記録!$B$6:$B$3005,$A75,請求記録!$X$6:$X$3005,L$5))))</f>
        <v/>
      </c>
      <c r="M75" s="19">
        <f>IF($A75="","",IF(COUNTIFS(請求記録!$B$6:$B$3005,$A75,請求記録!$X$6:$X$3005,M$5,請求記録!$AD$6:$AD$3005,"保留中")&gt;0,"保留",IF(COUNTIFS(請求記録!$B$6:$B$3005,$A75,請求記録!$X$6:$X$3005,M$5)=0,"",SUMIFS(請求記録!$AC$6:$AC$3005,請求記録!$B$6:$B$3005,$A75,請求記録!$X$6:$X$3005,M$5))))</f>
        <v/>
      </c>
      <c r="N75" s="19">
        <f>IF($A75="","",IF(COUNTIFS(請求記録!$B$6:$B$3005,$A75,請求記録!$X$6:$X$3005,N$5,請求記録!$AD$6:$AD$3005,"保留中")&gt;0,"保留",IF(COUNTIFS(請求記録!$B$6:$B$3005,$A75,請求記録!$X$6:$X$3005,N$5)=0,"",SUMIFS(請求記録!$AC$6:$AC$3005,請求記録!$B$6:$B$3005,$A75,請求記録!$X$6:$X$3005,N$5))))</f>
        <v/>
      </c>
      <c r="O75" s="19">
        <f>IF($A75="","",IF(COUNTIFS(請求記録!$B$6:$B$3005,$A75,請求記録!$X$6:$X$3005,O$5,請求記録!$AD$6:$AD$3005,"保留中")&gt;0,"保留",IF(COUNTIFS(請求記録!$B$6:$B$3005,$A75,請求記録!$X$6:$X$3005,O$5)=0,"",SUMIFS(請求記録!$AC$6:$AC$3005,請求記録!$B$6:$B$3005,$A75,請求記録!$X$6:$X$3005,O$5))))</f>
        <v/>
      </c>
      <c r="P75" s="19">
        <f>IF($A75="","",IF(COUNTIFS(請求記録!$B$6:$B$3005,$A75,請求記録!$X$6:$X$3005,P$5,請求記録!$AD$6:$AD$3005,"保留中")&gt;0,"保留",IF(COUNTIFS(請求記録!$B$6:$B$3005,$A75,請求記録!$X$6:$X$3005,P$5)=0,"",SUMIFS(請求記録!$AC$6:$AC$3005,請求記録!$B$6:$B$3005,$A75,請求記録!$X$6:$X$3005,P$5))))</f>
        <v/>
      </c>
      <c r="Q75" s="19">
        <f>IF($A75="","",IF(COUNTIFS(請求記録!$B$6:$B$3005,$A75,請求記録!$X$6:$X$3005,Q$5,請求記録!$AD$6:$AD$3005,"保留中")&gt;0,"保留",IF(COUNTIFS(請求記録!$B$6:$B$3005,$A75,請求記録!$X$6:$X$3005,Q$5)=0,"",SUMIFS(請求記録!$AC$6:$AC$3005,請求記録!$B$6:$B$3005,$A75,請求記録!$X$6:$X$3005,Q$5))))</f>
        <v/>
      </c>
      <c r="R75" s="19">
        <f>IF($A75="","",IF(COUNTIFS(請求記録!$B$6:$B$3005,$A75,請求記録!$X$6:$X$3005,R$5,請求記録!$AD$6:$AD$3005,"保留中")&gt;0,"保留",IF(COUNTIFS(請求記録!$B$6:$B$3005,$A75,請求記録!$X$6:$X$3005,R$5)=0,"",SUMIFS(請求記録!$AC$6:$AC$3005,請求記録!$B$6:$B$3005,$A75,請求記録!$X$6:$X$3005,R$5))))</f>
        <v/>
      </c>
      <c r="S75" s="19">
        <f>IF($A75="","",IF(COUNTIFS(請求記録!$B$6:$B$3005,$A75,請求記録!$X$6:$X$3005,S$5,請求記録!$AD$6:$AD$3005,"保留中")&gt;0,"保留",IF(COUNTIFS(請求記録!$B$6:$B$3005,$A75,請求記録!$X$6:$X$3005,S$5)=0,"",SUMIFS(請求記録!$AC$6:$AC$3005,請求記録!$B$6:$B$3005,$A75,請求記録!$X$6:$X$3005,S$5))))</f>
        <v/>
      </c>
      <c r="T75" s="19">
        <f>IF($A75="","",IF(COUNTIFS(請求記録!$B$6:$B$3005,$A75,請求記録!$X$6:$X$3005,T$5,請求記録!$AD$6:$AD$3005,"保留中")&gt;0,"保留",IF(COUNTIFS(請求記録!$B$6:$B$3005,$A75,請求記録!$X$6:$X$3005,T$5)=0,"",SUMIFS(請求記録!$AC$6:$AC$3005,請求記録!$B$6:$B$3005,$A75,請求記録!$X$6:$X$3005,T$5))))</f>
        <v/>
      </c>
      <c r="U75" s="19">
        <f>IF($A75="","",IF(COUNTIFS(請求記録!$B$6:$B$3005,$A75,請求記録!$X$6:$X$3005,U$5,請求記録!$AD$6:$AD$3005,"保留中")&gt;0,"保留",IF(COUNTIFS(請求記録!$B$6:$B$3005,$A75,請求記録!$X$6:$X$3005,U$5)=0,"",SUMIFS(請求記録!$AC$6:$AC$3005,請求記録!$B$6:$B$3005,$A75,請求記録!$X$6:$X$3005,U$5))))</f>
        <v/>
      </c>
      <c r="V75" s="19">
        <f>IF($A75="","",IF(COUNTIFS(請求記録!$B$6:$B$3005,$A75,請求記録!$X$6:$X$3005,V$5,請求記録!$AD$6:$AD$3005,"保留中")&gt;0,"保留",IF(COUNTIFS(請求記録!$B$6:$B$3005,$A75,請求記録!$X$6:$X$3005,V$5)=0,"",SUMIFS(請求記録!$AC$6:$AC$3005,請求記録!$B$6:$B$3005,$A75,請求記録!$X$6:$X$3005,V$5))))</f>
        <v/>
      </c>
      <c r="W75" s="19">
        <f>IF($A75="","",IF(COUNTIFS(請求記録!$B$6:$B$3005,$A75,請求記録!$X$6:$X$3005,W$5,請求記録!$AD$6:$AD$3005,"保留中")&gt;0,"保留",IF(COUNTIFS(請求記録!$B$6:$B$3005,$A75,請求記録!$X$6:$X$3005,W$5)=0,"",SUMIFS(請求記録!$AC$6:$AC$3005,請求記録!$B$6:$B$3005,$A75,請求記録!$X$6:$X$3005,W$5))))</f>
        <v/>
      </c>
      <c r="X75" s="19">
        <f>IF($A75="","",IF(COUNTIFS(請求記録!$B$6:$B$3005,$A75,請求記録!$X$6:$X$3005,X$5,請求記録!$AD$6:$AD$3005,"保留中")&gt;0,"保留",IF(COUNTIFS(請求記録!$B$6:$B$3005,$A75,請求記録!$X$6:$X$3005,X$5)=0,"",SUMIFS(請求記録!$AC$6:$AC$3005,請求記録!$B$6:$B$3005,$A75,請求記録!$X$6:$X$3005,X$5))))</f>
        <v/>
      </c>
      <c r="Y75" s="19">
        <f>IF($A75="","",IF(COUNTIFS(請求記録!$B$6:$B$3005,$A75,請求記録!$X$6:$X$3005,Y$5,請求記録!$AD$6:$AD$3005,"保留中")&gt;0,"保留",IF(COUNTIFS(請求記録!$B$6:$B$3005,$A75,請求記録!$X$6:$X$3005,Y$5)=0,"",SUMIFS(請求記録!$AC$6:$AC$3005,請求記録!$B$6:$B$3005,$A75,請求記録!$X$6:$X$3005,Y$5))))</f>
        <v/>
      </c>
      <c r="Z75" s="19">
        <f>IF($A75="","",IF(COUNTIFS(請求記録!$B$6:$B$3005,$A75,請求記録!$X$6:$X$3005,Z$5,請求記録!$AD$6:$AD$3005,"保留中")&gt;0,"保留",IF(COUNTIFS(請求記録!$B$6:$B$3005,$A75,請求記録!$X$6:$X$3005,Z$5)=0,"",SUMIFS(請求記録!$AC$6:$AC$3005,請求記録!$B$6:$B$3005,$A75,請求記録!$X$6:$X$3005,Z$5))))</f>
        <v/>
      </c>
      <c r="AA75" s="19">
        <f>IF($A75="","",IF(COUNTIFS(請求記録!$B$6:$B$3005,$A75,請求記録!$X$6:$X$3005,AA$5,請求記録!$AD$6:$AD$3005,"保留中")&gt;0,"保留",IF(COUNTIFS(請求記録!$B$6:$B$3005,$A75,請求記録!$X$6:$X$3005,AA$5)=0,"",SUMIFS(請求記録!$AC$6:$AC$3005,請求記録!$B$6:$B$3005,$A75,請求記録!$X$6:$X$3005,AA$5))))</f>
        <v/>
      </c>
      <c r="AB75">
        <f>IF(職員マスタ!P75="保留中",職員マスタ!M75,"")</f>
        <v/>
      </c>
    </row>
    <row r="76">
      <c r="A76">
        <f>IF(職員マスタ!A76="","",職員マスタ!A76)</f>
        <v/>
      </c>
      <c r="B76">
        <f>IF($A76="","",職員マスタ!B76)</f>
        <v/>
      </c>
      <c r="C76">
        <f>IF($A76="","",職員マスタ!C76)</f>
        <v/>
      </c>
      <c r="D76" s="19">
        <f>IF($A76="","",IF(COUNTIFS(請求記録!$B$6:$B$3005,$A76,請求記録!$X$6:$X$3005,D$5,請求記録!$AD$6:$AD$3005,"保留中")&gt;0,"保留",IF(COUNTIFS(請求記録!$B$6:$B$3005,$A76,請求記録!$X$6:$X$3005,D$5)=0,"",SUMIFS(請求記録!$AC$6:$AC$3005,請求記録!$B$6:$B$3005,$A76,請求記録!$X$6:$X$3005,D$5))))</f>
        <v/>
      </c>
      <c r="E76" s="19">
        <f>IF($A76="","",IF(COUNTIFS(請求記録!$B$6:$B$3005,$A76,請求記録!$X$6:$X$3005,E$5,請求記録!$AD$6:$AD$3005,"保留中")&gt;0,"保留",IF(COUNTIFS(請求記録!$B$6:$B$3005,$A76,請求記録!$X$6:$X$3005,E$5)=0,"",SUMIFS(請求記録!$AC$6:$AC$3005,請求記録!$B$6:$B$3005,$A76,請求記録!$X$6:$X$3005,E$5))))</f>
        <v/>
      </c>
      <c r="F76" s="19">
        <f>IF($A76="","",IF(COUNTIFS(請求記録!$B$6:$B$3005,$A76,請求記録!$X$6:$X$3005,F$5,請求記録!$AD$6:$AD$3005,"保留中")&gt;0,"保留",IF(COUNTIFS(請求記録!$B$6:$B$3005,$A76,請求記録!$X$6:$X$3005,F$5)=0,"",SUMIFS(請求記録!$AC$6:$AC$3005,請求記録!$B$6:$B$3005,$A76,請求記録!$X$6:$X$3005,F$5))))</f>
        <v/>
      </c>
      <c r="G76" s="19">
        <f>IF($A76="","",IF(COUNTIFS(請求記録!$B$6:$B$3005,$A76,請求記録!$X$6:$X$3005,G$5,請求記録!$AD$6:$AD$3005,"保留中")&gt;0,"保留",IF(COUNTIFS(請求記録!$B$6:$B$3005,$A76,請求記録!$X$6:$X$3005,G$5)=0,"",SUMIFS(請求記録!$AC$6:$AC$3005,請求記録!$B$6:$B$3005,$A76,請求記録!$X$6:$X$3005,G$5))))</f>
        <v/>
      </c>
      <c r="H76" s="19">
        <f>IF($A76="","",IF(COUNTIFS(請求記録!$B$6:$B$3005,$A76,請求記録!$X$6:$X$3005,H$5,請求記録!$AD$6:$AD$3005,"保留中")&gt;0,"保留",IF(COUNTIFS(請求記録!$B$6:$B$3005,$A76,請求記録!$X$6:$X$3005,H$5)=0,"",SUMIFS(請求記録!$AC$6:$AC$3005,請求記録!$B$6:$B$3005,$A76,請求記録!$X$6:$X$3005,H$5))))</f>
        <v/>
      </c>
      <c r="I76" s="19">
        <f>IF($A76="","",IF(COUNTIFS(請求記録!$B$6:$B$3005,$A76,請求記録!$X$6:$X$3005,I$5,請求記録!$AD$6:$AD$3005,"保留中")&gt;0,"保留",IF(COUNTIFS(請求記録!$B$6:$B$3005,$A76,請求記録!$X$6:$X$3005,I$5)=0,"",SUMIFS(請求記録!$AC$6:$AC$3005,請求記録!$B$6:$B$3005,$A76,請求記録!$X$6:$X$3005,I$5))))</f>
        <v/>
      </c>
      <c r="J76" s="19">
        <f>IF($A76="","",IF(COUNTIFS(請求記録!$B$6:$B$3005,$A76,請求記録!$X$6:$X$3005,J$5,請求記録!$AD$6:$AD$3005,"保留中")&gt;0,"保留",IF(COUNTIFS(請求記録!$B$6:$B$3005,$A76,請求記録!$X$6:$X$3005,J$5)=0,"",SUMIFS(請求記録!$AC$6:$AC$3005,請求記録!$B$6:$B$3005,$A76,請求記録!$X$6:$X$3005,J$5))))</f>
        <v/>
      </c>
      <c r="K76" s="19">
        <f>IF($A76="","",IF(COUNTIFS(請求記録!$B$6:$B$3005,$A76,請求記録!$X$6:$X$3005,K$5,請求記録!$AD$6:$AD$3005,"保留中")&gt;0,"保留",IF(COUNTIFS(請求記録!$B$6:$B$3005,$A76,請求記録!$X$6:$X$3005,K$5)=0,"",SUMIFS(請求記録!$AC$6:$AC$3005,請求記録!$B$6:$B$3005,$A76,請求記録!$X$6:$X$3005,K$5))))</f>
        <v/>
      </c>
      <c r="L76" s="19">
        <f>IF($A76="","",IF(COUNTIFS(請求記録!$B$6:$B$3005,$A76,請求記録!$X$6:$X$3005,L$5,請求記録!$AD$6:$AD$3005,"保留中")&gt;0,"保留",IF(COUNTIFS(請求記録!$B$6:$B$3005,$A76,請求記録!$X$6:$X$3005,L$5)=0,"",SUMIFS(請求記録!$AC$6:$AC$3005,請求記録!$B$6:$B$3005,$A76,請求記録!$X$6:$X$3005,L$5))))</f>
        <v/>
      </c>
      <c r="M76" s="19">
        <f>IF($A76="","",IF(COUNTIFS(請求記録!$B$6:$B$3005,$A76,請求記録!$X$6:$X$3005,M$5,請求記録!$AD$6:$AD$3005,"保留中")&gt;0,"保留",IF(COUNTIFS(請求記録!$B$6:$B$3005,$A76,請求記録!$X$6:$X$3005,M$5)=0,"",SUMIFS(請求記録!$AC$6:$AC$3005,請求記録!$B$6:$B$3005,$A76,請求記録!$X$6:$X$3005,M$5))))</f>
        <v/>
      </c>
      <c r="N76" s="19">
        <f>IF($A76="","",IF(COUNTIFS(請求記録!$B$6:$B$3005,$A76,請求記録!$X$6:$X$3005,N$5,請求記録!$AD$6:$AD$3005,"保留中")&gt;0,"保留",IF(COUNTIFS(請求記録!$B$6:$B$3005,$A76,請求記録!$X$6:$X$3005,N$5)=0,"",SUMIFS(請求記録!$AC$6:$AC$3005,請求記録!$B$6:$B$3005,$A76,請求記録!$X$6:$X$3005,N$5))))</f>
        <v/>
      </c>
      <c r="O76" s="19">
        <f>IF($A76="","",IF(COUNTIFS(請求記録!$B$6:$B$3005,$A76,請求記録!$X$6:$X$3005,O$5,請求記録!$AD$6:$AD$3005,"保留中")&gt;0,"保留",IF(COUNTIFS(請求記録!$B$6:$B$3005,$A76,請求記録!$X$6:$X$3005,O$5)=0,"",SUMIFS(請求記録!$AC$6:$AC$3005,請求記録!$B$6:$B$3005,$A76,請求記録!$X$6:$X$3005,O$5))))</f>
        <v/>
      </c>
      <c r="P76" s="19">
        <f>IF($A76="","",IF(COUNTIFS(請求記録!$B$6:$B$3005,$A76,請求記録!$X$6:$X$3005,P$5,請求記録!$AD$6:$AD$3005,"保留中")&gt;0,"保留",IF(COUNTIFS(請求記録!$B$6:$B$3005,$A76,請求記録!$X$6:$X$3005,P$5)=0,"",SUMIFS(請求記録!$AC$6:$AC$3005,請求記録!$B$6:$B$3005,$A76,請求記録!$X$6:$X$3005,P$5))))</f>
        <v/>
      </c>
      <c r="Q76" s="19">
        <f>IF($A76="","",IF(COUNTIFS(請求記録!$B$6:$B$3005,$A76,請求記録!$X$6:$X$3005,Q$5,請求記録!$AD$6:$AD$3005,"保留中")&gt;0,"保留",IF(COUNTIFS(請求記録!$B$6:$B$3005,$A76,請求記録!$X$6:$X$3005,Q$5)=0,"",SUMIFS(請求記録!$AC$6:$AC$3005,請求記録!$B$6:$B$3005,$A76,請求記録!$X$6:$X$3005,Q$5))))</f>
        <v/>
      </c>
      <c r="R76" s="19">
        <f>IF($A76="","",IF(COUNTIFS(請求記録!$B$6:$B$3005,$A76,請求記録!$X$6:$X$3005,R$5,請求記録!$AD$6:$AD$3005,"保留中")&gt;0,"保留",IF(COUNTIFS(請求記録!$B$6:$B$3005,$A76,請求記録!$X$6:$X$3005,R$5)=0,"",SUMIFS(請求記録!$AC$6:$AC$3005,請求記録!$B$6:$B$3005,$A76,請求記録!$X$6:$X$3005,R$5))))</f>
        <v/>
      </c>
      <c r="S76" s="19">
        <f>IF($A76="","",IF(COUNTIFS(請求記録!$B$6:$B$3005,$A76,請求記録!$X$6:$X$3005,S$5,請求記録!$AD$6:$AD$3005,"保留中")&gt;0,"保留",IF(COUNTIFS(請求記録!$B$6:$B$3005,$A76,請求記録!$X$6:$X$3005,S$5)=0,"",SUMIFS(請求記録!$AC$6:$AC$3005,請求記録!$B$6:$B$3005,$A76,請求記録!$X$6:$X$3005,S$5))))</f>
        <v/>
      </c>
      <c r="T76" s="19">
        <f>IF($A76="","",IF(COUNTIFS(請求記録!$B$6:$B$3005,$A76,請求記録!$X$6:$X$3005,T$5,請求記録!$AD$6:$AD$3005,"保留中")&gt;0,"保留",IF(COUNTIFS(請求記録!$B$6:$B$3005,$A76,請求記録!$X$6:$X$3005,T$5)=0,"",SUMIFS(請求記録!$AC$6:$AC$3005,請求記録!$B$6:$B$3005,$A76,請求記録!$X$6:$X$3005,T$5))))</f>
        <v/>
      </c>
      <c r="U76" s="19">
        <f>IF($A76="","",IF(COUNTIFS(請求記録!$B$6:$B$3005,$A76,請求記録!$X$6:$X$3005,U$5,請求記録!$AD$6:$AD$3005,"保留中")&gt;0,"保留",IF(COUNTIFS(請求記録!$B$6:$B$3005,$A76,請求記録!$X$6:$X$3005,U$5)=0,"",SUMIFS(請求記録!$AC$6:$AC$3005,請求記録!$B$6:$B$3005,$A76,請求記録!$X$6:$X$3005,U$5))))</f>
        <v/>
      </c>
      <c r="V76" s="19">
        <f>IF($A76="","",IF(COUNTIFS(請求記録!$B$6:$B$3005,$A76,請求記録!$X$6:$X$3005,V$5,請求記録!$AD$6:$AD$3005,"保留中")&gt;0,"保留",IF(COUNTIFS(請求記録!$B$6:$B$3005,$A76,請求記録!$X$6:$X$3005,V$5)=0,"",SUMIFS(請求記録!$AC$6:$AC$3005,請求記録!$B$6:$B$3005,$A76,請求記録!$X$6:$X$3005,V$5))))</f>
        <v/>
      </c>
      <c r="W76" s="19">
        <f>IF($A76="","",IF(COUNTIFS(請求記録!$B$6:$B$3005,$A76,請求記録!$X$6:$X$3005,W$5,請求記録!$AD$6:$AD$3005,"保留中")&gt;0,"保留",IF(COUNTIFS(請求記録!$B$6:$B$3005,$A76,請求記録!$X$6:$X$3005,W$5)=0,"",SUMIFS(請求記録!$AC$6:$AC$3005,請求記録!$B$6:$B$3005,$A76,請求記録!$X$6:$X$3005,W$5))))</f>
        <v/>
      </c>
      <c r="X76" s="19">
        <f>IF($A76="","",IF(COUNTIFS(請求記録!$B$6:$B$3005,$A76,請求記録!$X$6:$X$3005,X$5,請求記録!$AD$6:$AD$3005,"保留中")&gt;0,"保留",IF(COUNTIFS(請求記録!$B$6:$B$3005,$A76,請求記録!$X$6:$X$3005,X$5)=0,"",SUMIFS(請求記録!$AC$6:$AC$3005,請求記録!$B$6:$B$3005,$A76,請求記録!$X$6:$X$3005,X$5))))</f>
        <v/>
      </c>
      <c r="Y76" s="19">
        <f>IF($A76="","",IF(COUNTIFS(請求記録!$B$6:$B$3005,$A76,請求記録!$X$6:$X$3005,Y$5,請求記録!$AD$6:$AD$3005,"保留中")&gt;0,"保留",IF(COUNTIFS(請求記録!$B$6:$B$3005,$A76,請求記録!$X$6:$X$3005,Y$5)=0,"",SUMIFS(請求記録!$AC$6:$AC$3005,請求記録!$B$6:$B$3005,$A76,請求記録!$X$6:$X$3005,Y$5))))</f>
        <v/>
      </c>
      <c r="Z76" s="19">
        <f>IF($A76="","",IF(COUNTIFS(請求記録!$B$6:$B$3005,$A76,請求記録!$X$6:$X$3005,Z$5,請求記録!$AD$6:$AD$3005,"保留中")&gt;0,"保留",IF(COUNTIFS(請求記録!$B$6:$B$3005,$A76,請求記録!$X$6:$X$3005,Z$5)=0,"",SUMIFS(請求記録!$AC$6:$AC$3005,請求記録!$B$6:$B$3005,$A76,請求記録!$X$6:$X$3005,Z$5))))</f>
        <v/>
      </c>
      <c r="AA76" s="19">
        <f>IF($A76="","",IF(COUNTIFS(請求記録!$B$6:$B$3005,$A76,請求記録!$X$6:$X$3005,AA$5,請求記録!$AD$6:$AD$3005,"保留中")&gt;0,"保留",IF(COUNTIFS(請求記録!$B$6:$B$3005,$A76,請求記録!$X$6:$X$3005,AA$5)=0,"",SUMIFS(請求記録!$AC$6:$AC$3005,請求記録!$B$6:$B$3005,$A76,請求記録!$X$6:$X$3005,AA$5))))</f>
        <v/>
      </c>
      <c r="AB76">
        <f>IF(職員マスタ!P76="保留中",職員マスタ!M76,"")</f>
        <v/>
      </c>
    </row>
    <row r="77">
      <c r="A77">
        <f>IF(職員マスタ!A77="","",職員マスタ!A77)</f>
        <v/>
      </c>
      <c r="B77">
        <f>IF($A77="","",職員マスタ!B77)</f>
        <v/>
      </c>
      <c r="C77">
        <f>IF($A77="","",職員マスタ!C77)</f>
        <v/>
      </c>
      <c r="D77" s="19">
        <f>IF($A77="","",IF(COUNTIFS(請求記録!$B$6:$B$3005,$A77,請求記録!$X$6:$X$3005,D$5,請求記録!$AD$6:$AD$3005,"保留中")&gt;0,"保留",IF(COUNTIFS(請求記録!$B$6:$B$3005,$A77,請求記録!$X$6:$X$3005,D$5)=0,"",SUMIFS(請求記録!$AC$6:$AC$3005,請求記録!$B$6:$B$3005,$A77,請求記録!$X$6:$X$3005,D$5))))</f>
        <v/>
      </c>
      <c r="E77" s="19">
        <f>IF($A77="","",IF(COUNTIFS(請求記録!$B$6:$B$3005,$A77,請求記録!$X$6:$X$3005,E$5,請求記録!$AD$6:$AD$3005,"保留中")&gt;0,"保留",IF(COUNTIFS(請求記録!$B$6:$B$3005,$A77,請求記録!$X$6:$X$3005,E$5)=0,"",SUMIFS(請求記録!$AC$6:$AC$3005,請求記録!$B$6:$B$3005,$A77,請求記録!$X$6:$X$3005,E$5))))</f>
        <v/>
      </c>
      <c r="F77" s="19">
        <f>IF($A77="","",IF(COUNTIFS(請求記録!$B$6:$B$3005,$A77,請求記録!$X$6:$X$3005,F$5,請求記録!$AD$6:$AD$3005,"保留中")&gt;0,"保留",IF(COUNTIFS(請求記録!$B$6:$B$3005,$A77,請求記録!$X$6:$X$3005,F$5)=0,"",SUMIFS(請求記録!$AC$6:$AC$3005,請求記録!$B$6:$B$3005,$A77,請求記録!$X$6:$X$3005,F$5))))</f>
        <v/>
      </c>
      <c r="G77" s="19">
        <f>IF($A77="","",IF(COUNTIFS(請求記録!$B$6:$B$3005,$A77,請求記録!$X$6:$X$3005,G$5,請求記録!$AD$6:$AD$3005,"保留中")&gt;0,"保留",IF(COUNTIFS(請求記録!$B$6:$B$3005,$A77,請求記録!$X$6:$X$3005,G$5)=0,"",SUMIFS(請求記録!$AC$6:$AC$3005,請求記録!$B$6:$B$3005,$A77,請求記録!$X$6:$X$3005,G$5))))</f>
        <v/>
      </c>
      <c r="H77" s="19">
        <f>IF($A77="","",IF(COUNTIFS(請求記録!$B$6:$B$3005,$A77,請求記録!$X$6:$X$3005,H$5,請求記録!$AD$6:$AD$3005,"保留中")&gt;0,"保留",IF(COUNTIFS(請求記録!$B$6:$B$3005,$A77,請求記録!$X$6:$X$3005,H$5)=0,"",SUMIFS(請求記録!$AC$6:$AC$3005,請求記録!$B$6:$B$3005,$A77,請求記録!$X$6:$X$3005,H$5))))</f>
        <v/>
      </c>
      <c r="I77" s="19">
        <f>IF($A77="","",IF(COUNTIFS(請求記録!$B$6:$B$3005,$A77,請求記録!$X$6:$X$3005,I$5,請求記録!$AD$6:$AD$3005,"保留中")&gt;0,"保留",IF(COUNTIFS(請求記録!$B$6:$B$3005,$A77,請求記録!$X$6:$X$3005,I$5)=0,"",SUMIFS(請求記録!$AC$6:$AC$3005,請求記録!$B$6:$B$3005,$A77,請求記録!$X$6:$X$3005,I$5))))</f>
        <v/>
      </c>
      <c r="J77" s="19">
        <f>IF($A77="","",IF(COUNTIFS(請求記録!$B$6:$B$3005,$A77,請求記録!$X$6:$X$3005,J$5,請求記録!$AD$6:$AD$3005,"保留中")&gt;0,"保留",IF(COUNTIFS(請求記録!$B$6:$B$3005,$A77,請求記録!$X$6:$X$3005,J$5)=0,"",SUMIFS(請求記録!$AC$6:$AC$3005,請求記録!$B$6:$B$3005,$A77,請求記録!$X$6:$X$3005,J$5))))</f>
        <v/>
      </c>
      <c r="K77" s="19">
        <f>IF($A77="","",IF(COUNTIFS(請求記録!$B$6:$B$3005,$A77,請求記録!$X$6:$X$3005,K$5,請求記録!$AD$6:$AD$3005,"保留中")&gt;0,"保留",IF(COUNTIFS(請求記録!$B$6:$B$3005,$A77,請求記録!$X$6:$X$3005,K$5)=0,"",SUMIFS(請求記録!$AC$6:$AC$3005,請求記録!$B$6:$B$3005,$A77,請求記録!$X$6:$X$3005,K$5))))</f>
        <v/>
      </c>
      <c r="L77" s="19">
        <f>IF($A77="","",IF(COUNTIFS(請求記録!$B$6:$B$3005,$A77,請求記録!$X$6:$X$3005,L$5,請求記録!$AD$6:$AD$3005,"保留中")&gt;0,"保留",IF(COUNTIFS(請求記録!$B$6:$B$3005,$A77,請求記録!$X$6:$X$3005,L$5)=0,"",SUMIFS(請求記録!$AC$6:$AC$3005,請求記録!$B$6:$B$3005,$A77,請求記録!$X$6:$X$3005,L$5))))</f>
        <v/>
      </c>
      <c r="M77" s="19">
        <f>IF($A77="","",IF(COUNTIFS(請求記録!$B$6:$B$3005,$A77,請求記録!$X$6:$X$3005,M$5,請求記録!$AD$6:$AD$3005,"保留中")&gt;0,"保留",IF(COUNTIFS(請求記録!$B$6:$B$3005,$A77,請求記録!$X$6:$X$3005,M$5)=0,"",SUMIFS(請求記録!$AC$6:$AC$3005,請求記録!$B$6:$B$3005,$A77,請求記録!$X$6:$X$3005,M$5))))</f>
        <v/>
      </c>
      <c r="N77" s="19">
        <f>IF($A77="","",IF(COUNTIFS(請求記録!$B$6:$B$3005,$A77,請求記録!$X$6:$X$3005,N$5,請求記録!$AD$6:$AD$3005,"保留中")&gt;0,"保留",IF(COUNTIFS(請求記録!$B$6:$B$3005,$A77,請求記録!$X$6:$X$3005,N$5)=0,"",SUMIFS(請求記録!$AC$6:$AC$3005,請求記録!$B$6:$B$3005,$A77,請求記録!$X$6:$X$3005,N$5))))</f>
        <v/>
      </c>
      <c r="O77" s="19">
        <f>IF($A77="","",IF(COUNTIFS(請求記録!$B$6:$B$3005,$A77,請求記録!$X$6:$X$3005,O$5,請求記録!$AD$6:$AD$3005,"保留中")&gt;0,"保留",IF(COUNTIFS(請求記録!$B$6:$B$3005,$A77,請求記録!$X$6:$X$3005,O$5)=0,"",SUMIFS(請求記録!$AC$6:$AC$3005,請求記録!$B$6:$B$3005,$A77,請求記録!$X$6:$X$3005,O$5))))</f>
        <v/>
      </c>
      <c r="P77" s="19">
        <f>IF($A77="","",IF(COUNTIFS(請求記録!$B$6:$B$3005,$A77,請求記録!$X$6:$X$3005,P$5,請求記録!$AD$6:$AD$3005,"保留中")&gt;0,"保留",IF(COUNTIFS(請求記録!$B$6:$B$3005,$A77,請求記録!$X$6:$X$3005,P$5)=0,"",SUMIFS(請求記録!$AC$6:$AC$3005,請求記録!$B$6:$B$3005,$A77,請求記録!$X$6:$X$3005,P$5))))</f>
        <v/>
      </c>
      <c r="Q77" s="19">
        <f>IF($A77="","",IF(COUNTIFS(請求記録!$B$6:$B$3005,$A77,請求記録!$X$6:$X$3005,Q$5,請求記録!$AD$6:$AD$3005,"保留中")&gt;0,"保留",IF(COUNTIFS(請求記録!$B$6:$B$3005,$A77,請求記録!$X$6:$X$3005,Q$5)=0,"",SUMIFS(請求記録!$AC$6:$AC$3005,請求記録!$B$6:$B$3005,$A77,請求記録!$X$6:$X$3005,Q$5))))</f>
        <v/>
      </c>
      <c r="R77" s="19">
        <f>IF($A77="","",IF(COUNTIFS(請求記録!$B$6:$B$3005,$A77,請求記録!$X$6:$X$3005,R$5,請求記録!$AD$6:$AD$3005,"保留中")&gt;0,"保留",IF(COUNTIFS(請求記録!$B$6:$B$3005,$A77,請求記録!$X$6:$X$3005,R$5)=0,"",SUMIFS(請求記録!$AC$6:$AC$3005,請求記録!$B$6:$B$3005,$A77,請求記録!$X$6:$X$3005,R$5))))</f>
        <v/>
      </c>
      <c r="S77" s="19">
        <f>IF($A77="","",IF(COUNTIFS(請求記録!$B$6:$B$3005,$A77,請求記録!$X$6:$X$3005,S$5,請求記録!$AD$6:$AD$3005,"保留中")&gt;0,"保留",IF(COUNTIFS(請求記録!$B$6:$B$3005,$A77,請求記録!$X$6:$X$3005,S$5)=0,"",SUMIFS(請求記録!$AC$6:$AC$3005,請求記録!$B$6:$B$3005,$A77,請求記録!$X$6:$X$3005,S$5))))</f>
        <v/>
      </c>
      <c r="T77" s="19">
        <f>IF($A77="","",IF(COUNTIFS(請求記録!$B$6:$B$3005,$A77,請求記録!$X$6:$X$3005,T$5,請求記録!$AD$6:$AD$3005,"保留中")&gt;0,"保留",IF(COUNTIFS(請求記録!$B$6:$B$3005,$A77,請求記録!$X$6:$X$3005,T$5)=0,"",SUMIFS(請求記録!$AC$6:$AC$3005,請求記録!$B$6:$B$3005,$A77,請求記録!$X$6:$X$3005,T$5))))</f>
        <v/>
      </c>
      <c r="U77" s="19">
        <f>IF($A77="","",IF(COUNTIFS(請求記録!$B$6:$B$3005,$A77,請求記録!$X$6:$X$3005,U$5,請求記録!$AD$6:$AD$3005,"保留中")&gt;0,"保留",IF(COUNTIFS(請求記録!$B$6:$B$3005,$A77,請求記録!$X$6:$X$3005,U$5)=0,"",SUMIFS(請求記録!$AC$6:$AC$3005,請求記録!$B$6:$B$3005,$A77,請求記録!$X$6:$X$3005,U$5))))</f>
        <v/>
      </c>
      <c r="V77" s="19">
        <f>IF($A77="","",IF(COUNTIFS(請求記録!$B$6:$B$3005,$A77,請求記録!$X$6:$X$3005,V$5,請求記録!$AD$6:$AD$3005,"保留中")&gt;0,"保留",IF(COUNTIFS(請求記録!$B$6:$B$3005,$A77,請求記録!$X$6:$X$3005,V$5)=0,"",SUMIFS(請求記録!$AC$6:$AC$3005,請求記録!$B$6:$B$3005,$A77,請求記録!$X$6:$X$3005,V$5))))</f>
        <v/>
      </c>
      <c r="W77" s="19">
        <f>IF($A77="","",IF(COUNTIFS(請求記録!$B$6:$B$3005,$A77,請求記録!$X$6:$X$3005,W$5,請求記録!$AD$6:$AD$3005,"保留中")&gt;0,"保留",IF(COUNTIFS(請求記録!$B$6:$B$3005,$A77,請求記録!$X$6:$X$3005,W$5)=0,"",SUMIFS(請求記録!$AC$6:$AC$3005,請求記録!$B$6:$B$3005,$A77,請求記録!$X$6:$X$3005,W$5))))</f>
        <v/>
      </c>
      <c r="X77" s="19">
        <f>IF($A77="","",IF(COUNTIFS(請求記録!$B$6:$B$3005,$A77,請求記録!$X$6:$X$3005,X$5,請求記録!$AD$6:$AD$3005,"保留中")&gt;0,"保留",IF(COUNTIFS(請求記録!$B$6:$B$3005,$A77,請求記録!$X$6:$X$3005,X$5)=0,"",SUMIFS(請求記録!$AC$6:$AC$3005,請求記録!$B$6:$B$3005,$A77,請求記録!$X$6:$X$3005,X$5))))</f>
        <v/>
      </c>
      <c r="Y77" s="19">
        <f>IF($A77="","",IF(COUNTIFS(請求記録!$B$6:$B$3005,$A77,請求記録!$X$6:$X$3005,Y$5,請求記録!$AD$6:$AD$3005,"保留中")&gt;0,"保留",IF(COUNTIFS(請求記録!$B$6:$B$3005,$A77,請求記録!$X$6:$X$3005,Y$5)=0,"",SUMIFS(請求記録!$AC$6:$AC$3005,請求記録!$B$6:$B$3005,$A77,請求記録!$X$6:$X$3005,Y$5))))</f>
        <v/>
      </c>
      <c r="Z77" s="19">
        <f>IF($A77="","",IF(COUNTIFS(請求記録!$B$6:$B$3005,$A77,請求記録!$X$6:$X$3005,Z$5,請求記録!$AD$6:$AD$3005,"保留中")&gt;0,"保留",IF(COUNTIFS(請求記録!$B$6:$B$3005,$A77,請求記録!$X$6:$X$3005,Z$5)=0,"",SUMIFS(請求記録!$AC$6:$AC$3005,請求記録!$B$6:$B$3005,$A77,請求記録!$X$6:$X$3005,Z$5))))</f>
        <v/>
      </c>
      <c r="AA77" s="19">
        <f>IF($A77="","",IF(COUNTIFS(請求記録!$B$6:$B$3005,$A77,請求記録!$X$6:$X$3005,AA$5,請求記録!$AD$6:$AD$3005,"保留中")&gt;0,"保留",IF(COUNTIFS(請求記録!$B$6:$B$3005,$A77,請求記録!$X$6:$X$3005,AA$5)=0,"",SUMIFS(請求記録!$AC$6:$AC$3005,請求記録!$B$6:$B$3005,$A77,請求記録!$X$6:$X$3005,AA$5))))</f>
        <v/>
      </c>
      <c r="AB77">
        <f>IF(職員マスタ!P77="保留中",職員マスタ!M77,"")</f>
        <v/>
      </c>
    </row>
    <row r="78">
      <c r="A78">
        <f>IF(職員マスタ!A78="","",職員マスタ!A78)</f>
        <v/>
      </c>
      <c r="B78">
        <f>IF($A78="","",職員マスタ!B78)</f>
        <v/>
      </c>
      <c r="C78">
        <f>IF($A78="","",職員マスタ!C78)</f>
        <v/>
      </c>
      <c r="D78" s="19">
        <f>IF($A78="","",IF(COUNTIFS(請求記録!$B$6:$B$3005,$A78,請求記録!$X$6:$X$3005,D$5,請求記録!$AD$6:$AD$3005,"保留中")&gt;0,"保留",IF(COUNTIFS(請求記録!$B$6:$B$3005,$A78,請求記録!$X$6:$X$3005,D$5)=0,"",SUMIFS(請求記録!$AC$6:$AC$3005,請求記録!$B$6:$B$3005,$A78,請求記録!$X$6:$X$3005,D$5))))</f>
        <v/>
      </c>
      <c r="E78" s="19">
        <f>IF($A78="","",IF(COUNTIFS(請求記録!$B$6:$B$3005,$A78,請求記録!$X$6:$X$3005,E$5,請求記録!$AD$6:$AD$3005,"保留中")&gt;0,"保留",IF(COUNTIFS(請求記録!$B$6:$B$3005,$A78,請求記録!$X$6:$X$3005,E$5)=0,"",SUMIFS(請求記録!$AC$6:$AC$3005,請求記録!$B$6:$B$3005,$A78,請求記録!$X$6:$X$3005,E$5))))</f>
        <v/>
      </c>
      <c r="F78" s="19">
        <f>IF($A78="","",IF(COUNTIFS(請求記録!$B$6:$B$3005,$A78,請求記録!$X$6:$X$3005,F$5,請求記録!$AD$6:$AD$3005,"保留中")&gt;0,"保留",IF(COUNTIFS(請求記録!$B$6:$B$3005,$A78,請求記録!$X$6:$X$3005,F$5)=0,"",SUMIFS(請求記録!$AC$6:$AC$3005,請求記録!$B$6:$B$3005,$A78,請求記録!$X$6:$X$3005,F$5))))</f>
        <v/>
      </c>
      <c r="G78" s="19">
        <f>IF($A78="","",IF(COUNTIFS(請求記録!$B$6:$B$3005,$A78,請求記録!$X$6:$X$3005,G$5,請求記録!$AD$6:$AD$3005,"保留中")&gt;0,"保留",IF(COUNTIFS(請求記録!$B$6:$B$3005,$A78,請求記録!$X$6:$X$3005,G$5)=0,"",SUMIFS(請求記録!$AC$6:$AC$3005,請求記録!$B$6:$B$3005,$A78,請求記録!$X$6:$X$3005,G$5))))</f>
        <v/>
      </c>
      <c r="H78" s="19">
        <f>IF($A78="","",IF(COUNTIFS(請求記録!$B$6:$B$3005,$A78,請求記録!$X$6:$X$3005,H$5,請求記録!$AD$6:$AD$3005,"保留中")&gt;0,"保留",IF(COUNTIFS(請求記録!$B$6:$B$3005,$A78,請求記録!$X$6:$X$3005,H$5)=0,"",SUMIFS(請求記録!$AC$6:$AC$3005,請求記録!$B$6:$B$3005,$A78,請求記録!$X$6:$X$3005,H$5))))</f>
        <v/>
      </c>
      <c r="I78" s="19">
        <f>IF($A78="","",IF(COUNTIFS(請求記録!$B$6:$B$3005,$A78,請求記録!$X$6:$X$3005,I$5,請求記録!$AD$6:$AD$3005,"保留中")&gt;0,"保留",IF(COUNTIFS(請求記録!$B$6:$B$3005,$A78,請求記録!$X$6:$X$3005,I$5)=0,"",SUMIFS(請求記録!$AC$6:$AC$3005,請求記録!$B$6:$B$3005,$A78,請求記録!$X$6:$X$3005,I$5))))</f>
        <v/>
      </c>
      <c r="J78" s="19">
        <f>IF($A78="","",IF(COUNTIFS(請求記録!$B$6:$B$3005,$A78,請求記録!$X$6:$X$3005,J$5,請求記録!$AD$6:$AD$3005,"保留中")&gt;0,"保留",IF(COUNTIFS(請求記録!$B$6:$B$3005,$A78,請求記録!$X$6:$X$3005,J$5)=0,"",SUMIFS(請求記録!$AC$6:$AC$3005,請求記録!$B$6:$B$3005,$A78,請求記録!$X$6:$X$3005,J$5))))</f>
        <v/>
      </c>
      <c r="K78" s="19">
        <f>IF($A78="","",IF(COUNTIFS(請求記録!$B$6:$B$3005,$A78,請求記録!$X$6:$X$3005,K$5,請求記録!$AD$6:$AD$3005,"保留中")&gt;0,"保留",IF(COUNTIFS(請求記録!$B$6:$B$3005,$A78,請求記録!$X$6:$X$3005,K$5)=0,"",SUMIFS(請求記録!$AC$6:$AC$3005,請求記録!$B$6:$B$3005,$A78,請求記録!$X$6:$X$3005,K$5))))</f>
        <v/>
      </c>
      <c r="L78" s="19">
        <f>IF($A78="","",IF(COUNTIFS(請求記録!$B$6:$B$3005,$A78,請求記録!$X$6:$X$3005,L$5,請求記録!$AD$6:$AD$3005,"保留中")&gt;0,"保留",IF(COUNTIFS(請求記録!$B$6:$B$3005,$A78,請求記録!$X$6:$X$3005,L$5)=0,"",SUMIFS(請求記録!$AC$6:$AC$3005,請求記録!$B$6:$B$3005,$A78,請求記録!$X$6:$X$3005,L$5))))</f>
        <v/>
      </c>
      <c r="M78" s="19">
        <f>IF($A78="","",IF(COUNTIFS(請求記録!$B$6:$B$3005,$A78,請求記録!$X$6:$X$3005,M$5,請求記録!$AD$6:$AD$3005,"保留中")&gt;0,"保留",IF(COUNTIFS(請求記録!$B$6:$B$3005,$A78,請求記録!$X$6:$X$3005,M$5)=0,"",SUMIFS(請求記録!$AC$6:$AC$3005,請求記録!$B$6:$B$3005,$A78,請求記録!$X$6:$X$3005,M$5))))</f>
        <v/>
      </c>
      <c r="N78" s="19">
        <f>IF($A78="","",IF(COUNTIFS(請求記録!$B$6:$B$3005,$A78,請求記録!$X$6:$X$3005,N$5,請求記録!$AD$6:$AD$3005,"保留中")&gt;0,"保留",IF(COUNTIFS(請求記録!$B$6:$B$3005,$A78,請求記録!$X$6:$X$3005,N$5)=0,"",SUMIFS(請求記録!$AC$6:$AC$3005,請求記録!$B$6:$B$3005,$A78,請求記録!$X$6:$X$3005,N$5))))</f>
        <v/>
      </c>
      <c r="O78" s="19">
        <f>IF($A78="","",IF(COUNTIFS(請求記録!$B$6:$B$3005,$A78,請求記録!$X$6:$X$3005,O$5,請求記録!$AD$6:$AD$3005,"保留中")&gt;0,"保留",IF(COUNTIFS(請求記録!$B$6:$B$3005,$A78,請求記録!$X$6:$X$3005,O$5)=0,"",SUMIFS(請求記録!$AC$6:$AC$3005,請求記録!$B$6:$B$3005,$A78,請求記録!$X$6:$X$3005,O$5))))</f>
        <v/>
      </c>
      <c r="P78" s="19">
        <f>IF($A78="","",IF(COUNTIFS(請求記録!$B$6:$B$3005,$A78,請求記録!$X$6:$X$3005,P$5,請求記録!$AD$6:$AD$3005,"保留中")&gt;0,"保留",IF(COUNTIFS(請求記録!$B$6:$B$3005,$A78,請求記録!$X$6:$X$3005,P$5)=0,"",SUMIFS(請求記録!$AC$6:$AC$3005,請求記録!$B$6:$B$3005,$A78,請求記録!$X$6:$X$3005,P$5))))</f>
        <v/>
      </c>
      <c r="Q78" s="19">
        <f>IF($A78="","",IF(COUNTIFS(請求記録!$B$6:$B$3005,$A78,請求記録!$X$6:$X$3005,Q$5,請求記録!$AD$6:$AD$3005,"保留中")&gt;0,"保留",IF(COUNTIFS(請求記録!$B$6:$B$3005,$A78,請求記録!$X$6:$X$3005,Q$5)=0,"",SUMIFS(請求記録!$AC$6:$AC$3005,請求記録!$B$6:$B$3005,$A78,請求記録!$X$6:$X$3005,Q$5))))</f>
        <v/>
      </c>
      <c r="R78" s="19">
        <f>IF($A78="","",IF(COUNTIFS(請求記録!$B$6:$B$3005,$A78,請求記録!$X$6:$X$3005,R$5,請求記録!$AD$6:$AD$3005,"保留中")&gt;0,"保留",IF(COUNTIFS(請求記録!$B$6:$B$3005,$A78,請求記録!$X$6:$X$3005,R$5)=0,"",SUMIFS(請求記録!$AC$6:$AC$3005,請求記録!$B$6:$B$3005,$A78,請求記録!$X$6:$X$3005,R$5))))</f>
        <v/>
      </c>
      <c r="S78" s="19">
        <f>IF($A78="","",IF(COUNTIFS(請求記録!$B$6:$B$3005,$A78,請求記録!$X$6:$X$3005,S$5,請求記録!$AD$6:$AD$3005,"保留中")&gt;0,"保留",IF(COUNTIFS(請求記録!$B$6:$B$3005,$A78,請求記録!$X$6:$X$3005,S$5)=0,"",SUMIFS(請求記録!$AC$6:$AC$3005,請求記録!$B$6:$B$3005,$A78,請求記録!$X$6:$X$3005,S$5))))</f>
        <v/>
      </c>
      <c r="T78" s="19">
        <f>IF($A78="","",IF(COUNTIFS(請求記録!$B$6:$B$3005,$A78,請求記録!$X$6:$X$3005,T$5,請求記録!$AD$6:$AD$3005,"保留中")&gt;0,"保留",IF(COUNTIFS(請求記録!$B$6:$B$3005,$A78,請求記録!$X$6:$X$3005,T$5)=0,"",SUMIFS(請求記録!$AC$6:$AC$3005,請求記録!$B$6:$B$3005,$A78,請求記録!$X$6:$X$3005,T$5))))</f>
        <v/>
      </c>
      <c r="U78" s="19">
        <f>IF($A78="","",IF(COUNTIFS(請求記録!$B$6:$B$3005,$A78,請求記録!$X$6:$X$3005,U$5,請求記録!$AD$6:$AD$3005,"保留中")&gt;0,"保留",IF(COUNTIFS(請求記録!$B$6:$B$3005,$A78,請求記録!$X$6:$X$3005,U$5)=0,"",SUMIFS(請求記録!$AC$6:$AC$3005,請求記録!$B$6:$B$3005,$A78,請求記録!$X$6:$X$3005,U$5))))</f>
        <v/>
      </c>
      <c r="V78" s="19">
        <f>IF($A78="","",IF(COUNTIFS(請求記録!$B$6:$B$3005,$A78,請求記録!$X$6:$X$3005,V$5,請求記録!$AD$6:$AD$3005,"保留中")&gt;0,"保留",IF(COUNTIFS(請求記録!$B$6:$B$3005,$A78,請求記録!$X$6:$X$3005,V$5)=0,"",SUMIFS(請求記録!$AC$6:$AC$3005,請求記録!$B$6:$B$3005,$A78,請求記録!$X$6:$X$3005,V$5))))</f>
        <v/>
      </c>
      <c r="W78" s="19">
        <f>IF($A78="","",IF(COUNTIFS(請求記録!$B$6:$B$3005,$A78,請求記録!$X$6:$X$3005,W$5,請求記録!$AD$6:$AD$3005,"保留中")&gt;0,"保留",IF(COUNTIFS(請求記録!$B$6:$B$3005,$A78,請求記録!$X$6:$X$3005,W$5)=0,"",SUMIFS(請求記録!$AC$6:$AC$3005,請求記録!$B$6:$B$3005,$A78,請求記録!$X$6:$X$3005,W$5))))</f>
        <v/>
      </c>
      <c r="X78" s="19">
        <f>IF($A78="","",IF(COUNTIFS(請求記録!$B$6:$B$3005,$A78,請求記録!$X$6:$X$3005,X$5,請求記録!$AD$6:$AD$3005,"保留中")&gt;0,"保留",IF(COUNTIFS(請求記録!$B$6:$B$3005,$A78,請求記録!$X$6:$X$3005,X$5)=0,"",SUMIFS(請求記録!$AC$6:$AC$3005,請求記録!$B$6:$B$3005,$A78,請求記録!$X$6:$X$3005,X$5))))</f>
        <v/>
      </c>
      <c r="Y78" s="19">
        <f>IF($A78="","",IF(COUNTIFS(請求記録!$B$6:$B$3005,$A78,請求記録!$X$6:$X$3005,Y$5,請求記録!$AD$6:$AD$3005,"保留中")&gt;0,"保留",IF(COUNTIFS(請求記録!$B$6:$B$3005,$A78,請求記録!$X$6:$X$3005,Y$5)=0,"",SUMIFS(請求記録!$AC$6:$AC$3005,請求記録!$B$6:$B$3005,$A78,請求記録!$X$6:$X$3005,Y$5))))</f>
        <v/>
      </c>
      <c r="Z78" s="19">
        <f>IF($A78="","",IF(COUNTIFS(請求記録!$B$6:$B$3005,$A78,請求記録!$X$6:$X$3005,Z$5,請求記録!$AD$6:$AD$3005,"保留中")&gt;0,"保留",IF(COUNTIFS(請求記録!$B$6:$B$3005,$A78,請求記録!$X$6:$X$3005,Z$5)=0,"",SUMIFS(請求記録!$AC$6:$AC$3005,請求記録!$B$6:$B$3005,$A78,請求記録!$X$6:$X$3005,Z$5))))</f>
        <v/>
      </c>
      <c r="AA78" s="19">
        <f>IF($A78="","",IF(COUNTIFS(請求記録!$B$6:$B$3005,$A78,請求記録!$X$6:$X$3005,AA$5,請求記録!$AD$6:$AD$3005,"保留中")&gt;0,"保留",IF(COUNTIFS(請求記録!$B$6:$B$3005,$A78,請求記録!$X$6:$X$3005,AA$5)=0,"",SUMIFS(請求記録!$AC$6:$AC$3005,請求記録!$B$6:$B$3005,$A78,請求記録!$X$6:$X$3005,AA$5))))</f>
        <v/>
      </c>
      <c r="AB78">
        <f>IF(職員マスタ!P78="保留中",職員マスタ!M78,"")</f>
        <v/>
      </c>
    </row>
    <row r="79">
      <c r="A79">
        <f>IF(職員マスタ!A79="","",職員マスタ!A79)</f>
        <v/>
      </c>
      <c r="B79">
        <f>IF($A79="","",職員マスタ!B79)</f>
        <v/>
      </c>
      <c r="C79">
        <f>IF($A79="","",職員マスタ!C79)</f>
        <v/>
      </c>
      <c r="D79" s="19">
        <f>IF($A79="","",IF(COUNTIFS(請求記録!$B$6:$B$3005,$A79,請求記録!$X$6:$X$3005,D$5,請求記録!$AD$6:$AD$3005,"保留中")&gt;0,"保留",IF(COUNTIFS(請求記録!$B$6:$B$3005,$A79,請求記録!$X$6:$X$3005,D$5)=0,"",SUMIFS(請求記録!$AC$6:$AC$3005,請求記録!$B$6:$B$3005,$A79,請求記録!$X$6:$X$3005,D$5))))</f>
        <v/>
      </c>
      <c r="E79" s="19">
        <f>IF($A79="","",IF(COUNTIFS(請求記録!$B$6:$B$3005,$A79,請求記録!$X$6:$X$3005,E$5,請求記録!$AD$6:$AD$3005,"保留中")&gt;0,"保留",IF(COUNTIFS(請求記録!$B$6:$B$3005,$A79,請求記録!$X$6:$X$3005,E$5)=0,"",SUMIFS(請求記録!$AC$6:$AC$3005,請求記録!$B$6:$B$3005,$A79,請求記録!$X$6:$X$3005,E$5))))</f>
        <v/>
      </c>
      <c r="F79" s="19">
        <f>IF($A79="","",IF(COUNTIFS(請求記録!$B$6:$B$3005,$A79,請求記録!$X$6:$X$3005,F$5,請求記録!$AD$6:$AD$3005,"保留中")&gt;0,"保留",IF(COUNTIFS(請求記録!$B$6:$B$3005,$A79,請求記録!$X$6:$X$3005,F$5)=0,"",SUMIFS(請求記録!$AC$6:$AC$3005,請求記録!$B$6:$B$3005,$A79,請求記録!$X$6:$X$3005,F$5))))</f>
        <v/>
      </c>
      <c r="G79" s="19">
        <f>IF($A79="","",IF(COUNTIFS(請求記録!$B$6:$B$3005,$A79,請求記録!$X$6:$X$3005,G$5,請求記録!$AD$6:$AD$3005,"保留中")&gt;0,"保留",IF(COUNTIFS(請求記録!$B$6:$B$3005,$A79,請求記録!$X$6:$X$3005,G$5)=0,"",SUMIFS(請求記録!$AC$6:$AC$3005,請求記録!$B$6:$B$3005,$A79,請求記録!$X$6:$X$3005,G$5))))</f>
        <v/>
      </c>
      <c r="H79" s="19">
        <f>IF($A79="","",IF(COUNTIFS(請求記録!$B$6:$B$3005,$A79,請求記録!$X$6:$X$3005,H$5,請求記録!$AD$6:$AD$3005,"保留中")&gt;0,"保留",IF(COUNTIFS(請求記録!$B$6:$B$3005,$A79,請求記録!$X$6:$X$3005,H$5)=0,"",SUMIFS(請求記録!$AC$6:$AC$3005,請求記録!$B$6:$B$3005,$A79,請求記録!$X$6:$X$3005,H$5))))</f>
        <v/>
      </c>
      <c r="I79" s="19">
        <f>IF($A79="","",IF(COUNTIFS(請求記録!$B$6:$B$3005,$A79,請求記録!$X$6:$X$3005,I$5,請求記録!$AD$6:$AD$3005,"保留中")&gt;0,"保留",IF(COUNTIFS(請求記録!$B$6:$B$3005,$A79,請求記録!$X$6:$X$3005,I$5)=0,"",SUMIFS(請求記録!$AC$6:$AC$3005,請求記録!$B$6:$B$3005,$A79,請求記録!$X$6:$X$3005,I$5))))</f>
        <v/>
      </c>
      <c r="J79" s="19">
        <f>IF($A79="","",IF(COUNTIFS(請求記録!$B$6:$B$3005,$A79,請求記録!$X$6:$X$3005,J$5,請求記録!$AD$6:$AD$3005,"保留中")&gt;0,"保留",IF(COUNTIFS(請求記録!$B$6:$B$3005,$A79,請求記録!$X$6:$X$3005,J$5)=0,"",SUMIFS(請求記録!$AC$6:$AC$3005,請求記録!$B$6:$B$3005,$A79,請求記録!$X$6:$X$3005,J$5))))</f>
        <v/>
      </c>
      <c r="K79" s="19">
        <f>IF($A79="","",IF(COUNTIFS(請求記録!$B$6:$B$3005,$A79,請求記録!$X$6:$X$3005,K$5,請求記録!$AD$6:$AD$3005,"保留中")&gt;0,"保留",IF(COUNTIFS(請求記録!$B$6:$B$3005,$A79,請求記録!$X$6:$X$3005,K$5)=0,"",SUMIFS(請求記録!$AC$6:$AC$3005,請求記録!$B$6:$B$3005,$A79,請求記録!$X$6:$X$3005,K$5))))</f>
        <v/>
      </c>
      <c r="L79" s="19">
        <f>IF($A79="","",IF(COUNTIFS(請求記録!$B$6:$B$3005,$A79,請求記録!$X$6:$X$3005,L$5,請求記録!$AD$6:$AD$3005,"保留中")&gt;0,"保留",IF(COUNTIFS(請求記録!$B$6:$B$3005,$A79,請求記録!$X$6:$X$3005,L$5)=0,"",SUMIFS(請求記録!$AC$6:$AC$3005,請求記録!$B$6:$B$3005,$A79,請求記録!$X$6:$X$3005,L$5))))</f>
        <v/>
      </c>
      <c r="M79" s="19">
        <f>IF($A79="","",IF(COUNTIFS(請求記録!$B$6:$B$3005,$A79,請求記録!$X$6:$X$3005,M$5,請求記録!$AD$6:$AD$3005,"保留中")&gt;0,"保留",IF(COUNTIFS(請求記録!$B$6:$B$3005,$A79,請求記録!$X$6:$X$3005,M$5)=0,"",SUMIFS(請求記録!$AC$6:$AC$3005,請求記録!$B$6:$B$3005,$A79,請求記録!$X$6:$X$3005,M$5))))</f>
        <v/>
      </c>
      <c r="N79" s="19">
        <f>IF($A79="","",IF(COUNTIFS(請求記録!$B$6:$B$3005,$A79,請求記録!$X$6:$X$3005,N$5,請求記録!$AD$6:$AD$3005,"保留中")&gt;0,"保留",IF(COUNTIFS(請求記録!$B$6:$B$3005,$A79,請求記録!$X$6:$X$3005,N$5)=0,"",SUMIFS(請求記録!$AC$6:$AC$3005,請求記録!$B$6:$B$3005,$A79,請求記録!$X$6:$X$3005,N$5))))</f>
        <v/>
      </c>
      <c r="O79" s="19">
        <f>IF($A79="","",IF(COUNTIFS(請求記録!$B$6:$B$3005,$A79,請求記録!$X$6:$X$3005,O$5,請求記録!$AD$6:$AD$3005,"保留中")&gt;0,"保留",IF(COUNTIFS(請求記録!$B$6:$B$3005,$A79,請求記録!$X$6:$X$3005,O$5)=0,"",SUMIFS(請求記録!$AC$6:$AC$3005,請求記録!$B$6:$B$3005,$A79,請求記録!$X$6:$X$3005,O$5))))</f>
        <v/>
      </c>
      <c r="P79" s="19">
        <f>IF($A79="","",IF(COUNTIFS(請求記録!$B$6:$B$3005,$A79,請求記録!$X$6:$X$3005,P$5,請求記録!$AD$6:$AD$3005,"保留中")&gt;0,"保留",IF(COUNTIFS(請求記録!$B$6:$B$3005,$A79,請求記録!$X$6:$X$3005,P$5)=0,"",SUMIFS(請求記録!$AC$6:$AC$3005,請求記録!$B$6:$B$3005,$A79,請求記録!$X$6:$X$3005,P$5))))</f>
        <v/>
      </c>
      <c r="Q79" s="19">
        <f>IF($A79="","",IF(COUNTIFS(請求記録!$B$6:$B$3005,$A79,請求記録!$X$6:$X$3005,Q$5,請求記録!$AD$6:$AD$3005,"保留中")&gt;0,"保留",IF(COUNTIFS(請求記録!$B$6:$B$3005,$A79,請求記録!$X$6:$X$3005,Q$5)=0,"",SUMIFS(請求記録!$AC$6:$AC$3005,請求記録!$B$6:$B$3005,$A79,請求記録!$X$6:$X$3005,Q$5))))</f>
        <v/>
      </c>
      <c r="R79" s="19">
        <f>IF($A79="","",IF(COUNTIFS(請求記録!$B$6:$B$3005,$A79,請求記録!$X$6:$X$3005,R$5,請求記録!$AD$6:$AD$3005,"保留中")&gt;0,"保留",IF(COUNTIFS(請求記録!$B$6:$B$3005,$A79,請求記録!$X$6:$X$3005,R$5)=0,"",SUMIFS(請求記録!$AC$6:$AC$3005,請求記録!$B$6:$B$3005,$A79,請求記録!$X$6:$X$3005,R$5))))</f>
        <v/>
      </c>
      <c r="S79" s="19">
        <f>IF($A79="","",IF(COUNTIFS(請求記録!$B$6:$B$3005,$A79,請求記録!$X$6:$X$3005,S$5,請求記録!$AD$6:$AD$3005,"保留中")&gt;0,"保留",IF(COUNTIFS(請求記録!$B$6:$B$3005,$A79,請求記録!$X$6:$X$3005,S$5)=0,"",SUMIFS(請求記録!$AC$6:$AC$3005,請求記録!$B$6:$B$3005,$A79,請求記録!$X$6:$X$3005,S$5))))</f>
        <v/>
      </c>
      <c r="T79" s="19">
        <f>IF($A79="","",IF(COUNTIFS(請求記録!$B$6:$B$3005,$A79,請求記録!$X$6:$X$3005,T$5,請求記録!$AD$6:$AD$3005,"保留中")&gt;0,"保留",IF(COUNTIFS(請求記録!$B$6:$B$3005,$A79,請求記録!$X$6:$X$3005,T$5)=0,"",SUMIFS(請求記録!$AC$6:$AC$3005,請求記録!$B$6:$B$3005,$A79,請求記録!$X$6:$X$3005,T$5))))</f>
        <v/>
      </c>
      <c r="U79" s="19">
        <f>IF($A79="","",IF(COUNTIFS(請求記録!$B$6:$B$3005,$A79,請求記録!$X$6:$X$3005,U$5,請求記録!$AD$6:$AD$3005,"保留中")&gt;0,"保留",IF(COUNTIFS(請求記録!$B$6:$B$3005,$A79,請求記録!$X$6:$X$3005,U$5)=0,"",SUMIFS(請求記録!$AC$6:$AC$3005,請求記録!$B$6:$B$3005,$A79,請求記録!$X$6:$X$3005,U$5))))</f>
        <v/>
      </c>
      <c r="V79" s="19">
        <f>IF($A79="","",IF(COUNTIFS(請求記録!$B$6:$B$3005,$A79,請求記録!$X$6:$X$3005,V$5,請求記録!$AD$6:$AD$3005,"保留中")&gt;0,"保留",IF(COUNTIFS(請求記録!$B$6:$B$3005,$A79,請求記録!$X$6:$X$3005,V$5)=0,"",SUMIFS(請求記録!$AC$6:$AC$3005,請求記録!$B$6:$B$3005,$A79,請求記録!$X$6:$X$3005,V$5))))</f>
        <v/>
      </c>
      <c r="W79" s="19">
        <f>IF($A79="","",IF(COUNTIFS(請求記録!$B$6:$B$3005,$A79,請求記録!$X$6:$X$3005,W$5,請求記録!$AD$6:$AD$3005,"保留中")&gt;0,"保留",IF(COUNTIFS(請求記録!$B$6:$B$3005,$A79,請求記録!$X$6:$X$3005,W$5)=0,"",SUMIFS(請求記録!$AC$6:$AC$3005,請求記録!$B$6:$B$3005,$A79,請求記録!$X$6:$X$3005,W$5))))</f>
        <v/>
      </c>
      <c r="X79" s="19">
        <f>IF($A79="","",IF(COUNTIFS(請求記録!$B$6:$B$3005,$A79,請求記録!$X$6:$X$3005,X$5,請求記録!$AD$6:$AD$3005,"保留中")&gt;0,"保留",IF(COUNTIFS(請求記録!$B$6:$B$3005,$A79,請求記録!$X$6:$X$3005,X$5)=0,"",SUMIFS(請求記録!$AC$6:$AC$3005,請求記録!$B$6:$B$3005,$A79,請求記録!$X$6:$X$3005,X$5))))</f>
        <v/>
      </c>
      <c r="Y79" s="19">
        <f>IF($A79="","",IF(COUNTIFS(請求記録!$B$6:$B$3005,$A79,請求記録!$X$6:$X$3005,Y$5,請求記録!$AD$6:$AD$3005,"保留中")&gt;0,"保留",IF(COUNTIFS(請求記録!$B$6:$B$3005,$A79,請求記録!$X$6:$X$3005,Y$5)=0,"",SUMIFS(請求記録!$AC$6:$AC$3005,請求記録!$B$6:$B$3005,$A79,請求記録!$X$6:$X$3005,Y$5))))</f>
        <v/>
      </c>
      <c r="Z79" s="19">
        <f>IF($A79="","",IF(COUNTIFS(請求記録!$B$6:$B$3005,$A79,請求記録!$X$6:$X$3005,Z$5,請求記録!$AD$6:$AD$3005,"保留中")&gt;0,"保留",IF(COUNTIFS(請求記録!$B$6:$B$3005,$A79,請求記録!$X$6:$X$3005,Z$5)=0,"",SUMIFS(請求記録!$AC$6:$AC$3005,請求記録!$B$6:$B$3005,$A79,請求記録!$X$6:$X$3005,Z$5))))</f>
        <v/>
      </c>
      <c r="AA79" s="19">
        <f>IF($A79="","",IF(COUNTIFS(請求記録!$B$6:$B$3005,$A79,請求記録!$X$6:$X$3005,AA$5,請求記録!$AD$6:$AD$3005,"保留中")&gt;0,"保留",IF(COUNTIFS(請求記録!$B$6:$B$3005,$A79,請求記録!$X$6:$X$3005,AA$5)=0,"",SUMIFS(請求記録!$AC$6:$AC$3005,請求記録!$B$6:$B$3005,$A79,請求記録!$X$6:$X$3005,AA$5))))</f>
        <v/>
      </c>
      <c r="AB79">
        <f>IF(職員マスタ!P79="保留中",職員マスタ!M79,"")</f>
        <v/>
      </c>
    </row>
    <row r="80">
      <c r="A80">
        <f>IF(職員マスタ!A80="","",職員マスタ!A80)</f>
        <v/>
      </c>
      <c r="B80">
        <f>IF($A80="","",職員マスタ!B80)</f>
        <v/>
      </c>
      <c r="C80">
        <f>IF($A80="","",職員マスタ!C80)</f>
        <v/>
      </c>
      <c r="D80" s="19">
        <f>IF($A80="","",IF(COUNTIFS(請求記録!$B$6:$B$3005,$A80,請求記録!$X$6:$X$3005,D$5,請求記録!$AD$6:$AD$3005,"保留中")&gt;0,"保留",IF(COUNTIFS(請求記録!$B$6:$B$3005,$A80,請求記録!$X$6:$X$3005,D$5)=0,"",SUMIFS(請求記録!$AC$6:$AC$3005,請求記録!$B$6:$B$3005,$A80,請求記録!$X$6:$X$3005,D$5))))</f>
        <v/>
      </c>
      <c r="E80" s="19">
        <f>IF($A80="","",IF(COUNTIFS(請求記録!$B$6:$B$3005,$A80,請求記録!$X$6:$X$3005,E$5,請求記録!$AD$6:$AD$3005,"保留中")&gt;0,"保留",IF(COUNTIFS(請求記録!$B$6:$B$3005,$A80,請求記録!$X$6:$X$3005,E$5)=0,"",SUMIFS(請求記録!$AC$6:$AC$3005,請求記録!$B$6:$B$3005,$A80,請求記録!$X$6:$X$3005,E$5))))</f>
        <v/>
      </c>
      <c r="F80" s="19">
        <f>IF($A80="","",IF(COUNTIFS(請求記録!$B$6:$B$3005,$A80,請求記録!$X$6:$X$3005,F$5,請求記録!$AD$6:$AD$3005,"保留中")&gt;0,"保留",IF(COUNTIFS(請求記録!$B$6:$B$3005,$A80,請求記録!$X$6:$X$3005,F$5)=0,"",SUMIFS(請求記録!$AC$6:$AC$3005,請求記録!$B$6:$B$3005,$A80,請求記録!$X$6:$X$3005,F$5))))</f>
        <v/>
      </c>
      <c r="G80" s="19">
        <f>IF($A80="","",IF(COUNTIFS(請求記録!$B$6:$B$3005,$A80,請求記録!$X$6:$X$3005,G$5,請求記録!$AD$6:$AD$3005,"保留中")&gt;0,"保留",IF(COUNTIFS(請求記録!$B$6:$B$3005,$A80,請求記録!$X$6:$X$3005,G$5)=0,"",SUMIFS(請求記録!$AC$6:$AC$3005,請求記録!$B$6:$B$3005,$A80,請求記録!$X$6:$X$3005,G$5))))</f>
        <v/>
      </c>
      <c r="H80" s="19">
        <f>IF($A80="","",IF(COUNTIFS(請求記録!$B$6:$B$3005,$A80,請求記録!$X$6:$X$3005,H$5,請求記録!$AD$6:$AD$3005,"保留中")&gt;0,"保留",IF(COUNTIFS(請求記録!$B$6:$B$3005,$A80,請求記録!$X$6:$X$3005,H$5)=0,"",SUMIFS(請求記録!$AC$6:$AC$3005,請求記録!$B$6:$B$3005,$A80,請求記録!$X$6:$X$3005,H$5))))</f>
        <v/>
      </c>
      <c r="I80" s="19">
        <f>IF($A80="","",IF(COUNTIFS(請求記録!$B$6:$B$3005,$A80,請求記録!$X$6:$X$3005,I$5,請求記録!$AD$6:$AD$3005,"保留中")&gt;0,"保留",IF(COUNTIFS(請求記録!$B$6:$B$3005,$A80,請求記録!$X$6:$X$3005,I$5)=0,"",SUMIFS(請求記録!$AC$6:$AC$3005,請求記録!$B$6:$B$3005,$A80,請求記録!$X$6:$X$3005,I$5))))</f>
        <v/>
      </c>
      <c r="J80" s="19">
        <f>IF($A80="","",IF(COUNTIFS(請求記録!$B$6:$B$3005,$A80,請求記録!$X$6:$X$3005,J$5,請求記録!$AD$6:$AD$3005,"保留中")&gt;0,"保留",IF(COUNTIFS(請求記録!$B$6:$B$3005,$A80,請求記録!$X$6:$X$3005,J$5)=0,"",SUMIFS(請求記録!$AC$6:$AC$3005,請求記録!$B$6:$B$3005,$A80,請求記録!$X$6:$X$3005,J$5))))</f>
        <v/>
      </c>
      <c r="K80" s="19">
        <f>IF($A80="","",IF(COUNTIFS(請求記録!$B$6:$B$3005,$A80,請求記録!$X$6:$X$3005,K$5,請求記録!$AD$6:$AD$3005,"保留中")&gt;0,"保留",IF(COUNTIFS(請求記録!$B$6:$B$3005,$A80,請求記録!$X$6:$X$3005,K$5)=0,"",SUMIFS(請求記録!$AC$6:$AC$3005,請求記録!$B$6:$B$3005,$A80,請求記録!$X$6:$X$3005,K$5))))</f>
        <v/>
      </c>
      <c r="L80" s="19">
        <f>IF($A80="","",IF(COUNTIFS(請求記録!$B$6:$B$3005,$A80,請求記録!$X$6:$X$3005,L$5,請求記録!$AD$6:$AD$3005,"保留中")&gt;0,"保留",IF(COUNTIFS(請求記録!$B$6:$B$3005,$A80,請求記録!$X$6:$X$3005,L$5)=0,"",SUMIFS(請求記録!$AC$6:$AC$3005,請求記録!$B$6:$B$3005,$A80,請求記録!$X$6:$X$3005,L$5))))</f>
        <v/>
      </c>
      <c r="M80" s="19">
        <f>IF($A80="","",IF(COUNTIFS(請求記録!$B$6:$B$3005,$A80,請求記録!$X$6:$X$3005,M$5,請求記録!$AD$6:$AD$3005,"保留中")&gt;0,"保留",IF(COUNTIFS(請求記録!$B$6:$B$3005,$A80,請求記録!$X$6:$X$3005,M$5)=0,"",SUMIFS(請求記録!$AC$6:$AC$3005,請求記録!$B$6:$B$3005,$A80,請求記録!$X$6:$X$3005,M$5))))</f>
        <v/>
      </c>
      <c r="N80" s="19">
        <f>IF($A80="","",IF(COUNTIFS(請求記録!$B$6:$B$3005,$A80,請求記録!$X$6:$X$3005,N$5,請求記録!$AD$6:$AD$3005,"保留中")&gt;0,"保留",IF(COUNTIFS(請求記録!$B$6:$B$3005,$A80,請求記録!$X$6:$X$3005,N$5)=0,"",SUMIFS(請求記録!$AC$6:$AC$3005,請求記録!$B$6:$B$3005,$A80,請求記録!$X$6:$X$3005,N$5))))</f>
        <v/>
      </c>
      <c r="O80" s="19">
        <f>IF($A80="","",IF(COUNTIFS(請求記録!$B$6:$B$3005,$A80,請求記録!$X$6:$X$3005,O$5,請求記録!$AD$6:$AD$3005,"保留中")&gt;0,"保留",IF(COUNTIFS(請求記録!$B$6:$B$3005,$A80,請求記録!$X$6:$X$3005,O$5)=0,"",SUMIFS(請求記録!$AC$6:$AC$3005,請求記録!$B$6:$B$3005,$A80,請求記録!$X$6:$X$3005,O$5))))</f>
        <v/>
      </c>
      <c r="P80" s="19">
        <f>IF($A80="","",IF(COUNTIFS(請求記録!$B$6:$B$3005,$A80,請求記録!$X$6:$X$3005,P$5,請求記録!$AD$6:$AD$3005,"保留中")&gt;0,"保留",IF(COUNTIFS(請求記録!$B$6:$B$3005,$A80,請求記録!$X$6:$X$3005,P$5)=0,"",SUMIFS(請求記録!$AC$6:$AC$3005,請求記録!$B$6:$B$3005,$A80,請求記録!$X$6:$X$3005,P$5))))</f>
        <v/>
      </c>
      <c r="Q80" s="19">
        <f>IF($A80="","",IF(COUNTIFS(請求記録!$B$6:$B$3005,$A80,請求記録!$X$6:$X$3005,Q$5,請求記録!$AD$6:$AD$3005,"保留中")&gt;0,"保留",IF(COUNTIFS(請求記録!$B$6:$B$3005,$A80,請求記録!$X$6:$X$3005,Q$5)=0,"",SUMIFS(請求記録!$AC$6:$AC$3005,請求記録!$B$6:$B$3005,$A80,請求記録!$X$6:$X$3005,Q$5))))</f>
        <v/>
      </c>
      <c r="R80" s="19">
        <f>IF($A80="","",IF(COUNTIFS(請求記録!$B$6:$B$3005,$A80,請求記録!$X$6:$X$3005,R$5,請求記録!$AD$6:$AD$3005,"保留中")&gt;0,"保留",IF(COUNTIFS(請求記録!$B$6:$B$3005,$A80,請求記録!$X$6:$X$3005,R$5)=0,"",SUMIFS(請求記録!$AC$6:$AC$3005,請求記録!$B$6:$B$3005,$A80,請求記録!$X$6:$X$3005,R$5))))</f>
        <v/>
      </c>
      <c r="S80" s="19">
        <f>IF($A80="","",IF(COUNTIFS(請求記録!$B$6:$B$3005,$A80,請求記録!$X$6:$X$3005,S$5,請求記録!$AD$6:$AD$3005,"保留中")&gt;0,"保留",IF(COUNTIFS(請求記録!$B$6:$B$3005,$A80,請求記録!$X$6:$X$3005,S$5)=0,"",SUMIFS(請求記録!$AC$6:$AC$3005,請求記録!$B$6:$B$3005,$A80,請求記録!$X$6:$X$3005,S$5))))</f>
        <v/>
      </c>
      <c r="T80" s="19">
        <f>IF($A80="","",IF(COUNTIFS(請求記録!$B$6:$B$3005,$A80,請求記録!$X$6:$X$3005,T$5,請求記録!$AD$6:$AD$3005,"保留中")&gt;0,"保留",IF(COUNTIFS(請求記録!$B$6:$B$3005,$A80,請求記録!$X$6:$X$3005,T$5)=0,"",SUMIFS(請求記録!$AC$6:$AC$3005,請求記録!$B$6:$B$3005,$A80,請求記録!$X$6:$X$3005,T$5))))</f>
        <v/>
      </c>
      <c r="U80" s="19">
        <f>IF($A80="","",IF(COUNTIFS(請求記録!$B$6:$B$3005,$A80,請求記録!$X$6:$X$3005,U$5,請求記録!$AD$6:$AD$3005,"保留中")&gt;0,"保留",IF(COUNTIFS(請求記録!$B$6:$B$3005,$A80,請求記録!$X$6:$X$3005,U$5)=0,"",SUMIFS(請求記録!$AC$6:$AC$3005,請求記録!$B$6:$B$3005,$A80,請求記録!$X$6:$X$3005,U$5))))</f>
        <v/>
      </c>
      <c r="V80" s="19">
        <f>IF($A80="","",IF(COUNTIFS(請求記録!$B$6:$B$3005,$A80,請求記録!$X$6:$X$3005,V$5,請求記録!$AD$6:$AD$3005,"保留中")&gt;0,"保留",IF(COUNTIFS(請求記録!$B$6:$B$3005,$A80,請求記録!$X$6:$X$3005,V$5)=0,"",SUMIFS(請求記録!$AC$6:$AC$3005,請求記録!$B$6:$B$3005,$A80,請求記録!$X$6:$X$3005,V$5))))</f>
        <v/>
      </c>
      <c r="W80" s="19">
        <f>IF($A80="","",IF(COUNTIFS(請求記録!$B$6:$B$3005,$A80,請求記録!$X$6:$X$3005,W$5,請求記録!$AD$6:$AD$3005,"保留中")&gt;0,"保留",IF(COUNTIFS(請求記録!$B$6:$B$3005,$A80,請求記録!$X$6:$X$3005,W$5)=0,"",SUMIFS(請求記録!$AC$6:$AC$3005,請求記録!$B$6:$B$3005,$A80,請求記録!$X$6:$X$3005,W$5))))</f>
        <v/>
      </c>
      <c r="X80" s="19">
        <f>IF($A80="","",IF(COUNTIFS(請求記録!$B$6:$B$3005,$A80,請求記録!$X$6:$X$3005,X$5,請求記録!$AD$6:$AD$3005,"保留中")&gt;0,"保留",IF(COUNTIFS(請求記録!$B$6:$B$3005,$A80,請求記録!$X$6:$X$3005,X$5)=0,"",SUMIFS(請求記録!$AC$6:$AC$3005,請求記録!$B$6:$B$3005,$A80,請求記録!$X$6:$X$3005,X$5))))</f>
        <v/>
      </c>
      <c r="Y80" s="19">
        <f>IF($A80="","",IF(COUNTIFS(請求記録!$B$6:$B$3005,$A80,請求記録!$X$6:$X$3005,Y$5,請求記録!$AD$6:$AD$3005,"保留中")&gt;0,"保留",IF(COUNTIFS(請求記録!$B$6:$B$3005,$A80,請求記録!$X$6:$X$3005,Y$5)=0,"",SUMIFS(請求記録!$AC$6:$AC$3005,請求記録!$B$6:$B$3005,$A80,請求記録!$X$6:$X$3005,Y$5))))</f>
        <v/>
      </c>
      <c r="Z80" s="19">
        <f>IF($A80="","",IF(COUNTIFS(請求記録!$B$6:$B$3005,$A80,請求記録!$X$6:$X$3005,Z$5,請求記録!$AD$6:$AD$3005,"保留中")&gt;0,"保留",IF(COUNTIFS(請求記録!$B$6:$B$3005,$A80,請求記録!$X$6:$X$3005,Z$5)=0,"",SUMIFS(請求記録!$AC$6:$AC$3005,請求記録!$B$6:$B$3005,$A80,請求記録!$X$6:$X$3005,Z$5))))</f>
        <v/>
      </c>
      <c r="AA80" s="19">
        <f>IF($A80="","",IF(COUNTIFS(請求記録!$B$6:$B$3005,$A80,請求記録!$X$6:$X$3005,AA$5,請求記録!$AD$6:$AD$3005,"保留中")&gt;0,"保留",IF(COUNTIFS(請求記録!$B$6:$B$3005,$A80,請求記録!$X$6:$X$3005,AA$5)=0,"",SUMIFS(請求記録!$AC$6:$AC$3005,請求記録!$B$6:$B$3005,$A80,請求記録!$X$6:$X$3005,AA$5))))</f>
        <v/>
      </c>
      <c r="AB80">
        <f>IF(職員マスタ!P80="保留中",職員マスタ!M80,"")</f>
        <v/>
      </c>
    </row>
    <row r="81">
      <c r="A81">
        <f>IF(職員マスタ!A81="","",職員マスタ!A81)</f>
        <v/>
      </c>
      <c r="B81">
        <f>IF($A81="","",職員マスタ!B81)</f>
        <v/>
      </c>
      <c r="C81">
        <f>IF($A81="","",職員マスタ!C81)</f>
        <v/>
      </c>
      <c r="D81" s="19">
        <f>IF($A81="","",IF(COUNTIFS(請求記録!$B$6:$B$3005,$A81,請求記録!$X$6:$X$3005,D$5,請求記録!$AD$6:$AD$3005,"保留中")&gt;0,"保留",IF(COUNTIFS(請求記録!$B$6:$B$3005,$A81,請求記録!$X$6:$X$3005,D$5)=0,"",SUMIFS(請求記録!$AC$6:$AC$3005,請求記録!$B$6:$B$3005,$A81,請求記録!$X$6:$X$3005,D$5))))</f>
        <v/>
      </c>
      <c r="E81" s="19">
        <f>IF($A81="","",IF(COUNTIFS(請求記録!$B$6:$B$3005,$A81,請求記録!$X$6:$X$3005,E$5,請求記録!$AD$6:$AD$3005,"保留中")&gt;0,"保留",IF(COUNTIFS(請求記録!$B$6:$B$3005,$A81,請求記録!$X$6:$X$3005,E$5)=0,"",SUMIFS(請求記録!$AC$6:$AC$3005,請求記録!$B$6:$B$3005,$A81,請求記録!$X$6:$X$3005,E$5))))</f>
        <v/>
      </c>
      <c r="F81" s="19">
        <f>IF($A81="","",IF(COUNTIFS(請求記録!$B$6:$B$3005,$A81,請求記録!$X$6:$X$3005,F$5,請求記録!$AD$6:$AD$3005,"保留中")&gt;0,"保留",IF(COUNTIFS(請求記録!$B$6:$B$3005,$A81,請求記録!$X$6:$X$3005,F$5)=0,"",SUMIFS(請求記録!$AC$6:$AC$3005,請求記録!$B$6:$B$3005,$A81,請求記録!$X$6:$X$3005,F$5))))</f>
        <v/>
      </c>
      <c r="G81" s="19">
        <f>IF($A81="","",IF(COUNTIFS(請求記録!$B$6:$B$3005,$A81,請求記録!$X$6:$X$3005,G$5,請求記録!$AD$6:$AD$3005,"保留中")&gt;0,"保留",IF(COUNTIFS(請求記録!$B$6:$B$3005,$A81,請求記録!$X$6:$X$3005,G$5)=0,"",SUMIFS(請求記録!$AC$6:$AC$3005,請求記録!$B$6:$B$3005,$A81,請求記録!$X$6:$X$3005,G$5))))</f>
        <v/>
      </c>
      <c r="H81" s="19">
        <f>IF($A81="","",IF(COUNTIFS(請求記録!$B$6:$B$3005,$A81,請求記録!$X$6:$X$3005,H$5,請求記録!$AD$6:$AD$3005,"保留中")&gt;0,"保留",IF(COUNTIFS(請求記録!$B$6:$B$3005,$A81,請求記録!$X$6:$X$3005,H$5)=0,"",SUMIFS(請求記録!$AC$6:$AC$3005,請求記録!$B$6:$B$3005,$A81,請求記録!$X$6:$X$3005,H$5))))</f>
        <v/>
      </c>
      <c r="I81" s="19">
        <f>IF($A81="","",IF(COUNTIFS(請求記録!$B$6:$B$3005,$A81,請求記録!$X$6:$X$3005,I$5,請求記録!$AD$6:$AD$3005,"保留中")&gt;0,"保留",IF(COUNTIFS(請求記録!$B$6:$B$3005,$A81,請求記録!$X$6:$X$3005,I$5)=0,"",SUMIFS(請求記録!$AC$6:$AC$3005,請求記録!$B$6:$B$3005,$A81,請求記録!$X$6:$X$3005,I$5))))</f>
        <v/>
      </c>
      <c r="J81" s="19">
        <f>IF($A81="","",IF(COUNTIFS(請求記録!$B$6:$B$3005,$A81,請求記録!$X$6:$X$3005,J$5,請求記録!$AD$6:$AD$3005,"保留中")&gt;0,"保留",IF(COUNTIFS(請求記録!$B$6:$B$3005,$A81,請求記録!$X$6:$X$3005,J$5)=0,"",SUMIFS(請求記録!$AC$6:$AC$3005,請求記録!$B$6:$B$3005,$A81,請求記録!$X$6:$X$3005,J$5))))</f>
        <v/>
      </c>
      <c r="K81" s="19">
        <f>IF($A81="","",IF(COUNTIFS(請求記録!$B$6:$B$3005,$A81,請求記録!$X$6:$X$3005,K$5,請求記録!$AD$6:$AD$3005,"保留中")&gt;0,"保留",IF(COUNTIFS(請求記録!$B$6:$B$3005,$A81,請求記録!$X$6:$X$3005,K$5)=0,"",SUMIFS(請求記録!$AC$6:$AC$3005,請求記録!$B$6:$B$3005,$A81,請求記録!$X$6:$X$3005,K$5))))</f>
        <v/>
      </c>
      <c r="L81" s="19">
        <f>IF($A81="","",IF(COUNTIFS(請求記録!$B$6:$B$3005,$A81,請求記録!$X$6:$X$3005,L$5,請求記録!$AD$6:$AD$3005,"保留中")&gt;0,"保留",IF(COUNTIFS(請求記録!$B$6:$B$3005,$A81,請求記録!$X$6:$X$3005,L$5)=0,"",SUMIFS(請求記録!$AC$6:$AC$3005,請求記録!$B$6:$B$3005,$A81,請求記録!$X$6:$X$3005,L$5))))</f>
        <v/>
      </c>
      <c r="M81" s="19">
        <f>IF($A81="","",IF(COUNTIFS(請求記録!$B$6:$B$3005,$A81,請求記録!$X$6:$X$3005,M$5,請求記録!$AD$6:$AD$3005,"保留中")&gt;0,"保留",IF(COUNTIFS(請求記録!$B$6:$B$3005,$A81,請求記録!$X$6:$X$3005,M$5)=0,"",SUMIFS(請求記録!$AC$6:$AC$3005,請求記録!$B$6:$B$3005,$A81,請求記録!$X$6:$X$3005,M$5))))</f>
        <v/>
      </c>
      <c r="N81" s="19">
        <f>IF($A81="","",IF(COUNTIFS(請求記録!$B$6:$B$3005,$A81,請求記録!$X$6:$X$3005,N$5,請求記録!$AD$6:$AD$3005,"保留中")&gt;0,"保留",IF(COUNTIFS(請求記録!$B$6:$B$3005,$A81,請求記録!$X$6:$X$3005,N$5)=0,"",SUMIFS(請求記録!$AC$6:$AC$3005,請求記録!$B$6:$B$3005,$A81,請求記録!$X$6:$X$3005,N$5))))</f>
        <v/>
      </c>
      <c r="O81" s="19">
        <f>IF($A81="","",IF(COUNTIFS(請求記録!$B$6:$B$3005,$A81,請求記録!$X$6:$X$3005,O$5,請求記録!$AD$6:$AD$3005,"保留中")&gt;0,"保留",IF(COUNTIFS(請求記録!$B$6:$B$3005,$A81,請求記録!$X$6:$X$3005,O$5)=0,"",SUMIFS(請求記録!$AC$6:$AC$3005,請求記録!$B$6:$B$3005,$A81,請求記録!$X$6:$X$3005,O$5))))</f>
        <v/>
      </c>
      <c r="P81" s="19">
        <f>IF($A81="","",IF(COUNTIFS(請求記録!$B$6:$B$3005,$A81,請求記録!$X$6:$X$3005,P$5,請求記録!$AD$6:$AD$3005,"保留中")&gt;0,"保留",IF(COUNTIFS(請求記録!$B$6:$B$3005,$A81,請求記録!$X$6:$X$3005,P$5)=0,"",SUMIFS(請求記録!$AC$6:$AC$3005,請求記録!$B$6:$B$3005,$A81,請求記録!$X$6:$X$3005,P$5))))</f>
        <v/>
      </c>
      <c r="Q81" s="19">
        <f>IF($A81="","",IF(COUNTIFS(請求記録!$B$6:$B$3005,$A81,請求記録!$X$6:$X$3005,Q$5,請求記録!$AD$6:$AD$3005,"保留中")&gt;0,"保留",IF(COUNTIFS(請求記録!$B$6:$B$3005,$A81,請求記録!$X$6:$X$3005,Q$5)=0,"",SUMIFS(請求記録!$AC$6:$AC$3005,請求記録!$B$6:$B$3005,$A81,請求記録!$X$6:$X$3005,Q$5))))</f>
        <v/>
      </c>
      <c r="R81" s="19">
        <f>IF($A81="","",IF(COUNTIFS(請求記録!$B$6:$B$3005,$A81,請求記録!$X$6:$X$3005,R$5,請求記録!$AD$6:$AD$3005,"保留中")&gt;0,"保留",IF(COUNTIFS(請求記録!$B$6:$B$3005,$A81,請求記録!$X$6:$X$3005,R$5)=0,"",SUMIFS(請求記録!$AC$6:$AC$3005,請求記録!$B$6:$B$3005,$A81,請求記録!$X$6:$X$3005,R$5))))</f>
        <v/>
      </c>
      <c r="S81" s="19">
        <f>IF($A81="","",IF(COUNTIFS(請求記録!$B$6:$B$3005,$A81,請求記録!$X$6:$X$3005,S$5,請求記録!$AD$6:$AD$3005,"保留中")&gt;0,"保留",IF(COUNTIFS(請求記録!$B$6:$B$3005,$A81,請求記録!$X$6:$X$3005,S$5)=0,"",SUMIFS(請求記録!$AC$6:$AC$3005,請求記録!$B$6:$B$3005,$A81,請求記録!$X$6:$X$3005,S$5))))</f>
        <v/>
      </c>
      <c r="T81" s="19">
        <f>IF($A81="","",IF(COUNTIFS(請求記録!$B$6:$B$3005,$A81,請求記録!$X$6:$X$3005,T$5,請求記録!$AD$6:$AD$3005,"保留中")&gt;0,"保留",IF(COUNTIFS(請求記録!$B$6:$B$3005,$A81,請求記録!$X$6:$X$3005,T$5)=0,"",SUMIFS(請求記録!$AC$6:$AC$3005,請求記録!$B$6:$B$3005,$A81,請求記録!$X$6:$X$3005,T$5))))</f>
        <v/>
      </c>
      <c r="U81" s="19">
        <f>IF($A81="","",IF(COUNTIFS(請求記録!$B$6:$B$3005,$A81,請求記録!$X$6:$X$3005,U$5,請求記録!$AD$6:$AD$3005,"保留中")&gt;0,"保留",IF(COUNTIFS(請求記録!$B$6:$B$3005,$A81,請求記録!$X$6:$X$3005,U$5)=0,"",SUMIFS(請求記録!$AC$6:$AC$3005,請求記録!$B$6:$B$3005,$A81,請求記録!$X$6:$X$3005,U$5))))</f>
        <v/>
      </c>
      <c r="V81" s="19">
        <f>IF($A81="","",IF(COUNTIFS(請求記録!$B$6:$B$3005,$A81,請求記録!$X$6:$X$3005,V$5,請求記録!$AD$6:$AD$3005,"保留中")&gt;0,"保留",IF(COUNTIFS(請求記録!$B$6:$B$3005,$A81,請求記録!$X$6:$X$3005,V$5)=0,"",SUMIFS(請求記録!$AC$6:$AC$3005,請求記録!$B$6:$B$3005,$A81,請求記録!$X$6:$X$3005,V$5))))</f>
        <v/>
      </c>
      <c r="W81" s="19">
        <f>IF($A81="","",IF(COUNTIFS(請求記録!$B$6:$B$3005,$A81,請求記録!$X$6:$X$3005,W$5,請求記録!$AD$6:$AD$3005,"保留中")&gt;0,"保留",IF(COUNTIFS(請求記録!$B$6:$B$3005,$A81,請求記録!$X$6:$X$3005,W$5)=0,"",SUMIFS(請求記録!$AC$6:$AC$3005,請求記録!$B$6:$B$3005,$A81,請求記録!$X$6:$X$3005,W$5))))</f>
        <v/>
      </c>
      <c r="X81" s="19">
        <f>IF($A81="","",IF(COUNTIFS(請求記録!$B$6:$B$3005,$A81,請求記録!$X$6:$X$3005,X$5,請求記録!$AD$6:$AD$3005,"保留中")&gt;0,"保留",IF(COUNTIFS(請求記録!$B$6:$B$3005,$A81,請求記録!$X$6:$X$3005,X$5)=0,"",SUMIFS(請求記録!$AC$6:$AC$3005,請求記録!$B$6:$B$3005,$A81,請求記録!$X$6:$X$3005,X$5))))</f>
        <v/>
      </c>
      <c r="Y81" s="19">
        <f>IF($A81="","",IF(COUNTIFS(請求記録!$B$6:$B$3005,$A81,請求記録!$X$6:$X$3005,Y$5,請求記録!$AD$6:$AD$3005,"保留中")&gt;0,"保留",IF(COUNTIFS(請求記録!$B$6:$B$3005,$A81,請求記録!$X$6:$X$3005,Y$5)=0,"",SUMIFS(請求記録!$AC$6:$AC$3005,請求記録!$B$6:$B$3005,$A81,請求記録!$X$6:$X$3005,Y$5))))</f>
        <v/>
      </c>
      <c r="Z81" s="19">
        <f>IF($A81="","",IF(COUNTIFS(請求記録!$B$6:$B$3005,$A81,請求記録!$X$6:$X$3005,Z$5,請求記録!$AD$6:$AD$3005,"保留中")&gt;0,"保留",IF(COUNTIFS(請求記録!$B$6:$B$3005,$A81,請求記録!$X$6:$X$3005,Z$5)=0,"",SUMIFS(請求記録!$AC$6:$AC$3005,請求記録!$B$6:$B$3005,$A81,請求記録!$X$6:$X$3005,Z$5))))</f>
        <v/>
      </c>
      <c r="AA81" s="19">
        <f>IF($A81="","",IF(COUNTIFS(請求記録!$B$6:$B$3005,$A81,請求記録!$X$6:$X$3005,AA$5,請求記録!$AD$6:$AD$3005,"保留中")&gt;0,"保留",IF(COUNTIFS(請求記録!$B$6:$B$3005,$A81,請求記録!$X$6:$X$3005,AA$5)=0,"",SUMIFS(請求記録!$AC$6:$AC$3005,請求記録!$B$6:$B$3005,$A81,請求記録!$X$6:$X$3005,AA$5))))</f>
        <v/>
      </c>
      <c r="AB81">
        <f>IF(職員マスタ!P81="保留中",職員マスタ!M81,"")</f>
        <v/>
      </c>
    </row>
    <row r="82">
      <c r="A82">
        <f>IF(職員マスタ!A82="","",職員マスタ!A82)</f>
        <v/>
      </c>
      <c r="B82">
        <f>IF($A82="","",職員マスタ!B82)</f>
        <v/>
      </c>
      <c r="C82">
        <f>IF($A82="","",職員マスタ!C82)</f>
        <v/>
      </c>
      <c r="D82" s="19">
        <f>IF($A82="","",IF(COUNTIFS(請求記録!$B$6:$B$3005,$A82,請求記録!$X$6:$X$3005,D$5,請求記録!$AD$6:$AD$3005,"保留中")&gt;0,"保留",IF(COUNTIFS(請求記録!$B$6:$B$3005,$A82,請求記録!$X$6:$X$3005,D$5)=0,"",SUMIFS(請求記録!$AC$6:$AC$3005,請求記録!$B$6:$B$3005,$A82,請求記録!$X$6:$X$3005,D$5))))</f>
        <v/>
      </c>
      <c r="E82" s="19">
        <f>IF($A82="","",IF(COUNTIFS(請求記録!$B$6:$B$3005,$A82,請求記録!$X$6:$X$3005,E$5,請求記録!$AD$6:$AD$3005,"保留中")&gt;0,"保留",IF(COUNTIFS(請求記録!$B$6:$B$3005,$A82,請求記録!$X$6:$X$3005,E$5)=0,"",SUMIFS(請求記録!$AC$6:$AC$3005,請求記録!$B$6:$B$3005,$A82,請求記録!$X$6:$X$3005,E$5))))</f>
        <v/>
      </c>
      <c r="F82" s="19">
        <f>IF($A82="","",IF(COUNTIFS(請求記録!$B$6:$B$3005,$A82,請求記録!$X$6:$X$3005,F$5,請求記録!$AD$6:$AD$3005,"保留中")&gt;0,"保留",IF(COUNTIFS(請求記録!$B$6:$B$3005,$A82,請求記録!$X$6:$X$3005,F$5)=0,"",SUMIFS(請求記録!$AC$6:$AC$3005,請求記録!$B$6:$B$3005,$A82,請求記録!$X$6:$X$3005,F$5))))</f>
        <v/>
      </c>
      <c r="G82" s="19">
        <f>IF($A82="","",IF(COUNTIFS(請求記録!$B$6:$B$3005,$A82,請求記録!$X$6:$X$3005,G$5,請求記録!$AD$6:$AD$3005,"保留中")&gt;0,"保留",IF(COUNTIFS(請求記録!$B$6:$B$3005,$A82,請求記録!$X$6:$X$3005,G$5)=0,"",SUMIFS(請求記録!$AC$6:$AC$3005,請求記録!$B$6:$B$3005,$A82,請求記録!$X$6:$X$3005,G$5))))</f>
        <v/>
      </c>
      <c r="H82" s="19">
        <f>IF($A82="","",IF(COUNTIFS(請求記録!$B$6:$B$3005,$A82,請求記録!$X$6:$X$3005,H$5,請求記録!$AD$6:$AD$3005,"保留中")&gt;0,"保留",IF(COUNTIFS(請求記録!$B$6:$B$3005,$A82,請求記録!$X$6:$X$3005,H$5)=0,"",SUMIFS(請求記録!$AC$6:$AC$3005,請求記録!$B$6:$B$3005,$A82,請求記録!$X$6:$X$3005,H$5))))</f>
        <v/>
      </c>
      <c r="I82" s="19">
        <f>IF($A82="","",IF(COUNTIFS(請求記録!$B$6:$B$3005,$A82,請求記録!$X$6:$X$3005,I$5,請求記録!$AD$6:$AD$3005,"保留中")&gt;0,"保留",IF(COUNTIFS(請求記録!$B$6:$B$3005,$A82,請求記録!$X$6:$X$3005,I$5)=0,"",SUMIFS(請求記録!$AC$6:$AC$3005,請求記録!$B$6:$B$3005,$A82,請求記録!$X$6:$X$3005,I$5))))</f>
        <v/>
      </c>
      <c r="J82" s="19">
        <f>IF($A82="","",IF(COUNTIFS(請求記録!$B$6:$B$3005,$A82,請求記録!$X$6:$X$3005,J$5,請求記録!$AD$6:$AD$3005,"保留中")&gt;0,"保留",IF(COUNTIFS(請求記録!$B$6:$B$3005,$A82,請求記録!$X$6:$X$3005,J$5)=0,"",SUMIFS(請求記録!$AC$6:$AC$3005,請求記録!$B$6:$B$3005,$A82,請求記録!$X$6:$X$3005,J$5))))</f>
        <v/>
      </c>
      <c r="K82" s="19">
        <f>IF($A82="","",IF(COUNTIFS(請求記録!$B$6:$B$3005,$A82,請求記録!$X$6:$X$3005,K$5,請求記録!$AD$6:$AD$3005,"保留中")&gt;0,"保留",IF(COUNTIFS(請求記録!$B$6:$B$3005,$A82,請求記録!$X$6:$X$3005,K$5)=0,"",SUMIFS(請求記録!$AC$6:$AC$3005,請求記録!$B$6:$B$3005,$A82,請求記録!$X$6:$X$3005,K$5))))</f>
        <v/>
      </c>
      <c r="L82" s="19">
        <f>IF($A82="","",IF(COUNTIFS(請求記録!$B$6:$B$3005,$A82,請求記録!$X$6:$X$3005,L$5,請求記録!$AD$6:$AD$3005,"保留中")&gt;0,"保留",IF(COUNTIFS(請求記録!$B$6:$B$3005,$A82,請求記録!$X$6:$X$3005,L$5)=0,"",SUMIFS(請求記録!$AC$6:$AC$3005,請求記録!$B$6:$B$3005,$A82,請求記録!$X$6:$X$3005,L$5))))</f>
        <v/>
      </c>
      <c r="M82" s="19">
        <f>IF($A82="","",IF(COUNTIFS(請求記録!$B$6:$B$3005,$A82,請求記録!$X$6:$X$3005,M$5,請求記録!$AD$6:$AD$3005,"保留中")&gt;0,"保留",IF(COUNTIFS(請求記録!$B$6:$B$3005,$A82,請求記録!$X$6:$X$3005,M$5)=0,"",SUMIFS(請求記録!$AC$6:$AC$3005,請求記録!$B$6:$B$3005,$A82,請求記録!$X$6:$X$3005,M$5))))</f>
        <v/>
      </c>
      <c r="N82" s="19">
        <f>IF($A82="","",IF(COUNTIFS(請求記録!$B$6:$B$3005,$A82,請求記録!$X$6:$X$3005,N$5,請求記録!$AD$6:$AD$3005,"保留中")&gt;0,"保留",IF(COUNTIFS(請求記録!$B$6:$B$3005,$A82,請求記録!$X$6:$X$3005,N$5)=0,"",SUMIFS(請求記録!$AC$6:$AC$3005,請求記録!$B$6:$B$3005,$A82,請求記録!$X$6:$X$3005,N$5))))</f>
        <v/>
      </c>
      <c r="O82" s="19">
        <f>IF($A82="","",IF(COUNTIFS(請求記録!$B$6:$B$3005,$A82,請求記録!$X$6:$X$3005,O$5,請求記録!$AD$6:$AD$3005,"保留中")&gt;0,"保留",IF(COUNTIFS(請求記録!$B$6:$B$3005,$A82,請求記録!$X$6:$X$3005,O$5)=0,"",SUMIFS(請求記録!$AC$6:$AC$3005,請求記録!$B$6:$B$3005,$A82,請求記録!$X$6:$X$3005,O$5))))</f>
        <v/>
      </c>
      <c r="P82" s="19">
        <f>IF($A82="","",IF(COUNTIFS(請求記録!$B$6:$B$3005,$A82,請求記録!$X$6:$X$3005,P$5,請求記録!$AD$6:$AD$3005,"保留中")&gt;0,"保留",IF(COUNTIFS(請求記録!$B$6:$B$3005,$A82,請求記録!$X$6:$X$3005,P$5)=0,"",SUMIFS(請求記録!$AC$6:$AC$3005,請求記録!$B$6:$B$3005,$A82,請求記録!$X$6:$X$3005,P$5))))</f>
        <v/>
      </c>
      <c r="Q82" s="19">
        <f>IF($A82="","",IF(COUNTIFS(請求記録!$B$6:$B$3005,$A82,請求記録!$X$6:$X$3005,Q$5,請求記録!$AD$6:$AD$3005,"保留中")&gt;0,"保留",IF(COUNTIFS(請求記録!$B$6:$B$3005,$A82,請求記録!$X$6:$X$3005,Q$5)=0,"",SUMIFS(請求記録!$AC$6:$AC$3005,請求記録!$B$6:$B$3005,$A82,請求記録!$X$6:$X$3005,Q$5))))</f>
        <v/>
      </c>
      <c r="R82" s="19">
        <f>IF($A82="","",IF(COUNTIFS(請求記録!$B$6:$B$3005,$A82,請求記録!$X$6:$X$3005,R$5,請求記録!$AD$6:$AD$3005,"保留中")&gt;0,"保留",IF(COUNTIFS(請求記録!$B$6:$B$3005,$A82,請求記録!$X$6:$X$3005,R$5)=0,"",SUMIFS(請求記録!$AC$6:$AC$3005,請求記録!$B$6:$B$3005,$A82,請求記録!$X$6:$X$3005,R$5))))</f>
        <v/>
      </c>
      <c r="S82" s="19">
        <f>IF($A82="","",IF(COUNTIFS(請求記録!$B$6:$B$3005,$A82,請求記録!$X$6:$X$3005,S$5,請求記録!$AD$6:$AD$3005,"保留中")&gt;0,"保留",IF(COUNTIFS(請求記録!$B$6:$B$3005,$A82,請求記録!$X$6:$X$3005,S$5)=0,"",SUMIFS(請求記録!$AC$6:$AC$3005,請求記録!$B$6:$B$3005,$A82,請求記録!$X$6:$X$3005,S$5))))</f>
        <v/>
      </c>
      <c r="T82" s="19">
        <f>IF($A82="","",IF(COUNTIFS(請求記録!$B$6:$B$3005,$A82,請求記録!$X$6:$X$3005,T$5,請求記録!$AD$6:$AD$3005,"保留中")&gt;0,"保留",IF(COUNTIFS(請求記録!$B$6:$B$3005,$A82,請求記録!$X$6:$X$3005,T$5)=0,"",SUMIFS(請求記録!$AC$6:$AC$3005,請求記録!$B$6:$B$3005,$A82,請求記録!$X$6:$X$3005,T$5))))</f>
        <v/>
      </c>
      <c r="U82" s="19">
        <f>IF($A82="","",IF(COUNTIFS(請求記録!$B$6:$B$3005,$A82,請求記録!$X$6:$X$3005,U$5,請求記録!$AD$6:$AD$3005,"保留中")&gt;0,"保留",IF(COUNTIFS(請求記録!$B$6:$B$3005,$A82,請求記録!$X$6:$X$3005,U$5)=0,"",SUMIFS(請求記録!$AC$6:$AC$3005,請求記録!$B$6:$B$3005,$A82,請求記録!$X$6:$X$3005,U$5))))</f>
        <v/>
      </c>
      <c r="V82" s="19">
        <f>IF($A82="","",IF(COUNTIFS(請求記録!$B$6:$B$3005,$A82,請求記録!$X$6:$X$3005,V$5,請求記録!$AD$6:$AD$3005,"保留中")&gt;0,"保留",IF(COUNTIFS(請求記録!$B$6:$B$3005,$A82,請求記録!$X$6:$X$3005,V$5)=0,"",SUMIFS(請求記録!$AC$6:$AC$3005,請求記録!$B$6:$B$3005,$A82,請求記録!$X$6:$X$3005,V$5))))</f>
        <v/>
      </c>
      <c r="W82" s="19">
        <f>IF($A82="","",IF(COUNTIFS(請求記録!$B$6:$B$3005,$A82,請求記録!$X$6:$X$3005,W$5,請求記録!$AD$6:$AD$3005,"保留中")&gt;0,"保留",IF(COUNTIFS(請求記録!$B$6:$B$3005,$A82,請求記録!$X$6:$X$3005,W$5)=0,"",SUMIFS(請求記録!$AC$6:$AC$3005,請求記録!$B$6:$B$3005,$A82,請求記録!$X$6:$X$3005,W$5))))</f>
        <v/>
      </c>
      <c r="X82" s="19">
        <f>IF($A82="","",IF(COUNTIFS(請求記録!$B$6:$B$3005,$A82,請求記録!$X$6:$X$3005,X$5,請求記録!$AD$6:$AD$3005,"保留中")&gt;0,"保留",IF(COUNTIFS(請求記録!$B$6:$B$3005,$A82,請求記録!$X$6:$X$3005,X$5)=0,"",SUMIFS(請求記録!$AC$6:$AC$3005,請求記録!$B$6:$B$3005,$A82,請求記録!$X$6:$X$3005,X$5))))</f>
        <v/>
      </c>
      <c r="Y82" s="19">
        <f>IF($A82="","",IF(COUNTIFS(請求記録!$B$6:$B$3005,$A82,請求記録!$X$6:$X$3005,Y$5,請求記録!$AD$6:$AD$3005,"保留中")&gt;0,"保留",IF(COUNTIFS(請求記録!$B$6:$B$3005,$A82,請求記録!$X$6:$X$3005,Y$5)=0,"",SUMIFS(請求記録!$AC$6:$AC$3005,請求記録!$B$6:$B$3005,$A82,請求記録!$X$6:$X$3005,Y$5))))</f>
        <v/>
      </c>
      <c r="Z82" s="19">
        <f>IF($A82="","",IF(COUNTIFS(請求記録!$B$6:$B$3005,$A82,請求記録!$X$6:$X$3005,Z$5,請求記録!$AD$6:$AD$3005,"保留中")&gt;0,"保留",IF(COUNTIFS(請求記録!$B$6:$B$3005,$A82,請求記録!$X$6:$X$3005,Z$5)=0,"",SUMIFS(請求記録!$AC$6:$AC$3005,請求記録!$B$6:$B$3005,$A82,請求記録!$X$6:$X$3005,Z$5))))</f>
        <v/>
      </c>
      <c r="AA82" s="19">
        <f>IF($A82="","",IF(COUNTIFS(請求記録!$B$6:$B$3005,$A82,請求記録!$X$6:$X$3005,AA$5,請求記録!$AD$6:$AD$3005,"保留中")&gt;0,"保留",IF(COUNTIFS(請求記録!$B$6:$B$3005,$A82,請求記録!$X$6:$X$3005,AA$5)=0,"",SUMIFS(請求記録!$AC$6:$AC$3005,請求記録!$B$6:$B$3005,$A82,請求記録!$X$6:$X$3005,AA$5))))</f>
        <v/>
      </c>
      <c r="AB82">
        <f>IF(職員マスタ!P82="保留中",職員マスタ!M82,"")</f>
        <v/>
      </c>
    </row>
    <row r="83">
      <c r="A83">
        <f>IF(職員マスタ!A83="","",職員マスタ!A83)</f>
        <v/>
      </c>
      <c r="B83">
        <f>IF($A83="","",職員マスタ!B83)</f>
        <v/>
      </c>
      <c r="C83">
        <f>IF($A83="","",職員マスタ!C83)</f>
        <v/>
      </c>
      <c r="D83" s="19">
        <f>IF($A83="","",IF(COUNTIFS(請求記録!$B$6:$B$3005,$A83,請求記録!$X$6:$X$3005,D$5,請求記録!$AD$6:$AD$3005,"保留中")&gt;0,"保留",IF(COUNTIFS(請求記録!$B$6:$B$3005,$A83,請求記録!$X$6:$X$3005,D$5)=0,"",SUMIFS(請求記録!$AC$6:$AC$3005,請求記録!$B$6:$B$3005,$A83,請求記録!$X$6:$X$3005,D$5))))</f>
        <v/>
      </c>
      <c r="E83" s="19">
        <f>IF($A83="","",IF(COUNTIFS(請求記録!$B$6:$B$3005,$A83,請求記録!$X$6:$X$3005,E$5,請求記録!$AD$6:$AD$3005,"保留中")&gt;0,"保留",IF(COUNTIFS(請求記録!$B$6:$B$3005,$A83,請求記録!$X$6:$X$3005,E$5)=0,"",SUMIFS(請求記録!$AC$6:$AC$3005,請求記録!$B$6:$B$3005,$A83,請求記録!$X$6:$X$3005,E$5))))</f>
        <v/>
      </c>
      <c r="F83" s="19">
        <f>IF($A83="","",IF(COUNTIFS(請求記録!$B$6:$B$3005,$A83,請求記録!$X$6:$X$3005,F$5,請求記録!$AD$6:$AD$3005,"保留中")&gt;0,"保留",IF(COUNTIFS(請求記録!$B$6:$B$3005,$A83,請求記録!$X$6:$X$3005,F$5)=0,"",SUMIFS(請求記録!$AC$6:$AC$3005,請求記録!$B$6:$B$3005,$A83,請求記録!$X$6:$X$3005,F$5))))</f>
        <v/>
      </c>
      <c r="G83" s="19">
        <f>IF($A83="","",IF(COUNTIFS(請求記録!$B$6:$B$3005,$A83,請求記録!$X$6:$X$3005,G$5,請求記録!$AD$6:$AD$3005,"保留中")&gt;0,"保留",IF(COUNTIFS(請求記録!$B$6:$B$3005,$A83,請求記録!$X$6:$X$3005,G$5)=0,"",SUMIFS(請求記録!$AC$6:$AC$3005,請求記録!$B$6:$B$3005,$A83,請求記録!$X$6:$X$3005,G$5))))</f>
        <v/>
      </c>
      <c r="H83" s="19">
        <f>IF($A83="","",IF(COUNTIFS(請求記録!$B$6:$B$3005,$A83,請求記録!$X$6:$X$3005,H$5,請求記録!$AD$6:$AD$3005,"保留中")&gt;0,"保留",IF(COUNTIFS(請求記録!$B$6:$B$3005,$A83,請求記録!$X$6:$X$3005,H$5)=0,"",SUMIFS(請求記録!$AC$6:$AC$3005,請求記録!$B$6:$B$3005,$A83,請求記録!$X$6:$X$3005,H$5))))</f>
        <v/>
      </c>
      <c r="I83" s="19">
        <f>IF($A83="","",IF(COUNTIFS(請求記録!$B$6:$B$3005,$A83,請求記録!$X$6:$X$3005,I$5,請求記録!$AD$6:$AD$3005,"保留中")&gt;0,"保留",IF(COUNTIFS(請求記録!$B$6:$B$3005,$A83,請求記録!$X$6:$X$3005,I$5)=0,"",SUMIFS(請求記録!$AC$6:$AC$3005,請求記録!$B$6:$B$3005,$A83,請求記録!$X$6:$X$3005,I$5))))</f>
        <v/>
      </c>
      <c r="J83" s="19">
        <f>IF($A83="","",IF(COUNTIFS(請求記録!$B$6:$B$3005,$A83,請求記録!$X$6:$X$3005,J$5,請求記録!$AD$6:$AD$3005,"保留中")&gt;0,"保留",IF(COUNTIFS(請求記録!$B$6:$B$3005,$A83,請求記録!$X$6:$X$3005,J$5)=0,"",SUMIFS(請求記録!$AC$6:$AC$3005,請求記録!$B$6:$B$3005,$A83,請求記録!$X$6:$X$3005,J$5))))</f>
        <v/>
      </c>
      <c r="K83" s="19">
        <f>IF($A83="","",IF(COUNTIFS(請求記録!$B$6:$B$3005,$A83,請求記録!$X$6:$X$3005,K$5,請求記録!$AD$6:$AD$3005,"保留中")&gt;0,"保留",IF(COUNTIFS(請求記録!$B$6:$B$3005,$A83,請求記録!$X$6:$X$3005,K$5)=0,"",SUMIFS(請求記録!$AC$6:$AC$3005,請求記録!$B$6:$B$3005,$A83,請求記録!$X$6:$X$3005,K$5))))</f>
        <v/>
      </c>
      <c r="L83" s="19">
        <f>IF($A83="","",IF(COUNTIFS(請求記録!$B$6:$B$3005,$A83,請求記録!$X$6:$X$3005,L$5,請求記録!$AD$6:$AD$3005,"保留中")&gt;0,"保留",IF(COUNTIFS(請求記録!$B$6:$B$3005,$A83,請求記録!$X$6:$X$3005,L$5)=0,"",SUMIFS(請求記録!$AC$6:$AC$3005,請求記録!$B$6:$B$3005,$A83,請求記録!$X$6:$X$3005,L$5))))</f>
        <v/>
      </c>
      <c r="M83" s="19">
        <f>IF($A83="","",IF(COUNTIFS(請求記録!$B$6:$B$3005,$A83,請求記録!$X$6:$X$3005,M$5,請求記録!$AD$6:$AD$3005,"保留中")&gt;0,"保留",IF(COUNTIFS(請求記録!$B$6:$B$3005,$A83,請求記録!$X$6:$X$3005,M$5)=0,"",SUMIFS(請求記録!$AC$6:$AC$3005,請求記録!$B$6:$B$3005,$A83,請求記録!$X$6:$X$3005,M$5))))</f>
        <v/>
      </c>
      <c r="N83" s="19">
        <f>IF($A83="","",IF(COUNTIFS(請求記録!$B$6:$B$3005,$A83,請求記録!$X$6:$X$3005,N$5,請求記録!$AD$6:$AD$3005,"保留中")&gt;0,"保留",IF(COUNTIFS(請求記録!$B$6:$B$3005,$A83,請求記録!$X$6:$X$3005,N$5)=0,"",SUMIFS(請求記録!$AC$6:$AC$3005,請求記録!$B$6:$B$3005,$A83,請求記録!$X$6:$X$3005,N$5))))</f>
        <v/>
      </c>
      <c r="O83" s="19">
        <f>IF($A83="","",IF(COUNTIFS(請求記録!$B$6:$B$3005,$A83,請求記録!$X$6:$X$3005,O$5,請求記録!$AD$6:$AD$3005,"保留中")&gt;0,"保留",IF(COUNTIFS(請求記録!$B$6:$B$3005,$A83,請求記録!$X$6:$X$3005,O$5)=0,"",SUMIFS(請求記録!$AC$6:$AC$3005,請求記録!$B$6:$B$3005,$A83,請求記録!$X$6:$X$3005,O$5))))</f>
        <v/>
      </c>
      <c r="P83" s="19">
        <f>IF($A83="","",IF(COUNTIFS(請求記録!$B$6:$B$3005,$A83,請求記録!$X$6:$X$3005,P$5,請求記録!$AD$6:$AD$3005,"保留中")&gt;0,"保留",IF(COUNTIFS(請求記録!$B$6:$B$3005,$A83,請求記録!$X$6:$X$3005,P$5)=0,"",SUMIFS(請求記録!$AC$6:$AC$3005,請求記録!$B$6:$B$3005,$A83,請求記録!$X$6:$X$3005,P$5))))</f>
        <v/>
      </c>
      <c r="Q83" s="19">
        <f>IF($A83="","",IF(COUNTIFS(請求記録!$B$6:$B$3005,$A83,請求記録!$X$6:$X$3005,Q$5,請求記録!$AD$6:$AD$3005,"保留中")&gt;0,"保留",IF(COUNTIFS(請求記録!$B$6:$B$3005,$A83,請求記録!$X$6:$X$3005,Q$5)=0,"",SUMIFS(請求記録!$AC$6:$AC$3005,請求記録!$B$6:$B$3005,$A83,請求記録!$X$6:$X$3005,Q$5))))</f>
        <v/>
      </c>
      <c r="R83" s="19">
        <f>IF($A83="","",IF(COUNTIFS(請求記録!$B$6:$B$3005,$A83,請求記録!$X$6:$X$3005,R$5,請求記録!$AD$6:$AD$3005,"保留中")&gt;0,"保留",IF(COUNTIFS(請求記録!$B$6:$B$3005,$A83,請求記録!$X$6:$X$3005,R$5)=0,"",SUMIFS(請求記録!$AC$6:$AC$3005,請求記録!$B$6:$B$3005,$A83,請求記録!$X$6:$X$3005,R$5))))</f>
        <v/>
      </c>
      <c r="S83" s="19">
        <f>IF($A83="","",IF(COUNTIFS(請求記録!$B$6:$B$3005,$A83,請求記録!$X$6:$X$3005,S$5,請求記録!$AD$6:$AD$3005,"保留中")&gt;0,"保留",IF(COUNTIFS(請求記録!$B$6:$B$3005,$A83,請求記録!$X$6:$X$3005,S$5)=0,"",SUMIFS(請求記録!$AC$6:$AC$3005,請求記録!$B$6:$B$3005,$A83,請求記録!$X$6:$X$3005,S$5))))</f>
        <v/>
      </c>
      <c r="T83" s="19">
        <f>IF($A83="","",IF(COUNTIFS(請求記録!$B$6:$B$3005,$A83,請求記録!$X$6:$X$3005,T$5,請求記録!$AD$6:$AD$3005,"保留中")&gt;0,"保留",IF(COUNTIFS(請求記録!$B$6:$B$3005,$A83,請求記録!$X$6:$X$3005,T$5)=0,"",SUMIFS(請求記録!$AC$6:$AC$3005,請求記録!$B$6:$B$3005,$A83,請求記録!$X$6:$X$3005,T$5))))</f>
        <v/>
      </c>
      <c r="U83" s="19">
        <f>IF($A83="","",IF(COUNTIFS(請求記録!$B$6:$B$3005,$A83,請求記録!$X$6:$X$3005,U$5,請求記録!$AD$6:$AD$3005,"保留中")&gt;0,"保留",IF(COUNTIFS(請求記録!$B$6:$B$3005,$A83,請求記録!$X$6:$X$3005,U$5)=0,"",SUMIFS(請求記録!$AC$6:$AC$3005,請求記録!$B$6:$B$3005,$A83,請求記録!$X$6:$X$3005,U$5))))</f>
        <v/>
      </c>
      <c r="V83" s="19">
        <f>IF($A83="","",IF(COUNTIFS(請求記録!$B$6:$B$3005,$A83,請求記録!$X$6:$X$3005,V$5,請求記録!$AD$6:$AD$3005,"保留中")&gt;0,"保留",IF(COUNTIFS(請求記録!$B$6:$B$3005,$A83,請求記録!$X$6:$X$3005,V$5)=0,"",SUMIFS(請求記録!$AC$6:$AC$3005,請求記録!$B$6:$B$3005,$A83,請求記録!$X$6:$X$3005,V$5))))</f>
        <v/>
      </c>
      <c r="W83" s="19">
        <f>IF($A83="","",IF(COUNTIFS(請求記録!$B$6:$B$3005,$A83,請求記録!$X$6:$X$3005,W$5,請求記録!$AD$6:$AD$3005,"保留中")&gt;0,"保留",IF(COUNTIFS(請求記録!$B$6:$B$3005,$A83,請求記録!$X$6:$X$3005,W$5)=0,"",SUMIFS(請求記録!$AC$6:$AC$3005,請求記録!$B$6:$B$3005,$A83,請求記録!$X$6:$X$3005,W$5))))</f>
        <v/>
      </c>
      <c r="X83" s="19">
        <f>IF($A83="","",IF(COUNTIFS(請求記録!$B$6:$B$3005,$A83,請求記録!$X$6:$X$3005,X$5,請求記録!$AD$6:$AD$3005,"保留中")&gt;0,"保留",IF(COUNTIFS(請求記録!$B$6:$B$3005,$A83,請求記録!$X$6:$X$3005,X$5)=0,"",SUMIFS(請求記録!$AC$6:$AC$3005,請求記録!$B$6:$B$3005,$A83,請求記録!$X$6:$X$3005,X$5))))</f>
        <v/>
      </c>
      <c r="Y83" s="19">
        <f>IF($A83="","",IF(COUNTIFS(請求記録!$B$6:$B$3005,$A83,請求記録!$X$6:$X$3005,Y$5,請求記録!$AD$6:$AD$3005,"保留中")&gt;0,"保留",IF(COUNTIFS(請求記録!$B$6:$B$3005,$A83,請求記録!$X$6:$X$3005,Y$5)=0,"",SUMIFS(請求記録!$AC$6:$AC$3005,請求記録!$B$6:$B$3005,$A83,請求記録!$X$6:$X$3005,Y$5))))</f>
        <v/>
      </c>
      <c r="Z83" s="19">
        <f>IF($A83="","",IF(COUNTIFS(請求記録!$B$6:$B$3005,$A83,請求記録!$X$6:$X$3005,Z$5,請求記録!$AD$6:$AD$3005,"保留中")&gt;0,"保留",IF(COUNTIFS(請求記録!$B$6:$B$3005,$A83,請求記録!$X$6:$X$3005,Z$5)=0,"",SUMIFS(請求記録!$AC$6:$AC$3005,請求記録!$B$6:$B$3005,$A83,請求記録!$X$6:$X$3005,Z$5))))</f>
        <v/>
      </c>
      <c r="AA83" s="19">
        <f>IF($A83="","",IF(COUNTIFS(請求記録!$B$6:$B$3005,$A83,請求記録!$X$6:$X$3005,AA$5,請求記録!$AD$6:$AD$3005,"保留中")&gt;0,"保留",IF(COUNTIFS(請求記録!$B$6:$B$3005,$A83,請求記録!$X$6:$X$3005,AA$5)=0,"",SUMIFS(請求記録!$AC$6:$AC$3005,請求記録!$B$6:$B$3005,$A83,請求記録!$X$6:$X$3005,AA$5))))</f>
        <v/>
      </c>
      <c r="AB83">
        <f>IF(職員マスタ!P83="保留中",職員マスタ!M83,"")</f>
        <v/>
      </c>
    </row>
    <row r="84">
      <c r="A84">
        <f>IF(職員マスタ!A84="","",職員マスタ!A84)</f>
        <v/>
      </c>
      <c r="B84">
        <f>IF($A84="","",職員マスタ!B84)</f>
        <v/>
      </c>
      <c r="C84">
        <f>IF($A84="","",職員マスタ!C84)</f>
        <v/>
      </c>
      <c r="D84" s="19">
        <f>IF($A84="","",IF(COUNTIFS(請求記録!$B$6:$B$3005,$A84,請求記録!$X$6:$X$3005,D$5,請求記録!$AD$6:$AD$3005,"保留中")&gt;0,"保留",IF(COUNTIFS(請求記録!$B$6:$B$3005,$A84,請求記録!$X$6:$X$3005,D$5)=0,"",SUMIFS(請求記録!$AC$6:$AC$3005,請求記録!$B$6:$B$3005,$A84,請求記録!$X$6:$X$3005,D$5))))</f>
        <v/>
      </c>
      <c r="E84" s="19">
        <f>IF($A84="","",IF(COUNTIFS(請求記録!$B$6:$B$3005,$A84,請求記録!$X$6:$X$3005,E$5,請求記録!$AD$6:$AD$3005,"保留中")&gt;0,"保留",IF(COUNTIFS(請求記録!$B$6:$B$3005,$A84,請求記録!$X$6:$X$3005,E$5)=0,"",SUMIFS(請求記録!$AC$6:$AC$3005,請求記録!$B$6:$B$3005,$A84,請求記録!$X$6:$X$3005,E$5))))</f>
        <v/>
      </c>
      <c r="F84" s="19">
        <f>IF($A84="","",IF(COUNTIFS(請求記録!$B$6:$B$3005,$A84,請求記録!$X$6:$X$3005,F$5,請求記録!$AD$6:$AD$3005,"保留中")&gt;0,"保留",IF(COUNTIFS(請求記録!$B$6:$B$3005,$A84,請求記録!$X$6:$X$3005,F$5)=0,"",SUMIFS(請求記録!$AC$6:$AC$3005,請求記録!$B$6:$B$3005,$A84,請求記録!$X$6:$X$3005,F$5))))</f>
        <v/>
      </c>
      <c r="G84" s="19">
        <f>IF($A84="","",IF(COUNTIFS(請求記録!$B$6:$B$3005,$A84,請求記録!$X$6:$X$3005,G$5,請求記録!$AD$6:$AD$3005,"保留中")&gt;0,"保留",IF(COUNTIFS(請求記録!$B$6:$B$3005,$A84,請求記録!$X$6:$X$3005,G$5)=0,"",SUMIFS(請求記録!$AC$6:$AC$3005,請求記録!$B$6:$B$3005,$A84,請求記録!$X$6:$X$3005,G$5))))</f>
        <v/>
      </c>
      <c r="H84" s="19">
        <f>IF($A84="","",IF(COUNTIFS(請求記録!$B$6:$B$3005,$A84,請求記録!$X$6:$X$3005,H$5,請求記録!$AD$6:$AD$3005,"保留中")&gt;0,"保留",IF(COUNTIFS(請求記録!$B$6:$B$3005,$A84,請求記録!$X$6:$X$3005,H$5)=0,"",SUMIFS(請求記録!$AC$6:$AC$3005,請求記録!$B$6:$B$3005,$A84,請求記録!$X$6:$X$3005,H$5))))</f>
        <v/>
      </c>
      <c r="I84" s="19">
        <f>IF($A84="","",IF(COUNTIFS(請求記録!$B$6:$B$3005,$A84,請求記録!$X$6:$X$3005,I$5,請求記録!$AD$6:$AD$3005,"保留中")&gt;0,"保留",IF(COUNTIFS(請求記録!$B$6:$B$3005,$A84,請求記録!$X$6:$X$3005,I$5)=0,"",SUMIFS(請求記録!$AC$6:$AC$3005,請求記録!$B$6:$B$3005,$A84,請求記録!$X$6:$X$3005,I$5))))</f>
        <v/>
      </c>
      <c r="J84" s="19">
        <f>IF($A84="","",IF(COUNTIFS(請求記録!$B$6:$B$3005,$A84,請求記録!$X$6:$X$3005,J$5,請求記録!$AD$6:$AD$3005,"保留中")&gt;0,"保留",IF(COUNTIFS(請求記録!$B$6:$B$3005,$A84,請求記録!$X$6:$X$3005,J$5)=0,"",SUMIFS(請求記録!$AC$6:$AC$3005,請求記録!$B$6:$B$3005,$A84,請求記録!$X$6:$X$3005,J$5))))</f>
        <v/>
      </c>
      <c r="K84" s="19">
        <f>IF($A84="","",IF(COUNTIFS(請求記録!$B$6:$B$3005,$A84,請求記録!$X$6:$X$3005,K$5,請求記録!$AD$6:$AD$3005,"保留中")&gt;0,"保留",IF(COUNTIFS(請求記録!$B$6:$B$3005,$A84,請求記録!$X$6:$X$3005,K$5)=0,"",SUMIFS(請求記録!$AC$6:$AC$3005,請求記録!$B$6:$B$3005,$A84,請求記録!$X$6:$X$3005,K$5))))</f>
        <v/>
      </c>
      <c r="L84" s="19">
        <f>IF($A84="","",IF(COUNTIFS(請求記録!$B$6:$B$3005,$A84,請求記録!$X$6:$X$3005,L$5,請求記録!$AD$6:$AD$3005,"保留中")&gt;0,"保留",IF(COUNTIFS(請求記録!$B$6:$B$3005,$A84,請求記録!$X$6:$X$3005,L$5)=0,"",SUMIFS(請求記録!$AC$6:$AC$3005,請求記録!$B$6:$B$3005,$A84,請求記録!$X$6:$X$3005,L$5))))</f>
        <v/>
      </c>
      <c r="M84" s="19">
        <f>IF($A84="","",IF(COUNTIFS(請求記録!$B$6:$B$3005,$A84,請求記録!$X$6:$X$3005,M$5,請求記録!$AD$6:$AD$3005,"保留中")&gt;0,"保留",IF(COUNTIFS(請求記録!$B$6:$B$3005,$A84,請求記録!$X$6:$X$3005,M$5)=0,"",SUMIFS(請求記録!$AC$6:$AC$3005,請求記録!$B$6:$B$3005,$A84,請求記録!$X$6:$X$3005,M$5))))</f>
        <v/>
      </c>
      <c r="N84" s="19">
        <f>IF($A84="","",IF(COUNTIFS(請求記録!$B$6:$B$3005,$A84,請求記録!$X$6:$X$3005,N$5,請求記録!$AD$6:$AD$3005,"保留中")&gt;0,"保留",IF(COUNTIFS(請求記録!$B$6:$B$3005,$A84,請求記録!$X$6:$X$3005,N$5)=0,"",SUMIFS(請求記録!$AC$6:$AC$3005,請求記録!$B$6:$B$3005,$A84,請求記録!$X$6:$X$3005,N$5))))</f>
        <v/>
      </c>
      <c r="O84" s="19">
        <f>IF($A84="","",IF(COUNTIFS(請求記録!$B$6:$B$3005,$A84,請求記録!$X$6:$X$3005,O$5,請求記録!$AD$6:$AD$3005,"保留中")&gt;0,"保留",IF(COUNTIFS(請求記録!$B$6:$B$3005,$A84,請求記録!$X$6:$X$3005,O$5)=0,"",SUMIFS(請求記録!$AC$6:$AC$3005,請求記録!$B$6:$B$3005,$A84,請求記録!$X$6:$X$3005,O$5))))</f>
        <v/>
      </c>
      <c r="P84" s="19">
        <f>IF($A84="","",IF(COUNTIFS(請求記録!$B$6:$B$3005,$A84,請求記録!$X$6:$X$3005,P$5,請求記録!$AD$6:$AD$3005,"保留中")&gt;0,"保留",IF(COUNTIFS(請求記録!$B$6:$B$3005,$A84,請求記録!$X$6:$X$3005,P$5)=0,"",SUMIFS(請求記録!$AC$6:$AC$3005,請求記録!$B$6:$B$3005,$A84,請求記録!$X$6:$X$3005,P$5))))</f>
        <v/>
      </c>
      <c r="Q84" s="19">
        <f>IF($A84="","",IF(COUNTIFS(請求記録!$B$6:$B$3005,$A84,請求記録!$X$6:$X$3005,Q$5,請求記録!$AD$6:$AD$3005,"保留中")&gt;0,"保留",IF(COUNTIFS(請求記録!$B$6:$B$3005,$A84,請求記録!$X$6:$X$3005,Q$5)=0,"",SUMIFS(請求記録!$AC$6:$AC$3005,請求記録!$B$6:$B$3005,$A84,請求記録!$X$6:$X$3005,Q$5))))</f>
        <v/>
      </c>
      <c r="R84" s="19">
        <f>IF($A84="","",IF(COUNTIFS(請求記録!$B$6:$B$3005,$A84,請求記録!$X$6:$X$3005,R$5,請求記録!$AD$6:$AD$3005,"保留中")&gt;0,"保留",IF(COUNTIFS(請求記録!$B$6:$B$3005,$A84,請求記録!$X$6:$X$3005,R$5)=0,"",SUMIFS(請求記録!$AC$6:$AC$3005,請求記録!$B$6:$B$3005,$A84,請求記録!$X$6:$X$3005,R$5))))</f>
        <v/>
      </c>
      <c r="S84" s="19">
        <f>IF($A84="","",IF(COUNTIFS(請求記録!$B$6:$B$3005,$A84,請求記録!$X$6:$X$3005,S$5,請求記録!$AD$6:$AD$3005,"保留中")&gt;0,"保留",IF(COUNTIFS(請求記録!$B$6:$B$3005,$A84,請求記録!$X$6:$X$3005,S$5)=0,"",SUMIFS(請求記録!$AC$6:$AC$3005,請求記録!$B$6:$B$3005,$A84,請求記録!$X$6:$X$3005,S$5))))</f>
        <v/>
      </c>
      <c r="T84" s="19">
        <f>IF($A84="","",IF(COUNTIFS(請求記録!$B$6:$B$3005,$A84,請求記録!$X$6:$X$3005,T$5,請求記録!$AD$6:$AD$3005,"保留中")&gt;0,"保留",IF(COUNTIFS(請求記録!$B$6:$B$3005,$A84,請求記録!$X$6:$X$3005,T$5)=0,"",SUMIFS(請求記録!$AC$6:$AC$3005,請求記録!$B$6:$B$3005,$A84,請求記録!$X$6:$X$3005,T$5))))</f>
        <v/>
      </c>
      <c r="U84" s="19">
        <f>IF($A84="","",IF(COUNTIFS(請求記録!$B$6:$B$3005,$A84,請求記録!$X$6:$X$3005,U$5,請求記録!$AD$6:$AD$3005,"保留中")&gt;0,"保留",IF(COUNTIFS(請求記録!$B$6:$B$3005,$A84,請求記録!$X$6:$X$3005,U$5)=0,"",SUMIFS(請求記録!$AC$6:$AC$3005,請求記録!$B$6:$B$3005,$A84,請求記録!$X$6:$X$3005,U$5))))</f>
        <v/>
      </c>
      <c r="V84" s="19">
        <f>IF($A84="","",IF(COUNTIFS(請求記録!$B$6:$B$3005,$A84,請求記録!$X$6:$X$3005,V$5,請求記録!$AD$6:$AD$3005,"保留中")&gt;0,"保留",IF(COUNTIFS(請求記録!$B$6:$B$3005,$A84,請求記録!$X$6:$X$3005,V$5)=0,"",SUMIFS(請求記録!$AC$6:$AC$3005,請求記録!$B$6:$B$3005,$A84,請求記録!$X$6:$X$3005,V$5))))</f>
        <v/>
      </c>
      <c r="W84" s="19">
        <f>IF($A84="","",IF(COUNTIFS(請求記録!$B$6:$B$3005,$A84,請求記録!$X$6:$X$3005,W$5,請求記録!$AD$6:$AD$3005,"保留中")&gt;0,"保留",IF(COUNTIFS(請求記録!$B$6:$B$3005,$A84,請求記録!$X$6:$X$3005,W$5)=0,"",SUMIFS(請求記録!$AC$6:$AC$3005,請求記録!$B$6:$B$3005,$A84,請求記録!$X$6:$X$3005,W$5))))</f>
        <v/>
      </c>
      <c r="X84" s="19">
        <f>IF($A84="","",IF(COUNTIFS(請求記録!$B$6:$B$3005,$A84,請求記録!$X$6:$X$3005,X$5,請求記録!$AD$6:$AD$3005,"保留中")&gt;0,"保留",IF(COUNTIFS(請求記録!$B$6:$B$3005,$A84,請求記録!$X$6:$X$3005,X$5)=0,"",SUMIFS(請求記録!$AC$6:$AC$3005,請求記録!$B$6:$B$3005,$A84,請求記録!$X$6:$X$3005,X$5))))</f>
        <v/>
      </c>
      <c r="Y84" s="19">
        <f>IF($A84="","",IF(COUNTIFS(請求記録!$B$6:$B$3005,$A84,請求記録!$X$6:$X$3005,Y$5,請求記録!$AD$6:$AD$3005,"保留中")&gt;0,"保留",IF(COUNTIFS(請求記録!$B$6:$B$3005,$A84,請求記録!$X$6:$X$3005,Y$5)=0,"",SUMIFS(請求記録!$AC$6:$AC$3005,請求記録!$B$6:$B$3005,$A84,請求記録!$X$6:$X$3005,Y$5))))</f>
        <v/>
      </c>
      <c r="Z84" s="19">
        <f>IF($A84="","",IF(COUNTIFS(請求記録!$B$6:$B$3005,$A84,請求記録!$X$6:$X$3005,Z$5,請求記録!$AD$6:$AD$3005,"保留中")&gt;0,"保留",IF(COUNTIFS(請求記録!$B$6:$B$3005,$A84,請求記録!$X$6:$X$3005,Z$5)=0,"",SUMIFS(請求記録!$AC$6:$AC$3005,請求記録!$B$6:$B$3005,$A84,請求記録!$X$6:$X$3005,Z$5))))</f>
        <v/>
      </c>
      <c r="AA84" s="19">
        <f>IF($A84="","",IF(COUNTIFS(請求記録!$B$6:$B$3005,$A84,請求記録!$X$6:$X$3005,AA$5,請求記録!$AD$6:$AD$3005,"保留中")&gt;0,"保留",IF(COUNTIFS(請求記録!$B$6:$B$3005,$A84,請求記録!$X$6:$X$3005,AA$5)=0,"",SUMIFS(請求記録!$AC$6:$AC$3005,請求記録!$B$6:$B$3005,$A84,請求記録!$X$6:$X$3005,AA$5))))</f>
        <v/>
      </c>
      <c r="AB84">
        <f>IF(職員マスタ!P84="保留中",職員マスタ!M84,"")</f>
        <v/>
      </c>
    </row>
    <row r="85">
      <c r="A85">
        <f>IF(職員マスタ!A85="","",職員マスタ!A85)</f>
        <v/>
      </c>
      <c r="B85">
        <f>IF($A85="","",職員マスタ!B85)</f>
        <v/>
      </c>
      <c r="C85">
        <f>IF($A85="","",職員マスタ!C85)</f>
        <v/>
      </c>
      <c r="D85" s="19">
        <f>IF($A85="","",IF(COUNTIFS(請求記録!$B$6:$B$3005,$A85,請求記録!$X$6:$X$3005,D$5,請求記録!$AD$6:$AD$3005,"保留中")&gt;0,"保留",IF(COUNTIFS(請求記録!$B$6:$B$3005,$A85,請求記録!$X$6:$X$3005,D$5)=0,"",SUMIFS(請求記録!$AC$6:$AC$3005,請求記録!$B$6:$B$3005,$A85,請求記録!$X$6:$X$3005,D$5))))</f>
        <v/>
      </c>
      <c r="E85" s="19">
        <f>IF($A85="","",IF(COUNTIFS(請求記録!$B$6:$B$3005,$A85,請求記録!$X$6:$X$3005,E$5,請求記録!$AD$6:$AD$3005,"保留中")&gt;0,"保留",IF(COUNTIFS(請求記録!$B$6:$B$3005,$A85,請求記録!$X$6:$X$3005,E$5)=0,"",SUMIFS(請求記録!$AC$6:$AC$3005,請求記録!$B$6:$B$3005,$A85,請求記録!$X$6:$X$3005,E$5))))</f>
        <v/>
      </c>
      <c r="F85" s="19">
        <f>IF($A85="","",IF(COUNTIFS(請求記録!$B$6:$B$3005,$A85,請求記録!$X$6:$X$3005,F$5,請求記録!$AD$6:$AD$3005,"保留中")&gt;0,"保留",IF(COUNTIFS(請求記録!$B$6:$B$3005,$A85,請求記録!$X$6:$X$3005,F$5)=0,"",SUMIFS(請求記録!$AC$6:$AC$3005,請求記録!$B$6:$B$3005,$A85,請求記録!$X$6:$X$3005,F$5))))</f>
        <v/>
      </c>
      <c r="G85" s="19">
        <f>IF($A85="","",IF(COUNTIFS(請求記録!$B$6:$B$3005,$A85,請求記録!$X$6:$X$3005,G$5,請求記録!$AD$6:$AD$3005,"保留中")&gt;0,"保留",IF(COUNTIFS(請求記録!$B$6:$B$3005,$A85,請求記録!$X$6:$X$3005,G$5)=0,"",SUMIFS(請求記録!$AC$6:$AC$3005,請求記録!$B$6:$B$3005,$A85,請求記録!$X$6:$X$3005,G$5))))</f>
        <v/>
      </c>
      <c r="H85" s="19">
        <f>IF($A85="","",IF(COUNTIFS(請求記録!$B$6:$B$3005,$A85,請求記録!$X$6:$X$3005,H$5,請求記録!$AD$6:$AD$3005,"保留中")&gt;0,"保留",IF(COUNTIFS(請求記録!$B$6:$B$3005,$A85,請求記録!$X$6:$X$3005,H$5)=0,"",SUMIFS(請求記録!$AC$6:$AC$3005,請求記録!$B$6:$B$3005,$A85,請求記録!$X$6:$X$3005,H$5))))</f>
        <v/>
      </c>
      <c r="I85" s="19">
        <f>IF($A85="","",IF(COUNTIFS(請求記録!$B$6:$B$3005,$A85,請求記録!$X$6:$X$3005,I$5,請求記録!$AD$6:$AD$3005,"保留中")&gt;0,"保留",IF(COUNTIFS(請求記録!$B$6:$B$3005,$A85,請求記録!$X$6:$X$3005,I$5)=0,"",SUMIFS(請求記録!$AC$6:$AC$3005,請求記録!$B$6:$B$3005,$A85,請求記録!$X$6:$X$3005,I$5))))</f>
        <v/>
      </c>
      <c r="J85" s="19">
        <f>IF($A85="","",IF(COUNTIFS(請求記録!$B$6:$B$3005,$A85,請求記録!$X$6:$X$3005,J$5,請求記録!$AD$6:$AD$3005,"保留中")&gt;0,"保留",IF(COUNTIFS(請求記録!$B$6:$B$3005,$A85,請求記録!$X$6:$X$3005,J$5)=0,"",SUMIFS(請求記録!$AC$6:$AC$3005,請求記録!$B$6:$B$3005,$A85,請求記録!$X$6:$X$3005,J$5))))</f>
        <v/>
      </c>
      <c r="K85" s="19">
        <f>IF($A85="","",IF(COUNTIFS(請求記録!$B$6:$B$3005,$A85,請求記録!$X$6:$X$3005,K$5,請求記録!$AD$6:$AD$3005,"保留中")&gt;0,"保留",IF(COUNTIFS(請求記録!$B$6:$B$3005,$A85,請求記録!$X$6:$X$3005,K$5)=0,"",SUMIFS(請求記録!$AC$6:$AC$3005,請求記録!$B$6:$B$3005,$A85,請求記録!$X$6:$X$3005,K$5))))</f>
        <v/>
      </c>
      <c r="L85" s="19">
        <f>IF($A85="","",IF(COUNTIFS(請求記録!$B$6:$B$3005,$A85,請求記録!$X$6:$X$3005,L$5,請求記録!$AD$6:$AD$3005,"保留中")&gt;0,"保留",IF(COUNTIFS(請求記録!$B$6:$B$3005,$A85,請求記録!$X$6:$X$3005,L$5)=0,"",SUMIFS(請求記録!$AC$6:$AC$3005,請求記録!$B$6:$B$3005,$A85,請求記録!$X$6:$X$3005,L$5))))</f>
        <v/>
      </c>
      <c r="M85" s="19">
        <f>IF($A85="","",IF(COUNTIFS(請求記録!$B$6:$B$3005,$A85,請求記録!$X$6:$X$3005,M$5,請求記録!$AD$6:$AD$3005,"保留中")&gt;0,"保留",IF(COUNTIFS(請求記録!$B$6:$B$3005,$A85,請求記録!$X$6:$X$3005,M$5)=0,"",SUMIFS(請求記録!$AC$6:$AC$3005,請求記録!$B$6:$B$3005,$A85,請求記録!$X$6:$X$3005,M$5))))</f>
        <v/>
      </c>
      <c r="N85" s="19">
        <f>IF($A85="","",IF(COUNTIFS(請求記録!$B$6:$B$3005,$A85,請求記録!$X$6:$X$3005,N$5,請求記録!$AD$6:$AD$3005,"保留中")&gt;0,"保留",IF(COUNTIFS(請求記録!$B$6:$B$3005,$A85,請求記録!$X$6:$X$3005,N$5)=0,"",SUMIFS(請求記録!$AC$6:$AC$3005,請求記録!$B$6:$B$3005,$A85,請求記録!$X$6:$X$3005,N$5))))</f>
        <v/>
      </c>
      <c r="O85" s="19">
        <f>IF($A85="","",IF(COUNTIFS(請求記録!$B$6:$B$3005,$A85,請求記録!$X$6:$X$3005,O$5,請求記録!$AD$6:$AD$3005,"保留中")&gt;0,"保留",IF(COUNTIFS(請求記録!$B$6:$B$3005,$A85,請求記録!$X$6:$X$3005,O$5)=0,"",SUMIFS(請求記録!$AC$6:$AC$3005,請求記録!$B$6:$B$3005,$A85,請求記録!$X$6:$X$3005,O$5))))</f>
        <v/>
      </c>
      <c r="P85" s="19">
        <f>IF($A85="","",IF(COUNTIFS(請求記録!$B$6:$B$3005,$A85,請求記録!$X$6:$X$3005,P$5,請求記録!$AD$6:$AD$3005,"保留中")&gt;0,"保留",IF(COUNTIFS(請求記録!$B$6:$B$3005,$A85,請求記録!$X$6:$X$3005,P$5)=0,"",SUMIFS(請求記録!$AC$6:$AC$3005,請求記録!$B$6:$B$3005,$A85,請求記録!$X$6:$X$3005,P$5))))</f>
        <v/>
      </c>
      <c r="Q85" s="19">
        <f>IF($A85="","",IF(COUNTIFS(請求記録!$B$6:$B$3005,$A85,請求記録!$X$6:$X$3005,Q$5,請求記録!$AD$6:$AD$3005,"保留中")&gt;0,"保留",IF(COUNTIFS(請求記録!$B$6:$B$3005,$A85,請求記録!$X$6:$X$3005,Q$5)=0,"",SUMIFS(請求記録!$AC$6:$AC$3005,請求記録!$B$6:$B$3005,$A85,請求記録!$X$6:$X$3005,Q$5))))</f>
        <v/>
      </c>
      <c r="R85" s="19">
        <f>IF($A85="","",IF(COUNTIFS(請求記録!$B$6:$B$3005,$A85,請求記録!$X$6:$X$3005,R$5,請求記録!$AD$6:$AD$3005,"保留中")&gt;0,"保留",IF(COUNTIFS(請求記録!$B$6:$B$3005,$A85,請求記録!$X$6:$X$3005,R$5)=0,"",SUMIFS(請求記録!$AC$6:$AC$3005,請求記録!$B$6:$B$3005,$A85,請求記録!$X$6:$X$3005,R$5))))</f>
        <v/>
      </c>
      <c r="S85" s="19">
        <f>IF($A85="","",IF(COUNTIFS(請求記録!$B$6:$B$3005,$A85,請求記録!$X$6:$X$3005,S$5,請求記録!$AD$6:$AD$3005,"保留中")&gt;0,"保留",IF(COUNTIFS(請求記録!$B$6:$B$3005,$A85,請求記録!$X$6:$X$3005,S$5)=0,"",SUMIFS(請求記録!$AC$6:$AC$3005,請求記録!$B$6:$B$3005,$A85,請求記録!$X$6:$X$3005,S$5))))</f>
        <v/>
      </c>
      <c r="T85" s="19">
        <f>IF($A85="","",IF(COUNTIFS(請求記録!$B$6:$B$3005,$A85,請求記録!$X$6:$X$3005,T$5,請求記録!$AD$6:$AD$3005,"保留中")&gt;0,"保留",IF(COUNTIFS(請求記録!$B$6:$B$3005,$A85,請求記録!$X$6:$X$3005,T$5)=0,"",SUMIFS(請求記録!$AC$6:$AC$3005,請求記録!$B$6:$B$3005,$A85,請求記録!$X$6:$X$3005,T$5))))</f>
        <v/>
      </c>
      <c r="U85" s="19">
        <f>IF($A85="","",IF(COUNTIFS(請求記録!$B$6:$B$3005,$A85,請求記録!$X$6:$X$3005,U$5,請求記録!$AD$6:$AD$3005,"保留中")&gt;0,"保留",IF(COUNTIFS(請求記録!$B$6:$B$3005,$A85,請求記録!$X$6:$X$3005,U$5)=0,"",SUMIFS(請求記録!$AC$6:$AC$3005,請求記録!$B$6:$B$3005,$A85,請求記録!$X$6:$X$3005,U$5))))</f>
        <v/>
      </c>
      <c r="V85" s="19">
        <f>IF($A85="","",IF(COUNTIFS(請求記録!$B$6:$B$3005,$A85,請求記録!$X$6:$X$3005,V$5,請求記録!$AD$6:$AD$3005,"保留中")&gt;0,"保留",IF(COUNTIFS(請求記録!$B$6:$B$3005,$A85,請求記録!$X$6:$X$3005,V$5)=0,"",SUMIFS(請求記録!$AC$6:$AC$3005,請求記録!$B$6:$B$3005,$A85,請求記録!$X$6:$X$3005,V$5))))</f>
        <v/>
      </c>
      <c r="W85" s="19">
        <f>IF($A85="","",IF(COUNTIFS(請求記録!$B$6:$B$3005,$A85,請求記録!$X$6:$X$3005,W$5,請求記録!$AD$6:$AD$3005,"保留中")&gt;0,"保留",IF(COUNTIFS(請求記録!$B$6:$B$3005,$A85,請求記録!$X$6:$X$3005,W$5)=0,"",SUMIFS(請求記録!$AC$6:$AC$3005,請求記録!$B$6:$B$3005,$A85,請求記録!$X$6:$X$3005,W$5))))</f>
        <v/>
      </c>
      <c r="X85" s="19">
        <f>IF($A85="","",IF(COUNTIFS(請求記録!$B$6:$B$3005,$A85,請求記録!$X$6:$X$3005,X$5,請求記録!$AD$6:$AD$3005,"保留中")&gt;0,"保留",IF(COUNTIFS(請求記録!$B$6:$B$3005,$A85,請求記録!$X$6:$X$3005,X$5)=0,"",SUMIFS(請求記録!$AC$6:$AC$3005,請求記録!$B$6:$B$3005,$A85,請求記録!$X$6:$X$3005,X$5))))</f>
        <v/>
      </c>
      <c r="Y85" s="19">
        <f>IF($A85="","",IF(COUNTIFS(請求記録!$B$6:$B$3005,$A85,請求記録!$X$6:$X$3005,Y$5,請求記録!$AD$6:$AD$3005,"保留中")&gt;0,"保留",IF(COUNTIFS(請求記録!$B$6:$B$3005,$A85,請求記録!$X$6:$X$3005,Y$5)=0,"",SUMIFS(請求記録!$AC$6:$AC$3005,請求記録!$B$6:$B$3005,$A85,請求記録!$X$6:$X$3005,Y$5))))</f>
        <v/>
      </c>
      <c r="Z85" s="19">
        <f>IF($A85="","",IF(COUNTIFS(請求記録!$B$6:$B$3005,$A85,請求記録!$X$6:$X$3005,Z$5,請求記録!$AD$6:$AD$3005,"保留中")&gt;0,"保留",IF(COUNTIFS(請求記録!$B$6:$B$3005,$A85,請求記録!$X$6:$X$3005,Z$5)=0,"",SUMIFS(請求記録!$AC$6:$AC$3005,請求記録!$B$6:$B$3005,$A85,請求記録!$X$6:$X$3005,Z$5))))</f>
        <v/>
      </c>
      <c r="AA85" s="19">
        <f>IF($A85="","",IF(COUNTIFS(請求記録!$B$6:$B$3005,$A85,請求記録!$X$6:$X$3005,AA$5,請求記録!$AD$6:$AD$3005,"保留中")&gt;0,"保留",IF(COUNTIFS(請求記録!$B$6:$B$3005,$A85,請求記録!$X$6:$X$3005,AA$5)=0,"",SUMIFS(請求記録!$AC$6:$AC$3005,請求記録!$B$6:$B$3005,$A85,請求記録!$X$6:$X$3005,AA$5))))</f>
        <v/>
      </c>
      <c r="AB85">
        <f>IF(職員マスタ!P85="保留中",職員マスタ!M85,"")</f>
        <v/>
      </c>
    </row>
    <row r="86">
      <c r="A86">
        <f>IF(職員マスタ!A86="","",職員マスタ!A86)</f>
        <v/>
      </c>
      <c r="B86">
        <f>IF($A86="","",職員マスタ!B86)</f>
        <v/>
      </c>
      <c r="C86">
        <f>IF($A86="","",職員マスタ!C86)</f>
        <v/>
      </c>
      <c r="D86" s="19">
        <f>IF($A86="","",IF(COUNTIFS(請求記録!$B$6:$B$3005,$A86,請求記録!$X$6:$X$3005,D$5,請求記録!$AD$6:$AD$3005,"保留中")&gt;0,"保留",IF(COUNTIFS(請求記録!$B$6:$B$3005,$A86,請求記録!$X$6:$X$3005,D$5)=0,"",SUMIFS(請求記録!$AC$6:$AC$3005,請求記録!$B$6:$B$3005,$A86,請求記録!$X$6:$X$3005,D$5))))</f>
        <v/>
      </c>
      <c r="E86" s="19">
        <f>IF($A86="","",IF(COUNTIFS(請求記録!$B$6:$B$3005,$A86,請求記録!$X$6:$X$3005,E$5,請求記録!$AD$6:$AD$3005,"保留中")&gt;0,"保留",IF(COUNTIFS(請求記録!$B$6:$B$3005,$A86,請求記録!$X$6:$X$3005,E$5)=0,"",SUMIFS(請求記録!$AC$6:$AC$3005,請求記録!$B$6:$B$3005,$A86,請求記録!$X$6:$X$3005,E$5))))</f>
        <v/>
      </c>
      <c r="F86" s="19">
        <f>IF($A86="","",IF(COUNTIFS(請求記録!$B$6:$B$3005,$A86,請求記録!$X$6:$X$3005,F$5,請求記録!$AD$6:$AD$3005,"保留中")&gt;0,"保留",IF(COUNTIFS(請求記録!$B$6:$B$3005,$A86,請求記録!$X$6:$X$3005,F$5)=0,"",SUMIFS(請求記録!$AC$6:$AC$3005,請求記録!$B$6:$B$3005,$A86,請求記録!$X$6:$X$3005,F$5))))</f>
        <v/>
      </c>
      <c r="G86" s="19">
        <f>IF($A86="","",IF(COUNTIFS(請求記録!$B$6:$B$3005,$A86,請求記録!$X$6:$X$3005,G$5,請求記録!$AD$6:$AD$3005,"保留中")&gt;0,"保留",IF(COUNTIFS(請求記録!$B$6:$B$3005,$A86,請求記録!$X$6:$X$3005,G$5)=0,"",SUMIFS(請求記録!$AC$6:$AC$3005,請求記録!$B$6:$B$3005,$A86,請求記録!$X$6:$X$3005,G$5))))</f>
        <v/>
      </c>
      <c r="H86" s="19">
        <f>IF($A86="","",IF(COUNTIFS(請求記録!$B$6:$B$3005,$A86,請求記録!$X$6:$X$3005,H$5,請求記録!$AD$6:$AD$3005,"保留中")&gt;0,"保留",IF(COUNTIFS(請求記録!$B$6:$B$3005,$A86,請求記録!$X$6:$X$3005,H$5)=0,"",SUMIFS(請求記録!$AC$6:$AC$3005,請求記録!$B$6:$B$3005,$A86,請求記録!$X$6:$X$3005,H$5))))</f>
        <v/>
      </c>
      <c r="I86" s="19">
        <f>IF($A86="","",IF(COUNTIFS(請求記録!$B$6:$B$3005,$A86,請求記録!$X$6:$X$3005,I$5,請求記録!$AD$6:$AD$3005,"保留中")&gt;0,"保留",IF(COUNTIFS(請求記録!$B$6:$B$3005,$A86,請求記録!$X$6:$X$3005,I$5)=0,"",SUMIFS(請求記録!$AC$6:$AC$3005,請求記録!$B$6:$B$3005,$A86,請求記録!$X$6:$X$3005,I$5))))</f>
        <v/>
      </c>
      <c r="J86" s="19">
        <f>IF($A86="","",IF(COUNTIFS(請求記録!$B$6:$B$3005,$A86,請求記録!$X$6:$X$3005,J$5,請求記録!$AD$6:$AD$3005,"保留中")&gt;0,"保留",IF(COUNTIFS(請求記録!$B$6:$B$3005,$A86,請求記録!$X$6:$X$3005,J$5)=0,"",SUMIFS(請求記録!$AC$6:$AC$3005,請求記録!$B$6:$B$3005,$A86,請求記録!$X$6:$X$3005,J$5))))</f>
        <v/>
      </c>
      <c r="K86" s="19">
        <f>IF($A86="","",IF(COUNTIFS(請求記録!$B$6:$B$3005,$A86,請求記録!$X$6:$X$3005,K$5,請求記録!$AD$6:$AD$3005,"保留中")&gt;0,"保留",IF(COUNTIFS(請求記録!$B$6:$B$3005,$A86,請求記録!$X$6:$X$3005,K$5)=0,"",SUMIFS(請求記録!$AC$6:$AC$3005,請求記録!$B$6:$B$3005,$A86,請求記録!$X$6:$X$3005,K$5))))</f>
        <v/>
      </c>
      <c r="L86" s="19">
        <f>IF($A86="","",IF(COUNTIFS(請求記録!$B$6:$B$3005,$A86,請求記録!$X$6:$X$3005,L$5,請求記録!$AD$6:$AD$3005,"保留中")&gt;0,"保留",IF(COUNTIFS(請求記録!$B$6:$B$3005,$A86,請求記録!$X$6:$X$3005,L$5)=0,"",SUMIFS(請求記録!$AC$6:$AC$3005,請求記録!$B$6:$B$3005,$A86,請求記録!$X$6:$X$3005,L$5))))</f>
        <v/>
      </c>
      <c r="M86" s="19">
        <f>IF($A86="","",IF(COUNTIFS(請求記録!$B$6:$B$3005,$A86,請求記録!$X$6:$X$3005,M$5,請求記録!$AD$6:$AD$3005,"保留中")&gt;0,"保留",IF(COUNTIFS(請求記録!$B$6:$B$3005,$A86,請求記録!$X$6:$X$3005,M$5)=0,"",SUMIFS(請求記録!$AC$6:$AC$3005,請求記録!$B$6:$B$3005,$A86,請求記録!$X$6:$X$3005,M$5))))</f>
        <v/>
      </c>
      <c r="N86" s="19">
        <f>IF($A86="","",IF(COUNTIFS(請求記録!$B$6:$B$3005,$A86,請求記録!$X$6:$X$3005,N$5,請求記録!$AD$6:$AD$3005,"保留中")&gt;0,"保留",IF(COUNTIFS(請求記録!$B$6:$B$3005,$A86,請求記録!$X$6:$X$3005,N$5)=0,"",SUMIFS(請求記録!$AC$6:$AC$3005,請求記録!$B$6:$B$3005,$A86,請求記録!$X$6:$X$3005,N$5))))</f>
        <v/>
      </c>
      <c r="O86" s="19">
        <f>IF($A86="","",IF(COUNTIFS(請求記録!$B$6:$B$3005,$A86,請求記録!$X$6:$X$3005,O$5,請求記録!$AD$6:$AD$3005,"保留中")&gt;0,"保留",IF(COUNTIFS(請求記録!$B$6:$B$3005,$A86,請求記録!$X$6:$X$3005,O$5)=0,"",SUMIFS(請求記録!$AC$6:$AC$3005,請求記録!$B$6:$B$3005,$A86,請求記録!$X$6:$X$3005,O$5))))</f>
        <v/>
      </c>
      <c r="P86" s="19">
        <f>IF($A86="","",IF(COUNTIFS(請求記録!$B$6:$B$3005,$A86,請求記録!$X$6:$X$3005,P$5,請求記録!$AD$6:$AD$3005,"保留中")&gt;0,"保留",IF(COUNTIFS(請求記録!$B$6:$B$3005,$A86,請求記録!$X$6:$X$3005,P$5)=0,"",SUMIFS(請求記録!$AC$6:$AC$3005,請求記録!$B$6:$B$3005,$A86,請求記録!$X$6:$X$3005,P$5))))</f>
        <v/>
      </c>
      <c r="Q86" s="19">
        <f>IF($A86="","",IF(COUNTIFS(請求記録!$B$6:$B$3005,$A86,請求記録!$X$6:$X$3005,Q$5,請求記録!$AD$6:$AD$3005,"保留中")&gt;0,"保留",IF(COUNTIFS(請求記録!$B$6:$B$3005,$A86,請求記録!$X$6:$X$3005,Q$5)=0,"",SUMIFS(請求記録!$AC$6:$AC$3005,請求記録!$B$6:$B$3005,$A86,請求記録!$X$6:$X$3005,Q$5))))</f>
        <v/>
      </c>
      <c r="R86" s="19">
        <f>IF($A86="","",IF(COUNTIFS(請求記録!$B$6:$B$3005,$A86,請求記録!$X$6:$X$3005,R$5,請求記録!$AD$6:$AD$3005,"保留中")&gt;0,"保留",IF(COUNTIFS(請求記録!$B$6:$B$3005,$A86,請求記録!$X$6:$X$3005,R$5)=0,"",SUMIFS(請求記録!$AC$6:$AC$3005,請求記録!$B$6:$B$3005,$A86,請求記録!$X$6:$X$3005,R$5))))</f>
        <v/>
      </c>
      <c r="S86" s="19">
        <f>IF($A86="","",IF(COUNTIFS(請求記録!$B$6:$B$3005,$A86,請求記録!$X$6:$X$3005,S$5,請求記録!$AD$6:$AD$3005,"保留中")&gt;0,"保留",IF(COUNTIFS(請求記録!$B$6:$B$3005,$A86,請求記録!$X$6:$X$3005,S$5)=0,"",SUMIFS(請求記録!$AC$6:$AC$3005,請求記録!$B$6:$B$3005,$A86,請求記録!$X$6:$X$3005,S$5))))</f>
        <v/>
      </c>
      <c r="T86" s="19">
        <f>IF($A86="","",IF(COUNTIFS(請求記録!$B$6:$B$3005,$A86,請求記録!$X$6:$X$3005,T$5,請求記録!$AD$6:$AD$3005,"保留中")&gt;0,"保留",IF(COUNTIFS(請求記録!$B$6:$B$3005,$A86,請求記録!$X$6:$X$3005,T$5)=0,"",SUMIFS(請求記録!$AC$6:$AC$3005,請求記録!$B$6:$B$3005,$A86,請求記録!$X$6:$X$3005,T$5))))</f>
        <v/>
      </c>
      <c r="U86" s="19">
        <f>IF($A86="","",IF(COUNTIFS(請求記録!$B$6:$B$3005,$A86,請求記録!$X$6:$X$3005,U$5,請求記録!$AD$6:$AD$3005,"保留中")&gt;0,"保留",IF(COUNTIFS(請求記録!$B$6:$B$3005,$A86,請求記録!$X$6:$X$3005,U$5)=0,"",SUMIFS(請求記録!$AC$6:$AC$3005,請求記録!$B$6:$B$3005,$A86,請求記録!$X$6:$X$3005,U$5))))</f>
        <v/>
      </c>
      <c r="V86" s="19">
        <f>IF($A86="","",IF(COUNTIFS(請求記録!$B$6:$B$3005,$A86,請求記録!$X$6:$X$3005,V$5,請求記録!$AD$6:$AD$3005,"保留中")&gt;0,"保留",IF(COUNTIFS(請求記録!$B$6:$B$3005,$A86,請求記録!$X$6:$X$3005,V$5)=0,"",SUMIFS(請求記録!$AC$6:$AC$3005,請求記録!$B$6:$B$3005,$A86,請求記録!$X$6:$X$3005,V$5))))</f>
        <v/>
      </c>
      <c r="W86" s="19">
        <f>IF($A86="","",IF(COUNTIFS(請求記録!$B$6:$B$3005,$A86,請求記録!$X$6:$X$3005,W$5,請求記録!$AD$6:$AD$3005,"保留中")&gt;0,"保留",IF(COUNTIFS(請求記録!$B$6:$B$3005,$A86,請求記録!$X$6:$X$3005,W$5)=0,"",SUMIFS(請求記録!$AC$6:$AC$3005,請求記録!$B$6:$B$3005,$A86,請求記録!$X$6:$X$3005,W$5))))</f>
        <v/>
      </c>
      <c r="X86" s="19">
        <f>IF($A86="","",IF(COUNTIFS(請求記録!$B$6:$B$3005,$A86,請求記録!$X$6:$X$3005,X$5,請求記録!$AD$6:$AD$3005,"保留中")&gt;0,"保留",IF(COUNTIFS(請求記録!$B$6:$B$3005,$A86,請求記録!$X$6:$X$3005,X$5)=0,"",SUMIFS(請求記録!$AC$6:$AC$3005,請求記録!$B$6:$B$3005,$A86,請求記録!$X$6:$X$3005,X$5))))</f>
        <v/>
      </c>
      <c r="Y86" s="19">
        <f>IF($A86="","",IF(COUNTIFS(請求記録!$B$6:$B$3005,$A86,請求記録!$X$6:$X$3005,Y$5,請求記録!$AD$6:$AD$3005,"保留中")&gt;0,"保留",IF(COUNTIFS(請求記録!$B$6:$B$3005,$A86,請求記録!$X$6:$X$3005,Y$5)=0,"",SUMIFS(請求記録!$AC$6:$AC$3005,請求記録!$B$6:$B$3005,$A86,請求記録!$X$6:$X$3005,Y$5))))</f>
        <v/>
      </c>
      <c r="Z86" s="19">
        <f>IF($A86="","",IF(COUNTIFS(請求記録!$B$6:$B$3005,$A86,請求記録!$X$6:$X$3005,Z$5,請求記録!$AD$6:$AD$3005,"保留中")&gt;0,"保留",IF(COUNTIFS(請求記録!$B$6:$B$3005,$A86,請求記録!$X$6:$X$3005,Z$5)=0,"",SUMIFS(請求記録!$AC$6:$AC$3005,請求記録!$B$6:$B$3005,$A86,請求記録!$X$6:$X$3005,Z$5))))</f>
        <v/>
      </c>
      <c r="AA86" s="19">
        <f>IF($A86="","",IF(COUNTIFS(請求記録!$B$6:$B$3005,$A86,請求記録!$X$6:$X$3005,AA$5,請求記録!$AD$6:$AD$3005,"保留中")&gt;0,"保留",IF(COUNTIFS(請求記録!$B$6:$B$3005,$A86,請求記録!$X$6:$X$3005,AA$5)=0,"",SUMIFS(請求記録!$AC$6:$AC$3005,請求記録!$B$6:$B$3005,$A86,請求記録!$X$6:$X$3005,AA$5))))</f>
        <v/>
      </c>
      <c r="AB86">
        <f>IF(職員マスタ!P86="保留中",職員マスタ!M86,"")</f>
        <v/>
      </c>
    </row>
    <row r="87">
      <c r="A87">
        <f>IF(職員マスタ!A87="","",職員マスタ!A87)</f>
        <v/>
      </c>
      <c r="B87">
        <f>IF($A87="","",職員マスタ!B87)</f>
        <v/>
      </c>
      <c r="C87">
        <f>IF($A87="","",職員マスタ!C87)</f>
        <v/>
      </c>
      <c r="D87" s="19">
        <f>IF($A87="","",IF(COUNTIFS(請求記録!$B$6:$B$3005,$A87,請求記録!$X$6:$X$3005,D$5,請求記録!$AD$6:$AD$3005,"保留中")&gt;0,"保留",IF(COUNTIFS(請求記録!$B$6:$B$3005,$A87,請求記録!$X$6:$X$3005,D$5)=0,"",SUMIFS(請求記録!$AC$6:$AC$3005,請求記録!$B$6:$B$3005,$A87,請求記録!$X$6:$X$3005,D$5))))</f>
        <v/>
      </c>
      <c r="E87" s="19">
        <f>IF($A87="","",IF(COUNTIFS(請求記録!$B$6:$B$3005,$A87,請求記録!$X$6:$X$3005,E$5,請求記録!$AD$6:$AD$3005,"保留中")&gt;0,"保留",IF(COUNTIFS(請求記録!$B$6:$B$3005,$A87,請求記録!$X$6:$X$3005,E$5)=0,"",SUMIFS(請求記録!$AC$6:$AC$3005,請求記録!$B$6:$B$3005,$A87,請求記録!$X$6:$X$3005,E$5))))</f>
        <v/>
      </c>
      <c r="F87" s="19">
        <f>IF($A87="","",IF(COUNTIFS(請求記録!$B$6:$B$3005,$A87,請求記録!$X$6:$X$3005,F$5,請求記録!$AD$6:$AD$3005,"保留中")&gt;0,"保留",IF(COUNTIFS(請求記録!$B$6:$B$3005,$A87,請求記録!$X$6:$X$3005,F$5)=0,"",SUMIFS(請求記録!$AC$6:$AC$3005,請求記録!$B$6:$B$3005,$A87,請求記録!$X$6:$X$3005,F$5))))</f>
        <v/>
      </c>
      <c r="G87" s="19">
        <f>IF($A87="","",IF(COUNTIFS(請求記録!$B$6:$B$3005,$A87,請求記録!$X$6:$X$3005,G$5,請求記録!$AD$6:$AD$3005,"保留中")&gt;0,"保留",IF(COUNTIFS(請求記録!$B$6:$B$3005,$A87,請求記録!$X$6:$X$3005,G$5)=0,"",SUMIFS(請求記録!$AC$6:$AC$3005,請求記録!$B$6:$B$3005,$A87,請求記録!$X$6:$X$3005,G$5))))</f>
        <v/>
      </c>
      <c r="H87" s="19">
        <f>IF($A87="","",IF(COUNTIFS(請求記録!$B$6:$B$3005,$A87,請求記録!$X$6:$X$3005,H$5,請求記録!$AD$6:$AD$3005,"保留中")&gt;0,"保留",IF(COUNTIFS(請求記録!$B$6:$B$3005,$A87,請求記録!$X$6:$X$3005,H$5)=0,"",SUMIFS(請求記録!$AC$6:$AC$3005,請求記録!$B$6:$B$3005,$A87,請求記録!$X$6:$X$3005,H$5))))</f>
        <v/>
      </c>
      <c r="I87" s="19">
        <f>IF($A87="","",IF(COUNTIFS(請求記録!$B$6:$B$3005,$A87,請求記録!$X$6:$X$3005,I$5,請求記録!$AD$6:$AD$3005,"保留中")&gt;0,"保留",IF(COUNTIFS(請求記録!$B$6:$B$3005,$A87,請求記録!$X$6:$X$3005,I$5)=0,"",SUMIFS(請求記録!$AC$6:$AC$3005,請求記録!$B$6:$B$3005,$A87,請求記録!$X$6:$X$3005,I$5))))</f>
        <v/>
      </c>
      <c r="J87" s="19">
        <f>IF($A87="","",IF(COUNTIFS(請求記録!$B$6:$B$3005,$A87,請求記録!$X$6:$X$3005,J$5,請求記録!$AD$6:$AD$3005,"保留中")&gt;0,"保留",IF(COUNTIFS(請求記録!$B$6:$B$3005,$A87,請求記録!$X$6:$X$3005,J$5)=0,"",SUMIFS(請求記録!$AC$6:$AC$3005,請求記録!$B$6:$B$3005,$A87,請求記録!$X$6:$X$3005,J$5))))</f>
        <v/>
      </c>
      <c r="K87" s="19">
        <f>IF($A87="","",IF(COUNTIFS(請求記録!$B$6:$B$3005,$A87,請求記録!$X$6:$X$3005,K$5,請求記録!$AD$6:$AD$3005,"保留中")&gt;0,"保留",IF(COUNTIFS(請求記録!$B$6:$B$3005,$A87,請求記録!$X$6:$X$3005,K$5)=0,"",SUMIFS(請求記録!$AC$6:$AC$3005,請求記録!$B$6:$B$3005,$A87,請求記録!$X$6:$X$3005,K$5))))</f>
        <v/>
      </c>
      <c r="L87" s="19">
        <f>IF($A87="","",IF(COUNTIFS(請求記録!$B$6:$B$3005,$A87,請求記録!$X$6:$X$3005,L$5,請求記録!$AD$6:$AD$3005,"保留中")&gt;0,"保留",IF(COUNTIFS(請求記録!$B$6:$B$3005,$A87,請求記録!$X$6:$X$3005,L$5)=0,"",SUMIFS(請求記録!$AC$6:$AC$3005,請求記録!$B$6:$B$3005,$A87,請求記録!$X$6:$X$3005,L$5))))</f>
        <v/>
      </c>
      <c r="M87" s="19">
        <f>IF($A87="","",IF(COUNTIFS(請求記録!$B$6:$B$3005,$A87,請求記録!$X$6:$X$3005,M$5,請求記録!$AD$6:$AD$3005,"保留中")&gt;0,"保留",IF(COUNTIFS(請求記録!$B$6:$B$3005,$A87,請求記録!$X$6:$X$3005,M$5)=0,"",SUMIFS(請求記録!$AC$6:$AC$3005,請求記録!$B$6:$B$3005,$A87,請求記録!$X$6:$X$3005,M$5))))</f>
        <v/>
      </c>
      <c r="N87" s="19">
        <f>IF($A87="","",IF(COUNTIFS(請求記録!$B$6:$B$3005,$A87,請求記録!$X$6:$X$3005,N$5,請求記録!$AD$6:$AD$3005,"保留中")&gt;0,"保留",IF(COUNTIFS(請求記録!$B$6:$B$3005,$A87,請求記録!$X$6:$X$3005,N$5)=0,"",SUMIFS(請求記録!$AC$6:$AC$3005,請求記録!$B$6:$B$3005,$A87,請求記録!$X$6:$X$3005,N$5))))</f>
        <v/>
      </c>
      <c r="O87" s="19">
        <f>IF($A87="","",IF(COUNTIFS(請求記録!$B$6:$B$3005,$A87,請求記録!$X$6:$X$3005,O$5,請求記録!$AD$6:$AD$3005,"保留中")&gt;0,"保留",IF(COUNTIFS(請求記録!$B$6:$B$3005,$A87,請求記録!$X$6:$X$3005,O$5)=0,"",SUMIFS(請求記録!$AC$6:$AC$3005,請求記録!$B$6:$B$3005,$A87,請求記録!$X$6:$X$3005,O$5))))</f>
        <v/>
      </c>
      <c r="P87" s="19">
        <f>IF($A87="","",IF(COUNTIFS(請求記録!$B$6:$B$3005,$A87,請求記録!$X$6:$X$3005,P$5,請求記録!$AD$6:$AD$3005,"保留中")&gt;0,"保留",IF(COUNTIFS(請求記録!$B$6:$B$3005,$A87,請求記録!$X$6:$X$3005,P$5)=0,"",SUMIFS(請求記録!$AC$6:$AC$3005,請求記録!$B$6:$B$3005,$A87,請求記録!$X$6:$X$3005,P$5))))</f>
        <v/>
      </c>
      <c r="Q87" s="19">
        <f>IF($A87="","",IF(COUNTIFS(請求記録!$B$6:$B$3005,$A87,請求記録!$X$6:$X$3005,Q$5,請求記録!$AD$6:$AD$3005,"保留中")&gt;0,"保留",IF(COUNTIFS(請求記録!$B$6:$B$3005,$A87,請求記録!$X$6:$X$3005,Q$5)=0,"",SUMIFS(請求記録!$AC$6:$AC$3005,請求記録!$B$6:$B$3005,$A87,請求記録!$X$6:$X$3005,Q$5))))</f>
        <v/>
      </c>
      <c r="R87" s="19">
        <f>IF($A87="","",IF(COUNTIFS(請求記録!$B$6:$B$3005,$A87,請求記録!$X$6:$X$3005,R$5,請求記録!$AD$6:$AD$3005,"保留中")&gt;0,"保留",IF(COUNTIFS(請求記録!$B$6:$B$3005,$A87,請求記録!$X$6:$X$3005,R$5)=0,"",SUMIFS(請求記録!$AC$6:$AC$3005,請求記録!$B$6:$B$3005,$A87,請求記録!$X$6:$X$3005,R$5))))</f>
        <v/>
      </c>
      <c r="S87" s="19">
        <f>IF($A87="","",IF(COUNTIFS(請求記録!$B$6:$B$3005,$A87,請求記録!$X$6:$X$3005,S$5,請求記録!$AD$6:$AD$3005,"保留中")&gt;0,"保留",IF(COUNTIFS(請求記録!$B$6:$B$3005,$A87,請求記録!$X$6:$X$3005,S$5)=0,"",SUMIFS(請求記録!$AC$6:$AC$3005,請求記録!$B$6:$B$3005,$A87,請求記録!$X$6:$X$3005,S$5))))</f>
        <v/>
      </c>
      <c r="T87" s="19">
        <f>IF($A87="","",IF(COUNTIFS(請求記録!$B$6:$B$3005,$A87,請求記録!$X$6:$X$3005,T$5,請求記録!$AD$6:$AD$3005,"保留中")&gt;0,"保留",IF(COUNTIFS(請求記録!$B$6:$B$3005,$A87,請求記録!$X$6:$X$3005,T$5)=0,"",SUMIFS(請求記録!$AC$6:$AC$3005,請求記録!$B$6:$B$3005,$A87,請求記録!$X$6:$X$3005,T$5))))</f>
        <v/>
      </c>
      <c r="U87" s="19">
        <f>IF($A87="","",IF(COUNTIFS(請求記録!$B$6:$B$3005,$A87,請求記録!$X$6:$X$3005,U$5,請求記録!$AD$6:$AD$3005,"保留中")&gt;0,"保留",IF(COUNTIFS(請求記録!$B$6:$B$3005,$A87,請求記録!$X$6:$X$3005,U$5)=0,"",SUMIFS(請求記録!$AC$6:$AC$3005,請求記録!$B$6:$B$3005,$A87,請求記録!$X$6:$X$3005,U$5))))</f>
        <v/>
      </c>
      <c r="V87" s="19">
        <f>IF($A87="","",IF(COUNTIFS(請求記録!$B$6:$B$3005,$A87,請求記録!$X$6:$X$3005,V$5,請求記録!$AD$6:$AD$3005,"保留中")&gt;0,"保留",IF(COUNTIFS(請求記録!$B$6:$B$3005,$A87,請求記録!$X$6:$X$3005,V$5)=0,"",SUMIFS(請求記録!$AC$6:$AC$3005,請求記録!$B$6:$B$3005,$A87,請求記録!$X$6:$X$3005,V$5))))</f>
        <v/>
      </c>
      <c r="W87" s="19">
        <f>IF($A87="","",IF(COUNTIFS(請求記録!$B$6:$B$3005,$A87,請求記録!$X$6:$X$3005,W$5,請求記録!$AD$6:$AD$3005,"保留中")&gt;0,"保留",IF(COUNTIFS(請求記録!$B$6:$B$3005,$A87,請求記録!$X$6:$X$3005,W$5)=0,"",SUMIFS(請求記録!$AC$6:$AC$3005,請求記録!$B$6:$B$3005,$A87,請求記録!$X$6:$X$3005,W$5))))</f>
        <v/>
      </c>
      <c r="X87" s="19">
        <f>IF($A87="","",IF(COUNTIFS(請求記録!$B$6:$B$3005,$A87,請求記録!$X$6:$X$3005,X$5,請求記録!$AD$6:$AD$3005,"保留中")&gt;0,"保留",IF(COUNTIFS(請求記録!$B$6:$B$3005,$A87,請求記録!$X$6:$X$3005,X$5)=0,"",SUMIFS(請求記録!$AC$6:$AC$3005,請求記録!$B$6:$B$3005,$A87,請求記録!$X$6:$X$3005,X$5))))</f>
        <v/>
      </c>
      <c r="Y87" s="19">
        <f>IF($A87="","",IF(COUNTIFS(請求記録!$B$6:$B$3005,$A87,請求記録!$X$6:$X$3005,Y$5,請求記録!$AD$6:$AD$3005,"保留中")&gt;0,"保留",IF(COUNTIFS(請求記録!$B$6:$B$3005,$A87,請求記録!$X$6:$X$3005,Y$5)=0,"",SUMIFS(請求記録!$AC$6:$AC$3005,請求記録!$B$6:$B$3005,$A87,請求記録!$X$6:$X$3005,Y$5))))</f>
        <v/>
      </c>
      <c r="Z87" s="19">
        <f>IF($A87="","",IF(COUNTIFS(請求記録!$B$6:$B$3005,$A87,請求記録!$X$6:$X$3005,Z$5,請求記録!$AD$6:$AD$3005,"保留中")&gt;0,"保留",IF(COUNTIFS(請求記録!$B$6:$B$3005,$A87,請求記録!$X$6:$X$3005,Z$5)=0,"",SUMIFS(請求記録!$AC$6:$AC$3005,請求記録!$B$6:$B$3005,$A87,請求記録!$X$6:$X$3005,Z$5))))</f>
        <v/>
      </c>
      <c r="AA87" s="19">
        <f>IF($A87="","",IF(COUNTIFS(請求記録!$B$6:$B$3005,$A87,請求記録!$X$6:$X$3005,AA$5,請求記録!$AD$6:$AD$3005,"保留中")&gt;0,"保留",IF(COUNTIFS(請求記録!$B$6:$B$3005,$A87,請求記録!$X$6:$X$3005,AA$5)=0,"",SUMIFS(請求記録!$AC$6:$AC$3005,請求記録!$B$6:$B$3005,$A87,請求記録!$X$6:$X$3005,AA$5))))</f>
        <v/>
      </c>
      <c r="AB87">
        <f>IF(職員マスタ!P87="保留中",職員マスタ!M87,"")</f>
        <v/>
      </c>
    </row>
    <row r="88">
      <c r="A88">
        <f>IF(職員マスタ!A88="","",職員マスタ!A88)</f>
        <v/>
      </c>
      <c r="B88">
        <f>IF($A88="","",職員マスタ!B88)</f>
        <v/>
      </c>
      <c r="C88">
        <f>IF($A88="","",職員マスタ!C88)</f>
        <v/>
      </c>
      <c r="D88" s="19">
        <f>IF($A88="","",IF(COUNTIFS(請求記録!$B$6:$B$3005,$A88,請求記録!$X$6:$X$3005,D$5,請求記録!$AD$6:$AD$3005,"保留中")&gt;0,"保留",IF(COUNTIFS(請求記録!$B$6:$B$3005,$A88,請求記録!$X$6:$X$3005,D$5)=0,"",SUMIFS(請求記録!$AC$6:$AC$3005,請求記録!$B$6:$B$3005,$A88,請求記録!$X$6:$X$3005,D$5))))</f>
        <v/>
      </c>
      <c r="E88" s="19">
        <f>IF($A88="","",IF(COUNTIFS(請求記録!$B$6:$B$3005,$A88,請求記録!$X$6:$X$3005,E$5,請求記録!$AD$6:$AD$3005,"保留中")&gt;0,"保留",IF(COUNTIFS(請求記録!$B$6:$B$3005,$A88,請求記録!$X$6:$X$3005,E$5)=0,"",SUMIFS(請求記録!$AC$6:$AC$3005,請求記録!$B$6:$B$3005,$A88,請求記録!$X$6:$X$3005,E$5))))</f>
        <v/>
      </c>
      <c r="F88" s="19">
        <f>IF($A88="","",IF(COUNTIFS(請求記録!$B$6:$B$3005,$A88,請求記録!$X$6:$X$3005,F$5,請求記録!$AD$6:$AD$3005,"保留中")&gt;0,"保留",IF(COUNTIFS(請求記録!$B$6:$B$3005,$A88,請求記録!$X$6:$X$3005,F$5)=0,"",SUMIFS(請求記録!$AC$6:$AC$3005,請求記録!$B$6:$B$3005,$A88,請求記録!$X$6:$X$3005,F$5))))</f>
        <v/>
      </c>
      <c r="G88" s="19">
        <f>IF($A88="","",IF(COUNTIFS(請求記録!$B$6:$B$3005,$A88,請求記録!$X$6:$X$3005,G$5,請求記録!$AD$6:$AD$3005,"保留中")&gt;0,"保留",IF(COUNTIFS(請求記録!$B$6:$B$3005,$A88,請求記録!$X$6:$X$3005,G$5)=0,"",SUMIFS(請求記録!$AC$6:$AC$3005,請求記録!$B$6:$B$3005,$A88,請求記録!$X$6:$X$3005,G$5))))</f>
        <v/>
      </c>
      <c r="H88" s="19">
        <f>IF($A88="","",IF(COUNTIFS(請求記録!$B$6:$B$3005,$A88,請求記録!$X$6:$X$3005,H$5,請求記録!$AD$6:$AD$3005,"保留中")&gt;0,"保留",IF(COUNTIFS(請求記録!$B$6:$B$3005,$A88,請求記録!$X$6:$X$3005,H$5)=0,"",SUMIFS(請求記録!$AC$6:$AC$3005,請求記録!$B$6:$B$3005,$A88,請求記録!$X$6:$X$3005,H$5))))</f>
        <v/>
      </c>
      <c r="I88" s="19">
        <f>IF($A88="","",IF(COUNTIFS(請求記録!$B$6:$B$3005,$A88,請求記録!$X$6:$X$3005,I$5,請求記録!$AD$6:$AD$3005,"保留中")&gt;0,"保留",IF(COUNTIFS(請求記録!$B$6:$B$3005,$A88,請求記録!$X$6:$X$3005,I$5)=0,"",SUMIFS(請求記録!$AC$6:$AC$3005,請求記録!$B$6:$B$3005,$A88,請求記録!$X$6:$X$3005,I$5))))</f>
        <v/>
      </c>
      <c r="J88" s="19">
        <f>IF($A88="","",IF(COUNTIFS(請求記録!$B$6:$B$3005,$A88,請求記録!$X$6:$X$3005,J$5,請求記録!$AD$6:$AD$3005,"保留中")&gt;0,"保留",IF(COUNTIFS(請求記録!$B$6:$B$3005,$A88,請求記録!$X$6:$X$3005,J$5)=0,"",SUMIFS(請求記録!$AC$6:$AC$3005,請求記録!$B$6:$B$3005,$A88,請求記録!$X$6:$X$3005,J$5))))</f>
        <v/>
      </c>
      <c r="K88" s="19">
        <f>IF($A88="","",IF(COUNTIFS(請求記録!$B$6:$B$3005,$A88,請求記録!$X$6:$X$3005,K$5,請求記録!$AD$6:$AD$3005,"保留中")&gt;0,"保留",IF(COUNTIFS(請求記録!$B$6:$B$3005,$A88,請求記録!$X$6:$X$3005,K$5)=0,"",SUMIFS(請求記録!$AC$6:$AC$3005,請求記録!$B$6:$B$3005,$A88,請求記録!$X$6:$X$3005,K$5))))</f>
        <v/>
      </c>
      <c r="L88" s="19">
        <f>IF($A88="","",IF(COUNTIFS(請求記録!$B$6:$B$3005,$A88,請求記録!$X$6:$X$3005,L$5,請求記録!$AD$6:$AD$3005,"保留中")&gt;0,"保留",IF(COUNTIFS(請求記録!$B$6:$B$3005,$A88,請求記録!$X$6:$X$3005,L$5)=0,"",SUMIFS(請求記録!$AC$6:$AC$3005,請求記録!$B$6:$B$3005,$A88,請求記録!$X$6:$X$3005,L$5))))</f>
        <v/>
      </c>
      <c r="M88" s="19">
        <f>IF($A88="","",IF(COUNTIFS(請求記録!$B$6:$B$3005,$A88,請求記録!$X$6:$X$3005,M$5,請求記録!$AD$6:$AD$3005,"保留中")&gt;0,"保留",IF(COUNTIFS(請求記録!$B$6:$B$3005,$A88,請求記録!$X$6:$X$3005,M$5)=0,"",SUMIFS(請求記録!$AC$6:$AC$3005,請求記録!$B$6:$B$3005,$A88,請求記録!$X$6:$X$3005,M$5))))</f>
        <v/>
      </c>
      <c r="N88" s="19">
        <f>IF($A88="","",IF(COUNTIFS(請求記録!$B$6:$B$3005,$A88,請求記録!$X$6:$X$3005,N$5,請求記録!$AD$6:$AD$3005,"保留中")&gt;0,"保留",IF(COUNTIFS(請求記録!$B$6:$B$3005,$A88,請求記録!$X$6:$X$3005,N$5)=0,"",SUMIFS(請求記録!$AC$6:$AC$3005,請求記録!$B$6:$B$3005,$A88,請求記録!$X$6:$X$3005,N$5))))</f>
        <v/>
      </c>
      <c r="O88" s="19">
        <f>IF($A88="","",IF(COUNTIFS(請求記録!$B$6:$B$3005,$A88,請求記録!$X$6:$X$3005,O$5,請求記録!$AD$6:$AD$3005,"保留中")&gt;0,"保留",IF(COUNTIFS(請求記録!$B$6:$B$3005,$A88,請求記録!$X$6:$X$3005,O$5)=0,"",SUMIFS(請求記録!$AC$6:$AC$3005,請求記録!$B$6:$B$3005,$A88,請求記録!$X$6:$X$3005,O$5))))</f>
        <v/>
      </c>
      <c r="P88" s="19">
        <f>IF($A88="","",IF(COUNTIFS(請求記録!$B$6:$B$3005,$A88,請求記録!$X$6:$X$3005,P$5,請求記録!$AD$6:$AD$3005,"保留中")&gt;0,"保留",IF(COUNTIFS(請求記録!$B$6:$B$3005,$A88,請求記録!$X$6:$X$3005,P$5)=0,"",SUMIFS(請求記録!$AC$6:$AC$3005,請求記録!$B$6:$B$3005,$A88,請求記録!$X$6:$X$3005,P$5))))</f>
        <v/>
      </c>
      <c r="Q88" s="19">
        <f>IF($A88="","",IF(COUNTIFS(請求記録!$B$6:$B$3005,$A88,請求記録!$X$6:$X$3005,Q$5,請求記録!$AD$6:$AD$3005,"保留中")&gt;0,"保留",IF(COUNTIFS(請求記録!$B$6:$B$3005,$A88,請求記録!$X$6:$X$3005,Q$5)=0,"",SUMIFS(請求記録!$AC$6:$AC$3005,請求記録!$B$6:$B$3005,$A88,請求記録!$X$6:$X$3005,Q$5))))</f>
        <v/>
      </c>
      <c r="R88" s="19">
        <f>IF($A88="","",IF(COUNTIFS(請求記録!$B$6:$B$3005,$A88,請求記録!$X$6:$X$3005,R$5,請求記録!$AD$6:$AD$3005,"保留中")&gt;0,"保留",IF(COUNTIFS(請求記録!$B$6:$B$3005,$A88,請求記録!$X$6:$X$3005,R$5)=0,"",SUMIFS(請求記録!$AC$6:$AC$3005,請求記録!$B$6:$B$3005,$A88,請求記録!$X$6:$X$3005,R$5))))</f>
        <v/>
      </c>
      <c r="S88" s="19">
        <f>IF($A88="","",IF(COUNTIFS(請求記録!$B$6:$B$3005,$A88,請求記録!$X$6:$X$3005,S$5,請求記録!$AD$6:$AD$3005,"保留中")&gt;0,"保留",IF(COUNTIFS(請求記録!$B$6:$B$3005,$A88,請求記録!$X$6:$X$3005,S$5)=0,"",SUMIFS(請求記録!$AC$6:$AC$3005,請求記録!$B$6:$B$3005,$A88,請求記録!$X$6:$X$3005,S$5))))</f>
        <v/>
      </c>
      <c r="T88" s="19">
        <f>IF($A88="","",IF(COUNTIFS(請求記録!$B$6:$B$3005,$A88,請求記録!$X$6:$X$3005,T$5,請求記録!$AD$6:$AD$3005,"保留中")&gt;0,"保留",IF(COUNTIFS(請求記録!$B$6:$B$3005,$A88,請求記録!$X$6:$X$3005,T$5)=0,"",SUMIFS(請求記録!$AC$6:$AC$3005,請求記録!$B$6:$B$3005,$A88,請求記録!$X$6:$X$3005,T$5))))</f>
        <v/>
      </c>
      <c r="U88" s="19">
        <f>IF($A88="","",IF(COUNTIFS(請求記録!$B$6:$B$3005,$A88,請求記録!$X$6:$X$3005,U$5,請求記録!$AD$6:$AD$3005,"保留中")&gt;0,"保留",IF(COUNTIFS(請求記録!$B$6:$B$3005,$A88,請求記録!$X$6:$X$3005,U$5)=0,"",SUMIFS(請求記録!$AC$6:$AC$3005,請求記録!$B$6:$B$3005,$A88,請求記録!$X$6:$X$3005,U$5))))</f>
        <v/>
      </c>
      <c r="V88" s="19">
        <f>IF($A88="","",IF(COUNTIFS(請求記録!$B$6:$B$3005,$A88,請求記録!$X$6:$X$3005,V$5,請求記録!$AD$6:$AD$3005,"保留中")&gt;0,"保留",IF(COUNTIFS(請求記録!$B$6:$B$3005,$A88,請求記録!$X$6:$X$3005,V$5)=0,"",SUMIFS(請求記録!$AC$6:$AC$3005,請求記録!$B$6:$B$3005,$A88,請求記録!$X$6:$X$3005,V$5))))</f>
        <v/>
      </c>
      <c r="W88" s="19">
        <f>IF($A88="","",IF(COUNTIFS(請求記録!$B$6:$B$3005,$A88,請求記録!$X$6:$X$3005,W$5,請求記録!$AD$6:$AD$3005,"保留中")&gt;0,"保留",IF(COUNTIFS(請求記録!$B$6:$B$3005,$A88,請求記録!$X$6:$X$3005,W$5)=0,"",SUMIFS(請求記録!$AC$6:$AC$3005,請求記録!$B$6:$B$3005,$A88,請求記録!$X$6:$X$3005,W$5))))</f>
        <v/>
      </c>
      <c r="X88" s="19">
        <f>IF($A88="","",IF(COUNTIFS(請求記録!$B$6:$B$3005,$A88,請求記録!$X$6:$X$3005,X$5,請求記録!$AD$6:$AD$3005,"保留中")&gt;0,"保留",IF(COUNTIFS(請求記録!$B$6:$B$3005,$A88,請求記録!$X$6:$X$3005,X$5)=0,"",SUMIFS(請求記録!$AC$6:$AC$3005,請求記録!$B$6:$B$3005,$A88,請求記録!$X$6:$X$3005,X$5))))</f>
        <v/>
      </c>
      <c r="Y88" s="19">
        <f>IF($A88="","",IF(COUNTIFS(請求記録!$B$6:$B$3005,$A88,請求記録!$X$6:$X$3005,Y$5,請求記録!$AD$6:$AD$3005,"保留中")&gt;0,"保留",IF(COUNTIFS(請求記録!$B$6:$B$3005,$A88,請求記録!$X$6:$X$3005,Y$5)=0,"",SUMIFS(請求記録!$AC$6:$AC$3005,請求記録!$B$6:$B$3005,$A88,請求記録!$X$6:$X$3005,Y$5))))</f>
        <v/>
      </c>
      <c r="Z88" s="19">
        <f>IF($A88="","",IF(COUNTIFS(請求記録!$B$6:$B$3005,$A88,請求記録!$X$6:$X$3005,Z$5,請求記録!$AD$6:$AD$3005,"保留中")&gt;0,"保留",IF(COUNTIFS(請求記録!$B$6:$B$3005,$A88,請求記録!$X$6:$X$3005,Z$5)=0,"",SUMIFS(請求記録!$AC$6:$AC$3005,請求記録!$B$6:$B$3005,$A88,請求記録!$X$6:$X$3005,Z$5))))</f>
        <v/>
      </c>
      <c r="AA88" s="19">
        <f>IF($A88="","",IF(COUNTIFS(請求記録!$B$6:$B$3005,$A88,請求記録!$X$6:$X$3005,AA$5,請求記録!$AD$6:$AD$3005,"保留中")&gt;0,"保留",IF(COUNTIFS(請求記録!$B$6:$B$3005,$A88,請求記録!$X$6:$X$3005,AA$5)=0,"",SUMIFS(請求記録!$AC$6:$AC$3005,請求記録!$B$6:$B$3005,$A88,請求記録!$X$6:$X$3005,AA$5))))</f>
        <v/>
      </c>
      <c r="AB88">
        <f>IF(職員マスタ!P88="保留中",職員マスタ!M88,"")</f>
        <v/>
      </c>
    </row>
    <row r="89">
      <c r="A89">
        <f>IF(職員マスタ!A89="","",職員マスタ!A89)</f>
        <v/>
      </c>
      <c r="B89">
        <f>IF($A89="","",職員マスタ!B89)</f>
        <v/>
      </c>
      <c r="C89">
        <f>IF($A89="","",職員マスタ!C89)</f>
        <v/>
      </c>
      <c r="D89" s="19">
        <f>IF($A89="","",IF(COUNTIFS(請求記録!$B$6:$B$3005,$A89,請求記録!$X$6:$X$3005,D$5,請求記録!$AD$6:$AD$3005,"保留中")&gt;0,"保留",IF(COUNTIFS(請求記録!$B$6:$B$3005,$A89,請求記録!$X$6:$X$3005,D$5)=0,"",SUMIFS(請求記録!$AC$6:$AC$3005,請求記録!$B$6:$B$3005,$A89,請求記録!$X$6:$X$3005,D$5))))</f>
        <v/>
      </c>
      <c r="E89" s="19">
        <f>IF($A89="","",IF(COUNTIFS(請求記録!$B$6:$B$3005,$A89,請求記録!$X$6:$X$3005,E$5,請求記録!$AD$6:$AD$3005,"保留中")&gt;0,"保留",IF(COUNTIFS(請求記録!$B$6:$B$3005,$A89,請求記録!$X$6:$X$3005,E$5)=0,"",SUMIFS(請求記録!$AC$6:$AC$3005,請求記録!$B$6:$B$3005,$A89,請求記録!$X$6:$X$3005,E$5))))</f>
        <v/>
      </c>
      <c r="F89" s="19">
        <f>IF($A89="","",IF(COUNTIFS(請求記録!$B$6:$B$3005,$A89,請求記録!$X$6:$X$3005,F$5,請求記録!$AD$6:$AD$3005,"保留中")&gt;0,"保留",IF(COUNTIFS(請求記録!$B$6:$B$3005,$A89,請求記録!$X$6:$X$3005,F$5)=0,"",SUMIFS(請求記録!$AC$6:$AC$3005,請求記録!$B$6:$B$3005,$A89,請求記録!$X$6:$X$3005,F$5))))</f>
        <v/>
      </c>
      <c r="G89" s="19">
        <f>IF($A89="","",IF(COUNTIFS(請求記録!$B$6:$B$3005,$A89,請求記録!$X$6:$X$3005,G$5,請求記録!$AD$6:$AD$3005,"保留中")&gt;0,"保留",IF(COUNTIFS(請求記録!$B$6:$B$3005,$A89,請求記録!$X$6:$X$3005,G$5)=0,"",SUMIFS(請求記録!$AC$6:$AC$3005,請求記録!$B$6:$B$3005,$A89,請求記録!$X$6:$X$3005,G$5))))</f>
        <v/>
      </c>
      <c r="H89" s="19">
        <f>IF($A89="","",IF(COUNTIFS(請求記録!$B$6:$B$3005,$A89,請求記録!$X$6:$X$3005,H$5,請求記録!$AD$6:$AD$3005,"保留中")&gt;0,"保留",IF(COUNTIFS(請求記録!$B$6:$B$3005,$A89,請求記録!$X$6:$X$3005,H$5)=0,"",SUMIFS(請求記録!$AC$6:$AC$3005,請求記録!$B$6:$B$3005,$A89,請求記録!$X$6:$X$3005,H$5))))</f>
        <v/>
      </c>
      <c r="I89" s="19">
        <f>IF($A89="","",IF(COUNTIFS(請求記録!$B$6:$B$3005,$A89,請求記録!$X$6:$X$3005,I$5,請求記録!$AD$6:$AD$3005,"保留中")&gt;0,"保留",IF(COUNTIFS(請求記録!$B$6:$B$3005,$A89,請求記録!$X$6:$X$3005,I$5)=0,"",SUMIFS(請求記録!$AC$6:$AC$3005,請求記録!$B$6:$B$3005,$A89,請求記録!$X$6:$X$3005,I$5))))</f>
        <v/>
      </c>
      <c r="J89" s="19">
        <f>IF($A89="","",IF(COUNTIFS(請求記録!$B$6:$B$3005,$A89,請求記録!$X$6:$X$3005,J$5,請求記録!$AD$6:$AD$3005,"保留中")&gt;0,"保留",IF(COUNTIFS(請求記録!$B$6:$B$3005,$A89,請求記録!$X$6:$X$3005,J$5)=0,"",SUMIFS(請求記録!$AC$6:$AC$3005,請求記録!$B$6:$B$3005,$A89,請求記録!$X$6:$X$3005,J$5))))</f>
        <v/>
      </c>
      <c r="K89" s="19">
        <f>IF($A89="","",IF(COUNTIFS(請求記録!$B$6:$B$3005,$A89,請求記録!$X$6:$X$3005,K$5,請求記録!$AD$6:$AD$3005,"保留中")&gt;0,"保留",IF(COUNTIFS(請求記録!$B$6:$B$3005,$A89,請求記録!$X$6:$X$3005,K$5)=0,"",SUMIFS(請求記録!$AC$6:$AC$3005,請求記録!$B$6:$B$3005,$A89,請求記録!$X$6:$X$3005,K$5))))</f>
        <v/>
      </c>
      <c r="L89" s="19">
        <f>IF($A89="","",IF(COUNTIFS(請求記録!$B$6:$B$3005,$A89,請求記録!$X$6:$X$3005,L$5,請求記録!$AD$6:$AD$3005,"保留中")&gt;0,"保留",IF(COUNTIFS(請求記録!$B$6:$B$3005,$A89,請求記録!$X$6:$X$3005,L$5)=0,"",SUMIFS(請求記録!$AC$6:$AC$3005,請求記録!$B$6:$B$3005,$A89,請求記録!$X$6:$X$3005,L$5))))</f>
        <v/>
      </c>
      <c r="M89" s="19">
        <f>IF($A89="","",IF(COUNTIFS(請求記録!$B$6:$B$3005,$A89,請求記録!$X$6:$X$3005,M$5,請求記録!$AD$6:$AD$3005,"保留中")&gt;0,"保留",IF(COUNTIFS(請求記録!$B$6:$B$3005,$A89,請求記録!$X$6:$X$3005,M$5)=0,"",SUMIFS(請求記録!$AC$6:$AC$3005,請求記録!$B$6:$B$3005,$A89,請求記録!$X$6:$X$3005,M$5))))</f>
        <v/>
      </c>
      <c r="N89" s="19">
        <f>IF($A89="","",IF(COUNTIFS(請求記録!$B$6:$B$3005,$A89,請求記録!$X$6:$X$3005,N$5,請求記録!$AD$6:$AD$3005,"保留中")&gt;0,"保留",IF(COUNTIFS(請求記録!$B$6:$B$3005,$A89,請求記録!$X$6:$X$3005,N$5)=0,"",SUMIFS(請求記録!$AC$6:$AC$3005,請求記録!$B$6:$B$3005,$A89,請求記録!$X$6:$X$3005,N$5))))</f>
        <v/>
      </c>
      <c r="O89" s="19">
        <f>IF($A89="","",IF(COUNTIFS(請求記録!$B$6:$B$3005,$A89,請求記録!$X$6:$X$3005,O$5,請求記録!$AD$6:$AD$3005,"保留中")&gt;0,"保留",IF(COUNTIFS(請求記録!$B$6:$B$3005,$A89,請求記録!$X$6:$X$3005,O$5)=0,"",SUMIFS(請求記録!$AC$6:$AC$3005,請求記録!$B$6:$B$3005,$A89,請求記録!$X$6:$X$3005,O$5))))</f>
        <v/>
      </c>
      <c r="P89" s="19">
        <f>IF($A89="","",IF(COUNTIFS(請求記録!$B$6:$B$3005,$A89,請求記録!$X$6:$X$3005,P$5,請求記録!$AD$6:$AD$3005,"保留中")&gt;0,"保留",IF(COUNTIFS(請求記録!$B$6:$B$3005,$A89,請求記録!$X$6:$X$3005,P$5)=0,"",SUMIFS(請求記録!$AC$6:$AC$3005,請求記録!$B$6:$B$3005,$A89,請求記録!$X$6:$X$3005,P$5))))</f>
        <v/>
      </c>
      <c r="Q89" s="19">
        <f>IF($A89="","",IF(COUNTIFS(請求記録!$B$6:$B$3005,$A89,請求記録!$X$6:$X$3005,Q$5,請求記録!$AD$6:$AD$3005,"保留中")&gt;0,"保留",IF(COUNTIFS(請求記録!$B$6:$B$3005,$A89,請求記録!$X$6:$X$3005,Q$5)=0,"",SUMIFS(請求記録!$AC$6:$AC$3005,請求記録!$B$6:$B$3005,$A89,請求記録!$X$6:$X$3005,Q$5))))</f>
        <v/>
      </c>
      <c r="R89" s="19">
        <f>IF($A89="","",IF(COUNTIFS(請求記録!$B$6:$B$3005,$A89,請求記録!$X$6:$X$3005,R$5,請求記録!$AD$6:$AD$3005,"保留中")&gt;0,"保留",IF(COUNTIFS(請求記録!$B$6:$B$3005,$A89,請求記録!$X$6:$X$3005,R$5)=0,"",SUMIFS(請求記録!$AC$6:$AC$3005,請求記録!$B$6:$B$3005,$A89,請求記録!$X$6:$X$3005,R$5))))</f>
        <v/>
      </c>
      <c r="S89" s="19">
        <f>IF($A89="","",IF(COUNTIFS(請求記録!$B$6:$B$3005,$A89,請求記録!$X$6:$X$3005,S$5,請求記録!$AD$6:$AD$3005,"保留中")&gt;0,"保留",IF(COUNTIFS(請求記録!$B$6:$B$3005,$A89,請求記録!$X$6:$X$3005,S$5)=0,"",SUMIFS(請求記録!$AC$6:$AC$3005,請求記録!$B$6:$B$3005,$A89,請求記録!$X$6:$X$3005,S$5))))</f>
        <v/>
      </c>
      <c r="T89" s="19">
        <f>IF($A89="","",IF(COUNTIFS(請求記録!$B$6:$B$3005,$A89,請求記録!$X$6:$X$3005,T$5,請求記録!$AD$6:$AD$3005,"保留中")&gt;0,"保留",IF(COUNTIFS(請求記録!$B$6:$B$3005,$A89,請求記録!$X$6:$X$3005,T$5)=0,"",SUMIFS(請求記録!$AC$6:$AC$3005,請求記録!$B$6:$B$3005,$A89,請求記録!$X$6:$X$3005,T$5))))</f>
        <v/>
      </c>
      <c r="U89" s="19">
        <f>IF($A89="","",IF(COUNTIFS(請求記録!$B$6:$B$3005,$A89,請求記録!$X$6:$X$3005,U$5,請求記録!$AD$6:$AD$3005,"保留中")&gt;0,"保留",IF(COUNTIFS(請求記録!$B$6:$B$3005,$A89,請求記録!$X$6:$X$3005,U$5)=0,"",SUMIFS(請求記録!$AC$6:$AC$3005,請求記録!$B$6:$B$3005,$A89,請求記録!$X$6:$X$3005,U$5))))</f>
        <v/>
      </c>
      <c r="V89" s="19">
        <f>IF($A89="","",IF(COUNTIFS(請求記録!$B$6:$B$3005,$A89,請求記録!$X$6:$X$3005,V$5,請求記録!$AD$6:$AD$3005,"保留中")&gt;0,"保留",IF(COUNTIFS(請求記録!$B$6:$B$3005,$A89,請求記録!$X$6:$X$3005,V$5)=0,"",SUMIFS(請求記録!$AC$6:$AC$3005,請求記録!$B$6:$B$3005,$A89,請求記録!$X$6:$X$3005,V$5))))</f>
        <v/>
      </c>
      <c r="W89" s="19">
        <f>IF($A89="","",IF(COUNTIFS(請求記録!$B$6:$B$3005,$A89,請求記録!$X$6:$X$3005,W$5,請求記録!$AD$6:$AD$3005,"保留中")&gt;0,"保留",IF(COUNTIFS(請求記録!$B$6:$B$3005,$A89,請求記録!$X$6:$X$3005,W$5)=0,"",SUMIFS(請求記録!$AC$6:$AC$3005,請求記録!$B$6:$B$3005,$A89,請求記録!$X$6:$X$3005,W$5))))</f>
        <v/>
      </c>
      <c r="X89" s="19">
        <f>IF($A89="","",IF(COUNTIFS(請求記録!$B$6:$B$3005,$A89,請求記録!$X$6:$X$3005,X$5,請求記録!$AD$6:$AD$3005,"保留中")&gt;0,"保留",IF(COUNTIFS(請求記録!$B$6:$B$3005,$A89,請求記録!$X$6:$X$3005,X$5)=0,"",SUMIFS(請求記録!$AC$6:$AC$3005,請求記録!$B$6:$B$3005,$A89,請求記録!$X$6:$X$3005,X$5))))</f>
        <v/>
      </c>
      <c r="Y89" s="19">
        <f>IF($A89="","",IF(COUNTIFS(請求記録!$B$6:$B$3005,$A89,請求記録!$X$6:$X$3005,Y$5,請求記録!$AD$6:$AD$3005,"保留中")&gt;0,"保留",IF(COUNTIFS(請求記録!$B$6:$B$3005,$A89,請求記録!$X$6:$X$3005,Y$5)=0,"",SUMIFS(請求記録!$AC$6:$AC$3005,請求記録!$B$6:$B$3005,$A89,請求記録!$X$6:$X$3005,Y$5))))</f>
        <v/>
      </c>
      <c r="Z89" s="19">
        <f>IF($A89="","",IF(COUNTIFS(請求記録!$B$6:$B$3005,$A89,請求記録!$X$6:$X$3005,Z$5,請求記録!$AD$6:$AD$3005,"保留中")&gt;0,"保留",IF(COUNTIFS(請求記録!$B$6:$B$3005,$A89,請求記録!$X$6:$X$3005,Z$5)=0,"",SUMIFS(請求記録!$AC$6:$AC$3005,請求記録!$B$6:$B$3005,$A89,請求記録!$X$6:$X$3005,Z$5))))</f>
        <v/>
      </c>
      <c r="AA89" s="19">
        <f>IF($A89="","",IF(COUNTIFS(請求記録!$B$6:$B$3005,$A89,請求記録!$X$6:$X$3005,AA$5,請求記録!$AD$6:$AD$3005,"保留中")&gt;0,"保留",IF(COUNTIFS(請求記録!$B$6:$B$3005,$A89,請求記録!$X$6:$X$3005,AA$5)=0,"",SUMIFS(請求記録!$AC$6:$AC$3005,請求記録!$B$6:$B$3005,$A89,請求記録!$X$6:$X$3005,AA$5))))</f>
        <v/>
      </c>
      <c r="AB89">
        <f>IF(職員マスタ!P89="保留中",職員マスタ!M89,"")</f>
        <v/>
      </c>
    </row>
    <row r="90">
      <c r="A90">
        <f>IF(職員マスタ!A90="","",職員マスタ!A90)</f>
        <v/>
      </c>
      <c r="B90">
        <f>IF($A90="","",職員マスタ!B90)</f>
        <v/>
      </c>
      <c r="C90">
        <f>IF($A90="","",職員マスタ!C90)</f>
        <v/>
      </c>
      <c r="D90" s="19">
        <f>IF($A90="","",IF(COUNTIFS(請求記録!$B$6:$B$3005,$A90,請求記録!$X$6:$X$3005,D$5,請求記録!$AD$6:$AD$3005,"保留中")&gt;0,"保留",IF(COUNTIFS(請求記録!$B$6:$B$3005,$A90,請求記録!$X$6:$X$3005,D$5)=0,"",SUMIFS(請求記録!$AC$6:$AC$3005,請求記録!$B$6:$B$3005,$A90,請求記録!$X$6:$X$3005,D$5))))</f>
        <v/>
      </c>
      <c r="E90" s="19">
        <f>IF($A90="","",IF(COUNTIFS(請求記録!$B$6:$B$3005,$A90,請求記録!$X$6:$X$3005,E$5,請求記録!$AD$6:$AD$3005,"保留中")&gt;0,"保留",IF(COUNTIFS(請求記録!$B$6:$B$3005,$A90,請求記録!$X$6:$X$3005,E$5)=0,"",SUMIFS(請求記録!$AC$6:$AC$3005,請求記録!$B$6:$B$3005,$A90,請求記録!$X$6:$X$3005,E$5))))</f>
        <v/>
      </c>
      <c r="F90" s="19">
        <f>IF($A90="","",IF(COUNTIFS(請求記録!$B$6:$B$3005,$A90,請求記録!$X$6:$X$3005,F$5,請求記録!$AD$6:$AD$3005,"保留中")&gt;0,"保留",IF(COUNTIFS(請求記録!$B$6:$B$3005,$A90,請求記録!$X$6:$X$3005,F$5)=0,"",SUMIFS(請求記録!$AC$6:$AC$3005,請求記録!$B$6:$B$3005,$A90,請求記録!$X$6:$X$3005,F$5))))</f>
        <v/>
      </c>
      <c r="G90" s="19">
        <f>IF($A90="","",IF(COUNTIFS(請求記録!$B$6:$B$3005,$A90,請求記録!$X$6:$X$3005,G$5,請求記録!$AD$6:$AD$3005,"保留中")&gt;0,"保留",IF(COUNTIFS(請求記録!$B$6:$B$3005,$A90,請求記録!$X$6:$X$3005,G$5)=0,"",SUMIFS(請求記録!$AC$6:$AC$3005,請求記録!$B$6:$B$3005,$A90,請求記録!$X$6:$X$3005,G$5))))</f>
        <v/>
      </c>
      <c r="H90" s="19">
        <f>IF($A90="","",IF(COUNTIFS(請求記録!$B$6:$B$3005,$A90,請求記録!$X$6:$X$3005,H$5,請求記録!$AD$6:$AD$3005,"保留中")&gt;0,"保留",IF(COUNTIFS(請求記録!$B$6:$B$3005,$A90,請求記録!$X$6:$X$3005,H$5)=0,"",SUMIFS(請求記録!$AC$6:$AC$3005,請求記録!$B$6:$B$3005,$A90,請求記録!$X$6:$X$3005,H$5))))</f>
        <v/>
      </c>
      <c r="I90" s="19">
        <f>IF($A90="","",IF(COUNTIFS(請求記録!$B$6:$B$3005,$A90,請求記録!$X$6:$X$3005,I$5,請求記録!$AD$6:$AD$3005,"保留中")&gt;0,"保留",IF(COUNTIFS(請求記録!$B$6:$B$3005,$A90,請求記録!$X$6:$X$3005,I$5)=0,"",SUMIFS(請求記録!$AC$6:$AC$3005,請求記録!$B$6:$B$3005,$A90,請求記録!$X$6:$X$3005,I$5))))</f>
        <v/>
      </c>
      <c r="J90" s="19">
        <f>IF($A90="","",IF(COUNTIFS(請求記録!$B$6:$B$3005,$A90,請求記録!$X$6:$X$3005,J$5,請求記録!$AD$6:$AD$3005,"保留中")&gt;0,"保留",IF(COUNTIFS(請求記録!$B$6:$B$3005,$A90,請求記録!$X$6:$X$3005,J$5)=0,"",SUMIFS(請求記録!$AC$6:$AC$3005,請求記録!$B$6:$B$3005,$A90,請求記録!$X$6:$X$3005,J$5))))</f>
        <v/>
      </c>
      <c r="K90" s="19">
        <f>IF($A90="","",IF(COUNTIFS(請求記録!$B$6:$B$3005,$A90,請求記録!$X$6:$X$3005,K$5,請求記録!$AD$6:$AD$3005,"保留中")&gt;0,"保留",IF(COUNTIFS(請求記録!$B$6:$B$3005,$A90,請求記録!$X$6:$X$3005,K$5)=0,"",SUMIFS(請求記録!$AC$6:$AC$3005,請求記録!$B$6:$B$3005,$A90,請求記録!$X$6:$X$3005,K$5))))</f>
        <v/>
      </c>
      <c r="L90" s="19">
        <f>IF($A90="","",IF(COUNTIFS(請求記録!$B$6:$B$3005,$A90,請求記録!$X$6:$X$3005,L$5,請求記録!$AD$6:$AD$3005,"保留中")&gt;0,"保留",IF(COUNTIFS(請求記録!$B$6:$B$3005,$A90,請求記録!$X$6:$X$3005,L$5)=0,"",SUMIFS(請求記録!$AC$6:$AC$3005,請求記録!$B$6:$B$3005,$A90,請求記録!$X$6:$X$3005,L$5))))</f>
        <v/>
      </c>
      <c r="M90" s="19">
        <f>IF($A90="","",IF(COUNTIFS(請求記録!$B$6:$B$3005,$A90,請求記録!$X$6:$X$3005,M$5,請求記録!$AD$6:$AD$3005,"保留中")&gt;0,"保留",IF(COUNTIFS(請求記録!$B$6:$B$3005,$A90,請求記録!$X$6:$X$3005,M$5)=0,"",SUMIFS(請求記録!$AC$6:$AC$3005,請求記録!$B$6:$B$3005,$A90,請求記録!$X$6:$X$3005,M$5))))</f>
        <v/>
      </c>
      <c r="N90" s="19">
        <f>IF($A90="","",IF(COUNTIFS(請求記録!$B$6:$B$3005,$A90,請求記録!$X$6:$X$3005,N$5,請求記録!$AD$6:$AD$3005,"保留中")&gt;0,"保留",IF(COUNTIFS(請求記録!$B$6:$B$3005,$A90,請求記録!$X$6:$X$3005,N$5)=0,"",SUMIFS(請求記録!$AC$6:$AC$3005,請求記録!$B$6:$B$3005,$A90,請求記録!$X$6:$X$3005,N$5))))</f>
        <v/>
      </c>
      <c r="O90" s="19">
        <f>IF($A90="","",IF(COUNTIFS(請求記録!$B$6:$B$3005,$A90,請求記録!$X$6:$X$3005,O$5,請求記録!$AD$6:$AD$3005,"保留中")&gt;0,"保留",IF(COUNTIFS(請求記録!$B$6:$B$3005,$A90,請求記録!$X$6:$X$3005,O$5)=0,"",SUMIFS(請求記録!$AC$6:$AC$3005,請求記録!$B$6:$B$3005,$A90,請求記録!$X$6:$X$3005,O$5))))</f>
        <v/>
      </c>
      <c r="P90" s="19">
        <f>IF($A90="","",IF(COUNTIFS(請求記録!$B$6:$B$3005,$A90,請求記録!$X$6:$X$3005,P$5,請求記録!$AD$6:$AD$3005,"保留中")&gt;0,"保留",IF(COUNTIFS(請求記録!$B$6:$B$3005,$A90,請求記録!$X$6:$X$3005,P$5)=0,"",SUMIFS(請求記録!$AC$6:$AC$3005,請求記録!$B$6:$B$3005,$A90,請求記録!$X$6:$X$3005,P$5))))</f>
        <v/>
      </c>
      <c r="Q90" s="19">
        <f>IF($A90="","",IF(COUNTIFS(請求記録!$B$6:$B$3005,$A90,請求記録!$X$6:$X$3005,Q$5,請求記録!$AD$6:$AD$3005,"保留中")&gt;0,"保留",IF(COUNTIFS(請求記録!$B$6:$B$3005,$A90,請求記録!$X$6:$X$3005,Q$5)=0,"",SUMIFS(請求記録!$AC$6:$AC$3005,請求記録!$B$6:$B$3005,$A90,請求記録!$X$6:$X$3005,Q$5))))</f>
        <v/>
      </c>
      <c r="R90" s="19">
        <f>IF($A90="","",IF(COUNTIFS(請求記録!$B$6:$B$3005,$A90,請求記録!$X$6:$X$3005,R$5,請求記録!$AD$6:$AD$3005,"保留中")&gt;0,"保留",IF(COUNTIFS(請求記録!$B$6:$B$3005,$A90,請求記録!$X$6:$X$3005,R$5)=0,"",SUMIFS(請求記録!$AC$6:$AC$3005,請求記録!$B$6:$B$3005,$A90,請求記録!$X$6:$X$3005,R$5))))</f>
        <v/>
      </c>
      <c r="S90" s="19">
        <f>IF($A90="","",IF(COUNTIFS(請求記録!$B$6:$B$3005,$A90,請求記録!$X$6:$X$3005,S$5,請求記録!$AD$6:$AD$3005,"保留中")&gt;0,"保留",IF(COUNTIFS(請求記録!$B$6:$B$3005,$A90,請求記録!$X$6:$X$3005,S$5)=0,"",SUMIFS(請求記録!$AC$6:$AC$3005,請求記録!$B$6:$B$3005,$A90,請求記録!$X$6:$X$3005,S$5))))</f>
        <v/>
      </c>
      <c r="T90" s="19">
        <f>IF($A90="","",IF(COUNTIFS(請求記録!$B$6:$B$3005,$A90,請求記録!$X$6:$X$3005,T$5,請求記録!$AD$6:$AD$3005,"保留中")&gt;0,"保留",IF(COUNTIFS(請求記録!$B$6:$B$3005,$A90,請求記録!$X$6:$X$3005,T$5)=0,"",SUMIFS(請求記録!$AC$6:$AC$3005,請求記録!$B$6:$B$3005,$A90,請求記録!$X$6:$X$3005,T$5))))</f>
        <v/>
      </c>
      <c r="U90" s="19">
        <f>IF($A90="","",IF(COUNTIFS(請求記録!$B$6:$B$3005,$A90,請求記録!$X$6:$X$3005,U$5,請求記録!$AD$6:$AD$3005,"保留中")&gt;0,"保留",IF(COUNTIFS(請求記録!$B$6:$B$3005,$A90,請求記録!$X$6:$X$3005,U$5)=0,"",SUMIFS(請求記録!$AC$6:$AC$3005,請求記録!$B$6:$B$3005,$A90,請求記録!$X$6:$X$3005,U$5))))</f>
        <v/>
      </c>
      <c r="V90" s="19">
        <f>IF($A90="","",IF(COUNTIFS(請求記録!$B$6:$B$3005,$A90,請求記録!$X$6:$X$3005,V$5,請求記録!$AD$6:$AD$3005,"保留中")&gt;0,"保留",IF(COUNTIFS(請求記録!$B$6:$B$3005,$A90,請求記録!$X$6:$X$3005,V$5)=0,"",SUMIFS(請求記録!$AC$6:$AC$3005,請求記録!$B$6:$B$3005,$A90,請求記録!$X$6:$X$3005,V$5))))</f>
        <v/>
      </c>
      <c r="W90" s="19">
        <f>IF($A90="","",IF(COUNTIFS(請求記録!$B$6:$B$3005,$A90,請求記録!$X$6:$X$3005,W$5,請求記録!$AD$6:$AD$3005,"保留中")&gt;0,"保留",IF(COUNTIFS(請求記録!$B$6:$B$3005,$A90,請求記録!$X$6:$X$3005,W$5)=0,"",SUMIFS(請求記録!$AC$6:$AC$3005,請求記録!$B$6:$B$3005,$A90,請求記録!$X$6:$X$3005,W$5))))</f>
        <v/>
      </c>
      <c r="X90" s="19">
        <f>IF($A90="","",IF(COUNTIFS(請求記録!$B$6:$B$3005,$A90,請求記録!$X$6:$X$3005,X$5,請求記録!$AD$6:$AD$3005,"保留中")&gt;0,"保留",IF(COUNTIFS(請求記録!$B$6:$B$3005,$A90,請求記録!$X$6:$X$3005,X$5)=0,"",SUMIFS(請求記録!$AC$6:$AC$3005,請求記録!$B$6:$B$3005,$A90,請求記録!$X$6:$X$3005,X$5))))</f>
        <v/>
      </c>
      <c r="Y90" s="19">
        <f>IF($A90="","",IF(COUNTIFS(請求記録!$B$6:$B$3005,$A90,請求記録!$X$6:$X$3005,Y$5,請求記録!$AD$6:$AD$3005,"保留中")&gt;0,"保留",IF(COUNTIFS(請求記録!$B$6:$B$3005,$A90,請求記録!$X$6:$X$3005,Y$5)=0,"",SUMIFS(請求記録!$AC$6:$AC$3005,請求記録!$B$6:$B$3005,$A90,請求記録!$X$6:$X$3005,Y$5))))</f>
        <v/>
      </c>
      <c r="Z90" s="19">
        <f>IF($A90="","",IF(COUNTIFS(請求記録!$B$6:$B$3005,$A90,請求記録!$X$6:$X$3005,Z$5,請求記録!$AD$6:$AD$3005,"保留中")&gt;0,"保留",IF(COUNTIFS(請求記録!$B$6:$B$3005,$A90,請求記録!$X$6:$X$3005,Z$5)=0,"",SUMIFS(請求記録!$AC$6:$AC$3005,請求記録!$B$6:$B$3005,$A90,請求記録!$X$6:$X$3005,Z$5))))</f>
        <v/>
      </c>
      <c r="AA90" s="19">
        <f>IF($A90="","",IF(COUNTIFS(請求記録!$B$6:$B$3005,$A90,請求記録!$X$6:$X$3005,AA$5,請求記録!$AD$6:$AD$3005,"保留中")&gt;0,"保留",IF(COUNTIFS(請求記録!$B$6:$B$3005,$A90,請求記録!$X$6:$X$3005,AA$5)=0,"",SUMIFS(請求記録!$AC$6:$AC$3005,請求記録!$B$6:$B$3005,$A90,請求記録!$X$6:$X$3005,AA$5))))</f>
        <v/>
      </c>
      <c r="AB90">
        <f>IF(職員マスタ!P90="保留中",職員マスタ!M90,"")</f>
        <v/>
      </c>
    </row>
    <row r="91">
      <c r="A91">
        <f>IF(職員マスタ!A91="","",職員マスタ!A91)</f>
        <v/>
      </c>
      <c r="B91">
        <f>IF($A91="","",職員マスタ!B91)</f>
        <v/>
      </c>
      <c r="C91">
        <f>IF($A91="","",職員マスタ!C91)</f>
        <v/>
      </c>
      <c r="D91" s="19">
        <f>IF($A91="","",IF(COUNTIFS(請求記録!$B$6:$B$3005,$A91,請求記録!$X$6:$X$3005,D$5,請求記録!$AD$6:$AD$3005,"保留中")&gt;0,"保留",IF(COUNTIFS(請求記録!$B$6:$B$3005,$A91,請求記録!$X$6:$X$3005,D$5)=0,"",SUMIFS(請求記録!$AC$6:$AC$3005,請求記録!$B$6:$B$3005,$A91,請求記録!$X$6:$X$3005,D$5))))</f>
        <v/>
      </c>
      <c r="E91" s="19">
        <f>IF($A91="","",IF(COUNTIFS(請求記録!$B$6:$B$3005,$A91,請求記録!$X$6:$X$3005,E$5,請求記録!$AD$6:$AD$3005,"保留中")&gt;0,"保留",IF(COUNTIFS(請求記録!$B$6:$B$3005,$A91,請求記録!$X$6:$X$3005,E$5)=0,"",SUMIFS(請求記録!$AC$6:$AC$3005,請求記録!$B$6:$B$3005,$A91,請求記録!$X$6:$X$3005,E$5))))</f>
        <v/>
      </c>
      <c r="F91" s="19">
        <f>IF($A91="","",IF(COUNTIFS(請求記録!$B$6:$B$3005,$A91,請求記録!$X$6:$X$3005,F$5,請求記録!$AD$6:$AD$3005,"保留中")&gt;0,"保留",IF(COUNTIFS(請求記録!$B$6:$B$3005,$A91,請求記録!$X$6:$X$3005,F$5)=0,"",SUMIFS(請求記録!$AC$6:$AC$3005,請求記録!$B$6:$B$3005,$A91,請求記録!$X$6:$X$3005,F$5))))</f>
        <v/>
      </c>
      <c r="G91" s="19">
        <f>IF($A91="","",IF(COUNTIFS(請求記録!$B$6:$B$3005,$A91,請求記録!$X$6:$X$3005,G$5,請求記録!$AD$6:$AD$3005,"保留中")&gt;0,"保留",IF(COUNTIFS(請求記録!$B$6:$B$3005,$A91,請求記録!$X$6:$X$3005,G$5)=0,"",SUMIFS(請求記録!$AC$6:$AC$3005,請求記録!$B$6:$B$3005,$A91,請求記録!$X$6:$X$3005,G$5))))</f>
        <v/>
      </c>
      <c r="H91" s="19">
        <f>IF($A91="","",IF(COUNTIFS(請求記録!$B$6:$B$3005,$A91,請求記録!$X$6:$X$3005,H$5,請求記録!$AD$6:$AD$3005,"保留中")&gt;0,"保留",IF(COUNTIFS(請求記録!$B$6:$B$3005,$A91,請求記録!$X$6:$X$3005,H$5)=0,"",SUMIFS(請求記録!$AC$6:$AC$3005,請求記録!$B$6:$B$3005,$A91,請求記録!$X$6:$X$3005,H$5))))</f>
        <v/>
      </c>
      <c r="I91" s="19">
        <f>IF($A91="","",IF(COUNTIFS(請求記録!$B$6:$B$3005,$A91,請求記録!$X$6:$X$3005,I$5,請求記録!$AD$6:$AD$3005,"保留中")&gt;0,"保留",IF(COUNTIFS(請求記録!$B$6:$B$3005,$A91,請求記録!$X$6:$X$3005,I$5)=0,"",SUMIFS(請求記録!$AC$6:$AC$3005,請求記録!$B$6:$B$3005,$A91,請求記録!$X$6:$X$3005,I$5))))</f>
        <v/>
      </c>
      <c r="J91" s="19">
        <f>IF($A91="","",IF(COUNTIFS(請求記録!$B$6:$B$3005,$A91,請求記録!$X$6:$X$3005,J$5,請求記録!$AD$6:$AD$3005,"保留中")&gt;0,"保留",IF(COUNTIFS(請求記録!$B$6:$B$3005,$A91,請求記録!$X$6:$X$3005,J$5)=0,"",SUMIFS(請求記録!$AC$6:$AC$3005,請求記録!$B$6:$B$3005,$A91,請求記録!$X$6:$X$3005,J$5))))</f>
        <v/>
      </c>
      <c r="K91" s="19">
        <f>IF($A91="","",IF(COUNTIFS(請求記録!$B$6:$B$3005,$A91,請求記録!$X$6:$X$3005,K$5,請求記録!$AD$6:$AD$3005,"保留中")&gt;0,"保留",IF(COUNTIFS(請求記録!$B$6:$B$3005,$A91,請求記録!$X$6:$X$3005,K$5)=0,"",SUMIFS(請求記録!$AC$6:$AC$3005,請求記録!$B$6:$B$3005,$A91,請求記録!$X$6:$X$3005,K$5))))</f>
        <v/>
      </c>
      <c r="L91" s="19">
        <f>IF($A91="","",IF(COUNTIFS(請求記録!$B$6:$B$3005,$A91,請求記録!$X$6:$X$3005,L$5,請求記録!$AD$6:$AD$3005,"保留中")&gt;0,"保留",IF(COUNTIFS(請求記録!$B$6:$B$3005,$A91,請求記録!$X$6:$X$3005,L$5)=0,"",SUMIFS(請求記録!$AC$6:$AC$3005,請求記録!$B$6:$B$3005,$A91,請求記録!$X$6:$X$3005,L$5))))</f>
        <v/>
      </c>
      <c r="M91" s="19">
        <f>IF($A91="","",IF(COUNTIFS(請求記録!$B$6:$B$3005,$A91,請求記録!$X$6:$X$3005,M$5,請求記録!$AD$6:$AD$3005,"保留中")&gt;0,"保留",IF(COUNTIFS(請求記録!$B$6:$B$3005,$A91,請求記録!$X$6:$X$3005,M$5)=0,"",SUMIFS(請求記録!$AC$6:$AC$3005,請求記録!$B$6:$B$3005,$A91,請求記録!$X$6:$X$3005,M$5))))</f>
        <v/>
      </c>
      <c r="N91" s="19">
        <f>IF($A91="","",IF(COUNTIFS(請求記録!$B$6:$B$3005,$A91,請求記録!$X$6:$X$3005,N$5,請求記録!$AD$6:$AD$3005,"保留中")&gt;0,"保留",IF(COUNTIFS(請求記録!$B$6:$B$3005,$A91,請求記録!$X$6:$X$3005,N$5)=0,"",SUMIFS(請求記録!$AC$6:$AC$3005,請求記録!$B$6:$B$3005,$A91,請求記録!$X$6:$X$3005,N$5))))</f>
        <v/>
      </c>
      <c r="O91" s="19">
        <f>IF($A91="","",IF(COUNTIFS(請求記録!$B$6:$B$3005,$A91,請求記録!$X$6:$X$3005,O$5,請求記録!$AD$6:$AD$3005,"保留中")&gt;0,"保留",IF(COUNTIFS(請求記録!$B$6:$B$3005,$A91,請求記録!$X$6:$X$3005,O$5)=0,"",SUMIFS(請求記録!$AC$6:$AC$3005,請求記録!$B$6:$B$3005,$A91,請求記録!$X$6:$X$3005,O$5))))</f>
        <v/>
      </c>
      <c r="P91" s="19">
        <f>IF($A91="","",IF(COUNTIFS(請求記録!$B$6:$B$3005,$A91,請求記録!$X$6:$X$3005,P$5,請求記録!$AD$6:$AD$3005,"保留中")&gt;0,"保留",IF(COUNTIFS(請求記録!$B$6:$B$3005,$A91,請求記録!$X$6:$X$3005,P$5)=0,"",SUMIFS(請求記録!$AC$6:$AC$3005,請求記録!$B$6:$B$3005,$A91,請求記録!$X$6:$X$3005,P$5))))</f>
        <v/>
      </c>
      <c r="Q91" s="19">
        <f>IF($A91="","",IF(COUNTIFS(請求記録!$B$6:$B$3005,$A91,請求記録!$X$6:$X$3005,Q$5,請求記録!$AD$6:$AD$3005,"保留中")&gt;0,"保留",IF(COUNTIFS(請求記録!$B$6:$B$3005,$A91,請求記録!$X$6:$X$3005,Q$5)=0,"",SUMIFS(請求記録!$AC$6:$AC$3005,請求記録!$B$6:$B$3005,$A91,請求記録!$X$6:$X$3005,Q$5))))</f>
        <v/>
      </c>
      <c r="R91" s="19">
        <f>IF($A91="","",IF(COUNTIFS(請求記録!$B$6:$B$3005,$A91,請求記録!$X$6:$X$3005,R$5,請求記録!$AD$6:$AD$3005,"保留中")&gt;0,"保留",IF(COUNTIFS(請求記録!$B$6:$B$3005,$A91,請求記録!$X$6:$X$3005,R$5)=0,"",SUMIFS(請求記録!$AC$6:$AC$3005,請求記録!$B$6:$B$3005,$A91,請求記録!$X$6:$X$3005,R$5))))</f>
        <v/>
      </c>
      <c r="S91" s="19">
        <f>IF($A91="","",IF(COUNTIFS(請求記録!$B$6:$B$3005,$A91,請求記録!$X$6:$X$3005,S$5,請求記録!$AD$6:$AD$3005,"保留中")&gt;0,"保留",IF(COUNTIFS(請求記録!$B$6:$B$3005,$A91,請求記録!$X$6:$X$3005,S$5)=0,"",SUMIFS(請求記録!$AC$6:$AC$3005,請求記録!$B$6:$B$3005,$A91,請求記録!$X$6:$X$3005,S$5))))</f>
        <v/>
      </c>
      <c r="T91" s="19">
        <f>IF($A91="","",IF(COUNTIFS(請求記録!$B$6:$B$3005,$A91,請求記録!$X$6:$X$3005,T$5,請求記録!$AD$6:$AD$3005,"保留中")&gt;0,"保留",IF(COUNTIFS(請求記録!$B$6:$B$3005,$A91,請求記録!$X$6:$X$3005,T$5)=0,"",SUMIFS(請求記録!$AC$6:$AC$3005,請求記録!$B$6:$B$3005,$A91,請求記録!$X$6:$X$3005,T$5))))</f>
        <v/>
      </c>
      <c r="U91" s="19">
        <f>IF($A91="","",IF(COUNTIFS(請求記録!$B$6:$B$3005,$A91,請求記録!$X$6:$X$3005,U$5,請求記録!$AD$6:$AD$3005,"保留中")&gt;0,"保留",IF(COUNTIFS(請求記録!$B$6:$B$3005,$A91,請求記録!$X$6:$X$3005,U$5)=0,"",SUMIFS(請求記録!$AC$6:$AC$3005,請求記録!$B$6:$B$3005,$A91,請求記録!$X$6:$X$3005,U$5))))</f>
        <v/>
      </c>
      <c r="V91" s="19">
        <f>IF($A91="","",IF(COUNTIFS(請求記録!$B$6:$B$3005,$A91,請求記録!$X$6:$X$3005,V$5,請求記録!$AD$6:$AD$3005,"保留中")&gt;0,"保留",IF(COUNTIFS(請求記録!$B$6:$B$3005,$A91,請求記録!$X$6:$X$3005,V$5)=0,"",SUMIFS(請求記録!$AC$6:$AC$3005,請求記録!$B$6:$B$3005,$A91,請求記録!$X$6:$X$3005,V$5))))</f>
        <v/>
      </c>
      <c r="W91" s="19">
        <f>IF($A91="","",IF(COUNTIFS(請求記録!$B$6:$B$3005,$A91,請求記録!$X$6:$X$3005,W$5,請求記録!$AD$6:$AD$3005,"保留中")&gt;0,"保留",IF(COUNTIFS(請求記録!$B$6:$B$3005,$A91,請求記録!$X$6:$X$3005,W$5)=0,"",SUMIFS(請求記録!$AC$6:$AC$3005,請求記録!$B$6:$B$3005,$A91,請求記録!$X$6:$X$3005,W$5))))</f>
        <v/>
      </c>
      <c r="X91" s="19">
        <f>IF($A91="","",IF(COUNTIFS(請求記録!$B$6:$B$3005,$A91,請求記録!$X$6:$X$3005,X$5,請求記録!$AD$6:$AD$3005,"保留中")&gt;0,"保留",IF(COUNTIFS(請求記録!$B$6:$B$3005,$A91,請求記録!$X$6:$X$3005,X$5)=0,"",SUMIFS(請求記録!$AC$6:$AC$3005,請求記録!$B$6:$B$3005,$A91,請求記録!$X$6:$X$3005,X$5))))</f>
        <v/>
      </c>
      <c r="Y91" s="19">
        <f>IF($A91="","",IF(COUNTIFS(請求記録!$B$6:$B$3005,$A91,請求記録!$X$6:$X$3005,Y$5,請求記録!$AD$6:$AD$3005,"保留中")&gt;0,"保留",IF(COUNTIFS(請求記録!$B$6:$B$3005,$A91,請求記録!$X$6:$X$3005,Y$5)=0,"",SUMIFS(請求記録!$AC$6:$AC$3005,請求記録!$B$6:$B$3005,$A91,請求記録!$X$6:$X$3005,Y$5))))</f>
        <v/>
      </c>
      <c r="Z91" s="19">
        <f>IF($A91="","",IF(COUNTIFS(請求記録!$B$6:$B$3005,$A91,請求記録!$X$6:$X$3005,Z$5,請求記録!$AD$6:$AD$3005,"保留中")&gt;0,"保留",IF(COUNTIFS(請求記録!$B$6:$B$3005,$A91,請求記録!$X$6:$X$3005,Z$5)=0,"",SUMIFS(請求記録!$AC$6:$AC$3005,請求記録!$B$6:$B$3005,$A91,請求記録!$X$6:$X$3005,Z$5))))</f>
        <v/>
      </c>
      <c r="AA91" s="19">
        <f>IF($A91="","",IF(COUNTIFS(請求記録!$B$6:$B$3005,$A91,請求記録!$X$6:$X$3005,AA$5,請求記録!$AD$6:$AD$3005,"保留中")&gt;0,"保留",IF(COUNTIFS(請求記録!$B$6:$B$3005,$A91,請求記録!$X$6:$X$3005,AA$5)=0,"",SUMIFS(請求記録!$AC$6:$AC$3005,請求記録!$B$6:$B$3005,$A91,請求記録!$X$6:$X$3005,AA$5))))</f>
        <v/>
      </c>
      <c r="AB91">
        <f>IF(職員マスタ!P91="保留中",職員マスタ!M91,"")</f>
        <v/>
      </c>
    </row>
    <row r="92">
      <c r="A92">
        <f>IF(職員マスタ!A92="","",職員マスタ!A92)</f>
        <v/>
      </c>
      <c r="B92">
        <f>IF($A92="","",職員マスタ!B92)</f>
        <v/>
      </c>
      <c r="C92">
        <f>IF($A92="","",職員マスタ!C92)</f>
        <v/>
      </c>
      <c r="D92" s="19">
        <f>IF($A92="","",IF(COUNTIFS(請求記録!$B$6:$B$3005,$A92,請求記録!$X$6:$X$3005,D$5,請求記録!$AD$6:$AD$3005,"保留中")&gt;0,"保留",IF(COUNTIFS(請求記録!$B$6:$B$3005,$A92,請求記録!$X$6:$X$3005,D$5)=0,"",SUMIFS(請求記録!$AC$6:$AC$3005,請求記録!$B$6:$B$3005,$A92,請求記録!$X$6:$X$3005,D$5))))</f>
        <v/>
      </c>
      <c r="E92" s="19">
        <f>IF($A92="","",IF(COUNTIFS(請求記録!$B$6:$B$3005,$A92,請求記録!$X$6:$X$3005,E$5,請求記録!$AD$6:$AD$3005,"保留中")&gt;0,"保留",IF(COUNTIFS(請求記録!$B$6:$B$3005,$A92,請求記録!$X$6:$X$3005,E$5)=0,"",SUMIFS(請求記録!$AC$6:$AC$3005,請求記録!$B$6:$B$3005,$A92,請求記録!$X$6:$X$3005,E$5))))</f>
        <v/>
      </c>
      <c r="F92" s="19">
        <f>IF($A92="","",IF(COUNTIFS(請求記録!$B$6:$B$3005,$A92,請求記録!$X$6:$X$3005,F$5,請求記録!$AD$6:$AD$3005,"保留中")&gt;0,"保留",IF(COUNTIFS(請求記録!$B$6:$B$3005,$A92,請求記録!$X$6:$X$3005,F$5)=0,"",SUMIFS(請求記録!$AC$6:$AC$3005,請求記録!$B$6:$B$3005,$A92,請求記録!$X$6:$X$3005,F$5))))</f>
        <v/>
      </c>
      <c r="G92" s="19">
        <f>IF($A92="","",IF(COUNTIFS(請求記録!$B$6:$B$3005,$A92,請求記録!$X$6:$X$3005,G$5,請求記録!$AD$6:$AD$3005,"保留中")&gt;0,"保留",IF(COUNTIFS(請求記録!$B$6:$B$3005,$A92,請求記録!$X$6:$X$3005,G$5)=0,"",SUMIFS(請求記録!$AC$6:$AC$3005,請求記録!$B$6:$B$3005,$A92,請求記録!$X$6:$X$3005,G$5))))</f>
        <v/>
      </c>
      <c r="H92" s="19">
        <f>IF($A92="","",IF(COUNTIFS(請求記録!$B$6:$B$3005,$A92,請求記録!$X$6:$X$3005,H$5,請求記録!$AD$6:$AD$3005,"保留中")&gt;0,"保留",IF(COUNTIFS(請求記録!$B$6:$B$3005,$A92,請求記録!$X$6:$X$3005,H$5)=0,"",SUMIFS(請求記録!$AC$6:$AC$3005,請求記録!$B$6:$B$3005,$A92,請求記録!$X$6:$X$3005,H$5))))</f>
        <v/>
      </c>
      <c r="I92" s="19">
        <f>IF($A92="","",IF(COUNTIFS(請求記録!$B$6:$B$3005,$A92,請求記録!$X$6:$X$3005,I$5,請求記録!$AD$6:$AD$3005,"保留中")&gt;0,"保留",IF(COUNTIFS(請求記録!$B$6:$B$3005,$A92,請求記録!$X$6:$X$3005,I$5)=0,"",SUMIFS(請求記録!$AC$6:$AC$3005,請求記録!$B$6:$B$3005,$A92,請求記録!$X$6:$X$3005,I$5))))</f>
        <v/>
      </c>
      <c r="J92" s="19">
        <f>IF($A92="","",IF(COUNTIFS(請求記録!$B$6:$B$3005,$A92,請求記録!$X$6:$X$3005,J$5,請求記録!$AD$6:$AD$3005,"保留中")&gt;0,"保留",IF(COUNTIFS(請求記録!$B$6:$B$3005,$A92,請求記録!$X$6:$X$3005,J$5)=0,"",SUMIFS(請求記録!$AC$6:$AC$3005,請求記録!$B$6:$B$3005,$A92,請求記録!$X$6:$X$3005,J$5))))</f>
        <v/>
      </c>
      <c r="K92" s="19">
        <f>IF($A92="","",IF(COUNTIFS(請求記録!$B$6:$B$3005,$A92,請求記録!$X$6:$X$3005,K$5,請求記録!$AD$6:$AD$3005,"保留中")&gt;0,"保留",IF(COUNTIFS(請求記録!$B$6:$B$3005,$A92,請求記録!$X$6:$X$3005,K$5)=0,"",SUMIFS(請求記録!$AC$6:$AC$3005,請求記録!$B$6:$B$3005,$A92,請求記録!$X$6:$X$3005,K$5))))</f>
        <v/>
      </c>
      <c r="L92" s="19">
        <f>IF($A92="","",IF(COUNTIFS(請求記録!$B$6:$B$3005,$A92,請求記録!$X$6:$X$3005,L$5,請求記録!$AD$6:$AD$3005,"保留中")&gt;0,"保留",IF(COUNTIFS(請求記録!$B$6:$B$3005,$A92,請求記録!$X$6:$X$3005,L$5)=0,"",SUMIFS(請求記録!$AC$6:$AC$3005,請求記録!$B$6:$B$3005,$A92,請求記録!$X$6:$X$3005,L$5))))</f>
        <v/>
      </c>
      <c r="M92" s="19">
        <f>IF($A92="","",IF(COUNTIFS(請求記録!$B$6:$B$3005,$A92,請求記録!$X$6:$X$3005,M$5,請求記録!$AD$6:$AD$3005,"保留中")&gt;0,"保留",IF(COUNTIFS(請求記録!$B$6:$B$3005,$A92,請求記録!$X$6:$X$3005,M$5)=0,"",SUMIFS(請求記録!$AC$6:$AC$3005,請求記録!$B$6:$B$3005,$A92,請求記録!$X$6:$X$3005,M$5))))</f>
        <v/>
      </c>
      <c r="N92" s="19">
        <f>IF($A92="","",IF(COUNTIFS(請求記録!$B$6:$B$3005,$A92,請求記録!$X$6:$X$3005,N$5,請求記録!$AD$6:$AD$3005,"保留中")&gt;0,"保留",IF(COUNTIFS(請求記録!$B$6:$B$3005,$A92,請求記録!$X$6:$X$3005,N$5)=0,"",SUMIFS(請求記録!$AC$6:$AC$3005,請求記録!$B$6:$B$3005,$A92,請求記録!$X$6:$X$3005,N$5))))</f>
        <v/>
      </c>
      <c r="O92" s="19">
        <f>IF($A92="","",IF(COUNTIFS(請求記録!$B$6:$B$3005,$A92,請求記録!$X$6:$X$3005,O$5,請求記録!$AD$6:$AD$3005,"保留中")&gt;0,"保留",IF(COUNTIFS(請求記録!$B$6:$B$3005,$A92,請求記録!$X$6:$X$3005,O$5)=0,"",SUMIFS(請求記録!$AC$6:$AC$3005,請求記録!$B$6:$B$3005,$A92,請求記録!$X$6:$X$3005,O$5))))</f>
        <v/>
      </c>
      <c r="P92" s="19">
        <f>IF($A92="","",IF(COUNTIFS(請求記録!$B$6:$B$3005,$A92,請求記録!$X$6:$X$3005,P$5,請求記録!$AD$6:$AD$3005,"保留中")&gt;0,"保留",IF(COUNTIFS(請求記録!$B$6:$B$3005,$A92,請求記録!$X$6:$X$3005,P$5)=0,"",SUMIFS(請求記録!$AC$6:$AC$3005,請求記録!$B$6:$B$3005,$A92,請求記録!$X$6:$X$3005,P$5))))</f>
        <v/>
      </c>
      <c r="Q92" s="19">
        <f>IF($A92="","",IF(COUNTIFS(請求記録!$B$6:$B$3005,$A92,請求記録!$X$6:$X$3005,Q$5,請求記録!$AD$6:$AD$3005,"保留中")&gt;0,"保留",IF(COUNTIFS(請求記録!$B$6:$B$3005,$A92,請求記録!$X$6:$X$3005,Q$5)=0,"",SUMIFS(請求記録!$AC$6:$AC$3005,請求記録!$B$6:$B$3005,$A92,請求記録!$X$6:$X$3005,Q$5))))</f>
        <v/>
      </c>
      <c r="R92" s="19">
        <f>IF($A92="","",IF(COUNTIFS(請求記録!$B$6:$B$3005,$A92,請求記録!$X$6:$X$3005,R$5,請求記録!$AD$6:$AD$3005,"保留中")&gt;0,"保留",IF(COUNTIFS(請求記録!$B$6:$B$3005,$A92,請求記録!$X$6:$X$3005,R$5)=0,"",SUMIFS(請求記録!$AC$6:$AC$3005,請求記録!$B$6:$B$3005,$A92,請求記録!$X$6:$X$3005,R$5))))</f>
        <v/>
      </c>
      <c r="S92" s="19">
        <f>IF($A92="","",IF(COUNTIFS(請求記録!$B$6:$B$3005,$A92,請求記録!$X$6:$X$3005,S$5,請求記録!$AD$6:$AD$3005,"保留中")&gt;0,"保留",IF(COUNTIFS(請求記録!$B$6:$B$3005,$A92,請求記録!$X$6:$X$3005,S$5)=0,"",SUMIFS(請求記録!$AC$6:$AC$3005,請求記録!$B$6:$B$3005,$A92,請求記録!$X$6:$X$3005,S$5))))</f>
        <v/>
      </c>
      <c r="T92" s="19">
        <f>IF($A92="","",IF(COUNTIFS(請求記録!$B$6:$B$3005,$A92,請求記録!$X$6:$X$3005,T$5,請求記録!$AD$6:$AD$3005,"保留中")&gt;0,"保留",IF(COUNTIFS(請求記録!$B$6:$B$3005,$A92,請求記録!$X$6:$X$3005,T$5)=0,"",SUMIFS(請求記録!$AC$6:$AC$3005,請求記録!$B$6:$B$3005,$A92,請求記録!$X$6:$X$3005,T$5))))</f>
        <v/>
      </c>
      <c r="U92" s="19">
        <f>IF($A92="","",IF(COUNTIFS(請求記録!$B$6:$B$3005,$A92,請求記録!$X$6:$X$3005,U$5,請求記録!$AD$6:$AD$3005,"保留中")&gt;0,"保留",IF(COUNTIFS(請求記録!$B$6:$B$3005,$A92,請求記録!$X$6:$X$3005,U$5)=0,"",SUMIFS(請求記録!$AC$6:$AC$3005,請求記録!$B$6:$B$3005,$A92,請求記録!$X$6:$X$3005,U$5))))</f>
        <v/>
      </c>
      <c r="V92" s="19">
        <f>IF($A92="","",IF(COUNTIFS(請求記録!$B$6:$B$3005,$A92,請求記録!$X$6:$X$3005,V$5,請求記録!$AD$6:$AD$3005,"保留中")&gt;0,"保留",IF(COUNTIFS(請求記録!$B$6:$B$3005,$A92,請求記録!$X$6:$X$3005,V$5)=0,"",SUMIFS(請求記録!$AC$6:$AC$3005,請求記録!$B$6:$B$3005,$A92,請求記録!$X$6:$X$3005,V$5))))</f>
        <v/>
      </c>
      <c r="W92" s="19">
        <f>IF($A92="","",IF(COUNTIFS(請求記録!$B$6:$B$3005,$A92,請求記録!$X$6:$X$3005,W$5,請求記録!$AD$6:$AD$3005,"保留中")&gt;0,"保留",IF(COUNTIFS(請求記録!$B$6:$B$3005,$A92,請求記録!$X$6:$X$3005,W$5)=0,"",SUMIFS(請求記録!$AC$6:$AC$3005,請求記録!$B$6:$B$3005,$A92,請求記録!$X$6:$X$3005,W$5))))</f>
        <v/>
      </c>
      <c r="X92" s="19">
        <f>IF($A92="","",IF(COUNTIFS(請求記録!$B$6:$B$3005,$A92,請求記録!$X$6:$X$3005,X$5,請求記録!$AD$6:$AD$3005,"保留中")&gt;0,"保留",IF(COUNTIFS(請求記録!$B$6:$B$3005,$A92,請求記録!$X$6:$X$3005,X$5)=0,"",SUMIFS(請求記録!$AC$6:$AC$3005,請求記録!$B$6:$B$3005,$A92,請求記録!$X$6:$X$3005,X$5))))</f>
        <v/>
      </c>
      <c r="Y92" s="19">
        <f>IF($A92="","",IF(COUNTIFS(請求記録!$B$6:$B$3005,$A92,請求記録!$X$6:$X$3005,Y$5,請求記録!$AD$6:$AD$3005,"保留中")&gt;0,"保留",IF(COUNTIFS(請求記録!$B$6:$B$3005,$A92,請求記録!$X$6:$X$3005,Y$5)=0,"",SUMIFS(請求記録!$AC$6:$AC$3005,請求記録!$B$6:$B$3005,$A92,請求記録!$X$6:$X$3005,Y$5))))</f>
        <v/>
      </c>
      <c r="Z92" s="19">
        <f>IF($A92="","",IF(COUNTIFS(請求記録!$B$6:$B$3005,$A92,請求記録!$X$6:$X$3005,Z$5,請求記録!$AD$6:$AD$3005,"保留中")&gt;0,"保留",IF(COUNTIFS(請求記録!$B$6:$B$3005,$A92,請求記録!$X$6:$X$3005,Z$5)=0,"",SUMIFS(請求記録!$AC$6:$AC$3005,請求記録!$B$6:$B$3005,$A92,請求記録!$X$6:$X$3005,Z$5))))</f>
        <v/>
      </c>
      <c r="AA92" s="19">
        <f>IF($A92="","",IF(COUNTIFS(請求記録!$B$6:$B$3005,$A92,請求記録!$X$6:$X$3005,AA$5,請求記録!$AD$6:$AD$3005,"保留中")&gt;0,"保留",IF(COUNTIFS(請求記録!$B$6:$B$3005,$A92,請求記録!$X$6:$X$3005,AA$5)=0,"",SUMIFS(請求記録!$AC$6:$AC$3005,請求記録!$B$6:$B$3005,$A92,請求記録!$X$6:$X$3005,AA$5))))</f>
        <v/>
      </c>
      <c r="AB92">
        <f>IF(職員マスタ!P92="保留中",職員マスタ!M92,"")</f>
        <v/>
      </c>
    </row>
    <row r="93">
      <c r="A93">
        <f>IF(職員マスタ!A93="","",職員マスタ!A93)</f>
        <v/>
      </c>
      <c r="B93">
        <f>IF($A93="","",職員マスタ!B93)</f>
        <v/>
      </c>
      <c r="C93">
        <f>IF($A93="","",職員マスタ!C93)</f>
        <v/>
      </c>
      <c r="D93" s="19">
        <f>IF($A93="","",IF(COUNTIFS(請求記録!$B$6:$B$3005,$A93,請求記録!$X$6:$X$3005,D$5,請求記録!$AD$6:$AD$3005,"保留中")&gt;0,"保留",IF(COUNTIFS(請求記録!$B$6:$B$3005,$A93,請求記録!$X$6:$X$3005,D$5)=0,"",SUMIFS(請求記録!$AC$6:$AC$3005,請求記録!$B$6:$B$3005,$A93,請求記録!$X$6:$X$3005,D$5))))</f>
        <v/>
      </c>
      <c r="E93" s="19">
        <f>IF($A93="","",IF(COUNTIFS(請求記録!$B$6:$B$3005,$A93,請求記録!$X$6:$X$3005,E$5,請求記録!$AD$6:$AD$3005,"保留中")&gt;0,"保留",IF(COUNTIFS(請求記録!$B$6:$B$3005,$A93,請求記録!$X$6:$X$3005,E$5)=0,"",SUMIFS(請求記録!$AC$6:$AC$3005,請求記録!$B$6:$B$3005,$A93,請求記録!$X$6:$X$3005,E$5))))</f>
        <v/>
      </c>
      <c r="F93" s="19">
        <f>IF($A93="","",IF(COUNTIFS(請求記録!$B$6:$B$3005,$A93,請求記録!$X$6:$X$3005,F$5,請求記録!$AD$6:$AD$3005,"保留中")&gt;0,"保留",IF(COUNTIFS(請求記録!$B$6:$B$3005,$A93,請求記録!$X$6:$X$3005,F$5)=0,"",SUMIFS(請求記録!$AC$6:$AC$3005,請求記録!$B$6:$B$3005,$A93,請求記録!$X$6:$X$3005,F$5))))</f>
        <v/>
      </c>
      <c r="G93" s="19">
        <f>IF($A93="","",IF(COUNTIFS(請求記録!$B$6:$B$3005,$A93,請求記録!$X$6:$X$3005,G$5,請求記録!$AD$6:$AD$3005,"保留中")&gt;0,"保留",IF(COUNTIFS(請求記録!$B$6:$B$3005,$A93,請求記録!$X$6:$X$3005,G$5)=0,"",SUMIFS(請求記録!$AC$6:$AC$3005,請求記録!$B$6:$B$3005,$A93,請求記録!$X$6:$X$3005,G$5))))</f>
        <v/>
      </c>
      <c r="H93" s="19">
        <f>IF($A93="","",IF(COUNTIFS(請求記録!$B$6:$B$3005,$A93,請求記録!$X$6:$X$3005,H$5,請求記録!$AD$6:$AD$3005,"保留中")&gt;0,"保留",IF(COUNTIFS(請求記録!$B$6:$B$3005,$A93,請求記録!$X$6:$X$3005,H$5)=0,"",SUMIFS(請求記録!$AC$6:$AC$3005,請求記録!$B$6:$B$3005,$A93,請求記録!$X$6:$X$3005,H$5))))</f>
        <v/>
      </c>
      <c r="I93" s="19">
        <f>IF($A93="","",IF(COUNTIFS(請求記録!$B$6:$B$3005,$A93,請求記録!$X$6:$X$3005,I$5,請求記録!$AD$6:$AD$3005,"保留中")&gt;0,"保留",IF(COUNTIFS(請求記録!$B$6:$B$3005,$A93,請求記録!$X$6:$X$3005,I$5)=0,"",SUMIFS(請求記録!$AC$6:$AC$3005,請求記録!$B$6:$B$3005,$A93,請求記録!$X$6:$X$3005,I$5))))</f>
        <v/>
      </c>
      <c r="J93" s="19">
        <f>IF($A93="","",IF(COUNTIFS(請求記録!$B$6:$B$3005,$A93,請求記録!$X$6:$X$3005,J$5,請求記録!$AD$6:$AD$3005,"保留中")&gt;0,"保留",IF(COUNTIFS(請求記録!$B$6:$B$3005,$A93,請求記録!$X$6:$X$3005,J$5)=0,"",SUMIFS(請求記録!$AC$6:$AC$3005,請求記録!$B$6:$B$3005,$A93,請求記録!$X$6:$X$3005,J$5))))</f>
        <v/>
      </c>
      <c r="K93" s="19">
        <f>IF($A93="","",IF(COUNTIFS(請求記録!$B$6:$B$3005,$A93,請求記録!$X$6:$X$3005,K$5,請求記録!$AD$6:$AD$3005,"保留中")&gt;0,"保留",IF(COUNTIFS(請求記録!$B$6:$B$3005,$A93,請求記録!$X$6:$X$3005,K$5)=0,"",SUMIFS(請求記録!$AC$6:$AC$3005,請求記録!$B$6:$B$3005,$A93,請求記録!$X$6:$X$3005,K$5))))</f>
        <v/>
      </c>
      <c r="L93" s="19">
        <f>IF($A93="","",IF(COUNTIFS(請求記録!$B$6:$B$3005,$A93,請求記録!$X$6:$X$3005,L$5,請求記録!$AD$6:$AD$3005,"保留中")&gt;0,"保留",IF(COUNTIFS(請求記録!$B$6:$B$3005,$A93,請求記録!$X$6:$X$3005,L$5)=0,"",SUMIFS(請求記録!$AC$6:$AC$3005,請求記録!$B$6:$B$3005,$A93,請求記録!$X$6:$X$3005,L$5))))</f>
        <v/>
      </c>
      <c r="M93" s="19">
        <f>IF($A93="","",IF(COUNTIFS(請求記録!$B$6:$B$3005,$A93,請求記録!$X$6:$X$3005,M$5,請求記録!$AD$6:$AD$3005,"保留中")&gt;0,"保留",IF(COUNTIFS(請求記録!$B$6:$B$3005,$A93,請求記録!$X$6:$X$3005,M$5)=0,"",SUMIFS(請求記録!$AC$6:$AC$3005,請求記録!$B$6:$B$3005,$A93,請求記録!$X$6:$X$3005,M$5))))</f>
        <v/>
      </c>
      <c r="N93" s="19">
        <f>IF($A93="","",IF(COUNTIFS(請求記録!$B$6:$B$3005,$A93,請求記録!$X$6:$X$3005,N$5,請求記録!$AD$6:$AD$3005,"保留中")&gt;0,"保留",IF(COUNTIFS(請求記録!$B$6:$B$3005,$A93,請求記録!$X$6:$X$3005,N$5)=0,"",SUMIFS(請求記録!$AC$6:$AC$3005,請求記録!$B$6:$B$3005,$A93,請求記録!$X$6:$X$3005,N$5))))</f>
        <v/>
      </c>
      <c r="O93" s="19">
        <f>IF($A93="","",IF(COUNTIFS(請求記録!$B$6:$B$3005,$A93,請求記録!$X$6:$X$3005,O$5,請求記録!$AD$6:$AD$3005,"保留中")&gt;0,"保留",IF(COUNTIFS(請求記録!$B$6:$B$3005,$A93,請求記録!$X$6:$X$3005,O$5)=0,"",SUMIFS(請求記録!$AC$6:$AC$3005,請求記録!$B$6:$B$3005,$A93,請求記録!$X$6:$X$3005,O$5))))</f>
        <v/>
      </c>
      <c r="P93" s="19">
        <f>IF($A93="","",IF(COUNTIFS(請求記録!$B$6:$B$3005,$A93,請求記録!$X$6:$X$3005,P$5,請求記録!$AD$6:$AD$3005,"保留中")&gt;0,"保留",IF(COUNTIFS(請求記録!$B$6:$B$3005,$A93,請求記録!$X$6:$X$3005,P$5)=0,"",SUMIFS(請求記録!$AC$6:$AC$3005,請求記録!$B$6:$B$3005,$A93,請求記録!$X$6:$X$3005,P$5))))</f>
        <v/>
      </c>
      <c r="Q93" s="19">
        <f>IF($A93="","",IF(COUNTIFS(請求記録!$B$6:$B$3005,$A93,請求記録!$X$6:$X$3005,Q$5,請求記録!$AD$6:$AD$3005,"保留中")&gt;0,"保留",IF(COUNTIFS(請求記録!$B$6:$B$3005,$A93,請求記録!$X$6:$X$3005,Q$5)=0,"",SUMIFS(請求記録!$AC$6:$AC$3005,請求記録!$B$6:$B$3005,$A93,請求記録!$X$6:$X$3005,Q$5))))</f>
        <v/>
      </c>
      <c r="R93" s="19">
        <f>IF($A93="","",IF(COUNTIFS(請求記録!$B$6:$B$3005,$A93,請求記録!$X$6:$X$3005,R$5,請求記録!$AD$6:$AD$3005,"保留中")&gt;0,"保留",IF(COUNTIFS(請求記録!$B$6:$B$3005,$A93,請求記録!$X$6:$X$3005,R$5)=0,"",SUMIFS(請求記録!$AC$6:$AC$3005,請求記録!$B$6:$B$3005,$A93,請求記録!$X$6:$X$3005,R$5))))</f>
        <v/>
      </c>
      <c r="S93" s="19">
        <f>IF($A93="","",IF(COUNTIFS(請求記録!$B$6:$B$3005,$A93,請求記録!$X$6:$X$3005,S$5,請求記録!$AD$6:$AD$3005,"保留中")&gt;0,"保留",IF(COUNTIFS(請求記録!$B$6:$B$3005,$A93,請求記録!$X$6:$X$3005,S$5)=0,"",SUMIFS(請求記録!$AC$6:$AC$3005,請求記録!$B$6:$B$3005,$A93,請求記録!$X$6:$X$3005,S$5))))</f>
        <v/>
      </c>
      <c r="T93" s="19">
        <f>IF($A93="","",IF(COUNTIFS(請求記録!$B$6:$B$3005,$A93,請求記録!$X$6:$X$3005,T$5,請求記録!$AD$6:$AD$3005,"保留中")&gt;0,"保留",IF(COUNTIFS(請求記録!$B$6:$B$3005,$A93,請求記録!$X$6:$X$3005,T$5)=0,"",SUMIFS(請求記録!$AC$6:$AC$3005,請求記録!$B$6:$B$3005,$A93,請求記録!$X$6:$X$3005,T$5))))</f>
        <v/>
      </c>
      <c r="U93" s="19">
        <f>IF($A93="","",IF(COUNTIFS(請求記録!$B$6:$B$3005,$A93,請求記録!$X$6:$X$3005,U$5,請求記録!$AD$6:$AD$3005,"保留中")&gt;0,"保留",IF(COUNTIFS(請求記録!$B$6:$B$3005,$A93,請求記録!$X$6:$X$3005,U$5)=0,"",SUMIFS(請求記録!$AC$6:$AC$3005,請求記録!$B$6:$B$3005,$A93,請求記録!$X$6:$X$3005,U$5))))</f>
        <v/>
      </c>
      <c r="V93" s="19">
        <f>IF($A93="","",IF(COUNTIFS(請求記録!$B$6:$B$3005,$A93,請求記録!$X$6:$X$3005,V$5,請求記録!$AD$6:$AD$3005,"保留中")&gt;0,"保留",IF(COUNTIFS(請求記録!$B$6:$B$3005,$A93,請求記録!$X$6:$X$3005,V$5)=0,"",SUMIFS(請求記録!$AC$6:$AC$3005,請求記録!$B$6:$B$3005,$A93,請求記録!$X$6:$X$3005,V$5))))</f>
        <v/>
      </c>
      <c r="W93" s="19">
        <f>IF($A93="","",IF(COUNTIFS(請求記録!$B$6:$B$3005,$A93,請求記録!$X$6:$X$3005,W$5,請求記録!$AD$6:$AD$3005,"保留中")&gt;0,"保留",IF(COUNTIFS(請求記録!$B$6:$B$3005,$A93,請求記録!$X$6:$X$3005,W$5)=0,"",SUMIFS(請求記録!$AC$6:$AC$3005,請求記録!$B$6:$B$3005,$A93,請求記録!$X$6:$X$3005,W$5))))</f>
        <v/>
      </c>
      <c r="X93" s="19">
        <f>IF($A93="","",IF(COUNTIFS(請求記録!$B$6:$B$3005,$A93,請求記録!$X$6:$X$3005,X$5,請求記録!$AD$6:$AD$3005,"保留中")&gt;0,"保留",IF(COUNTIFS(請求記録!$B$6:$B$3005,$A93,請求記録!$X$6:$X$3005,X$5)=0,"",SUMIFS(請求記録!$AC$6:$AC$3005,請求記録!$B$6:$B$3005,$A93,請求記録!$X$6:$X$3005,X$5))))</f>
        <v/>
      </c>
      <c r="Y93" s="19">
        <f>IF($A93="","",IF(COUNTIFS(請求記録!$B$6:$B$3005,$A93,請求記録!$X$6:$X$3005,Y$5,請求記録!$AD$6:$AD$3005,"保留中")&gt;0,"保留",IF(COUNTIFS(請求記録!$B$6:$B$3005,$A93,請求記録!$X$6:$X$3005,Y$5)=0,"",SUMIFS(請求記録!$AC$6:$AC$3005,請求記録!$B$6:$B$3005,$A93,請求記録!$X$6:$X$3005,Y$5))))</f>
        <v/>
      </c>
      <c r="Z93" s="19">
        <f>IF($A93="","",IF(COUNTIFS(請求記録!$B$6:$B$3005,$A93,請求記録!$X$6:$X$3005,Z$5,請求記録!$AD$6:$AD$3005,"保留中")&gt;0,"保留",IF(COUNTIFS(請求記録!$B$6:$B$3005,$A93,請求記録!$X$6:$X$3005,Z$5)=0,"",SUMIFS(請求記録!$AC$6:$AC$3005,請求記録!$B$6:$B$3005,$A93,請求記録!$X$6:$X$3005,Z$5))))</f>
        <v/>
      </c>
      <c r="AA93" s="19">
        <f>IF($A93="","",IF(COUNTIFS(請求記録!$B$6:$B$3005,$A93,請求記録!$X$6:$X$3005,AA$5,請求記録!$AD$6:$AD$3005,"保留中")&gt;0,"保留",IF(COUNTIFS(請求記録!$B$6:$B$3005,$A93,請求記録!$X$6:$X$3005,AA$5)=0,"",SUMIFS(請求記録!$AC$6:$AC$3005,請求記録!$B$6:$B$3005,$A93,請求記録!$X$6:$X$3005,AA$5))))</f>
        <v/>
      </c>
      <c r="AB93">
        <f>IF(職員マスタ!P93="保留中",職員マスタ!M93,"")</f>
        <v/>
      </c>
    </row>
    <row r="94">
      <c r="A94">
        <f>IF(職員マスタ!A94="","",職員マスタ!A94)</f>
        <v/>
      </c>
      <c r="B94">
        <f>IF($A94="","",職員マスタ!B94)</f>
        <v/>
      </c>
      <c r="C94">
        <f>IF($A94="","",職員マスタ!C94)</f>
        <v/>
      </c>
      <c r="D94" s="19">
        <f>IF($A94="","",IF(COUNTIFS(請求記録!$B$6:$B$3005,$A94,請求記録!$X$6:$X$3005,D$5,請求記録!$AD$6:$AD$3005,"保留中")&gt;0,"保留",IF(COUNTIFS(請求記録!$B$6:$B$3005,$A94,請求記録!$X$6:$X$3005,D$5)=0,"",SUMIFS(請求記録!$AC$6:$AC$3005,請求記録!$B$6:$B$3005,$A94,請求記録!$X$6:$X$3005,D$5))))</f>
        <v/>
      </c>
      <c r="E94" s="19">
        <f>IF($A94="","",IF(COUNTIFS(請求記録!$B$6:$B$3005,$A94,請求記録!$X$6:$X$3005,E$5,請求記録!$AD$6:$AD$3005,"保留中")&gt;0,"保留",IF(COUNTIFS(請求記録!$B$6:$B$3005,$A94,請求記録!$X$6:$X$3005,E$5)=0,"",SUMIFS(請求記録!$AC$6:$AC$3005,請求記録!$B$6:$B$3005,$A94,請求記録!$X$6:$X$3005,E$5))))</f>
        <v/>
      </c>
      <c r="F94" s="19">
        <f>IF($A94="","",IF(COUNTIFS(請求記録!$B$6:$B$3005,$A94,請求記録!$X$6:$X$3005,F$5,請求記録!$AD$6:$AD$3005,"保留中")&gt;0,"保留",IF(COUNTIFS(請求記録!$B$6:$B$3005,$A94,請求記録!$X$6:$X$3005,F$5)=0,"",SUMIFS(請求記録!$AC$6:$AC$3005,請求記録!$B$6:$B$3005,$A94,請求記録!$X$6:$X$3005,F$5))))</f>
        <v/>
      </c>
      <c r="G94" s="19">
        <f>IF($A94="","",IF(COUNTIFS(請求記録!$B$6:$B$3005,$A94,請求記録!$X$6:$X$3005,G$5,請求記録!$AD$6:$AD$3005,"保留中")&gt;0,"保留",IF(COUNTIFS(請求記録!$B$6:$B$3005,$A94,請求記録!$X$6:$X$3005,G$5)=0,"",SUMIFS(請求記録!$AC$6:$AC$3005,請求記録!$B$6:$B$3005,$A94,請求記録!$X$6:$X$3005,G$5))))</f>
        <v/>
      </c>
      <c r="H94" s="19">
        <f>IF($A94="","",IF(COUNTIFS(請求記録!$B$6:$B$3005,$A94,請求記録!$X$6:$X$3005,H$5,請求記録!$AD$6:$AD$3005,"保留中")&gt;0,"保留",IF(COUNTIFS(請求記録!$B$6:$B$3005,$A94,請求記録!$X$6:$X$3005,H$5)=0,"",SUMIFS(請求記録!$AC$6:$AC$3005,請求記録!$B$6:$B$3005,$A94,請求記録!$X$6:$X$3005,H$5))))</f>
        <v/>
      </c>
      <c r="I94" s="19">
        <f>IF($A94="","",IF(COUNTIFS(請求記録!$B$6:$B$3005,$A94,請求記録!$X$6:$X$3005,I$5,請求記録!$AD$6:$AD$3005,"保留中")&gt;0,"保留",IF(COUNTIFS(請求記録!$B$6:$B$3005,$A94,請求記録!$X$6:$X$3005,I$5)=0,"",SUMIFS(請求記録!$AC$6:$AC$3005,請求記録!$B$6:$B$3005,$A94,請求記録!$X$6:$X$3005,I$5))))</f>
        <v/>
      </c>
      <c r="J94" s="19">
        <f>IF($A94="","",IF(COUNTIFS(請求記録!$B$6:$B$3005,$A94,請求記録!$X$6:$X$3005,J$5,請求記録!$AD$6:$AD$3005,"保留中")&gt;0,"保留",IF(COUNTIFS(請求記録!$B$6:$B$3005,$A94,請求記録!$X$6:$X$3005,J$5)=0,"",SUMIFS(請求記録!$AC$6:$AC$3005,請求記録!$B$6:$B$3005,$A94,請求記録!$X$6:$X$3005,J$5))))</f>
        <v/>
      </c>
      <c r="K94" s="19">
        <f>IF($A94="","",IF(COUNTIFS(請求記録!$B$6:$B$3005,$A94,請求記録!$X$6:$X$3005,K$5,請求記録!$AD$6:$AD$3005,"保留中")&gt;0,"保留",IF(COUNTIFS(請求記録!$B$6:$B$3005,$A94,請求記録!$X$6:$X$3005,K$5)=0,"",SUMIFS(請求記録!$AC$6:$AC$3005,請求記録!$B$6:$B$3005,$A94,請求記録!$X$6:$X$3005,K$5))))</f>
        <v/>
      </c>
      <c r="L94" s="19">
        <f>IF($A94="","",IF(COUNTIFS(請求記録!$B$6:$B$3005,$A94,請求記録!$X$6:$X$3005,L$5,請求記録!$AD$6:$AD$3005,"保留中")&gt;0,"保留",IF(COUNTIFS(請求記録!$B$6:$B$3005,$A94,請求記録!$X$6:$X$3005,L$5)=0,"",SUMIFS(請求記録!$AC$6:$AC$3005,請求記録!$B$6:$B$3005,$A94,請求記録!$X$6:$X$3005,L$5))))</f>
        <v/>
      </c>
      <c r="M94" s="19">
        <f>IF($A94="","",IF(COUNTIFS(請求記録!$B$6:$B$3005,$A94,請求記録!$X$6:$X$3005,M$5,請求記録!$AD$6:$AD$3005,"保留中")&gt;0,"保留",IF(COUNTIFS(請求記録!$B$6:$B$3005,$A94,請求記録!$X$6:$X$3005,M$5)=0,"",SUMIFS(請求記録!$AC$6:$AC$3005,請求記録!$B$6:$B$3005,$A94,請求記録!$X$6:$X$3005,M$5))))</f>
        <v/>
      </c>
      <c r="N94" s="19">
        <f>IF($A94="","",IF(COUNTIFS(請求記録!$B$6:$B$3005,$A94,請求記録!$X$6:$X$3005,N$5,請求記録!$AD$6:$AD$3005,"保留中")&gt;0,"保留",IF(COUNTIFS(請求記録!$B$6:$B$3005,$A94,請求記録!$X$6:$X$3005,N$5)=0,"",SUMIFS(請求記録!$AC$6:$AC$3005,請求記録!$B$6:$B$3005,$A94,請求記録!$X$6:$X$3005,N$5))))</f>
        <v/>
      </c>
      <c r="O94" s="19">
        <f>IF($A94="","",IF(COUNTIFS(請求記録!$B$6:$B$3005,$A94,請求記録!$X$6:$X$3005,O$5,請求記録!$AD$6:$AD$3005,"保留中")&gt;0,"保留",IF(COUNTIFS(請求記録!$B$6:$B$3005,$A94,請求記録!$X$6:$X$3005,O$5)=0,"",SUMIFS(請求記録!$AC$6:$AC$3005,請求記録!$B$6:$B$3005,$A94,請求記録!$X$6:$X$3005,O$5))))</f>
        <v/>
      </c>
      <c r="P94" s="19">
        <f>IF($A94="","",IF(COUNTIFS(請求記録!$B$6:$B$3005,$A94,請求記録!$X$6:$X$3005,P$5,請求記録!$AD$6:$AD$3005,"保留中")&gt;0,"保留",IF(COUNTIFS(請求記録!$B$6:$B$3005,$A94,請求記録!$X$6:$X$3005,P$5)=0,"",SUMIFS(請求記録!$AC$6:$AC$3005,請求記録!$B$6:$B$3005,$A94,請求記録!$X$6:$X$3005,P$5))))</f>
        <v/>
      </c>
      <c r="Q94" s="19">
        <f>IF($A94="","",IF(COUNTIFS(請求記録!$B$6:$B$3005,$A94,請求記録!$X$6:$X$3005,Q$5,請求記録!$AD$6:$AD$3005,"保留中")&gt;0,"保留",IF(COUNTIFS(請求記録!$B$6:$B$3005,$A94,請求記録!$X$6:$X$3005,Q$5)=0,"",SUMIFS(請求記録!$AC$6:$AC$3005,請求記録!$B$6:$B$3005,$A94,請求記録!$X$6:$X$3005,Q$5))))</f>
        <v/>
      </c>
      <c r="R94" s="19">
        <f>IF($A94="","",IF(COUNTIFS(請求記録!$B$6:$B$3005,$A94,請求記録!$X$6:$X$3005,R$5,請求記録!$AD$6:$AD$3005,"保留中")&gt;0,"保留",IF(COUNTIFS(請求記録!$B$6:$B$3005,$A94,請求記録!$X$6:$X$3005,R$5)=0,"",SUMIFS(請求記録!$AC$6:$AC$3005,請求記録!$B$6:$B$3005,$A94,請求記録!$X$6:$X$3005,R$5))))</f>
        <v/>
      </c>
      <c r="S94" s="19">
        <f>IF($A94="","",IF(COUNTIFS(請求記録!$B$6:$B$3005,$A94,請求記録!$X$6:$X$3005,S$5,請求記録!$AD$6:$AD$3005,"保留中")&gt;0,"保留",IF(COUNTIFS(請求記録!$B$6:$B$3005,$A94,請求記録!$X$6:$X$3005,S$5)=0,"",SUMIFS(請求記録!$AC$6:$AC$3005,請求記録!$B$6:$B$3005,$A94,請求記録!$X$6:$X$3005,S$5))))</f>
        <v/>
      </c>
      <c r="T94" s="19">
        <f>IF($A94="","",IF(COUNTIFS(請求記録!$B$6:$B$3005,$A94,請求記録!$X$6:$X$3005,T$5,請求記録!$AD$6:$AD$3005,"保留中")&gt;0,"保留",IF(COUNTIFS(請求記録!$B$6:$B$3005,$A94,請求記録!$X$6:$X$3005,T$5)=0,"",SUMIFS(請求記録!$AC$6:$AC$3005,請求記録!$B$6:$B$3005,$A94,請求記録!$X$6:$X$3005,T$5))))</f>
        <v/>
      </c>
      <c r="U94" s="19">
        <f>IF($A94="","",IF(COUNTIFS(請求記録!$B$6:$B$3005,$A94,請求記録!$X$6:$X$3005,U$5,請求記録!$AD$6:$AD$3005,"保留中")&gt;0,"保留",IF(COUNTIFS(請求記録!$B$6:$B$3005,$A94,請求記録!$X$6:$X$3005,U$5)=0,"",SUMIFS(請求記録!$AC$6:$AC$3005,請求記録!$B$6:$B$3005,$A94,請求記録!$X$6:$X$3005,U$5))))</f>
        <v/>
      </c>
      <c r="V94" s="19">
        <f>IF($A94="","",IF(COUNTIFS(請求記録!$B$6:$B$3005,$A94,請求記録!$X$6:$X$3005,V$5,請求記録!$AD$6:$AD$3005,"保留中")&gt;0,"保留",IF(COUNTIFS(請求記録!$B$6:$B$3005,$A94,請求記録!$X$6:$X$3005,V$5)=0,"",SUMIFS(請求記録!$AC$6:$AC$3005,請求記録!$B$6:$B$3005,$A94,請求記録!$X$6:$X$3005,V$5))))</f>
        <v/>
      </c>
      <c r="W94" s="19">
        <f>IF($A94="","",IF(COUNTIFS(請求記録!$B$6:$B$3005,$A94,請求記録!$X$6:$X$3005,W$5,請求記録!$AD$6:$AD$3005,"保留中")&gt;0,"保留",IF(COUNTIFS(請求記録!$B$6:$B$3005,$A94,請求記録!$X$6:$X$3005,W$5)=0,"",SUMIFS(請求記録!$AC$6:$AC$3005,請求記録!$B$6:$B$3005,$A94,請求記録!$X$6:$X$3005,W$5))))</f>
        <v/>
      </c>
      <c r="X94" s="19">
        <f>IF($A94="","",IF(COUNTIFS(請求記録!$B$6:$B$3005,$A94,請求記録!$X$6:$X$3005,X$5,請求記録!$AD$6:$AD$3005,"保留中")&gt;0,"保留",IF(COUNTIFS(請求記録!$B$6:$B$3005,$A94,請求記録!$X$6:$X$3005,X$5)=0,"",SUMIFS(請求記録!$AC$6:$AC$3005,請求記録!$B$6:$B$3005,$A94,請求記録!$X$6:$X$3005,X$5))))</f>
        <v/>
      </c>
      <c r="Y94" s="19">
        <f>IF($A94="","",IF(COUNTIFS(請求記録!$B$6:$B$3005,$A94,請求記録!$X$6:$X$3005,Y$5,請求記録!$AD$6:$AD$3005,"保留中")&gt;0,"保留",IF(COUNTIFS(請求記録!$B$6:$B$3005,$A94,請求記録!$X$6:$X$3005,Y$5)=0,"",SUMIFS(請求記録!$AC$6:$AC$3005,請求記録!$B$6:$B$3005,$A94,請求記録!$X$6:$X$3005,Y$5))))</f>
        <v/>
      </c>
      <c r="Z94" s="19">
        <f>IF($A94="","",IF(COUNTIFS(請求記録!$B$6:$B$3005,$A94,請求記録!$X$6:$X$3005,Z$5,請求記録!$AD$6:$AD$3005,"保留中")&gt;0,"保留",IF(COUNTIFS(請求記録!$B$6:$B$3005,$A94,請求記録!$X$6:$X$3005,Z$5)=0,"",SUMIFS(請求記録!$AC$6:$AC$3005,請求記録!$B$6:$B$3005,$A94,請求記録!$X$6:$X$3005,Z$5))))</f>
        <v/>
      </c>
      <c r="AA94" s="19">
        <f>IF($A94="","",IF(COUNTIFS(請求記録!$B$6:$B$3005,$A94,請求記録!$X$6:$X$3005,AA$5,請求記録!$AD$6:$AD$3005,"保留中")&gt;0,"保留",IF(COUNTIFS(請求記録!$B$6:$B$3005,$A94,請求記録!$X$6:$X$3005,AA$5)=0,"",SUMIFS(請求記録!$AC$6:$AC$3005,請求記録!$B$6:$B$3005,$A94,請求記録!$X$6:$X$3005,AA$5))))</f>
        <v/>
      </c>
      <c r="AB94">
        <f>IF(職員マスタ!P94="保留中",職員マスタ!M94,"")</f>
        <v/>
      </c>
    </row>
    <row r="95">
      <c r="A95">
        <f>IF(職員マスタ!A95="","",職員マスタ!A95)</f>
        <v/>
      </c>
      <c r="B95">
        <f>IF($A95="","",職員マスタ!B95)</f>
        <v/>
      </c>
      <c r="C95">
        <f>IF($A95="","",職員マスタ!C95)</f>
        <v/>
      </c>
      <c r="D95" s="19">
        <f>IF($A95="","",IF(COUNTIFS(請求記録!$B$6:$B$3005,$A95,請求記録!$X$6:$X$3005,D$5,請求記録!$AD$6:$AD$3005,"保留中")&gt;0,"保留",IF(COUNTIFS(請求記録!$B$6:$B$3005,$A95,請求記録!$X$6:$X$3005,D$5)=0,"",SUMIFS(請求記録!$AC$6:$AC$3005,請求記録!$B$6:$B$3005,$A95,請求記録!$X$6:$X$3005,D$5))))</f>
        <v/>
      </c>
      <c r="E95" s="19">
        <f>IF($A95="","",IF(COUNTIFS(請求記録!$B$6:$B$3005,$A95,請求記録!$X$6:$X$3005,E$5,請求記録!$AD$6:$AD$3005,"保留中")&gt;0,"保留",IF(COUNTIFS(請求記録!$B$6:$B$3005,$A95,請求記録!$X$6:$X$3005,E$5)=0,"",SUMIFS(請求記録!$AC$6:$AC$3005,請求記録!$B$6:$B$3005,$A95,請求記録!$X$6:$X$3005,E$5))))</f>
        <v/>
      </c>
      <c r="F95" s="19">
        <f>IF($A95="","",IF(COUNTIFS(請求記録!$B$6:$B$3005,$A95,請求記録!$X$6:$X$3005,F$5,請求記録!$AD$6:$AD$3005,"保留中")&gt;0,"保留",IF(COUNTIFS(請求記録!$B$6:$B$3005,$A95,請求記録!$X$6:$X$3005,F$5)=0,"",SUMIFS(請求記録!$AC$6:$AC$3005,請求記録!$B$6:$B$3005,$A95,請求記録!$X$6:$X$3005,F$5))))</f>
        <v/>
      </c>
      <c r="G95" s="19">
        <f>IF($A95="","",IF(COUNTIFS(請求記録!$B$6:$B$3005,$A95,請求記録!$X$6:$X$3005,G$5,請求記録!$AD$6:$AD$3005,"保留中")&gt;0,"保留",IF(COUNTIFS(請求記録!$B$6:$B$3005,$A95,請求記録!$X$6:$X$3005,G$5)=0,"",SUMIFS(請求記録!$AC$6:$AC$3005,請求記録!$B$6:$B$3005,$A95,請求記録!$X$6:$X$3005,G$5))))</f>
        <v/>
      </c>
      <c r="H95" s="19">
        <f>IF($A95="","",IF(COUNTIFS(請求記録!$B$6:$B$3005,$A95,請求記録!$X$6:$X$3005,H$5,請求記録!$AD$6:$AD$3005,"保留中")&gt;0,"保留",IF(COUNTIFS(請求記録!$B$6:$B$3005,$A95,請求記録!$X$6:$X$3005,H$5)=0,"",SUMIFS(請求記録!$AC$6:$AC$3005,請求記録!$B$6:$B$3005,$A95,請求記録!$X$6:$X$3005,H$5))))</f>
        <v/>
      </c>
      <c r="I95" s="19">
        <f>IF($A95="","",IF(COUNTIFS(請求記録!$B$6:$B$3005,$A95,請求記録!$X$6:$X$3005,I$5,請求記録!$AD$6:$AD$3005,"保留中")&gt;0,"保留",IF(COUNTIFS(請求記録!$B$6:$B$3005,$A95,請求記録!$X$6:$X$3005,I$5)=0,"",SUMIFS(請求記録!$AC$6:$AC$3005,請求記録!$B$6:$B$3005,$A95,請求記録!$X$6:$X$3005,I$5))))</f>
        <v/>
      </c>
      <c r="J95" s="19">
        <f>IF($A95="","",IF(COUNTIFS(請求記録!$B$6:$B$3005,$A95,請求記録!$X$6:$X$3005,J$5,請求記録!$AD$6:$AD$3005,"保留中")&gt;0,"保留",IF(COUNTIFS(請求記録!$B$6:$B$3005,$A95,請求記録!$X$6:$X$3005,J$5)=0,"",SUMIFS(請求記録!$AC$6:$AC$3005,請求記録!$B$6:$B$3005,$A95,請求記録!$X$6:$X$3005,J$5))))</f>
        <v/>
      </c>
      <c r="K95" s="19">
        <f>IF($A95="","",IF(COUNTIFS(請求記録!$B$6:$B$3005,$A95,請求記録!$X$6:$X$3005,K$5,請求記録!$AD$6:$AD$3005,"保留中")&gt;0,"保留",IF(COUNTIFS(請求記録!$B$6:$B$3005,$A95,請求記録!$X$6:$X$3005,K$5)=0,"",SUMIFS(請求記録!$AC$6:$AC$3005,請求記録!$B$6:$B$3005,$A95,請求記録!$X$6:$X$3005,K$5))))</f>
        <v/>
      </c>
      <c r="L95" s="19">
        <f>IF($A95="","",IF(COUNTIFS(請求記録!$B$6:$B$3005,$A95,請求記録!$X$6:$X$3005,L$5,請求記録!$AD$6:$AD$3005,"保留中")&gt;0,"保留",IF(COUNTIFS(請求記録!$B$6:$B$3005,$A95,請求記録!$X$6:$X$3005,L$5)=0,"",SUMIFS(請求記録!$AC$6:$AC$3005,請求記録!$B$6:$B$3005,$A95,請求記録!$X$6:$X$3005,L$5))))</f>
        <v/>
      </c>
      <c r="M95" s="19">
        <f>IF($A95="","",IF(COUNTIFS(請求記録!$B$6:$B$3005,$A95,請求記録!$X$6:$X$3005,M$5,請求記録!$AD$6:$AD$3005,"保留中")&gt;0,"保留",IF(COUNTIFS(請求記録!$B$6:$B$3005,$A95,請求記録!$X$6:$X$3005,M$5)=0,"",SUMIFS(請求記録!$AC$6:$AC$3005,請求記録!$B$6:$B$3005,$A95,請求記録!$X$6:$X$3005,M$5))))</f>
        <v/>
      </c>
      <c r="N95" s="19">
        <f>IF($A95="","",IF(COUNTIFS(請求記録!$B$6:$B$3005,$A95,請求記録!$X$6:$X$3005,N$5,請求記録!$AD$6:$AD$3005,"保留中")&gt;0,"保留",IF(COUNTIFS(請求記録!$B$6:$B$3005,$A95,請求記録!$X$6:$X$3005,N$5)=0,"",SUMIFS(請求記録!$AC$6:$AC$3005,請求記録!$B$6:$B$3005,$A95,請求記録!$X$6:$X$3005,N$5))))</f>
        <v/>
      </c>
      <c r="O95" s="19">
        <f>IF($A95="","",IF(COUNTIFS(請求記録!$B$6:$B$3005,$A95,請求記録!$X$6:$X$3005,O$5,請求記録!$AD$6:$AD$3005,"保留中")&gt;0,"保留",IF(COUNTIFS(請求記録!$B$6:$B$3005,$A95,請求記録!$X$6:$X$3005,O$5)=0,"",SUMIFS(請求記録!$AC$6:$AC$3005,請求記録!$B$6:$B$3005,$A95,請求記録!$X$6:$X$3005,O$5))))</f>
        <v/>
      </c>
      <c r="P95" s="19">
        <f>IF($A95="","",IF(COUNTIFS(請求記録!$B$6:$B$3005,$A95,請求記録!$X$6:$X$3005,P$5,請求記録!$AD$6:$AD$3005,"保留中")&gt;0,"保留",IF(COUNTIFS(請求記録!$B$6:$B$3005,$A95,請求記録!$X$6:$X$3005,P$5)=0,"",SUMIFS(請求記録!$AC$6:$AC$3005,請求記録!$B$6:$B$3005,$A95,請求記録!$X$6:$X$3005,P$5))))</f>
        <v/>
      </c>
      <c r="Q95" s="19">
        <f>IF($A95="","",IF(COUNTIFS(請求記録!$B$6:$B$3005,$A95,請求記録!$X$6:$X$3005,Q$5,請求記録!$AD$6:$AD$3005,"保留中")&gt;0,"保留",IF(COUNTIFS(請求記録!$B$6:$B$3005,$A95,請求記録!$X$6:$X$3005,Q$5)=0,"",SUMIFS(請求記録!$AC$6:$AC$3005,請求記録!$B$6:$B$3005,$A95,請求記録!$X$6:$X$3005,Q$5))))</f>
        <v/>
      </c>
      <c r="R95" s="19">
        <f>IF($A95="","",IF(COUNTIFS(請求記録!$B$6:$B$3005,$A95,請求記録!$X$6:$X$3005,R$5,請求記録!$AD$6:$AD$3005,"保留中")&gt;0,"保留",IF(COUNTIFS(請求記録!$B$6:$B$3005,$A95,請求記録!$X$6:$X$3005,R$5)=0,"",SUMIFS(請求記録!$AC$6:$AC$3005,請求記録!$B$6:$B$3005,$A95,請求記録!$X$6:$X$3005,R$5))))</f>
        <v/>
      </c>
      <c r="S95" s="19">
        <f>IF($A95="","",IF(COUNTIFS(請求記録!$B$6:$B$3005,$A95,請求記録!$X$6:$X$3005,S$5,請求記録!$AD$6:$AD$3005,"保留中")&gt;0,"保留",IF(COUNTIFS(請求記録!$B$6:$B$3005,$A95,請求記録!$X$6:$X$3005,S$5)=0,"",SUMIFS(請求記録!$AC$6:$AC$3005,請求記録!$B$6:$B$3005,$A95,請求記録!$X$6:$X$3005,S$5))))</f>
        <v/>
      </c>
      <c r="T95" s="19">
        <f>IF($A95="","",IF(COUNTIFS(請求記録!$B$6:$B$3005,$A95,請求記録!$X$6:$X$3005,T$5,請求記録!$AD$6:$AD$3005,"保留中")&gt;0,"保留",IF(COUNTIFS(請求記録!$B$6:$B$3005,$A95,請求記録!$X$6:$X$3005,T$5)=0,"",SUMIFS(請求記録!$AC$6:$AC$3005,請求記録!$B$6:$B$3005,$A95,請求記録!$X$6:$X$3005,T$5))))</f>
        <v/>
      </c>
      <c r="U95" s="19">
        <f>IF($A95="","",IF(COUNTIFS(請求記録!$B$6:$B$3005,$A95,請求記録!$X$6:$X$3005,U$5,請求記録!$AD$6:$AD$3005,"保留中")&gt;0,"保留",IF(COUNTIFS(請求記録!$B$6:$B$3005,$A95,請求記録!$X$6:$X$3005,U$5)=0,"",SUMIFS(請求記録!$AC$6:$AC$3005,請求記録!$B$6:$B$3005,$A95,請求記録!$X$6:$X$3005,U$5))))</f>
        <v/>
      </c>
      <c r="V95" s="19">
        <f>IF($A95="","",IF(COUNTIFS(請求記録!$B$6:$B$3005,$A95,請求記録!$X$6:$X$3005,V$5,請求記録!$AD$6:$AD$3005,"保留中")&gt;0,"保留",IF(COUNTIFS(請求記録!$B$6:$B$3005,$A95,請求記録!$X$6:$X$3005,V$5)=0,"",SUMIFS(請求記録!$AC$6:$AC$3005,請求記録!$B$6:$B$3005,$A95,請求記録!$X$6:$X$3005,V$5))))</f>
        <v/>
      </c>
      <c r="W95" s="19">
        <f>IF($A95="","",IF(COUNTIFS(請求記録!$B$6:$B$3005,$A95,請求記録!$X$6:$X$3005,W$5,請求記録!$AD$6:$AD$3005,"保留中")&gt;0,"保留",IF(COUNTIFS(請求記録!$B$6:$B$3005,$A95,請求記録!$X$6:$X$3005,W$5)=0,"",SUMIFS(請求記録!$AC$6:$AC$3005,請求記録!$B$6:$B$3005,$A95,請求記録!$X$6:$X$3005,W$5))))</f>
        <v/>
      </c>
      <c r="X95" s="19">
        <f>IF($A95="","",IF(COUNTIFS(請求記録!$B$6:$B$3005,$A95,請求記録!$X$6:$X$3005,X$5,請求記録!$AD$6:$AD$3005,"保留中")&gt;0,"保留",IF(COUNTIFS(請求記録!$B$6:$B$3005,$A95,請求記録!$X$6:$X$3005,X$5)=0,"",SUMIFS(請求記録!$AC$6:$AC$3005,請求記録!$B$6:$B$3005,$A95,請求記録!$X$6:$X$3005,X$5))))</f>
        <v/>
      </c>
      <c r="Y95" s="19">
        <f>IF($A95="","",IF(COUNTIFS(請求記録!$B$6:$B$3005,$A95,請求記録!$X$6:$X$3005,Y$5,請求記録!$AD$6:$AD$3005,"保留中")&gt;0,"保留",IF(COUNTIFS(請求記録!$B$6:$B$3005,$A95,請求記録!$X$6:$X$3005,Y$5)=0,"",SUMIFS(請求記録!$AC$6:$AC$3005,請求記録!$B$6:$B$3005,$A95,請求記録!$X$6:$X$3005,Y$5))))</f>
        <v/>
      </c>
      <c r="Z95" s="19">
        <f>IF($A95="","",IF(COUNTIFS(請求記録!$B$6:$B$3005,$A95,請求記録!$X$6:$X$3005,Z$5,請求記録!$AD$6:$AD$3005,"保留中")&gt;0,"保留",IF(COUNTIFS(請求記録!$B$6:$B$3005,$A95,請求記録!$X$6:$X$3005,Z$5)=0,"",SUMIFS(請求記録!$AC$6:$AC$3005,請求記録!$B$6:$B$3005,$A95,請求記録!$X$6:$X$3005,Z$5))))</f>
        <v/>
      </c>
      <c r="AA95" s="19">
        <f>IF($A95="","",IF(COUNTIFS(請求記録!$B$6:$B$3005,$A95,請求記録!$X$6:$X$3005,AA$5,請求記録!$AD$6:$AD$3005,"保留中")&gt;0,"保留",IF(COUNTIFS(請求記録!$B$6:$B$3005,$A95,請求記録!$X$6:$X$3005,AA$5)=0,"",SUMIFS(請求記録!$AC$6:$AC$3005,請求記録!$B$6:$B$3005,$A95,請求記録!$X$6:$X$3005,AA$5))))</f>
        <v/>
      </c>
      <c r="AB95">
        <f>IF(職員マスタ!P95="保留中",職員マスタ!M95,"")</f>
        <v/>
      </c>
    </row>
    <row r="96">
      <c r="A96">
        <f>IF(職員マスタ!A96="","",職員マスタ!A96)</f>
        <v/>
      </c>
      <c r="B96">
        <f>IF($A96="","",職員マスタ!B96)</f>
        <v/>
      </c>
      <c r="C96">
        <f>IF($A96="","",職員マスタ!C96)</f>
        <v/>
      </c>
      <c r="D96" s="19">
        <f>IF($A96="","",IF(COUNTIFS(請求記録!$B$6:$B$3005,$A96,請求記録!$X$6:$X$3005,D$5,請求記録!$AD$6:$AD$3005,"保留中")&gt;0,"保留",IF(COUNTIFS(請求記録!$B$6:$B$3005,$A96,請求記録!$X$6:$X$3005,D$5)=0,"",SUMIFS(請求記録!$AC$6:$AC$3005,請求記録!$B$6:$B$3005,$A96,請求記録!$X$6:$X$3005,D$5))))</f>
        <v/>
      </c>
      <c r="E96" s="19">
        <f>IF($A96="","",IF(COUNTIFS(請求記録!$B$6:$B$3005,$A96,請求記録!$X$6:$X$3005,E$5,請求記録!$AD$6:$AD$3005,"保留中")&gt;0,"保留",IF(COUNTIFS(請求記録!$B$6:$B$3005,$A96,請求記録!$X$6:$X$3005,E$5)=0,"",SUMIFS(請求記録!$AC$6:$AC$3005,請求記録!$B$6:$B$3005,$A96,請求記録!$X$6:$X$3005,E$5))))</f>
        <v/>
      </c>
      <c r="F96" s="19">
        <f>IF($A96="","",IF(COUNTIFS(請求記録!$B$6:$B$3005,$A96,請求記録!$X$6:$X$3005,F$5,請求記録!$AD$6:$AD$3005,"保留中")&gt;0,"保留",IF(COUNTIFS(請求記録!$B$6:$B$3005,$A96,請求記録!$X$6:$X$3005,F$5)=0,"",SUMIFS(請求記録!$AC$6:$AC$3005,請求記録!$B$6:$B$3005,$A96,請求記録!$X$6:$X$3005,F$5))))</f>
        <v/>
      </c>
      <c r="G96" s="19">
        <f>IF($A96="","",IF(COUNTIFS(請求記録!$B$6:$B$3005,$A96,請求記録!$X$6:$X$3005,G$5,請求記録!$AD$6:$AD$3005,"保留中")&gt;0,"保留",IF(COUNTIFS(請求記録!$B$6:$B$3005,$A96,請求記録!$X$6:$X$3005,G$5)=0,"",SUMIFS(請求記録!$AC$6:$AC$3005,請求記録!$B$6:$B$3005,$A96,請求記録!$X$6:$X$3005,G$5))))</f>
        <v/>
      </c>
      <c r="H96" s="19">
        <f>IF($A96="","",IF(COUNTIFS(請求記録!$B$6:$B$3005,$A96,請求記録!$X$6:$X$3005,H$5,請求記録!$AD$6:$AD$3005,"保留中")&gt;0,"保留",IF(COUNTIFS(請求記録!$B$6:$B$3005,$A96,請求記録!$X$6:$X$3005,H$5)=0,"",SUMIFS(請求記録!$AC$6:$AC$3005,請求記録!$B$6:$B$3005,$A96,請求記録!$X$6:$X$3005,H$5))))</f>
        <v/>
      </c>
      <c r="I96" s="19">
        <f>IF($A96="","",IF(COUNTIFS(請求記録!$B$6:$B$3005,$A96,請求記録!$X$6:$X$3005,I$5,請求記録!$AD$6:$AD$3005,"保留中")&gt;0,"保留",IF(COUNTIFS(請求記録!$B$6:$B$3005,$A96,請求記録!$X$6:$X$3005,I$5)=0,"",SUMIFS(請求記録!$AC$6:$AC$3005,請求記録!$B$6:$B$3005,$A96,請求記録!$X$6:$X$3005,I$5))))</f>
        <v/>
      </c>
      <c r="J96" s="19">
        <f>IF($A96="","",IF(COUNTIFS(請求記録!$B$6:$B$3005,$A96,請求記録!$X$6:$X$3005,J$5,請求記録!$AD$6:$AD$3005,"保留中")&gt;0,"保留",IF(COUNTIFS(請求記録!$B$6:$B$3005,$A96,請求記録!$X$6:$X$3005,J$5)=0,"",SUMIFS(請求記録!$AC$6:$AC$3005,請求記録!$B$6:$B$3005,$A96,請求記録!$X$6:$X$3005,J$5))))</f>
        <v/>
      </c>
      <c r="K96" s="19">
        <f>IF($A96="","",IF(COUNTIFS(請求記録!$B$6:$B$3005,$A96,請求記録!$X$6:$X$3005,K$5,請求記録!$AD$6:$AD$3005,"保留中")&gt;0,"保留",IF(COUNTIFS(請求記録!$B$6:$B$3005,$A96,請求記録!$X$6:$X$3005,K$5)=0,"",SUMIFS(請求記録!$AC$6:$AC$3005,請求記録!$B$6:$B$3005,$A96,請求記録!$X$6:$X$3005,K$5))))</f>
        <v/>
      </c>
      <c r="L96" s="19">
        <f>IF($A96="","",IF(COUNTIFS(請求記録!$B$6:$B$3005,$A96,請求記録!$X$6:$X$3005,L$5,請求記録!$AD$6:$AD$3005,"保留中")&gt;0,"保留",IF(COUNTIFS(請求記録!$B$6:$B$3005,$A96,請求記録!$X$6:$X$3005,L$5)=0,"",SUMIFS(請求記録!$AC$6:$AC$3005,請求記録!$B$6:$B$3005,$A96,請求記録!$X$6:$X$3005,L$5))))</f>
        <v/>
      </c>
      <c r="M96" s="19">
        <f>IF($A96="","",IF(COUNTIFS(請求記録!$B$6:$B$3005,$A96,請求記録!$X$6:$X$3005,M$5,請求記録!$AD$6:$AD$3005,"保留中")&gt;0,"保留",IF(COUNTIFS(請求記録!$B$6:$B$3005,$A96,請求記録!$X$6:$X$3005,M$5)=0,"",SUMIFS(請求記録!$AC$6:$AC$3005,請求記録!$B$6:$B$3005,$A96,請求記録!$X$6:$X$3005,M$5))))</f>
        <v/>
      </c>
      <c r="N96" s="19">
        <f>IF($A96="","",IF(COUNTIFS(請求記録!$B$6:$B$3005,$A96,請求記録!$X$6:$X$3005,N$5,請求記録!$AD$6:$AD$3005,"保留中")&gt;0,"保留",IF(COUNTIFS(請求記録!$B$6:$B$3005,$A96,請求記録!$X$6:$X$3005,N$5)=0,"",SUMIFS(請求記録!$AC$6:$AC$3005,請求記録!$B$6:$B$3005,$A96,請求記録!$X$6:$X$3005,N$5))))</f>
        <v/>
      </c>
      <c r="O96" s="19">
        <f>IF($A96="","",IF(COUNTIFS(請求記録!$B$6:$B$3005,$A96,請求記録!$X$6:$X$3005,O$5,請求記録!$AD$6:$AD$3005,"保留中")&gt;0,"保留",IF(COUNTIFS(請求記録!$B$6:$B$3005,$A96,請求記録!$X$6:$X$3005,O$5)=0,"",SUMIFS(請求記録!$AC$6:$AC$3005,請求記録!$B$6:$B$3005,$A96,請求記録!$X$6:$X$3005,O$5))))</f>
        <v/>
      </c>
      <c r="P96" s="19">
        <f>IF($A96="","",IF(COUNTIFS(請求記録!$B$6:$B$3005,$A96,請求記録!$X$6:$X$3005,P$5,請求記録!$AD$6:$AD$3005,"保留中")&gt;0,"保留",IF(COUNTIFS(請求記録!$B$6:$B$3005,$A96,請求記録!$X$6:$X$3005,P$5)=0,"",SUMIFS(請求記録!$AC$6:$AC$3005,請求記録!$B$6:$B$3005,$A96,請求記録!$X$6:$X$3005,P$5))))</f>
        <v/>
      </c>
      <c r="Q96" s="19">
        <f>IF($A96="","",IF(COUNTIFS(請求記録!$B$6:$B$3005,$A96,請求記録!$X$6:$X$3005,Q$5,請求記録!$AD$6:$AD$3005,"保留中")&gt;0,"保留",IF(COUNTIFS(請求記録!$B$6:$B$3005,$A96,請求記録!$X$6:$X$3005,Q$5)=0,"",SUMIFS(請求記録!$AC$6:$AC$3005,請求記録!$B$6:$B$3005,$A96,請求記録!$X$6:$X$3005,Q$5))))</f>
        <v/>
      </c>
      <c r="R96" s="19">
        <f>IF($A96="","",IF(COUNTIFS(請求記録!$B$6:$B$3005,$A96,請求記録!$X$6:$X$3005,R$5,請求記録!$AD$6:$AD$3005,"保留中")&gt;0,"保留",IF(COUNTIFS(請求記録!$B$6:$B$3005,$A96,請求記録!$X$6:$X$3005,R$5)=0,"",SUMIFS(請求記録!$AC$6:$AC$3005,請求記録!$B$6:$B$3005,$A96,請求記録!$X$6:$X$3005,R$5))))</f>
        <v/>
      </c>
      <c r="S96" s="19">
        <f>IF($A96="","",IF(COUNTIFS(請求記録!$B$6:$B$3005,$A96,請求記録!$X$6:$X$3005,S$5,請求記録!$AD$6:$AD$3005,"保留中")&gt;0,"保留",IF(COUNTIFS(請求記録!$B$6:$B$3005,$A96,請求記録!$X$6:$X$3005,S$5)=0,"",SUMIFS(請求記録!$AC$6:$AC$3005,請求記録!$B$6:$B$3005,$A96,請求記録!$X$6:$X$3005,S$5))))</f>
        <v/>
      </c>
      <c r="T96" s="19">
        <f>IF($A96="","",IF(COUNTIFS(請求記録!$B$6:$B$3005,$A96,請求記録!$X$6:$X$3005,T$5,請求記録!$AD$6:$AD$3005,"保留中")&gt;0,"保留",IF(COUNTIFS(請求記録!$B$6:$B$3005,$A96,請求記録!$X$6:$X$3005,T$5)=0,"",SUMIFS(請求記録!$AC$6:$AC$3005,請求記録!$B$6:$B$3005,$A96,請求記録!$X$6:$X$3005,T$5))))</f>
        <v/>
      </c>
      <c r="U96" s="19">
        <f>IF($A96="","",IF(COUNTIFS(請求記録!$B$6:$B$3005,$A96,請求記録!$X$6:$X$3005,U$5,請求記録!$AD$6:$AD$3005,"保留中")&gt;0,"保留",IF(COUNTIFS(請求記録!$B$6:$B$3005,$A96,請求記録!$X$6:$X$3005,U$5)=0,"",SUMIFS(請求記録!$AC$6:$AC$3005,請求記録!$B$6:$B$3005,$A96,請求記録!$X$6:$X$3005,U$5))))</f>
        <v/>
      </c>
      <c r="V96" s="19">
        <f>IF($A96="","",IF(COUNTIFS(請求記録!$B$6:$B$3005,$A96,請求記録!$X$6:$X$3005,V$5,請求記録!$AD$6:$AD$3005,"保留中")&gt;0,"保留",IF(COUNTIFS(請求記録!$B$6:$B$3005,$A96,請求記録!$X$6:$X$3005,V$5)=0,"",SUMIFS(請求記録!$AC$6:$AC$3005,請求記録!$B$6:$B$3005,$A96,請求記録!$X$6:$X$3005,V$5))))</f>
        <v/>
      </c>
      <c r="W96" s="19">
        <f>IF($A96="","",IF(COUNTIFS(請求記録!$B$6:$B$3005,$A96,請求記録!$X$6:$X$3005,W$5,請求記録!$AD$6:$AD$3005,"保留中")&gt;0,"保留",IF(COUNTIFS(請求記録!$B$6:$B$3005,$A96,請求記録!$X$6:$X$3005,W$5)=0,"",SUMIFS(請求記録!$AC$6:$AC$3005,請求記録!$B$6:$B$3005,$A96,請求記録!$X$6:$X$3005,W$5))))</f>
        <v/>
      </c>
      <c r="X96" s="19">
        <f>IF($A96="","",IF(COUNTIFS(請求記録!$B$6:$B$3005,$A96,請求記録!$X$6:$X$3005,X$5,請求記録!$AD$6:$AD$3005,"保留中")&gt;0,"保留",IF(COUNTIFS(請求記録!$B$6:$B$3005,$A96,請求記録!$X$6:$X$3005,X$5)=0,"",SUMIFS(請求記録!$AC$6:$AC$3005,請求記録!$B$6:$B$3005,$A96,請求記録!$X$6:$X$3005,X$5))))</f>
        <v/>
      </c>
      <c r="Y96" s="19">
        <f>IF($A96="","",IF(COUNTIFS(請求記録!$B$6:$B$3005,$A96,請求記録!$X$6:$X$3005,Y$5,請求記録!$AD$6:$AD$3005,"保留中")&gt;0,"保留",IF(COUNTIFS(請求記録!$B$6:$B$3005,$A96,請求記録!$X$6:$X$3005,Y$5)=0,"",SUMIFS(請求記録!$AC$6:$AC$3005,請求記録!$B$6:$B$3005,$A96,請求記録!$X$6:$X$3005,Y$5))))</f>
        <v/>
      </c>
      <c r="Z96" s="19">
        <f>IF($A96="","",IF(COUNTIFS(請求記録!$B$6:$B$3005,$A96,請求記録!$X$6:$X$3005,Z$5,請求記録!$AD$6:$AD$3005,"保留中")&gt;0,"保留",IF(COUNTIFS(請求記録!$B$6:$B$3005,$A96,請求記録!$X$6:$X$3005,Z$5)=0,"",SUMIFS(請求記録!$AC$6:$AC$3005,請求記録!$B$6:$B$3005,$A96,請求記録!$X$6:$X$3005,Z$5))))</f>
        <v/>
      </c>
      <c r="AA96" s="19">
        <f>IF($A96="","",IF(COUNTIFS(請求記録!$B$6:$B$3005,$A96,請求記録!$X$6:$X$3005,AA$5,請求記録!$AD$6:$AD$3005,"保留中")&gt;0,"保留",IF(COUNTIFS(請求記録!$B$6:$B$3005,$A96,請求記録!$X$6:$X$3005,AA$5)=0,"",SUMIFS(請求記録!$AC$6:$AC$3005,請求記録!$B$6:$B$3005,$A96,請求記録!$X$6:$X$3005,AA$5))))</f>
        <v/>
      </c>
      <c r="AB96">
        <f>IF(職員マスタ!P96="保留中",職員マスタ!M96,"")</f>
        <v/>
      </c>
    </row>
    <row r="97">
      <c r="A97">
        <f>IF(職員マスタ!A97="","",職員マスタ!A97)</f>
        <v/>
      </c>
      <c r="B97">
        <f>IF($A97="","",職員マスタ!B97)</f>
        <v/>
      </c>
      <c r="C97">
        <f>IF($A97="","",職員マスタ!C97)</f>
        <v/>
      </c>
      <c r="D97" s="19">
        <f>IF($A97="","",IF(COUNTIFS(請求記録!$B$6:$B$3005,$A97,請求記録!$X$6:$X$3005,D$5,請求記録!$AD$6:$AD$3005,"保留中")&gt;0,"保留",IF(COUNTIFS(請求記録!$B$6:$B$3005,$A97,請求記録!$X$6:$X$3005,D$5)=0,"",SUMIFS(請求記録!$AC$6:$AC$3005,請求記録!$B$6:$B$3005,$A97,請求記録!$X$6:$X$3005,D$5))))</f>
        <v/>
      </c>
      <c r="E97" s="19">
        <f>IF($A97="","",IF(COUNTIFS(請求記録!$B$6:$B$3005,$A97,請求記録!$X$6:$X$3005,E$5,請求記録!$AD$6:$AD$3005,"保留中")&gt;0,"保留",IF(COUNTIFS(請求記録!$B$6:$B$3005,$A97,請求記録!$X$6:$X$3005,E$5)=0,"",SUMIFS(請求記録!$AC$6:$AC$3005,請求記録!$B$6:$B$3005,$A97,請求記録!$X$6:$X$3005,E$5))))</f>
        <v/>
      </c>
      <c r="F97" s="19">
        <f>IF($A97="","",IF(COUNTIFS(請求記録!$B$6:$B$3005,$A97,請求記録!$X$6:$X$3005,F$5,請求記録!$AD$6:$AD$3005,"保留中")&gt;0,"保留",IF(COUNTIFS(請求記録!$B$6:$B$3005,$A97,請求記録!$X$6:$X$3005,F$5)=0,"",SUMIFS(請求記録!$AC$6:$AC$3005,請求記録!$B$6:$B$3005,$A97,請求記録!$X$6:$X$3005,F$5))))</f>
        <v/>
      </c>
      <c r="G97" s="19">
        <f>IF($A97="","",IF(COUNTIFS(請求記録!$B$6:$B$3005,$A97,請求記録!$X$6:$X$3005,G$5,請求記録!$AD$6:$AD$3005,"保留中")&gt;0,"保留",IF(COUNTIFS(請求記録!$B$6:$B$3005,$A97,請求記録!$X$6:$X$3005,G$5)=0,"",SUMIFS(請求記録!$AC$6:$AC$3005,請求記録!$B$6:$B$3005,$A97,請求記録!$X$6:$X$3005,G$5))))</f>
        <v/>
      </c>
      <c r="H97" s="19">
        <f>IF($A97="","",IF(COUNTIFS(請求記録!$B$6:$B$3005,$A97,請求記録!$X$6:$X$3005,H$5,請求記録!$AD$6:$AD$3005,"保留中")&gt;0,"保留",IF(COUNTIFS(請求記録!$B$6:$B$3005,$A97,請求記録!$X$6:$X$3005,H$5)=0,"",SUMIFS(請求記録!$AC$6:$AC$3005,請求記録!$B$6:$B$3005,$A97,請求記録!$X$6:$X$3005,H$5))))</f>
        <v/>
      </c>
      <c r="I97" s="19">
        <f>IF($A97="","",IF(COUNTIFS(請求記録!$B$6:$B$3005,$A97,請求記録!$X$6:$X$3005,I$5,請求記録!$AD$6:$AD$3005,"保留中")&gt;0,"保留",IF(COUNTIFS(請求記録!$B$6:$B$3005,$A97,請求記録!$X$6:$X$3005,I$5)=0,"",SUMIFS(請求記録!$AC$6:$AC$3005,請求記録!$B$6:$B$3005,$A97,請求記録!$X$6:$X$3005,I$5))))</f>
        <v/>
      </c>
      <c r="J97" s="19">
        <f>IF($A97="","",IF(COUNTIFS(請求記録!$B$6:$B$3005,$A97,請求記録!$X$6:$X$3005,J$5,請求記録!$AD$6:$AD$3005,"保留中")&gt;0,"保留",IF(COUNTIFS(請求記録!$B$6:$B$3005,$A97,請求記録!$X$6:$X$3005,J$5)=0,"",SUMIFS(請求記録!$AC$6:$AC$3005,請求記録!$B$6:$B$3005,$A97,請求記録!$X$6:$X$3005,J$5))))</f>
        <v/>
      </c>
      <c r="K97" s="19">
        <f>IF($A97="","",IF(COUNTIFS(請求記録!$B$6:$B$3005,$A97,請求記録!$X$6:$X$3005,K$5,請求記録!$AD$6:$AD$3005,"保留中")&gt;0,"保留",IF(COUNTIFS(請求記録!$B$6:$B$3005,$A97,請求記録!$X$6:$X$3005,K$5)=0,"",SUMIFS(請求記録!$AC$6:$AC$3005,請求記録!$B$6:$B$3005,$A97,請求記録!$X$6:$X$3005,K$5))))</f>
        <v/>
      </c>
      <c r="L97" s="19">
        <f>IF($A97="","",IF(COUNTIFS(請求記録!$B$6:$B$3005,$A97,請求記録!$X$6:$X$3005,L$5,請求記録!$AD$6:$AD$3005,"保留中")&gt;0,"保留",IF(COUNTIFS(請求記録!$B$6:$B$3005,$A97,請求記録!$X$6:$X$3005,L$5)=0,"",SUMIFS(請求記録!$AC$6:$AC$3005,請求記録!$B$6:$B$3005,$A97,請求記録!$X$6:$X$3005,L$5))))</f>
        <v/>
      </c>
      <c r="M97" s="19">
        <f>IF($A97="","",IF(COUNTIFS(請求記録!$B$6:$B$3005,$A97,請求記録!$X$6:$X$3005,M$5,請求記録!$AD$6:$AD$3005,"保留中")&gt;0,"保留",IF(COUNTIFS(請求記録!$B$6:$B$3005,$A97,請求記録!$X$6:$X$3005,M$5)=0,"",SUMIFS(請求記録!$AC$6:$AC$3005,請求記録!$B$6:$B$3005,$A97,請求記録!$X$6:$X$3005,M$5))))</f>
        <v/>
      </c>
      <c r="N97" s="19">
        <f>IF($A97="","",IF(COUNTIFS(請求記録!$B$6:$B$3005,$A97,請求記録!$X$6:$X$3005,N$5,請求記録!$AD$6:$AD$3005,"保留中")&gt;0,"保留",IF(COUNTIFS(請求記録!$B$6:$B$3005,$A97,請求記録!$X$6:$X$3005,N$5)=0,"",SUMIFS(請求記録!$AC$6:$AC$3005,請求記録!$B$6:$B$3005,$A97,請求記録!$X$6:$X$3005,N$5))))</f>
        <v/>
      </c>
      <c r="O97" s="19">
        <f>IF($A97="","",IF(COUNTIFS(請求記録!$B$6:$B$3005,$A97,請求記録!$X$6:$X$3005,O$5,請求記録!$AD$6:$AD$3005,"保留中")&gt;0,"保留",IF(COUNTIFS(請求記録!$B$6:$B$3005,$A97,請求記録!$X$6:$X$3005,O$5)=0,"",SUMIFS(請求記録!$AC$6:$AC$3005,請求記録!$B$6:$B$3005,$A97,請求記録!$X$6:$X$3005,O$5))))</f>
        <v/>
      </c>
      <c r="P97" s="19">
        <f>IF($A97="","",IF(COUNTIFS(請求記録!$B$6:$B$3005,$A97,請求記録!$X$6:$X$3005,P$5,請求記録!$AD$6:$AD$3005,"保留中")&gt;0,"保留",IF(COUNTIFS(請求記録!$B$6:$B$3005,$A97,請求記録!$X$6:$X$3005,P$5)=0,"",SUMIFS(請求記録!$AC$6:$AC$3005,請求記録!$B$6:$B$3005,$A97,請求記録!$X$6:$X$3005,P$5))))</f>
        <v/>
      </c>
      <c r="Q97" s="19">
        <f>IF($A97="","",IF(COUNTIFS(請求記録!$B$6:$B$3005,$A97,請求記録!$X$6:$X$3005,Q$5,請求記録!$AD$6:$AD$3005,"保留中")&gt;0,"保留",IF(COUNTIFS(請求記録!$B$6:$B$3005,$A97,請求記録!$X$6:$X$3005,Q$5)=0,"",SUMIFS(請求記録!$AC$6:$AC$3005,請求記録!$B$6:$B$3005,$A97,請求記録!$X$6:$X$3005,Q$5))))</f>
        <v/>
      </c>
      <c r="R97" s="19">
        <f>IF($A97="","",IF(COUNTIFS(請求記録!$B$6:$B$3005,$A97,請求記録!$X$6:$X$3005,R$5,請求記録!$AD$6:$AD$3005,"保留中")&gt;0,"保留",IF(COUNTIFS(請求記録!$B$6:$B$3005,$A97,請求記録!$X$6:$X$3005,R$5)=0,"",SUMIFS(請求記録!$AC$6:$AC$3005,請求記録!$B$6:$B$3005,$A97,請求記録!$X$6:$X$3005,R$5))))</f>
        <v/>
      </c>
      <c r="S97" s="19">
        <f>IF($A97="","",IF(COUNTIFS(請求記録!$B$6:$B$3005,$A97,請求記録!$X$6:$X$3005,S$5,請求記録!$AD$6:$AD$3005,"保留中")&gt;0,"保留",IF(COUNTIFS(請求記録!$B$6:$B$3005,$A97,請求記録!$X$6:$X$3005,S$5)=0,"",SUMIFS(請求記録!$AC$6:$AC$3005,請求記録!$B$6:$B$3005,$A97,請求記録!$X$6:$X$3005,S$5))))</f>
        <v/>
      </c>
      <c r="T97" s="19">
        <f>IF($A97="","",IF(COUNTIFS(請求記録!$B$6:$B$3005,$A97,請求記録!$X$6:$X$3005,T$5,請求記録!$AD$6:$AD$3005,"保留中")&gt;0,"保留",IF(COUNTIFS(請求記録!$B$6:$B$3005,$A97,請求記録!$X$6:$X$3005,T$5)=0,"",SUMIFS(請求記録!$AC$6:$AC$3005,請求記録!$B$6:$B$3005,$A97,請求記録!$X$6:$X$3005,T$5))))</f>
        <v/>
      </c>
      <c r="U97" s="19">
        <f>IF($A97="","",IF(COUNTIFS(請求記録!$B$6:$B$3005,$A97,請求記録!$X$6:$X$3005,U$5,請求記録!$AD$6:$AD$3005,"保留中")&gt;0,"保留",IF(COUNTIFS(請求記録!$B$6:$B$3005,$A97,請求記録!$X$6:$X$3005,U$5)=0,"",SUMIFS(請求記録!$AC$6:$AC$3005,請求記録!$B$6:$B$3005,$A97,請求記録!$X$6:$X$3005,U$5))))</f>
        <v/>
      </c>
      <c r="V97" s="19">
        <f>IF($A97="","",IF(COUNTIFS(請求記録!$B$6:$B$3005,$A97,請求記録!$X$6:$X$3005,V$5,請求記録!$AD$6:$AD$3005,"保留中")&gt;0,"保留",IF(COUNTIFS(請求記録!$B$6:$B$3005,$A97,請求記録!$X$6:$X$3005,V$5)=0,"",SUMIFS(請求記録!$AC$6:$AC$3005,請求記録!$B$6:$B$3005,$A97,請求記録!$X$6:$X$3005,V$5))))</f>
        <v/>
      </c>
      <c r="W97" s="19">
        <f>IF($A97="","",IF(COUNTIFS(請求記録!$B$6:$B$3005,$A97,請求記録!$X$6:$X$3005,W$5,請求記録!$AD$6:$AD$3005,"保留中")&gt;0,"保留",IF(COUNTIFS(請求記録!$B$6:$B$3005,$A97,請求記録!$X$6:$X$3005,W$5)=0,"",SUMIFS(請求記録!$AC$6:$AC$3005,請求記録!$B$6:$B$3005,$A97,請求記録!$X$6:$X$3005,W$5))))</f>
        <v/>
      </c>
      <c r="X97" s="19">
        <f>IF($A97="","",IF(COUNTIFS(請求記録!$B$6:$B$3005,$A97,請求記録!$X$6:$X$3005,X$5,請求記録!$AD$6:$AD$3005,"保留中")&gt;0,"保留",IF(COUNTIFS(請求記録!$B$6:$B$3005,$A97,請求記録!$X$6:$X$3005,X$5)=0,"",SUMIFS(請求記録!$AC$6:$AC$3005,請求記録!$B$6:$B$3005,$A97,請求記録!$X$6:$X$3005,X$5))))</f>
        <v/>
      </c>
      <c r="Y97" s="19">
        <f>IF($A97="","",IF(COUNTIFS(請求記録!$B$6:$B$3005,$A97,請求記録!$X$6:$X$3005,Y$5,請求記録!$AD$6:$AD$3005,"保留中")&gt;0,"保留",IF(COUNTIFS(請求記録!$B$6:$B$3005,$A97,請求記録!$X$6:$X$3005,Y$5)=0,"",SUMIFS(請求記録!$AC$6:$AC$3005,請求記録!$B$6:$B$3005,$A97,請求記録!$X$6:$X$3005,Y$5))))</f>
        <v/>
      </c>
      <c r="Z97" s="19">
        <f>IF($A97="","",IF(COUNTIFS(請求記録!$B$6:$B$3005,$A97,請求記録!$X$6:$X$3005,Z$5,請求記録!$AD$6:$AD$3005,"保留中")&gt;0,"保留",IF(COUNTIFS(請求記録!$B$6:$B$3005,$A97,請求記録!$X$6:$X$3005,Z$5)=0,"",SUMIFS(請求記録!$AC$6:$AC$3005,請求記録!$B$6:$B$3005,$A97,請求記録!$X$6:$X$3005,Z$5))))</f>
        <v/>
      </c>
      <c r="AA97" s="19">
        <f>IF($A97="","",IF(COUNTIFS(請求記録!$B$6:$B$3005,$A97,請求記録!$X$6:$X$3005,AA$5,請求記録!$AD$6:$AD$3005,"保留中")&gt;0,"保留",IF(COUNTIFS(請求記録!$B$6:$B$3005,$A97,請求記録!$X$6:$X$3005,AA$5)=0,"",SUMIFS(請求記録!$AC$6:$AC$3005,請求記録!$B$6:$B$3005,$A97,請求記録!$X$6:$X$3005,AA$5))))</f>
        <v/>
      </c>
      <c r="AB97">
        <f>IF(職員マスタ!P97="保留中",職員マスタ!M97,"")</f>
        <v/>
      </c>
    </row>
    <row r="98">
      <c r="A98">
        <f>IF(職員マスタ!A98="","",職員マスタ!A98)</f>
        <v/>
      </c>
      <c r="B98">
        <f>IF($A98="","",職員マスタ!B98)</f>
        <v/>
      </c>
      <c r="C98">
        <f>IF($A98="","",職員マスタ!C98)</f>
        <v/>
      </c>
      <c r="D98" s="19">
        <f>IF($A98="","",IF(COUNTIFS(請求記録!$B$6:$B$3005,$A98,請求記録!$X$6:$X$3005,D$5,請求記録!$AD$6:$AD$3005,"保留中")&gt;0,"保留",IF(COUNTIFS(請求記録!$B$6:$B$3005,$A98,請求記録!$X$6:$X$3005,D$5)=0,"",SUMIFS(請求記録!$AC$6:$AC$3005,請求記録!$B$6:$B$3005,$A98,請求記録!$X$6:$X$3005,D$5))))</f>
        <v/>
      </c>
      <c r="E98" s="19">
        <f>IF($A98="","",IF(COUNTIFS(請求記録!$B$6:$B$3005,$A98,請求記録!$X$6:$X$3005,E$5,請求記録!$AD$6:$AD$3005,"保留中")&gt;0,"保留",IF(COUNTIFS(請求記録!$B$6:$B$3005,$A98,請求記録!$X$6:$X$3005,E$5)=0,"",SUMIFS(請求記録!$AC$6:$AC$3005,請求記録!$B$6:$B$3005,$A98,請求記録!$X$6:$X$3005,E$5))))</f>
        <v/>
      </c>
      <c r="F98" s="19">
        <f>IF($A98="","",IF(COUNTIFS(請求記録!$B$6:$B$3005,$A98,請求記録!$X$6:$X$3005,F$5,請求記録!$AD$6:$AD$3005,"保留中")&gt;0,"保留",IF(COUNTIFS(請求記録!$B$6:$B$3005,$A98,請求記録!$X$6:$X$3005,F$5)=0,"",SUMIFS(請求記録!$AC$6:$AC$3005,請求記録!$B$6:$B$3005,$A98,請求記録!$X$6:$X$3005,F$5))))</f>
        <v/>
      </c>
      <c r="G98" s="19">
        <f>IF($A98="","",IF(COUNTIFS(請求記録!$B$6:$B$3005,$A98,請求記録!$X$6:$X$3005,G$5,請求記録!$AD$6:$AD$3005,"保留中")&gt;0,"保留",IF(COUNTIFS(請求記録!$B$6:$B$3005,$A98,請求記録!$X$6:$X$3005,G$5)=0,"",SUMIFS(請求記録!$AC$6:$AC$3005,請求記録!$B$6:$B$3005,$A98,請求記録!$X$6:$X$3005,G$5))))</f>
        <v/>
      </c>
      <c r="H98" s="19">
        <f>IF($A98="","",IF(COUNTIFS(請求記録!$B$6:$B$3005,$A98,請求記録!$X$6:$X$3005,H$5,請求記録!$AD$6:$AD$3005,"保留中")&gt;0,"保留",IF(COUNTIFS(請求記録!$B$6:$B$3005,$A98,請求記録!$X$6:$X$3005,H$5)=0,"",SUMIFS(請求記録!$AC$6:$AC$3005,請求記録!$B$6:$B$3005,$A98,請求記録!$X$6:$X$3005,H$5))))</f>
        <v/>
      </c>
      <c r="I98" s="19">
        <f>IF($A98="","",IF(COUNTIFS(請求記録!$B$6:$B$3005,$A98,請求記録!$X$6:$X$3005,I$5,請求記録!$AD$6:$AD$3005,"保留中")&gt;0,"保留",IF(COUNTIFS(請求記録!$B$6:$B$3005,$A98,請求記録!$X$6:$X$3005,I$5)=0,"",SUMIFS(請求記録!$AC$6:$AC$3005,請求記録!$B$6:$B$3005,$A98,請求記録!$X$6:$X$3005,I$5))))</f>
        <v/>
      </c>
      <c r="J98" s="19">
        <f>IF($A98="","",IF(COUNTIFS(請求記録!$B$6:$B$3005,$A98,請求記録!$X$6:$X$3005,J$5,請求記録!$AD$6:$AD$3005,"保留中")&gt;0,"保留",IF(COUNTIFS(請求記録!$B$6:$B$3005,$A98,請求記録!$X$6:$X$3005,J$5)=0,"",SUMIFS(請求記録!$AC$6:$AC$3005,請求記録!$B$6:$B$3005,$A98,請求記録!$X$6:$X$3005,J$5))))</f>
        <v/>
      </c>
      <c r="K98" s="19">
        <f>IF($A98="","",IF(COUNTIFS(請求記録!$B$6:$B$3005,$A98,請求記録!$X$6:$X$3005,K$5,請求記録!$AD$6:$AD$3005,"保留中")&gt;0,"保留",IF(COUNTIFS(請求記録!$B$6:$B$3005,$A98,請求記録!$X$6:$X$3005,K$5)=0,"",SUMIFS(請求記録!$AC$6:$AC$3005,請求記録!$B$6:$B$3005,$A98,請求記録!$X$6:$X$3005,K$5))))</f>
        <v/>
      </c>
      <c r="L98" s="19">
        <f>IF($A98="","",IF(COUNTIFS(請求記録!$B$6:$B$3005,$A98,請求記録!$X$6:$X$3005,L$5,請求記録!$AD$6:$AD$3005,"保留中")&gt;0,"保留",IF(COUNTIFS(請求記録!$B$6:$B$3005,$A98,請求記録!$X$6:$X$3005,L$5)=0,"",SUMIFS(請求記録!$AC$6:$AC$3005,請求記録!$B$6:$B$3005,$A98,請求記録!$X$6:$X$3005,L$5))))</f>
        <v/>
      </c>
      <c r="M98" s="19">
        <f>IF($A98="","",IF(COUNTIFS(請求記録!$B$6:$B$3005,$A98,請求記録!$X$6:$X$3005,M$5,請求記録!$AD$6:$AD$3005,"保留中")&gt;0,"保留",IF(COUNTIFS(請求記録!$B$6:$B$3005,$A98,請求記録!$X$6:$X$3005,M$5)=0,"",SUMIFS(請求記録!$AC$6:$AC$3005,請求記録!$B$6:$B$3005,$A98,請求記録!$X$6:$X$3005,M$5))))</f>
        <v/>
      </c>
      <c r="N98" s="19">
        <f>IF($A98="","",IF(COUNTIFS(請求記録!$B$6:$B$3005,$A98,請求記録!$X$6:$X$3005,N$5,請求記録!$AD$6:$AD$3005,"保留中")&gt;0,"保留",IF(COUNTIFS(請求記録!$B$6:$B$3005,$A98,請求記録!$X$6:$X$3005,N$5)=0,"",SUMIFS(請求記録!$AC$6:$AC$3005,請求記録!$B$6:$B$3005,$A98,請求記録!$X$6:$X$3005,N$5))))</f>
        <v/>
      </c>
      <c r="O98" s="19">
        <f>IF($A98="","",IF(COUNTIFS(請求記録!$B$6:$B$3005,$A98,請求記録!$X$6:$X$3005,O$5,請求記録!$AD$6:$AD$3005,"保留中")&gt;0,"保留",IF(COUNTIFS(請求記録!$B$6:$B$3005,$A98,請求記録!$X$6:$X$3005,O$5)=0,"",SUMIFS(請求記録!$AC$6:$AC$3005,請求記録!$B$6:$B$3005,$A98,請求記録!$X$6:$X$3005,O$5))))</f>
        <v/>
      </c>
      <c r="P98" s="19">
        <f>IF($A98="","",IF(COUNTIFS(請求記録!$B$6:$B$3005,$A98,請求記録!$X$6:$X$3005,P$5,請求記録!$AD$6:$AD$3005,"保留中")&gt;0,"保留",IF(COUNTIFS(請求記録!$B$6:$B$3005,$A98,請求記録!$X$6:$X$3005,P$5)=0,"",SUMIFS(請求記録!$AC$6:$AC$3005,請求記録!$B$6:$B$3005,$A98,請求記録!$X$6:$X$3005,P$5))))</f>
        <v/>
      </c>
      <c r="Q98" s="19">
        <f>IF($A98="","",IF(COUNTIFS(請求記録!$B$6:$B$3005,$A98,請求記録!$X$6:$X$3005,Q$5,請求記録!$AD$6:$AD$3005,"保留中")&gt;0,"保留",IF(COUNTIFS(請求記録!$B$6:$B$3005,$A98,請求記録!$X$6:$X$3005,Q$5)=0,"",SUMIFS(請求記録!$AC$6:$AC$3005,請求記録!$B$6:$B$3005,$A98,請求記録!$X$6:$X$3005,Q$5))))</f>
        <v/>
      </c>
      <c r="R98" s="19">
        <f>IF($A98="","",IF(COUNTIFS(請求記録!$B$6:$B$3005,$A98,請求記録!$X$6:$X$3005,R$5,請求記録!$AD$6:$AD$3005,"保留中")&gt;0,"保留",IF(COUNTIFS(請求記録!$B$6:$B$3005,$A98,請求記録!$X$6:$X$3005,R$5)=0,"",SUMIFS(請求記録!$AC$6:$AC$3005,請求記録!$B$6:$B$3005,$A98,請求記録!$X$6:$X$3005,R$5))))</f>
        <v/>
      </c>
      <c r="S98" s="19">
        <f>IF($A98="","",IF(COUNTIFS(請求記録!$B$6:$B$3005,$A98,請求記録!$X$6:$X$3005,S$5,請求記録!$AD$6:$AD$3005,"保留中")&gt;0,"保留",IF(COUNTIFS(請求記録!$B$6:$B$3005,$A98,請求記録!$X$6:$X$3005,S$5)=0,"",SUMIFS(請求記録!$AC$6:$AC$3005,請求記録!$B$6:$B$3005,$A98,請求記録!$X$6:$X$3005,S$5))))</f>
        <v/>
      </c>
      <c r="T98" s="19">
        <f>IF($A98="","",IF(COUNTIFS(請求記録!$B$6:$B$3005,$A98,請求記録!$X$6:$X$3005,T$5,請求記録!$AD$6:$AD$3005,"保留中")&gt;0,"保留",IF(COUNTIFS(請求記録!$B$6:$B$3005,$A98,請求記録!$X$6:$X$3005,T$5)=0,"",SUMIFS(請求記録!$AC$6:$AC$3005,請求記録!$B$6:$B$3005,$A98,請求記録!$X$6:$X$3005,T$5))))</f>
        <v/>
      </c>
      <c r="U98" s="19">
        <f>IF($A98="","",IF(COUNTIFS(請求記録!$B$6:$B$3005,$A98,請求記録!$X$6:$X$3005,U$5,請求記録!$AD$6:$AD$3005,"保留中")&gt;0,"保留",IF(COUNTIFS(請求記録!$B$6:$B$3005,$A98,請求記録!$X$6:$X$3005,U$5)=0,"",SUMIFS(請求記録!$AC$6:$AC$3005,請求記録!$B$6:$B$3005,$A98,請求記録!$X$6:$X$3005,U$5))))</f>
        <v/>
      </c>
      <c r="V98" s="19">
        <f>IF($A98="","",IF(COUNTIFS(請求記録!$B$6:$B$3005,$A98,請求記録!$X$6:$X$3005,V$5,請求記録!$AD$6:$AD$3005,"保留中")&gt;0,"保留",IF(COUNTIFS(請求記録!$B$6:$B$3005,$A98,請求記録!$X$6:$X$3005,V$5)=0,"",SUMIFS(請求記録!$AC$6:$AC$3005,請求記録!$B$6:$B$3005,$A98,請求記録!$X$6:$X$3005,V$5))))</f>
        <v/>
      </c>
      <c r="W98" s="19">
        <f>IF($A98="","",IF(COUNTIFS(請求記録!$B$6:$B$3005,$A98,請求記録!$X$6:$X$3005,W$5,請求記録!$AD$6:$AD$3005,"保留中")&gt;0,"保留",IF(COUNTIFS(請求記録!$B$6:$B$3005,$A98,請求記録!$X$6:$X$3005,W$5)=0,"",SUMIFS(請求記録!$AC$6:$AC$3005,請求記録!$B$6:$B$3005,$A98,請求記録!$X$6:$X$3005,W$5))))</f>
        <v/>
      </c>
      <c r="X98" s="19">
        <f>IF($A98="","",IF(COUNTIFS(請求記録!$B$6:$B$3005,$A98,請求記録!$X$6:$X$3005,X$5,請求記録!$AD$6:$AD$3005,"保留中")&gt;0,"保留",IF(COUNTIFS(請求記録!$B$6:$B$3005,$A98,請求記録!$X$6:$X$3005,X$5)=0,"",SUMIFS(請求記録!$AC$6:$AC$3005,請求記録!$B$6:$B$3005,$A98,請求記録!$X$6:$X$3005,X$5))))</f>
        <v/>
      </c>
      <c r="Y98" s="19">
        <f>IF($A98="","",IF(COUNTIFS(請求記録!$B$6:$B$3005,$A98,請求記録!$X$6:$X$3005,Y$5,請求記録!$AD$6:$AD$3005,"保留中")&gt;0,"保留",IF(COUNTIFS(請求記録!$B$6:$B$3005,$A98,請求記録!$X$6:$X$3005,Y$5)=0,"",SUMIFS(請求記録!$AC$6:$AC$3005,請求記録!$B$6:$B$3005,$A98,請求記録!$X$6:$X$3005,Y$5))))</f>
        <v/>
      </c>
      <c r="Z98" s="19">
        <f>IF($A98="","",IF(COUNTIFS(請求記録!$B$6:$B$3005,$A98,請求記録!$X$6:$X$3005,Z$5,請求記録!$AD$6:$AD$3005,"保留中")&gt;0,"保留",IF(COUNTIFS(請求記録!$B$6:$B$3005,$A98,請求記録!$X$6:$X$3005,Z$5)=0,"",SUMIFS(請求記録!$AC$6:$AC$3005,請求記録!$B$6:$B$3005,$A98,請求記録!$X$6:$X$3005,Z$5))))</f>
        <v/>
      </c>
      <c r="AA98" s="19">
        <f>IF($A98="","",IF(COUNTIFS(請求記録!$B$6:$B$3005,$A98,請求記録!$X$6:$X$3005,AA$5,請求記録!$AD$6:$AD$3005,"保留中")&gt;0,"保留",IF(COUNTIFS(請求記録!$B$6:$B$3005,$A98,請求記録!$X$6:$X$3005,AA$5)=0,"",SUMIFS(請求記録!$AC$6:$AC$3005,請求記録!$B$6:$B$3005,$A98,請求記録!$X$6:$X$3005,AA$5))))</f>
        <v/>
      </c>
      <c r="AB98">
        <f>IF(職員マスタ!P98="保留中",職員マスタ!M98,"")</f>
        <v/>
      </c>
    </row>
    <row r="99">
      <c r="A99">
        <f>IF(職員マスタ!A99="","",職員マスタ!A99)</f>
        <v/>
      </c>
      <c r="B99">
        <f>IF($A99="","",職員マスタ!B99)</f>
        <v/>
      </c>
      <c r="C99">
        <f>IF($A99="","",職員マスタ!C99)</f>
        <v/>
      </c>
      <c r="D99" s="19">
        <f>IF($A99="","",IF(COUNTIFS(請求記録!$B$6:$B$3005,$A99,請求記録!$X$6:$X$3005,D$5,請求記録!$AD$6:$AD$3005,"保留中")&gt;0,"保留",IF(COUNTIFS(請求記録!$B$6:$B$3005,$A99,請求記録!$X$6:$X$3005,D$5)=0,"",SUMIFS(請求記録!$AC$6:$AC$3005,請求記録!$B$6:$B$3005,$A99,請求記録!$X$6:$X$3005,D$5))))</f>
        <v/>
      </c>
      <c r="E99" s="19">
        <f>IF($A99="","",IF(COUNTIFS(請求記録!$B$6:$B$3005,$A99,請求記録!$X$6:$X$3005,E$5,請求記録!$AD$6:$AD$3005,"保留中")&gt;0,"保留",IF(COUNTIFS(請求記録!$B$6:$B$3005,$A99,請求記録!$X$6:$X$3005,E$5)=0,"",SUMIFS(請求記録!$AC$6:$AC$3005,請求記録!$B$6:$B$3005,$A99,請求記録!$X$6:$X$3005,E$5))))</f>
        <v/>
      </c>
      <c r="F99" s="19">
        <f>IF($A99="","",IF(COUNTIFS(請求記録!$B$6:$B$3005,$A99,請求記録!$X$6:$X$3005,F$5,請求記録!$AD$6:$AD$3005,"保留中")&gt;0,"保留",IF(COUNTIFS(請求記録!$B$6:$B$3005,$A99,請求記録!$X$6:$X$3005,F$5)=0,"",SUMIFS(請求記録!$AC$6:$AC$3005,請求記録!$B$6:$B$3005,$A99,請求記録!$X$6:$X$3005,F$5))))</f>
        <v/>
      </c>
      <c r="G99" s="19">
        <f>IF($A99="","",IF(COUNTIFS(請求記録!$B$6:$B$3005,$A99,請求記録!$X$6:$X$3005,G$5,請求記録!$AD$6:$AD$3005,"保留中")&gt;0,"保留",IF(COUNTIFS(請求記録!$B$6:$B$3005,$A99,請求記録!$X$6:$X$3005,G$5)=0,"",SUMIFS(請求記録!$AC$6:$AC$3005,請求記録!$B$6:$B$3005,$A99,請求記録!$X$6:$X$3005,G$5))))</f>
        <v/>
      </c>
      <c r="H99" s="19">
        <f>IF($A99="","",IF(COUNTIFS(請求記録!$B$6:$B$3005,$A99,請求記録!$X$6:$X$3005,H$5,請求記録!$AD$6:$AD$3005,"保留中")&gt;0,"保留",IF(COUNTIFS(請求記録!$B$6:$B$3005,$A99,請求記録!$X$6:$X$3005,H$5)=0,"",SUMIFS(請求記録!$AC$6:$AC$3005,請求記録!$B$6:$B$3005,$A99,請求記録!$X$6:$X$3005,H$5))))</f>
        <v/>
      </c>
      <c r="I99" s="19">
        <f>IF($A99="","",IF(COUNTIFS(請求記録!$B$6:$B$3005,$A99,請求記録!$X$6:$X$3005,I$5,請求記録!$AD$6:$AD$3005,"保留中")&gt;0,"保留",IF(COUNTIFS(請求記録!$B$6:$B$3005,$A99,請求記録!$X$6:$X$3005,I$5)=0,"",SUMIFS(請求記録!$AC$6:$AC$3005,請求記録!$B$6:$B$3005,$A99,請求記録!$X$6:$X$3005,I$5))))</f>
        <v/>
      </c>
      <c r="J99" s="19">
        <f>IF($A99="","",IF(COUNTIFS(請求記録!$B$6:$B$3005,$A99,請求記録!$X$6:$X$3005,J$5,請求記録!$AD$6:$AD$3005,"保留中")&gt;0,"保留",IF(COUNTIFS(請求記録!$B$6:$B$3005,$A99,請求記録!$X$6:$X$3005,J$5)=0,"",SUMIFS(請求記録!$AC$6:$AC$3005,請求記録!$B$6:$B$3005,$A99,請求記録!$X$6:$X$3005,J$5))))</f>
        <v/>
      </c>
      <c r="K99" s="19">
        <f>IF($A99="","",IF(COUNTIFS(請求記録!$B$6:$B$3005,$A99,請求記録!$X$6:$X$3005,K$5,請求記録!$AD$6:$AD$3005,"保留中")&gt;0,"保留",IF(COUNTIFS(請求記録!$B$6:$B$3005,$A99,請求記録!$X$6:$X$3005,K$5)=0,"",SUMIFS(請求記録!$AC$6:$AC$3005,請求記録!$B$6:$B$3005,$A99,請求記録!$X$6:$X$3005,K$5))))</f>
        <v/>
      </c>
      <c r="L99" s="19">
        <f>IF($A99="","",IF(COUNTIFS(請求記録!$B$6:$B$3005,$A99,請求記録!$X$6:$X$3005,L$5,請求記録!$AD$6:$AD$3005,"保留中")&gt;0,"保留",IF(COUNTIFS(請求記録!$B$6:$B$3005,$A99,請求記録!$X$6:$X$3005,L$5)=0,"",SUMIFS(請求記録!$AC$6:$AC$3005,請求記録!$B$6:$B$3005,$A99,請求記録!$X$6:$X$3005,L$5))))</f>
        <v/>
      </c>
      <c r="M99" s="19">
        <f>IF($A99="","",IF(COUNTIFS(請求記録!$B$6:$B$3005,$A99,請求記録!$X$6:$X$3005,M$5,請求記録!$AD$6:$AD$3005,"保留中")&gt;0,"保留",IF(COUNTIFS(請求記録!$B$6:$B$3005,$A99,請求記録!$X$6:$X$3005,M$5)=0,"",SUMIFS(請求記録!$AC$6:$AC$3005,請求記録!$B$6:$B$3005,$A99,請求記録!$X$6:$X$3005,M$5))))</f>
        <v/>
      </c>
      <c r="N99" s="19">
        <f>IF($A99="","",IF(COUNTIFS(請求記録!$B$6:$B$3005,$A99,請求記録!$X$6:$X$3005,N$5,請求記録!$AD$6:$AD$3005,"保留中")&gt;0,"保留",IF(COUNTIFS(請求記録!$B$6:$B$3005,$A99,請求記録!$X$6:$X$3005,N$5)=0,"",SUMIFS(請求記録!$AC$6:$AC$3005,請求記録!$B$6:$B$3005,$A99,請求記録!$X$6:$X$3005,N$5))))</f>
        <v/>
      </c>
      <c r="O99" s="19">
        <f>IF($A99="","",IF(COUNTIFS(請求記録!$B$6:$B$3005,$A99,請求記録!$X$6:$X$3005,O$5,請求記録!$AD$6:$AD$3005,"保留中")&gt;0,"保留",IF(COUNTIFS(請求記録!$B$6:$B$3005,$A99,請求記録!$X$6:$X$3005,O$5)=0,"",SUMIFS(請求記録!$AC$6:$AC$3005,請求記録!$B$6:$B$3005,$A99,請求記録!$X$6:$X$3005,O$5))))</f>
        <v/>
      </c>
      <c r="P99" s="19">
        <f>IF($A99="","",IF(COUNTIFS(請求記録!$B$6:$B$3005,$A99,請求記録!$X$6:$X$3005,P$5,請求記録!$AD$6:$AD$3005,"保留中")&gt;0,"保留",IF(COUNTIFS(請求記録!$B$6:$B$3005,$A99,請求記録!$X$6:$X$3005,P$5)=0,"",SUMIFS(請求記録!$AC$6:$AC$3005,請求記録!$B$6:$B$3005,$A99,請求記録!$X$6:$X$3005,P$5))))</f>
        <v/>
      </c>
      <c r="Q99" s="19">
        <f>IF($A99="","",IF(COUNTIFS(請求記録!$B$6:$B$3005,$A99,請求記録!$X$6:$X$3005,Q$5,請求記録!$AD$6:$AD$3005,"保留中")&gt;0,"保留",IF(COUNTIFS(請求記録!$B$6:$B$3005,$A99,請求記録!$X$6:$X$3005,Q$5)=0,"",SUMIFS(請求記録!$AC$6:$AC$3005,請求記録!$B$6:$B$3005,$A99,請求記録!$X$6:$X$3005,Q$5))))</f>
        <v/>
      </c>
      <c r="R99" s="19">
        <f>IF($A99="","",IF(COUNTIFS(請求記録!$B$6:$B$3005,$A99,請求記録!$X$6:$X$3005,R$5,請求記録!$AD$6:$AD$3005,"保留中")&gt;0,"保留",IF(COUNTIFS(請求記録!$B$6:$B$3005,$A99,請求記録!$X$6:$X$3005,R$5)=0,"",SUMIFS(請求記録!$AC$6:$AC$3005,請求記録!$B$6:$B$3005,$A99,請求記録!$X$6:$X$3005,R$5))))</f>
        <v/>
      </c>
      <c r="S99" s="19">
        <f>IF($A99="","",IF(COUNTIFS(請求記録!$B$6:$B$3005,$A99,請求記録!$X$6:$X$3005,S$5,請求記録!$AD$6:$AD$3005,"保留中")&gt;0,"保留",IF(COUNTIFS(請求記録!$B$6:$B$3005,$A99,請求記録!$X$6:$X$3005,S$5)=0,"",SUMIFS(請求記録!$AC$6:$AC$3005,請求記録!$B$6:$B$3005,$A99,請求記録!$X$6:$X$3005,S$5))))</f>
        <v/>
      </c>
      <c r="T99" s="19">
        <f>IF($A99="","",IF(COUNTIFS(請求記録!$B$6:$B$3005,$A99,請求記録!$X$6:$X$3005,T$5,請求記録!$AD$6:$AD$3005,"保留中")&gt;0,"保留",IF(COUNTIFS(請求記録!$B$6:$B$3005,$A99,請求記録!$X$6:$X$3005,T$5)=0,"",SUMIFS(請求記録!$AC$6:$AC$3005,請求記録!$B$6:$B$3005,$A99,請求記録!$X$6:$X$3005,T$5))))</f>
        <v/>
      </c>
      <c r="U99" s="19">
        <f>IF($A99="","",IF(COUNTIFS(請求記録!$B$6:$B$3005,$A99,請求記録!$X$6:$X$3005,U$5,請求記録!$AD$6:$AD$3005,"保留中")&gt;0,"保留",IF(COUNTIFS(請求記録!$B$6:$B$3005,$A99,請求記録!$X$6:$X$3005,U$5)=0,"",SUMIFS(請求記録!$AC$6:$AC$3005,請求記録!$B$6:$B$3005,$A99,請求記録!$X$6:$X$3005,U$5))))</f>
        <v/>
      </c>
      <c r="V99" s="19">
        <f>IF($A99="","",IF(COUNTIFS(請求記録!$B$6:$B$3005,$A99,請求記録!$X$6:$X$3005,V$5,請求記録!$AD$6:$AD$3005,"保留中")&gt;0,"保留",IF(COUNTIFS(請求記録!$B$6:$B$3005,$A99,請求記録!$X$6:$X$3005,V$5)=0,"",SUMIFS(請求記録!$AC$6:$AC$3005,請求記録!$B$6:$B$3005,$A99,請求記録!$X$6:$X$3005,V$5))))</f>
        <v/>
      </c>
      <c r="W99" s="19">
        <f>IF($A99="","",IF(COUNTIFS(請求記録!$B$6:$B$3005,$A99,請求記録!$X$6:$X$3005,W$5,請求記録!$AD$6:$AD$3005,"保留中")&gt;0,"保留",IF(COUNTIFS(請求記録!$B$6:$B$3005,$A99,請求記録!$X$6:$X$3005,W$5)=0,"",SUMIFS(請求記録!$AC$6:$AC$3005,請求記録!$B$6:$B$3005,$A99,請求記録!$X$6:$X$3005,W$5))))</f>
        <v/>
      </c>
      <c r="X99" s="19">
        <f>IF($A99="","",IF(COUNTIFS(請求記録!$B$6:$B$3005,$A99,請求記録!$X$6:$X$3005,X$5,請求記録!$AD$6:$AD$3005,"保留中")&gt;0,"保留",IF(COUNTIFS(請求記録!$B$6:$B$3005,$A99,請求記録!$X$6:$X$3005,X$5)=0,"",SUMIFS(請求記録!$AC$6:$AC$3005,請求記録!$B$6:$B$3005,$A99,請求記録!$X$6:$X$3005,X$5))))</f>
        <v/>
      </c>
      <c r="Y99" s="19">
        <f>IF($A99="","",IF(COUNTIFS(請求記録!$B$6:$B$3005,$A99,請求記録!$X$6:$X$3005,Y$5,請求記録!$AD$6:$AD$3005,"保留中")&gt;0,"保留",IF(COUNTIFS(請求記録!$B$6:$B$3005,$A99,請求記録!$X$6:$X$3005,Y$5)=0,"",SUMIFS(請求記録!$AC$6:$AC$3005,請求記録!$B$6:$B$3005,$A99,請求記録!$X$6:$X$3005,Y$5))))</f>
        <v/>
      </c>
      <c r="Z99" s="19">
        <f>IF($A99="","",IF(COUNTIFS(請求記録!$B$6:$B$3005,$A99,請求記録!$X$6:$X$3005,Z$5,請求記録!$AD$6:$AD$3005,"保留中")&gt;0,"保留",IF(COUNTIFS(請求記録!$B$6:$B$3005,$A99,請求記録!$X$6:$X$3005,Z$5)=0,"",SUMIFS(請求記録!$AC$6:$AC$3005,請求記録!$B$6:$B$3005,$A99,請求記録!$X$6:$X$3005,Z$5))))</f>
        <v/>
      </c>
      <c r="AA99" s="19">
        <f>IF($A99="","",IF(COUNTIFS(請求記録!$B$6:$B$3005,$A99,請求記録!$X$6:$X$3005,AA$5,請求記録!$AD$6:$AD$3005,"保留中")&gt;0,"保留",IF(COUNTIFS(請求記録!$B$6:$B$3005,$A99,請求記録!$X$6:$X$3005,AA$5)=0,"",SUMIFS(請求記録!$AC$6:$AC$3005,請求記録!$B$6:$B$3005,$A99,請求記録!$X$6:$X$3005,AA$5))))</f>
        <v/>
      </c>
      <c r="AB99">
        <f>IF(職員マスタ!P99="保留中",職員マスタ!M99,"")</f>
        <v/>
      </c>
    </row>
    <row r="100">
      <c r="A100">
        <f>IF(職員マスタ!A100="","",職員マスタ!A100)</f>
        <v/>
      </c>
      <c r="B100">
        <f>IF($A100="","",職員マスタ!B100)</f>
        <v/>
      </c>
      <c r="C100">
        <f>IF($A100="","",職員マスタ!C100)</f>
        <v/>
      </c>
      <c r="D100" s="19">
        <f>IF($A100="","",IF(COUNTIFS(請求記録!$B$6:$B$3005,$A100,請求記録!$X$6:$X$3005,D$5,請求記録!$AD$6:$AD$3005,"保留中")&gt;0,"保留",IF(COUNTIFS(請求記録!$B$6:$B$3005,$A100,請求記録!$X$6:$X$3005,D$5)=0,"",SUMIFS(請求記録!$AC$6:$AC$3005,請求記録!$B$6:$B$3005,$A100,請求記録!$X$6:$X$3005,D$5))))</f>
        <v/>
      </c>
      <c r="E100" s="19">
        <f>IF($A100="","",IF(COUNTIFS(請求記録!$B$6:$B$3005,$A100,請求記録!$X$6:$X$3005,E$5,請求記録!$AD$6:$AD$3005,"保留中")&gt;0,"保留",IF(COUNTIFS(請求記録!$B$6:$B$3005,$A100,請求記録!$X$6:$X$3005,E$5)=0,"",SUMIFS(請求記録!$AC$6:$AC$3005,請求記録!$B$6:$B$3005,$A100,請求記録!$X$6:$X$3005,E$5))))</f>
        <v/>
      </c>
      <c r="F100" s="19">
        <f>IF($A100="","",IF(COUNTIFS(請求記録!$B$6:$B$3005,$A100,請求記録!$X$6:$X$3005,F$5,請求記録!$AD$6:$AD$3005,"保留中")&gt;0,"保留",IF(COUNTIFS(請求記録!$B$6:$B$3005,$A100,請求記録!$X$6:$X$3005,F$5)=0,"",SUMIFS(請求記録!$AC$6:$AC$3005,請求記録!$B$6:$B$3005,$A100,請求記録!$X$6:$X$3005,F$5))))</f>
        <v/>
      </c>
      <c r="G100" s="19">
        <f>IF($A100="","",IF(COUNTIFS(請求記録!$B$6:$B$3005,$A100,請求記録!$X$6:$X$3005,G$5,請求記録!$AD$6:$AD$3005,"保留中")&gt;0,"保留",IF(COUNTIFS(請求記録!$B$6:$B$3005,$A100,請求記録!$X$6:$X$3005,G$5)=0,"",SUMIFS(請求記録!$AC$6:$AC$3005,請求記録!$B$6:$B$3005,$A100,請求記録!$X$6:$X$3005,G$5))))</f>
        <v/>
      </c>
      <c r="H100" s="19">
        <f>IF($A100="","",IF(COUNTIFS(請求記録!$B$6:$B$3005,$A100,請求記録!$X$6:$X$3005,H$5,請求記録!$AD$6:$AD$3005,"保留中")&gt;0,"保留",IF(COUNTIFS(請求記録!$B$6:$B$3005,$A100,請求記録!$X$6:$X$3005,H$5)=0,"",SUMIFS(請求記録!$AC$6:$AC$3005,請求記録!$B$6:$B$3005,$A100,請求記録!$X$6:$X$3005,H$5))))</f>
        <v/>
      </c>
      <c r="I100" s="19">
        <f>IF($A100="","",IF(COUNTIFS(請求記録!$B$6:$B$3005,$A100,請求記録!$X$6:$X$3005,I$5,請求記録!$AD$6:$AD$3005,"保留中")&gt;0,"保留",IF(COUNTIFS(請求記録!$B$6:$B$3005,$A100,請求記録!$X$6:$X$3005,I$5)=0,"",SUMIFS(請求記録!$AC$6:$AC$3005,請求記録!$B$6:$B$3005,$A100,請求記録!$X$6:$X$3005,I$5))))</f>
        <v/>
      </c>
      <c r="J100" s="19">
        <f>IF($A100="","",IF(COUNTIFS(請求記録!$B$6:$B$3005,$A100,請求記録!$X$6:$X$3005,J$5,請求記録!$AD$6:$AD$3005,"保留中")&gt;0,"保留",IF(COUNTIFS(請求記録!$B$6:$B$3005,$A100,請求記録!$X$6:$X$3005,J$5)=0,"",SUMIFS(請求記録!$AC$6:$AC$3005,請求記録!$B$6:$B$3005,$A100,請求記録!$X$6:$X$3005,J$5))))</f>
        <v/>
      </c>
      <c r="K100" s="19">
        <f>IF($A100="","",IF(COUNTIFS(請求記録!$B$6:$B$3005,$A100,請求記録!$X$6:$X$3005,K$5,請求記録!$AD$6:$AD$3005,"保留中")&gt;0,"保留",IF(COUNTIFS(請求記録!$B$6:$B$3005,$A100,請求記録!$X$6:$X$3005,K$5)=0,"",SUMIFS(請求記録!$AC$6:$AC$3005,請求記録!$B$6:$B$3005,$A100,請求記録!$X$6:$X$3005,K$5))))</f>
        <v/>
      </c>
      <c r="L100" s="19">
        <f>IF($A100="","",IF(COUNTIFS(請求記録!$B$6:$B$3005,$A100,請求記録!$X$6:$X$3005,L$5,請求記録!$AD$6:$AD$3005,"保留中")&gt;0,"保留",IF(COUNTIFS(請求記録!$B$6:$B$3005,$A100,請求記録!$X$6:$X$3005,L$5)=0,"",SUMIFS(請求記録!$AC$6:$AC$3005,請求記録!$B$6:$B$3005,$A100,請求記録!$X$6:$X$3005,L$5))))</f>
        <v/>
      </c>
      <c r="M100" s="19">
        <f>IF($A100="","",IF(COUNTIFS(請求記録!$B$6:$B$3005,$A100,請求記録!$X$6:$X$3005,M$5,請求記録!$AD$6:$AD$3005,"保留中")&gt;0,"保留",IF(COUNTIFS(請求記録!$B$6:$B$3005,$A100,請求記録!$X$6:$X$3005,M$5)=0,"",SUMIFS(請求記録!$AC$6:$AC$3005,請求記録!$B$6:$B$3005,$A100,請求記録!$X$6:$X$3005,M$5))))</f>
        <v/>
      </c>
      <c r="N100" s="19">
        <f>IF($A100="","",IF(COUNTIFS(請求記録!$B$6:$B$3005,$A100,請求記録!$X$6:$X$3005,N$5,請求記録!$AD$6:$AD$3005,"保留中")&gt;0,"保留",IF(COUNTIFS(請求記録!$B$6:$B$3005,$A100,請求記録!$X$6:$X$3005,N$5)=0,"",SUMIFS(請求記録!$AC$6:$AC$3005,請求記録!$B$6:$B$3005,$A100,請求記録!$X$6:$X$3005,N$5))))</f>
        <v/>
      </c>
      <c r="O100" s="19">
        <f>IF($A100="","",IF(COUNTIFS(請求記録!$B$6:$B$3005,$A100,請求記録!$X$6:$X$3005,O$5,請求記録!$AD$6:$AD$3005,"保留中")&gt;0,"保留",IF(COUNTIFS(請求記録!$B$6:$B$3005,$A100,請求記録!$X$6:$X$3005,O$5)=0,"",SUMIFS(請求記録!$AC$6:$AC$3005,請求記録!$B$6:$B$3005,$A100,請求記録!$X$6:$X$3005,O$5))))</f>
        <v/>
      </c>
      <c r="P100" s="19">
        <f>IF($A100="","",IF(COUNTIFS(請求記録!$B$6:$B$3005,$A100,請求記録!$X$6:$X$3005,P$5,請求記録!$AD$6:$AD$3005,"保留中")&gt;0,"保留",IF(COUNTIFS(請求記録!$B$6:$B$3005,$A100,請求記録!$X$6:$X$3005,P$5)=0,"",SUMIFS(請求記録!$AC$6:$AC$3005,請求記録!$B$6:$B$3005,$A100,請求記録!$X$6:$X$3005,P$5))))</f>
        <v/>
      </c>
      <c r="Q100" s="19">
        <f>IF($A100="","",IF(COUNTIFS(請求記録!$B$6:$B$3005,$A100,請求記録!$X$6:$X$3005,Q$5,請求記録!$AD$6:$AD$3005,"保留中")&gt;0,"保留",IF(COUNTIFS(請求記録!$B$6:$B$3005,$A100,請求記録!$X$6:$X$3005,Q$5)=0,"",SUMIFS(請求記録!$AC$6:$AC$3005,請求記録!$B$6:$B$3005,$A100,請求記録!$X$6:$X$3005,Q$5))))</f>
        <v/>
      </c>
      <c r="R100" s="19">
        <f>IF($A100="","",IF(COUNTIFS(請求記録!$B$6:$B$3005,$A100,請求記録!$X$6:$X$3005,R$5,請求記録!$AD$6:$AD$3005,"保留中")&gt;0,"保留",IF(COUNTIFS(請求記録!$B$6:$B$3005,$A100,請求記録!$X$6:$X$3005,R$5)=0,"",SUMIFS(請求記録!$AC$6:$AC$3005,請求記録!$B$6:$B$3005,$A100,請求記録!$X$6:$X$3005,R$5))))</f>
        <v/>
      </c>
      <c r="S100" s="19">
        <f>IF($A100="","",IF(COUNTIFS(請求記録!$B$6:$B$3005,$A100,請求記録!$X$6:$X$3005,S$5,請求記録!$AD$6:$AD$3005,"保留中")&gt;0,"保留",IF(COUNTIFS(請求記録!$B$6:$B$3005,$A100,請求記録!$X$6:$X$3005,S$5)=0,"",SUMIFS(請求記録!$AC$6:$AC$3005,請求記録!$B$6:$B$3005,$A100,請求記録!$X$6:$X$3005,S$5))))</f>
        <v/>
      </c>
      <c r="T100" s="19">
        <f>IF($A100="","",IF(COUNTIFS(請求記録!$B$6:$B$3005,$A100,請求記録!$X$6:$X$3005,T$5,請求記録!$AD$6:$AD$3005,"保留中")&gt;0,"保留",IF(COUNTIFS(請求記録!$B$6:$B$3005,$A100,請求記録!$X$6:$X$3005,T$5)=0,"",SUMIFS(請求記録!$AC$6:$AC$3005,請求記録!$B$6:$B$3005,$A100,請求記録!$X$6:$X$3005,T$5))))</f>
        <v/>
      </c>
      <c r="U100" s="19">
        <f>IF($A100="","",IF(COUNTIFS(請求記録!$B$6:$B$3005,$A100,請求記録!$X$6:$X$3005,U$5,請求記録!$AD$6:$AD$3005,"保留中")&gt;0,"保留",IF(COUNTIFS(請求記録!$B$6:$B$3005,$A100,請求記録!$X$6:$X$3005,U$5)=0,"",SUMIFS(請求記録!$AC$6:$AC$3005,請求記録!$B$6:$B$3005,$A100,請求記録!$X$6:$X$3005,U$5))))</f>
        <v/>
      </c>
      <c r="V100" s="19">
        <f>IF($A100="","",IF(COUNTIFS(請求記録!$B$6:$B$3005,$A100,請求記録!$X$6:$X$3005,V$5,請求記録!$AD$6:$AD$3005,"保留中")&gt;0,"保留",IF(COUNTIFS(請求記録!$B$6:$B$3005,$A100,請求記録!$X$6:$X$3005,V$5)=0,"",SUMIFS(請求記録!$AC$6:$AC$3005,請求記録!$B$6:$B$3005,$A100,請求記録!$X$6:$X$3005,V$5))))</f>
        <v/>
      </c>
      <c r="W100" s="19">
        <f>IF($A100="","",IF(COUNTIFS(請求記録!$B$6:$B$3005,$A100,請求記録!$X$6:$X$3005,W$5,請求記録!$AD$6:$AD$3005,"保留中")&gt;0,"保留",IF(COUNTIFS(請求記録!$B$6:$B$3005,$A100,請求記録!$X$6:$X$3005,W$5)=0,"",SUMIFS(請求記録!$AC$6:$AC$3005,請求記録!$B$6:$B$3005,$A100,請求記録!$X$6:$X$3005,W$5))))</f>
        <v/>
      </c>
      <c r="X100" s="19">
        <f>IF($A100="","",IF(COUNTIFS(請求記録!$B$6:$B$3005,$A100,請求記録!$X$6:$X$3005,X$5,請求記録!$AD$6:$AD$3005,"保留中")&gt;0,"保留",IF(COUNTIFS(請求記録!$B$6:$B$3005,$A100,請求記録!$X$6:$X$3005,X$5)=0,"",SUMIFS(請求記録!$AC$6:$AC$3005,請求記録!$B$6:$B$3005,$A100,請求記録!$X$6:$X$3005,X$5))))</f>
        <v/>
      </c>
      <c r="Y100" s="19">
        <f>IF($A100="","",IF(COUNTIFS(請求記録!$B$6:$B$3005,$A100,請求記録!$X$6:$X$3005,Y$5,請求記録!$AD$6:$AD$3005,"保留中")&gt;0,"保留",IF(COUNTIFS(請求記録!$B$6:$B$3005,$A100,請求記録!$X$6:$X$3005,Y$5)=0,"",SUMIFS(請求記録!$AC$6:$AC$3005,請求記録!$B$6:$B$3005,$A100,請求記録!$X$6:$X$3005,Y$5))))</f>
        <v/>
      </c>
      <c r="Z100" s="19">
        <f>IF($A100="","",IF(COUNTIFS(請求記録!$B$6:$B$3005,$A100,請求記録!$X$6:$X$3005,Z$5,請求記録!$AD$6:$AD$3005,"保留中")&gt;0,"保留",IF(COUNTIFS(請求記録!$B$6:$B$3005,$A100,請求記録!$X$6:$X$3005,Z$5)=0,"",SUMIFS(請求記録!$AC$6:$AC$3005,請求記録!$B$6:$B$3005,$A100,請求記録!$X$6:$X$3005,Z$5))))</f>
        <v/>
      </c>
      <c r="AA100" s="19">
        <f>IF($A100="","",IF(COUNTIFS(請求記録!$B$6:$B$3005,$A100,請求記録!$X$6:$X$3005,AA$5,請求記録!$AD$6:$AD$3005,"保留中")&gt;0,"保留",IF(COUNTIFS(請求記録!$B$6:$B$3005,$A100,請求記録!$X$6:$X$3005,AA$5)=0,"",SUMIFS(請求記録!$AC$6:$AC$3005,請求記録!$B$6:$B$3005,$A100,請求記録!$X$6:$X$3005,AA$5))))</f>
        <v/>
      </c>
      <c r="AB100">
        <f>IF(職員マスタ!P100="保留中",職員マスタ!M100,"")</f>
        <v/>
      </c>
    </row>
    <row r="101">
      <c r="A101">
        <f>IF(職員マスタ!A101="","",職員マスタ!A101)</f>
        <v/>
      </c>
      <c r="B101">
        <f>IF($A101="","",職員マスタ!B101)</f>
        <v/>
      </c>
      <c r="C101">
        <f>IF($A101="","",職員マスタ!C101)</f>
        <v/>
      </c>
      <c r="D101" s="19">
        <f>IF($A101="","",IF(COUNTIFS(請求記録!$B$6:$B$3005,$A101,請求記録!$X$6:$X$3005,D$5,請求記録!$AD$6:$AD$3005,"保留中")&gt;0,"保留",IF(COUNTIFS(請求記録!$B$6:$B$3005,$A101,請求記録!$X$6:$X$3005,D$5)=0,"",SUMIFS(請求記録!$AC$6:$AC$3005,請求記録!$B$6:$B$3005,$A101,請求記録!$X$6:$X$3005,D$5))))</f>
        <v/>
      </c>
      <c r="E101" s="19">
        <f>IF($A101="","",IF(COUNTIFS(請求記録!$B$6:$B$3005,$A101,請求記録!$X$6:$X$3005,E$5,請求記録!$AD$6:$AD$3005,"保留中")&gt;0,"保留",IF(COUNTIFS(請求記録!$B$6:$B$3005,$A101,請求記録!$X$6:$X$3005,E$5)=0,"",SUMIFS(請求記録!$AC$6:$AC$3005,請求記録!$B$6:$B$3005,$A101,請求記録!$X$6:$X$3005,E$5))))</f>
        <v/>
      </c>
      <c r="F101" s="19">
        <f>IF($A101="","",IF(COUNTIFS(請求記録!$B$6:$B$3005,$A101,請求記録!$X$6:$X$3005,F$5,請求記録!$AD$6:$AD$3005,"保留中")&gt;0,"保留",IF(COUNTIFS(請求記録!$B$6:$B$3005,$A101,請求記録!$X$6:$X$3005,F$5)=0,"",SUMIFS(請求記録!$AC$6:$AC$3005,請求記録!$B$6:$B$3005,$A101,請求記録!$X$6:$X$3005,F$5))))</f>
        <v/>
      </c>
      <c r="G101" s="19">
        <f>IF($A101="","",IF(COUNTIFS(請求記録!$B$6:$B$3005,$A101,請求記録!$X$6:$X$3005,G$5,請求記録!$AD$6:$AD$3005,"保留中")&gt;0,"保留",IF(COUNTIFS(請求記録!$B$6:$B$3005,$A101,請求記録!$X$6:$X$3005,G$5)=0,"",SUMIFS(請求記録!$AC$6:$AC$3005,請求記録!$B$6:$B$3005,$A101,請求記録!$X$6:$X$3005,G$5))))</f>
        <v/>
      </c>
      <c r="H101" s="19">
        <f>IF($A101="","",IF(COUNTIFS(請求記録!$B$6:$B$3005,$A101,請求記録!$X$6:$X$3005,H$5,請求記録!$AD$6:$AD$3005,"保留中")&gt;0,"保留",IF(COUNTIFS(請求記録!$B$6:$B$3005,$A101,請求記録!$X$6:$X$3005,H$5)=0,"",SUMIFS(請求記録!$AC$6:$AC$3005,請求記録!$B$6:$B$3005,$A101,請求記録!$X$6:$X$3005,H$5))))</f>
        <v/>
      </c>
      <c r="I101" s="19">
        <f>IF($A101="","",IF(COUNTIFS(請求記録!$B$6:$B$3005,$A101,請求記録!$X$6:$X$3005,I$5,請求記録!$AD$6:$AD$3005,"保留中")&gt;0,"保留",IF(COUNTIFS(請求記録!$B$6:$B$3005,$A101,請求記録!$X$6:$X$3005,I$5)=0,"",SUMIFS(請求記録!$AC$6:$AC$3005,請求記録!$B$6:$B$3005,$A101,請求記録!$X$6:$X$3005,I$5))))</f>
        <v/>
      </c>
      <c r="J101" s="19">
        <f>IF($A101="","",IF(COUNTIFS(請求記録!$B$6:$B$3005,$A101,請求記録!$X$6:$X$3005,J$5,請求記録!$AD$6:$AD$3005,"保留中")&gt;0,"保留",IF(COUNTIFS(請求記録!$B$6:$B$3005,$A101,請求記録!$X$6:$X$3005,J$5)=0,"",SUMIFS(請求記録!$AC$6:$AC$3005,請求記録!$B$6:$B$3005,$A101,請求記録!$X$6:$X$3005,J$5))))</f>
        <v/>
      </c>
      <c r="K101" s="19">
        <f>IF($A101="","",IF(COUNTIFS(請求記録!$B$6:$B$3005,$A101,請求記録!$X$6:$X$3005,K$5,請求記録!$AD$6:$AD$3005,"保留中")&gt;0,"保留",IF(COUNTIFS(請求記録!$B$6:$B$3005,$A101,請求記録!$X$6:$X$3005,K$5)=0,"",SUMIFS(請求記録!$AC$6:$AC$3005,請求記録!$B$6:$B$3005,$A101,請求記録!$X$6:$X$3005,K$5))))</f>
        <v/>
      </c>
      <c r="L101" s="19">
        <f>IF($A101="","",IF(COUNTIFS(請求記録!$B$6:$B$3005,$A101,請求記録!$X$6:$X$3005,L$5,請求記録!$AD$6:$AD$3005,"保留中")&gt;0,"保留",IF(COUNTIFS(請求記録!$B$6:$B$3005,$A101,請求記録!$X$6:$X$3005,L$5)=0,"",SUMIFS(請求記録!$AC$6:$AC$3005,請求記録!$B$6:$B$3005,$A101,請求記録!$X$6:$X$3005,L$5))))</f>
        <v/>
      </c>
      <c r="M101" s="19">
        <f>IF($A101="","",IF(COUNTIFS(請求記録!$B$6:$B$3005,$A101,請求記録!$X$6:$X$3005,M$5,請求記録!$AD$6:$AD$3005,"保留中")&gt;0,"保留",IF(COUNTIFS(請求記録!$B$6:$B$3005,$A101,請求記録!$X$6:$X$3005,M$5)=0,"",SUMIFS(請求記録!$AC$6:$AC$3005,請求記録!$B$6:$B$3005,$A101,請求記録!$X$6:$X$3005,M$5))))</f>
        <v/>
      </c>
      <c r="N101" s="19">
        <f>IF($A101="","",IF(COUNTIFS(請求記録!$B$6:$B$3005,$A101,請求記録!$X$6:$X$3005,N$5,請求記録!$AD$6:$AD$3005,"保留中")&gt;0,"保留",IF(COUNTIFS(請求記録!$B$6:$B$3005,$A101,請求記録!$X$6:$X$3005,N$5)=0,"",SUMIFS(請求記録!$AC$6:$AC$3005,請求記録!$B$6:$B$3005,$A101,請求記録!$X$6:$X$3005,N$5))))</f>
        <v/>
      </c>
      <c r="O101" s="19">
        <f>IF($A101="","",IF(COUNTIFS(請求記録!$B$6:$B$3005,$A101,請求記録!$X$6:$X$3005,O$5,請求記録!$AD$6:$AD$3005,"保留中")&gt;0,"保留",IF(COUNTIFS(請求記録!$B$6:$B$3005,$A101,請求記録!$X$6:$X$3005,O$5)=0,"",SUMIFS(請求記録!$AC$6:$AC$3005,請求記録!$B$6:$B$3005,$A101,請求記録!$X$6:$X$3005,O$5))))</f>
        <v/>
      </c>
      <c r="P101" s="19">
        <f>IF($A101="","",IF(COUNTIFS(請求記録!$B$6:$B$3005,$A101,請求記録!$X$6:$X$3005,P$5,請求記録!$AD$6:$AD$3005,"保留中")&gt;0,"保留",IF(COUNTIFS(請求記録!$B$6:$B$3005,$A101,請求記録!$X$6:$X$3005,P$5)=0,"",SUMIFS(請求記録!$AC$6:$AC$3005,請求記録!$B$6:$B$3005,$A101,請求記録!$X$6:$X$3005,P$5))))</f>
        <v/>
      </c>
      <c r="Q101" s="19">
        <f>IF($A101="","",IF(COUNTIFS(請求記録!$B$6:$B$3005,$A101,請求記録!$X$6:$X$3005,Q$5,請求記録!$AD$6:$AD$3005,"保留中")&gt;0,"保留",IF(COUNTIFS(請求記録!$B$6:$B$3005,$A101,請求記録!$X$6:$X$3005,Q$5)=0,"",SUMIFS(請求記録!$AC$6:$AC$3005,請求記録!$B$6:$B$3005,$A101,請求記録!$X$6:$X$3005,Q$5))))</f>
        <v/>
      </c>
      <c r="R101" s="19">
        <f>IF($A101="","",IF(COUNTIFS(請求記録!$B$6:$B$3005,$A101,請求記録!$X$6:$X$3005,R$5,請求記録!$AD$6:$AD$3005,"保留中")&gt;0,"保留",IF(COUNTIFS(請求記録!$B$6:$B$3005,$A101,請求記録!$X$6:$X$3005,R$5)=0,"",SUMIFS(請求記録!$AC$6:$AC$3005,請求記録!$B$6:$B$3005,$A101,請求記録!$X$6:$X$3005,R$5))))</f>
        <v/>
      </c>
      <c r="S101" s="19">
        <f>IF($A101="","",IF(COUNTIFS(請求記録!$B$6:$B$3005,$A101,請求記録!$X$6:$X$3005,S$5,請求記録!$AD$6:$AD$3005,"保留中")&gt;0,"保留",IF(COUNTIFS(請求記録!$B$6:$B$3005,$A101,請求記録!$X$6:$X$3005,S$5)=0,"",SUMIFS(請求記録!$AC$6:$AC$3005,請求記録!$B$6:$B$3005,$A101,請求記録!$X$6:$X$3005,S$5))))</f>
        <v/>
      </c>
      <c r="T101" s="19">
        <f>IF($A101="","",IF(COUNTIFS(請求記録!$B$6:$B$3005,$A101,請求記録!$X$6:$X$3005,T$5,請求記録!$AD$6:$AD$3005,"保留中")&gt;0,"保留",IF(COUNTIFS(請求記録!$B$6:$B$3005,$A101,請求記録!$X$6:$X$3005,T$5)=0,"",SUMIFS(請求記録!$AC$6:$AC$3005,請求記録!$B$6:$B$3005,$A101,請求記録!$X$6:$X$3005,T$5))))</f>
        <v/>
      </c>
      <c r="U101" s="19">
        <f>IF($A101="","",IF(COUNTIFS(請求記録!$B$6:$B$3005,$A101,請求記録!$X$6:$X$3005,U$5,請求記録!$AD$6:$AD$3005,"保留中")&gt;0,"保留",IF(COUNTIFS(請求記録!$B$6:$B$3005,$A101,請求記録!$X$6:$X$3005,U$5)=0,"",SUMIFS(請求記録!$AC$6:$AC$3005,請求記録!$B$6:$B$3005,$A101,請求記録!$X$6:$X$3005,U$5))))</f>
        <v/>
      </c>
      <c r="V101" s="19">
        <f>IF($A101="","",IF(COUNTIFS(請求記録!$B$6:$B$3005,$A101,請求記録!$X$6:$X$3005,V$5,請求記録!$AD$6:$AD$3005,"保留中")&gt;0,"保留",IF(COUNTIFS(請求記録!$B$6:$B$3005,$A101,請求記録!$X$6:$X$3005,V$5)=0,"",SUMIFS(請求記録!$AC$6:$AC$3005,請求記録!$B$6:$B$3005,$A101,請求記録!$X$6:$X$3005,V$5))))</f>
        <v/>
      </c>
      <c r="W101" s="19">
        <f>IF($A101="","",IF(COUNTIFS(請求記録!$B$6:$B$3005,$A101,請求記録!$X$6:$X$3005,W$5,請求記録!$AD$6:$AD$3005,"保留中")&gt;0,"保留",IF(COUNTIFS(請求記録!$B$6:$B$3005,$A101,請求記録!$X$6:$X$3005,W$5)=0,"",SUMIFS(請求記録!$AC$6:$AC$3005,請求記録!$B$6:$B$3005,$A101,請求記録!$X$6:$X$3005,W$5))))</f>
        <v/>
      </c>
      <c r="X101" s="19">
        <f>IF($A101="","",IF(COUNTIFS(請求記録!$B$6:$B$3005,$A101,請求記録!$X$6:$X$3005,X$5,請求記録!$AD$6:$AD$3005,"保留中")&gt;0,"保留",IF(COUNTIFS(請求記録!$B$6:$B$3005,$A101,請求記録!$X$6:$X$3005,X$5)=0,"",SUMIFS(請求記録!$AC$6:$AC$3005,請求記録!$B$6:$B$3005,$A101,請求記録!$X$6:$X$3005,X$5))))</f>
        <v/>
      </c>
      <c r="Y101" s="19">
        <f>IF($A101="","",IF(COUNTIFS(請求記録!$B$6:$B$3005,$A101,請求記録!$X$6:$X$3005,Y$5,請求記録!$AD$6:$AD$3005,"保留中")&gt;0,"保留",IF(COUNTIFS(請求記録!$B$6:$B$3005,$A101,請求記録!$X$6:$X$3005,Y$5)=0,"",SUMIFS(請求記録!$AC$6:$AC$3005,請求記録!$B$6:$B$3005,$A101,請求記録!$X$6:$X$3005,Y$5))))</f>
        <v/>
      </c>
      <c r="Z101" s="19">
        <f>IF($A101="","",IF(COUNTIFS(請求記録!$B$6:$B$3005,$A101,請求記録!$X$6:$X$3005,Z$5,請求記録!$AD$6:$AD$3005,"保留中")&gt;0,"保留",IF(COUNTIFS(請求記録!$B$6:$B$3005,$A101,請求記録!$X$6:$X$3005,Z$5)=0,"",SUMIFS(請求記録!$AC$6:$AC$3005,請求記録!$B$6:$B$3005,$A101,請求記録!$X$6:$X$3005,Z$5))))</f>
        <v/>
      </c>
      <c r="AA101" s="19">
        <f>IF($A101="","",IF(COUNTIFS(請求記録!$B$6:$B$3005,$A101,請求記録!$X$6:$X$3005,AA$5,請求記録!$AD$6:$AD$3005,"保留中")&gt;0,"保留",IF(COUNTIFS(請求記録!$B$6:$B$3005,$A101,請求記録!$X$6:$X$3005,AA$5)=0,"",SUMIFS(請求記録!$AC$6:$AC$3005,請求記録!$B$6:$B$3005,$A101,請求記録!$X$6:$X$3005,AA$5))))</f>
        <v/>
      </c>
      <c r="AB101">
        <f>IF(職員マスタ!P101="保留中",職員マスタ!M101,"")</f>
        <v/>
      </c>
    </row>
    <row r="102">
      <c r="A102">
        <f>IF(職員マスタ!A102="","",職員マスタ!A102)</f>
        <v/>
      </c>
      <c r="B102">
        <f>IF($A102="","",職員マスタ!B102)</f>
        <v/>
      </c>
      <c r="C102">
        <f>IF($A102="","",職員マスタ!C102)</f>
        <v/>
      </c>
      <c r="D102" s="19">
        <f>IF($A102="","",IF(COUNTIFS(請求記録!$B$6:$B$3005,$A102,請求記録!$X$6:$X$3005,D$5,請求記録!$AD$6:$AD$3005,"保留中")&gt;0,"保留",IF(COUNTIFS(請求記録!$B$6:$B$3005,$A102,請求記録!$X$6:$X$3005,D$5)=0,"",SUMIFS(請求記録!$AC$6:$AC$3005,請求記録!$B$6:$B$3005,$A102,請求記録!$X$6:$X$3005,D$5))))</f>
        <v/>
      </c>
      <c r="E102" s="19">
        <f>IF($A102="","",IF(COUNTIFS(請求記録!$B$6:$B$3005,$A102,請求記録!$X$6:$X$3005,E$5,請求記録!$AD$6:$AD$3005,"保留中")&gt;0,"保留",IF(COUNTIFS(請求記録!$B$6:$B$3005,$A102,請求記録!$X$6:$X$3005,E$5)=0,"",SUMIFS(請求記録!$AC$6:$AC$3005,請求記録!$B$6:$B$3005,$A102,請求記録!$X$6:$X$3005,E$5))))</f>
        <v/>
      </c>
      <c r="F102" s="19">
        <f>IF($A102="","",IF(COUNTIFS(請求記録!$B$6:$B$3005,$A102,請求記録!$X$6:$X$3005,F$5,請求記録!$AD$6:$AD$3005,"保留中")&gt;0,"保留",IF(COUNTIFS(請求記録!$B$6:$B$3005,$A102,請求記録!$X$6:$X$3005,F$5)=0,"",SUMIFS(請求記録!$AC$6:$AC$3005,請求記録!$B$6:$B$3005,$A102,請求記録!$X$6:$X$3005,F$5))))</f>
        <v/>
      </c>
      <c r="G102" s="19">
        <f>IF($A102="","",IF(COUNTIFS(請求記録!$B$6:$B$3005,$A102,請求記録!$X$6:$X$3005,G$5,請求記録!$AD$6:$AD$3005,"保留中")&gt;0,"保留",IF(COUNTIFS(請求記録!$B$6:$B$3005,$A102,請求記録!$X$6:$X$3005,G$5)=0,"",SUMIFS(請求記録!$AC$6:$AC$3005,請求記録!$B$6:$B$3005,$A102,請求記録!$X$6:$X$3005,G$5))))</f>
        <v/>
      </c>
      <c r="H102" s="19">
        <f>IF($A102="","",IF(COUNTIFS(請求記録!$B$6:$B$3005,$A102,請求記録!$X$6:$X$3005,H$5,請求記録!$AD$6:$AD$3005,"保留中")&gt;0,"保留",IF(COUNTIFS(請求記録!$B$6:$B$3005,$A102,請求記録!$X$6:$X$3005,H$5)=0,"",SUMIFS(請求記録!$AC$6:$AC$3005,請求記録!$B$6:$B$3005,$A102,請求記録!$X$6:$X$3005,H$5))))</f>
        <v/>
      </c>
      <c r="I102" s="19">
        <f>IF($A102="","",IF(COUNTIFS(請求記録!$B$6:$B$3005,$A102,請求記録!$X$6:$X$3005,I$5,請求記録!$AD$6:$AD$3005,"保留中")&gt;0,"保留",IF(COUNTIFS(請求記録!$B$6:$B$3005,$A102,請求記録!$X$6:$X$3005,I$5)=0,"",SUMIFS(請求記録!$AC$6:$AC$3005,請求記録!$B$6:$B$3005,$A102,請求記録!$X$6:$X$3005,I$5))))</f>
        <v/>
      </c>
      <c r="J102" s="19">
        <f>IF($A102="","",IF(COUNTIFS(請求記録!$B$6:$B$3005,$A102,請求記録!$X$6:$X$3005,J$5,請求記録!$AD$6:$AD$3005,"保留中")&gt;0,"保留",IF(COUNTIFS(請求記録!$B$6:$B$3005,$A102,請求記録!$X$6:$X$3005,J$5)=0,"",SUMIFS(請求記録!$AC$6:$AC$3005,請求記録!$B$6:$B$3005,$A102,請求記録!$X$6:$X$3005,J$5))))</f>
        <v/>
      </c>
      <c r="K102" s="19">
        <f>IF($A102="","",IF(COUNTIFS(請求記録!$B$6:$B$3005,$A102,請求記録!$X$6:$X$3005,K$5,請求記録!$AD$6:$AD$3005,"保留中")&gt;0,"保留",IF(COUNTIFS(請求記録!$B$6:$B$3005,$A102,請求記録!$X$6:$X$3005,K$5)=0,"",SUMIFS(請求記録!$AC$6:$AC$3005,請求記録!$B$6:$B$3005,$A102,請求記録!$X$6:$X$3005,K$5))))</f>
        <v/>
      </c>
      <c r="L102" s="19">
        <f>IF($A102="","",IF(COUNTIFS(請求記録!$B$6:$B$3005,$A102,請求記録!$X$6:$X$3005,L$5,請求記録!$AD$6:$AD$3005,"保留中")&gt;0,"保留",IF(COUNTIFS(請求記録!$B$6:$B$3005,$A102,請求記録!$X$6:$X$3005,L$5)=0,"",SUMIFS(請求記録!$AC$6:$AC$3005,請求記録!$B$6:$B$3005,$A102,請求記録!$X$6:$X$3005,L$5))))</f>
        <v/>
      </c>
      <c r="M102" s="19">
        <f>IF($A102="","",IF(COUNTIFS(請求記録!$B$6:$B$3005,$A102,請求記録!$X$6:$X$3005,M$5,請求記録!$AD$6:$AD$3005,"保留中")&gt;0,"保留",IF(COUNTIFS(請求記録!$B$6:$B$3005,$A102,請求記録!$X$6:$X$3005,M$5)=0,"",SUMIFS(請求記録!$AC$6:$AC$3005,請求記録!$B$6:$B$3005,$A102,請求記録!$X$6:$X$3005,M$5))))</f>
        <v/>
      </c>
      <c r="N102" s="19">
        <f>IF($A102="","",IF(COUNTIFS(請求記録!$B$6:$B$3005,$A102,請求記録!$X$6:$X$3005,N$5,請求記録!$AD$6:$AD$3005,"保留中")&gt;0,"保留",IF(COUNTIFS(請求記録!$B$6:$B$3005,$A102,請求記録!$X$6:$X$3005,N$5)=0,"",SUMIFS(請求記録!$AC$6:$AC$3005,請求記録!$B$6:$B$3005,$A102,請求記録!$X$6:$X$3005,N$5))))</f>
        <v/>
      </c>
      <c r="O102" s="19">
        <f>IF($A102="","",IF(COUNTIFS(請求記録!$B$6:$B$3005,$A102,請求記録!$X$6:$X$3005,O$5,請求記録!$AD$6:$AD$3005,"保留中")&gt;0,"保留",IF(COUNTIFS(請求記録!$B$6:$B$3005,$A102,請求記録!$X$6:$X$3005,O$5)=0,"",SUMIFS(請求記録!$AC$6:$AC$3005,請求記録!$B$6:$B$3005,$A102,請求記録!$X$6:$X$3005,O$5))))</f>
        <v/>
      </c>
      <c r="P102" s="19">
        <f>IF($A102="","",IF(COUNTIFS(請求記録!$B$6:$B$3005,$A102,請求記録!$X$6:$X$3005,P$5,請求記録!$AD$6:$AD$3005,"保留中")&gt;0,"保留",IF(COUNTIFS(請求記録!$B$6:$B$3005,$A102,請求記録!$X$6:$X$3005,P$5)=0,"",SUMIFS(請求記録!$AC$6:$AC$3005,請求記録!$B$6:$B$3005,$A102,請求記録!$X$6:$X$3005,P$5))))</f>
        <v/>
      </c>
      <c r="Q102" s="19">
        <f>IF($A102="","",IF(COUNTIFS(請求記録!$B$6:$B$3005,$A102,請求記録!$X$6:$X$3005,Q$5,請求記録!$AD$6:$AD$3005,"保留中")&gt;0,"保留",IF(COUNTIFS(請求記録!$B$6:$B$3005,$A102,請求記録!$X$6:$X$3005,Q$5)=0,"",SUMIFS(請求記録!$AC$6:$AC$3005,請求記録!$B$6:$B$3005,$A102,請求記録!$X$6:$X$3005,Q$5))))</f>
        <v/>
      </c>
      <c r="R102" s="19">
        <f>IF($A102="","",IF(COUNTIFS(請求記録!$B$6:$B$3005,$A102,請求記録!$X$6:$X$3005,R$5,請求記録!$AD$6:$AD$3005,"保留中")&gt;0,"保留",IF(COUNTIFS(請求記録!$B$6:$B$3005,$A102,請求記録!$X$6:$X$3005,R$5)=0,"",SUMIFS(請求記録!$AC$6:$AC$3005,請求記録!$B$6:$B$3005,$A102,請求記録!$X$6:$X$3005,R$5))))</f>
        <v/>
      </c>
      <c r="S102" s="19">
        <f>IF($A102="","",IF(COUNTIFS(請求記録!$B$6:$B$3005,$A102,請求記録!$X$6:$X$3005,S$5,請求記録!$AD$6:$AD$3005,"保留中")&gt;0,"保留",IF(COUNTIFS(請求記録!$B$6:$B$3005,$A102,請求記録!$X$6:$X$3005,S$5)=0,"",SUMIFS(請求記録!$AC$6:$AC$3005,請求記録!$B$6:$B$3005,$A102,請求記録!$X$6:$X$3005,S$5))))</f>
        <v/>
      </c>
      <c r="T102" s="19">
        <f>IF($A102="","",IF(COUNTIFS(請求記録!$B$6:$B$3005,$A102,請求記録!$X$6:$X$3005,T$5,請求記録!$AD$6:$AD$3005,"保留中")&gt;0,"保留",IF(COUNTIFS(請求記録!$B$6:$B$3005,$A102,請求記録!$X$6:$X$3005,T$5)=0,"",SUMIFS(請求記録!$AC$6:$AC$3005,請求記録!$B$6:$B$3005,$A102,請求記録!$X$6:$X$3005,T$5))))</f>
        <v/>
      </c>
      <c r="U102" s="19">
        <f>IF($A102="","",IF(COUNTIFS(請求記録!$B$6:$B$3005,$A102,請求記録!$X$6:$X$3005,U$5,請求記録!$AD$6:$AD$3005,"保留中")&gt;0,"保留",IF(COUNTIFS(請求記録!$B$6:$B$3005,$A102,請求記録!$X$6:$X$3005,U$5)=0,"",SUMIFS(請求記録!$AC$6:$AC$3005,請求記録!$B$6:$B$3005,$A102,請求記録!$X$6:$X$3005,U$5))))</f>
        <v/>
      </c>
      <c r="V102" s="19">
        <f>IF($A102="","",IF(COUNTIFS(請求記録!$B$6:$B$3005,$A102,請求記録!$X$6:$X$3005,V$5,請求記録!$AD$6:$AD$3005,"保留中")&gt;0,"保留",IF(COUNTIFS(請求記録!$B$6:$B$3005,$A102,請求記録!$X$6:$X$3005,V$5)=0,"",SUMIFS(請求記録!$AC$6:$AC$3005,請求記録!$B$6:$B$3005,$A102,請求記録!$X$6:$X$3005,V$5))))</f>
        <v/>
      </c>
      <c r="W102" s="19">
        <f>IF($A102="","",IF(COUNTIFS(請求記録!$B$6:$B$3005,$A102,請求記録!$X$6:$X$3005,W$5,請求記録!$AD$6:$AD$3005,"保留中")&gt;0,"保留",IF(COUNTIFS(請求記録!$B$6:$B$3005,$A102,請求記録!$X$6:$X$3005,W$5)=0,"",SUMIFS(請求記録!$AC$6:$AC$3005,請求記録!$B$6:$B$3005,$A102,請求記録!$X$6:$X$3005,W$5))))</f>
        <v/>
      </c>
      <c r="X102" s="19">
        <f>IF($A102="","",IF(COUNTIFS(請求記録!$B$6:$B$3005,$A102,請求記録!$X$6:$X$3005,X$5,請求記録!$AD$6:$AD$3005,"保留中")&gt;0,"保留",IF(COUNTIFS(請求記録!$B$6:$B$3005,$A102,請求記録!$X$6:$X$3005,X$5)=0,"",SUMIFS(請求記録!$AC$6:$AC$3005,請求記録!$B$6:$B$3005,$A102,請求記録!$X$6:$X$3005,X$5))))</f>
        <v/>
      </c>
      <c r="Y102" s="19">
        <f>IF($A102="","",IF(COUNTIFS(請求記録!$B$6:$B$3005,$A102,請求記録!$X$6:$X$3005,Y$5,請求記録!$AD$6:$AD$3005,"保留中")&gt;0,"保留",IF(COUNTIFS(請求記録!$B$6:$B$3005,$A102,請求記録!$X$6:$X$3005,Y$5)=0,"",SUMIFS(請求記録!$AC$6:$AC$3005,請求記録!$B$6:$B$3005,$A102,請求記録!$X$6:$X$3005,Y$5))))</f>
        <v/>
      </c>
      <c r="Z102" s="19">
        <f>IF($A102="","",IF(COUNTIFS(請求記録!$B$6:$B$3005,$A102,請求記録!$X$6:$X$3005,Z$5,請求記録!$AD$6:$AD$3005,"保留中")&gt;0,"保留",IF(COUNTIFS(請求記録!$B$6:$B$3005,$A102,請求記録!$X$6:$X$3005,Z$5)=0,"",SUMIFS(請求記録!$AC$6:$AC$3005,請求記録!$B$6:$B$3005,$A102,請求記録!$X$6:$X$3005,Z$5))))</f>
        <v/>
      </c>
      <c r="AA102" s="19">
        <f>IF($A102="","",IF(COUNTIFS(請求記録!$B$6:$B$3005,$A102,請求記録!$X$6:$X$3005,AA$5,請求記録!$AD$6:$AD$3005,"保留中")&gt;0,"保留",IF(COUNTIFS(請求記録!$B$6:$B$3005,$A102,請求記録!$X$6:$X$3005,AA$5)=0,"",SUMIFS(請求記録!$AC$6:$AC$3005,請求記録!$B$6:$B$3005,$A102,請求記録!$X$6:$X$3005,AA$5))))</f>
        <v/>
      </c>
      <c r="AB102">
        <f>IF(職員マスタ!P102="保留中",職員マスタ!M102,"")</f>
        <v/>
      </c>
    </row>
    <row r="103">
      <c r="A103">
        <f>IF(職員マスタ!A103="","",職員マスタ!A103)</f>
        <v/>
      </c>
      <c r="B103">
        <f>IF($A103="","",職員マスタ!B103)</f>
        <v/>
      </c>
      <c r="C103">
        <f>IF($A103="","",職員マスタ!C103)</f>
        <v/>
      </c>
      <c r="D103" s="19">
        <f>IF($A103="","",IF(COUNTIFS(請求記録!$B$6:$B$3005,$A103,請求記録!$X$6:$X$3005,D$5,請求記録!$AD$6:$AD$3005,"保留中")&gt;0,"保留",IF(COUNTIFS(請求記録!$B$6:$B$3005,$A103,請求記録!$X$6:$X$3005,D$5)=0,"",SUMIFS(請求記録!$AC$6:$AC$3005,請求記録!$B$6:$B$3005,$A103,請求記録!$X$6:$X$3005,D$5))))</f>
        <v/>
      </c>
      <c r="E103" s="19">
        <f>IF($A103="","",IF(COUNTIFS(請求記録!$B$6:$B$3005,$A103,請求記録!$X$6:$X$3005,E$5,請求記録!$AD$6:$AD$3005,"保留中")&gt;0,"保留",IF(COUNTIFS(請求記録!$B$6:$B$3005,$A103,請求記録!$X$6:$X$3005,E$5)=0,"",SUMIFS(請求記録!$AC$6:$AC$3005,請求記録!$B$6:$B$3005,$A103,請求記録!$X$6:$X$3005,E$5))))</f>
        <v/>
      </c>
      <c r="F103" s="19">
        <f>IF($A103="","",IF(COUNTIFS(請求記録!$B$6:$B$3005,$A103,請求記録!$X$6:$X$3005,F$5,請求記録!$AD$6:$AD$3005,"保留中")&gt;0,"保留",IF(COUNTIFS(請求記録!$B$6:$B$3005,$A103,請求記録!$X$6:$X$3005,F$5)=0,"",SUMIFS(請求記録!$AC$6:$AC$3005,請求記録!$B$6:$B$3005,$A103,請求記録!$X$6:$X$3005,F$5))))</f>
        <v/>
      </c>
      <c r="G103" s="19">
        <f>IF($A103="","",IF(COUNTIFS(請求記録!$B$6:$B$3005,$A103,請求記録!$X$6:$X$3005,G$5,請求記録!$AD$6:$AD$3005,"保留中")&gt;0,"保留",IF(COUNTIFS(請求記録!$B$6:$B$3005,$A103,請求記録!$X$6:$X$3005,G$5)=0,"",SUMIFS(請求記録!$AC$6:$AC$3005,請求記録!$B$6:$B$3005,$A103,請求記録!$X$6:$X$3005,G$5))))</f>
        <v/>
      </c>
      <c r="H103" s="19">
        <f>IF($A103="","",IF(COUNTIFS(請求記録!$B$6:$B$3005,$A103,請求記録!$X$6:$X$3005,H$5,請求記録!$AD$6:$AD$3005,"保留中")&gt;0,"保留",IF(COUNTIFS(請求記録!$B$6:$B$3005,$A103,請求記録!$X$6:$X$3005,H$5)=0,"",SUMIFS(請求記録!$AC$6:$AC$3005,請求記録!$B$6:$B$3005,$A103,請求記録!$X$6:$X$3005,H$5))))</f>
        <v/>
      </c>
      <c r="I103" s="19">
        <f>IF($A103="","",IF(COUNTIFS(請求記録!$B$6:$B$3005,$A103,請求記録!$X$6:$X$3005,I$5,請求記録!$AD$6:$AD$3005,"保留中")&gt;0,"保留",IF(COUNTIFS(請求記録!$B$6:$B$3005,$A103,請求記録!$X$6:$X$3005,I$5)=0,"",SUMIFS(請求記録!$AC$6:$AC$3005,請求記録!$B$6:$B$3005,$A103,請求記録!$X$6:$X$3005,I$5))))</f>
        <v/>
      </c>
      <c r="J103" s="19">
        <f>IF($A103="","",IF(COUNTIFS(請求記録!$B$6:$B$3005,$A103,請求記録!$X$6:$X$3005,J$5,請求記録!$AD$6:$AD$3005,"保留中")&gt;0,"保留",IF(COUNTIFS(請求記録!$B$6:$B$3005,$A103,請求記録!$X$6:$X$3005,J$5)=0,"",SUMIFS(請求記録!$AC$6:$AC$3005,請求記録!$B$6:$B$3005,$A103,請求記録!$X$6:$X$3005,J$5))))</f>
        <v/>
      </c>
      <c r="K103" s="19">
        <f>IF($A103="","",IF(COUNTIFS(請求記録!$B$6:$B$3005,$A103,請求記録!$X$6:$X$3005,K$5,請求記録!$AD$6:$AD$3005,"保留中")&gt;0,"保留",IF(COUNTIFS(請求記録!$B$6:$B$3005,$A103,請求記録!$X$6:$X$3005,K$5)=0,"",SUMIFS(請求記録!$AC$6:$AC$3005,請求記録!$B$6:$B$3005,$A103,請求記録!$X$6:$X$3005,K$5))))</f>
        <v/>
      </c>
      <c r="L103" s="19">
        <f>IF($A103="","",IF(COUNTIFS(請求記録!$B$6:$B$3005,$A103,請求記録!$X$6:$X$3005,L$5,請求記録!$AD$6:$AD$3005,"保留中")&gt;0,"保留",IF(COUNTIFS(請求記録!$B$6:$B$3005,$A103,請求記録!$X$6:$X$3005,L$5)=0,"",SUMIFS(請求記録!$AC$6:$AC$3005,請求記録!$B$6:$B$3005,$A103,請求記録!$X$6:$X$3005,L$5))))</f>
        <v/>
      </c>
      <c r="M103" s="19">
        <f>IF($A103="","",IF(COUNTIFS(請求記録!$B$6:$B$3005,$A103,請求記録!$X$6:$X$3005,M$5,請求記録!$AD$6:$AD$3005,"保留中")&gt;0,"保留",IF(COUNTIFS(請求記録!$B$6:$B$3005,$A103,請求記録!$X$6:$X$3005,M$5)=0,"",SUMIFS(請求記録!$AC$6:$AC$3005,請求記録!$B$6:$B$3005,$A103,請求記録!$X$6:$X$3005,M$5))))</f>
        <v/>
      </c>
      <c r="N103" s="19">
        <f>IF($A103="","",IF(COUNTIFS(請求記録!$B$6:$B$3005,$A103,請求記録!$X$6:$X$3005,N$5,請求記録!$AD$6:$AD$3005,"保留中")&gt;0,"保留",IF(COUNTIFS(請求記録!$B$6:$B$3005,$A103,請求記録!$X$6:$X$3005,N$5)=0,"",SUMIFS(請求記録!$AC$6:$AC$3005,請求記録!$B$6:$B$3005,$A103,請求記録!$X$6:$X$3005,N$5))))</f>
        <v/>
      </c>
      <c r="O103" s="19">
        <f>IF($A103="","",IF(COUNTIFS(請求記録!$B$6:$B$3005,$A103,請求記録!$X$6:$X$3005,O$5,請求記録!$AD$6:$AD$3005,"保留中")&gt;0,"保留",IF(COUNTIFS(請求記録!$B$6:$B$3005,$A103,請求記録!$X$6:$X$3005,O$5)=0,"",SUMIFS(請求記録!$AC$6:$AC$3005,請求記録!$B$6:$B$3005,$A103,請求記録!$X$6:$X$3005,O$5))))</f>
        <v/>
      </c>
      <c r="P103" s="19">
        <f>IF($A103="","",IF(COUNTIFS(請求記録!$B$6:$B$3005,$A103,請求記録!$X$6:$X$3005,P$5,請求記録!$AD$6:$AD$3005,"保留中")&gt;0,"保留",IF(COUNTIFS(請求記録!$B$6:$B$3005,$A103,請求記録!$X$6:$X$3005,P$5)=0,"",SUMIFS(請求記録!$AC$6:$AC$3005,請求記録!$B$6:$B$3005,$A103,請求記録!$X$6:$X$3005,P$5))))</f>
        <v/>
      </c>
      <c r="Q103" s="19">
        <f>IF($A103="","",IF(COUNTIFS(請求記録!$B$6:$B$3005,$A103,請求記録!$X$6:$X$3005,Q$5,請求記録!$AD$6:$AD$3005,"保留中")&gt;0,"保留",IF(COUNTIFS(請求記録!$B$6:$B$3005,$A103,請求記録!$X$6:$X$3005,Q$5)=0,"",SUMIFS(請求記録!$AC$6:$AC$3005,請求記録!$B$6:$B$3005,$A103,請求記録!$X$6:$X$3005,Q$5))))</f>
        <v/>
      </c>
      <c r="R103" s="19">
        <f>IF($A103="","",IF(COUNTIFS(請求記録!$B$6:$B$3005,$A103,請求記録!$X$6:$X$3005,R$5,請求記録!$AD$6:$AD$3005,"保留中")&gt;0,"保留",IF(COUNTIFS(請求記録!$B$6:$B$3005,$A103,請求記録!$X$6:$X$3005,R$5)=0,"",SUMIFS(請求記録!$AC$6:$AC$3005,請求記録!$B$6:$B$3005,$A103,請求記録!$X$6:$X$3005,R$5))))</f>
        <v/>
      </c>
      <c r="S103" s="19">
        <f>IF($A103="","",IF(COUNTIFS(請求記録!$B$6:$B$3005,$A103,請求記録!$X$6:$X$3005,S$5,請求記録!$AD$6:$AD$3005,"保留中")&gt;0,"保留",IF(COUNTIFS(請求記録!$B$6:$B$3005,$A103,請求記録!$X$6:$X$3005,S$5)=0,"",SUMIFS(請求記録!$AC$6:$AC$3005,請求記録!$B$6:$B$3005,$A103,請求記録!$X$6:$X$3005,S$5))))</f>
        <v/>
      </c>
      <c r="T103" s="19">
        <f>IF($A103="","",IF(COUNTIFS(請求記録!$B$6:$B$3005,$A103,請求記録!$X$6:$X$3005,T$5,請求記録!$AD$6:$AD$3005,"保留中")&gt;0,"保留",IF(COUNTIFS(請求記録!$B$6:$B$3005,$A103,請求記録!$X$6:$X$3005,T$5)=0,"",SUMIFS(請求記録!$AC$6:$AC$3005,請求記録!$B$6:$B$3005,$A103,請求記録!$X$6:$X$3005,T$5))))</f>
        <v/>
      </c>
      <c r="U103" s="19">
        <f>IF($A103="","",IF(COUNTIFS(請求記録!$B$6:$B$3005,$A103,請求記録!$X$6:$X$3005,U$5,請求記録!$AD$6:$AD$3005,"保留中")&gt;0,"保留",IF(COUNTIFS(請求記録!$B$6:$B$3005,$A103,請求記録!$X$6:$X$3005,U$5)=0,"",SUMIFS(請求記録!$AC$6:$AC$3005,請求記録!$B$6:$B$3005,$A103,請求記録!$X$6:$X$3005,U$5))))</f>
        <v/>
      </c>
      <c r="V103" s="19">
        <f>IF($A103="","",IF(COUNTIFS(請求記録!$B$6:$B$3005,$A103,請求記録!$X$6:$X$3005,V$5,請求記録!$AD$6:$AD$3005,"保留中")&gt;0,"保留",IF(COUNTIFS(請求記録!$B$6:$B$3005,$A103,請求記録!$X$6:$X$3005,V$5)=0,"",SUMIFS(請求記録!$AC$6:$AC$3005,請求記録!$B$6:$B$3005,$A103,請求記録!$X$6:$X$3005,V$5))))</f>
        <v/>
      </c>
      <c r="W103" s="19">
        <f>IF($A103="","",IF(COUNTIFS(請求記録!$B$6:$B$3005,$A103,請求記録!$X$6:$X$3005,W$5,請求記録!$AD$6:$AD$3005,"保留中")&gt;0,"保留",IF(COUNTIFS(請求記録!$B$6:$B$3005,$A103,請求記録!$X$6:$X$3005,W$5)=0,"",SUMIFS(請求記録!$AC$6:$AC$3005,請求記録!$B$6:$B$3005,$A103,請求記録!$X$6:$X$3005,W$5))))</f>
        <v/>
      </c>
      <c r="X103" s="19">
        <f>IF($A103="","",IF(COUNTIFS(請求記録!$B$6:$B$3005,$A103,請求記録!$X$6:$X$3005,X$5,請求記録!$AD$6:$AD$3005,"保留中")&gt;0,"保留",IF(COUNTIFS(請求記録!$B$6:$B$3005,$A103,請求記録!$X$6:$X$3005,X$5)=0,"",SUMIFS(請求記録!$AC$6:$AC$3005,請求記録!$B$6:$B$3005,$A103,請求記録!$X$6:$X$3005,X$5))))</f>
        <v/>
      </c>
      <c r="Y103" s="19">
        <f>IF($A103="","",IF(COUNTIFS(請求記録!$B$6:$B$3005,$A103,請求記録!$X$6:$X$3005,Y$5,請求記録!$AD$6:$AD$3005,"保留中")&gt;0,"保留",IF(COUNTIFS(請求記録!$B$6:$B$3005,$A103,請求記録!$X$6:$X$3005,Y$5)=0,"",SUMIFS(請求記録!$AC$6:$AC$3005,請求記録!$B$6:$B$3005,$A103,請求記録!$X$6:$X$3005,Y$5))))</f>
        <v/>
      </c>
      <c r="Z103" s="19">
        <f>IF($A103="","",IF(COUNTIFS(請求記録!$B$6:$B$3005,$A103,請求記録!$X$6:$X$3005,Z$5,請求記録!$AD$6:$AD$3005,"保留中")&gt;0,"保留",IF(COUNTIFS(請求記録!$B$6:$B$3005,$A103,請求記録!$X$6:$X$3005,Z$5)=0,"",SUMIFS(請求記録!$AC$6:$AC$3005,請求記録!$B$6:$B$3005,$A103,請求記録!$X$6:$X$3005,Z$5))))</f>
        <v/>
      </c>
      <c r="AA103" s="19">
        <f>IF($A103="","",IF(COUNTIFS(請求記録!$B$6:$B$3005,$A103,請求記録!$X$6:$X$3005,AA$5,請求記録!$AD$6:$AD$3005,"保留中")&gt;0,"保留",IF(COUNTIFS(請求記録!$B$6:$B$3005,$A103,請求記録!$X$6:$X$3005,AA$5)=0,"",SUMIFS(請求記録!$AC$6:$AC$3005,請求記録!$B$6:$B$3005,$A103,請求記録!$X$6:$X$3005,AA$5))))</f>
        <v/>
      </c>
      <c r="AB103">
        <f>IF(職員マスタ!P103="保留中",職員マスタ!M103,"")</f>
        <v/>
      </c>
    </row>
    <row r="104">
      <c r="A104">
        <f>IF(職員マスタ!A104="","",職員マスタ!A104)</f>
        <v/>
      </c>
      <c r="B104">
        <f>IF($A104="","",職員マスタ!B104)</f>
        <v/>
      </c>
      <c r="C104">
        <f>IF($A104="","",職員マスタ!C104)</f>
        <v/>
      </c>
      <c r="D104" s="19">
        <f>IF($A104="","",IF(COUNTIFS(請求記録!$B$6:$B$3005,$A104,請求記録!$X$6:$X$3005,D$5,請求記録!$AD$6:$AD$3005,"保留中")&gt;0,"保留",IF(COUNTIFS(請求記録!$B$6:$B$3005,$A104,請求記録!$X$6:$X$3005,D$5)=0,"",SUMIFS(請求記録!$AC$6:$AC$3005,請求記録!$B$6:$B$3005,$A104,請求記録!$X$6:$X$3005,D$5))))</f>
        <v/>
      </c>
      <c r="E104" s="19">
        <f>IF($A104="","",IF(COUNTIFS(請求記録!$B$6:$B$3005,$A104,請求記録!$X$6:$X$3005,E$5,請求記録!$AD$6:$AD$3005,"保留中")&gt;0,"保留",IF(COUNTIFS(請求記録!$B$6:$B$3005,$A104,請求記録!$X$6:$X$3005,E$5)=0,"",SUMIFS(請求記録!$AC$6:$AC$3005,請求記録!$B$6:$B$3005,$A104,請求記録!$X$6:$X$3005,E$5))))</f>
        <v/>
      </c>
      <c r="F104" s="19">
        <f>IF($A104="","",IF(COUNTIFS(請求記録!$B$6:$B$3005,$A104,請求記録!$X$6:$X$3005,F$5,請求記録!$AD$6:$AD$3005,"保留中")&gt;0,"保留",IF(COUNTIFS(請求記録!$B$6:$B$3005,$A104,請求記録!$X$6:$X$3005,F$5)=0,"",SUMIFS(請求記録!$AC$6:$AC$3005,請求記録!$B$6:$B$3005,$A104,請求記録!$X$6:$X$3005,F$5))))</f>
        <v/>
      </c>
      <c r="G104" s="19">
        <f>IF($A104="","",IF(COUNTIFS(請求記録!$B$6:$B$3005,$A104,請求記録!$X$6:$X$3005,G$5,請求記録!$AD$6:$AD$3005,"保留中")&gt;0,"保留",IF(COUNTIFS(請求記録!$B$6:$B$3005,$A104,請求記録!$X$6:$X$3005,G$5)=0,"",SUMIFS(請求記録!$AC$6:$AC$3005,請求記録!$B$6:$B$3005,$A104,請求記録!$X$6:$X$3005,G$5))))</f>
        <v/>
      </c>
      <c r="H104" s="19">
        <f>IF($A104="","",IF(COUNTIFS(請求記録!$B$6:$B$3005,$A104,請求記録!$X$6:$X$3005,H$5,請求記録!$AD$6:$AD$3005,"保留中")&gt;0,"保留",IF(COUNTIFS(請求記録!$B$6:$B$3005,$A104,請求記録!$X$6:$X$3005,H$5)=0,"",SUMIFS(請求記録!$AC$6:$AC$3005,請求記録!$B$6:$B$3005,$A104,請求記録!$X$6:$X$3005,H$5))))</f>
        <v/>
      </c>
      <c r="I104" s="19">
        <f>IF($A104="","",IF(COUNTIFS(請求記録!$B$6:$B$3005,$A104,請求記録!$X$6:$X$3005,I$5,請求記録!$AD$6:$AD$3005,"保留中")&gt;0,"保留",IF(COUNTIFS(請求記録!$B$6:$B$3005,$A104,請求記録!$X$6:$X$3005,I$5)=0,"",SUMIFS(請求記録!$AC$6:$AC$3005,請求記録!$B$6:$B$3005,$A104,請求記録!$X$6:$X$3005,I$5))))</f>
        <v/>
      </c>
      <c r="J104" s="19">
        <f>IF($A104="","",IF(COUNTIFS(請求記録!$B$6:$B$3005,$A104,請求記録!$X$6:$X$3005,J$5,請求記録!$AD$6:$AD$3005,"保留中")&gt;0,"保留",IF(COUNTIFS(請求記録!$B$6:$B$3005,$A104,請求記録!$X$6:$X$3005,J$5)=0,"",SUMIFS(請求記録!$AC$6:$AC$3005,請求記録!$B$6:$B$3005,$A104,請求記録!$X$6:$X$3005,J$5))))</f>
        <v/>
      </c>
      <c r="K104" s="19">
        <f>IF($A104="","",IF(COUNTIFS(請求記録!$B$6:$B$3005,$A104,請求記録!$X$6:$X$3005,K$5,請求記録!$AD$6:$AD$3005,"保留中")&gt;0,"保留",IF(COUNTIFS(請求記録!$B$6:$B$3005,$A104,請求記録!$X$6:$X$3005,K$5)=0,"",SUMIFS(請求記録!$AC$6:$AC$3005,請求記録!$B$6:$B$3005,$A104,請求記録!$X$6:$X$3005,K$5))))</f>
        <v/>
      </c>
      <c r="L104" s="19">
        <f>IF($A104="","",IF(COUNTIFS(請求記録!$B$6:$B$3005,$A104,請求記録!$X$6:$X$3005,L$5,請求記録!$AD$6:$AD$3005,"保留中")&gt;0,"保留",IF(COUNTIFS(請求記録!$B$6:$B$3005,$A104,請求記録!$X$6:$X$3005,L$5)=0,"",SUMIFS(請求記録!$AC$6:$AC$3005,請求記録!$B$6:$B$3005,$A104,請求記録!$X$6:$X$3005,L$5))))</f>
        <v/>
      </c>
      <c r="M104" s="19">
        <f>IF($A104="","",IF(COUNTIFS(請求記録!$B$6:$B$3005,$A104,請求記録!$X$6:$X$3005,M$5,請求記録!$AD$6:$AD$3005,"保留中")&gt;0,"保留",IF(COUNTIFS(請求記録!$B$6:$B$3005,$A104,請求記録!$X$6:$X$3005,M$5)=0,"",SUMIFS(請求記録!$AC$6:$AC$3005,請求記録!$B$6:$B$3005,$A104,請求記録!$X$6:$X$3005,M$5))))</f>
        <v/>
      </c>
      <c r="N104" s="19">
        <f>IF($A104="","",IF(COUNTIFS(請求記録!$B$6:$B$3005,$A104,請求記録!$X$6:$X$3005,N$5,請求記録!$AD$6:$AD$3005,"保留中")&gt;0,"保留",IF(COUNTIFS(請求記録!$B$6:$B$3005,$A104,請求記録!$X$6:$X$3005,N$5)=0,"",SUMIFS(請求記録!$AC$6:$AC$3005,請求記録!$B$6:$B$3005,$A104,請求記録!$X$6:$X$3005,N$5))))</f>
        <v/>
      </c>
      <c r="O104" s="19">
        <f>IF($A104="","",IF(COUNTIFS(請求記録!$B$6:$B$3005,$A104,請求記録!$X$6:$X$3005,O$5,請求記録!$AD$6:$AD$3005,"保留中")&gt;0,"保留",IF(COUNTIFS(請求記録!$B$6:$B$3005,$A104,請求記録!$X$6:$X$3005,O$5)=0,"",SUMIFS(請求記録!$AC$6:$AC$3005,請求記録!$B$6:$B$3005,$A104,請求記録!$X$6:$X$3005,O$5))))</f>
        <v/>
      </c>
      <c r="P104" s="19">
        <f>IF($A104="","",IF(COUNTIFS(請求記録!$B$6:$B$3005,$A104,請求記録!$X$6:$X$3005,P$5,請求記録!$AD$6:$AD$3005,"保留中")&gt;0,"保留",IF(COUNTIFS(請求記録!$B$6:$B$3005,$A104,請求記録!$X$6:$X$3005,P$5)=0,"",SUMIFS(請求記録!$AC$6:$AC$3005,請求記録!$B$6:$B$3005,$A104,請求記録!$X$6:$X$3005,P$5))))</f>
        <v/>
      </c>
      <c r="Q104" s="19">
        <f>IF($A104="","",IF(COUNTIFS(請求記録!$B$6:$B$3005,$A104,請求記録!$X$6:$X$3005,Q$5,請求記録!$AD$6:$AD$3005,"保留中")&gt;0,"保留",IF(COUNTIFS(請求記録!$B$6:$B$3005,$A104,請求記録!$X$6:$X$3005,Q$5)=0,"",SUMIFS(請求記録!$AC$6:$AC$3005,請求記録!$B$6:$B$3005,$A104,請求記録!$X$6:$X$3005,Q$5))))</f>
        <v/>
      </c>
      <c r="R104" s="19">
        <f>IF($A104="","",IF(COUNTIFS(請求記録!$B$6:$B$3005,$A104,請求記録!$X$6:$X$3005,R$5,請求記録!$AD$6:$AD$3005,"保留中")&gt;0,"保留",IF(COUNTIFS(請求記録!$B$6:$B$3005,$A104,請求記録!$X$6:$X$3005,R$5)=0,"",SUMIFS(請求記録!$AC$6:$AC$3005,請求記録!$B$6:$B$3005,$A104,請求記録!$X$6:$X$3005,R$5))))</f>
        <v/>
      </c>
      <c r="S104" s="19">
        <f>IF($A104="","",IF(COUNTIFS(請求記録!$B$6:$B$3005,$A104,請求記録!$X$6:$X$3005,S$5,請求記録!$AD$6:$AD$3005,"保留中")&gt;0,"保留",IF(COUNTIFS(請求記録!$B$6:$B$3005,$A104,請求記録!$X$6:$X$3005,S$5)=0,"",SUMIFS(請求記録!$AC$6:$AC$3005,請求記録!$B$6:$B$3005,$A104,請求記録!$X$6:$X$3005,S$5))))</f>
        <v/>
      </c>
      <c r="T104" s="19">
        <f>IF($A104="","",IF(COUNTIFS(請求記録!$B$6:$B$3005,$A104,請求記録!$X$6:$X$3005,T$5,請求記録!$AD$6:$AD$3005,"保留中")&gt;0,"保留",IF(COUNTIFS(請求記録!$B$6:$B$3005,$A104,請求記録!$X$6:$X$3005,T$5)=0,"",SUMIFS(請求記録!$AC$6:$AC$3005,請求記録!$B$6:$B$3005,$A104,請求記録!$X$6:$X$3005,T$5))))</f>
        <v/>
      </c>
      <c r="U104" s="19">
        <f>IF($A104="","",IF(COUNTIFS(請求記録!$B$6:$B$3005,$A104,請求記録!$X$6:$X$3005,U$5,請求記録!$AD$6:$AD$3005,"保留中")&gt;0,"保留",IF(COUNTIFS(請求記録!$B$6:$B$3005,$A104,請求記録!$X$6:$X$3005,U$5)=0,"",SUMIFS(請求記録!$AC$6:$AC$3005,請求記録!$B$6:$B$3005,$A104,請求記録!$X$6:$X$3005,U$5))))</f>
        <v/>
      </c>
      <c r="V104" s="19">
        <f>IF($A104="","",IF(COUNTIFS(請求記録!$B$6:$B$3005,$A104,請求記録!$X$6:$X$3005,V$5,請求記録!$AD$6:$AD$3005,"保留中")&gt;0,"保留",IF(COUNTIFS(請求記録!$B$6:$B$3005,$A104,請求記録!$X$6:$X$3005,V$5)=0,"",SUMIFS(請求記録!$AC$6:$AC$3005,請求記録!$B$6:$B$3005,$A104,請求記録!$X$6:$X$3005,V$5))))</f>
        <v/>
      </c>
      <c r="W104" s="19">
        <f>IF($A104="","",IF(COUNTIFS(請求記録!$B$6:$B$3005,$A104,請求記録!$X$6:$X$3005,W$5,請求記録!$AD$6:$AD$3005,"保留中")&gt;0,"保留",IF(COUNTIFS(請求記録!$B$6:$B$3005,$A104,請求記録!$X$6:$X$3005,W$5)=0,"",SUMIFS(請求記録!$AC$6:$AC$3005,請求記録!$B$6:$B$3005,$A104,請求記録!$X$6:$X$3005,W$5))))</f>
        <v/>
      </c>
      <c r="X104" s="19">
        <f>IF($A104="","",IF(COUNTIFS(請求記録!$B$6:$B$3005,$A104,請求記録!$X$6:$X$3005,X$5,請求記録!$AD$6:$AD$3005,"保留中")&gt;0,"保留",IF(COUNTIFS(請求記録!$B$6:$B$3005,$A104,請求記録!$X$6:$X$3005,X$5)=0,"",SUMIFS(請求記録!$AC$6:$AC$3005,請求記録!$B$6:$B$3005,$A104,請求記録!$X$6:$X$3005,X$5))))</f>
        <v/>
      </c>
      <c r="Y104" s="19">
        <f>IF($A104="","",IF(COUNTIFS(請求記録!$B$6:$B$3005,$A104,請求記録!$X$6:$X$3005,Y$5,請求記録!$AD$6:$AD$3005,"保留中")&gt;0,"保留",IF(COUNTIFS(請求記録!$B$6:$B$3005,$A104,請求記録!$X$6:$X$3005,Y$5)=0,"",SUMIFS(請求記録!$AC$6:$AC$3005,請求記録!$B$6:$B$3005,$A104,請求記録!$X$6:$X$3005,Y$5))))</f>
        <v/>
      </c>
      <c r="Z104" s="19">
        <f>IF($A104="","",IF(COUNTIFS(請求記録!$B$6:$B$3005,$A104,請求記録!$X$6:$X$3005,Z$5,請求記録!$AD$6:$AD$3005,"保留中")&gt;0,"保留",IF(COUNTIFS(請求記録!$B$6:$B$3005,$A104,請求記録!$X$6:$X$3005,Z$5)=0,"",SUMIFS(請求記録!$AC$6:$AC$3005,請求記録!$B$6:$B$3005,$A104,請求記録!$X$6:$X$3005,Z$5))))</f>
        <v/>
      </c>
      <c r="AA104" s="19">
        <f>IF($A104="","",IF(COUNTIFS(請求記録!$B$6:$B$3005,$A104,請求記録!$X$6:$X$3005,AA$5,請求記録!$AD$6:$AD$3005,"保留中")&gt;0,"保留",IF(COUNTIFS(請求記録!$B$6:$B$3005,$A104,請求記録!$X$6:$X$3005,AA$5)=0,"",SUMIFS(請求記録!$AC$6:$AC$3005,請求記録!$B$6:$B$3005,$A104,請求記録!$X$6:$X$3005,AA$5))))</f>
        <v/>
      </c>
      <c r="AB104">
        <f>IF(職員マスタ!P104="保留中",職員マスタ!M104,"")</f>
        <v/>
      </c>
    </row>
    <row r="105">
      <c r="A105">
        <f>IF(職員マスタ!A105="","",職員マスタ!A105)</f>
        <v/>
      </c>
      <c r="B105">
        <f>IF($A105="","",職員マスタ!B105)</f>
        <v/>
      </c>
      <c r="C105">
        <f>IF($A105="","",職員マスタ!C105)</f>
        <v/>
      </c>
      <c r="D105" s="19">
        <f>IF($A105="","",IF(COUNTIFS(請求記録!$B$6:$B$3005,$A105,請求記録!$X$6:$X$3005,D$5,請求記録!$AD$6:$AD$3005,"保留中")&gt;0,"保留",IF(COUNTIFS(請求記録!$B$6:$B$3005,$A105,請求記録!$X$6:$X$3005,D$5)=0,"",SUMIFS(請求記録!$AC$6:$AC$3005,請求記録!$B$6:$B$3005,$A105,請求記録!$X$6:$X$3005,D$5))))</f>
        <v/>
      </c>
      <c r="E105" s="19">
        <f>IF($A105="","",IF(COUNTIFS(請求記録!$B$6:$B$3005,$A105,請求記録!$X$6:$X$3005,E$5,請求記録!$AD$6:$AD$3005,"保留中")&gt;0,"保留",IF(COUNTIFS(請求記録!$B$6:$B$3005,$A105,請求記録!$X$6:$X$3005,E$5)=0,"",SUMIFS(請求記録!$AC$6:$AC$3005,請求記録!$B$6:$B$3005,$A105,請求記録!$X$6:$X$3005,E$5))))</f>
        <v/>
      </c>
      <c r="F105" s="19">
        <f>IF($A105="","",IF(COUNTIFS(請求記録!$B$6:$B$3005,$A105,請求記録!$X$6:$X$3005,F$5,請求記録!$AD$6:$AD$3005,"保留中")&gt;0,"保留",IF(COUNTIFS(請求記録!$B$6:$B$3005,$A105,請求記録!$X$6:$X$3005,F$5)=0,"",SUMIFS(請求記録!$AC$6:$AC$3005,請求記録!$B$6:$B$3005,$A105,請求記録!$X$6:$X$3005,F$5))))</f>
        <v/>
      </c>
      <c r="G105" s="19">
        <f>IF($A105="","",IF(COUNTIFS(請求記録!$B$6:$B$3005,$A105,請求記録!$X$6:$X$3005,G$5,請求記録!$AD$6:$AD$3005,"保留中")&gt;0,"保留",IF(COUNTIFS(請求記録!$B$6:$B$3005,$A105,請求記録!$X$6:$X$3005,G$5)=0,"",SUMIFS(請求記録!$AC$6:$AC$3005,請求記録!$B$6:$B$3005,$A105,請求記録!$X$6:$X$3005,G$5))))</f>
        <v/>
      </c>
      <c r="H105" s="19">
        <f>IF($A105="","",IF(COUNTIFS(請求記録!$B$6:$B$3005,$A105,請求記録!$X$6:$X$3005,H$5,請求記録!$AD$6:$AD$3005,"保留中")&gt;0,"保留",IF(COUNTIFS(請求記録!$B$6:$B$3005,$A105,請求記録!$X$6:$X$3005,H$5)=0,"",SUMIFS(請求記録!$AC$6:$AC$3005,請求記録!$B$6:$B$3005,$A105,請求記録!$X$6:$X$3005,H$5))))</f>
        <v/>
      </c>
      <c r="I105" s="19">
        <f>IF($A105="","",IF(COUNTIFS(請求記録!$B$6:$B$3005,$A105,請求記録!$X$6:$X$3005,I$5,請求記録!$AD$6:$AD$3005,"保留中")&gt;0,"保留",IF(COUNTIFS(請求記録!$B$6:$B$3005,$A105,請求記録!$X$6:$X$3005,I$5)=0,"",SUMIFS(請求記録!$AC$6:$AC$3005,請求記録!$B$6:$B$3005,$A105,請求記録!$X$6:$X$3005,I$5))))</f>
        <v/>
      </c>
      <c r="J105" s="19">
        <f>IF($A105="","",IF(COUNTIFS(請求記録!$B$6:$B$3005,$A105,請求記録!$X$6:$X$3005,J$5,請求記録!$AD$6:$AD$3005,"保留中")&gt;0,"保留",IF(COUNTIFS(請求記録!$B$6:$B$3005,$A105,請求記録!$X$6:$X$3005,J$5)=0,"",SUMIFS(請求記録!$AC$6:$AC$3005,請求記録!$B$6:$B$3005,$A105,請求記録!$X$6:$X$3005,J$5))))</f>
        <v/>
      </c>
      <c r="K105" s="19">
        <f>IF($A105="","",IF(COUNTIFS(請求記録!$B$6:$B$3005,$A105,請求記録!$X$6:$X$3005,K$5,請求記録!$AD$6:$AD$3005,"保留中")&gt;0,"保留",IF(COUNTIFS(請求記録!$B$6:$B$3005,$A105,請求記録!$X$6:$X$3005,K$5)=0,"",SUMIFS(請求記録!$AC$6:$AC$3005,請求記録!$B$6:$B$3005,$A105,請求記録!$X$6:$X$3005,K$5))))</f>
        <v/>
      </c>
      <c r="L105" s="19">
        <f>IF($A105="","",IF(COUNTIFS(請求記録!$B$6:$B$3005,$A105,請求記録!$X$6:$X$3005,L$5,請求記録!$AD$6:$AD$3005,"保留中")&gt;0,"保留",IF(COUNTIFS(請求記録!$B$6:$B$3005,$A105,請求記録!$X$6:$X$3005,L$5)=0,"",SUMIFS(請求記録!$AC$6:$AC$3005,請求記録!$B$6:$B$3005,$A105,請求記録!$X$6:$X$3005,L$5))))</f>
        <v/>
      </c>
      <c r="M105" s="19">
        <f>IF($A105="","",IF(COUNTIFS(請求記録!$B$6:$B$3005,$A105,請求記録!$X$6:$X$3005,M$5,請求記録!$AD$6:$AD$3005,"保留中")&gt;0,"保留",IF(COUNTIFS(請求記録!$B$6:$B$3005,$A105,請求記録!$X$6:$X$3005,M$5)=0,"",SUMIFS(請求記録!$AC$6:$AC$3005,請求記録!$B$6:$B$3005,$A105,請求記録!$X$6:$X$3005,M$5))))</f>
        <v/>
      </c>
      <c r="N105" s="19">
        <f>IF($A105="","",IF(COUNTIFS(請求記録!$B$6:$B$3005,$A105,請求記録!$X$6:$X$3005,N$5,請求記録!$AD$6:$AD$3005,"保留中")&gt;0,"保留",IF(COUNTIFS(請求記録!$B$6:$B$3005,$A105,請求記録!$X$6:$X$3005,N$5)=0,"",SUMIFS(請求記録!$AC$6:$AC$3005,請求記録!$B$6:$B$3005,$A105,請求記録!$X$6:$X$3005,N$5))))</f>
        <v/>
      </c>
      <c r="O105" s="19">
        <f>IF($A105="","",IF(COUNTIFS(請求記録!$B$6:$B$3005,$A105,請求記録!$X$6:$X$3005,O$5,請求記録!$AD$6:$AD$3005,"保留中")&gt;0,"保留",IF(COUNTIFS(請求記録!$B$6:$B$3005,$A105,請求記録!$X$6:$X$3005,O$5)=0,"",SUMIFS(請求記録!$AC$6:$AC$3005,請求記録!$B$6:$B$3005,$A105,請求記録!$X$6:$X$3005,O$5))))</f>
        <v/>
      </c>
      <c r="P105" s="19">
        <f>IF($A105="","",IF(COUNTIFS(請求記録!$B$6:$B$3005,$A105,請求記録!$X$6:$X$3005,P$5,請求記録!$AD$6:$AD$3005,"保留中")&gt;0,"保留",IF(COUNTIFS(請求記録!$B$6:$B$3005,$A105,請求記録!$X$6:$X$3005,P$5)=0,"",SUMIFS(請求記録!$AC$6:$AC$3005,請求記録!$B$6:$B$3005,$A105,請求記録!$X$6:$X$3005,P$5))))</f>
        <v/>
      </c>
      <c r="Q105" s="19">
        <f>IF($A105="","",IF(COUNTIFS(請求記録!$B$6:$B$3005,$A105,請求記録!$X$6:$X$3005,Q$5,請求記録!$AD$6:$AD$3005,"保留中")&gt;0,"保留",IF(COUNTIFS(請求記録!$B$6:$B$3005,$A105,請求記録!$X$6:$X$3005,Q$5)=0,"",SUMIFS(請求記録!$AC$6:$AC$3005,請求記録!$B$6:$B$3005,$A105,請求記録!$X$6:$X$3005,Q$5))))</f>
        <v/>
      </c>
      <c r="R105" s="19">
        <f>IF($A105="","",IF(COUNTIFS(請求記録!$B$6:$B$3005,$A105,請求記録!$X$6:$X$3005,R$5,請求記録!$AD$6:$AD$3005,"保留中")&gt;0,"保留",IF(COUNTIFS(請求記録!$B$6:$B$3005,$A105,請求記録!$X$6:$X$3005,R$5)=0,"",SUMIFS(請求記録!$AC$6:$AC$3005,請求記録!$B$6:$B$3005,$A105,請求記録!$X$6:$X$3005,R$5))))</f>
        <v/>
      </c>
      <c r="S105" s="19">
        <f>IF($A105="","",IF(COUNTIFS(請求記録!$B$6:$B$3005,$A105,請求記録!$X$6:$X$3005,S$5,請求記録!$AD$6:$AD$3005,"保留中")&gt;0,"保留",IF(COUNTIFS(請求記録!$B$6:$B$3005,$A105,請求記録!$X$6:$X$3005,S$5)=0,"",SUMIFS(請求記録!$AC$6:$AC$3005,請求記録!$B$6:$B$3005,$A105,請求記録!$X$6:$X$3005,S$5))))</f>
        <v/>
      </c>
      <c r="T105" s="19">
        <f>IF($A105="","",IF(COUNTIFS(請求記録!$B$6:$B$3005,$A105,請求記録!$X$6:$X$3005,T$5,請求記録!$AD$6:$AD$3005,"保留中")&gt;0,"保留",IF(COUNTIFS(請求記録!$B$6:$B$3005,$A105,請求記録!$X$6:$X$3005,T$5)=0,"",SUMIFS(請求記録!$AC$6:$AC$3005,請求記録!$B$6:$B$3005,$A105,請求記録!$X$6:$X$3005,T$5))))</f>
        <v/>
      </c>
      <c r="U105" s="19">
        <f>IF($A105="","",IF(COUNTIFS(請求記録!$B$6:$B$3005,$A105,請求記録!$X$6:$X$3005,U$5,請求記録!$AD$6:$AD$3005,"保留中")&gt;0,"保留",IF(COUNTIFS(請求記録!$B$6:$B$3005,$A105,請求記録!$X$6:$X$3005,U$5)=0,"",SUMIFS(請求記録!$AC$6:$AC$3005,請求記録!$B$6:$B$3005,$A105,請求記録!$X$6:$X$3005,U$5))))</f>
        <v/>
      </c>
      <c r="V105" s="19">
        <f>IF($A105="","",IF(COUNTIFS(請求記録!$B$6:$B$3005,$A105,請求記録!$X$6:$X$3005,V$5,請求記録!$AD$6:$AD$3005,"保留中")&gt;0,"保留",IF(COUNTIFS(請求記録!$B$6:$B$3005,$A105,請求記録!$X$6:$X$3005,V$5)=0,"",SUMIFS(請求記録!$AC$6:$AC$3005,請求記録!$B$6:$B$3005,$A105,請求記録!$X$6:$X$3005,V$5))))</f>
        <v/>
      </c>
      <c r="W105" s="19">
        <f>IF($A105="","",IF(COUNTIFS(請求記録!$B$6:$B$3005,$A105,請求記録!$X$6:$X$3005,W$5,請求記録!$AD$6:$AD$3005,"保留中")&gt;0,"保留",IF(COUNTIFS(請求記録!$B$6:$B$3005,$A105,請求記録!$X$6:$X$3005,W$5)=0,"",SUMIFS(請求記録!$AC$6:$AC$3005,請求記録!$B$6:$B$3005,$A105,請求記録!$X$6:$X$3005,W$5))))</f>
        <v/>
      </c>
      <c r="X105" s="19">
        <f>IF($A105="","",IF(COUNTIFS(請求記録!$B$6:$B$3005,$A105,請求記録!$X$6:$X$3005,X$5,請求記録!$AD$6:$AD$3005,"保留中")&gt;0,"保留",IF(COUNTIFS(請求記録!$B$6:$B$3005,$A105,請求記録!$X$6:$X$3005,X$5)=0,"",SUMIFS(請求記録!$AC$6:$AC$3005,請求記録!$B$6:$B$3005,$A105,請求記録!$X$6:$X$3005,X$5))))</f>
        <v/>
      </c>
      <c r="Y105" s="19">
        <f>IF($A105="","",IF(COUNTIFS(請求記録!$B$6:$B$3005,$A105,請求記録!$X$6:$X$3005,Y$5,請求記録!$AD$6:$AD$3005,"保留中")&gt;0,"保留",IF(COUNTIFS(請求記録!$B$6:$B$3005,$A105,請求記録!$X$6:$X$3005,Y$5)=0,"",SUMIFS(請求記録!$AC$6:$AC$3005,請求記録!$B$6:$B$3005,$A105,請求記録!$X$6:$X$3005,Y$5))))</f>
        <v/>
      </c>
      <c r="Z105" s="19">
        <f>IF($A105="","",IF(COUNTIFS(請求記録!$B$6:$B$3005,$A105,請求記録!$X$6:$X$3005,Z$5,請求記録!$AD$6:$AD$3005,"保留中")&gt;0,"保留",IF(COUNTIFS(請求記録!$B$6:$B$3005,$A105,請求記録!$X$6:$X$3005,Z$5)=0,"",SUMIFS(請求記録!$AC$6:$AC$3005,請求記録!$B$6:$B$3005,$A105,請求記録!$X$6:$X$3005,Z$5))))</f>
        <v/>
      </c>
      <c r="AA105" s="19">
        <f>IF($A105="","",IF(COUNTIFS(請求記録!$B$6:$B$3005,$A105,請求記録!$X$6:$X$3005,AA$5,請求記録!$AD$6:$AD$3005,"保留中")&gt;0,"保留",IF(COUNTIFS(請求記録!$B$6:$B$3005,$A105,請求記録!$X$6:$X$3005,AA$5)=0,"",SUMIFS(請求記録!$AC$6:$AC$3005,請求記録!$B$6:$B$3005,$A105,請求記録!$X$6:$X$3005,AA$5))))</f>
        <v/>
      </c>
      <c r="AB105">
        <f>IF(職員マスタ!P105="保留中",職員マスタ!M105,"")</f>
        <v/>
      </c>
    </row>
    <row r="106">
      <c r="A106">
        <f>IF(職員マスタ!A106="","",職員マスタ!A106)</f>
        <v/>
      </c>
      <c r="B106">
        <f>IF($A106="","",職員マスタ!B106)</f>
        <v/>
      </c>
      <c r="C106">
        <f>IF($A106="","",職員マスタ!C106)</f>
        <v/>
      </c>
      <c r="D106" s="19">
        <f>IF($A106="","",IF(COUNTIFS(請求記録!$B$6:$B$3005,$A106,請求記録!$X$6:$X$3005,D$5,請求記録!$AD$6:$AD$3005,"保留中")&gt;0,"保留",IF(COUNTIFS(請求記録!$B$6:$B$3005,$A106,請求記録!$X$6:$X$3005,D$5)=0,"",SUMIFS(請求記録!$AC$6:$AC$3005,請求記録!$B$6:$B$3005,$A106,請求記録!$X$6:$X$3005,D$5))))</f>
        <v/>
      </c>
      <c r="E106" s="19">
        <f>IF($A106="","",IF(COUNTIFS(請求記録!$B$6:$B$3005,$A106,請求記録!$X$6:$X$3005,E$5,請求記録!$AD$6:$AD$3005,"保留中")&gt;0,"保留",IF(COUNTIFS(請求記録!$B$6:$B$3005,$A106,請求記録!$X$6:$X$3005,E$5)=0,"",SUMIFS(請求記録!$AC$6:$AC$3005,請求記録!$B$6:$B$3005,$A106,請求記録!$X$6:$X$3005,E$5))))</f>
        <v/>
      </c>
      <c r="F106" s="19">
        <f>IF($A106="","",IF(COUNTIFS(請求記録!$B$6:$B$3005,$A106,請求記録!$X$6:$X$3005,F$5,請求記録!$AD$6:$AD$3005,"保留中")&gt;0,"保留",IF(COUNTIFS(請求記録!$B$6:$B$3005,$A106,請求記録!$X$6:$X$3005,F$5)=0,"",SUMIFS(請求記録!$AC$6:$AC$3005,請求記録!$B$6:$B$3005,$A106,請求記録!$X$6:$X$3005,F$5))))</f>
        <v/>
      </c>
      <c r="G106" s="19">
        <f>IF($A106="","",IF(COUNTIFS(請求記録!$B$6:$B$3005,$A106,請求記録!$X$6:$X$3005,G$5,請求記録!$AD$6:$AD$3005,"保留中")&gt;0,"保留",IF(COUNTIFS(請求記録!$B$6:$B$3005,$A106,請求記録!$X$6:$X$3005,G$5)=0,"",SUMIFS(請求記録!$AC$6:$AC$3005,請求記録!$B$6:$B$3005,$A106,請求記録!$X$6:$X$3005,G$5))))</f>
        <v/>
      </c>
      <c r="H106" s="19">
        <f>IF($A106="","",IF(COUNTIFS(請求記録!$B$6:$B$3005,$A106,請求記録!$X$6:$X$3005,H$5,請求記録!$AD$6:$AD$3005,"保留中")&gt;0,"保留",IF(COUNTIFS(請求記録!$B$6:$B$3005,$A106,請求記録!$X$6:$X$3005,H$5)=0,"",SUMIFS(請求記録!$AC$6:$AC$3005,請求記録!$B$6:$B$3005,$A106,請求記録!$X$6:$X$3005,H$5))))</f>
        <v/>
      </c>
      <c r="I106" s="19">
        <f>IF($A106="","",IF(COUNTIFS(請求記録!$B$6:$B$3005,$A106,請求記録!$X$6:$X$3005,I$5,請求記録!$AD$6:$AD$3005,"保留中")&gt;0,"保留",IF(COUNTIFS(請求記録!$B$6:$B$3005,$A106,請求記録!$X$6:$X$3005,I$5)=0,"",SUMIFS(請求記録!$AC$6:$AC$3005,請求記録!$B$6:$B$3005,$A106,請求記録!$X$6:$X$3005,I$5))))</f>
        <v/>
      </c>
      <c r="J106" s="19">
        <f>IF($A106="","",IF(COUNTIFS(請求記録!$B$6:$B$3005,$A106,請求記録!$X$6:$X$3005,J$5,請求記録!$AD$6:$AD$3005,"保留中")&gt;0,"保留",IF(COUNTIFS(請求記録!$B$6:$B$3005,$A106,請求記録!$X$6:$X$3005,J$5)=0,"",SUMIFS(請求記録!$AC$6:$AC$3005,請求記録!$B$6:$B$3005,$A106,請求記録!$X$6:$X$3005,J$5))))</f>
        <v/>
      </c>
      <c r="K106" s="19">
        <f>IF($A106="","",IF(COUNTIFS(請求記録!$B$6:$B$3005,$A106,請求記録!$X$6:$X$3005,K$5,請求記録!$AD$6:$AD$3005,"保留中")&gt;0,"保留",IF(COUNTIFS(請求記録!$B$6:$B$3005,$A106,請求記録!$X$6:$X$3005,K$5)=0,"",SUMIFS(請求記録!$AC$6:$AC$3005,請求記録!$B$6:$B$3005,$A106,請求記録!$X$6:$X$3005,K$5))))</f>
        <v/>
      </c>
      <c r="L106" s="19">
        <f>IF($A106="","",IF(COUNTIFS(請求記録!$B$6:$B$3005,$A106,請求記録!$X$6:$X$3005,L$5,請求記録!$AD$6:$AD$3005,"保留中")&gt;0,"保留",IF(COUNTIFS(請求記録!$B$6:$B$3005,$A106,請求記録!$X$6:$X$3005,L$5)=0,"",SUMIFS(請求記録!$AC$6:$AC$3005,請求記録!$B$6:$B$3005,$A106,請求記録!$X$6:$X$3005,L$5))))</f>
        <v/>
      </c>
      <c r="M106" s="19">
        <f>IF($A106="","",IF(COUNTIFS(請求記録!$B$6:$B$3005,$A106,請求記録!$X$6:$X$3005,M$5,請求記録!$AD$6:$AD$3005,"保留中")&gt;0,"保留",IF(COUNTIFS(請求記録!$B$6:$B$3005,$A106,請求記録!$X$6:$X$3005,M$5)=0,"",SUMIFS(請求記録!$AC$6:$AC$3005,請求記録!$B$6:$B$3005,$A106,請求記録!$X$6:$X$3005,M$5))))</f>
        <v/>
      </c>
      <c r="N106" s="19">
        <f>IF($A106="","",IF(COUNTIFS(請求記録!$B$6:$B$3005,$A106,請求記録!$X$6:$X$3005,N$5,請求記録!$AD$6:$AD$3005,"保留中")&gt;0,"保留",IF(COUNTIFS(請求記録!$B$6:$B$3005,$A106,請求記録!$X$6:$X$3005,N$5)=0,"",SUMIFS(請求記録!$AC$6:$AC$3005,請求記録!$B$6:$B$3005,$A106,請求記録!$X$6:$X$3005,N$5))))</f>
        <v/>
      </c>
      <c r="O106" s="19">
        <f>IF($A106="","",IF(COUNTIFS(請求記録!$B$6:$B$3005,$A106,請求記録!$X$6:$X$3005,O$5,請求記録!$AD$6:$AD$3005,"保留中")&gt;0,"保留",IF(COUNTIFS(請求記録!$B$6:$B$3005,$A106,請求記録!$X$6:$X$3005,O$5)=0,"",SUMIFS(請求記録!$AC$6:$AC$3005,請求記録!$B$6:$B$3005,$A106,請求記録!$X$6:$X$3005,O$5))))</f>
        <v/>
      </c>
      <c r="P106" s="19">
        <f>IF($A106="","",IF(COUNTIFS(請求記録!$B$6:$B$3005,$A106,請求記録!$X$6:$X$3005,P$5,請求記録!$AD$6:$AD$3005,"保留中")&gt;0,"保留",IF(COUNTIFS(請求記録!$B$6:$B$3005,$A106,請求記録!$X$6:$X$3005,P$5)=0,"",SUMIFS(請求記録!$AC$6:$AC$3005,請求記録!$B$6:$B$3005,$A106,請求記録!$X$6:$X$3005,P$5))))</f>
        <v/>
      </c>
      <c r="Q106" s="19">
        <f>IF($A106="","",IF(COUNTIFS(請求記録!$B$6:$B$3005,$A106,請求記録!$X$6:$X$3005,Q$5,請求記録!$AD$6:$AD$3005,"保留中")&gt;0,"保留",IF(COUNTIFS(請求記録!$B$6:$B$3005,$A106,請求記録!$X$6:$X$3005,Q$5)=0,"",SUMIFS(請求記録!$AC$6:$AC$3005,請求記録!$B$6:$B$3005,$A106,請求記録!$X$6:$X$3005,Q$5))))</f>
        <v/>
      </c>
      <c r="R106" s="19">
        <f>IF($A106="","",IF(COUNTIFS(請求記録!$B$6:$B$3005,$A106,請求記録!$X$6:$X$3005,R$5,請求記録!$AD$6:$AD$3005,"保留中")&gt;0,"保留",IF(COUNTIFS(請求記録!$B$6:$B$3005,$A106,請求記録!$X$6:$X$3005,R$5)=0,"",SUMIFS(請求記録!$AC$6:$AC$3005,請求記録!$B$6:$B$3005,$A106,請求記録!$X$6:$X$3005,R$5))))</f>
        <v/>
      </c>
      <c r="S106" s="19">
        <f>IF($A106="","",IF(COUNTIFS(請求記録!$B$6:$B$3005,$A106,請求記録!$X$6:$X$3005,S$5,請求記録!$AD$6:$AD$3005,"保留中")&gt;0,"保留",IF(COUNTIFS(請求記録!$B$6:$B$3005,$A106,請求記録!$X$6:$X$3005,S$5)=0,"",SUMIFS(請求記録!$AC$6:$AC$3005,請求記録!$B$6:$B$3005,$A106,請求記録!$X$6:$X$3005,S$5))))</f>
        <v/>
      </c>
      <c r="T106" s="19">
        <f>IF($A106="","",IF(COUNTIFS(請求記録!$B$6:$B$3005,$A106,請求記録!$X$6:$X$3005,T$5,請求記録!$AD$6:$AD$3005,"保留中")&gt;0,"保留",IF(COUNTIFS(請求記録!$B$6:$B$3005,$A106,請求記録!$X$6:$X$3005,T$5)=0,"",SUMIFS(請求記録!$AC$6:$AC$3005,請求記録!$B$6:$B$3005,$A106,請求記録!$X$6:$X$3005,T$5))))</f>
        <v/>
      </c>
      <c r="U106" s="19">
        <f>IF($A106="","",IF(COUNTIFS(請求記録!$B$6:$B$3005,$A106,請求記録!$X$6:$X$3005,U$5,請求記録!$AD$6:$AD$3005,"保留中")&gt;0,"保留",IF(COUNTIFS(請求記録!$B$6:$B$3005,$A106,請求記録!$X$6:$X$3005,U$5)=0,"",SUMIFS(請求記録!$AC$6:$AC$3005,請求記録!$B$6:$B$3005,$A106,請求記録!$X$6:$X$3005,U$5))))</f>
        <v/>
      </c>
      <c r="V106" s="19">
        <f>IF($A106="","",IF(COUNTIFS(請求記録!$B$6:$B$3005,$A106,請求記録!$X$6:$X$3005,V$5,請求記録!$AD$6:$AD$3005,"保留中")&gt;0,"保留",IF(COUNTIFS(請求記録!$B$6:$B$3005,$A106,請求記録!$X$6:$X$3005,V$5)=0,"",SUMIFS(請求記録!$AC$6:$AC$3005,請求記録!$B$6:$B$3005,$A106,請求記録!$X$6:$X$3005,V$5))))</f>
        <v/>
      </c>
      <c r="W106" s="19">
        <f>IF($A106="","",IF(COUNTIFS(請求記録!$B$6:$B$3005,$A106,請求記録!$X$6:$X$3005,W$5,請求記録!$AD$6:$AD$3005,"保留中")&gt;0,"保留",IF(COUNTIFS(請求記録!$B$6:$B$3005,$A106,請求記録!$X$6:$X$3005,W$5)=0,"",SUMIFS(請求記録!$AC$6:$AC$3005,請求記録!$B$6:$B$3005,$A106,請求記録!$X$6:$X$3005,W$5))))</f>
        <v/>
      </c>
      <c r="X106" s="19">
        <f>IF($A106="","",IF(COUNTIFS(請求記録!$B$6:$B$3005,$A106,請求記録!$X$6:$X$3005,X$5,請求記録!$AD$6:$AD$3005,"保留中")&gt;0,"保留",IF(COUNTIFS(請求記録!$B$6:$B$3005,$A106,請求記録!$X$6:$X$3005,X$5)=0,"",SUMIFS(請求記録!$AC$6:$AC$3005,請求記録!$B$6:$B$3005,$A106,請求記録!$X$6:$X$3005,X$5))))</f>
        <v/>
      </c>
      <c r="Y106" s="19">
        <f>IF($A106="","",IF(COUNTIFS(請求記録!$B$6:$B$3005,$A106,請求記録!$X$6:$X$3005,Y$5,請求記録!$AD$6:$AD$3005,"保留中")&gt;0,"保留",IF(COUNTIFS(請求記録!$B$6:$B$3005,$A106,請求記録!$X$6:$X$3005,Y$5)=0,"",SUMIFS(請求記録!$AC$6:$AC$3005,請求記録!$B$6:$B$3005,$A106,請求記録!$X$6:$X$3005,Y$5))))</f>
        <v/>
      </c>
      <c r="Z106" s="19">
        <f>IF($A106="","",IF(COUNTIFS(請求記録!$B$6:$B$3005,$A106,請求記録!$X$6:$X$3005,Z$5,請求記録!$AD$6:$AD$3005,"保留中")&gt;0,"保留",IF(COUNTIFS(請求記録!$B$6:$B$3005,$A106,請求記録!$X$6:$X$3005,Z$5)=0,"",SUMIFS(請求記録!$AC$6:$AC$3005,請求記録!$B$6:$B$3005,$A106,請求記録!$X$6:$X$3005,Z$5))))</f>
        <v/>
      </c>
      <c r="AA106" s="19">
        <f>IF($A106="","",IF(COUNTIFS(請求記録!$B$6:$B$3005,$A106,請求記録!$X$6:$X$3005,AA$5,請求記録!$AD$6:$AD$3005,"保留中")&gt;0,"保留",IF(COUNTIFS(請求記録!$B$6:$B$3005,$A106,請求記録!$X$6:$X$3005,AA$5)=0,"",SUMIFS(請求記録!$AC$6:$AC$3005,請求記録!$B$6:$B$3005,$A106,請求記録!$X$6:$X$3005,AA$5))))</f>
        <v/>
      </c>
      <c r="AB106">
        <f>IF(職員マスタ!P106="保留中",職員マスタ!M106,"")</f>
        <v/>
      </c>
    </row>
    <row r="107">
      <c r="A107">
        <f>IF(職員マスタ!A107="","",職員マスタ!A107)</f>
        <v/>
      </c>
      <c r="B107">
        <f>IF($A107="","",職員マスタ!B107)</f>
        <v/>
      </c>
      <c r="C107">
        <f>IF($A107="","",職員マスタ!C107)</f>
        <v/>
      </c>
      <c r="D107" s="19">
        <f>IF($A107="","",IF(COUNTIFS(請求記録!$B$6:$B$3005,$A107,請求記録!$X$6:$X$3005,D$5,請求記録!$AD$6:$AD$3005,"保留中")&gt;0,"保留",IF(COUNTIFS(請求記録!$B$6:$B$3005,$A107,請求記録!$X$6:$X$3005,D$5)=0,"",SUMIFS(請求記録!$AC$6:$AC$3005,請求記録!$B$6:$B$3005,$A107,請求記録!$X$6:$X$3005,D$5))))</f>
        <v/>
      </c>
      <c r="E107" s="19">
        <f>IF($A107="","",IF(COUNTIFS(請求記録!$B$6:$B$3005,$A107,請求記録!$X$6:$X$3005,E$5,請求記録!$AD$6:$AD$3005,"保留中")&gt;0,"保留",IF(COUNTIFS(請求記録!$B$6:$B$3005,$A107,請求記録!$X$6:$X$3005,E$5)=0,"",SUMIFS(請求記録!$AC$6:$AC$3005,請求記録!$B$6:$B$3005,$A107,請求記録!$X$6:$X$3005,E$5))))</f>
        <v/>
      </c>
      <c r="F107" s="19">
        <f>IF($A107="","",IF(COUNTIFS(請求記録!$B$6:$B$3005,$A107,請求記録!$X$6:$X$3005,F$5,請求記録!$AD$6:$AD$3005,"保留中")&gt;0,"保留",IF(COUNTIFS(請求記録!$B$6:$B$3005,$A107,請求記録!$X$6:$X$3005,F$5)=0,"",SUMIFS(請求記録!$AC$6:$AC$3005,請求記録!$B$6:$B$3005,$A107,請求記録!$X$6:$X$3005,F$5))))</f>
        <v/>
      </c>
      <c r="G107" s="19">
        <f>IF($A107="","",IF(COUNTIFS(請求記録!$B$6:$B$3005,$A107,請求記録!$X$6:$X$3005,G$5,請求記録!$AD$6:$AD$3005,"保留中")&gt;0,"保留",IF(COUNTIFS(請求記録!$B$6:$B$3005,$A107,請求記録!$X$6:$X$3005,G$5)=0,"",SUMIFS(請求記録!$AC$6:$AC$3005,請求記録!$B$6:$B$3005,$A107,請求記録!$X$6:$X$3005,G$5))))</f>
        <v/>
      </c>
      <c r="H107" s="19">
        <f>IF($A107="","",IF(COUNTIFS(請求記録!$B$6:$B$3005,$A107,請求記録!$X$6:$X$3005,H$5,請求記録!$AD$6:$AD$3005,"保留中")&gt;0,"保留",IF(COUNTIFS(請求記録!$B$6:$B$3005,$A107,請求記録!$X$6:$X$3005,H$5)=0,"",SUMIFS(請求記録!$AC$6:$AC$3005,請求記録!$B$6:$B$3005,$A107,請求記録!$X$6:$X$3005,H$5))))</f>
        <v/>
      </c>
      <c r="I107" s="19">
        <f>IF($A107="","",IF(COUNTIFS(請求記録!$B$6:$B$3005,$A107,請求記録!$X$6:$X$3005,I$5,請求記録!$AD$6:$AD$3005,"保留中")&gt;0,"保留",IF(COUNTIFS(請求記録!$B$6:$B$3005,$A107,請求記録!$X$6:$X$3005,I$5)=0,"",SUMIFS(請求記録!$AC$6:$AC$3005,請求記録!$B$6:$B$3005,$A107,請求記録!$X$6:$X$3005,I$5))))</f>
        <v/>
      </c>
      <c r="J107" s="19">
        <f>IF($A107="","",IF(COUNTIFS(請求記録!$B$6:$B$3005,$A107,請求記録!$X$6:$X$3005,J$5,請求記録!$AD$6:$AD$3005,"保留中")&gt;0,"保留",IF(COUNTIFS(請求記録!$B$6:$B$3005,$A107,請求記録!$X$6:$X$3005,J$5)=0,"",SUMIFS(請求記録!$AC$6:$AC$3005,請求記録!$B$6:$B$3005,$A107,請求記録!$X$6:$X$3005,J$5))))</f>
        <v/>
      </c>
      <c r="K107" s="19">
        <f>IF($A107="","",IF(COUNTIFS(請求記録!$B$6:$B$3005,$A107,請求記録!$X$6:$X$3005,K$5,請求記録!$AD$6:$AD$3005,"保留中")&gt;0,"保留",IF(COUNTIFS(請求記録!$B$6:$B$3005,$A107,請求記録!$X$6:$X$3005,K$5)=0,"",SUMIFS(請求記録!$AC$6:$AC$3005,請求記録!$B$6:$B$3005,$A107,請求記録!$X$6:$X$3005,K$5))))</f>
        <v/>
      </c>
      <c r="L107" s="19">
        <f>IF($A107="","",IF(COUNTIFS(請求記録!$B$6:$B$3005,$A107,請求記録!$X$6:$X$3005,L$5,請求記録!$AD$6:$AD$3005,"保留中")&gt;0,"保留",IF(COUNTIFS(請求記録!$B$6:$B$3005,$A107,請求記録!$X$6:$X$3005,L$5)=0,"",SUMIFS(請求記録!$AC$6:$AC$3005,請求記録!$B$6:$B$3005,$A107,請求記録!$X$6:$X$3005,L$5))))</f>
        <v/>
      </c>
      <c r="M107" s="19">
        <f>IF($A107="","",IF(COUNTIFS(請求記録!$B$6:$B$3005,$A107,請求記録!$X$6:$X$3005,M$5,請求記録!$AD$6:$AD$3005,"保留中")&gt;0,"保留",IF(COUNTIFS(請求記録!$B$6:$B$3005,$A107,請求記録!$X$6:$X$3005,M$5)=0,"",SUMIFS(請求記録!$AC$6:$AC$3005,請求記録!$B$6:$B$3005,$A107,請求記録!$X$6:$X$3005,M$5))))</f>
        <v/>
      </c>
      <c r="N107" s="19">
        <f>IF($A107="","",IF(COUNTIFS(請求記録!$B$6:$B$3005,$A107,請求記録!$X$6:$X$3005,N$5,請求記録!$AD$6:$AD$3005,"保留中")&gt;0,"保留",IF(COUNTIFS(請求記録!$B$6:$B$3005,$A107,請求記録!$X$6:$X$3005,N$5)=0,"",SUMIFS(請求記録!$AC$6:$AC$3005,請求記録!$B$6:$B$3005,$A107,請求記録!$X$6:$X$3005,N$5))))</f>
        <v/>
      </c>
      <c r="O107" s="19">
        <f>IF($A107="","",IF(COUNTIFS(請求記録!$B$6:$B$3005,$A107,請求記録!$X$6:$X$3005,O$5,請求記録!$AD$6:$AD$3005,"保留中")&gt;0,"保留",IF(COUNTIFS(請求記録!$B$6:$B$3005,$A107,請求記録!$X$6:$X$3005,O$5)=0,"",SUMIFS(請求記録!$AC$6:$AC$3005,請求記録!$B$6:$B$3005,$A107,請求記録!$X$6:$X$3005,O$5))))</f>
        <v/>
      </c>
      <c r="P107" s="19">
        <f>IF($A107="","",IF(COUNTIFS(請求記録!$B$6:$B$3005,$A107,請求記録!$X$6:$X$3005,P$5,請求記録!$AD$6:$AD$3005,"保留中")&gt;0,"保留",IF(COUNTIFS(請求記録!$B$6:$B$3005,$A107,請求記録!$X$6:$X$3005,P$5)=0,"",SUMIFS(請求記録!$AC$6:$AC$3005,請求記録!$B$6:$B$3005,$A107,請求記録!$X$6:$X$3005,P$5))))</f>
        <v/>
      </c>
      <c r="Q107" s="19">
        <f>IF($A107="","",IF(COUNTIFS(請求記録!$B$6:$B$3005,$A107,請求記録!$X$6:$X$3005,Q$5,請求記録!$AD$6:$AD$3005,"保留中")&gt;0,"保留",IF(COUNTIFS(請求記録!$B$6:$B$3005,$A107,請求記録!$X$6:$X$3005,Q$5)=0,"",SUMIFS(請求記録!$AC$6:$AC$3005,請求記録!$B$6:$B$3005,$A107,請求記録!$X$6:$X$3005,Q$5))))</f>
        <v/>
      </c>
      <c r="R107" s="19">
        <f>IF($A107="","",IF(COUNTIFS(請求記録!$B$6:$B$3005,$A107,請求記録!$X$6:$X$3005,R$5,請求記録!$AD$6:$AD$3005,"保留中")&gt;0,"保留",IF(COUNTIFS(請求記録!$B$6:$B$3005,$A107,請求記録!$X$6:$X$3005,R$5)=0,"",SUMIFS(請求記録!$AC$6:$AC$3005,請求記録!$B$6:$B$3005,$A107,請求記録!$X$6:$X$3005,R$5))))</f>
        <v/>
      </c>
      <c r="S107" s="19">
        <f>IF($A107="","",IF(COUNTIFS(請求記録!$B$6:$B$3005,$A107,請求記録!$X$6:$X$3005,S$5,請求記録!$AD$6:$AD$3005,"保留中")&gt;0,"保留",IF(COUNTIFS(請求記録!$B$6:$B$3005,$A107,請求記録!$X$6:$X$3005,S$5)=0,"",SUMIFS(請求記録!$AC$6:$AC$3005,請求記録!$B$6:$B$3005,$A107,請求記録!$X$6:$X$3005,S$5))))</f>
        <v/>
      </c>
      <c r="T107" s="19">
        <f>IF($A107="","",IF(COUNTIFS(請求記録!$B$6:$B$3005,$A107,請求記録!$X$6:$X$3005,T$5,請求記録!$AD$6:$AD$3005,"保留中")&gt;0,"保留",IF(COUNTIFS(請求記録!$B$6:$B$3005,$A107,請求記録!$X$6:$X$3005,T$5)=0,"",SUMIFS(請求記録!$AC$6:$AC$3005,請求記録!$B$6:$B$3005,$A107,請求記録!$X$6:$X$3005,T$5))))</f>
        <v/>
      </c>
      <c r="U107" s="19">
        <f>IF($A107="","",IF(COUNTIFS(請求記録!$B$6:$B$3005,$A107,請求記録!$X$6:$X$3005,U$5,請求記録!$AD$6:$AD$3005,"保留中")&gt;0,"保留",IF(COUNTIFS(請求記録!$B$6:$B$3005,$A107,請求記録!$X$6:$X$3005,U$5)=0,"",SUMIFS(請求記録!$AC$6:$AC$3005,請求記録!$B$6:$B$3005,$A107,請求記録!$X$6:$X$3005,U$5))))</f>
        <v/>
      </c>
      <c r="V107" s="19">
        <f>IF($A107="","",IF(COUNTIFS(請求記録!$B$6:$B$3005,$A107,請求記録!$X$6:$X$3005,V$5,請求記録!$AD$6:$AD$3005,"保留中")&gt;0,"保留",IF(COUNTIFS(請求記録!$B$6:$B$3005,$A107,請求記録!$X$6:$X$3005,V$5)=0,"",SUMIFS(請求記録!$AC$6:$AC$3005,請求記録!$B$6:$B$3005,$A107,請求記録!$X$6:$X$3005,V$5))))</f>
        <v/>
      </c>
      <c r="W107" s="19">
        <f>IF($A107="","",IF(COUNTIFS(請求記録!$B$6:$B$3005,$A107,請求記録!$X$6:$X$3005,W$5,請求記録!$AD$6:$AD$3005,"保留中")&gt;0,"保留",IF(COUNTIFS(請求記録!$B$6:$B$3005,$A107,請求記録!$X$6:$X$3005,W$5)=0,"",SUMIFS(請求記録!$AC$6:$AC$3005,請求記録!$B$6:$B$3005,$A107,請求記録!$X$6:$X$3005,W$5))))</f>
        <v/>
      </c>
      <c r="X107" s="19">
        <f>IF($A107="","",IF(COUNTIFS(請求記録!$B$6:$B$3005,$A107,請求記録!$X$6:$X$3005,X$5,請求記録!$AD$6:$AD$3005,"保留中")&gt;0,"保留",IF(COUNTIFS(請求記録!$B$6:$B$3005,$A107,請求記録!$X$6:$X$3005,X$5)=0,"",SUMIFS(請求記録!$AC$6:$AC$3005,請求記録!$B$6:$B$3005,$A107,請求記録!$X$6:$X$3005,X$5))))</f>
        <v/>
      </c>
      <c r="Y107" s="19">
        <f>IF($A107="","",IF(COUNTIFS(請求記録!$B$6:$B$3005,$A107,請求記録!$X$6:$X$3005,Y$5,請求記録!$AD$6:$AD$3005,"保留中")&gt;0,"保留",IF(COUNTIFS(請求記録!$B$6:$B$3005,$A107,請求記録!$X$6:$X$3005,Y$5)=0,"",SUMIFS(請求記録!$AC$6:$AC$3005,請求記録!$B$6:$B$3005,$A107,請求記録!$X$6:$X$3005,Y$5))))</f>
        <v/>
      </c>
      <c r="Z107" s="19">
        <f>IF($A107="","",IF(COUNTIFS(請求記録!$B$6:$B$3005,$A107,請求記録!$X$6:$X$3005,Z$5,請求記録!$AD$6:$AD$3005,"保留中")&gt;0,"保留",IF(COUNTIFS(請求記録!$B$6:$B$3005,$A107,請求記録!$X$6:$X$3005,Z$5)=0,"",SUMIFS(請求記録!$AC$6:$AC$3005,請求記録!$B$6:$B$3005,$A107,請求記録!$X$6:$X$3005,Z$5))))</f>
        <v/>
      </c>
      <c r="AA107" s="19">
        <f>IF($A107="","",IF(COUNTIFS(請求記録!$B$6:$B$3005,$A107,請求記録!$X$6:$X$3005,AA$5,請求記録!$AD$6:$AD$3005,"保留中")&gt;0,"保留",IF(COUNTIFS(請求記録!$B$6:$B$3005,$A107,請求記録!$X$6:$X$3005,AA$5)=0,"",SUMIFS(請求記録!$AC$6:$AC$3005,請求記録!$B$6:$B$3005,$A107,請求記録!$X$6:$X$3005,AA$5))))</f>
        <v/>
      </c>
      <c r="AB107">
        <f>IF(職員マスタ!P107="保留中",職員マスタ!M107,"")</f>
        <v/>
      </c>
    </row>
    <row r="108">
      <c r="A108">
        <f>IF(職員マスタ!A108="","",職員マスタ!A108)</f>
        <v/>
      </c>
      <c r="B108">
        <f>IF($A108="","",職員マスタ!B108)</f>
        <v/>
      </c>
      <c r="C108">
        <f>IF($A108="","",職員マスタ!C108)</f>
        <v/>
      </c>
      <c r="D108" s="19">
        <f>IF($A108="","",IF(COUNTIFS(請求記録!$B$6:$B$3005,$A108,請求記録!$X$6:$X$3005,D$5,請求記録!$AD$6:$AD$3005,"保留中")&gt;0,"保留",IF(COUNTIFS(請求記録!$B$6:$B$3005,$A108,請求記録!$X$6:$X$3005,D$5)=0,"",SUMIFS(請求記録!$AC$6:$AC$3005,請求記録!$B$6:$B$3005,$A108,請求記録!$X$6:$X$3005,D$5))))</f>
        <v/>
      </c>
      <c r="E108" s="19">
        <f>IF($A108="","",IF(COUNTIFS(請求記録!$B$6:$B$3005,$A108,請求記録!$X$6:$X$3005,E$5,請求記録!$AD$6:$AD$3005,"保留中")&gt;0,"保留",IF(COUNTIFS(請求記録!$B$6:$B$3005,$A108,請求記録!$X$6:$X$3005,E$5)=0,"",SUMIFS(請求記録!$AC$6:$AC$3005,請求記録!$B$6:$B$3005,$A108,請求記録!$X$6:$X$3005,E$5))))</f>
        <v/>
      </c>
      <c r="F108" s="19">
        <f>IF($A108="","",IF(COUNTIFS(請求記録!$B$6:$B$3005,$A108,請求記録!$X$6:$X$3005,F$5,請求記録!$AD$6:$AD$3005,"保留中")&gt;0,"保留",IF(COUNTIFS(請求記録!$B$6:$B$3005,$A108,請求記録!$X$6:$X$3005,F$5)=0,"",SUMIFS(請求記録!$AC$6:$AC$3005,請求記録!$B$6:$B$3005,$A108,請求記録!$X$6:$X$3005,F$5))))</f>
        <v/>
      </c>
      <c r="G108" s="19">
        <f>IF($A108="","",IF(COUNTIFS(請求記録!$B$6:$B$3005,$A108,請求記録!$X$6:$X$3005,G$5,請求記録!$AD$6:$AD$3005,"保留中")&gt;0,"保留",IF(COUNTIFS(請求記録!$B$6:$B$3005,$A108,請求記録!$X$6:$X$3005,G$5)=0,"",SUMIFS(請求記録!$AC$6:$AC$3005,請求記録!$B$6:$B$3005,$A108,請求記録!$X$6:$X$3005,G$5))))</f>
        <v/>
      </c>
      <c r="H108" s="19">
        <f>IF($A108="","",IF(COUNTIFS(請求記録!$B$6:$B$3005,$A108,請求記録!$X$6:$X$3005,H$5,請求記録!$AD$6:$AD$3005,"保留中")&gt;0,"保留",IF(COUNTIFS(請求記録!$B$6:$B$3005,$A108,請求記録!$X$6:$X$3005,H$5)=0,"",SUMIFS(請求記録!$AC$6:$AC$3005,請求記録!$B$6:$B$3005,$A108,請求記録!$X$6:$X$3005,H$5))))</f>
        <v/>
      </c>
      <c r="I108" s="19">
        <f>IF($A108="","",IF(COUNTIFS(請求記録!$B$6:$B$3005,$A108,請求記録!$X$6:$X$3005,I$5,請求記録!$AD$6:$AD$3005,"保留中")&gt;0,"保留",IF(COUNTIFS(請求記録!$B$6:$B$3005,$A108,請求記録!$X$6:$X$3005,I$5)=0,"",SUMIFS(請求記録!$AC$6:$AC$3005,請求記録!$B$6:$B$3005,$A108,請求記録!$X$6:$X$3005,I$5))))</f>
        <v/>
      </c>
      <c r="J108" s="19">
        <f>IF($A108="","",IF(COUNTIFS(請求記録!$B$6:$B$3005,$A108,請求記録!$X$6:$X$3005,J$5,請求記録!$AD$6:$AD$3005,"保留中")&gt;0,"保留",IF(COUNTIFS(請求記録!$B$6:$B$3005,$A108,請求記録!$X$6:$X$3005,J$5)=0,"",SUMIFS(請求記録!$AC$6:$AC$3005,請求記録!$B$6:$B$3005,$A108,請求記録!$X$6:$X$3005,J$5))))</f>
        <v/>
      </c>
      <c r="K108" s="19">
        <f>IF($A108="","",IF(COUNTIFS(請求記録!$B$6:$B$3005,$A108,請求記録!$X$6:$X$3005,K$5,請求記録!$AD$6:$AD$3005,"保留中")&gt;0,"保留",IF(COUNTIFS(請求記録!$B$6:$B$3005,$A108,請求記録!$X$6:$X$3005,K$5)=0,"",SUMIFS(請求記録!$AC$6:$AC$3005,請求記録!$B$6:$B$3005,$A108,請求記録!$X$6:$X$3005,K$5))))</f>
        <v/>
      </c>
      <c r="L108" s="19">
        <f>IF($A108="","",IF(COUNTIFS(請求記録!$B$6:$B$3005,$A108,請求記録!$X$6:$X$3005,L$5,請求記録!$AD$6:$AD$3005,"保留中")&gt;0,"保留",IF(COUNTIFS(請求記録!$B$6:$B$3005,$A108,請求記録!$X$6:$X$3005,L$5)=0,"",SUMIFS(請求記録!$AC$6:$AC$3005,請求記録!$B$6:$B$3005,$A108,請求記録!$X$6:$X$3005,L$5))))</f>
        <v/>
      </c>
      <c r="M108" s="19">
        <f>IF($A108="","",IF(COUNTIFS(請求記録!$B$6:$B$3005,$A108,請求記録!$X$6:$X$3005,M$5,請求記録!$AD$6:$AD$3005,"保留中")&gt;0,"保留",IF(COUNTIFS(請求記録!$B$6:$B$3005,$A108,請求記録!$X$6:$X$3005,M$5)=0,"",SUMIFS(請求記録!$AC$6:$AC$3005,請求記録!$B$6:$B$3005,$A108,請求記録!$X$6:$X$3005,M$5))))</f>
        <v/>
      </c>
      <c r="N108" s="19">
        <f>IF($A108="","",IF(COUNTIFS(請求記録!$B$6:$B$3005,$A108,請求記録!$X$6:$X$3005,N$5,請求記録!$AD$6:$AD$3005,"保留中")&gt;0,"保留",IF(COUNTIFS(請求記録!$B$6:$B$3005,$A108,請求記録!$X$6:$X$3005,N$5)=0,"",SUMIFS(請求記録!$AC$6:$AC$3005,請求記録!$B$6:$B$3005,$A108,請求記録!$X$6:$X$3005,N$5))))</f>
        <v/>
      </c>
      <c r="O108" s="19">
        <f>IF($A108="","",IF(COUNTIFS(請求記録!$B$6:$B$3005,$A108,請求記録!$X$6:$X$3005,O$5,請求記録!$AD$6:$AD$3005,"保留中")&gt;0,"保留",IF(COUNTIFS(請求記録!$B$6:$B$3005,$A108,請求記録!$X$6:$X$3005,O$5)=0,"",SUMIFS(請求記録!$AC$6:$AC$3005,請求記録!$B$6:$B$3005,$A108,請求記録!$X$6:$X$3005,O$5))))</f>
        <v/>
      </c>
      <c r="P108" s="19">
        <f>IF($A108="","",IF(COUNTIFS(請求記録!$B$6:$B$3005,$A108,請求記録!$X$6:$X$3005,P$5,請求記録!$AD$6:$AD$3005,"保留中")&gt;0,"保留",IF(COUNTIFS(請求記録!$B$6:$B$3005,$A108,請求記録!$X$6:$X$3005,P$5)=0,"",SUMIFS(請求記録!$AC$6:$AC$3005,請求記録!$B$6:$B$3005,$A108,請求記録!$X$6:$X$3005,P$5))))</f>
        <v/>
      </c>
      <c r="Q108" s="19">
        <f>IF($A108="","",IF(COUNTIFS(請求記録!$B$6:$B$3005,$A108,請求記録!$X$6:$X$3005,Q$5,請求記録!$AD$6:$AD$3005,"保留中")&gt;0,"保留",IF(COUNTIFS(請求記録!$B$6:$B$3005,$A108,請求記録!$X$6:$X$3005,Q$5)=0,"",SUMIFS(請求記録!$AC$6:$AC$3005,請求記録!$B$6:$B$3005,$A108,請求記録!$X$6:$X$3005,Q$5))))</f>
        <v/>
      </c>
      <c r="R108" s="19">
        <f>IF($A108="","",IF(COUNTIFS(請求記録!$B$6:$B$3005,$A108,請求記録!$X$6:$X$3005,R$5,請求記録!$AD$6:$AD$3005,"保留中")&gt;0,"保留",IF(COUNTIFS(請求記録!$B$6:$B$3005,$A108,請求記録!$X$6:$X$3005,R$5)=0,"",SUMIFS(請求記録!$AC$6:$AC$3005,請求記録!$B$6:$B$3005,$A108,請求記録!$X$6:$X$3005,R$5))))</f>
        <v/>
      </c>
      <c r="S108" s="19">
        <f>IF($A108="","",IF(COUNTIFS(請求記録!$B$6:$B$3005,$A108,請求記録!$X$6:$X$3005,S$5,請求記録!$AD$6:$AD$3005,"保留中")&gt;0,"保留",IF(COUNTIFS(請求記録!$B$6:$B$3005,$A108,請求記録!$X$6:$X$3005,S$5)=0,"",SUMIFS(請求記録!$AC$6:$AC$3005,請求記録!$B$6:$B$3005,$A108,請求記録!$X$6:$X$3005,S$5))))</f>
        <v/>
      </c>
      <c r="T108" s="19">
        <f>IF($A108="","",IF(COUNTIFS(請求記録!$B$6:$B$3005,$A108,請求記録!$X$6:$X$3005,T$5,請求記録!$AD$6:$AD$3005,"保留中")&gt;0,"保留",IF(COUNTIFS(請求記録!$B$6:$B$3005,$A108,請求記録!$X$6:$X$3005,T$5)=0,"",SUMIFS(請求記録!$AC$6:$AC$3005,請求記録!$B$6:$B$3005,$A108,請求記録!$X$6:$X$3005,T$5))))</f>
        <v/>
      </c>
      <c r="U108" s="19">
        <f>IF($A108="","",IF(COUNTIFS(請求記録!$B$6:$B$3005,$A108,請求記録!$X$6:$X$3005,U$5,請求記録!$AD$6:$AD$3005,"保留中")&gt;0,"保留",IF(COUNTIFS(請求記録!$B$6:$B$3005,$A108,請求記録!$X$6:$X$3005,U$5)=0,"",SUMIFS(請求記録!$AC$6:$AC$3005,請求記録!$B$6:$B$3005,$A108,請求記録!$X$6:$X$3005,U$5))))</f>
        <v/>
      </c>
      <c r="V108" s="19">
        <f>IF($A108="","",IF(COUNTIFS(請求記録!$B$6:$B$3005,$A108,請求記録!$X$6:$X$3005,V$5,請求記録!$AD$6:$AD$3005,"保留中")&gt;0,"保留",IF(COUNTIFS(請求記録!$B$6:$B$3005,$A108,請求記録!$X$6:$X$3005,V$5)=0,"",SUMIFS(請求記録!$AC$6:$AC$3005,請求記録!$B$6:$B$3005,$A108,請求記録!$X$6:$X$3005,V$5))))</f>
        <v/>
      </c>
      <c r="W108" s="19">
        <f>IF($A108="","",IF(COUNTIFS(請求記録!$B$6:$B$3005,$A108,請求記録!$X$6:$X$3005,W$5,請求記録!$AD$6:$AD$3005,"保留中")&gt;0,"保留",IF(COUNTIFS(請求記録!$B$6:$B$3005,$A108,請求記録!$X$6:$X$3005,W$5)=0,"",SUMIFS(請求記録!$AC$6:$AC$3005,請求記録!$B$6:$B$3005,$A108,請求記録!$X$6:$X$3005,W$5))))</f>
        <v/>
      </c>
      <c r="X108" s="19">
        <f>IF($A108="","",IF(COUNTIFS(請求記録!$B$6:$B$3005,$A108,請求記録!$X$6:$X$3005,X$5,請求記録!$AD$6:$AD$3005,"保留中")&gt;0,"保留",IF(COUNTIFS(請求記録!$B$6:$B$3005,$A108,請求記録!$X$6:$X$3005,X$5)=0,"",SUMIFS(請求記録!$AC$6:$AC$3005,請求記録!$B$6:$B$3005,$A108,請求記録!$X$6:$X$3005,X$5))))</f>
        <v/>
      </c>
      <c r="Y108" s="19">
        <f>IF($A108="","",IF(COUNTIFS(請求記録!$B$6:$B$3005,$A108,請求記録!$X$6:$X$3005,Y$5,請求記録!$AD$6:$AD$3005,"保留中")&gt;0,"保留",IF(COUNTIFS(請求記録!$B$6:$B$3005,$A108,請求記録!$X$6:$X$3005,Y$5)=0,"",SUMIFS(請求記録!$AC$6:$AC$3005,請求記録!$B$6:$B$3005,$A108,請求記録!$X$6:$X$3005,Y$5))))</f>
        <v/>
      </c>
      <c r="Z108" s="19">
        <f>IF($A108="","",IF(COUNTIFS(請求記録!$B$6:$B$3005,$A108,請求記録!$X$6:$X$3005,Z$5,請求記録!$AD$6:$AD$3005,"保留中")&gt;0,"保留",IF(COUNTIFS(請求記録!$B$6:$B$3005,$A108,請求記録!$X$6:$X$3005,Z$5)=0,"",SUMIFS(請求記録!$AC$6:$AC$3005,請求記録!$B$6:$B$3005,$A108,請求記録!$X$6:$X$3005,Z$5))))</f>
        <v/>
      </c>
      <c r="AA108" s="19">
        <f>IF($A108="","",IF(COUNTIFS(請求記録!$B$6:$B$3005,$A108,請求記録!$X$6:$X$3005,AA$5,請求記録!$AD$6:$AD$3005,"保留中")&gt;0,"保留",IF(COUNTIFS(請求記録!$B$6:$B$3005,$A108,請求記録!$X$6:$X$3005,AA$5)=0,"",SUMIFS(請求記録!$AC$6:$AC$3005,請求記録!$B$6:$B$3005,$A108,請求記録!$X$6:$X$3005,AA$5))))</f>
        <v/>
      </c>
      <c r="AB108">
        <f>IF(職員マスタ!P108="保留中",職員マスタ!M108,"")</f>
        <v/>
      </c>
    </row>
    <row r="109">
      <c r="A109">
        <f>IF(職員マスタ!A109="","",職員マスタ!A109)</f>
        <v/>
      </c>
      <c r="B109">
        <f>IF($A109="","",職員マスタ!B109)</f>
        <v/>
      </c>
      <c r="C109">
        <f>IF($A109="","",職員マスタ!C109)</f>
        <v/>
      </c>
      <c r="D109" s="19">
        <f>IF($A109="","",IF(COUNTIFS(請求記録!$B$6:$B$3005,$A109,請求記録!$X$6:$X$3005,D$5,請求記録!$AD$6:$AD$3005,"保留中")&gt;0,"保留",IF(COUNTIFS(請求記録!$B$6:$B$3005,$A109,請求記録!$X$6:$X$3005,D$5)=0,"",SUMIFS(請求記録!$AC$6:$AC$3005,請求記録!$B$6:$B$3005,$A109,請求記録!$X$6:$X$3005,D$5))))</f>
        <v/>
      </c>
      <c r="E109" s="19">
        <f>IF($A109="","",IF(COUNTIFS(請求記録!$B$6:$B$3005,$A109,請求記録!$X$6:$X$3005,E$5,請求記録!$AD$6:$AD$3005,"保留中")&gt;0,"保留",IF(COUNTIFS(請求記録!$B$6:$B$3005,$A109,請求記録!$X$6:$X$3005,E$5)=0,"",SUMIFS(請求記録!$AC$6:$AC$3005,請求記録!$B$6:$B$3005,$A109,請求記録!$X$6:$X$3005,E$5))))</f>
        <v/>
      </c>
      <c r="F109" s="19">
        <f>IF($A109="","",IF(COUNTIFS(請求記録!$B$6:$B$3005,$A109,請求記録!$X$6:$X$3005,F$5,請求記録!$AD$6:$AD$3005,"保留中")&gt;0,"保留",IF(COUNTIFS(請求記録!$B$6:$B$3005,$A109,請求記録!$X$6:$X$3005,F$5)=0,"",SUMIFS(請求記録!$AC$6:$AC$3005,請求記録!$B$6:$B$3005,$A109,請求記録!$X$6:$X$3005,F$5))))</f>
        <v/>
      </c>
      <c r="G109" s="19">
        <f>IF($A109="","",IF(COUNTIFS(請求記録!$B$6:$B$3005,$A109,請求記録!$X$6:$X$3005,G$5,請求記録!$AD$6:$AD$3005,"保留中")&gt;0,"保留",IF(COUNTIFS(請求記録!$B$6:$B$3005,$A109,請求記録!$X$6:$X$3005,G$5)=0,"",SUMIFS(請求記録!$AC$6:$AC$3005,請求記録!$B$6:$B$3005,$A109,請求記録!$X$6:$X$3005,G$5))))</f>
        <v/>
      </c>
      <c r="H109" s="19">
        <f>IF($A109="","",IF(COUNTIFS(請求記録!$B$6:$B$3005,$A109,請求記録!$X$6:$X$3005,H$5,請求記録!$AD$6:$AD$3005,"保留中")&gt;0,"保留",IF(COUNTIFS(請求記録!$B$6:$B$3005,$A109,請求記録!$X$6:$X$3005,H$5)=0,"",SUMIFS(請求記録!$AC$6:$AC$3005,請求記録!$B$6:$B$3005,$A109,請求記録!$X$6:$X$3005,H$5))))</f>
        <v/>
      </c>
      <c r="I109" s="19">
        <f>IF($A109="","",IF(COUNTIFS(請求記録!$B$6:$B$3005,$A109,請求記録!$X$6:$X$3005,I$5,請求記録!$AD$6:$AD$3005,"保留中")&gt;0,"保留",IF(COUNTIFS(請求記録!$B$6:$B$3005,$A109,請求記録!$X$6:$X$3005,I$5)=0,"",SUMIFS(請求記録!$AC$6:$AC$3005,請求記録!$B$6:$B$3005,$A109,請求記録!$X$6:$X$3005,I$5))))</f>
        <v/>
      </c>
      <c r="J109" s="19">
        <f>IF($A109="","",IF(COUNTIFS(請求記録!$B$6:$B$3005,$A109,請求記録!$X$6:$X$3005,J$5,請求記録!$AD$6:$AD$3005,"保留中")&gt;0,"保留",IF(COUNTIFS(請求記録!$B$6:$B$3005,$A109,請求記録!$X$6:$X$3005,J$5)=0,"",SUMIFS(請求記録!$AC$6:$AC$3005,請求記録!$B$6:$B$3005,$A109,請求記録!$X$6:$X$3005,J$5))))</f>
        <v/>
      </c>
      <c r="K109" s="19">
        <f>IF($A109="","",IF(COUNTIFS(請求記録!$B$6:$B$3005,$A109,請求記録!$X$6:$X$3005,K$5,請求記録!$AD$6:$AD$3005,"保留中")&gt;0,"保留",IF(COUNTIFS(請求記録!$B$6:$B$3005,$A109,請求記録!$X$6:$X$3005,K$5)=0,"",SUMIFS(請求記録!$AC$6:$AC$3005,請求記録!$B$6:$B$3005,$A109,請求記録!$X$6:$X$3005,K$5))))</f>
        <v/>
      </c>
      <c r="L109" s="19">
        <f>IF($A109="","",IF(COUNTIFS(請求記録!$B$6:$B$3005,$A109,請求記録!$X$6:$X$3005,L$5,請求記録!$AD$6:$AD$3005,"保留中")&gt;0,"保留",IF(COUNTIFS(請求記録!$B$6:$B$3005,$A109,請求記録!$X$6:$X$3005,L$5)=0,"",SUMIFS(請求記録!$AC$6:$AC$3005,請求記録!$B$6:$B$3005,$A109,請求記録!$X$6:$X$3005,L$5))))</f>
        <v/>
      </c>
      <c r="M109" s="19">
        <f>IF($A109="","",IF(COUNTIFS(請求記録!$B$6:$B$3005,$A109,請求記録!$X$6:$X$3005,M$5,請求記録!$AD$6:$AD$3005,"保留中")&gt;0,"保留",IF(COUNTIFS(請求記録!$B$6:$B$3005,$A109,請求記録!$X$6:$X$3005,M$5)=0,"",SUMIFS(請求記録!$AC$6:$AC$3005,請求記録!$B$6:$B$3005,$A109,請求記録!$X$6:$X$3005,M$5))))</f>
        <v/>
      </c>
      <c r="N109" s="19">
        <f>IF($A109="","",IF(COUNTIFS(請求記録!$B$6:$B$3005,$A109,請求記録!$X$6:$X$3005,N$5,請求記録!$AD$6:$AD$3005,"保留中")&gt;0,"保留",IF(COUNTIFS(請求記録!$B$6:$B$3005,$A109,請求記録!$X$6:$X$3005,N$5)=0,"",SUMIFS(請求記録!$AC$6:$AC$3005,請求記録!$B$6:$B$3005,$A109,請求記録!$X$6:$X$3005,N$5))))</f>
        <v/>
      </c>
      <c r="O109" s="19">
        <f>IF($A109="","",IF(COUNTIFS(請求記録!$B$6:$B$3005,$A109,請求記録!$X$6:$X$3005,O$5,請求記録!$AD$6:$AD$3005,"保留中")&gt;0,"保留",IF(COUNTIFS(請求記録!$B$6:$B$3005,$A109,請求記録!$X$6:$X$3005,O$5)=0,"",SUMIFS(請求記録!$AC$6:$AC$3005,請求記録!$B$6:$B$3005,$A109,請求記録!$X$6:$X$3005,O$5))))</f>
        <v/>
      </c>
      <c r="P109" s="19">
        <f>IF($A109="","",IF(COUNTIFS(請求記録!$B$6:$B$3005,$A109,請求記録!$X$6:$X$3005,P$5,請求記録!$AD$6:$AD$3005,"保留中")&gt;0,"保留",IF(COUNTIFS(請求記録!$B$6:$B$3005,$A109,請求記録!$X$6:$X$3005,P$5)=0,"",SUMIFS(請求記録!$AC$6:$AC$3005,請求記録!$B$6:$B$3005,$A109,請求記録!$X$6:$X$3005,P$5))))</f>
        <v/>
      </c>
      <c r="Q109" s="19">
        <f>IF($A109="","",IF(COUNTIFS(請求記録!$B$6:$B$3005,$A109,請求記録!$X$6:$X$3005,Q$5,請求記録!$AD$6:$AD$3005,"保留中")&gt;0,"保留",IF(COUNTIFS(請求記録!$B$6:$B$3005,$A109,請求記録!$X$6:$X$3005,Q$5)=0,"",SUMIFS(請求記録!$AC$6:$AC$3005,請求記録!$B$6:$B$3005,$A109,請求記録!$X$6:$X$3005,Q$5))))</f>
        <v/>
      </c>
      <c r="R109" s="19">
        <f>IF($A109="","",IF(COUNTIFS(請求記録!$B$6:$B$3005,$A109,請求記録!$X$6:$X$3005,R$5,請求記録!$AD$6:$AD$3005,"保留中")&gt;0,"保留",IF(COUNTIFS(請求記録!$B$6:$B$3005,$A109,請求記録!$X$6:$X$3005,R$5)=0,"",SUMIFS(請求記録!$AC$6:$AC$3005,請求記録!$B$6:$B$3005,$A109,請求記録!$X$6:$X$3005,R$5))))</f>
        <v/>
      </c>
      <c r="S109" s="19">
        <f>IF($A109="","",IF(COUNTIFS(請求記録!$B$6:$B$3005,$A109,請求記録!$X$6:$X$3005,S$5,請求記録!$AD$6:$AD$3005,"保留中")&gt;0,"保留",IF(COUNTIFS(請求記録!$B$6:$B$3005,$A109,請求記録!$X$6:$X$3005,S$5)=0,"",SUMIFS(請求記録!$AC$6:$AC$3005,請求記録!$B$6:$B$3005,$A109,請求記録!$X$6:$X$3005,S$5))))</f>
        <v/>
      </c>
      <c r="T109" s="19">
        <f>IF($A109="","",IF(COUNTIFS(請求記録!$B$6:$B$3005,$A109,請求記録!$X$6:$X$3005,T$5,請求記録!$AD$6:$AD$3005,"保留中")&gt;0,"保留",IF(COUNTIFS(請求記録!$B$6:$B$3005,$A109,請求記録!$X$6:$X$3005,T$5)=0,"",SUMIFS(請求記録!$AC$6:$AC$3005,請求記録!$B$6:$B$3005,$A109,請求記録!$X$6:$X$3005,T$5))))</f>
        <v/>
      </c>
      <c r="U109" s="19">
        <f>IF($A109="","",IF(COUNTIFS(請求記録!$B$6:$B$3005,$A109,請求記録!$X$6:$X$3005,U$5,請求記録!$AD$6:$AD$3005,"保留中")&gt;0,"保留",IF(COUNTIFS(請求記録!$B$6:$B$3005,$A109,請求記録!$X$6:$X$3005,U$5)=0,"",SUMIFS(請求記録!$AC$6:$AC$3005,請求記録!$B$6:$B$3005,$A109,請求記録!$X$6:$X$3005,U$5))))</f>
        <v/>
      </c>
      <c r="V109" s="19">
        <f>IF($A109="","",IF(COUNTIFS(請求記録!$B$6:$B$3005,$A109,請求記録!$X$6:$X$3005,V$5,請求記録!$AD$6:$AD$3005,"保留中")&gt;0,"保留",IF(COUNTIFS(請求記録!$B$6:$B$3005,$A109,請求記録!$X$6:$X$3005,V$5)=0,"",SUMIFS(請求記録!$AC$6:$AC$3005,請求記録!$B$6:$B$3005,$A109,請求記録!$X$6:$X$3005,V$5))))</f>
        <v/>
      </c>
      <c r="W109" s="19">
        <f>IF($A109="","",IF(COUNTIFS(請求記録!$B$6:$B$3005,$A109,請求記録!$X$6:$X$3005,W$5,請求記録!$AD$6:$AD$3005,"保留中")&gt;0,"保留",IF(COUNTIFS(請求記録!$B$6:$B$3005,$A109,請求記録!$X$6:$X$3005,W$5)=0,"",SUMIFS(請求記録!$AC$6:$AC$3005,請求記録!$B$6:$B$3005,$A109,請求記録!$X$6:$X$3005,W$5))))</f>
        <v/>
      </c>
      <c r="X109" s="19">
        <f>IF($A109="","",IF(COUNTIFS(請求記録!$B$6:$B$3005,$A109,請求記録!$X$6:$X$3005,X$5,請求記録!$AD$6:$AD$3005,"保留中")&gt;0,"保留",IF(COUNTIFS(請求記録!$B$6:$B$3005,$A109,請求記録!$X$6:$X$3005,X$5)=0,"",SUMIFS(請求記録!$AC$6:$AC$3005,請求記録!$B$6:$B$3005,$A109,請求記録!$X$6:$X$3005,X$5))))</f>
        <v/>
      </c>
      <c r="Y109" s="19">
        <f>IF($A109="","",IF(COUNTIFS(請求記録!$B$6:$B$3005,$A109,請求記録!$X$6:$X$3005,Y$5,請求記録!$AD$6:$AD$3005,"保留中")&gt;0,"保留",IF(COUNTIFS(請求記録!$B$6:$B$3005,$A109,請求記録!$X$6:$X$3005,Y$5)=0,"",SUMIFS(請求記録!$AC$6:$AC$3005,請求記録!$B$6:$B$3005,$A109,請求記録!$X$6:$X$3005,Y$5))))</f>
        <v/>
      </c>
      <c r="Z109" s="19">
        <f>IF($A109="","",IF(COUNTIFS(請求記録!$B$6:$B$3005,$A109,請求記録!$X$6:$X$3005,Z$5,請求記録!$AD$6:$AD$3005,"保留中")&gt;0,"保留",IF(COUNTIFS(請求記録!$B$6:$B$3005,$A109,請求記録!$X$6:$X$3005,Z$5)=0,"",SUMIFS(請求記録!$AC$6:$AC$3005,請求記録!$B$6:$B$3005,$A109,請求記録!$X$6:$X$3005,Z$5))))</f>
        <v/>
      </c>
      <c r="AA109" s="19">
        <f>IF($A109="","",IF(COUNTIFS(請求記録!$B$6:$B$3005,$A109,請求記録!$X$6:$X$3005,AA$5,請求記録!$AD$6:$AD$3005,"保留中")&gt;0,"保留",IF(COUNTIFS(請求記録!$B$6:$B$3005,$A109,請求記録!$X$6:$X$3005,AA$5)=0,"",SUMIFS(請求記録!$AC$6:$AC$3005,請求記録!$B$6:$B$3005,$A109,請求記録!$X$6:$X$3005,AA$5))))</f>
        <v/>
      </c>
      <c r="AB109">
        <f>IF(職員マスタ!P109="保留中",職員マスタ!M109,"")</f>
        <v/>
      </c>
    </row>
    <row r="110">
      <c r="A110">
        <f>IF(職員マスタ!A110="","",職員マスタ!A110)</f>
        <v/>
      </c>
      <c r="B110">
        <f>IF($A110="","",職員マスタ!B110)</f>
        <v/>
      </c>
      <c r="C110">
        <f>IF($A110="","",職員マスタ!C110)</f>
        <v/>
      </c>
      <c r="D110" s="19">
        <f>IF($A110="","",IF(COUNTIFS(請求記録!$B$6:$B$3005,$A110,請求記録!$X$6:$X$3005,D$5,請求記録!$AD$6:$AD$3005,"保留中")&gt;0,"保留",IF(COUNTIFS(請求記録!$B$6:$B$3005,$A110,請求記録!$X$6:$X$3005,D$5)=0,"",SUMIFS(請求記録!$AC$6:$AC$3005,請求記録!$B$6:$B$3005,$A110,請求記録!$X$6:$X$3005,D$5))))</f>
        <v/>
      </c>
      <c r="E110" s="19">
        <f>IF($A110="","",IF(COUNTIFS(請求記録!$B$6:$B$3005,$A110,請求記録!$X$6:$X$3005,E$5,請求記録!$AD$6:$AD$3005,"保留中")&gt;0,"保留",IF(COUNTIFS(請求記録!$B$6:$B$3005,$A110,請求記録!$X$6:$X$3005,E$5)=0,"",SUMIFS(請求記録!$AC$6:$AC$3005,請求記録!$B$6:$B$3005,$A110,請求記録!$X$6:$X$3005,E$5))))</f>
        <v/>
      </c>
      <c r="F110" s="19">
        <f>IF($A110="","",IF(COUNTIFS(請求記録!$B$6:$B$3005,$A110,請求記録!$X$6:$X$3005,F$5,請求記録!$AD$6:$AD$3005,"保留中")&gt;0,"保留",IF(COUNTIFS(請求記録!$B$6:$B$3005,$A110,請求記録!$X$6:$X$3005,F$5)=0,"",SUMIFS(請求記録!$AC$6:$AC$3005,請求記録!$B$6:$B$3005,$A110,請求記録!$X$6:$X$3005,F$5))))</f>
        <v/>
      </c>
      <c r="G110" s="19">
        <f>IF($A110="","",IF(COUNTIFS(請求記録!$B$6:$B$3005,$A110,請求記録!$X$6:$X$3005,G$5,請求記録!$AD$6:$AD$3005,"保留中")&gt;0,"保留",IF(COUNTIFS(請求記録!$B$6:$B$3005,$A110,請求記録!$X$6:$X$3005,G$5)=0,"",SUMIFS(請求記録!$AC$6:$AC$3005,請求記録!$B$6:$B$3005,$A110,請求記録!$X$6:$X$3005,G$5))))</f>
        <v/>
      </c>
      <c r="H110" s="19">
        <f>IF($A110="","",IF(COUNTIFS(請求記録!$B$6:$B$3005,$A110,請求記録!$X$6:$X$3005,H$5,請求記録!$AD$6:$AD$3005,"保留中")&gt;0,"保留",IF(COUNTIFS(請求記録!$B$6:$B$3005,$A110,請求記録!$X$6:$X$3005,H$5)=0,"",SUMIFS(請求記録!$AC$6:$AC$3005,請求記録!$B$6:$B$3005,$A110,請求記録!$X$6:$X$3005,H$5))))</f>
        <v/>
      </c>
      <c r="I110" s="19">
        <f>IF($A110="","",IF(COUNTIFS(請求記録!$B$6:$B$3005,$A110,請求記録!$X$6:$X$3005,I$5,請求記録!$AD$6:$AD$3005,"保留中")&gt;0,"保留",IF(COUNTIFS(請求記録!$B$6:$B$3005,$A110,請求記録!$X$6:$X$3005,I$5)=0,"",SUMIFS(請求記録!$AC$6:$AC$3005,請求記録!$B$6:$B$3005,$A110,請求記録!$X$6:$X$3005,I$5))))</f>
        <v/>
      </c>
      <c r="J110" s="19">
        <f>IF($A110="","",IF(COUNTIFS(請求記録!$B$6:$B$3005,$A110,請求記録!$X$6:$X$3005,J$5,請求記録!$AD$6:$AD$3005,"保留中")&gt;0,"保留",IF(COUNTIFS(請求記録!$B$6:$B$3005,$A110,請求記録!$X$6:$X$3005,J$5)=0,"",SUMIFS(請求記録!$AC$6:$AC$3005,請求記録!$B$6:$B$3005,$A110,請求記録!$X$6:$X$3005,J$5))))</f>
        <v/>
      </c>
      <c r="K110" s="19">
        <f>IF($A110="","",IF(COUNTIFS(請求記録!$B$6:$B$3005,$A110,請求記録!$X$6:$X$3005,K$5,請求記録!$AD$6:$AD$3005,"保留中")&gt;0,"保留",IF(COUNTIFS(請求記録!$B$6:$B$3005,$A110,請求記録!$X$6:$X$3005,K$5)=0,"",SUMIFS(請求記録!$AC$6:$AC$3005,請求記録!$B$6:$B$3005,$A110,請求記録!$X$6:$X$3005,K$5))))</f>
        <v/>
      </c>
      <c r="L110" s="19">
        <f>IF($A110="","",IF(COUNTIFS(請求記録!$B$6:$B$3005,$A110,請求記録!$X$6:$X$3005,L$5,請求記録!$AD$6:$AD$3005,"保留中")&gt;0,"保留",IF(COUNTIFS(請求記録!$B$6:$B$3005,$A110,請求記録!$X$6:$X$3005,L$5)=0,"",SUMIFS(請求記録!$AC$6:$AC$3005,請求記録!$B$6:$B$3005,$A110,請求記録!$X$6:$X$3005,L$5))))</f>
        <v/>
      </c>
      <c r="M110" s="19">
        <f>IF($A110="","",IF(COUNTIFS(請求記録!$B$6:$B$3005,$A110,請求記録!$X$6:$X$3005,M$5,請求記録!$AD$6:$AD$3005,"保留中")&gt;0,"保留",IF(COUNTIFS(請求記録!$B$6:$B$3005,$A110,請求記録!$X$6:$X$3005,M$5)=0,"",SUMIFS(請求記録!$AC$6:$AC$3005,請求記録!$B$6:$B$3005,$A110,請求記録!$X$6:$X$3005,M$5))))</f>
        <v/>
      </c>
      <c r="N110" s="19">
        <f>IF($A110="","",IF(COUNTIFS(請求記録!$B$6:$B$3005,$A110,請求記録!$X$6:$X$3005,N$5,請求記録!$AD$6:$AD$3005,"保留中")&gt;0,"保留",IF(COUNTIFS(請求記録!$B$6:$B$3005,$A110,請求記録!$X$6:$X$3005,N$5)=0,"",SUMIFS(請求記録!$AC$6:$AC$3005,請求記録!$B$6:$B$3005,$A110,請求記録!$X$6:$X$3005,N$5))))</f>
        <v/>
      </c>
      <c r="O110" s="19">
        <f>IF($A110="","",IF(COUNTIFS(請求記録!$B$6:$B$3005,$A110,請求記録!$X$6:$X$3005,O$5,請求記録!$AD$6:$AD$3005,"保留中")&gt;0,"保留",IF(COUNTIFS(請求記録!$B$6:$B$3005,$A110,請求記録!$X$6:$X$3005,O$5)=0,"",SUMIFS(請求記録!$AC$6:$AC$3005,請求記録!$B$6:$B$3005,$A110,請求記録!$X$6:$X$3005,O$5))))</f>
        <v/>
      </c>
      <c r="P110" s="19">
        <f>IF($A110="","",IF(COUNTIFS(請求記録!$B$6:$B$3005,$A110,請求記録!$X$6:$X$3005,P$5,請求記録!$AD$6:$AD$3005,"保留中")&gt;0,"保留",IF(COUNTIFS(請求記録!$B$6:$B$3005,$A110,請求記録!$X$6:$X$3005,P$5)=0,"",SUMIFS(請求記録!$AC$6:$AC$3005,請求記録!$B$6:$B$3005,$A110,請求記録!$X$6:$X$3005,P$5))))</f>
        <v/>
      </c>
      <c r="Q110" s="19">
        <f>IF($A110="","",IF(COUNTIFS(請求記録!$B$6:$B$3005,$A110,請求記録!$X$6:$X$3005,Q$5,請求記録!$AD$6:$AD$3005,"保留中")&gt;0,"保留",IF(COUNTIFS(請求記録!$B$6:$B$3005,$A110,請求記録!$X$6:$X$3005,Q$5)=0,"",SUMIFS(請求記録!$AC$6:$AC$3005,請求記録!$B$6:$B$3005,$A110,請求記録!$X$6:$X$3005,Q$5))))</f>
        <v/>
      </c>
      <c r="R110" s="19">
        <f>IF($A110="","",IF(COUNTIFS(請求記録!$B$6:$B$3005,$A110,請求記録!$X$6:$X$3005,R$5,請求記録!$AD$6:$AD$3005,"保留中")&gt;0,"保留",IF(COUNTIFS(請求記録!$B$6:$B$3005,$A110,請求記録!$X$6:$X$3005,R$5)=0,"",SUMIFS(請求記録!$AC$6:$AC$3005,請求記録!$B$6:$B$3005,$A110,請求記録!$X$6:$X$3005,R$5))))</f>
        <v/>
      </c>
      <c r="S110" s="19">
        <f>IF($A110="","",IF(COUNTIFS(請求記録!$B$6:$B$3005,$A110,請求記録!$X$6:$X$3005,S$5,請求記録!$AD$6:$AD$3005,"保留中")&gt;0,"保留",IF(COUNTIFS(請求記録!$B$6:$B$3005,$A110,請求記録!$X$6:$X$3005,S$5)=0,"",SUMIFS(請求記録!$AC$6:$AC$3005,請求記録!$B$6:$B$3005,$A110,請求記録!$X$6:$X$3005,S$5))))</f>
        <v/>
      </c>
      <c r="T110" s="19">
        <f>IF($A110="","",IF(COUNTIFS(請求記録!$B$6:$B$3005,$A110,請求記録!$X$6:$X$3005,T$5,請求記録!$AD$6:$AD$3005,"保留中")&gt;0,"保留",IF(COUNTIFS(請求記録!$B$6:$B$3005,$A110,請求記録!$X$6:$X$3005,T$5)=0,"",SUMIFS(請求記録!$AC$6:$AC$3005,請求記録!$B$6:$B$3005,$A110,請求記録!$X$6:$X$3005,T$5))))</f>
        <v/>
      </c>
      <c r="U110" s="19">
        <f>IF($A110="","",IF(COUNTIFS(請求記録!$B$6:$B$3005,$A110,請求記録!$X$6:$X$3005,U$5,請求記録!$AD$6:$AD$3005,"保留中")&gt;0,"保留",IF(COUNTIFS(請求記録!$B$6:$B$3005,$A110,請求記録!$X$6:$X$3005,U$5)=0,"",SUMIFS(請求記録!$AC$6:$AC$3005,請求記録!$B$6:$B$3005,$A110,請求記録!$X$6:$X$3005,U$5))))</f>
        <v/>
      </c>
      <c r="V110" s="19">
        <f>IF($A110="","",IF(COUNTIFS(請求記録!$B$6:$B$3005,$A110,請求記録!$X$6:$X$3005,V$5,請求記録!$AD$6:$AD$3005,"保留中")&gt;0,"保留",IF(COUNTIFS(請求記録!$B$6:$B$3005,$A110,請求記録!$X$6:$X$3005,V$5)=0,"",SUMIFS(請求記録!$AC$6:$AC$3005,請求記録!$B$6:$B$3005,$A110,請求記録!$X$6:$X$3005,V$5))))</f>
        <v/>
      </c>
      <c r="W110" s="19">
        <f>IF($A110="","",IF(COUNTIFS(請求記録!$B$6:$B$3005,$A110,請求記録!$X$6:$X$3005,W$5,請求記録!$AD$6:$AD$3005,"保留中")&gt;0,"保留",IF(COUNTIFS(請求記録!$B$6:$B$3005,$A110,請求記録!$X$6:$X$3005,W$5)=0,"",SUMIFS(請求記録!$AC$6:$AC$3005,請求記録!$B$6:$B$3005,$A110,請求記録!$X$6:$X$3005,W$5))))</f>
        <v/>
      </c>
      <c r="X110" s="19">
        <f>IF($A110="","",IF(COUNTIFS(請求記録!$B$6:$B$3005,$A110,請求記録!$X$6:$X$3005,X$5,請求記録!$AD$6:$AD$3005,"保留中")&gt;0,"保留",IF(COUNTIFS(請求記録!$B$6:$B$3005,$A110,請求記録!$X$6:$X$3005,X$5)=0,"",SUMIFS(請求記録!$AC$6:$AC$3005,請求記録!$B$6:$B$3005,$A110,請求記録!$X$6:$X$3005,X$5))))</f>
        <v/>
      </c>
      <c r="Y110" s="19">
        <f>IF($A110="","",IF(COUNTIFS(請求記録!$B$6:$B$3005,$A110,請求記録!$X$6:$X$3005,Y$5,請求記録!$AD$6:$AD$3005,"保留中")&gt;0,"保留",IF(COUNTIFS(請求記録!$B$6:$B$3005,$A110,請求記録!$X$6:$X$3005,Y$5)=0,"",SUMIFS(請求記録!$AC$6:$AC$3005,請求記録!$B$6:$B$3005,$A110,請求記録!$X$6:$X$3005,Y$5))))</f>
        <v/>
      </c>
      <c r="Z110" s="19">
        <f>IF($A110="","",IF(COUNTIFS(請求記録!$B$6:$B$3005,$A110,請求記録!$X$6:$X$3005,Z$5,請求記録!$AD$6:$AD$3005,"保留中")&gt;0,"保留",IF(COUNTIFS(請求記録!$B$6:$B$3005,$A110,請求記録!$X$6:$X$3005,Z$5)=0,"",SUMIFS(請求記録!$AC$6:$AC$3005,請求記録!$B$6:$B$3005,$A110,請求記録!$X$6:$X$3005,Z$5))))</f>
        <v/>
      </c>
      <c r="AA110" s="19">
        <f>IF($A110="","",IF(COUNTIFS(請求記録!$B$6:$B$3005,$A110,請求記録!$X$6:$X$3005,AA$5,請求記録!$AD$6:$AD$3005,"保留中")&gt;0,"保留",IF(COUNTIFS(請求記録!$B$6:$B$3005,$A110,請求記録!$X$6:$X$3005,AA$5)=0,"",SUMIFS(請求記録!$AC$6:$AC$3005,請求記録!$B$6:$B$3005,$A110,請求記録!$X$6:$X$3005,AA$5))))</f>
        <v/>
      </c>
      <c r="AB110">
        <f>IF(職員マスタ!P110="保留中",職員マスタ!M110,"")</f>
        <v/>
      </c>
    </row>
    <row r="111">
      <c r="A111">
        <f>IF(職員マスタ!A111="","",職員マスタ!A111)</f>
        <v/>
      </c>
      <c r="B111">
        <f>IF($A111="","",職員マスタ!B111)</f>
        <v/>
      </c>
      <c r="C111">
        <f>IF($A111="","",職員マスタ!C111)</f>
        <v/>
      </c>
      <c r="D111" s="19">
        <f>IF($A111="","",IF(COUNTIFS(請求記録!$B$6:$B$3005,$A111,請求記録!$X$6:$X$3005,D$5,請求記録!$AD$6:$AD$3005,"保留中")&gt;0,"保留",IF(COUNTIFS(請求記録!$B$6:$B$3005,$A111,請求記録!$X$6:$X$3005,D$5)=0,"",SUMIFS(請求記録!$AC$6:$AC$3005,請求記録!$B$6:$B$3005,$A111,請求記録!$X$6:$X$3005,D$5))))</f>
        <v/>
      </c>
      <c r="E111" s="19">
        <f>IF($A111="","",IF(COUNTIFS(請求記録!$B$6:$B$3005,$A111,請求記録!$X$6:$X$3005,E$5,請求記録!$AD$6:$AD$3005,"保留中")&gt;0,"保留",IF(COUNTIFS(請求記録!$B$6:$B$3005,$A111,請求記録!$X$6:$X$3005,E$5)=0,"",SUMIFS(請求記録!$AC$6:$AC$3005,請求記録!$B$6:$B$3005,$A111,請求記録!$X$6:$X$3005,E$5))))</f>
        <v/>
      </c>
      <c r="F111" s="19">
        <f>IF($A111="","",IF(COUNTIFS(請求記録!$B$6:$B$3005,$A111,請求記録!$X$6:$X$3005,F$5,請求記録!$AD$6:$AD$3005,"保留中")&gt;0,"保留",IF(COUNTIFS(請求記録!$B$6:$B$3005,$A111,請求記録!$X$6:$X$3005,F$5)=0,"",SUMIFS(請求記録!$AC$6:$AC$3005,請求記録!$B$6:$B$3005,$A111,請求記録!$X$6:$X$3005,F$5))))</f>
        <v/>
      </c>
      <c r="G111" s="19">
        <f>IF($A111="","",IF(COUNTIFS(請求記録!$B$6:$B$3005,$A111,請求記録!$X$6:$X$3005,G$5,請求記録!$AD$6:$AD$3005,"保留中")&gt;0,"保留",IF(COUNTIFS(請求記録!$B$6:$B$3005,$A111,請求記録!$X$6:$X$3005,G$5)=0,"",SUMIFS(請求記録!$AC$6:$AC$3005,請求記録!$B$6:$B$3005,$A111,請求記録!$X$6:$X$3005,G$5))))</f>
        <v/>
      </c>
      <c r="H111" s="19">
        <f>IF($A111="","",IF(COUNTIFS(請求記録!$B$6:$B$3005,$A111,請求記録!$X$6:$X$3005,H$5,請求記録!$AD$6:$AD$3005,"保留中")&gt;0,"保留",IF(COUNTIFS(請求記録!$B$6:$B$3005,$A111,請求記録!$X$6:$X$3005,H$5)=0,"",SUMIFS(請求記録!$AC$6:$AC$3005,請求記録!$B$6:$B$3005,$A111,請求記録!$X$6:$X$3005,H$5))))</f>
        <v/>
      </c>
      <c r="I111" s="19">
        <f>IF($A111="","",IF(COUNTIFS(請求記録!$B$6:$B$3005,$A111,請求記録!$X$6:$X$3005,I$5,請求記録!$AD$6:$AD$3005,"保留中")&gt;0,"保留",IF(COUNTIFS(請求記録!$B$6:$B$3005,$A111,請求記録!$X$6:$X$3005,I$5)=0,"",SUMIFS(請求記録!$AC$6:$AC$3005,請求記録!$B$6:$B$3005,$A111,請求記録!$X$6:$X$3005,I$5))))</f>
        <v/>
      </c>
      <c r="J111" s="19">
        <f>IF($A111="","",IF(COUNTIFS(請求記録!$B$6:$B$3005,$A111,請求記録!$X$6:$X$3005,J$5,請求記録!$AD$6:$AD$3005,"保留中")&gt;0,"保留",IF(COUNTIFS(請求記録!$B$6:$B$3005,$A111,請求記録!$X$6:$X$3005,J$5)=0,"",SUMIFS(請求記録!$AC$6:$AC$3005,請求記録!$B$6:$B$3005,$A111,請求記録!$X$6:$X$3005,J$5))))</f>
        <v/>
      </c>
      <c r="K111" s="19">
        <f>IF($A111="","",IF(COUNTIFS(請求記録!$B$6:$B$3005,$A111,請求記録!$X$6:$X$3005,K$5,請求記録!$AD$6:$AD$3005,"保留中")&gt;0,"保留",IF(COUNTIFS(請求記録!$B$6:$B$3005,$A111,請求記録!$X$6:$X$3005,K$5)=0,"",SUMIFS(請求記録!$AC$6:$AC$3005,請求記録!$B$6:$B$3005,$A111,請求記録!$X$6:$X$3005,K$5))))</f>
        <v/>
      </c>
      <c r="L111" s="19">
        <f>IF($A111="","",IF(COUNTIFS(請求記録!$B$6:$B$3005,$A111,請求記録!$X$6:$X$3005,L$5,請求記録!$AD$6:$AD$3005,"保留中")&gt;0,"保留",IF(COUNTIFS(請求記録!$B$6:$B$3005,$A111,請求記録!$X$6:$X$3005,L$5)=0,"",SUMIFS(請求記録!$AC$6:$AC$3005,請求記録!$B$6:$B$3005,$A111,請求記録!$X$6:$X$3005,L$5))))</f>
        <v/>
      </c>
      <c r="M111" s="19">
        <f>IF($A111="","",IF(COUNTIFS(請求記録!$B$6:$B$3005,$A111,請求記録!$X$6:$X$3005,M$5,請求記録!$AD$6:$AD$3005,"保留中")&gt;0,"保留",IF(COUNTIFS(請求記録!$B$6:$B$3005,$A111,請求記録!$X$6:$X$3005,M$5)=0,"",SUMIFS(請求記録!$AC$6:$AC$3005,請求記録!$B$6:$B$3005,$A111,請求記録!$X$6:$X$3005,M$5))))</f>
        <v/>
      </c>
      <c r="N111" s="19">
        <f>IF($A111="","",IF(COUNTIFS(請求記録!$B$6:$B$3005,$A111,請求記録!$X$6:$X$3005,N$5,請求記録!$AD$6:$AD$3005,"保留中")&gt;0,"保留",IF(COUNTIFS(請求記録!$B$6:$B$3005,$A111,請求記録!$X$6:$X$3005,N$5)=0,"",SUMIFS(請求記録!$AC$6:$AC$3005,請求記録!$B$6:$B$3005,$A111,請求記録!$X$6:$X$3005,N$5))))</f>
        <v/>
      </c>
      <c r="O111" s="19">
        <f>IF($A111="","",IF(COUNTIFS(請求記録!$B$6:$B$3005,$A111,請求記録!$X$6:$X$3005,O$5,請求記録!$AD$6:$AD$3005,"保留中")&gt;0,"保留",IF(COUNTIFS(請求記録!$B$6:$B$3005,$A111,請求記録!$X$6:$X$3005,O$5)=0,"",SUMIFS(請求記録!$AC$6:$AC$3005,請求記録!$B$6:$B$3005,$A111,請求記録!$X$6:$X$3005,O$5))))</f>
        <v/>
      </c>
      <c r="P111" s="19">
        <f>IF($A111="","",IF(COUNTIFS(請求記録!$B$6:$B$3005,$A111,請求記録!$X$6:$X$3005,P$5,請求記録!$AD$6:$AD$3005,"保留中")&gt;0,"保留",IF(COUNTIFS(請求記録!$B$6:$B$3005,$A111,請求記録!$X$6:$X$3005,P$5)=0,"",SUMIFS(請求記録!$AC$6:$AC$3005,請求記録!$B$6:$B$3005,$A111,請求記録!$X$6:$X$3005,P$5))))</f>
        <v/>
      </c>
      <c r="Q111" s="19">
        <f>IF($A111="","",IF(COUNTIFS(請求記録!$B$6:$B$3005,$A111,請求記録!$X$6:$X$3005,Q$5,請求記録!$AD$6:$AD$3005,"保留中")&gt;0,"保留",IF(COUNTIFS(請求記録!$B$6:$B$3005,$A111,請求記録!$X$6:$X$3005,Q$5)=0,"",SUMIFS(請求記録!$AC$6:$AC$3005,請求記録!$B$6:$B$3005,$A111,請求記録!$X$6:$X$3005,Q$5))))</f>
        <v/>
      </c>
      <c r="R111" s="19">
        <f>IF($A111="","",IF(COUNTIFS(請求記録!$B$6:$B$3005,$A111,請求記録!$X$6:$X$3005,R$5,請求記録!$AD$6:$AD$3005,"保留中")&gt;0,"保留",IF(COUNTIFS(請求記録!$B$6:$B$3005,$A111,請求記録!$X$6:$X$3005,R$5)=0,"",SUMIFS(請求記録!$AC$6:$AC$3005,請求記録!$B$6:$B$3005,$A111,請求記録!$X$6:$X$3005,R$5))))</f>
        <v/>
      </c>
      <c r="S111" s="19">
        <f>IF($A111="","",IF(COUNTIFS(請求記録!$B$6:$B$3005,$A111,請求記録!$X$6:$X$3005,S$5,請求記録!$AD$6:$AD$3005,"保留中")&gt;0,"保留",IF(COUNTIFS(請求記録!$B$6:$B$3005,$A111,請求記録!$X$6:$X$3005,S$5)=0,"",SUMIFS(請求記録!$AC$6:$AC$3005,請求記録!$B$6:$B$3005,$A111,請求記録!$X$6:$X$3005,S$5))))</f>
        <v/>
      </c>
      <c r="T111" s="19">
        <f>IF($A111="","",IF(COUNTIFS(請求記録!$B$6:$B$3005,$A111,請求記録!$X$6:$X$3005,T$5,請求記録!$AD$6:$AD$3005,"保留中")&gt;0,"保留",IF(COUNTIFS(請求記録!$B$6:$B$3005,$A111,請求記録!$X$6:$X$3005,T$5)=0,"",SUMIFS(請求記録!$AC$6:$AC$3005,請求記録!$B$6:$B$3005,$A111,請求記録!$X$6:$X$3005,T$5))))</f>
        <v/>
      </c>
      <c r="U111" s="19">
        <f>IF($A111="","",IF(COUNTIFS(請求記録!$B$6:$B$3005,$A111,請求記録!$X$6:$X$3005,U$5,請求記録!$AD$6:$AD$3005,"保留中")&gt;0,"保留",IF(COUNTIFS(請求記録!$B$6:$B$3005,$A111,請求記録!$X$6:$X$3005,U$5)=0,"",SUMIFS(請求記録!$AC$6:$AC$3005,請求記録!$B$6:$B$3005,$A111,請求記録!$X$6:$X$3005,U$5))))</f>
        <v/>
      </c>
      <c r="V111" s="19">
        <f>IF($A111="","",IF(COUNTIFS(請求記録!$B$6:$B$3005,$A111,請求記録!$X$6:$X$3005,V$5,請求記録!$AD$6:$AD$3005,"保留中")&gt;0,"保留",IF(COUNTIFS(請求記録!$B$6:$B$3005,$A111,請求記録!$X$6:$X$3005,V$5)=0,"",SUMIFS(請求記録!$AC$6:$AC$3005,請求記録!$B$6:$B$3005,$A111,請求記録!$X$6:$X$3005,V$5))))</f>
        <v/>
      </c>
      <c r="W111" s="19">
        <f>IF($A111="","",IF(COUNTIFS(請求記録!$B$6:$B$3005,$A111,請求記録!$X$6:$X$3005,W$5,請求記録!$AD$6:$AD$3005,"保留中")&gt;0,"保留",IF(COUNTIFS(請求記録!$B$6:$B$3005,$A111,請求記録!$X$6:$X$3005,W$5)=0,"",SUMIFS(請求記録!$AC$6:$AC$3005,請求記録!$B$6:$B$3005,$A111,請求記録!$X$6:$X$3005,W$5))))</f>
        <v/>
      </c>
      <c r="X111" s="19">
        <f>IF($A111="","",IF(COUNTIFS(請求記録!$B$6:$B$3005,$A111,請求記録!$X$6:$X$3005,X$5,請求記録!$AD$6:$AD$3005,"保留中")&gt;0,"保留",IF(COUNTIFS(請求記録!$B$6:$B$3005,$A111,請求記録!$X$6:$X$3005,X$5)=0,"",SUMIFS(請求記録!$AC$6:$AC$3005,請求記録!$B$6:$B$3005,$A111,請求記録!$X$6:$X$3005,X$5))))</f>
        <v/>
      </c>
      <c r="Y111" s="19">
        <f>IF($A111="","",IF(COUNTIFS(請求記録!$B$6:$B$3005,$A111,請求記録!$X$6:$X$3005,Y$5,請求記録!$AD$6:$AD$3005,"保留中")&gt;0,"保留",IF(COUNTIFS(請求記録!$B$6:$B$3005,$A111,請求記録!$X$6:$X$3005,Y$5)=0,"",SUMIFS(請求記録!$AC$6:$AC$3005,請求記録!$B$6:$B$3005,$A111,請求記録!$X$6:$X$3005,Y$5))))</f>
        <v/>
      </c>
      <c r="Z111" s="19">
        <f>IF($A111="","",IF(COUNTIFS(請求記録!$B$6:$B$3005,$A111,請求記録!$X$6:$X$3005,Z$5,請求記録!$AD$6:$AD$3005,"保留中")&gt;0,"保留",IF(COUNTIFS(請求記録!$B$6:$B$3005,$A111,請求記録!$X$6:$X$3005,Z$5)=0,"",SUMIFS(請求記録!$AC$6:$AC$3005,請求記録!$B$6:$B$3005,$A111,請求記録!$X$6:$X$3005,Z$5))))</f>
        <v/>
      </c>
      <c r="AA111" s="19">
        <f>IF($A111="","",IF(COUNTIFS(請求記録!$B$6:$B$3005,$A111,請求記録!$X$6:$X$3005,AA$5,請求記録!$AD$6:$AD$3005,"保留中")&gt;0,"保留",IF(COUNTIFS(請求記録!$B$6:$B$3005,$A111,請求記録!$X$6:$X$3005,AA$5)=0,"",SUMIFS(請求記録!$AC$6:$AC$3005,請求記録!$B$6:$B$3005,$A111,請求記録!$X$6:$X$3005,AA$5))))</f>
        <v/>
      </c>
      <c r="AB111">
        <f>IF(職員マスタ!P111="保留中",職員マスタ!M111,"")</f>
        <v/>
      </c>
    </row>
    <row r="112">
      <c r="A112">
        <f>IF(職員マスタ!A112="","",職員マスタ!A112)</f>
        <v/>
      </c>
      <c r="B112">
        <f>IF($A112="","",職員マスタ!B112)</f>
        <v/>
      </c>
      <c r="C112">
        <f>IF($A112="","",職員マスタ!C112)</f>
        <v/>
      </c>
      <c r="D112" s="19">
        <f>IF($A112="","",IF(COUNTIFS(請求記録!$B$6:$B$3005,$A112,請求記録!$X$6:$X$3005,D$5,請求記録!$AD$6:$AD$3005,"保留中")&gt;0,"保留",IF(COUNTIFS(請求記録!$B$6:$B$3005,$A112,請求記録!$X$6:$X$3005,D$5)=0,"",SUMIFS(請求記録!$AC$6:$AC$3005,請求記録!$B$6:$B$3005,$A112,請求記録!$X$6:$X$3005,D$5))))</f>
        <v/>
      </c>
      <c r="E112" s="19">
        <f>IF($A112="","",IF(COUNTIFS(請求記録!$B$6:$B$3005,$A112,請求記録!$X$6:$X$3005,E$5,請求記録!$AD$6:$AD$3005,"保留中")&gt;0,"保留",IF(COUNTIFS(請求記録!$B$6:$B$3005,$A112,請求記録!$X$6:$X$3005,E$5)=0,"",SUMIFS(請求記録!$AC$6:$AC$3005,請求記録!$B$6:$B$3005,$A112,請求記録!$X$6:$X$3005,E$5))))</f>
        <v/>
      </c>
      <c r="F112" s="19">
        <f>IF($A112="","",IF(COUNTIFS(請求記録!$B$6:$B$3005,$A112,請求記録!$X$6:$X$3005,F$5,請求記録!$AD$6:$AD$3005,"保留中")&gt;0,"保留",IF(COUNTIFS(請求記録!$B$6:$B$3005,$A112,請求記録!$X$6:$X$3005,F$5)=0,"",SUMIFS(請求記録!$AC$6:$AC$3005,請求記録!$B$6:$B$3005,$A112,請求記録!$X$6:$X$3005,F$5))))</f>
        <v/>
      </c>
      <c r="G112" s="19">
        <f>IF($A112="","",IF(COUNTIFS(請求記録!$B$6:$B$3005,$A112,請求記録!$X$6:$X$3005,G$5,請求記録!$AD$6:$AD$3005,"保留中")&gt;0,"保留",IF(COUNTIFS(請求記録!$B$6:$B$3005,$A112,請求記録!$X$6:$X$3005,G$5)=0,"",SUMIFS(請求記録!$AC$6:$AC$3005,請求記録!$B$6:$B$3005,$A112,請求記録!$X$6:$X$3005,G$5))))</f>
        <v/>
      </c>
      <c r="H112" s="19">
        <f>IF($A112="","",IF(COUNTIFS(請求記録!$B$6:$B$3005,$A112,請求記録!$X$6:$X$3005,H$5,請求記録!$AD$6:$AD$3005,"保留中")&gt;0,"保留",IF(COUNTIFS(請求記録!$B$6:$B$3005,$A112,請求記録!$X$6:$X$3005,H$5)=0,"",SUMIFS(請求記録!$AC$6:$AC$3005,請求記録!$B$6:$B$3005,$A112,請求記録!$X$6:$X$3005,H$5))))</f>
        <v/>
      </c>
      <c r="I112" s="19">
        <f>IF($A112="","",IF(COUNTIFS(請求記録!$B$6:$B$3005,$A112,請求記録!$X$6:$X$3005,I$5,請求記録!$AD$6:$AD$3005,"保留中")&gt;0,"保留",IF(COUNTIFS(請求記録!$B$6:$B$3005,$A112,請求記録!$X$6:$X$3005,I$5)=0,"",SUMIFS(請求記録!$AC$6:$AC$3005,請求記録!$B$6:$B$3005,$A112,請求記録!$X$6:$X$3005,I$5))))</f>
        <v/>
      </c>
      <c r="J112" s="19">
        <f>IF($A112="","",IF(COUNTIFS(請求記録!$B$6:$B$3005,$A112,請求記録!$X$6:$X$3005,J$5,請求記録!$AD$6:$AD$3005,"保留中")&gt;0,"保留",IF(COUNTIFS(請求記録!$B$6:$B$3005,$A112,請求記録!$X$6:$X$3005,J$5)=0,"",SUMIFS(請求記録!$AC$6:$AC$3005,請求記録!$B$6:$B$3005,$A112,請求記録!$X$6:$X$3005,J$5))))</f>
        <v/>
      </c>
      <c r="K112" s="19">
        <f>IF($A112="","",IF(COUNTIFS(請求記録!$B$6:$B$3005,$A112,請求記録!$X$6:$X$3005,K$5,請求記録!$AD$6:$AD$3005,"保留中")&gt;0,"保留",IF(COUNTIFS(請求記録!$B$6:$B$3005,$A112,請求記録!$X$6:$X$3005,K$5)=0,"",SUMIFS(請求記録!$AC$6:$AC$3005,請求記録!$B$6:$B$3005,$A112,請求記録!$X$6:$X$3005,K$5))))</f>
        <v/>
      </c>
      <c r="L112" s="19">
        <f>IF($A112="","",IF(COUNTIFS(請求記録!$B$6:$B$3005,$A112,請求記録!$X$6:$X$3005,L$5,請求記録!$AD$6:$AD$3005,"保留中")&gt;0,"保留",IF(COUNTIFS(請求記録!$B$6:$B$3005,$A112,請求記録!$X$6:$X$3005,L$5)=0,"",SUMIFS(請求記録!$AC$6:$AC$3005,請求記録!$B$6:$B$3005,$A112,請求記録!$X$6:$X$3005,L$5))))</f>
        <v/>
      </c>
      <c r="M112" s="19">
        <f>IF($A112="","",IF(COUNTIFS(請求記録!$B$6:$B$3005,$A112,請求記録!$X$6:$X$3005,M$5,請求記録!$AD$6:$AD$3005,"保留中")&gt;0,"保留",IF(COUNTIFS(請求記録!$B$6:$B$3005,$A112,請求記録!$X$6:$X$3005,M$5)=0,"",SUMIFS(請求記録!$AC$6:$AC$3005,請求記録!$B$6:$B$3005,$A112,請求記録!$X$6:$X$3005,M$5))))</f>
        <v/>
      </c>
      <c r="N112" s="19">
        <f>IF($A112="","",IF(COUNTIFS(請求記録!$B$6:$B$3005,$A112,請求記録!$X$6:$X$3005,N$5,請求記録!$AD$6:$AD$3005,"保留中")&gt;0,"保留",IF(COUNTIFS(請求記録!$B$6:$B$3005,$A112,請求記録!$X$6:$X$3005,N$5)=0,"",SUMIFS(請求記録!$AC$6:$AC$3005,請求記録!$B$6:$B$3005,$A112,請求記録!$X$6:$X$3005,N$5))))</f>
        <v/>
      </c>
      <c r="O112" s="19">
        <f>IF($A112="","",IF(COUNTIFS(請求記録!$B$6:$B$3005,$A112,請求記録!$X$6:$X$3005,O$5,請求記録!$AD$6:$AD$3005,"保留中")&gt;0,"保留",IF(COUNTIFS(請求記録!$B$6:$B$3005,$A112,請求記録!$X$6:$X$3005,O$5)=0,"",SUMIFS(請求記録!$AC$6:$AC$3005,請求記録!$B$6:$B$3005,$A112,請求記録!$X$6:$X$3005,O$5))))</f>
        <v/>
      </c>
      <c r="P112" s="19">
        <f>IF($A112="","",IF(COUNTIFS(請求記録!$B$6:$B$3005,$A112,請求記録!$X$6:$X$3005,P$5,請求記録!$AD$6:$AD$3005,"保留中")&gt;0,"保留",IF(COUNTIFS(請求記録!$B$6:$B$3005,$A112,請求記録!$X$6:$X$3005,P$5)=0,"",SUMIFS(請求記録!$AC$6:$AC$3005,請求記録!$B$6:$B$3005,$A112,請求記録!$X$6:$X$3005,P$5))))</f>
        <v/>
      </c>
      <c r="Q112" s="19">
        <f>IF($A112="","",IF(COUNTIFS(請求記録!$B$6:$B$3005,$A112,請求記録!$X$6:$X$3005,Q$5,請求記録!$AD$6:$AD$3005,"保留中")&gt;0,"保留",IF(COUNTIFS(請求記録!$B$6:$B$3005,$A112,請求記録!$X$6:$X$3005,Q$5)=0,"",SUMIFS(請求記録!$AC$6:$AC$3005,請求記録!$B$6:$B$3005,$A112,請求記録!$X$6:$X$3005,Q$5))))</f>
        <v/>
      </c>
      <c r="R112" s="19">
        <f>IF($A112="","",IF(COUNTIFS(請求記録!$B$6:$B$3005,$A112,請求記録!$X$6:$X$3005,R$5,請求記録!$AD$6:$AD$3005,"保留中")&gt;0,"保留",IF(COUNTIFS(請求記録!$B$6:$B$3005,$A112,請求記録!$X$6:$X$3005,R$5)=0,"",SUMIFS(請求記録!$AC$6:$AC$3005,請求記録!$B$6:$B$3005,$A112,請求記録!$X$6:$X$3005,R$5))))</f>
        <v/>
      </c>
      <c r="S112" s="19">
        <f>IF($A112="","",IF(COUNTIFS(請求記録!$B$6:$B$3005,$A112,請求記録!$X$6:$X$3005,S$5,請求記録!$AD$6:$AD$3005,"保留中")&gt;0,"保留",IF(COUNTIFS(請求記録!$B$6:$B$3005,$A112,請求記録!$X$6:$X$3005,S$5)=0,"",SUMIFS(請求記録!$AC$6:$AC$3005,請求記録!$B$6:$B$3005,$A112,請求記録!$X$6:$X$3005,S$5))))</f>
        <v/>
      </c>
      <c r="T112" s="19">
        <f>IF($A112="","",IF(COUNTIFS(請求記録!$B$6:$B$3005,$A112,請求記録!$X$6:$X$3005,T$5,請求記録!$AD$6:$AD$3005,"保留中")&gt;0,"保留",IF(COUNTIFS(請求記録!$B$6:$B$3005,$A112,請求記録!$X$6:$X$3005,T$5)=0,"",SUMIFS(請求記録!$AC$6:$AC$3005,請求記録!$B$6:$B$3005,$A112,請求記録!$X$6:$X$3005,T$5))))</f>
        <v/>
      </c>
      <c r="U112" s="19">
        <f>IF($A112="","",IF(COUNTIFS(請求記録!$B$6:$B$3005,$A112,請求記録!$X$6:$X$3005,U$5,請求記録!$AD$6:$AD$3005,"保留中")&gt;0,"保留",IF(COUNTIFS(請求記録!$B$6:$B$3005,$A112,請求記録!$X$6:$X$3005,U$5)=0,"",SUMIFS(請求記録!$AC$6:$AC$3005,請求記録!$B$6:$B$3005,$A112,請求記録!$X$6:$X$3005,U$5))))</f>
        <v/>
      </c>
      <c r="V112" s="19">
        <f>IF($A112="","",IF(COUNTIFS(請求記録!$B$6:$B$3005,$A112,請求記録!$X$6:$X$3005,V$5,請求記録!$AD$6:$AD$3005,"保留中")&gt;0,"保留",IF(COUNTIFS(請求記録!$B$6:$B$3005,$A112,請求記録!$X$6:$X$3005,V$5)=0,"",SUMIFS(請求記録!$AC$6:$AC$3005,請求記録!$B$6:$B$3005,$A112,請求記録!$X$6:$X$3005,V$5))))</f>
        <v/>
      </c>
      <c r="W112" s="19">
        <f>IF($A112="","",IF(COUNTIFS(請求記録!$B$6:$B$3005,$A112,請求記録!$X$6:$X$3005,W$5,請求記録!$AD$6:$AD$3005,"保留中")&gt;0,"保留",IF(COUNTIFS(請求記録!$B$6:$B$3005,$A112,請求記録!$X$6:$X$3005,W$5)=0,"",SUMIFS(請求記録!$AC$6:$AC$3005,請求記録!$B$6:$B$3005,$A112,請求記録!$X$6:$X$3005,W$5))))</f>
        <v/>
      </c>
      <c r="X112" s="19">
        <f>IF($A112="","",IF(COUNTIFS(請求記録!$B$6:$B$3005,$A112,請求記録!$X$6:$X$3005,X$5,請求記録!$AD$6:$AD$3005,"保留中")&gt;0,"保留",IF(COUNTIFS(請求記録!$B$6:$B$3005,$A112,請求記録!$X$6:$X$3005,X$5)=0,"",SUMIFS(請求記録!$AC$6:$AC$3005,請求記録!$B$6:$B$3005,$A112,請求記録!$X$6:$X$3005,X$5))))</f>
        <v/>
      </c>
      <c r="Y112" s="19">
        <f>IF($A112="","",IF(COUNTIFS(請求記録!$B$6:$B$3005,$A112,請求記録!$X$6:$X$3005,Y$5,請求記録!$AD$6:$AD$3005,"保留中")&gt;0,"保留",IF(COUNTIFS(請求記録!$B$6:$B$3005,$A112,請求記録!$X$6:$X$3005,Y$5)=0,"",SUMIFS(請求記録!$AC$6:$AC$3005,請求記録!$B$6:$B$3005,$A112,請求記録!$X$6:$X$3005,Y$5))))</f>
        <v/>
      </c>
      <c r="Z112" s="19">
        <f>IF($A112="","",IF(COUNTIFS(請求記録!$B$6:$B$3005,$A112,請求記録!$X$6:$X$3005,Z$5,請求記録!$AD$6:$AD$3005,"保留中")&gt;0,"保留",IF(COUNTIFS(請求記録!$B$6:$B$3005,$A112,請求記録!$X$6:$X$3005,Z$5)=0,"",SUMIFS(請求記録!$AC$6:$AC$3005,請求記録!$B$6:$B$3005,$A112,請求記録!$X$6:$X$3005,Z$5))))</f>
        <v/>
      </c>
      <c r="AA112" s="19">
        <f>IF($A112="","",IF(COUNTIFS(請求記録!$B$6:$B$3005,$A112,請求記録!$X$6:$X$3005,AA$5,請求記録!$AD$6:$AD$3005,"保留中")&gt;0,"保留",IF(COUNTIFS(請求記録!$B$6:$B$3005,$A112,請求記録!$X$6:$X$3005,AA$5)=0,"",SUMIFS(請求記録!$AC$6:$AC$3005,請求記録!$B$6:$B$3005,$A112,請求記録!$X$6:$X$3005,AA$5))))</f>
        <v/>
      </c>
      <c r="AB112">
        <f>IF(職員マスタ!P112="保留中",職員マスタ!M112,"")</f>
        <v/>
      </c>
    </row>
    <row r="113">
      <c r="A113">
        <f>IF(職員マスタ!A113="","",職員マスタ!A113)</f>
        <v/>
      </c>
      <c r="B113">
        <f>IF($A113="","",職員マスタ!B113)</f>
        <v/>
      </c>
      <c r="C113">
        <f>IF($A113="","",職員マスタ!C113)</f>
        <v/>
      </c>
      <c r="D113" s="19">
        <f>IF($A113="","",IF(COUNTIFS(請求記録!$B$6:$B$3005,$A113,請求記録!$X$6:$X$3005,D$5,請求記録!$AD$6:$AD$3005,"保留中")&gt;0,"保留",IF(COUNTIFS(請求記録!$B$6:$B$3005,$A113,請求記録!$X$6:$X$3005,D$5)=0,"",SUMIFS(請求記録!$AC$6:$AC$3005,請求記録!$B$6:$B$3005,$A113,請求記録!$X$6:$X$3005,D$5))))</f>
        <v/>
      </c>
      <c r="E113" s="19">
        <f>IF($A113="","",IF(COUNTIFS(請求記録!$B$6:$B$3005,$A113,請求記録!$X$6:$X$3005,E$5,請求記録!$AD$6:$AD$3005,"保留中")&gt;0,"保留",IF(COUNTIFS(請求記録!$B$6:$B$3005,$A113,請求記録!$X$6:$X$3005,E$5)=0,"",SUMIFS(請求記録!$AC$6:$AC$3005,請求記録!$B$6:$B$3005,$A113,請求記録!$X$6:$X$3005,E$5))))</f>
        <v/>
      </c>
      <c r="F113" s="19">
        <f>IF($A113="","",IF(COUNTIFS(請求記録!$B$6:$B$3005,$A113,請求記録!$X$6:$X$3005,F$5,請求記録!$AD$6:$AD$3005,"保留中")&gt;0,"保留",IF(COUNTIFS(請求記録!$B$6:$B$3005,$A113,請求記録!$X$6:$X$3005,F$5)=0,"",SUMIFS(請求記録!$AC$6:$AC$3005,請求記録!$B$6:$B$3005,$A113,請求記録!$X$6:$X$3005,F$5))))</f>
        <v/>
      </c>
      <c r="G113" s="19">
        <f>IF($A113="","",IF(COUNTIFS(請求記録!$B$6:$B$3005,$A113,請求記録!$X$6:$X$3005,G$5,請求記録!$AD$6:$AD$3005,"保留中")&gt;0,"保留",IF(COUNTIFS(請求記録!$B$6:$B$3005,$A113,請求記録!$X$6:$X$3005,G$5)=0,"",SUMIFS(請求記録!$AC$6:$AC$3005,請求記録!$B$6:$B$3005,$A113,請求記録!$X$6:$X$3005,G$5))))</f>
        <v/>
      </c>
      <c r="H113" s="19">
        <f>IF($A113="","",IF(COUNTIFS(請求記録!$B$6:$B$3005,$A113,請求記録!$X$6:$X$3005,H$5,請求記録!$AD$6:$AD$3005,"保留中")&gt;0,"保留",IF(COUNTIFS(請求記録!$B$6:$B$3005,$A113,請求記録!$X$6:$X$3005,H$5)=0,"",SUMIFS(請求記録!$AC$6:$AC$3005,請求記録!$B$6:$B$3005,$A113,請求記録!$X$6:$X$3005,H$5))))</f>
        <v/>
      </c>
      <c r="I113" s="19">
        <f>IF($A113="","",IF(COUNTIFS(請求記録!$B$6:$B$3005,$A113,請求記録!$X$6:$X$3005,I$5,請求記録!$AD$6:$AD$3005,"保留中")&gt;0,"保留",IF(COUNTIFS(請求記録!$B$6:$B$3005,$A113,請求記録!$X$6:$X$3005,I$5)=0,"",SUMIFS(請求記録!$AC$6:$AC$3005,請求記録!$B$6:$B$3005,$A113,請求記録!$X$6:$X$3005,I$5))))</f>
        <v/>
      </c>
      <c r="J113" s="19">
        <f>IF($A113="","",IF(COUNTIFS(請求記録!$B$6:$B$3005,$A113,請求記録!$X$6:$X$3005,J$5,請求記録!$AD$6:$AD$3005,"保留中")&gt;0,"保留",IF(COUNTIFS(請求記録!$B$6:$B$3005,$A113,請求記録!$X$6:$X$3005,J$5)=0,"",SUMIFS(請求記録!$AC$6:$AC$3005,請求記録!$B$6:$B$3005,$A113,請求記録!$X$6:$X$3005,J$5))))</f>
        <v/>
      </c>
      <c r="K113" s="19">
        <f>IF($A113="","",IF(COUNTIFS(請求記録!$B$6:$B$3005,$A113,請求記録!$X$6:$X$3005,K$5,請求記録!$AD$6:$AD$3005,"保留中")&gt;0,"保留",IF(COUNTIFS(請求記録!$B$6:$B$3005,$A113,請求記録!$X$6:$X$3005,K$5)=0,"",SUMIFS(請求記録!$AC$6:$AC$3005,請求記録!$B$6:$B$3005,$A113,請求記録!$X$6:$X$3005,K$5))))</f>
        <v/>
      </c>
      <c r="L113" s="19">
        <f>IF($A113="","",IF(COUNTIFS(請求記録!$B$6:$B$3005,$A113,請求記録!$X$6:$X$3005,L$5,請求記録!$AD$6:$AD$3005,"保留中")&gt;0,"保留",IF(COUNTIFS(請求記録!$B$6:$B$3005,$A113,請求記録!$X$6:$X$3005,L$5)=0,"",SUMIFS(請求記録!$AC$6:$AC$3005,請求記録!$B$6:$B$3005,$A113,請求記録!$X$6:$X$3005,L$5))))</f>
        <v/>
      </c>
      <c r="M113" s="19">
        <f>IF($A113="","",IF(COUNTIFS(請求記録!$B$6:$B$3005,$A113,請求記録!$X$6:$X$3005,M$5,請求記録!$AD$6:$AD$3005,"保留中")&gt;0,"保留",IF(COUNTIFS(請求記録!$B$6:$B$3005,$A113,請求記録!$X$6:$X$3005,M$5)=0,"",SUMIFS(請求記録!$AC$6:$AC$3005,請求記録!$B$6:$B$3005,$A113,請求記録!$X$6:$X$3005,M$5))))</f>
        <v/>
      </c>
      <c r="N113" s="19">
        <f>IF($A113="","",IF(COUNTIFS(請求記録!$B$6:$B$3005,$A113,請求記録!$X$6:$X$3005,N$5,請求記録!$AD$6:$AD$3005,"保留中")&gt;0,"保留",IF(COUNTIFS(請求記録!$B$6:$B$3005,$A113,請求記録!$X$6:$X$3005,N$5)=0,"",SUMIFS(請求記録!$AC$6:$AC$3005,請求記録!$B$6:$B$3005,$A113,請求記録!$X$6:$X$3005,N$5))))</f>
        <v/>
      </c>
      <c r="O113" s="19">
        <f>IF($A113="","",IF(COUNTIFS(請求記録!$B$6:$B$3005,$A113,請求記録!$X$6:$X$3005,O$5,請求記録!$AD$6:$AD$3005,"保留中")&gt;0,"保留",IF(COUNTIFS(請求記録!$B$6:$B$3005,$A113,請求記録!$X$6:$X$3005,O$5)=0,"",SUMIFS(請求記録!$AC$6:$AC$3005,請求記録!$B$6:$B$3005,$A113,請求記録!$X$6:$X$3005,O$5))))</f>
        <v/>
      </c>
      <c r="P113" s="19">
        <f>IF($A113="","",IF(COUNTIFS(請求記録!$B$6:$B$3005,$A113,請求記録!$X$6:$X$3005,P$5,請求記録!$AD$6:$AD$3005,"保留中")&gt;0,"保留",IF(COUNTIFS(請求記録!$B$6:$B$3005,$A113,請求記録!$X$6:$X$3005,P$5)=0,"",SUMIFS(請求記録!$AC$6:$AC$3005,請求記録!$B$6:$B$3005,$A113,請求記録!$X$6:$X$3005,P$5))))</f>
        <v/>
      </c>
      <c r="Q113" s="19">
        <f>IF($A113="","",IF(COUNTIFS(請求記録!$B$6:$B$3005,$A113,請求記録!$X$6:$X$3005,Q$5,請求記録!$AD$6:$AD$3005,"保留中")&gt;0,"保留",IF(COUNTIFS(請求記録!$B$6:$B$3005,$A113,請求記録!$X$6:$X$3005,Q$5)=0,"",SUMIFS(請求記録!$AC$6:$AC$3005,請求記録!$B$6:$B$3005,$A113,請求記録!$X$6:$X$3005,Q$5))))</f>
        <v/>
      </c>
      <c r="R113" s="19">
        <f>IF($A113="","",IF(COUNTIFS(請求記録!$B$6:$B$3005,$A113,請求記録!$X$6:$X$3005,R$5,請求記録!$AD$6:$AD$3005,"保留中")&gt;0,"保留",IF(COUNTIFS(請求記録!$B$6:$B$3005,$A113,請求記録!$X$6:$X$3005,R$5)=0,"",SUMIFS(請求記録!$AC$6:$AC$3005,請求記録!$B$6:$B$3005,$A113,請求記録!$X$6:$X$3005,R$5))))</f>
        <v/>
      </c>
      <c r="S113" s="19">
        <f>IF($A113="","",IF(COUNTIFS(請求記録!$B$6:$B$3005,$A113,請求記録!$X$6:$X$3005,S$5,請求記録!$AD$6:$AD$3005,"保留中")&gt;0,"保留",IF(COUNTIFS(請求記録!$B$6:$B$3005,$A113,請求記録!$X$6:$X$3005,S$5)=0,"",SUMIFS(請求記録!$AC$6:$AC$3005,請求記録!$B$6:$B$3005,$A113,請求記録!$X$6:$X$3005,S$5))))</f>
        <v/>
      </c>
      <c r="T113" s="19">
        <f>IF($A113="","",IF(COUNTIFS(請求記録!$B$6:$B$3005,$A113,請求記録!$X$6:$X$3005,T$5,請求記録!$AD$6:$AD$3005,"保留中")&gt;0,"保留",IF(COUNTIFS(請求記録!$B$6:$B$3005,$A113,請求記録!$X$6:$X$3005,T$5)=0,"",SUMIFS(請求記録!$AC$6:$AC$3005,請求記録!$B$6:$B$3005,$A113,請求記録!$X$6:$X$3005,T$5))))</f>
        <v/>
      </c>
      <c r="U113" s="19">
        <f>IF($A113="","",IF(COUNTIFS(請求記録!$B$6:$B$3005,$A113,請求記録!$X$6:$X$3005,U$5,請求記録!$AD$6:$AD$3005,"保留中")&gt;0,"保留",IF(COUNTIFS(請求記録!$B$6:$B$3005,$A113,請求記録!$X$6:$X$3005,U$5)=0,"",SUMIFS(請求記録!$AC$6:$AC$3005,請求記録!$B$6:$B$3005,$A113,請求記録!$X$6:$X$3005,U$5))))</f>
        <v/>
      </c>
      <c r="V113" s="19">
        <f>IF($A113="","",IF(COUNTIFS(請求記録!$B$6:$B$3005,$A113,請求記録!$X$6:$X$3005,V$5,請求記録!$AD$6:$AD$3005,"保留中")&gt;0,"保留",IF(COUNTIFS(請求記録!$B$6:$B$3005,$A113,請求記録!$X$6:$X$3005,V$5)=0,"",SUMIFS(請求記録!$AC$6:$AC$3005,請求記録!$B$6:$B$3005,$A113,請求記録!$X$6:$X$3005,V$5))))</f>
        <v/>
      </c>
      <c r="W113" s="19">
        <f>IF($A113="","",IF(COUNTIFS(請求記録!$B$6:$B$3005,$A113,請求記録!$X$6:$X$3005,W$5,請求記録!$AD$6:$AD$3005,"保留中")&gt;0,"保留",IF(COUNTIFS(請求記録!$B$6:$B$3005,$A113,請求記録!$X$6:$X$3005,W$5)=0,"",SUMIFS(請求記録!$AC$6:$AC$3005,請求記録!$B$6:$B$3005,$A113,請求記録!$X$6:$X$3005,W$5))))</f>
        <v/>
      </c>
      <c r="X113" s="19">
        <f>IF($A113="","",IF(COUNTIFS(請求記録!$B$6:$B$3005,$A113,請求記録!$X$6:$X$3005,X$5,請求記録!$AD$6:$AD$3005,"保留中")&gt;0,"保留",IF(COUNTIFS(請求記録!$B$6:$B$3005,$A113,請求記録!$X$6:$X$3005,X$5)=0,"",SUMIFS(請求記録!$AC$6:$AC$3005,請求記録!$B$6:$B$3005,$A113,請求記録!$X$6:$X$3005,X$5))))</f>
        <v/>
      </c>
      <c r="Y113" s="19">
        <f>IF($A113="","",IF(COUNTIFS(請求記録!$B$6:$B$3005,$A113,請求記録!$X$6:$X$3005,Y$5,請求記録!$AD$6:$AD$3005,"保留中")&gt;0,"保留",IF(COUNTIFS(請求記録!$B$6:$B$3005,$A113,請求記録!$X$6:$X$3005,Y$5)=0,"",SUMIFS(請求記録!$AC$6:$AC$3005,請求記録!$B$6:$B$3005,$A113,請求記録!$X$6:$X$3005,Y$5))))</f>
        <v/>
      </c>
      <c r="Z113" s="19">
        <f>IF($A113="","",IF(COUNTIFS(請求記録!$B$6:$B$3005,$A113,請求記録!$X$6:$X$3005,Z$5,請求記録!$AD$6:$AD$3005,"保留中")&gt;0,"保留",IF(COUNTIFS(請求記録!$B$6:$B$3005,$A113,請求記録!$X$6:$X$3005,Z$5)=0,"",SUMIFS(請求記録!$AC$6:$AC$3005,請求記録!$B$6:$B$3005,$A113,請求記録!$X$6:$X$3005,Z$5))))</f>
        <v/>
      </c>
      <c r="AA113" s="19">
        <f>IF($A113="","",IF(COUNTIFS(請求記録!$B$6:$B$3005,$A113,請求記録!$X$6:$X$3005,AA$5,請求記録!$AD$6:$AD$3005,"保留中")&gt;0,"保留",IF(COUNTIFS(請求記録!$B$6:$B$3005,$A113,請求記録!$X$6:$X$3005,AA$5)=0,"",SUMIFS(請求記録!$AC$6:$AC$3005,請求記録!$B$6:$B$3005,$A113,請求記録!$X$6:$X$3005,AA$5))))</f>
        <v/>
      </c>
      <c r="AB113">
        <f>IF(職員マスタ!P113="保留中",職員マスタ!M113,"")</f>
        <v/>
      </c>
    </row>
    <row r="114">
      <c r="A114">
        <f>IF(職員マスタ!A114="","",職員マスタ!A114)</f>
        <v/>
      </c>
      <c r="B114">
        <f>IF($A114="","",職員マスタ!B114)</f>
        <v/>
      </c>
      <c r="C114">
        <f>IF($A114="","",職員マスタ!C114)</f>
        <v/>
      </c>
      <c r="D114" s="19">
        <f>IF($A114="","",IF(COUNTIFS(請求記録!$B$6:$B$3005,$A114,請求記録!$X$6:$X$3005,D$5,請求記録!$AD$6:$AD$3005,"保留中")&gt;0,"保留",IF(COUNTIFS(請求記録!$B$6:$B$3005,$A114,請求記録!$X$6:$X$3005,D$5)=0,"",SUMIFS(請求記録!$AC$6:$AC$3005,請求記録!$B$6:$B$3005,$A114,請求記録!$X$6:$X$3005,D$5))))</f>
        <v/>
      </c>
      <c r="E114" s="19">
        <f>IF($A114="","",IF(COUNTIFS(請求記録!$B$6:$B$3005,$A114,請求記録!$X$6:$X$3005,E$5,請求記録!$AD$6:$AD$3005,"保留中")&gt;0,"保留",IF(COUNTIFS(請求記録!$B$6:$B$3005,$A114,請求記録!$X$6:$X$3005,E$5)=0,"",SUMIFS(請求記録!$AC$6:$AC$3005,請求記録!$B$6:$B$3005,$A114,請求記録!$X$6:$X$3005,E$5))))</f>
        <v/>
      </c>
      <c r="F114" s="19">
        <f>IF($A114="","",IF(COUNTIFS(請求記録!$B$6:$B$3005,$A114,請求記録!$X$6:$X$3005,F$5,請求記録!$AD$6:$AD$3005,"保留中")&gt;0,"保留",IF(COUNTIFS(請求記録!$B$6:$B$3005,$A114,請求記録!$X$6:$X$3005,F$5)=0,"",SUMIFS(請求記録!$AC$6:$AC$3005,請求記録!$B$6:$B$3005,$A114,請求記録!$X$6:$X$3005,F$5))))</f>
        <v/>
      </c>
      <c r="G114" s="19">
        <f>IF($A114="","",IF(COUNTIFS(請求記録!$B$6:$B$3005,$A114,請求記録!$X$6:$X$3005,G$5,請求記録!$AD$6:$AD$3005,"保留中")&gt;0,"保留",IF(COUNTIFS(請求記録!$B$6:$B$3005,$A114,請求記録!$X$6:$X$3005,G$5)=0,"",SUMIFS(請求記録!$AC$6:$AC$3005,請求記録!$B$6:$B$3005,$A114,請求記録!$X$6:$X$3005,G$5))))</f>
        <v/>
      </c>
      <c r="H114" s="19">
        <f>IF($A114="","",IF(COUNTIFS(請求記録!$B$6:$B$3005,$A114,請求記録!$X$6:$X$3005,H$5,請求記録!$AD$6:$AD$3005,"保留中")&gt;0,"保留",IF(COUNTIFS(請求記録!$B$6:$B$3005,$A114,請求記録!$X$6:$X$3005,H$5)=0,"",SUMIFS(請求記録!$AC$6:$AC$3005,請求記録!$B$6:$B$3005,$A114,請求記録!$X$6:$X$3005,H$5))))</f>
        <v/>
      </c>
      <c r="I114" s="19">
        <f>IF($A114="","",IF(COUNTIFS(請求記録!$B$6:$B$3005,$A114,請求記録!$X$6:$X$3005,I$5,請求記録!$AD$6:$AD$3005,"保留中")&gt;0,"保留",IF(COUNTIFS(請求記録!$B$6:$B$3005,$A114,請求記録!$X$6:$X$3005,I$5)=0,"",SUMIFS(請求記録!$AC$6:$AC$3005,請求記録!$B$6:$B$3005,$A114,請求記録!$X$6:$X$3005,I$5))))</f>
        <v/>
      </c>
      <c r="J114" s="19">
        <f>IF($A114="","",IF(COUNTIFS(請求記録!$B$6:$B$3005,$A114,請求記録!$X$6:$X$3005,J$5,請求記録!$AD$6:$AD$3005,"保留中")&gt;0,"保留",IF(COUNTIFS(請求記録!$B$6:$B$3005,$A114,請求記録!$X$6:$X$3005,J$5)=0,"",SUMIFS(請求記録!$AC$6:$AC$3005,請求記録!$B$6:$B$3005,$A114,請求記録!$X$6:$X$3005,J$5))))</f>
        <v/>
      </c>
      <c r="K114" s="19">
        <f>IF($A114="","",IF(COUNTIFS(請求記録!$B$6:$B$3005,$A114,請求記録!$X$6:$X$3005,K$5,請求記録!$AD$6:$AD$3005,"保留中")&gt;0,"保留",IF(COUNTIFS(請求記録!$B$6:$B$3005,$A114,請求記録!$X$6:$X$3005,K$5)=0,"",SUMIFS(請求記録!$AC$6:$AC$3005,請求記録!$B$6:$B$3005,$A114,請求記録!$X$6:$X$3005,K$5))))</f>
        <v/>
      </c>
      <c r="L114" s="19">
        <f>IF($A114="","",IF(COUNTIFS(請求記録!$B$6:$B$3005,$A114,請求記録!$X$6:$X$3005,L$5,請求記録!$AD$6:$AD$3005,"保留中")&gt;0,"保留",IF(COUNTIFS(請求記録!$B$6:$B$3005,$A114,請求記録!$X$6:$X$3005,L$5)=0,"",SUMIFS(請求記録!$AC$6:$AC$3005,請求記録!$B$6:$B$3005,$A114,請求記録!$X$6:$X$3005,L$5))))</f>
        <v/>
      </c>
      <c r="M114" s="19">
        <f>IF($A114="","",IF(COUNTIFS(請求記録!$B$6:$B$3005,$A114,請求記録!$X$6:$X$3005,M$5,請求記録!$AD$6:$AD$3005,"保留中")&gt;0,"保留",IF(COUNTIFS(請求記録!$B$6:$B$3005,$A114,請求記録!$X$6:$X$3005,M$5)=0,"",SUMIFS(請求記録!$AC$6:$AC$3005,請求記録!$B$6:$B$3005,$A114,請求記録!$X$6:$X$3005,M$5))))</f>
        <v/>
      </c>
      <c r="N114" s="19">
        <f>IF($A114="","",IF(COUNTIFS(請求記録!$B$6:$B$3005,$A114,請求記録!$X$6:$X$3005,N$5,請求記録!$AD$6:$AD$3005,"保留中")&gt;0,"保留",IF(COUNTIFS(請求記録!$B$6:$B$3005,$A114,請求記録!$X$6:$X$3005,N$5)=0,"",SUMIFS(請求記録!$AC$6:$AC$3005,請求記録!$B$6:$B$3005,$A114,請求記録!$X$6:$X$3005,N$5))))</f>
        <v/>
      </c>
      <c r="O114" s="19">
        <f>IF($A114="","",IF(COUNTIFS(請求記録!$B$6:$B$3005,$A114,請求記録!$X$6:$X$3005,O$5,請求記録!$AD$6:$AD$3005,"保留中")&gt;0,"保留",IF(COUNTIFS(請求記録!$B$6:$B$3005,$A114,請求記録!$X$6:$X$3005,O$5)=0,"",SUMIFS(請求記録!$AC$6:$AC$3005,請求記録!$B$6:$B$3005,$A114,請求記録!$X$6:$X$3005,O$5))))</f>
        <v/>
      </c>
      <c r="P114" s="19">
        <f>IF($A114="","",IF(COUNTIFS(請求記録!$B$6:$B$3005,$A114,請求記録!$X$6:$X$3005,P$5,請求記録!$AD$6:$AD$3005,"保留中")&gt;0,"保留",IF(COUNTIFS(請求記録!$B$6:$B$3005,$A114,請求記録!$X$6:$X$3005,P$5)=0,"",SUMIFS(請求記録!$AC$6:$AC$3005,請求記録!$B$6:$B$3005,$A114,請求記録!$X$6:$X$3005,P$5))))</f>
        <v/>
      </c>
      <c r="Q114" s="19">
        <f>IF($A114="","",IF(COUNTIFS(請求記録!$B$6:$B$3005,$A114,請求記録!$X$6:$X$3005,Q$5,請求記録!$AD$6:$AD$3005,"保留中")&gt;0,"保留",IF(COUNTIFS(請求記録!$B$6:$B$3005,$A114,請求記録!$X$6:$X$3005,Q$5)=0,"",SUMIFS(請求記録!$AC$6:$AC$3005,請求記録!$B$6:$B$3005,$A114,請求記録!$X$6:$X$3005,Q$5))))</f>
        <v/>
      </c>
      <c r="R114" s="19">
        <f>IF($A114="","",IF(COUNTIFS(請求記録!$B$6:$B$3005,$A114,請求記録!$X$6:$X$3005,R$5,請求記録!$AD$6:$AD$3005,"保留中")&gt;0,"保留",IF(COUNTIFS(請求記録!$B$6:$B$3005,$A114,請求記録!$X$6:$X$3005,R$5)=0,"",SUMIFS(請求記録!$AC$6:$AC$3005,請求記録!$B$6:$B$3005,$A114,請求記録!$X$6:$X$3005,R$5))))</f>
        <v/>
      </c>
      <c r="S114" s="19">
        <f>IF($A114="","",IF(COUNTIFS(請求記録!$B$6:$B$3005,$A114,請求記録!$X$6:$X$3005,S$5,請求記録!$AD$6:$AD$3005,"保留中")&gt;0,"保留",IF(COUNTIFS(請求記録!$B$6:$B$3005,$A114,請求記録!$X$6:$X$3005,S$5)=0,"",SUMIFS(請求記録!$AC$6:$AC$3005,請求記録!$B$6:$B$3005,$A114,請求記録!$X$6:$X$3005,S$5))))</f>
        <v/>
      </c>
      <c r="T114" s="19">
        <f>IF($A114="","",IF(COUNTIFS(請求記録!$B$6:$B$3005,$A114,請求記録!$X$6:$X$3005,T$5,請求記録!$AD$6:$AD$3005,"保留中")&gt;0,"保留",IF(COUNTIFS(請求記録!$B$6:$B$3005,$A114,請求記録!$X$6:$X$3005,T$5)=0,"",SUMIFS(請求記録!$AC$6:$AC$3005,請求記録!$B$6:$B$3005,$A114,請求記録!$X$6:$X$3005,T$5))))</f>
        <v/>
      </c>
      <c r="U114" s="19">
        <f>IF($A114="","",IF(COUNTIFS(請求記録!$B$6:$B$3005,$A114,請求記録!$X$6:$X$3005,U$5,請求記録!$AD$6:$AD$3005,"保留中")&gt;0,"保留",IF(COUNTIFS(請求記録!$B$6:$B$3005,$A114,請求記録!$X$6:$X$3005,U$5)=0,"",SUMIFS(請求記録!$AC$6:$AC$3005,請求記録!$B$6:$B$3005,$A114,請求記録!$X$6:$X$3005,U$5))))</f>
        <v/>
      </c>
      <c r="V114" s="19">
        <f>IF($A114="","",IF(COUNTIFS(請求記録!$B$6:$B$3005,$A114,請求記録!$X$6:$X$3005,V$5,請求記録!$AD$6:$AD$3005,"保留中")&gt;0,"保留",IF(COUNTIFS(請求記録!$B$6:$B$3005,$A114,請求記録!$X$6:$X$3005,V$5)=0,"",SUMIFS(請求記録!$AC$6:$AC$3005,請求記録!$B$6:$B$3005,$A114,請求記録!$X$6:$X$3005,V$5))))</f>
        <v/>
      </c>
      <c r="W114" s="19">
        <f>IF($A114="","",IF(COUNTIFS(請求記録!$B$6:$B$3005,$A114,請求記録!$X$6:$X$3005,W$5,請求記録!$AD$6:$AD$3005,"保留中")&gt;0,"保留",IF(COUNTIFS(請求記録!$B$6:$B$3005,$A114,請求記録!$X$6:$X$3005,W$5)=0,"",SUMIFS(請求記録!$AC$6:$AC$3005,請求記録!$B$6:$B$3005,$A114,請求記録!$X$6:$X$3005,W$5))))</f>
        <v/>
      </c>
      <c r="X114" s="19">
        <f>IF($A114="","",IF(COUNTIFS(請求記録!$B$6:$B$3005,$A114,請求記録!$X$6:$X$3005,X$5,請求記録!$AD$6:$AD$3005,"保留中")&gt;0,"保留",IF(COUNTIFS(請求記録!$B$6:$B$3005,$A114,請求記録!$X$6:$X$3005,X$5)=0,"",SUMIFS(請求記録!$AC$6:$AC$3005,請求記録!$B$6:$B$3005,$A114,請求記録!$X$6:$X$3005,X$5))))</f>
        <v/>
      </c>
      <c r="Y114" s="19">
        <f>IF($A114="","",IF(COUNTIFS(請求記録!$B$6:$B$3005,$A114,請求記録!$X$6:$X$3005,Y$5,請求記録!$AD$6:$AD$3005,"保留中")&gt;0,"保留",IF(COUNTIFS(請求記録!$B$6:$B$3005,$A114,請求記録!$X$6:$X$3005,Y$5)=0,"",SUMIFS(請求記録!$AC$6:$AC$3005,請求記録!$B$6:$B$3005,$A114,請求記録!$X$6:$X$3005,Y$5))))</f>
        <v/>
      </c>
      <c r="Z114" s="19">
        <f>IF($A114="","",IF(COUNTIFS(請求記録!$B$6:$B$3005,$A114,請求記録!$X$6:$X$3005,Z$5,請求記録!$AD$6:$AD$3005,"保留中")&gt;0,"保留",IF(COUNTIFS(請求記録!$B$6:$B$3005,$A114,請求記録!$X$6:$X$3005,Z$5)=0,"",SUMIFS(請求記録!$AC$6:$AC$3005,請求記録!$B$6:$B$3005,$A114,請求記録!$X$6:$X$3005,Z$5))))</f>
        <v/>
      </c>
      <c r="AA114" s="19">
        <f>IF($A114="","",IF(COUNTIFS(請求記録!$B$6:$B$3005,$A114,請求記録!$X$6:$X$3005,AA$5,請求記録!$AD$6:$AD$3005,"保留中")&gt;0,"保留",IF(COUNTIFS(請求記録!$B$6:$B$3005,$A114,請求記録!$X$6:$X$3005,AA$5)=0,"",SUMIFS(請求記録!$AC$6:$AC$3005,請求記録!$B$6:$B$3005,$A114,請求記録!$X$6:$X$3005,AA$5))))</f>
        <v/>
      </c>
      <c r="AB114">
        <f>IF(職員マスタ!P114="保留中",職員マスタ!M114,"")</f>
        <v/>
      </c>
    </row>
    <row r="115">
      <c r="A115">
        <f>IF(職員マスタ!A115="","",職員マスタ!A115)</f>
        <v/>
      </c>
      <c r="B115">
        <f>IF($A115="","",職員マスタ!B115)</f>
        <v/>
      </c>
      <c r="C115">
        <f>IF($A115="","",職員マスタ!C115)</f>
        <v/>
      </c>
      <c r="D115" s="19">
        <f>IF($A115="","",IF(COUNTIFS(請求記録!$B$6:$B$3005,$A115,請求記録!$X$6:$X$3005,D$5,請求記録!$AD$6:$AD$3005,"保留中")&gt;0,"保留",IF(COUNTIFS(請求記録!$B$6:$B$3005,$A115,請求記録!$X$6:$X$3005,D$5)=0,"",SUMIFS(請求記録!$AC$6:$AC$3005,請求記録!$B$6:$B$3005,$A115,請求記録!$X$6:$X$3005,D$5))))</f>
        <v/>
      </c>
      <c r="E115" s="19">
        <f>IF($A115="","",IF(COUNTIFS(請求記録!$B$6:$B$3005,$A115,請求記録!$X$6:$X$3005,E$5,請求記録!$AD$6:$AD$3005,"保留中")&gt;0,"保留",IF(COUNTIFS(請求記録!$B$6:$B$3005,$A115,請求記録!$X$6:$X$3005,E$5)=0,"",SUMIFS(請求記録!$AC$6:$AC$3005,請求記録!$B$6:$B$3005,$A115,請求記録!$X$6:$X$3005,E$5))))</f>
        <v/>
      </c>
      <c r="F115" s="19">
        <f>IF($A115="","",IF(COUNTIFS(請求記録!$B$6:$B$3005,$A115,請求記録!$X$6:$X$3005,F$5,請求記録!$AD$6:$AD$3005,"保留中")&gt;0,"保留",IF(COUNTIFS(請求記録!$B$6:$B$3005,$A115,請求記録!$X$6:$X$3005,F$5)=0,"",SUMIFS(請求記録!$AC$6:$AC$3005,請求記録!$B$6:$B$3005,$A115,請求記録!$X$6:$X$3005,F$5))))</f>
        <v/>
      </c>
      <c r="G115" s="19">
        <f>IF($A115="","",IF(COUNTIFS(請求記録!$B$6:$B$3005,$A115,請求記録!$X$6:$X$3005,G$5,請求記録!$AD$6:$AD$3005,"保留中")&gt;0,"保留",IF(COUNTIFS(請求記録!$B$6:$B$3005,$A115,請求記録!$X$6:$X$3005,G$5)=0,"",SUMIFS(請求記録!$AC$6:$AC$3005,請求記録!$B$6:$B$3005,$A115,請求記録!$X$6:$X$3005,G$5))))</f>
        <v/>
      </c>
      <c r="H115" s="19">
        <f>IF($A115="","",IF(COUNTIFS(請求記録!$B$6:$B$3005,$A115,請求記録!$X$6:$X$3005,H$5,請求記録!$AD$6:$AD$3005,"保留中")&gt;0,"保留",IF(COUNTIFS(請求記録!$B$6:$B$3005,$A115,請求記録!$X$6:$X$3005,H$5)=0,"",SUMIFS(請求記録!$AC$6:$AC$3005,請求記録!$B$6:$B$3005,$A115,請求記録!$X$6:$X$3005,H$5))))</f>
        <v/>
      </c>
      <c r="I115" s="19">
        <f>IF($A115="","",IF(COUNTIFS(請求記録!$B$6:$B$3005,$A115,請求記録!$X$6:$X$3005,I$5,請求記録!$AD$6:$AD$3005,"保留中")&gt;0,"保留",IF(COUNTIFS(請求記録!$B$6:$B$3005,$A115,請求記録!$X$6:$X$3005,I$5)=0,"",SUMIFS(請求記録!$AC$6:$AC$3005,請求記録!$B$6:$B$3005,$A115,請求記録!$X$6:$X$3005,I$5))))</f>
        <v/>
      </c>
      <c r="J115" s="19">
        <f>IF($A115="","",IF(COUNTIFS(請求記録!$B$6:$B$3005,$A115,請求記録!$X$6:$X$3005,J$5,請求記録!$AD$6:$AD$3005,"保留中")&gt;0,"保留",IF(COUNTIFS(請求記録!$B$6:$B$3005,$A115,請求記録!$X$6:$X$3005,J$5)=0,"",SUMIFS(請求記録!$AC$6:$AC$3005,請求記録!$B$6:$B$3005,$A115,請求記録!$X$6:$X$3005,J$5))))</f>
        <v/>
      </c>
      <c r="K115" s="19">
        <f>IF($A115="","",IF(COUNTIFS(請求記録!$B$6:$B$3005,$A115,請求記録!$X$6:$X$3005,K$5,請求記録!$AD$6:$AD$3005,"保留中")&gt;0,"保留",IF(COUNTIFS(請求記録!$B$6:$B$3005,$A115,請求記録!$X$6:$X$3005,K$5)=0,"",SUMIFS(請求記録!$AC$6:$AC$3005,請求記録!$B$6:$B$3005,$A115,請求記録!$X$6:$X$3005,K$5))))</f>
        <v/>
      </c>
      <c r="L115" s="19">
        <f>IF($A115="","",IF(COUNTIFS(請求記録!$B$6:$B$3005,$A115,請求記録!$X$6:$X$3005,L$5,請求記録!$AD$6:$AD$3005,"保留中")&gt;0,"保留",IF(COUNTIFS(請求記録!$B$6:$B$3005,$A115,請求記録!$X$6:$X$3005,L$5)=0,"",SUMIFS(請求記録!$AC$6:$AC$3005,請求記録!$B$6:$B$3005,$A115,請求記録!$X$6:$X$3005,L$5))))</f>
        <v/>
      </c>
      <c r="M115" s="19">
        <f>IF($A115="","",IF(COUNTIFS(請求記録!$B$6:$B$3005,$A115,請求記録!$X$6:$X$3005,M$5,請求記録!$AD$6:$AD$3005,"保留中")&gt;0,"保留",IF(COUNTIFS(請求記録!$B$6:$B$3005,$A115,請求記録!$X$6:$X$3005,M$5)=0,"",SUMIFS(請求記録!$AC$6:$AC$3005,請求記録!$B$6:$B$3005,$A115,請求記録!$X$6:$X$3005,M$5))))</f>
        <v/>
      </c>
      <c r="N115" s="19">
        <f>IF($A115="","",IF(COUNTIFS(請求記録!$B$6:$B$3005,$A115,請求記録!$X$6:$X$3005,N$5,請求記録!$AD$6:$AD$3005,"保留中")&gt;0,"保留",IF(COUNTIFS(請求記録!$B$6:$B$3005,$A115,請求記録!$X$6:$X$3005,N$5)=0,"",SUMIFS(請求記録!$AC$6:$AC$3005,請求記録!$B$6:$B$3005,$A115,請求記録!$X$6:$X$3005,N$5))))</f>
        <v/>
      </c>
      <c r="O115" s="19">
        <f>IF($A115="","",IF(COUNTIFS(請求記録!$B$6:$B$3005,$A115,請求記録!$X$6:$X$3005,O$5,請求記録!$AD$6:$AD$3005,"保留中")&gt;0,"保留",IF(COUNTIFS(請求記録!$B$6:$B$3005,$A115,請求記録!$X$6:$X$3005,O$5)=0,"",SUMIFS(請求記録!$AC$6:$AC$3005,請求記録!$B$6:$B$3005,$A115,請求記録!$X$6:$X$3005,O$5))))</f>
        <v/>
      </c>
      <c r="P115" s="19">
        <f>IF($A115="","",IF(COUNTIFS(請求記録!$B$6:$B$3005,$A115,請求記録!$X$6:$X$3005,P$5,請求記録!$AD$6:$AD$3005,"保留中")&gt;0,"保留",IF(COUNTIFS(請求記録!$B$6:$B$3005,$A115,請求記録!$X$6:$X$3005,P$5)=0,"",SUMIFS(請求記録!$AC$6:$AC$3005,請求記録!$B$6:$B$3005,$A115,請求記録!$X$6:$X$3005,P$5))))</f>
        <v/>
      </c>
      <c r="Q115" s="19">
        <f>IF($A115="","",IF(COUNTIFS(請求記録!$B$6:$B$3005,$A115,請求記録!$X$6:$X$3005,Q$5,請求記録!$AD$6:$AD$3005,"保留中")&gt;0,"保留",IF(COUNTIFS(請求記録!$B$6:$B$3005,$A115,請求記録!$X$6:$X$3005,Q$5)=0,"",SUMIFS(請求記録!$AC$6:$AC$3005,請求記録!$B$6:$B$3005,$A115,請求記録!$X$6:$X$3005,Q$5))))</f>
        <v/>
      </c>
      <c r="R115" s="19">
        <f>IF($A115="","",IF(COUNTIFS(請求記録!$B$6:$B$3005,$A115,請求記録!$X$6:$X$3005,R$5,請求記録!$AD$6:$AD$3005,"保留中")&gt;0,"保留",IF(COUNTIFS(請求記録!$B$6:$B$3005,$A115,請求記録!$X$6:$X$3005,R$5)=0,"",SUMIFS(請求記録!$AC$6:$AC$3005,請求記録!$B$6:$B$3005,$A115,請求記録!$X$6:$X$3005,R$5))))</f>
        <v/>
      </c>
      <c r="S115" s="19">
        <f>IF($A115="","",IF(COUNTIFS(請求記録!$B$6:$B$3005,$A115,請求記録!$X$6:$X$3005,S$5,請求記録!$AD$6:$AD$3005,"保留中")&gt;0,"保留",IF(COUNTIFS(請求記録!$B$6:$B$3005,$A115,請求記録!$X$6:$X$3005,S$5)=0,"",SUMIFS(請求記録!$AC$6:$AC$3005,請求記録!$B$6:$B$3005,$A115,請求記録!$X$6:$X$3005,S$5))))</f>
        <v/>
      </c>
      <c r="T115" s="19">
        <f>IF($A115="","",IF(COUNTIFS(請求記録!$B$6:$B$3005,$A115,請求記録!$X$6:$X$3005,T$5,請求記録!$AD$6:$AD$3005,"保留中")&gt;0,"保留",IF(COUNTIFS(請求記録!$B$6:$B$3005,$A115,請求記録!$X$6:$X$3005,T$5)=0,"",SUMIFS(請求記録!$AC$6:$AC$3005,請求記録!$B$6:$B$3005,$A115,請求記録!$X$6:$X$3005,T$5))))</f>
        <v/>
      </c>
      <c r="U115" s="19">
        <f>IF($A115="","",IF(COUNTIFS(請求記録!$B$6:$B$3005,$A115,請求記録!$X$6:$X$3005,U$5,請求記録!$AD$6:$AD$3005,"保留中")&gt;0,"保留",IF(COUNTIFS(請求記録!$B$6:$B$3005,$A115,請求記録!$X$6:$X$3005,U$5)=0,"",SUMIFS(請求記録!$AC$6:$AC$3005,請求記録!$B$6:$B$3005,$A115,請求記録!$X$6:$X$3005,U$5))))</f>
        <v/>
      </c>
      <c r="V115" s="19">
        <f>IF($A115="","",IF(COUNTIFS(請求記録!$B$6:$B$3005,$A115,請求記録!$X$6:$X$3005,V$5,請求記録!$AD$6:$AD$3005,"保留中")&gt;0,"保留",IF(COUNTIFS(請求記録!$B$6:$B$3005,$A115,請求記録!$X$6:$X$3005,V$5)=0,"",SUMIFS(請求記録!$AC$6:$AC$3005,請求記録!$B$6:$B$3005,$A115,請求記録!$X$6:$X$3005,V$5))))</f>
        <v/>
      </c>
      <c r="W115" s="19">
        <f>IF($A115="","",IF(COUNTIFS(請求記録!$B$6:$B$3005,$A115,請求記録!$X$6:$X$3005,W$5,請求記録!$AD$6:$AD$3005,"保留中")&gt;0,"保留",IF(COUNTIFS(請求記録!$B$6:$B$3005,$A115,請求記録!$X$6:$X$3005,W$5)=0,"",SUMIFS(請求記録!$AC$6:$AC$3005,請求記録!$B$6:$B$3005,$A115,請求記録!$X$6:$X$3005,W$5))))</f>
        <v/>
      </c>
      <c r="X115" s="19">
        <f>IF($A115="","",IF(COUNTIFS(請求記録!$B$6:$B$3005,$A115,請求記録!$X$6:$X$3005,X$5,請求記録!$AD$6:$AD$3005,"保留中")&gt;0,"保留",IF(COUNTIFS(請求記録!$B$6:$B$3005,$A115,請求記録!$X$6:$X$3005,X$5)=0,"",SUMIFS(請求記録!$AC$6:$AC$3005,請求記録!$B$6:$B$3005,$A115,請求記録!$X$6:$X$3005,X$5))))</f>
        <v/>
      </c>
      <c r="Y115" s="19">
        <f>IF($A115="","",IF(COUNTIFS(請求記録!$B$6:$B$3005,$A115,請求記録!$X$6:$X$3005,Y$5,請求記録!$AD$6:$AD$3005,"保留中")&gt;0,"保留",IF(COUNTIFS(請求記録!$B$6:$B$3005,$A115,請求記録!$X$6:$X$3005,Y$5)=0,"",SUMIFS(請求記録!$AC$6:$AC$3005,請求記録!$B$6:$B$3005,$A115,請求記録!$X$6:$X$3005,Y$5))))</f>
        <v/>
      </c>
      <c r="Z115" s="19">
        <f>IF($A115="","",IF(COUNTIFS(請求記録!$B$6:$B$3005,$A115,請求記録!$X$6:$X$3005,Z$5,請求記録!$AD$6:$AD$3005,"保留中")&gt;0,"保留",IF(COUNTIFS(請求記録!$B$6:$B$3005,$A115,請求記録!$X$6:$X$3005,Z$5)=0,"",SUMIFS(請求記録!$AC$6:$AC$3005,請求記録!$B$6:$B$3005,$A115,請求記録!$X$6:$X$3005,Z$5))))</f>
        <v/>
      </c>
      <c r="AA115" s="19">
        <f>IF($A115="","",IF(COUNTIFS(請求記録!$B$6:$B$3005,$A115,請求記録!$X$6:$X$3005,AA$5,請求記録!$AD$6:$AD$3005,"保留中")&gt;0,"保留",IF(COUNTIFS(請求記録!$B$6:$B$3005,$A115,請求記録!$X$6:$X$3005,AA$5)=0,"",SUMIFS(請求記録!$AC$6:$AC$3005,請求記録!$B$6:$B$3005,$A115,請求記録!$X$6:$X$3005,AA$5))))</f>
        <v/>
      </c>
      <c r="AB115">
        <f>IF(職員マスタ!P115="保留中",職員マスタ!M115,"")</f>
        <v/>
      </c>
    </row>
    <row r="116">
      <c r="A116">
        <f>IF(職員マスタ!A116="","",職員マスタ!A116)</f>
        <v/>
      </c>
      <c r="B116">
        <f>IF($A116="","",職員マスタ!B116)</f>
        <v/>
      </c>
      <c r="C116">
        <f>IF($A116="","",職員マスタ!C116)</f>
        <v/>
      </c>
      <c r="D116" s="19">
        <f>IF($A116="","",IF(COUNTIFS(請求記録!$B$6:$B$3005,$A116,請求記録!$X$6:$X$3005,D$5,請求記録!$AD$6:$AD$3005,"保留中")&gt;0,"保留",IF(COUNTIFS(請求記録!$B$6:$B$3005,$A116,請求記録!$X$6:$X$3005,D$5)=0,"",SUMIFS(請求記録!$AC$6:$AC$3005,請求記録!$B$6:$B$3005,$A116,請求記録!$X$6:$X$3005,D$5))))</f>
        <v/>
      </c>
      <c r="E116" s="19">
        <f>IF($A116="","",IF(COUNTIFS(請求記録!$B$6:$B$3005,$A116,請求記録!$X$6:$X$3005,E$5,請求記録!$AD$6:$AD$3005,"保留中")&gt;0,"保留",IF(COUNTIFS(請求記録!$B$6:$B$3005,$A116,請求記録!$X$6:$X$3005,E$5)=0,"",SUMIFS(請求記録!$AC$6:$AC$3005,請求記録!$B$6:$B$3005,$A116,請求記録!$X$6:$X$3005,E$5))))</f>
        <v/>
      </c>
      <c r="F116" s="19">
        <f>IF($A116="","",IF(COUNTIFS(請求記録!$B$6:$B$3005,$A116,請求記録!$X$6:$X$3005,F$5,請求記録!$AD$6:$AD$3005,"保留中")&gt;0,"保留",IF(COUNTIFS(請求記録!$B$6:$B$3005,$A116,請求記録!$X$6:$X$3005,F$5)=0,"",SUMIFS(請求記録!$AC$6:$AC$3005,請求記録!$B$6:$B$3005,$A116,請求記録!$X$6:$X$3005,F$5))))</f>
        <v/>
      </c>
      <c r="G116" s="19">
        <f>IF($A116="","",IF(COUNTIFS(請求記録!$B$6:$B$3005,$A116,請求記録!$X$6:$X$3005,G$5,請求記録!$AD$6:$AD$3005,"保留中")&gt;0,"保留",IF(COUNTIFS(請求記録!$B$6:$B$3005,$A116,請求記録!$X$6:$X$3005,G$5)=0,"",SUMIFS(請求記録!$AC$6:$AC$3005,請求記録!$B$6:$B$3005,$A116,請求記録!$X$6:$X$3005,G$5))))</f>
        <v/>
      </c>
      <c r="H116" s="19">
        <f>IF($A116="","",IF(COUNTIFS(請求記録!$B$6:$B$3005,$A116,請求記録!$X$6:$X$3005,H$5,請求記録!$AD$6:$AD$3005,"保留中")&gt;0,"保留",IF(COUNTIFS(請求記録!$B$6:$B$3005,$A116,請求記録!$X$6:$X$3005,H$5)=0,"",SUMIFS(請求記録!$AC$6:$AC$3005,請求記録!$B$6:$B$3005,$A116,請求記録!$X$6:$X$3005,H$5))))</f>
        <v/>
      </c>
      <c r="I116" s="19">
        <f>IF($A116="","",IF(COUNTIFS(請求記録!$B$6:$B$3005,$A116,請求記録!$X$6:$X$3005,I$5,請求記録!$AD$6:$AD$3005,"保留中")&gt;0,"保留",IF(COUNTIFS(請求記録!$B$6:$B$3005,$A116,請求記録!$X$6:$X$3005,I$5)=0,"",SUMIFS(請求記録!$AC$6:$AC$3005,請求記録!$B$6:$B$3005,$A116,請求記録!$X$6:$X$3005,I$5))))</f>
        <v/>
      </c>
      <c r="J116" s="19">
        <f>IF($A116="","",IF(COUNTIFS(請求記録!$B$6:$B$3005,$A116,請求記録!$X$6:$X$3005,J$5,請求記録!$AD$6:$AD$3005,"保留中")&gt;0,"保留",IF(COUNTIFS(請求記録!$B$6:$B$3005,$A116,請求記録!$X$6:$X$3005,J$5)=0,"",SUMIFS(請求記録!$AC$6:$AC$3005,請求記録!$B$6:$B$3005,$A116,請求記録!$X$6:$X$3005,J$5))))</f>
        <v/>
      </c>
      <c r="K116" s="19">
        <f>IF($A116="","",IF(COUNTIFS(請求記録!$B$6:$B$3005,$A116,請求記録!$X$6:$X$3005,K$5,請求記録!$AD$6:$AD$3005,"保留中")&gt;0,"保留",IF(COUNTIFS(請求記録!$B$6:$B$3005,$A116,請求記録!$X$6:$X$3005,K$5)=0,"",SUMIFS(請求記録!$AC$6:$AC$3005,請求記録!$B$6:$B$3005,$A116,請求記録!$X$6:$X$3005,K$5))))</f>
        <v/>
      </c>
      <c r="L116" s="19">
        <f>IF($A116="","",IF(COUNTIFS(請求記録!$B$6:$B$3005,$A116,請求記録!$X$6:$X$3005,L$5,請求記録!$AD$6:$AD$3005,"保留中")&gt;0,"保留",IF(COUNTIFS(請求記録!$B$6:$B$3005,$A116,請求記録!$X$6:$X$3005,L$5)=0,"",SUMIFS(請求記録!$AC$6:$AC$3005,請求記録!$B$6:$B$3005,$A116,請求記録!$X$6:$X$3005,L$5))))</f>
        <v/>
      </c>
      <c r="M116" s="19">
        <f>IF($A116="","",IF(COUNTIFS(請求記録!$B$6:$B$3005,$A116,請求記録!$X$6:$X$3005,M$5,請求記録!$AD$6:$AD$3005,"保留中")&gt;0,"保留",IF(COUNTIFS(請求記録!$B$6:$B$3005,$A116,請求記録!$X$6:$X$3005,M$5)=0,"",SUMIFS(請求記録!$AC$6:$AC$3005,請求記録!$B$6:$B$3005,$A116,請求記録!$X$6:$X$3005,M$5))))</f>
        <v/>
      </c>
      <c r="N116" s="19">
        <f>IF($A116="","",IF(COUNTIFS(請求記録!$B$6:$B$3005,$A116,請求記録!$X$6:$X$3005,N$5,請求記録!$AD$6:$AD$3005,"保留中")&gt;0,"保留",IF(COUNTIFS(請求記録!$B$6:$B$3005,$A116,請求記録!$X$6:$X$3005,N$5)=0,"",SUMIFS(請求記録!$AC$6:$AC$3005,請求記録!$B$6:$B$3005,$A116,請求記録!$X$6:$X$3005,N$5))))</f>
        <v/>
      </c>
      <c r="O116" s="19">
        <f>IF($A116="","",IF(COUNTIFS(請求記録!$B$6:$B$3005,$A116,請求記録!$X$6:$X$3005,O$5,請求記録!$AD$6:$AD$3005,"保留中")&gt;0,"保留",IF(COUNTIFS(請求記録!$B$6:$B$3005,$A116,請求記録!$X$6:$X$3005,O$5)=0,"",SUMIFS(請求記録!$AC$6:$AC$3005,請求記録!$B$6:$B$3005,$A116,請求記録!$X$6:$X$3005,O$5))))</f>
        <v/>
      </c>
      <c r="P116" s="19">
        <f>IF($A116="","",IF(COUNTIFS(請求記録!$B$6:$B$3005,$A116,請求記録!$X$6:$X$3005,P$5,請求記録!$AD$6:$AD$3005,"保留中")&gt;0,"保留",IF(COUNTIFS(請求記録!$B$6:$B$3005,$A116,請求記録!$X$6:$X$3005,P$5)=0,"",SUMIFS(請求記録!$AC$6:$AC$3005,請求記録!$B$6:$B$3005,$A116,請求記録!$X$6:$X$3005,P$5))))</f>
        <v/>
      </c>
      <c r="Q116" s="19">
        <f>IF($A116="","",IF(COUNTIFS(請求記録!$B$6:$B$3005,$A116,請求記録!$X$6:$X$3005,Q$5,請求記録!$AD$6:$AD$3005,"保留中")&gt;0,"保留",IF(COUNTIFS(請求記録!$B$6:$B$3005,$A116,請求記録!$X$6:$X$3005,Q$5)=0,"",SUMIFS(請求記録!$AC$6:$AC$3005,請求記録!$B$6:$B$3005,$A116,請求記録!$X$6:$X$3005,Q$5))))</f>
        <v/>
      </c>
      <c r="R116" s="19">
        <f>IF($A116="","",IF(COUNTIFS(請求記録!$B$6:$B$3005,$A116,請求記録!$X$6:$X$3005,R$5,請求記録!$AD$6:$AD$3005,"保留中")&gt;0,"保留",IF(COUNTIFS(請求記録!$B$6:$B$3005,$A116,請求記録!$X$6:$X$3005,R$5)=0,"",SUMIFS(請求記録!$AC$6:$AC$3005,請求記録!$B$6:$B$3005,$A116,請求記録!$X$6:$X$3005,R$5))))</f>
        <v/>
      </c>
      <c r="S116" s="19">
        <f>IF($A116="","",IF(COUNTIFS(請求記録!$B$6:$B$3005,$A116,請求記録!$X$6:$X$3005,S$5,請求記録!$AD$6:$AD$3005,"保留中")&gt;0,"保留",IF(COUNTIFS(請求記録!$B$6:$B$3005,$A116,請求記録!$X$6:$X$3005,S$5)=0,"",SUMIFS(請求記録!$AC$6:$AC$3005,請求記録!$B$6:$B$3005,$A116,請求記録!$X$6:$X$3005,S$5))))</f>
        <v/>
      </c>
      <c r="T116" s="19">
        <f>IF($A116="","",IF(COUNTIFS(請求記録!$B$6:$B$3005,$A116,請求記録!$X$6:$X$3005,T$5,請求記録!$AD$6:$AD$3005,"保留中")&gt;0,"保留",IF(COUNTIFS(請求記録!$B$6:$B$3005,$A116,請求記録!$X$6:$X$3005,T$5)=0,"",SUMIFS(請求記録!$AC$6:$AC$3005,請求記録!$B$6:$B$3005,$A116,請求記録!$X$6:$X$3005,T$5))))</f>
        <v/>
      </c>
      <c r="U116" s="19">
        <f>IF($A116="","",IF(COUNTIFS(請求記録!$B$6:$B$3005,$A116,請求記録!$X$6:$X$3005,U$5,請求記録!$AD$6:$AD$3005,"保留中")&gt;0,"保留",IF(COUNTIFS(請求記録!$B$6:$B$3005,$A116,請求記録!$X$6:$X$3005,U$5)=0,"",SUMIFS(請求記録!$AC$6:$AC$3005,請求記録!$B$6:$B$3005,$A116,請求記録!$X$6:$X$3005,U$5))))</f>
        <v/>
      </c>
      <c r="V116" s="19">
        <f>IF($A116="","",IF(COUNTIFS(請求記録!$B$6:$B$3005,$A116,請求記録!$X$6:$X$3005,V$5,請求記録!$AD$6:$AD$3005,"保留中")&gt;0,"保留",IF(COUNTIFS(請求記録!$B$6:$B$3005,$A116,請求記録!$X$6:$X$3005,V$5)=0,"",SUMIFS(請求記録!$AC$6:$AC$3005,請求記録!$B$6:$B$3005,$A116,請求記録!$X$6:$X$3005,V$5))))</f>
        <v/>
      </c>
      <c r="W116" s="19">
        <f>IF($A116="","",IF(COUNTIFS(請求記録!$B$6:$B$3005,$A116,請求記録!$X$6:$X$3005,W$5,請求記録!$AD$6:$AD$3005,"保留中")&gt;0,"保留",IF(COUNTIFS(請求記録!$B$6:$B$3005,$A116,請求記録!$X$6:$X$3005,W$5)=0,"",SUMIFS(請求記録!$AC$6:$AC$3005,請求記録!$B$6:$B$3005,$A116,請求記録!$X$6:$X$3005,W$5))))</f>
        <v/>
      </c>
      <c r="X116" s="19">
        <f>IF($A116="","",IF(COUNTIFS(請求記録!$B$6:$B$3005,$A116,請求記録!$X$6:$X$3005,X$5,請求記録!$AD$6:$AD$3005,"保留中")&gt;0,"保留",IF(COUNTIFS(請求記録!$B$6:$B$3005,$A116,請求記録!$X$6:$X$3005,X$5)=0,"",SUMIFS(請求記録!$AC$6:$AC$3005,請求記録!$B$6:$B$3005,$A116,請求記録!$X$6:$X$3005,X$5))))</f>
        <v/>
      </c>
      <c r="Y116" s="19">
        <f>IF($A116="","",IF(COUNTIFS(請求記録!$B$6:$B$3005,$A116,請求記録!$X$6:$X$3005,Y$5,請求記録!$AD$6:$AD$3005,"保留中")&gt;0,"保留",IF(COUNTIFS(請求記録!$B$6:$B$3005,$A116,請求記録!$X$6:$X$3005,Y$5)=0,"",SUMIFS(請求記録!$AC$6:$AC$3005,請求記録!$B$6:$B$3005,$A116,請求記録!$X$6:$X$3005,Y$5))))</f>
        <v/>
      </c>
      <c r="Z116" s="19">
        <f>IF($A116="","",IF(COUNTIFS(請求記録!$B$6:$B$3005,$A116,請求記録!$X$6:$X$3005,Z$5,請求記録!$AD$6:$AD$3005,"保留中")&gt;0,"保留",IF(COUNTIFS(請求記録!$B$6:$B$3005,$A116,請求記録!$X$6:$X$3005,Z$5)=0,"",SUMIFS(請求記録!$AC$6:$AC$3005,請求記録!$B$6:$B$3005,$A116,請求記録!$X$6:$X$3005,Z$5))))</f>
        <v/>
      </c>
      <c r="AA116" s="19">
        <f>IF($A116="","",IF(COUNTIFS(請求記録!$B$6:$B$3005,$A116,請求記録!$X$6:$X$3005,AA$5,請求記録!$AD$6:$AD$3005,"保留中")&gt;0,"保留",IF(COUNTIFS(請求記録!$B$6:$B$3005,$A116,請求記録!$X$6:$X$3005,AA$5)=0,"",SUMIFS(請求記録!$AC$6:$AC$3005,請求記録!$B$6:$B$3005,$A116,請求記録!$X$6:$X$3005,AA$5))))</f>
        <v/>
      </c>
      <c r="AB116">
        <f>IF(職員マスタ!P116="保留中",職員マスタ!M116,"")</f>
        <v/>
      </c>
    </row>
    <row r="117">
      <c r="A117">
        <f>IF(職員マスタ!A117="","",職員マスタ!A117)</f>
        <v/>
      </c>
      <c r="B117">
        <f>IF($A117="","",職員マスタ!B117)</f>
        <v/>
      </c>
      <c r="C117">
        <f>IF($A117="","",職員マスタ!C117)</f>
        <v/>
      </c>
      <c r="D117" s="19">
        <f>IF($A117="","",IF(COUNTIFS(請求記録!$B$6:$B$3005,$A117,請求記録!$X$6:$X$3005,D$5,請求記録!$AD$6:$AD$3005,"保留中")&gt;0,"保留",IF(COUNTIFS(請求記録!$B$6:$B$3005,$A117,請求記録!$X$6:$X$3005,D$5)=0,"",SUMIFS(請求記録!$AC$6:$AC$3005,請求記録!$B$6:$B$3005,$A117,請求記録!$X$6:$X$3005,D$5))))</f>
        <v/>
      </c>
      <c r="E117" s="19">
        <f>IF($A117="","",IF(COUNTIFS(請求記録!$B$6:$B$3005,$A117,請求記録!$X$6:$X$3005,E$5,請求記録!$AD$6:$AD$3005,"保留中")&gt;0,"保留",IF(COUNTIFS(請求記録!$B$6:$B$3005,$A117,請求記録!$X$6:$X$3005,E$5)=0,"",SUMIFS(請求記録!$AC$6:$AC$3005,請求記録!$B$6:$B$3005,$A117,請求記録!$X$6:$X$3005,E$5))))</f>
        <v/>
      </c>
      <c r="F117" s="19">
        <f>IF($A117="","",IF(COUNTIFS(請求記録!$B$6:$B$3005,$A117,請求記録!$X$6:$X$3005,F$5,請求記録!$AD$6:$AD$3005,"保留中")&gt;0,"保留",IF(COUNTIFS(請求記録!$B$6:$B$3005,$A117,請求記録!$X$6:$X$3005,F$5)=0,"",SUMIFS(請求記録!$AC$6:$AC$3005,請求記録!$B$6:$B$3005,$A117,請求記録!$X$6:$X$3005,F$5))))</f>
        <v/>
      </c>
      <c r="G117" s="19">
        <f>IF($A117="","",IF(COUNTIFS(請求記録!$B$6:$B$3005,$A117,請求記録!$X$6:$X$3005,G$5,請求記録!$AD$6:$AD$3005,"保留中")&gt;0,"保留",IF(COUNTIFS(請求記録!$B$6:$B$3005,$A117,請求記録!$X$6:$X$3005,G$5)=0,"",SUMIFS(請求記録!$AC$6:$AC$3005,請求記録!$B$6:$B$3005,$A117,請求記録!$X$6:$X$3005,G$5))))</f>
        <v/>
      </c>
      <c r="H117" s="19">
        <f>IF($A117="","",IF(COUNTIFS(請求記録!$B$6:$B$3005,$A117,請求記録!$X$6:$X$3005,H$5,請求記録!$AD$6:$AD$3005,"保留中")&gt;0,"保留",IF(COUNTIFS(請求記録!$B$6:$B$3005,$A117,請求記録!$X$6:$X$3005,H$5)=0,"",SUMIFS(請求記録!$AC$6:$AC$3005,請求記録!$B$6:$B$3005,$A117,請求記録!$X$6:$X$3005,H$5))))</f>
        <v/>
      </c>
      <c r="I117" s="19">
        <f>IF($A117="","",IF(COUNTIFS(請求記録!$B$6:$B$3005,$A117,請求記録!$X$6:$X$3005,I$5,請求記録!$AD$6:$AD$3005,"保留中")&gt;0,"保留",IF(COUNTIFS(請求記録!$B$6:$B$3005,$A117,請求記録!$X$6:$X$3005,I$5)=0,"",SUMIFS(請求記録!$AC$6:$AC$3005,請求記録!$B$6:$B$3005,$A117,請求記録!$X$6:$X$3005,I$5))))</f>
        <v/>
      </c>
      <c r="J117" s="19">
        <f>IF($A117="","",IF(COUNTIFS(請求記録!$B$6:$B$3005,$A117,請求記録!$X$6:$X$3005,J$5,請求記録!$AD$6:$AD$3005,"保留中")&gt;0,"保留",IF(COUNTIFS(請求記録!$B$6:$B$3005,$A117,請求記録!$X$6:$X$3005,J$5)=0,"",SUMIFS(請求記録!$AC$6:$AC$3005,請求記録!$B$6:$B$3005,$A117,請求記録!$X$6:$X$3005,J$5))))</f>
        <v/>
      </c>
      <c r="K117" s="19">
        <f>IF($A117="","",IF(COUNTIFS(請求記録!$B$6:$B$3005,$A117,請求記録!$X$6:$X$3005,K$5,請求記録!$AD$6:$AD$3005,"保留中")&gt;0,"保留",IF(COUNTIFS(請求記録!$B$6:$B$3005,$A117,請求記録!$X$6:$X$3005,K$5)=0,"",SUMIFS(請求記録!$AC$6:$AC$3005,請求記録!$B$6:$B$3005,$A117,請求記録!$X$6:$X$3005,K$5))))</f>
        <v/>
      </c>
      <c r="L117" s="19">
        <f>IF($A117="","",IF(COUNTIFS(請求記録!$B$6:$B$3005,$A117,請求記録!$X$6:$X$3005,L$5,請求記録!$AD$6:$AD$3005,"保留中")&gt;0,"保留",IF(COUNTIFS(請求記録!$B$6:$B$3005,$A117,請求記録!$X$6:$X$3005,L$5)=0,"",SUMIFS(請求記録!$AC$6:$AC$3005,請求記録!$B$6:$B$3005,$A117,請求記録!$X$6:$X$3005,L$5))))</f>
        <v/>
      </c>
      <c r="M117" s="19">
        <f>IF($A117="","",IF(COUNTIFS(請求記録!$B$6:$B$3005,$A117,請求記録!$X$6:$X$3005,M$5,請求記録!$AD$6:$AD$3005,"保留中")&gt;0,"保留",IF(COUNTIFS(請求記録!$B$6:$B$3005,$A117,請求記録!$X$6:$X$3005,M$5)=0,"",SUMIFS(請求記録!$AC$6:$AC$3005,請求記録!$B$6:$B$3005,$A117,請求記録!$X$6:$X$3005,M$5))))</f>
        <v/>
      </c>
      <c r="N117" s="19">
        <f>IF($A117="","",IF(COUNTIFS(請求記録!$B$6:$B$3005,$A117,請求記録!$X$6:$X$3005,N$5,請求記録!$AD$6:$AD$3005,"保留中")&gt;0,"保留",IF(COUNTIFS(請求記録!$B$6:$B$3005,$A117,請求記録!$X$6:$X$3005,N$5)=0,"",SUMIFS(請求記録!$AC$6:$AC$3005,請求記録!$B$6:$B$3005,$A117,請求記録!$X$6:$X$3005,N$5))))</f>
        <v/>
      </c>
      <c r="O117" s="19">
        <f>IF($A117="","",IF(COUNTIFS(請求記録!$B$6:$B$3005,$A117,請求記録!$X$6:$X$3005,O$5,請求記録!$AD$6:$AD$3005,"保留中")&gt;0,"保留",IF(COUNTIFS(請求記録!$B$6:$B$3005,$A117,請求記録!$X$6:$X$3005,O$5)=0,"",SUMIFS(請求記録!$AC$6:$AC$3005,請求記録!$B$6:$B$3005,$A117,請求記録!$X$6:$X$3005,O$5))))</f>
        <v/>
      </c>
      <c r="P117" s="19">
        <f>IF($A117="","",IF(COUNTIFS(請求記録!$B$6:$B$3005,$A117,請求記録!$X$6:$X$3005,P$5,請求記録!$AD$6:$AD$3005,"保留中")&gt;0,"保留",IF(COUNTIFS(請求記録!$B$6:$B$3005,$A117,請求記録!$X$6:$X$3005,P$5)=0,"",SUMIFS(請求記録!$AC$6:$AC$3005,請求記録!$B$6:$B$3005,$A117,請求記録!$X$6:$X$3005,P$5))))</f>
        <v/>
      </c>
      <c r="Q117" s="19">
        <f>IF($A117="","",IF(COUNTIFS(請求記録!$B$6:$B$3005,$A117,請求記録!$X$6:$X$3005,Q$5,請求記録!$AD$6:$AD$3005,"保留中")&gt;0,"保留",IF(COUNTIFS(請求記録!$B$6:$B$3005,$A117,請求記録!$X$6:$X$3005,Q$5)=0,"",SUMIFS(請求記録!$AC$6:$AC$3005,請求記録!$B$6:$B$3005,$A117,請求記録!$X$6:$X$3005,Q$5))))</f>
        <v/>
      </c>
      <c r="R117" s="19">
        <f>IF($A117="","",IF(COUNTIFS(請求記録!$B$6:$B$3005,$A117,請求記録!$X$6:$X$3005,R$5,請求記録!$AD$6:$AD$3005,"保留中")&gt;0,"保留",IF(COUNTIFS(請求記録!$B$6:$B$3005,$A117,請求記録!$X$6:$X$3005,R$5)=0,"",SUMIFS(請求記録!$AC$6:$AC$3005,請求記録!$B$6:$B$3005,$A117,請求記録!$X$6:$X$3005,R$5))))</f>
        <v/>
      </c>
      <c r="S117" s="19">
        <f>IF($A117="","",IF(COUNTIFS(請求記録!$B$6:$B$3005,$A117,請求記録!$X$6:$X$3005,S$5,請求記録!$AD$6:$AD$3005,"保留中")&gt;0,"保留",IF(COUNTIFS(請求記録!$B$6:$B$3005,$A117,請求記録!$X$6:$X$3005,S$5)=0,"",SUMIFS(請求記録!$AC$6:$AC$3005,請求記録!$B$6:$B$3005,$A117,請求記録!$X$6:$X$3005,S$5))))</f>
        <v/>
      </c>
      <c r="T117" s="19">
        <f>IF($A117="","",IF(COUNTIFS(請求記録!$B$6:$B$3005,$A117,請求記録!$X$6:$X$3005,T$5,請求記録!$AD$6:$AD$3005,"保留中")&gt;0,"保留",IF(COUNTIFS(請求記録!$B$6:$B$3005,$A117,請求記録!$X$6:$X$3005,T$5)=0,"",SUMIFS(請求記録!$AC$6:$AC$3005,請求記録!$B$6:$B$3005,$A117,請求記録!$X$6:$X$3005,T$5))))</f>
        <v/>
      </c>
      <c r="U117" s="19">
        <f>IF($A117="","",IF(COUNTIFS(請求記録!$B$6:$B$3005,$A117,請求記録!$X$6:$X$3005,U$5,請求記録!$AD$6:$AD$3005,"保留中")&gt;0,"保留",IF(COUNTIFS(請求記録!$B$6:$B$3005,$A117,請求記録!$X$6:$X$3005,U$5)=0,"",SUMIFS(請求記録!$AC$6:$AC$3005,請求記録!$B$6:$B$3005,$A117,請求記録!$X$6:$X$3005,U$5))))</f>
        <v/>
      </c>
      <c r="V117" s="19">
        <f>IF($A117="","",IF(COUNTIFS(請求記録!$B$6:$B$3005,$A117,請求記録!$X$6:$X$3005,V$5,請求記録!$AD$6:$AD$3005,"保留中")&gt;0,"保留",IF(COUNTIFS(請求記録!$B$6:$B$3005,$A117,請求記録!$X$6:$X$3005,V$5)=0,"",SUMIFS(請求記録!$AC$6:$AC$3005,請求記録!$B$6:$B$3005,$A117,請求記録!$X$6:$X$3005,V$5))))</f>
        <v/>
      </c>
      <c r="W117" s="19">
        <f>IF($A117="","",IF(COUNTIFS(請求記録!$B$6:$B$3005,$A117,請求記録!$X$6:$X$3005,W$5,請求記録!$AD$6:$AD$3005,"保留中")&gt;0,"保留",IF(COUNTIFS(請求記録!$B$6:$B$3005,$A117,請求記録!$X$6:$X$3005,W$5)=0,"",SUMIFS(請求記録!$AC$6:$AC$3005,請求記録!$B$6:$B$3005,$A117,請求記録!$X$6:$X$3005,W$5))))</f>
        <v/>
      </c>
      <c r="X117" s="19">
        <f>IF($A117="","",IF(COUNTIFS(請求記録!$B$6:$B$3005,$A117,請求記録!$X$6:$X$3005,X$5,請求記録!$AD$6:$AD$3005,"保留中")&gt;0,"保留",IF(COUNTIFS(請求記録!$B$6:$B$3005,$A117,請求記録!$X$6:$X$3005,X$5)=0,"",SUMIFS(請求記録!$AC$6:$AC$3005,請求記録!$B$6:$B$3005,$A117,請求記録!$X$6:$X$3005,X$5))))</f>
        <v/>
      </c>
      <c r="Y117" s="19">
        <f>IF($A117="","",IF(COUNTIFS(請求記録!$B$6:$B$3005,$A117,請求記録!$X$6:$X$3005,Y$5,請求記録!$AD$6:$AD$3005,"保留中")&gt;0,"保留",IF(COUNTIFS(請求記録!$B$6:$B$3005,$A117,請求記録!$X$6:$X$3005,Y$5)=0,"",SUMIFS(請求記録!$AC$6:$AC$3005,請求記録!$B$6:$B$3005,$A117,請求記録!$X$6:$X$3005,Y$5))))</f>
        <v/>
      </c>
      <c r="Z117" s="19">
        <f>IF($A117="","",IF(COUNTIFS(請求記録!$B$6:$B$3005,$A117,請求記録!$X$6:$X$3005,Z$5,請求記録!$AD$6:$AD$3005,"保留中")&gt;0,"保留",IF(COUNTIFS(請求記録!$B$6:$B$3005,$A117,請求記録!$X$6:$X$3005,Z$5)=0,"",SUMIFS(請求記録!$AC$6:$AC$3005,請求記録!$B$6:$B$3005,$A117,請求記録!$X$6:$X$3005,Z$5))))</f>
        <v/>
      </c>
      <c r="AA117" s="19">
        <f>IF($A117="","",IF(COUNTIFS(請求記録!$B$6:$B$3005,$A117,請求記録!$X$6:$X$3005,AA$5,請求記録!$AD$6:$AD$3005,"保留中")&gt;0,"保留",IF(COUNTIFS(請求記録!$B$6:$B$3005,$A117,請求記録!$X$6:$X$3005,AA$5)=0,"",SUMIFS(請求記録!$AC$6:$AC$3005,請求記録!$B$6:$B$3005,$A117,請求記録!$X$6:$X$3005,AA$5))))</f>
        <v/>
      </c>
      <c r="AB117">
        <f>IF(職員マスタ!P117="保留中",職員マスタ!M117,"")</f>
        <v/>
      </c>
    </row>
    <row r="118">
      <c r="A118">
        <f>IF(職員マスタ!A118="","",職員マスタ!A118)</f>
        <v/>
      </c>
      <c r="B118">
        <f>IF($A118="","",職員マスタ!B118)</f>
        <v/>
      </c>
      <c r="C118">
        <f>IF($A118="","",職員マスタ!C118)</f>
        <v/>
      </c>
      <c r="D118" s="19">
        <f>IF($A118="","",IF(COUNTIFS(請求記録!$B$6:$B$3005,$A118,請求記録!$X$6:$X$3005,D$5,請求記録!$AD$6:$AD$3005,"保留中")&gt;0,"保留",IF(COUNTIFS(請求記録!$B$6:$B$3005,$A118,請求記録!$X$6:$X$3005,D$5)=0,"",SUMIFS(請求記録!$AC$6:$AC$3005,請求記録!$B$6:$B$3005,$A118,請求記録!$X$6:$X$3005,D$5))))</f>
        <v/>
      </c>
      <c r="E118" s="19">
        <f>IF($A118="","",IF(COUNTIFS(請求記録!$B$6:$B$3005,$A118,請求記録!$X$6:$X$3005,E$5,請求記録!$AD$6:$AD$3005,"保留中")&gt;0,"保留",IF(COUNTIFS(請求記録!$B$6:$B$3005,$A118,請求記録!$X$6:$X$3005,E$5)=0,"",SUMIFS(請求記録!$AC$6:$AC$3005,請求記録!$B$6:$B$3005,$A118,請求記録!$X$6:$X$3005,E$5))))</f>
        <v/>
      </c>
      <c r="F118" s="19">
        <f>IF($A118="","",IF(COUNTIFS(請求記録!$B$6:$B$3005,$A118,請求記録!$X$6:$X$3005,F$5,請求記録!$AD$6:$AD$3005,"保留中")&gt;0,"保留",IF(COUNTIFS(請求記録!$B$6:$B$3005,$A118,請求記録!$X$6:$X$3005,F$5)=0,"",SUMIFS(請求記録!$AC$6:$AC$3005,請求記録!$B$6:$B$3005,$A118,請求記録!$X$6:$X$3005,F$5))))</f>
        <v/>
      </c>
      <c r="G118" s="19">
        <f>IF($A118="","",IF(COUNTIFS(請求記録!$B$6:$B$3005,$A118,請求記録!$X$6:$X$3005,G$5,請求記録!$AD$6:$AD$3005,"保留中")&gt;0,"保留",IF(COUNTIFS(請求記録!$B$6:$B$3005,$A118,請求記録!$X$6:$X$3005,G$5)=0,"",SUMIFS(請求記録!$AC$6:$AC$3005,請求記録!$B$6:$B$3005,$A118,請求記録!$X$6:$X$3005,G$5))))</f>
        <v/>
      </c>
      <c r="H118" s="19">
        <f>IF($A118="","",IF(COUNTIFS(請求記録!$B$6:$B$3005,$A118,請求記録!$X$6:$X$3005,H$5,請求記録!$AD$6:$AD$3005,"保留中")&gt;0,"保留",IF(COUNTIFS(請求記録!$B$6:$B$3005,$A118,請求記録!$X$6:$X$3005,H$5)=0,"",SUMIFS(請求記録!$AC$6:$AC$3005,請求記録!$B$6:$B$3005,$A118,請求記録!$X$6:$X$3005,H$5))))</f>
        <v/>
      </c>
      <c r="I118" s="19">
        <f>IF($A118="","",IF(COUNTIFS(請求記録!$B$6:$B$3005,$A118,請求記録!$X$6:$X$3005,I$5,請求記録!$AD$6:$AD$3005,"保留中")&gt;0,"保留",IF(COUNTIFS(請求記録!$B$6:$B$3005,$A118,請求記録!$X$6:$X$3005,I$5)=0,"",SUMIFS(請求記録!$AC$6:$AC$3005,請求記録!$B$6:$B$3005,$A118,請求記録!$X$6:$X$3005,I$5))))</f>
        <v/>
      </c>
      <c r="J118" s="19">
        <f>IF($A118="","",IF(COUNTIFS(請求記録!$B$6:$B$3005,$A118,請求記録!$X$6:$X$3005,J$5,請求記録!$AD$6:$AD$3005,"保留中")&gt;0,"保留",IF(COUNTIFS(請求記録!$B$6:$B$3005,$A118,請求記録!$X$6:$X$3005,J$5)=0,"",SUMIFS(請求記録!$AC$6:$AC$3005,請求記録!$B$6:$B$3005,$A118,請求記録!$X$6:$X$3005,J$5))))</f>
        <v/>
      </c>
      <c r="K118" s="19">
        <f>IF($A118="","",IF(COUNTIFS(請求記録!$B$6:$B$3005,$A118,請求記録!$X$6:$X$3005,K$5,請求記録!$AD$6:$AD$3005,"保留中")&gt;0,"保留",IF(COUNTIFS(請求記録!$B$6:$B$3005,$A118,請求記録!$X$6:$X$3005,K$5)=0,"",SUMIFS(請求記録!$AC$6:$AC$3005,請求記録!$B$6:$B$3005,$A118,請求記録!$X$6:$X$3005,K$5))))</f>
        <v/>
      </c>
      <c r="L118" s="19">
        <f>IF($A118="","",IF(COUNTIFS(請求記録!$B$6:$B$3005,$A118,請求記録!$X$6:$X$3005,L$5,請求記録!$AD$6:$AD$3005,"保留中")&gt;0,"保留",IF(COUNTIFS(請求記録!$B$6:$B$3005,$A118,請求記録!$X$6:$X$3005,L$5)=0,"",SUMIFS(請求記録!$AC$6:$AC$3005,請求記録!$B$6:$B$3005,$A118,請求記録!$X$6:$X$3005,L$5))))</f>
        <v/>
      </c>
      <c r="M118" s="19">
        <f>IF($A118="","",IF(COUNTIFS(請求記録!$B$6:$B$3005,$A118,請求記録!$X$6:$X$3005,M$5,請求記録!$AD$6:$AD$3005,"保留中")&gt;0,"保留",IF(COUNTIFS(請求記録!$B$6:$B$3005,$A118,請求記録!$X$6:$X$3005,M$5)=0,"",SUMIFS(請求記録!$AC$6:$AC$3005,請求記録!$B$6:$B$3005,$A118,請求記録!$X$6:$X$3005,M$5))))</f>
        <v/>
      </c>
      <c r="N118" s="19">
        <f>IF($A118="","",IF(COUNTIFS(請求記録!$B$6:$B$3005,$A118,請求記録!$X$6:$X$3005,N$5,請求記録!$AD$6:$AD$3005,"保留中")&gt;0,"保留",IF(COUNTIFS(請求記録!$B$6:$B$3005,$A118,請求記録!$X$6:$X$3005,N$5)=0,"",SUMIFS(請求記録!$AC$6:$AC$3005,請求記録!$B$6:$B$3005,$A118,請求記録!$X$6:$X$3005,N$5))))</f>
        <v/>
      </c>
      <c r="O118" s="19">
        <f>IF($A118="","",IF(COUNTIFS(請求記録!$B$6:$B$3005,$A118,請求記録!$X$6:$X$3005,O$5,請求記録!$AD$6:$AD$3005,"保留中")&gt;0,"保留",IF(COUNTIFS(請求記録!$B$6:$B$3005,$A118,請求記録!$X$6:$X$3005,O$5)=0,"",SUMIFS(請求記録!$AC$6:$AC$3005,請求記録!$B$6:$B$3005,$A118,請求記録!$X$6:$X$3005,O$5))))</f>
        <v/>
      </c>
      <c r="P118" s="19">
        <f>IF($A118="","",IF(COUNTIFS(請求記録!$B$6:$B$3005,$A118,請求記録!$X$6:$X$3005,P$5,請求記録!$AD$6:$AD$3005,"保留中")&gt;0,"保留",IF(COUNTIFS(請求記録!$B$6:$B$3005,$A118,請求記録!$X$6:$X$3005,P$5)=0,"",SUMIFS(請求記録!$AC$6:$AC$3005,請求記録!$B$6:$B$3005,$A118,請求記録!$X$6:$X$3005,P$5))))</f>
        <v/>
      </c>
      <c r="Q118" s="19">
        <f>IF($A118="","",IF(COUNTIFS(請求記録!$B$6:$B$3005,$A118,請求記録!$X$6:$X$3005,Q$5,請求記録!$AD$6:$AD$3005,"保留中")&gt;0,"保留",IF(COUNTIFS(請求記録!$B$6:$B$3005,$A118,請求記録!$X$6:$X$3005,Q$5)=0,"",SUMIFS(請求記録!$AC$6:$AC$3005,請求記録!$B$6:$B$3005,$A118,請求記録!$X$6:$X$3005,Q$5))))</f>
        <v/>
      </c>
      <c r="R118" s="19">
        <f>IF($A118="","",IF(COUNTIFS(請求記録!$B$6:$B$3005,$A118,請求記録!$X$6:$X$3005,R$5,請求記録!$AD$6:$AD$3005,"保留中")&gt;0,"保留",IF(COUNTIFS(請求記録!$B$6:$B$3005,$A118,請求記録!$X$6:$X$3005,R$5)=0,"",SUMIFS(請求記録!$AC$6:$AC$3005,請求記録!$B$6:$B$3005,$A118,請求記録!$X$6:$X$3005,R$5))))</f>
        <v/>
      </c>
      <c r="S118" s="19">
        <f>IF($A118="","",IF(COUNTIFS(請求記録!$B$6:$B$3005,$A118,請求記録!$X$6:$X$3005,S$5,請求記録!$AD$6:$AD$3005,"保留中")&gt;0,"保留",IF(COUNTIFS(請求記録!$B$6:$B$3005,$A118,請求記録!$X$6:$X$3005,S$5)=0,"",SUMIFS(請求記録!$AC$6:$AC$3005,請求記録!$B$6:$B$3005,$A118,請求記録!$X$6:$X$3005,S$5))))</f>
        <v/>
      </c>
      <c r="T118" s="19">
        <f>IF($A118="","",IF(COUNTIFS(請求記録!$B$6:$B$3005,$A118,請求記録!$X$6:$X$3005,T$5,請求記録!$AD$6:$AD$3005,"保留中")&gt;0,"保留",IF(COUNTIFS(請求記録!$B$6:$B$3005,$A118,請求記録!$X$6:$X$3005,T$5)=0,"",SUMIFS(請求記録!$AC$6:$AC$3005,請求記録!$B$6:$B$3005,$A118,請求記録!$X$6:$X$3005,T$5))))</f>
        <v/>
      </c>
      <c r="U118" s="19">
        <f>IF($A118="","",IF(COUNTIFS(請求記録!$B$6:$B$3005,$A118,請求記録!$X$6:$X$3005,U$5,請求記録!$AD$6:$AD$3005,"保留中")&gt;0,"保留",IF(COUNTIFS(請求記録!$B$6:$B$3005,$A118,請求記録!$X$6:$X$3005,U$5)=0,"",SUMIFS(請求記録!$AC$6:$AC$3005,請求記録!$B$6:$B$3005,$A118,請求記録!$X$6:$X$3005,U$5))))</f>
        <v/>
      </c>
      <c r="V118" s="19">
        <f>IF($A118="","",IF(COUNTIFS(請求記録!$B$6:$B$3005,$A118,請求記録!$X$6:$X$3005,V$5,請求記録!$AD$6:$AD$3005,"保留中")&gt;0,"保留",IF(COUNTIFS(請求記録!$B$6:$B$3005,$A118,請求記録!$X$6:$X$3005,V$5)=0,"",SUMIFS(請求記録!$AC$6:$AC$3005,請求記録!$B$6:$B$3005,$A118,請求記録!$X$6:$X$3005,V$5))))</f>
        <v/>
      </c>
      <c r="W118" s="19">
        <f>IF($A118="","",IF(COUNTIFS(請求記録!$B$6:$B$3005,$A118,請求記録!$X$6:$X$3005,W$5,請求記録!$AD$6:$AD$3005,"保留中")&gt;0,"保留",IF(COUNTIFS(請求記録!$B$6:$B$3005,$A118,請求記録!$X$6:$X$3005,W$5)=0,"",SUMIFS(請求記録!$AC$6:$AC$3005,請求記録!$B$6:$B$3005,$A118,請求記録!$X$6:$X$3005,W$5))))</f>
        <v/>
      </c>
      <c r="X118" s="19">
        <f>IF($A118="","",IF(COUNTIFS(請求記録!$B$6:$B$3005,$A118,請求記録!$X$6:$X$3005,X$5,請求記録!$AD$6:$AD$3005,"保留中")&gt;0,"保留",IF(COUNTIFS(請求記録!$B$6:$B$3005,$A118,請求記録!$X$6:$X$3005,X$5)=0,"",SUMIFS(請求記録!$AC$6:$AC$3005,請求記録!$B$6:$B$3005,$A118,請求記録!$X$6:$X$3005,X$5))))</f>
        <v/>
      </c>
      <c r="Y118" s="19">
        <f>IF($A118="","",IF(COUNTIFS(請求記録!$B$6:$B$3005,$A118,請求記録!$X$6:$X$3005,Y$5,請求記録!$AD$6:$AD$3005,"保留中")&gt;0,"保留",IF(COUNTIFS(請求記録!$B$6:$B$3005,$A118,請求記録!$X$6:$X$3005,Y$5)=0,"",SUMIFS(請求記録!$AC$6:$AC$3005,請求記録!$B$6:$B$3005,$A118,請求記録!$X$6:$X$3005,Y$5))))</f>
        <v/>
      </c>
      <c r="Z118" s="19">
        <f>IF($A118="","",IF(COUNTIFS(請求記録!$B$6:$B$3005,$A118,請求記録!$X$6:$X$3005,Z$5,請求記録!$AD$6:$AD$3005,"保留中")&gt;0,"保留",IF(COUNTIFS(請求記録!$B$6:$B$3005,$A118,請求記録!$X$6:$X$3005,Z$5)=0,"",SUMIFS(請求記録!$AC$6:$AC$3005,請求記録!$B$6:$B$3005,$A118,請求記録!$X$6:$X$3005,Z$5))))</f>
        <v/>
      </c>
      <c r="AA118" s="19">
        <f>IF($A118="","",IF(COUNTIFS(請求記録!$B$6:$B$3005,$A118,請求記録!$X$6:$X$3005,AA$5,請求記録!$AD$6:$AD$3005,"保留中")&gt;0,"保留",IF(COUNTIFS(請求記録!$B$6:$B$3005,$A118,請求記録!$X$6:$X$3005,AA$5)=0,"",SUMIFS(請求記録!$AC$6:$AC$3005,請求記録!$B$6:$B$3005,$A118,請求記録!$X$6:$X$3005,AA$5))))</f>
        <v/>
      </c>
      <c r="AB118">
        <f>IF(職員マスタ!P118="保留中",職員マスタ!M118,"")</f>
        <v/>
      </c>
    </row>
    <row r="119">
      <c r="A119">
        <f>IF(職員マスタ!A119="","",職員マスタ!A119)</f>
        <v/>
      </c>
      <c r="B119">
        <f>IF($A119="","",職員マスタ!B119)</f>
        <v/>
      </c>
      <c r="C119">
        <f>IF($A119="","",職員マスタ!C119)</f>
        <v/>
      </c>
      <c r="D119" s="19">
        <f>IF($A119="","",IF(COUNTIFS(請求記録!$B$6:$B$3005,$A119,請求記録!$X$6:$X$3005,D$5,請求記録!$AD$6:$AD$3005,"保留中")&gt;0,"保留",IF(COUNTIFS(請求記録!$B$6:$B$3005,$A119,請求記録!$X$6:$X$3005,D$5)=0,"",SUMIFS(請求記録!$AC$6:$AC$3005,請求記録!$B$6:$B$3005,$A119,請求記録!$X$6:$X$3005,D$5))))</f>
        <v/>
      </c>
      <c r="E119" s="19">
        <f>IF($A119="","",IF(COUNTIFS(請求記録!$B$6:$B$3005,$A119,請求記録!$X$6:$X$3005,E$5,請求記録!$AD$6:$AD$3005,"保留中")&gt;0,"保留",IF(COUNTIFS(請求記録!$B$6:$B$3005,$A119,請求記録!$X$6:$X$3005,E$5)=0,"",SUMIFS(請求記録!$AC$6:$AC$3005,請求記録!$B$6:$B$3005,$A119,請求記録!$X$6:$X$3005,E$5))))</f>
        <v/>
      </c>
      <c r="F119" s="19">
        <f>IF($A119="","",IF(COUNTIFS(請求記録!$B$6:$B$3005,$A119,請求記録!$X$6:$X$3005,F$5,請求記録!$AD$6:$AD$3005,"保留中")&gt;0,"保留",IF(COUNTIFS(請求記録!$B$6:$B$3005,$A119,請求記録!$X$6:$X$3005,F$5)=0,"",SUMIFS(請求記録!$AC$6:$AC$3005,請求記録!$B$6:$B$3005,$A119,請求記録!$X$6:$X$3005,F$5))))</f>
        <v/>
      </c>
      <c r="G119" s="19">
        <f>IF($A119="","",IF(COUNTIFS(請求記録!$B$6:$B$3005,$A119,請求記録!$X$6:$X$3005,G$5,請求記録!$AD$6:$AD$3005,"保留中")&gt;0,"保留",IF(COUNTIFS(請求記録!$B$6:$B$3005,$A119,請求記録!$X$6:$X$3005,G$5)=0,"",SUMIFS(請求記録!$AC$6:$AC$3005,請求記録!$B$6:$B$3005,$A119,請求記録!$X$6:$X$3005,G$5))))</f>
        <v/>
      </c>
      <c r="H119" s="19">
        <f>IF($A119="","",IF(COUNTIFS(請求記録!$B$6:$B$3005,$A119,請求記録!$X$6:$X$3005,H$5,請求記録!$AD$6:$AD$3005,"保留中")&gt;0,"保留",IF(COUNTIFS(請求記録!$B$6:$B$3005,$A119,請求記録!$X$6:$X$3005,H$5)=0,"",SUMIFS(請求記録!$AC$6:$AC$3005,請求記録!$B$6:$B$3005,$A119,請求記録!$X$6:$X$3005,H$5))))</f>
        <v/>
      </c>
      <c r="I119" s="19">
        <f>IF($A119="","",IF(COUNTIFS(請求記録!$B$6:$B$3005,$A119,請求記録!$X$6:$X$3005,I$5,請求記録!$AD$6:$AD$3005,"保留中")&gt;0,"保留",IF(COUNTIFS(請求記録!$B$6:$B$3005,$A119,請求記録!$X$6:$X$3005,I$5)=0,"",SUMIFS(請求記録!$AC$6:$AC$3005,請求記録!$B$6:$B$3005,$A119,請求記録!$X$6:$X$3005,I$5))))</f>
        <v/>
      </c>
      <c r="J119" s="19">
        <f>IF($A119="","",IF(COUNTIFS(請求記録!$B$6:$B$3005,$A119,請求記録!$X$6:$X$3005,J$5,請求記録!$AD$6:$AD$3005,"保留中")&gt;0,"保留",IF(COUNTIFS(請求記録!$B$6:$B$3005,$A119,請求記録!$X$6:$X$3005,J$5)=0,"",SUMIFS(請求記録!$AC$6:$AC$3005,請求記録!$B$6:$B$3005,$A119,請求記録!$X$6:$X$3005,J$5))))</f>
        <v/>
      </c>
      <c r="K119" s="19">
        <f>IF($A119="","",IF(COUNTIFS(請求記録!$B$6:$B$3005,$A119,請求記録!$X$6:$X$3005,K$5,請求記録!$AD$6:$AD$3005,"保留中")&gt;0,"保留",IF(COUNTIFS(請求記録!$B$6:$B$3005,$A119,請求記録!$X$6:$X$3005,K$5)=0,"",SUMIFS(請求記録!$AC$6:$AC$3005,請求記録!$B$6:$B$3005,$A119,請求記録!$X$6:$X$3005,K$5))))</f>
        <v/>
      </c>
      <c r="L119" s="19">
        <f>IF($A119="","",IF(COUNTIFS(請求記録!$B$6:$B$3005,$A119,請求記録!$X$6:$X$3005,L$5,請求記録!$AD$6:$AD$3005,"保留中")&gt;0,"保留",IF(COUNTIFS(請求記録!$B$6:$B$3005,$A119,請求記録!$X$6:$X$3005,L$5)=0,"",SUMIFS(請求記録!$AC$6:$AC$3005,請求記録!$B$6:$B$3005,$A119,請求記録!$X$6:$X$3005,L$5))))</f>
        <v/>
      </c>
      <c r="M119" s="19">
        <f>IF($A119="","",IF(COUNTIFS(請求記録!$B$6:$B$3005,$A119,請求記録!$X$6:$X$3005,M$5,請求記録!$AD$6:$AD$3005,"保留中")&gt;0,"保留",IF(COUNTIFS(請求記録!$B$6:$B$3005,$A119,請求記録!$X$6:$X$3005,M$5)=0,"",SUMIFS(請求記録!$AC$6:$AC$3005,請求記録!$B$6:$B$3005,$A119,請求記録!$X$6:$X$3005,M$5))))</f>
        <v/>
      </c>
      <c r="N119" s="19">
        <f>IF($A119="","",IF(COUNTIFS(請求記録!$B$6:$B$3005,$A119,請求記録!$X$6:$X$3005,N$5,請求記録!$AD$6:$AD$3005,"保留中")&gt;0,"保留",IF(COUNTIFS(請求記録!$B$6:$B$3005,$A119,請求記録!$X$6:$X$3005,N$5)=0,"",SUMIFS(請求記録!$AC$6:$AC$3005,請求記録!$B$6:$B$3005,$A119,請求記録!$X$6:$X$3005,N$5))))</f>
        <v/>
      </c>
      <c r="O119" s="19">
        <f>IF($A119="","",IF(COUNTIFS(請求記録!$B$6:$B$3005,$A119,請求記録!$X$6:$X$3005,O$5,請求記録!$AD$6:$AD$3005,"保留中")&gt;0,"保留",IF(COUNTIFS(請求記録!$B$6:$B$3005,$A119,請求記録!$X$6:$X$3005,O$5)=0,"",SUMIFS(請求記録!$AC$6:$AC$3005,請求記録!$B$6:$B$3005,$A119,請求記録!$X$6:$X$3005,O$5))))</f>
        <v/>
      </c>
      <c r="P119" s="19">
        <f>IF($A119="","",IF(COUNTIFS(請求記録!$B$6:$B$3005,$A119,請求記録!$X$6:$X$3005,P$5,請求記録!$AD$6:$AD$3005,"保留中")&gt;0,"保留",IF(COUNTIFS(請求記録!$B$6:$B$3005,$A119,請求記録!$X$6:$X$3005,P$5)=0,"",SUMIFS(請求記録!$AC$6:$AC$3005,請求記録!$B$6:$B$3005,$A119,請求記録!$X$6:$X$3005,P$5))))</f>
        <v/>
      </c>
      <c r="Q119" s="19">
        <f>IF($A119="","",IF(COUNTIFS(請求記録!$B$6:$B$3005,$A119,請求記録!$X$6:$X$3005,Q$5,請求記録!$AD$6:$AD$3005,"保留中")&gt;0,"保留",IF(COUNTIFS(請求記録!$B$6:$B$3005,$A119,請求記録!$X$6:$X$3005,Q$5)=0,"",SUMIFS(請求記録!$AC$6:$AC$3005,請求記録!$B$6:$B$3005,$A119,請求記録!$X$6:$X$3005,Q$5))))</f>
        <v/>
      </c>
      <c r="R119" s="19">
        <f>IF($A119="","",IF(COUNTIFS(請求記録!$B$6:$B$3005,$A119,請求記録!$X$6:$X$3005,R$5,請求記録!$AD$6:$AD$3005,"保留中")&gt;0,"保留",IF(COUNTIFS(請求記録!$B$6:$B$3005,$A119,請求記録!$X$6:$X$3005,R$5)=0,"",SUMIFS(請求記録!$AC$6:$AC$3005,請求記録!$B$6:$B$3005,$A119,請求記録!$X$6:$X$3005,R$5))))</f>
        <v/>
      </c>
      <c r="S119" s="19">
        <f>IF($A119="","",IF(COUNTIFS(請求記録!$B$6:$B$3005,$A119,請求記録!$X$6:$X$3005,S$5,請求記録!$AD$6:$AD$3005,"保留中")&gt;0,"保留",IF(COUNTIFS(請求記録!$B$6:$B$3005,$A119,請求記録!$X$6:$X$3005,S$5)=0,"",SUMIFS(請求記録!$AC$6:$AC$3005,請求記録!$B$6:$B$3005,$A119,請求記録!$X$6:$X$3005,S$5))))</f>
        <v/>
      </c>
      <c r="T119" s="19">
        <f>IF($A119="","",IF(COUNTIFS(請求記録!$B$6:$B$3005,$A119,請求記録!$X$6:$X$3005,T$5,請求記録!$AD$6:$AD$3005,"保留中")&gt;0,"保留",IF(COUNTIFS(請求記録!$B$6:$B$3005,$A119,請求記録!$X$6:$X$3005,T$5)=0,"",SUMIFS(請求記録!$AC$6:$AC$3005,請求記録!$B$6:$B$3005,$A119,請求記録!$X$6:$X$3005,T$5))))</f>
        <v/>
      </c>
      <c r="U119" s="19">
        <f>IF($A119="","",IF(COUNTIFS(請求記録!$B$6:$B$3005,$A119,請求記録!$X$6:$X$3005,U$5,請求記録!$AD$6:$AD$3005,"保留中")&gt;0,"保留",IF(COUNTIFS(請求記録!$B$6:$B$3005,$A119,請求記録!$X$6:$X$3005,U$5)=0,"",SUMIFS(請求記録!$AC$6:$AC$3005,請求記録!$B$6:$B$3005,$A119,請求記録!$X$6:$X$3005,U$5))))</f>
        <v/>
      </c>
      <c r="V119" s="19">
        <f>IF($A119="","",IF(COUNTIFS(請求記録!$B$6:$B$3005,$A119,請求記録!$X$6:$X$3005,V$5,請求記録!$AD$6:$AD$3005,"保留中")&gt;0,"保留",IF(COUNTIFS(請求記録!$B$6:$B$3005,$A119,請求記録!$X$6:$X$3005,V$5)=0,"",SUMIFS(請求記録!$AC$6:$AC$3005,請求記録!$B$6:$B$3005,$A119,請求記録!$X$6:$X$3005,V$5))))</f>
        <v/>
      </c>
      <c r="W119" s="19">
        <f>IF($A119="","",IF(COUNTIFS(請求記録!$B$6:$B$3005,$A119,請求記録!$X$6:$X$3005,W$5,請求記録!$AD$6:$AD$3005,"保留中")&gt;0,"保留",IF(COUNTIFS(請求記録!$B$6:$B$3005,$A119,請求記録!$X$6:$X$3005,W$5)=0,"",SUMIFS(請求記録!$AC$6:$AC$3005,請求記録!$B$6:$B$3005,$A119,請求記録!$X$6:$X$3005,W$5))))</f>
        <v/>
      </c>
      <c r="X119" s="19">
        <f>IF($A119="","",IF(COUNTIFS(請求記録!$B$6:$B$3005,$A119,請求記録!$X$6:$X$3005,X$5,請求記録!$AD$6:$AD$3005,"保留中")&gt;0,"保留",IF(COUNTIFS(請求記録!$B$6:$B$3005,$A119,請求記録!$X$6:$X$3005,X$5)=0,"",SUMIFS(請求記録!$AC$6:$AC$3005,請求記録!$B$6:$B$3005,$A119,請求記録!$X$6:$X$3005,X$5))))</f>
        <v/>
      </c>
      <c r="Y119" s="19">
        <f>IF($A119="","",IF(COUNTIFS(請求記録!$B$6:$B$3005,$A119,請求記録!$X$6:$X$3005,Y$5,請求記録!$AD$6:$AD$3005,"保留中")&gt;0,"保留",IF(COUNTIFS(請求記録!$B$6:$B$3005,$A119,請求記録!$X$6:$X$3005,Y$5)=0,"",SUMIFS(請求記録!$AC$6:$AC$3005,請求記録!$B$6:$B$3005,$A119,請求記録!$X$6:$X$3005,Y$5))))</f>
        <v/>
      </c>
      <c r="Z119" s="19">
        <f>IF($A119="","",IF(COUNTIFS(請求記録!$B$6:$B$3005,$A119,請求記録!$X$6:$X$3005,Z$5,請求記録!$AD$6:$AD$3005,"保留中")&gt;0,"保留",IF(COUNTIFS(請求記録!$B$6:$B$3005,$A119,請求記録!$X$6:$X$3005,Z$5)=0,"",SUMIFS(請求記録!$AC$6:$AC$3005,請求記録!$B$6:$B$3005,$A119,請求記録!$X$6:$X$3005,Z$5))))</f>
        <v/>
      </c>
      <c r="AA119" s="19">
        <f>IF($A119="","",IF(COUNTIFS(請求記録!$B$6:$B$3005,$A119,請求記録!$X$6:$X$3005,AA$5,請求記録!$AD$6:$AD$3005,"保留中")&gt;0,"保留",IF(COUNTIFS(請求記録!$B$6:$B$3005,$A119,請求記録!$X$6:$X$3005,AA$5)=0,"",SUMIFS(請求記録!$AC$6:$AC$3005,請求記録!$B$6:$B$3005,$A119,請求記録!$X$6:$X$3005,AA$5))))</f>
        <v/>
      </c>
      <c r="AB119">
        <f>IF(職員マスタ!P119="保留中",職員マスタ!M119,"")</f>
        <v/>
      </c>
    </row>
    <row r="120">
      <c r="A120">
        <f>IF(職員マスタ!A120="","",職員マスタ!A120)</f>
        <v/>
      </c>
      <c r="B120">
        <f>IF($A120="","",職員マスタ!B120)</f>
        <v/>
      </c>
      <c r="C120">
        <f>IF($A120="","",職員マスタ!C120)</f>
        <v/>
      </c>
      <c r="D120" s="19">
        <f>IF($A120="","",IF(COUNTIFS(請求記録!$B$6:$B$3005,$A120,請求記録!$X$6:$X$3005,D$5,請求記録!$AD$6:$AD$3005,"保留中")&gt;0,"保留",IF(COUNTIFS(請求記録!$B$6:$B$3005,$A120,請求記録!$X$6:$X$3005,D$5)=0,"",SUMIFS(請求記録!$AC$6:$AC$3005,請求記録!$B$6:$B$3005,$A120,請求記録!$X$6:$X$3005,D$5))))</f>
        <v/>
      </c>
      <c r="E120" s="19">
        <f>IF($A120="","",IF(COUNTIFS(請求記録!$B$6:$B$3005,$A120,請求記録!$X$6:$X$3005,E$5,請求記録!$AD$6:$AD$3005,"保留中")&gt;0,"保留",IF(COUNTIFS(請求記録!$B$6:$B$3005,$A120,請求記録!$X$6:$X$3005,E$5)=0,"",SUMIFS(請求記録!$AC$6:$AC$3005,請求記録!$B$6:$B$3005,$A120,請求記録!$X$6:$X$3005,E$5))))</f>
        <v/>
      </c>
      <c r="F120" s="19">
        <f>IF($A120="","",IF(COUNTIFS(請求記録!$B$6:$B$3005,$A120,請求記録!$X$6:$X$3005,F$5,請求記録!$AD$6:$AD$3005,"保留中")&gt;0,"保留",IF(COUNTIFS(請求記録!$B$6:$B$3005,$A120,請求記録!$X$6:$X$3005,F$5)=0,"",SUMIFS(請求記録!$AC$6:$AC$3005,請求記録!$B$6:$B$3005,$A120,請求記録!$X$6:$X$3005,F$5))))</f>
        <v/>
      </c>
      <c r="G120" s="19">
        <f>IF($A120="","",IF(COUNTIFS(請求記録!$B$6:$B$3005,$A120,請求記録!$X$6:$X$3005,G$5,請求記録!$AD$6:$AD$3005,"保留中")&gt;0,"保留",IF(COUNTIFS(請求記録!$B$6:$B$3005,$A120,請求記録!$X$6:$X$3005,G$5)=0,"",SUMIFS(請求記録!$AC$6:$AC$3005,請求記録!$B$6:$B$3005,$A120,請求記録!$X$6:$X$3005,G$5))))</f>
        <v/>
      </c>
      <c r="H120" s="19">
        <f>IF($A120="","",IF(COUNTIFS(請求記録!$B$6:$B$3005,$A120,請求記録!$X$6:$X$3005,H$5,請求記録!$AD$6:$AD$3005,"保留中")&gt;0,"保留",IF(COUNTIFS(請求記録!$B$6:$B$3005,$A120,請求記録!$X$6:$X$3005,H$5)=0,"",SUMIFS(請求記録!$AC$6:$AC$3005,請求記録!$B$6:$B$3005,$A120,請求記録!$X$6:$X$3005,H$5))))</f>
        <v/>
      </c>
      <c r="I120" s="19">
        <f>IF($A120="","",IF(COUNTIFS(請求記録!$B$6:$B$3005,$A120,請求記録!$X$6:$X$3005,I$5,請求記録!$AD$6:$AD$3005,"保留中")&gt;0,"保留",IF(COUNTIFS(請求記録!$B$6:$B$3005,$A120,請求記録!$X$6:$X$3005,I$5)=0,"",SUMIFS(請求記録!$AC$6:$AC$3005,請求記録!$B$6:$B$3005,$A120,請求記録!$X$6:$X$3005,I$5))))</f>
        <v/>
      </c>
      <c r="J120" s="19">
        <f>IF($A120="","",IF(COUNTIFS(請求記録!$B$6:$B$3005,$A120,請求記録!$X$6:$X$3005,J$5,請求記録!$AD$6:$AD$3005,"保留中")&gt;0,"保留",IF(COUNTIFS(請求記録!$B$6:$B$3005,$A120,請求記録!$X$6:$X$3005,J$5)=0,"",SUMIFS(請求記録!$AC$6:$AC$3005,請求記録!$B$6:$B$3005,$A120,請求記録!$X$6:$X$3005,J$5))))</f>
        <v/>
      </c>
      <c r="K120" s="19">
        <f>IF($A120="","",IF(COUNTIFS(請求記録!$B$6:$B$3005,$A120,請求記録!$X$6:$X$3005,K$5,請求記録!$AD$6:$AD$3005,"保留中")&gt;0,"保留",IF(COUNTIFS(請求記録!$B$6:$B$3005,$A120,請求記録!$X$6:$X$3005,K$5)=0,"",SUMIFS(請求記録!$AC$6:$AC$3005,請求記録!$B$6:$B$3005,$A120,請求記録!$X$6:$X$3005,K$5))))</f>
        <v/>
      </c>
      <c r="L120" s="19">
        <f>IF($A120="","",IF(COUNTIFS(請求記録!$B$6:$B$3005,$A120,請求記録!$X$6:$X$3005,L$5,請求記録!$AD$6:$AD$3005,"保留中")&gt;0,"保留",IF(COUNTIFS(請求記録!$B$6:$B$3005,$A120,請求記録!$X$6:$X$3005,L$5)=0,"",SUMIFS(請求記録!$AC$6:$AC$3005,請求記録!$B$6:$B$3005,$A120,請求記録!$X$6:$X$3005,L$5))))</f>
        <v/>
      </c>
      <c r="M120" s="19">
        <f>IF($A120="","",IF(COUNTIFS(請求記録!$B$6:$B$3005,$A120,請求記録!$X$6:$X$3005,M$5,請求記録!$AD$6:$AD$3005,"保留中")&gt;0,"保留",IF(COUNTIFS(請求記録!$B$6:$B$3005,$A120,請求記録!$X$6:$X$3005,M$5)=0,"",SUMIFS(請求記録!$AC$6:$AC$3005,請求記録!$B$6:$B$3005,$A120,請求記録!$X$6:$X$3005,M$5))))</f>
        <v/>
      </c>
      <c r="N120" s="19">
        <f>IF($A120="","",IF(COUNTIFS(請求記録!$B$6:$B$3005,$A120,請求記録!$X$6:$X$3005,N$5,請求記録!$AD$6:$AD$3005,"保留中")&gt;0,"保留",IF(COUNTIFS(請求記録!$B$6:$B$3005,$A120,請求記録!$X$6:$X$3005,N$5)=0,"",SUMIFS(請求記録!$AC$6:$AC$3005,請求記録!$B$6:$B$3005,$A120,請求記録!$X$6:$X$3005,N$5))))</f>
        <v/>
      </c>
      <c r="O120" s="19">
        <f>IF($A120="","",IF(COUNTIFS(請求記録!$B$6:$B$3005,$A120,請求記録!$X$6:$X$3005,O$5,請求記録!$AD$6:$AD$3005,"保留中")&gt;0,"保留",IF(COUNTIFS(請求記録!$B$6:$B$3005,$A120,請求記録!$X$6:$X$3005,O$5)=0,"",SUMIFS(請求記録!$AC$6:$AC$3005,請求記録!$B$6:$B$3005,$A120,請求記録!$X$6:$X$3005,O$5))))</f>
        <v/>
      </c>
      <c r="P120" s="19">
        <f>IF($A120="","",IF(COUNTIFS(請求記録!$B$6:$B$3005,$A120,請求記録!$X$6:$X$3005,P$5,請求記録!$AD$6:$AD$3005,"保留中")&gt;0,"保留",IF(COUNTIFS(請求記録!$B$6:$B$3005,$A120,請求記録!$X$6:$X$3005,P$5)=0,"",SUMIFS(請求記録!$AC$6:$AC$3005,請求記録!$B$6:$B$3005,$A120,請求記録!$X$6:$X$3005,P$5))))</f>
        <v/>
      </c>
      <c r="Q120" s="19">
        <f>IF($A120="","",IF(COUNTIFS(請求記録!$B$6:$B$3005,$A120,請求記録!$X$6:$X$3005,Q$5,請求記録!$AD$6:$AD$3005,"保留中")&gt;0,"保留",IF(COUNTIFS(請求記録!$B$6:$B$3005,$A120,請求記録!$X$6:$X$3005,Q$5)=0,"",SUMIFS(請求記録!$AC$6:$AC$3005,請求記録!$B$6:$B$3005,$A120,請求記録!$X$6:$X$3005,Q$5))))</f>
        <v/>
      </c>
      <c r="R120" s="19">
        <f>IF($A120="","",IF(COUNTIFS(請求記録!$B$6:$B$3005,$A120,請求記録!$X$6:$X$3005,R$5,請求記録!$AD$6:$AD$3005,"保留中")&gt;0,"保留",IF(COUNTIFS(請求記録!$B$6:$B$3005,$A120,請求記録!$X$6:$X$3005,R$5)=0,"",SUMIFS(請求記録!$AC$6:$AC$3005,請求記録!$B$6:$B$3005,$A120,請求記録!$X$6:$X$3005,R$5))))</f>
        <v/>
      </c>
      <c r="S120" s="19">
        <f>IF($A120="","",IF(COUNTIFS(請求記録!$B$6:$B$3005,$A120,請求記録!$X$6:$X$3005,S$5,請求記録!$AD$6:$AD$3005,"保留中")&gt;0,"保留",IF(COUNTIFS(請求記録!$B$6:$B$3005,$A120,請求記録!$X$6:$X$3005,S$5)=0,"",SUMIFS(請求記録!$AC$6:$AC$3005,請求記録!$B$6:$B$3005,$A120,請求記録!$X$6:$X$3005,S$5))))</f>
        <v/>
      </c>
      <c r="T120" s="19">
        <f>IF($A120="","",IF(COUNTIFS(請求記録!$B$6:$B$3005,$A120,請求記録!$X$6:$X$3005,T$5,請求記録!$AD$6:$AD$3005,"保留中")&gt;0,"保留",IF(COUNTIFS(請求記録!$B$6:$B$3005,$A120,請求記録!$X$6:$X$3005,T$5)=0,"",SUMIFS(請求記録!$AC$6:$AC$3005,請求記録!$B$6:$B$3005,$A120,請求記録!$X$6:$X$3005,T$5))))</f>
        <v/>
      </c>
      <c r="U120" s="19">
        <f>IF($A120="","",IF(COUNTIFS(請求記録!$B$6:$B$3005,$A120,請求記録!$X$6:$X$3005,U$5,請求記録!$AD$6:$AD$3005,"保留中")&gt;0,"保留",IF(COUNTIFS(請求記録!$B$6:$B$3005,$A120,請求記録!$X$6:$X$3005,U$5)=0,"",SUMIFS(請求記録!$AC$6:$AC$3005,請求記録!$B$6:$B$3005,$A120,請求記録!$X$6:$X$3005,U$5))))</f>
        <v/>
      </c>
      <c r="V120" s="19">
        <f>IF($A120="","",IF(COUNTIFS(請求記録!$B$6:$B$3005,$A120,請求記録!$X$6:$X$3005,V$5,請求記録!$AD$6:$AD$3005,"保留中")&gt;0,"保留",IF(COUNTIFS(請求記録!$B$6:$B$3005,$A120,請求記録!$X$6:$X$3005,V$5)=0,"",SUMIFS(請求記録!$AC$6:$AC$3005,請求記録!$B$6:$B$3005,$A120,請求記録!$X$6:$X$3005,V$5))))</f>
        <v/>
      </c>
      <c r="W120" s="19">
        <f>IF($A120="","",IF(COUNTIFS(請求記録!$B$6:$B$3005,$A120,請求記録!$X$6:$X$3005,W$5,請求記録!$AD$6:$AD$3005,"保留中")&gt;0,"保留",IF(COUNTIFS(請求記録!$B$6:$B$3005,$A120,請求記録!$X$6:$X$3005,W$5)=0,"",SUMIFS(請求記録!$AC$6:$AC$3005,請求記録!$B$6:$B$3005,$A120,請求記録!$X$6:$X$3005,W$5))))</f>
        <v/>
      </c>
      <c r="X120" s="19">
        <f>IF($A120="","",IF(COUNTIFS(請求記録!$B$6:$B$3005,$A120,請求記録!$X$6:$X$3005,X$5,請求記録!$AD$6:$AD$3005,"保留中")&gt;0,"保留",IF(COUNTIFS(請求記録!$B$6:$B$3005,$A120,請求記録!$X$6:$X$3005,X$5)=0,"",SUMIFS(請求記録!$AC$6:$AC$3005,請求記録!$B$6:$B$3005,$A120,請求記録!$X$6:$X$3005,X$5))))</f>
        <v/>
      </c>
      <c r="Y120" s="19">
        <f>IF($A120="","",IF(COUNTIFS(請求記録!$B$6:$B$3005,$A120,請求記録!$X$6:$X$3005,Y$5,請求記録!$AD$6:$AD$3005,"保留中")&gt;0,"保留",IF(COUNTIFS(請求記録!$B$6:$B$3005,$A120,請求記録!$X$6:$X$3005,Y$5)=0,"",SUMIFS(請求記録!$AC$6:$AC$3005,請求記録!$B$6:$B$3005,$A120,請求記録!$X$6:$X$3005,Y$5))))</f>
        <v/>
      </c>
      <c r="Z120" s="19">
        <f>IF($A120="","",IF(COUNTIFS(請求記録!$B$6:$B$3005,$A120,請求記録!$X$6:$X$3005,Z$5,請求記録!$AD$6:$AD$3005,"保留中")&gt;0,"保留",IF(COUNTIFS(請求記録!$B$6:$B$3005,$A120,請求記録!$X$6:$X$3005,Z$5)=0,"",SUMIFS(請求記録!$AC$6:$AC$3005,請求記録!$B$6:$B$3005,$A120,請求記録!$X$6:$X$3005,Z$5))))</f>
        <v/>
      </c>
      <c r="AA120" s="19">
        <f>IF($A120="","",IF(COUNTIFS(請求記録!$B$6:$B$3005,$A120,請求記録!$X$6:$X$3005,AA$5,請求記録!$AD$6:$AD$3005,"保留中")&gt;0,"保留",IF(COUNTIFS(請求記録!$B$6:$B$3005,$A120,請求記録!$X$6:$X$3005,AA$5)=0,"",SUMIFS(請求記録!$AC$6:$AC$3005,請求記録!$B$6:$B$3005,$A120,請求記録!$X$6:$X$3005,AA$5))))</f>
        <v/>
      </c>
      <c r="AB120">
        <f>IF(職員マスタ!P120="保留中",職員マスタ!M120,"")</f>
        <v/>
      </c>
    </row>
    <row r="121">
      <c r="A121">
        <f>IF(職員マスタ!A121="","",職員マスタ!A121)</f>
        <v/>
      </c>
      <c r="B121">
        <f>IF($A121="","",職員マスタ!B121)</f>
        <v/>
      </c>
      <c r="C121">
        <f>IF($A121="","",職員マスタ!C121)</f>
        <v/>
      </c>
      <c r="D121" s="19">
        <f>IF($A121="","",IF(COUNTIFS(請求記録!$B$6:$B$3005,$A121,請求記録!$X$6:$X$3005,D$5,請求記録!$AD$6:$AD$3005,"保留中")&gt;0,"保留",IF(COUNTIFS(請求記録!$B$6:$B$3005,$A121,請求記録!$X$6:$X$3005,D$5)=0,"",SUMIFS(請求記録!$AC$6:$AC$3005,請求記録!$B$6:$B$3005,$A121,請求記録!$X$6:$X$3005,D$5))))</f>
        <v/>
      </c>
      <c r="E121" s="19">
        <f>IF($A121="","",IF(COUNTIFS(請求記録!$B$6:$B$3005,$A121,請求記録!$X$6:$X$3005,E$5,請求記録!$AD$6:$AD$3005,"保留中")&gt;0,"保留",IF(COUNTIFS(請求記録!$B$6:$B$3005,$A121,請求記録!$X$6:$X$3005,E$5)=0,"",SUMIFS(請求記録!$AC$6:$AC$3005,請求記録!$B$6:$B$3005,$A121,請求記録!$X$6:$X$3005,E$5))))</f>
        <v/>
      </c>
      <c r="F121" s="19">
        <f>IF($A121="","",IF(COUNTIFS(請求記録!$B$6:$B$3005,$A121,請求記録!$X$6:$X$3005,F$5,請求記録!$AD$6:$AD$3005,"保留中")&gt;0,"保留",IF(COUNTIFS(請求記録!$B$6:$B$3005,$A121,請求記録!$X$6:$X$3005,F$5)=0,"",SUMIFS(請求記録!$AC$6:$AC$3005,請求記録!$B$6:$B$3005,$A121,請求記録!$X$6:$X$3005,F$5))))</f>
        <v/>
      </c>
      <c r="G121" s="19">
        <f>IF($A121="","",IF(COUNTIFS(請求記録!$B$6:$B$3005,$A121,請求記録!$X$6:$X$3005,G$5,請求記録!$AD$6:$AD$3005,"保留中")&gt;0,"保留",IF(COUNTIFS(請求記録!$B$6:$B$3005,$A121,請求記録!$X$6:$X$3005,G$5)=0,"",SUMIFS(請求記録!$AC$6:$AC$3005,請求記録!$B$6:$B$3005,$A121,請求記録!$X$6:$X$3005,G$5))))</f>
        <v/>
      </c>
      <c r="H121" s="19">
        <f>IF($A121="","",IF(COUNTIFS(請求記録!$B$6:$B$3005,$A121,請求記録!$X$6:$X$3005,H$5,請求記録!$AD$6:$AD$3005,"保留中")&gt;0,"保留",IF(COUNTIFS(請求記録!$B$6:$B$3005,$A121,請求記録!$X$6:$X$3005,H$5)=0,"",SUMIFS(請求記録!$AC$6:$AC$3005,請求記録!$B$6:$B$3005,$A121,請求記録!$X$6:$X$3005,H$5))))</f>
        <v/>
      </c>
      <c r="I121" s="19">
        <f>IF($A121="","",IF(COUNTIFS(請求記録!$B$6:$B$3005,$A121,請求記録!$X$6:$X$3005,I$5,請求記録!$AD$6:$AD$3005,"保留中")&gt;0,"保留",IF(COUNTIFS(請求記録!$B$6:$B$3005,$A121,請求記録!$X$6:$X$3005,I$5)=0,"",SUMIFS(請求記録!$AC$6:$AC$3005,請求記録!$B$6:$B$3005,$A121,請求記録!$X$6:$X$3005,I$5))))</f>
        <v/>
      </c>
      <c r="J121" s="19">
        <f>IF($A121="","",IF(COUNTIFS(請求記録!$B$6:$B$3005,$A121,請求記録!$X$6:$X$3005,J$5,請求記録!$AD$6:$AD$3005,"保留中")&gt;0,"保留",IF(COUNTIFS(請求記録!$B$6:$B$3005,$A121,請求記録!$X$6:$X$3005,J$5)=0,"",SUMIFS(請求記録!$AC$6:$AC$3005,請求記録!$B$6:$B$3005,$A121,請求記録!$X$6:$X$3005,J$5))))</f>
        <v/>
      </c>
      <c r="K121" s="19">
        <f>IF($A121="","",IF(COUNTIFS(請求記録!$B$6:$B$3005,$A121,請求記録!$X$6:$X$3005,K$5,請求記録!$AD$6:$AD$3005,"保留中")&gt;0,"保留",IF(COUNTIFS(請求記録!$B$6:$B$3005,$A121,請求記録!$X$6:$X$3005,K$5)=0,"",SUMIFS(請求記録!$AC$6:$AC$3005,請求記録!$B$6:$B$3005,$A121,請求記録!$X$6:$X$3005,K$5))))</f>
        <v/>
      </c>
      <c r="L121" s="19">
        <f>IF($A121="","",IF(COUNTIFS(請求記録!$B$6:$B$3005,$A121,請求記録!$X$6:$X$3005,L$5,請求記録!$AD$6:$AD$3005,"保留中")&gt;0,"保留",IF(COUNTIFS(請求記録!$B$6:$B$3005,$A121,請求記録!$X$6:$X$3005,L$5)=0,"",SUMIFS(請求記録!$AC$6:$AC$3005,請求記録!$B$6:$B$3005,$A121,請求記録!$X$6:$X$3005,L$5))))</f>
        <v/>
      </c>
      <c r="M121" s="19">
        <f>IF($A121="","",IF(COUNTIFS(請求記録!$B$6:$B$3005,$A121,請求記録!$X$6:$X$3005,M$5,請求記録!$AD$6:$AD$3005,"保留中")&gt;0,"保留",IF(COUNTIFS(請求記録!$B$6:$B$3005,$A121,請求記録!$X$6:$X$3005,M$5)=0,"",SUMIFS(請求記録!$AC$6:$AC$3005,請求記録!$B$6:$B$3005,$A121,請求記録!$X$6:$X$3005,M$5))))</f>
        <v/>
      </c>
      <c r="N121" s="19">
        <f>IF($A121="","",IF(COUNTIFS(請求記録!$B$6:$B$3005,$A121,請求記録!$X$6:$X$3005,N$5,請求記録!$AD$6:$AD$3005,"保留中")&gt;0,"保留",IF(COUNTIFS(請求記録!$B$6:$B$3005,$A121,請求記録!$X$6:$X$3005,N$5)=0,"",SUMIFS(請求記録!$AC$6:$AC$3005,請求記録!$B$6:$B$3005,$A121,請求記録!$X$6:$X$3005,N$5))))</f>
        <v/>
      </c>
      <c r="O121" s="19">
        <f>IF($A121="","",IF(COUNTIFS(請求記録!$B$6:$B$3005,$A121,請求記録!$X$6:$X$3005,O$5,請求記録!$AD$6:$AD$3005,"保留中")&gt;0,"保留",IF(COUNTIFS(請求記録!$B$6:$B$3005,$A121,請求記録!$X$6:$X$3005,O$5)=0,"",SUMIFS(請求記録!$AC$6:$AC$3005,請求記録!$B$6:$B$3005,$A121,請求記録!$X$6:$X$3005,O$5))))</f>
        <v/>
      </c>
      <c r="P121" s="19">
        <f>IF($A121="","",IF(COUNTIFS(請求記録!$B$6:$B$3005,$A121,請求記録!$X$6:$X$3005,P$5,請求記録!$AD$6:$AD$3005,"保留中")&gt;0,"保留",IF(COUNTIFS(請求記録!$B$6:$B$3005,$A121,請求記録!$X$6:$X$3005,P$5)=0,"",SUMIFS(請求記録!$AC$6:$AC$3005,請求記録!$B$6:$B$3005,$A121,請求記録!$X$6:$X$3005,P$5))))</f>
        <v/>
      </c>
      <c r="Q121" s="19">
        <f>IF($A121="","",IF(COUNTIFS(請求記録!$B$6:$B$3005,$A121,請求記録!$X$6:$X$3005,Q$5,請求記録!$AD$6:$AD$3005,"保留中")&gt;0,"保留",IF(COUNTIFS(請求記録!$B$6:$B$3005,$A121,請求記録!$X$6:$X$3005,Q$5)=0,"",SUMIFS(請求記録!$AC$6:$AC$3005,請求記録!$B$6:$B$3005,$A121,請求記録!$X$6:$X$3005,Q$5))))</f>
        <v/>
      </c>
      <c r="R121" s="19">
        <f>IF($A121="","",IF(COUNTIFS(請求記録!$B$6:$B$3005,$A121,請求記録!$X$6:$X$3005,R$5,請求記録!$AD$6:$AD$3005,"保留中")&gt;0,"保留",IF(COUNTIFS(請求記録!$B$6:$B$3005,$A121,請求記録!$X$6:$X$3005,R$5)=0,"",SUMIFS(請求記録!$AC$6:$AC$3005,請求記録!$B$6:$B$3005,$A121,請求記録!$X$6:$X$3005,R$5))))</f>
        <v/>
      </c>
      <c r="S121" s="19">
        <f>IF($A121="","",IF(COUNTIFS(請求記録!$B$6:$B$3005,$A121,請求記録!$X$6:$X$3005,S$5,請求記録!$AD$6:$AD$3005,"保留中")&gt;0,"保留",IF(COUNTIFS(請求記録!$B$6:$B$3005,$A121,請求記録!$X$6:$X$3005,S$5)=0,"",SUMIFS(請求記録!$AC$6:$AC$3005,請求記録!$B$6:$B$3005,$A121,請求記録!$X$6:$X$3005,S$5))))</f>
        <v/>
      </c>
      <c r="T121" s="19">
        <f>IF($A121="","",IF(COUNTIFS(請求記録!$B$6:$B$3005,$A121,請求記録!$X$6:$X$3005,T$5,請求記録!$AD$6:$AD$3005,"保留中")&gt;0,"保留",IF(COUNTIFS(請求記録!$B$6:$B$3005,$A121,請求記録!$X$6:$X$3005,T$5)=0,"",SUMIFS(請求記録!$AC$6:$AC$3005,請求記録!$B$6:$B$3005,$A121,請求記録!$X$6:$X$3005,T$5))))</f>
        <v/>
      </c>
      <c r="U121" s="19">
        <f>IF($A121="","",IF(COUNTIFS(請求記録!$B$6:$B$3005,$A121,請求記録!$X$6:$X$3005,U$5,請求記録!$AD$6:$AD$3005,"保留中")&gt;0,"保留",IF(COUNTIFS(請求記録!$B$6:$B$3005,$A121,請求記録!$X$6:$X$3005,U$5)=0,"",SUMIFS(請求記録!$AC$6:$AC$3005,請求記録!$B$6:$B$3005,$A121,請求記録!$X$6:$X$3005,U$5))))</f>
        <v/>
      </c>
      <c r="V121" s="19">
        <f>IF($A121="","",IF(COUNTIFS(請求記録!$B$6:$B$3005,$A121,請求記録!$X$6:$X$3005,V$5,請求記録!$AD$6:$AD$3005,"保留中")&gt;0,"保留",IF(COUNTIFS(請求記録!$B$6:$B$3005,$A121,請求記録!$X$6:$X$3005,V$5)=0,"",SUMIFS(請求記録!$AC$6:$AC$3005,請求記録!$B$6:$B$3005,$A121,請求記録!$X$6:$X$3005,V$5))))</f>
        <v/>
      </c>
      <c r="W121" s="19">
        <f>IF($A121="","",IF(COUNTIFS(請求記録!$B$6:$B$3005,$A121,請求記録!$X$6:$X$3005,W$5,請求記録!$AD$6:$AD$3005,"保留中")&gt;0,"保留",IF(COUNTIFS(請求記録!$B$6:$B$3005,$A121,請求記録!$X$6:$X$3005,W$5)=0,"",SUMIFS(請求記録!$AC$6:$AC$3005,請求記録!$B$6:$B$3005,$A121,請求記録!$X$6:$X$3005,W$5))))</f>
        <v/>
      </c>
      <c r="X121" s="19">
        <f>IF($A121="","",IF(COUNTIFS(請求記録!$B$6:$B$3005,$A121,請求記録!$X$6:$X$3005,X$5,請求記録!$AD$6:$AD$3005,"保留中")&gt;0,"保留",IF(COUNTIFS(請求記録!$B$6:$B$3005,$A121,請求記録!$X$6:$X$3005,X$5)=0,"",SUMIFS(請求記録!$AC$6:$AC$3005,請求記録!$B$6:$B$3005,$A121,請求記録!$X$6:$X$3005,X$5))))</f>
        <v/>
      </c>
      <c r="Y121" s="19">
        <f>IF($A121="","",IF(COUNTIFS(請求記録!$B$6:$B$3005,$A121,請求記録!$X$6:$X$3005,Y$5,請求記録!$AD$6:$AD$3005,"保留中")&gt;0,"保留",IF(COUNTIFS(請求記録!$B$6:$B$3005,$A121,請求記録!$X$6:$X$3005,Y$5)=0,"",SUMIFS(請求記録!$AC$6:$AC$3005,請求記録!$B$6:$B$3005,$A121,請求記録!$X$6:$X$3005,Y$5))))</f>
        <v/>
      </c>
      <c r="Z121" s="19">
        <f>IF($A121="","",IF(COUNTIFS(請求記録!$B$6:$B$3005,$A121,請求記録!$X$6:$X$3005,Z$5,請求記録!$AD$6:$AD$3005,"保留中")&gt;0,"保留",IF(COUNTIFS(請求記録!$B$6:$B$3005,$A121,請求記録!$X$6:$X$3005,Z$5)=0,"",SUMIFS(請求記録!$AC$6:$AC$3005,請求記録!$B$6:$B$3005,$A121,請求記録!$X$6:$X$3005,Z$5))))</f>
        <v/>
      </c>
      <c r="AA121" s="19">
        <f>IF($A121="","",IF(COUNTIFS(請求記録!$B$6:$B$3005,$A121,請求記録!$X$6:$X$3005,AA$5,請求記録!$AD$6:$AD$3005,"保留中")&gt;0,"保留",IF(COUNTIFS(請求記録!$B$6:$B$3005,$A121,請求記録!$X$6:$X$3005,AA$5)=0,"",SUMIFS(請求記録!$AC$6:$AC$3005,請求記録!$B$6:$B$3005,$A121,請求記録!$X$6:$X$3005,AA$5))))</f>
        <v/>
      </c>
      <c r="AB121">
        <f>IF(職員マスタ!P121="保留中",職員マスタ!M121,"")</f>
        <v/>
      </c>
    </row>
    <row r="122">
      <c r="A122">
        <f>IF(職員マスタ!A122="","",職員マスタ!A122)</f>
        <v/>
      </c>
      <c r="B122">
        <f>IF($A122="","",職員マスタ!B122)</f>
        <v/>
      </c>
      <c r="C122">
        <f>IF($A122="","",職員マスタ!C122)</f>
        <v/>
      </c>
      <c r="D122" s="19">
        <f>IF($A122="","",IF(COUNTIFS(請求記録!$B$6:$B$3005,$A122,請求記録!$X$6:$X$3005,D$5,請求記録!$AD$6:$AD$3005,"保留中")&gt;0,"保留",IF(COUNTIFS(請求記録!$B$6:$B$3005,$A122,請求記録!$X$6:$X$3005,D$5)=0,"",SUMIFS(請求記録!$AC$6:$AC$3005,請求記録!$B$6:$B$3005,$A122,請求記録!$X$6:$X$3005,D$5))))</f>
        <v/>
      </c>
      <c r="E122" s="19">
        <f>IF($A122="","",IF(COUNTIFS(請求記録!$B$6:$B$3005,$A122,請求記録!$X$6:$X$3005,E$5,請求記録!$AD$6:$AD$3005,"保留中")&gt;0,"保留",IF(COUNTIFS(請求記録!$B$6:$B$3005,$A122,請求記録!$X$6:$X$3005,E$5)=0,"",SUMIFS(請求記録!$AC$6:$AC$3005,請求記録!$B$6:$B$3005,$A122,請求記録!$X$6:$X$3005,E$5))))</f>
        <v/>
      </c>
      <c r="F122" s="19">
        <f>IF($A122="","",IF(COUNTIFS(請求記録!$B$6:$B$3005,$A122,請求記録!$X$6:$X$3005,F$5,請求記録!$AD$6:$AD$3005,"保留中")&gt;0,"保留",IF(COUNTIFS(請求記録!$B$6:$B$3005,$A122,請求記録!$X$6:$X$3005,F$5)=0,"",SUMIFS(請求記録!$AC$6:$AC$3005,請求記録!$B$6:$B$3005,$A122,請求記録!$X$6:$X$3005,F$5))))</f>
        <v/>
      </c>
      <c r="G122" s="19">
        <f>IF($A122="","",IF(COUNTIFS(請求記録!$B$6:$B$3005,$A122,請求記録!$X$6:$X$3005,G$5,請求記録!$AD$6:$AD$3005,"保留中")&gt;0,"保留",IF(COUNTIFS(請求記録!$B$6:$B$3005,$A122,請求記録!$X$6:$X$3005,G$5)=0,"",SUMIFS(請求記録!$AC$6:$AC$3005,請求記録!$B$6:$B$3005,$A122,請求記録!$X$6:$X$3005,G$5))))</f>
        <v/>
      </c>
      <c r="H122" s="19">
        <f>IF($A122="","",IF(COUNTIFS(請求記録!$B$6:$B$3005,$A122,請求記録!$X$6:$X$3005,H$5,請求記録!$AD$6:$AD$3005,"保留中")&gt;0,"保留",IF(COUNTIFS(請求記録!$B$6:$B$3005,$A122,請求記録!$X$6:$X$3005,H$5)=0,"",SUMIFS(請求記録!$AC$6:$AC$3005,請求記録!$B$6:$B$3005,$A122,請求記録!$X$6:$X$3005,H$5))))</f>
        <v/>
      </c>
      <c r="I122" s="19">
        <f>IF($A122="","",IF(COUNTIFS(請求記録!$B$6:$B$3005,$A122,請求記録!$X$6:$X$3005,I$5,請求記録!$AD$6:$AD$3005,"保留中")&gt;0,"保留",IF(COUNTIFS(請求記録!$B$6:$B$3005,$A122,請求記録!$X$6:$X$3005,I$5)=0,"",SUMIFS(請求記録!$AC$6:$AC$3005,請求記録!$B$6:$B$3005,$A122,請求記録!$X$6:$X$3005,I$5))))</f>
        <v/>
      </c>
      <c r="J122" s="19">
        <f>IF($A122="","",IF(COUNTIFS(請求記録!$B$6:$B$3005,$A122,請求記録!$X$6:$X$3005,J$5,請求記録!$AD$6:$AD$3005,"保留中")&gt;0,"保留",IF(COUNTIFS(請求記録!$B$6:$B$3005,$A122,請求記録!$X$6:$X$3005,J$5)=0,"",SUMIFS(請求記録!$AC$6:$AC$3005,請求記録!$B$6:$B$3005,$A122,請求記録!$X$6:$X$3005,J$5))))</f>
        <v/>
      </c>
      <c r="K122" s="19">
        <f>IF($A122="","",IF(COUNTIFS(請求記録!$B$6:$B$3005,$A122,請求記録!$X$6:$X$3005,K$5,請求記録!$AD$6:$AD$3005,"保留中")&gt;0,"保留",IF(COUNTIFS(請求記録!$B$6:$B$3005,$A122,請求記録!$X$6:$X$3005,K$5)=0,"",SUMIFS(請求記録!$AC$6:$AC$3005,請求記録!$B$6:$B$3005,$A122,請求記録!$X$6:$X$3005,K$5))))</f>
        <v/>
      </c>
      <c r="L122" s="19">
        <f>IF($A122="","",IF(COUNTIFS(請求記録!$B$6:$B$3005,$A122,請求記録!$X$6:$X$3005,L$5,請求記録!$AD$6:$AD$3005,"保留中")&gt;0,"保留",IF(COUNTIFS(請求記録!$B$6:$B$3005,$A122,請求記録!$X$6:$X$3005,L$5)=0,"",SUMIFS(請求記録!$AC$6:$AC$3005,請求記録!$B$6:$B$3005,$A122,請求記録!$X$6:$X$3005,L$5))))</f>
        <v/>
      </c>
      <c r="M122" s="19">
        <f>IF($A122="","",IF(COUNTIFS(請求記録!$B$6:$B$3005,$A122,請求記録!$X$6:$X$3005,M$5,請求記録!$AD$6:$AD$3005,"保留中")&gt;0,"保留",IF(COUNTIFS(請求記録!$B$6:$B$3005,$A122,請求記録!$X$6:$X$3005,M$5)=0,"",SUMIFS(請求記録!$AC$6:$AC$3005,請求記録!$B$6:$B$3005,$A122,請求記録!$X$6:$X$3005,M$5))))</f>
        <v/>
      </c>
      <c r="N122" s="19">
        <f>IF($A122="","",IF(COUNTIFS(請求記録!$B$6:$B$3005,$A122,請求記録!$X$6:$X$3005,N$5,請求記録!$AD$6:$AD$3005,"保留中")&gt;0,"保留",IF(COUNTIFS(請求記録!$B$6:$B$3005,$A122,請求記録!$X$6:$X$3005,N$5)=0,"",SUMIFS(請求記録!$AC$6:$AC$3005,請求記録!$B$6:$B$3005,$A122,請求記録!$X$6:$X$3005,N$5))))</f>
        <v/>
      </c>
      <c r="O122" s="19">
        <f>IF($A122="","",IF(COUNTIFS(請求記録!$B$6:$B$3005,$A122,請求記録!$X$6:$X$3005,O$5,請求記録!$AD$6:$AD$3005,"保留中")&gt;0,"保留",IF(COUNTIFS(請求記録!$B$6:$B$3005,$A122,請求記録!$X$6:$X$3005,O$5)=0,"",SUMIFS(請求記録!$AC$6:$AC$3005,請求記録!$B$6:$B$3005,$A122,請求記録!$X$6:$X$3005,O$5))))</f>
        <v/>
      </c>
      <c r="P122" s="19">
        <f>IF($A122="","",IF(COUNTIFS(請求記録!$B$6:$B$3005,$A122,請求記録!$X$6:$X$3005,P$5,請求記録!$AD$6:$AD$3005,"保留中")&gt;0,"保留",IF(COUNTIFS(請求記録!$B$6:$B$3005,$A122,請求記録!$X$6:$X$3005,P$5)=0,"",SUMIFS(請求記録!$AC$6:$AC$3005,請求記録!$B$6:$B$3005,$A122,請求記録!$X$6:$X$3005,P$5))))</f>
        <v/>
      </c>
      <c r="Q122" s="19">
        <f>IF($A122="","",IF(COUNTIFS(請求記録!$B$6:$B$3005,$A122,請求記録!$X$6:$X$3005,Q$5,請求記録!$AD$6:$AD$3005,"保留中")&gt;0,"保留",IF(COUNTIFS(請求記録!$B$6:$B$3005,$A122,請求記録!$X$6:$X$3005,Q$5)=0,"",SUMIFS(請求記録!$AC$6:$AC$3005,請求記録!$B$6:$B$3005,$A122,請求記録!$X$6:$X$3005,Q$5))))</f>
        <v/>
      </c>
      <c r="R122" s="19">
        <f>IF($A122="","",IF(COUNTIFS(請求記録!$B$6:$B$3005,$A122,請求記録!$X$6:$X$3005,R$5,請求記録!$AD$6:$AD$3005,"保留中")&gt;0,"保留",IF(COUNTIFS(請求記録!$B$6:$B$3005,$A122,請求記録!$X$6:$X$3005,R$5)=0,"",SUMIFS(請求記録!$AC$6:$AC$3005,請求記録!$B$6:$B$3005,$A122,請求記録!$X$6:$X$3005,R$5))))</f>
        <v/>
      </c>
      <c r="S122" s="19">
        <f>IF($A122="","",IF(COUNTIFS(請求記録!$B$6:$B$3005,$A122,請求記録!$X$6:$X$3005,S$5,請求記録!$AD$6:$AD$3005,"保留中")&gt;0,"保留",IF(COUNTIFS(請求記録!$B$6:$B$3005,$A122,請求記録!$X$6:$X$3005,S$5)=0,"",SUMIFS(請求記録!$AC$6:$AC$3005,請求記録!$B$6:$B$3005,$A122,請求記録!$X$6:$X$3005,S$5))))</f>
        <v/>
      </c>
      <c r="T122" s="19">
        <f>IF($A122="","",IF(COUNTIFS(請求記録!$B$6:$B$3005,$A122,請求記録!$X$6:$X$3005,T$5,請求記録!$AD$6:$AD$3005,"保留中")&gt;0,"保留",IF(COUNTIFS(請求記録!$B$6:$B$3005,$A122,請求記録!$X$6:$X$3005,T$5)=0,"",SUMIFS(請求記録!$AC$6:$AC$3005,請求記録!$B$6:$B$3005,$A122,請求記録!$X$6:$X$3005,T$5))))</f>
        <v/>
      </c>
      <c r="U122" s="19">
        <f>IF($A122="","",IF(COUNTIFS(請求記録!$B$6:$B$3005,$A122,請求記録!$X$6:$X$3005,U$5,請求記録!$AD$6:$AD$3005,"保留中")&gt;0,"保留",IF(COUNTIFS(請求記録!$B$6:$B$3005,$A122,請求記録!$X$6:$X$3005,U$5)=0,"",SUMIFS(請求記録!$AC$6:$AC$3005,請求記録!$B$6:$B$3005,$A122,請求記録!$X$6:$X$3005,U$5))))</f>
        <v/>
      </c>
      <c r="V122" s="19">
        <f>IF($A122="","",IF(COUNTIFS(請求記録!$B$6:$B$3005,$A122,請求記録!$X$6:$X$3005,V$5,請求記録!$AD$6:$AD$3005,"保留中")&gt;0,"保留",IF(COUNTIFS(請求記録!$B$6:$B$3005,$A122,請求記録!$X$6:$X$3005,V$5)=0,"",SUMIFS(請求記録!$AC$6:$AC$3005,請求記録!$B$6:$B$3005,$A122,請求記録!$X$6:$X$3005,V$5))))</f>
        <v/>
      </c>
      <c r="W122" s="19">
        <f>IF($A122="","",IF(COUNTIFS(請求記録!$B$6:$B$3005,$A122,請求記録!$X$6:$X$3005,W$5,請求記録!$AD$6:$AD$3005,"保留中")&gt;0,"保留",IF(COUNTIFS(請求記録!$B$6:$B$3005,$A122,請求記録!$X$6:$X$3005,W$5)=0,"",SUMIFS(請求記録!$AC$6:$AC$3005,請求記録!$B$6:$B$3005,$A122,請求記録!$X$6:$X$3005,W$5))))</f>
        <v/>
      </c>
      <c r="X122" s="19">
        <f>IF($A122="","",IF(COUNTIFS(請求記録!$B$6:$B$3005,$A122,請求記録!$X$6:$X$3005,X$5,請求記録!$AD$6:$AD$3005,"保留中")&gt;0,"保留",IF(COUNTIFS(請求記録!$B$6:$B$3005,$A122,請求記録!$X$6:$X$3005,X$5)=0,"",SUMIFS(請求記録!$AC$6:$AC$3005,請求記録!$B$6:$B$3005,$A122,請求記録!$X$6:$X$3005,X$5))))</f>
        <v/>
      </c>
      <c r="Y122" s="19">
        <f>IF($A122="","",IF(COUNTIFS(請求記録!$B$6:$B$3005,$A122,請求記録!$X$6:$X$3005,Y$5,請求記録!$AD$6:$AD$3005,"保留中")&gt;0,"保留",IF(COUNTIFS(請求記録!$B$6:$B$3005,$A122,請求記録!$X$6:$X$3005,Y$5)=0,"",SUMIFS(請求記録!$AC$6:$AC$3005,請求記録!$B$6:$B$3005,$A122,請求記録!$X$6:$X$3005,Y$5))))</f>
        <v/>
      </c>
      <c r="Z122" s="19">
        <f>IF($A122="","",IF(COUNTIFS(請求記録!$B$6:$B$3005,$A122,請求記録!$X$6:$X$3005,Z$5,請求記録!$AD$6:$AD$3005,"保留中")&gt;0,"保留",IF(COUNTIFS(請求記録!$B$6:$B$3005,$A122,請求記録!$X$6:$X$3005,Z$5)=0,"",SUMIFS(請求記録!$AC$6:$AC$3005,請求記録!$B$6:$B$3005,$A122,請求記録!$X$6:$X$3005,Z$5))))</f>
        <v/>
      </c>
      <c r="AA122" s="19">
        <f>IF($A122="","",IF(COUNTIFS(請求記録!$B$6:$B$3005,$A122,請求記録!$X$6:$X$3005,AA$5,請求記録!$AD$6:$AD$3005,"保留中")&gt;0,"保留",IF(COUNTIFS(請求記録!$B$6:$B$3005,$A122,請求記録!$X$6:$X$3005,AA$5)=0,"",SUMIFS(請求記録!$AC$6:$AC$3005,請求記録!$B$6:$B$3005,$A122,請求記録!$X$6:$X$3005,AA$5))))</f>
        <v/>
      </c>
      <c r="AB122">
        <f>IF(職員マスタ!P122="保留中",職員マスタ!M122,"")</f>
        <v/>
      </c>
    </row>
    <row r="123">
      <c r="A123">
        <f>IF(職員マスタ!A123="","",職員マスタ!A123)</f>
        <v/>
      </c>
      <c r="B123">
        <f>IF($A123="","",職員マスタ!B123)</f>
        <v/>
      </c>
      <c r="C123">
        <f>IF($A123="","",職員マスタ!C123)</f>
        <v/>
      </c>
      <c r="D123" s="19">
        <f>IF($A123="","",IF(COUNTIFS(請求記録!$B$6:$B$3005,$A123,請求記録!$X$6:$X$3005,D$5,請求記録!$AD$6:$AD$3005,"保留中")&gt;0,"保留",IF(COUNTIFS(請求記録!$B$6:$B$3005,$A123,請求記録!$X$6:$X$3005,D$5)=0,"",SUMIFS(請求記録!$AC$6:$AC$3005,請求記録!$B$6:$B$3005,$A123,請求記録!$X$6:$X$3005,D$5))))</f>
        <v/>
      </c>
      <c r="E123" s="19">
        <f>IF($A123="","",IF(COUNTIFS(請求記録!$B$6:$B$3005,$A123,請求記録!$X$6:$X$3005,E$5,請求記録!$AD$6:$AD$3005,"保留中")&gt;0,"保留",IF(COUNTIFS(請求記録!$B$6:$B$3005,$A123,請求記録!$X$6:$X$3005,E$5)=0,"",SUMIFS(請求記録!$AC$6:$AC$3005,請求記録!$B$6:$B$3005,$A123,請求記録!$X$6:$X$3005,E$5))))</f>
        <v/>
      </c>
      <c r="F123" s="19">
        <f>IF($A123="","",IF(COUNTIFS(請求記録!$B$6:$B$3005,$A123,請求記録!$X$6:$X$3005,F$5,請求記録!$AD$6:$AD$3005,"保留中")&gt;0,"保留",IF(COUNTIFS(請求記録!$B$6:$B$3005,$A123,請求記録!$X$6:$X$3005,F$5)=0,"",SUMIFS(請求記録!$AC$6:$AC$3005,請求記録!$B$6:$B$3005,$A123,請求記録!$X$6:$X$3005,F$5))))</f>
        <v/>
      </c>
      <c r="G123" s="19">
        <f>IF($A123="","",IF(COUNTIFS(請求記録!$B$6:$B$3005,$A123,請求記録!$X$6:$X$3005,G$5,請求記録!$AD$6:$AD$3005,"保留中")&gt;0,"保留",IF(COUNTIFS(請求記録!$B$6:$B$3005,$A123,請求記録!$X$6:$X$3005,G$5)=0,"",SUMIFS(請求記録!$AC$6:$AC$3005,請求記録!$B$6:$B$3005,$A123,請求記録!$X$6:$X$3005,G$5))))</f>
        <v/>
      </c>
      <c r="H123" s="19">
        <f>IF($A123="","",IF(COUNTIFS(請求記録!$B$6:$B$3005,$A123,請求記録!$X$6:$X$3005,H$5,請求記録!$AD$6:$AD$3005,"保留中")&gt;0,"保留",IF(COUNTIFS(請求記録!$B$6:$B$3005,$A123,請求記録!$X$6:$X$3005,H$5)=0,"",SUMIFS(請求記録!$AC$6:$AC$3005,請求記録!$B$6:$B$3005,$A123,請求記録!$X$6:$X$3005,H$5))))</f>
        <v/>
      </c>
      <c r="I123" s="19">
        <f>IF($A123="","",IF(COUNTIFS(請求記録!$B$6:$B$3005,$A123,請求記録!$X$6:$X$3005,I$5,請求記録!$AD$6:$AD$3005,"保留中")&gt;0,"保留",IF(COUNTIFS(請求記録!$B$6:$B$3005,$A123,請求記録!$X$6:$X$3005,I$5)=0,"",SUMIFS(請求記録!$AC$6:$AC$3005,請求記録!$B$6:$B$3005,$A123,請求記録!$X$6:$X$3005,I$5))))</f>
        <v/>
      </c>
      <c r="J123" s="19">
        <f>IF($A123="","",IF(COUNTIFS(請求記録!$B$6:$B$3005,$A123,請求記録!$X$6:$X$3005,J$5,請求記録!$AD$6:$AD$3005,"保留中")&gt;0,"保留",IF(COUNTIFS(請求記録!$B$6:$B$3005,$A123,請求記録!$X$6:$X$3005,J$5)=0,"",SUMIFS(請求記録!$AC$6:$AC$3005,請求記録!$B$6:$B$3005,$A123,請求記録!$X$6:$X$3005,J$5))))</f>
        <v/>
      </c>
      <c r="K123" s="19">
        <f>IF($A123="","",IF(COUNTIFS(請求記録!$B$6:$B$3005,$A123,請求記録!$X$6:$X$3005,K$5,請求記録!$AD$6:$AD$3005,"保留中")&gt;0,"保留",IF(COUNTIFS(請求記録!$B$6:$B$3005,$A123,請求記録!$X$6:$X$3005,K$5)=0,"",SUMIFS(請求記録!$AC$6:$AC$3005,請求記録!$B$6:$B$3005,$A123,請求記録!$X$6:$X$3005,K$5))))</f>
        <v/>
      </c>
      <c r="L123" s="19">
        <f>IF($A123="","",IF(COUNTIFS(請求記録!$B$6:$B$3005,$A123,請求記録!$X$6:$X$3005,L$5,請求記録!$AD$6:$AD$3005,"保留中")&gt;0,"保留",IF(COUNTIFS(請求記録!$B$6:$B$3005,$A123,請求記録!$X$6:$X$3005,L$5)=0,"",SUMIFS(請求記録!$AC$6:$AC$3005,請求記録!$B$6:$B$3005,$A123,請求記録!$X$6:$X$3005,L$5))))</f>
        <v/>
      </c>
      <c r="M123" s="19">
        <f>IF($A123="","",IF(COUNTIFS(請求記録!$B$6:$B$3005,$A123,請求記録!$X$6:$X$3005,M$5,請求記録!$AD$6:$AD$3005,"保留中")&gt;0,"保留",IF(COUNTIFS(請求記録!$B$6:$B$3005,$A123,請求記録!$X$6:$X$3005,M$5)=0,"",SUMIFS(請求記録!$AC$6:$AC$3005,請求記録!$B$6:$B$3005,$A123,請求記録!$X$6:$X$3005,M$5))))</f>
        <v/>
      </c>
      <c r="N123" s="19">
        <f>IF($A123="","",IF(COUNTIFS(請求記録!$B$6:$B$3005,$A123,請求記録!$X$6:$X$3005,N$5,請求記録!$AD$6:$AD$3005,"保留中")&gt;0,"保留",IF(COUNTIFS(請求記録!$B$6:$B$3005,$A123,請求記録!$X$6:$X$3005,N$5)=0,"",SUMIFS(請求記録!$AC$6:$AC$3005,請求記録!$B$6:$B$3005,$A123,請求記録!$X$6:$X$3005,N$5))))</f>
        <v/>
      </c>
      <c r="O123" s="19">
        <f>IF($A123="","",IF(COUNTIFS(請求記録!$B$6:$B$3005,$A123,請求記録!$X$6:$X$3005,O$5,請求記録!$AD$6:$AD$3005,"保留中")&gt;0,"保留",IF(COUNTIFS(請求記録!$B$6:$B$3005,$A123,請求記録!$X$6:$X$3005,O$5)=0,"",SUMIFS(請求記録!$AC$6:$AC$3005,請求記録!$B$6:$B$3005,$A123,請求記録!$X$6:$X$3005,O$5))))</f>
        <v/>
      </c>
      <c r="P123" s="19">
        <f>IF($A123="","",IF(COUNTIFS(請求記録!$B$6:$B$3005,$A123,請求記録!$X$6:$X$3005,P$5,請求記録!$AD$6:$AD$3005,"保留中")&gt;0,"保留",IF(COUNTIFS(請求記録!$B$6:$B$3005,$A123,請求記録!$X$6:$X$3005,P$5)=0,"",SUMIFS(請求記録!$AC$6:$AC$3005,請求記録!$B$6:$B$3005,$A123,請求記録!$X$6:$X$3005,P$5))))</f>
        <v/>
      </c>
      <c r="Q123" s="19">
        <f>IF($A123="","",IF(COUNTIFS(請求記録!$B$6:$B$3005,$A123,請求記録!$X$6:$X$3005,Q$5,請求記録!$AD$6:$AD$3005,"保留中")&gt;0,"保留",IF(COUNTIFS(請求記録!$B$6:$B$3005,$A123,請求記録!$X$6:$X$3005,Q$5)=0,"",SUMIFS(請求記録!$AC$6:$AC$3005,請求記録!$B$6:$B$3005,$A123,請求記録!$X$6:$X$3005,Q$5))))</f>
        <v/>
      </c>
      <c r="R123" s="19">
        <f>IF($A123="","",IF(COUNTIFS(請求記録!$B$6:$B$3005,$A123,請求記録!$X$6:$X$3005,R$5,請求記録!$AD$6:$AD$3005,"保留中")&gt;0,"保留",IF(COUNTIFS(請求記録!$B$6:$B$3005,$A123,請求記録!$X$6:$X$3005,R$5)=0,"",SUMIFS(請求記録!$AC$6:$AC$3005,請求記録!$B$6:$B$3005,$A123,請求記録!$X$6:$X$3005,R$5))))</f>
        <v/>
      </c>
      <c r="S123" s="19">
        <f>IF($A123="","",IF(COUNTIFS(請求記録!$B$6:$B$3005,$A123,請求記録!$X$6:$X$3005,S$5,請求記録!$AD$6:$AD$3005,"保留中")&gt;0,"保留",IF(COUNTIFS(請求記録!$B$6:$B$3005,$A123,請求記録!$X$6:$X$3005,S$5)=0,"",SUMIFS(請求記録!$AC$6:$AC$3005,請求記録!$B$6:$B$3005,$A123,請求記録!$X$6:$X$3005,S$5))))</f>
        <v/>
      </c>
      <c r="T123" s="19">
        <f>IF($A123="","",IF(COUNTIFS(請求記録!$B$6:$B$3005,$A123,請求記録!$X$6:$X$3005,T$5,請求記録!$AD$6:$AD$3005,"保留中")&gt;0,"保留",IF(COUNTIFS(請求記録!$B$6:$B$3005,$A123,請求記録!$X$6:$X$3005,T$5)=0,"",SUMIFS(請求記録!$AC$6:$AC$3005,請求記録!$B$6:$B$3005,$A123,請求記録!$X$6:$X$3005,T$5))))</f>
        <v/>
      </c>
      <c r="U123" s="19">
        <f>IF($A123="","",IF(COUNTIFS(請求記録!$B$6:$B$3005,$A123,請求記録!$X$6:$X$3005,U$5,請求記録!$AD$6:$AD$3005,"保留中")&gt;0,"保留",IF(COUNTIFS(請求記録!$B$6:$B$3005,$A123,請求記録!$X$6:$X$3005,U$5)=0,"",SUMIFS(請求記録!$AC$6:$AC$3005,請求記録!$B$6:$B$3005,$A123,請求記録!$X$6:$X$3005,U$5))))</f>
        <v/>
      </c>
      <c r="V123" s="19">
        <f>IF($A123="","",IF(COUNTIFS(請求記録!$B$6:$B$3005,$A123,請求記録!$X$6:$X$3005,V$5,請求記録!$AD$6:$AD$3005,"保留中")&gt;0,"保留",IF(COUNTIFS(請求記録!$B$6:$B$3005,$A123,請求記録!$X$6:$X$3005,V$5)=0,"",SUMIFS(請求記録!$AC$6:$AC$3005,請求記録!$B$6:$B$3005,$A123,請求記録!$X$6:$X$3005,V$5))))</f>
        <v/>
      </c>
      <c r="W123" s="19">
        <f>IF($A123="","",IF(COUNTIFS(請求記録!$B$6:$B$3005,$A123,請求記録!$X$6:$X$3005,W$5,請求記録!$AD$6:$AD$3005,"保留中")&gt;0,"保留",IF(COUNTIFS(請求記録!$B$6:$B$3005,$A123,請求記録!$X$6:$X$3005,W$5)=0,"",SUMIFS(請求記録!$AC$6:$AC$3005,請求記録!$B$6:$B$3005,$A123,請求記録!$X$6:$X$3005,W$5))))</f>
        <v/>
      </c>
      <c r="X123" s="19">
        <f>IF($A123="","",IF(COUNTIFS(請求記録!$B$6:$B$3005,$A123,請求記録!$X$6:$X$3005,X$5,請求記録!$AD$6:$AD$3005,"保留中")&gt;0,"保留",IF(COUNTIFS(請求記録!$B$6:$B$3005,$A123,請求記録!$X$6:$X$3005,X$5)=0,"",SUMIFS(請求記録!$AC$6:$AC$3005,請求記録!$B$6:$B$3005,$A123,請求記録!$X$6:$X$3005,X$5))))</f>
        <v/>
      </c>
      <c r="Y123" s="19">
        <f>IF($A123="","",IF(COUNTIFS(請求記録!$B$6:$B$3005,$A123,請求記録!$X$6:$X$3005,Y$5,請求記録!$AD$6:$AD$3005,"保留中")&gt;0,"保留",IF(COUNTIFS(請求記録!$B$6:$B$3005,$A123,請求記録!$X$6:$X$3005,Y$5)=0,"",SUMIFS(請求記録!$AC$6:$AC$3005,請求記録!$B$6:$B$3005,$A123,請求記録!$X$6:$X$3005,Y$5))))</f>
        <v/>
      </c>
      <c r="Z123" s="19">
        <f>IF($A123="","",IF(COUNTIFS(請求記録!$B$6:$B$3005,$A123,請求記録!$X$6:$X$3005,Z$5,請求記録!$AD$6:$AD$3005,"保留中")&gt;0,"保留",IF(COUNTIFS(請求記録!$B$6:$B$3005,$A123,請求記録!$X$6:$X$3005,Z$5)=0,"",SUMIFS(請求記録!$AC$6:$AC$3005,請求記録!$B$6:$B$3005,$A123,請求記録!$X$6:$X$3005,Z$5))))</f>
        <v/>
      </c>
      <c r="AA123" s="19">
        <f>IF($A123="","",IF(COUNTIFS(請求記録!$B$6:$B$3005,$A123,請求記録!$X$6:$X$3005,AA$5,請求記録!$AD$6:$AD$3005,"保留中")&gt;0,"保留",IF(COUNTIFS(請求記録!$B$6:$B$3005,$A123,請求記録!$X$6:$X$3005,AA$5)=0,"",SUMIFS(請求記録!$AC$6:$AC$3005,請求記録!$B$6:$B$3005,$A123,請求記録!$X$6:$X$3005,AA$5))))</f>
        <v/>
      </c>
      <c r="AB123">
        <f>IF(職員マスタ!P123="保留中",職員マスタ!M123,"")</f>
        <v/>
      </c>
    </row>
    <row r="124">
      <c r="A124">
        <f>IF(職員マスタ!A124="","",職員マスタ!A124)</f>
        <v/>
      </c>
      <c r="B124">
        <f>IF($A124="","",職員マスタ!B124)</f>
        <v/>
      </c>
      <c r="C124">
        <f>IF($A124="","",職員マスタ!C124)</f>
        <v/>
      </c>
      <c r="D124" s="19">
        <f>IF($A124="","",IF(COUNTIFS(請求記録!$B$6:$B$3005,$A124,請求記録!$X$6:$X$3005,D$5,請求記録!$AD$6:$AD$3005,"保留中")&gt;0,"保留",IF(COUNTIFS(請求記録!$B$6:$B$3005,$A124,請求記録!$X$6:$X$3005,D$5)=0,"",SUMIFS(請求記録!$AC$6:$AC$3005,請求記録!$B$6:$B$3005,$A124,請求記録!$X$6:$X$3005,D$5))))</f>
        <v/>
      </c>
      <c r="E124" s="19">
        <f>IF($A124="","",IF(COUNTIFS(請求記録!$B$6:$B$3005,$A124,請求記録!$X$6:$X$3005,E$5,請求記録!$AD$6:$AD$3005,"保留中")&gt;0,"保留",IF(COUNTIFS(請求記録!$B$6:$B$3005,$A124,請求記録!$X$6:$X$3005,E$5)=0,"",SUMIFS(請求記録!$AC$6:$AC$3005,請求記録!$B$6:$B$3005,$A124,請求記録!$X$6:$X$3005,E$5))))</f>
        <v/>
      </c>
      <c r="F124" s="19">
        <f>IF($A124="","",IF(COUNTIFS(請求記録!$B$6:$B$3005,$A124,請求記録!$X$6:$X$3005,F$5,請求記録!$AD$6:$AD$3005,"保留中")&gt;0,"保留",IF(COUNTIFS(請求記録!$B$6:$B$3005,$A124,請求記録!$X$6:$X$3005,F$5)=0,"",SUMIFS(請求記録!$AC$6:$AC$3005,請求記録!$B$6:$B$3005,$A124,請求記録!$X$6:$X$3005,F$5))))</f>
        <v/>
      </c>
      <c r="G124" s="19">
        <f>IF($A124="","",IF(COUNTIFS(請求記録!$B$6:$B$3005,$A124,請求記録!$X$6:$X$3005,G$5,請求記録!$AD$6:$AD$3005,"保留中")&gt;0,"保留",IF(COUNTIFS(請求記録!$B$6:$B$3005,$A124,請求記録!$X$6:$X$3005,G$5)=0,"",SUMIFS(請求記録!$AC$6:$AC$3005,請求記録!$B$6:$B$3005,$A124,請求記録!$X$6:$X$3005,G$5))))</f>
        <v/>
      </c>
      <c r="H124" s="19">
        <f>IF($A124="","",IF(COUNTIFS(請求記録!$B$6:$B$3005,$A124,請求記録!$X$6:$X$3005,H$5,請求記録!$AD$6:$AD$3005,"保留中")&gt;0,"保留",IF(COUNTIFS(請求記録!$B$6:$B$3005,$A124,請求記録!$X$6:$X$3005,H$5)=0,"",SUMIFS(請求記録!$AC$6:$AC$3005,請求記録!$B$6:$B$3005,$A124,請求記録!$X$6:$X$3005,H$5))))</f>
        <v/>
      </c>
      <c r="I124" s="19">
        <f>IF($A124="","",IF(COUNTIFS(請求記録!$B$6:$B$3005,$A124,請求記録!$X$6:$X$3005,I$5,請求記録!$AD$6:$AD$3005,"保留中")&gt;0,"保留",IF(COUNTIFS(請求記録!$B$6:$B$3005,$A124,請求記録!$X$6:$X$3005,I$5)=0,"",SUMIFS(請求記録!$AC$6:$AC$3005,請求記録!$B$6:$B$3005,$A124,請求記録!$X$6:$X$3005,I$5))))</f>
        <v/>
      </c>
      <c r="J124" s="19">
        <f>IF($A124="","",IF(COUNTIFS(請求記録!$B$6:$B$3005,$A124,請求記録!$X$6:$X$3005,J$5,請求記録!$AD$6:$AD$3005,"保留中")&gt;0,"保留",IF(COUNTIFS(請求記録!$B$6:$B$3005,$A124,請求記録!$X$6:$X$3005,J$5)=0,"",SUMIFS(請求記録!$AC$6:$AC$3005,請求記録!$B$6:$B$3005,$A124,請求記録!$X$6:$X$3005,J$5))))</f>
        <v/>
      </c>
      <c r="K124" s="19">
        <f>IF($A124="","",IF(COUNTIFS(請求記録!$B$6:$B$3005,$A124,請求記録!$X$6:$X$3005,K$5,請求記録!$AD$6:$AD$3005,"保留中")&gt;0,"保留",IF(COUNTIFS(請求記録!$B$6:$B$3005,$A124,請求記録!$X$6:$X$3005,K$5)=0,"",SUMIFS(請求記録!$AC$6:$AC$3005,請求記録!$B$6:$B$3005,$A124,請求記録!$X$6:$X$3005,K$5))))</f>
        <v/>
      </c>
      <c r="L124" s="19">
        <f>IF($A124="","",IF(COUNTIFS(請求記録!$B$6:$B$3005,$A124,請求記録!$X$6:$X$3005,L$5,請求記録!$AD$6:$AD$3005,"保留中")&gt;0,"保留",IF(COUNTIFS(請求記録!$B$6:$B$3005,$A124,請求記録!$X$6:$X$3005,L$5)=0,"",SUMIFS(請求記録!$AC$6:$AC$3005,請求記録!$B$6:$B$3005,$A124,請求記録!$X$6:$X$3005,L$5))))</f>
        <v/>
      </c>
      <c r="M124" s="19">
        <f>IF($A124="","",IF(COUNTIFS(請求記録!$B$6:$B$3005,$A124,請求記録!$X$6:$X$3005,M$5,請求記録!$AD$6:$AD$3005,"保留中")&gt;0,"保留",IF(COUNTIFS(請求記録!$B$6:$B$3005,$A124,請求記録!$X$6:$X$3005,M$5)=0,"",SUMIFS(請求記録!$AC$6:$AC$3005,請求記録!$B$6:$B$3005,$A124,請求記録!$X$6:$X$3005,M$5))))</f>
        <v/>
      </c>
      <c r="N124" s="19">
        <f>IF($A124="","",IF(COUNTIFS(請求記録!$B$6:$B$3005,$A124,請求記録!$X$6:$X$3005,N$5,請求記録!$AD$6:$AD$3005,"保留中")&gt;0,"保留",IF(COUNTIFS(請求記録!$B$6:$B$3005,$A124,請求記録!$X$6:$X$3005,N$5)=0,"",SUMIFS(請求記録!$AC$6:$AC$3005,請求記録!$B$6:$B$3005,$A124,請求記録!$X$6:$X$3005,N$5))))</f>
        <v/>
      </c>
      <c r="O124" s="19">
        <f>IF($A124="","",IF(COUNTIFS(請求記録!$B$6:$B$3005,$A124,請求記録!$X$6:$X$3005,O$5,請求記録!$AD$6:$AD$3005,"保留中")&gt;0,"保留",IF(COUNTIFS(請求記録!$B$6:$B$3005,$A124,請求記録!$X$6:$X$3005,O$5)=0,"",SUMIFS(請求記録!$AC$6:$AC$3005,請求記録!$B$6:$B$3005,$A124,請求記録!$X$6:$X$3005,O$5))))</f>
        <v/>
      </c>
      <c r="P124" s="19">
        <f>IF($A124="","",IF(COUNTIFS(請求記録!$B$6:$B$3005,$A124,請求記録!$X$6:$X$3005,P$5,請求記録!$AD$6:$AD$3005,"保留中")&gt;0,"保留",IF(COUNTIFS(請求記録!$B$6:$B$3005,$A124,請求記録!$X$6:$X$3005,P$5)=0,"",SUMIFS(請求記録!$AC$6:$AC$3005,請求記録!$B$6:$B$3005,$A124,請求記録!$X$6:$X$3005,P$5))))</f>
        <v/>
      </c>
      <c r="Q124" s="19">
        <f>IF($A124="","",IF(COUNTIFS(請求記録!$B$6:$B$3005,$A124,請求記録!$X$6:$X$3005,Q$5,請求記録!$AD$6:$AD$3005,"保留中")&gt;0,"保留",IF(COUNTIFS(請求記録!$B$6:$B$3005,$A124,請求記録!$X$6:$X$3005,Q$5)=0,"",SUMIFS(請求記録!$AC$6:$AC$3005,請求記録!$B$6:$B$3005,$A124,請求記録!$X$6:$X$3005,Q$5))))</f>
        <v/>
      </c>
      <c r="R124" s="19">
        <f>IF($A124="","",IF(COUNTIFS(請求記録!$B$6:$B$3005,$A124,請求記録!$X$6:$X$3005,R$5,請求記録!$AD$6:$AD$3005,"保留中")&gt;0,"保留",IF(COUNTIFS(請求記録!$B$6:$B$3005,$A124,請求記録!$X$6:$X$3005,R$5)=0,"",SUMIFS(請求記録!$AC$6:$AC$3005,請求記録!$B$6:$B$3005,$A124,請求記録!$X$6:$X$3005,R$5))))</f>
        <v/>
      </c>
      <c r="S124" s="19">
        <f>IF($A124="","",IF(COUNTIFS(請求記録!$B$6:$B$3005,$A124,請求記録!$X$6:$X$3005,S$5,請求記録!$AD$6:$AD$3005,"保留中")&gt;0,"保留",IF(COUNTIFS(請求記録!$B$6:$B$3005,$A124,請求記録!$X$6:$X$3005,S$5)=0,"",SUMIFS(請求記録!$AC$6:$AC$3005,請求記録!$B$6:$B$3005,$A124,請求記録!$X$6:$X$3005,S$5))))</f>
        <v/>
      </c>
      <c r="T124" s="19">
        <f>IF($A124="","",IF(COUNTIFS(請求記録!$B$6:$B$3005,$A124,請求記録!$X$6:$X$3005,T$5,請求記録!$AD$6:$AD$3005,"保留中")&gt;0,"保留",IF(COUNTIFS(請求記録!$B$6:$B$3005,$A124,請求記録!$X$6:$X$3005,T$5)=0,"",SUMIFS(請求記録!$AC$6:$AC$3005,請求記録!$B$6:$B$3005,$A124,請求記録!$X$6:$X$3005,T$5))))</f>
        <v/>
      </c>
      <c r="U124" s="19">
        <f>IF($A124="","",IF(COUNTIFS(請求記録!$B$6:$B$3005,$A124,請求記録!$X$6:$X$3005,U$5,請求記録!$AD$6:$AD$3005,"保留中")&gt;0,"保留",IF(COUNTIFS(請求記録!$B$6:$B$3005,$A124,請求記録!$X$6:$X$3005,U$5)=0,"",SUMIFS(請求記録!$AC$6:$AC$3005,請求記録!$B$6:$B$3005,$A124,請求記録!$X$6:$X$3005,U$5))))</f>
        <v/>
      </c>
      <c r="V124" s="19">
        <f>IF($A124="","",IF(COUNTIFS(請求記録!$B$6:$B$3005,$A124,請求記録!$X$6:$X$3005,V$5,請求記録!$AD$6:$AD$3005,"保留中")&gt;0,"保留",IF(COUNTIFS(請求記録!$B$6:$B$3005,$A124,請求記録!$X$6:$X$3005,V$5)=0,"",SUMIFS(請求記録!$AC$6:$AC$3005,請求記録!$B$6:$B$3005,$A124,請求記録!$X$6:$X$3005,V$5))))</f>
        <v/>
      </c>
      <c r="W124" s="19">
        <f>IF($A124="","",IF(COUNTIFS(請求記録!$B$6:$B$3005,$A124,請求記録!$X$6:$X$3005,W$5,請求記録!$AD$6:$AD$3005,"保留中")&gt;0,"保留",IF(COUNTIFS(請求記録!$B$6:$B$3005,$A124,請求記録!$X$6:$X$3005,W$5)=0,"",SUMIFS(請求記録!$AC$6:$AC$3005,請求記録!$B$6:$B$3005,$A124,請求記録!$X$6:$X$3005,W$5))))</f>
        <v/>
      </c>
      <c r="X124" s="19">
        <f>IF($A124="","",IF(COUNTIFS(請求記録!$B$6:$B$3005,$A124,請求記録!$X$6:$X$3005,X$5,請求記録!$AD$6:$AD$3005,"保留中")&gt;0,"保留",IF(COUNTIFS(請求記録!$B$6:$B$3005,$A124,請求記録!$X$6:$X$3005,X$5)=0,"",SUMIFS(請求記録!$AC$6:$AC$3005,請求記録!$B$6:$B$3005,$A124,請求記録!$X$6:$X$3005,X$5))))</f>
        <v/>
      </c>
      <c r="Y124" s="19">
        <f>IF($A124="","",IF(COUNTIFS(請求記録!$B$6:$B$3005,$A124,請求記録!$X$6:$X$3005,Y$5,請求記録!$AD$6:$AD$3005,"保留中")&gt;0,"保留",IF(COUNTIFS(請求記録!$B$6:$B$3005,$A124,請求記録!$X$6:$X$3005,Y$5)=0,"",SUMIFS(請求記録!$AC$6:$AC$3005,請求記録!$B$6:$B$3005,$A124,請求記録!$X$6:$X$3005,Y$5))))</f>
        <v/>
      </c>
      <c r="Z124" s="19">
        <f>IF($A124="","",IF(COUNTIFS(請求記録!$B$6:$B$3005,$A124,請求記録!$X$6:$X$3005,Z$5,請求記録!$AD$6:$AD$3005,"保留中")&gt;0,"保留",IF(COUNTIFS(請求記録!$B$6:$B$3005,$A124,請求記録!$X$6:$X$3005,Z$5)=0,"",SUMIFS(請求記録!$AC$6:$AC$3005,請求記録!$B$6:$B$3005,$A124,請求記録!$X$6:$X$3005,Z$5))))</f>
        <v/>
      </c>
      <c r="AA124" s="19">
        <f>IF($A124="","",IF(COUNTIFS(請求記録!$B$6:$B$3005,$A124,請求記録!$X$6:$X$3005,AA$5,請求記録!$AD$6:$AD$3005,"保留中")&gt;0,"保留",IF(COUNTIFS(請求記録!$B$6:$B$3005,$A124,請求記録!$X$6:$X$3005,AA$5)=0,"",SUMIFS(請求記録!$AC$6:$AC$3005,請求記録!$B$6:$B$3005,$A124,請求記録!$X$6:$X$3005,AA$5))))</f>
        <v/>
      </c>
      <c r="AB124">
        <f>IF(職員マスタ!P124="保留中",職員マスタ!M124,"")</f>
        <v/>
      </c>
    </row>
    <row r="125">
      <c r="A125">
        <f>IF(職員マスタ!A125="","",職員マスタ!A125)</f>
        <v/>
      </c>
      <c r="B125">
        <f>IF($A125="","",職員マスタ!B125)</f>
        <v/>
      </c>
      <c r="C125">
        <f>IF($A125="","",職員マスタ!C125)</f>
        <v/>
      </c>
      <c r="D125" s="19">
        <f>IF($A125="","",IF(COUNTIFS(請求記録!$B$6:$B$3005,$A125,請求記録!$X$6:$X$3005,D$5,請求記録!$AD$6:$AD$3005,"保留中")&gt;0,"保留",IF(COUNTIFS(請求記録!$B$6:$B$3005,$A125,請求記録!$X$6:$X$3005,D$5)=0,"",SUMIFS(請求記録!$AC$6:$AC$3005,請求記録!$B$6:$B$3005,$A125,請求記録!$X$6:$X$3005,D$5))))</f>
        <v/>
      </c>
      <c r="E125" s="19">
        <f>IF($A125="","",IF(COUNTIFS(請求記録!$B$6:$B$3005,$A125,請求記録!$X$6:$X$3005,E$5,請求記録!$AD$6:$AD$3005,"保留中")&gt;0,"保留",IF(COUNTIFS(請求記録!$B$6:$B$3005,$A125,請求記録!$X$6:$X$3005,E$5)=0,"",SUMIFS(請求記録!$AC$6:$AC$3005,請求記録!$B$6:$B$3005,$A125,請求記録!$X$6:$X$3005,E$5))))</f>
        <v/>
      </c>
      <c r="F125" s="19">
        <f>IF($A125="","",IF(COUNTIFS(請求記録!$B$6:$B$3005,$A125,請求記録!$X$6:$X$3005,F$5,請求記録!$AD$6:$AD$3005,"保留中")&gt;0,"保留",IF(COUNTIFS(請求記録!$B$6:$B$3005,$A125,請求記録!$X$6:$X$3005,F$5)=0,"",SUMIFS(請求記録!$AC$6:$AC$3005,請求記録!$B$6:$B$3005,$A125,請求記録!$X$6:$X$3005,F$5))))</f>
        <v/>
      </c>
      <c r="G125" s="19">
        <f>IF($A125="","",IF(COUNTIFS(請求記録!$B$6:$B$3005,$A125,請求記録!$X$6:$X$3005,G$5,請求記録!$AD$6:$AD$3005,"保留中")&gt;0,"保留",IF(COUNTIFS(請求記録!$B$6:$B$3005,$A125,請求記録!$X$6:$X$3005,G$5)=0,"",SUMIFS(請求記録!$AC$6:$AC$3005,請求記録!$B$6:$B$3005,$A125,請求記録!$X$6:$X$3005,G$5))))</f>
        <v/>
      </c>
      <c r="H125" s="19">
        <f>IF($A125="","",IF(COUNTIFS(請求記録!$B$6:$B$3005,$A125,請求記録!$X$6:$X$3005,H$5,請求記録!$AD$6:$AD$3005,"保留中")&gt;0,"保留",IF(COUNTIFS(請求記録!$B$6:$B$3005,$A125,請求記録!$X$6:$X$3005,H$5)=0,"",SUMIFS(請求記録!$AC$6:$AC$3005,請求記録!$B$6:$B$3005,$A125,請求記録!$X$6:$X$3005,H$5))))</f>
        <v/>
      </c>
      <c r="I125" s="19">
        <f>IF($A125="","",IF(COUNTIFS(請求記録!$B$6:$B$3005,$A125,請求記録!$X$6:$X$3005,I$5,請求記録!$AD$6:$AD$3005,"保留中")&gt;0,"保留",IF(COUNTIFS(請求記録!$B$6:$B$3005,$A125,請求記録!$X$6:$X$3005,I$5)=0,"",SUMIFS(請求記録!$AC$6:$AC$3005,請求記録!$B$6:$B$3005,$A125,請求記録!$X$6:$X$3005,I$5))))</f>
        <v/>
      </c>
      <c r="J125" s="19">
        <f>IF($A125="","",IF(COUNTIFS(請求記録!$B$6:$B$3005,$A125,請求記録!$X$6:$X$3005,J$5,請求記録!$AD$6:$AD$3005,"保留中")&gt;0,"保留",IF(COUNTIFS(請求記録!$B$6:$B$3005,$A125,請求記録!$X$6:$X$3005,J$5)=0,"",SUMIFS(請求記録!$AC$6:$AC$3005,請求記録!$B$6:$B$3005,$A125,請求記録!$X$6:$X$3005,J$5))))</f>
        <v/>
      </c>
      <c r="K125" s="19">
        <f>IF($A125="","",IF(COUNTIFS(請求記録!$B$6:$B$3005,$A125,請求記録!$X$6:$X$3005,K$5,請求記録!$AD$6:$AD$3005,"保留中")&gt;0,"保留",IF(COUNTIFS(請求記録!$B$6:$B$3005,$A125,請求記録!$X$6:$X$3005,K$5)=0,"",SUMIFS(請求記録!$AC$6:$AC$3005,請求記録!$B$6:$B$3005,$A125,請求記録!$X$6:$X$3005,K$5))))</f>
        <v/>
      </c>
      <c r="L125" s="19">
        <f>IF($A125="","",IF(COUNTIFS(請求記録!$B$6:$B$3005,$A125,請求記録!$X$6:$X$3005,L$5,請求記録!$AD$6:$AD$3005,"保留中")&gt;0,"保留",IF(COUNTIFS(請求記録!$B$6:$B$3005,$A125,請求記録!$X$6:$X$3005,L$5)=0,"",SUMIFS(請求記録!$AC$6:$AC$3005,請求記録!$B$6:$B$3005,$A125,請求記録!$X$6:$X$3005,L$5))))</f>
        <v/>
      </c>
      <c r="M125" s="19">
        <f>IF($A125="","",IF(COUNTIFS(請求記録!$B$6:$B$3005,$A125,請求記録!$X$6:$X$3005,M$5,請求記録!$AD$6:$AD$3005,"保留中")&gt;0,"保留",IF(COUNTIFS(請求記録!$B$6:$B$3005,$A125,請求記録!$X$6:$X$3005,M$5)=0,"",SUMIFS(請求記録!$AC$6:$AC$3005,請求記録!$B$6:$B$3005,$A125,請求記録!$X$6:$X$3005,M$5))))</f>
        <v/>
      </c>
      <c r="N125" s="19">
        <f>IF($A125="","",IF(COUNTIFS(請求記録!$B$6:$B$3005,$A125,請求記録!$X$6:$X$3005,N$5,請求記録!$AD$6:$AD$3005,"保留中")&gt;0,"保留",IF(COUNTIFS(請求記録!$B$6:$B$3005,$A125,請求記録!$X$6:$X$3005,N$5)=0,"",SUMIFS(請求記録!$AC$6:$AC$3005,請求記録!$B$6:$B$3005,$A125,請求記録!$X$6:$X$3005,N$5))))</f>
        <v/>
      </c>
      <c r="O125" s="19">
        <f>IF($A125="","",IF(COUNTIFS(請求記録!$B$6:$B$3005,$A125,請求記録!$X$6:$X$3005,O$5,請求記録!$AD$6:$AD$3005,"保留中")&gt;0,"保留",IF(COUNTIFS(請求記録!$B$6:$B$3005,$A125,請求記録!$X$6:$X$3005,O$5)=0,"",SUMIFS(請求記録!$AC$6:$AC$3005,請求記録!$B$6:$B$3005,$A125,請求記録!$X$6:$X$3005,O$5))))</f>
        <v/>
      </c>
      <c r="P125" s="19">
        <f>IF($A125="","",IF(COUNTIFS(請求記録!$B$6:$B$3005,$A125,請求記録!$X$6:$X$3005,P$5,請求記録!$AD$6:$AD$3005,"保留中")&gt;0,"保留",IF(COUNTIFS(請求記録!$B$6:$B$3005,$A125,請求記録!$X$6:$X$3005,P$5)=0,"",SUMIFS(請求記録!$AC$6:$AC$3005,請求記録!$B$6:$B$3005,$A125,請求記録!$X$6:$X$3005,P$5))))</f>
        <v/>
      </c>
      <c r="Q125" s="19">
        <f>IF($A125="","",IF(COUNTIFS(請求記録!$B$6:$B$3005,$A125,請求記録!$X$6:$X$3005,Q$5,請求記録!$AD$6:$AD$3005,"保留中")&gt;0,"保留",IF(COUNTIFS(請求記録!$B$6:$B$3005,$A125,請求記録!$X$6:$X$3005,Q$5)=0,"",SUMIFS(請求記録!$AC$6:$AC$3005,請求記録!$B$6:$B$3005,$A125,請求記録!$X$6:$X$3005,Q$5))))</f>
        <v/>
      </c>
      <c r="R125" s="19">
        <f>IF($A125="","",IF(COUNTIFS(請求記録!$B$6:$B$3005,$A125,請求記録!$X$6:$X$3005,R$5,請求記録!$AD$6:$AD$3005,"保留中")&gt;0,"保留",IF(COUNTIFS(請求記録!$B$6:$B$3005,$A125,請求記録!$X$6:$X$3005,R$5)=0,"",SUMIFS(請求記録!$AC$6:$AC$3005,請求記録!$B$6:$B$3005,$A125,請求記録!$X$6:$X$3005,R$5))))</f>
        <v/>
      </c>
      <c r="S125" s="19">
        <f>IF($A125="","",IF(COUNTIFS(請求記録!$B$6:$B$3005,$A125,請求記録!$X$6:$X$3005,S$5,請求記録!$AD$6:$AD$3005,"保留中")&gt;0,"保留",IF(COUNTIFS(請求記録!$B$6:$B$3005,$A125,請求記録!$X$6:$X$3005,S$5)=0,"",SUMIFS(請求記録!$AC$6:$AC$3005,請求記録!$B$6:$B$3005,$A125,請求記録!$X$6:$X$3005,S$5))))</f>
        <v/>
      </c>
      <c r="T125" s="19">
        <f>IF($A125="","",IF(COUNTIFS(請求記録!$B$6:$B$3005,$A125,請求記録!$X$6:$X$3005,T$5,請求記録!$AD$6:$AD$3005,"保留中")&gt;0,"保留",IF(COUNTIFS(請求記録!$B$6:$B$3005,$A125,請求記録!$X$6:$X$3005,T$5)=0,"",SUMIFS(請求記録!$AC$6:$AC$3005,請求記録!$B$6:$B$3005,$A125,請求記録!$X$6:$X$3005,T$5))))</f>
        <v/>
      </c>
      <c r="U125" s="19">
        <f>IF($A125="","",IF(COUNTIFS(請求記録!$B$6:$B$3005,$A125,請求記録!$X$6:$X$3005,U$5,請求記録!$AD$6:$AD$3005,"保留中")&gt;0,"保留",IF(COUNTIFS(請求記録!$B$6:$B$3005,$A125,請求記録!$X$6:$X$3005,U$5)=0,"",SUMIFS(請求記録!$AC$6:$AC$3005,請求記録!$B$6:$B$3005,$A125,請求記録!$X$6:$X$3005,U$5))))</f>
        <v/>
      </c>
      <c r="V125" s="19">
        <f>IF($A125="","",IF(COUNTIFS(請求記録!$B$6:$B$3005,$A125,請求記録!$X$6:$X$3005,V$5,請求記録!$AD$6:$AD$3005,"保留中")&gt;0,"保留",IF(COUNTIFS(請求記録!$B$6:$B$3005,$A125,請求記録!$X$6:$X$3005,V$5)=0,"",SUMIFS(請求記録!$AC$6:$AC$3005,請求記録!$B$6:$B$3005,$A125,請求記録!$X$6:$X$3005,V$5))))</f>
        <v/>
      </c>
      <c r="W125" s="19">
        <f>IF($A125="","",IF(COUNTIFS(請求記録!$B$6:$B$3005,$A125,請求記録!$X$6:$X$3005,W$5,請求記録!$AD$6:$AD$3005,"保留中")&gt;0,"保留",IF(COUNTIFS(請求記録!$B$6:$B$3005,$A125,請求記録!$X$6:$X$3005,W$5)=0,"",SUMIFS(請求記録!$AC$6:$AC$3005,請求記録!$B$6:$B$3005,$A125,請求記録!$X$6:$X$3005,W$5))))</f>
        <v/>
      </c>
      <c r="X125" s="19">
        <f>IF($A125="","",IF(COUNTIFS(請求記録!$B$6:$B$3005,$A125,請求記録!$X$6:$X$3005,X$5,請求記録!$AD$6:$AD$3005,"保留中")&gt;0,"保留",IF(COUNTIFS(請求記録!$B$6:$B$3005,$A125,請求記録!$X$6:$X$3005,X$5)=0,"",SUMIFS(請求記録!$AC$6:$AC$3005,請求記録!$B$6:$B$3005,$A125,請求記録!$X$6:$X$3005,X$5))))</f>
        <v/>
      </c>
      <c r="Y125" s="19">
        <f>IF($A125="","",IF(COUNTIFS(請求記録!$B$6:$B$3005,$A125,請求記録!$X$6:$X$3005,Y$5,請求記録!$AD$6:$AD$3005,"保留中")&gt;0,"保留",IF(COUNTIFS(請求記録!$B$6:$B$3005,$A125,請求記録!$X$6:$X$3005,Y$5)=0,"",SUMIFS(請求記録!$AC$6:$AC$3005,請求記録!$B$6:$B$3005,$A125,請求記録!$X$6:$X$3005,Y$5))))</f>
        <v/>
      </c>
      <c r="Z125" s="19">
        <f>IF($A125="","",IF(COUNTIFS(請求記録!$B$6:$B$3005,$A125,請求記録!$X$6:$X$3005,Z$5,請求記録!$AD$6:$AD$3005,"保留中")&gt;0,"保留",IF(COUNTIFS(請求記録!$B$6:$B$3005,$A125,請求記録!$X$6:$X$3005,Z$5)=0,"",SUMIFS(請求記録!$AC$6:$AC$3005,請求記録!$B$6:$B$3005,$A125,請求記録!$X$6:$X$3005,Z$5))))</f>
        <v/>
      </c>
      <c r="AA125" s="19">
        <f>IF($A125="","",IF(COUNTIFS(請求記録!$B$6:$B$3005,$A125,請求記録!$X$6:$X$3005,AA$5,請求記録!$AD$6:$AD$3005,"保留中")&gt;0,"保留",IF(COUNTIFS(請求記録!$B$6:$B$3005,$A125,請求記録!$X$6:$X$3005,AA$5)=0,"",SUMIFS(請求記録!$AC$6:$AC$3005,請求記録!$B$6:$B$3005,$A125,請求記録!$X$6:$X$3005,AA$5))))</f>
        <v/>
      </c>
      <c r="AB125">
        <f>IF(職員マスタ!P125="保留中",職員マスタ!M125,"")</f>
        <v/>
      </c>
    </row>
    <row r="126">
      <c r="A126">
        <f>IF(職員マスタ!A126="","",職員マスタ!A126)</f>
        <v/>
      </c>
      <c r="B126">
        <f>IF($A126="","",職員マスタ!B126)</f>
        <v/>
      </c>
      <c r="C126">
        <f>IF($A126="","",職員マスタ!C126)</f>
        <v/>
      </c>
      <c r="D126" s="19">
        <f>IF($A126="","",IF(COUNTIFS(請求記録!$B$6:$B$3005,$A126,請求記録!$X$6:$X$3005,D$5,請求記録!$AD$6:$AD$3005,"保留中")&gt;0,"保留",IF(COUNTIFS(請求記録!$B$6:$B$3005,$A126,請求記録!$X$6:$X$3005,D$5)=0,"",SUMIFS(請求記録!$AC$6:$AC$3005,請求記録!$B$6:$B$3005,$A126,請求記録!$X$6:$X$3005,D$5))))</f>
        <v/>
      </c>
      <c r="E126" s="19">
        <f>IF($A126="","",IF(COUNTIFS(請求記録!$B$6:$B$3005,$A126,請求記録!$X$6:$X$3005,E$5,請求記録!$AD$6:$AD$3005,"保留中")&gt;0,"保留",IF(COUNTIFS(請求記録!$B$6:$B$3005,$A126,請求記録!$X$6:$X$3005,E$5)=0,"",SUMIFS(請求記録!$AC$6:$AC$3005,請求記録!$B$6:$B$3005,$A126,請求記録!$X$6:$X$3005,E$5))))</f>
        <v/>
      </c>
      <c r="F126" s="19">
        <f>IF($A126="","",IF(COUNTIFS(請求記録!$B$6:$B$3005,$A126,請求記録!$X$6:$X$3005,F$5,請求記録!$AD$6:$AD$3005,"保留中")&gt;0,"保留",IF(COUNTIFS(請求記録!$B$6:$B$3005,$A126,請求記録!$X$6:$X$3005,F$5)=0,"",SUMIFS(請求記録!$AC$6:$AC$3005,請求記録!$B$6:$B$3005,$A126,請求記録!$X$6:$X$3005,F$5))))</f>
        <v/>
      </c>
      <c r="G126" s="19">
        <f>IF($A126="","",IF(COUNTIFS(請求記録!$B$6:$B$3005,$A126,請求記録!$X$6:$X$3005,G$5,請求記録!$AD$6:$AD$3005,"保留中")&gt;0,"保留",IF(COUNTIFS(請求記録!$B$6:$B$3005,$A126,請求記録!$X$6:$X$3005,G$5)=0,"",SUMIFS(請求記録!$AC$6:$AC$3005,請求記録!$B$6:$B$3005,$A126,請求記録!$X$6:$X$3005,G$5))))</f>
        <v/>
      </c>
      <c r="H126" s="19">
        <f>IF($A126="","",IF(COUNTIFS(請求記録!$B$6:$B$3005,$A126,請求記録!$X$6:$X$3005,H$5,請求記録!$AD$6:$AD$3005,"保留中")&gt;0,"保留",IF(COUNTIFS(請求記録!$B$6:$B$3005,$A126,請求記録!$X$6:$X$3005,H$5)=0,"",SUMIFS(請求記録!$AC$6:$AC$3005,請求記録!$B$6:$B$3005,$A126,請求記録!$X$6:$X$3005,H$5))))</f>
        <v/>
      </c>
      <c r="I126" s="19">
        <f>IF($A126="","",IF(COUNTIFS(請求記録!$B$6:$B$3005,$A126,請求記録!$X$6:$X$3005,I$5,請求記録!$AD$6:$AD$3005,"保留中")&gt;0,"保留",IF(COUNTIFS(請求記録!$B$6:$B$3005,$A126,請求記録!$X$6:$X$3005,I$5)=0,"",SUMIFS(請求記録!$AC$6:$AC$3005,請求記録!$B$6:$B$3005,$A126,請求記録!$X$6:$X$3005,I$5))))</f>
        <v/>
      </c>
      <c r="J126" s="19">
        <f>IF($A126="","",IF(COUNTIFS(請求記録!$B$6:$B$3005,$A126,請求記録!$X$6:$X$3005,J$5,請求記録!$AD$6:$AD$3005,"保留中")&gt;0,"保留",IF(COUNTIFS(請求記録!$B$6:$B$3005,$A126,請求記録!$X$6:$X$3005,J$5)=0,"",SUMIFS(請求記録!$AC$6:$AC$3005,請求記録!$B$6:$B$3005,$A126,請求記録!$X$6:$X$3005,J$5))))</f>
        <v/>
      </c>
      <c r="K126" s="19">
        <f>IF($A126="","",IF(COUNTIFS(請求記録!$B$6:$B$3005,$A126,請求記録!$X$6:$X$3005,K$5,請求記録!$AD$6:$AD$3005,"保留中")&gt;0,"保留",IF(COUNTIFS(請求記録!$B$6:$B$3005,$A126,請求記録!$X$6:$X$3005,K$5)=0,"",SUMIFS(請求記録!$AC$6:$AC$3005,請求記録!$B$6:$B$3005,$A126,請求記録!$X$6:$X$3005,K$5))))</f>
        <v/>
      </c>
      <c r="L126" s="19">
        <f>IF($A126="","",IF(COUNTIFS(請求記録!$B$6:$B$3005,$A126,請求記録!$X$6:$X$3005,L$5,請求記録!$AD$6:$AD$3005,"保留中")&gt;0,"保留",IF(COUNTIFS(請求記録!$B$6:$B$3005,$A126,請求記録!$X$6:$X$3005,L$5)=0,"",SUMIFS(請求記録!$AC$6:$AC$3005,請求記録!$B$6:$B$3005,$A126,請求記録!$X$6:$X$3005,L$5))))</f>
        <v/>
      </c>
      <c r="M126" s="19">
        <f>IF($A126="","",IF(COUNTIFS(請求記録!$B$6:$B$3005,$A126,請求記録!$X$6:$X$3005,M$5,請求記録!$AD$6:$AD$3005,"保留中")&gt;0,"保留",IF(COUNTIFS(請求記録!$B$6:$B$3005,$A126,請求記録!$X$6:$X$3005,M$5)=0,"",SUMIFS(請求記録!$AC$6:$AC$3005,請求記録!$B$6:$B$3005,$A126,請求記録!$X$6:$X$3005,M$5))))</f>
        <v/>
      </c>
      <c r="N126" s="19">
        <f>IF($A126="","",IF(COUNTIFS(請求記録!$B$6:$B$3005,$A126,請求記録!$X$6:$X$3005,N$5,請求記録!$AD$6:$AD$3005,"保留中")&gt;0,"保留",IF(COUNTIFS(請求記録!$B$6:$B$3005,$A126,請求記録!$X$6:$X$3005,N$5)=0,"",SUMIFS(請求記録!$AC$6:$AC$3005,請求記録!$B$6:$B$3005,$A126,請求記録!$X$6:$X$3005,N$5))))</f>
        <v/>
      </c>
      <c r="O126" s="19">
        <f>IF($A126="","",IF(COUNTIFS(請求記録!$B$6:$B$3005,$A126,請求記録!$X$6:$X$3005,O$5,請求記録!$AD$6:$AD$3005,"保留中")&gt;0,"保留",IF(COUNTIFS(請求記録!$B$6:$B$3005,$A126,請求記録!$X$6:$X$3005,O$5)=0,"",SUMIFS(請求記録!$AC$6:$AC$3005,請求記録!$B$6:$B$3005,$A126,請求記録!$X$6:$X$3005,O$5))))</f>
        <v/>
      </c>
      <c r="P126" s="19">
        <f>IF($A126="","",IF(COUNTIFS(請求記録!$B$6:$B$3005,$A126,請求記録!$X$6:$X$3005,P$5,請求記録!$AD$6:$AD$3005,"保留中")&gt;0,"保留",IF(COUNTIFS(請求記録!$B$6:$B$3005,$A126,請求記録!$X$6:$X$3005,P$5)=0,"",SUMIFS(請求記録!$AC$6:$AC$3005,請求記録!$B$6:$B$3005,$A126,請求記録!$X$6:$X$3005,P$5))))</f>
        <v/>
      </c>
      <c r="Q126" s="19">
        <f>IF($A126="","",IF(COUNTIFS(請求記録!$B$6:$B$3005,$A126,請求記録!$X$6:$X$3005,Q$5,請求記録!$AD$6:$AD$3005,"保留中")&gt;0,"保留",IF(COUNTIFS(請求記録!$B$6:$B$3005,$A126,請求記録!$X$6:$X$3005,Q$5)=0,"",SUMIFS(請求記録!$AC$6:$AC$3005,請求記録!$B$6:$B$3005,$A126,請求記録!$X$6:$X$3005,Q$5))))</f>
        <v/>
      </c>
      <c r="R126" s="19">
        <f>IF($A126="","",IF(COUNTIFS(請求記録!$B$6:$B$3005,$A126,請求記録!$X$6:$X$3005,R$5,請求記録!$AD$6:$AD$3005,"保留中")&gt;0,"保留",IF(COUNTIFS(請求記録!$B$6:$B$3005,$A126,請求記録!$X$6:$X$3005,R$5)=0,"",SUMIFS(請求記録!$AC$6:$AC$3005,請求記録!$B$6:$B$3005,$A126,請求記録!$X$6:$X$3005,R$5))))</f>
        <v/>
      </c>
      <c r="S126" s="19">
        <f>IF($A126="","",IF(COUNTIFS(請求記録!$B$6:$B$3005,$A126,請求記録!$X$6:$X$3005,S$5,請求記録!$AD$6:$AD$3005,"保留中")&gt;0,"保留",IF(COUNTIFS(請求記録!$B$6:$B$3005,$A126,請求記録!$X$6:$X$3005,S$5)=0,"",SUMIFS(請求記録!$AC$6:$AC$3005,請求記録!$B$6:$B$3005,$A126,請求記録!$X$6:$X$3005,S$5))))</f>
        <v/>
      </c>
      <c r="T126" s="19">
        <f>IF($A126="","",IF(COUNTIFS(請求記録!$B$6:$B$3005,$A126,請求記録!$X$6:$X$3005,T$5,請求記録!$AD$6:$AD$3005,"保留中")&gt;0,"保留",IF(COUNTIFS(請求記録!$B$6:$B$3005,$A126,請求記録!$X$6:$X$3005,T$5)=0,"",SUMIFS(請求記録!$AC$6:$AC$3005,請求記録!$B$6:$B$3005,$A126,請求記録!$X$6:$X$3005,T$5))))</f>
        <v/>
      </c>
      <c r="U126" s="19">
        <f>IF($A126="","",IF(COUNTIFS(請求記録!$B$6:$B$3005,$A126,請求記録!$X$6:$X$3005,U$5,請求記録!$AD$6:$AD$3005,"保留中")&gt;0,"保留",IF(COUNTIFS(請求記録!$B$6:$B$3005,$A126,請求記録!$X$6:$X$3005,U$5)=0,"",SUMIFS(請求記録!$AC$6:$AC$3005,請求記録!$B$6:$B$3005,$A126,請求記録!$X$6:$X$3005,U$5))))</f>
        <v/>
      </c>
      <c r="V126" s="19">
        <f>IF($A126="","",IF(COUNTIFS(請求記録!$B$6:$B$3005,$A126,請求記録!$X$6:$X$3005,V$5,請求記録!$AD$6:$AD$3005,"保留中")&gt;0,"保留",IF(COUNTIFS(請求記録!$B$6:$B$3005,$A126,請求記録!$X$6:$X$3005,V$5)=0,"",SUMIFS(請求記録!$AC$6:$AC$3005,請求記録!$B$6:$B$3005,$A126,請求記録!$X$6:$X$3005,V$5))))</f>
        <v/>
      </c>
      <c r="W126" s="19">
        <f>IF($A126="","",IF(COUNTIFS(請求記録!$B$6:$B$3005,$A126,請求記録!$X$6:$X$3005,W$5,請求記録!$AD$6:$AD$3005,"保留中")&gt;0,"保留",IF(COUNTIFS(請求記録!$B$6:$B$3005,$A126,請求記録!$X$6:$X$3005,W$5)=0,"",SUMIFS(請求記録!$AC$6:$AC$3005,請求記録!$B$6:$B$3005,$A126,請求記録!$X$6:$X$3005,W$5))))</f>
        <v/>
      </c>
      <c r="X126" s="19">
        <f>IF($A126="","",IF(COUNTIFS(請求記録!$B$6:$B$3005,$A126,請求記録!$X$6:$X$3005,X$5,請求記録!$AD$6:$AD$3005,"保留中")&gt;0,"保留",IF(COUNTIFS(請求記録!$B$6:$B$3005,$A126,請求記録!$X$6:$X$3005,X$5)=0,"",SUMIFS(請求記録!$AC$6:$AC$3005,請求記録!$B$6:$B$3005,$A126,請求記録!$X$6:$X$3005,X$5))))</f>
        <v/>
      </c>
      <c r="Y126" s="19">
        <f>IF($A126="","",IF(COUNTIFS(請求記録!$B$6:$B$3005,$A126,請求記録!$X$6:$X$3005,Y$5,請求記録!$AD$6:$AD$3005,"保留中")&gt;0,"保留",IF(COUNTIFS(請求記録!$B$6:$B$3005,$A126,請求記録!$X$6:$X$3005,Y$5)=0,"",SUMIFS(請求記録!$AC$6:$AC$3005,請求記録!$B$6:$B$3005,$A126,請求記録!$X$6:$X$3005,Y$5))))</f>
        <v/>
      </c>
      <c r="Z126" s="19">
        <f>IF($A126="","",IF(COUNTIFS(請求記録!$B$6:$B$3005,$A126,請求記録!$X$6:$X$3005,Z$5,請求記録!$AD$6:$AD$3005,"保留中")&gt;0,"保留",IF(COUNTIFS(請求記録!$B$6:$B$3005,$A126,請求記録!$X$6:$X$3005,Z$5)=0,"",SUMIFS(請求記録!$AC$6:$AC$3005,請求記録!$B$6:$B$3005,$A126,請求記録!$X$6:$X$3005,Z$5))))</f>
        <v/>
      </c>
      <c r="AA126" s="19">
        <f>IF($A126="","",IF(COUNTIFS(請求記録!$B$6:$B$3005,$A126,請求記録!$X$6:$X$3005,AA$5,請求記録!$AD$6:$AD$3005,"保留中")&gt;0,"保留",IF(COUNTIFS(請求記録!$B$6:$B$3005,$A126,請求記録!$X$6:$X$3005,AA$5)=0,"",SUMIFS(請求記録!$AC$6:$AC$3005,請求記録!$B$6:$B$3005,$A126,請求記録!$X$6:$X$3005,AA$5))))</f>
        <v/>
      </c>
      <c r="AB126">
        <f>IF(職員マスタ!P126="保留中",職員マスタ!M126,"")</f>
        <v/>
      </c>
    </row>
    <row r="127">
      <c r="A127">
        <f>IF(職員マスタ!A127="","",職員マスタ!A127)</f>
        <v/>
      </c>
      <c r="B127">
        <f>IF($A127="","",職員マスタ!B127)</f>
        <v/>
      </c>
      <c r="C127">
        <f>IF($A127="","",職員マスタ!C127)</f>
        <v/>
      </c>
      <c r="D127" s="19">
        <f>IF($A127="","",IF(COUNTIFS(請求記録!$B$6:$B$3005,$A127,請求記録!$X$6:$X$3005,D$5,請求記録!$AD$6:$AD$3005,"保留中")&gt;0,"保留",IF(COUNTIFS(請求記録!$B$6:$B$3005,$A127,請求記録!$X$6:$X$3005,D$5)=0,"",SUMIFS(請求記録!$AC$6:$AC$3005,請求記録!$B$6:$B$3005,$A127,請求記録!$X$6:$X$3005,D$5))))</f>
        <v/>
      </c>
      <c r="E127" s="19">
        <f>IF($A127="","",IF(COUNTIFS(請求記録!$B$6:$B$3005,$A127,請求記録!$X$6:$X$3005,E$5,請求記録!$AD$6:$AD$3005,"保留中")&gt;0,"保留",IF(COUNTIFS(請求記録!$B$6:$B$3005,$A127,請求記録!$X$6:$X$3005,E$5)=0,"",SUMIFS(請求記録!$AC$6:$AC$3005,請求記録!$B$6:$B$3005,$A127,請求記録!$X$6:$X$3005,E$5))))</f>
        <v/>
      </c>
      <c r="F127" s="19">
        <f>IF($A127="","",IF(COUNTIFS(請求記録!$B$6:$B$3005,$A127,請求記録!$X$6:$X$3005,F$5,請求記録!$AD$6:$AD$3005,"保留中")&gt;0,"保留",IF(COUNTIFS(請求記録!$B$6:$B$3005,$A127,請求記録!$X$6:$X$3005,F$5)=0,"",SUMIFS(請求記録!$AC$6:$AC$3005,請求記録!$B$6:$B$3005,$A127,請求記録!$X$6:$X$3005,F$5))))</f>
        <v/>
      </c>
      <c r="G127" s="19">
        <f>IF($A127="","",IF(COUNTIFS(請求記録!$B$6:$B$3005,$A127,請求記録!$X$6:$X$3005,G$5,請求記録!$AD$6:$AD$3005,"保留中")&gt;0,"保留",IF(COUNTIFS(請求記録!$B$6:$B$3005,$A127,請求記録!$X$6:$X$3005,G$5)=0,"",SUMIFS(請求記録!$AC$6:$AC$3005,請求記録!$B$6:$B$3005,$A127,請求記録!$X$6:$X$3005,G$5))))</f>
        <v/>
      </c>
      <c r="H127" s="19">
        <f>IF($A127="","",IF(COUNTIFS(請求記録!$B$6:$B$3005,$A127,請求記録!$X$6:$X$3005,H$5,請求記録!$AD$6:$AD$3005,"保留中")&gt;0,"保留",IF(COUNTIFS(請求記録!$B$6:$B$3005,$A127,請求記録!$X$6:$X$3005,H$5)=0,"",SUMIFS(請求記録!$AC$6:$AC$3005,請求記録!$B$6:$B$3005,$A127,請求記録!$X$6:$X$3005,H$5))))</f>
        <v/>
      </c>
      <c r="I127" s="19">
        <f>IF($A127="","",IF(COUNTIFS(請求記録!$B$6:$B$3005,$A127,請求記録!$X$6:$X$3005,I$5,請求記録!$AD$6:$AD$3005,"保留中")&gt;0,"保留",IF(COUNTIFS(請求記録!$B$6:$B$3005,$A127,請求記録!$X$6:$X$3005,I$5)=0,"",SUMIFS(請求記録!$AC$6:$AC$3005,請求記録!$B$6:$B$3005,$A127,請求記録!$X$6:$X$3005,I$5))))</f>
        <v/>
      </c>
      <c r="J127" s="19">
        <f>IF($A127="","",IF(COUNTIFS(請求記録!$B$6:$B$3005,$A127,請求記録!$X$6:$X$3005,J$5,請求記録!$AD$6:$AD$3005,"保留中")&gt;0,"保留",IF(COUNTIFS(請求記録!$B$6:$B$3005,$A127,請求記録!$X$6:$X$3005,J$5)=0,"",SUMIFS(請求記録!$AC$6:$AC$3005,請求記録!$B$6:$B$3005,$A127,請求記録!$X$6:$X$3005,J$5))))</f>
        <v/>
      </c>
      <c r="K127" s="19">
        <f>IF($A127="","",IF(COUNTIFS(請求記録!$B$6:$B$3005,$A127,請求記録!$X$6:$X$3005,K$5,請求記録!$AD$6:$AD$3005,"保留中")&gt;0,"保留",IF(COUNTIFS(請求記録!$B$6:$B$3005,$A127,請求記録!$X$6:$X$3005,K$5)=0,"",SUMIFS(請求記録!$AC$6:$AC$3005,請求記録!$B$6:$B$3005,$A127,請求記録!$X$6:$X$3005,K$5))))</f>
        <v/>
      </c>
      <c r="L127" s="19">
        <f>IF($A127="","",IF(COUNTIFS(請求記録!$B$6:$B$3005,$A127,請求記録!$X$6:$X$3005,L$5,請求記録!$AD$6:$AD$3005,"保留中")&gt;0,"保留",IF(COUNTIFS(請求記録!$B$6:$B$3005,$A127,請求記録!$X$6:$X$3005,L$5)=0,"",SUMIFS(請求記録!$AC$6:$AC$3005,請求記録!$B$6:$B$3005,$A127,請求記録!$X$6:$X$3005,L$5))))</f>
        <v/>
      </c>
      <c r="M127" s="19">
        <f>IF($A127="","",IF(COUNTIFS(請求記録!$B$6:$B$3005,$A127,請求記録!$X$6:$X$3005,M$5,請求記録!$AD$6:$AD$3005,"保留中")&gt;0,"保留",IF(COUNTIFS(請求記録!$B$6:$B$3005,$A127,請求記録!$X$6:$X$3005,M$5)=0,"",SUMIFS(請求記録!$AC$6:$AC$3005,請求記録!$B$6:$B$3005,$A127,請求記録!$X$6:$X$3005,M$5))))</f>
        <v/>
      </c>
      <c r="N127" s="19">
        <f>IF($A127="","",IF(COUNTIFS(請求記録!$B$6:$B$3005,$A127,請求記録!$X$6:$X$3005,N$5,請求記録!$AD$6:$AD$3005,"保留中")&gt;0,"保留",IF(COUNTIFS(請求記録!$B$6:$B$3005,$A127,請求記録!$X$6:$X$3005,N$5)=0,"",SUMIFS(請求記録!$AC$6:$AC$3005,請求記録!$B$6:$B$3005,$A127,請求記録!$X$6:$X$3005,N$5))))</f>
        <v/>
      </c>
      <c r="O127" s="19">
        <f>IF($A127="","",IF(COUNTIFS(請求記録!$B$6:$B$3005,$A127,請求記録!$X$6:$X$3005,O$5,請求記録!$AD$6:$AD$3005,"保留中")&gt;0,"保留",IF(COUNTIFS(請求記録!$B$6:$B$3005,$A127,請求記録!$X$6:$X$3005,O$5)=0,"",SUMIFS(請求記録!$AC$6:$AC$3005,請求記録!$B$6:$B$3005,$A127,請求記録!$X$6:$X$3005,O$5))))</f>
        <v/>
      </c>
      <c r="P127" s="19">
        <f>IF($A127="","",IF(COUNTIFS(請求記録!$B$6:$B$3005,$A127,請求記録!$X$6:$X$3005,P$5,請求記録!$AD$6:$AD$3005,"保留中")&gt;0,"保留",IF(COUNTIFS(請求記録!$B$6:$B$3005,$A127,請求記録!$X$6:$X$3005,P$5)=0,"",SUMIFS(請求記録!$AC$6:$AC$3005,請求記録!$B$6:$B$3005,$A127,請求記録!$X$6:$X$3005,P$5))))</f>
        <v/>
      </c>
      <c r="Q127" s="19">
        <f>IF($A127="","",IF(COUNTIFS(請求記録!$B$6:$B$3005,$A127,請求記録!$X$6:$X$3005,Q$5,請求記録!$AD$6:$AD$3005,"保留中")&gt;0,"保留",IF(COUNTIFS(請求記録!$B$6:$B$3005,$A127,請求記録!$X$6:$X$3005,Q$5)=0,"",SUMIFS(請求記録!$AC$6:$AC$3005,請求記録!$B$6:$B$3005,$A127,請求記録!$X$6:$X$3005,Q$5))))</f>
        <v/>
      </c>
      <c r="R127" s="19">
        <f>IF($A127="","",IF(COUNTIFS(請求記録!$B$6:$B$3005,$A127,請求記録!$X$6:$X$3005,R$5,請求記録!$AD$6:$AD$3005,"保留中")&gt;0,"保留",IF(COUNTIFS(請求記録!$B$6:$B$3005,$A127,請求記録!$X$6:$X$3005,R$5)=0,"",SUMIFS(請求記録!$AC$6:$AC$3005,請求記録!$B$6:$B$3005,$A127,請求記録!$X$6:$X$3005,R$5))))</f>
        <v/>
      </c>
      <c r="S127" s="19">
        <f>IF($A127="","",IF(COUNTIFS(請求記録!$B$6:$B$3005,$A127,請求記録!$X$6:$X$3005,S$5,請求記録!$AD$6:$AD$3005,"保留中")&gt;0,"保留",IF(COUNTIFS(請求記録!$B$6:$B$3005,$A127,請求記録!$X$6:$X$3005,S$5)=0,"",SUMIFS(請求記録!$AC$6:$AC$3005,請求記録!$B$6:$B$3005,$A127,請求記録!$X$6:$X$3005,S$5))))</f>
        <v/>
      </c>
      <c r="T127" s="19">
        <f>IF($A127="","",IF(COUNTIFS(請求記録!$B$6:$B$3005,$A127,請求記録!$X$6:$X$3005,T$5,請求記録!$AD$6:$AD$3005,"保留中")&gt;0,"保留",IF(COUNTIFS(請求記録!$B$6:$B$3005,$A127,請求記録!$X$6:$X$3005,T$5)=0,"",SUMIFS(請求記録!$AC$6:$AC$3005,請求記録!$B$6:$B$3005,$A127,請求記録!$X$6:$X$3005,T$5))))</f>
        <v/>
      </c>
      <c r="U127" s="19">
        <f>IF($A127="","",IF(COUNTIFS(請求記録!$B$6:$B$3005,$A127,請求記録!$X$6:$X$3005,U$5,請求記録!$AD$6:$AD$3005,"保留中")&gt;0,"保留",IF(COUNTIFS(請求記録!$B$6:$B$3005,$A127,請求記録!$X$6:$X$3005,U$5)=0,"",SUMIFS(請求記録!$AC$6:$AC$3005,請求記録!$B$6:$B$3005,$A127,請求記録!$X$6:$X$3005,U$5))))</f>
        <v/>
      </c>
      <c r="V127" s="19">
        <f>IF($A127="","",IF(COUNTIFS(請求記録!$B$6:$B$3005,$A127,請求記録!$X$6:$X$3005,V$5,請求記録!$AD$6:$AD$3005,"保留中")&gt;0,"保留",IF(COUNTIFS(請求記録!$B$6:$B$3005,$A127,請求記録!$X$6:$X$3005,V$5)=0,"",SUMIFS(請求記録!$AC$6:$AC$3005,請求記録!$B$6:$B$3005,$A127,請求記録!$X$6:$X$3005,V$5))))</f>
        <v/>
      </c>
      <c r="W127" s="19">
        <f>IF($A127="","",IF(COUNTIFS(請求記録!$B$6:$B$3005,$A127,請求記録!$X$6:$X$3005,W$5,請求記録!$AD$6:$AD$3005,"保留中")&gt;0,"保留",IF(COUNTIFS(請求記録!$B$6:$B$3005,$A127,請求記録!$X$6:$X$3005,W$5)=0,"",SUMIFS(請求記録!$AC$6:$AC$3005,請求記録!$B$6:$B$3005,$A127,請求記録!$X$6:$X$3005,W$5))))</f>
        <v/>
      </c>
      <c r="X127" s="19">
        <f>IF($A127="","",IF(COUNTIFS(請求記録!$B$6:$B$3005,$A127,請求記録!$X$6:$X$3005,X$5,請求記録!$AD$6:$AD$3005,"保留中")&gt;0,"保留",IF(COUNTIFS(請求記録!$B$6:$B$3005,$A127,請求記録!$X$6:$X$3005,X$5)=0,"",SUMIFS(請求記録!$AC$6:$AC$3005,請求記録!$B$6:$B$3005,$A127,請求記録!$X$6:$X$3005,X$5))))</f>
        <v/>
      </c>
      <c r="Y127" s="19">
        <f>IF($A127="","",IF(COUNTIFS(請求記録!$B$6:$B$3005,$A127,請求記録!$X$6:$X$3005,Y$5,請求記録!$AD$6:$AD$3005,"保留中")&gt;0,"保留",IF(COUNTIFS(請求記録!$B$6:$B$3005,$A127,請求記録!$X$6:$X$3005,Y$5)=0,"",SUMIFS(請求記録!$AC$6:$AC$3005,請求記録!$B$6:$B$3005,$A127,請求記録!$X$6:$X$3005,Y$5))))</f>
        <v/>
      </c>
      <c r="Z127" s="19">
        <f>IF($A127="","",IF(COUNTIFS(請求記録!$B$6:$B$3005,$A127,請求記録!$X$6:$X$3005,Z$5,請求記録!$AD$6:$AD$3005,"保留中")&gt;0,"保留",IF(COUNTIFS(請求記録!$B$6:$B$3005,$A127,請求記録!$X$6:$X$3005,Z$5)=0,"",SUMIFS(請求記録!$AC$6:$AC$3005,請求記録!$B$6:$B$3005,$A127,請求記録!$X$6:$X$3005,Z$5))))</f>
        <v/>
      </c>
      <c r="AA127" s="19">
        <f>IF($A127="","",IF(COUNTIFS(請求記録!$B$6:$B$3005,$A127,請求記録!$X$6:$X$3005,AA$5,請求記録!$AD$6:$AD$3005,"保留中")&gt;0,"保留",IF(COUNTIFS(請求記録!$B$6:$B$3005,$A127,請求記録!$X$6:$X$3005,AA$5)=0,"",SUMIFS(請求記録!$AC$6:$AC$3005,請求記録!$B$6:$B$3005,$A127,請求記録!$X$6:$X$3005,AA$5))))</f>
        <v/>
      </c>
      <c r="AB127">
        <f>IF(職員マスタ!P127="保留中",職員マスタ!M127,"")</f>
        <v/>
      </c>
    </row>
    <row r="128">
      <c r="A128">
        <f>IF(職員マスタ!A128="","",職員マスタ!A128)</f>
        <v/>
      </c>
      <c r="B128">
        <f>IF($A128="","",職員マスタ!B128)</f>
        <v/>
      </c>
      <c r="C128">
        <f>IF($A128="","",職員マスタ!C128)</f>
        <v/>
      </c>
      <c r="D128" s="19">
        <f>IF($A128="","",IF(COUNTIFS(請求記録!$B$6:$B$3005,$A128,請求記録!$X$6:$X$3005,D$5,請求記録!$AD$6:$AD$3005,"保留中")&gt;0,"保留",IF(COUNTIFS(請求記録!$B$6:$B$3005,$A128,請求記録!$X$6:$X$3005,D$5)=0,"",SUMIFS(請求記録!$AC$6:$AC$3005,請求記録!$B$6:$B$3005,$A128,請求記録!$X$6:$X$3005,D$5))))</f>
        <v/>
      </c>
      <c r="E128" s="19">
        <f>IF($A128="","",IF(COUNTIFS(請求記録!$B$6:$B$3005,$A128,請求記録!$X$6:$X$3005,E$5,請求記録!$AD$6:$AD$3005,"保留中")&gt;0,"保留",IF(COUNTIFS(請求記録!$B$6:$B$3005,$A128,請求記録!$X$6:$X$3005,E$5)=0,"",SUMIFS(請求記録!$AC$6:$AC$3005,請求記録!$B$6:$B$3005,$A128,請求記録!$X$6:$X$3005,E$5))))</f>
        <v/>
      </c>
      <c r="F128" s="19">
        <f>IF($A128="","",IF(COUNTIFS(請求記録!$B$6:$B$3005,$A128,請求記録!$X$6:$X$3005,F$5,請求記録!$AD$6:$AD$3005,"保留中")&gt;0,"保留",IF(COUNTIFS(請求記録!$B$6:$B$3005,$A128,請求記録!$X$6:$X$3005,F$5)=0,"",SUMIFS(請求記録!$AC$6:$AC$3005,請求記録!$B$6:$B$3005,$A128,請求記録!$X$6:$X$3005,F$5))))</f>
        <v/>
      </c>
      <c r="G128" s="19">
        <f>IF($A128="","",IF(COUNTIFS(請求記録!$B$6:$B$3005,$A128,請求記録!$X$6:$X$3005,G$5,請求記録!$AD$6:$AD$3005,"保留中")&gt;0,"保留",IF(COUNTIFS(請求記録!$B$6:$B$3005,$A128,請求記録!$X$6:$X$3005,G$5)=0,"",SUMIFS(請求記録!$AC$6:$AC$3005,請求記録!$B$6:$B$3005,$A128,請求記録!$X$6:$X$3005,G$5))))</f>
        <v/>
      </c>
      <c r="H128" s="19">
        <f>IF($A128="","",IF(COUNTIFS(請求記録!$B$6:$B$3005,$A128,請求記録!$X$6:$X$3005,H$5,請求記録!$AD$6:$AD$3005,"保留中")&gt;0,"保留",IF(COUNTIFS(請求記録!$B$6:$B$3005,$A128,請求記録!$X$6:$X$3005,H$5)=0,"",SUMIFS(請求記録!$AC$6:$AC$3005,請求記録!$B$6:$B$3005,$A128,請求記録!$X$6:$X$3005,H$5))))</f>
        <v/>
      </c>
      <c r="I128" s="19">
        <f>IF($A128="","",IF(COUNTIFS(請求記録!$B$6:$B$3005,$A128,請求記録!$X$6:$X$3005,I$5,請求記録!$AD$6:$AD$3005,"保留中")&gt;0,"保留",IF(COUNTIFS(請求記録!$B$6:$B$3005,$A128,請求記録!$X$6:$X$3005,I$5)=0,"",SUMIFS(請求記録!$AC$6:$AC$3005,請求記録!$B$6:$B$3005,$A128,請求記録!$X$6:$X$3005,I$5))))</f>
        <v/>
      </c>
      <c r="J128" s="19">
        <f>IF($A128="","",IF(COUNTIFS(請求記録!$B$6:$B$3005,$A128,請求記録!$X$6:$X$3005,J$5,請求記録!$AD$6:$AD$3005,"保留中")&gt;0,"保留",IF(COUNTIFS(請求記録!$B$6:$B$3005,$A128,請求記録!$X$6:$X$3005,J$5)=0,"",SUMIFS(請求記録!$AC$6:$AC$3005,請求記録!$B$6:$B$3005,$A128,請求記録!$X$6:$X$3005,J$5))))</f>
        <v/>
      </c>
      <c r="K128" s="19">
        <f>IF($A128="","",IF(COUNTIFS(請求記録!$B$6:$B$3005,$A128,請求記録!$X$6:$X$3005,K$5,請求記録!$AD$6:$AD$3005,"保留中")&gt;0,"保留",IF(COUNTIFS(請求記録!$B$6:$B$3005,$A128,請求記録!$X$6:$X$3005,K$5)=0,"",SUMIFS(請求記録!$AC$6:$AC$3005,請求記録!$B$6:$B$3005,$A128,請求記録!$X$6:$X$3005,K$5))))</f>
        <v/>
      </c>
      <c r="L128" s="19">
        <f>IF($A128="","",IF(COUNTIFS(請求記録!$B$6:$B$3005,$A128,請求記録!$X$6:$X$3005,L$5,請求記録!$AD$6:$AD$3005,"保留中")&gt;0,"保留",IF(COUNTIFS(請求記録!$B$6:$B$3005,$A128,請求記録!$X$6:$X$3005,L$5)=0,"",SUMIFS(請求記録!$AC$6:$AC$3005,請求記録!$B$6:$B$3005,$A128,請求記録!$X$6:$X$3005,L$5))))</f>
        <v/>
      </c>
      <c r="M128" s="19">
        <f>IF($A128="","",IF(COUNTIFS(請求記録!$B$6:$B$3005,$A128,請求記録!$X$6:$X$3005,M$5,請求記録!$AD$6:$AD$3005,"保留中")&gt;0,"保留",IF(COUNTIFS(請求記録!$B$6:$B$3005,$A128,請求記録!$X$6:$X$3005,M$5)=0,"",SUMIFS(請求記録!$AC$6:$AC$3005,請求記録!$B$6:$B$3005,$A128,請求記録!$X$6:$X$3005,M$5))))</f>
        <v/>
      </c>
      <c r="N128" s="19">
        <f>IF($A128="","",IF(COUNTIFS(請求記録!$B$6:$B$3005,$A128,請求記録!$X$6:$X$3005,N$5,請求記録!$AD$6:$AD$3005,"保留中")&gt;0,"保留",IF(COUNTIFS(請求記録!$B$6:$B$3005,$A128,請求記録!$X$6:$X$3005,N$5)=0,"",SUMIFS(請求記録!$AC$6:$AC$3005,請求記録!$B$6:$B$3005,$A128,請求記録!$X$6:$X$3005,N$5))))</f>
        <v/>
      </c>
      <c r="O128" s="19">
        <f>IF($A128="","",IF(COUNTIFS(請求記録!$B$6:$B$3005,$A128,請求記録!$X$6:$X$3005,O$5,請求記録!$AD$6:$AD$3005,"保留中")&gt;0,"保留",IF(COUNTIFS(請求記録!$B$6:$B$3005,$A128,請求記録!$X$6:$X$3005,O$5)=0,"",SUMIFS(請求記録!$AC$6:$AC$3005,請求記録!$B$6:$B$3005,$A128,請求記録!$X$6:$X$3005,O$5))))</f>
        <v/>
      </c>
      <c r="P128" s="19">
        <f>IF($A128="","",IF(COUNTIFS(請求記録!$B$6:$B$3005,$A128,請求記録!$X$6:$X$3005,P$5,請求記録!$AD$6:$AD$3005,"保留中")&gt;0,"保留",IF(COUNTIFS(請求記録!$B$6:$B$3005,$A128,請求記録!$X$6:$X$3005,P$5)=0,"",SUMIFS(請求記録!$AC$6:$AC$3005,請求記録!$B$6:$B$3005,$A128,請求記録!$X$6:$X$3005,P$5))))</f>
        <v/>
      </c>
      <c r="Q128" s="19">
        <f>IF($A128="","",IF(COUNTIFS(請求記録!$B$6:$B$3005,$A128,請求記録!$X$6:$X$3005,Q$5,請求記録!$AD$6:$AD$3005,"保留中")&gt;0,"保留",IF(COUNTIFS(請求記録!$B$6:$B$3005,$A128,請求記録!$X$6:$X$3005,Q$5)=0,"",SUMIFS(請求記録!$AC$6:$AC$3005,請求記録!$B$6:$B$3005,$A128,請求記録!$X$6:$X$3005,Q$5))))</f>
        <v/>
      </c>
      <c r="R128" s="19">
        <f>IF($A128="","",IF(COUNTIFS(請求記録!$B$6:$B$3005,$A128,請求記録!$X$6:$X$3005,R$5,請求記録!$AD$6:$AD$3005,"保留中")&gt;0,"保留",IF(COUNTIFS(請求記録!$B$6:$B$3005,$A128,請求記録!$X$6:$X$3005,R$5)=0,"",SUMIFS(請求記録!$AC$6:$AC$3005,請求記録!$B$6:$B$3005,$A128,請求記録!$X$6:$X$3005,R$5))))</f>
        <v/>
      </c>
      <c r="S128" s="19">
        <f>IF($A128="","",IF(COUNTIFS(請求記録!$B$6:$B$3005,$A128,請求記録!$X$6:$X$3005,S$5,請求記録!$AD$6:$AD$3005,"保留中")&gt;0,"保留",IF(COUNTIFS(請求記録!$B$6:$B$3005,$A128,請求記録!$X$6:$X$3005,S$5)=0,"",SUMIFS(請求記録!$AC$6:$AC$3005,請求記録!$B$6:$B$3005,$A128,請求記録!$X$6:$X$3005,S$5))))</f>
        <v/>
      </c>
      <c r="T128" s="19">
        <f>IF($A128="","",IF(COUNTIFS(請求記録!$B$6:$B$3005,$A128,請求記録!$X$6:$X$3005,T$5,請求記録!$AD$6:$AD$3005,"保留中")&gt;0,"保留",IF(COUNTIFS(請求記録!$B$6:$B$3005,$A128,請求記録!$X$6:$X$3005,T$5)=0,"",SUMIFS(請求記録!$AC$6:$AC$3005,請求記録!$B$6:$B$3005,$A128,請求記録!$X$6:$X$3005,T$5))))</f>
        <v/>
      </c>
      <c r="U128" s="19">
        <f>IF($A128="","",IF(COUNTIFS(請求記録!$B$6:$B$3005,$A128,請求記録!$X$6:$X$3005,U$5,請求記録!$AD$6:$AD$3005,"保留中")&gt;0,"保留",IF(COUNTIFS(請求記録!$B$6:$B$3005,$A128,請求記録!$X$6:$X$3005,U$5)=0,"",SUMIFS(請求記録!$AC$6:$AC$3005,請求記録!$B$6:$B$3005,$A128,請求記録!$X$6:$X$3005,U$5))))</f>
        <v/>
      </c>
      <c r="V128" s="19">
        <f>IF($A128="","",IF(COUNTIFS(請求記録!$B$6:$B$3005,$A128,請求記録!$X$6:$X$3005,V$5,請求記録!$AD$6:$AD$3005,"保留中")&gt;0,"保留",IF(COUNTIFS(請求記録!$B$6:$B$3005,$A128,請求記録!$X$6:$X$3005,V$5)=0,"",SUMIFS(請求記録!$AC$6:$AC$3005,請求記録!$B$6:$B$3005,$A128,請求記録!$X$6:$X$3005,V$5))))</f>
        <v/>
      </c>
      <c r="W128" s="19">
        <f>IF($A128="","",IF(COUNTIFS(請求記録!$B$6:$B$3005,$A128,請求記録!$X$6:$X$3005,W$5,請求記録!$AD$6:$AD$3005,"保留中")&gt;0,"保留",IF(COUNTIFS(請求記録!$B$6:$B$3005,$A128,請求記録!$X$6:$X$3005,W$5)=0,"",SUMIFS(請求記録!$AC$6:$AC$3005,請求記録!$B$6:$B$3005,$A128,請求記録!$X$6:$X$3005,W$5))))</f>
        <v/>
      </c>
      <c r="X128" s="19">
        <f>IF($A128="","",IF(COUNTIFS(請求記録!$B$6:$B$3005,$A128,請求記録!$X$6:$X$3005,X$5,請求記録!$AD$6:$AD$3005,"保留中")&gt;0,"保留",IF(COUNTIFS(請求記録!$B$6:$B$3005,$A128,請求記録!$X$6:$X$3005,X$5)=0,"",SUMIFS(請求記録!$AC$6:$AC$3005,請求記録!$B$6:$B$3005,$A128,請求記録!$X$6:$X$3005,X$5))))</f>
        <v/>
      </c>
      <c r="Y128" s="19">
        <f>IF($A128="","",IF(COUNTIFS(請求記録!$B$6:$B$3005,$A128,請求記録!$X$6:$X$3005,Y$5,請求記録!$AD$6:$AD$3005,"保留中")&gt;0,"保留",IF(COUNTIFS(請求記録!$B$6:$B$3005,$A128,請求記録!$X$6:$X$3005,Y$5)=0,"",SUMIFS(請求記録!$AC$6:$AC$3005,請求記録!$B$6:$B$3005,$A128,請求記録!$X$6:$X$3005,Y$5))))</f>
        <v/>
      </c>
      <c r="Z128" s="19">
        <f>IF($A128="","",IF(COUNTIFS(請求記録!$B$6:$B$3005,$A128,請求記録!$X$6:$X$3005,Z$5,請求記録!$AD$6:$AD$3005,"保留中")&gt;0,"保留",IF(COUNTIFS(請求記録!$B$6:$B$3005,$A128,請求記録!$X$6:$X$3005,Z$5)=0,"",SUMIFS(請求記録!$AC$6:$AC$3005,請求記録!$B$6:$B$3005,$A128,請求記録!$X$6:$X$3005,Z$5))))</f>
        <v/>
      </c>
      <c r="AA128" s="19">
        <f>IF($A128="","",IF(COUNTIFS(請求記録!$B$6:$B$3005,$A128,請求記録!$X$6:$X$3005,AA$5,請求記録!$AD$6:$AD$3005,"保留中")&gt;0,"保留",IF(COUNTIFS(請求記録!$B$6:$B$3005,$A128,請求記録!$X$6:$X$3005,AA$5)=0,"",SUMIFS(請求記録!$AC$6:$AC$3005,請求記録!$B$6:$B$3005,$A128,請求記録!$X$6:$X$3005,AA$5))))</f>
        <v/>
      </c>
      <c r="AB128">
        <f>IF(職員マスタ!P128="保留中",職員マスタ!M128,"")</f>
        <v/>
      </c>
    </row>
    <row r="129">
      <c r="A129">
        <f>IF(職員マスタ!A129="","",職員マスタ!A129)</f>
        <v/>
      </c>
      <c r="B129">
        <f>IF($A129="","",職員マスタ!B129)</f>
        <v/>
      </c>
      <c r="C129">
        <f>IF($A129="","",職員マスタ!C129)</f>
        <v/>
      </c>
      <c r="D129" s="19">
        <f>IF($A129="","",IF(COUNTIFS(請求記録!$B$6:$B$3005,$A129,請求記録!$X$6:$X$3005,D$5,請求記録!$AD$6:$AD$3005,"保留中")&gt;0,"保留",IF(COUNTIFS(請求記録!$B$6:$B$3005,$A129,請求記録!$X$6:$X$3005,D$5)=0,"",SUMIFS(請求記録!$AC$6:$AC$3005,請求記録!$B$6:$B$3005,$A129,請求記録!$X$6:$X$3005,D$5))))</f>
        <v/>
      </c>
      <c r="E129" s="19">
        <f>IF($A129="","",IF(COUNTIFS(請求記録!$B$6:$B$3005,$A129,請求記録!$X$6:$X$3005,E$5,請求記録!$AD$6:$AD$3005,"保留中")&gt;0,"保留",IF(COUNTIFS(請求記録!$B$6:$B$3005,$A129,請求記録!$X$6:$X$3005,E$5)=0,"",SUMIFS(請求記録!$AC$6:$AC$3005,請求記録!$B$6:$B$3005,$A129,請求記録!$X$6:$X$3005,E$5))))</f>
        <v/>
      </c>
      <c r="F129" s="19">
        <f>IF($A129="","",IF(COUNTIFS(請求記録!$B$6:$B$3005,$A129,請求記録!$X$6:$X$3005,F$5,請求記録!$AD$6:$AD$3005,"保留中")&gt;0,"保留",IF(COUNTIFS(請求記録!$B$6:$B$3005,$A129,請求記録!$X$6:$X$3005,F$5)=0,"",SUMIFS(請求記録!$AC$6:$AC$3005,請求記録!$B$6:$B$3005,$A129,請求記録!$X$6:$X$3005,F$5))))</f>
        <v/>
      </c>
      <c r="G129" s="19">
        <f>IF($A129="","",IF(COUNTIFS(請求記録!$B$6:$B$3005,$A129,請求記録!$X$6:$X$3005,G$5,請求記録!$AD$6:$AD$3005,"保留中")&gt;0,"保留",IF(COUNTIFS(請求記録!$B$6:$B$3005,$A129,請求記録!$X$6:$X$3005,G$5)=0,"",SUMIFS(請求記録!$AC$6:$AC$3005,請求記録!$B$6:$B$3005,$A129,請求記録!$X$6:$X$3005,G$5))))</f>
        <v/>
      </c>
      <c r="H129" s="19">
        <f>IF($A129="","",IF(COUNTIFS(請求記録!$B$6:$B$3005,$A129,請求記録!$X$6:$X$3005,H$5,請求記録!$AD$6:$AD$3005,"保留中")&gt;0,"保留",IF(COUNTIFS(請求記録!$B$6:$B$3005,$A129,請求記録!$X$6:$X$3005,H$5)=0,"",SUMIFS(請求記録!$AC$6:$AC$3005,請求記録!$B$6:$B$3005,$A129,請求記録!$X$6:$X$3005,H$5))))</f>
        <v/>
      </c>
      <c r="I129" s="19">
        <f>IF($A129="","",IF(COUNTIFS(請求記録!$B$6:$B$3005,$A129,請求記録!$X$6:$X$3005,I$5,請求記録!$AD$6:$AD$3005,"保留中")&gt;0,"保留",IF(COUNTIFS(請求記録!$B$6:$B$3005,$A129,請求記録!$X$6:$X$3005,I$5)=0,"",SUMIFS(請求記録!$AC$6:$AC$3005,請求記録!$B$6:$B$3005,$A129,請求記録!$X$6:$X$3005,I$5))))</f>
        <v/>
      </c>
      <c r="J129" s="19">
        <f>IF($A129="","",IF(COUNTIFS(請求記録!$B$6:$B$3005,$A129,請求記録!$X$6:$X$3005,J$5,請求記録!$AD$6:$AD$3005,"保留中")&gt;0,"保留",IF(COUNTIFS(請求記録!$B$6:$B$3005,$A129,請求記録!$X$6:$X$3005,J$5)=0,"",SUMIFS(請求記録!$AC$6:$AC$3005,請求記録!$B$6:$B$3005,$A129,請求記録!$X$6:$X$3005,J$5))))</f>
        <v/>
      </c>
      <c r="K129" s="19">
        <f>IF($A129="","",IF(COUNTIFS(請求記録!$B$6:$B$3005,$A129,請求記録!$X$6:$X$3005,K$5,請求記録!$AD$6:$AD$3005,"保留中")&gt;0,"保留",IF(COUNTIFS(請求記録!$B$6:$B$3005,$A129,請求記録!$X$6:$X$3005,K$5)=0,"",SUMIFS(請求記録!$AC$6:$AC$3005,請求記録!$B$6:$B$3005,$A129,請求記録!$X$6:$X$3005,K$5))))</f>
        <v/>
      </c>
      <c r="L129" s="19">
        <f>IF($A129="","",IF(COUNTIFS(請求記録!$B$6:$B$3005,$A129,請求記録!$X$6:$X$3005,L$5,請求記録!$AD$6:$AD$3005,"保留中")&gt;0,"保留",IF(COUNTIFS(請求記録!$B$6:$B$3005,$A129,請求記録!$X$6:$X$3005,L$5)=0,"",SUMIFS(請求記録!$AC$6:$AC$3005,請求記録!$B$6:$B$3005,$A129,請求記録!$X$6:$X$3005,L$5))))</f>
        <v/>
      </c>
      <c r="M129" s="19">
        <f>IF($A129="","",IF(COUNTIFS(請求記録!$B$6:$B$3005,$A129,請求記録!$X$6:$X$3005,M$5,請求記録!$AD$6:$AD$3005,"保留中")&gt;0,"保留",IF(COUNTIFS(請求記録!$B$6:$B$3005,$A129,請求記録!$X$6:$X$3005,M$5)=0,"",SUMIFS(請求記録!$AC$6:$AC$3005,請求記録!$B$6:$B$3005,$A129,請求記録!$X$6:$X$3005,M$5))))</f>
        <v/>
      </c>
      <c r="N129" s="19">
        <f>IF($A129="","",IF(COUNTIFS(請求記録!$B$6:$B$3005,$A129,請求記録!$X$6:$X$3005,N$5,請求記録!$AD$6:$AD$3005,"保留中")&gt;0,"保留",IF(COUNTIFS(請求記録!$B$6:$B$3005,$A129,請求記録!$X$6:$X$3005,N$5)=0,"",SUMIFS(請求記録!$AC$6:$AC$3005,請求記録!$B$6:$B$3005,$A129,請求記録!$X$6:$X$3005,N$5))))</f>
        <v/>
      </c>
      <c r="O129" s="19">
        <f>IF($A129="","",IF(COUNTIFS(請求記録!$B$6:$B$3005,$A129,請求記録!$X$6:$X$3005,O$5,請求記録!$AD$6:$AD$3005,"保留中")&gt;0,"保留",IF(COUNTIFS(請求記録!$B$6:$B$3005,$A129,請求記録!$X$6:$X$3005,O$5)=0,"",SUMIFS(請求記録!$AC$6:$AC$3005,請求記録!$B$6:$B$3005,$A129,請求記録!$X$6:$X$3005,O$5))))</f>
        <v/>
      </c>
      <c r="P129" s="19">
        <f>IF($A129="","",IF(COUNTIFS(請求記録!$B$6:$B$3005,$A129,請求記録!$X$6:$X$3005,P$5,請求記録!$AD$6:$AD$3005,"保留中")&gt;0,"保留",IF(COUNTIFS(請求記録!$B$6:$B$3005,$A129,請求記録!$X$6:$X$3005,P$5)=0,"",SUMIFS(請求記録!$AC$6:$AC$3005,請求記録!$B$6:$B$3005,$A129,請求記録!$X$6:$X$3005,P$5))))</f>
        <v/>
      </c>
      <c r="Q129" s="19">
        <f>IF($A129="","",IF(COUNTIFS(請求記録!$B$6:$B$3005,$A129,請求記録!$X$6:$X$3005,Q$5,請求記録!$AD$6:$AD$3005,"保留中")&gt;0,"保留",IF(COUNTIFS(請求記録!$B$6:$B$3005,$A129,請求記録!$X$6:$X$3005,Q$5)=0,"",SUMIFS(請求記録!$AC$6:$AC$3005,請求記録!$B$6:$B$3005,$A129,請求記録!$X$6:$X$3005,Q$5))))</f>
        <v/>
      </c>
      <c r="R129" s="19">
        <f>IF($A129="","",IF(COUNTIFS(請求記録!$B$6:$B$3005,$A129,請求記録!$X$6:$X$3005,R$5,請求記録!$AD$6:$AD$3005,"保留中")&gt;0,"保留",IF(COUNTIFS(請求記録!$B$6:$B$3005,$A129,請求記録!$X$6:$X$3005,R$5)=0,"",SUMIFS(請求記録!$AC$6:$AC$3005,請求記録!$B$6:$B$3005,$A129,請求記録!$X$6:$X$3005,R$5))))</f>
        <v/>
      </c>
      <c r="S129" s="19">
        <f>IF($A129="","",IF(COUNTIFS(請求記録!$B$6:$B$3005,$A129,請求記録!$X$6:$X$3005,S$5,請求記録!$AD$6:$AD$3005,"保留中")&gt;0,"保留",IF(COUNTIFS(請求記録!$B$6:$B$3005,$A129,請求記録!$X$6:$X$3005,S$5)=0,"",SUMIFS(請求記録!$AC$6:$AC$3005,請求記録!$B$6:$B$3005,$A129,請求記録!$X$6:$X$3005,S$5))))</f>
        <v/>
      </c>
      <c r="T129" s="19">
        <f>IF($A129="","",IF(COUNTIFS(請求記録!$B$6:$B$3005,$A129,請求記録!$X$6:$X$3005,T$5,請求記録!$AD$6:$AD$3005,"保留中")&gt;0,"保留",IF(COUNTIFS(請求記録!$B$6:$B$3005,$A129,請求記録!$X$6:$X$3005,T$5)=0,"",SUMIFS(請求記録!$AC$6:$AC$3005,請求記録!$B$6:$B$3005,$A129,請求記録!$X$6:$X$3005,T$5))))</f>
        <v/>
      </c>
      <c r="U129" s="19">
        <f>IF($A129="","",IF(COUNTIFS(請求記録!$B$6:$B$3005,$A129,請求記録!$X$6:$X$3005,U$5,請求記録!$AD$6:$AD$3005,"保留中")&gt;0,"保留",IF(COUNTIFS(請求記録!$B$6:$B$3005,$A129,請求記録!$X$6:$X$3005,U$5)=0,"",SUMIFS(請求記録!$AC$6:$AC$3005,請求記録!$B$6:$B$3005,$A129,請求記録!$X$6:$X$3005,U$5))))</f>
        <v/>
      </c>
      <c r="V129" s="19">
        <f>IF($A129="","",IF(COUNTIFS(請求記録!$B$6:$B$3005,$A129,請求記録!$X$6:$X$3005,V$5,請求記録!$AD$6:$AD$3005,"保留中")&gt;0,"保留",IF(COUNTIFS(請求記録!$B$6:$B$3005,$A129,請求記録!$X$6:$X$3005,V$5)=0,"",SUMIFS(請求記録!$AC$6:$AC$3005,請求記録!$B$6:$B$3005,$A129,請求記録!$X$6:$X$3005,V$5))))</f>
        <v/>
      </c>
      <c r="W129" s="19">
        <f>IF($A129="","",IF(COUNTIFS(請求記録!$B$6:$B$3005,$A129,請求記録!$X$6:$X$3005,W$5,請求記録!$AD$6:$AD$3005,"保留中")&gt;0,"保留",IF(COUNTIFS(請求記録!$B$6:$B$3005,$A129,請求記録!$X$6:$X$3005,W$5)=0,"",SUMIFS(請求記録!$AC$6:$AC$3005,請求記録!$B$6:$B$3005,$A129,請求記録!$X$6:$X$3005,W$5))))</f>
        <v/>
      </c>
      <c r="X129" s="19">
        <f>IF($A129="","",IF(COUNTIFS(請求記録!$B$6:$B$3005,$A129,請求記録!$X$6:$X$3005,X$5,請求記録!$AD$6:$AD$3005,"保留中")&gt;0,"保留",IF(COUNTIFS(請求記録!$B$6:$B$3005,$A129,請求記録!$X$6:$X$3005,X$5)=0,"",SUMIFS(請求記録!$AC$6:$AC$3005,請求記録!$B$6:$B$3005,$A129,請求記録!$X$6:$X$3005,X$5))))</f>
        <v/>
      </c>
      <c r="Y129" s="19">
        <f>IF($A129="","",IF(COUNTIFS(請求記録!$B$6:$B$3005,$A129,請求記録!$X$6:$X$3005,Y$5,請求記録!$AD$6:$AD$3005,"保留中")&gt;0,"保留",IF(COUNTIFS(請求記録!$B$6:$B$3005,$A129,請求記録!$X$6:$X$3005,Y$5)=0,"",SUMIFS(請求記録!$AC$6:$AC$3005,請求記録!$B$6:$B$3005,$A129,請求記録!$X$6:$X$3005,Y$5))))</f>
        <v/>
      </c>
      <c r="Z129" s="19">
        <f>IF($A129="","",IF(COUNTIFS(請求記録!$B$6:$B$3005,$A129,請求記録!$X$6:$X$3005,Z$5,請求記録!$AD$6:$AD$3005,"保留中")&gt;0,"保留",IF(COUNTIFS(請求記録!$B$6:$B$3005,$A129,請求記録!$X$6:$X$3005,Z$5)=0,"",SUMIFS(請求記録!$AC$6:$AC$3005,請求記録!$B$6:$B$3005,$A129,請求記録!$X$6:$X$3005,Z$5))))</f>
        <v/>
      </c>
      <c r="AA129" s="19">
        <f>IF($A129="","",IF(COUNTIFS(請求記録!$B$6:$B$3005,$A129,請求記録!$X$6:$X$3005,AA$5,請求記録!$AD$6:$AD$3005,"保留中")&gt;0,"保留",IF(COUNTIFS(請求記録!$B$6:$B$3005,$A129,請求記録!$X$6:$X$3005,AA$5)=0,"",SUMIFS(請求記録!$AC$6:$AC$3005,請求記録!$B$6:$B$3005,$A129,請求記録!$X$6:$X$3005,AA$5))))</f>
        <v/>
      </c>
      <c r="AB129">
        <f>IF(職員マスタ!P129="保留中",職員マスタ!M129,"")</f>
        <v/>
      </c>
    </row>
    <row r="130">
      <c r="A130">
        <f>IF(職員マスタ!A130="","",職員マスタ!A130)</f>
        <v/>
      </c>
      <c r="B130">
        <f>IF($A130="","",職員マスタ!B130)</f>
        <v/>
      </c>
      <c r="C130">
        <f>IF($A130="","",職員マスタ!C130)</f>
        <v/>
      </c>
      <c r="D130" s="19">
        <f>IF($A130="","",IF(COUNTIFS(請求記録!$B$6:$B$3005,$A130,請求記録!$X$6:$X$3005,D$5,請求記録!$AD$6:$AD$3005,"保留中")&gt;0,"保留",IF(COUNTIFS(請求記録!$B$6:$B$3005,$A130,請求記録!$X$6:$X$3005,D$5)=0,"",SUMIFS(請求記録!$AC$6:$AC$3005,請求記録!$B$6:$B$3005,$A130,請求記録!$X$6:$X$3005,D$5))))</f>
        <v/>
      </c>
      <c r="E130" s="19">
        <f>IF($A130="","",IF(COUNTIFS(請求記録!$B$6:$B$3005,$A130,請求記録!$X$6:$X$3005,E$5,請求記録!$AD$6:$AD$3005,"保留中")&gt;0,"保留",IF(COUNTIFS(請求記録!$B$6:$B$3005,$A130,請求記録!$X$6:$X$3005,E$5)=0,"",SUMIFS(請求記録!$AC$6:$AC$3005,請求記録!$B$6:$B$3005,$A130,請求記録!$X$6:$X$3005,E$5))))</f>
        <v/>
      </c>
      <c r="F130" s="19">
        <f>IF($A130="","",IF(COUNTIFS(請求記録!$B$6:$B$3005,$A130,請求記録!$X$6:$X$3005,F$5,請求記録!$AD$6:$AD$3005,"保留中")&gt;0,"保留",IF(COUNTIFS(請求記録!$B$6:$B$3005,$A130,請求記録!$X$6:$X$3005,F$5)=0,"",SUMIFS(請求記録!$AC$6:$AC$3005,請求記録!$B$6:$B$3005,$A130,請求記録!$X$6:$X$3005,F$5))))</f>
        <v/>
      </c>
      <c r="G130" s="19">
        <f>IF($A130="","",IF(COUNTIFS(請求記録!$B$6:$B$3005,$A130,請求記録!$X$6:$X$3005,G$5,請求記録!$AD$6:$AD$3005,"保留中")&gt;0,"保留",IF(COUNTIFS(請求記録!$B$6:$B$3005,$A130,請求記録!$X$6:$X$3005,G$5)=0,"",SUMIFS(請求記録!$AC$6:$AC$3005,請求記録!$B$6:$B$3005,$A130,請求記録!$X$6:$X$3005,G$5))))</f>
        <v/>
      </c>
      <c r="H130" s="19">
        <f>IF($A130="","",IF(COUNTIFS(請求記録!$B$6:$B$3005,$A130,請求記録!$X$6:$X$3005,H$5,請求記録!$AD$6:$AD$3005,"保留中")&gt;0,"保留",IF(COUNTIFS(請求記録!$B$6:$B$3005,$A130,請求記録!$X$6:$X$3005,H$5)=0,"",SUMIFS(請求記録!$AC$6:$AC$3005,請求記録!$B$6:$B$3005,$A130,請求記録!$X$6:$X$3005,H$5))))</f>
        <v/>
      </c>
      <c r="I130" s="19">
        <f>IF($A130="","",IF(COUNTIFS(請求記録!$B$6:$B$3005,$A130,請求記録!$X$6:$X$3005,I$5,請求記録!$AD$6:$AD$3005,"保留中")&gt;0,"保留",IF(COUNTIFS(請求記録!$B$6:$B$3005,$A130,請求記録!$X$6:$X$3005,I$5)=0,"",SUMIFS(請求記録!$AC$6:$AC$3005,請求記録!$B$6:$B$3005,$A130,請求記録!$X$6:$X$3005,I$5))))</f>
        <v/>
      </c>
      <c r="J130" s="19">
        <f>IF($A130="","",IF(COUNTIFS(請求記録!$B$6:$B$3005,$A130,請求記録!$X$6:$X$3005,J$5,請求記録!$AD$6:$AD$3005,"保留中")&gt;0,"保留",IF(COUNTIFS(請求記録!$B$6:$B$3005,$A130,請求記録!$X$6:$X$3005,J$5)=0,"",SUMIFS(請求記録!$AC$6:$AC$3005,請求記録!$B$6:$B$3005,$A130,請求記録!$X$6:$X$3005,J$5))))</f>
        <v/>
      </c>
      <c r="K130" s="19">
        <f>IF($A130="","",IF(COUNTIFS(請求記録!$B$6:$B$3005,$A130,請求記録!$X$6:$X$3005,K$5,請求記録!$AD$6:$AD$3005,"保留中")&gt;0,"保留",IF(COUNTIFS(請求記録!$B$6:$B$3005,$A130,請求記録!$X$6:$X$3005,K$5)=0,"",SUMIFS(請求記録!$AC$6:$AC$3005,請求記録!$B$6:$B$3005,$A130,請求記録!$X$6:$X$3005,K$5))))</f>
        <v/>
      </c>
      <c r="L130" s="19">
        <f>IF($A130="","",IF(COUNTIFS(請求記録!$B$6:$B$3005,$A130,請求記録!$X$6:$X$3005,L$5,請求記録!$AD$6:$AD$3005,"保留中")&gt;0,"保留",IF(COUNTIFS(請求記録!$B$6:$B$3005,$A130,請求記録!$X$6:$X$3005,L$5)=0,"",SUMIFS(請求記録!$AC$6:$AC$3005,請求記録!$B$6:$B$3005,$A130,請求記録!$X$6:$X$3005,L$5))))</f>
        <v/>
      </c>
      <c r="M130" s="19">
        <f>IF($A130="","",IF(COUNTIFS(請求記録!$B$6:$B$3005,$A130,請求記録!$X$6:$X$3005,M$5,請求記録!$AD$6:$AD$3005,"保留中")&gt;0,"保留",IF(COUNTIFS(請求記録!$B$6:$B$3005,$A130,請求記録!$X$6:$X$3005,M$5)=0,"",SUMIFS(請求記録!$AC$6:$AC$3005,請求記録!$B$6:$B$3005,$A130,請求記録!$X$6:$X$3005,M$5))))</f>
        <v/>
      </c>
      <c r="N130" s="19">
        <f>IF($A130="","",IF(COUNTIFS(請求記録!$B$6:$B$3005,$A130,請求記録!$X$6:$X$3005,N$5,請求記録!$AD$6:$AD$3005,"保留中")&gt;0,"保留",IF(COUNTIFS(請求記録!$B$6:$B$3005,$A130,請求記録!$X$6:$X$3005,N$5)=0,"",SUMIFS(請求記録!$AC$6:$AC$3005,請求記録!$B$6:$B$3005,$A130,請求記録!$X$6:$X$3005,N$5))))</f>
        <v/>
      </c>
      <c r="O130" s="19">
        <f>IF($A130="","",IF(COUNTIFS(請求記録!$B$6:$B$3005,$A130,請求記録!$X$6:$X$3005,O$5,請求記録!$AD$6:$AD$3005,"保留中")&gt;0,"保留",IF(COUNTIFS(請求記録!$B$6:$B$3005,$A130,請求記録!$X$6:$X$3005,O$5)=0,"",SUMIFS(請求記録!$AC$6:$AC$3005,請求記録!$B$6:$B$3005,$A130,請求記録!$X$6:$X$3005,O$5))))</f>
        <v/>
      </c>
      <c r="P130" s="19">
        <f>IF($A130="","",IF(COUNTIFS(請求記録!$B$6:$B$3005,$A130,請求記録!$X$6:$X$3005,P$5,請求記録!$AD$6:$AD$3005,"保留中")&gt;0,"保留",IF(COUNTIFS(請求記録!$B$6:$B$3005,$A130,請求記録!$X$6:$X$3005,P$5)=0,"",SUMIFS(請求記録!$AC$6:$AC$3005,請求記録!$B$6:$B$3005,$A130,請求記録!$X$6:$X$3005,P$5))))</f>
        <v/>
      </c>
      <c r="Q130" s="19">
        <f>IF($A130="","",IF(COUNTIFS(請求記録!$B$6:$B$3005,$A130,請求記録!$X$6:$X$3005,Q$5,請求記録!$AD$6:$AD$3005,"保留中")&gt;0,"保留",IF(COUNTIFS(請求記録!$B$6:$B$3005,$A130,請求記録!$X$6:$X$3005,Q$5)=0,"",SUMIFS(請求記録!$AC$6:$AC$3005,請求記録!$B$6:$B$3005,$A130,請求記録!$X$6:$X$3005,Q$5))))</f>
        <v/>
      </c>
      <c r="R130" s="19">
        <f>IF($A130="","",IF(COUNTIFS(請求記録!$B$6:$B$3005,$A130,請求記録!$X$6:$X$3005,R$5,請求記録!$AD$6:$AD$3005,"保留中")&gt;0,"保留",IF(COUNTIFS(請求記録!$B$6:$B$3005,$A130,請求記録!$X$6:$X$3005,R$5)=0,"",SUMIFS(請求記録!$AC$6:$AC$3005,請求記録!$B$6:$B$3005,$A130,請求記録!$X$6:$X$3005,R$5))))</f>
        <v/>
      </c>
      <c r="S130" s="19">
        <f>IF($A130="","",IF(COUNTIFS(請求記録!$B$6:$B$3005,$A130,請求記録!$X$6:$X$3005,S$5,請求記録!$AD$6:$AD$3005,"保留中")&gt;0,"保留",IF(COUNTIFS(請求記録!$B$6:$B$3005,$A130,請求記録!$X$6:$X$3005,S$5)=0,"",SUMIFS(請求記録!$AC$6:$AC$3005,請求記録!$B$6:$B$3005,$A130,請求記録!$X$6:$X$3005,S$5))))</f>
        <v/>
      </c>
      <c r="T130" s="19">
        <f>IF($A130="","",IF(COUNTIFS(請求記録!$B$6:$B$3005,$A130,請求記録!$X$6:$X$3005,T$5,請求記録!$AD$6:$AD$3005,"保留中")&gt;0,"保留",IF(COUNTIFS(請求記録!$B$6:$B$3005,$A130,請求記録!$X$6:$X$3005,T$5)=0,"",SUMIFS(請求記録!$AC$6:$AC$3005,請求記録!$B$6:$B$3005,$A130,請求記録!$X$6:$X$3005,T$5))))</f>
        <v/>
      </c>
      <c r="U130" s="19">
        <f>IF($A130="","",IF(COUNTIFS(請求記録!$B$6:$B$3005,$A130,請求記録!$X$6:$X$3005,U$5,請求記録!$AD$6:$AD$3005,"保留中")&gt;0,"保留",IF(COUNTIFS(請求記録!$B$6:$B$3005,$A130,請求記録!$X$6:$X$3005,U$5)=0,"",SUMIFS(請求記録!$AC$6:$AC$3005,請求記録!$B$6:$B$3005,$A130,請求記録!$X$6:$X$3005,U$5))))</f>
        <v/>
      </c>
      <c r="V130" s="19">
        <f>IF($A130="","",IF(COUNTIFS(請求記録!$B$6:$B$3005,$A130,請求記録!$X$6:$X$3005,V$5,請求記録!$AD$6:$AD$3005,"保留中")&gt;0,"保留",IF(COUNTIFS(請求記録!$B$6:$B$3005,$A130,請求記録!$X$6:$X$3005,V$5)=0,"",SUMIFS(請求記録!$AC$6:$AC$3005,請求記録!$B$6:$B$3005,$A130,請求記録!$X$6:$X$3005,V$5))))</f>
        <v/>
      </c>
      <c r="W130" s="19">
        <f>IF($A130="","",IF(COUNTIFS(請求記録!$B$6:$B$3005,$A130,請求記録!$X$6:$X$3005,W$5,請求記録!$AD$6:$AD$3005,"保留中")&gt;0,"保留",IF(COUNTIFS(請求記録!$B$6:$B$3005,$A130,請求記録!$X$6:$X$3005,W$5)=0,"",SUMIFS(請求記録!$AC$6:$AC$3005,請求記録!$B$6:$B$3005,$A130,請求記録!$X$6:$X$3005,W$5))))</f>
        <v/>
      </c>
      <c r="X130" s="19">
        <f>IF($A130="","",IF(COUNTIFS(請求記録!$B$6:$B$3005,$A130,請求記録!$X$6:$X$3005,X$5,請求記録!$AD$6:$AD$3005,"保留中")&gt;0,"保留",IF(COUNTIFS(請求記録!$B$6:$B$3005,$A130,請求記録!$X$6:$X$3005,X$5)=0,"",SUMIFS(請求記録!$AC$6:$AC$3005,請求記録!$B$6:$B$3005,$A130,請求記録!$X$6:$X$3005,X$5))))</f>
        <v/>
      </c>
      <c r="Y130" s="19">
        <f>IF($A130="","",IF(COUNTIFS(請求記録!$B$6:$B$3005,$A130,請求記録!$X$6:$X$3005,Y$5,請求記録!$AD$6:$AD$3005,"保留中")&gt;0,"保留",IF(COUNTIFS(請求記録!$B$6:$B$3005,$A130,請求記録!$X$6:$X$3005,Y$5)=0,"",SUMIFS(請求記録!$AC$6:$AC$3005,請求記録!$B$6:$B$3005,$A130,請求記録!$X$6:$X$3005,Y$5))))</f>
        <v/>
      </c>
      <c r="Z130" s="19">
        <f>IF($A130="","",IF(COUNTIFS(請求記録!$B$6:$B$3005,$A130,請求記録!$X$6:$X$3005,Z$5,請求記録!$AD$6:$AD$3005,"保留中")&gt;0,"保留",IF(COUNTIFS(請求記録!$B$6:$B$3005,$A130,請求記録!$X$6:$X$3005,Z$5)=0,"",SUMIFS(請求記録!$AC$6:$AC$3005,請求記録!$B$6:$B$3005,$A130,請求記録!$X$6:$X$3005,Z$5))))</f>
        <v/>
      </c>
      <c r="AA130" s="19">
        <f>IF($A130="","",IF(COUNTIFS(請求記録!$B$6:$B$3005,$A130,請求記録!$X$6:$X$3005,AA$5,請求記録!$AD$6:$AD$3005,"保留中")&gt;0,"保留",IF(COUNTIFS(請求記録!$B$6:$B$3005,$A130,請求記録!$X$6:$X$3005,AA$5)=0,"",SUMIFS(請求記録!$AC$6:$AC$3005,請求記録!$B$6:$B$3005,$A130,請求記録!$X$6:$X$3005,AA$5))))</f>
        <v/>
      </c>
      <c r="AB130">
        <f>IF(職員マスタ!P130="保留中",職員マスタ!M130,"")</f>
        <v/>
      </c>
    </row>
    <row r="131">
      <c r="A131">
        <f>IF(職員マスタ!A131="","",職員マスタ!A131)</f>
        <v/>
      </c>
      <c r="B131">
        <f>IF($A131="","",職員マスタ!B131)</f>
        <v/>
      </c>
      <c r="C131">
        <f>IF($A131="","",職員マスタ!C131)</f>
        <v/>
      </c>
      <c r="D131" s="19">
        <f>IF($A131="","",IF(COUNTIFS(請求記録!$B$6:$B$3005,$A131,請求記録!$X$6:$X$3005,D$5,請求記録!$AD$6:$AD$3005,"保留中")&gt;0,"保留",IF(COUNTIFS(請求記録!$B$6:$B$3005,$A131,請求記録!$X$6:$X$3005,D$5)=0,"",SUMIFS(請求記録!$AC$6:$AC$3005,請求記録!$B$6:$B$3005,$A131,請求記録!$X$6:$X$3005,D$5))))</f>
        <v/>
      </c>
      <c r="E131" s="19">
        <f>IF($A131="","",IF(COUNTIFS(請求記録!$B$6:$B$3005,$A131,請求記録!$X$6:$X$3005,E$5,請求記録!$AD$6:$AD$3005,"保留中")&gt;0,"保留",IF(COUNTIFS(請求記録!$B$6:$B$3005,$A131,請求記録!$X$6:$X$3005,E$5)=0,"",SUMIFS(請求記録!$AC$6:$AC$3005,請求記録!$B$6:$B$3005,$A131,請求記録!$X$6:$X$3005,E$5))))</f>
        <v/>
      </c>
      <c r="F131" s="19">
        <f>IF($A131="","",IF(COUNTIFS(請求記録!$B$6:$B$3005,$A131,請求記録!$X$6:$X$3005,F$5,請求記録!$AD$6:$AD$3005,"保留中")&gt;0,"保留",IF(COUNTIFS(請求記録!$B$6:$B$3005,$A131,請求記録!$X$6:$X$3005,F$5)=0,"",SUMIFS(請求記録!$AC$6:$AC$3005,請求記録!$B$6:$B$3005,$A131,請求記録!$X$6:$X$3005,F$5))))</f>
        <v/>
      </c>
      <c r="G131" s="19">
        <f>IF($A131="","",IF(COUNTIFS(請求記録!$B$6:$B$3005,$A131,請求記録!$X$6:$X$3005,G$5,請求記録!$AD$6:$AD$3005,"保留中")&gt;0,"保留",IF(COUNTIFS(請求記録!$B$6:$B$3005,$A131,請求記録!$X$6:$X$3005,G$5)=0,"",SUMIFS(請求記録!$AC$6:$AC$3005,請求記録!$B$6:$B$3005,$A131,請求記録!$X$6:$X$3005,G$5))))</f>
        <v/>
      </c>
      <c r="H131" s="19">
        <f>IF($A131="","",IF(COUNTIFS(請求記録!$B$6:$B$3005,$A131,請求記録!$X$6:$X$3005,H$5,請求記録!$AD$6:$AD$3005,"保留中")&gt;0,"保留",IF(COUNTIFS(請求記録!$B$6:$B$3005,$A131,請求記録!$X$6:$X$3005,H$5)=0,"",SUMIFS(請求記録!$AC$6:$AC$3005,請求記録!$B$6:$B$3005,$A131,請求記録!$X$6:$X$3005,H$5))))</f>
        <v/>
      </c>
      <c r="I131" s="19">
        <f>IF($A131="","",IF(COUNTIFS(請求記録!$B$6:$B$3005,$A131,請求記録!$X$6:$X$3005,I$5,請求記録!$AD$6:$AD$3005,"保留中")&gt;0,"保留",IF(COUNTIFS(請求記録!$B$6:$B$3005,$A131,請求記録!$X$6:$X$3005,I$5)=0,"",SUMIFS(請求記録!$AC$6:$AC$3005,請求記録!$B$6:$B$3005,$A131,請求記録!$X$6:$X$3005,I$5))))</f>
        <v/>
      </c>
      <c r="J131" s="19">
        <f>IF($A131="","",IF(COUNTIFS(請求記録!$B$6:$B$3005,$A131,請求記録!$X$6:$X$3005,J$5,請求記録!$AD$6:$AD$3005,"保留中")&gt;0,"保留",IF(COUNTIFS(請求記録!$B$6:$B$3005,$A131,請求記録!$X$6:$X$3005,J$5)=0,"",SUMIFS(請求記録!$AC$6:$AC$3005,請求記録!$B$6:$B$3005,$A131,請求記録!$X$6:$X$3005,J$5))))</f>
        <v/>
      </c>
      <c r="K131" s="19">
        <f>IF($A131="","",IF(COUNTIFS(請求記録!$B$6:$B$3005,$A131,請求記録!$X$6:$X$3005,K$5,請求記録!$AD$6:$AD$3005,"保留中")&gt;0,"保留",IF(COUNTIFS(請求記録!$B$6:$B$3005,$A131,請求記録!$X$6:$X$3005,K$5)=0,"",SUMIFS(請求記録!$AC$6:$AC$3005,請求記録!$B$6:$B$3005,$A131,請求記録!$X$6:$X$3005,K$5))))</f>
        <v/>
      </c>
      <c r="L131" s="19">
        <f>IF($A131="","",IF(COUNTIFS(請求記録!$B$6:$B$3005,$A131,請求記録!$X$6:$X$3005,L$5,請求記録!$AD$6:$AD$3005,"保留中")&gt;0,"保留",IF(COUNTIFS(請求記録!$B$6:$B$3005,$A131,請求記録!$X$6:$X$3005,L$5)=0,"",SUMIFS(請求記録!$AC$6:$AC$3005,請求記録!$B$6:$B$3005,$A131,請求記録!$X$6:$X$3005,L$5))))</f>
        <v/>
      </c>
      <c r="M131" s="19">
        <f>IF($A131="","",IF(COUNTIFS(請求記録!$B$6:$B$3005,$A131,請求記録!$X$6:$X$3005,M$5,請求記録!$AD$6:$AD$3005,"保留中")&gt;0,"保留",IF(COUNTIFS(請求記録!$B$6:$B$3005,$A131,請求記録!$X$6:$X$3005,M$5)=0,"",SUMIFS(請求記録!$AC$6:$AC$3005,請求記録!$B$6:$B$3005,$A131,請求記録!$X$6:$X$3005,M$5))))</f>
        <v/>
      </c>
      <c r="N131" s="19">
        <f>IF($A131="","",IF(COUNTIFS(請求記録!$B$6:$B$3005,$A131,請求記録!$X$6:$X$3005,N$5,請求記録!$AD$6:$AD$3005,"保留中")&gt;0,"保留",IF(COUNTIFS(請求記録!$B$6:$B$3005,$A131,請求記録!$X$6:$X$3005,N$5)=0,"",SUMIFS(請求記録!$AC$6:$AC$3005,請求記録!$B$6:$B$3005,$A131,請求記録!$X$6:$X$3005,N$5))))</f>
        <v/>
      </c>
      <c r="O131" s="19">
        <f>IF($A131="","",IF(COUNTIFS(請求記録!$B$6:$B$3005,$A131,請求記録!$X$6:$X$3005,O$5,請求記録!$AD$6:$AD$3005,"保留中")&gt;0,"保留",IF(COUNTIFS(請求記録!$B$6:$B$3005,$A131,請求記録!$X$6:$X$3005,O$5)=0,"",SUMIFS(請求記録!$AC$6:$AC$3005,請求記録!$B$6:$B$3005,$A131,請求記録!$X$6:$X$3005,O$5))))</f>
        <v/>
      </c>
      <c r="P131" s="19">
        <f>IF($A131="","",IF(COUNTIFS(請求記録!$B$6:$B$3005,$A131,請求記録!$X$6:$X$3005,P$5,請求記録!$AD$6:$AD$3005,"保留中")&gt;0,"保留",IF(COUNTIFS(請求記録!$B$6:$B$3005,$A131,請求記録!$X$6:$X$3005,P$5)=0,"",SUMIFS(請求記録!$AC$6:$AC$3005,請求記録!$B$6:$B$3005,$A131,請求記録!$X$6:$X$3005,P$5))))</f>
        <v/>
      </c>
      <c r="Q131" s="19">
        <f>IF($A131="","",IF(COUNTIFS(請求記録!$B$6:$B$3005,$A131,請求記録!$X$6:$X$3005,Q$5,請求記録!$AD$6:$AD$3005,"保留中")&gt;0,"保留",IF(COUNTIFS(請求記録!$B$6:$B$3005,$A131,請求記録!$X$6:$X$3005,Q$5)=0,"",SUMIFS(請求記録!$AC$6:$AC$3005,請求記録!$B$6:$B$3005,$A131,請求記録!$X$6:$X$3005,Q$5))))</f>
        <v/>
      </c>
      <c r="R131" s="19">
        <f>IF($A131="","",IF(COUNTIFS(請求記録!$B$6:$B$3005,$A131,請求記録!$X$6:$X$3005,R$5,請求記録!$AD$6:$AD$3005,"保留中")&gt;0,"保留",IF(COUNTIFS(請求記録!$B$6:$B$3005,$A131,請求記録!$X$6:$X$3005,R$5)=0,"",SUMIFS(請求記録!$AC$6:$AC$3005,請求記録!$B$6:$B$3005,$A131,請求記録!$X$6:$X$3005,R$5))))</f>
        <v/>
      </c>
      <c r="S131" s="19">
        <f>IF($A131="","",IF(COUNTIFS(請求記録!$B$6:$B$3005,$A131,請求記録!$X$6:$X$3005,S$5,請求記録!$AD$6:$AD$3005,"保留中")&gt;0,"保留",IF(COUNTIFS(請求記録!$B$6:$B$3005,$A131,請求記録!$X$6:$X$3005,S$5)=0,"",SUMIFS(請求記録!$AC$6:$AC$3005,請求記録!$B$6:$B$3005,$A131,請求記録!$X$6:$X$3005,S$5))))</f>
        <v/>
      </c>
      <c r="T131" s="19">
        <f>IF($A131="","",IF(COUNTIFS(請求記録!$B$6:$B$3005,$A131,請求記録!$X$6:$X$3005,T$5,請求記録!$AD$6:$AD$3005,"保留中")&gt;0,"保留",IF(COUNTIFS(請求記録!$B$6:$B$3005,$A131,請求記録!$X$6:$X$3005,T$5)=0,"",SUMIFS(請求記録!$AC$6:$AC$3005,請求記録!$B$6:$B$3005,$A131,請求記録!$X$6:$X$3005,T$5))))</f>
        <v/>
      </c>
      <c r="U131" s="19">
        <f>IF($A131="","",IF(COUNTIFS(請求記録!$B$6:$B$3005,$A131,請求記録!$X$6:$X$3005,U$5,請求記録!$AD$6:$AD$3005,"保留中")&gt;0,"保留",IF(COUNTIFS(請求記録!$B$6:$B$3005,$A131,請求記録!$X$6:$X$3005,U$5)=0,"",SUMIFS(請求記録!$AC$6:$AC$3005,請求記録!$B$6:$B$3005,$A131,請求記録!$X$6:$X$3005,U$5))))</f>
        <v/>
      </c>
      <c r="V131" s="19">
        <f>IF($A131="","",IF(COUNTIFS(請求記録!$B$6:$B$3005,$A131,請求記録!$X$6:$X$3005,V$5,請求記録!$AD$6:$AD$3005,"保留中")&gt;0,"保留",IF(COUNTIFS(請求記録!$B$6:$B$3005,$A131,請求記録!$X$6:$X$3005,V$5)=0,"",SUMIFS(請求記録!$AC$6:$AC$3005,請求記録!$B$6:$B$3005,$A131,請求記録!$X$6:$X$3005,V$5))))</f>
        <v/>
      </c>
      <c r="W131" s="19">
        <f>IF($A131="","",IF(COUNTIFS(請求記録!$B$6:$B$3005,$A131,請求記録!$X$6:$X$3005,W$5,請求記録!$AD$6:$AD$3005,"保留中")&gt;0,"保留",IF(COUNTIFS(請求記録!$B$6:$B$3005,$A131,請求記録!$X$6:$X$3005,W$5)=0,"",SUMIFS(請求記録!$AC$6:$AC$3005,請求記録!$B$6:$B$3005,$A131,請求記録!$X$6:$X$3005,W$5))))</f>
        <v/>
      </c>
      <c r="X131" s="19">
        <f>IF($A131="","",IF(COUNTIFS(請求記録!$B$6:$B$3005,$A131,請求記録!$X$6:$X$3005,X$5,請求記録!$AD$6:$AD$3005,"保留中")&gt;0,"保留",IF(COUNTIFS(請求記録!$B$6:$B$3005,$A131,請求記録!$X$6:$X$3005,X$5)=0,"",SUMIFS(請求記録!$AC$6:$AC$3005,請求記録!$B$6:$B$3005,$A131,請求記録!$X$6:$X$3005,X$5))))</f>
        <v/>
      </c>
      <c r="Y131" s="19">
        <f>IF($A131="","",IF(COUNTIFS(請求記録!$B$6:$B$3005,$A131,請求記録!$X$6:$X$3005,Y$5,請求記録!$AD$6:$AD$3005,"保留中")&gt;0,"保留",IF(COUNTIFS(請求記録!$B$6:$B$3005,$A131,請求記録!$X$6:$X$3005,Y$5)=0,"",SUMIFS(請求記録!$AC$6:$AC$3005,請求記録!$B$6:$B$3005,$A131,請求記録!$X$6:$X$3005,Y$5))))</f>
        <v/>
      </c>
      <c r="Z131" s="19">
        <f>IF($A131="","",IF(COUNTIFS(請求記録!$B$6:$B$3005,$A131,請求記録!$X$6:$X$3005,Z$5,請求記録!$AD$6:$AD$3005,"保留中")&gt;0,"保留",IF(COUNTIFS(請求記録!$B$6:$B$3005,$A131,請求記録!$X$6:$X$3005,Z$5)=0,"",SUMIFS(請求記録!$AC$6:$AC$3005,請求記録!$B$6:$B$3005,$A131,請求記録!$X$6:$X$3005,Z$5))))</f>
        <v/>
      </c>
      <c r="AA131" s="19">
        <f>IF($A131="","",IF(COUNTIFS(請求記録!$B$6:$B$3005,$A131,請求記録!$X$6:$X$3005,AA$5,請求記録!$AD$6:$AD$3005,"保留中")&gt;0,"保留",IF(COUNTIFS(請求記録!$B$6:$B$3005,$A131,請求記録!$X$6:$X$3005,AA$5)=0,"",SUMIFS(請求記録!$AC$6:$AC$3005,請求記録!$B$6:$B$3005,$A131,請求記録!$X$6:$X$3005,AA$5))))</f>
        <v/>
      </c>
      <c r="AB131">
        <f>IF(職員マスタ!P131="保留中",職員マスタ!M131,"")</f>
        <v/>
      </c>
    </row>
    <row r="132">
      <c r="A132">
        <f>IF(職員マスタ!A132="","",職員マスタ!A132)</f>
        <v/>
      </c>
      <c r="B132">
        <f>IF($A132="","",職員マスタ!B132)</f>
        <v/>
      </c>
      <c r="C132">
        <f>IF($A132="","",職員マスタ!C132)</f>
        <v/>
      </c>
      <c r="D132" s="19">
        <f>IF($A132="","",IF(COUNTIFS(請求記録!$B$6:$B$3005,$A132,請求記録!$X$6:$X$3005,D$5,請求記録!$AD$6:$AD$3005,"保留中")&gt;0,"保留",IF(COUNTIFS(請求記録!$B$6:$B$3005,$A132,請求記録!$X$6:$X$3005,D$5)=0,"",SUMIFS(請求記録!$AC$6:$AC$3005,請求記録!$B$6:$B$3005,$A132,請求記録!$X$6:$X$3005,D$5))))</f>
        <v/>
      </c>
      <c r="E132" s="19">
        <f>IF($A132="","",IF(COUNTIFS(請求記録!$B$6:$B$3005,$A132,請求記録!$X$6:$X$3005,E$5,請求記録!$AD$6:$AD$3005,"保留中")&gt;0,"保留",IF(COUNTIFS(請求記録!$B$6:$B$3005,$A132,請求記録!$X$6:$X$3005,E$5)=0,"",SUMIFS(請求記録!$AC$6:$AC$3005,請求記録!$B$6:$B$3005,$A132,請求記録!$X$6:$X$3005,E$5))))</f>
        <v/>
      </c>
      <c r="F132" s="19">
        <f>IF($A132="","",IF(COUNTIFS(請求記録!$B$6:$B$3005,$A132,請求記録!$X$6:$X$3005,F$5,請求記録!$AD$6:$AD$3005,"保留中")&gt;0,"保留",IF(COUNTIFS(請求記録!$B$6:$B$3005,$A132,請求記録!$X$6:$X$3005,F$5)=0,"",SUMIFS(請求記録!$AC$6:$AC$3005,請求記録!$B$6:$B$3005,$A132,請求記録!$X$6:$X$3005,F$5))))</f>
        <v/>
      </c>
      <c r="G132" s="19">
        <f>IF($A132="","",IF(COUNTIFS(請求記録!$B$6:$B$3005,$A132,請求記録!$X$6:$X$3005,G$5,請求記録!$AD$6:$AD$3005,"保留中")&gt;0,"保留",IF(COUNTIFS(請求記録!$B$6:$B$3005,$A132,請求記録!$X$6:$X$3005,G$5)=0,"",SUMIFS(請求記録!$AC$6:$AC$3005,請求記録!$B$6:$B$3005,$A132,請求記録!$X$6:$X$3005,G$5))))</f>
        <v/>
      </c>
      <c r="H132" s="19">
        <f>IF($A132="","",IF(COUNTIFS(請求記録!$B$6:$B$3005,$A132,請求記録!$X$6:$X$3005,H$5,請求記録!$AD$6:$AD$3005,"保留中")&gt;0,"保留",IF(COUNTIFS(請求記録!$B$6:$B$3005,$A132,請求記録!$X$6:$X$3005,H$5)=0,"",SUMIFS(請求記録!$AC$6:$AC$3005,請求記録!$B$6:$B$3005,$A132,請求記録!$X$6:$X$3005,H$5))))</f>
        <v/>
      </c>
      <c r="I132" s="19">
        <f>IF($A132="","",IF(COUNTIFS(請求記録!$B$6:$B$3005,$A132,請求記録!$X$6:$X$3005,I$5,請求記録!$AD$6:$AD$3005,"保留中")&gt;0,"保留",IF(COUNTIFS(請求記録!$B$6:$B$3005,$A132,請求記録!$X$6:$X$3005,I$5)=0,"",SUMIFS(請求記録!$AC$6:$AC$3005,請求記録!$B$6:$B$3005,$A132,請求記録!$X$6:$X$3005,I$5))))</f>
        <v/>
      </c>
      <c r="J132" s="19">
        <f>IF($A132="","",IF(COUNTIFS(請求記録!$B$6:$B$3005,$A132,請求記録!$X$6:$X$3005,J$5,請求記録!$AD$6:$AD$3005,"保留中")&gt;0,"保留",IF(COUNTIFS(請求記録!$B$6:$B$3005,$A132,請求記録!$X$6:$X$3005,J$5)=0,"",SUMIFS(請求記録!$AC$6:$AC$3005,請求記録!$B$6:$B$3005,$A132,請求記録!$X$6:$X$3005,J$5))))</f>
        <v/>
      </c>
      <c r="K132" s="19">
        <f>IF($A132="","",IF(COUNTIFS(請求記録!$B$6:$B$3005,$A132,請求記録!$X$6:$X$3005,K$5,請求記録!$AD$6:$AD$3005,"保留中")&gt;0,"保留",IF(COUNTIFS(請求記録!$B$6:$B$3005,$A132,請求記録!$X$6:$X$3005,K$5)=0,"",SUMIFS(請求記録!$AC$6:$AC$3005,請求記録!$B$6:$B$3005,$A132,請求記録!$X$6:$X$3005,K$5))))</f>
        <v/>
      </c>
      <c r="L132" s="19">
        <f>IF($A132="","",IF(COUNTIFS(請求記録!$B$6:$B$3005,$A132,請求記録!$X$6:$X$3005,L$5,請求記録!$AD$6:$AD$3005,"保留中")&gt;0,"保留",IF(COUNTIFS(請求記録!$B$6:$B$3005,$A132,請求記録!$X$6:$X$3005,L$5)=0,"",SUMIFS(請求記録!$AC$6:$AC$3005,請求記録!$B$6:$B$3005,$A132,請求記録!$X$6:$X$3005,L$5))))</f>
        <v/>
      </c>
      <c r="M132" s="19">
        <f>IF($A132="","",IF(COUNTIFS(請求記録!$B$6:$B$3005,$A132,請求記録!$X$6:$X$3005,M$5,請求記録!$AD$6:$AD$3005,"保留中")&gt;0,"保留",IF(COUNTIFS(請求記録!$B$6:$B$3005,$A132,請求記録!$X$6:$X$3005,M$5)=0,"",SUMIFS(請求記録!$AC$6:$AC$3005,請求記録!$B$6:$B$3005,$A132,請求記録!$X$6:$X$3005,M$5))))</f>
        <v/>
      </c>
      <c r="N132" s="19">
        <f>IF($A132="","",IF(COUNTIFS(請求記録!$B$6:$B$3005,$A132,請求記録!$X$6:$X$3005,N$5,請求記録!$AD$6:$AD$3005,"保留中")&gt;0,"保留",IF(COUNTIFS(請求記録!$B$6:$B$3005,$A132,請求記録!$X$6:$X$3005,N$5)=0,"",SUMIFS(請求記録!$AC$6:$AC$3005,請求記録!$B$6:$B$3005,$A132,請求記録!$X$6:$X$3005,N$5))))</f>
        <v/>
      </c>
      <c r="O132" s="19">
        <f>IF($A132="","",IF(COUNTIFS(請求記録!$B$6:$B$3005,$A132,請求記録!$X$6:$X$3005,O$5,請求記録!$AD$6:$AD$3005,"保留中")&gt;0,"保留",IF(COUNTIFS(請求記録!$B$6:$B$3005,$A132,請求記録!$X$6:$X$3005,O$5)=0,"",SUMIFS(請求記録!$AC$6:$AC$3005,請求記録!$B$6:$B$3005,$A132,請求記録!$X$6:$X$3005,O$5))))</f>
        <v/>
      </c>
      <c r="P132" s="19">
        <f>IF($A132="","",IF(COUNTIFS(請求記録!$B$6:$B$3005,$A132,請求記録!$X$6:$X$3005,P$5,請求記録!$AD$6:$AD$3005,"保留中")&gt;0,"保留",IF(COUNTIFS(請求記録!$B$6:$B$3005,$A132,請求記録!$X$6:$X$3005,P$5)=0,"",SUMIFS(請求記録!$AC$6:$AC$3005,請求記録!$B$6:$B$3005,$A132,請求記録!$X$6:$X$3005,P$5))))</f>
        <v/>
      </c>
      <c r="Q132" s="19">
        <f>IF($A132="","",IF(COUNTIFS(請求記録!$B$6:$B$3005,$A132,請求記録!$X$6:$X$3005,Q$5,請求記録!$AD$6:$AD$3005,"保留中")&gt;0,"保留",IF(COUNTIFS(請求記録!$B$6:$B$3005,$A132,請求記録!$X$6:$X$3005,Q$5)=0,"",SUMIFS(請求記録!$AC$6:$AC$3005,請求記録!$B$6:$B$3005,$A132,請求記録!$X$6:$X$3005,Q$5))))</f>
        <v/>
      </c>
      <c r="R132" s="19">
        <f>IF($A132="","",IF(COUNTIFS(請求記録!$B$6:$B$3005,$A132,請求記録!$X$6:$X$3005,R$5,請求記録!$AD$6:$AD$3005,"保留中")&gt;0,"保留",IF(COUNTIFS(請求記録!$B$6:$B$3005,$A132,請求記録!$X$6:$X$3005,R$5)=0,"",SUMIFS(請求記録!$AC$6:$AC$3005,請求記録!$B$6:$B$3005,$A132,請求記録!$X$6:$X$3005,R$5))))</f>
        <v/>
      </c>
      <c r="S132" s="19">
        <f>IF($A132="","",IF(COUNTIFS(請求記録!$B$6:$B$3005,$A132,請求記録!$X$6:$X$3005,S$5,請求記録!$AD$6:$AD$3005,"保留中")&gt;0,"保留",IF(COUNTIFS(請求記録!$B$6:$B$3005,$A132,請求記録!$X$6:$X$3005,S$5)=0,"",SUMIFS(請求記録!$AC$6:$AC$3005,請求記録!$B$6:$B$3005,$A132,請求記録!$X$6:$X$3005,S$5))))</f>
        <v/>
      </c>
      <c r="T132" s="19">
        <f>IF($A132="","",IF(COUNTIFS(請求記録!$B$6:$B$3005,$A132,請求記録!$X$6:$X$3005,T$5,請求記録!$AD$6:$AD$3005,"保留中")&gt;0,"保留",IF(COUNTIFS(請求記録!$B$6:$B$3005,$A132,請求記録!$X$6:$X$3005,T$5)=0,"",SUMIFS(請求記録!$AC$6:$AC$3005,請求記録!$B$6:$B$3005,$A132,請求記録!$X$6:$X$3005,T$5))))</f>
        <v/>
      </c>
      <c r="U132" s="19">
        <f>IF($A132="","",IF(COUNTIFS(請求記録!$B$6:$B$3005,$A132,請求記録!$X$6:$X$3005,U$5,請求記録!$AD$6:$AD$3005,"保留中")&gt;0,"保留",IF(COUNTIFS(請求記録!$B$6:$B$3005,$A132,請求記録!$X$6:$X$3005,U$5)=0,"",SUMIFS(請求記録!$AC$6:$AC$3005,請求記録!$B$6:$B$3005,$A132,請求記録!$X$6:$X$3005,U$5))))</f>
        <v/>
      </c>
      <c r="V132" s="19">
        <f>IF($A132="","",IF(COUNTIFS(請求記録!$B$6:$B$3005,$A132,請求記録!$X$6:$X$3005,V$5,請求記録!$AD$6:$AD$3005,"保留中")&gt;0,"保留",IF(COUNTIFS(請求記録!$B$6:$B$3005,$A132,請求記録!$X$6:$X$3005,V$5)=0,"",SUMIFS(請求記録!$AC$6:$AC$3005,請求記録!$B$6:$B$3005,$A132,請求記録!$X$6:$X$3005,V$5))))</f>
        <v/>
      </c>
      <c r="W132" s="19">
        <f>IF($A132="","",IF(COUNTIFS(請求記録!$B$6:$B$3005,$A132,請求記録!$X$6:$X$3005,W$5,請求記録!$AD$6:$AD$3005,"保留中")&gt;0,"保留",IF(COUNTIFS(請求記録!$B$6:$B$3005,$A132,請求記録!$X$6:$X$3005,W$5)=0,"",SUMIFS(請求記録!$AC$6:$AC$3005,請求記録!$B$6:$B$3005,$A132,請求記録!$X$6:$X$3005,W$5))))</f>
        <v/>
      </c>
      <c r="X132" s="19">
        <f>IF($A132="","",IF(COUNTIFS(請求記録!$B$6:$B$3005,$A132,請求記録!$X$6:$X$3005,X$5,請求記録!$AD$6:$AD$3005,"保留中")&gt;0,"保留",IF(COUNTIFS(請求記録!$B$6:$B$3005,$A132,請求記録!$X$6:$X$3005,X$5)=0,"",SUMIFS(請求記録!$AC$6:$AC$3005,請求記録!$B$6:$B$3005,$A132,請求記録!$X$6:$X$3005,X$5))))</f>
        <v/>
      </c>
      <c r="Y132" s="19">
        <f>IF($A132="","",IF(COUNTIFS(請求記録!$B$6:$B$3005,$A132,請求記録!$X$6:$X$3005,Y$5,請求記録!$AD$6:$AD$3005,"保留中")&gt;0,"保留",IF(COUNTIFS(請求記録!$B$6:$B$3005,$A132,請求記録!$X$6:$X$3005,Y$5)=0,"",SUMIFS(請求記録!$AC$6:$AC$3005,請求記録!$B$6:$B$3005,$A132,請求記録!$X$6:$X$3005,Y$5))))</f>
        <v/>
      </c>
      <c r="Z132" s="19">
        <f>IF($A132="","",IF(COUNTIFS(請求記録!$B$6:$B$3005,$A132,請求記録!$X$6:$X$3005,Z$5,請求記録!$AD$6:$AD$3005,"保留中")&gt;0,"保留",IF(COUNTIFS(請求記録!$B$6:$B$3005,$A132,請求記録!$X$6:$X$3005,Z$5)=0,"",SUMIFS(請求記録!$AC$6:$AC$3005,請求記録!$B$6:$B$3005,$A132,請求記録!$X$6:$X$3005,Z$5))))</f>
        <v/>
      </c>
      <c r="AA132" s="19">
        <f>IF($A132="","",IF(COUNTIFS(請求記録!$B$6:$B$3005,$A132,請求記録!$X$6:$X$3005,AA$5,請求記録!$AD$6:$AD$3005,"保留中")&gt;0,"保留",IF(COUNTIFS(請求記録!$B$6:$B$3005,$A132,請求記録!$X$6:$X$3005,AA$5)=0,"",SUMIFS(請求記録!$AC$6:$AC$3005,請求記録!$B$6:$B$3005,$A132,請求記録!$X$6:$X$3005,AA$5))))</f>
        <v/>
      </c>
      <c r="AB132">
        <f>IF(職員マスタ!P132="保留中",職員マスタ!M132,"")</f>
        <v/>
      </c>
    </row>
    <row r="133">
      <c r="A133">
        <f>IF(職員マスタ!A133="","",職員マスタ!A133)</f>
        <v/>
      </c>
      <c r="B133">
        <f>IF($A133="","",職員マスタ!B133)</f>
        <v/>
      </c>
      <c r="C133">
        <f>IF($A133="","",職員マスタ!C133)</f>
        <v/>
      </c>
      <c r="D133" s="19">
        <f>IF($A133="","",IF(COUNTIFS(請求記録!$B$6:$B$3005,$A133,請求記録!$X$6:$X$3005,D$5,請求記録!$AD$6:$AD$3005,"保留中")&gt;0,"保留",IF(COUNTIFS(請求記録!$B$6:$B$3005,$A133,請求記録!$X$6:$X$3005,D$5)=0,"",SUMIFS(請求記録!$AC$6:$AC$3005,請求記録!$B$6:$B$3005,$A133,請求記録!$X$6:$X$3005,D$5))))</f>
        <v/>
      </c>
      <c r="E133" s="19">
        <f>IF($A133="","",IF(COUNTIFS(請求記録!$B$6:$B$3005,$A133,請求記録!$X$6:$X$3005,E$5,請求記録!$AD$6:$AD$3005,"保留中")&gt;0,"保留",IF(COUNTIFS(請求記録!$B$6:$B$3005,$A133,請求記録!$X$6:$X$3005,E$5)=0,"",SUMIFS(請求記録!$AC$6:$AC$3005,請求記録!$B$6:$B$3005,$A133,請求記録!$X$6:$X$3005,E$5))))</f>
        <v/>
      </c>
      <c r="F133" s="19">
        <f>IF($A133="","",IF(COUNTIFS(請求記録!$B$6:$B$3005,$A133,請求記録!$X$6:$X$3005,F$5,請求記録!$AD$6:$AD$3005,"保留中")&gt;0,"保留",IF(COUNTIFS(請求記録!$B$6:$B$3005,$A133,請求記録!$X$6:$X$3005,F$5)=0,"",SUMIFS(請求記録!$AC$6:$AC$3005,請求記録!$B$6:$B$3005,$A133,請求記録!$X$6:$X$3005,F$5))))</f>
        <v/>
      </c>
      <c r="G133" s="19">
        <f>IF($A133="","",IF(COUNTIFS(請求記録!$B$6:$B$3005,$A133,請求記録!$X$6:$X$3005,G$5,請求記録!$AD$6:$AD$3005,"保留中")&gt;0,"保留",IF(COUNTIFS(請求記録!$B$6:$B$3005,$A133,請求記録!$X$6:$X$3005,G$5)=0,"",SUMIFS(請求記録!$AC$6:$AC$3005,請求記録!$B$6:$B$3005,$A133,請求記録!$X$6:$X$3005,G$5))))</f>
        <v/>
      </c>
      <c r="H133" s="19">
        <f>IF($A133="","",IF(COUNTIFS(請求記録!$B$6:$B$3005,$A133,請求記録!$X$6:$X$3005,H$5,請求記録!$AD$6:$AD$3005,"保留中")&gt;0,"保留",IF(COUNTIFS(請求記録!$B$6:$B$3005,$A133,請求記録!$X$6:$X$3005,H$5)=0,"",SUMIFS(請求記録!$AC$6:$AC$3005,請求記録!$B$6:$B$3005,$A133,請求記録!$X$6:$X$3005,H$5))))</f>
        <v/>
      </c>
      <c r="I133" s="19">
        <f>IF($A133="","",IF(COUNTIFS(請求記録!$B$6:$B$3005,$A133,請求記録!$X$6:$X$3005,I$5,請求記録!$AD$6:$AD$3005,"保留中")&gt;0,"保留",IF(COUNTIFS(請求記録!$B$6:$B$3005,$A133,請求記録!$X$6:$X$3005,I$5)=0,"",SUMIFS(請求記録!$AC$6:$AC$3005,請求記録!$B$6:$B$3005,$A133,請求記録!$X$6:$X$3005,I$5))))</f>
        <v/>
      </c>
      <c r="J133" s="19">
        <f>IF($A133="","",IF(COUNTIFS(請求記録!$B$6:$B$3005,$A133,請求記録!$X$6:$X$3005,J$5,請求記録!$AD$6:$AD$3005,"保留中")&gt;0,"保留",IF(COUNTIFS(請求記録!$B$6:$B$3005,$A133,請求記録!$X$6:$X$3005,J$5)=0,"",SUMIFS(請求記録!$AC$6:$AC$3005,請求記録!$B$6:$B$3005,$A133,請求記録!$X$6:$X$3005,J$5))))</f>
        <v/>
      </c>
      <c r="K133" s="19">
        <f>IF($A133="","",IF(COUNTIFS(請求記録!$B$6:$B$3005,$A133,請求記録!$X$6:$X$3005,K$5,請求記録!$AD$6:$AD$3005,"保留中")&gt;0,"保留",IF(COUNTIFS(請求記録!$B$6:$B$3005,$A133,請求記録!$X$6:$X$3005,K$5)=0,"",SUMIFS(請求記録!$AC$6:$AC$3005,請求記録!$B$6:$B$3005,$A133,請求記録!$X$6:$X$3005,K$5))))</f>
        <v/>
      </c>
      <c r="L133" s="19">
        <f>IF($A133="","",IF(COUNTIFS(請求記録!$B$6:$B$3005,$A133,請求記録!$X$6:$X$3005,L$5,請求記録!$AD$6:$AD$3005,"保留中")&gt;0,"保留",IF(COUNTIFS(請求記録!$B$6:$B$3005,$A133,請求記録!$X$6:$X$3005,L$5)=0,"",SUMIFS(請求記録!$AC$6:$AC$3005,請求記録!$B$6:$B$3005,$A133,請求記録!$X$6:$X$3005,L$5))))</f>
        <v/>
      </c>
      <c r="M133" s="19">
        <f>IF($A133="","",IF(COUNTIFS(請求記録!$B$6:$B$3005,$A133,請求記録!$X$6:$X$3005,M$5,請求記録!$AD$6:$AD$3005,"保留中")&gt;0,"保留",IF(COUNTIFS(請求記録!$B$6:$B$3005,$A133,請求記録!$X$6:$X$3005,M$5)=0,"",SUMIFS(請求記録!$AC$6:$AC$3005,請求記録!$B$6:$B$3005,$A133,請求記録!$X$6:$X$3005,M$5))))</f>
        <v/>
      </c>
      <c r="N133" s="19">
        <f>IF($A133="","",IF(COUNTIFS(請求記録!$B$6:$B$3005,$A133,請求記録!$X$6:$X$3005,N$5,請求記録!$AD$6:$AD$3005,"保留中")&gt;0,"保留",IF(COUNTIFS(請求記録!$B$6:$B$3005,$A133,請求記録!$X$6:$X$3005,N$5)=0,"",SUMIFS(請求記録!$AC$6:$AC$3005,請求記録!$B$6:$B$3005,$A133,請求記録!$X$6:$X$3005,N$5))))</f>
        <v/>
      </c>
      <c r="O133" s="19">
        <f>IF($A133="","",IF(COUNTIFS(請求記録!$B$6:$B$3005,$A133,請求記録!$X$6:$X$3005,O$5,請求記録!$AD$6:$AD$3005,"保留中")&gt;0,"保留",IF(COUNTIFS(請求記録!$B$6:$B$3005,$A133,請求記録!$X$6:$X$3005,O$5)=0,"",SUMIFS(請求記録!$AC$6:$AC$3005,請求記録!$B$6:$B$3005,$A133,請求記録!$X$6:$X$3005,O$5))))</f>
        <v/>
      </c>
      <c r="P133" s="19">
        <f>IF($A133="","",IF(COUNTIFS(請求記録!$B$6:$B$3005,$A133,請求記録!$X$6:$X$3005,P$5,請求記録!$AD$6:$AD$3005,"保留中")&gt;0,"保留",IF(COUNTIFS(請求記録!$B$6:$B$3005,$A133,請求記録!$X$6:$X$3005,P$5)=0,"",SUMIFS(請求記録!$AC$6:$AC$3005,請求記録!$B$6:$B$3005,$A133,請求記録!$X$6:$X$3005,P$5))))</f>
        <v/>
      </c>
      <c r="Q133" s="19">
        <f>IF($A133="","",IF(COUNTIFS(請求記録!$B$6:$B$3005,$A133,請求記録!$X$6:$X$3005,Q$5,請求記録!$AD$6:$AD$3005,"保留中")&gt;0,"保留",IF(COUNTIFS(請求記録!$B$6:$B$3005,$A133,請求記録!$X$6:$X$3005,Q$5)=0,"",SUMIFS(請求記録!$AC$6:$AC$3005,請求記録!$B$6:$B$3005,$A133,請求記録!$X$6:$X$3005,Q$5))))</f>
        <v/>
      </c>
      <c r="R133" s="19">
        <f>IF($A133="","",IF(COUNTIFS(請求記録!$B$6:$B$3005,$A133,請求記録!$X$6:$X$3005,R$5,請求記録!$AD$6:$AD$3005,"保留中")&gt;0,"保留",IF(COUNTIFS(請求記録!$B$6:$B$3005,$A133,請求記録!$X$6:$X$3005,R$5)=0,"",SUMIFS(請求記録!$AC$6:$AC$3005,請求記録!$B$6:$B$3005,$A133,請求記録!$X$6:$X$3005,R$5))))</f>
        <v/>
      </c>
      <c r="S133" s="19">
        <f>IF($A133="","",IF(COUNTIFS(請求記録!$B$6:$B$3005,$A133,請求記録!$X$6:$X$3005,S$5,請求記録!$AD$6:$AD$3005,"保留中")&gt;0,"保留",IF(COUNTIFS(請求記録!$B$6:$B$3005,$A133,請求記録!$X$6:$X$3005,S$5)=0,"",SUMIFS(請求記録!$AC$6:$AC$3005,請求記録!$B$6:$B$3005,$A133,請求記録!$X$6:$X$3005,S$5))))</f>
        <v/>
      </c>
      <c r="T133" s="19">
        <f>IF($A133="","",IF(COUNTIFS(請求記録!$B$6:$B$3005,$A133,請求記録!$X$6:$X$3005,T$5,請求記録!$AD$6:$AD$3005,"保留中")&gt;0,"保留",IF(COUNTIFS(請求記録!$B$6:$B$3005,$A133,請求記録!$X$6:$X$3005,T$5)=0,"",SUMIFS(請求記録!$AC$6:$AC$3005,請求記録!$B$6:$B$3005,$A133,請求記録!$X$6:$X$3005,T$5))))</f>
        <v/>
      </c>
      <c r="U133" s="19">
        <f>IF($A133="","",IF(COUNTIFS(請求記録!$B$6:$B$3005,$A133,請求記録!$X$6:$X$3005,U$5,請求記録!$AD$6:$AD$3005,"保留中")&gt;0,"保留",IF(COUNTIFS(請求記録!$B$6:$B$3005,$A133,請求記録!$X$6:$X$3005,U$5)=0,"",SUMIFS(請求記録!$AC$6:$AC$3005,請求記録!$B$6:$B$3005,$A133,請求記録!$X$6:$X$3005,U$5))))</f>
        <v/>
      </c>
      <c r="V133" s="19">
        <f>IF($A133="","",IF(COUNTIFS(請求記録!$B$6:$B$3005,$A133,請求記録!$X$6:$X$3005,V$5,請求記録!$AD$6:$AD$3005,"保留中")&gt;0,"保留",IF(COUNTIFS(請求記録!$B$6:$B$3005,$A133,請求記録!$X$6:$X$3005,V$5)=0,"",SUMIFS(請求記録!$AC$6:$AC$3005,請求記録!$B$6:$B$3005,$A133,請求記録!$X$6:$X$3005,V$5))))</f>
        <v/>
      </c>
      <c r="W133" s="19">
        <f>IF($A133="","",IF(COUNTIFS(請求記録!$B$6:$B$3005,$A133,請求記録!$X$6:$X$3005,W$5,請求記録!$AD$6:$AD$3005,"保留中")&gt;0,"保留",IF(COUNTIFS(請求記録!$B$6:$B$3005,$A133,請求記録!$X$6:$X$3005,W$5)=0,"",SUMIFS(請求記録!$AC$6:$AC$3005,請求記録!$B$6:$B$3005,$A133,請求記録!$X$6:$X$3005,W$5))))</f>
        <v/>
      </c>
      <c r="X133" s="19">
        <f>IF($A133="","",IF(COUNTIFS(請求記録!$B$6:$B$3005,$A133,請求記録!$X$6:$X$3005,X$5,請求記録!$AD$6:$AD$3005,"保留中")&gt;0,"保留",IF(COUNTIFS(請求記録!$B$6:$B$3005,$A133,請求記録!$X$6:$X$3005,X$5)=0,"",SUMIFS(請求記録!$AC$6:$AC$3005,請求記録!$B$6:$B$3005,$A133,請求記録!$X$6:$X$3005,X$5))))</f>
        <v/>
      </c>
      <c r="Y133" s="19">
        <f>IF($A133="","",IF(COUNTIFS(請求記録!$B$6:$B$3005,$A133,請求記録!$X$6:$X$3005,Y$5,請求記録!$AD$6:$AD$3005,"保留中")&gt;0,"保留",IF(COUNTIFS(請求記録!$B$6:$B$3005,$A133,請求記録!$X$6:$X$3005,Y$5)=0,"",SUMIFS(請求記録!$AC$6:$AC$3005,請求記録!$B$6:$B$3005,$A133,請求記録!$X$6:$X$3005,Y$5))))</f>
        <v/>
      </c>
      <c r="Z133" s="19">
        <f>IF($A133="","",IF(COUNTIFS(請求記録!$B$6:$B$3005,$A133,請求記録!$X$6:$X$3005,Z$5,請求記録!$AD$6:$AD$3005,"保留中")&gt;0,"保留",IF(COUNTIFS(請求記録!$B$6:$B$3005,$A133,請求記録!$X$6:$X$3005,Z$5)=0,"",SUMIFS(請求記録!$AC$6:$AC$3005,請求記録!$B$6:$B$3005,$A133,請求記録!$X$6:$X$3005,Z$5))))</f>
        <v/>
      </c>
      <c r="AA133" s="19">
        <f>IF($A133="","",IF(COUNTIFS(請求記録!$B$6:$B$3005,$A133,請求記録!$X$6:$X$3005,AA$5,請求記録!$AD$6:$AD$3005,"保留中")&gt;0,"保留",IF(COUNTIFS(請求記録!$B$6:$B$3005,$A133,請求記録!$X$6:$X$3005,AA$5)=0,"",SUMIFS(請求記録!$AC$6:$AC$3005,請求記録!$B$6:$B$3005,$A133,請求記録!$X$6:$X$3005,AA$5))))</f>
        <v/>
      </c>
      <c r="AB133">
        <f>IF(職員マスタ!P133="保留中",職員マスタ!M133,"")</f>
        <v/>
      </c>
    </row>
    <row r="134">
      <c r="A134">
        <f>IF(職員マスタ!A134="","",職員マスタ!A134)</f>
        <v/>
      </c>
      <c r="B134">
        <f>IF($A134="","",職員マスタ!B134)</f>
        <v/>
      </c>
      <c r="C134">
        <f>IF($A134="","",職員マスタ!C134)</f>
        <v/>
      </c>
      <c r="D134" s="19">
        <f>IF($A134="","",IF(COUNTIFS(請求記録!$B$6:$B$3005,$A134,請求記録!$X$6:$X$3005,D$5,請求記録!$AD$6:$AD$3005,"保留中")&gt;0,"保留",IF(COUNTIFS(請求記録!$B$6:$B$3005,$A134,請求記録!$X$6:$X$3005,D$5)=0,"",SUMIFS(請求記録!$AC$6:$AC$3005,請求記録!$B$6:$B$3005,$A134,請求記録!$X$6:$X$3005,D$5))))</f>
        <v/>
      </c>
      <c r="E134" s="19">
        <f>IF($A134="","",IF(COUNTIFS(請求記録!$B$6:$B$3005,$A134,請求記録!$X$6:$X$3005,E$5,請求記録!$AD$6:$AD$3005,"保留中")&gt;0,"保留",IF(COUNTIFS(請求記録!$B$6:$B$3005,$A134,請求記録!$X$6:$X$3005,E$5)=0,"",SUMIFS(請求記録!$AC$6:$AC$3005,請求記録!$B$6:$B$3005,$A134,請求記録!$X$6:$X$3005,E$5))))</f>
        <v/>
      </c>
      <c r="F134" s="19">
        <f>IF($A134="","",IF(COUNTIFS(請求記録!$B$6:$B$3005,$A134,請求記録!$X$6:$X$3005,F$5,請求記録!$AD$6:$AD$3005,"保留中")&gt;0,"保留",IF(COUNTIFS(請求記録!$B$6:$B$3005,$A134,請求記録!$X$6:$X$3005,F$5)=0,"",SUMIFS(請求記録!$AC$6:$AC$3005,請求記録!$B$6:$B$3005,$A134,請求記録!$X$6:$X$3005,F$5))))</f>
        <v/>
      </c>
      <c r="G134" s="19">
        <f>IF($A134="","",IF(COUNTIFS(請求記録!$B$6:$B$3005,$A134,請求記録!$X$6:$X$3005,G$5,請求記録!$AD$6:$AD$3005,"保留中")&gt;0,"保留",IF(COUNTIFS(請求記録!$B$6:$B$3005,$A134,請求記録!$X$6:$X$3005,G$5)=0,"",SUMIFS(請求記録!$AC$6:$AC$3005,請求記録!$B$6:$B$3005,$A134,請求記録!$X$6:$X$3005,G$5))))</f>
        <v/>
      </c>
      <c r="H134" s="19">
        <f>IF($A134="","",IF(COUNTIFS(請求記録!$B$6:$B$3005,$A134,請求記録!$X$6:$X$3005,H$5,請求記録!$AD$6:$AD$3005,"保留中")&gt;0,"保留",IF(COUNTIFS(請求記録!$B$6:$B$3005,$A134,請求記録!$X$6:$X$3005,H$5)=0,"",SUMIFS(請求記録!$AC$6:$AC$3005,請求記録!$B$6:$B$3005,$A134,請求記録!$X$6:$X$3005,H$5))))</f>
        <v/>
      </c>
      <c r="I134" s="19">
        <f>IF($A134="","",IF(COUNTIFS(請求記録!$B$6:$B$3005,$A134,請求記録!$X$6:$X$3005,I$5,請求記録!$AD$6:$AD$3005,"保留中")&gt;0,"保留",IF(COUNTIFS(請求記録!$B$6:$B$3005,$A134,請求記録!$X$6:$X$3005,I$5)=0,"",SUMIFS(請求記録!$AC$6:$AC$3005,請求記録!$B$6:$B$3005,$A134,請求記録!$X$6:$X$3005,I$5))))</f>
        <v/>
      </c>
      <c r="J134" s="19">
        <f>IF($A134="","",IF(COUNTIFS(請求記録!$B$6:$B$3005,$A134,請求記録!$X$6:$X$3005,J$5,請求記録!$AD$6:$AD$3005,"保留中")&gt;0,"保留",IF(COUNTIFS(請求記録!$B$6:$B$3005,$A134,請求記録!$X$6:$X$3005,J$5)=0,"",SUMIFS(請求記録!$AC$6:$AC$3005,請求記録!$B$6:$B$3005,$A134,請求記録!$X$6:$X$3005,J$5))))</f>
        <v/>
      </c>
      <c r="K134" s="19">
        <f>IF($A134="","",IF(COUNTIFS(請求記録!$B$6:$B$3005,$A134,請求記録!$X$6:$X$3005,K$5,請求記録!$AD$6:$AD$3005,"保留中")&gt;0,"保留",IF(COUNTIFS(請求記録!$B$6:$B$3005,$A134,請求記録!$X$6:$X$3005,K$5)=0,"",SUMIFS(請求記録!$AC$6:$AC$3005,請求記録!$B$6:$B$3005,$A134,請求記録!$X$6:$X$3005,K$5))))</f>
        <v/>
      </c>
      <c r="L134" s="19">
        <f>IF($A134="","",IF(COUNTIFS(請求記録!$B$6:$B$3005,$A134,請求記録!$X$6:$X$3005,L$5,請求記録!$AD$6:$AD$3005,"保留中")&gt;0,"保留",IF(COUNTIFS(請求記録!$B$6:$B$3005,$A134,請求記録!$X$6:$X$3005,L$5)=0,"",SUMIFS(請求記録!$AC$6:$AC$3005,請求記録!$B$6:$B$3005,$A134,請求記録!$X$6:$X$3005,L$5))))</f>
        <v/>
      </c>
      <c r="M134" s="19">
        <f>IF($A134="","",IF(COUNTIFS(請求記録!$B$6:$B$3005,$A134,請求記録!$X$6:$X$3005,M$5,請求記録!$AD$6:$AD$3005,"保留中")&gt;0,"保留",IF(COUNTIFS(請求記録!$B$6:$B$3005,$A134,請求記録!$X$6:$X$3005,M$5)=0,"",SUMIFS(請求記録!$AC$6:$AC$3005,請求記録!$B$6:$B$3005,$A134,請求記録!$X$6:$X$3005,M$5))))</f>
        <v/>
      </c>
      <c r="N134" s="19">
        <f>IF($A134="","",IF(COUNTIFS(請求記録!$B$6:$B$3005,$A134,請求記録!$X$6:$X$3005,N$5,請求記録!$AD$6:$AD$3005,"保留中")&gt;0,"保留",IF(COUNTIFS(請求記録!$B$6:$B$3005,$A134,請求記録!$X$6:$X$3005,N$5)=0,"",SUMIFS(請求記録!$AC$6:$AC$3005,請求記録!$B$6:$B$3005,$A134,請求記録!$X$6:$X$3005,N$5))))</f>
        <v/>
      </c>
      <c r="O134" s="19">
        <f>IF($A134="","",IF(COUNTIFS(請求記録!$B$6:$B$3005,$A134,請求記録!$X$6:$X$3005,O$5,請求記録!$AD$6:$AD$3005,"保留中")&gt;0,"保留",IF(COUNTIFS(請求記録!$B$6:$B$3005,$A134,請求記録!$X$6:$X$3005,O$5)=0,"",SUMIFS(請求記録!$AC$6:$AC$3005,請求記録!$B$6:$B$3005,$A134,請求記録!$X$6:$X$3005,O$5))))</f>
        <v/>
      </c>
      <c r="P134" s="19">
        <f>IF($A134="","",IF(COUNTIFS(請求記録!$B$6:$B$3005,$A134,請求記録!$X$6:$X$3005,P$5,請求記録!$AD$6:$AD$3005,"保留中")&gt;0,"保留",IF(COUNTIFS(請求記録!$B$6:$B$3005,$A134,請求記録!$X$6:$X$3005,P$5)=0,"",SUMIFS(請求記録!$AC$6:$AC$3005,請求記録!$B$6:$B$3005,$A134,請求記録!$X$6:$X$3005,P$5))))</f>
        <v/>
      </c>
      <c r="Q134" s="19">
        <f>IF($A134="","",IF(COUNTIFS(請求記録!$B$6:$B$3005,$A134,請求記録!$X$6:$X$3005,Q$5,請求記録!$AD$6:$AD$3005,"保留中")&gt;0,"保留",IF(COUNTIFS(請求記録!$B$6:$B$3005,$A134,請求記録!$X$6:$X$3005,Q$5)=0,"",SUMIFS(請求記録!$AC$6:$AC$3005,請求記録!$B$6:$B$3005,$A134,請求記録!$X$6:$X$3005,Q$5))))</f>
        <v/>
      </c>
      <c r="R134" s="19">
        <f>IF($A134="","",IF(COUNTIFS(請求記録!$B$6:$B$3005,$A134,請求記録!$X$6:$X$3005,R$5,請求記録!$AD$6:$AD$3005,"保留中")&gt;0,"保留",IF(COUNTIFS(請求記録!$B$6:$B$3005,$A134,請求記録!$X$6:$X$3005,R$5)=0,"",SUMIFS(請求記録!$AC$6:$AC$3005,請求記録!$B$6:$B$3005,$A134,請求記録!$X$6:$X$3005,R$5))))</f>
        <v/>
      </c>
      <c r="S134" s="19">
        <f>IF($A134="","",IF(COUNTIFS(請求記録!$B$6:$B$3005,$A134,請求記録!$X$6:$X$3005,S$5,請求記録!$AD$6:$AD$3005,"保留中")&gt;0,"保留",IF(COUNTIFS(請求記録!$B$6:$B$3005,$A134,請求記録!$X$6:$X$3005,S$5)=0,"",SUMIFS(請求記録!$AC$6:$AC$3005,請求記録!$B$6:$B$3005,$A134,請求記録!$X$6:$X$3005,S$5))))</f>
        <v/>
      </c>
      <c r="T134" s="19">
        <f>IF($A134="","",IF(COUNTIFS(請求記録!$B$6:$B$3005,$A134,請求記録!$X$6:$X$3005,T$5,請求記録!$AD$6:$AD$3005,"保留中")&gt;0,"保留",IF(COUNTIFS(請求記録!$B$6:$B$3005,$A134,請求記録!$X$6:$X$3005,T$5)=0,"",SUMIFS(請求記録!$AC$6:$AC$3005,請求記録!$B$6:$B$3005,$A134,請求記録!$X$6:$X$3005,T$5))))</f>
        <v/>
      </c>
      <c r="U134" s="19">
        <f>IF($A134="","",IF(COUNTIFS(請求記録!$B$6:$B$3005,$A134,請求記録!$X$6:$X$3005,U$5,請求記録!$AD$6:$AD$3005,"保留中")&gt;0,"保留",IF(COUNTIFS(請求記録!$B$6:$B$3005,$A134,請求記録!$X$6:$X$3005,U$5)=0,"",SUMIFS(請求記録!$AC$6:$AC$3005,請求記録!$B$6:$B$3005,$A134,請求記録!$X$6:$X$3005,U$5))))</f>
        <v/>
      </c>
      <c r="V134" s="19">
        <f>IF($A134="","",IF(COUNTIFS(請求記録!$B$6:$B$3005,$A134,請求記録!$X$6:$X$3005,V$5,請求記録!$AD$6:$AD$3005,"保留中")&gt;0,"保留",IF(COUNTIFS(請求記録!$B$6:$B$3005,$A134,請求記録!$X$6:$X$3005,V$5)=0,"",SUMIFS(請求記録!$AC$6:$AC$3005,請求記録!$B$6:$B$3005,$A134,請求記録!$X$6:$X$3005,V$5))))</f>
        <v/>
      </c>
      <c r="W134" s="19">
        <f>IF($A134="","",IF(COUNTIFS(請求記録!$B$6:$B$3005,$A134,請求記録!$X$6:$X$3005,W$5,請求記録!$AD$6:$AD$3005,"保留中")&gt;0,"保留",IF(COUNTIFS(請求記録!$B$6:$B$3005,$A134,請求記録!$X$6:$X$3005,W$5)=0,"",SUMIFS(請求記録!$AC$6:$AC$3005,請求記録!$B$6:$B$3005,$A134,請求記録!$X$6:$X$3005,W$5))))</f>
        <v/>
      </c>
      <c r="X134" s="19">
        <f>IF($A134="","",IF(COUNTIFS(請求記録!$B$6:$B$3005,$A134,請求記録!$X$6:$X$3005,X$5,請求記録!$AD$6:$AD$3005,"保留中")&gt;0,"保留",IF(COUNTIFS(請求記録!$B$6:$B$3005,$A134,請求記録!$X$6:$X$3005,X$5)=0,"",SUMIFS(請求記録!$AC$6:$AC$3005,請求記録!$B$6:$B$3005,$A134,請求記録!$X$6:$X$3005,X$5))))</f>
        <v/>
      </c>
      <c r="Y134" s="19">
        <f>IF($A134="","",IF(COUNTIFS(請求記録!$B$6:$B$3005,$A134,請求記録!$X$6:$X$3005,Y$5,請求記録!$AD$6:$AD$3005,"保留中")&gt;0,"保留",IF(COUNTIFS(請求記録!$B$6:$B$3005,$A134,請求記録!$X$6:$X$3005,Y$5)=0,"",SUMIFS(請求記録!$AC$6:$AC$3005,請求記録!$B$6:$B$3005,$A134,請求記録!$X$6:$X$3005,Y$5))))</f>
        <v/>
      </c>
      <c r="Z134" s="19">
        <f>IF($A134="","",IF(COUNTIFS(請求記録!$B$6:$B$3005,$A134,請求記録!$X$6:$X$3005,Z$5,請求記録!$AD$6:$AD$3005,"保留中")&gt;0,"保留",IF(COUNTIFS(請求記録!$B$6:$B$3005,$A134,請求記録!$X$6:$X$3005,Z$5)=0,"",SUMIFS(請求記録!$AC$6:$AC$3005,請求記録!$B$6:$B$3005,$A134,請求記録!$X$6:$X$3005,Z$5))))</f>
        <v/>
      </c>
      <c r="AA134" s="19">
        <f>IF($A134="","",IF(COUNTIFS(請求記録!$B$6:$B$3005,$A134,請求記録!$X$6:$X$3005,AA$5,請求記録!$AD$6:$AD$3005,"保留中")&gt;0,"保留",IF(COUNTIFS(請求記録!$B$6:$B$3005,$A134,請求記録!$X$6:$X$3005,AA$5)=0,"",SUMIFS(請求記録!$AC$6:$AC$3005,請求記録!$B$6:$B$3005,$A134,請求記録!$X$6:$X$3005,AA$5))))</f>
        <v/>
      </c>
      <c r="AB134">
        <f>IF(職員マスタ!P134="保留中",職員マスタ!M134,"")</f>
        <v/>
      </c>
    </row>
    <row r="135">
      <c r="A135">
        <f>IF(職員マスタ!A135="","",職員マスタ!A135)</f>
        <v/>
      </c>
      <c r="B135">
        <f>IF($A135="","",職員マスタ!B135)</f>
        <v/>
      </c>
      <c r="C135">
        <f>IF($A135="","",職員マスタ!C135)</f>
        <v/>
      </c>
      <c r="D135" s="19">
        <f>IF($A135="","",IF(COUNTIFS(請求記録!$B$6:$B$3005,$A135,請求記録!$X$6:$X$3005,D$5,請求記録!$AD$6:$AD$3005,"保留中")&gt;0,"保留",IF(COUNTIFS(請求記録!$B$6:$B$3005,$A135,請求記録!$X$6:$X$3005,D$5)=0,"",SUMIFS(請求記録!$AC$6:$AC$3005,請求記録!$B$6:$B$3005,$A135,請求記録!$X$6:$X$3005,D$5))))</f>
        <v/>
      </c>
      <c r="E135" s="19">
        <f>IF($A135="","",IF(COUNTIFS(請求記録!$B$6:$B$3005,$A135,請求記録!$X$6:$X$3005,E$5,請求記録!$AD$6:$AD$3005,"保留中")&gt;0,"保留",IF(COUNTIFS(請求記録!$B$6:$B$3005,$A135,請求記録!$X$6:$X$3005,E$5)=0,"",SUMIFS(請求記録!$AC$6:$AC$3005,請求記録!$B$6:$B$3005,$A135,請求記録!$X$6:$X$3005,E$5))))</f>
        <v/>
      </c>
      <c r="F135" s="19">
        <f>IF($A135="","",IF(COUNTIFS(請求記録!$B$6:$B$3005,$A135,請求記録!$X$6:$X$3005,F$5,請求記録!$AD$6:$AD$3005,"保留中")&gt;0,"保留",IF(COUNTIFS(請求記録!$B$6:$B$3005,$A135,請求記録!$X$6:$X$3005,F$5)=0,"",SUMIFS(請求記録!$AC$6:$AC$3005,請求記録!$B$6:$B$3005,$A135,請求記録!$X$6:$X$3005,F$5))))</f>
        <v/>
      </c>
      <c r="G135" s="19">
        <f>IF($A135="","",IF(COUNTIFS(請求記録!$B$6:$B$3005,$A135,請求記録!$X$6:$X$3005,G$5,請求記録!$AD$6:$AD$3005,"保留中")&gt;0,"保留",IF(COUNTIFS(請求記録!$B$6:$B$3005,$A135,請求記録!$X$6:$X$3005,G$5)=0,"",SUMIFS(請求記録!$AC$6:$AC$3005,請求記録!$B$6:$B$3005,$A135,請求記録!$X$6:$X$3005,G$5))))</f>
        <v/>
      </c>
      <c r="H135" s="19">
        <f>IF($A135="","",IF(COUNTIFS(請求記録!$B$6:$B$3005,$A135,請求記録!$X$6:$X$3005,H$5,請求記録!$AD$6:$AD$3005,"保留中")&gt;0,"保留",IF(COUNTIFS(請求記録!$B$6:$B$3005,$A135,請求記録!$X$6:$X$3005,H$5)=0,"",SUMIFS(請求記録!$AC$6:$AC$3005,請求記録!$B$6:$B$3005,$A135,請求記録!$X$6:$X$3005,H$5))))</f>
        <v/>
      </c>
      <c r="I135" s="19">
        <f>IF($A135="","",IF(COUNTIFS(請求記録!$B$6:$B$3005,$A135,請求記録!$X$6:$X$3005,I$5,請求記録!$AD$6:$AD$3005,"保留中")&gt;0,"保留",IF(COUNTIFS(請求記録!$B$6:$B$3005,$A135,請求記録!$X$6:$X$3005,I$5)=0,"",SUMIFS(請求記録!$AC$6:$AC$3005,請求記録!$B$6:$B$3005,$A135,請求記録!$X$6:$X$3005,I$5))))</f>
        <v/>
      </c>
      <c r="J135" s="19">
        <f>IF($A135="","",IF(COUNTIFS(請求記録!$B$6:$B$3005,$A135,請求記録!$X$6:$X$3005,J$5,請求記録!$AD$6:$AD$3005,"保留中")&gt;0,"保留",IF(COUNTIFS(請求記録!$B$6:$B$3005,$A135,請求記録!$X$6:$X$3005,J$5)=0,"",SUMIFS(請求記録!$AC$6:$AC$3005,請求記録!$B$6:$B$3005,$A135,請求記録!$X$6:$X$3005,J$5))))</f>
        <v/>
      </c>
      <c r="K135" s="19">
        <f>IF($A135="","",IF(COUNTIFS(請求記録!$B$6:$B$3005,$A135,請求記録!$X$6:$X$3005,K$5,請求記録!$AD$6:$AD$3005,"保留中")&gt;0,"保留",IF(COUNTIFS(請求記録!$B$6:$B$3005,$A135,請求記録!$X$6:$X$3005,K$5)=0,"",SUMIFS(請求記録!$AC$6:$AC$3005,請求記録!$B$6:$B$3005,$A135,請求記録!$X$6:$X$3005,K$5))))</f>
        <v/>
      </c>
      <c r="L135" s="19">
        <f>IF($A135="","",IF(COUNTIFS(請求記録!$B$6:$B$3005,$A135,請求記録!$X$6:$X$3005,L$5,請求記録!$AD$6:$AD$3005,"保留中")&gt;0,"保留",IF(COUNTIFS(請求記録!$B$6:$B$3005,$A135,請求記録!$X$6:$X$3005,L$5)=0,"",SUMIFS(請求記録!$AC$6:$AC$3005,請求記録!$B$6:$B$3005,$A135,請求記録!$X$6:$X$3005,L$5))))</f>
        <v/>
      </c>
      <c r="M135" s="19">
        <f>IF($A135="","",IF(COUNTIFS(請求記録!$B$6:$B$3005,$A135,請求記録!$X$6:$X$3005,M$5,請求記録!$AD$6:$AD$3005,"保留中")&gt;0,"保留",IF(COUNTIFS(請求記録!$B$6:$B$3005,$A135,請求記録!$X$6:$X$3005,M$5)=0,"",SUMIFS(請求記録!$AC$6:$AC$3005,請求記録!$B$6:$B$3005,$A135,請求記録!$X$6:$X$3005,M$5))))</f>
        <v/>
      </c>
      <c r="N135" s="19">
        <f>IF($A135="","",IF(COUNTIFS(請求記録!$B$6:$B$3005,$A135,請求記録!$X$6:$X$3005,N$5,請求記録!$AD$6:$AD$3005,"保留中")&gt;0,"保留",IF(COUNTIFS(請求記録!$B$6:$B$3005,$A135,請求記録!$X$6:$X$3005,N$5)=0,"",SUMIFS(請求記録!$AC$6:$AC$3005,請求記録!$B$6:$B$3005,$A135,請求記録!$X$6:$X$3005,N$5))))</f>
        <v/>
      </c>
      <c r="O135" s="19">
        <f>IF($A135="","",IF(COUNTIFS(請求記録!$B$6:$B$3005,$A135,請求記録!$X$6:$X$3005,O$5,請求記録!$AD$6:$AD$3005,"保留中")&gt;0,"保留",IF(COUNTIFS(請求記録!$B$6:$B$3005,$A135,請求記録!$X$6:$X$3005,O$5)=0,"",SUMIFS(請求記録!$AC$6:$AC$3005,請求記録!$B$6:$B$3005,$A135,請求記録!$X$6:$X$3005,O$5))))</f>
        <v/>
      </c>
      <c r="P135" s="19">
        <f>IF($A135="","",IF(COUNTIFS(請求記録!$B$6:$B$3005,$A135,請求記録!$X$6:$X$3005,P$5,請求記録!$AD$6:$AD$3005,"保留中")&gt;0,"保留",IF(COUNTIFS(請求記録!$B$6:$B$3005,$A135,請求記録!$X$6:$X$3005,P$5)=0,"",SUMIFS(請求記録!$AC$6:$AC$3005,請求記録!$B$6:$B$3005,$A135,請求記録!$X$6:$X$3005,P$5))))</f>
        <v/>
      </c>
      <c r="Q135" s="19">
        <f>IF($A135="","",IF(COUNTIFS(請求記録!$B$6:$B$3005,$A135,請求記録!$X$6:$X$3005,Q$5,請求記録!$AD$6:$AD$3005,"保留中")&gt;0,"保留",IF(COUNTIFS(請求記録!$B$6:$B$3005,$A135,請求記録!$X$6:$X$3005,Q$5)=0,"",SUMIFS(請求記録!$AC$6:$AC$3005,請求記録!$B$6:$B$3005,$A135,請求記録!$X$6:$X$3005,Q$5))))</f>
        <v/>
      </c>
      <c r="R135" s="19">
        <f>IF($A135="","",IF(COUNTIFS(請求記録!$B$6:$B$3005,$A135,請求記録!$X$6:$X$3005,R$5,請求記録!$AD$6:$AD$3005,"保留中")&gt;0,"保留",IF(COUNTIFS(請求記録!$B$6:$B$3005,$A135,請求記録!$X$6:$X$3005,R$5)=0,"",SUMIFS(請求記録!$AC$6:$AC$3005,請求記録!$B$6:$B$3005,$A135,請求記録!$X$6:$X$3005,R$5))))</f>
        <v/>
      </c>
      <c r="S135" s="19">
        <f>IF($A135="","",IF(COUNTIFS(請求記録!$B$6:$B$3005,$A135,請求記録!$X$6:$X$3005,S$5,請求記録!$AD$6:$AD$3005,"保留中")&gt;0,"保留",IF(COUNTIFS(請求記録!$B$6:$B$3005,$A135,請求記録!$X$6:$X$3005,S$5)=0,"",SUMIFS(請求記録!$AC$6:$AC$3005,請求記録!$B$6:$B$3005,$A135,請求記録!$X$6:$X$3005,S$5))))</f>
        <v/>
      </c>
      <c r="T135" s="19">
        <f>IF($A135="","",IF(COUNTIFS(請求記録!$B$6:$B$3005,$A135,請求記録!$X$6:$X$3005,T$5,請求記録!$AD$6:$AD$3005,"保留中")&gt;0,"保留",IF(COUNTIFS(請求記録!$B$6:$B$3005,$A135,請求記録!$X$6:$X$3005,T$5)=0,"",SUMIFS(請求記録!$AC$6:$AC$3005,請求記録!$B$6:$B$3005,$A135,請求記録!$X$6:$X$3005,T$5))))</f>
        <v/>
      </c>
      <c r="U135" s="19">
        <f>IF($A135="","",IF(COUNTIFS(請求記録!$B$6:$B$3005,$A135,請求記録!$X$6:$X$3005,U$5,請求記録!$AD$6:$AD$3005,"保留中")&gt;0,"保留",IF(COUNTIFS(請求記録!$B$6:$B$3005,$A135,請求記録!$X$6:$X$3005,U$5)=0,"",SUMIFS(請求記録!$AC$6:$AC$3005,請求記録!$B$6:$B$3005,$A135,請求記録!$X$6:$X$3005,U$5))))</f>
        <v/>
      </c>
      <c r="V135" s="19">
        <f>IF($A135="","",IF(COUNTIFS(請求記録!$B$6:$B$3005,$A135,請求記録!$X$6:$X$3005,V$5,請求記録!$AD$6:$AD$3005,"保留中")&gt;0,"保留",IF(COUNTIFS(請求記録!$B$6:$B$3005,$A135,請求記録!$X$6:$X$3005,V$5)=0,"",SUMIFS(請求記録!$AC$6:$AC$3005,請求記録!$B$6:$B$3005,$A135,請求記録!$X$6:$X$3005,V$5))))</f>
        <v/>
      </c>
      <c r="W135" s="19">
        <f>IF($A135="","",IF(COUNTIFS(請求記録!$B$6:$B$3005,$A135,請求記録!$X$6:$X$3005,W$5,請求記録!$AD$6:$AD$3005,"保留中")&gt;0,"保留",IF(COUNTIFS(請求記録!$B$6:$B$3005,$A135,請求記録!$X$6:$X$3005,W$5)=0,"",SUMIFS(請求記録!$AC$6:$AC$3005,請求記録!$B$6:$B$3005,$A135,請求記録!$X$6:$X$3005,W$5))))</f>
        <v/>
      </c>
      <c r="X135" s="19">
        <f>IF($A135="","",IF(COUNTIFS(請求記録!$B$6:$B$3005,$A135,請求記録!$X$6:$X$3005,X$5,請求記録!$AD$6:$AD$3005,"保留中")&gt;0,"保留",IF(COUNTIFS(請求記録!$B$6:$B$3005,$A135,請求記録!$X$6:$X$3005,X$5)=0,"",SUMIFS(請求記録!$AC$6:$AC$3005,請求記録!$B$6:$B$3005,$A135,請求記録!$X$6:$X$3005,X$5))))</f>
        <v/>
      </c>
      <c r="Y135" s="19">
        <f>IF($A135="","",IF(COUNTIFS(請求記録!$B$6:$B$3005,$A135,請求記録!$X$6:$X$3005,Y$5,請求記録!$AD$6:$AD$3005,"保留中")&gt;0,"保留",IF(COUNTIFS(請求記録!$B$6:$B$3005,$A135,請求記録!$X$6:$X$3005,Y$5)=0,"",SUMIFS(請求記録!$AC$6:$AC$3005,請求記録!$B$6:$B$3005,$A135,請求記録!$X$6:$X$3005,Y$5))))</f>
        <v/>
      </c>
      <c r="Z135" s="19">
        <f>IF($A135="","",IF(COUNTIFS(請求記録!$B$6:$B$3005,$A135,請求記録!$X$6:$X$3005,Z$5,請求記録!$AD$6:$AD$3005,"保留中")&gt;0,"保留",IF(COUNTIFS(請求記録!$B$6:$B$3005,$A135,請求記録!$X$6:$X$3005,Z$5)=0,"",SUMIFS(請求記録!$AC$6:$AC$3005,請求記録!$B$6:$B$3005,$A135,請求記録!$X$6:$X$3005,Z$5))))</f>
        <v/>
      </c>
      <c r="AA135" s="19">
        <f>IF($A135="","",IF(COUNTIFS(請求記録!$B$6:$B$3005,$A135,請求記録!$X$6:$X$3005,AA$5,請求記録!$AD$6:$AD$3005,"保留中")&gt;0,"保留",IF(COUNTIFS(請求記録!$B$6:$B$3005,$A135,請求記録!$X$6:$X$3005,AA$5)=0,"",SUMIFS(請求記録!$AC$6:$AC$3005,請求記録!$B$6:$B$3005,$A135,請求記録!$X$6:$X$3005,AA$5))))</f>
        <v/>
      </c>
      <c r="AB135">
        <f>IF(職員マスタ!P135="保留中",職員マスタ!M135,"")</f>
        <v/>
      </c>
    </row>
    <row r="136">
      <c r="A136">
        <f>IF(職員マスタ!A136="","",職員マスタ!A136)</f>
        <v/>
      </c>
      <c r="B136">
        <f>IF($A136="","",職員マスタ!B136)</f>
        <v/>
      </c>
      <c r="C136">
        <f>IF($A136="","",職員マスタ!C136)</f>
        <v/>
      </c>
      <c r="D136" s="19">
        <f>IF($A136="","",IF(COUNTIFS(請求記録!$B$6:$B$3005,$A136,請求記録!$X$6:$X$3005,D$5,請求記録!$AD$6:$AD$3005,"保留中")&gt;0,"保留",IF(COUNTIFS(請求記録!$B$6:$B$3005,$A136,請求記録!$X$6:$X$3005,D$5)=0,"",SUMIFS(請求記録!$AC$6:$AC$3005,請求記録!$B$6:$B$3005,$A136,請求記録!$X$6:$X$3005,D$5))))</f>
        <v/>
      </c>
      <c r="E136" s="19">
        <f>IF($A136="","",IF(COUNTIFS(請求記録!$B$6:$B$3005,$A136,請求記録!$X$6:$X$3005,E$5,請求記録!$AD$6:$AD$3005,"保留中")&gt;0,"保留",IF(COUNTIFS(請求記録!$B$6:$B$3005,$A136,請求記録!$X$6:$X$3005,E$5)=0,"",SUMIFS(請求記録!$AC$6:$AC$3005,請求記録!$B$6:$B$3005,$A136,請求記録!$X$6:$X$3005,E$5))))</f>
        <v/>
      </c>
      <c r="F136" s="19">
        <f>IF($A136="","",IF(COUNTIFS(請求記録!$B$6:$B$3005,$A136,請求記録!$X$6:$X$3005,F$5,請求記録!$AD$6:$AD$3005,"保留中")&gt;0,"保留",IF(COUNTIFS(請求記録!$B$6:$B$3005,$A136,請求記録!$X$6:$X$3005,F$5)=0,"",SUMIFS(請求記録!$AC$6:$AC$3005,請求記録!$B$6:$B$3005,$A136,請求記録!$X$6:$X$3005,F$5))))</f>
        <v/>
      </c>
      <c r="G136" s="19">
        <f>IF($A136="","",IF(COUNTIFS(請求記録!$B$6:$B$3005,$A136,請求記録!$X$6:$X$3005,G$5,請求記録!$AD$6:$AD$3005,"保留中")&gt;0,"保留",IF(COUNTIFS(請求記録!$B$6:$B$3005,$A136,請求記録!$X$6:$X$3005,G$5)=0,"",SUMIFS(請求記録!$AC$6:$AC$3005,請求記録!$B$6:$B$3005,$A136,請求記録!$X$6:$X$3005,G$5))))</f>
        <v/>
      </c>
      <c r="H136" s="19">
        <f>IF($A136="","",IF(COUNTIFS(請求記録!$B$6:$B$3005,$A136,請求記録!$X$6:$X$3005,H$5,請求記録!$AD$6:$AD$3005,"保留中")&gt;0,"保留",IF(COUNTIFS(請求記録!$B$6:$B$3005,$A136,請求記録!$X$6:$X$3005,H$5)=0,"",SUMIFS(請求記録!$AC$6:$AC$3005,請求記録!$B$6:$B$3005,$A136,請求記録!$X$6:$X$3005,H$5))))</f>
        <v/>
      </c>
      <c r="I136" s="19">
        <f>IF($A136="","",IF(COUNTIFS(請求記録!$B$6:$B$3005,$A136,請求記録!$X$6:$X$3005,I$5,請求記録!$AD$6:$AD$3005,"保留中")&gt;0,"保留",IF(COUNTIFS(請求記録!$B$6:$B$3005,$A136,請求記録!$X$6:$X$3005,I$5)=0,"",SUMIFS(請求記録!$AC$6:$AC$3005,請求記録!$B$6:$B$3005,$A136,請求記録!$X$6:$X$3005,I$5))))</f>
        <v/>
      </c>
      <c r="J136" s="19">
        <f>IF($A136="","",IF(COUNTIFS(請求記録!$B$6:$B$3005,$A136,請求記録!$X$6:$X$3005,J$5,請求記録!$AD$6:$AD$3005,"保留中")&gt;0,"保留",IF(COUNTIFS(請求記録!$B$6:$B$3005,$A136,請求記録!$X$6:$X$3005,J$5)=0,"",SUMIFS(請求記録!$AC$6:$AC$3005,請求記録!$B$6:$B$3005,$A136,請求記録!$X$6:$X$3005,J$5))))</f>
        <v/>
      </c>
      <c r="K136" s="19">
        <f>IF($A136="","",IF(COUNTIFS(請求記録!$B$6:$B$3005,$A136,請求記録!$X$6:$X$3005,K$5,請求記録!$AD$6:$AD$3005,"保留中")&gt;0,"保留",IF(COUNTIFS(請求記録!$B$6:$B$3005,$A136,請求記録!$X$6:$X$3005,K$5)=0,"",SUMIFS(請求記録!$AC$6:$AC$3005,請求記録!$B$6:$B$3005,$A136,請求記録!$X$6:$X$3005,K$5))))</f>
        <v/>
      </c>
      <c r="L136" s="19">
        <f>IF($A136="","",IF(COUNTIFS(請求記録!$B$6:$B$3005,$A136,請求記録!$X$6:$X$3005,L$5,請求記録!$AD$6:$AD$3005,"保留中")&gt;0,"保留",IF(COUNTIFS(請求記録!$B$6:$B$3005,$A136,請求記録!$X$6:$X$3005,L$5)=0,"",SUMIFS(請求記録!$AC$6:$AC$3005,請求記録!$B$6:$B$3005,$A136,請求記録!$X$6:$X$3005,L$5))))</f>
        <v/>
      </c>
      <c r="M136" s="19">
        <f>IF($A136="","",IF(COUNTIFS(請求記録!$B$6:$B$3005,$A136,請求記録!$X$6:$X$3005,M$5,請求記録!$AD$6:$AD$3005,"保留中")&gt;0,"保留",IF(COUNTIFS(請求記録!$B$6:$B$3005,$A136,請求記録!$X$6:$X$3005,M$5)=0,"",SUMIFS(請求記録!$AC$6:$AC$3005,請求記録!$B$6:$B$3005,$A136,請求記録!$X$6:$X$3005,M$5))))</f>
        <v/>
      </c>
      <c r="N136" s="19">
        <f>IF($A136="","",IF(COUNTIFS(請求記録!$B$6:$B$3005,$A136,請求記録!$X$6:$X$3005,N$5,請求記録!$AD$6:$AD$3005,"保留中")&gt;0,"保留",IF(COUNTIFS(請求記録!$B$6:$B$3005,$A136,請求記録!$X$6:$X$3005,N$5)=0,"",SUMIFS(請求記録!$AC$6:$AC$3005,請求記録!$B$6:$B$3005,$A136,請求記録!$X$6:$X$3005,N$5))))</f>
        <v/>
      </c>
      <c r="O136" s="19">
        <f>IF($A136="","",IF(COUNTIFS(請求記録!$B$6:$B$3005,$A136,請求記録!$X$6:$X$3005,O$5,請求記録!$AD$6:$AD$3005,"保留中")&gt;0,"保留",IF(COUNTIFS(請求記録!$B$6:$B$3005,$A136,請求記録!$X$6:$X$3005,O$5)=0,"",SUMIFS(請求記録!$AC$6:$AC$3005,請求記録!$B$6:$B$3005,$A136,請求記録!$X$6:$X$3005,O$5))))</f>
        <v/>
      </c>
      <c r="P136" s="19">
        <f>IF($A136="","",IF(COUNTIFS(請求記録!$B$6:$B$3005,$A136,請求記録!$X$6:$X$3005,P$5,請求記録!$AD$6:$AD$3005,"保留中")&gt;0,"保留",IF(COUNTIFS(請求記録!$B$6:$B$3005,$A136,請求記録!$X$6:$X$3005,P$5)=0,"",SUMIFS(請求記録!$AC$6:$AC$3005,請求記録!$B$6:$B$3005,$A136,請求記録!$X$6:$X$3005,P$5))))</f>
        <v/>
      </c>
      <c r="Q136" s="19">
        <f>IF($A136="","",IF(COUNTIFS(請求記録!$B$6:$B$3005,$A136,請求記録!$X$6:$X$3005,Q$5,請求記録!$AD$6:$AD$3005,"保留中")&gt;0,"保留",IF(COUNTIFS(請求記録!$B$6:$B$3005,$A136,請求記録!$X$6:$X$3005,Q$5)=0,"",SUMIFS(請求記録!$AC$6:$AC$3005,請求記録!$B$6:$B$3005,$A136,請求記録!$X$6:$X$3005,Q$5))))</f>
        <v/>
      </c>
      <c r="R136" s="19">
        <f>IF($A136="","",IF(COUNTIFS(請求記録!$B$6:$B$3005,$A136,請求記録!$X$6:$X$3005,R$5,請求記録!$AD$6:$AD$3005,"保留中")&gt;0,"保留",IF(COUNTIFS(請求記録!$B$6:$B$3005,$A136,請求記録!$X$6:$X$3005,R$5)=0,"",SUMIFS(請求記録!$AC$6:$AC$3005,請求記録!$B$6:$B$3005,$A136,請求記録!$X$6:$X$3005,R$5))))</f>
        <v/>
      </c>
      <c r="S136" s="19">
        <f>IF($A136="","",IF(COUNTIFS(請求記録!$B$6:$B$3005,$A136,請求記録!$X$6:$X$3005,S$5,請求記録!$AD$6:$AD$3005,"保留中")&gt;0,"保留",IF(COUNTIFS(請求記録!$B$6:$B$3005,$A136,請求記録!$X$6:$X$3005,S$5)=0,"",SUMIFS(請求記録!$AC$6:$AC$3005,請求記録!$B$6:$B$3005,$A136,請求記録!$X$6:$X$3005,S$5))))</f>
        <v/>
      </c>
      <c r="T136" s="19">
        <f>IF($A136="","",IF(COUNTIFS(請求記録!$B$6:$B$3005,$A136,請求記録!$X$6:$X$3005,T$5,請求記録!$AD$6:$AD$3005,"保留中")&gt;0,"保留",IF(COUNTIFS(請求記録!$B$6:$B$3005,$A136,請求記録!$X$6:$X$3005,T$5)=0,"",SUMIFS(請求記録!$AC$6:$AC$3005,請求記録!$B$6:$B$3005,$A136,請求記録!$X$6:$X$3005,T$5))))</f>
        <v/>
      </c>
      <c r="U136" s="19">
        <f>IF($A136="","",IF(COUNTIFS(請求記録!$B$6:$B$3005,$A136,請求記録!$X$6:$X$3005,U$5,請求記録!$AD$6:$AD$3005,"保留中")&gt;0,"保留",IF(COUNTIFS(請求記録!$B$6:$B$3005,$A136,請求記録!$X$6:$X$3005,U$5)=0,"",SUMIFS(請求記録!$AC$6:$AC$3005,請求記録!$B$6:$B$3005,$A136,請求記録!$X$6:$X$3005,U$5))))</f>
        <v/>
      </c>
      <c r="V136" s="19">
        <f>IF($A136="","",IF(COUNTIFS(請求記録!$B$6:$B$3005,$A136,請求記録!$X$6:$X$3005,V$5,請求記録!$AD$6:$AD$3005,"保留中")&gt;0,"保留",IF(COUNTIFS(請求記録!$B$6:$B$3005,$A136,請求記録!$X$6:$X$3005,V$5)=0,"",SUMIFS(請求記録!$AC$6:$AC$3005,請求記録!$B$6:$B$3005,$A136,請求記録!$X$6:$X$3005,V$5))))</f>
        <v/>
      </c>
      <c r="W136" s="19">
        <f>IF($A136="","",IF(COUNTIFS(請求記録!$B$6:$B$3005,$A136,請求記録!$X$6:$X$3005,W$5,請求記録!$AD$6:$AD$3005,"保留中")&gt;0,"保留",IF(COUNTIFS(請求記録!$B$6:$B$3005,$A136,請求記録!$X$6:$X$3005,W$5)=0,"",SUMIFS(請求記録!$AC$6:$AC$3005,請求記録!$B$6:$B$3005,$A136,請求記録!$X$6:$X$3005,W$5))))</f>
        <v/>
      </c>
      <c r="X136" s="19">
        <f>IF($A136="","",IF(COUNTIFS(請求記録!$B$6:$B$3005,$A136,請求記録!$X$6:$X$3005,X$5,請求記録!$AD$6:$AD$3005,"保留中")&gt;0,"保留",IF(COUNTIFS(請求記録!$B$6:$B$3005,$A136,請求記録!$X$6:$X$3005,X$5)=0,"",SUMIFS(請求記録!$AC$6:$AC$3005,請求記録!$B$6:$B$3005,$A136,請求記録!$X$6:$X$3005,X$5))))</f>
        <v/>
      </c>
      <c r="Y136" s="19">
        <f>IF($A136="","",IF(COUNTIFS(請求記録!$B$6:$B$3005,$A136,請求記録!$X$6:$X$3005,Y$5,請求記録!$AD$6:$AD$3005,"保留中")&gt;0,"保留",IF(COUNTIFS(請求記録!$B$6:$B$3005,$A136,請求記録!$X$6:$X$3005,Y$5)=0,"",SUMIFS(請求記録!$AC$6:$AC$3005,請求記録!$B$6:$B$3005,$A136,請求記録!$X$6:$X$3005,Y$5))))</f>
        <v/>
      </c>
      <c r="Z136" s="19">
        <f>IF($A136="","",IF(COUNTIFS(請求記録!$B$6:$B$3005,$A136,請求記録!$X$6:$X$3005,Z$5,請求記録!$AD$6:$AD$3005,"保留中")&gt;0,"保留",IF(COUNTIFS(請求記録!$B$6:$B$3005,$A136,請求記録!$X$6:$X$3005,Z$5)=0,"",SUMIFS(請求記録!$AC$6:$AC$3005,請求記録!$B$6:$B$3005,$A136,請求記録!$X$6:$X$3005,Z$5))))</f>
        <v/>
      </c>
      <c r="AA136" s="19">
        <f>IF($A136="","",IF(COUNTIFS(請求記録!$B$6:$B$3005,$A136,請求記録!$X$6:$X$3005,AA$5,請求記録!$AD$6:$AD$3005,"保留中")&gt;0,"保留",IF(COUNTIFS(請求記録!$B$6:$B$3005,$A136,請求記録!$X$6:$X$3005,AA$5)=0,"",SUMIFS(請求記録!$AC$6:$AC$3005,請求記録!$B$6:$B$3005,$A136,請求記録!$X$6:$X$3005,AA$5))))</f>
        <v/>
      </c>
      <c r="AB136">
        <f>IF(職員マスタ!P136="保留中",職員マスタ!M136,"")</f>
        <v/>
      </c>
    </row>
    <row r="137">
      <c r="A137">
        <f>IF(職員マスタ!A137="","",職員マスタ!A137)</f>
        <v/>
      </c>
      <c r="B137">
        <f>IF($A137="","",職員マスタ!B137)</f>
        <v/>
      </c>
      <c r="C137">
        <f>IF($A137="","",職員マスタ!C137)</f>
        <v/>
      </c>
      <c r="D137" s="19">
        <f>IF($A137="","",IF(COUNTIFS(請求記録!$B$6:$B$3005,$A137,請求記録!$X$6:$X$3005,D$5,請求記録!$AD$6:$AD$3005,"保留中")&gt;0,"保留",IF(COUNTIFS(請求記録!$B$6:$B$3005,$A137,請求記録!$X$6:$X$3005,D$5)=0,"",SUMIFS(請求記録!$AC$6:$AC$3005,請求記録!$B$6:$B$3005,$A137,請求記録!$X$6:$X$3005,D$5))))</f>
        <v/>
      </c>
      <c r="E137" s="19">
        <f>IF($A137="","",IF(COUNTIFS(請求記録!$B$6:$B$3005,$A137,請求記録!$X$6:$X$3005,E$5,請求記録!$AD$6:$AD$3005,"保留中")&gt;0,"保留",IF(COUNTIFS(請求記録!$B$6:$B$3005,$A137,請求記録!$X$6:$X$3005,E$5)=0,"",SUMIFS(請求記録!$AC$6:$AC$3005,請求記録!$B$6:$B$3005,$A137,請求記録!$X$6:$X$3005,E$5))))</f>
        <v/>
      </c>
      <c r="F137" s="19">
        <f>IF($A137="","",IF(COUNTIFS(請求記録!$B$6:$B$3005,$A137,請求記録!$X$6:$X$3005,F$5,請求記録!$AD$6:$AD$3005,"保留中")&gt;0,"保留",IF(COUNTIFS(請求記録!$B$6:$B$3005,$A137,請求記録!$X$6:$X$3005,F$5)=0,"",SUMIFS(請求記録!$AC$6:$AC$3005,請求記録!$B$6:$B$3005,$A137,請求記録!$X$6:$X$3005,F$5))))</f>
        <v/>
      </c>
      <c r="G137" s="19">
        <f>IF($A137="","",IF(COUNTIFS(請求記録!$B$6:$B$3005,$A137,請求記録!$X$6:$X$3005,G$5,請求記録!$AD$6:$AD$3005,"保留中")&gt;0,"保留",IF(COUNTIFS(請求記録!$B$6:$B$3005,$A137,請求記録!$X$6:$X$3005,G$5)=0,"",SUMIFS(請求記録!$AC$6:$AC$3005,請求記録!$B$6:$B$3005,$A137,請求記録!$X$6:$X$3005,G$5))))</f>
        <v/>
      </c>
      <c r="H137" s="19">
        <f>IF($A137="","",IF(COUNTIFS(請求記録!$B$6:$B$3005,$A137,請求記録!$X$6:$X$3005,H$5,請求記録!$AD$6:$AD$3005,"保留中")&gt;0,"保留",IF(COUNTIFS(請求記録!$B$6:$B$3005,$A137,請求記録!$X$6:$X$3005,H$5)=0,"",SUMIFS(請求記録!$AC$6:$AC$3005,請求記録!$B$6:$B$3005,$A137,請求記録!$X$6:$X$3005,H$5))))</f>
        <v/>
      </c>
      <c r="I137" s="19">
        <f>IF($A137="","",IF(COUNTIFS(請求記録!$B$6:$B$3005,$A137,請求記録!$X$6:$X$3005,I$5,請求記録!$AD$6:$AD$3005,"保留中")&gt;0,"保留",IF(COUNTIFS(請求記録!$B$6:$B$3005,$A137,請求記録!$X$6:$X$3005,I$5)=0,"",SUMIFS(請求記録!$AC$6:$AC$3005,請求記録!$B$6:$B$3005,$A137,請求記録!$X$6:$X$3005,I$5))))</f>
        <v/>
      </c>
      <c r="J137" s="19">
        <f>IF($A137="","",IF(COUNTIFS(請求記録!$B$6:$B$3005,$A137,請求記録!$X$6:$X$3005,J$5,請求記録!$AD$6:$AD$3005,"保留中")&gt;0,"保留",IF(COUNTIFS(請求記録!$B$6:$B$3005,$A137,請求記録!$X$6:$X$3005,J$5)=0,"",SUMIFS(請求記録!$AC$6:$AC$3005,請求記録!$B$6:$B$3005,$A137,請求記録!$X$6:$X$3005,J$5))))</f>
        <v/>
      </c>
      <c r="K137" s="19">
        <f>IF($A137="","",IF(COUNTIFS(請求記録!$B$6:$B$3005,$A137,請求記録!$X$6:$X$3005,K$5,請求記録!$AD$6:$AD$3005,"保留中")&gt;0,"保留",IF(COUNTIFS(請求記録!$B$6:$B$3005,$A137,請求記録!$X$6:$X$3005,K$5)=0,"",SUMIFS(請求記録!$AC$6:$AC$3005,請求記録!$B$6:$B$3005,$A137,請求記録!$X$6:$X$3005,K$5))))</f>
        <v/>
      </c>
      <c r="L137" s="19">
        <f>IF($A137="","",IF(COUNTIFS(請求記録!$B$6:$B$3005,$A137,請求記録!$X$6:$X$3005,L$5,請求記録!$AD$6:$AD$3005,"保留中")&gt;0,"保留",IF(COUNTIFS(請求記録!$B$6:$B$3005,$A137,請求記録!$X$6:$X$3005,L$5)=0,"",SUMIFS(請求記録!$AC$6:$AC$3005,請求記録!$B$6:$B$3005,$A137,請求記録!$X$6:$X$3005,L$5))))</f>
        <v/>
      </c>
      <c r="M137" s="19">
        <f>IF($A137="","",IF(COUNTIFS(請求記録!$B$6:$B$3005,$A137,請求記録!$X$6:$X$3005,M$5,請求記録!$AD$6:$AD$3005,"保留中")&gt;0,"保留",IF(COUNTIFS(請求記録!$B$6:$B$3005,$A137,請求記録!$X$6:$X$3005,M$5)=0,"",SUMIFS(請求記録!$AC$6:$AC$3005,請求記録!$B$6:$B$3005,$A137,請求記録!$X$6:$X$3005,M$5))))</f>
        <v/>
      </c>
      <c r="N137" s="19">
        <f>IF($A137="","",IF(COUNTIFS(請求記録!$B$6:$B$3005,$A137,請求記録!$X$6:$X$3005,N$5,請求記録!$AD$6:$AD$3005,"保留中")&gt;0,"保留",IF(COUNTIFS(請求記録!$B$6:$B$3005,$A137,請求記録!$X$6:$X$3005,N$5)=0,"",SUMIFS(請求記録!$AC$6:$AC$3005,請求記録!$B$6:$B$3005,$A137,請求記録!$X$6:$X$3005,N$5))))</f>
        <v/>
      </c>
      <c r="O137" s="19">
        <f>IF($A137="","",IF(COUNTIFS(請求記録!$B$6:$B$3005,$A137,請求記録!$X$6:$X$3005,O$5,請求記録!$AD$6:$AD$3005,"保留中")&gt;0,"保留",IF(COUNTIFS(請求記録!$B$6:$B$3005,$A137,請求記録!$X$6:$X$3005,O$5)=0,"",SUMIFS(請求記録!$AC$6:$AC$3005,請求記録!$B$6:$B$3005,$A137,請求記録!$X$6:$X$3005,O$5))))</f>
        <v/>
      </c>
      <c r="P137" s="19">
        <f>IF($A137="","",IF(COUNTIFS(請求記録!$B$6:$B$3005,$A137,請求記録!$X$6:$X$3005,P$5,請求記録!$AD$6:$AD$3005,"保留中")&gt;0,"保留",IF(COUNTIFS(請求記録!$B$6:$B$3005,$A137,請求記録!$X$6:$X$3005,P$5)=0,"",SUMIFS(請求記録!$AC$6:$AC$3005,請求記録!$B$6:$B$3005,$A137,請求記録!$X$6:$X$3005,P$5))))</f>
        <v/>
      </c>
      <c r="Q137" s="19">
        <f>IF($A137="","",IF(COUNTIFS(請求記録!$B$6:$B$3005,$A137,請求記録!$X$6:$X$3005,Q$5,請求記録!$AD$6:$AD$3005,"保留中")&gt;0,"保留",IF(COUNTIFS(請求記録!$B$6:$B$3005,$A137,請求記録!$X$6:$X$3005,Q$5)=0,"",SUMIFS(請求記録!$AC$6:$AC$3005,請求記録!$B$6:$B$3005,$A137,請求記録!$X$6:$X$3005,Q$5))))</f>
        <v/>
      </c>
      <c r="R137" s="19">
        <f>IF($A137="","",IF(COUNTIFS(請求記録!$B$6:$B$3005,$A137,請求記録!$X$6:$X$3005,R$5,請求記録!$AD$6:$AD$3005,"保留中")&gt;0,"保留",IF(COUNTIFS(請求記録!$B$6:$B$3005,$A137,請求記録!$X$6:$X$3005,R$5)=0,"",SUMIFS(請求記録!$AC$6:$AC$3005,請求記録!$B$6:$B$3005,$A137,請求記録!$X$6:$X$3005,R$5))))</f>
        <v/>
      </c>
      <c r="S137" s="19">
        <f>IF($A137="","",IF(COUNTIFS(請求記録!$B$6:$B$3005,$A137,請求記録!$X$6:$X$3005,S$5,請求記録!$AD$6:$AD$3005,"保留中")&gt;0,"保留",IF(COUNTIFS(請求記録!$B$6:$B$3005,$A137,請求記録!$X$6:$X$3005,S$5)=0,"",SUMIFS(請求記録!$AC$6:$AC$3005,請求記録!$B$6:$B$3005,$A137,請求記録!$X$6:$X$3005,S$5))))</f>
        <v/>
      </c>
      <c r="T137" s="19">
        <f>IF($A137="","",IF(COUNTIFS(請求記録!$B$6:$B$3005,$A137,請求記録!$X$6:$X$3005,T$5,請求記録!$AD$6:$AD$3005,"保留中")&gt;0,"保留",IF(COUNTIFS(請求記録!$B$6:$B$3005,$A137,請求記録!$X$6:$X$3005,T$5)=0,"",SUMIFS(請求記録!$AC$6:$AC$3005,請求記録!$B$6:$B$3005,$A137,請求記録!$X$6:$X$3005,T$5))))</f>
        <v/>
      </c>
      <c r="U137" s="19">
        <f>IF($A137="","",IF(COUNTIFS(請求記録!$B$6:$B$3005,$A137,請求記録!$X$6:$X$3005,U$5,請求記録!$AD$6:$AD$3005,"保留中")&gt;0,"保留",IF(COUNTIFS(請求記録!$B$6:$B$3005,$A137,請求記録!$X$6:$X$3005,U$5)=0,"",SUMIFS(請求記録!$AC$6:$AC$3005,請求記録!$B$6:$B$3005,$A137,請求記録!$X$6:$X$3005,U$5))))</f>
        <v/>
      </c>
      <c r="V137" s="19">
        <f>IF($A137="","",IF(COUNTIFS(請求記録!$B$6:$B$3005,$A137,請求記録!$X$6:$X$3005,V$5,請求記録!$AD$6:$AD$3005,"保留中")&gt;0,"保留",IF(COUNTIFS(請求記録!$B$6:$B$3005,$A137,請求記録!$X$6:$X$3005,V$5)=0,"",SUMIFS(請求記録!$AC$6:$AC$3005,請求記録!$B$6:$B$3005,$A137,請求記録!$X$6:$X$3005,V$5))))</f>
        <v/>
      </c>
      <c r="W137" s="19">
        <f>IF($A137="","",IF(COUNTIFS(請求記録!$B$6:$B$3005,$A137,請求記録!$X$6:$X$3005,W$5,請求記録!$AD$6:$AD$3005,"保留中")&gt;0,"保留",IF(COUNTIFS(請求記録!$B$6:$B$3005,$A137,請求記録!$X$6:$X$3005,W$5)=0,"",SUMIFS(請求記録!$AC$6:$AC$3005,請求記録!$B$6:$B$3005,$A137,請求記録!$X$6:$X$3005,W$5))))</f>
        <v/>
      </c>
      <c r="X137" s="19">
        <f>IF($A137="","",IF(COUNTIFS(請求記録!$B$6:$B$3005,$A137,請求記録!$X$6:$X$3005,X$5,請求記録!$AD$6:$AD$3005,"保留中")&gt;0,"保留",IF(COUNTIFS(請求記録!$B$6:$B$3005,$A137,請求記録!$X$6:$X$3005,X$5)=0,"",SUMIFS(請求記録!$AC$6:$AC$3005,請求記録!$B$6:$B$3005,$A137,請求記録!$X$6:$X$3005,X$5))))</f>
        <v/>
      </c>
      <c r="Y137" s="19">
        <f>IF($A137="","",IF(COUNTIFS(請求記録!$B$6:$B$3005,$A137,請求記録!$X$6:$X$3005,Y$5,請求記録!$AD$6:$AD$3005,"保留中")&gt;0,"保留",IF(COUNTIFS(請求記録!$B$6:$B$3005,$A137,請求記録!$X$6:$X$3005,Y$5)=0,"",SUMIFS(請求記録!$AC$6:$AC$3005,請求記録!$B$6:$B$3005,$A137,請求記録!$X$6:$X$3005,Y$5))))</f>
        <v/>
      </c>
      <c r="Z137" s="19">
        <f>IF($A137="","",IF(COUNTIFS(請求記録!$B$6:$B$3005,$A137,請求記録!$X$6:$X$3005,Z$5,請求記録!$AD$6:$AD$3005,"保留中")&gt;0,"保留",IF(COUNTIFS(請求記録!$B$6:$B$3005,$A137,請求記録!$X$6:$X$3005,Z$5)=0,"",SUMIFS(請求記録!$AC$6:$AC$3005,請求記録!$B$6:$B$3005,$A137,請求記録!$X$6:$X$3005,Z$5))))</f>
        <v/>
      </c>
      <c r="AA137" s="19">
        <f>IF($A137="","",IF(COUNTIFS(請求記録!$B$6:$B$3005,$A137,請求記録!$X$6:$X$3005,AA$5,請求記録!$AD$6:$AD$3005,"保留中")&gt;0,"保留",IF(COUNTIFS(請求記録!$B$6:$B$3005,$A137,請求記録!$X$6:$X$3005,AA$5)=0,"",SUMIFS(請求記録!$AC$6:$AC$3005,請求記録!$B$6:$B$3005,$A137,請求記録!$X$6:$X$3005,AA$5))))</f>
        <v/>
      </c>
      <c r="AB137">
        <f>IF(職員マスタ!P137="保留中",職員マスタ!M137,"")</f>
        <v/>
      </c>
    </row>
    <row r="138">
      <c r="A138">
        <f>IF(職員マスタ!A138="","",職員マスタ!A138)</f>
        <v/>
      </c>
      <c r="B138">
        <f>IF($A138="","",職員マスタ!B138)</f>
        <v/>
      </c>
      <c r="C138">
        <f>IF($A138="","",職員マスタ!C138)</f>
        <v/>
      </c>
      <c r="D138" s="19">
        <f>IF($A138="","",IF(COUNTIFS(請求記録!$B$6:$B$3005,$A138,請求記録!$X$6:$X$3005,D$5,請求記録!$AD$6:$AD$3005,"保留中")&gt;0,"保留",IF(COUNTIFS(請求記録!$B$6:$B$3005,$A138,請求記録!$X$6:$X$3005,D$5)=0,"",SUMIFS(請求記録!$AC$6:$AC$3005,請求記録!$B$6:$B$3005,$A138,請求記録!$X$6:$X$3005,D$5))))</f>
        <v/>
      </c>
      <c r="E138" s="19">
        <f>IF($A138="","",IF(COUNTIFS(請求記録!$B$6:$B$3005,$A138,請求記録!$X$6:$X$3005,E$5,請求記録!$AD$6:$AD$3005,"保留中")&gt;0,"保留",IF(COUNTIFS(請求記録!$B$6:$B$3005,$A138,請求記録!$X$6:$X$3005,E$5)=0,"",SUMIFS(請求記録!$AC$6:$AC$3005,請求記録!$B$6:$B$3005,$A138,請求記録!$X$6:$X$3005,E$5))))</f>
        <v/>
      </c>
      <c r="F138" s="19">
        <f>IF($A138="","",IF(COUNTIFS(請求記録!$B$6:$B$3005,$A138,請求記録!$X$6:$X$3005,F$5,請求記録!$AD$6:$AD$3005,"保留中")&gt;0,"保留",IF(COUNTIFS(請求記録!$B$6:$B$3005,$A138,請求記録!$X$6:$X$3005,F$5)=0,"",SUMIFS(請求記録!$AC$6:$AC$3005,請求記録!$B$6:$B$3005,$A138,請求記録!$X$6:$X$3005,F$5))))</f>
        <v/>
      </c>
      <c r="G138" s="19">
        <f>IF($A138="","",IF(COUNTIFS(請求記録!$B$6:$B$3005,$A138,請求記録!$X$6:$X$3005,G$5,請求記録!$AD$6:$AD$3005,"保留中")&gt;0,"保留",IF(COUNTIFS(請求記録!$B$6:$B$3005,$A138,請求記録!$X$6:$X$3005,G$5)=0,"",SUMIFS(請求記録!$AC$6:$AC$3005,請求記録!$B$6:$B$3005,$A138,請求記録!$X$6:$X$3005,G$5))))</f>
        <v/>
      </c>
      <c r="H138" s="19">
        <f>IF($A138="","",IF(COUNTIFS(請求記録!$B$6:$B$3005,$A138,請求記録!$X$6:$X$3005,H$5,請求記録!$AD$6:$AD$3005,"保留中")&gt;0,"保留",IF(COUNTIFS(請求記録!$B$6:$B$3005,$A138,請求記録!$X$6:$X$3005,H$5)=0,"",SUMIFS(請求記録!$AC$6:$AC$3005,請求記録!$B$6:$B$3005,$A138,請求記録!$X$6:$X$3005,H$5))))</f>
        <v/>
      </c>
      <c r="I138" s="19">
        <f>IF($A138="","",IF(COUNTIFS(請求記録!$B$6:$B$3005,$A138,請求記録!$X$6:$X$3005,I$5,請求記録!$AD$6:$AD$3005,"保留中")&gt;0,"保留",IF(COUNTIFS(請求記録!$B$6:$B$3005,$A138,請求記録!$X$6:$X$3005,I$5)=0,"",SUMIFS(請求記録!$AC$6:$AC$3005,請求記録!$B$6:$B$3005,$A138,請求記録!$X$6:$X$3005,I$5))))</f>
        <v/>
      </c>
      <c r="J138" s="19">
        <f>IF($A138="","",IF(COUNTIFS(請求記録!$B$6:$B$3005,$A138,請求記録!$X$6:$X$3005,J$5,請求記録!$AD$6:$AD$3005,"保留中")&gt;0,"保留",IF(COUNTIFS(請求記録!$B$6:$B$3005,$A138,請求記録!$X$6:$X$3005,J$5)=0,"",SUMIFS(請求記録!$AC$6:$AC$3005,請求記録!$B$6:$B$3005,$A138,請求記録!$X$6:$X$3005,J$5))))</f>
        <v/>
      </c>
      <c r="K138" s="19">
        <f>IF($A138="","",IF(COUNTIFS(請求記録!$B$6:$B$3005,$A138,請求記録!$X$6:$X$3005,K$5,請求記録!$AD$6:$AD$3005,"保留中")&gt;0,"保留",IF(COUNTIFS(請求記録!$B$6:$B$3005,$A138,請求記録!$X$6:$X$3005,K$5)=0,"",SUMIFS(請求記録!$AC$6:$AC$3005,請求記録!$B$6:$B$3005,$A138,請求記録!$X$6:$X$3005,K$5))))</f>
        <v/>
      </c>
      <c r="L138" s="19">
        <f>IF($A138="","",IF(COUNTIFS(請求記録!$B$6:$B$3005,$A138,請求記録!$X$6:$X$3005,L$5,請求記録!$AD$6:$AD$3005,"保留中")&gt;0,"保留",IF(COUNTIFS(請求記録!$B$6:$B$3005,$A138,請求記録!$X$6:$X$3005,L$5)=0,"",SUMIFS(請求記録!$AC$6:$AC$3005,請求記録!$B$6:$B$3005,$A138,請求記録!$X$6:$X$3005,L$5))))</f>
        <v/>
      </c>
      <c r="M138" s="19">
        <f>IF($A138="","",IF(COUNTIFS(請求記録!$B$6:$B$3005,$A138,請求記録!$X$6:$X$3005,M$5,請求記録!$AD$6:$AD$3005,"保留中")&gt;0,"保留",IF(COUNTIFS(請求記録!$B$6:$B$3005,$A138,請求記録!$X$6:$X$3005,M$5)=0,"",SUMIFS(請求記録!$AC$6:$AC$3005,請求記録!$B$6:$B$3005,$A138,請求記録!$X$6:$X$3005,M$5))))</f>
        <v/>
      </c>
      <c r="N138" s="19">
        <f>IF($A138="","",IF(COUNTIFS(請求記録!$B$6:$B$3005,$A138,請求記録!$X$6:$X$3005,N$5,請求記録!$AD$6:$AD$3005,"保留中")&gt;0,"保留",IF(COUNTIFS(請求記録!$B$6:$B$3005,$A138,請求記録!$X$6:$X$3005,N$5)=0,"",SUMIFS(請求記録!$AC$6:$AC$3005,請求記録!$B$6:$B$3005,$A138,請求記録!$X$6:$X$3005,N$5))))</f>
        <v/>
      </c>
      <c r="O138" s="19">
        <f>IF($A138="","",IF(COUNTIFS(請求記録!$B$6:$B$3005,$A138,請求記録!$X$6:$X$3005,O$5,請求記録!$AD$6:$AD$3005,"保留中")&gt;0,"保留",IF(COUNTIFS(請求記録!$B$6:$B$3005,$A138,請求記録!$X$6:$X$3005,O$5)=0,"",SUMIFS(請求記録!$AC$6:$AC$3005,請求記録!$B$6:$B$3005,$A138,請求記録!$X$6:$X$3005,O$5))))</f>
        <v/>
      </c>
      <c r="P138" s="19">
        <f>IF($A138="","",IF(COUNTIFS(請求記録!$B$6:$B$3005,$A138,請求記録!$X$6:$X$3005,P$5,請求記録!$AD$6:$AD$3005,"保留中")&gt;0,"保留",IF(COUNTIFS(請求記録!$B$6:$B$3005,$A138,請求記録!$X$6:$X$3005,P$5)=0,"",SUMIFS(請求記録!$AC$6:$AC$3005,請求記録!$B$6:$B$3005,$A138,請求記録!$X$6:$X$3005,P$5))))</f>
        <v/>
      </c>
      <c r="Q138" s="19">
        <f>IF($A138="","",IF(COUNTIFS(請求記録!$B$6:$B$3005,$A138,請求記録!$X$6:$X$3005,Q$5,請求記録!$AD$6:$AD$3005,"保留中")&gt;0,"保留",IF(COUNTIFS(請求記録!$B$6:$B$3005,$A138,請求記録!$X$6:$X$3005,Q$5)=0,"",SUMIFS(請求記録!$AC$6:$AC$3005,請求記録!$B$6:$B$3005,$A138,請求記録!$X$6:$X$3005,Q$5))))</f>
        <v/>
      </c>
      <c r="R138" s="19">
        <f>IF($A138="","",IF(COUNTIFS(請求記録!$B$6:$B$3005,$A138,請求記録!$X$6:$X$3005,R$5,請求記録!$AD$6:$AD$3005,"保留中")&gt;0,"保留",IF(COUNTIFS(請求記録!$B$6:$B$3005,$A138,請求記録!$X$6:$X$3005,R$5)=0,"",SUMIFS(請求記録!$AC$6:$AC$3005,請求記録!$B$6:$B$3005,$A138,請求記録!$X$6:$X$3005,R$5))))</f>
        <v/>
      </c>
      <c r="S138" s="19">
        <f>IF($A138="","",IF(COUNTIFS(請求記録!$B$6:$B$3005,$A138,請求記録!$X$6:$X$3005,S$5,請求記録!$AD$6:$AD$3005,"保留中")&gt;0,"保留",IF(COUNTIFS(請求記録!$B$6:$B$3005,$A138,請求記録!$X$6:$X$3005,S$5)=0,"",SUMIFS(請求記録!$AC$6:$AC$3005,請求記録!$B$6:$B$3005,$A138,請求記録!$X$6:$X$3005,S$5))))</f>
        <v/>
      </c>
      <c r="T138" s="19">
        <f>IF($A138="","",IF(COUNTIFS(請求記録!$B$6:$B$3005,$A138,請求記録!$X$6:$X$3005,T$5,請求記録!$AD$6:$AD$3005,"保留中")&gt;0,"保留",IF(COUNTIFS(請求記録!$B$6:$B$3005,$A138,請求記録!$X$6:$X$3005,T$5)=0,"",SUMIFS(請求記録!$AC$6:$AC$3005,請求記録!$B$6:$B$3005,$A138,請求記録!$X$6:$X$3005,T$5))))</f>
        <v/>
      </c>
      <c r="U138" s="19">
        <f>IF($A138="","",IF(COUNTIFS(請求記録!$B$6:$B$3005,$A138,請求記録!$X$6:$X$3005,U$5,請求記録!$AD$6:$AD$3005,"保留中")&gt;0,"保留",IF(COUNTIFS(請求記録!$B$6:$B$3005,$A138,請求記録!$X$6:$X$3005,U$5)=0,"",SUMIFS(請求記録!$AC$6:$AC$3005,請求記録!$B$6:$B$3005,$A138,請求記録!$X$6:$X$3005,U$5))))</f>
        <v/>
      </c>
      <c r="V138" s="19">
        <f>IF($A138="","",IF(COUNTIFS(請求記録!$B$6:$B$3005,$A138,請求記録!$X$6:$X$3005,V$5,請求記録!$AD$6:$AD$3005,"保留中")&gt;0,"保留",IF(COUNTIFS(請求記録!$B$6:$B$3005,$A138,請求記録!$X$6:$X$3005,V$5)=0,"",SUMIFS(請求記録!$AC$6:$AC$3005,請求記録!$B$6:$B$3005,$A138,請求記録!$X$6:$X$3005,V$5))))</f>
        <v/>
      </c>
      <c r="W138" s="19">
        <f>IF($A138="","",IF(COUNTIFS(請求記録!$B$6:$B$3005,$A138,請求記録!$X$6:$X$3005,W$5,請求記録!$AD$6:$AD$3005,"保留中")&gt;0,"保留",IF(COUNTIFS(請求記録!$B$6:$B$3005,$A138,請求記録!$X$6:$X$3005,W$5)=0,"",SUMIFS(請求記録!$AC$6:$AC$3005,請求記録!$B$6:$B$3005,$A138,請求記録!$X$6:$X$3005,W$5))))</f>
        <v/>
      </c>
      <c r="X138" s="19">
        <f>IF($A138="","",IF(COUNTIFS(請求記録!$B$6:$B$3005,$A138,請求記録!$X$6:$X$3005,X$5,請求記録!$AD$6:$AD$3005,"保留中")&gt;0,"保留",IF(COUNTIFS(請求記録!$B$6:$B$3005,$A138,請求記録!$X$6:$X$3005,X$5)=0,"",SUMIFS(請求記録!$AC$6:$AC$3005,請求記録!$B$6:$B$3005,$A138,請求記録!$X$6:$X$3005,X$5))))</f>
        <v/>
      </c>
      <c r="Y138" s="19">
        <f>IF($A138="","",IF(COUNTIFS(請求記録!$B$6:$B$3005,$A138,請求記録!$X$6:$X$3005,Y$5,請求記録!$AD$6:$AD$3005,"保留中")&gt;0,"保留",IF(COUNTIFS(請求記録!$B$6:$B$3005,$A138,請求記録!$X$6:$X$3005,Y$5)=0,"",SUMIFS(請求記録!$AC$6:$AC$3005,請求記録!$B$6:$B$3005,$A138,請求記録!$X$6:$X$3005,Y$5))))</f>
        <v/>
      </c>
      <c r="Z138" s="19">
        <f>IF($A138="","",IF(COUNTIFS(請求記録!$B$6:$B$3005,$A138,請求記録!$X$6:$X$3005,Z$5,請求記録!$AD$6:$AD$3005,"保留中")&gt;0,"保留",IF(COUNTIFS(請求記録!$B$6:$B$3005,$A138,請求記録!$X$6:$X$3005,Z$5)=0,"",SUMIFS(請求記録!$AC$6:$AC$3005,請求記録!$B$6:$B$3005,$A138,請求記録!$X$6:$X$3005,Z$5))))</f>
        <v/>
      </c>
      <c r="AA138" s="19">
        <f>IF($A138="","",IF(COUNTIFS(請求記録!$B$6:$B$3005,$A138,請求記録!$X$6:$X$3005,AA$5,請求記録!$AD$6:$AD$3005,"保留中")&gt;0,"保留",IF(COUNTIFS(請求記録!$B$6:$B$3005,$A138,請求記録!$X$6:$X$3005,AA$5)=0,"",SUMIFS(請求記録!$AC$6:$AC$3005,請求記録!$B$6:$B$3005,$A138,請求記録!$X$6:$X$3005,AA$5))))</f>
        <v/>
      </c>
      <c r="AB138">
        <f>IF(職員マスタ!P138="保留中",職員マスタ!M138,"")</f>
        <v/>
      </c>
    </row>
    <row r="139">
      <c r="A139">
        <f>IF(職員マスタ!A139="","",職員マスタ!A139)</f>
        <v/>
      </c>
      <c r="B139">
        <f>IF($A139="","",職員マスタ!B139)</f>
        <v/>
      </c>
      <c r="C139">
        <f>IF($A139="","",職員マスタ!C139)</f>
        <v/>
      </c>
      <c r="D139" s="19">
        <f>IF($A139="","",IF(COUNTIFS(請求記録!$B$6:$B$3005,$A139,請求記録!$X$6:$X$3005,D$5,請求記録!$AD$6:$AD$3005,"保留中")&gt;0,"保留",IF(COUNTIFS(請求記録!$B$6:$B$3005,$A139,請求記録!$X$6:$X$3005,D$5)=0,"",SUMIFS(請求記録!$AC$6:$AC$3005,請求記録!$B$6:$B$3005,$A139,請求記録!$X$6:$X$3005,D$5))))</f>
        <v/>
      </c>
      <c r="E139" s="19">
        <f>IF($A139="","",IF(COUNTIFS(請求記録!$B$6:$B$3005,$A139,請求記録!$X$6:$X$3005,E$5,請求記録!$AD$6:$AD$3005,"保留中")&gt;0,"保留",IF(COUNTIFS(請求記録!$B$6:$B$3005,$A139,請求記録!$X$6:$X$3005,E$5)=0,"",SUMIFS(請求記録!$AC$6:$AC$3005,請求記録!$B$6:$B$3005,$A139,請求記録!$X$6:$X$3005,E$5))))</f>
        <v/>
      </c>
      <c r="F139" s="19">
        <f>IF($A139="","",IF(COUNTIFS(請求記録!$B$6:$B$3005,$A139,請求記録!$X$6:$X$3005,F$5,請求記録!$AD$6:$AD$3005,"保留中")&gt;0,"保留",IF(COUNTIFS(請求記録!$B$6:$B$3005,$A139,請求記録!$X$6:$X$3005,F$5)=0,"",SUMIFS(請求記録!$AC$6:$AC$3005,請求記録!$B$6:$B$3005,$A139,請求記録!$X$6:$X$3005,F$5))))</f>
        <v/>
      </c>
      <c r="G139" s="19">
        <f>IF($A139="","",IF(COUNTIFS(請求記録!$B$6:$B$3005,$A139,請求記録!$X$6:$X$3005,G$5,請求記録!$AD$6:$AD$3005,"保留中")&gt;0,"保留",IF(COUNTIFS(請求記録!$B$6:$B$3005,$A139,請求記録!$X$6:$X$3005,G$5)=0,"",SUMIFS(請求記録!$AC$6:$AC$3005,請求記録!$B$6:$B$3005,$A139,請求記録!$X$6:$X$3005,G$5))))</f>
        <v/>
      </c>
      <c r="H139" s="19">
        <f>IF($A139="","",IF(COUNTIFS(請求記録!$B$6:$B$3005,$A139,請求記録!$X$6:$X$3005,H$5,請求記録!$AD$6:$AD$3005,"保留中")&gt;0,"保留",IF(COUNTIFS(請求記録!$B$6:$B$3005,$A139,請求記録!$X$6:$X$3005,H$5)=0,"",SUMIFS(請求記録!$AC$6:$AC$3005,請求記録!$B$6:$B$3005,$A139,請求記録!$X$6:$X$3005,H$5))))</f>
        <v/>
      </c>
      <c r="I139" s="19">
        <f>IF($A139="","",IF(COUNTIFS(請求記録!$B$6:$B$3005,$A139,請求記録!$X$6:$X$3005,I$5,請求記録!$AD$6:$AD$3005,"保留中")&gt;0,"保留",IF(COUNTIFS(請求記録!$B$6:$B$3005,$A139,請求記録!$X$6:$X$3005,I$5)=0,"",SUMIFS(請求記録!$AC$6:$AC$3005,請求記録!$B$6:$B$3005,$A139,請求記録!$X$6:$X$3005,I$5))))</f>
        <v/>
      </c>
      <c r="J139" s="19">
        <f>IF($A139="","",IF(COUNTIFS(請求記録!$B$6:$B$3005,$A139,請求記録!$X$6:$X$3005,J$5,請求記録!$AD$6:$AD$3005,"保留中")&gt;0,"保留",IF(COUNTIFS(請求記録!$B$6:$B$3005,$A139,請求記録!$X$6:$X$3005,J$5)=0,"",SUMIFS(請求記録!$AC$6:$AC$3005,請求記録!$B$6:$B$3005,$A139,請求記録!$X$6:$X$3005,J$5))))</f>
        <v/>
      </c>
      <c r="K139" s="19">
        <f>IF($A139="","",IF(COUNTIFS(請求記録!$B$6:$B$3005,$A139,請求記録!$X$6:$X$3005,K$5,請求記録!$AD$6:$AD$3005,"保留中")&gt;0,"保留",IF(COUNTIFS(請求記録!$B$6:$B$3005,$A139,請求記録!$X$6:$X$3005,K$5)=0,"",SUMIFS(請求記録!$AC$6:$AC$3005,請求記録!$B$6:$B$3005,$A139,請求記録!$X$6:$X$3005,K$5))))</f>
        <v/>
      </c>
      <c r="L139" s="19">
        <f>IF($A139="","",IF(COUNTIFS(請求記録!$B$6:$B$3005,$A139,請求記録!$X$6:$X$3005,L$5,請求記録!$AD$6:$AD$3005,"保留中")&gt;0,"保留",IF(COUNTIFS(請求記録!$B$6:$B$3005,$A139,請求記録!$X$6:$X$3005,L$5)=0,"",SUMIFS(請求記録!$AC$6:$AC$3005,請求記録!$B$6:$B$3005,$A139,請求記録!$X$6:$X$3005,L$5))))</f>
        <v/>
      </c>
      <c r="M139" s="19">
        <f>IF($A139="","",IF(COUNTIFS(請求記録!$B$6:$B$3005,$A139,請求記録!$X$6:$X$3005,M$5,請求記録!$AD$6:$AD$3005,"保留中")&gt;0,"保留",IF(COUNTIFS(請求記録!$B$6:$B$3005,$A139,請求記録!$X$6:$X$3005,M$5)=0,"",SUMIFS(請求記録!$AC$6:$AC$3005,請求記録!$B$6:$B$3005,$A139,請求記録!$X$6:$X$3005,M$5))))</f>
        <v/>
      </c>
      <c r="N139" s="19">
        <f>IF($A139="","",IF(COUNTIFS(請求記録!$B$6:$B$3005,$A139,請求記録!$X$6:$X$3005,N$5,請求記録!$AD$6:$AD$3005,"保留中")&gt;0,"保留",IF(COUNTIFS(請求記録!$B$6:$B$3005,$A139,請求記録!$X$6:$X$3005,N$5)=0,"",SUMIFS(請求記録!$AC$6:$AC$3005,請求記録!$B$6:$B$3005,$A139,請求記録!$X$6:$X$3005,N$5))))</f>
        <v/>
      </c>
      <c r="O139" s="19">
        <f>IF($A139="","",IF(COUNTIFS(請求記録!$B$6:$B$3005,$A139,請求記録!$X$6:$X$3005,O$5,請求記録!$AD$6:$AD$3005,"保留中")&gt;0,"保留",IF(COUNTIFS(請求記録!$B$6:$B$3005,$A139,請求記録!$X$6:$X$3005,O$5)=0,"",SUMIFS(請求記録!$AC$6:$AC$3005,請求記録!$B$6:$B$3005,$A139,請求記録!$X$6:$X$3005,O$5))))</f>
        <v/>
      </c>
      <c r="P139" s="19">
        <f>IF($A139="","",IF(COUNTIFS(請求記録!$B$6:$B$3005,$A139,請求記録!$X$6:$X$3005,P$5,請求記録!$AD$6:$AD$3005,"保留中")&gt;0,"保留",IF(COUNTIFS(請求記録!$B$6:$B$3005,$A139,請求記録!$X$6:$X$3005,P$5)=0,"",SUMIFS(請求記録!$AC$6:$AC$3005,請求記録!$B$6:$B$3005,$A139,請求記録!$X$6:$X$3005,P$5))))</f>
        <v/>
      </c>
      <c r="Q139" s="19">
        <f>IF($A139="","",IF(COUNTIFS(請求記録!$B$6:$B$3005,$A139,請求記録!$X$6:$X$3005,Q$5,請求記録!$AD$6:$AD$3005,"保留中")&gt;0,"保留",IF(COUNTIFS(請求記録!$B$6:$B$3005,$A139,請求記録!$X$6:$X$3005,Q$5)=0,"",SUMIFS(請求記録!$AC$6:$AC$3005,請求記録!$B$6:$B$3005,$A139,請求記録!$X$6:$X$3005,Q$5))))</f>
        <v/>
      </c>
      <c r="R139" s="19">
        <f>IF($A139="","",IF(COUNTIFS(請求記録!$B$6:$B$3005,$A139,請求記録!$X$6:$X$3005,R$5,請求記録!$AD$6:$AD$3005,"保留中")&gt;0,"保留",IF(COUNTIFS(請求記録!$B$6:$B$3005,$A139,請求記録!$X$6:$X$3005,R$5)=0,"",SUMIFS(請求記録!$AC$6:$AC$3005,請求記録!$B$6:$B$3005,$A139,請求記録!$X$6:$X$3005,R$5))))</f>
        <v/>
      </c>
      <c r="S139" s="19">
        <f>IF($A139="","",IF(COUNTIFS(請求記録!$B$6:$B$3005,$A139,請求記録!$X$6:$X$3005,S$5,請求記録!$AD$6:$AD$3005,"保留中")&gt;0,"保留",IF(COUNTIFS(請求記録!$B$6:$B$3005,$A139,請求記録!$X$6:$X$3005,S$5)=0,"",SUMIFS(請求記録!$AC$6:$AC$3005,請求記録!$B$6:$B$3005,$A139,請求記録!$X$6:$X$3005,S$5))))</f>
        <v/>
      </c>
      <c r="T139" s="19">
        <f>IF($A139="","",IF(COUNTIFS(請求記録!$B$6:$B$3005,$A139,請求記録!$X$6:$X$3005,T$5,請求記録!$AD$6:$AD$3005,"保留中")&gt;0,"保留",IF(COUNTIFS(請求記録!$B$6:$B$3005,$A139,請求記録!$X$6:$X$3005,T$5)=0,"",SUMIFS(請求記録!$AC$6:$AC$3005,請求記録!$B$6:$B$3005,$A139,請求記録!$X$6:$X$3005,T$5))))</f>
        <v/>
      </c>
      <c r="U139" s="19">
        <f>IF($A139="","",IF(COUNTIFS(請求記録!$B$6:$B$3005,$A139,請求記録!$X$6:$X$3005,U$5,請求記録!$AD$6:$AD$3005,"保留中")&gt;0,"保留",IF(COUNTIFS(請求記録!$B$6:$B$3005,$A139,請求記録!$X$6:$X$3005,U$5)=0,"",SUMIFS(請求記録!$AC$6:$AC$3005,請求記録!$B$6:$B$3005,$A139,請求記録!$X$6:$X$3005,U$5))))</f>
        <v/>
      </c>
      <c r="V139" s="19">
        <f>IF($A139="","",IF(COUNTIFS(請求記録!$B$6:$B$3005,$A139,請求記録!$X$6:$X$3005,V$5,請求記録!$AD$6:$AD$3005,"保留中")&gt;0,"保留",IF(COUNTIFS(請求記録!$B$6:$B$3005,$A139,請求記録!$X$6:$X$3005,V$5)=0,"",SUMIFS(請求記録!$AC$6:$AC$3005,請求記録!$B$6:$B$3005,$A139,請求記録!$X$6:$X$3005,V$5))))</f>
        <v/>
      </c>
      <c r="W139" s="19">
        <f>IF($A139="","",IF(COUNTIFS(請求記録!$B$6:$B$3005,$A139,請求記録!$X$6:$X$3005,W$5,請求記録!$AD$6:$AD$3005,"保留中")&gt;0,"保留",IF(COUNTIFS(請求記録!$B$6:$B$3005,$A139,請求記録!$X$6:$X$3005,W$5)=0,"",SUMIFS(請求記録!$AC$6:$AC$3005,請求記録!$B$6:$B$3005,$A139,請求記録!$X$6:$X$3005,W$5))))</f>
        <v/>
      </c>
      <c r="X139" s="19">
        <f>IF($A139="","",IF(COUNTIFS(請求記録!$B$6:$B$3005,$A139,請求記録!$X$6:$X$3005,X$5,請求記録!$AD$6:$AD$3005,"保留中")&gt;0,"保留",IF(COUNTIFS(請求記録!$B$6:$B$3005,$A139,請求記録!$X$6:$X$3005,X$5)=0,"",SUMIFS(請求記録!$AC$6:$AC$3005,請求記録!$B$6:$B$3005,$A139,請求記録!$X$6:$X$3005,X$5))))</f>
        <v/>
      </c>
      <c r="Y139" s="19">
        <f>IF($A139="","",IF(COUNTIFS(請求記録!$B$6:$B$3005,$A139,請求記録!$X$6:$X$3005,Y$5,請求記録!$AD$6:$AD$3005,"保留中")&gt;0,"保留",IF(COUNTIFS(請求記録!$B$6:$B$3005,$A139,請求記録!$X$6:$X$3005,Y$5)=0,"",SUMIFS(請求記録!$AC$6:$AC$3005,請求記録!$B$6:$B$3005,$A139,請求記録!$X$6:$X$3005,Y$5))))</f>
        <v/>
      </c>
      <c r="Z139" s="19">
        <f>IF($A139="","",IF(COUNTIFS(請求記録!$B$6:$B$3005,$A139,請求記録!$X$6:$X$3005,Z$5,請求記録!$AD$6:$AD$3005,"保留中")&gt;0,"保留",IF(COUNTIFS(請求記録!$B$6:$B$3005,$A139,請求記録!$X$6:$X$3005,Z$5)=0,"",SUMIFS(請求記録!$AC$6:$AC$3005,請求記録!$B$6:$B$3005,$A139,請求記録!$X$6:$X$3005,Z$5))))</f>
        <v/>
      </c>
      <c r="AA139" s="19">
        <f>IF($A139="","",IF(COUNTIFS(請求記録!$B$6:$B$3005,$A139,請求記録!$X$6:$X$3005,AA$5,請求記録!$AD$6:$AD$3005,"保留中")&gt;0,"保留",IF(COUNTIFS(請求記録!$B$6:$B$3005,$A139,請求記録!$X$6:$X$3005,AA$5)=0,"",SUMIFS(請求記録!$AC$6:$AC$3005,請求記録!$B$6:$B$3005,$A139,請求記録!$X$6:$X$3005,AA$5))))</f>
        <v/>
      </c>
      <c r="AB139">
        <f>IF(職員マスタ!P139="保留中",職員マスタ!M139,"")</f>
        <v/>
      </c>
    </row>
    <row r="140">
      <c r="A140">
        <f>IF(職員マスタ!A140="","",職員マスタ!A140)</f>
        <v/>
      </c>
      <c r="B140">
        <f>IF($A140="","",職員マスタ!B140)</f>
        <v/>
      </c>
      <c r="C140">
        <f>IF($A140="","",職員マスタ!C140)</f>
        <v/>
      </c>
      <c r="D140" s="19">
        <f>IF($A140="","",IF(COUNTIFS(請求記録!$B$6:$B$3005,$A140,請求記録!$X$6:$X$3005,D$5,請求記録!$AD$6:$AD$3005,"保留中")&gt;0,"保留",IF(COUNTIFS(請求記録!$B$6:$B$3005,$A140,請求記録!$X$6:$X$3005,D$5)=0,"",SUMIFS(請求記録!$AC$6:$AC$3005,請求記録!$B$6:$B$3005,$A140,請求記録!$X$6:$X$3005,D$5))))</f>
        <v/>
      </c>
      <c r="E140" s="19">
        <f>IF($A140="","",IF(COUNTIFS(請求記録!$B$6:$B$3005,$A140,請求記録!$X$6:$X$3005,E$5,請求記録!$AD$6:$AD$3005,"保留中")&gt;0,"保留",IF(COUNTIFS(請求記録!$B$6:$B$3005,$A140,請求記録!$X$6:$X$3005,E$5)=0,"",SUMIFS(請求記録!$AC$6:$AC$3005,請求記録!$B$6:$B$3005,$A140,請求記録!$X$6:$X$3005,E$5))))</f>
        <v/>
      </c>
      <c r="F140" s="19">
        <f>IF($A140="","",IF(COUNTIFS(請求記録!$B$6:$B$3005,$A140,請求記録!$X$6:$X$3005,F$5,請求記録!$AD$6:$AD$3005,"保留中")&gt;0,"保留",IF(COUNTIFS(請求記録!$B$6:$B$3005,$A140,請求記録!$X$6:$X$3005,F$5)=0,"",SUMIFS(請求記録!$AC$6:$AC$3005,請求記録!$B$6:$B$3005,$A140,請求記録!$X$6:$X$3005,F$5))))</f>
        <v/>
      </c>
      <c r="G140" s="19">
        <f>IF($A140="","",IF(COUNTIFS(請求記録!$B$6:$B$3005,$A140,請求記録!$X$6:$X$3005,G$5,請求記録!$AD$6:$AD$3005,"保留中")&gt;0,"保留",IF(COUNTIFS(請求記録!$B$6:$B$3005,$A140,請求記録!$X$6:$X$3005,G$5)=0,"",SUMIFS(請求記録!$AC$6:$AC$3005,請求記録!$B$6:$B$3005,$A140,請求記録!$X$6:$X$3005,G$5))))</f>
        <v/>
      </c>
      <c r="H140" s="19">
        <f>IF($A140="","",IF(COUNTIFS(請求記録!$B$6:$B$3005,$A140,請求記録!$X$6:$X$3005,H$5,請求記録!$AD$6:$AD$3005,"保留中")&gt;0,"保留",IF(COUNTIFS(請求記録!$B$6:$B$3005,$A140,請求記録!$X$6:$X$3005,H$5)=0,"",SUMIFS(請求記録!$AC$6:$AC$3005,請求記録!$B$6:$B$3005,$A140,請求記録!$X$6:$X$3005,H$5))))</f>
        <v/>
      </c>
      <c r="I140" s="19">
        <f>IF($A140="","",IF(COUNTIFS(請求記録!$B$6:$B$3005,$A140,請求記録!$X$6:$X$3005,I$5,請求記録!$AD$6:$AD$3005,"保留中")&gt;0,"保留",IF(COUNTIFS(請求記録!$B$6:$B$3005,$A140,請求記録!$X$6:$X$3005,I$5)=0,"",SUMIFS(請求記録!$AC$6:$AC$3005,請求記録!$B$6:$B$3005,$A140,請求記録!$X$6:$X$3005,I$5))))</f>
        <v/>
      </c>
      <c r="J140" s="19">
        <f>IF($A140="","",IF(COUNTIFS(請求記録!$B$6:$B$3005,$A140,請求記録!$X$6:$X$3005,J$5,請求記録!$AD$6:$AD$3005,"保留中")&gt;0,"保留",IF(COUNTIFS(請求記録!$B$6:$B$3005,$A140,請求記録!$X$6:$X$3005,J$5)=0,"",SUMIFS(請求記録!$AC$6:$AC$3005,請求記録!$B$6:$B$3005,$A140,請求記録!$X$6:$X$3005,J$5))))</f>
        <v/>
      </c>
      <c r="K140" s="19">
        <f>IF($A140="","",IF(COUNTIFS(請求記録!$B$6:$B$3005,$A140,請求記録!$X$6:$X$3005,K$5,請求記録!$AD$6:$AD$3005,"保留中")&gt;0,"保留",IF(COUNTIFS(請求記録!$B$6:$B$3005,$A140,請求記録!$X$6:$X$3005,K$5)=0,"",SUMIFS(請求記録!$AC$6:$AC$3005,請求記録!$B$6:$B$3005,$A140,請求記録!$X$6:$X$3005,K$5))))</f>
        <v/>
      </c>
      <c r="L140" s="19">
        <f>IF($A140="","",IF(COUNTIFS(請求記録!$B$6:$B$3005,$A140,請求記録!$X$6:$X$3005,L$5,請求記録!$AD$6:$AD$3005,"保留中")&gt;0,"保留",IF(COUNTIFS(請求記録!$B$6:$B$3005,$A140,請求記録!$X$6:$X$3005,L$5)=0,"",SUMIFS(請求記録!$AC$6:$AC$3005,請求記録!$B$6:$B$3005,$A140,請求記録!$X$6:$X$3005,L$5))))</f>
        <v/>
      </c>
      <c r="M140" s="19">
        <f>IF($A140="","",IF(COUNTIFS(請求記録!$B$6:$B$3005,$A140,請求記録!$X$6:$X$3005,M$5,請求記録!$AD$6:$AD$3005,"保留中")&gt;0,"保留",IF(COUNTIFS(請求記録!$B$6:$B$3005,$A140,請求記録!$X$6:$X$3005,M$5)=0,"",SUMIFS(請求記録!$AC$6:$AC$3005,請求記録!$B$6:$B$3005,$A140,請求記録!$X$6:$X$3005,M$5))))</f>
        <v/>
      </c>
      <c r="N140" s="19">
        <f>IF($A140="","",IF(COUNTIFS(請求記録!$B$6:$B$3005,$A140,請求記録!$X$6:$X$3005,N$5,請求記録!$AD$6:$AD$3005,"保留中")&gt;0,"保留",IF(COUNTIFS(請求記録!$B$6:$B$3005,$A140,請求記録!$X$6:$X$3005,N$5)=0,"",SUMIFS(請求記録!$AC$6:$AC$3005,請求記録!$B$6:$B$3005,$A140,請求記録!$X$6:$X$3005,N$5))))</f>
        <v/>
      </c>
      <c r="O140" s="19">
        <f>IF($A140="","",IF(COUNTIFS(請求記録!$B$6:$B$3005,$A140,請求記録!$X$6:$X$3005,O$5,請求記録!$AD$6:$AD$3005,"保留中")&gt;0,"保留",IF(COUNTIFS(請求記録!$B$6:$B$3005,$A140,請求記録!$X$6:$X$3005,O$5)=0,"",SUMIFS(請求記録!$AC$6:$AC$3005,請求記録!$B$6:$B$3005,$A140,請求記録!$X$6:$X$3005,O$5))))</f>
        <v/>
      </c>
      <c r="P140" s="19">
        <f>IF($A140="","",IF(COUNTIFS(請求記録!$B$6:$B$3005,$A140,請求記録!$X$6:$X$3005,P$5,請求記録!$AD$6:$AD$3005,"保留中")&gt;0,"保留",IF(COUNTIFS(請求記録!$B$6:$B$3005,$A140,請求記録!$X$6:$X$3005,P$5)=0,"",SUMIFS(請求記録!$AC$6:$AC$3005,請求記録!$B$6:$B$3005,$A140,請求記録!$X$6:$X$3005,P$5))))</f>
        <v/>
      </c>
      <c r="Q140" s="19">
        <f>IF($A140="","",IF(COUNTIFS(請求記録!$B$6:$B$3005,$A140,請求記録!$X$6:$X$3005,Q$5,請求記録!$AD$6:$AD$3005,"保留中")&gt;0,"保留",IF(COUNTIFS(請求記録!$B$6:$B$3005,$A140,請求記録!$X$6:$X$3005,Q$5)=0,"",SUMIFS(請求記録!$AC$6:$AC$3005,請求記録!$B$6:$B$3005,$A140,請求記録!$X$6:$X$3005,Q$5))))</f>
        <v/>
      </c>
      <c r="R140" s="19">
        <f>IF($A140="","",IF(COUNTIFS(請求記録!$B$6:$B$3005,$A140,請求記録!$X$6:$X$3005,R$5,請求記録!$AD$6:$AD$3005,"保留中")&gt;0,"保留",IF(COUNTIFS(請求記録!$B$6:$B$3005,$A140,請求記録!$X$6:$X$3005,R$5)=0,"",SUMIFS(請求記録!$AC$6:$AC$3005,請求記録!$B$6:$B$3005,$A140,請求記録!$X$6:$X$3005,R$5))))</f>
        <v/>
      </c>
      <c r="S140" s="19">
        <f>IF($A140="","",IF(COUNTIFS(請求記録!$B$6:$B$3005,$A140,請求記録!$X$6:$X$3005,S$5,請求記録!$AD$6:$AD$3005,"保留中")&gt;0,"保留",IF(COUNTIFS(請求記録!$B$6:$B$3005,$A140,請求記録!$X$6:$X$3005,S$5)=0,"",SUMIFS(請求記録!$AC$6:$AC$3005,請求記録!$B$6:$B$3005,$A140,請求記録!$X$6:$X$3005,S$5))))</f>
        <v/>
      </c>
      <c r="T140" s="19">
        <f>IF($A140="","",IF(COUNTIFS(請求記録!$B$6:$B$3005,$A140,請求記録!$X$6:$X$3005,T$5,請求記録!$AD$6:$AD$3005,"保留中")&gt;0,"保留",IF(COUNTIFS(請求記録!$B$6:$B$3005,$A140,請求記録!$X$6:$X$3005,T$5)=0,"",SUMIFS(請求記録!$AC$6:$AC$3005,請求記録!$B$6:$B$3005,$A140,請求記録!$X$6:$X$3005,T$5))))</f>
        <v/>
      </c>
      <c r="U140" s="19">
        <f>IF($A140="","",IF(COUNTIFS(請求記録!$B$6:$B$3005,$A140,請求記録!$X$6:$X$3005,U$5,請求記録!$AD$6:$AD$3005,"保留中")&gt;0,"保留",IF(COUNTIFS(請求記録!$B$6:$B$3005,$A140,請求記録!$X$6:$X$3005,U$5)=0,"",SUMIFS(請求記録!$AC$6:$AC$3005,請求記録!$B$6:$B$3005,$A140,請求記録!$X$6:$X$3005,U$5))))</f>
        <v/>
      </c>
      <c r="V140" s="19">
        <f>IF($A140="","",IF(COUNTIFS(請求記録!$B$6:$B$3005,$A140,請求記録!$X$6:$X$3005,V$5,請求記録!$AD$6:$AD$3005,"保留中")&gt;0,"保留",IF(COUNTIFS(請求記録!$B$6:$B$3005,$A140,請求記録!$X$6:$X$3005,V$5)=0,"",SUMIFS(請求記録!$AC$6:$AC$3005,請求記録!$B$6:$B$3005,$A140,請求記録!$X$6:$X$3005,V$5))))</f>
        <v/>
      </c>
      <c r="W140" s="19">
        <f>IF($A140="","",IF(COUNTIFS(請求記録!$B$6:$B$3005,$A140,請求記録!$X$6:$X$3005,W$5,請求記録!$AD$6:$AD$3005,"保留中")&gt;0,"保留",IF(COUNTIFS(請求記録!$B$6:$B$3005,$A140,請求記録!$X$6:$X$3005,W$5)=0,"",SUMIFS(請求記録!$AC$6:$AC$3005,請求記録!$B$6:$B$3005,$A140,請求記録!$X$6:$X$3005,W$5))))</f>
        <v/>
      </c>
      <c r="X140" s="19">
        <f>IF($A140="","",IF(COUNTIFS(請求記録!$B$6:$B$3005,$A140,請求記録!$X$6:$X$3005,X$5,請求記録!$AD$6:$AD$3005,"保留中")&gt;0,"保留",IF(COUNTIFS(請求記録!$B$6:$B$3005,$A140,請求記録!$X$6:$X$3005,X$5)=0,"",SUMIFS(請求記録!$AC$6:$AC$3005,請求記録!$B$6:$B$3005,$A140,請求記録!$X$6:$X$3005,X$5))))</f>
        <v/>
      </c>
      <c r="Y140" s="19">
        <f>IF($A140="","",IF(COUNTIFS(請求記録!$B$6:$B$3005,$A140,請求記録!$X$6:$X$3005,Y$5,請求記録!$AD$6:$AD$3005,"保留中")&gt;0,"保留",IF(COUNTIFS(請求記録!$B$6:$B$3005,$A140,請求記録!$X$6:$X$3005,Y$5)=0,"",SUMIFS(請求記録!$AC$6:$AC$3005,請求記録!$B$6:$B$3005,$A140,請求記録!$X$6:$X$3005,Y$5))))</f>
        <v/>
      </c>
      <c r="Z140" s="19">
        <f>IF($A140="","",IF(COUNTIFS(請求記録!$B$6:$B$3005,$A140,請求記録!$X$6:$X$3005,Z$5,請求記録!$AD$6:$AD$3005,"保留中")&gt;0,"保留",IF(COUNTIFS(請求記録!$B$6:$B$3005,$A140,請求記録!$X$6:$X$3005,Z$5)=0,"",SUMIFS(請求記録!$AC$6:$AC$3005,請求記録!$B$6:$B$3005,$A140,請求記録!$X$6:$X$3005,Z$5))))</f>
        <v/>
      </c>
      <c r="AA140" s="19">
        <f>IF($A140="","",IF(COUNTIFS(請求記録!$B$6:$B$3005,$A140,請求記録!$X$6:$X$3005,AA$5,請求記録!$AD$6:$AD$3005,"保留中")&gt;0,"保留",IF(COUNTIFS(請求記録!$B$6:$B$3005,$A140,請求記録!$X$6:$X$3005,AA$5)=0,"",SUMIFS(請求記録!$AC$6:$AC$3005,請求記録!$B$6:$B$3005,$A140,請求記録!$X$6:$X$3005,AA$5))))</f>
        <v/>
      </c>
      <c r="AB140">
        <f>IF(職員マスタ!P140="保留中",職員マスタ!M140,"")</f>
        <v/>
      </c>
    </row>
    <row r="141">
      <c r="A141">
        <f>IF(職員マスタ!A141="","",職員マスタ!A141)</f>
        <v/>
      </c>
      <c r="B141">
        <f>IF($A141="","",職員マスタ!B141)</f>
        <v/>
      </c>
      <c r="C141">
        <f>IF($A141="","",職員マスタ!C141)</f>
        <v/>
      </c>
      <c r="D141" s="19">
        <f>IF($A141="","",IF(COUNTIFS(請求記録!$B$6:$B$3005,$A141,請求記録!$X$6:$X$3005,D$5,請求記録!$AD$6:$AD$3005,"保留中")&gt;0,"保留",IF(COUNTIFS(請求記録!$B$6:$B$3005,$A141,請求記録!$X$6:$X$3005,D$5)=0,"",SUMIFS(請求記録!$AC$6:$AC$3005,請求記録!$B$6:$B$3005,$A141,請求記録!$X$6:$X$3005,D$5))))</f>
        <v/>
      </c>
      <c r="E141" s="19">
        <f>IF($A141="","",IF(COUNTIFS(請求記録!$B$6:$B$3005,$A141,請求記録!$X$6:$X$3005,E$5,請求記録!$AD$6:$AD$3005,"保留中")&gt;0,"保留",IF(COUNTIFS(請求記録!$B$6:$B$3005,$A141,請求記録!$X$6:$X$3005,E$5)=0,"",SUMIFS(請求記録!$AC$6:$AC$3005,請求記録!$B$6:$B$3005,$A141,請求記録!$X$6:$X$3005,E$5))))</f>
        <v/>
      </c>
      <c r="F141" s="19">
        <f>IF($A141="","",IF(COUNTIFS(請求記録!$B$6:$B$3005,$A141,請求記録!$X$6:$X$3005,F$5,請求記録!$AD$6:$AD$3005,"保留中")&gt;0,"保留",IF(COUNTIFS(請求記録!$B$6:$B$3005,$A141,請求記録!$X$6:$X$3005,F$5)=0,"",SUMIFS(請求記録!$AC$6:$AC$3005,請求記録!$B$6:$B$3005,$A141,請求記録!$X$6:$X$3005,F$5))))</f>
        <v/>
      </c>
      <c r="G141" s="19">
        <f>IF($A141="","",IF(COUNTIFS(請求記録!$B$6:$B$3005,$A141,請求記録!$X$6:$X$3005,G$5,請求記録!$AD$6:$AD$3005,"保留中")&gt;0,"保留",IF(COUNTIFS(請求記録!$B$6:$B$3005,$A141,請求記録!$X$6:$X$3005,G$5)=0,"",SUMIFS(請求記録!$AC$6:$AC$3005,請求記録!$B$6:$B$3005,$A141,請求記録!$X$6:$X$3005,G$5))))</f>
        <v/>
      </c>
      <c r="H141" s="19">
        <f>IF($A141="","",IF(COUNTIFS(請求記録!$B$6:$B$3005,$A141,請求記録!$X$6:$X$3005,H$5,請求記録!$AD$6:$AD$3005,"保留中")&gt;0,"保留",IF(COUNTIFS(請求記録!$B$6:$B$3005,$A141,請求記録!$X$6:$X$3005,H$5)=0,"",SUMIFS(請求記録!$AC$6:$AC$3005,請求記録!$B$6:$B$3005,$A141,請求記録!$X$6:$X$3005,H$5))))</f>
        <v/>
      </c>
      <c r="I141" s="19">
        <f>IF($A141="","",IF(COUNTIFS(請求記録!$B$6:$B$3005,$A141,請求記録!$X$6:$X$3005,I$5,請求記録!$AD$6:$AD$3005,"保留中")&gt;0,"保留",IF(COUNTIFS(請求記録!$B$6:$B$3005,$A141,請求記録!$X$6:$X$3005,I$5)=0,"",SUMIFS(請求記録!$AC$6:$AC$3005,請求記録!$B$6:$B$3005,$A141,請求記録!$X$6:$X$3005,I$5))))</f>
        <v/>
      </c>
      <c r="J141" s="19">
        <f>IF($A141="","",IF(COUNTIFS(請求記録!$B$6:$B$3005,$A141,請求記録!$X$6:$X$3005,J$5,請求記録!$AD$6:$AD$3005,"保留中")&gt;0,"保留",IF(COUNTIFS(請求記録!$B$6:$B$3005,$A141,請求記録!$X$6:$X$3005,J$5)=0,"",SUMIFS(請求記録!$AC$6:$AC$3005,請求記録!$B$6:$B$3005,$A141,請求記録!$X$6:$X$3005,J$5))))</f>
        <v/>
      </c>
      <c r="K141" s="19">
        <f>IF($A141="","",IF(COUNTIFS(請求記録!$B$6:$B$3005,$A141,請求記録!$X$6:$X$3005,K$5,請求記録!$AD$6:$AD$3005,"保留中")&gt;0,"保留",IF(COUNTIFS(請求記録!$B$6:$B$3005,$A141,請求記録!$X$6:$X$3005,K$5)=0,"",SUMIFS(請求記録!$AC$6:$AC$3005,請求記録!$B$6:$B$3005,$A141,請求記録!$X$6:$X$3005,K$5))))</f>
        <v/>
      </c>
      <c r="L141" s="19">
        <f>IF($A141="","",IF(COUNTIFS(請求記録!$B$6:$B$3005,$A141,請求記録!$X$6:$X$3005,L$5,請求記録!$AD$6:$AD$3005,"保留中")&gt;0,"保留",IF(COUNTIFS(請求記録!$B$6:$B$3005,$A141,請求記録!$X$6:$X$3005,L$5)=0,"",SUMIFS(請求記録!$AC$6:$AC$3005,請求記録!$B$6:$B$3005,$A141,請求記録!$X$6:$X$3005,L$5))))</f>
        <v/>
      </c>
      <c r="M141" s="19">
        <f>IF($A141="","",IF(COUNTIFS(請求記録!$B$6:$B$3005,$A141,請求記録!$X$6:$X$3005,M$5,請求記録!$AD$6:$AD$3005,"保留中")&gt;0,"保留",IF(COUNTIFS(請求記録!$B$6:$B$3005,$A141,請求記録!$X$6:$X$3005,M$5)=0,"",SUMIFS(請求記録!$AC$6:$AC$3005,請求記録!$B$6:$B$3005,$A141,請求記録!$X$6:$X$3005,M$5))))</f>
        <v/>
      </c>
      <c r="N141" s="19">
        <f>IF($A141="","",IF(COUNTIFS(請求記録!$B$6:$B$3005,$A141,請求記録!$X$6:$X$3005,N$5,請求記録!$AD$6:$AD$3005,"保留中")&gt;0,"保留",IF(COUNTIFS(請求記録!$B$6:$B$3005,$A141,請求記録!$X$6:$X$3005,N$5)=0,"",SUMIFS(請求記録!$AC$6:$AC$3005,請求記録!$B$6:$B$3005,$A141,請求記録!$X$6:$X$3005,N$5))))</f>
        <v/>
      </c>
      <c r="O141" s="19">
        <f>IF($A141="","",IF(COUNTIFS(請求記録!$B$6:$B$3005,$A141,請求記録!$X$6:$X$3005,O$5,請求記録!$AD$6:$AD$3005,"保留中")&gt;0,"保留",IF(COUNTIFS(請求記録!$B$6:$B$3005,$A141,請求記録!$X$6:$X$3005,O$5)=0,"",SUMIFS(請求記録!$AC$6:$AC$3005,請求記録!$B$6:$B$3005,$A141,請求記録!$X$6:$X$3005,O$5))))</f>
        <v/>
      </c>
      <c r="P141" s="19">
        <f>IF($A141="","",IF(COUNTIFS(請求記録!$B$6:$B$3005,$A141,請求記録!$X$6:$X$3005,P$5,請求記録!$AD$6:$AD$3005,"保留中")&gt;0,"保留",IF(COUNTIFS(請求記録!$B$6:$B$3005,$A141,請求記録!$X$6:$X$3005,P$5)=0,"",SUMIFS(請求記録!$AC$6:$AC$3005,請求記録!$B$6:$B$3005,$A141,請求記録!$X$6:$X$3005,P$5))))</f>
        <v/>
      </c>
      <c r="Q141" s="19">
        <f>IF($A141="","",IF(COUNTIFS(請求記録!$B$6:$B$3005,$A141,請求記録!$X$6:$X$3005,Q$5,請求記録!$AD$6:$AD$3005,"保留中")&gt;0,"保留",IF(COUNTIFS(請求記録!$B$6:$B$3005,$A141,請求記録!$X$6:$X$3005,Q$5)=0,"",SUMIFS(請求記録!$AC$6:$AC$3005,請求記録!$B$6:$B$3005,$A141,請求記録!$X$6:$X$3005,Q$5))))</f>
        <v/>
      </c>
      <c r="R141" s="19">
        <f>IF($A141="","",IF(COUNTIFS(請求記録!$B$6:$B$3005,$A141,請求記録!$X$6:$X$3005,R$5,請求記録!$AD$6:$AD$3005,"保留中")&gt;0,"保留",IF(COUNTIFS(請求記録!$B$6:$B$3005,$A141,請求記録!$X$6:$X$3005,R$5)=0,"",SUMIFS(請求記録!$AC$6:$AC$3005,請求記録!$B$6:$B$3005,$A141,請求記録!$X$6:$X$3005,R$5))))</f>
        <v/>
      </c>
      <c r="S141" s="19">
        <f>IF($A141="","",IF(COUNTIFS(請求記録!$B$6:$B$3005,$A141,請求記録!$X$6:$X$3005,S$5,請求記録!$AD$6:$AD$3005,"保留中")&gt;0,"保留",IF(COUNTIFS(請求記録!$B$6:$B$3005,$A141,請求記録!$X$6:$X$3005,S$5)=0,"",SUMIFS(請求記録!$AC$6:$AC$3005,請求記録!$B$6:$B$3005,$A141,請求記録!$X$6:$X$3005,S$5))))</f>
        <v/>
      </c>
      <c r="T141" s="19">
        <f>IF($A141="","",IF(COUNTIFS(請求記録!$B$6:$B$3005,$A141,請求記録!$X$6:$X$3005,T$5,請求記録!$AD$6:$AD$3005,"保留中")&gt;0,"保留",IF(COUNTIFS(請求記録!$B$6:$B$3005,$A141,請求記録!$X$6:$X$3005,T$5)=0,"",SUMIFS(請求記録!$AC$6:$AC$3005,請求記録!$B$6:$B$3005,$A141,請求記録!$X$6:$X$3005,T$5))))</f>
        <v/>
      </c>
      <c r="U141" s="19">
        <f>IF($A141="","",IF(COUNTIFS(請求記録!$B$6:$B$3005,$A141,請求記録!$X$6:$X$3005,U$5,請求記録!$AD$6:$AD$3005,"保留中")&gt;0,"保留",IF(COUNTIFS(請求記録!$B$6:$B$3005,$A141,請求記録!$X$6:$X$3005,U$5)=0,"",SUMIFS(請求記録!$AC$6:$AC$3005,請求記録!$B$6:$B$3005,$A141,請求記録!$X$6:$X$3005,U$5))))</f>
        <v/>
      </c>
      <c r="V141" s="19">
        <f>IF($A141="","",IF(COUNTIFS(請求記録!$B$6:$B$3005,$A141,請求記録!$X$6:$X$3005,V$5,請求記録!$AD$6:$AD$3005,"保留中")&gt;0,"保留",IF(COUNTIFS(請求記録!$B$6:$B$3005,$A141,請求記録!$X$6:$X$3005,V$5)=0,"",SUMIFS(請求記録!$AC$6:$AC$3005,請求記録!$B$6:$B$3005,$A141,請求記録!$X$6:$X$3005,V$5))))</f>
        <v/>
      </c>
      <c r="W141" s="19">
        <f>IF($A141="","",IF(COUNTIFS(請求記録!$B$6:$B$3005,$A141,請求記録!$X$6:$X$3005,W$5,請求記録!$AD$6:$AD$3005,"保留中")&gt;0,"保留",IF(COUNTIFS(請求記録!$B$6:$B$3005,$A141,請求記録!$X$6:$X$3005,W$5)=0,"",SUMIFS(請求記録!$AC$6:$AC$3005,請求記録!$B$6:$B$3005,$A141,請求記録!$X$6:$X$3005,W$5))))</f>
        <v/>
      </c>
      <c r="X141" s="19">
        <f>IF($A141="","",IF(COUNTIFS(請求記録!$B$6:$B$3005,$A141,請求記録!$X$6:$X$3005,X$5,請求記録!$AD$6:$AD$3005,"保留中")&gt;0,"保留",IF(COUNTIFS(請求記録!$B$6:$B$3005,$A141,請求記録!$X$6:$X$3005,X$5)=0,"",SUMIFS(請求記録!$AC$6:$AC$3005,請求記録!$B$6:$B$3005,$A141,請求記録!$X$6:$X$3005,X$5))))</f>
        <v/>
      </c>
      <c r="Y141" s="19">
        <f>IF($A141="","",IF(COUNTIFS(請求記録!$B$6:$B$3005,$A141,請求記録!$X$6:$X$3005,Y$5,請求記録!$AD$6:$AD$3005,"保留中")&gt;0,"保留",IF(COUNTIFS(請求記録!$B$6:$B$3005,$A141,請求記録!$X$6:$X$3005,Y$5)=0,"",SUMIFS(請求記録!$AC$6:$AC$3005,請求記録!$B$6:$B$3005,$A141,請求記録!$X$6:$X$3005,Y$5))))</f>
        <v/>
      </c>
      <c r="Z141" s="19">
        <f>IF($A141="","",IF(COUNTIFS(請求記録!$B$6:$B$3005,$A141,請求記録!$X$6:$X$3005,Z$5,請求記録!$AD$6:$AD$3005,"保留中")&gt;0,"保留",IF(COUNTIFS(請求記録!$B$6:$B$3005,$A141,請求記録!$X$6:$X$3005,Z$5)=0,"",SUMIFS(請求記録!$AC$6:$AC$3005,請求記録!$B$6:$B$3005,$A141,請求記録!$X$6:$X$3005,Z$5))))</f>
        <v/>
      </c>
      <c r="AA141" s="19">
        <f>IF($A141="","",IF(COUNTIFS(請求記録!$B$6:$B$3005,$A141,請求記録!$X$6:$X$3005,AA$5,請求記録!$AD$6:$AD$3005,"保留中")&gt;0,"保留",IF(COUNTIFS(請求記録!$B$6:$B$3005,$A141,請求記録!$X$6:$X$3005,AA$5)=0,"",SUMIFS(請求記録!$AC$6:$AC$3005,請求記録!$B$6:$B$3005,$A141,請求記録!$X$6:$X$3005,AA$5))))</f>
        <v/>
      </c>
      <c r="AB141">
        <f>IF(職員マスタ!P141="保留中",職員マスタ!M141,"")</f>
        <v/>
      </c>
    </row>
    <row r="142">
      <c r="A142">
        <f>IF(職員マスタ!A142="","",職員マスタ!A142)</f>
        <v/>
      </c>
      <c r="B142">
        <f>IF($A142="","",職員マスタ!B142)</f>
        <v/>
      </c>
      <c r="C142">
        <f>IF($A142="","",職員マスタ!C142)</f>
        <v/>
      </c>
      <c r="D142" s="19">
        <f>IF($A142="","",IF(COUNTIFS(請求記録!$B$6:$B$3005,$A142,請求記録!$X$6:$X$3005,D$5,請求記録!$AD$6:$AD$3005,"保留中")&gt;0,"保留",IF(COUNTIFS(請求記録!$B$6:$B$3005,$A142,請求記録!$X$6:$X$3005,D$5)=0,"",SUMIFS(請求記録!$AC$6:$AC$3005,請求記録!$B$6:$B$3005,$A142,請求記録!$X$6:$X$3005,D$5))))</f>
        <v/>
      </c>
      <c r="E142" s="19">
        <f>IF($A142="","",IF(COUNTIFS(請求記録!$B$6:$B$3005,$A142,請求記録!$X$6:$X$3005,E$5,請求記録!$AD$6:$AD$3005,"保留中")&gt;0,"保留",IF(COUNTIFS(請求記録!$B$6:$B$3005,$A142,請求記録!$X$6:$X$3005,E$5)=0,"",SUMIFS(請求記録!$AC$6:$AC$3005,請求記録!$B$6:$B$3005,$A142,請求記録!$X$6:$X$3005,E$5))))</f>
        <v/>
      </c>
      <c r="F142" s="19">
        <f>IF($A142="","",IF(COUNTIFS(請求記録!$B$6:$B$3005,$A142,請求記録!$X$6:$X$3005,F$5,請求記録!$AD$6:$AD$3005,"保留中")&gt;0,"保留",IF(COUNTIFS(請求記録!$B$6:$B$3005,$A142,請求記録!$X$6:$X$3005,F$5)=0,"",SUMIFS(請求記録!$AC$6:$AC$3005,請求記録!$B$6:$B$3005,$A142,請求記録!$X$6:$X$3005,F$5))))</f>
        <v/>
      </c>
      <c r="G142" s="19">
        <f>IF($A142="","",IF(COUNTIFS(請求記録!$B$6:$B$3005,$A142,請求記録!$X$6:$X$3005,G$5,請求記録!$AD$6:$AD$3005,"保留中")&gt;0,"保留",IF(COUNTIFS(請求記録!$B$6:$B$3005,$A142,請求記録!$X$6:$X$3005,G$5)=0,"",SUMIFS(請求記録!$AC$6:$AC$3005,請求記録!$B$6:$B$3005,$A142,請求記録!$X$6:$X$3005,G$5))))</f>
        <v/>
      </c>
      <c r="H142" s="19">
        <f>IF($A142="","",IF(COUNTIFS(請求記録!$B$6:$B$3005,$A142,請求記録!$X$6:$X$3005,H$5,請求記録!$AD$6:$AD$3005,"保留中")&gt;0,"保留",IF(COUNTIFS(請求記録!$B$6:$B$3005,$A142,請求記録!$X$6:$X$3005,H$5)=0,"",SUMIFS(請求記録!$AC$6:$AC$3005,請求記録!$B$6:$B$3005,$A142,請求記録!$X$6:$X$3005,H$5))))</f>
        <v/>
      </c>
      <c r="I142" s="19">
        <f>IF($A142="","",IF(COUNTIFS(請求記録!$B$6:$B$3005,$A142,請求記録!$X$6:$X$3005,I$5,請求記録!$AD$6:$AD$3005,"保留中")&gt;0,"保留",IF(COUNTIFS(請求記録!$B$6:$B$3005,$A142,請求記録!$X$6:$X$3005,I$5)=0,"",SUMIFS(請求記録!$AC$6:$AC$3005,請求記録!$B$6:$B$3005,$A142,請求記録!$X$6:$X$3005,I$5))))</f>
        <v/>
      </c>
      <c r="J142" s="19">
        <f>IF($A142="","",IF(COUNTIFS(請求記録!$B$6:$B$3005,$A142,請求記録!$X$6:$X$3005,J$5,請求記録!$AD$6:$AD$3005,"保留中")&gt;0,"保留",IF(COUNTIFS(請求記録!$B$6:$B$3005,$A142,請求記録!$X$6:$X$3005,J$5)=0,"",SUMIFS(請求記録!$AC$6:$AC$3005,請求記録!$B$6:$B$3005,$A142,請求記録!$X$6:$X$3005,J$5))))</f>
        <v/>
      </c>
      <c r="K142" s="19">
        <f>IF($A142="","",IF(COUNTIFS(請求記録!$B$6:$B$3005,$A142,請求記録!$X$6:$X$3005,K$5,請求記録!$AD$6:$AD$3005,"保留中")&gt;0,"保留",IF(COUNTIFS(請求記録!$B$6:$B$3005,$A142,請求記録!$X$6:$X$3005,K$5)=0,"",SUMIFS(請求記録!$AC$6:$AC$3005,請求記録!$B$6:$B$3005,$A142,請求記録!$X$6:$X$3005,K$5))))</f>
        <v/>
      </c>
      <c r="L142" s="19">
        <f>IF($A142="","",IF(COUNTIFS(請求記録!$B$6:$B$3005,$A142,請求記録!$X$6:$X$3005,L$5,請求記録!$AD$6:$AD$3005,"保留中")&gt;0,"保留",IF(COUNTIFS(請求記録!$B$6:$B$3005,$A142,請求記録!$X$6:$X$3005,L$5)=0,"",SUMIFS(請求記録!$AC$6:$AC$3005,請求記録!$B$6:$B$3005,$A142,請求記録!$X$6:$X$3005,L$5))))</f>
        <v/>
      </c>
      <c r="M142" s="19">
        <f>IF($A142="","",IF(COUNTIFS(請求記録!$B$6:$B$3005,$A142,請求記録!$X$6:$X$3005,M$5,請求記録!$AD$6:$AD$3005,"保留中")&gt;0,"保留",IF(COUNTIFS(請求記録!$B$6:$B$3005,$A142,請求記録!$X$6:$X$3005,M$5)=0,"",SUMIFS(請求記録!$AC$6:$AC$3005,請求記録!$B$6:$B$3005,$A142,請求記録!$X$6:$X$3005,M$5))))</f>
        <v/>
      </c>
      <c r="N142" s="19">
        <f>IF($A142="","",IF(COUNTIFS(請求記録!$B$6:$B$3005,$A142,請求記録!$X$6:$X$3005,N$5,請求記録!$AD$6:$AD$3005,"保留中")&gt;0,"保留",IF(COUNTIFS(請求記録!$B$6:$B$3005,$A142,請求記録!$X$6:$X$3005,N$5)=0,"",SUMIFS(請求記録!$AC$6:$AC$3005,請求記録!$B$6:$B$3005,$A142,請求記録!$X$6:$X$3005,N$5))))</f>
        <v/>
      </c>
      <c r="O142" s="19">
        <f>IF($A142="","",IF(COUNTIFS(請求記録!$B$6:$B$3005,$A142,請求記録!$X$6:$X$3005,O$5,請求記録!$AD$6:$AD$3005,"保留中")&gt;0,"保留",IF(COUNTIFS(請求記録!$B$6:$B$3005,$A142,請求記録!$X$6:$X$3005,O$5)=0,"",SUMIFS(請求記録!$AC$6:$AC$3005,請求記録!$B$6:$B$3005,$A142,請求記録!$X$6:$X$3005,O$5))))</f>
        <v/>
      </c>
      <c r="P142" s="19">
        <f>IF($A142="","",IF(COUNTIFS(請求記録!$B$6:$B$3005,$A142,請求記録!$X$6:$X$3005,P$5,請求記録!$AD$6:$AD$3005,"保留中")&gt;0,"保留",IF(COUNTIFS(請求記録!$B$6:$B$3005,$A142,請求記録!$X$6:$X$3005,P$5)=0,"",SUMIFS(請求記録!$AC$6:$AC$3005,請求記録!$B$6:$B$3005,$A142,請求記録!$X$6:$X$3005,P$5))))</f>
        <v/>
      </c>
      <c r="Q142" s="19">
        <f>IF($A142="","",IF(COUNTIFS(請求記録!$B$6:$B$3005,$A142,請求記録!$X$6:$X$3005,Q$5,請求記録!$AD$6:$AD$3005,"保留中")&gt;0,"保留",IF(COUNTIFS(請求記録!$B$6:$B$3005,$A142,請求記録!$X$6:$X$3005,Q$5)=0,"",SUMIFS(請求記録!$AC$6:$AC$3005,請求記録!$B$6:$B$3005,$A142,請求記録!$X$6:$X$3005,Q$5))))</f>
        <v/>
      </c>
      <c r="R142" s="19">
        <f>IF($A142="","",IF(COUNTIFS(請求記録!$B$6:$B$3005,$A142,請求記録!$X$6:$X$3005,R$5,請求記録!$AD$6:$AD$3005,"保留中")&gt;0,"保留",IF(COUNTIFS(請求記録!$B$6:$B$3005,$A142,請求記録!$X$6:$X$3005,R$5)=0,"",SUMIFS(請求記録!$AC$6:$AC$3005,請求記録!$B$6:$B$3005,$A142,請求記録!$X$6:$X$3005,R$5))))</f>
        <v/>
      </c>
      <c r="S142" s="19">
        <f>IF($A142="","",IF(COUNTIFS(請求記録!$B$6:$B$3005,$A142,請求記録!$X$6:$X$3005,S$5,請求記録!$AD$6:$AD$3005,"保留中")&gt;0,"保留",IF(COUNTIFS(請求記録!$B$6:$B$3005,$A142,請求記録!$X$6:$X$3005,S$5)=0,"",SUMIFS(請求記録!$AC$6:$AC$3005,請求記録!$B$6:$B$3005,$A142,請求記録!$X$6:$X$3005,S$5))))</f>
        <v/>
      </c>
      <c r="T142" s="19">
        <f>IF($A142="","",IF(COUNTIFS(請求記録!$B$6:$B$3005,$A142,請求記録!$X$6:$X$3005,T$5,請求記録!$AD$6:$AD$3005,"保留中")&gt;0,"保留",IF(COUNTIFS(請求記録!$B$6:$B$3005,$A142,請求記録!$X$6:$X$3005,T$5)=0,"",SUMIFS(請求記録!$AC$6:$AC$3005,請求記録!$B$6:$B$3005,$A142,請求記録!$X$6:$X$3005,T$5))))</f>
        <v/>
      </c>
      <c r="U142" s="19">
        <f>IF($A142="","",IF(COUNTIFS(請求記録!$B$6:$B$3005,$A142,請求記録!$X$6:$X$3005,U$5,請求記録!$AD$6:$AD$3005,"保留中")&gt;0,"保留",IF(COUNTIFS(請求記録!$B$6:$B$3005,$A142,請求記録!$X$6:$X$3005,U$5)=0,"",SUMIFS(請求記録!$AC$6:$AC$3005,請求記録!$B$6:$B$3005,$A142,請求記録!$X$6:$X$3005,U$5))))</f>
        <v/>
      </c>
      <c r="V142" s="19">
        <f>IF($A142="","",IF(COUNTIFS(請求記録!$B$6:$B$3005,$A142,請求記録!$X$6:$X$3005,V$5,請求記録!$AD$6:$AD$3005,"保留中")&gt;0,"保留",IF(COUNTIFS(請求記録!$B$6:$B$3005,$A142,請求記録!$X$6:$X$3005,V$5)=0,"",SUMIFS(請求記録!$AC$6:$AC$3005,請求記録!$B$6:$B$3005,$A142,請求記録!$X$6:$X$3005,V$5))))</f>
        <v/>
      </c>
      <c r="W142" s="19">
        <f>IF($A142="","",IF(COUNTIFS(請求記録!$B$6:$B$3005,$A142,請求記録!$X$6:$X$3005,W$5,請求記録!$AD$6:$AD$3005,"保留中")&gt;0,"保留",IF(COUNTIFS(請求記録!$B$6:$B$3005,$A142,請求記録!$X$6:$X$3005,W$5)=0,"",SUMIFS(請求記録!$AC$6:$AC$3005,請求記録!$B$6:$B$3005,$A142,請求記録!$X$6:$X$3005,W$5))))</f>
        <v/>
      </c>
      <c r="X142" s="19">
        <f>IF($A142="","",IF(COUNTIFS(請求記録!$B$6:$B$3005,$A142,請求記録!$X$6:$X$3005,X$5,請求記録!$AD$6:$AD$3005,"保留中")&gt;0,"保留",IF(COUNTIFS(請求記録!$B$6:$B$3005,$A142,請求記録!$X$6:$X$3005,X$5)=0,"",SUMIFS(請求記録!$AC$6:$AC$3005,請求記録!$B$6:$B$3005,$A142,請求記録!$X$6:$X$3005,X$5))))</f>
        <v/>
      </c>
      <c r="Y142" s="19">
        <f>IF($A142="","",IF(COUNTIFS(請求記録!$B$6:$B$3005,$A142,請求記録!$X$6:$X$3005,Y$5,請求記録!$AD$6:$AD$3005,"保留中")&gt;0,"保留",IF(COUNTIFS(請求記録!$B$6:$B$3005,$A142,請求記録!$X$6:$X$3005,Y$5)=0,"",SUMIFS(請求記録!$AC$6:$AC$3005,請求記録!$B$6:$B$3005,$A142,請求記録!$X$6:$X$3005,Y$5))))</f>
        <v/>
      </c>
      <c r="Z142" s="19">
        <f>IF($A142="","",IF(COUNTIFS(請求記録!$B$6:$B$3005,$A142,請求記録!$X$6:$X$3005,Z$5,請求記録!$AD$6:$AD$3005,"保留中")&gt;0,"保留",IF(COUNTIFS(請求記録!$B$6:$B$3005,$A142,請求記録!$X$6:$X$3005,Z$5)=0,"",SUMIFS(請求記録!$AC$6:$AC$3005,請求記録!$B$6:$B$3005,$A142,請求記録!$X$6:$X$3005,Z$5))))</f>
        <v/>
      </c>
      <c r="AA142" s="19">
        <f>IF($A142="","",IF(COUNTIFS(請求記録!$B$6:$B$3005,$A142,請求記録!$X$6:$X$3005,AA$5,請求記録!$AD$6:$AD$3005,"保留中")&gt;0,"保留",IF(COUNTIFS(請求記録!$B$6:$B$3005,$A142,請求記録!$X$6:$X$3005,AA$5)=0,"",SUMIFS(請求記録!$AC$6:$AC$3005,請求記録!$B$6:$B$3005,$A142,請求記録!$X$6:$X$3005,AA$5))))</f>
        <v/>
      </c>
      <c r="AB142">
        <f>IF(職員マスタ!P142="保留中",職員マスタ!M142,"")</f>
        <v/>
      </c>
    </row>
    <row r="143">
      <c r="A143">
        <f>IF(職員マスタ!A143="","",職員マスタ!A143)</f>
        <v/>
      </c>
      <c r="B143">
        <f>IF($A143="","",職員マスタ!B143)</f>
        <v/>
      </c>
      <c r="C143">
        <f>IF($A143="","",職員マスタ!C143)</f>
        <v/>
      </c>
      <c r="D143" s="19">
        <f>IF($A143="","",IF(COUNTIFS(請求記録!$B$6:$B$3005,$A143,請求記録!$X$6:$X$3005,D$5,請求記録!$AD$6:$AD$3005,"保留中")&gt;0,"保留",IF(COUNTIFS(請求記録!$B$6:$B$3005,$A143,請求記録!$X$6:$X$3005,D$5)=0,"",SUMIFS(請求記録!$AC$6:$AC$3005,請求記録!$B$6:$B$3005,$A143,請求記録!$X$6:$X$3005,D$5))))</f>
        <v/>
      </c>
      <c r="E143" s="19">
        <f>IF($A143="","",IF(COUNTIFS(請求記録!$B$6:$B$3005,$A143,請求記録!$X$6:$X$3005,E$5,請求記録!$AD$6:$AD$3005,"保留中")&gt;0,"保留",IF(COUNTIFS(請求記録!$B$6:$B$3005,$A143,請求記録!$X$6:$X$3005,E$5)=0,"",SUMIFS(請求記録!$AC$6:$AC$3005,請求記録!$B$6:$B$3005,$A143,請求記録!$X$6:$X$3005,E$5))))</f>
        <v/>
      </c>
      <c r="F143" s="19">
        <f>IF($A143="","",IF(COUNTIFS(請求記録!$B$6:$B$3005,$A143,請求記録!$X$6:$X$3005,F$5,請求記録!$AD$6:$AD$3005,"保留中")&gt;0,"保留",IF(COUNTIFS(請求記録!$B$6:$B$3005,$A143,請求記録!$X$6:$X$3005,F$5)=0,"",SUMIFS(請求記録!$AC$6:$AC$3005,請求記録!$B$6:$B$3005,$A143,請求記録!$X$6:$X$3005,F$5))))</f>
        <v/>
      </c>
      <c r="G143" s="19">
        <f>IF($A143="","",IF(COUNTIFS(請求記録!$B$6:$B$3005,$A143,請求記録!$X$6:$X$3005,G$5,請求記録!$AD$6:$AD$3005,"保留中")&gt;0,"保留",IF(COUNTIFS(請求記録!$B$6:$B$3005,$A143,請求記録!$X$6:$X$3005,G$5)=0,"",SUMIFS(請求記録!$AC$6:$AC$3005,請求記録!$B$6:$B$3005,$A143,請求記録!$X$6:$X$3005,G$5))))</f>
        <v/>
      </c>
      <c r="H143" s="19">
        <f>IF($A143="","",IF(COUNTIFS(請求記録!$B$6:$B$3005,$A143,請求記録!$X$6:$X$3005,H$5,請求記録!$AD$6:$AD$3005,"保留中")&gt;0,"保留",IF(COUNTIFS(請求記録!$B$6:$B$3005,$A143,請求記録!$X$6:$X$3005,H$5)=0,"",SUMIFS(請求記録!$AC$6:$AC$3005,請求記録!$B$6:$B$3005,$A143,請求記録!$X$6:$X$3005,H$5))))</f>
        <v/>
      </c>
      <c r="I143" s="19">
        <f>IF($A143="","",IF(COUNTIFS(請求記録!$B$6:$B$3005,$A143,請求記録!$X$6:$X$3005,I$5,請求記録!$AD$6:$AD$3005,"保留中")&gt;0,"保留",IF(COUNTIFS(請求記録!$B$6:$B$3005,$A143,請求記録!$X$6:$X$3005,I$5)=0,"",SUMIFS(請求記録!$AC$6:$AC$3005,請求記録!$B$6:$B$3005,$A143,請求記録!$X$6:$X$3005,I$5))))</f>
        <v/>
      </c>
      <c r="J143" s="19">
        <f>IF($A143="","",IF(COUNTIFS(請求記録!$B$6:$B$3005,$A143,請求記録!$X$6:$X$3005,J$5,請求記録!$AD$6:$AD$3005,"保留中")&gt;0,"保留",IF(COUNTIFS(請求記録!$B$6:$B$3005,$A143,請求記録!$X$6:$X$3005,J$5)=0,"",SUMIFS(請求記録!$AC$6:$AC$3005,請求記録!$B$6:$B$3005,$A143,請求記録!$X$6:$X$3005,J$5))))</f>
        <v/>
      </c>
      <c r="K143" s="19">
        <f>IF($A143="","",IF(COUNTIFS(請求記録!$B$6:$B$3005,$A143,請求記録!$X$6:$X$3005,K$5,請求記録!$AD$6:$AD$3005,"保留中")&gt;0,"保留",IF(COUNTIFS(請求記録!$B$6:$B$3005,$A143,請求記録!$X$6:$X$3005,K$5)=0,"",SUMIFS(請求記録!$AC$6:$AC$3005,請求記録!$B$6:$B$3005,$A143,請求記録!$X$6:$X$3005,K$5))))</f>
        <v/>
      </c>
      <c r="L143" s="19">
        <f>IF($A143="","",IF(COUNTIFS(請求記録!$B$6:$B$3005,$A143,請求記録!$X$6:$X$3005,L$5,請求記録!$AD$6:$AD$3005,"保留中")&gt;0,"保留",IF(COUNTIFS(請求記録!$B$6:$B$3005,$A143,請求記録!$X$6:$X$3005,L$5)=0,"",SUMIFS(請求記録!$AC$6:$AC$3005,請求記録!$B$6:$B$3005,$A143,請求記録!$X$6:$X$3005,L$5))))</f>
        <v/>
      </c>
      <c r="M143" s="19">
        <f>IF($A143="","",IF(COUNTIFS(請求記録!$B$6:$B$3005,$A143,請求記録!$X$6:$X$3005,M$5,請求記録!$AD$6:$AD$3005,"保留中")&gt;0,"保留",IF(COUNTIFS(請求記録!$B$6:$B$3005,$A143,請求記録!$X$6:$X$3005,M$5)=0,"",SUMIFS(請求記録!$AC$6:$AC$3005,請求記録!$B$6:$B$3005,$A143,請求記録!$X$6:$X$3005,M$5))))</f>
        <v/>
      </c>
      <c r="N143" s="19">
        <f>IF($A143="","",IF(COUNTIFS(請求記録!$B$6:$B$3005,$A143,請求記録!$X$6:$X$3005,N$5,請求記録!$AD$6:$AD$3005,"保留中")&gt;0,"保留",IF(COUNTIFS(請求記録!$B$6:$B$3005,$A143,請求記録!$X$6:$X$3005,N$5)=0,"",SUMIFS(請求記録!$AC$6:$AC$3005,請求記録!$B$6:$B$3005,$A143,請求記録!$X$6:$X$3005,N$5))))</f>
        <v/>
      </c>
      <c r="O143" s="19">
        <f>IF($A143="","",IF(COUNTIFS(請求記録!$B$6:$B$3005,$A143,請求記録!$X$6:$X$3005,O$5,請求記録!$AD$6:$AD$3005,"保留中")&gt;0,"保留",IF(COUNTIFS(請求記録!$B$6:$B$3005,$A143,請求記録!$X$6:$X$3005,O$5)=0,"",SUMIFS(請求記録!$AC$6:$AC$3005,請求記録!$B$6:$B$3005,$A143,請求記録!$X$6:$X$3005,O$5))))</f>
        <v/>
      </c>
      <c r="P143" s="19">
        <f>IF($A143="","",IF(COUNTIFS(請求記録!$B$6:$B$3005,$A143,請求記録!$X$6:$X$3005,P$5,請求記録!$AD$6:$AD$3005,"保留中")&gt;0,"保留",IF(COUNTIFS(請求記録!$B$6:$B$3005,$A143,請求記録!$X$6:$X$3005,P$5)=0,"",SUMIFS(請求記録!$AC$6:$AC$3005,請求記録!$B$6:$B$3005,$A143,請求記録!$X$6:$X$3005,P$5))))</f>
        <v/>
      </c>
      <c r="Q143" s="19">
        <f>IF($A143="","",IF(COUNTIFS(請求記録!$B$6:$B$3005,$A143,請求記録!$X$6:$X$3005,Q$5,請求記録!$AD$6:$AD$3005,"保留中")&gt;0,"保留",IF(COUNTIFS(請求記録!$B$6:$B$3005,$A143,請求記録!$X$6:$X$3005,Q$5)=0,"",SUMIFS(請求記録!$AC$6:$AC$3005,請求記録!$B$6:$B$3005,$A143,請求記録!$X$6:$X$3005,Q$5))))</f>
        <v/>
      </c>
      <c r="R143" s="19">
        <f>IF($A143="","",IF(COUNTIFS(請求記録!$B$6:$B$3005,$A143,請求記録!$X$6:$X$3005,R$5,請求記録!$AD$6:$AD$3005,"保留中")&gt;0,"保留",IF(COUNTIFS(請求記録!$B$6:$B$3005,$A143,請求記録!$X$6:$X$3005,R$5)=0,"",SUMIFS(請求記録!$AC$6:$AC$3005,請求記録!$B$6:$B$3005,$A143,請求記録!$X$6:$X$3005,R$5))))</f>
        <v/>
      </c>
      <c r="S143" s="19">
        <f>IF($A143="","",IF(COUNTIFS(請求記録!$B$6:$B$3005,$A143,請求記録!$X$6:$X$3005,S$5,請求記録!$AD$6:$AD$3005,"保留中")&gt;0,"保留",IF(COUNTIFS(請求記録!$B$6:$B$3005,$A143,請求記録!$X$6:$X$3005,S$5)=0,"",SUMIFS(請求記録!$AC$6:$AC$3005,請求記録!$B$6:$B$3005,$A143,請求記録!$X$6:$X$3005,S$5))))</f>
        <v/>
      </c>
      <c r="T143" s="19">
        <f>IF($A143="","",IF(COUNTIFS(請求記録!$B$6:$B$3005,$A143,請求記録!$X$6:$X$3005,T$5,請求記録!$AD$6:$AD$3005,"保留中")&gt;0,"保留",IF(COUNTIFS(請求記録!$B$6:$B$3005,$A143,請求記録!$X$6:$X$3005,T$5)=0,"",SUMIFS(請求記録!$AC$6:$AC$3005,請求記録!$B$6:$B$3005,$A143,請求記録!$X$6:$X$3005,T$5))))</f>
        <v/>
      </c>
      <c r="U143" s="19">
        <f>IF($A143="","",IF(COUNTIFS(請求記録!$B$6:$B$3005,$A143,請求記録!$X$6:$X$3005,U$5,請求記録!$AD$6:$AD$3005,"保留中")&gt;0,"保留",IF(COUNTIFS(請求記録!$B$6:$B$3005,$A143,請求記録!$X$6:$X$3005,U$5)=0,"",SUMIFS(請求記録!$AC$6:$AC$3005,請求記録!$B$6:$B$3005,$A143,請求記録!$X$6:$X$3005,U$5))))</f>
        <v/>
      </c>
      <c r="V143" s="19">
        <f>IF($A143="","",IF(COUNTIFS(請求記録!$B$6:$B$3005,$A143,請求記録!$X$6:$X$3005,V$5,請求記録!$AD$6:$AD$3005,"保留中")&gt;0,"保留",IF(COUNTIFS(請求記録!$B$6:$B$3005,$A143,請求記録!$X$6:$X$3005,V$5)=0,"",SUMIFS(請求記録!$AC$6:$AC$3005,請求記録!$B$6:$B$3005,$A143,請求記録!$X$6:$X$3005,V$5))))</f>
        <v/>
      </c>
      <c r="W143" s="19">
        <f>IF($A143="","",IF(COUNTIFS(請求記録!$B$6:$B$3005,$A143,請求記録!$X$6:$X$3005,W$5,請求記録!$AD$6:$AD$3005,"保留中")&gt;0,"保留",IF(COUNTIFS(請求記録!$B$6:$B$3005,$A143,請求記録!$X$6:$X$3005,W$5)=0,"",SUMIFS(請求記録!$AC$6:$AC$3005,請求記録!$B$6:$B$3005,$A143,請求記録!$X$6:$X$3005,W$5))))</f>
        <v/>
      </c>
      <c r="X143" s="19">
        <f>IF($A143="","",IF(COUNTIFS(請求記録!$B$6:$B$3005,$A143,請求記録!$X$6:$X$3005,X$5,請求記録!$AD$6:$AD$3005,"保留中")&gt;0,"保留",IF(COUNTIFS(請求記録!$B$6:$B$3005,$A143,請求記録!$X$6:$X$3005,X$5)=0,"",SUMIFS(請求記録!$AC$6:$AC$3005,請求記録!$B$6:$B$3005,$A143,請求記録!$X$6:$X$3005,X$5))))</f>
        <v/>
      </c>
      <c r="Y143" s="19">
        <f>IF($A143="","",IF(COUNTIFS(請求記録!$B$6:$B$3005,$A143,請求記録!$X$6:$X$3005,Y$5,請求記録!$AD$6:$AD$3005,"保留中")&gt;0,"保留",IF(COUNTIFS(請求記録!$B$6:$B$3005,$A143,請求記録!$X$6:$X$3005,Y$5)=0,"",SUMIFS(請求記録!$AC$6:$AC$3005,請求記録!$B$6:$B$3005,$A143,請求記録!$X$6:$X$3005,Y$5))))</f>
        <v/>
      </c>
      <c r="Z143" s="19">
        <f>IF($A143="","",IF(COUNTIFS(請求記録!$B$6:$B$3005,$A143,請求記録!$X$6:$X$3005,Z$5,請求記録!$AD$6:$AD$3005,"保留中")&gt;0,"保留",IF(COUNTIFS(請求記録!$B$6:$B$3005,$A143,請求記録!$X$6:$X$3005,Z$5)=0,"",SUMIFS(請求記録!$AC$6:$AC$3005,請求記録!$B$6:$B$3005,$A143,請求記録!$X$6:$X$3005,Z$5))))</f>
        <v/>
      </c>
      <c r="AA143" s="19">
        <f>IF($A143="","",IF(COUNTIFS(請求記録!$B$6:$B$3005,$A143,請求記録!$X$6:$X$3005,AA$5,請求記録!$AD$6:$AD$3005,"保留中")&gt;0,"保留",IF(COUNTIFS(請求記録!$B$6:$B$3005,$A143,請求記録!$X$6:$X$3005,AA$5)=0,"",SUMIFS(請求記録!$AC$6:$AC$3005,請求記録!$B$6:$B$3005,$A143,請求記録!$X$6:$X$3005,AA$5))))</f>
        <v/>
      </c>
      <c r="AB143">
        <f>IF(職員マスタ!P143="保留中",職員マスタ!M143,"")</f>
        <v/>
      </c>
    </row>
    <row r="144">
      <c r="A144">
        <f>IF(職員マスタ!A144="","",職員マスタ!A144)</f>
        <v/>
      </c>
      <c r="B144">
        <f>IF($A144="","",職員マスタ!B144)</f>
        <v/>
      </c>
      <c r="C144">
        <f>IF($A144="","",職員マスタ!C144)</f>
        <v/>
      </c>
      <c r="D144" s="19">
        <f>IF($A144="","",IF(COUNTIFS(請求記録!$B$6:$B$3005,$A144,請求記録!$X$6:$X$3005,D$5,請求記録!$AD$6:$AD$3005,"保留中")&gt;0,"保留",IF(COUNTIFS(請求記録!$B$6:$B$3005,$A144,請求記録!$X$6:$X$3005,D$5)=0,"",SUMIFS(請求記録!$AC$6:$AC$3005,請求記録!$B$6:$B$3005,$A144,請求記録!$X$6:$X$3005,D$5))))</f>
        <v/>
      </c>
      <c r="E144" s="19">
        <f>IF($A144="","",IF(COUNTIFS(請求記録!$B$6:$B$3005,$A144,請求記録!$X$6:$X$3005,E$5,請求記録!$AD$6:$AD$3005,"保留中")&gt;0,"保留",IF(COUNTIFS(請求記録!$B$6:$B$3005,$A144,請求記録!$X$6:$X$3005,E$5)=0,"",SUMIFS(請求記録!$AC$6:$AC$3005,請求記録!$B$6:$B$3005,$A144,請求記録!$X$6:$X$3005,E$5))))</f>
        <v/>
      </c>
      <c r="F144" s="19">
        <f>IF($A144="","",IF(COUNTIFS(請求記録!$B$6:$B$3005,$A144,請求記録!$X$6:$X$3005,F$5,請求記録!$AD$6:$AD$3005,"保留中")&gt;0,"保留",IF(COUNTIFS(請求記録!$B$6:$B$3005,$A144,請求記録!$X$6:$X$3005,F$5)=0,"",SUMIFS(請求記録!$AC$6:$AC$3005,請求記録!$B$6:$B$3005,$A144,請求記録!$X$6:$X$3005,F$5))))</f>
        <v/>
      </c>
      <c r="G144" s="19">
        <f>IF($A144="","",IF(COUNTIFS(請求記録!$B$6:$B$3005,$A144,請求記録!$X$6:$X$3005,G$5,請求記録!$AD$6:$AD$3005,"保留中")&gt;0,"保留",IF(COUNTIFS(請求記録!$B$6:$B$3005,$A144,請求記録!$X$6:$X$3005,G$5)=0,"",SUMIFS(請求記録!$AC$6:$AC$3005,請求記録!$B$6:$B$3005,$A144,請求記録!$X$6:$X$3005,G$5))))</f>
        <v/>
      </c>
      <c r="H144" s="19">
        <f>IF($A144="","",IF(COUNTIFS(請求記録!$B$6:$B$3005,$A144,請求記録!$X$6:$X$3005,H$5,請求記録!$AD$6:$AD$3005,"保留中")&gt;0,"保留",IF(COUNTIFS(請求記録!$B$6:$B$3005,$A144,請求記録!$X$6:$X$3005,H$5)=0,"",SUMIFS(請求記録!$AC$6:$AC$3005,請求記録!$B$6:$B$3005,$A144,請求記録!$X$6:$X$3005,H$5))))</f>
        <v/>
      </c>
      <c r="I144" s="19">
        <f>IF($A144="","",IF(COUNTIFS(請求記録!$B$6:$B$3005,$A144,請求記録!$X$6:$X$3005,I$5,請求記録!$AD$6:$AD$3005,"保留中")&gt;0,"保留",IF(COUNTIFS(請求記録!$B$6:$B$3005,$A144,請求記録!$X$6:$X$3005,I$5)=0,"",SUMIFS(請求記録!$AC$6:$AC$3005,請求記録!$B$6:$B$3005,$A144,請求記録!$X$6:$X$3005,I$5))))</f>
        <v/>
      </c>
      <c r="J144" s="19">
        <f>IF($A144="","",IF(COUNTIFS(請求記録!$B$6:$B$3005,$A144,請求記録!$X$6:$X$3005,J$5,請求記録!$AD$6:$AD$3005,"保留中")&gt;0,"保留",IF(COUNTIFS(請求記録!$B$6:$B$3005,$A144,請求記録!$X$6:$X$3005,J$5)=0,"",SUMIFS(請求記録!$AC$6:$AC$3005,請求記録!$B$6:$B$3005,$A144,請求記録!$X$6:$X$3005,J$5))))</f>
        <v/>
      </c>
      <c r="K144" s="19">
        <f>IF($A144="","",IF(COUNTIFS(請求記録!$B$6:$B$3005,$A144,請求記録!$X$6:$X$3005,K$5,請求記録!$AD$6:$AD$3005,"保留中")&gt;0,"保留",IF(COUNTIFS(請求記録!$B$6:$B$3005,$A144,請求記録!$X$6:$X$3005,K$5)=0,"",SUMIFS(請求記録!$AC$6:$AC$3005,請求記録!$B$6:$B$3005,$A144,請求記録!$X$6:$X$3005,K$5))))</f>
        <v/>
      </c>
      <c r="L144" s="19">
        <f>IF($A144="","",IF(COUNTIFS(請求記録!$B$6:$B$3005,$A144,請求記録!$X$6:$X$3005,L$5,請求記録!$AD$6:$AD$3005,"保留中")&gt;0,"保留",IF(COUNTIFS(請求記録!$B$6:$B$3005,$A144,請求記録!$X$6:$X$3005,L$5)=0,"",SUMIFS(請求記録!$AC$6:$AC$3005,請求記録!$B$6:$B$3005,$A144,請求記録!$X$6:$X$3005,L$5))))</f>
        <v/>
      </c>
      <c r="M144" s="19">
        <f>IF($A144="","",IF(COUNTIFS(請求記録!$B$6:$B$3005,$A144,請求記録!$X$6:$X$3005,M$5,請求記録!$AD$6:$AD$3005,"保留中")&gt;0,"保留",IF(COUNTIFS(請求記録!$B$6:$B$3005,$A144,請求記録!$X$6:$X$3005,M$5)=0,"",SUMIFS(請求記録!$AC$6:$AC$3005,請求記録!$B$6:$B$3005,$A144,請求記録!$X$6:$X$3005,M$5))))</f>
        <v/>
      </c>
      <c r="N144" s="19">
        <f>IF($A144="","",IF(COUNTIFS(請求記録!$B$6:$B$3005,$A144,請求記録!$X$6:$X$3005,N$5,請求記録!$AD$6:$AD$3005,"保留中")&gt;0,"保留",IF(COUNTIFS(請求記録!$B$6:$B$3005,$A144,請求記録!$X$6:$X$3005,N$5)=0,"",SUMIFS(請求記録!$AC$6:$AC$3005,請求記録!$B$6:$B$3005,$A144,請求記録!$X$6:$X$3005,N$5))))</f>
        <v/>
      </c>
      <c r="O144" s="19">
        <f>IF($A144="","",IF(COUNTIFS(請求記録!$B$6:$B$3005,$A144,請求記録!$X$6:$X$3005,O$5,請求記録!$AD$6:$AD$3005,"保留中")&gt;0,"保留",IF(COUNTIFS(請求記録!$B$6:$B$3005,$A144,請求記録!$X$6:$X$3005,O$5)=0,"",SUMIFS(請求記録!$AC$6:$AC$3005,請求記録!$B$6:$B$3005,$A144,請求記録!$X$6:$X$3005,O$5))))</f>
        <v/>
      </c>
      <c r="P144" s="19">
        <f>IF($A144="","",IF(COUNTIFS(請求記録!$B$6:$B$3005,$A144,請求記録!$X$6:$X$3005,P$5,請求記録!$AD$6:$AD$3005,"保留中")&gt;0,"保留",IF(COUNTIFS(請求記録!$B$6:$B$3005,$A144,請求記録!$X$6:$X$3005,P$5)=0,"",SUMIFS(請求記録!$AC$6:$AC$3005,請求記録!$B$6:$B$3005,$A144,請求記録!$X$6:$X$3005,P$5))))</f>
        <v/>
      </c>
      <c r="Q144" s="19">
        <f>IF($A144="","",IF(COUNTIFS(請求記録!$B$6:$B$3005,$A144,請求記録!$X$6:$X$3005,Q$5,請求記録!$AD$6:$AD$3005,"保留中")&gt;0,"保留",IF(COUNTIFS(請求記録!$B$6:$B$3005,$A144,請求記録!$X$6:$X$3005,Q$5)=0,"",SUMIFS(請求記録!$AC$6:$AC$3005,請求記録!$B$6:$B$3005,$A144,請求記録!$X$6:$X$3005,Q$5))))</f>
        <v/>
      </c>
      <c r="R144" s="19">
        <f>IF($A144="","",IF(COUNTIFS(請求記録!$B$6:$B$3005,$A144,請求記録!$X$6:$X$3005,R$5,請求記録!$AD$6:$AD$3005,"保留中")&gt;0,"保留",IF(COUNTIFS(請求記録!$B$6:$B$3005,$A144,請求記録!$X$6:$X$3005,R$5)=0,"",SUMIFS(請求記録!$AC$6:$AC$3005,請求記録!$B$6:$B$3005,$A144,請求記録!$X$6:$X$3005,R$5))))</f>
        <v/>
      </c>
      <c r="S144" s="19">
        <f>IF($A144="","",IF(COUNTIFS(請求記録!$B$6:$B$3005,$A144,請求記録!$X$6:$X$3005,S$5,請求記録!$AD$6:$AD$3005,"保留中")&gt;0,"保留",IF(COUNTIFS(請求記録!$B$6:$B$3005,$A144,請求記録!$X$6:$X$3005,S$5)=0,"",SUMIFS(請求記録!$AC$6:$AC$3005,請求記録!$B$6:$B$3005,$A144,請求記録!$X$6:$X$3005,S$5))))</f>
        <v/>
      </c>
      <c r="T144" s="19">
        <f>IF($A144="","",IF(COUNTIFS(請求記録!$B$6:$B$3005,$A144,請求記録!$X$6:$X$3005,T$5,請求記録!$AD$6:$AD$3005,"保留中")&gt;0,"保留",IF(COUNTIFS(請求記録!$B$6:$B$3005,$A144,請求記録!$X$6:$X$3005,T$5)=0,"",SUMIFS(請求記録!$AC$6:$AC$3005,請求記録!$B$6:$B$3005,$A144,請求記録!$X$6:$X$3005,T$5))))</f>
        <v/>
      </c>
      <c r="U144" s="19">
        <f>IF($A144="","",IF(COUNTIFS(請求記録!$B$6:$B$3005,$A144,請求記録!$X$6:$X$3005,U$5,請求記録!$AD$6:$AD$3005,"保留中")&gt;0,"保留",IF(COUNTIFS(請求記録!$B$6:$B$3005,$A144,請求記録!$X$6:$X$3005,U$5)=0,"",SUMIFS(請求記録!$AC$6:$AC$3005,請求記録!$B$6:$B$3005,$A144,請求記録!$X$6:$X$3005,U$5))))</f>
        <v/>
      </c>
      <c r="V144" s="19">
        <f>IF($A144="","",IF(COUNTIFS(請求記録!$B$6:$B$3005,$A144,請求記録!$X$6:$X$3005,V$5,請求記録!$AD$6:$AD$3005,"保留中")&gt;0,"保留",IF(COUNTIFS(請求記録!$B$6:$B$3005,$A144,請求記録!$X$6:$X$3005,V$5)=0,"",SUMIFS(請求記録!$AC$6:$AC$3005,請求記録!$B$6:$B$3005,$A144,請求記録!$X$6:$X$3005,V$5))))</f>
        <v/>
      </c>
      <c r="W144" s="19">
        <f>IF($A144="","",IF(COUNTIFS(請求記録!$B$6:$B$3005,$A144,請求記録!$X$6:$X$3005,W$5,請求記録!$AD$6:$AD$3005,"保留中")&gt;0,"保留",IF(COUNTIFS(請求記録!$B$6:$B$3005,$A144,請求記録!$X$6:$X$3005,W$5)=0,"",SUMIFS(請求記録!$AC$6:$AC$3005,請求記録!$B$6:$B$3005,$A144,請求記録!$X$6:$X$3005,W$5))))</f>
        <v/>
      </c>
      <c r="X144" s="19">
        <f>IF($A144="","",IF(COUNTIFS(請求記録!$B$6:$B$3005,$A144,請求記録!$X$6:$X$3005,X$5,請求記録!$AD$6:$AD$3005,"保留中")&gt;0,"保留",IF(COUNTIFS(請求記録!$B$6:$B$3005,$A144,請求記録!$X$6:$X$3005,X$5)=0,"",SUMIFS(請求記録!$AC$6:$AC$3005,請求記録!$B$6:$B$3005,$A144,請求記録!$X$6:$X$3005,X$5))))</f>
        <v/>
      </c>
      <c r="Y144" s="19">
        <f>IF($A144="","",IF(COUNTIFS(請求記録!$B$6:$B$3005,$A144,請求記録!$X$6:$X$3005,Y$5,請求記録!$AD$6:$AD$3005,"保留中")&gt;0,"保留",IF(COUNTIFS(請求記録!$B$6:$B$3005,$A144,請求記録!$X$6:$X$3005,Y$5)=0,"",SUMIFS(請求記録!$AC$6:$AC$3005,請求記録!$B$6:$B$3005,$A144,請求記録!$X$6:$X$3005,Y$5))))</f>
        <v/>
      </c>
      <c r="Z144" s="19">
        <f>IF($A144="","",IF(COUNTIFS(請求記録!$B$6:$B$3005,$A144,請求記録!$X$6:$X$3005,Z$5,請求記録!$AD$6:$AD$3005,"保留中")&gt;0,"保留",IF(COUNTIFS(請求記録!$B$6:$B$3005,$A144,請求記録!$X$6:$X$3005,Z$5)=0,"",SUMIFS(請求記録!$AC$6:$AC$3005,請求記録!$B$6:$B$3005,$A144,請求記録!$X$6:$X$3005,Z$5))))</f>
        <v/>
      </c>
      <c r="AA144" s="19">
        <f>IF($A144="","",IF(COUNTIFS(請求記録!$B$6:$B$3005,$A144,請求記録!$X$6:$X$3005,AA$5,請求記録!$AD$6:$AD$3005,"保留中")&gt;0,"保留",IF(COUNTIFS(請求記録!$B$6:$B$3005,$A144,請求記録!$X$6:$X$3005,AA$5)=0,"",SUMIFS(請求記録!$AC$6:$AC$3005,請求記録!$B$6:$B$3005,$A144,請求記録!$X$6:$X$3005,AA$5))))</f>
        <v/>
      </c>
      <c r="AB144">
        <f>IF(職員マスタ!P144="保留中",職員マスタ!M144,"")</f>
        <v/>
      </c>
    </row>
    <row r="145">
      <c r="A145">
        <f>IF(職員マスタ!A145="","",職員マスタ!A145)</f>
        <v/>
      </c>
      <c r="B145">
        <f>IF($A145="","",職員マスタ!B145)</f>
        <v/>
      </c>
      <c r="C145">
        <f>IF($A145="","",職員マスタ!C145)</f>
        <v/>
      </c>
      <c r="D145" s="19">
        <f>IF($A145="","",IF(COUNTIFS(請求記録!$B$6:$B$3005,$A145,請求記録!$X$6:$X$3005,D$5,請求記録!$AD$6:$AD$3005,"保留中")&gt;0,"保留",IF(COUNTIFS(請求記録!$B$6:$B$3005,$A145,請求記録!$X$6:$X$3005,D$5)=0,"",SUMIFS(請求記録!$AC$6:$AC$3005,請求記録!$B$6:$B$3005,$A145,請求記録!$X$6:$X$3005,D$5))))</f>
        <v/>
      </c>
      <c r="E145" s="19">
        <f>IF($A145="","",IF(COUNTIFS(請求記録!$B$6:$B$3005,$A145,請求記録!$X$6:$X$3005,E$5,請求記録!$AD$6:$AD$3005,"保留中")&gt;0,"保留",IF(COUNTIFS(請求記録!$B$6:$B$3005,$A145,請求記録!$X$6:$X$3005,E$5)=0,"",SUMIFS(請求記録!$AC$6:$AC$3005,請求記録!$B$6:$B$3005,$A145,請求記録!$X$6:$X$3005,E$5))))</f>
        <v/>
      </c>
      <c r="F145" s="19">
        <f>IF($A145="","",IF(COUNTIFS(請求記録!$B$6:$B$3005,$A145,請求記録!$X$6:$X$3005,F$5,請求記録!$AD$6:$AD$3005,"保留中")&gt;0,"保留",IF(COUNTIFS(請求記録!$B$6:$B$3005,$A145,請求記録!$X$6:$X$3005,F$5)=0,"",SUMIFS(請求記録!$AC$6:$AC$3005,請求記録!$B$6:$B$3005,$A145,請求記録!$X$6:$X$3005,F$5))))</f>
        <v/>
      </c>
      <c r="G145" s="19">
        <f>IF($A145="","",IF(COUNTIFS(請求記録!$B$6:$B$3005,$A145,請求記録!$X$6:$X$3005,G$5,請求記録!$AD$6:$AD$3005,"保留中")&gt;0,"保留",IF(COUNTIFS(請求記録!$B$6:$B$3005,$A145,請求記録!$X$6:$X$3005,G$5)=0,"",SUMIFS(請求記録!$AC$6:$AC$3005,請求記録!$B$6:$B$3005,$A145,請求記録!$X$6:$X$3005,G$5))))</f>
        <v/>
      </c>
      <c r="H145" s="19">
        <f>IF($A145="","",IF(COUNTIFS(請求記録!$B$6:$B$3005,$A145,請求記録!$X$6:$X$3005,H$5,請求記録!$AD$6:$AD$3005,"保留中")&gt;0,"保留",IF(COUNTIFS(請求記録!$B$6:$B$3005,$A145,請求記録!$X$6:$X$3005,H$5)=0,"",SUMIFS(請求記録!$AC$6:$AC$3005,請求記録!$B$6:$B$3005,$A145,請求記録!$X$6:$X$3005,H$5))))</f>
        <v/>
      </c>
      <c r="I145" s="19">
        <f>IF($A145="","",IF(COUNTIFS(請求記録!$B$6:$B$3005,$A145,請求記録!$X$6:$X$3005,I$5,請求記録!$AD$6:$AD$3005,"保留中")&gt;0,"保留",IF(COUNTIFS(請求記録!$B$6:$B$3005,$A145,請求記録!$X$6:$X$3005,I$5)=0,"",SUMIFS(請求記録!$AC$6:$AC$3005,請求記録!$B$6:$B$3005,$A145,請求記録!$X$6:$X$3005,I$5))))</f>
        <v/>
      </c>
      <c r="J145" s="19">
        <f>IF($A145="","",IF(COUNTIFS(請求記録!$B$6:$B$3005,$A145,請求記録!$X$6:$X$3005,J$5,請求記録!$AD$6:$AD$3005,"保留中")&gt;0,"保留",IF(COUNTIFS(請求記録!$B$6:$B$3005,$A145,請求記録!$X$6:$X$3005,J$5)=0,"",SUMIFS(請求記録!$AC$6:$AC$3005,請求記録!$B$6:$B$3005,$A145,請求記録!$X$6:$X$3005,J$5))))</f>
        <v/>
      </c>
      <c r="K145" s="19">
        <f>IF($A145="","",IF(COUNTIFS(請求記録!$B$6:$B$3005,$A145,請求記録!$X$6:$X$3005,K$5,請求記録!$AD$6:$AD$3005,"保留中")&gt;0,"保留",IF(COUNTIFS(請求記録!$B$6:$B$3005,$A145,請求記録!$X$6:$X$3005,K$5)=0,"",SUMIFS(請求記録!$AC$6:$AC$3005,請求記録!$B$6:$B$3005,$A145,請求記録!$X$6:$X$3005,K$5))))</f>
        <v/>
      </c>
      <c r="L145" s="19">
        <f>IF($A145="","",IF(COUNTIFS(請求記録!$B$6:$B$3005,$A145,請求記録!$X$6:$X$3005,L$5,請求記録!$AD$6:$AD$3005,"保留中")&gt;0,"保留",IF(COUNTIFS(請求記録!$B$6:$B$3005,$A145,請求記録!$X$6:$X$3005,L$5)=0,"",SUMIFS(請求記録!$AC$6:$AC$3005,請求記録!$B$6:$B$3005,$A145,請求記録!$X$6:$X$3005,L$5))))</f>
        <v/>
      </c>
      <c r="M145" s="19">
        <f>IF($A145="","",IF(COUNTIFS(請求記録!$B$6:$B$3005,$A145,請求記録!$X$6:$X$3005,M$5,請求記録!$AD$6:$AD$3005,"保留中")&gt;0,"保留",IF(COUNTIFS(請求記録!$B$6:$B$3005,$A145,請求記録!$X$6:$X$3005,M$5)=0,"",SUMIFS(請求記録!$AC$6:$AC$3005,請求記録!$B$6:$B$3005,$A145,請求記録!$X$6:$X$3005,M$5))))</f>
        <v/>
      </c>
      <c r="N145" s="19">
        <f>IF($A145="","",IF(COUNTIFS(請求記録!$B$6:$B$3005,$A145,請求記録!$X$6:$X$3005,N$5,請求記録!$AD$6:$AD$3005,"保留中")&gt;0,"保留",IF(COUNTIFS(請求記録!$B$6:$B$3005,$A145,請求記録!$X$6:$X$3005,N$5)=0,"",SUMIFS(請求記録!$AC$6:$AC$3005,請求記録!$B$6:$B$3005,$A145,請求記録!$X$6:$X$3005,N$5))))</f>
        <v/>
      </c>
      <c r="O145" s="19">
        <f>IF($A145="","",IF(COUNTIFS(請求記録!$B$6:$B$3005,$A145,請求記録!$X$6:$X$3005,O$5,請求記録!$AD$6:$AD$3005,"保留中")&gt;0,"保留",IF(COUNTIFS(請求記録!$B$6:$B$3005,$A145,請求記録!$X$6:$X$3005,O$5)=0,"",SUMIFS(請求記録!$AC$6:$AC$3005,請求記録!$B$6:$B$3005,$A145,請求記録!$X$6:$X$3005,O$5))))</f>
        <v/>
      </c>
      <c r="P145" s="19">
        <f>IF($A145="","",IF(COUNTIFS(請求記録!$B$6:$B$3005,$A145,請求記録!$X$6:$X$3005,P$5,請求記録!$AD$6:$AD$3005,"保留中")&gt;0,"保留",IF(COUNTIFS(請求記録!$B$6:$B$3005,$A145,請求記録!$X$6:$X$3005,P$5)=0,"",SUMIFS(請求記録!$AC$6:$AC$3005,請求記録!$B$6:$B$3005,$A145,請求記録!$X$6:$X$3005,P$5))))</f>
        <v/>
      </c>
      <c r="Q145" s="19">
        <f>IF($A145="","",IF(COUNTIFS(請求記録!$B$6:$B$3005,$A145,請求記録!$X$6:$X$3005,Q$5,請求記録!$AD$6:$AD$3005,"保留中")&gt;0,"保留",IF(COUNTIFS(請求記録!$B$6:$B$3005,$A145,請求記録!$X$6:$X$3005,Q$5)=0,"",SUMIFS(請求記録!$AC$6:$AC$3005,請求記録!$B$6:$B$3005,$A145,請求記録!$X$6:$X$3005,Q$5))))</f>
        <v/>
      </c>
      <c r="R145" s="19">
        <f>IF($A145="","",IF(COUNTIFS(請求記録!$B$6:$B$3005,$A145,請求記録!$X$6:$X$3005,R$5,請求記録!$AD$6:$AD$3005,"保留中")&gt;0,"保留",IF(COUNTIFS(請求記録!$B$6:$B$3005,$A145,請求記録!$X$6:$X$3005,R$5)=0,"",SUMIFS(請求記録!$AC$6:$AC$3005,請求記録!$B$6:$B$3005,$A145,請求記録!$X$6:$X$3005,R$5))))</f>
        <v/>
      </c>
      <c r="S145" s="19">
        <f>IF($A145="","",IF(COUNTIFS(請求記録!$B$6:$B$3005,$A145,請求記録!$X$6:$X$3005,S$5,請求記録!$AD$6:$AD$3005,"保留中")&gt;0,"保留",IF(COUNTIFS(請求記録!$B$6:$B$3005,$A145,請求記録!$X$6:$X$3005,S$5)=0,"",SUMIFS(請求記録!$AC$6:$AC$3005,請求記録!$B$6:$B$3005,$A145,請求記録!$X$6:$X$3005,S$5))))</f>
        <v/>
      </c>
      <c r="T145" s="19">
        <f>IF($A145="","",IF(COUNTIFS(請求記録!$B$6:$B$3005,$A145,請求記録!$X$6:$X$3005,T$5,請求記録!$AD$6:$AD$3005,"保留中")&gt;0,"保留",IF(COUNTIFS(請求記録!$B$6:$B$3005,$A145,請求記録!$X$6:$X$3005,T$5)=0,"",SUMIFS(請求記録!$AC$6:$AC$3005,請求記録!$B$6:$B$3005,$A145,請求記録!$X$6:$X$3005,T$5))))</f>
        <v/>
      </c>
      <c r="U145" s="19">
        <f>IF($A145="","",IF(COUNTIFS(請求記録!$B$6:$B$3005,$A145,請求記録!$X$6:$X$3005,U$5,請求記録!$AD$6:$AD$3005,"保留中")&gt;0,"保留",IF(COUNTIFS(請求記録!$B$6:$B$3005,$A145,請求記録!$X$6:$X$3005,U$5)=0,"",SUMIFS(請求記録!$AC$6:$AC$3005,請求記録!$B$6:$B$3005,$A145,請求記録!$X$6:$X$3005,U$5))))</f>
        <v/>
      </c>
      <c r="V145" s="19">
        <f>IF($A145="","",IF(COUNTIFS(請求記録!$B$6:$B$3005,$A145,請求記録!$X$6:$X$3005,V$5,請求記録!$AD$6:$AD$3005,"保留中")&gt;0,"保留",IF(COUNTIFS(請求記録!$B$6:$B$3005,$A145,請求記録!$X$6:$X$3005,V$5)=0,"",SUMIFS(請求記録!$AC$6:$AC$3005,請求記録!$B$6:$B$3005,$A145,請求記録!$X$6:$X$3005,V$5))))</f>
        <v/>
      </c>
      <c r="W145" s="19">
        <f>IF($A145="","",IF(COUNTIFS(請求記録!$B$6:$B$3005,$A145,請求記録!$X$6:$X$3005,W$5,請求記録!$AD$6:$AD$3005,"保留中")&gt;0,"保留",IF(COUNTIFS(請求記録!$B$6:$B$3005,$A145,請求記録!$X$6:$X$3005,W$5)=0,"",SUMIFS(請求記録!$AC$6:$AC$3005,請求記録!$B$6:$B$3005,$A145,請求記録!$X$6:$X$3005,W$5))))</f>
        <v/>
      </c>
      <c r="X145" s="19">
        <f>IF($A145="","",IF(COUNTIFS(請求記録!$B$6:$B$3005,$A145,請求記録!$X$6:$X$3005,X$5,請求記録!$AD$6:$AD$3005,"保留中")&gt;0,"保留",IF(COUNTIFS(請求記録!$B$6:$B$3005,$A145,請求記録!$X$6:$X$3005,X$5)=0,"",SUMIFS(請求記録!$AC$6:$AC$3005,請求記録!$B$6:$B$3005,$A145,請求記録!$X$6:$X$3005,X$5))))</f>
        <v/>
      </c>
      <c r="Y145" s="19">
        <f>IF($A145="","",IF(COUNTIFS(請求記録!$B$6:$B$3005,$A145,請求記録!$X$6:$X$3005,Y$5,請求記録!$AD$6:$AD$3005,"保留中")&gt;0,"保留",IF(COUNTIFS(請求記録!$B$6:$B$3005,$A145,請求記録!$X$6:$X$3005,Y$5)=0,"",SUMIFS(請求記録!$AC$6:$AC$3005,請求記録!$B$6:$B$3005,$A145,請求記録!$X$6:$X$3005,Y$5))))</f>
        <v/>
      </c>
      <c r="Z145" s="19">
        <f>IF($A145="","",IF(COUNTIFS(請求記録!$B$6:$B$3005,$A145,請求記録!$X$6:$X$3005,Z$5,請求記録!$AD$6:$AD$3005,"保留中")&gt;0,"保留",IF(COUNTIFS(請求記録!$B$6:$B$3005,$A145,請求記録!$X$6:$X$3005,Z$5)=0,"",SUMIFS(請求記録!$AC$6:$AC$3005,請求記録!$B$6:$B$3005,$A145,請求記録!$X$6:$X$3005,Z$5))))</f>
        <v/>
      </c>
      <c r="AA145" s="19">
        <f>IF($A145="","",IF(COUNTIFS(請求記録!$B$6:$B$3005,$A145,請求記録!$X$6:$X$3005,AA$5,請求記録!$AD$6:$AD$3005,"保留中")&gt;0,"保留",IF(COUNTIFS(請求記録!$B$6:$B$3005,$A145,請求記録!$X$6:$X$3005,AA$5)=0,"",SUMIFS(請求記録!$AC$6:$AC$3005,請求記録!$B$6:$B$3005,$A145,請求記録!$X$6:$X$3005,AA$5))))</f>
        <v/>
      </c>
      <c r="AB145">
        <f>IF(職員マスタ!P145="保留中",職員マスタ!M145,"")</f>
        <v/>
      </c>
    </row>
    <row r="146">
      <c r="A146">
        <f>IF(職員マスタ!A146="","",職員マスタ!A146)</f>
        <v/>
      </c>
      <c r="B146">
        <f>IF($A146="","",職員マスタ!B146)</f>
        <v/>
      </c>
      <c r="C146">
        <f>IF($A146="","",職員マスタ!C146)</f>
        <v/>
      </c>
      <c r="D146" s="19">
        <f>IF($A146="","",IF(COUNTIFS(請求記録!$B$6:$B$3005,$A146,請求記録!$X$6:$X$3005,D$5,請求記録!$AD$6:$AD$3005,"保留中")&gt;0,"保留",IF(COUNTIFS(請求記録!$B$6:$B$3005,$A146,請求記録!$X$6:$X$3005,D$5)=0,"",SUMIFS(請求記録!$AC$6:$AC$3005,請求記録!$B$6:$B$3005,$A146,請求記録!$X$6:$X$3005,D$5))))</f>
        <v/>
      </c>
      <c r="E146" s="19">
        <f>IF($A146="","",IF(COUNTIFS(請求記録!$B$6:$B$3005,$A146,請求記録!$X$6:$X$3005,E$5,請求記録!$AD$6:$AD$3005,"保留中")&gt;0,"保留",IF(COUNTIFS(請求記録!$B$6:$B$3005,$A146,請求記録!$X$6:$X$3005,E$5)=0,"",SUMIFS(請求記録!$AC$6:$AC$3005,請求記録!$B$6:$B$3005,$A146,請求記録!$X$6:$X$3005,E$5))))</f>
        <v/>
      </c>
      <c r="F146" s="19">
        <f>IF($A146="","",IF(COUNTIFS(請求記録!$B$6:$B$3005,$A146,請求記録!$X$6:$X$3005,F$5,請求記録!$AD$6:$AD$3005,"保留中")&gt;0,"保留",IF(COUNTIFS(請求記録!$B$6:$B$3005,$A146,請求記録!$X$6:$X$3005,F$5)=0,"",SUMIFS(請求記録!$AC$6:$AC$3005,請求記録!$B$6:$B$3005,$A146,請求記録!$X$6:$X$3005,F$5))))</f>
        <v/>
      </c>
      <c r="G146" s="19">
        <f>IF($A146="","",IF(COUNTIFS(請求記録!$B$6:$B$3005,$A146,請求記録!$X$6:$X$3005,G$5,請求記録!$AD$6:$AD$3005,"保留中")&gt;0,"保留",IF(COUNTIFS(請求記録!$B$6:$B$3005,$A146,請求記録!$X$6:$X$3005,G$5)=0,"",SUMIFS(請求記録!$AC$6:$AC$3005,請求記録!$B$6:$B$3005,$A146,請求記録!$X$6:$X$3005,G$5))))</f>
        <v/>
      </c>
      <c r="H146" s="19">
        <f>IF($A146="","",IF(COUNTIFS(請求記録!$B$6:$B$3005,$A146,請求記録!$X$6:$X$3005,H$5,請求記録!$AD$6:$AD$3005,"保留中")&gt;0,"保留",IF(COUNTIFS(請求記録!$B$6:$B$3005,$A146,請求記録!$X$6:$X$3005,H$5)=0,"",SUMIFS(請求記録!$AC$6:$AC$3005,請求記録!$B$6:$B$3005,$A146,請求記録!$X$6:$X$3005,H$5))))</f>
        <v/>
      </c>
      <c r="I146" s="19">
        <f>IF($A146="","",IF(COUNTIFS(請求記録!$B$6:$B$3005,$A146,請求記録!$X$6:$X$3005,I$5,請求記録!$AD$6:$AD$3005,"保留中")&gt;0,"保留",IF(COUNTIFS(請求記録!$B$6:$B$3005,$A146,請求記録!$X$6:$X$3005,I$5)=0,"",SUMIFS(請求記録!$AC$6:$AC$3005,請求記録!$B$6:$B$3005,$A146,請求記録!$X$6:$X$3005,I$5))))</f>
        <v/>
      </c>
      <c r="J146" s="19">
        <f>IF($A146="","",IF(COUNTIFS(請求記録!$B$6:$B$3005,$A146,請求記録!$X$6:$X$3005,J$5,請求記録!$AD$6:$AD$3005,"保留中")&gt;0,"保留",IF(COUNTIFS(請求記録!$B$6:$B$3005,$A146,請求記録!$X$6:$X$3005,J$5)=0,"",SUMIFS(請求記録!$AC$6:$AC$3005,請求記録!$B$6:$B$3005,$A146,請求記録!$X$6:$X$3005,J$5))))</f>
        <v/>
      </c>
      <c r="K146" s="19">
        <f>IF($A146="","",IF(COUNTIFS(請求記録!$B$6:$B$3005,$A146,請求記録!$X$6:$X$3005,K$5,請求記録!$AD$6:$AD$3005,"保留中")&gt;0,"保留",IF(COUNTIFS(請求記録!$B$6:$B$3005,$A146,請求記録!$X$6:$X$3005,K$5)=0,"",SUMIFS(請求記録!$AC$6:$AC$3005,請求記録!$B$6:$B$3005,$A146,請求記録!$X$6:$X$3005,K$5))))</f>
        <v/>
      </c>
      <c r="L146" s="19">
        <f>IF($A146="","",IF(COUNTIFS(請求記録!$B$6:$B$3005,$A146,請求記録!$X$6:$X$3005,L$5,請求記録!$AD$6:$AD$3005,"保留中")&gt;0,"保留",IF(COUNTIFS(請求記録!$B$6:$B$3005,$A146,請求記録!$X$6:$X$3005,L$5)=0,"",SUMIFS(請求記録!$AC$6:$AC$3005,請求記録!$B$6:$B$3005,$A146,請求記録!$X$6:$X$3005,L$5))))</f>
        <v/>
      </c>
      <c r="M146" s="19">
        <f>IF($A146="","",IF(COUNTIFS(請求記録!$B$6:$B$3005,$A146,請求記録!$X$6:$X$3005,M$5,請求記録!$AD$6:$AD$3005,"保留中")&gt;0,"保留",IF(COUNTIFS(請求記録!$B$6:$B$3005,$A146,請求記録!$X$6:$X$3005,M$5)=0,"",SUMIFS(請求記録!$AC$6:$AC$3005,請求記録!$B$6:$B$3005,$A146,請求記録!$X$6:$X$3005,M$5))))</f>
        <v/>
      </c>
      <c r="N146" s="19">
        <f>IF($A146="","",IF(COUNTIFS(請求記録!$B$6:$B$3005,$A146,請求記録!$X$6:$X$3005,N$5,請求記録!$AD$6:$AD$3005,"保留中")&gt;0,"保留",IF(COUNTIFS(請求記録!$B$6:$B$3005,$A146,請求記録!$X$6:$X$3005,N$5)=0,"",SUMIFS(請求記録!$AC$6:$AC$3005,請求記録!$B$6:$B$3005,$A146,請求記録!$X$6:$X$3005,N$5))))</f>
        <v/>
      </c>
      <c r="O146" s="19">
        <f>IF($A146="","",IF(COUNTIFS(請求記録!$B$6:$B$3005,$A146,請求記録!$X$6:$X$3005,O$5,請求記録!$AD$6:$AD$3005,"保留中")&gt;0,"保留",IF(COUNTIFS(請求記録!$B$6:$B$3005,$A146,請求記録!$X$6:$X$3005,O$5)=0,"",SUMIFS(請求記録!$AC$6:$AC$3005,請求記録!$B$6:$B$3005,$A146,請求記録!$X$6:$X$3005,O$5))))</f>
        <v/>
      </c>
      <c r="P146" s="19">
        <f>IF($A146="","",IF(COUNTIFS(請求記録!$B$6:$B$3005,$A146,請求記録!$X$6:$X$3005,P$5,請求記録!$AD$6:$AD$3005,"保留中")&gt;0,"保留",IF(COUNTIFS(請求記録!$B$6:$B$3005,$A146,請求記録!$X$6:$X$3005,P$5)=0,"",SUMIFS(請求記録!$AC$6:$AC$3005,請求記録!$B$6:$B$3005,$A146,請求記録!$X$6:$X$3005,P$5))))</f>
        <v/>
      </c>
      <c r="Q146" s="19">
        <f>IF($A146="","",IF(COUNTIFS(請求記録!$B$6:$B$3005,$A146,請求記録!$X$6:$X$3005,Q$5,請求記録!$AD$6:$AD$3005,"保留中")&gt;0,"保留",IF(COUNTIFS(請求記録!$B$6:$B$3005,$A146,請求記録!$X$6:$X$3005,Q$5)=0,"",SUMIFS(請求記録!$AC$6:$AC$3005,請求記録!$B$6:$B$3005,$A146,請求記録!$X$6:$X$3005,Q$5))))</f>
        <v/>
      </c>
      <c r="R146" s="19">
        <f>IF($A146="","",IF(COUNTIFS(請求記録!$B$6:$B$3005,$A146,請求記録!$X$6:$X$3005,R$5,請求記録!$AD$6:$AD$3005,"保留中")&gt;0,"保留",IF(COUNTIFS(請求記録!$B$6:$B$3005,$A146,請求記録!$X$6:$X$3005,R$5)=0,"",SUMIFS(請求記録!$AC$6:$AC$3005,請求記録!$B$6:$B$3005,$A146,請求記録!$X$6:$X$3005,R$5))))</f>
        <v/>
      </c>
      <c r="S146" s="19">
        <f>IF($A146="","",IF(COUNTIFS(請求記録!$B$6:$B$3005,$A146,請求記録!$X$6:$X$3005,S$5,請求記録!$AD$6:$AD$3005,"保留中")&gt;0,"保留",IF(COUNTIFS(請求記録!$B$6:$B$3005,$A146,請求記録!$X$6:$X$3005,S$5)=0,"",SUMIFS(請求記録!$AC$6:$AC$3005,請求記録!$B$6:$B$3005,$A146,請求記録!$X$6:$X$3005,S$5))))</f>
        <v/>
      </c>
      <c r="T146" s="19">
        <f>IF($A146="","",IF(COUNTIFS(請求記録!$B$6:$B$3005,$A146,請求記録!$X$6:$X$3005,T$5,請求記録!$AD$6:$AD$3005,"保留中")&gt;0,"保留",IF(COUNTIFS(請求記録!$B$6:$B$3005,$A146,請求記録!$X$6:$X$3005,T$5)=0,"",SUMIFS(請求記録!$AC$6:$AC$3005,請求記録!$B$6:$B$3005,$A146,請求記録!$X$6:$X$3005,T$5))))</f>
        <v/>
      </c>
      <c r="U146" s="19">
        <f>IF($A146="","",IF(COUNTIFS(請求記録!$B$6:$B$3005,$A146,請求記録!$X$6:$X$3005,U$5,請求記録!$AD$6:$AD$3005,"保留中")&gt;0,"保留",IF(COUNTIFS(請求記録!$B$6:$B$3005,$A146,請求記録!$X$6:$X$3005,U$5)=0,"",SUMIFS(請求記録!$AC$6:$AC$3005,請求記録!$B$6:$B$3005,$A146,請求記録!$X$6:$X$3005,U$5))))</f>
        <v/>
      </c>
      <c r="V146" s="19">
        <f>IF($A146="","",IF(COUNTIFS(請求記録!$B$6:$B$3005,$A146,請求記録!$X$6:$X$3005,V$5,請求記録!$AD$6:$AD$3005,"保留中")&gt;0,"保留",IF(COUNTIFS(請求記録!$B$6:$B$3005,$A146,請求記録!$X$6:$X$3005,V$5)=0,"",SUMIFS(請求記録!$AC$6:$AC$3005,請求記録!$B$6:$B$3005,$A146,請求記録!$X$6:$X$3005,V$5))))</f>
        <v/>
      </c>
      <c r="W146" s="19">
        <f>IF($A146="","",IF(COUNTIFS(請求記録!$B$6:$B$3005,$A146,請求記録!$X$6:$X$3005,W$5,請求記録!$AD$6:$AD$3005,"保留中")&gt;0,"保留",IF(COUNTIFS(請求記録!$B$6:$B$3005,$A146,請求記録!$X$6:$X$3005,W$5)=0,"",SUMIFS(請求記録!$AC$6:$AC$3005,請求記録!$B$6:$B$3005,$A146,請求記録!$X$6:$X$3005,W$5))))</f>
        <v/>
      </c>
      <c r="X146" s="19">
        <f>IF($A146="","",IF(COUNTIFS(請求記録!$B$6:$B$3005,$A146,請求記録!$X$6:$X$3005,X$5,請求記録!$AD$6:$AD$3005,"保留中")&gt;0,"保留",IF(COUNTIFS(請求記録!$B$6:$B$3005,$A146,請求記録!$X$6:$X$3005,X$5)=0,"",SUMIFS(請求記録!$AC$6:$AC$3005,請求記録!$B$6:$B$3005,$A146,請求記録!$X$6:$X$3005,X$5))))</f>
        <v/>
      </c>
      <c r="Y146" s="19">
        <f>IF($A146="","",IF(COUNTIFS(請求記録!$B$6:$B$3005,$A146,請求記録!$X$6:$X$3005,Y$5,請求記録!$AD$6:$AD$3005,"保留中")&gt;0,"保留",IF(COUNTIFS(請求記録!$B$6:$B$3005,$A146,請求記録!$X$6:$X$3005,Y$5)=0,"",SUMIFS(請求記録!$AC$6:$AC$3005,請求記録!$B$6:$B$3005,$A146,請求記録!$X$6:$X$3005,Y$5))))</f>
        <v/>
      </c>
      <c r="Z146" s="19">
        <f>IF($A146="","",IF(COUNTIFS(請求記録!$B$6:$B$3005,$A146,請求記録!$X$6:$X$3005,Z$5,請求記録!$AD$6:$AD$3005,"保留中")&gt;0,"保留",IF(COUNTIFS(請求記録!$B$6:$B$3005,$A146,請求記録!$X$6:$X$3005,Z$5)=0,"",SUMIFS(請求記録!$AC$6:$AC$3005,請求記録!$B$6:$B$3005,$A146,請求記録!$X$6:$X$3005,Z$5))))</f>
        <v/>
      </c>
      <c r="AA146" s="19">
        <f>IF($A146="","",IF(COUNTIFS(請求記録!$B$6:$B$3005,$A146,請求記録!$X$6:$X$3005,AA$5,請求記録!$AD$6:$AD$3005,"保留中")&gt;0,"保留",IF(COUNTIFS(請求記録!$B$6:$B$3005,$A146,請求記録!$X$6:$X$3005,AA$5)=0,"",SUMIFS(請求記録!$AC$6:$AC$3005,請求記録!$B$6:$B$3005,$A146,請求記録!$X$6:$X$3005,AA$5))))</f>
        <v/>
      </c>
      <c r="AB146">
        <f>IF(職員マスタ!P146="保留中",職員マスタ!M146,"")</f>
        <v/>
      </c>
    </row>
    <row r="147">
      <c r="A147">
        <f>IF(職員マスタ!A147="","",職員マスタ!A147)</f>
        <v/>
      </c>
      <c r="B147">
        <f>IF($A147="","",職員マスタ!B147)</f>
        <v/>
      </c>
      <c r="C147">
        <f>IF($A147="","",職員マスタ!C147)</f>
        <v/>
      </c>
      <c r="D147" s="19">
        <f>IF($A147="","",IF(COUNTIFS(請求記録!$B$6:$B$3005,$A147,請求記録!$X$6:$X$3005,D$5,請求記録!$AD$6:$AD$3005,"保留中")&gt;0,"保留",IF(COUNTIFS(請求記録!$B$6:$B$3005,$A147,請求記録!$X$6:$X$3005,D$5)=0,"",SUMIFS(請求記録!$AC$6:$AC$3005,請求記録!$B$6:$B$3005,$A147,請求記録!$X$6:$X$3005,D$5))))</f>
        <v/>
      </c>
      <c r="E147" s="19">
        <f>IF($A147="","",IF(COUNTIFS(請求記録!$B$6:$B$3005,$A147,請求記録!$X$6:$X$3005,E$5,請求記録!$AD$6:$AD$3005,"保留中")&gt;0,"保留",IF(COUNTIFS(請求記録!$B$6:$B$3005,$A147,請求記録!$X$6:$X$3005,E$5)=0,"",SUMIFS(請求記録!$AC$6:$AC$3005,請求記録!$B$6:$B$3005,$A147,請求記録!$X$6:$X$3005,E$5))))</f>
        <v/>
      </c>
      <c r="F147" s="19">
        <f>IF($A147="","",IF(COUNTIFS(請求記録!$B$6:$B$3005,$A147,請求記録!$X$6:$X$3005,F$5,請求記録!$AD$6:$AD$3005,"保留中")&gt;0,"保留",IF(COUNTIFS(請求記録!$B$6:$B$3005,$A147,請求記録!$X$6:$X$3005,F$5)=0,"",SUMIFS(請求記録!$AC$6:$AC$3005,請求記録!$B$6:$B$3005,$A147,請求記録!$X$6:$X$3005,F$5))))</f>
        <v/>
      </c>
      <c r="G147" s="19">
        <f>IF($A147="","",IF(COUNTIFS(請求記録!$B$6:$B$3005,$A147,請求記録!$X$6:$X$3005,G$5,請求記録!$AD$6:$AD$3005,"保留中")&gt;0,"保留",IF(COUNTIFS(請求記録!$B$6:$B$3005,$A147,請求記録!$X$6:$X$3005,G$5)=0,"",SUMIFS(請求記録!$AC$6:$AC$3005,請求記録!$B$6:$B$3005,$A147,請求記録!$X$6:$X$3005,G$5))))</f>
        <v/>
      </c>
      <c r="H147" s="19">
        <f>IF($A147="","",IF(COUNTIFS(請求記録!$B$6:$B$3005,$A147,請求記録!$X$6:$X$3005,H$5,請求記録!$AD$6:$AD$3005,"保留中")&gt;0,"保留",IF(COUNTIFS(請求記録!$B$6:$B$3005,$A147,請求記録!$X$6:$X$3005,H$5)=0,"",SUMIFS(請求記録!$AC$6:$AC$3005,請求記録!$B$6:$B$3005,$A147,請求記録!$X$6:$X$3005,H$5))))</f>
        <v/>
      </c>
      <c r="I147" s="19">
        <f>IF($A147="","",IF(COUNTIFS(請求記録!$B$6:$B$3005,$A147,請求記録!$X$6:$X$3005,I$5,請求記録!$AD$6:$AD$3005,"保留中")&gt;0,"保留",IF(COUNTIFS(請求記録!$B$6:$B$3005,$A147,請求記録!$X$6:$X$3005,I$5)=0,"",SUMIFS(請求記録!$AC$6:$AC$3005,請求記録!$B$6:$B$3005,$A147,請求記録!$X$6:$X$3005,I$5))))</f>
        <v/>
      </c>
      <c r="J147" s="19">
        <f>IF($A147="","",IF(COUNTIFS(請求記録!$B$6:$B$3005,$A147,請求記録!$X$6:$X$3005,J$5,請求記録!$AD$6:$AD$3005,"保留中")&gt;0,"保留",IF(COUNTIFS(請求記録!$B$6:$B$3005,$A147,請求記録!$X$6:$X$3005,J$5)=0,"",SUMIFS(請求記録!$AC$6:$AC$3005,請求記録!$B$6:$B$3005,$A147,請求記録!$X$6:$X$3005,J$5))))</f>
        <v/>
      </c>
      <c r="K147" s="19">
        <f>IF($A147="","",IF(COUNTIFS(請求記録!$B$6:$B$3005,$A147,請求記録!$X$6:$X$3005,K$5,請求記録!$AD$6:$AD$3005,"保留中")&gt;0,"保留",IF(COUNTIFS(請求記録!$B$6:$B$3005,$A147,請求記録!$X$6:$X$3005,K$5)=0,"",SUMIFS(請求記録!$AC$6:$AC$3005,請求記録!$B$6:$B$3005,$A147,請求記録!$X$6:$X$3005,K$5))))</f>
        <v/>
      </c>
      <c r="L147" s="19">
        <f>IF($A147="","",IF(COUNTIFS(請求記録!$B$6:$B$3005,$A147,請求記録!$X$6:$X$3005,L$5,請求記録!$AD$6:$AD$3005,"保留中")&gt;0,"保留",IF(COUNTIFS(請求記録!$B$6:$B$3005,$A147,請求記録!$X$6:$X$3005,L$5)=0,"",SUMIFS(請求記録!$AC$6:$AC$3005,請求記録!$B$6:$B$3005,$A147,請求記録!$X$6:$X$3005,L$5))))</f>
        <v/>
      </c>
      <c r="M147" s="19">
        <f>IF($A147="","",IF(COUNTIFS(請求記録!$B$6:$B$3005,$A147,請求記録!$X$6:$X$3005,M$5,請求記録!$AD$6:$AD$3005,"保留中")&gt;0,"保留",IF(COUNTIFS(請求記録!$B$6:$B$3005,$A147,請求記録!$X$6:$X$3005,M$5)=0,"",SUMIFS(請求記録!$AC$6:$AC$3005,請求記録!$B$6:$B$3005,$A147,請求記録!$X$6:$X$3005,M$5))))</f>
        <v/>
      </c>
      <c r="N147" s="19">
        <f>IF($A147="","",IF(COUNTIFS(請求記録!$B$6:$B$3005,$A147,請求記録!$X$6:$X$3005,N$5,請求記録!$AD$6:$AD$3005,"保留中")&gt;0,"保留",IF(COUNTIFS(請求記録!$B$6:$B$3005,$A147,請求記録!$X$6:$X$3005,N$5)=0,"",SUMIFS(請求記録!$AC$6:$AC$3005,請求記録!$B$6:$B$3005,$A147,請求記録!$X$6:$X$3005,N$5))))</f>
        <v/>
      </c>
      <c r="O147" s="19">
        <f>IF($A147="","",IF(COUNTIFS(請求記録!$B$6:$B$3005,$A147,請求記録!$X$6:$X$3005,O$5,請求記録!$AD$6:$AD$3005,"保留中")&gt;0,"保留",IF(COUNTIFS(請求記録!$B$6:$B$3005,$A147,請求記録!$X$6:$X$3005,O$5)=0,"",SUMIFS(請求記録!$AC$6:$AC$3005,請求記録!$B$6:$B$3005,$A147,請求記録!$X$6:$X$3005,O$5))))</f>
        <v/>
      </c>
      <c r="P147" s="19">
        <f>IF($A147="","",IF(COUNTIFS(請求記録!$B$6:$B$3005,$A147,請求記録!$X$6:$X$3005,P$5,請求記録!$AD$6:$AD$3005,"保留中")&gt;0,"保留",IF(COUNTIFS(請求記録!$B$6:$B$3005,$A147,請求記録!$X$6:$X$3005,P$5)=0,"",SUMIFS(請求記録!$AC$6:$AC$3005,請求記録!$B$6:$B$3005,$A147,請求記録!$X$6:$X$3005,P$5))))</f>
        <v/>
      </c>
      <c r="Q147" s="19">
        <f>IF($A147="","",IF(COUNTIFS(請求記録!$B$6:$B$3005,$A147,請求記録!$X$6:$X$3005,Q$5,請求記録!$AD$6:$AD$3005,"保留中")&gt;0,"保留",IF(COUNTIFS(請求記録!$B$6:$B$3005,$A147,請求記録!$X$6:$X$3005,Q$5)=0,"",SUMIFS(請求記録!$AC$6:$AC$3005,請求記録!$B$6:$B$3005,$A147,請求記録!$X$6:$X$3005,Q$5))))</f>
        <v/>
      </c>
      <c r="R147" s="19">
        <f>IF($A147="","",IF(COUNTIFS(請求記録!$B$6:$B$3005,$A147,請求記録!$X$6:$X$3005,R$5,請求記録!$AD$6:$AD$3005,"保留中")&gt;0,"保留",IF(COUNTIFS(請求記録!$B$6:$B$3005,$A147,請求記録!$X$6:$X$3005,R$5)=0,"",SUMIFS(請求記録!$AC$6:$AC$3005,請求記録!$B$6:$B$3005,$A147,請求記録!$X$6:$X$3005,R$5))))</f>
        <v/>
      </c>
      <c r="S147" s="19">
        <f>IF($A147="","",IF(COUNTIFS(請求記録!$B$6:$B$3005,$A147,請求記録!$X$6:$X$3005,S$5,請求記録!$AD$6:$AD$3005,"保留中")&gt;0,"保留",IF(COUNTIFS(請求記録!$B$6:$B$3005,$A147,請求記録!$X$6:$X$3005,S$5)=0,"",SUMIFS(請求記録!$AC$6:$AC$3005,請求記録!$B$6:$B$3005,$A147,請求記録!$X$6:$X$3005,S$5))))</f>
        <v/>
      </c>
      <c r="T147" s="19">
        <f>IF($A147="","",IF(COUNTIFS(請求記録!$B$6:$B$3005,$A147,請求記録!$X$6:$X$3005,T$5,請求記録!$AD$6:$AD$3005,"保留中")&gt;0,"保留",IF(COUNTIFS(請求記録!$B$6:$B$3005,$A147,請求記録!$X$6:$X$3005,T$5)=0,"",SUMIFS(請求記録!$AC$6:$AC$3005,請求記録!$B$6:$B$3005,$A147,請求記録!$X$6:$X$3005,T$5))))</f>
        <v/>
      </c>
      <c r="U147" s="19">
        <f>IF($A147="","",IF(COUNTIFS(請求記録!$B$6:$B$3005,$A147,請求記録!$X$6:$X$3005,U$5,請求記録!$AD$6:$AD$3005,"保留中")&gt;0,"保留",IF(COUNTIFS(請求記録!$B$6:$B$3005,$A147,請求記録!$X$6:$X$3005,U$5)=0,"",SUMIFS(請求記録!$AC$6:$AC$3005,請求記録!$B$6:$B$3005,$A147,請求記録!$X$6:$X$3005,U$5))))</f>
        <v/>
      </c>
      <c r="V147" s="19">
        <f>IF($A147="","",IF(COUNTIFS(請求記録!$B$6:$B$3005,$A147,請求記録!$X$6:$X$3005,V$5,請求記録!$AD$6:$AD$3005,"保留中")&gt;0,"保留",IF(COUNTIFS(請求記録!$B$6:$B$3005,$A147,請求記録!$X$6:$X$3005,V$5)=0,"",SUMIFS(請求記録!$AC$6:$AC$3005,請求記録!$B$6:$B$3005,$A147,請求記録!$X$6:$X$3005,V$5))))</f>
        <v/>
      </c>
      <c r="W147" s="19">
        <f>IF($A147="","",IF(COUNTIFS(請求記録!$B$6:$B$3005,$A147,請求記録!$X$6:$X$3005,W$5,請求記録!$AD$6:$AD$3005,"保留中")&gt;0,"保留",IF(COUNTIFS(請求記録!$B$6:$B$3005,$A147,請求記録!$X$6:$X$3005,W$5)=0,"",SUMIFS(請求記録!$AC$6:$AC$3005,請求記録!$B$6:$B$3005,$A147,請求記録!$X$6:$X$3005,W$5))))</f>
        <v/>
      </c>
      <c r="X147" s="19">
        <f>IF($A147="","",IF(COUNTIFS(請求記録!$B$6:$B$3005,$A147,請求記録!$X$6:$X$3005,X$5,請求記録!$AD$6:$AD$3005,"保留中")&gt;0,"保留",IF(COUNTIFS(請求記録!$B$6:$B$3005,$A147,請求記録!$X$6:$X$3005,X$5)=0,"",SUMIFS(請求記録!$AC$6:$AC$3005,請求記録!$B$6:$B$3005,$A147,請求記録!$X$6:$X$3005,X$5))))</f>
        <v/>
      </c>
      <c r="Y147" s="19">
        <f>IF($A147="","",IF(COUNTIFS(請求記録!$B$6:$B$3005,$A147,請求記録!$X$6:$X$3005,Y$5,請求記録!$AD$6:$AD$3005,"保留中")&gt;0,"保留",IF(COUNTIFS(請求記録!$B$6:$B$3005,$A147,請求記録!$X$6:$X$3005,Y$5)=0,"",SUMIFS(請求記録!$AC$6:$AC$3005,請求記録!$B$6:$B$3005,$A147,請求記録!$X$6:$X$3005,Y$5))))</f>
        <v/>
      </c>
      <c r="Z147" s="19">
        <f>IF($A147="","",IF(COUNTIFS(請求記録!$B$6:$B$3005,$A147,請求記録!$X$6:$X$3005,Z$5,請求記録!$AD$6:$AD$3005,"保留中")&gt;0,"保留",IF(COUNTIFS(請求記録!$B$6:$B$3005,$A147,請求記録!$X$6:$X$3005,Z$5)=0,"",SUMIFS(請求記録!$AC$6:$AC$3005,請求記録!$B$6:$B$3005,$A147,請求記録!$X$6:$X$3005,Z$5))))</f>
        <v/>
      </c>
      <c r="AA147" s="19">
        <f>IF($A147="","",IF(COUNTIFS(請求記録!$B$6:$B$3005,$A147,請求記録!$X$6:$X$3005,AA$5,請求記録!$AD$6:$AD$3005,"保留中")&gt;0,"保留",IF(COUNTIFS(請求記録!$B$6:$B$3005,$A147,請求記録!$X$6:$X$3005,AA$5)=0,"",SUMIFS(請求記録!$AC$6:$AC$3005,請求記録!$B$6:$B$3005,$A147,請求記録!$X$6:$X$3005,AA$5))))</f>
        <v/>
      </c>
      <c r="AB147">
        <f>IF(職員マスタ!P147="保留中",職員マスタ!M147,"")</f>
        <v/>
      </c>
    </row>
    <row r="148">
      <c r="A148">
        <f>IF(職員マスタ!A148="","",職員マスタ!A148)</f>
        <v/>
      </c>
      <c r="B148">
        <f>IF($A148="","",職員マスタ!B148)</f>
        <v/>
      </c>
      <c r="C148">
        <f>IF($A148="","",職員マスタ!C148)</f>
        <v/>
      </c>
      <c r="D148" s="19">
        <f>IF($A148="","",IF(COUNTIFS(請求記録!$B$6:$B$3005,$A148,請求記録!$X$6:$X$3005,D$5,請求記録!$AD$6:$AD$3005,"保留中")&gt;0,"保留",IF(COUNTIFS(請求記録!$B$6:$B$3005,$A148,請求記録!$X$6:$X$3005,D$5)=0,"",SUMIFS(請求記録!$AC$6:$AC$3005,請求記録!$B$6:$B$3005,$A148,請求記録!$X$6:$X$3005,D$5))))</f>
        <v/>
      </c>
      <c r="E148" s="19">
        <f>IF($A148="","",IF(COUNTIFS(請求記録!$B$6:$B$3005,$A148,請求記録!$X$6:$X$3005,E$5,請求記録!$AD$6:$AD$3005,"保留中")&gt;0,"保留",IF(COUNTIFS(請求記録!$B$6:$B$3005,$A148,請求記録!$X$6:$X$3005,E$5)=0,"",SUMIFS(請求記録!$AC$6:$AC$3005,請求記録!$B$6:$B$3005,$A148,請求記録!$X$6:$X$3005,E$5))))</f>
        <v/>
      </c>
      <c r="F148" s="19">
        <f>IF($A148="","",IF(COUNTIFS(請求記録!$B$6:$B$3005,$A148,請求記録!$X$6:$X$3005,F$5,請求記録!$AD$6:$AD$3005,"保留中")&gt;0,"保留",IF(COUNTIFS(請求記録!$B$6:$B$3005,$A148,請求記録!$X$6:$X$3005,F$5)=0,"",SUMIFS(請求記録!$AC$6:$AC$3005,請求記録!$B$6:$B$3005,$A148,請求記録!$X$6:$X$3005,F$5))))</f>
        <v/>
      </c>
      <c r="G148" s="19">
        <f>IF($A148="","",IF(COUNTIFS(請求記録!$B$6:$B$3005,$A148,請求記録!$X$6:$X$3005,G$5,請求記録!$AD$6:$AD$3005,"保留中")&gt;0,"保留",IF(COUNTIFS(請求記録!$B$6:$B$3005,$A148,請求記録!$X$6:$X$3005,G$5)=0,"",SUMIFS(請求記録!$AC$6:$AC$3005,請求記録!$B$6:$B$3005,$A148,請求記録!$X$6:$X$3005,G$5))))</f>
        <v/>
      </c>
      <c r="H148" s="19">
        <f>IF($A148="","",IF(COUNTIFS(請求記録!$B$6:$B$3005,$A148,請求記録!$X$6:$X$3005,H$5,請求記録!$AD$6:$AD$3005,"保留中")&gt;0,"保留",IF(COUNTIFS(請求記録!$B$6:$B$3005,$A148,請求記録!$X$6:$X$3005,H$5)=0,"",SUMIFS(請求記録!$AC$6:$AC$3005,請求記録!$B$6:$B$3005,$A148,請求記録!$X$6:$X$3005,H$5))))</f>
        <v/>
      </c>
      <c r="I148" s="19">
        <f>IF($A148="","",IF(COUNTIFS(請求記録!$B$6:$B$3005,$A148,請求記録!$X$6:$X$3005,I$5,請求記録!$AD$6:$AD$3005,"保留中")&gt;0,"保留",IF(COUNTIFS(請求記録!$B$6:$B$3005,$A148,請求記録!$X$6:$X$3005,I$5)=0,"",SUMIFS(請求記録!$AC$6:$AC$3005,請求記録!$B$6:$B$3005,$A148,請求記録!$X$6:$X$3005,I$5))))</f>
        <v/>
      </c>
      <c r="J148" s="19">
        <f>IF($A148="","",IF(COUNTIFS(請求記録!$B$6:$B$3005,$A148,請求記録!$X$6:$X$3005,J$5,請求記録!$AD$6:$AD$3005,"保留中")&gt;0,"保留",IF(COUNTIFS(請求記録!$B$6:$B$3005,$A148,請求記録!$X$6:$X$3005,J$5)=0,"",SUMIFS(請求記録!$AC$6:$AC$3005,請求記録!$B$6:$B$3005,$A148,請求記録!$X$6:$X$3005,J$5))))</f>
        <v/>
      </c>
      <c r="K148" s="19">
        <f>IF($A148="","",IF(COUNTIFS(請求記録!$B$6:$B$3005,$A148,請求記録!$X$6:$X$3005,K$5,請求記録!$AD$6:$AD$3005,"保留中")&gt;0,"保留",IF(COUNTIFS(請求記録!$B$6:$B$3005,$A148,請求記録!$X$6:$X$3005,K$5)=0,"",SUMIFS(請求記録!$AC$6:$AC$3005,請求記録!$B$6:$B$3005,$A148,請求記録!$X$6:$X$3005,K$5))))</f>
        <v/>
      </c>
      <c r="L148" s="19">
        <f>IF($A148="","",IF(COUNTIFS(請求記録!$B$6:$B$3005,$A148,請求記録!$X$6:$X$3005,L$5,請求記録!$AD$6:$AD$3005,"保留中")&gt;0,"保留",IF(COUNTIFS(請求記録!$B$6:$B$3005,$A148,請求記録!$X$6:$X$3005,L$5)=0,"",SUMIFS(請求記録!$AC$6:$AC$3005,請求記録!$B$6:$B$3005,$A148,請求記録!$X$6:$X$3005,L$5))))</f>
        <v/>
      </c>
      <c r="M148" s="19">
        <f>IF($A148="","",IF(COUNTIFS(請求記録!$B$6:$B$3005,$A148,請求記録!$X$6:$X$3005,M$5,請求記録!$AD$6:$AD$3005,"保留中")&gt;0,"保留",IF(COUNTIFS(請求記録!$B$6:$B$3005,$A148,請求記録!$X$6:$X$3005,M$5)=0,"",SUMIFS(請求記録!$AC$6:$AC$3005,請求記録!$B$6:$B$3005,$A148,請求記録!$X$6:$X$3005,M$5))))</f>
        <v/>
      </c>
      <c r="N148" s="19">
        <f>IF($A148="","",IF(COUNTIFS(請求記録!$B$6:$B$3005,$A148,請求記録!$X$6:$X$3005,N$5,請求記録!$AD$6:$AD$3005,"保留中")&gt;0,"保留",IF(COUNTIFS(請求記録!$B$6:$B$3005,$A148,請求記録!$X$6:$X$3005,N$5)=0,"",SUMIFS(請求記録!$AC$6:$AC$3005,請求記録!$B$6:$B$3005,$A148,請求記録!$X$6:$X$3005,N$5))))</f>
        <v/>
      </c>
      <c r="O148" s="19">
        <f>IF($A148="","",IF(COUNTIFS(請求記録!$B$6:$B$3005,$A148,請求記録!$X$6:$X$3005,O$5,請求記録!$AD$6:$AD$3005,"保留中")&gt;0,"保留",IF(COUNTIFS(請求記録!$B$6:$B$3005,$A148,請求記録!$X$6:$X$3005,O$5)=0,"",SUMIFS(請求記録!$AC$6:$AC$3005,請求記録!$B$6:$B$3005,$A148,請求記録!$X$6:$X$3005,O$5))))</f>
        <v/>
      </c>
      <c r="P148" s="19">
        <f>IF($A148="","",IF(COUNTIFS(請求記録!$B$6:$B$3005,$A148,請求記録!$X$6:$X$3005,P$5,請求記録!$AD$6:$AD$3005,"保留中")&gt;0,"保留",IF(COUNTIFS(請求記録!$B$6:$B$3005,$A148,請求記録!$X$6:$X$3005,P$5)=0,"",SUMIFS(請求記録!$AC$6:$AC$3005,請求記録!$B$6:$B$3005,$A148,請求記録!$X$6:$X$3005,P$5))))</f>
        <v/>
      </c>
      <c r="Q148" s="19">
        <f>IF($A148="","",IF(COUNTIFS(請求記録!$B$6:$B$3005,$A148,請求記録!$X$6:$X$3005,Q$5,請求記録!$AD$6:$AD$3005,"保留中")&gt;0,"保留",IF(COUNTIFS(請求記録!$B$6:$B$3005,$A148,請求記録!$X$6:$X$3005,Q$5)=0,"",SUMIFS(請求記録!$AC$6:$AC$3005,請求記録!$B$6:$B$3005,$A148,請求記録!$X$6:$X$3005,Q$5))))</f>
        <v/>
      </c>
      <c r="R148" s="19">
        <f>IF($A148="","",IF(COUNTIFS(請求記録!$B$6:$B$3005,$A148,請求記録!$X$6:$X$3005,R$5,請求記録!$AD$6:$AD$3005,"保留中")&gt;0,"保留",IF(COUNTIFS(請求記録!$B$6:$B$3005,$A148,請求記録!$X$6:$X$3005,R$5)=0,"",SUMIFS(請求記録!$AC$6:$AC$3005,請求記録!$B$6:$B$3005,$A148,請求記録!$X$6:$X$3005,R$5))))</f>
        <v/>
      </c>
      <c r="S148" s="19">
        <f>IF($A148="","",IF(COUNTIFS(請求記録!$B$6:$B$3005,$A148,請求記録!$X$6:$X$3005,S$5,請求記録!$AD$6:$AD$3005,"保留中")&gt;0,"保留",IF(COUNTIFS(請求記録!$B$6:$B$3005,$A148,請求記録!$X$6:$X$3005,S$5)=0,"",SUMIFS(請求記録!$AC$6:$AC$3005,請求記録!$B$6:$B$3005,$A148,請求記録!$X$6:$X$3005,S$5))))</f>
        <v/>
      </c>
      <c r="T148" s="19">
        <f>IF($A148="","",IF(COUNTIFS(請求記録!$B$6:$B$3005,$A148,請求記録!$X$6:$X$3005,T$5,請求記録!$AD$6:$AD$3005,"保留中")&gt;0,"保留",IF(COUNTIFS(請求記録!$B$6:$B$3005,$A148,請求記録!$X$6:$X$3005,T$5)=0,"",SUMIFS(請求記録!$AC$6:$AC$3005,請求記録!$B$6:$B$3005,$A148,請求記録!$X$6:$X$3005,T$5))))</f>
        <v/>
      </c>
      <c r="U148" s="19">
        <f>IF($A148="","",IF(COUNTIFS(請求記録!$B$6:$B$3005,$A148,請求記録!$X$6:$X$3005,U$5,請求記録!$AD$6:$AD$3005,"保留中")&gt;0,"保留",IF(COUNTIFS(請求記録!$B$6:$B$3005,$A148,請求記録!$X$6:$X$3005,U$5)=0,"",SUMIFS(請求記録!$AC$6:$AC$3005,請求記録!$B$6:$B$3005,$A148,請求記録!$X$6:$X$3005,U$5))))</f>
        <v/>
      </c>
      <c r="V148" s="19">
        <f>IF($A148="","",IF(COUNTIFS(請求記録!$B$6:$B$3005,$A148,請求記録!$X$6:$X$3005,V$5,請求記録!$AD$6:$AD$3005,"保留中")&gt;0,"保留",IF(COUNTIFS(請求記録!$B$6:$B$3005,$A148,請求記録!$X$6:$X$3005,V$5)=0,"",SUMIFS(請求記録!$AC$6:$AC$3005,請求記録!$B$6:$B$3005,$A148,請求記録!$X$6:$X$3005,V$5))))</f>
        <v/>
      </c>
      <c r="W148" s="19">
        <f>IF($A148="","",IF(COUNTIFS(請求記録!$B$6:$B$3005,$A148,請求記録!$X$6:$X$3005,W$5,請求記録!$AD$6:$AD$3005,"保留中")&gt;0,"保留",IF(COUNTIFS(請求記録!$B$6:$B$3005,$A148,請求記録!$X$6:$X$3005,W$5)=0,"",SUMIFS(請求記録!$AC$6:$AC$3005,請求記録!$B$6:$B$3005,$A148,請求記録!$X$6:$X$3005,W$5))))</f>
        <v/>
      </c>
      <c r="X148" s="19">
        <f>IF($A148="","",IF(COUNTIFS(請求記録!$B$6:$B$3005,$A148,請求記録!$X$6:$X$3005,X$5,請求記録!$AD$6:$AD$3005,"保留中")&gt;0,"保留",IF(COUNTIFS(請求記録!$B$6:$B$3005,$A148,請求記録!$X$6:$X$3005,X$5)=0,"",SUMIFS(請求記録!$AC$6:$AC$3005,請求記録!$B$6:$B$3005,$A148,請求記録!$X$6:$X$3005,X$5))))</f>
        <v/>
      </c>
      <c r="Y148" s="19">
        <f>IF($A148="","",IF(COUNTIFS(請求記録!$B$6:$B$3005,$A148,請求記録!$X$6:$X$3005,Y$5,請求記録!$AD$6:$AD$3005,"保留中")&gt;0,"保留",IF(COUNTIFS(請求記録!$B$6:$B$3005,$A148,請求記録!$X$6:$X$3005,Y$5)=0,"",SUMIFS(請求記録!$AC$6:$AC$3005,請求記録!$B$6:$B$3005,$A148,請求記録!$X$6:$X$3005,Y$5))))</f>
        <v/>
      </c>
      <c r="Z148" s="19">
        <f>IF($A148="","",IF(COUNTIFS(請求記録!$B$6:$B$3005,$A148,請求記録!$X$6:$X$3005,Z$5,請求記録!$AD$6:$AD$3005,"保留中")&gt;0,"保留",IF(COUNTIFS(請求記録!$B$6:$B$3005,$A148,請求記録!$X$6:$X$3005,Z$5)=0,"",SUMIFS(請求記録!$AC$6:$AC$3005,請求記録!$B$6:$B$3005,$A148,請求記録!$X$6:$X$3005,Z$5))))</f>
        <v/>
      </c>
      <c r="AA148" s="19">
        <f>IF($A148="","",IF(COUNTIFS(請求記録!$B$6:$B$3005,$A148,請求記録!$X$6:$X$3005,AA$5,請求記録!$AD$6:$AD$3005,"保留中")&gt;0,"保留",IF(COUNTIFS(請求記録!$B$6:$B$3005,$A148,請求記録!$X$6:$X$3005,AA$5)=0,"",SUMIFS(請求記録!$AC$6:$AC$3005,請求記録!$B$6:$B$3005,$A148,請求記録!$X$6:$X$3005,AA$5))))</f>
        <v/>
      </c>
      <c r="AB148">
        <f>IF(職員マスタ!P148="保留中",職員マスタ!M148,"")</f>
        <v/>
      </c>
    </row>
    <row r="149">
      <c r="A149">
        <f>IF(職員マスタ!A149="","",職員マスタ!A149)</f>
        <v/>
      </c>
      <c r="B149">
        <f>IF($A149="","",職員マスタ!B149)</f>
        <v/>
      </c>
      <c r="C149">
        <f>IF($A149="","",職員マスタ!C149)</f>
        <v/>
      </c>
      <c r="D149" s="19">
        <f>IF($A149="","",IF(COUNTIFS(請求記録!$B$6:$B$3005,$A149,請求記録!$X$6:$X$3005,D$5,請求記録!$AD$6:$AD$3005,"保留中")&gt;0,"保留",IF(COUNTIFS(請求記録!$B$6:$B$3005,$A149,請求記録!$X$6:$X$3005,D$5)=0,"",SUMIFS(請求記録!$AC$6:$AC$3005,請求記録!$B$6:$B$3005,$A149,請求記録!$X$6:$X$3005,D$5))))</f>
        <v/>
      </c>
      <c r="E149" s="19">
        <f>IF($A149="","",IF(COUNTIFS(請求記録!$B$6:$B$3005,$A149,請求記録!$X$6:$X$3005,E$5,請求記録!$AD$6:$AD$3005,"保留中")&gt;0,"保留",IF(COUNTIFS(請求記録!$B$6:$B$3005,$A149,請求記録!$X$6:$X$3005,E$5)=0,"",SUMIFS(請求記録!$AC$6:$AC$3005,請求記録!$B$6:$B$3005,$A149,請求記録!$X$6:$X$3005,E$5))))</f>
        <v/>
      </c>
      <c r="F149" s="19">
        <f>IF($A149="","",IF(COUNTIFS(請求記録!$B$6:$B$3005,$A149,請求記録!$X$6:$X$3005,F$5,請求記録!$AD$6:$AD$3005,"保留中")&gt;0,"保留",IF(COUNTIFS(請求記録!$B$6:$B$3005,$A149,請求記録!$X$6:$X$3005,F$5)=0,"",SUMIFS(請求記録!$AC$6:$AC$3005,請求記録!$B$6:$B$3005,$A149,請求記録!$X$6:$X$3005,F$5))))</f>
        <v/>
      </c>
      <c r="G149" s="19">
        <f>IF($A149="","",IF(COUNTIFS(請求記録!$B$6:$B$3005,$A149,請求記録!$X$6:$X$3005,G$5,請求記録!$AD$6:$AD$3005,"保留中")&gt;0,"保留",IF(COUNTIFS(請求記録!$B$6:$B$3005,$A149,請求記録!$X$6:$X$3005,G$5)=0,"",SUMIFS(請求記録!$AC$6:$AC$3005,請求記録!$B$6:$B$3005,$A149,請求記録!$X$6:$X$3005,G$5))))</f>
        <v/>
      </c>
      <c r="H149" s="19">
        <f>IF($A149="","",IF(COUNTIFS(請求記録!$B$6:$B$3005,$A149,請求記録!$X$6:$X$3005,H$5,請求記録!$AD$6:$AD$3005,"保留中")&gt;0,"保留",IF(COUNTIFS(請求記録!$B$6:$B$3005,$A149,請求記録!$X$6:$X$3005,H$5)=0,"",SUMIFS(請求記録!$AC$6:$AC$3005,請求記録!$B$6:$B$3005,$A149,請求記録!$X$6:$X$3005,H$5))))</f>
        <v/>
      </c>
      <c r="I149" s="19">
        <f>IF($A149="","",IF(COUNTIFS(請求記録!$B$6:$B$3005,$A149,請求記録!$X$6:$X$3005,I$5,請求記録!$AD$6:$AD$3005,"保留中")&gt;0,"保留",IF(COUNTIFS(請求記録!$B$6:$B$3005,$A149,請求記録!$X$6:$X$3005,I$5)=0,"",SUMIFS(請求記録!$AC$6:$AC$3005,請求記録!$B$6:$B$3005,$A149,請求記録!$X$6:$X$3005,I$5))))</f>
        <v/>
      </c>
      <c r="J149" s="19">
        <f>IF($A149="","",IF(COUNTIFS(請求記録!$B$6:$B$3005,$A149,請求記録!$X$6:$X$3005,J$5,請求記録!$AD$6:$AD$3005,"保留中")&gt;0,"保留",IF(COUNTIFS(請求記録!$B$6:$B$3005,$A149,請求記録!$X$6:$X$3005,J$5)=0,"",SUMIFS(請求記録!$AC$6:$AC$3005,請求記録!$B$6:$B$3005,$A149,請求記録!$X$6:$X$3005,J$5))))</f>
        <v/>
      </c>
      <c r="K149" s="19">
        <f>IF($A149="","",IF(COUNTIFS(請求記録!$B$6:$B$3005,$A149,請求記録!$X$6:$X$3005,K$5,請求記録!$AD$6:$AD$3005,"保留中")&gt;0,"保留",IF(COUNTIFS(請求記録!$B$6:$B$3005,$A149,請求記録!$X$6:$X$3005,K$5)=0,"",SUMIFS(請求記録!$AC$6:$AC$3005,請求記録!$B$6:$B$3005,$A149,請求記録!$X$6:$X$3005,K$5))))</f>
        <v/>
      </c>
      <c r="L149" s="19">
        <f>IF($A149="","",IF(COUNTIFS(請求記録!$B$6:$B$3005,$A149,請求記録!$X$6:$X$3005,L$5,請求記録!$AD$6:$AD$3005,"保留中")&gt;0,"保留",IF(COUNTIFS(請求記録!$B$6:$B$3005,$A149,請求記録!$X$6:$X$3005,L$5)=0,"",SUMIFS(請求記録!$AC$6:$AC$3005,請求記録!$B$6:$B$3005,$A149,請求記録!$X$6:$X$3005,L$5))))</f>
        <v/>
      </c>
      <c r="M149" s="19">
        <f>IF($A149="","",IF(COUNTIFS(請求記録!$B$6:$B$3005,$A149,請求記録!$X$6:$X$3005,M$5,請求記録!$AD$6:$AD$3005,"保留中")&gt;0,"保留",IF(COUNTIFS(請求記録!$B$6:$B$3005,$A149,請求記録!$X$6:$X$3005,M$5)=0,"",SUMIFS(請求記録!$AC$6:$AC$3005,請求記録!$B$6:$B$3005,$A149,請求記録!$X$6:$X$3005,M$5))))</f>
        <v/>
      </c>
      <c r="N149" s="19">
        <f>IF($A149="","",IF(COUNTIFS(請求記録!$B$6:$B$3005,$A149,請求記録!$X$6:$X$3005,N$5,請求記録!$AD$6:$AD$3005,"保留中")&gt;0,"保留",IF(COUNTIFS(請求記録!$B$6:$B$3005,$A149,請求記録!$X$6:$X$3005,N$5)=0,"",SUMIFS(請求記録!$AC$6:$AC$3005,請求記録!$B$6:$B$3005,$A149,請求記録!$X$6:$X$3005,N$5))))</f>
        <v/>
      </c>
      <c r="O149" s="19">
        <f>IF($A149="","",IF(COUNTIFS(請求記録!$B$6:$B$3005,$A149,請求記録!$X$6:$X$3005,O$5,請求記録!$AD$6:$AD$3005,"保留中")&gt;0,"保留",IF(COUNTIFS(請求記録!$B$6:$B$3005,$A149,請求記録!$X$6:$X$3005,O$5)=0,"",SUMIFS(請求記録!$AC$6:$AC$3005,請求記録!$B$6:$B$3005,$A149,請求記録!$X$6:$X$3005,O$5))))</f>
        <v/>
      </c>
      <c r="P149" s="19">
        <f>IF($A149="","",IF(COUNTIFS(請求記録!$B$6:$B$3005,$A149,請求記録!$X$6:$X$3005,P$5,請求記録!$AD$6:$AD$3005,"保留中")&gt;0,"保留",IF(COUNTIFS(請求記録!$B$6:$B$3005,$A149,請求記録!$X$6:$X$3005,P$5)=0,"",SUMIFS(請求記録!$AC$6:$AC$3005,請求記録!$B$6:$B$3005,$A149,請求記録!$X$6:$X$3005,P$5))))</f>
        <v/>
      </c>
      <c r="Q149" s="19">
        <f>IF($A149="","",IF(COUNTIFS(請求記録!$B$6:$B$3005,$A149,請求記録!$X$6:$X$3005,Q$5,請求記録!$AD$6:$AD$3005,"保留中")&gt;0,"保留",IF(COUNTIFS(請求記録!$B$6:$B$3005,$A149,請求記録!$X$6:$X$3005,Q$5)=0,"",SUMIFS(請求記録!$AC$6:$AC$3005,請求記録!$B$6:$B$3005,$A149,請求記録!$X$6:$X$3005,Q$5))))</f>
        <v/>
      </c>
      <c r="R149" s="19">
        <f>IF($A149="","",IF(COUNTIFS(請求記録!$B$6:$B$3005,$A149,請求記録!$X$6:$X$3005,R$5,請求記録!$AD$6:$AD$3005,"保留中")&gt;0,"保留",IF(COUNTIFS(請求記録!$B$6:$B$3005,$A149,請求記録!$X$6:$X$3005,R$5)=0,"",SUMIFS(請求記録!$AC$6:$AC$3005,請求記録!$B$6:$B$3005,$A149,請求記録!$X$6:$X$3005,R$5))))</f>
        <v/>
      </c>
      <c r="S149" s="19">
        <f>IF($A149="","",IF(COUNTIFS(請求記録!$B$6:$B$3005,$A149,請求記録!$X$6:$X$3005,S$5,請求記録!$AD$6:$AD$3005,"保留中")&gt;0,"保留",IF(COUNTIFS(請求記録!$B$6:$B$3005,$A149,請求記録!$X$6:$X$3005,S$5)=0,"",SUMIFS(請求記録!$AC$6:$AC$3005,請求記録!$B$6:$B$3005,$A149,請求記録!$X$6:$X$3005,S$5))))</f>
        <v/>
      </c>
      <c r="T149" s="19">
        <f>IF($A149="","",IF(COUNTIFS(請求記録!$B$6:$B$3005,$A149,請求記録!$X$6:$X$3005,T$5,請求記録!$AD$6:$AD$3005,"保留中")&gt;0,"保留",IF(COUNTIFS(請求記録!$B$6:$B$3005,$A149,請求記録!$X$6:$X$3005,T$5)=0,"",SUMIFS(請求記録!$AC$6:$AC$3005,請求記録!$B$6:$B$3005,$A149,請求記録!$X$6:$X$3005,T$5))))</f>
        <v/>
      </c>
      <c r="U149" s="19">
        <f>IF($A149="","",IF(COUNTIFS(請求記録!$B$6:$B$3005,$A149,請求記録!$X$6:$X$3005,U$5,請求記録!$AD$6:$AD$3005,"保留中")&gt;0,"保留",IF(COUNTIFS(請求記録!$B$6:$B$3005,$A149,請求記録!$X$6:$X$3005,U$5)=0,"",SUMIFS(請求記録!$AC$6:$AC$3005,請求記録!$B$6:$B$3005,$A149,請求記録!$X$6:$X$3005,U$5))))</f>
        <v/>
      </c>
      <c r="V149" s="19">
        <f>IF($A149="","",IF(COUNTIFS(請求記録!$B$6:$B$3005,$A149,請求記録!$X$6:$X$3005,V$5,請求記録!$AD$6:$AD$3005,"保留中")&gt;0,"保留",IF(COUNTIFS(請求記録!$B$6:$B$3005,$A149,請求記録!$X$6:$X$3005,V$5)=0,"",SUMIFS(請求記録!$AC$6:$AC$3005,請求記録!$B$6:$B$3005,$A149,請求記録!$X$6:$X$3005,V$5))))</f>
        <v/>
      </c>
      <c r="W149" s="19">
        <f>IF($A149="","",IF(COUNTIFS(請求記録!$B$6:$B$3005,$A149,請求記録!$X$6:$X$3005,W$5,請求記録!$AD$6:$AD$3005,"保留中")&gt;0,"保留",IF(COUNTIFS(請求記録!$B$6:$B$3005,$A149,請求記録!$X$6:$X$3005,W$5)=0,"",SUMIFS(請求記録!$AC$6:$AC$3005,請求記録!$B$6:$B$3005,$A149,請求記録!$X$6:$X$3005,W$5))))</f>
        <v/>
      </c>
      <c r="X149" s="19">
        <f>IF($A149="","",IF(COUNTIFS(請求記録!$B$6:$B$3005,$A149,請求記録!$X$6:$X$3005,X$5,請求記録!$AD$6:$AD$3005,"保留中")&gt;0,"保留",IF(COUNTIFS(請求記録!$B$6:$B$3005,$A149,請求記録!$X$6:$X$3005,X$5)=0,"",SUMIFS(請求記録!$AC$6:$AC$3005,請求記録!$B$6:$B$3005,$A149,請求記録!$X$6:$X$3005,X$5))))</f>
        <v/>
      </c>
      <c r="Y149" s="19">
        <f>IF($A149="","",IF(COUNTIFS(請求記録!$B$6:$B$3005,$A149,請求記録!$X$6:$X$3005,Y$5,請求記録!$AD$6:$AD$3005,"保留中")&gt;0,"保留",IF(COUNTIFS(請求記録!$B$6:$B$3005,$A149,請求記録!$X$6:$X$3005,Y$5)=0,"",SUMIFS(請求記録!$AC$6:$AC$3005,請求記録!$B$6:$B$3005,$A149,請求記録!$X$6:$X$3005,Y$5))))</f>
        <v/>
      </c>
      <c r="Z149" s="19">
        <f>IF($A149="","",IF(COUNTIFS(請求記録!$B$6:$B$3005,$A149,請求記録!$X$6:$X$3005,Z$5,請求記録!$AD$6:$AD$3005,"保留中")&gt;0,"保留",IF(COUNTIFS(請求記録!$B$6:$B$3005,$A149,請求記録!$X$6:$X$3005,Z$5)=0,"",SUMIFS(請求記録!$AC$6:$AC$3005,請求記録!$B$6:$B$3005,$A149,請求記録!$X$6:$X$3005,Z$5))))</f>
        <v/>
      </c>
      <c r="AA149" s="19">
        <f>IF($A149="","",IF(COUNTIFS(請求記録!$B$6:$B$3005,$A149,請求記録!$X$6:$X$3005,AA$5,請求記録!$AD$6:$AD$3005,"保留中")&gt;0,"保留",IF(COUNTIFS(請求記録!$B$6:$B$3005,$A149,請求記録!$X$6:$X$3005,AA$5)=0,"",SUMIFS(請求記録!$AC$6:$AC$3005,請求記録!$B$6:$B$3005,$A149,請求記録!$X$6:$X$3005,AA$5))))</f>
        <v/>
      </c>
      <c r="AB149">
        <f>IF(職員マスタ!P149="保留中",職員マスタ!M149,"")</f>
        <v/>
      </c>
    </row>
    <row r="150">
      <c r="A150">
        <f>IF(職員マスタ!A150="","",職員マスタ!A150)</f>
        <v/>
      </c>
      <c r="B150">
        <f>IF($A150="","",職員マスタ!B150)</f>
        <v/>
      </c>
      <c r="C150">
        <f>IF($A150="","",職員マスタ!C150)</f>
        <v/>
      </c>
      <c r="D150" s="19">
        <f>IF($A150="","",IF(COUNTIFS(請求記録!$B$6:$B$3005,$A150,請求記録!$X$6:$X$3005,D$5,請求記録!$AD$6:$AD$3005,"保留中")&gt;0,"保留",IF(COUNTIFS(請求記録!$B$6:$B$3005,$A150,請求記録!$X$6:$X$3005,D$5)=0,"",SUMIFS(請求記録!$AC$6:$AC$3005,請求記録!$B$6:$B$3005,$A150,請求記録!$X$6:$X$3005,D$5))))</f>
        <v/>
      </c>
      <c r="E150" s="19">
        <f>IF($A150="","",IF(COUNTIFS(請求記録!$B$6:$B$3005,$A150,請求記録!$X$6:$X$3005,E$5,請求記録!$AD$6:$AD$3005,"保留中")&gt;0,"保留",IF(COUNTIFS(請求記録!$B$6:$B$3005,$A150,請求記録!$X$6:$X$3005,E$5)=0,"",SUMIFS(請求記録!$AC$6:$AC$3005,請求記録!$B$6:$B$3005,$A150,請求記録!$X$6:$X$3005,E$5))))</f>
        <v/>
      </c>
      <c r="F150" s="19">
        <f>IF($A150="","",IF(COUNTIFS(請求記録!$B$6:$B$3005,$A150,請求記録!$X$6:$X$3005,F$5,請求記録!$AD$6:$AD$3005,"保留中")&gt;0,"保留",IF(COUNTIFS(請求記録!$B$6:$B$3005,$A150,請求記録!$X$6:$X$3005,F$5)=0,"",SUMIFS(請求記録!$AC$6:$AC$3005,請求記録!$B$6:$B$3005,$A150,請求記録!$X$6:$X$3005,F$5))))</f>
        <v/>
      </c>
      <c r="G150" s="19">
        <f>IF($A150="","",IF(COUNTIFS(請求記録!$B$6:$B$3005,$A150,請求記録!$X$6:$X$3005,G$5,請求記録!$AD$6:$AD$3005,"保留中")&gt;0,"保留",IF(COUNTIFS(請求記録!$B$6:$B$3005,$A150,請求記録!$X$6:$X$3005,G$5)=0,"",SUMIFS(請求記録!$AC$6:$AC$3005,請求記録!$B$6:$B$3005,$A150,請求記録!$X$6:$X$3005,G$5))))</f>
        <v/>
      </c>
      <c r="H150" s="19">
        <f>IF($A150="","",IF(COUNTIFS(請求記録!$B$6:$B$3005,$A150,請求記録!$X$6:$X$3005,H$5,請求記録!$AD$6:$AD$3005,"保留中")&gt;0,"保留",IF(COUNTIFS(請求記録!$B$6:$B$3005,$A150,請求記録!$X$6:$X$3005,H$5)=0,"",SUMIFS(請求記録!$AC$6:$AC$3005,請求記録!$B$6:$B$3005,$A150,請求記録!$X$6:$X$3005,H$5))))</f>
        <v/>
      </c>
      <c r="I150" s="19">
        <f>IF($A150="","",IF(COUNTIFS(請求記録!$B$6:$B$3005,$A150,請求記録!$X$6:$X$3005,I$5,請求記録!$AD$6:$AD$3005,"保留中")&gt;0,"保留",IF(COUNTIFS(請求記録!$B$6:$B$3005,$A150,請求記録!$X$6:$X$3005,I$5)=0,"",SUMIFS(請求記録!$AC$6:$AC$3005,請求記録!$B$6:$B$3005,$A150,請求記録!$X$6:$X$3005,I$5))))</f>
        <v/>
      </c>
      <c r="J150" s="19">
        <f>IF($A150="","",IF(COUNTIFS(請求記録!$B$6:$B$3005,$A150,請求記録!$X$6:$X$3005,J$5,請求記録!$AD$6:$AD$3005,"保留中")&gt;0,"保留",IF(COUNTIFS(請求記録!$B$6:$B$3005,$A150,請求記録!$X$6:$X$3005,J$5)=0,"",SUMIFS(請求記録!$AC$6:$AC$3005,請求記録!$B$6:$B$3005,$A150,請求記録!$X$6:$X$3005,J$5))))</f>
        <v/>
      </c>
      <c r="K150" s="19">
        <f>IF($A150="","",IF(COUNTIFS(請求記録!$B$6:$B$3005,$A150,請求記録!$X$6:$X$3005,K$5,請求記録!$AD$6:$AD$3005,"保留中")&gt;0,"保留",IF(COUNTIFS(請求記録!$B$6:$B$3005,$A150,請求記録!$X$6:$X$3005,K$5)=0,"",SUMIFS(請求記録!$AC$6:$AC$3005,請求記録!$B$6:$B$3005,$A150,請求記録!$X$6:$X$3005,K$5))))</f>
        <v/>
      </c>
      <c r="L150" s="19">
        <f>IF($A150="","",IF(COUNTIFS(請求記録!$B$6:$B$3005,$A150,請求記録!$X$6:$X$3005,L$5,請求記録!$AD$6:$AD$3005,"保留中")&gt;0,"保留",IF(COUNTIFS(請求記録!$B$6:$B$3005,$A150,請求記録!$X$6:$X$3005,L$5)=0,"",SUMIFS(請求記録!$AC$6:$AC$3005,請求記録!$B$6:$B$3005,$A150,請求記録!$X$6:$X$3005,L$5))))</f>
        <v/>
      </c>
      <c r="M150" s="19">
        <f>IF($A150="","",IF(COUNTIFS(請求記録!$B$6:$B$3005,$A150,請求記録!$X$6:$X$3005,M$5,請求記録!$AD$6:$AD$3005,"保留中")&gt;0,"保留",IF(COUNTIFS(請求記録!$B$6:$B$3005,$A150,請求記録!$X$6:$X$3005,M$5)=0,"",SUMIFS(請求記録!$AC$6:$AC$3005,請求記録!$B$6:$B$3005,$A150,請求記録!$X$6:$X$3005,M$5))))</f>
        <v/>
      </c>
      <c r="N150" s="19">
        <f>IF($A150="","",IF(COUNTIFS(請求記録!$B$6:$B$3005,$A150,請求記録!$X$6:$X$3005,N$5,請求記録!$AD$6:$AD$3005,"保留中")&gt;0,"保留",IF(COUNTIFS(請求記録!$B$6:$B$3005,$A150,請求記録!$X$6:$X$3005,N$5)=0,"",SUMIFS(請求記録!$AC$6:$AC$3005,請求記録!$B$6:$B$3005,$A150,請求記録!$X$6:$X$3005,N$5))))</f>
        <v/>
      </c>
      <c r="O150" s="19">
        <f>IF($A150="","",IF(COUNTIFS(請求記録!$B$6:$B$3005,$A150,請求記録!$X$6:$X$3005,O$5,請求記録!$AD$6:$AD$3005,"保留中")&gt;0,"保留",IF(COUNTIFS(請求記録!$B$6:$B$3005,$A150,請求記録!$X$6:$X$3005,O$5)=0,"",SUMIFS(請求記録!$AC$6:$AC$3005,請求記録!$B$6:$B$3005,$A150,請求記録!$X$6:$X$3005,O$5))))</f>
        <v/>
      </c>
      <c r="P150" s="19">
        <f>IF($A150="","",IF(COUNTIFS(請求記録!$B$6:$B$3005,$A150,請求記録!$X$6:$X$3005,P$5,請求記録!$AD$6:$AD$3005,"保留中")&gt;0,"保留",IF(COUNTIFS(請求記録!$B$6:$B$3005,$A150,請求記録!$X$6:$X$3005,P$5)=0,"",SUMIFS(請求記録!$AC$6:$AC$3005,請求記録!$B$6:$B$3005,$A150,請求記録!$X$6:$X$3005,P$5))))</f>
        <v/>
      </c>
      <c r="Q150" s="19">
        <f>IF($A150="","",IF(COUNTIFS(請求記録!$B$6:$B$3005,$A150,請求記録!$X$6:$X$3005,Q$5,請求記録!$AD$6:$AD$3005,"保留中")&gt;0,"保留",IF(COUNTIFS(請求記録!$B$6:$B$3005,$A150,請求記録!$X$6:$X$3005,Q$5)=0,"",SUMIFS(請求記録!$AC$6:$AC$3005,請求記録!$B$6:$B$3005,$A150,請求記録!$X$6:$X$3005,Q$5))))</f>
        <v/>
      </c>
      <c r="R150" s="19">
        <f>IF($A150="","",IF(COUNTIFS(請求記録!$B$6:$B$3005,$A150,請求記録!$X$6:$X$3005,R$5,請求記録!$AD$6:$AD$3005,"保留中")&gt;0,"保留",IF(COUNTIFS(請求記録!$B$6:$B$3005,$A150,請求記録!$X$6:$X$3005,R$5)=0,"",SUMIFS(請求記録!$AC$6:$AC$3005,請求記録!$B$6:$B$3005,$A150,請求記録!$X$6:$X$3005,R$5))))</f>
        <v/>
      </c>
      <c r="S150" s="19">
        <f>IF($A150="","",IF(COUNTIFS(請求記録!$B$6:$B$3005,$A150,請求記録!$X$6:$X$3005,S$5,請求記録!$AD$6:$AD$3005,"保留中")&gt;0,"保留",IF(COUNTIFS(請求記録!$B$6:$B$3005,$A150,請求記録!$X$6:$X$3005,S$5)=0,"",SUMIFS(請求記録!$AC$6:$AC$3005,請求記録!$B$6:$B$3005,$A150,請求記録!$X$6:$X$3005,S$5))))</f>
        <v/>
      </c>
      <c r="T150" s="19">
        <f>IF($A150="","",IF(COUNTIFS(請求記録!$B$6:$B$3005,$A150,請求記録!$X$6:$X$3005,T$5,請求記録!$AD$6:$AD$3005,"保留中")&gt;0,"保留",IF(COUNTIFS(請求記録!$B$6:$B$3005,$A150,請求記録!$X$6:$X$3005,T$5)=0,"",SUMIFS(請求記録!$AC$6:$AC$3005,請求記録!$B$6:$B$3005,$A150,請求記録!$X$6:$X$3005,T$5))))</f>
        <v/>
      </c>
      <c r="U150" s="19">
        <f>IF($A150="","",IF(COUNTIFS(請求記録!$B$6:$B$3005,$A150,請求記録!$X$6:$X$3005,U$5,請求記録!$AD$6:$AD$3005,"保留中")&gt;0,"保留",IF(COUNTIFS(請求記録!$B$6:$B$3005,$A150,請求記録!$X$6:$X$3005,U$5)=0,"",SUMIFS(請求記録!$AC$6:$AC$3005,請求記録!$B$6:$B$3005,$A150,請求記録!$X$6:$X$3005,U$5))))</f>
        <v/>
      </c>
      <c r="V150" s="19">
        <f>IF($A150="","",IF(COUNTIFS(請求記録!$B$6:$B$3005,$A150,請求記録!$X$6:$X$3005,V$5,請求記録!$AD$6:$AD$3005,"保留中")&gt;0,"保留",IF(COUNTIFS(請求記録!$B$6:$B$3005,$A150,請求記録!$X$6:$X$3005,V$5)=0,"",SUMIFS(請求記録!$AC$6:$AC$3005,請求記録!$B$6:$B$3005,$A150,請求記録!$X$6:$X$3005,V$5))))</f>
        <v/>
      </c>
      <c r="W150" s="19">
        <f>IF($A150="","",IF(COUNTIFS(請求記録!$B$6:$B$3005,$A150,請求記録!$X$6:$X$3005,W$5,請求記録!$AD$6:$AD$3005,"保留中")&gt;0,"保留",IF(COUNTIFS(請求記録!$B$6:$B$3005,$A150,請求記録!$X$6:$X$3005,W$5)=0,"",SUMIFS(請求記録!$AC$6:$AC$3005,請求記録!$B$6:$B$3005,$A150,請求記録!$X$6:$X$3005,W$5))))</f>
        <v/>
      </c>
      <c r="X150" s="19">
        <f>IF($A150="","",IF(COUNTIFS(請求記録!$B$6:$B$3005,$A150,請求記録!$X$6:$X$3005,X$5,請求記録!$AD$6:$AD$3005,"保留中")&gt;0,"保留",IF(COUNTIFS(請求記録!$B$6:$B$3005,$A150,請求記録!$X$6:$X$3005,X$5)=0,"",SUMIFS(請求記録!$AC$6:$AC$3005,請求記録!$B$6:$B$3005,$A150,請求記録!$X$6:$X$3005,X$5))))</f>
        <v/>
      </c>
      <c r="Y150" s="19">
        <f>IF($A150="","",IF(COUNTIFS(請求記録!$B$6:$B$3005,$A150,請求記録!$X$6:$X$3005,Y$5,請求記録!$AD$6:$AD$3005,"保留中")&gt;0,"保留",IF(COUNTIFS(請求記録!$B$6:$B$3005,$A150,請求記録!$X$6:$X$3005,Y$5)=0,"",SUMIFS(請求記録!$AC$6:$AC$3005,請求記録!$B$6:$B$3005,$A150,請求記録!$X$6:$X$3005,Y$5))))</f>
        <v/>
      </c>
      <c r="Z150" s="19">
        <f>IF($A150="","",IF(COUNTIFS(請求記録!$B$6:$B$3005,$A150,請求記録!$X$6:$X$3005,Z$5,請求記録!$AD$6:$AD$3005,"保留中")&gt;0,"保留",IF(COUNTIFS(請求記録!$B$6:$B$3005,$A150,請求記録!$X$6:$X$3005,Z$5)=0,"",SUMIFS(請求記録!$AC$6:$AC$3005,請求記録!$B$6:$B$3005,$A150,請求記録!$X$6:$X$3005,Z$5))))</f>
        <v/>
      </c>
      <c r="AA150" s="19">
        <f>IF($A150="","",IF(COUNTIFS(請求記録!$B$6:$B$3005,$A150,請求記録!$X$6:$X$3005,AA$5,請求記録!$AD$6:$AD$3005,"保留中")&gt;0,"保留",IF(COUNTIFS(請求記録!$B$6:$B$3005,$A150,請求記録!$X$6:$X$3005,AA$5)=0,"",SUMIFS(請求記録!$AC$6:$AC$3005,請求記録!$B$6:$B$3005,$A150,請求記録!$X$6:$X$3005,AA$5))))</f>
        <v/>
      </c>
      <c r="AB150">
        <f>IF(職員マスタ!P150="保留中",職員マスタ!M150,"")</f>
        <v/>
      </c>
    </row>
    <row r="151">
      <c r="A151">
        <f>IF(職員マスタ!A151="","",職員マスタ!A151)</f>
        <v/>
      </c>
      <c r="B151">
        <f>IF($A151="","",職員マスタ!B151)</f>
        <v/>
      </c>
      <c r="C151">
        <f>IF($A151="","",職員マスタ!C151)</f>
        <v/>
      </c>
      <c r="D151" s="19">
        <f>IF($A151="","",IF(COUNTIFS(請求記録!$B$6:$B$3005,$A151,請求記録!$X$6:$X$3005,D$5,請求記録!$AD$6:$AD$3005,"保留中")&gt;0,"保留",IF(COUNTIFS(請求記録!$B$6:$B$3005,$A151,請求記録!$X$6:$X$3005,D$5)=0,"",SUMIFS(請求記録!$AC$6:$AC$3005,請求記録!$B$6:$B$3005,$A151,請求記録!$X$6:$X$3005,D$5))))</f>
        <v/>
      </c>
      <c r="E151" s="19">
        <f>IF($A151="","",IF(COUNTIFS(請求記録!$B$6:$B$3005,$A151,請求記録!$X$6:$X$3005,E$5,請求記録!$AD$6:$AD$3005,"保留中")&gt;0,"保留",IF(COUNTIFS(請求記録!$B$6:$B$3005,$A151,請求記録!$X$6:$X$3005,E$5)=0,"",SUMIFS(請求記録!$AC$6:$AC$3005,請求記録!$B$6:$B$3005,$A151,請求記録!$X$6:$X$3005,E$5))))</f>
        <v/>
      </c>
      <c r="F151" s="19">
        <f>IF($A151="","",IF(COUNTIFS(請求記録!$B$6:$B$3005,$A151,請求記録!$X$6:$X$3005,F$5,請求記録!$AD$6:$AD$3005,"保留中")&gt;0,"保留",IF(COUNTIFS(請求記録!$B$6:$B$3005,$A151,請求記録!$X$6:$X$3005,F$5)=0,"",SUMIFS(請求記録!$AC$6:$AC$3005,請求記録!$B$6:$B$3005,$A151,請求記録!$X$6:$X$3005,F$5))))</f>
        <v/>
      </c>
      <c r="G151" s="19">
        <f>IF($A151="","",IF(COUNTIFS(請求記録!$B$6:$B$3005,$A151,請求記録!$X$6:$X$3005,G$5,請求記録!$AD$6:$AD$3005,"保留中")&gt;0,"保留",IF(COUNTIFS(請求記録!$B$6:$B$3005,$A151,請求記録!$X$6:$X$3005,G$5)=0,"",SUMIFS(請求記録!$AC$6:$AC$3005,請求記録!$B$6:$B$3005,$A151,請求記録!$X$6:$X$3005,G$5))))</f>
        <v/>
      </c>
      <c r="H151" s="19">
        <f>IF($A151="","",IF(COUNTIFS(請求記録!$B$6:$B$3005,$A151,請求記録!$X$6:$X$3005,H$5,請求記録!$AD$6:$AD$3005,"保留中")&gt;0,"保留",IF(COUNTIFS(請求記録!$B$6:$B$3005,$A151,請求記録!$X$6:$X$3005,H$5)=0,"",SUMIFS(請求記録!$AC$6:$AC$3005,請求記録!$B$6:$B$3005,$A151,請求記録!$X$6:$X$3005,H$5))))</f>
        <v/>
      </c>
      <c r="I151" s="19">
        <f>IF($A151="","",IF(COUNTIFS(請求記録!$B$6:$B$3005,$A151,請求記録!$X$6:$X$3005,I$5,請求記録!$AD$6:$AD$3005,"保留中")&gt;0,"保留",IF(COUNTIFS(請求記録!$B$6:$B$3005,$A151,請求記録!$X$6:$X$3005,I$5)=0,"",SUMIFS(請求記録!$AC$6:$AC$3005,請求記録!$B$6:$B$3005,$A151,請求記録!$X$6:$X$3005,I$5))))</f>
        <v/>
      </c>
      <c r="J151" s="19">
        <f>IF($A151="","",IF(COUNTIFS(請求記録!$B$6:$B$3005,$A151,請求記録!$X$6:$X$3005,J$5,請求記録!$AD$6:$AD$3005,"保留中")&gt;0,"保留",IF(COUNTIFS(請求記録!$B$6:$B$3005,$A151,請求記録!$X$6:$X$3005,J$5)=0,"",SUMIFS(請求記録!$AC$6:$AC$3005,請求記録!$B$6:$B$3005,$A151,請求記録!$X$6:$X$3005,J$5))))</f>
        <v/>
      </c>
      <c r="K151" s="19">
        <f>IF($A151="","",IF(COUNTIFS(請求記録!$B$6:$B$3005,$A151,請求記録!$X$6:$X$3005,K$5,請求記録!$AD$6:$AD$3005,"保留中")&gt;0,"保留",IF(COUNTIFS(請求記録!$B$6:$B$3005,$A151,請求記録!$X$6:$X$3005,K$5)=0,"",SUMIFS(請求記録!$AC$6:$AC$3005,請求記録!$B$6:$B$3005,$A151,請求記録!$X$6:$X$3005,K$5))))</f>
        <v/>
      </c>
      <c r="L151" s="19">
        <f>IF($A151="","",IF(COUNTIFS(請求記録!$B$6:$B$3005,$A151,請求記録!$X$6:$X$3005,L$5,請求記録!$AD$6:$AD$3005,"保留中")&gt;0,"保留",IF(COUNTIFS(請求記録!$B$6:$B$3005,$A151,請求記録!$X$6:$X$3005,L$5)=0,"",SUMIFS(請求記録!$AC$6:$AC$3005,請求記録!$B$6:$B$3005,$A151,請求記録!$X$6:$X$3005,L$5))))</f>
        <v/>
      </c>
      <c r="M151" s="19">
        <f>IF($A151="","",IF(COUNTIFS(請求記録!$B$6:$B$3005,$A151,請求記録!$X$6:$X$3005,M$5,請求記録!$AD$6:$AD$3005,"保留中")&gt;0,"保留",IF(COUNTIFS(請求記録!$B$6:$B$3005,$A151,請求記録!$X$6:$X$3005,M$5)=0,"",SUMIFS(請求記録!$AC$6:$AC$3005,請求記録!$B$6:$B$3005,$A151,請求記録!$X$6:$X$3005,M$5))))</f>
        <v/>
      </c>
      <c r="N151" s="19">
        <f>IF($A151="","",IF(COUNTIFS(請求記録!$B$6:$B$3005,$A151,請求記録!$X$6:$X$3005,N$5,請求記録!$AD$6:$AD$3005,"保留中")&gt;0,"保留",IF(COUNTIFS(請求記録!$B$6:$B$3005,$A151,請求記録!$X$6:$X$3005,N$5)=0,"",SUMIFS(請求記録!$AC$6:$AC$3005,請求記録!$B$6:$B$3005,$A151,請求記録!$X$6:$X$3005,N$5))))</f>
        <v/>
      </c>
      <c r="O151" s="19">
        <f>IF($A151="","",IF(COUNTIFS(請求記録!$B$6:$B$3005,$A151,請求記録!$X$6:$X$3005,O$5,請求記録!$AD$6:$AD$3005,"保留中")&gt;0,"保留",IF(COUNTIFS(請求記録!$B$6:$B$3005,$A151,請求記録!$X$6:$X$3005,O$5)=0,"",SUMIFS(請求記録!$AC$6:$AC$3005,請求記録!$B$6:$B$3005,$A151,請求記録!$X$6:$X$3005,O$5))))</f>
        <v/>
      </c>
      <c r="P151" s="19">
        <f>IF($A151="","",IF(COUNTIFS(請求記録!$B$6:$B$3005,$A151,請求記録!$X$6:$X$3005,P$5,請求記録!$AD$6:$AD$3005,"保留中")&gt;0,"保留",IF(COUNTIFS(請求記録!$B$6:$B$3005,$A151,請求記録!$X$6:$X$3005,P$5)=0,"",SUMIFS(請求記録!$AC$6:$AC$3005,請求記録!$B$6:$B$3005,$A151,請求記録!$X$6:$X$3005,P$5))))</f>
        <v/>
      </c>
      <c r="Q151" s="19">
        <f>IF($A151="","",IF(COUNTIFS(請求記録!$B$6:$B$3005,$A151,請求記録!$X$6:$X$3005,Q$5,請求記録!$AD$6:$AD$3005,"保留中")&gt;0,"保留",IF(COUNTIFS(請求記録!$B$6:$B$3005,$A151,請求記録!$X$6:$X$3005,Q$5)=0,"",SUMIFS(請求記録!$AC$6:$AC$3005,請求記録!$B$6:$B$3005,$A151,請求記録!$X$6:$X$3005,Q$5))))</f>
        <v/>
      </c>
      <c r="R151" s="19">
        <f>IF($A151="","",IF(COUNTIFS(請求記録!$B$6:$B$3005,$A151,請求記録!$X$6:$X$3005,R$5,請求記録!$AD$6:$AD$3005,"保留中")&gt;0,"保留",IF(COUNTIFS(請求記録!$B$6:$B$3005,$A151,請求記録!$X$6:$X$3005,R$5)=0,"",SUMIFS(請求記録!$AC$6:$AC$3005,請求記録!$B$6:$B$3005,$A151,請求記録!$X$6:$X$3005,R$5))))</f>
        <v/>
      </c>
      <c r="S151" s="19">
        <f>IF($A151="","",IF(COUNTIFS(請求記録!$B$6:$B$3005,$A151,請求記録!$X$6:$X$3005,S$5,請求記録!$AD$6:$AD$3005,"保留中")&gt;0,"保留",IF(COUNTIFS(請求記録!$B$6:$B$3005,$A151,請求記録!$X$6:$X$3005,S$5)=0,"",SUMIFS(請求記録!$AC$6:$AC$3005,請求記録!$B$6:$B$3005,$A151,請求記録!$X$6:$X$3005,S$5))))</f>
        <v/>
      </c>
      <c r="T151" s="19">
        <f>IF($A151="","",IF(COUNTIFS(請求記録!$B$6:$B$3005,$A151,請求記録!$X$6:$X$3005,T$5,請求記録!$AD$6:$AD$3005,"保留中")&gt;0,"保留",IF(COUNTIFS(請求記録!$B$6:$B$3005,$A151,請求記録!$X$6:$X$3005,T$5)=0,"",SUMIFS(請求記録!$AC$6:$AC$3005,請求記録!$B$6:$B$3005,$A151,請求記録!$X$6:$X$3005,T$5))))</f>
        <v/>
      </c>
      <c r="U151" s="19">
        <f>IF($A151="","",IF(COUNTIFS(請求記録!$B$6:$B$3005,$A151,請求記録!$X$6:$X$3005,U$5,請求記録!$AD$6:$AD$3005,"保留中")&gt;0,"保留",IF(COUNTIFS(請求記録!$B$6:$B$3005,$A151,請求記録!$X$6:$X$3005,U$5)=0,"",SUMIFS(請求記録!$AC$6:$AC$3005,請求記録!$B$6:$B$3005,$A151,請求記録!$X$6:$X$3005,U$5))))</f>
        <v/>
      </c>
      <c r="V151" s="19">
        <f>IF($A151="","",IF(COUNTIFS(請求記録!$B$6:$B$3005,$A151,請求記録!$X$6:$X$3005,V$5,請求記録!$AD$6:$AD$3005,"保留中")&gt;0,"保留",IF(COUNTIFS(請求記録!$B$6:$B$3005,$A151,請求記録!$X$6:$X$3005,V$5)=0,"",SUMIFS(請求記録!$AC$6:$AC$3005,請求記録!$B$6:$B$3005,$A151,請求記録!$X$6:$X$3005,V$5))))</f>
        <v/>
      </c>
      <c r="W151" s="19">
        <f>IF($A151="","",IF(COUNTIFS(請求記録!$B$6:$B$3005,$A151,請求記録!$X$6:$X$3005,W$5,請求記録!$AD$6:$AD$3005,"保留中")&gt;0,"保留",IF(COUNTIFS(請求記録!$B$6:$B$3005,$A151,請求記録!$X$6:$X$3005,W$5)=0,"",SUMIFS(請求記録!$AC$6:$AC$3005,請求記録!$B$6:$B$3005,$A151,請求記録!$X$6:$X$3005,W$5))))</f>
        <v/>
      </c>
      <c r="X151" s="19">
        <f>IF($A151="","",IF(COUNTIFS(請求記録!$B$6:$B$3005,$A151,請求記録!$X$6:$X$3005,X$5,請求記録!$AD$6:$AD$3005,"保留中")&gt;0,"保留",IF(COUNTIFS(請求記録!$B$6:$B$3005,$A151,請求記録!$X$6:$X$3005,X$5)=0,"",SUMIFS(請求記録!$AC$6:$AC$3005,請求記録!$B$6:$B$3005,$A151,請求記録!$X$6:$X$3005,X$5))))</f>
        <v/>
      </c>
      <c r="Y151" s="19">
        <f>IF($A151="","",IF(COUNTIFS(請求記録!$B$6:$B$3005,$A151,請求記録!$X$6:$X$3005,Y$5,請求記録!$AD$6:$AD$3005,"保留中")&gt;0,"保留",IF(COUNTIFS(請求記録!$B$6:$B$3005,$A151,請求記録!$X$6:$X$3005,Y$5)=0,"",SUMIFS(請求記録!$AC$6:$AC$3005,請求記録!$B$6:$B$3005,$A151,請求記録!$X$6:$X$3005,Y$5))))</f>
        <v/>
      </c>
      <c r="Z151" s="19">
        <f>IF($A151="","",IF(COUNTIFS(請求記録!$B$6:$B$3005,$A151,請求記録!$X$6:$X$3005,Z$5,請求記録!$AD$6:$AD$3005,"保留中")&gt;0,"保留",IF(COUNTIFS(請求記録!$B$6:$B$3005,$A151,請求記録!$X$6:$X$3005,Z$5)=0,"",SUMIFS(請求記録!$AC$6:$AC$3005,請求記録!$B$6:$B$3005,$A151,請求記録!$X$6:$X$3005,Z$5))))</f>
        <v/>
      </c>
      <c r="AA151" s="19">
        <f>IF($A151="","",IF(COUNTIFS(請求記録!$B$6:$B$3005,$A151,請求記録!$X$6:$X$3005,AA$5,請求記録!$AD$6:$AD$3005,"保留中")&gt;0,"保留",IF(COUNTIFS(請求記録!$B$6:$B$3005,$A151,請求記録!$X$6:$X$3005,AA$5)=0,"",SUMIFS(請求記録!$AC$6:$AC$3005,請求記録!$B$6:$B$3005,$A151,請求記録!$X$6:$X$3005,AA$5))))</f>
        <v/>
      </c>
      <c r="AB151">
        <f>IF(職員マスタ!P151="保留中",職員マスタ!M151,"")</f>
        <v/>
      </c>
    </row>
    <row r="152">
      <c r="A152">
        <f>IF(職員マスタ!A152="","",職員マスタ!A152)</f>
        <v/>
      </c>
      <c r="B152">
        <f>IF($A152="","",職員マスタ!B152)</f>
        <v/>
      </c>
      <c r="C152">
        <f>IF($A152="","",職員マスタ!C152)</f>
        <v/>
      </c>
      <c r="D152" s="19">
        <f>IF($A152="","",IF(COUNTIFS(請求記録!$B$6:$B$3005,$A152,請求記録!$X$6:$X$3005,D$5,請求記録!$AD$6:$AD$3005,"保留中")&gt;0,"保留",IF(COUNTIFS(請求記録!$B$6:$B$3005,$A152,請求記録!$X$6:$X$3005,D$5)=0,"",SUMIFS(請求記録!$AC$6:$AC$3005,請求記録!$B$6:$B$3005,$A152,請求記録!$X$6:$X$3005,D$5))))</f>
        <v/>
      </c>
      <c r="E152" s="19">
        <f>IF($A152="","",IF(COUNTIFS(請求記録!$B$6:$B$3005,$A152,請求記録!$X$6:$X$3005,E$5,請求記録!$AD$6:$AD$3005,"保留中")&gt;0,"保留",IF(COUNTIFS(請求記録!$B$6:$B$3005,$A152,請求記録!$X$6:$X$3005,E$5)=0,"",SUMIFS(請求記録!$AC$6:$AC$3005,請求記録!$B$6:$B$3005,$A152,請求記録!$X$6:$X$3005,E$5))))</f>
        <v/>
      </c>
      <c r="F152" s="19">
        <f>IF($A152="","",IF(COUNTIFS(請求記録!$B$6:$B$3005,$A152,請求記録!$X$6:$X$3005,F$5,請求記録!$AD$6:$AD$3005,"保留中")&gt;0,"保留",IF(COUNTIFS(請求記録!$B$6:$B$3005,$A152,請求記録!$X$6:$X$3005,F$5)=0,"",SUMIFS(請求記録!$AC$6:$AC$3005,請求記録!$B$6:$B$3005,$A152,請求記録!$X$6:$X$3005,F$5))))</f>
        <v/>
      </c>
      <c r="G152" s="19">
        <f>IF($A152="","",IF(COUNTIFS(請求記録!$B$6:$B$3005,$A152,請求記録!$X$6:$X$3005,G$5,請求記録!$AD$6:$AD$3005,"保留中")&gt;0,"保留",IF(COUNTIFS(請求記録!$B$6:$B$3005,$A152,請求記録!$X$6:$X$3005,G$5)=0,"",SUMIFS(請求記録!$AC$6:$AC$3005,請求記録!$B$6:$B$3005,$A152,請求記録!$X$6:$X$3005,G$5))))</f>
        <v/>
      </c>
      <c r="H152" s="19">
        <f>IF($A152="","",IF(COUNTIFS(請求記録!$B$6:$B$3005,$A152,請求記録!$X$6:$X$3005,H$5,請求記録!$AD$6:$AD$3005,"保留中")&gt;0,"保留",IF(COUNTIFS(請求記録!$B$6:$B$3005,$A152,請求記録!$X$6:$X$3005,H$5)=0,"",SUMIFS(請求記録!$AC$6:$AC$3005,請求記録!$B$6:$B$3005,$A152,請求記録!$X$6:$X$3005,H$5))))</f>
        <v/>
      </c>
      <c r="I152" s="19">
        <f>IF($A152="","",IF(COUNTIFS(請求記録!$B$6:$B$3005,$A152,請求記録!$X$6:$X$3005,I$5,請求記録!$AD$6:$AD$3005,"保留中")&gt;0,"保留",IF(COUNTIFS(請求記録!$B$6:$B$3005,$A152,請求記録!$X$6:$X$3005,I$5)=0,"",SUMIFS(請求記録!$AC$6:$AC$3005,請求記録!$B$6:$B$3005,$A152,請求記録!$X$6:$X$3005,I$5))))</f>
        <v/>
      </c>
      <c r="J152" s="19">
        <f>IF($A152="","",IF(COUNTIFS(請求記録!$B$6:$B$3005,$A152,請求記録!$X$6:$X$3005,J$5,請求記録!$AD$6:$AD$3005,"保留中")&gt;0,"保留",IF(COUNTIFS(請求記録!$B$6:$B$3005,$A152,請求記録!$X$6:$X$3005,J$5)=0,"",SUMIFS(請求記録!$AC$6:$AC$3005,請求記録!$B$6:$B$3005,$A152,請求記録!$X$6:$X$3005,J$5))))</f>
        <v/>
      </c>
      <c r="K152" s="19">
        <f>IF($A152="","",IF(COUNTIFS(請求記録!$B$6:$B$3005,$A152,請求記録!$X$6:$X$3005,K$5,請求記録!$AD$6:$AD$3005,"保留中")&gt;0,"保留",IF(COUNTIFS(請求記録!$B$6:$B$3005,$A152,請求記録!$X$6:$X$3005,K$5)=0,"",SUMIFS(請求記録!$AC$6:$AC$3005,請求記録!$B$6:$B$3005,$A152,請求記録!$X$6:$X$3005,K$5))))</f>
        <v/>
      </c>
      <c r="L152" s="19">
        <f>IF($A152="","",IF(COUNTIFS(請求記録!$B$6:$B$3005,$A152,請求記録!$X$6:$X$3005,L$5,請求記録!$AD$6:$AD$3005,"保留中")&gt;0,"保留",IF(COUNTIFS(請求記録!$B$6:$B$3005,$A152,請求記録!$X$6:$X$3005,L$5)=0,"",SUMIFS(請求記録!$AC$6:$AC$3005,請求記録!$B$6:$B$3005,$A152,請求記録!$X$6:$X$3005,L$5))))</f>
        <v/>
      </c>
      <c r="M152" s="19">
        <f>IF($A152="","",IF(COUNTIFS(請求記録!$B$6:$B$3005,$A152,請求記録!$X$6:$X$3005,M$5,請求記録!$AD$6:$AD$3005,"保留中")&gt;0,"保留",IF(COUNTIFS(請求記録!$B$6:$B$3005,$A152,請求記録!$X$6:$X$3005,M$5)=0,"",SUMIFS(請求記録!$AC$6:$AC$3005,請求記録!$B$6:$B$3005,$A152,請求記録!$X$6:$X$3005,M$5))))</f>
        <v/>
      </c>
      <c r="N152" s="19">
        <f>IF($A152="","",IF(COUNTIFS(請求記録!$B$6:$B$3005,$A152,請求記録!$X$6:$X$3005,N$5,請求記録!$AD$6:$AD$3005,"保留中")&gt;0,"保留",IF(COUNTIFS(請求記録!$B$6:$B$3005,$A152,請求記録!$X$6:$X$3005,N$5)=0,"",SUMIFS(請求記録!$AC$6:$AC$3005,請求記録!$B$6:$B$3005,$A152,請求記録!$X$6:$X$3005,N$5))))</f>
        <v/>
      </c>
      <c r="O152" s="19">
        <f>IF($A152="","",IF(COUNTIFS(請求記録!$B$6:$B$3005,$A152,請求記録!$X$6:$X$3005,O$5,請求記録!$AD$6:$AD$3005,"保留中")&gt;0,"保留",IF(COUNTIFS(請求記録!$B$6:$B$3005,$A152,請求記録!$X$6:$X$3005,O$5)=0,"",SUMIFS(請求記録!$AC$6:$AC$3005,請求記録!$B$6:$B$3005,$A152,請求記録!$X$6:$X$3005,O$5))))</f>
        <v/>
      </c>
      <c r="P152" s="19">
        <f>IF($A152="","",IF(COUNTIFS(請求記録!$B$6:$B$3005,$A152,請求記録!$X$6:$X$3005,P$5,請求記録!$AD$6:$AD$3005,"保留中")&gt;0,"保留",IF(COUNTIFS(請求記録!$B$6:$B$3005,$A152,請求記録!$X$6:$X$3005,P$5)=0,"",SUMIFS(請求記録!$AC$6:$AC$3005,請求記録!$B$6:$B$3005,$A152,請求記録!$X$6:$X$3005,P$5))))</f>
        <v/>
      </c>
      <c r="Q152" s="19">
        <f>IF($A152="","",IF(COUNTIFS(請求記録!$B$6:$B$3005,$A152,請求記録!$X$6:$X$3005,Q$5,請求記録!$AD$6:$AD$3005,"保留中")&gt;0,"保留",IF(COUNTIFS(請求記録!$B$6:$B$3005,$A152,請求記録!$X$6:$X$3005,Q$5)=0,"",SUMIFS(請求記録!$AC$6:$AC$3005,請求記録!$B$6:$B$3005,$A152,請求記録!$X$6:$X$3005,Q$5))))</f>
        <v/>
      </c>
      <c r="R152" s="19">
        <f>IF($A152="","",IF(COUNTIFS(請求記録!$B$6:$B$3005,$A152,請求記録!$X$6:$X$3005,R$5,請求記録!$AD$6:$AD$3005,"保留中")&gt;0,"保留",IF(COUNTIFS(請求記録!$B$6:$B$3005,$A152,請求記録!$X$6:$X$3005,R$5)=0,"",SUMIFS(請求記録!$AC$6:$AC$3005,請求記録!$B$6:$B$3005,$A152,請求記録!$X$6:$X$3005,R$5))))</f>
        <v/>
      </c>
      <c r="S152" s="19">
        <f>IF($A152="","",IF(COUNTIFS(請求記録!$B$6:$B$3005,$A152,請求記録!$X$6:$X$3005,S$5,請求記録!$AD$6:$AD$3005,"保留中")&gt;0,"保留",IF(COUNTIFS(請求記録!$B$6:$B$3005,$A152,請求記録!$X$6:$X$3005,S$5)=0,"",SUMIFS(請求記録!$AC$6:$AC$3005,請求記録!$B$6:$B$3005,$A152,請求記録!$X$6:$X$3005,S$5))))</f>
        <v/>
      </c>
      <c r="T152" s="19">
        <f>IF($A152="","",IF(COUNTIFS(請求記録!$B$6:$B$3005,$A152,請求記録!$X$6:$X$3005,T$5,請求記録!$AD$6:$AD$3005,"保留中")&gt;0,"保留",IF(COUNTIFS(請求記録!$B$6:$B$3005,$A152,請求記録!$X$6:$X$3005,T$5)=0,"",SUMIFS(請求記録!$AC$6:$AC$3005,請求記録!$B$6:$B$3005,$A152,請求記録!$X$6:$X$3005,T$5))))</f>
        <v/>
      </c>
      <c r="U152" s="19">
        <f>IF($A152="","",IF(COUNTIFS(請求記録!$B$6:$B$3005,$A152,請求記録!$X$6:$X$3005,U$5,請求記録!$AD$6:$AD$3005,"保留中")&gt;0,"保留",IF(COUNTIFS(請求記録!$B$6:$B$3005,$A152,請求記録!$X$6:$X$3005,U$5)=0,"",SUMIFS(請求記録!$AC$6:$AC$3005,請求記録!$B$6:$B$3005,$A152,請求記録!$X$6:$X$3005,U$5))))</f>
        <v/>
      </c>
      <c r="V152" s="19">
        <f>IF($A152="","",IF(COUNTIFS(請求記録!$B$6:$B$3005,$A152,請求記録!$X$6:$X$3005,V$5,請求記録!$AD$6:$AD$3005,"保留中")&gt;0,"保留",IF(COUNTIFS(請求記録!$B$6:$B$3005,$A152,請求記録!$X$6:$X$3005,V$5)=0,"",SUMIFS(請求記録!$AC$6:$AC$3005,請求記録!$B$6:$B$3005,$A152,請求記録!$X$6:$X$3005,V$5))))</f>
        <v/>
      </c>
      <c r="W152" s="19">
        <f>IF($A152="","",IF(COUNTIFS(請求記録!$B$6:$B$3005,$A152,請求記録!$X$6:$X$3005,W$5,請求記録!$AD$6:$AD$3005,"保留中")&gt;0,"保留",IF(COUNTIFS(請求記録!$B$6:$B$3005,$A152,請求記録!$X$6:$X$3005,W$5)=0,"",SUMIFS(請求記録!$AC$6:$AC$3005,請求記録!$B$6:$B$3005,$A152,請求記録!$X$6:$X$3005,W$5))))</f>
        <v/>
      </c>
      <c r="X152" s="19">
        <f>IF($A152="","",IF(COUNTIFS(請求記録!$B$6:$B$3005,$A152,請求記録!$X$6:$X$3005,X$5,請求記録!$AD$6:$AD$3005,"保留中")&gt;0,"保留",IF(COUNTIFS(請求記録!$B$6:$B$3005,$A152,請求記録!$X$6:$X$3005,X$5)=0,"",SUMIFS(請求記録!$AC$6:$AC$3005,請求記録!$B$6:$B$3005,$A152,請求記録!$X$6:$X$3005,X$5))))</f>
        <v/>
      </c>
      <c r="Y152" s="19">
        <f>IF($A152="","",IF(COUNTIFS(請求記録!$B$6:$B$3005,$A152,請求記録!$X$6:$X$3005,Y$5,請求記録!$AD$6:$AD$3005,"保留中")&gt;0,"保留",IF(COUNTIFS(請求記録!$B$6:$B$3005,$A152,請求記録!$X$6:$X$3005,Y$5)=0,"",SUMIFS(請求記録!$AC$6:$AC$3005,請求記録!$B$6:$B$3005,$A152,請求記録!$X$6:$X$3005,Y$5))))</f>
        <v/>
      </c>
      <c r="Z152" s="19">
        <f>IF($A152="","",IF(COUNTIFS(請求記録!$B$6:$B$3005,$A152,請求記録!$X$6:$X$3005,Z$5,請求記録!$AD$6:$AD$3005,"保留中")&gt;0,"保留",IF(COUNTIFS(請求記録!$B$6:$B$3005,$A152,請求記録!$X$6:$X$3005,Z$5)=0,"",SUMIFS(請求記録!$AC$6:$AC$3005,請求記録!$B$6:$B$3005,$A152,請求記録!$X$6:$X$3005,Z$5))))</f>
        <v/>
      </c>
      <c r="AA152" s="19">
        <f>IF($A152="","",IF(COUNTIFS(請求記録!$B$6:$B$3005,$A152,請求記録!$X$6:$X$3005,AA$5,請求記録!$AD$6:$AD$3005,"保留中")&gt;0,"保留",IF(COUNTIFS(請求記録!$B$6:$B$3005,$A152,請求記録!$X$6:$X$3005,AA$5)=0,"",SUMIFS(請求記録!$AC$6:$AC$3005,請求記録!$B$6:$B$3005,$A152,請求記録!$X$6:$X$3005,AA$5))))</f>
        <v/>
      </c>
      <c r="AB152">
        <f>IF(職員マスタ!P152="保留中",職員マスタ!M152,"")</f>
        <v/>
      </c>
    </row>
    <row r="153">
      <c r="A153">
        <f>IF(職員マスタ!A153="","",職員マスタ!A153)</f>
        <v/>
      </c>
      <c r="B153">
        <f>IF($A153="","",職員マスタ!B153)</f>
        <v/>
      </c>
      <c r="C153">
        <f>IF($A153="","",職員マスタ!C153)</f>
        <v/>
      </c>
      <c r="D153" s="19">
        <f>IF($A153="","",IF(COUNTIFS(請求記録!$B$6:$B$3005,$A153,請求記録!$X$6:$X$3005,D$5,請求記録!$AD$6:$AD$3005,"保留中")&gt;0,"保留",IF(COUNTIFS(請求記録!$B$6:$B$3005,$A153,請求記録!$X$6:$X$3005,D$5)=0,"",SUMIFS(請求記録!$AC$6:$AC$3005,請求記録!$B$6:$B$3005,$A153,請求記録!$X$6:$X$3005,D$5))))</f>
        <v/>
      </c>
      <c r="E153" s="19">
        <f>IF($A153="","",IF(COUNTIFS(請求記録!$B$6:$B$3005,$A153,請求記録!$X$6:$X$3005,E$5,請求記録!$AD$6:$AD$3005,"保留中")&gt;0,"保留",IF(COUNTIFS(請求記録!$B$6:$B$3005,$A153,請求記録!$X$6:$X$3005,E$5)=0,"",SUMIFS(請求記録!$AC$6:$AC$3005,請求記録!$B$6:$B$3005,$A153,請求記録!$X$6:$X$3005,E$5))))</f>
        <v/>
      </c>
      <c r="F153" s="19">
        <f>IF($A153="","",IF(COUNTIFS(請求記録!$B$6:$B$3005,$A153,請求記録!$X$6:$X$3005,F$5,請求記録!$AD$6:$AD$3005,"保留中")&gt;0,"保留",IF(COUNTIFS(請求記録!$B$6:$B$3005,$A153,請求記録!$X$6:$X$3005,F$5)=0,"",SUMIFS(請求記録!$AC$6:$AC$3005,請求記録!$B$6:$B$3005,$A153,請求記録!$X$6:$X$3005,F$5))))</f>
        <v/>
      </c>
      <c r="G153" s="19">
        <f>IF($A153="","",IF(COUNTIFS(請求記録!$B$6:$B$3005,$A153,請求記録!$X$6:$X$3005,G$5,請求記録!$AD$6:$AD$3005,"保留中")&gt;0,"保留",IF(COUNTIFS(請求記録!$B$6:$B$3005,$A153,請求記録!$X$6:$X$3005,G$5)=0,"",SUMIFS(請求記録!$AC$6:$AC$3005,請求記録!$B$6:$B$3005,$A153,請求記録!$X$6:$X$3005,G$5))))</f>
        <v/>
      </c>
      <c r="H153" s="19">
        <f>IF($A153="","",IF(COUNTIFS(請求記録!$B$6:$B$3005,$A153,請求記録!$X$6:$X$3005,H$5,請求記録!$AD$6:$AD$3005,"保留中")&gt;0,"保留",IF(COUNTIFS(請求記録!$B$6:$B$3005,$A153,請求記録!$X$6:$X$3005,H$5)=0,"",SUMIFS(請求記録!$AC$6:$AC$3005,請求記録!$B$6:$B$3005,$A153,請求記録!$X$6:$X$3005,H$5))))</f>
        <v/>
      </c>
      <c r="I153" s="19">
        <f>IF($A153="","",IF(COUNTIFS(請求記録!$B$6:$B$3005,$A153,請求記録!$X$6:$X$3005,I$5,請求記録!$AD$6:$AD$3005,"保留中")&gt;0,"保留",IF(COUNTIFS(請求記録!$B$6:$B$3005,$A153,請求記録!$X$6:$X$3005,I$5)=0,"",SUMIFS(請求記録!$AC$6:$AC$3005,請求記録!$B$6:$B$3005,$A153,請求記録!$X$6:$X$3005,I$5))))</f>
        <v/>
      </c>
      <c r="J153" s="19">
        <f>IF($A153="","",IF(COUNTIFS(請求記録!$B$6:$B$3005,$A153,請求記録!$X$6:$X$3005,J$5,請求記録!$AD$6:$AD$3005,"保留中")&gt;0,"保留",IF(COUNTIFS(請求記録!$B$6:$B$3005,$A153,請求記録!$X$6:$X$3005,J$5)=0,"",SUMIFS(請求記録!$AC$6:$AC$3005,請求記録!$B$6:$B$3005,$A153,請求記録!$X$6:$X$3005,J$5))))</f>
        <v/>
      </c>
      <c r="K153" s="19">
        <f>IF($A153="","",IF(COUNTIFS(請求記録!$B$6:$B$3005,$A153,請求記録!$X$6:$X$3005,K$5,請求記録!$AD$6:$AD$3005,"保留中")&gt;0,"保留",IF(COUNTIFS(請求記録!$B$6:$B$3005,$A153,請求記録!$X$6:$X$3005,K$5)=0,"",SUMIFS(請求記録!$AC$6:$AC$3005,請求記録!$B$6:$B$3005,$A153,請求記録!$X$6:$X$3005,K$5))))</f>
        <v/>
      </c>
      <c r="L153" s="19">
        <f>IF($A153="","",IF(COUNTIFS(請求記録!$B$6:$B$3005,$A153,請求記録!$X$6:$X$3005,L$5,請求記録!$AD$6:$AD$3005,"保留中")&gt;0,"保留",IF(COUNTIFS(請求記録!$B$6:$B$3005,$A153,請求記録!$X$6:$X$3005,L$5)=0,"",SUMIFS(請求記録!$AC$6:$AC$3005,請求記録!$B$6:$B$3005,$A153,請求記録!$X$6:$X$3005,L$5))))</f>
        <v/>
      </c>
      <c r="M153" s="19">
        <f>IF($A153="","",IF(COUNTIFS(請求記録!$B$6:$B$3005,$A153,請求記録!$X$6:$X$3005,M$5,請求記録!$AD$6:$AD$3005,"保留中")&gt;0,"保留",IF(COUNTIFS(請求記録!$B$6:$B$3005,$A153,請求記録!$X$6:$X$3005,M$5)=0,"",SUMIFS(請求記録!$AC$6:$AC$3005,請求記録!$B$6:$B$3005,$A153,請求記録!$X$6:$X$3005,M$5))))</f>
        <v/>
      </c>
      <c r="N153" s="19">
        <f>IF($A153="","",IF(COUNTIFS(請求記録!$B$6:$B$3005,$A153,請求記録!$X$6:$X$3005,N$5,請求記録!$AD$6:$AD$3005,"保留中")&gt;0,"保留",IF(COUNTIFS(請求記録!$B$6:$B$3005,$A153,請求記録!$X$6:$X$3005,N$5)=0,"",SUMIFS(請求記録!$AC$6:$AC$3005,請求記録!$B$6:$B$3005,$A153,請求記録!$X$6:$X$3005,N$5))))</f>
        <v/>
      </c>
      <c r="O153" s="19">
        <f>IF($A153="","",IF(COUNTIFS(請求記録!$B$6:$B$3005,$A153,請求記録!$X$6:$X$3005,O$5,請求記録!$AD$6:$AD$3005,"保留中")&gt;0,"保留",IF(COUNTIFS(請求記録!$B$6:$B$3005,$A153,請求記録!$X$6:$X$3005,O$5)=0,"",SUMIFS(請求記録!$AC$6:$AC$3005,請求記録!$B$6:$B$3005,$A153,請求記録!$X$6:$X$3005,O$5))))</f>
        <v/>
      </c>
      <c r="P153" s="19">
        <f>IF($A153="","",IF(COUNTIFS(請求記録!$B$6:$B$3005,$A153,請求記録!$X$6:$X$3005,P$5,請求記録!$AD$6:$AD$3005,"保留中")&gt;0,"保留",IF(COUNTIFS(請求記録!$B$6:$B$3005,$A153,請求記録!$X$6:$X$3005,P$5)=0,"",SUMIFS(請求記録!$AC$6:$AC$3005,請求記録!$B$6:$B$3005,$A153,請求記録!$X$6:$X$3005,P$5))))</f>
        <v/>
      </c>
      <c r="Q153" s="19">
        <f>IF($A153="","",IF(COUNTIFS(請求記録!$B$6:$B$3005,$A153,請求記録!$X$6:$X$3005,Q$5,請求記録!$AD$6:$AD$3005,"保留中")&gt;0,"保留",IF(COUNTIFS(請求記録!$B$6:$B$3005,$A153,請求記録!$X$6:$X$3005,Q$5)=0,"",SUMIFS(請求記録!$AC$6:$AC$3005,請求記録!$B$6:$B$3005,$A153,請求記録!$X$6:$X$3005,Q$5))))</f>
        <v/>
      </c>
      <c r="R153" s="19">
        <f>IF($A153="","",IF(COUNTIFS(請求記録!$B$6:$B$3005,$A153,請求記録!$X$6:$X$3005,R$5,請求記録!$AD$6:$AD$3005,"保留中")&gt;0,"保留",IF(COUNTIFS(請求記録!$B$6:$B$3005,$A153,請求記録!$X$6:$X$3005,R$5)=0,"",SUMIFS(請求記録!$AC$6:$AC$3005,請求記録!$B$6:$B$3005,$A153,請求記録!$X$6:$X$3005,R$5))))</f>
        <v/>
      </c>
      <c r="S153" s="19">
        <f>IF($A153="","",IF(COUNTIFS(請求記録!$B$6:$B$3005,$A153,請求記録!$X$6:$X$3005,S$5,請求記録!$AD$6:$AD$3005,"保留中")&gt;0,"保留",IF(COUNTIFS(請求記録!$B$6:$B$3005,$A153,請求記録!$X$6:$X$3005,S$5)=0,"",SUMIFS(請求記録!$AC$6:$AC$3005,請求記録!$B$6:$B$3005,$A153,請求記録!$X$6:$X$3005,S$5))))</f>
        <v/>
      </c>
      <c r="T153" s="19">
        <f>IF($A153="","",IF(COUNTIFS(請求記録!$B$6:$B$3005,$A153,請求記録!$X$6:$X$3005,T$5,請求記録!$AD$6:$AD$3005,"保留中")&gt;0,"保留",IF(COUNTIFS(請求記録!$B$6:$B$3005,$A153,請求記録!$X$6:$X$3005,T$5)=0,"",SUMIFS(請求記録!$AC$6:$AC$3005,請求記録!$B$6:$B$3005,$A153,請求記録!$X$6:$X$3005,T$5))))</f>
        <v/>
      </c>
      <c r="U153" s="19">
        <f>IF($A153="","",IF(COUNTIFS(請求記録!$B$6:$B$3005,$A153,請求記録!$X$6:$X$3005,U$5,請求記録!$AD$6:$AD$3005,"保留中")&gt;0,"保留",IF(COUNTIFS(請求記録!$B$6:$B$3005,$A153,請求記録!$X$6:$X$3005,U$5)=0,"",SUMIFS(請求記録!$AC$6:$AC$3005,請求記録!$B$6:$B$3005,$A153,請求記録!$X$6:$X$3005,U$5))))</f>
        <v/>
      </c>
      <c r="V153" s="19">
        <f>IF($A153="","",IF(COUNTIFS(請求記録!$B$6:$B$3005,$A153,請求記録!$X$6:$X$3005,V$5,請求記録!$AD$6:$AD$3005,"保留中")&gt;0,"保留",IF(COUNTIFS(請求記録!$B$6:$B$3005,$A153,請求記録!$X$6:$X$3005,V$5)=0,"",SUMIFS(請求記録!$AC$6:$AC$3005,請求記録!$B$6:$B$3005,$A153,請求記録!$X$6:$X$3005,V$5))))</f>
        <v/>
      </c>
      <c r="W153" s="19">
        <f>IF($A153="","",IF(COUNTIFS(請求記録!$B$6:$B$3005,$A153,請求記録!$X$6:$X$3005,W$5,請求記録!$AD$6:$AD$3005,"保留中")&gt;0,"保留",IF(COUNTIFS(請求記録!$B$6:$B$3005,$A153,請求記録!$X$6:$X$3005,W$5)=0,"",SUMIFS(請求記録!$AC$6:$AC$3005,請求記録!$B$6:$B$3005,$A153,請求記録!$X$6:$X$3005,W$5))))</f>
        <v/>
      </c>
      <c r="X153" s="19">
        <f>IF($A153="","",IF(COUNTIFS(請求記録!$B$6:$B$3005,$A153,請求記録!$X$6:$X$3005,X$5,請求記録!$AD$6:$AD$3005,"保留中")&gt;0,"保留",IF(COUNTIFS(請求記録!$B$6:$B$3005,$A153,請求記録!$X$6:$X$3005,X$5)=0,"",SUMIFS(請求記録!$AC$6:$AC$3005,請求記録!$B$6:$B$3005,$A153,請求記録!$X$6:$X$3005,X$5))))</f>
        <v/>
      </c>
      <c r="Y153" s="19">
        <f>IF($A153="","",IF(COUNTIFS(請求記録!$B$6:$B$3005,$A153,請求記録!$X$6:$X$3005,Y$5,請求記録!$AD$6:$AD$3005,"保留中")&gt;0,"保留",IF(COUNTIFS(請求記録!$B$6:$B$3005,$A153,請求記録!$X$6:$X$3005,Y$5)=0,"",SUMIFS(請求記録!$AC$6:$AC$3005,請求記録!$B$6:$B$3005,$A153,請求記録!$X$6:$X$3005,Y$5))))</f>
        <v/>
      </c>
      <c r="Z153" s="19">
        <f>IF($A153="","",IF(COUNTIFS(請求記録!$B$6:$B$3005,$A153,請求記録!$X$6:$X$3005,Z$5,請求記録!$AD$6:$AD$3005,"保留中")&gt;0,"保留",IF(COUNTIFS(請求記録!$B$6:$B$3005,$A153,請求記録!$X$6:$X$3005,Z$5)=0,"",SUMIFS(請求記録!$AC$6:$AC$3005,請求記録!$B$6:$B$3005,$A153,請求記録!$X$6:$X$3005,Z$5))))</f>
        <v/>
      </c>
      <c r="AA153" s="19">
        <f>IF($A153="","",IF(COUNTIFS(請求記録!$B$6:$B$3005,$A153,請求記録!$X$6:$X$3005,AA$5,請求記録!$AD$6:$AD$3005,"保留中")&gt;0,"保留",IF(COUNTIFS(請求記録!$B$6:$B$3005,$A153,請求記録!$X$6:$X$3005,AA$5)=0,"",SUMIFS(請求記録!$AC$6:$AC$3005,請求記録!$B$6:$B$3005,$A153,請求記録!$X$6:$X$3005,AA$5))))</f>
        <v/>
      </c>
      <c r="AB153">
        <f>IF(職員マスタ!P153="保留中",職員マスタ!M153,"")</f>
        <v/>
      </c>
    </row>
    <row r="154">
      <c r="A154">
        <f>IF(職員マスタ!A154="","",職員マスタ!A154)</f>
        <v/>
      </c>
      <c r="B154">
        <f>IF($A154="","",職員マスタ!B154)</f>
        <v/>
      </c>
      <c r="C154">
        <f>IF($A154="","",職員マスタ!C154)</f>
        <v/>
      </c>
      <c r="D154" s="19">
        <f>IF($A154="","",IF(COUNTIFS(請求記録!$B$6:$B$3005,$A154,請求記録!$X$6:$X$3005,D$5,請求記録!$AD$6:$AD$3005,"保留中")&gt;0,"保留",IF(COUNTIFS(請求記録!$B$6:$B$3005,$A154,請求記録!$X$6:$X$3005,D$5)=0,"",SUMIFS(請求記録!$AC$6:$AC$3005,請求記録!$B$6:$B$3005,$A154,請求記録!$X$6:$X$3005,D$5))))</f>
        <v/>
      </c>
      <c r="E154" s="19">
        <f>IF($A154="","",IF(COUNTIFS(請求記録!$B$6:$B$3005,$A154,請求記録!$X$6:$X$3005,E$5,請求記録!$AD$6:$AD$3005,"保留中")&gt;0,"保留",IF(COUNTIFS(請求記録!$B$6:$B$3005,$A154,請求記録!$X$6:$X$3005,E$5)=0,"",SUMIFS(請求記録!$AC$6:$AC$3005,請求記録!$B$6:$B$3005,$A154,請求記録!$X$6:$X$3005,E$5))))</f>
        <v/>
      </c>
      <c r="F154" s="19">
        <f>IF($A154="","",IF(COUNTIFS(請求記録!$B$6:$B$3005,$A154,請求記録!$X$6:$X$3005,F$5,請求記録!$AD$6:$AD$3005,"保留中")&gt;0,"保留",IF(COUNTIFS(請求記録!$B$6:$B$3005,$A154,請求記録!$X$6:$X$3005,F$5)=0,"",SUMIFS(請求記録!$AC$6:$AC$3005,請求記録!$B$6:$B$3005,$A154,請求記録!$X$6:$X$3005,F$5))))</f>
        <v/>
      </c>
      <c r="G154" s="19">
        <f>IF($A154="","",IF(COUNTIFS(請求記録!$B$6:$B$3005,$A154,請求記録!$X$6:$X$3005,G$5,請求記録!$AD$6:$AD$3005,"保留中")&gt;0,"保留",IF(COUNTIFS(請求記録!$B$6:$B$3005,$A154,請求記録!$X$6:$X$3005,G$5)=0,"",SUMIFS(請求記録!$AC$6:$AC$3005,請求記録!$B$6:$B$3005,$A154,請求記録!$X$6:$X$3005,G$5))))</f>
        <v/>
      </c>
      <c r="H154" s="19">
        <f>IF($A154="","",IF(COUNTIFS(請求記録!$B$6:$B$3005,$A154,請求記録!$X$6:$X$3005,H$5,請求記録!$AD$6:$AD$3005,"保留中")&gt;0,"保留",IF(COUNTIFS(請求記録!$B$6:$B$3005,$A154,請求記録!$X$6:$X$3005,H$5)=0,"",SUMIFS(請求記録!$AC$6:$AC$3005,請求記録!$B$6:$B$3005,$A154,請求記録!$X$6:$X$3005,H$5))))</f>
        <v/>
      </c>
      <c r="I154" s="19">
        <f>IF($A154="","",IF(COUNTIFS(請求記録!$B$6:$B$3005,$A154,請求記録!$X$6:$X$3005,I$5,請求記録!$AD$6:$AD$3005,"保留中")&gt;0,"保留",IF(COUNTIFS(請求記録!$B$6:$B$3005,$A154,請求記録!$X$6:$X$3005,I$5)=0,"",SUMIFS(請求記録!$AC$6:$AC$3005,請求記録!$B$6:$B$3005,$A154,請求記録!$X$6:$X$3005,I$5))))</f>
        <v/>
      </c>
      <c r="J154" s="19">
        <f>IF($A154="","",IF(COUNTIFS(請求記録!$B$6:$B$3005,$A154,請求記録!$X$6:$X$3005,J$5,請求記録!$AD$6:$AD$3005,"保留中")&gt;0,"保留",IF(COUNTIFS(請求記録!$B$6:$B$3005,$A154,請求記録!$X$6:$X$3005,J$5)=0,"",SUMIFS(請求記録!$AC$6:$AC$3005,請求記録!$B$6:$B$3005,$A154,請求記録!$X$6:$X$3005,J$5))))</f>
        <v/>
      </c>
      <c r="K154" s="19">
        <f>IF($A154="","",IF(COUNTIFS(請求記録!$B$6:$B$3005,$A154,請求記録!$X$6:$X$3005,K$5,請求記録!$AD$6:$AD$3005,"保留中")&gt;0,"保留",IF(COUNTIFS(請求記録!$B$6:$B$3005,$A154,請求記録!$X$6:$X$3005,K$5)=0,"",SUMIFS(請求記録!$AC$6:$AC$3005,請求記録!$B$6:$B$3005,$A154,請求記録!$X$6:$X$3005,K$5))))</f>
        <v/>
      </c>
      <c r="L154" s="19">
        <f>IF($A154="","",IF(COUNTIFS(請求記録!$B$6:$B$3005,$A154,請求記録!$X$6:$X$3005,L$5,請求記録!$AD$6:$AD$3005,"保留中")&gt;0,"保留",IF(COUNTIFS(請求記録!$B$6:$B$3005,$A154,請求記録!$X$6:$X$3005,L$5)=0,"",SUMIFS(請求記録!$AC$6:$AC$3005,請求記録!$B$6:$B$3005,$A154,請求記録!$X$6:$X$3005,L$5))))</f>
        <v/>
      </c>
      <c r="M154" s="19">
        <f>IF($A154="","",IF(COUNTIFS(請求記録!$B$6:$B$3005,$A154,請求記録!$X$6:$X$3005,M$5,請求記録!$AD$6:$AD$3005,"保留中")&gt;0,"保留",IF(COUNTIFS(請求記録!$B$6:$B$3005,$A154,請求記録!$X$6:$X$3005,M$5)=0,"",SUMIFS(請求記録!$AC$6:$AC$3005,請求記録!$B$6:$B$3005,$A154,請求記録!$X$6:$X$3005,M$5))))</f>
        <v/>
      </c>
      <c r="N154" s="19">
        <f>IF($A154="","",IF(COUNTIFS(請求記録!$B$6:$B$3005,$A154,請求記録!$X$6:$X$3005,N$5,請求記録!$AD$6:$AD$3005,"保留中")&gt;0,"保留",IF(COUNTIFS(請求記録!$B$6:$B$3005,$A154,請求記録!$X$6:$X$3005,N$5)=0,"",SUMIFS(請求記録!$AC$6:$AC$3005,請求記録!$B$6:$B$3005,$A154,請求記録!$X$6:$X$3005,N$5))))</f>
        <v/>
      </c>
      <c r="O154" s="19">
        <f>IF($A154="","",IF(COUNTIFS(請求記録!$B$6:$B$3005,$A154,請求記録!$X$6:$X$3005,O$5,請求記録!$AD$6:$AD$3005,"保留中")&gt;0,"保留",IF(COUNTIFS(請求記録!$B$6:$B$3005,$A154,請求記録!$X$6:$X$3005,O$5)=0,"",SUMIFS(請求記録!$AC$6:$AC$3005,請求記録!$B$6:$B$3005,$A154,請求記録!$X$6:$X$3005,O$5))))</f>
        <v/>
      </c>
      <c r="P154" s="19">
        <f>IF($A154="","",IF(COUNTIFS(請求記録!$B$6:$B$3005,$A154,請求記録!$X$6:$X$3005,P$5,請求記録!$AD$6:$AD$3005,"保留中")&gt;0,"保留",IF(COUNTIFS(請求記録!$B$6:$B$3005,$A154,請求記録!$X$6:$X$3005,P$5)=0,"",SUMIFS(請求記録!$AC$6:$AC$3005,請求記録!$B$6:$B$3005,$A154,請求記録!$X$6:$X$3005,P$5))))</f>
        <v/>
      </c>
      <c r="Q154" s="19">
        <f>IF($A154="","",IF(COUNTIFS(請求記録!$B$6:$B$3005,$A154,請求記録!$X$6:$X$3005,Q$5,請求記録!$AD$6:$AD$3005,"保留中")&gt;0,"保留",IF(COUNTIFS(請求記録!$B$6:$B$3005,$A154,請求記録!$X$6:$X$3005,Q$5)=0,"",SUMIFS(請求記録!$AC$6:$AC$3005,請求記録!$B$6:$B$3005,$A154,請求記録!$X$6:$X$3005,Q$5))))</f>
        <v/>
      </c>
      <c r="R154" s="19">
        <f>IF($A154="","",IF(COUNTIFS(請求記録!$B$6:$B$3005,$A154,請求記録!$X$6:$X$3005,R$5,請求記録!$AD$6:$AD$3005,"保留中")&gt;0,"保留",IF(COUNTIFS(請求記録!$B$6:$B$3005,$A154,請求記録!$X$6:$X$3005,R$5)=0,"",SUMIFS(請求記録!$AC$6:$AC$3005,請求記録!$B$6:$B$3005,$A154,請求記録!$X$6:$X$3005,R$5))))</f>
        <v/>
      </c>
      <c r="S154" s="19">
        <f>IF($A154="","",IF(COUNTIFS(請求記録!$B$6:$B$3005,$A154,請求記録!$X$6:$X$3005,S$5,請求記録!$AD$6:$AD$3005,"保留中")&gt;0,"保留",IF(COUNTIFS(請求記録!$B$6:$B$3005,$A154,請求記録!$X$6:$X$3005,S$5)=0,"",SUMIFS(請求記録!$AC$6:$AC$3005,請求記録!$B$6:$B$3005,$A154,請求記録!$X$6:$X$3005,S$5))))</f>
        <v/>
      </c>
      <c r="T154" s="19">
        <f>IF($A154="","",IF(COUNTIFS(請求記録!$B$6:$B$3005,$A154,請求記録!$X$6:$X$3005,T$5,請求記録!$AD$6:$AD$3005,"保留中")&gt;0,"保留",IF(COUNTIFS(請求記録!$B$6:$B$3005,$A154,請求記録!$X$6:$X$3005,T$5)=0,"",SUMIFS(請求記録!$AC$6:$AC$3005,請求記録!$B$6:$B$3005,$A154,請求記録!$X$6:$X$3005,T$5))))</f>
        <v/>
      </c>
      <c r="U154" s="19">
        <f>IF($A154="","",IF(COUNTIFS(請求記録!$B$6:$B$3005,$A154,請求記録!$X$6:$X$3005,U$5,請求記録!$AD$6:$AD$3005,"保留中")&gt;0,"保留",IF(COUNTIFS(請求記録!$B$6:$B$3005,$A154,請求記録!$X$6:$X$3005,U$5)=0,"",SUMIFS(請求記録!$AC$6:$AC$3005,請求記録!$B$6:$B$3005,$A154,請求記録!$X$6:$X$3005,U$5))))</f>
        <v/>
      </c>
      <c r="V154" s="19">
        <f>IF($A154="","",IF(COUNTIFS(請求記録!$B$6:$B$3005,$A154,請求記録!$X$6:$X$3005,V$5,請求記録!$AD$6:$AD$3005,"保留中")&gt;0,"保留",IF(COUNTIFS(請求記録!$B$6:$B$3005,$A154,請求記録!$X$6:$X$3005,V$5)=0,"",SUMIFS(請求記録!$AC$6:$AC$3005,請求記録!$B$6:$B$3005,$A154,請求記録!$X$6:$X$3005,V$5))))</f>
        <v/>
      </c>
      <c r="W154" s="19">
        <f>IF($A154="","",IF(COUNTIFS(請求記録!$B$6:$B$3005,$A154,請求記録!$X$6:$X$3005,W$5,請求記録!$AD$6:$AD$3005,"保留中")&gt;0,"保留",IF(COUNTIFS(請求記録!$B$6:$B$3005,$A154,請求記録!$X$6:$X$3005,W$5)=0,"",SUMIFS(請求記録!$AC$6:$AC$3005,請求記録!$B$6:$B$3005,$A154,請求記録!$X$6:$X$3005,W$5))))</f>
        <v/>
      </c>
      <c r="X154" s="19">
        <f>IF($A154="","",IF(COUNTIFS(請求記録!$B$6:$B$3005,$A154,請求記録!$X$6:$X$3005,X$5,請求記録!$AD$6:$AD$3005,"保留中")&gt;0,"保留",IF(COUNTIFS(請求記録!$B$6:$B$3005,$A154,請求記録!$X$6:$X$3005,X$5)=0,"",SUMIFS(請求記録!$AC$6:$AC$3005,請求記録!$B$6:$B$3005,$A154,請求記録!$X$6:$X$3005,X$5))))</f>
        <v/>
      </c>
      <c r="Y154" s="19">
        <f>IF($A154="","",IF(COUNTIFS(請求記録!$B$6:$B$3005,$A154,請求記録!$X$6:$X$3005,Y$5,請求記録!$AD$6:$AD$3005,"保留中")&gt;0,"保留",IF(COUNTIFS(請求記録!$B$6:$B$3005,$A154,請求記録!$X$6:$X$3005,Y$5)=0,"",SUMIFS(請求記録!$AC$6:$AC$3005,請求記録!$B$6:$B$3005,$A154,請求記録!$X$6:$X$3005,Y$5))))</f>
        <v/>
      </c>
      <c r="Z154" s="19">
        <f>IF($A154="","",IF(COUNTIFS(請求記録!$B$6:$B$3005,$A154,請求記録!$X$6:$X$3005,Z$5,請求記録!$AD$6:$AD$3005,"保留中")&gt;0,"保留",IF(COUNTIFS(請求記録!$B$6:$B$3005,$A154,請求記録!$X$6:$X$3005,Z$5)=0,"",SUMIFS(請求記録!$AC$6:$AC$3005,請求記録!$B$6:$B$3005,$A154,請求記録!$X$6:$X$3005,Z$5))))</f>
        <v/>
      </c>
      <c r="AA154" s="19">
        <f>IF($A154="","",IF(COUNTIFS(請求記録!$B$6:$B$3005,$A154,請求記録!$X$6:$X$3005,AA$5,請求記録!$AD$6:$AD$3005,"保留中")&gt;0,"保留",IF(COUNTIFS(請求記録!$B$6:$B$3005,$A154,請求記録!$X$6:$X$3005,AA$5)=0,"",SUMIFS(請求記録!$AC$6:$AC$3005,請求記録!$B$6:$B$3005,$A154,請求記録!$X$6:$X$3005,AA$5))))</f>
        <v/>
      </c>
      <c r="AB154">
        <f>IF(職員マスタ!P154="保留中",職員マスタ!M154,"")</f>
        <v/>
      </c>
    </row>
    <row r="155">
      <c r="A155">
        <f>IF(職員マスタ!A155="","",職員マスタ!A155)</f>
        <v/>
      </c>
      <c r="B155">
        <f>IF($A155="","",職員マスタ!B155)</f>
        <v/>
      </c>
      <c r="C155">
        <f>IF($A155="","",職員マスタ!C155)</f>
        <v/>
      </c>
      <c r="D155" s="19">
        <f>IF($A155="","",IF(COUNTIFS(請求記録!$B$6:$B$3005,$A155,請求記録!$X$6:$X$3005,D$5,請求記録!$AD$6:$AD$3005,"保留中")&gt;0,"保留",IF(COUNTIFS(請求記録!$B$6:$B$3005,$A155,請求記録!$X$6:$X$3005,D$5)=0,"",SUMIFS(請求記録!$AC$6:$AC$3005,請求記録!$B$6:$B$3005,$A155,請求記録!$X$6:$X$3005,D$5))))</f>
        <v/>
      </c>
      <c r="E155" s="19">
        <f>IF($A155="","",IF(COUNTIFS(請求記録!$B$6:$B$3005,$A155,請求記録!$X$6:$X$3005,E$5,請求記録!$AD$6:$AD$3005,"保留中")&gt;0,"保留",IF(COUNTIFS(請求記録!$B$6:$B$3005,$A155,請求記録!$X$6:$X$3005,E$5)=0,"",SUMIFS(請求記録!$AC$6:$AC$3005,請求記録!$B$6:$B$3005,$A155,請求記録!$X$6:$X$3005,E$5))))</f>
        <v/>
      </c>
      <c r="F155" s="19">
        <f>IF($A155="","",IF(COUNTIFS(請求記録!$B$6:$B$3005,$A155,請求記録!$X$6:$X$3005,F$5,請求記録!$AD$6:$AD$3005,"保留中")&gt;0,"保留",IF(COUNTIFS(請求記録!$B$6:$B$3005,$A155,請求記録!$X$6:$X$3005,F$5)=0,"",SUMIFS(請求記録!$AC$6:$AC$3005,請求記録!$B$6:$B$3005,$A155,請求記録!$X$6:$X$3005,F$5))))</f>
        <v/>
      </c>
      <c r="G155" s="19">
        <f>IF($A155="","",IF(COUNTIFS(請求記録!$B$6:$B$3005,$A155,請求記録!$X$6:$X$3005,G$5,請求記録!$AD$6:$AD$3005,"保留中")&gt;0,"保留",IF(COUNTIFS(請求記録!$B$6:$B$3005,$A155,請求記録!$X$6:$X$3005,G$5)=0,"",SUMIFS(請求記録!$AC$6:$AC$3005,請求記録!$B$6:$B$3005,$A155,請求記録!$X$6:$X$3005,G$5))))</f>
        <v/>
      </c>
      <c r="H155" s="19">
        <f>IF($A155="","",IF(COUNTIFS(請求記録!$B$6:$B$3005,$A155,請求記録!$X$6:$X$3005,H$5,請求記録!$AD$6:$AD$3005,"保留中")&gt;0,"保留",IF(COUNTIFS(請求記録!$B$6:$B$3005,$A155,請求記録!$X$6:$X$3005,H$5)=0,"",SUMIFS(請求記録!$AC$6:$AC$3005,請求記録!$B$6:$B$3005,$A155,請求記録!$X$6:$X$3005,H$5))))</f>
        <v/>
      </c>
      <c r="I155" s="19">
        <f>IF($A155="","",IF(COUNTIFS(請求記録!$B$6:$B$3005,$A155,請求記録!$X$6:$X$3005,I$5,請求記録!$AD$6:$AD$3005,"保留中")&gt;0,"保留",IF(COUNTIFS(請求記録!$B$6:$B$3005,$A155,請求記録!$X$6:$X$3005,I$5)=0,"",SUMIFS(請求記録!$AC$6:$AC$3005,請求記録!$B$6:$B$3005,$A155,請求記録!$X$6:$X$3005,I$5))))</f>
        <v/>
      </c>
      <c r="J155" s="19">
        <f>IF($A155="","",IF(COUNTIFS(請求記録!$B$6:$B$3005,$A155,請求記録!$X$6:$X$3005,J$5,請求記録!$AD$6:$AD$3005,"保留中")&gt;0,"保留",IF(COUNTIFS(請求記録!$B$6:$B$3005,$A155,請求記録!$X$6:$X$3005,J$5)=0,"",SUMIFS(請求記録!$AC$6:$AC$3005,請求記録!$B$6:$B$3005,$A155,請求記録!$X$6:$X$3005,J$5))))</f>
        <v/>
      </c>
      <c r="K155" s="19">
        <f>IF($A155="","",IF(COUNTIFS(請求記録!$B$6:$B$3005,$A155,請求記録!$X$6:$X$3005,K$5,請求記録!$AD$6:$AD$3005,"保留中")&gt;0,"保留",IF(COUNTIFS(請求記録!$B$6:$B$3005,$A155,請求記録!$X$6:$X$3005,K$5)=0,"",SUMIFS(請求記録!$AC$6:$AC$3005,請求記録!$B$6:$B$3005,$A155,請求記録!$X$6:$X$3005,K$5))))</f>
        <v/>
      </c>
      <c r="L155" s="19">
        <f>IF($A155="","",IF(COUNTIFS(請求記録!$B$6:$B$3005,$A155,請求記録!$X$6:$X$3005,L$5,請求記録!$AD$6:$AD$3005,"保留中")&gt;0,"保留",IF(COUNTIFS(請求記録!$B$6:$B$3005,$A155,請求記録!$X$6:$X$3005,L$5)=0,"",SUMIFS(請求記録!$AC$6:$AC$3005,請求記録!$B$6:$B$3005,$A155,請求記録!$X$6:$X$3005,L$5))))</f>
        <v/>
      </c>
      <c r="M155" s="19">
        <f>IF($A155="","",IF(COUNTIFS(請求記録!$B$6:$B$3005,$A155,請求記録!$X$6:$X$3005,M$5,請求記録!$AD$6:$AD$3005,"保留中")&gt;0,"保留",IF(COUNTIFS(請求記録!$B$6:$B$3005,$A155,請求記録!$X$6:$X$3005,M$5)=0,"",SUMIFS(請求記録!$AC$6:$AC$3005,請求記録!$B$6:$B$3005,$A155,請求記録!$X$6:$X$3005,M$5))))</f>
        <v/>
      </c>
      <c r="N155" s="19">
        <f>IF($A155="","",IF(COUNTIFS(請求記録!$B$6:$B$3005,$A155,請求記録!$X$6:$X$3005,N$5,請求記録!$AD$6:$AD$3005,"保留中")&gt;0,"保留",IF(COUNTIFS(請求記録!$B$6:$B$3005,$A155,請求記録!$X$6:$X$3005,N$5)=0,"",SUMIFS(請求記録!$AC$6:$AC$3005,請求記録!$B$6:$B$3005,$A155,請求記録!$X$6:$X$3005,N$5))))</f>
        <v/>
      </c>
      <c r="O155" s="19">
        <f>IF($A155="","",IF(COUNTIFS(請求記録!$B$6:$B$3005,$A155,請求記録!$X$6:$X$3005,O$5,請求記録!$AD$6:$AD$3005,"保留中")&gt;0,"保留",IF(COUNTIFS(請求記録!$B$6:$B$3005,$A155,請求記録!$X$6:$X$3005,O$5)=0,"",SUMIFS(請求記録!$AC$6:$AC$3005,請求記録!$B$6:$B$3005,$A155,請求記録!$X$6:$X$3005,O$5))))</f>
        <v/>
      </c>
      <c r="P155" s="19">
        <f>IF($A155="","",IF(COUNTIFS(請求記録!$B$6:$B$3005,$A155,請求記録!$X$6:$X$3005,P$5,請求記録!$AD$6:$AD$3005,"保留中")&gt;0,"保留",IF(COUNTIFS(請求記録!$B$6:$B$3005,$A155,請求記録!$X$6:$X$3005,P$5)=0,"",SUMIFS(請求記録!$AC$6:$AC$3005,請求記録!$B$6:$B$3005,$A155,請求記録!$X$6:$X$3005,P$5))))</f>
        <v/>
      </c>
      <c r="Q155" s="19">
        <f>IF($A155="","",IF(COUNTIFS(請求記録!$B$6:$B$3005,$A155,請求記録!$X$6:$X$3005,Q$5,請求記録!$AD$6:$AD$3005,"保留中")&gt;0,"保留",IF(COUNTIFS(請求記録!$B$6:$B$3005,$A155,請求記録!$X$6:$X$3005,Q$5)=0,"",SUMIFS(請求記録!$AC$6:$AC$3005,請求記録!$B$6:$B$3005,$A155,請求記録!$X$6:$X$3005,Q$5))))</f>
        <v/>
      </c>
      <c r="R155" s="19">
        <f>IF($A155="","",IF(COUNTIFS(請求記録!$B$6:$B$3005,$A155,請求記録!$X$6:$X$3005,R$5,請求記録!$AD$6:$AD$3005,"保留中")&gt;0,"保留",IF(COUNTIFS(請求記録!$B$6:$B$3005,$A155,請求記録!$X$6:$X$3005,R$5)=0,"",SUMIFS(請求記録!$AC$6:$AC$3005,請求記録!$B$6:$B$3005,$A155,請求記録!$X$6:$X$3005,R$5))))</f>
        <v/>
      </c>
      <c r="S155" s="19">
        <f>IF($A155="","",IF(COUNTIFS(請求記録!$B$6:$B$3005,$A155,請求記録!$X$6:$X$3005,S$5,請求記録!$AD$6:$AD$3005,"保留中")&gt;0,"保留",IF(COUNTIFS(請求記録!$B$6:$B$3005,$A155,請求記録!$X$6:$X$3005,S$5)=0,"",SUMIFS(請求記録!$AC$6:$AC$3005,請求記録!$B$6:$B$3005,$A155,請求記録!$X$6:$X$3005,S$5))))</f>
        <v/>
      </c>
      <c r="T155" s="19">
        <f>IF($A155="","",IF(COUNTIFS(請求記録!$B$6:$B$3005,$A155,請求記録!$X$6:$X$3005,T$5,請求記録!$AD$6:$AD$3005,"保留中")&gt;0,"保留",IF(COUNTIFS(請求記録!$B$6:$B$3005,$A155,請求記録!$X$6:$X$3005,T$5)=0,"",SUMIFS(請求記録!$AC$6:$AC$3005,請求記録!$B$6:$B$3005,$A155,請求記録!$X$6:$X$3005,T$5))))</f>
        <v/>
      </c>
      <c r="U155" s="19">
        <f>IF($A155="","",IF(COUNTIFS(請求記録!$B$6:$B$3005,$A155,請求記録!$X$6:$X$3005,U$5,請求記録!$AD$6:$AD$3005,"保留中")&gt;0,"保留",IF(COUNTIFS(請求記録!$B$6:$B$3005,$A155,請求記録!$X$6:$X$3005,U$5)=0,"",SUMIFS(請求記録!$AC$6:$AC$3005,請求記録!$B$6:$B$3005,$A155,請求記録!$X$6:$X$3005,U$5))))</f>
        <v/>
      </c>
      <c r="V155" s="19">
        <f>IF($A155="","",IF(COUNTIFS(請求記録!$B$6:$B$3005,$A155,請求記録!$X$6:$X$3005,V$5,請求記録!$AD$6:$AD$3005,"保留中")&gt;0,"保留",IF(COUNTIFS(請求記録!$B$6:$B$3005,$A155,請求記録!$X$6:$X$3005,V$5)=0,"",SUMIFS(請求記録!$AC$6:$AC$3005,請求記録!$B$6:$B$3005,$A155,請求記録!$X$6:$X$3005,V$5))))</f>
        <v/>
      </c>
      <c r="W155" s="19">
        <f>IF($A155="","",IF(COUNTIFS(請求記録!$B$6:$B$3005,$A155,請求記録!$X$6:$X$3005,W$5,請求記録!$AD$6:$AD$3005,"保留中")&gt;0,"保留",IF(COUNTIFS(請求記録!$B$6:$B$3005,$A155,請求記録!$X$6:$X$3005,W$5)=0,"",SUMIFS(請求記録!$AC$6:$AC$3005,請求記録!$B$6:$B$3005,$A155,請求記録!$X$6:$X$3005,W$5))))</f>
        <v/>
      </c>
      <c r="X155" s="19">
        <f>IF($A155="","",IF(COUNTIFS(請求記録!$B$6:$B$3005,$A155,請求記録!$X$6:$X$3005,X$5,請求記録!$AD$6:$AD$3005,"保留中")&gt;0,"保留",IF(COUNTIFS(請求記録!$B$6:$B$3005,$A155,請求記録!$X$6:$X$3005,X$5)=0,"",SUMIFS(請求記録!$AC$6:$AC$3005,請求記録!$B$6:$B$3005,$A155,請求記録!$X$6:$X$3005,X$5))))</f>
        <v/>
      </c>
      <c r="Y155" s="19">
        <f>IF($A155="","",IF(COUNTIFS(請求記録!$B$6:$B$3005,$A155,請求記録!$X$6:$X$3005,Y$5,請求記録!$AD$6:$AD$3005,"保留中")&gt;0,"保留",IF(COUNTIFS(請求記録!$B$6:$B$3005,$A155,請求記録!$X$6:$X$3005,Y$5)=0,"",SUMIFS(請求記録!$AC$6:$AC$3005,請求記録!$B$6:$B$3005,$A155,請求記録!$X$6:$X$3005,Y$5))))</f>
        <v/>
      </c>
      <c r="Z155" s="19">
        <f>IF($A155="","",IF(COUNTIFS(請求記録!$B$6:$B$3005,$A155,請求記録!$X$6:$X$3005,Z$5,請求記録!$AD$6:$AD$3005,"保留中")&gt;0,"保留",IF(COUNTIFS(請求記録!$B$6:$B$3005,$A155,請求記録!$X$6:$X$3005,Z$5)=0,"",SUMIFS(請求記録!$AC$6:$AC$3005,請求記録!$B$6:$B$3005,$A155,請求記録!$X$6:$X$3005,Z$5))))</f>
        <v/>
      </c>
      <c r="AA155" s="19">
        <f>IF($A155="","",IF(COUNTIFS(請求記録!$B$6:$B$3005,$A155,請求記録!$X$6:$X$3005,AA$5,請求記録!$AD$6:$AD$3005,"保留中")&gt;0,"保留",IF(COUNTIFS(請求記録!$B$6:$B$3005,$A155,請求記録!$X$6:$X$3005,AA$5)=0,"",SUMIFS(請求記録!$AC$6:$AC$3005,請求記録!$B$6:$B$3005,$A155,請求記録!$X$6:$X$3005,AA$5))))</f>
        <v/>
      </c>
      <c r="AB155">
        <f>IF(職員マスタ!P155="保留中",職員マスタ!M155,"")</f>
        <v/>
      </c>
    </row>
    <row r="156">
      <c r="A156">
        <f>IF(職員マスタ!A156="","",職員マスタ!A156)</f>
        <v/>
      </c>
      <c r="B156">
        <f>IF($A156="","",職員マスタ!B156)</f>
        <v/>
      </c>
      <c r="C156">
        <f>IF($A156="","",職員マスタ!C156)</f>
        <v/>
      </c>
      <c r="D156" s="19">
        <f>IF($A156="","",IF(COUNTIFS(請求記録!$B$6:$B$3005,$A156,請求記録!$X$6:$X$3005,D$5,請求記録!$AD$6:$AD$3005,"保留中")&gt;0,"保留",IF(COUNTIFS(請求記録!$B$6:$B$3005,$A156,請求記録!$X$6:$X$3005,D$5)=0,"",SUMIFS(請求記録!$AC$6:$AC$3005,請求記録!$B$6:$B$3005,$A156,請求記録!$X$6:$X$3005,D$5))))</f>
        <v/>
      </c>
      <c r="E156" s="19">
        <f>IF($A156="","",IF(COUNTIFS(請求記録!$B$6:$B$3005,$A156,請求記録!$X$6:$X$3005,E$5,請求記録!$AD$6:$AD$3005,"保留中")&gt;0,"保留",IF(COUNTIFS(請求記録!$B$6:$B$3005,$A156,請求記録!$X$6:$X$3005,E$5)=0,"",SUMIFS(請求記録!$AC$6:$AC$3005,請求記録!$B$6:$B$3005,$A156,請求記録!$X$6:$X$3005,E$5))))</f>
        <v/>
      </c>
      <c r="F156" s="19">
        <f>IF($A156="","",IF(COUNTIFS(請求記録!$B$6:$B$3005,$A156,請求記録!$X$6:$X$3005,F$5,請求記録!$AD$6:$AD$3005,"保留中")&gt;0,"保留",IF(COUNTIFS(請求記録!$B$6:$B$3005,$A156,請求記録!$X$6:$X$3005,F$5)=0,"",SUMIFS(請求記録!$AC$6:$AC$3005,請求記録!$B$6:$B$3005,$A156,請求記録!$X$6:$X$3005,F$5))))</f>
        <v/>
      </c>
      <c r="G156" s="19">
        <f>IF($A156="","",IF(COUNTIFS(請求記録!$B$6:$B$3005,$A156,請求記録!$X$6:$X$3005,G$5,請求記録!$AD$6:$AD$3005,"保留中")&gt;0,"保留",IF(COUNTIFS(請求記録!$B$6:$B$3005,$A156,請求記録!$X$6:$X$3005,G$5)=0,"",SUMIFS(請求記録!$AC$6:$AC$3005,請求記録!$B$6:$B$3005,$A156,請求記録!$X$6:$X$3005,G$5))))</f>
        <v/>
      </c>
      <c r="H156" s="19">
        <f>IF($A156="","",IF(COUNTIFS(請求記録!$B$6:$B$3005,$A156,請求記録!$X$6:$X$3005,H$5,請求記録!$AD$6:$AD$3005,"保留中")&gt;0,"保留",IF(COUNTIFS(請求記録!$B$6:$B$3005,$A156,請求記録!$X$6:$X$3005,H$5)=0,"",SUMIFS(請求記録!$AC$6:$AC$3005,請求記録!$B$6:$B$3005,$A156,請求記録!$X$6:$X$3005,H$5))))</f>
        <v/>
      </c>
      <c r="I156" s="19">
        <f>IF($A156="","",IF(COUNTIFS(請求記録!$B$6:$B$3005,$A156,請求記録!$X$6:$X$3005,I$5,請求記録!$AD$6:$AD$3005,"保留中")&gt;0,"保留",IF(COUNTIFS(請求記録!$B$6:$B$3005,$A156,請求記録!$X$6:$X$3005,I$5)=0,"",SUMIFS(請求記録!$AC$6:$AC$3005,請求記録!$B$6:$B$3005,$A156,請求記録!$X$6:$X$3005,I$5))))</f>
        <v/>
      </c>
      <c r="J156" s="19">
        <f>IF($A156="","",IF(COUNTIFS(請求記録!$B$6:$B$3005,$A156,請求記録!$X$6:$X$3005,J$5,請求記録!$AD$6:$AD$3005,"保留中")&gt;0,"保留",IF(COUNTIFS(請求記録!$B$6:$B$3005,$A156,請求記録!$X$6:$X$3005,J$5)=0,"",SUMIFS(請求記録!$AC$6:$AC$3005,請求記録!$B$6:$B$3005,$A156,請求記録!$X$6:$X$3005,J$5))))</f>
        <v/>
      </c>
      <c r="K156" s="19">
        <f>IF($A156="","",IF(COUNTIFS(請求記録!$B$6:$B$3005,$A156,請求記録!$X$6:$X$3005,K$5,請求記録!$AD$6:$AD$3005,"保留中")&gt;0,"保留",IF(COUNTIFS(請求記録!$B$6:$B$3005,$A156,請求記録!$X$6:$X$3005,K$5)=0,"",SUMIFS(請求記録!$AC$6:$AC$3005,請求記録!$B$6:$B$3005,$A156,請求記録!$X$6:$X$3005,K$5))))</f>
        <v/>
      </c>
      <c r="L156" s="19">
        <f>IF($A156="","",IF(COUNTIFS(請求記録!$B$6:$B$3005,$A156,請求記録!$X$6:$X$3005,L$5,請求記録!$AD$6:$AD$3005,"保留中")&gt;0,"保留",IF(COUNTIFS(請求記録!$B$6:$B$3005,$A156,請求記録!$X$6:$X$3005,L$5)=0,"",SUMIFS(請求記録!$AC$6:$AC$3005,請求記録!$B$6:$B$3005,$A156,請求記録!$X$6:$X$3005,L$5))))</f>
        <v/>
      </c>
      <c r="M156" s="19">
        <f>IF($A156="","",IF(COUNTIFS(請求記録!$B$6:$B$3005,$A156,請求記録!$X$6:$X$3005,M$5,請求記録!$AD$6:$AD$3005,"保留中")&gt;0,"保留",IF(COUNTIFS(請求記録!$B$6:$B$3005,$A156,請求記録!$X$6:$X$3005,M$5)=0,"",SUMIFS(請求記録!$AC$6:$AC$3005,請求記録!$B$6:$B$3005,$A156,請求記録!$X$6:$X$3005,M$5))))</f>
        <v/>
      </c>
      <c r="N156" s="19">
        <f>IF($A156="","",IF(COUNTIFS(請求記録!$B$6:$B$3005,$A156,請求記録!$X$6:$X$3005,N$5,請求記録!$AD$6:$AD$3005,"保留中")&gt;0,"保留",IF(COUNTIFS(請求記録!$B$6:$B$3005,$A156,請求記録!$X$6:$X$3005,N$5)=0,"",SUMIFS(請求記録!$AC$6:$AC$3005,請求記録!$B$6:$B$3005,$A156,請求記録!$X$6:$X$3005,N$5))))</f>
        <v/>
      </c>
      <c r="O156" s="19">
        <f>IF($A156="","",IF(COUNTIFS(請求記録!$B$6:$B$3005,$A156,請求記録!$X$6:$X$3005,O$5,請求記録!$AD$6:$AD$3005,"保留中")&gt;0,"保留",IF(COUNTIFS(請求記録!$B$6:$B$3005,$A156,請求記録!$X$6:$X$3005,O$5)=0,"",SUMIFS(請求記録!$AC$6:$AC$3005,請求記録!$B$6:$B$3005,$A156,請求記録!$X$6:$X$3005,O$5))))</f>
        <v/>
      </c>
      <c r="P156" s="19">
        <f>IF($A156="","",IF(COUNTIFS(請求記録!$B$6:$B$3005,$A156,請求記録!$X$6:$X$3005,P$5,請求記録!$AD$6:$AD$3005,"保留中")&gt;0,"保留",IF(COUNTIFS(請求記録!$B$6:$B$3005,$A156,請求記録!$X$6:$X$3005,P$5)=0,"",SUMIFS(請求記録!$AC$6:$AC$3005,請求記録!$B$6:$B$3005,$A156,請求記録!$X$6:$X$3005,P$5))))</f>
        <v/>
      </c>
      <c r="Q156" s="19">
        <f>IF($A156="","",IF(COUNTIFS(請求記録!$B$6:$B$3005,$A156,請求記録!$X$6:$X$3005,Q$5,請求記録!$AD$6:$AD$3005,"保留中")&gt;0,"保留",IF(COUNTIFS(請求記録!$B$6:$B$3005,$A156,請求記録!$X$6:$X$3005,Q$5)=0,"",SUMIFS(請求記録!$AC$6:$AC$3005,請求記録!$B$6:$B$3005,$A156,請求記録!$X$6:$X$3005,Q$5))))</f>
        <v/>
      </c>
      <c r="R156" s="19">
        <f>IF($A156="","",IF(COUNTIFS(請求記録!$B$6:$B$3005,$A156,請求記録!$X$6:$X$3005,R$5,請求記録!$AD$6:$AD$3005,"保留中")&gt;0,"保留",IF(COUNTIFS(請求記録!$B$6:$B$3005,$A156,請求記録!$X$6:$X$3005,R$5)=0,"",SUMIFS(請求記録!$AC$6:$AC$3005,請求記録!$B$6:$B$3005,$A156,請求記録!$X$6:$X$3005,R$5))))</f>
        <v/>
      </c>
      <c r="S156" s="19">
        <f>IF($A156="","",IF(COUNTIFS(請求記録!$B$6:$B$3005,$A156,請求記録!$X$6:$X$3005,S$5,請求記録!$AD$6:$AD$3005,"保留中")&gt;0,"保留",IF(COUNTIFS(請求記録!$B$6:$B$3005,$A156,請求記録!$X$6:$X$3005,S$5)=0,"",SUMIFS(請求記録!$AC$6:$AC$3005,請求記録!$B$6:$B$3005,$A156,請求記録!$X$6:$X$3005,S$5))))</f>
        <v/>
      </c>
      <c r="T156" s="19">
        <f>IF($A156="","",IF(COUNTIFS(請求記録!$B$6:$B$3005,$A156,請求記録!$X$6:$X$3005,T$5,請求記録!$AD$6:$AD$3005,"保留中")&gt;0,"保留",IF(COUNTIFS(請求記録!$B$6:$B$3005,$A156,請求記録!$X$6:$X$3005,T$5)=0,"",SUMIFS(請求記録!$AC$6:$AC$3005,請求記録!$B$6:$B$3005,$A156,請求記録!$X$6:$X$3005,T$5))))</f>
        <v/>
      </c>
      <c r="U156" s="19">
        <f>IF($A156="","",IF(COUNTIFS(請求記録!$B$6:$B$3005,$A156,請求記録!$X$6:$X$3005,U$5,請求記録!$AD$6:$AD$3005,"保留中")&gt;0,"保留",IF(COUNTIFS(請求記録!$B$6:$B$3005,$A156,請求記録!$X$6:$X$3005,U$5)=0,"",SUMIFS(請求記録!$AC$6:$AC$3005,請求記録!$B$6:$B$3005,$A156,請求記録!$X$6:$X$3005,U$5))))</f>
        <v/>
      </c>
      <c r="V156" s="19">
        <f>IF($A156="","",IF(COUNTIFS(請求記録!$B$6:$B$3005,$A156,請求記録!$X$6:$X$3005,V$5,請求記録!$AD$6:$AD$3005,"保留中")&gt;0,"保留",IF(COUNTIFS(請求記録!$B$6:$B$3005,$A156,請求記録!$X$6:$X$3005,V$5)=0,"",SUMIFS(請求記録!$AC$6:$AC$3005,請求記録!$B$6:$B$3005,$A156,請求記録!$X$6:$X$3005,V$5))))</f>
        <v/>
      </c>
      <c r="W156" s="19">
        <f>IF($A156="","",IF(COUNTIFS(請求記録!$B$6:$B$3005,$A156,請求記録!$X$6:$X$3005,W$5,請求記録!$AD$6:$AD$3005,"保留中")&gt;0,"保留",IF(COUNTIFS(請求記録!$B$6:$B$3005,$A156,請求記録!$X$6:$X$3005,W$5)=0,"",SUMIFS(請求記録!$AC$6:$AC$3005,請求記録!$B$6:$B$3005,$A156,請求記録!$X$6:$X$3005,W$5))))</f>
        <v/>
      </c>
      <c r="X156" s="19">
        <f>IF($A156="","",IF(COUNTIFS(請求記録!$B$6:$B$3005,$A156,請求記録!$X$6:$X$3005,X$5,請求記録!$AD$6:$AD$3005,"保留中")&gt;0,"保留",IF(COUNTIFS(請求記録!$B$6:$B$3005,$A156,請求記録!$X$6:$X$3005,X$5)=0,"",SUMIFS(請求記録!$AC$6:$AC$3005,請求記録!$B$6:$B$3005,$A156,請求記録!$X$6:$X$3005,X$5))))</f>
        <v/>
      </c>
      <c r="Y156" s="19">
        <f>IF($A156="","",IF(COUNTIFS(請求記録!$B$6:$B$3005,$A156,請求記録!$X$6:$X$3005,Y$5,請求記録!$AD$6:$AD$3005,"保留中")&gt;0,"保留",IF(COUNTIFS(請求記録!$B$6:$B$3005,$A156,請求記録!$X$6:$X$3005,Y$5)=0,"",SUMIFS(請求記録!$AC$6:$AC$3005,請求記録!$B$6:$B$3005,$A156,請求記録!$X$6:$X$3005,Y$5))))</f>
        <v/>
      </c>
      <c r="Z156" s="19">
        <f>IF($A156="","",IF(COUNTIFS(請求記録!$B$6:$B$3005,$A156,請求記録!$X$6:$X$3005,Z$5,請求記録!$AD$6:$AD$3005,"保留中")&gt;0,"保留",IF(COUNTIFS(請求記録!$B$6:$B$3005,$A156,請求記録!$X$6:$X$3005,Z$5)=0,"",SUMIFS(請求記録!$AC$6:$AC$3005,請求記録!$B$6:$B$3005,$A156,請求記録!$X$6:$X$3005,Z$5))))</f>
        <v/>
      </c>
      <c r="AA156" s="19">
        <f>IF($A156="","",IF(COUNTIFS(請求記録!$B$6:$B$3005,$A156,請求記録!$X$6:$X$3005,AA$5,請求記録!$AD$6:$AD$3005,"保留中")&gt;0,"保留",IF(COUNTIFS(請求記録!$B$6:$B$3005,$A156,請求記録!$X$6:$X$3005,AA$5)=0,"",SUMIFS(請求記録!$AC$6:$AC$3005,請求記録!$B$6:$B$3005,$A156,請求記録!$X$6:$X$3005,AA$5))))</f>
        <v/>
      </c>
      <c r="AB156">
        <f>IF(職員マスタ!P156="保留中",職員マスタ!M156,"")</f>
        <v/>
      </c>
    </row>
    <row r="157">
      <c r="A157">
        <f>IF(職員マスタ!A157="","",職員マスタ!A157)</f>
        <v/>
      </c>
      <c r="B157">
        <f>IF($A157="","",職員マスタ!B157)</f>
        <v/>
      </c>
      <c r="C157">
        <f>IF($A157="","",職員マスタ!C157)</f>
        <v/>
      </c>
      <c r="D157" s="19">
        <f>IF($A157="","",IF(COUNTIFS(請求記録!$B$6:$B$3005,$A157,請求記録!$X$6:$X$3005,D$5,請求記録!$AD$6:$AD$3005,"保留中")&gt;0,"保留",IF(COUNTIFS(請求記録!$B$6:$B$3005,$A157,請求記録!$X$6:$X$3005,D$5)=0,"",SUMIFS(請求記録!$AC$6:$AC$3005,請求記録!$B$6:$B$3005,$A157,請求記録!$X$6:$X$3005,D$5))))</f>
        <v/>
      </c>
      <c r="E157" s="19">
        <f>IF($A157="","",IF(COUNTIFS(請求記録!$B$6:$B$3005,$A157,請求記録!$X$6:$X$3005,E$5,請求記録!$AD$6:$AD$3005,"保留中")&gt;0,"保留",IF(COUNTIFS(請求記録!$B$6:$B$3005,$A157,請求記録!$X$6:$X$3005,E$5)=0,"",SUMIFS(請求記録!$AC$6:$AC$3005,請求記録!$B$6:$B$3005,$A157,請求記録!$X$6:$X$3005,E$5))))</f>
        <v/>
      </c>
      <c r="F157" s="19">
        <f>IF($A157="","",IF(COUNTIFS(請求記録!$B$6:$B$3005,$A157,請求記録!$X$6:$X$3005,F$5,請求記録!$AD$6:$AD$3005,"保留中")&gt;0,"保留",IF(COUNTIFS(請求記録!$B$6:$B$3005,$A157,請求記録!$X$6:$X$3005,F$5)=0,"",SUMIFS(請求記録!$AC$6:$AC$3005,請求記録!$B$6:$B$3005,$A157,請求記録!$X$6:$X$3005,F$5))))</f>
        <v/>
      </c>
      <c r="G157" s="19">
        <f>IF($A157="","",IF(COUNTIFS(請求記録!$B$6:$B$3005,$A157,請求記録!$X$6:$X$3005,G$5,請求記録!$AD$6:$AD$3005,"保留中")&gt;0,"保留",IF(COUNTIFS(請求記録!$B$6:$B$3005,$A157,請求記録!$X$6:$X$3005,G$5)=0,"",SUMIFS(請求記録!$AC$6:$AC$3005,請求記録!$B$6:$B$3005,$A157,請求記録!$X$6:$X$3005,G$5))))</f>
        <v/>
      </c>
      <c r="H157" s="19">
        <f>IF($A157="","",IF(COUNTIFS(請求記録!$B$6:$B$3005,$A157,請求記録!$X$6:$X$3005,H$5,請求記録!$AD$6:$AD$3005,"保留中")&gt;0,"保留",IF(COUNTIFS(請求記録!$B$6:$B$3005,$A157,請求記録!$X$6:$X$3005,H$5)=0,"",SUMIFS(請求記録!$AC$6:$AC$3005,請求記録!$B$6:$B$3005,$A157,請求記録!$X$6:$X$3005,H$5))))</f>
        <v/>
      </c>
      <c r="I157" s="19">
        <f>IF($A157="","",IF(COUNTIFS(請求記録!$B$6:$B$3005,$A157,請求記録!$X$6:$X$3005,I$5,請求記録!$AD$6:$AD$3005,"保留中")&gt;0,"保留",IF(COUNTIFS(請求記録!$B$6:$B$3005,$A157,請求記録!$X$6:$X$3005,I$5)=0,"",SUMIFS(請求記録!$AC$6:$AC$3005,請求記録!$B$6:$B$3005,$A157,請求記録!$X$6:$X$3005,I$5))))</f>
        <v/>
      </c>
      <c r="J157" s="19">
        <f>IF($A157="","",IF(COUNTIFS(請求記録!$B$6:$B$3005,$A157,請求記録!$X$6:$X$3005,J$5,請求記録!$AD$6:$AD$3005,"保留中")&gt;0,"保留",IF(COUNTIFS(請求記録!$B$6:$B$3005,$A157,請求記録!$X$6:$X$3005,J$5)=0,"",SUMIFS(請求記録!$AC$6:$AC$3005,請求記録!$B$6:$B$3005,$A157,請求記録!$X$6:$X$3005,J$5))))</f>
        <v/>
      </c>
      <c r="K157" s="19">
        <f>IF($A157="","",IF(COUNTIFS(請求記録!$B$6:$B$3005,$A157,請求記録!$X$6:$X$3005,K$5,請求記録!$AD$6:$AD$3005,"保留中")&gt;0,"保留",IF(COUNTIFS(請求記録!$B$6:$B$3005,$A157,請求記録!$X$6:$X$3005,K$5)=0,"",SUMIFS(請求記録!$AC$6:$AC$3005,請求記録!$B$6:$B$3005,$A157,請求記録!$X$6:$X$3005,K$5))))</f>
        <v/>
      </c>
      <c r="L157" s="19">
        <f>IF($A157="","",IF(COUNTIFS(請求記録!$B$6:$B$3005,$A157,請求記録!$X$6:$X$3005,L$5,請求記録!$AD$6:$AD$3005,"保留中")&gt;0,"保留",IF(COUNTIFS(請求記録!$B$6:$B$3005,$A157,請求記録!$X$6:$X$3005,L$5)=0,"",SUMIFS(請求記録!$AC$6:$AC$3005,請求記録!$B$6:$B$3005,$A157,請求記録!$X$6:$X$3005,L$5))))</f>
        <v/>
      </c>
      <c r="M157" s="19">
        <f>IF($A157="","",IF(COUNTIFS(請求記録!$B$6:$B$3005,$A157,請求記録!$X$6:$X$3005,M$5,請求記録!$AD$6:$AD$3005,"保留中")&gt;0,"保留",IF(COUNTIFS(請求記録!$B$6:$B$3005,$A157,請求記録!$X$6:$X$3005,M$5)=0,"",SUMIFS(請求記録!$AC$6:$AC$3005,請求記録!$B$6:$B$3005,$A157,請求記録!$X$6:$X$3005,M$5))))</f>
        <v/>
      </c>
      <c r="N157" s="19">
        <f>IF($A157="","",IF(COUNTIFS(請求記録!$B$6:$B$3005,$A157,請求記録!$X$6:$X$3005,N$5,請求記録!$AD$6:$AD$3005,"保留中")&gt;0,"保留",IF(COUNTIFS(請求記録!$B$6:$B$3005,$A157,請求記録!$X$6:$X$3005,N$5)=0,"",SUMIFS(請求記録!$AC$6:$AC$3005,請求記録!$B$6:$B$3005,$A157,請求記録!$X$6:$X$3005,N$5))))</f>
        <v/>
      </c>
      <c r="O157" s="19">
        <f>IF($A157="","",IF(COUNTIFS(請求記録!$B$6:$B$3005,$A157,請求記録!$X$6:$X$3005,O$5,請求記録!$AD$6:$AD$3005,"保留中")&gt;0,"保留",IF(COUNTIFS(請求記録!$B$6:$B$3005,$A157,請求記録!$X$6:$X$3005,O$5)=0,"",SUMIFS(請求記録!$AC$6:$AC$3005,請求記録!$B$6:$B$3005,$A157,請求記録!$X$6:$X$3005,O$5))))</f>
        <v/>
      </c>
      <c r="P157" s="19">
        <f>IF($A157="","",IF(COUNTIFS(請求記録!$B$6:$B$3005,$A157,請求記録!$X$6:$X$3005,P$5,請求記録!$AD$6:$AD$3005,"保留中")&gt;0,"保留",IF(COUNTIFS(請求記録!$B$6:$B$3005,$A157,請求記録!$X$6:$X$3005,P$5)=0,"",SUMIFS(請求記録!$AC$6:$AC$3005,請求記録!$B$6:$B$3005,$A157,請求記録!$X$6:$X$3005,P$5))))</f>
        <v/>
      </c>
      <c r="Q157" s="19">
        <f>IF($A157="","",IF(COUNTIFS(請求記録!$B$6:$B$3005,$A157,請求記録!$X$6:$X$3005,Q$5,請求記録!$AD$6:$AD$3005,"保留中")&gt;0,"保留",IF(COUNTIFS(請求記録!$B$6:$B$3005,$A157,請求記録!$X$6:$X$3005,Q$5)=0,"",SUMIFS(請求記録!$AC$6:$AC$3005,請求記録!$B$6:$B$3005,$A157,請求記録!$X$6:$X$3005,Q$5))))</f>
        <v/>
      </c>
      <c r="R157" s="19">
        <f>IF($A157="","",IF(COUNTIFS(請求記録!$B$6:$B$3005,$A157,請求記録!$X$6:$X$3005,R$5,請求記録!$AD$6:$AD$3005,"保留中")&gt;0,"保留",IF(COUNTIFS(請求記録!$B$6:$B$3005,$A157,請求記録!$X$6:$X$3005,R$5)=0,"",SUMIFS(請求記録!$AC$6:$AC$3005,請求記録!$B$6:$B$3005,$A157,請求記録!$X$6:$X$3005,R$5))))</f>
        <v/>
      </c>
      <c r="S157" s="19">
        <f>IF($A157="","",IF(COUNTIFS(請求記録!$B$6:$B$3005,$A157,請求記録!$X$6:$X$3005,S$5,請求記録!$AD$6:$AD$3005,"保留中")&gt;0,"保留",IF(COUNTIFS(請求記録!$B$6:$B$3005,$A157,請求記録!$X$6:$X$3005,S$5)=0,"",SUMIFS(請求記録!$AC$6:$AC$3005,請求記録!$B$6:$B$3005,$A157,請求記録!$X$6:$X$3005,S$5))))</f>
        <v/>
      </c>
      <c r="T157" s="19">
        <f>IF($A157="","",IF(COUNTIFS(請求記録!$B$6:$B$3005,$A157,請求記録!$X$6:$X$3005,T$5,請求記録!$AD$6:$AD$3005,"保留中")&gt;0,"保留",IF(COUNTIFS(請求記録!$B$6:$B$3005,$A157,請求記録!$X$6:$X$3005,T$5)=0,"",SUMIFS(請求記録!$AC$6:$AC$3005,請求記録!$B$6:$B$3005,$A157,請求記録!$X$6:$X$3005,T$5))))</f>
        <v/>
      </c>
      <c r="U157" s="19">
        <f>IF($A157="","",IF(COUNTIFS(請求記録!$B$6:$B$3005,$A157,請求記録!$X$6:$X$3005,U$5,請求記録!$AD$6:$AD$3005,"保留中")&gt;0,"保留",IF(COUNTIFS(請求記録!$B$6:$B$3005,$A157,請求記録!$X$6:$X$3005,U$5)=0,"",SUMIFS(請求記録!$AC$6:$AC$3005,請求記録!$B$6:$B$3005,$A157,請求記録!$X$6:$X$3005,U$5))))</f>
        <v/>
      </c>
      <c r="V157" s="19">
        <f>IF($A157="","",IF(COUNTIFS(請求記録!$B$6:$B$3005,$A157,請求記録!$X$6:$X$3005,V$5,請求記録!$AD$6:$AD$3005,"保留中")&gt;0,"保留",IF(COUNTIFS(請求記録!$B$6:$B$3005,$A157,請求記録!$X$6:$X$3005,V$5)=0,"",SUMIFS(請求記録!$AC$6:$AC$3005,請求記録!$B$6:$B$3005,$A157,請求記録!$X$6:$X$3005,V$5))))</f>
        <v/>
      </c>
      <c r="W157" s="19">
        <f>IF($A157="","",IF(COUNTIFS(請求記録!$B$6:$B$3005,$A157,請求記録!$X$6:$X$3005,W$5,請求記録!$AD$6:$AD$3005,"保留中")&gt;0,"保留",IF(COUNTIFS(請求記録!$B$6:$B$3005,$A157,請求記録!$X$6:$X$3005,W$5)=0,"",SUMIFS(請求記録!$AC$6:$AC$3005,請求記録!$B$6:$B$3005,$A157,請求記録!$X$6:$X$3005,W$5))))</f>
        <v/>
      </c>
      <c r="X157" s="19">
        <f>IF($A157="","",IF(COUNTIFS(請求記録!$B$6:$B$3005,$A157,請求記録!$X$6:$X$3005,X$5,請求記録!$AD$6:$AD$3005,"保留中")&gt;0,"保留",IF(COUNTIFS(請求記録!$B$6:$B$3005,$A157,請求記録!$X$6:$X$3005,X$5)=0,"",SUMIFS(請求記録!$AC$6:$AC$3005,請求記録!$B$6:$B$3005,$A157,請求記録!$X$6:$X$3005,X$5))))</f>
        <v/>
      </c>
      <c r="Y157" s="19">
        <f>IF($A157="","",IF(COUNTIFS(請求記録!$B$6:$B$3005,$A157,請求記録!$X$6:$X$3005,Y$5,請求記録!$AD$6:$AD$3005,"保留中")&gt;0,"保留",IF(COUNTIFS(請求記録!$B$6:$B$3005,$A157,請求記録!$X$6:$X$3005,Y$5)=0,"",SUMIFS(請求記録!$AC$6:$AC$3005,請求記録!$B$6:$B$3005,$A157,請求記録!$X$6:$X$3005,Y$5))))</f>
        <v/>
      </c>
      <c r="Z157" s="19">
        <f>IF($A157="","",IF(COUNTIFS(請求記録!$B$6:$B$3005,$A157,請求記録!$X$6:$X$3005,Z$5,請求記録!$AD$6:$AD$3005,"保留中")&gt;0,"保留",IF(COUNTIFS(請求記録!$B$6:$B$3005,$A157,請求記録!$X$6:$X$3005,Z$5)=0,"",SUMIFS(請求記録!$AC$6:$AC$3005,請求記録!$B$6:$B$3005,$A157,請求記録!$X$6:$X$3005,Z$5))))</f>
        <v/>
      </c>
      <c r="AA157" s="19">
        <f>IF($A157="","",IF(COUNTIFS(請求記録!$B$6:$B$3005,$A157,請求記録!$X$6:$X$3005,AA$5,請求記録!$AD$6:$AD$3005,"保留中")&gt;0,"保留",IF(COUNTIFS(請求記録!$B$6:$B$3005,$A157,請求記録!$X$6:$X$3005,AA$5)=0,"",SUMIFS(請求記録!$AC$6:$AC$3005,請求記録!$B$6:$B$3005,$A157,請求記録!$X$6:$X$3005,AA$5))))</f>
        <v/>
      </c>
      <c r="AB157">
        <f>IF(職員マスタ!P157="保留中",職員マスタ!M157,"")</f>
        <v/>
      </c>
    </row>
    <row r="158">
      <c r="A158">
        <f>IF(職員マスタ!A158="","",職員マスタ!A158)</f>
        <v/>
      </c>
      <c r="B158">
        <f>IF($A158="","",職員マスタ!B158)</f>
        <v/>
      </c>
      <c r="C158">
        <f>IF($A158="","",職員マスタ!C158)</f>
        <v/>
      </c>
      <c r="D158" s="19">
        <f>IF($A158="","",IF(COUNTIFS(請求記録!$B$6:$B$3005,$A158,請求記録!$X$6:$X$3005,D$5,請求記録!$AD$6:$AD$3005,"保留中")&gt;0,"保留",IF(COUNTIFS(請求記録!$B$6:$B$3005,$A158,請求記録!$X$6:$X$3005,D$5)=0,"",SUMIFS(請求記録!$AC$6:$AC$3005,請求記録!$B$6:$B$3005,$A158,請求記録!$X$6:$X$3005,D$5))))</f>
        <v/>
      </c>
      <c r="E158" s="19">
        <f>IF($A158="","",IF(COUNTIFS(請求記録!$B$6:$B$3005,$A158,請求記録!$X$6:$X$3005,E$5,請求記録!$AD$6:$AD$3005,"保留中")&gt;0,"保留",IF(COUNTIFS(請求記録!$B$6:$B$3005,$A158,請求記録!$X$6:$X$3005,E$5)=0,"",SUMIFS(請求記録!$AC$6:$AC$3005,請求記録!$B$6:$B$3005,$A158,請求記録!$X$6:$X$3005,E$5))))</f>
        <v/>
      </c>
      <c r="F158" s="19">
        <f>IF($A158="","",IF(COUNTIFS(請求記録!$B$6:$B$3005,$A158,請求記録!$X$6:$X$3005,F$5,請求記録!$AD$6:$AD$3005,"保留中")&gt;0,"保留",IF(COUNTIFS(請求記録!$B$6:$B$3005,$A158,請求記録!$X$6:$X$3005,F$5)=0,"",SUMIFS(請求記録!$AC$6:$AC$3005,請求記録!$B$6:$B$3005,$A158,請求記録!$X$6:$X$3005,F$5))))</f>
        <v/>
      </c>
      <c r="G158" s="19">
        <f>IF($A158="","",IF(COUNTIFS(請求記録!$B$6:$B$3005,$A158,請求記録!$X$6:$X$3005,G$5,請求記録!$AD$6:$AD$3005,"保留中")&gt;0,"保留",IF(COUNTIFS(請求記録!$B$6:$B$3005,$A158,請求記録!$X$6:$X$3005,G$5)=0,"",SUMIFS(請求記録!$AC$6:$AC$3005,請求記録!$B$6:$B$3005,$A158,請求記録!$X$6:$X$3005,G$5))))</f>
        <v/>
      </c>
      <c r="H158" s="19">
        <f>IF($A158="","",IF(COUNTIFS(請求記録!$B$6:$B$3005,$A158,請求記録!$X$6:$X$3005,H$5,請求記録!$AD$6:$AD$3005,"保留中")&gt;0,"保留",IF(COUNTIFS(請求記録!$B$6:$B$3005,$A158,請求記録!$X$6:$X$3005,H$5)=0,"",SUMIFS(請求記録!$AC$6:$AC$3005,請求記録!$B$6:$B$3005,$A158,請求記録!$X$6:$X$3005,H$5))))</f>
        <v/>
      </c>
      <c r="I158" s="19">
        <f>IF($A158="","",IF(COUNTIFS(請求記録!$B$6:$B$3005,$A158,請求記録!$X$6:$X$3005,I$5,請求記録!$AD$6:$AD$3005,"保留中")&gt;0,"保留",IF(COUNTIFS(請求記録!$B$6:$B$3005,$A158,請求記録!$X$6:$X$3005,I$5)=0,"",SUMIFS(請求記録!$AC$6:$AC$3005,請求記録!$B$6:$B$3005,$A158,請求記録!$X$6:$X$3005,I$5))))</f>
        <v/>
      </c>
      <c r="J158" s="19">
        <f>IF($A158="","",IF(COUNTIFS(請求記録!$B$6:$B$3005,$A158,請求記録!$X$6:$X$3005,J$5,請求記録!$AD$6:$AD$3005,"保留中")&gt;0,"保留",IF(COUNTIFS(請求記録!$B$6:$B$3005,$A158,請求記録!$X$6:$X$3005,J$5)=0,"",SUMIFS(請求記録!$AC$6:$AC$3005,請求記録!$B$6:$B$3005,$A158,請求記録!$X$6:$X$3005,J$5))))</f>
        <v/>
      </c>
      <c r="K158" s="19">
        <f>IF($A158="","",IF(COUNTIFS(請求記録!$B$6:$B$3005,$A158,請求記録!$X$6:$X$3005,K$5,請求記録!$AD$6:$AD$3005,"保留中")&gt;0,"保留",IF(COUNTIFS(請求記録!$B$6:$B$3005,$A158,請求記録!$X$6:$X$3005,K$5)=0,"",SUMIFS(請求記録!$AC$6:$AC$3005,請求記録!$B$6:$B$3005,$A158,請求記録!$X$6:$X$3005,K$5))))</f>
        <v/>
      </c>
      <c r="L158" s="19">
        <f>IF($A158="","",IF(COUNTIFS(請求記録!$B$6:$B$3005,$A158,請求記録!$X$6:$X$3005,L$5,請求記録!$AD$6:$AD$3005,"保留中")&gt;0,"保留",IF(COUNTIFS(請求記録!$B$6:$B$3005,$A158,請求記録!$X$6:$X$3005,L$5)=0,"",SUMIFS(請求記録!$AC$6:$AC$3005,請求記録!$B$6:$B$3005,$A158,請求記録!$X$6:$X$3005,L$5))))</f>
        <v/>
      </c>
      <c r="M158" s="19">
        <f>IF($A158="","",IF(COUNTIFS(請求記録!$B$6:$B$3005,$A158,請求記録!$X$6:$X$3005,M$5,請求記録!$AD$6:$AD$3005,"保留中")&gt;0,"保留",IF(COUNTIFS(請求記録!$B$6:$B$3005,$A158,請求記録!$X$6:$X$3005,M$5)=0,"",SUMIFS(請求記録!$AC$6:$AC$3005,請求記録!$B$6:$B$3005,$A158,請求記録!$X$6:$X$3005,M$5))))</f>
        <v/>
      </c>
      <c r="N158" s="19">
        <f>IF($A158="","",IF(COUNTIFS(請求記録!$B$6:$B$3005,$A158,請求記録!$X$6:$X$3005,N$5,請求記録!$AD$6:$AD$3005,"保留中")&gt;0,"保留",IF(COUNTIFS(請求記録!$B$6:$B$3005,$A158,請求記録!$X$6:$X$3005,N$5)=0,"",SUMIFS(請求記録!$AC$6:$AC$3005,請求記録!$B$6:$B$3005,$A158,請求記録!$X$6:$X$3005,N$5))))</f>
        <v/>
      </c>
      <c r="O158" s="19">
        <f>IF($A158="","",IF(COUNTIFS(請求記録!$B$6:$B$3005,$A158,請求記録!$X$6:$X$3005,O$5,請求記録!$AD$6:$AD$3005,"保留中")&gt;0,"保留",IF(COUNTIFS(請求記録!$B$6:$B$3005,$A158,請求記録!$X$6:$X$3005,O$5)=0,"",SUMIFS(請求記録!$AC$6:$AC$3005,請求記録!$B$6:$B$3005,$A158,請求記録!$X$6:$X$3005,O$5))))</f>
        <v/>
      </c>
      <c r="P158" s="19">
        <f>IF($A158="","",IF(COUNTIFS(請求記録!$B$6:$B$3005,$A158,請求記録!$X$6:$X$3005,P$5,請求記録!$AD$6:$AD$3005,"保留中")&gt;0,"保留",IF(COUNTIFS(請求記録!$B$6:$B$3005,$A158,請求記録!$X$6:$X$3005,P$5)=0,"",SUMIFS(請求記録!$AC$6:$AC$3005,請求記録!$B$6:$B$3005,$A158,請求記録!$X$6:$X$3005,P$5))))</f>
        <v/>
      </c>
      <c r="Q158" s="19">
        <f>IF($A158="","",IF(COUNTIFS(請求記録!$B$6:$B$3005,$A158,請求記録!$X$6:$X$3005,Q$5,請求記録!$AD$6:$AD$3005,"保留中")&gt;0,"保留",IF(COUNTIFS(請求記録!$B$6:$B$3005,$A158,請求記録!$X$6:$X$3005,Q$5)=0,"",SUMIFS(請求記録!$AC$6:$AC$3005,請求記録!$B$6:$B$3005,$A158,請求記録!$X$6:$X$3005,Q$5))))</f>
        <v/>
      </c>
      <c r="R158" s="19">
        <f>IF($A158="","",IF(COUNTIFS(請求記録!$B$6:$B$3005,$A158,請求記録!$X$6:$X$3005,R$5,請求記録!$AD$6:$AD$3005,"保留中")&gt;0,"保留",IF(COUNTIFS(請求記録!$B$6:$B$3005,$A158,請求記録!$X$6:$X$3005,R$5)=0,"",SUMIFS(請求記録!$AC$6:$AC$3005,請求記録!$B$6:$B$3005,$A158,請求記録!$X$6:$X$3005,R$5))))</f>
        <v/>
      </c>
      <c r="S158" s="19">
        <f>IF($A158="","",IF(COUNTIFS(請求記録!$B$6:$B$3005,$A158,請求記録!$X$6:$X$3005,S$5,請求記録!$AD$6:$AD$3005,"保留中")&gt;0,"保留",IF(COUNTIFS(請求記録!$B$6:$B$3005,$A158,請求記録!$X$6:$X$3005,S$5)=0,"",SUMIFS(請求記録!$AC$6:$AC$3005,請求記録!$B$6:$B$3005,$A158,請求記録!$X$6:$X$3005,S$5))))</f>
        <v/>
      </c>
      <c r="T158" s="19">
        <f>IF($A158="","",IF(COUNTIFS(請求記録!$B$6:$B$3005,$A158,請求記録!$X$6:$X$3005,T$5,請求記録!$AD$6:$AD$3005,"保留中")&gt;0,"保留",IF(COUNTIFS(請求記録!$B$6:$B$3005,$A158,請求記録!$X$6:$X$3005,T$5)=0,"",SUMIFS(請求記録!$AC$6:$AC$3005,請求記録!$B$6:$B$3005,$A158,請求記録!$X$6:$X$3005,T$5))))</f>
        <v/>
      </c>
      <c r="U158" s="19">
        <f>IF($A158="","",IF(COUNTIFS(請求記録!$B$6:$B$3005,$A158,請求記録!$X$6:$X$3005,U$5,請求記録!$AD$6:$AD$3005,"保留中")&gt;0,"保留",IF(COUNTIFS(請求記録!$B$6:$B$3005,$A158,請求記録!$X$6:$X$3005,U$5)=0,"",SUMIFS(請求記録!$AC$6:$AC$3005,請求記録!$B$6:$B$3005,$A158,請求記録!$X$6:$X$3005,U$5))))</f>
        <v/>
      </c>
      <c r="V158" s="19">
        <f>IF($A158="","",IF(COUNTIFS(請求記録!$B$6:$B$3005,$A158,請求記録!$X$6:$X$3005,V$5,請求記録!$AD$6:$AD$3005,"保留中")&gt;0,"保留",IF(COUNTIFS(請求記録!$B$6:$B$3005,$A158,請求記録!$X$6:$X$3005,V$5)=0,"",SUMIFS(請求記録!$AC$6:$AC$3005,請求記録!$B$6:$B$3005,$A158,請求記録!$X$6:$X$3005,V$5))))</f>
        <v/>
      </c>
      <c r="W158" s="19">
        <f>IF($A158="","",IF(COUNTIFS(請求記録!$B$6:$B$3005,$A158,請求記録!$X$6:$X$3005,W$5,請求記録!$AD$6:$AD$3005,"保留中")&gt;0,"保留",IF(COUNTIFS(請求記録!$B$6:$B$3005,$A158,請求記録!$X$6:$X$3005,W$5)=0,"",SUMIFS(請求記録!$AC$6:$AC$3005,請求記録!$B$6:$B$3005,$A158,請求記録!$X$6:$X$3005,W$5))))</f>
        <v/>
      </c>
      <c r="X158" s="19">
        <f>IF($A158="","",IF(COUNTIFS(請求記録!$B$6:$B$3005,$A158,請求記録!$X$6:$X$3005,X$5,請求記録!$AD$6:$AD$3005,"保留中")&gt;0,"保留",IF(COUNTIFS(請求記録!$B$6:$B$3005,$A158,請求記録!$X$6:$X$3005,X$5)=0,"",SUMIFS(請求記録!$AC$6:$AC$3005,請求記録!$B$6:$B$3005,$A158,請求記録!$X$6:$X$3005,X$5))))</f>
        <v/>
      </c>
      <c r="Y158" s="19">
        <f>IF($A158="","",IF(COUNTIFS(請求記録!$B$6:$B$3005,$A158,請求記録!$X$6:$X$3005,Y$5,請求記録!$AD$6:$AD$3005,"保留中")&gt;0,"保留",IF(COUNTIFS(請求記録!$B$6:$B$3005,$A158,請求記録!$X$6:$X$3005,Y$5)=0,"",SUMIFS(請求記録!$AC$6:$AC$3005,請求記録!$B$6:$B$3005,$A158,請求記録!$X$6:$X$3005,Y$5))))</f>
        <v/>
      </c>
      <c r="Z158" s="19">
        <f>IF($A158="","",IF(COUNTIFS(請求記録!$B$6:$B$3005,$A158,請求記録!$X$6:$X$3005,Z$5,請求記録!$AD$6:$AD$3005,"保留中")&gt;0,"保留",IF(COUNTIFS(請求記録!$B$6:$B$3005,$A158,請求記録!$X$6:$X$3005,Z$5)=0,"",SUMIFS(請求記録!$AC$6:$AC$3005,請求記録!$B$6:$B$3005,$A158,請求記録!$X$6:$X$3005,Z$5))))</f>
        <v/>
      </c>
      <c r="AA158" s="19">
        <f>IF($A158="","",IF(COUNTIFS(請求記録!$B$6:$B$3005,$A158,請求記録!$X$6:$X$3005,AA$5,請求記録!$AD$6:$AD$3005,"保留中")&gt;0,"保留",IF(COUNTIFS(請求記録!$B$6:$B$3005,$A158,請求記録!$X$6:$X$3005,AA$5)=0,"",SUMIFS(請求記録!$AC$6:$AC$3005,請求記録!$B$6:$B$3005,$A158,請求記録!$X$6:$X$3005,AA$5))))</f>
        <v/>
      </c>
      <c r="AB158">
        <f>IF(職員マスタ!P158="保留中",職員マスタ!M158,"")</f>
        <v/>
      </c>
    </row>
    <row r="159">
      <c r="A159">
        <f>IF(職員マスタ!A159="","",職員マスタ!A159)</f>
        <v/>
      </c>
      <c r="B159">
        <f>IF($A159="","",職員マスタ!B159)</f>
        <v/>
      </c>
      <c r="C159">
        <f>IF($A159="","",職員マスタ!C159)</f>
        <v/>
      </c>
      <c r="D159" s="19">
        <f>IF($A159="","",IF(COUNTIFS(請求記録!$B$6:$B$3005,$A159,請求記録!$X$6:$X$3005,D$5,請求記録!$AD$6:$AD$3005,"保留中")&gt;0,"保留",IF(COUNTIFS(請求記録!$B$6:$B$3005,$A159,請求記録!$X$6:$X$3005,D$5)=0,"",SUMIFS(請求記録!$AC$6:$AC$3005,請求記録!$B$6:$B$3005,$A159,請求記録!$X$6:$X$3005,D$5))))</f>
        <v/>
      </c>
      <c r="E159" s="19">
        <f>IF($A159="","",IF(COUNTIFS(請求記録!$B$6:$B$3005,$A159,請求記録!$X$6:$X$3005,E$5,請求記録!$AD$6:$AD$3005,"保留中")&gt;0,"保留",IF(COUNTIFS(請求記録!$B$6:$B$3005,$A159,請求記録!$X$6:$X$3005,E$5)=0,"",SUMIFS(請求記録!$AC$6:$AC$3005,請求記録!$B$6:$B$3005,$A159,請求記録!$X$6:$X$3005,E$5))))</f>
        <v/>
      </c>
      <c r="F159" s="19">
        <f>IF($A159="","",IF(COUNTIFS(請求記録!$B$6:$B$3005,$A159,請求記録!$X$6:$X$3005,F$5,請求記録!$AD$6:$AD$3005,"保留中")&gt;0,"保留",IF(COUNTIFS(請求記録!$B$6:$B$3005,$A159,請求記録!$X$6:$X$3005,F$5)=0,"",SUMIFS(請求記録!$AC$6:$AC$3005,請求記録!$B$6:$B$3005,$A159,請求記録!$X$6:$X$3005,F$5))))</f>
        <v/>
      </c>
      <c r="G159" s="19">
        <f>IF($A159="","",IF(COUNTIFS(請求記録!$B$6:$B$3005,$A159,請求記録!$X$6:$X$3005,G$5,請求記録!$AD$6:$AD$3005,"保留中")&gt;0,"保留",IF(COUNTIFS(請求記録!$B$6:$B$3005,$A159,請求記録!$X$6:$X$3005,G$5)=0,"",SUMIFS(請求記録!$AC$6:$AC$3005,請求記録!$B$6:$B$3005,$A159,請求記録!$X$6:$X$3005,G$5))))</f>
        <v/>
      </c>
      <c r="H159" s="19">
        <f>IF($A159="","",IF(COUNTIFS(請求記録!$B$6:$B$3005,$A159,請求記録!$X$6:$X$3005,H$5,請求記録!$AD$6:$AD$3005,"保留中")&gt;0,"保留",IF(COUNTIFS(請求記録!$B$6:$B$3005,$A159,請求記録!$X$6:$X$3005,H$5)=0,"",SUMIFS(請求記録!$AC$6:$AC$3005,請求記録!$B$6:$B$3005,$A159,請求記録!$X$6:$X$3005,H$5))))</f>
        <v/>
      </c>
      <c r="I159" s="19">
        <f>IF($A159="","",IF(COUNTIFS(請求記録!$B$6:$B$3005,$A159,請求記録!$X$6:$X$3005,I$5,請求記録!$AD$6:$AD$3005,"保留中")&gt;0,"保留",IF(COUNTIFS(請求記録!$B$6:$B$3005,$A159,請求記録!$X$6:$X$3005,I$5)=0,"",SUMIFS(請求記録!$AC$6:$AC$3005,請求記録!$B$6:$B$3005,$A159,請求記録!$X$6:$X$3005,I$5))))</f>
        <v/>
      </c>
      <c r="J159" s="19">
        <f>IF($A159="","",IF(COUNTIFS(請求記録!$B$6:$B$3005,$A159,請求記録!$X$6:$X$3005,J$5,請求記録!$AD$6:$AD$3005,"保留中")&gt;0,"保留",IF(COUNTIFS(請求記録!$B$6:$B$3005,$A159,請求記録!$X$6:$X$3005,J$5)=0,"",SUMIFS(請求記録!$AC$6:$AC$3005,請求記録!$B$6:$B$3005,$A159,請求記録!$X$6:$X$3005,J$5))))</f>
        <v/>
      </c>
      <c r="K159" s="19">
        <f>IF($A159="","",IF(COUNTIFS(請求記録!$B$6:$B$3005,$A159,請求記録!$X$6:$X$3005,K$5,請求記録!$AD$6:$AD$3005,"保留中")&gt;0,"保留",IF(COUNTIFS(請求記録!$B$6:$B$3005,$A159,請求記録!$X$6:$X$3005,K$5)=0,"",SUMIFS(請求記録!$AC$6:$AC$3005,請求記録!$B$6:$B$3005,$A159,請求記録!$X$6:$X$3005,K$5))))</f>
        <v/>
      </c>
      <c r="L159" s="19">
        <f>IF($A159="","",IF(COUNTIFS(請求記録!$B$6:$B$3005,$A159,請求記録!$X$6:$X$3005,L$5,請求記録!$AD$6:$AD$3005,"保留中")&gt;0,"保留",IF(COUNTIFS(請求記録!$B$6:$B$3005,$A159,請求記録!$X$6:$X$3005,L$5)=0,"",SUMIFS(請求記録!$AC$6:$AC$3005,請求記録!$B$6:$B$3005,$A159,請求記録!$X$6:$X$3005,L$5))))</f>
        <v/>
      </c>
      <c r="M159" s="19">
        <f>IF($A159="","",IF(COUNTIFS(請求記録!$B$6:$B$3005,$A159,請求記録!$X$6:$X$3005,M$5,請求記録!$AD$6:$AD$3005,"保留中")&gt;0,"保留",IF(COUNTIFS(請求記録!$B$6:$B$3005,$A159,請求記録!$X$6:$X$3005,M$5)=0,"",SUMIFS(請求記録!$AC$6:$AC$3005,請求記録!$B$6:$B$3005,$A159,請求記録!$X$6:$X$3005,M$5))))</f>
        <v/>
      </c>
      <c r="N159" s="19">
        <f>IF($A159="","",IF(COUNTIFS(請求記録!$B$6:$B$3005,$A159,請求記録!$X$6:$X$3005,N$5,請求記録!$AD$6:$AD$3005,"保留中")&gt;0,"保留",IF(COUNTIFS(請求記録!$B$6:$B$3005,$A159,請求記録!$X$6:$X$3005,N$5)=0,"",SUMIFS(請求記録!$AC$6:$AC$3005,請求記録!$B$6:$B$3005,$A159,請求記録!$X$6:$X$3005,N$5))))</f>
        <v/>
      </c>
      <c r="O159" s="19">
        <f>IF($A159="","",IF(COUNTIFS(請求記録!$B$6:$B$3005,$A159,請求記録!$X$6:$X$3005,O$5,請求記録!$AD$6:$AD$3005,"保留中")&gt;0,"保留",IF(COUNTIFS(請求記録!$B$6:$B$3005,$A159,請求記録!$X$6:$X$3005,O$5)=0,"",SUMIFS(請求記録!$AC$6:$AC$3005,請求記録!$B$6:$B$3005,$A159,請求記録!$X$6:$X$3005,O$5))))</f>
        <v/>
      </c>
      <c r="P159" s="19">
        <f>IF($A159="","",IF(COUNTIFS(請求記録!$B$6:$B$3005,$A159,請求記録!$X$6:$X$3005,P$5,請求記録!$AD$6:$AD$3005,"保留中")&gt;0,"保留",IF(COUNTIFS(請求記録!$B$6:$B$3005,$A159,請求記録!$X$6:$X$3005,P$5)=0,"",SUMIFS(請求記録!$AC$6:$AC$3005,請求記録!$B$6:$B$3005,$A159,請求記録!$X$6:$X$3005,P$5))))</f>
        <v/>
      </c>
      <c r="Q159" s="19">
        <f>IF($A159="","",IF(COUNTIFS(請求記録!$B$6:$B$3005,$A159,請求記録!$X$6:$X$3005,Q$5,請求記録!$AD$6:$AD$3005,"保留中")&gt;0,"保留",IF(COUNTIFS(請求記録!$B$6:$B$3005,$A159,請求記録!$X$6:$X$3005,Q$5)=0,"",SUMIFS(請求記録!$AC$6:$AC$3005,請求記録!$B$6:$B$3005,$A159,請求記録!$X$6:$X$3005,Q$5))))</f>
        <v/>
      </c>
      <c r="R159" s="19">
        <f>IF($A159="","",IF(COUNTIFS(請求記録!$B$6:$B$3005,$A159,請求記録!$X$6:$X$3005,R$5,請求記録!$AD$6:$AD$3005,"保留中")&gt;0,"保留",IF(COUNTIFS(請求記録!$B$6:$B$3005,$A159,請求記録!$X$6:$X$3005,R$5)=0,"",SUMIFS(請求記録!$AC$6:$AC$3005,請求記録!$B$6:$B$3005,$A159,請求記録!$X$6:$X$3005,R$5))))</f>
        <v/>
      </c>
      <c r="S159" s="19">
        <f>IF($A159="","",IF(COUNTIFS(請求記録!$B$6:$B$3005,$A159,請求記録!$X$6:$X$3005,S$5,請求記録!$AD$6:$AD$3005,"保留中")&gt;0,"保留",IF(COUNTIFS(請求記録!$B$6:$B$3005,$A159,請求記録!$X$6:$X$3005,S$5)=0,"",SUMIFS(請求記録!$AC$6:$AC$3005,請求記録!$B$6:$B$3005,$A159,請求記録!$X$6:$X$3005,S$5))))</f>
        <v/>
      </c>
      <c r="T159" s="19">
        <f>IF($A159="","",IF(COUNTIFS(請求記録!$B$6:$B$3005,$A159,請求記録!$X$6:$X$3005,T$5,請求記録!$AD$6:$AD$3005,"保留中")&gt;0,"保留",IF(COUNTIFS(請求記録!$B$6:$B$3005,$A159,請求記録!$X$6:$X$3005,T$5)=0,"",SUMIFS(請求記録!$AC$6:$AC$3005,請求記録!$B$6:$B$3005,$A159,請求記録!$X$6:$X$3005,T$5))))</f>
        <v/>
      </c>
      <c r="U159" s="19">
        <f>IF($A159="","",IF(COUNTIFS(請求記録!$B$6:$B$3005,$A159,請求記録!$X$6:$X$3005,U$5,請求記録!$AD$6:$AD$3005,"保留中")&gt;0,"保留",IF(COUNTIFS(請求記録!$B$6:$B$3005,$A159,請求記録!$X$6:$X$3005,U$5)=0,"",SUMIFS(請求記録!$AC$6:$AC$3005,請求記録!$B$6:$B$3005,$A159,請求記録!$X$6:$X$3005,U$5))))</f>
        <v/>
      </c>
      <c r="V159" s="19">
        <f>IF($A159="","",IF(COUNTIFS(請求記録!$B$6:$B$3005,$A159,請求記録!$X$6:$X$3005,V$5,請求記録!$AD$6:$AD$3005,"保留中")&gt;0,"保留",IF(COUNTIFS(請求記録!$B$6:$B$3005,$A159,請求記録!$X$6:$X$3005,V$5)=0,"",SUMIFS(請求記録!$AC$6:$AC$3005,請求記録!$B$6:$B$3005,$A159,請求記録!$X$6:$X$3005,V$5))))</f>
        <v/>
      </c>
      <c r="W159" s="19">
        <f>IF($A159="","",IF(COUNTIFS(請求記録!$B$6:$B$3005,$A159,請求記録!$X$6:$X$3005,W$5,請求記録!$AD$6:$AD$3005,"保留中")&gt;0,"保留",IF(COUNTIFS(請求記録!$B$6:$B$3005,$A159,請求記録!$X$6:$X$3005,W$5)=0,"",SUMIFS(請求記録!$AC$6:$AC$3005,請求記録!$B$6:$B$3005,$A159,請求記録!$X$6:$X$3005,W$5))))</f>
        <v/>
      </c>
      <c r="X159" s="19">
        <f>IF($A159="","",IF(COUNTIFS(請求記録!$B$6:$B$3005,$A159,請求記録!$X$6:$X$3005,X$5,請求記録!$AD$6:$AD$3005,"保留中")&gt;0,"保留",IF(COUNTIFS(請求記録!$B$6:$B$3005,$A159,請求記録!$X$6:$X$3005,X$5)=0,"",SUMIFS(請求記録!$AC$6:$AC$3005,請求記録!$B$6:$B$3005,$A159,請求記録!$X$6:$X$3005,X$5))))</f>
        <v/>
      </c>
      <c r="Y159" s="19">
        <f>IF($A159="","",IF(COUNTIFS(請求記録!$B$6:$B$3005,$A159,請求記録!$X$6:$X$3005,Y$5,請求記録!$AD$6:$AD$3005,"保留中")&gt;0,"保留",IF(COUNTIFS(請求記録!$B$6:$B$3005,$A159,請求記録!$X$6:$X$3005,Y$5)=0,"",SUMIFS(請求記録!$AC$6:$AC$3005,請求記録!$B$6:$B$3005,$A159,請求記録!$X$6:$X$3005,Y$5))))</f>
        <v/>
      </c>
      <c r="Z159" s="19">
        <f>IF($A159="","",IF(COUNTIFS(請求記録!$B$6:$B$3005,$A159,請求記録!$X$6:$X$3005,Z$5,請求記録!$AD$6:$AD$3005,"保留中")&gt;0,"保留",IF(COUNTIFS(請求記録!$B$6:$B$3005,$A159,請求記録!$X$6:$X$3005,Z$5)=0,"",SUMIFS(請求記録!$AC$6:$AC$3005,請求記録!$B$6:$B$3005,$A159,請求記録!$X$6:$X$3005,Z$5))))</f>
        <v/>
      </c>
      <c r="AA159" s="19">
        <f>IF($A159="","",IF(COUNTIFS(請求記録!$B$6:$B$3005,$A159,請求記録!$X$6:$X$3005,AA$5,請求記録!$AD$6:$AD$3005,"保留中")&gt;0,"保留",IF(COUNTIFS(請求記録!$B$6:$B$3005,$A159,請求記録!$X$6:$X$3005,AA$5)=0,"",SUMIFS(請求記録!$AC$6:$AC$3005,請求記録!$B$6:$B$3005,$A159,請求記録!$X$6:$X$3005,AA$5))))</f>
        <v/>
      </c>
      <c r="AB159">
        <f>IF(職員マスタ!P159="保留中",職員マスタ!M159,"")</f>
        <v/>
      </c>
    </row>
    <row r="160">
      <c r="A160">
        <f>IF(職員マスタ!A160="","",職員マスタ!A160)</f>
        <v/>
      </c>
      <c r="B160">
        <f>IF($A160="","",職員マスタ!B160)</f>
        <v/>
      </c>
      <c r="C160">
        <f>IF($A160="","",職員マスタ!C160)</f>
        <v/>
      </c>
      <c r="D160" s="19">
        <f>IF($A160="","",IF(COUNTIFS(請求記録!$B$6:$B$3005,$A160,請求記録!$X$6:$X$3005,D$5,請求記録!$AD$6:$AD$3005,"保留中")&gt;0,"保留",IF(COUNTIFS(請求記録!$B$6:$B$3005,$A160,請求記録!$X$6:$X$3005,D$5)=0,"",SUMIFS(請求記録!$AC$6:$AC$3005,請求記録!$B$6:$B$3005,$A160,請求記録!$X$6:$X$3005,D$5))))</f>
        <v/>
      </c>
      <c r="E160" s="19">
        <f>IF($A160="","",IF(COUNTIFS(請求記録!$B$6:$B$3005,$A160,請求記録!$X$6:$X$3005,E$5,請求記録!$AD$6:$AD$3005,"保留中")&gt;0,"保留",IF(COUNTIFS(請求記録!$B$6:$B$3005,$A160,請求記録!$X$6:$X$3005,E$5)=0,"",SUMIFS(請求記録!$AC$6:$AC$3005,請求記録!$B$6:$B$3005,$A160,請求記録!$X$6:$X$3005,E$5))))</f>
        <v/>
      </c>
      <c r="F160" s="19">
        <f>IF($A160="","",IF(COUNTIFS(請求記録!$B$6:$B$3005,$A160,請求記録!$X$6:$X$3005,F$5,請求記録!$AD$6:$AD$3005,"保留中")&gt;0,"保留",IF(COUNTIFS(請求記録!$B$6:$B$3005,$A160,請求記録!$X$6:$X$3005,F$5)=0,"",SUMIFS(請求記録!$AC$6:$AC$3005,請求記録!$B$6:$B$3005,$A160,請求記録!$X$6:$X$3005,F$5))))</f>
        <v/>
      </c>
      <c r="G160" s="19">
        <f>IF($A160="","",IF(COUNTIFS(請求記録!$B$6:$B$3005,$A160,請求記録!$X$6:$X$3005,G$5,請求記録!$AD$6:$AD$3005,"保留中")&gt;0,"保留",IF(COUNTIFS(請求記録!$B$6:$B$3005,$A160,請求記録!$X$6:$X$3005,G$5)=0,"",SUMIFS(請求記録!$AC$6:$AC$3005,請求記録!$B$6:$B$3005,$A160,請求記録!$X$6:$X$3005,G$5))))</f>
        <v/>
      </c>
      <c r="H160" s="19">
        <f>IF($A160="","",IF(COUNTIFS(請求記録!$B$6:$B$3005,$A160,請求記録!$X$6:$X$3005,H$5,請求記録!$AD$6:$AD$3005,"保留中")&gt;0,"保留",IF(COUNTIFS(請求記録!$B$6:$B$3005,$A160,請求記録!$X$6:$X$3005,H$5)=0,"",SUMIFS(請求記録!$AC$6:$AC$3005,請求記録!$B$6:$B$3005,$A160,請求記録!$X$6:$X$3005,H$5))))</f>
        <v/>
      </c>
      <c r="I160" s="19">
        <f>IF($A160="","",IF(COUNTIFS(請求記録!$B$6:$B$3005,$A160,請求記録!$X$6:$X$3005,I$5,請求記録!$AD$6:$AD$3005,"保留中")&gt;0,"保留",IF(COUNTIFS(請求記録!$B$6:$B$3005,$A160,請求記録!$X$6:$X$3005,I$5)=0,"",SUMIFS(請求記録!$AC$6:$AC$3005,請求記録!$B$6:$B$3005,$A160,請求記録!$X$6:$X$3005,I$5))))</f>
        <v/>
      </c>
      <c r="J160" s="19">
        <f>IF($A160="","",IF(COUNTIFS(請求記録!$B$6:$B$3005,$A160,請求記録!$X$6:$X$3005,J$5,請求記録!$AD$6:$AD$3005,"保留中")&gt;0,"保留",IF(COUNTIFS(請求記録!$B$6:$B$3005,$A160,請求記録!$X$6:$X$3005,J$5)=0,"",SUMIFS(請求記録!$AC$6:$AC$3005,請求記録!$B$6:$B$3005,$A160,請求記録!$X$6:$X$3005,J$5))))</f>
        <v/>
      </c>
      <c r="K160" s="19">
        <f>IF($A160="","",IF(COUNTIFS(請求記録!$B$6:$B$3005,$A160,請求記録!$X$6:$X$3005,K$5,請求記録!$AD$6:$AD$3005,"保留中")&gt;0,"保留",IF(COUNTIFS(請求記録!$B$6:$B$3005,$A160,請求記録!$X$6:$X$3005,K$5)=0,"",SUMIFS(請求記録!$AC$6:$AC$3005,請求記録!$B$6:$B$3005,$A160,請求記録!$X$6:$X$3005,K$5))))</f>
        <v/>
      </c>
      <c r="L160" s="19">
        <f>IF($A160="","",IF(COUNTIFS(請求記録!$B$6:$B$3005,$A160,請求記録!$X$6:$X$3005,L$5,請求記録!$AD$6:$AD$3005,"保留中")&gt;0,"保留",IF(COUNTIFS(請求記録!$B$6:$B$3005,$A160,請求記録!$X$6:$X$3005,L$5)=0,"",SUMIFS(請求記録!$AC$6:$AC$3005,請求記録!$B$6:$B$3005,$A160,請求記録!$X$6:$X$3005,L$5))))</f>
        <v/>
      </c>
      <c r="M160" s="19">
        <f>IF($A160="","",IF(COUNTIFS(請求記録!$B$6:$B$3005,$A160,請求記録!$X$6:$X$3005,M$5,請求記録!$AD$6:$AD$3005,"保留中")&gt;0,"保留",IF(COUNTIFS(請求記録!$B$6:$B$3005,$A160,請求記録!$X$6:$X$3005,M$5)=0,"",SUMIFS(請求記録!$AC$6:$AC$3005,請求記録!$B$6:$B$3005,$A160,請求記録!$X$6:$X$3005,M$5))))</f>
        <v/>
      </c>
      <c r="N160" s="19">
        <f>IF($A160="","",IF(COUNTIFS(請求記録!$B$6:$B$3005,$A160,請求記録!$X$6:$X$3005,N$5,請求記録!$AD$6:$AD$3005,"保留中")&gt;0,"保留",IF(COUNTIFS(請求記録!$B$6:$B$3005,$A160,請求記録!$X$6:$X$3005,N$5)=0,"",SUMIFS(請求記録!$AC$6:$AC$3005,請求記録!$B$6:$B$3005,$A160,請求記録!$X$6:$X$3005,N$5))))</f>
        <v/>
      </c>
      <c r="O160" s="19">
        <f>IF($A160="","",IF(COUNTIFS(請求記録!$B$6:$B$3005,$A160,請求記録!$X$6:$X$3005,O$5,請求記録!$AD$6:$AD$3005,"保留中")&gt;0,"保留",IF(COUNTIFS(請求記録!$B$6:$B$3005,$A160,請求記録!$X$6:$X$3005,O$5)=0,"",SUMIFS(請求記録!$AC$6:$AC$3005,請求記録!$B$6:$B$3005,$A160,請求記録!$X$6:$X$3005,O$5))))</f>
        <v/>
      </c>
      <c r="P160" s="19">
        <f>IF($A160="","",IF(COUNTIFS(請求記録!$B$6:$B$3005,$A160,請求記録!$X$6:$X$3005,P$5,請求記録!$AD$6:$AD$3005,"保留中")&gt;0,"保留",IF(COUNTIFS(請求記録!$B$6:$B$3005,$A160,請求記録!$X$6:$X$3005,P$5)=0,"",SUMIFS(請求記録!$AC$6:$AC$3005,請求記録!$B$6:$B$3005,$A160,請求記録!$X$6:$X$3005,P$5))))</f>
        <v/>
      </c>
      <c r="Q160" s="19">
        <f>IF($A160="","",IF(COUNTIFS(請求記録!$B$6:$B$3005,$A160,請求記録!$X$6:$X$3005,Q$5,請求記録!$AD$6:$AD$3005,"保留中")&gt;0,"保留",IF(COUNTIFS(請求記録!$B$6:$B$3005,$A160,請求記録!$X$6:$X$3005,Q$5)=0,"",SUMIFS(請求記録!$AC$6:$AC$3005,請求記録!$B$6:$B$3005,$A160,請求記録!$X$6:$X$3005,Q$5))))</f>
        <v/>
      </c>
      <c r="R160" s="19">
        <f>IF($A160="","",IF(COUNTIFS(請求記録!$B$6:$B$3005,$A160,請求記録!$X$6:$X$3005,R$5,請求記録!$AD$6:$AD$3005,"保留中")&gt;0,"保留",IF(COUNTIFS(請求記録!$B$6:$B$3005,$A160,請求記録!$X$6:$X$3005,R$5)=0,"",SUMIFS(請求記録!$AC$6:$AC$3005,請求記録!$B$6:$B$3005,$A160,請求記録!$X$6:$X$3005,R$5))))</f>
        <v/>
      </c>
      <c r="S160" s="19">
        <f>IF($A160="","",IF(COUNTIFS(請求記録!$B$6:$B$3005,$A160,請求記録!$X$6:$X$3005,S$5,請求記録!$AD$6:$AD$3005,"保留中")&gt;0,"保留",IF(COUNTIFS(請求記録!$B$6:$B$3005,$A160,請求記録!$X$6:$X$3005,S$5)=0,"",SUMIFS(請求記録!$AC$6:$AC$3005,請求記録!$B$6:$B$3005,$A160,請求記録!$X$6:$X$3005,S$5))))</f>
        <v/>
      </c>
      <c r="T160" s="19">
        <f>IF($A160="","",IF(COUNTIFS(請求記録!$B$6:$B$3005,$A160,請求記録!$X$6:$X$3005,T$5,請求記録!$AD$6:$AD$3005,"保留中")&gt;0,"保留",IF(COUNTIFS(請求記録!$B$6:$B$3005,$A160,請求記録!$X$6:$X$3005,T$5)=0,"",SUMIFS(請求記録!$AC$6:$AC$3005,請求記録!$B$6:$B$3005,$A160,請求記録!$X$6:$X$3005,T$5))))</f>
        <v/>
      </c>
      <c r="U160" s="19">
        <f>IF($A160="","",IF(COUNTIFS(請求記録!$B$6:$B$3005,$A160,請求記録!$X$6:$X$3005,U$5,請求記録!$AD$6:$AD$3005,"保留中")&gt;0,"保留",IF(COUNTIFS(請求記録!$B$6:$B$3005,$A160,請求記録!$X$6:$X$3005,U$5)=0,"",SUMIFS(請求記録!$AC$6:$AC$3005,請求記録!$B$6:$B$3005,$A160,請求記録!$X$6:$X$3005,U$5))))</f>
        <v/>
      </c>
      <c r="V160" s="19">
        <f>IF($A160="","",IF(COUNTIFS(請求記録!$B$6:$B$3005,$A160,請求記録!$X$6:$X$3005,V$5,請求記録!$AD$6:$AD$3005,"保留中")&gt;0,"保留",IF(COUNTIFS(請求記録!$B$6:$B$3005,$A160,請求記録!$X$6:$X$3005,V$5)=0,"",SUMIFS(請求記録!$AC$6:$AC$3005,請求記録!$B$6:$B$3005,$A160,請求記録!$X$6:$X$3005,V$5))))</f>
        <v/>
      </c>
      <c r="W160" s="19">
        <f>IF($A160="","",IF(COUNTIFS(請求記録!$B$6:$B$3005,$A160,請求記録!$X$6:$X$3005,W$5,請求記録!$AD$6:$AD$3005,"保留中")&gt;0,"保留",IF(COUNTIFS(請求記録!$B$6:$B$3005,$A160,請求記録!$X$6:$X$3005,W$5)=0,"",SUMIFS(請求記録!$AC$6:$AC$3005,請求記録!$B$6:$B$3005,$A160,請求記録!$X$6:$X$3005,W$5))))</f>
        <v/>
      </c>
      <c r="X160" s="19">
        <f>IF($A160="","",IF(COUNTIFS(請求記録!$B$6:$B$3005,$A160,請求記録!$X$6:$X$3005,X$5,請求記録!$AD$6:$AD$3005,"保留中")&gt;0,"保留",IF(COUNTIFS(請求記録!$B$6:$B$3005,$A160,請求記録!$X$6:$X$3005,X$5)=0,"",SUMIFS(請求記録!$AC$6:$AC$3005,請求記録!$B$6:$B$3005,$A160,請求記録!$X$6:$X$3005,X$5))))</f>
        <v/>
      </c>
      <c r="Y160" s="19">
        <f>IF($A160="","",IF(COUNTIFS(請求記録!$B$6:$B$3005,$A160,請求記録!$X$6:$X$3005,Y$5,請求記録!$AD$6:$AD$3005,"保留中")&gt;0,"保留",IF(COUNTIFS(請求記録!$B$6:$B$3005,$A160,請求記録!$X$6:$X$3005,Y$5)=0,"",SUMIFS(請求記録!$AC$6:$AC$3005,請求記録!$B$6:$B$3005,$A160,請求記録!$X$6:$X$3005,Y$5))))</f>
        <v/>
      </c>
      <c r="Z160" s="19">
        <f>IF($A160="","",IF(COUNTIFS(請求記録!$B$6:$B$3005,$A160,請求記録!$X$6:$X$3005,Z$5,請求記録!$AD$6:$AD$3005,"保留中")&gt;0,"保留",IF(COUNTIFS(請求記録!$B$6:$B$3005,$A160,請求記録!$X$6:$X$3005,Z$5)=0,"",SUMIFS(請求記録!$AC$6:$AC$3005,請求記録!$B$6:$B$3005,$A160,請求記録!$X$6:$X$3005,Z$5))))</f>
        <v/>
      </c>
      <c r="AA160" s="19">
        <f>IF($A160="","",IF(COUNTIFS(請求記録!$B$6:$B$3005,$A160,請求記録!$X$6:$X$3005,AA$5,請求記録!$AD$6:$AD$3005,"保留中")&gt;0,"保留",IF(COUNTIFS(請求記録!$B$6:$B$3005,$A160,請求記録!$X$6:$X$3005,AA$5)=0,"",SUMIFS(請求記録!$AC$6:$AC$3005,請求記録!$B$6:$B$3005,$A160,請求記録!$X$6:$X$3005,AA$5))))</f>
        <v/>
      </c>
      <c r="AB160">
        <f>IF(職員マスタ!P160="保留中",職員マスタ!M160,"")</f>
        <v/>
      </c>
    </row>
    <row r="161">
      <c r="A161">
        <f>IF(職員マスタ!A161="","",職員マスタ!A161)</f>
        <v/>
      </c>
      <c r="B161">
        <f>IF($A161="","",職員マスタ!B161)</f>
        <v/>
      </c>
      <c r="C161">
        <f>IF($A161="","",職員マスタ!C161)</f>
        <v/>
      </c>
      <c r="D161" s="19">
        <f>IF($A161="","",IF(COUNTIFS(請求記録!$B$6:$B$3005,$A161,請求記録!$X$6:$X$3005,D$5,請求記録!$AD$6:$AD$3005,"保留中")&gt;0,"保留",IF(COUNTIFS(請求記録!$B$6:$B$3005,$A161,請求記録!$X$6:$X$3005,D$5)=0,"",SUMIFS(請求記録!$AC$6:$AC$3005,請求記録!$B$6:$B$3005,$A161,請求記録!$X$6:$X$3005,D$5))))</f>
        <v/>
      </c>
      <c r="E161" s="19">
        <f>IF($A161="","",IF(COUNTIFS(請求記録!$B$6:$B$3005,$A161,請求記録!$X$6:$X$3005,E$5,請求記録!$AD$6:$AD$3005,"保留中")&gt;0,"保留",IF(COUNTIFS(請求記録!$B$6:$B$3005,$A161,請求記録!$X$6:$X$3005,E$5)=0,"",SUMIFS(請求記録!$AC$6:$AC$3005,請求記録!$B$6:$B$3005,$A161,請求記録!$X$6:$X$3005,E$5))))</f>
        <v/>
      </c>
      <c r="F161" s="19">
        <f>IF($A161="","",IF(COUNTIFS(請求記録!$B$6:$B$3005,$A161,請求記録!$X$6:$X$3005,F$5,請求記録!$AD$6:$AD$3005,"保留中")&gt;0,"保留",IF(COUNTIFS(請求記録!$B$6:$B$3005,$A161,請求記録!$X$6:$X$3005,F$5)=0,"",SUMIFS(請求記録!$AC$6:$AC$3005,請求記録!$B$6:$B$3005,$A161,請求記録!$X$6:$X$3005,F$5))))</f>
        <v/>
      </c>
      <c r="G161" s="19">
        <f>IF($A161="","",IF(COUNTIFS(請求記録!$B$6:$B$3005,$A161,請求記録!$X$6:$X$3005,G$5,請求記録!$AD$6:$AD$3005,"保留中")&gt;0,"保留",IF(COUNTIFS(請求記録!$B$6:$B$3005,$A161,請求記録!$X$6:$X$3005,G$5)=0,"",SUMIFS(請求記録!$AC$6:$AC$3005,請求記録!$B$6:$B$3005,$A161,請求記録!$X$6:$X$3005,G$5))))</f>
        <v/>
      </c>
      <c r="H161" s="19">
        <f>IF($A161="","",IF(COUNTIFS(請求記録!$B$6:$B$3005,$A161,請求記録!$X$6:$X$3005,H$5,請求記録!$AD$6:$AD$3005,"保留中")&gt;0,"保留",IF(COUNTIFS(請求記録!$B$6:$B$3005,$A161,請求記録!$X$6:$X$3005,H$5)=0,"",SUMIFS(請求記録!$AC$6:$AC$3005,請求記録!$B$6:$B$3005,$A161,請求記録!$X$6:$X$3005,H$5))))</f>
        <v/>
      </c>
      <c r="I161" s="19">
        <f>IF($A161="","",IF(COUNTIFS(請求記録!$B$6:$B$3005,$A161,請求記録!$X$6:$X$3005,I$5,請求記録!$AD$6:$AD$3005,"保留中")&gt;0,"保留",IF(COUNTIFS(請求記録!$B$6:$B$3005,$A161,請求記録!$X$6:$X$3005,I$5)=0,"",SUMIFS(請求記録!$AC$6:$AC$3005,請求記録!$B$6:$B$3005,$A161,請求記録!$X$6:$X$3005,I$5))))</f>
        <v/>
      </c>
      <c r="J161" s="19">
        <f>IF($A161="","",IF(COUNTIFS(請求記録!$B$6:$B$3005,$A161,請求記録!$X$6:$X$3005,J$5,請求記録!$AD$6:$AD$3005,"保留中")&gt;0,"保留",IF(COUNTIFS(請求記録!$B$6:$B$3005,$A161,請求記録!$X$6:$X$3005,J$5)=0,"",SUMIFS(請求記録!$AC$6:$AC$3005,請求記録!$B$6:$B$3005,$A161,請求記録!$X$6:$X$3005,J$5))))</f>
        <v/>
      </c>
      <c r="K161" s="19">
        <f>IF($A161="","",IF(COUNTIFS(請求記録!$B$6:$B$3005,$A161,請求記録!$X$6:$X$3005,K$5,請求記録!$AD$6:$AD$3005,"保留中")&gt;0,"保留",IF(COUNTIFS(請求記録!$B$6:$B$3005,$A161,請求記録!$X$6:$X$3005,K$5)=0,"",SUMIFS(請求記録!$AC$6:$AC$3005,請求記録!$B$6:$B$3005,$A161,請求記録!$X$6:$X$3005,K$5))))</f>
        <v/>
      </c>
      <c r="L161" s="19">
        <f>IF($A161="","",IF(COUNTIFS(請求記録!$B$6:$B$3005,$A161,請求記録!$X$6:$X$3005,L$5,請求記録!$AD$6:$AD$3005,"保留中")&gt;0,"保留",IF(COUNTIFS(請求記録!$B$6:$B$3005,$A161,請求記録!$X$6:$X$3005,L$5)=0,"",SUMIFS(請求記録!$AC$6:$AC$3005,請求記録!$B$6:$B$3005,$A161,請求記録!$X$6:$X$3005,L$5))))</f>
        <v/>
      </c>
      <c r="M161" s="19">
        <f>IF($A161="","",IF(COUNTIFS(請求記録!$B$6:$B$3005,$A161,請求記録!$X$6:$X$3005,M$5,請求記録!$AD$6:$AD$3005,"保留中")&gt;0,"保留",IF(COUNTIFS(請求記録!$B$6:$B$3005,$A161,請求記録!$X$6:$X$3005,M$5)=0,"",SUMIFS(請求記録!$AC$6:$AC$3005,請求記録!$B$6:$B$3005,$A161,請求記録!$X$6:$X$3005,M$5))))</f>
        <v/>
      </c>
      <c r="N161" s="19">
        <f>IF($A161="","",IF(COUNTIFS(請求記録!$B$6:$B$3005,$A161,請求記録!$X$6:$X$3005,N$5,請求記録!$AD$6:$AD$3005,"保留中")&gt;0,"保留",IF(COUNTIFS(請求記録!$B$6:$B$3005,$A161,請求記録!$X$6:$X$3005,N$5)=0,"",SUMIFS(請求記録!$AC$6:$AC$3005,請求記録!$B$6:$B$3005,$A161,請求記録!$X$6:$X$3005,N$5))))</f>
        <v/>
      </c>
      <c r="O161" s="19">
        <f>IF($A161="","",IF(COUNTIFS(請求記録!$B$6:$B$3005,$A161,請求記録!$X$6:$X$3005,O$5,請求記録!$AD$6:$AD$3005,"保留中")&gt;0,"保留",IF(COUNTIFS(請求記録!$B$6:$B$3005,$A161,請求記録!$X$6:$X$3005,O$5)=0,"",SUMIFS(請求記録!$AC$6:$AC$3005,請求記録!$B$6:$B$3005,$A161,請求記録!$X$6:$X$3005,O$5))))</f>
        <v/>
      </c>
      <c r="P161" s="19">
        <f>IF($A161="","",IF(COUNTIFS(請求記録!$B$6:$B$3005,$A161,請求記録!$X$6:$X$3005,P$5,請求記録!$AD$6:$AD$3005,"保留中")&gt;0,"保留",IF(COUNTIFS(請求記録!$B$6:$B$3005,$A161,請求記録!$X$6:$X$3005,P$5)=0,"",SUMIFS(請求記録!$AC$6:$AC$3005,請求記録!$B$6:$B$3005,$A161,請求記録!$X$6:$X$3005,P$5))))</f>
        <v/>
      </c>
      <c r="Q161" s="19">
        <f>IF($A161="","",IF(COUNTIFS(請求記録!$B$6:$B$3005,$A161,請求記録!$X$6:$X$3005,Q$5,請求記録!$AD$6:$AD$3005,"保留中")&gt;0,"保留",IF(COUNTIFS(請求記録!$B$6:$B$3005,$A161,請求記録!$X$6:$X$3005,Q$5)=0,"",SUMIFS(請求記録!$AC$6:$AC$3005,請求記録!$B$6:$B$3005,$A161,請求記録!$X$6:$X$3005,Q$5))))</f>
        <v/>
      </c>
      <c r="R161" s="19">
        <f>IF($A161="","",IF(COUNTIFS(請求記録!$B$6:$B$3005,$A161,請求記録!$X$6:$X$3005,R$5,請求記録!$AD$6:$AD$3005,"保留中")&gt;0,"保留",IF(COUNTIFS(請求記録!$B$6:$B$3005,$A161,請求記録!$X$6:$X$3005,R$5)=0,"",SUMIFS(請求記録!$AC$6:$AC$3005,請求記録!$B$6:$B$3005,$A161,請求記録!$X$6:$X$3005,R$5))))</f>
        <v/>
      </c>
      <c r="S161" s="19">
        <f>IF($A161="","",IF(COUNTIFS(請求記録!$B$6:$B$3005,$A161,請求記録!$X$6:$X$3005,S$5,請求記録!$AD$6:$AD$3005,"保留中")&gt;0,"保留",IF(COUNTIFS(請求記録!$B$6:$B$3005,$A161,請求記録!$X$6:$X$3005,S$5)=0,"",SUMIFS(請求記録!$AC$6:$AC$3005,請求記録!$B$6:$B$3005,$A161,請求記録!$X$6:$X$3005,S$5))))</f>
        <v/>
      </c>
      <c r="T161" s="19">
        <f>IF($A161="","",IF(COUNTIFS(請求記録!$B$6:$B$3005,$A161,請求記録!$X$6:$X$3005,T$5,請求記録!$AD$6:$AD$3005,"保留中")&gt;0,"保留",IF(COUNTIFS(請求記録!$B$6:$B$3005,$A161,請求記録!$X$6:$X$3005,T$5)=0,"",SUMIFS(請求記録!$AC$6:$AC$3005,請求記録!$B$6:$B$3005,$A161,請求記録!$X$6:$X$3005,T$5))))</f>
        <v/>
      </c>
      <c r="U161" s="19">
        <f>IF($A161="","",IF(COUNTIFS(請求記録!$B$6:$B$3005,$A161,請求記録!$X$6:$X$3005,U$5,請求記録!$AD$6:$AD$3005,"保留中")&gt;0,"保留",IF(COUNTIFS(請求記録!$B$6:$B$3005,$A161,請求記録!$X$6:$X$3005,U$5)=0,"",SUMIFS(請求記録!$AC$6:$AC$3005,請求記録!$B$6:$B$3005,$A161,請求記録!$X$6:$X$3005,U$5))))</f>
        <v/>
      </c>
      <c r="V161" s="19">
        <f>IF($A161="","",IF(COUNTIFS(請求記録!$B$6:$B$3005,$A161,請求記録!$X$6:$X$3005,V$5,請求記録!$AD$6:$AD$3005,"保留中")&gt;0,"保留",IF(COUNTIFS(請求記録!$B$6:$B$3005,$A161,請求記録!$X$6:$X$3005,V$5)=0,"",SUMIFS(請求記録!$AC$6:$AC$3005,請求記録!$B$6:$B$3005,$A161,請求記録!$X$6:$X$3005,V$5))))</f>
        <v/>
      </c>
      <c r="W161" s="19">
        <f>IF($A161="","",IF(COUNTIFS(請求記録!$B$6:$B$3005,$A161,請求記録!$X$6:$X$3005,W$5,請求記録!$AD$6:$AD$3005,"保留中")&gt;0,"保留",IF(COUNTIFS(請求記録!$B$6:$B$3005,$A161,請求記録!$X$6:$X$3005,W$5)=0,"",SUMIFS(請求記録!$AC$6:$AC$3005,請求記録!$B$6:$B$3005,$A161,請求記録!$X$6:$X$3005,W$5))))</f>
        <v/>
      </c>
      <c r="X161" s="19">
        <f>IF($A161="","",IF(COUNTIFS(請求記録!$B$6:$B$3005,$A161,請求記録!$X$6:$X$3005,X$5,請求記録!$AD$6:$AD$3005,"保留中")&gt;0,"保留",IF(COUNTIFS(請求記録!$B$6:$B$3005,$A161,請求記録!$X$6:$X$3005,X$5)=0,"",SUMIFS(請求記録!$AC$6:$AC$3005,請求記録!$B$6:$B$3005,$A161,請求記録!$X$6:$X$3005,X$5))))</f>
        <v/>
      </c>
      <c r="Y161" s="19">
        <f>IF($A161="","",IF(COUNTIFS(請求記録!$B$6:$B$3005,$A161,請求記録!$X$6:$X$3005,Y$5,請求記録!$AD$6:$AD$3005,"保留中")&gt;0,"保留",IF(COUNTIFS(請求記録!$B$6:$B$3005,$A161,請求記録!$X$6:$X$3005,Y$5)=0,"",SUMIFS(請求記録!$AC$6:$AC$3005,請求記録!$B$6:$B$3005,$A161,請求記録!$X$6:$X$3005,Y$5))))</f>
        <v/>
      </c>
      <c r="Z161" s="19">
        <f>IF($A161="","",IF(COUNTIFS(請求記録!$B$6:$B$3005,$A161,請求記録!$X$6:$X$3005,Z$5,請求記録!$AD$6:$AD$3005,"保留中")&gt;0,"保留",IF(COUNTIFS(請求記録!$B$6:$B$3005,$A161,請求記録!$X$6:$X$3005,Z$5)=0,"",SUMIFS(請求記録!$AC$6:$AC$3005,請求記録!$B$6:$B$3005,$A161,請求記録!$X$6:$X$3005,Z$5))))</f>
        <v/>
      </c>
      <c r="AA161" s="19">
        <f>IF($A161="","",IF(COUNTIFS(請求記録!$B$6:$B$3005,$A161,請求記録!$X$6:$X$3005,AA$5,請求記録!$AD$6:$AD$3005,"保留中")&gt;0,"保留",IF(COUNTIFS(請求記録!$B$6:$B$3005,$A161,請求記録!$X$6:$X$3005,AA$5)=0,"",SUMIFS(請求記録!$AC$6:$AC$3005,請求記録!$B$6:$B$3005,$A161,請求記録!$X$6:$X$3005,AA$5))))</f>
        <v/>
      </c>
      <c r="AB161">
        <f>IF(職員マスタ!P161="保留中",職員マスタ!M161,"")</f>
        <v/>
      </c>
    </row>
    <row r="162">
      <c r="A162">
        <f>IF(職員マスタ!A162="","",職員マスタ!A162)</f>
        <v/>
      </c>
      <c r="B162">
        <f>IF($A162="","",職員マスタ!B162)</f>
        <v/>
      </c>
      <c r="C162">
        <f>IF($A162="","",職員マスタ!C162)</f>
        <v/>
      </c>
      <c r="D162" s="19">
        <f>IF($A162="","",IF(COUNTIFS(請求記録!$B$6:$B$3005,$A162,請求記録!$X$6:$X$3005,D$5,請求記録!$AD$6:$AD$3005,"保留中")&gt;0,"保留",IF(COUNTIFS(請求記録!$B$6:$B$3005,$A162,請求記録!$X$6:$X$3005,D$5)=0,"",SUMIFS(請求記録!$AC$6:$AC$3005,請求記録!$B$6:$B$3005,$A162,請求記録!$X$6:$X$3005,D$5))))</f>
        <v/>
      </c>
      <c r="E162" s="19">
        <f>IF($A162="","",IF(COUNTIFS(請求記録!$B$6:$B$3005,$A162,請求記録!$X$6:$X$3005,E$5,請求記録!$AD$6:$AD$3005,"保留中")&gt;0,"保留",IF(COUNTIFS(請求記録!$B$6:$B$3005,$A162,請求記録!$X$6:$X$3005,E$5)=0,"",SUMIFS(請求記録!$AC$6:$AC$3005,請求記録!$B$6:$B$3005,$A162,請求記録!$X$6:$X$3005,E$5))))</f>
        <v/>
      </c>
      <c r="F162" s="19">
        <f>IF($A162="","",IF(COUNTIFS(請求記録!$B$6:$B$3005,$A162,請求記録!$X$6:$X$3005,F$5,請求記録!$AD$6:$AD$3005,"保留中")&gt;0,"保留",IF(COUNTIFS(請求記録!$B$6:$B$3005,$A162,請求記録!$X$6:$X$3005,F$5)=0,"",SUMIFS(請求記録!$AC$6:$AC$3005,請求記録!$B$6:$B$3005,$A162,請求記録!$X$6:$X$3005,F$5))))</f>
        <v/>
      </c>
      <c r="G162" s="19">
        <f>IF($A162="","",IF(COUNTIFS(請求記録!$B$6:$B$3005,$A162,請求記録!$X$6:$X$3005,G$5,請求記録!$AD$6:$AD$3005,"保留中")&gt;0,"保留",IF(COUNTIFS(請求記録!$B$6:$B$3005,$A162,請求記録!$X$6:$X$3005,G$5)=0,"",SUMIFS(請求記録!$AC$6:$AC$3005,請求記録!$B$6:$B$3005,$A162,請求記録!$X$6:$X$3005,G$5))))</f>
        <v/>
      </c>
      <c r="H162" s="19">
        <f>IF($A162="","",IF(COUNTIFS(請求記録!$B$6:$B$3005,$A162,請求記録!$X$6:$X$3005,H$5,請求記録!$AD$6:$AD$3005,"保留中")&gt;0,"保留",IF(COUNTIFS(請求記録!$B$6:$B$3005,$A162,請求記録!$X$6:$X$3005,H$5)=0,"",SUMIFS(請求記録!$AC$6:$AC$3005,請求記録!$B$6:$B$3005,$A162,請求記録!$X$6:$X$3005,H$5))))</f>
        <v/>
      </c>
      <c r="I162" s="19">
        <f>IF($A162="","",IF(COUNTIFS(請求記録!$B$6:$B$3005,$A162,請求記録!$X$6:$X$3005,I$5,請求記録!$AD$6:$AD$3005,"保留中")&gt;0,"保留",IF(COUNTIFS(請求記録!$B$6:$B$3005,$A162,請求記録!$X$6:$X$3005,I$5)=0,"",SUMIFS(請求記録!$AC$6:$AC$3005,請求記録!$B$6:$B$3005,$A162,請求記録!$X$6:$X$3005,I$5))))</f>
        <v/>
      </c>
      <c r="J162" s="19">
        <f>IF($A162="","",IF(COUNTIFS(請求記録!$B$6:$B$3005,$A162,請求記録!$X$6:$X$3005,J$5,請求記録!$AD$6:$AD$3005,"保留中")&gt;0,"保留",IF(COUNTIFS(請求記録!$B$6:$B$3005,$A162,請求記録!$X$6:$X$3005,J$5)=0,"",SUMIFS(請求記録!$AC$6:$AC$3005,請求記録!$B$6:$B$3005,$A162,請求記録!$X$6:$X$3005,J$5))))</f>
        <v/>
      </c>
      <c r="K162" s="19">
        <f>IF($A162="","",IF(COUNTIFS(請求記録!$B$6:$B$3005,$A162,請求記録!$X$6:$X$3005,K$5,請求記録!$AD$6:$AD$3005,"保留中")&gt;0,"保留",IF(COUNTIFS(請求記録!$B$6:$B$3005,$A162,請求記録!$X$6:$X$3005,K$5)=0,"",SUMIFS(請求記録!$AC$6:$AC$3005,請求記録!$B$6:$B$3005,$A162,請求記録!$X$6:$X$3005,K$5))))</f>
        <v/>
      </c>
      <c r="L162" s="19">
        <f>IF($A162="","",IF(COUNTIFS(請求記録!$B$6:$B$3005,$A162,請求記録!$X$6:$X$3005,L$5,請求記録!$AD$6:$AD$3005,"保留中")&gt;0,"保留",IF(COUNTIFS(請求記録!$B$6:$B$3005,$A162,請求記録!$X$6:$X$3005,L$5)=0,"",SUMIFS(請求記録!$AC$6:$AC$3005,請求記録!$B$6:$B$3005,$A162,請求記録!$X$6:$X$3005,L$5))))</f>
        <v/>
      </c>
      <c r="M162" s="19">
        <f>IF($A162="","",IF(COUNTIFS(請求記録!$B$6:$B$3005,$A162,請求記録!$X$6:$X$3005,M$5,請求記録!$AD$6:$AD$3005,"保留中")&gt;0,"保留",IF(COUNTIFS(請求記録!$B$6:$B$3005,$A162,請求記録!$X$6:$X$3005,M$5)=0,"",SUMIFS(請求記録!$AC$6:$AC$3005,請求記録!$B$6:$B$3005,$A162,請求記録!$X$6:$X$3005,M$5))))</f>
        <v/>
      </c>
      <c r="N162" s="19">
        <f>IF($A162="","",IF(COUNTIFS(請求記録!$B$6:$B$3005,$A162,請求記録!$X$6:$X$3005,N$5,請求記録!$AD$6:$AD$3005,"保留中")&gt;0,"保留",IF(COUNTIFS(請求記録!$B$6:$B$3005,$A162,請求記録!$X$6:$X$3005,N$5)=0,"",SUMIFS(請求記録!$AC$6:$AC$3005,請求記録!$B$6:$B$3005,$A162,請求記録!$X$6:$X$3005,N$5))))</f>
        <v/>
      </c>
      <c r="O162" s="19">
        <f>IF($A162="","",IF(COUNTIFS(請求記録!$B$6:$B$3005,$A162,請求記録!$X$6:$X$3005,O$5,請求記録!$AD$6:$AD$3005,"保留中")&gt;0,"保留",IF(COUNTIFS(請求記録!$B$6:$B$3005,$A162,請求記録!$X$6:$X$3005,O$5)=0,"",SUMIFS(請求記録!$AC$6:$AC$3005,請求記録!$B$6:$B$3005,$A162,請求記録!$X$6:$X$3005,O$5))))</f>
        <v/>
      </c>
      <c r="P162" s="19">
        <f>IF($A162="","",IF(COUNTIFS(請求記録!$B$6:$B$3005,$A162,請求記録!$X$6:$X$3005,P$5,請求記録!$AD$6:$AD$3005,"保留中")&gt;0,"保留",IF(COUNTIFS(請求記録!$B$6:$B$3005,$A162,請求記録!$X$6:$X$3005,P$5)=0,"",SUMIFS(請求記録!$AC$6:$AC$3005,請求記録!$B$6:$B$3005,$A162,請求記録!$X$6:$X$3005,P$5))))</f>
        <v/>
      </c>
      <c r="Q162" s="19">
        <f>IF($A162="","",IF(COUNTIFS(請求記録!$B$6:$B$3005,$A162,請求記録!$X$6:$X$3005,Q$5,請求記録!$AD$6:$AD$3005,"保留中")&gt;0,"保留",IF(COUNTIFS(請求記録!$B$6:$B$3005,$A162,請求記録!$X$6:$X$3005,Q$5)=0,"",SUMIFS(請求記録!$AC$6:$AC$3005,請求記録!$B$6:$B$3005,$A162,請求記録!$X$6:$X$3005,Q$5))))</f>
        <v/>
      </c>
      <c r="R162" s="19">
        <f>IF($A162="","",IF(COUNTIFS(請求記録!$B$6:$B$3005,$A162,請求記録!$X$6:$X$3005,R$5,請求記録!$AD$6:$AD$3005,"保留中")&gt;0,"保留",IF(COUNTIFS(請求記録!$B$6:$B$3005,$A162,請求記録!$X$6:$X$3005,R$5)=0,"",SUMIFS(請求記録!$AC$6:$AC$3005,請求記録!$B$6:$B$3005,$A162,請求記録!$X$6:$X$3005,R$5))))</f>
        <v/>
      </c>
      <c r="S162" s="19">
        <f>IF($A162="","",IF(COUNTIFS(請求記録!$B$6:$B$3005,$A162,請求記録!$X$6:$X$3005,S$5,請求記録!$AD$6:$AD$3005,"保留中")&gt;0,"保留",IF(COUNTIFS(請求記録!$B$6:$B$3005,$A162,請求記録!$X$6:$X$3005,S$5)=0,"",SUMIFS(請求記録!$AC$6:$AC$3005,請求記録!$B$6:$B$3005,$A162,請求記録!$X$6:$X$3005,S$5))))</f>
        <v/>
      </c>
      <c r="T162" s="19">
        <f>IF($A162="","",IF(COUNTIFS(請求記録!$B$6:$B$3005,$A162,請求記録!$X$6:$X$3005,T$5,請求記録!$AD$6:$AD$3005,"保留中")&gt;0,"保留",IF(COUNTIFS(請求記録!$B$6:$B$3005,$A162,請求記録!$X$6:$X$3005,T$5)=0,"",SUMIFS(請求記録!$AC$6:$AC$3005,請求記録!$B$6:$B$3005,$A162,請求記録!$X$6:$X$3005,T$5))))</f>
        <v/>
      </c>
      <c r="U162" s="19">
        <f>IF($A162="","",IF(COUNTIFS(請求記録!$B$6:$B$3005,$A162,請求記録!$X$6:$X$3005,U$5,請求記録!$AD$6:$AD$3005,"保留中")&gt;0,"保留",IF(COUNTIFS(請求記録!$B$6:$B$3005,$A162,請求記録!$X$6:$X$3005,U$5)=0,"",SUMIFS(請求記録!$AC$6:$AC$3005,請求記録!$B$6:$B$3005,$A162,請求記録!$X$6:$X$3005,U$5))))</f>
        <v/>
      </c>
      <c r="V162" s="19">
        <f>IF($A162="","",IF(COUNTIFS(請求記録!$B$6:$B$3005,$A162,請求記録!$X$6:$X$3005,V$5,請求記録!$AD$6:$AD$3005,"保留中")&gt;0,"保留",IF(COUNTIFS(請求記録!$B$6:$B$3005,$A162,請求記録!$X$6:$X$3005,V$5)=0,"",SUMIFS(請求記録!$AC$6:$AC$3005,請求記録!$B$6:$B$3005,$A162,請求記録!$X$6:$X$3005,V$5))))</f>
        <v/>
      </c>
      <c r="W162" s="19">
        <f>IF($A162="","",IF(COUNTIFS(請求記録!$B$6:$B$3005,$A162,請求記録!$X$6:$X$3005,W$5,請求記録!$AD$6:$AD$3005,"保留中")&gt;0,"保留",IF(COUNTIFS(請求記録!$B$6:$B$3005,$A162,請求記録!$X$6:$X$3005,W$5)=0,"",SUMIFS(請求記録!$AC$6:$AC$3005,請求記録!$B$6:$B$3005,$A162,請求記録!$X$6:$X$3005,W$5))))</f>
        <v/>
      </c>
      <c r="X162" s="19">
        <f>IF($A162="","",IF(COUNTIFS(請求記録!$B$6:$B$3005,$A162,請求記録!$X$6:$X$3005,X$5,請求記録!$AD$6:$AD$3005,"保留中")&gt;0,"保留",IF(COUNTIFS(請求記録!$B$6:$B$3005,$A162,請求記録!$X$6:$X$3005,X$5)=0,"",SUMIFS(請求記録!$AC$6:$AC$3005,請求記録!$B$6:$B$3005,$A162,請求記録!$X$6:$X$3005,X$5))))</f>
        <v/>
      </c>
      <c r="Y162" s="19">
        <f>IF($A162="","",IF(COUNTIFS(請求記録!$B$6:$B$3005,$A162,請求記録!$X$6:$X$3005,Y$5,請求記録!$AD$6:$AD$3005,"保留中")&gt;0,"保留",IF(COUNTIFS(請求記録!$B$6:$B$3005,$A162,請求記録!$X$6:$X$3005,Y$5)=0,"",SUMIFS(請求記録!$AC$6:$AC$3005,請求記録!$B$6:$B$3005,$A162,請求記録!$X$6:$X$3005,Y$5))))</f>
        <v/>
      </c>
      <c r="Z162" s="19">
        <f>IF($A162="","",IF(COUNTIFS(請求記録!$B$6:$B$3005,$A162,請求記録!$X$6:$X$3005,Z$5,請求記録!$AD$6:$AD$3005,"保留中")&gt;0,"保留",IF(COUNTIFS(請求記録!$B$6:$B$3005,$A162,請求記録!$X$6:$X$3005,Z$5)=0,"",SUMIFS(請求記録!$AC$6:$AC$3005,請求記録!$B$6:$B$3005,$A162,請求記録!$X$6:$X$3005,Z$5))))</f>
        <v/>
      </c>
      <c r="AA162" s="19">
        <f>IF($A162="","",IF(COUNTIFS(請求記録!$B$6:$B$3005,$A162,請求記録!$X$6:$X$3005,AA$5,請求記録!$AD$6:$AD$3005,"保留中")&gt;0,"保留",IF(COUNTIFS(請求記録!$B$6:$B$3005,$A162,請求記録!$X$6:$X$3005,AA$5)=0,"",SUMIFS(請求記録!$AC$6:$AC$3005,請求記録!$B$6:$B$3005,$A162,請求記録!$X$6:$X$3005,AA$5))))</f>
        <v/>
      </c>
      <c r="AB162">
        <f>IF(職員マスタ!P162="保留中",職員マスタ!M162,"")</f>
        <v/>
      </c>
    </row>
    <row r="163">
      <c r="A163">
        <f>IF(職員マスタ!A163="","",職員マスタ!A163)</f>
        <v/>
      </c>
      <c r="B163">
        <f>IF($A163="","",職員マスタ!B163)</f>
        <v/>
      </c>
      <c r="C163">
        <f>IF($A163="","",職員マスタ!C163)</f>
        <v/>
      </c>
      <c r="D163" s="19">
        <f>IF($A163="","",IF(COUNTIFS(請求記録!$B$6:$B$3005,$A163,請求記録!$X$6:$X$3005,D$5,請求記録!$AD$6:$AD$3005,"保留中")&gt;0,"保留",IF(COUNTIFS(請求記録!$B$6:$B$3005,$A163,請求記録!$X$6:$X$3005,D$5)=0,"",SUMIFS(請求記録!$AC$6:$AC$3005,請求記録!$B$6:$B$3005,$A163,請求記録!$X$6:$X$3005,D$5))))</f>
        <v/>
      </c>
      <c r="E163" s="19">
        <f>IF($A163="","",IF(COUNTIFS(請求記録!$B$6:$B$3005,$A163,請求記録!$X$6:$X$3005,E$5,請求記録!$AD$6:$AD$3005,"保留中")&gt;0,"保留",IF(COUNTIFS(請求記録!$B$6:$B$3005,$A163,請求記録!$X$6:$X$3005,E$5)=0,"",SUMIFS(請求記録!$AC$6:$AC$3005,請求記録!$B$6:$B$3005,$A163,請求記録!$X$6:$X$3005,E$5))))</f>
        <v/>
      </c>
      <c r="F163" s="19">
        <f>IF($A163="","",IF(COUNTIFS(請求記録!$B$6:$B$3005,$A163,請求記録!$X$6:$X$3005,F$5,請求記録!$AD$6:$AD$3005,"保留中")&gt;0,"保留",IF(COUNTIFS(請求記録!$B$6:$B$3005,$A163,請求記録!$X$6:$X$3005,F$5)=0,"",SUMIFS(請求記録!$AC$6:$AC$3005,請求記録!$B$6:$B$3005,$A163,請求記録!$X$6:$X$3005,F$5))))</f>
        <v/>
      </c>
      <c r="G163" s="19">
        <f>IF($A163="","",IF(COUNTIFS(請求記録!$B$6:$B$3005,$A163,請求記録!$X$6:$X$3005,G$5,請求記録!$AD$6:$AD$3005,"保留中")&gt;0,"保留",IF(COUNTIFS(請求記録!$B$6:$B$3005,$A163,請求記録!$X$6:$X$3005,G$5)=0,"",SUMIFS(請求記録!$AC$6:$AC$3005,請求記録!$B$6:$B$3005,$A163,請求記録!$X$6:$X$3005,G$5))))</f>
        <v/>
      </c>
      <c r="H163" s="19">
        <f>IF($A163="","",IF(COUNTIFS(請求記録!$B$6:$B$3005,$A163,請求記録!$X$6:$X$3005,H$5,請求記録!$AD$6:$AD$3005,"保留中")&gt;0,"保留",IF(COUNTIFS(請求記録!$B$6:$B$3005,$A163,請求記録!$X$6:$X$3005,H$5)=0,"",SUMIFS(請求記録!$AC$6:$AC$3005,請求記録!$B$6:$B$3005,$A163,請求記録!$X$6:$X$3005,H$5))))</f>
        <v/>
      </c>
      <c r="I163" s="19">
        <f>IF($A163="","",IF(COUNTIFS(請求記録!$B$6:$B$3005,$A163,請求記録!$X$6:$X$3005,I$5,請求記録!$AD$6:$AD$3005,"保留中")&gt;0,"保留",IF(COUNTIFS(請求記録!$B$6:$B$3005,$A163,請求記録!$X$6:$X$3005,I$5)=0,"",SUMIFS(請求記録!$AC$6:$AC$3005,請求記録!$B$6:$B$3005,$A163,請求記録!$X$6:$X$3005,I$5))))</f>
        <v/>
      </c>
      <c r="J163" s="19">
        <f>IF($A163="","",IF(COUNTIFS(請求記録!$B$6:$B$3005,$A163,請求記録!$X$6:$X$3005,J$5,請求記録!$AD$6:$AD$3005,"保留中")&gt;0,"保留",IF(COUNTIFS(請求記録!$B$6:$B$3005,$A163,請求記録!$X$6:$X$3005,J$5)=0,"",SUMIFS(請求記録!$AC$6:$AC$3005,請求記録!$B$6:$B$3005,$A163,請求記録!$X$6:$X$3005,J$5))))</f>
        <v/>
      </c>
      <c r="K163" s="19">
        <f>IF($A163="","",IF(COUNTIFS(請求記録!$B$6:$B$3005,$A163,請求記録!$X$6:$X$3005,K$5,請求記録!$AD$6:$AD$3005,"保留中")&gt;0,"保留",IF(COUNTIFS(請求記録!$B$6:$B$3005,$A163,請求記録!$X$6:$X$3005,K$5)=0,"",SUMIFS(請求記録!$AC$6:$AC$3005,請求記録!$B$6:$B$3005,$A163,請求記録!$X$6:$X$3005,K$5))))</f>
        <v/>
      </c>
      <c r="L163" s="19">
        <f>IF($A163="","",IF(COUNTIFS(請求記録!$B$6:$B$3005,$A163,請求記録!$X$6:$X$3005,L$5,請求記録!$AD$6:$AD$3005,"保留中")&gt;0,"保留",IF(COUNTIFS(請求記録!$B$6:$B$3005,$A163,請求記録!$X$6:$X$3005,L$5)=0,"",SUMIFS(請求記録!$AC$6:$AC$3005,請求記録!$B$6:$B$3005,$A163,請求記録!$X$6:$X$3005,L$5))))</f>
        <v/>
      </c>
      <c r="M163" s="19">
        <f>IF($A163="","",IF(COUNTIFS(請求記録!$B$6:$B$3005,$A163,請求記録!$X$6:$X$3005,M$5,請求記録!$AD$6:$AD$3005,"保留中")&gt;0,"保留",IF(COUNTIFS(請求記録!$B$6:$B$3005,$A163,請求記録!$X$6:$X$3005,M$5)=0,"",SUMIFS(請求記録!$AC$6:$AC$3005,請求記録!$B$6:$B$3005,$A163,請求記録!$X$6:$X$3005,M$5))))</f>
        <v/>
      </c>
      <c r="N163" s="19">
        <f>IF($A163="","",IF(COUNTIFS(請求記録!$B$6:$B$3005,$A163,請求記録!$X$6:$X$3005,N$5,請求記録!$AD$6:$AD$3005,"保留中")&gt;0,"保留",IF(COUNTIFS(請求記録!$B$6:$B$3005,$A163,請求記録!$X$6:$X$3005,N$5)=0,"",SUMIFS(請求記録!$AC$6:$AC$3005,請求記録!$B$6:$B$3005,$A163,請求記録!$X$6:$X$3005,N$5))))</f>
        <v/>
      </c>
      <c r="O163" s="19">
        <f>IF($A163="","",IF(COUNTIFS(請求記録!$B$6:$B$3005,$A163,請求記録!$X$6:$X$3005,O$5,請求記録!$AD$6:$AD$3005,"保留中")&gt;0,"保留",IF(COUNTIFS(請求記録!$B$6:$B$3005,$A163,請求記録!$X$6:$X$3005,O$5)=0,"",SUMIFS(請求記録!$AC$6:$AC$3005,請求記録!$B$6:$B$3005,$A163,請求記録!$X$6:$X$3005,O$5))))</f>
        <v/>
      </c>
      <c r="P163" s="19">
        <f>IF($A163="","",IF(COUNTIFS(請求記録!$B$6:$B$3005,$A163,請求記録!$X$6:$X$3005,P$5,請求記録!$AD$6:$AD$3005,"保留中")&gt;0,"保留",IF(COUNTIFS(請求記録!$B$6:$B$3005,$A163,請求記録!$X$6:$X$3005,P$5)=0,"",SUMIFS(請求記録!$AC$6:$AC$3005,請求記録!$B$6:$B$3005,$A163,請求記録!$X$6:$X$3005,P$5))))</f>
        <v/>
      </c>
      <c r="Q163" s="19">
        <f>IF($A163="","",IF(COUNTIFS(請求記録!$B$6:$B$3005,$A163,請求記録!$X$6:$X$3005,Q$5,請求記録!$AD$6:$AD$3005,"保留中")&gt;0,"保留",IF(COUNTIFS(請求記録!$B$6:$B$3005,$A163,請求記録!$X$6:$X$3005,Q$5)=0,"",SUMIFS(請求記録!$AC$6:$AC$3005,請求記録!$B$6:$B$3005,$A163,請求記録!$X$6:$X$3005,Q$5))))</f>
        <v/>
      </c>
      <c r="R163" s="19">
        <f>IF($A163="","",IF(COUNTIFS(請求記録!$B$6:$B$3005,$A163,請求記録!$X$6:$X$3005,R$5,請求記録!$AD$6:$AD$3005,"保留中")&gt;0,"保留",IF(COUNTIFS(請求記録!$B$6:$B$3005,$A163,請求記録!$X$6:$X$3005,R$5)=0,"",SUMIFS(請求記録!$AC$6:$AC$3005,請求記録!$B$6:$B$3005,$A163,請求記録!$X$6:$X$3005,R$5))))</f>
        <v/>
      </c>
      <c r="S163" s="19">
        <f>IF($A163="","",IF(COUNTIFS(請求記録!$B$6:$B$3005,$A163,請求記録!$X$6:$X$3005,S$5,請求記録!$AD$6:$AD$3005,"保留中")&gt;0,"保留",IF(COUNTIFS(請求記録!$B$6:$B$3005,$A163,請求記録!$X$6:$X$3005,S$5)=0,"",SUMIFS(請求記録!$AC$6:$AC$3005,請求記録!$B$6:$B$3005,$A163,請求記録!$X$6:$X$3005,S$5))))</f>
        <v/>
      </c>
      <c r="T163" s="19">
        <f>IF($A163="","",IF(COUNTIFS(請求記録!$B$6:$B$3005,$A163,請求記録!$X$6:$X$3005,T$5,請求記録!$AD$6:$AD$3005,"保留中")&gt;0,"保留",IF(COUNTIFS(請求記録!$B$6:$B$3005,$A163,請求記録!$X$6:$X$3005,T$5)=0,"",SUMIFS(請求記録!$AC$6:$AC$3005,請求記録!$B$6:$B$3005,$A163,請求記録!$X$6:$X$3005,T$5))))</f>
        <v/>
      </c>
      <c r="U163" s="19">
        <f>IF($A163="","",IF(COUNTIFS(請求記録!$B$6:$B$3005,$A163,請求記録!$X$6:$X$3005,U$5,請求記録!$AD$6:$AD$3005,"保留中")&gt;0,"保留",IF(COUNTIFS(請求記録!$B$6:$B$3005,$A163,請求記録!$X$6:$X$3005,U$5)=0,"",SUMIFS(請求記録!$AC$6:$AC$3005,請求記録!$B$6:$B$3005,$A163,請求記録!$X$6:$X$3005,U$5))))</f>
        <v/>
      </c>
      <c r="V163" s="19">
        <f>IF($A163="","",IF(COUNTIFS(請求記録!$B$6:$B$3005,$A163,請求記録!$X$6:$X$3005,V$5,請求記録!$AD$6:$AD$3005,"保留中")&gt;0,"保留",IF(COUNTIFS(請求記録!$B$6:$B$3005,$A163,請求記録!$X$6:$X$3005,V$5)=0,"",SUMIFS(請求記録!$AC$6:$AC$3005,請求記録!$B$6:$B$3005,$A163,請求記録!$X$6:$X$3005,V$5))))</f>
        <v/>
      </c>
      <c r="W163" s="19">
        <f>IF($A163="","",IF(COUNTIFS(請求記録!$B$6:$B$3005,$A163,請求記録!$X$6:$X$3005,W$5,請求記録!$AD$6:$AD$3005,"保留中")&gt;0,"保留",IF(COUNTIFS(請求記録!$B$6:$B$3005,$A163,請求記録!$X$6:$X$3005,W$5)=0,"",SUMIFS(請求記録!$AC$6:$AC$3005,請求記録!$B$6:$B$3005,$A163,請求記録!$X$6:$X$3005,W$5))))</f>
        <v/>
      </c>
      <c r="X163" s="19">
        <f>IF($A163="","",IF(COUNTIFS(請求記録!$B$6:$B$3005,$A163,請求記録!$X$6:$X$3005,X$5,請求記録!$AD$6:$AD$3005,"保留中")&gt;0,"保留",IF(COUNTIFS(請求記録!$B$6:$B$3005,$A163,請求記録!$X$6:$X$3005,X$5)=0,"",SUMIFS(請求記録!$AC$6:$AC$3005,請求記録!$B$6:$B$3005,$A163,請求記録!$X$6:$X$3005,X$5))))</f>
        <v/>
      </c>
      <c r="Y163" s="19">
        <f>IF($A163="","",IF(COUNTIFS(請求記録!$B$6:$B$3005,$A163,請求記録!$X$6:$X$3005,Y$5,請求記録!$AD$6:$AD$3005,"保留中")&gt;0,"保留",IF(COUNTIFS(請求記録!$B$6:$B$3005,$A163,請求記録!$X$6:$X$3005,Y$5)=0,"",SUMIFS(請求記録!$AC$6:$AC$3005,請求記録!$B$6:$B$3005,$A163,請求記録!$X$6:$X$3005,Y$5))))</f>
        <v/>
      </c>
      <c r="Z163" s="19">
        <f>IF($A163="","",IF(COUNTIFS(請求記録!$B$6:$B$3005,$A163,請求記録!$X$6:$X$3005,Z$5,請求記録!$AD$6:$AD$3005,"保留中")&gt;0,"保留",IF(COUNTIFS(請求記録!$B$6:$B$3005,$A163,請求記録!$X$6:$X$3005,Z$5)=0,"",SUMIFS(請求記録!$AC$6:$AC$3005,請求記録!$B$6:$B$3005,$A163,請求記録!$X$6:$X$3005,Z$5))))</f>
        <v/>
      </c>
      <c r="AA163" s="19">
        <f>IF($A163="","",IF(COUNTIFS(請求記録!$B$6:$B$3005,$A163,請求記録!$X$6:$X$3005,AA$5,請求記録!$AD$6:$AD$3005,"保留中")&gt;0,"保留",IF(COUNTIFS(請求記録!$B$6:$B$3005,$A163,請求記録!$X$6:$X$3005,AA$5)=0,"",SUMIFS(請求記録!$AC$6:$AC$3005,請求記録!$B$6:$B$3005,$A163,請求記録!$X$6:$X$3005,AA$5))))</f>
        <v/>
      </c>
      <c r="AB163">
        <f>IF(職員マスタ!P163="保留中",職員マスタ!M163,"")</f>
        <v/>
      </c>
    </row>
    <row r="164">
      <c r="A164">
        <f>IF(職員マスタ!A164="","",職員マスタ!A164)</f>
        <v/>
      </c>
      <c r="B164">
        <f>IF($A164="","",職員マスタ!B164)</f>
        <v/>
      </c>
      <c r="C164">
        <f>IF($A164="","",職員マスタ!C164)</f>
        <v/>
      </c>
      <c r="D164" s="19">
        <f>IF($A164="","",IF(COUNTIFS(請求記録!$B$6:$B$3005,$A164,請求記録!$X$6:$X$3005,D$5,請求記録!$AD$6:$AD$3005,"保留中")&gt;0,"保留",IF(COUNTIFS(請求記録!$B$6:$B$3005,$A164,請求記録!$X$6:$X$3005,D$5)=0,"",SUMIFS(請求記録!$AC$6:$AC$3005,請求記録!$B$6:$B$3005,$A164,請求記録!$X$6:$X$3005,D$5))))</f>
        <v/>
      </c>
      <c r="E164" s="19">
        <f>IF($A164="","",IF(COUNTIFS(請求記録!$B$6:$B$3005,$A164,請求記録!$X$6:$X$3005,E$5,請求記録!$AD$6:$AD$3005,"保留中")&gt;0,"保留",IF(COUNTIFS(請求記録!$B$6:$B$3005,$A164,請求記録!$X$6:$X$3005,E$5)=0,"",SUMIFS(請求記録!$AC$6:$AC$3005,請求記録!$B$6:$B$3005,$A164,請求記録!$X$6:$X$3005,E$5))))</f>
        <v/>
      </c>
      <c r="F164" s="19">
        <f>IF($A164="","",IF(COUNTIFS(請求記録!$B$6:$B$3005,$A164,請求記録!$X$6:$X$3005,F$5,請求記録!$AD$6:$AD$3005,"保留中")&gt;0,"保留",IF(COUNTIFS(請求記録!$B$6:$B$3005,$A164,請求記録!$X$6:$X$3005,F$5)=0,"",SUMIFS(請求記録!$AC$6:$AC$3005,請求記録!$B$6:$B$3005,$A164,請求記録!$X$6:$X$3005,F$5))))</f>
        <v/>
      </c>
      <c r="G164" s="19">
        <f>IF($A164="","",IF(COUNTIFS(請求記録!$B$6:$B$3005,$A164,請求記録!$X$6:$X$3005,G$5,請求記録!$AD$6:$AD$3005,"保留中")&gt;0,"保留",IF(COUNTIFS(請求記録!$B$6:$B$3005,$A164,請求記録!$X$6:$X$3005,G$5)=0,"",SUMIFS(請求記録!$AC$6:$AC$3005,請求記録!$B$6:$B$3005,$A164,請求記録!$X$6:$X$3005,G$5))))</f>
        <v/>
      </c>
      <c r="H164" s="19">
        <f>IF($A164="","",IF(COUNTIFS(請求記録!$B$6:$B$3005,$A164,請求記録!$X$6:$X$3005,H$5,請求記録!$AD$6:$AD$3005,"保留中")&gt;0,"保留",IF(COUNTIFS(請求記録!$B$6:$B$3005,$A164,請求記録!$X$6:$X$3005,H$5)=0,"",SUMIFS(請求記録!$AC$6:$AC$3005,請求記録!$B$6:$B$3005,$A164,請求記録!$X$6:$X$3005,H$5))))</f>
        <v/>
      </c>
      <c r="I164" s="19">
        <f>IF($A164="","",IF(COUNTIFS(請求記録!$B$6:$B$3005,$A164,請求記録!$X$6:$X$3005,I$5,請求記録!$AD$6:$AD$3005,"保留中")&gt;0,"保留",IF(COUNTIFS(請求記録!$B$6:$B$3005,$A164,請求記録!$X$6:$X$3005,I$5)=0,"",SUMIFS(請求記録!$AC$6:$AC$3005,請求記録!$B$6:$B$3005,$A164,請求記録!$X$6:$X$3005,I$5))))</f>
        <v/>
      </c>
      <c r="J164" s="19">
        <f>IF($A164="","",IF(COUNTIFS(請求記録!$B$6:$B$3005,$A164,請求記録!$X$6:$X$3005,J$5,請求記録!$AD$6:$AD$3005,"保留中")&gt;0,"保留",IF(COUNTIFS(請求記録!$B$6:$B$3005,$A164,請求記録!$X$6:$X$3005,J$5)=0,"",SUMIFS(請求記録!$AC$6:$AC$3005,請求記録!$B$6:$B$3005,$A164,請求記録!$X$6:$X$3005,J$5))))</f>
        <v/>
      </c>
      <c r="K164" s="19">
        <f>IF($A164="","",IF(COUNTIFS(請求記録!$B$6:$B$3005,$A164,請求記録!$X$6:$X$3005,K$5,請求記録!$AD$6:$AD$3005,"保留中")&gt;0,"保留",IF(COUNTIFS(請求記録!$B$6:$B$3005,$A164,請求記録!$X$6:$X$3005,K$5)=0,"",SUMIFS(請求記録!$AC$6:$AC$3005,請求記録!$B$6:$B$3005,$A164,請求記録!$X$6:$X$3005,K$5))))</f>
        <v/>
      </c>
      <c r="L164" s="19">
        <f>IF($A164="","",IF(COUNTIFS(請求記録!$B$6:$B$3005,$A164,請求記録!$X$6:$X$3005,L$5,請求記録!$AD$6:$AD$3005,"保留中")&gt;0,"保留",IF(COUNTIFS(請求記録!$B$6:$B$3005,$A164,請求記録!$X$6:$X$3005,L$5)=0,"",SUMIFS(請求記録!$AC$6:$AC$3005,請求記録!$B$6:$B$3005,$A164,請求記録!$X$6:$X$3005,L$5))))</f>
        <v/>
      </c>
      <c r="M164" s="19">
        <f>IF($A164="","",IF(COUNTIFS(請求記録!$B$6:$B$3005,$A164,請求記録!$X$6:$X$3005,M$5,請求記録!$AD$6:$AD$3005,"保留中")&gt;0,"保留",IF(COUNTIFS(請求記録!$B$6:$B$3005,$A164,請求記録!$X$6:$X$3005,M$5)=0,"",SUMIFS(請求記録!$AC$6:$AC$3005,請求記録!$B$6:$B$3005,$A164,請求記録!$X$6:$X$3005,M$5))))</f>
        <v/>
      </c>
      <c r="N164" s="19">
        <f>IF($A164="","",IF(COUNTIFS(請求記録!$B$6:$B$3005,$A164,請求記録!$X$6:$X$3005,N$5,請求記録!$AD$6:$AD$3005,"保留中")&gt;0,"保留",IF(COUNTIFS(請求記録!$B$6:$B$3005,$A164,請求記録!$X$6:$X$3005,N$5)=0,"",SUMIFS(請求記録!$AC$6:$AC$3005,請求記録!$B$6:$B$3005,$A164,請求記録!$X$6:$X$3005,N$5))))</f>
        <v/>
      </c>
      <c r="O164" s="19">
        <f>IF($A164="","",IF(COUNTIFS(請求記録!$B$6:$B$3005,$A164,請求記録!$X$6:$X$3005,O$5,請求記録!$AD$6:$AD$3005,"保留中")&gt;0,"保留",IF(COUNTIFS(請求記録!$B$6:$B$3005,$A164,請求記録!$X$6:$X$3005,O$5)=0,"",SUMIFS(請求記録!$AC$6:$AC$3005,請求記録!$B$6:$B$3005,$A164,請求記録!$X$6:$X$3005,O$5))))</f>
        <v/>
      </c>
      <c r="P164" s="19">
        <f>IF($A164="","",IF(COUNTIFS(請求記録!$B$6:$B$3005,$A164,請求記録!$X$6:$X$3005,P$5,請求記録!$AD$6:$AD$3005,"保留中")&gt;0,"保留",IF(COUNTIFS(請求記録!$B$6:$B$3005,$A164,請求記録!$X$6:$X$3005,P$5)=0,"",SUMIFS(請求記録!$AC$6:$AC$3005,請求記録!$B$6:$B$3005,$A164,請求記録!$X$6:$X$3005,P$5))))</f>
        <v/>
      </c>
      <c r="Q164" s="19">
        <f>IF($A164="","",IF(COUNTIFS(請求記録!$B$6:$B$3005,$A164,請求記録!$X$6:$X$3005,Q$5,請求記録!$AD$6:$AD$3005,"保留中")&gt;0,"保留",IF(COUNTIFS(請求記録!$B$6:$B$3005,$A164,請求記録!$X$6:$X$3005,Q$5)=0,"",SUMIFS(請求記録!$AC$6:$AC$3005,請求記録!$B$6:$B$3005,$A164,請求記録!$X$6:$X$3005,Q$5))))</f>
        <v/>
      </c>
      <c r="R164" s="19">
        <f>IF($A164="","",IF(COUNTIFS(請求記録!$B$6:$B$3005,$A164,請求記録!$X$6:$X$3005,R$5,請求記録!$AD$6:$AD$3005,"保留中")&gt;0,"保留",IF(COUNTIFS(請求記録!$B$6:$B$3005,$A164,請求記録!$X$6:$X$3005,R$5)=0,"",SUMIFS(請求記録!$AC$6:$AC$3005,請求記録!$B$6:$B$3005,$A164,請求記録!$X$6:$X$3005,R$5))))</f>
        <v/>
      </c>
      <c r="S164" s="19">
        <f>IF($A164="","",IF(COUNTIFS(請求記録!$B$6:$B$3005,$A164,請求記録!$X$6:$X$3005,S$5,請求記録!$AD$6:$AD$3005,"保留中")&gt;0,"保留",IF(COUNTIFS(請求記録!$B$6:$B$3005,$A164,請求記録!$X$6:$X$3005,S$5)=0,"",SUMIFS(請求記録!$AC$6:$AC$3005,請求記録!$B$6:$B$3005,$A164,請求記録!$X$6:$X$3005,S$5))))</f>
        <v/>
      </c>
      <c r="T164" s="19">
        <f>IF($A164="","",IF(COUNTIFS(請求記録!$B$6:$B$3005,$A164,請求記録!$X$6:$X$3005,T$5,請求記録!$AD$6:$AD$3005,"保留中")&gt;0,"保留",IF(COUNTIFS(請求記録!$B$6:$B$3005,$A164,請求記録!$X$6:$X$3005,T$5)=0,"",SUMIFS(請求記録!$AC$6:$AC$3005,請求記録!$B$6:$B$3005,$A164,請求記録!$X$6:$X$3005,T$5))))</f>
        <v/>
      </c>
      <c r="U164" s="19">
        <f>IF($A164="","",IF(COUNTIFS(請求記録!$B$6:$B$3005,$A164,請求記録!$X$6:$X$3005,U$5,請求記録!$AD$6:$AD$3005,"保留中")&gt;0,"保留",IF(COUNTIFS(請求記録!$B$6:$B$3005,$A164,請求記録!$X$6:$X$3005,U$5)=0,"",SUMIFS(請求記録!$AC$6:$AC$3005,請求記録!$B$6:$B$3005,$A164,請求記録!$X$6:$X$3005,U$5))))</f>
        <v/>
      </c>
      <c r="V164" s="19">
        <f>IF($A164="","",IF(COUNTIFS(請求記録!$B$6:$B$3005,$A164,請求記録!$X$6:$X$3005,V$5,請求記録!$AD$6:$AD$3005,"保留中")&gt;0,"保留",IF(COUNTIFS(請求記録!$B$6:$B$3005,$A164,請求記録!$X$6:$X$3005,V$5)=0,"",SUMIFS(請求記録!$AC$6:$AC$3005,請求記録!$B$6:$B$3005,$A164,請求記録!$X$6:$X$3005,V$5))))</f>
        <v/>
      </c>
      <c r="W164" s="19">
        <f>IF($A164="","",IF(COUNTIFS(請求記録!$B$6:$B$3005,$A164,請求記録!$X$6:$X$3005,W$5,請求記録!$AD$6:$AD$3005,"保留中")&gt;0,"保留",IF(COUNTIFS(請求記録!$B$6:$B$3005,$A164,請求記録!$X$6:$X$3005,W$5)=0,"",SUMIFS(請求記録!$AC$6:$AC$3005,請求記録!$B$6:$B$3005,$A164,請求記録!$X$6:$X$3005,W$5))))</f>
        <v/>
      </c>
      <c r="X164" s="19">
        <f>IF($A164="","",IF(COUNTIFS(請求記録!$B$6:$B$3005,$A164,請求記録!$X$6:$X$3005,X$5,請求記録!$AD$6:$AD$3005,"保留中")&gt;0,"保留",IF(COUNTIFS(請求記録!$B$6:$B$3005,$A164,請求記録!$X$6:$X$3005,X$5)=0,"",SUMIFS(請求記録!$AC$6:$AC$3005,請求記録!$B$6:$B$3005,$A164,請求記録!$X$6:$X$3005,X$5))))</f>
        <v/>
      </c>
      <c r="Y164" s="19">
        <f>IF($A164="","",IF(COUNTIFS(請求記録!$B$6:$B$3005,$A164,請求記録!$X$6:$X$3005,Y$5,請求記録!$AD$6:$AD$3005,"保留中")&gt;0,"保留",IF(COUNTIFS(請求記録!$B$6:$B$3005,$A164,請求記録!$X$6:$X$3005,Y$5)=0,"",SUMIFS(請求記録!$AC$6:$AC$3005,請求記録!$B$6:$B$3005,$A164,請求記録!$X$6:$X$3005,Y$5))))</f>
        <v/>
      </c>
      <c r="Z164" s="19">
        <f>IF($A164="","",IF(COUNTIFS(請求記録!$B$6:$B$3005,$A164,請求記録!$X$6:$X$3005,Z$5,請求記録!$AD$6:$AD$3005,"保留中")&gt;0,"保留",IF(COUNTIFS(請求記録!$B$6:$B$3005,$A164,請求記録!$X$6:$X$3005,Z$5)=0,"",SUMIFS(請求記録!$AC$6:$AC$3005,請求記録!$B$6:$B$3005,$A164,請求記録!$X$6:$X$3005,Z$5))))</f>
        <v/>
      </c>
      <c r="AA164" s="19">
        <f>IF($A164="","",IF(COUNTIFS(請求記録!$B$6:$B$3005,$A164,請求記録!$X$6:$X$3005,AA$5,請求記録!$AD$6:$AD$3005,"保留中")&gt;0,"保留",IF(COUNTIFS(請求記録!$B$6:$B$3005,$A164,請求記録!$X$6:$X$3005,AA$5)=0,"",SUMIFS(請求記録!$AC$6:$AC$3005,請求記録!$B$6:$B$3005,$A164,請求記録!$X$6:$X$3005,AA$5))))</f>
        <v/>
      </c>
      <c r="AB164">
        <f>IF(職員マスタ!P164="保留中",職員マスタ!M164,"")</f>
        <v/>
      </c>
    </row>
    <row r="165">
      <c r="A165">
        <f>IF(職員マスタ!A165="","",職員マスタ!A165)</f>
        <v/>
      </c>
      <c r="B165">
        <f>IF($A165="","",職員マスタ!B165)</f>
        <v/>
      </c>
      <c r="C165">
        <f>IF($A165="","",職員マスタ!C165)</f>
        <v/>
      </c>
      <c r="D165" s="19">
        <f>IF($A165="","",IF(COUNTIFS(請求記録!$B$6:$B$3005,$A165,請求記録!$X$6:$X$3005,D$5,請求記録!$AD$6:$AD$3005,"保留中")&gt;0,"保留",IF(COUNTIFS(請求記録!$B$6:$B$3005,$A165,請求記録!$X$6:$X$3005,D$5)=0,"",SUMIFS(請求記録!$AC$6:$AC$3005,請求記録!$B$6:$B$3005,$A165,請求記録!$X$6:$X$3005,D$5))))</f>
        <v/>
      </c>
      <c r="E165" s="19">
        <f>IF($A165="","",IF(COUNTIFS(請求記録!$B$6:$B$3005,$A165,請求記録!$X$6:$X$3005,E$5,請求記録!$AD$6:$AD$3005,"保留中")&gt;0,"保留",IF(COUNTIFS(請求記録!$B$6:$B$3005,$A165,請求記録!$X$6:$X$3005,E$5)=0,"",SUMIFS(請求記録!$AC$6:$AC$3005,請求記録!$B$6:$B$3005,$A165,請求記録!$X$6:$X$3005,E$5))))</f>
        <v/>
      </c>
      <c r="F165" s="19">
        <f>IF($A165="","",IF(COUNTIFS(請求記録!$B$6:$B$3005,$A165,請求記録!$X$6:$X$3005,F$5,請求記録!$AD$6:$AD$3005,"保留中")&gt;0,"保留",IF(COUNTIFS(請求記録!$B$6:$B$3005,$A165,請求記録!$X$6:$X$3005,F$5)=0,"",SUMIFS(請求記録!$AC$6:$AC$3005,請求記録!$B$6:$B$3005,$A165,請求記録!$X$6:$X$3005,F$5))))</f>
        <v/>
      </c>
      <c r="G165" s="19">
        <f>IF($A165="","",IF(COUNTIFS(請求記録!$B$6:$B$3005,$A165,請求記録!$X$6:$X$3005,G$5,請求記録!$AD$6:$AD$3005,"保留中")&gt;0,"保留",IF(COUNTIFS(請求記録!$B$6:$B$3005,$A165,請求記録!$X$6:$X$3005,G$5)=0,"",SUMIFS(請求記録!$AC$6:$AC$3005,請求記録!$B$6:$B$3005,$A165,請求記録!$X$6:$X$3005,G$5))))</f>
        <v/>
      </c>
      <c r="H165" s="19">
        <f>IF($A165="","",IF(COUNTIFS(請求記録!$B$6:$B$3005,$A165,請求記録!$X$6:$X$3005,H$5,請求記録!$AD$6:$AD$3005,"保留中")&gt;0,"保留",IF(COUNTIFS(請求記録!$B$6:$B$3005,$A165,請求記録!$X$6:$X$3005,H$5)=0,"",SUMIFS(請求記録!$AC$6:$AC$3005,請求記録!$B$6:$B$3005,$A165,請求記録!$X$6:$X$3005,H$5))))</f>
        <v/>
      </c>
      <c r="I165" s="19">
        <f>IF($A165="","",IF(COUNTIFS(請求記録!$B$6:$B$3005,$A165,請求記録!$X$6:$X$3005,I$5,請求記録!$AD$6:$AD$3005,"保留中")&gt;0,"保留",IF(COUNTIFS(請求記録!$B$6:$B$3005,$A165,請求記録!$X$6:$X$3005,I$5)=0,"",SUMIFS(請求記録!$AC$6:$AC$3005,請求記録!$B$6:$B$3005,$A165,請求記録!$X$6:$X$3005,I$5))))</f>
        <v/>
      </c>
      <c r="J165" s="19">
        <f>IF($A165="","",IF(COUNTIFS(請求記録!$B$6:$B$3005,$A165,請求記録!$X$6:$X$3005,J$5,請求記録!$AD$6:$AD$3005,"保留中")&gt;0,"保留",IF(COUNTIFS(請求記録!$B$6:$B$3005,$A165,請求記録!$X$6:$X$3005,J$5)=0,"",SUMIFS(請求記録!$AC$6:$AC$3005,請求記録!$B$6:$B$3005,$A165,請求記録!$X$6:$X$3005,J$5))))</f>
        <v/>
      </c>
      <c r="K165" s="19">
        <f>IF($A165="","",IF(COUNTIFS(請求記録!$B$6:$B$3005,$A165,請求記録!$X$6:$X$3005,K$5,請求記録!$AD$6:$AD$3005,"保留中")&gt;0,"保留",IF(COUNTIFS(請求記録!$B$6:$B$3005,$A165,請求記録!$X$6:$X$3005,K$5)=0,"",SUMIFS(請求記録!$AC$6:$AC$3005,請求記録!$B$6:$B$3005,$A165,請求記録!$X$6:$X$3005,K$5))))</f>
        <v/>
      </c>
      <c r="L165" s="19">
        <f>IF($A165="","",IF(COUNTIFS(請求記録!$B$6:$B$3005,$A165,請求記録!$X$6:$X$3005,L$5,請求記録!$AD$6:$AD$3005,"保留中")&gt;0,"保留",IF(COUNTIFS(請求記録!$B$6:$B$3005,$A165,請求記録!$X$6:$X$3005,L$5)=0,"",SUMIFS(請求記録!$AC$6:$AC$3005,請求記録!$B$6:$B$3005,$A165,請求記録!$X$6:$X$3005,L$5))))</f>
        <v/>
      </c>
      <c r="M165" s="19">
        <f>IF($A165="","",IF(COUNTIFS(請求記録!$B$6:$B$3005,$A165,請求記録!$X$6:$X$3005,M$5,請求記録!$AD$6:$AD$3005,"保留中")&gt;0,"保留",IF(COUNTIFS(請求記録!$B$6:$B$3005,$A165,請求記録!$X$6:$X$3005,M$5)=0,"",SUMIFS(請求記録!$AC$6:$AC$3005,請求記録!$B$6:$B$3005,$A165,請求記録!$X$6:$X$3005,M$5))))</f>
        <v/>
      </c>
      <c r="N165" s="19">
        <f>IF($A165="","",IF(COUNTIFS(請求記録!$B$6:$B$3005,$A165,請求記録!$X$6:$X$3005,N$5,請求記録!$AD$6:$AD$3005,"保留中")&gt;0,"保留",IF(COUNTIFS(請求記録!$B$6:$B$3005,$A165,請求記録!$X$6:$X$3005,N$5)=0,"",SUMIFS(請求記録!$AC$6:$AC$3005,請求記録!$B$6:$B$3005,$A165,請求記録!$X$6:$X$3005,N$5))))</f>
        <v/>
      </c>
      <c r="O165" s="19">
        <f>IF($A165="","",IF(COUNTIFS(請求記録!$B$6:$B$3005,$A165,請求記録!$X$6:$X$3005,O$5,請求記録!$AD$6:$AD$3005,"保留中")&gt;0,"保留",IF(COUNTIFS(請求記録!$B$6:$B$3005,$A165,請求記録!$X$6:$X$3005,O$5)=0,"",SUMIFS(請求記録!$AC$6:$AC$3005,請求記録!$B$6:$B$3005,$A165,請求記録!$X$6:$X$3005,O$5))))</f>
        <v/>
      </c>
      <c r="P165" s="19">
        <f>IF($A165="","",IF(COUNTIFS(請求記録!$B$6:$B$3005,$A165,請求記録!$X$6:$X$3005,P$5,請求記録!$AD$6:$AD$3005,"保留中")&gt;0,"保留",IF(COUNTIFS(請求記録!$B$6:$B$3005,$A165,請求記録!$X$6:$X$3005,P$5)=0,"",SUMIFS(請求記録!$AC$6:$AC$3005,請求記録!$B$6:$B$3005,$A165,請求記録!$X$6:$X$3005,P$5))))</f>
        <v/>
      </c>
      <c r="Q165" s="19">
        <f>IF($A165="","",IF(COUNTIFS(請求記録!$B$6:$B$3005,$A165,請求記録!$X$6:$X$3005,Q$5,請求記録!$AD$6:$AD$3005,"保留中")&gt;0,"保留",IF(COUNTIFS(請求記録!$B$6:$B$3005,$A165,請求記録!$X$6:$X$3005,Q$5)=0,"",SUMIFS(請求記録!$AC$6:$AC$3005,請求記録!$B$6:$B$3005,$A165,請求記録!$X$6:$X$3005,Q$5))))</f>
        <v/>
      </c>
      <c r="R165" s="19">
        <f>IF($A165="","",IF(COUNTIFS(請求記録!$B$6:$B$3005,$A165,請求記録!$X$6:$X$3005,R$5,請求記録!$AD$6:$AD$3005,"保留中")&gt;0,"保留",IF(COUNTIFS(請求記録!$B$6:$B$3005,$A165,請求記録!$X$6:$X$3005,R$5)=0,"",SUMIFS(請求記録!$AC$6:$AC$3005,請求記録!$B$6:$B$3005,$A165,請求記録!$X$6:$X$3005,R$5))))</f>
        <v/>
      </c>
      <c r="S165" s="19">
        <f>IF($A165="","",IF(COUNTIFS(請求記録!$B$6:$B$3005,$A165,請求記録!$X$6:$X$3005,S$5,請求記録!$AD$6:$AD$3005,"保留中")&gt;0,"保留",IF(COUNTIFS(請求記録!$B$6:$B$3005,$A165,請求記録!$X$6:$X$3005,S$5)=0,"",SUMIFS(請求記録!$AC$6:$AC$3005,請求記録!$B$6:$B$3005,$A165,請求記録!$X$6:$X$3005,S$5))))</f>
        <v/>
      </c>
      <c r="T165" s="19">
        <f>IF($A165="","",IF(COUNTIFS(請求記録!$B$6:$B$3005,$A165,請求記録!$X$6:$X$3005,T$5,請求記録!$AD$6:$AD$3005,"保留中")&gt;0,"保留",IF(COUNTIFS(請求記録!$B$6:$B$3005,$A165,請求記録!$X$6:$X$3005,T$5)=0,"",SUMIFS(請求記録!$AC$6:$AC$3005,請求記録!$B$6:$B$3005,$A165,請求記録!$X$6:$X$3005,T$5))))</f>
        <v/>
      </c>
      <c r="U165" s="19">
        <f>IF($A165="","",IF(COUNTIFS(請求記録!$B$6:$B$3005,$A165,請求記録!$X$6:$X$3005,U$5,請求記録!$AD$6:$AD$3005,"保留中")&gt;0,"保留",IF(COUNTIFS(請求記録!$B$6:$B$3005,$A165,請求記録!$X$6:$X$3005,U$5)=0,"",SUMIFS(請求記録!$AC$6:$AC$3005,請求記録!$B$6:$B$3005,$A165,請求記録!$X$6:$X$3005,U$5))))</f>
        <v/>
      </c>
      <c r="V165" s="19">
        <f>IF($A165="","",IF(COUNTIFS(請求記録!$B$6:$B$3005,$A165,請求記録!$X$6:$X$3005,V$5,請求記録!$AD$6:$AD$3005,"保留中")&gt;0,"保留",IF(COUNTIFS(請求記録!$B$6:$B$3005,$A165,請求記録!$X$6:$X$3005,V$5)=0,"",SUMIFS(請求記録!$AC$6:$AC$3005,請求記録!$B$6:$B$3005,$A165,請求記録!$X$6:$X$3005,V$5))))</f>
        <v/>
      </c>
      <c r="W165" s="19">
        <f>IF($A165="","",IF(COUNTIFS(請求記録!$B$6:$B$3005,$A165,請求記録!$X$6:$X$3005,W$5,請求記録!$AD$6:$AD$3005,"保留中")&gt;0,"保留",IF(COUNTIFS(請求記録!$B$6:$B$3005,$A165,請求記録!$X$6:$X$3005,W$5)=0,"",SUMIFS(請求記録!$AC$6:$AC$3005,請求記録!$B$6:$B$3005,$A165,請求記録!$X$6:$X$3005,W$5))))</f>
        <v/>
      </c>
      <c r="X165" s="19">
        <f>IF($A165="","",IF(COUNTIFS(請求記録!$B$6:$B$3005,$A165,請求記録!$X$6:$X$3005,X$5,請求記録!$AD$6:$AD$3005,"保留中")&gt;0,"保留",IF(COUNTIFS(請求記録!$B$6:$B$3005,$A165,請求記録!$X$6:$X$3005,X$5)=0,"",SUMIFS(請求記録!$AC$6:$AC$3005,請求記録!$B$6:$B$3005,$A165,請求記録!$X$6:$X$3005,X$5))))</f>
        <v/>
      </c>
      <c r="Y165" s="19">
        <f>IF($A165="","",IF(COUNTIFS(請求記録!$B$6:$B$3005,$A165,請求記録!$X$6:$X$3005,Y$5,請求記録!$AD$6:$AD$3005,"保留中")&gt;0,"保留",IF(COUNTIFS(請求記録!$B$6:$B$3005,$A165,請求記録!$X$6:$X$3005,Y$5)=0,"",SUMIFS(請求記録!$AC$6:$AC$3005,請求記録!$B$6:$B$3005,$A165,請求記録!$X$6:$X$3005,Y$5))))</f>
        <v/>
      </c>
      <c r="Z165" s="19">
        <f>IF($A165="","",IF(COUNTIFS(請求記録!$B$6:$B$3005,$A165,請求記録!$X$6:$X$3005,Z$5,請求記録!$AD$6:$AD$3005,"保留中")&gt;0,"保留",IF(COUNTIFS(請求記録!$B$6:$B$3005,$A165,請求記録!$X$6:$X$3005,Z$5)=0,"",SUMIFS(請求記録!$AC$6:$AC$3005,請求記録!$B$6:$B$3005,$A165,請求記録!$X$6:$X$3005,Z$5))))</f>
        <v/>
      </c>
      <c r="AA165" s="19">
        <f>IF($A165="","",IF(COUNTIFS(請求記録!$B$6:$B$3005,$A165,請求記録!$X$6:$X$3005,AA$5,請求記録!$AD$6:$AD$3005,"保留中")&gt;0,"保留",IF(COUNTIFS(請求記録!$B$6:$B$3005,$A165,請求記録!$X$6:$X$3005,AA$5)=0,"",SUMIFS(請求記録!$AC$6:$AC$3005,請求記録!$B$6:$B$3005,$A165,請求記録!$X$6:$X$3005,AA$5))))</f>
        <v/>
      </c>
      <c r="AB165">
        <f>IF(職員マスタ!P165="保留中",職員マスタ!M165,"")</f>
        <v/>
      </c>
    </row>
    <row r="166">
      <c r="A166">
        <f>IF(職員マスタ!A166="","",職員マスタ!A166)</f>
        <v/>
      </c>
      <c r="B166">
        <f>IF($A166="","",職員マスタ!B166)</f>
        <v/>
      </c>
      <c r="C166">
        <f>IF($A166="","",職員マスタ!C166)</f>
        <v/>
      </c>
      <c r="D166" s="19">
        <f>IF($A166="","",IF(COUNTIFS(請求記録!$B$6:$B$3005,$A166,請求記録!$X$6:$X$3005,D$5,請求記録!$AD$6:$AD$3005,"保留中")&gt;0,"保留",IF(COUNTIFS(請求記録!$B$6:$B$3005,$A166,請求記録!$X$6:$X$3005,D$5)=0,"",SUMIFS(請求記録!$AC$6:$AC$3005,請求記録!$B$6:$B$3005,$A166,請求記録!$X$6:$X$3005,D$5))))</f>
        <v/>
      </c>
      <c r="E166" s="19">
        <f>IF($A166="","",IF(COUNTIFS(請求記録!$B$6:$B$3005,$A166,請求記録!$X$6:$X$3005,E$5,請求記録!$AD$6:$AD$3005,"保留中")&gt;0,"保留",IF(COUNTIFS(請求記録!$B$6:$B$3005,$A166,請求記録!$X$6:$X$3005,E$5)=0,"",SUMIFS(請求記録!$AC$6:$AC$3005,請求記録!$B$6:$B$3005,$A166,請求記録!$X$6:$X$3005,E$5))))</f>
        <v/>
      </c>
      <c r="F166" s="19">
        <f>IF($A166="","",IF(COUNTIFS(請求記録!$B$6:$B$3005,$A166,請求記録!$X$6:$X$3005,F$5,請求記録!$AD$6:$AD$3005,"保留中")&gt;0,"保留",IF(COUNTIFS(請求記録!$B$6:$B$3005,$A166,請求記録!$X$6:$X$3005,F$5)=0,"",SUMIFS(請求記録!$AC$6:$AC$3005,請求記録!$B$6:$B$3005,$A166,請求記録!$X$6:$X$3005,F$5))))</f>
        <v/>
      </c>
      <c r="G166" s="19">
        <f>IF($A166="","",IF(COUNTIFS(請求記録!$B$6:$B$3005,$A166,請求記録!$X$6:$X$3005,G$5,請求記録!$AD$6:$AD$3005,"保留中")&gt;0,"保留",IF(COUNTIFS(請求記録!$B$6:$B$3005,$A166,請求記録!$X$6:$X$3005,G$5)=0,"",SUMIFS(請求記録!$AC$6:$AC$3005,請求記録!$B$6:$B$3005,$A166,請求記録!$X$6:$X$3005,G$5))))</f>
        <v/>
      </c>
      <c r="H166" s="19">
        <f>IF($A166="","",IF(COUNTIFS(請求記録!$B$6:$B$3005,$A166,請求記録!$X$6:$X$3005,H$5,請求記録!$AD$6:$AD$3005,"保留中")&gt;0,"保留",IF(COUNTIFS(請求記録!$B$6:$B$3005,$A166,請求記録!$X$6:$X$3005,H$5)=0,"",SUMIFS(請求記録!$AC$6:$AC$3005,請求記録!$B$6:$B$3005,$A166,請求記録!$X$6:$X$3005,H$5))))</f>
        <v/>
      </c>
      <c r="I166" s="19">
        <f>IF($A166="","",IF(COUNTIFS(請求記録!$B$6:$B$3005,$A166,請求記録!$X$6:$X$3005,I$5,請求記録!$AD$6:$AD$3005,"保留中")&gt;0,"保留",IF(COUNTIFS(請求記録!$B$6:$B$3005,$A166,請求記録!$X$6:$X$3005,I$5)=0,"",SUMIFS(請求記録!$AC$6:$AC$3005,請求記録!$B$6:$B$3005,$A166,請求記録!$X$6:$X$3005,I$5))))</f>
        <v/>
      </c>
      <c r="J166" s="19">
        <f>IF($A166="","",IF(COUNTIFS(請求記録!$B$6:$B$3005,$A166,請求記録!$X$6:$X$3005,J$5,請求記録!$AD$6:$AD$3005,"保留中")&gt;0,"保留",IF(COUNTIFS(請求記録!$B$6:$B$3005,$A166,請求記録!$X$6:$X$3005,J$5)=0,"",SUMIFS(請求記録!$AC$6:$AC$3005,請求記録!$B$6:$B$3005,$A166,請求記録!$X$6:$X$3005,J$5))))</f>
        <v/>
      </c>
      <c r="K166" s="19">
        <f>IF($A166="","",IF(COUNTIFS(請求記録!$B$6:$B$3005,$A166,請求記録!$X$6:$X$3005,K$5,請求記録!$AD$6:$AD$3005,"保留中")&gt;0,"保留",IF(COUNTIFS(請求記録!$B$6:$B$3005,$A166,請求記録!$X$6:$X$3005,K$5)=0,"",SUMIFS(請求記録!$AC$6:$AC$3005,請求記録!$B$6:$B$3005,$A166,請求記録!$X$6:$X$3005,K$5))))</f>
        <v/>
      </c>
      <c r="L166" s="19">
        <f>IF($A166="","",IF(COUNTIFS(請求記録!$B$6:$B$3005,$A166,請求記録!$X$6:$X$3005,L$5,請求記録!$AD$6:$AD$3005,"保留中")&gt;0,"保留",IF(COUNTIFS(請求記録!$B$6:$B$3005,$A166,請求記録!$X$6:$X$3005,L$5)=0,"",SUMIFS(請求記録!$AC$6:$AC$3005,請求記録!$B$6:$B$3005,$A166,請求記録!$X$6:$X$3005,L$5))))</f>
        <v/>
      </c>
      <c r="M166" s="19">
        <f>IF($A166="","",IF(COUNTIFS(請求記録!$B$6:$B$3005,$A166,請求記録!$X$6:$X$3005,M$5,請求記録!$AD$6:$AD$3005,"保留中")&gt;0,"保留",IF(COUNTIFS(請求記録!$B$6:$B$3005,$A166,請求記録!$X$6:$X$3005,M$5)=0,"",SUMIFS(請求記録!$AC$6:$AC$3005,請求記録!$B$6:$B$3005,$A166,請求記録!$X$6:$X$3005,M$5))))</f>
        <v/>
      </c>
      <c r="N166" s="19">
        <f>IF($A166="","",IF(COUNTIFS(請求記録!$B$6:$B$3005,$A166,請求記録!$X$6:$X$3005,N$5,請求記録!$AD$6:$AD$3005,"保留中")&gt;0,"保留",IF(COUNTIFS(請求記録!$B$6:$B$3005,$A166,請求記録!$X$6:$X$3005,N$5)=0,"",SUMIFS(請求記録!$AC$6:$AC$3005,請求記録!$B$6:$B$3005,$A166,請求記録!$X$6:$X$3005,N$5))))</f>
        <v/>
      </c>
      <c r="O166" s="19">
        <f>IF($A166="","",IF(COUNTIFS(請求記録!$B$6:$B$3005,$A166,請求記録!$X$6:$X$3005,O$5,請求記録!$AD$6:$AD$3005,"保留中")&gt;0,"保留",IF(COUNTIFS(請求記録!$B$6:$B$3005,$A166,請求記録!$X$6:$X$3005,O$5)=0,"",SUMIFS(請求記録!$AC$6:$AC$3005,請求記録!$B$6:$B$3005,$A166,請求記録!$X$6:$X$3005,O$5))))</f>
        <v/>
      </c>
      <c r="P166" s="19">
        <f>IF($A166="","",IF(COUNTIFS(請求記録!$B$6:$B$3005,$A166,請求記録!$X$6:$X$3005,P$5,請求記録!$AD$6:$AD$3005,"保留中")&gt;0,"保留",IF(COUNTIFS(請求記録!$B$6:$B$3005,$A166,請求記録!$X$6:$X$3005,P$5)=0,"",SUMIFS(請求記録!$AC$6:$AC$3005,請求記録!$B$6:$B$3005,$A166,請求記録!$X$6:$X$3005,P$5))))</f>
        <v/>
      </c>
      <c r="Q166" s="19">
        <f>IF($A166="","",IF(COUNTIFS(請求記録!$B$6:$B$3005,$A166,請求記録!$X$6:$X$3005,Q$5,請求記録!$AD$6:$AD$3005,"保留中")&gt;0,"保留",IF(COUNTIFS(請求記録!$B$6:$B$3005,$A166,請求記録!$X$6:$X$3005,Q$5)=0,"",SUMIFS(請求記録!$AC$6:$AC$3005,請求記録!$B$6:$B$3005,$A166,請求記録!$X$6:$X$3005,Q$5))))</f>
        <v/>
      </c>
      <c r="R166" s="19">
        <f>IF($A166="","",IF(COUNTIFS(請求記録!$B$6:$B$3005,$A166,請求記録!$X$6:$X$3005,R$5,請求記録!$AD$6:$AD$3005,"保留中")&gt;0,"保留",IF(COUNTIFS(請求記録!$B$6:$B$3005,$A166,請求記録!$X$6:$X$3005,R$5)=0,"",SUMIFS(請求記録!$AC$6:$AC$3005,請求記録!$B$6:$B$3005,$A166,請求記録!$X$6:$X$3005,R$5))))</f>
        <v/>
      </c>
      <c r="S166" s="19">
        <f>IF($A166="","",IF(COUNTIFS(請求記録!$B$6:$B$3005,$A166,請求記録!$X$6:$X$3005,S$5,請求記録!$AD$6:$AD$3005,"保留中")&gt;0,"保留",IF(COUNTIFS(請求記録!$B$6:$B$3005,$A166,請求記録!$X$6:$X$3005,S$5)=0,"",SUMIFS(請求記録!$AC$6:$AC$3005,請求記録!$B$6:$B$3005,$A166,請求記録!$X$6:$X$3005,S$5))))</f>
        <v/>
      </c>
      <c r="T166" s="19">
        <f>IF($A166="","",IF(COUNTIFS(請求記録!$B$6:$B$3005,$A166,請求記録!$X$6:$X$3005,T$5,請求記録!$AD$6:$AD$3005,"保留中")&gt;0,"保留",IF(COUNTIFS(請求記録!$B$6:$B$3005,$A166,請求記録!$X$6:$X$3005,T$5)=0,"",SUMIFS(請求記録!$AC$6:$AC$3005,請求記録!$B$6:$B$3005,$A166,請求記録!$X$6:$X$3005,T$5))))</f>
        <v/>
      </c>
      <c r="U166" s="19">
        <f>IF($A166="","",IF(COUNTIFS(請求記録!$B$6:$B$3005,$A166,請求記録!$X$6:$X$3005,U$5,請求記録!$AD$6:$AD$3005,"保留中")&gt;0,"保留",IF(COUNTIFS(請求記録!$B$6:$B$3005,$A166,請求記録!$X$6:$X$3005,U$5)=0,"",SUMIFS(請求記録!$AC$6:$AC$3005,請求記録!$B$6:$B$3005,$A166,請求記録!$X$6:$X$3005,U$5))))</f>
        <v/>
      </c>
      <c r="V166" s="19">
        <f>IF($A166="","",IF(COUNTIFS(請求記録!$B$6:$B$3005,$A166,請求記録!$X$6:$X$3005,V$5,請求記録!$AD$6:$AD$3005,"保留中")&gt;0,"保留",IF(COUNTIFS(請求記録!$B$6:$B$3005,$A166,請求記録!$X$6:$X$3005,V$5)=0,"",SUMIFS(請求記録!$AC$6:$AC$3005,請求記録!$B$6:$B$3005,$A166,請求記録!$X$6:$X$3005,V$5))))</f>
        <v/>
      </c>
      <c r="W166" s="19">
        <f>IF($A166="","",IF(COUNTIFS(請求記録!$B$6:$B$3005,$A166,請求記録!$X$6:$X$3005,W$5,請求記録!$AD$6:$AD$3005,"保留中")&gt;0,"保留",IF(COUNTIFS(請求記録!$B$6:$B$3005,$A166,請求記録!$X$6:$X$3005,W$5)=0,"",SUMIFS(請求記録!$AC$6:$AC$3005,請求記録!$B$6:$B$3005,$A166,請求記録!$X$6:$X$3005,W$5))))</f>
        <v/>
      </c>
      <c r="X166" s="19">
        <f>IF($A166="","",IF(COUNTIFS(請求記録!$B$6:$B$3005,$A166,請求記録!$X$6:$X$3005,X$5,請求記録!$AD$6:$AD$3005,"保留中")&gt;0,"保留",IF(COUNTIFS(請求記録!$B$6:$B$3005,$A166,請求記録!$X$6:$X$3005,X$5)=0,"",SUMIFS(請求記録!$AC$6:$AC$3005,請求記録!$B$6:$B$3005,$A166,請求記録!$X$6:$X$3005,X$5))))</f>
        <v/>
      </c>
      <c r="Y166" s="19">
        <f>IF($A166="","",IF(COUNTIFS(請求記録!$B$6:$B$3005,$A166,請求記録!$X$6:$X$3005,Y$5,請求記録!$AD$6:$AD$3005,"保留中")&gt;0,"保留",IF(COUNTIFS(請求記録!$B$6:$B$3005,$A166,請求記録!$X$6:$X$3005,Y$5)=0,"",SUMIFS(請求記録!$AC$6:$AC$3005,請求記録!$B$6:$B$3005,$A166,請求記録!$X$6:$X$3005,Y$5))))</f>
        <v/>
      </c>
      <c r="Z166" s="19">
        <f>IF($A166="","",IF(COUNTIFS(請求記録!$B$6:$B$3005,$A166,請求記録!$X$6:$X$3005,Z$5,請求記録!$AD$6:$AD$3005,"保留中")&gt;0,"保留",IF(COUNTIFS(請求記録!$B$6:$B$3005,$A166,請求記録!$X$6:$X$3005,Z$5)=0,"",SUMIFS(請求記録!$AC$6:$AC$3005,請求記録!$B$6:$B$3005,$A166,請求記録!$X$6:$X$3005,Z$5))))</f>
        <v/>
      </c>
      <c r="AA166" s="19">
        <f>IF($A166="","",IF(COUNTIFS(請求記録!$B$6:$B$3005,$A166,請求記録!$X$6:$X$3005,AA$5,請求記録!$AD$6:$AD$3005,"保留中")&gt;0,"保留",IF(COUNTIFS(請求記録!$B$6:$B$3005,$A166,請求記録!$X$6:$X$3005,AA$5)=0,"",SUMIFS(請求記録!$AC$6:$AC$3005,請求記録!$B$6:$B$3005,$A166,請求記録!$X$6:$X$3005,AA$5))))</f>
        <v/>
      </c>
      <c r="AB166">
        <f>IF(職員マスタ!P166="保留中",職員マスタ!M166,"")</f>
        <v/>
      </c>
    </row>
    <row r="167">
      <c r="A167">
        <f>IF(職員マスタ!A167="","",職員マスタ!A167)</f>
        <v/>
      </c>
      <c r="B167">
        <f>IF($A167="","",職員マスタ!B167)</f>
        <v/>
      </c>
      <c r="C167">
        <f>IF($A167="","",職員マスタ!C167)</f>
        <v/>
      </c>
      <c r="D167" s="19">
        <f>IF($A167="","",IF(COUNTIFS(請求記録!$B$6:$B$3005,$A167,請求記録!$X$6:$X$3005,D$5,請求記録!$AD$6:$AD$3005,"保留中")&gt;0,"保留",IF(COUNTIFS(請求記録!$B$6:$B$3005,$A167,請求記録!$X$6:$X$3005,D$5)=0,"",SUMIFS(請求記録!$AC$6:$AC$3005,請求記録!$B$6:$B$3005,$A167,請求記録!$X$6:$X$3005,D$5))))</f>
        <v/>
      </c>
      <c r="E167" s="19">
        <f>IF($A167="","",IF(COUNTIFS(請求記録!$B$6:$B$3005,$A167,請求記録!$X$6:$X$3005,E$5,請求記録!$AD$6:$AD$3005,"保留中")&gt;0,"保留",IF(COUNTIFS(請求記録!$B$6:$B$3005,$A167,請求記録!$X$6:$X$3005,E$5)=0,"",SUMIFS(請求記録!$AC$6:$AC$3005,請求記録!$B$6:$B$3005,$A167,請求記録!$X$6:$X$3005,E$5))))</f>
        <v/>
      </c>
      <c r="F167" s="19">
        <f>IF($A167="","",IF(COUNTIFS(請求記録!$B$6:$B$3005,$A167,請求記録!$X$6:$X$3005,F$5,請求記録!$AD$6:$AD$3005,"保留中")&gt;0,"保留",IF(COUNTIFS(請求記録!$B$6:$B$3005,$A167,請求記録!$X$6:$X$3005,F$5)=0,"",SUMIFS(請求記録!$AC$6:$AC$3005,請求記録!$B$6:$B$3005,$A167,請求記録!$X$6:$X$3005,F$5))))</f>
        <v/>
      </c>
      <c r="G167" s="19">
        <f>IF($A167="","",IF(COUNTIFS(請求記録!$B$6:$B$3005,$A167,請求記録!$X$6:$X$3005,G$5,請求記録!$AD$6:$AD$3005,"保留中")&gt;0,"保留",IF(COUNTIFS(請求記録!$B$6:$B$3005,$A167,請求記録!$X$6:$X$3005,G$5)=0,"",SUMIFS(請求記録!$AC$6:$AC$3005,請求記録!$B$6:$B$3005,$A167,請求記録!$X$6:$X$3005,G$5))))</f>
        <v/>
      </c>
      <c r="H167" s="19">
        <f>IF($A167="","",IF(COUNTIFS(請求記録!$B$6:$B$3005,$A167,請求記録!$X$6:$X$3005,H$5,請求記録!$AD$6:$AD$3005,"保留中")&gt;0,"保留",IF(COUNTIFS(請求記録!$B$6:$B$3005,$A167,請求記録!$X$6:$X$3005,H$5)=0,"",SUMIFS(請求記録!$AC$6:$AC$3005,請求記録!$B$6:$B$3005,$A167,請求記録!$X$6:$X$3005,H$5))))</f>
        <v/>
      </c>
      <c r="I167" s="19">
        <f>IF($A167="","",IF(COUNTIFS(請求記録!$B$6:$B$3005,$A167,請求記録!$X$6:$X$3005,I$5,請求記録!$AD$6:$AD$3005,"保留中")&gt;0,"保留",IF(COUNTIFS(請求記録!$B$6:$B$3005,$A167,請求記録!$X$6:$X$3005,I$5)=0,"",SUMIFS(請求記録!$AC$6:$AC$3005,請求記録!$B$6:$B$3005,$A167,請求記録!$X$6:$X$3005,I$5))))</f>
        <v/>
      </c>
      <c r="J167" s="19">
        <f>IF($A167="","",IF(COUNTIFS(請求記録!$B$6:$B$3005,$A167,請求記録!$X$6:$X$3005,J$5,請求記録!$AD$6:$AD$3005,"保留中")&gt;0,"保留",IF(COUNTIFS(請求記録!$B$6:$B$3005,$A167,請求記録!$X$6:$X$3005,J$5)=0,"",SUMIFS(請求記録!$AC$6:$AC$3005,請求記録!$B$6:$B$3005,$A167,請求記録!$X$6:$X$3005,J$5))))</f>
        <v/>
      </c>
      <c r="K167" s="19">
        <f>IF($A167="","",IF(COUNTIFS(請求記録!$B$6:$B$3005,$A167,請求記録!$X$6:$X$3005,K$5,請求記録!$AD$6:$AD$3005,"保留中")&gt;0,"保留",IF(COUNTIFS(請求記録!$B$6:$B$3005,$A167,請求記録!$X$6:$X$3005,K$5)=0,"",SUMIFS(請求記録!$AC$6:$AC$3005,請求記録!$B$6:$B$3005,$A167,請求記録!$X$6:$X$3005,K$5))))</f>
        <v/>
      </c>
      <c r="L167" s="19">
        <f>IF($A167="","",IF(COUNTIFS(請求記録!$B$6:$B$3005,$A167,請求記録!$X$6:$X$3005,L$5,請求記録!$AD$6:$AD$3005,"保留中")&gt;0,"保留",IF(COUNTIFS(請求記録!$B$6:$B$3005,$A167,請求記録!$X$6:$X$3005,L$5)=0,"",SUMIFS(請求記録!$AC$6:$AC$3005,請求記録!$B$6:$B$3005,$A167,請求記録!$X$6:$X$3005,L$5))))</f>
        <v/>
      </c>
      <c r="M167" s="19">
        <f>IF($A167="","",IF(COUNTIFS(請求記録!$B$6:$B$3005,$A167,請求記録!$X$6:$X$3005,M$5,請求記録!$AD$6:$AD$3005,"保留中")&gt;0,"保留",IF(COUNTIFS(請求記録!$B$6:$B$3005,$A167,請求記録!$X$6:$X$3005,M$5)=0,"",SUMIFS(請求記録!$AC$6:$AC$3005,請求記録!$B$6:$B$3005,$A167,請求記録!$X$6:$X$3005,M$5))))</f>
        <v/>
      </c>
      <c r="N167" s="19">
        <f>IF($A167="","",IF(COUNTIFS(請求記録!$B$6:$B$3005,$A167,請求記録!$X$6:$X$3005,N$5,請求記録!$AD$6:$AD$3005,"保留中")&gt;0,"保留",IF(COUNTIFS(請求記録!$B$6:$B$3005,$A167,請求記録!$X$6:$X$3005,N$5)=0,"",SUMIFS(請求記録!$AC$6:$AC$3005,請求記録!$B$6:$B$3005,$A167,請求記録!$X$6:$X$3005,N$5))))</f>
        <v/>
      </c>
      <c r="O167" s="19">
        <f>IF($A167="","",IF(COUNTIFS(請求記録!$B$6:$B$3005,$A167,請求記録!$X$6:$X$3005,O$5,請求記録!$AD$6:$AD$3005,"保留中")&gt;0,"保留",IF(COUNTIFS(請求記録!$B$6:$B$3005,$A167,請求記録!$X$6:$X$3005,O$5)=0,"",SUMIFS(請求記録!$AC$6:$AC$3005,請求記録!$B$6:$B$3005,$A167,請求記録!$X$6:$X$3005,O$5))))</f>
        <v/>
      </c>
      <c r="P167" s="19">
        <f>IF($A167="","",IF(COUNTIFS(請求記録!$B$6:$B$3005,$A167,請求記録!$X$6:$X$3005,P$5,請求記録!$AD$6:$AD$3005,"保留中")&gt;0,"保留",IF(COUNTIFS(請求記録!$B$6:$B$3005,$A167,請求記録!$X$6:$X$3005,P$5)=0,"",SUMIFS(請求記録!$AC$6:$AC$3005,請求記録!$B$6:$B$3005,$A167,請求記録!$X$6:$X$3005,P$5))))</f>
        <v/>
      </c>
      <c r="Q167" s="19">
        <f>IF($A167="","",IF(COUNTIFS(請求記録!$B$6:$B$3005,$A167,請求記録!$X$6:$X$3005,Q$5,請求記録!$AD$6:$AD$3005,"保留中")&gt;0,"保留",IF(COUNTIFS(請求記録!$B$6:$B$3005,$A167,請求記録!$X$6:$X$3005,Q$5)=0,"",SUMIFS(請求記録!$AC$6:$AC$3005,請求記録!$B$6:$B$3005,$A167,請求記録!$X$6:$X$3005,Q$5))))</f>
        <v/>
      </c>
      <c r="R167" s="19">
        <f>IF($A167="","",IF(COUNTIFS(請求記録!$B$6:$B$3005,$A167,請求記録!$X$6:$X$3005,R$5,請求記録!$AD$6:$AD$3005,"保留中")&gt;0,"保留",IF(COUNTIFS(請求記録!$B$6:$B$3005,$A167,請求記録!$X$6:$X$3005,R$5)=0,"",SUMIFS(請求記録!$AC$6:$AC$3005,請求記録!$B$6:$B$3005,$A167,請求記録!$X$6:$X$3005,R$5))))</f>
        <v/>
      </c>
      <c r="S167" s="19">
        <f>IF($A167="","",IF(COUNTIFS(請求記録!$B$6:$B$3005,$A167,請求記録!$X$6:$X$3005,S$5,請求記録!$AD$6:$AD$3005,"保留中")&gt;0,"保留",IF(COUNTIFS(請求記録!$B$6:$B$3005,$A167,請求記録!$X$6:$X$3005,S$5)=0,"",SUMIFS(請求記録!$AC$6:$AC$3005,請求記録!$B$6:$B$3005,$A167,請求記録!$X$6:$X$3005,S$5))))</f>
        <v/>
      </c>
      <c r="T167" s="19">
        <f>IF($A167="","",IF(COUNTIFS(請求記録!$B$6:$B$3005,$A167,請求記録!$X$6:$X$3005,T$5,請求記録!$AD$6:$AD$3005,"保留中")&gt;0,"保留",IF(COUNTIFS(請求記録!$B$6:$B$3005,$A167,請求記録!$X$6:$X$3005,T$5)=0,"",SUMIFS(請求記録!$AC$6:$AC$3005,請求記録!$B$6:$B$3005,$A167,請求記録!$X$6:$X$3005,T$5))))</f>
        <v/>
      </c>
      <c r="U167" s="19">
        <f>IF($A167="","",IF(COUNTIFS(請求記録!$B$6:$B$3005,$A167,請求記録!$X$6:$X$3005,U$5,請求記録!$AD$6:$AD$3005,"保留中")&gt;0,"保留",IF(COUNTIFS(請求記録!$B$6:$B$3005,$A167,請求記録!$X$6:$X$3005,U$5)=0,"",SUMIFS(請求記録!$AC$6:$AC$3005,請求記録!$B$6:$B$3005,$A167,請求記録!$X$6:$X$3005,U$5))))</f>
        <v/>
      </c>
      <c r="V167" s="19">
        <f>IF($A167="","",IF(COUNTIFS(請求記録!$B$6:$B$3005,$A167,請求記録!$X$6:$X$3005,V$5,請求記録!$AD$6:$AD$3005,"保留中")&gt;0,"保留",IF(COUNTIFS(請求記録!$B$6:$B$3005,$A167,請求記録!$X$6:$X$3005,V$5)=0,"",SUMIFS(請求記録!$AC$6:$AC$3005,請求記録!$B$6:$B$3005,$A167,請求記録!$X$6:$X$3005,V$5))))</f>
        <v/>
      </c>
      <c r="W167" s="19">
        <f>IF($A167="","",IF(COUNTIFS(請求記録!$B$6:$B$3005,$A167,請求記録!$X$6:$X$3005,W$5,請求記録!$AD$6:$AD$3005,"保留中")&gt;0,"保留",IF(COUNTIFS(請求記録!$B$6:$B$3005,$A167,請求記録!$X$6:$X$3005,W$5)=0,"",SUMIFS(請求記録!$AC$6:$AC$3005,請求記録!$B$6:$B$3005,$A167,請求記録!$X$6:$X$3005,W$5))))</f>
        <v/>
      </c>
      <c r="X167" s="19">
        <f>IF($A167="","",IF(COUNTIFS(請求記録!$B$6:$B$3005,$A167,請求記録!$X$6:$X$3005,X$5,請求記録!$AD$6:$AD$3005,"保留中")&gt;0,"保留",IF(COUNTIFS(請求記録!$B$6:$B$3005,$A167,請求記録!$X$6:$X$3005,X$5)=0,"",SUMIFS(請求記録!$AC$6:$AC$3005,請求記録!$B$6:$B$3005,$A167,請求記録!$X$6:$X$3005,X$5))))</f>
        <v/>
      </c>
      <c r="Y167" s="19">
        <f>IF($A167="","",IF(COUNTIFS(請求記録!$B$6:$B$3005,$A167,請求記録!$X$6:$X$3005,Y$5,請求記録!$AD$6:$AD$3005,"保留中")&gt;0,"保留",IF(COUNTIFS(請求記録!$B$6:$B$3005,$A167,請求記録!$X$6:$X$3005,Y$5)=0,"",SUMIFS(請求記録!$AC$6:$AC$3005,請求記録!$B$6:$B$3005,$A167,請求記録!$X$6:$X$3005,Y$5))))</f>
        <v/>
      </c>
      <c r="Z167" s="19">
        <f>IF($A167="","",IF(COUNTIFS(請求記録!$B$6:$B$3005,$A167,請求記録!$X$6:$X$3005,Z$5,請求記録!$AD$6:$AD$3005,"保留中")&gt;0,"保留",IF(COUNTIFS(請求記録!$B$6:$B$3005,$A167,請求記録!$X$6:$X$3005,Z$5)=0,"",SUMIFS(請求記録!$AC$6:$AC$3005,請求記録!$B$6:$B$3005,$A167,請求記録!$X$6:$X$3005,Z$5))))</f>
        <v/>
      </c>
      <c r="AA167" s="19">
        <f>IF($A167="","",IF(COUNTIFS(請求記録!$B$6:$B$3005,$A167,請求記録!$X$6:$X$3005,AA$5,請求記録!$AD$6:$AD$3005,"保留中")&gt;0,"保留",IF(COUNTIFS(請求記録!$B$6:$B$3005,$A167,請求記録!$X$6:$X$3005,AA$5)=0,"",SUMIFS(請求記録!$AC$6:$AC$3005,請求記録!$B$6:$B$3005,$A167,請求記録!$X$6:$X$3005,AA$5))))</f>
        <v/>
      </c>
      <c r="AB167">
        <f>IF(職員マスタ!P167="保留中",職員マスタ!M167,"")</f>
        <v/>
      </c>
    </row>
    <row r="168">
      <c r="A168">
        <f>IF(職員マスタ!A168="","",職員マスタ!A168)</f>
        <v/>
      </c>
      <c r="B168">
        <f>IF($A168="","",職員マスタ!B168)</f>
        <v/>
      </c>
      <c r="C168">
        <f>IF($A168="","",職員マスタ!C168)</f>
        <v/>
      </c>
      <c r="D168" s="19">
        <f>IF($A168="","",IF(COUNTIFS(請求記録!$B$6:$B$3005,$A168,請求記録!$X$6:$X$3005,D$5,請求記録!$AD$6:$AD$3005,"保留中")&gt;0,"保留",IF(COUNTIFS(請求記録!$B$6:$B$3005,$A168,請求記録!$X$6:$X$3005,D$5)=0,"",SUMIFS(請求記録!$AC$6:$AC$3005,請求記録!$B$6:$B$3005,$A168,請求記録!$X$6:$X$3005,D$5))))</f>
        <v/>
      </c>
      <c r="E168" s="19">
        <f>IF($A168="","",IF(COUNTIFS(請求記録!$B$6:$B$3005,$A168,請求記録!$X$6:$X$3005,E$5,請求記録!$AD$6:$AD$3005,"保留中")&gt;0,"保留",IF(COUNTIFS(請求記録!$B$6:$B$3005,$A168,請求記録!$X$6:$X$3005,E$5)=0,"",SUMIFS(請求記録!$AC$6:$AC$3005,請求記録!$B$6:$B$3005,$A168,請求記録!$X$6:$X$3005,E$5))))</f>
        <v/>
      </c>
      <c r="F168" s="19">
        <f>IF($A168="","",IF(COUNTIFS(請求記録!$B$6:$B$3005,$A168,請求記録!$X$6:$X$3005,F$5,請求記録!$AD$6:$AD$3005,"保留中")&gt;0,"保留",IF(COUNTIFS(請求記録!$B$6:$B$3005,$A168,請求記録!$X$6:$X$3005,F$5)=0,"",SUMIFS(請求記録!$AC$6:$AC$3005,請求記録!$B$6:$B$3005,$A168,請求記録!$X$6:$X$3005,F$5))))</f>
        <v/>
      </c>
      <c r="G168" s="19">
        <f>IF($A168="","",IF(COUNTIFS(請求記録!$B$6:$B$3005,$A168,請求記録!$X$6:$X$3005,G$5,請求記録!$AD$6:$AD$3005,"保留中")&gt;0,"保留",IF(COUNTIFS(請求記録!$B$6:$B$3005,$A168,請求記録!$X$6:$X$3005,G$5)=0,"",SUMIFS(請求記録!$AC$6:$AC$3005,請求記録!$B$6:$B$3005,$A168,請求記録!$X$6:$X$3005,G$5))))</f>
        <v/>
      </c>
      <c r="H168" s="19">
        <f>IF($A168="","",IF(COUNTIFS(請求記録!$B$6:$B$3005,$A168,請求記録!$X$6:$X$3005,H$5,請求記録!$AD$6:$AD$3005,"保留中")&gt;0,"保留",IF(COUNTIFS(請求記録!$B$6:$B$3005,$A168,請求記録!$X$6:$X$3005,H$5)=0,"",SUMIFS(請求記録!$AC$6:$AC$3005,請求記録!$B$6:$B$3005,$A168,請求記録!$X$6:$X$3005,H$5))))</f>
        <v/>
      </c>
      <c r="I168" s="19">
        <f>IF($A168="","",IF(COUNTIFS(請求記録!$B$6:$B$3005,$A168,請求記録!$X$6:$X$3005,I$5,請求記録!$AD$6:$AD$3005,"保留中")&gt;0,"保留",IF(COUNTIFS(請求記録!$B$6:$B$3005,$A168,請求記録!$X$6:$X$3005,I$5)=0,"",SUMIFS(請求記録!$AC$6:$AC$3005,請求記録!$B$6:$B$3005,$A168,請求記録!$X$6:$X$3005,I$5))))</f>
        <v/>
      </c>
      <c r="J168" s="19">
        <f>IF($A168="","",IF(COUNTIFS(請求記録!$B$6:$B$3005,$A168,請求記録!$X$6:$X$3005,J$5,請求記録!$AD$6:$AD$3005,"保留中")&gt;0,"保留",IF(COUNTIFS(請求記録!$B$6:$B$3005,$A168,請求記録!$X$6:$X$3005,J$5)=0,"",SUMIFS(請求記録!$AC$6:$AC$3005,請求記録!$B$6:$B$3005,$A168,請求記録!$X$6:$X$3005,J$5))))</f>
        <v/>
      </c>
      <c r="K168" s="19">
        <f>IF($A168="","",IF(COUNTIFS(請求記録!$B$6:$B$3005,$A168,請求記録!$X$6:$X$3005,K$5,請求記録!$AD$6:$AD$3005,"保留中")&gt;0,"保留",IF(COUNTIFS(請求記録!$B$6:$B$3005,$A168,請求記録!$X$6:$X$3005,K$5)=0,"",SUMIFS(請求記録!$AC$6:$AC$3005,請求記録!$B$6:$B$3005,$A168,請求記録!$X$6:$X$3005,K$5))))</f>
        <v/>
      </c>
      <c r="L168" s="19">
        <f>IF($A168="","",IF(COUNTIFS(請求記録!$B$6:$B$3005,$A168,請求記録!$X$6:$X$3005,L$5,請求記録!$AD$6:$AD$3005,"保留中")&gt;0,"保留",IF(COUNTIFS(請求記録!$B$6:$B$3005,$A168,請求記録!$X$6:$X$3005,L$5)=0,"",SUMIFS(請求記録!$AC$6:$AC$3005,請求記録!$B$6:$B$3005,$A168,請求記録!$X$6:$X$3005,L$5))))</f>
        <v/>
      </c>
      <c r="M168" s="19">
        <f>IF($A168="","",IF(COUNTIFS(請求記録!$B$6:$B$3005,$A168,請求記録!$X$6:$X$3005,M$5,請求記録!$AD$6:$AD$3005,"保留中")&gt;0,"保留",IF(COUNTIFS(請求記録!$B$6:$B$3005,$A168,請求記録!$X$6:$X$3005,M$5)=0,"",SUMIFS(請求記録!$AC$6:$AC$3005,請求記録!$B$6:$B$3005,$A168,請求記録!$X$6:$X$3005,M$5))))</f>
        <v/>
      </c>
      <c r="N168" s="19">
        <f>IF($A168="","",IF(COUNTIFS(請求記録!$B$6:$B$3005,$A168,請求記録!$X$6:$X$3005,N$5,請求記録!$AD$6:$AD$3005,"保留中")&gt;0,"保留",IF(COUNTIFS(請求記録!$B$6:$B$3005,$A168,請求記録!$X$6:$X$3005,N$5)=0,"",SUMIFS(請求記録!$AC$6:$AC$3005,請求記録!$B$6:$B$3005,$A168,請求記録!$X$6:$X$3005,N$5))))</f>
        <v/>
      </c>
      <c r="O168" s="19">
        <f>IF($A168="","",IF(COUNTIFS(請求記録!$B$6:$B$3005,$A168,請求記録!$X$6:$X$3005,O$5,請求記録!$AD$6:$AD$3005,"保留中")&gt;0,"保留",IF(COUNTIFS(請求記録!$B$6:$B$3005,$A168,請求記録!$X$6:$X$3005,O$5)=0,"",SUMIFS(請求記録!$AC$6:$AC$3005,請求記録!$B$6:$B$3005,$A168,請求記録!$X$6:$X$3005,O$5))))</f>
        <v/>
      </c>
      <c r="P168" s="19">
        <f>IF($A168="","",IF(COUNTIFS(請求記録!$B$6:$B$3005,$A168,請求記録!$X$6:$X$3005,P$5,請求記録!$AD$6:$AD$3005,"保留中")&gt;0,"保留",IF(COUNTIFS(請求記録!$B$6:$B$3005,$A168,請求記録!$X$6:$X$3005,P$5)=0,"",SUMIFS(請求記録!$AC$6:$AC$3005,請求記録!$B$6:$B$3005,$A168,請求記録!$X$6:$X$3005,P$5))))</f>
        <v/>
      </c>
      <c r="Q168" s="19">
        <f>IF($A168="","",IF(COUNTIFS(請求記録!$B$6:$B$3005,$A168,請求記録!$X$6:$X$3005,Q$5,請求記録!$AD$6:$AD$3005,"保留中")&gt;0,"保留",IF(COUNTIFS(請求記録!$B$6:$B$3005,$A168,請求記録!$X$6:$X$3005,Q$5)=0,"",SUMIFS(請求記録!$AC$6:$AC$3005,請求記録!$B$6:$B$3005,$A168,請求記録!$X$6:$X$3005,Q$5))))</f>
        <v/>
      </c>
      <c r="R168" s="19">
        <f>IF($A168="","",IF(COUNTIFS(請求記録!$B$6:$B$3005,$A168,請求記録!$X$6:$X$3005,R$5,請求記録!$AD$6:$AD$3005,"保留中")&gt;0,"保留",IF(COUNTIFS(請求記録!$B$6:$B$3005,$A168,請求記録!$X$6:$X$3005,R$5)=0,"",SUMIFS(請求記録!$AC$6:$AC$3005,請求記録!$B$6:$B$3005,$A168,請求記録!$X$6:$X$3005,R$5))))</f>
        <v/>
      </c>
      <c r="S168" s="19">
        <f>IF($A168="","",IF(COUNTIFS(請求記録!$B$6:$B$3005,$A168,請求記録!$X$6:$X$3005,S$5,請求記録!$AD$6:$AD$3005,"保留中")&gt;0,"保留",IF(COUNTIFS(請求記録!$B$6:$B$3005,$A168,請求記録!$X$6:$X$3005,S$5)=0,"",SUMIFS(請求記録!$AC$6:$AC$3005,請求記録!$B$6:$B$3005,$A168,請求記録!$X$6:$X$3005,S$5))))</f>
        <v/>
      </c>
      <c r="T168" s="19">
        <f>IF($A168="","",IF(COUNTIFS(請求記録!$B$6:$B$3005,$A168,請求記録!$X$6:$X$3005,T$5,請求記録!$AD$6:$AD$3005,"保留中")&gt;0,"保留",IF(COUNTIFS(請求記録!$B$6:$B$3005,$A168,請求記録!$X$6:$X$3005,T$5)=0,"",SUMIFS(請求記録!$AC$6:$AC$3005,請求記録!$B$6:$B$3005,$A168,請求記録!$X$6:$X$3005,T$5))))</f>
        <v/>
      </c>
      <c r="U168" s="19">
        <f>IF($A168="","",IF(COUNTIFS(請求記録!$B$6:$B$3005,$A168,請求記録!$X$6:$X$3005,U$5,請求記録!$AD$6:$AD$3005,"保留中")&gt;0,"保留",IF(COUNTIFS(請求記録!$B$6:$B$3005,$A168,請求記録!$X$6:$X$3005,U$5)=0,"",SUMIFS(請求記録!$AC$6:$AC$3005,請求記録!$B$6:$B$3005,$A168,請求記録!$X$6:$X$3005,U$5))))</f>
        <v/>
      </c>
      <c r="V168" s="19">
        <f>IF($A168="","",IF(COUNTIFS(請求記録!$B$6:$B$3005,$A168,請求記録!$X$6:$X$3005,V$5,請求記録!$AD$6:$AD$3005,"保留中")&gt;0,"保留",IF(COUNTIFS(請求記録!$B$6:$B$3005,$A168,請求記録!$X$6:$X$3005,V$5)=0,"",SUMIFS(請求記録!$AC$6:$AC$3005,請求記録!$B$6:$B$3005,$A168,請求記録!$X$6:$X$3005,V$5))))</f>
        <v/>
      </c>
      <c r="W168" s="19">
        <f>IF($A168="","",IF(COUNTIFS(請求記録!$B$6:$B$3005,$A168,請求記録!$X$6:$X$3005,W$5,請求記録!$AD$6:$AD$3005,"保留中")&gt;0,"保留",IF(COUNTIFS(請求記録!$B$6:$B$3005,$A168,請求記録!$X$6:$X$3005,W$5)=0,"",SUMIFS(請求記録!$AC$6:$AC$3005,請求記録!$B$6:$B$3005,$A168,請求記録!$X$6:$X$3005,W$5))))</f>
        <v/>
      </c>
      <c r="X168" s="19">
        <f>IF($A168="","",IF(COUNTIFS(請求記録!$B$6:$B$3005,$A168,請求記録!$X$6:$X$3005,X$5,請求記録!$AD$6:$AD$3005,"保留中")&gt;0,"保留",IF(COUNTIFS(請求記録!$B$6:$B$3005,$A168,請求記録!$X$6:$X$3005,X$5)=0,"",SUMIFS(請求記録!$AC$6:$AC$3005,請求記録!$B$6:$B$3005,$A168,請求記録!$X$6:$X$3005,X$5))))</f>
        <v/>
      </c>
      <c r="Y168" s="19">
        <f>IF($A168="","",IF(COUNTIFS(請求記録!$B$6:$B$3005,$A168,請求記録!$X$6:$X$3005,Y$5,請求記録!$AD$6:$AD$3005,"保留中")&gt;0,"保留",IF(COUNTIFS(請求記録!$B$6:$B$3005,$A168,請求記録!$X$6:$X$3005,Y$5)=0,"",SUMIFS(請求記録!$AC$6:$AC$3005,請求記録!$B$6:$B$3005,$A168,請求記録!$X$6:$X$3005,Y$5))))</f>
        <v/>
      </c>
      <c r="Z168" s="19">
        <f>IF($A168="","",IF(COUNTIFS(請求記録!$B$6:$B$3005,$A168,請求記録!$X$6:$X$3005,Z$5,請求記録!$AD$6:$AD$3005,"保留中")&gt;0,"保留",IF(COUNTIFS(請求記録!$B$6:$B$3005,$A168,請求記録!$X$6:$X$3005,Z$5)=0,"",SUMIFS(請求記録!$AC$6:$AC$3005,請求記録!$B$6:$B$3005,$A168,請求記録!$X$6:$X$3005,Z$5))))</f>
        <v/>
      </c>
      <c r="AA168" s="19">
        <f>IF($A168="","",IF(COUNTIFS(請求記録!$B$6:$B$3005,$A168,請求記録!$X$6:$X$3005,AA$5,請求記録!$AD$6:$AD$3005,"保留中")&gt;0,"保留",IF(COUNTIFS(請求記録!$B$6:$B$3005,$A168,請求記録!$X$6:$X$3005,AA$5)=0,"",SUMIFS(請求記録!$AC$6:$AC$3005,請求記録!$B$6:$B$3005,$A168,請求記録!$X$6:$X$3005,AA$5))))</f>
        <v/>
      </c>
      <c r="AB168">
        <f>IF(職員マスタ!P168="保留中",職員マスタ!M168,"")</f>
        <v/>
      </c>
    </row>
    <row r="169">
      <c r="A169">
        <f>IF(職員マスタ!A169="","",職員マスタ!A169)</f>
        <v/>
      </c>
      <c r="B169">
        <f>IF($A169="","",職員マスタ!B169)</f>
        <v/>
      </c>
      <c r="C169">
        <f>IF($A169="","",職員マスタ!C169)</f>
        <v/>
      </c>
      <c r="D169" s="19">
        <f>IF($A169="","",IF(COUNTIFS(請求記録!$B$6:$B$3005,$A169,請求記録!$X$6:$X$3005,D$5,請求記録!$AD$6:$AD$3005,"保留中")&gt;0,"保留",IF(COUNTIFS(請求記録!$B$6:$B$3005,$A169,請求記録!$X$6:$X$3005,D$5)=0,"",SUMIFS(請求記録!$AC$6:$AC$3005,請求記録!$B$6:$B$3005,$A169,請求記録!$X$6:$X$3005,D$5))))</f>
        <v/>
      </c>
      <c r="E169" s="19">
        <f>IF($A169="","",IF(COUNTIFS(請求記録!$B$6:$B$3005,$A169,請求記録!$X$6:$X$3005,E$5,請求記録!$AD$6:$AD$3005,"保留中")&gt;0,"保留",IF(COUNTIFS(請求記録!$B$6:$B$3005,$A169,請求記録!$X$6:$X$3005,E$5)=0,"",SUMIFS(請求記録!$AC$6:$AC$3005,請求記録!$B$6:$B$3005,$A169,請求記録!$X$6:$X$3005,E$5))))</f>
        <v/>
      </c>
      <c r="F169" s="19">
        <f>IF($A169="","",IF(COUNTIFS(請求記録!$B$6:$B$3005,$A169,請求記録!$X$6:$X$3005,F$5,請求記録!$AD$6:$AD$3005,"保留中")&gt;0,"保留",IF(COUNTIFS(請求記録!$B$6:$B$3005,$A169,請求記録!$X$6:$X$3005,F$5)=0,"",SUMIFS(請求記録!$AC$6:$AC$3005,請求記録!$B$6:$B$3005,$A169,請求記録!$X$6:$X$3005,F$5))))</f>
        <v/>
      </c>
      <c r="G169" s="19">
        <f>IF($A169="","",IF(COUNTIFS(請求記録!$B$6:$B$3005,$A169,請求記録!$X$6:$X$3005,G$5,請求記録!$AD$6:$AD$3005,"保留中")&gt;0,"保留",IF(COUNTIFS(請求記録!$B$6:$B$3005,$A169,請求記録!$X$6:$X$3005,G$5)=0,"",SUMIFS(請求記録!$AC$6:$AC$3005,請求記録!$B$6:$B$3005,$A169,請求記録!$X$6:$X$3005,G$5))))</f>
        <v/>
      </c>
      <c r="H169" s="19">
        <f>IF($A169="","",IF(COUNTIFS(請求記録!$B$6:$B$3005,$A169,請求記録!$X$6:$X$3005,H$5,請求記録!$AD$6:$AD$3005,"保留中")&gt;0,"保留",IF(COUNTIFS(請求記録!$B$6:$B$3005,$A169,請求記録!$X$6:$X$3005,H$5)=0,"",SUMIFS(請求記録!$AC$6:$AC$3005,請求記録!$B$6:$B$3005,$A169,請求記録!$X$6:$X$3005,H$5))))</f>
        <v/>
      </c>
      <c r="I169" s="19">
        <f>IF($A169="","",IF(COUNTIFS(請求記録!$B$6:$B$3005,$A169,請求記録!$X$6:$X$3005,I$5,請求記録!$AD$6:$AD$3005,"保留中")&gt;0,"保留",IF(COUNTIFS(請求記録!$B$6:$B$3005,$A169,請求記録!$X$6:$X$3005,I$5)=0,"",SUMIFS(請求記録!$AC$6:$AC$3005,請求記録!$B$6:$B$3005,$A169,請求記録!$X$6:$X$3005,I$5))))</f>
        <v/>
      </c>
      <c r="J169" s="19">
        <f>IF($A169="","",IF(COUNTIFS(請求記録!$B$6:$B$3005,$A169,請求記録!$X$6:$X$3005,J$5,請求記録!$AD$6:$AD$3005,"保留中")&gt;0,"保留",IF(COUNTIFS(請求記録!$B$6:$B$3005,$A169,請求記録!$X$6:$X$3005,J$5)=0,"",SUMIFS(請求記録!$AC$6:$AC$3005,請求記録!$B$6:$B$3005,$A169,請求記録!$X$6:$X$3005,J$5))))</f>
        <v/>
      </c>
      <c r="K169" s="19">
        <f>IF($A169="","",IF(COUNTIFS(請求記録!$B$6:$B$3005,$A169,請求記録!$X$6:$X$3005,K$5,請求記録!$AD$6:$AD$3005,"保留中")&gt;0,"保留",IF(COUNTIFS(請求記録!$B$6:$B$3005,$A169,請求記録!$X$6:$X$3005,K$5)=0,"",SUMIFS(請求記録!$AC$6:$AC$3005,請求記録!$B$6:$B$3005,$A169,請求記録!$X$6:$X$3005,K$5))))</f>
        <v/>
      </c>
      <c r="L169" s="19">
        <f>IF($A169="","",IF(COUNTIFS(請求記録!$B$6:$B$3005,$A169,請求記録!$X$6:$X$3005,L$5,請求記録!$AD$6:$AD$3005,"保留中")&gt;0,"保留",IF(COUNTIFS(請求記録!$B$6:$B$3005,$A169,請求記録!$X$6:$X$3005,L$5)=0,"",SUMIFS(請求記録!$AC$6:$AC$3005,請求記録!$B$6:$B$3005,$A169,請求記録!$X$6:$X$3005,L$5))))</f>
        <v/>
      </c>
      <c r="M169" s="19">
        <f>IF($A169="","",IF(COUNTIFS(請求記録!$B$6:$B$3005,$A169,請求記録!$X$6:$X$3005,M$5,請求記録!$AD$6:$AD$3005,"保留中")&gt;0,"保留",IF(COUNTIFS(請求記録!$B$6:$B$3005,$A169,請求記録!$X$6:$X$3005,M$5)=0,"",SUMIFS(請求記録!$AC$6:$AC$3005,請求記録!$B$6:$B$3005,$A169,請求記録!$X$6:$X$3005,M$5))))</f>
        <v/>
      </c>
      <c r="N169" s="19">
        <f>IF($A169="","",IF(COUNTIFS(請求記録!$B$6:$B$3005,$A169,請求記録!$X$6:$X$3005,N$5,請求記録!$AD$6:$AD$3005,"保留中")&gt;0,"保留",IF(COUNTIFS(請求記録!$B$6:$B$3005,$A169,請求記録!$X$6:$X$3005,N$5)=0,"",SUMIFS(請求記録!$AC$6:$AC$3005,請求記録!$B$6:$B$3005,$A169,請求記録!$X$6:$X$3005,N$5))))</f>
        <v/>
      </c>
      <c r="O169" s="19">
        <f>IF($A169="","",IF(COUNTIFS(請求記録!$B$6:$B$3005,$A169,請求記録!$X$6:$X$3005,O$5,請求記録!$AD$6:$AD$3005,"保留中")&gt;0,"保留",IF(COUNTIFS(請求記録!$B$6:$B$3005,$A169,請求記録!$X$6:$X$3005,O$5)=0,"",SUMIFS(請求記録!$AC$6:$AC$3005,請求記録!$B$6:$B$3005,$A169,請求記録!$X$6:$X$3005,O$5))))</f>
        <v/>
      </c>
      <c r="P169" s="19">
        <f>IF($A169="","",IF(COUNTIFS(請求記録!$B$6:$B$3005,$A169,請求記録!$X$6:$X$3005,P$5,請求記録!$AD$6:$AD$3005,"保留中")&gt;0,"保留",IF(COUNTIFS(請求記録!$B$6:$B$3005,$A169,請求記録!$X$6:$X$3005,P$5)=0,"",SUMIFS(請求記録!$AC$6:$AC$3005,請求記録!$B$6:$B$3005,$A169,請求記録!$X$6:$X$3005,P$5))))</f>
        <v/>
      </c>
      <c r="Q169" s="19">
        <f>IF($A169="","",IF(COUNTIFS(請求記録!$B$6:$B$3005,$A169,請求記録!$X$6:$X$3005,Q$5,請求記録!$AD$6:$AD$3005,"保留中")&gt;0,"保留",IF(COUNTIFS(請求記録!$B$6:$B$3005,$A169,請求記録!$X$6:$X$3005,Q$5)=0,"",SUMIFS(請求記録!$AC$6:$AC$3005,請求記録!$B$6:$B$3005,$A169,請求記録!$X$6:$X$3005,Q$5))))</f>
        <v/>
      </c>
      <c r="R169" s="19">
        <f>IF($A169="","",IF(COUNTIFS(請求記録!$B$6:$B$3005,$A169,請求記録!$X$6:$X$3005,R$5,請求記録!$AD$6:$AD$3005,"保留中")&gt;0,"保留",IF(COUNTIFS(請求記録!$B$6:$B$3005,$A169,請求記録!$X$6:$X$3005,R$5)=0,"",SUMIFS(請求記録!$AC$6:$AC$3005,請求記録!$B$6:$B$3005,$A169,請求記録!$X$6:$X$3005,R$5))))</f>
        <v/>
      </c>
      <c r="S169" s="19">
        <f>IF($A169="","",IF(COUNTIFS(請求記録!$B$6:$B$3005,$A169,請求記録!$X$6:$X$3005,S$5,請求記録!$AD$6:$AD$3005,"保留中")&gt;0,"保留",IF(COUNTIFS(請求記録!$B$6:$B$3005,$A169,請求記録!$X$6:$X$3005,S$5)=0,"",SUMIFS(請求記録!$AC$6:$AC$3005,請求記録!$B$6:$B$3005,$A169,請求記録!$X$6:$X$3005,S$5))))</f>
        <v/>
      </c>
      <c r="T169" s="19">
        <f>IF($A169="","",IF(COUNTIFS(請求記録!$B$6:$B$3005,$A169,請求記録!$X$6:$X$3005,T$5,請求記録!$AD$6:$AD$3005,"保留中")&gt;0,"保留",IF(COUNTIFS(請求記録!$B$6:$B$3005,$A169,請求記録!$X$6:$X$3005,T$5)=0,"",SUMIFS(請求記録!$AC$6:$AC$3005,請求記録!$B$6:$B$3005,$A169,請求記録!$X$6:$X$3005,T$5))))</f>
        <v/>
      </c>
      <c r="U169" s="19">
        <f>IF($A169="","",IF(COUNTIFS(請求記録!$B$6:$B$3005,$A169,請求記録!$X$6:$X$3005,U$5,請求記録!$AD$6:$AD$3005,"保留中")&gt;0,"保留",IF(COUNTIFS(請求記録!$B$6:$B$3005,$A169,請求記録!$X$6:$X$3005,U$5)=0,"",SUMIFS(請求記録!$AC$6:$AC$3005,請求記録!$B$6:$B$3005,$A169,請求記録!$X$6:$X$3005,U$5))))</f>
        <v/>
      </c>
      <c r="V169" s="19">
        <f>IF($A169="","",IF(COUNTIFS(請求記録!$B$6:$B$3005,$A169,請求記録!$X$6:$X$3005,V$5,請求記録!$AD$6:$AD$3005,"保留中")&gt;0,"保留",IF(COUNTIFS(請求記録!$B$6:$B$3005,$A169,請求記録!$X$6:$X$3005,V$5)=0,"",SUMIFS(請求記録!$AC$6:$AC$3005,請求記録!$B$6:$B$3005,$A169,請求記録!$X$6:$X$3005,V$5))))</f>
        <v/>
      </c>
      <c r="W169" s="19">
        <f>IF($A169="","",IF(COUNTIFS(請求記録!$B$6:$B$3005,$A169,請求記録!$X$6:$X$3005,W$5,請求記録!$AD$6:$AD$3005,"保留中")&gt;0,"保留",IF(COUNTIFS(請求記録!$B$6:$B$3005,$A169,請求記録!$X$6:$X$3005,W$5)=0,"",SUMIFS(請求記録!$AC$6:$AC$3005,請求記録!$B$6:$B$3005,$A169,請求記録!$X$6:$X$3005,W$5))))</f>
        <v/>
      </c>
      <c r="X169" s="19">
        <f>IF($A169="","",IF(COUNTIFS(請求記録!$B$6:$B$3005,$A169,請求記録!$X$6:$X$3005,X$5,請求記録!$AD$6:$AD$3005,"保留中")&gt;0,"保留",IF(COUNTIFS(請求記録!$B$6:$B$3005,$A169,請求記録!$X$6:$X$3005,X$5)=0,"",SUMIFS(請求記録!$AC$6:$AC$3005,請求記録!$B$6:$B$3005,$A169,請求記録!$X$6:$X$3005,X$5))))</f>
        <v/>
      </c>
      <c r="Y169" s="19">
        <f>IF($A169="","",IF(COUNTIFS(請求記録!$B$6:$B$3005,$A169,請求記録!$X$6:$X$3005,Y$5,請求記録!$AD$6:$AD$3005,"保留中")&gt;0,"保留",IF(COUNTIFS(請求記録!$B$6:$B$3005,$A169,請求記録!$X$6:$X$3005,Y$5)=0,"",SUMIFS(請求記録!$AC$6:$AC$3005,請求記録!$B$6:$B$3005,$A169,請求記録!$X$6:$X$3005,Y$5))))</f>
        <v/>
      </c>
      <c r="Z169" s="19">
        <f>IF($A169="","",IF(COUNTIFS(請求記録!$B$6:$B$3005,$A169,請求記録!$X$6:$X$3005,Z$5,請求記録!$AD$6:$AD$3005,"保留中")&gt;0,"保留",IF(COUNTIFS(請求記録!$B$6:$B$3005,$A169,請求記録!$X$6:$X$3005,Z$5)=0,"",SUMIFS(請求記録!$AC$6:$AC$3005,請求記録!$B$6:$B$3005,$A169,請求記録!$X$6:$X$3005,Z$5))))</f>
        <v/>
      </c>
      <c r="AA169" s="19">
        <f>IF($A169="","",IF(COUNTIFS(請求記録!$B$6:$B$3005,$A169,請求記録!$X$6:$X$3005,AA$5,請求記録!$AD$6:$AD$3005,"保留中")&gt;0,"保留",IF(COUNTIFS(請求記録!$B$6:$B$3005,$A169,請求記録!$X$6:$X$3005,AA$5)=0,"",SUMIFS(請求記録!$AC$6:$AC$3005,請求記録!$B$6:$B$3005,$A169,請求記録!$X$6:$X$3005,AA$5))))</f>
        <v/>
      </c>
      <c r="AB169">
        <f>IF(職員マスタ!P169="保留中",職員マスタ!M169,"")</f>
        <v/>
      </c>
    </row>
    <row r="170">
      <c r="A170">
        <f>IF(職員マスタ!A170="","",職員マスタ!A170)</f>
        <v/>
      </c>
      <c r="B170">
        <f>IF($A170="","",職員マスタ!B170)</f>
        <v/>
      </c>
      <c r="C170">
        <f>IF($A170="","",職員マスタ!C170)</f>
        <v/>
      </c>
      <c r="D170" s="19">
        <f>IF($A170="","",IF(COUNTIFS(請求記録!$B$6:$B$3005,$A170,請求記録!$X$6:$X$3005,D$5,請求記録!$AD$6:$AD$3005,"保留中")&gt;0,"保留",IF(COUNTIFS(請求記録!$B$6:$B$3005,$A170,請求記録!$X$6:$X$3005,D$5)=0,"",SUMIFS(請求記録!$AC$6:$AC$3005,請求記録!$B$6:$B$3005,$A170,請求記録!$X$6:$X$3005,D$5))))</f>
        <v/>
      </c>
      <c r="E170" s="19">
        <f>IF($A170="","",IF(COUNTIFS(請求記録!$B$6:$B$3005,$A170,請求記録!$X$6:$X$3005,E$5,請求記録!$AD$6:$AD$3005,"保留中")&gt;0,"保留",IF(COUNTIFS(請求記録!$B$6:$B$3005,$A170,請求記録!$X$6:$X$3005,E$5)=0,"",SUMIFS(請求記録!$AC$6:$AC$3005,請求記録!$B$6:$B$3005,$A170,請求記録!$X$6:$X$3005,E$5))))</f>
        <v/>
      </c>
      <c r="F170" s="19">
        <f>IF($A170="","",IF(COUNTIFS(請求記録!$B$6:$B$3005,$A170,請求記録!$X$6:$X$3005,F$5,請求記録!$AD$6:$AD$3005,"保留中")&gt;0,"保留",IF(COUNTIFS(請求記録!$B$6:$B$3005,$A170,請求記録!$X$6:$X$3005,F$5)=0,"",SUMIFS(請求記録!$AC$6:$AC$3005,請求記録!$B$6:$B$3005,$A170,請求記録!$X$6:$X$3005,F$5))))</f>
        <v/>
      </c>
      <c r="G170" s="19">
        <f>IF($A170="","",IF(COUNTIFS(請求記録!$B$6:$B$3005,$A170,請求記録!$X$6:$X$3005,G$5,請求記録!$AD$6:$AD$3005,"保留中")&gt;0,"保留",IF(COUNTIFS(請求記録!$B$6:$B$3005,$A170,請求記録!$X$6:$X$3005,G$5)=0,"",SUMIFS(請求記録!$AC$6:$AC$3005,請求記録!$B$6:$B$3005,$A170,請求記録!$X$6:$X$3005,G$5))))</f>
        <v/>
      </c>
      <c r="H170" s="19">
        <f>IF($A170="","",IF(COUNTIFS(請求記録!$B$6:$B$3005,$A170,請求記録!$X$6:$X$3005,H$5,請求記録!$AD$6:$AD$3005,"保留中")&gt;0,"保留",IF(COUNTIFS(請求記録!$B$6:$B$3005,$A170,請求記録!$X$6:$X$3005,H$5)=0,"",SUMIFS(請求記録!$AC$6:$AC$3005,請求記録!$B$6:$B$3005,$A170,請求記録!$X$6:$X$3005,H$5))))</f>
        <v/>
      </c>
      <c r="I170" s="19">
        <f>IF($A170="","",IF(COUNTIFS(請求記録!$B$6:$B$3005,$A170,請求記録!$X$6:$X$3005,I$5,請求記録!$AD$6:$AD$3005,"保留中")&gt;0,"保留",IF(COUNTIFS(請求記録!$B$6:$B$3005,$A170,請求記録!$X$6:$X$3005,I$5)=0,"",SUMIFS(請求記録!$AC$6:$AC$3005,請求記録!$B$6:$B$3005,$A170,請求記録!$X$6:$X$3005,I$5))))</f>
        <v/>
      </c>
      <c r="J170" s="19">
        <f>IF($A170="","",IF(COUNTIFS(請求記録!$B$6:$B$3005,$A170,請求記録!$X$6:$X$3005,J$5,請求記録!$AD$6:$AD$3005,"保留中")&gt;0,"保留",IF(COUNTIFS(請求記録!$B$6:$B$3005,$A170,請求記録!$X$6:$X$3005,J$5)=0,"",SUMIFS(請求記録!$AC$6:$AC$3005,請求記録!$B$6:$B$3005,$A170,請求記録!$X$6:$X$3005,J$5))))</f>
        <v/>
      </c>
      <c r="K170" s="19">
        <f>IF($A170="","",IF(COUNTIFS(請求記録!$B$6:$B$3005,$A170,請求記録!$X$6:$X$3005,K$5,請求記録!$AD$6:$AD$3005,"保留中")&gt;0,"保留",IF(COUNTIFS(請求記録!$B$6:$B$3005,$A170,請求記録!$X$6:$X$3005,K$5)=0,"",SUMIFS(請求記録!$AC$6:$AC$3005,請求記録!$B$6:$B$3005,$A170,請求記録!$X$6:$X$3005,K$5))))</f>
        <v/>
      </c>
      <c r="L170" s="19">
        <f>IF($A170="","",IF(COUNTIFS(請求記録!$B$6:$B$3005,$A170,請求記録!$X$6:$X$3005,L$5,請求記録!$AD$6:$AD$3005,"保留中")&gt;0,"保留",IF(COUNTIFS(請求記録!$B$6:$B$3005,$A170,請求記録!$X$6:$X$3005,L$5)=0,"",SUMIFS(請求記録!$AC$6:$AC$3005,請求記録!$B$6:$B$3005,$A170,請求記録!$X$6:$X$3005,L$5))))</f>
        <v/>
      </c>
      <c r="M170" s="19">
        <f>IF($A170="","",IF(COUNTIFS(請求記録!$B$6:$B$3005,$A170,請求記録!$X$6:$X$3005,M$5,請求記録!$AD$6:$AD$3005,"保留中")&gt;0,"保留",IF(COUNTIFS(請求記録!$B$6:$B$3005,$A170,請求記録!$X$6:$X$3005,M$5)=0,"",SUMIFS(請求記録!$AC$6:$AC$3005,請求記録!$B$6:$B$3005,$A170,請求記録!$X$6:$X$3005,M$5))))</f>
        <v/>
      </c>
      <c r="N170" s="19">
        <f>IF($A170="","",IF(COUNTIFS(請求記録!$B$6:$B$3005,$A170,請求記録!$X$6:$X$3005,N$5,請求記録!$AD$6:$AD$3005,"保留中")&gt;0,"保留",IF(COUNTIFS(請求記録!$B$6:$B$3005,$A170,請求記録!$X$6:$X$3005,N$5)=0,"",SUMIFS(請求記録!$AC$6:$AC$3005,請求記録!$B$6:$B$3005,$A170,請求記録!$X$6:$X$3005,N$5))))</f>
        <v/>
      </c>
      <c r="O170" s="19">
        <f>IF($A170="","",IF(COUNTIFS(請求記録!$B$6:$B$3005,$A170,請求記録!$X$6:$X$3005,O$5,請求記録!$AD$6:$AD$3005,"保留中")&gt;0,"保留",IF(COUNTIFS(請求記録!$B$6:$B$3005,$A170,請求記録!$X$6:$X$3005,O$5)=0,"",SUMIFS(請求記録!$AC$6:$AC$3005,請求記録!$B$6:$B$3005,$A170,請求記録!$X$6:$X$3005,O$5))))</f>
        <v/>
      </c>
      <c r="P170" s="19">
        <f>IF($A170="","",IF(COUNTIFS(請求記録!$B$6:$B$3005,$A170,請求記録!$X$6:$X$3005,P$5,請求記録!$AD$6:$AD$3005,"保留中")&gt;0,"保留",IF(COUNTIFS(請求記録!$B$6:$B$3005,$A170,請求記録!$X$6:$X$3005,P$5)=0,"",SUMIFS(請求記録!$AC$6:$AC$3005,請求記録!$B$6:$B$3005,$A170,請求記録!$X$6:$X$3005,P$5))))</f>
        <v/>
      </c>
      <c r="Q170" s="19">
        <f>IF($A170="","",IF(COUNTIFS(請求記録!$B$6:$B$3005,$A170,請求記録!$X$6:$X$3005,Q$5,請求記録!$AD$6:$AD$3005,"保留中")&gt;0,"保留",IF(COUNTIFS(請求記録!$B$6:$B$3005,$A170,請求記録!$X$6:$X$3005,Q$5)=0,"",SUMIFS(請求記録!$AC$6:$AC$3005,請求記録!$B$6:$B$3005,$A170,請求記録!$X$6:$X$3005,Q$5))))</f>
        <v/>
      </c>
      <c r="R170" s="19">
        <f>IF($A170="","",IF(COUNTIFS(請求記録!$B$6:$B$3005,$A170,請求記録!$X$6:$X$3005,R$5,請求記録!$AD$6:$AD$3005,"保留中")&gt;0,"保留",IF(COUNTIFS(請求記録!$B$6:$B$3005,$A170,請求記録!$X$6:$X$3005,R$5)=0,"",SUMIFS(請求記録!$AC$6:$AC$3005,請求記録!$B$6:$B$3005,$A170,請求記録!$X$6:$X$3005,R$5))))</f>
        <v/>
      </c>
      <c r="S170" s="19">
        <f>IF($A170="","",IF(COUNTIFS(請求記録!$B$6:$B$3005,$A170,請求記録!$X$6:$X$3005,S$5,請求記録!$AD$6:$AD$3005,"保留中")&gt;0,"保留",IF(COUNTIFS(請求記録!$B$6:$B$3005,$A170,請求記録!$X$6:$X$3005,S$5)=0,"",SUMIFS(請求記録!$AC$6:$AC$3005,請求記録!$B$6:$B$3005,$A170,請求記録!$X$6:$X$3005,S$5))))</f>
        <v/>
      </c>
      <c r="T170" s="19">
        <f>IF($A170="","",IF(COUNTIFS(請求記録!$B$6:$B$3005,$A170,請求記録!$X$6:$X$3005,T$5,請求記録!$AD$6:$AD$3005,"保留中")&gt;0,"保留",IF(COUNTIFS(請求記録!$B$6:$B$3005,$A170,請求記録!$X$6:$X$3005,T$5)=0,"",SUMIFS(請求記録!$AC$6:$AC$3005,請求記録!$B$6:$B$3005,$A170,請求記録!$X$6:$X$3005,T$5))))</f>
        <v/>
      </c>
      <c r="U170" s="19">
        <f>IF($A170="","",IF(COUNTIFS(請求記録!$B$6:$B$3005,$A170,請求記録!$X$6:$X$3005,U$5,請求記録!$AD$6:$AD$3005,"保留中")&gt;0,"保留",IF(COUNTIFS(請求記録!$B$6:$B$3005,$A170,請求記録!$X$6:$X$3005,U$5)=0,"",SUMIFS(請求記録!$AC$6:$AC$3005,請求記録!$B$6:$B$3005,$A170,請求記録!$X$6:$X$3005,U$5))))</f>
        <v/>
      </c>
      <c r="V170" s="19">
        <f>IF($A170="","",IF(COUNTIFS(請求記録!$B$6:$B$3005,$A170,請求記録!$X$6:$X$3005,V$5,請求記録!$AD$6:$AD$3005,"保留中")&gt;0,"保留",IF(COUNTIFS(請求記録!$B$6:$B$3005,$A170,請求記録!$X$6:$X$3005,V$5)=0,"",SUMIFS(請求記録!$AC$6:$AC$3005,請求記録!$B$6:$B$3005,$A170,請求記録!$X$6:$X$3005,V$5))))</f>
        <v/>
      </c>
      <c r="W170" s="19">
        <f>IF($A170="","",IF(COUNTIFS(請求記録!$B$6:$B$3005,$A170,請求記録!$X$6:$X$3005,W$5,請求記録!$AD$6:$AD$3005,"保留中")&gt;0,"保留",IF(COUNTIFS(請求記録!$B$6:$B$3005,$A170,請求記録!$X$6:$X$3005,W$5)=0,"",SUMIFS(請求記録!$AC$6:$AC$3005,請求記録!$B$6:$B$3005,$A170,請求記録!$X$6:$X$3005,W$5))))</f>
        <v/>
      </c>
      <c r="X170" s="19">
        <f>IF($A170="","",IF(COUNTIFS(請求記録!$B$6:$B$3005,$A170,請求記録!$X$6:$X$3005,X$5,請求記録!$AD$6:$AD$3005,"保留中")&gt;0,"保留",IF(COUNTIFS(請求記録!$B$6:$B$3005,$A170,請求記録!$X$6:$X$3005,X$5)=0,"",SUMIFS(請求記録!$AC$6:$AC$3005,請求記録!$B$6:$B$3005,$A170,請求記録!$X$6:$X$3005,X$5))))</f>
        <v/>
      </c>
      <c r="Y170" s="19">
        <f>IF($A170="","",IF(COUNTIFS(請求記録!$B$6:$B$3005,$A170,請求記録!$X$6:$X$3005,Y$5,請求記録!$AD$6:$AD$3005,"保留中")&gt;0,"保留",IF(COUNTIFS(請求記録!$B$6:$B$3005,$A170,請求記録!$X$6:$X$3005,Y$5)=0,"",SUMIFS(請求記録!$AC$6:$AC$3005,請求記録!$B$6:$B$3005,$A170,請求記録!$X$6:$X$3005,Y$5))))</f>
        <v/>
      </c>
      <c r="Z170" s="19">
        <f>IF($A170="","",IF(COUNTIFS(請求記録!$B$6:$B$3005,$A170,請求記録!$X$6:$X$3005,Z$5,請求記録!$AD$6:$AD$3005,"保留中")&gt;0,"保留",IF(COUNTIFS(請求記録!$B$6:$B$3005,$A170,請求記録!$X$6:$X$3005,Z$5)=0,"",SUMIFS(請求記録!$AC$6:$AC$3005,請求記録!$B$6:$B$3005,$A170,請求記録!$X$6:$X$3005,Z$5))))</f>
        <v/>
      </c>
      <c r="AA170" s="19">
        <f>IF($A170="","",IF(COUNTIFS(請求記録!$B$6:$B$3005,$A170,請求記録!$X$6:$X$3005,AA$5,請求記録!$AD$6:$AD$3005,"保留中")&gt;0,"保留",IF(COUNTIFS(請求記録!$B$6:$B$3005,$A170,請求記録!$X$6:$X$3005,AA$5)=0,"",SUMIFS(請求記録!$AC$6:$AC$3005,請求記録!$B$6:$B$3005,$A170,請求記録!$X$6:$X$3005,AA$5))))</f>
        <v/>
      </c>
      <c r="AB170">
        <f>IF(職員マスタ!P170="保留中",職員マスタ!M170,"")</f>
        <v/>
      </c>
    </row>
    <row r="171">
      <c r="A171">
        <f>IF(職員マスタ!A171="","",職員マスタ!A171)</f>
        <v/>
      </c>
      <c r="B171">
        <f>IF($A171="","",職員マスタ!B171)</f>
        <v/>
      </c>
      <c r="C171">
        <f>IF($A171="","",職員マスタ!C171)</f>
        <v/>
      </c>
      <c r="D171" s="19">
        <f>IF($A171="","",IF(COUNTIFS(請求記録!$B$6:$B$3005,$A171,請求記録!$X$6:$X$3005,D$5,請求記録!$AD$6:$AD$3005,"保留中")&gt;0,"保留",IF(COUNTIFS(請求記録!$B$6:$B$3005,$A171,請求記録!$X$6:$X$3005,D$5)=0,"",SUMIFS(請求記録!$AC$6:$AC$3005,請求記録!$B$6:$B$3005,$A171,請求記録!$X$6:$X$3005,D$5))))</f>
        <v/>
      </c>
      <c r="E171" s="19">
        <f>IF($A171="","",IF(COUNTIFS(請求記録!$B$6:$B$3005,$A171,請求記録!$X$6:$X$3005,E$5,請求記録!$AD$6:$AD$3005,"保留中")&gt;0,"保留",IF(COUNTIFS(請求記録!$B$6:$B$3005,$A171,請求記録!$X$6:$X$3005,E$5)=0,"",SUMIFS(請求記録!$AC$6:$AC$3005,請求記録!$B$6:$B$3005,$A171,請求記録!$X$6:$X$3005,E$5))))</f>
        <v/>
      </c>
      <c r="F171" s="19">
        <f>IF($A171="","",IF(COUNTIFS(請求記録!$B$6:$B$3005,$A171,請求記録!$X$6:$X$3005,F$5,請求記録!$AD$6:$AD$3005,"保留中")&gt;0,"保留",IF(COUNTIFS(請求記録!$B$6:$B$3005,$A171,請求記録!$X$6:$X$3005,F$5)=0,"",SUMIFS(請求記録!$AC$6:$AC$3005,請求記録!$B$6:$B$3005,$A171,請求記録!$X$6:$X$3005,F$5))))</f>
        <v/>
      </c>
      <c r="G171" s="19">
        <f>IF($A171="","",IF(COUNTIFS(請求記録!$B$6:$B$3005,$A171,請求記録!$X$6:$X$3005,G$5,請求記録!$AD$6:$AD$3005,"保留中")&gt;0,"保留",IF(COUNTIFS(請求記録!$B$6:$B$3005,$A171,請求記録!$X$6:$X$3005,G$5)=0,"",SUMIFS(請求記録!$AC$6:$AC$3005,請求記録!$B$6:$B$3005,$A171,請求記録!$X$6:$X$3005,G$5))))</f>
        <v/>
      </c>
      <c r="H171" s="19">
        <f>IF($A171="","",IF(COUNTIFS(請求記録!$B$6:$B$3005,$A171,請求記録!$X$6:$X$3005,H$5,請求記録!$AD$6:$AD$3005,"保留中")&gt;0,"保留",IF(COUNTIFS(請求記録!$B$6:$B$3005,$A171,請求記録!$X$6:$X$3005,H$5)=0,"",SUMIFS(請求記録!$AC$6:$AC$3005,請求記録!$B$6:$B$3005,$A171,請求記録!$X$6:$X$3005,H$5))))</f>
        <v/>
      </c>
      <c r="I171" s="19">
        <f>IF($A171="","",IF(COUNTIFS(請求記録!$B$6:$B$3005,$A171,請求記録!$X$6:$X$3005,I$5,請求記録!$AD$6:$AD$3005,"保留中")&gt;0,"保留",IF(COUNTIFS(請求記録!$B$6:$B$3005,$A171,請求記録!$X$6:$X$3005,I$5)=0,"",SUMIFS(請求記録!$AC$6:$AC$3005,請求記録!$B$6:$B$3005,$A171,請求記録!$X$6:$X$3005,I$5))))</f>
        <v/>
      </c>
      <c r="J171" s="19">
        <f>IF($A171="","",IF(COUNTIFS(請求記録!$B$6:$B$3005,$A171,請求記録!$X$6:$X$3005,J$5,請求記録!$AD$6:$AD$3005,"保留中")&gt;0,"保留",IF(COUNTIFS(請求記録!$B$6:$B$3005,$A171,請求記録!$X$6:$X$3005,J$5)=0,"",SUMIFS(請求記録!$AC$6:$AC$3005,請求記録!$B$6:$B$3005,$A171,請求記録!$X$6:$X$3005,J$5))))</f>
        <v/>
      </c>
      <c r="K171" s="19">
        <f>IF($A171="","",IF(COUNTIFS(請求記録!$B$6:$B$3005,$A171,請求記録!$X$6:$X$3005,K$5,請求記録!$AD$6:$AD$3005,"保留中")&gt;0,"保留",IF(COUNTIFS(請求記録!$B$6:$B$3005,$A171,請求記録!$X$6:$X$3005,K$5)=0,"",SUMIFS(請求記録!$AC$6:$AC$3005,請求記録!$B$6:$B$3005,$A171,請求記録!$X$6:$X$3005,K$5))))</f>
        <v/>
      </c>
      <c r="L171" s="19">
        <f>IF($A171="","",IF(COUNTIFS(請求記録!$B$6:$B$3005,$A171,請求記録!$X$6:$X$3005,L$5,請求記録!$AD$6:$AD$3005,"保留中")&gt;0,"保留",IF(COUNTIFS(請求記録!$B$6:$B$3005,$A171,請求記録!$X$6:$X$3005,L$5)=0,"",SUMIFS(請求記録!$AC$6:$AC$3005,請求記録!$B$6:$B$3005,$A171,請求記録!$X$6:$X$3005,L$5))))</f>
        <v/>
      </c>
      <c r="M171" s="19">
        <f>IF($A171="","",IF(COUNTIFS(請求記録!$B$6:$B$3005,$A171,請求記録!$X$6:$X$3005,M$5,請求記録!$AD$6:$AD$3005,"保留中")&gt;0,"保留",IF(COUNTIFS(請求記録!$B$6:$B$3005,$A171,請求記録!$X$6:$X$3005,M$5)=0,"",SUMIFS(請求記録!$AC$6:$AC$3005,請求記録!$B$6:$B$3005,$A171,請求記録!$X$6:$X$3005,M$5))))</f>
        <v/>
      </c>
      <c r="N171" s="19">
        <f>IF($A171="","",IF(COUNTIFS(請求記録!$B$6:$B$3005,$A171,請求記録!$X$6:$X$3005,N$5,請求記録!$AD$6:$AD$3005,"保留中")&gt;0,"保留",IF(COUNTIFS(請求記録!$B$6:$B$3005,$A171,請求記録!$X$6:$X$3005,N$5)=0,"",SUMIFS(請求記録!$AC$6:$AC$3005,請求記録!$B$6:$B$3005,$A171,請求記録!$X$6:$X$3005,N$5))))</f>
        <v/>
      </c>
      <c r="O171" s="19">
        <f>IF($A171="","",IF(COUNTIFS(請求記録!$B$6:$B$3005,$A171,請求記録!$X$6:$X$3005,O$5,請求記録!$AD$6:$AD$3005,"保留中")&gt;0,"保留",IF(COUNTIFS(請求記録!$B$6:$B$3005,$A171,請求記録!$X$6:$X$3005,O$5)=0,"",SUMIFS(請求記録!$AC$6:$AC$3005,請求記録!$B$6:$B$3005,$A171,請求記録!$X$6:$X$3005,O$5))))</f>
        <v/>
      </c>
      <c r="P171" s="19">
        <f>IF($A171="","",IF(COUNTIFS(請求記録!$B$6:$B$3005,$A171,請求記録!$X$6:$X$3005,P$5,請求記録!$AD$6:$AD$3005,"保留中")&gt;0,"保留",IF(COUNTIFS(請求記録!$B$6:$B$3005,$A171,請求記録!$X$6:$X$3005,P$5)=0,"",SUMIFS(請求記録!$AC$6:$AC$3005,請求記録!$B$6:$B$3005,$A171,請求記録!$X$6:$X$3005,P$5))))</f>
        <v/>
      </c>
      <c r="Q171" s="19">
        <f>IF($A171="","",IF(COUNTIFS(請求記録!$B$6:$B$3005,$A171,請求記録!$X$6:$X$3005,Q$5,請求記録!$AD$6:$AD$3005,"保留中")&gt;0,"保留",IF(COUNTIFS(請求記録!$B$6:$B$3005,$A171,請求記録!$X$6:$X$3005,Q$5)=0,"",SUMIFS(請求記録!$AC$6:$AC$3005,請求記録!$B$6:$B$3005,$A171,請求記録!$X$6:$X$3005,Q$5))))</f>
        <v/>
      </c>
      <c r="R171" s="19">
        <f>IF($A171="","",IF(COUNTIFS(請求記録!$B$6:$B$3005,$A171,請求記録!$X$6:$X$3005,R$5,請求記録!$AD$6:$AD$3005,"保留中")&gt;0,"保留",IF(COUNTIFS(請求記録!$B$6:$B$3005,$A171,請求記録!$X$6:$X$3005,R$5)=0,"",SUMIFS(請求記録!$AC$6:$AC$3005,請求記録!$B$6:$B$3005,$A171,請求記録!$X$6:$X$3005,R$5))))</f>
        <v/>
      </c>
      <c r="S171" s="19">
        <f>IF($A171="","",IF(COUNTIFS(請求記録!$B$6:$B$3005,$A171,請求記録!$X$6:$X$3005,S$5,請求記録!$AD$6:$AD$3005,"保留中")&gt;0,"保留",IF(COUNTIFS(請求記録!$B$6:$B$3005,$A171,請求記録!$X$6:$X$3005,S$5)=0,"",SUMIFS(請求記録!$AC$6:$AC$3005,請求記録!$B$6:$B$3005,$A171,請求記録!$X$6:$X$3005,S$5))))</f>
        <v/>
      </c>
      <c r="T171" s="19">
        <f>IF($A171="","",IF(COUNTIFS(請求記録!$B$6:$B$3005,$A171,請求記録!$X$6:$X$3005,T$5,請求記録!$AD$6:$AD$3005,"保留中")&gt;0,"保留",IF(COUNTIFS(請求記録!$B$6:$B$3005,$A171,請求記録!$X$6:$X$3005,T$5)=0,"",SUMIFS(請求記録!$AC$6:$AC$3005,請求記録!$B$6:$B$3005,$A171,請求記録!$X$6:$X$3005,T$5))))</f>
        <v/>
      </c>
      <c r="U171" s="19">
        <f>IF($A171="","",IF(COUNTIFS(請求記録!$B$6:$B$3005,$A171,請求記録!$X$6:$X$3005,U$5,請求記録!$AD$6:$AD$3005,"保留中")&gt;0,"保留",IF(COUNTIFS(請求記録!$B$6:$B$3005,$A171,請求記録!$X$6:$X$3005,U$5)=0,"",SUMIFS(請求記録!$AC$6:$AC$3005,請求記録!$B$6:$B$3005,$A171,請求記録!$X$6:$X$3005,U$5))))</f>
        <v/>
      </c>
      <c r="V171" s="19">
        <f>IF($A171="","",IF(COUNTIFS(請求記録!$B$6:$B$3005,$A171,請求記録!$X$6:$X$3005,V$5,請求記録!$AD$6:$AD$3005,"保留中")&gt;0,"保留",IF(COUNTIFS(請求記録!$B$6:$B$3005,$A171,請求記録!$X$6:$X$3005,V$5)=0,"",SUMIFS(請求記録!$AC$6:$AC$3005,請求記録!$B$6:$B$3005,$A171,請求記録!$X$6:$X$3005,V$5))))</f>
        <v/>
      </c>
      <c r="W171" s="19">
        <f>IF($A171="","",IF(COUNTIFS(請求記録!$B$6:$B$3005,$A171,請求記録!$X$6:$X$3005,W$5,請求記録!$AD$6:$AD$3005,"保留中")&gt;0,"保留",IF(COUNTIFS(請求記録!$B$6:$B$3005,$A171,請求記録!$X$6:$X$3005,W$5)=0,"",SUMIFS(請求記録!$AC$6:$AC$3005,請求記録!$B$6:$B$3005,$A171,請求記録!$X$6:$X$3005,W$5))))</f>
        <v/>
      </c>
      <c r="X171" s="19">
        <f>IF($A171="","",IF(COUNTIFS(請求記録!$B$6:$B$3005,$A171,請求記録!$X$6:$X$3005,X$5,請求記録!$AD$6:$AD$3005,"保留中")&gt;0,"保留",IF(COUNTIFS(請求記録!$B$6:$B$3005,$A171,請求記録!$X$6:$X$3005,X$5)=0,"",SUMIFS(請求記録!$AC$6:$AC$3005,請求記録!$B$6:$B$3005,$A171,請求記録!$X$6:$X$3005,X$5))))</f>
        <v/>
      </c>
      <c r="Y171" s="19">
        <f>IF($A171="","",IF(COUNTIFS(請求記録!$B$6:$B$3005,$A171,請求記録!$X$6:$X$3005,Y$5,請求記録!$AD$6:$AD$3005,"保留中")&gt;0,"保留",IF(COUNTIFS(請求記録!$B$6:$B$3005,$A171,請求記録!$X$6:$X$3005,Y$5)=0,"",SUMIFS(請求記録!$AC$6:$AC$3005,請求記録!$B$6:$B$3005,$A171,請求記録!$X$6:$X$3005,Y$5))))</f>
        <v/>
      </c>
      <c r="Z171" s="19">
        <f>IF($A171="","",IF(COUNTIFS(請求記録!$B$6:$B$3005,$A171,請求記録!$X$6:$X$3005,Z$5,請求記録!$AD$6:$AD$3005,"保留中")&gt;0,"保留",IF(COUNTIFS(請求記録!$B$6:$B$3005,$A171,請求記録!$X$6:$X$3005,Z$5)=0,"",SUMIFS(請求記録!$AC$6:$AC$3005,請求記録!$B$6:$B$3005,$A171,請求記録!$X$6:$X$3005,Z$5))))</f>
        <v/>
      </c>
      <c r="AA171" s="19">
        <f>IF($A171="","",IF(COUNTIFS(請求記録!$B$6:$B$3005,$A171,請求記録!$X$6:$X$3005,AA$5,請求記録!$AD$6:$AD$3005,"保留中")&gt;0,"保留",IF(COUNTIFS(請求記録!$B$6:$B$3005,$A171,請求記録!$X$6:$X$3005,AA$5)=0,"",SUMIFS(請求記録!$AC$6:$AC$3005,請求記録!$B$6:$B$3005,$A171,請求記録!$X$6:$X$3005,AA$5))))</f>
        <v/>
      </c>
      <c r="AB171">
        <f>IF(職員マスタ!P171="保留中",職員マスタ!M171,"")</f>
        <v/>
      </c>
    </row>
    <row r="172">
      <c r="A172">
        <f>IF(職員マスタ!A172="","",職員マスタ!A172)</f>
        <v/>
      </c>
      <c r="B172">
        <f>IF($A172="","",職員マスタ!B172)</f>
        <v/>
      </c>
      <c r="C172">
        <f>IF($A172="","",職員マスタ!C172)</f>
        <v/>
      </c>
      <c r="D172" s="19">
        <f>IF($A172="","",IF(COUNTIFS(請求記録!$B$6:$B$3005,$A172,請求記録!$X$6:$X$3005,D$5,請求記録!$AD$6:$AD$3005,"保留中")&gt;0,"保留",IF(COUNTIFS(請求記録!$B$6:$B$3005,$A172,請求記録!$X$6:$X$3005,D$5)=0,"",SUMIFS(請求記録!$AC$6:$AC$3005,請求記録!$B$6:$B$3005,$A172,請求記録!$X$6:$X$3005,D$5))))</f>
        <v/>
      </c>
      <c r="E172" s="19">
        <f>IF($A172="","",IF(COUNTIFS(請求記録!$B$6:$B$3005,$A172,請求記録!$X$6:$X$3005,E$5,請求記録!$AD$6:$AD$3005,"保留中")&gt;0,"保留",IF(COUNTIFS(請求記録!$B$6:$B$3005,$A172,請求記録!$X$6:$X$3005,E$5)=0,"",SUMIFS(請求記録!$AC$6:$AC$3005,請求記録!$B$6:$B$3005,$A172,請求記録!$X$6:$X$3005,E$5))))</f>
        <v/>
      </c>
      <c r="F172" s="19">
        <f>IF($A172="","",IF(COUNTIFS(請求記録!$B$6:$B$3005,$A172,請求記録!$X$6:$X$3005,F$5,請求記録!$AD$6:$AD$3005,"保留中")&gt;0,"保留",IF(COUNTIFS(請求記録!$B$6:$B$3005,$A172,請求記録!$X$6:$X$3005,F$5)=0,"",SUMIFS(請求記録!$AC$6:$AC$3005,請求記録!$B$6:$B$3005,$A172,請求記録!$X$6:$X$3005,F$5))))</f>
        <v/>
      </c>
      <c r="G172" s="19">
        <f>IF($A172="","",IF(COUNTIFS(請求記録!$B$6:$B$3005,$A172,請求記録!$X$6:$X$3005,G$5,請求記録!$AD$6:$AD$3005,"保留中")&gt;0,"保留",IF(COUNTIFS(請求記録!$B$6:$B$3005,$A172,請求記録!$X$6:$X$3005,G$5)=0,"",SUMIFS(請求記録!$AC$6:$AC$3005,請求記録!$B$6:$B$3005,$A172,請求記録!$X$6:$X$3005,G$5))))</f>
        <v/>
      </c>
      <c r="H172" s="19">
        <f>IF($A172="","",IF(COUNTIFS(請求記録!$B$6:$B$3005,$A172,請求記録!$X$6:$X$3005,H$5,請求記録!$AD$6:$AD$3005,"保留中")&gt;0,"保留",IF(COUNTIFS(請求記録!$B$6:$B$3005,$A172,請求記録!$X$6:$X$3005,H$5)=0,"",SUMIFS(請求記録!$AC$6:$AC$3005,請求記録!$B$6:$B$3005,$A172,請求記録!$X$6:$X$3005,H$5))))</f>
        <v/>
      </c>
      <c r="I172" s="19">
        <f>IF($A172="","",IF(COUNTIFS(請求記録!$B$6:$B$3005,$A172,請求記録!$X$6:$X$3005,I$5,請求記録!$AD$6:$AD$3005,"保留中")&gt;0,"保留",IF(COUNTIFS(請求記録!$B$6:$B$3005,$A172,請求記録!$X$6:$X$3005,I$5)=0,"",SUMIFS(請求記録!$AC$6:$AC$3005,請求記録!$B$6:$B$3005,$A172,請求記録!$X$6:$X$3005,I$5))))</f>
        <v/>
      </c>
      <c r="J172" s="19">
        <f>IF($A172="","",IF(COUNTIFS(請求記録!$B$6:$B$3005,$A172,請求記録!$X$6:$X$3005,J$5,請求記録!$AD$6:$AD$3005,"保留中")&gt;0,"保留",IF(COUNTIFS(請求記録!$B$6:$B$3005,$A172,請求記録!$X$6:$X$3005,J$5)=0,"",SUMIFS(請求記録!$AC$6:$AC$3005,請求記録!$B$6:$B$3005,$A172,請求記録!$X$6:$X$3005,J$5))))</f>
        <v/>
      </c>
      <c r="K172" s="19">
        <f>IF($A172="","",IF(COUNTIFS(請求記録!$B$6:$B$3005,$A172,請求記録!$X$6:$X$3005,K$5,請求記録!$AD$6:$AD$3005,"保留中")&gt;0,"保留",IF(COUNTIFS(請求記録!$B$6:$B$3005,$A172,請求記録!$X$6:$X$3005,K$5)=0,"",SUMIFS(請求記録!$AC$6:$AC$3005,請求記録!$B$6:$B$3005,$A172,請求記録!$X$6:$X$3005,K$5))))</f>
        <v/>
      </c>
      <c r="L172" s="19">
        <f>IF($A172="","",IF(COUNTIFS(請求記録!$B$6:$B$3005,$A172,請求記録!$X$6:$X$3005,L$5,請求記録!$AD$6:$AD$3005,"保留中")&gt;0,"保留",IF(COUNTIFS(請求記録!$B$6:$B$3005,$A172,請求記録!$X$6:$X$3005,L$5)=0,"",SUMIFS(請求記録!$AC$6:$AC$3005,請求記録!$B$6:$B$3005,$A172,請求記録!$X$6:$X$3005,L$5))))</f>
        <v/>
      </c>
      <c r="M172" s="19">
        <f>IF($A172="","",IF(COUNTIFS(請求記録!$B$6:$B$3005,$A172,請求記録!$X$6:$X$3005,M$5,請求記録!$AD$6:$AD$3005,"保留中")&gt;0,"保留",IF(COUNTIFS(請求記録!$B$6:$B$3005,$A172,請求記録!$X$6:$X$3005,M$5)=0,"",SUMIFS(請求記録!$AC$6:$AC$3005,請求記録!$B$6:$B$3005,$A172,請求記録!$X$6:$X$3005,M$5))))</f>
        <v/>
      </c>
      <c r="N172" s="19">
        <f>IF($A172="","",IF(COUNTIFS(請求記録!$B$6:$B$3005,$A172,請求記録!$X$6:$X$3005,N$5,請求記録!$AD$6:$AD$3005,"保留中")&gt;0,"保留",IF(COUNTIFS(請求記録!$B$6:$B$3005,$A172,請求記録!$X$6:$X$3005,N$5)=0,"",SUMIFS(請求記録!$AC$6:$AC$3005,請求記録!$B$6:$B$3005,$A172,請求記録!$X$6:$X$3005,N$5))))</f>
        <v/>
      </c>
      <c r="O172" s="19">
        <f>IF($A172="","",IF(COUNTIFS(請求記録!$B$6:$B$3005,$A172,請求記録!$X$6:$X$3005,O$5,請求記録!$AD$6:$AD$3005,"保留中")&gt;0,"保留",IF(COUNTIFS(請求記録!$B$6:$B$3005,$A172,請求記録!$X$6:$X$3005,O$5)=0,"",SUMIFS(請求記録!$AC$6:$AC$3005,請求記録!$B$6:$B$3005,$A172,請求記録!$X$6:$X$3005,O$5))))</f>
        <v/>
      </c>
      <c r="P172" s="19">
        <f>IF($A172="","",IF(COUNTIFS(請求記録!$B$6:$B$3005,$A172,請求記録!$X$6:$X$3005,P$5,請求記録!$AD$6:$AD$3005,"保留中")&gt;0,"保留",IF(COUNTIFS(請求記録!$B$6:$B$3005,$A172,請求記録!$X$6:$X$3005,P$5)=0,"",SUMIFS(請求記録!$AC$6:$AC$3005,請求記録!$B$6:$B$3005,$A172,請求記録!$X$6:$X$3005,P$5))))</f>
        <v/>
      </c>
      <c r="Q172" s="19">
        <f>IF($A172="","",IF(COUNTIFS(請求記録!$B$6:$B$3005,$A172,請求記録!$X$6:$X$3005,Q$5,請求記録!$AD$6:$AD$3005,"保留中")&gt;0,"保留",IF(COUNTIFS(請求記録!$B$6:$B$3005,$A172,請求記録!$X$6:$X$3005,Q$5)=0,"",SUMIFS(請求記録!$AC$6:$AC$3005,請求記録!$B$6:$B$3005,$A172,請求記録!$X$6:$X$3005,Q$5))))</f>
        <v/>
      </c>
      <c r="R172" s="19">
        <f>IF($A172="","",IF(COUNTIFS(請求記録!$B$6:$B$3005,$A172,請求記録!$X$6:$X$3005,R$5,請求記録!$AD$6:$AD$3005,"保留中")&gt;0,"保留",IF(COUNTIFS(請求記録!$B$6:$B$3005,$A172,請求記録!$X$6:$X$3005,R$5)=0,"",SUMIFS(請求記録!$AC$6:$AC$3005,請求記録!$B$6:$B$3005,$A172,請求記録!$X$6:$X$3005,R$5))))</f>
        <v/>
      </c>
      <c r="S172" s="19">
        <f>IF($A172="","",IF(COUNTIFS(請求記録!$B$6:$B$3005,$A172,請求記録!$X$6:$X$3005,S$5,請求記録!$AD$6:$AD$3005,"保留中")&gt;0,"保留",IF(COUNTIFS(請求記録!$B$6:$B$3005,$A172,請求記録!$X$6:$X$3005,S$5)=0,"",SUMIFS(請求記録!$AC$6:$AC$3005,請求記録!$B$6:$B$3005,$A172,請求記録!$X$6:$X$3005,S$5))))</f>
        <v/>
      </c>
      <c r="T172" s="19">
        <f>IF($A172="","",IF(COUNTIFS(請求記録!$B$6:$B$3005,$A172,請求記録!$X$6:$X$3005,T$5,請求記録!$AD$6:$AD$3005,"保留中")&gt;0,"保留",IF(COUNTIFS(請求記録!$B$6:$B$3005,$A172,請求記録!$X$6:$X$3005,T$5)=0,"",SUMIFS(請求記録!$AC$6:$AC$3005,請求記録!$B$6:$B$3005,$A172,請求記録!$X$6:$X$3005,T$5))))</f>
        <v/>
      </c>
      <c r="U172" s="19">
        <f>IF($A172="","",IF(COUNTIFS(請求記録!$B$6:$B$3005,$A172,請求記録!$X$6:$X$3005,U$5,請求記録!$AD$6:$AD$3005,"保留中")&gt;0,"保留",IF(COUNTIFS(請求記録!$B$6:$B$3005,$A172,請求記録!$X$6:$X$3005,U$5)=0,"",SUMIFS(請求記録!$AC$6:$AC$3005,請求記録!$B$6:$B$3005,$A172,請求記録!$X$6:$X$3005,U$5))))</f>
        <v/>
      </c>
      <c r="V172" s="19">
        <f>IF($A172="","",IF(COUNTIFS(請求記録!$B$6:$B$3005,$A172,請求記録!$X$6:$X$3005,V$5,請求記録!$AD$6:$AD$3005,"保留中")&gt;0,"保留",IF(COUNTIFS(請求記録!$B$6:$B$3005,$A172,請求記録!$X$6:$X$3005,V$5)=0,"",SUMIFS(請求記録!$AC$6:$AC$3005,請求記録!$B$6:$B$3005,$A172,請求記録!$X$6:$X$3005,V$5))))</f>
        <v/>
      </c>
      <c r="W172" s="19">
        <f>IF($A172="","",IF(COUNTIFS(請求記録!$B$6:$B$3005,$A172,請求記録!$X$6:$X$3005,W$5,請求記録!$AD$6:$AD$3005,"保留中")&gt;0,"保留",IF(COUNTIFS(請求記録!$B$6:$B$3005,$A172,請求記録!$X$6:$X$3005,W$5)=0,"",SUMIFS(請求記録!$AC$6:$AC$3005,請求記録!$B$6:$B$3005,$A172,請求記録!$X$6:$X$3005,W$5))))</f>
        <v/>
      </c>
      <c r="X172" s="19">
        <f>IF($A172="","",IF(COUNTIFS(請求記録!$B$6:$B$3005,$A172,請求記録!$X$6:$X$3005,X$5,請求記録!$AD$6:$AD$3005,"保留中")&gt;0,"保留",IF(COUNTIFS(請求記録!$B$6:$B$3005,$A172,請求記録!$X$6:$X$3005,X$5)=0,"",SUMIFS(請求記録!$AC$6:$AC$3005,請求記録!$B$6:$B$3005,$A172,請求記録!$X$6:$X$3005,X$5))))</f>
        <v/>
      </c>
      <c r="Y172" s="19">
        <f>IF($A172="","",IF(COUNTIFS(請求記録!$B$6:$B$3005,$A172,請求記録!$X$6:$X$3005,Y$5,請求記録!$AD$6:$AD$3005,"保留中")&gt;0,"保留",IF(COUNTIFS(請求記録!$B$6:$B$3005,$A172,請求記録!$X$6:$X$3005,Y$5)=0,"",SUMIFS(請求記録!$AC$6:$AC$3005,請求記録!$B$6:$B$3005,$A172,請求記録!$X$6:$X$3005,Y$5))))</f>
        <v/>
      </c>
      <c r="Z172" s="19">
        <f>IF($A172="","",IF(COUNTIFS(請求記録!$B$6:$B$3005,$A172,請求記録!$X$6:$X$3005,Z$5,請求記録!$AD$6:$AD$3005,"保留中")&gt;0,"保留",IF(COUNTIFS(請求記録!$B$6:$B$3005,$A172,請求記録!$X$6:$X$3005,Z$5)=0,"",SUMIFS(請求記録!$AC$6:$AC$3005,請求記録!$B$6:$B$3005,$A172,請求記録!$X$6:$X$3005,Z$5))))</f>
        <v/>
      </c>
      <c r="AA172" s="19">
        <f>IF($A172="","",IF(COUNTIFS(請求記録!$B$6:$B$3005,$A172,請求記録!$X$6:$X$3005,AA$5,請求記録!$AD$6:$AD$3005,"保留中")&gt;0,"保留",IF(COUNTIFS(請求記録!$B$6:$B$3005,$A172,請求記録!$X$6:$X$3005,AA$5)=0,"",SUMIFS(請求記録!$AC$6:$AC$3005,請求記録!$B$6:$B$3005,$A172,請求記録!$X$6:$X$3005,AA$5))))</f>
        <v/>
      </c>
      <c r="AB172">
        <f>IF(職員マスタ!P172="保留中",職員マスタ!M172,"")</f>
        <v/>
      </c>
    </row>
    <row r="173">
      <c r="A173">
        <f>IF(職員マスタ!A173="","",職員マスタ!A173)</f>
        <v/>
      </c>
      <c r="B173">
        <f>IF($A173="","",職員マスタ!B173)</f>
        <v/>
      </c>
      <c r="C173">
        <f>IF($A173="","",職員マスタ!C173)</f>
        <v/>
      </c>
      <c r="D173" s="19">
        <f>IF($A173="","",IF(COUNTIFS(請求記録!$B$6:$B$3005,$A173,請求記録!$X$6:$X$3005,D$5,請求記録!$AD$6:$AD$3005,"保留中")&gt;0,"保留",IF(COUNTIFS(請求記録!$B$6:$B$3005,$A173,請求記録!$X$6:$X$3005,D$5)=0,"",SUMIFS(請求記録!$AC$6:$AC$3005,請求記録!$B$6:$B$3005,$A173,請求記録!$X$6:$X$3005,D$5))))</f>
        <v/>
      </c>
      <c r="E173" s="19">
        <f>IF($A173="","",IF(COUNTIFS(請求記録!$B$6:$B$3005,$A173,請求記録!$X$6:$X$3005,E$5,請求記録!$AD$6:$AD$3005,"保留中")&gt;0,"保留",IF(COUNTIFS(請求記録!$B$6:$B$3005,$A173,請求記録!$X$6:$X$3005,E$5)=0,"",SUMIFS(請求記録!$AC$6:$AC$3005,請求記録!$B$6:$B$3005,$A173,請求記録!$X$6:$X$3005,E$5))))</f>
        <v/>
      </c>
      <c r="F173" s="19">
        <f>IF($A173="","",IF(COUNTIFS(請求記録!$B$6:$B$3005,$A173,請求記録!$X$6:$X$3005,F$5,請求記録!$AD$6:$AD$3005,"保留中")&gt;0,"保留",IF(COUNTIFS(請求記録!$B$6:$B$3005,$A173,請求記録!$X$6:$X$3005,F$5)=0,"",SUMIFS(請求記録!$AC$6:$AC$3005,請求記録!$B$6:$B$3005,$A173,請求記録!$X$6:$X$3005,F$5))))</f>
        <v/>
      </c>
      <c r="G173" s="19">
        <f>IF($A173="","",IF(COUNTIFS(請求記録!$B$6:$B$3005,$A173,請求記録!$X$6:$X$3005,G$5,請求記録!$AD$6:$AD$3005,"保留中")&gt;0,"保留",IF(COUNTIFS(請求記録!$B$6:$B$3005,$A173,請求記録!$X$6:$X$3005,G$5)=0,"",SUMIFS(請求記録!$AC$6:$AC$3005,請求記録!$B$6:$B$3005,$A173,請求記録!$X$6:$X$3005,G$5))))</f>
        <v/>
      </c>
      <c r="H173" s="19">
        <f>IF($A173="","",IF(COUNTIFS(請求記録!$B$6:$B$3005,$A173,請求記録!$X$6:$X$3005,H$5,請求記録!$AD$6:$AD$3005,"保留中")&gt;0,"保留",IF(COUNTIFS(請求記録!$B$6:$B$3005,$A173,請求記録!$X$6:$X$3005,H$5)=0,"",SUMIFS(請求記録!$AC$6:$AC$3005,請求記録!$B$6:$B$3005,$A173,請求記録!$X$6:$X$3005,H$5))))</f>
        <v/>
      </c>
      <c r="I173" s="19">
        <f>IF($A173="","",IF(COUNTIFS(請求記録!$B$6:$B$3005,$A173,請求記録!$X$6:$X$3005,I$5,請求記録!$AD$6:$AD$3005,"保留中")&gt;0,"保留",IF(COUNTIFS(請求記録!$B$6:$B$3005,$A173,請求記録!$X$6:$X$3005,I$5)=0,"",SUMIFS(請求記録!$AC$6:$AC$3005,請求記録!$B$6:$B$3005,$A173,請求記録!$X$6:$X$3005,I$5))))</f>
        <v/>
      </c>
      <c r="J173" s="19">
        <f>IF($A173="","",IF(COUNTIFS(請求記録!$B$6:$B$3005,$A173,請求記録!$X$6:$X$3005,J$5,請求記録!$AD$6:$AD$3005,"保留中")&gt;0,"保留",IF(COUNTIFS(請求記録!$B$6:$B$3005,$A173,請求記録!$X$6:$X$3005,J$5)=0,"",SUMIFS(請求記録!$AC$6:$AC$3005,請求記録!$B$6:$B$3005,$A173,請求記録!$X$6:$X$3005,J$5))))</f>
        <v/>
      </c>
      <c r="K173" s="19">
        <f>IF($A173="","",IF(COUNTIFS(請求記録!$B$6:$B$3005,$A173,請求記録!$X$6:$X$3005,K$5,請求記録!$AD$6:$AD$3005,"保留中")&gt;0,"保留",IF(COUNTIFS(請求記録!$B$6:$B$3005,$A173,請求記録!$X$6:$X$3005,K$5)=0,"",SUMIFS(請求記録!$AC$6:$AC$3005,請求記録!$B$6:$B$3005,$A173,請求記録!$X$6:$X$3005,K$5))))</f>
        <v/>
      </c>
      <c r="L173" s="19">
        <f>IF($A173="","",IF(COUNTIFS(請求記録!$B$6:$B$3005,$A173,請求記録!$X$6:$X$3005,L$5,請求記録!$AD$6:$AD$3005,"保留中")&gt;0,"保留",IF(COUNTIFS(請求記録!$B$6:$B$3005,$A173,請求記録!$X$6:$X$3005,L$5)=0,"",SUMIFS(請求記録!$AC$6:$AC$3005,請求記録!$B$6:$B$3005,$A173,請求記録!$X$6:$X$3005,L$5))))</f>
        <v/>
      </c>
      <c r="M173" s="19">
        <f>IF($A173="","",IF(COUNTIFS(請求記録!$B$6:$B$3005,$A173,請求記録!$X$6:$X$3005,M$5,請求記録!$AD$6:$AD$3005,"保留中")&gt;0,"保留",IF(COUNTIFS(請求記録!$B$6:$B$3005,$A173,請求記録!$X$6:$X$3005,M$5)=0,"",SUMIFS(請求記録!$AC$6:$AC$3005,請求記録!$B$6:$B$3005,$A173,請求記録!$X$6:$X$3005,M$5))))</f>
        <v/>
      </c>
      <c r="N173" s="19">
        <f>IF($A173="","",IF(COUNTIFS(請求記録!$B$6:$B$3005,$A173,請求記録!$X$6:$X$3005,N$5,請求記録!$AD$6:$AD$3005,"保留中")&gt;0,"保留",IF(COUNTIFS(請求記録!$B$6:$B$3005,$A173,請求記録!$X$6:$X$3005,N$5)=0,"",SUMIFS(請求記録!$AC$6:$AC$3005,請求記録!$B$6:$B$3005,$A173,請求記録!$X$6:$X$3005,N$5))))</f>
        <v/>
      </c>
      <c r="O173" s="19">
        <f>IF($A173="","",IF(COUNTIFS(請求記録!$B$6:$B$3005,$A173,請求記録!$X$6:$X$3005,O$5,請求記録!$AD$6:$AD$3005,"保留中")&gt;0,"保留",IF(COUNTIFS(請求記録!$B$6:$B$3005,$A173,請求記録!$X$6:$X$3005,O$5)=0,"",SUMIFS(請求記録!$AC$6:$AC$3005,請求記録!$B$6:$B$3005,$A173,請求記録!$X$6:$X$3005,O$5))))</f>
        <v/>
      </c>
      <c r="P173" s="19">
        <f>IF($A173="","",IF(COUNTIFS(請求記録!$B$6:$B$3005,$A173,請求記録!$X$6:$X$3005,P$5,請求記録!$AD$6:$AD$3005,"保留中")&gt;0,"保留",IF(COUNTIFS(請求記録!$B$6:$B$3005,$A173,請求記録!$X$6:$X$3005,P$5)=0,"",SUMIFS(請求記録!$AC$6:$AC$3005,請求記録!$B$6:$B$3005,$A173,請求記録!$X$6:$X$3005,P$5))))</f>
        <v/>
      </c>
      <c r="Q173" s="19">
        <f>IF($A173="","",IF(COUNTIFS(請求記録!$B$6:$B$3005,$A173,請求記録!$X$6:$X$3005,Q$5,請求記録!$AD$6:$AD$3005,"保留中")&gt;0,"保留",IF(COUNTIFS(請求記録!$B$6:$B$3005,$A173,請求記録!$X$6:$X$3005,Q$5)=0,"",SUMIFS(請求記録!$AC$6:$AC$3005,請求記録!$B$6:$B$3005,$A173,請求記録!$X$6:$X$3005,Q$5))))</f>
        <v/>
      </c>
      <c r="R173" s="19">
        <f>IF($A173="","",IF(COUNTIFS(請求記録!$B$6:$B$3005,$A173,請求記録!$X$6:$X$3005,R$5,請求記録!$AD$6:$AD$3005,"保留中")&gt;0,"保留",IF(COUNTIFS(請求記録!$B$6:$B$3005,$A173,請求記録!$X$6:$X$3005,R$5)=0,"",SUMIFS(請求記録!$AC$6:$AC$3005,請求記録!$B$6:$B$3005,$A173,請求記録!$X$6:$X$3005,R$5))))</f>
        <v/>
      </c>
      <c r="S173" s="19">
        <f>IF($A173="","",IF(COUNTIFS(請求記録!$B$6:$B$3005,$A173,請求記録!$X$6:$X$3005,S$5,請求記録!$AD$6:$AD$3005,"保留中")&gt;0,"保留",IF(COUNTIFS(請求記録!$B$6:$B$3005,$A173,請求記録!$X$6:$X$3005,S$5)=0,"",SUMIFS(請求記録!$AC$6:$AC$3005,請求記録!$B$6:$B$3005,$A173,請求記録!$X$6:$X$3005,S$5))))</f>
        <v/>
      </c>
      <c r="T173" s="19">
        <f>IF($A173="","",IF(COUNTIFS(請求記録!$B$6:$B$3005,$A173,請求記録!$X$6:$X$3005,T$5,請求記録!$AD$6:$AD$3005,"保留中")&gt;0,"保留",IF(COUNTIFS(請求記録!$B$6:$B$3005,$A173,請求記録!$X$6:$X$3005,T$5)=0,"",SUMIFS(請求記録!$AC$6:$AC$3005,請求記録!$B$6:$B$3005,$A173,請求記録!$X$6:$X$3005,T$5))))</f>
        <v/>
      </c>
      <c r="U173" s="19">
        <f>IF($A173="","",IF(COUNTIFS(請求記録!$B$6:$B$3005,$A173,請求記録!$X$6:$X$3005,U$5,請求記録!$AD$6:$AD$3005,"保留中")&gt;0,"保留",IF(COUNTIFS(請求記録!$B$6:$B$3005,$A173,請求記録!$X$6:$X$3005,U$5)=0,"",SUMIFS(請求記録!$AC$6:$AC$3005,請求記録!$B$6:$B$3005,$A173,請求記録!$X$6:$X$3005,U$5))))</f>
        <v/>
      </c>
      <c r="V173" s="19">
        <f>IF($A173="","",IF(COUNTIFS(請求記録!$B$6:$B$3005,$A173,請求記録!$X$6:$X$3005,V$5,請求記録!$AD$6:$AD$3005,"保留中")&gt;0,"保留",IF(COUNTIFS(請求記録!$B$6:$B$3005,$A173,請求記録!$X$6:$X$3005,V$5)=0,"",SUMIFS(請求記録!$AC$6:$AC$3005,請求記録!$B$6:$B$3005,$A173,請求記録!$X$6:$X$3005,V$5))))</f>
        <v/>
      </c>
      <c r="W173" s="19">
        <f>IF($A173="","",IF(COUNTIFS(請求記録!$B$6:$B$3005,$A173,請求記録!$X$6:$X$3005,W$5,請求記録!$AD$6:$AD$3005,"保留中")&gt;0,"保留",IF(COUNTIFS(請求記録!$B$6:$B$3005,$A173,請求記録!$X$6:$X$3005,W$5)=0,"",SUMIFS(請求記録!$AC$6:$AC$3005,請求記録!$B$6:$B$3005,$A173,請求記録!$X$6:$X$3005,W$5))))</f>
        <v/>
      </c>
      <c r="X173" s="19">
        <f>IF($A173="","",IF(COUNTIFS(請求記録!$B$6:$B$3005,$A173,請求記録!$X$6:$X$3005,X$5,請求記録!$AD$6:$AD$3005,"保留中")&gt;0,"保留",IF(COUNTIFS(請求記録!$B$6:$B$3005,$A173,請求記録!$X$6:$X$3005,X$5)=0,"",SUMIFS(請求記録!$AC$6:$AC$3005,請求記録!$B$6:$B$3005,$A173,請求記録!$X$6:$X$3005,X$5))))</f>
        <v/>
      </c>
      <c r="Y173" s="19">
        <f>IF($A173="","",IF(COUNTIFS(請求記録!$B$6:$B$3005,$A173,請求記録!$X$6:$X$3005,Y$5,請求記録!$AD$6:$AD$3005,"保留中")&gt;0,"保留",IF(COUNTIFS(請求記録!$B$6:$B$3005,$A173,請求記録!$X$6:$X$3005,Y$5)=0,"",SUMIFS(請求記録!$AC$6:$AC$3005,請求記録!$B$6:$B$3005,$A173,請求記録!$X$6:$X$3005,Y$5))))</f>
        <v/>
      </c>
      <c r="Z173" s="19">
        <f>IF($A173="","",IF(COUNTIFS(請求記録!$B$6:$B$3005,$A173,請求記録!$X$6:$X$3005,Z$5,請求記録!$AD$6:$AD$3005,"保留中")&gt;0,"保留",IF(COUNTIFS(請求記録!$B$6:$B$3005,$A173,請求記録!$X$6:$X$3005,Z$5)=0,"",SUMIFS(請求記録!$AC$6:$AC$3005,請求記録!$B$6:$B$3005,$A173,請求記録!$X$6:$X$3005,Z$5))))</f>
        <v/>
      </c>
      <c r="AA173" s="19">
        <f>IF($A173="","",IF(COUNTIFS(請求記録!$B$6:$B$3005,$A173,請求記録!$X$6:$X$3005,AA$5,請求記録!$AD$6:$AD$3005,"保留中")&gt;0,"保留",IF(COUNTIFS(請求記録!$B$6:$B$3005,$A173,請求記録!$X$6:$X$3005,AA$5)=0,"",SUMIFS(請求記録!$AC$6:$AC$3005,請求記録!$B$6:$B$3005,$A173,請求記録!$X$6:$X$3005,AA$5))))</f>
        <v/>
      </c>
      <c r="AB173">
        <f>IF(職員マスタ!P173="保留中",職員マスタ!M173,"")</f>
        <v/>
      </c>
    </row>
    <row r="174">
      <c r="A174">
        <f>IF(職員マスタ!A174="","",職員マスタ!A174)</f>
        <v/>
      </c>
      <c r="B174">
        <f>IF($A174="","",職員マスタ!B174)</f>
        <v/>
      </c>
      <c r="C174">
        <f>IF($A174="","",職員マスタ!C174)</f>
        <v/>
      </c>
      <c r="D174" s="19">
        <f>IF($A174="","",IF(COUNTIFS(請求記録!$B$6:$B$3005,$A174,請求記録!$X$6:$X$3005,D$5,請求記録!$AD$6:$AD$3005,"保留中")&gt;0,"保留",IF(COUNTIFS(請求記録!$B$6:$B$3005,$A174,請求記録!$X$6:$X$3005,D$5)=0,"",SUMIFS(請求記録!$AC$6:$AC$3005,請求記録!$B$6:$B$3005,$A174,請求記録!$X$6:$X$3005,D$5))))</f>
        <v/>
      </c>
      <c r="E174" s="19">
        <f>IF($A174="","",IF(COUNTIFS(請求記録!$B$6:$B$3005,$A174,請求記録!$X$6:$X$3005,E$5,請求記録!$AD$6:$AD$3005,"保留中")&gt;0,"保留",IF(COUNTIFS(請求記録!$B$6:$B$3005,$A174,請求記録!$X$6:$X$3005,E$5)=0,"",SUMIFS(請求記録!$AC$6:$AC$3005,請求記録!$B$6:$B$3005,$A174,請求記録!$X$6:$X$3005,E$5))))</f>
        <v/>
      </c>
      <c r="F174" s="19">
        <f>IF($A174="","",IF(COUNTIFS(請求記録!$B$6:$B$3005,$A174,請求記録!$X$6:$X$3005,F$5,請求記録!$AD$6:$AD$3005,"保留中")&gt;0,"保留",IF(COUNTIFS(請求記録!$B$6:$B$3005,$A174,請求記録!$X$6:$X$3005,F$5)=0,"",SUMIFS(請求記録!$AC$6:$AC$3005,請求記録!$B$6:$B$3005,$A174,請求記録!$X$6:$X$3005,F$5))))</f>
        <v/>
      </c>
      <c r="G174" s="19">
        <f>IF($A174="","",IF(COUNTIFS(請求記録!$B$6:$B$3005,$A174,請求記録!$X$6:$X$3005,G$5,請求記録!$AD$6:$AD$3005,"保留中")&gt;0,"保留",IF(COUNTIFS(請求記録!$B$6:$B$3005,$A174,請求記録!$X$6:$X$3005,G$5)=0,"",SUMIFS(請求記録!$AC$6:$AC$3005,請求記録!$B$6:$B$3005,$A174,請求記録!$X$6:$X$3005,G$5))))</f>
        <v/>
      </c>
      <c r="H174" s="19">
        <f>IF($A174="","",IF(COUNTIFS(請求記録!$B$6:$B$3005,$A174,請求記録!$X$6:$X$3005,H$5,請求記録!$AD$6:$AD$3005,"保留中")&gt;0,"保留",IF(COUNTIFS(請求記録!$B$6:$B$3005,$A174,請求記録!$X$6:$X$3005,H$5)=0,"",SUMIFS(請求記録!$AC$6:$AC$3005,請求記録!$B$6:$B$3005,$A174,請求記録!$X$6:$X$3005,H$5))))</f>
        <v/>
      </c>
      <c r="I174" s="19">
        <f>IF($A174="","",IF(COUNTIFS(請求記録!$B$6:$B$3005,$A174,請求記録!$X$6:$X$3005,I$5,請求記録!$AD$6:$AD$3005,"保留中")&gt;0,"保留",IF(COUNTIFS(請求記録!$B$6:$B$3005,$A174,請求記録!$X$6:$X$3005,I$5)=0,"",SUMIFS(請求記録!$AC$6:$AC$3005,請求記録!$B$6:$B$3005,$A174,請求記録!$X$6:$X$3005,I$5))))</f>
        <v/>
      </c>
      <c r="J174" s="19">
        <f>IF($A174="","",IF(COUNTIFS(請求記録!$B$6:$B$3005,$A174,請求記録!$X$6:$X$3005,J$5,請求記録!$AD$6:$AD$3005,"保留中")&gt;0,"保留",IF(COUNTIFS(請求記録!$B$6:$B$3005,$A174,請求記録!$X$6:$X$3005,J$5)=0,"",SUMIFS(請求記録!$AC$6:$AC$3005,請求記録!$B$6:$B$3005,$A174,請求記録!$X$6:$X$3005,J$5))))</f>
        <v/>
      </c>
      <c r="K174" s="19">
        <f>IF($A174="","",IF(COUNTIFS(請求記録!$B$6:$B$3005,$A174,請求記録!$X$6:$X$3005,K$5,請求記録!$AD$6:$AD$3005,"保留中")&gt;0,"保留",IF(COUNTIFS(請求記録!$B$6:$B$3005,$A174,請求記録!$X$6:$X$3005,K$5)=0,"",SUMIFS(請求記録!$AC$6:$AC$3005,請求記録!$B$6:$B$3005,$A174,請求記録!$X$6:$X$3005,K$5))))</f>
        <v/>
      </c>
      <c r="L174" s="19">
        <f>IF($A174="","",IF(COUNTIFS(請求記録!$B$6:$B$3005,$A174,請求記録!$X$6:$X$3005,L$5,請求記録!$AD$6:$AD$3005,"保留中")&gt;0,"保留",IF(COUNTIFS(請求記録!$B$6:$B$3005,$A174,請求記録!$X$6:$X$3005,L$5)=0,"",SUMIFS(請求記録!$AC$6:$AC$3005,請求記録!$B$6:$B$3005,$A174,請求記録!$X$6:$X$3005,L$5))))</f>
        <v/>
      </c>
      <c r="M174" s="19">
        <f>IF($A174="","",IF(COUNTIFS(請求記録!$B$6:$B$3005,$A174,請求記録!$X$6:$X$3005,M$5,請求記録!$AD$6:$AD$3005,"保留中")&gt;0,"保留",IF(COUNTIFS(請求記録!$B$6:$B$3005,$A174,請求記録!$X$6:$X$3005,M$5)=0,"",SUMIFS(請求記録!$AC$6:$AC$3005,請求記録!$B$6:$B$3005,$A174,請求記録!$X$6:$X$3005,M$5))))</f>
        <v/>
      </c>
      <c r="N174" s="19">
        <f>IF($A174="","",IF(COUNTIFS(請求記録!$B$6:$B$3005,$A174,請求記録!$X$6:$X$3005,N$5,請求記録!$AD$6:$AD$3005,"保留中")&gt;0,"保留",IF(COUNTIFS(請求記録!$B$6:$B$3005,$A174,請求記録!$X$6:$X$3005,N$5)=0,"",SUMIFS(請求記録!$AC$6:$AC$3005,請求記録!$B$6:$B$3005,$A174,請求記録!$X$6:$X$3005,N$5))))</f>
        <v/>
      </c>
      <c r="O174" s="19">
        <f>IF($A174="","",IF(COUNTIFS(請求記録!$B$6:$B$3005,$A174,請求記録!$X$6:$X$3005,O$5,請求記録!$AD$6:$AD$3005,"保留中")&gt;0,"保留",IF(COUNTIFS(請求記録!$B$6:$B$3005,$A174,請求記録!$X$6:$X$3005,O$5)=0,"",SUMIFS(請求記録!$AC$6:$AC$3005,請求記録!$B$6:$B$3005,$A174,請求記録!$X$6:$X$3005,O$5))))</f>
        <v/>
      </c>
      <c r="P174" s="19">
        <f>IF($A174="","",IF(COUNTIFS(請求記録!$B$6:$B$3005,$A174,請求記録!$X$6:$X$3005,P$5,請求記録!$AD$6:$AD$3005,"保留中")&gt;0,"保留",IF(COUNTIFS(請求記録!$B$6:$B$3005,$A174,請求記録!$X$6:$X$3005,P$5)=0,"",SUMIFS(請求記録!$AC$6:$AC$3005,請求記録!$B$6:$B$3005,$A174,請求記録!$X$6:$X$3005,P$5))))</f>
        <v/>
      </c>
      <c r="Q174" s="19">
        <f>IF($A174="","",IF(COUNTIFS(請求記録!$B$6:$B$3005,$A174,請求記録!$X$6:$X$3005,Q$5,請求記録!$AD$6:$AD$3005,"保留中")&gt;0,"保留",IF(COUNTIFS(請求記録!$B$6:$B$3005,$A174,請求記録!$X$6:$X$3005,Q$5)=0,"",SUMIFS(請求記録!$AC$6:$AC$3005,請求記録!$B$6:$B$3005,$A174,請求記録!$X$6:$X$3005,Q$5))))</f>
        <v/>
      </c>
      <c r="R174" s="19">
        <f>IF($A174="","",IF(COUNTIFS(請求記録!$B$6:$B$3005,$A174,請求記録!$X$6:$X$3005,R$5,請求記録!$AD$6:$AD$3005,"保留中")&gt;0,"保留",IF(COUNTIFS(請求記録!$B$6:$B$3005,$A174,請求記録!$X$6:$X$3005,R$5)=0,"",SUMIFS(請求記録!$AC$6:$AC$3005,請求記録!$B$6:$B$3005,$A174,請求記録!$X$6:$X$3005,R$5))))</f>
        <v/>
      </c>
      <c r="S174" s="19">
        <f>IF($A174="","",IF(COUNTIFS(請求記録!$B$6:$B$3005,$A174,請求記録!$X$6:$X$3005,S$5,請求記録!$AD$6:$AD$3005,"保留中")&gt;0,"保留",IF(COUNTIFS(請求記録!$B$6:$B$3005,$A174,請求記録!$X$6:$X$3005,S$5)=0,"",SUMIFS(請求記録!$AC$6:$AC$3005,請求記録!$B$6:$B$3005,$A174,請求記録!$X$6:$X$3005,S$5))))</f>
        <v/>
      </c>
      <c r="T174" s="19">
        <f>IF($A174="","",IF(COUNTIFS(請求記録!$B$6:$B$3005,$A174,請求記録!$X$6:$X$3005,T$5,請求記録!$AD$6:$AD$3005,"保留中")&gt;0,"保留",IF(COUNTIFS(請求記録!$B$6:$B$3005,$A174,請求記録!$X$6:$X$3005,T$5)=0,"",SUMIFS(請求記録!$AC$6:$AC$3005,請求記録!$B$6:$B$3005,$A174,請求記録!$X$6:$X$3005,T$5))))</f>
        <v/>
      </c>
      <c r="U174" s="19">
        <f>IF($A174="","",IF(COUNTIFS(請求記録!$B$6:$B$3005,$A174,請求記録!$X$6:$X$3005,U$5,請求記録!$AD$6:$AD$3005,"保留中")&gt;0,"保留",IF(COUNTIFS(請求記録!$B$6:$B$3005,$A174,請求記録!$X$6:$X$3005,U$5)=0,"",SUMIFS(請求記録!$AC$6:$AC$3005,請求記録!$B$6:$B$3005,$A174,請求記録!$X$6:$X$3005,U$5))))</f>
        <v/>
      </c>
      <c r="V174" s="19">
        <f>IF($A174="","",IF(COUNTIFS(請求記録!$B$6:$B$3005,$A174,請求記録!$X$6:$X$3005,V$5,請求記録!$AD$6:$AD$3005,"保留中")&gt;0,"保留",IF(COUNTIFS(請求記録!$B$6:$B$3005,$A174,請求記録!$X$6:$X$3005,V$5)=0,"",SUMIFS(請求記録!$AC$6:$AC$3005,請求記録!$B$6:$B$3005,$A174,請求記録!$X$6:$X$3005,V$5))))</f>
        <v/>
      </c>
      <c r="W174" s="19">
        <f>IF($A174="","",IF(COUNTIFS(請求記録!$B$6:$B$3005,$A174,請求記録!$X$6:$X$3005,W$5,請求記録!$AD$6:$AD$3005,"保留中")&gt;0,"保留",IF(COUNTIFS(請求記録!$B$6:$B$3005,$A174,請求記録!$X$6:$X$3005,W$5)=0,"",SUMIFS(請求記録!$AC$6:$AC$3005,請求記録!$B$6:$B$3005,$A174,請求記録!$X$6:$X$3005,W$5))))</f>
        <v/>
      </c>
      <c r="X174" s="19">
        <f>IF($A174="","",IF(COUNTIFS(請求記録!$B$6:$B$3005,$A174,請求記録!$X$6:$X$3005,X$5,請求記録!$AD$6:$AD$3005,"保留中")&gt;0,"保留",IF(COUNTIFS(請求記録!$B$6:$B$3005,$A174,請求記録!$X$6:$X$3005,X$5)=0,"",SUMIFS(請求記録!$AC$6:$AC$3005,請求記録!$B$6:$B$3005,$A174,請求記録!$X$6:$X$3005,X$5))))</f>
        <v/>
      </c>
      <c r="Y174" s="19">
        <f>IF($A174="","",IF(COUNTIFS(請求記録!$B$6:$B$3005,$A174,請求記録!$X$6:$X$3005,Y$5,請求記録!$AD$6:$AD$3005,"保留中")&gt;0,"保留",IF(COUNTIFS(請求記録!$B$6:$B$3005,$A174,請求記録!$X$6:$X$3005,Y$5)=0,"",SUMIFS(請求記録!$AC$6:$AC$3005,請求記録!$B$6:$B$3005,$A174,請求記録!$X$6:$X$3005,Y$5))))</f>
        <v/>
      </c>
      <c r="Z174" s="19">
        <f>IF($A174="","",IF(COUNTIFS(請求記録!$B$6:$B$3005,$A174,請求記録!$X$6:$X$3005,Z$5,請求記録!$AD$6:$AD$3005,"保留中")&gt;0,"保留",IF(COUNTIFS(請求記録!$B$6:$B$3005,$A174,請求記録!$X$6:$X$3005,Z$5)=0,"",SUMIFS(請求記録!$AC$6:$AC$3005,請求記録!$B$6:$B$3005,$A174,請求記録!$X$6:$X$3005,Z$5))))</f>
        <v/>
      </c>
      <c r="AA174" s="19">
        <f>IF($A174="","",IF(COUNTIFS(請求記録!$B$6:$B$3005,$A174,請求記録!$X$6:$X$3005,AA$5,請求記録!$AD$6:$AD$3005,"保留中")&gt;0,"保留",IF(COUNTIFS(請求記録!$B$6:$B$3005,$A174,請求記録!$X$6:$X$3005,AA$5)=0,"",SUMIFS(請求記録!$AC$6:$AC$3005,請求記録!$B$6:$B$3005,$A174,請求記録!$X$6:$X$3005,AA$5))))</f>
        <v/>
      </c>
      <c r="AB174">
        <f>IF(職員マスタ!P174="保留中",職員マスタ!M174,"")</f>
        <v/>
      </c>
    </row>
    <row r="175">
      <c r="A175">
        <f>IF(職員マスタ!A175="","",職員マスタ!A175)</f>
        <v/>
      </c>
      <c r="B175">
        <f>IF($A175="","",職員マスタ!B175)</f>
        <v/>
      </c>
      <c r="C175">
        <f>IF($A175="","",職員マスタ!C175)</f>
        <v/>
      </c>
      <c r="D175" s="19">
        <f>IF($A175="","",IF(COUNTIFS(請求記録!$B$6:$B$3005,$A175,請求記録!$X$6:$X$3005,D$5,請求記録!$AD$6:$AD$3005,"保留中")&gt;0,"保留",IF(COUNTIFS(請求記録!$B$6:$B$3005,$A175,請求記録!$X$6:$X$3005,D$5)=0,"",SUMIFS(請求記録!$AC$6:$AC$3005,請求記録!$B$6:$B$3005,$A175,請求記録!$X$6:$X$3005,D$5))))</f>
        <v/>
      </c>
      <c r="E175" s="19">
        <f>IF($A175="","",IF(COUNTIFS(請求記録!$B$6:$B$3005,$A175,請求記録!$X$6:$X$3005,E$5,請求記録!$AD$6:$AD$3005,"保留中")&gt;0,"保留",IF(COUNTIFS(請求記録!$B$6:$B$3005,$A175,請求記録!$X$6:$X$3005,E$5)=0,"",SUMIFS(請求記録!$AC$6:$AC$3005,請求記録!$B$6:$B$3005,$A175,請求記録!$X$6:$X$3005,E$5))))</f>
        <v/>
      </c>
      <c r="F175" s="19">
        <f>IF($A175="","",IF(COUNTIFS(請求記録!$B$6:$B$3005,$A175,請求記録!$X$6:$X$3005,F$5,請求記録!$AD$6:$AD$3005,"保留中")&gt;0,"保留",IF(COUNTIFS(請求記録!$B$6:$B$3005,$A175,請求記録!$X$6:$X$3005,F$5)=0,"",SUMIFS(請求記録!$AC$6:$AC$3005,請求記録!$B$6:$B$3005,$A175,請求記録!$X$6:$X$3005,F$5))))</f>
        <v/>
      </c>
      <c r="G175" s="19">
        <f>IF($A175="","",IF(COUNTIFS(請求記録!$B$6:$B$3005,$A175,請求記録!$X$6:$X$3005,G$5,請求記録!$AD$6:$AD$3005,"保留中")&gt;0,"保留",IF(COUNTIFS(請求記録!$B$6:$B$3005,$A175,請求記録!$X$6:$X$3005,G$5)=0,"",SUMIFS(請求記録!$AC$6:$AC$3005,請求記録!$B$6:$B$3005,$A175,請求記録!$X$6:$X$3005,G$5))))</f>
        <v/>
      </c>
      <c r="H175" s="19">
        <f>IF($A175="","",IF(COUNTIFS(請求記録!$B$6:$B$3005,$A175,請求記録!$X$6:$X$3005,H$5,請求記録!$AD$6:$AD$3005,"保留中")&gt;0,"保留",IF(COUNTIFS(請求記録!$B$6:$B$3005,$A175,請求記録!$X$6:$X$3005,H$5)=0,"",SUMIFS(請求記録!$AC$6:$AC$3005,請求記録!$B$6:$B$3005,$A175,請求記録!$X$6:$X$3005,H$5))))</f>
        <v/>
      </c>
      <c r="I175" s="19">
        <f>IF($A175="","",IF(COUNTIFS(請求記録!$B$6:$B$3005,$A175,請求記録!$X$6:$X$3005,I$5,請求記録!$AD$6:$AD$3005,"保留中")&gt;0,"保留",IF(COUNTIFS(請求記録!$B$6:$B$3005,$A175,請求記録!$X$6:$X$3005,I$5)=0,"",SUMIFS(請求記録!$AC$6:$AC$3005,請求記録!$B$6:$B$3005,$A175,請求記録!$X$6:$X$3005,I$5))))</f>
        <v/>
      </c>
      <c r="J175" s="19">
        <f>IF($A175="","",IF(COUNTIFS(請求記録!$B$6:$B$3005,$A175,請求記録!$X$6:$X$3005,J$5,請求記録!$AD$6:$AD$3005,"保留中")&gt;0,"保留",IF(COUNTIFS(請求記録!$B$6:$B$3005,$A175,請求記録!$X$6:$X$3005,J$5)=0,"",SUMIFS(請求記録!$AC$6:$AC$3005,請求記録!$B$6:$B$3005,$A175,請求記録!$X$6:$X$3005,J$5))))</f>
        <v/>
      </c>
      <c r="K175" s="19">
        <f>IF($A175="","",IF(COUNTIFS(請求記録!$B$6:$B$3005,$A175,請求記録!$X$6:$X$3005,K$5,請求記録!$AD$6:$AD$3005,"保留中")&gt;0,"保留",IF(COUNTIFS(請求記録!$B$6:$B$3005,$A175,請求記録!$X$6:$X$3005,K$5)=0,"",SUMIFS(請求記録!$AC$6:$AC$3005,請求記録!$B$6:$B$3005,$A175,請求記録!$X$6:$X$3005,K$5))))</f>
        <v/>
      </c>
      <c r="L175" s="19">
        <f>IF($A175="","",IF(COUNTIFS(請求記録!$B$6:$B$3005,$A175,請求記録!$X$6:$X$3005,L$5,請求記録!$AD$6:$AD$3005,"保留中")&gt;0,"保留",IF(COUNTIFS(請求記録!$B$6:$B$3005,$A175,請求記録!$X$6:$X$3005,L$5)=0,"",SUMIFS(請求記録!$AC$6:$AC$3005,請求記録!$B$6:$B$3005,$A175,請求記録!$X$6:$X$3005,L$5))))</f>
        <v/>
      </c>
      <c r="M175" s="19">
        <f>IF($A175="","",IF(COUNTIFS(請求記録!$B$6:$B$3005,$A175,請求記録!$X$6:$X$3005,M$5,請求記録!$AD$6:$AD$3005,"保留中")&gt;0,"保留",IF(COUNTIFS(請求記録!$B$6:$B$3005,$A175,請求記録!$X$6:$X$3005,M$5)=0,"",SUMIFS(請求記録!$AC$6:$AC$3005,請求記録!$B$6:$B$3005,$A175,請求記録!$X$6:$X$3005,M$5))))</f>
        <v/>
      </c>
      <c r="N175" s="19">
        <f>IF($A175="","",IF(COUNTIFS(請求記録!$B$6:$B$3005,$A175,請求記録!$X$6:$X$3005,N$5,請求記録!$AD$6:$AD$3005,"保留中")&gt;0,"保留",IF(COUNTIFS(請求記録!$B$6:$B$3005,$A175,請求記録!$X$6:$X$3005,N$5)=0,"",SUMIFS(請求記録!$AC$6:$AC$3005,請求記録!$B$6:$B$3005,$A175,請求記録!$X$6:$X$3005,N$5))))</f>
        <v/>
      </c>
      <c r="O175" s="19">
        <f>IF($A175="","",IF(COUNTIFS(請求記録!$B$6:$B$3005,$A175,請求記録!$X$6:$X$3005,O$5,請求記録!$AD$6:$AD$3005,"保留中")&gt;0,"保留",IF(COUNTIFS(請求記録!$B$6:$B$3005,$A175,請求記録!$X$6:$X$3005,O$5)=0,"",SUMIFS(請求記録!$AC$6:$AC$3005,請求記録!$B$6:$B$3005,$A175,請求記録!$X$6:$X$3005,O$5))))</f>
        <v/>
      </c>
      <c r="P175" s="19">
        <f>IF($A175="","",IF(COUNTIFS(請求記録!$B$6:$B$3005,$A175,請求記録!$X$6:$X$3005,P$5,請求記録!$AD$6:$AD$3005,"保留中")&gt;0,"保留",IF(COUNTIFS(請求記録!$B$6:$B$3005,$A175,請求記録!$X$6:$X$3005,P$5)=0,"",SUMIFS(請求記録!$AC$6:$AC$3005,請求記録!$B$6:$B$3005,$A175,請求記録!$X$6:$X$3005,P$5))))</f>
        <v/>
      </c>
      <c r="Q175" s="19">
        <f>IF($A175="","",IF(COUNTIFS(請求記録!$B$6:$B$3005,$A175,請求記録!$X$6:$X$3005,Q$5,請求記録!$AD$6:$AD$3005,"保留中")&gt;0,"保留",IF(COUNTIFS(請求記録!$B$6:$B$3005,$A175,請求記録!$X$6:$X$3005,Q$5)=0,"",SUMIFS(請求記録!$AC$6:$AC$3005,請求記録!$B$6:$B$3005,$A175,請求記録!$X$6:$X$3005,Q$5))))</f>
        <v/>
      </c>
      <c r="R175" s="19">
        <f>IF($A175="","",IF(COUNTIFS(請求記録!$B$6:$B$3005,$A175,請求記録!$X$6:$X$3005,R$5,請求記録!$AD$6:$AD$3005,"保留中")&gt;0,"保留",IF(COUNTIFS(請求記録!$B$6:$B$3005,$A175,請求記録!$X$6:$X$3005,R$5)=0,"",SUMIFS(請求記録!$AC$6:$AC$3005,請求記録!$B$6:$B$3005,$A175,請求記録!$X$6:$X$3005,R$5))))</f>
        <v/>
      </c>
      <c r="S175" s="19">
        <f>IF($A175="","",IF(COUNTIFS(請求記録!$B$6:$B$3005,$A175,請求記録!$X$6:$X$3005,S$5,請求記録!$AD$6:$AD$3005,"保留中")&gt;0,"保留",IF(COUNTIFS(請求記録!$B$6:$B$3005,$A175,請求記録!$X$6:$X$3005,S$5)=0,"",SUMIFS(請求記録!$AC$6:$AC$3005,請求記録!$B$6:$B$3005,$A175,請求記録!$X$6:$X$3005,S$5))))</f>
        <v/>
      </c>
      <c r="T175" s="19">
        <f>IF($A175="","",IF(COUNTIFS(請求記録!$B$6:$B$3005,$A175,請求記録!$X$6:$X$3005,T$5,請求記録!$AD$6:$AD$3005,"保留中")&gt;0,"保留",IF(COUNTIFS(請求記録!$B$6:$B$3005,$A175,請求記録!$X$6:$X$3005,T$5)=0,"",SUMIFS(請求記録!$AC$6:$AC$3005,請求記録!$B$6:$B$3005,$A175,請求記録!$X$6:$X$3005,T$5))))</f>
        <v/>
      </c>
      <c r="U175" s="19">
        <f>IF($A175="","",IF(COUNTIFS(請求記録!$B$6:$B$3005,$A175,請求記録!$X$6:$X$3005,U$5,請求記録!$AD$6:$AD$3005,"保留中")&gt;0,"保留",IF(COUNTIFS(請求記録!$B$6:$B$3005,$A175,請求記録!$X$6:$X$3005,U$5)=0,"",SUMIFS(請求記録!$AC$6:$AC$3005,請求記録!$B$6:$B$3005,$A175,請求記録!$X$6:$X$3005,U$5))))</f>
        <v/>
      </c>
      <c r="V175" s="19">
        <f>IF($A175="","",IF(COUNTIFS(請求記録!$B$6:$B$3005,$A175,請求記録!$X$6:$X$3005,V$5,請求記録!$AD$6:$AD$3005,"保留中")&gt;0,"保留",IF(COUNTIFS(請求記録!$B$6:$B$3005,$A175,請求記録!$X$6:$X$3005,V$5)=0,"",SUMIFS(請求記録!$AC$6:$AC$3005,請求記録!$B$6:$B$3005,$A175,請求記録!$X$6:$X$3005,V$5))))</f>
        <v/>
      </c>
      <c r="W175" s="19">
        <f>IF($A175="","",IF(COUNTIFS(請求記録!$B$6:$B$3005,$A175,請求記録!$X$6:$X$3005,W$5,請求記録!$AD$6:$AD$3005,"保留中")&gt;0,"保留",IF(COUNTIFS(請求記録!$B$6:$B$3005,$A175,請求記録!$X$6:$X$3005,W$5)=0,"",SUMIFS(請求記録!$AC$6:$AC$3005,請求記録!$B$6:$B$3005,$A175,請求記録!$X$6:$X$3005,W$5))))</f>
        <v/>
      </c>
      <c r="X175" s="19">
        <f>IF($A175="","",IF(COUNTIFS(請求記録!$B$6:$B$3005,$A175,請求記録!$X$6:$X$3005,X$5,請求記録!$AD$6:$AD$3005,"保留中")&gt;0,"保留",IF(COUNTIFS(請求記録!$B$6:$B$3005,$A175,請求記録!$X$6:$X$3005,X$5)=0,"",SUMIFS(請求記録!$AC$6:$AC$3005,請求記録!$B$6:$B$3005,$A175,請求記録!$X$6:$X$3005,X$5))))</f>
        <v/>
      </c>
      <c r="Y175" s="19">
        <f>IF($A175="","",IF(COUNTIFS(請求記録!$B$6:$B$3005,$A175,請求記録!$X$6:$X$3005,Y$5,請求記録!$AD$6:$AD$3005,"保留中")&gt;0,"保留",IF(COUNTIFS(請求記録!$B$6:$B$3005,$A175,請求記録!$X$6:$X$3005,Y$5)=0,"",SUMIFS(請求記録!$AC$6:$AC$3005,請求記録!$B$6:$B$3005,$A175,請求記録!$X$6:$X$3005,Y$5))))</f>
        <v/>
      </c>
      <c r="Z175" s="19">
        <f>IF($A175="","",IF(COUNTIFS(請求記録!$B$6:$B$3005,$A175,請求記録!$X$6:$X$3005,Z$5,請求記録!$AD$6:$AD$3005,"保留中")&gt;0,"保留",IF(COUNTIFS(請求記録!$B$6:$B$3005,$A175,請求記録!$X$6:$X$3005,Z$5)=0,"",SUMIFS(請求記録!$AC$6:$AC$3005,請求記録!$B$6:$B$3005,$A175,請求記録!$X$6:$X$3005,Z$5))))</f>
        <v/>
      </c>
      <c r="AA175" s="19">
        <f>IF($A175="","",IF(COUNTIFS(請求記録!$B$6:$B$3005,$A175,請求記録!$X$6:$X$3005,AA$5,請求記録!$AD$6:$AD$3005,"保留中")&gt;0,"保留",IF(COUNTIFS(請求記録!$B$6:$B$3005,$A175,請求記録!$X$6:$X$3005,AA$5)=0,"",SUMIFS(請求記録!$AC$6:$AC$3005,請求記録!$B$6:$B$3005,$A175,請求記録!$X$6:$X$3005,AA$5))))</f>
        <v/>
      </c>
      <c r="AB175">
        <f>IF(職員マスタ!P175="保留中",職員マスタ!M175,"")</f>
        <v/>
      </c>
    </row>
    <row r="176">
      <c r="A176">
        <f>IF(職員マスタ!A176="","",職員マスタ!A176)</f>
        <v/>
      </c>
      <c r="B176">
        <f>IF($A176="","",職員マスタ!B176)</f>
        <v/>
      </c>
      <c r="C176">
        <f>IF($A176="","",職員マスタ!C176)</f>
        <v/>
      </c>
      <c r="D176" s="19">
        <f>IF($A176="","",IF(COUNTIFS(請求記録!$B$6:$B$3005,$A176,請求記録!$X$6:$X$3005,D$5,請求記録!$AD$6:$AD$3005,"保留中")&gt;0,"保留",IF(COUNTIFS(請求記録!$B$6:$B$3005,$A176,請求記録!$X$6:$X$3005,D$5)=0,"",SUMIFS(請求記録!$AC$6:$AC$3005,請求記録!$B$6:$B$3005,$A176,請求記録!$X$6:$X$3005,D$5))))</f>
        <v/>
      </c>
      <c r="E176" s="19">
        <f>IF($A176="","",IF(COUNTIFS(請求記録!$B$6:$B$3005,$A176,請求記録!$X$6:$X$3005,E$5,請求記録!$AD$6:$AD$3005,"保留中")&gt;0,"保留",IF(COUNTIFS(請求記録!$B$6:$B$3005,$A176,請求記録!$X$6:$X$3005,E$5)=0,"",SUMIFS(請求記録!$AC$6:$AC$3005,請求記録!$B$6:$B$3005,$A176,請求記録!$X$6:$X$3005,E$5))))</f>
        <v/>
      </c>
      <c r="F176" s="19">
        <f>IF($A176="","",IF(COUNTIFS(請求記録!$B$6:$B$3005,$A176,請求記録!$X$6:$X$3005,F$5,請求記録!$AD$6:$AD$3005,"保留中")&gt;0,"保留",IF(COUNTIFS(請求記録!$B$6:$B$3005,$A176,請求記録!$X$6:$X$3005,F$5)=0,"",SUMIFS(請求記録!$AC$6:$AC$3005,請求記録!$B$6:$B$3005,$A176,請求記録!$X$6:$X$3005,F$5))))</f>
        <v/>
      </c>
      <c r="G176" s="19">
        <f>IF($A176="","",IF(COUNTIFS(請求記録!$B$6:$B$3005,$A176,請求記録!$X$6:$X$3005,G$5,請求記録!$AD$6:$AD$3005,"保留中")&gt;0,"保留",IF(COUNTIFS(請求記録!$B$6:$B$3005,$A176,請求記録!$X$6:$X$3005,G$5)=0,"",SUMIFS(請求記録!$AC$6:$AC$3005,請求記録!$B$6:$B$3005,$A176,請求記録!$X$6:$X$3005,G$5))))</f>
        <v/>
      </c>
      <c r="H176" s="19">
        <f>IF($A176="","",IF(COUNTIFS(請求記録!$B$6:$B$3005,$A176,請求記録!$X$6:$X$3005,H$5,請求記録!$AD$6:$AD$3005,"保留中")&gt;0,"保留",IF(COUNTIFS(請求記録!$B$6:$B$3005,$A176,請求記録!$X$6:$X$3005,H$5)=0,"",SUMIFS(請求記録!$AC$6:$AC$3005,請求記録!$B$6:$B$3005,$A176,請求記録!$X$6:$X$3005,H$5))))</f>
        <v/>
      </c>
      <c r="I176" s="19">
        <f>IF($A176="","",IF(COUNTIFS(請求記録!$B$6:$B$3005,$A176,請求記録!$X$6:$X$3005,I$5,請求記録!$AD$6:$AD$3005,"保留中")&gt;0,"保留",IF(COUNTIFS(請求記録!$B$6:$B$3005,$A176,請求記録!$X$6:$X$3005,I$5)=0,"",SUMIFS(請求記録!$AC$6:$AC$3005,請求記録!$B$6:$B$3005,$A176,請求記録!$X$6:$X$3005,I$5))))</f>
        <v/>
      </c>
      <c r="J176" s="19">
        <f>IF($A176="","",IF(COUNTIFS(請求記録!$B$6:$B$3005,$A176,請求記録!$X$6:$X$3005,J$5,請求記録!$AD$6:$AD$3005,"保留中")&gt;0,"保留",IF(COUNTIFS(請求記録!$B$6:$B$3005,$A176,請求記録!$X$6:$X$3005,J$5)=0,"",SUMIFS(請求記録!$AC$6:$AC$3005,請求記録!$B$6:$B$3005,$A176,請求記録!$X$6:$X$3005,J$5))))</f>
        <v/>
      </c>
      <c r="K176" s="19">
        <f>IF($A176="","",IF(COUNTIFS(請求記録!$B$6:$B$3005,$A176,請求記録!$X$6:$X$3005,K$5,請求記録!$AD$6:$AD$3005,"保留中")&gt;0,"保留",IF(COUNTIFS(請求記録!$B$6:$B$3005,$A176,請求記録!$X$6:$X$3005,K$5)=0,"",SUMIFS(請求記録!$AC$6:$AC$3005,請求記録!$B$6:$B$3005,$A176,請求記録!$X$6:$X$3005,K$5))))</f>
        <v/>
      </c>
      <c r="L176" s="19">
        <f>IF($A176="","",IF(COUNTIFS(請求記録!$B$6:$B$3005,$A176,請求記録!$X$6:$X$3005,L$5,請求記録!$AD$6:$AD$3005,"保留中")&gt;0,"保留",IF(COUNTIFS(請求記録!$B$6:$B$3005,$A176,請求記録!$X$6:$X$3005,L$5)=0,"",SUMIFS(請求記録!$AC$6:$AC$3005,請求記録!$B$6:$B$3005,$A176,請求記録!$X$6:$X$3005,L$5))))</f>
        <v/>
      </c>
      <c r="M176" s="19">
        <f>IF($A176="","",IF(COUNTIFS(請求記録!$B$6:$B$3005,$A176,請求記録!$X$6:$X$3005,M$5,請求記録!$AD$6:$AD$3005,"保留中")&gt;0,"保留",IF(COUNTIFS(請求記録!$B$6:$B$3005,$A176,請求記録!$X$6:$X$3005,M$5)=0,"",SUMIFS(請求記録!$AC$6:$AC$3005,請求記録!$B$6:$B$3005,$A176,請求記録!$X$6:$X$3005,M$5))))</f>
        <v/>
      </c>
      <c r="N176" s="19">
        <f>IF($A176="","",IF(COUNTIFS(請求記録!$B$6:$B$3005,$A176,請求記録!$X$6:$X$3005,N$5,請求記録!$AD$6:$AD$3005,"保留中")&gt;0,"保留",IF(COUNTIFS(請求記録!$B$6:$B$3005,$A176,請求記録!$X$6:$X$3005,N$5)=0,"",SUMIFS(請求記録!$AC$6:$AC$3005,請求記録!$B$6:$B$3005,$A176,請求記録!$X$6:$X$3005,N$5))))</f>
        <v/>
      </c>
      <c r="O176" s="19">
        <f>IF($A176="","",IF(COUNTIFS(請求記録!$B$6:$B$3005,$A176,請求記録!$X$6:$X$3005,O$5,請求記録!$AD$6:$AD$3005,"保留中")&gt;0,"保留",IF(COUNTIFS(請求記録!$B$6:$B$3005,$A176,請求記録!$X$6:$X$3005,O$5)=0,"",SUMIFS(請求記録!$AC$6:$AC$3005,請求記録!$B$6:$B$3005,$A176,請求記録!$X$6:$X$3005,O$5))))</f>
        <v/>
      </c>
      <c r="P176" s="19">
        <f>IF($A176="","",IF(COUNTIFS(請求記録!$B$6:$B$3005,$A176,請求記録!$X$6:$X$3005,P$5,請求記録!$AD$6:$AD$3005,"保留中")&gt;0,"保留",IF(COUNTIFS(請求記録!$B$6:$B$3005,$A176,請求記録!$X$6:$X$3005,P$5)=0,"",SUMIFS(請求記録!$AC$6:$AC$3005,請求記録!$B$6:$B$3005,$A176,請求記録!$X$6:$X$3005,P$5))))</f>
        <v/>
      </c>
      <c r="Q176" s="19">
        <f>IF($A176="","",IF(COUNTIFS(請求記録!$B$6:$B$3005,$A176,請求記録!$X$6:$X$3005,Q$5,請求記録!$AD$6:$AD$3005,"保留中")&gt;0,"保留",IF(COUNTIFS(請求記録!$B$6:$B$3005,$A176,請求記録!$X$6:$X$3005,Q$5)=0,"",SUMIFS(請求記録!$AC$6:$AC$3005,請求記録!$B$6:$B$3005,$A176,請求記録!$X$6:$X$3005,Q$5))))</f>
        <v/>
      </c>
      <c r="R176" s="19">
        <f>IF($A176="","",IF(COUNTIFS(請求記録!$B$6:$B$3005,$A176,請求記録!$X$6:$X$3005,R$5,請求記録!$AD$6:$AD$3005,"保留中")&gt;0,"保留",IF(COUNTIFS(請求記録!$B$6:$B$3005,$A176,請求記録!$X$6:$X$3005,R$5)=0,"",SUMIFS(請求記録!$AC$6:$AC$3005,請求記録!$B$6:$B$3005,$A176,請求記録!$X$6:$X$3005,R$5))))</f>
        <v/>
      </c>
      <c r="S176" s="19">
        <f>IF($A176="","",IF(COUNTIFS(請求記録!$B$6:$B$3005,$A176,請求記録!$X$6:$X$3005,S$5,請求記録!$AD$6:$AD$3005,"保留中")&gt;0,"保留",IF(COUNTIFS(請求記録!$B$6:$B$3005,$A176,請求記録!$X$6:$X$3005,S$5)=0,"",SUMIFS(請求記録!$AC$6:$AC$3005,請求記録!$B$6:$B$3005,$A176,請求記録!$X$6:$X$3005,S$5))))</f>
        <v/>
      </c>
      <c r="T176" s="19">
        <f>IF($A176="","",IF(COUNTIFS(請求記録!$B$6:$B$3005,$A176,請求記録!$X$6:$X$3005,T$5,請求記録!$AD$6:$AD$3005,"保留中")&gt;0,"保留",IF(COUNTIFS(請求記録!$B$6:$B$3005,$A176,請求記録!$X$6:$X$3005,T$5)=0,"",SUMIFS(請求記録!$AC$6:$AC$3005,請求記録!$B$6:$B$3005,$A176,請求記録!$X$6:$X$3005,T$5))))</f>
        <v/>
      </c>
      <c r="U176" s="19">
        <f>IF($A176="","",IF(COUNTIFS(請求記録!$B$6:$B$3005,$A176,請求記録!$X$6:$X$3005,U$5,請求記録!$AD$6:$AD$3005,"保留中")&gt;0,"保留",IF(COUNTIFS(請求記録!$B$6:$B$3005,$A176,請求記録!$X$6:$X$3005,U$5)=0,"",SUMIFS(請求記録!$AC$6:$AC$3005,請求記録!$B$6:$B$3005,$A176,請求記録!$X$6:$X$3005,U$5))))</f>
        <v/>
      </c>
      <c r="V176" s="19">
        <f>IF($A176="","",IF(COUNTIFS(請求記録!$B$6:$B$3005,$A176,請求記録!$X$6:$X$3005,V$5,請求記録!$AD$6:$AD$3005,"保留中")&gt;0,"保留",IF(COUNTIFS(請求記録!$B$6:$B$3005,$A176,請求記録!$X$6:$X$3005,V$5)=0,"",SUMIFS(請求記録!$AC$6:$AC$3005,請求記録!$B$6:$B$3005,$A176,請求記録!$X$6:$X$3005,V$5))))</f>
        <v/>
      </c>
      <c r="W176" s="19">
        <f>IF($A176="","",IF(COUNTIFS(請求記録!$B$6:$B$3005,$A176,請求記録!$X$6:$X$3005,W$5,請求記録!$AD$6:$AD$3005,"保留中")&gt;0,"保留",IF(COUNTIFS(請求記録!$B$6:$B$3005,$A176,請求記録!$X$6:$X$3005,W$5)=0,"",SUMIFS(請求記録!$AC$6:$AC$3005,請求記録!$B$6:$B$3005,$A176,請求記録!$X$6:$X$3005,W$5))))</f>
        <v/>
      </c>
      <c r="X176" s="19">
        <f>IF($A176="","",IF(COUNTIFS(請求記録!$B$6:$B$3005,$A176,請求記録!$X$6:$X$3005,X$5,請求記録!$AD$6:$AD$3005,"保留中")&gt;0,"保留",IF(COUNTIFS(請求記録!$B$6:$B$3005,$A176,請求記録!$X$6:$X$3005,X$5)=0,"",SUMIFS(請求記録!$AC$6:$AC$3005,請求記録!$B$6:$B$3005,$A176,請求記録!$X$6:$X$3005,X$5))))</f>
        <v/>
      </c>
      <c r="Y176" s="19">
        <f>IF($A176="","",IF(COUNTIFS(請求記録!$B$6:$B$3005,$A176,請求記録!$X$6:$X$3005,Y$5,請求記録!$AD$6:$AD$3005,"保留中")&gt;0,"保留",IF(COUNTIFS(請求記録!$B$6:$B$3005,$A176,請求記録!$X$6:$X$3005,Y$5)=0,"",SUMIFS(請求記録!$AC$6:$AC$3005,請求記録!$B$6:$B$3005,$A176,請求記録!$X$6:$X$3005,Y$5))))</f>
        <v/>
      </c>
      <c r="Z176" s="19">
        <f>IF($A176="","",IF(COUNTIFS(請求記録!$B$6:$B$3005,$A176,請求記録!$X$6:$X$3005,Z$5,請求記録!$AD$6:$AD$3005,"保留中")&gt;0,"保留",IF(COUNTIFS(請求記録!$B$6:$B$3005,$A176,請求記録!$X$6:$X$3005,Z$5)=0,"",SUMIFS(請求記録!$AC$6:$AC$3005,請求記録!$B$6:$B$3005,$A176,請求記録!$X$6:$X$3005,Z$5))))</f>
        <v/>
      </c>
      <c r="AA176" s="19">
        <f>IF($A176="","",IF(COUNTIFS(請求記録!$B$6:$B$3005,$A176,請求記録!$X$6:$X$3005,AA$5,請求記録!$AD$6:$AD$3005,"保留中")&gt;0,"保留",IF(COUNTIFS(請求記録!$B$6:$B$3005,$A176,請求記録!$X$6:$X$3005,AA$5)=0,"",SUMIFS(請求記録!$AC$6:$AC$3005,請求記録!$B$6:$B$3005,$A176,請求記録!$X$6:$X$3005,AA$5))))</f>
        <v/>
      </c>
      <c r="AB176">
        <f>IF(職員マスタ!P176="保留中",職員マスタ!M176,"")</f>
        <v/>
      </c>
    </row>
    <row r="177">
      <c r="A177">
        <f>IF(職員マスタ!A177="","",職員マスタ!A177)</f>
        <v/>
      </c>
      <c r="B177">
        <f>IF($A177="","",職員マスタ!B177)</f>
        <v/>
      </c>
      <c r="C177">
        <f>IF($A177="","",職員マスタ!C177)</f>
        <v/>
      </c>
      <c r="D177" s="19">
        <f>IF($A177="","",IF(COUNTIFS(請求記録!$B$6:$B$3005,$A177,請求記録!$X$6:$X$3005,D$5,請求記録!$AD$6:$AD$3005,"保留中")&gt;0,"保留",IF(COUNTIFS(請求記録!$B$6:$B$3005,$A177,請求記録!$X$6:$X$3005,D$5)=0,"",SUMIFS(請求記録!$AC$6:$AC$3005,請求記録!$B$6:$B$3005,$A177,請求記録!$X$6:$X$3005,D$5))))</f>
        <v/>
      </c>
      <c r="E177" s="19">
        <f>IF($A177="","",IF(COUNTIFS(請求記録!$B$6:$B$3005,$A177,請求記録!$X$6:$X$3005,E$5,請求記録!$AD$6:$AD$3005,"保留中")&gt;0,"保留",IF(COUNTIFS(請求記録!$B$6:$B$3005,$A177,請求記録!$X$6:$X$3005,E$5)=0,"",SUMIFS(請求記録!$AC$6:$AC$3005,請求記録!$B$6:$B$3005,$A177,請求記録!$X$6:$X$3005,E$5))))</f>
        <v/>
      </c>
      <c r="F177" s="19">
        <f>IF($A177="","",IF(COUNTIFS(請求記録!$B$6:$B$3005,$A177,請求記録!$X$6:$X$3005,F$5,請求記録!$AD$6:$AD$3005,"保留中")&gt;0,"保留",IF(COUNTIFS(請求記録!$B$6:$B$3005,$A177,請求記録!$X$6:$X$3005,F$5)=0,"",SUMIFS(請求記録!$AC$6:$AC$3005,請求記録!$B$6:$B$3005,$A177,請求記録!$X$6:$X$3005,F$5))))</f>
        <v/>
      </c>
      <c r="G177" s="19">
        <f>IF($A177="","",IF(COUNTIFS(請求記録!$B$6:$B$3005,$A177,請求記録!$X$6:$X$3005,G$5,請求記録!$AD$6:$AD$3005,"保留中")&gt;0,"保留",IF(COUNTIFS(請求記録!$B$6:$B$3005,$A177,請求記録!$X$6:$X$3005,G$5)=0,"",SUMIFS(請求記録!$AC$6:$AC$3005,請求記録!$B$6:$B$3005,$A177,請求記録!$X$6:$X$3005,G$5))))</f>
        <v/>
      </c>
      <c r="H177" s="19">
        <f>IF($A177="","",IF(COUNTIFS(請求記録!$B$6:$B$3005,$A177,請求記録!$X$6:$X$3005,H$5,請求記録!$AD$6:$AD$3005,"保留中")&gt;0,"保留",IF(COUNTIFS(請求記録!$B$6:$B$3005,$A177,請求記録!$X$6:$X$3005,H$5)=0,"",SUMIFS(請求記録!$AC$6:$AC$3005,請求記録!$B$6:$B$3005,$A177,請求記録!$X$6:$X$3005,H$5))))</f>
        <v/>
      </c>
      <c r="I177" s="19">
        <f>IF($A177="","",IF(COUNTIFS(請求記録!$B$6:$B$3005,$A177,請求記録!$X$6:$X$3005,I$5,請求記録!$AD$6:$AD$3005,"保留中")&gt;0,"保留",IF(COUNTIFS(請求記録!$B$6:$B$3005,$A177,請求記録!$X$6:$X$3005,I$5)=0,"",SUMIFS(請求記録!$AC$6:$AC$3005,請求記録!$B$6:$B$3005,$A177,請求記録!$X$6:$X$3005,I$5))))</f>
        <v/>
      </c>
      <c r="J177" s="19">
        <f>IF($A177="","",IF(COUNTIFS(請求記録!$B$6:$B$3005,$A177,請求記録!$X$6:$X$3005,J$5,請求記録!$AD$6:$AD$3005,"保留中")&gt;0,"保留",IF(COUNTIFS(請求記録!$B$6:$B$3005,$A177,請求記録!$X$6:$X$3005,J$5)=0,"",SUMIFS(請求記録!$AC$6:$AC$3005,請求記録!$B$6:$B$3005,$A177,請求記録!$X$6:$X$3005,J$5))))</f>
        <v/>
      </c>
      <c r="K177" s="19">
        <f>IF($A177="","",IF(COUNTIFS(請求記録!$B$6:$B$3005,$A177,請求記録!$X$6:$X$3005,K$5,請求記録!$AD$6:$AD$3005,"保留中")&gt;0,"保留",IF(COUNTIFS(請求記録!$B$6:$B$3005,$A177,請求記録!$X$6:$X$3005,K$5)=0,"",SUMIFS(請求記録!$AC$6:$AC$3005,請求記録!$B$6:$B$3005,$A177,請求記録!$X$6:$X$3005,K$5))))</f>
        <v/>
      </c>
      <c r="L177" s="19">
        <f>IF($A177="","",IF(COUNTIFS(請求記録!$B$6:$B$3005,$A177,請求記録!$X$6:$X$3005,L$5,請求記録!$AD$6:$AD$3005,"保留中")&gt;0,"保留",IF(COUNTIFS(請求記録!$B$6:$B$3005,$A177,請求記録!$X$6:$X$3005,L$5)=0,"",SUMIFS(請求記録!$AC$6:$AC$3005,請求記録!$B$6:$B$3005,$A177,請求記録!$X$6:$X$3005,L$5))))</f>
        <v/>
      </c>
      <c r="M177" s="19">
        <f>IF($A177="","",IF(COUNTIFS(請求記録!$B$6:$B$3005,$A177,請求記録!$X$6:$X$3005,M$5,請求記録!$AD$6:$AD$3005,"保留中")&gt;0,"保留",IF(COUNTIFS(請求記録!$B$6:$B$3005,$A177,請求記録!$X$6:$X$3005,M$5)=0,"",SUMIFS(請求記録!$AC$6:$AC$3005,請求記録!$B$6:$B$3005,$A177,請求記録!$X$6:$X$3005,M$5))))</f>
        <v/>
      </c>
      <c r="N177" s="19">
        <f>IF($A177="","",IF(COUNTIFS(請求記録!$B$6:$B$3005,$A177,請求記録!$X$6:$X$3005,N$5,請求記録!$AD$6:$AD$3005,"保留中")&gt;0,"保留",IF(COUNTIFS(請求記録!$B$6:$B$3005,$A177,請求記録!$X$6:$X$3005,N$5)=0,"",SUMIFS(請求記録!$AC$6:$AC$3005,請求記録!$B$6:$B$3005,$A177,請求記録!$X$6:$X$3005,N$5))))</f>
        <v/>
      </c>
      <c r="O177" s="19">
        <f>IF($A177="","",IF(COUNTIFS(請求記録!$B$6:$B$3005,$A177,請求記録!$X$6:$X$3005,O$5,請求記録!$AD$6:$AD$3005,"保留中")&gt;0,"保留",IF(COUNTIFS(請求記録!$B$6:$B$3005,$A177,請求記録!$X$6:$X$3005,O$5)=0,"",SUMIFS(請求記録!$AC$6:$AC$3005,請求記録!$B$6:$B$3005,$A177,請求記録!$X$6:$X$3005,O$5))))</f>
        <v/>
      </c>
      <c r="P177" s="19">
        <f>IF($A177="","",IF(COUNTIFS(請求記録!$B$6:$B$3005,$A177,請求記録!$X$6:$X$3005,P$5,請求記録!$AD$6:$AD$3005,"保留中")&gt;0,"保留",IF(COUNTIFS(請求記録!$B$6:$B$3005,$A177,請求記録!$X$6:$X$3005,P$5)=0,"",SUMIFS(請求記録!$AC$6:$AC$3005,請求記録!$B$6:$B$3005,$A177,請求記録!$X$6:$X$3005,P$5))))</f>
        <v/>
      </c>
      <c r="Q177" s="19">
        <f>IF($A177="","",IF(COUNTIFS(請求記録!$B$6:$B$3005,$A177,請求記録!$X$6:$X$3005,Q$5,請求記録!$AD$6:$AD$3005,"保留中")&gt;0,"保留",IF(COUNTIFS(請求記録!$B$6:$B$3005,$A177,請求記録!$X$6:$X$3005,Q$5)=0,"",SUMIFS(請求記録!$AC$6:$AC$3005,請求記録!$B$6:$B$3005,$A177,請求記録!$X$6:$X$3005,Q$5))))</f>
        <v/>
      </c>
      <c r="R177" s="19">
        <f>IF($A177="","",IF(COUNTIFS(請求記録!$B$6:$B$3005,$A177,請求記録!$X$6:$X$3005,R$5,請求記録!$AD$6:$AD$3005,"保留中")&gt;0,"保留",IF(COUNTIFS(請求記録!$B$6:$B$3005,$A177,請求記録!$X$6:$X$3005,R$5)=0,"",SUMIFS(請求記録!$AC$6:$AC$3005,請求記録!$B$6:$B$3005,$A177,請求記録!$X$6:$X$3005,R$5))))</f>
        <v/>
      </c>
      <c r="S177" s="19">
        <f>IF($A177="","",IF(COUNTIFS(請求記録!$B$6:$B$3005,$A177,請求記録!$X$6:$X$3005,S$5,請求記録!$AD$6:$AD$3005,"保留中")&gt;0,"保留",IF(COUNTIFS(請求記録!$B$6:$B$3005,$A177,請求記録!$X$6:$X$3005,S$5)=0,"",SUMIFS(請求記録!$AC$6:$AC$3005,請求記録!$B$6:$B$3005,$A177,請求記録!$X$6:$X$3005,S$5))))</f>
        <v/>
      </c>
      <c r="T177" s="19">
        <f>IF($A177="","",IF(COUNTIFS(請求記録!$B$6:$B$3005,$A177,請求記録!$X$6:$X$3005,T$5,請求記録!$AD$6:$AD$3005,"保留中")&gt;0,"保留",IF(COUNTIFS(請求記録!$B$6:$B$3005,$A177,請求記録!$X$6:$X$3005,T$5)=0,"",SUMIFS(請求記録!$AC$6:$AC$3005,請求記録!$B$6:$B$3005,$A177,請求記録!$X$6:$X$3005,T$5))))</f>
        <v/>
      </c>
      <c r="U177" s="19">
        <f>IF($A177="","",IF(COUNTIFS(請求記録!$B$6:$B$3005,$A177,請求記録!$X$6:$X$3005,U$5,請求記録!$AD$6:$AD$3005,"保留中")&gt;0,"保留",IF(COUNTIFS(請求記録!$B$6:$B$3005,$A177,請求記録!$X$6:$X$3005,U$5)=0,"",SUMIFS(請求記録!$AC$6:$AC$3005,請求記録!$B$6:$B$3005,$A177,請求記録!$X$6:$X$3005,U$5))))</f>
        <v/>
      </c>
      <c r="V177" s="19">
        <f>IF($A177="","",IF(COUNTIFS(請求記録!$B$6:$B$3005,$A177,請求記録!$X$6:$X$3005,V$5,請求記録!$AD$6:$AD$3005,"保留中")&gt;0,"保留",IF(COUNTIFS(請求記録!$B$6:$B$3005,$A177,請求記録!$X$6:$X$3005,V$5)=0,"",SUMIFS(請求記録!$AC$6:$AC$3005,請求記録!$B$6:$B$3005,$A177,請求記録!$X$6:$X$3005,V$5))))</f>
        <v/>
      </c>
      <c r="W177" s="19">
        <f>IF($A177="","",IF(COUNTIFS(請求記録!$B$6:$B$3005,$A177,請求記録!$X$6:$X$3005,W$5,請求記録!$AD$6:$AD$3005,"保留中")&gt;0,"保留",IF(COUNTIFS(請求記録!$B$6:$B$3005,$A177,請求記録!$X$6:$X$3005,W$5)=0,"",SUMIFS(請求記録!$AC$6:$AC$3005,請求記録!$B$6:$B$3005,$A177,請求記録!$X$6:$X$3005,W$5))))</f>
        <v/>
      </c>
      <c r="X177" s="19">
        <f>IF($A177="","",IF(COUNTIFS(請求記録!$B$6:$B$3005,$A177,請求記録!$X$6:$X$3005,X$5,請求記録!$AD$6:$AD$3005,"保留中")&gt;0,"保留",IF(COUNTIFS(請求記録!$B$6:$B$3005,$A177,請求記録!$X$6:$X$3005,X$5)=0,"",SUMIFS(請求記録!$AC$6:$AC$3005,請求記録!$B$6:$B$3005,$A177,請求記録!$X$6:$X$3005,X$5))))</f>
        <v/>
      </c>
      <c r="Y177" s="19">
        <f>IF($A177="","",IF(COUNTIFS(請求記録!$B$6:$B$3005,$A177,請求記録!$X$6:$X$3005,Y$5,請求記録!$AD$6:$AD$3005,"保留中")&gt;0,"保留",IF(COUNTIFS(請求記録!$B$6:$B$3005,$A177,請求記録!$X$6:$X$3005,Y$5)=0,"",SUMIFS(請求記録!$AC$6:$AC$3005,請求記録!$B$6:$B$3005,$A177,請求記録!$X$6:$X$3005,Y$5))))</f>
        <v/>
      </c>
      <c r="Z177" s="19">
        <f>IF($A177="","",IF(COUNTIFS(請求記録!$B$6:$B$3005,$A177,請求記録!$X$6:$X$3005,Z$5,請求記録!$AD$6:$AD$3005,"保留中")&gt;0,"保留",IF(COUNTIFS(請求記録!$B$6:$B$3005,$A177,請求記録!$X$6:$X$3005,Z$5)=0,"",SUMIFS(請求記録!$AC$6:$AC$3005,請求記録!$B$6:$B$3005,$A177,請求記録!$X$6:$X$3005,Z$5))))</f>
        <v/>
      </c>
      <c r="AA177" s="19">
        <f>IF($A177="","",IF(COUNTIFS(請求記録!$B$6:$B$3005,$A177,請求記録!$X$6:$X$3005,AA$5,請求記録!$AD$6:$AD$3005,"保留中")&gt;0,"保留",IF(COUNTIFS(請求記録!$B$6:$B$3005,$A177,請求記録!$X$6:$X$3005,AA$5)=0,"",SUMIFS(請求記録!$AC$6:$AC$3005,請求記録!$B$6:$B$3005,$A177,請求記録!$X$6:$X$3005,AA$5))))</f>
        <v/>
      </c>
      <c r="AB177">
        <f>IF(職員マスタ!P177="保留中",職員マスタ!M177,"")</f>
        <v/>
      </c>
    </row>
    <row r="178">
      <c r="A178">
        <f>IF(職員マスタ!A178="","",職員マスタ!A178)</f>
        <v/>
      </c>
      <c r="B178">
        <f>IF($A178="","",職員マスタ!B178)</f>
        <v/>
      </c>
      <c r="C178">
        <f>IF($A178="","",職員マスタ!C178)</f>
        <v/>
      </c>
      <c r="D178" s="19">
        <f>IF($A178="","",IF(COUNTIFS(請求記録!$B$6:$B$3005,$A178,請求記録!$X$6:$X$3005,D$5,請求記録!$AD$6:$AD$3005,"保留中")&gt;0,"保留",IF(COUNTIFS(請求記録!$B$6:$B$3005,$A178,請求記録!$X$6:$X$3005,D$5)=0,"",SUMIFS(請求記録!$AC$6:$AC$3005,請求記録!$B$6:$B$3005,$A178,請求記録!$X$6:$X$3005,D$5))))</f>
        <v/>
      </c>
      <c r="E178" s="19">
        <f>IF($A178="","",IF(COUNTIFS(請求記録!$B$6:$B$3005,$A178,請求記録!$X$6:$X$3005,E$5,請求記録!$AD$6:$AD$3005,"保留中")&gt;0,"保留",IF(COUNTIFS(請求記録!$B$6:$B$3005,$A178,請求記録!$X$6:$X$3005,E$5)=0,"",SUMIFS(請求記録!$AC$6:$AC$3005,請求記録!$B$6:$B$3005,$A178,請求記録!$X$6:$X$3005,E$5))))</f>
        <v/>
      </c>
      <c r="F178" s="19">
        <f>IF($A178="","",IF(COUNTIFS(請求記録!$B$6:$B$3005,$A178,請求記録!$X$6:$X$3005,F$5,請求記録!$AD$6:$AD$3005,"保留中")&gt;0,"保留",IF(COUNTIFS(請求記録!$B$6:$B$3005,$A178,請求記録!$X$6:$X$3005,F$5)=0,"",SUMIFS(請求記録!$AC$6:$AC$3005,請求記録!$B$6:$B$3005,$A178,請求記録!$X$6:$X$3005,F$5))))</f>
        <v/>
      </c>
      <c r="G178" s="19">
        <f>IF($A178="","",IF(COUNTIFS(請求記録!$B$6:$B$3005,$A178,請求記録!$X$6:$X$3005,G$5,請求記録!$AD$6:$AD$3005,"保留中")&gt;0,"保留",IF(COUNTIFS(請求記録!$B$6:$B$3005,$A178,請求記録!$X$6:$X$3005,G$5)=0,"",SUMIFS(請求記録!$AC$6:$AC$3005,請求記録!$B$6:$B$3005,$A178,請求記録!$X$6:$X$3005,G$5))))</f>
        <v/>
      </c>
      <c r="H178" s="19">
        <f>IF($A178="","",IF(COUNTIFS(請求記録!$B$6:$B$3005,$A178,請求記録!$X$6:$X$3005,H$5,請求記録!$AD$6:$AD$3005,"保留中")&gt;0,"保留",IF(COUNTIFS(請求記録!$B$6:$B$3005,$A178,請求記録!$X$6:$X$3005,H$5)=0,"",SUMIFS(請求記録!$AC$6:$AC$3005,請求記録!$B$6:$B$3005,$A178,請求記録!$X$6:$X$3005,H$5))))</f>
        <v/>
      </c>
      <c r="I178" s="19">
        <f>IF($A178="","",IF(COUNTIFS(請求記録!$B$6:$B$3005,$A178,請求記録!$X$6:$X$3005,I$5,請求記録!$AD$6:$AD$3005,"保留中")&gt;0,"保留",IF(COUNTIFS(請求記録!$B$6:$B$3005,$A178,請求記録!$X$6:$X$3005,I$5)=0,"",SUMIFS(請求記録!$AC$6:$AC$3005,請求記録!$B$6:$B$3005,$A178,請求記録!$X$6:$X$3005,I$5))))</f>
        <v/>
      </c>
      <c r="J178" s="19">
        <f>IF($A178="","",IF(COUNTIFS(請求記録!$B$6:$B$3005,$A178,請求記録!$X$6:$X$3005,J$5,請求記録!$AD$6:$AD$3005,"保留中")&gt;0,"保留",IF(COUNTIFS(請求記録!$B$6:$B$3005,$A178,請求記録!$X$6:$X$3005,J$5)=0,"",SUMIFS(請求記録!$AC$6:$AC$3005,請求記録!$B$6:$B$3005,$A178,請求記録!$X$6:$X$3005,J$5))))</f>
        <v/>
      </c>
      <c r="K178" s="19">
        <f>IF($A178="","",IF(COUNTIFS(請求記録!$B$6:$B$3005,$A178,請求記録!$X$6:$X$3005,K$5,請求記録!$AD$6:$AD$3005,"保留中")&gt;0,"保留",IF(COUNTIFS(請求記録!$B$6:$B$3005,$A178,請求記録!$X$6:$X$3005,K$5)=0,"",SUMIFS(請求記録!$AC$6:$AC$3005,請求記録!$B$6:$B$3005,$A178,請求記録!$X$6:$X$3005,K$5))))</f>
        <v/>
      </c>
      <c r="L178" s="19">
        <f>IF($A178="","",IF(COUNTIFS(請求記録!$B$6:$B$3005,$A178,請求記録!$X$6:$X$3005,L$5,請求記録!$AD$6:$AD$3005,"保留中")&gt;0,"保留",IF(COUNTIFS(請求記録!$B$6:$B$3005,$A178,請求記録!$X$6:$X$3005,L$5)=0,"",SUMIFS(請求記録!$AC$6:$AC$3005,請求記録!$B$6:$B$3005,$A178,請求記録!$X$6:$X$3005,L$5))))</f>
        <v/>
      </c>
      <c r="M178" s="19">
        <f>IF($A178="","",IF(COUNTIFS(請求記録!$B$6:$B$3005,$A178,請求記録!$X$6:$X$3005,M$5,請求記録!$AD$6:$AD$3005,"保留中")&gt;0,"保留",IF(COUNTIFS(請求記録!$B$6:$B$3005,$A178,請求記録!$X$6:$X$3005,M$5)=0,"",SUMIFS(請求記録!$AC$6:$AC$3005,請求記録!$B$6:$B$3005,$A178,請求記録!$X$6:$X$3005,M$5))))</f>
        <v/>
      </c>
      <c r="N178" s="19">
        <f>IF($A178="","",IF(COUNTIFS(請求記録!$B$6:$B$3005,$A178,請求記録!$X$6:$X$3005,N$5,請求記録!$AD$6:$AD$3005,"保留中")&gt;0,"保留",IF(COUNTIFS(請求記録!$B$6:$B$3005,$A178,請求記録!$X$6:$X$3005,N$5)=0,"",SUMIFS(請求記録!$AC$6:$AC$3005,請求記録!$B$6:$B$3005,$A178,請求記録!$X$6:$X$3005,N$5))))</f>
        <v/>
      </c>
      <c r="O178" s="19">
        <f>IF($A178="","",IF(COUNTIFS(請求記録!$B$6:$B$3005,$A178,請求記録!$X$6:$X$3005,O$5,請求記録!$AD$6:$AD$3005,"保留中")&gt;0,"保留",IF(COUNTIFS(請求記録!$B$6:$B$3005,$A178,請求記録!$X$6:$X$3005,O$5)=0,"",SUMIFS(請求記録!$AC$6:$AC$3005,請求記録!$B$6:$B$3005,$A178,請求記録!$X$6:$X$3005,O$5))))</f>
        <v/>
      </c>
      <c r="P178" s="19">
        <f>IF($A178="","",IF(COUNTIFS(請求記録!$B$6:$B$3005,$A178,請求記録!$X$6:$X$3005,P$5,請求記録!$AD$6:$AD$3005,"保留中")&gt;0,"保留",IF(COUNTIFS(請求記録!$B$6:$B$3005,$A178,請求記録!$X$6:$X$3005,P$5)=0,"",SUMIFS(請求記録!$AC$6:$AC$3005,請求記録!$B$6:$B$3005,$A178,請求記録!$X$6:$X$3005,P$5))))</f>
        <v/>
      </c>
      <c r="Q178" s="19">
        <f>IF($A178="","",IF(COUNTIFS(請求記録!$B$6:$B$3005,$A178,請求記録!$X$6:$X$3005,Q$5,請求記録!$AD$6:$AD$3005,"保留中")&gt;0,"保留",IF(COUNTIFS(請求記録!$B$6:$B$3005,$A178,請求記録!$X$6:$X$3005,Q$5)=0,"",SUMIFS(請求記録!$AC$6:$AC$3005,請求記録!$B$6:$B$3005,$A178,請求記録!$X$6:$X$3005,Q$5))))</f>
        <v/>
      </c>
      <c r="R178" s="19">
        <f>IF($A178="","",IF(COUNTIFS(請求記録!$B$6:$B$3005,$A178,請求記録!$X$6:$X$3005,R$5,請求記録!$AD$6:$AD$3005,"保留中")&gt;0,"保留",IF(COUNTIFS(請求記録!$B$6:$B$3005,$A178,請求記録!$X$6:$X$3005,R$5)=0,"",SUMIFS(請求記録!$AC$6:$AC$3005,請求記録!$B$6:$B$3005,$A178,請求記録!$X$6:$X$3005,R$5))))</f>
        <v/>
      </c>
      <c r="S178" s="19">
        <f>IF($A178="","",IF(COUNTIFS(請求記録!$B$6:$B$3005,$A178,請求記録!$X$6:$X$3005,S$5,請求記録!$AD$6:$AD$3005,"保留中")&gt;0,"保留",IF(COUNTIFS(請求記録!$B$6:$B$3005,$A178,請求記録!$X$6:$X$3005,S$5)=0,"",SUMIFS(請求記録!$AC$6:$AC$3005,請求記録!$B$6:$B$3005,$A178,請求記録!$X$6:$X$3005,S$5))))</f>
        <v/>
      </c>
      <c r="T178" s="19">
        <f>IF($A178="","",IF(COUNTIFS(請求記録!$B$6:$B$3005,$A178,請求記録!$X$6:$X$3005,T$5,請求記録!$AD$6:$AD$3005,"保留中")&gt;0,"保留",IF(COUNTIFS(請求記録!$B$6:$B$3005,$A178,請求記録!$X$6:$X$3005,T$5)=0,"",SUMIFS(請求記録!$AC$6:$AC$3005,請求記録!$B$6:$B$3005,$A178,請求記録!$X$6:$X$3005,T$5))))</f>
        <v/>
      </c>
      <c r="U178" s="19">
        <f>IF($A178="","",IF(COUNTIFS(請求記録!$B$6:$B$3005,$A178,請求記録!$X$6:$X$3005,U$5,請求記録!$AD$6:$AD$3005,"保留中")&gt;0,"保留",IF(COUNTIFS(請求記録!$B$6:$B$3005,$A178,請求記録!$X$6:$X$3005,U$5)=0,"",SUMIFS(請求記録!$AC$6:$AC$3005,請求記録!$B$6:$B$3005,$A178,請求記録!$X$6:$X$3005,U$5))))</f>
        <v/>
      </c>
      <c r="V178" s="19">
        <f>IF($A178="","",IF(COUNTIFS(請求記録!$B$6:$B$3005,$A178,請求記録!$X$6:$X$3005,V$5,請求記録!$AD$6:$AD$3005,"保留中")&gt;0,"保留",IF(COUNTIFS(請求記録!$B$6:$B$3005,$A178,請求記録!$X$6:$X$3005,V$5)=0,"",SUMIFS(請求記録!$AC$6:$AC$3005,請求記録!$B$6:$B$3005,$A178,請求記録!$X$6:$X$3005,V$5))))</f>
        <v/>
      </c>
      <c r="W178" s="19">
        <f>IF($A178="","",IF(COUNTIFS(請求記録!$B$6:$B$3005,$A178,請求記録!$X$6:$X$3005,W$5,請求記録!$AD$6:$AD$3005,"保留中")&gt;0,"保留",IF(COUNTIFS(請求記録!$B$6:$B$3005,$A178,請求記録!$X$6:$X$3005,W$5)=0,"",SUMIFS(請求記録!$AC$6:$AC$3005,請求記録!$B$6:$B$3005,$A178,請求記録!$X$6:$X$3005,W$5))))</f>
        <v/>
      </c>
      <c r="X178" s="19">
        <f>IF($A178="","",IF(COUNTIFS(請求記録!$B$6:$B$3005,$A178,請求記録!$X$6:$X$3005,X$5,請求記録!$AD$6:$AD$3005,"保留中")&gt;0,"保留",IF(COUNTIFS(請求記録!$B$6:$B$3005,$A178,請求記録!$X$6:$X$3005,X$5)=0,"",SUMIFS(請求記録!$AC$6:$AC$3005,請求記録!$B$6:$B$3005,$A178,請求記録!$X$6:$X$3005,X$5))))</f>
        <v/>
      </c>
      <c r="Y178" s="19">
        <f>IF($A178="","",IF(COUNTIFS(請求記録!$B$6:$B$3005,$A178,請求記録!$X$6:$X$3005,Y$5,請求記録!$AD$6:$AD$3005,"保留中")&gt;0,"保留",IF(COUNTIFS(請求記録!$B$6:$B$3005,$A178,請求記録!$X$6:$X$3005,Y$5)=0,"",SUMIFS(請求記録!$AC$6:$AC$3005,請求記録!$B$6:$B$3005,$A178,請求記録!$X$6:$X$3005,Y$5))))</f>
        <v/>
      </c>
      <c r="Z178" s="19">
        <f>IF($A178="","",IF(COUNTIFS(請求記録!$B$6:$B$3005,$A178,請求記録!$X$6:$X$3005,Z$5,請求記録!$AD$6:$AD$3005,"保留中")&gt;0,"保留",IF(COUNTIFS(請求記録!$B$6:$B$3005,$A178,請求記録!$X$6:$X$3005,Z$5)=0,"",SUMIFS(請求記録!$AC$6:$AC$3005,請求記録!$B$6:$B$3005,$A178,請求記録!$X$6:$X$3005,Z$5))))</f>
        <v/>
      </c>
      <c r="AA178" s="19">
        <f>IF($A178="","",IF(COUNTIFS(請求記録!$B$6:$B$3005,$A178,請求記録!$X$6:$X$3005,AA$5,請求記録!$AD$6:$AD$3005,"保留中")&gt;0,"保留",IF(COUNTIFS(請求記録!$B$6:$B$3005,$A178,請求記録!$X$6:$X$3005,AA$5)=0,"",SUMIFS(請求記録!$AC$6:$AC$3005,請求記録!$B$6:$B$3005,$A178,請求記録!$X$6:$X$3005,AA$5))))</f>
        <v/>
      </c>
      <c r="AB178">
        <f>IF(職員マスタ!P178="保留中",職員マスタ!M178,"")</f>
        <v/>
      </c>
    </row>
    <row r="179">
      <c r="A179">
        <f>IF(職員マスタ!A179="","",職員マスタ!A179)</f>
        <v/>
      </c>
      <c r="B179">
        <f>IF($A179="","",職員マスタ!B179)</f>
        <v/>
      </c>
      <c r="C179">
        <f>IF($A179="","",職員マスタ!C179)</f>
        <v/>
      </c>
      <c r="D179" s="19">
        <f>IF($A179="","",IF(COUNTIFS(請求記録!$B$6:$B$3005,$A179,請求記録!$X$6:$X$3005,D$5,請求記録!$AD$6:$AD$3005,"保留中")&gt;0,"保留",IF(COUNTIFS(請求記録!$B$6:$B$3005,$A179,請求記録!$X$6:$X$3005,D$5)=0,"",SUMIFS(請求記録!$AC$6:$AC$3005,請求記録!$B$6:$B$3005,$A179,請求記録!$X$6:$X$3005,D$5))))</f>
        <v/>
      </c>
      <c r="E179" s="19">
        <f>IF($A179="","",IF(COUNTIFS(請求記録!$B$6:$B$3005,$A179,請求記録!$X$6:$X$3005,E$5,請求記録!$AD$6:$AD$3005,"保留中")&gt;0,"保留",IF(COUNTIFS(請求記録!$B$6:$B$3005,$A179,請求記録!$X$6:$X$3005,E$5)=0,"",SUMIFS(請求記録!$AC$6:$AC$3005,請求記録!$B$6:$B$3005,$A179,請求記録!$X$6:$X$3005,E$5))))</f>
        <v/>
      </c>
      <c r="F179" s="19">
        <f>IF($A179="","",IF(COUNTIFS(請求記録!$B$6:$B$3005,$A179,請求記録!$X$6:$X$3005,F$5,請求記録!$AD$6:$AD$3005,"保留中")&gt;0,"保留",IF(COUNTIFS(請求記録!$B$6:$B$3005,$A179,請求記録!$X$6:$X$3005,F$5)=0,"",SUMIFS(請求記録!$AC$6:$AC$3005,請求記録!$B$6:$B$3005,$A179,請求記録!$X$6:$X$3005,F$5))))</f>
        <v/>
      </c>
      <c r="G179" s="19">
        <f>IF($A179="","",IF(COUNTIFS(請求記録!$B$6:$B$3005,$A179,請求記録!$X$6:$X$3005,G$5,請求記録!$AD$6:$AD$3005,"保留中")&gt;0,"保留",IF(COUNTIFS(請求記録!$B$6:$B$3005,$A179,請求記録!$X$6:$X$3005,G$5)=0,"",SUMIFS(請求記録!$AC$6:$AC$3005,請求記録!$B$6:$B$3005,$A179,請求記録!$X$6:$X$3005,G$5))))</f>
        <v/>
      </c>
      <c r="H179" s="19">
        <f>IF($A179="","",IF(COUNTIFS(請求記録!$B$6:$B$3005,$A179,請求記録!$X$6:$X$3005,H$5,請求記録!$AD$6:$AD$3005,"保留中")&gt;0,"保留",IF(COUNTIFS(請求記録!$B$6:$B$3005,$A179,請求記録!$X$6:$X$3005,H$5)=0,"",SUMIFS(請求記録!$AC$6:$AC$3005,請求記録!$B$6:$B$3005,$A179,請求記録!$X$6:$X$3005,H$5))))</f>
        <v/>
      </c>
      <c r="I179" s="19">
        <f>IF($A179="","",IF(COUNTIFS(請求記録!$B$6:$B$3005,$A179,請求記録!$X$6:$X$3005,I$5,請求記録!$AD$6:$AD$3005,"保留中")&gt;0,"保留",IF(COUNTIFS(請求記録!$B$6:$B$3005,$A179,請求記録!$X$6:$X$3005,I$5)=0,"",SUMIFS(請求記録!$AC$6:$AC$3005,請求記録!$B$6:$B$3005,$A179,請求記録!$X$6:$X$3005,I$5))))</f>
        <v/>
      </c>
      <c r="J179" s="19">
        <f>IF($A179="","",IF(COUNTIFS(請求記録!$B$6:$B$3005,$A179,請求記録!$X$6:$X$3005,J$5,請求記録!$AD$6:$AD$3005,"保留中")&gt;0,"保留",IF(COUNTIFS(請求記録!$B$6:$B$3005,$A179,請求記録!$X$6:$X$3005,J$5)=0,"",SUMIFS(請求記録!$AC$6:$AC$3005,請求記録!$B$6:$B$3005,$A179,請求記録!$X$6:$X$3005,J$5))))</f>
        <v/>
      </c>
      <c r="K179" s="19">
        <f>IF($A179="","",IF(COUNTIFS(請求記録!$B$6:$B$3005,$A179,請求記録!$X$6:$X$3005,K$5,請求記録!$AD$6:$AD$3005,"保留中")&gt;0,"保留",IF(COUNTIFS(請求記録!$B$6:$B$3005,$A179,請求記録!$X$6:$X$3005,K$5)=0,"",SUMIFS(請求記録!$AC$6:$AC$3005,請求記録!$B$6:$B$3005,$A179,請求記録!$X$6:$X$3005,K$5))))</f>
        <v/>
      </c>
      <c r="L179" s="19">
        <f>IF($A179="","",IF(COUNTIFS(請求記録!$B$6:$B$3005,$A179,請求記録!$X$6:$X$3005,L$5,請求記録!$AD$6:$AD$3005,"保留中")&gt;0,"保留",IF(COUNTIFS(請求記録!$B$6:$B$3005,$A179,請求記録!$X$6:$X$3005,L$5)=0,"",SUMIFS(請求記録!$AC$6:$AC$3005,請求記録!$B$6:$B$3005,$A179,請求記録!$X$6:$X$3005,L$5))))</f>
        <v/>
      </c>
      <c r="M179" s="19">
        <f>IF($A179="","",IF(COUNTIFS(請求記録!$B$6:$B$3005,$A179,請求記録!$X$6:$X$3005,M$5,請求記録!$AD$6:$AD$3005,"保留中")&gt;0,"保留",IF(COUNTIFS(請求記録!$B$6:$B$3005,$A179,請求記録!$X$6:$X$3005,M$5)=0,"",SUMIFS(請求記録!$AC$6:$AC$3005,請求記録!$B$6:$B$3005,$A179,請求記録!$X$6:$X$3005,M$5))))</f>
        <v/>
      </c>
      <c r="N179" s="19">
        <f>IF($A179="","",IF(COUNTIFS(請求記録!$B$6:$B$3005,$A179,請求記録!$X$6:$X$3005,N$5,請求記録!$AD$6:$AD$3005,"保留中")&gt;0,"保留",IF(COUNTIFS(請求記録!$B$6:$B$3005,$A179,請求記録!$X$6:$X$3005,N$5)=0,"",SUMIFS(請求記録!$AC$6:$AC$3005,請求記録!$B$6:$B$3005,$A179,請求記録!$X$6:$X$3005,N$5))))</f>
        <v/>
      </c>
      <c r="O179" s="19">
        <f>IF($A179="","",IF(COUNTIFS(請求記録!$B$6:$B$3005,$A179,請求記録!$X$6:$X$3005,O$5,請求記録!$AD$6:$AD$3005,"保留中")&gt;0,"保留",IF(COUNTIFS(請求記録!$B$6:$B$3005,$A179,請求記録!$X$6:$X$3005,O$5)=0,"",SUMIFS(請求記録!$AC$6:$AC$3005,請求記録!$B$6:$B$3005,$A179,請求記録!$X$6:$X$3005,O$5))))</f>
        <v/>
      </c>
      <c r="P179" s="19">
        <f>IF($A179="","",IF(COUNTIFS(請求記録!$B$6:$B$3005,$A179,請求記録!$X$6:$X$3005,P$5,請求記録!$AD$6:$AD$3005,"保留中")&gt;0,"保留",IF(COUNTIFS(請求記録!$B$6:$B$3005,$A179,請求記録!$X$6:$X$3005,P$5)=0,"",SUMIFS(請求記録!$AC$6:$AC$3005,請求記録!$B$6:$B$3005,$A179,請求記録!$X$6:$X$3005,P$5))))</f>
        <v/>
      </c>
      <c r="Q179" s="19">
        <f>IF($A179="","",IF(COUNTIFS(請求記録!$B$6:$B$3005,$A179,請求記録!$X$6:$X$3005,Q$5,請求記録!$AD$6:$AD$3005,"保留中")&gt;0,"保留",IF(COUNTIFS(請求記録!$B$6:$B$3005,$A179,請求記録!$X$6:$X$3005,Q$5)=0,"",SUMIFS(請求記録!$AC$6:$AC$3005,請求記録!$B$6:$B$3005,$A179,請求記録!$X$6:$X$3005,Q$5))))</f>
        <v/>
      </c>
      <c r="R179" s="19">
        <f>IF($A179="","",IF(COUNTIFS(請求記録!$B$6:$B$3005,$A179,請求記録!$X$6:$X$3005,R$5,請求記録!$AD$6:$AD$3005,"保留中")&gt;0,"保留",IF(COUNTIFS(請求記録!$B$6:$B$3005,$A179,請求記録!$X$6:$X$3005,R$5)=0,"",SUMIFS(請求記録!$AC$6:$AC$3005,請求記録!$B$6:$B$3005,$A179,請求記録!$X$6:$X$3005,R$5))))</f>
        <v/>
      </c>
      <c r="S179" s="19">
        <f>IF($A179="","",IF(COUNTIFS(請求記録!$B$6:$B$3005,$A179,請求記録!$X$6:$X$3005,S$5,請求記録!$AD$6:$AD$3005,"保留中")&gt;0,"保留",IF(COUNTIFS(請求記録!$B$6:$B$3005,$A179,請求記録!$X$6:$X$3005,S$5)=0,"",SUMIFS(請求記録!$AC$6:$AC$3005,請求記録!$B$6:$B$3005,$A179,請求記録!$X$6:$X$3005,S$5))))</f>
        <v/>
      </c>
      <c r="T179" s="19">
        <f>IF($A179="","",IF(COUNTIFS(請求記録!$B$6:$B$3005,$A179,請求記録!$X$6:$X$3005,T$5,請求記録!$AD$6:$AD$3005,"保留中")&gt;0,"保留",IF(COUNTIFS(請求記録!$B$6:$B$3005,$A179,請求記録!$X$6:$X$3005,T$5)=0,"",SUMIFS(請求記録!$AC$6:$AC$3005,請求記録!$B$6:$B$3005,$A179,請求記録!$X$6:$X$3005,T$5))))</f>
        <v/>
      </c>
      <c r="U179" s="19">
        <f>IF($A179="","",IF(COUNTIFS(請求記録!$B$6:$B$3005,$A179,請求記録!$X$6:$X$3005,U$5,請求記録!$AD$6:$AD$3005,"保留中")&gt;0,"保留",IF(COUNTIFS(請求記録!$B$6:$B$3005,$A179,請求記録!$X$6:$X$3005,U$5)=0,"",SUMIFS(請求記録!$AC$6:$AC$3005,請求記録!$B$6:$B$3005,$A179,請求記録!$X$6:$X$3005,U$5))))</f>
        <v/>
      </c>
      <c r="V179" s="19">
        <f>IF($A179="","",IF(COUNTIFS(請求記録!$B$6:$B$3005,$A179,請求記録!$X$6:$X$3005,V$5,請求記録!$AD$6:$AD$3005,"保留中")&gt;0,"保留",IF(COUNTIFS(請求記録!$B$6:$B$3005,$A179,請求記録!$X$6:$X$3005,V$5)=0,"",SUMIFS(請求記録!$AC$6:$AC$3005,請求記録!$B$6:$B$3005,$A179,請求記録!$X$6:$X$3005,V$5))))</f>
        <v/>
      </c>
      <c r="W179" s="19">
        <f>IF($A179="","",IF(COUNTIFS(請求記録!$B$6:$B$3005,$A179,請求記録!$X$6:$X$3005,W$5,請求記録!$AD$6:$AD$3005,"保留中")&gt;0,"保留",IF(COUNTIFS(請求記録!$B$6:$B$3005,$A179,請求記録!$X$6:$X$3005,W$5)=0,"",SUMIFS(請求記録!$AC$6:$AC$3005,請求記録!$B$6:$B$3005,$A179,請求記録!$X$6:$X$3005,W$5))))</f>
        <v/>
      </c>
      <c r="X179" s="19">
        <f>IF($A179="","",IF(COUNTIFS(請求記録!$B$6:$B$3005,$A179,請求記録!$X$6:$X$3005,X$5,請求記録!$AD$6:$AD$3005,"保留中")&gt;0,"保留",IF(COUNTIFS(請求記録!$B$6:$B$3005,$A179,請求記録!$X$6:$X$3005,X$5)=0,"",SUMIFS(請求記録!$AC$6:$AC$3005,請求記録!$B$6:$B$3005,$A179,請求記録!$X$6:$X$3005,X$5))))</f>
        <v/>
      </c>
      <c r="Y179" s="19">
        <f>IF($A179="","",IF(COUNTIFS(請求記録!$B$6:$B$3005,$A179,請求記録!$X$6:$X$3005,Y$5,請求記録!$AD$6:$AD$3005,"保留中")&gt;0,"保留",IF(COUNTIFS(請求記録!$B$6:$B$3005,$A179,請求記録!$X$6:$X$3005,Y$5)=0,"",SUMIFS(請求記録!$AC$6:$AC$3005,請求記録!$B$6:$B$3005,$A179,請求記録!$X$6:$X$3005,Y$5))))</f>
        <v/>
      </c>
      <c r="Z179" s="19">
        <f>IF($A179="","",IF(COUNTIFS(請求記録!$B$6:$B$3005,$A179,請求記録!$X$6:$X$3005,Z$5,請求記録!$AD$6:$AD$3005,"保留中")&gt;0,"保留",IF(COUNTIFS(請求記録!$B$6:$B$3005,$A179,請求記録!$X$6:$X$3005,Z$5)=0,"",SUMIFS(請求記録!$AC$6:$AC$3005,請求記録!$B$6:$B$3005,$A179,請求記録!$X$6:$X$3005,Z$5))))</f>
        <v/>
      </c>
      <c r="AA179" s="19">
        <f>IF($A179="","",IF(COUNTIFS(請求記録!$B$6:$B$3005,$A179,請求記録!$X$6:$X$3005,AA$5,請求記録!$AD$6:$AD$3005,"保留中")&gt;0,"保留",IF(COUNTIFS(請求記録!$B$6:$B$3005,$A179,請求記録!$X$6:$X$3005,AA$5)=0,"",SUMIFS(請求記録!$AC$6:$AC$3005,請求記録!$B$6:$B$3005,$A179,請求記録!$X$6:$X$3005,AA$5))))</f>
        <v/>
      </c>
      <c r="AB179">
        <f>IF(職員マスタ!P179="保留中",職員マスタ!M179,"")</f>
        <v/>
      </c>
    </row>
    <row r="180">
      <c r="A180">
        <f>IF(職員マスタ!A180="","",職員マスタ!A180)</f>
        <v/>
      </c>
      <c r="B180">
        <f>IF($A180="","",職員マスタ!B180)</f>
        <v/>
      </c>
      <c r="C180">
        <f>IF($A180="","",職員マスタ!C180)</f>
        <v/>
      </c>
      <c r="D180" s="19">
        <f>IF($A180="","",IF(COUNTIFS(請求記録!$B$6:$B$3005,$A180,請求記録!$X$6:$X$3005,D$5,請求記録!$AD$6:$AD$3005,"保留中")&gt;0,"保留",IF(COUNTIFS(請求記録!$B$6:$B$3005,$A180,請求記録!$X$6:$X$3005,D$5)=0,"",SUMIFS(請求記録!$AC$6:$AC$3005,請求記録!$B$6:$B$3005,$A180,請求記録!$X$6:$X$3005,D$5))))</f>
        <v/>
      </c>
      <c r="E180" s="19">
        <f>IF($A180="","",IF(COUNTIFS(請求記録!$B$6:$B$3005,$A180,請求記録!$X$6:$X$3005,E$5,請求記録!$AD$6:$AD$3005,"保留中")&gt;0,"保留",IF(COUNTIFS(請求記録!$B$6:$B$3005,$A180,請求記録!$X$6:$X$3005,E$5)=0,"",SUMIFS(請求記録!$AC$6:$AC$3005,請求記録!$B$6:$B$3005,$A180,請求記録!$X$6:$X$3005,E$5))))</f>
        <v/>
      </c>
      <c r="F180" s="19">
        <f>IF($A180="","",IF(COUNTIFS(請求記録!$B$6:$B$3005,$A180,請求記録!$X$6:$X$3005,F$5,請求記録!$AD$6:$AD$3005,"保留中")&gt;0,"保留",IF(COUNTIFS(請求記録!$B$6:$B$3005,$A180,請求記録!$X$6:$X$3005,F$5)=0,"",SUMIFS(請求記録!$AC$6:$AC$3005,請求記録!$B$6:$B$3005,$A180,請求記録!$X$6:$X$3005,F$5))))</f>
        <v/>
      </c>
      <c r="G180" s="19">
        <f>IF($A180="","",IF(COUNTIFS(請求記録!$B$6:$B$3005,$A180,請求記録!$X$6:$X$3005,G$5,請求記録!$AD$6:$AD$3005,"保留中")&gt;0,"保留",IF(COUNTIFS(請求記録!$B$6:$B$3005,$A180,請求記録!$X$6:$X$3005,G$5)=0,"",SUMIFS(請求記録!$AC$6:$AC$3005,請求記録!$B$6:$B$3005,$A180,請求記録!$X$6:$X$3005,G$5))))</f>
        <v/>
      </c>
      <c r="H180" s="19">
        <f>IF($A180="","",IF(COUNTIFS(請求記録!$B$6:$B$3005,$A180,請求記録!$X$6:$X$3005,H$5,請求記録!$AD$6:$AD$3005,"保留中")&gt;0,"保留",IF(COUNTIFS(請求記録!$B$6:$B$3005,$A180,請求記録!$X$6:$X$3005,H$5)=0,"",SUMIFS(請求記録!$AC$6:$AC$3005,請求記録!$B$6:$B$3005,$A180,請求記録!$X$6:$X$3005,H$5))))</f>
        <v/>
      </c>
      <c r="I180" s="19">
        <f>IF($A180="","",IF(COUNTIFS(請求記録!$B$6:$B$3005,$A180,請求記録!$X$6:$X$3005,I$5,請求記録!$AD$6:$AD$3005,"保留中")&gt;0,"保留",IF(COUNTIFS(請求記録!$B$6:$B$3005,$A180,請求記録!$X$6:$X$3005,I$5)=0,"",SUMIFS(請求記録!$AC$6:$AC$3005,請求記録!$B$6:$B$3005,$A180,請求記録!$X$6:$X$3005,I$5))))</f>
        <v/>
      </c>
      <c r="J180" s="19">
        <f>IF($A180="","",IF(COUNTIFS(請求記録!$B$6:$B$3005,$A180,請求記録!$X$6:$X$3005,J$5,請求記録!$AD$6:$AD$3005,"保留中")&gt;0,"保留",IF(COUNTIFS(請求記録!$B$6:$B$3005,$A180,請求記録!$X$6:$X$3005,J$5)=0,"",SUMIFS(請求記録!$AC$6:$AC$3005,請求記録!$B$6:$B$3005,$A180,請求記録!$X$6:$X$3005,J$5))))</f>
        <v/>
      </c>
      <c r="K180" s="19">
        <f>IF($A180="","",IF(COUNTIFS(請求記録!$B$6:$B$3005,$A180,請求記録!$X$6:$X$3005,K$5,請求記録!$AD$6:$AD$3005,"保留中")&gt;0,"保留",IF(COUNTIFS(請求記録!$B$6:$B$3005,$A180,請求記録!$X$6:$X$3005,K$5)=0,"",SUMIFS(請求記録!$AC$6:$AC$3005,請求記録!$B$6:$B$3005,$A180,請求記録!$X$6:$X$3005,K$5))))</f>
        <v/>
      </c>
      <c r="L180" s="19">
        <f>IF($A180="","",IF(COUNTIFS(請求記録!$B$6:$B$3005,$A180,請求記録!$X$6:$X$3005,L$5,請求記録!$AD$6:$AD$3005,"保留中")&gt;0,"保留",IF(COUNTIFS(請求記録!$B$6:$B$3005,$A180,請求記録!$X$6:$X$3005,L$5)=0,"",SUMIFS(請求記録!$AC$6:$AC$3005,請求記録!$B$6:$B$3005,$A180,請求記録!$X$6:$X$3005,L$5))))</f>
        <v/>
      </c>
      <c r="M180" s="19">
        <f>IF($A180="","",IF(COUNTIFS(請求記録!$B$6:$B$3005,$A180,請求記録!$X$6:$X$3005,M$5,請求記録!$AD$6:$AD$3005,"保留中")&gt;0,"保留",IF(COUNTIFS(請求記録!$B$6:$B$3005,$A180,請求記録!$X$6:$X$3005,M$5)=0,"",SUMIFS(請求記録!$AC$6:$AC$3005,請求記録!$B$6:$B$3005,$A180,請求記録!$X$6:$X$3005,M$5))))</f>
        <v/>
      </c>
      <c r="N180" s="19">
        <f>IF($A180="","",IF(COUNTIFS(請求記録!$B$6:$B$3005,$A180,請求記録!$X$6:$X$3005,N$5,請求記録!$AD$6:$AD$3005,"保留中")&gt;0,"保留",IF(COUNTIFS(請求記録!$B$6:$B$3005,$A180,請求記録!$X$6:$X$3005,N$5)=0,"",SUMIFS(請求記録!$AC$6:$AC$3005,請求記録!$B$6:$B$3005,$A180,請求記録!$X$6:$X$3005,N$5))))</f>
        <v/>
      </c>
      <c r="O180" s="19">
        <f>IF($A180="","",IF(COUNTIFS(請求記録!$B$6:$B$3005,$A180,請求記録!$X$6:$X$3005,O$5,請求記録!$AD$6:$AD$3005,"保留中")&gt;0,"保留",IF(COUNTIFS(請求記録!$B$6:$B$3005,$A180,請求記録!$X$6:$X$3005,O$5)=0,"",SUMIFS(請求記録!$AC$6:$AC$3005,請求記録!$B$6:$B$3005,$A180,請求記録!$X$6:$X$3005,O$5))))</f>
        <v/>
      </c>
      <c r="P180" s="19">
        <f>IF($A180="","",IF(COUNTIFS(請求記録!$B$6:$B$3005,$A180,請求記録!$X$6:$X$3005,P$5,請求記録!$AD$6:$AD$3005,"保留中")&gt;0,"保留",IF(COUNTIFS(請求記録!$B$6:$B$3005,$A180,請求記録!$X$6:$X$3005,P$5)=0,"",SUMIFS(請求記録!$AC$6:$AC$3005,請求記録!$B$6:$B$3005,$A180,請求記録!$X$6:$X$3005,P$5))))</f>
        <v/>
      </c>
      <c r="Q180" s="19">
        <f>IF($A180="","",IF(COUNTIFS(請求記録!$B$6:$B$3005,$A180,請求記録!$X$6:$X$3005,Q$5,請求記録!$AD$6:$AD$3005,"保留中")&gt;0,"保留",IF(COUNTIFS(請求記録!$B$6:$B$3005,$A180,請求記録!$X$6:$X$3005,Q$5)=0,"",SUMIFS(請求記録!$AC$6:$AC$3005,請求記録!$B$6:$B$3005,$A180,請求記録!$X$6:$X$3005,Q$5))))</f>
        <v/>
      </c>
      <c r="R180" s="19">
        <f>IF($A180="","",IF(COUNTIFS(請求記録!$B$6:$B$3005,$A180,請求記録!$X$6:$X$3005,R$5,請求記録!$AD$6:$AD$3005,"保留中")&gt;0,"保留",IF(COUNTIFS(請求記録!$B$6:$B$3005,$A180,請求記録!$X$6:$X$3005,R$5)=0,"",SUMIFS(請求記録!$AC$6:$AC$3005,請求記録!$B$6:$B$3005,$A180,請求記録!$X$6:$X$3005,R$5))))</f>
        <v/>
      </c>
      <c r="S180" s="19">
        <f>IF($A180="","",IF(COUNTIFS(請求記録!$B$6:$B$3005,$A180,請求記録!$X$6:$X$3005,S$5,請求記録!$AD$6:$AD$3005,"保留中")&gt;0,"保留",IF(COUNTIFS(請求記録!$B$6:$B$3005,$A180,請求記録!$X$6:$X$3005,S$5)=0,"",SUMIFS(請求記録!$AC$6:$AC$3005,請求記録!$B$6:$B$3005,$A180,請求記録!$X$6:$X$3005,S$5))))</f>
        <v/>
      </c>
      <c r="T180" s="19">
        <f>IF($A180="","",IF(COUNTIFS(請求記録!$B$6:$B$3005,$A180,請求記録!$X$6:$X$3005,T$5,請求記録!$AD$6:$AD$3005,"保留中")&gt;0,"保留",IF(COUNTIFS(請求記録!$B$6:$B$3005,$A180,請求記録!$X$6:$X$3005,T$5)=0,"",SUMIFS(請求記録!$AC$6:$AC$3005,請求記録!$B$6:$B$3005,$A180,請求記録!$X$6:$X$3005,T$5))))</f>
        <v/>
      </c>
      <c r="U180" s="19">
        <f>IF($A180="","",IF(COUNTIFS(請求記録!$B$6:$B$3005,$A180,請求記録!$X$6:$X$3005,U$5,請求記録!$AD$6:$AD$3005,"保留中")&gt;0,"保留",IF(COUNTIFS(請求記録!$B$6:$B$3005,$A180,請求記録!$X$6:$X$3005,U$5)=0,"",SUMIFS(請求記録!$AC$6:$AC$3005,請求記録!$B$6:$B$3005,$A180,請求記録!$X$6:$X$3005,U$5))))</f>
        <v/>
      </c>
      <c r="V180" s="19">
        <f>IF($A180="","",IF(COUNTIFS(請求記録!$B$6:$B$3005,$A180,請求記録!$X$6:$X$3005,V$5,請求記録!$AD$6:$AD$3005,"保留中")&gt;0,"保留",IF(COUNTIFS(請求記録!$B$6:$B$3005,$A180,請求記録!$X$6:$X$3005,V$5)=0,"",SUMIFS(請求記録!$AC$6:$AC$3005,請求記録!$B$6:$B$3005,$A180,請求記録!$X$6:$X$3005,V$5))))</f>
        <v/>
      </c>
      <c r="W180" s="19">
        <f>IF($A180="","",IF(COUNTIFS(請求記録!$B$6:$B$3005,$A180,請求記録!$X$6:$X$3005,W$5,請求記録!$AD$6:$AD$3005,"保留中")&gt;0,"保留",IF(COUNTIFS(請求記録!$B$6:$B$3005,$A180,請求記録!$X$6:$X$3005,W$5)=0,"",SUMIFS(請求記録!$AC$6:$AC$3005,請求記録!$B$6:$B$3005,$A180,請求記録!$X$6:$X$3005,W$5))))</f>
        <v/>
      </c>
      <c r="X180" s="19">
        <f>IF($A180="","",IF(COUNTIFS(請求記録!$B$6:$B$3005,$A180,請求記録!$X$6:$X$3005,X$5,請求記録!$AD$6:$AD$3005,"保留中")&gt;0,"保留",IF(COUNTIFS(請求記録!$B$6:$B$3005,$A180,請求記録!$X$6:$X$3005,X$5)=0,"",SUMIFS(請求記録!$AC$6:$AC$3005,請求記録!$B$6:$B$3005,$A180,請求記録!$X$6:$X$3005,X$5))))</f>
        <v/>
      </c>
      <c r="Y180" s="19">
        <f>IF($A180="","",IF(COUNTIFS(請求記録!$B$6:$B$3005,$A180,請求記録!$X$6:$X$3005,Y$5,請求記録!$AD$6:$AD$3005,"保留中")&gt;0,"保留",IF(COUNTIFS(請求記録!$B$6:$B$3005,$A180,請求記録!$X$6:$X$3005,Y$5)=0,"",SUMIFS(請求記録!$AC$6:$AC$3005,請求記録!$B$6:$B$3005,$A180,請求記録!$X$6:$X$3005,Y$5))))</f>
        <v/>
      </c>
      <c r="Z180" s="19">
        <f>IF($A180="","",IF(COUNTIFS(請求記録!$B$6:$B$3005,$A180,請求記録!$X$6:$X$3005,Z$5,請求記録!$AD$6:$AD$3005,"保留中")&gt;0,"保留",IF(COUNTIFS(請求記録!$B$6:$B$3005,$A180,請求記録!$X$6:$X$3005,Z$5)=0,"",SUMIFS(請求記録!$AC$6:$AC$3005,請求記録!$B$6:$B$3005,$A180,請求記録!$X$6:$X$3005,Z$5))))</f>
        <v/>
      </c>
      <c r="AA180" s="19">
        <f>IF($A180="","",IF(COUNTIFS(請求記録!$B$6:$B$3005,$A180,請求記録!$X$6:$X$3005,AA$5,請求記録!$AD$6:$AD$3005,"保留中")&gt;0,"保留",IF(COUNTIFS(請求記録!$B$6:$B$3005,$A180,請求記録!$X$6:$X$3005,AA$5)=0,"",SUMIFS(請求記録!$AC$6:$AC$3005,請求記録!$B$6:$B$3005,$A180,請求記録!$X$6:$X$3005,AA$5))))</f>
        <v/>
      </c>
      <c r="AB180">
        <f>IF(職員マスタ!P180="保留中",職員マスタ!M180,"")</f>
        <v/>
      </c>
    </row>
    <row r="181">
      <c r="A181">
        <f>IF(職員マスタ!A181="","",職員マスタ!A181)</f>
        <v/>
      </c>
      <c r="B181">
        <f>IF($A181="","",職員マスタ!B181)</f>
        <v/>
      </c>
      <c r="C181">
        <f>IF($A181="","",職員マスタ!C181)</f>
        <v/>
      </c>
      <c r="D181" s="19">
        <f>IF($A181="","",IF(COUNTIFS(請求記録!$B$6:$B$3005,$A181,請求記録!$X$6:$X$3005,D$5,請求記録!$AD$6:$AD$3005,"保留中")&gt;0,"保留",IF(COUNTIFS(請求記録!$B$6:$B$3005,$A181,請求記録!$X$6:$X$3005,D$5)=0,"",SUMIFS(請求記録!$AC$6:$AC$3005,請求記録!$B$6:$B$3005,$A181,請求記録!$X$6:$X$3005,D$5))))</f>
        <v/>
      </c>
      <c r="E181" s="19">
        <f>IF($A181="","",IF(COUNTIFS(請求記録!$B$6:$B$3005,$A181,請求記録!$X$6:$X$3005,E$5,請求記録!$AD$6:$AD$3005,"保留中")&gt;0,"保留",IF(COUNTIFS(請求記録!$B$6:$B$3005,$A181,請求記録!$X$6:$X$3005,E$5)=0,"",SUMIFS(請求記録!$AC$6:$AC$3005,請求記録!$B$6:$B$3005,$A181,請求記録!$X$6:$X$3005,E$5))))</f>
        <v/>
      </c>
      <c r="F181" s="19">
        <f>IF($A181="","",IF(COUNTIFS(請求記録!$B$6:$B$3005,$A181,請求記録!$X$6:$X$3005,F$5,請求記録!$AD$6:$AD$3005,"保留中")&gt;0,"保留",IF(COUNTIFS(請求記録!$B$6:$B$3005,$A181,請求記録!$X$6:$X$3005,F$5)=0,"",SUMIFS(請求記録!$AC$6:$AC$3005,請求記録!$B$6:$B$3005,$A181,請求記録!$X$6:$X$3005,F$5))))</f>
        <v/>
      </c>
      <c r="G181" s="19">
        <f>IF($A181="","",IF(COUNTIFS(請求記録!$B$6:$B$3005,$A181,請求記録!$X$6:$X$3005,G$5,請求記録!$AD$6:$AD$3005,"保留中")&gt;0,"保留",IF(COUNTIFS(請求記録!$B$6:$B$3005,$A181,請求記録!$X$6:$X$3005,G$5)=0,"",SUMIFS(請求記録!$AC$6:$AC$3005,請求記録!$B$6:$B$3005,$A181,請求記録!$X$6:$X$3005,G$5))))</f>
        <v/>
      </c>
      <c r="H181" s="19">
        <f>IF($A181="","",IF(COUNTIFS(請求記録!$B$6:$B$3005,$A181,請求記録!$X$6:$X$3005,H$5,請求記録!$AD$6:$AD$3005,"保留中")&gt;0,"保留",IF(COUNTIFS(請求記録!$B$6:$B$3005,$A181,請求記録!$X$6:$X$3005,H$5)=0,"",SUMIFS(請求記録!$AC$6:$AC$3005,請求記録!$B$6:$B$3005,$A181,請求記録!$X$6:$X$3005,H$5))))</f>
        <v/>
      </c>
      <c r="I181" s="19">
        <f>IF($A181="","",IF(COUNTIFS(請求記録!$B$6:$B$3005,$A181,請求記録!$X$6:$X$3005,I$5,請求記録!$AD$6:$AD$3005,"保留中")&gt;0,"保留",IF(COUNTIFS(請求記録!$B$6:$B$3005,$A181,請求記録!$X$6:$X$3005,I$5)=0,"",SUMIFS(請求記録!$AC$6:$AC$3005,請求記録!$B$6:$B$3005,$A181,請求記録!$X$6:$X$3005,I$5))))</f>
        <v/>
      </c>
      <c r="J181" s="19">
        <f>IF($A181="","",IF(COUNTIFS(請求記録!$B$6:$B$3005,$A181,請求記録!$X$6:$X$3005,J$5,請求記録!$AD$6:$AD$3005,"保留中")&gt;0,"保留",IF(COUNTIFS(請求記録!$B$6:$B$3005,$A181,請求記録!$X$6:$X$3005,J$5)=0,"",SUMIFS(請求記録!$AC$6:$AC$3005,請求記録!$B$6:$B$3005,$A181,請求記録!$X$6:$X$3005,J$5))))</f>
        <v/>
      </c>
      <c r="K181" s="19">
        <f>IF($A181="","",IF(COUNTIFS(請求記録!$B$6:$B$3005,$A181,請求記録!$X$6:$X$3005,K$5,請求記録!$AD$6:$AD$3005,"保留中")&gt;0,"保留",IF(COUNTIFS(請求記録!$B$6:$B$3005,$A181,請求記録!$X$6:$X$3005,K$5)=0,"",SUMIFS(請求記録!$AC$6:$AC$3005,請求記録!$B$6:$B$3005,$A181,請求記録!$X$6:$X$3005,K$5))))</f>
        <v/>
      </c>
      <c r="L181" s="19">
        <f>IF($A181="","",IF(COUNTIFS(請求記録!$B$6:$B$3005,$A181,請求記録!$X$6:$X$3005,L$5,請求記録!$AD$6:$AD$3005,"保留中")&gt;0,"保留",IF(COUNTIFS(請求記録!$B$6:$B$3005,$A181,請求記録!$X$6:$X$3005,L$5)=0,"",SUMIFS(請求記録!$AC$6:$AC$3005,請求記録!$B$6:$B$3005,$A181,請求記録!$X$6:$X$3005,L$5))))</f>
        <v/>
      </c>
      <c r="M181" s="19">
        <f>IF($A181="","",IF(COUNTIFS(請求記録!$B$6:$B$3005,$A181,請求記録!$X$6:$X$3005,M$5,請求記録!$AD$6:$AD$3005,"保留中")&gt;0,"保留",IF(COUNTIFS(請求記録!$B$6:$B$3005,$A181,請求記録!$X$6:$X$3005,M$5)=0,"",SUMIFS(請求記録!$AC$6:$AC$3005,請求記録!$B$6:$B$3005,$A181,請求記録!$X$6:$X$3005,M$5))))</f>
        <v/>
      </c>
      <c r="N181" s="19">
        <f>IF($A181="","",IF(COUNTIFS(請求記録!$B$6:$B$3005,$A181,請求記録!$X$6:$X$3005,N$5,請求記録!$AD$6:$AD$3005,"保留中")&gt;0,"保留",IF(COUNTIFS(請求記録!$B$6:$B$3005,$A181,請求記録!$X$6:$X$3005,N$5)=0,"",SUMIFS(請求記録!$AC$6:$AC$3005,請求記録!$B$6:$B$3005,$A181,請求記録!$X$6:$X$3005,N$5))))</f>
        <v/>
      </c>
      <c r="O181" s="19">
        <f>IF($A181="","",IF(COUNTIFS(請求記録!$B$6:$B$3005,$A181,請求記録!$X$6:$X$3005,O$5,請求記録!$AD$6:$AD$3005,"保留中")&gt;0,"保留",IF(COUNTIFS(請求記録!$B$6:$B$3005,$A181,請求記録!$X$6:$X$3005,O$5)=0,"",SUMIFS(請求記録!$AC$6:$AC$3005,請求記録!$B$6:$B$3005,$A181,請求記録!$X$6:$X$3005,O$5))))</f>
        <v/>
      </c>
      <c r="P181" s="19">
        <f>IF($A181="","",IF(COUNTIFS(請求記録!$B$6:$B$3005,$A181,請求記録!$X$6:$X$3005,P$5,請求記録!$AD$6:$AD$3005,"保留中")&gt;0,"保留",IF(COUNTIFS(請求記録!$B$6:$B$3005,$A181,請求記録!$X$6:$X$3005,P$5)=0,"",SUMIFS(請求記録!$AC$6:$AC$3005,請求記録!$B$6:$B$3005,$A181,請求記録!$X$6:$X$3005,P$5))))</f>
        <v/>
      </c>
      <c r="Q181" s="19">
        <f>IF($A181="","",IF(COUNTIFS(請求記録!$B$6:$B$3005,$A181,請求記録!$X$6:$X$3005,Q$5,請求記録!$AD$6:$AD$3005,"保留中")&gt;0,"保留",IF(COUNTIFS(請求記録!$B$6:$B$3005,$A181,請求記録!$X$6:$X$3005,Q$5)=0,"",SUMIFS(請求記録!$AC$6:$AC$3005,請求記録!$B$6:$B$3005,$A181,請求記録!$X$6:$X$3005,Q$5))))</f>
        <v/>
      </c>
      <c r="R181" s="19">
        <f>IF($A181="","",IF(COUNTIFS(請求記録!$B$6:$B$3005,$A181,請求記録!$X$6:$X$3005,R$5,請求記録!$AD$6:$AD$3005,"保留中")&gt;0,"保留",IF(COUNTIFS(請求記録!$B$6:$B$3005,$A181,請求記録!$X$6:$X$3005,R$5)=0,"",SUMIFS(請求記録!$AC$6:$AC$3005,請求記録!$B$6:$B$3005,$A181,請求記録!$X$6:$X$3005,R$5))))</f>
        <v/>
      </c>
      <c r="S181" s="19">
        <f>IF($A181="","",IF(COUNTIFS(請求記録!$B$6:$B$3005,$A181,請求記録!$X$6:$X$3005,S$5,請求記録!$AD$6:$AD$3005,"保留中")&gt;0,"保留",IF(COUNTIFS(請求記録!$B$6:$B$3005,$A181,請求記録!$X$6:$X$3005,S$5)=0,"",SUMIFS(請求記録!$AC$6:$AC$3005,請求記録!$B$6:$B$3005,$A181,請求記録!$X$6:$X$3005,S$5))))</f>
        <v/>
      </c>
      <c r="T181" s="19">
        <f>IF($A181="","",IF(COUNTIFS(請求記録!$B$6:$B$3005,$A181,請求記録!$X$6:$X$3005,T$5,請求記録!$AD$6:$AD$3005,"保留中")&gt;0,"保留",IF(COUNTIFS(請求記録!$B$6:$B$3005,$A181,請求記録!$X$6:$X$3005,T$5)=0,"",SUMIFS(請求記録!$AC$6:$AC$3005,請求記録!$B$6:$B$3005,$A181,請求記録!$X$6:$X$3005,T$5))))</f>
        <v/>
      </c>
      <c r="U181" s="19">
        <f>IF($A181="","",IF(COUNTIFS(請求記録!$B$6:$B$3005,$A181,請求記録!$X$6:$X$3005,U$5,請求記録!$AD$6:$AD$3005,"保留中")&gt;0,"保留",IF(COUNTIFS(請求記録!$B$6:$B$3005,$A181,請求記録!$X$6:$X$3005,U$5)=0,"",SUMIFS(請求記録!$AC$6:$AC$3005,請求記録!$B$6:$B$3005,$A181,請求記録!$X$6:$X$3005,U$5))))</f>
        <v/>
      </c>
      <c r="V181" s="19">
        <f>IF($A181="","",IF(COUNTIFS(請求記録!$B$6:$B$3005,$A181,請求記録!$X$6:$X$3005,V$5,請求記録!$AD$6:$AD$3005,"保留中")&gt;0,"保留",IF(COUNTIFS(請求記録!$B$6:$B$3005,$A181,請求記録!$X$6:$X$3005,V$5)=0,"",SUMIFS(請求記録!$AC$6:$AC$3005,請求記録!$B$6:$B$3005,$A181,請求記録!$X$6:$X$3005,V$5))))</f>
        <v/>
      </c>
      <c r="W181" s="19">
        <f>IF($A181="","",IF(COUNTIFS(請求記録!$B$6:$B$3005,$A181,請求記録!$X$6:$X$3005,W$5,請求記録!$AD$6:$AD$3005,"保留中")&gt;0,"保留",IF(COUNTIFS(請求記録!$B$6:$B$3005,$A181,請求記録!$X$6:$X$3005,W$5)=0,"",SUMIFS(請求記録!$AC$6:$AC$3005,請求記録!$B$6:$B$3005,$A181,請求記録!$X$6:$X$3005,W$5))))</f>
        <v/>
      </c>
      <c r="X181" s="19">
        <f>IF($A181="","",IF(COUNTIFS(請求記録!$B$6:$B$3005,$A181,請求記録!$X$6:$X$3005,X$5,請求記録!$AD$6:$AD$3005,"保留中")&gt;0,"保留",IF(COUNTIFS(請求記録!$B$6:$B$3005,$A181,請求記録!$X$6:$X$3005,X$5)=0,"",SUMIFS(請求記録!$AC$6:$AC$3005,請求記録!$B$6:$B$3005,$A181,請求記録!$X$6:$X$3005,X$5))))</f>
        <v/>
      </c>
      <c r="Y181" s="19">
        <f>IF($A181="","",IF(COUNTIFS(請求記録!$B$6:$B$3005,$A181,請求記録!$X$6:$X$3005,Y$5,請求記録!$AD$6:$AD$3005,"保留中")&gt;0,"保留",IF(COUNTIFS(請求記録!$B$6:$B$3005,$A181,請求記録!$X$6:$X$3005,Y$5)=0,"",SUMIFS(請求記録!$AC$6:$AC$3005,請求記録!$B$6:$B$3005,$A181,請求記録!$X$6:$X$3005,Y$5))))</f>
        <v/>
      </c>
      <c r="Z181" s="19">
        <f>IF($A181="","",IF(COUNTIFS(請求記録!$B$6:$B$3005,$A181,請求記録!$X$6:$X$3005,Z$5,請求記録!$AD$6:$AD$3005,"保留中")&gt;0,"保留",IF(COUNTIFS(請求記録!$B$6:$B$3005,$A181,請求記録!$X$6:$X$3005,Z$5)=0,"",SUMIFS(請求記録!$AC$6:$AC$3005,請求記録!$B$6:$B$3005,$A181,請求記録!$X$6:$X$3005,Z$5))))</f>
        <v/>
      </c>
      <c r="AA181" s="19">
        <f>IF($A181="","",IF(COUNTIFS(請求記録!$B$6:$B$3005,$A181,請求記録!$X$6:$X$3005,AA$5,請求記録!$AD$6:$AD$3005,"保留中")&gt;0,"保留",IF(COUNTIFS(請求記録!$B$6:$B$3005,$A181,請求記録!$X$6:$X$3005,AA$5)=0,"",SUMIFS(請求記録!$AC$6:$AC$3005,請求記録!$B$6:$B$3005,$A181,請求記録!$X$6:$X$3005,AA$5))))</f>
        <v/>
      </c>
      <c r="AB181">
        <f>IF(職員マスタ!P181="保留中",職員マスタ!M181,"")</f>
        <v/>
      </c>
    </row>
    <row r="182">
      <c r="A182">
        <f>IF(職員マスタ!A182="","",職員マスタ!A182)</f>
        <v/>
      </c>
      <c r="B182">
        <f>IF($A182="","",職員マスタ!B182)</f>
        <v/>
      </c>
      <c r="C182">
        <f>IF($A182="","",職員マスタ!C182)</f>
        <v/>
      </c>
      <c r="D182" s="19">
        <f>IF($A182="","",IF(COUNTIFS(請求記録!$B$6:$B$3005,$A182,請求記録!$X$6:$X$3005,D$5,請求記録!$AD$6:$AD$3005,"保留中")&gt;0,"保留",IF(COUNTIFS(請求記録!$B$6:$B$3005,$A182,請求記録!$X$6:$X$3005,D$5)=0,"",SUMIFS(請求記録!$AC$6:$AC$3005,請求記録!$B$6:$B$3005,$A182,請求記録!$X$6:$X$3005,D$5))))</f>
        <v/>
      </c>
      <c r="E182" s="19">
        <f>IF($A182="","",IF(COUNTIFS(請求記録!$B$6:$B$3005,$A182,請求記録!$X$6:$X$3005,E$5,請求記録!$AD$6:$AD$3005,"保留中")&gt;0,"保留",IF(COUNTIFS(請求記録!$B$6:$B$3005,$A182,請求記録!$X$6:$X$3005,E$5)=0,"",SUMIFS(請求記録!$AC$6:$AC$3005,請求記録!$B$6:$B$3005,$A182,請求記録!$X$6:$X$3005,E$5))))</f>
        <v/>
      </c>
      <c r="F182" s="19">
        <f>IF($A182="","",IF(COUNTIFS(請求記録!$B$6:$B$3005,$A182,請求記録!$X$6:$X$3005,F$5,請求記録!$AD$6:$AD$3005,"保留中")&gt;0,"保留",IF(COUNTIFS(請求記録!$B$6:$B$3005,$A182,請求記録!$X$6:$X$3005,F$5)=0,"",SUMIFS(請求記録!$AC$6:$AC$3005,請求記録!$B$6:$B$3005,$A182,請求記録!$X$6:$X$3005,F$5))))</f>
        <v/>
      </c>
      <c r="G182" s="19">
        <f>IF($A182="","",IF(COUNTIFS(請求記録!$B$6:$B$3005,$A182,請求記録!$X$6:$X$3005,G$5,請求記録!$AD$6:$AD$3005,"保留中")&gt;0,"保留",IF(COUNTIFS(請求記録!$B$6:$B$3005,$A182,請求記録!$X$6:$X$3005,G$5)=0,"",SUMIFS(請求記録!$AC$6:$AC$3005,請求記録!$B$6:$B$3005,$A182,請求記録!$X$6:$X$3005,G$5))))</f>
        <v/>
      </c>
      <c r="H182" s="19">
        <f>IF($A182="","",IF(COUNTIFS(請求記録!$B$6:$B$3005,$A182,請求記録!$X$6:$X$3005,H$5,請求記録!$AD$6:$AD$3005,"保留中")&gt;0,"保留",IF(COUNTIFS(請求記録!$B$6:$B$3005,$A182,請求記録!$X$6:$X$3005,H$5)=0,"",SUMIFS(請求記録!$AC$6:$AC$3005,請求記録!$B$6:$B$3005,$A182,請求記録!$X$6:$X$3005,H$5))))</f>
        <v/>
      </c>
      <c r="I182" s="19">
        <f>IF($A182="","",IF(COUNTIFS(請求記録!$B$6:$B$3005,$A182,請求記録!$X$6:$X$3005,I$5,請求記録!$AD$6:$AD$3005,"保留中")&gt;0,"保留",IF(COUNTIFS(請求記録!$B$6:$B$3005,$A182,請求記録!$X$6:$X$3005,I$5)=0,"",SUMIFS(請求記録!$AC$6:$AC$3005,請求記録!$B$6:$B$3005,$A182,請求記録!$X$6:$X$3005,I$5))))</f>
        <v/>
      </c>
      <c r="J182" s="19">
        <f>IF($A182="","",IF(COUNTIFS(請求記録!$B$6:$B$3005,$A182,請求記録!$X$6:$X$3005,J$5,請求記録!$AD$6:$AD$3005,"保留中")&gt;0,"保留",IF(COUNTIFS(請求記録!$B$6:$B$3005,$A182,請求記録!$X$6:$X$3005,J$5)=0,"",SUMIFS(請求記録!$AC$6:$AC$3005,請求記録!$B$6:$B$3005,$A182,請求記録!$X$6:$X$3005,J$5))))</f>
        <v/>
      </c>
      <c r="K182" s="19">
        <f>IF($A182="","",IF(COUNTIFS(請求記録!$B$6:$B$3005,$A182,請求記録!$X$6:$X$3005,K$5,請求記録!$AD$6:$AD$3005,"保留中")&gt;0,"保留",IF(COUNTIFS(請求記録!$B$6:$B$3005,$A182,請求記録!$X$6:$X$3005,K$5)=0,"",SUMIFS(請求記録!$AC$6:$AC$3005,請求記録!$B$6:$B$3005,$A182,請求記録!$X$6:$X$3005,K$5))))</f>
        <v/>
      </c>
      <c r="L182" s="19">
        <f>IF($A182="","",IF(COUNTIFS(請求記録!$B$6:$B$3005,$A182,請求記録!$X$6:$X$3005,L$5,請求記録!$AD$6:$AD$3005,"保留中")&gt;0,"保留",IF(COUNTIFS(請求記録!$B$6:$B$3005,$A182,請求記録!$X$6:$X$3005,L$5)=0,"",SUMIFS(請求記録!$AC$6:$AC$3005,請求記録!$B$6:$B$3005,$A182,請求記録!$X$6:$X$3005,L$5))))</f>
        <v/>
      </c>
      <c r="M182" s="19">
        <f>IF($A182="","",IF(COUNTIFS(請求記録!$B$6:$B$3005,$A182,請求記録!$X$6:$X$3005,M$5,請求記録!$AD$6:$AD$3005,"保留中")&gt;0,"保留",IF(COUNTIFS(請求記録!$B$6:$B$3005,$A182,請求記録!$X$6:$X$3005,M$5)=0,"",SUMIFS(請求記録!$AC$6:$AC$3005,請求記録!$B$6:$B$3005,$A182,請求記録!$X$6:$X$3005,M$5))))</f>
        <v/>
      </c>
      <c r="N182" s="19">
        <f>IF($A182="","",IF(COUNTIFS(請求記録!$B$6:$B$3005,$A182,請求記録!$X$6:$X$3005,N$5,請求記録!$AD$6:$AD$3005,"保留中")&gt;0,"保留",IF(COUNTIFS(請求記録!$B$6:$B$3005,$A182,請求記録!$X$6:$X$3005,N$5)=0,"",SUMIFS(請求記録!$AC$6:$AC$3005,請求記録!$B$6:$B$3005,$A182,請求記録!$X$6:$X$3005,N$5))))</f>
        <v/>
      </c>
      <c r="O182" s="19">
        <f>IF($A182="","",IF(COUNTIFS(請求記録!$B$6:$B$3005,$A182,請求記録!$X$6:$X$3005,O$5,請求記録!$AD$6:$AD$3005,"保留中")&gt;0,"保留",IF(COUNTIFS(請求記録!$B$6:$B$3005,$A182,請求記録!$X$6:$X$3005,O$5)=0,"",SUMIFS(請求記録!$AC$6:$AC$3005,請求記録!$B$6:$B$3005,$A182,請求記録!$X$6:$X$3005,O$5))))</f>
        <v/>
      </c>
      <c r="P182" s="19">
        <f>IF($A182="","",IF(COUNTIFS(請求記録!$B$6:$B$3005,$A182,請求記録!$X$6:$X$3005,P$5,請求記録!$AD$6:$AD$3005,"保留中")&gt;0,"保留",IF(COUNTIFS(請求記録!$B$6:$B$3005,$A182,請求記録!$X$6:$X$3005,P$5)=0,"",SUMIFS(請求記録!$AC$6:$AC$3005,請求記録!$B$6:$B$3005,$A182,請求記録!$X$6:$X$3005,P$5))))</f>
        <v/>
      </c>
      <c r="Q182" s="19">
        <f>IF($A182="","",IF(COUNTIFS(請求記録!$B$6:$B$3005,$A182,請求記録!$X$6:$X$3005,Q$5,請求記録!$AD$6:$AD$3005,"保留中")&gt;0,"保留",IF(COUNTIFS(請求記録!$B$6:$B$3005,$A182,請求記録!$X$6:$X$3005,Q$5)=0,"",SUMIFS(請求記録!$AC$6:$AC$3005,請求記録!$B$6:$B$3005,$A182,請求記録!$X$6:$X$3005,Q$5))))</f>
        <v/>
      </c>
      <c r="R182" s="19">
        <f>IF($A182="","",IF(COUNTIFS(請求記録!$B$6:$B$3005,$A182,請求記録!$X$6:$X$3005,R$5,請求記録!$AD$6:$AD$3005,"保留中")&gt;0,"保留",IF(COUNTIFS(請求記録!$B$6:$B$3005,$A182,請求記録!$X$6:$X$3005,R$5)=0,"",SUMIFS(請求記録!$AC$6:$AC$3005,請求記録!$B$6:$B$3005,$A182,請求記録!$X$6:$X$3005,R$5))))</f>
        <v/>
      </c>
      <c r="S182" s="19">
        <f>IF($A182="","",IF(COUNTIFS(請求記録!$B$6:$B$3005,$A182,請求記録!$X$6:$X$3005,S$5,請求記録!$AD$6:$AD$3005,"保留中")&gt;0,"保留",IF(COUNTIFS(請求記録!$B$6:$B$3005,$A182,請求記録!$X$6:$X$3005,S$5)=0,"",SUMIFS(請求記録!$AC$6:$AC$3005,請求記録!$B$6:$B$3005,$A182,請求記録!$X$6:$X$3005,S$5))))</f>
        <v/>
      </c>
      <c r="T182" s="19">
        <f>IF($A182="","",IF(COUNTIFS(請求記録!$B$6:$B$3005,$A182,請求記録!$X$6:$X$3005,T$5,請求記録!$AD$6:$AD$3005,"保留中")&gt;0,"保留",IF(COUNTIFS(請求記録!$B$6:$B$3005,$A182,請求記録!$X$6:$X$3005,T$5)=0,"",SUMIFS(請求記録!$AC$6:$AC$3005,請求記録!$B$6:$B$3005,$A182,請求記録!$X$6:$X$3005,T$5))))</f>
        <v/>
      </c>
      <c r="U182" s="19">
        <f>IF($A182="","",IF(COUNTIFS(請求記録!$B$6:$B$3005,$A182,請求記録!$X$6:$X$3005,U$5,請求記録!$AD$6:$AD$3005,"保留中")&gt;0,"保留",IF(COUNTIFS(請求記録!$B$6:$B$3005,$A182,請求記録!$X$6:$X$3005,U$5)=0,"",SUMIFS(請求記録!$AC$6:$AC$3005,請求記録!$B$6:$B$3005,$A182,請求記録!$X$6:$X$3005,U$5))))</f>
        <v/>
      </c>
      <c r="V182" s="19">
        <f>IF($A182="","",IF(COUNTIFS(請求記録!$B$6:$B$3005,$A182,請求記録!$X$6:$X$3005,V$5,請求記録!$AD$6:$AD$3005,"保留中")&gt;0,"保留",IF(COUNTIFS(請求記録!$B$6:$B$3005,$A182,請求記録!$X$6:$X$3005,V$5)=0,"",SUMIFS(請求記録!$AC$6:$AC$3005,請求記録!$B$6:$B$3005,$A182,請求記録!$X$6:$X$3005,V$5))))</f>
        <v/>
      </c>
      <c r="W182" s="19">
        <f>IF($A182="","",IF(COUNTIFS(請求記録!$B$6:$B$3005,$A182,請求記録!$X$6:$X$3005,W$5,請求記録!$AD$6:$AD$3005,"保留中")&gt;0,"保留",IF(COUNTIFS(請求記録!$B$6:$B$3005,$A182,請求記録!$X$6:$X$3005,W$5)=0,"",SUMIFS(請求記録!$AC$6:$AC$3005,請求記録!$B$6:$B$3005,$A182,請求記録!$X$6:$X$3005,W$5))))</f>
        <v/>
      </c>
      <c r="X182" s="19">
        <f>IF($A182="","",IF(COUNTIFS(請求記録!$B$6:$B$3005,$A182,請求記録!$X$6:$X$3005,X$5,請求記録!$AD$6:$AD$3005,"保留中")&gt;0,"保留",IF(COUNTIFS(請求記録!$B$6:$B$3005,$A182,請求記録!$X$6:$X$3005,X$5)=0,"",SUMIFS(請求記録!$AC$6:$AC$3005,請求記録!$B$6:$B$3005,$A182,請求記録!$X$6:$X$3005,X$5))))</f>
        <v/>
      </c>
      <c r="Y182" s="19">
        <f>IF($A182="","",IF(COUNTIFS(請求記録!$B$6:$B$3005,$A182,請求記録!$X$6:$X$3005,Y$5,請求記録!$AD$6:$AD$3005,"保留中")&gt;0,"保留",IF(COUNTIFS(請求記録!$B$6:$B$3005,$A182,請求記録!$X$6:$X$3005,Y$5)=0,"",SUMIFS(請求記録!$AC$6:$AC$3005,請求記録!$B$6:$B$3005,$A182,請求記録!$X$6:$X$3005,Y$5))))</f>
        <v/>
      </c>
      <c r="Z182" s="19">
        <f>IF($A182="","",IF(COUNTIFS(請求記録!$B$6:$B$3005,$A182,請求記録!$X$6:$X$3005,Z$5,請求記録!$AD$6:$AD$3005,"保留中")&gt;0,"保留",IF(COUNTIFS(請求記録!$B$6:$B$3005,$A182,請求記録!$X$6:$X$3005,Z$5)=0,"",SUMIFS(請求記録!$AC$6:$AC$3005,請求記録!$B$6:$B$3005,$A182,請求記録!$X$6:$X$3005,Z$5))))</f>
        <v/>
      </c>
      <c r="AA182" s="19">
        <f>IF($A182="","",IF(COUNTIFS(請求記録!$B$6:$B$3005,$A182,請求記録!$X$6:$X$3005,AA$5,請求記録!$AD$6:$AD$3005,"保留中")&gt;0,"保留",IF(COUNTIFS(請求記録!$B$6:$B$3005,$A182,請求記録!$X$6:$X$3005,AA$5)=0,"",SUMIFS(請求記録!$AC$6:$AC$3005,請求記録!$B$6:$B$3005,$A182,請求記録!$X$6:$X$3005,AA$5))))</f>
        <v/>
      </c>
      <c r="AB182">
        <f>IF(職員マスタ!P182="保留中",職員マスタ!M182,"")</f>
        <v/>
      </c>
    </row>
    <row r="183">
      <c r="A183">
        <f>IF(職員マスタ!A183="","",職員マスタ!A183)</f>
        <v/>
      </c>
      <c r="B183">
        <f>IF($A183="","",職員マスタ!B183)</f>
        <v/>
      </c>
      <c r="C183">
        <f>IF($A183="","",職員マスタ!C183)</f>
        <v/>
      </c>
      <c r="D183" s="19">
        <f>IF($A183="","",IF(COUNTIFS(請求記録!$B$6:$B$3005,$A183,請求記録!$X$6:$X$3005,D$5,請求記録!$AD$6:$AD$3005,"保留中")&gt;0,"保留",IF(COUNTIFS(請求記録!$B$6:$B$3005,$A183,請求記録!$X$6:$X$3005,D$5)=0,"",SUMIFS(請求記録!$AC$6:$AC$3005,請求記録!$B$6:$B$3005,$A183,請求記録!$X$6:$X$3005,D$5))))</f>
        <v/>
      </c>
      <c r="E183" s="19">
        <f>IF($A183="","",IF(COUNTIFS(請求記録!$B$6:$B$3005,$A183,請求記録!$X$6:$X$3005,E$5,請求記録!$AD$6:$AD$3005,"保留中")&gt;0,"保留",IF(COUNTIFS(請求記録!$B$6:$B$3005,$A183,請求記録!$X$6:$X$3005,E$5)=0,"",SUMIFS(請求記録!$AC$6:$AC$3005,請求記録!$B$6:$B$3005,$A183,請求記録!$X$6:$X$3005,E$5))))</f>
        <v/>
      </c>
      <c r="F183" s="19">
        <f>IF($A183="","",IF(COUNTIFS(請求記録!$B$6:$B$3005,$A183,請求記録!$X$6:$X$3005,F$5,請求記録!$AD$6:$AD$3005,"保留中")&gt;0,"保留",IF(COUNTIFS(請求記録!$B$6:$B$3005,$A183,請求記録!$X$6:$X$3005,F$5)=0,"",SUMIFS(請求記録!$AC$6:$AC$3005,請求記録!$B$6:$B$3005,$A183,請求記録!$X$6:$X$3005,F$5))))</f>
        <v/>
      </c>
      <c r="G183" s="19">
        <f>IF($A183="","",IF(COUNTIFS(請求記録!$B$6:$B$3005,$A183,請求記録!$X$6:$X$3005,G$5,請求記録!$AD$6:$AD$3005,"保留中")&gt;0,"保留",IF(COUNTIFS(請求記録!$B$6:$B$3005,$A183,請求記録!$X$6:$X$3005,G$5)=0,"",SUMIFS(請求記録!$AC$6:$AC$3005,請求記録!$B$6:$B$3005,$A183,請求記録!$X$6:$X$3005,G$5))))</f>
        <v/>
      </c>
      <c r="H183" s="19">
        <f>IF($A183="","",IF(COUNTIFS(請求記録!$B$6:$B$3005,$A183,請求記録!$X$6:$X$3005,H$5,請求記録!$AD$6:$AD$3005,"保留中")&gt;0,"保留",IF(COUNTIFS(請求記録!$B$6:$B$3005,$A183,請求記録!$X$6:$X$3005,H$5)=0,"",SUMIFS(請求記録!$AC$6:$AC$3005,請求記録!$B$6:$B$3005,$A183,請求記録!$X$6:$X$3005,H$5))))</f>
        <v/>
      </c>
      <c r="I183" s="19">
        <f>IF($A183="","",IF(COUNTIFS(請求記録!$B$6:$B$3005,$A183,請求記録!$X$6:$X$3005,I$5,請求記録!$AD$6:$AD$3005,"保留中")&gt;0,"保留",IF(COUNTIFS(請求記録!$B$6:$B$3005,$A183,請求記録!$X$6:$X$3005,I$5)=0,"",SUMIFS(請求記録!$AC$6:$AC$3005,請求記録!$B$6:$B$3005,$A183,請求記録!$X$6:$X$3005,I$5))))</f>
        <v/>
      </c>
      <c r="J183" s="19">
        <f>IF($A183="","",IF(COUNTIFS(請求記録!$B$6:$B$3005,$A183,請求記録!$X$6:$X$3005,J$5,請求記録!$AD$6:$AD$3005,"保留中")&gt;0,"保留",IF(COUNTIFS(請求記録!$B$6:$B$3005,$A183,請求記録!$X$6:$X$3005,J$5)=0,"",SUMIFS(請求記録!$AC$6:$AC$3005,請求記録!$B$6:$B$3005,$A183,請求記録!$X$6:$X$3005,J$5))))</f>
        <v/>
      </c>
      <c r="K183" s="19">
        <f>IF($A183="","",IF(COUNTIFS(請求記録!$B$6:$B$3005,$A183,請求記録!$X$6:$X$3005,K$5,請求記録!$AD$6:$AD$3005,"保留中")&gt;0,"保留",IF(COUNTIFS(請求記録!$B$6:$B$3005,$A183,請求記録!$X$6:$X$3005,K$5)=0,"",SUMIFS(請求記録!$AC$6:$AC$3005,請求記録!$B$6:$B$3005,$A183,請求記録!$X$6:$X$3005,K$5))))</f>
        <v/>
      </c>
      <c r="L183" s="19">
        <f>IF($A183="","",IF(COUNTIFS(請求記録!$B$6:$B$3005,$A183,請求記録!$X$6:$X$3005,L$5,請求記録!$AD$6:$AD$3005,"保留中")&gt;0,"保留",IF(COUNTIFS(請求記録!$B$6:$B$3005,$A183,請求記録!$X$6:$X$3005,L$5)=0,"",SUMIFS(請求記録!$AC$6:$AC$3005,請求記録!$B$6:$B$3005,$A183,請求記録!$X$6:$X$3005,L$5))))</f>
        <v/>
      </c>
      <c r="M183" s="19">
        <f>IF($A183="","",IF(COUNTIFS(請求記録!$B$6:$B$3005,$A183,請求記録!$X$6:$X$3005,M$5,請求記録!$AD$6:$AD$3005,"保留中")&gt;0,"保留",IF(COUNTIFS(請求記録!$B$6:$B$3005,$A183,請求記録!$X$6:$X$3005,M$5)=0,"",SUMIFS(請求記録!$AC$6:$AC$3005,請求記録!$B$6:$B$3005,$A183,請求記録!$X$6:$X$3005,M$5))))</f>
        <v/>
      </c>
      <c r="N183" s="19">
        <f>IF($A183="","",IF(COUNTIFS(請求記録!$B$6:$B$3005,$A183,請求記録!$X$6:$X$3005,N$5,請求記録!$AD$6:$AD$3005,"保留中")&gt;0,"保留",IF(COUNTIFS(請求記録!$B$6:$B$3005,$A183,請求記録!$X$6:$X$3005,N$5)=0,"",SUMIFS(請求記録!$AC$6:$AC$3005,請求記録!$B$6:$B$3005,$A183,請求記録!$X$6:$X$3005,N$5))))</f>
        <v/>
      </c>
      <c r="O183" s="19">
        <f>IF($A183="","",IF(COUNTIFS(請求記録!$B$6:$B$3005,$A183,請求記録!$X$6:$X$3005,O$5,請求記録!$AD$6:$AD$3005,"保留中")&gt;0,"保留",IF(COUNTIFS(請求記録!$B$6:$B$3005,$A183,請求記録!$X$6:$X$3005,O$5)=0,"",SUMIFS(請求記録!$AC$6:$AC$3005,請求記録!$B$6:$B$3005,$A183,請求記録!$X$6:$X$3005,O$5))))</f>
        <v/>
      </c>
      <c r="P183" s="19">
        <f>IF($A183="","",IF(COUNTIFS(請求記録!$B$6:$B$3005,$A183,請求記録!$X$6:$X$3005,P$5,請求記録!$AD$6:$AD$3005,"保留中")&gt;0,"保留",IF(COUNTIFS(請求記録!$B$6:$B$3005,$A183,請求記録!$X$6:$X$3005,P$5)=0,"",SUMIFS(請求記録!$AC$6:$AC$3005,請求記録!$B$6:$B$3005,$A183,請求記録!$X$6:$X$3005,P$5))))</f>
        <v/>
      </c>
      <c r="Q183" s="19">
        <f>IF($A183="","",IF(COUNTIFS(請求記録!$B$6:$B$3005,$A183,請求記録!$X$6:$X$3005,Q$5,請求記録!$AD$6:$AD$3005,"保留中")&gt;0,"保留",IF(COUNTIFS(請求記録!$B$6:$B$3005,$A183,請求記録!$X$6:$X$3005,Q$5)=0,"",SUMIFS(請求記録!$AC$6:$AC$3005,請求記録!$B$6:$B$3005,$A183,請求記録!$X$6:$X$3005,Q$5))))</f>
        <v/>
      </c>
      <c r="R183" s="19">
        <f>IF($A183="","",IF(COUNTIFS(請求記録!$B$6:$B$3005,$A183,請求記録!$X$6:$X$3005,R$5,請求記録!$AD$6:$AD$3005,"保留中")&gt;0,"保留",IF(COUNTIFS(請求記録!$B$6:$B$3005,$A183,請求記録!$X$6:$X$3005,R$5)=0,"",SUMIFS(請求記録!$AC$6:$AC$3005,請求記録!$B$6:$B$3005,$A183,請求記録!$X$6:$X$3005,R$5))))</f>
        <v/>
      </c>
      <c r="S183" s="19">
        <f>IF($A183="","",IF(COUNTIFS(請求記録!$B$6:$B$3005,$A183,請求記録!$X$6:$X$3005,S$5,請求記録!$AD$6:$AD$3005,"保留中")&gt;0,"保留",IF(COUNTIFS(請求記録!$B$6:$B$3005,$A183,請求記録!$X$6:$X$3005,S$5)=0,"",SUMIFS(請求記録!$AC$6:$AC$3005,請求記録!$B$6:$B$3005,$A183,請求記録!$X$6:$X$3005,S$5))))</f>
        <v/>
      </c>
      <c r="T183" s="19">
        <f>IF($A183="","",IF(COUNTIFS(請求記録!$B$6:$B$3005,$A183,請求記録!$X$6:$X$3005,T$5,請求記録!$AD$6:$AD$3005,"保留中")&gt;0,"保留",IF(COUNTIFS(請求記録!$B$6:$B$3005,$A183,請求記録!$X$6:$X$3005,T$5)=0,"",SUMIFS(請求記録!$AC$6:$AC$3005,請求記録!$B$6:$B$3005,$A183,請求記録!$X$6:$X$3005,T$5))))</f>
        <v/>
      </c>
      <c r="U183" s="19">
        <f>IF($A183="","",IF(COUNTIFS(請求記録!$B$6:$B$3005,$A183,請求記録!$X$6:$X$3005,U$5,請求記録!$AD$6:$AD$3005,"保留中")&gt;0,"保留",IF(COUNTIFS(請求記録!$B$6:$B$3005,$A183,請求記録!$X$6:$X$3005,U$5)=0,"",SUMIFS(請求記録!$AC$6:$AC$3005,請求記録!$B$6:$B$3005,$A183,請求記録!$X$6:$X$3005,U$5))))</f>
        <v/>
      </c>
      <c r="V183" s="19">
        <f>IF($A183="","",IF(COUNTIFS(請求記録!$B$6:$B$3005,$A183,請求記録!$X$6:$X$3005,V$5,請求記録!$AD$6:$AD$3005,"保留中")&gt;0,"保留",IF(COUNTIFS(請求記録!$B$6:$B$3005,$A183,請求記録!$X$6:$X$3005,V$5)=0,"",SUMIFS(請求記録!$AC$6:$AC$3005,請求記録!$B$6:$B$3005,$A183,請求記録!$X$6:$X$3005,V$5))))</f>
        <v/>
      </c>
      <c r="W183" s="19">
        <f>IF($A183="","",IF(COUNTIFS(請求記録!$B$6:$B$3005,$A183,請求記録!$X$6:$X$3005,W$5,請求記録!$AD$6:$AD$3005,"保留中")&gt;0,"保留",IF(COUNTIFS(請求記録!$B$6:$B$3005,$A183,請求記録!$X$6:$X$3005,W$5)=0,"",SUMIFS(請求記録!$AC$6:$AC$3005,請求記録!$B$6:$B$3005,$A183,請求記録!$X$6:$X$3005,W$5))))</f>
        <v/>
      </c>
      <c r="X183" s="19">
        <f>IF($A183="","",IF(COUNTIFS(請求記録!$B$6:$B$3005,$A183,請求記録!$X$6:$X$3005,X$5,請求記録!$AD$6:$AD$3005,"保留中")&gt;0,"保留",IF(COUNTIFS(請求記録!$B$6:$B$3005,$A183,請求記録!$X$6:$X$3005,X$5)=0,"",SUMIFS(請求記録!$AC$6:$AC$3005,請求記録!$B$6:$B$3005,$A183,請求記録!$X$6:$X$3005,X$5))))</f>
        <v/>
      </c>
      <c r="Y183" s="19">
        <f>IF($A183="","",IF(COUNTIFS(請求記録!$B$6:$B$3005,$A183,請求記録!$X$6:$X$3005,Y$5,請求記録!$AD$6:$AD$3005,"保留中")&gt;0,"保留",IF(COUNTIFS(請求記録!$B$6:$B$3005,$A183,請求記録!$X$6:$X$3005,Y$5)=0,"",SUMIFS(請求記録!$AC$6:$AC$3005,請求記録!$B$6:$B$3005,$A183,請求記録!$X$6:$X$3005,Y$5))))</f>
        <v/>
      </c>
      <c r="Z183" s="19">
        <f>IF($A183="","",IF(COUNTIFS(請求記録!$B$6:$B$3005,$A183,請求記録!$X$6:$X$3005,Z$5,請求記録!$AD$6:$AD$3005,"保留中")&gt;0,"保留",IF(COUNTIFS(請求記録!$B$6:$B$3005,$A183,請求記録!$X$6:$X$3005,Z$5)=0,"",SUMIFS(請求記録!$AC$6:$AC$3005,請求記録!$B$6:$B$3005,$A183,請求記録!$X$6:$X$3005,Z$5))))</f>
        <v/>
      </c>
      <c r="AA183" s="19">
        <f>IF($A183="","",IF(COUNTIFS(請求記録!$B$6:$B$3005,$A183,請求記録!$X$6:$X$3005,AA$5,請求記録!$AD$6:$AD$3005,"保留中")&gt;0,"保留",IF(COUNTIFS(請求記録!$B$6:$B$3005,$A183,請求記録!$X$6:$X$3005,AA$5)=0,"",SUMIFS(請求記録!$AC$6:$AC$3005,請求記録!$B$6:$B$3005,$A183,請求記録!$X$6:$X$3005,AA$5))))</f>
        <v/>
      </c>
      <c r="AB183">
        <f>IF(職員マスタ!P183="保留中",職員マスタ!M183,"")</f>
        <v/>
      </c>
    </row>
    <row r="184">
      <c r="A184">
        <f>IF(職員マスタ!A184="","",職員マスタ!A184)</f>
        <v/>
      </c>
      <c r="B184">
        <f>IF($A184="","",職員マスタ!B184)</f>
        <v/>
      </c>
      <c r="C184">
        <f>IF($A184="","",職員マスタ!C184)</f>
        <v/>
      </c>
      <c r="D184" s="19">
        <f>IF($A184="","",IF(COUNTIFS(請求記録!$B$6:$B$3005,$A184,請求記録!$X$6:$X$3005,D$5,請求記録!$AD$6:$AD$3005,"保留中")&gt;0,"保留",IF(COUNTIFS(請求記録!$B$6:$B$3005,$A184,請求記録!$X$6:$X$3005,D$5)=0,"",SUMIFS(請求記録!$AC$6:$AC$3005,請求記録!$B$6:$B$3005,$A184,請求記録!$X$6:$X$3005,D$5))))</f>
        <v/>
      </c>
      <c r="E184" s="19">
        <f>IF($A184="","",IF(COUNTIFS(請求記録!$B$6:$B$3005,$A184,請求記録!$X$6:$X$3005,E$5,請求記録!$AD$6:$AD$3005,"保留中")&gt;0,"保留",IF(COUNTIFS(請求記録!$B$6:$B$3005,$A184,請求記録!$X$6:$X$3005,E$5)=0,"",SUMIFS(請求記録!$AC$6:$AC$3005,請求記録!$B$6:$B$3005,$A184,請求記録!$X$6:$X$3005,E$5))))</f>
        <v/>
      </c>
      <c r="F184" s="19">
        <f>IF($A184="","",IF(COUNTIFS(請求記録!$B$6:$B$3005,$A184,請求記録!$X$6:$X$3005,F$5,請求記録!$AD$6:$AD$3005,"保留中")&gt;0,"保留",IF(COUNTIFS(請求記録!$B$6:$B$3005,$A184,請求記録!$X$6:$X$3005,F$5)=0,"",SUMIFS(請求記録!$AC$6:$AC$3005,請求記録!$B$6:$B$3005,$A184,請求記録!$X$6:$X$3005,F$5))))</f>
        <v/>
      </c>
      <c r="G184" s="19">
        <f>IF($A184="","",IF(COUNTIFS(請求記録!$B$6:$B$3005,$A184,請求記録!$X$6:$X$3005,G$5,請求記録!$AD$6:$AD$3005,"保留中")&gt;0,"保留",IF(COUNTIFS(請求記録!$B$6:$B$3005,$A184,請求記録!$X$6:$X$3005,G$5)=0,"",SUMIFS(請求記録!$AC$6:$AC$3005,請求記録!$B$6:$B$3005,$A184,請求記録!$X$6:$X$3005,G$5))))</f>
        <v/>
      </c>
      <c r="H184" s="19">
        <f>IF($A184="","",IF(COUNTIFS(請求記録!$B$6:$B$3005,$A184,請求記録!$X$6:$X$3005,H$5,請求記録!$AD$6:$AD$3005,"保留中")&gt;0,"保留",IF(COUNTIFS(請求記録!$B$6:$B$3005,$A184,請求記録!$X$6:$X$3005,H$5)=0,"",SUMIFS(請求記録!$AC$6:$AC$3005,請求記録!$B$6:$B$3005,$A184,請求記録!$X$6:$X$3005,H$5))))</f>
        <v/>
      </c>
      <c r="I184" s="19">
        <f>IF($A184="","",IF(COUNTIFS(請求記録!$B$6:$B$3005,$A184,請求記録!$X$6:$X$3005,I$5,請求記録!$AD$6:$AD$3005,"保留中")&gt;0,"保留",IF(COUNTIFS(請求記録!$B$6:$B$3005,$A184,請求記録!$X$6:$X$3005,I$5)=0,"",SUMIFS(請求記録!$AC$6:$AC$3005,請求記録!$B$6:$B$3005,$A184,請求記録!$X$6:$X$3005,I$5))))</f>
        <v/>
      </c>
      <c r="J184" s="19">
        <f>IF($A184="","",IF(COUNTIFS(請求記録!$B$6:$B$3005,$A184,請求記録!$X$6:$X$3005,J$5,請求記録!$AD$6:$AD$3005,"保留中")&gt;0,"保留",IF(COUNTIFS(請求記録!$B$6:$B$3005,$A184,請求記録!$X$6:$X$3005,J$5)=0,"",SUMIFS(請求記録!$AC$6:$AC$3005,請求記録!$B$6:$B$3005,$A184,請求記録!$X$6:$X$3005,J$5))))</f>
        <v/>
      </c>
      <c r="K184" s="19">
        <f>IF($A184="","",IF(COUNTIFS(請求記録!$B$6:$B$3005,$A184,請求記録!$X$6:$X$3005,K$5,請求記録!$AD$6:$AD$3005,"保留中")&gt;0,"保留",IF(COUNTIFS(請求記録!$B$6:$B$3005,$A184,請求記録!$X$6:$X$3005,K$5)=0,"",SUMIFS(請求記録!$AC$6:$AC$3005,請求記録!$B$6:$B$3005,$A184,請求記録!$X$6:$X$3005,K$5))))</f>
        <v/>
      </c>
      <c r="L184" s="19">
        <f>IF($A184="","",IF(COUNTIFS(請求記録!$B$6:$B$3005,$A184,請求記録!$X$6:$X$3005,L$5,請求記録!$AD$6:$AD$3005,"保留中")&gt;0,"保留",IF(COUNTIFS(請求記録!$B$6:$B$3005,$A184,請求記録!$X$6:$X$3005,L$5)=0,"",SUMIFS(請求記録!$AC$6:$AC$3005,請求記録!$B$6:$B$3005,$A184,請求記録!$X$6:$X$3005,L$5))))</f>
        <v/>
      </c>
      <c r="M184" s="19">
        <f>IF($A184="","",IF(COUNTIFS(請求記録!$B$6:$B$3005,$A184,請求記録!$X$6:$X$3005,M$5,請求記録!$AD$6:$AD$3005,"保留中")&gt;0,"保留",IF(COUNTIFS(請求記録!$B$6:$B$3005,$A184,請求記録!$X$6:$X$3005,M$5)=0,"",SUMIFS(請求記録!$AC$6:$AC$3005,請求記録!$B$6:$B$3005,$A184,請求記録!$X$6:$X$3005,M$5))))</f>
        <v/>
      </c>
      <c r="N184" s="19">
        <f>IF($A184="","",IF(COUNTIFS(請求記録!$B$6:$B$3005,$A184,請求記録!$X$6:$X$3005,N$5,請求記録!$AD$6:$AD$3005,"保留中")&gt;0,"保留",IF(COUNTIFS(請求記録!$B$6:$B$3005,$A184,請求記録!$X$6:$X$3005,N$5)=0,"",SUMIFS(請求記録!$AC$6:$AC$3005,請求記録!$B$6:$B$3005,$A184,請求記録!$X$6:$X$3005,N$5))))</f>
        <v/>
      </c>
      <c r="O184" s="19">
        <f>IF($A184="","",IF(COUNTIFS(請求記録!$B$6:$B$3005,$A184,請求記録!$X$6:$X$3005,O$5,請求記録!$AD$6:$AD$3005,"保留中")&gt;0,"保留",IF(COUNTIFS(請求記録!$B$6:$B$3005,$A184,請求記録!$X$6:$X$3005,O$5)=0,"",SUMIFS(請求記録!$AC$6:$AC$3005,請求記録!$B$6:$B$3005,$A184,請求記録!$X$6:$X$3005,O$5))))</f>
        <v/>
      </c>
      <c r="P184" s="19">
        <f>IF($A184="","",IF(COUNTIFS(請求記録!$B$6:$B$3005,$A184,請求記録!$X$6:$X$3005,P$5,請求記録!$AD$6:$AD$3005,"保留中")&gt;0,"保留",IF(COUNTIFS(請求記録!$B$6:$B$3005,$A184,請求記録!$X$6:$X$3005,P$5)=0,"",SUMIFS(請求記録!$AC$6:$AC$3005,請求記録!$B$6:$B$3005,$A184,請求記録!$X$6:$X$3005,P$5))))</f>
        <v/>
      </c>
      <c r="Q184" s="19">
        <f>IF($A184="","",IF(COUNTIFS(請求記録!$B$6:$B$3005,$A184,請求記録!$X$6:$X$3005,Q$5,請求記録!$AD$6:$AD$3005,"保留中")&gt;0,"保留",IF(COUNTIFS(請求記録!$B$6:$B$3005,$A184,請求記録!$X$6:$X$3005,Q$5)=0,"",SUMIFS(請求記録!$AC$6:$AC$3005,請求記録!$B$6:$B$3005,$A184,請求記録!$X$6:$X$3005,Q$5))))</f>
        <v/>
      </c>
      <c r="R184" s="19">
        <f>IF($A184="","",IF(COUNTIFS(請求記録!$B$6:$B$3005,$A184,請求記録!$X$6:$X$3005,R$5,請求記録!$AD$6:$AD$3005,"保留中")&gt;0,"保留",IF(COUNTIFS(請求記録!$B$6:$B$3005,$A184,請求記録!$X$6:$X$3005,R$5)=0,"",SUMIFS(請求記録!$AC$6:$AC$3005,請求記録!$B$6:$B$3005,$A184,請求記録!$X$6:$X$3005,R$5))))</f>
        <v/>
      </c>
      <c r="S184" s="19">
        <f>IF($A184="","",IF(COUNTIFS(請求記録!$B$6:$B$3005,$A184,請求記録!$X$6:$X$3005,S$5,請求記録!$AD$6:$AD$3005,"保留中")&gt;0,"保留",IF(COUNTIFS(請求記録!$B$6:$B$3005,$A184,請求記録!$X$6:$X$3005,S$5)=0,"",SUMIFS(請求記録!$AC$6:$AC$3005,請求記録!$B$6:$B$3005,$A184,請求記録!$X$6:$X$3005,S$5))))</f>
        <v/>
      </c>
      <c r="T184" s="19">
        <f>IF($A184="","",IF(COUNTIFS(請求記録!$B$6:$B$3005,$A184,請求記録!$X$6:$X$3005,T$5,請求記録!$AD$6:$AD$3005,"保留中")&gt;0,"保留",IF(COUNTIFS(請求記録!$B$6:$B$3005,$A184,請求記録!$X$6:$X$3005,T$5)=0,"",SUMIFS(請求記録!$AC$6:$AC$3005,請求記録!$B$6:$B$3005,$A184,請求記録!$X$6:$X$3005,T$5))))</f>
        <v/>
      </c>
      <c r="U184" s="19">
        <f>IF($A184="","",IF(COUNTIFS(請求記録!$B$6:$B$3005,$A184,請求記録!$X$6:$X$3005,U$5,請求記録!$AD$6:$AD$3005,"保留中")&gt;0,"保留",IF(COUNTIFS(請求記録!$B$6:$B$3005,$A184,請求記録!$X$6:$X$3005,U$5)=0,"",SUMIFS(請求記録!$AC$6:$AC$3005,請求記録!$B$6:$B$3005,$A184,請求記録!$X$6:$X$3005,U$5))))</f>
        <v/>
      </c>
      <c r="V184" s="19">
        <f>IF($A184="","",IF(COUNTIFS(請求記録!$B$6:$B$3005,$A184,請求記録!$X$6:$X$3005,V$5,請求記録!$AD$6:$AD$3005,"保留中")&gt;0,"保留",IF(COUNTIFS(請求記録!$B$6:$B$3005,$A184,請求記録!$X$6:$X$3005,V$5)=0,"",SUMIFS(請求記録!$AC$6:$AC$3005,請求記録!$B$6:$B$3005,$A184,請求記録!$X$6:$X$3005,V$5))))</f>
        <v/>
      </c>
      <c r="W184" s="19">
        <f>IF($A184="","",IF(COUNTIFS(請求記録!$B$6:$B$3005,$A184,請求記録!$X$6:$X$3005,W$5,請求記録!$AD$6:$AD$3005,"保留中")&gt;0,"保留",IF(COUNTIFS(請求記録!$B$6:$B$3005,$A184,請求記録!$X$6:$X$3005,W$5)=0,"",SUMIFS(請求記録!$AC$6:$AC$3005,請求記録!$B$6:$B$3005,$A184,請求記録!$X$6:$X$3005,W$5))))</f>
        <v/>
      </c>
      <c r="X184" s="19">
        <f>IF($A184="","",IF(COUNTIFS(請求記録!$B$6:$B$3005,$A184,請求記録!$X$6:$X$3005,X$5,請求記録!$AD$6:$AD$3005,"保留中")&gt;0,"保留",IF(COUNTIFS(請求記録!$B$6:$B$3005,$A184,請求記録!$X$6:$X$3005,X$5)=0,"",SUMIFS(請求記録!$AC$6:$AC$3005,請求記録!$B$6:$B$3005,$A184,請求記録!$X$6:$X$3005,X$5))))</f>
        <v/>
      </c>
      <c r="Y184" s="19">
        <f>IF($A184="","",IF(COUNTIFS(請求記録!$B$6:$B$3005,$A184,請求記録!$X$6:$X$3005,Y$5,請求記録!$AD$6:$AD$3005,"保留中")&gt;0,"保留",IF(COUNTIFS(請求記録!$B$6:$B$3005,$A184,請求記録!$X$6:$X$3005,Y$5)=0,"",SUMIFS(請求記録!$AC$6:$AC$3005,請求記録!$B$6:$B$3005,$A184,請求記録!$X$6:$X$3005,Y$5))))</f>
        <v/>
      </c>
      <c r="Z184" s="19">
        <f>IF($A184="","",IF(COUNTIFS(請求記録!$B$6:$B$3005,$A184,請求記録!$X$6:$X$3005,Z$5,請求記録!$AD$6:$AD$3005,"保留中")&gt;0,"保留",IF(COUNTIFS(請求記録!$B$6:$B$3005,$A184,請求記録!$X$6:$X$3005,Z$5)=0,"",SUMIFS(請求記録!$AC$6:$AC$3005,請求記録!$B$6:$B$3005,$A184,請求記録!$X$6:$X$3005,Z$5))))</f>
        <v/>
      </c>
      <c r="AA184" s="19">
        <f>IF($A184="","",IF(COUNTIFS(請求記録!$B$6:$B$3005,$A184,請求記録!$X$6:$X$3005,AA$5,請求記録!$AD$6:$AD$3005,"保留中")&gt;0,"保留",IF(COUNTIFS(請求記録!$B$6:$B$3005,$A184,請求記録!$X$6:$X$3005,AA$5)=0,"",SUMIFS(請求記録!$AC$6:$AC$3005,請求記録!$B$6:$B$3005,$A184,請求記録!$X$6:$X$3005,AA$5))))</f>
        <v/>
      </c>
      <c r="AB184">
        <f>IF(職員マスタ!P184="保留中",職員マスタ!M184,"")</f>
        <v/>
      </c>
    </row>
    <row r="185">
      <c r="A185">
        <f>IF(職員マスタ!A185="","",職員マスタ!A185)</f>
        <v/>
      </c>
      <c r="B185">
        <f>IF($A185="","",職員マスタ!B185)</f>
        <v/>
      </c>
      <c r="C185">
        <f>IF($A185="","",職員マスタ!C185)</f>
        <v/>
      </c>
      <c r="D185" s="19">
        <f>IF($A185="","",IF(COUNTIFS(請求記録!$B$6:$B$3005,$A185,請求記録!$X$6:$X$3005,D$5,請求記録!$AD$6:$AD$3005,"保留中")&gt;0,"保留",IF(COUNTIFS(請求記録!$B$6:$B$3005,$A185,請求記録!$X$6:$X$3005,D$5)=0,"",SUMIFS(請求記録!$AC$6:$AC$3005,請求記録!$B$6:$B$3005,$A185,請求記録!$X$6:$X$3005,D$5))))</f>
        <v/>
      </c>
      <c r="E185" s="19">
        <f>IF($A185="","",IF(COUNTIFS(請求記録!$B$6:$B$3005,$A185,請求記録!$X$6:$X$3005,E$5,請求記録!$AD$6:$AD$3005,"保留中")&gt;0,"保留",IF(COUNTIFS(請求記録!$B$6:$B$3005,$A185,請求記録!$X$6:$X$3005,E$5)=0,"",SUMIFS(請求記録!$AC$6:$AC$3005,請求記録!$B$6:$B$3005,$A185,請求記録!$X$6:$X$3005,E$5))))</f>
        <v/>
      </c>
      <c r="F185" s="19">
        <f>IF($A185="","",IF(COUNTIFS(請求記録!$B$6:$B$3005,$A185,請求記録!$X$6:$X$3005,F$5,請求記録!$AD$6:$AD$3005,"保留中")&gt;0,"保留",IF(COUNTIFS(請求記録!$B$6:$B$3005,$A185,請求記録!$X$6:$X$3005,F$5)=0,"",SUMIFS(請求記録!$AC$6:$AC$3005,請求記録!$B$6:$B$3005,$A185,請求記録!$X$6:$X$3005,F$5))))</f>
        <v/>
      </c>
      <c r="G185" s="19">
        <f>IF($A185="","",IF(COUNTIFS(請求記録!$B$6:$B$3005,$A185,請求記録!$X$6:$X$3005,G$5,請求記録!$AD$6:$AD$3005,"保留中")&gt;0,"保留",IF(COUNTIFS(請求記録!$B$6:$B$3005,$A185,請求記録!$X$6:$X$3005,G$5)=0,"",SUMIFS(請求記録!$AC$6:$AC$3005,請求記録!$B$6:$B$3005,$A185,請求記録!$X$6:$X$3005,G$5))))</f>
        <v/>
      </c>
      <c r="H185" s="19">
        <f>IF($A185="","",IF(COUNTIFS(請求記録!$B$6:$B$3005,$A185,請求記録!$X$6:$X$3005,H$5,請求記録!$AD$6:$AD$3005,"保留中")&gt;0,"保留",IF(COUNTIFS(請求記録!$B$6:$B$3005,$A185,請求記録!$X$6:$X$3005,H$5)=0,"",SUMIFS(請求記録!$AC$6:$AC$3005,請求記録!$B$6:$B$3005,$A185,請求記録!$X$6:$X$3005,H$5))))</f>
        <v/>
      </c>
      <c r="I185" s="19">
        <f>IF($A185="","",IF(COUNTIFS(請求記録!$B$6:$B$3005,$A185,請求記録!$X$6:$X$3005,I$5,請求記録!$AD$6:$AD$3005,"保留中")&gt;0,"保留",IF(COUNTIFS(請求記録!$B$6:$B$3005,$A185,請求記録!$X$6:$X$3005,I$5)=0,"",SUMIFS(請求記録!$AC$6:$AC$3005,請求記録!$B$6:$B$3005,$A185,請求記録!$X$6:$X$3005,I$5))))</f>
        <v/>
      </c>
      <c r="J185" s="19">
        <f>IF($A185="","",IF(COUNTIFS(請求記録!$B$6:$B$3005,$A185,請求記録!$X$6:$X$3005,J$5,請求記録!$AD$6:$AD$3005,"保留中")&gt;0,"保留",IF(COUNTIFS(請求記録!$B$6:$B$3005,$A185,請求記録!$X$6:$X$3005,J$5)=0,"",SUMIFS(請求記録!$AC$6:$AC$3005,請求記録!$B$6:$B$3005,$A185,請求記録!$X$6:$X$3005,J$5))))</f>
        <v/>
      </c>
      <c r="K185" s="19">
        <f>IF($A185="","",IF(COUNTIFS(請求記録!$B$6:$B$3005,$A185,請求記録!$X$6:$X$3005,K$5,請求記録!$AD$6:$AD$3005,"保留中")&gt;0,"保留",IF(COUNTIFS(請求記録!$B$6:$B$3005,$A185,請求記録!$X$6:$X$3005,K$5)=0,"",SUMIFS(請求記録!$AC$6:$AC$3005,請求記録!$B$6:$B$3005,$A185,請求記録!$X$6:$X$3005,K$5))))</f>
        <v/>
      </c>
      <c r="L185" s="19">
        <f>IF($A185="","",IF(COUNTIFS(請求記録!$B$6:$B$3005,$A185,請求記録!$X$6:$X$3005,L$5,請求記録!$AD$6:$AD$3005,"保留中")&gt;0,"保留",IF(COUNTIFS(請求記録!$B$6:$B$3005,$A185,請求記録!$X$6:$X$3005,L$5)=0,"",SUMIFS(請求記録!$AC$6:$AC$3005,請求記録!$B$6:$B$3005,$A185,請求記録!$X$6:$X$3005,L$5))))</f>
        <v/>
      </c>
      <c r="M185" s="19">
        <f>IF($A185="","",IF(COUNTIFS(請求記録!$B$6:$B$3005,$A185,請求記録!$X$6:$X$3005,M$5,請求記録!$AD$6:$AD$3005,"保留中")&gt;0,"保留",IF(COUNTIFS(請求記録!$B$6:$B$3005,$A185,請求記録!$X$6:$X$3005,M$5)=0,"",SUMIFS(請求記録!$AC$6:$AC$3005,請求記録!$B$6:$B$3005,$A185,請求記録!$X$6:$X$3005,M$5))))</f>
        <v/>
      </c>
      <c r="N185" s="19">
        <f>IF($A185="","",IF(COUNTIFS(請求記録!$B$6:$B$3005,$A185,請求記録!$X$6:$X$3005,N$5,請求記録!$AD$6:$AD$3005,"保留中")&gt;0,"保留",IF(COUNTIFS(請求記録!$B$6:$B$3005,$A185,請求記録!$X$6:$X$3005,N$5)=0,"",SUMIFS(請求記録!$AC$6:$AC$3005,請求記録!$B$6:$B$3005,$A185,請求記録!$X$6:$X$3005,N$5))))</f>
        <v/>
      </c>
      <c r="O185" s="19">
        <f>IF($A185="","",IF(COUNTIFS(請求記録!$B$6:$B$3005,$A185,請求記録!$X$6:$X$3005,O$5,請求記録!$AD$6:$AD$3005,"保留中")&gt;0,"保留",IF(COUNTIFS(請求記録!$B$6:$B$3005,$A185,請求記録!$X$6:$X$3005,O$5)=0,"",SUMIFS(請求記録!$AC$6:$AC$3005,請求記録!$B$6:$B$3005,$A185,請求記録!$X$6:$X$3005,O$5))))</f>
        <v/>
      </c>
      <c r="P185" s="19">
        <f>IF($A185="","",IF(COUNTIFS(請求記録!$B$6:$B$3005,$A185,請求記録!$X$6:$X$3005,P$5,請求記録!$AD$6:$AD$3005,"保留中")&gt;0,"保留",IF(COUNTIFS(請求記録!$B$6:$B$3005,$A185,請求記録!$X$6:$X$3005,P$5)=0,"",SUMIFS(請求記録!$AC$6:$AC$3005,請求記録!$B$6:$B$3005,$A185,請求記録!$X$6:$X$3005,P$5))))</f>
        <v/>
      </c>
      <c r="Q185" s="19">
        <f>IF($A185="","",IF(COUNTIFS(請求記録!$B$6:$B$3005,$A185,請求記録!$X$6:$X$3005,Q$5,請求記録!$AD$6:$AD$3005,"保留中")&gt;0,"保留",IF(COUNTIFS(請求記録!$B$6:$B$3005,$A185,請求記録!$X$6:$X$3005,Q$5)=0,"",SUMIFS(請求記録!$AC$6:$AC$3005,請求記録!$B$6:$B$3005,$A185,請求記録!$X$6:$X$3005,Q$5))))</f>
        <v/>
      </c>
      <c r="R185" s="19">
        <f>IF($A185="","",IF(COUNTIFS(請求記録!$B$6:$B$3005,$A185,請求記録!$X$6:$X$3005,R$5,請求記録!$AD$6:$AD$3005,"保留中")&gt;0,"保留",IF(COUNTIFS(請求記録!$B$6:$B$3005,$A185,請求記録!$X$6:$X$3005,R$5)=0,"",SUMIFS(請求記録!$AC$6:$AC$3005,請求記録!$B$6:$B$3005,$A185,請求記録!$X$6:$X$3005,R$5))))</f>
        <v/>
      </c>
      <c r="S185" s="19">
        <f>IF($A185="","",IF(COUNTIFS(請求記録!$B$6:$B$3005,$A185,請求記録!$X$6:$X$3005,S$5,請求記録!$AD$6:$AD$3005,"保留中")&gt;0,"保留",IF(COUNTIFS(請求記録!$B$6:$B$3005,$A185,請求記録!$X$6:$X$3005,S$5)=0,"",SUMIFS(請求記録!$AC$6:$AC$3005,請求記録!$B$6:$B$3005,$A185,請求記録!$X$6:$X$3005,S$5))))</f>
        <v/>
      </c>
      <c r="T185" s="19">
        <f>IF($A185="","",IF(COUNTIFS(請求記録!$B$6:$B$3005,$A185,請求記録!$X$6:$X$3005,T$5,請求記録!$AD$6:$AD$3005,"保留中")&gt;0,"保留",IF(COUNTIFS(請求記録!$B$6:$B$3005,$A185,請求記録!$X$6:$X$3005,T$5)=0,"",SUMIFS(請求記録!$AC$6:$AC$3005,請求記録!$B$6:$B$3005,$A185,請求記録!$X$6:$X$3005,T$5))))</f>
        <v/>
      </c>
      <c r="U185" s="19">
        <f>IF($A185="","",IF(COUNTIFS(請求記録!$B$6:$B$3005,$A185,請求記録!$X$6:$X$3005,U$5,請求記録!$AD$6:$AD$3005,"保留中")&gt;0,"保留",IF(COUNTIFS(請求記録!$B$6:$B$3005,$A185,請求記録!$X$6:$X$3005,U$5)=0,"",SUMIFS(請求記録!$AC$6:$AC$3005,請求記録!$B$6:$B$3005,$A185,請求記録!$X$6:$X$3005,U$5))))</f>
        <v/>
      </c>
      <c r="V185" s="19">
        <f>IF($A185="","",IF(COUNTIFS(請求記録!$B$6:$B$3005,$A185,請求記録!$X$6:$X$3005,V$5,請求記録!$AD$6:$AD$3005,"保留中")&gt;0,"保留",IF(COUNTIFS(請求記録!$B$6:$B$3005,$A185,請求記録!$X$6:$X$3005,V$5)=0,"",SUMIFS(請求記録!$AC$6:$AC$3005,請求記録!$B$6:$B$3005,$A185,請求記録!$X$6:$X$3005,V$5))))</f>
        <v/>
      </c>
      <c r="W185" s="19">
        <f>IF($A185="","",IF(COUNTIFS(請求記録!$B$6:$B$3005,$A185,請求記録!$X$6:$X$3005,W$5,請求記録!$AD$6:$AD$3005,"保留中")&gt;0,"保留",IF(COUNTIFS(請求記録!$B$6:$B$3005,$A185,請求記録!$X$6:$X$3005,W$5)=0,"",SUMIFS(請求記録!$AC$6:$AC$3005,請求記録!$B$6:$B$3005,$A185,請求記録!$X$6:$X$3005,W$5))))</f>
        <v/>
      </c>
      <c r="X185" s="19">
        <f>IF($A185="","",IF(COUNTIFS(請求記録!$B$6:$B$3005,$A185,請求記録!$X$6:$X$3005,X$5,請求記録!$AD$6:$AD$3005,"保留中")&gt;0,"保留",IF(COUNTIFS(請求記録!$B$6:$B$3005,$A185,請求記録!$X$6:$X$3005,X$5)=0,"",SUMIFS(請求記録!$AC$6:$AC$3005,請求記録!$B$6:$B$3005,$A185,請求記録!$X$6:$X$3005,X$5))))</f>
        <v/>
      </c>
      <c r="Y185" s="19">
        <f>IF($A185="","",IF(COUNTIFS(請求記録!$B$6:$B$3005,$A185,請求記録!$X$6:$X$3005,Y$5,請求記録!$AD$6:$AD$3005,"保留中")&gt;0,"保留",IF(COUNTIFS(請求記録!$B$6:$B$3005,$A185,請求記録!$X$6:$X$3005,Y$5)=0,"",SUMIFS(請求記録!$AC$6:$AC$3005,請求記録!$B$6:$B$3005,$A185,請求記録!$X$6:$X$3005,Y$5))))</f>
        <v/>
      </c>
      <c r="Z185" s="19">
        <f>IF($A185="","",IF(COUNTIFS(請求記録!$B$6:$B$3005,$A185,請求記録!$X$6:$X$3005,Z$5,請求記録!$AD$6:$AD$3005,"保留中")&gt;0,"保留",IF(COUNTIFS(請求記録!$B$6:$B$3005,$A185,請求記録!$X$6:$X$3005,Z$5)=0,"",SUMIFS(請求記録!$AC$6:$AC$3005,請求記録!$B$6:$B$3005,$A185,請求記録!$X$6:$X$3005,Z$5))))</f>
        <v/>
      </c>
      <c r="AA185" s="19">
        <f>IF($A185="","",IF(COUNTIFS(請求記録!$B$6:$B$3005,$A185,請求記録!$X$6:$X$3005,AA$5,請求記録!$AD$6:$AD$3005,"保留中")&gt;0,"保留",IF(COUNTIFS(請求記録!$B$6:$B$3005,$A185,請求記録!$X$6:$X$3005,AA$5)=0,"",SUMIFS(請求記録!$AC$6:$AC$3005,請求記録!$B$6:$B$3005,$A185,請求記録!$X$6:$X$3005,AA$5))))</f>
        <v/>
      </c>
      <c r="AB185">
        <f>IF(職員マスタ!P185="保留中",職員マスタ!M185,"")</f>
        <v/>
      </c>
    </row>
    <row r="186">
      <c r="A186">
        <f>IF(職員マスタ!A186="","",職員マスタ!A186)</f>
        <v/>
      </c>
      <c r="B186">
        <f>IF($A186="","",職員マスタ!B186)</f>
        <v/>
      </c>
      <c r="C186">
        <f>IF($A186="","",職員マスタ!C186)</f>
        <v/>
      </c>
      <c r="D186" s="19">
        <f>IF($A186="","",IF(COUNTIFS(請求記録!$B$6:$B$3005,$A186,請求記録!$X$6:$X$3005,D$5,請求記録!$AD$6:$AD$3005,"保留中")&gt;0,"保留",IF(COUNTIFS(請求記録!$B$6:$B$3005,$A186,請求記録!$X$6:$X$3005,D$5)=0,"",SUMIFS(請求記録!$AC$6:$AC$3005,請求記録!$B$6:$B$3005,$A186,請求記録!$X$6:$X$3005,D$5))))</f>
        <v/>
      </c>
      <c r="E186" s="19">
        <f>IF($A186="","",IF(COUNTIFS(請求記録!$B$6:$B$3005,$A186,請求記録!$X$6:$X$3005,E$5,請求記録!$AD$6:$AD$3005,"保留中")&gt;0,"保留",IF(COUNTIFS(請求記録!$B$6:$B$3005,$A186,請求記録!$X$6:$X$3005,E$5)=0,"",SUMIFS(請求記録!$AC$6:$AC$3005,請求記録!$B$6:$B$3005,$A186,請求記録!$X$6:$X$3005,E$5))))</f>
        <v/>
      </c>
      <c r="F186" s="19">
        <f>IF($A186="","",IF(COUNTIFS(請求記録!$B$6:$B$3005,$A186,請求記録!$X$6:$X$3005,F$5,請求記録!$AD$6:$AD$3005,"保留中")&gt;0,"保留",IF(COUNTIFS(請求記録!$B$6:$B$3005,$A186,請求記録!$X$6:$X$3005,F$5)=0,"",SUMIFS(請求記録!$AC$6:$AC$3005,請求記録!$B$6:$B$3005,$A186,請求記録!$X$6:$X$3005,F$5))))</f>
        <v/>
      </c>
      <c r="G186" s="19">
        <f>IF($A186="","",IF(COUNTIFS(請求記録!$B$6:$B$3005,$A186,請求記録!$X$6:$X$3005,G$5,請求記録!$AD$6:$AD$3005,"保留中")&gt;0,"保留",IF(COUNTIFS(請求記録!$B$6:$B$3005,$A186,請求記録!$X$6:$X$3005,G$5)=0,"",SUMIFS(請求記録!$AC$6:$AC$3005,請求記録!$B$6:$B$3005,$A186,請求記録!$X$6:$X$3005,G$5))))</f>
        <v/>
      </c>
      <c r="H186" s="19">
        <f>IF($A186="","",IF(COUNTIFS(請求記録!$B$6:$B$3005,$A186,請求記録!$X$6:$X$3005,H$5,請求記録!$AD$6:$AD$3005,"保留中")&gt;0,"保留",IF(COUNTIFS(請求記録!$B$6:$B$3005,$A186,請求記録!$X$6:$X$3005,H$5)=0,"",SUMIFS(請求記録!$AC$6:$AC$3005,請求記録!$B$6:$B$3005,$A186,請求記録!$X$6:$X$3005,H$5))))</f>
        <v/>
      </c>
      <c r="I186" s="19">
        <f>IF($A186="","",IF(COUNTIFS(請求記録!$B$6:$B$3005,$A186,請求記録!$X$6:$X$3005,I$5,請求記録!$AD$6:$AD$3005,"保留中")&gt;0,"保留",IF(COUNTIFS(請求記録!$B$6:$B$3005,$A186,請求記録!$X$6:$X$3005,I$5)=0,"",SUMIFS(請求記録!$AC$6:$AC$3005,請求記録!$B$6:$B$3005,$A186,請求記録!$X$6:$X$3005,I$5))))</f>
        <v/>
      </c>
      <c r="J186" s="19">
        <f>IF($A186="","",IF(COUNTIFS(請求記録!$B$6:$B$3005,$A186,請求記録!$X$6:$X$3005,J$5,請求記録!$AD$6:$AD$3005,"保留中")&gt;0,"保留",IF(COUNTIFS(請求記録!$B$6:$B$3005,$A186,請求記録!$X$6:$X$3005,J$5)=0,"",SUMIFS(請求記録!$AC$6:$AC$3005,請求記録!$B$6:$B$3005,$A186,請求記録!$X$6:$X$3005,J$5))))</f>
        <v/>
      </c>
      <c r="K186" s="19">
        <f>IF($A186="","",IF(COUNTIFS(請求記録!$B$6:$B$3005,$A186,請求記録!$X$6:$X$3005,K$5,請求記録!$AD$6:$AD$3005,"保留中")&gt;0,"保留",IF(COUNTIFS(請求記録!$B$6:$B$3005,$A186,請求記録!$X$6:$X$3005,K$5)=0,"",SUMIFS(請求記録!$AC$6:$AC$3005,請求記録!$B$6:$B$3005,$A186,請求記録!$X$6:$X$3005,K$5))))</f>
        <v/>
      </c>
      <c r="L186" s="19">
        <f>IF($A186="","",IF(COUNTIFS(請求記録!$B$6:$B$3005,$A186,請求記録!$X$6:$X$3005,L$5,請求記録!$AD$6:$AD$3005,"保留中")&gt;0,"保留",IF(COUNTIFS(請求記録!$B$6:$B$3005,$A186,請求記録!$X$6:$X$3005,L$5)=0,"",SUMIFS(請求記録!$AC$6:$AC$3005,請求記録!$B$6:$B$3005,$A186,請求記録!$X$6:$X$3005,L$5))))</f>
        <v/>
      </c>
      <c r="M186" s="19">
        <f>IF($A186="","",IF(COUNTIFS(請求記録!$B$6:$B$3005,$A186,請求記録!$X$6:$X$3005,M$5,請求記録!$AD$6:$AD$3005,"保留中")&gt;0,"保留",IF(COUNTIFS(請求記録!$B$6:$B$3005,$A186,請求記録!$X$6:$X$3005,M$5)=0,"",SUMIFS(請求記録!$AC$6:$AC$3005,請求記録!$B$6:$B$3005,$A186,請求記録!$X$6:$X$3005,M$5))))</f>
        <v/>
      </c>
      <c r="N186" s="19">
        <f>IF($A186="","",IF(COUNTIFS(請求記録!$B$6:$B$3005,$A186,請求記録!$X$6:$X$3005,N$5,請求記録!$AD$6:$AD$3005,"保留中")&gt;0,"保留",IF(COUNTIFS(請求記録!$B$6:$B$3005,$A186,請求記録!$X$6:$X$3005,N$5)=0,"",SUMIFS(請求記録!$AC$6:$AC$3005,請求記録!$B$6:$B$3005,$A186,請求記録!$X$6:$X$3005,N$5))))</f>
        <v/>
      </c>
      <c r="O186" s="19">
        <f>IF($A186="","",IF(COUNTIFS(請求記録!$B$6:$B$3005,$A186,請求記録!$X$6:$X$3005,O$5,請求記録!$AD$6:$AD$3005,"保留中")&gt;0,"保留",IF(COUNTIFS(請求記録!$B$6:$B$3005,$A186,請求記録!$X$6:$X$3005,O$5)=0,"",SUMIFS(請求記録!$AC$6:$AC$3005,請求記録!$B$6:$B$3005,$A186,請求記録!$X$6:$X$3005,O$5))))</f>
        <v/>
      </c>
      <c r="P186" s="19">
        <f>IF($A186="","",IF(COUNTIFS(請求記録!$B$6:$B$3005,$A186,請求記録!$X$6:$X$3005,P$5,請求記録!$AD$6:$AD$3005,"保留中")&gt;0,"保留",IF(COUNTIFS(請求記録!$B$6:$B$3005,$A186,請求記録!$X$6:$X$3005,P$5)=0,"",SUMIFS(請求記録!$AC$6:$AC$3005,請求記録!$B$6:$B$3005,$A186,請求記録!$X$6:$X$3005,P$5))))</f>
        <v/>
      </c>
      <c r="Q186" s="19">
        <f>IF($A186="","",IF(COUNTIFS(請求記録!$B$6:$B$3005,$A186,請求記録!$X$6:$X$3005,Q$5,請求記録!$AD$6:$AD$3005,"保留中")&gt;0,"保留",IF(COUNTIFS(請求記録!$B$6:$B$3005,$A186,請求記録!$X$6:$X$3005,Q$5)=0,"",SUMIFS(請求記録!$AC$6:$AC$3005,請求記録!$B$6:$B$3005,$A186,請求記録!$X$6:$X$3005,Q$5))))</f>
        <v/>
      </c>
      <c r="R186" s="19">
        <f>IF($A186="","",IF(COUNTIFS(請求記録!$B$6:$B$3005,$A186,請求記録!$X$6:$X$3005,R$5,請求記録!$AD$6:$AD$3005,"保留中")&gt;0,"保留",IF(COUNTIFS(請求記録!$B$6:$B$3005,$A186,請求記録!$X$6:$X$3005,R$5)=0,"",SUMIFS(請求記録!$AC$6:$AC$3005,請求記録!$B$6:$B$3005,$A186,請求記録!$X$6:$X$3005,R$5))))</f>
        <v/>
      </c>
      <c r="S186" s="19">
        <f>IF($A186="","",IF(COUNTIFS(請求記録!$B$6:$B$3005,$A186,請求記録!$X$6:$X$3005,S$5,請求記録!$AD$6:$AD$3005,"保留中")&gt;0,"保留",IF(COUNTIFS(請求記録!$B$6:$B$3005,$A186,請求記録!$X$6:$X$3005,S$5)=0,"",SUMIFS(請求記録!$AC$6:$AC$3005,請求記録!$B$6:$B$3005,$A186,請求記録!$X$6:$X$3005,S$5))))</f>
        <v/>
      </c>
      <c r="T186" s="19">
        <f>IF($A186="","",IF(COUNTIFS(請求記録!$B$6:$B$3005,$A186,請求記録!$X$6:$X$3005,T$5,請求記録!$AD$6:$AD$3005,"保留中")&gt;0,"保留",IF(COUNTIFS(請求記録!$B$6:$B$3005,$A186,請求記録!$X$6:$X$3005,T$5)=0,"",SUMIFS(請求記録!$AC$6:$AC$3005,請求記録!$B$6:$B$3005,$A186,請求記録!$X$6:$X$3005,T$5))))</f>
        <v/>
      </c>
      <c r="U186" s="19">
        <f>IF($A186="","",IF(COUNTIFS(請求記録!$B$6:$B$3005,$A186,請求記録!$X$6:$X$3005,U$5,請求記録!$AD$6:$AD$3005,"保留中")&gt;0,"保留",IF(COUNTIFS(請求記録!$B$6:$B$3005,$A186,請求記録!$X$6:$X$3005,U$5)=0,"",SUMIFS(請求記録!$AC$6:$AC$3005,請求記録!$B$6:$B$3005,$A186,請求記録!$X$6:$X$3005,U$5))))</f>
        <v/>
      </c>
      <c r="V186" s="19">
        <f>IF($A186="","",IF(COUNTIFS(請求記録!$B$6:$B$3005,$A186,請求記録!$X$6:$X$3005,V$5,請求記録!$AD$6:$AD$3005,"保留中")&gt;0,"保留",IF(COUNTIFS(請求記録!$B$6:$B$3005,$A186,請求記録!$X$6:$X$3005,V$5)=0,"",SUMIFS(請求記録!$AC$6:$AC$3005,請求記録!$B$6:$B$3005,$A186,請求記録!$X$6:$X$3005,V$5))))</f>
        <v/>
      </c>
      <c r="W186" s="19">
        <f>IF($A186="","",IF(COUNTIFS(請求記録!$B$6:$B$3005,$A186,請求記録!$X$6:$X$3005,W$5,請求記録!$AD$6:$AD$3005,"保留中")&gt;0,"保留",IF(COUNTIFS(請求記録!$B$6:$B$3005,$A186,請求記録!$X$6:$X$3005,W$5)=0,"",SUMIFS(請求記録!$AC$6:$AC$3005,請求記録!$B$6:$B$3005,$A186,請求記録!$X$6:$X$3005,W$5))))</f>
        <v/>
      </c>
      <c r="X186" s="19">
        <f>IF($A186="","",IF(COUNTIFS(請求記録!$B$6:$B$3005,$A186,請求記録!$X$6:$X$3005,X$5,請求記録!$AD$6:$AD$3005,"保留中")&gt;0,"保留",IF(COUNTIFS(請求記録!$B$6:$B$3005,$A186,請求記録!$X$6:$X$3005,X$5)=0,"",SUMIFS(請求記録!$AC$6:$AC$3005,請求記録!$B$6:$B$3005,$A186,請求記録!$X$6:$X$3005,X$5))))</f>
        <v/>
      </c>
      <c r="Y186" s="19">
        <f>IF($A186="","",IF(COUNTIFS(請求記録!$B$6:$B$3005,$A186,請求記録!$X$6:$X$3005,Y$5,請求記録!$AD$6:$AD$3005,"保留中")&gt;0,"保留",IF(COUNTIFS(請求記録!$B$6:$B$3005,$A186,請求記録!$X$6:$X$3005,Y$5)=0,"",SUMIFS(請求記録!$AC$6:$AC$3005,請求記録!$B$6:$B$3005,$A186,請求記録!$X$6:$X$3005,Y$5))))</f>
        <v/>
      </c>
      <c r="Z186" s="19">
        <f>IF($A186="","",IF(COUNTIFS(請求記録!$B$6:$B$3005,$A186,請求記録!$X$6:$X$3005,Z$5,請求記録!$AD$6:$AD$3005,"保留中")&gt;0,"保留",IF(COUNTIFS(請求記録!$B$6:$B$3005,$A186,請求記録!$X$6:$X$3005,Z$5)=0,"",SUMIFS(請求記録!$AC$6:$AC$3005,請求記録!$B$6:$B$3005,$A186,請求記録!$X$6:$X$3005,Z$5))))</f>
        <v/>
      </c>
      <c r="AA186" s="19">
        <f>IF($A186="","",IF(COUNTIFS(請求記録!$B$6:$B$3005,$A186,請求記録!$X$6:$X$3005,AA$5,請求記録!$AD$6:$AD$3005,"保留中")&gt;0,"保留",IF(COUNTIFS(請求記録!$B$6:$B$3005,$A186,請求記録!$X$6:$X$3005,AA$5)=0,"",SUMIFS(請求記録!$AC$6:$AC$3005,請求記録!$B$6:$B$3005,$A186,請求記録!$X$6:$X$3005,AA$5))))</f>
        <v/>
      </c>
      <c r="AB186">
        <f>IF(職員マスタ!P186="保留中",職員マスタ!M186,"")</f>
        <v/>
      </c>
    </row>
    <row r="187">
      <c r="A187">
        <f>IF(職員マスタ!A187="","",職員マスタ!A187)</f>
        <v/>
      </c>
      <c r="B187">
        <f>IF($A187="","",職員マスタ!B187)</f>
        <v/>
      </c>
      <c r="C187">
        <f>IF($A187="","",職員マスタ!C187)</f>
        <v/>
      </c>
      <c r="D187" s="19">
        <f>IF($A187="","",IF(COUNTIFS(請求記録!$B$6:$B$3005,$A187,請求記録!$X$6:$X$3005,D$5,請求記録!$AD$6:$AD$3005,"保留中")&gt;0,"保留",IF(COUNTIFS(請求記録!$B$6:$B$3005,$A187,請求記録!$X$6:$X$3005,D$5)=0,"",SUMIFS(請求記録!$AC$6:$AC$3005,請求記録!$B$6:$B$3005,$A187,請求記録!$X$6:$X$3005,D$5))))</f>
        <v/>
      </c>
      <c r="E187" s="19">
        <f>IF($A187="","",IF(COUNTIFS(請求記録!$B$6:$B$3005,$A187,請求記録!$X$6:$X$3005,E$5,請求記録!$AD$6:$AD$3005,"保留中")&gt;0,"保留",IF(COUNTIFS(請求記録!$B$6:$B$3005,$A187,請求記録!$X$6:$X$3005,E$5)=0,"",SUMIFS(請求記録!$AC$6:$AC$3005,請求記録!$B$6:$B$3005,$A187,請求記録!$X$6:$X$3005,E$5))))</f>
        <v/>
      </c>
      <c r="F187" s="19">
        <f>IF($A187="","",IF(COUNTIFS(請求記録!$B$6:$B$3005,$A187,請求記録!$X$6:$X$3005,F$5,請求記録!$AD$6:$AD$3005,"保留中")&gt;0,"保留",IF(COUNTIFS(請求記録!$B$6:$B$3005,$A187,請求記録!$X$6:$X$3005,F$5)=0,"",SUMIFS(請求記録!$AC$6:$AC$3005,請求記録!$B$6:$B$3005,$A187,請求記録!$X$6:$X$3005,F$5))))</f>
        <v/>
      </c>
      <c r="G187" s="19">
        <f>IF($A187="","",IF(COUNTIFS(請求記録!$B$6:$B$3005,$A187,請求記録!$X$6:$X$3005,G$5,請求記録!$AD$6:$AD$3005,"保留中")&gt;0,"保留",IF(COUNTIFS(請求記録!$B$6:$B$3005,$A187,請求記録!$X$6:$X$3005,G$5)=0,"",SUMIFS(請求記録!$AC$6:$AC$3005,請求記録!$B$6:$B$3005,$A187,請求記録!$X$6:$X$3005,G$5))))</f>
        <v/>
      </c>
      <c r="H187" s="19">
        <f>IF($A187="","",IF(COUNTIFS(請求記録!$B$6:$B$3005,$A187,請求記録!$X$6:$X$3005,H$5,請求記録!$AD$6:$AD$3005,"保留中")&gt;0,"保留",IF(COUNTIFS(請求記録!$B$6:$B$3005,$A187,請求記録!$X$6:$X$3005,H$5)=0,"",SUMIFS(請求記録!$AC$6:$AC$3005,請求記録!$B$6:$B$3005,$A187,請求記録!$X$6:$X$3005,H$5))))</f>
        <v/>
      </c>
      <c r="I187" s="19">
        <f>IF($A187="","",IF(COUNTIFS(請求記録!$B$6:$B$3005,$A187,請求記録!$X$6:$X$3005,I$5,請求記録!$AD$6:$AD$3005,"保留中")&gt;0,"保留",IF(COUNTIFS(請求記録!$B$6:$B$3005,$A187,請求記録!$X$6:$X$3005,I$5)=0,"",SUMIFS(請求記録!$AC$6:$AC$3005,請求記録!$B$6:$B$3005,$A187,請求記録!$X$6:$X$3005,I$5))))</f>
        <v/>
      </c>
      <c r="J187" s="19">
        <f>IF($A187="","",IF(COUNTIFS(請求記録!$B$6:$B$3005,$A187,請求記録!$X$6:$X$3005,J$5,請求記録!$AD$6:$AD$3005,"保留中")&gt;0,"保留",IF(COUNTIFS(請求記録!$B$6:$B$3005,$A187,請求記録!$X$6:$X$3005,J$5)=0,"",SUMIFS(請求記録!$AC$6:$AC$3005,請求記録!$B$6:$B$3005,$A187,請求記録!$X$6:$X$3005,J$5))))</f>
        <v/>
      </c>
      <c r="K187" s="19">
        <f>IF($A187="","",IF(COUNTIFS(請求記録!$B$6:$B$3005,$A187,請求記録!$X$6:$X$3005,K$5,請求記録!$AD$6:$AD$3005,"保留中")&gt;0,"保留",IF(COUNTIFS(請求記録!$B$6:$B$3005,$A187,請求記録!$X$6:$X$3005,K$5)=0,"",SUMIFS(請求記録!$AC$6:$AC$3005,請求記録!$B$6:$B$3005,$A187,請求記録!$X$6:$X$3005,K$5))))</f>
        <v/>
      </c>
      <c r="L187" s="19">
        <f>IF($A187="","",IF(COUNTIFS(請求記録!$B$6:$B$3005,$A187,請求記録!$X$6:$X$3005,L$5,請求記録!$AD$6:$AD$3005,"保留中")&gt;0,"保留",IF(COUNTIFS(請求記録!$B$6:$B$3005,$A187,請求記録!$X$6:$X$3005,L$5)=0,"",SUMIFS(請求記録!$AC$6:$AC$3005,請求記録!$B$6:$B$3005,$A187,請求記録!$X$6:$X$3005,L$5))))</f>
        <v/>
      </c>
      <c r="M187" s="19">
        <f>IF($A187="","",IF(COUNTIFS(請求記録!$B$6:$B$3005,$A187,請求記録!$X$6:$X$3005,M$5,請求記録!$AD$6:$AD$3005,"保留中")&gt;0,"保留",IF(COUNTIFS(請求記録!$B$6:$B$3005,$A187,請求記録!$X$6:$X$3005,M$5)=0,"",SUMIFS(請求記録!$AC$6:$AC$3005,請求記録!$B$6:$B$3005,$A187,請求記録!$X$6:$X$3005,M$5))))</f>
        <v/>
      </c>
      <c r="N187" s="19">
        <f>IF($A187="","",IF(COUNTIFS(請求記録!$B$6:$B$3005,$A187,請求記録!$X$6:$X$3005,N$5,請求記録!$AD$6:$AD$3005,"保留中")&gt;0,"保留",IF(COUNTIFS(請求記録!$B$6:$B$3005,$A187,請求記録!$X$6:$X$3005,N$5)=0,"",SUMIFS(請求記録!$AC$6:$AC$3005,請求記録!$B$6:$B$3005,$A187,請求記録!$X$6:$X$3005,N$5))))</f>
        <v/>
      </c>
      <c r="O187" s="19">
        <f>IF($A187="","",IF(COUNTIFS(請求記録!$B$6:$B$3005,$A187,請求記録!$X$6:$X$3005,O$5,請求記録!$AD$6:$AD$3005,"保留中")&gt;0,"保留",IF(COUNTIFS(請求記録!$B$6:$B$3005,$A187,請求記録!$X$6:$X$3005,O$5)=0,"",SUMIFS(請求記録!$AC$6:$AC$3005,請求記録!$B$6:$B$3005,$A187,請求記録!$X$6:$X$3005,O$5))))</f>
        <v/>
      </c>
      <c r="P187" s="19">
        <f>IF($A187="","",IF(COUNTIFS(請求記録!$B$6:$B$3005,$A187,請求記録!$X$6:$X$3005,P$5,請求記録!$AD$6:$AD$3005,"保留中")&gt;0,"保留",IF(COUNTIFS(請求記録!$B$6:$B$3005,$A187,請求記録!$X$6:$X$3005,P$5)=0,"",SUMIFS(請求記録!$AC$6:$AC$3005,請求記録!$B$6:$B$3005,$A187,請求記録!$X$6:$X$3005,P$5))))</f>
        <v/>
      </c>
      <c r="Q187" s="19">
        <f>IF($A187="","",IF(COUNTIFS(請求記録!$B$6:$B$3005,$A187,請求記録!$X$6:$X$3005,Q$5,請求記録!$AD$6:$AD$3005,"保留中")&gt;0,"保留",IF(COUNTIFS(請求記録!$B$6:$B$3005,$A187,請求記録!$X$6:$X$3005,Q$5)=0,"",SUMIFS(請求記録!$AC$6:$AC$3005,請求記録!$B$6:$B$3005,$A187,請求記録!$X$6:$X$3005,Q$5))))</f>
        <v/>
      </c>
      <c r="R187" s="19">
        <f>IF($A187="","",IF(COUNTIFS(請求記録!$B$6:$B$3005,$A187,請求記録!$X$6:$X$3005,R$5,請求記録!$AD$6:$AD$3005,"保留中")&gt;0,"保留",IF(COUNTIFS(請求記録!$B$6:$B$3005,$A187,請求記録!$X$6:$X$3005,R$5)=0,"",SUMIFS(請求記録!$AC$6:$AC$3005,請求記録!$B$6:$B$3005,$A187,請求記録!$X$6:$X$3005,R$5))))</f>
        <v/>
      </c>
      <c r="S187" s="19">
        <f>IF($A187="","",IF(COUNTIFS(請求記録!$B$6:$B$3005,$A187,請求記録!$X$6:$X$3005,S$5,請求記録!$AD$6:$AD$3005,"保留中")&gt;0,"保留",IF(COUNTIFS(請求記録!$B$6:$B$3005,$A187,請求記録!$X$6:$X$3005,S$5)=0,"",SUMIFS(請求記録!$AC$6:$AC$3005,請求記録!$B$6:$B$3005,$A187,請求記録!$X$6:$X$3005,S$5))))</f>
        <v/>
      </c>
      <c r="T187" s="19">
        <f>IF($A187="","",IF(COUNTIFS(請求記録!$B$6:$B$3005,$A187,請求記録!$X$6:$X$3005,T$5,請求記録!$AD$6:$AD$3005,"保留中")&gt;0,"保留",IF(COUNTIFS(請求記録!$B$6:$B$3005,$A187,請求記録!$X$6:$X$3005,T$5)=0,"",SUMIFS(請求記録!$AC$6:$AC$3005,請求記録!$B$6:$B$3005,$A187,請求記録!$X$6:$X$3005,T$5))))</f>
        <v/>
      </c>
      <c r="U187" s="19">
        <f>IF($A187="","",IF(COUNTIFS(請求記録!$B$6:$B$3005,$A187,請求記録!$X$6:$X$3005,U$5,請求記録!$AD$6:$AD$3005,"保留中")&gt;0,"保留",IF(COUNTIFS(請求記録!$B$6:$B$3005,$A187,請求記録!$X$6:$X$3005,U$5)=0,"",SUMIFS(請求記録!$AC$6:$AC$3005,請求記録!$B$6:$B$3005,$A187,請求記録!$X$6:$X$3005,U$5))))</f>
        <v/>
      </c>
      <c r="V187" s="19">
        <f>IF($A187="","",IF(COUNTIFS(請求記録!$B$6:$B$3005,$A187,請求記録!$X$6:$X$3005,V$5,請求記録!$AD$6:$AD$3005,"保留中")&gt;0,"保留",IF(COUNTIFS(請求記録!$B$6:$B$3005,$A187,請求記録!$X$6:$X$3005,V$5)=0,"",SUMIFS(請求記録!$AC$6:$AC$3005,請求記録!$B$6:$B$3005,$A187,請求記録!$X$6:$X$3005,V$5))))</f>
        <v/>
      </c>
      <c r="W187" s="19">
        <f>IF($A187="","",IF(COUNTIFS(請求記録!$B$6:$B$3005,$A187,請求記録!$X$6:$X$3005,W$5,請求記録!$AD$6:$AD$3005,"保留中")&gt;0,"保留",IF(COUNTIFS(請求記録!$B$6:$B$3005,$A187,請求記録!$X$6:$X$3005,W$5)=0,"",SUMIFS(請求記録!$AC$6:$AC$3005,請求記録!$B$6:$B$3005,$A187,請求記録!$X$6:$X$3005,W$5))))</f>
        <v/>
      </c>
      <c r="X187" s="19">
        <f>IF($A187="","",IF(COUNTIFS(請求記録!$B$6:$B$3005,$A187,請求記録!$X$6:$X$3005,X$5,請求記録!$AD$6:$AD$3005,"保留中")&gt;0,"保留",IF(COUNTIFS(請求記録!$B$6:$B$3005,$A187,請求記録!$X$6:$X$3005,X$5)=0,"",SUMIFS(請求記録!$AC$6:$AC$3005,請求記録!$B$6:$B$3005,$A187,請求記録!$X$6:$X$3005,X$5))))</f>
        <v/>
      </c>
      <c r="Y187" s="19">
        <f>IF($A187="","",IF(COUNTIFS(請求記録!$B$6:$B$3005,$A187,請求記録!$X$6:$X$3005,Y$5,請求記録!$AD$6:$AD$3005,"保留中")&gt;0,"保留",IF(COUNTIFS(請求記録!$B$6:$B$3005,$A187,請求記録!$X$6:$X$3005,Y$5)=0,"",SUMIFS(請求記録!$AC$6:$AC$3005,請求記録!$B$6:$B$3005,$A187,請求記録!$X$6:$X$3005,Y$5))))</f>
        <v/>
      </c>
      <c r="Z187" s="19">
        <f>IF($A187="","",IF(COUNTIFS(請求記録!$B$6:$B$3005,$A187,請求記録!$X$6:$X$3005,Z$5,請求記録!$AD$6:$AD$3005,"保留中")&gt;0,"保留",IF(COUNTIFS(請求記録!$B$6:$B$3005,$A187,請求記録!$X$6:$X$3005,Z$5)=0,"",SUMIFS(請求記録!$AC$6:$AC$3005,請求記録!$B$6:$B$3005,$A187,請求記録!$X$6:$X$3005,Z$5))))</f>
        <v/>
      </c>
      <c r="AA187" s="19">
        <f>IF($A187="","",IF(COUNTIFS(請求記録!$B$6:$B$3005,$A187,請求記録!$X$6:$X$3005,AA$5,請求記録!$AD$6:$AD$3005,"保留中")&gt;0,"保留",IF(COUNTIFS(請求記録!$B$6:$B$3005,$A187,請求記録!$X$6:$X$3005,AA$5)=0,"",SUMIFS(請求記録!$AC$6:$AC$3005,請求記録!$B$6:$B$3005,$A187,請求記録!$X$6:$X$3005,AA$5))))</f>
        <v/>
      </c>
      <c r="AB187">
        <f>IF(職員マスタ!P187="保留中",職員マスタ!M187,"")</f>
        <v/>
      </c>
    </row>
    <row r="188">
      <c r="A188">
        <f>IF(職員マスタ!A188="","",職員マスタ!A188)</f>
        <v/>
      </c>
      <c r="B188">
        <f>IF($A188="","",職員マスタ!B188)</f>
        <v/>
      </c>
      <c r="C188">
        <f>IF($A188="","",職員マスタ!C188)</f>
        <v/>
      </c>
      <c r="D188" s="19">
        <f>IF($A188="","",IF(COUNTIFS(請求記録!$B$6:$B$3005,$A188,請求記録!$X$6:$X$3005,D$5,請求記録!$AD$6:$AD$3005,"保留中")&gt;0,"保留",IF(COUNTIFS(請求記録!$B$6:$B$3005,$A188,請求記録!$X$6:$X$3005,D$5)=0,"",SUMIFS(請求記録!$AC$6:$AC$3005,請求記録!$B$6:$B$3005,$A188,請求記録!$X$6:$X$3005,D$5))))</f>
        <v/>
      </c>
      <c r="E188" s="19">
        <f>IF($A188="","",IF(COUNTIFS(請求記録!$B$6:$B$3005,$A188,請求記録!$X$6:$X$3005,E$5,請求記録!$AD$6:$AD$3005,"保留中")&gt;0,"保留",IF(COUNTIFS(請求記録!$B$6:$B$3005,$A188,請求記録!$X$6:$X$3005,E$5)=0,"",SUMIFS(請求記録!$AC$6:$AC$3005,請求記録!$B$6:$B$3005,$A188,請求記録!$X$6:$X$3005,E$5))))</f>
        <v/>
      </c>
      <c r="F188" s="19">
        <f>IF($A188="","",IF(COUNTIFS(請求記録!$B$6:$B$3005,$A188,請求記録!$X$6:$X$3005,F$5,請求記録!$AD$6:$AD$3005,"保留中")&gt;0,"保留",IF(COUNTIFS(請求記録!$B$6:$B$3005,$A188,請求記録!$X$6:$X$3005,F$5)=0,"",SUMIFS(請求記録!$AC$6:$AC$3005,請求記録!$B$6:$B$3005,$A188,請求記録!$X$6:$X$3005,F$5))))</f>
        <v/>
      </c>
      <c r="G188" s="19">
        <f>IF($A188="","",IF(COUNTIFS(請求記録!$B$6:$B$3005,$A188,請求記録!$X$6:$X$3005,G$5,請求記録!$AD$6:$AD$3005,"保留中")&gt;0,"保留",IF(COUNTIFS(請求記録!$B$6:$B$3005,$A188,請求記録!$X$6:$X$3005,G$5)=0,"",SUMIFS(請求記録!$AC$6:$AC$3005,請求記録!$B$6:$B$3005,$A188,請求記録!$X$6:$X$3005,G$5))))</f>
        <v/>
      </c>
      <c r="H188" s="19">
        <f>IF($A188="","",IF(COUNTIFS(請求記録!$B$6:$B$3005,$A188,請求記録!$X$6:$X$3005,H$5,請求記録!$AD$6:$AD$3005,"保留中")&gt;0,"保留",IF(COUNTIFS(請求記録!$B$6:$B$3005,$A188,請求記録!$X$6:$X$3005,H$5)=0,"",SUMIFS(請求記録!$AC$6:$AC$3005,請求記録!$B$6:$B$3005,$A188,請求記録!$X$6:$X$3005,H$5))))</f>
        <v/>
      </c>
      <c r="I188" s="19">
        <f>IF($A188="","",IF(COUNTIFS(請求記録!$B$6:$B$3005,$A188,請求記録!$X$6:$X$3005,I$5,請求記録!$AD$6:$AD$3005,"保留中")&gt;0,"保留",IF(COUNTIFS(請求記録!$B$6:$B$3005,$A188,請求記録!$X$6:$X$3005,I$5)=0,"",SUMIFS(請求記録!$AC$6:$AC$3005,請求記録!$B$6:$B$3005,$A188,請求記録!$X$6:$X$3005,I$5))))</f>
        <v/>
      </c>
      <c r="J188" s="19">
        <f>IF($A188="","",IF(COUNTIFS(請求記録!$B$6:$B$3005,$A188,請求記録!$X$6:$X$3005,J$5,請求記録!$AD$6:$AD$3005,"保留中")&gt;0,"保留",IF(COUNTIFS(請求記録!$B$6:$B$3005,$A188,請求記録!$X$6:$X$3005,J$5)=0,"",SUMIFS(請求記録!$AC$6:$AC$3005,請求記録!$B$6:$B$3005,$A188,請求記録!$X$6:$X$3005,J$5))))</f>
        <v/>
      </c>
      <c r="K188" s="19">
        <f>IF($A188="","",IF(COUNTIFS(請求記録!$B$6:$B$3005,$A188,請求記録!$X$6:$X$3005,K$5,請求記録!$AD$6:$AD$3005,"保留中")&gt;0,"保留",IF(COUNTIFS(請求記録!$B$6:$B$3005,$A188,請求記録!$X$6:$X$3005,K$5)=0,"",SUMIFS(請求記録!$AC$6:$AC$3005,請求記録!$B$6:$B$3005,$A188,請求記録!$X$6:$X$3005,K$5))))</f>
        <v/>
      </c>
      <c r="L188" s="19">
        <f>IF($A188="","",IF(COUNTIFS(請求記録!$B$6:$B$3005,$A188,請求記録!$X$6:$X$3005,L$5,請求記録!$AD$6:$AD$3005,"保留中")&gt;0,"保留",IF(COUNTIFS(請求記録!$B$6:$B$3005,$A188,請求記録!$X$6:$X$3005,L$5)=0,"",SUMIFS(請求記録!$AC$6:$AC$3005,請求記録!$B$6:$B$3005,$A188,請求記録!$X$6:$X$3005,L$5))))</f>
        <v/>
      </c>
      <c r="M188" s="19">
        <f>IF($A188="","",IF(COUNTIFS(請求記録!$B$6:$B$3005,$A188,請求記録!$X$6:$X$3005,M$5,請求記録!$AD$6:$AD$3005,"保留中")&gt;0,"保留",IF(COUNTIFS(請求記録!$B$6:$B$3005,$A188,請求記録!$X$6:$X$3005,M$5)=0,"",SUMIFS(請求記録!$AC$6:$AC$3005,請求記録!$B$6:$B$3005,$A188,請求記録!$X$6:$X$3005,M$5))))</f>
        <v/>
      </c>
      <c r="N188" s="19">
        <f>IF($A188="","",IF(COUNTIFS(請求記録!$B$6:$B$3005,$A188,請求記録!$X$6:$X$3005,N$5,請求記録!$AD$6:$AD$3005,"保留中")&gt;0,"保留",IF(COUNTIFS(請求記録!$B$6:$B$3005,$A188,請求記録!$X$6:$X$3005,N$5)=0,"",SUMIFS(請求記録!$AC$6:$AC$3005,請求記録!$B$6:$B$3005,$A188,請求記録!$X$6:$X$3005,N$5))))</f>
        <v/>
      </c>
      <c r="O188" s="19">
        <f>IF($A188="","",IF(COUNTIFS(請求記録!$B$6:$B$3005,$A188,請求記録!$X$6:$X$3005,O$5,請求記録!$AD$6:$AD$3005,"保留中")&gt;0,"保留",IF(COUNTIFS(請求記録!$B$6:$B$3005,$A188,請求記録!$X$6:$X$3005,O$5)=0,"",SUMIFS(請求記録!$AC$6:$AC$3005,請求記録!$B$6:$B$3005,$A188,請求記録!$X$6:$X$3005,O$5))))</f>
        <v/>
      </c>
      <c r="P188" s="19">
        <f>IF($A188="","",IF(COUNTIFS(請求記録!$B$6:$B$3005,$A188,請求記録!$X$6:$X$3005,P$5,請求記録!$AD$6:$AD$3005,"保留中")&gt;0,"保留",IF(COUNTIFS(請求記録!$B$6:$B$3005,$A188,請求記録!$X$6:$X$3005,P$5)=0,"",SUMIFS(請求記録!$AC$6:$AC$3005,請求記録!$B$6:$B$3005,$A188,請求記録!$X$6:$X$3005,P$5))))</f>
        <v/>
      </c>
      <c r="Q188" s="19">
        <f>IF($A188="","",IF(COUNTIFS(請求記録!$B$6:$B$3005,$A188,請求記録!$X$6:$X$3005,Q$5,請求記録!$AD$6:$AD$3005,"保留中")&gt;0,"保留",IF(COUNTIFS(請求記録!$B$6:$B$3005,$A188,請求記録!$X$6:$X$3005,Q$5)=0,"",SUMIFS(請求記録!$AC$6:$AC$3005,請求記録!$B$6:$B$3005,$A188,請求記録!$X$6:$X$3005,Q$5))))</f>
        <v/>
      </c>
      <c r="R188" s="19">
        <f>IF($A188="","",IF(COUNTIFS(請求記録!$B$6:$B$3005,$A188,請求記録!$X$6:$X$3005,R$5,請求記録!$AD$6:$AD$3005,"保留中")&gt;0,"保留",IF(COUNTIFS(請求記録!$B$6:$B$3005,$A188,請求記録!$X$6:$X$3005,R$5)=0,"",SUMIFS(請求記録!$AC$6:$AC$3005,請求記録!$B$6:$B$3005,$A188,請求記録!$X$6:$X$3005,R$5))))</f>
        <v/>
      </c>
      <c r="S188" s="19">
        <f>IF($A188="","",IF(COUNTIFS(請求記録!$B$6:$B$3005,$A188,請求記録!$X$6:$X$3005,S$5,請求記録!$AD$6:$AD$3005,"保留中")&gt;0,"保留",IF(COUNTIFS(請求記録!$B$6:$B$3005,$A188,請求記録!$X$6:$X$3005,S$5)=0,"",SUMIFS(請求記録!$AC$6:$AC$3005,請求記録!$B$6:$B$3005,$A188,請求記録!$X$6:$X$3005,S$5))))</f>
        <v/>
      </c>
      <c r="T188" s="19">
        <f>IF($A188="","",IF(COUNTIFS(請求記録!$B$6:$B$3005,$A188,請求記録!$X$6:$X$3005,T$5,請求記録!$AD$6:$AD$3005,"保留中")&gt;0,"保留",IF(COUNTIFS(請求記録!$B$6:$B$3005,$A188,請求記録!$X$6:$X$3005,T$5)=0,"",SUMIFS(請求記録!$AC$6:$AC$3005,請求記録!$B$6:$B$3005,$A188,請求記録!$X$6:$X$3005,T$5))))</f>
        <v/>
      </c>
      <c r="U188" s="19">
        <f>IF($A188="","",IF(COUNTIFS(請求記録!$B$6:$B$3005,$A188,請求記録!$X$6:$X$3005,U$5,請求記録!$AD$6:$AD$3005,"保留中")&gt;0,"保留",IF(COUNTIFS(請求記録!$B$6:$B$3005,$A188,請求記録!$X$6:$X$3005,U$5)=0,"",SUMIFS(請求記録!$AC$6:$AC$3005,請求記録!$B$6:$B$3005,$A188,請求記録!$X$6:$X$3005,U$5))))</f>
        <v/>
      </c>
      <c r="V188" s="19">
        <f>IF($A188="","",IF(COUNTIFS(請求記録!$B$6:$B$3005,$A188,請求記録!$X$6:$X$3005,V$5,請求記録!$AD$6:$AD$3005,"保留中")&gt;0,"保留",IF(COUNTIFS(請求記録!$B$6:$B$3005,$A188,請求記録!$X$6:$X$3005,V$5)=0,"",SUMIFS(請求記録!$AC$6:$AC$3005,請求記録!$B$6:$B$3005,$A188,請求記録!$X$6:$X$3005,V$5))))</f>
        <v/>
      </c>
      <c r="W188" s="19">
        <f>IF($A188="","",IF(COUNTIFS(請求記録!$B$6:$B$3005,$A188,請求記録!$X$6:$X$3005,W$5,請求記録!$AD$6:$AD$3005,"保留中")&gt;0,"保留",IF(COUNTIFS(請求記録!$B$6:$B$3005,$A188,請求記録!$X$6:$X$3005,W$5)=0,"",SUMIFS(請求記録!$AC$6:$AC$3005,請求記録!$B$6:$B$3005,$A188,請求記録!$X$6:$X$3005,W$5))))</f>
        <v/>
      </c>
      <c r="X188" s="19">
        <f>IF($A188="","",IF(COUNTIFS(請求記録!$B$6:$B$3005,$A188,請求記録!$X$6:$X$3005,X$5,請求記録!$AD$6:$AD$3005,"保留中")&gt;0,"保留",IF(COUNTIFS(請求記録!$B$6:$B$3005,$A188,請求記録!$X$6:$X$3005,X$5)=0,"",SUMIFS(請求記録!$AC$6:$AC$3005,請求記録!$B$6:$B$3005,$A188,請求記録!$X$6:$X$3005,X$5))))</f>
        <v/>
      </c>
      <c r="Y188" s="19">
        <f>IF($A188="","",IF(COUNTIFS(請求記録!$B$6:$B$3005,$A188,請求記録!$X$6:$X$3005,Y$5,請求記録!$AD$6:$AD$3005,"保留中")&gt;0,"保留",IF(COUNTIFS(請求記録!$B$6:$B$3005,$A188,請求記録!$X$6:$X$3005,Y$5)=0,"",SUMIFS(請求記録!$AC$6:$AC$3005,請求記録!$B$6:$B$3005,$A188,請求記録!$X$6:$X$3005,Y$5))))</f>
        <v/>
      </c>
      <c r="Z188" s="19">
        <f>IF($A188="","",IF(COUNTIFS(請求記録!$B$6:$B$3005,$A188,請求記録!$X$6:$X$3005,Z$5,請求記録!$AD$6:$AD$3005,"保留中")&gt;0,"保留",IF(COUNTIFS(請求記録!$B$6:$B$3005,$A188,請求記録!$X$6:$X$3005,Z$5)=0,"",SUMIFS(請求記録!$AC$6:$AC$3005,請求記録!$B$6:$B$3005,$A188,請求記録!$X$6:$X$3005,Z$5))))</f>
        <v/>
      </c>
      <c r="AA188" s="19">
        <f>IF($A188="","",IF(COUNTIFS(請求記録!$B$6:$B$3005,$A188,請求記録!$X$6:$X$3005,AA$5,請求記録!$AD$6:$AD$3005,"保留中")&gt;0,"保留",IF(COUNTIFS(請求記録!$B$6:$B$3005,$A188,請求記録!$X$6:$X$3005,AA$5)=0,"",SUMIFS(請求記録!$AC$6:$AC$3005,請求記録!$B$6:$B$3005,$A188,請求記録!$X$6:$X$3005,AA$5))))</f>
        <v/>
      </c>
      <c r="AB188">
        <f>IF(職員マスタ!P188="保留中",職員マスタ!M188,"")</f>
        <v/>
      </c>
    </row>
    <row r="189">
      <c r="A189">
        <f>IF(職員マスタ!A189="","",職員マスタ!A189)</f>
        <v/>
      </c>
      <c r="B189">
        <f>IF($A189="","",職員マスタ!B189)</f>
        <v/>
      </c>
      <c r="C189">
        <f>IF($A189="","",職員マスタ!C189)</f>
        <v/>
      </c>
      <c r="D189" s="19">
        <f>IF($A189="","",IF(COUNTIFS(請求記録!$B$6:$B$3005,$A189,請求記録!$X$6:$X$3005,D$5,請求記録!$AD$6:$AD$3005,"保留中")&gt;0,"保留",IF(COUNTIFS(請求記録!$B$6:$B$3005,$A189,請求記録!$X$6:$X$3005,D$5)=0,"",SUMIFS(請求記録!$AC$6:$AC$3005,請求記録!$B$6:$B$3005,$A189,請求記録!$X$6:$X$3005,D$5))))</f>
        <v/>
      </c>
      <c r="E189" s="19">
        <f>IF($A189="","",IF(COUNTIFS(請求記録!$B$6:$B$3005,$A189,請求記録!$X$6:$X$3005,E$5,請求記録!$AD$6:$AD$3005,"保留中")&gt;0,"保留",IF(COUNTIFS(請求記録!$B$6:$B$3005,$A189,請求記録!$X$6:$X$3005,E$5)=0,"",SUMIFS(請求記録!$AC$6:$AC$3005,請求記録!$B$6:$B$3005,$A189,請求記録!$X$6:$X$3005,E$5))))</f>
        <v/>
      </c>
      <c r="F189" s="19">
        <f>IF($A189="","",IF(COUNTIFS(請求記録!$B$6:$B$3005,$A189,請求記録!$X$6:$X$3005,F$5,請求記録!$AD$6:$AD$3005,"保留中")&gt;0,"保留",IF(COUNTIFS(請求記録!$B$6:$B$3005,$A189,請求記録!$X$6:$X$3005,F$5)=0,"",SUMIFS(請求記録!$AC$6:$AC$3005,請求記録!$B$6:$B$3005,$A189,請求記録!$X$6:$X$3005,F$5))))</f>
        <v/>
      </c>
      <c r="G189" s="19">
        <f>IF($A189="","",IF(COUNTIFS(請求記録!$B$6:$B$3005,$A189,請求記録!$X$6:$X$3005,G$5,請求記録!$AD$6:$AD$3005,"保留中")&gt;0,"保留",IF(COUNTIFS(請求記録!$B$6:$B$3005,$A189,請求記録!$X$6:$X$3005,G$5)=0,"",SUMIFS(請求記録!$AC$6:$AC$3005,請求記録!$B$6:$B$3005,$A189,請求記録!$X$6:$X$3005,G$5))))</f>
        <v/>
      </c>
      <c r="H189" s="19">
        <f>IF($A189="","",IF(COUNTIFS(請求記録!$B$6:$B$3005,$A189,請求記録!$X$6:$X$3005,H$5,請求記録!$AD$6:$AD$3005,"保留中")&gt;0,"保留",IF(COUNTIFS(請求記録!$B$6:$B$3005,$A189,請求記録!$X$6:$X$3005,H$5)=0,"",SUMIFS(請求記録!$AC$6:$AC$3005,請求記録!$B$6:$B$3005,$A189,請求記録!$X$6:$X$3005,H$5))))</f>
        <v/>
      </c>
      <c r="I189" s="19">
        <f>IF($A189="","",IF(COUNTIFS(請求記録!$B$6:$B$3005,$A189,請求記録!$X$6:$X$3005,I$5,請求記録!$AD$6:$AD$3005,"保留中")&gt;0,"保留",IF(COUNTIFS(請求記録!$B$6:$B$3005,$A189,請求記録!$X$6:$X$3005,I$5)=0,"",SUMIFS(請求記録!$AC$6:$AC$3005,請求記録!$B$6:$B$3005,$A189,請求記録!$X$6:$X$3005,I$5))))</f>
        <v/>
      </c>
      <c r="J189" s="19">
        <f>IF($A189="","",IF(COUNTIFS(請求記録!$B$6:$B$3005,$A189,請求記録!$X$6:$X$3005,J$5,請求記録!$AD$6:$AD$3005,"保留中")&gt;0,"保留",IF(COUNTIFS(請求記録!$B$6:$B$3005,$A189,請求記録!$X$6:$X$3005,J$5)=0,"",SUMIFS(請求記録!$AC$6:$AC$3005,請求記録!$B$6:$B$3005,$A189,請求記録!$X$6:$X$3005,J$5))))</f>
        <v/>
      </c>
      <c r="K189" s="19">
        <f>IF($A189="","",IF(COUNTIFS(請求記録!$B$6:$B$3005,$A189,請求記録!$X$6:$X$3005,K$5,請求記録!$AD$6:$AD$3005,"保留中")&gt;0,"保留",IF(COUNTIFS(請求記録!$B$6:$B$3005,$A189,請求記録!$X$6:$X$3005,K$5)=0,"",SUMIFS(請求記録!$AC$6:$AC$3005,請求記録!$B$6:$B$3005,$A189,請求記録!$X$6:$X$3005,K$5))))</f>
        <v/>
      </c>
      <c r="L189" s="19">
        <f>IF($A189="","",IF(COUNTIFS(請求記録!$B$6:$B$3005,$A189,請求記録!$X$6:$X$3005,L$5,請求記録!$AD$6:$AD$3005,"保留中")&gt;0,"保留",IF(COUNTIFS(請求記録!$B$6:$B$3005,$A189,請求記録!$X$6:$X$3005,L$5)=0,"",SUMIFS(請求記録!$AC$6:$AC$3005,請求記録!$B$6:$B$3005,$A189,請求記録!$X$6:$X$3005,L$5))))</f>
        <v/>
      </c>
      <c r="M189" s="19">
        <f>IF($A189="","",IF(COUNTIFS(請求記録!$B$6:$B$3005,$A189,請求記録!$X$6:$X$3005,M$5,請求記録!$AD$6:$AD$3005,"保留中")&gt;0,"保留",IF(COUNTIFS(請求記録!$B$6:$B$3005,$A189,請求記録!$X$6:$X$3005,M$5)=0,"",SUMIFS(請求記録!$AC$6:$AC$3005,請求記録!$B$6:$B$3005,$A189,請求記録!$X$6:$X$3005,M$5))))</f>
        <v/>
      </c>
      <c r="N189" s="19">
        <f>IF($A189="","",IF(COUNTIFS(請求記録!$B$6:$B$3005,$A189,請求記録!$X$6:$X$3005,N$5,請求記録!$AD$6:$AD$3005,"保留中")&gt;0,"保留",IF(COUNTIFS(請求記録!$B$6:$B$3005,$A189,請求記録!$X$6:$X$3005,N$5)=0,"",SUMIFS(請求記録!$AC$6:$AC$3005,請求記録!$B$6:$B$3005,$A189,請求記録!$X$6:$X$3005,N$5))))</f>
        <v/>
      </c>
      <c r="O189" s="19">
        <f>IF($A189="","",IF(COUNTIFS(請求記録!$B$6:$B$3005,$A189,請求記録!$X$6:$X$3005,O$5,請求記録!$AD$6:$AD$3005,"保留中")&gt;0,"保留",IF(COUNTIFS(請求記録!$B$6:$B$3005,$A189,請求記録!$X$6:$X$3005,O$5)=0,"",SUMIFS(請求記録!$AC$6:$AC$3005,請求記録!$B$6:$B$3005,$A189,請求記録!$X$6:$X$3005,O$5))))</f>
        <v/>
      </c>
      <c r="P189" s="19">
        <f>IF($A189="","",IF(COUNTIFS(請求記録!$B$6:$B$3005,$A189,請求記録!$X$6:$X$3005,P$5,請求記録!$AD$6:$AD$3005,"保留中")&gt;0,"保留",IF(COUNTIFS(請求記録!$B$6:$B$3005,$A189,請求記録!$X$6:$X$3005,P$5)=0,"",SUMIFS(請求記録!$AC$6:$AC$3005,請求記録!$B$6:$B$3005,$A189,請求記録!$X$6:$X$3005,P$5))))</f>
        <v/>
      </c>
      <c r="Q189" s="19">
        <f>IF($A189="","",IF(COUNTIFS(請求記録!$B$6:$B$3005,$A189,請求記録!$X$6:$X$3005,Q$5,請求記録!$AD$6:$AD$3005,"保留中")&gt;0,"保留",IF(COUNTIFS(請求記録!$B$6:$B$3005,$A189,請求記録!$X$6:$X$3005,Q$5)=0,"",SUMIFS(請求記録!$AC$6:$AC$3005,請求記録!$B$6:$B$3005,$A189,請求記録!$X$6:$X$3005,Q$5))))</f>
        <v/>
      </c>
      <c r="R189" s="19">
        <f>IF($A189="","",IF(COUNTIFS(請求記録!$B$6:$B$3005,$A189,請求記録!$X$6:$X$3005,R$5,請求記録!$AD$6:$AD$3005,"保留中")&gt;0,"保留",IF(COUNTIFS(請求記録!$B$6:$B$3005,$A189,請求記録!$X$6:$X$3005,R$5)=0,"",SUMIFS(請求記録!$AC$6:$AC$3005,請求記録!$B$6:$B$3005,$A189,請求記録!$X$6:$X$3005,R$5))))</f>
        <v/>
      </c>
      <c r="S189" s="19">
        <f>IF($A189="","",IF(COUNTIFS(請求記録!$B$6:$B$3005,$A189,請求記録!$X$6:$X$3005,S$5,請求記録!$AD$6:$AD$3005,"保留中")&gt;0,"保留",IF(COUNTIFS(請求記録!$B$6:$B$3005,$A189,請求記録!$X$6:$X$3005,S$5)=0,"",SUMIFS(請求記録!$AC$6:$AC$3005,請求記録!$B$6:$B$3005,$A189,請求記録!$X$6:$X$3005,S$5))))</f>
        <v/>
      </c>
      <c r="T189" s="19">
        <f>IF($A189="","",IF(COUNTIFS(請求記録!$B$6:$B$3005,$A189,請求記録!$X$6:$X$3005,T$5,請求記録!$AD$6:$AD$3005,"保留中")&gt;0,"保留",IF(COUNTIFS(請求記録!$B$6:$B$3005,$A189,請求記録!$X$6:$X$3005,T$5)=0,"",SUMIFS(請求記録!$AC$6:$AC$3005,請求記録!$B$6:$B$3005,$A189,請求記録!$X$6:$X$3005,T$5))))</f>
        <v/>
      </c>
      <c r="U189" s="19">
        <f>IF($A189="","",IF(COUNTIFS(請求記録!$B$6:$B$3005,$A189,請求記録!$X$6:$X$3005,U$5,請求記録!$AD$6:$AD$3005,"保留中")&gt;0,"保留",IF(COUNTIFS(請求記録!$B$6:$B$3005,$A189,請求記録!$X$6:$X$3005,U$5)=0,"",SUMIFS(請求記録!$AC$6:$AC$3005,請求記録!$B$6:$B$3005,$A189,請求記録!$X$6:$X$3005,U$5))))</f>
        <v/>
      </c>
      <c r="V189" s="19">
        <f>IF($A189="","",IF(COUNTIFS(請求記録!$B$6:$B$3005,$A189,請求記録!$X$6:$X$3005,V$5,請求記録!$AD$6:$AD$3005,"保留中")&gt;0,"保留",IF(COUNTIFS(請求記録!$B$6:$B$3005,$A189,請求記録!$X$6:$X$3005,V$5)=0,"",SUMIFS(請求記録!$AC$6:$AC$3005,請求記録!$B$6:$B$3005,$A189,請求記録!$X$6:$X$3005,V$5))))</f>
        <v/>
      </c>
      <c r="W189" s="19">
        <f>IF($A189="","",IF(COUNTIFS(請求記録!$B$6:$B$3005,$A189,請求記録!$X$6:$X$3005,W$5,請求記録!$AD$6:$AD$3005,"保留中")&gt;0,"保留",IF(COUNTIFS(請求記録!$B$6:$B$3005,$A189,請求記録!$X$6:$X$3005,W$5)=0,"",SUMIFS(請求記録!$AC$6:$AC$3005,請求記録!$B$6:$B$3005,$A189,請求記録!$X$6:$X$3005,W$5))))</f>
        <v/>
      </c>
      <c r="X189" s="19">
        <f>IF($A189="","",IF(COUNTIFS(請求記録!$B$6:$B$3005,$A189,請求記録!$X$6:$X$3005,X$5,請求記録!$AD$6:$AD$3005,"保留中")&gt;0,"保留",IF(COUNTIFS(請求記録!$B$6:$B$3005,$A189,請求記録!$X$6:$X$3005,X$5)=0,"",SUMIFS(請求記録!$AC$6:$AC$3005,請求記録!$B$6:$B$3005,$A189,請求記録!$X$6:$X$3005,X$5))))</f>
        <v/>
      </c>
      <c r="Y189" s="19">
        <f>IF($A189="","",IF(COUNTIFS(請求記録!$B$6:$B$3005,$A189,請求記録!$X$6:$X$3005,Y$5,請求記録!$AD$6:$AD$3005,"保留中")&gt;0,"保留",IF(COUNTIFS(請求記録!$B$6:$B$3005,$A189,請求記録!$X$6:$X$3005,Y$5)=0,"",SUMIFS(請求記録!$AC$6:$AC$3005,請求記録!$B$6:$B$3005,$A189,請求記録!$X$6:$X$3005,Y$5))))</f>
        <v/>
      </c>
      <c r="Z189" s="19">
        <f>IF($A189="","",IF(COUNTIFS(請求記録!$B$6:$B$3005,$A189,請求記録!$X$6:$X$3005,Z$5,請求記録!$AD$6:$AD$3005,"保留中")&gt;0,"保留",IF(COUNTIFS(請求記録!$B$6:$B$3005,$A189,請求記録!$X$6:$X$3005,Z$5)=0,"",SUMIFS(請求記録!$AC$6:$AC$3005,請求記録!$B$6:$B$3005,$A189,請求記録!$X$6:$X$3005,Z$5))))</f>
        <v/>
      </c>
      <c r="AA189" s="19">
        <f>IF($A189="","",IF(COUNTIFS(請求記録!$B$6:$B$3005,$A189,請求記録!$X$6:$X$3005,AA$5,請求記録!$AD$6:$AD$3005,"保留中")&gt;0,"保留",IF(COUNTIFS(請求記録!$B$6:$B$3005,$A189,請求記録!$X$6:$X$3005,AA$5)=0,"",SUMIFS(請求記録!$AC$6:$AC$3005,請求記録!$B$6:$B$3005,$A189,請求記録!$X$6:$X$3005,AA$5))))</f>
        <v/>
      </c>
      <c r="AB189">
        <f>IF(職員マスタ!P189="保留中",職員マスタ!M189,"")</f>
        <v/>
      </c>
    </row>
    <row r="190">
      <c r="A190">
        <f>IF(職員マスタ!A190="","",職員マスタ!A190)</f>
        <v/>
      </c>
      <c r="B190">
        <f>IF($A190="","",職員マスタ!B190)</f>
        <v/>
      </c>
      <c r="C190">
        <f>IF($A190="","",職員マスタ!C190)</f>
        <v/>
      </c>
      <c r="D190" s="19">
        <f>IF($A190="","",IF(COUNTIFS(請求記録!$B$6:$B$3005,$A190,請求記録!$X$6:$X$3005,D$5,請求記録!$AD$6:$AD$3005,"保留中")&gt;0,"保留",IF(COUNTIFS(請求記録!$B$6:$B$3005,$A190,請求記録!$X$6:$X$3005,D$5)=0,"",SUMIFS(請求記録!$AC$6:$AC$3005,請求記録!$B$6:$B$3005,$A190,請求記録!$X$6:$X$3005,D$5))))</f>
        <v/>
      </c>
      <c r="E190" s="19">
        <f>IF($A190="","",IF(COUNTIFS(請求記録!$B$6:$B$3005,$A190,請求記録!$X$6:$X$3005,E$5,請求記録!$AD$6:$AD$3005,"保留中")&gt;0,"保留",IF(COUNTIFS(請求記録!$B$6:$B$3005,$A190,請求記録!$X$6:$X$3005,E$5)=0,"",SUMIFS(請求記録!$AC$6:$AC$3005,請求記録!$B$6:$B$3005,$A190,請求記録!$X$6:$X$3005,E$5))))</f>
        <v/>
      </c>
      <c r="F190" s="19">
        <f>IF($A190="","",IF(COUNTIFS(請求記録!$B$6:$B$3005,$A190,請求記録!$X$6:$X$3005,F$5,請求記録!$AD$6:$AD$3005,"保留中")&gt;0,"保留",IF(COUNTIFS(請求記録!$B$6:$B$3005,$A190,請求記録!$X$6:$X$3005,F$5)=0,"",SUMIFS(請求記録!$AC$6:$AC$3005,請求記録!$B$6:$B$3005,$A190,請求記録!$X$6:$X$3005,F$5))))</f>
        <v/>
      </c>
      <c r="G190" s="19">
        <f>IF($A190="","",IF(COUNTIFS(請求記録!$B$6:$B$3005,$A190,請求記録!$X$6:$X$3005,G$5,請求記録!$AD$6:$AD$3005,"保留中")&gt;0,"保留",IF(COUNTIFS(請求記録!$B$6:$B$3005,$A190,請求記録!$X$6:$X$3005,G$5)=0,"",SUMIFS(請求記録!$AC$6:$AC$3005,請求記録!$B$6:$B$3005,$A190,請求記録!$X$6:$X$3005,G$5))))</f>
        <v/>
      </c>
      <c r="H190" s="19">
        <f>IF($A190="","",IF(COUNTIFS(請求記録!$B$6:$B$3005,$A190,請求記録!$X$6:$X$3005,H$5,請求記録!$AD$6:$AD$3005,"保留中")&gt;0,"保留",IF(COUNTIFS(請求記録!$B$6:$B$3005,$A190,請求記録!$X$6:$X$3005,H$5)=0,"",SUMIFS(請求記録!$AC$6:$AC$3005,請求記録!$B$6:$B$3005,$A190,請求記録!$X$6:$X$3005,H$5))))</f>
        <v/>
      </c>
      <c r="I190" s="19">
        <f>IF($A190="","",IF(COUNTIFS(請求記録!$B$6:$B$3005,$A190,請求記録!$X$6:$X$3005,I$5,請求記録!$AD$6:$AD$3005,"保留中")&gt;0,"保留",IF(COUNTIFS(請求記録!$B$6:$B$3005,$A190,請求記録!$X$6:$X$3005,I$5)=0,"",SUMIFS(請求記録!$AC$6:$AC$3005,請求記録!$B$6:$B$3005,$A190,請求記録!$X$6:$X$3005,I$5))))</f>
        <v/>
      </c>
      <c r="J190" s="19">
        <f>IF($A190="","",IF(COUNTIFS(請求記録!$B$6:$B$3005,$A190,請求記録!$X$6:$X$3005,J$5,請求記録!$AD$6:$AD$3005,"保留中")&gt;0,"保留",IF(COUNTIFS(請求記録!$B$6:$B$3005,$A190,請求記録!$X$6:$X$3005,J$5)=0,"",SUMIFS(請求記録!$AC$6:$AC$3005,請求記録!$B$6:$B$3005,$A190,請求記録!$X$6:$X$3005,J$5))))</f>
        <v/>
      </c>
      <c r="K190" s="19">
        <f>IF($A190="","",IF(COUNTIFS(請求記録!$B$6:$B$3005,$A190,請求記録!$X$6:$X$3005,K$5,請求記録!$AD$6:$AD$3005,"保留中")&gt;0,"保留",IF(COUNTIFS(請求記録!$B$6:$B$3005,$A190,請求記録!$X$6:$X$3005,K$5)=0,"",SUMIFS(請求記録!$AC$6:$AC$3005,請求記録!$B$6:$B$3005,$A190,請求記録!$X$6:$X$3005,K$5))))</f>
        <v/>
      </c>
      <c r="L190" s="19">
        <f>IF($A190="","",IF(COUNTIFS(請求記録!$B$6:$B$3005,$A190,請求記録!$X$6:$X$3005,L$5,請求記録!$AD$6:$AD$3005,"保留中")&gt;0,"保留",IF(COUNTIFS(請求記録!$B$6:$B$3005,$A190,請求記録!$X$6:$X$3005,L$5)=0,"",SUMIFS(請求記録!$AC$6:$AC$3005,請求記録!$B$6:$B$3005,$A190,請求記録!$X$6:$X$3005,L$5))))</f>
        <v/>
      </c>
      <c r="M190" s="19">
        <f>IF($A190="","",IF(COUNTIFS(請求記録!$B$6:$B$3005,$A190,請求記録!$X$6:$X$3005,M$5,請求記録!$AD$6:$AD$3005,"保留中")&gt;0,"保留",IF(COUNTIFS(請求記録!$B$6:$B$3005,$A190,請求記録!$X$6:$X$3005,M$5)=0,"",SUMIFS(請求記録!$AC$6:$AC$3005,請求記録!$B$6:$B$3005,$A190,請求記録!$X$6:$X$3005,M$5))))</f>
        <v/>
      </c>
      <c r="N190" s="19">
        <f>IF($A190="","",IF(COUNTIFS(請求記録!$B$6:$B$3005,$A190,請求記録!$X$6:$X$3005,N$5,請求記録!$AD$6:$AD$3005,"保留中")&gt;0,"保留",IF(COUNTIFS(請求記録!$B$6:$B$3005,$A190,請求記録!$X$6:$X$3005,N$5)=0,"",SUMIFS(請求記録!$AC$6:$AC$3005,請求記録!$B$6:$B$3005,$A190,請求記録!$X$6:$X$3005,N$5))))</f>
        <v/>
      </c>
      <c r="O190" s="19">
        <f>IF($A190="","",IF(COUNTIFS(請求記録!$B$6:$B$3005,$A190,請求記録!$X$6:$X$3005,O$5,請求記録!$AD$6:$AD$3005,"保留中")&gt;0,"保留",IF(COUNTIFS(請求記録!$B$6:$B$3005,$A190,請求記録!$X$6:$X$3005,O$5)=0,"",SUMIFS(請求記録!$AC$6:$AC$3005,請求記録!$B$6:$B$3005,$A190,請求記録!$X$6:$X$3005,O$5))))</f>
        <v/>
      </c>
      <c r="P190" s="19">
        <f>IF($A190="","",IF(COUNTIFS(請求記録!$B$6:$B$3005,$A190,請求記録!$X$6:$X$3005,P$5,請求記録!$AD$6:$AD$3005,"保留中")&gt;0,"保留",IF(COUNTIFS(請求記録!$B$6:$B$3005,$A190,請求記録!$X$6:$X$3005,P$5)=0,"",SUMIFS(請求記録!$AC$6:$AC$3005,請求記録!$B$6:$B$3005,$A190,請求記録!$X$6:$X$3005,P$5))))</f>
        <v/>
      </c>
      <c r="Q190" s="19">
        <f>IF($A190="","",IF(COUNTIFS(請求記録!$B$6:$B$3005,$A190,請求記録!$X$6:$X$3005,Q$5,請求記録!$AD$6:$AD$3005,"保留中")&gt;0,"保留",IF(COUNTIFS(請求記録!$B$6:$B$3005,$A190,請求記録!$X$6:$X$3005,Q$5)=0,"",SUMIFS(請求記録!$AC$6:$AC$3005,請求記録!$B$6:$B$3005,$A190,請求記録!$X$6:$X$3005,Q$5))))</f>
        <v/>
      </c>
      <c r="R190" s="19">
        <f>IF($A190="","",IF(COUNTIFS(請求記録!$B$6:$B$3005,$A190,請求記録!$X$6:$X$3005,R$5,請求記録!$AD$6:$AD$3005,"保留中")&gt;0,"保留",IF(COUNTIFS(請求記録!$B$6:$B$3005,$A190,請求記録!$X$6:$X$3005,R$5)=0,"",SUMIFS(請求記録!$AC$6:$AC$3005,請求記録!$B$6:$B$3005,$A190,請求記録!$X$6:$X$3005,R$5))))</f>
        <v/>
      </c>
      <c r="S190" s="19">
        <f>IF($A190="","",IF(COUNTIFS(請求記録!$B$6:$B$3005,$A190,請求記録!$X$6:$X$3005,S$5,請求記録!$AD$6:$AD$3005,"保留中")&gt;0,"保留",IF(COUNTIFS(請求記録!$B$6:$B$3005,$A190,請求記録!$X$6:$X$3005,S$5)=0,"",SUMIFS(請求記録!$AC$6:$AC$3005,請求記録!$B$6:$B$3005,$A190,請求記録!$X$6:$X$3005,S$5))))</f>
        <v/>
      </c>
      <c r="T190" s="19">
        <f>IF($A190="","",IF(COUNTIFS(請求記録!$B$6:$B$3005,$A190,請求記録!$X$6:$X$3005,T$5,請求記録!$AD$6:$AD$3005,"保留中")&gt;0,"保留",IF(COUNTIFS(請求記録!$B$6:$B$3005,$A190,請求記録!$X$6:$X$3005,T$5)=0,"",SUMIFS(請求記録!$AC$6:$AC$3005,請求記録!$B$6:$B$3005,$A190,請求記録!$X$6:$X$3005,T$5))))</f>
        <v/>
      </c>
      <c r="U190" s="19">
        <f>IF($A190="","",IF(COUNTIFS(請求記録!$B$6:$B$3005,$A190,請求記録!$X$6:$X$3005,U$5,請求記録!$AD$6:$AD$3005,"保留中")&gt;0,"保留",IF(COUNTIFS(請求記録!$B$6:$B$3005,$A190,請求記録!$X$6:$X$3005,U$5)=0,"",SUMIFS(請求記録!$AC$6:$AC$3005,請求記録!$B$6:$B$3005,$A190,請求記録!$X$6:$X$3005,U$5))))</f>
        <v/>
      </c>
      <c r="V190" s="19">
        <f>IF($A190="","",IF(COUNTIFS(請求記録!$B$6:$B$3005,$A190,請求記録!$X$6:$X$3005,V$5,請求記録!$AD$6:$AD$3005,"保留中")&gt;0,"保留",IF(COUNTIFS(請求記録!$B$6:$B$3005,$A190,請求記録!$X$6:$X$3005,V$5)=0,"",SUMIFS(請求記録!$AC$6:$AC$3005,請求記録!$B$6:$B$3005,$A190,請求記録!$X$6:$X$3005,V$5))))</f>
        <v/>
      </c>
      <c r="W190" s="19">
        <f>IF($A190="","",IF(COUNTIFS(請求記録!$B$6:$B$3005,$A190,請求記録!$X$6:$X$3005,W$5,請求記録!$AD$6:$AD$3005,"保留中")&gt;0,"保留",IF(COUNTIFS(請求記録!$B$6:$B$3005,$A190,請求記録!$X$6:$X$3005,W$5)=0,"",SUMIFS(請求記録!$AC$6:$AC$3005,請求記録!$B$6:$B$3005,$A190,請求記録!$X$6:$X$3005,W$5))))</f>
        <v/>
      </c>
      <c r="X190" s="19">
        <f>IF($A190="","",IF(COUNTIFS(請求記録!$B$6:$B$3005,$A190,請求記録!$X$6:$X$3005,X$5,請求記録!$AD$6:$AD$3005,"保留中")&gt;0,"保留",IF(COUNTIFS(請求記録!$B$6:$B$3005,$A190,請求記録!$X$6:$X$3005,X$5)=0,"",SUMIFS(請求記録!$AC$6:$AC$3005,請求記録!$B$6:$B$3005,$A190,請求記録!$X$6:$X$3005,X$5))))</f>
        <v/>
      </c>
      <c r="Y190" s="19">
        <f>IF($A190="","",IF(COUNTIFS(請求記録!$B$6:$B$3005,$A190,請求記録!$X$6:$X$3005,Y$5,請求記録!$AD$6:$AD$3005,"保留中")&gt;0,"保留",IF(COUNTIFS(請求記録!$B$6:$B$3005,$A190,請求記録!$X$6:$X$3005,Y$5)=0,"",SUMIFS(請求記録!$AC$6:$AC$3005,請求記録!$B$6:$B$3005,$A190,請求記録!$X$6:$X$3005,Y$5))))</f>
        <v/>
      </c>
      <c r="Z190" s="19">
        <f>IF($A190="","",IF(COUNTIFS(請求記録!$B$6:$B$3005,$A190,請求記録!$X$6:$X$3005,Z$5,請求記録!$AD$6:$AD$3005,"保留中")&gt;0,"保留",IF(COUNTIFS(請求記録!$B$6:$B$3005,$A190,請求記録!$X$6:$X$3005,Z$5)=0,"",SUMIFS(請求記録!$AC$6:$AC$3005,請求記録!$B$6:$B$3005,$A190,請求記録!$X$6:$X$3005,Z$5))))</f>
        <v/>
      </c>
      <c r="AA190" s="19">
        <f>IF($A190="","",IF(COUNTIFS(請求記録!$B$6:$B$3005,$A190,請求記録!$X$6:$X$3005,AA$5,請求記録!$AD$6:$AD$3005,"保留中")&gt;0,"保留",IF(COUNTIFS(請求記録!$B$6:$B$3005,$A190,請求記録!$X$6:$X$3005,AA$5)=0,"",SUMIFS(請求記録!$AC$6:$AC$3005,請求記録!$B$6:$B$3005,$A190,請求記録!$X$6:$X$3005,AA$5))))</f>
        <v/>
      </c>
      <c r="AB190">
        <f>IF(職員マスタ!P190="保留中",職員マスタ!M190,"")</f>
        <v/>
      </c>
    </row>
    <row r="191">
      <c r="A191">
        <f>IF(職員マスタ!A191="","",職員マスタ!A191)</f>
        <v/>
      </c>
      <c r="B191">
        <f>IF($A191="","",職員マスタ!B191)</f>
        <v/>
      </c>
      <c r="C191">
        <f>IF($A191="","",職員マスタ!C191)</f>
        <v/>
      </c>
      <c r="D191" s="19">
        <f>IF($A191="","",IF(COUNTIFS(請求記録!$B$6:$B$3005,$A191,請求記録!$X$6:$X$3005,D$5,請求記録!$AD$6:$AD$3005,"保留中")&gt;0,"保留",IF(COUNTIFS(請求記録!$B$6:$B$3005,$A191,請求記録!$X$6:$X$3005,D$5)=0,"",SUMIFS(請求記録!$AC$6:$AC$3005,請求記録!$B$6:$B$3005,$A191,請求記録!$X$6:$X$3005,D$5))))</f>
        <v/>
      </c>
      <c r="E191" s="19">
        <f>IF($A191="","",IF(COUNTIFS(請求記録!$B$6:$B$3005,$A191,請求記録!$X$6:$X$3005,E$5,請求記録!$AD$6:$AD$3005,"保留中")&gt;0,"保留",IF(COUNTIFS(請求記録!$B$6:$B$3005,$A191,請求記録!$X$6:$X$3005,E$5)=0,"",SUMIFS(請求記録!$AC$6:$AC$3005,請求記録!$B$6:$B$3005,$A191,請求記録!$X$6:$X$3005,E$5))))</f>
        <v/>
      </c>
      <c r="F191" s="19">
        <f>IF($A191="","",IF(COUNTIFS(請求記録!$B$6:$B$3005,$A191,請求記録!$X$6:$X$3005,F$5,請求記録!$AD$6:$AD$3005,"保留中")&gt;0,"保留",IF(COUNTIFS(請求記録!$B$6:$B$3005,$A191,請求記録!$X$6:$X$3005,F$5)=0,"",SUMIFS(請求記録!$AC$6:$AC$3005,請求記録!$B$6:$B$3005,$A191,請求記録!$X$6:$X$3005,F$5))))</f>
        <v/>
      </c>
      <c r="G191" s="19">
        <f>IF($A191="","",IF(COUNTIFS(請求記録!$B$6:$B$3005,$A191,請求記録!$X$6:$X$3005,G$5,請求記録!$AD$6:$AD$3005,"保留中")&gt;0,"保留",IF(COUNTIFS(請求記録!$B$6:$B$3005,$A191,請求記録!$X$6:$X$3005,G$5)=0,"",SUMIFS(請求記録!$AC$6:$AC$3005,請求記録!$B$6:$B$3005,$A191,請求記録!$X$6:$X$3005,G$5))))</f>
        <v/>
      </c>
      <c r="H191" s="19">
        <f>IF($A191="","",IF(COUNTIFS(請求記録!$B$6:$B$3005,$A191,請求記録!$X$6:$X$3005,H$5,請求記録!$AD$6:$AD$3005,"保留中")&gt;0,"保留",IF(COUNTIFS(請求記録!$B$6:$B$3005,$A191,請求記録!$X$6:$X$3005,H$5)=0,"",SUMIFS(請求記録!$AC$6:$AC$3005,請求記録!$B$6:$B$3005,$A191,請求記録!$X$6:$X$3005,H$5))))</f>
        <v/>
      </c>
      <c r="I191" s="19">
        <f>IF($A191="","",IF(COUNTIFS(請求記録!$B$6:$B$3005,$A191,請求記録!$X$6:$X$3005,I$5,請求記録!$AD$6:$AD$3005,"保留中")&gt;0,"保留",IF(COUNTIFS(請求記録!$B$6:$B$3005,$A191,請求記録!$X$6:$X$3005,I$5)=0,"",SUMIFS(請求記録!$AC$6:$AC$3005,請求記録!$B$6:$B$3005,$A191,請求記録!$X$6:$X$3005,I$5))))</f>
        <v/>
      </c>
      <c r="J191" s="19">
        <f>IF($A191="","",IF(COUNTIFS(請求記録!$B$6:$B$3005,$A191,請求記録!$X$6:$X$3005,J$5,請求記録!$AD$6:$AD$3005,"保留中")&gt;0,"保留",IF(COUNTIFS(請求記録!$B$6:$B$3005,$A191,請求記録!$X$6:$X$3005,J$5)=0,"",SUMIFS(請求記録!$AC$6:$AC$3005,請求記録!$B$6:$B$3005,$A191,請求記録!$X$6:$X$3005,J$5))))</f>
        <v/>
      </c>
      <c r="K191" s="19">
        <f>IF($A191="","",IF(COUNTIFS(請求記録!$B$6:$B$3005,$A191,請求記録!$X$6:$X$3005,K$5,請求記録!$AD$6:$AD$3005,"保留中")&gt;0,"保留",IF(COUNTIFS(請求記録!$B$6:$B$3005,$A191,請求記録!$X$6:$X$3005,K$5)=0,"",SUMIFS(請求記録!$AC$6:$AC$3005,請求記録!$B$6:$B$3005,$A191,請求記録!$X$6:$X$3005,K$5))))</f>
        <v/>
      </c>
      <c r="L191" s="19">
        <f>IF($A191="","",IF(COUNTIFS(請求記録!$B$6:$B$3005,$A191,請求記録!$X$6:$X$3005,L$5,請求記録!$AD$6:$AD$3005,"保留中")&gt;0,"保留",IF(COUNTIFS(請求記録!$B$6:$B$3005,$A191,請求記録!$X$6:$X$3005,L$5)=0,"",SUMIFS(請求記録!$AC$6:$AC$3005,請求記録!$B$6:$B$3005,$A191,請求記録!$X$6:$X$3005,L$5))))</f>
        <v/>
      </c>
      <c r="M191" s="19">
        <f>IF($A191="","",IF(COUNTIFS(請求記録!$B$6:$B$3005,$A191,請求記録!$X$6:$X$3005,M$5,請求記録!$AD$6:$AD$3005,"保留中")&gt;0,"保留",IF(COUNTIFS(請求記録!$B$6:$B$3005,$A191,請求記録!$X$6:$X$3005,M$5)=0,"",SUMIFS(請求記録!$AC$6:$AC$3005,請求記録!$B$6:$B$3005,$A191,請求記録!$X$6:$X$3005,M$5))))</f>
        <v/>
      </c>
      <c r="N191" s="19">
        <f>IF($A191="","",IF(COUNTIFS(請求記録!$B$6:$B$3005,$A191,請求記録!$X$6:$X$3005,N$5,請求記録!$AD$6:$AD$3005,"保留中")&gt;0,"保留",IF(COUNTIFS(請求記録!$B$6:$B$3005,$A191,請求記録!$X$6:$X$3005,N$5)=0,"",SUMIFS(請求記録!$AC$6:$AC$3005,請求記録!$B$6:$B$3005,$A191,請求記録!$X$6:$X$3005,N$5))))</f>
        <v/>
      </c>
      <c r="O191" s="19">
        <f>IF($A191="","",IF(COUNTIFS(請求記録!$B$6:$B$3005,$A191,請求記録!$X$6:$X$3005,O$5,請求記録!$AD$6:$AD$3005,"保留中")&gt;0,"保留",IF(COUNTIFS(請求記録!$B$6:$B$3005,$A191,請求記録!$X$6:$X$3005,O$5)=0,"",SUMIFS(請求記録!$AC$6:$AC$3005,請求記録!$B$6:$B$3005,$A191,請求記録!$X$6:$X$3005,O$5))))</f>
        <v/>
      </c>
      <c r="P191" s="19">
        <f>IF($A191="","",IF(COUNTIFS(請求記録!$B$6:$B$3005,$A191,請求記録!$X$6:$X$3005,P$5,請求記録!$AD$6:$AD$3005,"保留中")&gt;0,"保留",IF(COUNTIFS(請求記録!$B$6:$B$3005,$A191,請求記録!$X$6:$X$3005,P$5)=0,"",SUMIFS(請求記録!$AC$6:$AC$3005,請求記録!$B$6:$B$3005,$A191,請求記録!$X$6:$X$3005,P$5))))</f>
        <v/>
      </c>
      <c r="Q191" s="19">
        <f>IF($A191="","",IF(COUNTIFS(請求記録!$B$6:$B$3005,$A191,請求記録!$X$6:$X$3005,Q$5,請求記録!$AD$6:$AD$3005,"保留中")&gt;0,"保留",IF(COUNTIFS(請求記録!$B$6:$B$3005,$A191,請求記録!$X$6:$X$3005,Q$5)=0,"",SUMIFS(請求記録!$AC$6:$AC$3005,請求記録!$B$6:$B$3005,$A191,請求記録!$X$6:$X$3005,Q$5))))</f>
        <v/>
      </c>
      <c r="R191" s="19">
        <f>IF($A191="","",IF(COUNTIFS(請求記録!$B$6:$B$3005,$A191,請求記録!$X$6:$X$3005,R$5,請求記録!$AD$6:$AD$3005,"保留中")&gt;0,"保留",IF(COUNTIFS(請求記録!$B$6:$B$3005,$A191,請求記録!$X$6:$X$3005,R$5)=0,"",SUMIFS(請求記録!$AC$6:$AC$3005,請求記録!$B$6:$B$3005,$A191,請求記録!$X$6:$X$3005,R$5))))</f>
        <v/>
      </c>
      <c r="S191" s="19">
        <f>IF($A191="","",IF(COUNTIFS(請求記録!$B$6:$B$3005,$A191,請求記録!$X$6:$X$3005,S$5,請求記録!$AD$6:$AD$3005,"保留中")&gt;0,"保留",IF(COUNTIFS(請求記録!$B$6:$B$3005,$A191,請求記録!$X$6:$X$3005,S$5)=0,"",SUMIFS(請求記録!$AC$6:$AC$3005,請求記録!$B$6:$B$3005,$A191,請求記録!$X$6:$X$3005,S$5))))</f>
        <v/>
      </c>
      <c r="T191" s="19">
        <f>IF($A191="","",IF(COUNTIFS(請求記録!$B$6:$B$3005,$A191,請求記録!$X$6:$X$3005,T$5,請求記録!$AD$6:$AD$3005,"保留中")&gt;0,"保留",IF(COUNTIFS(請求記録!$B$6:$B$3005,$A191,請求記録!$X$6:$X$3005,T$5)=0,"",SUMIFS(請求記録!$AC$6:$AC$3005,請求記録!$B$6:$B$3005,$A191,請求記録!$X$6:$X$3005,T$5))))</f>
        <v/>
      </c>
      <c r="U191" s="19">
        <f>IF($A191="","",IF(COUNTIFS(請求記録!$B$6:$B$3005,$A191,請求記録!$X$6:$X$3005,U$5,請求記録!$AD$6:$AD$3005,"保留中")&gt;0,"保留",IF(COUNTIFS(請求記録!$B$6:$B$3005,$A191,請求記録!$X$6:$X$3005,U$5)=0,"",SUMIFS(請求記録!$AC$6:$AC$3005,請求記録!$B$6:$B$3005,$A191,請求記録!$X$6:$X$3005,U$5))))</f>
        <v/>
      </c>
      <c r="V191" s="19">
        <f>IF($A191="","",IF(COUNTIFS(請求記録!$B$6:$B$3005,$A191,請求記録!$X$6:$X$3005,V$5,請求記録!$AD$6:$AD$3005,"保留中")&gt;0,"保留",IF(COUNTIFS(請求記録!$B$6:$B$3005,$A191,請求記録!$X$6:$X$3005,V$5)=0,"",SUMIFS(請求記録!$AC$6:$AC$3005,請求記録!$B$6:$B$3005,$A191,請求記録!$X$6:$X$3005,V$5))))</f>
        <v/>
      </c>
      <c r="W191" s="19">
        <f>IF($A191="","",IF(COUNTIFS(請求記録!$B$6:$B$3005,$A191,請求記録!$X$6:$X$3005,W$5,請求記録!$AD$6:$AD$3005,"保留中")&gt;0,"保留",IF(COUNTIFS(請求記録!$B$6:$B$3005,$A191,請求記録!$X$6:$X$3005,W$5)=0,"",SUMIFS(請求記録!$AC$6:$AC$3005,請求記録!$B$6:$B$3005,$A191,請求記録!$X$6:$X$3005,W$5))))</f>
        <v/>
      </c>
      <c r="X191" s="19">
        <f>IF($A191="","",IF(COUNTIFS(請求記録!$B$6:$B$3005,$A191,請求記録!$X$6:$X$3005,X$5,請求記録!$AD$6:$AD$3005,"保留中")&gt;0,"保留",IF(COUNTIFS(請求記録!$B$6:$B$3005,$A191,請求記録!$X$6:$X$3005,X$5)=0,"",SUMIFS(請求記録!$AC$6:$AC$3005,請求記録!$B$6:$B$3005,$A191,請求記録!$X$6:$X$3005,X$5))))</f>
        <v/>
      </c>
      <c r="Y191" s="19">
        <f>IF($A191="","",IF(COUNTIFS(請求記録!$B$6:$B$3005,$A191,請求記録!$X$6:$X$3005,Y$5,請求記録!$AD$6:$AD$3005,"保留中")&gt;0,"保留",IF(COUNTIFS(請求記録!$B$6:$B$3005,$A191,請求記録!$X$6:$X$3005,Y$5)=0,"",SUMIFS(請求記録!$AC$6:$AC$3005,請求記録!$B$6:$B$3005,$A191,請求記録!$X$6:$X$3005,Y$5))))</f>
        <v/>
      </c>
      <c r="Z191" s="19">
        <f>IF($A191="","",IF(COUNTIFS(請求記録!$B$6:$B$3005,$A191,請求記録!$X$6:$X$3005,Z$5,請求記録!$AD$6:$AD$3005,"保留中")&gt;0,"保留",IF(COUNTIFS(請求記録!$B$6:$B$3005,$A191,請求記録!$X$6:$X$3005,Z$5)=0,"",SUMIFS(請求記録!$AC$6:$AC$3005,請求記録!$B$6:$B$3005,$A191,請求記録!$X$6:$X$3005,Z$5))))</f>
        <v/>
      </c>
      <c r="AA191" s="19">
        <f>IF($A191="","",IF(COUNTIFS(請求記録!$B$6:$B$3005,$A191,請求記録!$X$6:$X$3005,AA$5,請求記録!$AD$6:$AD$3005,"保留中")&gt;0,"保留",IF(COUNTIFS(請求記録!$B$6:$B$3005,$A191,請求記録!$X$6:$X$3005,AA$5)=0,"",SUMIFS(請求記録!$AC$6:$AC$3005,請求記録!$B$6:$B$3005,$A191,請求記録!$X$6:$X$3005,AA$5))))</f>
        <v/>
      </c>
      <c r="AB191">
        <f>IF(職員マスタ!P191="保留中",職員マスタ!M191,"")</f>
        <v/>
      </c>
    </row>
    <row r="192">
      <c r="A192">
        <f>IF(職員マスタ!A192="","",職員マスタ!A192)</f>
        <v/>
      </c>
      <c r="B192">
        <f>IF($A192="","",職員マスタ!B192)</f>
        <v/>
      </c>
      <c r="C192">
        <f>IF($A192="","",職員マスタ!C192)</f>
        <v/>
      </c>
      <c r="D192" s="19">
        <f>IF($A192="","",IF(COUNTIFS(請求記録!$B$6:$B$3005,$A192,請求記録!$X$6:$X$3005,D$5,請求記録!$AD$6:$AD$3005,"保留中")&gt;0,"保留",IF(COUNTIFS(請求記録!$B$6:$B$3005,$A192,請求記録!$X$6:$X$3005,D$5)=0,"",SUMIFS(請求記録!$AC$6:$AC$3005,請求記録!$B$6:$B$3005,$A192,請求記録!$X$6:$X$3005,D$5))))</f>
        <v/>
      </c>
      <c r="E192" s="19">
        <f>IF($A192="","",IF(COUNTIFS(請求記録!$B$6:$B$3005,$A192,請求記録!$X$6:$X$3005,E$5,請求記録!$AD$6:$AD$3005,"保留中")&gt;0,"保留",IF(COUNTIFS(請求記録!$B$6:$B$3005,$A192,請求記録!$X$6:$X$3005,E$5)=0,"",SUMIFS(請求記録!$AC$6:$AC$3005,請求記録!$B$6:$B$3005,$A192,請求記録!$X$6:$X$3005,E$5))))</f>
        <v/>
      </c>
      <c r="F192" s="19">
        <f>IF($A192="","",IF(COUNTIFS(請求記録!$B$6:$B$3005,$A192,請求記録!$X$6:$X$3005,F$5,請求記録!$AD$6:$AD$3005,"保留中")&gt;0,"保留",IF(COUNTIFS(請求記録!$B$6:$B$3005,$A192,請求記録!$X$6:$X$3005,F$5)=0,"",SUMIFS(請求記録!$AC$6:$AC$3005,請求記録!$B$6:$B$3005,$A192,請求記録!$X$6:$X$3005,F$5))))</f>
        <v/>
      </c>
      <c r="G192" s="19">
        <f>IF($A192="","",IF(COUNTIFS(請求記録!$B$6:$B$3005,$A192,請求記録!$X$6:$X$3005,G$5,請求記録!$AD$6:$AD$3005,"保留中")&gt;0,"保留",IF(COUNTIFS(請求記録!$B$6:$B$3005,$A192,請求記録!$X$6:$X$3005,G$5)=0,"",SUMIFS(請求記録!$AC$6:$AC$3005,請求記録!$B$6:$B$3005,$A192,請求記録!$X$6:$X$3005,G$5))))</f>
        <v/>
      </c>
      <c r="H192" s="19">
        <f>IF($A192="","",IF(COUNTIFS(請求記録!$B$6:$B$3005,$A192,請求記録!$X$6:$X$3005,H$5,請求記録!$AD$6:$AD$3005,"保留中")&gt;0,"保留",IF(COUNTIFS(請求記録!$B$6:$B$3005,$A192,請求記録!$X$6:$X$3005,H$5)=0,"",SUMIFS(請求記録!$AC$6:$AC$3005,請求記録!$B$6:$B$3005,$A192,請求記録!$X$6:$X$3005,H$5))))</f>
        <v/>
      </c>
      <c r="I192" s="19">
        <f>IF($A192="","",IF(COUNTIFS(請求記録!$B$6:$B$3005,$A192,請求記録!$X$6:$X$3005,I$5,請求記録!$AD$6:$AD$3005,"保留中")&gt;0,"保留",IF(COUNTIFS(請求記録!$B$6:$B$3005,$A192,請求記録!$X$6:$X$3005,I$5)=0,"",SUMIFS(請求記録!$AC$6:$AC$3005,請求記録!$B$6:$B$3005,$A192,請求記録!$X$6:$X$3005,I$5))))</f>
        <v/>
      </c>
      <c r="J192" s="19">
        <f>IF($A192="","",IF(COUNTIFS(請求記録!$B$6:$B$3005,$A192,請求記録!$X$6:$X$3005,J$5,請求記録!$AD$6:$AD$3005,"保留中")&gt;0,"保留",IF(COUNTIFS(請求記録!$B$6:$B$3005,$A192,請求記録!$X$6:$X$3005,J$5)=0,"",SUMIFS(請求記録!$AC$6:$AC$3005,請求記録!$B$6:$B$3005,$A192,請求記録!$X$6:$X$3005,J$5))))</f>
        <v/>
      </c>
      <c r="K192" s="19">
        <f>IF($A192="","",IF(COUNTIFS(請求記録!$B$6:$B$3005,$A192,請求記録!$X$6:$X$3005,K$5,請求記録!$AD$6:$AD$3005,"保留中")&gt;0,"保留",IF(COUNTIFS(請求記録!$B$6:$B$3005,$A192,請求記録!$X$6:$X$3005,K$5)=0,"",SUMIFS(請求記録!$AC$6:$AC$3005,請求記録!$B$6:$B$3005,$A192,請求記録!$X$6:$X$3005,K$5))))</f>
        <v/>
      </c>
      <c r="L192" s="19">
        <f>IF($A192="","",IF(COUNTIFS(請求記録!$B$6:$B$3005,$A192,請求記録!$X$6:$X$3005,L$5,請求記録!$AD$6:$AD$3005,"保留中")&gt;0,"保留",IF(COUNTIFS(請求記録!$B$6:$B$3005,$A192,請求記録!$X$6:$X$3005,L$5)=0,"",SUMIFS(請求記録!$AC$6:$AC$3005,請求記録!$B$6:$B$3005,$A192,請求記録!$X$6:$X$3005,L$5))))</f>
        <v/>
      </c>
      <c r="M192" s="19">
        <f>IF($A192="","",IF(COUNTIFS(請求記録!$B$6:$B$3005,$A192,請求記録!$X$6:$X$3005,M$5,請求記録!$AD$6:$AD$3005,"保留中")&gt;0,"保留",IF(COUNTIFS(請求記録!$B$6:$B$3005,$A192,請求記録!$X$6:$X$3005,M$5)=0,"",SUMIFS(請求記録!$AC$6:$AC$3005,請求記録!$B$6:$B$3005,$A192,請求記録!$X$6:$X$3005,M$5))))</f>
        <v/>
      </c>
      <c r="N192" s="19">
        <f>IF($A192="","",IF(COUNTIFS(請求記録!$B$6:$B$3005,$A192,請求記録!$X$6:$X$3005,N$5,請求記録!$AD$6:$AD$3005,"保留中")&gt;0,"保留",IF(COUNTIFS(請求記録!$B$6:$B$3005,$A192,請求記録!$X$6:$X$3005,N$5)=0,"",SUMIFS(請求記録!$AC$6:$AC$3005,請求記録!$B$6:$B$3005,$A192,請求記録!$X$6:$X$3005,N$5))))</f>
        <v/>
      </c>
      <c r="O192" s="19">
        <f>IF($A192="","",IF(COUNTIFS(請求記録!$B$6:$B$3005,$A192,請求記録!$X$6:$X$3005,O$5,請求記録!$AD$6:$AD$3005,"保留中")&gt;0,"保留",IF(COUNTIFS(請求記録!$B$6:$B$3005,$A192,請求記録!$X$6:$X$3005,O$5)=0,"",SUMIFS(請求記録!$AC$6:$AC$3005,請求記録!$B$6:$B$3005,$A192,請求記録!$X$6:$X$3005,O$5))))</f>
        <v/>
      </c>
      <c r="P192" s="19">
        <f>IF($A192="","",IF(COUNTIFS(請求記録!$B$6:$B$3005,$A192,請求記録!$X$6:$X$3005,P$5,請求記録!$AD$6:$AD$3005,"保留中")&gt;0,"保留",IF(COUNTIFS(請求記録!$B$6:$B$3005,$A192,請求記録!$X$6:$X$3005,P$5)=0,"",SUMIFS(請求記録!$AC$6:$AC$3005,請求記録!$B$6:$B$3005,$A192,請求記録!$X$6:$X$3005,P$5))))</f>
        <v/>
      </c>
      <c r="Q192" s="19">
        <f>IF($A192="","",IF(COUNTIFS(請求記録!$B$6:$B$3005,$A192,請求記録!$X$6:$X$3005,Q$5,請求記録!$AD$6:$AD$3005,"保留中")&gt;0,"保留",IF(COUNTIFS(請求記録!$B$6:$B$3005,$A192,請求記録!$X$6:$X$3005,Q$5)=0,"",SUMIFS(請求記録!$AC$6:$AC$3005,請求記録!$B$6:$B$3005,$A192,請求記録!$X$6:$X$3005,Q$5))))</f>
        <v/>
      </c>
      <c r="R192" s="19">
        <f>IF($A192="","",IF(COUNTIFS(請求記録!$B$6:$B$3005,$A192,請求記録!$X$6:$X$3005,R$5,請求記録!$AD$6:$AD$3005,"保留中")&gt;0,"保留",IF(COUNTIFS(請求記録!$B$6:$B$3005,$A192,請求記録!$X$6:$X$3005,R$5)=0,"",SUMIFS(請求記録!$AC$6:$AC$3005,請求記録!$B$6:$B$3005,$A192,請求記録!$X$6:$X$3005,R$5))))</f>
        <v/>
      </c>
      <c r="S192" s="19">
        <f>IF($A192="","",IF(COUNTIFS(請求記録!$B$6:$B$3005,$A192,請求記録!$X$6:$X$3005,S$5,請求記録!$AD$6:$AD$3005,"保留中")&gt;0,"保留",IF(COUNTIFS(請求記録!$B$6:$B$3005,$A192,請求記録!$X$6:$X$3005,S$5)=0,"",SUMIFS(請求記録!$AC$6:$AC$3005,請求記録!$B$6:$B$3005,$A192,請求記録!$X$6:$X$3005,S$5))))</f>
        <v/>
      </c>
      <c r="T192" s="19">
        <f>IF($A192="","",IF(COUNTIFS(請求記録!$B$6:$B$3005,$A192,請求記録!$X$6:$X$3005,T$5,請求記録!$AD$6:$AD$3005,"保留中")&gt;0,"保留",IF(COUNTIFS(請求記録!$B$6:$B$3005,$A192,請求記録!$X$6:$X$3005,T$5)=0,"",SUMIFS(請求記録!$AC$6:$AC$3005,請求記録!$B$6:$B$3005,$A192,請求記録!$X$6:$X$3005,T$5))))</f>
        <v/>
      </c>
      <c r="U192" s="19">
        <f>IF($A192="","",IF(COUNTIFS(請求記録!$B$6:$B$3005,$A192,請求記録!$X$6:$X$3005,U$5,請求記録!$AD$6:$AD$3005,"保留中")&gt;0,"保留",IF(COUNTIFS(請求記録!$B$6:$B$3005,$A192,請求記録!$X$6:$X$3005,U$5)=0,"",SUMIFS(請求記録!$AC$6:$AC$3005,請求記録!$B$6:$B$3005,$A192,請求記録!$X$6:$X$3005,U$5))))</f>
        <v/>
      </c>
      <c r="V192" s="19">
        <f>IF($A192="","",IF(COUNTIFS(請求記録!$B$6:$B$3005,$A192,請求記録!$X$6:$X$3005,V$5,請求記録!$AD$6:$AD$3005,"保留中")&gt;0,"保留",IF(COUNTIFS(請求記録!$B$6:$B$3005,$A192,請求記録!$X$6:$X$3005,V$5)=0,"",SUMIFS(請求記録!$AC$6:$AC$3005,請求記録!$B$6:$B$3005,$A192,請求記録!$X$6:$X$3005,V$5))))</f>
        <v/>
      </c>
      <c r="W192" s="19">
        <f>IF($A192="","",IF(COUNTIFS(請求記録!$B$6:$B$3005,$A192,請求記録!$X$6:$X$3005,W$5,請求記録!$AD$6:$AD$3005,"保留中")&gt;0,"保留",IF(COUNTIFS(請求記録!$B$6:$B$3005,$A192,請求記録!$X$6:$X$3005,W$5)=0,"",SUMIFS(請求記録!$AC$6:$AC$3005,請求記録!$B$6:$B$3005,$A192,請求記録!$X$6:$X$3005,W$5))))</f>
        <v/>
      </c>
      <c r="X192" s="19">
        <f>IF($A192="","",IF(COUNTIFS(請求記録!$B$6:$B$3005,$A192,請求記録!$X$6:$X$3005,X$5,請求記録!$AD$6:$AD$3005,"保留中")&gt;0,"保留",IF(COUNTIFS(請求記録!$B$6:$B$3005,$A192,請求記録!$X$6:$X$3005,X$5)=0,"",SUMIFS(請求記録!$AC$6:$AC$3005,請求記録!$B$6:$B$3005,$A192,請求記録!$X$6:$X$3005,X$5))))</f>
        <v/>
      </c>
      <c r="Y192" s="19">
        <f>IF($A192="","",IF(COUNTIFS(請求記録!$B$6:$B$3005,$A192,請求記録!$X$6:$X$3005,Y$5,請求記録!$AD$6:$AD$3005,"保留中")&gt;0,"保留",IF(COUNTIFS(請求記録!$B$6:$B$3005,$A192,請求記録!$X$6:$X$3005,Y$5)=0,"",SUMIFS(請求記録!$AC$6:$AC$3005,請求記録!$B$6:$B$3005,$A192,請求記録!$X$6:$X$3005,Y$5))))</f>
        <v/>
      </c>
      <c r="Z192" s="19">
        <f>IF($A192="","",IF(COUNTIFS(請求記録!$B$6:$B$3005,$A192,請求記録!$X$6:$X$3005,Z$5,請求記録!$AD$6:$AD$3005,"保留中")&gt;0,"保留",IF(COUNTIFS(請求記録!$B$6:$B$3005,$A192,請求記録!$X$6:$X$3005,Z$5)=0,"",SUMIFS(請求記録!$AC$6:$AC$3005,請求記録!$B$6:$B$3005,$A192,請求記録!$X$6:$X$3005,Z$5))))</f>
        <v/>
      </c>
      <c r="AA192" s="19">
        <f>IF($A192="","",IF(COUNTIFS(請求記録!$B$6:$B$3005,$A192,請求記録!$X$6:$X$3005,AA$5,請求記録!$AD$6:$AD$3005,"保留中")&gt;0,"保留",IF(COUNTIFS(請求記録!$B$6:$B$3005,$A192,請求記録!$X$6:$X$3005,AA$5)=0,"",SUMIFS(請求記録!$AC$6:$AC$3005,請求記録!$B$6:$B$3005,$A192,請求記録!$X$6:$X$3005,AA$5))))</f>
        <v/>
      </c>
      <c r="AB192">
        <f>IF(職員マスタ!P192="保留中",職員マスタ!M192,"")</f>
        <v/>
      </c>
    </row>
    <row r="193">
      <c r="A193">
        <f>IF(職員マスタ!A193="","",職員マスタ!A193)</f>
        <v/>
      </c>
      <c r="B193">
        <f>IF($A193="","",職員マスタ!B193)</f>
        <v/>
      </c>
      <c r="C193">
        <f>IF($A193="","",職員マスタ!C193)</f>
        <v/>
      </c>
      <c r="D193" s="19">
        <f>IF($A193="","",IF(COUNTIFS(請求記録!$B$6:$B$3005,$A193,請求記録!$X$6:$X$3005,D$5,請求記録!$AD$6:$AD$3005,"保留中")&gt;0,"保留",IF(COUNTIFS(請求記録!$B$6:$B$3005,$A193,請求記録!$X$6:$X$3005,D$5)=0,"",SUMIFS(請求記録!$AC$6:$AC$3005,請求記録!$B$6:$B$3005,$A193,請求記録!$X$6:$X$3005,D$5))))</f>
        <v/>
      </c>
      <c r="E193" s="19">
        <f>IF($A193="","",IF(COUNTIFS(請求記録!$B$6:$B$3005,$A193,請求記録!$X$6:$X$3005,E$5,請求記録!$AD$6:$AD$3005,"保留中")&gt;0,"保留",IF(COUNTIFS(請求記録!$B$6:$B$3005,$A193,請求記録!$X$6:$X$3005,E$5)=0,"",SUMIFS(請求記録!$AC$6:$AC$3005,請求記録!$B$6:$B$3005,$A193,請求記録!$X$6:$X$3005,E$5))))</f>
        <v/>
      </c>
      <c r="F193" s="19">
        <f>IF($A193="","",IF(COUNTIFS(請求記録!$B$6:$B$3005,$A193,請求記録!$X$6:$X$3005,F$5,請求記録!$AD$6:$AD$3005,"保留中")&gt;0,"保留",IF(COUNTIFS(請求記録!$B$6:$B$3005,$A193,請求記録!$X$6:$X$3005,F$5)=0,"",SUMIFS(請求記録!$AC$6:$AC$3005,請求記録!$B$6:$B$3005,$A193,請求記録!$X$6:$X$3005,F$5))))</f>
        <v/>
      </c>
      <c r="G193" s="19">
        <f>IF($A193="","",IF(COUNTIFS(請求記録!$B$6:$B$3005,$A193,請求記録!$X$6:$X$3005,G$5,請求記録!$AD$6:$AD$3005,"保留中")&gt;0,"保留",IF(COUNTIFS(請求記録!$B$6:$B$3005,$A193,請求記録!$X$6:$X$3005,G$5)=0,"",SUMIFS(請求記録!$AC$6:$AC$3005,請求記録!$B$6:$B$3005,$A193,請求記録!$X$6:$X$3005,G$5))))</f>
        <v/>
      </c>
      <c r="H193" s="19">
        <f>IF($A193="","",IF(COUNTIFS(請求記録!$B$6:$B$3005,$A193,請求記録!$X$6:$X$3005,H$5,請求記録!$AD$6:$AD$3005,"保留中")&gt;0,"保留",IF(COUNTIFS(請求記録!$B$6:$B$3005,$A193,請求記録!$X$6:$X$3005,H$5)=0,"",SUMIFS(請求記録!$AC$6:$AC$3005,請求記録!$B$6:$B$3005,$A193,請求記録!$X$6:$X$3005,H$5))))</f>
        <v/>
      </c>
      <c r="I193" s="19">
        <f>IF($A193="","",IF(COUNTIFS(請求記録!$B$6:$B$3005,$A193,請求記録!$X$6:$X$3005,I$5,請求記録!$AD$6:$AD$3005,"保留中")&gt;0,"保留",IF(COUNTIFS(請求記録!$B$6:$B$3005,$A193,請求記録!$X$6:$X$3005,I$5)=0,"",SUMIFS(請求記録!$AC$6:$AC$3005,請求記録!$B$6:$B$3005,$A193,請求記録!$X$6:$X$3005,I$5))))</f>
        <v/>
      </c>
      <c r="J193" s="19">
        <f>IF($A193="","",IF(COUNTIFS(請求記録!$B$6:$B$3005,$A193,請求記録!$X$6:$X$3005,J$5,請求記録!$AD$6:$AD$3005,"保留中")&gt;0,"保留",IF(COUNTIFS(請求記録!$B$6:$B$3005,$A193,請求記録!$X$6:$X$3005,J$5)=0,"",SUMIFS(請求記録!$AC$6:$AC$3005,請求記録!$B$6:$B$3005,$A193,請求記録!$X$6:$X$3005,J$5))))</f>
        <v/>
      </c>
      <c r="K193" s="19">
        <f>IF($A193="","",IF(COUNTIFS(請求記録!$B$6:$B$3005,$A193,請求記録!$X$6:$X$3005,K$5,請求記録!$AD$6:$AD$3005,"保留中")&gt;0,"保留",IF(COUNTIFS(請求記録!$B$6:$B$3005,$A193,請求記録!$X$6:$X$3005,K$5)=0,"",SUMIFS(請求記録!$AC$6:$AC$3005,請求記録!$B$6:$B$3005,$A193,請求記録!$X$6:$X$3005,K$5))))</f>
        <v/>
      </c>
      <c r="L193" s="19">
        <f>IF($A193="","",IF(COUNTIFS(請求記録!$B$6:$B$3005,$A193,請求記録!$X$6:$X$3005,L$5,請求記録!$AD$6:$AD$3005,"保留中")&gt;0,"保留",IF(COUNTIFS(請求記録!$B$6:$B$3005,$A193,請求記録!$X$6:$X$3005,L$5)=0,"",SUMIFS(請求記録!$AC$6:$AC$3005,請求記録!$B$6:$B$3005,$A193,請求記録!$X$6:$X$3005,L$5))))</f>
        <v/>
      </c>
      <c r="M193" s="19">
        <f>IF($A193="","",IF(COUNTIFS(請求記録!$B$6:$B$3005,$A193,請求記録!$X$6:$X$3005,M$5,請求記録!$AD$6:$AD$3005,"保留中")&gt;0,"保留",IF(COUNTIFS(請求記録!$B$6:$B$3005,$A193,請求記録!$X$6:$X$3005,M$5)=0,"",SUMIFS(請求記録!$AC$6:$AC$3005,請求記録!$B$6:$B$3005,$A193,請求記録!$X$6:$X$3005,M$5))))</f>
        <v/>
      </c>
      <c r="N193" s="19">
        <f>IF($A193="","",IF(COUNTIFS(請求記録!$B$6:$B$3005,$A193,請求記録!$X$6:$X$3005,N$5,請求記録!$AD$6:$AD$3005,"保留中")&gt;0,"保留",IF(COUNTIFS(請求記録!$B$6:$B$3005,$A193,請求記録!$X$6:$X$3005,N$5)=0,"",SUMIFS(請求記録!$AC$6:$AC$3005,請求記録!$B$6:$B$3005,$A193,請求記録!$X$6:$X$3005,N$5))))</f>
        <v/>
      </c>
      <c r="O193" s="19">
        <f>IF($A193="","",IF(COUNTIFS(請求記録!$B$6:$B$3005,$A193,請求記録!$X$6:$X$3005,O$5,請求記録!$AD$6:$AD$3005,"保留中")&gt;0,"保留",IF(COUNTIFS(請求記録!$B$6:$B$3005,$A193,請求記録!$X$6:$X$3005,O$5)=0,"",SUMIFS(請求記録!$AC$6:$AC$3005,請求記録!$B$6:$B$3005,$A193,請求記録!$X$6:$X$3005,O$5))))</f>
        <v/>
      </c>
      <c r="P193" s="19">
        <f>IF($A193="","",IF(COUNTIFS(請求記録!$B$6:$B$3005,$A193,請求記録!$X$6:$X$3005,P$5,請求記録!$AD$6:$AD$3005,"保留中")&gt;0,"保留",IF(COUNTIFS(請求記録!$B$6:$B$3005,$A193,請求記録!$X$6:$X$3005,P$5)=0,"",SUMIFS(請求記録!$AC$6:$AC$3005,請求記録!$B$6:$B$3005,$A193,請求記録!$X$6:$X$3005,P$5))))</f>
        <v/>
      </c>
      <c r="Q193" s="19">
        <f>IF($A193="","",IF(COUNTIFS(請求記録!$B$6:$B$3005,$A193,請求記録!$X$6:$X$3005,Q$5,請求記録!$AD$6:$AD$3005,"保留中")&gt;0,"保留",IF(COUNTIFS(請求記録!$B$6:$B$3005,$A193,請求記録!$X$6:$X$3005,Q$5)=0,"",SUMIFS(請求記録!$AC$6:$AC$3005,請求記録!$B$6:$B$3005,$A193,請求記録!$X$6:$X$3005,Q$5))))</f>
        <v/>
      </c>
      <c r="R193" s="19">
        <f>IF($A193="","",IF(COUNTIFS(請求記録!$B$6:$B$3005,$A193,請求記録!$X$6:$X$3005,R$5,請求記録!$AD$6:$AD$3005,"保留中")&gt;0,"保留",IF(COUNTIFS(請求記録!$B$6:$B$3005,$A193,請求記録!$X$6:$X$3005,R$5)=0,"",SUMIFS(請求記録!$AC$6:$AC$3005,請求記録!$B$6:$B$3005,$A193,請求記録!$X$6:$X$3005,R$5))))</f>
        <v/>
      </c>
      <c r="S193" s="19">
        <f>IF($A193="","",IF(COUNTIFS(請求記録!$B$6:$B$3005,$A193,請求記録!$X$6:$X$3005,S$5,請求記録!$AD$6:$AD$3005,"保留中")&gt;0,"保留",IF(COUNTIFS(請求記録!$B$6:$B$3005,$A193,請求記録!$X$6:$X$3005,S$5)=0,"",SUMIFS(請求記録!$AC$6:$AC$3005,請求記録!$B$6:$B$3005,$A193,請求記録!$X$6:$X$3005,S$5))))</f>
        <v/>
      </c>
      <c r="T193" s="19">
        <f>IF($A193="","",IF(COUNTIFS(請求記録!$B$6:$B$3005,$A193,請求記録!$X$6:$X$3005,T$5,請求記録!$AD$6:$AD$3005,"保留中")&gt;0,"保留",IF(COUNTIFS(請求記録!$B$6:$B$3005,$A193,請求記録!$X$6:$X$3005,T$5)=0,"",SUMIFS(請求記録!$AC$6:$AC$3005,請求記録!$B$6:$B$3005,$A193,請求記録!$X$6:$X$3005,T$5))))</f>
        <v/>
      </c>
      <c r="U193" s="19">
        <f>IF($A193="","",IF(COUNTIFS(請求記録!$B$6:$B$3005,$A193,請求記録!$X$6:$X$3005,U$5,請求記録!$AD$6:$AD$3005,"保留中")&gt;0,"保留",IF(COUNTIFS(請求記録!$B$6:$B$3005,$A193,請求記録!$X$6:$X$3005,U$5)=0,"",SUMIFS(請求記録!$AC$6:$AC$3005,請求記録!$B$6:$B$3005,$A193,請求記録!$X$6:$X$3005,U$5))))</f>
        <v/>
      </c>
      <c r="V193" s="19">
        <f>IF($A193="","",IF(COUNTIFS(請求記録!$B$6:$B$3005,$A193,請求記録!$X$6:$X$3005,V$5,請求記録!$AD$6:$AD$3005,"保留中")&gt;0,"保留",IF(COUNTIFS(請求記録!$B$6:$B$3005,$A193,請求記録!$X$6:$X$3005,V$5)=0,"",SUMIFS(請求記録!$AC$6:$AC$3005,請求記録!$B$6:$B$3005,$A193,請求記録!$X$6:$X$3005,V$5))))</f>
        <v/>
      </c>
      <c r="W193" s="19">
        <f>IF($A193="","",IF(COUNTIFS(請求記録!$B$6:$B$3005,$A193,請求記録!$X$6:$X$3005,W$5,請求記録!$AD$6:$AD$3005,"保留中")&gt;0,"保留",IF(COUNTIFS(請求記録!$B$6:$B$3005,$A193,請求記録!$X$6:$X$3005,W$5)=0,"",SUMIFS(請求記録!$AC$6:$AC$3005,請求記録!$B$6:$B$3005,$A193,請求記録!$X$6:$X$3005,W$5))))</f>
        <v/>
      </c>
      <c r="X193" s="19">
        <f>IF($A193="","",IF(COUNTIFS(請求記録!$B$6:$B$3005,$A193,請求記録!$X$6:$X$3005,X$5,請求記録!$AD$6:$AD$3005,"保留中")&gt;0,"保留",IF(COUNTIFS(請求記録!$B$6:$B$3005,$A193,請求記録!$X$6:$X$3005,X$5)=0,"",SUMIFS(請求記録!$AC$6:$AC$3005,請求記録!$B$6:$B$3005,$A193,請求記録!$X$6:$X$3005,X$5))))</f>
        <v/>
      </c>
      <c r="Y193" s="19">
        <f>IF($A193="","",IF(COUNTIFS(請求記録!$B$6:$B$3005,$A193,請求記録!$X$6:$X$3005,Y$5,請求記録!$AD$6:$AD$3005,"保留中")&gt;0,"保留",IF(COUNTIFS(請求記録!$B$6:$B$3005,$A193,請求記録!$X$6:$X$3005,Y$5)=0,"",SUMIFS(請求記録!$AC$6:$AC$3005,請求記録!$B$6:$B$3005,$A193,請求記録!$X$6:$X$3005,Y$5))))</f>
        <v/>
      </c>
      <c r="Z193" s="19">
        <f>IF($A193="","",IF(COUNTIFS(請求記録!$B$6:$B$3005,$A193,請求記録!$X$6:$X$3005,Z$5,請求記録!$AD$6:$AD$3005,"保留中")&gt;0,"保留",IF(COUNTIFS(請求記録!$B$6:$B$3005,$A193,請求記録!$X$6:$X$3005,Z$5)=0,"",SUMIFS(請求記録!$AC$6:$AC$3005,請求記録!$B$6:$B$3005,$A193,請求記録!$X$6:$X$3005,Z$5))))</f>
        <v/>
      </c>
      <c r="AA193" s="19">
        <f>IF($A193="","",IF(COUNTIFS(請求記録!$B$6:$B$3005,$A193,請求記録!$X$6:$X$3005,AA$5,請求記録!$AD$6:$AD$3005,"保留中")&gt;0,"保留",IF(COUNTIFS(請求記録!$B$6:$B$3005,$A193,請求記録!$X$6:$X$3005,AA$5)=0,"",SUMIFS(請求記録!$AC$6:$AC$3005,請求記録!$B$6:$B$3005,$A193,請求記録!$X$6:$X$3005,AA$5))))</f>
        <v/>
      </c>
      <c r="AB193">
        <f>IF(職員マスタ!P193="保留中",職員マスタ!M193,"")</f>
        <v/>
      </c>
    </row>
    <row r="194">
      <c r="A194">
        <f>IF(職員マスタ!A194="","",職員マスタ!A194)</f>
        <v/>
      </c>
      <c r="B194">
        <f>IF($A194="","",職員マスタ!B194)</f>
        <v/>
      </c>
      <c r="C194">
        <f>IF($A194="","",職員マスタ!C194)</f>
        <v/>
      </c>
      <c r="D194" s="19">
        <f>IF($A194="","",IF(COUNTIFS(請求記録!$B$6:$B$3005,$A194,請求記録!$X$6:$X$3005,D$5,請求記録!$AD$6:$AD$3005,"保留中")&gt;0,"保留",IF(COUNTIFS(請求記録!$B$6:$B$3005,$A194,請求記録!$X$6:$X$3005,D$5)=0,"",SUMIFS(請求記録!$AC$6:$AC$3005,請求記録!$B$6:$B$3005,$A194,請求記録!$X$6:$X$3005,D$5))))</f>
        <v/>
      </c>
      <c r="E194" s="19">
        <f>IF($A194="","",IF(COUNTIFS(請求記録!$B$6:$B$3005,$A194,請求記録!$X$6:$X$3005,E$5,請求記録!$AD$6:$AD$3005,"保留中")&gt;0,"保留",IF(COUNTIFS(請求記録!$B$6:$B$3005,$A194,請求記録!$X$6:$X$3005,E$5)=0,"",SUMIFS(請求記録!$AC$6:$AC$3005,請求記録!$B$6:$B$3005,$A194,請求記録!$X$6:$X$3005,E$5))))</f>
        <v/>
      </c>
      <c r="F194" s="19">
        <f>IF($A194="","",IF(COUNTIFS(請求記録!$B$6:$B$3005,$A194,請求記録!$X$6:$X$3005,F$5,請求記録!$AD$6:$AD$3005,"保留中")&gt;0,"保留",IF(COUNTIFS(請求記録!$B$6:$B$3005,$A194,請求記録!$X$6:$X$3005,F$5)=0,"",SUMIFS(請求記録!$AC$6:$AC$3005,請求記録!$B$6:$B$3005,$A194,請求記録!$X$6:$X$3005,F$5))))</f>
        <v/>
      </c>
      <c r="G194" s="19">
        <f>IF($A194="","",IF(COUNTIFS(請求記録!$B$6:$B$3005,$A194,請求記録!$X$6:$X$3005,G$5,請求記録!$AD$6:$AD$3005,"保留中")&gt;0,"保留",IF(COUNTIFS(請求記録!$B$6:$B$3005,$A194,請求記録!$X$6:$X$3005,G$5)=0,"",SUMIFS(請求記録!$AC$6:$AC$3005,請求記録!$B$6:$B$3005,$A194,請求記録!$X$6:$X$3005,G$5))))</f>
        <v/>
      </c>
      <c r="H194" s="19">
        <f>IF($A194="","",IF(COUNTIFS(請求記録!$B$6:$B$3005,$A194,請求記録!$X$6:$X$3005,H$5,請求記録!$AD$6:$AD$3005,"保留中")&gt;0,"保留",IF(COUNTIFS(請求記録!$B$6:$B$3005,$A194,請求記録!$X$6:$X$3005,H$5)=0,"",SUMIFS(請求記録!$AC$6:$AC$3005,請求記録!$B$6:$B$3005,$A194,請求記録!$X$6:$X$3005,H$5))))</f>
        <v/>
      </c>
      <c r="I194" s="19">
        <f>IF($A194="","",IF(COUNTIFS(請求記録!$B$6:$B$3005,$A194,請求記録!$X$6:$X$3005,I$5,請求記録!$AD$6:$AD$3005,"保留中")&gt;0,"保留",IF(COUNTIFS(請求記録!$B$6:$B$3005,$A194,請求記録!$X$6:$X$3005,I$5)=0,"",SUMIFS(請求記録!$AC$6:$AC$3005,請求記録!$B$6:$B$3005,$A194,請求記録!$X$6:$X$3005,I$5))))</f>
        <v/>
      </c>
      <c r="J194" s="19">
        <f>IF($A194="","",IF(COUNTIFS(請求記録!$B$6:$B$3005,$A194,請求記録!$X$6:$X$3005,J$5,請求記録!$AD$6:$AD$3005,"保留中")&gt;0,"保留",IF(COUNTIFS(請求記録!$B$6:$B$3005,$A194,請求記録!$X$6:$X$3005,J$5)=0,"",SUMIFS(請求記録!$AC$6:$AC$3005,請求記録!$B$6:$B$3005,$A194,請求記録!$X$6:$X$3005,J$5))))</f>
        <v/>
      </c>
      <c r="K194" s="19">
        <f>IF($A194="","",IF(COUNTIFS(請求記録!$B$6:$B$3005,$A194,請求記録!$X$6:$X$3005,K$5,請求記録!$AD$6:$AD$3005,"保留中")&gt;0,"保留",IF(COUNTIFS(請求記録!$B$6:$B$3005,$A194,請求記録!$X$6:$X$3005,K$5)=0,"",SUMIFS(請求記録!$AC$6:$AC$3005,請求記録!$B$6:$B$3005,$A194,請求記録!$X$6:$X$3005,K$5))))</f>
        <v/>
      </c>
      <c r="L194" s="19">
        <f>IF($A194="","",IF(COUNTIFS(請求記録!$B$6:$B$3005,$A194,請求記録!$X$6:$X$3005,L$5,請求記録!$AD$6:$AD$3005,"保留中")&gt;0,"保留",IF(COUNTIFS(請求記録!$B$6:$B$3005,$A194,請求記録!$X$6:$X$3005,L$5)=0,"",SUMIFS(請求記録!$AC$6:$AC$3005,請求記録!$B$6:$B$3005,$A194,請求記録!$X$6:$X$3005,L$5))))</f>
        <v/>
      </c>
      <c r="M194" s="19">
        <f>IF($A194="","",IF(COUNTIFS(請求記録!$B$6:$B$3005,$A194,請求記録!$X$6:$X$3005,M$5,請求記録!$AD$6:$AD$3005,"保留中")&gt;0,"保留",IF(COUNTIFS(請求記録!$B$6:$B$3005,$A194,請求記録!$X$6:$X$3005,M$5)=0,"",SUMIFS(請求記録!$AC$6:$AC$3005,請求記録!$B$6:$B$3005,$A194,請求記録!$X$6:$X$3005,M$5))))</f>
        <v/>
      </c>
      <c r="N194" s="19">
        <f>IF($A194="","",IF(COUNTIFS(請求記録!$B$6:$B$3005,$A194,請求記録!$X$6:$X$3005,N$5,請求記録!$AD$6:$AD$3005,"保留中")&gt;0,"保留",IF(COUNTIFS(請求記録!$B$6:$B$3005,$A194,請求記録!$X$6:$X$3005,N$5)=0,"",SUMIFS(請求記録!$AC$6:$AC$3005,請求記録!$B$6:$B$3005,$A194,請求記録!$X$6:$X$3005,N$5))))</f>
        <v/>
      </c>
      <c r="O194" s="19">
        <f>IF($A194="","",IF(COUNTIFS(請求記録!$B$6:$B$3005,$A194,請求記録!$X$6:$X$3005,O$5,請求記録!$AD$6:$AD$3005,"保留中")&gt;0,"保留",IF(COUNTIFS(請求記録!$B$6:$B$3005,$A194,請求記録!$X$6:$X$3005,O$5)=0,"",SUMIFS(請求記録!$AC$6:$AC$3005,請求記録!$B$6:$B$3005,$A194,請求記録!$X$6:$X$3005,O$5))))</f>
        <v/>
      </c>
      <c r="P194" s="19">
        <f>IF($A194="","",IF(COUNTIFS(請求記録!$B$6:$B$3005,$A194,請求記録!$X$6:$X$3005,P$5,請求記録!$AD$6:$AD$3005,"保留中")&gt;0,"保留",IF(COUNTIFS(請求記録!$B$6:$B$3005,$A194,請求記録!$X$6:$X$3005,P$5)=0,"",SUMIFS(請求記録!$AC$6:$AC$3005,請求記録!$B$6:$B$3005,$A194,請求記録!$X$6:$X$3005,P$5))))</f>
        <v/>
      </c>
      <c r="Q194" s="19">
        <f>IF($A194="","",IF(COUNTIFS(請求記録!$B$6:$B$3005,$A194,請求記録!$X$6:$X$3005,Q$5,請求記録!$AD$6:$AD$3005,"保留中")&gt;0,"保留",IF(COUNTIFS(請求記録!$B$6:$B$3005,$A194,請求記録!$X$6:$X$3005,Q$5)=0,"",SUMIFS(請求記録!$AC$6:$AC$3005,請求記録!$B$6:$B$3005,$A194,請求記録!$X$6:$X$3005,Q$5))))</f>
        <v/>
      </c>
      <c r="R194" s="19">
        <f>IF($A194="","",IF(COUNTIFS(請求記録!$B$6:$B$3005,$A194,請求記録!$X$6:$X$3005,R$5,請求記録!$AD$6:$AD$3005,"保留中")&gt;0,"保留",IF(COUNTIFS(請求記録!$B$6:$B$3005,$A194,請求記録!$X$6:$X$3005,R$5)=0,"",SUMIFS(請求記録!$AC$6:$AC$3005,請求記録!$B$6:$B$3005,$A194,請求記録!$X$6:$X$3005,R$5))))</f>
        <v/>
      </c>
      <c r="S194" s="19">
        <f>IF($A194="","",IF(COUNTIFS(請求記録!$B$6:$B$3005,$A194,請求記録!$X$6:$X$3005,S$5,請求記録!$AD$6:$AD$3005,"保留中")&gt;0,"保留",IF(COUNTIFS(請求記録!$B$6:$B$3005,$A194,請求記録!$X$6:$X$3005,S$5)=0,"",SUMIFS(請求記録!$AC$6:$AC$3005,請求記録!$B$6:$B$3005,$A194,請求記録!$X$6:$X$3005,S$5))))</f>
        <v/>
      </c>
      <c r="T194" s="19">
        <f>IF($A194="","",IF(COUNTIFS(請求記録!$B$6:$B$3005,$A194,請求記録!$X$6:$X$3005,T$5,請求記録!$AD$6:$AD$3005,"保留中")&gt;0,"保留",IF(COUNTIFS(請求記録!$B$6:$B$3005,$A194,請求記録!$X$6:$X$3005,T$5)=0,"",SUMIFS(請求記録!$AC$6:$AC$3005,請求記録!$B$6:$B$3005,$A194,請求記録!$X$6:$X$3005,T$5))))</f>
        <v/>
      </c>
      <c r="U194" s="19">
        <f>IF($A194="","",IF(COUNTIFS(請求記録!$B$6:$B$3005,$A194,請求記録!$X$6:$X$3005,U$5,請求記録!$AD$6:$AD$3005,"保留中")&gt;0,"保留",IF(COUNTIFS(請求記録!$B$6:$B$3005,$A194,請求記録!$X$6:$X$3005,U$5)=0,"",SUMIFS(請求記録!$AC$6:$AC$3005,請求記録!$B$6:$B$3005,$A194,請求記録!$X$6:$X$3005,U$5))))</f>
        <v/>
      </c>
      <c r="V194" s="19">
        <f>IF($A194="","",IF(COUNTIFS(請求記録!$B$6:$B$3005,$A194,請求記録!$X$6:$X$3005,V$5,請求記録!$AD$6:$AD$3005,"保留中")&gt;0,"保留",IF(COUNTIFS(請求記録!$B$6:$B$3005,$A194,請求記録!$X$6:$X$3005,V$5)=0,"",SUMIFS(請求記録!$AC$6:$AC$3005,請求記録!$B$6:$B$3005,$A194,請求記録!$X$6:$X$3005,V$5))))</f>
        <v/>
      </c>
      <c r="W194" s="19">
        <f>IF($A194="","",IF(COUNTIFS(請求記録!$B$6:$B$3005,$A194,請求記録!$X$6:$X$3005,W$5,請求記録!$AD$6:$AD$3005,"保留中")&gt;0,"保留",IF(COUNTIFS(請求記録!$B$6:$B$3005,$A194,請求記録!$X$6:$X$3005,W$5)=0,"",SUMIFS(請求記録!$AC$6:$AC$3005,請求記録!$B$6:$B$3005,$A194,請求記録!$X$6:$X$3005,W$5))))</f>
        <v/>
      </c>
      <c r="X194" s="19">
        <f>IF($A194="","",IF(COUNTIFS(請求記録!$B$6:$B$3005,$A194,請求記録!$X$6:$X$3005,X$5,請求記録!$AD$6:$AD$3005,"保留中")&gt;0,"保留",IF(COUNTIFS(請求記録!$B$6:$B$3005,$A194,請求記録!$X$6:$X$3005,X$5)=0,"",SUMIFS(請求記録!$AC$6:$AC$3005,請求記録!$B$6:$B$3005,$A194,請求記録!$X$6:$X$3005,X$5))))</f>
        <v/>
      </c>
      <c r="Y194" s="19">
        <f>IF($A194="","",IF(COUNTIFS(請求記録!$B$6:$B$3005,$A194,請求記録!$X$6:$X$3005,Y$5,請求記録!$AD$6:$AD$3005,"保留中")&gt;0,"保留",IF(COUNTIFS(請求記録!$B$6:$B$3005,$A194,請求記録!$X$6:$X$3005,Y$5)=0,"",SUMIFS(請求記録!$AC$6:$AC$3005,請求記録!$B$6:$B$3005,$A194,請求記録!$X$6:$X$3005,Y$5))))</f>
        <v/>
      </c>
      <c r="Z194" s="19">
        <f>IF($A194="","",IF(COUNTIFS(請求記録!$B$6:$B$3005,$A194,請求記録!$X$6:$X$3005,Z$5,請求記録!$AD$6:$AD$3005,"保留中")&gt;0,"保留",IF(COUNTIFS(請求記録!$B$6:$B$3005,$A194,請求記録!$X$6:$X$3005,Z$5)=0,"",SUMIFS(請求記録!$AC$6:$AC$3005,請求記録!$B$6:$B$3005,$A194,請求記録!$X$6:$X$3005,Z$5))))</f>
        <v/>
      </c>
      <c r="AA194" s="19">
        <f>IF($A194="","",IF(COUNTIFS(請求記録!$B$6:$B$3005,$A194,請求記録!$X$6:$X$3005,AA$5,請求記録!$AD$6:$AD$3005,"保留中")&gt;0,"保留",IF(COUNTIFS(請求記録!$B$6:$B$3005,$A194,請求記録!$X$6:$X$3005,AA$5)=0,"",SUMIFS(請求記録!$AC$6:$AC$3005,請求記録!$B$6:$B$3005,$A194,請求記録!$X$6:$X$3005,AA$5))))</f>
        <v/>
      </c>
      <c r="AB194">
        <f>IF(職員マスタ!P194="保留中",職員マスタ!M194,"")</f>
        <v/>
      </c>
    </row>
    <row r="195">
      <c r="A195">
        <f>IF(職員マスタ!A195="","",職員マスタ!A195)</f>
        <v/>
      </c>
      <c r="B195">
        <f>IF($A195="","",職員マスタ!B195)</f>
        <v/>
      </c>
      <c r="C195">
        <f>IF($A195="","",職員マスタ!C195)</f>
        <v/>
      </c>
      <c r="D195" s="19">
        <f>IF($A195="","",IF(COUNTIFS(請求記録!$B$6:$B$3005,$A195,請求記録!$X$6:$X$3005,D$5,請求記録!$AD$6:$AD$3005,"保留中")&gt;0,"保留",IF(COUNTIFS(請求記録!$B$6:$B$3005,$A195,請求記録!$X$6:$X$3005,D$5)=0,"",SUMIFS(請求記録!$AC$6:$AC$3005,請求記録!$B$6:$B$3005,$A195,請求記録!$X$6:$X$3005,D$5))))</f>
        <v/>
      </c>
      <c r="E195" s="19">
        <f>IF($A195="","",IF(COUNTIFS(請求記録!$B$6:$B$3005,$A195,請求記録!$X$6:$X$3005,E$5,請求記録!$AD$6:$AD$3005,"保留中")&gt;0,"保留",IF(COUNTIFS(請求記録!$B$6:$B$3005,$A195,請求記録!$X$6:$X$3005,E$5)=0,"",SUMIFS(請求記録!$AC$6:$AC$3005,請求記録!$B$6:$B$3005,$A195,請求記録!$X$6:$X$3005,E$5))))</f>
        <v/>
      </c>
      <c r="F195" s="19">
        <f>IF($A195="","",IF(COUNTIFS(請求記録!$B$6:$B$3005,$A195,請求記録!$X$6:$X$3005,F$5,請求記録!$AD$6:$AD$3005,"保留中")&gt;0,"保留",IF(COUNTIFS(請求記録!$B$6:$B$3005,$A195,請求記録!$X$6:$X$3005,F$5)=0,"",SUMIFS(請求記録!$AC$6:$AC$3005,請求記録!$B$6:$B$3005,$A195,請求記録!$X$6:$X$3005,F$5))))</f>
        <v/>
      </c>
      <c r="G195" s="19">
        <f>IF($A195="","",IF(COUNTIFS(請求記録!$B$6:$B$3005,$A195,請求記録!$X$6:$X$3005,G$5,請求記録!$AD$6:$AD$3005,"保留中")&gt;0,"保留",IF(COUNTIFS(請求記録!$B$6:$B$3005,$A195,請求記録!$X$6:$X$3005,G$5)=0,"",SUMIFS(請求記録!$AC$6:$AC$3005,請求記録!$B$6:$B$3005,$A195,請求記録!$X$6:$X$3005,G$5))))</f>
        <v/>
      </c>
      <c r="H195" s="19">
        <f>IF($A195="","",IF(COUNTIFS(請求記録!$B$6:$B$3005,$A195,請求記録!$X$6:$X$3005,H$5,請求記録!$AD$6:$AD$3005,"保留中")&gt;0,"保留",IF(COUNTIFS(請求記録!$B$6:$B$3005,$A195,請求記録!$X$6:$X$3005,H$5)=0,"",SUMIFS(請求記録!$AC$6:$AC$3005,請求記録!$B$6:$B$3005,$A195,請求記録!$X$6:$X$3005,H$5))))</f>
        <v/>
      </c>
      <c r="I195" s="19">
        <f>IF($A195="","",IF(COUNTIFS(請求記録!$B$6:$B$3005,$A195,請求記録!$X$6:$X$3005,I$5,請求記録!$AD$6:$AD$3005,"保留中")&gt;0,"保留",IF(COUNTIFS(請求記録!$B$6:$B$3005,$A195,請求記録!$X$6:$X$3005,I$5)=0,"",SUMIFS(請求記録!$AC$6:$AC$3005,請求記録!$B$6:$B$3005,$A195,請求記録!$X$6:$X$3005,I$5))))</f>
        <v/>
      </c>
      <c r="J195" s="19">
        <f>IF($A195="","",IF(COUNTIFS(請求記録!$B$6:$B$3005,$A195,請求記録!$X$6:$X$3005,J$5,請求記録!$AD$6:$AD$3005,"保留中")&gt;0,"保留",IF(COUNTIFS(請求記録!$B$6:$B$3005,$A195,請求記録!$X$6:$X$3005,J$5)=0,"",SUMIFS(請求記録!$AC$6:$AC$3005,請求記録!$B$6:$B$3005,$A195,請求記録!$X$6:$X$3005,J$5))))</f>
        <v/>
      </c>
      <c r="K195" s="19">
        <f>IF($A195="","",IF(COUNTIFS(請求記録!$B$6:$B$3005,$A195,請求記録!$X$6:$X$3005,K$5,請求記録!$AD$6:$AD$3005,"保留中")&gt;0,"保留",IF(COUNTIFS(請求記録!$B$6:$B$3005,$A195,請求記録!$X$6:$X$3005,K$5)=0,"",SUMIFS(請求記録!$AC$6:$AC$3005,請求記録!$B$6:$B$3005,$A195,請求記録!$X$6:$X$3005,K$5))))</f>
        <v/>
      </c>
      <c r="L195" s="19">
        <f>IF($A195="","",IF(COUNTIFS(請求記録!$B$6:$B$3005,$A195,請求記録!$X$6:$X$3005,L$5,請求記録!$AD$6:$AD$3005,"保留中")&gt;0,"保留",IF(COUNTIFS(請求記録!$B$6:$B$3005,$A195,請求記録!$X$6:$X$3005,L$5)=0,"",SUMIFS(請求記録!$AC$6:$AC$3005,請求記録!$B$6:$B$3005,$A195,請求記録!$X$6:$X$3005,L$5))))</f>
        <v/>
      </c>
      <c r="M195" s="19">
        <f>IF($A195="","",IF(COUNTIFS(請求記録!$B$6:$B$3005,$A195,請求記録!$X$6:$X$3005,M$5,請求記録!$AD$6:$AD$3005,"保留中")&gt;0,"保留",IF(COUNTIFS(請求記録!$B$6:$B$3005,$A195,請求記録!$X$6:$X$3005,M$5)=0,"",SUMIFS(請求記録!$AC$6:$AC$3005,請求記録!$B$6:$B$3005,$A195,請求記録!$X$6:$X$3005,M$5))))</f>
        <v/>
      </c>
      <c r="N195" s="19">
        <f>IF($A195="","",IF(COUNTIFS(請求記録!$B$6:$B$3005,$A195,請求記録!$X$6:$X$3005,N$5,請求記録!$AD$6:$AD$3005,"保留中")&gt;0,"保留",IF(COUNTIFS(請求記録!$B$6:$B$3005,$A195,請求記録!$X$6:$X$3005,N$5)=0,"",SUMIFS(請求記録!$AC$6:$AC$3005,請求記録!$B$6:$B$3005,$A195,請求記録!$X$6:$X$3005,N$5))))</f>
        <v/>
      </c>
      <c r="O195" s="19">
        <f>IF($A195="","",IF(COUNTIFS(請求記録!$B$6:$B$3005,$A195,請求記録!$X$6:$X$3005,O$5,請求記録!$AD$6:$AD$3005,"保留中")&gt;0,"保留",IF(COUNTIFS(請求記録!$B$6:$B$3005,$A195,請求記録!$X$6:$X$3005,O$5)=0,"",SUMIFS(請求記録!$AC$6:$AC$3005,請求記録!$B$6:$B$3005,$A195,請求記録!$X$6:$X$3005,O$5))))</f>
        <v/>
      </c>
      <c r="P195" s="19">
        <f>IF($A195="","",IF(COUNTIFS(請求記録!$B$6:$B$3005,$A195,請求記録!$X$6:$X$3005,P$5,請求記録!$AD$6:$AD$3005,"保留中")&gt;0,"保留",IF(COUNTIFS(請求記録!$B$6:$B$3005,$A195,請求記録!$X$6:$X$3005,P$5)=0,"",SUMIFS(請求記録!$AC$6:$AC$3005,請求記録!$B$6:$B$3005,$A195,請求記録!$X$6:$X$3005,P$5))))</f>
        <v/>
      </c>
      <c r="Q195" s="19">
        <f>IF($A195="","",IF(COUNTIFS(請求記録!$B$6:$B$3005,$A195,請求記録!$X$6:$X$3005,Q$5,請求記録!$AD$6:$AD$3005,"保留中")&gt;0,"保留",IF(COUNTIFS(請求記録!$B$6:$B$3005,$A195,請求記録!$X$6:$X$3005,Q$5)=0,"",SUMIFS(請求記録!$AC$6:$AC$3005,請求記録!$B$6:$B$3005,$A195,請求記録!$X$6:$X$3005,Q$5))))</f>
        <v/>
      </c>
      <c r="R195" s="19">
        <f>IF($A195="","",IF(COUNTIFS(請求記録!$B$6:$B$3005,$A195,請求記録!$X$6:$X$3005,R$5,請求記録!$AD$6:$AD$3005,"保留中")&gt;0,"保留",IF(COUNTIFS(請求記録!$B$6:$B$3005,$A195,請求記録!$X$6:$X$3005,R$5)=0,"",SUMIFS(請求記録!$AC$6:$AC$3005,請求記録!$B$6:$B$3005,$A195,請求記録!$X$6:$X$3005,R$5))))</f>
        <v/>
      </c>
      <c r="S195" s="19">
        <f>IF($A195="","",IF(COUNTIFS(請求記録!$B$6:$B$3005,$A195,請求記録!$X$6:$X$3005,S$5,請求記録!$AD$6:$AD$3005,"保留中")&gt;0,"保留",IF(COUNTIFS(請求記録!$B$6:$B$3005,$A195,請求記録!$X$6:$X$3005,S$5)=0,"",SUMIFS(請求記録!$AC$6:$AC$3005,請求記録!$B$6:$B$3005,$A195,請求記録!$X$6:$X$3005,S$5))))</f>
        <v/>
      </c>
      <c r="T195" s="19">
        <f>IF($A195="","",IF(COUNTIFS(請求記録!$B$6:$B$3005,$A195,請求記録!$X$6:$X$3005,T$5,請求記録!$AD$6:$AD$3005,"保留中")&gt;0,"保留",IF(COUNTIFS(請求記録!$B$6:$B$3005,$A195,請求記録!$X$6:$X$3005,T$5)=0,"",SUMIFS(請求記録!$AC$6:$AC$3005,請求記録!$B$6:$B$3005,$A195,請求記録!$X$6:$X$3005,T$5))))</f>
        <v/>
      </c>
      <c r="U195" s="19">
        <f>IF($A195="","",IF(COUNTIFS(請求記録!$B$6:$B$3005,$A195,請求記録!$X$6:$X$3005,U$5,請求記録!$AD$6:$AD$3005,"保留中")&gt;0,"保留",IF(COUNTIFS(請求記録!$B$6:$B$3005,$A195,請求記録!$X$6:$X$3005,U$5)=0,"",SUMIFS(請求記録!$AC$6:$AC$3005,請求記録!$B$6:$B$3005,$A195,請求記録!$X$6:$X$3005,U$5))))</f>
        <v/>
      </c>
      <c r="V195" s="19">
        <f>IF($A195="","",IF(COUNTIFS(請求記録!$B$6:$B$3005,$A195,請求記録!$X$6:$X$3005,V$5,請求記録!$AD$6:$AD$3005,"保留中")&gt;0,"保留",IF(COUNTIFS(請求記録!$B$6:$B$3005,$A195,請求記録!$X$6:$X$3005,V$5)=0,"",SUMIFS(請求記録!$AC$6:$AC$3005,請求記録!$B$6:$B$3005,$A195,請求記録!$X$6:$X$3005,V$5))))</f>
        <v/>
      </c>
      <c r="W195" s="19">
        <f>IF($A195="","",IF(COUNTIFS(請求記録!$B$6:$B$3005,$A195,請求記録!$X$6:$X$3005,W$5,請求記録!$AD$6:$AD$3005,"保留中")&gt;0,"保留",IF(COUNTIFS(請求記録!$B$6:$B$3005,$A195,請求記録!$X$6:$X$3005,W$5)=0,"",SUMIFS(請求記録!$AC$6:$AC$3005,請求記録!$B$6:$B$3005,$A195,請求記録!$X$6:$X$3005,W$5))))</f>
        <v/>
      </c>
      <c r="X195" s="19">
        <f>IF($A195="","",IF(COUNTIFS(請求記録!$B$6:$B$3005,$A195,請求記録!$X$6:$X$3005,X$5,請求記録!$AD$6:$AD$3005,"保留中")&gt;0,"保留",IF(COUNTIFS(請求記録!$B$6:$B$3005,$A195,請求記録!$X$6:$X$3005,X$5)=0,"",SUMIFS(請求記録!$AC$6:$AC$3005,請求記録!$B$6:$B$3005,$A195,請求記録!$X$6:$X$3005,X$5))))</f>
        <v/>
      </c>
      <c r="Y195" s="19">
        <f>IF($A195="","",IF(COUNTIFS(請求記録!$B$6:$B$3005,$A195,請求記録!$X$6:$X$3005,Y$5,請求記録!$AD$6:$AD$3005,"保留中")&gt;0,"保留",IF(COUNTIFS(請求記録!$B$6:$B$3005,$A195,請求記録!$X$6:$X$3005,Y$5)=0,"",SUMIFS(請求記録!$AC$6:$AC$3005,請求記録!$B$6:$B$3005,$A195,請求記録!$X$6:$X$3005,Y$5))))</f>
        <v/>
      </c>
      <c r="Z195" s="19">
        <f>IF($A195="","",IF(COUNTIFS(請求記録!$B$6:$B$3005,$A195,請求記録!$X$6:$X$3005,Z$5,請求記録!$AD$6:$AD$3005,"保留中")&gt;0,"保留",IF(COUNTIFS(請求記録!$B$6:$B$3005,$A195,請求記録!$X$6:$X$3005,Z$5)=0,"",SUMIFS(請求記録!$AC$6:$AC$3005,請求記録!$B$6:$B$3005,$A195,請求記録!$X$6:$X$3005,Z$5))))</f>
        <v/>
      </c>
      <c r="AA195" s="19">
        <f>IF($A195="","",IF(COUNTIFS(請求記録!$B$6:$B$3005,$A195,請求記録!$X$6:$X$3005,AA$5,請求記録!$AD$6:$AD$3005,"保留中")&gt;0,"保留",IF(COUNTIFS(請求記録!$B$6:$B$3005,$A195,請求記録!$X$6:$X$3005,AA$5)=0,"",SUMIFS(請求記録!$AC$6:$AC$3005,請求記録!$B$6:$B$3005,$A195,請求記録!$X$6:$X$3005,AA$5))))</f>
        <v/>
      </c>
      <c r="AB195">
        <f>IF(職員マスタ!P195="保留中",職員マスタ!M195,"")</f>
        <v/>
      </c>
    </row>
    <row r="196">
      <c r="A196">
        <f>IF(職員マスタ!A196="","",職員マスタ!A196)</f>
        <v/>
      </c>
      <c r="B196">
        <f>IF($A196="","",職員マスタ!B196)</f>
        <v/>
      </c>
      <c r="C196">
        <f>IF($A196="","",職員マスタ!C196)</f>
        <v/>
      </c>
      <c r="D196" s="19">
        <f>IF($A196="","",IF(COUNTIFS(請求記録!$B$6:$B$3005,$A196,請求記録!$X$6:$X$3005,D$5,請求記録!$AD$6:$AD$3005,"保留中")&gt;0,"保留",IF(COUNTIFS(請求記録!$B$6:$B$3005,$A196,請求記録!$X$6:$X$3005,D$5)=0,"",SUMIFS(請求記録!$AC$6:$AC$3005,請求記録!$B$6:$B$3005,$A196,請求記録!$X$6:$X$3005,D$5))))</f>
        <v/>
      </c>
      <c r="E196" s="19">
        <f>IF($A196="","",IF(COUNTIFS(請求記録!$B$6:$B$3005,$A196,請求記録!$X$6:$X$3005,E$5,請求記録!$AD$6:$AD$3005,"保留中")&gt;0,"保留",IF(COUNTIFS(請求記録!$B$6:$B$3005,$A196,請求記録!$X$6:$X$3005,E$5)=0,"",SUMIFS(請求記録!$AC$6:$AC$3005,請求記録!$B$6:$B$3005,$A196,請求記録!$X$6:$X$3005,E$5))))</f>
        <v/>
      </c>
      <c r="F196" s="19">
        <f>IF($A196="","",IF(COUNTIFS(請求記録!$B$6:$B$3005,$A196,請求記録!$X$6:$X$3005,F$5,請求記録!$AD$6:$AD$3005,"保留中")&gt;0,"保留",IF(COUNTIFS(請求記録!$B$6:$B$3005,$A196,請求記録!$X$6:$X$3005,F$5)=0,"",SUMIFS(請求記録!$AC$6:$AC$3005,請求記録!$B$6:$B$3005,$A196,請求記録!$X$6:$X$3005,F$5))))</f>
        <v/>
      </c>
      <c r="G196" s="19">
        <f>IF($A196="","",IF(COUNTIFS(請求記録!$B$6:$B$3005,$A196,請求記録!$X$6:$X$3005,G$5,請求記録!$AD$6:$AD$3005,"保留中")&gt;0,"保留",IF(COUNTIFS(請求記録!$B$6:$B$3005,$A196,請求記録!$X$6:$X$3005,G$5)=0,"",SUMIFS(請求記録!$AC$6:$AC$3005,請求記録!$B$6:$B$3005,$A196,請求記録!$X$6:$X$3005,G$5))))</f>
        <v/>
      </c>
      <c r="H196" s="19">
        <f>IF($A196="","",IF(COUNTIFS(請求記録!$B$6:$B$3005,$A196,請求記録!$X$6:$X$3005,H$5,請求記録!$AD$6:$AD$3005,"保留中")&gt;0,"保留",IF(COUNTIFS(請求記録!$B$6:$B$3005,$A196,請求記録!$X$6:$X$3005,H$5)=0,"",SUMIFS(請求記録!$AC$6:$AC$3005,請求記録!$B$6:$B$3005,$A196,請求記録!$X$6:$X$3005,H$5))))</f>
        <v/>
      </c>
      <c r="I196" s="19">
        <f>IF($A196="","",IF(COUNTIFS(請求記録!$B$6:$B$3005,$A196,請求記録!$X$6:$X$3005,I$5,請求記録!$AD$6:$AD$3005,"保留中")&gt;0,"保留",IF(COUNTIFS(請求記録!$B$6:$B$3005,$A196,請求記録!$X$6:$X$3005,I$5)=0,"",SUMIFS(請求記録!$AC$6:$AC$3005,請求記録!$B$6:$B$3005,$A196,請求記録!$X$6:$X$3005,I$5))))</f>
        <v/>
      </c>
      <c r="J196" s="19">
        <f>IF($A196="","",IF(COUNTIFS(請求記録!$B$6:$B$3005,$A196,請求記録!$X$6:$X$3005,J$5,請求記録!$AD$6:$AD$3005,"保留中")&gt;0,"保留",IF(COUNTIFS(請求記録!$B$6:$B$3005,$A196,請求記録!$X$6:$X$3005,J$5)=0,"",SUMIFS(請求記録!$AC$6:$AC$3005,請求記録!$B$6:$B$3005,$A196,請求記録!$X$6:$X$3005,J$5))))</f>
        <v/>
      </c>
      <c r="K196" s="19">
        <f>IF($A196="","",IF(COUNTIFS(請求記録!$B$6:$B$3005,$A196,請求記録!$X$6:$X$3005,K$5,請求記録!$AD$6:$AD$3005,"保留中")&gt;0,"保留",IF(COUNTIFS(請求記録!$B$6:$B$3005,$A196,請求記録!$X$6:$X$3005,K$5)=0,"",SUMIFS(請求記録!$AC$6:$AC$3005,請求記録!$B$6:$B$3005,$A196,請求記録!$X$6:$X$3005,K$5))))</f>
        <v/>
      </c>
      <c r="L196" s="19">
        <f>IF($A196="","",IF(COUNTIFS(請求記録!$B$6:$B$3005,$A196,請求記録!$X$6:$X$3005,L$5,請求記録!$AD$6:$AD$3005,"保留中")&gt;0,"保留",IF(COUNTIFS(請求記録!$B$6:$B$3005,$A196,請求記録!$X$6:$X$3005,L$5)=0,"",SUMIFS(請求記録!$AC$6:$AC$3005,請求記録!$B$6:$B$3005,$A196,請求記録!$X$6:$X$3005,L$5))))</f>
        <v/>
      </c>
      <c r="M196" s="19">
        <f>IF($A196="","",IF(COUNTIFS(請求記録!$B$6:$B$3005,$A196,請求記録!$X$6:$X$3005,M$5,請求記録!$AD$6:$AD$3005,"保留中")&gt;0,"保留",IF(COUNTIFS(請求記録!$B$6:$B$3005,$A196,請求記録!$X$6:$X$3005,M$5)=0,"",SUMIFS(請求記録!$AC$6:$AC$3005,請求記録!$B$6:$B$3005,$A196,請求記録!$X$6:$X$3005,M$5))))</f>
        <v/>
      </c>
      <c r="N196" s="19">
        <f>IF($A196="","",IF(COUNTIFS(請求記録!$B$6:$B$3005,$A196,請求記録!$X$6:$X$3005,N$5,請求記録!$AD$6:$AD$3005,"保留中")&gt;0,"保留",IF(COUNTIFS(請求記録!$B$6:$B$3005,$A196,請求記録!$X$6:$X$3005,N$5)=0,"",SUMIFS(請求記録!$AC$6:$AC$3005,請求記録!$B$6:$B$3005,$A196,請求記録!$X$6:$X$3005,N$5))))</f>
        <v/>
      </c>
      <c r="O196" s="19">
        <f>IF($A196="","",IF(COUNTIFS(請求記録!$B$6:$B$3005,$A196,請求記録!$X$6:$X$3005,O$5,請求記録!$AD$6:$AD$3005,"保留中")&gt;0,"保留",IF(COUNTIFS(請求記録!$B$6:$B$3005,$A196,請求記録!$X$6:$X$3005,O$5)=0,"",SUMIFS(請求記録!$AC$6:$AC$3005,請求記録!$B$6:$B$3005,$A196,請求記録!$X$6:$X$3005,O$5))))</f>
        <v/>
      </c>
      <c r="P196" s="19">
        <f>IF($A196="","",IF(COUNTIFS(請求記録!$B$6:$B$3005,$A196,請求記録!$X$6:$X$3005,P$5,請求記録!$AD$6:$AD$3005,"保留中")&gt;0,"保留",IF(COUNTIFS(請求記録!$B$6:$B$3005,$A196,請求記録!$X$6:$X$3005,P$5)=0,"",SUMIFS(請求記録!$AC$6:$AC$3005,請求記録!$B$6:$B$3005,$A196,請求記録!$X$6:$X$3005,P$5))))</f>
        <v/>
      </c>
      <c r="Q196" s="19">
        <f>IF($A196="","",IF(COUNTIFS(請求記録!$B$6:$B$3005,$A196,請求記録!$X$6:$X$3005,Q$5,請求記録!$AD$6:$AD$3005,"保留中")&gt;0,"保留",IF(COUNTIFS(請求記録!$B$6:$B$3005,$A196,請求記録!$X$6:$X$3005,Q$5)=0,"",SUMIFS(請求記録!$AC$6:$AC$3005,請求記録!$B$6:$B$3005,$A196,請求記録!$X$6:$X$3005,Q$5))))</f>
        <v/>
      </c>
      <c r="R196" s="19">
        <f>IF($A196="","",IF(COUNTIFS(請求記録!$B$6:$B$3005,$A196,請求記録!$X$6:$X$3005,R$5,請求記録!$AD$6:$AD$3005,"保留中")&gt;0,"保留",IF(COUNTIFS(請求記録!$B$6:$B$3005,$A196,請求記録!$X$6:$X$3005,R$5)=0,"",SUMIFS(請求記録!$AC$6:$AC$3005,請求記録!$B$6:$B$3005,$A196,請求記録!$X$6:$X$3005,R$5))))</f>
        <v/>
      </c>
      <c r="S196" s="19">
        <f>IF($A196="","",IF(COUNTIFS(請求記録!$B$6:$B$3005,$A196,請求記録!$X$6:$X$3005,S$5,請求記録!$AD$6:$AD$3005,"保留中")&gt;0,"保留",IF(COUNTIFS(請求記録!$B$6:$B$3005,$A196,請求記録!$X$6:$X$3005,S$5)=0,"",SUMIFS(請求記録!$AC$6:$AC$3005,請求記録!$B$6:$B$3005,$A196,請求記録!$X$6:$X$3005,S$5))))</f>
        <v/>
      </c>
      <c r="T196" s="19">
        <f>IF($A196="","",IF(COUNTIFS(請求記録!$B$6:$B$3005,$A196,請求記録!$X$6:$X$3005,T$5,請求記録!$AD$6:$AD$3005,"保留中")&gt;0,"保留",IF(COUNTIFS(請求記録!$B$6:$B$3005,$A196,請求記録!$X$6:$X$3005,T$5)=0,"",SUMIFS(請求記録!$AC$6:$AC$3005,請求記録!$B$6:$B$3005,$A196,請求記録!$X$6:$X$3005,T$5))))</f>
        <v/>
      </c>
      <c r="U196" s="19">
        <f>IF($A196="","",IF(COUNTIFS(請求記録!$B$6:$B$3005,$A196,請求記録!$X$6:$X$3005,U$5,請求記録!$AD$6:$AD$3005,"保留中")&gt;0,"保留",IF(COUNTIFS(請求記録!$B$6:$B$3005,$A196,請求記録!$X$6:$X$3005,U$5)=0,"",SUMIFS(請求記録!$AC$6:$AC$3005,請求記録!$B$6:$B$3005,$A196,請求記録!$X$6:$X$3005,U$5))))</f>
        <v/>
      </c>
      <c r="V196" s="19">
        <f>IF($A196="","",IF(COUNTIFS(請求記録!$B$6:$B$3005,$A196,請求記録!$X$6:$X$3005,V$5,請求記録!$AD$6:$AD$3005,"保留中")&gt;0,"保留",IF(COUNTIFS(請求記録!$B$6:$B$3005,$A196,請求記録!$X$6:$X$3005,V$5)=0,"",SUMIFS(請求記録!$AC$6:$AC$3005,請求記録!$B$6:$B$3005,$A196,請求記録!$X$6:$X$3005,V$5))))</f>
        <v/>
      </c>
      <c r="W196" s="19">
        <f>IF($A196="","",IF(COUNTIFS(請求記録!$B$6:$B$3005,$A196,請求記録!$X$6:$X$3005,W$5,請求記録!$AD$6:$AD$3005,"保留中")&gt;0,"保留",IF(COUNTIFS(請求記録!$B$6:$B$3005,$A196,請求記録!$X$6:$X$3005,W$5)=0,"",SUMIFS(請求記録!$AC$6:$AC$3005,請求記録!$B$6:$B$3005,$A196,請求記録!$X$6:$X$3005,W$5))))</f>
        <v/>
      </c>
      <c r="X196" s="19">
        <f>IF($A196="","",IF(COUNTIFS(請求記録!$B$6:$B$3005,$A196,請求記録!$X$6:$X$3005,X$5,請求記録!$AD$6:$AD$3005,"保留中")&gt;0,"保留",IF(COUNTIFS(請求記録!$B$6:$B$3005,$A196,請求記録!$X$6:$X$3005,X$5)=0,"",SUMIFS(請求記録!$AC$6:$AC$3005,請求記録!$B$6:$B$3005,$A196,請求記録!$X$6:$X$3005,X$5))))</f>
        <v/>
      </c>
      <c r="Y196" s="19">
        <f>IF($A196="","",IF(COUNTIFS(請求記録!$B$6:$B$3005,$A196,請求記録!$X$6:$X$3005,Y$5,請求記録!$AD$6:$AD$3005,"保留中")&gt;0,"保留",IF(COUNTIFS(請求記録!$B$6:$B$3005,$A196,請求記録!$X$6:$X$3005,Y$5)=0,"",SUMIFS(請求記録!$AC$6:$AC$3005,請求記録!$B$6:$B$3005,$A196,請求記録!$X$6:$X$3005,Y$5))))</f>
        <v/>
      </c>
      <c r="Z196" s="19">
        <f>IF($A196="","",IF(COUNTIFS(請求記録!$B$6:$B$3005,$A196,請求記録!$X$6:$X$3005,Z$5,請求記録!$AD$6:$AD$3005,"保留中")&gt;0,"保留",IF(COUNTIFS(請求記録!$B$6:$B$3005,$A196,請求記録!$X$6:$X$3005,Z$5)=0,"",SUMIFS(請求記録!$AC$6:$AC$3005,請求記録!$B$6:$B$3005,$A196,請求記録!$X$6:$X$3005,Z$5))))</f>
        <v/>
      </c>
      <c r="AA196" s="19">
        <f>IF($A196="","",IF(COUNTIFS(請求記録!$B$6:$B$3005,$A196,請求記録!$X$6:$X$3005,AA$5,請求記録!$AD$6:$AD$3005,"保留中")&gt;0,"保留",IF(COUNTIFS(請求記録!$B$6:$B$3005,$A196,請求記録!$X$6:$X$3005,AA$5)=0,"",SUMIFS(請求記録!$AC$6:$AC$3005,請求記録!$B$6:$B$3005,$A196,請求記録!$X$6:$X$3005,AA$5))))</f>
        <v/>
      </c>
      <c r="AB196">
        <f>IF(職員マスタ!P196="保留中",職員マスタ!M196,"")</f>
        <v/>
      </c>
    </row>
    <row r="197">
      <c r="A197">
        <f>IF(職員マスタ!A197="","",職員マスタ!A197)</f>
        <v/>
      </c>
      <c r="B197">
        <f>IF($A197="","",職員マスタ!B197)</f>
        <v/>
      </c>
      <c r="C197">
        <f>IF($A197="","",職員マスタ!C197)</f>
        <v/>
      </c>
      <c r="D197" s="19">
        <f>IF($A197="","",IF(COUNTIFS(請求記録!$B$6:$B$3005,$A197,請求記録!$X$6:$X$3005,D$5,請求記録!$AD$6:$AD$3005,"保留中")&gt;0,"保留",IF(COUNTIFS(請求記録!$B$6:$B$3005,$A197,請求記録!$X$6:$X$3005,D$5)=0,"",SUMIFS(請求記録!$AC$6:$AC$3005,請求記録!$B$6:$B$3005,$A197,請求記録!$X$6:$X$3005,D$5))))</f>
        <v/>
      </c>
      <c r="E197" s="19">
        <f>IF($A197="","",IF(COUNTIFS(請求記録!$B$6:$B$3005,$A197,請求記録!$X$6:$X$3005,E$5,請求記録!$AD$6:$AD$3005,"保留中")&gt;0,"保留",IF(COUNTIFS(請求記録!$B$6:$B$3005,$A197,請求記録!$X$6:$X$3005,E$5)=0,"",SUMIFS(請求記録!$AC$6:$AC$3005,請求記録!$B$6:$B$3005,$A197,請求記録!$X$6:$X$3005,E$5))))</f>
        <v/>
      </c>
      <c r="F197" s="19">
        <f>IF($A197="","",IF(COUNTIFS(請求記録!$B$6:$B$3005,$A197,請求記録!$X$6:$X$3005,F$5,請求記録!$AD$6:$AD$3005,"保留中")&gt;0,"保留",IF(COUNTIFS(請求記録!$B$6:$B$3005,$A197,請求記録!$X$6:$X$3005,F$5)=0,"",SUMIFS(請求記録!$AC$6:$AC$3005,請求記録!$B$6:$B$3005,$A197,請求記録!$X$6:$X$3005,F$5))))</f>
        <v/>
      </c>
      <c r="G197" s="19">
        <f>IF($A197="","",IF(COUNTIFS(請求記録!$B$6:$B$3005,$A197,請求記録!$X$6:$X$3005,G$5,請求記録!$AD$6:$AD$3005,"保留中")&gt;0,"保留",IF(COUNTIFS(請求記録!$B$6:$B$3005,$A197,請求記録!$X$6:$X$3005,G$5)=0,"",SUMIFS(請求記録!$AC$6:$AC$3005,請求記録!$B$6:$B$3005,$A197,請求記録!$X$6:$X$3005,G$5))))</f>
        <v/>
      </c>
      <c r="H197" s="19">
        <f>IF($A197="","",IF(COUNTIFS(請求記録!$B$6:$B$3005,$A197,請求記録!$X$6:$X$3005,H$5,請求記録!$AD$6:$AD$3005,"保留中")&gt;0,"保留",IF(COUNTIFS(請求記録!$B$6:$B$3005,$A197,請求記録!$X$6:$X$3005,H$5)=0,"",SUMIFS(請求記録!$AC$6:$AC$3005,請求記録!$B$6:$B$3005,$A197,請求記録!$X$6:$X$3005,H$5))))</f>
        <v/>
      </c>
      <c r="I197" s="19">
        <f>IF($A197="","",IF(COUNTIFS(請求記録!$B$6:$B$3005,$A197,請求記録!$X$6:$X$3005,I$5,請求記録!$AD$6:$AD$3005,"保留中")&gt;0,"保留",IF(COUNTIFS(請求記録!$B$6:$B$3005,$A197,請求記録!$X$6:$X$3005,I$5)=0,"",SUMIFS(請求記録!$AC$6:$AC$3005,請求記録!$B$6:$B$3005,$A197,請求記録!$X$6:$X$3005,I$5))))</f>
        <v/>
      </c>
      <c r="J197" s="19">
        <f>IF($A197="","",IF(COUNTIFS(請求記録!$B$6:$B$3005,$A197,請求記録!$X$6:$X$3005,J$5,請求記録!$AD$6:$AD$3005,"保留中")&gt;0,"保留",IF(COUNTIFS(請求記録!$B$6:$B$3005,$A197,請求記録!$X$6:$X$3005,J$5)=0,"",SUMIFS(請求記録!$AC$6:$AC$3005,請求記録!$B$6:$B$3005,$A197,請求記録!$X$6:$X$3005,J$5))))</f>
        <v/>
      </c>
      <c r="K197" s="19">
        <f>IF($A197="","",IF(COUNTIFS(請求記録!$B$6:$B$3005,$A197,請求記録!$X$6:$X$3005,K$5,請求記録!$AD$6:$AD$3005,"保留中")&gt;0,"保留",IF(COUNTIFS(請求記録!$B$6:$B$3005,$A197,請求記録!$X$6:$X$3005,K$5)=0,"",SUMIFS(請求記録!$AC$6:$AC$3005,請求記録!$B$6:$B$3005,$A197,請求記録!$X$6:$X$3005,K$5))))</f>
        <v/>
      </c>
      <c r="L197" s="19">
        <f>IF($A197="","",IF(COUNTIFS(請求記録!$B$6:$B$3005,$A197,請求記録!$X$6:$X$3005,L$5,請求記録!$AD$6:$AD$3005,"保留中")&gt;0,"保留",IF(COUNTIFS(請求記録!$B$6:$B$3005,$A197,請求記録!$X$6:$X$3005,L$5)=0,"",SUMIFS(請求記録!$AC$6:$AC$3005,請求記録!$B$6:$B$3005,$A197,請求記録!$X$6:$X$3005,L$5))))</f>
        <v/>
      </c>
      <c r="M197" s="19">
        <f>IF($A197="","",IF(COUNTIFS(請求記録!$B$6:$B$3005,$A197,請求記録!$X$6:$X$3005,M$5,請求記録!$AD$6:$AD$3005,"保留中")&gt;0,"保留",IF(COUNTIFS(請求記録!$B$6:$B$3005,$A197,請求記録!$X$6:$X$3005,M$5)=0,"",SUMIFS(請求記録!$AC$6:$AC$3005,請求記録!$B$6:$B$3005,$A197,請求記録!$X$6:$X$3005,M$5))))</f>
        <v/>
      </c>
      <c r="N197" s="19">
        <f>IF($A197="","",IF(COUNTIFS(請求記録!$B$6:$B$3005,$A197,請求記録!$X$6:$X$3005,N$5,請求記録!$AD$6:$AD$3005,"保留中")&gt;0,"保留",IF(COUNTIFS(請求記録!$B$6:$B$3005,$A197,請求記録!$X$6:$X$3005,N$5)=0,"",SUMIFS(請求記録!$AC$6:$AC$3005,請求記録!$B$6:$B$3005,$A197,請求記録!$X$6:$X$3005,N$5))))</f>
        <v/>
      </c>
      <c r="O197" s="19">
        <f>IF($A197="","",IF(COUNTIFS(請求記録!$B$6:$B$3005,$A197,請求記録!$X$6:$X$3005,O$5,請求記録!$AD$6:$AD$3005,"保留中")&gt;0,"保留",IF(COUNTIFS(請求記録!$B$6:$B$3005,$A197,請求記録!$X$6:$X$3005,O$5)=0,"",SUMIFS(請求記録!$AC$6:$AC$3005,請求記録!$B$6:$B$3005,$A197,請求記録!$X$6:$X$3005,O$5))))</f>
        <v/>
      </c>
      <c r="P197" s="19">
        <f>IF($A197="","",IF(COUNTIFS(請求記録!$B$6:$B$3005,$A197,請求記録!$X$6:$X$3005,P$5,請求記録!$AD$6:$AD$3005,"保留中")&gt;0,"保留",IF(COUNTIFS(請求記録!$B$6:$B$3005,$A197,請求記録!$X$6:$X$3005,P$5)=0,"",SUMIFS(請求記録!$AC$6:$AC$3005,請求記録!$B$6:$B$3005,$A197,請求記録!$X$6:$X$3005,P$5))))</f>
        <v/>
      </c>
      <c r="Q197" s="19">
        <f>IF($A197="","",IF(COUNTIFS(請求記録!$B$6:$B$3005,$A197,請求記録!$X$6:$X$3005,Q$5,請求記録!$AD$6:$AD$3005,"保留中")&gt;0,"保留",IF(COUNTIFS(請求記録!$B$6:$B$3005,$A197,請求記録!$X$6:$X$3005,Q$5)=0,"",SUMIFS(請求記録!$AC$6:$AC$3005,請求記録!$B$6:$B$3005,$A197,請求記録!$X$6:$X$3005,Q$5))))</f>
        <v/>
      </c>
      <c r="R197" s="19">
        <f>IF($A197="","",IF(COUNTIFS(請求記録!$B$6:$B$3005,$A197,請求記録!$X$6:$X$3005,R$5,請求記録!$AD$6:$AD$3005,"保留中")&gt;0,"保留",IF(COUNTIFS(請求記録!$B$6:$B$3005,$A197,請求記録!$X$6:$X$3005,R$5)=0,"",SUMIFS(請求記録!$AC$6:$AC$3005,請求記録!$B$6:$B$3005,$A197,請求記録!$X$6:$X$3005,R$5))))</f>
        <v/>
      </c>
      <c r="S197" s="19">
        <f>IF($A197="","",IF(COUNTIFS(請求記録!$B$6:$B$3005,$A197,請求記録!$X$6:$X$3005,S$5,請求記録!$AD$6:$AD$3005,"保留中")&gt;0,"保留",IF(COUNTIFS(請求記録!$B$6:$B$3005,$A197,請求記録!$X$6:$X$3005,S$5)=0,"",SUMIFS(請求記録!$AC$6:$AC$3005,請求記録!$B$6:$B$3005,$A197,請求記録!$X$6:$X$3005,S$5))))</f>
        <v/>
      </c>
      <c r="T197" s="19">
        <f>IF($A197="","",IF(COUNTIFS(請求記録!$B$6:$B$3005,$A197,請求記録!$X$6:$X$3005,T$5,請求記録!$AD$6:$AD$3005,"保留中")&gt;0,"保留",IF(COUNTIFS(請求記録!$B$6:$B$3005,$A197,請求記録!$X$6:$X$3005,T$5)=0,"",SUMIFS(請求記録!$AC$6:$AC$3005,請求記録!$B$6:$B$3005,$A197,請求記録!$X$6:$X$3005,T$5))))</f>
        <v/>
      </c>
      <c r="U197" s="19">
        <f>IF($A197="","",IF(COUNTIFS(請求記録!$B$6:$B$3005,$A197,請求記録!$X$6:$X$3005,U$5,請求記録!$AD$6:$AD$3005,"保留中")&gt;0,"保留",IF(COUNTIFS(請求記録!$B$6:$B$3005,$A197,請求記録!$X$6:$X$3005,U$5)=0,"",SUMIFS(請求記録!$AC$6:$AC$3005,請求記録!$B$6:$B$3005,$A197,請求記録!$X$6:$X$3005,U$5))))</f>
        <v/>
      </c>
      <c r="V197" s="19">
        <f>IF($A197="","",IF(COUNTIFS(請求記録!$B$6:$B$3005,$A197,請求記録!$X$6:$X$3005,V$5,請求記録!$AD$6:$AD$3005,"保留中")&gt;0,"保留",IF(COUNTIFS(請求記録!$B$6:$B$3005,$A197,請求記録!$X$6:$X$3005,V$5)=0,"",SUMIFS(請求記録!$AC$6:$AC$3005,請求記録!$B$6:$B$3005,$A197,請求記録!$X$6:$X$3005,V$5))))</f>
        <v/>
      </c>
      <c r="W197" s="19">
        <f>IF($A197="","",IF(COUNTIFS(請求記録!$B$6:$B$3005,$A197,請求記録!$X$6:$X$3005,W$5,請求記録!$AD$6:$AD$3005,"保留中")&gt;0,"保留",IF(COUNTIFS(請求記録!$B$6:$B$3005,$A197,請求記録!$X$6:$X$3005,W$5)=0,"",SUMIFS(請求記録!$AC$6:$AC$3005,請求記録!$B$6:$B$3005,$A197,請求記録!$X$6:$X$3005,W$5))))</f>
        <v/>
      </c>
      <c r="X197" s="19">
        <f>IF($A197="","",IF(COUNTIFS(請求記録!$B$6:$B$3005,$A197,請求記録!$X$6:$X$3005,X$5,請求記録!$AD$6:$AD$3005,"保留中")&gt;0,"保留",IF(COUNTIFS(請求記録!$B$6:$B$3005,$A197,請求記録!$X$6:$X$3005,X$5)=0,"",SUMIFS(請求記録!$AC$6:$AC$3005,請求記録!$B$6:$B$3005,$A197,請求記録!$X$6:$X$3005,X$5))))</f>
        <v/>
      </c>
      <c r="Y197" s="19">
        <f>IF($A197="","",IF(COUNTIFS(請求記録!$B$6:$B$3005,$A197,請求記録!$X$6:$X$3005,Y$5,請求記録!$AD$6:$AD$3005,"保留中")&gt;0,"保留",IF(COUNTIFS(請求記録!$B$6:$B$3005,$A197,請求記録!$X$6:$X$3005,Y$5)=0,"",SUMIFS(請求記録!$AC$6:$AC$3005,請求記録!$B$6:$B$3005,$A197,請求記録!$X$6:$X$3005,Y$5))))</f>
        <v/>
      </c>
      <c r="Z197" s="19">
        <f>IF($A197="","",IF(COUNTIFS(請求記録!$B$6:$B$3005,$A197,請求記録!$X$6:$X$3005,Z$5,請求記録!$AD$6:$AD$3005,"保留中")&gt;0,"保留",IF(COUNTIFS(請求記録!$B$6:$B$3005,$A197,請求記録!$X$6:$X$3005,Z$5)=0,"",SUMIFS(請求記録!$AC$6:$AC$3005,請求記録!$B$6:$B$3005,$A197,請求記録!$X$6:$X$3005,Z$5))))</f>
        <v/>
      </c>
      <c r="AA197" s="19">
        <f>IF($A197="","",IF(COUNTIFS(請求記録!$B$6:$B$3005,$A197,請求記録!$X$6:$X$3005,AA$5,請求記録!$AD$6:$AD$3005,"保留中")&gt;0,"保留",IF(COUNTIFS(請求記録!$B$6:$B$3005,$A197,請求記録!$X$6:$X$3005,AA$5)=0,"",SUMIFS(請求記録!$AC$6:$AC$3005,請求記録!$B$6:$B$3005,$A197,請求記録!$X$6:$X$3005,AA$5))))</f>
        <v/>
      </c>
      <c r="AB197">
        <f>IF(職員マスタ!P197="保留中",職員マスタ!M197,"")</f>
        <v/>
      </c>
    </row>
    <row r="198">
      <c r="A198">
        <f>IF(職員マスタ!A198="","",職員マスタ!A198)</f>
        <v/>
      </c>
      <c r="B198">
        <f>IF($A198="","",職員マスタ!B198)</f>
        <v/>
      </c>
      <c r="C198">
        <f>IF($A198="","",職員マスタ!C198)</f>
        <v/>
      </c>
      <c r="D198" s="19">
        <f>IF($A198="","",IF(COUNTIFS(請求記録!$B$6:$B$3005,$A198,請求記録!$X$6:$X$3005,D$5,請求記録!$AD$6:$AD$3005,"保留中")&gt;0,"保留",IF(COUNTIFS(請求記録!$B$6:$B$3005,$A198,請求記録!$X$6:$X$3005,D$5)=0,"",SUMIFS(請求記録!$AC$6:$AC$3005,請求記録!$B$6:$B$3005,$A198,請求記録!$X$6:$X$3005,D$5))))</f>
        <v/>
      </c>
      <c r="E198" s="19">
        <f>IF($A198="","",IF(COUNTIFS(請求記録!$B$6:$B$3005,$A198,請求記録!$X$6:$X$3005,E$5,請求記録!$AD$6:$AD$3005,"保留中")&gt;0,"保留",IF(COUNTIFS(請求記録!$B$6:$B$3005,$A198,請求記録!$X$6:$X$3005,E$5)=0,"",SUMIFS(請求記録!$AC$6:$AC$3005,請求記録!$B$6:$B$3005,$A198,請求記録!$X$6:$X$3005,E$5))))</f>
        <v/>
      </c>
      <c r="F198" s="19">
        <f>IF($A198="","",IF(COUNTIFS(請求記録!$B$6:$B$3005,$A198,請求記録!$X$6:$X$3005,F$5,請求記録!$AD$6:$AD$3005,"保留中")&gt;0,"保留",IF(COUNTIFS(請求記録!$B$6:$B$3005,$A198,請求記録!$X$6:$X$3005,F$5)=0,"",SUMIFS(請求記録!$AC$6:$AC$3005,請求記録!$B$6:$B$3005,$A198,請求記録!$X$6:$X$3005,F$5))))</f>
        <v/>
      </c>
      <c r="G198" s="19">
        <f>IF($A198="","",IF(COUNTIFS(請求記録!$B$6:$B$3005,$A198,請求記録!$X$6:$X$3005,G$5,請求記録!$AD$6:$AD$3005,"保留中")&gt;0,"保留",IF(COUNTIFS(請求記録!$B$6:$B$3005,$A198,請求記録!$X$6:$X$3005,G$5)=0,"",SUMIFS(請求記録!$AC$6:$AC$3005,請求記録!$B$6:$B$3005,$A198,請求記録!$X$6:$X$3005,G$5))))</f>
        <v/>
      </c>
      <c r="H198" s="19">
        <f>IF($A198="","",IF(COUNTIFS(請求記録!$B$6:$B$3005,$A198,請求記録!$X$6:$X$3005,H$5,請求記録!$AD$6:$AD$3005,"保留中")&gt;0,"保留",IF(COUNTIFS(請求記録!$B$6:$B$3005,$A198,請求記録!$X$6:$X$3005,H$5)=0,"",SUMIFS(請求記録!$AC$6:$AC$3005,請求記録!$B$6:$B$3005,$A198,請求記録!$X$6:$X$3005,H$5))))</f>
        <v/>
      </c>
      <c r="I198" s="19">
        <f>IF($A198="","",IF(COUNTIFS(請求記録!$B$6:$B$3005,$A198,請求記録!$X$6:$X$3005,I$5,請求記録!$AD$6:$AD$3005,"保留中")&gt;0,"保留",IF(COUNTIFS(請求記録!$B$6:$B$3005,$A198,請求記録!$X$6:$X$3005,I$5)=0,"",SUMIFS(請求記録!$AC$6:$AC$3005,請求記録!$B$6:$B$3005,$A198,請求記録!$X$6:$X$3005,I$5))))</f>
        <v/>
      </c>
      <c r="J198" s="19">
        <f>IF($A198="","",IF(COUNTIFS(請求記録!$B$6:$B$3005,$A198,請求記録!$X$6:$X$3005,J$5,請求記録!$AD$6:$AD$3005,"保留中")&gt;0,"保留",IF(COUNTIFS(請求記録!$B$6:$B$3005,$A198,請求記録!$X$6:$X$3005,J$5)=0,"",SUMIFS(請求記録!$AC$6:$AC$3005,請求記録!$B$6:$B$3005,$A198,請求記録!$X$6:$X$3005,J$5))))</f>
        <v/>
      </c>
      <c r="K198" s="19">
        <f>IF($A198="","",IF(COUNTIFS(請求記録!$B$6:$B$3005,$A198,請求記録!$X$6:$X$3005,K$5,請求記録!$AD$6:$AD$3005,"保留中")&gt;0,"保留",IF(COUNTIFS(請求記録!$B$6:$B$3005,$A198,請求記録!$X$6:$X$3005,K$5)=0,"",SUMIFS(請求記録!$AC$6:$AC$3005,請求記録!$B$6:$B$3005,$A198,請求記録!$X$6:$X$3005,K$5))))</f>
        <v/>
      </c>
      <c r="L198" s="19">
        <f>IF($A198="","",IF(COUNTIFS(請求記録!$B$6:$B$3005,$A198,請求記録!$X$6:$X$3005,L$5,請求記録!$AD$6:$AD$3005,"保留中")&gt;0,"保留",IF(COUNTIFS(請求記録!$B$6:$B$3005,$A198,請求記録!$X$6:$X$3005,L$5)=0,"",SUMIFS(請求記録!$AC$6:$AC$3005,請求記録!$B$6:$B$3005,$A198,請求記録!$X$6:$X$3005,L$5))))</f>
        <v/>
      </c>
      <c r="M198" s="19">
        <f>IF($A198="","",IF(COUNTIFS(請求記録!$B$6:$B$3005,$A198,請求記録!$X$6:$X$3005,M$5,請求記録!$AD$6:$AD$3005,"保留中")&gt;0,"保留",IF(COUNTIFS(請求記録!$B$6:$B$3005,$A198,請求記録!$X$6:$X$3005,M$5)=0,"",SUMIFS(請求記録!$AC$6:$AC$3005,請求記録!$B$6:$B$3005,$A198,請求記録!$X$6:$X$3005,M$5))))</f>
        <v/>
      </c>
      <c r="N198" s="19">
        <f>IF($A198="","",IF(COUNTIFS(請求記録!$B$6:$B$3005,$A198,請求記録!$X$6:$X$3005,N$5,請求記録!$AD$6:$AD$3005,"保留中")&gt;0,"保留",IF(COUNTIFS(請求記録!$B$6:$B$3005,$A198,請求記録!$X$6:$X$3005,N$5)=0,"",SUMIFS(請求記録!$AC$6:$AC$3005,請求記録!$B$6:$B$3005,$A198,請求記録!$X$6:$X$3005,N$5))))</f>
        <v/>
      </c>
      <c r="O198" s="19">
        <f>IF($A198="","",IF(COUNTIFS(請求記録!$B$6:$B$3005,$A198,請求記録!$X$6:$X$3005,O$5,請求記録!$AD$6:$AD$3005,"保留中")&gt;0,"保留",IF(COUNTIFS(請求記録!$B$6:$B$3005,$A198,請求記録!$X$6:$X$3005,O$5)=0,"",SUMIFS(請求記録!$AC$6:$AC$3005,請求記録!$B$6:$B$3005,$A198,請求記録!$X$6:$X$3005,O$5))))</f>
        <v/>
      </c>
      <c r="P198" s="19">
        <f>IF($A198="","",IF(COUNTIFS(請求記録!$B$6:$B$3005,$A198,請求記録!$X$6:$X$3005,P$5,請求記録!$AD$6:$AD$3005,"保留中")&gt;0,"保留",IF(COUNTIFS(請求記録!$B$6:$B$3005,$A198,請求記録!$X$6:$X$3005,P$5)=0,"",SUMIFS(請求記録!$AC$6:$AC$3005,請求記録!$B$6:$B$3005,$A198,請求記録!$X$6:$X$3005,P$5))))</f>
        <v/>
      </c>
      <c r="Q198" s="19">
        <f>IF($A198="","",IF(COUNTIFS(請求記録!$B$6:$B$3005,$A198,請求記録!$X$6:$X$3005,Q$5,請求記録!$AD$6:$AD$3005,"保留中")&gt;0,"保留",IF(COUNTIFS(請求記録!$B$6:$B$3005,$A198,請求記録!$X$6:$X$3005,Q$5)=0,"",SUMIFS(請求記録!$AC$6:$AC$3005,請求記録!$B$6:$B$3005,$A198,請求記録!$X$6:$X$3005,Q$5))))</f>
        <v/>
      </c>
      <c r="R198" s="19">
        <f>IF($A198="","",IF(COUNTIFS(請求記録!$B$6:$B$3005,$A198,請求記録!$X$6:$X$3005,R$5,請求記録!$AD$6:$AD$3005,"保留中")&gt;0,"保留",IF(COUNTIFS(請求記録!$B$6:$B$3005,$A198,請求記録!$X$6:$X$3005,R$5)=0,"",SUMIFS(請求記録!$AC$6:$AC$3005,請求記録!$B$6:$B$3005,$A198,請求記録!$X$6:$X$3005,R$5))))</f>
        <v/>
      </c>
      <c r="S198" s="19">
        <f>IF($A198="","",IF(COUNTIFS(請求記録!$B$6:$B$3005,$A198,請求記録!$X$6:$X$3005,S$5,請求記録!$AD$6:$AD$3005,"保留中")&gt;0,"保留",IF(COUNTIFS(請求記録!$B$6:$B$3005,$A198,請求記録!$X$6:$X$3005,S$5)=0,"",SUMIFS(請求記録!$AC$6:$AC$3005,請求記録!$B$6:$B$3005,$A198,請求記録!$X$6:$X$3005,S$5))))</f>
        <v/>
      </c>
      <c r="T198" s="19">
        <f>IF($A198="","",IF(COUNTIFS(請求記録!$B$6:$B$3005,$A198,請求記録!$X$6:$X$3005,T$5,請求記録!$AD$6:$AD$3005,"保留中")&gt;0,"保留",IF(COUNTIFS(請求記録!$B$6:$B$3005,$A198,請求記録!$X$6:$X$3005,T$5)=0,"",SUMIFS(請求記録!$AC$6:$AC$3005,請求記録!$B$6:$B$3005,$A198,請求記録!$X$6:$X$3005,T$5))))</f>
        <v/>
      </c>
      <c r="U198" s="19">
        <f>IF($A198="","",IF(COUNTIFS(請求記録!$B$6:$B$3005,$A198,請求記録!$X$6:$X$3005,U$5,請求記録!$AD$6:$AD$3005,"保留中")&gt;0,"保留",IF(COUNTIFS(請求記録!$B$6:$B$3005,$A198,請求記録!$X$6:$X$3005,U$5)=0,"",SUMIFS(請求記録!$AC$6:$AC$3005,請求記録!$B$6:$B$3005,$A198,請求記録!$X$6:$X$3005,U$5))))</f>
        <v/>
      </c>
      <c r="V198" s="19">
        <f>IF($A198="","",IF(COUNTIFS(請求記録!$B$6:$B$3005,$A198,請求記録!$X$6:$X$3005,V$5,請求記録!$AD$6:$AD$3005,"保留中")&gt;0,"保留",IF(COUNTIFS(請求記録!$B$6:$B$3005,$A198,請求記録!$X$6:$X$3005,V$5)=0,"",SUMIFS(請求記録!$AC$6:$AC$3005,請求記録!$B$6:$B$3005,$A198,請求記録!$X$6:$X$3005,V$5))))</f>
        <v/>
      </c>
      <c r="W198" s="19">
        <f>IF($A198="","",IF(COUNTIFS(請求記録!$B$6:$B$3005,$A198,請求記録!$X$6:$X$3005,W$5,請求記録!$AD$6:$AD$3005,"保留中")&gt;0,"保留",IF(COUNTIFS(請求記録!$B$6:$B$3005,$A198,請求記録!$X$6:$X$3005,W$5)=0,"",SUMIFS(請求記録!$AC$6:$AC$3005,請求記録!$B$6:$B$3005,$A198,請求記録!$X$6:$X$3005,W$5))))</f>
        <v/>
      </c>
      <c r="X198" s="19">
        <f>IF($A198="","",IF(COUNTIFS(請求記録!$B$6:$B$3005,$A198,請求記録!$X$6:$X$3005,X$5,請求記録!$AD$6:$AD$3005,"保留中")&gt;0,"保留",IF(COUNTIFS(請求記録!$B$6:$B$3005,$A198,請求記録!$X$6:$X$3005,X$5)=0,"",SUMIFS(請求記録!$AC$6:$AC$3005,請求記録!$B$6:$B$3005,$A198,請求記録!$X$6:$X$3005,X$5))))</f>
        <v/>
      </c>
      <c r="Y198" s="19">
        <f>IF($A198="","",IF(COUNTIFS(請求記録!$B$6:$B$3005,$A198,請求記録!$X$6:$X$3005,Y$5,請求記録!$AD$6:$AD$3005,"保留中")&gt;0,"保留",IF(COUNTIFS(請求記録!$B$6:$B$3005,$A198,請求記録!$X$6:$X$3005,Y$5)=0,"",SUMIFS(請求記録!$AC$6:$AC$3005,請求記録!$B$6:$B$3005,$A198,請求記録!$X$6:$X$3005,Y$5))))</f>
        <v/>
      </c>
      <c r="Z198" s="19">
        <f>IF($A198="","",IF(COUNTIFS(請求記録!$B$6:$B$3005,$A198,請求記録!$X$6:$X$3005,Z$5,請求記録!$AD$6:$AD$3005,"保留中")&gt;0,"保留",IF(COUNTIFS(請求記録!$B$6:$B$3005,$A198,請求記録!$X$6:$X$3005,Z$5)=0,"",SUMIFS(請求記録!$AC$6:$AC$3005,請求記録!$B$6:$B$3005,$A198,請求記録!$X$6:$X$3005,Z$5))))</f>
        <v/>
      </c>
      <c r="AA198" s="19">
        <f>IF($A198="","",IF(COUNTIFS(請求記録!$B$6:$B$3005,$A198,請求記録!$X$6:$X$3005,AA$5,請求記録!$AD$6:$AD$3005,"保留中")&gt;0,"保留",IF(COUNTIFS(請求記録!$B$6:$B$3005,$A198,請求記録!$X$6:$X$3005,AA$5)=0,"",SUMIFS(請求記録!$AC$6:$AC$3005,請求記録!$B$6:$B$3005,$A198,請求記録!$X$6:$X$3005,AA$5))))</f>
        <v/>
      </c>
      <c r="AB198">
        <f>IF(職員マスタ!P198="保留中",職員マスタ!M198,"")</f>
        <v/>
      </c>
    </row>
    <row r="199">
      <c r="A199">
        <f>IF(職員マスタ!A199="","",職員マスタ!A199)</f>
        <v/>
      </c>
      <c r="B199">
        <f>IF($A199="","",職員マスタ!B199)</f>
        <v/>
      </c>
      <c r="C199">
        <f>IF($A199="","",職員マスタ!C199)</f>
        <v/>
      </c>
      <c r="D199" s="19">
        <f>IF($A199="","",IF(COUNTIFS(請求記録!$B$6:$B$3005,$A199,請求記録!$X$6:$X$3005,D$5,請求記録!$AD$6:$AD$3005,"保留中")&gt;0,"保留",IF(COUNTIFS(請求記録!$B$6:$B$3005,$A199,請求記録!$X$6:$X$3005,D$5)=0,"",SUMIFS(請求記録!$AC$6:$AC$3005,請求記録!$B$6:$B$3005,$A199,請求記録!$X$6:$X$3005,D$5))))</f>
        <v/>
      </c>
      <c r="E199" s="19">
        <f>IF($A199="","",IF(COUNTIFS(請求記録!$B$6:$B$3005,$A199,請求記録!$X$6:$X$3005,E$5,請求記録!$AD$6:$AD$3005,"保留中")&gt;0,"保留",IF(COUNTIFS(請求記録!$B$6:$B$3005,$A199,請求記録!$X$6:$X$3005,E$5)=0,"",SUMIFS(請求記録!$AC$6:$AC$3005,請求記録!$B$6:$B$3005,$A199,請求記録!$X$6:$X$3005,E$5))))</f>
        <v/>
      </c>
      <c r="F199" s="19">
        <f>IF($A199="","",IF(COUNTIFS(請求記録!$B$6:$B$3005,$A199,請求記録!$X$6:$X$3005,F$5,請求記録!$AD$6:$AD$3005,"保留中")&gt;0,"保留",IF(COUNTIFS(請求記録!$B$6:$B$3005,$A199,請求記録!$X$6:$X$3005,F$5)=0,"",SUMIFS(請求記録!$AC$6:$AC$3005,請求記録!$B$6:$B$3005,$A199,請求記録!$X$6:$X$3005,F$5))))</f>
        <v/>
      </c>
      <c r="G199" s="19">
        <f>IF($A199="","",IF(COUNTIFS(請求記録!$B$6:$B$3005,$A199,請求記録!$X$6:$X$3005,G$5,請求記録!$AD$6:$AD$3005,"保留中")&gt;0,"保留",IF(COUNTIFS(請求記録!$B$6:$B$3005,$A199,請求記録!$X$6:$X$3005,G$5)=0,"",SUMIFS(請求記録!$AC$6:$AC$3005,請求記録!$B$6:$B$3005,$A199,請求記録!$X$6:$X$3005,G$5))))</f>
        <v/>
      </c>
      <c r="H199" s="19">
        <f>IF($A199="","",IF(COUNTIFS(請求記録!$B$6:$B$3005,$A199,請求記録!$X$6:$X$3005,H$5,請求記録!$AD$6:$AD$3005,"保留中")&gt;0,"保留",IF(COUNTIFS(請求記録!$B$6:$B$3005,$A199,請求記録!$X$6:$X$3005,H$5)=0,"",SUMIFS(請求記録!$AC$6:$AC$3005,請求記録!$B$6:$B$3005,$A199,請求記録!$X$6:$X$3005,H$5))))</f>
        <v/>
      </c>
      <c r="I199" s="19">
        <f>IF($A199="","",IF(COUNTIFS(請求記録!$B$6:$B$3005,$A199,請求記録!$X$6:$X$3005,I$5,請求記録!$AD$6:$AD$3005,"保留中")&gt;0,"保留",IF(COUNTIFS(請求記録!$B$6:$B$3005,$A199,請求記録!$X$6:$X$3005,I$5)=0,"",SUMIFS(請求記録!$AC$6:$AC$3005,請求記録!$B$6:$B$3005,$A199,請求記録!$X$6:$X$3005,I$5))))</f>
        <v/>
      </c>
      <c r="J199" s="19">
        <f>IF($A199="","",IF(COUNTIFS(請求記録!$B$6:$B$3005,$A199,請求記録!$X$6:$X$3005,J$5,請求記録!$AD$6:$AD$3005,"保留中")&gt;0,"保留",IF(COUNTIFS(請求記録!$B$6:$B$3005,$A199,請求記録!$X$6:$X$3005,J$5)=0,"",SUMIFS(請求記録!$AC$6:$AC$3005,請求記録!$B$6:$B$3005,$A199,請求記録!$X$6:$X$3005,J$5))))</f>
        <v/>
      </c>
      <c r="K199" s="19">
        <f>IF($A199="","",IF(COUNTIFS(請求記録!$B$6:$B$3005,$A199,請求記録!$X$6:$X$3005,K$5,請求記録!$AD$6:$AD$3005,"保留中")&gt;0,"保留",IF(COUNTIFS(請求記録!$B$6:$B$3005,$A199,請求記録!$X$6:$X$3005,K$5)=0,"",SUMIFS(請求記録!$AC$6:$AC$3005,請求記録!$B$6:$B$3005,$A199,請求記録!$X$6:$X$3005,K$5))))</f>
        <v/>
      </c>
      <c r="L199" s="19">
        <f>IF($A199="","",IF(COUNTIFS(請求記録!$B$6:$B$3005,$A199,請求記録!$X$6:$X$3005,L$5,請求記録!$AD$6:$AD$3005,"保留中")&gt;0,"保留",IF(COUNTIFS(請求記録!$B$6:$B$3005,$A199,請求記録!$X$6:$X$3005,L$5)=0,"",SUMIFS(請求記録!$AC$6:$AC$3005,請求記録!$B$6:$B$3005,$A199,請求記録!$X$6:$X$3005,L$5))))</f>
        <v/>
      </c>
      <c r="M199" s="19">
        <f>IF($A199="","",IF(COUNTIFS(請求記録!$B$6:$B$3005,$A199,請求記録!$X$6:$X$3005,M$5,請求記録!$AD$6:$AD$3005,"保留中")&gt;0,"保留",IF(COUNTIFS(請求記録!$B$6:$B$3005,$A199,請求記録!$X$6:$X$3005,M$5)=0,"",SUMIFS(請求記録!$AC$6:$AC$3005,請求記録!$B$6:$B$3005,$A199,請求記録!$X$6:$X$3005,M$5))))</f>
        <v/>
      </c>
      <c r="N199" s="19">
        <f>IF($A199="","",IF(COUNTIFS(請求記録!$B$6:$B$3005,$A199,請求記録!$X$6:$X$3005,N$5,請求記録!$AD$6:$AD$3005,"保留中")&gt;0,"保留",IF(COUNTIFS(請求記録!$B$6:$B$3005,$A199,請求記録!$X$6:$X$3005,N$5)=0,"",SUMIFS(請求記録!$AC$6:$AC$3005,請求記録!$B$6:$B$3005,$A199,請求記録!$X$6:$X$3005,N$5))))</f>
        <v/>
      </c>
      <c r="O199" s="19">
        <f>IF($A199="","",IF(COUNTIFS(請求記録!$B$6:$B$3005,$A199,請求記録!$X$6:$X$3005,O$5,請求記録!$AD$6:$AD$3005,"保留中")&gt;0,"保留",IF(COUNTIFS(請求記録!$B$6:$B$3005,$A199,請求記録!$X$6:$X$3005,O$5)=0,"",SUMIFS(請求記録!$AC$6:$AC$3005,請求記録!$B$6:$B$3005,$A199,請求記録!$X$6:$X$3005,O$5))))</f>
        <v/>
      </c>
      <c r="P199" s="19">
        <f>IF($A199="","",IF(COUNTIFS(請求記録!$B$6:$B$3005,$A199,請求記録!$X$6:$X$3005,P$5,請求記録!$AD$6:$AD$3005,"保留中")&gt;0,"保留",IF(COUNTIFS(請求記録!$B$6:$B$3005,$A199,請求記録!$X$6:$X$3005,P$5)=0,"",SUMIFS(請求記録!$AC$6:$AC$3005,請求記録!$B$6:$B$3005,$A199,請求記録!$X$6:$X$3005,P$5))))</f>
        <v/>
      </c>
      <c r="Q199" s="19">
        <f>IF($A199="","",IF(COUNTIFS(請求記録!$B$6:$B$3005,$A199,請求記録!$X$6:$X$3005,Q$5,請求記録!$AD$6:$AD$3005,"保留中")&gt;0,"保留",IF(COUNTIFS(請求記録!$B$6:$B$3005,$A199,請求記録!$X$6:$X$3005,Q$5)=0,"",SUMIFS(請求記録!$AC$6:$AC$3005,請求記録!$B$6:$B$3005,$A199,請求記録!$X$6:$X$3005,Q$5))))</f>
        <v/>
      </c>
      <c r="R199" s="19">
        <f>IF($A199="","",IF(COUNTIFS(請求記録!$B$6:$B$3005,$A199,請求記録!$X$6:$X$3005,R$5,請求記録!$AD$6:$AD$3005,"保留中")&gt;0,"保留",IF(COUNTIFS(請求記録!$B$6:$B$3005,$A199,請求記録!$X$6:$X$3005,R$5)=0,"",SUMIFS(請求記録!$AC$6:$AC$3005,請求記録!$B$6:$B$3005,$A199,請求記録!$X$6:$X$3005,R$5))))</f>
        <v/>
      </c>
      <c r="S199" s="19">
        <f>IF($A199="","",IF(COUNTIFS(請求記録!$B$6:$B$3005,$A199,請求記録!$X$6:$X$3005,S$5,請求記録!$AD$6:$AD$3005,"保留中")&gt;0,"保留",IF(COUNTIFS(請求記録!$B$6:$B$3005,$A199,請求記録!$X$6:$X$3005,S$5)=0,"",SUMIFS(請求記録!$AC$6:$AC$3005,請求記録!$B$6:$B$3005,$A199,請求記録!$X$6:$X$3005,S$5))))</f>
        <v/>
      </c>
      <c r="T199" s="19">
        <f>IF($A199="","",IF(COUNTIFS(請求記録!$B$6:$B$3005,$A199,請求記録!$X$6:$X$3005,T$5,請求記録!$AD$6:$AD$3005,"保留中")&gt;0,"保留",IF(COUNTIFS(請求記録!$B$6:$B$3005,$A199,請求記録!$X$6:$X$3005,T$5)=0,"",SUMIFS(請求記録!$AC$6:$AC$3005,請求記録!$B$6:$B$3005,$A199,請求記録!$X$6:$X$3005,T$5))))</f>
        <v/>
      </c>
      <c r="U199" s="19">
        <f>IF($A199="","",IF(COUNTIFS(請求記録!$B$6:$B$3005,$A199,請求記録!$X$6:$X$3005,U$5,請求記録!$AD$6:$AD$3005,"保留中")&gt;0,"保留",IF(COUNTIFS(請求記録!$B$6:$B$3005,$A199,請求記録!$X$6:$X$3005,U$5)=0,"",SUMIFS(請求記録!$AC$6:$AC$3005,請求記録!$B$6:$B$3005,$A199,請求記録!$X$6:$X$3005,U$5))))</f>
        <v/>
      </c>
      <c r="V199" s="19">
        <f>IF($A199="","",IF(COUNTIFS(請求記録!$B$6:$B$3005,$A199,請求記録!$X$6:$X$3005,V$5,請求記録!$AD$6:$AD$3005,"保留中")&gt;0,"保留",IF(COUNTIFS(請求記録!$B$6:$B$3005,$A199,請求記録!$X$6:$X$3005,V$5)=0,"",SUMIFS(請求記録!$AC$6:$AC$3005,請求記録!$B$6:$B$3005,$A199,請求記録!$X$6:$X$3005,V$5))))</f>
        <v/>
      </c>
      <c r="W199" s="19">
        <f>IF($A199="","",IF(COUNTIFS(請求記録!$B$6:$B$3005,$A199,請求記録!$X$6:$X$3005,W$5,請求記録!$AD$6:$AD$3005,"保留中")&gt;0,"保留",IF(COUNTIFS(請求記録!$B$6:$B$3005,$A199,請求記録!$X$6:$X$3005,W$5)=0,"",SUMIFS(請求記録!$AC$6:$AC$3005,請求記録!$B$6:$B$3005,$A199,請求記録!$X$6:$X$3005,W$5))))</f>
        <v/>
      </c>
      <c r="X199" s="19">
        <f>IF($A199="","",IF(COUNTIFS(請求記録!$B$6:$B$3005,$A199,請求記録!$X$6:$X$3005,X$5,請求記録!$AD$6:$AD$3005,"保留中")&gt;0,"保留",IF(COUNTIFS(請求記録!$B$6:$B$3005,$A199,請求記録!$X$6:$X$3005,X$5)=0,"",SUMIFS(請求記録!$AC$6:$AC$3005,請求記録!$B$6:$B$3005,$A199,請求記録!$X$6:$X$3005,X$5))))</f>
        <v/>
      </c>
      <c r="Y199" s="19">
        <f>IF($A199="","",IF(COUNTIFS(請求記録!$B$6:$B$3005,$A199,請求記録!$X$6:$X$3005,Y$5,請求記録!$AD$6:$AD$3005,"保留中")&gt;0,"保留",IF(COUNTIFS(請求記録!$B$6:$B$3005,$A199,請求記録!$X$6:$X$3005,Y$5)=0,"",SUMIFS(請求記録!$AC$6:$AC$3005,請求記録!$B$6:$B$3005,$A199,請求記録!$X$6:$X$3005,Y$5))))</f>
        <v/>
      </c>
      <c r="Z199" s="19">
        <f>IF($A199="","",IF(COUNTIFS(請求記録!$B$6:$B$3005,$A199,請求記録!$X$6:$X$3005,Z$5,請求記録!$AD$6:$AD$3005,"保留中")&gt;0,"保留",IF(COUNTIFS(請求記録!$B$6:$B$3005,$A199,請求記録!$X$6:$X$3005,Z$5)=0,"",SUMIFS(請求記録!$AC$6:$AC$3005,請求記録!$B$6:$B$3005,$A199,請求記録!$X$6:$X$3005,Z$5))))</f>
        <v/>
      </c>
      <c r="AA199" s="19">
        <f>IF($A199="","",IF(COUNTIFS(請求記録!$B$6:$B$3005,$A199,請求記録!$X$6:$X$3005,AA$5,請求記録!$AD$6:$AD$3005,"保留中")&gt;0,"保留",IF(COUNTIFS(請求記録!$B$6:$B$3005,$A199,請求記録!$X$6:$X$3005,AA$5)=0,"",SUMIFS(請求記録!$AC$6:$AC$3005,請求記録!$B$6:$B$3005,$A199,請求記録!$X$6:$X$3005,AA$5))))</f>
        <v/>
      </c>
      <c r="AB199">
        <f>IF(職員マスタ!P199="保留中",職員マスタ!M199,"")</f>
        <v/>
      </c>
    </row>
    <row r="200">
      <c r="A200">
        <f>IF(職員マスタ!A200="","",職員マスタ!A200)</f>
        <v/>
      </c>
      <c r="B200">
        <f>IF($A200="","",職員マスタ!B200)</f>
        <v/>
      </c>
      <c r="C200">
        <f>IF($A200="","",職員マスタ!C200)</f>
        <v/>
      </c>
      <c r="D200" s="19">
        <f>IF($A200="","",IF(COUNTIFS(請求記録!$B$6:$B$3005,$A200,請求記録!$X$6:$X$3005,D$5,請求記録!$AD$6:$AD$3005,"保留中")&gt;0,"保留",IF(COUNTIFS(請求記録!$B$6:$B$3005,$A200,請求記録!$X$6:$X$3005,D$5)=0,"",SUMIFS(請求記録!$AC$6:$AC$3005,請求記録!$B$6:$B$3005,$A200,請求記録!$X$6:$X$3005,D$5))))</f>
        <v/>
      </c>
      <c r="E200" s="19">
        <f>IF($A200="","",IF(COUNTIFS(請求記録!$B$6:$B$3005,$A200,請求記録!$X$6:$X$3005,E$5,請求記録!$AD$6:$AD$3005,"保留中")&gt;0,"保留",IF(COUNTIFS(請求記録!$B$6:$B$3005,$A200,請求記録!$X$6:$X$3005,E$5)=0,"",SUMIFS(請求記録!$AC$6:$AC$3005,請求記録!$B$6:$B$3005,$A200,請求記録!$X$6:$X$3005,E$5))))</f>
        <v/>
      </c>
      <c r="F200" s="19">
        <f>IF($A200="","",IF(COUNTIFS(請求記録!$B$6:$B$3005,$A200,請求記録!$X$6:$X$3005,F$5,請求記録!$AD$6:$AD$3005,"保留中")&gt;0,"保留",IF(COUNTIFS(請求記録!$B$6:$B$3005,$A200,請求記録!$X$6:$X$3005,F$5)=0,"",SUMIFS(請求記録!$AC$6:$AC$3005,請求記録!$B$6:$B$3005,$A200,請求記録!$X$6:$X$3005,F$5))))</f>
        <v/>
      </c>
      <c r="G200" s="19">
        <f>IF($A200="","",IF(COUNTIFS(請求記録!$B$6:$B$3005,$A200,請求記録!$X$6:$X$3005,G$5,請求記録!$AD$6:$AD$3005,"保留中")&gt;0,"保留",IF(COUNTIFS(請求記録!$B$6:$B$3005,$A200,請求記録!$X$6:$X$3005,G$5)=0,"",SUMIFS(請求記録!$AC$6:$AC$3005,請求記録!$B$6:$B$3005,$A200,請求記録!$X$6:$X$3005,G$5))))</f>
        <v/>
      </c>
      <c r="H200" s="19">
        <f>IF($A200="","",IF(COUNTIFS(請求記録!$B$6:$B$3005,$A200,請求記録!$X$6:$X$3005,H$5,請求記録!$AD$6:$AD$3005,"保留中")&gt;0,"保留",IF(COUNTIFS(請求記録!$B$6:$B$3005,$A200,請求記録!$X$6:$X$3005,H$5)=0,"",SUMIFS(請求記録!$AC$6:$AC$3005,請求記録!$B$6:$B$3005,$A200,請求記録!$X$6:$X$3005,H$5))))</f>
        <v/>
      </c>
      <c r="I200" s="19">
        <f>IF($A200="","",IF(COUNTIFS(請求記録!$B$6:$B$3005,$A200,請求記録!$X$6:$X$3005,I$5,請求記録!$AD$6:$AD$3005,"保留中")&gt;0,"保留",IF(COUNTIFS(請求記録!$B$6:$B$3005,$A200,請求記録!$X$6:$X$3005,I$5)=0,"",SUMIFS(請求記録!$AC$6:$AC$3005,請求記録!$B$6:$B$3005,$A200,請求記録!$X$6:$X$3005,I$5))))</f>
        <v/>
      </c>
      <c r="J200" s="19">
        <f>IF($A200="","",IF(COUNTIFS(請求記録!$B$6:$B$3005,$A200,請求記録!$X$6:$X$3005,J$5,請求記録!$AD$6:$AD$3005,"保留中")&gt;0,"保留",IF(COUNTIFS(請求記録!$B$6:$B$3005,$A200,請求記録!$X$6:$X$3005,J$5)=0,"",SUMIFS(請求記録!$AC$6:$AC$3005,請求記録!$B$6:$B$3005,$A200,請求記録!$X$6:$X$3005,J$5))))</f>
        <v/>
      </c>
      <c r="K200" s="19">
        <f>IF($A200="","",IF(COUNTIFS(請求記録!$B$6:$B$3005,$A200,請求記録!$X$6:$X$3005,K$5,請求記録!$AD$6:$AD$3005,"保留中")&gt;0,"保留",IF(COUNTIFS(請求記録!$B$6:$B$3005,$A200,請求記録!$X$6:$X$3005,K$5)=0,"",SUMIFS(請求記録!$AC$6:$AC$3005,請求記録!$B$6:$B$3005,$A200,請求記録!$X$6:$X$3005,K$5))))</f>
        <v/>
      </c>
      <c r="L200" s="19">
        <f>IF($A200="","",IF(COUNTIFS(請求記録!$B$6:$B$3005,$A200,請求記録!$X$6:$X$3005,L$5,請求記録!$AD$6:$AD$3005,"保留中")&gt;0,"保留",IF(COUNTIFS(請求記録!$B$6:$B$3005,$A200,請求記録!$X$6:$X$3005,L$5)=0,"",SUMIFS(請求記録!$AC$6:$AC$3005,請求記録!$B$6:$B$3005,$A200,請求記録!$X$6:$X$3005,L$5))))</f>
        <v/>
      </c>
      <c r="M200" s="19">
        <f>IF($A200="","",IF(COUNTIFS(請求記録!$B$6:$B$3005,$A200,請求記録!$X$6:$X$3005,M$5,請求記録!$AD$6:$AD$3005,"保留中")&gt;0,"保留",IF(COUNTIFS(請求記録!$B$6:$B$3005,$A200,請求記録!$X$6:$X$3005,M$5)=0,"",SUMIFS(請求記録!$AC$6:$AC$3005,請求記録!$B$6:$B$3005,$A200,請求記録!$X$6:$X$3005,M$5))))</f>
        <v/>
      </c>
      <c r="N200" s="19">
        <f>IF($A200="","",IF(COUNTIFS(請求記録!$B$6:$B$3005,$A200,請求記録!$X$6:$X$3005,N$5,請求記録!$AD$6:$AD$3005,"保留中")&gt;0,"保留",IF(COUNTIFS(請求記録!$B$6:$B$3005,$A200,請求記録!$X$6:$X$3005,N$5)=0,"",SUMIFS(請求記録!$AC$6:$AC$3005,請求記録!$B$6:$B$3005,$A200,請求記録!$X$6:$X$3005,N$5))))</f>
        <v/>
      </c>
      <c r="O200" s="19">
        <f>IF($A200="","",IF(COUNTIFS(請求記録!$B$6:$B$3005,$A200,請求記録!$X$6:$X$3005,O$5,請求記録!$AD$6:$AD$3005,"保留中")&gt;0,"保留",IF(COUNTIFS(請求記録!$B$6:$B$3005,$A200,請求記録!$X$6:$X$3005,O$5)=0,"",SUMIFS(請求記録!$AC$6:$AC$3005,請求記録!$B$6:$B$3005,$A200,請求記録!$X$6:$X$3005,O$5))))</f>
        <v/>
      </c>
      <c r="P200" s="19">
        <f>IF($A200="","",IF(COUNTIFS(請求記録!$B$6:$B$3005,$A200,請求記録!$X$6:$X$3005,P$5,請求記録!$AD$6:$AD$3005,"保留中")&gt;0,"保留",IF(COUNTIFS(請求記録!$B$6:$B$3005,$A200,請求記録!$X$6:$X$3005,P$5)=0,"",SUMIFS(請求記録!$AC$6:$AC$3005,請求記録!$B$6:$B$3005,$A200,請求記録!$X$6:$X$3005,P$5))))</f>
        <v/>
      </c>
      <c r="Q200" s="19">
        <f>IF($A200="","",IF(COUNTIFS(請求記録!$B$6:$B$3005,$A200,請求記録!$X$6:$X$3005,Q$5,請求記録!$AD$6:$AD$3005,"保留中")&gt;0,"保留",IF(COUNTIFS(請求記録!$B$6:$B$3005,$A200,請求記録!$X$6:$X$3005,Q$5)=0,"",SUMIFS(請求記録!$AC$6:$AC$3005,請求記録!$B$6:$B$3005,$A200,請求記録!$X$6:$X$3005,Q$5))))</f>
        <v/>
      </c>
      <c r="R200" s="19">
        <f>IF($A200="","",IF(COUNTIFS(請求記録!$B$6:$B$3005,$A200,請求記録!$X$6:$X$3005,R$5,請求記録!$AD$6:$AD$3005,"保留中")&gt;0,"保留",IF(COUNTIFS(請求記録!$B$6:$B$3005,$A200,請求記録!$X$6:$X$3005,R$5)=0,"",SUMIFS(請求記録!$AC$6:$AC$3005,請求記録!$B$6:$B$3005,$A200,請求記録!$X$6:$X$3005,R$5))))</f>
        <v/>
      </c>
      <c r="S200" s="19">
        <f>IF($A200="","",IF(COUNTIFS(請求記録!$B$6:$B$3005,$A200,請求記録!$X$6:$X$3005,S$5,請求記録!$AD$6:$AD$3005,"保留中")&gt;0,"保留",IF(COUNTIFS(請求記録!$B$6:$B$3005,$A200,請求記録!$X$6:$X$3005,S$5)=0,"",SUMIFS(請求記録!$AC$6:$AC$3005,請求記録!$B$6:$B$3005,$A200,請求記録!$X$6:$X$3005,S$5))))</f>
        <v/>
      </c>
      <c r="T200" s="19">
        <f>IF($A200="","",IF(COUNTIFS(請求記録!$B$6:$B$3005,$A200,請求記録!$X$6:$X$3005,T$5,請求記録!$AD$6:$AD$3005,"保留中")&gt;0,"保留",IF(COUNTIFS(請求記録!$B$6:$B$3005,$A200,請求記録!$X$6:$X$3005,T$5)=0,"",SUMIFS(請求記録!$AC$6:$AC$3005,請求記録!$B$6:$B$3005,$A200,請求記録!$X$6:$X$3005,T$5))))</f>
        <v/>
      </c>
      <c r="U200" s="19">
        <f>IF($A200="","",IF(COUNTIFS(請求記録!$B$6:$B$3005,$A200,請求記録!$X$6:$X$3005,U$5,請求記録!$AD$6:$AD$3005,"保留中")&gt;0,"保留",IF(COUNTIFS(請求記録!$B$6:$B$3005,$A200,請求記録!$X$6:$X$3005,U$5)=0,"",SUMIFS(請求記録!$AC$6:$AC$3005,請求記録!$B$6:$B$3005,$A200,請求記録!$X$6:$X$3005,U$5))))</f>
        <v/>
      </c>
      <c r="V200" s="19">
        <f>IF($A200="","",IF(COUNTIFS(請求記録!$B$6:$B$3005,$A200,請求記録!$X$6:$X$3005,V$5,請求記録!$AD$6:$AD$3005,"保留中")&gt;0,"保留",IF(COUNTIFS(請求記録!$B$6:$B$3005,$A200,請求記録!$X$6:$X$3005,V$5)=0,"",SUMIFS(請求記録!$AC$6:$AC$3005,請求記録!$B$6:$B$3005,$A200,請求記録!$X$6:$X$3005,V$5))))</f>
        <v/>
      </c>
      <c r="W200" s="19">
        <f>IF($A200="","",IF(COUNTIFS(請求記録!$B$6:$B$3005,$A200,請求記録!$X$6:$X$3005,W$5,請求記録!$AD$6:$AD$3005,"保留中")&gt;0,"保留",IF(COUNTIFS(請求記録!$B$6:$B$3005,$A200,請求記録!$X$6:$X$3005,W$5)=0,"",SUMIFS(請求記録!$AC$6:$AC$3005,請求記録!$B$6:$B$3005,$A200,請求記録!$X$6:$X$3005,W$5))))</f>
        <v/>
      </c>
      <c r="X200" s="19">
        <f>IF($A200="","",IF(COUNTIFS(請求記録!$B$6:$B$3005,$A200,請求記録!$X$6:$X$3005,X$5,請求記録!$AD$6:$AD$3005,"保留中")&gt;0,"保留",IF(COUNTIFS(請求記録!$B$6:$B$3005,$A200,請求記録!$X$6:$X$3005,X$5)=0,"",SUMIFS(請求記録!$AC$6:$AC$3005,請求記録!$B$6:$B$3005,$A200,請求記録!$X$6:$X$3005,X$5))))</f>
        <v/>
      </c>
      <c r="Y200" s="19">
        <f>IF($A200="","",IF(COUNTIFS(請求記録!$B$6:$B$3005,$A200,請求記録!$X$6:$X$3005,Y$5,請求記録!$AD$6:$AD$3005,"保留中")&gt;0,"保留",IF(COUNTIFS(請求記録!$B$6:$B$3005,$A200,請求記録!$X$6:$X$3005,Y$5)=0,"",SUMIFS(請求記録!$AC$6:$AC$3005,請求記録!$B$6:$B$3005,$A200,請求記録!$X$6:$X$3005,Y$5))))</f>
        <v/>
      </c>
      <c r="Z200" s="19">
        <f>IF($A200="","",IF(COUNTIFS(請求記録!$B$6:$B$3005,$A200,請求記録!$X$6:$X$3005,Z$5,請求記録!$AD$6:$AD$3005,"保留中")&gt;0,"保留",IF(COUNTIFS(請求記録!$B$6:$B$3005,$A200,請求記録!$X$6:$X$3005,Z$5)=0,"",SUMIFS(請求記録!$AC$6:$AC$3005,請求記録!$B$6:$B$3005,$A200,請求記録!$X$6:$X$3005,Z$5))))</f>
        <v/>
      </c>
      <c r="AA200" s="19">
        <f>IF($A200="","",IF(COUNTIFS(請求記録!$B$6:$B$3005,$A200,請求記録!$X$6:$X$3005,AA$5,請求記録!$AD$6:$AD$3005,"保留中")&gt;0,"保留",IF(COUNTIFS(請求記録!$B$6:$B$3005,$A200,請求記録!$X$6:$X$3005,AA$5)=0,"",SUMIFS(請求記録!$AC$6:$AC$3005,請求記録!$B$6:$B$3005,$A200,請求記録!$X$6:$X$3005,AA$5))))</f>
        <v/>
      </c>
      <c r="AB200">
        <f>IF(職員マスタ!P200="保留中",職員マスタ!M200,"")</f>
        <v/>
      </c>
    </row>
    <row r="201">
      <c r="A201">
        <f>IF(職員マスタ!A201="","",職員マスタ!A201)</f>
        <v/>
      </c>
      <c r="B201">
        <f>IF($A201="","",職員マスタ!B201)</f>
        <v/>
      </c>
      <c r="C201">
        <f>IF($A201="","",職員マスタ!C201)</f>
        <v/>
      </c>
      <c r="D201" s="19">
        <f>IF($A201="","",IF(COUNTIFS(請求記録!$B$6:$B$3005,$A201,請求記録!$X$6:$X$3005,D$5,請求記録!$AD$6:$AD$3005,"保留中")&gt;0,"保留",IF(COUNTIFS(請求記録!$B$6:$B$3005,$A201,請求記録!$X$6:$X$3005,D$5)=0,"",SUMIFS(請求記録!$AC$6:$AC$3005,請求記録!$B$6:$B$3005,$A201,請求記録!$X$6:$X$3005,D$5))))</f>
        <v/>
      </c>
      <c r="E201" s="19">
        <f>IF($A201="","",IF(COUNTIFS(請求記録!$B$6:$B$3005,$A201,請求記録!$X$6:$X$3005,E$5,請求記録!$AD$6:$AD$3005,"保留中")&gt;0,"保留",IF(COUNTIFS(請求記録!$B$6:$B$3005,$A201,請求記録!$X$6:$X$3005,E$5)=0,"",SUMIFS(請求記録!$AC$6:$AC$3005,請求記録!$B$6:$B$3005,$A201,請求記録!$X$6:$X$3005,E$5))))</f>
        <v/>
      </c>
      <c r="F201" s="19">
        <f>IF($A201="","",IF(COUNTIFS(請求記録!$B$6:$B$3005,$A201,請求記録!$X$6:$X$3005,F$5,請求記録!$AD$6:$AD$3005,"保留中")&gt;0,"保留",IF(COUNTIFS(請求記録!$B$6:$B$3005,$A201,請求記録!$X$6:$X$3005,F$5)=0,"",SUMIFS(請求記録!$AC$6:$AC$3005,請求記録!$B$6:$B$3005,$A201,請求記録!$X$6:$X$3005,F$5))))</f>
        <v/>
      </c>
      <c r="G201" s="19">
        <f>IF($A201="","",IF(COUNTIFS(請求記録!$B$6:$B$3005,$A201,請求記録!$X$6:$X$3005,G$5,請求記録!$AD$6:$AD$3005,"保留中")&gt;0,"保留",IF(COUNTIFS(請求記録!$B$6:$B$3005,$A201,請求記録!$X$6:$X$3005,G$5)=0,"",SUMIFS(請求記録!$AC$6:$AC$3005,請求記録!$B$6:$B$3005,$A201,請求記録!$X$6:$X$3005,G$5))))</f>
        <v/>
      </c>
      <c r="H201" s="19">
        <f>IF($A201="","",IF(COUNTIFS(請求記録!$B$6:$B$3005,$A201,請求記録!$X$6:$X$3005,H$5,請求記録!$AD$6:$AD$3005,"保留中")&gt;0,"保留",IF(COUNTIFS(請求記録!$B$6:$B$3005,$A201,請求記録!$X$6:$X$3005,H$5)=0,"",SUMIFS(請求記録!$AC$6:$AC$3005,請求記録!$B$6:$B$3005,$A201,請求記録!$X$6:$X$3005,H$5))))</f>
        <v/>
      </c>
      <c r="I201" s="19">
        <f>IF($A201="","",IF(COUNTIFS(請求記録!$B$6:$B$3005,$A201,請求記録!$X$6:$X$3005,I$5,請求記録!$AD$6:$AD$3005,"保留中")&gt;0,"保留",IF(COUNTIFS(請求記録!$B$6:$B$3005,$A201,請求記録!$X$6:$X$3005,I$5)=0,"",SUMIFS(請求記録!$AC$6:$AC$3005,請求記録!$B$6:$B$3005,$A201,請求記録!$X$6:$X$3005,I$5))))</f>
        <v/>
      </c>
      <c r="J201" s="19">
        <f>IF($A201="","",IF(COUNTIFS(請求記録!$B$6:$B$3005,$A201,請求記録!$X$6:$X$3005,J$5,請求記録!$AD$6:$AD$3005,"保留中")&gt;0,"保留",IF(COUNTIFS(請求記録!$B$6:$B$3005,$A201,請求記録!$X$6:$X$3005,J$5)=0,"",SUMIFS(請求記録!$AC$6:$AC$3005,請求記録!$B$6:$B$3005,$A201,請求記録!$X$6:$X$3005,J$5))))</f>
        <v/>
      </c>
      <c r="K201" s="19">
        <f>IF($A201="","",IF(COUNTIFS(請求記録!$B$6:$B$3005,$A201,請求記録!$X$6:$X$3005,K$5,請求記録!$AD$6:$AD$3005,"保留中")&gt;0,"保留",IF(COUNTIFS(請求記録!$B$6:$B$3005,$A201,請求記録!$X$6:$X$3005,K$5)=0,"",SUMIFS(請求記録!$AC$6:$AC$3005,請求記録!$B$6:$B$3005,$A201,請求記録!$X$6:$X$3005,K$5))))</f>
        <v/>
      </c>
      <c r="L201" s="19">
        <f>IF($A201="","",IF(COUNTIFS(請求記録!$B$6:$B$3005,$A201,請求記録!$X$6:$X$3005,L$5,請求記録!$AD$6:$AD$3005,"保留中")&gt;0,"保留",IF(COUNTIFS(請求記録!$B$6:$B$3005,$A201,請求記録!$X$6:$X$3005,L$5)=0,"",SUMIFS(請求記録!$AC$6:$AC$3005,請求記録!$B$6:$B$3005,$A201,請求記録!$X$6:$X$3005,L$5))))</f>
        <v/>
      </c>
      <c r="M201" s="19">
        <f>IF($A201="","",IF(COUNTIFS(請求記録!$B$6:$B$3005,$A201,請求記録!$X$6:$X$3005,M$5,請求記録!$AD$6:$AD$3005,"保留中")&gt;0,"保留",IF(COUNTIFS(請求記録!$B$6:$B$3005,$A201,請求記録!$X$6:$X$3005,M$5)=0,"",SUMIFS(請求記録!$AC$6:$AC$3005,請求記録!$B$6:$B$3005,$A201,請求記録!$X$6:$X$3005,M$5))))</f>
        <v/>
      </c>
      <c r="N201" s="19">
        <f>IF($A201="","",IF(COUNTIFS(請求記録!$B$6:$B$3005,$A201,請求記録!$X$6:$X$3005,N$5,請求記録!$AD$6:$AD$3005,"保留中")&gt;0,"保留",IF(COUNTIFS(請求記録!$B$6:$B$3005,$A201,請求記録!$X$6:$X$3005,N$5)=0,"",SUMIFS(請求記録!$AC$6:$AC$3005,請求記録!$B$6:$B$3005,$A201,請求記録!$X$6:$X$3005,N$5))))</f>
        <v/>
      </c>
      <c r="O201" s="19">
        <f>IF($A201="","",IF(COUNTIFS(請求記録!$B$6:$B$3005,$A201,請求記録!$X$6:$X$3005,O$5,請求記録!$AD$6:$AD$3005,"保留中")&gt;0,"保留",IF(COUNTIFS(請求記録!$B$6:$B$3005,$A201,請求記録!$X$6:$X$3005,O$5)=0,"",SUMIFS(請求記録!$AC$6:$AC$3005,請求記録!$B$6:$B$3005,$A201,請求記録!$X$6:$X$3005,O$5))))</f>
        <v/>
      </c>
      <c r="P201" s="19">
        <f>IF($A201="","",IF(COUNTIFS(請求記録!$B$6:$B$3005,$A201,請求記録!$X$6:$X$3005,P$5,請求記録!$AD$6:$AD$3005,"保留中")&gt;0,"保留",IF(COUNTIFS(請求記録!$B$6:$B$3005,$A201,請求記録!$X$6:$X$3005,P$5)=0,"",SUMIFS(請求記録!$AC$6:$AC$3005,請求記録!$B$6:$B$3005,$A201,請求記録!$X$6:$X$3005,P$5))))</f>
        <v/>
      </c>
      <c r="Q201" s="19">
        <f>IF($A201="","",IF(COUNTIFS(請求記録!$B$6:$B$3005,$A201,請求記録!$X$6:$X$3005,Q$5,請求記録!$AD$6:$AD$3005,"保留中")&gt;0,"保留",IF(COUNTIFS(請求記録!$B$6:$B$3005,$A201,請求記録!$X$6:$X$3005,Q$5)=0,"",SUMIFS(請求記録!$AC$6:$AC$3005,請求記録!$B$6:$B$3005,$A201,請求記録!$X$6:$X$3005,Q$5))))</f>
        <v/>
      </c>
      <c r="R201" s="19">
        <f>IF($A201="","",IF(COUNTIFS(請求記録!$B$6:$B$3005,$A201,請求記録!$X$6:$X$3005,R$5,請求記録!$AD$6:$AD$3005,"保留中")&gt;0,"保留",IF(COUNTIFS(請求記録!$B$6:$B$3005,$A201,請求記録!$X$6:$X$3005,R$5)=0,"",SUMIFS(請求記録!$AC$6:$AC$3005,請求記録!$B$6:$B$3005,$A201,請求記録!$X$6:$X$3005,R$5))))</f>
        <v/>
      </c>
      <c r="S201" s="19">
        <f>IF($A201="","",IF(COUNTIFS(請求記録!$B$6:$B$3005,$A201,請求記録!$X$6:$X$3005,S$5,請求記録!$AD$6:$AD$3005,"保留中")&gt;0,"保留",IF(COUNTIFS(請求記録!$B$6:$B$3005,$A201,請求記録!$X$6:$X$3005,S$5)=0,"",SUMIFS(請求記録!$AC$6:$AC$3005,請求記録!$B$6:$B$3005,$A201,請求記録!$X$6:$X$3005,S$5))))</f>
        <v/>
      </c>
      <c r="T201" s="19">
        <f>IF($A201="","",IF(COUNTIFS(請求記録!$B$6:$B$3005,$A201,請求記録!$X$6:$X$3005,T$5,請求記録!$AD$6:$AD$3005,"保留中")&gt;0,"保留",IF(COUNTIFS(請求記録!$B$6:$B$3005,$A201,請求記録!$X$6:$X$3005,T$5)=0,"",SUMIFS(請求記録!$AC$6:$AC$3005,請求記録!$B$6:$B$3005,$A201,請求記録!$X$6:$X$3005,T$5))))</f>
        <v/>
      </c>
      <c r="U201" s="19">
        <f>IF($A201="","",IF(COUNTIFS(請求記録!$B$6:$B$3005,$A201,請求記録!$X$6:$X$3005,U$5,請求記録!$AD$6:$AD$3005,"保留中")&gt;0,"保留",IF(COUNTIFS(請求記録!$B$6:$B$3005,$A201,請求記録!$X$6:$X$3005,U$5)=0,"",SUMIFS(請求記録!$AC$6:$AC$3005,請求記録!$B$6:$B$3005,$A201,請求記録!$X$6:$X$3005,U$5))))</f>
        <v/>
      </c>
      <c r="V201" s="19">
        <f>IF($A201="","",IF(COUNTIFS(請求記録!$B$6:$B$3005,$A201,請求記録!$X$6:$X$3005,V$5,請求記録!$AD$6:$AD$3005,"保留中")&gt;0,"保留",IF(COUNTIFS(請求記録!$B$6:$B$3005,$A201,請求記録!$X$6:$X$3005,V$5)=0,"",SUMIFS(請求記録!$AC$6:$AC$3005,請求記録!$B$6:$B$3005,$A201,請求記録!$X$6:$X$3005,V$5))))</f>
        <v/>
      </c>
      <c r="W201" s="19">
        <f>IF($A201="","",IF(COUNTIFS(請求記録!$B$6:$B$3005,$A201,請求記録!$X$6:$X$3005,W$5,請求記録!$AD$6:$AD$3005,"保留中")&gt;0,"保留",IF(COUNTIFS(請求記録!$B$6:$B$3005,$A201,請求記録!$X$6:$X$3005,W$5)=0,"",SUMIFS(請求記録!$AC$6:$AC$3005,請求記録!$B$6:$B$3005,$A201,請求記録!$X$6:$X$3005,W$5))))</f>
        <v/>
      </c>
      <c r="X201" s="19">
        <f>IF($A201="","",IF(COUNTIFS(請求記録!$B$6:$B$3005,$A201,請求記録!$X$6:$X$3005,X$5,請求記録!$AD$6:$AD$3005,"保留中")&gt;0,"保留",IF(COUNTIFS(請求記録!$B$6:$B$3005,$A201,請求記録!$X$6:$X$3005,X$5)=0,"",SUMIFS(請求記録!$AC$6:$AC$3005,請求記録!$B$6:$B$3005,$A201,請求記録!$X$6:$X$3005,X$5))))</f>
        <v/>
      </c>
      <c r="Y201" s="19">
        <f>IF($A201="","",IF(COUNTIFS(請求記録!$B$6:$B$3005,$A201,請求記録!$X$6:$X$3005,Y$5,請求記録!$AD$6:$AD$3005,"保留中")&gt;0,"保留",IF(COUNTIFS(請求記録!$B$6:$B$3005,$A201,請求記録!$X$6:$X$3005,Y$5)=0,"",SUMIFS(請求記録!$AC$6:$AC$3005,請求記録!$B$6:$B$3005,$A201,請求記録!$X$6:$X$3005,Y$5))))</f>
        <v/>
      </c>
      <c r="Z201" s="19">
        <f>IF($A201="","",IF(COUNTIFS(請求記録!$B$6:$B$3005,$A201,請求記録!$X$6:$X$3005,Z$5,請求記録!$AD$6:$AD$3005,"保留中")&gt;0,"保留",IF(COUNTIFS(請求記録!$B$6:$B$3005,$A201,請求記録!$X$6:$X$3005,Z$5)=0,"",SUMIFS(請求記録!$AC$6:$AC$3005,請求記録!$B$6:$B$3005,$A201,請求記録!$X$6:$X$3005,Z$5))))</f>
        <v/>
      </c>
      <c r="AA201" s="19">
        <f>IF($A201="","",IF(COUNTIFS(請求記録!$B$6:$B$3005,$A201,請求記録!$X$6:$X$3005,AA$5,請求記録!$AD$6:$AD$3005,"保留中")&gt;0,"保留",IF(COUNTIFS(請求記録!$B$6:$B$3005,$A201,請求記録!$X$6:$X$3005,AA$5)=0,"",SUMIFS(請求記録!$AC$6:$AC$3005,請求記録!$B$6:$B$3005,$A201,請求記録!$X$6:$X$3005,AA$5))))</f>
        <v/>
      </c>
      <c r="AB201">
        <f>IF(職員マスタ!P201="保留中",職員マスタ!M201,"")</f>
        <v/>
      </c>
    </row>
    <row r="202">
      <c r="A202">
        <f>IF(職員マスタ!A202="","",職員マスタ!A202)</f>
        <v/>
      </c>
      <c r="B202">
        <f>IF($A202="","",職員マスタ!B202)</f>
        <v/>
      </c>
      <c r="C202">
        <f>IF($A202="","",職員マスタ!C202)</f>
        <v/>
      </c>
      <c r="D202" s="19">
        <f>IF($A202="","",IF(COUNTIFS(請求記録!$B$6:$B$3005,$A202,請求記録!$X$6:$X$3005,D$5,請求記録!$AD$6:$AD$3005,"保留中")&gt;0,"保留",IF(COUNTIFS(請求記録!$B$6:$B$3005,$A202,請求記録!$X$6:$X$3005,D$5)=0,"",SUMIFS(請求記録!$AC$6:$AC$3005,請求記録!$B$6:$B$3005,$A202,請求記録!$X$6:$X$3005,D$5))))</f>
        <v/>
      </c>
      <c r="E202" s="19">
        <f>IF($A202="","",IF(COUNTIFS(請求記録!$B$6:$B$3005,$A202,請求記録!$X$6:$X$3005,E$5,請求記録!$AD$6:$AD$3005,"保留中")&gt;0,"保留",IF(COUNTIFS(請求記録!$B$6:$B$3005,$A202,請求記録!$X$6:$X$3005,E$5)=0,"",SUMIFS(請求記録!$AC$6:$AC$3005,請求記録!$B$6:$B$3005,$A202,請求記録!$X$6:$X$3005,E$5))))</f>
        <v/>
      </c>
      <c r="F202" s="19">
        <f>IF($A202="","",IF(COUNTIFS(請求記録!$B$6:$B$3005,$A202,請求記録!$X$6:$X$3005,F$5,請求記録!$AD$6:$AD$3005,"保留中")&gt;0,"保留",IF(COUNTIFS(請求記録!$B$6:$B$3005,$A202,請求記録!$X$6:$X$3005,F$5)=0,"",SUMIFS(請求記録!$AC$6:$AC$3005,請求記録!$B$6:$B$3005,$A202,請求記録!$X$6:$X$3005,F$5))))</f>
        <v/>
      </c>
      <c r="G202" s="19">
        <f>IF($A202="","",IF(COUNTIFS(請求記録!$B$6:$B$3005,$A202,請求記録!$X$6:$X$3005,G$5,請求記録!$AD$6:$AD$3005,"保留中")&gt;0,"保留",IF(COUNTIFS(請求記録!$B$6:$B$3005,$A202,請求記録!$X$6:$X$3005,G$5)=0,"",SUMIFS(請求記録!$AC$6:$AC$3005,請求記録!$B$6:$B$3005,$A202,請求記録!$X$6:$X$3005,G$5))))</f>
        <v/>
      </c>
      <c r="H202" s="19">
        <f>IF($A202="","",IF(COUNTIFS(請求記録!$B$6:$B$3005,$A202,請求記録!$X$6:$X$3005,H$5,請求記録!$AD$6:$AD$3005,"保留中")&gt;0,"保留",IF(COUNTIFS(請求記録!$B$6:$B$3005,$A202,請求記録!$X$6:$X$3005,H$5)=0,"",SUMIFS(請求記録!$AC$6:$AC$3005,請求記録!$B$6:$B$3005,$A202,請求記録!$X$6:$X$3005,H$5))))</f>
        <v/>
      </c>
      <c r="I202" s="19">
        <f>IF($A202="","",IF(COUNTIFS(請求記録!$B$6:$B$3005,$A202,請求記録!$X$6:$X$3005,I$5,請求記録!$AD$6:$AD$3005,"保留中")&gt;0,"保留",IF(COUNTIFS(請求記録!$B$6:$B$3005,$A202,請求記録!$X$6:$X$3005,I$5)=0,"",SUMIFS(請求記録!$AC$6:$AC$3005,請求記録!$B$6:$B$3005,$A202,請求記録!$X$6:$X$3005,I$5))))</f>
        <v/>
      </c>
      <c r="J202" s="19">
        <f>IF($A202="","",IF(COUNTIFS(請求記録!$B$6:$B$3005,$A202,請求記録!$X$6:$X$3005,J$5,請求記録!$AD$6:$AD$3005,"保留中")&gt;0,"保留",IF(COUNTIFS(請求記録!$B$6:$B$3005,$A202,請求記録!$X$6:$X$3005,J$5)=0,"",SUMIFS(請求記録!$AC$6:$AC$3005,請求記録!$B$6:$B$3005,$A202,請求記録!$X$6:$X$3005,J$5))))</f>
        <v/>
      </c>
      <c r="K202" s="19">
        <f>IF($A202="","",IF(COUNTIFS(請求記録!$B$6:$B$3005,$A202,請求記録!$X$6:$X$3005,K$5,請求記録!$AD$6:$AD$3005,"保留中")&gt;0,"保留",IF(COUNTIFS(請求記録!$B$6:$B$3005,$A202,請求記録!$X$6:$X$3005,K$5)=0,"",SUMIFS(請求記録!$AC$6:$AC$3005,請求記録!$B$6:$B$3005,$A202,請求記録!$X$6:$X$3005,K$5))))</f>
        <v/>
      </c>
      <c r="L202" s="19">
        <f>IF($A202="","",IF(COUNTIFS(請求記録!$B$6:$B$3005,$A202,請求記録!$X$6:$X$3005,L$5,請求記録!$AD$6:$AD$3005,"保留中")&gt;0,"保留",IF(COUNTIFS(請求記録!$B$6:$B$3005,$A202,請求記録!$X$6:$X$3005,L$5)=0,"",SUMIFS(請求記録!$AC$6:$AC$3005,請求記録!$B$6:$B$3005,$A202,請求記録!$X$6:$X$3005,L$5))))</f>
        <v/>
      </c>
      <c r="M202" s="19">
        <f>IF($A202="","",IF(COUNTIFS(請求記録!$B$6:$B$3005,$A202,請求記録!$X$6:$X$3005,M$5,請求記録!$AD$6:$AD$3005,"保留中")&gt;0,"保留",IF(COUNTIFS(請求記録!$B$6:$B$3005,$A202,請求記録!$X$6:$X$3005,M$5)=0,"",SUMIFS(請求記録!$AC$6:$AC$3005,請求記録!$B$6:$B$3005,$A202,請求記録!$X$6:$X$3005,M$5))))</f>
        <v/>
      </c>
      <c r="N202" s="19">
        <f>IF($A202="","",IF(COUNTIFS(請求記録!$B$6:$B$3005,$A202,請求記録!$X$6:$X$3005,N$5,請求記録!$AD$6:$AD$3005,"保留中")&gt;0,"保留",IF(COUNTIFS(請求記録!$B$6:$B$3005,$A202,請求記録!$X$6:$X$3005,N$5)=0,"",SUMIFS(請求記録!$AC$6:$AC$3005,請求記録!$B$6:$B$3005,$A202,請求記録!$X$6:$X$3005,N$5))))</f>
        <v/>
      </c>
      <c r="O202" s="19">
        <f>IF($A202="","",IF(COUNTIFS(請求記録!$B$6:$B$3005,$A202,請求記録!$X$6:$X$3005,O$5,請求記録!$AD$6:$AD$3005,"保留中")&gt;0,"保留",IF(COUNTIFS(請求記録!$B$6:$B$3005,$A202,請求記録!$X$6:$X$3005,O$5)=0,"",SUMIFS(請求記録!$AC$6:$AC$3005,請求記録!$B$6:$B$3005,$A202,請求記録!$X$6:$X$3005,O$5))))</f>
        <v/>
      </c>
      <c r="P202" s="19">
        <f>IF($A202="","",IF(COUNTIFS(請求記録!$B$6:$B$3005,$A202,請求記録!$X$6:$X$3005,P$5,請求記録!$AD$6:$AD$3005,"保留中")&gt;0,"保留",IF(COUNTIFS(請求記録!$B$6:$B$3005,$A202,請求記録!$X$6:$X$3005,P$5)=0,"",SUMIFS(請求記録!$AC$6:$AC$3005,請求記録!$B$6:$B$3005,$A202,請求記録!$X$6:$X$3005,P$5))))</f>
        <v/>
      </c>
      <c r="Q202" s="19">
        <f>IF($A202="","",IF(COUNTIFS(請求記録!$B$6:$B$3005,$A202,請求記録!$X$6:$X$3005,Q$5,請求記録!$AD$6:$AD$3005,"保留中")&gt;0,"保留",IF(COUNTIFS(請求記録!$B$6:$B$3005,$A202,請求記録!$X$6:$X$3005,Q$5)=0,"",SUMIFS(請求記録!$AC$6:$AC$3005,請求記録!$B$6:$B$3005,$A202,請求記録!$X$6:$X$3005,Q$5))))</f>
        <v/>
      </c>
      <c r="R202" s="19">
        <f>IF($A202="","",IF(COUNTIFS(請求記録!$B$6:$B$3005,$A202,請求記録!$X$6:$X$3005,R$5,請求記録!$AD$6:$AD$3005,"保留中")&gt;0,"保留",IF(COUNTIFS(請求記録!$B$6:$B$3005,$A202,請求記録!$X$6:$X$3005,R$5)=0,"",SUMIFS(請求記録!$AC$6:$AC$3005,請求記録!$B$6:$B$3005,$A202,請求記録!$X$6:$X$3005,R$5))))</f>
        <v/>
      </c>
      <c r="S202" s="19">
        <f>IF($A202="","",IF(COUNTIFS(請求記録!$B$6:$B$3005,$A202,請求記録!$X$6:$X$3005,S$5,請求記録!$AD$6:$AD$3005,"保留中")&gt;0,"保留",IF(COUNTIFS(請求記録!$B$6:$B$3005,$A202,請求記録!$X$6:$X$3005,S$5)=0,"",SUMIFS(請求記録!$AC$6:$AC$3005,請求記録!$B$6:$B$3005,$A202,請求記録!$X$6:$X$3005,S$5))))</f>
        <v/>
      </c>
      <c r="T202" s="19">
        <f>IF($A202="","",IF(COUNTIFS(請求記録!$B$6:$B$3005,$A202,請求記録!$X$6:$X$3005,T$5,請求記録!$AD$6:$AD$3005,"保留中")&gt;0,"保留",IF(COUNTIFS(請求記録!$B$6:$B$3005,$A202,請求記録!$X$6:$X$3005,T$5)=0,"",SUMIFS(請求記録!$AC$6:$AC$3005,請求記録!$B$6:$B$3005,$A202,請求記録!$X$6:$X$3005,T$5))))</f>
        <v/>
      </c>
      <c r="U202" s="19">
        <f>IF($A202="","",IF(COUNTIFS(請求記録!$B$6:$B$3005,$A202,請求記録!$X$6:$X$3005,U$5,請求記録!$AD$6:$AD$3005,"保留中")&gt;0,"保留",IF(COUNTIFS(請求記録!$B$6:$B$3005,$A202,請求記録!$X$6:$X$3005,U$5)=0,"",SUMIFS(請求記録!$AC$6:$AC$3005,請求記録!$B$6:$B$3005,$A202,請求記録!$X$6:$X$3005,U$5))))</f>
        <v/>
      </c>
      <c r="V202" s="19">
        <f>IF($A202="","",IF(COUNTIFS(請求記録!$B$6:$B$3005,$A202,請求記録!$X$6:$X$3005,V$5,請求記録!$AD$6:$AD$3005,"保留中")&gt;0,"保留",IF(COUNTIFS(請求記録!$B$6:$B$3005,$A202,請求記録!$X$6:$X$3005,V$5)=0,"",SUMIFS(請求記録!$AC$6:$AC$3005,請求記録!$B$6:$B$3005,$A202,請求記録!$X$6:$X$3005,V$5))))</f>
        <v/>
      </c>
      <c r="W202" s="19">
        <f>IF($A202="","",IF(COUNTIFS(請求記録!$B$6:$B$3005,$A202,請求記録!$X$6:$X$3005,W$5,請求記録!$AD$6:$AD$3005,"保留中")&gt;0,"保留",IF(COUNTIFS(請求記録!$B$6:$B$3005,$A202,請求記録!$X$6:$X$3005,W$5)=0,"",SUMIFS(請求記録!$AC$6:$AC$3005,請求記録!$B$6:$B$3005,$A202,請求記録!$X$6:$X$3005,W$5))))</f>
        <v/>
      </c>
      <c r="X202" s="19">
        <f>IF($A202="","",IF(COUNTIFS(請求記録!$B$6:$B$3005,$A202,請求記録!$X$6:$X$3005,X$5,請求記録!$AD$6:$AD$3005,"保留中")&gt;0,"保留",IF(COUNTIFS(請求記録!$B$6:$B$3005,$A202,請求記録!$X$6:$X$3005,X$5)=0,"",SUMIFS(請求記録!$AC$6:$AC$3005,請求記録!$B$6:$B$3005,$A202,請求記録!$X$6:$X$3005,X$5))))</f>
        <v/>
      </c>
      <c r="Y202" s="19">
        <f>IF($A202="","",IF(COUNTIFS(請求記録!$B$6:$B$3005,$A202,請求記録!$X$6:$X$3005,Y$5,請求記録!$AD$6:$AD$3005,"保留中")&gt;0,"保留",IF(COUNTIFS(請求記録!$B$6:$B$3005,$A202,請求記録!$X$6:$X$3005,Y$5)=0,"",SUMIFS(請求記録!$AC$6:$AC$3005,請求記録!$B$6:$B$3005,$A202,請求記録!$X$6:$X$3005,Y$5))))</f>
        <v/>
      </c>
      <c r="Z202" s="19">
        <f>IF($A202="","",IF(COUNTIFS(請求記録!$B$6:$B$3005,$A202,請求記録!$X$6:$X$3005,Z$5,請求記録!$AD$6:$AD$3005,"保留中")&gt;0,"保留",IF(COUNTIFS(請求記録!$B$6:$B$3005,$A202,請求記録!$X$6:$X$3005,Z$5)=0,"",SUMIFS(請求記録!$AC$6:$AC$3005,請求記録!$B$6:$B$3005,$A202,請求記録!$X$6:$X$3005,Z$5))))</f>
        <v/>
      </c>
      <c r="AA202" s="19">
        <f>IF($A202="","",IF(COUNTIFS(請求記録!$B$6:$B$3005,$A202,請求記録!$X$6:$X$3005,AA$5,請求記録!$AD$6:$AD$3005,"保留中")&gt;0,"保留",IF(COUNTIFS(請求記録!$B$6:$B$3005,$A202,請求記録!$X$6:$X$3005,AA$5)=0,"",SUMIFS(請求記録!$AC$6:$AC$3005,請求記録!$B$6:$B$3005,$A202,請求記録!$X$6:$X$3005,AA$5))))</f>
        <v/>
      </c>
      <c r="AB202">
        <f>IF(職員マスタ!P202="保留中",職員マスタ!M202,"")</f>
        <v/>
      </c>
    </row>
    <row r="203">
      <c r="A203">
        <f>IF(職員マスタ!A203="","",職員マスタ!A203)</f>
        <v/>
      </c>
      <c r="B203">
        <f>IF($A203="","",職員マスタ!B203)</f>
        <v/>
      </c>
      <c r="C203">
        <f>IF($A203="","",職員マスタ!C203)</f>
        <v/>
      </c>
      <c r="D203" s="19">
        <f>IF($A203="","",IF(COUNTIFS(請求記録!$B$6:$B$3005,$A203,請求記録!$X$6:$X$3005,D$5,請求記録!$AD$6:$AD$3005,"保留中")&gt;0,"保留",IF(COUNTIFS(請求記録!$B$6:$B$3005,$A203,請求記録!$X$6:$X$3005,D$5)=0,"",SUMIFS(請求記録!$AC$6:$AC$3005,請求記録!$B$6:$B$3005,$A203,請求記録!$X$6:$X$3005,D$5))))</f>
        <v/>
      </c>
      <c r="E203" s="19">
        <f>IF($A203="","",IF(COUNTIFS(請求記録!$B$6:$B$3005,$A203,請求記録!$X$6:$X$3005,E$5,請求記録!$AD$6:$AD$3005,"保留中")&gt;0,"保留",IF(COUNTIFS(請求記録!$B$6:$B$3005,$A203,請求記録!$X$6:$X$3005,E$5)=0,"",SUMIFS(請求記録!$AC$6:$AC$3005,請求記録!$B$6:$B$3005,$A203,請求記録!$X$6:$X$3005,E$5))))</f>
        <v/>
      </c>
      <c r="F203" s="19">
        <f>IF($A203="","",IF(COUNTIFS(請求記録!$B$6:$B$3005,$A203,請求記録!$X$6:$X$3005,F$5,請求記録!$AD$6:$AD$3005,"保留中")&gt;0,"保留",IF(COUNTIFS(請求記録!$B$6:$B$3005,$A203,請求記録!$X$6:$X$3005,F$5)=0,"",SUMIFS(請求記録!$AC$6:$AC$3005,請求記録!$B$6:$B$3005,$A203,請求記録!$X$6:$X$3005,F$5))))</f>
        <v/>
      </c>
      <c r="G203" s="19">
        <f>IF($A203="","",IF(COUNTIFS(請求記録!$B$6:$B$3005,$A203,請求記録!$X$6:$X$3005,G$5,請求記録!$AD$6:$AD$3005,"保留中")&gt;0,"保留",IF(COUNTIFS(請求記録!$B$6:$B$3005,$A203,請求記録!$X$6:$X$3005,G$5)=0,"",SUMIFS(請求記録!$AC$6:$AC$3005,請求記録!$B$6:$B$3005,$A203,請求記録!$X$6:$X$3005,G$5))))</f>
        <v/>
      </c>
      <c r="H203" s="19">
        <f>IF($A203="","",IF(COUNTIFS(請求記録!$B$6:$B$3005,$A203,請求記録!$X$6:$X$3005,H$5,請求記録!$AD$6:$AD$3005,"保留中")&gt;0,"保留",IF(COUNTIFS(請求記録!$B$6:$B$3005,$A203,請求記録!$X$6:$X$3005,H$5)=0,"",SUMIFS(請求記録!$AC$6:$AC$3005,請求記録!$B$6:$B$3005,$A203,請求記録!$X$6:$X$3005,H$5))))</f>
        <v/>
      </c>
      <c r="I203" s="19">
        <f>IF($A203="","",IF(COUNTIFS(請求記録!$B$6:$B$3005,$A203,請求記録!$X$6:$X$3005,I$5,請求記録!$AD$6:$AD$3005,"保留中")&gt;0,"保留",IF(COUNTIFS(請求記録!$B$6:$B$3005,$A203,請求記録!$X$6:$X$3005,I$5)=0,"",SUMIFS(請求記録!$AC$6:$AC$3005,請求記録!$B$6:$B$3005,$A203,請求記録!$X$6:$X$3005,I$5))))</f>
        <v/>
      </c>
      <c r="J203" s="19">
        <f>IF($A203="","",IF(COUNTIFS(請求記録!$B$6:$B$3005,$A203,請求記録!$X$6:$X$3005,J$5,請求記録!$AD$6:$AD$3005,"保留中")&gt;0,"保留",IF(COUNTIFS(請求記録!$B$6:$B$3005,$A203,請求記録!$X$6:$X$3005,J$5)=0,"",SUMIFS(請求記録!$AC$6:$AC$3005,請求記録!$B$6:$B$3005,$A203,請求記録!$X$6:$X$3005,J$5))))</f>
        <v/>
      </c>
      <c r="K203" s="19">
        <f>IF($A203="","",IF(COUNTIFS(請求記録!$B$6:$B$3005,$A203,請求記録!$X$6:$X$3005,K$5,請求記録!$AD$6:$AD$3005,"保留中")&gt;0,"保留",IF(COUNTIFS(請求記録!$B$6:$B$3005,$A203,請求記録!$X$6:$X$3005,K$5)=0,"",SUMIFS(請求記録!$AC$6:$AC$3005,請求記録!$B$6:$B$3005,$A203,請求記録!$X$6:$X$3005,K$5))))</f>
        <v/>
      </c>
      <c r="L203" s="19">
        <f>IF($A203="","",IF(COUNTIFS(請求記録!$B$6:$B$3005,$A203,請求記録!$X$6:$X$3005,L$5,請求記録!$AD$6:$AD$3005,"保留中")&gt;0,"保留",IF(COUNTIFS(請求記録!$B$6:$B$3005,$A203,請求記録!$X$6:$X$3005,L$5)=0,"",SUMIFS(請求記録!$AC$6:$AC$3005,請求記録!$B$6:$B$3005,$A203,請求記録!$X$6:$X$3005,L$5))))</f>
        <v/>
      </c>
      <c r="M203" s="19">
        <f>IF($A203="","",IF(COUNTIFS(請求記録!$B$6:$B$3005,$A203,請求記録!$X$6:$X$3005,M$5,請求記録!$AD$6:$AD$3005,"保留中")&gt;0,"保留",IF(COUNTIFS(請求記録!$B$6:$B$3005,$A203,請求記録!$X$6:$X$3005,M$5)=0,"",SUMIFS(請求記録!$AC$6:$AC$3005,請求記録!$B$6:$B$3005,$A203,請求記録!$X$6:$X$3005,M$5))))</f>
        <v/>
      </c>
      <c r="N203" s="19">
        <f>IF($A203="","",IF(COUNTIFS(請求記録!$B$6:$B$3005,$A203,請求記録!$X$6:$X$3005,N$5,請求記録!$AD$6:$AD$3005,"保留中")&gt;0,"保留",IF(COUNTIFS(請求記録!$B$6:$B$3005,$A203,請求記録!$X$6:$X$3005,N$5)=0,"",SUMIFS(請求記録!$AC$6:$AC$3005,請求記録!$B$6:$B$3005,$A203,請求記録!$X$6:$X$3005,N$5))))</f>
        <v/>
      </c>
      <c r="O203" s="19">
        <f>IF($A203="","",IF(COUNTIFS(請求記録!$B$6:$B$3005,$A203,請求記録!$X$6:$X$3005,O$5,請求記録!$AD$6:$AD$3005,"保留中")&gt;0,"保留",IF(COUNTIFS(請求記録!$B$6:$B$3005,$A203,請求記録!$X$6:$X$3005,O$5)=0,"",SUMIFS(請求記録!$AC$6:$AC$3005,請求記録!$B$6:$B$3005,$A203,請求記録!$X$6:$X$3005,O$5))))</f>
        <v/>
      </c>
      <c r="P203" s="19">
        <f>IF($A203="","",IF(COUNTIFS(請求記録!$B$6:$B$3005,$A203,請求記録!$X$6:$X$3005,P$5,請求記録!$AD$6:$AD$3005,"保留中")&gt;0,"保留",IF(COUNTIFS(請求記録!$B$6:$B$3005,$A203,請求記録!$X$6:$X$3005,P$5)=0,"",SUMIFS(請求記録!$AC$6:$AC$3005,請求記録!$B$6:$B$3005,$A203,請求記録!$X$6:$X$3005,P$5))))</f>
        <v/>
      </c>
      <c r="Q203" s="19">
        <f>IF($A203="","",IF(COUNTIFS(請求記録!$B$6:$B$3005,$A203,請求記録!$X$6:$X$3005,Q$5,請求記録!$AD$6:$AD$3005,"保留中")&gt;0,"保留",IF(COUNTIFS(請求記録!$B$6:$B$3005,$A203,請求記録!$X$6:$X$3005,Q$5)=0,"",SUMIFS(請求記録!$AC$6:$AC$3005,請求記録!$B$6:$B$3005,$A203,請求記録!$X$6:$X$3005,Q$5))))</f>
        <v/>
      </c>
      <c r="R203" s="19">
        <f>IF($A203="","",IF(COUNTIFS(請求記録!$B$6:$B$3005,$A203,請求記録!$X$6:$X$3005,R$5,請求記録!$AD$6:$AD$3005,"保留中")&gt;0,"保留",IF(COUNTIFS(請求記録!$B$6:$B$3005,$A203,請求記録!$X$6:$X$3005,R$5)=0,"",SUMIFS(請求記録!$AC$6:$AC$3005,請求記録!$B$6:$B$3005,$A203,請求記録!$X$6:$X$3005,R$5))))</f>
        <v/>
      </c>
      <c r="S203" s="19">
        <f>IF($A203="","",IF(COUNTIFS(請求記録!$B$6:$B$3005,$A203,請求記録!$X$6:$X$3005,S$5,請求記録!$AD$6:$AD$3005,"保留中")&gt;0,"保留",IF(COUNTIFS(請求記録!$B$6:$B$3005,$A203,請求記録!$X$6:$X$3005,S$5)=0,"",SUMIFS(請求記録!$AC$6:$AC$3005,請求記録!$B$6:$B$3005,$A203,請求記録!$X$6:$X$3005,S$5))))</f>
        <v/>
      </c>
      <c r="T203" s="19">
        <f>IF($A203="","",IF(COUNTIFS(請求記録!$B$6:$B$3005,$A203,請求記録!$X$6:$X$3005,T$5,請求記録!$AD$6:$AD$3005,"保留中")&gt;0,"保留",IF(COUNTIFS(請求記録!$B$6:$B$3005,$A203,請求記録!$X$6:$X$3005,T$5)=0,"",SUMIFS(請求記録!$AC$6:$AC$3005,請求記録!$B$6:$B$3005,$A203,請求記録!$X$6:$X$3005,T$5))))</f>
        <v/>
      </c>
      <c r="U203" s="19">
        <f>IF($A203="","",IF(COUNTIFS(請求記録!$B$6:$B$3005,$A203,請求記録!$X$6:$X$3005,U$5,請求記録!$AD$6:$AD$3005,"保留中")&gt;0,"保留",IF(COUNTIFS(請求記録!$B$6:$B$3005,$A203,請求記録!$X$6:$X$3005,U$5)=0,"",SUMIFS(請求記録!$AC$6:$AC$3005,請求記録!$B$6:$B$3005,$A203,請求記録!$X$6:$X$3005,U$5))))</f>
        <v/>
      </c>
      <c r="V203" s="19">
        <f>IF($A203="","",IF(COUNTIFS(請求記録!$B$6:$B$3005,$A203,請求記録!$X$6:$X$3005,V$5,請求記録!$AD$6:$AD$3005,"保留中")&gt;0,"保留",IF(COUNTIFS(請求記録!$B$6:$B$3005,$A203,請求記録!$X$6:$X$3005,V$5)=0,"",SUMIFS(請求記録!$AC$6:$AC$3005,請求記録!$B$6:$B$3005,$A203,請求記録!$X$6:$X$3005,V$5))))</f>
        <v/>
      </c>
      <c r="W203" s="19">
        <f>IF($A203="","",IF(COUNTIFS(請求記録!$B$6:$B$3005,$A203,請求記録!$X$6:$X$3005,W$5,請求記録!$AD$6:$AD$3005,"保留中")&gt;0,"保留",IF(COUNTIFS(請求記録!$B$6:$B$3005,$A203,請求記録!$X$6:$X$3005,W$5)=0,"",SUMIFS(請求記録!$AC$6:$AC$3005,請求記録!$B$6:$B$3005,$A203,請求記録!$X$6:$X$3005,W$5))))</f>
        <v/>
      </c>
      <c r="X203" s="19">
        <f>IF($A203="","",IF(COUNTIFS(請求記録!$B$6:$B$3005,$A203,請求記録!$X$6:$X$3005,X$5,請求記録!$AD$6:$AD$3005,"保留中")&gt;0,"保留",IF(COUNTIFS(請求記録!$B$6:$B$3005,$A203,請求記録!$X$6:$X$3005,X$5)=0,"",SUMIFS(請求記録!$AC$6:$AC$3005,請求記録!$B$6:$B$3005,$A203,請求記録!$X$6:$X$3005,X$5))))</f>
        <v/>
      </c>
      <c r="Y203" s="19">
        <f>IF($A203="","",IF(COUNTIFS(請求記録!$B$6:$B$3005,$A203,請求記録!$X$6:$X$3005,Y$5,請求記録!$AD$6:$AD$3005,"保留中")&gt;0,"保留",IF(COUNTIFS(請求記録!$B$6:$B$3005,$A203,請求記録!$X$6:$X$3005,Y$5)=0,"",SUMIFS(請求記録!$AC$6:$AC$3005,請求記録!$B$6:$B$3005,$A203,請求記録!$X$6:$X$3005,Y$5))))</f>
        <v/>
      </c>
      <c r="Z203" s="19">
        <f>IF($A203="","",IF(COUNTIFS(請求記録!$B$6:$B$3005,$A203,請求記録!$X$6:$X$3005,Z$5,請求記録!$AD$6:$AD$3005,"保留中")&gt;0,"保留",IF(COUNTIFS(請求記録!$B$6:$B$3005,$A203,請求記録!$X$6:$X$3005,Z$5)=0,"",SUMIFS(請求記録!$AC$6:$AC$3005,請求記録!$B$6:$B$3005,$A203,請求記録!$X$6:$X$3005,Z$5))))</f>
        <v/>
      </c>
      <c r="AA203" s="19">
        <f>IF($A203="","",IF(COUNTIFS(請求記録!$B$6:$B$3005,$A203,請求記録!$X$6:$X$3005,AA$5,請求記録!$AD$6:$AD$3005,"保留中")&gt;0,"保留",IF(COUNTIFS(請求記録!$B$6:$B$3005,$A203,請求記録!$X$6:$X$3005,AA$5)=0,"",SUMIFS(請求記録!$AC$6:$AC$3005,請求記録!$B$6:$B$3005,$A203,請求記録!$X$6:$X$3005,AA$5))))</f>
        <v/>
      </c>
      <c r="AB203">
        <f>IF(職員マスタ!P203="保留中",職員マスタ!M203,"")</f>
        <v/>
      </c>
    </row>
    <row r="204">
      <c r="A204">
        <f>IF(職員マスタ!A204="","",職員マスタ!A204)</f>
        <v/>
      </c>
      <c r="B204">
        <f>IF($A204="","",職員マスタ!B204)</f>
        <v/>
      </c>
      <c r="C204">
        <f>IF($A204="","",職員マスタ!C204)</f>
        <v/>
      </c>
      <c r="D204" s="19">
        <f>IF($A204="","",IF(COUNTIFS(請求記録!$B$6:$B$3005,$A204,請求記録!$X$6:$X$3005,D$5,請求記録!$AD$6:$AD$3005,"保留中")&gt;0,"保留",IF(COUNTIFS(請求記録!$B$6:$B$3005,$A204,請求記録!$X$6:$X$3005,D$5)=0,"",SUMIFS(請求記録!$AC$6:$AC$3005,請求記録!$B$6:$B$3005,$A204,請求記録!$X$6:$X$3005,D$5))))</f>
        <v/>
      </c>
      <c r="E204" s="19">
        <f>IF($A204="","",IF(COUNTIFS(請求記録!$B$6:$B$3005,$A204,請求記録!$X$6:$X$3005,E$5,請求記録!$AD$6:$AD$3005,"保留中")&gt;0,"保留",IF(COUNTIFS(請求記録!$B$6:$B$3005,$A204,請求記録!$X$6:$X$3005,E$5)=0,"",SUMIFS(請求記録!$AC$6:$AC$3005,請求記録!$B$6:$B$3005,$A204,請求記録!$X$6:$X$3005,E$5))))</f>
        <v/>
      </c>
      <c r="F204" s="19">
        <f>IF($A204="","",IF(COUNTIFS(請求記録!$B$6:$B$3005,$A204,請求記録!$X$6:$X$3005,F$5,請求記録!$AD$6:$AD$3005,"保留中")&gt;0,"保留",IF(COUNTIFS(請求記録!$B$6:$B$3005,$A204,請求記録!$X$6:$X$3005,F$5)=0,"",SUMIFS(請求記録!$AC$6:$AC$3005,請求記録!$B$6:$B$3005,$A204,請求記録!$X$6:$X$3005,F$5))))</f>
        <v/>
      </c>
      <c r="G204" s="19">
        <f>IF($A204="","",IF(COUNTIFS(請求記録!$B$6:$B$3005,$A204,請求記録!$X$6:$X$3005,G$5,請求記録!$AD$6:$AD$3005,"保留中")&gt;0,"保留",IF(COUNTIFS(請求記録!$B$6:$B$3005,$A204,請求記録!$X$6:$X$3005,G$5)=0,"",SUMIFS(請求記録!$AC$6:$AC$3005,請求記録!$B$6:$B$3005,$A204,請求記録!$X$6:$X$3005,G$5))))</f>
        <v/>
      </c>
      <c r="H204" s="19">
        <f>IF($A204="","",IF(COUNTIFS(請求記録!$B$6:$B$3005,$A204,請求記録!$X$6:$X$3005,H$5,請求記録!$AD$6:$AD$3005,"保留中")&gt;0,"保留",IF(COUNTIFS(請求記録!$B$6:$B$3005,$A204,請求記録!$X$6:$X$3005,H$5)=0,"",SUMIFS(請求記録!$AC$6:$AC$3005,請求記録!$B$6:$B$3005,$A204,請求記録!$X$6:$X$3005,H$5))))</f>
        <v/>
      </c>
      <c r="I204" s="19">
        <f>IF($A204="","",IF(COUNTIFS(請求記録!$B$6:$B$3005,$A204,請求記録!$X$6:$X$3005,I$5,請求記録!$AD$6:$AD$3005,"保留中")&gt;0,"保留",IF(COUNTIFS(請求記録!$B$6:$B$3005,$A204,請求記録!$X$6:$X$3005,I$5)=0,"",SUMIFS(請求記録!$AC$6:$AC$3005,請求記録!$B$6:$B$3005,$A204,請求記録!$X$6:$X$3005,I$5))))</f>
        <v/>
      </c>
      <c r="J204" s="19">
        <f>IF($A204="","",IF(COUNTIFS(請求記録!$B$6:$B$3005,$A204,請求記録!$X$6:$X$3005,J$5,請求記録!$AD$6:$AD$3005,"保留中")&gt;0,"保留",IF(COUNTIFS(請求記録!$B$6:$B$3005,$A204,請求記録!$X$6:$X$3005,J$5)=0,"",SUMIFS(請求記録!$AC$6:$AC$3005,請求記録!$B$6:$B$3005,$A204,請求記録!$X$6:$X$3005,J$5))))</f>
        <v/>
      </c>
      <c r="K204" s="19">
        <f>IF($A204="","",IF(COUNTIFS(請求記録!$B$6:$B$3005,$A204,請求記録!$X$6:$X$3005,K$5,請求記録!$AD$6:$AD$3005,"保留中")&gt;0,"保留",IF(COUNTIFS(請求記録!$B$6:$B$3005,$A204,請求記録!$X$6:$X$3005,K$5)=0,"",SUMIFS(請求記録!$AC$6:$AC$3005,請求記録!$B$6:$B$3005,$A204,請求記録!$X$6:$X$3005,K$5))))</f>
        <v/>
      </c>
      <c r="L204" s="19">
        <f>IF($A204="","",IF(COUNTIFS(請求記録!$B$6:$B$3005,$A204,請求記録!$X$6:$X$3005,L$5,請求記録!$AD$6:$AD$3005,"保留中")&gt;0,"保留",IF(COUNTIFS(請求記録!$B$6:$B$3005,$A204,請求記録!$X$6:$X$3005,L$5)=0,"",SUMIFS(請求記録!$AC$6:$AC$3005,請求記録!$B$6:$B$3005,$A204,請求記録!$X$6:$X$3005,L$5))))</f>
        <v/>
      </c>
      <c r="M204" s="19">
        <f>IF($A204="","",IF(COUNTIFS(請求記録!$B$6:$B$3005,$A204,請求記録!$X$6:$X$3005,M$5,請求記録!$AD$6:$AD$3005,"保留中")&gt;0,"保留",IF(COUNTIFS(請求記録!$B$6:$B$3005,$A204,請求記録!$X$6:$X$3005,M$5)=0,"",SUMIFS(請求記録!$AC$6:$AC$3005,請求記録!$B$6:$B$3005,$A204,請求記録!$X$6:$X$3005,M$5))))</f>
        <v/>
      </c>
      <c r="N204" s="19">
        <f>IF($A204="","",IF(COUNTIFS(請求記録!$B$6:$B$3005,$A204,請求記録!$X$6:$X$3005,N$5,請求記録!$AD$6:$AD$3005,"保留中")&gt;0,"保留",IF(COUNTIFS(請求記録!$B$6:$B$3005,$A204,請求記録!$X$6:$X$3005,N$5)=0,"",SUMIFS(請求記録!$AC$6:$AC$3005,請求記録!$B$6:$B$3005,$A204,請求記録!$X$6:$X$3005,N$5))))</f>
        <v/>
      </c>
      <c r="O204" s="19">
        <f>IF($A204="","",IF(COUNTIFS(請求記録!$B$6:$B$3005,$A204,請求記録!$X$6:$X$3005,O$5,請求記録!$AD$6:$AD$3005,"保留中")&gt;0,"保留",IF(COUNTIFS(請求記録!$B$6:$B$3005,$A204,請求記録!$X$6:$X$3005,O$5)=0,"",SUMIFS(請求記録!$AC$6:$AC$3005,請求記録!$B$6:$B$3005,$A204,請求記録!$X$6:$X$3005,O$5))))</f>
        <v/>
      </c>
      <c r="P204" s="19">
        <f>IF($A204="","",IF(COUNTIFS(請求記録!$B$6:$B$3005,$A204,請求記録!$X$6:$X$3005,P$5,請求記録!$AD$6:$AD$3005,"保留中")&gt;0,"保留",IF(COUNTIFS(請求記録!$B$6:$B$3005,$A204,請求記録!$X$6:$X$3005,P$5)=0,"",SUMIFS(請求記録!$AC$6:$AC$3005,請求記録!$B$6:$B$3005,$A204,請求記録!$X$6:$X$3005,P$5))))</f>
        <v/>
      </c>
      <c r="Q204" s="19">
        <f>IF($A204="","",IF(COUNTIFS(請求記録!$B$6:$B$3005,$A204,請求記録!$X$6:$X$3005,Q$5,請求記録!$AD$6:$AD$3005,"保留中")&gt;0,"保留",IF(COUNTIFS(請求記録!$B$6:$B$3005,$A204,請求記録!$X$6:$X$3005,Q$5)=0,"",SUMIFS(請求記録!$AC$6:$AC$3005,請求記録!$B$6:$B$3005,$A204,請求記録!$X$6:$X$3005,Q$5))))</f>
        <v/>
      </c>
      <c r="R204" s="19">
        <f>IF($A204="","",IF(COUNTIFS(請求記録!$B$6:$B$3005,$A204,請求記録!$X$6:$X$3005,R$5,請求記録!$AD$6:$AD$3005,"保留中")&gt;0,"保留",IF(COUNTIFS(請求記録!$B$6:$B$3005,$A204,請求記録!$X$6:$X$3005,R$5)=0,"",SUMIFS(請求記録!$AC$6:$AC$3005,請求記録!$B$6:$B$3005,$A204,請求記録!$X$6:$X$3005,R$5))))</f>
        <v/>
      </c>
      <c r="S204" s="19">
        <f>IF($A204="","",IF(COUNTIFS(請求記録!$B$6:$B$3005,$A204,請求記録!$X$6:$X$3005,S$5,請求記録!$AD$6:$AD$3005,"保留中")&gt;0,"保留",IF(COUNTIFS(請求記録!$B$6:$B$3005,$A204,請求記録!$X$6:$X$3005,S$5)=0,"",SUMIFS(請求記録!$AC$6:$AC$3005,請求記録!$B$6:$B$3005,$A204,請求記録!$X$6:$X$3005,S$5))))</f>
        <v/>
      </c>
      <c r="T204" s="19">
        <f>IF($A204="","",IF(COUNTIFS(請求記録!$B$6:$B$3005,$A204,請求記録!$X$6:$X$3005,T$5,請求記録!$AD$6:$AD$3005,"保留中")&gt;0,"保留",IF(COUNTIFS(請求記録!$B$6:$B$3005,$A204,請求記録!$X$6:$X$3005,T$5)=0,"",SUMIFS(請求記録!$AC$6:$AC$3005,請求記録!$B$6:$B$3005,$A204,請求記録!$X$6:$X$3005,T$5))))</f>
        <v/>
      </c>
      <c r="U204" s="19">
        <f>IF($A204="","",IF(COUNTIFS(請求記録!$B$6:$B$3005,$A204,請求記録!$X$6:$X$3005,U$5,請求記録!$AD$6:$AD$3005,"保留中")&gt;0,"保留",IF(COUNTIFS(請求記録!$B$6:$B$3005,$A204,請求記録!$X$6:$X$3005,U$5)=0,"",SUMIFS(請求記録!$AC$6:$AC$3005,請求記録!$B$6:$B$3005,$A204,請求記録!$X$6:$X$3005,U$5))))</f>
        <v/>
      </c>
      <c r="V204" s="19">
        <f>IF($A204="","",IF(COUNTIFS(請求記録!$B$6:$B$3005,$A204,請求記録!$X$6:$X$3005,V$5,請求記録!$AD$6:$AD$3005,"保留中")&gt;0,"保留",IF(COUNTIFS(請求記録!$B$6:$B$3005,$A204,請求記録!$X$6:$X$3005,V$5)=0,"",SUMIFS(請求記録!$AC$6:$AC$3005,請求記録!$B$6:$B$3005,$A204,請求記録!$X$6:$X$3005,V$5))))</f>
        <v/>
      </c>
      <c r="W204" s="19">
        <f>IF($A204="","",IF(COUNTIFS(請求記録!$B$6:$B$3005,$A204,請求記録!$X$6:$X$3005,W$5,請求記録!$AD$6:$AD$3005,"保留中")&gt;0,"保留",IF(COUNTIFS(請求記録!$B$6:$B$3005,$A204,請求記録!$X$6:$X$3005,W$5)=0,"",SUMIFS(請求記録!$AC$6:$AC$3005,請求記録!$B$6:$B$3005,$A204,請求記録!$X$6:$X$3005,W$5))))</f>
        <v/>
      </c>
      <c r="X204" s="19">
        <f>IF($A204="","",IF(COUNTIFS(請求記録!$B$6:$B$3005,$A204,請求記録!$X$6:$X$3005,X$5,請求記録!$AD$6:$AD$3005,"保留中")&gt;0,"保留",IF(COUNTIFS(請求記録!$B$6:$B$3005,$A204,請求記録!$X$6:$X$3005,X$5)=0,"",SUMIFS(請求記録!$AC$6:$AC$3005,請求記録!$B$6:$B$3005,$A204,請求記録!$X$6:$X$3005,X$5))))</f>
        <v/>
      </c>
      <c r="Y204" s="19">
        <f>IF($A204="","",IF(COUNTIFS(請求記録!$B$6:$B$3005,$A204,請求記録!$X$6:$X$3005,Y$5,請求記録!$AD$6:$AD$3005,"保留中")&gt;0,"保留",IF(COUNTIFS(請求記録!$B$6:$B$3005,$A204,請求記録!$X$6:$X$3005,Y$5)=0,"",SUMIFS(請求記録!$AC$6:$AC$3005,請求記録!$B$6:$B$3005,$A204,請求記録!$X$6:$X$3005,Y$5))))</f>
        <v/>
      </c>
      <c r="Z204" s="19">
        <f>IF($A204="","",IF(COUNTIFS(請求記録!$B$6:$B$3005,$A204,請求記録!$X$6:$X$3005,Z$5,請求記録!$AD$6:$AD$3005,"保留中")&gt;0,"保留",IF(COUNTIFS(請求記録!$B$6:$B$3005,$A204,請求記録!$X$6:$X$3005,Z$5)=0,"",SUMIFS(請求記録!$AC$6:$AC$3005,請求記録!$B$6:$B$3005,$A204,請求記録!$X$6:$X$3005,Z$5))))</f>
        <v/>
      </c>
      <c r="AA204" s="19">
        <f>IF($A204="","",IF(COUNTIFS(請求記録!$B$6:$B$3005,$A204,請求記録!$X$6:$X$3005,AA$5,請求記録!$AD$6:$AD$3005,"保留中")&gt;0,"保留",IF(COUNTIFS(請求記録!$B$6:$B$3005,$A204,請求記録!$X$6:$X$3005,AA$5)=0,"",SUMIFS(請求記録!$AC$6:$AC$3005,請求記録!$B$6:$B$3005,$A204,請求記録!$X$6:$X$3005,AA$5))))</f>
        <v/>
      </c>
      <c r="AB204">
        <f>IF(職員マスタ!P204="保留中",職員マスタ!M204,"")</f>
        <v/>
      </c>
    </row>
    <row r="205">
      <c r="A205">
        <f>IF(職員マスタ!A205="","",職員マスタ!A205)</f>
        <v/>
      </c>
      <c r="B205">
        <f>IF($A205="","",職員マスタ!B205)</f>
        <v/>
      </c>
      <c r="C205">
        <f>IF($A205="","",職員マスタ!C205)</f>
        <v/>
      </c>
      <c r="D205" s="19">
        <f>IF($A205="","",IF(COUNTIFS(請求記録!$B$6:$B$3005,$A205,請求記録!$X$6:$X$3005,D$5,請求記録!$AD$6:$AD$3005,"保留中")&gt;0,"保留",IF(COUNTIFS(請求記録!$B$6:$B$3005,$A205,請求記録!$X$6:$X$3005,D$5)=0,"",SUMIFS(請求記録!$AC$6:$AC$3005,請求記録!$B$6:$B$3005,$A205,請求記録!$X$6:$X$3005,D$5))))</f>
        <v/>
      </c>
      <c r="E205" s="19">
        <f>IF($A205="","",IF(COUNTIFS(請求記録!$B$6:$B$3005,$A205,請求記録!$X$6:$X$3005,E$5,請求記録!$AD$6:$AD$3005,"保留中")&gt;0,"保留",IF(COUNTIFS(請求記録!$B$6:$B$3005,$A205,請求記録!$X$6:$X$3005,E$5)=0,"",SUMIFS(請求記録!$AC$6:$AC$3005,請求記録!$B$6:$B$3005,$A205,請求記録!$X$6:$X$3005,E$5))))</f>
        <v/>
      </c>
      <c r="F205" s="19">
        <f>IF($A205="","",IF(COUNTIFS(請求記録!$B$6:$B$3005,$A205,請求記録!$X$6:$X$3005,F$5,請求記録!$AD$6:$AD$3005,"保留中")&gt;0,"保留",IF(COUNTIFS(請求記録!$B$6:$B$3005,$A205,請求記録!$X$6:$X$3005,F$5)=0,"",SUMIFS(請求記録!$AC$6:$AC$3005,請求記録!$B$6:$B$3005,$A205,請求記録!$X$6:$X$3005,F$5))))</f>
        <v/>
      </c>
      <c r="G205" s="19">
        <f>IF($A205="","",IF(COUNTIFS(請求記録!$B$6:$B$3005,$A205,請求記録!$X$6:$X$3005,G$5,請求記録!$AD$6:$AD$3005,"保留中")&gt;0,"保留",IF(COUNTIFS(請求記録!$B$6:$B$3005,$A205,請求記録!$X$6:$X$3005,G$5)=0,"",SUMIFS(請求記録!$AC$6:$AC$3005,請求記録!$B$6:$B$3005,$A205,請求記録!$X$6:$X$3005,G$5))))</f>
        <v/>
      </c>
      <c r="H205" s="19">
        <f>IF($A205="","",IF(COUNTIFS(請求記録!$B$6:$B$3005,$A205,請求記録!$X$6:$X$3005,H$5,請求記録!$AD$6:$AD$3005,"保留中")&gt;0,"保留",IF(COUNTIFS(請求記録!$B$6:$B$3005,$A205,請求記録!$X$6:$X$3005,H$5)=0,"",SUMIFS(請求記録!$AC$6:$AC$3005,請求記録!$B$6:$B$3005,$A205,請求記録!$X$6:$X$3005,H$5))))</f>
        <v/>
      </c>
      <c r="I205" s="19">
        <f>IF($A205="","",IF(COUNTIFS(請求記録!$B$6:$B$3005,$A205,請求記録!$X$6:$X$3005,I$5,請求記録!$AD$6:$AD$3005,"保留中")&gt;0,"保留",IF(COUNTIFS(請求記録!$B$6:$B$3005,$A205,請求記録!$X$6:$X$3005,I$5)=0,"",SUMIFS(請求記録!$AC$6:$AC$3005,請求記録!$B$6:$B$3005,$A205,請求記録!$X$6:$X$3005,I$5))))</f>
        <v/>
      </c>
      <c r="J205" s="19">
        <f>IF($A205="","",IF(COUNTIFS(請求記録!$B$6:$B$3005,$A205,請求記録!$X$6:$X$3005,J$5,請求記録!$AD$6:$AD$3005,"保留中")&gt;0,"保留",IF(COUNTIFS(請求記録!$B$6:$B$3005,$A205,請求記録!$X$6:$X$3005,J$5)=0,"",SUMIFS(請求記録!$AC$6:$AC$3005,請求記録!$B$6:$B$3005,$A205,請求記録!$X$6:$X$3005,J$5))))</f>
        <v/>
      </c>
      <c r="K205" s="19">
        <f>IF($A205="","",IF(COUNTIFS(請求記録!$B$6:$B$3005,$A205,請求記録!$X$6:$X$3005,K$5,請求記録!$AD$6:$AD$3005,"保留中")&gt;0,"保留",IF(COUNTIFS(請求記録!$B$6:$B$3005,$A205,請求記録!$X$6:$X$3005,K$5)=0,"",SUMIFS(請求記録!$AC$6:$AC$3005,請求記録!$B$6:$B$3005,$A205,請求記録!$X$6:$X$3005,K$5))))</f>
        <v/>
      </c>
      <c r="L205" s="19">
        <f>IF($A205="","",IF(COUNTIFS(請求記録!$B$6:$B$3005,$A205,請求記録!$X$6:$X$3005,L$5,請求記録!$AD$6:$AD$3005,"保留中")&gt;0,"保留",IF(COUNTIFS(請求記録!$B$6:$B$3005,$A205,請求記録!$X$6:$X$3005,L$5)=0,"",SUMIFS(請求記録!$AC$6:$AC$3005,請求記録!$B$6:$B$3005,$A205,請求記録!$X$6:$X$3005,L$5))))</f>
        <v/>
      </c>
      <c r="M205" s="19">
        <f>IF($A205="","",IF(COUNTIFS(請求記録!$B$6:$B$3005,$A205,請求記録!$X$6:$X$3005,M$5,請求記録!$AD$6:$AD$3005,"保留中")&gt;0,"保留",IF(COUNTIFS(請求記録!$B$6:$B$3005,$A205,請求記録!$X$6:$X$3005,M$5)=0,"",SUMIFS(請求記録!$AC$6:$AC$3005,請求記録!$B$6:$B$3005,$A205,請求記録!$X$6:$X$3005,M$5))))</f>
        <v/>
      </c>
      <c r="N205" s="19">
        <f>IF($A205="","",IF(COUNTIFS(請求記録!$B$6:$B$3005,$A205,請求記録!$X$6:$X$3005,N$5,請求記録!$AD$6:$AD$3005,"保留中")&gt;0,"保留",IF(COUNTIFS(請求記録!$B$6:$B$3005,$A205,請求記録!$X$6:$X$3005,N$5)=0,"",SUMIFS(請求記録!$AC$6:$AC$3005,請求記録!$B$6:$B$3005,$A205,請求記録!$X$6:$X$3005,N$5))))</f>
        <v/>
      </c>
      <c r="O205" s="19">
        <f>IF($A205="","",IF(COUNTIFS(請求記録!$B$6:$B$3005,$A205,請求記録!$X$6:$X$3005,O$5,請求記録!$AD$6:$AD$3005,"保留中")&gt;0,"保留",IF(COUNTIFS(請求記録!$B$6:$B$3005,$A205,請求記録!$X$6:$X$3005,O$5)=0,"",SUMIFS(請求記録!$AC$6:$AC$3005,請求記録!$B$6:$B$3005,$A205,請求記録!$X$6:$X$3005,O$5))))</f>
        <v/>
      </c>
      <c r="P205" s="19">
        <f>IF($A205="","",IF(COUNTIFS(請求記録!$B$6:$B$3005,$A205,請求記録!$X$6:$X$3005,P$5,請求記録!$AD$6:$AD$3005,"保留中")&gt;0,"保留",IF(COUNTIFS(請求記録!$B$6:$B$3005,$A205,請求記録!$X$6:$X$3005,P$5)=0,"",SUMIFS(請求記録!$AC$6:$AC$3005,請求記録!$B$6:$B$3005,$A205,請求記録!$X$6:$X$3005,P$5))))</f>
        <v/>
      </c>
      <c r="Q205" s="19">
        <f>IF($A205="","",IF(COUNTIFS(請求記録!$B$6:$B$3005,$A205,請求記録!$X$6:$X$3005,Q$5,請求記録!$AD$6:$AD$3005,"保留中")&gt;0,"保留",IF(COUNTIFS(請求記録!$B$6:$B$3005,$A205,請求記録!$X$6:$X$3005,Q$5)=0,"",SUMIFS(請求記録!$AC$6:$AC$3005,請求記録!$B$6:$B$3005,$A205,請求記録!$X$6:$X$3005,Q$5))))</f>
        <v/>
      </c>
      <c r="R205" s="19">
        <f>IF($A205="","",IF(COUNTIFS(請求記録!$B$6:$B$3005,$A205,請求記録!$X$6:$X$3005,R$5,請求記録!$AD$6:$AD$3005,"保留中")&gt;0,"保留",IF(COUNTIFS(請求記録!$B$6:$B$3005,$A205,請求記録!$X$6:$X$3005,R$5)=0,"",SUMIFS(請求記録!$AC$6:$AC$3005,請求記録!$B$6:$B$3005,$A205,請求記録!$X$6:$X$3005,R$5))))</f>
        <v/>
      </c>
      <c r="S205" s="19">
        <f>IF($A205="","",IF(COUNTIFS(請求記録!$B$6:$B$3005,$A205,請求記録!$X$6:$X$3005,S$5,請求記録!$AD$6:$AD$3005,"保留中")&gt;0,"保留",IF(COUNTIFS(請求記録!$B$6:$B$3005,$A205,請求記録!$X$6:$X$3005,S$5)=0,"",SUMIFS(請求記録!$AC$6:$AC$3005,請求記録!$B$6:$B$3005,$A205,請求記録!$X$6:$X$3005,S$5))))</f>
        <v/>
      </c>
      <c r="T205" s="19">
        <f>IF($A205="","",IF(COUNTIFS(請求記録!$B$6:$B$3005,$A205,請求記録!$X$6:$X$3005,T$5,請求記録!$AD$6:$AD$3005,"保留中")&gt;0,"保留",IF(COUNTIFS(請求記録!$B$6:$B$3005,$A205,請求記録!$X$6:$X$3005,T$5)=0,"",SUMIFS(請求記録!$AC$6:$AC$3005,請求記録!$B$6:$B$3005,$A205,請求記録!$X$6:$X$3005,T$5))))</f>
        <v/>
      </c>
      <c r="U205" s="19">
        <f>IF($A205="","",IF(COUNTIFS(請求記録!$B$6:$B$3005,$A205,請求記録!$X$6:$X$3005,U$5,請求記録!$AD$6:$AD$3005,"保留中")&gt;0,"保留",IF(COUNTIFS(請求記録!$B$6:$B$3005,$A205,請求記録!$X$6:$X$3005,U$5)=0,"",SUMIFS(請求記録!$AC$6:$AC$3005,請求記録!$B$6:$B$3005,$A205,請求記録!$X$6:$X$3005,U$5))))</f>
        <v/>
      </c>
      <c r="V205" s="19">
        <f>IF($A205="","",IF(COUNTIFS(請求記録!$B$6:$B$3005,$A205,請求記録!$X$6:$X$3005,V$5,請求記録!$AD$6:$AD$3005,"保留中")&gt;0,"保留",IF(COUNTIFS(請求記録!$B$6:$B$3005,$A205,請求記録!$X$6:$X$3005,V$5)=0,"",SUMIFS(請求記録!$AC$6:$AC$3005,請求記録!$B$6:$B$3005,$A205,請求記録!$X$6:$X$3005,V$5))))</f>
        <v/>
      </c>
      <c r="W205" s="19">
        <f>IF($A205="","",IF(COUNTIFS(請求記録!$B$6:$B$3005,$A205,請求記録!$X$6:$X$3005,W$5,請求記録!$AD$6:$AD$3005,"保留中")&gt;0,"保留",IF(COUNTIFS(請求記録!$B$6:$B$3005,$A205,請求記録!$X$6:$X$3005,W$5)=0,"",SUMIFS(請求記録!$AC$6:$AC$3005,請求記録!$B$6:$B$3005,$A205,請求記録!$X$6:$X$3005,W$5))))</f>
        <v/>
      </c>
      <c r="X205" s="19">
        <f>IF($A205="","",IF(COUNTIFS(請求記録!$B$6:$B$3005,$A205,請求記録!$X$6:$X$3005,X$5,請求記録!$AD$6:$AD$3005,"保留中")&gt;0,"保留",IF(COUNTIFS(請求記録!$B$6:$B$3005,$A205,請求記録!$X$6:$X$3005,X$5)=0,"",SUMIFS(請求記録!$AC$6:$AC$3005,請求記録!$B$6:$B$3005,$A205,請求記録!$X$6:$X$3005,X$5))))</f>
        <v/>
      </c>
      <c r="Y205" s="19">
        <f>IF($A205="","",IF(COUNTIFS(請求記録!$B$6:$B$3005,$A205,請求記録!$X$6:$X$3005,Y$5,請求記録!$AD$6:$AD$3005,"保留中")&gt;0,"保留",IF(COUNTIFS(請求記録!$B$6:$B$3005,$A205,請求記録!$X$6:$X$3005,Y$5)=0,"",SUMIFS(請求記録!$AC$6:$AC$3005,請求記録!$B$6:$B$3005,$A205,請求記録!$X$6:$X$3005,Y$5))))</f>
        <v/>
      </c>
      <c r="Z205" s="19">
        <f>IF($A205="","",IF(COUNTIFS(請求記録!$B$6:$B$3005,$A205,請求記録!$X$6:$X$3005,Z$5,請求記録!$AD$6:$AD$3005,"保留中")&gt;0,"保留",IF(COUNTIFS(請求記録!$B$6:$B$3005,$A205,請求記録!$X$6:$X$3005,Z$5)=0,"",SUMIFS(請求記録!$AC$6:$AC$3005,請求記録!$B$6:$B$3005,$A205,請求記録!$X$6:$X$3005,Z$5))))</f>
        <v/>
      </c>
      <c r="AA205" s="19">
        <f>IF($A205="","",IF(COUNTIFS(請求記録!$B$6:$B$3005,$A205,請求記録!$X$6:$X$3005,AA$5,請求記録!$AD$6:$AD$3005,"保留中")&gt;0,"保留",IF(COUNTIFS(請求記録!$B$6:$B$3005,$A205,請求記録!$X$6:$X$3005,AA$5)=0,"",SUMIFS(請求記録!$AC$6:$AC$3005,請求記録!$B$6:$B$3005,$A205,請求記録!$X$6:$X$3005,AA$5))))</f>
        <v/>
      </c>
      <c r="AB205">
        <f>IF(職員マスタ!P205="保留中",職員マスタ!M205,"")</f>
        <v/>
      </c>
    </row>
    <row r="206">
      <c r="A206">
        <f>IF(職員マスタ!A206="","",職員マスタ!A206)</f>
        <v/>
      </c>
      <c r="B206">
        <f>IF($A206="","",職員マスタ!B206)</f>
        <v/>
      </c>
      <c r="C206">
        <f>IF($A206="","",職員マスタ!C206)</f>
        <v/>
      </c>
      <c r="D206" s="19">
        <f>IF($A206="","",IF(COUNTIFS(請求記録!$B$6:$B$3005,$A206,請求記録!$X$6:$X$3005,D$5,請求記録!$AD$6:$AD$3005,"保留中")&gt;0,"保留",IF(COUNTIFS(請求記録!$B$6:$B$3005,$A206,請求記録!$X$6:$X$3005,D$5)=0,"",SUMIFS(請求記録!$AC$6:$AC$3005,請求記録!$B$6:$B$3005,$A206,請求記録!$X$6:$X$3005,D$5))))</f>
        <v/>
      </c>
      <c r="E206" s="19">
        <f>IF($A206="","",IF(COUNTIFS(請求記録!$B$6:$B$3005,$A206,請求記録!$X$6:$X$3005,E$5,請求記録!$AD$6:$AD$3005,"保留中")&gt;0,"保留",IF(COUNTIFS(請求記録!$B$6:$B$3005,$A206,請求記録!$X$6:$X$3005,E$5)=0,"",SUMIFS(請求記録!$AC$6:$AC$3005,請求記録!$B$6:$B$3005,$A206,請求記録!$X$6:$X$3005,E$5))))</f>
        <v/>
      </c>
      <c r="F206" s="19">
        <f>IF($A206="","",IF(COUNTIFS(請求記録!$B$6:$B$3005,$A206,請求記録!$X$6:$X$3005,F$5,請求記録!$AD$6:$AD$3005,"保留中")&gt;0,"保留",IF(COUNTIFS(請求記録!$B$6:$B$3005,$A206,請求記録!$X$6:$X$3005,F$5)=0,"",SUMIFS(請求記録!$AC$6:$AC$3005,請求記録!$B$6:$B$3005,$A206,請求記録!$X$6:$X$3005,F$5))))</f>
        <v/>
      </c>
      <c r="G206" s="19">
        <f>IF($A206="","",IF(COUNTIFS(請求記録!$B$6:$B$3005,$A206,請求記録!$X$6:$X$3005,G$5,請求記録!$AD$6:$AD$3005,"保留中")&gt;0,"保留",IF(COUNTIFS(請求記録!$B$6:$B$3005,$A206,請求記録!$X$6:$X$3005,G$5)=0,"",SUMIFS(請求記録!$AC$6:$AC$3005,請求記録!$B$6:$B$3005,$A206,請求記録!$X$6:$X$3005,G$5))))</f>
        <v/>
      </c>
      <c r="H206" s="19">
        <f>IF($A206="","",IF(COUNTIFS(請求記録!$B$6:$B$3005,$A206,請求記録!$X$6:$X$3005,H$5,請求記録!$AD$6:$AD$3005,"保留中")&gt;0,"保留",IF(COUNTIFS(請求記録!$B$6:$B$3005,$A206,請求記録!$X$6:$X$3005,H$5)=0,"",SUMIFS(請求記録!$AC$6:$AC$3005,請求記録!$B$6:$B$3005,$A206,請求記録!$X$6:$X$3005,H$5))))</f>
        <v/>
      </c>
      <c r="I206" s="19">
        <f>IF($A206="","",IF(COUNTIFS(請求記録!$B$6:$B$3005,$A206,請求記録!$X$6:$X$3005,I$5,請求記録!$AD$6:$AD$3005,"保留中")&gt;0,"保留",IF(COUNTIFS(請求記録!$B$6:$B$3005,$A206,請求記録!$X$6:$X$3005,I$5)=0,"",SUMIFS(請求記録!$AC$6:$AC$3005,請求記録!$B$6:$B$3005,$A206,請求記録!$X$6:$X$3005,I$5))))</f>
        <v/>
      </c>
      <c r="J206" s="19">
        <f>IF($A206="","",IF(COUNTIFS(請求記録!$B$6:$B$3005,$A206,請求記録!$X$6:$X$3005,J$5,請求記録!$AD$6:$AD$3005,"保留中")&gt;0,"保留",IF(COUNTIFS(請求記録!$B$6:$B$3005,$A206,請求記録!$X$6:$X$3005,J$5)=0,"",SUMIFS(請求記録!$AC$6:$AC$3005,請求記録!$B$6:$B$3005,$A206,請求記録!$X$6:$X$3005,J$5))))</f>
        <v/>
      </c>
      <c r="K206" s="19">
        <f>IF($A206="","",IF(COUNTIFS(請求記録!$B$6:$B$3005,$A206,請求記録!$X$6:$X$3005,K$5,請求記録!$AD$6:$AD$3005,"保留中")&gt;0,"保留",IF(COUNTIFS(請求記録!$B$6:$B$3005,$A206,請求記録!$X$6:$X$3005,K$5)=0,"",SUMIFS(請求記録!$AC$6:$AC$3005,請求記録!$B$6:$B$3005,$A206,請求記録!$X$6:$X$3005,K$5))))</f>
        <v/>
      </c>
      <c r="L206" s="19">
        <f>IF($A206="","",IF(COUNTIFS(請求記録!$B$6:$B$3005,$A206,請求記録!$X$6:$X$3005,L$5,請求記録!$AD$6:$AD$3005,"保留中")&gt;0,"保留",IF(COUNTIFS(請求記録!$B$6:$B$3005,$A206,請求記録!$X$6:$X$3005,L$5)=0,"",SUMIFS(請求記録!$AC$6:$AC$3005,請求記録!$B$6:$B$3005,$A206,請求記録!$X$6:$X$3005,L$5))))</f>
        <v/>
      </c>
      <c r="M206" s="19">
        <f>IF($A206="","",IF(COUNTIFS(請求記録!$B$6:$B$3005,$A206,請求記録!$X$6:$X$3005,M$5,請求記録!$AD$6:$AD$3005,"保留中")&gt;0,"保留",IF(COUNTIFS(請求記録!$B$6:$B$3005,$A206,請求記録!$X$6:$X$3005,M$5)=0,"",SUMIFS(請求記録!$AC$6:$AC$3005,請求記録!$B$6:$B$3005,$A206,請求記録!$X$6:$X$3005,M$5))))</f>
        <v/>
      </c>
      <c r="N206" s="19">
        <f>IF($A206="","",IF(COUNTIFS(請求記録!$B$6:$B$3005,$A206,請求記録!$X$6:$X$3005,N$5,請求記録!$AD$6:$AD$3005,"保留中")&gt;0,"保留",IF(COUNTIFS(請求記録!$B$6:$B$3005,$A206,請求記録!$X$6:$X$3005,N$5)=0,"",SUMIFS(請求記録!$AC$6:$AC$3005,請求記録!$B$6:$B$3005,$A206,請求記録!$X$6:$X$3005,N$5))))</f>
        <v/>
      </c>
      <c r="O206" s="19">
        <f>IF($A206="","",IF(COUNTIFS(請求記録!$B$6:$B$3005,$A206,請求記録!$X$6:$X$3005,O$5,請求記録!$AD$6:$AD$3005,"保留中")&gt;0,"保留",IF(COUNTIFS(請求記録!$B$6:$B$3005,$A206,請求記録!$X$6:$X$3005,O$5)=0,"",SUMIFS(請求記録!$AC$6:$AC$3005,請求記録!$B$6:$B$3005,$A206,請求記録!$X$6:$X$3005,O$5))))</f>
        <v/>
      </c>
      <c r="P206" s="19">
        <f>IF($A206="","",IF(COUNTIFS(請求記録!$B$6:$B$3005,$A206,請求記録!$X$6:$X$3005,P$5,請求記録!$AD$6:$AD$3005,"保留中")&gt;0,"保留",IF(COUNTIFS(請求記録!$B$6:$B$3005,$A206,請求記録!$X$6:$X$3005,P$5)=0,"",SUMIFS(請求記録!$AC$6:$AC$3005,請求記録!$B$6:$B$3005,$A206,請求記録!$X$6:$X$3005,P$5))))</f>
        <v/>
      </c>
      <c r="Q206" s="19">
        <f>IF($A206="","",IF(COUNTIFS(請求記録!$B$6:$B$3005,$A206,請求記録!$X$6:$X$3005,Q$5,請求記録!$AD$6:$AD$3005,"保留中")&gt;0,"保留",IF(COUNTIFS(請求記録!$B$6:$B$3005,$A206,請求記録!$X$6:$X$3005,Q$5)=0,"",SUMIFS(請求記録!$AC$6:$AC$3005,請求記録!$B$6:$B$3005,$A206,請求記録!$X$6:$X$3005,Q$5))))</f>
        <v/>
      </c>
      <c r="R206" s="19">
        <f>IF($A206="","",IF(COUNTIFS(請求記録!$B$6:$B$3005,$A206,請求記録!$X$6:$X$3005,R$5,請求記録!$AD$6:$AD$3005,"保留中")&gt;0,"保留",IF(COUNTIFS(請求記録!$B$6:$B$3005,$A206,請求記録!$X$6:$X$3005,R$5)=0,"",SUMIFS(請求記録!$AC$6:$AC$3005,請求記録!$B$6:$B$3005,$A206,請求記録!$X$6:$X$3005,R$5))))</f>
        <v/>
      </c>
      <c r="S206" s="19">
        <f>IF($A206="","",IF(COUNTIFS(請求記録!$B$6:$B$3005,$A206,請求記録!$X$6:$X$3005,S$5,請求記録!$AD$6:$AD$3005,"保留中")&gt;0,"保留",IF(COUNTIFS(請求記録!$B$6:$B$3005,$A206,請求記録!$X$6:$X$3005,S$5)=0,"",SUMIFS(請求記録!$AC$6:$AC$3005,請求記録!$B$6:$B$3005,$A206,請求記録!$X$6:$X$3005,S$5))))</f>
        <v/>
      </c>
      <c r="T206" s="19">
        <f>IF($A206="","",IF(COUNTIFS(請求記録!$B$6:$B$3005,$A206,請求記録!$X$6:$X$3005,T$5,請求記録!$AD$6:$AD$3005,"保留中")&gt;0,"保留",IF(COUNTIFS(請求記録!$B$6:$B$3005,$A206,請求記録!$X$6:$X$3005,T$5)=0,"",SUMIFS(請求記録!$AC$6:$AC$3005,請求記録!$B$6:$B$3005,$A206,請求記録!$X$6:$X$3005,T$5))))</f>
        <v/>
      </c>
      <c r="U206" s="19">
        <f>IF($A206="","",IF(COUNTIFS(請求記録!$B$6:$B$3005,$A206,請求記録!$X$6:$X$3005,U$5,請求記録!$AD$6:$AD$3005,"保留中")&gt;0,"保留",IF(COUNTIFS(請求記録!$B$6:$B$3005,$A206,請求記録!$X$6:$X$3005,U$5)=0,"",SUMIFS(請求記録!$AC$6:$AC$3005,請求記録!$B$6:$B$3005,$A206,請求記録!$X$6:$X$3005,U$5))))</f>
        <v/>
      </c>
      <c r="V206" s="19">
        <f>IF($A206="","",IF(COUNTIFS(請求記録!$B$6:$B$3005,$A206,請求記録!$X$6:$X$3005,V$5,請求記録!$AD$6:$AD$3005,"保留中")&gt;0,"保留",IF(COUNTIFS(請求記録!$B$6:$B$3005,$A206,請求記録!$X$6:$X$3005,V$5)=0,"",SUMIFS(請求記録!$AC$6:$AC$3005,請求記録!$B$6:$B$3005,$A206,請求記録!$X$6:$X$3005,V$5))))</f>
        <v/>
      </c>
      <c r="W206" s="19">
        <f>IF($A206="","",IF(COUNTIFS(請求記録!$B$6:$B$3005,$A206,請求記録!$X$6:$X$3005,W$5,請求記録!$AD$6:$AD$3005,"保留中")&gt;0,"保留",IF(COUNTIFS(請求記録!$B$6:$B$3005,$A206,請求記録!$X$6:$X$3005,W$5)=0,"",SUMIFS(請求記録!$AC$6:$AC$3005,請求記録!$B$6:$B$3005,$A206,請求記録!$X$6:$X$3005,W$5))))</f>
        <v/>
      </c>
      <c r="X206" s="19">
        <f>IF($A206="","",IF(COUNTIFS(請求記録!$B$6:$B$3005,$A206,請求記録!$X$6:$X$3005,X$5,請求記録!$AD$6:$AD$3005,"保留中")&gt;0,"保留",IF(COUNTIFS(請求記録!$B$6:$B$3005,$A206,請求記録!$X$6:$X$3005,X$5)=0,"",SUMIFS(請求記録!$AC$6:$AC$3005,請求記録!$B$6:$B$3005,$A206,請求記録!$X$6:$X$3005,X$5))))</f>
        <v/>
      </c>
      <c r="Y206" s="19">
        <f>IF($A206="","",IF(COUNTIFS(請求記録!$B$6:$B$3005,$A206,請求記録!$X$6:$X$3005,Y$5,請求記録!$AD$6:$AD$3005,"保留中")&gt;0,"保留",IF(COUNTIFS(請求記録!$B$6:$B$3005,$A206,請求記録!$X$6:$X$3005,Y$5)=0,"",SUMIFS(請求記録!$AC$6:$AC$3005,請求記録!$B$6:$B$3005,$A206,請求記録!$X$6:$X$3005,Y$5))))</f>
        <v/>
      </c>
      <c r="Z206" s="19">
        <f>IF($A206="","",IF(COUNTIFS(請求記録!$B$6:$B$3005,$A206,請求記録!$X$6:$X$3005,Z$5,請求記録!$AD$6:$AD$3005,"保留中")&gt;0,"保留",IF(COUNTIFS(請求記録!$B$6:$B$3005,$A206,請求記録!$X$6:$X$3005,Z$5)=0,"",SUMIFS(請求記録!$AC$6:$AC$3005,請求記録!$B$6:$B$3005,$A206,請求記録!$X$6:$X$3005,Z$5))))</f>
        <v/>
      </c>
      <c r="AA206" s="19">
        <f>IF($A206="","",IF(COUNTIFS(請求記録!$B$6:$B$3005,$A206,請求記録!$X$6:$X$3005,AA$5,請求記録!$AD$6:$AD$3005,"保留中")&gt;0,"保留",IF(COUNTIFS(請求記録!$B$6:$B$3005,$A206,請求記録!$X$6:$X$3005,AA$5)=0,"",SUMIFS(請求記録!$AC$6:$AC$3005,請求記録!$B$6:$B$3005,$A206,請求記録!$X$6:$X$3005,AA$5))))</f>
        <v/>
      </c>
      <c r="AB206">
        <f>IF(職員マスタ!P206="保留中",職員マスタ!M206,"")</f>
        <v/>
      </c>
    </row>
    <row r="207">
      <c r="A207">
        <f>IF(職員マスタ!A207="","",職員マスタ!A207)</f>
        <v/>
      </c>
      <c r="B207">
        <f>IF($A207="","",職員マスタ!B207)</f>
        <v/>
      </c>
      <c r="C207">
        <f>IF($A207="","",職員マスタ!C207)</f>
        <v/>
      </c>
      <c r="D207" s="19">
        <f>IF($A207="","",IF(COUNTIFS(請求記録!$B$6:$B$3005,$A207,請求記録!$X$6:$X$3005,D$5,請求記録!$AD$6:$AD$3005,"保留中")&gt;0,"保留",IF(COUNTIFS(請求記録!$B$6:$B$3005,$A207,請求記録!$X$6:$X$3005,D$5)=0,"",SUMIFS(請求記録!$AC$6:$AC$3005,請求記録!$B$6:$B$3005,$A207,請求記録!$X$6:$X$3005,D$5))))</f>
        <v/>
      </c>
      <c r="E207" s="19">
        <f>IF($A207="","",IF(COUNTIFS(請求記録!$B$6:$B$3005,$A207,請求記録!$X$6:$X$3005,E$5,請求記録!$AD$6:$AD$3005,"保留中")&gt;0,"保留",IF(COUNTIFS(請求記録!$B$6:$B$3005,$A207,請求記録!$X$6:$X$3005,E$5)=0,"",SUMIFS(請求記録!$AC$6:$AC$3005,請求記録!$B$6:$B$3005,$A207,請求記録!$X$6:$X$3005,E$5))))</f>
        <v/>
      </c>
      <c r="F207" s="19">
        <f>IF($A207="","",IF(COUNTIFS(請求記録!$B$6:$B$3005,$A207,請求記録!$X$6:$X$3005,F$5,請求記録!$AD$6:$AD$3005,"保留中")&gt;0,"保留",IF(COUNTIFS(請求記録!$B$6:$B$3005,$A207,請求記録!$X$6:$X$3005,F$5)=0,"",SUMIFS(請求記録!$AC$6:$AC$3005,請求記録!$B$6:$B$3005,$A207,請求記録!$X$6:$X$3005,F$5))))</f>
        <v/>
      </c>
      <c r="G207" s="19">
        <f>IF($A207="","",IF(COUNTIFS(請求記録!$B$6:$B$3005,$A207,請求記録!$X$6:$X$3005,G$5,請求記録!$AD$6:$AD$3005,"保留中")&gt;0,"保留",IF(COUNTIFS(請求記録!$B$6:$B$3005,$A207,請求記録!$X$6:$X$3005,G$5)=0,"",SUMIFS(請求記録!$AC$6:$AC$3005,請求記録!$B$6:$B$3005,$A207,請求記録!$X$6:$X$3005,G$5))))</f>
        <v/>
      </c>
      <c r="H207" s="19">
        <f>IF($A207="","",IF(COUNTIFS(請求記録!$B$6:$B$3005,$A207,請求記録!$X$6:$X$3005,H$5,請求記録!$AD$6:$AD$3005,"保留中")&gt;0,"保留",IF(COUNTIFS(請求記録!$B$6:$B$3005,$A207,請求記録!$X$6:$X$3005,H$5)=0,"",SUMIFS(請求記録!$AC$6:$AC$3005,請求記録!$B$6:$B$3005,$A207,請求記録!$X$6:$X$3005,H$5))))</f>
        <v/>
      </c>
      <c r="I207" s="19">
        <f>IF($A207="","",IF(COUNTIFS(請求記録!$B$6:$B$3005,$A207,請求記録!$X$6:$X$3005,I$5,請求記録!$AD$6:$AD$3005,"保留中")&gt;0,"保留",IF(COUNTIFS(請求記録!$B$6:$B$3005,$A207,請求記録!$X$6:$X$3005,I$5)=0,"",SUMIFS(請求記録!$AC$6:$AC$3005,請求記録!$B$6:$B$3005,$A207,請求記録!$X$6:$X$3005,I$5))))</f>
        <v/>
      </c>
      <c r="J207" s="19">
        <f>IF($A207="","",IF(COUNTIFS(請求記録!$B$6:$B$3005,$A207,請求記録!$X$6:$X$3005,J$5,請求記録!$AD$6:$AD$3005,"保留中")&gt;0,"保留",IF(COUNTIFS(請求記録!$B$6:$B$3005,$A207,請求記録!$X$6:$X$3005,J$5)=0,"",SUMIFS(請求記録!$AC$6:$AC$3005,請求記録!$B$6:$B$3005,$A207,請求記録!$X$6:$X$3005,J$5))))</f>
        <v/>
      </c>
      <c r="K207" s="19">
        <f>IF($A207="","",IF(COUNTIFS(請求記録!$B$6:$B$3005,$A207,請求記録!$X$6:$X$3005,K$5,請求記録!$AD$6:$AD$3005,"保留中")&gt;0,"保留",IF(COUNTIFS(請求記録!$B$6:$B$3005,$A207,請求記録!$X$6:$X$3005,K$5)=0,"",SUMIFS(請求記録!$AC$6:$AC$3005,請求記録!$B$6:$B$3005,$A207,請求記録!$X$6:$X$3005,K$5))))</f>
        <v/>
      </c>
      <c r="L207" s="19">
        <f>IF($A207="","",IF(COUNTIFS(請求記録!$B$6:$B$3005,$A207,請求記録!$X$6:$X$3005,L$5,請求記録!$AD$6:$AD$3005,"保留中")&gt;0,"保留",IF(COUNTIFS(請求記録!$B$6:$B$3005,$A207,請求記録!$X$6:$X$3005,L$5)=0,"",SUMIFS(請求記録!$AC$6:$AC$3005,請求記録!$B$6:$B$3005,$A207,請求記録!$X$6:$X$3005,L$5))))</f>
        <v/>
      </c>
      <c r="M207" s="19">
        <f>IF($A207="","",IF(COUNTIFS(請求記録!$B$6:$B$3005,$A207,請求記録!$X$6:$X$3005,M$5,請求記録!$AD$6:$AD$3005,"保留中")&gt;0,"保留",IF(COUNTIFS(請求記録!$B$6:$B$3005,$A207,請求記録!$X$6:$X$3005,M$5)=0,"",SUMIFS(請求記録!$AC$6:$AC$3005,請求記録!$B$6:$B$3005,$A207,請求記録!$X$6:$X$3005,M$5))))</f>
        <v/>
      </c>
      <c r="N207" s="19">
        <f>IF($A207="","",IF(COUNTIFS(請求記録!$B$6:$B$3005,$A207,請求記録!$X$6:$X$3005,N$5,請求記録!$AD$6:$AD$3005,"保留中")&gt;0,"保留",IF(COUNTIFS(請求記録!$B$6:$B$3005,$A207,請求記録!$X$6:$X$3005,N$5)=0,"",SUMIFS(請求記録!$AC$6:$AC$3005,請求記録!$B$6:$B$3005,$A207,請求記録!$X$6:$X$3005,N$5))))</f>
        <v/>
      </c>
      <c r="O207" s="19">
        <f>IF($A207="","",IF(COUNTIFS(請求記録!$B$6:$B$3005,$A207,請求記録!$X$6:$X$3005,O$5,請求記録!$AD$6:$AD$3005,"保留中")&gt;0,"保留",IF(COUNTIFS(請求記録!$B$6:$B$3005,$A207,請求記録!$X$6:$X$3005,O$5)=0,"",SUMIFS(請求記録!$AC$6:$AC$3005,請求記録!$B$6:$B$3005,$A207,請求記録!$X$6:$X$3005,O$5))))</f>
        <v/>
      </c>
      <c r="P207" s="19">
        <f>IF($A207="","",IF(COUNTIFS(請求記録!$B$6:$B$3005,$A207,請求記録!$X$6:$X$3005,P$5,請求記録!$AD$6:$AD$3005,"保留中")&gt;0,"保留",IF(COUNTIFS(請求記録!$B$6:$B$3005,$A207,請求記録!$X$6:$X$3005,P$5)=0,"",SUMIFS(請求記録!$AC$6:$AC$3005,請求記録!$B$6:$B$3005,$A207,請求記録!$X$6:$X$3005,P$5))))</f>
        <v/>
      </c>
      <c r="Q207" s="19">
        <f>IF($A207="","",IF(COUNTIFS(請求記録!$B$6:$B$3005,$A207,請求記録!$X$6:$X$3005,Q$5,請求記録!$AD$6:$AD$3005,"保留中")&gt;0,"保留",IF(COUNTIFS(請求記録!$B$6:$B$3005,$A207,請求記録!$X$6:$X$3005,Q$5)=0,"",SUMIFS(請求記録!$AC$6:$AC$3005,請求記録!$B$6:$B$3005,$A207,請求記録!$X$6:$X$3005,Q$5))))</f>
        <v/>
      </c>
      <c r="R207" s="19">
        <f>IF($A207="","",IF(COUNTIFS(請求記録!$B$6:$B$3005,$A207,請求記録!$X$6:$X$3005,R$5,請求記録!$AD$6:$AD$3005,"保留中")&gt;0,"保留",IF(COUNTIFS(請求記録!$B$6:$B$3005,$A207,請求記録!$X$6:$X$3005,R$5)=0,"",SUMIFS(請求記録!$AC$6:$AC$3005,請求記録!$B$6:$B$3005,$A207,請求記録!$X$6:$X$3005,R$5))))</f>
        <v/>
      </c>
      <c r="S207" s="19">
        <f>IF($A207="","",IF(COUNTIFS(請求記録!$B$6:$B$3005,$A207,請求記録!$X$6:$X$3005,S$5,請求記録!$AD$6:$AD$3005,"保留中")&gt;0,"保留",IF(COUNTIFS(請求記録!$B$6:$B$3005,$A207,請求記録!$X$6:$X$3005,S$5)=0,"",SUMIFS(請求記録!$AC$6:$AC$3005,請求記録!$B$6:$B$3005,$A207,請求記録!$X$6:$X$3005,S$5))))</f>
        <v/>
      </c>
      <c r="T207" s="19">
        <f>IF($A207="","",IF(COUNTIFS(請求記録!$B$6:$B$3005,$A207,請求記録!$X$6:$X$3005,T$5,請求記録!$AD$6:$AD$3005,"保留中")&gt;0,"保留",IF(COUNTIFS(請求記録!$B$6:$B$3005,$A207,請求記録!$X$6:$X$3005,T$5)=0,"",SUMIFS(請求記録!$AC$6:$AC$3005,請求記録!$B$6:$B$3005,$A207,請求記録!$X$6:$X$3005,T$5))))</f>
        <v/>
      </c>
      <c r="U207" s="19">
        <f>IF($A207="","",IF(COUNTIFS(請求記録!$B$6:$B$3005,$A207,請求記録!$X$6:$X$3005,U$5,請求記録!$AD$6:$AD$3005,"保留中")&gt;0,"保留",IF(COUNTIFS(請求記録!$B$6:$B$3005,$A207,請求記録!$X$6:$X$3005,U$5)=0,"",SUMIFS(請求記録!$AC$6:$AC$3005,請求記録!$B$6:$B$3005,$A207,請求記録!$X$6:$X$3005,U$5))))</f>
        <v/>
      </c>
      <c r="V207" s="19">
        <f>IF($A207="","",IF(COUNTIFS(請求記録!$B$6:$B$3005,$A207,請求記録!$X$6:$X$3005,V$5,請求記録!$AD$6:$AD$3005,"保留中")&gt;0,"保留",IF(COUNTIFS(請求記録!$B$6:$B$3005,$A207,請求記録!$X$6:$X$3005,V$5)=0,"",SUMIFS(請求記録!$AC$6:$AC$3005,請求記録!$B$6:$B$3005,$A207,請求記録!$X$6:$X$3005,V$5))))</f>
        <v/>
      </c>
      <c r="W207" s="19">
        <f>IF($A207="","",IF(COUNTIFS(請求記録!$B$6:$B$3005,$A207,請求記録!$X$6:$X$3005,W$5,請求記録!$AD$6:$AD$3005,"保留中")&gt;0,"保留",IF(COUNTIFS(請求記録!$B$6:$B$3005,$A207,請求記録!$X$6:$X$3005,W$5)=0,"",SUMIFS(請求記録!$AC$6:$AC$3005,請求記録!$B$6:$B$3005,$A207,請求記録!$X$6:$X$3005,W$5))))</f>
        <v/>
      </c>
      <c r="X207" s="19">
        <f>IF($A207="","",IF(COUNTIFS(請求記録!$B$6:$B$3005,$A207,請求記録!$X$6:$X$3005,X$5,請求記録!$AD$6:$AD$3005,"保留中")&gt;0,"保留",IF(COUNTIFS(請求記録!$B$6:$B$3005,$A207,請求記録!$X$6:$X$3005,X$5)=0,"",SUMIFS(請求記録!$AC$6:$AC$3005,請求記録!$B$6:$B$3005,$A207,請求記録!$X$6:$X$3005,X$5))))</f>
        <v/>
      </c>
      <c r="Y207" s="19">
        <f>IF($A207="","",IF(COUNTIFS(請求記録!$B$6:$B$3005,$A207,請求記録!$X$6:$X$3005,Y$5,請求記録!$AD$6:$AD$3005,"保留中")&gt;0,"保留",IF(COUNTIFS(請求記録!$B$6:$B$3005,$A207,請求記録!$X$6:$X$3005,Y$5)=0,"",SUMIFS(請求記録!$AC$6:$AC$3005,請求記録!$B$6:$B$3005,$A207,請求記録!$X$6:$X$3005,Y$5))))</f>
        <v/>
      </c>
      <c r="Z207" s="19">
        <f>IF($A207="","",IF(COUNTIFS(請求記録!$B$6:$B$3005,$A207,請求記録!$X$6:$X$3005,Z$5,請求記録!$AD$6:$AD$3005,"保留中")&gt;0,"保留",IF(COUNTIFS(請求記録!$B$6:$B$3005,$A207,請求記録!$X$6:$X$3005,Z$5)=0,"",SUMIFS(請求記録!$AC$6:$AC$3005,請求記録!$B$6:$B$3005,$A207,請求記録!$X$6:$X$3005,Z$5))))</f>
        <v/>
      </c>
      <c r="AA207" s="19">
        <f>IF($A207="","",IF(COUNTIFS(請求記録!$B$6:$B$3005,$A207,請求記録!$X$6:$X$3005,AA$5,請求記録!$AD$6:$AD$3005,"保留中")&gt;0,"保留",IF(COUNTIFS(請求記録!$B$6:$B$3005,$A207,請求記録!$X$6:$X$3005,AA$5)=0,"",SUMIFS(請求記録!$AC$6:$AC$3005,請求記録!$B$6:$B$3005,$A207,請求記録!$X$6:$X$3005,AA$5))))</f>
        <v/>
      </c>
      <c r="AB207">
        <f>IF(職員マスタ!P207="保留中",職員マスタ!M207,"")</f>
        <v/>
      </c>
    </row>
    <row r="208">
      <c r="A208">
        <f>IF(職員マスタ!A208="","",職員マスタ!A208)</f>
        <v/>
      </c>
      <c r="B208">
        <f>IF($A208="","",職員マスタ!B208)</f>
        <v/>
      </c>
      <c r="C208">
        <f>IF($A208="","",職員マスタ!C208)</f>
        <v/>
      </c>
      <c r="D208" s="19">
        <f>IF($A208="","",IF(COUNTIFS(請求記録!$B$6:$B$3005,$A208,請求記録!$X$6:$X$3005,D$5,請求記録!$AD$6:$AD$3005,"保留中")&gt;0,"保留",IF(COUNTIFS(請求記録!$B$6:$B$3005,$A208,請求記録!$X$6:$X$3005,D$5)=0,"",SUMIFS(請求記録!$AC$6:$AC$3005,請求記録!$B$6:$B$3005,$A208,請求記録!$X$6:$X$3005,D$5))))</f>
        <v/>
      </c>
      <c r="E208" s="19">
        <f>IF($A208="","",IF(COUNTIFS(請求記録!$B$6:$B$3005,$A208,請求記録!$X$6:$X$3005,E$5,請求記録!$AD$6:$AD$3005,"保留中")&gt;0,"保留",IF(COUNTIFS(請求記録!$B$6:$B$3005,$A208,請求記録!$X$6:$X$3005,E$5)=0,"",SUMIFS(請求記録!$AC$6:$AC$3005,請求記録!$B$6:$B$3005,$A208,請求記録!$X$6:$X$3005,E$5))))</f>
        <v/>
      </c>
      <c r="F208" s="19">
        <f>IF($A208="","",IF(COUNTIFS(請求記録!$B$6:$B$3005,$A208,請求記録!$X$6:$X$3005,F$5,請求記録!$AD$6:$AD$3005,"保留中")&gt;0,"保留",IF(COUNTIFS(請求記録!$B$6:$B$3005,$A208,請求記録!$X$6:$X$3005,F$5)=0,"",SUMIFS(請求記録!$AC$6:$AC$3005,請求記録!$B$6:$B$3005,$A208,請求記録!$X$6:$X$3005,F$5))))</f>
        <v/>
      </c>
      <c r="G208" s="19">
        <f>IF($A208="","",IF(COUNTIFS(請求記録!$B$6:$B$3005,$A208,請求記録!$X$6:$X$3005,G$5,請求記録!$AD$6:$AD$3005,"保留中")&gt;0,"保留",IF(COUNTIFS(請求記録!$B$6:$B$3005,$A208,請求記録!$X$6:$X$3005,G$5)=0,"",SUMIFS(請求記録!$AC$6:$AC$3005,請求記録!$B$6:$B$3005,$A208,請求記録!$X$6:$X$3005,G$5))))</f>
        <v/>
      </c>
      <c r="H208" s="19">
        <f>IF($A208="","",IF(COUNTIFS(請求記録!$B$6:$B$3005,$A208,請求記録!$X$6:$X$3005,H$5,請求記録!$AD$6:$AD$3005,"保留中")&gt;0,"保留",IF(COUNTIFS(請求記録!$B$6:$B$3005,$A208,請求記録!$X$6:$X$3005,H$5)=0,"",SUMIFS(請求記録!$AC$6:$AC$3005,請求記録!$B$6:$B$3005,$A208,請求記録!$X$6:$X$3005,H$5))))</f>
        <v/>
      </c>
      <c r="I208" s="19">
        <f>IF($A208="","",IF(COUNTIFS(請求記録!$B$6:$B$3005,$A208,請求記録!$X$6:$X$3005,I$5,請求記録!$AD$6:$AD$3005,"保留中")&gt;0,"保留",IF(COUNTIFS(請求記録!$B$6:$B$3005,$A208,請求記録!$X$6:$X$3005,I$5)=0,"",SUMIFS(請求記録!$AC$6:$AC$3005,請求記録!$B$6:$B$3005,$A208,請求記録!$X$6:$X$3005,I$5))))</f>
        <v/>
      </c>
      <c r="J208" s="19">
        <f>IF($A208="","",IF(COUNTIFS(請求記録!$B$6:$B$3005,$A208,請求記録!$X$6:$X$3005,J$5,請求記録!$AD$6:$AD$3005,"保留中")&gt;0,"保留",IF(COUNTIFS(請求記録!$B$6:$B$3005,$A208,請求記録!$X$6:$X$3005,J$5)=0,"",SUMIFS(請求記録!$AC$6:$AC$3005,請求記録!$B$6:$B$3005,$A208,請求記録!$X$6:$X$3005,J$5))))</f>
        <v/>
      </c>
      <c r="K208" s="19">
        <f>IF($A208="","",IF(COUNTIFS(請求記録!$B$6:$B$3005,$A208,請求記録!$X$6:$X$3005,K$5,請求記録!$AD$6:$AD$3005,"保留中")&gt;0,"保留",IF(COUNTIFS(請求記録!$B$6:$B$3005,$A208,請求記録!$X$6:$X$3005,K$5)=0,"",SUMIFS(請求記録!$AC$6:$AC$3005,請求記録!$B$6:$B$3005,$A208,請求記録!$X$6:$X$3005,K$5))))</f>
        <v/>
      </c>
      <c r="L208" s="19">
        <f>IF($A208="","",IF(COUNTIFS(請求記録!$B$6:$B$3005,$A208,請求記録!$X$6:$X$3005,L$5,請求記録!$AD$6:$AD$3005,"保留中")&gt;0,"保留",IF(COUNTIFS(請求記録!$B$6:$B$3005,$A208,請求記録!$X$6:$X$3005,L$5)=0,"",SUMIFS(請求記録!$AC$6:$AC$3005,請求記録!$B$6:$B$3005,$A208,請求記録!$X$6:$X$3005,L$5))))</f>
        <v/>
      </c>
      <c r="M208" s="19">
        <f>IF($A208="","",IF(COUNTIFS(請求記録!$B$6:$B$3005,$A208,請求記録!$X$6:$X$3005,M$5,請求記録!$AD$6:$AD$3005,"保留中")&gt;0,"保留",IF(COUNTIFS(請求記録!$B$6:$B$3005,$A208,請求記録!$X$6:$X$3005,M$5)=0,"",SUMIFS(請求記録!$AC$6:$AC$3005,請求記録!$B$6:$B$3005,$A208,請求記録!$X$6:$X$3005,M$5))))</f>
        <v/>
      </c>
      <c r="N208" s="19">
        <f>IF($A208="","",IF(COUNTIFS(請求記録!$B$6:$B$3005,$A208,請求記録!$X$6:$X$3005,N$5,請求記録!$AD$6:$AD$3005,"保留中")&gt;0,"保留",IF(COUNTIFS(請求記録!$B$6:$B$3005,$A208,請求記録!$X$6:$X$3005,N$5)=0,"",SUMIFS(請求記録!$AC$6:$AC$3005,請求記録!$B$6:$B$3005,$A208,請求記録!$X$6:$X$3005,N$5))))</f>
        <v/>
      </c>
      <c r="O208" s="19">
        <f>IF($A208="","",IF(COUNTIFS(請求記録!$B$6:$B$3005,$A208,請求記録!$X$6:$X$3005,O$5,請求記録!$AD$6:$AD$3005,"保留中")&gt;0,"保留",IF(COUNTIFS(請求記録!$B$6:$B$3005,$A208,請求記録!$X$6:$X$3005,O$5)=0,"",SUMIFS(請求記録!$AC$6:$AC$3005,請求記録!$B$6:$B$3005,$A208,請求記録!$X$6:$X$3005,O$5))))</f>
        <v/>
      </c>
      <c r="P208" s="19">
        <f>IF($A208="","",IF(COUNTIFS(請求記録!$B$6:$B$3005,$A208,請求記録!$X$6:$X$3005,P$5,請求記録!$AD$6:$AD$3005,"保留中")&gt;0,"保留",IF(COUNTIFS(請求記録!$B$6:$B$3005,$A208,請求記録!$X$6:$X$3005,P$5)=0,"",SUMIFS(請求記録!$AC$6:$AC$3005,請求記録!$B$6:$B$3005,$A208,請求記録!$X$6:$X$3005,P$5))))</f>
        <v/>
      </c>
      <c r="Q208" s="19">
        <f>IF($A208="","",IF(COUNTIFS(請求記録!$B$6:$B$3005,$A208,請求記録!$X$6:$X$3005,Q$5,請求記録!$AD$6:$AD$3005,"保留中")&gt;0,"保留",IF(COUNTIFS(請求記録!$B$6:$B$3005,$A208,請求記録!$X$6:$X$3005,Q$5)=0,"",SUMIFS(請求記録!$AC$6:$AC$3005,請求記録!$B$6:$B$3005,$A208,請求記録!$X$6:$X$3005,Q$5))))</f>
        <v/>
      </c>
      <c r="R208" s="19">
        <f>IF($A208="","",IF(COUNTIFS(請求記録!$B$6:$B$3005,$A208,請求記録!$X$6:$X$3005,R$5,請求記録!$AD$6:$AD$3005,"保留中")&gt;0,"保留",IF(COUNTIFS(請求記録!$B$6:$B$3005,$A208,請求記録!$X$6:$X$3005,R$5)=0,"",SUMIFS(請求記録!$AC$6:$AC$3005,請求記録!$B$6:$B$3005,$A208,請求記録!$X$6:$X$3005,R$5))))</f>
        <v/>
      </c>
      <c r="S208" s="19">
        <f>IF($A208="","",IF(COUNTIFS(請求記録!$B$6:$B$3005,$A208,請求記録!$X$6:$X$3005,S$5,請求記録!$AD$6:$AD$3005,"保留中")&gt;0,"保留",IF(COUNTIFS(請求記録!$B$6:$B$3005,$A208,請求記録!$X$6:$X$3005,S$5)=0,"",SUMIFS(請求記録!$AC$6:$AC$3005,請求記録!$B$6:$B$3005,$A208,請求記録!$X$6:$X$3005,S$5))))</f>
        <v/>
      </c>
      <c r="T208" s="19">
        <f>IF($A208="","",IF(COUNTIFS(請求記録!$B$6:$B$3005,$A208,請求記録!$X$6:$X$3005,T$5,請求記録!$AD$6:$AD$3005,"保留中")&gt;0,"保留",IF(COUNTIFS(請求記録!$B$6:$B$3005,$A208,請求記録!$X$6:$X$3005,T$5)=0,"",SUMIFS(請求記録!$AC$6:$AC$3005,請求記録!$B$6:$B$3005,$A208,請求記録!$X$6:$X$3005,T$5))))</f>
        <v/>
      </c>
      <c r="U208" s="19">
        <f>IF($A208="","",IF(COUNTIFS(請求記録!$B$6:$B$3005,$A208,請求記録!$X$6:$X$3005,U$5,請求記録!$AD$6:$AD$3005,"保留中")&gt;0,"保留",IF(COUNTIFS(請求記録!$B$6:$B$3005,$A208,請求記録!$X$6:$X$3005,U$5)=0,"",SUMIFS(請求記録!$AC$6:$AC$3005,請求記録!$B$6:$B$3005,$A208,請求記録!$X$6:$X$3005,U$5))))</f>
        <v/>
      </c>
      <c r="V208" s="19">
        <f>IF($A208="","",IF(COUNTIFS(請求記録!$B$6:$B$3005,$A208,請求記録!$X$6:$X$3005,V$5,請求記録!$AD$6:$AD$3005,"保留中")&gt;0,"保留",IF(COUNTIFS(請求記録!$B$6:$B$3005,$A208,請求記録!$X$6:$X$3005,V$5)=0,"",SUMIFS(請求記録!$AC$6:$AC$3005,請求記録!$B$6:$B$3005,$A208,請求記録!$X$6:$X$3005,V$5))))</f>
        <v/>
      </c>
      <c r="W208" s="19">
        <f>IF($A208="","",IF(COUNTIFS(請求記録!$B$6:$B$3005,$A208,請求記録!$X$6:$X$3005,W$5,請求記録!$AD$6:$AD$3005,"保留中")&gt;0,"保留",IF(COUNTIFS(請求記録!$B$6:$B$3005,$A208,請求記録!$X$6:$X$3005,W$5)=0,"",SUMIFS(請求記録!$AC$6:$AC$3005,請求記録!$B$6:$B$3005,$A208,請求記録!$X$6:$X$3005,W$5))))</f>
        <v/>
      </c>
      <c r="X208" s="19">
        <f>IF($A208="","",IF(COUNTIFS(請求記録!$B$6:$B$3005,$A208,請求記録!$X$6:$X$3005,X$5,請求記録!$AD$6:$AD$3005,"保留中")&gt;0,"保留",IF(COUNTIFS(請求記録!$B$6:$B$3005,$A208,請求記録!$X$6:$X$3005,X$5)=0,"",SUMIFS(請求記録!$AC$6:$AC$3005,請求記録!$B$6:$B$3005,$A208,請求記録!$X$6:$X$3005,X$5))))</f>
        <v/>
      </c>
      <c r="Y208" s="19">
        <f>IF($A208="","",IF(COUNTIFS(請求記録!$B$6:$B$3005,$A208,請求記録!$X$6:$X$3005,Y$5,請求記録!$AD$6:$AD$3005,"保留中")&gt;0,"保留",IF(COUNTIFS(請求記録!$B$6:$B$3005,$A208,請求記録!$X$6:$X$3005,Y$5)=0,"",SUMIFS(請求記録!$AC$6:$AC$3005,請求記録!$B$6:$B$3005,$A208,請求記録!$X$6:$X$3005,Y$5))))</f>
        <v/>
      </c>
      <c r="Z208" s="19">
        <f>IF($A208="","",IF(COUNTIFS(請求記録!$B$6:$B$3005,$A208,請求記録!$X$6:$X$3005,Z$5,請求記録!$AD$6:$AD$3005,"保留中")&gt;0,"保留",IF(COUNTIFS(請求記録!$B$6:$B$3005,$A208,請求記録!$X$6:$X$3005,Z$5)=0,"",SUMIFS(請求記録!$AC$6:$AC$3005,請求記録!$B$6:$B$3005,$A208,請求記録!$X$6:$X$3005,Z$5))))</f>
        <v/>
      </c>
      <c r="AA208" s="19">
        <f>IF($A208="","",IF(COUNTIFS(請求記録!$B$6:$B$3005,$A208,請求記録!$X$6:$X$3005,AA$5,請求記録!$AD$6:$AD$3005,"保留中")&gt;0,"保留",IF(COUNTIFS(請求記録!$B$6:$B$3005,$A208,請求記録!$X$6:$X$3005,AA$5)=0,"",SUMIFS(請求記録!$AC$6:$AC$3005,請求記録!$B$6:$B$3005,$A208,請求記録!$X$6:$X$3005,AA$5))))</f>
        <v/>
      </c>
      <c r="AB208">
        <f>IF(職員マスタ!P208="保留中",職員マスタ!M208,"")</f>
        <v/>
      </c>
    </row>
    <row r="209">
      <c r="A209">
        <f>IF(職員マスタ!A209="","",職員マスタ!A209)</f>
        <v/>
      </c>
      <c r="B209">
        <f>IF($A209="","",職員マスタ!B209)</f>
        <v/>
      </c>
      <c r="C209">
        <f>IF($A209="","",職員マスタ!C209)</f>
        <v/>
      </c>
      <c r="D209" s="19">
        <f>IF($A209="","",IF(COUNTIFS(請求記録!$B$6:$B$3005,$A209,請求記録!$X$6:$X$3005,D$5,請求記録!$AD$6:$AD$3005,"保留中")&gt;0,"保留",IF(COUNTIFS(請求記録!$B$6:$B$3005,$A209,請求記録!$X$6:$X$3005,D$5)=0,"",SUMIFS(請求記録!$AC$6:$AC$3005,請求記録!$B$6:$B$3005,$A209,請求記録!$X$6:$X$3005,D$5))))</f>
        <v/>
      </c>
      <c r="E209" s="19">
        <f>IF($A209="","",IF(COUNTIFS(請求記録!$B$6:$B$3005,$A209,請求記録!$X$6:$X$3005,E$5,請求記録!$AD$6:$AD$3005,"保留中")&gt;0,"保留",IF(COUNTIFS(請求記録!$B$6:$B$3005,$A209,請求記録!$X$6:$X$3005,E$5)=0,"",SUMIFS(請求記録!$AC$6:$AC$3005,請求記録!$B$6:$B$3005,$A209,請求記録!$X$6:$X$3005,E$5))))</f>
        <v/>
      </c>
      <c r="F209" s="19">
        <f>IF($A209="","",IF(COUNTIFS(請求記録!$B$6:$B$3005,$A209,請求記録!$X$6:$X$3005,F$5,請求記録!$AD$6:$AD$3005,"保留中")&gt;0,"保留",IF(COUNTIFS(請求記録!$B$6:$B$3005,$A209,請求記録!$X$6:$X$3005,F$5)=0,"",SUMIFS(請求記録!$AC$6:$AC$3005,請求記録!$B$6:$B$3005,$A209,請求記録!$X$6:$X$3005,F$5))))</f>
        <v/>
      </c>
      <c r="G209" s="19">
        <f>IF($A209="","",IF(COUNTIFS(請求記録!$B$6:$B$3005,$A209,請求記録!$X$6:$X$3005,G$5,請求記録!$AD$6:$AD$3005,"保留中")&gt;0,"保留",IF(COUNTIFS(請求記録!$B$6:$B$3005,$A209,請求記録!$X$6:$X$3005,G$5)=0,"",SUMIFS(請求記録!$AC$6:$AC$3005,請求記録!$B$6:$B$3005,$A209,請求記録!$X$6:$X$3005,G$5))))</f>
        <v/>
      </c>
      <c r="H209" s="19">
        <f>IF($A209="","",IF(COUNTIFS(請求記録!$B$6:$B$3005,$A209,請求記録!$X$6:$X$3005,H$5,請求記録!$AD$6:$AD$3005,"保留中")&gt;0,"保留",IF(COUNTIFS(請求記録!$B$6:$B$3005,$A209,請求記録!$X$6:$X$3005,H$5)=0,"",SUMIFS(請求記録!$AC$6:$AC$3005,請求記録!$B$6:$B$3005,$A209,請求記録!$X$6:$X$3005,H$5))))</f>
        <v/>
      </c>
      <c r="I209" s="19">
        <f>IF($A209="","",IF(COUNTIFS(請求記録!$B$6:$B$3005,$A209,請求記録!$X$6:$X$3005,I$5,請求記録!$AD$6:$AD$3005,"保留中")&gt;0,"保留",IF(COUNTIFS(請求記録!$B$6:$B$3005,$A209,請求記録!$X$6:$X$3005,I$5)=0,"",SUMIFS(請求記録!$AC$6:$AC$3005,請求記録!$B$6:$B$3005,$A209,請求記録!$X$6:$X$3005,I$5))))</f>
        <v/>
      </c>
      <c r="J209" s="19">
        <f>IF($A209="","",IF(COUNTIFS(請求記録!$B$6:$B$3005,$A209,請求記録!$X$6:$X$3005,J$5,請求記録!$AD$6:$AD$3005,"保留中")&gt;0,"保留",IF(COUNTIFS(請求記録!$B$6:$B$3005,$A209,請求記録!$X$6:$X$3005,J$5)=0,"",SUMIFS(請求記録!$AC$6:$AC$3005,請求記録!$B$6:$B$3005,$A209,請求記録!$X$6:$X$3005,J$5))))</f>
        <v/>
      </c>
      <c r="K209" s="19">
        <f>IF($A209="","",IF(COUNTIFS(請求記録!$B$6:$B$3005,$A209,請求記録!$X$6:$X$3005,K$5,請求記録!$AD$6:$AD$3005,"保留中")&gt;0,"保留",IF(COUNTIFS(請求記録!$B$6:$B$3005,$A209,請求記録!$X$6:$X$3005,K$5)=0,"",SUMIFS(請求記録!$AC$6:$AC$3005,請求記録!$B$6:$B$3005,$A209,請求記録!$X$6:$X$3005,K$5))))</f>
        <v/>
      </c>
      <c r="L209" s="19">
        <f>IF($A209="","",IF(COUNTIFS(請求記録!$B$6:$B$3005,$A209,請求記録!$X$6:$X$3005,L$5,請求記録!$AD$6:$AD$3005,"保留中")&gt;0,"保留",IF(COUNTIFS(請求記録!$B$6:$B$3005,$A209,請求記録!$X$6:$X$3005,L$5)=0,"",SUMIFS(請求記録!$AC$6:$AC$3005,請求記録!$B$6:$B$3005,$A209,請求記録!$X$6:$X$3005,L$5))))</f>
        <v/>
      </c>
      <c r="M209" s="19">
        <f>IF($A209="","",IF(COUNTIFS(請求記録!$B$6:$B$3005,$A209,請求記録!$X$6:$X$3005,M$5,請求記録!$AD$6:$AD$3005,"保留中")&gt;0,"保留",IF(COUNTIFS(請求記録!$B$6:$B$3005,$A209,請求記録!$X$6:$X$3005,M$5)=0,"",SUMIFS(請求記録!$AC$6:$AC$3005,請求記録!$B$6:$B$3005,$A209,請求記録!$X$6:$X$3005,M$5))))</f>
        <v/>
      </c>
      <c r="N209" s="19">
        <f>IF($A209="","",IF(COUNTIFS(請求記録!$B$6:$B$3005,$A209,請求記録!$X$6:$X$3005,N$5,請求記録!$AD$6:$AD$3005,"保留中")&gt;0,"保留",IF(COUNTIFS(請求記録!$B$6:$B$3005,$A209,請求記録!$X$6:$X$3005,N$5)=0,"",SUMIFS(請求記録!$AC$6:$AC$3005,請求記録!$B$6:$B$3005,$A209,請求記録!$X$6:$X$3005,N$5))))</f>
        <v/>
      </c>
      <c r="O209" s="19">
        <f>IF($A209="","",IF(COUNTIFS(請求記録!$B$6:$B$3005,$A209,請求記録!$X$6:$X$3005,O$5,請求記録!$AD$6:$AD$3005,"保留中")&gt;0,"保留",IF(COUNTIFS(請求記録!$B$6:$B$3005,$A209,請求記録!$X$6:$X$3005,O$5)=0,"",SUMIFS(請求記録!$AC$6:$AC$3005,請求記録!$B$6:$B$3005,$A209,請求記録!$X$6:$X$3005,O$5))))</f>
        <v/>
      </c>
      <c r="P209" s="19">
        <f>IF($A209="","",IF(COUNTIFS(請求記録!$B$6:$B$3005,$A209,請求記録!$X$6:$X$3005,P$5,請求記録!$AD$6:$AD$3005,"保留中")&gt;0,"保留",IF(COUNTIFS(請求記録!$B$6:$B$3005,$A209,請求記録!$X$6:$X$3005,P$5)=0,"",SUMIFS(請求記録!$AC$6:$AC$3005,請求記録!$B$6:$B$3005,$A209,請求記録!$X$6:$X$3005,P$5))))</f>
        <v/>
      </c>
      <c r="Q209" s="19">
        <f>IF($A209="","",IF(COUNTIFS(請求記録!$B$6:$B$3005,$A209,請求記録!$X$6:$X$3005,Q$5,請求記録!$AD$6:$AD$3005,"保留中")&gt;0,"保留",IF(COUNTIFS(請求記録!$B$6:$B$3005,$A209,請求記録!$X$6:$X$3005,Q$5)=0,"",SUMIFS(請求記録!$AC$6:$AC$3005,請求記録!$B$6:$B$3005,$A209,請求記録!$X$6:$X$3005,Q$5))))</f>
        <v/>
      </c>
      <c r="R209" s="19">
        <f>IF($A209="","",IF(COUNTIFS(請求記録!$B$6:$B$3005,$A209,請求記録!$X$6:$X$3005,R$5,請求記録!$AD$6:$AD$3005,"保留中")&gt;0,"保留",IF(COUNTIFS(請求記録!$B$6:$B$3005,$A209,請求記録!$X$6:$X$3005,R$5)=0,"",SUMIFS(請求記録!$AC$6:$AC$3005,請求記録!$B$6:$B$3005,$A209,請求記録!$X$6:$X$3005,R$5))))</f>
        <v/>
      </c>
      <c r="S209" s="19">
        <f>IF($A209="","",IF(COUNTIFS(請求記録!$B$6:$B$3005,$A209,請求記録!$X$6:$X$3005,S$5,請求記録!$AD$6:$AD$3005,"保留中")&gt;0,"保留",IF(COUNTIFS(請求記録!$B$6:$B$3005,$A209,請求記録!$X$6:$X$3005,S$5)=0,"",SUMIFS(請求記録!$AC$6:$AC$3005,請求記録!$B$6:$B$3005,$A209,請求記録!$X$6:$X$3005,S$5))))</f>
        <v/>
      </c>
      <c r="T209" s="19">
        <f>IF($A209="","",IF(COUNTIFS(請求記録!$B$6:$B$3005,$A209,請求記録!$X$6:$X$3005,T$5,請求記録!$AD$6:$AD$3005,"保留中")&gt;0,"保留",IF(COUNTIFS(請求記録!$B$6:$B$3005,$A209,請求記録!$X$6:$X$3005,T$5)=0,"",SUMIFS(請求記録!$AC$6:$AC$3005,請求記録!$B$6:$B$3005,$A209,請求記録!$X$6:$X$3005,T$5))))</f>
        <v/>
      </c>
      <c r="U209" s="19">
        <f>IF($A209="","",IF(COUNTIFS(請求記録!$B$6:$B$3005,$A209,請求記録!$X$6:$X$3005,U$5,請求記録!$AD$6:$AD$3005,"保留中")&gt;0,"保留",IF(COUNTIFS(請求記録!$B$6:$B$3005,$A209,請求記録!$X$6:$X$3005,U$5)=0,"",SUMIFS(請求記録!$AC$6:$AC$3005,請求記録!$B$6:$B$3005,$A209,請求記録!$X$6:$X$3005,U$5))))</f>
        <v/>
      </c>
      <c r="V209" s="19">
        <f>IF($A209="","",IF(COUNTIFS(請求記録!$B$6:$B$3005,$A209,請求記録!$X$6:$X$3005,V$5,請求記録!$AD$6:$AD$3005,"保留中")&gt;0,"保留",IF(COUNTIFS(請求記録!$B$6:$B$3005,$A209,請求記録!$X$6:$X$3005,V$5)=0,"",SUMIFS(請求記録!$AC$6:$AC$3005,請求記録!$B$6:$B$3005,$A209,請求記録!$X$6:$X$3005,V$5))))</f>
        <v/>
      </c>
      <c r="W209" s="19">
        <f>IF($A209="","",IF(COUNTIFS(請求記録!$B$6:$B$3005,$A209,請求記録!$X$6:$X$3005,W$5,請求記録!$AD$6:$AD$3005,"保留中")&gt;0,"保留",IF(COUNTIFS(請求記録!$B$6:$B$3005,$A209,請求記録!$X$6:$X$3005,W$5)=0,"",SUMIFS(請求記録!$AC$6:$AC$3005,請求記録!$B$6:$B$3005,$A209,請求記録!$X$6:$X$3005,W$5))))</f>
        <v/>
      </c>
      <c r="X209" s="19">
        <f>IF($A209="","",IF(COUNTIFS(請求記録!$B$6:$B$3005,$A209,請求記録!$X$6:$X$3005,X$5,請求記録!$AD$6:$AD$3005,"保留中")&gt;0,"保留",IF(COUNTIFS(請求記録!$B$6:$B$3005,$A209,請求記録!$X$6:$X$3005,X$5)=0,"",SUMIFS(請求記録!$AC$6:$AC$3005,請求記録!$B$6:$B$3005,$A209,請求記録!$X$6:$X$3005,X$5))))</f>
        <v/>
      </c>
      <c r="Y209" s="19">
        <f>IF($A209="","",IF(COUNTIFS(請求記録!$B$6:$B$3005,$A209,請求記録!$X$6:$X$3005,Y$5,請求記録!$AD$6:$AD$3005,"保留中")&gt;0,"保留",IF(COUNTIFS(請求記録!$B$6:$B$3005,$A209,請求記録!$X$6:$X$3005,Y$5)=0,"",SUMIFS(請求記録!$AC$6:$AC$3005,請求記録!$B$6:$B$3005,$A209,請求記録!$X$6:$X$3005,Y$5))))</f>
        <v/>
      </c>
      <c r="Z209" s="19">
        <f>IF($A209="","",IF(COUNTIFS(請求記録!$B$6:$B$3005,$A209,請求記録!$X$6:$X$3005,Z$5,請求記録!$AD$6:$AD$3005,"保留中")&gt;0,"保留",IF(COUNTIFS(請求記録!$B$6:$B$3005,$A209,請求記録!$X$6:$X$3005,Z$5)=0,"",SUMIFS(請求記録!$AC$6:$AC$3005,請求記録!$B$6:$B$3005,$A209,請求記録!$X$6:$X$3005,Z$5))))</f>
        <v/>
      </c>
      <c r="AA209" s="19">
        <f>IF($A209="","",IF(COUNTIFS(請求記録!$B$6:$B$3005,$A209,請求記録!$X$6:$X$3005,AA$5,請求記録!$AD$6:$AD$3005,"保留中")&gt;0,"保留",IF(COUNTIFS(請求記録!$B$6:$B$3005,$A209,請求記録!$X$6:$X$3005,AA$5)=0,"",SUMIFS(請求記録!$AC$6:$AC$3005,請求記録!$B$6:$B$3005,$A209,請求記録!$X$6:$X$3005,AA$5))))</f>
        <v/>
      </c>
      <c r="AB209">
        <f>IF(職員マスタ!P209="保留中",職員マスタ!M209,"")</f>
        <v/>
      </c>
    </row>
    <row r="210">
      <c r="A210">
        <f>IF(職員マスタ!A210="","",職員マスタ!A210)</f>
        <v/>
      </c>
      <c r="B210">
        <f>IF($A210="","",職員マスタ!B210)</f>
        <v/>
      </c>
      <c r="C210">
        <f>IF($A210="","",職員マスタ!C210)</f>
        <v/>
      </c>
      <c r="D210" s="19">
        <f>IF($A210="","",IF(COUNTIFS(請求記録!$B$6:$B$3005,$A210,請求記録!$X$6:$X$3005,D$5,請求記録!$AD$6:$AD$3005,"保留中")&gt;0,"保留",IF(COUNTIFS(請求記録!$B$6:$B$3005,$A210,請求記録!$X$6:$X$3005,D$5)=0,"",SUMIFS(請求記録!$AC$6:$AC$3005,請求記録!$B$6:$B$3005,$A210,請求記録!$X$6:$X$3005,D$5))))</f>
        <v/>
      </c>
      <c r="E210" s="19">
        <f>IF($A210="","",IF(COUNTIFS(請求記録!$B$6:$B$3005,$A210,請求記録!$X$6:$X$3005,E$5,請求記録!$AD$6:$AD$3005,"保留中")&gt;0,"保留",IF(COUNTIFS(請求記録!$B$6:$B$3005,$A210,請求記録!$X$6:$X$3005,E$5)=0,"",SUMIFS(請求記録!$AC$6:$AC$3005,請求記録!$B$6:$B$3005,$A210,請求記録!$X$6:$X$3005,E$5))))</f>
        <v/>
      </c>
      <c r="F210" s="19">
        <f>IF($A210="","",IF(COUNTIFS(請求記録!$B$6:$B$3005,$A210,請求記録!$X$6:$X$3005,F$5,請求記録!$AD$6:$AD$3005,"保留中")&gt;0,"保留",IF(COUNTIFS(請求記録!$B$6:$B$3005,$A210,請求記録!$X$6:$X$3005,F$5)=0,"",SUMIFS(請求記録!$AC$6:$AC$3005,請求記録!$B$6:$B$3005,$A210,請求記録!$X$6:$X$3005,F$5))))</f>
        <v/>
      </c>
      <c r="G210" s="19">
        <f>IF($A210="","",IF(COUNTIFS(請求記録!$B$6:$B$3005,$A210,請求記録!$X$6:$X$3005,G$5,請求記録!$AD$6:$AD$3005,"保留中")&gt;0,"保留",IF(COUNTIFS(請求記録!$B$6:$B$3005,$A210,請求記録!$X$6:$X$3005,G$5)=0,"",SUMIFS(請求記録!$AC$6:$AC$3005,請求記録!$B$6:$B$3005,$A210,請求記録!$X$6:$X$3005,G$5))))</f>
        <v/>
      </c>
      <c r="H210" s="19">
        <f>IF($A210="","",IF(COUNTIFS(請求記録!$B$6:$B$3005,$A210,請求記録!$X$6:$X$3005,H$5,請求記録!$AD$6:$AD$3005,"保留中")&gt;0,"保留",IF(COUNTIFS(請求記録!$B$6:$B$3005,$A210,請求記録!$X$6:$X$3005,H$5)=0,"",SUMIFS(請求記録!$AC$6:$AC$3005,請求記録!$B$6:$B$3005,$A210,請求記録!$X$6:$X$3005,H$5))))</f>
        <v/>
      </c>
      <c r="I210" s="19">
        <f>IF($A210="","",IF(COUNTIFS(請求記録!$B$6:$B$3005,$A210,請求記録!$X$6:$X$3005,I$5,請求記録!$AD$6:$AD$3005,"保留中")&gt;0,"保留",IF(COUNTIFS(請求記録!$B$6:$B$3005,$A210,請求記録!$X$6:$X$3005,I$5)=0,"",SUMIFS(請求記録!$AC$6:$AC$3005,請求記録!$B$6:$B$3005,$A210,請求記録!$X$6:$X$3005,I$5))))</f>
        <v/>
      </c>
      <c r="J210" s="19">
        <f>IF($A210="","",IF(COUNTIFS(請求記録!$B$6:$B$3005,$A210,請求記録!$X$6:$X$3005,J$5,請求記録!$AD$6:$AD$3005,"保留中")&gt;0,"保留",IF(COUNTIFS(請求記録!$B$6:$B$3005,$A210,請求記録!$X$6:$X$3005,J$5)=0,"",SUMIFS(請求記録!$AC$6:$AC$3005,請求記録!$B$6:$B$3005,$A210,請求記録!$X$6:$X$3005,J$5))))</f>
        <v/>
      </c>
      <c r="K210" s="19">
        <f>IF($A210="","",IF(COUNTIFS(請求記録!$B$6:$B$3005,$A210,請求記録!$X$6:$X$3005,K$5,請求記録!$AD$6:$AD$3005,"保留中")&gt;0,"保留",IF(COUNTIFS(請求記録!$B$6:$B$3005,$A210,請求記録!$X$6:$X$3005,K$5)=0,"",SUMIFS(請求記録!$AC$6:$AC$3005,請求記録!$B$6:$B$3005,$A210,請求記録!$X$6:$X$3005,K$5))))</f>
        <v/>
      </c>
      <c r="L210" s="19">
        <f>IF($A210="","",IF(COUNTIFS(請求記録!$B$6:$B$3005,$A210,請求記録!$X$6:$X$3005,L$5,請求記録!$AD$6:$AD$3005,"保留中")&gt;0,"保留",IF(COUNTIFS(請求記録!$B$6:$B$3005,$A210,請求記録!$X$6:$X$3005,L$5)=0,"",SUMIFS(請求記録!$AC$6:$AC$3005,請求記録!$B$6:$B$3005,$A210,請求記録!$X$6:$X$3005,L$5))))</f>
        <v/>
      </c>
      <c r="M210" s="19">
        <f>IF($A210="","",IF(COUNTIFS(請求記録!$B$6:$B$3005,$A210,請求記録!$X$6:$X$3005,M$5,請求記録!$AD$6:$AD$3005,"保留中")&gt;0,"保留",IF(COUNTIFS(請求記録!$B$6:$B$3005,$A210,請求記録!$X$6:$X$3005,M$5)=0,"",SUMIFS(請求記録!$AC$6:$AC$3005,請求記録!$B$6:$B$3005,$A210,請求記録!$X$6:$X$3005,M$5))))</f>
        <v/>
      </c>
      <c r="N210" s="19">
        <f>IF($A210="","",IF(COUNTIFS(請求記録!$B$6:$B$3005,$A210,請求記録!$X$6:$X$3005,N$5,請求記録!$AD$6:$AD$3005,"保留中")&gt;0,"保留",IF(COUNTIFS(請求記録!$B$6:$B$3005,$A210,請求記録!$X$6:$X$3005,N$5)=0,"",SUMIFS(請求記録!$AC$6:$AC$3005,請求記録!$B$6:$B$3005,$A210,請求記録!$X$6:$X$3005,N$5))))</f>
        <v/>
      </c>
      <c r="O210" s="19">
        <f>IF($A210="","",IF(COUNTIFS(請求記録!$B$6:$B$3005,$A210,請求記録!$X$6:$X$3005,O$5,請求記録!$AD$6:$AD$3005,"保留中")&gt;0,"保留",IF(COUNTIFS(請求記録!$B$6:$B$3005,$A210,請求記録!$X$6:$X$3005,O$5)=0,"",SUMIFS(請求記録!$AC$6:$AC$3005,請求記録!$B$6:$B$3005,$A210,請求記録!$X$6:$X$3005,O$5))))</f>
        <v/>
      </c>
      <c r="P210" s="19">
        <f>IF($A210="","",IF(COUNTIFS(請求記録!$B$6:$B$3005,$A210,請求記録!$X$6:$X$3005,P$5,請求記録!$AD$6:$AD$3005,"保留中")&gt;0,"保留",IF(COUNTIFS(請求記録!$B$6:$B$3005,$A210,請求記録!$X$6:$X$3005,P$5)=0,"",SUMIFS(請求記録!$AC$6:$AC$3005,請求記録!$B$6:$B$3005,$A210,請求記録!$X$6:$X$3005,P$5))))</f>
        <v/>
      </c>
      <c r="Q210" s="19">
        <f>IF($A210="","",IF(COUNTIFS(請求記録!$B$6:$B$3005,$A210,請求記録!$X$6:$X$3005,Q$5,請求記録!$AD$6:$AD$3005,"保留中")&gt;0,"保留",IF(COUNTIFS(請求記録!$B$6:$B$3005,$A210,請求記録!$X$6:$X$3005,Q$5)=0,"",SUMIFS(請求記録!$AC$6:$AC$3005,請求記録!$B$6:$B$3005,$A210,請求記録!$X$6:$X$3005,Q$5))))</f>
        <v/>
      </c>
      <c r="R210" s="19">
        <f>IF($A210="","",IF(COUNTIFS(請求記録!$B$6:$B$3005,$A210,請求記録!$X$6:$X$3005,R$5,請求記録!$AD$6:$AD$3005,"保留中")&gt;0,"保留",IF(COUNTIFS(請求記録!$B$6:$B$3005,$A210,請求記録!$X$6:$X$3005,R$5)=0,"",SUMIFS(請求記録!$AC$6:$AC$3005,請求記録!$B$6:$B$3005,$A210,請求記録!$X$6:$X$3005,R$5))))</f>
        <v/>
      </c>
      <c r="S210" s="19">
        <f>IF($A210="","",IF(COUNTIFS(請求記録!$B$6:$B$3005,$A210,請求記録!$X$6:$X$3005,S$5,請求記録!$AD$6:$AD$3005,"保留中")&gt;0,"保留",IF(COUNTIFS(請求記録!$B$6:$B$3005,$A210,請求記録!$X$6:$X$3005,S$5)=0,"",SUMIFS(請求記録!$AC$6:$AC$3005,請求記録!$B$6:$B$3005,$A210,請求記録!$X$6:$X$3005,S$5))))</f>
        <v/>
      </c>
      <c r="T210" s="19">
        <f>IF($A210="","",IF(COUNTIFS(請求記録!$B$6:$B$3005,$A210,請求記録!$X$6:$X$3005,T$5,請求記録!$AD$6:$AD$3005,"保留中")&gt;0,"保留",IF(COUNTIFS(請求記録!$B$6:$B$3005,$A210,請求記録!$X$6:$X$3005,T$5)=0,"",SUMIFS(請求記録!$AC$6:$AC$3005,請求記録!$B$6:$B$3005,$A210,請求記録!$X$6:$X$3005,T$5))))</f>
        <v/>
      </c>
      <c r="U210" s="19">
        <f>IF($A210="","",IF(COUNTIFS(請求記録!$B$6:$B$3005,$A210,請求記録!$X$6:$X$3005,U$5,請求記録!$AD$6:$AD$3005,"保留中")&gt;0,"保留",IF(COUNTIFS(請求記録!$B$6:$B$3005,$A210,請求記録!$X$6:$X$3005,U$5)=0,"",SUMIFS(請求記録!$AC$6:$AC$3005,請求記録!$B$6:$B$3005,$A210,請求記録!$X$6:$X$3005,U$5))))</f>
        <v/>
      </c>
      <c r="V210" s="19">
        <f>IF($A210="","",IF(COUNTIFS(請求記録!$B$6:$B$3005,$A210,請求記録!$X$6:$X$3005,V$5,請求記録!$AD$6:$AD$3005,"保留中")&gt;0,"保留",IF(COUNTIFS(請求記録!$B$6:$B$3005,$A210,請求記録!$X$6:$X$3005,V$5)=0,"",SUMIFS(請求記録!$AC$6:$AC$3005,請求記録!$B$6:$B$3005,$A210,請求記録!$X$6:$X$3005,V$5))))</f>
        <v/>
      </c>
      <c r="W210" s="19">
        <f>IF($A210="","",IF(COUNTIFS(請求記録!$B$6:$B$3005,$A210,請求記録!$X$6:$X$3005,W$5,請求記録!$AD$6:$AD$3005,"保留中")&gt;0,"保留",IF(COUNTIFS(請求記録!$B$6:$B$3005,$A210,請求記録!$X$6:$X$3005,W$5)=0,"",SUMIFS(請求記録!$AC$6:$AC$3005,請求記録!$B$6:$B$3005,$A210,請求記録!$X$6:$X$3005,W$5))))</f>
        <v/>
      </c>
      <c r="X210" s="19">
        <f>IF($A210="","",IF(COUNTIFS(請求記録!$B$6:$B$3005,$A210,請求記録!$X$6:$X$3005,X$5,請求記録!$AD$6:$AD$3005,"保留中")&gt;0,"保留",IF(COUNTIFS(請求記録!$B$6:$B$3005,$A210,請求記録!$X$6:$X$3005,X$5)=0,"",SUMIFS(請求記録!$AC$6:$AC$3005,請求記録!$B$6:$B$3005,$A210,請求記録!$X$6:$X$3005,X$5))))</f>
        <v/>
      </c>
      <c r="Y210" s="19">
        <f>IF($A210="","",IF(COUNTIFS(請求記録!$B$6:$B$3005,$A210,請求記録!$X$6:$X$3005,Y$5,請求記録!$AD$6:$AD$3005,"保留中")&gt;0,"保留",IF(COUNTIFS(請求記録!$B$6:$B$3005,$A210,請求記録!$X$6:$X$3005,Y$5)=0,"",SUMIFS(請求記録!$AC$6:$AC$3005,請求記録!$B$6:$B$3005,$A210,請求記録!$X$6:$X$3005,Y$5))))</f>
        <v/>
      </c>
      <c r="Z210" s="19">
        <f>IF($A210="","",IF(COUNTIFS(請求記録!$B$6:$B$3005,$A210,請求記録!$X$6:$X$3005,Z$5,請求記録!$AD$6:$AD$3005,"保留中")&gt;0,"保留",IF(COUNTIFS(請求記録!$B$6:$B$3005,$A210,請求記録!$X$6:$X$3005,Z$5)=0,"",SUMIFS(請求記録!$AC$6:$AC$3005,請求記録!$B$6:$B$3005,$A210,請求記録!$X$6:$X$3005,Z$5))))</f>
        <v/>
      </c>
      <c r="AA210" s="19">
        <f>IF($A210="","",IF(COUNTIFS(請求記録!$B$6:$B$3005,$A210,請求記録!$X$6:$X$3005,AA$5,請求記録!$AD$6:$AD$3005,"保留中")&gt;0,"保留",IF(COUNTIFS(請求記録!$B$6:$B$3005,$A210,請求記録!$X$6:$X$3005,AA$5)=0,"",SUMIFS(請求記録!$AC$6:$AC$3005,請求記録!$B$6:$B$3005,$A210,請求記録!$X$6:$X$3005,AA$5))))</f>
        <v/>
      </c>
      <c r="AB210">
        <f>IF(職員マスタ!P210="保留中",職員マスタ!M210,"")</f>
        <v/>
      </c>
    </row>
    <row r="211">
      <c r="A211">
        <f>IF(職員マスタ!A211="","",職員マスタ!A211)</f>
        <v/>
      </c>
      <c r="B211">
        <f>IF($A211="","",職員マスタ!B211)</f>
        <v/>
      </c>
      <c r="C211">
        <f>IF($A211="","",職員マスタ!C211)</f>
        <v/>
      </c>
      <c r="D211" s="19">
        <f>IF($A211="","",IF(COUNTIFS(請求記録!$B$6:$B$3005,$A211,請求記録!$X$6:$X$3005,D$5,請求記録!$AD$6:$AD$3005,"保留中")&gt;0,"保留",IF(COUNTIFS(請求記録!$B$6:$B$3005,$A211,請求記録!$X$6:$X$3005,D$5)=0,"",SUMIFS(請求記録!$AC$6:$AC$3005,請求記録!$B$6:$B$3005,$A211,請求記録!$X$6:$X$3005,D$5))))</f>
        <v/>
      </c>
      <c r="E211" s="19">
        <f>IF($A211="","",IF(COUNTIFS(請求記録!$B$6:$B$3005,$A211,請求記録!$X$6:$X$3005,E$5,請求記録!$AD$6:$AD$3005,"保留中")&gt;0,"保留",IF(COUNTIFS(請求記録!$B$6:$B$3005,$A211,請求記録!$X$6:$X$3005,E$5)=0,"",SUMIFS(請求記録!$AC$6:$AC$3005,請求記録!$B$6:$B$3005,$A211,請求記録!$X$6:$X$3005,E$5))))</f>
        <v/>
      </c>
      <c r="F211" s="19">
        <f>IF($A211="","",IF(COUNTIFS(請求記録!$B$6:$B$3005,$A211,請求記録!$X$6:$X$3005,F$5,請求記録!$AD$6:$AD$3005,"保留中")&gt;0,"保留",IF(COUNTIFS(請求記録!$B$6:$B$3005,$A211,請求記録!$X$6:$X$3005,F$5)=0,"",SUMIFS(請求記録!$AC$6:$AC$3005,請求記録!$B$6:$B$3005,$A211,請求記録!$X$6:$X$3005,F$5))))</f>
        <v/>
      </c>
      <c r="G211" s="19">
        <f>IF($A211="","",IF(COUNTIFS(請求記録!$B$6:$B$3005,$A211,請求記録!$X$6:$X$3005,G$5,請求記録!$AD$6:$AD$3005,"保留中")&gt;0,"保留",IF(COUNTIFS(請求記録!$B$6:$B$3005,$A211,請求記録!$X$6:$X$3005,G$5)=0,"",SUMIFS(請求記録!$AC$6:$AC$3005,請求記録!$B$6:$B$3005,$A211,請求記録!$X$6:$X$3005,G$5))))</f>
        <v/>
      </c>
      <c r="H211" s="19">
        <f>IF($A211="","",IF(COUNTIFS(請求記録!$B$6:$B$3005,$A211,請求記録!$X$6:$X$3005,H$5,請求記録!$AD$6:$AD$3005,"保留中")&gt;0,"保留",IF(COUNTIFS(請求記録!$B$6:$B$3005,$A211,請求記録!$X$6:$X$3005,H$5)=0,"",SUMIFS(請求記録!$AC$6:$AC$3005,請求記録!$B$6:$B$3005,$A211,請求記録!$X$6:$X$3005,H$5))))</f>
        <v/>
      </c>
      <c r="I211" s="19">
        <f>IF($A211="","",IF(COUNTIFS(請求記録!$B$6:$B$3005,$A211,請求記録!$X$6:$X$3005,I$5,請求記録!$AD$6:$AD$3005,"保留中")&gt;0,"保留",IF(COUNTIFS(請求記録!$B$6:$B$3005,$A211,請求記録!$X$6:$X$3005,I$5)=0,"",SUMIFS(請求記録!$AC$6:$AC$3005,請求記録!$B$6:$B$3005,$A211,請求記録!$X$6:$X$3005,I$5))))</f>
        <v/>
      </c>
      <c r="J211" s="19">
        <f>IF($A211="","",IF(COUNTIFS(請求記録!$B$6:$B$3005,$A211,請求記録!$X$6:$X$3005,J$5,請求記録!$AD$6:$AD$3005,"保留中")&gt;0,"保留",IF(COUNTIFS(請求記録!$B$6:$B$3005,$A211,請求記録!$X$6:$X$3005,J$5)=0,"",SUMIFS(請求記録!$AC$6:$AC$3005,請求記録!$B$6:$B$3005,$A211,請求記録!$X$6:$X$3005,J$5))))</f>
        <v/>
      </c>
      <c r="K211" s="19">
        <f>IF($A211="","",IF(COUNTIFS(請求記録!$B$6:$B$3005,$A211,請求記録!$X$6:$X$3005,K$5,請求記録!$AD$6:$AD$3005,"保留中")&gt;0,"保留",IF(COUNTIFS(請求記録!$B$6:$B$3005,$A211,請求記録!$X$6:$X$3005,K$5)=0,"",SUMIFS(請求記録!$AC$6:$AC$3005,請求記録!$B$6:$B$3005,$A211,請求記録!$X$6:$X$3005,K$5))))</f>
        <v/>
      </c>
      <c r="L211" s="19">
        <f>IF($A211="","",IF(COUNTIFS(請求記録!$B$6:$B$3005,$A211,請求記録!$X$6:$X$3005,L$5,請求記録!$AD$6:$AD$3005,"保留中")&gt;0,"保留",IF(COUNTIFS(請求記録!$B$6:$B$3005,$A211,請求記録!$X$6:$X$3005,L$5)=0,"",SUMIFS(請求記録!$AC$6:$AC$3005,請求記録!$B$6:$B$3005,$A211,請求記録!$X$6:$X$3005,L$5))))</f>
        <v/>
      </c>
      <c r="M211" s="19">
        <f>IF($A211="","",IF(COUNTIFS(請求記録!$B$6:$B$3005,$A211,請求記録!$X$6:$X$3005,M$5,請求記録!$AD$6:$AD$3005,"保留中")&gt;0,"保留",IF(COUNTIFS(請求記録!$B$6:$B$3005,$A211,請求記録!$X$6:$X$3005,M$5)=0,"",SUMIFS(請求記録!$AC$6:$AC$3005,請求記録!$B$6:$B$3005,$A211,請求記録!$X$6:$X$3005,M$5))))</f>
        <v/>
      </c>
      <c r="N211" s="19">
        <f>IF($A211="","",IF(COUNTIFS(請求記録!$B$6:$B$3005,$A211,請求記録!$X$6:$X$3005,N$5,請求記録!$AD$6:$AD$3005,"保留中")&gt;0,"保留",IF(COUNTIFS(請求記録!$B$6:$B$3005,$A211,請求記録!$X$6:$X$3005,N$5)=0,"",SUMIFS(請求記録!$AC$6:$AC$3005,請求記録!$B$6:$B$3005,$A211,請求記録!$X$6:$X$3005,N$5))))</f>
        <v/>
      </c>
      <c r="O211" s="19">
        <f>IF($A211="","",IF(COUNTIFS(請求記録!$B$6:$B$3005,$A211,請求記録!$X$6:$X$3005,O$5,請求記録!$AD$6:$AD$3005,"保留中")&gt;0,"保留",IF(COUNTIFS(請求記録!$B$6:$B$3005,$A211,請求記録!$X$6:$X$3005,O$5)=0,"",SUMIFS(請求記録!$AC$6:$AC$3005,請求記録!$B$6:$B$3005,$A211,請求記録!$X$6:$X$3005,O$5))))</f>
        <v/>
      </c>
      <c r="P211" s="19">
        <f>IF($A211="","",IF(COUNTIFS(請求記録!$B$6:$B$3005,$A211,請求記録!$X$6:$X$3005,P$5,請求記録!$AD$6:$AD$3005,"保留中")&gt;0,"保留",IF(COUNTIFS(請求記録!$B$6:$B$3005,$A211,請求記録!$X$6:$X$3005,P$5)=0,"",SUMIFS(請求記録!$AC$6:$AC$3005,請求記録!$B$6:$B$3005,$A211,請求記録!$X$6:$X$3005,P$5))))</f>
        <v/>
      </c>
      <c r="Q211" s="19">
        <f>IF($A211="","",IF(COUNTIFS(請求記録!$B$6:$B$3005,$A211,請求記録!$X$6:$X$3005,Q$5,請求記録!$AD$6:$AD$3005,"保留中")&gt;0,"保留",IF(COUNTIFS(請求記録!$B$6:$B$3005,$A211,請求記録!$X$6:$X$3005,Q$5)=0,"",SUMIFS(請求記録!$AC$6:$AC$3005,請求記録!$B$6:$B$3005,$A211,請求記録!$X$6:$X$3005,Q$5))))</f>
        <v/>
      </c>
      <c r="R211" s="19">
        <f>IF($A211="","",IF(COUNTIFS(請求記録!$B$6:$B$3005,$A211,請求記録!$X$6:$X$3005,R$5,請求記録!$AD$6:$AD$3005,"保留中")&gt;0,"保留",IF(COUNTIFS(請求記録!$B$6:$B$3005,$A211,請求記録!$X$6:$X$3005,R$5)=0,"",SUMIFS(請求記録!$AC$6:$AC$3005,請求記録!$B$6:$B$3005,$A211,請求記録!$X$6:$X$3005,R$5))))</f>
        <v/>
      </c>
      <c r="S211" s="19">
        <f>IF($A211="","",IF(COUNTIFS(請求記録!$B$6:$B$3005,$A211,請求記録!$X$6:$X$3005,S$5,請求記録!$AD$6:$AD$3005,"保留中")&gt;0,"保留",IF(COUNTIFS(請求記録!$B$6:$B$3005,$A211,請求記録!$X$6:$X$3005,S$5)=0,"",SUMIFS(請求記録!$AC$6:$AC$3005,請求記録!$B$6:$B$3005,$A211,請求記録!$X$6:$X$3005,S$5))))</f>
        <v/>
      </c>
      <c r="T211" s="19">
        <f>IF($A211="","",IF(COUNTIFS(請求記録!$B$6:$B$3005,$A211,請求記録!$X$6:$X$3005,T$5,請求記録!$AD$6:$AD$3005,"保留中")&gt;0,"保留",IF(COUNTIFS(請求記録!$B$6:$B$3005,$A211,請求記録!$X$6:$X$3005,T$5)=0,"",SUMIFS(請求記録!$AC$6:$AC$3005,請求記録!$B$6:$B$3005,$A211,請求記録!$X$6:$X$3005,T$5))))</f>
        <v/>
      </c>
      <c r="U211" s="19">
        <f>IF($A211="","",IF(COUNTIFS(請求記録!$B$6:$B$3005,$A211,請求記録!$X$6:$X$3005,U$5,請求記録!$AD$6:$AD$3005,"保留中")&gt;0,"保留",IF(COUNTIFS(請求記録!$B$6:$B$3005,$A211,請求記録!$X$6:$X$3005,U$5)=0,"",SUMIFS(請求記録!$AC$6:$AC$3005,請求記録!$B$6:$B$3005,$A211,請求記録!$X$6:$X$3005,U$5))))</f>
        <v/>
      </c>
      <c r="V211" s="19">
        <f>IF($A211="","",IF(COUNTIFS(請求記録!$B$6:$B$3005,$A211,請求記録!$X$6:$X$3005,V$5,請求記録!$AD$6:$AD$3005,"保留中")&gt;0,"保留",IF(COUNTIFS(請求記録!$B$6:$B$3005,$A211,請求記録!$X$6:$X$3005,V$5)=0,"",SUMIFS(請求記録!$AC$6:$AC$3005,請求記録!$B$6:$B$3005,$A211,請求記録!$X$6:$X$3005,V$5))))</f>
        <v/>
      </c>
      <c r="W211" s="19">
        <f>IF($A211="","",IF(COUNTIFS(請求記録!$B$6:$B$3005,$A211,請求記録!$X$6:$X$3005,W$5,請求記録!$AD$6:$AD$3005,"保留中")&gt;0,"保留",IF(COUNTIFS(請求記録!$B$6:$B$3005,$A211,請求記録!$X$6:$X$3005,W$5)=0,"",SUMIFS(請求記録!$AC$6:$AC$3005,請求記録!$B$6:$B$3005,$A211,請求記録!$X$6:$X$3005,W$5))))</f>
        <v/>
      </c>
      <c r="X211" s="19">
        <f>IF($A211="","",IF(COUNTIFS(請求記録!$B$6:$B$3005,$A211,請求記録!$X$6:$X$3005,X$5,請求記録!$AD$6:$AD$3005,"保留中")&gt;0,"保留",IF(COUNTIFS(請求記録!$B$6:$B$3005,$A211,請求記録!$X$6:$X$3005,X$5)=0,"",SUMIFS(請求記録!$AC$6:$AC$3005,請求記録!$B$6:$B$3005,$A211,請求記録!$X$6:$X$3005,X$5))))</f>
        <v/>
      </c>
      <c r="Y211" s="19">
        <f>IF($A211="","",IF(COUNTIFS(請求記録!$B$6:$B$3005,$A211,請求記録!$X$6:$X$3005,Y$5,請求記録!$AD$6:$AD$3005,"保留中")&gt;0,"保留",IF(COUNTIFS(請求記録!$B$6:$B$3005,$A211,請求記録!$X$6:$X$3005,Y$5)=0,"",SUMIFS(請求記録!$AC$6:$AC$3005,請求記録!$B$6:$B$3005,$A211,請求記録!$X$6:$X$3005,Y$5))))</f>
        <v/>
      </c>
      <c r="Z211" s="19">
        <f>IF($A211="","",IF(COUNTIFS(請求記録!$B$6:$B$3005,$A211,請求記録!$X$6:$X$3005,Z$5,請求記録!$AD$6:$AD$3005,"保留中")&gt;0,"保留",IF(COUNTIFS(請求記録!$B$6:$B$3005,$A211,請求記録!$X$6:$X$3005,Z$5)=0,"",SUMIFS(請求記録!$AC$6:$AC$3005,請求記録!$B$6:$B$3005,$A211,請求記録!$X$6:$X$3005,Z$5))))</f>
        <v/>
      </c>
      <c r="AA211" s="19">
        <f>IF($A211="","",IF(COUNTIFS(請求記録!$B$6:$B$3005,$A211,請求記録!$X$6:$X$3005,AA$5,請求記録!$AD$6:$AD$3005,"保留中")&gt;0,"保留",IF(COUNTIFS(請求記録!$B$6:$B$3005,$A211,請求記録!$X$6:$X$3005,AA$5)=0,"",SUMIFS(請求記録!$AC$6:$AC$3005,請求記録!$B$6:$B$3005,$A211,請求記録!$X$6:$X$3005,AA$5))))</f>
        <v/>
      </c>
      <c r="AB211">
        <f>IF(職員マスタ!P211="保留中",職員マスタ!M211,"")</f>
        <v/>
      </c>
    </row>
    <row r="212">
      <c r="A212">
        <f>IF(職員マスタ!A212="","",職員マスタ!A212)</f>
        <v/>
      </c>
      <c r="B212">
        <f>IF($A212="","",職員マスタ!B212)</f>
        <v/>
      </c>
      <c r="C212">
        <f>IF($A212="","",職員マスタ!C212)</f>
        <v/>
      </c>
      <c r="D212" s="19">
        <f>IF($A212="","",IF(COUNTIFS(請求記録!$B$6:$B$3005,$A212,請求記録!$X$6:$X$3005,D$5,請求記録!$AD$6:$AD$3005,"保留中")&gt;0,"保留",IF(COUNTIFS(請求記録!$B$6:$B$3005,$A212,請求記録!$X$6:$X$3005,D$5)=0,"",SUMIFS(請求記録!$AC$6:$AC$3005,請求記録!$B$6:$B$3005,$A212,請求記録!$X$6:$X$3005,D$5))))</f>
        <v/>
      </c>
      <c r="E212" s="19">
        <f>IF($A212="","",IF(COUNTIFS(請求記録!$B$6:$B$3005,$A212,請求記録!$X$6:$X$3005,E$5,請求記録!$AD$6:$AD$3005,"保留中")&gt;0,"保留",IF(COUNTIFS(請求記録!$B$6:$B$3005,$A212,請求記録!$X$6:$X$3005,E$5)=0,"",SUMIFS(請求記録!$AC$6:$AC$3005,請求記録!$B$6:$B$3005,$A212,請求記録!$X$6:$X$3005,E$5))))</f>
        <v/>
      </c>
      <c r="F212" s="19">
        <f>IF($A212="","",IF(COUNTIFS(請求記録!$B$6:$B$3005,$A212,請求記録!$X$6:$X$3005,F$5,請求記録!$AD$6:$AD$3005,"保留中")&gt;0,"保留",IF(COUNTIFS(請求記録!$B$6:$B$3005,$A212,請求記録!$X$6:$X$3005,F$5)=0,"",SUMIFS(請求記録!$AC$6:$AC$3005,請求記録!$B$6:$B$3005,$A212,請求記録!$X$6:$X$3005,F$5))))</f>
        <v/>
      </c>
      <c r="G212" s="19">
        <f>IF($A212="","",IF(COUNTIFS(請求記録!$B$6:$B$3005,$A212,請求記録!$X$6:$X$3005,G$5,請求記録!$AD$6:$AD$3005,"保留中")&gt;0,"保留",IF(COUNTIFS(請求記録!$B$6:$B$3005,$A212,請求記録!$X$6:$X$3005,G$5)=0,"",SUMIFS(請求記録!$AC$6:$AC$3005,請求記録!$B$6:$B$3005,$A212,請求記録!$X$6:$X$3005,G$5))))</f>
        <v/>
      </c>
      <c r="H212" s="19">
        <f>IF($A212="","",IF(COUNTIFS(請求記録!$B$6:$B$3005,$A212,請求記録!$X$6:$X$3005,H$5,請求記録!$AD$6:$AD$3005,"保留中")&gt;0,"保留",IF(COUNTIFS(請求記録!$B$6:$B$3005,$A212,請求記録!$X$6:$X$3005,H$5)=0,"",SUMIFS(請求記録!$AC$6:$AC$3005,請求記録!$B$6:$B$3005,$A212,請求記録!$X$6:$X$3005,H$5))))</f>
        <v/>
      </c>
      <c r="I212" s="19">
        <f>IF($A212="","",IF(COUNTIFS(請求記録!$B$6:$B$3005,$A212,請求記録!$X$6:$X$3005,I$5,請求記録!$AD$6:$AD$3005,"保留中")&gt;0,"保留",IF(COUNTIFS(請求記録!$B$6:$B$3005,$A212,請求記録!$X$6:$X$3005,I$5)=0,"",SUMIFS(請求記録!$AC$6:$AC$3005,請求記録!$B$6:$B$3005,$A212,請求記録!$X$6:$X$3005,I$5))))</f>
        <v/>
      </c>
      <c r="J212" s="19">
        <f>IF($A212="","",IF(COUNTIFS(請求記録!$B$6:$B$3005,$A212,請求記録!$X$6:$X$3005,J$5,請求記録!$AD$6:$AD$3005,"保留中")&gt;0,"保留",IF(COUNTIFS(請求記録!$B$6:$B$3005,$A212,請求記録!$X$6:$X$3005,J$5)=0,"",SUMIFS(請求記録!$AC$6:$AC$3005,請求記録!$B$6:$B$3005,$A212,請求記録!$X$6:$X$3005,J$5))))</f>
        <v/>
      </c>
      <c r="K212" s="19">
        <f>IF($A212="","",IF(COUNTIFS(請求記録!$B$6:$B$3005,$A212,請求記録!$X$6:$X$3005,K$5,請求記録!$AD$6:$AD$3005,"保留中")&gt;0,"保留",IF(COUNTIFS(請求記録!$B$6:$B$3005,$A212,請求記録!$X$6:$X$3005,K$5)=0,"",SUMIFS(請求記録!$AC$6:$AC$3005,請求記録!$B$6:$B$3005,$A212,請求記録!$X$6:$X$3005,K$5))))</f>
        <v/>
      </c>
      <c r="L212" s="19">
        <f>IF($A212="","",IF(COUNTIFS(請求記録!$B$6:$B$3005,$A212,請求記録!$X$6:$X$3005,L$5,請求記録!$AD$6:$AD$3005,"保留中")&gt;0,"保留",IF(COUNTIFS(請求記録!$B$6:$B$3005,$A212,請求記録!$X$6:$X$3005,L$5)=0,"",SUMIFS(請求記録!$AC$6:$AC$3005,請求記録!$B$6:$B$3005,$A212,請求記録!$X$6:$X$3005,L$5))))</f>
        <v/>
      </c>
      <c r="M212" s="19">
        <f>IF($A212="","",IF(COUNTIFS(請求記録!$B$6:$B$3005,$A212,請求記録!$X$6:$X$3005,M$5,請求記録!$AD$6:$AD$3005,"保留中")&gt;0,"保留",IF(COUNTIFS(請求記録!$B$6:$B$3005,$A212,請求記録!$X$6:$X$3005,M$5)=0,"",SUMIFS(請求記録!$AC$6:$AC$3005,請求記録!$B$6:$B$3005,$A212,請求記録!$X$6:$X$3005,M$5))))</f>
        <v/>
      </c>
      <c r="N212" s="19">
        <f>IF($A212="","",IF(COUNTIFS(請求記録!$B$6:$B$3005,$A212,請求記録!$X$6:$X$3005,N$5,請求記録!$AD$6:$AD$3005,"保留中")&gt;0,"保留",IF(COUNTIFS(請求記録!$B$6:$B$3005,$A212,請求記録!$X$6:$X$3005,N$5)=0,"",SUMIFS(請求記録!$AC$6:$AC$3005,請求記録!$B$6:$B$3005,$A212,請求記録!$X$6:$X$3005,N$5))))</f>
        <v/>
      </c>
      <c r="O212" s="19">
        <f>IF($A212="","",IF(COUNTIFS(請求記録!$B$6:$B$3005,$A212,請求記録!$X$6:$X$3005,O$5,請求記録!$AD$6:$AD$3005,"保留中")&gt;0,"保留",IF(COUNTIFS(請求記録!$B$6:$B$3005,$A212,請求記録!$X$6:$X$3005,O$5)=0,"",SUMIFS(請求記録!$AC$6:$AC$3005,請求記録!$B$6:$B$3005,$A212,請求記録!$X$6:$X$3005,O$5))))</f>
        <v/>
      </c>
      <c r="P212" s="19">
        <f>IF($A212="","",IF(COUNTIFS(請求記録!$B$6:$B$3005,$A212,請求記録!$X$6:$X$3005,P$5,請求記録!$AD$6:$AD$3005,"保留中")&gt;0,"保留",IF(COUNTIFS(請求記録!$B$6:$B$3005,$A212,請求記録!$X$6:$X$3005,P$5)=0,"",SUMIFS(請求記録!$AC$6:$AC$3005,請求記録!$B$6:$B$3005,$A212,請求記録!$X$6:$X$3005,P$5))))</f>
        <v/>
      </c>
      <c r="Q212" s="19">
        <f>IF($A212="","",IF(COUNTIFS(請求記録!$B$6:$B$3005,$A212,請求記録!$X$6:$X$3005,Q$5,請求記録!$AD$6:$AD$3005,"保留中")&gt;0,"保留",IF(COUNTIFS(請求記録!$B$6:$B$3005,$A212,請求記録!$X$6:$X$3005,Q$5)=0,"",SUMIFS(請求記録!$AC$6:$AC$3005,請求記録!$B$6:$B$3005,$A212,請求記録!$X$6:$X$3005,Q$5))))</f>
        <v/>
      </c>
      <c r="R212" s="19">
        <f>IF($A212="","",IF(COUNTIFS(請求記録!$B$6:$B$3005,$A212,請求記録!$X$6:$X$3005,R$5,請求記録!$AD$6:$AD$3005,"保留中")&gt;0,"保留",IF(COUNTIFS(請求記録!$B$6:$B$3005,$A212,請求記録!$X$6:$X$3005,R$5)=0,"",SUMIFS(請求記録!$AC$6:$AC$3005,請求記録!$B$6:$B$3005,$A212,請求記録!$X$6:$X$3005,R$5))))</f>
        <v/>
      </c>
      <c r="S212" s="19">
        <f>IF($A212="","",IF(COUNTIFS(請求記録!$B$6:$B$3005,$A212,請求記録!$X$6:$X$3005,S$5,請求記録!$AD$6:$AD$3005,"保留中")&gt;0,"保留",IF(COUNTIFS(請求記録!$B$6:$B$3005,$A212,請求記録!$X$6:$X$3005,S$5)=0,"",SUMIFS(請求記録!$AC$6:$AC$3005,請求記録!$B$6:$B$3005,$A212,請求記録!$X$6:$X$3005,S$5))))</f>
        <v/>
      </c>
      <c r="T212" s="19">
        <f>IF($A212="","",IF(COUNTIFS(請求記録!$B$6:$B$3005,$A212,請求記録!$X$6:$X$3005,T$5,請求記録!$AD$6:$AD$3005,"保留中")&gt;0,"保留",IF(COUNTIFS(請求記録!$B$6:$B$3005,$A212,請求記録!$X$6:$X$3005,T$5)=0,"",SUMIFS(請求記録!$AC$6:$AC$3005,請求記録!$B$6:$B$3005,$A212,請求記録!$X$6:$X$3005,T$5))))</f>
        <v/>
      </c>
      <c r="U212" s="19">
        <f>IF($A212="","",IF(COUNTIFS(請求記録!$B$6:$B$3005,$A212,請求記録!$X$6:$X$3005,U$5,請求記録!$AD$6:$AD$3005,"保留中")&gt;0,"保留",IF(COUNTIFS(請求記録!$B$6:$B$3005,$A212,請求記録!$X$6:$X$3005,U$5)=0,"",SUMIFS(請求記録!$AC$6:$AC$3005,請求記録!$B$6:$B$3005,$A212,請求記録!$X$6:$X$3005,U$5))))</f>
        <v/>
      </c>
      <c r="V212" s="19">
        <f>IF($A212="","",IF(COUNTIFS(請求記録!$B$6:$B$3005,$A212,請求記録!$X$6:$X$3005,V$5,請求記録!$AD$6:$AD$3005,"保留中")&gt;0,"保留",IF(COUNTIFS(請求記録!$B$6:$B$3005,$A212,請求記録!$X$6:$X$3005,V$5)=0,"",SUMIFS(請求記録!$AC$6:$AC$3005,請求記録!$B$6:$B$3005,$A212,請求記録!$X$6:$X$3005,V$5))))</f>
        <v/>
      </c>
      <c r="W212" s="19">
        <f>IF($A212="","",IF(COUNTIFS(請求記録!$B$6:$B$3005,$A212,請求記録!$X$6:$X$3005,W$5,請求記録!$AD$6:$AD$3005,"保留中")&gt;0,"保留",IF(COUNTIFS(請求記録!$B$6:$B$3005,$A212,請求記録!$X$6:$X$3005,W$5)=0,"",SUMIFS(請求記録!$AC$6:$AC$3005,請求記録!$B$6:$B$3005,$A212,請求記録!$X$6:$X$3005,W$5))))</f>
        <v/>
      </c>
      <c r="X212" s="19">
        <f>IF($A212="","",IF(COUNTIFS(請求記録!$B$6:$B$3005,$A212,請求記録!$X$6:$X$3005,X$5,請求記録!$AD$6:$AD$3005,"保留中")&gt;0,"保留",IF(COUNTIFS(請求記録!$B$6:$B$3005,$A212,請求記録!$X$6:$X$3005,X$5)=0,"",SUMIFS(請求記録!$AC$6:$AC$3005,請求記録!$B$6:$B$3005,$A212,請求記録!$X$6:$X$3005,X$5))))</f>
        <v/>
      </c>
      <c r="Y212" s="19">
        <f>IF($A212="","",IF(COUNTIFS(請求記録!$B$6:$B$3005,$A212,請求記録!$X$6:$X$3005,Y$5,請求記録!$AD$6:$AD$3005,"保留中")&gt;0,"保留",IF(COUNTIFS(請求記録!$B$6:$B$3005,$A212,請求記録!$X$6:$X$3005,Y$5)=0,"",SUMIFS(請求記録!$AC$6:$AC$3005,請求記録!$B$6:$B$3005,$A212,請求記録!$X$6:$X$3005,Y$5))))</f>
        <v/>
      </c>
      <c r="Z212" s="19">
        <f>IF($A212="","",IF(COUNTIFS(請求記録!$B$6:$B$3005,$A212,請求記録!$X$6:$X$3005,Z$5,請求記録!$AD$6:$AD$3005,"保留中")&gt;0,"保留",IF(COUNTIFS(請求記録!$B$6:$B$3005,$A212,請求記録!$X$6:$X$3005,Z$5)=0,"",SUMIFS(請求記録!$AC$6:$AC$3005,請求記録!$B$6:$B$3005,$A212,請求記録!$X$6:$X$3005,Z$5))))</f>
        <v/>
      </c>
      <c r="AA212" s="19">
        <f>IF($A212="","",IF(COUNTIFS(請求記録!$B$6:$B$3005,$A212,請求記録!$X$6:$X$3005,AA$5,請求記録!$AD$6:$AD$3005,"保留中")&gt;0,"保留",IF(COUNTIFS(請求記録!$B$6:$B$3005,$A212,請求記録!$X$6:$X$3005,AA$5)=0,"",SUMIFS(請求記録!$AC$6:$AC$3005,請求記録!$B$6:$B$3005,$A212,請求記録!$X$6:$X$3005,AA$5))))</f>
        <v/>
      </c>
      <c r="AB212">
        <f>IF(職員マスタ!P212="保留中",職員マスタ!M212,"")</f>
        <v/>
      </c>
    </row>
    <row r="213">
      <c r="A213">
        <f>IF(職員マスタ!A213="","",職員マスタ!A213)</f>
        <v/>
      </c>
      <c r="B213">
        <f>IF($A213="","",職員マスタ!B213)</f>
        <v/>
      </c>
      <c r="C213">
        <f>IF($A213="","",職員マスタ!C213)</f>
        <v/>
      </c>
      <c r="D213" s="19">
        <f>IF($A213="","",IF(COUNTIFS(請求記録!$B$6:$B$3005,$A213,請求記録!$X$6:$X$3005,D$5,請求記録!$AD$6:$AD$3005,"保留中")&gt;0,"保留",IF(COUNTIFS(請求記録!$B$6:$B$3005,$A213,請求記録!$X$6:$X$3005,D$5)=0,"",SUMIFS(請求記録!$AC$6:$AC$3005,請求記録!$B$6:$B$3005,$A213,請求記録!$X$6:$X$3005,D$5))))</f>
        <v/>
      </c>
      <c r="E213" s="19">
        <f>IF($A213="","",IF(COUNTIFS(請求記録!$B$6:$B$3005,$A213,請求記録!$X$6:$X$3005,E$5,請求記録!$AD$6:$AD$3005,"保留中")&gt;0,"保留",IF(COUNTIFS(請求記録!$B$6:$B$3005,$A213,請求記録!$X$6:$X$3005,E$5)=0,"",SUMIFS(請求記録!$AC$6:$AC$3005,請求記録!$B$6:$B$3005,$A213,請求記録!$X$6:$X$3005,E$5))))</f>
        <v/>
      </c>
      <c r="F213" s="19">
        <f>IF($A213="","",IF(COUNTIFS(請求記録!$B$6:$B$3005,$A213,請求記録!$X$6:$X$3005,F$5,請求記録!$AD$6:$AD$3005,"保留中")&gt;0,"保留",IF(COUNTIFS(請求記録!$B$6:$B$3005,$A213,請求記録!$X$6:$X$3005,F$5)=0,"",SUMIFS(請求記録!$AC$6:$AC$3005,請求記録!$B$6:$B$3005,$A213,請求記録!$X$6:$X$3005,F$5))))</f>
        <v/>
      </c>
      <c r="G213" s="19">
        <f>IF($A213="","",IF(COUNTIFS(請求記録!$B$6:$B$3005,$A213,請求記録!$X$6:$X$3005,G$5,請求記録!$AD$6:$AD$3005,"保留中")&gt;0,"保留",IF(COUNTIFS(請求記録!$B$6:$B$3005,$A213,請求記録!$X$6:$X$3005,G$5)=0,"",SUMIFS(請求記録!$AC$6:$AC$3005,請求記録!$B$6:$B$3005,$A213,請求記録!$X$6:$X$3005,G$5))))</f>
        <v/>
      </c>
      <c r="H213" s="19">
        <f>IF($A213="","",IF(COUNTIFS(請求記録!$B$6:$B$3005,$A213,請求記録!$X$6:$X$3005,H$5,請求記録!$AD$6:$AD$3005,"保留中")&gt;0,"保留",IF(COUNTIFS(請求記録!$B$6:$B$3005,$A213,請求記録!$X$6:$X$3005,H$5)=0,"",SUMIFS(請求記録!$AC$6:$AC$3005,請求記録!$B$6:$B$3005,$A213,請求記録!$X$6:$X$3005,H$5))))</f>
        <v/>
      </c>
      <c r="I213" s="19">
        <f>IF($A213="","",IF(COUNTIFS(請求記録!$B$6:$B$3005,$A213,請求記録!$X$6:$X$3005,I$5,請求記録!$AD$6:$AD$3005,"保留中")&gt;0,"保留",IF(COUNTIFS(請求記録!$B$6:$B$3005,$A213,請求記録!$X$6:$X$3005,I$5)=0,"",SUMIFS(請求記録!$AC$6:$AC$3005,請求記録!$B$6:$B$3005,$A213,請求記録!$X$6:$X$3005,I$5))))</f>
        <v/>
      </c>
      <c r="J213" s="19">
        <f>IF($A213="","",IF(COUNTIFS(請求記録!$B$6:$B$3005,$A213,請求記録!$X$6:$X$3005,J$5,請求記録!$AD$6:$AD$3005,"保留中")&gt;0,"保留",IF(COUNTIFS(請求記録!$B$6:$B$3005,$A213,請求記録!$X$6:$X$3005,J$5)=0,"",SUMIFS(請求記録!$AC$6:$AC$3005,請求記録!$B$6:$B$3005,$A213,請求記録!$X$6:$X$3005,J$5))))</f>
        <v/>
      </c>
      <c r="K213" s="19">
        <f>IF($A213="","",IF(COUNTIFS(請求記録!$B$6:$B$3005,$A213,請求記録!$X$6:$X$3005,K$5,請求記録!$AD$6:$AD$3005,"保留中")&gt;0,"保留",IF(COUNTIFS(請求記録!$B$6:$B$3005,$A213,請求記録!$X$6:$X$3005,K$5)=0,"",SUMIFS(請求記録!$AC$6:$AC$3005,請求記録!$B$6:$B$3005,$A213,請求記録!$X$6:$X$3005,K$5))))</f>
        <v/>
      </c>
      <c r="L213" s="19">
        <f>IF($A213="","",IF(COUNTIFS(請求記録!$B$6:$B$3005,$A213,請求記録!$X$6:$X$3005,L$5,請求記録!$AD$6:$AD$3005,"保留中")&gt;0,"保留",IF(COUNTIFS(請求記録!$B$6:$B$3005,$A213,請求記録!$X$6:$X$3005,L$5)=0,"",SUMIFS(請求記録!$AC$6:$AC$3005,請求記録!$B$6:$B$3005,$A213,請求記録!$X$6:$X$3005,L$5))))</f>
        <v/>
      </c>
      <c r="M213" s="19">
        <f>IF($A213="","",IF(COUNTIFS(請求記録!$B$6:$B$3005,$A213,請求記録!$X$6:$X$3005,M$5,請求記録!$AD$6:$AD$3005,"保留中")&gt;0,"保留",IF(COUNTIFS(請求記録!$B$6:$B$3005,$A213,請求記録!$X$6:$X$3005,M$5)=0,"",SUMIFS(請求記録!$AC$6:$AC$3005,請求記録!$B$6:$B$3005,$A213,請求記録!$X$6:$X$3005,M$5))))</f>
        <v/>
      </c>
      <c r="N213" s="19">
        <f>IF($A213="","",IF(COUNTIFS(請求記録!$B$6:$B$3005,$A213,請求記録!$X$6:$X$3005,N$5,請求記録!$AD$6:$AD$3005,"保留中")&gt;0,"保留",IF(COUNTIFS(請求記録!$B$6:$B$3005,$A213,請求記録!$X$6:$X$3005,N$5)=0,"",SUMIFS(請求記録!$AC$6:$AC$3005,請求記録!$B$6:$B$3005,$A213,請求記録!$X$6:$X$3005,N$5))))</f>
        <v/>
      </c>
      <c r="O213" s="19">
        <f>IF($A213="","",IF(COUNTIFS(請求記録!$B$6:$B$3005,$A213,請求記録!$X$6:$X$3005,O$5,請求記録!$AD$6:$AD$3005,"保留中")&gt;0,"保留",IF(COUNTIFS(請求記録!$B$6:$B$3005,$A213,請求記録!$X$6:$X$3005,O$5)=0,"",SUMIFS(請求記録!$AC$6:$AC$3005,請求記録!$B$6:$B$3005,$A213,請求記録!$X$6:$X$3005,O$5))))</f>
        <v/>
      </c>
      <c r="P213" s="19">
        <f>IF($A213="","",IF(COUNTIFS(請求記録!$B$6:$B$3005,$A213,請求記録!$X$6:$X$3005,P$5,請求記録!$AD$6:$AD$3005,"保留中")&gt;0,"保留",IF(COUNTIFS(請求記録!$B$6:$B$3005,$A213,請求記録!$X$6:$X$3005,P$5)=0,"",SUMIFS(請求記録!$AC$6:$AC$3005,請求記録!$B$6:$B$3005,$A213,請求記録!$X$6:$X$3005,P$5))))</f>
        <v/>
      </c>
      <c r="Q213" s="19">
        <f>IF($A213="","",IF(COUNTIFS(請求記録!$B$6:$B$3005,$A213,請求記録!$X$6:$X$3005,Q$5,請求記録!$AD$6:$AD$3005,"保留中")&gt;0,"保留",IF(COUNTIFS(請求記録!$B$6:$B$3005,$A213,請求記録!$X$6:$X$3005,Q$5)=0,"",SUMIFS(請求記録!$AC$6:$AC$3005,請求記録!$B$6:$B$3005,$A213,請求記録!$X$6:$X$3005,Q$5))))</f>
        <v/>
      </c>
      <c r="R213" s="19">
        <f>IF($A213="","",IF(COUNTIFS(請求記録!$B$6:$B$3005,$A213,請求記録!$X$6:$X$3005,R$5,請求記録!$AD$6:$AD$3005,"保留中")&gt;0,"保留",IF(COUNTIFS(請求記録!$B$6:$B$3005,$A213,請求記録!$X$6:$X$3005,R$5)=0,"",SUMIFS(請求記録!$AC$6:$AC$3005,請求記録!$B$6:$B$3005,$A213,請求記録!$X$6:$X$3005,R$5))))</f>
        <v/>
      </c>
      <c r="S213" s="19">
        <f>IF($A213="","",IF(COUNTIFS(請求記録!$B$6:$B$3005,$A213,請求記録!$X$6:$X$3005,S$5,請求記録!$AD$6:$AD$3005,"保留中")&gt;0,"保留",IF(COUNTIFS(請求記録!$B$6:$B$3005,$A213,請求記録!$X$6:$X$3005,S$5)=0,"",SUMIFS(請求記録!$AC$6:$AC$3005,請求記録!$B$6:$B$3005,$A213,請求記録!$X$6:$X$3005,S$5))))</f>
        <v/>
      </c>
      <c r="T213" s="19">
        <f>IF($A213="","",IF(COUNTIFS(請求記録!$B$6:$B$3005,$A213,請求記録!$X$6:$X$3005,T$5,請求記録!$AD$6:$AD$3005,"保留中")&gt;0,"保留",IF(COUNTIFS(請求記録!$B$6:$B$3005,$A213,請求記録!$X$6:$X$3005,T$5)=0,"",SUMIFS(請求記録!$AC$6:$AC$3005,請求記録!$B$6:$B$3005,$A213,請求記録!$X$6:$X$3005,T$5))))</f>
        <v/>
      </c>
      <c r="U213" s="19">
        <f>IF($A213="","",IF(COUNTIFS(請求記録!$B$6:$B$3005,$A213,請求記録!$X$6:$X$3005,U$5,請求記録!$AD$6:$AD$3005,"保留中")&gt;0,"保留",IF(COUNTIFS(請求記録!$B$6:$B$3005,$A213,請求記録!$X$6:$X$3005,U$5)=0,"",SUMIFS(請求記録!$AC$6:$AC$3005,請求記録!$B$6:$B$3005,$A213,請求記録!$X$6:$X$3005,U$5))))</f>
        <v/>
      </c>
      <c r="V213" s="19">
        <f>IF($A213="","",IF(COUNTIFS(請求記録!$B$6:$B$3005,$A213,請求記録!$X$6:$X$3005,V$5,請求記録!$AD$6:$AD$3005,"保留中")&gt;0,"保留",IF(COUNTIFS(請求記録!$B$6:$B$3005,$A213,請求記録!$X$6:$X$3005,V$5)=0,"",SUMIFS(請求記録!$AC$6:$AC$3005,請求記録!$B$6:$B$3005,$A213,請求記録!$X$6:$X$3005,V$5))))</f>
        <v/>
      </c>
      <c r="W213" s="19">
        <f>IF($A213="","",IF(COUNTIFS(請求記録!$B$6:$B$3005,$A213,請求記録!$X$6:$X$3005,W$5,請求記録!$AD$6:$AD$3005,"保留中")&gt;0,"保留",IF(COUNTIFS(請求記録!$B$6:$B$3005,$A213,請求記録!$X$6:$X$3005,W$5)=0,"",SUMIFS(請求記録!$AC$6:$AC$3005,請求記録!$B$6:$B$3005,$A213,請求記録!$X$6:$X$3005,W$5))))</f>
        <v/>
      </c>
      <c r="X213" s="19">
        <f>IF($A213="","",IF(COUNTIFS(請求記録!$B$6:$B$3005,$A213,請求記録!$X$6:$X$3005,X$5,請求記録!$AD$6:$AD$3005,"保留中")&gt;0,"保留",IF(COUNTIFS(請求記録!$B$6:$B$3005,$A213,請求記録!$X$6:$X$3005,X$5)=0,"",SUMIFS(請求記録!$AC$6:$AC$3005,請求記録!$B$6:$B$3005,$A213,請求記録!$X$6:$X$3005,X$5))))</f>
        <v/>
      </c>
      <c r="Y213" s="19">
        <f>IF($A213="","",IF(COUNTIFS(請求記録!$B$6:$B$3005,$A213,請求記録!$X$6:$X$3005,Y$5,請求記録!$AD$6:$AD$3005,"保留中")&gt;0,"保留",IF(COUNTIFS(請求記録!$B$6:$B$3005,$A213,請求記録!$X$6:$X$3005,Y$5)=0,"",SUMIFS(請求記録!$AC$6:$AC$3005,請求記録!$B$6:$B$3005,$A213,請求記録!$X$6:$X$3005,Y$5))))</f>
        <v/>
      </c>
      <c r="Z213" s="19">
        <f>IF($A213="","",IF(COUNTIFS(請求記録!$B$6:$B$3005,$A213,請求記録!$X$6:$X$3005,Z$5,請求記録!$AD$6:$AD$3005,"保留中")&gt;0,"保留",IF(COUNTIFS(請求記録!$B$6:$B$3005,$A213,請求記録!$X$6:$X$3005,Z$5)=0,"",SUMIFS(請求記録!$AC$6:$AC$3005,請求記録!$B$6:$B$3005,$A213,請求記録!$X$6:$X$3005,Z$5))))</f>
        <v/>
      </c>
      <c r="AA213" s="19">
        <f>IF($A213="","",IF(COUNTIFS(請求記録!$B$6:$B$3005,$A213,請求記録!$X$6:$X$3005,AA$5,請求記録!$AD$6:$AD$3005,"保留中")&gt;0,"保留",IF(COUNTIFS(請求記録!$B$6:$B$3005,$A213,請求記録!$X$6:$X$3005,AA$5)=0,"",SUMIFS(請求記録!$AC$6:$AC$3005,請求記録!$B$6:$B$3005,$A213,請求記録!$X$6:$X$3005,AA$5))))</f>
        <v/>
      </c>
      <c r="AB213">
        <f>IF(職員マスタ!P213="保留中",職員マスタ!M213,"")</f>
        <v/>
      </c>
    </row>
    <row r="214">
      <c r="A214">
        <f>IF(職員マスタ!A214="","",職員マスタ!A214)</f>
        <v/>
      </c>
      <c r="B214">
        <f>IF($A214="","",職員マスタ!B214)</f>
        <v/>
      </c>
      <c r="C214">
        <f>IF($A214="","",職員マスタ!C214)</f>
        <v/>
      </c>
      <c r="D214" s="19">
        <f>IF($A214="","",IF(COUNTIFS(請求記録!$B$6:$B$3005,$A214,請求記録!$X$6:$X$3005,D$5,請求記録!$AD$6:$AD$3005,"保留中")&gt;0,"保留",IF(COUNTIFS(請求記録!$B$6:$B$3005,$A214,請求記録!$X$6:$X$3005,D$5)=0,"",SUMIFS(請求記録!$AC$6:$AC$3005,請求記録!$B$6:$B$3005,$A214,請求記録!$X$6:$X$3005,D$5))))</f>
        <v/>
      </c>
      <c r="E214" s="19">
        <f>IF($A214="","",IF(COUNTIFS(請求記録!$B$6:$B$3005,$A214,請求記録!$X$6:$X$3005,E$5,請求記録!$AD$6:$AD$3005,"保留中")&gt;0,"保留",IF(COUNTIFS(請求記録!$B$6:$B$3005,$A214,請求記録!$X$6:$X$3005,E$5)=0,"",SUMIFS(請求記録!$AC$6:$AC$3005,請求記録!$B$6:$B$3005,$A214,請求記録!$X$6:$X$3005,E$5))))</f>
        <v/>
      </c>
      <c r="F214" s="19">
        <f>IF($A214="","",IF(COUNTIFS(請求記録!$B$6:$B$3005,$A214,請求記録!$X$6:$X$3005,F$5,請求記録!$AD$6:$AD$3005,"保留中")&gt;0,"保留",IF(COUNTIFS(請求記録!$B$6:$B$3005,$A214,請求記録!$X$6:$X$3005,F$5)=0,"",SUMIFS(請求記録!$AC$6:$AC$3005,請求記録!$B$6:$B$3005,$A214,請求記録!$X$6:$X$3005,F$5))))</f>
        <v/>
      </c>
      <c r="G214" s="19">
        <f>IF($A214="","",IF(COUNTIFS(請求記録!$B$6:$B$3005,$A214,請求記録!$X$6:$X$3005,G$5,請求記録!$AD$6:$AD$3005,"保留中")&gt;0,"保留",IF(COUNTIFS(請求記録!$B$6:$B$3005,$A214,請求記録!$X$6:$X$3005,G$5)=0,"",SUMIFS(請求記録!$AC$6:$AC$3005,請求記録!$B$6:$B$3005,$A214,請求記録!$X$6:$X$3005,G$5))))</f>
        <v/>
      </c>
      <c r="H214" s="19">
        <f>IF($A214="","",IF(COUNTIFS(請求記録!$B$6:$B$3005,$A214,請求記録!$X$6:$X$3005,H$5,請求記録!$AD$6:$AD$3005,"保留中")&gt;0,"保留",IF(COUNTIFS(請求記録!$B$6:$B$3005,$A214,請求記録!$X$6:$X$3005,H$5)=0,"",SUMIFS(請求記録!$AC$6:$AC$3005,請求記録!$B$6:$B$3005,$A214,請求記録!$X$6:$X$3005,H$5))))</f>
        <v/>
      </c>
      <c r="I214" s="19">
        <f>IF($A214="","",IF(COUNTIFS(請求記録!$B$6:$B$3005,$A214,請求記録!$X$6:$X$3005,I$5,請求記録!$AD$6:$AD$3005,"保留中")&gt;0,"保留",IF(COUNTIFS(請求記録!$B$6:$B$3005,$A214,請求記録!$X$6:$X$3005,I$5)=0,"",SUMIFS(請求記録!$AC$6:$AC$3005,請求記録!$B$6:$B$3005,$A214,請求記録!$X$6:$X$3005,I$5))))</f>
        <v/>
      </c>
      <c r="J214" s="19">
        <f>IF($A214="","",IF(COUNTIFS(請求記録!$B$6:$B$3005,$A214,請求記録!$X$6:$X$3005,J$5,請求記録!$AD$6:$AD$3005,"保留中")&gt;0,"保留",IF(COUNTIFS(請求記録!$B$6:$B$3005,$A214,請求記録!$X$6:$X$3005,J$5)=0,"",SUMIFS(請求記録!$AC$6:$AC$3005,請求記録!$B$6:$B$3005,$A214,請求記録!$X$6:$X$3005,J$5))))</f>
        <v/>
      </c>
      <c r="K214" s="19">
        <f>IF($A214="","",IF(COUNTIFS(請求記録!$B$6:$B$3005,$A214,請求記録!$X$6:$X$3005,K$5,請求記録!$AD$6:$AD$3005,"保留中")&gt;0,"保留",IF(COUNTIFS(請求記録!$B$6:$B$3005,$A214,請求記録!$X$6:$X$3005,K$5)=0,"",SUMIFS(請求記録!$AC$6:$AC$3005,請求記録!$B$6:$B$3005,$A214,請求記録!$X$6:$X$3005,K$5))))</f>
        <v/>
      </c>
      <c r="L214" s="19">
        <f>IF($A214="","",IF(COUNTIFS(請求記録!$B$6:$B$3005,$A214,請求記録!$X$6:$X$3005,L$5,請求記録!$AD$6:$AD$3005,"保留中")&gt;0,"保留",IF(COUNTIFS(請求記録!$B$6:$B$3005,$A214,請求記録!$X$6:$X$3005,L$5)=0,"",SUMIFS(請求記録!$AC$6:$AC$3005,請求記録!$B$6:$B$3005,$A214,請求記録!$X$6:$X$3005,L$5))))</f>
        <v/>
      </c>
      <c r="M214" s="19">
        <f>IF($A214="","",IF(COUNTIFS(請求記録!$B$6:$B$3005,$A214,請求記録!$X$6:$X$3005,M$5,請求記録!$AD$6:$AD$3005,"保留中")&gt;0,"保留",IF(COUNTIFS(請求記録!$B$6:$B$3005,$A214,請求記録!$X$6:$X$3005,M$5)=0,"",SUMIFS(請求記録!$AC$6:$AC$3005,請求記録!$B$6:$B$3005,$A214,請求記録!$X$6:$X$3005,M$5))))</f>
        <v/>
      </c>
      <c r="N214" s="19">
        <f>IF($A214="","",IF(COUNTIFS(請求記録!$B$6:$B$3005,$A214,請求記録!$X$6:$X$3005,N$5,請求記録!$AD$6:$AD$3005,"保留中")&gt;0,"保留",IF(COUNTIFS(請求記録!$B$6:$B$3005,$A214,請求記録!$X$6:$X$3005,N$5)=0,"",SUMIFS(請求記録!$AC$6:$AC$3005,請求記録!$B$6:$B$3005,$A214,請求記録!$X$6:$X$3005,N$5))))</f>
        <v/>
      </c>
      <c r="O214" s="19">
        <f>IF($A214="","",IF(COUNTIFS(請求記録!$B$6:$B$3005,$A214,請求記録!$X$6:$X$3005,O$5,請求記録!$AD$6:$AD$3005,"保留中")&gt;0,"保留",IF(COUNTIFS(請求記録!$B$6:$B$3005,$A214,請求記録!$X$6:$X$3005,O$5)=0,"",SUMIFS(請求記録!$AC$6:$AC$3005,請求記録!$B$6:$B$3005,$A214,請求記録!$X$6:$X$3005,O$5))))</f>
        <v/>
      </c>
      <c r="P214" s="19">
        <f>IF($A214="","",IF(COUNTIFS(請求記録!$B$6:$B$3005,$A214,請求記録!$X$6:$X$3005,P$5,請求記録!$AD$6:$AD$3005,"保留中")&gt;0,"保留",IF(COUNTIFS(請求記録!$B$6:$B$3005,$A214,請求記録!$X$6:$X$3005,P$5)=0,"",SUMIFS(請求記録!$AC$6:$AC$3005,請求記録!$B$6:$B$3005,$A214,請求記録!$X$6:$X$3005,P$5))))</f>
        <v/>
      </c>
      <c r="Q214" s="19">
        <f>IF($A214="","",IF(COUNTIFS(請求記録!$B$6:$B$3005,$A214,請求記録!$X$6:$X$3005,Q$5,請求記録!$AD$6:$AD$3005,"保留中")&gt;0,"保留",IF(COUNTIFS(請求記録!$B$6:$B$3005,$A214,請求記録!$X$6:$X$3005,Q$5)=0,"",SUMIFS(請求記録!$AC$6:$AC$3005,請求記録!$B$6:$B$3005,$A214,請求記録!$X$6:$X$3005,Q$5))))</f>
        <v/>
      </c>
      <c r="R214" s="19">
        <f>IF($A214="","",IF(COUNTIFS(請求記録!$B$6:$B$3005,$A214,請求記録!$X$6:$X$3005,R$5,請求記録!$AD$6:$AD$3005,"保留中")&gt;0,"保留",IF(COUNTIFS(請求記録!$B$6:$B$3005,$A214,請求記録!$X$6:$X$3005,R$5)=0,"",SUMIFS(請求記録!$AC$6:$AC$3005,請求記録!$B$6:$B$3005,$A214,請求記録!$X$6:$X$3005,R$5))))</f>
        <v/>
      </c>
      <c r="S214" s="19">
        <f>IF($A214="","",IF(COUNTIFS(請求記録!$B$6:$B$3005,$A214,請求記録!$X$6:$X$3005,S$5,請求記録!$AD$6:$AD$3005,"保留中")&gt;0,"保留",IF(COUNTIFS(請求記録!$B$6:$B$3005,$A214,請求記録!$X$6:$X$3005,S$5)=0,"",SUMIFS(請求記録!$AC$6:$AC$3005,請求記録!$B$6:$B$3005,$A214,請求記録!$X$6:$X$3005,S$5))))</f>
        <v/>
      </c>
      <c r="T214" s="19">
        <f>IF($A214="","",IF(COUNTIFS(請求記録!$B$6:$B$3005,$A214,請求記録!$X$6:$X$3005,T$5,請求記録!$AD$6:$AD$3005,"保留中")&gt;0,"保留",IF(COUNTIFS(請求記録!$B$6:$B$3005,$A214,請求記録!$X$6:$X$3005,T$5)=0,"",SUMIFS(請求記録!$AC$6:$AC$3005,請求記録!$B$6:$B$3005,$A214,請求記録!$X$6:$X$3005,T$5))))</f>
        <v/>
      </c>
      <c r="U214" s="19">
        <f>IF($A214="","",IF(COUNTIFS(請求記録!$B$6:$B$3005,$A214,請求記録!$X$6:$X$3005,U$5,請求記録!$AD$6:$AD$3005,"保留中")&gt;0,"保留",IF(COUNTIFS(請求記録!$B$6:$B$3005,$A214,請求記録!$X$6:$X$3005,U$5)=0,"",SUMIFS(請求記録!$AC$6:$AC$3005,請求記録!$B$6:$B$3005,$A214,請求記録!$X$6:$X$3005,U$5))))</f>
        <v/>
      </c>
      <c r="V214" s="19">
        <f>IF($A214="","",IF(COUNTIFS(請求記録!$B$6:$B$3005,$A214,請求記録!$X$6:$X$3005,V$5,請求記録!$AD$6:$AD$3005,"保留中")&gt;0,"保留",IF(COUNTIFS(請求記録!$B$6:$B$3005,$A214,請求記録!$X$6:$X$3005,V$5)=0,"",SUMIFS(請求記録!$AC$6:$AC$3005,請求記録!$B$6:$B$3005,$A214,請求記録!$X$6:$X$3005,V$5))))</f>
        <v/>
      </c>
      <c r="W214" s="19">
        <f>IF($A214="","",IF(COUNTIFS(請求記録!$B$6:$B$3005,$A214,請求記録!$X$6:$X$3005,W$5,請求記録!$AD$6:$AD$3005,"保留中")&gt;0,"保留",IF(COUNTIFS(請求記録!$B$6:$B$3005,$A214,請求記録!$X$6:$X$3005,W$5)=0,"",SUMIFS(請求記録!$AC$6:$AC$3005,請求記録!$B$6:$B$3005,$A214,請求記録!$X$6:$X$3005,W$5))))</f>
        <v/>
      </c>
      <c r="X214" s="19">
        <f>IF($A214="","",IF(COUNTIFS(請求記録!$B$6:$B$3005,$A214,請求記録!$X$6:$X$3005,X$5,請求記録!$AD$6:$AD$3005,"保留中")&gt;0,"保留",IF(COUNTIFS(請求記録!$B$6:$B$3005,$A214,請求記録!$X$6:$X$3005,X$5)=0,"",SUMIFS(請求記録!$AC$6:$AC$3005,請求記録!$B$6:$B$3005,$A214,請求記録!$X$6:$X$3005,X$5))))</f>
        <v/>
      </c>
      <c r="Y214" s="19">
        <f>IF($A214="","",IF(COUNTIFS(請求記録!$B$6:$B$3005,$A214,請求記録!$X$6:$X$3005,Y$5,請求記録!$AD$6:$AD$3005,"保留中")&gt;0,"保留",IF(COUNTIFS(請求記録!$B$6:$B$3005,$A214,請求記録!$X$6:$X$3005,Y$5)=0,"",SUMIFS(請求記録!$AC$6:$AC$3005,請求記録!$B$6:$B$3005,$A214,請求記録!$X$6:$X$3005,Y$5))))</f>
        <v/>
      </c>
      <c r="Z214" s="19">
        <f>IF($A214="","",IF(COUNTIFS(請求記録!$B$6:$B$3005,$A214,請求記録!$X$6:$X$3005,Z$5,請求記録!$AD$6:$AD$3005,"保留中")&gt;0,"保留",IF(COUNTIFS(請求記録!$B$6:$B$3005,$A214,請求記録!$X$6:$X$3005,Z$5)=0,"",SUMIFS(請求記録!$AC$6:$AC$3005,請求記録!$B$6:$B$3005,$A214,請求記録!$X$6:$X$3005,Z$5))))</f>
        <v/>
      </c>
      <c r="AA214" s="19">
        <f>IF($A214="","",IF(COUNTIFS(請求記録!$B$6:$B$3005,$A214,請求記録!$X$6:$X$3005,AA$5,請求記録!$AD$6:$AD$3005,"保留中")&gt;0,"保留",IF(COUNTIFS(請求記録!$B$6:$B$3005,$A214,請求記録!$X$6:$X$3005,AA$5)=0,"",SUMIFS(請求記録!$AC$6:$AC$3005,請求記録!$B$6:$B$3005,$A214,請求記録!$X$6:$X$3005,AA$5))))</f>
        <v/>
      </c>
      <c r="AB214">
        <f>IF(職員マスタ!P214="保留中",職員マスタ!M214,"")</f>
        <v/>
      </c>
    </row>
    <row r="215">
      <c r="A215">
        <f>IF(職員マスタ!A215="","",職員マスタ!A215)</f>
        <v/>
      </c>
      <c r="B215">
        <f>IF($A215="","",職員マスタ!B215)</f>
        <v/>
      </c>
      <c r="C215">
        <f>IF($A215="","",職員マスタ!C215)</f>
        <v/>
      </c>
      <c r="D215" s="19">
        <f>IF($A215="","",IF(COUNTIFS(請求記録!$B$6:$B$3005,$A215,請求記録!$X$6:$X$3005,D$5,請求記録!$AD$6:$AD$3005,"保留中")&gt;0,"保留",IF(COUNTIFS(請求記録!$B$6:$B$3005,$A215,請求記録!$X$6:$X$3005,D$5)=0,"",SUMIFS(請求記録!$AC$6:$AC$3005,請求記録!$B$6:$B$3005,$A215,請求記録!$X$6:$X$3005,D$5))))</f>
        <v/>
      </c>
      <c r="E215" s="19">
        <f>IF($A215="","",IF(COUNTIFS(請求記録!$B$6:$B$3005,$A215,請求記録!$X$6:$X$3005,E$5,請求記録!$AD$6:$AD$3005,"保留中")&gt;0,"保留",IF(COUNTIFS(請求記録!$B$6:$B$3005,$A215,請求記録!$X$6:$X$3005,E$5)=0,"",SUMIFS(請求記録!$AC$6:$AC$3005,請求記録!$B$6:$B$3005,$A215,請求記録!$X$6:$X$3005,E$5))))</f>
        <v/>
      </c>
      <c r="F215" s="19">
        <f>IF($A215="","",IF(COUNTIFS(請求記録!$B$6:$B$3005,$A215,請求記録!$X$6:$X$3005,F$5,請求記録!$AD$6:$AD$3005,"保留中")&gt;0,"保留",IF(COUNTIFS(請求記録!$B$6:$B$3005,$A215,請求記録!$X$6:$X$3005,F$5)=0,"",SUMIFS(請求記録!$AC$6:$AC$3005,請求記録!$B$6:$B$3005,$A215,請求記録!$X$6:$X$3005,F$5))))</f>
        <v/>
      </c>
      <c r="G215" s="19">
        <f>IF($A215="","",IF(COUNTIFS(請求記録!$B$6:$B$3005,$A215,請求記録!$X$6:$X$3005,G$5,請求記録!$AD$6:$AD$3005,"保留中")&gt;0,"保留",IF(COUNTIFS(請求記録!$B$6:$B$3005,$A215,請求記録!$X$6:$X$3005,G$5)=0,"",SUMIFS(請求記録!$AC$6:$AC$3005,請求記録!$B$6:$B$3005,$A215,請求記録!$X$6:$X$3005,G$5))))</f>
        <v/>
      </c>
      <c r="H215" s="19">
        <f>IF($A215="","",IF(COUNTIFS(請求記録!$B$6:$B$3005,$A215,請求記録!$X$6:$X$3005,H$5,請求記録!$AD$6:$AD$3005,"保留中")&gt;0,"保留",IF(COUNTIFS(請求記録!$B$6:$B$3005,$A215,請求記録!$X$6:$X$3005,H$5)=0,"",SUMIFS(請求記録!$AC$6:$AC$3005,請求記録!$B$6:$B$3005,$A215,請求記録!$X$6:$X$3005,H$5))))</f>
        <v/>
      </c>
      <c r="I215" s="19">
        <f>IF($A215="","",IF(COUNTIFS(請求記録!$B$6:$B$3005,$A215,請求記録!$X$6:$X$3005,I$5,請求記録!$AD$6:$AD$3005,"保留中")&gt;0,"保留",IF(COUNTIFS(請求記録!$B$6:$B$3005,$A215,請求記録!$X$6:$X$3005,I$5)=0,"",SUMIFS(請求記録!$AC$6:$AC$3005,請求記録!$B$6:$B$3005,$A215,請求記録!$X$6:$X$3005,I$5))))</f>
        <v/>
      </c>
      <c r="J215" s="19">
        <f>IF($A215="","",IF(COUNTIFS(請求記録!$B$6:$B$3005,$A215,請求記録!$X$6:$X$3005,J$5,請求記録!$AD$6:$AD$3005,"保留中")&gt;0,"保留",IF(COUNTIFS(請求記録!$B$6:$B$3005,$A215,請求記録!$X$6:$X$3005,J$5)=0,"",SUMIFS(請求記録!$AC$6:$AC$3005,請求記録!$B$6:$B$3005,$A215,請求記録!$X$6:$X$3005,J$5))))</f>
        <v/>
      </c>
      <c r="K215" s="19">
        <f>IF($A215="","",IF(COUNTIFS(請求記録!$B$6:$B$3005,$A215,請求記録!$X$6:$X$3005,K$5,請求記録!$AD$6:$AD$3005,"保留中")&gt;0,"保留",IF(COUNTIFS(請求記録!$B$6:$B$3005,$A215,請求記録!$X$6:$X$3005,K$5)=0,"",SUMIFS(請求記録!$AC$6:$AC$3005,請求記録!$B$6:$B$3005,$A215,請求記録!$X$6:$X$3005,K$5))))</f>
        <v/>
      </c>
      <c r="L215" s="19">
        <f>IF($A215="","",IF(COUNTIFS(請求記録!$B$6:$B$3005,$A215,請求記録!$X$6:$X$3005,L$5,請求記録!$AD$6:$AD$3005,"保留中")&gt;0,"保留",IF(COUNTIFS(請求記録!$B$6:$B$3005,$A215,請求記録!$X$6:$X$3005,L$5)=0,"",SUMIFS(請求記録!$AC$6:$AC$3005,請求記録!$B$6:$B$3005,$A215,請求記録!$X$6:$X$3005,L$5))))</f>
        <v/>
      </c>
      <c r="M215" s="19">
        <f>IF($A215="","",IF(COUNTIFS(請求記録!$B$6:$B$3005,$A215,請求記録!$X$6:$X$3005,M$5,請求記録!$AD$6:$AD$3005,"保留中")&gt;0,"保留",IF(COUNTIFS(請求記録!$B$6:$B$3005,$A215,請求記録!$X$6:$X$3005,M$5)=0,"",SUMIFS(請求記録!$AC$6:$AC$3005,請求記録!$B$6:$B$3005,$A215,請求記録!$X$6:$X$3005,M$5))))</f>
        <v/>
      </c>
      <c r="N215" s="19">
        <f>IF($A215="","",IF(COUNTIFS(請求記録!$B$6:$B$3005,$A215,請求記録!$X$6:$X$3005,N$5,請求記録!$AD$6:$AD$3005,"保留中")&gt;0,"保留",IF(COUNTIFS(請求記録!$B$6:$B$3005,$A215,請求記録!$X$6:$X$3005,N$5)=0,"",SUMIFS(請求記録!$AC$6:$AC$3005,請求記録!$B$6:$B$3005,$A215,請求記録!$X$6:$X$3005,N$5))))</f>
        <v/>
      </c>
      <c r="O215" s="19">
        <f>IF($A215="","",IF(COUNTIFS(請求記録!$B$6:$B$3005,$A215,請求記録!$X$6:$X$3005,O$5,請求記録!$AD$6:$AD$3005,"保留中")&gt;0,"保留",IF(COUNTIFS(請求記録!$B$6:$B$3005,$A215,請求記録!$X$6:$X$3005,O$5)=0,"",SUMIFS(請求記録!$AC$6:$AC$3005,請求記録!$B$6:$B$3005,$A215,請求記録!$X$6:$X$3005,O$5))))</f>
        <v/>
      </c>
      <c r="P215" s="19">
        <f>IF($A215="","",IF(COUNTIFS(請求記録!$B$6:$B$3005,$A215,請求記録!$X$6:$X$3005,P$5,請求記録!$AD$6:$AD$3005,"保留中")&gt;0,"保留",IF(COUNTIFS(請求記録!$B$6:$B$3005,$A215,請求記録!$X$6:$X$3005,P$5)=0,"",SUMIFS(請求記録!$AC$6:$AC$3005,請求記録!$B$6:$B$3005,$A215,請求記録!$X$6:$X$3005,P$5))))</f>
        <v/>
      </c>
      <c r="Q215" s="19">
        <f>IF($A215="","",IF(COUNTIFS(請求記録!$B$6:$B$3005,$A215,請求記録!$X$6:$X$3005,Q$5,請求記録!$AD$6:$AD$3005,"保留中")&gt;0,"保留",IF(COUNTIFS(請求記録!$B$6:$B$3005,$A215,請求記録!$X$6:$X$3005,Q$5)=0,"",SUMIFS(請求記録!$AC$6:$AC$3005,請求記録!$B$6:$B$3005,$A215,請求記録!$X$6:$X$3005,Q$5))))</f>
        <v/>
      </c>
      <c r="R215" s="19">
        <f>IF($A215="","",IF(COUNTIFS(請求記録!$B$6:$B$3005,$A215,請求記録!$X$6:$X$3005,R$5,請求記録!$AD$6:$AD$3005,"保留中")&gt;0,"保留",IF(COUNTIFS(請求記録!$B$6:$B$3005,$A215,請求記録!$X$6:$X$3005,R$5)=0,"",SUMIFS(請求記録!$AC$6:$AC$3005,請求記録!$B$6:$B$3005,$A215,請求記録!$X$6:$X$3005,R$5))))</f>
        <v/>
      </c>
      <c r="S215" s="19">
        <f>IF($A215="","",IF(COUNTIFS(請求記録!$B$6:$B$3005,$A215,請求記録!$X$6:$X$3005,S$5,請求記録!$AD$6:$AD$3005,"保留中")&gt;0,"保留",IF(COUNTIFS(請求記録!$B$6:$B$3005,$A215,請求記録!$X$6:$X$3005,S$5)=0,"",SUMIFS(請求記録!$AC$6:$AC$3005,請求記録!$B$6:$B$3005,$A215,請求記録!$X$6:$X$3005,S$5))))</f>
        <v/>
      </c>
      <c r="T215" s="19">
        <f>IF($A215="","",IF(COUNTIFS(請求記録!$B$6:$B$3005,$A215,請求記録!$X$6:$X$3005,T$5,請求記録!$AD$6:$AD$3005,"保留中")&gt;0,"保留",IF(COUNTIFS(請求記録!$B$6:$B$3005,$A215,請求記録!$X$6:$X$3005,T$5)=0,"",SUMIFS(請求記録!$AC$6:$AC$3005,請求記録!$B$6:$B$3005,$A215,請求記録!$X$6:$X$3005,T$5))))</f>
        <v/>
      </c>
      <c r="U215" s="19">
        <f>IF($A215="","",IF(COUNTIFS(請求記録!$B$6:$B$3005,$A215,請求記録!$X$6:$X$3005,U$5,請求記録!$AD$6:$AD$3005,"保留中")&gt;0,"保留",IF(COUNTIFS(請求記録!$B$6:$B$3005,$A215,請求記録!$X$6:$X$3005,U$5)=0,"",SUMIFS(請求記録!$AC$6:$AC$3005,請求記録!$B$6:$B$3005,$A215,請求記録!$X$6:$X$3005,U$5))))</f>
        <v/>
      </c>
      <c r="V215" s="19">
        <f>IF($A215="","",IF(COUNTIFS(請求記録!$B$6:$B$3005,$A215,請求記録!$X$6:$X$3005,V$5,請求記録!$AD$6:$AD$3005,"保留中")&gt;0,"保留",IF(COUNTIFS(請求記録!$B$6:$B$3005,$A215,請求記録!$X$6:$X$3005,V$5)=0,"",SUMIFS(請求記録!$AC$6:$AC$3005,請求記録!$B$6:$B$3005,$A215,請求記録!$X$6:$X$3005,V$5))))</f>
        <v/>
      </c>
      <c r="W215" s="19">
        <f>IF($A215="","",IF(COUNTIFS(請求記録!$B$6:$B$3005,$A215,請求記録!$X$6:$X$3005,W$5,請求記録!$AD$6:$AD$3005,"保留中")&gt;0,"保留",IF(COUNTIFS(請求記録!$B$6:$B$3005,$A215,請求記録!$X$6:$X$3005,W$5)=0,"",SUMIFS(請求記録!$AC$6:$AC$3005,請求記録!$B$6:$B$3005,$A215,請求記録!$X$6:$X$3005,W$5))))</f>
        <v/>
      </c>
      <c r="X215" s="19">
        <f>IF($A215="","",IF(COUNTIFS(請求記録!$B$6:$B$3005,$A215,請求記録!$X$6:$X$3005,X$5,請求記録!$AD$6:$AD$3005,"保留中")&gt;0,"保留",IF(COUNTIFS(請求記録!$B$6:$B$3005,$A215,請求記録!$X$6:$X$3005,X$5)=0,"",SUMIFS(請求記録!$AC$6:$AC$3005,請求記録!$B$6:$B$3005,$A215,請求記録!$X$6:$X$3005,X$5))))</f>
        <v/>
      </c>
      <c r="Y215" s="19">
        <f>IF($A215="","",IF(COUNTIFS(請求記録!$B$6:$B$3005,$A215,請求記録!$X$6:$X$3005,Y$5,請求記録!$AD$6:$AD$3005,"保留中")&gt;0,"保留",IF(COUNTIFS(請求記録!$B$6:$B$3005,$A215,請求記録!$X$6:$X$3005,Y$5)=0,"",SUMIFS(請求記録!$AC$6:$AC$3005,請求記録!$B$6:$B$3005,$A215,請求記録!$X$6:$X$3005,Y$5))))</f>
        <v/>
      </c>
      <c r="Z215" s="19">
        <f>IF($A215="","",IF(COUNTIFS(請求記録!$B$6:$B$3005,$A215,請求記録!$X$6:$X$3005,Z$5,請求記録!$AD$6:$AD$3005,"保留中")&gt;0,"保留",IF(COUNTIFS(請求記録!$B$6:$B$3005,$A215,請求記録!$X$6:$X$3005,Z$5)=0,"",SUMIFS(請求記録!$AC$6:$AC$3005,請求記録!$B$6:$B$3005,$A215,請求記録!$X$6:$X$3005,Z$5))))</f>
        <v/>
      </c>
      <c r="AA215" s="19">
        <f>IF($A215="","",IF(COUNTIFS(請求記録!$B$6:$B$3005,$A215,請求記録!$X$6:$X$3005,AA$5,請求記録!$AD$6:$AD$3005,"保留中")&gt;0,"保留",IF(COUNTIFS(請求記録!$B$6:$B$3005,$A215,請求記録!$X$6:$X$3005,AA$5)=0,"",SUMIFS(請求記録!$AC$6:$AC$3005,請求記録!$B$6:$B$3005,$A215,請求記録!$X$6:$X$3005,AA$5))))</f>
        <v/>
      </c>
      <c r="AB215">
        <f>IF(職員マスタ!P215="保留中",職員マスタ!M215,"")</f>
        <v/>
      </c>
    </row>
    <row r="216">
      <c r="A216">
        <f>IF(職員マスタ!A216="","",職員マスタ!A216)</f>
        <v/>
      </c>
      <c r="B216">
        <f>IF($A216="","",職員マスタ!B216)</f>
        <v/>
      </c>
      <c r="C216">
        <f>IF($A216="","",職員マスタ!C216)</f>
        <v/>
      </c>
      <c r="D216" s="19">
        <f>IF($A216="","",IF(COUNTIFS(請求記録!$B$6:$B$3005,$A216,請求記録!$X$6:$X$3005,D$5,請求記録!$AD$6:$AD$3005,"保留中")&gt;0,"保留",IF(COUNTIFS(請求記録!$B$6:$B$3005,$A216,請求記録!$X$6:$X$3005,D$5)=0,"",SUMIFS(請求記録!$AC$6:$AC$3005,請求記録!$B$6:$B$3005,$A216,請求記録!$X$6:$X$3005,D$5))))</f>
        <v/>
      </c>
      <c r="E216" s="19">
        <f>IF($A216="","",IF(COUNTIFS(請求記録!$B$6:$B$3005,$A216,請求記録!$X$6:$X$3005,E$5,請求記録!$AD$6:$AD$3005,"保留中")&gt;0,"保留",IF(COUNTIFS(請求記録!$B$6:$B$3005,$A216,請求記録!$X$6:$X$3005,E$5)=0,"",SUMIFS(請求記録!$AC$6:$AC$3005,請求記録!$B$6:$B$3005,$A216,請求記録!$X$6:$X$3005,E$5))))</f>
        <v/>
      </c>
      <c r="F216" s="19">
        <f>IF($A216="","",IF(COUNTIFS(請求記録!$B$6:$B$3005,$A216,請求記録!$X$6:$X$3005,F$5,請求記録!$AD$6:$AD$3005,"保留中")&gt;0,"保留",IF(COUNTIFS(請求記録!$B$6:$B$3005,$A216,請求記録!$X$6:$X$3005,F$5)=0,"",SUMIFS(請求記録!$AC$6:$AC$3005,請求記録!$B$6:$B$3005,$A216,請求記録!$X$6:$X$3005,F$5))))</f>
        <v/>
      </c>
      <c r="G216" s="19">
        <f>IF($A216="","",IF(COUNTIFS(請求記録!$B$6:$B$3005,$A216,請求記録!$X$6:$X$3005,G$5,請求記録!$AD$6:$AD$3005,"保留中")&gt;0,"保留",IF(COUNTIFS(請求記録!$B$6:$B$3005,$A216,請求記録!$X$6:$X$3005,G$5)=0,"",SUMIFS(請求記録!$AC$6:$AC$3005,請求記録!$B$6:$B$3005,$A216,請求記録!$X$6:$X$3005,G$5))))</f>
        <v/>
      </c>
      <c r="H216" s="19">
        <f>IF($A216="","",IF(COUNTIFS(請求記録!$B$6:$B$3005,$A216,請求記録!$X$6:$X$3005,H$5,請求記録!$AD$6:$AD$3005,"保留中")&gt;0,"保留",IF(COUNTIFS(請求記録!$B$6:$B$3005,$A216,請求記録!$X$6:$X$3005,H$5)=0,"",SUMIFS(請求記録!$AC$6:$AC$3005,請求記録!$B$6:$B$3005,$A216,請求記録!$X$6:$X$3005,H$5))))</f>
        <v/>
      </c>
      <c r="I216" s="19">
        <f>IF($A216="","",IF(COUNTIFS(請求記録!$B$6:$B$3005,$A216,請求記録!$X$6:$X$3005,I$5,請求記録!$AD$6:$AD$3005,"保留中")&gt;0,"保留",IF(COUNTIFS(請求記録!$B$6:$B$3005,$A216,請求記録!$X$6:$X$3005,I$5)=0,"",SUMIFS(請求記録!$AC$6:$AC$3005,請求記録!$B$6:$B$3005,$A216,請求記録!$X$6:$X$3005,I$5))))</f>
        <v/>
      </c>
      <c r="J216" s="19">
        <f>IF($A216="","",IF(COUNTIFS(請求記録!$B$6:$B$3005,$A216,請求記録!$X$6:$X$3005,J$5,請求記録!$AD$6:$AD$3005,"保留中")&gt;0,"保留",IF(COUNTIFS(請求記録!$B$6:$B$3005,$A216,請求記録!$X$6:$X$3005,J$5)=0,"",SUMIFS(請求記録!$AC$6:$AC$3005,請求記録!$B$6:$B$3005,$A216,請求記録!$X$6:$X$3005,J$5))))</f>
        <v/>
      </c>
      <c r="K216" s="19">
        <f>IF($A216="","",IF(COUNTIFS(請求記録!$B$6:$B$3005,$A216,請求記録!$X$6:$X$3005,K$5,請求記録!$AD$6:$AD$3005,"保留中")&gt;0,"保留",IF(COUNTIFS(請求記録!$B$6:$B$3005,$A216,請求記録!$X$6:$X$3005,K$5)=0,"",SUMIFS(請求記録!$AC$6:$AC$3005,請求記録!$B$6:$B$3005,$A216,請求記録!$X$6:$X$3005,K$5))))</f>
        <v/>
      </c>
      <c r="L216" s="19">
        <f>IF($A216="","",IF(COUNTIFS(請求記録!$B$6:$B$3005,$A216,請求記録!$X$6:$X$3005,L$5,請求記録!$AD$6:$AD$3005,"保留中")&gt;0,"保留",IF(COUNTIFS(請求記録!$B$6:$B$3005,$A216,請求記録!$X$6:$X$3005,L$5)=0,"",SUMIFS(請求記録!$AC$6:$AC$3005,請求記録!$B$6:$B$3005,$A216,請求記録!$X$6:$X$3005,L$5))))</f>
        <v/>
      </c>
      <c r="M216" s="19">
        <f>IF($A216="","",IF(COUNTIFS(請求記録!$B$6:$B$3005,$A216,請求記録!$X$6:$X$3005,M$5,請求記録!$AD$6:$AD$3005,"保留中")&gt;0,"保留",IF(COUNTIFS(請求記録!$B$6:$B$3005,$A216,請求記録!$X$6:$X$3005,M$5)=0,"",SUMIFS(請求記録!$AC$6:$AC$3005,請求記録!$B$6:$B$3005,$A216,請求記録!$X$6:$X$3005,M$5))))</f>
        <v/>
      </c>
      <c r="N216" s="19">
        <f>IF($A216="","",IF(COUNTIFS(請求記録!$B$6:$B$3005,$A216,請求記録!$X$6:$X$3005,N$5,請求記録!$AD$6:$AD$3005,"保留中")&gt;0,"保留",IF(COUNTIFS(請求記録!$B$6:$B$3005,$A216,請求記録!$X$6:$X$3005,N$5)=0,"",SUMIFS(請求記録!$AC$6:$AC$3005,請求記録!$B$6:$B$3005,$A216,請求記録!$X$6:$X$3005,N$5))))</f>
        <v/>
      </c>
      <c r="O216" s="19">
        <f>IF($A216="","",IF(COUNTIFS(請求記録!$B$6:$B$3005,$A216,請求記録!$X$6:$X$3005,O$5,請求記録!$AD$6:$AD$3005,"保留中")&gt;0,"保留",IF(COUNTIFS(請求記録!$B$6:$B$3005,$A216,請求記録!$X$6:$X$3005,O$5)=0,"",SUMIFS(請求記録!$AC$6:$AC$3005,請求記録!$B$6:$B$3005,$A216,請求記録!$X$6:$X$3005,O$5))))</f>
        <v/>
      </c>
      <c r="P216" s="19">
        <f>IF($A216="","",IF(COUNTIFS(請求記録!$B$6:$B$3005,$A216,請求記録!$X$6:$X$3005,P$5,請求記録!$AD$6:$AD$3005,"保留中")&gt;0,"保留",IF(COUNTIFS(請求記録!$B$6:$B$3005,$A216,請求記録!$X$6:$X$3005,P$5)=0,"",SUMIFS(請求記録!$AC$6:$AC$3005,請求記録!$B$6:$B$3005,$A216,請求記録!$X$6:$X$3005,P$5))))</f>
        <v/>
      </c>
      <c r="Q216" s="19">
        <f>IF($A216="","",IF(COUNTIFS(請求記録!$B$6:$B$3005,$A216,請求記録!$X$6:$X$3005,Q$5,請求記録!$AD$6:$AD$3005,"保留中")&gt;0,"保留",IF(COUNTIFS(請求記録!$B$6:$B$3005,$A216,請求記録!$X$6:$X$3005,Q$5)=0,"",SUMIFS(請求記録!$AC$6:$AC$3005,請求記録!$B$6:$B$3005,$A216,請求記録!$X$6:$X$3005,Q$5))))</f>
        <v/>
      </c>
      <c r="R216" s="19">
        <f>IF($A216="","",IF(COUNTIFS(請求記録!$B$6:$B$3005,$A216,請求記録!$X$6:$X$3005,R$5,請求記録!$AD$6:$AD$3005,"保留中")&gt;0,"保留",IF(COUNTIFS(請求記録!$B$6:$B$3005,$A216,請求記録!$X$6:$X$3005,R$5)=0,"",SUMIFS(請求記録!$AC$6:$AC$3005,請求記録!$B$6:$B$3005,$A216,請求記録!$X$6:$X$3005,R$5))))</f>
        <v/>
      </c>
      <c r="S216" s="19">
        <f>IF($A216="","",IF(COUNTIFS(請求記録!$B$6:$B$3005,$A216,請求記録!$X$6:$X$3005,S$5,請求記録!$AD$6:$AD$3005,"保留中")&gt;0,"保留",IF(COUNTIFS(請求記録!$B$6:$B$3005,$A216,請求記録!$X$6:$X$3005,S$5)=0,"",SUMIFS(請求記録!$AC$6:$AC$3005,請求記録!$B$6:$B$3005,$A216,請求記録!$X$6:$X$3005,S$5))))</f>
        <v/>
      </c>
      <c r="T216" s="19">
        <f>IF($A216="","",IF(COUNTIFS(請求記録!$B$6:$B$3005,$A216,請求記録!$X$6:$X$3005,T$5,請求記録!$AD$6:$AD$3005,"保留中")&gt;0,"保留",IF(COUNTIFS(請求記録!$B$6:$B$3005,$A216,請求記録!$X$6:$X$3005,T$5)=0,"",SUMIFS(請求記録!$AC$6:$AC$3005,請求記録!$B$6:$B$3005,$A216,請求記録!$X$6:$X$3005,T$5))))</f>
        <v/>
      </c>
      <c r="U216" s="19">
        <f>IF($A216="","",IF(COUNTIFS(請求記録!$B$6:$B$3005,$A216,請求記録!$X$6:$X$3005,U$5,請求記録!$AD$6:$AD$3005,"保留中")&gt;0,"保留",IF(COUNTIFS(請求記録!$B$6:$B$3005,$A216,請求記録!$X$6:$X$3005,U$5)=0,"",SUMIFS(請求記録!$AC$6:$AC$3005,請求記録!$B$6:$B$3005,$A216,請求記録!$X$6:$X$3005,U$5))))</f>
        <v/>
      </c>
      <c r="V216" s="19">
        <f>IF($A216="","",IF(COUNTIFS(請求記録!$B$6:$B$3005,$A216,請求記録!$X$6:$X$3005,V$5,請求記録!$AD$6:$AD$3005,"保留中")&gt;0,"保留",IF(COUNTIFS(請求記録!$B$6:$B$3005,$A216,請求記録!$X$6:$X$3005,V$5)=0,"",SUMIFS(請求記録!$AC$6:$AC$3005,請求記録!$B$6:$B$3005,$A216,請求記録!$X$6:$X$3005,V$5))))</f>
        <v/>
      </c>
      <c r="W216" s="19">
        <f>IF($A216="","",IF(COUNTIFS(請求記録!$B$6:$B$3005,$A216,請求記録!$X$6:$X$3005,W$5,請求記録!$AD$6:$AD$3005,"保留中")&gt;0,"保留",IF(COUNTIFS(請求記録!$B$6:$B$3005,$A216,請求記録!$X$6:$X$3005,W$5)=0,"",SUMIFS(請求記録!$AC$6:$AC$3005,請求記録!$B$6:$B$3005,$A216,請求記録!$X$6:$X$3005,W$5))))</f>
        <v/>
      </c>
      <c r="X216" s="19">
        <f>IF($A216="","",IF(COUNTIFS(請求記録!$B$6:$B$3005,$A216,請求記録!$X$6:$X$3005,X$5,請求記録!$AD$6:$AD$3005,"保留中")&gt;0,"保留",IF(COUNTIFS(請求記録!$B$6:$B$3005,$A216,請求記録!$X$6:$X$3005,X$5)=0,"",SUMIFS(請求記録!$AC$6:$AC$3005,請求記録!$B$6:$B$3005,$A216,請求記録!$X$6:$X$3005,X$5))))</f>
        <v/>
      </c>
      <c r="Y216" s="19">
        <f>IF($A216="","",IF(COUNTIFS(請求記録!$B$6:$B$3005,$A216,請求記録!$X$6:$X$3005,Y$5,請求記録!$AD$6:$AD$3005,"保留中")&gt;0,"保留",IF(COUNTIFS(請求記録!$B$6:$B$3005,$A216,請求記録!$X$6:$X$3005,Y$5)=0,"",SUMIFS(請求記録!$AC$6:$AC$3005,請求記録!$B$6:$B$3005,$A216,請求記録!$X$6:$X$3005,Y$5))))</f>
        <v/>
      </c>
      <c r="Z216" s="19">
        <f>IF($A216="","",IF(COUNTIFS(請求記録!$B$6:$B$3005,$A216,請求記録!$X$6:$X$3005,Z$5,請求記録!$AD$6:$AD$3005,"保留中")&gt;0,"保留",IF(COUNTIFS(請求記録!$B$6:$B$3005,$A216,請求記録!$X$6:$X$3005,Z$5)=0,"",SUMIFS(請求記録!$AC$6:$AC$3005,請求記録!$B$6:$B$3005,$A216,請求記録!$X$6:$X$3005,Z$5))))</f>
        <v/>
      </c>
      <c r="AA216" s="19">
        <f>IF($A216="","",IF(COUNTIFS(請求記録!$B$6:$B$3005,$A216,請求記録!$X$6:$X$3005,AA$5,請求記録!$AD$6:$AD$3005,"保留中")&gt;0,"保留",IF(COUNTIFS(請求記録!$B$6:$B$3005,$A216,請求記録!$X$6:$X$3005,AA$5)=0,"",SUMIFS(請求記録!$AC$6:$AC$3005,請求記録!$B$6:$B$3005,$A216,請求記録!$X$6:$X$3005,AA$5))))</f>
        <v/>
      </c>
      <c r="AB216">
        <f>IF(職員マスタ!P216="保留中",職員マスタ!M216,"")</f>
        <v/>
      </c>
    </row>
    <row r="217">
      <c r="A217">
        <f>IF(職員マスタ!A217="","",職員マスタ!A217)</f>
        <v/>
      </c>
      <c r="B217">
        <f>IF($A217="","",職員マスタ!B217)</f>
        <v/>
      </c>
      <c r="C217">
        <f>IF($A217="","",職員マスタ!C217)</f>
        <v/>
      </c>
      <c r="D217" s="19">
        <f>IF($A217="","",IF(COUNTIFS(請求記録!$B$6:$B$3005,$A217,請求記録!$X$6:$X$3005,D$5,請求記録!$AD$6:$AD$3005,"保留中")&gt;0,"保留",IF(COUNTIFS(請求記録!$B$6:$B$3005,$A217,請求記録!$X$6:$X$3005,D$5)=0,"",SUMIFS(請求記録!$AC$6:$AC$3005,請求記録!$B$6:$B$3005,$A217,請求記録!$X$6:$X$3005,D$5))))</f>
        <v/>
      </c>
      <c r="E217" s="19">
        <f>IF($A217="","",IF(COUNTIFS(請求記録!$B$6:$B$3005,$A217,請求記録!$X$6:$X$3005,E$5,請求記録!$AD$6:$AD$3005,"保留中")&gt;0,"保留",IF(COUNTIFS(請求記録!$B$6:$B$3005,$A217,請求記録!$X$6:$X$3005,E$5)=0,"",SUMIFS(請求記録!$AC$6:$AC$3005,請求記録!$B$6:$B$3005,$A217,請求記録!$X$6:$X$3005,E$5))))</f>
        <v/>
      </c>
      <c r="F217" s="19">
        <f>IF($A217="","",IF(COUNTIFS(請求記録!$B$6:$B$3005,$A217,請求記録!$X$6:$X$3005,F$5,請求記録!$AD$6:$AD$3005,"保留中")&gt;0,"保留",IF(COUNTIFS(請求記録!$B$6:$B$3005,$A217,請求記録!$X$6:$X$3005,F$5)=0,"",SUMIFS(請求記録!$AC$6:$AC$3005,請求記録!$B$6:$B$3005,$A217,請求記録!$X$6:$X$3005,F$5))))</f>
        <v/>
      </c>
      <c r="G217" s="19">
        <f>IF($A217="","",IF(COUNTIFS(請求記録!$B$6:$B$3005,$A217,請求記録!$X$6:$X$3005,G$5,請求記録!$AD$6:$AD$3005,"保留中")&gt;0,"保留",IF(COUNTIFS(請求記録!$B$6:$B$3005,$A217,請求記録!$X$6:$X$3005,G$5)=0,"",SUMIFS(請求記録!$AC$6:$AC$3005,請求記録!$B$6:$B$3005,$A217,請求記録!$X$6:$X$3005,G$5))))</f>
        <v/>
      </c>
      <c r="H217" s="19">
        <f>IF($A217="","",IF(COUNTIFS(請求記録!$B$6:$B$3005,$A217,請求記録!$X$6:$X$3005,H$5,請求記録!$AD$6:$AD$3005,"保留中")&gt;0,"保留",IF(COUNTIFS(請求記録!$B$6:$B$3005,$A217,請求記録!$X$6:$X$3005,H$5)=0,"",SUMIFS(請求記録!$AC$6:$AC$3005,請求記録!$B$6:$B$3005,$A217,請求記録!$X$6:$X$3005,H$5))))</f>
        <v/>
      </c>
      <c r="I217" s="19">
        <f>IF($A217="","",IF(COUNTIFS(請求記録!$B$6:$B$3005,$A217,請求記録!$X$6:$X$3005,I$5,請求記録!$AD$6:$AD$3005,"保留中")&gt;0,"保留",IF(COUNTIFS(請求記録!$B$6:$B$3005,$A217,請求記録!$X$6:$X$3005,I$5)=0,"",SUMIFS(請求記録!$AC$6:$AC$3005,請求記録!$B$6:$B$3005,$A217,請求記録!$X$6:$X$3005,I$5))))</f>
        <v/>
      </c>
      <c r="J217" s="19">
        <f>IF($A217="","",IF(COUNTIFS(請求記録!$B$6:$B$3005,$A217,請求記録!$X$6:$X$3005,J$5,請求記録!$AD$6:$AD$3005,"保留中")&gt;0,"保留",IF(COUNTIFS(請求記録!$B$6:$B$3005,$A217,請求記録!$X$6:$X$3005,J$5)=0,"",SUMIFS(請求記録!$AC$6:$AC$3005,請求記録!$B$6:$B$3005,$A217,請求記録!$X$6:$X$3005,J$5))))</f>
        <v/>
      </c>
      <c r="K217" s="19">
        <f>IF($A217="","",IF(COUNTIFS(請求記録!$B$6:$B$3005,$A217,請求記録!$X$6:$X$3005,K$5,請求記録!$AD$6:$AD$3005,"保留中")&gt;0,"保留",IF(COUNTIFS(請求記録!$B$6:$B$3005,$A217,請求記録!$X$6:$X$3005,K$5)=0,"",SUMIFS(請求記録!$AC$6:$AC$3005,請求記録!$B$6:$B$3005,$A217,請求記録!$X$6:$X$3005,K$5))))</f>
        <v/>
      </c>
      <c r="L217" s="19">
        <f>IF($A217="","",IF(COUNTIFS(請求記録!$B$6:$B$3005,$A217,請求記録!$X$6:$X$3005,L$5,請求記録!$AD$6:$AD$3005,"保留中")&gt;0,"保留",IF(COUNTIFS(請求記録!$B$6:$B$3005,$A217,請求記録!$X$6:$X$3005,L$5)=0,"",SUMIFS(請求記録!$AC$6:$AC$3005,請求記録!$B$6:$B$3005,$A217,請求記録!$X$6:$X$3005,L$5))))</f>
        <v/>
      </c>
      <c r="M217" s="19">
        <f>IF($A217="","",IF(COUNTIFS(請求記録!$B$6:$B$3005,$A217,請求記録!$X$6:$X$3005,M$5,請求記録!$AD$6:$AD$3005,"保留中")&gt;0,"保留",IF(COUNTIFS(請求記録!$B$6:$B$3005,$A217,請求記録!$X$6:$X$3005,M$5)=0,"",SUMIFS(請求記録!$AC$6:$AC$3005,請求記録!$B$6:$B$3005,$A217,請求記録!$X$6:$X$3005,M$5))))</f>
        <v/>
      </c>
      <c r="N217" s="19">
        <f>IF($A217="","",IF(COUNTIFS(請求記録!$B$6:$B$3005,$A217,請求記録!$X$6:$X$3005,N$5,請求記録!$AD$6:$AD$3005,"保留中")&gt;0,"保留",IF(COUNTIFS(請求記録!$B$6:$B$3005,$A217,請求記録!$X$6:$X$3005,N$5)=0,"",SUMIFS(請求記録!$AC$6:$AC$3005,請求記録!$B$6:$B$3005,$A217,請求記録!$X$6:$X$3005,N$5))))</f>
        <v/>
      </c>
      <c r="O217" s="19">
        <f>IF($A217="","",IF(COUNTIFS(請求記録!$B$6:$B$3005,$A217,請求記録!$X$6:$X$3005,O$5,請求記録!$AD$6:$AD$3005,"保留中")&gt;0,"保留",IF(COUNTIFS(請求記録!$B$6:$B$3005,$A217,請求記録!$X$6:$X$3005,O$5)=0,"",SUMIFS(請求記録!$AC$6:$AC$3005,請求記録!$B$6:$B$3005,$A217,請求記録!$X$6:$X$3005,O$5))))</f>
        <v/>
      </c>
      <c r="P217" s="19">
        <f>IF($A217="","",IF(COUNTIFS(請求記録!$B$6:$B$3005,$A217,請求記録!$X$6:$X$3005,P$5,請求記録!$AD$6:$AD$3005,"保留中")&gt;0,"保留",IF(COUNTIFS(請求記録!$B$6:$B$3005,$A217,請求記録!$X$6:$X$3005,P$5)=0,"",SUMIFS(請求記録!$AC$6:$AC$3005,請求記録!$B$6:$B$3005,$A217,請求記録!$X$6:$X$3005,P$5))))</f>
        <v/>
      </c>
      <c r="Q217" s="19">
        <f>IF($A217="","",IF(COUNTIFS(請求記録!$B$6:$B$3005,$A217,請求記録!$X$6:$X$3005,Q$5,請求記録!$AD$6:$AD$3005,"保留中")&gt;0,"保留",IF(COUNTIFS(請求記録!$B$6:$B$3005,$A217,請求記録!$X$6:$X$3005,Q$5)=0,"",SUMIFS(請求記録!$AC$6:$AC$3005,請求記録!$B$6:$B$3005,$A217,請求記録!$X$6:$X$3005,Q$5))))</f>
        <v/>
      </c>
      <c r="R217" s="19">
        <f>IF($A217="","",IF(COUNTIFS(請求記録!$B$6:$B$3005,$A217,請求記録!$X$6:$X$3005,R$5,請求記録!$AD$6:$AD$3005,"保留中")&gt;0,"保留",IF(COUNTIFS(請求記録!$B$6:$B$3005,$A217,請求記録!$X$6:$X$3005,R$5)=0,"",SUMIFS(請求記録!$AC$6:$AC$3005,請求記録!$B$6:$B$3005,$A217,請求記録!$X$6:$X$3005,R$5))))</f>
        <v/>
      </c>
      <c r="S217" s="19">
        <f>IF($A217="","",IF(COUNTIFS(請求記録!$B$6:$B$3005,$A217,請求記録!$X$6:$X$3005,S$5,請求記録!$AD$6:$AD$3005,"保留中")&gt;0,"保留",IF(COUNTIFS(請求記録!$B$6:$B$3005,$A217,請求記録!$X$6:$X$3005,S$5)=0,"",SUMIFS(請求記録!$AC$6:$AC$3005,請求記録!$B$6:$B$3005,$A217,請求記録!$X$6:$X$3005,S$5))))</f>
        <v/>
      </c>
      <c r="T217" s="19">
        <f>IF($A217="","",IF(COUNTIFS(請求記録!$B$6:$B$3005,$A217,請求記録!$X$6:$X$3005,T$5,請求記録!$AD$6:$AD$3005,"保留中")&gt;0,"保留",IF(COUNTIFS(請求記録!$B$6:$B$3005,$A217,請求記録!$X$6:$X$3005,T$5)=0,"",SUMIFS(請求記録!$AC$6:$AC$3005,請求記録!$B$6:$B$3005,$A217,請求記録!$X$6:$X$3005,T$5))))</f>
        <v/>
      </c>
      <c r="U217" s="19">
        <f>IF($A217="","",IF(COUNTIFS(請求記録!$B$6:$B$3005,$A217,請求記録!$X$6:$X$3005,U$5,請求記録!$AD$6:$AD$3005,"保留中")&gt;0,"保留",IF(COUNTIFS(請求記録!$B$6:$B$3005,$A217,請求記録!$X$6:$X$3005,U$5)=0,"",SUMIFS(請求記録!$AC$6:$AC$3005,請求記録!$B$6:$B$3005,$A217,請求記録!$X$6:$X$3005,U$5))))</f>
        <v/>
      </c>
      <c r="V217" s="19">
        <f>IF($A217="","",IF(COUNTIFS(請求記録!$B$6:$B$3005,$A217,請求記録!$X$6:$X$3005,V$5,請求記録!$AD$6:$AD$3005,"保留中")&gt;0,"保留",IF(COUNTIFS(請求記録!$B$6:$B$3005,$A217,請求記録!$X$6:$X$3005,V$5)=0,"",SUMIFS(請求記録!$AC$6:$AC$3005,請求記録!$B$6:$B$3005,$A217,請求記録!$X$6:$X$3005,V$5))))</f>
        <v/>
      </c>
      <c r="W217" s="19">
        <f>IF($A217="","",IF(COUNTIFS(請求記録!$B$6:$B$3005,$A217,請求記録!$X$6:$X$3005,W$5,請求記録!$AD$6:$AD$3005,"保留中")&gt;0,"保留",IF(COUNTIFS(請求記録!$B$6:$B$3005,$A217,請求記録!$X$6:$X$3005,W$5)=0,"",SUMIFS(請求記録!$AC$6:$AC$3005,請求記録!$B$6:$B$3005,$A217,請求記録!$X$6:$X$3005,W$5))))</f>
        <v/>
      </c>
      <c r="X217" s="19">
        <f>IF($A217="","",IF(COUNTIFS(請求記録!$B$6:$B$3005,$A217,請求記録!$X$6:$X$3005,X$5,請求記録!$AD$6:$AD$3005,"保留中")&gt;0,"保留",IF(COUNTIFS(請求記録!$B$6:$B$3005,$A217,請求記録!$X$6:$X$3005,X$5)=0,"",SUMIFS(請求記録!$AC$6:$AC$3005,請求記録!$B$6:$B$3005,$A217,請求記録!$X$6:$X$3005,X$5))))</f>
        <v/>
      </c>
      <c r="Y217" s="19">
        <f>IF($A217="","",IF(COUNTIFS(請求記録!$B$6:$B$3005,$A217,請求記録!$X$6:$X$3005,Y$5,請求記録!$AD$6:$AD$3005,"保留中")&gt;0,"保留",IF(COUNTIFS(請求記録!$B$6:$B$3005,$A217,請求記録!$X$6:$X$3005,Y$5)=0,"",SUMIFS(請求記録!$AC$6:$AC$3005,請求記録!$B$6:$B$3005,$A217,請求記録!$X$6:$X$3005,Y$5))))</f>
        <v/>
      </c>
      <c r="Z217" s="19">
        <f>IF($A217="","",IF(COUNTIFS(請求記録!$B$6:$B$3005,$A217,請求記録!$X$6:$X$3005,Z$5,請求記録!$AD$6:$AD$3005,"保留中")&gt;0,"保留",IF(COUNTIFS(請求記録!$B$6:$B$3005,$A217,請求記録!$X$6:$X$3005,Z$5)=0,"",SUMIFS(請求記録!$AC$6:$AC$3005,請求記録!$B$6:$B$3005,$A217,請求記録!$X$6:$X$3005,Z$5))))</f>
        <v/>
      </c>
      <c r="AA217" s="19">
        <f>IF($A217="","",IF(COUNTIFS(請求記録!$B$6:$B$3005,$A217,請求記録!$X$6:$X$3005,AA$5,請求記録!$AD$6:$AD$3005,"保留中")&gt;0,"保留",IF(COUNTIFS(請求記録!$B$6:$B$3005,$A217,請求記録!$X$6:$X$3005,AA$5)=0,"",SUMIFS(請求記録!$AC$6:$AC$3005,請求記録!$B$6:$B$3005,$A217,請求記録!$X$6:$X$3005,AA$5))))</f>
        <v/>
      </c>
      <c r="AB217">
        <f>IF(職員マスタ!P217="保留中",職員マスタ!M217,"")</f>
        <v/>
      </c>
    </row>
    <row r="218">
      <c r="A218">
        <f>IF(職員マスタ!A218="","",職員マスタ!A218)</f>
        <v/>
      </c>
      <c r="B218">
        <f>IF($A218="","",職員マスタ!B218)</f>
        <v/>
      </c>
      <c r="C218">
        <f>IF($A218="","",職員マスタ!C218)</f>
        <v/>
      </c>
      <c r="D218" s="19">
        <f>IF($A218="","",IF(COUNTIFS(請求記録!$B$6:$B$3005,$A218,請求記録!$X$6:$X$3005,D$5,請求記録!$AD$6:$AD$3005,"保留中")&gt;0,"保留",IF(COUNTIFS(請求記録!$B$6:$B$3005,$A218,請求記録!$X$6:$X$3005,D$5)=0,"",SUMIFS(請求記録!$AC$6:$AC$3005,請求記録!$B$6:$B$3005,$A218,請求記録!$X$6:$X$3005,D$5))))</f>
        <v/>
      </c>
      <c r="E218" s="19">
        <f>IF($A218="","",IF(COUNTIFS(請求記録!$B$6:$B$3005,$A218,請求記録!$X$6:$X$3005,E$5,請求記録!$AD$6:$AD$3005,"保留中")&gt;0,"保留",IF(COUNTIFS(請求記録!$B$6:$B$3005,$A218,請求記録!$X$6:$X$3005,E$5)=0,"",SUMIFS(請求記録!$AC$6:$AC$3005,請求記録!$B$6:$B$3005,$A218,請求記録!$X$6:$X$3005,E$5))))</f>
        <v/>
      </c>
      <c r="F218" s="19">
        <f>IF($A218="","",IF(COUNTIFS(請求記録!$B$6:$B$3005,$A218,請求記録!$X$6:$X$3005,F$5,請求記録!$AD$6:$AD$3005,"保留中")&gt;0,"保留",IF(COUNTIFS(請求記録!$B$6:$B$3005,$A218,請求記録!$X$6:$X$3005,F$5)=0,"",SUMIFS(請求記録!$AC$6:$AC$3005,請求記録!$B$6:$B$3005,$A218,請求記録!$X$6:$X$3005,F$5))))</f>
        <v/>
      </c>
      <c r="G218" s="19">
        <f>IF($A218="","",IF(COUNTIFS(請求記録!$B$6:$B$3005,$A218,請求記録!$X$6:$X$3005,G$5,請求記録!$AD$6:$AD$3005,"保留中")&gt;0,"保留",IF(COUNTIFS(請求記録!$B$6:$B$3005,$A218,請求記録!$X$6:$X$3005,G$5)=0,"",SUMIFS(請求記録!$AC$6:$AC$3005,請求記録!$B$6:$B$3005,$A218,請求記録!$X$6:$X$3005,G$5))))</f>
        <v/>
      </c>
      <c r="H218" s="19">
        <f>IF($A218="","",IF(COUNTIFS(請求記録!$B$6:$B$3005,$A218,請求記録!$X$6:$X$3005,H$5,請求記録!$AD$6:$AD$3005,"保留中")&gt;0,"保留",IF(COUNTIFS(請求記録!$B$6:$B$3005,$A218,請求記録!$X$6:$X$3005,H$5)=0,"",SUMIFS(請求記録!$AC$6:$AC$3005,請求記録!$B$6:$B$3005,$A218,請求記録!$X$6:$X$3005,H$5))))</f>
        <v/>
      </c>
      <c r="I218" s="19">
        <f>IF($A218="","",IF(COUNTIFS(請求記録!$B$6:$B$3005,$A218,請求記録!$X$6:$X$3005,I$5,請求記録!$AD$6:$AD$3005,"保留中")&gt;0,"保留",IF(COUNTIFS(請求記録!$B$6:$B$3005,$A218,請求記録!$X$6:$X$3005,I$5)=0,"",SUMIFS(請求記録!$AC$6:$AC$3005,請求記録!$B$6:$B$3005,$A218,請求記録!$X$6:$X$3005,I$5))))</f>
        <v/>
      </c>
      <c r="J218" s="19">
        <f>IF($A218="","",IF(COUNTIFS(請求記録!$B$6:$B$3005,$A218,請求記録!$X$6:$X$3005,J$5,請求記録!$AD$6:$AD$3005,"保留中")&gt;0,"保留",IF(COUNTIFS(請求記録!$B$6:$B$3005,$A218,請求記録!$X$6:$X$3005,J$5)=0,"",SUMIFS(請求記録!$AC$6:$AC$3005,請求記録!$B$6:$B$3005,$A218,請求記録!$X$6:$X$3005,J$5))))</f>
        <v/>
      </c>
      <c r="K218" s="19">
        <f>IF($A218="","",IF(COUNTIFS(請求記録!$B$6:$B$3005,$A218,請求記録!$X$6:$X$3005,K$5,請求記録!$AD$6:$AD$3005,"保留中")&gt;0,"保留",IF(COUNTIFS(請求記録!$B$6:$B$3005,$A218,請求記録!$X$6:$X$3005,K$5)=0,"",SUMIFS(請求記録!$AC$6:$AC$3005,請求記録!$B$6:$B$3005,$A218,請求記録!$X$6:$X$3005,K$5))))</f>
        <v/>
      </c>
      <c r="L218" s="19">
        <f>IF($A218="","",IF(COUNTIFS(請求記録!$B$6:$B$3005,$A218,請求記録!$X$6:$X$3005,L$5,請求記録!$AD$6:$AD$3005,"保留中")&gt;0,"保留",IF(COUNTIFS(請求記録!$B$6:$B$3005,$A218,請求記録!$X$6:$X$3005,L$5)=0,"",SUMIFS(請求記録!$AC$6:$AC$3005,請求記録!$B$6:$B$3005,$A218,請求記録!$X$6:$X$3005,L$5))))</f>
        <v/>
      </c>
      <c r="M218" s="19">
        <f>IF($A218="","",IF(COUNTIFS(請求記録!$B$6:$B$3005,$A218,請求記録!$X$6:$X$3005,M$5,請求記録!$AD$6:$AD$3005,"保留中")&gt;0,"保留",IF(COUNTIFS(請求記録!$B$6:$B$3005,$A218,請求記録!$X$6:$X$3005,M$5)=0,"",SUMIFS(請求記録!$AC$6:$AC$3005,請求記録!$B$6:$B$3005,$A218,請求記録!$X$6:$X$3005,M$5))))</f>
        <v/>
      </c>
      <c r="N218" s="19">
        <f>IF($A218="","",IF(COUNTIFS(請求記録!$B$6:$B$3005,$A218,請求記録!$X$6:$X$3005,N$5,請求記録!$AD$6:$AD$3005,"保留中")&gt;0,"保留",IF(COUNTIFS(請求記録!$B$6:$B$3005,$A218,請求記録!$X$6:$X$3005,N$5)=0,"",SUMIFS(請求記録!$AC$6:$AC$3005,請求記録!$B$6:$B$3005,$A218,請求記録!$X$6:$X$3005,N$5))))</f>
        <v/>
      </c>
      <c r="O218" s="19">
        <f>IF($A218="","",IF(COUNTIFS(請求記録!$B$6:$B$3005,$A218,請求記録!$X$6:$X$3005,O$5,請求記録!$AD$6:$AD$3005,"保留中")&gt;0,"保留",IF(COUNTIFS(請求記録!$B$6:$B$3005,$A218,請求記録!$X$6:$X$3005,O$5)=0,"",SUMIFS(請求記録!$AC$6:$AC$3005,請求記録!$B$6:$B$3005,$A218,請求記録!$X$6:$X$3005,O$5))))</f>
        <v/>
      </c>
      <c r="P218" s="19">
        <f>IF($A218="","",IF(COUNTIFS(請求記録!$B$6:$B$3005,$A218,請求記録!$X$6:$X$3005,P$5,請求記録!$AD$6:$AD$3005,"保留中")&gt;0,"保留",IF(COUNTIFS(請求記録!$B$6:$B$3005,$A218,請求記録!$X$6:$X$3005,P$5)=0,"",SUMIFS(請求記録!$AC$6:$AC$3005,請求記録!$B$6:$B$3005,$A218,請求記録!$X$6:$X$3005,P$5))))</f>
        <v/>
      </c>
      <c r="Q218" s="19">
        <f>IF($A218="","",IF(COUNTIFS(請求記録!$B$6:$B$3005,$A218,請求記録!$X$6:$X$3005,Q$5,請求記録!$AD$6:$AD$3005,"保留中")&gt;0,"保留",IF(COUNTIFS(請求記録!$B$6:$B$3005,$A218,請求記録!$X$6:$X$3005,Q$5)=0,"",SUMIFS(請求記録!$AC$6:$AC$3005,請求記録!$B$6:$B$3005,$A218,請求記録!$X$6:$X$3005,Q$5))))</f>
        <v/>
      </c>
      <c r="R218" s="19">
        <f>IF($A218="","",IF(COUNTIFS(請求記録!$B$6:$B$3005,$A218,請求記録!$X$6:$X$3005,R$5,請求記録!$AD$6:$AD$3005,"保留中")&gt;0,"保留",IF(COUNTIFS(請求記録!$B$6:$B$3005,$A218,請求記録!$X$6:$X$3005,R$5)=0,"",SUMIFS(請求記録!$AC$6:$AC$3005,請求記録!$B$6:$B$3005,$A218,請求記録!$X$6:$X$3005,R$5))))</f>
        <v/>
      </c>
      <c r="S218" s="19">
        <f>IF($A218="","",IF(COUNTIFS(請求記録!$B$6:$B$3005,$A218,請求記録!$X$6:$X$3005,S$5,請求記録!$AD$6:$AD$3005,"保留中")&gt;0,"保留",IF(COUNTIFS(請求記録!$B$6:$B$3005,$A218,請求記録!$X$6:$X$3005,S$5)=0,"",SUMIFS(請求記録!$AC$6:$AC$3005,請求記録!$B$6:$B$3005,$A218,請求記録!$X$6:$X$3005,S$5))))</f>
        <v/>
      </c>
      <c r="T218" s="19">
        <f>IF($A218="","",IF(COUNTIFS(請求記録!$B$6:$B$3005,$A218,請求記録!$X$6:$X$3005,T$5,請求記録!$AD$6:$AD$3005,"保留中")&gt;0,"保留",IF(COUNTIFS(請求記録!$B$6:$B$3005,$A218,請求記録!$X$6:$X$3005,T$5)=0,"",SUMIFS(請求記録!$AC$6:$AC$3005,請求記録!$B$6:$B$3005,$A218,請求記録!$X$6:$X$3005,T$5))))</f>
        <v/>
      </c>
      <c r="U218" s="19">
        <f>IF($A218="","",IF(COUNTIFS(請求記録!$B$6:$B$3005,$A218,請求記録!$X$6:$X$3005,U$5,請求記録!$AD$6:$AD$3005,"保留中")&gt;0,"保留",IF(COUNTIFS(請求記録!$B$6:$B$3005,$A218,請求記録!$X$6:$X$3005,U$5)=0,"",SUMIFS(請求記録!$AC$6:$AC$3005,請求記録!$B$6:$B$3005,$A218,請求記録!$X$6:$X$3005,U$5))))</f>
        <v/>
      </c>
      <c r="V218" s="19">
        <f>IF($A218="","",IF(COUNTIFS(請求記録!$B$6:$B$3005,$A218,請求記録!$X$6:$X$3005,V$5,請求記録!$AD$6:$AD$3005,"保留中")&gt;0,"保留",IF(COUNTIFS(請求記録!$B$6:$B$3005,$A218,請求記録!$X$6:$X$3005,V$5)=0,"",SUMIFS(請求記録!$AC$6:$AC$3005,請求記録!$B$6:$B$3005,$A218,請求記録!$X$6:$X$3005,V$5))))</f>
        <v/>
      </c>
      <c r="W218" s="19">
        <f>IF($A218="","",IF(COUNTIFS(請求記録!$B$6:$B$3005,$A218,請求記録!$X$6:$X$3005,W$5,請求記録!$AD$6:$AD$3005,"保留中")&gt;0,"保留",IF(COUNTIFS(請求記録!$B$6:$B$3005,$A218,請求記録!$X$6:$X$3005,W$5)=0,"",SUMIFS(請求記録!$AC$6:$AC$3005,請求記録!$B$6:$B$3005,$A218,請求記録!$X$6:$X$3005,W$5))))</f>
        <v/>
      </c>
      <c r="X218" s="19">
        <f>IF($A218="","",IF(COUNTIFS(請求記録!$B$6:$B$3005,$A218,請求記録!$X$6:$X$3005,X$5,請求記録!$AD$6:$AD$3005,"保留中")&gt;0,"保留",IF(COUNTIFS(請求記録!$B$6:$B$3005,$A218,請求記録!$X$6:$X$3005,X$5)=0,"",SUMIFS(請求記録!$AC$6:$AC$3005,請求記録!$B$6:$B$3005,$A218,請求記録!$X$6:$X$3005,X$5))))</f>
        <v/>
      </c>
      <c r="Y218" s="19">
        <f>IF($A218="","",IF(COUNTIFS(請求記録!$B$6:$B$3005,$A218,請求記録!$X$6:$X$3005,Y$5,請求記録!$AD$6:$AD$3005,"保留中")&gt;0,"保留",IF(COUNTIFS(請求記録!$B$6:$B$3005,$A218,請求記録!$X$6:$X$3005,Y$5)=0,"",SUMIFS(請求記録!$AC$6:$AC$3005,請求記録!$B$6:$B$3005,$A218,請求記録!$X$6:$X$3005,Y$5))))</f>
        <v/>
      </c>
      <c r="Z218" s="19">
        <f>IF($A218="","",IF(COUNTIFS(請求記録!$B$6:$B$3005,$A218,請求記録!$X$6:$X$3005,Z$5,請求記録!$AD$6:$AD$3005,"保留中")&gt;0,"保留",IF(COUNTIFS(請求記録!$B$6:$B$3005,$A218,請求記録!$X$6:$X$3005,Z$5)=0,"",SUMIFS(請求記録!$AC$6:$AC$3005,請求記録!$B$6:$B$3005,$A218,請求記録!$X$6:$X$3005,Z$5))))</f>
        <v/>
      </c>
      <c r="AA218" s="19">
        <f>IF($A218="","",IF(COUNTIFS(請求記録!$B$6:$B$3005,$A218,請求記録!$X$6:$X$3005,AA$5,請求記録!$AD$6:$AD$3005,"保留中")&gt;0,"保留",IF(COUNTIFS(請求記録!$B$6:$B$3005,$A218,請求記録!$X$6:$X$3005,AA$5)=0,"",SUMIFS(請求記録!$AC$6:$AC$3005,請求記録!$B$6:$B$3005,$A218,請求記録!$X$6:$X$3005,AA$5))))</f>
        <v/>
      </c>
      <c r="AB218">
        <f>IF(職員マスタ!P218="保留中",職員マスタ!M218,"")</f>
        <v/>
      </c>
    </row>
    <row r="219">
      <c r="A219">
        <f>IF(職員マスタ!A219="","",職員マスタ!A219)</f>
        <v/>
      </c>
      <c r="B219">
        <f>IF($A219="","",職員マスタ!B219)</f>
        <v/>
      </c>
      <c r="C219">
        <f>IF($A219="","",職員マスタ!C219)</f>
        <v/>
      </c>
      <c r="D219" s="19">
        <f>IF($A219="","",IF(COUNTIFS(請求記録!$B$6:$B$3005,$A219,請求記録!$X$6:$X$3005,D$5,請求記録!$AD$6:$AD$3005,"保留中")&gt;0,"保留",IF(COUNTIFS(請求記録!$B$6:$B$3005,$A219,請求記録!$X$6:$X$3005,D$5)=0,"",SUMIFS(請求記録!$AC$6:$AC$3005,請求記録!$B$6:$B$3005,$A219,請求記録!$X$6:$X$3005,D$5))))</f>
        <v/>
      </c>
      <c r="E219" s="19">
        <f>IF($A219="","",IF(COUNTIFS(請求記録!$B$6:$B$3005,$A219,請求記録!$X$6:$X$3005,E$5,請求記録!$AD$6:$AD$3005,"保留中")&gt;0,"保留",IF(COUNTIFS(請求記録!$B$6:$B$3005,$A219,請求記録!$X$6:$X$3005,E$5)=0,"",SUMIFS(請求記録!$AC$6:$AC$3005,請求記録!$B$6:$B$3005,$A219,請求記録!$X$6:$X$3005,E$5))))</f>
        <v/>
      </c>
      <c r="F219" s="19">
        <f>IF($A219="","",IF(COUNTIFS(請求記録!$B$6:$B$3005,$A219,請求記録!$X$6:$X$3005,F$5,請求記録!$AD$6:$AD$3005,"保留中")&gt;0,"保留",IF(COUNTIFS(請求記録!$B$6:$B$3005,$A219,請求記録!$X$6:$X$3005,F$5)=0,"",SUMIFS(請求記録!$AC$6:$AC$3005,請求記録!$B$6:$B$3005,$A219,請求記録!$X$6:$X$3005,F$5))))</f>
        <v/>
      </c>
      <c r="G219" s="19">
        <f>IF($A219="","",IF(COUNTIFS(請求記録!$B$6:$B$3005,$A219,請求記録!$X$6:$X$3005,G$5,請求記録!$AD$6:$AD$3005,"保留中")&gt;0,"保留",IF(COUNTIFS(請求記録!$B$6:$B$3005,$A219,請求記録!$X$6:$X$3005,G$5)=0,"",SUMIFS(請求記録!$AC$6:$AC$3005,請求記録!$B$6:$B$3005,$A219,請求記録!$X$6:$X$3005,G$5))))</f>
        <v/>
      </c>
      <c r="H219" s="19">
        <f>IF($A219="","",IF(COUNTIFS(請求記録!$B$6:$B$3005,$A219,請求記録!$X$6:$X$3005,H$5,請求記録!$AD$6:$AD$3005,"保留中")&gt;0,"保留",IF(COUNTIFS(請求記録!$B$6:$B$3005,$A219,請求記録!$X$6:$X$3005,H$5)=0,"",SUMIFS(請求記録!$AC$6:$AC$3005,請求記録!$B$6:$B$3005,$A219,請求記録!$X$6:$X$3005,H$5))))</f>
        <v/>
      </c>
      <c r="I219" s="19">
        <f>IF($A219="","",IF(COUNTIFS(請求記録!$B$6:$B$3005,$A219,請求記録!$X$6:$X$3005,I$5,請求記録!$AD$6:$AD$3005,"保留中")&gt;0,"保留",IF(COUNTIFS(請求記録!$B$6:$B$3005,$A219,請求記録!$X$6:$X$3005,I$5)=0,"",SUMIFS(請求記録!$AC$6:$AC$3005,請求記録!$B$6:$B$3005,$A219,請求記録!$X$6:$X$3005,I$5))))</f>
        <v/>
      </c>
      <c r="J219" s="19">
        <f>IF($A219="","",IF(COUNTIFS(請求記録!$B$6:$B$3005,$A219,請求記録!$X$6:$X$3005,J$5,請求記録!$AD$6:$AD$3005,"保留中")&gt;0,"保留",IF(COUNTIFS(請求記録!$B$6:$B$3005,$A219,請求記録!$X$6:$X$3005,J$5)=0,"",SUMIFS(請求記録!$AC$6:$AC$3005,請求記録!$B$6:$B$3005,$A219,請求記録!$X$6:$X$3005,J$5))))</f>
        <v/>
      </c>
      <c r="K219" s="19">
        <f>IF($A219="","",IF(COUNTIFS(請求記録!$B$6:$B$3005,$A219,請求記録!$X$6:$X$3005,K$5,請求記録!$AD$6:$AD$3005,"保留中")&gt;0,"保留",IF(COUNTIFS(請求記録!$B$6:$B$3005,$A219,請求記録!$X$6:$X$3005,K$5)=0,"",SUMIFS(請求記録!$AC$6:$AC$3005,請求記録!$B$6:$B$3005,$A219,請求記録!$X$6:$X$3005,K$5))))</f>
        <v/>
      </c>
      <c r="L219" s="19">
        <f>IF($A219="","",IF(COUNTIFS(請求記録!$B$6:$B$3005,$A219,請求記録!$X$6:$X$3005,L$5,請求記録!$AD$6:$AD$3005,"保留中")&gt;0,"保留",IF(COUNTIFS(請求記録!$B$6:$B$3005,$A219,請求記録!$X$6:$X$3005,L$5)=0,"",SUMIFS(請求記録!$AC$6:$AC$3005,請求記録!$B$6:$B$3005,$A219,請求記録!$X$6:$X$3005,L$5))))</f>
        <v/>
      </c>
      <c r="M219" s="19">
        <f>IF($A219="","",IF(COUNTIFS(請求記録!$B$6:$B$3005,$A219,請求記録!$X$6:$X$3005,M$5,請求記録!$AD$6:$AD$3005,"保留中")&gt;0,"保留",IF(COUNTIFS(請求記録!$B$6:$B$3005,$A219,請求記録!$X$6:$X$3005,M$5)=0,"",SUMIFS(請求記録!$AC$6:$AC$3005,請求記録!$B$6:$B$3005,$A219,請求記録!$X$6:$X$3005,M$5))))</f>
        <v/>
      </c>
      <c r="N219" s="19">
        <f>IF($A219="","",IF(COUNTIFS(請求記録!$B$6:$B$3005,$A219,請求記録!$X$6:$X$3005,N$5,請求記録!$AD$6:$AD$3005,"保留中")&gt;0,"保留",IF(COUNTIFS(請求記録!$B$6:$B$3005,$A219,請求記録!$X$6:$X$3005,N$5)=0,"",SUMIFS(請求記録!$AC$6:$AC$3005,請求記録!$B$6:$B$3005,$A219,請求記録!$X$6:$X$3005,N$5))))</f>
        <v/>
      </c>
      <c r="O219" s="19">
        <f>IF($A219="","",IF(COUNTIFS(請求記録!$B$6:$B$3005,$A219,請求記録!$X$6:$X$3005,O$5,請求記録!$AD$6:$AD$3005,"保留中")&gt;0,"保留",IF(COUNTIFS(請求記録!$B$6:$B$3005,$A219,請求記録!$X$6:$X$3005,O$5)=0,"",SUMIFS(請求記録!$AC$6:$AC$3005,請求記録!$B$6:$B$3005,$A219,請求記録!$X$6:$X$3005,O$5))))</f>
        <v/>
      </c>
      <c r="P219" s="19">
        <f>IF($A219="","",IF(COUNTIFS(請求記録!$B$6:$B$3005,$A219,請求記録!$X$6:$X$3005,P$5,請求記録!$AD$6:$AD$3005,"保留中")&gt;0,"保留",IF(COUNTIFS(請求記録!$B$6:$B$3005,$A219,請求記録!$X$6:$X$3005,P$5)=0,"",SUMIFS(請求記録!$AC$6:$AC$3005,請求記録!$B$6:$B$3005,$A219,請求記録!$X$6:$X$3005,P$5))))</f>
        <v/>
      </c>
      <c r="Q219" s="19">
        <f>IF($A219="","",IF(COUNTIFS(請求記録!$B$6:$B$3005,$A219,請求記録!$X$6:$X$3005,Q$5,請求記録!$AD$6:$AD$3005,"保留中")&gt;0,"保留",IF(COUNTIFS(請求記録!$B$6:$B$3005,$A219,請求記録!$X$6:$X$3005,Q$5)=0,"",SUMIFS(請求記録!$AC$6:$AC$3005,請求記録!$B$6:$B$3005,$A219,請求記録!$X$6:$X$3005,Q$5))))</f>
        <v/>
      </c>
      <c r="R219" s="19">
        <f>IF($A219="","",IF(COUNTIFS(請求記録!$B$6:$B$3005,$A219,請求記録!$X$6:$X$3005,R$5,請求記録!$AD$6:$AD$3005,"保留中")&gt;0,"保留",IF(COUNTIFS(請求記録!$B$6:$B$3005,$A219,請求記録!$X$6:$X$3005,R$5)=0,"",SUMIFS(請求記録!$AC$6:$AC$3005,請求記録!$B$6:$B$3005,$A219,請求記録!$X$6:$X$3005,R$5))))</f>
        <v/>
      </c>
      <c r="S219" s="19">
        <f>IF($A219="","",IF(COUNTIFS(請求記録!$B$6:$B$3005,$A219,請求記録!$X$6:$X$3005,S$5,請求記録!$AD$6:$AD$3005,"保留中")&gt;0,"保留",IF(COUNTIFS(請求記録!$B$6:$B$3005,$A219,請求記録!$X$6:$X$3005,S$5)=0,"",SUMIFS(請求記録!$AC$6:$AC$3005,請求記録!$B$6:$B$3005,$A219,請求記録!$X$6:$X$3005,S$5))))</f>
        <v/>
      </c>
      <c r="T219" s="19">
        <f>IF($A219="","",IF(COUNTIFS(請求記録!$B$6:$B$3005,$A219,請求記録!$X$6:$X$3005,T$5,請求記録!$AD$6:$AD$3005,"保留中")&gt;0,"保留",IF(COUNTIFS(請求記録!$B$6:$B$3005,$A219,請求記録!$X$6:$X$3005,T$5)=0,"",SUMIFS(請求記録!$AC$6:$AC$3005,請求記録!$B$6:$B$3005,$A219,請求記録!$X$6:$X$3005,T$5))))</f>
        <v/>
      </c>
      <c r="U219" s="19">
        <f>IF($A219="","",IF(COUNTIFS(請求記録!$B$6:$B$3005,$A219,請求記録!$X$6:$X$3005,U$5,請求記録!$AD$6:$AD$3005,"保留中")&gt;0,"保留",IF(COUNTIFS(請求記録!$B$6:$B$3005,$A219,請求記録!$X$6:$X$3005,U$5)=0,"",SUMIFS(請求記録!$AC$6:$AC$3005,請求記録!$B$6:$B$3005,$A219,請求記録!$X$6:$X$3005,U$5))))</f>
        <v/>
      </c>
      <c r="V219" s="19">
        <f>IF($A219="","",IF(COUNTIFS(請求記録!$B$6:$B$3005,$A219,請求記録!$X$6:$X$3005,V$5,請求記録!$AD$6:$AD$3005,"保留中")&gt;0,"保留",IF(COUNTIFS(請求記録!$B$6:$B$3005,$A219,請求記録!$X$6:$X$3005,V$5)=0,"",SUMIFS(請求記録!$AC$6:$AC$3005,請求記録!$B$6:$B$3005,$A219,請求記録!$X$6:$X$3005,V$5))))</f>
        <v/>
      </c>
      <c r="W219" s="19">
        <f>IF($A219="","",IF(COUNTIFS(請求記録!$B$6:$B$3005,$A219,請求記録!$X$6:$X$3005,W$5,請求記録!$AD$6:$AD$3005,"保留中")&gt;0,"保留",IF(COUNTIFS(請求記録!$B$6:$B$3005,$A219,請求記録!$X$6:$X$3005,W$5)=0,"",SUMIFS(請求記録!$AC$6:$AC$3005,請求記録!$B$6:$B$3005,$A219,請求記録!$X$6:$X$3005,W$5))))</f>
        <v/>
      </c>
      <c r="X219" s="19">
        <f>IF($A219="","",IF(COUNTIFS(請求記録!$B$6:$B$3005,$A219,請求記録!$X$6:$X$3005,X$5,請求記録!$AD$6:$AD$3005,"保留中")&gt;0,"保留",IF(COUNTIFS(請求記録!$B$6:$B$3005,$A219,請求記録!$X$6:$X$3005,X$5)=0,"",SUMIFS(請求記録!$AC$6:$AC$3005,請求記録!$B$6:$B$3005,$A219,請求記録!$X$6:$X$3005,X$5))))</f>
        <v/>
      </c>
      <c r="Y219" s="19">
        <f>IF($A219="","",IF(COUNTIFS(請求記録!$B$6:$B$3005,$A219,請求記録!$X$6:$X$3005,Y$5,請求記録!$AD$6:$AD$3005,"保留中")&gt;0,"保留",IF(COUNTIFS(請求記録!$B$6:$B$3005,$A219,請求記録!$X$6:$X$3005,Y$5)=0,"",SUMIFS(請求記録!$AC$6:$AC$3005,請求記録!$B$6:$B$3005,$A219,請求記録!$X$6:$X$3005,Y$5))))</f>
        <v/>
      </c>
      <c r="Z219" s="19">
        <f>IF($A219="","",IF(COUNTIFS(請求記録!$B$6:$B$3005,$A219,請求記録!$X$6:$X$3005,Z$5,請求記録!$AD$6:$AD$3005,"保留中")&gt;0,"保留",IF(COUNTIFS(請求記録!$B$6:$B$3005,$A219,請求記録!$X$6:$X$3005,Z$5)=0,"",SUMIFS(請求記録!$AC$6:$AC$3005,請求記録!$B$6:$B$3005,$A219,請求記録!$X$6:$X$3005,Z$5))))</f>
        <v/>
      </c>
      <c r="AA219" s="19">
        <f>IF($A219="","",IF(COUNTIFS(請求記録!$B$6:$B$3005,$A219,請求記録!$X$6:$X$3005,AA$5,請求記録!$AD$6:$AD$3005,"保留中")&gt;0,"保留",IF(COUNTIFS(請求記録!$B$6:$B$3005,$A219,請求記録!$X$6:$X$3005,AA$5)=0,"",SUMIFS(請求記録!$AC$6:$AC$3005,請求記録!$B$6:$B$3005,$A219,請求記録!$X$6:$X$3005,AA$5))))</f>
        <v/>
      </c>
      <c r="AB219">
        <f>IF(職員マスタ!P219="保留中",職員マスタ!M219,"")</f>
        <v/>
      </c>
    </row>
    <row r="220">
      <c r="A220">
        <f>IF(職員マスタ!A220="","",職員マスタ!A220)</f>
        <v/>
      </c>
      <c r="B220">
        <f>IF($A220="","",職員マスタ!B220)</f>
        <v/>
      </c>
      <c r="C220">
        <f>IF($A220="","",職員マスタ!C220)</f>
        <v/>
      </c>
      <c r="D220" s="19">
        <f>IF($A220="","",IF(COUNTIFS(請求記録!$B$6:$B$3005,$A220,請求記録!$X$6:$X$3005,D$5,請求記録!$AD$6:$AD$3005,"保留中")&gt;0,"保留",IF(COUNTIFS(請求記録!$B$6:$B$3005,$A220,請求記録!$X$6:$X$3005,D$5)=0,"",SUMIFS(請求記録!$AC$6:$AC$3005,請求記録!$B$6:$B$3005,$A220,請求記録!$X$6:$X$3005,D$5))))</f>
        <v/>
      </c>
      <c r="E220" s="19">
        <f>IF($A220="","",IF(COUNTIFS(請求記録!$B$6:$B$3005,$A220,請求記録!$X$6:$X$3005,E$5,請求記録!$AD$6:$AD$3005,"保留中")&gt;0,"保留",IF(COUNTIFS(請求記録!$B$6:$B$3005,$A220,請求記録!$X$6:$X$3005,E$5)=0,"",SUMIFS(請求記録!$AC$6:$AC$3005,請求記録!$B$6:$B$3005,$A220,請求記録!$X$6:$X$3005,E$5))))</f>
        <v/>
      </c>
      <c r="F220" s="19">
        <f>IF($A220="","",IF(COUNTIFS(請求記録!$B$6:$B$3005,$A220,請求記録!$X$6:$X$3005,F$5,請求記録!$AD$6:$AD$3005,"保留中")&gt;0,"保留",IF(COUNTIFS(請求記録!$B$6:$B$3005,$A220,請求記録!$X$6:$X$3005,F$5)=0,"",SUMIFS(請求記録!$AC$6:$AC$3005,請求記録!$B$6:$B$3005,$A220,請求記録!$X$6:$X$3005,F$5))))</f>
        <v/>
      </c>
      <c r="G220" s="19">
        <f>IF($A220="","",IF(COUNTIFS(請求記録!$B$6:$B$3005,$A220,請求記録!$X$6:$X$3005,G$5,請求記録!$AD$6:$AD$3005,"保留中")&gt;0,"保留",IF(COUNTIFS(請求記録!$B$6:$B$3005,$A220,請求記録!$X$6:$X$3005,G$5)=0,"",SUMIFS(請求記録!$AC$6:$AC$3005,請求記録!$B$6:$B$3005,$A220,請求記録!$X$6:$X$3005,G$5))))</f>
        <v/>
      </c>
      <c r="H220" s="19">
        <f>IF($A220="","",IF(COUNTIFS(請求記録!$B$6:$B$3005,$A220,請求記録!$X$6:$X$3005,H$5,請求記録!$AD$6:$AD$3005,"保留中")&gt;0,"保留",IF(COUNTIFS(請求記録!$B$6:$B$3005,$A220,請求記録!$X$6:$X$3005,H$5)=0,"",SUMIFS(請求記録!$AC$6:$AC$3005,請求記録!$B$6:$B$3005,$A220,請求記録!$X$6:$X$3005,H$5))))</f>
        <v/>
      </c>
      <c r="I220" s="19">
        <f>IF($A220="","",IF(COUNTIFS(請求記録!$B$6:$B$3005,$A220,請求記録!$X$6:$X$3005,I$5,請求記録!$AD$6:$AD$3005,"保留中")&gt;0,"保留",IF(COUNTIFS(請求記録!$B$6:$B$3005,$A220,請求記録!$X$6:$X$3005,I$5)=0,"",SUMIFS(請求記録!$AC$6:$AC$3005,請求記録!$B$6:$B$3005,$A220,請求記録!$X$6:$X$3005,I$5))))</f>
        <v/>
      </c>
      <c r="J220" s="19">
        <f>IF($A220="","",IF(COUNTIFS(請求記録!$B$6:$B$3005,$A220,請求記録!$X$6:$X$3005,J$5,請求記録!$AD$6:$AD$3005,"保留中")&gt;0,"保留",IF(COUNTIFS(請求記録!$B$6:$B$3005,$A220,請求記録!$X$6:$X$3005,J$5)=0,"",SUMIFS(請求記録!$AC$6:$AC$3005,請求記録!$B$6:$B$3005,$A220,請求記録!$X$6:$X$3005,J$5))))</f>
        <v/>
      </c>
      <c r="K220" s="19">
        <f>IF($A220="","",IF(COUNTIFS(請求記録!$B$6:$B$3005,$A220,請求記録!$X$6:$X$3005,K$5,請求記録!$AD$6:$AD$3005,"保留中")&gt;0,"保留",IF(COUNTIFS(請求記録!$B$6:$B$3005,$A220,請求記録!$X$6:$X$3005,K$5)=0,"",SUMIFS(請求記録!$AC$6:$AC$3005,請求記録!$B$6:$B$3005,$A220,請求記録!$X$6:$X$3005,K$5))))</f>
        <v/>
      </c>
      <c r="L220" s="19">
        <f>IF($A220="","",IF(COUNTIFS(請求記録!$B$6:$B$3005,$A220,請求記録!$X$6:$X$3005,L$5,請求記録!$AD$6:$AD$3005,"保留中")&gt;0,"保留",IF(COUNTIFS(請求記録!$B$6:$B$3005,$A220,請求記録!$X$6:$X$3005,L$5)=0,"",SUMIFS(請求記録!$AC$6:$AC$3005,請求記録!$B$6:$B$3005,$A220,請求記録!$X$6:$X$3005,L$5))))</f>
        <v/>
      </c>
      <c r="M220" s="19">
        <f>IF($A220="","",IF(COUNTIFS(請求記録!$B$6:$B$3005,$A220,請求記録!$X$6:$X$3005,M$5,請求記録!$AD$6:$AD$3005,"保留中")&gt;0,"保留",IF(COUNTIFS(請求記録!$B$6:$B$3005,$A220,請求記録!$X$6:$X$3005,M$5)=0,"",SUMIFS(請求記録!$AC$6:$AC$3005,請求記録!$B$6:$B$3005,$A220,請求記録!$X$6:$X$3005,M$5))))</f>
        <v/>
      </c>
      <c r="N220" s="19">
        <f>IF($A220="","",IF(COUNTIFS(請求記録!$B$6:$B$3005,$A220,請求記録!$X$6:$X$3005,N$5,請求記録!$AD$6:$AD$3005,"保留中")&gt;0,"保留",IF(COUNTIFS(請求記録!$B$6:$B$3005,$A220,請求記録!$X$6:$X$3005,N$5)=0,"",SUMIFS(請求記録!$AC$6:$AC$3005,請求記録!$B$6:$B$3005,$A220,請求記録!$X$6:$X$3005,N$5))))</f>
        <v/>
      </c>
      <c r="O220" s="19">
        <f>IF($A220="","",IF(COUNTIFS(請求記録!$B$6:$B$3005,$A220,請求記録!$X$6:$X$3005,O$5,請求記録!$AD$6:$AD$3005,"保留中")&gt;0,"保留",IF(COUNTIFS(請求記録!$B$6:$B$3005,$A220,請求記録!$X$6:$X$3005,O$5)=0,"",SUMIFS(請求記録!$AC$6:$AC$3005,請求記録!$B$6:$B$3005,$A220,請求記録!$X$6:$X$3005,O$5))))</f>
        <v/>
      </c>
      <c r="P220" s="19">
        <f>IF($A220="","",IF(COUNTIFS(請求記録!$B$6:$B$3005,$A220,請求記録!$X$6:$X$3005,P$5,請求記録!$AD$6:$AD$3005,"保留中")&gt;0,"保留",IF(COUNTIFS(請求記録!$B$6:$B$3005,$A220,請求記録!$X$6:$X$3005,P$5)=0,"",SUMIFS(請求記録!$AC$6:$AC$3005,請求記録!$B$6:$B$3005,$A220,請求記録!$X$6:$X$3005,P$5))))</f>
        <v/>
      </c>
      <c r="Q220" s="19">
        <f>IF($A220="","",IF(COUNTIFS(請求記録!$B$6:$B$3005,$A220,請求記録!$X$6:$X$3005,Q$5,請求記録!$AD$6:$AD$3005,"保留中")&gt;0,"保留",IF(COUNTIFS(請求記録!$B$6:$B$3005,$A220,請求記録!$X$6:$X$3005,Q$5)=0,"",SUMIFS(請求記録!$AC$6:$AC$3005,請求記録!$B$6:$B$3005,$A220,請求記録!$X$6:$X$3005,Q$5))))</f>
        <v/>
      </c>
      <c r="R220" s="19">
        <f>IF($A220="","",IF(COUNTIFS(請求記録!$B$6:$B$3005,$A220,請求記録!$X$6:$X$3005,R$5,請求記録!$AD$6:$AD$3005,"保留中")&gt;0,"保留",IF(COUNTIFS(請求記録!$B$6:$B$3005,$A220,請求記録!$X$6:$X$3005,R$5)=0,"",SUMIFS(請求記録!$AC$6:$AC$3005,請求記録!$B$6:$B$3005,$A220,請求記録!$X$6:$X$3005,R$5))))</f>
        <v/>
      </c>
      <c r="S220" s="19">
        <f>IF($A220="","",IF(COUNTIFS(請求記録!$B$6:$B$3005,$A220,請求記録!$X$6:$X$3005,S$5,請求記録!$AD$6:$AD$3005,"保留中")&gt;0,"保留",IF(COUNTIFS(請求記録!$B$6:$B$3005,$A220,請求記録!$X$6:$X$3005,S$5)=0,"",SUMIFS(請求記録!$AC$6:$AC$3005,請求記録!$B$6:$B$3005,$A220,請求記録!$X$6:$X$3005,S$5))))</f>
        <v/>
      </c>
      <c r="T220" s="19">
        <f>IF($A220="","",IF(COUNTIFS(請求記録!$B$6:$B$3005,$A220,請求記録!$X$6:$X$3005,T$5,請求記録!$AD$6:$AD$3005,"保留中")&gt;0,"保留",IF(COUNTIFS(請求記録!$B$6:$B$3005,$A220,請求記録!$X$6:$X$3005,T$5)=0,"",SUMIFS(請求記録!$AC$6:$AC$3005,請求記録!$B$6:$B$3005,$A220,請求記録!$X$6:$X$3005,T$5))))</f>
        <v/>
      </c>
      <c r="U220" s="19">
        <f>IF($A220="","",IF(COUNTIFS(請求記録!$B$6:$B$3005,$A220,請求記録!$X$6:$X$3005,U$5,請求記録!$AD$6:$AD$3005,"保留中")&gt;0,"保留",IF(COUNTIFS(請求記録!$B$6:$B$3005,$A220,請求記録!$X$6:$X$3005,U$5)=0,"",SUMIFS(請求記録!$AC$6:$AC$3005,請求記録!$B$6:$B$3005,$A220,請求記録!$X$6:$X$3005,U$5))))</f>
        <v/>
      </c>
      <c r="V220" s="19">
        <f>IF($A220="","",IF(COUNTIFS(請求記録!$B$6:$B$3005,$A220,請求記録!$X$6:$X$3005,V$5,請求記録!$AD$6:$AD$3005,"保留中")&gt;0,"保留",IF(COUNTIFS(請求記録!$B$6:$B$3005,$A220,請求記録!$X$6:$X$3005,V$5)=0,"",SUMIFS(請求記録!$AC$6:$AC$3005,請求記録!$B$6:$B$3005,$A220,請求記録!$X$6:$X$3005,V$5))))</f>
        <v/>
      </c>
      <c r="W220" s="19">
        <f>IF($A220="","",IF(COUNTIFS(請求記録!$B$6:$B$3005,$A220,請求記録!$X$6:$X$3005,W$5,請求記録!$AD$6:$AD$3005,"保留中")&gt;0,"保留",IF(COUNTIFS(請求記録!$B$6:$B$3005,$A220,請求記録!$X$6:$X$3005,W$5)=0,"",SUMIFS(請求記録!$AC$6:$AC$3005,請求記録!$B$6:$B$3005,$A220,請求記録!$X$6:$X$3005,W$5))))</f>
        <v/>
      </c>
      <c r="X220" s="19">
        <f>IF($A220="","",IF(COUNTIFS(請求記録!$B$6:$B$3005,$A220,請求記録!$X$6:$X$3005,X$5,請求記録!$AD$6:$AD$3005,"保留中")&gt;0,"保留",IF(COUNTIFS(請求記録!$B$6:$B$3005,$A220,請求記録!$X$6:$X$3005,X$5)=0,"",SUMIFS(請求記録!$AC$6:$AC$3005,請求記録!$B$6:$B$3005,$A220,請求記録!$X$6:$X$3005,X$5))))</f>
        <v/>
      </c>
      <c r="Y220" s="19">
        <f>IF($A220="","",IF(COUNTIFS(請求記録!$B$6:$B$3005,$A220,請求記録!$X$6:$X$3005,Y$5,請求記録!$AD$6:$AD$3005,"保留中")&gt;0,"保留",IF(COUNTIFS(請求記録!$B$6:$B$3005,$A220,請求記録!$X$6:$X$3005,Y$5)=0,"",SUMIFS(請求記録!$AC$6:$AC$3005,請求記録!$B$6:$B$3005,$A220,請求記録!$X$6:$X$3005,Y$5))))</f>
        <v/>
      </c>
      <c r="Z220" s="19">
        <f>IF($A220="","",IF(COUNTIFS(請求記録!$B$6:$B$3005,$A220,請求記録!$X$6:$X$3005,Z$5,請求記録!$AD$6:$AD$3005,"保留中")&gt;0,"保留",IF(COUNTIFS(請求記録!$B$6:$B$3005,$A220,請求記録!$X$6:$X$3005,Z$5)=0,"",SUMIFS(請求記録!$AC$6:$AC$3005,請求記録!$B$6:$B$3005,$A220,請求記録!$X$6:$X$3005,Z$5))))</f>
        <v/>
      </c>
      <c r="AA220" s="19">
        <f>IF($A220="","",IF(COUNTIFS(請求記録!$B$6:$B$3005,$A220,請求記録!$X$6:$X$3005,AA$5,請求記録!$AD$6:$AD$3005,"保留中")&gt;0,"保留",IF(COUNTIFS(請求記録!$B$6:$B$3005,$A220,請求記録!$X$6:$X$3005,AA$5)=0,"",SUMIFS(請求記録!$AC$6:$AC$3005,請求記録!$B$6:$B$3005,$A220,請求記録!$X$6:$X$3005,AA$5))))</f>
        <v/>
      </c>
      <c r="AB220">
        <f>IF(職員マスタ!P220="保留中",職員マスタ!M220,"")</f>
        <v/>
      </c>
    </row>
    <row r="221">
      <c r="A221">
        <f>IF(職員マスタ!A221="","",職員マスタ!A221)</f>
        <v/>
      </c>
      <c r="B221">
        <f>IF($A221="","",職員マスタ!B221)</f>
        <v/>
      </c>
      <c r="C221">
        <f>IF($A221="","",職員マスタ!C221)</f>
        <v/>
      </c>
      <c r="D221" s="19">
        <f>IF($A221="","",IF(COUNTIFS(請求記録!$B$6:$B$3005,$A221,請求記録!$X$6:$X$3005,D$5,請求記録!$AD$6:$AD$3005,"保留中")&gt;0,"保留",IF(COUNTIFS(請求記録!$B$6:$B$3005,$A221,請求記録!$X$6:$X$3005,D$5)=0,"",SUMIFS(請求記録!$AC$6:$AC$3005,請求記録!$B$6:$B$3005,$A221,請求記録!$X$6:$X$3005,D$5))))</f>
        <v/>
      </c>
      <c r="E221" s="19">
        <f>IF($A221="","",IF(COUNTIFS(請求記録!$B$6:$B$3005,$A221,請求記録!$X$6:$X$3005,E$5,請求記録!$AD$6:$AD$3005,"保留中")&gt;0,"保留",IF(COUNTIFS(請求記録!$B$6:$B$3005,$A221,請求記録!$X$6:$X$3005,E$5)=0,"",SUMIFS(請求記録!$AC$6:$AC$3005,請求記録!$B$6:$B$3005,$A221,請求記録!$X$6:$X$3005,E$5))))</f>
        <v/>
      </c>
      <c r="F221" s="19">
        <f>IF($A221="","",IF(COUNTIFS(請求記録!$B$6:$B$3005,$A221,請求記録!$X$6:$X$3005,F$5,請求記録!$AD$6:$AD$3005,"保留中")&gt;0,"保留",IF(COUNTIFS(請求記録!$B$6:$B$3005,$A221,請求記録!$X$6:$X$3005,F$5)=0,"",SUMIFS(請求記録!$AC$6:$AC$3005,請求記録!$B$6:$B$3005,$A221,請求記録!$X$6:$X$3005,F$5))))</f>
        <v/>
      </c>
      <c r="G221" s="19">
        <f>IF($A221="","",IF(COUNTIFS(請求記録!$B$6:$B$3005,$A221,請求記録!$X$6:$X$3005,G$5,請求記録!$AD$6:$AD$3005,"保留中")&gt;0,"保留",IF(COUNTIFS(請求記録!$B$6:$B$3005,$A221,請求記録!$X$6:$X$3005,G$5)=0,"",SUMIFS(請求記録!$AC$6:$AC$3005,請求記録!$B$6:$B$3005,$A221,請求記録!$X$6:$X$3005,G$5))))</f>
        <v/>
      </c>
      <c r="H221" s="19">
        <f>IF($A221="","",IF(COUNTIFS(請求記録!$B$6:$B$3005,$A221,請求記録!$X$6:$X$3005,H$5,請求記録!$AD$6:$AD$3005,"保留中")&gt;0,"保留",IF(COUNTIFS(請求記録!$B$6:$B$3005,$A221,請求記録!$X$6:$X$3005,H$5)=0,"",SUMIFS(請求記録!$AC$6:$AC$3005,請求記録!$B$6:$B$3005,$A221,請求記録!$X$6:$X$3005,H$5))))</f>
        <v/>
      </c>
      <c r="I221" s="19">
        <f>IF($A221="","",IF(COUNTIFS(請求記録!$B$6:$B$3005,$A221,請求記録!$X$6:$X$3005,I$5,請求記録!$AD$6:$AD$3005,"保留中")&gt;0,"保留",IF(COUNTIFS(請求記録!$B$6:$B$3005,$A221,請求記録!$X$6:$X$3005,I$5)=0,"",SUMIFS(請求記録!$AC$6:$AC$3005,請求記録!$B$6:$B$3005,$A221,請求記録!$X$6:$X$3005,I$5))))</f>
        <v/>
      </c>
      <c r="J221" s="19">
        <f>IF($A221="","",IF(COUNTIFS(請求記録!$B$6:$B$3005,$A221,請求記録!$X$6:$X$3005,J$5,請求記録!$AD$6:$AD$3005,"保留中")&gt;0,"保留",IF(COUNTIFS(請求記録!$B$6:$B$3005,$A221,請求記録!$X$6:$X$3005,J$5)=0,"",SUMIFS(請求記録!$AC$6:$AC$3005,請求記録!$B$6:$B$3005,$A221,請求記録!$X$6:$X$3005,J$5))))</f>
        <v/>
      </c>
      <c r="K221" s="19">
        <f>IF($A221="","",IF(COUNTIFS(請求記録!$B$6:$B$3005,$A221,請求記録!$X$6:$X$3005,K$5,請求記録!$AD$6:$AD$3005,"保留中")&gt;0,"保留",IF(COUNTIFS(請求記録!$B$6:$B$3005,$A221,請求記録!$X$6:$X$3005,K$5)=0,"",SUMIFS(請求記録!$AC$6:$AC$3005,請求記録!$B$6:$B$3005,$A221,請求記録!$X$6:$X$3005,K$5))))</f>
        <v/>
      </c>
      <c r="L221" s="19">
        <f>IF($A221="","",IF(COUNTIFS(請求記録!$B$6:$B$3005,$A221,請求記録!$X$6:$X$3005,L$5,請求記録!$AD$6:$AD$3005,"保留中")&gt;0,"保留",IF(COUNTIFS(請求記録!$B$6:$B$3005,$A221,請求記録!$X$6:$X$3005,L$5)=0,"",SUMIFS(請求記録!$AC$6:$AC$3005,請求記録!$B$6:$B$3005,$A221,請求記録!$X$6:$X$3005,L$5))))</f>
        <v/>
      </c>
      <c r="M221" s="19">
        <f>IF($A221="","",IF(COUNTIFS(請求記録!$B$6:$B$3005,$A221,請求記録!$X$6:$X$3005,M$5,請求記録!$AD$6:$AD$3005,"保留中")&gt;0,"保留",IF(COUNTIFS(請求記録!$B$6:$B$3005,$A221,請求記録!$X$6:$X$3005,M$5)=0,"",SUMIFS(請求記録!$AC$6:$AC$3005,請求記録!$B$6:$B$3005,$A221,請求記録!$X$6:$X$3005,M$5))))</f>
        <v/>
      </c>
      <c r="N221" s="19">
        <f>IF($A221="","",IF(COUNTIFS(請求記録!$B$6:$B$3005,$A221,請求記録!$X$6:$X$3005,N$5,請求記録!$AD$6:$AD$3005,"保留中")&gt;0,"保留",IF(COUNTIFS(請求記録!$B$6:$B$3005,$A221,請求記録!$X$6:$X$3005,N$5)=0,"",SUMIFS(請求記録!$AC$6:$AC$3005,請求記録!$B$6:$B$3005,$A221,請求記録!$X$6:$X$3005,N$5))))</f>
        <v/>
      </c>
      <c r="O221" s="19">
        <f>IF($A221="","",IF(COUNTIFS(請求記録!$B$6:$B$3005,$A221,請求記録!$X$6:$X$3005,O$5,請求記録!$AD$6:$AD$3005,"保留中")&gt;0,"保留",IF(COUNTIFS(請求記録!$B$6:$B$3005,$A221,請求記録!$X$6:$X$3005,O$5)=0,"",SUMIFS(請求記録!$AC$6:$AC$3005,請求記録!$B$6:$B$3005,$A221,請求記録!$X$6:$X$3005,O$5))))</f>
        <v/>
      </c>
      <c r="P221" s="19">
        <f>IF($A221="","",IF(COUNTIFS(請求記録!$B$6:$B$3005,$A221,請求記録!$X$6:$X$3005,P$5,請求記録!$AD$6:$AD$3005,"保留中")&gt;0,"保留",IF(COUNTIFS(請求記録!$B$6:$B$3005,$A221,請求記録!$X$6:$X$3005,P$5)=0,"",SUMIFS(請求記録!$AC$6:$AC$3005,請求記録!$B$6:$B$3005,$A221,請求記録!$X$6:$X$3005,P$5))))</f>
        <v/>
      </c>
      <c r="Q221" s="19">
        <f>IF($A221="","",IF(COUNTIFS(請求記録!$B$6:$B$3005,$A221,請求記録!$X$6:$X$3005,Q$5,請求記録!$AD$6:$AD$3005,"保留中")&gt;0,"保留",IF(COUNTIFS(請求記録!$B$6:$B$3005,$A221,請求記録!$X$6:$X$3005,Q$5)=0,"",SUMIFS(請求記録!$AC$6:$AC$3005,請求記録!$B$6:$B$3005,$A221,請求記録!$X$6:$X$3005,Q$5))))</f>
        <v/>
      </c>
      <c r="R221" s="19">
        <f>IF($A221="","",IF(COUNTIFS(請求記録!$B$6:$B$3005,$A221,請求記録!$X$6:$X$3005,R$5,請求記録!$AD$6:$AD$3005,"保留中")&gt;0,"保留",IF(COUNTIFS(請求記録!$B$6:$B$3005,$A221,請求記録!$X$6:$X$3005,R$5)=0,"",SUMIFS(請求記録!$AC$6:$AC$3005,請求記録!$B$6:$B$3005,$A221,請求記録!$X$6:$X$3005,R$5))))</f>
        <v/>
      </c>
      <c r="S221" s="19">
        <f>IF($A221="","",IF(COUNTIFS(請求記録!$B$6:$B$3005,$A221,請求記録!$X$6:$X$3005,S$5,請求記録!$AD$6:$AD$3005,"保留中")&gt;0,"保留",IF(COUNTIFS(請求記録!$B$6:$B$3005,$A221,請求記録!$X$6:$X$3005,S$5)=0,"",SUMIFS(請求記録!$AC$6:$AC$3005,請求記録!$B$6:$B$3005,$A221,請求記録!$X$6:$X$3005,S$5))))</f>
        <v/>
      </c>
      <c r="T221" s="19">
        <f>IF($A221="","",IF(COUNTIFS(請求記録!$B$6:$B$3005,$A221,請求記録!$X$6:$X$3005,T$5,請求記録!$AD$6:$AD$3005,"保留中")&gt;0,"保留",IF(COUNTIFS(請求記録!$B$6:$B$3005,$A221,請求記録!$X$6:$X$3005,T$5)=0,"",SUMIFS(請求記録!$AC$6:$AC$3005,請求記録!$B$6:$B$3005,$A221,請求記録!$X$6:$X$3005,T$5))))</f>
        <v/>
      </c>
      <c r="U221" s="19">
        <f>IF($A221="","",IF(COUNTIFS(請求記録!$B$6:$B$3005,$A221,請求記録!$X$6:$X$3005,U$5,請求記録!$AD$6:$AD$3005,"保留中")&gt;0,"保留",IF(COUNTIFS(請求記録!$B$6:$B$3005,$A221,請求記録!$X$6:$X$3005,U$5)=0,"",SUMIFS(請求記録!$AC$6:$AC$3005,請求記録!$B$6:$B$3005,$A221,請求記録!$X$6:$X$3005,U$5))))</f>
        <v/>
      </c>
      <c r="V221" s="19">
        <f>IF($A221="","",IF(COUNTIFS(請求記録!$B$6:$B$3005,$A221,請求記録!$X$6:$X$3005,V$5,請求記録!$AD$6:$AD$3005,"保留中")&gt;0,"保留",IF(COUNTIFS(請求記録!$B$6:$B$3005,$A221,請求記録!$X$6:$X$3005,V$5)=0,"",SUMIFS(請求記録!$AC$6:$AC$3005,請求記録!$B$6:$B$3005,$A221,請求記録!$X$6:$X$3005,V$5))))</f>
        <v/>
      </c>
      <c r="W221" s="19">
        <f>IF($A221="","",IF(COUNTIFS(請求記録!$B$6:$B$3005,$A221,請求記録!$X$6:$X$3005,W$5,請求記録!$AD$6:$AD$3005,"保留中")&gt;0,"保留",IF(COUNTIFS(請求記録!$B$6:$B$3005,$A221,請求記録!$X$6:$X$3005,W$5)=0,"",SUMIFS(請求記録!$AC$6:$AC$3005,請求記録!$B$6:$B$3005,$A221,請求記録!$X$6:$X$3005,W$5))))</f>
        <v/>
      </c>
      <c r="X221" s="19">
        <f>IF($A221="","",IF(COUNTIFS(請求記録!$B$6:$B$3005,$A221,請求記録!$X$6:$X$3005,X$5,請求記録!$AD$6:$AD$3005,"保留中")&gt;0,"保留",IF(COUNTIFS(請求記録!$B$6:$B$3005,$A221,請求記録!$X$6:$X$3005,X$5)=0,"",SUMIFS(請求記録!$AC$6:$AC$3005,請求記録!$B$6:$B$3005,$A221,請求記録!$X$6:$X$3005,X$5))))</f>
        <v/>
      </c>
      <c r="Y221" s="19">
        <f>IF($A221="","",IF(COUNTIFS(請求記録!$B$6:$B$3005,$A221,請求記録!$X$6:$X$3005,Y$5,請求記録!$AD$6:$AD$3005,"保留中")&gt;0,"保留",IF(COUNTIFS(請求記録!$B$6:$B$3005,$A221,請求記録!$X$6:$X$3005,Y$5)=0,"",SUMIFS(請求記録!$AC$6:$AC$3005,請求記録!$B$6:$B$3005,$A221,請求記録!$X$6:$X$3005,Y$5))))</f>
        <v/>
      </c>
      <c r="Z221" s="19">
        <f>IF($A221="","",IF(COUNTIFS(請求記録!$B$6:$B$3005,$A221,請求記録!$X$6:$X$3005,Z$5,請求記録!$AD$6:$AD$3005,"保留中")&gt;0,"保留",IF(COUNTIFS(請求記録!$B$6:$B$3005,$A221,請求記録!$X$6:$X$3005,Z$5)=0,"",SUMIFS(請求記録!$AC$6:$AC$3005,請求記録!$B$6:$B$3005,$A221,請求記録!$X$6:$X$3005,Z$5))))</f>
        <v/>
      </c>
      <c r="AA221" s="19">
        <f>IF($A221="","",IF(COUNTIFS(請求記録!$B$6:$B$3005,$A221,請求記録!$X$6:$X$3005,AA$5,請求記録!$AD$6:$AD$3005,"保留中")&gt;0,"保留",IF(COUNTIFS(請求記録!$B$6:$B$3005,$A221,請求記録!$X$6:$X$3005,AA$5)=0,"",SUMIFS(請求記録!$AC$6:$AC$3005,請求記録!$B$6:$B$3005,$A221,請求記録!$X$6:$X$3005,AA$5))))</f>
        <v/>
      </c>
      <c r="AB221">
        <f>IF(職員マスタ!P221="保留中",職員マスタ!M221,"")</f>
        <v/>
      </c>
    </row>
    <row r="222">
      <c r="A222">
        <f>IF(職員マスタ!A222="","",職員マスタ!A222)</f>
        <v/>
      </c>
      <c r="B222">
        <f>IF($A222="","",職員マスタ!B222)</f>
        <v/>
      </c>
      <c r="C222">
        <f>IF($A222="","",職員マスタ!C222)</f>
        <v/>
      </c>
      <c r="D222" s="19">
        <f>IF($A222="","",IF(COUNTIFS(請求記録!$B$6:$B$3005,$A222,請求記録!$X$6:$X$3005,D$5,請求記録!$AD$6:$AD$3005,"保留中")&gt;0,"保留",IF(COUNTIFS(請求記録!$B$6:$B$3005,$A222,請求記録!$X$6:$X$3005,D$5)=0,"",SUMIFS(請求記録!$AC$6:$AC$3005,請求記録!$B$6:$B$3005,$A222,請求記録!$X$6:$X$3005,D$5))))</f>
        <v/>
      </c>
      <c r="E222" s="19">
        <f>IF($A222="","",IF(COUNTIFS(請求記録!$B$6:$B$3005,$A222,請求記録!$X$6:$X$3005,E$5,請求記録!$AD$6:$AD$3005,"保留中")&gt;0,"保留",IF(COUNTIFS(請求記録!$B$6:$B$3005,$A222,請求記録!$X$6:$X$3005,E$5)=0,"",SUMIFS(請求記録!$AC$6:$AC$3005,請求記録!$B$6:$B$3005,$A222,請求記録!$X$6:$X$3005,E$5))))</f>
        <v/>
      </c>
      <c r="F222" s="19">
        <f>IF($A222="","",IF(COUNTIFS(請求記録!$B$6:$B$3005,$A222,請求記録!$X$6:$X$3005,F$5,請求記録!$AD$6:$AD$3005,"保留中")&gt;0,"保留",IF(COUNTIFS(請求記録!$B$6:$B$3005,$A222,請求記録!$X$6:$X$3005,F$5)=0,"",SUMIFS(請求記録!$AC$6:$AC$3005,請求記録!$B$6:$B$3005,$A222,請求記録!$X$6:$X$3005,F$5))))</f>
        <v/>
      </c>
      <c r="G222" s="19">
        <f>IF($A222="","",IF(COUNTIFS(請求記録!$B$6:$B$3005,$A222,請求記録!$X$6:$X$3005,G$5,請求記録!$AD$6:$AD$3005,"保留中")&gt;0,"保留",IF(COUNTIFS(請求記録!$B$6:$B$3005,$A222,請求記録!$X$6:$X$3005,G$5)=0,"",SUMIFS(請求記録!$AC$6:$AC$3005,請求記録!$B$6:$B$3005,$A222,請求記録!$X$6:$X$3005,G$5))))</f>
        <v/>
      </c>
      <c r="H222" s="19">
        <f>IF($A222="","",IF(COUNTIFS(請求記録!$B$6:$B$3005,$A222,請求記録!$X$6:$X$3005,H$5,請求記録!$AD$6:$AD$3005,"保留中")&gt;0,"保留",IF(COUNTIFS(請求記録!$B$6:$B$3005,$A222,請求記録!$X$6:$X$3005,H$5)=0,"",SUMIFS(請求記録!$AC$6:$AC$3005,請求記録!$B$6:$B$3005,$A222,請求記録!$X$6:$X$3005,H$5))))</f>
        <v/>
      </c>
      <c r="I222" s="19">
        <f>IF($A222="","",IF(COUNTIFS(請求記録!$B$6:$B$3005,$A222,請求記録!$X$6:$X$3005,I$5,請求記録!$AD$6:$AD$3005,"保留中")&gt;0,"保留",IF(COUNTIFS(請求記録!$B$6:$B$3005,$A222,請求記録!$X$6:$X$3005,I$5)=0,"",SUMIFS(請求記録!$AC$6:$AC$3005,請求記録!$B$6:$B$3005,$A222,請求記録!$X$6:$X$3005,I$5))))</f>
        <v/>
      </c>
      <c r="J222" s="19">
        <f>IF($A222="","",IF(COUNTIFS(請求記録!$B$6:$B$3005,$A222,請求記録!$X$6:$X$3005,J$5,請求記録!$AD$6:$AD$3005,"保留中")&gt;0,"保留",IF(COUNTIFS(請求記録!$B$6:$B$3005,$A222,請求記録!$X$6:$X$3005,J$5)=0,"",SUMIFS(請求記録!$AC$6:$AC$3005,請求記録!$B$6:$B$3005,$A222,請求記録!$X$6:$X$3005,J$5))))</f>
        <v/>
      </c>
      <c r="K222" s="19">
        <f>IF($A222="","",IF(COUNTIFS(請求記録!$B$6:$B$3005,$A222,請求記録!$X$6:$X$3005,K$5,請求記録!$AD$6:$AD$3005,"保留中")&gt;0,"保留",IF(COUNTIFS(請求記録!$B$6:$B$3005,$A222,請求記録!$X$6:$X$3005,K$5)=0,"",SUMIFS(請求記録!$AC$6:$AC$3005,請求記録!$B$6:$B$3005,$A222,請求記録!$X$6:$X$3005,K$5))))</f>
        <v/>
      </c>
      <c r="L222" s="19">
        <f>IF($A222="","",IF(COUNTIFS(請求記録!$B$6:$B$3005,$A222,請求記録!$X$6:$X$3005,L$5,請求記録!$AD$6:$AD$3005,"保留中")&gt;0,"保留",IF(COUNTIFS(請求記録!$B$6:$B$3005,$A222,請求記録!$X$6:$X$3005,L$5)=0,"",SUMIFS(請求記録!$AC$6:$AC$3005,請求記録!$B$6:$B$3005,$A222,請求記録!$X$6:$X$3005,L$5))))</f>
        <v/>
      </c>
      <c r="M222" s="19">
        <f>IF($A222="","",IF(COUNTIFS(請求記録!$B$6:$B$3005,$A222,請求記録!$X$6:$X$3005,M$5,請求記録!$AD$6:$AD$3005,"保留中")&gt;0,"保留",IF(COUNTIFS(請求記録!$B$6:$B$3005,$A222,請求記録!$X$6:$X$3005,M$5)=0,"",SUMIFS(請求記録!$AC$6:$AC$3005,請求記録!$B$6:$B$3005,$A222,請求記録!$X$6:$X$3005,M$5))))</f>
        <v/>
      </c>
      <c r="N222" s="19">
        <f>IF($A222="","",IF(COUNTIFS(請求記録!$B$6:$B$3005,$A222,請求記録!$X$6:$X$3005,N$5,請求記録!$AD$6:$AD$3005,"保留中")&gt;0,"保留",IF(COUNTIFS(請求記録!$B$6:$B$3005,$A222,請求記録!$X$6:$X$3005,N$5)=0,"",SUMIFS(請求記録!$AC$6:$AC$3005,請求記録!$B$6:$B$3005,$A222,請求記録!$X$6:$X$3005,N$5))))</f>
        <v/>
      </c>
      <c r="O222" s="19">
        <f>IF($A222="","",IF(COUNTIFS(請求記録!$B$6:$B$3005,$A222,請求記録!$X$6:$X$3005,O$5,請求記録!$AD$6:$AD$3005,"保留中")&gt;0,"保留",IF(COUNTIFS(請求記録!$B$6:$B$3005,$A222,請求記録!$X$6:$X$3005,O$5)=0,"",SUMIFS(請求記録!$AC$6:$AC$3005,請求記録!$B$6:$B$3005,$A222,請求記録!$X$6:$X$3005,O$5))))</f>
        <v/>
      </c>
      <c r="P222" s="19">
        <f>IF($A222="","",IF(COUNTIFS(請求記録!$B$6:$B$3005,$A222,請求記録!$X$6:$X$3005,P$5,請求記録!$AD$6:$AD$3005,"保留中")&gt;0,"保留",IF(COUNTIFS(請求記録!$B$6:$B$3005,$A222,請求記録!$X$6:$X$3005,P$5)=0,"",SUMIFS(請求記録!$AC$6:$AC$3005,請求記録!$B$6:$B$3005,$A222,請求記録!$X$6:$X$3005,P$5))))</f>
        <v/>
      </c>
      <c r="Q222" s="19">
        <f>IF($A222="","",IF(COUNTIFS(請求記録!$B$6:$B$3005,$A222,請求記録!$X$6:$X$3005,Q$5,請求記録!$AD$6:$AD$3005,"保留中")&gt;0,"保留",IF(COUNTIFS(請求記録!$B$6:$B$3005,$A222,請求記録!$X$6:$X$3005,Q$5)=0,"",SUMIFS(請求記録!$AC$6:$AC$3005,請求記録!$B$6:$B$3005,$A222,請求記録!$X$6:$X$3005,Q$5))))</f>
        <v/>
      </c>
      <c r="R222" s="19">
        <f>IF($A222="","",IF(COUNTIFS(請求記録!$B$6:$B$3005,$A222,請求記録!$X$6:$X$3005,R$5,請求記録!$AD$6:$AD$3005,"保留中")&gt;0,"保留",IF(COUNTIFS(請求記録!$B$6:$B$3005,$A222,請求記録!$X$6:$X$3005,R$5)=0,"",SUMIFS(請求記録!$AC$6:$AC$3005,請求記録!$B$6:$B$3005,$A222,請求記録!$X$6:$X$3005,R$5))))</f>
        <v/>
      </c>
      <c r="S222" s="19">
        <f>IF($A222="","",IF(COUNTIFS(請求記録!$B$6:$B$3005,$A222,請求記録!$X$6:$X$3005,S$5,請求記録!$AD$6:$AD$3005,"保留中")&gt;0,"保留",IF(COUNTIFS(請求記録!$B$6:$B$3005,$A222,請求記録!$X$6:$X$3005,S$5)=0,"",SUMIFS(請求記録!$AC$6:$AC$3005,請求記録!$B$6:$B$3005,$A222,請求記録!$X$6:$X$3005,S$5))))</f>
        <v/>
      </c>
      <c r="T222" s="19">
        <f>IF($A222="","",IF(COUNTIFS(請求記録!$B$6:$B$3005,$A222,請求記録!$X$6:$X$3005,T$5,請求記録!$AD$6:$AD$3005,"保留中")&gt;0,"保留",IF(COUNTIFS(請求記録!$B$6:$B$3005,$A222,請求記録!$X$6:$X$3005,T$5)=0,"",SUMIFS(請求記録!$AC$6:$AC$3005,請求記録!$B$6:$B$3005,$A222,請求記録!$X$6:$X$3005,T$5))))</f>
        <v/>
      </c>
      <c r="U222" s="19">
        <f>IF($A222="","",IF(COUNTIFS(請求記録!$B$6:$B$3005,$A222,請求記録!$X$6:$X$3005,U$5,請求記録!$AD$6:$AD$3005,"保留中")&gt;0,"保留",IF(COUNTIFS(請求記録!$B$6:$B$3005,$A222,請求記録!$X$6:$X$3005,U$5)=0,"",SUMIFS(請求記録!$AC$6:$AC$3005,請求記録!$B$6:$B$3005,$A222,請求記録!$X$6:$X$3005,U$5))))</f>
        <v/>
      </c>
      <c r="V222" s="19">
        <f>IF($A222="","",IF(COUNTIFS(請求記録!$B$6:$B$3005,$A222,請求記録!$X$6:$X$3005,V$5,請求記録!$AD$6:$AD$3005,"保留中")&gt;0,"保留",IF(COUNTIFS(請求記録!$B$6:$B$3005,$A222,請求記録!$X$6:$X$3005,V$5)=0,"",SUMIFS(請求記録!$AC$6:$AC$3005,請求記録!$B$6:$B$3005,$A222,請求記録!$X$6:$X$3005,V$5))))</f>
        <v/>
      </c>
      <c r="W222" s="19">
        <f>IF($A222="","",IF(COUNTIFS(請求記録!$B$6:$B$3005,$A222,請求記録!$X$6:$X$3005,W$5,請求記録!$AD$6:$AD$3005,"保留中")&gt;0,"保留",IF(COUNTIFS(請求記録!$B$6:$B$3005,$A222,請求記録!$X$6:$X$3005,W$5)=0,"",SUMIFS(請求記録!$AC$6:$AC$3005,請求記録!$B$6:$B$3005,$A222,請求記録!$X$6:$X$3005,W$5))))</f>
        <v/>
      </c>
      <c r="X222" s="19">
        <f>IF($A222="","",IF(COUNTIFS(請求記録!$B$6:$B$3005,$A222,請求記録!$X$6:$X$3005,X$5,請求記録!$AD$6:$AD$3005,"保留中")&gt;0,"保留",IF(COUNTIFS(請求記録!$B$6:$B$3005,$A222,請求記録!$X$6:$X$3005,X$5)=0,"",SUMIFS(請求記録!$AC$6:$AC$3005,請求記録!$B$6:$B$3005,$A222,請求記録!$X$6:$X$3005,X$5))))</f>
        <v/>
      </c>
      <c r="Y222" s="19">
        <f>IF($A222="","",IF(COUNTIFS(請求記録!$B$6:$B$3005,$A222,請求記録!$X$6:$X$3005,Y$5,請求記録!$AD$6:$AD$3005,"保留中")&gt;0,"保留",IF(COUNTIFS(請求記録!$B$6:$B$3005,$A222,請求記録!$X$6:$X$3005,Y$5)=0,"",SUMIFS(請求記録!$AC$6:$AC$3005,請求記録!$B$6:$B$3005,$A222,請求記録!$X$6:$X$3005,Y$5))))</f>
        <v/>
      </c>
      <c r="Z222" s="19">
        <f>IF($A222="","",IF(COUNTIFS(請求記録!$B$6:$B$3005,$A222,請求記録!$X$6:$X$3005,Z$5,請求記録!$AD$6:$AD$3005,"保留中")&gt;0,"保留",IF(COUNTIFS(請求記録!$B$6:$B$3005,$A222,請求記録!$X$6:$X$3005,Z$5)=0,"",SUMIFS(請求記録!$AC$6:$AC$3005,請求記録!$B$6:$B$3005,$A222,請求記録!$X$6:$X$3005,Z$5))))</f>
        <v/>
      </c>
      <c r="AA222" s="19">
        <f>IF($A222="","",IF(COUNTIFS(請求記録!$B$6:$B$3005,$A222,請求記録!$X$6:$X$3005,AA$5,請求記録!$AD$6:$AD$3005,"保留中")&gt;0,"保留",IF(COUNTIFS(請求記録!$B$6:$B$3005,$A222,請求記録!$X$6:$X$3005,AA$5)=0,"",SUMIFS(請求記録!$AC$6:$AC$3005,請求記録!$B$6:$B$3005,$A222,請求記録!$X$6:$X$3005,AA$5))))</f>
        <v/>
      </c>
      <c r="AB222">
        <f>IF(職員マスタ!P222="保留中",職員マスタ!M222,"")</f>
        <v/>
      </c>
    </row>
    <row r="223">
      <c r="A223">
        <f>IF(職員マスタ!A223="","",職員マスタ!A223)</f>
        <v/>
      </c>
      <c r="B223">
        <f>IF($A223="","",職員マスタ!B223)</f>
        <v/>
      </c>
      <c r="C223">
        <f>IF($A223="","",職員マスタ!C223)</f>
        <v/>
      </c>
      <c r="D223" s="19">
        <f>IF($A223="","",IF(COUNTIFS(請求記録!$B$6:$B$3005,$A223,請求記録!$X$6:$X$3005,D$5,請求記録!$AD$6:$AD$3005,"保留中")&gt;0,"保留",IF(COUNTIFS(請求記録!$B$6:$B$3005,$A223,請求記録!$X$6:$X$3005,D$5)=0,"",SUMIFS(請求記録!$AC$6:$AC$3005,請求記録!$B$6:$B$3005,$A223,請求記録!$X$6:$X$3005,D$5))))</f>
        <v/>
      </c>
      <c r="E223" s="19">
        <f>IF($A223="","",IF(COUNTIFS(請求記録!$B$6:$B$3005,$A223,請求記録!$X$6:$X$3005,E$5,請求記録!$AD$6:$AD$3005,"保留中")&gt;0,"保留",IF(COUNTIFS(請求記録!$B$6:$B$3005,$A223,請求記録!$X$6:$X$3005,E$5)=0,"",SUMIFS(請求記録!$AC$6:$AC$3005,請求記録!$B$6:$B$3005,$A223,請求記録!$X$6:$X$3005,E$5))))</f>
        <v/>
      </c>
      <c r="F223" s="19">
        <f>IF($A223="","",IF(COUNTIFS(請求記録!$B$6:$B$3005,$A223,請求記録!$X$6:$X$3005,F$5,請求記録!$AD$6:$AD$3005,"保留中")&gt;0,"保留",IF(COUNTIFS(請求記録!$B$6:$B$3005,$A223,請求記録!$X$6:$X$3005,F$5)=0,"",SUMIFS(請求記録!$AC$6:$AC$3005,請求記録!$B$6:$B$3005,$A223,請求記録!$X$6:$X$3005,F$5))))</f>
        <v/>
      </c>
      <c r="G223" s="19">
        <f>IF($A223="","",IF(COUNTIFS(請求記録!$B$6:$B$3005,$A223,請求記録!$X$6:$X$3005,G$5,請求記録!$AD$6:$AD$3005,"保留中")&gt;0,"保留",IF(COUNTIFS(請求記録!$B$6:$B$3005,$A223,請求記録!$X$6:$X$3005,G$5)=0,"",SUMIFS(請求記録!$AC$6:$AC$3005,請求記録!$B$6:$B$3005,$A223,請求記録!$X$6:$X$3005,G$5))))</f>
        <v/>
      </c>
      <c r="H223" s="19">
        <f>IF($A223="","",IF(COUNTIFS(請求記録!$B$6:$B$3005,$A223,請求記録!$X$6:$X$3005,H$5,請求記録!$AD$6:$AD$3005,"保留中")&gt;0,"保留",IF(COUNTIFS(請求記録!$B$6:$B$3005,$A223,請求記録!$X$6:$X$3005,H$5)=0,"",SUMIFS(請求記録!$AC$6:$AC$3005,請求記録!$B$6:$B$3005,$A223,請求記録!$X$6:$X$3005,H$5))))</f>
        <v/>
      </c>
      <c r="I223" s="19">
        <f>IF($A223="","",IF(COUNTIFS(請求記録!$B$6:$B$3005,$A223,請求記録!$X$6:$X$3005,I$5,請求記録!$AD$6:$AD$3005,"保留中")&gt;0,"保留",IF(COUNTIFS(請求記録!$B$6:$B$3005,$A223,請求記録!$X$6:$X$3005,I$5)=0,"",SUMIFS(請求記録!$AC$6:$AC$3005,請求記録!$B$6:$B$3005,$A223,請求記録!$X$6:$X$3005,I$5))))</f>
        <v/>
      </c>
      <c r="J223" s="19">
        <f>IF($A223="","",IF(COUNTIFS(請求記録!$B$6:$B$3005,$A223,請求記録!$X$6:$X$3005,J$5,請求記録!$AD$6:$AD$3005,"保留中")&gt;0,"保留",IF(COUNTIFS(請求記録!$B$6:$B$3005,$A223,請求記録!$X$6:$X$3005,J$5)=0,"",SUMIFS(請求記録!$AC$6:$AC$3005,請求記録!$B$6:$B$3005,$A223,請求記録!$X$6:$X$3005,J$5))))</f>
        <v/>
      </c>
      <c r="K223" s="19">
        <f>IF($A223="","",IF(COUNTIFS(請求記録!$B$6:$B$3005,$A223,請求記録!$X$6:$X$3005,K$5,請求記録!$AD$6:$AD$3005,"保留中")&gt;0,"保留",IF(COUNTIFS(請求記録!$B$6:$B$3005,$A223,請求記録!$X$6:$X$3005,K$5)=0,"",SUMIFS(請求記録!$AC$6:$AC$3005,請求記録!$B$6:$B$3005,$A223,請求記録!$X$6:$X$3005,K$5))))</f>
        <v/>
      </c>
      <c r="L223" s="19">
        <f>IF($A223="","",IF(COUNTIFS(請求記録!$B$6:$B$3005,$A223,請求記録!$X$6:$X$3005,L$5,請求記録!$AD$6:$AD$3005,"保留中")&gt;0,"保留",IF(COUNTIFS(請求記録!$B$6:$B$3005,$A223,請求記録!$X$6:$X$3005,L$5)=0,"",SUMIFS(請求記録!$AC$6:$AC$3005,請求記録!$B$6:$B$3005,$A223,請求記録!$X$6:$X$3005,L$5))))</f>
        <v/>
      </c>
      <c r="M223" s="19">
        <f>IF($A223="","",IF(COUNTIFS(請求記録!$B$6:$B$3005,$A223,請求記録!$X$6:$X$3005,M$5,請求記録!$AD$6:$AD$3005,"保留中")&gt;0,"保留",IF(COUNTIFS(請求記録!$B$6:$B$3005,$A223,請求記録!$X$6:$X$3005,M$5)=0,"",SUMIFS(請求記録!$AC$6:$AC$3005,請求記録!$B$6:$B$3005,$A223,請求記録!$X$6:$X$3005,M$5))))</f>
        <v/>
      </c>
      <c r="N223" s="19">
        <f>IF($A223="","",IF(COUNTIFS(請求記録!$B$6:$B$3005,$A223,請求記録!$X$6:$X$3005,N$5,請求記録!$AD$6:$AD$3005,"保留中")&gt;0,"保留",IF(COUNTIFS(請求記録!$B$6:$B$3005,$A223,請求記録!$X$6:$X$3005,N$5)=0,"",SUMIFS(請求記録!$AC$6:$AC$3005,請求記録!$B$6:$B$3005,$A223,請求記録!$X$6:$X$3005,N$5))))</f>
        <v/>
      </c>
      <c r="O223" s="19">
        <f>IF($A223="","",IF(COUNTIFS(請求記録!$B$6:$B$3005,$A223,請求記録!$X$6:$X$3005,O$5,請求記録!$AD$6:$AD$3005,"保留中")&gt;0,"保留",IF(COUNTIFS(請求記録!$B$6:$B$3005,$A223,請求記録!$X$6:$X$3005,O$5)=0,"",SUMIFS(請求記録!$AC$6:$AC$3005,請求記録!$B$6:$B$3005,$A223,請求記録!$X$6:$X$3005,O$5))))</f>
        <v/>
      </c>
      <c r="P223" s="19">
        <f>IF($A223="","",IF(COUNTIFS(請求記録!$B$6:$B$3005,$A223,請求記録!$X$6:$X$3005,P$5,請求記録!$AD$6:$AD$3005,"保留中")&gt;0,"保留",IF(COUNTIFS(請求記録!$B$6:$B$3005,$A223,請求記録!$X$6:$X$3005,P$5)=0,"",SUMIFS(請求記録!$AC$6:$AC$3005,請求記録!$B$6:$B$3005,$A223,請求記録!$X$6:$X$3005,P$5))))</f>
        <v/>
      </c>
      <c r="Q223" s="19">
        <f>IF($A223="","",IF(COUNTIFS(請求記録!$B$6:$B$3005,$A223,請求記録!$X$6:$X$3005,Q$5,請求記録!$AD$6:$AD$3005,"保留中")&gt;0,"保留",IF(COUNTIFS(請求記録!$B$6:$B$3005,$A223,請求記録!$X$6:$X$3005,Q$5)=0,"",SUMIFS(請求記録!$AC$6:$AC$3005,請求記録!$B$6:$B$3005,$A223,請求記録!$X$6:$X$3005,Q$5))))</f>
        <v/>
      </c>
      <c r="R223" s="19">
        <f>IF($A223="","",IF(COUNTIFS(請求記録!$B$6:$B$3005,$A223,請求記録!$X$6:$X$3005,R$5,請求記録!$AD$6:$AD$3005,"保留中")&gt;0,"保留",IF(COUNTIFS(請求記録!$B$6:$B$3005,$A223,請求記録!$X$6:$X$3005,R$5)=0,"",SUMIFS(請求記録!$AC$6:$AC$3005,請求記録!$B$6:$B$3005,$A223,請求記録!$X$6:$X$3005,R$5))))</f>
        <v/>
      </c>
      <c r="S223" s="19">
        <f>IF($A223="","",IF(COUNTIFS(請求記録!$B$6:$B$3005,$A223,請求記録!$X$6:$X$3005,S$5,請求記録!$AD$6:$AD$3005,"保留中")&gt;0,"保留",IF(COUNTIFS(請求記録!$B$6:$B$3005,$A223,請求記録!$X$6:$X$3005,S$5)=0,"",SUMIFS(請求記録!$AC$6:$AC$3005,請求記録!$B$6:$B$3005,$A223,請求記録!$X$6:$X$3005,S$5))))</f>
        <v/>
      </c>
      <c r="T223" s="19">
        <f>IF($A223="","",IF(COUNTIFS(請求記録!$B$6:$B$3005,$A223,請求記録!$X$6:$X$3005,T$5,請求記録!$AD$6:$AD$3005,"保留中")&gt;0,"保留",IF(COUNTIFS(請求記録!$B$6:$B$3005,$A223,請求記録!$X$6:$X$3005,T$5)=0,"",SUMIFS(請求記録!$AC$6:$AC$3005,請求記録!$B$6:$B$3005,$A223,請求記録!$X$6:$X$3005,T$5))))</f>
        <v/>
      </c>
      <c r="U223" s="19">
        <f>IF($A223="","",IF(COUNTIFS(請求記録!$B$6:$B$3005,$A223,請求記録!$X$6:$X$3005,U$5,請求記録!$AD$6:$AD$3005,"保留中")&gt;0,"保留",IF(COUNTIFS(請求記録!$B$6:$B$3005,$A223,請求記録!$X$6:$X$3005,U$5)=0,"",SUMIFS(請求記録!$AC$6:$AC$3005,請求記録!$B$6:$B$3005,$A223,請求記録!$X$6:$X$3005,U$5))))</f>
        <v/>
      </c>
      <c r="V223" s="19">
        <f>IF($A223="","",IF(COUNTIFS(請求記録!$B$6:$B$3005,$A223,請求記録!$X$6:$X$3005,V$5,請求記録!$AD$6:$AD$3005,"保留中")&gt;0,"保留",IF(COUNTIFS(請求記録!$B$6:$B$3005,$A223,請求記録!$X$6:$X$3005,V$5)=0,"",SUMIFS(請求記録!$AC$6:$AC$3005,請求記録!$B$6:$B$3005,$A223,請求記録!$X$6:$X$3005,V$5))))</f>
        <v/>
      </c>
      <c r="W223" s="19">
        <f>IF($A223="","",IF(COUNTIFS(請求記録!$B$6:$B$3005,$A223,請求記録!$X$6:$X$3005,W$5,請求記録!$AD$6:$AD$3005,"保留中")&gt;0,"保留",IF(COUNTIFS(請求記録!$B$6:$B$3005,$A223,請求記録!$X$6:$X$3005,W$5)=0,"",SUMIFS(請求記録!$AC$6:$AC$3005,請求記録!$B$6:$B$3005,$A223,請求記録!$X$6:$X$3005,W$5))))</f>
        <v/>
      </c>
      <c r="X223" s="19">
        <f>IF($A223="","",IF(COUNTIFS(請求記録!$B$6:$B$3005,$A223,請求記録!$X$6:$X$3005,X$5,請求記録!$AD$6:$AD$3005,"保留中")&gt;0,"保留",IF(COUNTIFS(請求記録!$B$6:$B$3005,$A223,請求記録!$X$6:$X$3005,X$5)=0,"",SUMIFS(請求記録!$AC$6:$AC$3005,請求記録!$B$6:$B$3005,$A223,請求記録!$X$6:$X$3005,X$5))))</f>
        <v/>
      </c>
      <c r="Y223" s="19">
        <f>IF($A223="","",IF(COUNTIFS(請求記録!$B$6:$B$3005,$A223,請求記録!$X$6:$X$3005,Y$5,請求記録!$AD$6:$AD$3005,"保留中")&gt;0,"保留",IF(COUNTIFS(請求記録!$B$6:$B$3005,$A223,請求記録!$X$6:$X$3005,Y$5)=0,"",SUMIFS(請求記録!$AC$6:$AC$3005,請求記録!$B$6:$B$3005,$A223,請求記録!$X$6:$X$3005,Y$5))))</f>
        <v/>
      </c>
      <c r="Z223" s="19">
        <f>IF($A223="","",IF(COUNTIFS(請求記録!$B$6:$B$3005,$A223,請求記録!$X$6:$X$3005,Z$5,請求記録!$AD$6:$AD$3005,"保留中")&gt;0,"保留",IF(COUNTIFS(請求記録!$B$6:$B$3005,$A223,請求記録!$X$6:$X$3005,Z$5)=0,"",SUMIFS(請求記録!$AC$6:$AC$3005,請求記録!$B$6:$B$3005,$A223,請求記録!$X$6:$X$3005,Z$5))))</f>
        <v/>
      </c>
      <c r="AA223" s="19">
        <f>IF($A223="","",IF(COUNTIFS(請求記録!$B$6:$B$3005,$A223,請求記録!$X$6:$X$3005,AA$5,請求記録!$AD$6:$AD$3005,"保留中")&gt;0,"保留",IF(COUNTIFS(請求記録!$B$6:$B$3005,$A223,請求記録!$X$6:$X$3005,AA$5)=0,"",SUMIFS(請求記録!$AC$6:$AC$3005,請求記録!$B$6:$B$3005,$A223,請求記録!$X$6:$X$3005,AA$5))))</f>
        <v/>
      </c>
      <c r="AB223">
        <f>IF(職員マスタ!P223="保留中",職員マスタ!M223,"")</f>
        <v/>
      </c>
    </row>
    <row r="224">
      <c r="A224">
        <f>IF(職員マスタ!A224="","",職員マスタ!A224)</f>
        <v/>
      </c>
      <c r="B224">
        <f>IF($A224="","",職員マスタ!B224)</f>
        <v/>
      </c>
      <c r="C224">
        <f>IF($A224="","",職員マスタ!C224)</f>
        <v/>
      </c>
      <c r="D224" s="19">
        <f>IF($A224="","",IF(COUNTIFS(請求記録!$B$6:$B$3005,$A224,請求記録!$X$6:$X$3005,D$5,請求記録!$AD$6:$AD$3005,"保留中")&gt;0,"保留",IF(COUNTIFS(請求記録!$B$6:$B$3005,$A224,請求記録!$X$6:$X$3005,D$5)=0,"",SUMIFS(請求記録!$AC$6:$AC$3005,請求記録!$B$6:$B$3005,$A224,請求記録!$X$6:$X$3005,D$5))))</f>
        <v/>
      </c>
      <c r="E224" s="19">
        <f>IF($A224="","",IF(COUNTIFS(請求記録!$B$6:$B$3005,$A224,請求記録!$X$6:$X$3005,E$5,請求記録!$AD$6:$AD$3005,"保留中")&gt;0,"保留",IF(COUNTIFS(請求記録!$B$6:$B$3005,$A224,請求記録!$X$6:$X$3005,E$5)=0,"",SUMIFS(請求記録!$AC$6:$AC$3005,請求記録!$B$6:$B$3005,$A224,請求記録!$X$6:$X$3005,E$5))))</f>
        <v/>
      </c>
      <c r="F224" s="19">
        <f>IF($A224="","",IF(COUNTIFS(請求記録!$B$6:$B$3005,$A224,請求記録!$X$6:$X$3005,F$5,請求記録!$AD$6:$AD$3005,"保留中")&gt;0,"保留",IF(COUNTIFS(請求記録!$B$6:$B$3005,$A224,請求記録!$X$6:$X$3005,F$5)=0,"",SUMIFS(請求記録!$AC$6:$AC$3005,請求記録!$B$6:$B$3005,$A224,請求記録!$X$6:$X$3005,F$5))))</f>
        <v/>
      </c>
      <c r="G224" s="19">
        <f>IF($A224="","",IF(COUNTIFS(請求記録!$B$6:$B$3005,$A224,請求記録!$X$6:$X$3005,G$5,請求記録!$AD$6:$AD$3005,"保留中")&gt;0,"保留",IF(COUNTIFS(請求記録!$B$6:$B$3005,$A224,請求記録!$X$6:$X$3005,G$5)=0,"",SUMIFS(請求記録!$AC$6:$AC$3005,請求記録!$B$6:$B$3005,$A224,請求記録!$X$6:$X$3005,G$5))))</f>
        <v/>
      </c>
      <c r="H224" s="19">
        <f>IF($A224="","",IF(COUNTIFS(請求記録!$B$6:$B$3005,$A224,請求記録!$X$6:$X$3005,H$5,請求記録!$AD$6:$AD$3005,"保留中")&gt;0,"保留",IF(COUNTIFS(請求記録!$B$6:$B$3005,$A224,請求記録!$X$6:$X$3005,H$5)=0,"",SUMIFS(請求記録!$AC$6:$AC$3005,請求記録!$B$6:$B$3005,$A224,請求記録!$X$6:$X$3005,H$5))))</f>
        <v/>
      </c>
      <c r="I224" s="19">
        <f>IF($A224="","",IF(COUNTIFS(請求記録!$B$6:$B$3005,$A224,請求記録!$X$6:$X$3005,I$5,請求記録!$AD$6:$AD$3005,"保留中")&gt;0,"保留",IF(COUNTIFS(請求記録!$B$6:$B$3005,$A224,請求記録!$X$6:$X$3005,I$5)=0,"",SUMIFS(請求記録!$AC$6:$AC$3005,請求記録!$B$6:$B$3005,$A224,請求記録!$X$6:$X$3005,I$5))))</f>
        <v/>
      </c>
      <c r="J224" s="19">
        <f>IF($A224="","",IF(COUNTIFS(請求記録!$B$6:$B$3005,$A224,請求記録!$X$6:$X$3005,J$5,請求記録!$AD$6:$AD$3005,"保留中")&gt;0,"保留",IF(COUNTIFS(請求記録!$B$6:$B$3005,$A224,請求記録!$X$6:$X$3005,J$5)=0,"",SUMIFS(請求記録!$AC$6:$AC$3005,請求記録!$B$6:$B$3005,$A224,請求記録!$X$6:$X$3005,J$5))))</f>
        <v/>
      </c>
      <c r="K224" s="19">
        <f>IF($A224="","",IF(COUNTIFS(請求記録!$B$6:$B$3005,$A224,請求記録!$X$6:$X$3005,K$5,請求記録!$AD$6:$AD$3005,"保留中")&gt;0,"保留",IF(COUNTIFS(請求記録!$B$6:$B$3005,$A224,請求記録!$X$6:$X$3005,K$5)=0,"",SUMIFS(請求記録!$AC$6:$AC$3005,請求記録!$B$6:$B$3005,$A224,請求記録!$X$6:$X$3005,K$5))))</f>
        <v/>
      </c>
      <c r="L224" s="19">
        <f>IF($A224="","",IF(COUNTIFS(請求記録!$B$6:$B$3005,$A224,請求記録!$X$6:$X$3005,L$5,請求記録!$AD$6:$AD$3005,"保留中")&gt;0,"保留",IF(COUNTIFS(請求記録!$B$6:$B$3005,$A224,請求記録!$X$6:$X$3005,L$5)=0,"",SUMIFS(請求記録!$AC$6:$AC$3005,請求記録!$B$6:$B$3005,$A224,請求記録!$X$6:$X$3005,L$5))))</f>
        <v/>
      </c>
      <c r="M224" s="19">
        <f>IF($A224="","",IF(COUNTIFS(請求記録!$B$6:$B$3005,$A224,請求記録!$X$6:$X$3005,M$5,請求記録!$AD$6:$AD$3005,"保留中")&gt;0,"保留",IF(COUNTIFS(請求記録!$B$6:$B$3005,$A224,請求記録!$X$6:$X$3005,M$5)=0,"",SUMIFS(請求記録!$AC$6:$AC$3005,請求記録!$B$6:$B$3005,$A224,請求記録!$X$6:$X$3005,M$5))))</f>
        <v/>
      </c>
      <c r="N224" s="19">
        <f>IF($A224="","",IF(COUNTIFS(請求記録!$B$6:$B$3005,$A224,請求記録!$X$6:$X$3005,N$5,請求記録!$AD$6:$AD$3005,"保留中")&gt;0,"保留",IF(COUNTIFS(請求記録!$B$6:$B$3005,$A224,請求記録!$X$6:$X$3005,N$5)=0,"",SUMIFS(請求記録!$AC$6:$AC$3005,請求記録!$B$6:$B$3005,$A224,請求記録!$X$6:$X$3005,N$5))))</f>
        <v/>
      </c>
      <c r="O224" s="19">
        <f>IF($A224="","",IF(COUNTIFS(請求記録!$B$6:$B$3005,$A224,請求記録!$X$6:$X$3005,O$5,請求記録!$AD$6:$AD$3005,"保留中")&gt;0,"保留",IF(COUNTIFS(請求記録!$B$6:$B$3005,$A224,請求記録!$X$6:$X$3005,O$5)=0,"",SUMIFS(請求記録!$AC$6:$AC$3005,請求記録!$B$6:$B$3005,$A224,請求記録!$X$6:$X$3005,O$5))))</f>
        <v/>
      </c>
      <c r="P224" s="19">
        <f>IF($A224="","",IF(COUNTIFS(請求記録!$B$6:$B$3005,$A224,請求記録!$X$6:$X$3005,P$5,請求記録!$AD$6:$AD$3005,"保留中")&gt;0,"保留",IF(COUNTIFS(請求記録!$B$6:$B$3005,$A224,請求記録!$X$6:$X$3005,P$5)=0,"",SUMIFS(請求記録!$AC$6:$AC$3005,請求記録!$B$6:$B$3005,$A224,請求記録!$X$6:$X$3005,P$5))))</f>
        <v/>
      </c>
      <c r="Q224" s="19">
        <f>IF($A224="","",IF(COUNTIFS(請求記録!$B$6:$B$3005,$A224,請求記録!$X$6:$X$3005,Q$5,請求記録!$AD$6:$AD$3005,"保留中")&gt;0,"保留",IF(COUNTIFS(請求記録!$B$6:$B$3005,$A224,請求記録!$X$6:$X$3005,Q$5)=0,"",SUMIFS(請求記録!$AC$6:$AC$3005,請求記録!$B$6:$B$3005,$A224,請求記録!$X$6:$X$3005,Q$5))))</f>
        <v/>
      </c>
      <c r="R224" s="19">
        <f>IF($A224="","",IF(COUNTIFS(請求記録!$B$6:$B$3005,$A224,請求記録!$X$6:$X$3005,R$5,請求記録!$AD$6:$AD$3005,"保留中")&gt;0,"保留",IF(COUNTIFS(請求記録!$B$6:$B$3005,$A224,請求記録!$X$6:$X$3005,R$5)=0,"",SUMIFS(請求記録!$AC$6:$AC$3005,請求記録!$B$6:$B$3005,$A224,請求記録!$X$6:$X$3005,R$5))))</f>
        <v/>
      </c>
      <c r="S224" s="19">
        <f>IF($A224="","",IF(COUNTIFS(請求記録!$B$6:$B$3005,$A224,請求記録!$X$6:$X$3005,S$5,請求記録!$AD$6:$AD$3005,"保留中")&gt;0,"保留",IF(COUNTIFS(請求記録!$B$6:$B$3005,$A224,請求記録!$X$6:$X$3005,S$5)=0,"",SUMIFS(請求記録!$AC$6:$AC$3005,請求記録!$B$6:$B$3005,$A224,請求記録!$X$6:$X$3005,S$5))))</f>
        <v/>
      </c>
      <c r="T224" s="19">
        <f>IF($A224="","",IF(COUNTIFS(請求記録!$B$6:$B$3005,$A224,請求記録!$X$6:$X$3005,T$5,請求記録!$AD$6:$AD$3005,"保留中")&gt;0,"保留",IF(COUNTIFS(請求記録!$B$6:$B$3005,$A224,請求記録!$X$6:$X$3005,T$5)=0,"",SUMIFS(請求記録!$AC$6:$AC$3005,請求記録!$B$6:$B$3005,$A224,請求記録!$X$6:$X$3005,T$5))))</f>
        <v/>
      </c>
      <c r="U224" s="19">
        <f>IF($A224="","",IF(COUNTIFS(請求記録!$B$6:$B$3005,$A224,請求記録!$X$6:$X$3005,U$5,請求記録!$AD$6:$AD$3005,"保留中")&gt;0,"保留",IF(COUNTIFS(請求記録!$B$6:$B$3005,$A224,請求記録!$X$6:$X$3005,U$5)=0,"",SUMIFS(請求記録!$AC$6:$AC$3005,請求記録!$B$6:$B$3005,$A224,請求記録!$X$6:$X$3005,U$5))))</f>
        <v/>
      </c>
      <c r="V224" s="19">
        <f>IF($A224="","",IF(COUNTIFS(請求記録!$B$6:$B$3005,$A224,請求記録!$X$6:$X$3005,V$5,請求記録!$AD$6:$AD$3005,"保留中")&gt;0,"保留",IF(COUNTIFS(請求記録!$B$6:$B$3005,$A224,請求記録!$X$6:$X$3005,V$5)=0,"",SUMIFS(請求記録!$AC$6:$AC$3005,請求記録!$B$6:$B$3005,$A224,請求記録!$X$6:$X$3005,V$5))))</f>
        <v/>
      </c>
      <c r="W224" s="19">
        <f>IF($A224="","",IF(COUNTIFS(請求記録!$B$6:$B$3005,$A224,請求記録!$X$6:$X$3005,W$5,請求記録!$AD$6:$AD$3005,"保留中")&gt;0,"保留",IF(COUNTIFS(請求記録!$B$6:$B$3005,$A224,請求記録!$X$6:$X$3005,W$5)=0,"",SUMIFS(請求記録!$AC$6:$AC$3005,請求記録!$B$6:$B$3005,$A224,請求記録!$X$6:$X$3005,W$5))))</f>
        <v/>
      </c>
      <c r="X224" s="19">
        <f>IF($A224="","",IF(COUNTIFS(請求記録!$B$6:$B$3005,$A224,請求記録!$X$6:$X$3005,X$5,請求記録!$AD$6:$AD$3005,"保留中")&gt;0,"保留",IF(COUNTIFS(請求記録!$B$6:$B$3005,$A224,請求記録!$X$6:$X$3005,X$5)=0,"",SUMIFS(請求記録!$AC$6:$AC$3005,請求記録!$B$6:$B$3005,$A224,請求記録!$X$6:$X$3005,X$5))))</f>
        <v/>
      </c>
      <c r="Y224" s="19">
        <f>IF($A224="","",IF(COUNTIFS(請求記録!$B$6:$B$3005,$A224,請求記録!$X$6:$X$3005,Y$5,請求記録!$AD$6:$AD$3005,"保留中")&gt;0,"保留",IF(COUNTIFS(請求記録!$B$6:$B$3005,$A224,請求記録!$X$6:$X$3005,Y$5)=0,"",SUMIFS(請求記録!$AC$6:$AC$3005,請求記録!$B$6:$B$3005,$A224,請求記録!$X$6:$X$3005,Y$5))))</f>
        <v/>
      </c>
      <c r="Z224" s="19">
        <f>IF($A224="","",IF(COUNTIFS(請求記録!$B$6:$B$3005,$A224,請求記録!$X$6:$X$3005,Z$5,請求記録!$AD$6:$AD$3005,"保留中")&gt;0,"保留",IF(COUNTIFS(請求記録!$B$6:$B$3005,$A224,請求記録!$X$6:$X$3005,Z$5)=0,"",SUMIFS(請求記録!$AC$6:$AC$3005,請求記録!$B$6:$B$3005,$A224,請求記録!$X$6:$X$3005,Z$5))))</f>
        <v/>
      </c>
      <c r="AA224" s="19">
        <f>IF($A224="","",IF(COUNTIFS(請求記録!$B$6:$B$3005,$A224,請求記録!$X$6:$X$3005,AA$5,請求記録!$AD$6:$AD$3005,"保留中")&gt;0,"保留",IF(COUNTIFS(請求記録!$B$6:$B$3005,$A224,請求記録!$X$6:$X$3005,AA$5)=0,"",SUMIFS(請求記録!$AC$6:$AC$3005,請求記録!$B$6:$B$3005,$A224,請求記録!$X$6:$X$3005,AA$5))))</f>
        <v/>
      </c>
      <c r="AB224">
        <f>IF(職員マスタ!P224="保留中",職員マスタ!M224,"")</f>
        <v/>
      </c>
    </row>
    <row r="225">
      <c r="A225">
        <f>IF(職員マスタ!A225="","",職員マスタ!A225)</f>
        <v/>
      </c>
      <c r="B225">
        <f>IF($A225="","",職員マスタ!B225)</f>
        <v/>
      </c>
      <c r="C225">
        <f>IF($A225="","",職員マスタ!C225)</f>
        <v/>
      </c>
      <c r="D225" s="19">
        <f>IF($A225="","",IF(COUNTIFS(請求記録!$B$6:$B$3005,$A225,請求記録!$X$6:$X$3005,D$5,請求記録!$AD$6:$AD$3005,"保留中")&gt;0,"保留",IF(COUNTIFS(請求記録!$B$6:$B$3005,$A225,請求記録!$X$6:$X$3005,D$5)=0,"",SUMIFS(請求記録!$AC$6:$AC$3005,請求記録!$B$6:$B$3005,$A225,請求記録!$X$6:$X$3005,D$5))))</f>
        <v/>
      </c>
      <c r="E225" s="19">
        <f>IF($A225="","",IF(COUNTIFS(請求記録!$B$6:$B$3005,$A225,請求記録!$X$6:$X$3005,E$5,請求記録!$AD$6:$AD$3005,"保留中")&gt;0,"保留",IF(COUNTIFS(請求記録!$B$6:$B$3005,$A225,請求記録!$X$6:$X$3005,E$5)=0,"",SUMIFS(請求記録!$AC$6:$AC$3005,請求記録!$B$6:$B$3005,$A225,請求記録!$X$6:$X$3005,E$5))))</f>
        <v/>
      </c>
      <c r="F225" s="19">
        <f>IF($A225="","",IF(COUNTIFS(請求記録!$B$6:$B$3005,$A225,請求記録!$X$6:$X$3005,F$5,請求記録!$AD$6:$AD$3005,"保留中")&gt;0,"保留",IF(COUNTIFS(請求記録!$B$6:$B$3005,$A225,請求記録!$X$6:$X$3005,F$5)=0,"",SUMIFS(請求記録!$AC$6:$AC$3005,請求記録!$B$6:$B$3005,$A225,請求記録!$X$6:$X$3005,F$5))))</f>
        <v/>
      </c>
      <c r="G225" s="19">
        <f>IF($A225="","",IF(COUNTIFS(請求記録!$B$6:$B$3005,$A225,請求記録!$X$6:$X$3005,G$5,請求記録!$AD$6:$AD$3005,"保留中")&gt;0,"保留",IF(COUNTIFS(請求記録!$B$6:$B$3005,$A225,請求記録!$X$6:$X$3005,G$5)=0,"",SUMIFS(請求記録!$AC$6:$AC$3005,請求記録!$B$6:$B$3005,$A225,請求記録!$X$6:$X$3005,G$5))))</f>
        <v/>
      </c>
      <c r="H225" s="19">
        <f>IF($A225="","",IF(COUNTIFS(請求記録!$B$6:$B$3005,$A225,請求記録!$X$6:$X$3005,H$5,請求記録!$AD$6:$AD$3005,"保留中")&gt;0,"保留",IF(COUNTIFS(請求記録!$B$6:$B$3005,$A225,請求記録!$X$6:$X$3005,H$5)=0,"",SUMIFS(請求記録!$AC$6:$AC$3005,請求記録!$B$6:$B$3005,$A225,請求記録!$X$6:$X$3005,H$5))))</f>
        <v/>
      </c>
      <c r="I225" s="19">
        <f>IF($A225="","",IF(COUNTIFS(請求記録!$B$6:$B$3005,$A225,請求記録!$X$6:$X$3005,I$5,請求記録!$AD$6:$AD$3005,"保留中")&gt;0,"保留",IF(COUNTIFS(請求記録!$B$6:$B$3005,$A225,請求記録!$X$6:$X$3005,I$5)=0,"",SUMIFS(請求記録!$AC$6:$AC$3005,請求記録!$B$6:$B$3005,$A225,請求記録!$X$6:$X$3005,I$5))))</f>
        <v/>
      </c>
      <c r="J225" s="19">
        <f>IF($A225="","",IF(COUNTIFS(請求記録!$B$6:$B$3005,$A225,請求記録!$X$6:$X$3005,J$5,請求記録!$AD$6:$AD$3005,"保留中")&gt;0,"保留",IF(COUNTIFS(請求記録!$B$6:$B$3005,$A225,請求記録!$X$6:$X$3005,J$5)=0,"",SUMIFS(請求記録!$AC$6:$AC$3005,請求記録!$B$6:$B$3005,$A225,請求記録!$X$6:$X$3005,J$5))))</f>
        <v/>
      </c>
      <c r="K225" s="19">
        <f>IF($A225="","",IF(COUNTIFS(請求記録!$B$6:$B$3005,$A225,請求記録!$X$6:$X$3005,K$5,請求記録!$AD$6:$AD$3005,"保留中")&gt;0,"保留",IF(COUNTIFS(請求記録!$B$6:$B$3005,$A225,請求記録!$X$6:$X$3005,K$5)=0,"",SUMIFS(請求記録!$AC$6:$AC$3005,請求記録!$B$6:$B$3005,$A225,請求記録!$X$6:$X$3005,K$5))))</f>
        <v/>
      </c>
      <c r="L225" s="19">
        <f>IF($A225="","",IF(COUNTIFS(請求記録!$B$6:$B$3005,$A225,請求記録!$X$6:$X$3005,L$5,請求記録!$AD$6:$AD$3005,"保留中")&gt;0,"保留",IF(COUNTIFS(請求記録!$B$6:$B$3005,$A225,請求記録!$X$6:$X$3005,L$5)=0,"",SUMIFS(請求記録!$AC$6:$AC$3005,請求記録!$B$6:$B$3005,$A225,請求記録!$X$6:$X$3005,L$5))))</f>
        <v/>
      </c>
      <c r="M225" s="19">
        <f>IF($A225="","",IF(COUNTIFS(請求記録!$B$6:$B$3005,$A225,請求記録!$X$6:$X$3005,M$5,請求記録!$AD$6:$AD$3005,"保留中")&gt;0,"保留",IF(COUNTIFS(請求記録!$B$6:$B$3005,$A225,請求記録!$X$6:$X$3005,M$5)=0,"",SUMIFS(請求記録!$AC$6:$AC$3005,請求記録!$B$6:$B$3005,$A225,請求記録!$X$6:$X$3005,M$5))))</f>
        <v/>
      </c>
      <c r="N225" s="19">
        <f>IF($A225="","",IF(COUNTIFS(請求記録!$B$6:$B$3005,$A225,請求記録!$X$6:$X$3005,N$5,請求記録!$AD$6:$AD$3005,"保留中")&gt;0,"保留",IF(COUNTIFS(請求記録!$B$6:$B$3005,$A225,請求記録!$X$6:$X$3005,N$5)=0,"",SUMIFS(請求記録!$AC$6:$AC$3005,請求記録!$B$6:$B$3005,$A225,請求記録!$X$6:$X$3005,N$5))))</f>
        <v/>
      </c>
      <c r="O225" s="19">
        <f>IF($A225="","",IF(COUNTIFS(請求記録!$B$6:$B$3005,$A225,請求記録!$X$6:$X$3005,O$5,請求記録!$AD$6:$AD$3005,"保留中")&gt;0,"保留",IF(COUNTIFS(請求記録!$B$6:$B$3005,$A225,請求記録!$X$6:$X$3005,O$5)=0,"",SUMIFS(請求記録!$AC$6:$AC$3005,請求記録!$B$6:$B$3005,$A225,請求記録!$X$6:$X$3005,O$5))))</f>
        <v/>
      </c>
      <c r="P225" s="19">
        <f>IF($A225="","",IF(COUNTIFS(請求記録!$B$6:$B$3005,$A225,請求記録!$X$6:$X$3005,P$5,請求記録!$AD$6:$AD$3005,"保留中")&gt;0,"保留",IF(COUNTIFS(請求記録!$B$6:$B$3005,$A225,請求記録!$X$6:$X$3005,P$5)=0,"",SUMIFS(請求記録!$AC$6:$AC$3005,請求記録!$B$6:$B$3005,$A225,請求記録!$X$6:$X$3005,P$5))))</f>
        <v/>
      </c>
      <c r="Q225" s="19">
        <f>IF($A225="","",IF(COUNTIFS(請求記録!$B$6:$B$3005,$A225,請求記録!$X$6:$X$3005,Q$5,請求記録!$AD$6:$AD$3005,"保留中")&gt;0,"保留",IF(COUNTIFS(請求記録!$B$6:$B$3005,$A225,請求記録!$X$6:$X$3005,Q$5)=0,"",SUMIFS(請求記録!$AC$6:$AC$3005,請求記録!$B$6:$B$3005,$A225,請求記録!$X$6:$X$3005,Q$5))))</f>
        <v/>
      </c>
      <c r="R225" s="19">
        <f>IF($A225="","",IF(COUNTIFS(請求記録!$B$6:$B$3005,$A225,請求記録!$X$6:$X$3005,R$5,請求記録!$AD$6:$AD$3005,"保留中")&gt;0,"保留",IF(COUNTIFS(請求記録!$B$6:$B$3005,$A225,請求記録!$X$6:$X$3005,R$5)=0,"",SUMIFS(請求記録!$AC$6:$AC$3005,請求記録!$B$6:$B$3005,$A225,請求記録!$X$6:$X$3005,R$5))))</f>
        <v/>
      </c>
      <c r="S225" s="19">
        <f>IF($A225="","",IF(COUNTIFS(請求記録!$B$6:$B$3005,$A225,請求記録!$X$6:$X$3005,S$5,請求記録!$AD$6:$AD$3005,"保留中")&gt;0,"保留",IF(COUNTIFS(請求記録!$B$6:$B$3005,$A225,請求記録!$X$6:$X$3005,S$5)=0,"",SUMIFS(請求記録!$AC$6:$AC$3005,請求記録!$B$6:$B$3005,$A225,請求記録!$X$6:$X$3005,S$5))))</f>
        <v/>
      </c>
      <c r="T225" s="19">
        <f>IF($A225="","",IF(COUNTIFS(請求記録!$B$6:$B$3005,$A225,請求記録!$X$6:$X$3005,T$5,請求記録!$AD$6:$AD$3005,"保留中")&gt;0,"保留",IF(COUNTIFS(請求記録!$B$6:$B$3005,$A225,請求記録!$X$6:$X$3005,T$5)=0,"",SUMIFS(請求記録!$AC$6:$AC$3005,請求記録!$B$6:$B$3005,$A225,請求記録!$X$6:$X$3005,T$5))))</f>
        <v/>
      </c>
      <c r="U225" s="19">
        <f>IF($A225="","",IF(COUNTIFS(請求記録!$B$6:$B$3005,$A225,請求記録!$X$6:$X$3005,U$5,請求記録!$AD$6:$AD$3005,"保留中")&gt;0,"保留",IF(COUNTIFS(請求記録!$B$6:$B$3005,$A225,請求記録!$X$6:$X$3005,U$5)=0,"",SUMIFS(請求記録!$AC$6:$AC$3005,請求記録!$B$6:$B$3005,$A225,請求記録!$X$6:$X$3005,U$5))))</f>
        <v/>
      </c>
      <c r="V225" s="19">
        <f>IF($A225="","",IF(COUNTIFS(請求記録!$B$6:$B$3005,$A225,請求記録!$X$6:$X$3005,V$5,請求記録!$AD$6:$AD$3005,"保留中")&gt;0,"保留",IF(COUNTIFS(請求記録!$B$6:$B$3005,$A225,請求記録!$X$6:$X$3005,V$5)=0,"",SUMIFS(請求記録!$AC$6:$AC$3005,請求記録!$B$6:$B$3005,$A225,請求記録!$X$6:$X$3005,V$5))))</f>
        <v/>
      </c>
      <c r="W225" s="19">
        <f>IF($A225="","",IF(COUNTIFS(請求記録!$B$6:$B$3005,$A225,請求記録!$X$6:$X$3005,W$5,請求記録!$AD$6:$AD$3005,"保留中")&gt;0,"保留",IF(COUNTIFS(請求記録!$B$6:$B$3005,$A225,請求記録!$X$6:$X$3005,W$5)=0,"",SUMIFS(請求記録!$AC$6:$AC$3005,請求記録!$B$6:$B$3005,$A225,請求記録!$X$6:$X$3005,W$5))))</f>
        <v/>
      </c>
      <c r="X225" s="19">
        <f>IF($A225="","",IF(COUNTIFS(請求記録!$B$6:$B$3005,$A225,請求記録!$X$6:$X$3005,X$5,請求記録!$AD$6:$AD$3005,"保留中")&gt;0,"保留",IF(COUNTIFS(請求記録!$B$6:$B$3005,$A225,請求記録!$X$6:$X$3005,X$5)=0,"",SUMIFS(請求記録!$AC$6:$AC$3005,請求記録!$B$6:$B$3005,$A225,請求記録!$X$6:$X$3005,X$5))))</f>
        <v/>
      </c>
      <c r="Y225" s="19">
        <f>IF($A225="","",IF(COUNTIFS(請求記録!$B$6:$B$3005,$A225,請求記録!$X$6:$X$3005,Y$5,請求記録!$AD$6:$AD$3005,"保留中")&gt;0,"保留",IF(COUNTIFS(請求記録!$B$6:$B$3005,$A225,請求記録!$X$6:$X$3005,Y$5)=0,"",SUMIFS(請求記録!$AC$6:$AC$3005,請求記録!$B$6:$B$3005,$A225,請求記録!$X$6:$X$3005,Y$5))))</f>
        <v/>
      </c>
      <c r="Z225" s="19">
        <f>IF($A225="","",IF(COUNTIFS(請求記録!$B$6:$B$3005,$A225,請求記録!$X$6:$X$3005,Z$5,請求記録!$AD$6:$AD$3005,"保留中")&gt;0,"保留",IF(COUNTIFS(請求記録!$B$6:$B$3005,$A225,請求記録!$X$6:$X$3005,Z$5)=0,"",SUMIFS(請求記録!$AC$6:$AC$3005,請求記録!$B$6:$B$3005,$A225,請求記録!$X$6:$X$3005,Z$5))))</f>
        <v/>
      </c>
      <c r="AA225" s="19">
        <f>IF($A225="","",IF(COUNTIFS(請求記録!$B$6:$B$3005,$A225,請求記録!$X$6:$X$3005,AA$5,請求記録!$AD$6:$AD$3005,"保留中")&gt;0,"保留",IF(COUNTIFS(請求記録!$B$6:$B$3005,$A225,請求記録!$X$6:$X$3005,AA$5)=0,"",SUMIFS(請求記録!$AC$6:$AC$3005,請求記録!$B$6:$B$3005,$A225,請求記録!$X$6:$X$3005,AA$5))))</f>
        <v/>
      </c>
      <c r="AB225">
        <f>IF(職員マスタ!P225="保留中",職員マスタ!M225,"")</f>
        <v/>
      </c>
    </row>
    <row r="226">
      <c r="A226">
        <f>IF(職員マスタ!A226="","",職員マスタ!A226)</f>
        <v/>
      </c>
      <c r="B226">
        <f>IF($A226="","",職員マスタ!B226)</f>
        <v/>
      </c>
      <c r="C226">
        <f>IF($A226="","",職員マスタ!C226)</f>
        <v/>
      </c>
      <c r="D226" s="19">
        <f>IF($A226="","",IF(COUNTIFS(請求記録!$B$6:$B$3005,$A226,請求記録!$X$6:$X$3005,D$5,請求記録!$AD$6:$AD$3005,"保留中")&gt;0,"保留",IF(COUNTIFS(請求記録!$B$6:$B$3005,$A226,請求記録!$X$6:$X$3005,D$5)=0,"",SUMIFS(請求記録!$AC$6:$AC$3005,請求記録!$B$6:$B$3005,$A226,請求記録!$X$6:$X$3005,D$5))))</f>
        <v/>
      </c>
      <c r="E226" s="19">
        <f>IF($A226="","",IF(COUNTIFS(請求記録!$B$6:$B$3005,$A226,請求記録!$X$6:$X$3005,E$5,請求記録!$AD$6:$AD$3005,"保留中")&gt;0,"保留",IF(COUNTIFS(請求記録!$B$6:$B$3005,$A226,請求記録!$X$6:$X$3005,E$5)=0,"",SUMIFS(請求記録!$AC$6:$AC$3005,請求記録!$B$6:$B$3005,$A226,請求記録!$X$6:$X$3005,E$5))))</f>
        <v/>
      </c>
      <c r="F226" s="19">
        <f>IF($A226="","",IF(COUNTIFS(請求記録!$B$6:$B$3005,$A226,請求記録!$X$6:$X$3005,F$5,請求記録!$AD$6:$AD$3005,"保留中")&gt;0,"保留",IF(COUNTIFS(請求記録!$B$6:$B$3005,$A226,請求記録!$X$6:$X$3005,F$5)=0,"",SUMIFS(請求記録!$AC$6:$AC$3005,請求記録!$B$6:$B$3005,$A226,請求記録!$X$6:$X$3005,F$5))))</f>
        <v/>
      </c>
      <c r="G226" s="19">
        <f>IF($A226="","",IF(COUNTIFS(請求記録!$B$6:$B$3005,$A226,請求記録!$X$6:$X$3005,G$5,請求記録!$AD$6:$AD$3005,"保留中")&gt;0,"保留",IF(COUNTIFS(請求記録!$B$6:$B$3005,$A226,請求記録!$X$6:$X$3005,G$5)=0,"",SUMIFS(請求記録!$AC$6:$AC$3005,請求記録!$B$6:$B$3005,$A226,請求記録!$X$6:$X$3005,G$5))))</f>
        <v/>
      </c>
      <c r="H226" s="19">
        <f>IF($A226="","",IF(COUNTIFS(請求記録!$B$6:$B$3005,$A226,請求記録!$X$6:$X$3005,H$5,請求記録!$AD$6:$AD$3005,"保留中")&gt;0,"保留",IF(COUNTIFS(請求記録!$B$6:$B$3005,$A226,請求記録!$X$6:$X$3005,H$5)=0,"",SUMIFS(請求記録!$AC$6:$AC$3005,請求記録!$B$6:$B$3005,$A226,請求記録!$X$6:$X$3005,H$5))))</f>
        <v/>
      </c>
      <c r="I226" s="19">
        <f>IF($A226="","",IF(COUNTIFS(請求記録!$B$6:$B$3005,$A226,請求記録!$X$6:$X$3005,I$5,請求記録!$AD$6:$AD$3005,"保留中")&gt;0,"保留",IF(COUNTIFS(請求記録!$B$6:$B$3005,$A226,請求記録!$X$6:$X$3005,I$5)=0,"",SUMIFS(請求記録!$AC$6:$AC$3005,請求記録!$B$6:$B$3005,$A226,請求記録!$X$6:$X$3005,I$5))))</f>
        <v/>
      </c>
      <c r="J226" s="19">
        <f>IF($A226="","",IF(COUNTIFS(請求記録!$B$6:$B$3005,$A226,請求記録!$X$6:$X$3005,J$5,請求記録!$AD$6:$AD$3005,"保留中")&gt;0,"保留",IF(COUNTIFS(請求記録!$B$6:$B$3005,$A226,請求記録!$X$6:$X$3005,J$5)=0,"",SUMIFS(請求記録!$AC$6:$AC$3005,請求記録!$B$6:$B$3005,$A226,請求記録!$X$6:$X$3005,J$5))))</f>
        <v/>
      </c>
      <c r="K226" s="19">
        <f>IF($A226="","",IF(COUNTIFS(請求記録!$B$6:$B$3005,$A226,請求記録!$X$6:$X$3005,K$5,請求記録!$AD$6:$AD$3005,"保留中")&gt;0,"保留",IF(COUNTIFS(請求記録!$B$6:$B$3005,$A226,請求記録!$X$6:$X$3005,K$5)=0,"",SUMIFS(請求記録!$AC$6:$AC$3005,請求記録!$B$6:$B$3005,$A226,請求記録!$X$6:$X$3005,K$5))))</f>
        <v/>
      </c>
      <c r="L226" s="19">
        <f>IF($A226="","",IF(COUNTIFS(請求記録!$B$6:$B$3005,$A226,請求記録!$X$6:$X$3005,L$5,請求記録!$AD$6:$AD$3005,"保留中")&gt;0,"保留",IF(COUNTIFS(請求記録!$B$6:$B$3005,$A226,請求記録!$X$6:$X$3005,L$5)=0,"",SUMIFS(請求記録!$AC$6:$AC$3005,請求記録!$B$6:$B$3005,$A226,請求記録!$X$6:$X$3005,L$5))))</f>
        <v/>
      </c>
      <c r="M226" s="19">
        <f>IF($A226="","",IF(COUNTIFS(請求記録!$B$6:$B$3005,$A226,請求記録!$X$6:$X$3005,M$5,請求記録!$AD$6:$AD$3005,"保留中")&gt;0,"保留",IF(COUNTIFS(請求記録!$B$6:$B$3005,$A226,請求記録!$X$6:$X$3005,M$5)=0,"",SUMIFS(請求記録!$AC$6:$AC$3005,請求記録!$B$6:$B$3005,$A226,請求記録!$X$6:$X$3005,M$5))))</f>
        <v/>
      </c>
      <c r="N226" s="19">
        <f>IF($A226="","",IF(COUNTIFS(請求記録!$B$6:$B$3005,$A226,請求記録!$X$6:$X$3005,N$5,請求記録!$AD$6:$AD$3005,"保留中")&gt;0,"保留",IF(COUNTIFS(請求記録!$B$6:$B$3005,$A226,請求記録!$X$6:$X$3005,N$5)=0,"",SUMIFS(請求記録!$AC$6:$AC$3005,請求記録!$B$6:$B$3005,$A226,請求記録!$X$6:$X$3005,N$5))))</f>
        <v/>
      </c>
      <c r="O226" s="19">
        <f>IF($A226="","",IF(COUNTIFS(請求記録!$B$6:$B$3005,$A226,請求記録!$X$6:$X$3005,O$5,請求記録!$AD$6:$AD$3005,"保留中")&gt;0,"保留",IF(COUNTIFS(請求記録!$B$6:$B$3005,$A226,請求記録!$X$6:$X$3005,O$5)=0,"",SUMIFS(請求記録!$AC$6:$AC$3005,請求記録!$B$6:$B$3005,$A226,請求記録!$X$6:$X$3005,O$5))))</f>
        <v/>
      </c>
      <c r="P226" s="19">
        <f>IF($A226="","",IF(COUNTIFS(請求記録!$B$6:$B$3005,$A226,請求記録!$X$6:$X$3005,P$5,請求記録!$AD$6:$AD$3005,"保留中")&gt;0,"保留",IF(COUNTIFS(請求記録!$B$6:$B$3005,$A226,請求記録!$X$6:$X$3005,P$5)=0,"",SUMIFS(請求記録!$AC$6:$AC$3005,請求記録!$B$6:$B$3005,$A226,請求記録!$X$6:$X$3005,P$5))))</f>
        <v/>
      </c>
      <c r="Q226" s="19">
        <f>IF($A226="","",IF(COUNTIFS(請求記録!$B$6:$B$3005,$A226,請求記録!$X$6:$X$3005,Q$5,請求記録!$AD$6:$AD$3005,"保留中")&gt;0,"保留",IF(COUNTIFS(請求記録!$B$6:$B$3005,$A226,請求記録!$X$6:$X$3005,Q$5)=0,"",SUMIFS(請求記録!$AC$6:$AC$3005,請求記録!$B$6:$B$3005,$A226,請求記録!$X$6:$X$3005,Q$5))))</f>
        <v/>
      </c>
      <c r="R226" s="19">
        <f>IF($A226="","",IF(COUNTIFS(請求記録!$B$6:$B$3005,$A226,請求記録!$X$6:$X$3005,R$5,請求記録!$AD$6:$AD$3005,"保留中")&gt;0,"保留",IF(COUNTIFS(請求記録!$B$6:$B$3005,$A226,請求記録!$X$6:$X$3005,R$5)=0,"",SUMIFS(請求記録!$AC$6:$AC$3005,請求記録!$B$6:$B$3005,$A226,請求記録!$X$6:$X$3005,R$5))))</f>
        <v/>
      </c>
      <c r="S226" s="19">
        <f>IF($A226="","",IF(COUNTIFS(請求記録!$B$6:$B$3005,$A226,請求記録!$X$6:$X$3005,S$5,請求記録!$AD$6:$AD$3005,"保留中")&gt;0,"保留",IF(COUNTIFS(請求記録!$B$6:$B$3005,$A226,請求記録!$X$6:$X$3005,S$5)=0,"",SUMIFS(請求記録!$AC$6:$AC$3005,請求記録!$B$6:$B$3005,$A226,請求記録!$X$6:$X$3005,S$5))))</f>
        <v/>
      </c>
      <c r="T226" s="19">
        <f>IF($A226="","",IF(COUNTIFS(請求記録!$B$6:$B$3005,$A226,請求記録!$X$6:$X$3005,T$5,請求記録!$AD$6:$AD$3005,"保留中")&gt;0,"保留",IF(COUNTIFS(請求記録!$B$6:$B$3005,$A226,請求記録!$X$6:$X$3005,T$5)=0,"",SUMIFS(請求記録!$AC$6:$AC$3005,請求記録!$B$6:$B$3005,$A226,請求記録!$X$6:$X$3005,T$5))))</f>
        <v/>
      </c>
      <c r="U226" s="19">
        <f>IF($A226="","",IF(COUNTIFS(請求記録!$B$6:$B$3005,$A226,請求記録!$X$6:$X$3005,U$5,請求記録!$AD$6:$AD$3005,"保留中")&gt;0,"保留",IF(COUNTIFS(請求記録!$B$6:$B$3005,$A226,請求記録!$X$6:$X$3005,U$5)=0,"",SUMIFS(請求記録!$AC$6:$AC$3005,請求記録!$B$6:$B$3005,$A226,請求記録!$X$6:$X$3005,U$5))))</f>
        <v/>
      </c>
      <c r="V226" s="19">
        <f>IF($A226="","",IF(COUNTIFS(請求記録!$B$6:$B$3005,$A226,請求記録!$X$6:$X$3005,V$5,請求記録!$AD$6:$AD$3005,"保留中")&gt;0,"保留",IF(COUNTIFS(請求記録!$B$6:$B$3005,$A226,請求記録!$X$6:$X$3005,V$5)=0,"",SUMIFS(請求記録!$AC$6:$AC$3005,請求記録!$B$6:$B$3005,$A226,請求記録!$X$6:$X$3005,V$5))))</f>
        <v/>
      </c>
      <c r="W226" s="19">
        <f>IF($A226="","",IF(COUNTIFS(請求記録!$B$6:$B$3005,$A226,請求記録!$X$6:$X$3005,W$5,請求記録!$AD$6:$AD$3005,"保留中")&gt;0,"保留",IF(COUNTIFS(請求記録!$B$6:$B$3005,$A226,請求記録!$X$6:$X$3005,W$5)=0,"",SUMIFS(請求記録!$AC$6:$AC$3005,請求記録!$B$6:$B$3005,$A226,請求記録!$X$6:$X$3005,W$5))))</f>
        <v/>
      </c>
      <c r="X226" s="19">
        <f>IF($A226="","",IF(COUNTIFS(請求記録!$B$6:$B$3005,$A226,請求記録!$X$6:$X$3005,X$5,請求記録!$AD$6:$AD$3005,"保留中")&gt;0,"保留",IF(COUNTIFS(請求記録!$B$6:$B$3005,$A226,請求記録!$X$6:$X$3005,X$5)=0,"",SUMIFS(請求記録!$AC$6:$AC$3005,請求記録!$B$6:$B$3005,$A226,請求記録!$X$6:$X$3005,X$5))))</f>
        <v/>
      </c>
      <c r="Y226" s="19">
        <f>IF($A226="","",IF(COUNTIFS(請求記録!$B$6:$B$3005,$A226,請求記録!$X$6:$X$3005,Y$5,請求記録!$AD$6:$AD$3005,"保留中")&gt;0,"保留",IF(COUNTIFS(請求記録!$B$6:$B$3005,$A226,請求記録!$X$6:$X$3005,Y$5)=0,"",SUMIFS(請求記録!$AC$6:$AC$3005,請求記録!$B$6:$B$3005,$A226,請求記録!$X$6:$X$3005,Y$5))))</f>
        <v/>
      </c>
      <c r="Z226" s="19">
        <f>IF($A226="","",IF(COUNTIFS(請求記録!$B$6:$B$3005,$A226,請求記録!$X$6:$X$3005,Z$5,請求記録!$AD$6:$AD$3005,"保留中")&gt;0,"保留",IF(COUNTIFS(請求記録!$B$6:$B$3005,$A226,請求記録!$X$6:$X$3005,Z$5)=0,"",SUMIFS(請求記録!$AC$6:$AC$3005,請求記録!$B$6:$B$3005,$A226,請求記録!$X$6:$X$3005,Z$5))))</f>
        <v/>
      </c>
      <c r="AA226" s="19">
        <f>IF($A226="","",IF(COUNTIFS(請求記録!$B$6:$B$3005,$A226,請求記録!$X$6:$X$3005,AA$5,請求記録!$AD$6:$AD$3005,"保留中")&gt;0,"保留",IF(COUNTIFS(請求記録!$B$6:$B$3005,$A226,請求記録!$X$6:$X$3005,AA$5)=0,"",SUMIFS(請求記録!$AC$6:$AC$3005,請求記録!$B$6:$B$3005,$A226,請求記録!$X$6:$X$3005,AA$5))))</f>
        <v/>
      </c>
      <c r="AB226">
        <f>IF(職員マスタ!P226="保留中",職員マスタ!M226,"")</f>
        <v/>
      </c>
    </row>
    <row r="227">
      <c r="A227">
        <f>IF(職員マスタ!A227="","",職員マスタ!A227)</f>
        <v/>
      </c>
      <c r="B227">
        <f>IF($A227="","",職員マスタ!B227)</f>
        <v/>
      </c>
      <c r="C227">
        <f>IF($A227="","",職員マスタ!C227)</f>
        <v/>
      </c>
      <c r="D227" s="19">
        <f>IF($A227="","",IF(COUNTIFS(請求記録!$B$6:$B$3005,$A227,請求記録!$X$6:$X$3005,D$5,請求記録!$AD$6:$AD$3005,"保留中")&gt;0,"保留",IF(COUNTIFS(請求記録!$B$6:$B$3005,$A227,請求記録!$X$6:$X$3005,D$5)=0,"",SUMIFS(請求記録!$AC$6:$AC$3005,請求記録!$B$6:$B$3005,$A227,請求記録!$X$6:$X$3005,D$5))))</f>
        <v/>
      </c>
      <c r="E227" s="19">
        <f>IF($A227="","",IF(COUNTIFS(請求記録!$B$6:$B$3005,$A227,請求記録!$X$6:$X$3005,E$5,請求記録!$AD$6:$AD$3005,"保留中")&gt;0,"保留",IF(COUNTIFS(請求記録!$B$6:$B$3005,$A227,請求記録!$X$6:$X$3005,E$5)=0,"",SUMIFS(請求記録!$AC$6:$AC$3005,請求記録!$B$6:$B$3005,$A227,請求記録!$X$6:$X$3005,E$5))))</f>
        <v/>
      </c>
      <c r="F227" s="19">
        <f>IF($A227="","",IF(COUNTIFS(請求記録!$B$6:$B$3005,$A227,請求記録!$X$6:$X$3005,F$5,請求記録!$AD$6:$AD$3005,"保留中")&gt;0,"保留",IF(COUNTIFS(請求記録!$B$6:$B$3005,$A227,請求記録!$X$6:$X$3005,F$5)=0,"",SUMIFS(請求記録!$AC$6:$AC$3005,請求記録!$B$6:$B$3005,$A227,請求記録!$X$6:$X$3005,F$5))))</f>
        <v/>
      </c>
      <c r="G227" s="19">
        <f>IF($A227="","",IF(COUNTIFS(請求記録!$B$6:$B$3005,$A227,請求記録!$X$6:$X$3005,G$5,請求記録!$AD$6:$AD$3005,"保留中")&gt;0,"保留",IF(COUNTIFS(請求記録!$B$6:$B$3005,$A227,請求記録!$X$6:$X$3005,G$5)=0,"",SUMIFS(請求記録!$AC$6:$AC$3005,請求記録!$B$6:$B$3005,$A227,請求記録!$X$6:$X$3005,G$5))))</f>
        <v/>
      </c>
      <c r="H227" s="19">
        <f>IF($A227="","",IF(COUNTIFS(請求記録!$B$6:$B$3005,$A227,請求記録!$X$6:$X$3005,H$5,請求記録!$AD$6:$AD$3005,"保留中")&gt;0,"保留",IF(COUNTIFS(請求記録!$B$6:$B$3005,$A227,請求記録!$X$6:$X$3005,H$5)=0,"",SUMIFS(請求記録!$AC$6:$AC$3005,請求記録!$B$6:$B$3005,$A227,請求記録!$X$6:$X$3005,H$5))))</f>
        <v/>
      </c>
      <c r="I227" s="19">
        <f>IF($A227="","",IF(COUNTIFS(請求記録!$B$6:$B$3005,$A227,請求記録!$X$6:$X$3005,I$5,請求記録!$AD$6:$AD$3005,"保留中")&gt;0,"保留",IF(COUNTIFS(請求記録!$B$6:$B$3005,$A227,請求記録!$X$6:$X$3005,I$5)=0,"",SUMIFS(請求記録!$AC$6:$AC$3005,請求記録!$B$6:$B$3005,$A227,請求記録!$X$6:$X$3005,I$5))))</f>
        <v/>
      </c>
      <c r="J227" s="19">
        <f>IF($A227="","",IF(COUNTIFS(請求記録!$B$6:$B$3005,$A227,請求記録!$X$6:$X$3005,J$5,請求記録!$AD$6:$AD$3005,"保留中")&gt;0,"保留",IF(COUNTIFS(請求記録!$B$6:$B$3005,$A227,請求記録!$X$6:$X$3005,J$5)=0,"",SUMIFS(請求記録!$AC$6:$AC$3005,請求記録!$B$6:$B$3005,$A227,請求記録!$X$6:$X$3005,J$5))))</f>
        <v/>
      </c>
      <c r="K227" s="19">
        <f>IF($A227="","",IF(COUNTIFS(請求記録!$B$6:$B$3005,$A227,請求記録!$X$6:$X$3005,K$5,請求記録!$AD$6:$AD$3005,"保留中")&gt;0,"保留",IF(COUNTIFS(請求記録!$B$6:$B$3005,$A227,請求記録!$X$6:$X$3005,K$5)=0,"",SUMIFS(請求記録!$AC$6:$AC$3005,請求記録!$B$6:$B$3005,$A227,請求記録!$X$6:$X$3005,K$5))))</f>
        <v/>
      </c>
      <c r="L227" s="19">
        <f>IF($A227="","",IF(COUNTIFS(請求記録!$B$6:$B$3005,$A227,請求記録!$X$6:$X$3005,L$5,請求記録!$AD$6:$AD$3005,"保留中")&gt;0,"保留",IF(COUNTIFS(請求記録!$B$6:$B$3005,$A227,請求記録!$X$6:$X$3005,L$5)=0,"",SUMIFS(請求記録!$AC$6:$AC$3005,請求記録!$B$6:$B$3005,$A227,請求記録!$X$6:$X$3005,L$5))))</f>
        <v/>
      </c>
      <c r="M227" s="19">
        <f>IF($A227="","",IF(COUNTIFS(請求記録!$B$6:$B$3005,$A227,請求記録!$X$6:$X$3005,M$5,請求記録!$AD$6:$AD$3005,"保留中")&gt;0,"保留",IF(COUNTIFS(請求記録!$B$6:$B$3005,$A227,請求記録!$X$6:$X$3005,M$5)=0,"",SUMIFS(請求記録!$AC$6:$AC$3005,請求記録!$B$6:$B$3005,$A227,請求記録!$X$6:$X$3005,M$5))))</f>
        <v/>
      </c>
      <c r="N227" s="19">
        <f>IF($A227="","",IF(COUNTIFS(請求記録!$B$6:$B$3005,$A227,請求記録!$X$6:$X$3005,N$5,請求記録!$AD$6:$AD$3005,"保留中")&gt;0,"保留",IF(COUNTIFS(請求記録!$B$6:$B$3005,$A227,請求記録!$X$6:$X$3005,N$5)=0,"",SUMIFS(請求記録!$AC$6:$AC$3005,請求記録!$B$6:$B$3005,$A227,請求記録!$X$6:$X$3005,N$5))))</f>
        <v/>
      </c>
      <c r="O227" s="19">
        <f>IF($A227="","",IF(COUNTIFS(請求記録!$B$6:$B$3005,$A227,請求記録!$X$6:$X$3005,O$5,請求記録!$AD$6:$AD$3005,"保留中")&gt;0,"保留",IF(COUNTIFS(請求記録!$B$6:$B$3005,$A227,請求記録!$X$6:$X$3005,O$5)=0,"",SUMIFS(請求記録!$AC$6:$AC$3005,請求記録!$B$6:$B$3005,$A227,請求記録!$X$6:$X$3005,O$5))))</f>
        <v/>
      </c>
      <c r="P227" s="19">
        <f>IF($A227="","",IF(COUNTIFS(請求記録!$B$6:$B$3005,$A227,請求記録!$X$6:$X$3005,P$5,請求記録!$AD$6:$AD$3005,"保留中")&gt;0,"保留",IF(COUNTIFS(請求記録!$B$6:$B$3005,$A227,請求記録!$X$6:$X$3005,P$5)=0,"",SUMIFS(請求記録!$AC$6:$AC$3005,請求記録!$B$6:$B$3005,$A227,請求記録!$X$6:$X$3005,P$5))))</f>
        <v/>
      </c>
      <c r="Q227" s="19">
        <f>IF($A227="","",IF(COUNTIFS(請求記録!$B$6:$B$3005,$A227,請求記録!$X$6:$X$3005,Q$5,請求記録!$AD$6:$AD$3005,"保留中")&gt;0,"保留",IF(COUNTIFS(請求記録!$B$6:$B$3005,$A227,請求記録!$X$6:$X$3005,Q$5)=0,"",SUMIFS(請求記録!$AC$6:$AC$3005,請求記録!$B$6:$B$3005,$A227,請求記録!$X$6:$X$3005,Q$5))))</f>
        <v/>
      </c>
      <c r="R227" s="19">
        <f>IF($A227="","",IF(COUNTIFS(請求記録!$B$6:$B$3005,$A227,請求記録!$X$6:$X$3005,R$5,請求記録!$AD$6:$AD$3005,"保留中")&gt;0,"保留",IF(COUNTIFS(請求記録!$B$6:$B$3005,$A227,請求記録!$X$6:$X$3005,R$5)=0,"",SUMIFS(請求記録!$AC$6:$AC$3005,請求記録!$B$6:$B$3005,$A227,請求記録!$X$6:$X$3005,R$5))))</f>
        <v/>
      </c>
      <c r="S227" s="19">
        <f>IF($A227="","",IF(COUNTIFS(請求記録!$B$6:$B$3005,$A227,請求記録!$X$6:$X$3005,S$5,請求記録!$AD$6:$AD$3005,"保留中")&gt;0,"保留",IF(COUNTIFS(請求記録!$B$6:$B$3005,$A227,請求記録!$X$6:$X$3005,S$5)=0,"",SUMIFS(請求記録!$AC$6:$AC$3005,請求記録!$B$6:$B$3005,$A227,請求記録!$X$6:$X$3005,S$5))))</f>
        <v/>
      </c>
      <c r="T227" s="19">
        <f>IF($A227="","",IF(COUNTIFS(請求記録!$B$6:$B$3005,$A227,請求記録!$X$6:$X$3005,T$5,請求記録!$AD$6:$AD$3005,"保留中")&gt;0,"保留",IF(COUNTIFS(請求記録!$B$6:$B$3005,$A227,請求記録!$X$6:$X$3005,T$5)=0,"",SUMIFS(請求記録!$AC$6:$AC$3005,請求記録!$B$6:$B$3005,$A227,請求記録!$X$6:$X$3005,T$5))))</f>
        <v/>
      </c>
      <c r="U227" s="19">
        <f>IF($A227="","",IF(COUNTIFS(請求記録!$B$6:$B$3005,$A227,請求記録!$X$6:$X$3005,U$5,請求記録!$AD$6:$AD$3005,"保留中")&gt;0,"保留",IF(COUNTIFS(請求記録!$B$6:$B$3005,$A227,請求記録!$X$6:$X$3005,U$5)=0,"",SUMIFS(請求記録!$AC$6:$AC$3005,請求記録!$B$6:$B$3005,$A227,請求記録!$X$6:$X$3005,U$5))))</f>
        <v/>
      </c>
      <c r="V227" s="19">
        <f>IF($A227="","",IF(COUNTIFS(請求記録!$B$6:$B$3005,$A227,請求記録!$X$6:$X$3005,V$5,請求記録!$AD$6:$AD$3005,"保留中")&gt;0,"保留",IF(COUNTIFS(請求記録!$B$6:$B$3005,$A227,請求記録!$X$6:$X$3005,V$5)=0,"",SUMIFS(請求記録!$AC$6:$AC$3005,請求記録!$B$6:$B$3005,$A227,請求記録!$X$6:$X$3005,V$5))))</f>
        <v/>
      </c>
      <c r="W227" s="19">
        <f>IF($A227="","",IF(COUNTIFS(請求記録!$B$6:$B$3005,$A227,請求記録!$X$6:$X$3005,W$5,請求記録!$AD$6:$AD$3005,"保留中")&gt;0,"保留",IF(COUNTIFS(請求記録!$B$6:$B$3005,$A227,請求記録!$X$6:$X$3005,W$5)=0,"",SUMIFS(請求記録!$AC$6:$AC$3005,請求記録!$B$6:$B$3005,$A227,請求記録!$X$6:$X$3005,W$5))))</f>
        <v/>
      </c>
      <c r="X227" s="19">
        <f>IF($A227="","",IF(COUNTIFS(請求記録!$B$6:$B$3005,$A227,請求記録!$X$6:$X$3005,X$5,請求記録!$AD$6:$AD$3005,"保留中")&gt;0,"保留",IF(COUNTIFS(請求記録!$B$6:$B$3005,$A227,請求記録!$X$6:$X$3005,X$5)=0,"",SUMIFS(請求記録!$AC$6:$AC$3005,請求記録!$B$6:$B$3005,$A227,請求記録!$X$6:$X$3005,X$5))))</f>
        <v/>
      </c>
      <c r="Y227" s="19">
        <f>IF($A227="","",IF(COUNTIFS(請求記録!$B$6:$B$3005,$A227,請求記録!$X$6:$X$3005,Y$5,請求記録!$AD$6:$AD$3005,"保留中")&gt;0,"保留",IF(COUNTIFS(請求記録!$B$6:$B$3005,$A227,請求記録!$X$6:$X$3005,Y$5)=0,"",SUMIFS(請求記録!$AC$6:$AC$3005,請求記録!$B$6:$B$3005,$A227,請求記録!$X$6:$X$3005,Y$5))))</f>
        <v/>
      </c>
      <c r="Z227" s="19">
        <f>IF($A227="","",IF(COUNTIFS(請求記録!$B$6:$B$3005,$A227,請求記録!$X$6:$X$3005,Z$5,請求記録!$AD$6:$AD$3005,"保留中")&gt;0,"保留",IF(COUNTIFS(請求記録!$B$6:$B$3005,$A227,請求記録!$X$6:$X$3005,Z$5)=0,"",SUMIFS(請求記録!$AC$6:$AC$3005,請求記録!$B$6:$B$3005,$A227,請求記録!$X$6:$X$3005,Z$5))))</f>
        <v/>
      </c>
      <c r="AA227" s="19">
        <f>IF($A227="","",IF(COUNTIFS(請求記録!$B$6:$B$3005,$A227,請求記録!$X$6:$X$3005,AA$5,請求記録!$AD$6:$AD$3005,"保留中")&gt;0,"保留",IF(COUNTIFS(請求記録!$B$6:$B$3005,$A227,請求記録!$X$6:$X$3005,AA$5)=0,"",SUMIFS(請求記録!$AC$6:$AC$3005,請求記録!$B$6:$B$3005,$A227,請求記録!$X$6:$X$3005,AA$5))))</f>
        <v/>
      </c>
      <c r="AB227">
        <f>IF(職員マスタ!P227="保留中",職員マスタ!M227,"")</f>
        <v/>
      </c>
    </row>
    <row r="228">
      <c r="A228">
        <f>IF(職員マスタ!A228="","",職員マスタ!A228)</f>
        <v/>
      </c>
      <c r="B228">
        <f>IF($A228="","",職員マスタ!B228)</f>
        <v/>
      </c>
      <c r="C228">
        <f>IF($A228="","",職員マスタ!C228)</f>
        <v/>
      </c>
      <c r="D228" s="19">
        <f>IF($A228="","",IF(COUNTIFS(請求記録!$B$6:$B$3005,$A228,請求記録!$X$6:$X$3005,D$5,請求記録!$AD$6:$AD$3005,"保留中")&gt;0,"保留",IF(COUNTIFS(請求記録!$B$6:$B$3005,$A228,請求記録!$X$6:$X$3005,D$5)=0,"",SUMIFS(請求記録!$AC$6:$AC$3005,請求記録!$B$6:$B$3005,$A228,請求記録!$X$6:$X$3005,D$5))))</f>
        <v/>
      </c>
      <c r="E228" s="19">
        <f>IF($A228="","",IF(COUNTIFS(請求記録!$B$6:$B$3005,$A228,請求記録!$X$6:$X$3005,E$5,請求記録!$AD$6:$AD$3005,"保留中")&gt;0,"保留",IF(COUNTIFS(請求記録!$B$6:$B$3005,$A228,請求記録!$X$6:$X$3005,E$5)=0,"",SUMIFS(請求記録!$AC$6:$AC$3005,請求記録!$B$6:$B$3005,$A228,請求記録!$X$6:$X$3005,E$5))))</f>
        <v/>
      </c>
      <c r="F228" s="19">
        <f>IF($A228="","",IF(COUNTIFS(請求記録!$B$6:$B$3005,$A228,請求記録!$X$6:$X$3005,F$5,請求記録!$AD$6:$AD$3005,"保留中")&gt;0,"保留",IF(COUNTIFS(請求記録!$B$6:$B$3005,$A228,請求記録!$X$6:$X$3005,F$5)=0,"",SUMIFS(請求記録!$AC$6:$AC$3005,請求記録!$B$6:$B$3005,$A228,請求記録!$X$6:$X$3005,F$5))))</f>
        <v/>
      </c>
      <c r="G228" s="19">
        <f>IF($A228="","",IF(COUNTIFS(請求記録!$B$6:$B$3005,$A228,請求記録!$X$6:$X$3005,G$5,請求記録!$AD$6:$AD$3005,"保留中")&gt;0,"保留",IF(COUNTIFS(請求記録!$B$6:$B$3005,$A228,請求記録!$X$6:$X$3005,G$5)=0,"",SUMIFS(請求記録!$AC$6:$AC$3005,請求記録!$B$6:$B$3005,$A228,請求記録!$X$6:$X$3005,G$5))))</f>
        <v/>
      </c>
      <c r="H228" s="19">
        <f>IF($A228="","",IF(COUNTIFS(請求記録!$B$6:$B$3005,$A228,請求記録!$X$6:$X$3005,H$5,請求記録!$AD$6:$AD$3005,"保留中")&gt;0,"保留",IF(COUNTIFS(請求記録!$B$6:$B$3005,$A228,請求記録!$X$6:$X$3005,H$5)=0,"",SUMIFS(請求記録!$AC$6:$AC$3005,請求記録!$B$6:$B$3005,$A228,請求記録!$X$6:$X$3005,H$5))))</f>
        <v/>
      </c>
      <c r="I228" s="19">
        <f>IF($A228="","",IF(COUNTIFS(請求記録!$B$6:$B$3005,$A228,請求記録!$X$6:$X$3005,I$5,請求記録!$AD$6:$AD$3005,"保留中")&gt;0,"保留",IF(COUNTIFS(請求記録!$B$6:$B$3005,$A228,請求記録!$X$6:$X$3005,I$5)=0,"",SUMIFS(請求記録!$AC$6:$AC$3005,請求記録!$B$6:$B$3005,$A228,請求記録!$X$6:$X$3005,I$5))))</f>
        <v/>
      </c>
      <c r="J228" s="19">
        <f>IF($A228="","",IF(COUNTIFS(請求記録!$B$6:$B$3005,$A228,請求記録!$X$6:$X$3005,J$5,請求記録!$AD$6:$AD$3005,"保留中")&gt;0,"保留",IF(COUNTIFS(請求記録!$B$6:$B$3005,$A228,請求記録!$X$6:$X$3005,J$5)=0,"",SUMIFS(請求記録!$AC$6:$AC$3005,請求記録!$B$6:$B$3005,$A228,請求記録!$X$6:$X$3005,J$5))))</f>
        <v/>
      </c>
      <c r="K228" s="19">
        <f>IF($A228="","",IF(COUNTIFS(請求記録!$B$6:$B$3005,$A228,請求記録!$X$6:$X$3005,K$5,請求記録!$AD$6:$AD$3005,"保留中")&gt;0,"保留",IF(COUNTIFS(請求記録!$B$6:$B$3005,$A228,請求記録!$X$6:$X$3005,K$5)=0,"",SUMIFS(請求記録!$AC$6:$AC$3005,請求記録!$B$6:$B$3005,$A228,請求記録!$X$6:$X$3005,K$5))))</f>
        <v/>
      </c>
      <c r="L228" s="19">
        <f>IF($A228="","",IF(COUNTIFS(請求記録!$B$6:$B$3005,$A228,請求記録!$X$6:$X$3005,L$5,請求記録!$AD$6:$AD$3005,"保留中")&gt;0,"保留",IF(COUNTIFS(請求記録!$B$6:$B$3005,$A228,請求記録!$X$6:$X$3005,L$5)=0,"",SUMIFS(請求記録!$AC$6:$AC$3005,請求記録!$B$6:$B$3005,$A228,請求記録!$X$6:$X$3005,L$5))))</f>
        <v/>
      </c>
      <c r="M228" s="19">
        <f>IF($A228="","",IF(COUNTIFS(請求記録!$B$6:$B$3005,$A228,請求記録!$X$6:$X$3005,M$5,請求記録!$AD$6:$AD$3005,"保留中")&gt;0,"保留",IF(COUNTIFS(請求記録!$B$6:$B$3005,$A228,請求記録!$X$6:$X$3005,M$5)=0,"",SUMIFS(請求記録!$AC$6:$AC$3005,請求記録!$B$6:$B$3005,$A228,請求記録!$X$6:$X$3005,M$5))))</f>
        <v/>
      </c>
      <c r="N228" s="19">
        <f>IF($A228="","",IF(COUNTIFS(請求記録!$B$6:$B$3005,$A228,請求記録!$X$6:$X$3005,N$5,請求記録!$AD$6:$AD$3005,"保留中")&gt;0,"保留",IF(COUNTIFS(請求記録!$B$6:$B$3005,$A228,請求記録!$X$6:$X$3005,N$5)=0,"",SUMIFS(請求記録!$AC$6:$AC$3005,請求記録!$B$6:$B$3005,$A228,請求記録!$X$6:$X$3005,N$5))))</f>
        <v/>
      </c>
      <c r="O228" s="19">
        <f>IF($A228="","",IF(COUNTIFS(請求記録!$B$6:$B$3005,$A228,請求記録!$X$6:$X$3005,O$5,請求記録!$AD$6:$AD$3005,"保留中")&gt;0,"保留",IF(COUNTIFS(請求記録!$B$6:$B$3005,$A228,請求記録!$X$6:$X$3005,O$5)=0,"",SUMIFS(請求記録!$AC$6:$AC$3005,請求記録!$B$6:$B$3005,$A228,請求記録!$X$6:$X$3005,O$5))))</f>
        <v/>
      </c>
      <c r="P228" s="19">
        <f>IF($A228="","",IF(COUNTIFS(請求記録!$B$6:$B$3005,$A228,請求記録!$X$6:$X$3005,P$5,請求記録!$AD$6:$AD$3005,"保留中")&gt;0,"保留",IF(COUNTIFS(請求記録!$B$6:$B$3005,$A228,請求記録!$X$6:$X$3005,P$5)=0,"",SUMIFS(請求記録!$AC$6:$AC$3005,請求記録!$B$6:$B$3005,$A228,請求記録!$X$6:$X$3005,P$5))))</f>
        <v/>
      </c>
      <c r="Q228" s="19">
        <f>IF($A228="","",IF(COUNTIFS(請求記録!$B$6:$B$3005,$A228,請求記録!$X$6:$X$3005,Q$5,請求記録!$AD$6:$AD$3005,"保留中")&gt;0,"保留",IF(COUNTIFS(請求記録!$B$6:$B$3005,$A228,請求記録!$X$6:$X$3005,Q$5)=0,"",SUMIFS(請求記録!$AC$6:$AC$3005,請求記録!$B$6:$B$3005,$A228,請求記録!$X$6:$X$3005,Q$5))))</f>
        <v/>
      </c>
      <c r="R228" s="19">
        <f>IF($A228="","",IF(COUNTIFS(請求記録!$B$6:$B$3005,$A228,請求記録!$X$6:$X$3005,R$5,請求記録!$AD$6:$AD$3005,"保留中")&gt;0,"保留",IF(COUNTIFS(請求記録!$B$6:$B$3005,$A228,請求記録!$X$6:$X$3005,R$5)=0,"",SUMIFS(請求記録!$AC$6:$AC$3005,請求記録!$B$6:$B$3005,$A228,請求記録!$X$6:$X$3005,R$5))))</f>
        <v/>
      </c>
      <c r="S228" s="19">
        <f>IF($A228="","",IF(COUNTIFS(請求記録!$B$6:$B$3005,$A228,請求記録!$X$6:$X$3005,S$5,請求記録!$AD$6:$AD$3005,"保留中")&gt;0,"保留",IF(COUNTIFS(請求記録!$B$6:$B$3005,$A228,請求記録!$X$6:$X$3005,S$5)=0,"",SUMIFS(請求記録!$AC$6:$AC$3005,請求記録!$B$6:$B$3005,$A228,請求記録!$X$6:$X$3005,S$5))))</f>
        <v/>
      </c>
      <c r="T228" s="19">
        <f>IF($A228="","",IF(COUNTIFS(請求記録!$B$6:$B$3005,$A228,請求記録!$X$6:$X$3005,T$5,請求記録!$AD$6:$AD$3005,"保留中")&gt;0,"保留",IF(COUNTIFS(請求記録!$B$6:$B$3005,$A228,請求記録!$X$6:$X$3005,T$5)=0,"",SUMIFS(請求記録!$AC$6:$AC$3005,請求記録!$B$6:$B$3005,$A228,請求記録!$X$6:$X$3005,T$5))))</f>
        <v/>
      </c>
      <c r="U228" s="19">
        <f>IF($A228="","",IF(COUNTIFS(請求記録!$B$6:$B$3005,$A228,請求記録!$X$6:$X$3005,U$5,請求記録!$AD$6:$AD$3005,"保留中")&gt;0,"保留",IF(COUNTIFS(請求記録!$B$6:$B$3005,$A228,請求記録!$X$6:$X$3005,U$5)=0,"",SUMIFS(請求記録!$AC$6:$AC$3005,請求記録!$B$6:$B$3005,$A228,請求記録!$X$6:$X$3005,U$5))))</f>
        <v/>
      </c>
      <c r="V228" s="19">
        <f>IF($A228="","",IF(COUNTIFS(請求記録!$B$6:$B$3005,$A228,請求記録!$X$6:$X$3005,V$5,請求記録!$AD$6:$AD$3005,"保留中")&gt;0,"保留",IF(COUNTIFS(請求記録!$B$6:$B$3005,$A228,請求記録!$X$6:$X$3005,V$5)=0,"",SUMIFS(請求記録!$AC$6:$AC$3005,請求記録!$B$6:$B$3005,$A228,請求記録!$X$6:$X$3005,V$5))))</f>
        <v/>
      </c>
      <c r="W228" s="19">
        <f>IF($A228="","",IF(COUNTIFS(請求記録!$B$6:$B$3005,$A228,請求記録!$X$6:$X$3005,W$5,請求記録!$AD$6:$AD$3005,"保留中")&gt;0,"保留",IF(COUNTIFS(請求記録!$B$6:$B$3005,$A228,請求記録!$X$6:$X$3005,W$5)=0,"",SUMIFS(請求記録!$AC$6:$AC$3005,請求記録!$B$6:$B$3005,$A228,請求記録!$X$6:$X$3005,W$5))))</f>
        <v/>
      </c>
      <c r="X228" s="19">
        <f>IF($A228="","",IF(COUNTIFS(請求記録!$B$6:$B$3005,$A228,請求記録!$X$6:$X$3005,X$5,請求記録!$AD$6:$AD$3005,"保留中")&gt;0,"保留",IF(COUNTIFS(請求記録!$B$6:$B$3005,$A228,請求記録!$X$6:$X$3005,X$5)=0,"",SUMIFS(請求記録!$AC$6:$AC$3005,請求記録!$B$6:$B$3005,$A228,請求記録!$X$6:$X$3005,X$5))))</f>
        <v/>
      </c>
      <c r="Y228" s="19">
        <f>IF($A228="","",IF(COUNTIFS(請求記録!$B$6:$B$3005,$A228,請求記録!$X$6:$X$3005,Y$5,請求記録!$AD$6:$AD$3005,"保留中")&gt;0,"保留",IF(COUNTIFS(請求記録!$B$6:$B$3005,$A228,請求記録!$X$6:$X$3005,Y$5)=0,"",SUMIFS(請求記録!$AC$6:$AC$3005,請求記録!$B$6:$B$3005,$A228,請求記録!$X$6:$X$3005,Y$5))))</f>
        <v/>
      </c>
      <c r="Z228" s="19">
        <f>IF($A228="","",IF(COUNTIFS(請求記録!$B$6:$B$3005,$A228,請求記録!$X$6:$X$3005,Z$5,請求記録!$AD$6:$AD$3005,"保留中")&gt;0,"保留",IF(COUNTIFS(請求記録!$B$6:$B$3005,$A228,請求記録!$X$6:$X$3005,Z$5)=0,"",SUMIFS(請求記録!$AC$6:$AC$3005,請求記録!$B$6:$B$3005,$A228,請求記録!$X$6:$X$3005,Z$5))))</f>
        <v/>
      </c>
      <c r="AA228" s="19">
        <f>IF($A228="","",IF(COUNTIFS(請求記録!$B$6:$B$3005,$A228,請求記録!$X$6:$X$3005,AA$5,請求記録!$AD$6:$AD$3005,"保留中")&gt;0,"保留",IF(COUNTIFS(請求記録!$B$6:$B$3005,$A228,請求記録!$X$6:$X$3005,AA$5)=0,"",SUMIFS(請求記録!$AC$6:$AC$3005,請求記録!$B$6:$B$3005,$A228,請求記録!$X$6:$X$3005,AA$5))))</f>
        <v/>
      </c>
      <c r="AB228">
        <f>IF(職員マスタ!P228="保留中",職員マスタ!M228,"")</f>
        <v/>
      </c>
    </row>
    <row r="229">
      <c r="A229">
        <f>IF(職員マスタ!A229="","",職員マスタ!A229)</f>
        <v/>
      </c>
      <c r="B229">
        <f>IF($A229="","",職員マスタ!B229)</f>
        <v/>
      </c>
      <c r="C229">
        <f>IF($A229="","",職員マスタ!C229)</f>
        <v/>
      </c>
      <c r="D229" s="19">
        <f>IF($A229="","",IF(COUNTIFS(請求記録!$B$6:$B$3005,$A229,請求記録!$X$6:$X$3005,D$5,請求記録!$AD$6:$AD$3005,"保留中")&gt;0,"保留",IF(COUNTIFS(請求記録!$B$6:$B$3005,$A229,請求記録!$X$6:$X$3005,D$5)=0,"",SUMIFS(請求記録!$AC$6:$AC$3005,請求記録!$B$6:$B$3005,$A229,請求記録!$X$6:$X$3005,D$5))))</f>
        <v/>
      </c>
      <c r="E229" s="19">
        <f>IF($A229="","",IF(COUNTIFS(請求記録!$B$6:$B$3005,$A229,請求記録!$X$6:$X$3005,E$5,請求記録!$AD$6:$AD$3005,"保留中")&gt;0,"保留",IF(COUNTIFS(請求記録!$B$6:$B$3005,$A229,請求記録!$X$6:$X$3005,E$5)=0,"",SUMIFS(請求記録!$AC$6:$AC$3005,請求記録!$B$6:$B$3005,$A229,請求記録!$X$6:$X$3005,E$5))))</f>
        <v/>
      </c>
      <c r="F229" s="19">
        <f>IF($A229="","",IF(COUNTIFS(請求記録!$B$6:$B$3005,$A229,請求記録!$X$6:$X$3005,F$5,請求記録!$AD$6:$AD$3005,"保留中")&gt;0,"保留",IF(COUNTIFS(請求記録!$B$6:$B$3005,$A229,請求記録!$X$6:$X$3005,F$5)=0,"",SUMIFS(請求記録!$AC$6:$AC$3005,請求記録!$B$6:$B$3005,$A229,請求記録!$X$6:$X$3005,F$5))))</f>
        <v/>
      </c>
      <c r="G229" s="19">
        <f>IF($A229="","",IF(COUNTIFS(請求記録!$B$6:$B$3005,$A229,請求記録!$X$6:$X$3005,G$5,請求記録!$AD$6:$AD$3005,"保留中")&gt;0,"保留",IF(COUNTIFS(請求記録!$B$6:$B$3005,$A229,請求記録!$X$6:$X$3005,G$5)=0,"",SUMIFS(請求記録!$AC$6:$AC$3005,請求記録!$B$6:$B$3005,$A229,請求記録!$X$6:$X$3005,G$5))))</f>
        <v/>
      </c>
      <c r="H229" s="19">
        <f>IF($A229="","",IF(COUNTIFS(請求記録!$B$6:$B$3005,$A229,請求記録!$X$6:$X$3005,H$5,請求記録!$AD$6:$AD$3005,"保留中")&gt;0,"保留",IF(COUNTIFS(請求記録!$B$6:$B$3005,$A229,請求記録!$X$6:$X$3005,H$5)=0,"",SUMIFS(請求記録!$AC$6:$AC$3005,請求記録!$B$6:$B$3005,$A229,請求記録!$X$6:$X$3005,H$5))))</f>
        <v/>
      </c>
      <c r="I229" s="19">
        <f>IF($A229="","",IF(COUNTIFS(請求記録!$B$6:$B$3005,$A229,請求記録!$X$6:$X$3005,I$5,請求記録!$AD$6:$AD$3005,"保留中")&gt;0,"保留",IF(COUNTIFS(請求記録!$B$6:$B$3005,$A229,請求記録!$X$6:$X$3005,I$5)=0,"",SUMIFS(請求記録!$AC$6:$AC$3005,請求記録!$B$6:$B$3005,$A229,請求記録!$X$6:$X$3005,I$5))))</f>
        <v/>
      </c>
      <c r="J229" s="19">
        <f>IF($A229="","",IF(COUNTIFS(請求記録!$B$6:$B$3005,$A229,請求記録!$X$6:$X$3005,J$5,請求記録!$AD$6:$AD$3005,"保留中")&gt;0,"保留",IF(COUNTIFS(請求記録!$B$6:$B$3005,$A229,請求記録!$X$6:$X$3005,J$5)=0,"",SUMIFS(請求記録!$AC$6:$AC$3005,請求記録!$B$6:$B$3005,$A229,請求記録!$X$6:$X$3005,J$5))))</f>
        <v/>
      </c>
      <c r="K229" s="19">
        <f>IF($A229="","",IF(COUNTIFS(請求記録!$B$6:$B$3005,$A229,請求記録!$X$6:$X$3005,K$5,請求記録!$AD$6:$AD$3005,"保留中")&gt;0,"保留",IF(COUNTIFS(請求記録!$B$6:$B$3005,$A229,請求記録!$X$6:$X$3005,K$5)=0,"",SUMIFS(請求記録!$AC$6:$AC$3005,請求記録!$B$6:$B$3005,$A229,請求記録!$X$6:$X$3005,K$5))))</f>
        <v/>
      </c>
      <c r="L229" s="19">
        <f>IF($A229="","",IF(COUNTIFS(請求記録!$B$6:$B$3005,$A229,請求記録!$X$6:$X$3005,L$5,請求記録!$AD$6:$AD$3005,"保留中")&gt;0,"保留",IF(COUNTIFS(請求記録!$B$6:$B$3005,$A229,請求記録!$X$6:$X$3005,L$5)=0,"",SUMIFS(請求記録!$AC$6:$AC$3005,請求記録!$B$6:$B$3005,$A229,請求記録!$X$6:$X$3005,L$5))))</f>
        <v/>
      </c>
      <c r="M229" s="19">
        <f>IF($A229="","",IF(COUNTIFS(請求記録!$B$6:$B$3005,$A229,請求記録!$X$6:$X$3005,M$5,請求記録!$AD$6:$AD$3005,"保留中")&gt;0,"保留",IF(COUNTIFS(請求記録!$B$6:$B$3005,$A229,請求記録!$X$6:$X$3005,M$5)=0,"",SUMIFS(請求記録!$AC$6:$AC$3005,請求記録!$B$6:$B$3005,$A229,請求記録!$X$6:$X$3005,M$5))))</f>
        <v/>
      </c>
      <c r="N229" s="19">
        <f>IF($A229="","",IF(COUNTIFS(請求記録!$B$6:$B$3005,$A229,請求記録!$X$6:$X$3005,N$5,請求記録!$AD$6:$AD$3005,"保留中")&gt;0,"保留",IF(COUNTIFS(請求記録!$B$6:$B$3005,$A229,請求記録!$X$6:$X$3005,N$5)=0,"",SUMIFS(請求記録!$AC$6:$AC$3005,請求記録!$B$6:$B$3005,$A229,請求記録!$X$6:$X$3005,N$5))))</f>
        <v/>
      </c>
      <c r="O229" s="19">
        <f>IF($A229="","",IF(COUNTIFS(請求記録!$B$6:$B$3005,$A229,請求記録!$X$6:$X$3005,O$5,請求記録!$AD$6:$AD$3005,"保留中")&gt;0,"保留",IF(COUNTIFS(請求記録!$B$6:$B$3005,$A229,請求記録!$X$6:$X$3005,O$5)=0,"",SUMIFS(請求記録!$AC$6:$AC$3005,請求記録!$B$6:$B$3005,$A229,請求記録!$X$6:$X$3005,O$5))))</f>
        <v/>
      </c>
      <c r="P229" s="19">
        <f>IF($A229="","",IF(COUNTIFS(請求記録!$B$6:$B$3005,$A229,請求記録!$X$6:$X$3005,P$5,請求記録!$AD$6:$AD$3005,"保留中")&gt;0,"保留",IF(COUNTIFS(請求記録!$B$6:$B$3005,$A229,請求記録!$X$6:$X$3005,P$5)=0,"",SUMIFS(請求記録!$AC$6:$AC$3005,請求記録!$B$6:$B$3005,$A229,請求記録!$X$6:$X$3005,P$5))))</f>
        <v/>
      </c>
      <c r="Q229" s="19">
        <f>IF($A229="","",IF(COUNTIFS(請求記録!$B$6:$B$3005,$A229,請求記録!$X$6:$X$3005,Q$5,請求記録!$AD$6:$AD$3005,"保留中")&gt;0,"保留",IF(COUNTIFS(請求記録!$B$6:$B$3005,$A229,請求記録!$X$6:$X$3005,Q$5)=0,"",SUMIFS(請求記録!$AC$6:$AC$3005,請求記録!$B$6:$B$3005,$A229,請求記録!$X$6:$X$3005,Q$5))))</f>
        <v/>
      </c>
      <c r="R229" s="19">
        <f>IF($A229="","",IF(COUNTIFS(請求記録!$B$6:$B$3005,$A229,請求記録!$X$6:$X$3005,R$5,請求記録!$AD$6:$AD$3005,"保留中")&gt;0,"保留",IF(COUNTIFS(請求記録!$B$6:$B$3005,$A229,請求記録!$X$6:$X$3005,R$5)=0,"",SUMIFS(請求記録!$AC$6:$AC$3005,請求記録!$B$6:$B$3005,$A229,請求記録!$X$6:$X$3005,R$5))))</f>
        <v/>
      </c>
      <c r="S229" s="19">
        <f>IF($A229="","",IF(COUNTIFS(請求記録!$B$6:$B$3005,$A229,請求記録!$X$6:$X$3005,S$5,請求記録!$AD$6:$AD$3005,"保留中")&gt;0,"保留",IF(COUNTIFS(請求記録!$B$6:$B$3005,$A229,請求記録!$X$6:$X$3005,S$5)=0,"",SUMIFS(請求記録!$AC$6:$AC$3005,請求記録!$B$6:$B$3005,$A229,請求記録!$X$6:$X$3005,S$5))))</f>
        <v/>
      </c>
      <c r="T229" s="19">
        <f>IF($A229="","",IF(COUNTIFS(請求記録!$B$6:$B$3005,$A229,請求記録!$X$6:$X$3005,T$5,請求記録!$AD$6:$AD$3005,"保留中")&gt;0,"保留",IF(COUNTIFS(請求記録!$B$6:$B$3005,$A229,請求記録!$X$6:$X$3005,T$5)=0,"",SUMIFS(請求記録!$AC$6:$AC$3005,請求記録!$B$6:$B$3005,$A229,請求記録!$X$6:$X$3005,T$5))))</f>
        <v/>
      </c>
      <c r="U229" s="19">
        <f>IF($A229="","",IF(COUNTIFS(請求記録!$B$6:$B$3005,$A229,請求記録!$X$6:$X$3005,U$5,請求記録!$AD$6:$AD$3005,"保留中")&gt;0,"保留",IF(COUNTIFS(請求記録!$B$6:$B$3005,$A229,請求記録!$X$6:$X$3005,U$5)=0,"",SUMIFS(請求記録!$AC$6:$AC$3005,請求記録!$B$6:$B$3005,$A229,請求記録!$X$6:$X$3005,U$5))))</f>
        <v/>
      </c>
      <c r="V229" s="19">
        <f>IF($A229="","",IF(COUNTIFS(請求記録!$B$6:$B$3005,$A229,請求記録!$X$6:$X$3005,V$5,請求記録!$AD$6:$AD$3005,"保留中")&gt;0,"保留",IF(COUNTIFS(請求記録!$B$6:$B$3005,$A229,請求記録!$X$6:$X$3005,V$5)=0,"",SUMIFS(請求記録!$AC$6:$AC$3005,請求記録!$B$6:$B$3005,$A229,請求記録!$X$6:$X$3005,V$5))))</f>
        <v/>
      </c>
      <c r="W229" s="19">
        <f>IF($A229="","",IF(COUNTIFS(請求記録!$B$6:$B$3005,$A229,請求記録!$X$6:$X$3005,W$5,請求記録!$AD$6:$AD$3005,"保留中")&gt;0,"保留",IF(COUNTIFS(請求記録!$B$6:$B$3005,$A229,請求記録!$X$6:$X$3005,W$5)=0,"",SUMIFS(請求記録!$AC$6:$AC$3005,請求記録!$B$6:$B$3005,$A229,請求記録!$X$6:$X$3005,W$5))))</f>
        <v/>
      </c>
      <c r="X229" s="19">
        <f>IF($A229="","",IF(COUNTIFS(請求記録!$B$6:$B$3005,$A229,請求記録!$X$6:$X$3005,X$5,請求記録!$AD$6:$AD$3005,"保留中")&gt;0,"保留",IF(COUNTIFS(請求記録!$B$6:$B$3005,$A229,請求記録!$X$6:$X$3005,X$5)=0,"",SUMIFS(請求記録!$AC$6:$AC$3005,請求記録!$B$6:$B$3005,$A229,請求記録!$X$6:$X$3005,X$5))))</f>
        <v/>
      </c>
      <c r="Y229" s="19">
        <f>IF($A229="","",IF(COUNTIFS(請求記録!$B$6:$B$3005,$A229,請求記録!$X$6:$X$3005,Y$5,請求記録!$AD$6:$AD$3005,"保留中")&gt;0,"保留",IF(COUNTIFS(請求記録!$B$6:$B$3005,$A229,請求記録!$X$6:$X$3005,Y$5)=0,"",SUMIFS(請求記録!$AC$6:$AC$3005,請求記録!$B$6:$B$3005,$A229,請求記録!$X$6:$X$3005,Y$5))))</f>
        <v/>
      </c>
      <c r="Z229" s="19">
        <f>IF($A229="","",IF(COUNTIFS(請求記録!$B$6:$B$3005,$A229,請求記録!$X$6:$X$3005,Z$5,請求記録!$AD$6:$AD$3005,"保留中")&gt;0,"保留",IF(COUNTIFS(請求記録!$B$6:$B$3005,$A229,請求記録!$X$6:$X$3005,Z$5)=0,"",SUMIFS(請求記録!$AC$6:$AC$3005,請求記録!$B$6:$B$3005,$A229,請求記録!$X$6:$X$3005,Z$5))))</f>
        <v/>
      </c>
      <c r="AA229" s="19">
        <f>IF($A229="","",IF(COUNTIFS(請求記録!$B$6:$B$3005,$A229,請求記録!$X$6:$X$3005,AA$5,請求記録!$AD$6:$AD$3005,"保留中")&gt;0,"保留",IF(COUNTIFS(請求記録!$B$6:$B$3005,$A229,請求記録!$X$6:$X$3005,AA$5)=0,"",SUMIFS(請求記録!$AC$6:$AC$3005,請求記録!$B$6:$B$3005,$A229,請求記録!$X$6:$X$3005,AA$5))))</f>
        <v/>
      </c>
      <c r="AB229">
        <f>IF(職員マスタ!P229="保留中",職員マスタ!M229,"")</f>
        <v/>
      </c>
    </row>
    <row r="230">
      <c r="A230">
        <f>IF(職員マスタ!A230="","",職員マスタ!A230)</f>
        <v/>
      </c>
      <c r="B230">
        <f>IF($A230="","",職員マスタ!B230)</f>
        <v/>
      </c>
      <c r="C230">
        <f>IF($A230="","",職員マスタ!C230)</f>
        <v/>
      </c>
      <c r="D230" s="19">
        <f>IF($A230="","",IF(COUNTIFS(請求記録!$B$6:$B$3005,$A230,請求記録!$X$6:$X$3005,D$5,請求記録!$AD$6:$AD$3005,"保留中")&gt;0,"保留",IF(COUNTIFS(請求記録!$B$6:$B$3005,$A230,請求記録!$X$6:$X$3005,D$5)=0,"",SUMIFS(請求記録!$AC$6:$AC$3005,請求記録!$B$6:$B$3005,$A230,請求記録!$X$6:$X$3005,D$5))))</f>
        <v/>
      </c>
      <c r="E230" s="19">
        <f>IF($A230="","",IF(COUNTIFS(請求記録!$B$6:$B$3005,$A230,請求記録!$X$6:$X$3005,E$5,請求記録!$AD$6:$AD$3005,"保留中")&gt;0,"保留",IF(COUNTIFS(請求記録!$B$6:$B$3005,$A230,請求記録!$X$6:$X$3005,E$5)=0,"",SUMIFS(請求記録!$AC$6:$AC$3005,請求記録!$B$6:$B$3005,$A230,請求記録!$X$6:$X$3005,E$5))))</f>
        <v/>
      </c>
      <c r="F230" s="19">
        <f>IF($A230="","",IF(COUNTIFS(請求記録!$B$6:$B$3005,$A230,請求記録!$X$6:$X$3005,F$5,請求記録!$AD$6:$AD$3005,"保留中")&gt;0,"保留",IF(COUNTIFS(請求記録!$B$6:$B$3005,$A230,請求記録!$X$6:$X$3005,F$5)=0,"",SUMIFS(請求記録!$AC$6:$AC$3005,請求記録!$B$6:$B$3005,$A230,請求記録!$X$6:$X$3005,F$5))))</f>
        <v/>
      </c>
      <c r="G230" s="19">
        <f>IF($A230="","",IF(COUNTIFS(請求記録!$B$6:$B$3005,$A230,請求記録!$X$6:$X$3005,G$5,請求記録!$AD$6:$AD$3005,"保留中")&gt;0,"保留",IF(COUNTIFS(請求記録!$B$6:$B$3005,$A230,請求記録!$X$6:$X$3005,G$5)=0,"",SUMIFS(請求記録!$AC$6:$AC$3005,請求記録!$B$6:$B$3005,$A230,請求記録!$X$6:$X$3005,G$5))))</f>
        <v/>
      </c>
      <c r="H230" s="19">
        <f>IF($A230="","",IF(COUNTIFS(請求記録!$B$6:$B$3005,$A230,請求記録!$X$6:$X$3005,H$5,請求記録!$AD$6:$AD$3005,"保留中")&gt;0,"保留",IF(COUNTIFS(請求記録!$B$6:$B$3005,$A230,請求記録!$X$6:$X$3005,H$5)=0,"",SUMIFS(請求記録!$AC$6:$AC$3005,請求記録!$B$6:$B$3005,$A230,請求記録!$X$6:$X$3005,H$5))))</f>
        <v/>
      </c>
      <c r="I230" s="19">
        <f>IF($A230="","",IF(COUNTIFS(請求記録!$B$6:$B$3005,$A230,請求記録!$X$6:$X$3005,I$5,請求記録!$AD$6:$AD$3005,"保留中")&gt;0,"保留",IF(COUNTIFS(請求記録!$B$6:$B$3005,$A230,請求記録!$X$6:$X$3005,I$5)=0,"",SUMIFS(請求記録!$AC$6:$AC$3005,請求記録!$B$6:$B$3005,$A230,請求記録!$X$6:$X$3005,I$5))))</f>
        <v/>
      </c>
      <c r="J230" s="19">
        <f>IF($A230="","",IF(COUNTIFS(請求記録!$B$6:$B$3005,$A230,請求記録!$X$6:$X$3005,J$5,請求記録!$AD$6:$AD$3005,"保留中")&gt;0,"保留",IF(COUNTIFS(請求記録!$B$6:$B$3005,$A230,請求記録!$X$6:$X$3005,J$5)=0,"",SUMIFS(請求記録!$AC$6:$AC$3005,請求記録!$B$6:$B$3005,$A230,請求記録!$X$6:$X$3005,J$5))))</f>
        <v/>
      </c>
      <c r="K230" s="19">
        <f>IF($A230="","",IF(COUNTIFS(請求記録!$B$6:$B$3005,$A230,請求記録!$X$6:$X$3005,K$5,請求記録!$AD$6:$AD$3005,"保留中")&gt;0,"保留",IF(COUNTIFS(請求記録!$B$6:$B$3005,$A230,請求記録!$X$6:$X$3005,K$5)=0,"",SUMIFS(請求記録!$AC$6:$AC$3005,請求記録!$B$6:$B$3005,$A230,請求記録!$X$6:$X$3005,K$5))))</f>
        <v/>
      </c>
      <c r="L230" s="19">
        <f>IF($A230="","",IF(COUNTIFS(請求記録!$B$6:$B$3005,$A230,請求記録!$X$6:$X$3005,L$5,請求記録!$AD$6:$AD$3005,"保留中")&gt;0,"保留",IF(COUNTIFS(請求記録!$B$6:$B$3005,$A230,請求記録!$X$6:$X$3005,L$5)=0,"",SUMIFS(請求記録!$AC$6:$AC$3005,請求記録!$B$6:$B$3005,$A230,請求記録!$X$6:$X$3005,L$5))))</f>
        <v/>
      </c>
      <c r="M230" s="19">
        <f>IF($A230="","",IF(COUNTIFS(請求記録!$B$6:$B$3005,$A230,請求記録!$X$6:$X$3005,M$5,請求記録!$AD$6:$AD$3005,"保留中")&gt;0,"保留",IF(COUNTIFS(請求記録!$B$6:$B$3005,$A230,請求記録!$X$6:$X$3005,M$5)=0,"",SUMIFS(請求記録!$AC$6:$AC$3005,請求記録!$B$6:$B$3005,$A230,請求記録!$X$6:$X$3005,M$5))))</f>
        <v/>
      </c>
      <c r="N230" s="19">
        <f>IF($A230="","",IF(COUNTIFS(請求記録!$B$6:$B$3005,$A230,請求記録!$X$6:$X$3005,N$5,請求記録!$AD$6:$AD$3005,"保留中")&gt;0,"保留",IF(COUNTIFS(請求記録!$B$6:$B$3005,$A230,請求記録!$X$6:$X$3005,N$5)=0,"",SUMIFS(請求記録!$AC$6:$AC$3005,請求記録!$B$6:$B$3005,$A230,請求記録!$X$6:$X$3005,N$5))))</f>
        <v/>
      </c>
      <c r="O230" s="19">
        <f>IF($A230="","",IF(COUNTIFS(請求記録!$B$6:$B$3005,$A230,請求記録!$X$6:$X$3005,O$5,請求記録!$AD$6:$AD$3005,"保留中")&gt;0,"保留",IF(COUNTIFS(請求記録!$B$6:$B$3005,$A230,請求記録!$X$6:$X$3005,O$5)=0,"",SUMIFS(請求記録!$AC$6:$AC$3005,請求記録!$B$6:$B$3005,$A230,請求記録!$X$6:$X$3005,O$5))))</f>
        <v/>
      </c>
      <c r="P230" s="19">
        <f>IF($A230="","",IF(COUNTIFS(請求記録!$B$6:$B$3005,$A230,請求記録!$X$6:$X$3005,P$5,請求記録!$AD$6:$AD$3005,"保留中")&gt;0,"保留",IF(COUNTIFS(請求記録!$B$6:$B$3005,$A230,請求記録!$X$6:$X$3005,P$5)=0,"",SUMIFS(請求記録!$AC$6:$AC$3005,請求記録!$B$6:$B$3005,$A230,請求記録!$X$6:$X$3005,P$5))))</f>
        <v/>
      </c>
      <c r="Q230" s="19">
        <f>IF($A230="","",IF(COUNTIFS(請求記録!$B$6:$B$3005,$A230,請求記録!$X$6:$X$3005,Q$5,請求記録!$AD$6:$AD$3005,"保留中")&gt;0,"保留",IF(COUNTIFS(請求記録!$B$6:$B$3005,$A230,請求記録!$X$6:$X$3005,Q$5)=0,"",SUMIFS(請求記録!$AC$6:$AC$3005,請求記録!$B$6:$B$3005,$A230,請求記録!$X$6:$X$3005,Q$5))))</f>
        <v/>
      </c>
      <c r="R230" s="19">
        <f>IF($A230="","",IF(COUNTIFS(請求記録!$B$6:$B$3005,$A230,請求記録!$X$6:$X$3005,R$5,請求記録!$AD$6:$AD$3005,"保留中")&gt;0,"保留",IF(COUNTIFS(請求記録!$B$6:$B$3005,$A230,請求記録!$X$6:$X$3005,R$5)=0,"",SUMIFS(請求記録!$AC$6:$AC$3005,請求記録!$B$6:$B$3005,$A230,請求記録!$X$6:$X$3005,R$5))))</f>
        <v/>
      </c>
      <c r="S230" s="19">
        <f>IF($A230="","",IF(COUNTIFS(請求記録!$B$6:$B$3005,$A230,請求記録!$X$6:$X$3005,S$5,請求記録!$AD$6:$AD$3005,"保留中")&gt;0,"保留",IF(COUNTIFS(請求記録!$B$6:$B$3005,$A230,請求記録!$X$6:$X$3005,S$5)=0,"",SUMIFS(請求記録!$AC$6:$AC$3005,請求記録!$B$6:$B$3005,$A230,請求記録!$X$6:$X$3005,S$5))))</f>
        <v/>
      </c>
      <c r="T230" s="19">
        <f>IF($A230="","",IF(COUNTIFS(請求記録!$B$6:$B$3005,$A230,請求記録!$X$6:$X$3005,T$5,請求記録!$AD$6:$AD$3005,"保留中")&gt;0,"保留",IF(COUNTIFS(請求記録!$B$6:$B$3005,$A230,請求記録!$X$6:$X$3005,T$5)=0,"",SUMIFS(請求記録!$AC$6:$AC$3005,請求記録!$B$6:$B$3005,$A230,請求記録!$X$6:$X$3005,T$5))))</f>
        <v/>
      </c>
      <c r="U230" s="19">
        <f>IF($A230="","",IF(COUNTIFS(請求記録!$B$6:$B$3005,$A230,請求記録!$X$6:$X$3005,U$5,請求記録!$AD$6:$AD$3005,"保留中")&gt;0,"保留",IF(COUNTIFS(請求記録!$B$6:$B$3005,$A230,請求記録!$X$6:$X$3005,U$5)=0,"",SUMIFS(請求記録!$AC$6:$AC$3005,請求記録!$B$6:$B$3005,$A230,請求記録!$X$6:$X$3005,U$5))))</f>
        <v/>
      </c>
      <c r="V230" s="19">
        <f>IF($A230="","",IF(COUNTIFS(請求記録!$B$6:$B$3005,$A230,請求記録!$X$6:$X$3005,V$5,請求記録!$AD$6:$AD$3005,"保留中")&gt;0,"保留",IF(COUNTIFS(請求記録!$B$6:$B$3005,$A230,請求記録!$X$6:$X$3005,V$5)=0,"",SUMIFS(請求記録!$AC$6:$AC$3005,請求記録!$B$6:$B$3005,$A230,請求記録!$X$6:$X$3005,V$5))))</f>
        <v/>
      </c>
      <c r="W230" s="19">
        <f>IF($A230="","",IF(COUNTIFS(請求記録!$B$6:$B$3005,$A230,請求記録!$X$6:$X$3005,W$5,請求記録!$AD$6:$AD$3005,"保留中")&gt;0,"保留",IF(COUNTIFS(請求記録!$B$6:$B$3005,$A230,請求記録!$X$6:$X$3005,W$5)=0,"",SUMIFS(請求記録!$AC$6:$AC$3005,請求記録!$B$6:$B$3005,$A230,請求記録!$X$6:$X$3005,W$5))))</f>
        <v/>
      </c>
      <c r="X230" s="19">
        <f>IF($A230="","",IF(COUNTIFS(請求記録!$B$6:$B$3005,$A230,請求記録!$X$6:$X$3005,X$5,請求記録!$AD$6:$AD$3005,"保留中")&gt;0,"保留",IF(COUNTIFS(請求記録!$B$6:$B$3005,$A230,請求記録!$X$6:$X$3005,X$5)=0,"",SUMIFS(請求記録!$AC$6:$AC$3005,請求記録!$B$6:$B$3005,$A230,請求記録!$X$6:$X$3005,X$5))))</f>
        <v/>
      </c>
      <c r="Y230" s="19">
        <f>IF($A230="","",IF(COUNTIFS(請求記録!$B$6:$B$3005,$A230,請求記録!$X$6:$X$3005,Y$5,請求記録!$AD$6:$AD$3005,"保留中")&gt;0,"保留",IF(COUNTIFS(請求記録!$B$6:$B$3005,$A230,請求記録!$X$6:$X$3005,Y$5)=0,"",SUMIFS(請求記録!$AC$6:$AC$3005,請求記録!$B$6:$B$3005,$A230,請求記録!$X$6:$X$3005,Y$5))))</f>
        <v/>
      </c>
      <c r="Z230" s="19">
        <f>IF($A230="","",IF(COUNTIFS(請求記録!$B$6:$B$3005,$A230,請求記録!$X$6:$X$3005,Z$5,請求記録!$AD$6:$AD$3005,"保留中")&gt;0,"保留",IF(COUNTIFS(請求記録!$B$6:$B$3005,$A230,請求記録!$X$6:$X$3005,Z$5)=0,"",SUMIFS(請求記録!$AC$6:$AC$3005,請求記録!$B$6:$B$3005,$A230,請求記録!$X$6:$X$3005,Z$5))))</f>
        <v/>
      </c>
      <c r="AA230" s="19">
        <f>IF($A230="","",IF(COUNTIFS(請求記録!$B$6:$B$3005,$A230,請求記録!$X$6:$X$3005,AA$5,請求記録!$AD$6:$AD$3005,"保留中")&gt;0,"保留",IF(COUNTIFS(請求記録!$B$6:$B$3005,$A230,請求記録!$X$6:$X$3005,AA$5)=0,"",SUMIFS(請求記録!$AC$6:$AC$3005,請求記録!$B$6:$B$3005,$A230,請求記録!$X$6:$X$3005,AA$5))))</f>
        <v/>
      </c>
      <c r="AB230">
        <f>IF(職員マスタ!P230="保留中",職員マスタ!M230,"")</f>
        <v/>
      </c>
    </row>
    <row r="231">
      <c r="A231">
        <f>IF(職員マスタ!A231="","",職員マスタ!A231)</f>
        <v/>
      </c>
      <c r="B231">
        <f>IF($A231="","",職員マスタ!B231)</f>
        <v/>
      </c>
      <c r="C231">
        <f>IF($A231="","",職員マスタ!C231)</f>
        <v/>
      </c>
      <c r="D231" s="19">
        <f>IF($A231="","",IF(COUNTIFS(請求記録!$B$6:$B$3005,$A231,請求記録!$X$6:$X$3005,D$5,請求記録!$AD$6:$AD$3005,"保留中")&gt;0,"保留",IF(COUNTIFS(請求記録!$B$6:$B$3005,$A231,請求記録!$X$6:$X$3005,D$5)=0,"",SUMIFS(請求記録!$AC$6:$AC$3005,請求記録!$B$6:$B$3005,$A231,請求記録!$X$6:$X$3005,D$5))))</f>
        <v/>
      </c>
      <c r="E231" s="19">
        <f>IF($A231="","",IF(COUNTIFS(請求記録!$B$6:$B$3005,$A231,請求記録!$X$6:$X$3005,E$5,請求記録!$AD$6:$AD$3005,"保留中")&gt;0,"保留",IF(COUNTIFS(請求記録!$B$6:$B$3005,$A231,請求記録!$X$6:$X$3005,E$5)=0,"",SUMIFS(請求記録!$AC$6:$AC$3005,請求記録!$B$6:$B$3005,$A231,請求記録!$X$6:$X$3005,E$5))))</f>
        <v/>
      </c>
      <c r="F231" s="19">
        <f>IF($A231="","",IF(COUNTIFS(請求記録!$B$6:$B$3005,$A231,請求記録!$X$6:$X$3005,F$5,請求記録!$AD$6:$AD$3005,"保留中")&gt;0,"保留",IF(COUNTIFS(請求記録!$B$6:$B$3005,$A231,請求記録!$X$6:$X$3005,F$5)=0,"",SUMIFS(請求記録!$AC$6:$AC$3005,請求記録!$B$6:$B$3005,$A231,請求記録!$X$6:$X$3005,F$5))))</f>
        <v/>
      </c>
      <c r="G231" s="19">
        <f>IF($A231="","",IF(COUNTIFS(請求記録!$B$6:$B$3005,$A231,請求記録!$X$6:$X$3005,G$5,請求記録!$AD$6:$AD$3005,"保留中")&gt;0,"保留",IF(COUNTIFS(請求記録!$B$6:$B$3005,$A231,請求記録!$X$6:$X$3005,G$5)=0,"",SUMIFS(請求記録!$AC$6:$AC$3005,請求記録!$B$6:$B$3005,$A231,請求記録!$X$6:$X$3005,G$5))))</f>
        <v/>
      </c>
      <c r="H231" s="19">
        <f>IF($A231="","",IF(COUNTIFS(請求記録!$B$6:$B$3005,$A231,請求記録!$X$6:$X$3005,H$5,請求記録!$AD$6:$AD$3005,"保留中")&gt;0,"保留",IF(COUNTIFS(請求記録!$B$6:$B$3005,$A231,請求記録!$X$6:$X$3005,H$5)=0,"",SUMIFS(請求記録!$AC$6:$AC$3005,請求記録!$B$6:$B$3005,$A231,請求記録!$X$6:$X$3005,H$5))))</f>
        <v/>
      </c>
      <c r="I231" s="19">
        <f>IF($A231="","",IF(COUNTIFS(請求記録!$B$6:$B$3005,$A231,請求記録!$X$6:$X$3005,I$5,請求記録!$AD$6:$AD$3005,"保留中")&gt;0,"保留",IF(COUNTIFS(請求記録!$B$6:$B$3005,$A231,請求記録!$X$6:$X$3005,I$5)=0,"",SUMIFS(請求記録!$AC$6:$AC$3005,請求記録!$B$6:$B$3005,$A231,請求記録!$X$6:$X$3005,I$5))))</f>
        <v/>
      </c>
      <c r="J231" s="19">
        <f>IF($A231="","",IF(COUNTIFS(請求記録!$B$6:$B$3005,$A231,請求記録!$X$6:$X$3005,J$5,請求記録!$AD$6:$AD$3005,"保留中")&gt;0,"保留",IF(COUNTIFS(請求記録!$B$6:$B$3005,$A231,請求記録!$X$6:$X$3005,J$5)=0,"",SUMIFS(請求記録!$AC$6:$AC$3005,請求記録!$B$6:$B$3005,$A231,請求記録!$X$6:$X$3005,J$5))))</f>
        <v/>
      </c>
      <c r="K231" s="19">
        <f>IF($A231="","",IF(COUNTIFS(請求記録!$B$6:$B$3005,$A231,請求記録!$X$6:$X$3005,K$5,請求記録!$AD$6:$AD$3005,"保留中")&gt;0,"保留",IF(COUNTIFS(請求記録!$B$6:$B$3005,$A231,請求記録!$X$6:$X$3005,K$5)=0,"",SUMIFS(請求記録!$AC$6:$AC$3005,請求記録!$B$6:$B$3005,$A231,請求記録!$X$6:$X$3005,K$5))))</f>
        <v/>
      </c>
      <c r="L231" s="19">
        <f>IF($A231="","",IF(COUNTIFS(請求記録!$B$6:$B$3005,$A231,請求記録!$X$6:$X$3005,L$5,請求記録!$AD$6:$AD$3005,"保留中")&gt;0,"保留",IF(COUNTIFS(請求記録!$B$6:$B$3005,$A231,請求記録!$X$6:$X$3005,L$5)=0,"",SUMIFS(請求記録!$AC$6:$AC$3005,請求記録!$B$6:$B$3005,$A231,請求記録!$X$6:$X$3005,L$5))))</f>
        <v/>
      </c>
      <c r="M231" s="19">
        <f>IF($A231="","",IF(COUNTIFS(請求記録!$B$6:$B$3005,$A231,請求記録!$X$6:$X$3005,M$5,請求記録!$AD$6:$AD$3005,"保留中")&gt;0,"保留",IF(COUNTIFS(請求記録!$B$6:$B$3005,$A231,請求記録!$X$6:$X$3005,M$5)=0,"",SUMIFS(請求記録!$AC$6:$AC$3005,請求記録!$B$6:$B$3005,$A231,請求記録!$X$6:$X$3005,M$5))))</f>
        <v/>
      </c>
      <c r="N231" s="19">
        <f>IF($A231="","",IF(COUNTIFS(請求記録!$B$6:$B$3005,$A231,請求記録!$X$6:$X$3005,N$5,請求記録!$AD$6:$AD$3005,"保留中")&gt;0,"保留",IF(COUNTIFS(請求記録!$B$6:$B$3005,$A231,請求記録!$X$6:$X$3005,N$5)=0,"",SUMIFS(請求記録!$AC$6:$AC$3005,請求記録!$B$6:$B$3005,$A231,請求記録!$X$6:$X$3005,N$5))))</f>
        <v/>
      </c>
      <c r="O231" s="19">
        <f>IF($A231="","",IF(COUNTIFS(請求記録!$B$6:$B$3005,$A231,請求記録!$X$6:$X$3005,O$5,請求記録!$AD$6:$AD$3005,"保留中")&gt;0,"保留",IF(COUNTIFS(請求記録!$B$6:$B$3005,$A231,請求記録!$X$6:$X$3005,O$5)=0,"",SUMIFS(請求記録!$AC$6:$AC$3005,請求記録!$B$6:$B$3005,$A231,請求記録!$X$6:$X$3005,O$5))))</f>
        <v/>
      </c>
      <c r="P231" s="19">
        <f>IF($A231="","",IF(COUNTIFS(請求記録!$B$6:$B$3005,$A231,請求記録!$X$6:$X$3005,P$5,請求記録!$AD$6:$AD$3005,"保留中")&gt;0,"保留",IF(COUNTIFS(請求記録!$B$6:$B$3005,$A231,請求記録!$X$6:$X$3005,P$5)=0,"",SUMIFS(請求記録!$AC$6:$AC$3005,請求記録!$B$6:$B$3005,$A231,請求記録!$X$6:$X$3005,P$5))))</f>
        <v/>
      </c>
      <c r="Q231" s="19">
        <f>IF($A231="","",IF(COUNTIFS(請求記録!$B$6:$B$3005,$A231,請求記録!$X$6:$X$3005,Q$5,請求記録!$AD$6:$AD$3005,"保留中")&gt;0,"保留",IF(COUNTIFS(請求記録!$B$6:$B$3005,$A231,請求記録!$X$6:$X$3005,Q$5)=0,"",SUMIFS(請求記録!$AC$6:$AC$3005,請求記録!$B$6:$B$3005,$A231,請求記録!$X$6:$X$3005,Q$5))))</f>
        <v/>
      </c>
      <c r="R231" s="19">
        <f>IF($A231="","",IF(COUNTIFS(請求記録!$B$6:$B$3005,$A231,請求記録!$X$6:$X$3005,R$5,請求記録!$AD$6:$AD$3005,"保留中")&gt;0,"保留",IF(COUNTIFS(請求記録!$B$6:$B$3005,$A231,請求記録!$X$6:$X$3005,R$5)=0,"",SUMIFS(請求記録!$AC$6:$AC$3005,請求記録!$B$6:$B$3005,$A231,請求記録!$X$6:$X$3005,R$5))))</f>
        <v/>
      </c>
      <c r="S231" s="19">
        <f>IF($A231="","",IF(COUNTIFS(請求記録!$B$6:$B$3005,$A231,請求記録!$X$6:$X$3005,S$5,請求記録!$AD$6:$AD$3005,"保留中")&gt;0,"保留",IF(COUNTIFS(請求記録!$B$6:$B$3005,$A231,請求記録!$X$6:$X$3005,S$5)=0,"",SUMIFS(請求記録!$AC$6:$AC$3005,請求記録!$B$6:$B$3005,$A231,請求記録!$X$6:$X$3005,S$5))))</f>
        <v/>
      </c>
      <c r="T231" s="19">
        <f>IF($A231="","",IF(COUNTIFS(請求記録!$B$6:$B$3005,$A231,請求記録!$X$6:$X$3005,T$5,請求記録!$AD$6:$AD$3005,"保留中")&gt;0,"保留",IF(COUNTIFS(請求記録!$B$6:$B$3005,$A231,請求記録!$X$6:$X$3005,T$5)=0,"",SUMIFS(請求記録!$AC$6:$AC$3005,請求記録!$B$6:$B$3005,$A231,請求記録!$X$6:$X$3005,T$5))))</f>
        <v/>
      </c>
      <c r="U231" s="19">
        <f>IF($A231="","",IF(COUNTIFS(請求記録!$B$6:$B$3005,$A231,請求記録!$X$6:$X$3005,U$5,請求記録!$AD$6:$AD$3005,"保留中")&gt;0,"保留",IF(COUNTIFS(請求記録!$B$6:$B$3005,$A231,請求記録!$X$6:$X$3005,U$5)=0,"",SUMIFS(請求記録!$AC$6:$AC$3005,請求記録!$B$6:$B$3005,$A231,請求記録!$X$6:$X$3005,U$5))))</f>
        <v/>
      </c>
      <c r="V231" s="19">
        <f>IF($A231="","",IF(COUNTIFS(請求記録!$B$6:$B$3005,$A231,請求記録!$X$6:$X$3005,V$5,請求記録!$AD$6:$AD$3005,"保留中")&gt;0,"保留",IF(COUNTIFS(請求記録!$B$6:$B$3005,$A231,請求記録!$X$6:$X$3005,V$5)=0,"",SUMIFS(請求記録!$AC$6:$AC$3005,請求記録!$B$6:$B$3005,$A231,請求記録!$X$6:$X$3005,V$5))))</f>
        <v/>
      </c>
      <c r="W231" s="19">
        <f>IF($A231="","",IF(COUNTIFS(請求記録!$B$6:$B$3005,$A231,請求記録!$X$6:$X$3005,W$5,請求記録!$AD$6:$AD$3005,"保留中")&gt;0,"保留",IF(COUNTIFS(請求記録!$B$6:$B$3005,$A231,請求記録!$X$6:$X$3005,W$5)=0,"",SUMIFS(請求記録!$AC$6:$AC$3005,請求記録!$B$6:$B$3005,$A231,請求記録!$X$6:$X$3005,W$5))))</f>
        <v/>
      </c>
      <c r="X231" s="19">
        <f>IF($A231="","",IF(COUNTIFS(請求記録!$B$6:$B$3005,$A231,請求記録!$X$6:$X$3005,X$5,請求記録!$AD$6:$AD$3005,"保留中")&gt;0,"保留",IF(COUNTIFS(請求記録!$B$6:$B$3005,$A231,請求記録!$X$6:$X$3005,X$5)=0,"",SUMIFS(請求記録!$AC$6:$AC$3005,請求記録!$B$6:$B$3005,$A231,請求記録!$X$6:$X$3005,X$5))))</f>
        <v/>
      </c>
      <c r="Y231" s="19">
        <f>IF($A231="","",IF(COUNTIFS(請求記録!$B$6:$B$3005,$A231,請求記録!$X$6:$X$3005,Y$5,請求記録!$AD$6:$AD$3005,"保留中")&gt;0,"保留",IF(COUNTIFS(請求記録!$B$6:$B$3005,$A231,請求記録!$X$6:$X$3005,Y$5)=0,"",SUMIFS(請求記録!$AC$6:$AC$3005,請求記録!$B$6:$B$3005,$A231,請求記録!$X$6:$X$3005,Y$5))))</f>
        <v/>
      </c>
      <c r="Z231" s="19">
        <f>IF($A231="","",IF(COUNTIFS(請求記録!$B$6:$B$3005,$A231,請求記録!$X$6:$X$3005,Z$5,請求記録!$AD$6:$AD$3005,"保留中")&gt;0,"保留",IF(COUNTIFS(請求記録!$B$6:$B$3005,$A231,請求記録!$X$6:$X$3005,Z$5)=0,"",SUMIFS(請求記録!$AC$6:$AC$3005,請求記録!$B$6:$B$3005,$A231,請求記録!$X$6:$X$3005,Z$5))))</f>
        <v/>
      </c>
      <c r="AA231" s="19">
        <f>IF($A231="","",IF(COUNTIFS(請求記録!$B$6:$B$3005,$A231,請求記録!$X$6:$X$3005,AA$5,請求記録!$AD$6:$AD$3005,"保留中")&gt;0,"保留",IF(COUNTIFS(請求記録!$B$6:$B$3005,$A231,請求記録!$X$6:$X$3005,AA$5)=0,"",SUMIFS(請求記録!$AC$6:$AC$3005,請求記録!$B$6:$B$3005,$A231,請求記録!$X$6:$X$3005,AA$5))))</f>
        <v/>
      </c>
      <c r="AB231">
        <f>IF(職員マスタ!P231="保留中",職員マスタ!M231,"")</f>
        <v/>
      </c>
    </row>
    <row r="232">
      <c r="A232">
        <f>IF(職員マスタ!A232="","",職員マスタ!A232)</f>
        <v/>
      </c>
      <c r="B232">
        <f>IF($A232="","",職員マスタ!B232)</f>
        <v/>
      </c>
      <c r="C232">
        <f>IF($A232="","",職員マスタ!C232)</f>
        <v/>
      </c>
      <c r="D232" s="19">
        <f>IF($A232="","",IF(COUNTIFS(請求記録!$B$6:$B$3005,$A232,請求記録!$X$6:$X$3005,D$5,請求記録!$AD$6:$AD$3005,"保留中")&gt;0,"保留",IF(COUNTIFS(請求記録!$B$6:$B$3005,$A232,請求記録!$X$6:$X$3005,D$5)=0,"",SUMIFS(請求記録!$AC$6:$AC$3005,請求記録!$B$6:$B$3005,$A232,請求記録!$X$6:$X$3005,D$5))))</f>
        <v/>
      </c>
      <c r="E232" s="19">
        <f>IF($A232="","",IF(COUNTIFS(請求記録!$B$6:$B$3005,$A232,請求記録!$X$6:$X$3005,E$5,請求記録!$AD$6:$AD$3005,"保留中")&gt;0,"保留",IF(COUNTIFS(請求記録!$B$6:$B$3005,$A232,請求記録!$X$6:$X$3005,E$5)=0,"",SUMIFS(請求記録!$AC$6:$AC$3005,請求記録!$B$6:$B$3005,$A232,請求記録!$X$6:$X$3005,E$5))))</f>
        <v/>
      </c>
      <c r="F232" s="19">
        <f>IF($A232="","",IF(COUNTIFS(請求記録!$B$6:$B$3005,$A232,請求記録!$X$6:$X$3005,F$5,請求記録!$AD$6:$AD$3005,"保留中")&gt;0,"保留",IF(COUNTIFS(請求記録!$B$6:$B$3005,$A232,請求記録!$X$6:$X$3005,F$5)=0,"",SUMIFS(請求記録!$AC$6:$AC$3005,請求記録!$B$6:$B$3005,$A232,請求記録!$X$6:$X$3005,F$5))))</f>
        <v/>
      </c>
      <c r="G232" s="19">
        <f>IF($A232="","",IF(COUNTIFS(請求記録!$B$6:$B$3005,$A232,請求記録!$X$6:$X$3005,G$5,請求記録!$AD$6:$AD$3005,"保留中")&gt;0,"保留",IF(COUNTIFS(請求記録!$B$6:$B$3005,$A232,請求記録!$X$6:$X$3005,G$5)=0,"",SUMIFS(請求記録!$AC$6:$AC$3005,請求記録!$B$6:$B$3005,$A232,請求記録!$X$6:$X$3005,G$5))))</f>
        <v/>
      </c>
      <c r="H232" s="19">
        <f>IF($A232="","",IF(COUNTIFS(請求記録!$B$6:$B$3005,$A232,請求記録!$X$6:$X$3005,H$5,請求記録!$AD$6:$AD$3005,"保留中")&gt;0,"保留",IF(COUNTIFS(請求記録!$B$6:$B$3005,$A232,請求記録!$X$6:$X$3005,H$5)=0,"",SUMIFS(請求記録!$AC$6:$AC$3005,請求記録!$B$6:$B$3005,$A232,請求記録!$X$6:$X$3005,H$5))))</f>
        <v/>
      </c>
      <c r="I232" s="19">
        <f>IF($A232="","",IF(COUNTIFS(請求記録!$B$6:$B$3005,$A232,請求記録!$X$6:$X$3005,I$5,請求記録!$AD$6:$AD$3005,"保留中")&gt;0,"保留",IF(COUNTIFS(請求記録!$B$6:$B$3005,$A232,請求記録!$X$6:$X$3005,I$5)=0,"",SUMIFS(請求記録!$AC$6:$AC$3005,請求記録!$B$6:$B$3005,$A232,請求記録!$X$6:$X$3005,I$5))))</f>
        <v/>
      </c>
      <c r="J232" s="19">
        <f>IF($A232="","",IF(COUNTIFS(請求記録!$B$6:$B$3005,$A232,請求記録!$X$6:$X$3005,J$5,請求記録!$AD$6:$AD$3005,"保留中")&gt;0,"保留",IF(COUNTIFS(請求記録!$B$6:$B$3005,$A232,請求記録!$X$6:$X$3005,J$5)=0,"",SUMIFS(請求記録!$AC$6:$AC$3005,請求記録!$B$6:$B$3005,$A232,請求記録!$X$6:$X$3005,J$5))))</f>
        <v/>
      </c>
      <c r="K232" s="19">
        <f>IF($A232="","",IF(COUNTIFS(請求記録!$B$6:$B$3005,$A232,請求記録!$X$6:$X$3005,K$5,請求記録!$AD$6:$AD$3005,"保留中")&gt;0,"保留",IF(COUNTIFS(請求記録!$B$6:$B$3005,$A232,請求記録!$X$6:$X$3005,K$5)=0,"",SUMIFS(請求記録!$AC$6:$AC$3005,請求記録!$B$6:$B$3005,$A232,請求記録!$X$6:$X$3005,K$5))))</f>
        <v/>
      </c>
      <c r="L232" s="19">
        <f>IF($A232="","",IF(COUNTIFS(請求記録!$B$6:$B$3005,$A232,請求記録!$X$6:$X$3005,L$5,請求記録!$AD$6:$AD$3005,"保留中")&gt;0,"保留",IF(COUNTIFS(請求記録!$B$6:$B$3005,$A232,請求記録!$X$6:$X$3005,L$5)=0,"",SUMIFS(請求記録!$AC$6:$AC$3005,請求記録!$B$6:$B$3005,$A232,請求記録!$X$6:$X$3005,L$5))))</f>
        <v/>
      </c>
      <c r="M232" s="19">
        <f>IF($A232="","",IF(COUNTIFS(請求記録!$B$6:$B$3005,$A232,請求記録!$X$6:$X$3005,M$5,請求記録!$AD$6:$AD$3005,"保留中")&gt;0,"保留",IF(COUNTIFS(請求記録!$B$6:$B$3005,$A232,請求記録!$X$6:$X$3005,M$5)=0,"",SUMIFS(請求記録!$AC$6:$AC$3005,請求記録!$B$6:$B$3005,$A232,請求記録!$X$6:$X$3005,M$5))))</f>
        <v/>
      </c>
      <c r="N232" s="19">
        <f>IF($A232="","",IF(COUNTIFS(請求記録!$B$6:$B$3005,$A232,請求記録!$X$6:$X$3005,N$5,請求記録!$AD$6:$AD$3005,"保留中")&gt;0,"保留",IF(COUNTIFS(請求記録!$B$6:$B$3005,$A232,請求記録!$X$6:$X$3005,N$5)=0,"",SUMIFS(請求記録!$AC$6:$AC$3005,請求記録!$B$6:$B$3005,$A232,請求記録!$X$6:$X$3005,N$5))))</f>
        <v/>
      </c>
      <c r="O232" s="19">
        <f>IF($A232="","",IF(COUNTIFS(請求記録!$B$6:$B$3005,$A232,請求記録!$X$6:$X$3005,O$5,請求記録!$AD$6:$AD$3005,"保留中")&gt;0,"保留",IF(COUNTIFS(請求記録!$B$6:$B$3005,$A232,請求記録!$X$6:$X$3005,O$5)=0,"",SUMIFS(請求記録!$AC$6:$AC$3005,請求記録!$B$6:$B$3005,$A232,請求記録!$X$6:$X$3005,O$5))))</f>
        <v/>
      </c>
      <c r="P232" s="19">
        <f>IF($A232="","",IF(COUNTIFS(請求記録!$B$6:$B$3005,$A232,請求記録!$X$6:$X$3005,P$5,請求記録!$AD$6:$AD$3005,"保留中")&gt;0,"保留",IF(COUNTIFS(請求記録!$B$6:$B$3005,$A232,請求記録!$X$6:$X$3005,P$5)=0,"",SUMIFS(請求記録!$AC$6:$AC$3005,請求記録!$B$6:$B$3005,$A232,請求記録!$X$6:$X$3005,P$5))))</f>
        <v/>
      </c>
      <c r="Q232" s="19">
        <f>IF($A232="","",IF(COUNTIFS(請求記録!$B$6:$B$3005,$A232,請求記録!$X$6:$X$3005,Q$5,請求記録!$AD$6:$AD$3005,"保留中")&gt;0,"保留",IF(COUNTIFS(請求記録!$B$6:$B$3005,$A232,請求記録!$X$6:$X$3005,Q$5)=0,"",SUMIFS(請求記録!$AC$6:$AC$3005,請求記録!$B$6:$B$3005,$A232,請求記録!$X$6:$X$3005,Q$5))))</f>
        <v/>
      </c>
      <c r="R232" s="19">
        <f>IF($A232="","",IF(COUNTIFS(請求記録!$B$6:$B$3005,$A232,請求記録!$X$6:$X$3005,R$5,請求記録!$AD$6:$AD$3005,"保留中")&gt;0,"保留",IF(COUNTIFS(請求記録!$B$6:$B$3005,$A232,請求記録!$X$6:$X$3005,R$5)=0,"",SUMIFS(請求記録!$AC$6:$AC$3005,請求記録!$B$6:$B$3005,$A232,請求記録!$X$6:$X$3005,R$5))))</f>
        <v/>
      </c>
      <c r="S232" s="19">
        <f>IF($A232="","",IF(COUNTIFS(請求記録!$B$6:$B$3005,$A232,請求記録!$X$6:$X$3005,S$5,請求記録!$AD$6:$AD$3005,"保留中")&gt;0,"保留",IF(COUNTIFS(請求記録!$B$6:$B$3005,$A232,請求記録!$X$6:$X$3005,S$5)=0,"",SUMIFS(請求記録!$AC$6:$AC$3005,請求記録!$B$6:$B$3005,$A232,請求記録!$X$6:$X$3005,S$5))))</f>
        <v/>
      </c>
      <c r="T232" s="19">
        <f>IF($A232="","",IF(COUNTIFS(請求記録!$B$6:$B$3005,$A232,請求記録!$X$6:$X$3005,T$5,請求記録!$AD$6:$AD$3005,"保留中")&gt;0,"保留",IF(COUNTIFS(請求記録!$B$6:$B$3005,$A232,請求記録!$X$6:$X$3005,T$5)=0,"",SUMIFS(請求記録!$AC$6:$AC$3005,請求記録!$B$6:$B$3005,$A232,請求記録!$X$6:$X$3005,T$5))))</f>
        <v/>
      </c>
      <c r="U232" s="19">
        <f>IF($A232="","",IF(COUNTIFS(請求記録!$B$6:$B$3005,$A232,請求記録!$X$6:$X$3005,U$5,請求記録!$AD$6:$AD$3005,"保留中")&gt;0,"保留",IF(COUNTIFS(請求記録!$B$6:$B$3005,$A232,請求記録!$X$6:$X$3005,U$5)=0,"",SUMIFS(請求記録!$AC$6:$AC$3005,請求記録!$B$6:$B$3005,$A232,請求記録!$X$6:$X$3005,U$5))))</f>
        <v/>
      </c>
      <c r="V232" s="19">
        <f>IF($A232="","",IF(COUNTIFS(請求記録!$B$6:$B$3005,$A232,請求記録!$X$6:$X$3005,V$5,請求記録!$AD$6:$AD$3005,"保留中")&gt;0,"保留",IF(COUNTIFS(請求記録!$B$6:$B$3005,$A232,請求記録!$X$6:$X$3005,V$5)=0,"",SUMIFS(請求記録!$AC$6:$AC$3005,請求記録!$B$6:$B$3005,$A232,請求記録!$X$6:$X$3005,V$5))))</f>
        <v/>
      </c>
      <c r="W232" s="19">
        <f>IF($A232="","",IF(COUNTIFS(請求記録!$B$6:$B$3005,$A232,請求記録!$X$6:$X$3005,W$5,請求記録!$AD$6:$AD$3005,"保留中")&gt;0,"保留",IF(COUNTIFS(請求記録!$B$6:$B$3005,$A232,請求記録!$X$6:$X$3005,W$5)=0,"",SUMIFS(請求記録!$AC$6:$AC$3005,請求記録!$B$6:$B$3005,$A232,請求記録!$X$6:$X$3005,W$5))))</f>
        <v/>
      </c>
      <c r="X232" s="19">
        <f>IF($A232="","",IF(COUNTIFS(請求記録!$B$6:$B$3005,$A232,請求記録!$X$6:$X$3005,X$5,請求記録!$AD$6:$AD$3005,"保留中")&gt;0,"保留",IF(COUNTIFS(請求記録!$B$6:$B$3005,$A232,請求記録!$X$6:$X$3005,X$5)=0,"",SUMIFS(請求記録!$AC$6:$AC$3005,請求記録!$B$6:$B$3005,$A232,請求記録!$X$6:$X$3005,X$5))))</f>
        <v/>
      </c>
      <c r="Y232" s="19">
        <f>IF($A232="","",IF(COUNTIFS(請求記録!$B$6:$B$3005,$A232,請求記録!$X$6:$X$3005,Y$5,請求記録!$AD$6:$AD$3005,"保留中")&gt;0,"保留",IF(COUNTIFS(請求記録!$B$6:$B$3005,$A232,請求記録!$X$6:$X$3005,Y$5)=0,"",SUMIFS(請求記録!$AC$6:$AC$3005,請求記録!$B$6:$B$3005,$A232,請求記録!$X$6:$X$3005,Y$5))))</f>
        <v/>
      </c>
      <c r="Z232" s="19">
        <f>IF($A232="","",IF(COUNTIFS(請求記録!$B$6:$B$3005,$A232,請求記録!$X$6:$X$3005,Z$5,請求記録!$AD$6:$AD$3005,"保留中")&gt;0,"保留",IF(COUNTIFS(請求記録!$B$6:$B$3005,$A232,請求記録!$X$6:$X$3005,Z$5)=0,"",SUMIFS(請求記録!$AC$6:$AC$3005,請求記録!$B$6:$B$3005,$A232,請求記録!$X$6:$X$3005,Z$5))))</f>
        <v/>
      </c>
      <c r="AA232" s="19">
        <f>IF($A232="","",IF(COUNTIFS(請求記録!$B$6:$B$3005,$A232,請求記録!$X$6:$X$3005,AA$5,請求記録!$AD$6:$AD$3005,"保留中")&gt;0,"保留",IF(COUNTIFS(請求記録!$B$6:$B$3005,$A232,請求記録!$X$6:$X$3005,AA$5)=0,"",SUMIFS(請求記録!$AC$6:$AC$3005,請求記録!$B$6:$B$3005,$A232,請求記録!$X$6:$X$3005,AA$5))))</f>
        <v/>
      </c>
      <c r="AB232">
        <f>IF(職員マスタ!P232="保留中",職員マスタ!M232,"")</f>
        <v/>
      </c>
    </row>
    <row r="233">
      <c r="A233">
        <f>IF(職員マスタ!A233="","",職員マスタ!A233)</f>
        <v/>
      </c>
      <c r="B233">
        <f>IF($A233="","",職員マスタ!B233)</f>
        <v/>
      </c>
      <c r="C233">
        <f>IF($A233="","",職員マスタ!C233)</f>
        <v/>
      </c>
      <c r="D233" s="19">
        <f>IF($A233="","",IF(COUNTIFS(請求記録!$B$6:$B$3005,$A233,請求記録!$X$6:$X$3005,D$5,請求記録!$AD$6:$AD$3005,"保留中")&gt;0,"保留",IF(COUNTIFS(請求記録!$B$6:$B$3005,$A233,請求記録!$X$6:$X$3005,D$5)=0,"",SUMIFS(請求記録!$AC$6:$AC$3005,請求記録!$B$6:$B$3005,$A233,請求記録!$X$6:$X$3005,D$5))))</f>
        <v/>
      </c>
      <c r="E233" s="19">
        <f>IF($A233="","",IF(COUNTIFS(請求記録!$B$6:$B$3005,$A233,請求記録!$X$6:$X$3005,E$5,請求記録!$AD$6:$AD$3005,"保留中")&gt;0,"保留",IF(COUNTIFS(請求記録!$B$6:$B$3005,$A233,請求記録!$X$6:$X$3005,E$5)=0,"",SUMIFS(請求記録!$AC$6:$AC$3005,請求記録!$B$6:$B$3005,$A233,請求記録!$X$6:$X$3005,E$5))))</f>
        <v/>
      </c>
      <c r="F233" s="19">
        <f>IF($A233="","",IF(COUNTIFS(請求記録!$B$6:$B$3005,$A233,請求記録!$X$6:$X$3005,F$5,請求記録!$AD$6:$AD$3005,"保留中")&gt;0,"保留",IF(COUNTIFS(請求記録!$B$6:$B$3005,$A233,請求記録!$X$6:$X$3005,F$5)=0,"",SUMIFS(請求記録!$AC$6:$AC$3005,請求記録!$B$6:$B$3005,$A233,請求記録!$X$6:$X$3005,F$5))))</f>
        <v/>
      </c>
      <c r="G233" s="19">
        <f>IF($A233="","",IF(COUNTIFS(請求記録!$B$6:$B$3005,$A233,請求記録!$X$6:$X$3005,G$5,請求記録!$AD$6:$AD$3005,"保留中")&gt;0,"保留",IF(COUNTIFS(請求記録!$B$6:$B$3005,$A233,請求記録!$X$6:$X$3005,G$5)=0,"",SUMIFS(請求記録!$AC$6:$AC$3005,請求記録!$B$6:$B$3005,$A233,請求記録!$X$6:$X$3005,G$5))))</f>
        <v/>
      </c>
      <c r="H233" s="19">
        <f>IF($A233="","",IF(COUNTIFS(請求記録!$B$6:$B$3005,$A233,請求記録!$X$6:$X$3005,H$5,請求記録!$AD$6:$AD$3005,"保留中")&gt;0,"保留",IF(COUNTIFS(請求記録!$B$6:$B$3005,$A233,請求記録!$X$6:$X$3005,H$5)=0,"",SUMIFS(請求記録!$AC$6:$AC$3005,請求記録!$B$6:$B$3005,$A233,請求記録!$X$6:$X$3005,H$5))))</f>
        <v/>
      </c>
      <c r="I233" s="19">
        <f>IF($A233="","",IF(COUNTIFS(請求記録!$B$6:$B$3005,$A233,請求記録!$X$6:$X$3005,I$5,請求記録!$AD$6:$AD$3005,"保留中")&gt;0,"保留",IF(COUNTIFS(請求記録!$B$6:$B$3005,$A233,請求記録!$X$6:$X$3005,I$5)=0,"",SUMIFS(請求記録!$AC$6:$AC$3005,請求記録!$B$6:$B$3005,$A233,請求記録!$X$6:$X$3005,I$5))))</f>
        <v/>
      </c>
      <c r="J233" s="19">
        <f>IF($A233="","",IF(COUNTIFS(請求記録!$B$6:$B$3005,$A233,請求記録!$X$6:$X$3005,J$5,請求記録!$AD$6:$AD$3005,"保留中")&gt;0,"保留",IF(COUNTIFS(請求記録!$B$6:$B$3005,$A233,請求記録!$X$6:$X$3005,J$5)=0,"",SUMIFS(請求記録!$AC$6:$AC$3005,請求記録!$B$6:$B$3005,$A233,請求記録!$X$6:$X$3005,J$5))))</f>
        <v/>
      </c>
      <c r="K233" s="19">
        <f>IF($A233="","",IF(COUNTIFS(請求記録!$B$6:$B$3005,$A233,請求記録!$X$6:$X$3005,K$5,請求記録!$AD$6:$AD$3005,"保留中")&gt;0,"保留",IF(COUNTIFS(請求記録!$B$6:$B$3005,$A233,請求記録!$X$6:$X$3005,K$5)=0,"",SUMIFS(請求記録!$AC$6:$AC$3005,請求記録!$B$6:$B$3005,$A233,請求記録!$X$6:$X$3005,K$5))))</f>
        <v/>
      </c>
      <c r="L233" s="19">
        <f>IF($A233="","",IF(COUNTIFS(請求記録!$B$6:$B$3005,$A233,請求記録!$X$6:$X$3005,L$5,請求記録!$AD$6:$AD$3005,"保留中")&gt;0,"保留",IF(COUNTIFS(請求記録!$B$6:$B$3005,$A233,請求記録!$X$6:$X$3005,L$5)=0,"",SUMIFS(請求記録!$AC$6:$AC$3005,請求記録!$B$6:$B$3005,$A233,請求記録!$X$6:$X$3005,L$5))))</f>
        <v/>
      </c>
      <c r="M233" s="19">
        <f>IF($A233="","",IF(COUNTIFS(請求記録!$B$6:$B$3005,$A233,請求記録!$X$6:$X$3005,M$5,請求記録!$AD$6:$AD$3005,"保留中")&gt;0,"保留",IF(COUNTIFS(請求記録!$B$6:$B$3005,$A233,請求記録!$X$6:$X$3005,M$5)=0,"",SUMIFS(請求記録!$AC$6:$AC$3005,請求記録!$B$6:$B$3005,$A233,請求記録!$X$6:$X$3005,M$5))))</f>
        <v/>
      </c>
      <c r="N233" s="19">
        <f>IF($A233="","",IF(COUNTIFS(請求記録!$B$6:$B$3005,$A233,請求記録!$X$6:$X$3005,N$5,請求記録!$AD$6:$AD$3005,"保留中")&gt;0,"保留",IF(COUNTIFS(請求記録!$B$6:$B$3005,$A233,請求記録!$X$6:$X$3005,N$5)=0,"",SUMIFS(請求記録!$AC$6:$AC$3005,請求記録!$B$6:$B$3005,$A233,請求記録!$X$6:$X$3005,N$5))))</f>
        <v/>
      </c>
      <c r="O233" s="19">
        <f>IF($A233="","",IF(COUNTIFS(請求記録!$B$6:$B$3005,$A233,請求記録!$X$6:$X$3005,O$5,請求記録!$AD$6:$AD$3005,"保留中")&gt;0,"保留",IF(COUNTIFS(請求記録!$B$6:$B$3005,$A233,請求記録!$X$6:$X$3005,O$5)=0,"",SUMIFS(請求記録!$AC$6:$AC$3005,請求記録!$B$6:$B$3005,$A233,請求記録!$X$6:$X$3005,O$5))))</f>
        <v/>
      </c>
      <c r="P233" s="19">
        <f>IF($A233="","",IF(COUNTIFS(請求記録!$B$6:$B$3005,$A233,請求記録!$X$6:$X$3005,P$5,請求記録!$AD$6:$AD$3005,"保留中")&gt;0,"保留",IF(COUNTIFS(請求記録!$B$6:$B$3005,$A233,請求記録!$X$6:$X$3005,P$5)=0,"",SUMIFS(請求記録!$AC$6:$AC$3005,請求記録!$B$6:$B$3005,$A233,請求記録!$X$6:$X$3005,P$5))))</f>
        <v/>
      </c>
      <c r="Q233" s="19">
        <f>IF($A233="","",IF(COUNTIFS(請求記録!$B$6:$B$3005,$A233,請求記録!$X$6:$X$3005,Q$5,請求記録!$AD$6:$AD$3005,"保留中")&gt;0,"保留",IF(COUNTIFS(請求記録!$B$6:$B$3005,$A233,請求記録!$X$6:$X$3005,Q$5)=0,"",SUMIFS(請求記録!$AC$6:$AC$3005,請求記録!$B$6:$B$3005,$A233,請求記録!$X$6:$X$3005,Q$5))))</f>
        <v/>
      </c>
      <c r="R233" s="19">
        <f>IF($A233="","",IF(COUNTIFS(請求記録!$B$6:$B$3005,$A233,請求記録!$X$6:$X$3005,R$5,請求記録!$AD$6:$AD$3005,"保留中")&gt;0,"保留",IF(COUNTIFS(請求記録!$B$6:$B$3005,$A233,請求記録!$X$6:$X$3005,R$5)=0,"",SUMIFS(請求記録!$AC$6:$AC$3005,請求記録!$B$6:$B$3005,$A233,請求記録!$X$6:$X$3005,R$5))))</f>
        <v/>
      </c>
      <c r="S233" s="19">
        <f>IF($A233="","",IF(COUNTIFS(請求記録!$B$6:$B$3005,$A233,請求記録!$X$6:$X$3005,S$5,請求記録!$AD$6:$AD$3005,"保留中")&gt;0,"保留",IF(COUNTIFS(請求記録!$B$6:$B$3005,$A233,請求記録!$X$6:$X$3005,S$5)=0,"",SUMIFS(請求記録!$AC$6:$AC$3005,請求記録!$B$6:$B$3005,$A233,請求記録!$X$6:$X$3005,S$5))))</f>
        <v/>
      </c>
      <c r="T233" s="19">
        <f>IF($A233="","",IF(COUNTIFS(請求記録!$B$6:$B$3005,$A233,請求記録!$X$6:$X$3005,T$5,請求記録!$AD$6:$AD$3005,"保留中")&gt;0,"保留",IF(COUNTIFS(請求記録!$B$6:$B$3005,$A233,請求記録!$X$6:$X$3005,T$5)=0,"",SUMIFS(請求記録!$AC$6:$AC$3005,請求記録!$B$6:$B$3005,$A233,請求記録!$X$6:$X$3005,T$5))))</f>
        <v/>
      </c>
      <c r="U233" s="19">
        <f>IF($A233="","",IF(COUNTIFS(請求記録!$B$6:$B$3005,$A233,請求記録!$X$6:$X$3005,U$5,請求記録!$AD$6:$AD$3005,"保留中")&gt;0,"保留",IF(COUNTIFS(請求記録!$B$6:$B$3005,$A233,請求記録!$X$6:$X$3005,U$5)=0,"",SUMIFS(請求記録!$AC$6:$AC$3005,請求記録!$B$6:$B$3005,$A233,請求記録!$X$6:$X$3005,U$5))))</f>
        <v/>
      </c>
      <c r="V233" s="19">
        <f>IF($A233="","",IF(COUNTIFS(請求記録!$B$6:$B$3005,$A233,請求記録!$X$6:$X$3005,V$5,請求記録!$AD$6:$AD$3005,"保留中")&gt;0,"保留",IF(COUNTIFS(請求記録!$B$6:$B$3005,$A233,請求記録!$X$6:$X$3005,V$5)=0,"",SUMIFS(請求記録!$AC$6:$AC$3005,請求記録!$B$6:$B$3005,$A233,請求記録!$X$6:$X$3005,V$5))))</f>
        <v/>
      </c>
      <c r="W233" s="19">
        <f>IF($A233="","",IF(COUNTIFS(請求記録!$B$6:$B$3005,$A233,請求記録!$X$6:$X$3005,W$5,請求記録!$AD$6:$AD$3005,"保留中")&gt;0,"保留",IF(COUNTIFS(請求記録!$B$6:$B$3005,$A233,請求記録!$X$6:$X$3005,W$5)=0,"",SUMIFS(請求記録!$AC$6:$AC$3005,請求記録!$B$6:$B$3005,$A233,請求記録!$X$6:$X$3005,W$5))))</f>
        <v/>
      </c>
      <c r="X233" s="19">
        <f>IF($A233="","",IF(COUNTIFS(請求記録!$B$6:$B$3005,$A233,請求記録!$X$6:$X$3005,X$5,請求記録!$AD$6:$AD$3005,"保留中")&gt;0,"保留",IF(COUNTIFS(請求記録!$B$6:$B$3005,$A233,請求記録!$X$6:$X$3005,X$5)=0,"",SUMIFS(請求記録!$AC$6:$AC$3005,請求記録!$B$6:$B$3005,$A233,請求記録!$X$6:$X$3005,X$5))))</f>
        <v/>
      </c>
      <c r="Y233" s="19">
        <f>IF($A233="","",IF(COUNTIFS(請求記録!$B$6:$B$3005,$A233,請求記録!$X$6:$X$3005,Y$5,請求記録!$AD$6:$AD$3005,"保留中")&gt;0,"保留",IF(COUNTIFS(請求記録!$B$6:$B$3005,$A233,請求記録!$X$6:$X$3005,Y$5)=0,"",SUMIFS(請求記録!$AC$6:$AC$3005,請求記録!$B$6:$B$3005,$A233,請求記録!$X$6:$X$3005,Y$5))))</f>
        <v/>
      </c>
      <c r="Z233" s="19">
        <f>IF($A233="","",IF(COUNTIFS(請求記録!$B$6:$B$3005,$A233,請求記録!$X$6:$X$3005,Z$5,請求記録!$AD$6:$AD$3005,"保留中")&gt;0,"保留",IF(COUNTIFS(請求記録!$B$6:$B$3005,$A233,請求記録!$X$6:$X$3005,Z$5)=0,"",SUMIFS(請求記録!$AC$6:$AC$3005,請求記録!$B$6:$B$3005,$A233,請求記録!$X$6:$X$3005,Z$5))))</f>
        <v/>
      </c>
      <c r="AA233" s="19">
        <f>IF($A233="","",IF(COUNTIFS(請求記録!$B$6:$B$3005,$A233,請求記録!$X$6:$X$3005,AA$5,請求記録!$AD$6:$AD$3005,"保留中")&gt;0,"保留",IF(COUNTIFS(請求記録!$B$6:$B$3005,$A233,請求記録!$X$6:$X$3005,AA$5)=0,"",SUMIFS(請求記録!$AC$6:$AC$3005,請求記録!$B$6:$B$3005,$A233,請求記録!$X$6:$X$3005,AA$5))))</f>
        <v/>
      </c>
      <c r="AB233">
        <f>IF(職員マスタ!P233="保留中",職員マスタ!M233,"")</f>
        <v/>
      </c>
    </row>
    <row r="234">
      <c r="A234">
        <f>IF(職員マスタ!A234="","",職員マスタ!A234)</f>
        <v/>
      </c>
      <c r="B234">
        <f>IF($A234="","",職員マスタ!B234)</f>
        <v/>
      </c>
      <c r="C234">
        <f>IF($A234="","",職員マスタ!C234)</f>
        <v/>
      </c>
      <c r="D234" s="19">
        <f>IF($A234="","",IF(COUNTIFS(請求記録!$B$6:$B$3005,$A234,請求記録!$X$6:$X$3005,D$5,請求記録!$AD$6:$AD$3005,"保留中")&gt;0,"保留",IF(COUNTIFS(請求記録!$B$6:$B$3005,$A234,請求記録!$X$6:$X$3005,D$5)=0,"",SUMIFS(請求記録!$AC$6:$AC$3005,請求記録!$B$6:$B$3005,$A234,請求記録!$X$6:$X$3005,D$5))))</f>
        <v/>
      </c>
      <c r="E234" s="19">
        <f>IF($A234="","",IF(COUNTIFS(請求記録!$B$6:$B$3005,$A234,請求記録!$X$6:$X$3005,E$5,請求記録!$AD$6:$AD$3005,"保留中")&gt;0,"保留",IF(COUNTIFS(請求記録!$B$6:$B$3005,$A234,請求記録!$X$6:$X$3005,E$5)=0,"",SUMIFS(請求記録!$AC$6:$AC$3005,請求記録!$B$6:$B$3005,$A234,請求記録!$X$6:$X$3005,E$5))))</f>
        <v/>
      </c>
      <c r="F234" s="19">
        <f>IF($A234="","",IF(COUNTIFS(請求記録!$B$6:$B$3005,$A234,請求記録!$X$6:$X$3005,F$5,請求記録!$AD$6:$AD$3005,"保留中")&gt;0,"保留",IF(COUNTIFS(請求記録!$B$6:$B$3005,$A234,請求記録!$X$6:$X$3005,F$5)=0,"",SUMIFS(請求記録!$AC$6:$AC$3005,請求記録!$B$6:$B$3005,$A234,請求記録!$X$6:$X$3005,F$5))))</f>
        <v/>
      </c>
      <c r="G234" s="19">
        <f>IF($A234="","",IF(COUNTIFS(請求記録!$B$6:$B$3005,$A234,請求記録!$X$6:$X$3005,G$5,請求記録!$AD$6:$AD$3005,"保留中")&gt;0,"保留",IF(COUNTIFS(請求記録!$B$6:$B$3005,$A234,請求記録!$X$6:$X$3005,G$5)=0,"",SUMIFS(請求記録!$AC$6:$AC$3005,請求記録!$B$6:$B$3005,$A234,請求記録!$X$6:$X$3005,G$5))))</f>
        <v/>
      </c>
      <c r="H234" s="19">
        <f>IF($A234="","",IF(COUNTIFS(請求記録!$B$6:$B$3005,$A234,請求記録!$X$6:$X$3005,H$5,請求記録!$AD$6:$AD$3005,"保留中")&gt;0,"保留",IF(COUNTIFS(請求記録!$B$6:$B$3005,$A234,請求記録!$X$6:$X$3005,H$5)=0,"",SUMIFS(請求記録!$AC$6:$AC$3005,請求記録!$B$6:$B$3005,$A234,請求記録!$X$6:$X$3005,H$5))))</f>
        <v/>
      </c>
      <c r="I234" s="19">
        <f>IF($A234="","",IF(COUNTIFS(請求記録!$B$6:$B$3005,$A234,請求記録!$X$6:$X$3005,I$5,請求記録!$AD$6:$AD$3005,"保留中")&gt;0,"保留",IF(COUNTIFS(請求記録!$B$6:$B$3005,$A234,請求記録!$X$6:$X$3005,I$5)=0,"",SUMIFS(請求記録!$AC$6:$AC$3005,請求記録!$B$6:$B$3005,$A234,請求記録!$X$6:$X$3005,I$5))))</f>
        <v/>
      </c>
      <c r="J234" s="19">
        <f>IF($A234="","",IF(COUNTIFS(請求記録!$B$6:$B$3005,$A234,請求記録!$X$6:$X$3005,J$5,請求記録!$AD$6:$AD$3005,"保留中")&gt;0,"保留",IF(COUNTIFS(請求記録!$B$6:$B$3005,$A234,請求記録!$X$6:$X$3005,J$5)=0,"",SUMIFS(請求記録!$AC$6:$AC$3005,請求記録!$B$6:$B$3005,$A234,請求記録!$X$6:$X$3005,J$5))))</f>
        <v/>
      </c>
      <c r="K234" s="19">
        <f>IF($A234="","",IF(COUNTIFS(請求記録!$B$6:$B$3005,$A234,請求記録!$X$6:$X$3005,K$5,請求記録!$AD$6:$AD$3005,"保留中")&gt;0,"保留",IF(COUNTIFS(請求記録!$B$6:$B$3005,$A234,請求記録!$X$6:$X$3005,K$5)=0,"",SUMIFS(請求記録!$AC$6:$AC$3005,請求記録!$B$6:$B$3005,$A234,請求記録!$X$6:$X$3005,K$5))))</f>
        <v/>
      </c>
      <c r="L234" s="19">
        <f>IF($A234="","",IF(COUNTIFS(請求記録!$B$6:$B$3005,$A234,請求記録!$X$6:$X$3005,L$5,請求記録!$AD$6:$AD$3005,"保留中")&gt;0,"保留",IF(COUNTIFS(請求記録!$B$6:$B$3005,$A234,請求記録!$X$6:$X$3005,L$5)=0,"",SUMIFS(請求記録!$AC$6:$AC$3005,請求記録!$B$6:$B$3005,$A234,請求記録!$X$6:$X$3005,L$5))))</f>
        <v/>
      </c>
      <c r="M234" s="19">
        <f>IF($A234="","",IF(COUNTIFS(請求記録!$B$6:$B$3005,$A234,請求記録!$X$6:$X$3005,M$5,請求記録!$AD$6:$AD$3005,"保留中")&gt;0,"保留",IF(COUNTIFS(請求記録!$B$6:$B$3005,$A234,請求記録!$X$6:$X$3005,M$5)=0,"",SUMIFS(請求記録!$AC$6:$AC$3005,請求記録!$B$6:$B$3005,$A234,請求記録!$X$6:$X$3005,M$5))))</f>
        <v/>
      </c>
      <c r="N234" s="19">
        <f>IF($A234="","",IF(COUNTIFS(請求記録!$B$6:$B$3005,$A234,請求記録!$X$6:$X$3005,N$5,請求記録!$AD$6:$AD$3005,"保留中")&gt;0,"保留",IF(COUNTIFS(請求記録!$B$6:$B$3005,$A234,請求記録!$X$6:$X$3005,N$5)=0,"",SUMIFS(請求記録!$AC$6:$AC$3005,請求記録!$B$6:$B$3005,$A234,請求記録!$X$6:$X$3005,N$5))))</f>
        <v/>
      </c>
      <c r="O234" s="19">
        <f>IF($A234="","",IF(COUNTIFS(請求記録!$B$6:$B$3005,$A234,請求記録!$X$6:$X$3005,O$5,請求記録!$AD$6:$AD$3005,"保留中")&gt;0,"保留",IF(COUNTIFS(請求記録!$B$6:$B$3005,$A234,請求記録!$X$6:$X$3005,O$5)=0,"",SUMIFS(請求記録!$AC$6:$AC$3005,請求記録!$B$6:$B$3005,$A234,請求記録!$X$6:$X$3005,O$5))))</f>
        <v/>
      </c>
      <c r="P234" s="19">
        <f>IF($A234="","",IF(COUNTIFS(請求記録!$B$6:$B$3005,$A234,請求記録!$X$6:$X$3005,P$5,請求記録!$AD$6:$AD$3005,"保留中")&gt;0,"保留",IF(COUNTIFS(請求記録!$B$6:$B$3005,$A234,請求記録!$X$6:$X$3005,P$5)=0,"",SUMIFS(請求記録!$AC$6:$AC$3005,請求記録!$B$6:$B$3005,$A234,請求記録!$X$6:$X$3005,P$5))))</f>
        <v/>
      </c>
      <c r="Q234" s="19">
        <f>IF($A234="","",IF(COUNTIFS(請求記録!$B$6:$B$3005,$A234,請求記録!$X$6:$X$3005,Q$5,請求記録!$AD$6:$AD$3005,"保留中")&gt;0,"保留",IF(COUNTIFS(請求記録!$B$6:$B$3005,$A234,請求記録!$X$6:$X$3005,Q$5)=0,"",SUMIFS(請求記録!$AC$6:$AC$3005,請求記録!$B$6:$B$3005,$A234,請求記録!$X$6:$X$3005,Q$5))))</f>
        <v/>
      </c>
      <c r="R234" s="19">
        <f>IF($A234="","",IF(COUNTIFS(請求記録!$B$6:$B$3005,$A234,請求記録!$X$6:$X$3005,R$5,請求記録!$AD$6:$AD$3005,"保留中")&gt;0,"保留",IF(COUNTIFS(請求記録!$B$6:$B$3005,$A234,請求記録!$X$6:$X$3005,R$5)=0,"",SUMIFS(請求記録!$AC$6:$AC$3005,請求記録!$B$6:$B$3005,$A234,請求記録!$X$6:$X$3005,R$5))))</f>
        <v/>
      </c>
      <c r="S234" s="19">
        <f>IF($A234="","",IF(COUNTIFS(請求記録!$B$6:$B$3005,$A234,請求記録!$X$6:$X$3005,S$5,請求記録!$AD$6:$AD$3005,"保留中")&gt;0,"保留",IF(COUNTIFS(請求記録!$B$6:$B$3005,$A234,請求記録!$X$6:$X$3005,S$5)=0,"",SUMIFS(請求記録!$AC$6:$AC$3005,請求記録!$B$6:$B$3005,$A234,請求記録!$X$6:$X$3005,S$5))))</f>
        <v/>
      </c>
      <c r="T234" s="19">
        <f>IF($A234="","",IF(COUNTIFS(請求記録!$B$6:$B$3005,$A234,請求記録!$X$6:$X$3005,T$5,請求記録!$AD$6:$AD$3005,"保留中")&gt;0,"保留",IF(COUNTIFS(請求記録!$B$6:$B$3005,$A234,請求記録!$X$6:$X$3005,T$5)=0,"",SUMIFS(請求記録!$AC$6:$AC$3005,請求記録!$B$6:$B$3005,$A234,請求記録!$X$6:$X$3005,T$5))))</f>
        <v/>
      </c>
      <c r="U234" s="19">
        <f>IF($A234="","",IF(COUNTIFS(請求記録!$B$6:$B$3005,$A234,請求記録!$X$6:$X$3005,U$5,請求記録!$AD$6:$AD$3005,"保留中")&gt;0,"保留",IF(COUNTIFS(請求記録!$B$6:$B$3005,$A234,請求記録!$X$6:$X$3005,U$5)=0,"",SUMIFS(請求記録!$AC$6:$AC$3005,請求記録!$B$6:$B$3005,$A234,請求記録!$X$6:$X$3005,U$5))))</f>
        <v/>
      </c>
      <c r="V234" s="19">
        <f>IF($A234="","",IF(COUNTIFS(請求記録!$B$6:$B$3005,$A234,請求記録!$X$6:$X$3005,V$5,請求記録!$AD$6:$AD$3005,"保留中")&gt;0,"保留",IF(COUNTIFS(請求記録!$B$6:$B$3005,$A234,請求記録!$X$6:$X$3005,V$5)=0,"",SUMIFS(請求記録!$AC$6:$AC$3005,請求記録!$B$6:$B$3005,$A234,請求記録!$X$6:$X$3005,V$5))))</f>
        <v/>
      </c>
      <c r="W234" s="19">
        <f>IF($A234="","",IF(COUNTIFS(請求記録!$B$6:$B$3005,$A234,請求記録!$X$6:$X$3005,W$5,請求記録!$AD$6:$AD$3005,"保留中")&gt;0,"保留",IF(COUNTIFS(請求記録!$B$6:$B$3005,$A234,請求記録!$X$6:$X$3005,W$5)=0,"",SUMIFS(請求記録!$AC$6:$AC$3005,請求記録!$B$6:$B$3005,$A234,請求記録!$X$6:$X$3005,W$5))))</f>
        <v/>
      </c>
      <c r="X234" s="19">
        <f>IF($A234="","",IF(COUNTIFS(請求記録!$B$6:$B$3005,$A234,請求記録!$X$6:$X$3005,X$5,請求記録!$AD$6:$AD$3005,"保留中")&gt;0,"保留",IF(COUNTIFS(請求記録!$B$6:$B$3005,$A234,請求記録!$X$6:$X$3005,X$5)=0,"",SUMIFS(請求記録!$AC$6:$AC$3005,請求記録!$B$6:$B$3005,$A234,請求記録!$X$6:$X$3005,X$5))))</f>
        <v/>
      </c>
      <c r="Y234" s="19">
        <f>IF($A234="","",IF(COUNTIFS(請求記録!$B$6:$B$3005,$A234,請求記録!$X$6:$X$3005,Y$5,請求記録!$AD$6:$AD$3005,"保留中")&gt;0,"保留",IF(COUNTIFS(請求記録!$B$6:$B$3005,$A234,請求記録!$X$6:$X$3005,Y$5)=0,"",SUMIFS(請求記録!$AC$6:$AC$3005,請求記録!$B$6:$B$3005,$A234,請求記録!$X$6:$X$3005,Y$5))))</f>
        <v/>
      </c>
      <c r="Z234" s="19">
        <f>IF($A234="","",IF(COUNTIFS(請求記録!$B$6:$B$3005,$A234,請求記録!$X$6:$X$3005,Z$5,請求記録!$AD$6:$AD$3005,"保留中")&gt;0,"保留",IF(COUNTIFS(請求記録!$B$6:$B$3005,$A234,請求記録!$X$6:$X$3005,Z$5)=0,"",SUMIFS(請求記録!$AC$6:$AC$3005,請求記録!$B$6:$B$3005,$A234,請求記録!$X$6:$X$3005,Z$5))))</f>
        <v/>
      </c>
      <c r="AA234" s="19">
        <f>IF($A234="","",IF(COUNTIFS(請求記録!$B$6:$B$3005,$A234,請求記録!$X$6:$X$3005,AA$5,請求記録!$AD$6:$AD$3005,"保留中")&gt;0,"保留",IF(COUNTIFS(請求記録!$B$6:$B$3005,$A234,請求記録!$X$6:$X$3005,AA$5)=0,"",SUMIFS(請求記録!$AC$6:$AC$3005,請求記録!$B$6:$B$3005,$A234,請求記録!$X$6:$X$3005,AA$5))))</f>
        <v/>
      </c>
      <c r="AB234">
        <f>IF(職員マスタ!P234="保留中",職員マスタ!M234,"")</f>
        <v/>
      </c>
    </row>
    <row r="235">
      <c r="A235">
        <f>IF(職員マスタ!A235="","",職員マスタ!A235)</f>
        <v/>
      </c>
      <c r="B235">
        <f>IF($A235="","",職員マスタ!B235)</f>
        <v/>
      </c>
      <c r="C235">
        <f>IF($A235="","",職員マスタ!C235)</f>
        <v/>
      </c>
      <c r="D235" s="19">
        <f>IF($A235="","",IF(COUNTIFS(請求記録!$B$6:$B$3005,$A235,請求記録!$X$6:$X$3005,D$5,請求記録!$AD$6:$AD$3005,"保留中")&gt;0,"保留",IF(COUNTIFS(請求記録!$B$6:$B$3005,$A235,請求記録!$X$6:$X$3005,D$5)=0,"",SUMIFS(請求記録!$AC$6:$AC$3005,請求記録!$B$6:$B$3005,$A235,請求記録!$X$6:$X$3005,D$5))))</f>
        <v/>
      </c>
      <c r="E235" s="19">
        <f>IF($A235="","",IF(COUNTIFS(請求記録!$B$6:$B$3005,$A235,請求記録!$X$6:$X$3005,E$5,請求記録!$AD$6:$AD$3005,"保留中")&gt;0,"保留",IF(COUNTIFS(請求記録!$B$6:$B$3005,$A235,請求記録!$X$6:$X$3005,E$5)=0,"",SUMIFS(請求記録!$AC$6:$AC$3005,請求記録!$B$6:$B$3005,$A235,請求記録!$X$6:$X$3005,E$5))))</f>
        <v/>
      </c>
      <c r="F235" s="19">
        <f>IF($A235="","",IF(COUNTIFS(請求記録!$B$6:$B$3005,$A235,請求記録!$X$6:$X$3005,F$5,請求記録!$AD$6:$AD$3005,"保留中")&gt;0,"保留",IF(COUNTIFS(請求記録!$B$6:$B$3005,$A235,請求記録!$X$6:$X$3005,F$5)=0,"",SUMIFS(請求記録!$AC$6:$AC$3005,請求記録!$B$6:$B$3005,$A235,請求記録!$X$6:$X$3005,F$5))))</f>
        <v/>
      </c>
      <c r="G235" s="19">
        <f>IF($A235="","",IF(COUNTIFS(請求記録!$B$6:$B$3005,$A235,請求記録!$X$6:$X$3005,G$5,請求記録!$AD$6:$AD$3005,"保留中")&gt;0,"保留",IF(COUNTIFS(請求記録!$B$6:$B$3005,$A235,請求記録!$X$6:$X$3005,G$5)=0,"",SUMIFS(請求記録!$AC$6:$AC$3005,請求記録!$B$6:$B$3005,$A235,請求記録!$X$6:$X$3005,G$5))))</f>
        <v/>
      </c>
      <c r="H235" s="19">
        <f>IF($A235="","",IF(COUNTIFS(請求記録!$B$6:$B$3005,$A235,請求記録!$X$6:$X$3005,H$5,請求記録!$AD$6:$AD$3005,"保留中")&gt;0,"保留",IF(COUNTIFS(請求記録!$B$6:$B$3005,$A235,請求記録!$X$6:$X$3005,H$5)=0,"",SUMIFS(請求記録!$AC$6:$AC$3005,請求記録!$B$6:$B$3005,$A235,請求記録!$X$6:$X$3005,H$5))))</f>
        <v/>
      </c>
      <c r="I235" s="19">
        <f>IF($A235="","",IF(COUNTIFS(請求記録!$B$6:$B$3005,$A235,請求記録!$X$6:$X$3005,I$5,請求記録!$AD$6:$AD$3005,"保留中")&gt;0,"保留",IF(COUNTIFS(請求記録!$B$6:$B$3005,$A235,請求記録!$X$6:$X$3005,I$5)=0,"",SUMIFS(請求記録!$AC$6:$AC$3005,請求記録!$B$6:$B$3005,$A235,請求記録!$X$6:$X$3005,I$5))))</f>
        <v/>
      </c>
      <c r="J235" s="19">
        <f>IF($A235="","",IF(COUNTIFS(請求記録!$B$6:$B$3005,$A235,請求記録!$X$6:$X$3005,J$5,請求記録!$AD$6:$AD$3005,"保留中")&gt;0,"保留",IF(COUNTIFS(請求記録!$B$6:$B$3005,$A235,請求記録!$X$6:$X$3005,J$5)=0,"",SUMIFS(請求記録!$AC$6:$AC$3005,請求記録!$B$6:$B$3005,$A235,請求記録!$X$6:$X$3005,J$5))))</f>
        <v/>
      </c>
      <c r="K235" s="19">
        <f>IF($A235="","",IF(COUNTIFS(請求記録!$B$6:$B$3005,$A235,請求記録!$X$6:$X$3005,K$5,請求記録!$AD$6:$AD$3005,"保留中")&gt;0,"保留",IF(COUNTIFS(請求記録!$B$6:$B$3005,$A235,請求記録!$X$6:$X$3005,K$5)=0,"",SUMIFS(請求記録!$AC$6:$AC$3005,請求記録!$B$6:$B$3005,$A235,請求記録!$X$6:$X$3005,K$5))))</f>
        <v/>
      </c>
      <c r="L235" s="19">
        <f>IF($A235="","",IF(COUNTIFS(請求記録!$B$6:$B$3005,$A235,請求記録!$X$6:$X$3005,L$5,請求記録!$AD$6:$AD$3005,"保留中")&gt;0,"保留",IF(COUNTIFS(請求記録!$B$6:$B$3005,$A235,請求記録!$X$6:$X$3005,L$5)=0,"",SUMIFS(請求記録!$AC$6:$AC$3005,請求記録!$B$6:$B$3005,$A235,請求記録!$X$6:$X$3005,L$5))))</f>
        <v/>
      </c>
      <c r="M235" s="19">
        <f>IF($A235="","",IF(COUNTIFS(請求記録!$B$6:$B$3005,$A235,請求記録!$X$6:$X$3005,M$5,請求記録!$AD$6:$AD$3005,"保留中")&gt;0,"保留",IF(COUNTIFS(請求記録!$B$6:$B$3005,$A235,請求記録!$X$6:$X$3005,M$5)=0,"",SUMIFS(請求記録!$AC$6:$AC$3005,請求記録!$B$6:$B$3005,$A235,請求記録!$X$6:$X$3005,M$5))))</f>
        <v/>
      </c>
      <c r="N235" s="19">
        <f>IF($A235="","",IF(COUNTIFS(請求記録!$B$6:$B$3005,$A235,請求記録!$X$6:$X$3005,N$5,請求記録!$AD$6:$AD$3005,"保留中")&gt;0,"保留",IF(COUNTIFS(請求記録!$B$6:$B$3005,$A235,請求記録!$X$6:$X$3005,N$5)=0,"",SUMIFS(請求記録!$AC$6:$AC$3005,請求記録!$B$6:$B$3005,$A235,請求記録!$X$6:$X$3005,N$5))))</f>
        <v/>
      </c>
      <c r="O235" s="19">
        <f>IF($A235="","",IF(COUNTIFS(請求記録!$B$6:$B$3005,$A235,請求記録!$X$6:$X$3005,O$5,請求記録!$AD$6:$AD$3005,"保留中")&gt;0,"保留",IF(COUNTIFS(請求記録!$B$6:$B$3005,$A235,請求記録!$X$6:$X$3005,O$5)=0,"",SUMIFS(請求記録!$AC$6:$AC$3005,請求記録!$B$6:$B$3005,$A235,請求記録!$X$6:$X$3005,O$5))))</f>
        <v/>
      </c>
      <c r="P235" s="19">
        <f>IF($A235="","",IF(COUNTIFS(請求記録!$B$6:$B$3005,$A235,請求記録!$X$6:$X$3005,P$5,請求記録!$AD$6:$AD$3005,"保留中")&gt;0,"保留",IF(COUNTIFS(請求記録!$B$6:$B$3005,$A235,請求記録!$X$6:$X$3005,P$5)=0,"",SUMIFS(請求記録!$AC$6:$AC$3005,請求記録!$B$6:$B$3005,$A235,請求記録!$X$6:$X$3005,P$5))))</f>
        <v/>
      </c>
      <c r="Q235" s="19">
        <f>IF($A235="","",IF(COUNTIFS(請求記録!$B$6:$B$3005,$A235,請求記録!$X$6:$X$3005,Q$5,請求記録!$AD$6:$AD$3005,"保留中")&gt;0,"保留",IF(COUNTIFS(請求記録!$B$6:$B$3005,$A235,請求記録!$X$6:$X$3005,Q$5)=0,"",SUMIFS(請求記録!$AC$6:$AC$3005,請求記録!$B$6:$B$3005,$A235,請求記録!$X$6:$X$3005,Q$5))))</f>
        <v/>
      </c>
      <c r="R235" s="19">
        <f>IF($A235="","",IF(COUNTIFS(請求記録!$B$6:$B$3005,$A235,請求記録!$X$6:$X$3005,R$5,請求記録!$AD$6:$AD$3005,"保留中")&gt;0,"保留",IF(COUNTIFS(請求記録!$B$6:$B$3005,$A235,請求記録!$X$6:$X$3005,R$5)=0,"",SUMIFS(請求記録!$AC$6:$AC$3005,請求記録!$B$6:$B$3005,$A235,請求記録!$X$6:$X$3005,R$5))))</f>
        <v/>
      </c>
      <c r="S235" s="19">
        <f>IF($A235="","",IF(COUNTIFS(請求記録!$B$6:$B$3005,$A235,請求記録!$X$6:$X$3005,S$5,請求記録!$AD$6:$AD$3005,"保留中")&gt;0,"保留",IF(COUNTIFS(請求記録!$B$6:$B$3005,$A235,請求記録!$X$6:$X$3005,S$5)=0,"",SUMIFS(請求記録!$AC$6:$AC$3005,請求記録!$B$6:$B$3005,$A235,請求記録!$X$6:$X$3005,S$5))))</f>
        <v/>
      </c>
      <c r="T235" s="19">
        <f>IF($A235="","",IF(COUNTIFS(請求記録!$B$6:$B$3005,$A235,請求記録!$X$6:$X$3005,T$5,請求記録!$AD$6:$AD$3005,"保留中")&gt;0,"保留",IF(COUNTIFS(請求記録!$B$6:$B$3005,$A235,請求記録!$X$6:$X$3005,T$5)=0,"",SUMIFS(請求記録!$AC$6:$AC$3005,請求記録!$B$6:$B$3005,$A235,請求記録!$X$6:$X$3005,T$5))))</f>
        <v/>
      </c>
      <c r="U235" s="19">
        <f>IF($A235="","",IF(COUNTIFS(請求記録!$B$6:$B$3005,$A235,請求記録!$X$6:$X$3005,U$5,請求記録!$AD$6:$AD$3005,"保留中")&gt;0,"保留",IF(COUNTIFS(請求記録!$B$6:$B$3005,$A235,請求記録!$X$6:$X$3005,U$5)=0,"",SUMIFS(請求記録!$AC$6:$AC$3005,請求記録!$B$6:$B$3005,$A235,請求記録!$X$6:$X$3005,U$5))))</f>
        <v/>
      </c>
      <c r="V235" s="19">
        <f>IF($A235="","",IF(COUNTIFS(請求記録!$B$6:$B$3005,$A235,請求記録!$X$6:$X$3005,V$5,請求記録!$AD$6:$AD$3005,"保留中")&gt;0,"保留",IF(COUNTIFS(請求記録!$B$6:$B$3005,$A235,請求記録!$X$6:$X$3005,V$5)=0,"",SUMIFS(請求記録!$AC$6:$AC$3005,請求記録!$B$6:$B$3005,$A235,請求記録!$X$6:$X$3005,V$5))))</f>
        <v/>
      </c>
      <c r="W235" s="19">
        <f>IF($A235="","",IF(COUNTIFS(請求記録!$B$6:$B$3005,$A235,請求記録!$X$6:$X$3005,W$5,請求記録!$AD$6:$AD$3005,"保留中")&gt;0,"保留",IF(COUNTIFS(請求記録!$B$6:$B$3005,$A235,請求記録!$X$6:$X$3005,W$5)=0,"",SUMIFS(請求記録!$AC$6:$AC$3005,請求記録!$B$6:$B$3005,$A235,請求記録!$X$6:$X$3005,W$5))))</f>
        <v/>
      </c>
      <c r="X235" s="19">
        <f>IF($A235="","",IF(COUNTIFS(請求記録!$B$6:$B$3005,$A235,請求記録!$X$6:$X$3005,X$5,請求記録!$AD$6:$AD$3005,"保留中")&gt;0,"保留",IF(COUNTIFS(請求記録!$B$6:$B$3005,$A235,請求記録!$X$6:$X$3005,X$5)=0,"",SUMIFS(請求記録!$AC$6:$AC$3005,請求記録!$B$6:$B$3005,$A235,請求記録!$X$6:$X$3005,X$5))))</f>
        <v/>
      </c>
      <c r="Y235" s="19">
        <f>IF($A235="","",IF(COUNTIFS(請求記録!$B$6:$B$3005,$A235,請求記録!$X$6:$X$3005,Y$5,請求記録!$AD$6:$AD$3005,"保留中")&gt;0,"保留",IF(COUNTIFS(請求記録!$B$6:$B$3005,$A235,請求記録!$X$6:$X$3005,Y$5)=0,"",SUMIFS(請求記録!$AC$6:$AC$3005,請求記録!$B$6:$B$3005,$A235,請求記録!$X$6:$X$3005,Y$5))))</f>
        <v/>
      </c>
      <c r="Z235" s="19">
        <f>IF($A235="","",IF(COUNTIFS(請求記録!$B$6:$B$3005,$A235,請求記録!$X$6:$X$3005,Z$5,請求記録!$AD$6:$AD$3005,"保留中")&gt;0,"保留",IF(COUNTIFS(請求記録!$B$6:$B$3005,$A235,請求記録!$X$6:$X$3005,Z$5)=0,"",SUMIFS(請求記録!$AC$6:$AC$3005,請求記録!$B$6:$B$3005,$A235,請求記録!$X$6:$X$3005,Z$5))))</f>
        <v/>
      </c>
      <c r="AA235" s="19">
        <f>IF($A235="","",IF(COUNTIFS(請求記録!$B$6:$B$3005,$A235,請求記録!$X$6:$X$3005,AA$5,請求記録!$AD$6:$AD$3005,"保留中")&gt;0,"保留",IF(COUNTIFS(請求記録!$B$6:$B$3005,$A235,請求記録!$X$6:$X$3005,AA$5)=0,"",SUMIFS(請求記録!$AC$6:$AC$3005,請求記録!$B$6:$B$3005,$A235,請求記録!$X$6:$X$3005,AA$5))))</f>
        <v/>
      </c>
      <c r="AB235">
        <f>IF(職員マスタ!P235="保留中",職員マスタ!M235,"")</f>
        <v/>
      </c>
    </row>
    <row r="236">
      <c r="A236">
        <f>IF(職員マスタ!A236="","",職員マスタ!A236)</f>
        <v/>
      </c>
      <c r="B236">
        <f>IF($A236="","",職員マスタ!B236)</f>
        <v/>
      </c>
      <c r="C236">
        <f>IF($A236="","",職員マスタ!C236)</f>
        <v/>
      </c>
      <c r="D236" s="19">
        <f>IF($A236="","",IF(COUNTIFS(請求記録!$B$6:$B$3005,$A236,請求記録!$X$6:$X$3005,D$5,請求記録!$AD$6:$AD$3005,"保留中")&gt;0,"保留",IF(COUNTIFS(請求記録!$B$6:$B$3005,$A236,請求記録!$X$6:$X$3005,D$5)=0,"",SUMIFS(請求記録!$AC$6:$AC$3005,請求記録!$B$6:$B$3005,$A236,請求記録!$X$6:$X$3005,D$5))))</f>
        <v/>
      </c>
      <c r="E236" s="19">
        <f>IF($A236="","",IF(COUNTIFS(請求記録!$B$6:$B$3005,$A236,請求記録!$X$6:$X$3005,E$5,請求記録!$AD$6:$AD$3005,"保留中")&gt;0,"保留",IF(COUNTIFS(請求記録!$B$6:$B$3005,$A236,請求記録!$X$6:$X$3005,E$5)=0,"",SUMIFS(請求記録!$AC$6:$AC$3005,請求記録!$B$6:$B$3005,$A236,請求記録!$X$6:$X$3005,E$5))))</f>
        <v/>
      </c>
      <c r="F236" s="19">
        <f>IF($A236="","",IF(COUNTIFS(請求記録!$B$6:$B$3005,$A236,請求記録!$X$6:$X$3005,F$5,請求記録!$AD$6:$AD$3005,"保留中")&gt;0,"保留",IF(COUNTIFS(請求記録!$B$6:$B$3005,$A236,請求記録!$X$6:$X$3005,F$5)=0,"",SUMIFS(請求記録!$AC$6:$AC$3005,請求記録!$B$6:$B$3005,$A236,請求記録!$X$6:$X$3005,F$5))))</f>
        <v/>
      </c>
      <c r="G236" s="19">
        <f>IF($A236="","",IF(COUNTIFS(請求記録!$B$6:$B$3005,$A236,請求記録!$X$6:$X$3005,G$5,請求記録!$AD$6:$AD$3005,"保留中")&gt;0,"保留",IF(COUNTIFS(請求記録!$B$6:$B$3005,$A236,請求記録!$X$6:$X$3005,G$5)=0,"",SUMIFS(請求記録!$AC$6:$AC$3005,請求記録!$B$6:$B$3005,$A236,請求記録!$X$6:$X$3005,G$5))))</f>
        <v/>
      </c>
      <c r="H236" s="19">
        <f>IF($A236="","",IF(COUNTIFS(請求記録!$B$6:$B$3005,$A236,請求記録!$X$6:$X$3005,H$5,請求記録!$AD$6:$AD$3005,"保留中")&gt;0,"保留",IF(COUNTIFS(請求記録!$B$6:$B$3005,$A236,請求記録!$X$6:$X$3005,H$5)=0,"",SUMIFS(請求記録!$AC$6:$AC$3005,請求記録!$B$6:$B$3005,$A236,請求記録!$X$6:$X$3005,H$5))))</f>
        <v/>
      </c>
      <c r="I236" s="19">
        <f>IF($A236="","",IF(COUNTIFS(請求記録!$B$6:$B$3005,$A236,請求記録!$X$6:$X$3005,I$5,請求記録!$AD$6:$AD$3005,"保留中")&gt;0,"保留",IF(COUNTIFS(請求記録!$B$6:$B$3005,$A236,請求記録!$X$6:$X$3005,I$5)=0,"",SUMIFS(請求記録!$AC$6:$AC$3005,請求記録!$B$6:$B$3005,$A236,請求記録!$X$6:$X$3005,I$5))))</f>
        <v/>
      </c>
      <c r="J236" s="19">
        <f>IF($A236="","",IF(COUNTIFS(請求記録!$B$6:$B$3005,$A236,請求記録!$X$6:$X$3005,J$5,請求記録!$AD$6:$AD$3005,"保留中")&gt;0,"保留",IF(COUNTIFS(請求記録!$B$6:$B$3005,$A236,請求記録!$X$6:$X$3005,J$5)=0,"",SUMIFS(請求記録!$AC$6:$AC$3005,請求記録!$B$6:$B$3005,$A236,請求記録!$X$6:$X$3005,J$5))))</f>
        <v/>
      </c>
      <c r="K236" s="19">
        <f>IF($A236="","",IF(COUNTIFS(請求記録!$B$6:$B$3005,$A236,請求記録!$X$6:$X$3005,K$5,請求記録!$AD$6:$AD$3005,"保留中")&gt;0,"保留",IF(COUNTIFS(請求記録!$B$6:$B$3005,$A236,請求記録!$X$6:$X$3005,K$5)=0,"",SUMIFS(請求記録!$AC$6:$AC$3005,請求記録!$B$6:$B$3005,$A236,請求記録!$X$6:$X$3005,K$5))))</f>
        <v/>
      </c>
      <c r="L236" s="19">
        <f>IF($A236="","",IF(COUNTIFS(請求記録!$B$6:$B$3005,$A236,請求記録!$X$6:$X$3005,L$5,請求記録!$AD$6:$AD$3005,"保留中")&gt;0,"保留",IF(COUNTIFS(請求記録!$B$6:$B$3005,$A236,請求記録!$X$6:$X$3005,L$5)=0,"",SUMIFS(請求記録!$AC$6:$AC$3005,請求記録!$B$6:$B$3005,$A236,請求記録!$X$6:$X$3005,L$5))))</f>
        <v/>
      </c>
      <c r="M236" s="19">
        <f>IF($A236="","",IF(COUNTIFS(請求記録!$B$6:$B$3005,$A236,請求記録!$X$6:$X$3005,M$5,請求記録!$AD$6:$AD$3005,"保留中")&gt;0,"保留",IF(COUNTIFS(請求記録!$B$6:$B$3005,$A236,請求記録!$X$6:$X$3005,M$5)=0,"",SUMIFS(請求記録!$AC$6:$AC$3005,請求記録!$B$6:$B$3005,$A236,請求記録!$X$6:$X$3005,M$5))))</f>
        <v/>
      </c>
      <c r="N236" s="19">
        <f>IF($A236="","",IF(COUNTIFS(請求記録!$B$6:$B$3005,$A236,請求記録!$X$6:$X$3005,N$5,請求記録!$AD$6:$AD$3005,"保留中")&gt;0,"保留",IF(COUNTIFS(請求記録!$B$6:$B$3005,$A236,請求記録!$X$6:$X$3005,N$5)=0,"",SUMIFS(請求記録!$AC$6:$AC$3005,請求記録!$B$6:$B$3005,$A236,請求記録!$X$6:$X$3005,N$5))))</f>
        <v/>
      </c>
      <c r="O236" s="19">
        <f>IF($A236="","",IF(COUNTIFS(請求記録!$B$6:$B$3005,$A236,請求記録!$X$6:$X$3005,O$5,請求記録!$AD$6:$AD$3005,"保留中")&gt;0,"保留",IF(COUNTIFS(請求記録!$B$6:$B$3005,$A236,請求記録!$X$6:$X$3005,O$5)=0,"",SUMIFS(請求記録!$AC$6:$AC$3005,請求記録!$B$6:$B$3005,$A236,請求記録!$X$6:$X$3005,O$5))))</f>
        <v/>
      </c>
      <c r="P236" s="19">
        <f>IF($A236="","",IF(COUNTIFS(請求記録!$B$6:$B$3005,$A236,請求記録!$X$6:$X$3005,P$5,請求記録!$AD$6:$AD$3005,"保留中")&gt;0,"保留",IF(COUNTIFS(請求記録!$B$6:$B$3005,$A236,請求記録!$X$6:$X$3005,P$5)=0,"",SUMIFS(請求記録!$AC$6:$AC$3005,請求記録!$B$6:$B$3005,$A236,請求記録!$X$6:$X$3005,P$5))))</f>
        <v/>
      </c>
      <c r="Q236" s="19">
        <f>IF($A236="","",IF(COUNTIFS(請求記録!$B$6:$B$3005,$A236,請求記録!$X$6:$X$3005,Q$5,請求記録!$AD$6:$AD$3005,"保留中")&gt;0,"保留",IF(COUNTIFS(請求記録!$B$6:$B$3005,$A236,請求記録!$X$6:$X$3005,Q$5)=0,"",SUMIFS(請求記録!$AC$6:$AC$3005,請求記録!$B$6:$B$3005,$A236,請求記録!$X$6:$X$3005,Q$5))))</f>
        <v/>
      </c>
      <c r="R236" s="19">
        <f>IF($A236="","",IF(COUNTIFS(請求記録!$B$6:$B$3005,$A236,請求記録!$X$6:$X$3005,R$5,請求記録!$AD$6:$AD$3005,"保留中")&gt;0,"保留",IF(COUNTIFS(請求記録!$B$6:$B$3005,$A236,請求記録!$X$6:$X$3005,R$5)=0,"",SUMIFS(請求記録!$AC$6:$AC$3005,請求記録!$B$6:$B$3005,$A236,請求記録!$X$6:$X$3005,R$5))))</f>
        <v/>
      </c>
      <c r="S236" s="19">
        <f>IF($A236="","",IF(COUNTIFS(請求記録!$B$6:$B$3005,$A236,請求記録!$X$6:$X$3005,S$5,請求記録!$AD$6:$AD$3005,"保留中")&gt;0,"保留",IF(COUNTIFS(請求記録!$B$6:$B$3005,$A236,請求記録!$X$6:$X$3005,S$5)=0,"",SUMIFS(請求記録!$AC$6:$AC$3005,請求記録!$B$6:$B$3005,$A236,請求記録!$X$6:$X$3005,S$5))))</f>
        <v/>
      </c>
      <c r="T236" s="19">
        <f>IF($A236="","",IF(COUNTIFS(請求記録!$B$6:$B$3005,$A236,請求記録!$X$6:$X$3005,T$5,請求記録!$AD$6:$AD$3005,"保留中")&gt;0,"保留",IF(COUNTIFS(請求記録!$B$6:$B$3005,$A236,請求記録!$X$6:$X$3005,T$5)=0,"",SUMIFS(請求記録!$AC$6:$AC$3005,請求記録!$B$6:$B$3005,$A236,請求記録!$X$6:$X$3005,T$5))))</f>
        <v/>
      </c>
      <c r="U236" s="19">
        <f>IF($A236="","",IF(COUNTIFS(請求記録!$B$6:$B$3005,$A236,請求記録!$X$6:$X$3005,U$5,請求記録!$AD$6:$AD$3005,"保留中")&gt;0,"保留",IF(COUNTIFS(請求記録!$B$6:$B$3005,$A236,請求記録!$X$6:$X$3005,U$5)=0,"",SUMIFS(請求記録!$AC$6:$AC$3005,請求記録!$B$6:$B$3005,$A236,請求記録!$X$6:$X$3005,U$5))))</f>
        <v/>
      </c>
      <c r="V236" s="19">
        <f>IF($A236="","",IF(COUNTIFS(請求記録!$B$6:$B$3005,$A236,請求記録!$X$6:$X$3005,V$5,請求記録!$AD$6:$AD$3005,"保留中")&gt;0,"保留",IF(COUNTIFS(請求記録!$B$6:$B$3005,$A236,請求記録!$X$6:$X$3005,V$5)=0,"",SUMIFS(請求記録!$AC$6:$AC$3005,請求記録!$B$6:$B$3005,$A236,請求記録!$X$6:$X$3005,V$5))))</f>
        <v/>
      </c>
      <c r="W236" s="19">
        <f>IF($A236="","",IF(COUNTIFS(請求記録!$B$6:$B$3005,$A236,請求記録!$X$6:$X$3005,W$5,請求記録!$AD$6:$AD$3005,"保留中")&gt;0,"保留",IF(COUNTIFS(請求記録!$B$6:$B$3005,$A236,請求記録!$X$6:$X$3005,W$5)=0,"",SUMIFS(請求記録!$AC$6:$AC$3005,請求記録!$B$6:$B$3005,$A236,請求記録!$X$6:$X$3005,W$5))))</f>
        <v/>
      </c>
      <c r="X236" s="19">
        <f>IF($A236="","",IF(COUNTIFS(請求記録!$B$6:$B$3005,$A236,請求記録!$X$6:$X$3005,X$5,請求記録!$AD$6:$AD$3005,"保留中")&gt;0,"保留",IF(COUNTIFS(請求記録!$B$6:$B$3005,$A236,請求記録!$X$6:$X$3005,X$5)=0,"",SUMIFS(請求記録!$AC$6:$AC$3005,請求記録!$B$6:$B$3005,$A236,請求記録!$X$6:$X$3005,X$5))))</f>
        <v/>
      </c>
      <c r="Y236" s="19">
        <f>IF($A236="","",IF(COUNTIFS(請求記録!$B$6:$B$3005,$A236,請求記録!$X$6:$X$3005,Y$5,請求記録!$AD$6:$AD$3005,"保留中")&gt;0,"保留",IF(COUNTIFS(請求記録!$B$6:$B$3005,$A236,請求記録!$X$6:$X$3005,Y$5)=0,"",SUMIFS(請求記録!$AC$6:$AC$3005,請求記録!$B$6:$B$3005,$A236,請求記録!$X$6:$X$3005,Y$5))))</f>
        <v/>
      </c>
      <c r="Z236" s="19">
        <f>IF($A236="","",IF(COUNTIFS(請求記録!$B$6:$B$3005,$A236,請求記録!$X$6:$X$3005,Z$5,請求記録!$AD$6:$AD$3005,"保留中")&gt;0,"保留",IF(COUNTIFS(請求記録!$B$6:$B$3005,$A236,請求記録!$X$6:$X$3005,Z$5)=0,"",SUMIFS(請求記録!$AC$6:$AC$3005,請求記録!$B$6:$B$3005,$A236,請求記録!$X$6:$X$3005,Z$5))))</f>
        <v/>
      </c>
      <c r="AA236" s="19">
        <f>IF($A236="","",IF(COUNTIFS(請求記録!$B$6:$B$3005,$A236,請求記録!$X$6:$X$3005,AA$5,請求記録!$AD$6:$AD$3005,"保留中")&gt;0,"保留",IF(COUNTIFS(請求記録!$B$6:$B$3005,$A236,請求記録!$X$6:$X$3005,AA$5)=0,"",SUMIFS(請求記録!$AC$6:$AC$3005,請求記録!$B$6:$B$3005,$A236,請求記録!$X$6:$X$3005,AA$5))))</f>
        <v/>
      </c>
      <c r="AB236">
        <f>IF(職員マスタ!P236="保留中",職員マスタ!M236,"")</f>
        <v/>
      </c>
    </row>
    <row r="237">
      <c r="A237">
        <f>IF(職員マスタ!A237="","",職員マスタ!A237)</f>
        <v/>
      </c>
      <c r="B237">
        <f>IF($A237="","",職員マスタ!B237)</f>
        <v/>
      </c>
      <c r="C237">
        <f>IF($A237="","",職員マスタ!C237)</f>
        <v/>
      </c>
      <c r="D237" s="19">
        <f>IF($A237="","",IF(COUNTIFS(請求記録!$B$6:$B$3005,$A237,請求記録!$X$6:$X$3005,D$5,請求記録!$AD$6:$AD$3005,"保留中")&gt;0,"保留",IF(COUNTIFS(請求記録!$B$6:$B$3005,$A237,請求記録!$X$6:$X$3005,D$5)=0,"",SUMIFS(請求記録!$AC$6:$AC$3005,請求記録!$B$6:$B$3005,$A237,請求記録!$X$6:$X$3005,D$5))))</f>
        <v/>
      </c>
      <c r="E237" s="19">
        <f>IF($A237="","",IF(COUNTIFS(請求記録!$B$6:$B$3005,$A237,請求記録!$X$6:$X$3005,E$5,請求記録!$AD$6:$AD$3005,"保留中")&gt;0,"保留",IF(COUNTIFS(請求記録!$B$6:$B$3005,$A237,請求記録!$X$6:$X$3005,E$5)=0,"",SUMIFS(請求記録!$AC$6:$AC$3005,請求記録!$B$6:$B$3005,$A237,請求記録!$X$6:$X$3005,E$5))))</f>
        <v/>
      </c>
      <c r="F237" s="19">
        <f>IF($A237="","",IF(COUNTIFS(請求記録!$B$6:$B$3005,$A237,請求記録!$X$6:$X$3005,F$5,請求記録!$AD$6:$AD$3005,"保留中")&gt;0,"保留",IF(COUNTIFS(請求記録!$B$6:$B$3005,$A237,請求記録!$X$6:$X$3005,F$5)=0,"",SUMIFS(請求記録!$AC$6:$AC$3005,請求記録!$B$6:$B$3005,$A237,請求記録!$X$6:$X$3005,F$5))))</f>
        <v/>
      </c>
      <c r="G237" s="19">
        <f>IF($A237="","",IF(COUNTIFS(請求記録!$B$6:$B$3005,$A237,請求記録!$X$6:$X$3005,G$5,請求記録!$AD$6:$AD$3005,"保留中")&gt;0,"保留",IF(COUNTIFS(請求記録!$B$6:$B$3005,$A237,請求記録!$X$6:$X$3005,G$5)=0,"",SUMIFS(請求記録!$AC$6:$AC$3005,請求記録!$B$6:$B$3005,$A237,請求記録!$X$6:$X$3005,G$5))))</f>
        <v/>
      </c>
      <c r="H237" s="19">
        <f>IF($A237="","",IF(COUNTIFS(請求記録!$B$6:$B$3005,$A237,請求記録!$X$6:$X$3005,H$5,請求記録!$AD$6:$AD$3005,"保留中")&gt;0,"保留",IF(COUNTIFS(請求記録!$B$6:$B$3005,$A237,請求記録!$X$6:$X$3005,H$5)=0,"",SUMIFS(請求記録!$AC$6:$AC$3005,請求記録!$B$6:$B$3005,$A237,請求記録!$X$6:$X$3005,H$5))))</f>
        <v/>
      </c>
      <c r="I237" s="19">
        <f>IF($A237="","",IF(COUNTIFS(請求記録!$B$6:$B$3005,$A237,請求記録!$X$6:$X$3005,I$5,請求記録!$AD$6:$AD$3005,"保留中")&gt;0,"保留",IF(COUNTIFS(請求記録!$B$6:$B$3005,$A237,請求記録!$X$6:$X$3005,I$5)=0,"",SUMIFS(請求記録!$AC$6:$AC$3005,請求記録!$B$6:$B$3005,$A237,請求記録!$X$6:$X$3005,I$5))))</f>
        <v/>
      </c>
      <c r="J237" s="19">
        <f>IF($A237="","",IF(COUNTIFS(請求記録!$B$6:$B$3005,$A237,請求記録!$X$6:$X$3005,J$5,請求記録!$AD$6:$AD$3005,"保留中")&gt;0,"保留",IF(COUNTIFS(請求記録!$B$6:$B$3005,$A237,請求記録!$X$6:$X$3005,J$5)=0,"",SUMIFS(請求記録!$AC$6:$AC$3005,請求記録!$B$6:$B$3005,$A237,請求記録!$X$6:$X$3005,J$5))))</f>
        <v/>
      </c>
      <c r="K237" s="19">
        <f>IF($A237="","",IF(COUNTIFS(請求記録!$B$6:$B$3005,$A237,請求記録!$X$6:$X$3005,K$5,請求記録!$AD$6:$AD$3005,"保留中")&gt;0,"保留",IF(COUNTIFS(請求記録!$B$6:$B$3005,$A237,請求記録!$X$6:$X$3005,K$5)=0,"",SUMIFS(請求記録!$AC$6:$AC$3005,請求記録!$B$6:$B$3005,$A237,請求記録!$X$6:$X$3005,K$5))))</f>
        <v/>
      </c>
      <c r="L237" s="19">
        <f>IF($A237="","",IF(COUNTIFS(請求記録!$B$6:$B$3005,$A237,請求記録!$X$6:$X$3005,L$5,請求記録!$AD$6:$AD$3005,"保留中")&gt;0,"保留",IF(COUNTIFS(請求記録!$B$6:$B$3005,$A237,請求記録!$X$6:$X$3005,L$5)=0,"",SUMIFS(請求記録!$AC$6:$AC$3005,請求記録!$B$6:$B$3005,$A237,請求記録!$X$6:$X$3005,L$5))))</f>
        <v/>
      </c>
      <c r="M237" s="19">
        <f>IF($A237="","",IF(COUNTIFS(請求記録!$B$6:$B$3005,$A237,請求記録!$X$6:$X$3005,M$5,請求記録!$AD$6:$AD$3005,"保留中")&gt;0,"保留",IF(COUNTIFS(請求記録!$B$6:$B$3005,$A237,請求記録!$X$6:$X$3005,M$5)=0,"",SUMIFS(請求記録!$AC$6:$AC$3005,請求記録!$B$6:$B$3005,$A237,請求記録!$X$6:$X$3005,M$5))))</f>
        <v/>
      </c>
      <c r="N237" s="19">
        <f>IF($A237="","",IF(COUNTIFS(請求記録!$B$6:$B$3005,$A237,請求記録!$X$6:$X$3005,N$5,請求記録!$AD$6:$AD$3005,"保留中")&gt;0,"保留",IF(COUNTIFS(請求記録!$B$6:$B$3005,$A237,請求記録!$X$6:$X$3005,N$5)=0,"",SUMIFS(請求記録!$AC$6:$AC$3005,請求記録!$B$6:$B$3005,$A237,請求記録!$X$6:$X$3005,N$5))))</f>
        <v/>
      </c>
      <c r="O237" s="19">
        <f>IF($A237="","",IF(COUNTIFS(請求記録!$B$6:$B$3005,$A237,請求記録!$X$6:$X$3005,O$5,請求記録!$AD$6:$AD$3005,"保留中")&gt;0,"保留",IF(COUNTIFS(請求記録!$B$6:$B$3005,$A237,請求記録!$X$6:$X$3005,O$5)=0,"",SUMIFS(請求記録!$AC$6:$AC$3005,請求記録!$B$6:$B$3005,$A237,請求記録!$X$6:$X$3005,O$5))))</f>
        <v/>
      </c>
      <c r="P237" s="19">
        <f>IF($A237="","",IF(COUNTIFS(請求記録!$B$6:$B$3005,$A237,請求記録!$X$6:$X$3005,P$5,請求記録!$AD$6:$AD$3005,"保留中")&gt;0,"保留",IF(COUNTIFS(請求記録!$B$6:$B$3005,$A237,請求記録!$X$6:$X$3005,P$5)=0,"",SUMIFS(請求記録!$AC$6:$AC$3005,請求記録!$B$6:$B$3005,$A237,請求記録!$X$6:$X$3005,P$5))))</f>
        <v/>
      </c>
      <c r="Q237" s="19">
        <f>IF($A237="","",IF(COUNTIFS(請求記録!$B$6:$B$3005,$A237,請求記録!$X$6:$X$3005,Q$5,請求記録!$AD$6:$AD$3005,"保留中")&gt;0,"保留",IF(COUNTIFS(請求記録!$B$6:$B$3005,$A237,請求記録!$X$6:$X$3005,Q$5)=0,"",SUMIFS(請求記録!$AC$6:$AC$3005,請求記録!$B$6:$B$3005,$A237,請求記録!$X$6:$X$3005,Q$5))))</f>
        <v/>
      </c>
      <c r="R237" s="19">
        <f>IF($A237="","",IF(COUNTIFS(請求記録!$B$6:$B$3005,$A237,請求記録!$X$6:$X$3005,R$5,請求記録!$AD$6:$AD$3005,"保留中")&gt;0,"保留",IF(COUNTIFS(請求記録!$B$6:$B$3005,$A237,請求記録!$X$6:$X$3005,R$5)=0,"",SUMIFS(請求記録!$AC$6:$AC$3005,請求記録!$B$6:$B$3005,$A237,請求記録!$X$6:$X$3005,R$5))))</f>
        <v/>
      </c>
      <c r="S237" s="19">
        <f>IF($A237="","",IF(COUNTIFS(請求記録!$B$6:$B$3005,$A237,請求記録!$X$6:$X$3005,S$5,請求記録!$AD$6:$AD$3005,"保留中")&gt;0,"保留",IF(COUNTIFS(請求記録!$B$6:$B$3005,$A237,請求記録!$X$6:$X$3005,S$5)=0,"",SUMIFS(請求記録!$AC$6:$AC$3005,請求記録!$B$6:$B$3005,$A237,請求記録!$X$6:$X$3005,S$5))))</f>
        <v/>
      </c>
      <c r="T237" s="19">
        <f>IF($A237="","",IF(COUNTIFS(請求記録!$B$6:$B$3005,$A237,請求記録!$X$6:$X$3005,T$5,請求記録!$AD$6:$AD$3005,"保留中")&gt;0,"保留",IF(COUNTIFS(請求記録!$B$6:$B$3005,$A237,請求記録!$X$6:$X$3005,T$5)=0,"",SUMIFS(請求記録!$AC$6:$AC$3005,請求記録!$B$6:$B$3005,$A237,請求記録!$X$6:$X$3005,T$5))))</f>
        <v/>
      </c>
      <c r="U237" s="19">
        <f>IF($A237="","",IF(COUNTIFS(請求記録!$B$6:$B$3005,$A237,請求記録!$X$6:$X$3005,U$5,請求記録!$AD$6:$AD$3005,"保留中")&gt;0,"保留",IF(COUNTIFS(請求記録!$B$6:$B$3005,$A237,請求記録!$X$6:$X$3005,U$5)=0,"",SUMIFS(請求記録!$AC$6:$AC$3005,請求記録!$B$6:$B$3005,$A237,請求記録!$X$6:$X$3005,U$5))))</f>
        <v/>
      </c>
      <c r="V237" s="19">
        <f>IF($A237="","",IF(COUNTIFS(請求記録!$B$6:$B$3005,$A237,請求記録!$X$6:$X$3005,V$5,請求記録!$AD$6:$AD$3005,"保留中")&gt;0,"保留",IF(COUNTIFS(請求記録!$B$6:$B$3005,$A237,請求記録!$X$6:$X$3005,V$5)=0,"",SUMIFS(請求記録!$AC$6:$AC$3005,請求記録!$B$6:$B$3005,$A237,請求記録!$X$6:$X$3005,V$5))))</f>
        <v/>
      </c>
      <c r="W237" s="19">
        <f>IF($A237="","",IF(COUNTIFS(請求記録!$B$6:$B$3005,$A237,請求記録!$X$6:$X$3005,W$5,請求記録!$AD$6:$AD$3005,"保留中")&gt;0,"保留",IF(COUNTIFS(請求記録!$B$6:$B$3005,$A237,請求記録!$X$6:$X$3005,W$5)=0,"",SUMIFS(請求記録!$AC$6:$AC$3005,請求記録!$B$6:$B$3005,$A237,請求記録!$X$6:$X$3005,W$5))))</f>
        <v/>
      </c>
      <c r="X237" s="19">
        <f>IF($A237="","",IF(COUNTIFS(請求記録!$B$6:$B$3005,$A237,請求記録!$X$6:$X$3005,X$5,請求記録!$AD$6:$AD$3005,"保留中")&gt;0,"保留",IF(COUNTIFS(請求記録!$B$6:$B$3005,$A237,請求記録!$X$6:$X$3005,X$5)=0,"",SUMIFS(請求記録!$AC$6:$AC$3005,請求記録!$B$6:$B$3005,$A237,請求記録!$X$6:$X$3005,X$5))))</f>
        <v/>
      </c>
      <c r="Y237" s="19">
        <f>IF($A237="","",IF(COUNTIFS(請求記録!$B$6:$B$3005,$A237,請求記録!$X$6:$X$3005,Y$5,請求記録!$AD$6:$AD$3005,"保留中")&gt;0,"保留",IF(COUNTIFS(請求記録!$B$6:$B$3005,$A237,請求記録!$X$6:$X$3005,Y$5)=0,"",SUMIFS(請求記録!$AC$6:$AC$3005,請求記録!$B$6:$B$3005,$A237,請求記録!$X$6:$X$3005,Y$5))))</f>
        <v/>
      </c>
      <c r="Z237" s="19">
        <f>IF($A237="","",IF(COUNTIFS(請求記録!$B$6:$B$3005,$A237,請求記録!$X$6:$X$3005,Z$5,請求記録!$AD$6:$AD$3005,"保留中")&gt;0,"保留",IF(COUNTIFS(請求記録!$B$6:$B$3005,$A237,請求記録!$X$6:$X$3005,Z$5)=0,"",SUMIFS(請求記録!$AC$6:$AC$3005,請求記録!$B$6:$B$3005,$A237,請求記録!$X$6:$X$3005,Z$5))))</f>
        <v/>
      </c>
      <c r="AA237" s="19">
        <f>IF($A237="","",IF(COUNTIFS(請求記録!$B$6:$B$3005,$A237,請求記録!$X$6:$X$3005,AA$5,請求記録!$AD$6:$AD$3005,"保留中")&gt;0,"保留",IF(COUNTIFS(請求記録!$B$6:$B$3005,$A237,請求記録!$X$6:$X$3005,AA$5)=0,"",SUMIFS(請求記録!$AC$6:$AC$3005,請求記録!$B$6:$B$3005,$A237,請求記録!$X$6:$X$3005,AA$5))))</f>
        <v/>
      </c>
      <c r="AB237">
        <f>IF(職員マスタ!P237="保留中",職員マスタ!M237,"")</f>
        <v/>
      </c>
    </row>
    <row r="238">
      <c r="A238">
        <f>IF(職員マスタ!A238="","",職員マスタ!A238)</f>
        <v/>
      </c>
      <c r="B238">
        <f>IF($A238="","",職員マスタ!B238)</f>
        <v/>
      </c>
      <c r="C238">
        <f>IF($A238="","",職員マスタ!C238)</f>
        <v/>
      </c>
      <c r="D238" s="19">
        <f>IF($A238="","",IF(COUNTIFS(請求記録!$B$6:$B$3005,$A238,請求記録!$X$6:$X$3005,D$5,請求記録!$AD$6:$AD$3005,"保留中")&gt;0,"保留",IF(COUNTIFS(請求記録!$B$6:$B$3005,$A238,請求記録!$X$6:$X$3005,D$5)=0,"",SUMIFS(請求記録!$AC$6:$AC$3005,請求記録!$B$6:$B$3005,$A238,請求記録!$X$6:$X$3005,D$5))))</f>
        <v/>
      </c>
      <c r="E238" s="19">
        <f>IF($A238="","",IF(COUNTIFS(請求記録!$B$6:$B$3005,$A238,請求記録!$X$6:$X$3005,E$5,請求記録!$AD$6:$AD$3005,"保留中")&gt;0,"保留",IF(COUNTIFS(請求記録!$B$6:$B$3005,$A238,請求記録!$X$6:$X$3005,E$5)=0,"",SUMIFS(請求記録!$AC$6:$AC$3005,請求記録!$B$6:$B$3005,$A238,請求記録!$X$6:$X$3005,E$5))))</f>
        <v/>
      </c>
      <c r="F238" s="19">
        <f>IF($A238="","",IF(COUNTIFS(請求記録!$B$6:$B$3005,$A238,請求記録!$X$6:$X$3005,F$5,請求記録!$AD$6:$AD$3005,"保留中")&gt;0,"保留",IF(COUNTIFS(請求記録!$B$6:$B$3005,$A238,請求記録!$X$6:$X$3005,F$5)=0,"",SUMIFS(請求記録!$AC$6:$AC$3005,請求記録!$B$6:$B$3005,$A238,請求記録!$X$6:$X$3005,F$5))))</f>
        <v/>
      </c>
      <c r="G238" s="19">
        <f>IF($A238="","",IF(COUNTIFS(請求記録!$B$6:$B$3005,$A238,請求記録!$X$6:$X$3005,G$5,請求記録!$AD$6:$AD$3005,"保留中")&gt;0,"保留",IF(COUNTIFS(請求記録!$B$6:$B$3005,$A238,請求記録!$X$6:$X$3005,G$5)=0,"",SUMIFS(請求記録!$AC$6:$AC$3005,請求記録!$B$6:$B$3005,$A238,請求記録!$X$6:$X$3005,G$5))))</f>
        <v/>
      </c>
      <c r="H238" s="19">
        <f>IF($A238="","",IF(COUNTIFS(請求記録!$B$6:$B$3005,$A238,請求記録!$X$6:$X$3005,H$5,請求記録!$AD$6:$AD$3005,"保留中")&gt;0,"保留",IF(COUNTIFS(請求記録!$B$6:$B$3005,$A238,請求記録!$X$6:$X$3005,H$5)=0,"",SUMIFS(請求記録!$AC$6:$AC$3005,請求記録!$B$6:$B$3005,$A238,請求記録!$X$6:$X$3005,H$5))))</f>
        <v/>
      </c>
      <c r="I238" s="19">
        <f>IF($A238="","",IF(COUNTIFS(請求記録!$B$6:$B$3005,$A238,請求記録!$X$6:$X$3005,I$5,請求記録!$AD$6:$AD$3005,"保留中")&gt;0,"保留",IF(COUNTIFS(請求記録!$B$6:$B$3005,$A238,請求記録!$X$6:$X$3005,I$5)=0,"",SUMIFS(請求記録!$AC$6:$AC$3005,請求記録!$B$6:$B$3005,$A238,請求記録!$X$6:$X$3005,I$5))))</f>
        <v/>
      </c>
      <c r="J238" s="19">
        <f>IF($A238="","",IF(COUNTIFS(請求記録!$B$6:$B$3005,$A238,請求記録!$X$6:$X$3005,J$5,請求記録!$AD$6:$AD$3005,"保留中")&gt;0,"保留",IF(COUNTIFS(請求記録!$B$6:$B$3005,$A238,請求記録!$X$6:$X$3005,J$5)=0,"",SUMIFS(請求記録!$AC$6:$AC$3005,請求記録!$B$6:$B$3005,$A238,請求記録!$X$6:$X$3005,J$5))))</f>
        <v/>
      </c>
      <c r="K238" s="19">
        <f>IF($A238="","",IF(COUNTIFS(請求記録!$B$6:$B$3005,$A238,請求記録!$X$6:$X$3005,K$5,請求記録!$AD$6:$AD$3005,"保留中")&gt;0,"保留",IF(COUNTIFS(請求記録!$B$6:$B$3005,$A238,請求記録!$X$6:$X$3005,K$5)=0,"",SUMIFS(請求記録!$AC$6:$AC$3005,請求記録!$B$6:$B$3005,$A238,請求記録!$X$6:$X$3005,K$5))))</f>
        <v/>
      </c>
      <c r="L238" s="19">
        <f>IF($A238="","",IF(COUNTIFS(請求記録!$B$6:$B$3005,$A238,請求記録!$X$6:$X$3005,L$5,請求記録!$AD$6:$AD$3005,"保留中")&gt;0,"保留",IF(COUNTIFS(請求記録!$B$6:$B$3005,$A238,請求記録!$X$6:$X$3005,L$5)=0,"",SUMIFS(請求記録!$AC$6:$AC$3005,請求記録!$B$6:$B$3005,$A238,請求記録!$X$6:$X$3005,L$5))))</f>
        <v/>
      </c>
      <c r="M238" s="19">
        <f>IF($A238="","",IF(COUNTIFS(請求記録!$B$6:$B$3005,$A238,請求記録!$X$6:$X$3005,M$5,請求記録!$AD$6:$AD$3005,"保留中")&gt;0,"保留",IF(COUNTIFS(請求記録!$B$6:$B$3005,$A238,請求記録!$X$6:$X$3005,M$5)=0,"",SUMIFS(請求記録!$AC$6:$AC$3005,請求記録!$B$6:$B$3005,$A238,請求記録!$X$6:$X$3005,M$5))))</f>
        <v/>
      </c>
      <c r="N238" s="19">
        <f>IF($A238="","",IF(COUNTIFS(請求記録!$B$6:$B$3005,$A238,請求記録!$X$6:$X$3005,N$5,請求記録!$AD$6:$AD$3005,"保留中")&gt;0,"保留",IF(COUNTIFS(請求記録!$B$6:$B$3005,$A238,請求記録!$X$6:$X$3005,N$5)=0,"",SUMIFS(請求記録!$AC$6:$AC$3005,請求記録!$B$6:$B$3005,$A238,請求記録!$X$6:$X$3005,N$5))))</f>
        <v/>
      </c>
      <c r="O238" s="19">
        <f>IF($A238="","",IF(COUNTIFS(請求記録!$B$6:$B$3005,$A238,請求記録!$X$6:$X$3005,O$5,請求記録!$AD$6:$AD$3005,"保留中")&gt;0,"保留",IF(COUNTIFS(請求記録!$B$6:$B$3005,$A238,請求記録!$X$6:$X$3005,O$5)=0,"",SUMIFS(請求記録!$AC$6:$AC$3005,請求記録!$B$6:$B$3005,$A238,請求記録!$X$6:$X$3005,O$5))))</f>
        <v/>
      </c>
      <c r="P238" s="19">
        <f>IF($A238="","",IF(COUNTIFS(請求記録!$B$6:$B$3005,$A238,請求記録!$X$6:$X$3005,P$5,請求記録!$AD$6:$AD$3005,"保留中")&gt;0,"保留",IF(COUNTIFS(請求記録!$B$6:$B$3005,$A238,請求記録!$X$6:$X$3005,P$5)=0,"",SUMIFS(請求記録!$AC$6:$AC$3005,請求記録!$B$6:$B$3005,$A238,請求記録!$X$6:$X$3005,P$5))))</f>
        <v/>
      </c>
      <c r="Q238" s="19">
        <f>IF($A238="","",IF(COUNTIFS(請求記録!$B$6:$B$3005,$A238,請求記録!$X$6:$X$3005,Q$5,請求記録!$AD$6:$AD$3005,"保留中")&gt;0,"保留",IF(COUNTIFS(請求記録!$B$6:$B$3005,$A238,請求記録!$X$6:$X$3005,Q$5)=0,"",SUMIFS(請求記録!$AC$6:$AC$3005,請求記録!$B$6:$B$3005,$A238,請求記録!$X$6:$X$3005,Q$5))))</f>
        <v/>
      </c>
      <c r="R238" s="19">
        <f>IF($A238="","",IF(COUNTIFS(請求記録!$B$6:$B$3005,$A238,請求記録!$X$6:$X$3005,R$5,請求記録!$AD$6:$AD$3005,"保留中")&gt;0,"保留",IF(COUNTIFS(請求記録!$B$6:$B$3005,$A238,請求記録!$X$6:$X$3005,R$5)=0,"",SUMIFS(請求記録!$AC$6:$AC$3005,請求記録!$B$6:$B$3005,$A238,請求記録!$X$6:$X$3005,R$5))))</f>
        <v/>
      </c>
      <c r="S238" s="19">
        <f>IF($A238="","",IF(COUNTIFS(請求記録!$B$6:$B$3005,$A238,請求記録!$X$6:$X$3005,S$5,請求記録!$AD$6:$AD$3005,"保留中")&gt;0,"保留",IF(COUNTIFS(請求記録!$B$6:$B$3005,$A238,請求記録!$X$6:$X$3005,S$5)=0,"",SUMIFS(請求記録!$AC$6:$AC$3005,請求記録!$B$6:$B$3005,$A238,請求記録!$X$6:$X$3005,S$5))))</f>
        <v/>
      </c>
      <c r="T238" s="19">
        <f>IF($A238="","",IF(COUNTIFS(請求記録!$B$6:$B$3005,$A238,請求記録!$X$6:$X$3005,T$5,請求記録!$AD$6:$AD$3005,"保留中")&gt;0,"保留",IF(COUNTIFS(請求記録!$B$6:$B$3005,$A238,請求記録!$X$6:$X$3005,T$5)=0,"",SUMIFS(請求記録!$AC$6:$AC$3005,請求記録!$B$6:$B$3005,$A238,請求記録!$X$6:$X$3005,T$5))))</f>
        <v/>
      </c>
      <c r="U238" s="19">
        <f>IF($A238="","",IF(COUNTIFS(請求記録!$B$6:$B$3005,$A238,請求記録!$X$6:$X$3005,U$5,請求記録!$AD$6:$AD$3005,"保留中")&gt;0,"保留",IF(COUNTIFS(請求記録!$B$6:$B$3005,$A238,請求記録!$X$6:$X$3005,U$5)=0,"",SUMIFS(請求記録!$AC$6:$AC$3005,請求記録!$B$6:$B$3005,$A238,請求記録!$X$6:$X$3005,U$5))))</f>
        <v/>
      </c>
      <c r="V238" s="19">
        <f>IF($A238="","",IF(COUNTIFS(請求記録!$B$6:$B$3005,$A238,請求記録!$X$6:$X$3005,V$5,請求記録!$AD$6:$AD$3005,"保留中")&gt;0,"保留",IF(COUNTIFS(請求記録!$B$6:$B$3005,$A238,請求記録!$X$6:$X$3005,V$5)=0,"",SUMIFS(請求記録!$AC$6:$AC$3005,請求記録!$B$6:$B$3005,$A238,請求記録!$X$6:$X$3005,V$5))))</f>
        <v/>
      </c>
      <c r="W238" s="19">
        <f>IF($A238="","",IF(COUNTIFS(請求記録!$B$6:$B$3005,$A238,請求記録!$X$6:$X$3005,W$5,請求記録!$AD$6:$AD$3005,"保留中")&gt;0,"保留",IF(COUNTIFS(請求記録!$B$6:$B$3005,$A238,請求記録!$X$6:$X$3005,W$5)=0,"",SUMIFS(請求記録!$AC$6:$AC$3005,請求記録!$B$6:$B$3005,$A238,請求記録!$X$6:$X$3005,W$5))))</f>
        <v/>
      </c>
      <c r="X238" s="19">
        <f>IF($A238="","",IF(COUNTIFS(請求記録!$B$6:$B$3005,$A238,請求記録!$X$6:$X$3005,X$5,請求記録!$AD$6:$AD$3005,"保留中")&gt;0,"保留",IF(COUNTIFS(請求記録!$B$6:$B$3005,$A238,請求記録!$X$6:$X$3005,X$5)=0,"",SUMIFS(請求記録!$AC$6:$AC$3005,請求記録!$B$6:$B$3005,$A238,請求記録!$X$6:$X$3005,X$5))))</f>
        <v/>
      </c>
      <c r="Y238" s="19">
        <f>IF($A238="","",IF(COUNTIFS(請求記録!$B$6:$B$3005,$A238,請求記録!$X$6:$X$3005,Y$5,請求記録!$AD$6:$AD$3005,"保留中")&gt;0,"保留",IF(COUNTIFS(請求記録!$B$6:$B$3005,$A238,請求記録!$X$6:$X$3005,Y$5)=0,"",SUMIFS(請求記録!$AC$6:$AC$3005,請求記録!$B$6:$B$3005,$A238,請求記録!$X$6:$X$3005,Y$5))))</f>
        <v/>
      </c>
      <c r="Z238" s="19">
        <f>IF($A238="","",IF(COUNTIFS(請求記録!$B$6:$B$3005,$A238,請求記録!$X$6:$X$3005,Z$5,請求記録!$AD$6:$AD$3005,"保留中")&gt;0,"保留",IF(COUNTIFS(請求記録!$B$6:$B$3005,$A238,請求記録!$X$6:$X$3005,Z$5)=0,"",SUMIFS(請求記録!$AC$6:$AC$3005,請求記録!$B$6:$B$3005,$A238,請求記録!$X$6:$X$3005,Z$5))))</f>
        <v/>
      </c>
      <c r="AA238" s="19">
        <f>IF($A238="","",IF(COUNTIFS(請求記録!$B$6:$B$3005,$A238,請求記録!$X$6:$X$3005,AA$5,請求記録!$AD$6:$AD$3005,"保留中")&gt;0,"保留",IF(COUNTIFS(請求記録!$B$6:$B$3005,$A238,請求記録!$X$6:$X$3005,AA$5)=0,"",SUMIFS(請求記録!$AC$6:$AC$3005,請求記録!$B$6:$B$3005,$A238,請求記録!$X$6:$X$3005,AA$5))))</f>
        <v/>
      </c>
      <c r="AB238">
        <f>IF(職員マスタ!P238="保留中",職員マスタ!M238,"")</f>
        <v/>
      </c>
    </row>
    <row r="239">
      <c r="A239">
        <f>IF(職員マスタ!A239="","",職員マスタ!A239)</f>
        <v/>
      </c>
      <c r="B239">
        <f>IF($A239="","",職員マスタ!B239)</f>
        <v/>
      </c>
      <c r="C239">
        <f>IF($A239="","",職員マスタ!C239)</f>
        <v/>
      </c>
      <c r="D239" s="19">
        <f>IF($A239="","",IF(COUNTIFS(請求記録!$B$6:$B$3005,$A239,請求記録!$X$6:$X$3005,D$5,請求記録!$AD$6:$AD$3005,"保留中")&gt;0,"保留",IF(COUNTIFS(請求記録!$B$6:$B$3005,$A239,請求記録!$X$6:$X$3005,D$5)=0,"",SUMIFS(請求記録!$AC$6:$AC$3005,請求記録!$B$6:$B$3005,$A239,請求記録!$X$6:$X$3005,D$5))))</f>
        <v/>
      </c>
      <c r="E239" s="19">
        <f>IF($A239="","",IF(COUNTIFS(請求記録!$B$6:$B$3005,$A239,請求記録!$X$6:$X$3005,E$5,請求記録!$AD$6:$AD$3005,"保留中")&gt;0,"保留",IF(COUNTIFS(請求記録!$B$6:$B$3005,$A239,請求記録!$X$6:$X$3005,E$5)=0,"",SUMIFS(請求記録!$AC$6:$AC$3005,請求記録!$B$6:$B$3005,$A239,請求記録!$X$6:$X$3005,E$5))))</f>
        <v/>
      </c>
      <c r="F239" s="19">
        <f>IF($A239="","",IF(COUNTIFS(請求記録!$B$6:$B$3005,$A239,請求記録!$X$6:$X$3005,F$5,請求記録!$AD$6:$AD$3005,"保留中")&gt;0,"保留",IF(COUNTIFS(請求記録!$B$6:$B$3005,$A239,請求記録!$X$6:$X$3005,F$5)=0,"",SUMIFS(請求記録!$AC$6:$AC$3005,請求記録!$B$6:$B$3005,$A239,請求記録!$X$6:$X$3005,F$5))))</f>
        <v/>
      </c>
      <c r="G239" s="19">
        <f>IF($A239="","",IF(COUNTIFS(請求記録!$B$6:$B$3005,$A239,請求記録!$X$6:$X$3005,G$5,請求記録!$AD$6:$AD$3005,"保留中")&gt;0,"保留",IF(COUNTIFS(請求記録!$B$6:$B$3005,$A239,請求記録!$X$6:$X$3005,G$5)=0,"",SUMIFS(請求記録!$AC$6:$AC$3005,請求記録!$B$6:$B$3005,$A239,請求記録!$X$6:$X$3005,G$5))))</f>
        <v/>
      </c>
      <c r="H239" s="19">
        <f>IF($A239="","",IF(COUNTIFS(請求記録!$B$6:$B$3005,$A239,請求記録!$X$6:$X$3005,H$5,請求記録!$AD$6:$AD$3005,"保留中")&gt;0,"保留",IF(COUNTIFS(請求記録!$B$6:$B$3005,$A239,請求記録!$X$6:$X$3005,H$5)=0,"",SUMIFS(請求記録!$AC$6:$AC$3005,請求記録!$B$6:$B$3005,$A239,請求記録!$X$6:$X$3005,H$5))))</f>
        <v/>
      </c>
      <c r="I239" s="19">
        <f>IF($A239="","",IF(COUNTIFS(請求記録!$B$6:$B$3005,$A239,請求記録!$X$6:$X$3005,I$5,請求記録!$AD$6:$AD$3005,"保留中")&gt;0,"保留",IF(COUNTIFS(請求記録!$B$6:$B$3005,$A239,請求記録!$X$6:$X$3005,I$5)=0,"",SUMIFS(請求記録!$AC$6:$AC$3005,請求記録!$B$6:$B$3005,$A239,請求記録!$X$6:$X$3005,I$5))))</f>
        <v/>
      </c>
      <c r="J239" s="19">
        <f>IF($A239="","",IF(COUNTIFS(請求記録!$B$6:$B$3005,$A239,請求記録!$X$6:$X$3005,J$5,請求記録!$AD$6:$AD$3005,"保留中")&gt;0,"保留",IF(COUNTIFS(請求記録!$B$6:$B$3005,$A239,請求記録!$X$6:$X$3005,J$5)=0,"",SUMIFS(請求記録!$AC$6:$AC$3005,請求記録!$B$6:$B$3005,$A239,請求記録!$X$6:$X$3005,J$5))))</f>
        <v/>
      </c>
      <c r="K239" s="19">
        <f>IF($A239="","",IF(COUNTIFS(請求記録!$B$6:$B$3005,$A239,請求記録!$X$6:$X$3005,K$5,請求記録!$AD$6:$AD$3005,"保留中")&gt;0,"保留",IF(COUNTIFS(請求記録!$B$6:$B$3005,$A239,請求記録!$X$6:$X$3005,K$5)=0,"",SUMIFS(請求記録!$AC$6:$AC$3005,請求記録!$B$6:$B$3005,$A239,請求記録!$X$6:$X$3005,K$5))))</f>
        <v/>
      </c>
      <c r="L239" s="19">
        <f>IF($A239="","",IF(COUNTIFS(請求記録!$B$6:$B$3005,$A239,請求記録!$X$6:$X$3005,L$5,請求記録!$AD$6:$AD$3005,"保留中")&gt;0,"保留",IF(COUNTIFS(請求記録!$B$6:$B$3005,$A239,請求記録!$X$6:$X$3005,L$5)=0,"",SUMIFS(請求記録!$AC$6:$AC$3005,請求記録!$B$6:$B$3005,$A239,請求記録!$X$6:$X$3005,L$5))))</f>
        <v/>
      </c>
      <c r="M239" s="19">
        <f>IF($A239="","",IF(COUNTIFS(請求記録!$B$6:$B$3005,$A239,請求記録!$X$6:$X$3005,M$5,請求記録!$AD$6:$AD$3005,"保留中")&gt;0,"保留",IF(COUNTIFS(請求記録!$B$6:$B$3005,$A239,請求記録!$X$6:$X$3005,M$5)=0,"",SUMIFS(請求記録!$AC$6:$AC$3005,請求記録!$B$6:$B$3005,$A239,請求記録!$X$6:$X$3005,M$5))))</f>
        <v/>
      </c>
      <c r="N239" s="19">
        <f>IF($A239="","",IF(COUNTIFS(請求記録!$B$6:$B$3005,$A239,請求記録!$X$6:$X$3005,N$5,請求記録!$AD$6:$AD$3005,"保留中")&gt;0,"保留",IF(COUNTIFS(請求記録!$B$6:$B$3005,$A239,請求記録!$X$6:$X$3005,N$5)=0,"",SUMIFS(請求記録!$AC$6:$AC$3005,請求記録!$B$6:$B$3005,$A239,請求記録!$X$6:$X$3005,N$5))))</f>
        <v/>
      </c>
      <c r="O239" s="19">
        <f>IF($A239="","",IF(COUNTIFS(請求記録!$B$6:$B$3005,$A239,請求記録!$X$6:$X$3005,O$5,請求記録!$AD$6:$AD$3005,"保留中")&gt;0,"保留",IF(COUNTIFS(請求記録!$B$6:$B$3005,$A239,請求記録!$X$6:$X$3005,O$5)=0,"",SUMIFS(請求記録!$AC$6:$AC$3005,請求記録!$B$6:$B$3005,$A239,請求記録!$X$6:$X$3005,O$5))))</f>
        <v/>
      </c>
      <c r="P239" s="19">
        <f>IF($A239="","",IF(COUNTIFS(請求記録!$B$6:$B$3005,$A239,請求記録!$X$6:$X$3005,P$5,請求記録!$AD$6:$AD$3005,"保留中")&gt;0,"保留",IF(COUNTIFS(請求記録!$B$6:$B$3005,$A239,請求記録!$X$6:$X$3005,P$5)=0,"",SUMIFS(請求記録!$AC$6:$AC$3005,請求記録!$B$6:$B$3005,$A239,請求記録!$X$6:$X$3005,P$5))))</f>
        <v/>
      </c>
      <c r="Q239" s="19">
        <f>IF($A239="","",IF(COUNTIFS(請求記録!$B$6:$B$3005,$A239,請求記録!$X$6:$X$3005,Q$5,請求記録!$AD$6:$AD$3005,"保留中")&gt;0,"保留",IF(COUNTIFS(請求記録!$B$6:$B$3005,$A239,請求記録!$X$6:$X$3005,Q$5)=0,"",SUMIFS(請求記録!$AC$6:$AC$3005,請求記録!$B$6:$B$3005,$A239,請求記録!$X$6:$X$3005,Q$5))))</f>
        <v/>
      </c>
      <c r="R239" s="19">
        <f>IF($A239="","",IF(COUNTIFS(請求記録!$B$6:$B$3005,$A239,請求記録!$X$6:$X$3005,R$5,請求記録!$AD$6:$AD$3005,"保留中")&gt;0,"保留",IF(COUNTIFS(請求記録!$B$6:$B$3005,$A239,請求記録!$X$6:$X$3005,R$5)=0,"",SUMIFS(請求記録!$AC$6:$AC$3005,請求記録!$B$6:$B$3005,$A239,請求記録!$X$6:$X$3005,R$5))))</f>
        <v/>
      </c>
      <c r="S239" s="19">
        <f>IF($A239="","",IF(COUNTIFS(請求記録!$B$6:$B$3005,$A239,請求記録!$X$6:$X$3005,S$5,請求記録!$AD$6:$AD$3005,"保留中")&gt;0,"保留",IF(COUNTIFS(請求記録!$B$6:$B$3005,$A239,請求記録!$X$6:$X$3005,S$5)=0,"",SUMIFS(請求記録!$AC$6:$AC$3005,請求記録!$B$6:$B$3005,$A239,請求記録!$X$6:$X$3005,S$5))))</f>
        <v/>
      </c>
      <c r="T239" s="19">
        <f>IF($A239="","",IF(COUNTIFS(請求記録!$B$6:$B$3005,$A239,請求記録!$X$6:$X$3005,T$5,請求記録!$AD$6:$AD$3005,"保留中")&gt;0,"保留",IF(COUNTIFS(請求記録!$B$6:$B$3005,$A239,請求記録!$X$6:$X$3005,T$5)=0,"",SUMIFS(請求記録!$AC$6:$AC$3005,請求記録!$B$6:$B$3005,$A239,請求記録!$X$6:$X$3005,T$5))))</f>
        <v/>
      </c>
      <c r="U239" s="19">
        <f>IF($A239="","",IF(COUNTIFS(請求記録!$B$6:$B$3005,$A239,請求記録!$X$6:$X$3005,U$5,請求記録!$AD$6:$AD$3005,"保留中")&gt;0,"保留",IF(COUNTIFS(請求記録!$B$6:$B$3005,$A239,請求記録!$X$6:$X$3005,U$5)=0,"",SUMIFS(請求記録!$AC$6:$AC$3005,請求記録!$B$6:$B$3005,$A239,請求記録!$X$6:$X$3005,U$5))))</f>
        <v/>
      </c>
      <c r="V239" s="19">
        <f>IF($A239="","",IF(COUNTIFS(請求記録!$B$6:$B$3005,$A239,請求記録!$X$6:$X$3005,V$5,請求記録!$AD$6:$AD$3005,"保留中")&gt;0,"保留",IF(COUNTIFS(請求記録!$B$6:$B$3005,$A239,請求記録!$X$6:$X$3005,V$5)=0,"",SUMIFS(請求記録!$AC$6:$AC$3005,請求記録!$B$6:$B$3005,$A239,請求記録!$X$6:$X$3005,V$5))))</f>
        <v/>
      </c>
      <c r="W239" s="19">
        <f>IF($A239="","",IF(COUNTIFS(請求記録!$B$6:$B$3005,$A239,請求記録!$X$6:$X$3005,W$5,請求記録!$AD$6:$AD$3005,"保留中")&gt;0,"保留",IF(COUNTIFS(請求記録!$B$6:$B$3005,$A239,請求記録!$X$6:$X$3005,W$5)=0,"",SUMIFS(請求記録!$AC$6:$AC$3005,請求記録!$B$6:$B$3005,$A239,請求記録!$X$6:$X$3005,W$5))))</f>
        <v/>
      </c>
      <c r="X239" s="19">
        <f>IF($A239="","",IF(COUNTIFS(請求記録!$B$6:$B$3005,$A239,請求記録!$X$6:$X$3005,X$5,請求記録!$AD$6:$AD$3005,"保留中")&gt;0,"保留",IF(COUNTIFS(請求記録!$B$6:$B$3005,$A239,請求記録!$X$6:$X$3005,X$5)=0,"",SUMIFS(請求記録!$AC$6:$AC$3005,請求記録!$B$6:$B$3005,$A239,請求記録!$X$6:$X$3005,X$5))))</f>
        <v/>
      </c>
      <c r="Y239" s="19">
        <f>IF($A239="","",IF(COUNTIFS(請求記録!$B$6:$B$3005,$A239,請求記録!$X$6:$X$3005,Y$5,請求記録!$AD$6:$AD$3005,"保留中")&gt;0,"保留",IF(COUNTIFS(請求記録!$B$6:$B$3005,$A239,請求記録!$X$6:$X$3005,Y$5)=0,"",SUMIFS(請求記録!$AC$6:$AC$3005,請求記録!$B$6:$B$3005,$A239,請求記録!$X$6:$X$3005,Y$5))))</f>
        <v/>
      </c>
      <c r="Z239" s="19">
        <f>IF($A239="","",IF(COUNTIFS(請求記録!$B$6:$B$3005,$A239,請求記録!$X$6:$X$3005,Z$5,請求記録!$AD$6:$AD$3005,"保留中")&gt;0,"保留",IF(COUNTIFS(請求記録!$B$6:$B$3005,$A239,請求記録!$X$6:$X$3005,Z$5)=0,"",SUMIFS(請求記録!$AC$6:$AC$3005,請求記録!$B$6:$B$3005,$A239,請求記録!$X$6:$X$3005,Z$5))))</f>
        <v/>
      </c>
      <c r="AA239" s="19">
        <f>IF($A239="","",IF(COUNTIFS(請求記録!$B$6:$B$3005,$A239,請求記録!$X$6:$X$3005,AA$5,請求記録!$AD$6:$AD$3005,"保留中")&gt;0,"保留",IF(COUNTIFS(請求記録!$B$6:$B$3005,$A239,請求記録!$X$6:$X$3005,AA$5)=0,"",SUMIFS(請求記録!$AC$6:$AC$3005,請求記録!$B$6:$B$3005,$A239,請求記録!$X$6:$X$3005,AA$5))))</f>
        <v/>
      </c>
      <c r="AB239">
        <f>IF(職員マスタ!P239="保留中",職員マスタ!M239,"")</f>
        <v/>
      </c>
    </row>
    <row r="240">
      <c r="A240">
        <f>IF(職員マスタ!A240="","",職員マスタ!A240)</f>
        <v/>
      </c>
      <c r="B240">
        <f>IF($A240="","",職員マスタ!B240)</f>
        <v/>
      </c>
      <c r="C240">
        <f>IF($A240="","",職員マスタ!C240)</f>
        <v/>
      </c>
      <c r="D240" s="19">
        <f>IF($A240="","",IF(COUNTIFS(請求記録!$B$6:$B$3005,$A240,請求記録!$X$6:$X$3005,D$5,請求記録!$AD$6:$AD$3005,"保留中")&gt;0,"保留",IF(COUNTIFS(請求記録!$B$6:$B$3005,$A240,請求記録!$X$6:$X$3005,D$5)=0,"",SUMIFS(請求記録!$AC$6:$AC$3005,請求記録!$B$6:$B$3005,$A240,請求記録!$X$6:$X$3005,D$5))))</f>
        <v/>
      </c>
      <c r="E240" s="19">
        <f>IF($A240="","",IF(COUNTIFS(請求記録!$B$6:$B$3005,$A240,請求記録!$X$6:$X$3005,E$5,請求記録!$AD$6:$AD$3005,"保留中")&gt;0,"保留",IF(COUNTIFS(請求記録!$B$6:$B$3005,$A240,請求記録!$X$6:$X$3005,E$5)=0,"",SUMIFS(請求記録!$AC$6:$AC$3005,請求記録!$B$6:$B$3005,$A240,請求記録!$X$6:$X$3005,E$5))))</f>
        <v/>
      </c>
      <c r="F240" s="19">
        <f>IF($A240="","",IF(COUNTIFS(請求記録!$B$6:$B$3005,$A240,請求記録!$X$6:$X$3005,F$5,請求記録!$AD$6:$AD$3005,"保留中")&gt;0,"保留",IF(COUNTIFS(請求記録!$B$6:$B$3005,$A240,請求記録!$X$6:$X$3005,F$5)=0,"",SUMIFS(請求記録!$AC$6:$AC$3005,請求記録!$B$6:$B$3005,$A240,請求記録!$X$6:$X$3005,F$5))))</f>
        <v/>
      </c>
      <c r="G240" s="19">
        <f>IF($A240="","",IF(COUNTIFS(請求記録!$B$6:$B$3005,$A240,請求記録!$X$6:$X$3005,G$5,請求記録!$AD$6:$AD$3005,"保留中")&gt;0,"保留",IF(COUNTIFS(請求記録!$B$6:$B$3005,$A240,請求記録!$X$6:$X$3005,G$5)=0,"",SUMIFS(請求記録!$AC$6:$AC$3005,請求記録!$B$6:$B$3005,$A240,請求記録!$X$6:$X$3005,G$5))))</f>
        <v/>
      </c>
      <c r="H240" s="19">
        <f>IF($A240="","",IF(COUNTIFS(請求記録!$B$6:$B$3005,$A240,請求記録!$X$6:$X$3005,H$5,請求記録!$AD$6:$AD$3005,"保留中")&gt;0,"保留",IF(COUNTIFS(請求記録!$B$6:$B$3005,$A240,請求記録!$X$6:$X$3005,H$5)=0,"",SUMIFS(請求記録!$AC$6:$AC$3005,請求記録!$B$6:$B$3005,$A240,請求記録!$X$6:$X$3005,H$5))))</f>
        <v/>
      </c>
      <c r="I240" s="19">
        <f>IF($A240="","",IF(COUNTIFS(請求記録!$B$6:$B$3005,$A240,請求記録!$X$6:$X$3005,I$5,請求記録!$AD$6:$AD$3005,"保留中")&gt;0,"保留",IF(COUNTIFS(請求記録!$B$6:$B$3005,$A240,請求記録!$X$6:$X$3005,I$5)=0,"",SUMIFS(請求記録!$AC$6:$AC$3005,請求記録!$B$6:$B$3005,$A240,請求記録!$X$6:$X$3005,I$5))))</f>
        <v/>
      </c>
      <c r="J240" s="19">
        <f>IF($A240="","",IF(COUNTIFS(請求記録!$B$6:$B$3005,$A240,請求記録!$X$6:$X$3005,J$5,請求記録!$AD$6:$AD$3005,"保留中")&gt;0,"保留",IF(COUNTIFS(請求記録!$B$6:$B$3005,$A240,請求記録!$X$6:$X$3005,J$5)=0,"",SUMIFS(請求記録!$AC$6:$AC$3005,請求記録!$B$6:$B$3005,$A240,請求記録!$X$6:$X$3005,J$5))))</f>
        <v/>
      </c>
      <c r="K240" s="19">
        <f>IF($A240="","",IF(COUNTIFS(請求記録!$B$6:$B$3005,$A240,請求記録!$X$6:$X$3005,K$5,請求記録!$AD$6:$AD$3005,"保留中")&gt;0,"保留",IF(COUNTIFS(請求記録!$B$6:$B$3005,$A240,請求記録!$X$6:$X$3005,K$5)=0,"",SUMIFS(請求記録!$AC$6:$AC$3005,請求記録!$B$6:$B$3005,$A240,請求記録!$X$6:$X$3005,K$5))))</f>
        <v/>
      </c>
      <c r="L240" s="19">
        <f>IF($A240="","",IF(COUNTIFS(請求記録!$B$6:$B$3005,$A240,請求記録!$X$6:$X$3005,L$5,請求記録!$AD$6:$AD$3005,"保留中")&gt;0,"保留",IF(COUNTIFS(請求記録!$B$6:$B$3005,$A240,請求記録!$X$6:$X$3005,L$5)=0,"",SUMIFS(請求記録!$AC$6:$AC$3005,請求記録!$B$6:$B$3005,$A240,請求記録!$X$6:$X$3005,L$5))))</f>
        <v/>
      </c>
      <c r="M240" s="19">
        <f>IF($A240="","",IF(COUNTIFS(請求記録!$B$6:$B$3005,$A240,請求記録!$X$6:$X$3005,M$5,請求記録!$AD$6:$AD$3005,"保留中")&gt;0,"保留",IF(COUNTIFS(請求記録!$B$6:$B$3005,$A240,請求記録!$X$6:$X$3005,M$5)=0,"",SUMIFS(請求記録!$AC$6:$AC$3005,請求記録!$B$6:$B$3005,$A240,請求記録!$X$6:$X$3005,M$5))))</f>
        <v/>
      </c>
      <c r="N240" s="19">
        <f>IF($A240="","",IF(COUNTIFS(請求記録!$B$6:$B$3005,$A240,請求記録!$X$6:$X$3005,N$5,請求記録!$AD$6:$AD$3005,"保留中")&gt;0,"保留",IF(COUNTIFS(請求記録!$B$6:$B$3005,$A240,請求記録!$X$6:$X$3005,N$5)=0,"",SUMIFS(請求記録!$AC$6:$AC$3005,請求記録!$B$6:$B$3005,$A240,請求記録!$X$6:$X$3005,N$5))))</f>
        <v/>
      </c>
      <c r="O240" s="19">
        <f>IF($A240="","",IF(COUNTIFS(請求記録!$B$6:$B$3005,$A240,請求記録!$X$6:$X$3005,O$5,請求記録!$AD$6:$AD$3005,"保留中")&gt;0,"保留",IF(COUNTIFS(請求記録!$B$6:$B$3005,$A240,請求記録!$X$6:$X$3005,O$5)=0,"",SUMIFS(請求記録!$AC$6:$AC$3005,請求記録!$B$6:$B$3005,$A240,請求記録!$X$6:$X$3005,O$5))))</f>
        <v/>
      </c>
      <c r="P240" s="19">
        <f>IF($A240="","",IF(COUNTIFS(請求記録!$B$6:$B$3005,$A240,請求記録!$X$6:$X$3005,P$5,請求記録!$AD$6:$AD$3005,"保留中")&gt;0,"保留",IF(COUNTIFS(請求記録!$B$6:$B$3005,$A240,請求記録!$X$6:$X$3005,P$5)=0,"",SUMIFS(請求記録!$AC$6:$AC$3005,請求記録!$B$6:$B$3005,$A240,請求記録!$X$6:$X$3005,P$5))))</f>
        <v/>
      </c>
      <c r="Q240" s="19">
        <f>IF($A240="","",IF(COUNTIFS(請求記録!$B$6:$B$3005,$A240,請求記録!$X$6:$X$3005,Q$5,請求記録!$AD$6:$AD$3005,"保留中")&gt;0,"保留",IF(COUNTIFS(請求記録!$B$6:$B$3005,$A240,請求記録!$X$6:$X$3005,Q$5)=0,"",SUMIFS(請求記録!$AC$6:$AC$3005,請求記録!$B$6:$B$3005,$A240,請求記録!$X$6:$X$3005,Q$5))))</f>
        <v/>
      </c>
      <c r="R240" s="19">
        <f>IF($A240="","",IF(COUNTIFS(請求記録!$B$6:$B$3005,$A240,請求記録!$X$6:$X$3005,R$5,請求記録!$AD$6:$AD$3005,"保留中")&gt;0,"保留",IF(COUNTIFS(請求記録!$B$6:$B$3005,$A240,請求記録!$X$6:$X$3005,R$5)=0,"",SUMIFS(請求記録!$AC$6:$AC$3005,請求記録!$B$6:$B$3005,$A240,請求記録!$X$6:$X$3005,R$5))))</f>
        <v/>
      </c>
      <c r="S240" s="19">
        <f>IF($A240="","",IF(COUNTIFS(請求記録!$B$6:$B$3005,$A240,請求記録!$X$6:$X$3005,S$5,請求記録!$AD$6:$AD$3005,"保留中")&gt;0,"保留",IF(COUNTIFS(請求記録!$B$6:$B$3005,$A240,請求記録!$X$6:$X$3005,S$5)=0,"",SUMIFS(請求記録!$AC$6:$AC$3005,請求記録!$B$6:$B$3005,$A240,請求記録!$X$6:$X$3005,S$5))))</f>
        <v/>
      </c>
      <c r="T240" s="19">
        <f>IF($A240="","",IF(COUNTIFS(請求記録!$B$6:$B$3005,$A240,請求記録!$X$6:$X$3005,T$5,請求記録!$AD$6:$AD$3005,"保留中")&gt;0,"保留",IF(COUNTIFS(請求記録!$B$6:$B$3005,$A240,請求記録!$X$6:$X$3005,T$5)=0,"",SUMIFS(請求記録!$AC$6:$AC$3005,請求記録!$B$6:$B$3005,$A240,請求記録!$X$6:$X$3005,T$5))))</f>
        <v/>
      </c>
      <c r="U240" s="19">
        <f>IF($A240="","",IF(COUNTIFS(請求記録!$B$6:$B$3005,$A240,請求記録!$X$6:$X$3005,U$5,請求記録!$AD$6:$AD$3005,"保留中")&gt;0,"保留",IF(COUNTIFS(請求記録!$B$6:$B$3005,$A240,請求記録!$X$6:$X$3005,U$5)=0,"",SUMIFS(請求記録!$AC$6:$AC$3005,請求記録!$B$6:$B$3005,$A240,請求記録!$X$6:$X$3005,U$5))))</f>
        <v/>
      </c>
      <c r="V240" s="19">
        <f>IF($A240="","",IF(COUNTIFS(請求記録!$B$6:$B$3005,$A240,請求記録!$X$6:$X$3005,V$5,請求記録!$AD$6:$AD$3005,"保留中")&gt;0,"保留",IF(COUNTIFS(請求記録!$B$6:$B$3005,$A240,請求記録!$X$6:$X$3005,V$5)=0,"",SUMIFS(請求記録!$AC$6:$AC$3005,請求記録!$B$6:$B$3005,$A240,請求記録!$X$6:$X$3005,V$5))))</f>
        <v/>
      </c>
      <c r="W240" s="19">
        <f>IF($A240="","",IF(COUNTIFS(請求記録!$B$6:$B$3005,$A240,請求記録!$X$6:$X$3005,W$5,請求記録!$AD$6:$AD$3005,"保留中")&gt;0,"保留",IF(COUNTIFS(請求記録!$B$6:$B$3005,$A240,請求記録!$X$6:$X$3005,W$5)=0,"",SUMIFS(請求記録!$AC$6:$AC$3005,請求記録!$B$6:$B$3005,$A240,請求記録!$X$6:$X$3005,W$5))))</f>
        <v/>
      </c>
      <c r="X240" s="19">
        <f>IF($A240="","",IF(COUNTIFS(請求記録!$B$6:$B$3005,$A240,請求記録!$X$6:$X$3005,X$5,請求記録!$AD$6:$AD$3005,"保留中")&gt;0,"保留",IF(COUNTIFS(請求記録!$B$6:$B$3005,$A240,請求記録!$X$6:$X$3005,X$5)=0,"",SUMIFS(請求記録!$AC$6:$AC$3005,請求記録!$B$6:$B$3005,$A240,請求記録!$X$6:$X$3005,X$5))))</f>
        <v/>
      </c>
      <c r="Y240" s="19">
        <f>IF($A240="","",IF(COUNTIFS(請求記録!$B$6:$B$3005,$A240,請求記録!$X$6:$X$3005,Y$5,請求記録!$AD$6:$AD$3005,"保留中")&gt;0,"保留",IF(COUNTIFS(請求記録!$B$6:$B$3005,$A240,請求記録!$X$6:$X$3005,Y$5)=0,"",SUMIFS(請求記録!$AC$6:$AC$3005,請求記録!$B$6:$B$3005,$A240,請求記録!$X$6:$X$3005,Y$5))))</f>
        <v/>
      </c>
      <c r="Z240" s="19">
        <f>IF($A240="","",IF(COUNTIFS(請求記録!$B$6:$B$3005,$A240,請求記録!$X$6:$X$3005,Z$5,請求記録!$AD$6:$AD$3005,"保留中")&gt;0,"保留",IF(COUNTIFS(請求記録!$B$6:$B$3005,$A240,請求記録!$X$6:$X$3005,Z$5)=0,"",SUMIFS(請求記録!$AC$6:$AC$3005,請求記録!$B$6:$B$3005,$A240,請求記録!$X$6:$X$3005,Z$5))))</f>
        <v/>
      </c>
      <c r="AA240" s="19">
        <f>IF($A240="","",IF(COUNTIFS(請求記録!$B$6:$B$3005,$A240,請求記録!$X$6:$X$3005,AA$5,請求記録!$AD$6:$AD$3005,"保留中")&gt;0,"保留",IF(COUNTIFS(請求記録!$B$6:$B$3005,$A240,請求記録!$X$6:$X$3005,AA$5)=0,"",SUMIFS(請求記録!$AC$6:$AC$3005,請求記録!$B$6:$B$3005,$A240,請求記録!$X$6:$X$3005,AA$5))))</f>
        <v/>
      </c>
      <c r="AB240">
        <f>IF(職員マスタ!P240="保留中",職員マスタ!M240,"")</f>
        <v/>
      </c>
    </row>
    <row r="241">
      <c r="A241">
        <f>IF(職員マスタ!A241="","",職員マスタ!A241)</f>
        <v/>
      </c>
      <c r="B241">
        <f>IF($A241="","",職員マスタ!B241)</f>
        <v/>
      </c>
      <c r="C241">
        <f>IF($A241="","",職員マスタ!C241)</f>
        <v/>
      </c>
      <c r="D241" s="19">
        <f>IF($A241="","",IF(COUNTIFS(請求記録!$B$6:$B$3005,$A241,請求記録!$X$6:$X$3005,D$5,請求記録!$AD$6:$AD$3005,"保留中")&gt;0,"保留",IF(COUNTIFS(請求記録!$B$6:$B$3005,$A241,請求記録!$X$6:$X$3005,D$5)=0,"",SUMIFS(請求記録!$AC$6:$AC$3005,請求記録!$B$6:$B$3005,$A241,請求記録!$X$6:$X$3005,D$5))))</f>
        <v/>
      </c>
      <c r="E241" s="19">
        <f>IF($A241="","",IF(COUNTIFS(請求記録!$B$6:$B$3005,$A241,請求記録!$X$6:$X$3005,E$5,請求記録!$AD$6:$AD$3005,"保留中")&gt;0,"保留",IF(COUNTIFS(請求記録!$B$6:$B$3005,$A241,請求記録!$X$6:$X$3005,E$5)=0,"",SUMIFS(請求記録!$AC$6:$AC$3005,請求記録!$B$6:$B$3005,$A241,請求記録!$X$6:$X$3005,E$5))))</f>
        <v/>
      </c>
      <c r="F241" s="19">
        <f>IF($A241="","",IF(COUNTIFS(請求記録!$B$6:$B$3005,$A241,請求記録!$X$6:$X$3005,F$5,請求記録!$AD$6:$AD$3005,"保留中")&gt;0,"保留",IF(COUNTIFS(請求記録!$B$6:$B$3005,$A241,請求記録!$X$6:$X$3005,F$5)=0,"",SUMIFS(請求記録!$AC$6:$AC$3005,請求記録!$B$6:$B$3005,$A241,請求記録!$X$6:$X$3005,F$5))))</f>
        <v/>
      </c>
      <c r="G241" s="19">
        <f>IF($A241="","",IF(COUNTIFS(請求記録!$B$6:$B$3005,$A241,請求記録!$X$6:$X$3005,G$5,請求記録!$AD$6:$AD$3005,"保留中")&gt;0,"保留",IF(COUNTIFS(請求記録!$B$6:$B$3005,$A241,請求記録!$X$6:$X$3005,G$5)=0,"",SUMIFS(請求記録!$AC$6:$AC$3005,請求記録!$B$6:$B$3005,$A241,請求記録!$X$6:$X$3005,G$5))))</f>
        <v/>
      </c>
      <c r="H241" s="19">
        <f>IF($A241="","",IF(COUNTIFS(請求記録!$B$6:$B$3005,$A241,請求記録!$X$6:$X$3005,H$5,請求記録!$AD$6:$AD$3005,"保留中")&gt;0,"保留",IF(COUNTIFS(請求記録!$B$6:$B$3005,$A241,請求記録!$X$6:$X$3005,H$5)=0,"",SUMIFS(請求記録!$AC$6:$AC$3005,請求記録!$B$6:$B$3005,$A241,請求記録!$X$6:$X$3005,H$5))))</f>
        <v/>
      </c>
      <c r="I241" s="19">
        <f>IF($A241="","",IF(COUNTIFS(請求記録!$B$6:$B$3005,$A241,請求記録!$X$6:$X$3005,I$5,請求記録!$AD$6:$AD$3005,"保留中")&gt;0,"保留",IF(COUNTIFS(請求記録!$B$6:$B$3005,$A241,請求記録!$X$6:$X$3005,I$5)=0,"",SUMIFS(請求記録!$AC$6:$AC$3005,請求記録!$B$6:$B$3005,$A241,請求記録!$X$6:$X$3005,I$5))))</f>
        <v/>
      </c>
      <c r="J241" s="19">
        <f>IF($A241="","",IF(COUNTIFS(請求記録!$B$6:$B$3005,$A241,請求記録!$X$6:$X$3005,J$5,請求記録!$AD$6:$AD$3005,"保留中")&gt;0,"保留",IF(COUNTIFS(請求記録!$B$6:$B$3005,$A241,請求記録!$X$6:$X$3005,J$5)=0,"",SUMIFS(請求記録!$AC$6:$AC$3005,請求記録!$B$6:$B$3005,$A241,請求記録!$X$6:$X$3005,J$5))))</f>
        <v/>
      </c>
      <c r="K241" s="19">
        <f>IF($A241="","",IF(COUNTIFS(請求記録!$B$6:$B$3005,$A241,請求記録!$X$6:$X$3005,K$5,請求記録!$AD$6:$AD$3005,"保留中")&gt;0,"保留",IF(COUNTIFS(請求記録!$B$6:$B$3005,$A241,請求記録!$X$6:$X$3005,K$5)=0,"",SUMIFS(請求記録!$AC$6:$AC$3005,請求記録!$B$6:$B$3005,$A241,請求記録!$X$6:$X$3005,K$5))))</f>
        <v/>
      </c>
      <c r="L241" s="19">
        <f>IF($A241="","",IF(COUNTIFS(請求記録!$B$6:$B$3005,$A241,請求記録!$X$6:$X$3005,L$5,請求記録!$AD$6:$AD$3005,"保留中")&gt;0,"保留",IF(COUNTIFS(請求記録!$B$6:$B$3005,$A241,請求記録!$X$6:$X$3005,L$5)=0,"",SUMIFS(請求記録!$AC$6:$AC$3005,請求記録!$B$6:$B$3005,$A241,請求記録!$X$6:$X$3005,L$5))))</f>
        <v/>
      </c>
      <c r="M241" s="19">
        <f>IF($A241="","",IF(COUNTIFS(請求記録!$B$6:$B$3005,$A241,請求記録!$X$6:$X$3005,M$5,請求記録!$AD$6:$AD$3005,"保留中")&gt;0,"保留",IF(COUNTIFS(請求記録!$B$6:$B$3005,$A241,請求記録!$X$6:$X$3005,M$5)=0,"",SUMIFS(請求記録!$AC$6:$AC$3005,請求記録!$B$6:$B$3005,$A241,請求記録!$X$6:$X$3005,M$5))))</f>
        <v/>
      </c>
      <c r="N241" s="19">
        <f>IF($A241="","",IF(COUNTIFS(請求記録!$B$6:$B$3005,$A241,請求記録!$X$6:$X$3005,N$5,請求記録!$AD$6:$AD$3005,"保留中")&gt;0,"保留",IF(COUNTIFS(請求記録!$B$6:$B$3005,$A241,請求記録!$X$6:$X$3005,N$5)=0,"",SUMIFS(請求記録!$AC$6:$AC$3005,請求記録!$B$6:$B$3005,$A241,請求記録!$X$6:$X$3005,N$5))))</f>
        <v/>
      </c>
      <c r="O241" s="19">
        <f>IF($A241="","",IF(COUNTIFS(請求記録!$B$6:$B$3005,$A241,請求記録!$X$6:$X$3005,O$5,請求記録!$AD$6:$AD$3005,"保留中")&gt;0,"保留",IF(COUNTIFS(請求記録!$B$6:$B$3005,$A241,請求記録!$X$6:$X$3005,O$5)=0,"",SUMIFS(請求記録!$AC$6:$AC$3005,請求記録!$B$6:$B$3005,$A241,請求記録!$X$6:$X$3005,O$5))))</f>
        <v/>
      </c>
      <c r="P241" s="19">
        <f>IF($A241="","",IF(COUNTIFS(請求記録!$B$6:$B$3005,$A241,請求記録!$X$6:$X$3005,P$5,請求記録!$AD$6:$AD$3005,"保留中")&gt;0,"保留",IF(COUNTIFS(請求記録!$B$6:$B$3005,$A241,請求記録!$X$6:$X$3005,P$5)=0,"",SUMIFS(請求記録!$AC$6:$AC$3005,請求記録!$B$6:$B$3005,$A241,請求記録!$X$6:$X$3005,P$5))))</f>
        <v/>
      </c>
      <c r="Q241" s="19">
        <f>IF($A241="","",IF(COUNTIFS(請求記録!$B$6:$B$3005,$A241,請求記録!$X$6:$X$3005,Q$5,請求記録!$AD$6:$AD$3005,"保留中")&gt;0,"保留",IF(COUNTIFS(請求記録!$B$6:$B$3005,$A241,請求記録!$X$6:$X$3005,Q$5)=0,"",SUMIFS(請求記録!$AC$6:$AC$3005,請求記録!$B$6:$B$3005,$A241,請求記録!$X$6:$X$3005,Q$5))))</f>
        <v/>
      </c>
      <c r="R241" s="19">
        <f>IF($A241="","",IF(COUNTIFS(請求記録!$B$6:$B$3005,$A241,請求記録!$X$6:$X$3005,R$5,請求記録!$AD$6:$AD$3005,"保留中")&gt;0,"保留",IF(COUNTIFS(請求記録!$B$6:$B$3005,$A241,請求記録!$X$6:$X$3005,R$5)=0,"",SUMIFS(請求記録!$AC$6:$AC$3005,請求記録!$B$6:$B$3005,$A241,請求記録!$X$6:$X$3005,R$5))))</f>
        <v/>
      </c>
      <c r="S241" s="19">
        <f>IF($A241="","",IF(COUNTIFS(請求記録!$B$6:$B$3005,$A241,請求記録!$X$6:$X$3005,S$5,請求記録!$AD$6:$AD$3005,"保留中")&gt;0,"保留",IF(COUNTIFS(請求記録!$B$6:$B$3005,$A241,請求記録!$X$6:$X$3005,S$5)=0,"",SUMIFS(請求記録!$AC$6:$AC$3005,請求記録!$B$6:$B$3005,$A241,請求記録!$X$6:$X$3005,S$5))))</f>
        <v/>
      </c>
      <c r="T241" s="19">
        <f>IF($A241="","",IF(COUNTIFS(請求記録!$B$6:$B$3005,$A241,請求記録!$X$6:$X$3005,T$5,請求記録!$AD$6:$AD$3005,"保留中")&gt;0,"保留",IF(COUNTIFS(請求記録!$B$6:$B$3005,$A241,請求記録!$X$6:$X$3005,T$5)=0,"",SUMIFS(請求記録!$AC$6:$AC$3005,請求記録!$B$6:$B$3005,$A241,請求記録!$X$6:$X$3005,T$5))))</f>
        <v/>
      </c>
      <c r="U241" s="19">
        <f>IF($A241="","",IF(COUNTIFS(請求記録!$B$6:$B$3005,$A241,請求記録!$X$6:$X$3005,U$5,請求記録!$AD$6:$AD$3005,"保留中")&gt;0,"保留",IF(COUNTIFS(請求記録!$B$6:$B$3005,$A241,請求記録!$X$6:$X$3005,U$5)=0,"",SUMIFS(請求記録!$AC$6:$AC$3005,請求記録!$B$6:$B$3005,$A241,請求記録!$X$6:$X$3005,U$5))))</f>
        <v/>
      </c>
      <c r="V241" s="19">
        <f>IF($A241="","",IF(COUNTIFS(請求記録!$B$6:$B$3005,$A241,請求記録!$X$6:$X$3005,V$5,請求記録!$AD$6:$AD$3005,"保留中")&gt;0,"保留",IF(COUNTIFS(請求記録!$B$6:$B$3005,$A241,請求記録!$X$6:$X$3005,V$5)=0,"",SUMIFS(請求記録!$AC$6:$AC$3005,請求記録!$B$6:$B$3005,$A241,請求記録!$X$6:$X$3005,V$5))))</f>
        <v/>
      </c>
      <c r="W241" s="19">
        <f>IF($A241="","",IF(COUNTIFS(請求記録!$B$6:$B$3005,$A241,請求記録!$X$6:$X$3005,W$5,請求記録!$AD$6:$AD$3005,"保留中")&gt;0,"保留",IF(COUNTIFS(請求記録!$B$6:$B$3005,$A241,請求記録!$X$6:$X$3005,W$5)=0,"",SUMIFS(請求記録!$AC$6:$AC$3005,請求記録!$B$6:$B$3005,$A241,請求記録!$X$6:$X$3005,W$5))))</f>
        <v/>
      </c>
      <c r="X241" s="19">
        <f>IF($A241="","",IF(COUNTIFS(請求記録!$B$6:$B$3005,$A241,請求記録!$X$6:$X$3005,X$5,請求記録!$AD$6:$AD$3005,"保留中")&gt;0,"保留",IF(COUNTIFS(請求記録!$B$6:$B$3005,$A241,請求記録!$X$6:$X$3005,X$5)=0,"",SUMIFS(請求記録!$AC$6:$AC$3005,請求記録!$B$6:$B$3005,$A241,請求記録!$X$6:$X$3005,X$5))))</f>
        <v/>
      </c>
      <c r="Y241" s="19">
        <f>IF($A241="","",IF(COUNTIFS(請求記録!$B$6:$B$3005,$A241,請求記録!$X$6:$X$3005,Y$5,請求記録!$AD$6:$AD$3005,"保留中")&gt;0,"保留",IF(COUNTIFS(請求記録!$B$6:$B$3005,$A241,請求記録!$X$6:$X$3005,Y$5)=0,"",SUMIFS(請求記録!$AC$6:$AC$3005,請求記録!$B$6:$B$3005,$A241,請求記録!$X$6:$X$3005,Y$5))))</f>
        <v/>
      </c>
      <c r="Z241" s="19">
        <f>IF($A241="","",IF(COUNTIFS(請求記録!$B$6:$B$3005,$A241,請求記録!$X$6:$X$3005,Z$5,請求記録!$AD$6:$AD$3005,"保留中")&gt;0,"保留",IF(COUNTIFS(請求記録!$B$6:$B$3005,$A241,請求記録!$X$6:$X$3005,Z$5)=0,"",SUMIFS(請求記録!$AC$6:$AC$3005,請求記録!$B$6:$B$3005,$A241,請求記録!$X$6:$X$3005,Z$5))))</f>
        <v/>
      </c>
      <c r="AA241" s="19">
        <f>IF($A241="","",IF(COUNTIFS(請求記録!$B$6:$B$3005,$A241,請求記録!$X$6:$X$3005,AA$5,請求記録!$AD$6:$AD$3005,"保留中")&gt;0,"保留",IF(COUNTIFS(請求記録!$B$6:$B$3005,$A241,請求記録!$X$6:$X$3005,AA$5)=0,"",SUMIFS(請求記録!$AC$6:$AC$3005,請求記録!$B$6:$B$3005,$A241,請求記録!$X$6:$X$3005,AA$5))))</f>
        <v/>
      </c>
      <c r="AB241">
        <f>IF(職員マスタ!P241="保留中",職員マスタ!M241,"")</f>
        <v/>
      </c>
    </row>
    <row r="242">
      <c r="A242">
        <f>IF(職員マスタ!A242="","",職員マスタ!A242)</f>
        <v/>
      </c>
      <c r="B242">
        <f>IF($A242="","",職員マスタ!B242)</f>
        <v/>
      </c>
      <c r="C242">
        <f>IF($A242="","",職員マスタ!C242)</f>
        <v/>
      </c>
      <c r="D242" s="19">
        <f>IF($A242="","",IF(COUNTIFS(請求記録!$B$6:$B$3005,$A242,請求記録!$X$6:$X$3005,D$5,請求記録!$AD$6:$AD$3005,"保留中")&gt;0,"保留",IF(COUNTIFS(請求記録!$B$6:$B$3005,$A242,請求記録!$X$6:$X$3005,D$5)=0,"",SUMIFS(請求記録!$AC$6:$AC$3005,請求記録!$B$6:$B$3005,$A242,請求記録!$X$6:$X$3005,D$5))))</f>
        <v/>
      </c>
      <c r="E242" s="19">
        <f>IF($A242="","",IF(COUNTIFS(請求記録!$B$6:$B$3005,$A242,請求記録!$X$6:$X$3005,E$5,請求記録!$AD$6:$AD$3005,"保留中")&gt;0,"保留",IF(COUNTIFS(請求記録!$B$6:$B$3005,$A242,請求記録!$X$6:$X$3005,E$5)=0,"",SUMIFS(請求記録!$AC$6:$AC$3005,請求記録!$B$6:$B$3005,$A242,請求記録!$X$6:$X$3005,E$5))))</f>
        <v/>
      </c>
      <c r="F242" s="19">
        <f>IF($A242="","",IF(COUNTIFS(請求記録!$B$6:$B$3005,$A242,請求記録!$X$6:$X$3005,F$5,請求記録!$AD$6:$AD$3005,"保留中")&gt;0,"保留",IF(COUNTIFS(請求記録!$B$6:$B$3005,$A242,請求記録!$X$6:$X$3005,F$5)=0,"",SUMIFS(請求記録!$AC$6:$AC$3005,請求記録!$B$6:$B$3005,$A242,請求記録!$X$6:$X$3005,F$5))))</f>
        <v/>
      </c>
      <c r="G242" s="19">
        <f>IF($A242="","",IF(COUNTIFS(請求記録!$B$6:$B$3005,$A242,請求記録!$X$6:$X$3005,G$5,請求記録!$AD$6:$AD$3005,"保留中")&gt;0,"保留",IF(COUNTIFS(請求記録!$B$6:$B$3005,$A242,請求記録!$X$6:$X$3005,G$5)=0,"",SUMIFS(請求記録!$AC$6:$AC$3005,請求記録!$B$6:$B$3005,$A242,請求記録!$X$6:$X$3005,G$5))))</f>
        <v/>
      </c>
      <c r="H242" s="19">
        <f>IF($A242="","",IF(COUNTIFS(請求記録!$B$6:$B$3005,$A242,請求記録!$X$6:$X$3005,H$5,請求記録!$AD$6:$AD$3005,"保留中")&gt;0,"保留",IF(COUNTIFS(請求記録!$B$6:$B$3005,$A242,請求記録!$X$6:$X$3005,H$5)=0,"",SUMIFS(請求記録!$AC$6:$AC$3005,請求記録!$B$6:$B$3005,$A242,請求記録!$X$6:$X$3005,H$5))))</f>
        <v/>
      </c>
      <c r="I242" s="19">
        <f>IF($A242="","",IF(COUNTIFS(請求記録!$B$6:$B$3005,$A242,請求記録!$X$6:$X$3005,I$5,請求記録!$AD$6:$AD$3005,"保留中")&gt;0,"保留",IF(COUNTIFS(請求記録!$B$6:$B$3005,$A242,請求記録!$X$6:$X$3005,I$5)=0,"",SUMIFS(請求記録!$AC$6:$AC$3005,請求記録!$B$6:$B$3005,$A242,請求記録!$X$6:$X$3005,I$5))))</f>
        <v/>
      </c>
      <c r="J242" s="19">
        <f>IF($A242="","",IF(COUNTIFS(請求記録!$B$6:$B$3005,$A242,請求記録!$X$6:$X$3005,J$5,請求記録!$AD$6:$AD$3005,"保留中")&gt;0,"保留",IF(COUNTIFS(請求記録!$B$6:$B$3005,$A242,請求記録!$X$6:$X$3005,J$5)=0,"",SUMIFS(請求記録!$AC$6:$AC$3005,請求記録!$B$6:$B$3005,$A242,請求記録!$X$6:$X$3005,J$5))))</f>
        <v/>
      </c>
      <c r="K242" s="19">
        <f>IF($A242="","",IF(COUNTIFS(請求記録!$B$6:$B$3005,$A242,請求記録!$X$6:$X$3005,K$5,請求記録!$AD$6:$AD$3005,"保留中")&gt;0,"保留",IF(COUNTIFS(請求記録!$B$6:$B$3005,$A242,請求記録!$X$6:$X$3005,K$5)=0,"",SUMIFS(請求記録!$AC$6:$AC$3005,請求記録!$B$6:$B$3005,$A242,請求記録!$X$6:$X$3005,K$5))))</f>
        <v/>
      </c>
      <c r="L242" s="19">
        <f>IF($A242="","",IF(COUNTIFS(請求記録!$B$6:$B$3005,$A242,請求記録!$X$6:$X$3005,L$5,請求記録!$AD$6:$AD$3005,"保留中")&gt;0,"保留",IF(COUNTIFS(請求記録!$B$6:$B$3005,$A242,請求記録!$X$6:$X$3005,L$5)=0,"",SUMIFS(請求記録!$AC$6:$AC$3005,請求記録!$B$6:$B$3005,$A242,請求記録!$X$6:$X$3005,L$5))))</f>
        <v/>
      </c>
      <c r="M242" s="19">
        <f>IF($A242="","",IF(COUNTIFS(請求記録!$B$6:$B$3005,$A242,請求記録!$X$6:$X$3005,M$5,請求記録!$AD$6:$AD$3005,"保留中")&gt;0,"保留",IF(COUNTIFS(請求記録!$B$6:$B$3005,$A242,請求記録!$X$6:$X$3005,M$5)=0,"",SUMIFS(請求記録!$AC$6:$AC$3005,請求記録!$B$6:$B$3005,$A242,請求記録!$X$6:$X$3005,M$5))))</f>
        <v/>
      </c>
      <c r="N242" s="19">
        <f>IF($A242="","",IF(COUNTIFS(請求記録!$B$6:$B$3005,$A242,請求記録!$X$6:$X$3005,N$5,請求記録!$AD$6:$AD$3005,"保留中")&gt;0,"保留",IF(COUNTIFS(請求記録!$B$6:$B$3005,$A242,請求記録!$X$6:$X$3005,N$5)=0,"",SUMIFS(請求記録!$AC$6:$AC$3005,請求記録!$B$6:$B$3005,$A242,請求記録!$X$6:$X$3005,N$5))))</f>
        <v/>
      </c>
      <c r="O242" s="19">
        <f>IF($A242="","",IF(COUNTIFS(請求記録!$B$6:$B$3005,$A242,請求記録!$X$6:$X$3005,O$5,請求記録!$AD$6:$AD$3005,"保留中")&gt;0,"保留",IF(COUNTIFS(請求記録!$B$6:$B$3005,$A242,請求記録!$X$6:$X$3005,O$5)=0,"",SUMIFS(請求記録!$AC$6:$AC$3005,請求記録!$B$6:$B$3005,$A242,請求記録!$X$6:$X$3005,O$5))))</f>
        <v/>
      </c>
      <c r="P242" s="19">
        <f>IF($A242="","",IF(COUNTIFS(請求記録!$B$6:$B$3005,$A242,請求記録!$X$6:$X$3005,P$5,請求記録!$AD$6:$AD$3005,"保留中")&gt;0,"保留",IF(COUNTIFS(請求記録!$B$6:$B$3005,$A242,請求記録!$X$6:$X$3005,P$5)=0,"",SUMIFS(請求記録!$AC$6:$AC$3005,請求記録!$B$6:$B$3005,$A242,請求記録!$X$6:$X$3005,P$5))))</f>
        <v/>
      </c>
      <c r="Q242" s="19">
        <f>IF($A242="","",IF(COUNTIFS(請求記録!$B$6:$B$3005,$A242,請求記録!$X$6:$X$3005,Q$5,請求記録!$AD$6:$AD$3005,"保留中")&gt;0,"保留",IF(COUNTIFS(請求記録!$B$6:$B$3005,$A242,請求記録!$X$6:$X$3005,Q$5)=0,"",SUMIFS(請求記録!$AC$6:$AC$3005,請求記録!$B$6:$B$3005,$A242,請求記録!$X$6:$X$3005,Q$5))))</f>
        <v/>
      </c>
      <c r="R242" s="19">
        <f>IF($A242="","",IF(COUNTIFS(請求記録!$B$6:$B$3005,$A242,請求記録!$X$6:$X$3005,R$5,請求記録!$AD$6:$AD$3005,"保留中")&gt;0,"保留",IF(COUNTIFS(請求記録!$B$6:$B$3005,$A242,請求記録!$X$6:$X$3005,R$5)=0,"",SUMIFS(請求記録!$AC$6:$AC$3005,請求記録!$B$6:$B$3005,$A242,請求記録!$X$6:$X$3005,R$5))))</f>
        <v/>
      </c>
      <c r="S242" s="19">
        <f>IF($A242="","",IF(COUNTIFS(請求記録!$B$6:$B$3005,$A242,請求記録!$X$6:$X$3005,S$5,請求記録!$AD$6:$AD$3005,"保留中")&gt;0,"保留",IF(COUNTIFS(請求記録!$B$6:$B$3005,$A242,請求記録!$X$6:$X$3005,S$5)=0,"",SUMIFS(請求記録!$AC$6:$AC$3005,請求記録!$B$6:$B$3005,$A242,請求記録!$X$6:$X$3005,S$5))))</f>
        <v/>
      </c>
      <c r="T242" s="19">
        <f>IF($A242="","",IF(COUNTIFS(請求記録!$B$6:$B$3005,$A242,請求記録!$X$6:$X$3005,T$5,請求記録!$AD$6:$AD$3005,"保留中")&gt;0,"保留",IF(COUNTIFS(請求記録!$B$6:$B$3005,$A242,請求記録!$X$6:$X$3005,T$5)=0,"",SUMIFS(請求記録!$AC$6:$AC$3005,請求記録!$B$6:$B$3005,$A242,請求記録!$X$6:$X$3005,T$5))))</f>
        <v/>
      </c>
      <c r="U242" s="19">
        <f>IF($A242="","",IF(COUNTIFS(請求記録!$B$6:$B$3005,$A242,請求記録!$X$6:$X$3005,U$5,請求記録!$AD$6:$AD$3005,"保留中")&gt;0,"保留",IF(COUNTIFS(請求記録!$B$6:$B$3005,$A242,請求記録!$X$6:$X$3005,U$5)=0,"",SUMIFS(請求記録!$AC$6:$AC$3005,請求記録!$B$6:$B$3005,$A242,請求記録!$X$6:$X$3005,U$5))))</f>
        <v/>
      </c>
      <c r="V242" s="19">
        <f>IF($A242="","",IF(COUNTIFS(請求記録!$B$6:$B$3005,$A242,請求記録!$X$6:$X$3005,V$5,請求記録!$AD$6:$AD$3005,"保留中")&gt;0,"保留",IF(COUNTIFS(請求記録!$B$6:$B$3005,$A242,請求記録!$X$6:$X$3005,V$5)=0,"",SUMIFS(請求記録!$AC$6:$AC$3005,請求記録!$B$6:$B$3005,$A242,請求記録!$X$6:$X$3005,V$5))))</f>
        <v/>
      </c>
      <c r="W242" s="19">
        <f>IF($A242="","",IF(COUNTIFS(請求記録!$B$6:$B$3005,$A242,請求記録!$X$6:$X$3005,W$5,請求記録!$AD$6:$AD$3005,"保留中")&gt;0,"保留",IF(COUNTIFS(請求記録!$B$6:$B$3005,$A242,請求記録!$X$6:$X$3005,W$5)=0,"",SUMIFS(請求記録!$AC$6:$AC$3005,請求記録!$B$6:$B$3005,$A242,請求記録!$X$6:$X$3005,W$5))))</f>
        <v/>
      </c>
      <c r="X242" s="19">
        <f>IF($A242="","",IF(COUNTIFS(請求記録!$B$6:$B$3005,$A242,請求記録!$X$6:$X$3005,X$5,請求記録!$AD$6:$AD$3005,"保留中")&gt;0,"保留",IF(COUNTIFS(請求記録!$B$6:$B$3005,$A242,請求記録!$X$6:$X$3005,X$5)=0,"",SUMIFS(請求記録!$AC$6:$AC$3005,請求記録!$B$6:$B$3005,$A242,請求記録!$X$6:$X$3005,X$5))))</f>
        <v/>
      </c>
      <c r="Y242" s="19">
        <f>IF($A242="","",IF(COUNTIFS(請求記録!$B$6:$B$3005,$A242,請求記録!$X$6:$X$3005,Y$5,請求記録!$AD$6:$AD$3005,"保留中")&gt;0,"保留",IF(COUNTIFS(請求記録!$B$6:$B$3005,$A242,請求記録!$X$6:$X$3005,Y$5)=0,"",SUMIFS(請求記録!$AC$6:$AC$3005,請求記録!$B$6:$B$3005,$A242,請求記録!$X$6:$X$3005,Y$5))))</f>
        <v/>
      </c>
      <c r="Z242" s="19">
        <f>IF($A242="","",IF(COUNTIFS(請求記録!$B$6:$B$3005,$A242,請求記録!$X$6:$X$3005,Z$5,請求記録!$AD$6:$AD$3005,"保留中")&gt;0,"保留",IF(COUNTIFS(請求記録!$B$6:$B$3005,$A242,請求記録!$X$6:$X$3005,Z$5)=0,"",SUMIFS(請求記録!$AC$6:$AC$3005,請求記録!$B$6:$B$3005,$A242,請求記録!$X$6:$X$3005,Z$5))))</f>
        <v/>
      </c>
      <c r="AA242" s="19">
        <f>IF($A242="","",IF(COUNTIFS(請求記録!$B$6:$B$3005,$A242,請求記録!$X$6:$X$3005,AA$5,請求記録!$AD$6:$AD$3005,"保留中")&gt;0,"保留",IF(COUNTIFS(請求記録!$B$6:$B$3005,$A242,請求記録!$X$6:$X$3005,AA$5)=0,"",SUMIFS(請求記録!$AC$6:$AC$3005,請求記録!$B$6:$B$3005,$A242,請求記録!$X$6:$X$3005,AA$5))))</f>
        <v/>
      </c>
      <c r="AB242">
        <f>IF(職員マスタ!P242="保留中",職員マスタ!M242,"")</f>
        <v/>
      </c>
    </row>
    <row r="243">
      <c r="A243">
        <f>IF(職員マスタ!A243="","",職員マスタ!A243)</f>
        <v/>
      </c>
      <c r="B243">
        <f>IF($A243="","",職員マスタ!B243)</f>
        <v/>
      </c>
      <c r="C243">
        <f>IF($A243="","",職員マスタ!C243)</f>
        <v/>
      </c>
      <c r="D243" s="19">
        <f>IF($A243="","",IF(COUNTIFS(請求記録!$B$6:$B$3005,$A243,請求記録!$X$6:$X$3005,D$5,請求記録!$AD$6:$AD$3005,"保留中")&gt;0,"保留",IF(COUNTIFS(請求記録!$B$6:$B$3005,$A243,請求記録!$X$6:$X$3005,D$5)=0,"",SUMIFS(請求記録!$AC$6:$AC$3005,請求記録!$B$6:$B$3005,$A243,請求記録!$X$6:$X$3005,D$5))))</f>
        <v/>
      </c>
      <c r="E243" s="19">
        <f>IF($A243="","",IF(COUNTIFS(請求記録!$B$6:$B$3005,$A243,請求記録!$X$6:$X$3005,E$5,請求記録!$AD$6:$AD$3005,"保留中")&gt;0,"保留",IF(COUNTIFS(請求記録!$B$6:$B$3005,$A243,請求記録!$X$6:$X$3005,E$5)=0,"",SUMIFS(請求記録!$AC$6:$AC$3005,請求記録!$B$6:$B$3005,$A243,請求記録!$X$6:$X$3005,E$5))))</f>
        <v/>
      </c>
      <c r="F243" s="19">
        <f>IF($A243="","",IF(COUNTIFS(請求記録!$B$6:$B$3005,$A243,請求記録!$X$6:$X$3005,F$5,請求記録!$AD$6:$AD$3005,"保留中")&gt;0,"保留",IF(COUNTIFS(請求記録!$B$6:$B$3005,$A243,請求記録!$X$6:$X$3005,F$5)=0,"",SUMIFS(請求記録!$AC$6:$AC$3005,請求記録!$B$6:$B$3005,$A243,請求記録!$X$6:$X$3005,F$5))))</f>
        <v/>
      </c>
      <c r="G243" s="19">
        <f>IF($A243="","",IF(COUNTIFS(請求記録!$B$6:$B$3005,$A243,請求記録!$X$6:$X$3005,G$5,請求記録!$AD$6:$AD$3005,"保留中")&gt;0,"保留",IF(COUNTIFS(請求記録!$B$6:$B$3005,$A243,請求記録!$X$6:$X$3005,G$5)=0,"",SUMIFS(請求記録!$AC$6:$AC$3005,請求記録!$B$6:$B$3005,$A243,請求記録!$X$6:$X$3005,G$5))))</f>
        <v/>
      </c>
      <c r="H243" s="19">
        <f>IF($A243="","",IF(COUNTIFS(請求記録!$B$6:$B$3005,$A243,請求記録!$X$6:$X$3005,H$5,請求記録!$AD$6:$AD$3005,"保留中")&gt;0,"保留",IF(COUNTIFS(請求記録!$B$6:$B$3005,$A243,請求記録!$X$6:$X$3005,H$5)=0,"",SUMIFS(請求記録!$AC$6:$AC$3005,請求記録!$B$6:$B$3005,$A243,請求記録!$X$6:$X$3005,H$5))))</f>
        <v/>
      </c>
      <c r="I243" s="19">
        <f>IF($A243="","",IF(COUNTIFS(請求記録!$B$6:$B$3005,$A243,請求記録!$X$6:$X$3005,I$5,請求記録!$AD$6:$AD$3005,"保留中")&gt;0,"保留",IF(COUNTIFS(請求記録!$B$6:$B$3005,$A243,請求記録!$X$6:$X$3005,I$5)=0,"",SUMIFS(請求記録!$AC$6:$AC$3005,請求記録!$B$6:$B$3005,$A243,請求記録!$X$6:$X$3005,I$5))))</f>
        <v/>
      </c>
      <c r="J243" s="19">
        <f>IF($A243="","",IF(COUNTIFS(請求記録!$B$6:$B$3005,$A243,請求記録!$X$6:$X$3005,J$5,請求記録!$AD$6:$AD$3005,"保留中")&gt;0,"保留",IF(COUNTIFS(請求記録!$B$6:$B$3005,$A243,請求記録!$X$6:$X$3005,J$5)=0,"",SUMIFS(請求記録!$AC$6:$AC$3005,請求記録!$B$6:$B$3005,$A243,請求記録!$X$6:$X$3005,J$5))))</f>
        <v/>
      </c>
      <c r="K243" s="19">
        <f>IF($A243="","",IF(COUNTIFS(請求記録!$B$6:$B$3005,$A243,請求記録!$X$6:$X$3005,K$5,請求記録!$AD$6:$AD$3005,"保留中")&gt;0,"保留",IF(COUNTIFS(請求記録!$B$6:$B$3005,$A243,請求記録!$X$6:$X$3005,K$5)=0,"",SUMIFS(請求記録!$AC$6:$AC$3005,請求記録!$B$6:$B$3005,$A243,請求記録!$X$6:$X$3005,K$5))))</f>
        <v/>
      </c>
      <c r="L243" s="19">
        <f>IF($A243="","",IF(COUNTIFS(請求記録!$B$6:$B$3005,$A243,請求記録!$X$6:$X$3005,L$5,請求記録!$AD$6:$AD$3005,"保留中")&gt;0,"保留",IF(COUNTIFS(請求記録!$B$6:$B$3005,$A243,請求記録!$X$6:$X$3005,L$5)=0,"",SUMIFS(請求記録!$AC$6:$AC$3005,請求記録!$B$6:$B$3005,$A243,請求記録!$X$6:$X$3005,L$5))))</f>
        <v/>
      </c>
      <c r="M243" s="19">
        <f>IF($A243="","",IF(COUNTIFS(請求記録!$B$6:$B$3005,$A243,請求記録!$X$6:$X$3005,M$5,請求記録!$AD$6:$AD$3005,"保留中")&gt;0,"保留",IF(COUNTIFS(請求記録!$B$6:$B$3005,$A243,請求記録!$X$6:$X$3005,M$5)=0,"",SUMIFS(請求記録!$AC$6:$AC$3005,請求記録!$B$6:$B$3005,$A243,請求記録!$X$6:$X$3005,M$5))))</f>
        <v/>
      </c>
      <c r="N243" s="19">
        <f>IF($A243="","",IF(COUNTIFS(請求記録!$B$6:$B$3005,$A243,請求記録!$X$6:$X$3005,N$5,請求記録!$AD$6:$AD$3005,"保留中")&gt;0,"保留",IF(COUNTIFS(請求記録!$B$6:$B$3005,$A243,請求記録!$X$6:$X$3005,N$5)=0,"",SUMIFS(請求記録!$AC$6:$AC$3005,請求記録!$B$6:$B$3005,$A243,請求記録!$X$6:$X$3005,N$5))))</f>
        <v/>
      </c>
      <c r="O243" s="19">
        <f>IF($A243="","",IF(COUNTIFS(請求記録!$B$6:$B$3005,$A243,請求記録!$X$6:$X$3005,O$5,請求記録!$AD$6:$AD$3005,"保留中")&gt;0,"保留",IF(COUNTIFS(請求記録!$B$6:$B$3005,$A243,請求記録!$X$6:$X$3005,O$5)=0,"",SUMIFS(請求記録!$AC$6:$AC$3005,請求記録!$B$6:$B$3005,$A243,請求記録!$X$6:$X$3005,O$5))))</f>
        <v/>
      </c>
      <c r="P243" s="19">
        <f>IF($A243="","",IF(COUNTIFS(請求記録!$B$6:$B$3005,$A243,請求記録!$X$6:$X$3005,P$5,請求記録!$AD$6:$AD$3005,"保留中")&gt;0,"保留",IF(COUNTIFS(請求記録!$B$6:$B$3005,$A243,請求記録!$X$6:$X$3005,P$5)=0,"",SUMIFS(請求記録!$AC$6:$AC$3005,請求記録!$B$6:$B$3005,$A243,請求記録!$X$6:$X$3005,P$5))))</f>
        <v/>
      </c>
      <c r="Q243" s="19">
        <f>IF($A243="","",IF(COUNTIFS(請求記録!$B$6:$B$3005,$A243,請求記録!$X$6:$X$3005,Q$5,請求記録!$AD$6:$AD$3005,"保留中")&gt;0,"保留",IF(COUNTIFS(請求記録!$B$6:$B$3005,$A243,請求記録!$X$6:$X$3005,Q$5)=0,"",SUMIFS(請求記録!$AC$6:$AC$3005,請求記録!$B$6:$B$3005,$A243,請求記録!$X$6:$X$3005,Q$5))))</f>
        <v/>
      </c>
      <c r="R243" s="19">
        <f>IF($A243="","",IF(COUNTIFS(請求記録!$B$6:$B$3005,$A243,請求記録!$X$6:$X$3005,R$5,請求記録!$AD$6:$AD$3005,"保留中")&gt;0,"保留",IF(COUNTIFS(請求記録!$B$6:$B$3005,$A243,請求記録!$X$6:$X$3005,R$5)=0,"",SUMIFS(請求記録!$AC$6:$AC$3005,請求記録!$B$6:$B$3005,$A243,請求記録!$X$6:$X$3005,R$5))))</f>
        <v/>
      </c>
      <c r="S243" s="19">
        <f>IF($A243="","",IF(COUNTIFS(請求記録!$B$6:$B$3005,$A243,請求記録!$X$6:$X$3005,S$5,請求記録!$AD$6:$AD$3005,"保留中")&gt;0,"保留",IF(COUNTIFS(請求記録!$B$6:$B$3005,$A243,請求記録!$X$6:$X$3005,S$5)=0,"",SUMIFS(請求記録!$AC$6:$AC$3005,請求記録!$B$6:$B$3005,$A243,請求記録!$X$6:$X$3005,S$5))))</f>
        <v/>
      </c>
      <c r="T243" s="19">
        <f>IF($A243="","",IF(COUNTIFS(請求記録!$B$6:$B$3005,$A243,請求記録!$X$6:$X$3005,T$5,請求記録!$AD$6:$AD$3005,"保留中")&gt;0,"保留",IF(COUNTIFS(請求記録!$B$6:$B$3005,$A243,請求記録!$X$6:$X$3005,T$5)=0,"",SUMIFS(請求記録!$AC$6:$AC$3005,請求記録!$B$6:$B$3005,$A243,請求記録!$X$6:$X$3005,T$5))))</f>
        <v/>
      </c>
      <c r="U243" s="19">
        <f>IF($A243="","",IF(COUNTIFS(請求記録!$B$6:$B$3005,$A243,請求記録!$X$6:$X$3005,U$5,請求記録!$AD$6:$AD$3005,"保留中")&gt;0,"保留",IF(COUNTIFS(請求記録!$B$6:$B$3005,$A243,請求記録!$X$6:$X$3005,U$5)=0,"",SUMIFS(請求記録!$AC$6:$AC$3005,請求記録!$B$6:$B$3005,$A243,請求記録!$X$6:$X$3005,U$5))))</f>
        <v/>
      </c>
      <c r="V243" s="19">
        <f>IF($A243="","",IF(COUNTIFS(請求記録!$B$6:$B$3005,$A243,請求記録!$X$6:$X$3005,V$5,請求記録!$AD$6:$AD$3005,"保留中")&gt;0,"保留",IF(COUNTIFS(請求記録!$B$6:$B$3005,$A243,請求記録!$X$6:$X$3005,V$5)=0,"",SUMIFS(請求記録!$AC$6:$AC$3005,請求記録!$B$6:$B$3005,$A243,請求記録!$X$6:$X$3005,V$5))))</f>
        <v/>
      </c>
      <c r="W243" s="19">
        <f>IF($A243="","",IF(COUNTIFS(請求記録!$B$6:$B$3005,$A243,請求記録!$X$6:$X$3005,W$5,請求記録!$AD$6:$AD$3005,"保留中")&gt;0,"保留",IF(COUNTIFS(請求記録!$B$6:$B$3005,$A243,請求記録!$X$6:$X$3005,W$5)=0,"",SUMIFS(請求記録!$AC$6:$AC$3005,請求記録!$B$6:$B$3005,$A243,請求記録!$X$6:$X$3005,W$5))))</f>
        <v/>
      </c>
      <c r="X243" s="19">
        <f>IF($A243="","",IF(COUNTIFS(請求記録!$B$6:$B$3005,$A243,請求記録!$X$6:$X$3005,X$5,請求記録!$AD$6:$AD$3005,"保留中")&gt;0,"保留",IF(COUNTIFS(請求記録!$B$6:$B$3005,$A243,請求記録!$X$6:$X$3005,X$5)=0,"",SUMIFS(請求記録!$AC$6:$AC$3005,請求記録!$B$6:$B$3005,$A243,請求記録!$X$6:$X$3005,X$5))))</f>
        <v/>
      </c>
      <c r="Y243" s="19">
        <f>IF($A243="","",IF(COUNTIFS(請求記録!$B$6:$B$3005,$A243,請求記録!$X$6:$X$3005,Y$5,請求記録!$AD$6:$AD$3005,"保留中")&gt;0,"保留",IF(COUNTIFS(請求記録!$B$6:$B$3005,$A243,請求記録!$X$6:$X$3005,Y$5)=0,"",SUMIFS(請求記録!$AC$6:$AC$3005,請求記録!$B$6:$B$3005,$A243,請求記録!$X$6:$X$3005,Y$5))))</f>
        <v/>
      </c>
      <c r="Z243" s="19">
        <f>IF($A243="","",IF(COUNTIFS(請求記録!$B$6:$B$3005,$A243,請求記録!$X$6:$X$3005,Z$5,請求記録!$AD$6:$AD$3005,"保留中")&gt;0,"保留",IF(COUNTIFS(請求記録!$B$6:$B$3005,$A243,請求記録!$X$6:$X$3005,Z$5)=0,"",SUMIFS(請求記録!$AC$6:$AC$3005,請求記録!$B$6:$B$3005,$A243,請求記録!$X$6:$X$3005,Z$5))))</f>
        <v/>
      </c>
      <c r="AA243" s="19">
        <f>IF($A243="","",IF(COUNTIFS(請求記録!$B$6:$B$3005,$A243,請求記録!$X$6:$X$3005,AA$5,請求記録!$AD$6:$AD$3005,"保留中")&gt;0,"保留",IF(COUNTIFS(請求記録!$B$6:$B$3005,$A243,請求記録!$X$6:$X$3005,AA$5)=0,"",SUMIFS(請求記録!$AC$6:$AC$3005,請求記録!$B$6:$B$3005,$A243,請求記録!$X$6:$X$3005,AA$5))))</f>
        <v/>
      </c>
      <c r="AB243">
        <f>IF(職員マスタ!P243="保留中",職員マスタ!M243,"")</f>
        <v/>
      </c>
    </row>
    <row r="244">
      <c r="A244">
        <f>IF(職員マスタ!A244="","",職員マスタ!A244)</f>
        <v/>
      </c>
      <c r="B244">
        <f>IF($A244="","",職員マスタ!B244)</f>
        <v/>
      </c>
      <c r="C244">
        <f>IF($A244="","",職員マスタ!C244)</f>
        <v/>
      </c>
      <c r="D244" s="19">
        <f>IF($A244="","",IF(COUNTIFS(請求記録!$B$6:$B$3005,$A244,請求記録!$X$6:$X$3005,D$5,請求記録!$AD$6:$AD$3005,"保留中")&gt;0,"保留",IF(COUNTIFS(請求記録!$B$6:$B$3005,$A244,請求記録!$X$6:$X$3005,D$5)=0,"",SUMIFS(請求記録!$AC$6:$AC$3005,請求記録!$B$6:$B$3005,$A244,請求記録!$X$6:$X$3005,D$5))))</f>
        <v/>
      </c>
      <c r="E244" s="19">
        <f>IF($A244="","",IF(COUNTIFS(請求記録!$B$6:$B$3005,$A244,請求記録!$X$6:$X$3005,E$5,請求記録!$AD$6:$AD$3005,"保留中")&gt;0,"保留",IF(COUNTIFS(請求記録!$B$6:$B$3005,$A244,請求記録!$X$6:$X$3005,E$5)=0,"",SUMIFS(請求記録!$AC$6:$AC$3005,請求記録!$B$6:$B$3005,$A244,請求記録!$X$6:$X$3005,E$5))))</f>
        <v/>
      </c>
      <c r="F244" s="19">
        <f>IF($A244="","",IF(COUNTIFS(請求記録!$B$6:$B$3005,$A244,請求記録!$X$6:$X$3005,F$5,請求記録!$AD$6:$AD$3005,"保留中")&gt;0,"保留",IF(COUNTIFS(請求記録!$B$6:$B$3005,$A244,請求記録!$X$6:$X$3005,F$5)=0,"",SUMIFS(請求記録!$AC$6:$AC$3005,請求記録!$B$6:$B$3005,$A244,請求記録!$X$6:$X$3005,F$5))))</f>
        <v/>
      </c>
      <c r="G244" s="19">
        <f>IF($A244="","",IF(COUNTIFS(請求記録!$B$6:$B$3005,$A244,請求記録!$X$6:$X$3005,G$5,請求記録!$AD$6:$AD$3005,"保留中")&gt;0,"保留",IF(COUNTIFS(請求記録!$B$6:$B$3005,$A244,請求記録!$X$6:$X$3005,G$5)=0,"",SUMIFS(請求記録!$AC$6:$AC$3005,請求記録!$B$6:$B$3005,$A244,請求記録!$X$6:$X$3005,G$5))))</f>
        <v/>
      </c>
      <c r="H244" s="19">
        <f>IF($A244="","",IF(COUNTIFS(請求記録!$B$6:$B$3005,$A244,請求記録!$X$6:$X$3005,H$5,請求記録!$AD$6:$AD$3005,"保留中")&gt;0,"保留",IF(COUNTIFS(請求記録!$B$6:$B$3005,$A244,請求記録!$X$6:$X$3005,H$5)=0,"",SUMIFS(請求記録!$AC$6:$AC$3005,請求記録!$B$6:$B$3005,$A244,請求記録!$X$6:$X$3005,H$5))))</f>
        <v/>
      </c>
      <c r="I244" s="19">
        <f>IF($A244="","",IF(COUNTIFS(請求記録!$B$6:$B$3005,$A244,請求記録!$X$6:$X$3005,I$5,請求記録!$AD$6:$AD$3005,"保留中")&gt;0,"保留",IF(COUNTIFS(請求記録!$B$6:$B$3005,$A244,請求記録!$X$6:$X$3005,I$5)=0,"",SUMIFS(請求記録!$AC$6:$AC$3005,請求記録!$B$6:$B$3005,$A244,請求記録!$X$6:$X$3005,I$5))))</f>
        <v/>
      </c>
      <c r="J244" s="19">
        <f>IF($A244="","",IF(COUNTIFS(請求記録!$B$6:$B$3005,$A244,請求記録!$X$6:$X$3005,J$5,請求記録!$AD$6:$AD$3005,"保留中")&gt;0,"保留",IF(COUNTIFS(請求記録!$B$6:$B$3005,$A244,請求記録!$X$6:$X$3005,J$5)=0,"",SUMIFS(請求記録!$AC$6:$AC$3005,請求記録!$B$6:$B$3005,$A244,請求記録!$X$6:$X$3005,J$5))))</f>
        <v/>
      </c>
      <c r="K244" s="19">
        <f>IF($A244="","",IF(COUNTIFS(請求記録!$B$6:$B$3005,$A244,請求記録!$X$6:$X$3005,K$5,請求記録!$AD$6:$AD$3005,"保留中")&gt;0,"保留",IF(COUNTIFS(請求記録!$B$6:$B$3005,$A244,請求記録!$X$6:$X$3005,K$5)=0,"",SUMIFS(請求記録!$AC$6:$AC$3005,請求記録!$B$6:$B$3005,$A244,請求記録!$X$6:$X$3005,K$5))))</f>
        <v/>
      </c>
      <c r="L244" s="19">
        <f>IF($A244="","",IF(COUNTIFS(請求記録!$B$6:$B$3005,$A244,請求記録!$X$6:$X$3005,L$5,請求記録!$AD$6:$AD$3005,"保留中")&gt;0,"保留",IF(COUNTIFS(請求記録!$B$6:$B$3005,$A244,請求記録!$X$6:$X$3005,L$5)=0,"",SUMIFS(請求記録!$AC$6:$AC$3005,請求記録!$B$6:$B$3005,$A244,請求記録!$X$6:$X$3005,L$5))))</f>
        <v/>
      </c>
      <c r="M244" s="19">
        <f>IF($A244="","",IF(COUNTIFS(請求記録!$B$6:$B$3005,$A244,請求記録!$X$6:$X$3005,M$5,請求記録!$AD$6:$AD$3005,"保留中")&gt;0,"保留",IF(COUNTIFS(請求記録!$B$6:$B$3005,$A244,請求記録!$X$6:$X$3005,M$5)=0,"",SUMIFS(請求記録!$AC$6:$AC$3005,請求記録!$B$6:$B$3005,$A244,請求記録!$X$6:$X$3005,M$5))))</f>
        <v/>
      </c>
      <c r="N244" s="19">
        <f>IF($A244="","",IF(COUNTIFS(請求記録!$B$6:$B$3005,$A244,請求記録!$X$6:$X$3005,N$5,請求記録!$AD$6:$AD$3005,"保留中")&gt;0,"保留",IF(COUNTIFS(請求記録!$B$6:$B$3005,$A244,請求記録!$X$6:$X$3005,N$5)=0,"",SUMIFS(請求記録!$AC$6:$AC$3005,請求記録!$B$6:$B$3005,$A244,請求記録!$X$6:$X$3005,N$5))))</f>
        <v/>
      </c>
      <c r="O244" s="19">
        <f>IF($A244="","",IF(COUNTIFS(請求記録!$B$6:$B$3005,$A244,請求記録!$X$6:$X$3005,O$5,請求記録!$AD$6:$AD$3005,"保留中")&gt;0,"保留",IF(COUNTIFS(請求記録!$B$6:$B$3005,$A244,請求記録!$X$6:$X$3005,O$5)=0,"",SUMIFS(請求記録!$AC$6:$AC$3005,請求記録!$B$6:$B$3005,$A244,請求記録!$X$6:$X$3005,O$5))))</f>
        <v/>
      </c>
      <c r="P244" s="19">
        <f>IF($A244="","",IF(COUNTIFS(請求記録!$B$6:$B$3005,$A244,請求記録!$X$6:$X$3005,P$5,請求記録!$AD$6:$AD$3005,"保留中")&gt;0,"保留",IF(COUNTIFS(請求記録!$B$6:$B$3005,$A244,請求記録!$X$6:$X$3005,P$5)=0,"",SUMIFS(請求記録!$AC$6:$AC$3005,請求記録!$B$6:$B$3005,$A244,請求記録!$X$6:$X$3005,P$5))))</f>
        <v/>
      </c>
      <c r="Q244" s="19">
        <f>IF($A244="","",IF(COUNTIFS(請求記録!$B$6:$B$3005,$A244,請求記録!$X$6:$X$3005,Q$5,請求記録!$AD$6:$AD$3005,"保留中")&gt;0,"保留",IF(COUNTIFS(請求記録!$B$6:$B$3005,$A244,請求記録!$X$6:$X$3005,Q$5)=0,"",SUMIFS(請求記録!$AC$6:$AC$3005,請求記録!$B$6:$B$3005,$A244,請求記録!$X$6:$X$3005,Q$5))))</f>
        <v/>
      </c>
      <c r="R244" s="19">
        <f>IF($A244="","",IF(COUNTIFS(請求記録!$B$6:$B$3005,$A244,請求記録!$X$6:$X$3005,R$5,請求記録!$AD$6:$AD$3005,"保留中")&gt;0,"保留",IF(COUNTIFS(請求記録!$B$6:$B$3005,$A244,請求記録!$X$6:$X$3005,R$5)=0,"",SUMIFS(請求記録!$AC$6:$AC$3005,請求記録!$B$6:$B$3005,$A244,請求記録!$X$6:$X$3005,R$5))))</f>
        <v/>
      </c>
      <c r="S244" s="19">
        <f>IF($A244="","",IF(COUNTIFS(請求記録!$B$6:$B$3005,$A244,請求記録!$X$6:$X$3005,S$5,請求記録!$AD$6:$AD$3005,"保留中")&gt;0,"保留",IF(COUNTIFS(請求記録!$B$6:$B$3005,$A244,請求記録!$X$6:$X$3005,S$5)=0,"",SUMIFS(請求記録!$AC$6:$AC$3005,請求記録!$B$6:$B$3005,$A244,請求記録!$X$6:$X$3005,S$5))))</f>
        <v/>
      </c>
      <c r="T244" s="19">
        <f>IF($A244="","",IF(COUNTIFS(請求記録!$B$6:$B$3005,$A244,請求記録!$X$6:$X$3005,T$5,請求記録!$AD$6:$AD$3005,"保留中")&gt;0,"保留",IF(COUNTIFS(請求記録!$B$6:$B$3005,$A244,請求記録!$X$6:$X$3005,T$5)=0,"",SUMIFS(請求記録!$AC$6:$AC$3005,請求記録!$B$6:$B$3005,$A244,請求記録!$X$6:$X$3005,T$5))))</f>
        <v/>
      </c>
      <c r="U244" s="19">
        <f>IF($A244="","",IF(COUNTIFS(請求記録!$B$6:$B$3005,$A244,請求記録!$X$6:$X$3005,U$5,請求記録!$AD$6:$AD$3005,"保留中")&gt;0,"保留",IF(COUNTIFS(請求記録!$B$6:$B$3005,$A244,請求記録!$X$6:$X$3005,U$5)=0,"",SUMIFS(請求記録!$AC$6:$AC$3005,請求記録!$B$6:$B$3005,$A244,請求記録!$X$6:$X$3005,U$5))))</f>
        <v/>
      </c>
      <c r="V244" s="19">
        <f>IF($A244="","",IF(COUNTIFS(請求記録!$B$6:$B$3005,$A244,請求記録!$X$6:$X$3005,V$5,請求記録!$AD$6:$AD$3005,"保留中")&gt;0,"保留",IF(COUNTIFS(請求記録!$B$6:$B$3005,$A244,請求記録!$X$6:$X$3005,V$5)=0,"",SUMIFS(請求記録!$AC$6:$AC$3005,請求記録!$B$6:$B$3005,$A244,請求記録!$X$6:$X$3005,V$5))))</f>
        <v/>
      </c>
      <c r="W244" s="19">
        <f>IF($A244="","",IF(COUNTIFS(請求記録!$B$6:$B$3005,$A244,請求記録!$X$6:$X$3005,W$5,請求記録!$AD$6:$AD$3005,"保留中")&gt;0,"保留",IF(COUNTIFS(請求記録!$B$6:$B$3005,$A244,請求記録!$X$6:$X$3005,W$5)=0,"",SUMIFS(請求記録!$AC$6:$AC$3005,請求記録!$B$6:$B$3005,$A244,請求記録!$X$6:$X$3005,W$5))))</f>
        <v/>
      </c>
      <c r="X244" s="19">
        <f>IF($A244="","",IF(COUNTIFS(請求記録!$B$6:$B$3005,$A244,請求記録!$X$6:$X$3005,X$5,請求記録!$AD$6:$AD$3005,"保留中")&gt;0,"保留",IF(COUNTIFS(請求記録!$B$6:$B$3005,$A244,請求記録!$X$6:$X$3005,X$5)=0,"",SUMIFS(請求記録!$AC$6:$AC$3005,請求記録!$B$6:$B$3005,$A244,請求記録!$X$6:$X$3005,X$5))))</f>
        <v/>
      </c>
      <c r="Y244" s="19">
        <f>IF($A244="","",IF(COUNTIFS(請求記録!$B$6:$B$3005,$A244,請求記録!$X$6:$X$3005,Y$5,請求記録!$AD$6:$AD$3005,"保留中")&gt;0,"保留",IF(COUNTIFS(請求記録!$B$6:$B$3005,$A244,請求記録!$X$6:$X$3005,Y$5)=0,"",SUMIFS(請求記録!$AC$6:$AC$3005,請求記録!$B$6:$B$3005,$A244,請求記録!$X$6:$X$3005,Y$5))))</f>
        <v/>
      </c>
      <c r="Z244" s="19">
        <f>IF($A244="","",IF(COUNTIFS(請求記録!$B$6:$B$3005,$A244,請求記録!$X$6:$X$3005,Z$5,請求記録!$AD$6:$AD$3005,"保留中")&gt;0,"保留",IF(COUNTIFS(請求記録!$B$6:$B$3005,$A244,請求記録!$X$6:$X$3005,Z$5)=0,"",SUMIFS(請求記録!$AC$6:$AC$3005,請求記録!$B$6:$B$3005,$A244,請求記録!$X$6:$X$3005,Z$5))))</f>
        <v/>
      </c>
      <c r="AA244" s="19">
        <f>IF($A244="","",IF(COUNTIFS(請求記録!$B$6:$B$3005,$A244,請求記録!$X$6:$X$3005,AA$5,請求記録!$AD$6:$AD$3005,"保留中")&gt;0,"保留",IF(COUNTIFS(請求記録!$B$6:$B$3005,$A244,請求記録!$X$6:$X$3005,AA$5)=0,"",SUMIFS(請求記録!$AC$6:$AC$3005,請求記録!$B$6:$B$3005,$A244,請求記録!$X$6:$X$3005,AA$5))))</f>
        <v/>
      </c>
      <c r="AB244">
        <f>IF(職員マスタ!P244="保留中",職員マスタ!M244,"")</f>
        <v/>
      </c>
    </row>
    <row r="245">
      <c r="A245">
        <f>IF(職員マスタ!A245="","",職員マスタ!A245)</f>
        <v/>
      </c>
      <c r="B245">
        <f>IF($A245="","",職員マスタ!B245)</f>
        <v/>
      </c>
      <c r="C245">
        <f>IF($A245="","",職員マスタ!C245)</f>
        <v/>
      </c>
      <c r="D245" s="19">
        <f>IF($A245="","",IF(COUNTIFS(請求記録!$B$6:$B$3005,$A245,請求記録!$X$6:$X$3005,D$5,請求記録!$AD$6:$AD$3005,"保留中")&gt;0,"保留",IF(COUNTIFS(請求記録!$B$6:$B$3005,$A245,請求記録!$X$6:$X$3005,D$5)=0,"",SUMIFS(請求記録!$AC$6:$AC$3005,請求記録!$B$6:$B$3005,$A245,請求記録!$X$6:$X$3005,D$5))))</f>
        <v/>
      </c>
      <c r="E245" s="19">
        <f>IF($A245="","",IF(COUNTIFS(請求記録!$B$6:$B$3005,$A245,請求記録!$X$6:$X$3005,E$5,請求記録!$AD$6:$AD$3005,"保留中")&gt;0,"保留",IF(COUNTIFS(請求記録!$B$6:$B$3005,$A245,請求記録!$X$6:$X$3005,E$5)=0,"",SUMIFS(請求記録!$AC$6:$AC$3005,請求記録!$B$6:$B$3005,$A245,請求記録!$X$6:$X$3005,E$5))))</f>
        <v/>
      </c>
      <c r="F245" s="19">
        <f>IF($A245="","",IF(COUNTIFS(請求記録!$B$6:$B$3005,$A245,請求記録!$X$6:$X$3005,F$5,請求記録!$AD$6:$AD$3005,"保留中")&gt;0,"保留",IF(COUNTIFS(請求記録!$B$6:$B$3005,$A245,請求記録!$X$6:$X$3005,F$5)=0,"",SUMIFS(請求記録!$AC$6:$AC$3005,請求記録!$B$6:$B$3005,$A245,請求記録!$X$6:$X$3005,F$5))))</f>
        <v/>
      </c>
      <c r="G245" s="19">
        <f>IF($A245="","",IF(COUNTIFS(請求記録!$B$6:$B$3005,$A245,請求記録!$X$6:$X$3005,G$5,請求記録!$AD$6:$AD$3005,"保留中")&gt;0,"保留",IF(COUNTIFS(請求記録!$B$6:$B$3005,$A245,請求記録!$X$6:$X$3005,G$5)=0,"",SUMIFS(請求記録!$AC$6:$AC$3005,請求記録!$B$6:$B$3005,$A245,請求記録!$X$6:$X$3005,G$5))))</f>
        <v/>
      </c>
      <c r="H245" s="19">
        <f>IF($A245="","",IF(COUNTIFS(請求記録!$B$6:$B$3005,$A245,請求記録!$X$6:$X$3005,H$5,請求記録!$AD$6:$AD$3005,"保留中")&gt;0,"保留",IF(COUNTIFS(請求記録!$B$6:$B$3005,$A245,請求記録!$X$6:$X$3005,H$5)=0,"",SUMIFS(請求記録!$AC$6:$AC$3005,請求記録!$B$6:$B$3005,$A245,請求記録!$X$6:$X$3005,H$5))))</f>
        <v/>
      </c>
      <c r="I245" s="19">
        <f>IF($A245="","",IF(COUNTIFS(請求記録!$B$6:$B$3005,$A245,請求記録!$X$6:$X$3005,I$5,請求記録!$AD$6:$AD$3005,"保留中")&gt;0,"保留",IF(COUNTIFS(請求記録!$B$6:$B$3005,$A245,請求記録!$X$6:$X$3005,I$5)=0,"",SUMIFS(請求記録!$AC$6:$AC$3005,請求記録!$B$6:$B$3005,$A245,請求記録!$X$6:$X$3005,I$5))))</f>
        <v/>
      </c>
      <c r="J245" s="19">
        <f>IF($A245="","",IF(COUNTIFS(請求記録!$B$6:$B$3005,$A245,請求記録!$X$6:$X$3005,J$5,請求記録!$AD$6:$AD$3005,"保留中")&gt;0,"保留",IF(COUNTIFS(請求記録!$B$6:$B$3005,$A245,請求記録!$X$6:$X$3005,J$5)=0,"",SUMIFS(請求記録!$AC$6:$AC$3005,請求記録!$B$6:$B$3005,$A245,請求記録!$X$6:$X$3005,J$5))))</f>
        <v/>
      </c>
      <c r="K245" s="19">
        <f>IF($A245="","",IF(COUNTIFS(請求記録!$B$6:$B$3005,$A245,請求記録!$X$6:$X$3005,K$5,請求記録!$AD$6:$AD$3005,"保留中")&gt;0,"保留",IF(COUNTIFS(請求記録!$B$6:$B$3005,$A245,請求記録!$X$6:$X$3005,K$5)=0,"",SUMIFS(請求記録!$AC$6:$AC$3005,請求記録!$B$6:$B$3005,$A245,請求記録!$X$6:$X$3005,K$5))))</f>
        <v/>
      </c>
      <c r="L245" s="19">
        <f>IF($A245="","",IF(COUNTIFS(請求記録!$B$6:$B$3005,$A245,請求記録!$X$6:$X$3005,L$5,請求記録!$AD$6:$AD$3005,"保留中")&gt;0,"保留",IF(COUNTIFS(請求記録!$B$6:$B$3005,$A245,請求記録!$X$6:$X$3005,L$5)=0,"",SUMIFS(請求記録!$AC$6:$AC$3005,請求記録!$B$6:$B$3005,$A245,請求記録!$X$6:$X$3005,L$5))))</f>
        <v/>
      </c>
      <c r="M245" s="19">
        <f>IF($A245="","",IF(COUNTIFS(請求記録!$B$6:$B$3005,$A245,請求記録!$X$6:$X$3005,M$5,請求記録!$AD$6:$AD$3005,"保留中")&gt;0,"保留",IF(COUNTIFS(請求記録!$B$6:$B$3005,$A245,請求記録!$X$6:$X$3005,M$5)=0,"",SUMIFS(請求記録!$AC$6:$AC$3005,請求記録!$B$6:$B$3005,$A245,請求記録!$X$6:$X$3005,M$5))))</f>
        <v/>
      </c>
      <c r="N245" s="19">
        <f>IF($A245="","",IF(COUNTIFS(請求記録!$B$6:$B$3005,$A245,請求記録!$X$6:$X$3005,N$5,請求記録!$AD$6:$AD$3005,"保留中")&gt;0,"保留",IF(COUNTIFS(請求記録!$B$6:$B$3005,$A245,請求記録!$X$6:$X$3005,N$5)=0,"",SUMIFS(請求記録!$AC$6:$AC$3005,請求記録!$B$6:$B$3005,$A245,請求記録!$X$6:$X$3005,N$5))))</f>
        <v/>
      </c>
      <c r="O245" s="19">
        <f>IF($A245="","",IF(COUNTIFS(請求記録!$B$6:$B$3005,$A245,請求記録!$X$6:$X$3005,O$5,請求記録!$AD$6:$AD$3005,"保留中")&gt;0,"保留",IF(COUNTIFS(請求記録!$B$6:$B$3005,$A245,請求記録!$X$6:$X$3005,O$5)=0,"",SUMIFS(請求記録!$AC$6:$AC$3005,請求記録!$B$6:$B$3005,$A245,請求記録!$X$6:$X$3005,O$5))))</f>
        <v/>
      </c>
      <c r="P245" s="19">
        <f>IF($A245="","",IF(COUNTIFS(請求記録!$B$6:$B$3005,$A245,請求記録!$X$6:$X$3005,P$5,請求記録!$AD$6:$AD$3005,"保留中")&gt;0,"保留",IF(COUNTIFS(請求記録!$B$6:$B$3005,$A245,請求記録!$X$6:$X$3005,P$5)=0,"",SUMIFS(請求記録!$AC$6:$AC$3005,請求記録!$B$6:$B$3005,$A245,請求記録!$X$6:$X$3005,P$5))))</f>
        <v/>
      </c>
      <c r="Q245" s="19">
        <f>IF($A245="","",IF(COUNTIFS(請求記録!$B$6:$B$3005,$A245,請求記録!$X$6:$X$3005,Q$5,請求記録!$AD$6:$AD$3005,"保留中")&gt;0,"保留",IF(COUNTIFS(請求記録!$B$6:$B$3005,$A245,請求記録!$X$6:$X$3005,Q$5)=0,"",SUMIFS(請求記録!$AC$6:$AC$3005,請求記録!$B$6:$B$3005,$A245,請求記録!$X$6:$X$3005,Q$5))))</f>
        <v/>
      </c>
      <c r="R245" s="19">
        <f>IF($A245="","",IF(COUNTIFS(請求記録!$B$6:$B$3005,$A245,請求記録!$X$6:$X$3005,R$5,請求記録!$AD$6:$AD$3005,"保留中")&gt;0,"保留",IF(COUNTIFS(請求記録!$B$6:$B$3005,$A245,請求記録!$X$6:$X$3005,R$5)=0,"",SUMIFS(請求記録!$AC$6:$AC$3005,請求記録!$B$6:$B$3005,$A245,請求記録!$X$6:$X$3005,R$5))))</f>
        <v/>
      </c>
      <c r="S245" s="19">
        <f>IF($A245="","",IF(COUNTIFS(請求記録!$B$6:$B$3005,$A245,請求記録!$X$6:$X$3005,S$5,請求記録!$AD$6:$AD$3005,"保留中")&gt;0,"保留",IF(COUNTIFS(請求記録!$B$6:$B$3005,$A245,請求記録!$X$6:$X$3005,S$5)=0,"",SUMIFS(請求記録!$AC$6:$AC$3005,請求記録!$B$6:$B$3005,$A245,請求記録!$X$6:$X$3005,S$5))))</f>
        <v/>
      </c>
      <c r="T245" s="19">
        <f>IF($A245="","",IF(COUNTIFS(請求記録!$B$6:$B$3005,$A245,請求記録!$X$6:$X$3005,T$5,請求記録!$AD$6:$AD$3005,"保留中")&gt;0,"保留",IF(COUNTIFS(請求記録!$B$6:$B$3005,$A245,請求記録!$X$6:$X$3005,T$5)=0,"",SUMIFS(請求記録!$AC$6:$AC$3005,請求記録!$B$6:$B$3005,$A245,請求記録!$X$6:$X$3005,T$5))))</f>
        <v/>
      </c>
      <c r="U245" s="19">
        <f>IF($A245="","",IF(COUNTIFS(請求記録!$B$6:$B$3005,$A245,請求記録!$X$6:$X$3005,U$5,請求記録!$AD$6:$AD$3005,"保留中")&gt;0,"保留",IF(COUNTIFS(請求記録!$B$6:$B$3005,$A245,請求記録!$X$6:$X$3005,U$5)=0,"",SUMIFS(請求記録!$AC$6:$AC$3005,請求記録!$B$6:$B$3005,$A245,請求記録!$X$6:$X$3005,U$5))))</f>
        <v/>
      </c>
      <c r="V245" s="19">
        <f>IF($A245="","",IF(COUNTIFS(請求記録!$B$6:$B$3005,$A245,請求記録!$X$6:$X$3005,V$5,請求記録!$AD$6:$AD$3005,"保留中")&gt;0,"保留",IF(COUNTIFS(請求記録!$B$6:$B$3005,$A245,請求記録!$X$6:$X$3005,V$5)=0,"",SUMIFS(請求記録!$AC$6:$AC$3005,請求記録!$B$6:$B$3005,$A245,請求記録!$X$6:$X$3005,V$5))))</f>
        <v/>
      </c>
      <c r="W245" s="19">
        <f>IF($A245="","",IF(COUNTIFS(請求記録!$B$6:$B$3005,$A245,請求記録!$X$6:$X$3005,W$5,請求記録!$AD$6:$AD$3005,"保留中")&gt;0,"保留",IF(COUNTIFS(請求記録!$B$6:$B$3005,$A245,請求記録!$X$6:$X$3005,W$5)=0,"",SUMIFS(請求記録!$AC$6:$AC$3005,請求記録!$B$6:$B$3005,$A245,請求記録!$X$6:$X$3005,W$5))))</f>
        <v/>
      </c>
      <c r="X245" s="19">
        <f>IF($A245="","",IF(COUNTIFS(請求記録!$B$6:$B$3005,$A245,請求記録!$X$6:$X$3005,X$5,請求記録!$AD$6:$AD$3005,"保留中")&gt;0,"保留",IF(COUNTIFS(請求記録!$B$6:$B$3005,$A245,請求記録!$X$6:$X$3005,X$5)=0,"",SUMIFS(請求記録!$AC$6:$AC$3005,請求記録!$B$6:$B$3005,$A245,請求記録!$X$6:$X$3005,X$5))))</f>
        <v/>
      </c>
      <c r="Y245" s="19">
        <f>IF($A245="","",IF(COUNTIFS(請求記録!$B$6:$B$3005,$A245,請求記録!$X$6:$X$3005,Y$5,請求記録!$AD$6:$AD$3005,"保留中")&gt;0,"保留",IF(COUNTIFS(請求記録!$B$6:$B$3005,$A245,請求記録!$X$6:$X$3005,Y$5)=0,"",SUMIFS(請求記録!$AC$6:$AC$3005,請求記録!$B$6:$B$3005,$A245,請求記録!$X$6:$X$3005,Y$5))))</f>
        <v/>
      </c>
      <c r="Z245" s="19">
        <f>IF($A245="","",IF(COUNTIFS(請求記録!$B$6:$B$3005,$A245,請求記録!$X$6:$X$3005,Z$5,請求記録!$AD$6:$AD$3005,"保留中")&gt;0,"保留",IF(COUNTIFS(請求記録!$B$6:$B$3005,$A245,請求記録!$X$6:$X$3005,Z$5)=0,"",SUMIFS(請求記録!$AC$6:$AC$3005,請求記録!$B$6:$B$3005,$A245,請求記録!$X$6:$X$3005,Z$5))))</f>
        <v/>
      </c>
      <c r="AA245" s="19">
        <f>IF($A245="","",IF(COUNTIFS(請求記録!$B$6:$B$3005,$A245,請求記録!$X$6:$X$3005,AA$5,請求記録!$AD$6:$AD$3005,"保留中")&gt;0,"保留",IF(COUNTIFS(請求記録!$B$6:$B$3005,$A245,請求記録!$X$6:$X$3005,AA$5)=0,"",SUMIFS(請求記録!$AC$6:$AC$3005,請求記録!$B$6:$B$3005,$A245,請求記録!$X$6:$X$3005,AA$5))))</f>
        <v/>
      </c>
      <c r="AB245">
        <f>IF(職員マスタ!P245="保留中",職員マスタ!M245,"")</f>
        <v/>
      </c>
    </row>
    <row r="246">
      <c r="A246">
        <f>IF(職員マスタ!A246="","",職員マスタ!A246)</f>
        <v/>
      </c>
      <c r="B246">
        <f>IF($A246="","",職員マスタ!B246)</f>
        <v/>
      </c>
      <c r="C246">
        <f>IF($A246="","",職員マスタ!C246)</f>
        <v/>
      </c>
      <c r="D246" s="19">
        <f>IF($A246="","",IF(COUNTIFS(請求記録!$B$6:$B$3005,$A246,請求記録!$X$6:$X$3005,D$5,請求記録!$AD$6:$AD$3005,"保留中")&gt;0,"保留",IF(COUNTIFS(請求記録!$B$6:$B$3005,$A246,請求記録!$X$6:$X$3005,D$5)=0,"",SUMIFS(請求記録!$AC$6:$AC$3005,請求記録!$B$6:$B$3005,$A246,請求記録!$X$6:$X$3005,D$5))))</f>
        <v/>
      </c>
      <c r="E246" s="19">
        <f>IF($A246="","",IF(COUNTIFS(請求記録!$B$6:$B$3005,$A246,請求記録!$X$6:$X$3005,E$5,請求記録!$AD$6:$AD$3005,"保留中")&gt;0,"保留",IF(COUNTIFS(請求記録!$B$6:$B$3005,$A246,請求記録!$X$6:$X$3005,E$5)=0,"",SUMIFS(請求記録!$AC$6:$AC$3005,請求記録!$B$6:$B$3005,$A246,請求記録!$X$6:$X$3005,E$5))))</f>
        <v/>
      </c>
      <c r="F246" s="19">
        <f>IF($A246="","",IF(COUNTIFS(請求記録!$B$6:$B$3005,$A246,請求記録!$X$6:$X$3005,F$5,請求記録!$AD$6:$AD$3005,"保留中")&gt;0,"保留",IF(COUNTIFS(請求記録!$B$6:$B$3005,$A246,請求記録!$X$6:$X$3005,F$5)=0,"",SUMIFS(請求記録!$AC$6:$AC$3005,請求記録!$B$6:$B$3005,$A246,請求記録!$X$6:$X$3005,F$5))))</f>
        <v/>
      </c>
      <c r="G246" s="19">
        <f>IF($A246="","",IF(COUNTIFS(請求記録!$B$6:$B$3005,$A246,請求記録!$X$6:$X$3005,G$5,請求記録!$AD$6:$AD$3005,"保留中")&gt;0,"保留",IF(COUNTIFS(請求記録!$B$6:$B$3005,$A246,請求記録!$X$6:$X$3005,G$5)=0,"",SUMIFS(請求記録!$AC$6:$AC$3005,請求記録!$B$6:$B$3005,$A246,請求記録!$X$6:$X$3005,G$5))))</f>
        <v/>
      </c>
      <c r="H246" s="19">
        <f>IF($A246="","",IF(COUNTIFS(請求記録!$B$6:$B$3005,$A246,請求記録!$X$6:$X$3005,H$5,請求記録!$AD$6:$AD$3005,"保留中")&gt;0,"保留",IF(COUNTIFS(請求記録!$B$6:$B$3005,$A246,請求記録!$X$6:$X$3005,H$5)=0,"",SUMIFS(請求記録!$AC$6:$AC$3005,請求記録!$B$6:$B$3005,$A246,請求記録!$X$6:$X$3005,H$5))))</f>
        <v/>
      </c>
      <c r="I246" s="19">
        <f>IF($A246="","",IF(COUNTIFS(請求記録!$B$6:$B$3005,$A246,請求記録!$X$6:$X$3005,I$5,請求記録!$AD$6:$AD$3005,"保留中")&gt;0,"保留",IF(COUNTIFS(請求記録!$B$6:$B$3005,$A246,請求記録!$X$6:$X$3005,I$5)=0,"",SUMIFS(請求記録!$AC$6:$AC$3005,請求記録!$B$6:$B$3005,$A246,請求記録!$X$6:$X$3005,I$5))))</f>
        <v/>
      </c>
      <c r="J246" s="19">
        <f>IF($A246="","",IF(COUNTIFS(請求記録!$B$6:$B$3005,$A246,請求記録!$X$6:$X$3005,J$5,請求記録!$AD$6:$AD$3005,"保留中")&gt;0,"保留",IF(COUNTIFS(請求記録!$B$6:$B$3005,$A246,請求記録!$X$6:$X$3005,J$5)=0,"",SUMIFS(請求記録!$AC$6:$AC$3005,請求記録!$B$6:$B$3005,$A246,請求記録!$X$6:$X$3005,J$5))))</f>
        <v/>
      </c>
      <c r="K246" s="19">
        <f>IF($A246="","",IF(COUNTIFS(請求記録!$B$6:$B$3005,$A246,請求記録!$X$6:$X$3005,K$5,請求記録!$AD$6:$AD$3005,"保留中")&gt;0,"保留",IF(COUNTIFS(請求記録!$B$6:$B$3005,$A246,請求記録!$X$6:$X$3005,K$5)=0,"",SUMIFS(請求記録!$AC$6:$AC$3005,請求記録!$B$6:$B$3005,$A246,請求記録!$X$6:$X$3005,K$5))))</f>
        <v/>
      </c>
      <c r="L246" s="19">
        <f>IF($A246="","",IF(COUNTIFS(請求記録!$B$6:$B$3005,$A246,請求記録!$X$6:$X$3005,L$5,請求記録!$AD$6:$AD$3005,"保留中")&gt;0,"保留",IF(COUNTIFS(請求記録!$B$6:$B$3005,$A246,請求記録!$X$6:$X$3005,L$5)=0,"",SUMIFS(請求記録!$AC$6:$AC$3005,請求記録!$B$6:$B$3005,$A246,請求記録!$X$6:$X$3005,L$5))))</f>
        <v/>
      </c>
      <c r="M246" s="19">
        <f>IF($A246="","",IF(COUNTIFS(請求記録!$B$6:$B$3005,$A246,請求記録!$X$6:$X$3005,M$5,請求記録!$AD$6:$AD$3005,"保留中")&gt;0,"保留",IF(COUNTIFS(請求記録!$B$6:$B$3005,$A246,請求記録!$X$6:$X$3005,M$5)=0,"",SUMIFS(請求記録!$AC$6:$AC$3005,請求記録!$B$6:$B$3005,$A246,請求記録!$X$6:$X$3005,M$5))))</f>
        <v/>
      </c>
      <c r="N246" s="19">
        <f>IF($A246="","",IF(COUNTIFS(請求記録!$B$6:$B$3005,$A246,請求記録!$X$6:$X$3005,N$5,請求記録!$AD$6:$AD$3005,"保留中")&gt;0,"保留",IF(COUNTIFS(請求記録!$B$6:$B$3005,$A246,請求記録!$X$6:$X$3005,N$5)=0,"",SUMIFS(請求記録!$AC$6:$AC$3005,請求記録!$B$6:$B$3005,$A246,請求記録!$X$6:$X$3005,N$5))))</f>
        <v/>
      </c>
      <c r="O246" s="19">
        <f>IF($A246="","",IF(COUNTIFS(請求記録!$B$6:$B$3005,$A246,請求記録!$X$6:$X$3005,O$5,請求記録!$AD$6:$AD$3005,"保留中")&gt;0,"保留",IF(COUNTIFS(請求記録!$B$6:$B$3005,$A246,請求記録!$X$6:$X$3005,O$5)=0,"",SUMIFS(請求記録!$AC$6:$AC$3005,請求記録!$B$6:$B$3005,$A246,請求記録!$X$6:$X$3005,O$5))))</f>
        <v/>
      </c>
      <c r="P246" s="19">
        <f>IF($A246="","",IF(COUNTIFS(請求記録!$B$6:$B$3005,$A246,請求記録!$X$6:$X$3005,P$5,請求記録!$AD$6:$AD$3005,"保留中")&gt;0,"保留",IF(COUNTIFS(請求記録!$B$6:$B$3005,$A246,請求記録!$X$6:$X$3005,P$5)=0,"",SUMIFS(請求記録!$AC$6:$AC$3005,請求記録!$B$6:$B$3005,$A246,請求記録!$X$6:$X$3005,P$5))))</f>
        <v/>
      </c>
      <c r="Q246" s="19">
        <f>IF($A246="","",IF(COUNTIFS(請求記録!$B$6:$B$3005,$A246,請求記録!$X$6:$X$3005,Q$5,請求記録!$AD$6:$AD$3005,"保留中")&gt;0,"保留",IF(COUNTIFS(請求記録!$B$6:$B$3005,$A246,請求記録!$X$6:$X$3005,Q$5)=0,"",SUMIFS(請求記録!$AC$6:$AC$3005,請求記録!$B$6:$B$3005,$A246,請求記録!$X$6:$X$3005,Q$5))))</f>
        <v/>
      </c>
      <c r="R246" s="19">
        <f>IF($A246="","",IF(COUNTIFS(請求記録!$B$6:$B$3005,$A246,請求記録!$X$6:$X$3005,R$5,請求記録!$AD$6:$AD$3005,"保留中")&gt;0,"保留",IF(COUNTIFS(請求記録!$B$6:$B$3005,$A246,請求記録!$X$6:$X$3005,R$5)=0,"",SUMIFS(請求記録!$AC$6:$AC$3005,請求記録!$B$6:$B$3005,$A246,請求記録!$X$6:$X$3005,R$5))))</f>
        <v/>
      </c>
      <c r="S246" s="19">
        <f>IF($A246="","",IF(COUNTIFS(請求記録!$B$6:$B$3005,$A246,請求記録!$X$6:$X$3005,S$5,請求記録!$AD$6:$AD$3005,"保留中")&gt;0,"保留",IF(COUNTIFS(請求記録!$B$6:$B$3005,$A246,請求記録!$X$6:$X$3005,S$5)=0,"",SUMIFS(請求記録!$AC$6:$AC$3005,請求記録!$B$6:$B$3005,$A246,請求記録!$X$6:$X$3005,S$5))))</f>
        <v/>
      </c>
      <c r="T246" s="19">
        <f>IF($A246="","",IF(COUNTIFS(請求記録!$B$6:$B$3005,$A246,請求記録!$X$6:$X$3005,T$5,請求記録!$AD$6:$AD$3005,"保留中")&gt;0,"保留",IF(COUNTIFS(請求記録!$B$6:$B$3005,$A246,請求記録!$X$6:$X$3005,T$5)=0,"",SUMIFS(請求記録!$AC$6:$AC$3005,請求記録!$B$6:$B$3005,$A246,請求記録!$X$6:$X$3005,T$5))))</f>
        <v/>
      </c>
      <c r="U246" s="19">
        <f>IF($A246="","",IF(COUNTIFS(請求記録!$B$6:$B$3005,$A246,請求記録!$X$6:$X$3005,U$5,請求記録!$AD$6:$AD$3005,"保留中")&gt;0,"保留",IF(COUNTIFS(請求記録!$B$6:$B$3005,$A246,請求記録!$X$6:$X$3005,U$5)=0,"",SUMIFS(請求記録!$AC$6:$AC$3005,請求記録!$B$6:$B$3005,$A246,請求記録!$X$6:$X$3005,U$5))))</f>
        <v/>
      </c>
      <c r="V246" s="19">
        <f>IF($A246="","",IF(COUNTIFS(請求記録!$B$6:$B$3005,$A246,請求記録!$X$6:$X$3005,V$5,請求記録!$AD$6:$AD$3005,"保留中")&gt;0,"保留",IF(COUNTIFS(請求記録!$B$6:$B$3005,$A246,請求記録!$X$6:$X$3005,V$5)=0,"",SUMIFS(請求記録!$AC$6:$AC$3005,請求記録!$B$6:$B$3005,$A246,請求記録!$X$6:$X$3005,V$5))))</f>
        <v/>
      </c>
      <c r="W246" s="19">
        <f>IF($A246="","",IF(COUNTIFS(請求記録!$B$6:$B$3005,$A246,請求記録!$X$6:$X$3005,W$5,請求記録!$AD$6:$AD$3005,"保留中")&gt;0,"保留",IF(COUNTIFS(請求記録!$B$6:$B$3005,$A246,請求記録!$X$6:$X$3005,W$5)=0,"",SUMIFS(請求記録!$AC$6:$AC$3005,請求記録!$B$6:$B$3005,$A246,請求記録!$X$6:$X$3005,W$5))))</f>
        <v/>
      </c>
      <c r="X246" s="19">
        <f>IF($A246="","",IF(COUNTIFS(請求記録!$B$6:$B$3005,$A246,請求記録!$X$6:$X$3005,X$5,請求記録!$AD$6:$AD$3005,"保留中")&gt;0,"保留",IF(COUNTIFS(請求記録!$B$6:$B$3005,$A246,請求記録!$X$6:$X$3005,X$5)=0,"",SUMIFS(請求記録!$AC$6:$AC$3005,請求記録!$B$6:$B$3005,$A246,請求記録!$X$6:$X$3005,X$5))))</f>
        <v/>
      </c>
      <c r="Y246" s="19">
        <f>IF($A246="","",IF(COUNTIFS(請求記録!$B$6:$B$3005,$A246,請求記録!$X$6:$X$3005,Y$5,請求記録!$AD$6:$AD$3005,"保留中")&gt;0,"保留",IF(COUNTIFS(請求記録!$B$6:$B$3005,$A246,請求記録!$X$6:$X$3005,Y$5)=0,"",SUMIFS(請求記録!$AC$6:$AC$3005,請求記録!$B$6:$B$3005,$A246,請求記録!$X$6:$X$3005,Y$5))))</f>
        <v/>
      </c>
      <c r="Z246" s="19">
        <f>IF($A246="","",IF(COUNTIFS(請求記録!$B$6:$B$3005,$A246,請求記録!$X$6:$X$3005,Z$5,請求記録!$AD$6:$AD$3005,"保留中")&gt;0,"保留",IF(COUNTIFS(請求記録!$B$6:$B$3005,$A246,請求記録!$X$6:$X$3005,Z$5)=0,"",SUMIFS(請求記録!$AC$6:$AC$3005,請求記録!$B$6:$B$3005,$A246,請求記録!$X$6:$X$3005,Z$5))))</f>
        <v/>
      </c>
      <c r="AA246" s="19">
        <f>IF($A246="","",IF(COUNTIFS(請求記録!$B$6:$B$3005,$A246,請求記録!$X$6:$X$3005,AA$5,請求記録!$AD$6:$AD$3005,"保留中")&gt;0,"保留",IF(COUNTIFS(請求記録!$B$6:$B$3005,$A246,請求記録!$X$6:$X$3005,AA$5)=0,"",SUMIFS(請求記録!$AC$6:$AC$3005,請求記録!$B$6:$B$3005,$A246,請求記録!$X$6:$X$3005,AA$5))))</f>
        <v/>
      </c>
      <c r="AB246">
        <f>IF(職員マスタ!P246="保留中",職員マスタ!M246,"")</f>
        <v/>
      </c>
    </row>
    <row r="247">
      <c r="A247">
        <f>IF(職員マスタ!A247="","",職員マスタ!A247)</f>
        <v/>
      </c>
      <c r="B247">
        <f>IF($A247="","",職員マスタ!B247)</f>
        <v/>
      </c>
      <c r="C247">
        <f>IF($A247="","",職員マスタ!C247)</f>
        <v/>
      </c>
      <c r="D247" s="19">
        <f>IF($A247="","",IF(COUNTIFS(請求記録!$B$6:$B$3005,$A247,請求記録!$X$6:$X$3005,D$5,請求記録!$AD$6:$AD$3005,"保留中")&gt;0,"保留",IF(COUNTIFS(請求記録!$B$6:$B$3005,$A247,請求記録!$X$6:$X$3005,D$5)=0,"",SUMIFS(請求記録!$AC$6:$AC$3005,請求記録!$B$6:$B$3005,$A247,請求記録!$X$6:$X$3005,D$5))))</f>
        <v/>
      </c>
      <c r="E247" s="19">
        <f>IF($A247="","",IF(COUNTIFS(請求記録!$B$6:$B$3005,$A247,請求記録!$X$6:$X$3005,E$5,請求記録!$AD$6:$AD$3005,"保留中")&gt;0,"保留",IF(COUNTIFS(請求記録!$B$6:$B$3005,$A247,請求記録!$X$6:$X$3005,E$5)=0,"",SUMIFS(請求記録!$AC$6:$AC$3005,請求記録!$B$6:$B$3005,$A247,請求記録!$X$6:$X$3005,E$5))))</f>
        <v/>
      </c>
      <c r="F247" s="19">
        <f>IF($A247="","",IF(COUNTIFS(請求記録!$B$6:$B$3005,$A247,請求記録!$X$6:$X$3005,F$5,請求記録!$AD$6:$AD$3005,"保留中")&gt;0,"保留",IF(COUNTIFS(請求記録!$B$6:$B$3005,$A247,請求記録!$X$6:$X$3005,F$5)=0,"",SUMIFS(請求記録!$AC$6:$AC$3005,請求記録!$B$6:$B$3005,$A247,請求記録!$X$6:$X$3005,F$5))))</f>
        <v/>
      </c>
      <c r="G247" s="19">
        <f>IF($A247="","",IF(COUNTIFS(請求記録!$B$6:$B$3005,$A247,請求記録!$X$6:$X$3005,G$5,請求記録!$AD$6:$AD$3005,"保留中")&gt;0,"保留",IF(COUNTIFS(請求記録!$B$6:$B$3005,$A247,請求記録!$X$6:$X$3005,G$5)=0,"",SUMIFS(請求記録!$AC$6:$AC$3005,請求記録!$B$6:$B$3005,$A247,請求記録!$X$6:$X$3005,G$5))))</f>
        <v/>
      </c>
      <c r="H247" s="19">
        <f>IF($A247="","",IF(COUNTIFS(請求記録!$B$6:$B$3005,$A247,請求記録!$X$6:$X$3005,H$5,請求記録!$AD$6:$AD$3005,"保留中")&gt;0,"保留",IF(COUNTIFS(請求記録!$B$6:$B$3005,$A247,請求記録!$X$6:$X$3005,H$5)=0,"",SUMIFS(請求記録!$AC$6:$AC$3005,請求記録!$B$6:$B$3005,$A247,請求記録!$X$6:$X$3005,H$5))))</f>
        <v/>
      </c>
      <c r="I247" s="19">
        <f>IF($A247="","",IF(COUNTIFS(請求記録!$B$6:$B$3005,$A247,請求記録!$X$6:$X$3005,I$5,請求記録!$AD$6:$AD$3005,"保留中")&gt;0,"保留",IF(COUNTIFS(請求記録!$B$6:$B$3005,$A247,請求記録!$X$6:$X$3005,I$5)=0,"",SUMIFS(請求記録!$AC$6:$AC$3005,請求記録!$B$6:$B$3005,$A247,請求記録!$X$6:$X$3005,I$5))))</f>
        <v/>
      </c>
      <c r="J247" s="19">
        <f>IF($A247="","",IF(COUNTIFS(請求記録!$B$6:$B$3005,$A247,請求記録!$X$6:$X$3005,J$5,請求記録!$AD$6:$AD$3005,"保留中")&gt;0,"保留",IF(COUNTIFS(請求記録!$B$6:$B$3005,$A247,請求記録!$X$6:$X$3005,J$5)=0,"",SUMIFS(請求記録!$AC$6:$AC$3005,請求記録!$B$6:$B$3005,$A247,請求記録!$X$6:$X$3005,J$5))))</f>
        <v/>
      </c>
      <c r="K247" s="19">
        <f>IF($A247="","",IF(COUNTIFS(請求記録!$B$6:$B$3005,$A247,請求記録!$X$6:$X$3005,K$5,請求記録!$AD$6:$AD$3005,"保留中")&gt;0,"保留",IF(COUNTIFS(請求記録!$B$6:$B$3005,$A247,請求記録!$X$6:$X$3005,K$5)=0,"",SUMIFS(請求記録!$AC$6:$AC$3005,請求記録!$B$6:$B$3005,$A247,請求記録!$X$6:$X$3005,K$5))))</f>
        <v/>
      </c>
      <c r="L247" s="19">
        <f>IF($A247="","",IF(COUNTIFS(請求記録!$B$6:$B$3005,$A247,請求記録!$X$6:$X$3005,L$5,請求記録!$AD$6:$AD$3005,"保留中")&gt;0,"保留",IF(COUNTIFS(請求記録!$B$6:$B$3005,$A247,請求記録!$X$6:$X$3005,L$5)=0,"",SUMIFS(請求記録!$AC$6:$AC$3005,請求記録!$B$6:$B$3005,$A247,請求記録!$X$6:$X$3005,L$5))))</f>
        <v/>
      </c>
      <c r="M247" s="19">
        <f>IF($A247="","",IF(COUNTIFS(請求記録!$B$6:$B$3005,$A247,請求記録!$X$6:$X$3005,M$5,請求記録!$AD$6:$AD$3005,"保留中")&gt;0,"保留",IF(COUNTIFS(請求記録!$B$6:$B$3005,$A247,請求記録!$X$6:$X$3005,M$5)=0,"",SUMIFS(請求記録!$AC$6:$AC$3005,請求記録!$B$6:$B$3005,$A247,請求記録!$X$6:$X$3005,M$5))))</f>
        <v/>
      </c>
      <c r="N247" s="19">
        <f>IF($A247="","",IF(COUNTIFS(請求記録!$B$6:$B$3005,$A247,請求記録!$X$6:$X$3005,N$5,請求記録!$AD$6:$AD$3005,"保留中")&gt;0,"保留",IF(COUNTIFS(請求記録!$B$6:$B$3005,$A247,請求記録!$X$6:$X$3005,N$5)=0,"",SUMIFS(請求記録!$AC$6:$AC$3005,請求記録!$B$6:$B$3005,$A247,請求記録!$X$6:$X$3005,N$5))))</f>
        <v/>
      </c>
      <c r="O247" s="19">
        <f>IF($A247="","",IF(COUNTIFS(請求記録!$B$6:$B$3005,$A247,請求記録!$X$6:$X$3005,O$5,請求記録!$AD$6:$AD$3005,"保留中")&gt;0,"保留",IF(COUNTIFS(請求記録!$B$6:$B$3005,$A247,請求記録!$X$6:$X$3005,O$5)=0,"",SUMIFS(請求記録!$AC$6:$AC$3005,請求記録!$B$6:$B$3005,$A247,請求記録!$X$6:$X$3005,O$5))))</f>
        <v/>
      </c>
      <c r="P247" s="19">
        <f>IF($A247="","",IF(COUNTIFS(請求記録!$B$6:$B$3005,$A247,請求記録!$X$6:$X$3005,P$5,請求記録!$AD$6:$AD$3005,"保留中")&gt;0,"保留",IF(COUNTIFS(請求記録!$B$6:$B$3005,$A247,請求記録!$X$6:$X$3005,P$5)=0,"",SUMIFS(請求記録!$AC$6:$AC$3005,請求記録!$B$6:$B$3005,$A247,請求記録!$X$6:$X$3005,P$5))))</f>
        <v/>
      </c>
      <c r="Q247" s="19">
        <f>IF($A247="","",IF(COUNTIFS(請求記録!$B$6:$B$3005,$A247,請求記録!$X$6:$X$3005,Q$5,請求記録!$AD$6:$AD$3005,"保留中")&gt;0,"保留",IF(COUNTIFS(請求記録!$B$6:$B$3005,$A247,請求記録!$X$6:$X$3005,Q$5)=0,"",SUMIFS(請求記録!$AC$6:$AC$3005,請求記録!$B$6:$B$3005,$A247,請求記録!$X$6:$X$3005,Q$5))))</f>
        <v/>
      </c>
      <c r="R247" s="19">
        <f>IF($A247="","",IF(COUNTIFS(請求記録!$B$6:$B$3005,$A247,請求記録!$X$6:$X$3005,R$5,請求記録!$AD$6:$AD$3005,"保留中")&gt;0,"保留",IF(COUNTIFS(請求記録!$B$6:$B$3005,$A247,請求記録!$X$6:$X$3005,R$5)=0,"",SUMIFS(請求記録!$AC$6:$AC$3005,請求記録!$B$6:$B$3005,$A247,請求記録!$X$6:$X$3005,R$5))))</f>
        <v/>
      </c>
      <c r="S247" s="19">
        <f>IF($A247="","",IF(COUNTIFS(請求記録!$B$6:$B$3005,$A247,請求記録!$X$6:$X$3005,S$5,請求記録!$AD$6:$AD$3005,"保留中")&gt;0,"保留",IF(COUNTIFS(請求記録!$B$6:$B$3005,$A247,請求記録!$X$6:$X$3005,S$5)=0,"",SUMIFS(請求記録!$AC$6:$AC$3005,請求記録!$B$6:$B$3005,$A247,請求記録!$X$6:$X$3005,S$5))))</f>
        <v/>
      </c>
      <c r="T247" s="19">
        <f>IF($A247="","",IF(COUNTIFS(請求記録!$B$6:$B$3005,$A247,請求記録!$X$6:$X$3005,T$5,請求記録!$AD$6:$AD$3005,"保留中")&gt;0,"保留",IF(COUNTIFS(請求記録!$B$6:$B$3005,$A247,請求記録!$X$6:$X$3005,T$5)=0,"",SUMIFS(請求記録!$AC$6:$AC$3005,請求記録!$B$6:$B$3005,$A247,請求記録!$X$6:$X$3005,T$5))))</f>
        <v/>
      </c>
      <c r="U247" s="19">
        <f>IF($A247="","",IF(COUNTIFS(請求記録!$B$6:$B$3005,$A247,請求記録!$X$6:$X$3005,U$5,請求記録!$AD$6:$AD$3005,"保留中")&gt;0,"保留",IF(COUNTIFS(請求記録!$B$6:$B$3005,$A247,請求記録!$X$6:$X$3005,U$5)=0,"",SUMIFS(請求記録!$AC$6:$AC$3005,請求記録!$B$6:$B$3005,$A247,請求記録!$X$6:$X$3005,U$5))))</f>
        <v/>
      </c>
      <c r="V247" s="19">
        <f>IF($A247="","",IF(COUNTIFS(請求記録!$B$6:$B$3005,$A247,請求記録!$X$6:$X$3005,V$5,請求記録!$AD$6:$AD$3005,"保留中")&gt;0,"保留",IF(COUNTIFS(請求記録!$B$6:$B$3005,$A247,請求記録!$X$6:$X$3005,V$5)=0,"",SUMIFS(請求記録!$AC$6:$AC$3005,請求記録!$B$6:$B$3005,$A247,請求記録!$X$6:$X$3005,V$5))))</f>
        <v/>
      </c>
      <c r="W247" s="19">
        <f>IF($A247="","",IF(COUNTIFS(請求記録!$B$6:$B$3005,$A247,請求記録!$X$6:$X$3005,W$5,請求記録!$AD$6:$AD$3005,"保留中")&gt;0,"保留",IF(COUNTIFS(請求記録!$B$6:$B$3005,$A247,請求記録!$X$6:$X$3005,W$5)=0,"",SUMIFS(請求記録!$AC$6:$AC$3005,請求記録!$B$6:$B$3005,$A247,請求記録!$X$6:$X$3005,W$5))))</f>
        <v/>
      </c>
      <c r="X247" s="19">
        <f>IF($A247="","",IF(COUNTIFS(請求記録!$B$6:$B$3005,$A247,請求記録!$X$6:$X$3005,X$5,請求記録!$AD$6:$AD$3005,"保留中")&gt;0,"保留",IF(COUNTIFS(請求記録!$B$6:$B$3005,$A247,請求記録!$X$6:$X$3005,X$5)=0,"",SUMIFS(請求記録!$AC$6:$AC$3005,請求記録!$B$6:$B$3005,$A247,請求記録!$X$6:$X$3005,X$5))))</f>
        <v/>
      </c>
      <c r="Y247" s="19">
        <f>IF($A247="","",IF(COUNTIFS(請求記録!$B$6:$B$3005,$A247,請求記録!$X$6:$X$3005,Y$5,請求記録!$AD$6:$AD$3005,"保留中")&gt;0,"保留",IF(COUNTIFS(請求記録!$B$6:$B$3005,$A247,請求記録!$X$6:$X$3005,Y$5)=0,"",SUMIFS(請求記録!$AC$6:$AC$3005,請求記録!$B$6:$B$3005,$A247,請求記録!$X$6:$X$3005,Y$5))))</f>
        <v/>
      </c>
      <c r="Z247" s="19">
        <f>IF($A247="","",IF(COUNTIFS(請求記録!$B$6:$B$3005,$A247,請求記録!$X$6:$X$3005,Z$5,請求記録!$AD$6:$AD$3005,"保留中")&gt;0,"保留",IF(COUNTIFS(請求記録!$B$6:$B$3005,$A247,請求記録!$X$6:$X$3005,Z$5)=0,"",SUMIFS(請求記録!$AC$6:$AC$3005,請求記録!$B$6:$B$3005,$A247,請求記録!$X$6:$X$3005,Z$5))))</f>
        <v/>
      </c>
      <c r="AA247" s="19">
        <f>IF($A247="","",IF(COUNTIFS(請求記録!$B$6:$B$3005,$A247,請求記録!$X$6:$X$3005,AA$5,請求記録!$AD$6:$AD$3005,"保留中")&gt;0,"保留",IF(COUNTIFS(請求記録!$B$6:$B$3005,$A247,請求記録!$X$6:$X$3005,AA$5)=0,"",SUMIFS(請求記録!$AC$6:$AC$3005,請求記録!$B$6:$B$3005,$A247,請求記録!$X$6:$X$3005,AA$5))))</f>
        <v/>
      </c>
      <c r="AB247">
        <f>IF(職員マスタ!P247="保留中",職員マスタ!M247,"")</f>
        <v/>
      </c>
    </row>
    <row r="248">
      <c r="A248">
        <f>IF(職員マスタ!A248="","",職員マスタ!A248)</f>
        <v/>
      </c>
      <c r="B248">
        <f>IF($A248="","",職員マスタ!B248)</f>
        <v/>
      </c>
      <c r="C248">
        <f>IF($A248="","",職員マスタ!C248)</f>
        <v/>
      </c>
      <c r="D248" s="19">
        <f>IF($A248="","",IF(COUNTIFS(請求記録!$B$6:$B$3005,$A248,請求記録!$X$6:$X$3005,D$5,請求記録!$AD$6:$AD$3005,"保留中")&gt;0,"保留",IF(COUNTIFS(請求記録!$B$6:$B$3005,$A248,請求記録!$X$6:$X$3005,D$5)=0,"",SUMIFS(請求記録!$AC$6:$AC$3005,請求記録!$B$6:$B$3005,$A248,請求記録!$X$6:$X$3005,D$5))))</f>
        <v/>
      </c>
      <c r="E248" s="19">
        <f>IF($A248="","",IF(COUNTIFS(請求記録!$B$6:$B$3005,$A248,請求記録!$X$6:$X$3005,E$5,請求記録!$AD$6:$AD$3005,"保留中")&gt;0,"保留",IF(COUNTIFS(請求記録!$B$6:$B$3005,$A248,請求記録!$X$6:$X$3005,E$5)=0,"",SUMIFS(請求記録!$AC$6:$AC$3005,請求記録!$B$6:$B$3005,$A248,請求記録!$X$6:$X$3005,E$5))))</f>
        <v/>
      </c>
      <c r="F248" s="19">
        <f>IF($A248="","",IF(COUNTIFS(請求記録!$B$6:$B$3005,$A248,請求記録!$X$6:$X$3005,F$5,請求記録!$AD$6:$AD$3005,"保留中")&gt;0,"保留",IF(COUNTIFS(請求記録!$B$6:$B$3005,$A248,請求記録!$X$6:$X$3005,F$5)=0,"",SUMIFS(請求記録!$AC$6:$AC$3005,請求記録!$B$6:$B$3005,$A248,請求記録!$X$6:$X$3005,F$5))))</f>
        <v/>
      </c>
      <c r="G248" s="19">
        <f>IF($A248="","",IF(COUNTIFS(請求記録!$B$6:$B$3005,$A248,請求記録!$X$6:$X$3005,G$5,請求記録!$AD$6:$AD$3005,"保留中")&gt;0,"保留",IF(COUNTIFS(請求記録!$B$6:$B$3005,$A248,請求記録!$X$6:$X$3005,G$5)=0,"",SUMIFS(請求記録!$AC$6:$AC$3005,請求記録!$B$6:$B$3005,$A248,請求記録!$X$6:$X$3005,G$5))))</f>
        <v/>
      </c>
      <c r="H248" s="19">
        <f>IF($A248="","",IF(COUNTIFS(請求記録!$B$6:$B$3005,$A248,請求記録!$X$6:$X$3005,H$5,請求記録!$AD$6:$AD$3005,"保留中")&gt;0,"保留",IF(COUNTIFS(請求記録!$B$6:$B$3005,$A248,請求記録!$X$6:$X$3005,H$5)=0,"",SUMIFS(請求記録!$AC$6:$AC$3005,請求記録!$B$6:$B$3005,$A248,請求記録!$X$6:$X$3005,H$5))))</f>
        <v/>
      </c>
      <c r="I248" s="19">
        <f>IF($A248="","",IF(COUNTIFS(請求記録!$B$6:$B$3005,$A248,請求記録!$X$6:$X$3005,I$5,請求記録!$AD$6:$AD$3005,"保留中")&gt;0,"保留",IF(COUNTIFS(請求記録!$B$6:$B$3005,$A248,請求記録!$X$6:$X$3005,I$5)=0,"",SUMIFS(請求記録!$AC$6:$AC$3005,請求記録!$B$6:$B$3005,$A248,請求記録!$X$6:$X$3005,I$5))))</f>
        <v/>
      </c>
      <c r="J248" s="19">
        <f>IF($A248="","",IF(COUNTIFS(請求記録!$B$6:$B$3005,$A248,請求記録!$X$6:$X$3005,J$5,請求記録!$AD$6:$AD$3005,"保留中")&gt;0,"保留",IF(COUNTIFS(請求記録!$B$6:$B$3005,$A248,請求記録!$X$6:$X$3005,J$5)=0,"",SUMIFS(請求記録!$AC$6:$AC$3005,請求記録!$B$6:$B$3005,$A248,請求記録!$X$6:$X$3005,J$5))))</f>
        <v/>
      </c>
      <c r="K248" s="19">
        <f>IF($A248="","",IF(COUNTIFS(請求記録!$B$6:$B$3005,$A248,請求記録!$X$6:$X$3005,K$5,請求記録!$AD$6:$AD$3005,"保留中")&gt;0,"保留",IF(COUNTIFS(請求記録!$B$6:$B$3005,$A248,請求記録!$X$6:$X$3005,K$5)=0,"",SUMIFS(請求記録!$AC$6:$AC$3005,請求記録!$B$6:$B$3005,$A248,請求記録!$X$6:$X$3005,K$5))))</f>
        <v/>
      </c>
      <c r="L248" s="19">
        <f>IF($A248="","",IF(COUNTIFS(請求記録!$B$6:$B$3005,$A248,請求記録!$X$6:$X$3005,L$5,請求記録!$AD$6:$AD$3005,"保留中")&gt;0,"保留",IF(COUNTIFS(請求記録!$B$6:$B$3005,$A248,請求記録!$X$6:$X$3005,L$5)=0,"",SUMIFS(請求記録!$AC$6:$AC$3005,請求記録!$B$6:$B$3005,$A248,請求記録!$X$6:$X$3005,L$5))))</f>
        <v/>
      </c>
      <c r="M248" s="19">
        <f>IF($A248="","",IF(COUNTIFS(請求記録!$B$6:$B$3005,$A248,請求記録!$X$6:$X$3005,M$5,請求記録!$AD$6:$AD$3005,"保留中")&gt;0,"保留",IF(COUNTIFS(請求記録!$B$6:$B$3005,$A248,請求記録!$X$6:$X$3005,M$5)=0,"",SUMIFS(請求記録!$AC$6:$AC$3005,請求記録!$B$6:$B$3005,$A248,請求記録!$X$6:$X$3005,M$5))))</f>
        <v/>
      </c>
      <c r="N248" s="19">
        <f>IF($A248="","",IF(COUNTIFS(請求記録!$B$6:$B$3005,$A248,請求記録!$X$6:$X$3005,N$5,請求記録!$AD$6:$AD$3005,"保留中")&gt;0,"保留",IF(COUNTIFS(請求記録!$B$6:$B$3005,$A248,請求記録!$X$6:$X$3005,N$5)=0,"",SUMIFS(請求記録!$AC$6:$AC$3005,請求記録!$B$6:$B$3005,$A248,請求記録!$X$6:$X$3005,N$5))))</f>
        <v/>
      </c>
      <c r="O248" s="19">
        <f>IF($A248="","",IF(COUNTIFS(請求記録!$B$6:$B$3005,$A248,請求記録!$X$6:$X$3005,O$5,請求記録!$AD$6:$AD$3005,"保留中")&gt;0,"保留",IF(COUNTIFS(請求記録!$B$6:$B$3005,$A248,請求記録!$X$6:$X$3005,O$5)=0,"",SUMIFS(請求記録!$AC$6:$AC$3005,請求記録!$B$6:$B$3005,$A248,請求記録!$X$6:$X$3005,O$5))))</f>
        <v/>
      </c>
      <c r="P248" s="19">
        <f>IF($A248="","",IF(COUNTIFS(請求記録!$B$6:$B$3005,$A248,請求記録!$X$6:$X$3005,P$5,請求記録!$AD$6:$AD$3005,"保留中")&gt;0,"保留",IF(COUNTIFS(請求記録!$B$6:$B$3005,$A248,請求記録!$X$6:$X$3005,P$5)=0,"",SUMIFS(請求記録!$AC$6:$AC$3005,請求記録!$B$6:$B$3005,$A248,請求記録!$X$6:$X$3005,P$5))))</f>
        <v/>
      </c>
      <c r="Q248" s="19">
        <f>IF($A248="","",IF(COUNTIFS(請求記録!$B$6:$B$3005,$A248,請求記録!$X$6:$X$3005,Q$5,請求記録!$AD$6:$AD$3005,"保留中")&gt;0,"保留",IF(COUNTIFS(請求記録!$B$6:$B$3005,$A248,請求記録!$X$6:$X$3005,Q$5)=0,"",SUMIFS(請求記録!$AC$6:$AC$3005,請求記録!$B$6:$B$3005,$A248,請求記録!$X$6:$X$3005,Q$5))))</f>
        <v/>
      </c>
      <c r="R248" s="19">
        <f>IF($A248="","",IF(COUNTIFS(請求記録!$B$6:$B$3005,$A248,請求記録!$X$6:$X$3005,R$5,請求記録!$AD$6:$AD$3005,"保留中")&gt;0,"保留",IF(COUNTIFS(請求記録!$B$6:$B$3005,$A248,請求記録!$X$6:$X$3005,R$5)=0,"",SUMIFS(請求記録!$AC$6:$AC$3005,請求記録!$B$6:$B$3005,$A248,請求記録!$X$6:$X$3005,R$5))))</f>
        <v/>
      </c>
      <c r="S248" s="19">
        <f>IF($A248="","",IF(COUNTIFS(請求記録!$B$6:$B$3005,$A248,請求記録!$X$6:$X$3005,S$5,請求記録!$AD$6:$AD$3005,"保留中")&gt;0,"保留",IF(COUNTIFS(請求記録!$B$6:$B$3005,$A248,請求記録!$X$6:$X$3005,S$5)=0,"",SUMIFS(請求記録!$AC$6:$AC$3005,請求記録!$B$6:$B$3005,$A248,請求記録!$X$6:$X$3005,S$5))))</f>
        <v/>
      </c>
      <c r="T248" s="19">
        <f>IF($A248="","",IF(COUNTIFS(請求記録!$B$6:$B$3005,$A248,請求記録!$X$6:$X$3005,T$5,請求記録!$AD$6:$AD$3005,"保留中")&gt;0,"保留",IF(COUNTIFS(請求記録!$B$6:$B$3005,$A248,請求記録!$X$6:$X$3005,T$5)=0,"",SUMIFS(請求記録!$AC$6:$AC$3005,請求記録!$B$6:$B$3005,$A248,請求記録!$X$6:$X$3005,T$5))))</f>
        <v/>
      </c>
      <c r="U248" s="19">
        <f>IF($A248="","",IF(COUNTIFS(請求記録!$B$6:$B$3005,$A248,請求記録!$X$6:$X$3005,U$5,請求記録!$AD$6:$AD$3005,"保留中")&gt;0,"保留",IF(COUNTIFS(請求記録!$B$6:$B$3005,$A248,請求記録!$X$6:$X$3005,U$5)=0,"",SUMIFS(請求記録!$AC$6:$AC$3005,請求記録!$B$6:$B$3005,$A248,請求記録!$X$6:$X$3005,U$5))))</f>
        <v/>
      </c>
      <c r="V248" s="19">
        <f>IF($A248="","",IF(COUNTIFS(請求記録!$B$6:$B$3005,$A248,請求記録!$X$6:$X$3005,V$5,請求記録!$AD$6:$AD$3005,"保留中")&gt;0,"保留",IF(COUNTIFS(請求記録!$B$6:$B$3005,$A248,請求記録!$X$6:$X$3005,V$5)=0,"",SUMIFS(請求記録!$AC$6:$AC$3005,請求記録!$B$6:$B$3005,$A248,請求記録!$X$6:$X$3005,V$5))))</f>
        <v/>
      </c>
      <c r="W248" s="19">
        <f>IF($A248="","",IF(COUNTIFS(請求記録!$B$6:$B$3005,$A248,請求記録!$X$6:$X$3005,W$5,請求記録!$AD$6:$AD$3005,"保留中")&gt;0,"保留",IF(COUNTIFS(請求記録!$B$6:$B$3005,$A248,請求記録!$X$6:$X$3005,W$5)=0,"",SUMIFS(請求記録!$AC$6:$AC$3005,請求記録!$B$6:$B$3005,$A248,請求記録!$X$6:$X$3005,W$5))))</f>
        <v/>
      </c>
      <c r="X248" s="19">
        <f>IF($A248="","",IF(COUNTIFS(請求記録!$B$6:$B$3005,$A248,請求記録!$X$6:$X$3005,X$5,請求記録!$AD$6:$AD$3005,"保留中")&gt;0,"保留",IF(COUNTIFS(請求記録!$B$6:$B$3005,$A248,請求記録!$X$6:$X$3005,X$5)=0,"",SUMIFS(請求記録!$AC$6:$AC$3005,請求記録!$B$6:$B$3005,$A248,請求記録!$X$6:$X$3005,X$5))))</f>
        <v/>
      </c>
      <c r="Y248" s="19">
        <f>IF($A248="","",IF(COUNTIFS(請求記録!$B$6:$B$3005,$A248,請求記録!$X$6:$X$3005,Y$5,請求記録!$AD$6:$AD$3005,"保留中")&gt;0,"保留",IF(COUNTIFS(請求記録!$B$6:$B$3005,$A248,請求記録!$X$6:$X$3005,Y$5)=0,"",SUMIFS(請求記録!$AC$6:$AC$3005,請求記録!$B$6:$B$3005,$A248,請求記録!$X$6:$X$3005,Y$5))))</f>
        <v/>
      </c>
      <c r="Z248" s="19">
        <f>IF($A248="","",IF(COUNTIFS(請求記録!$B$6:$B$3005,$A248,請求記録!$X$6:$X$3005,Z$5,請求記録!$AD$6:$AD$3005,"保留中")&gt;0,"保留",IF(COUNTIFS(請求記録!$B$6:$B$3005,$A248,請求記録!$X$6:$X$3005,Z$5)=0,"",SUMIFS(請求記録!$AC$6:$AC$3005,請求記録!$B$6:$B$3005,$A248,請求記録!$X$6:$X$3005,Z$5))))</f>
        <v/>
      </c>
      <c r="AA248" s="19">
        <f>IF($A248="","",IF(COUNTIFS(請求記録!$B$6:$B$3005,$A248,請求記録!$X$6:$X$3005,AA$5,請求記録!$AD$6:$AD$3005,"保留中")&gt;0,"保留",IF(COUNTIFS(請求記録!$B$6:$B$3005,$A248,請求記録!$X$6:$X$3005,AA$5)=0,"",SUMIFS(請求記録!$AC$6:$AC$3005,請求記録!$B$6:$B$3005,$A248,請求記録!$X$6:$X$3005,AA$5))))</f>
        <v/>
      </c>
      <c r="AB248">
        <f>IF(職員マスタ!P248="保留中",職員マスタ!M248,"")</f>
        <v/>
      </c>
    </row>
    <row r="249">
      <c r="A249">
        <f>IF(職員マスタ!A249="","",職員マスタ!A249)</f>
        <v/>
      </c>
      <c r="B249">
        <f>IF($A249="","",職員マスタ!B249)</f>
        <v/>
      </c>
      <c r="C249">
        <f>IF($A249="","",職員マスタ!C249)</f>
        <v/>
      </c>
      <c r="D249" s="19">
        <f>IF($A249="","",IF(COUNTIFS(請求記録!$B$6:$B$3005,$A249,請求記録!$X$6:$X$3005,D$5,請求記録!$AD$6:$AD$3005,"保留中")&gt;0,"保留",IF(COUNTIFS(請求記録!$B$6:$B$3005,$A249,請求記録!$X$6:$X$3005,D$5)=0,"",SUMIFS(請求記録!$AC$6:$AC$3005,請求記録!$B$6:$B$3005,$A249,請求記録!$X$6:$X$3005,D$5))))</f>
        <v/>
      </c>
      <c r="E249" s="19">
        <f>IF($A249="","",IF(COUNTIFS(請求記録!$B$6:$B$3005,$A249,請求記録!$X$6:$X$3005,E$5,請求記録!$AD$6:$AD$3005,"保留中")&gt;0,"保留",IF(COUNTIFS(請求記録!$B$6:$B$3005,$A249,請求記録!$X$6:$X$3005,E$5)=0,"",SUMIFS(請求記録!$AC$6:$AC$3005,請求記録!$B$6:$B$3005,$A249,請求記録!$X$6:$X$3005,E$5))))</f>
        <v/>
      </c>
      <c r="F249" s="19">
        <f>IF($A249="","",IF(COUNTIFS(請求記録!$B$6:$B$3005,$A249,請求記録!$X$6:$X$3005,F$5,請求記録!$AD$6:$AD$3005,"保留中")&gt;0,"保留",IF(COUNTIFS(請求記録!$B$6:$B$3005,$A249,請求記録!$X$6:$X$3005,F$5)=0,"",SUMIFS(請求記録!$AC$6:$AC$3005,請求記録!$B$6:$B$3005,$A249,請求記録!$X$6:$X$3005,F$5))))</f>
        <v/>
      </c>
      <c r="G249" s="19">
        <f>IF($A249="","",IF(COUNTIFS(請求記録!$B$6:$B$3005,$A249,請求記録!$X$6:$X$3005,G$5,請求記録!$AD$6:$AD$3005,"保留中")&gt;0,"保留",IF(COUNTIFS(請求記録!$B$6:$B$3005,$A249,請求記録!$X$6:$X$3005,G$5)=0,"",SUMIFS(請求記録!$AC$6:$AC$3005,請求記録!$B$6:$B$3005,$A249,請求記録!$X$6:$X$3005,G$5))))</f>
        <v/>
      </c>
      <c r="H249" s="19">
        <f>IF($A249="","",IF(COUNTIFS(請求記録!$B$6:$B$3005,$A249,請求記録!$X$6:$X$3005,H$5,請求記録!$AD$6:$AD$3005,"保留中")&gt;0,"保留",IF(COUNTIFS(請求記録!$B$6:$B$3005,$A249,請求記録!$X$6:$X$3005,H$5)=0,"",SUMIFS(請求記録!$AC$6:$AC$3005,請求記録!$B$6:$B$3005,$A249,請求記録!$X$6:$X$3005,H$5))))</f>
        <v/>
      </c>
      <c r="I249" s="19">
        <f>IF($A249="","",IF(COUNTIFS(請求記録!$B$6:$B$3005,$A249,請求記録!$X$6:$X$3005,I$5,請求記録!$AD$6:$AD$3005,"保留中")&gt;0,"保留",IF(COUNTIFS(請求記録!$B$6:$B$3005,$A249,請求記録!$X$6:$X$3005,I$5)=0,"",SUMIFS(請求記録!$AC$6:$AC$3005,請求記録!$B$6:$B$3005,$A249,請求記録!$X$6:$X$3005,I$5))))</f>
        <v/>
      </c>
      <c r="J249" s="19">
        <f>IF($A249="","",IF(COUNTIFS(請求記録!$B$6:$B$3005,$A249,請求記録!$X$6:$X$3005,J$5,請求記録!$AD$6:$AD$3005,"保留中")&gt;0,"保留",IF(COUNTIFS(請求記録!$B$6:$B$3005,$A249,請求記録!$X$6:$X$3005,J$5)=0,"",SUMIFS(請求記録!$AC$6:$AC$3005,請求記録!$B$6:$B$3005,$A249,請求記録!$X$6:$X$3005,J$5))))</f>
        <v/>
      </c>
      <c r="K249" s="19">
        <f>IF($A249="","",IF(COUNTIFS(請求記録!$B$6:$B$3005,$A249,請求記録!$X$6:$X$3005,K$5,請求記録!$AD$6:$AD$3005,"保留中")&gt;0,"保留",IF(COUNTIFS(請求記録!$B$6:$B$3005,$A249,請求記録!$X$6:$X$3005,K$5)=0,"",SUMIFS(請求記録!$AC$6:$AC$3005,請求記録!$B$6:$B$3005,$A249,請求記録!$X$6:$X$3005,K$5))))</f>
        <v/>
      </c>
      <c r="L249" s="19">
        <f>IF($A249="","",IF(COUNTIFS(請求記録!$B$6:$B$3005,$A249,請求記録!$X$6:$X$3005,L$5,請求記録!$AD$6:$AD$3005,"保留中")&gt;0,"保留",IF(COUNTIFS(請求記録!$B$6:$B$3005,$A249,請求記録!$X$6:$X$3005,L$5)=0,"",SUMIFS(請求記録!$AC$6:$AC$3005,請求記録!$B$6:$B$3005,$A249,請求記録!$X$6:$X$3005,L$5))))</f>
        <v/>
      </c>
      <c r="M249" s="19">
        <f>IF($A249="","",IF(COUNTIFS(請求記録!$B$6:$B$3005,$A249,請求記録!$X$6:$X$3005,M$5,請求記録!$AD$6:$AD$3005,"保留中")&gt;0,"保留",IF(COUNTIFS(請求記録!$B$6:$B$3005,$A249,請求記録!$X$6:$X$3005,M$5)=0,"",SUMIFS(請求記録!$AC$6:$AC$3005,請求記録!$B$6:$B$3005,$A249,請求記録!$X$6:$X$3005,M$5))))</f>
        <v/>
      </c>
      <c r="N249" s="19">
        <f>IF($A249="","",IF(COUNTIFS(請求記録!$B$6:$B$3005,$A249,請求記録!$X$6:$X$3005,N$5,請求記録!$AD$6:$AD$3005,"保留中")&gt;0,"保留",IF(COUNTIFS(請求記録!$B$6:$B$3005,$A249,請求記録!$X$6:$X$3005,N$5)=0,"",SUMIFS(請求記録!$AC$6:$AC$3005,請求記録!$B$6:$B$3005,$A249,請求記録!$X$6:$X$3005,N$5))))</f>
        <v/>
      </c>
      <c r="O249" s="19">
        <f>IF($A249="","",IF(COUNTIFS(請求記録!$B$6:$B$3005,$A249,請求記録!$X$6:$X$3005,O$5,請求記録!$AD$6:$AD$3005,"保留中")&gt;0,"保留",IF(COUNTIFS(請求記録!$B$6:$B$3005,$A249,請求記録!$X$6:$X$3005,O$5)=0,"",SUMIFS(請求記録!$AC$6:$AC$3005,請求記録!$B$6:$B$3005,$A249,請求記録!$X$6:$X$3005,O$5))))</f>
        <v/>
      </c>
      <c r="P249" s="19">
        <f>IF($A249="","",IF(COUNTIFS(請求記録!$B$6:$B$3005,$A249,請求記録!$X$6:$X$3005,P$5,請求記録!$AD$6:$AD$3005,"保留中")&gt;0,"保留",IF(COUNTIFS(請求記録!$B$6:$B$3005,$A249,請求記録!$X$6:$X$3005,P$5)=0,"",SUMIFS(請求記録!$AC$6:$AC$3005,請求記録!$B$6:$B$3005,$A249,請求記録!$X$6:$X$3005,P$5))))</f>
        <v/>
      </c>
      <c r="Q249" s="19">
        <f>IF($A249="","",IF(COUNTIFS(請求記録!$B$6:$B$3005,$A249,請求記録!$X$6:$X$3005,Q$5,請求記録!$AD$6:$AD$3005,"保留中")&gt;0,"保留",IF(COUNTIFS(請求記録!$B$6:$B$3005,$A249,請求記録!$X$6:$X$3005,Q$5)=0,"",SUMIFS(請求記録!$AC$6:$AC$3005,請求記録!$B$6:$B$3005,$A249,請求記録!$X$6:$X$3005,Q$5))))</f>
        <v/>
      </c>
      <c r="R249" s="19">
        <f>IF($A249="","",IF(COUNTIFS(請求記録!$B$6:$B$3005,$A249,請求記録!$X$6:$X$3005,R$5,請求記録!$AD$6:$AD$3005,"保留中")&gt;0,"保留",IF(COUNTIFS(請求記録!$B$6:$B$3005,$A249,請求記録!$X$6:$X$3005,R$5)=0,"",SUMIFS(請求記録!$AC$6:$AC$3005,請求記録!$B$6:$B$3005,$A249,請求記録!$X$6:$X$3005,R$5))))</f>
        <v/>
      </c>
      <c r="S249" s="19">
        <f>IF($A249="","",IF(COUNTIFS(請求記録!$B$6:$B$3005,$A249,請求記録!$X$6:$X$3005,S$5,請求記録!$AD$6:$AD$3005,"保留中")&gt;0,"保留",IF(COUNTIFS(請求記録!$B$6:$B$3005,$A249,請求記録!$X$6:$X$3005,S$5)=0,"",SUMIFS(請求記録!$AC$6:$AC$3005,請求記録!$B$6:$B$3005,$A249,請求記録!$X$6:$X$3005,S$5))))</f>
        <v/>
      </c>
      <c r="T249" s="19">
        <f>IF($A249="","",IF(COUNTIFS(請求記録!$B$6:$B$3005,$A249,請求記録!$X$6:$X$3005,T$5,請求記録!$AD$6:$AD$3005,"保留中")&gt;0,"保留",IF(COUNTIFS(請求記録!$B$6:$B$3005,$A249,請求記録!$X$6:$X$3005,T$5)=0,"",SUMIFS(請求記録!$AC$6:$AC$3005,請求記録!$B$6:$B$3005,$A249,請求記録!$X$6:$X$3005,T$5))))</f>
        <v/>
      </c>
      <c r="U249" s="19">
        <f>IF($A249="","",IF(COUNTIFS(請求記録!$B$6:$B$3005,$A249,請求記録!$X$6:$X$3005,U$5,請求記録!$AD$6:$AD$3005,"保留中")&gt;0,"保留",IF(COUNTIFS(請求記録!$B$6:$B$3005,$A249,請求記録!$X$6:$X$3005,U$5)=0,"",SUMIFS(請求記録!$AC$6:$AC$3005,請求記録!$B$6:$B$3005,$A249,請求記録!$X$6:$X$3005,U$5))))</f>
        <v/>
      </c>
      <c r="V249" s="19">
        <f>IF($A249="","",IF(COUNTIFS(請求記録!$B$6:$B$3005,$A249,請求記録!$X$6:$X$3005,V$5,請求記録!$AD$6:$AD$3005,"保留中")&gt;0,"保留",IF(COUNTIFS(請求記録!$B$6:$B$3005,$A249,請求記録!$X$6:$X$3005,V$5)=0,"",SUMIFS(請求記録!$AC$6:$AC$3005,請求記録!$B$6:$B$3005,$A249,請求記録!$X$6:$X$3005,V$5))))</f>
        <v/>
      </c>
      <c r="W249" s="19">
        <f>IF($A249="","",IF(COUNTIFS(請求記録!$B$6:$B$3005,$A249,請求記録!$X$6:$X$3005,W$5,請求記録!$AD$6:$AD$3005,"保留中")&gt;0,"保留",IF(COUNTIFS(請求記録!$B$6:$B$3005,$A249,請求記録!$X$6:$X$3005,W$5)=0,"",SUMIFS(請求記録!$AC$6:$AC$3005,請求記録!$B$6:$B$3005,$A249,請求記録!$X$6:$X$3005,W$5))))</f>
        <v/>
      </c>
      <c r="X249" s="19">
        <f>IF($A249="","",IF(COUNTIFS(請求記録!$B$6:$B$3005,$A249,請求記録!$X$6:$X$3005,X$5,請求記録!$AD$6:$AD$3005,"保留中")&gt;0,"保留",IF(COUNTIFS(請求記録!$B$6:$B$3005,$A249,請求記録!$X$6:$X$3005,X$5)=0,"",SUMIFS(請求記録!$AC$6:$AC$3005,請求記録!$B$6:$B$3005,$A249,請求記録!$X$6:$X$3005,X$5))))</f>
        <v/>
      </c>
      <c r="Y249" s="19">
        <f>IF($A249="","",IF(COUNTIFS(請求記録!$B$6:$B$3005,$A249,請求記録!$X$6:$X$3005,Y$5,請求記録!$AD$6:$AD$3005,"保留中")&gt;0,"保留",IF(COUNTIFS(請求記録!$B$6:$B$3005,$A249,請求記録!$X$6:$X$3005,Y$5)=0,"",SUMIFS(請求記録!$AC$6:$AC$3005,請求記録!$B$6:$B$3005,$A249,請求記録!$X$6:$X$3005,Y$5))))</f>
        <v/>
      </c>
      <c r="Z249" s="19">
        <f>IF($A249="","",IF(COUNTIFS(請求記録!$B$6:$B$3005,$A249,請求記録!$X$6:$X$3005,Z$5,請求記録!$AD$6:$AD$3005,"保留中")&gt;0,"保留",IF(COUNTIFS(請求記録!$B$6:$B$3005,$A249,請求記録!$X$6:$X$3005,Z$5)=0,"",SUMIFS(請求記録!$AC$6:$AC$3005,請求記録!$B$6:$B$3005,$A249,請求記録!$X$6:$X$3005,Z$5))))</f>
        <v/>
      </c>
      <c r="AA249" s="19">
        <f>IF($A249="","",IF(COUNTIFS(請求記録!$B$6:$B$3005,$A249,請求記録!$X$6:$X$3005,AA$5,請求記録!$AD$6:$AD$3005,"保留中")&gt;0,"保留",IF(COUNTIFS(請求記録!$B$6:$B$3005,$A249,請求記録!$X$6:$X$3005,AA$5)=0,"",SUMIFS(請求記録!$AC$6:$AC$3005,請求記録!$B$6:$B$3005,$A249,請求記録!$X$6:$X$3005,AA$5))))</f>
        <v/>
      </c>
      <c r="AB249">
        <f>IF(職員マスタ!P249="保留中",職員マスタ!M249,"")</f>
        <v/>
      </c>
    </row>
    <row r="250">
      <c r="A250">
        <f>IF(職員マスタ!A250="","",職員マスタ!A250)</f>
        <v/>
      </c>
      <c r="B250">
        <f>IF($A250="","",職員マスタ!B250)</f>
        <v/>
      </c>
      <c r="C250">
        <f>IF($A250="","",職員マスタ!C250)</f>
        <v/>
      </c>
      <c r="D250" s="19">
        <f>IF($A250="","",IF(COUNTIFS(請求記録!$B$6:$B$3005,$A250,請求記録!$X$6:$X$3005,D$5,請求記録!$AD$6:$AD$3005,"保留中")&gt;0,"保留",IF(COUNTIFS(請求記録!$B$6:$B$3005,$A250,請求記録!$X$6:$X$3005,D$5)=0,"",SUMIFS(請求記録!$AC$6:$AC$3005,請求記録!$B$6:$B$3005,$A250,請求記録!$X$6:$X$3005,D$5))))</f>
        <v/>
      </c>
      <c r="E250" s="19">
        <f>IF($A250="","",IF(COUNTIFS(請求記録!$B$6:$B$3005,$A250,請求記録!$X$6:$X$3005,E$5,請求記録!$AD$6:$AD$3005,"保留中")&gt;0,"保留",IF(COUNTIFS(請求記録!$B$6:$B$3005,$A250,請求記録!$X$6:$X$3005,E$5)=0,"",SUMIFS(請求記録!$AC$6:$AC$3005,請求記録!$B$6:$B$3005,$A250,請求記録!$X$6:$X$3005,E$5))))</f>
        <v/>
      </c>
      <c r="F250" s="19">
        <f>IF($A250="","",IF(COUNTIFS(請求記録!$B$6:$B$3005,$A250,請求記録!$X$6:$X$3005,F$5,請求記録!$AD$6:$AD$3005,"保留中")&gt;0,"保留",IF(COUNTIFS(請求記録!$B$6:$B$3005,$A250,請求記録!$X$6:$X$3005,F$5)=0,"",SUMIFS(請求記録!$AC$6:$AC$3005,請求記録!$B$6:$B$3005,$A250,請求記録!$X$6:$X$3005,F$5))))</f>
        <v/>
      </c>
      <c r="G250" s="19">
        <f>IF($A250="","",IF(COUNTIFS(請求記録!$B$6:$B$3005,$A250,請求記録!$X$6:$X$3005,G$5,請求記録!$AD$6:$AD$3005,"保留中")&gt;0,"保留",IF(COUNTIFS(請求記録!$B$6:$B$3005,$A250,請求記録!$X$6:$X$3005,G$5)=0,"",SUMIFS(請求記録!$AC$6:$AC$3005,請求記録!$B$6:$B$3005,$A250,請求記録!$X$6:$X$3005,G$5))))</f>
        <v/>
      </c>
      <c r="H250" s="19">
        <f>IF($A250="","",IF(COUNTIFS(請求記録!$B$6:$B$3005,$A250,請求記録!$X$6:$X$3005,H$5,請求記録!$AD$6:$AD$3005,"保留中")&gt;0,"保留",IF(COUNTIFS(請求記録!$B$6:$B$3005,$A250,請求記録!$X$6:$X$3005,H$5)=0,"",SUMIFS(請求記録!$AC$6:$AC$3005,請求記録!$B$6:$B$3005,$A250,請求記録!$X$6:$X$3005,H$5))))</f>
        <v/>
      </c>
      <c r="I250" s="19">
        <f>IF($A250="","",IF(COUNTIFS(請求記録!$B$6:$B$3005,$A250,請求記録!$X$6:$X$3005,I$5,請求記録!$AD$6:$AD$3005,"保留中")&gt;0,"保留",IF(COUNTIFS(請求記録!$B$6:$B$3005,$A250,請求記録!$X$6:$X$3005,I$5)=0,"",SUMIFS(請求記録!$AC$6:$AC$3005,請求記録!$B$6:$B$3005,$A250,請求記録!$X$6:$X$3005,I$5))))</f>
        <v/>
      </c>
      <c r="J250" s="19">
        <f>IF($A250="","",IF(COUNTIFS(請求記録!$B$6:$B$3005,$A250,請求記録!$X$6:$X$3005,J$5,請求記録!$AD$6:$AD$3005,"保留中")&gt;0,"保留",IF(COUNTIFS(請求記録!$B$6:$B$3005,$A250,請求記録!$X$6:$X$3005,J$5)=0,"",SUMIFS(請求記録!$AC$6:$AC$3005,請求記録!$B$6:$B$3005,$A250,請求記録!$X$6:$X$3005,J$5))))</f>
        <v/>
      </c>
      <c r="K250" s="19">
        <f>IF($A250="","",IF(COUNTIFS(請求記録!$B$6:$B$3005,$A250,請求記録!$X$6:$X$3005,K$5,請求記録!$AD$6:$AD$3005,"保留中")&gt;0,"保留",IF(COUNTIFS(請求記録!$B$6:$B$3005,$A250,請求記録!$X$6:$X$3005,K$5)=0,"",SUMIFS(請求記録!$AC$6:$AC$3005,請求記録!$B$6:$B$3005,$A250,請求記録!$X$6:$X$3005,K$5))))</f>
        <v/>
      </c>
      <c r="L250" s="19">
        <f>IF($A250="","",IF(COUNTIFS(請求記録!$B$6:$B$3005,$A250,請求記録!$X$6:$X$3005,L$5,請求記録!$AD$6:$AD$3005,"保留中")&gt;0,"保留",IF(COUNTIFS(請求記録!$B$6:$B$3005,$A250,請求記録!$X$6:$X$3005,L$5)=0,"",SUMIFS(請求記録!$AC$6:$AC$3005,請求記録!$B$6:$B$3005,$A250,請求記録!$X$6:$X$3005,L$5))))</f>
        <v/>
      </c>
      <c r="M250" s="19">
        <f>IF($A250="","",IF(COUNTIFS(請求記録!$B$6:$B$3005,$A250,請求記録!$X$6:$X$3005,M$5,請求記録!$AD$6:$AD$3005,"保留中")&gt;0,"保留",IF(COUNTIFS(請求記録!$B$6:$B$3005,$A250,請求記録!$X$6:$X$3005,M$5)=0,"",SUMIFS(請求記録!$AC$6:$AC$3005,請求記録!$B$6:$B$3005,$A250,請求記録!$X$6:$X$3005,M$5))))</f>
        <v/>
      </c>
      <c r="N250" s="19">
        <f>IF($A250="","",IF(COUNTIFS(請求記録!$B$6:$B$3005,$A250,請求記録!$X$6:$X$3005,N$5,請求記録!$AD$6:$AD$3005,"保留中")&gt;0,"保留",IF(COUNTIFS(請求記録!$B$6:$B$3005,$A250,請求記録!$X$6:$X$3005,N$5)=0,"",SUMIFS(請求記録!$AC$6:$AC$3005,請求記録!$B$6:$B$3005,$A250,請求記録!$X$6:$X$3005,N$5))))</f>
        <v/>
      </c>
      <c r="O250" s="19">
        <f>IF($A250="","",IF(COUNTIFS(請求記録!$B$6:$B$3005,$A250,請求記録!$X$6:$X$3005,O$5,請求記録!$AD$6:$AD$3005,"保留中")&gt;0,"保留",IF(COUNTIFS(請求記録!$B$6:$B$3005,$A250,請求記録!$X$6:$X$3005,O$5)=0,"",SUMIFS(請求記録!$AC$6:$AC$3005,請求記録!$B$6:$B$3005,$A250,請求記録!$X$6:$X$3005,O$5))))</f>
        <v/>
      </c>
      <c r="P250" s="19">
        <f>IF($A250="","",IF(COUNTIFS(請求記録!$B$6:$B$3005,$A250,請求記録!$X$6:$X$3005,P$5,請求記録!$AD$6:$AD$3005,"保留中")&gt;0,"保留",IF(COUNTIFS(請求記録!$B$6:$B$3005,$A250,請求記録!$X$6:$X$3005,P$5)=0,"",SUMIFS(請求記録!$AC$6:$AC$3005,請求記録!$B$6:$B$3005,$A250,請求記録!$X$6:$X$3005,P$5))))</f>
        <v/>
      </c>
      <c r="Q250" s="19">
        <f>IF($A250="","",IF(COUNTIFS(請求記録!$B$6:$B$3005,$A250,請求記録!$X$6:$X$3005,Q$5,請求記録!$AD$6:$AD$3005,"保留中")&gt;0,"保留",IF(COUNTIFS(請求記録!$B$6:$B$3005,$A250,請求記録!$X$6:$X$3005,Q$5)=0,"",SUMIFS(請求記録!$AC$6:$AC$3005,請求記録!$B$6:$B$3005,$A250,請求記録!$X$6:$X$3005,Q$5))))</f>
        <v/>
      </c>
      <c r="R250" s="19">
        <f>IF($A250="","",IF(COUNTIFS(請求記録!$B$6:$B$3005,$A250,請求記録!$X$6:$X$3005,R$5,請求記録!$AD$6:$AD$3005,"保留中")&gt;0,"保留",IF(COUNTIFS(請求記録!$B$6:$B$3005,$A250,請求記録!$X$6:$X$3005,R$5)=0,"",SUMIFS(請求記録!$AC$6:$AC$3005,請求記録!$B$6:$B$3005,$A250,請求記録!$X$6:$X$3005,R$5))))</f>
        <v/>
      </c>
      <c r="S250" s="19">
        <f>IF($A250="","",IF(COUNTIFS(請求記録!$B$6:$B$3005,$A250,請求記録!$X$6:$X$3005,S$5,請求記録!$AD$6:$AD$3005,"保留中")&gt;0,"保留",IF(COUNTIFS(請求記録!$B$6:$B$3005,$A250,請求記録!$X$6:$X$3005,S$5)=0,"",SUMIFS(請求記録!$AC$6:$AC$3005,請求記録!$B$6:$B$3005,$A250,請求記録!$X$6:$X$3005,S$5))))</f>
        <v/>
      </c>
      <c r="T250" s="19">
        <f>IF($A250="","",IF(COUNTIFS(請求記録!$B$6:$B$3005,$A250,請求記録!$X$6:$X$3005,T$5,請求記録!$AD$6:$AD$3005,"保留中")&gt;0,"保留",IF(COUNTIFS(請求記録!$B$6:$B$3005,$A250,請求記録!$X$6:$X$3005,T$5)=0,"",SUMIFS(請求記録!$AC$6:$AC$3005,請求記録!$B$6:$B$3005,$A250,請求記録!$X$6:$X$3005,T$5))))</f>
        <v/>
      </c>
      <c r="U250" s="19">
        <f>IF($A250="","",IF(COUNTIFS(請求記録!$B$6:$B$3005,$A250,請求記録!$X$6:$X$3005,U$5,請求記録!$AD$6:$AD$3005,"保留中")&gt;0,"保留",IF(COUNTIFS(請求記録!$B$6:$B$3005,$A250,請求記録!$X$6:$X$3005,U$5)=0,"",SUMIFS(請求記録!$AC$6:$AC$3005,請求記録!$B$6:$B$3005,$A250,請求記録!$X$6:$X$3005,U$5))))</f>
        <v/>
      </c>
      <c r="V250" s="19">
        <f>IF($A250="","",IF(COUNTIFS(請求記録!$B$6:$B$3005,$A250,請求記録!$X$6:$X$3005,V$5,請求記録!$AD$6:$AD$3005,"保留中")&gt;0,"保留",IF(COUNTIFS(請求記録!$B$6:$B$3005,$A250,請求記録!$X$6:$X$3005,V$5)=0,"",SUMIFS(請求記録!$AC$6:$AC$3005,請求記録!$B$6:$B$3005,$A250,請求記録!$X$6:$X$3005,V$5))))</f>
        <v/>
      </c>
      <c r="W250" s="19">
        <f>IF($A250="","",IF(COUNTIFS(請求記録!$B$6:$B$3005,$A250,請求記録!$X$6:$X$3005,W$5,請求記録!$AD$6:$AD$3005,"保留中")&gt;0,"保留",IF(COUNTIFS(請求記録!$B$6:$B$3005,$A250,請求記録!$X$6:$X$3005,W$5)=0,"",SUMIFS(請求記録!$AC$6:$AC$3005,請求記録!$B$6:$B$3005,$A250,請求記録!$X$6:$X$3005,W$5))))</f>
        <v/>
      </c>
      <c r="X250" s="19">
        <f>IF($A250="","",IF(COUNTIFS(請求記録!$B$6:$B$3005,$A250,請求記録!$X$6:$X$3005,X$5,請求記録!$AD$6:$AD$3005,"保留中")&gt;0,"保留",IF(COUNTIFS(請求記録!$B$6:$B$3005,$A250,請求記録!$X$6:$X$3005,X$5)=0,"",SUMIFS(請求記録!$AC$6:$AC$3005,請求記録!$B$6:$B$3005,$A250,請求記録!$X$6:$X$3005,X$5))))</f>
        <v/>
      </c>
      <c r="Y250" s="19">
        <f>IF($A250="","",IF(COUNTIFS(請求記録!$B$6:$B$3005,$A250,請求記録!$X$6:$X$3005,Y$5,請求記録!$AD$6:$AD$3005,"保留中")&gt;0,"保留",IF(COUNTIFS(請求記録!$B$6:$B$3005,$A250,請求記録!$X$6:$X$3005,Y$5)=0,"",SUMIFS(請求記録!$AC$6:$AC$3005,請求記録!$B$6:$B$3005,$A250,請求記録!$X$6:$X$3005,Y$5))))</f>
        <v/>
      </c>
      <c r="Z250" s="19">
        <f>IF($A250="","",IF(COUNTIFS(請求記録!$B$6:$B$3005,$A250,請求記録!$X$6:$X$3005,Z$5,請求記録!$AD$6:$AD$3005,"保留中")&gt;0,"保留",IF(COUNTIFS(請求記録!$B$6:$B$3005,$A250,請求記録!$X$6:$X$3005,Z$5)=0,"",SUMIFS(請求記録!$AC$6:$AC$3005,請求記録!$B$6:$B$3005,$A250,請求記録!$X$6:$X$3005,Z$5))))</f>
        <v/>
      </c>
      <c r="AA250" s="19">
        <f>IF($A250="","",IF(COUNTIFS(請求記録!$B$6:$B$3005,$A250,請求記録!$X$6:$X$3005,AA$5,請求記録!$AD$6:$AD$3005,"保留中")&gt;0,"保留",IF(COUNTIFS(請求記録!$B$6:$B$3005,$A250,請求記録!$X$6:$X$3005,AA$5)=0,"",SUMIFS(請求記録!$AC$6:$AC$3005,請求記録!$B$6:$B$3005,$A250,請求記録!$X$6:$X$3005,AA$5))))</f>
        <v/>
      </c>
      <c r="AB250">
        <f>IF(職員マスタ!P250="保留中",職員マスタ!M250,"")</f>
        <v/>
      </c>
    </row>
    <row r="251">
      <c r="A251">
        <f>IF(職員マスタ!A251="","",職員マスタ!A251)</f>
        <v/>
      </c>
      <c r="B251">
        <f>IF($A251="","",職員マスタ!B251)</f>
        <v/>
      </c>
      <c r="C251">
        <f>IF($A251="","",職員マスタ!C251)</f>
        <v/>
      </c>
      <c r="D251" s="19">
        <f>IF($A251="","",IF(COUNTIFS(請求記録!$B$6:$B$3005,$A251,請求記録!$X$6:$X$3005,D$5,請求記録!$AD$6:$AD$3005,"保留中")&gt;0,"保留",IF(COUNTIFS(請求記録!$B$6:$B$3005,$A251,請求記録!$X$6:$X$3005,D$5)=0,"",SUMIFS(請求記録!$AC$6:$AC$3005,請求記録!$B$6:$B$3005,$A251,請求記録!$X$6:$X$3005,D$5))))</f>
        <v/>
      </c>
      <c r="E251" s="19">
        <f>IF($A251="","",IF(COUNTIFS(請求記録!$B$6:$B$3005,$A251,請求記録!$X$6:$X$3005,E$5,請求記録!$AD$6:$AD$3005,"保留中")&gt;0,"保留",IF(COUNTIFS(請求記録!$B$6:$B$3005,$A251,請求記録!$X$6:$X$3005,E$5)=0,"",SUMIFS(請求記録!$AC$6:$AC$3005,請求記録!$B$6:$B$3005,$A251,請求記録!$X$6:$X$3005,E$5))))</f>
        <v/>
      </c>
      <c r="F251" s="19">
        <f>IF($A251="","",IF(COUNTIFS(請求記録!$B$6:$B$3005,$A251,請求記録!$X$6:$X$3005,F$5,請求記録!$AD$6:$AD$3005,"保留中")&gt;0,"保留",IF(COUNTIFS(請求記録!$B$6:$B$3005,$A251,請求記録!$X$6:$X$3005,F$5)=0,"",SUMIFS(請求記録!$AC$6:$AC$3005,請求記録!$B$6:$B$3005,$A251,請求記録!$X$6:$X$3005,F$5))))</f>
        <v/>
      </c>
      <c r="G251" s="19">
        <f>IF($A251="","",IF(COUNTIFS(請求記録!$B$6:$B$3005,$A251,請求記録!$X$6:$X$3005,G$5,請求記録!$AD$6:$AD$3005,"保留中")&gt;0,"保留",IF(COUNTIFS(請求記録!$B$6:$B$3005,$A251,請求記録!$X$6:$X$3005,G$5)=0,"",SUMIFS(請求記録!$AC$6:$AC$3005,請求記録!$B$6:$B$3005,$A251,請求記録!$X$6:$X$3005,G$5))))</f>
        <v/>
      </c>
      <c r="H251" s="19">
        <f>IF($A251="","",IF(COUNTIFS(請求記録!$B$6:$B$3005,$A251,請求記録!$X$6:$X$3005,H$5,請求記録!$AD$6:$AD$3005,"保留中")&gt;0,"保留",IF(COUNTIFS(請求記録!$B$6:$B$3005,$A251,請求記録!$X$6:$X$3005,H$5)=0,"",SUMIFS(請求記録!$AC$6:$AC$3005,請求記録!$B$6:$B$3005,$A251,請求記録!$X$6:$X$3005,H$5))))</f>
        <v/>
      </c>
      <c r="I251" s="19">
        <f>IF($A251="","",IF(COUNTIFS(請求記録!$B$6:$B$3005,$A251,請求記録!$X$6:$X$3005,I$5,請求記録!$AD$6:$AD$3005,"保留中")&gt;0,"保留",IF(COUNTIFS(請求記録!$B$6:$B$3005,$A251,請求記録!$X$6:$X$3005,I$5)=0,"",SUMIFS(請求記録!$AC$6:$AC$3005,請求記録!$B$6:$B$3005,$A251,請求記録!$X$6:$X$3005,I$5))))</f>
        <v/>
      </c>
      <c r="J251" s="19">
        <f>IF($A251="","",IF(COUNTIFS(請求記録!$B$6:$B$3005,$A251,請求記録!$X$6:$X$3005,J$5,請求記録!$AD$6:$AD$3005,"保留中")&gt;0,"保留",IF(COUNTIFS(請求記録!$B$6:$B$3005,$A251,請求記録!$X$6:$X$3005,J$5)=0,"",SUMIFS(請求記録!$AC$6:$AC$3005,請求記録!$B$6:$B$3005,$A251,請求記録!$X$6:$X$3005,J$5))))</f>
        <v/>
      </c>
      <c r="K251" s="19">
        <f>IF($A251="","",IF(COUNTIFS(請求記録!$B$6:$B$3005,$A251,請求記録!$X$6:$X$3005,K$5,請求記録!$AD$6:$AD$3005,"保留中")&gt;0,"保留",IF(COUNTIFS(請求記録!$B$6:$B$3005,$A251,請求記録!$X$6:$X$3005,K$5)=0,"",SUMIFS(請求記録!$AC$6:$AC$3005,請求記録!$B$6:$B$3005,$A251,請求記録!$X$6:$X$3005,K$5))))</f>
        <v/>
      </c>
      <c r="L251" s="19">
        <f>IF($A251="","",IF(COUNTIFS(請求記録!$B$6:$B$3005,$A251,請求記録!$X$6:$X$3005,L$5,請求記録!$AD$6:$AD$3005,"保留中")&gt;0,"保留",IF(COUNTIFS(請求記録!$B$6:$B$3005,$A251,請求記録!$X$6:$X$3005,L$5)=0,"",SUMIFS(請求記録!$AC$6:$AC$3005,請求記録!$B$6:$B$3005,$A251,請求記録!$X$6:$X$3005,L$5))))</f>
        <v/>
      </c>
      <c r="M251" s="19">
        <f>IF($A251="","",IF(COUNTIFS(請求記録!$B$6:$B$3005,$A251,請求記録!$X$6:$X$3005,M$5,請求記録!$AD$6:$AD$3005,"保留中")&gt;0,"保留",IF(COUNTIFS(請求記録!$B$6:$B$3005,$A251,請求記録!$X$6:$X$3005,M$5)=0,"",SUMIFS(請求記録!$AC$6:$AC$3005,請求記録!$B$6:$B$3005,$A251,請求記録!$X$6:$X$3005,M$5))))</f>
        <v/>
      </c>
      <c r="N251" s="19">
        <f>IF($A251="","",IF(COUNTIFS(請求記録!$B$6:$B$3005,$A251,請求記録!$X$6:$X$3005,N$5,請求記録!$AD$6:$AD$3005,"保留中")&gt;0,"保留",IF(COUNTIFS(請求記録!$B$6:$B$3005,$A251,請求記録!$X$6:$X$3005,N$5)=0,"",SUMIFS(請求記録!$AC$6:$AC$3005,請求記録!$B$6:$B$3005,$A251,請求記録!$X$6:$X$3005,N$5))))</f>
        <v/>
      </c>
      <c r="O251" s="19">
        <f>IF($A251="","",IF(COUNTIFS(請求記録!$B$6:$B$3005,$A251,請求記録!$X$6:$X$3005,O$5,請求記録!$AD$6:$AD$3005,"保留中")&gt;0,"保留",IF(COUNTIFS(請求記録!$B$6:$B$3005,$A251,請求記録!$X$6:$X$3005,O$5)=0,"",SUMIFS(請求記録!$AC$6:$AC$3005,請求記録!$B$6:$B$3005,$A251,請求記録!$X$6:$X$3005,O$5))))</f>
        <v/>
      </c>
      <c r="P251" s="19">
        <f>IF($A251="","",IF(COUNTIFS(請求記録!$B$6:$B$3005,$A251,請求記録!$X$6:$X$3005,P$5,請求記録!$AD$6:$AD$3005,"保留中")&gt;0,"保留",IF(COUNTIFS(請求記録!$B$6:$B$3005,$A251,請求記録!$X$6:$X$3005,P$5)=0,"",SUMIFS(請求記録!$AC$6:$AC$3005,請求記録!$B$6:$B$3005,$A251,請求記録!$X$6:$X$3005,P$5))))</f>
        <v/>
      </c>
      <c r="Q251" s="19">
        <f>IF($A251="","",IF(COUNTIFS(請求記録!$B$6:$B$3005,$A251,請求記録!$X$6:$X$3005,Q$5,請求記録!$AD$6:$AD$3005,"保留中")&gt;0,"保留",IF(COUNTIFS(請求記録!$B$6:$B$3005,$A251,請求記録!$X$6:$X$3005,Q$5)=0,"",SUMIFS(請求記録!$AC$6:$AC$3005,請求記録!$B$6:$B$3005,$A251,請求記録!$X$6:$X$3005,Q$5))))</f>
        <v/>
      </c>
      <c r="R251" s="19">
        <f>IF($A251="","",IF(COUNTIFS(請求記録!$B$6:$B$3005,$A251,請求記録!$X$6:$X$3005,R$5,請求記録!$AD$6:$AD$3005,"保留中")&gt;0,"保留",IF(COUNTIFS(請求記録!$B$6:$B$3005,$A251,請求記録!$X$6:$X$3005,R$5)=0,"",SUMIFS(請求記録!$AC$6:$AC$3005,請求記録!$B$6:$B$3005,$A251,請求記録!$X$6:$X$3005,R$5))))</f>
        <v/>
      </c>
      <c r="S251" s="19">
        <f>IF($A251="","",IF(COUNTIFS(請求記録!$B$6:$B$3005,$A251,請求記録!$X$6:$X$3005,S$5,請求記録!$AD$6:$AD$3005,"保留中")&gt;0,"保留",IF(COUNTIFS(請求記録!$B$6:$B$3005,$A251,請求記録!$X$6:$X$3005,S$5)=0,"",SUMIFS(請求記録!$AC$6:$AC$3005,請求記録!$B$6:$B$3005,$A251,請求記録!$X$6:$X$3005,S$5))))</f>
        <v/>
      </c>
      <c r="T251" s="19">
        <f>IF($A251="","",IF(COUNTIFS(請求記録!$B$6:$B$3005,$A251,請求記録!$X$6:$X$3005,T$5,請求記録!$AD$6:$AD$3005,"保留中")&gt;0,"保留",IF(COUNTIFS(請求記録!$B$6:$B$3005,$A251,請求記録!$X$6:$X$3005,T$5)=0,"",SUMIFS(請求記録!$AC$6:$AC$3005,請求記録!$B$6:$B$3005,$A251,請求記録!$X$6:$X$3005,T$5))))</f>
        <v/>
      </c>
      <c r="U251" s="19">
        <f>IF($A251="","",IF(COUNTIFS(請求記録!$B$6:$B$3005,$A251,請求記録!$X$6:$X$3005,U$5,請求記録!$AD$6:$AD$3005,"保留中")&gt;0,"保留",IF(COUNTIFS(請求記録!$B$6:$B$3005,$A251,請求記録!$X$6:$X$3005,U$5)=0,"",SUMIFS(請求記録!$AC$6:$AC$3005,請求記録!$B$6:$B$3005,$A251,請求記録!$X$6:$X$3005,U$5))))</f>
        <v/>
      </c>
      <c r="V251" s="19">
        <f>IF($A251="","",IF(COUNTIFS(請求記録!$B$6:$B$3005,$A251,請求記録!$X$6:$X$3005,V$5,請求記録!$AD$6:$AD$3005,"保留中")&gt;0,"保留",IF(COUNTIFS(請求記録!$B$6:$B$3005,$A251,請求記録!$X$6:$X$3005,V$5)=0,"",SUMIFS(請求記録!$AC$6:$AC$3005,請求記録!$B$6:$B$3005,$A251,請求記録!$X$6:$X$3005,V$5))))</f>
        <v/>
      </c>
      <c r="W251" s="19">
        <f>IF($A251="","",IF(COUNTIFS(請求記録!$B$6:$B$3005,$A251,請求記録!$X$6:$X$3005,W$5,請求記録!$AD$6:$AD$3005,"保留中")&gt;0,"保留",IF(COUNTIFS(請求記録!$B$6:$B$3005,$A251,請求記録!$X$6:$X$3005,W$5)=0,"",SUMIFS(請求記録!$AC$6:$AC$3005,請求記録!$B$6:$B$3005,$A251,請求記録!$X$6:$X$3005,W$5))))</f>
        <v/>
      </c>
      <c r="X251" s="19">
        <f>IF($A251="","",IF(COUNTIFS(請求記録!$B$6:$B$3005,$A251,請求記録!$X$6:$X$3005,X$5,請求記録!$AD$6:$AD$3005,"保留中")&gt;0,"保留",IF(COUNTIFS(請求記録!$B$6:$B$3005,$A251,請求記録!$X$6:$X$3005,X$5)=0,"",SUMIFS(請求記録!$AC$6:$AC$3005,請求記録!$B$6:$B$3005,$A251,請求記録!$X$6:$X$3005,X$5))))</f>
        <v/>
      </c>
      <c r="Y251" s="19">
        <f>IF($A251="","",IF(COUNTIFS(請求記録!$B$6:$B$3005,$A251,請求記録!$X$6:$X$3005,Y$5,請求記録!$AD$6:$AD$3005,"保留中")&gt;0,"保留",IF(COUNTIFS(請求記録!$B$6:$B$3005,$A251,請求記録!$X$6:$X$3005,Y$5)=0,"",SUMIFS(請求記録!$AC$6:$AC$3005,請求記録!$B$6:$B$3005,$A251,請求記録!$X$6:$X$3005,Y$5))))</f>
        <v/>
      </c>
      <c r="Z251" s="19">
        <f>IF($A251="","",IF(COUNTIFS(請求記録!$B$6:$B$3005,$A251,請求記録!$X$6:$X$3005,Z$5,請求記録!$AD$6:$AD$3005,"保留中")&gt;0,"保留",IF(COUNTIFS(請求記録!$B$6:$B$3005,$A251,請求記録!$X$6:$X$3005,Z$5)=0,"",SUMIFS(請求記録!$AC$6:$AC$3005,請求記録!$B$6:$B$3005,$A251,請求記録!$X$6:$X$3005,Z$5))))</f>
        <v/>
      </c>
      <c r="AA251" s="19">
        <f>IF($A251="","",IF(COUNTIFS(請求記録!$B$6:$B$3005,$A251,請求記録!$X$6:$X$3005,AA$5,請求記録!$AD$6:$AD$3005,"保留中")&gt;0,"保留",IF(COUNTIFS(請求記録!$B$6:$B$3005,$A251,請求記録!$X$6:$X$3005,AA$5)=0,"",SUMIFS(請求記録!$AC$6:$AC$3005,請求記録!$B$6:$B$3005,$A251,請求記録!$X$6:$X$3005,AA$5))))</f>
        <v/>
      </c>
      <c r="AB251">
        <f>IF(職員マスタ!P251="保留中",職員マスタ!M251,"")</f>
        <v/>
      </c>
    </row>
    <row r="252">
      <c r="A252">
        <f>IF(職員マスタ!A252="","",職員マスタ!A252)</f>
        <v/>
      </c>
      <c r="B252">
        <f>IF($A252="","",職員マスタ!B252)</f>
        <v/>
      </c>
      <c r="C252">
        <f>IF($A252="","",職員マスタ!C252)</f>
        <v/>
      </c>
      <c r="D252" s="19">
        <f>IF($A252="","",IF(COUNTIFS(請求記録!$B$6:$B$3005,$A252,請求記録!$X$6:$X$3005,D$5,請求記録!$AD$6:$AD$3005,"保留中")&gt;0,"保留",IF(COUNTIFS(請求記録!$B$6:$B$3005,$A252,請求記録!$X$6:$X$3005,D$5)=0,"",SUMIFS(請求記録!$AC$6:$AC$3005,請求記録!$B$6:$B$3005,$A252,請求記録!$X$6:$X$3005,D$5))))</f>
        <v/>
      </c>
      <c r="E252" s="19">
        <f>IF($A252="","",IF(COUNTIFS(請求記録!$B$6:$B$3005,$A252,請求記録!$X$6:$X$3005,E$5,請求記録!$AD$6:$AD$3005,"保留中")&gt;0,"保留",IF(COUNTIFS(請求記録!$B$6:$B$3005,$A252,請求記録!$X$6:$X$3005,E$5)=0,"",SUMIFS(請求記録!$AC$6:$AC$3005,請求記録!$B$6:$B$3005,$A252,請求記録!$X$6:$X$3005,E$5))))</f>
        <v/>
      </c>
      <c r="F252" s="19">
        <f>IF($A252="","",IF(COUNTIFS(請求記録!$B$6:$B$3005,$A252,請求記録!$X$6:$X$3005,F$5,請求記録!$AD$6:$AD$3005,"保留中")&gt;0,"保留",IF(COUNTIFS(請求記録!$B$6:$B$3005,$A252,請求記録!$X$6:$X$3005,F$5)=0,"",SUMIFS(請求記録!$AC$6:$AC$3005,請求記録!$B$6:$B$3005,$A252,請求記録!$X$6:$X$3005,F$5))))</f>
        <v/>
      </c>
      <c r="G252" s="19">
        <f>IF($A252="","",IF(COUNTIFS(請求記録!$B$6:$B$3005,$A252,請求記録!$X$6:$X$3005,G$5,請求記録!$AD$6:$AD$3005,"保留中")&gt;0,"保留",IF(COUNTIFS(請求記録!$B$6:$B$3005,$A252,請求記録!$X$6:$X$3005,G$5)=0,"",SUMIFS(請求記録!$AC$6:$AC$3005,請求記録!$B$6:$B$3005,$A252,請求記録!$X$6:$X$3005,G$5))))</f>
        <v/>
      </c>
      <c r="H252" s="19">
        <f>IF($A252="","",IF(COUNTIFS(請求記録!$B$6:$B$3005,$A252,請求記録!$X$6:$X$3005,H$5,請求記録!$AD$6:$AD$3005,"保留中")&gt;0,"保留",IF(COUNTIFS(請求記録!$B$6:$B$3005,$A252,請求記録!$X$6:$X$3005,H$5)=0,"",SUMIFS(請求記録!$AC$6:$AC$3005,請求記録!$B$6:$B$3005,$A252,請求記録!$X$6:$X$3005,H$5))))</f>
        <v/>
      </c>
      <c r="I252" s="19">
        <f>IF($A252="","",IF(COUNTIFS(請求記録!$B$6:$B$3005,$A252,請求記録!$X$6:$X$3005,I$5,請求記録!$AD$6:$AD$3005,"保留中")&gt;0,"保留",IF(COUNTIFS(請求記録!$B$6:$B$3005,$A252,請求記録!$X$6:$X$3005,I$5)=0,"",SUMIFS(請求記録!$AC$6:$AC$3005,請求記録!$B$6:$B$3005,$A252,請求記録!$X$6:$X$3005,I$5))))</f>
        <v/>
      </c>
      <c r="J252" s="19">
        <f>IF($A252="","",IF(COUNTIFS(請求記録!$B$6:$B$3005,$A252,請求記録!$X$6:$X$3005,J$5,請求記録!$AD$6:$AD$3005,"保留中")&gt;0,"保留",IF(COUNTIFS(請求記録!$B$6:$B$3005,$A252,請求記録!$X$6:$X$3005,J$5)=0,"",SUMIFS(請求記録!$AC$6:$AC$3005,請求記録!$B$6:$B$3005,$A252,請求記録!$X$6:$X$3005,J$5))))</f>
        <v/>
      </c>
      <c r="K252" s="19">
        <f>IF($A252="","",IF(COUNTIFS(請求記録!$B$6:$B$3005,$A252,請求記録!$X$6:$X$3005,K$5,請求記録!$AD$6:$AD$3005,"保留中")&gt;0,"保留",IF(COUNTIFS(請求記録!$B$6:$B$3005,$A252,請求記録!$X$6:$X$3005,K$5)=0,"",SUMIFS(請求記録!$AC$6:$AC$3005,請求記録!$B$6:$B$3005,$A252,請求記録!$X$6:$X$3005,K$5))))</f>
        <v/>
      </c>
      <c r="L252" s="19">
        <f>IF($A252="","",IF(COUNTIFS(請求記録!$B$6:$B$3005,$A252,請求記録!$X$6:$X$3005,L$5,請求記録!$AD$6:$AD$3005,"保留中")&gt;0,"保留",IF(COUNTIFS(請求記録!$B$6:$B$3005,$A252,請求記録!$X$6:$X$3005,L$5)=0,"",SUMIFS(請求記録!$AC$6:$AC$3005,請求記録!$B$6:$B$3005,$A252,請求記録!$X$6:$X$3005,L$5))))</f>
        <v/>
      </c>
      <c r="M252" s="19">
        <f>IF($A252="","",IF(COUNTIFS(請求記録!$B$6:$B$3005,$A252,請求記録!$X$6:$X$3005,M$5,請求記録!$AD$6:$AD$3005,"保留中")&gt;0,"保留",IF(COUNTIFS(請求記録!$B$6:$B$3005,$A252,請求記録!$X$6:$X$3005,M$5)=0,"",SUMIFS(請求記録!$AC$6:$AC$3005,請求記録!$B$6:$B$3005,$A252,請求記録!$X$6:$X$3005,M$5))))</f>
        <v/>
      </c>
      <c r="N252" s="19">
        <f>IF($A252="","",IF(COUNTIFS(請求記録!$B$6:$B$3005,$A252,請求記録!$X$6:$X$3005,N$5,請求記録!$AD$6:$AD$3005,"保留中")&gt;0,"保留",IF(COUNTIFS(請求記録!$B$6:$B$3005,$A252,請求記録!$X$6:$X$3005,N$5)=0,"",SUMIFS(請求記録!$AC$6:$AC$3005,請求記録!$B$6:$B$3005,$A252,請求記録!$X$6:$X$3005,N$5))))</f>
        <v/>
      </c>
      <c r="O252" s="19">
        <f>IF($A252="","",IF(COUNTIFS(請求記録!$B$6:$B$3005,$A252,請求記録!$X$6:$X$3005,O$5,請求記録!$AD$6:$AD$3005,"保留中")&gt;0,"保留",IF(COUNTIFS(請求記録!$B$6:$B$3005,$A252,請求記録!$X$6:$X$3005,O$5)=0,"",SUMIFS(請求記録!$AC$6:$AC$3005,請求記録!$B$6:$B$3005,$A252,請求記録!$X$6:$X$3005,O$5))))</f>
        <v/>
      </c>
      <c r="P252" s="19">
        <f>IF($A252="","",IF(COUNTIFS(請求記録!$B$6:$B$3005,$A252,請求記録!$X$6:$X$3005,P$5,請求記録!$AD$6:$AD$3005,"保留中")&gt;0,"保留",IF(COUNTIFS(請求記録!$B$6:$B$3005,$A252,請求記録!$X$6:$X$3005,P$5)=0,"",SUMIFS(請求記録!$AC$6:$AC$3005,請求記録!$B$6:$B$3005,$A252,請求記録!$X$6:$X$3005,P$5))))</f>
        <v/>
      </c>
      <c r="Q252" s="19">
        <f>IF($A252="","",IF(COUNTIFS(請求記録!$B$6:$B$3005,$A252,請求記録!$X$6:$X$3005,Q$5,請求記録!$AD$6:$AD$3005,"保留中")&gt;0,"保留",IF(COUNTIFS(請求記録!$B$6:$B$3005,$A252,請求記録!$X$6:$X$3005,Q$5)=0,"",SUMIFS(請求記録!$AC$6:$AC$3005,請求記録!$B$6:$B$3005,$A252,請求記録!$X$6:$X$3005,Q$5))))</f>
        <v/>
      </c>
      <c r="R252" s="19">
        <f>IF($A252="","",IF(COUNTIFS(請求記録!$B$6:$B$3005,$A252,請求記録!$X$6:$X$3005,R$5,請求記録!$AD$6:$AD$3005,"保留中")&gt;0,"保留",IF(COUNTIFS(請求記録!$B$6:$B$3005,$A252,請求記録!$X$6:$X$3005,R$5)=0,"",SUMIFS(請求記録!$AC$6:$AC$3005,請求記録!$B$6:$B$3005,$A252,請求記録!$X$6:$X$3005,R$5))))</f>
        <v/>
      </c>
      <c r="S252" s="19">
        <f>IF($A252="","",IF(COUNTIFS(請求記録!$B$6:$B$3005,$A252,請求記録!$X$6:$X$3005,S$5,請求記録!$AD$6:$AD$3005,"保留中")&gt;0,"保留",IF(COUNTIFS(請求記録!$B$6:$B$3005,$A252,請求記録!$X$6:$X$3005,S$5)=0,"",SUMIFS(請求記録!$AC$6:$AC$3005,請求記録!$B$6:$B$3005,$A252,請求記録!$X$6:$X$3005,S$5))))</f>
        <v/>
      </c>
      <c r="T252" s="19">
        <f>IF($A252="","",IF(COUNTIFS(請求記録!$B$6:$B$3005,$A252,請求記録!$X$6:$X$3005,T$5,請求記録!$AD$6:$AD$3005,"保留中")&gt;0,"保留",IF(COUNTIFS(請求記録!$B$6:$B$3005,$A252,請求記録!$X$6:$X$3005,T$5)=0,"",SUMIFS(請求記録!$AC$6:$AC$3005,請求記録!$B$6:$B$3005,$A252,請求記録!$X$6:$X$3005,T$5))))</f>
        <v/>
      </c>
      <c r="U252" s="19">
        <f>IF($A252="","",IF(COUNTIFS(請求記録!$B$6:$B$3005,$A252,請求記録!$X$6:$X$3005,U$5,請求記録!$AD$6:$AD$3005,"保留中")&gt;0,"保留",IF(COUNTIFS(請求記録!$B$6:$B$3005,$A252,請求記録!$X$6:$X$3005,U$5)=0,"",SUMIFS(請求記録!$AC$6:$AC$3005,請求記録!$B$6:$B$3005,$A252,請求記録!$X$6:$X$3005,U$5))))</f>
        <v/>
      </c>
      <c r="V252" s="19">
        <f>IF($A252="","",IF(COUNTIFS(請求記録!$B$6:$B$3005,$A252,請求記録!$X$6:$X$3005,V$5,請求記録!$AD$6:$AD$3005,"保留中")&gt;0,"保留",IF(COUNTIFS(請求記録!$B$6:$B$3005,$A252,請求記録!$X$6:$X$3005,V$5)=0,"",SUMIFS(請求記録!$AC$6:$AC$3005,請求記録!$B$6:$B$3005,$A252,請求記録!$X$6:$X$3005,V$5))))</f>
        <v/>
      </c>
      <c r="W252" s="19">
        <f>IF($A252="","",IF(COUNTIFS(請求記録!$B$6:$B$3005,$A252,請求記録!$X$6:$X$3005,W$5,請求記録!$AD$6:$AD$3005,"保留中")&gt;0,"保留",IF(COUNTIFS(請求記録!$B$6:$B$3005,$A252,請求記録!$X$6:$X$3005,W$5)=0,"",SUMIFS(請求記録!$AC$6:$AC$3005,請求記録!$B$6:$B$3005,$A252,請求記録!$X$6:$X$3005,W$5))))</f>
        <v/>
      </c>
      <c r="X252" s="19">
        <f>IF($A252="","",IF(COUNTIFS(請求記録!$B$6:$B$3005,$A252,請求記録!$X$6:$X$3005,X$5,請求記録!$AD$6:$AD$3005,"保留中")&gt;0,"保留",IF(COUNTIFS(請求記録!$B$6:$B$3005,$A252,請求記録!$X$6:$X$3005,X$5)=0,"",SUMIFS(請求記録!$AC$6:$AC$3005,請求記録!$B$6:$B$3005,$A252,請求記録!$X$6:$X$3005,X$5))))</f>
        <v/>
      </c>
      <c r="Y252" s="19">
        <f>IF($A252="","",IF(COUNTIFS(請求記録!$B$6:$B$3005,$A252,請求記録!$X$6:$X$3005,Y$5,請求記録!$AD$6:$AD$3005,"保留中")&gt;0,"保留",IF(COUNTIFS(請求記録!$B$6:$B$3005,$A252,請求記録!$X$6:$X$3005,Y$5)=0,"",SUMIFS(請求記録!$AC$6:$AC$3005,請求記録!$B$6:$B$3005,$A252,請求記録!$X$6:$X$3005,Y$5))))</f>
        <v/>
      </c>
      <c r="Z252" s="19">
        <f>IF($A252="","",IF(COUNTIFS(請求記録!$B$6:$B$3005,$A252,請求記録!$X$6:$X$3005,Z$5,請求記録!$AD$6:$AD$3005,"保留中")&gt;0,"保留",IF(COUNTIFS(請求記録!$B$6:$B$3005,$A252,請求記録!$X$6:$X$3005,Z$5)=0,"",SUMIFS(請求記録!$AC$6:$AC$3005,請求記録!$B$6:$B$3005,$A252,請求記録!$X$6:$X$3005,Z$5))))</f>
        <v/>
      </c>
      <c r="AA252" s="19">
        <f>IF($A252="","",IF(COUNTIFS(請求記録!$B$6:$B$3005,$A252,請求記録!$X$6:$X$3005,AA$5,請求記録!$AD$6:$AD$3005,"保留中")&gt;0,"保留",IF(COUNTIFS(請求記録!$B$6:$B$3005,$A252,請求記録!$X$6:$X$3005,AA$5)=0,"",SUMIFS(請求記録!$AC$6:$AC$3005,請求記録!$B$6:$B$3005,$A252,請求記録!$X$6:$X$3005,AA$5))))</f>
        <v/>
      </c>
      <c r="AB252">
        <f>IF(職員マスタ!P252="保留中",職員マスタ!M252,"")</f>
        <v/>
      </c>
    </row>
    <row r="253">
      <c r="A253">
        <f>IF(職員マスタ!A253="","",職員マスタ!A253)</f>
        <v/>
      </c>
      <c r="B253">
        <f>IF($A253="","",職員マスタ!B253)</f>
        <v/>
      </c>
      <c r="C253">
        <f>IF($A253="","",職員マスタ!C253)</f>
        <v/>
      </c>
      <c r="D253" s="19">
        <f>IF($A253="","",IF(COUNTIFS(請求記録!$B$6:$B$3005,$A253,請求記録!$X$6:$X$3005,D$5,請求記録!$AD$6:$AD$3005,"保留中")&gt;0,"保留",IF(COUNTIFS(請求記録!$B$6:$B$3005,$A253,請求記録!$X$6:$X$3005,D$5)=0,"",SUMIFS(請求記録!$AC$6:$AC$3005,請求記録!$B$6:$B$3005,$A253,請求記録!$X$6:$X$3005,D$5))))</f>
        <v/>
      </c>
      <c r="E253" s="19">
        <f>IF($A253="","",IF(COUNTIFS(請求記録!$B$6:$B$3005,$A253,請求記録!$X$6:$X$3005,E$5,請求記録!$AD$6:$AD$3005,"保留中")&gt;0,"保留",IF(COUNTIFS(請求記録!$B$6:$B$3005,$A253,請求記録!$X$6:$X$3005,E$5)=0,"",SUMIFS(請求記録!$AC$6:$AC$3005,請求記録!$B$6:$B$3005,$A253,請求記録!$X$6:$X$3005,E$5))))</f>
        <v/>
      </c>
      <c r="F253" s="19">
        <f>IF($A253="","",IF(COUNTIFS(請求記録!$B$6:$B$3005,$A253,請求記録!$X$6:$X$3005,F$5,請求記録!$AD$6:$AD$3005,"保留中")&gt;0,"保留",IF(COUNTIFS(請求記録!$B$6:$B$3005,$A253,請求記録!$X$6:$X$3005,F$5)=0,"",SUMIFS(請求記録!$AC$6:$AC$3005,請求記録!$B$6:$B$3005,$A253,請求記録!$X$6:$X$3005,F$5))))</f>
        <v/>
      </c>
      <c r="G253" s="19">
        <f>IF($A253="","",IF(COUNTIFS(請求記録!$B$6:$B$3005,$A253,請求記録!$X$6:$X$3005,G$5,請求記録!$AD$6:$AD$3005,"保留中")&gt;0,"保留",IF(COUNTIFS(請求記録!$B$6:$B$3005,$A253,請求記録!$X$6:$X$3005,G$5)=0,"",SUMIFS(請求記録!$AC$6:$AC$3005,請求記録!$B$6:$B$3005,$A253,請求記録!$X$6:$X$3005,G$5))))</f>
        <v/>
      </c>
      <c r="H253" s="19">
        <f>IF($A253="","",IF(COUNTIFS(請求記録!$B$6:$B$3005,$A253,請求記録!$X$6:$X$3005,H$5,請求記録!$AD$6:$AD$3005,"保留中")&gt;0,"保留",IF(COUNTIFS(請求記録!$B$6:$B$3005,$A253,請求記録!$X$6:$X$3005,H$5)=0,"",SUMIFS(請求記録!$AC$6:$AC$3005,請求記録!$B$6:$B$3005,$A253,請求記録!$X$6:$X$3005,H$5))))</f>
        <v/>
      </c>
      <c r="I253" s="19">
        <f>IF($A253="","",IF(COUNTIFS(請求記録!$B$6:$B$3005,$A253,請求記録!$X$6:$X$3005,I$5,請求記録!$AD$6:$AD$3005,"保留中")&gt;0,"保留",IF(COUNTIFS(請求記録!$B$6:$B$3005,$A253,請求記録!$X$6:$X$3005,I$5)=0,"",SUMIFS(請求記録!$AC$6:$AC$3005,請求記録!$B$6:$B$3005,$A253,請求記録!$X$6:$X$3005,I$5))))</f>
        <v/>
      </c>
      <c r="J253" s="19">
        <f>IF($A253="","",IF(COUNTIFS(請求記録!$B$6:$B$3005,$A253,請求記録!$X$6:$X$3005,J$5,請求記録!$AD$6:$AD$3005,"保留中")&gt;0,"保留",IF(COUNTIFS(請求記録!$B$6:$B$3005,$A253,請求記録!$X$6:$X$3005,J$5)=0,"",SUMIFS(請求記録!$AC$6:$AC$3005,請求記録!$B$6:$B$3005,$A253,請求記録!$X$6:$X$3005,J$5))))</f>
        <v/>
      </c>
      <c r="K253" s="19">
        <f>IF($A253="","",IF(COUNTIFS(請求記録!$B$6:$B$3005,$A253,請求記録!$X$6:$X$3005,K$5,請求記録!$AD$6:$AD$3005,"保留中")&gt;0,"保留",IF(COUNTIFS(請求記録!$B$6:$B$3005,$A253,請求記録!$X$6:$X$3005,K$5)=0,"",SUMIFS(請求記録!$AC$6:$AC$3005,請求記録!$B$6:$B$3005,$A253,請求記録!$X$6:$X$3005,K$5))))</f>
        <v/>
      </c>
      <c r="L253" s="19">
        <f>IF($A253="","",IF(COUNTIFS(請求記録!$B$6:$B$3005,$A253,請求記録!$X$6:$X$3005,L$5,請求記録!$AD$6:$AD$3005,"保留中")&gt;0,"保留",IF(COUNTIFS(請求記録!$B$6:$B$3005,$A253,請求記録!$X$6:$X$3005,L$5)=0,"",SUMIFS(請求記録!$AC$6:$AC$3005,請求記録!$B$6:$B$3005,$A253,請求記録!$X$6:$X$3005,L$5))))</f>
        <v/>
      </c>
      <c r="M253" s="19">
        <f>IF($A253="","",IF(COUNTIFS(請求記録!$B$6:$B$3005,$A253,請求記録!$X$6:$X$3005,M$5,請求記録!$AD$6:$AD$3005,"保留中")&gt;0,"保留",IF(COUNTIFS(請求記録!$B$6:$B$3005,$A253,請求記録!$X$6:$X$3005,M$5)=0,"",SUMIFS(請求記録!$AC$6:$AC$3005,請求記録!$B$6:$B$3005,$A253,請求記録!$X$6:$X$3005,M$5))))</f>
        <v/>
      </c>
      <c r="N253" s="19">
        <f>IF($A253="","",IF(COUNTIFS(請求記録!$B$6:$B$3005,$A253,請求記録!$X$6:$X$3005,N$5,請求記録!$AD$6:$AD$3005,"保留中")&gt;0,"保留",IF(COUNTIFS(請求記録!$B$6:$B$3005,$A253,請求記録!$X$6:$X$3005,N$5)=0,"",SUMIFS(請求記録!$AC$6:$AC$3005,請求記録!$B$6:$B$3005,$A253,請求記録!$X$6:$X$3005,N$5))))</f>
        <v/>
      </c>
      <c r="O253" s="19">
        <f>IF($A253="","",IF(COUNTIFS(請求記録!$B$6:$B$3005,$A253,請求記録!$X$6:$X$3005,O$5,請求記録!$AD$6:$AD$3005,"保留中")&gt;0,"保留",IF(COUNTIFS(請求記録!$B$6:$B$3005,$A253,請求記録!$X$6:$X$3005,O$5)=0,"",SUMIFS(請求記録!$AC$6:$AC$3005,請求記録!$B$6:$B$3005,$A253,請求記録!$X$6:$X$3005,O$5))))</f>
        <v/>
      </c>
      <c r="P253" s="19">
        <f>IF($A253="","",IF(COUNTIFS(請求記録!$B$6:$B$3005,$A253,請求記録!$X$6:$X$3005,P$5,請求記録!$AD$6:$AD$3005,"保留中")&gt;0,"保留",IF(COUNTIFS(請求記録!$B$6:$B$3005,$A253,請求記録!$X$6:$X$3005,P$5)=0,"",SUMIFS(請求記録!$AC$6:$AC$3005,請求記録!$B$6:$B$3005,$A253,請求記録!$X$6:$X$3005,P$5))))</f>
        <v/>
      </c>
      <c r="Q253" s="19">
        <f>IF($A253="","",IF(COUNTIFS(請求記録!$B$6:$B$3005,$A253,請求記録!$X$6:$X$3005,Q$5,請求記録!$AD$6:$AD$3005,"保留中")&gt;0,"保留",IF(COUNTIFS(請求記録!$B$6:$B$3005,$A253,請求記録!$X$6:$X$3005,Q$5)=0,"",SUMIFS(請求記録!$AC$6:$AC$3005,請求記録!$B$6:$B$3005,$A253,請求記録!$X$6:$X$3005,Q$5))))</f>
        <v/>
      </c>
      <c r="R253" s="19">
        <f>IF($A253="","",IF(COUNTIFS(請求記録!$B$6:$B$3005,$A253,請求記録!$X$6:$X$3005,R$5,請求記録!$AD$6:$AD$3005,"保留中")&gt;0,"保留",IF(COUNTIFS(請求記録!$B$6:$B$3005,$A253,請求記録!$X$6:$X$3005,R$5)=0,"",SUMIFS(請求記録!$AC$6:$AC$3005,請求記録!$B$6:$B$3005,$A253,請求記録!$X$6:$X$3005,R$5))))</f>
        <v/>
      </c>
      <c r="S253" s="19">
        <f>IF($A253="","",IF(COUNTIFS(請求記録!$B$6:$B$3005,$A253,請求記録!$X$6:$X$3005,S$5,請求記録!$AD$6:$AD$3005,"保留中")&gt;0,"保留",IF(COUNTIFS(請求記録!$B$6:$B$3005,$A253,請求記録!$X$6:$X$3005,S$5)=0,"",SUMIFS(請求記録!$AC$6:$AC$3005,請求記録!$B$6:$B$3005,$A253,請求記録!$X$6:$X$3005,S$5))))</f>
        <v/>
      </c>
      <c r="T253" s="19">
        <f>IF($A253="","",IF(COUNTIFS(請求記録!$B$6:$B$3005,$A253,請求記録!$X$6:$X$3005,T$5,請求記録!$AD$6:$AD$3005,"保留中")&gt;0,"保留",IF(COUNTIFS(請求記録!$B$6:$B$3005,$A253,請求記録!$X$6:$X$3005,T$5)=0,"",SUMIFS(請求記録!$AC$6:$AC$3005,請求記録!$B$6:$B$3005,$A253,請求記録!$X$6:$X$3005,T$5))))</f>
        <v/>
      </c>
      <c r="U253" s="19">
        <f>IF($A253="","",IF(COUNTIFS(請求記録!$B$6:$B$3005,$A253,請求記録!$X$6:$X$3005,U$5,請求記録!$AD$6:$AD$3005,"保留中")&gt;0,"保留",IF(COUNTIFS(請求記録!$B$6:$B$3005,$A253,請求記録!$X$6:$X$3005,U$5)=0,"",SUMIFS(請求記録!$AC$6:$AC$3005,請求記録!$B$6:$B$3005,$A253,請求記録!$X$6:$X$3005,U$5))))</f>
        <v/>
      </c>
      <c r="V253" s="19">
        <f>IF($A253="","",IF(COUNTIFS(請求記録!$B$6:$B$3005,$A253,請求記録!$X$6:$X$3005,V$5,請求記録!$AD$6:$AD$3005,"保留中")&gt;0,"保留",IF(COUNTIFS(請求記録!$B$6:$B$3005,$A253,請求記録!$X$6:$X$3005,V$5)=0,"",SUMIFS(請求記録!$AC$6:$AC$3005,請求記録!$B$6:$B$3005,$A253,請求記録!$X$6:$X$3005,V$5))))</f>
        <v/>
      </c>
      <c r="W253" s="19">
        <f>IF($A253="","",IF(COUNTIFS(請求記録!$B$6:$B$3005,$A253,請求記録!$X$6:$X$3005,W$5,請求記録!$AD$6:$AD$3005,"保留中")&gt;0,"保留",IF(COUNTIFS(請求記録!$B$6:$B$3005,$A253,請求記録!$X$6:$X$3005,W$5)=0,"",SUMIFS(請求記録!$AC$6:$AC$3005,請求記録!$B$6:$B$3005,$A253,請求記録!$X$6:$X$3005,W$5))))</f>
        <v/>
      </c>
      <c r="X253" s="19">
        <f>IF($A253="","",IF(COUNTIFS(請求記録!$B$6:$B$3005,$A253,請求記録!$X$6:$X$3005,X$5,請求記録!$AD$6:$AD$3005,"保留中")&gt;0,"保留",IF(COUNTIFS(請求記録!$B$6:$B$3005,$A253,請求記録!$X$6:$X$3005,X$5)=0,"",SUMIFS(請求記録!$AC$6:$AC$3005,請求記録!$B$6:$B$3005,$A253,請求記録!$X$6:$X$3005,X$5))))</f>
        <v/>
      </c>
      <c r="Y253" s="19">
        <f>IF($A253="","",IF(COUNTIFS(請求記録!$B$6:$B$3005,$A253,請求記録!$X$6:$X$3005,Y$5,請求記録!$AD$6:$AD$3005,"保留中")&gt;0,"保留",IF(COUNTIFS(請求記録!$B$6:$B$3005,$A253,請求記録!$X$6:$X$3005,Y$5)=0,"",SUMIFS(請求記録!$AC$6:$AC$3005,請求記録!$B$6:$B$3005,$A253,請求記録!$X$6:$X$3005,Y$5))))</f>
        <v/>
      </c>
      <c r="Z253" s="19">
        <f>IF($A253="","",IF(COUNTIFS(請求記録!$B$6:$B$3005,$A253,請求記録!$X$6:$X$3005,Z$5,請求記録!$AD$6:$AD$3005,"保留中")&gt;0,"保留",IF(COUNTIFS(請求記録!$B$6:$B$3005,$A253,請求記録!$X$6:$X$3005,Z$5)=0,"",SUMIFS(請求記録!$AC$6:$AC$3005,請求記録!$B$6:$B$3005,$A253,請求記録!$X$6:$X$3005,Z$5))))</f>
        <v/>
      </c>
      <c r="AA253" s="19">
        <f>IF($A253="","",IF(COUNTIFS(請求記録!$B$6:$B$3005,$A253,請求記録!$X$6:$X$3005,AA$5,請求記録!$AD$6:$AD$3005,"保留中")&gt;0,"保留",IF(COUNTIFS(請求記録!$B$6:$B$3005,$A253,請求記録!$X$6:$X$3005,AA$5)=0,"",SUMIFS(請求記録!$AC$6:$AC$3005,請求記録!$B$6:$B$3005,$A253,請求記録!$X$6:$X$3005,AA$5))))</f>
        <v/>
      </c>
      <c r="AB253">
        <f>IF(職員マスタ!P253="保留中",職員マスタ!M253,"")</f>
        <v/>
      </c>
    </row>
    <row r="254">
      <c r="A254">
        <f>IF(職員マスタ!A254="","",職員マスタ!A254)</f>
        <v/>
      </c>
      <c r="B254">
        <f>IF($A254="","",職員マスタ!B254)</f>
        <v/>
      </c>
      <c r="C254">
        <f>IF($A254="","",職員マスタ!C254)</f>
        <v/>
      </c>
      <c r="D254" s="19">
        <f>IF($A254="","",IF(COUNTIFS(請求記録!$B$6:$B$3005,$A254,請求記録!$X$6:$X$3005,D$5,請求記録!$AD$6:$AD$3005,"保留中")&gt;0,"保留",IF(COUNTIFS(請求記録!$B$6:$B$3005,$A254,請求記録!$X$6:$X$3005,D$5)=0,"",SUMIFS(請求記録!$AC$6:$AC$3005,請求記録!$B$6:$B$3005,$A254,請求記録!$X$6:$X$3005,D$5))))</f>
        <v/>
      </c>
      <c r="E254" s="19">
        <f>IF($A254="","",IF(COUNTIFS(請求記録!$B$6:$B$3005,$A254,請求記録!$X$6:$X$3005,E$5,請求記録!$AD$6:$AD$3005,"保留中")&gt;0,"保留",IF(COUNTIFS(請求記録!$B$6:$B$3005,$A254,請求記録!$X$6:$X$3005,E$5)=0,"",SUMIFS(請求記録!$AC$6:$AC$3005,請求記録!$B$6:$B$3005,$A254,請求記録!$X$6:$X$3005,E$5))))</f>
        <v/>
      </c>
      <c r="F254" s="19">
        <f>IF($A254="","",IF(COUNTIFS(請求記録!$B$6:$B$3005,$A254,請求記録!$X$6:$X$3005,F$5,請求記録!$AD$6:$AD$3005,"保留中")&gt;0,"保留",IF(COUNTIFS(請求記録!$B$6:$B$3005,$A254,請求記録!$X$6:$X$3005,F$5)=0,"",SUMIFS(請求記録!$AC$6:$AC$3005,請求記録!$B$6:$B$3005,$A254,請求記録!$X$6:$X$3005,F$5))))</f>
        <v/>
      </c>
      <c r="G254" s="19">
        <f>IF($A254="","",IF(COUNTIFS(請求記録!$B$6:$B$3005,$A254,請求記録!$X$6:$X$3005,G$5,請求記録!$AD$6:$AD$3005,"保留中")&gt;0,"保留",IF(COUNTIFS(請求記録!$B$6:$B$3005,$A254,請求記録!$X$6:$X$3005,G$5)=0,"",SUMIFS(請求記録!$AC$6:$AC$3005,請求記録!$B$6:$B$3005,$A254,請求記録!$X$6:$X$3005,G$5))))</f>
        <v/>
      </c>
      <c r="H254" s="19">
        <f>IF($A254="","",IF(COUNTIFS(請求記録!$B$6:$B$3005,$A254,請求記録!$X$6:$X$3005,H$5,請求記録!$AD$6:$AD$3005,"保留中")&gt;0,"保留",IF(COUNTIFS(請求記録!$B$6:$B$3005,$A254,請求記録!$X$6:$X$3005,H$5)=0,"",SUMIFS(請求記録!$AC$6:$AC$3005,請求記録!$B$6:$B$3005,$A254,請求記録!$X$6:$X$3005,H$5))))</f>
        <v/>
      </c>
      <c r="I254" s="19">
        <f>IF($A254="","",IF(COUNTIFS(請求記録!$B$6:$B$3005,$A254,請求記録!$X$6:$X$3005,I$5,請求記録!$AD$6:$AD$3005,"保留中")&gt;0,"保留",IF(COUNTIFS(請求記録!$B$6:$B$3005,$A254,請求記録!$X$6:$X$3005,I$5)=0,"",SUMIFS(請求記録!$AC$6:$AC$3005,請求記録!$B$6:$B$3005,$A254,請求記録!$X$6:$X$3005,I$5))))</f>
        <v/>
      </c>
      <c r="J254" s="19">
        <f>IF($A254="","",IF(COUNTIFS(請求記録!$B$6:$B$3005,$A254,請求記録!$X$6:$X$3005,J$5,請求記録!$AD$6:$AD$3005,"保留中")&gt;0,"保留",IF(COUNTIFS(請求記録!$B$6:$B$3005,$A254,請求記録!$X$6:$X$3005,J$5)=0,"",SUMIFS(請求記録!$AC$6:$AC$3005,請求記録!$B$6:$B$3005,$A254,請求記録!$X$6:$X$3005,J$5))))</f>
        <v/>
      </c>
      <c r="K254" s="19">
        <f>IF($A254="","",IF(COUNTIFS(請求記録!$B$6:$B$3005,$A254,請求記録!$X$6:$X$3005,K$5,請求記録!$AD$6:$AD$3005,"保留中")&gt;0,"保留",IF(COUNTIFS(請求記録!$B$6:$B$3005,$A254,請求記録!$X$6:$X$3005,K$5)=0,"",SUMIFS(請求記録!$AC$6:$AC$3005,請求記録!$B$6:$B$3005,$A254,請求記録!$X$6:$X$3005,K$5))))</f>
        <v/>
      </c>
      <c r="L254" s="19">
        <f>IF($A254="","",IF(COUNTIFS(請求記録!$B$6:$B$3005,$A254,請求記録!$X$6:$X$3005,L$5,請求記録!$AD$6:$AD$3005,"保留中")&gt;0,"保留",IF(COUNTIFS(請求記録!$B$6:$B$3005,$A254,請求記録!$X$6:$X$3005,L$5)=0,"",SUMIFS(請求記録!$AC$6:$AC$3005,請求記録!$B$6:$B$3005,$A254,請求記録!$X$6:$X$3005,L$5))))</f>
        <v/>
      </c>
      <c r="M254" s="19">
        <f>IF($A254="","",IF(COUNTIFS(請求記録!$B$6:$B$3005,$A254,請求記録!$X$6:$X$3005,M$5,請求記録!$AD$6:$AD$3005,"保留中")&gt;0,"保留",IF(COUNTIFS(請求記録!$B$6:$B$3005,$A254,請求記録!$X$6:$X$3005,M$5)=0,"",SUMIFS(請求記録!$AC$6:$AC$3005,請求記録!$B$6:$B$3005,$A254,請求記録!$X$6:$X$3005,M$5))))</f>
        <v/>
      </c>
      <c r="N254" s="19">
        <f>IF($A254="","",IF(COUNTIFS(請求記録!$B$6:$B$3005,$A254,請求記録!$X$6:$X$3005,N$5,請求記録!$AD$6:$AD$3005,"保留中")&gt;0,"保留",IF(COUNTIFS(請求記録!$B$6:$B$3005,$A254,請求記録!$X$6:$X$3005,N$5)=0,"",SUMIFS(請求記録!$AC$6:$AC$3005,請求記録!$B$6:$B$3005,$A254,請求記録!$X$6:$X$3005,N$5))))</f>
        <v/>
      </c>
      <c r="O254" s="19">
        <f>IF($A254="","",IF(COUNTIFS(請求記録!$B$6:$B$3005,$A254,請求記録!$X$6:$X$3005,O$5,請求記録!$AD$6:$AD$3005,"保留中")&gt;0,"保留",IF(COUNTIFS(請求記録!$B$6:$B$3005,$A254,請求記録!$X$6:$X$3005,O$5)=0,"",SUMIFS(請求記録!$AC$6:$AC$3005,請求記録!$B$6:$B$3005,$A254,請求記録!$X$6:$X$3005,O$5))))</f>
        <v/>
      </c>
      <c r="P254" s="19">
        <f>IF($A254="","",IF(COUNTIFS(請求記録!$B$6:$B$3005,$A254,請求記録!$X$6:$X$3005,P$5,請求記録!$AD$6:$AD$3005,"保留中")&gt;0,"保留",IF(COUNTIFS(請求記録!$B$6:$B$3005,$A254,請求記録!$X$6:$X$3005,P$5)=0,"",SUMIFS(請求記録!$AC$6:$AC$3005,請求記録!$B$6:$B$3005,$A254,請求記録!$X$6:$X$3005,P$5))))</f>
        <v/>
      </c>
      <c r="Q254" s="19">
        <f>IF($A254="","",IF(COUNTIFS(請求記録!$B$6:$B$3005,$A254,請求記録!$X$6:$X$3005,Q$5,請求記録!$AD$6:$AD$3005,"保留中")&gt;0,"保留",IF(COUNTIFS(請求記録!$B$6:$B$3005,$A254,請求記録!$X$6:$X$3005,Q$5)=0,"",SUMIFS(請求記録!$AC$6:$AC$3005,請求記録!$B$6:$B$3005,$A254,請求記録!$X$6:$X$3005,Q$5))))</f>
        <v/>
      </c>
      <c r="R254" s="19">
        <f>IF($A254="","",IF(COUNTIFS(請求記録!$B$6:$B$3005,$A254,請求記録!$X$6:$X$3005,R$5,請求記録!$AD$6:$AD$3005,"保留中")&gt;0,"保留",IF(COUNTIFS(請求記録!$B$6:$B$3005,$A254,請求記録!$X$6:$X$3005,R$5)=0,"",SUMIFS(請求記録!$AC$6:$AC$3005,請求記録!$B$6:$B$3005,$A254,請求記録!$X$6:$X$3005,R$5))))</f>
        <v/>
      </c>
      <c r="S254" s="19">
        <f>IF($A254="","",IF(COUNTIFS(請求記録!$B$6:$B$3005,$A254,請求記録!$X$6:$X$3005,S$5,請求記録!$AD$6:$AD$3005,"保留中")&gt;0,"保留",IF(COUNTIFS(請求記録!$B$6:$B$3005,$A254,請求記録!$X$6:$X$3005,S$5)=0,"",SUMIFS(請求記録!$AC$6:$AC$3005,請求記録!$B$6:$B$3005,$A254,請求記録!$X$6:$X$3005,S$5))))</f>
        <v/>
      </c>
      <c r="T254" s="19">
        <f>IF($A254="","",IF(COUNTIFS(請求記録!$B$6:$B$3005,$A254,請求記録!$X$6:$X$3005,T$5,請求記録!$AD$6:$AD$3005,"保留中")&gt;0,"保留",IF(COUNTIFS(請求記録!$B$6:$B$3005,$A254,請求記録!$X$6:$X$3005,T$5)=0,"",SUMIFS(請求記録!$AC$6:$AC$3005,請求記録!$B$6:$B$3005,$A254,請求記録!$X$6:$X$3005,T$5))))</f>
        <v/>
      </c>
      <c r="U254" s="19">
        <f>IF($A254="","",IF(COUNTIFS(請求記録!$B$6:$B$3005,$A254,請求記録!$X$6:$X$3005,U$5,請求記録!$AD$6:$AD$3005,"保留中")&gt;0,"保留",IF(COUNTIFS(請求記録!$B$6:$B$3005,$A254,請求記録!$X$6:$X$3005,U$5)=0,"",SUMIFS(請求記録!$AC$6:$AC$3005,請求記録!$B$6:$B$3005,$A254,請求記録!$X$6:$X$3005,U$5))))</f>
        <v/>
      </c>
      <c r="V254" s="19">
        <f>IF($A254="","",IF(COUNTIFS(請求記録!$B$6:$B$3005,$A254,請求記録!$X$6:$X$3005,V$5,請求記録!$AD$6:$AD$3005,"保留中")&gt;0,"保留",IF(COUNTIFS(請求記録!$B$6:$B$3005,$A254,請求記録!$X$6:$X$3005,V$5)=0,"",SUMIFS(請求記録!$AC$6:$AC$3005,請求記録!$B$6:$B$3005,$A254,請求記録!$X$6:$X$3005,V$5))))</f>
        <v/>
      </c>
      <c r="W254" s="19">
        <f>IF($A254="","",IF(COUNTIFS(請求記録!$B$6:$B$3005,$A254,請求記録!$X$6:$X$3005,W$5,請求記録!$AD$6:$AD$3005,"保留中")&gt;0,"保留",IF(COUNTIFS(請求記録!$B$6:$B$3005,$A254,請求記録!$X$6:$X$3005,W$5)=0,"",SUMIFS(請求記録!$AC$6:$AC$3005,請求記録!$B$6:$B$3005,$A254,請求記録!$X$6:$X$3005,W$5))))</f>
        <v/>
      </c>
      <c r="X254" s="19">
        <f>IF($A254="","",IF(COUNTIFS(請求記録!$B$6:$B$3005,$A254,請求記録!$X$6:$X$3005,X$5,請求記録!$AD$6:$AD$3005,"保留中")&gt;0,"保留",IF(COUNTIFS(請求記録!$B$6:$B$3005,$A254,請求記録!$X$6:$X$3005,X$5)=0,"",SUMIFS(請求記録!$AC$6:$AC$3005,請求記録!$B$6:$B$3005,$A254,請求記録!$X$6:$X$3005,X$5))))</f>
        <v/>
      </c>
      <c r="Y254" s="19">
        <f>IF($A254="","",IF(COUNTIFS(請求記録!$B$6:$B$3005,$A254,請求記録!$X$6:$X$3005,Y$5,請求記録!$AD$6:$AD$3005,"保留中")&gt;0,"保留",IF(COUNTIFS(請求記録!$B$6:$B$3005,$A254,請求記録!$X$6:$X$3005,Y$5)=0,"",SUMIFS(請求記録!$AC$6:$AC$3005,請求記録!$B$6:$B$3005,$A254,請求記録!$X$6:$X$3005,Y$5))))</f>
        <v/>
      </c>
      <c r="Z254" s="19">
        <f>IF($A254="","",IF(COUNTIFS(請求記録!$B$6:$B$3005,$A254,請求記録!$X$6:$X$3005,Z$5,請求記録!$AD$6:$AD$3005,"保留中")&gt;0,"保留",IF(COUNTIFS(請求記録!$B$6:$B$3005,$A254,請求記録!$X$6:$X$3005,Z$5)=0,"",SUMIFS(請求記録!$AC$6:$AC$3005,請求記録!$B$6:$B$3005,$A254,請求記録!$X$6:$X$3005,Z$5))))</f>
        <v/>
      </c>
      <c r="AA254" s="19">
        <f>IF($A254="","",IF(COUNTIFS(請求記録!$B$6:$B$3005,$A254,請求記録!$X$6:$X$3005,AA$5,請求記録!$AD$6:$AD$3005,"保留中")&gt;0,"保留",IF(COUNTIFS(請求記録!$B$6:$B$3005,$A254,請求記録!$X$6:$X$3005,AA$5)=0,"",SUMIFS(請求記録!$AC$6:$AC$3005,請求記録!$B$6:$B$3005,$A254,請求記録!$X$6:$X$3005,AA$5))))</f>
        <v/>
      </c>
      <c r="AB254">
        <f>IF(職員マスタ!P254="保留中",職員マスタ!M254,"")</f>
        <v/>
      </c>
    </row>
    <row r="255">
      <c r="A255">
        <f>IF(職員マスタ!A255="","",職員マスタ!A255)</f>
        <v/>
      </c>
      <c r="B255">
        <f>IF($A255="","",職員マスタ!B255)</f>
        <v/>
      </c>
      <c r="C255">
        <f>IF($A255="","",職員マスタ!C255)</f>
        <v/>
      </c>
      <c r="D255" s="19">
        <f>IF($A255="","",IF(COUNTIFS(請求記録!$B$6:$B$3005,$A255,請求記録!$X$6:$X$3005,D$5,請求記録!$AD$6:$AD$3005,"保留中")&gt;0,"保留",IF(COUNTIFS(請求記録!$B$6:$B$3005,$A255,請求記録!$X$6:$X$3005,D$5)=0,"",SUMIFS(請求記録!$AC$6:$AC$3005,請求記録!$B$6:$B$3005,$A255,請求記録!$X$6:$X$3005,D$5))))</f>
        <v/>
      </c>
      <c r="E255" s="19">
        <f>IF($A255="","",IF(COUNTIFS(請求記録!$B$6:$B$3005,$A255,請求記録!$X$6:$X$3005,E$5,請求記録!$AD$6:$AD$3005,"保留中")&gt;0,"保留",IF(COUNTIFS(請求記録!$B$6:$B$3005,$A255,請求記録!$X$6:$X$3005,E$5)=0,"",SUMIFS(請求記録!$AC$6:$AC$3005,請求記録!$B$6:$B$3005,$A255,請求記録!$X$6:$X$3005,E$5))))</f>
        <v/>
      </c>
      <c r="F255" s="19">
        <f>IF($A255="","",IF(COUNTIFS(請求記録!$B$6:$B$3005,$A255,請求記録!$X$6:$X$3005,F$5,請求記録!$AD$6:$AD$3005,"保留中")&gt;0,"保留",IF(COUNTIFS(請求記録!$B$6:$B$3005,$A255,請求記録!$X$6:$X$3005,F$5)=0,"",SUMIFS(請求記録!$AC$6:$AC$3005,請求記録!$B$6:$B$3005,$A255,請求記録!$X$6:$X$3005,F$5))))</f>
        <v/>
      </c>
      <c r="G255" s="19">
        <f>IF($A255="","",IF(COUNTIFS(請求記録!$B$6:$B$3005,$A255,請求記録!$X$6:$X$3005,G$5,請求記録!$AD$6:$AD$3005,"保留中")&gt;0,"保留",IF(COUNTIFS(請求記録!$B$6:$B$3005,$A255,請求記録!$X$6:$X$3005,G$5)=0,"",SUMIFS(請求記録!$AC$6:$AC$3005,請求記録!$B$6:$B$3005,$A255,請求記録!$X$6:$X$3005,G$5))))</f>
        <v/>
      </c>
      <c r="H255" s="19">
        <f>IF($A255="","",IF(COUNTIFS(請求記録!$B$6:$B$3005,$A255,請求記録!$X$6:$X$3005,H$5,請求記録!$AD$6:$AD$3005,"保留中")&gt;0,"保留",IF(COUNTIFS(請求記録!$B$6:$B$3005,$A255,請求記録!$X$6:$X$3005,H$5)=0,"",SUMIFS(請求記録!$AC$6:$AC$3005,請求記録!$B$6:$B$3005,$A255,請求記録!$X$6:$X$3005,H$5))))</f>
        <v/>
      </c>
      <c r="I255" s="19">
        <f>IF($A255="","",IF(COUNTIFS(請求記録!$B$6:$B$3005,$A255,請求記録!$X$6:$X$3005,I$5,請求記録!$AD$6:$AD$3005,"保留中")&gt;0,"保留",IF(COUNTIFS(請求記録!$B$6:$B$3005,$A255,請求記録!$X$6:$X$3005,I$5)=0,"",SUMIFS(請求記録!$AC$6:$AC$3005,請求記録!$B$6:$B$3005,$A255,請求記録!$X$6:$X$3005,I$5))))</f>
        <v/>
      </c>
      <c r="J255" s="19">
        <f>IF($A255="","",IF(COUNTIFS(請求記録!$B$6:$B$3005,$A255,請求記録!$X$6:$X$3005,J$5,請求記録!$AD$6:$AD$3005,"保留中")&gt;0,"保留",IF(COUNTIFS(請求記録!$B$6:$B$3005,$A255,請求記録!$X$6:$X$3005,J$5)=0,"",SUMIFS(請求記録!$AC$6:$AC$3005,請求記録!$B$6:$B$3005,$A255,請求記録!$X$6:$X$3005,J$5))))</f>
        <v/>
      </c>
      <c r="K255" s="19">
        <f>IF($A255="","",IF(COUNTIFS(請求記録!$B$6:$B$3005,$A255,請求記録!$X$6:$X$3005,K$5,請求記録!$AD$6:$AD$3005,"保留中")&gt;0,"保留",IF(COUNTIFS(請求記録!$B$6:$B$3005,$A255,請求記録!$X$6:$X$3005,K$5)=0,"",SUMIFS(請求記録!$AC$6:$AC$3005,請求記録!$B$6:$B$3005,$A255,請求記録!$X$6:$X$3005,K$5))))</f>
        <v/>
      </c>
      <c r="L255" s="19">
        <f>IF($A255="","",IF(COUNTIFS(請求記録!$B$6:$B$3005,$A255,請求記録!$X$6:$X$3005,L$5,請求記録!$AD$6:$AD$3005,"保留中")&gt;0,"保留",IF(COUNTIFS(請求記録!$B$6:$B$3005,$A255,請求記録!$X$6:$X$3005,L$5)=0,"",SUMIFS(請求記録!$AC$6:$AC$3005,請求記録!$B$6:$B$3005,$A255,請求記録!$X$6:$X$3005,L$5))))</f>
        <v/>
      </c>
      <c r="M255" s="19">
        <f>IF($A255="","",IF(COUNTIFS(請求記録!$B$6:$B$3005,$A255,請求記録!$X$6:$X$3005,M$5,請求記録!$AD$6:$AD$3005,"保留中")&gt;0,"保留",IF(COUNTIFS(請求記録!$B$6:$B$3005,$A255,請求記録!$X$6:$X$3005,M$5)=0,"",SUMIFS(請求記録!$AC$6:$AC$3005,請求記録!$B$6:$B$3005,$A255,請求記録!$X$6:$X$3005,M$5))))</f>
        <v/>
      </c>
      <c r="N255" s="19">
        <f>IF($A255="","",IF(COUNTIFS(請求記録!$B$6:$B$3005,$A255,請求記録!$X$6:$X$3005,N$5,請求記録!$AD$6:$AD$3005,"保留中")&gt;0,"保留",IF(COUNTIFS(請求記録!$B$6:$B$3005,$A255,請求記録!$X$6:$X$3005,N$5)=0,"",SUMIFS(請求記録!$AC$6:$AC$3005,請求記録!$B$6:$B$3005,$A255,請求記録!$X$6:$X$3005,N$5))))</f>
        <v/>
      </c>
      <c r="O255" s="19">
        <f>IF($A255="","",IF(COUNTIFS(請求記録!$B$6:$B$3005,$A255,請求記録!$X$6:$X$3005,O$5,請求記録!$AD$6:$AD$3005,"保留中")&gt;0,"保留",IF(COUNTIFS(請求記録!$B$6:$B$3005,$A255,請求記録!$X$6:$X$3005,O$5)=0,"",SUMIFS(請求記録!$AC$6:$AC$3005,請求記録!$B$6:$B$3005,$A255,請求記録!$X$6:$X$3005,O$5))))</f>
        <v/>
      </c>
      <c r="P255" s="19">
        <f>IF($A255="","",IF(COUNTIFS(請求記録!$B$6:$B$3005,$A255,請求記録!$X$6:$X$3005,P$5,請求記録!$AD$6:$AD$3005,"保留中")&gt;0,"保留",IF(COUNTIFS(請求記録!$B$6:$B$3005,$A255,請求記録!$X$6:$X$3005,P$5)=0,"",SUMIFS(請求記録!$AC$6:$AC$3005,請求記録!$B$6:$B$3005,$A255,請求記録!$X$6:$X$3005,P$5))))</f>
        <v/>
      </c>
      <c r="Q255" s="19">
        <f>IF($A255="","",IF(COUNTIFS(請求記録!$B$6:$B$3005,$A255,請求記録!$X$6:$X$3005,Q$5,請求記録!$AD$6:$AD$3005,"保留中")&gt;0,"保留",IF(COUNTIFS(請求記録!$B$6:$B$3005,$A255,請求記録!$X$6:$X$3005,Q$5)=0,"",SUMIFS(請求記録!$AC$6:$AC$3005,請求記録!$B$6:$B$3005,$A255,請求記録!$X$6:$X$3005,Q$5))))</f>
        <v/>
      </c>
      <c r="R255" s="19">
        <f>IF($A255="","",IF(COUNTIFS(請求記録!$B$6:$B$3005,$A255,請求記録!$X$6:$X$3005,R$5,請求記録!$AD$6:$AD$3005,"保留中")&gt;0,"保留",IF(COUNTIFS(請求記録!$B$6:$B$3005,$A255,請求記録!$X$6:$X$3005,R$5)=0,"",SUMIFS(請求記録!$AC$6:$AC$3005,請求記録!$B$6:$B$3005,$A255,請求記録!$X$6:$X$3005,R$5))))</f>
        <v/>
      </c>
      <c r="S255" s="19">
        <f>IF($A255="","",IF(COUNTIFS(請求記録!$B$6:$B$3005,$A255,請求記録!$X$6:$X$3005,S$5,請求記録!$AD$6:$AD$3005,"保留中")&gt;0,"保留",IF(COUNTIFS(請求記録!$B$6:$B$3005,$A255,請求記録!$X$6:$X$3005,S$5)=0,"",SUMIFS(請求記録!$AC$6:$AC$3005,請求記録!$B$6:$B$3005,$A255,請求記録!$X$6:$X$3005,S$5))))</f>
        <v/>
      </c>
      <c r="T255" s="19">
        <f>IF($A255="","",IF(COUNTIFS(請求記録!$B$6:$B$3005,$A255,請求記録!$X$6:$X$3005,T$5,請求記録!$AD$6:$AD$3005,"保留中")&gt;0,"保留",IF(COUNTIFS(請求記録!$B$6:$B$3005,$A255,請求記録!$X$6:$X$3005,T$5)=0,"",SUMIFS(請求記録!$AC$6:$AC$3005,請求記録!$B$6:$B$3005,$A255,請求記録!$X$6:$X$3005,T$5))))</f>
        <v/>
      </c>
      <c r="U255" s="19">
        <f>IF($A255="","",IF(COUNTIFS(請求記録!$B$6:$B$3005,$A255,請求記録!$X$6:$X$3005,U$5,請求記録!$AD$6:$AD$3005,"保留中")&gt;0,"保留",IF(COUNTIFS(請求記録!$B$6:$B$3005,$A255,請求記録!$X$6:$X$3005,U$5)=0,"",SUMIFS(請求記録!$AC$6:$AC$3005,請求記録!$B$6:$B$3005,$A255,請求記録!$X$6:$X$3005,U$5))))</f>
        <v/>
      </c>
      <c r="V255" s="19">
        <f>IF($A255="","",IF(COUNTIFS(請求記録!$B$6:$B$3005,$A255,請求記録!$X$6:$X$3005,V$5,請求記録!$AD$6:$AD$3005,"保留中")&gt;0,"保留",IF(COUNTIFS(請求記録!$B$6:$B$3005,$A255,請求記録!$X$6:$X$3005,V$5)=0,"",SUMIFS(請求記録!$AC$6:$AC$3005,請求記録!$B$6:$B$3005,$A255,請求記録!$X$6:$X$3005,V$5))))</f>
        <v/>
      </c>
      <c r="W255" s="19">
        <f>IF($A255="","",IF(COUNTIFS(請求記録!$B$6:$B$3005,$A255,請求記録!$X$6:$X$3005,W$5,請求記録!$AD$6:$AD$3005,"保留中")&gt;0,"保留",IF(COUNTIFS(請求記録!$B$6:$B$3005,$A255,請求記録!$X$6:$X$3005,W$5)=0,"",SUMIFS(請求記録!$AC$6:$AC$3005,請求記録!$B$6:$B$3005,$A255,請求記録!$X$6:$X$3005,W$5))))</f>
        <v/>
      </c>
      <c r="X255" s="19">
        <f>IF($A255="","",IF(COUNTIFS(請求記録!$B$6:$B$3005,$A255,請求記録!$X$6:$X$3005,X$5,請求記録!$AD$6:$AD$3005,"保留中")&gt;0,"保留",IF(COUNTIFS(請求記録!$B$6:$B$3005,$A255,請求記録!$X$6:$X$3005,X$5)=0,"",SUMIFS(請求記録!$AC$6:$AC$3005,請求記録!$B$6:$B$3005,$A255,請求記録!$X$6:$X$3005,X$5))))</f>
        <v/>
      </c>
      <c r="Y255" s="19">
        <f>IF($A255="","",IF(COUNTIFS(請求記録!$B$6:$B$3005,$A255,請求記録!$X$6:$X$3005,Y$5,請求記録!$AD$6:$AD$3005,"保留中")&gt;0,"保留",IF(COUNTIFS(請求記録!$B$6:$B$3005,$A255,請求記録!$X$6:$X$3005,Y$5)=0,"",SUMIFS(請求記録!$AC$6:$AC$3005,請求記録!$B$6:$B$3005,$A255,請求記録!$X$6:$X$3005,Y$5))))</f>
        <v/>
      </c>
      <c r="Z255" s="19">
        <f>IF($A255="","",IF(COUNTIFS(請求記録!$B$6:$B$3005,$A255,請求記録!$X$6:$X$3005,Z$5,請求記録!$AD$6:$AD$3005,"保留中")&gt;0,"保留",IF(COUNTIFS(請求記録!$B$6:$B$3005,$A255,請求記録!$X$6:$X$3005,Z$5)=0,"",SUMIFS(請求記録!$AC$6:$AC$3005,請求記録!$B$6:$B$3005,$A255,請求記録!$X$6:$X$3005,Z$5))))</f>
        <v/>
      </c>
      <c r="AA255" s="19">
        <f>IF($A255="","",IF(COUNTIFS(請求記録!$B$6:$B$3005,$A255,請求記録!$X$6:$X$3005,AA$5,請求記録!$AD$6:$AD$3005,"保留中")&gt;0,"保留",IF(COUNTIFS(請求記録!$B$6:$B$3005,$A255,請求記録!$X$6:$X$3005,AA$5)=0,"",SUMIFS(請求記録!$AC$6:$AC$3005,請求記録!$B$6:$B$3005,$A255,請求記録!$X$6:$X$3005,AA$5))))</f>
        <v/>
      </c>
      <c r="AB255">
        <f>IF(職員マスタ!P255="保留中",職員マスタ!M255,"")</f>
        <v/>
      </c>
    </row>
    <row r="256">
      <c r="A256">
        <f>IF(職員マスタ!A256="","",職員マスタ!A256)</f>
        <v/>
      </c>
      <c r="B256">
        <f>IF($A256="","",職員マスタ!B256)</f>
        <v/>
      </c>
      <c r="C256">
        <f>IF($A256="","",職員マスタ!C256)</f>
        <v/>
      </c>
      <c r="D256" s="19">
        <f>IF($A256="","",IF(COUNTIFS(請求記録!$B$6:$B$3005,$A256,請求記録!$X$6:$X$3005,D$5,請求記録!$AD$6:$AD$3005,"保留中")&gt;0,"保留",IF(COUNTIFS(請求記録!$B$6:$B$3005,$A256,請求記録!$X$6:$X$3005,D$5)=0,"",SUMIFS(請求記録!$AC$6:$AC$3005,請求記録!$B$6:$B$3005,$A256,請求記録!$X$6:$X$3005,D$5))))</f>
        <v/>
      </c>
      <c r="E256" s="19">
        <f>IF($A256="","",IF(COUNTIFS(請求記録!$B$6:$B$3005,$A256,請求記録!$X$6:$X$3005,E$5,請求記録!$AD$6:$AD$3005,"保留中")&gt;0,"保留",IF(COUNTIFS(請求記録!$B$6:$B$3005,$A256,請求記録!$X$6:$X$3005,E$5)=0,"",SUMIFS(請求記録!$AC$6:$AC$3005,請求記録!$B$6:$B$3005,$A256,請求記録!$X$6:$X$3005,E$5))))</f>
        <v/>
      </c>
      <c r="F256" s="19">
        <f>IF($A256="","",IF(COUNTIFS(請求記録!$B$6:$B$3005,$A256,請求記録!$X$6:$X$3005,F$5,請求記録!$AD$6:$AD$3005,"保留中")&gt;0,"保留",IF(COUNTIFS(請求記録!$B$6:$B$3005,$A256,請求記録!$X$6:$X$3005,F$5)=0,"",SUMIFS(請求記録!$AC$6:$AC$3005,請求記録!$B$6:$B$3005,$A256,請求記録!$X$6:$X$3005,F$5))))</f>
        <v/>
      </c>
      <c r="G256" s="19">
        <f>IF($A256="","",IF(COUNTIFS(請求記録!$B$6:$B$3005,$A256,請求記録!$X$6:$X$3005,G$5,請求記録!$AD$6:$AD$3005,"保留中")&gt;0,"保留",IF(COUNTIFS(請求記録!$B$6:$B$3005,$A256,請求記録!$X$6:$X$3005,G$5)=0,"",SUMIFS(請求記録!$AC$6:$AC$3005,請求記録!$B$6:$B$3005,$A256,請求記録!$X$6:$X$3005,G$5))))</f>
        <v/>
      </c>
      <c r="H256" s="19">
        <f>IF($A256="","",IF(COUNTIFS(請求記録!$B$6:$B$3005,$A256,請求記録!$X$6:$X$3005,H$5,請求記録!$AD$6:$AD$3005,"保留中")&gt;0,"保留",IF(COUNTIFS(請求記録!$B$6:$B$3005,$A256,請求記録!$X$6:$X$3005,H$5)=0,"",SUMIFS(請求記録!$AC$6:$AC$3005,請求記録!$B$6:$B$3005,$A256,請求記録!$X$6:$X$3005,H$5))))</f>
        <v/>
      </c>
      <c r="I256" s="19">
        <f>IF($A256="","",IF(COUNTIFS(請求記録!$B$6:$B$3005,$A256,請求記録!$X$6:$X$3005,I$5,請求記録!$AD$6:$AD$3005,"保留中")&gt;0,"保留",IF(COUNTIFS(請求記録!$B$6:$B$3005,$A256,請求記録!$X$6:$X$3005,I$5)=0,"",SUMIFS(請求記録!$AC$6:$AC$3005,請求記録!$B$6:$B$3005,$A256,請求記録!$X$6:$X$3005,I$5))))</f>
        <v/>
      </c>
      <c r="J256" s="19">
        <f>IF($A256="","",IF(COUNTIFS(請求記録!$B$6:$B$3005,$A256,請求記録!$X$6:$X$3005,J$5,請求記録!$AD$6:$AD$3005,"保留中")&gt;0,"保留",IF(COUNTIFS(請求記録!$B$6:$B$3005,$A256,請求記録!$X$6:$X$3005,J$5)=0,"",SUMIFS(請求記録!$AC$6:$AC$3005,請求記録!$B$6:$B$3005,$A256,請求記録!$X$6:$X$3005,J$5))))</f>
        <v/>
      </c>
      <c r="K256" s="19">
        <f>IF($A256="","",IF(COUNTIFS(請求記録!$B$6:$B$3005,$A256,請求記録!$X$6:$X$3005,K$5,請求記録!$AD$6:$AD$3005,"保留中")&gt;0,"保留",IF(COUNTIFS(請求記録!$B$6:$B$3005,$A256,請求記録!$X$6:$X$3005,K$5)=0,"",SUMIFS(請求記録!$AC$6:$AC$3005,請求記録!$B$6:$B$3005,$A256,請求記録!$X$6:$X$3005,K$5))))</f>
        <v/>
      </c>
      <c r="L256" s="19">
        <f>IF($A256="","",IF(COUNTIFS(請求記録!$B$6:$B$3005,$A256,請求記録!$X$6:$X$3005,L$5,請求記録!$AD$6:$AD$3005,"保留中")&gt;0,"保留",IF(COUNTIFS(請求記録!$B$6:$B$3005,$A256,請求記録!$X$6:$X$3005,L$5)=0,"",SUMIFS(請求記録!$AC$6:$AC$3005,請求記録!$B$6:$B$3005,$A256,請求記録!$X$6:$X$3005,L$5))))</f>
        <v/>
      </c>
      <c r="M256" s="19">
        <f>IF($A256="","",IF(COUNTIFS(請求記録!$B$6:$B$3005,$A256,請求記録!$X$6:$X$3005,M$5,請求記録!$AD$6:$AD$3005,"保留中")&gt;0,"保留",IF(COUNTIFS(請求記録!$B$6:$B$3005,$A256,請求記録!$X$6:$X$3005,M$5)=0,"",SUMIFS(請求記録!$AC$6:$AC$3005,請求記録!$B$6:$B$3005,$A256,請求記録!$X$6:$X$3005,M$5))))</f>
        <v/>
      </c>
      <c r="N256" s="19">
        <f>IF($A256="","",IF(COUNTIFS(請求記録!$B$6:$B$3005,$A256,請求記録!$X$6:$X$3005,N$5,請求記録!$AD$6:$AD$3005,"保留中")&gt;0,"保留",IF(COUNTIFS(請求記録!$B$6:$B$3005,$A256,請求記録!$X$6:$X$3005,N$5)=0,"",SUMIFS(請求記録!$AC$6:$AC$3005,請求記録!$B$6:$B$3005,$A256,請求記録!$X$6:$X$3005,N$5))))</f>
        <v/>
      </c>
      <c r="O256" s="19">
        <f>IF($A256="","",IF(COUNTIFS(請求記録!$B$6:$B$3005,$A256,請求記録!$X$6:$X$3005,O$5,請求記録!$AD$6:$AD$3005,"保留中")&gt;0,"保留",IF(COUNTIFS(請求記録!$B$6:$B$3005,$A256,請求記録!$X$6:$X$3005,O$5)=0,"",SUMIFS(請求記録!$AC$6:$AC$3005,請求記録!$B$6:$B$3005,$A256,請求記録!$X$6:$X$3005,O$5))))</f>
        <v/>
      </c>
      <c r="P256" s="19">
        <f>IF($A256="","",IF(COUNTIFS(請求記録!$B$6:$B$3005,$A256,請求記録!$X$6:$X$3005,P$5,請求記録!$AD$6:$AD$3005,"保留中")&gt;0,"保留",IF(COUNTIFS(請求記録!$B$6:$B$3005,$A256,請求記録!$X$6:$X$3005,P$5)=0,"",SUMIFS(請求記録!$AC$6:$AC$3005,請求記録!$B$6:$B$3005,$A256,請求記録!$X$6:$X$3005,P$5))))</f>
        <v/>
      </c>
      <c r="Q256" s="19">
        <f>IF($A256="","",IF(COUNTIFS(請求記録!$B$6:$B$3005,$A256,請求記録!$X$6:$X$3005,Q$5,請求記録!$AD$6:$AD$3005,"保留中")&gt;0,"保留",IF(COUNTIFS(請求記録!$B$6:$B$3005,$A256,請求記録!$X$6:$X$3005,Q$5)=0,"",SUMIFS(請求記録!$AC$6:$AC$3005,請求記録!$B$6:$B$3005,$A256,請求記録!$X$6:$X$3005,Q$5))))</f>
        <v/>
      </c>
      <c r="R256" s="19">
        <f>IF($A256="","",IF(COUNTIFS(請求記録!$B$6:$B$3005,$A256,請求記録!$X$6:$X$3005,R$5,請求記録!$AD$6:$AD$3005,"保留中")&gt;0,"保留",IF(COUNTIFS(請求記録!$B$6:$B$3005,$A256,請求記録!$X$6:$X$3005,R$5)=0,"",SUMIFS(請求記録!$AC$6:$AC$3005,請求記録!$B$6:$B$3005,$A256,請求記録!$X$6:$X$3005,R$5))))</f>
        <v/>
      </c>
      <c r="S256" s="19">
        <f>IF($A256="","",IF(COUNTIFS(請求記録!$B$6:$B$3005,$A256,請求記録!$X$6:$X$3005,S$5,請求記録!$AD$6:$AD$3005,"保留中")&gt;0,"保留",IF(COUNTIFS(請求記録!$B$6:$B$3005,$A256,請求記録!$X$6:$X$3005,S$5)=0,"",SUMIFS(請求記録!$AC$6:$AC$3005,請求記録!$B$6:$B$3005,$A256,請求記録!$X$6:$X$3005,S$5))))</f>
        <v/>
      </c>
      <c r="T256" s="19">
        <f>IF($A256="","",IF(COUNTIFS(請求記録!$B$6:$B$3005,$A256,請求記録!$X$6:$X$3005,T$5,請求記録!$AD$6:$AD$3005,"保留中")&gt;0,"保留",IF(COUNTIFS(請求記録!$B$6:$B$3005,$A256,請求記録!$X$6:$X$3005,T$5)=0,"",SUMIFS(請求記録!$AC$6:$AC$3005,請求記録!$B$6:$B$3005,$A256,請求記録!$X$6:$X$3005,T$5))))</f>
        <v/>
      </c>
      <c r="U256" s="19">
        <f>IF($A256="","",IF(COUNTIFS(請求記録!$B$6:$B$3005,$A256,請求記録!$X$6:$X$3005,U$5,請求記録!$AD$6:$AD$3005,"保留中")&gt;0,"保留",IF(COUNTIFS(請求記録!$B$6:$B$3005,$A256,請求記録!$X$6:$X$3005,U$5)=0,"",SUMIFS(請求記録!$AC$6:$AC$3005,請求記録!$B$6:$B$3005,$A256,請求記録!$X$6:$X$3005,U$5))))</f>
        <v/>
      </c>
      <c r="V256" s="19">
        <f>IF($A256="","",IF(COUNTIFS(請求記録!$B$6:$B$3005,$A256,請求記録!$X$6:$X$3005,V$5,請求記録!$AD$6:$AD$3005,"保留中")&gt;0,"保留",IF(COUNTIFS(請求記録!$B$6:$B$3005,$A256,請求記録!$X$6:$X$3005,V$5)=0,"",SUMIFS(請求記録!$AC$6:$AC$3005,請求記録!$B$6:$B$3005,$A256,請求記録!$X$6:$X$3005,V$5))))</f>
        <v/>
      </c>
      <c r="W256" s="19">
        <f>IF($A256="","",IF(COUNTIFS(請求記録!$B$6:$B$3005,$A256,請求記録!$X$6:$X$3005,W$5,請求記録!$AD$6:$AD$3005,"保留中")&gt;0,"保留",IF(COUNTIFS(請求記録!$B$6:$B$3005,$A256,請求記録!$X$6:$X$3005,W$5)=0,"",SUMIFS(請求記録!$AC$6:$AC$3005,請求記録!$B$6:$B$3005,$A256,請求記録!$X$6:$X$3005,W$5))))</f>
        <v/>
      </c>
      <c r="X256" s="19">
        <f>IF($A256="","",IF(COUNTIFS(請求記録!$B$6:$B$3005,$A256,請求記録!$X$6:$X$3005,X$5,請求記録!$AD$6:$AD$3005,"保留中")&gt;0,"保留",IF(COUNTIFS(請求記録!$B$6:$B$3005,$A256,請求記録!$X$6:$X$3005,X$5)=0,"",SUMIFS(請求記録!$AC$6:$AC$3005,請求記録!$B$6:$B$3005,$A256,請求記録!$X$6:$X$3005,X$5))))</f>
        <v/>
      </c>
      <c r="Y256" s="19">
        <f>IF($A256="","",IF(COUNTIFS(請求記録!$B$6:$B$3005,$A256,請求記録!$X$6:$X$3005,Y$5,請求記録!$AD$6:$AD$3005,"保留中")&gt;0,"保留",IF(COUNTIFS(請求記録!$B$6:$B$3005,$A256,請求記録!$X$6:$X$3005,Y$5)=0,"",SUMIFS(請求記録!$AC$6:$AC$3005,請求記録!$B$6:$B$3005,$A256,請求記録!$X$6:$X$3005,Y$5))))</f>
        <v/>
      </c>
      <c r="Z256" s="19">
        <f>IF($A256="","",IF(COUNTIFS(請求記録!$B$6:$B$3005,$A256,請求記録!$X$6:$X$3005,Z$5,請求記録!$AD$6:$AD$3005,"保留中")&gt;0,"保留",IF(COUNTIFS(請求記録!$B$6:$B$3005,$A256,請求記録!$X$6:$X$3005,Z$5)=0,"",SUMIFS(請求記録!$AC$6:$AC$3005,請求記録!$B$6:$B$3005,$A256,請求記録!$X$6:$X$3005,Z$5))))</f>
        <v/>
      </c>
      <c r="AA256" s="19">
        <f>IF($A256="","",IF(COUNTIFS(請求記録!$B$6:$B$3005,$A256,請求記録!$X$6:$X$3005,AA$5,請求記録!$AD$6:$AD$3005,"保留中")&gt;0,"保留",IF(COUNTIFS(請求記録!$B$6:$B$3005,$A256,請求記録!$X$6:$X$3005,AA$5)=0,"",SUMIFS(請求記録!$AC$6:$AC$3005,請求記録!$B$6:$B$3005,$A256,請求記録!$X$6:$X$3005,AA$5))))</f>
        <v/>
      </c>
      <c r="AB256">
        <f>IF(職員マスタ!P256="保留中",職員マスタ!M256,"")</f>
        <v/>
      </c>
    </row>
    <row r="257">
      <c r="A257">
        <f>IF(職員マスタ!A257="","",職員マスタ!A257)</f>
        <v/>
      </c>
      <c r="B257">
        <f>IF($A257="","",職員マスタ!B257)</f>
        <v/>
      </c>
      <c r="C257">
        <f>IF($A257="","",職員マスタ!C257)</f>
        <v/>
      </c>
      <c r="D257" s="19">
        <f>IF($A257="","",IF(COUNTIFS(請求記録!$B$6:$B$3005,$A257,請求記録!$X$6:$X$3005,D$5,請求記録!$AD$6:$AD$3005,"保留中")&gt;0,"保留",IF(COUNTIFS(請求記録!$B$6:$B$3005,$A257,請求記録!$X$6:$X$3005,D$5)=0,"",SUMIFS(請求記録!$AC$6:$AC$3005,請求記録!$B$6:$B$3005,$A257,請求記録!$X$6:$X$3005,D$5))))</f>
        <v/>
      </c>
      <c r="E257" s="19">
        <f>IF($A257="","",IF(COUNTIFS(請求記録!$B$6:$B$3005,$A257,請求記録!$X$6:$X$3005,E$5,請求記録!$AD$6:$AD$3005,"保留中")&gt;0,"保留",IF(COUNTIFS(請求記録!$B$6:$B$3005,$A257,請求記録!$X$6:$X$3005,E$5)=0,"",SUMIFS(請求記録!$AC$6:$AC$3005,請求記録!$B$6:$B$3005,$A257,請求記録!$X$6:$X$3005,E$5))))</f>
        <v/>
      </c>
      <c r="F257" s="19">
        <f>IF($A257="","",IF(COUNTIFS(請求記録!$B$6:$B$3005,$A257,請求記録!$X$6:$X$3005,F$5,請求記録!$AD$6:$AD$3005,"保留中")&gt;0,"保留",IF(COUNTIFS(請求記録!$B$6:$B$3005,$A257,請求記録!$X$6:$X$3005,F$5)=0,"",SUMIFS(請求記録!$AC$6:$AC$3005,請求記録!$B$6:$B$3005,$A257,請求記録!$X$6:$X$3005,F$5))))</f>
        <v/>
      </c>
      <c r="G257" s="19">
        <f>IF($A257="","",IF(COUNTIFS(請求記録!$B$6:$B$3005,$A257,請求記録!$X$6:$X$3005,G$5,請求記録!$AD$6:$AD$3005,"保留中")&gt;0,"保留",IF(COUNTIFS(請求記録!$B$6:$B$3005,$A257,請求記録!$X$6:$X$3005,G$5)=0,"",SUMIFS(請求記録!$AC$6:$AC$3005,請求記録!$B$6:$B$3005,$A257,請求記録!$X$6:$X$3005,G$5))))</f>
        <v/>
      </c>
      <c r="H257" s="19">
        <f>IF($A257="","",IF(COUNTIFS(請求記録!$B$6:$B$3005,$A257,請求記録!$X$6:$X$3005,H$5,請求記録!$AD$6:$AD$3005,"保留中")&gt;0,"保留",IF(COUNTIFS(請求記録!$B$6:$B$3005,$A257,請求記録!$X$6:$X$3005,H$5)=0,"",SUMIFS(請求記録!$AC$6:$AC$3005,請求記録!$B$6:$B$3005,$A257,請求記録!$X$6:$X$3005,H$5))))</f>
        <v/>
      </c>
      <c r="I257" s="19">
        <f>IF($A257="","",IF(COUNTIFS(請求記録!$B$6:$B$3005,$A257,請求記録!$X$6:$X$3005,I$5,請求記録!$AD$6:$AD$3005,"保留中")&gt;0,"保留",IF(COUNTIFS(請求記録!$B$6:$B$3005,$A257,請求記録!$X$6:$X$3005,I$5)=0,"",SUMIFS(請求記録!$AC$6:$AC$3005,請求記録!$B$6:$B$3005,$A257,請求記録!$X$6:$X$3005,I$5))))</f>
        <v/>
      </c>
      <c r="J257" s="19">
        <f>IF($A257="","",IF(COUNTIFS(請求記録!$B$6:$B$3005,$A257,請求記録!$X$6:$X$3005,J$5,請求記録!$AD$6:$AD$3005,"保留中")&gt;0,"保留",IF(COUNTIFS(請求記録!$B$6:$B$3005,$A257,請求記録!$X$6:$X$3005,J$5)=0,"",SUMIFS(請求記録!$AC$6:$AC$3005,請求記録!$B$6:$B$3005,$A257,請求記録!$X$6:$X$3005,J$5))))</f>
        <v/>
      </c>
      <c r="K257" s="19">
        <f>IF($A257="","",IF(COUNTIFS(請求記録!$B$6:$B$3005,$A257,請求記録!$X$6:$X$3005,K$5,請求記録!$AD$6:$AD$3005,"保留中")&gt;0,"保留",IF(COUNTIFS(請求記録!$B$6:$B$3005,$A257,請求記録!$X$6:$X$3005,K$5)=0,"",SUMIFS(請求記録!$AC$6:$AC$3005,請求記録!$B$6:$B$3005,$A257,請求記録!$X$6:$X$3005,K$5))))</f>
        <v/>
      </c>
      <c r="L257" s="19">
        <f>IF($A257="","",IF(COUNTIFS(請求記録!$B$6:$B$3005,$A257,請求記録!$X$6:$X$3005,L$5,請求記録!$AD$6:$AD$3005,"保留中")&gt;0,"保留",IF(COUNTIFS(請求記録!$B$6:$B$3005,$A257,請求記録!$X$6:$X$3005,L$5)=0,"",SUMIFS(請求記録!$AC$6:$AC$3005,請求記録!$B$6:$B$3005,$A257,請求記録!$X$6:$X$3005,L$5))))</f>
        <v/>
      </c>
      <c r="M257" s="19">
        <f>IF($A257="","",IF(COUNTIFS(請求記録!$B$6:$B$3005,$A257,請求記録!$X$6:$X$3005,M$5,請求記録!$AD$6:$AD$3005,"保留中")&gt;0,"保留",IF(COUNTIFS(請求記録!$B$6:$B$3005,$A257,請求記録!$X$6:$X$3005,M$5)=0,"",SUMIFS(請求記録!$AC$6:$AC$3005,請求記録!$B$6:$B$3005,$A257,請求記録!$X$6:$X$3005,M$5))))</f>
        <v/>
      </c>
      <c r="N257" s="19">
        <f>IF($A257="","",IF(COUNTIFS(請求記録!$B$6:$B$3005,$A257,請求記録!$X$6:$X$3005,N$5,請求記録!$AD$6:$AD$3005,"保留中")&gt;0,"保留",IF(COUNTIFS(請求記録!$B$6:$B$3005,$A257,請求記録!$X$6:$X$3005,N$5)=0,"",SUMIFS(請求記録!$AC$6:$AC$3005,請求記録!$B$6:$B$3005,$A257,請求記録!$X$6:$X$3005,N$5))))</f>
        <v/>
      </c>
      <c r="O257" s="19">
        <f>IF($A257="","",IF(COUNTIFS(請求記録!$B$6:$B$3005,$A257,請求記録!$X$6:$X$3005,O$5,請求記録!$AD$6:$AD$3005,"保留中")&gt;0,"保留",IF(COUNTIFS(請求記録!$B$6:$B$3005,$A257,請求記録!$X$6:$X$3005,O$5)=0,"",SUMIFS(請求記録!$AC$6:$AC$3005,請求記録!$B$6:$B$3005,$A257,請求記録!$X$6:$X$3005,O$5))))</f>
        <v/>
      </c>
      <c r="P257" s="19">
        <f>IF($A257="","",IF(COUNTIFS(請求記録!$B$6:$B$3005,$A257,請求記録!$X$6:$X$3005,P$5,請求記録!$AD$6:$AD$3005,"保留中")&gt;0,"保留",IF(COUNTIFS(請求記録!$B$6:$B$3005,$A257,請求記録!$X$6:$X$3005,P$5)=0,"",SUMIFS(請求記録!$AC$6:$AC$3005,請求記録!$B$6:$B$3005,$A257,請求記録!$X$6:$X$3005,P$5))))</f>
        <v/>
      </c>
      <c r="Q257" s="19">
        <f>IF($A257="","",IF(COUNTIFS(請求記録!$B$6:$B$3005,$A257,請求記録!$X$6:$X$3005,Q$5,請求記録!$AD$6:$AD$3005,"保留中")&gt;0,"保留",IF(COUNTIFS(請求記録!$B$6:$B$3005,$A257,請求記録!$X$6:$X$3005,Q$5)=0,"",SUMIFS(請求記録!$AC$6:$AC$3005,請求記録!$B$6:$B$3005,$A257,請求記録!$X$6:$X$3005,Q$5))))</f>
        <v/>
      </c>
      <c r="R257" s="19">
        <f>IF($A257="","",IF(COUNTIFS(請求記録!$B$6:$B$3005,$A257,請求記録!$X$6:$X$3005,R$5,請求記録!$AD$6:$AD$3005,"保留中")&gt;0,"保留",IF(COUNTIFS(請求記録!$B$6:$B$3005,$A257,請求記録!$X$6:$X$3005,R$5)=0,"",SUMIFS(請求記録!$AC$6:$AC$3005,請求記録!$B$6:$B$3005,$A257,請求記録!$X$6:$X$3005,R$5))))</f>
        <v/>
      </c>
      <c r="S257" s="19">
        <f>IF($A257="","",IF(COUNTIFS(請求記録!$B$6:$B$3005,$A257,請求記録!$X$6:$X$3005,S$5,請求記録!$AD$6:$AD$3005,"保留中")&gt;0,"保留",IF(COUNTIFS(請求記録!$B$6:$B$3005,$A257,請求記録!$X$6:$X$3005,S$5)=0,"",SUMIFS(請求記録!$AC$6:$AC$3005,請求記録!$B$6:$B$3005,$A257,請求記録!$X$6:$X$3005,S$5))))</f>
        <v/>
      </c>
      <c r="T257" s="19">
        <f>IF($A257="","",IF(COUNTIFS(請求記録!$B$6:$B$3005,$A257,請求記録!$X$6:$X$3005,T$5,請求記録!$AD$6:$AD$3005,"保留中")&gt;0,"保留",IF(COUNTIFS(請求記録!$B$6:$B$3005,$A257,請求記録!$X$6:$X$3005,T$5)=0,"",SUMIFS(請求記録!$AC$6:$AC$3005,請求記録!$B$6:$B$3005,$A257,請求記録!$X$6:$X$3005,T$5))))</f>
        <v/>
      </c>
      <c r="U257" s="19">
        <f>IF($A257="","",IF(COUNTIFS(請求記録!$B$6:$B$3005,$A257,請求記録!$X$6:$X$3005,U$5,請求記録!$AD$6:$AD$3005,"保留中")&gt;0,"保留",IF(COUNTIFS(請求記録!$B$6:$B$3005,$A257,請求記録!$X$6:$X$3005,U$5)=0,"",SUMIFS(請求記録!$AC$6:$AC$3005,請求記録!$B$6:$B$3005,$A257,請求記録!$X$6:$X$3005,U$5))))</f>
        <v/>
      </c>
      <c r="V257" s="19">
        <f>IF($A257="","",IF(COUNTIFS(請求記録!$B$6:$B$3005,$A257,請求記録!$X$6:$X$3005,V$5,請求記録!$AD$6:$AD$3005,"保留中")&gt;0,"保留",IF(COUNTIFS(請求記録!$B$6:$B$3005,$A257,請求記録!$X$6:$X$3005,V$5)=0,"",SUMIFS(請求記録!$AC$6:$AC$3005,請求記録!$B$6:$B$3005,$A257,請求記録!$X$6:$X$3005,V$5))))</f>
        <v/>
      </c>
      <c r="W257" s="19">
        <f>IF($A257="","",IF(COUNTIFS(請求記録!$B$6:$B$3005,$A257,請求記録!$X$6:$X$3005,W$5,請求記録!$AD$6:$AD$3005,"保留中")&gt;0,"保留",IF(COUNTIFS(請求記録!$B$6:$B$3005,$A257,請求記録!$X$6:$X$3005,W$5)=0,"",SUMIFS(請求記録!$AC$6:$AC$3005,請求記録!$B$6:$B$3005,$A257,請求記録!$X$6:$X$3005,W$5))))</f>
        <v/>
      </c>
      <c r="X257" s="19">
        <f>IF($A257="","",IF(COUNTIFS(請求記録!$B$6:$B$3005,$A257,請求記録!$X$6:$X$3005,X$5,請求記録!$AD$6:$AD$3005,"保留中")&gt;0,"保留",IF(COUNTIFS(請求記録!$B$6:$B$3005,$A257,請求記録!$X$6:$X$3005,X$5)=0,"",SUMIFS(請求記録!$AC$6:$AC$3005,請求記録!$B$6:$B$3005,$A257,請求記録!$X$6:$X$3005,X$5))))</f>
        <v/>
      </c>
      <c r="Y257" s="19">
        <f>IF($A257="","",IF(COUNTIFS(請求記録!$B$6:$B$3005,$A257,請求記録!$X$6:$X$3005,Y$5,請求記録!$AD$6:$AD$3005,"保留中")&gt;0,"保留",IF(COUNTIFS(請求記録!$B$6:$B$3005,$A257,請求記録!$X$6:$X$3005,Y$5)=0,"",SUMIFS(請求記録!$AC$6:$AC$3005,請求記録!$B$6:$B$3005,$A257,請求記録!$X$6:$X$3005,Y$5))))</f>
        <v/>
      </c>
      <c r="Z257" s="19">
        <f>IF($A257="","",IF(COUNTIFS(請求記録!$B$6:$B$3005,$A257,請求記録!$X$6:$X$3005,Z$5,請求記録!$AD$6:$AD$3005,"保留中")&gt;0,"保留",IF(COUNTIFS(請求記録!$B$6:$B$3005,$A257,請求記録!$X$6:$X$3005,Z$5)=0,"",SUMIFS(請求記録!$AC$6:$AC$3005,請求記録!$B$6:$B$3005,$A257,請求記録!$X$6:$X$3005,Z$5))))</f>
        <v/>
      </c>
      <c r="AA257" s="19">
        <f>IF($A257="","",IF(COUNTIFS(請求記録!$B$6:$B$3005,$A257,請求記録!$X$6:$X$3005,AA$5,請求記録!$AD$6:$AD$3005,"保留中")&gt;0,"保留",IF(COUNTIFS(請求記録!$B$6:$B$3005,$A257,請求記録!$X$6:$X$3005,AA$5)=0,"",SUMIFS(請求記録!$AC$6:$AC$3005,請求記録!$B$6:$B$3005,$A257,請求記録!$X$6:$X$3005,AA$5))))</f>
        <v/>
      </c>
      <c r="AB257">
        <f>IF(職員マスタ!P257="保留中",職員マスタ!M257,"")</f>
        <v/>
      </c>
    </row>
    <row r="258">
      <c r="A258">
        <f>IF(職員マスタ!A258="","",職員マスタ!A258)</f>
        <v/>
      </c>
      <c r="B258">
        <f>IF($A258="","",職員マスタ!B258)</f>
        <v/>
      </c>
      <c r="C258">
        <f>IF($A258="","",職員マスタ!C258)</f>
        <v/>
      </c>
      <c r="D258" s="19">
        <f>IF($A258="","",IF(COUNTIFS(請求記録!$B$6:$B$3005,$A258,請求記録!$X$6:$X$3005,D$5,請求記録!$AD$6:$AD$3005,"保留中")&gt;0,"保留",IF(COUNTIFS(請求記録!$B$6:$B$3005,$A258,請求記録!$X$6:$X$3005,D$5)=0,"",SUMIFS(請求記録!$AC$6:$AC$3005,請求記録!$B$6:$B$3005,$A258,請求記録!$X$6:$X$3005,D$5))))</f>
        <v/>
      </c>
      <c r="E258" s="19">
        <f>IF($A258="","",IF(COUNTIFS(請求記録!$B$6:$B$3005,$A258,請求記録!$X$6:$X$3005,E$5,請求記録!$AD$6:$AD$3005,"保留中")&gt;0,"保留",IF(COUNTIFS(請求記録!$B$6:$B$3005,$A258,請求記録!$X$6:$X$3005,E$5)=0,"",SUMIFS(請求記録!$AC$6:$AC$3005,請求記録!$B$6:$B$3005,$A258,請求記録!$X$6:$X$3005,E$5))))</f>
        <v/>
      </c>
      <c r="F258" s="19">
        <f>IF($A258="","",IF(COUNTIFS(請求記録!$B$6:$B$3005,$A258,請求記録!$X$6:$X$3005,F$5,請求記録!$AD$6:$AD$3005,"保留中")&gt;0,"保留",IF(COUNTIFS(請求記録!$B$6:$B$3005,$A258,請求記録!$X$6:$X$3005,F$5)=0,"",SUMIFS(請求記録!$AC$6:$AC$3005,請求記録!$B$6:$B$3005,$A258,請求記録!$X$6:$X$3005,F$5))))</f>
        <v/>
      </c>
      <c r="G258" s="19">
        <f>IF($A258="","",IF(COUNTIFS(請求記録!$B$6:$B$3005,$A258,請求記録!$X$6:$X$3005,G$5,請求記録!$AD$6:$AD$3005,"保留中")&gt;0,"保留",IF(COUNTIFS(請求記録!$B$6:$B$3005,$A258,請求記録!$X$6:$X$3005,G$5)=0,"",SUMIFS(請求記録!$AC$6:$AC$3005,請求記録!$B$6:$B$3005,$A258,請求記録!$X$6:$X$3005,G$5))))</f>
        <v/>
      </c>
      <c r="H258" s="19">
        <f>IF($A258="","",IF(COUNTIFS(請求記録!$B$6:$B$3005,$A258,請求記録!$X$6:$X$3005,H$5,請求記録!$AD$6:$AD$3005,"保留中")&gt;0,"保留",IF(COUNTIFS(請求記録!$B$6:$B$3005,$A258,請求記録!$X$6:$X$3005,H$5)=0,"",SUMIFS(請求記録!$AC$6:$AC$3005,請求記録!$B$6:$B$3005,$A258,請求記録!$X$6:$X$3005,H$5))))</f>
        <v/>
      </c>
      <c r="I258" s="19">
        <f>IF($A258="","",IF(COUNTIFS(請求記録!$B$6:$B$3005,$A258,請求記録!$X$6:$X$3005,I$5,請求記録!$AD$6:$AD$3005,"保留中")&gt;0,"保留",IF(COUNTIFS(請求記録!$B$6:$B$3005,$A258,請求記録!$X$6:$X$3005,I$5)=0,"",SUMIFS(請求記録!$AC$6:$AC$3005,請求記録!$B$6:$B$3005,$A258,請求記録!$X$6:$X$3005,I$5))))</f>
        <v/>
      </c>
      <c r="J258" s="19">
        <f>IF($A258="","",IF(COUNTIFS(請求記録!$B$6:$B$3005,$A258,請求記録!$X$6:$X$3005,J$5,請求記録!$AD$6:$AD$3005,"保留中")&gt;0,"保留",IF(COUNTIFS(請求記録!$B$6:$B$3005,$A258,請求記録!$X$6:$X$3005,J$5)=0,"",SUMIFS(請求記録!$AC$6:$AC$3005,請求記録!$B$6:$B$3005,$A258,請求記録!$X$6:$X$3005,J$5))))</f>
        <v/>
      </c>
      <c r="K258" s="19">
        <f>IF($A258="","",IF(COUNTIFS(請求記録!$B$6:$B$3005,$A258,請求記録!$X$6:$X$3005,K$5,請求記録!$AD$6:$AD$3005,"保留中")&gt;0,"保留",IF(COUNTIFS(請求記録!$B$6:$B$3005,$A258,請求記録!$X$6:$X$3005,K$5)=0,"",SUMIFS(請求記録!$AC$6:$AC$3005,請求記録!$B$6:$B$3005,$A258,請求記録!$X$6:$X$3005,K$5))))</f>
        <v/>
      </c>
      <c r="L258" s="19">
        <f>IF($A258="","",IF(COUNTIFS(請求記録!$B$6:$B$3005,$A258,請求記録!$X$6:$X$3005,L$5,請求記録!$AD$6:$AD$3005,"保留中")&gt;0,"保留",IF(COUNTIFS(請求記録!$B$6:$B$3005,$A258,請求記録!$X$6:$X$3005,L$5)=0,"",SUMIFS(請求記録!$AC$6:$AC$3005,請求記録!$B$6:$B$3005,$A258,請求記録!$X$6:$X$3005,L$5))))</f>
        <v/>
      </c>
      <c r="M258" s="19">
        <f>IF($A258="","",IF(COUNTIFS(請求記録!$B$6:$B$3005,$A258,請求記録!$X$6:$X$3005,M$5,請求記録!$AD$6:$AD$3005,"保留中")&gt;0,"保留",IF(COUNTIFS(請求記録!$B$6:$B$3005,$A258,請求記録!$X$6:$X$3005,M$5)=0,"",SUMIFS(請求記録!$AC$6:$AC$3005,請求記録!$B$6:$B$3005,$A258,請求記録!$X$6:$X$3005,M$5))))</f>
        <v/>
      </c>
      <c r="N258" s="19">
        <f>IF($A258="","",IF(COUNTIFS(請求記録!$B$6:$B$3005,$A258,請求記録!$X$6:$X$3005,N$5,請求記録!$AD$6:$AD$3005,"保留中")&gt;0,"保留",IF(COUNTIFS(請求記録!$B$6:$B$3005,$A258,請求記録!$X$6:$X$3005,N$5)=0,"",SUMIFS(請求記録!$AC$6:$AC$3005,請求記録!$B$6:$B$3005,$A258,請求記録!$X$6:$X$3005,N$5))))</f>
        <v/>
      </c>
      <c r="O258" s="19">
        <f>IF($A258="","",IF(COUNTIFS(請求記録!$B$6:$B$3005,$A258,請求記録!$X$6:$X$3005,O$5,請求記録!$AD$6:$AD$3005,"保留中")&gt;0,"保留",IF(COUNTIFS(請求記録!$B$6:$B$3005,$A258,請求記録!$X$6:$X$3005,O$5)=0,"",SUMIFS(請求記録!$AC$6:$AC$3005,請求記録!$B$6:$B$3005,$A258,請求記録!$X$6:$X$3005,O$5))))</f>
        <v/>
      </c>
      <c r="P258" s="19">
        <f>IF($A258="","",IF(COUNTIFS(請求記録!$B$6:$B$3005,$A258,請求記録!$X$6:$X$3005,P$5,請求記録!$AD$6:$AD$3005,"保留中")&gt;0,"保留",IF(COUNTIFS(請求記録!$B$6:$B$3005,$A258,請求記録!$X$6:$X$3005,P$5)=0,"",SUMIFS(請求記録!$AC$6:$AC$3005,請求記録!$B$6:$B$3005,$A258,請求記録!$X$6:$X$3005,P$5))))</f>
        <v/>
      </c>
      <c r="Q258" s="19">
        <f>IF($A258="","",IF(COUNTIFS(請求記録!$B$6:$B$3005,$A258,請求記録!$X$6:$X$3005,Q$5,請求記録!$AD$6:$AD$3005,"保留中")&gt;0,"保留",IF(COUNTIFS(請求記録!$B$6:$B$3005,$A258,請求記録!$X$6:$X$3005,Q$5)=0,"",SUMIFS(請求記録!$AC$6:$AC$3005,請求記録!$B$6:$B$3005,$A258,請求記録!$X$6:$X$3005,Q$5))))</f>
        <v/>
      </c>
      <c r="R258" s="19">
        <f>IF($A258="","",IF(COUNTIFS(請求記録!$B$6:$B$3005,$A258,請求記録!$X$6:$X$3005,R$5,請求記録!$AD$6:$AD$3005,"保留中")&gt;0,"保留",IF(COUNTIFS(請求記録!$B$6:$B$3005,$A258,請求記録!$X$6:$X$3005,R$5)=0,"",SUMIFS(請求記録!$AC$6:$AC$3005,請求記録!$B$6:$B$3005,$A258,請求記録!$X$6:$X$3005,R$5))))</f>
        <v/>
      </c>
      <c r="S258" s="19">
        <f>IF($A258="","",IF(COUNTIFS(請求記録!$B$6:$B$3005,$A258,請求記録!$X$6:$X$3005,S$5,請求記録!$AD$6:$AD$3005,"保留中")&gt;0,"保留",IF(COUNTIFS(請求記録!$B$6:$B$3005,$A258,請求記録!$X$6:$X$3005,S$5)=0,"",SUMIFS(請求記録!$AC$6:$AC$3005,請求記録!$B$6:$B$3005,$A258,請求記録!$X$6:$X$3005,S$5))))</f>
        <v/>
      </c>
      <c r="T258" s="19">
        <f>IF($A258="","",IF(COUNTIFS(請求記録!$B$6:$B$3005,$A258,請求記録!$X$6:$X$3005,T$5,請求記録!$AD$6:$AD$3005,"保留中")&gt;0,"保留",IF(COUNTIFS(請求記録!$B$6:$B$3005,$A258,請求記録!$X$6:$X$3005,T$5)=0,"",SUMIFS(請求記録!$AC$6:$AC$3005,請求記録!$B$6:$B$3005,$A258,請求記録!$X$6:$X$3005,T$5))))</f>
        <v/>
      </c>
      <c r="U258" s="19">
        <f>IF($A258="","",IF(COUNTIFS(請求記録!$B$6:$B$3005,$A258,請求記録!$X$6:$X$3005,U$5,請求記録!$AD$6:$AD$3005,"保留中")&gt;0,"保留",IF(COUNTIFS(請求記録!$B$6:$B$3005,$A258,請求記録!$X$6:$X$3005,U$5)=0,"",SUMIFS(請求記録!$AC$6:$AC$3005,請求記録!$B$6:$B$3005,$A258,請求記録!$X$6:$X$3005,U$5))))</f>
        <v/>
      </c>
      <c r="V258" s="19">
        <f>IF($A258="","",IF(COUNTIFS(請求記録!$B$6:$B$3005,$A258,請求記録!$X$6:$X$3005,V$5,請求記録!$AD$6:$AD$3005,"保留中")&gt;0,"保留",IF(COUNTIFS(請求記録!$B$6:$B$3005,$A258,請求記録!$X$6:$X$3005,V$5)=0,"",SUMIFS(請求記録!$AC$6:$AC$3005,請求記録!$B$6:$B$3005,$A258,請求記録!$X$6:$X$3005,V$5))))</f>
        <v/>
      </c>
      <c r="W258" s="19">
        <f>IF($A258="","",IF(COUNTIFS(請求記録!$B$6:$B$3005,$A258,請求記録!$X$6:$X$3005,W$5,請求記録!$AD$6:$AD$3005,"保留中")&gt;0,"保留",IF(COUNTIFS(請求記録!$B$6:$B$3005,$A258,請求記録!$X$6:$X$3005,W$5)=0,"",SUMIFS(請求記録!$AC$6:$AC$3005,請求記録!$B$6:$B$3005,$A258,請求記録!$X$6:$X$3005,W$5))))</f>
        <v/>
      </c>
      <c r="X258" s="19">
        <f>IF($A258="","",IF(COUNTIFS(請求記録!$B$6:$B$3005,$A258,請求記録!$X$6:$X$3005,X$5,請求記録!$AD$6:$AD$3005,"保留中")&gt;0,"保留",IF(COUNTIFS(請求記録!$B$6:$B$3005,$A258,請求記録!$X$6:$X$3005,X$5)=0,"",SUMIFS(請求記録!$AC$6:$AC$3005,請求記録!$B$6:$B$3005,$A258,請求記録!$X$6:$X$3005,X$5))))</f>
        <v/>
      </c>
      <c r="Y258" s="19">
        <f>IF($A258="","",IF(COUNTIFS(請求記録!$B$6:$B$3005,$A258,請求記録!$X$6:$X$3005,Y$5,請求記録!$AD$6:$AD$3005,"保留中")&gt;0,"保留",IF(COUNTIFS(請求記録!$B$6:$B$3005,$A258,請求記録!$X$6:$X$3005,Y$5)=0,"",SUMIFS(請求記録!$AC$6:$AC$3005,請求記録!$B$6:$B$3005,$A258,請求記録!$X$6:$X$3005,Y$5))))</f>
        <v/>
      </c>
      <c r="Z258" s="19">
        <f>IF($A258="","",IF(COUNTIFS(請求記録!$B$6:$B$3005,$A258,請求記録!$X$6:$X$3005,Z$5,請求記録!$AD$6:$AD$3005,"保留中")&gt;0,"保留",IF(COUNTIFS(請求記録!$B$6:$B$3005,$A258,請求記録!$X$6:$X$3005,Z$5)=0,"",SUMIFS(請求記録!$AC$6:$AC$3005,請求記録!$B$6:$B$3005,$A258,請求記録!$X$6:$X$3005,Z$5))))</f>
        <v/>
      </c>
      <c r="AA258" s="19">
        <f>IF($A258="","",IF(COUNTIFS(請求記録!$B$6:$B$3005,$A258,請求記録!$X$6:$X$3005,AA$5,請求記録!$AD$6:$AD$3005,"保留中")&gt;0,"保留",IF(COUNTIFS(請求記録!$B$6:$B$3005,$A258,請求記録!$X$6:$X$3005,AA$5)=0,"",SUMIFS(請求記録!$AC$6:$AC$3005,請求記録!$B$6:$B$3005,$A258,請求記録!$X$6:$X$3005,AA$5))))</f>
        <v/>
      </c>
      <c r="AB258">
        <f>IF(職員マスタ!P258="保留中",職員マスタ!M258,"")</f>
        <v/>
      </c>
    </row>
    <row r="259">
      <c r="A259">
        <f>IF(職員マスタ!A259="","",職員マスタ!A259)</f>
        <v/>
      </c>
      <c r="B259">
        <f>IF($A259="","",職員マスタ!B259)</f>
        <v/>
      </c>
      <c r="C259">
        <f>IF($A259="","",職員マスタ!C259)</f>
        <v/>
      </c>
      <c r="D259" s="19">
        <f>IF($A259="","",IF(COUNTIFS(請求記録!$B$6:$B$3005,$A259,請求記録!$X$6:$X$3005,D$5,請求記録!$AD$6:$AD$3005,"保留中")&gt;0,"保留",IF(COUNTIFS(請求記録!$B$6:$B$3005,$A259,請求記録!$X$6:$X$3005,D$5)=0,"",SUMIFS(請求記録!$AC$6:$AC$3005,請求記録!$B$6:$B$3005,$A259,請求記録!$X$6:$X$3005,D$5))))</f>
        <v/>
      </c>
      <c r="E259" s="19">
        <f>IF($A259="","",IF(COUNTIFS(請求記録!$B$6:$B$3005,$A259,請求記録!$X$6:$X$3005,E$5,請求記録!$AD$6:$AD$3005,"保留中")&gt;0,"保留",IF(COUNTIFS(請求記録!$B$6:$B$3005,$A259,請求記録!$X$6:$X$3005,E$5)=0,"",SUMIFS(請求記録!$AC$6:$AC$3005,請求記録!$B$6:$B$3005,$A259,請求記録!$X$6:$X$3005,E$5))))</f>
        <v/>
      </c>
      <c r="F259" s="19">
        <f>IF($A259="","",IF(COUNTIFS(請求記録!$B$6:$B$3005,$A259,請求記録!$X$6:$X$3005,F$5,請求記録!$AD$6:$AD$3005,"保留中")&gt;0,"保留",IF(COUNTIFS(請求記録!$B$6:$B$3005,$A259,請求記録!$X$6:$X$3005,F$5)=0,"",SUMIFS(請求記録!$AC$6:$AC$3005,請求記録!$B$6:$B$3005,$A259,請求記録!$X$6:$X$3005,F$5))))</f>
        <v/>
      </c>
      <c r="G259" s="19">
        <f>IF($A259="","",IF(COUNTIFS(請求記録!$B$6:$B$3005,$A259,請求記録!$X$6:$X$3005,G$5,請求記録!$AD$6:$AD$3005,"保留中")&gt;0,"保留",IF(COUNTIFS(請求記録!$B$6:$B$3005,$A259,請求記録!$X$6:$X$3005,G$5)=0,"",SUMIFS(請求記録!$AC$6:$AC$3005,請求記録!$B$6:$B$3005,$A259,請求記録!$X$6:$X$3005,G$5))))</f>
        <v/>
      </c>
      <c r="H259" s="19">
        <f>IF($A259="","",IF(COUNTIFS(請求記録!$B$6:$B$3005,$A259,請求記録!$X$6:$X$3005,H$5,請求記録!$AD$6:$AD$3005,"保留中")&gt;0,"保留",IF(COUNTIFS(請求記録!$B$6:$B$3005,$A259,請求記録!$X$6:$X$3005,H$5)=0,"",SUMIFS(請求記録!$AC$6:$AC$3005,請求記録!$B$6:$B$3005,$A259,請求記録!$X$6:$X$3005,H$5))))</f>
        <v/>
      </c>
      <c r="I259" s="19">
        <f>IF($A259="","",IF(COUNTIFS(請求記録!$B$6:$B$3005,$A259,請求記録!$X$6:$X$3005,I$5,請求記録!$AD$6:$AD$3005,"保留中")&gt;0,"保留",IF(COUNTIFS(請求記録!$B$6:$B$3005,$A259,請求記録!$X$6:$X$3005,I$5)=0,"",SUMIFS(請求記録!$AC$6:$AC$3005,請求記録!$B$6:$B$3005,$A259,請求記録!$X$6:$X$3005,I$5))))</f>
        <v/>
      </c>
      <c r="J259" s="19">
        <f>IF($A259="","",IF(COUNTIFS(請求記録!$B$6:$B$3005,$A259,請求記録!$X$6:$X$3005,J$5,請求記録!$AD$6:$AD$3005,"保留中")&gt;0,"保留",IF(COUNTIFS(請求記録!$B$6:$B$3005,$A259,請求記録!$X$6:$X$3005,J$5)=0,"",SUMIFS(請求記録!$AC$6:$AC$3005,請求記録!$B$6:$B$3005,$A259,請求記録!$X$6:$X$3005,J$5))))</f>
        <v/>
      </c>
      <c r="K259" s="19">
        <f>IF($A259="","",IF(COUNTIFS(請求記録!$B$6:$B$3005,$A259,請求記録!$X$6:$X$3005,K$5,請求記録!$AD$6:$AD$3005,"保留中")&gt;0,"保留",IF(COUNTIFS(請求記録!$B$6:$B$3005,$A259,請求記録!$X$6:$X$3005,K$5)=0,"",SUMIFS(請求記録!$AC$6:$AC$3005,請求記録!$B$6:$B$3005,$A259,請求記録!$X$6:$X$3005,K$5))))</f>
        <v/>
      </c>
      <c r="L259" s="19">
        <f>IF($A259="","",IF(COUNTIFS(請求記録!$B$6:$B$3005,$A259,請求記録!$X$6:$X$3005,L$5,請求記録!$AD$6:$AD$3005,"保留中")&gt;0,"保留",IF(COUNTIFS(請求記録!$B$6:$B$3005,$A259,請求記録!$X$6:$X$3005,L$5)=0,"",SUMIFS(請求記録!$AC$6:$AC$3005,請求記録!$B$6:$B$3005,$A259,請求記録!$X$6:$X$3005,L$5))))</f>
        <v/>
      </c>
      <c r="M259" s="19">
        <f>IF($A259="","",IF(COUNTIFS(請求記録!$B$6:$B$3005,$A259,請求記録!$X$6:$X$3005,M$5,請求記録!$AD$6:$AD$3005,"保留中")&gt;0,"保留",IF(COUNTIFS(請求記録!$B$6:$B$3005,$A259,請求記録!$X$6:$X$3005,M$5)=0,"",SUMIFS(請求記録!$AC$6:$AC$3005,請求記録!$B$6:$B$3005,$A259,請求記録!$X$6:$X$3005,M$5))))</f>
        <v/>
      </c>
      <c r="N259" s="19">
        <f>IF($A259="","",IF(COUNTIFS(請求記録!$B$6:$B$3005,$A259,請求記録!$X$6:$X$3005,N$5,請求記録!$AD$6:$AD$3005,"保留中")&gt;0,"保留",IF(COUNTIFS(請求記録!$B$6:$B$3005,$A259,請求記録!$X$6:$X$3005,N$5)=0,"",SUMIFS(請求記録!$AC$6:$AC$3005,請求記録!$B$6:$B$3005,$A259,請求記録!$X$6:$X$3005,N$5))))</f>
        <v/>
      </c>
      <c r="O259" s="19">
        <f>IF($A259="","",IF(COUNTIFS(請求記録!$B$6:$B$3005,$A259,請求記録!$X$6:$X$3005,O$5,請求記録!$AD$6:$AD$3005,"保留中")&gt;0,"保留",IF(COUNTIFS(請求記録!$B$6:$B$3005,$A259,請求記録!$X$6:$X$3005,O$5)=0,"",SUMIFS(請求記録!$AC$6:$AC$3005,請求記録!$B$6:$B$3005,$A259,請求記録!$X$6:$X$3005,O$5))))</f>
        <v/>
      </c>
      <c r="P259" s="19">
        <f>IF($A259="","",IF(COUNTIFS(請求記録!$B$6:$B$3005,$A259,請求記録!$X$6:$X$3005,P$5,請求記録!$AD$6:$AD$3005,"保留中")&gt;0,"保留",IF(COUNTIFS(請求記録!$B$6:$B$3005,$A259,請求記録!$X$6:$X$3005,P$5)=0,"",SUMIFS(請求記録!$AC$6:$AC$3005,請求記録!$B$6:$B$3005,$A259,請求記録!$X$6:$X$3005,P$5))))</f>
        <v/>
      </c>
      <c r="Q259" s="19">
        <f>IF($A259="","",IF(COUNTIFS(請求記録!$B$6:$B$3005,$A259,請求記録!$X$6:$X$3005,Q$5,請求記録!$AD$6:$AD$3005,"保留中")&gt;0,"保留",IF(COUNTIFS(請求記録!$B$6:$B$3005,$A259,請求記録!$X$6:$X$3005,Q$5)=0,"",SUMIFS(請求記録!$AC$6:$AC$3005,請求記録!$B$6:$B$3005,$A259,請求記録!$X$6:$X$3005,Q$5))))</f>
        <v/>
      </c>
      <c r="R259" s="19">
        <f>IF($A259="","",IF(COUNTIFS(請求記録!$B$6:$B$3005,$A259,請求記録!$X$6:$X$3005,R$5,請求記録!$AD$6:$AD$3005,"保留中")&gt;0,"保留",IF(COUNTIFS(請求記録!$B$6:$B$3005,$A259,請求記録!$X$6:$X$3005,R$5)=0,"",SUMIFS(請求記録!$AC$6:$AC$3005,請求記録!$B$6:$B$3005,$A259,請求記録!$X$6:$X$3005,R$5))))</f>
        <v/>
      </c>
      <c r="S259" s="19">
        <f>IF($A259="","",IF(COUNTIFS(請求記録!$B$6:$B$3005,$A259,請求記録!$X$6:$X$3005,S$5,請求記録!$AD$6:$AD$3005,"保留中")&gt;0,"保留",IF(COUNTIFS(請求記録!$B$6:$B$3005,$A259,請求記録!$X$6:$X$3005,S$5)=0,"",SUMIFS(請求記録!$AC$6:$AC$3005,請求記録!$B$6:$B$3005,$A259,請求記録!$X$6:$X$3005,S$5))))</f>
        <v/>
      </c>
      <c r="T259" s="19">
        <f>IF($A259="","",IF(COUNTIFS(請求記録!$B$6:$B$3005,$A259,請求記録!$X$6:$X$3005,T$5,請求記録!$AD$6:$AD$3005,"保留中")&gt;0,"保留",IF(COUNTIFS(請求記録!$B$6:$B$3005,$A259,請求記録!$X$6:$X$3005,T$5)=0,"",SUMIFS(請求記録!$AC$6:$AC$3005,請求記録!$B$6:$B$3005,$A259,請求記録!$X$6:$X$3005,T$5))))</f>
        <v/>
      </c>
      <c r="U259" s="19">
        <f>IF($A259="","",IF(COUNTIFS(請求記録!$B$6:$B$3005,$A259,請求記録!$X$6:$X$3005,U$5,請求記録!$AD$6:$AD$3005,"保留中")&gt;0,"保留",IF(COUNTIFS(請求記録!$B$6:$B$3005,$A259,請求記録!$X$6:$X$3005,U$5)=0,"",SUMIFS(請求記録!$AC$6:$AC$3005,請求記録!$B$6:$B$3005,$A259,請求記録!$X$6:$X$3005,U$5))))</f>
        <v/>
      </c>
      <c r="V259" s="19">
        <f>IF($A259="","",IF(COUNTIFS(請求記録!$B$6:$B$3005,$A259,請求記録!$X$6:$X$3005,V$5,請求記録!$AD$6:$AD$3005,"保留中")&gt;0,"保留",IF(COUNTIFS(請求記録!$B$6:$B$3005,$A259,請求記録!$X$6:$X$3005,V$5)=0,"",SUMIFS(請求記録!$AC$6:$AC$3005,請求記録!$B$6:$B$3005,$A259,請求記録!$X$6:$X$3005,V$5))))</f>
        <v/>
      </c>
      <c r="W259" s="19">
        <f>IF($A259="","",IF(COUNTIFS(請求記録!$B$6:$B$3005,$A259,請求記録!$X$6:$X$3005,W$5,請求記録!$AD$6:$AD$3005,"保留中")&gt;0,"保留",IF(COUNTIFS(請求記録!$B$6:$B$3005,$A259,請求記録!$X$6:$X$3005,W$5)=0,"",SUMIFS(請求記録!$AC$6:$AC$3005,請求記録!$B$6:$B$3005,$A259,請求記録!$X$6:$X$3005,W$5))))</f>
        <v/>
      </c>
      <c r="X259" s="19">
        <f>IF($A259="","",IF(COUNTIFS(請求記録!$B$6:$B$3005,$A259,請求記録!$X$6:$X$3005,X$5,請求記録!$AD$6:$AD$3005,"保留中")&gt;0,"保留",IF(COUNTIFS(請求記録!$B$6:$B$3005,$A259,請求記録!$X$6:$X$3005,X$5)=0,"",SUMIFS(請求記録!$AC$6:$AC$3005,請求記録!$B$6:$B$3005,$A259,請求記録!$X$6:$X$3005,X$5))))</f>
        <v/>
      </c>
      <c r="Y259" s="19">
        <f>IF($A259="","",IF(COUNTIFS(請求記録!$B$6:$B$3005,$A259,請求記録!$X$6:$X$3005,Y$5,請求記録!$AD$6:$AD$3005,"保留中")&gt;0,"保留",IF(COUNTIFS(請求記録!$B$6:$B$3005,$A259,請求記録!$X$6:$X$3005,Y$5)=0,"",SUMIFS(請求記録!$AC$6:$AC$3005,請求記録!$B$6:$B$3005,$A259,請求記録!$X$6:$X$3005,Y$5))))</f>
        <v/>
      </c>
      <c r="Z259" s="19">
        <f>IF($A259="","",IF(COUNTIFS(請求記録!$B$6:$B$3005,$A259,請求記録!$X$6:$X$3005,Z$5,請求記録!$AD$6:$AD$3005,"保留中")&gt;0,"保留",IF(COUNTIFS(請求記録!$B$6:$B$3005,$A259,請求記録!$X$6:$X$3005,Z$5)=0,"",SUMIFS(請求記録!$AC$6:$AC$3005,請求記録!$B$6:$B$3005,$A259,請求記録!$X$6:$X$3005,Z$5))))</f>
        <v/>
      </c>
      <c r="AA259" s="19">
        <f>IF($A259="","",IF(COUNTIFS(請求記録!$B$6:$B$3005,$A259,請求記録!$X$6:$X$3005,AA$5,請求記録!$AD$6:$AD$3005,"保留中")&gt;0,"保留",IF(COUNTIFS(請求記録!$B$6:$B$3005,$A259,請求記録!$X$6:$X$3005,AA$5)=0,"",SUMIFS(請求記録!$AC$6:$AC$3005,請求記録!$B$6:$B$3005,$A259,請求記録!$X$6:$X$3005,AA$5))))</f>
        <v/>
      </c>
      <c r="AB259">
        <f>IF(職員マスタ!P259="保留中",職員マスタ!M259,"")</f>
        <v/>
      </c>
    </row>
    <row r="260">
      <c r="A260">
        <f>IF(職員マスタ!A260="","",職員マスタ!A260)</f>
        <v/>
      </c>
      <c r="B260">
        <f>IF($A260="","",職員マスタ!B260)</f>
        <v/>
      </c>
      <c r="C260">
        <f>IF($A260="","",職員マスタ!C260)</f>
        <v/>
      </c>
      <c r="D260" s="19">
        <f>IF($A260="","",IF(COUNTIFS(請求記録!$B$6:$B$3005,$A260,請求記録!$X$6:$X$3005,D$5,請求記録!$AD$6:$AD$3005,"保留中")&gt;0,"保留",IF(COUNTIFS(請求記録!$B$6:$B$3005,$A260,請求記録!$X$6:$X$3005,D$5)=0,"",SUMIFS(請求記録!$AC$6:$AC$3005,請求記録!$B$6:$B$3005,$A260,請求記録!$X$6:$X$3005,D$5))))</f>
        <v/>
      </c>
      <c r="E260" s="19">
        <f>IF($A260="","",IF(COUNTIFS(請求記録!$B$6:$B$3005,$A260,請求記録!$X$6:$X$3005,E$5,請求記録!$AD$6:$AD$3005,"保留中")&gt;0,"保留",IF(COUNTIFS(請求記録!$B$6:$B$3005,$A260,請求記録!$X$6:$X$3005,E$5)=0,"",SUMIFS(請求記録!$AC$6:$AC$3005,請求記録!$B$6:$B$3005,$A260,請求記録!$X$6:$X$3005,E$5))))</f>
        <v/>
      </c>
      <c r="F260" s="19">
        <f>IF($A260="","",IF(COUNTIFS(請求記録!$B$6:$B$3005,$A260,請求記録!$X$6:$X$3005,F$5,請求記録!$AD$6:$AD$3005,"保留中")&gt;0,"保留",IF(COUNTIFS(請求記録!$B$6:$B$3005,$A260,請求記録!$X$6:$X$3005,F$5)=0,"",SUMIFS(請求記録!$AC$6:$AC$3005,請求記録!$B$6:$B$3005,$A260,請求記録!$X$6:$X$3005,F$5))))</f>
        <v/>
      </c>
      <c r="G260" s="19">
        <f>IF($A260="","",IF(COUNTIFS(請求記録!$B$6:$B$3005,$A260,請求記録!$X$6:$X$3005,G$5,請求記録!$AD$6:$AD$3005,"保留中")&gt;0,"保留",IF(COUNTIFS(請求記録!$B$6:$B$3005,$A260,請求記録!$X$6:$X$3005,G$5)=0,"",SUMIFS(請求記録!$AC$6:$AC$3005,請求記録!$B$6:$B$3005,$A260,請求記録!$X$6:$X$3005,G$5))))</f>
        <v/>
      </c>
      <c r="H260" s="19">
        <f>IF($A260="","",IF(COUNTIFS(請求記録!$B$6:$B$3005,$A260,請求記録!$X$6:$X$3005,H$5,請求記録!$AD$6:$AD$3005,"保留中")&gt;0,"保留",IF(COUNTIFS(請求記録!$B$6:$B$3005,$A260,請求記録!$X$6:$X$3005,H$5)=0,"",SUMIFS(請求記録!$AC$6:$AC$3005,請求記録!$B$6:$B$3005,$A260,請求記録!$X$6:$X$3005,H$5))))</f>
        <v/>
      </c>
      <c r="I260" s="19">
        <f>IF($A260="","",IF(COUNTIFS(請求記録!$B$6:$B$3005,$A260,請求記録!$X$6:$X$3005,I$5,請求記録!$AD$6:$AD$3005,"保留中")&gt;0,"保留",IF(COUNTIFS(請求記録!$B$6:$B$3005,$A260,請求記録!$X$6:$X$3005,I$5)=0,"",SUMIFS(請求記録!$AC$6:$AC$3005,請求記録!$B$6:$B$3005,$A260,請求記録!$X$6:$X$3005,I$5))))</f>
        <v/>
      </c>
      <c r="J260" s="19">
        <f>IF($A260="","",IF(COUNTIFS(請求記録!$B$6:$B$3005,$A260,請求記録!$X$6:$X$3005,J$5,請求記録!$AD$6:$AD$3005,"保留中")&gt;0,"保留",IF(COUNTIFS(請求記録!$B$6:$B$3005,$A260,請求記録!$X$6:$X$3005,J$5)=0,"",SUMIFS(請求記録!$AC$6:$AC$3005,請求記録!$B$6:$B$3005,$A260,請求記録!$X$6:$X$3005,J$5))))</f>
        <v/>
      </c>
      <c r="K260" s="19">
        <f>IF($A260="","",IF(COUNTIFS(請求記録!$B$6:$B$3005,$A260,請求記録!$X$6:$X$3005,K$5,請求記録!$AD$6:$AD$3005,"保留中")&gt;0,"保留",IF(COUNTIFS(請求記録!$B$6:$B$3005,$A260,請求記録!$X$6:$X$3005,K$5)=0,"",SUMIFS(請求記録!$AC$6:$AC$3005,請求記録!$B$6:$B$3005,$A260,請求記録!$X$6:$X$3005,K$5))))</f>
        <v/>
      </c>
      <c r="L260" s="19">
        <f>IF($A260="","",IF(COUNTIFS(請求記録!$B$6:$B$3005,$A260,請求記録!$X$6:$X$3005,L$5,請求記録!$AD$6:$AD$3005,"保留中")&gt;0,"保留",IF(COUNTIFS(請求記録!$B$6:$B$3005,$A260,請求記録!$X$6:$X$3005,L$5)=0,"",SUMIFS(請求記録!$AC$6:$AC$3005,請求記録!$B$6:$B$3005,$A260,請求記録!$X$6:$X$3005,L$5))))</f>
        <v/>
      </c>
      <c r="M260" s="19">
        <f>IF($A260="","",IF(COUNTIFS(請求記録!$B$6:$B$3005,$A260,請求記録!$X$6:$X$3005,M$5,請求記録!$AD$6:$AD$3005,"保留中")&gt;0,"保留",IF(COUNTIFS(請求記録!$B$6:$B$3005,$A260,請求記録!$X$6:$X$3005,M$5)=0,"",SUMIFS(請求記録!$AC$6:$AC$3005,請求記録!$B$6:$B$3005,$A260,請求記録!$X$6:$X$3005,M$5))))</f>
        <v/>
      </c>
      <c r="N260" s="19">
        <f>IF($A260="","",IF(COUNTIFS(請求記録!$B$6:$B$3005,$A260,請求記録!$X$6:$X$3005,N$5,請求記録!$AD$6:$AD$3005,"保留中")&gt;0,"保留",IF(COUNTIFS(請求記録!$B$6:$B$3005,$A260,請求記録!$X$6:$X$3005,N$5)=0,"",SUMIFS(請求記録!$AC$6:$AC$3005,請求記録!$B$6:$B$3005,$A260,請求記録!$X$6:$X$3005,N$5))))</f>
        <v/>
      </c>
      <c r="O260" s="19">
        <f>IF($A260="","",IF(COUNTIFS(請求記録!$B$6:$B$3005,$A260,請求記録!$X$6:$X$3005,O$5,請求記録!$AD$6:$AD$3005,"保留中")&gt;0,"保留",IF(COUNTIFS(請求記録!$B$6:$B$3005,$A260,請求記録!$X$6:$X$3005,O$5)=0,"",SUMIFS(請求記録!$AC$6:$AC$3005,請求記録!$B$6:$B$3005,$A260,請求記録!$X$6:$X$3005,O$5))))</f>
        <v/>
      </c>
      <c r="P260" s="19">
        <f>IF($A260="","",IF(COUNTIFS(請求記録!$B$6:$B$3005,$A260,請求記録!$X$6:$X$3005,P$5,請求記録!$AD$6:$AD$3005,"保留中")&gt;0,"保留",IF(COUNTIFS(請求記録!$B$6:$B$3005,$A260,請求記録!$X$6:$X$3005,P$5)=0,"",SUMIFS(請求記録!$AC$6:$AC$3005,請求記録!$B$6:$B$3005,$A260,請求記録!$X$6:$X$3005,P$5))))</f>
        <v/>
      </c>
      <c r="Q260" s="19">
        <f>IF($A260="","",IF(COUNTIFS(請求記録!$B$6:$B$3005,$A260,請求記録!$X$6:$X$3005,Q$5,請求記録!$AD$6:$AD$3005,"保留中")&gt;0,"保留",IF(COUNTIFS(請求記録!$B$6:$B$3005,$A260,請求記録!$X$6:$X$3005,Q$5)=0,"",SUMIFS(請求記録!$AC$6:$AC$3005,請求記録!$B$6:$B$3005,$A260,請求記録!$X$6:$X$3005,Q$5))))</f>
        <v/>
      </c>
      <c r="R260" s="19">
        <f>IF($A260="","",IF(COUNTIFS(請求記録!$B$6:$B$3005,$A260,請求記録!$X$6:$X$3005,R$5,請求記録!$AD$6:$AD$3005,"保留中")&gt;0,"保留",IF(COUNTIFS(請求記録!$B$6:$B$3005,$A260,請求記録!$X$6:$X$3005,R$5)=0,"",SUMIFS(請求記録!$AC$6:$AC$3005,請求記録!$B$6:$B$3005,$A260,請求記録!$X$6:$X$3005,R$5))))</f>
        <v/>
      </c>
      <c r="S260" s="19">
        <f>IF($A260="","",IF(COUNTIFS(請求記録!$B$6:$B$3005,$A260,請求記録!$X$6:$X$3005,S$5,請求記録!$AD$6:$AD$3005,"保留中")&gt;0,"保留",IF(COUNTIFS(請求記録!$B$6:$B$3005,$A260,請求記録!$X$6:$X$3005,S$5)=0,"",SUMIFS(請求記録!$AC$6:$AC$3005,請求記録!$B$6:$B$3005,$A260,請求記録!$X$6:$X$3005,S$5))))</f>
        <v/>
      </c>
      <c r="T260" s="19">
        <f>IF($A260="","",IF(COUNTIFS(請求記録!$B$6:$B$3005,$A260,請求記録!$X$6:$X$3005,T$5,請求記録!$AD$6:$AD$3005,"保留中")&gt;0,"保留",IF(COUNTIFS(請求記録!$B$6:$B$3005,$A260,請求記録!$X$6:$X$3005,T$5)=0,"",SUMIFS(請求記録!$AC$6:$AC$3005,請求記録!$B$6:$B$3005,$A260,請求記録!$X$6:$X$3005,T$5))))</f>
        <v/>
      </c>
      <c r="U260" s="19">
        <f>IF($A260="","",IF(COUNTIFS(請求記録!$B$6:$B$3005,$A260,請求記録!$X$6:$X$3005,U$5,請求記録!$AD$6:$AD$3005,"保留中")&gt;0,"保留",IF(COUNTIFS(請求記録!$B$6:$B$3005,$A260,請求記録!$X$6:$X$3005,U$5)=0,"",SUMIFS(請求記録!$AC$6:$AC$3005,請求記録!$B$6:$B$3005,$A260,請求記録!$X$6:$X$3005,U$5))))</f>
        <v/>
      </c>
      <c r="V260" s="19">
        <f>IF($A260="","",IF(COUNTIFS(請求記録!$B$6:$B$3005,$A260,請求記録!$X$6:$X$3005,V$5,請求記録!$AD$6:$AD$3005,"保留中")&gt;0,"保留",IF(COUNTIFS(請求記録!$B$6:$B$3005,$A260,請求記録!$X$6:$X$3005,V$5)=0,"",SUMIFS(請求記録!$AC$6:$AC$3005,請求記録!$B$6:$B$3005,$A260,請求記録!$X$6:$X$3005,V$5))))</f>
        <v/>
      </c>
      <c r="W260" s="19">
        <f>IF($A260="","",IF(COUNTIFS(請求記録!$B$6:$B$3005,$A260,請求記録!$X$6:$X$3005,W$5,請求記録!$AD$6:$AD$3005,"保留中")&gt;0,"保留",IF(COUNTIFS(請求記録!$B$6:$B$3005,$A260,請求記録!$X$6:$X$3005,W$5)=0,"",SUMIFS(請求記録!$AC$6:$AC$3005,請求記録!$B$6:$B$3005,$A260,請求記録!$X$6:$X$3005,W$5))))</f>
        <v/>
      </c>
      <c r="X260" s="19">
        <f>IF($A260="","",IF(COUNTIFS(請求記録!$B$6:$B$3005,$A260,請求記録!$X$6:$X$3005,X$5,請求記録!$AD$6:$AD$3005,"保留中")&gt;0,"保留",IF(COUNTIFS(請求記録!$B$6:$B$3005,$A260,請求記録!$X$6:$X$3005,X$5)=0,"",SUMIFS(請求記録!$AC$6:$AC$3005,請求記録!$B$6:$B$3005,$A260,請求記録!$X$6:$X$3005,X$5))))</f>
        <v/>
      </c>
      <c r="Y260" s="19">
        <f>IF($A260="","",IF(COUNTIFS(請求記録!$B$6:$B$3005,$A260,請求記録!$X$6:$X$3005,Y$5,請求記録!$AD$6:$AD$3005,"保留中")&gt;0,"保留",IF(COUNTIFS(請求記録!$B$6:$B$3005,$A260,請求記録!$X$6:$X$3005,Y$5)=0,"",SUMIFS(請求記録!$AC$6:$AC$3005,請求記録!$B$6:$B$3005,$A260,請求記録!$X$6:$X$3005,Y$5))))</f>
        <v/>
      </c>
      <c r="Z260" s="19">
        <f>IF($A260="","",IF(COUNTIFS(請求記録!$B$6:$B$3005,$A260,請求記録!$X$6:$X$3005,Z$5,請求記録!$AD$6:$AD$3005,"保留中")&gt;0,"保留",IF(COUNTIFS(請求記録!$B$6:$B$3005,$A260,請求記録!$X$6:$X$3005,Z$5)=0,"",SUMIFS(請求記録!$AC$6:$AC$3005,請求記録!$B$6:$B$3005,$A260,請求記録!$X$6:$X$3005,Z$5))))</f>
        <v/>
      </c>
      <c r="AA260" s="19">
        <f>IF($A260="","",IF(COUNTIFS(請求記録!$B$6:$B$3005,$A260,請求記録!$X$6:$X$3005,AA$5,請求記録!$AD$6:$AD$3005,"保留中")&gt;0,"保留",IF(COUNTIFS(請求記録!$B$6:$B$3005,$A260,請求記録!$X$6:$X$3005,AA$5)=0,"",SUMIFS(請求記録!$AC$6:$AC$3005,請求記録!$B$6:$B$3005,$A260,請求記録!$X$6:$X$3005,AA$5))))</f>
        <v/>
      </c>
      <c r="AB260">
        <f>IF(職員マスタ!P260="保留中",職員マスタ!M260,"")</f>
        <v/>
      </c>
    </row>
    <row r="261">
      <c r="A261">
        <f>IF(職員マスタ!A261="","",職員マスタ!A261)</f>
        <v/>
      </c>
      <c r="B261">
        <f>IF($A261="","",職員マスタ!B261)</f>
        <v/>
      </c>
      <c r="C261">
        <f>IF($A261="","",職員マスタ!C261)</f>
        <v/>
      </c>
      <c r="D261" s="19">
        <f>IF($A261="","",IF(COUNTIFS(請求記録!$B$6:$B$3005,$A261,請求記録!$X$6:$X$3005,D$5,請求記録!$AD$6:$AD$3005,"保留中")&gt;0,"保留",IF(COUNTIFS(請求記録!$B$6:$B$3005,$A261,請求記録!$X$6:$X$3005,D$5)=0,"",SUMIFS(請求記録!$AC$6:$AC$3005,請求記録!$B$6:$B$3005,$A261,請求記録!$X$6:$X$3005,D$5))))</f>
        <v/>
      </c>
      <c r="E261" s="19">
        <f>IF($A261="","",IF(COUNTIFS(請求記録!$B$6:$B$3005,$A261,請求記録!$X$6:$X$3005,E$5,請求記録!$AD$6:$AD$3005,"保留中")&gt;0,"保留",IF(COUNTIFS(請求記録!$B$6:$B$3005,$A261,請求記録!$X$6:$X$3005,E$5)=0,"",SUMIFS(請求記録!$AC$6:$AC$3005,請求記録!$B$6:$B$3005,$A261,請求記録!$X$6:$X$3005,E$5))))</f>
        <v/>
      </c>
      <c r="F261" s="19">
        <f>IF($A261="","",IF(COUNTIFS(請求記録!$B$6:$B$3005,$A261,請求記録!$X$6:$X$3005,F$5,請求記録!$AD$6:$AD$3005,"保留中")&gt;0,"保留",IF(COUNTIFS(請求記録!$B$6:$B$3005,$A261,請求記録!$X$6:$X$3005,F$5)=0,"",SUMIFS(請求記録!$AC$6:$AC$3005,請求記録!$B$6:$B$3005,$A261,請求記録!$X$6:$X$3005,F$5))))</f>
        <v/>
      </c>
      <c r="G261" s="19">
        <f>IF($A261="","",IF(COUNTIFS(請求記録!$B$6:$B$3005,$A261,請求記録!$X$6:$X$3005,G$5,請求記録!$AD$6:$AD$3005,"保留中")&gt;0,"保留",IF(COUNTIFS(請求記録!$B$6:$B$3005,$A261,請求記録!$X$6:$X$3005,G$5)=0,"",SUMIFS(請求記録!$AC$6:$AC$3005,請求記録!$B$6:$B$3005,$A261,請求記録!$X$6:$X$3005,G$5))))</f>
        <v/>
      </c>
      <c r="H261" s="19">
        <f>IF($A261="","",IF(COUNTIFS(請求記録!$B$6:$B$3005,$A261,請求記録!$X$6:$X$3005,H$5,請求記録!$AD$6:$AD$3005,"保留中")&gt;0,"保留",IF(COUNTIFS(請求記録!$B$6:$B$3005,$A261,請求記録!$X$6:$X$3005,H$5)=0,"",SUMIFS(請求記録!$AC$6:$AC$3005,請求記録!$B$6:$B$3005,$A261,請求記録!$X$6:$X$3005,H$5))))</f>
        <v/>
      </c>
      <c r="I261" s="19">
        <f>IF($A261="","",IF(COUNTIFS(請求記録!$B$6:$B$3005,$A261,請求記録!$X$6:$X$3005,I$5,請求記録!$AD$6:$AD$3005,"保留中")&gt;0,"保留",IF(COUNTIFS(請求記録!$B$6:$B$3005,$A261,請求記録!$X$6:$X$3005,I$5)=0,"",SUMIFS(請求記録!$AC$6:$AC$3005,請求記録!$B$6:$B$3005,$A261,請求記録!$X$6:$X$3005,I$5))))</f>
        <v/>
      </c>
      <c r="J261" s="19">
        <f>IF($A261="","",IF(COUNTIFS(請求記録!$B$6:$B$3005,$A261,請求記録!$X$6:$X$3005,J$5,請求記録!$AD$6:$AD$3005,"保留中")&gt;0,"保留",IF(COUNTIFS(請求記録!$B$6:$B$3005,$A261,請求記録!$X$6:$X$3005,J$5)=0,"",SUMIFS(請求記録!$AC$6:$AC$3005,請求記録!$B$6:$B$3005,$A261,請求記録!$X$6:$X$3005,J$5))))</f>
        <v/>
      </c>
      <c r="K261" s="19">
        <f>IF($A261="","",IF(COUNTIFS(請求記録!$B$6:$B$3005,$A261,請求記録!$X$6:$X$3005,K$5,請求記録!$AD$6:$AD$3005,"保留中")&gt;0,"保留",IF(COUNTIFS(請求記録!$B$6:$B$3005,$A261,請求記録!$X$6:$X$3005,K$5)=0,"",SUMIFS(請求記録!$AC$6:$AC$3005,請求記録!$B$6:$B$3005,$A261,請求記録!$X$6:$X$3005,K$5))))</f>
        <v/>
      </c>
      <c r="L261" s="19">
        <f>IF($A261="","",IF(COUNTIFS(請求記録!$B$6:$B$3005,$A261,請求記録!$X$6:$X$3005,L$5,請求記録!$AD$6:$AD$3005,"保留中")&gt;0,"保留",IF(COUNTIFS(請求記録!$B$6:$B$3005,$A261,請求記録!$X$6:$X$3005,L$5)=0,"",SUMIFS(請求記録!$AC$6:$AC$3005,請求記録!$B$6:$B$3005,$A261,請求記録!$X$6:$X$3005,L$5))))</f>
        <v/>
      </c>
      <c r="M261" s="19">
        <f>IF($A261="","",IF(COUNTIFS(請求記録!$B$6:$B$3005,$A261,請求記録!$X$6:$X$3005,M$5,請求記録!$AD$6:$AD$3005,"保留中")&gt;0,"保留",IF(COUNTIFS(請求記録!$B$6:$B$3005,$A261,請求記録!$X$6:$X$3005,M$5)=0,"",SUMIFS(請求記録!$AC$6:$AC$3005,請求記録!$B$6:$B$3005,$A261,請求記録!$X$6:$X$3005,M$5))))</f>
        <v/>
      </c>
      <c r="N261" s="19">
        <f>IF($A261="","",IF(COUNTIFS(請求記録!$B$6:$B$3005,$A261,請求記録!$X$6:$X$3005,N$5,請求記録!$AD$6:$AD$3005,"保留中")&gt;0,"保留",IF(COUNTIFS(請求記録!$B$6:$B$3005,$A261,請求記録!$X$6:$X$3005,N$5)=0,"",SUMIFS(請求記録!$AC$6:$AC$3005,請求記録!$B$6:$B$3005,$A261,請求記録!$X$6:$X$3005,N$5))))</f>
        <v/>
      </c>
      <c r="O261" s="19">
        <f>IF($A261="","",IF(COUNTIFS(請求記録!$B$6:$B$3005,$A261,請求記録!$X$6:$X$3005,O$5,請求記録!$AD$6:$AD$3005,"保留中")&gt;0,"保留",IF(COUNTIFS(請求記録!$B$6:$B$3005,$A261,請求記録!$X$6:$X$3005,O$5)=0,"",SUMIFS(請求記録!$AC$6:$AC$3005,請求記録!$B$6:$B$3005,$A261,請求記録!$X$6:$X$3005,O$5))))</f>
        <v/>
      </c>
      <c r="P261" s="19">
        <f>IF($A261="","",IF(COUNTIFS(請求記録!$B$6:$B$3005,$A261,請求記録!$X$6:$X$3005,P$5,請求記録!$AD$6:$AD$3005,"保留中")&gt;0,"保留",IF(COUNTIFS(請求記録!$B$6:$B$3005,$A261,請求記録!$X$6:$X$3005,P$5)=0,"",SUMIFS(請求記録!$AC$6:$AC$3005,請求記録!$B$6:$B$3005,$A261,請求記録!$X$6:$X$3005,P$5))))</f>
        <v/>
      </c>
      <c r="Q261" s="19">
        <f>IF($A261="","",IF(COUNTIFS(請求記録!$B$6:$B$3005,$A261,請求記録!$X$6:$X$3005,Q$5,請求記録!$AD$6:$AD$3005,"保留中")&gt;0,"保留",IF(COUNTIFS(請求記録!$B$6:$B$3005,$A261,請求記録!$X$6:$X$3005,Q$5)=0,"",SUMIFS(請求記録!$AC$6:$AC$3005,請求記録!$B$6:$B$3005,$A261,請求記録!$X$6:$X$3005,Q$5))))</f>
        <v/>
      </c>
      <c r="R261" s="19">
        <f>IF($A261="","",IF(COUNTIFS(請求記録!$B$6:$B$3005,$A261,請求記録!$X$6:$X$3005,R$5,請求記録!$AD$6:$AD$3005,"保留中")&gt;0,"保留",IF(COUNTIFS(請求記録!$B$6:$B$3005,$A261,請求記録!$X$6:$X$3005,R$5)=0,"",SUMIFS(請求記録!$AC$6:$AC$3005,請求記録!$B$6:$B$3005,$A261,請求記録!$X$6:$X$3005,R$5))))</f>
        <v/>
      </c>
      <c r="S261" s="19">
        <f>IF($A261="","",IF(COUNTIFS(請求記録!$B$6:$B$3005,$A261,請求記録!$X$6:$X$3005,S$5,請求記録!$AD$6:$AD$3005,"保留中")&gt;0,"保留",IF(COUNTIFS(請求記録!$B$6:$B$3005,$A261,請求記録!$X$6:$X$3005,S$5)=0,"",SUMIFS(請求記録!$AC$6:$AC$3005,請求記録!$B$6:$B$3005,$A261,請求記録!$X$6:$X$3005,S$5))))</f>
        <v/>
      </c>
      <c r="T261" s="19">
        <f>IF($A261="","",IF(COUNTIFS(請求記録!$B$6:$B$3005,$A261,請求記録!$X$6:$X$3005,T$5,請求記録!$AD$6:$AD$3005,"保留中")&gt;0,"保留",IF(COUNTIFS(請求記録!$B$6:$B$3005,$A261,請求記録!$X$6:$X$3005,T$5)=0,"",SUMIFS(請求記録!$AC$6:$AC$3005,請求記録!$B$6:$B$3005,$A261,請求記録!$X$6:$X$3005,T$5))))</f>
        <v/>
      </c>
      <c r="U261" s="19">
        <f>IF($A261="","",IF(COUNTIFS(請求記録!$B$6:$B$3005,$A261,請求記録!$X$6:$X$3005,U$5,請求記録!$AD$6:$AD$3005,"保留中")&gt;0,"保留",IF(COUNTIFS(請求記録!$B$6:$B$3005,$A261,請求記録!$X$6:$X$3005,U$5)=0,"",SUMIFS(請求記録!$AC$6:$AC$3005,請求記録!$B$6:$B$3005,$A261,請求記録!$X$6:$X$3005,U$5))))</f>
        <v/>
      </c>
      <c r="V261" s="19">
        <f>IF($A261="","",IF(COUNTIFS(請求記録!$B$6:$B$3005,$A261,請求記録!$X$6:$X$3005,V$5,請求記録!$AD$6:$AD$3005,"保留中")&gt;0,"保留",IF(COUNTIFS(請求記録!$B$6:$B$3005,$A261,請求記録!$X$6:$X$3005,V$5)=0,"",SUMIFS(請求記録!$AC$6:$AC$3005,請求記録!$B$6:$B$3005,$A261,請求記録!$X$6:$X$3005,V$5))))</f>
        <v/>
      </c>
      <c r="W261" s="19">
        <f>IF($A261="","",IF(COUNTIFS(請求記録!$B$6:$B$3005,$A261,請求記録!$X$6:$X$3005,W$5,請求記録!$AD$6:$AD$3005,"保留中")&gt;0,"保留",IF(COUNTIFS(請求記録!$B$6:$B$3005,$A261,請求記録!$X$6:$X$3005,W$5)=0,"",SUMIFS(請求記録!$AC$6:$AC$3005,請求記録!$B$6:$B$3005,$A261,請求記録!$X$6:$X$3005,W$5))))</f>
        <v/>
      </c>
      <c r="X261" s="19">
        <f>IF($A261="","",IF(COUNTIFS(請求記録!$B$6:$B$3005,$A261,請求記録!$X$6:$X$3005,X$5,請求記録!$AD$6:$AD$3005,"保留中")&gt;0,"保留",IF(COUNTIFS(請求記録!$B$6:$B$3005,$A261,請求記録!$X$6:$X$3005,X$5)=0,"",SUMIFS(請求記録!$AC$6:$AC$3005,請求記録!$B$6:$B$3005,$A261,請求記録!$X$6:$X$3005,X$5))))</f>
        <v/>
      </c>
      <c r="Y261" s="19">
        <f>IF($A261="","",IF(COUNTIFS(請求記録!$B$6:$B$3005,$A261,請求記録!$X$6:$X$3005,Y$5,請求記録!$AD$6:$AD$3005,"保留中")&gt;0,"保留",IF(COUNTIFS(請求記録!$B$6:$B$3005,$A261,請求記録!$X$6:$X$3005,Y$5)=0,"",SUMIFS(請求記録!$AC$6:$AC$3005,請求記録!$B$6:$B$3005,$A261,請求記録!$X$6:$X$3005,Y$5))))</f>
        <v/>
      </c>
      <c r="Z261" s="19">
        <f>IF($A261="","",IF(COUNTIFS(請求記録!$B$6:$B$3005,$A261,請求記録!$X$6:$X$3005,Z$5,請求記録!$AD$6:$AD$3005,"保留中")&gt;0,"保留",IF(COUNTIFS(請求記録!$B$6:$B$3005,$A261,請求記録!$X$6:$X$3005,Z$5)=0,"",SUMIFS(請求記録!$AC$6:$AC$3005,請求記録!$B$6:$B$3005,$A261,請求記録!$X$6:$X$3005,Z$5))))</f>
        <v/>
      </c>
      <c r="AA261" s="19">
        <f>IF($A261="","",IF(COUNTIFS(請求記録!$B$6:$B$3005,$A261,請求記録!$X$6:$X$3005,AA$5,請求記録!$AD$6:$AD$3005,"保留中")&gt;0,"保留",IF(COUNTIFS(請求記録!$B$6:$B$3005,$A261,請求記録!$X$6:$X$3005,AA$5)=0,"",SUMIFS(請求記録!$AC$6:$AC$3005,請求記録!$B$6:$B$3005,$A261,請求記録!$X$6:$X$3005,AA$5))))</f>
        <v/>
      </c>
      <c r="AB261">
        <f>IF(職員マスタ!P261="保留中",職員マスタ!M261,"")</f>
        <v/>
      </c>
    </row>
    <row r="262">
      <c r="A262">
        <f>IF(職員マスタ!A262="","",職員マスタ!A262)</f>
        <v/>
      </c>
      <c r="B262">
        <f>IF($A262="","",職員マスタ!B262)</f>
        <v/>
      </c>
      <c r="C262">
        <f>IF($A262="","",職員マスタ!C262)</f>
        <v/>
      </c>
      <c r="D262" s="19">
        <f>IF($A262="","",IF(COUNTIFS(請求記録!$B$6:$B$3005,$A262,請求記録!$X$6:$X$3005,D$5,請求記録!$AD$6:$AD$3005,"保留中")&gt;0,"保留",IF(COUNTIFS(請求記録!$B$6:$B$3005,$A262,請求記録!$X$6:$X$3005,D$5)=0,"",SUMIFS(請求記録!$AC$6:$AC$3005,請求記録!$B$6:$B$3005,$A262,請求記録!$X$6:$X$3005,D$5))))</f>
        <v/>
      </c>
      <c r="E262" s="19">
        <f>IF($A262="","",IF(COUNTIFS(請求記録!$B$6:$B$3005,$A262,請求記録!$X$6:$X$3005,E$5,請求記録!$AD$6:$AD$3005,"保留中")&gt;0,"保留",IF(COUNTIFS(請求記録!$B$6:$B$3005,$A262,請求記録!$X$6:$X$3005,E$5)=0,"",SUMIFS(請求記録!$AC$6:$AC$3005,請求記録!$B$6:$B$3005,$A262,請求記録!$X$6:$X$3005,E$5))))</f>
        <v/>
      </c>
      <c r="F262" s="19">
        <f>IF($A262="","",IF(COUNTIFS(請求記録!$B$6:$B$3005,$A262,請求記録!$X$6:$X$3005,F$5,請求記録!$AD$6:$AD$3005,"保留中")&gt;0,"保留",IF(COUNTIFS(請求記録!$B$6:$B$3005,$A262,請求記録!$X$6:$X$3005,F$5)=0,"",SUMIFS(請求記録!$AC$6:$AC$3005,請求記録!$B$6:$B$3005,$A262,請求記録!$X$6:$X$3005,F$5))))</f>
        <v/>
      </c>
      <c r="G262" s="19">
        <f>IF($A262="","",IF(COUNTIFS(請求記録!$B$6:$B$3005,$A262,請求記録!$X$6:$X$3005,G$5,請求記録!$AD$6:$AD$3005,"保留中")&gt;0,"保留",IF(COUNTIFS(請求記録!$B$6:$B$3005,$A262,請求記録!$X$6:$X$3005,G$5)=0,"",SUMIFS(請求記録!$AC$6:$AC$3005,請求記録!$B$6:$B$3005,$A262,請求記録!$X$6:$X$3005,G$5))))</f>
        <v/>
      </c>
      <c r="H262" s="19">
        <f>IF($A262="","",IF(COUNTIFS(請求記録!$B$6:$B$3005,$A262,請求記録!$X$6:$X$3005,H$5,請求記録!$AD$6:$AD$3005,"保留中")&gt;0,"保留",IF(COUNTIFS(請求記録!$B$6:$B$3005,$A262,請求記録!$X$6:$X$3005,H$5)=0,"",SUMIFS(請求記録!$AC$6:$AC$3005,請求記録!$B$6:$B$3005,$A262,請求記録!$X$6:$X$3005,H$5))))</f>
        <v/>
      </c>
      <c r="I262" s="19">
        <f>IF($A262="","",IF(COUNTIFS(請求記録!$B$6:$B$3005,$A262,請求記録!$X$6:$X$3005,I$5,請求記録!$AD$6:$AD$3005,"保留中")&gt;0,"保留",IF(COUNTIFS(請求記録!$B$6:$B$3005,$A262,請求記録!$X$6:$X$3005,I$5)=0,"",SUMIFS(請求記録!$AC$6:$AC$3005,請求記録!$B$6:$B$3005,$A262,請求記録!$X$6:$X$3005,I$5))))</f>
        <v/>
      </c>
      <c r="J262" s="19">
        <f>IF($A262="","",IF(COUNTIFS(請求記録!$B$6:$B$3005,$A262,請求記録!$X$6:$X$3005,J$5,請求記録!$AD$6:$AD$3005,"保留中")&gt;0,"保留",IF(COUNTIFS(請求記録!$B$6:$B$3005,$A262,請求記録!$X$6:$X$3005,J$5)=0,"",SUMIFS(請求記録!$AC$6:$AC$3005,請求記録!$B$6:$B$3005,$A262,請求記録!$X$6:$X$3005,J$5))))</f>
        <v/>
      </c>
      <c r="K262" s="19">
        <f>IF($A262="","",IF(COUNTIFS(請求記録!$B$6:$B$3005,$A262,請求記録!$X$6:$X$3005,K$5,請求記録!$AD$6:$AD$3005,"保留中")&gt;0,"保留",IF(COUNTIFS(請求記録!$B$6:$B$3005,$A262,請求記録!$X$6:$X$3005,K$5)=0,"",SUMIFS(請求記録!$AC$6:$AC$3005,請求記録!$B$6:$B$3005,$A262,請求記録!$X$6:$X$3005,K$5))))</f>
        <v/>
      </c>
      <c r="L262" s="19">
        <f>IF($A262="","",IF(COUNTIFS(請求記録!$B$6:$B$3005,$A262,請求記録!$X$6:$X$3005,L$5,請求記録!$AD$6:$AD$3005,"保留中")&gt;0,"保留",IF(COUNTIFS(請求記録!$B$6:$B$3005,$A262,請求記録!$X$6:$X$3005,L$5)=0,"",SUMIFS(請求記録!$AC$6:$AC$3005,請求記録!$B$6:$B$3005,$A262,請求記録!$X$6:$X$3005,L$5))))</f>
        <v/>
      </c>
      <c r="M262" s="19">
        <f>IF($A262="","",IF(COUNTIFS(請求記録!$B$6:$B$3005,$A262,請求記録!$X$6:$X$3005,M$5,請求記録!$AD$6:$AD$3005,"保留中")&gt;0,"保留",IF(COUNTIFS(請求記録!$B$6:$B$3005,$A262,請求記録!$X$6:$X$3005,M$5)=0,"",SUMIFS(請求記録!$AC$6:$AC$3005,請求記録!$B$6:$B$3005,$A262,請求記録!$X$6:$X$3005,M$5))))</f>
        <v/>
      </c>
      <c r="N262" s="19">
        <f>IF($A262="","",IF(COUNTIFS(請求記録!$B$6:$B$3005,$A262,請求記録!$X$6:$X$3005,N$5,請求記録!$AD$6:$AD$3005,"保留中")&gt;0,"保留",IF(COUNTIFS(請求記録!$B$6:$B$3005,$A262,請求記録!$X$6:$X$3005,N$5)=0,"",SUMIFS(請求記録!$AC$6:$AC$3005,請求記録!$B$6:$B$3005,$A262,請求記録!$X$6:$X$3005,N$5))))</f>
        <v/>
      </c>
      <c r="O262" s="19">
        <f>IF($A262="","",IF(COUNTIFS(請求記録!$B$6:$B$3005,$A262,請求記録!$X$6:$X$3005,O$5,請求記録!$AD$6:$AD$3005,"保留中")&gt;0,"保留",IF(COUNTIFS(請求記録!$B$6:$B$3005,$A262,請求記録!$X$6:$X$3005,O$5)=0,"",SUMIFS(請求記録!$AC$6:$AC$3005,請求記録!$B$6:$B$3005,$A262,請求記録!$X$6:$X$3005,O$5))))</f>
        <v/>
      </c>
      <c r="P262" s="19">
        <f>IF($A262="","",IF(COUNTIFS(請求記録!$B$6:$B$3005,$A262,請求記録!$X$6:$X$3005,P$5,請求記録!$AD$6:$AD$3005,"保留中")&gt;0,"保留",IF(COUNTIFS(請求記録!$B$6:$B$3005,$A262,請求記録!$X$6:$X$3005,P$5)=0,"",SUMIFS(請求記録!$AC$6:$AC$3005,請求記録!$B$6:$B$3005,$A262,請求記録!$X$6:$X$3005,P$5))))</f>
        <v/>
      </c>
      <c r="Q262" s="19">
        <f>IF($A262="","",IF(COUNTIFS(請求記録!$B$6:$B$3005,$A262,請求記録!$X$6:$X$3005,Q$5,請求記録!$AD$6:$AD$3005,"保留中")&gt;0,"保留",IF(COUNTIFS(請求記録!$B$6:$B$3005,$A262,請求記録!$X$6:$X$3005,Q$5)=0,"",SUMIFS(請求記録!$AC$6:$AC$3005,請求記録!$B$6:$B$3005,$A262,請求記録!$X$6:$X$3005,Q$5))))</f>
        <v/>
      </c>
      <c r="R262" s="19">
        <f>IF($A262="","",IF(COUNTIFS(請求記録!$B$6:$B$3005,$A262,請求記録!$X$6:$X$3005,R$5,請求記録!$AD$6:$AD$3005,"保留中")&gt;0,"保留",IF(COUNTIFS(請求記録!$B$6:$B$3005,$A262,請求記録!$X$6:$X$3005,R$5)=0,"",SUMIFS(請求記録!$AC$6:$AC$3005,請求記録!$B$6:$B$3005,$A262,請求記録!$X$6:$X$3005,R$5))))</f>
        <v/>
      </c>
      <c r="S262" s="19">
        <f>IF($A262="","",IF(COUNTIFS(請求記録!$B$6:$B$3005,$A262,請求記録!$X$6:$X$3005,S$5,請求記録!$AD$6:$AD$3005,"保留中")&gt;0,"保留",IF(COUNTIFS(請求記録!$B$6:$B$3005,$A262,請求記録!$X$6:$X$3005,S$5)=0,"",SUMIFS(請求記録!$AC$6:$AC$3005,請求記録!$B$6:$B$3005,$A262,請求記録!$X$6:$X$3005,S$5))))</f>
        <v/>
      </c>
      <c r="T262" s="19">
        <f>IF($A262="","",IF(COUNTIFS(請求記録!$B$6:$B$3005,$A262,請求記録!$X$6:$X$3005,T$5,請求記録!$AD$6:$AD$3005,"保留中")&gt;0,"保留",IF(COUNTIFS(請求記録!$B$6:$B$3005,$A262,請求記録!$X$6:$X$3005,T$5)=0,"",SUMIFS(請求記録!$AC$6:$AC$3005,請求記録!$B$6:$B$3005,$A262,請求記録!$X$6:$X$3005,T$5))))</f>
        <v/>
      </c>
      <c r="U262" s="19">
        <f>IF($A262="","",IF(COUNTIFS(請求記録!$B$6:$B$3005,$A262,請求記録!$X$6:$X$3005,U$5,請求記録!$AD$6:$AD$3005,"保留中")&gt;0,"保留",IF(COUNTIFS(請求記録!$B$6:$B$3005,$A262,請求記録!$X$6:$X$3005,U$5)=0,"",SUMIFS(請求記録!$AC$6:$AC$3005,請求記録!$B$6:$B$3005,$A262,請求記録!$X$6:$X$3005,U$5))))</f>
        <v/>
      </c>
      <c r="V262" s="19">
        <f>IF($A262="","",IF(COUNTIFS(請求記録!$B$6:$B$3005,$A262,請求記録!$X$6:$X$3005,V$5,請求記録!$AD$6:$AD$3005,"保留中")&gt;0,"保留",IF(COUNTIFS(請求記録!$B$6:$B$3005,$A262,請求記録!$X$6:$X$3005,V$5)=0,"",SUMIFS(請求記録!$AC$6:$AC$3005,請求記録!$B$6:$B$3005,$A262,請求記録!$X$6:$X$3005,V$5))))</f>
        <v/>
      </c>
      <c r="W262" s="19">
        <f>IF($A262="","",IF(COUNTIFS(請求記録!$B$6:$B$3005,$A262,請求記録!$X$6:$X$3005,W$5,請求記録!$AD$6:$AD$3005,"保留中")&gt;0,"保留",IF(COUNTIFS(請求記録!$B$6:$B$3005,$A262,請求記録!$X$6:$X$3005,W$5)=0,"",SUMIFS(請求記録!$AC$6:$AC$3005,請求記録!$B$6:$B$3005,$A262,請求記録!$X$6:$X$3005,W$5))))</f>
        <v/>
      </c>
      <c r="X262" s="19">
        <f>IF($A262="","",IF(COUNTIFS(請求記録!$B$6:$B$3005,$A262,請求記録!$X$6:$X$3005,X$5,請求記録!$AD$6:$AD$3005,"保留中")&gt;0,"保留",IF(COUNTIFS(請求記録!$B$6:$B$3005,$A262,請求記録!$X$6:$X$3005,X$5)=0,"",SUMIFS(請求記録!$AC$6:$AC$3005,請求記録!$B$6:$B$3005,$A262,請求記録!$X$6:$X$3005,X$5))))</f>
        <v/>
      </c>
      <c r="Y262" s="19">
        <f>IF($A262="","",IF(COUNTIFS(請求記録!$B$6:$B$3005,$A262,請求記録!$X$6:$X$3005,Y$5,請求記録!$AD$6:$AD$3005,"保留中")&gt;0,"保留",IF(COUNTIFS(請求記録!$B$6:$B$3005,$A262,請求記録!$X$6:$X$3005,Y$5)=0,"",SUMIFS(請求記録!$AC$6:$AC$3005,請求記録!$B$6:$B$3005,$A262,請求記録!$X$6:$X$3005,Y$5))))</f>
        <v/>
      </c>
      <c r="Z262" s="19">
        <f>IF($A262="","",IF(COUNTIFS(請求記録!$B$6:$B$3005,$A262,請求記録!$X$6:$X$3005,Z$5,請求記録!$AD$6:$AD$3005,"保留中")&gt;0,"保留",IF(COUNTIFS(請求記録!$B$6:$B$3005,$A262,請求記録!$X$6:$X$3005,Z$5)=0,"",SUMIFS(請求記録!$AC$6:$AC$3005,請求記録!$B$6:$B$3005,$A262,請求記録!$X$6:$X$3005,Z$5))))</f>
        <v/>
      </c>
      <c r="AA262" s="19">
        <f>IF($A262="","",IF(COUNTIFS(請求記録!$B$6:$B$3005,$A262,請求記録!$X$6:$X$3005,AA$5,請求記録!$AD$6:$AD$3005,"保留中")&gt;0,"保留",IF(COUNTIFS(請求記録!$B$6:$B$3005,$A262,請求記録!$X$6:$X$3005,AA$5)=0,"",SUMIFS(請求記録!$AC$6:$AC$3005,請求記録!$B$6:$B$3005,$A262,請求記録!$X$6:$X$3005,AA$5))))</f>
        <v/>
      </c>
      <c r="AB262">
        <f>IF(職員マスタ!P262="保留中",職員マスタ!M262,"")</f>
        <v/>
      </c>
    </row>
    <row r="263">
      <c r="A263">
        <f>IF(職員マスタ!A263="","",職員マスタ!A263)</f>
        <v/>
      </c>
      <c r="B263">
        <f>IF($A263="","",職員マスタ!B263)</f>
        <v/>
      </c>
      <c r="C263">
        <f>IF($A263="","",職員マスタ!C263)</f>
        <v/>
      </c>
      <c r="D263" s="19">
        <f>IF($A263="","",IF(COUNTIFS(請求記録!$B$6:$B$3005,$A263,請求記録!$X$6:$X$3005,D$5,請求記録!$AD$6:$AD$3005,"保留中")&gt;0,"保留",IF(COUNTIFS(請求記録!$B$6:$B$3005,$A263,請求記録!$X$6:$X$3005,D$5)=0,"",SUMIFS(請求記録!$AC$6:$AC$3005,請求記録!$B$6:$B$3005,$A263,請求記録!$X$6:$X$3005,D$5))))</f>
        <v/>
      </c>
      <c r="E263" s="19">
        <f>IF($A263="","",IF(COUNTIFS(請求記録!$B$6:$B$3005,$A263,請求記録!$X$6:$X$3005,E$5,請求記録!$AD$6:$AD$3005,"保留中")&gt;0,"保留",IF(COUNTIFS(請求記録!$B$6:$B$3005,$A263,請求記録!$X$6:$X$3005,E$5)=0,"",SUMIFS(請求記録!$AC$6:$AC$3005,請求記録!$B$6:$B$3005,$A263,請求記録!$X$6:$X$3005,E$5))))</f>
        <v/>
      </c>
      <c r="F263" s="19">
        <f>IF($A263="","",IF(COUNTIFS(請求記録!$B$6:$B$3005,$A263,請求記録!$X$6:$X$3005,F$5,請求記録!$AD$6:$AD$3005,"保留中")&gt;0,"保留",IF(COUNTIFS(請求記録!$B$6:$B$3005,$A263,請求記録!$X$6:$X$3005,F$5)=0,"",SUMIFS(請求記録!$AC$6:$AC$3005,請求記録!$B$6:$B$3005,$A263,請求記録!$X$6:$X$3005,F$5))))</f>
        <v/>
      </c>
      <c r="G263" s="19">
        <f>IF($A263="","",IF(COUNTIFS(請求記録!$B$6:$B$3005,$A263,請求記録!$X$6:$X$3005,G$5,請求記録!$AD$6:$AD$3005,"保留中")&gt;0,"保留",IF(COUNTIFS(請求記録!$B$6:$B$3005,$A263,請求記録!$X$6:$X$3005,G$5)=0,"",SUMIFS(請求記録!$AC$6:$AC$3005,請求記録!$B$6:$B$3005,$A263,請求記録!$X$6:$X$3005,G$5))))</f>
        <v/>
      </c>
      <c r="H263" s="19">
        <f>IF($A263="","",IF(COUNTIFS(請求記録!$B$6:$B$3005,$A263,請求記録!$X$6:$X$3005,H$5,請求記録!$AD$6:$AD$3005,"保留中")&gt;0,"保留",IF(COUNTIFS(請求記録!$B$6:$B$3005,$A263,請求記録!$X$6:$X$3005,H$5)=0,"",SUMIFS(請求記録!$AC$6:$AC$3005,請求記録!$B$6:$B$3005,$A263,請求記録!$X$6:$X$3005,H$5))))</f>
        <v/>
      </c>
      <c r="I263" s="19">
        <f>IF($A263="","",IF(COUNTIFS(請求記録!$B$6:$B$3005,$A263,請求記録!$X$6:$X$3005,I$5,請求記録!$AD$6:$AD$3005,"保留中")&gt;0,"保留",IF(COUNTIFS(請求記録!$B$6:$B$3005,$A263,請求記録!$X$6:$X$3005,I$5)=0,"",SUMIFS(請求記録!$AC$6:$AC$3005,請求記録!$B$6:$B$3005,$A263,請求記録!$X$6:$X$3005,I$5))))</f>
        <v/>
      </c>
      <c r="J263" s="19">
        <f>IF($A263="","",IF(COUNTIFS(請求記録!$B$6:$B$3005,$A263,請求記録!$X$6:$X$3005,J$5,請求記録!$AD$6:$AD$3005,"保留中")&gt;0,"保留",IF(COUNTIFS(請求記録!$B$6:$B$3005,$A263,請求記録!$X$6:$X$3005,J$5)=0,"",SUMIFS(請求記録!$AC$6:$AC$3005,請求記録!$B$6:$B$3005,$A263,請求記録!$X$6:$X$3005,J$5))))</f>
        <v/>
      </c>
      <c r="K263" s="19">
        <f>IF($A263="","",IF(COUNTIFS(請求記録!$B$6:$B$3005,$A263,請求記録!$X$6:$X$3005,K$5,請求記録!$AD$6:$AD$3005,"保留中")&gt;0,"保留",IF(COUNTIFS(請求記録!$B$6:$B$3005,$A263,請求記録!$X$6:$X$3005,K$5)=0,"",SUMIFS(請求記録!$AC$6:$AC$3005,請求記録!$B$6:$B$3005,$A263,請求記録!$X$6:$X$3005,K$5))))</f>
        <v/>
      </c>
      <c r="L263" s="19">
        <f>IF($A263="","",IF(COUNTIFS(請求記録!$B$6:$B$3005,$A263,請求記録!$X$6:$X$3005,L$5,請求記録!$AD$6:$AD$3005,"保留中")&gt;0,"保留",IF(COUNTIFS(請求記録!$B$6:$B$3005,$A263,請求記録!$X$6:$X$3005,L$5)=0,"",SUMIFS(請求記録!$AC$6:$AC$3005,請求記録!$B$6:$B$3005,$A263,請求記録!$X$6:$X$3005,L$5))))</f>
        <v/>
      </c>
      <c r="M263" s="19">
        <f>IF($A263="","",IF(COUNTIFS(請求記録!$B$6:$B$3005,$A263,請求記録!$X$6:$X$3005,M$5,請求記録!$AD$6:$AD$3005,"保留中")&gt;0,"保留",IF(COUNTIFS(請求記録!$B$6:$B$3005,$A263,請求記録!$X$6:$X$3005,M$5)=0,"",SUMIFS(請求記録!$AC$6:$AC$3005,請求記録!$B$6:$B$3005,$A263,請求記録!$X$6:$X$3005,M$5))))</f>
        <v/>
      </c>
      <c r="N263" s="19">
        <f>IF($A263="","",IF(COUNTIFS(請求記録!$B$6:$B$3005,$A263,請求記録!$X$6:$X$3005,N$5,請求記録!$AD$6:$AD$3005,"保留中")&gt;0,"保留",IF(COUNTIFS(請求記録!$B$6:$B$3005,$A263,請求記録!$X$6:$X$3005,N$5)=0,"",SUMIFS(請求記録!$AC$6:$AC$3005,請求記録!$B$6:$B$3005,$A263,請求記録!$X$6:$X$3005,N$5))))</f>
        <v/>
      </c>
      <c r="O263" s="19">
        <f>IF($A263="","",IF(COUNTIFS(請求記録!$B$6:$B$3005,$A263,請求記録!$X$6:$X$3005,O$5,請求記録!$AD$6:$AD$3005,"保留中")&gt;0,"保留",IF(COUNTIFS(請求記録!$B$6:$B$3005,$A263,請求記録!$X$6:$X$3005,O$5)=0,"",SUMIFS(請求記録!$AC$6:$AC$3005,請求記録!$B$6:$B$3005,$A263,請求記録!$X$6:$X$3005,O$5))))</f>
        <v/>
      </c>
      <c r="P263" s="19">
        <f>IF($A263="","",IF(COUNTIFS(請求記録!$B$6:$B$3005,$A263,請求記録!$X$6:$X$3005,P$5,請求記録!$AD$6:$AD$3005,"保留中")&gt;0,"保留",IF(COUNTIFS(請求記録!$B$6:$B$3005,$A263,請求記録!$X$6:$X$3005,P$5)=0,"",SUMIFS(請求記録!$AC$6:$AC$3005,請求記録!$B$6:$B$3005,$A263,請求記録!$X$6:$X$3005,P$5))))</f>
        <v/>
      </c>
      <c r="Q263" s="19">
        <f>IF($A263="","",IF(COUNTIFS(請求記録!$B$6:$B$3005,$A263,請求記録!$X$6:$X$3005,Q$5,請求記録!$AD$6:$AD$3005,"保留中")&gt;0,"保留",IF(COUNTIFS(請求記録!$B$6:$B$3005,$A263,請求記録!$X$6:$X$3005,Q$5)=0,"",SUMIFS(請求記録!$AC$6:$AC$3005,請求記録!$B$6:$B$3005,$A263,請求記録!$X$6:$X$3005,Q$5))))</f>
        <v/>
      </c>
      <c r="R263" s="19">
        <f>IF($A263="","",IF(COUNTIFS(請求記録!$B$6:$B$3005,$A263,請求記録!$X$6:$X$3005,R$5,請求記録!$AD$6:$AD$3005,"保留中")&gt;0,"保留",IF(COUNTIFS(請求記録!$B$6:$B$3005,$A263,請求記録!$X$6:$X$3005,R$5)=0,"",SUMIFS(請求記録!$AC$6:$AC$3005,請求記録!$B$6:$B$3005,$A263,請求記録!$X$6:$X$3005,R$5))))</f>
        <v/>
      </c>
      <c r="S263" s="19">
        <f>IF($A263="","",IF(COUNTIFS(請求記録!$B$6:$B$3005,$A263,請求記録!$X$6:$X$3005,S$5,請求記録!$AD$6:$AD$3005,"保留中")&gt;0,"保留",IF(COUNTIFS(請求記録!$B$6:$B$3005,$A263,請求記録!$X$6:$X$3005,S$5)=0,"",SUMIFS(請求記録!$AC$6:$AC$3005,請求記録!$B$6:$B$3005,$A263,請求記録!$X$6:$X$3005,S$5))))</f>
        <v/>
      </c>
      <c r="T263" s="19">
        <f>IF($A263="","",IF(COUNTIFS(請求記録!$B$6:$B$3005,$A263,請求記録!$X$6:$X$3005,T$5,請求記録!$AD$6:$AD$3005,"保留中")&gt;0,"保留",IF(COUNTIFS(請求記録!$B$6:$B$3005,$A263,請求記録!$X$6:$X$3005,T$5)=0,"",SUMIFS(請求記録!$AC$6:$AC$3005,請求記録!$B$6:$B$3005,$A263,請求記録!$X$6:$X$3005,T$5))))</f>
        <v/>
      </c>
      <c r="U263" s="19">
        <f>IF($A263="","",IF(COUNTIFS(請求記録!$B$6:$B$3005,$A263,請求記録!$X$6:$X$3005,U$5,請求記録!$AD$6:$AD$3005,"保留中")&gt;0,"保留",IF(COUNTIFS(請求記録!$B$6:$B$3005,$A263,請求記録!$X$6:$X$3005,U$5)=0,"",SUMIFS(請求記録!$AC$6:$AC$3005,請求記録!$B$6:$B$3005,$A263,請求記録!$X$6:$X$3005,U$5))))</f>
        <v/>
      </c>
      <c r="V263" s="19">
        <f>IF($A263="","",IF(COUNTIFS(請求記録!$B$6:$B$3005,$A263,請求記録!$X$6:$X$3005,V$5,請求記録!$AD$6:$AD$3005,"保留中")&gt;0,"保留",IF(COUNTIFS(請求記録!$B$6:$B$3005,$A263,請求記録!$X$6:$X$3005,V$5)=0,"",SUMIFS(請求記録!$AC$6:$AC$3005,請求記録!$B$6:$B$3005,$A263,請求記録!$X$6:$X$3005,V$5))))</f>
        <v/>
      </c>
      <c r="W263" s="19">
        <f>IF($A263="","",IF(COUNTIFS(請求記録!$B$6:$B$3005,$A263,請求記録!$X$6:$X$3005,W$5,請求記録!$AD$6:$AD$3005,"保留中")&gt;0,"保留",IF(COUNTIFS(請求記録!$B$6:$B$3005,$A263,請求記録!$X$6:$X$3005,W$5)=0,"",SUMIFS(請求記録!$AC$6:$AC$3005,請求記録!$B$6:$B$3005,$A263,請求記録!$X$6:$X$3005,W$5))))</f>
        <v/>
      </c>
      <c r="X263" s="19">
        <f>IF($A263="","",IF(COUNTIFS(請求記録!$B$6:$B$3005,$A263,請求記録!$X$6:$X$3005,X$5,請求記録!$AD$6:$AD$3005,"保留中")&gt;0,"保留",IF(COUNTIFS(請求記録!$B$6:$B$3005,$A263,請求記録!$X$6:$X$3005,X$5)=0,"",SUMIFS(請求記録!$AC$6:$AC$3005,請求記録!$B$6:$B$3005,$A263,請求記録!$X$6:$X$3005,X$5))))</f>
        <v/>
      </c>
      <c r="Y263" s="19">
        <f>IF($A263="","",IF(COUNTIFS(請求記録!$B$6:$B$3005,$A263,請求記録!$X$6:$X$3005,Y$5,請求記録!$AD$6:$AD$3005,"保留中")&gt;0,"保留",IF(COUNTIFS(請求記録!$B$6:$B$3005,$A263,請求記録!$X$6:$X$3005,Y$5)=0,"",SUMIFS(請求記録!$AC$6:$AC$3005,請求記録!$B$6:$B$3005,$A263,請求記録!$X$6:$X$3005,Y$5))))</f>
        <v/>
      </c>
      <c r="Z263" s="19">
        <f>IF($A263="","",IF(COUNTIFS(請求記録!$B$6:$B$3005,$A263,請求記録!$X$6:$X$3005,Z$5,請求記録!$AD$6:$AD$3005,"保留中")&gt;0,"保留",IF(COUNTIFS(請求記録!$B$6:$B$3005,$A263,請求記録!$X$6:$X$3005,Z$5)=0,"",SUMIFS(請求記録!$AC$6:$AC$3005,請求記録!$B$6:$B$3005,$A263,請求記録!$X$6:$X$3005,Z$5))))</f>
        <v/>
      </c>
      <c r="AA263" s="19">
        <f>IF($A263="","",IF(COUNTIFS(請求記録!$B$6:$B$3005,$A263,請求記録!$X$6:$X$3005,AA$5,請求記録!$AD$6:$AD$3005,"保留中")&gt;0,"保留",IF(COUNTIFS(請求記録!$B$6:$B$3005,$A263,請求記録!$X$6:$X$3005,AA$5)=0,"",SUMIFS(請求記録!$AC$6:$AC$3005,請求記録!$B$6:$B$3005,$A263,請求記録!$X$6:$X$3005,AA$5))))</f>
        <v/>
      </c>
      <c r="AB263">
        <f>IF(職員マスタ!P263="保留中",職員マスタ!M263,"")</f>
        <v/>
      </c>
    </row>
    <row r="264">
      <c r="A264">
        <f>IF(職員マスタ!A264="","",職員マスタ!A264)</f>
        <v/>
      </c>
      <c r="B264">
        <f>IF($A264="","",職員マスタ!B264)</f>
        <v/>
      </c>
      <c r="C264">
        <f>IF($A264="","",職員マスタ!C264)</f>
        <v/>
      </c>
      <c r="D264" s="19">
        <f>IF($A264="","",IF(COUNTIFS(請求記録!$B$6:$B$3005,$A264,請求記録!$X$6:$X$3005,D$5,請求記録!$AD$6:$AD$3005,"保留中")&gt;0,"保留",IF(COUNTIFS(請求記録!$B$6:$B$3005,$A264,請求記録!$X$6:$X$3005,D$5)=0,"",SUMIFS(請求記録!$AC$6:$AC$3005,請求記録!$B$6:$B$3005,$A264,請求記録!$X$6:$X$3005,D$5))))</f>
        <v/>
      </c>
      <c r="E264" s="19">
        <f>IF($A264="","",IF(COUNTIFS(請求記録!$B$6:$B$3005,$A264,請求記録!$X$6:$X$3005,E$5,請求記録!$AD$6:$AD$3005,"保留中")&gt;0,"保留",IF(COUNTIFS(請求記録!$B$6:$B$3005,$A264,請求記録!$X$6:$X$3005,E$5)=0,"",SUMIFS(請求記録!$AC$6:$AC$3005,請求記録!$B$6:$B$3005,$A264,請求記録!$X$6:$X$3005,E$5))))</f>
        <v/>
      </c>
      <c r="F264" s="19">
        <f>IF($A264="","",IF(COUNTIFS(請求記録!$B$6:$B$3005,$A264,請求記録!$X$6:$X$3005,F$5,請求記録!$AD$6:$AD$3005,"保留中")&gt;0,"保留",IF(COUNTIFS(請求記録!$B$6:$B$3005,$A264,請求記録!$X$6:$X$3005,F$5)=0,"",SUMIFS(請求記録!$AC$6:$AC$3005,請求記録!$B$6:$B$3005,$A264,請求記録!$X$6:$X$3005,F$5))))</f>
        <v/>
      </c>
      <c r="G264" s="19">
        <f>IF($A264="","",IF(COUNTIFS(請求記録!$B$6:$B$3005,$A264,請求記録!$X$6:$X$3005,G$5,請求記録!$AD$6:$AD$3005,"保留中")&gt;0,"保留",IF(COUNTIFS(請求記録!$B$6:$B$3005,$A264,請求記録!$X$6:$X$3005,G$5)=0,"",SUMIFS(請求記録!$AC$6:$AC$3005,請求記録!$B$6:$B$3005,$A264,請求記録!$X$6:$X$3005,G$5))))</f>
        <v/>
      </c>
      <c r="H264" s="19">
        <f>IF($A264="","",IF(COUNTIFS(請求記録!$B$6:$B$3005,$A264,請求記録!$X$6:$X$3005,H$5,請求記録!$AD$6:$AD$3005,"保留中")&gt;0,"保留",IF(COUNTIFS(請求記録!$B$6:$B$3005,$A264,請求記録!$X$6:$X$3005,H$5)=0,"",SUMIFS(請求記録!$AC$6:$AC$3005,請求記録!$B$6:$B$3005,$A264,請求記録!$X$6:$X$3005,H$5))))</f>
        <v/>
      </c>
      <c r="I264" s="19">
        <f>IF($A264="","",IF(COUNTIFS(請求記録!$B$6:$B$3005,$A264,請求記録!$X$6:$X$3005,I$5,請求記録!$AD$6:$AD$3005,"保留中")&gt;0,"保留",IF(COUNTIFS(請求記録!$B$6:$B$3005,$A264,請求記録!$X$6:$X$3005,I$5)=0,"",SUMIFS(請求記録!$AC$6:$AC$3005,請求記録!$B$6:$B$3005,$A264,請求記録!$X$6:$X$3005,I$5))))</f>
        <v/>
      </c>
      <c r="J264" s="19">
        <f>IF($A264="","",IF(COUNTIFS(請求記録!$B$6:$B$3005,$A264,請求記録!$X$6:$X$3005,J$5,請求記録!$AD$6:$AD$3005,"保留中")&gt;0,"保留",IF(COUNTIFS(請求記録!$B$6:$B$3005,$A264,請求記録!$X$6:$X$3005,J$5)=0,"",SUMIFS(請求記録!$AC$6:$AC$3005,請求記録!$B$6:$B$3005,$A264,請求記録!$X$6:$X$3005,J$5))))</f>
        <v/>
      </c>
      <c r="K264" s="19">
        <f>IF($A264="","",IF(COUNTIFS(請求記録!$B$6:$B$3005,$A264,請求記録!$X$6:$X$3005,K$5,請求記録!$AD$6:$AD$3005,"保留中")&gt;0,"保留",IF(COUNTIFS(請求記録!$B$6:$B$3005,$A264,請求記録!$X$6:$X$3005,K$5)=0,"",SUMIFS(請求記録!$AC$6:$AC$3005,請求記録!$B$6:$B$3005,$A264,請求記録!$X$6:$X$3005,K$5))))</f>
        <v/>
      </c>
      <c r="L264" s="19">
        <f>IF($A264="","",IF(COUNTIFS(請求記録!$B$6:$B$3005,$A264,請求記録!$X$6:$X$3005,L$5,請求記録!$AD$6:$AD$3005,"保留中")&gt;0,"保留",IF(COUNTIFS(請求記録!$B$6:$B$3005,$A264,請求記録!$X$6:$X$3005,L$5)=0,"",SUMIFS(請求記録!$AC$6:$AC$3005,請求記録!$B$6:$B$3005,$A264,請求記録!$X$6:$X$3005,L$5))))</f>
        <v/>
      </c>
      <c r="M264" s="19">
        <f>IF($A264="","",IF(COUNTIFS(請求記録!$B$6:$B$3005,$A264,請求記録!$X$6:$X$3005,M$5,請求記録!$AD$6:$AD$3005,"保留中")&gt;0,"保留",IF(COUNTIFS(請求記録!$B$6:$B$3005,$A264,請求記録!$X$6:$X$3005,M$5)=0,"",SUMIFS(請求記録!$AC$6:$AC$3005,請求記録!$B$6:$B$3005,$A264,請求記録!$X$6:$X$3005,M$5))))</f>
        <v/>
      </c>
      <c r="N264" s="19">
        <f>IF($A264="","",IF(COUNTIFS(請求記録!$B$6:$B$3005,$A264,請求記録!$X$6:$X$3005,N$5,請求記録!$AD$6:$AD$3005,"保留中")&gt;0,"保留",IF(COUNTIFS(請求記録!$B$6:$B$3005,$A264,請求記録!$X$6:$X$3005,N$5)=0,"",SUMIFS(請求記録!$AC$6:$AC$3005,請求記録!$B$6:$B$3005,$A264,請求記録!$X$6:$X$3005,N$5))))</f>
        <v/>
      </c>
      <c r="O264" s="19">
        <f>IF($A264="","",IF(COUNTIFS(請求記録!$B$6:$B$3005,$A264,請求記録!$X$6:$X$3005,O$5,請求記録!$AD$6:$AD$3005,"保留中")&gt;0,"保留",IF(COUNTIFS(請求記録!$B$6:$B$3005,$A264,請求記録!$X$6:$X$3005,O$5)=0,"",SUMIFS(請求記録!$AC$6:$AC$3005,請求記録!$B$6:$B$3005,$A264,請求記録!$X$6:$X$3005,O$5))))</f>
        <v/>
      </c>
      <c r="P264" s="19">
        <f>IF($A264="","",IF(COUNTIFS(請求記録!$B$6:$B$3005,$A264,請求記録!$X$6:$X$3005,P$5,請求記録!$AD$6:$AD$3005,"保留中")&gt;0,"保留",IF(COUNTIFS(請求記録!$B$6:$B$3005,$A264,請求記録!$X$6:$X$3005,P$5)=0,"",SUMIFS(請求記録!$AC$6:$AC$3005,請求記録!$B$6:$B$3005,$A264,請求記録!$X$6:$X$3005,P$5))))</f>
        <v/>
      </c>
      <c r="Q264" s="19">
        <f>IF($A264="","",IF(COUNTIFS(請求記録!$B$6:$B$3005,$A264,請求記録!$X$6:$X$3005,Q$5,請求記録!$AD$6:$AD$3005,"保留中")&gt;0,"保留",IF(COUNTIFS(請求記録!$B$6:$B$3005,$A264,請求記録!$X$6:$X$3005,Q$5)=0,"",SUMIFS(請求記録!$AC$6:$AC$3005,請求記録!$B$6:$B$3005,$A264,請求記録!$X$6:$X$3005,Q$5))))</f>
        <v/>
      </c>
      <c r="R264" s="19">
        <f>IF($A264="","",IF(COUNTIFS(請求記録!$B$6:$B$3005,$A264,請求記録!$X$6:$X$3005,R$5,請求記録!$AD$6:$AD$3005,"保留中")&gt;0,"保留",IF(COUNTIFS(請求記録!$B$6:$B$3005,$A264,請求記録!$X$6:$X$3005,R$5)=0,"",SUMIFS(請求記録!$AC$6:$AC$3005,請求記録!$B$6:$B$3005,$A264,請求記録!$X$6:$X$3005,R$5))))</f>
        <v/>
      </c>
      <c r="S264" s="19">
        <f>IF($A264="","",IF(COUNTIFS(請求記録!$B$6:$B$3005,$A264,請求記録!$X$6:$X$3005,S$5,請求記録!$AD$6:$AD$3005,"保留中")&gt;0,"保留",IF(COUNTIFS(請求記録!$B$6:$B$3005,$A264,請求記録!$X$6:$X$3005,S$5)=0,"",SUMIFS(請求記録!$AC$6:$AC$3005,請求記録!$B$6:$B$3005,$A264,請求記録!$X$6:$X$3005,S$5))))</f>
        <v/>
      </c>
      <c r="T264" s="19">
        <f>IF($A264="","",IF(COUNTIFS(請求記録!$B$6:$B$3005,$A264,請求記録!$X$6:$X$3005,T$5,請求記録!$AD$6:$AD$3005,"保留中")&gt;0,"保留",IF(COUNTIFS(請求記録!$B$6:$B$3005,$A264,請求記録!$X$6:$X$3005,T$5)=0,"",SUMIFS(請求記録!$AC$6:$AC$3005,請求記録!$B$6:$B$3005,$A264,請求記録!$X$6:$X$3005,T$5))))</f>
        <v/>
      </c>
      <c r="U264" s="19">
        <f>IF($A264="","",IF(COUNTIFS(請求記録!$B$6:$B$3005,$A264,請求記録!$X$6:$X$3005,U$5,請求記録!$AD$6:$AD$3005,"保留中")&gt;0,"保留",IF(COUNTIFS(請求記録!$B$6:$B$3005,$A264,請求記録!$X$6:$X$3005,U$5)=0,"",SUMIFS(請求記録!$AC$6:$AC$3005,請求記録!$B$6:$B$3005,$A264,請求記録!$X$6:$X$3005,U$5))))</f>
        <v/>
      </c>
      <c r="V264" s="19">
        <f>IF($A264="","",IF(COUNTIFS(請求記録!$B$6:$B$3005,$A264,請求記録!$X$6:$X$3005,V$5,請求記録!$AD$6:$AD$3005,"保留中")&gt;0,"保留",IF(COUNTIFS(請求記録!$B$6:$B$3005,$A264,請求記録!$X$6:$X$3005,V$5)=0,"",SUMIFS(請求記録!$AC$6:$AC$3005,請求記録!$B$6:$B$3005,$A264,請求記録!$X$6:$X$3005,V$5))))</f>
        <v/>
      </c>
      <c r="W264" s="19">
        <f>IF($A264="","",IF(COUNTIFS(請求記録!$B$6:$B$3005,$A264,請求記録!$X$6:$X$3005,W$5,請求記録!$AD$6:$AD$3005,"保留中")&gt;0,"保留",IF(COUNTIFS(請求記録!$B$6:$B$3005,$A264,請求記録!$X$6:$X$3005,W$5)=0,"",SUMIFS(請求記録!$AC$6:$AC$3005,請求記録!$B$6:$B$3005,$A264,請求記録!$X$6:$X$3005,W$5))))</f>
        <v/>
      </c>
      <c r="X264" s="19">
        <f>IF($A264="","",IF(COUNTIFS(請求記録!$B$6:$B$3005,$A264,請求記録!$X$6:$X$3005,X$5,請求記録!$AD$6:$AD$3005,"保留中")&gt;0,"保留",IF(COUNTIFS(請求記録!$B$6:$B$3005,$A264,請求記録!$X$6:$X$3005,X$5)=0,"",SUMIFS(請求記録!$AC$6:$AC$3005,請求記録!$B$6:$B$3005,$A264,請求記録!$X$6:$X$3005,X$5))))</f>
        <v/>
      </c>
      <c r="Y264" s="19">
        <f>IF($A264="","",IF(COUNTIFS(請求記録!$B$6:$B$3005,$A264,請求記録!$X$6:$X$3005,Y$5,請求記録!$AD$6:$AD$3005,"保留中")&gt;0,"保留",IF(COUNTIFS(請求記録!$B$6:$B$3005,$A264,請求記録!$X$6:$X$3005,Y$5)=0,"",SUMIFS(請求記録!$AC$6:$AC$3005,請求記録!$B$6:$B$3005,$A264,請求記録!$X$6:$X$3005,Y$5))))</f>
        <v/>
      </c>
      <c r="Z264" s="19">
        <f>IF($A264="","",IF(COUNTIFS(請求記録!$B$6:$B$3005,$A264,請求記録!$X$6:$X$3005,Z$5,請求記録!$AD$6:$AD$3005,"保留中")&gt;0,"保留",IF(COUNTIFS(請求記録!$B$6:$B$3005,$A264,請求記録!$X$6:$X$3005,Z$5)=0,"",SUMIFS(請求記録!$AC$6:$AC$3005,請求記録!$B$6:$B$3005,$A264,請求記録!$X$6:$X$3005,Z$5))))</f>
        <v/>
      </c>
      <c r="AA264" s="19">
        <f>IF($A264="","",IF(COUNTIFS(請求記録!$B$6:$B$3005,$A264,請求記録!$X$6:$X$3005,AA$5,請求記録!$AD$6:$AD$3005,"保留中")&gt;0,"保留",IF(COUNTIFS(請求記録!$B$6:$B$3005,$A264,請求記録!$X$6:$X$3005,AA$5)=0,"",SUMIFS(請求記録!$AC$6:$AC$3005,請求記録!$B$6:$B$3005,$A264,請求記録!$X$6:$X$3005,AA$5))))</f>
        <v/>
      </c>
      <c r="AB264">
        <f>IF(職員マスタ!P264="保留中",職員マスタ!M264,"")</f>
        <v/>
      </c>
    </row>
    <row r="265">
      <c r="A265">
        <f>IF(職員マスタ!A265="","",職員マスタ!A265)</f>
        <v/>
      </c>
      <c r="B265">
        <f>IF($A265="","",職員マスタ!B265)</f>
        <v/>
      </c>
      <c r="C265">
        <f>IF($A265="","",職員マスタ!C265)</f>
        <v/>
      </c>
      <c r="D265" s="19">
        <f>IF($A265="","",IF(COUNTIFS(請求記録!$B$6:$B$3005,$A265,請求記録!$X$6:$X$3005,D$5,請求記録!$AD$6:$AD$3005,"保留中")&gt;0,"保留",IF(COUNTIFS(請求記録!$B$6:$B$3005,$A265,請求記録!$X$6:$X$3005,D$5)=0,"",SUMIFS(請求記録!$AC$6:$AC$3005,請求記録!$B$6:$B$3005,$A265,請求記録!$X$6:$X$3005,D$5))))</f>
        <v/>
      </c>
      <c r="E265" s="19">
        <f>IF($A265="","",IF(COUNTIFS(請求記録!$B$6:$B$3005,$A265,請求記録!$X$6:$X$3005,E$5,請求記録!$AD$6:$AD$3005,"保留中")&gt;0,"保留",IF(COUNTIFS(請求記録!$B$6:$B$3005,$A265,請求記録!$X$6:$X$3005,E$5)=0,"",SUMIFS(請求記録!$AC$6:$AC$3005,請求記録!$B$6:$B$3005,$A265,請求記録!$X$6:$X$3005,E$5))))</f>
        <v/>
      </c>
      <c r="F265" s="19">
        <f>IF($A265="","",IF(COUNTIFS(請求記録!$B$6:$B$3005,$A265,請求記録!$X$6:$X$3005,F$5,請求記録!$AD$6:$AD$3005,"保留中")&gt;0,"保留",IF(COUNTIFS(請求記録!$B$6:$B$3005,$A265,請求記録!$X$6:$X$3005,F$5)=0,"",SUMIFS(請求記録!$AC$6:$AC$3005,請求記録!$B$6:$B$3005,$A265,請求記録!$X$6:$X$3005,F$5))))</f>
        <v/>
      </c>
      <c r="G265" s="19">
        <f>IF($A265="","",IF(COUNTIFS(請求記録!$B$6:$B$3005,$A265,請求記録!$X$6:$X$3005,G$5,請求記録!$AD$6:$AD$3005,"保留中")&gt;0,"保留",IF(COUNTIFS(請求記録!$B$6:$B$3005,$A265,請求記録!$X$6:$X$3005,G$5)=0,"",SUMIFS(請求記録!$AC$6:$AC$3005,請求記録!$B$6:$B$3005,$A265,請求記録!$X$6:$X$3005,G$5))))</f>
        <v/>
      </c>
      <c r="H265" s="19">
        <f>IF($A265="","",IF(COUNTIFS(請求記録!$B$6:$B$3005,$A265,請求記録!$X$6:$X$3005,H$5,請求記録!$AD$6:$AD$3005,"保留中")&gt;0,"保留",IF(COUNTIFS(請求記録!$B$6:$B$3005,$A265,請求記録!$X$6:$X$3005,H$5)=0,"",SUMIFS(請求記録!$AC$6:$AC$3005,請求記録!$B$6:$B$3005,$A265,請求記録!$X$6:$X$3005,H$5))))</f>
        <v/>
      </c>
      <c r="I265" s="19">
        <f>IF($A265="","",IF(COUNTIFS(請求記録!$B$6:$B$3005,$A265,請求記録!$X$6:$X$3005,I$5,請求記録!$AD$6:$AD$3005,"保留中")&gt;0,"保留",IF(COUNTIFS(請求記録!$B$6:$B$3005,$A265,請求記録!$X$6:$X$3005,I$5)=0,"",SUMIFS(請求記録!$AC$6:$AC$3005,請求記録!$B$6:$B$3005,$A265,請求記録!$X$6:$X$3005,I$5))))</f>
        <v/>
      </c>
      <c r="J265" s="19">
        <f>IF($A265="","",IF(COUNTIFS(請求記録!$B$6:$B$3005,$A265,請求記録!$X$6:$X$3005,J$5,請求記録!$AD$6:$AD$3005,"保留中")&gt;0,"保留",IF(COUNTIFS(請求記録!$B$6:$B$3005,$A265,請求記録!$X$6:$X$3005,J$5)=0,"",SUMIFS(請求記録!$AC$6:$AC$3005,請求記録!$B$6:$B$3005,$A265,請求記録!$X$6:$X$3005,J$5))))</f>
        <v/>
      </c>
      <c r="K265" s="19">
        <f>IF($A265="","",IF(COUNTIFS(請求記録!$B$6:$B$3005,$A265,請求記録!$X$6:$X$3005,K$5,請求記録!$AD$6:$AD$3005,"保留中")&gt;0,"保留",IF(COUNTIFS(請求記録!$B$6:$B$3005,$A265,請求記録!$X$6:$X$3005,K$5)=0,"",SUMIFS(請求記録!$AC$6:$AC$3005,請求記録!$B$6:$B$3005,$A265,請求記録!$X$6:$X$3005,K$5))))</f>
        <v/>
      </c>
      <c r="L265" s="19">
        <f>IF($A265="","",IF(COUNTIFS(請求記録!$B$6:$B$3005,$A265,請求記録!$X$6:$X$3005,L$5,請求記録!$AD$6:$AD$3005,"保留中")&gt;0,"保留",IF(COUNTIFS(請求記録!$B$6:$B$3005,$A265,請求記録!$X$6:$X$3005,L$5)=0,"",SUMIFS(請求記録!$AC$6:$AC$3005,請求記録!$B$6:$B$3005,$A265,請求記録!$X$6:$X$3005,L$5))))</f>
        <v/>
      </c>
      <c r="M265" s="19">
        <f>IF($A265="","",IF(COUNTIFS(請求記録!$B$6:$B$3005,$A265,請求記録!$X$6:$X$3005,M$5,請求記録!$AD$6:$AD$3005,"保留中")&gt;0,"保留",IF(COUNTIFS(請求記録!$B$6:$B$3005,$A265,請求記録!$X$6:$X$3005,M$5)=0,"",SUMIFS(請求記録!$AC$6:$AC$3005,請求記録!$B$6:$B$3005,$A265,請求記録!$X$6:$X$3005,M$5))))</f>
        <v/>
      </c>
      <c r="N265" s="19">
        <f>IF($A265="","",IF(COUNTIFS(請求記録!$B$6:$B$3005,$A265,請求記録!$X$6:$X$3005,N$5,請求記録!$AD$6:$AD$3005,"保留中")&gt;0,"保留",IF(COUNTIFS(請求記録!$B$6:$B$3005,$A265,請求記録!$X$6:$X$3005,N$5)=0,"",SUMIFS(請求記録!$AC$6:$AC$3005,請求記録!$B$6:$B$3005,$A265,請求記録!$X$6:$X$3005,N$5))))</f>
        <v/>
      </c>
      <c r="O265" s="19">
        <f>IF($A265="","",IF(COUNTIFS(請求記録!$B$6:$B$3005,$A265,請求記録!$X$6:$X$3005,O$5,請求記録!$AD$6:$AD$3005,"保留中")&gt;0,"保留",IF(COUNTIFS(請求記録!$B$6:$B$3005,$A265,請求記録!$X$6:$X$3005,O$5)=0,"",SUMIFS(請求記録!$AC$6:$AC$3005,請求記録!$B$6:$B$3005,$A265,請求記録!$X$6:$X$3005,O$5))))</f>
        <v/>
      </c>
      <c r="P265" s="19">
        <f>IF($A265="","",IF(COUNTIFS(請求記録!$B$6:$B$3005,$A265,請求記録!$X$6:$X$3005,P$5,請求記録!$AD$6:$AD$3005,"保留中")&gt;0,"保留",IF(COUNTIFS(請求記録!$B$6:$B$3005,$A265,請求記録!$X$6:$X$3005,P$5)=0,"",SUMIFS(請求記録!$AC$6:$AC$3005,請求記録!$B$6:$B$3005,$A265,請求記録!$X$6:$X$3005,P$5))))</f>
        <v/>
      </c>
      <c r="Q265" s="19">
        <f>IF($A265="","",IF(COUNTIFS(請求記録!$B$6:$B$3005,$A265,請求記録!$X$6:$X$3005,Q$5,請求記録!$AD$6:$AD$3005,"保留中")&gt;0,"保留",IF(COUNTIFS(請求記録!$B$6:$B$3005,$A265,請求記録!$X$6:$X$3005,Q$5)=0,"",SUMIFS(請求記録!$AC$6:$AC$3005,請求記録!$B$6:$B$3005,$A265,請求記録!$X$6:$X$3005,Q$5))))</f>
        <v/>
      </c>
      <c r="R265" s="19">
        <f>IF($A265="","",IF(COUNTIFS(請求記録!$B$6:$B$3005,$A265,請求記録!$X$6:$X$3005,R$5,請求記録!$AD$6:$AD$3005,"保留中")&gt;0,"保留",IF(COUNTIFS(請求記録!$B$6:$B$3005,$A265,請求記録!$X$6:$X$3005,R$5)=0,"",SUMIFS(請求記録!$AC$6:$AC$3005,請求記録!$B$6:$B$3005,$A265,請求記録!$X$6:$X$3005,R$5))))</f>
        <v/>
      </c>
      <c r="S265" s="19">
        <f>IF($A265="","",IF(COUNTIFS(請求記録!$B$6:$B$3005,$A265,請求記録!$X$6:$X$3005,S$5,請求記録!$AD$6:$AD$3005,"保留中")&gt;0,"保留",IF(COUNTIFS(請求記録!$B$6:$B$3005,$A265,請求記録!$X$6:$X$3005,S$5)=0,"",SUMIFS(請求記録!$AC$6:$AC$3005,請求記録!$B$6:$B$3005,$A265,請求記録!$X$6:$X$3005,S$5))))</f>
        <v/>
      </c>
      <c r="T265" s="19">
        <f>IF($A265="","",IF(COUNTIFS(請求記録!$B$6:$B$3005,$A265,請求記録!$X$6:$X$3005,T$5,請求記録!$AD$6:$AD$3005,"保留中")&gt;0,"保留",IF(COUNTIFS(請求記録!$B$6:$B$3005,$A265,請求記録!$X$6:$X$3005,T$5)=0,"",SUMIFS(請求記録!$AC$6:$AC$3005,請求記録!$B$6:$B$3005,$A265,請求記録!$X$6:$X$3005,T$5))))</f>
        <v/>
      </c>
      <c r="U265" s="19">
        <f>IF($A265="","",IF(COUNTIFS(請求記録!$B$6:$B$3005,$A265,請求記録!$X$6:$X$3005,U$5,請求記録!$AD$6:$AD$3005,"保留中")&gt;0,"保留",IF(COUNTIFS(請求記録!$B$6:$B$3005,$A265,請求記録!$X$6:$X$3005,U$5)=0,"",SUMIFS(請求記録!$AC$6:$AC$3005,請求記録!$B$6:$B$3005,$A265,請求記録!$X$6:$X$3005,U$5))))</f>
        <v/>
      </c>
      <c r="V265" s="19">
        <f>IF($A265="","",IF(COUNTIFS(請求記録!$B$6:$B$3005,$A265,請求記録!$X$6:$X$3005,V$5,請求記録!$AD$6:$AD$3005,"保留中")&gt;0,"保留",IF(COUNTIFS(請求記録!$B$6:$B$3005,$A265,請求記録!$X$6:$X$3005,V$5)=0,"",SUMIFS(請求記録!$AC$6:$AC$3005,請求記録!$B$6:$B$3005,$A265,請求記録!$X$6:$X$3005,V$5))))</f>
        <v/>
      </c>
      <c r="W265" s="19">
        <f>IF($A265="","",IF(COUNTIFS(請求記録!$B$6:$B$3005,$A265,請求記録!$X$6:$X$3005,W$5,請求記録!$AD$6:$AD$3005,"保留中")&gt;0,"保留",IF(COUNTIFS(請求記録!$B$6:$B$3005,$A265,請求記録!$X$6:$X$3005,W$5)=0,"",SUMIFS(請求記録!$AC$6:$AC$3005,請求記録!$B$6:$B$3005,$A265,請求記録!$X$6:$X$3005,W$5))))</f>
        <v/>
      </c>
      <c r="X265" s="19">
        <f>IF($A265="","",IF(COUNTIFS(請求記録!$B$6:$B$3005,$A265,請求記録!$X$6:$X$3005,X$5,請求記録!$AD$6:$AD$3005,"保留中")&gt;0,"保留",IF(COUNTIFS(請求記録!$B$6:$B$3005,$A265,請求記録!$X$6:$X$3005,X$5)=0,"",SUMIFS(請求記録!$AC$6:$AC$3005,請求記録!$B$6:$B$3005,$A265,請求記録!$X$6:$X$3005,X$5))))</f>
        <v/>
      </c>
      <c r="Y265" s="19">
        <f>IF($A265="","",IF(COUNTIFS(請求記録!$B$6:$B$3005,$A265,請求記録!$X$6:$X$3005,Y$5,請求記録!$AD$6:$AD$3005,"保留中")&gt;0,"保留",IF(COUNTIFS(請求記録!$B$6:$B$3005,$A265,請求記録!$X$6:$X$3005,Y$5)=0,"",SUMIFS(請求記録!$AC$6:$AC$3005,請求記録!$B$6:$B$3005,$A265,請求記録!$X$6:$X$3005,Y$5))))</f>
        <v/>
      </c>
      <c r="Z265" s="19">
        <f>IF($A265="","",IF(COUNTIFS(請求記録!$B$6:$B$3005,$A265,請求記録!$X$6:$X$3005,Z$5,請求記録!$AD$6:$AD$3005,"保留中")&gt;0,"保留",IF(COUNTIFS(請求記録!$B$6:$B$3005,$A265,請求記録!$X$6:$X$3005,Z$5)=0,"",SUMIFS(請求記録!$AC$6:$AC$3005,請求記録!$B$6:$B$3005,$A265,請求記録!$X$6:$X$3005,Z$5))))</f>
        <v/>
      </c>
      <c r="AA265" s="19">
        <f>IF($A265="","",IF(COUNTIFS(請求記録!$B$6:$B$3005,$A265,請求記録!$X$6:$X$3005,AA$5,請求記録!$AD$6:$AD$3005,"保留中")&gt;0,"保留",IF(COUNTIFS(請求記録!$B$6:$B$3005,$A265,請求記録!$X$6:$X$3005,AA$5)=0,"",SUMIFS(請求記録!$AC$6:$AC$3005,請求記録!$B$6:$B$3005,$A265,請求記録!$X$6:$X$3005,AA$5))))</f>
        <v/>
      </c>
      <c r="AB265">
        <f>IF(職員マスタ!P265="保留中",職員マスタ!M265,"")</f>
        <v/>
      </c>
    </row>
    <row r="266">
      <c r="A266">
        <f>IF(職員マスタ!A266="","",職員マスタ!A266)</f>
        <v/>
      </c>
      <c r="B266">
        <f>IF($A266="","",職員マスタ!B266)</f>
        <v/>
      </c>
      <c r="C266">
        <f>IF($A266="","",職員マスタ!C266)</f>
        <v/>
      </c>
      <c r="D266" s="19">
        <f>IF($A266="","",IF(COUNTIFS(請求記録!$B$6:$B$3005,$A266,請求記録!$X$6:$X$3005,D$5,請求記録!$AD$6:$AD$3005,"保留中")&gt;0,"保留",IF(COUNTIFS(請求記録!$B$6:$B$3005,$A266,請求記録!$X$6:$X$3005,D$5)=0,"",SUMIFS(請求記録!$AC$6:$AC$3005,請求記録!$B$6:$B$3005,$A266,請求記録!$X$6:$X$3005,D$5))))</f>
        <v/>
      </c>
      <c r="E266" s="19">
        <f>IF($A266="","",IF(COUNTIFS(請求記録!$B$6:$B$3005,$A266,請求記録!$X$6:$X$3005,E$5,請求記録!$AD$6:$AD$3005,"保留中")&gt;0,"保留",IF(COUNTIFS(請求記録!$B$6:$B$3005,$A266,請求記録!$X$6:$X$3005,E$5)=0,"",SUMIFS(請求記録!$AC$6:$AC$3005,請求記録!$B$6:$B$3005,$A266,請求記録!$X$6:$X$3005,E$5))))</f>
        <v/>
      </c>
      <c r="F266" s="19">
        <f>IF($A266="","",IF(COUNTIFS(請求記録!$B$6:$B$3005,$A266,請求記録!$X$6:$X$3005,F$5,請求記録!$AD$6:$AD$3005,"保留中")&gt;0,"保留",IF(COUNTIFS(請求記録!$B$6:$B$3005,$A266,請求記録!$X$6:$X$3005,F$5)=0,"",SUMIFS(請求記録!$AC$6:$AC$3005,請求記録!$B$6:$B$3005,$A266,請求記録!$X$6:$X$3005,F$5))))</f>
        <v/>
      </c>
      <c r="G266" s="19">
        <f>IF($A266="","",IF(COUNTIFS(請求記録!$B$6:$B$3005,$A266,請求記録!$X$6:$X$3005,G$5,請求記録!$AD$6:$AD$3005,"保留中")&gt;0,"保留",IF(COUNTIFS(請求記録!$B$6:$B$3005,$A266,請求記録!$X$6:$X$3005,G$5)=0,"",SUMIFS(請求記録!$AC$6:$AC$3005,請求記録!$B$6:$B$3005,$A266,請求記録!$X$6:$X$3005,G$5))))</f>
        <v/>
      </c>
      <c r="H266" s="19">
        <f>IF($A266="","",IF(COUNTIFS(請求記録!$B$6:$B$3005,$A266,請求記録!$X$6:$X$3005,H$5,請求記録!$AD$6:$AD$3005,"保留中")&gt;0,"保留",IF(COUNTIFS(請求記録!$B$6:$B$3005,$A266,請求記録!$X$6:$X$3005,H$5)=0,"",SUMIFS(請求記録!$AC$6:$AC$3005,請求記録!$B$6:$B$3005,$A266,請求記録!$X$6:$X$3005,H$5))))</f>
        <v/>
      </c>
      <c r="I266" s="19">
        <f>IF($A266="","",IF(COUNTIFS(請求記録!$B$6:$B$3005,$A266,請求記録!$X$6:$X$3005,I$5,請求記録!$AD$6:$AD$3005,"保留中")&gt;0,"保留",IF(COUNTIFS(請求記録!$B$6:$B$3005,$A266,請求記録!$X$6:$X$3005,I$5)=0,"",SUMIFS(請求記録!$AC$6:$AC$3005,請求記録!$B$6:$B$3005,$A266,請求記録!$X$6:$X$3005,I$5))))</f>
        <v/>
      </c>
      <c r="J266" s="19">
        <f>IF($A266="","",IF(COUNTIFS(請求記録!$B$6:$B$3005,$A266,請求記録!$X$6:$X$3005,J$5,請求記録!$AD$6:$AD$3005,"保留中")&gt;0,"保留",IF(COUNTIFS(請求記録!$B$6:$B$3005,$A266,請求記録!$X$6:$X$3005,J$5)=0,"",SUMIFS(請求記録!$AC$6:$AC$3005,請求記録!$B$6:$B$3005,$A266,請求記録!$X$6:$X$3005,J$5))))</f>
        <v/>
      </c>
      <c r="K266" s="19">
        <f>IF($A266="","",IF(COUNTIFS(請求記録!$B$6:$B$3005,$A266,請求記録!$X$6:$X$3005,K$5,請求記録!$AD$6:$AD$3005,"保留中")&gt;0,"保留",IF(COUNTIFS(請求記録!$B$6:$B$3005,$A266,請求記録!$X$6:$X$3005,K$5)=0,"",SUMIFS(請求記録!$AC$6:$AC$3005,請求記録!$B$6:$B$3005,$A266,請求記録!$X$6:$X$3005,K$5))))</f>
        <v/>
      </c>
      <c r="L266" s="19">
        <f>IF($A266="","",IF(COUNTIFS(請求記録!$B$6:$B$3005,$A266,請求記録!$X$6:$X$3005,L$5,請求記録!$AD$6:$AD$3005,"保留中")&gt;0,"保留",IF(COUNTIFS(請求記録!$B$6:$B$3005,$A266,請求記録!$X$6:$X$3005,L$5)=0,"",SUMIFS(請求記録!$AC$6:$AC$3005,請求記録!$B$6:$B$3005,$A266,請求記録!$X$6:$X$3005,L$5))))</f>
        <v/>
      </c>
      <c r="M266" s="19">
        <f>IF($A266="","",IF(COUNTIFS(請求記録!$B$6:$B$3005,$A266,請求記録!$X$6:$X$3005,M$5,請求記録!$AD$6:$AD$3005,"保留中")&gt;0,"保留",IF(COUNTIFS(請求記録!$B$6:$B$3005,$A266,請求記録!$X$6:$X$3005,M$5)=0,"",SUMIFS(請求記録!$AC$6:$AC$3005,請求記録!$B$6:$B$3005,$A266,請求記録!$X$6:$X$3005,M$5))))</f>
        <v/>
      </c>
      <c r="N266" s="19">
        <f>IF($A266="","",IF(COUNTIFS(請求記録!$B$6:$B$3005,$A266,請求記録!$X$6:$X$3005,N$5,請求記録!$AD$6:$AD$3005,"保留中")&gt;0,"保留",IF(COUNTIFS(請求記録!$B$6:$B$3005,$A266,請求記録!$X$6:$X$3005,N$5)=0,"",SUMIFS(請求記録!$AC$6:$AC$3005,請求記録!$B$6:$B$3005,$A266,請求記録!$X$6:$X$3005,N$5))))</f>
        <v/>
      </c>
      <c r="O266" s="19">
        <f>IF($A266="","",IF(COUNTIFS(請求記録!$B$6:$B$3005,$A266,請求記録!$X$6:$X$3005,O$5,請求記録!$AD$6:$AD$3005,"保留中")&gt;0,"保留",IF(COUNTIFS(請求記録!$B$6:$B$3005,$A266,請求記録!$X$6:$X$3005,O$5)=0,"",SUMIFS(請求記録!$AC$6:$AC$3005,請求記録!$B$6:$B$3005,$A266,請求記録!$X$6:$X$3005,O$5))))</f>
        <v/>
      </c>
      <c r="P266" s="19">
        <f>IF($A266="","",IF(COUNTIFS(請求記録!$B$6:$B$3005,$A266,請求記録!$X$6:$X$3005,P$5,請求記録!$AD$6:$AD$3005,"保留中")&gt;0,"保留",IF(COUNTIFS(請求記録!$B$6:$B$3005,$A266,請求記録!$X$6:$X$3005,P$5)=0,"",SUMIFS(請求記録!$AC$6:$AC$3005,請求記録!$B$6:$B$3005,$A266,請求記録!$X$6:$X$3005,P$5))))</f>
        <v/>
      </c>
      <c r="Q266" s="19">
        <f>IF($A266="","",IF(COUNTIFS(請求記録!$B$6:$B$3005,$A266,請求記録!$X$6:$X$3005,Q$5,請求記録!$AD$6:$AD$3005,"保留中")&gt;0,"保留",IF(COUNTIFS(請求記録!$B$6:$B$3005,$A266,請求記録!$X$6:$X$3005,Q$5)=0,"",SUMIFS(請求記録!$AC$6:$AC$3005,請求記録!$B$6:$B$3005,$A266,請求記録!$X$6:$X$3005,Q$5))))</f>
        <v/>
      </c>
      <c r="R266" s="19">
        <f>IF($A266="","",IF(COUNTIFS(請求記録!$B$6:$B$3005,$A266,請求記録!$X$6:$X$3005,R$5,請求記録!$AD$6:$AD$3005,"保留中")&gt;0,"保留",IF(COUNTIFS(請求記録!$B$6:$B$3005,$A266,請求記録!$X$6:$X$3005,R$5)=0,"",SUMIFS(請求記録!$AC$6:$AC$3005,請求記録!$B$6:$B$3005,$A266,請求記録!$X$6:$X$3005,R$5))))</f>
        <v/>
      </c>
      <c r="S266" s="19">
        <f>IF($A266="","",IF(COUNTIFS(請求記録!$B$6:$B$3005,$A266,請求記録!$X$6:$X$3005,S$5,請求記録!$AD$6:$AD$3005,"保留中")&gt;0,"保留",IF(COUNTIFS(請求記録!$B$6:$B$3005,$A266,請求記録!$X$6:$X$3005,S$5)=0,"",SUMIFS(請求記録!$AC$6:$AC$3005,請求記録!$B$6:$B$3005,$A266,請求記録!$X$6:$X$3005,S$5))))</f>
        <v/>
      </c>
      <c r="T266" s="19">
        <f>IF($A266="","",IF(COUNTIFS(請求記録!$B$6:$B$3005,$A266,請求記録!$X$6:$X$3005,T$5,請求記録!$AD$6:$AD$3005,"保留中")&gt;0,"保留",IF(COUNTIFS(請求記録!$B$6:$B$3005,$A266,請求記録!$X$6:$X$3005,T$5)=0,"",SUMIFS(請求記録!$AC$6:$AC$3005,請求記録!$B$6:$B$3005,$A266,請求記録!$X$6:$X$3005,T$5))))</f>
        <v/>
      </c>
      <c r="U266" s="19">
        <f>IF($A266="","",IF(COUNTIFS(請求記録!$B$6:$B$3005,$A266,請求記録!$X$6:$X$3005,U$5,請求記録!$AD$6:$AD$3005,"保留中")&gt;0,"保留",IF(COUNTIFS(請求記録!$B$6:$B$3005,$A266,請求記録!$X$6:$X$3005,U$5)=0,"",SUMIFS(請求記録!$AC$6:$AC$3005,請求記録!$B$6:$B$3005,$A266,請求記録!$X$6:$X$3005,U$5))))</f>
        <v/>
      </c>
      <c r="V266" s="19">
        <f>IF($A266="","",IF(COUNTIFS(請求記録!$B$6:$B$3005,$A266,請求記録!$X$6:$X$3005,V$5,請求記録!$AD$6:$AD$3005,"保留中")&gt;0,"保留",IF(COUNTIFS(請求記録!$B$6:$B$3005,$A266,請求記録!$X$6:$X$3005,V$5)=0,"",SUMIFS(請求記録!$AC$6:$AC$3005,請求記録!$B$6:$B$3005,$A266,請求記録!$X$6:$X$3005,V$5))))</f>
        <v/>
      </c>
      <c r="W266" s="19">
        <f>IF($A266="","",IF(COUNTIFS(請求記録!$B$6:$B$3005,$A266,請求記録!$X$6:$X$3005,W$5,請求記録!$AD$6:$AD$3005,"保留中")&gt;0,"保留",IF(COUNTIFS(請求記録!$B$6:$B$3005,$A266,請求記録!$X$6:$X$3005,W$5)=0,"",SUMIFS(請求記録!$AC$6:$AC$3005,請求記録!$B$6:$B$3005,$A266,請求記録!$X$6:$X$3005,W$5))))</f>
        <v/>
      </c>
      <c r="X266" s="19">
        <f>IF($A266="","",IF(COUNTIFS(請求記録!$B$6:$B$3005,$A266,請求記録!$X$6:$X$3005,X$5,請求記録!$AD$6:$AD$3005,"保留中")&gt;0,"保留",IF(COUNTIFS(請求記録!$B$6:$B$3005,$A266,請求記録!$X$6:$X$3005,X$5)=0,"",SUMIFS(請求記録!$AC$6:$AC$3005,請求記録!$B$6:$B$3005,$A266,請求記録!$X$6:$X$3005,X$5))))</f>
        <v/>
      </c>
      <c r="Y266" s="19">
        <f>IF($A266="","",IF(COUNTIFS(請求記録!$B$6:$B$3005,$A266,請求記録!$X$6:$X$3005,Y$5,請求記録!$AD$6:$AD$3005,"保留中")&gt;0,"保留",IF(COUNTIFS(請求記録!$B$6:$B$3005,$A266,請求記録!$X$6:$X$3005,Y$5)=0,"",SUMIFS(請求記録!$AC$6:$AC$3005,請求記録!$B$6:$B$3005,$A266,請求記録!$X$6:$X$3005,Y$5))))</f>
        <v/>
      </c>
      <c r="Z266" s="19">
        <f>IF($A266="","",IF(COUNTIFS(請求記録!$B$6:$B$3005,$A266,請求記録!$X$6:$X$3005,Z$5,請求記録!$AD$6:$AD$3005,"保留中")&gt;0,"保留",IF(COUNTIFS(請求記録!$B$6:$B$3005,$A266,請求記録!$X$6:$X$3005,Z$5)=0,"",SUMIFS(請求記録!$AC$6:$AC$3005,請求記録!$B$6:$B$3005,$A266,請求記録!$X$6:$X$3005,Z$5))))</f>
        <v/>
      </c>
      <c r="AA266" s="19">
        <f>IF($A266="","",IF(COUNTIFS(請求記録!$B$6:$B$3005,$A266,請求記録!$X$6:$X$3005,AA$5,請求記録!$AD$6:$AD$3005,"保留中")&gt;0,"保留",IF(COUNTIFS(請求記録!$B$6:$B$3005,$A266,請求記録!$X$6:$X$3005,AA$5)=0,"",SUMIFS(請求記録!$AC$6:$AC$3005,請求記録!$B$6:$B$3005,$A266,請求記録!$X$6:$X$3005,AA$5))))</f>
        <v/>
      </c>
      <c r="AB266">
        <f>IF(職員マスタ!P266="保留中",職員マスタ!M266,"")</f>
        <v/>
      </c>
    </row>
    <row r="267">
      <c r="A267">
        <f>IF(職員マスタ!A267="","",職員マスタ!A267)</f>
        <v/>
      </c>
      <c r="B267">
        <f>IF($A267="","",職員マスタ!B267)</f>
        <v/>
      </c>
      <c r="C267">
        <f>IF($A267="","",職員マスタ!C267)</f>
        <v/>
      </c>
      <c r="D267" s="19">
        <f>IF($A267="","",IF(COUNTIFS(請求記録!$B$6:$B$3005,$A267,請求記録!$X$6:$X$3005,D$5,請求記録!$AD$6:$AD$3005,"保留中")&gt;0,"保留",IF(COUNTIFS(請求記録!$B$6:$B$3005,$A267,請求記録!$X$6:$X$3005,D$5)=0,"",SUMIFS(請求記録!$AC$6:$AC$3005,請求記録!$B$6:$B$3005,$A267,請求記録!$X$6:$X$3005,D$5))))</f>
        <v/>
      </c>
      <c r="E267" s="19">
        <f>IF($A267="","",IF(COUNTIFS(請求記録!$B$6:$B$3005,$A267,請求記録!$X$6:$X$3005,E$5,請求記録!$AD$6:$AD$3005,"保留中")&gt;0,"保留",IF(COUNTIFS(請求記録!$B$6:$B$3005,$A267,請求記録!$X$6:$X$3005,E$5)=0,"",SUMIFS(請求記録!$AC$6:$AC$3005,請求記録!$B$6:$B$3005,$A267,請求記録!$X$6:$X$3005,E$5))))</f>
        <v/>
      </c>
      <c r="F267" s="19">
        <f>IF($A267="","",IF(COUNTIFS(請求記録!$B$6:$B$3005,$A267,請求記録!$X$6:$X$3005,F$5,請求記録!$AD$6:$AD$3005,"保留中")&gt;0,"保留",IF(COUNTIFS(請求記録!$B$6:$B$3005,$A267,請求記録!$X$6:$X$3005,F$5)=0,"",SUMIFS(請求記録!$AC$6:$AC$3005,請求記録!$B$6:$B$3005,$A267,請求記録!$X$6:$X$3005,F$5))))</f>
        <v/>
      </c>
      <c r="G267" s="19">
        <f>IF($A267="","",IF(COUNTIFS(請求記録!$B$6:$B$3005,$A267,請求記録!$X$6:$X$3005,G$5,請求記録!$AD$6:$AD$3005,"保留中")&gt;0,"保留",IF(COUNTIFS(請求記録!$B$6:$B$3005,$A267,請求記録!$X$6:$X$3005,G$5)=0,"",SUMIFS(請求記録!$AC$6:$AC$3005,請求記録!$B$6:$B$3005,$A267,請求記録!$X$6:$X$3005,G$5))))</f>
        <v/>
      </c>
      <c r="H267" s="19">
        <f>IF($A267="","",IF(COUNTIFS(請求記録!$B$6:$B$3005,$A267,請求記録!$X$6:$X$3005,H$5,請求記録!$AD$6:$AD$3005,"保留中")&gt;0,"保留",IF(COUNTIFS(請求記録!$B$6:$B$3005,$A267,請求記録!$X$6:$X$3005,H$5)=0,"",SUMIFS(請求記録!$AC$6:$AC$3005,請求記録!$B$6:$B$3005,$A267,請求記録!$X$6:$X$3005,H$5))))</f>
        <v/>
      </c>
      <c r="I267" s="19">
        <f>IF($A267="","",IF(COUNTIFS(請求記録!$B$6:$B$3005,$A267,請求記録!$X$6:$X$3005,I$5,請求記録!$AD$6:$AD$3005,"保留中")&gt;0,"保留",IF(COUNTIFS(請求記録!$B$6:$B$3005,$A267,請求記録!$X$6:$X$3005,I$5)=0,"",SUMIFS(請求記録!$AC$6:$AC$3005,請求記録!$B$6:$B$3005,$A267,請求記録!$X$6:$X$3005,I$5))))</f>
        <v/>
      </c>
      <c r="J267" s="19">
        <f>IF($A267="","",IF(COUNTIFS(請求記録!$B$6:$B$3005,$A267,請求記録!$X$6:$X$3005,J$5,請求記録!$AD$6:$AD$3005,"保留中")&gt;0,"保留",IF(COUNTIFS(請求記録!$B$6:$B$3005,$A267,請求記録!$X$6:$X$3005,J$5)=0,"",SUMIFS(請求記録!$AC$6:$AC$3005,請求記録!$B$6:$B$3005,$A267,請求記録!$X$6:$X$3005,J$5))))</f>
        <v/>
      </c>
      <c r="K267" s="19">
        <f>IF($A267="","",IF(COUNTIFS(請求記録!$B$6:$B$3005,$A267,請求記録!$X$6:$X$3005,K$5,請求記録!$AD$6:$AD$3005,"保留中")&gt;0,"保留",IF(COUNTIFS(請求記録!$B$6:$B$3005,$A267,請求記録!$X$6:$X$3005,K$5)=0,"",SUMIFS(請求記録!$AC$6:$AC$3005,請求記録!$B$6:$B$3005,$A267,請求記録!$X$6:$X$3005,K$5))))</f>
        <v/>
      </c>
      <c r="L267" s="19">
        <f>IF($A267="","",IF(COUNTIFS(請求記録!$B$6:$B$3005,$A267,請求記録!$X$6:$X$3005,L$5,請求記録!$AD$6:$AD$3005,"保留中")&gt;0,"保留",IF(COUNTIFS(請求記録!$B$6:$B$3005,$A267,請求記録!$X$6:$X$3005,L$5)=0,"",SUMIFS(請求記録!$AC$6:$AC$3005,請求記録!$B$6:$B$3005,$A267,請求記録!$X$6:$X$3005,L$5))))</f>
        <v/>
      </c>
      <c r="M267" s="19">
        <f>IF($A267="","",IF(COUNTIFS(請求記録!$B$6:$B$3005,$A267,請求記録!$X$6:$X$3005,M$5,請求記録!$AD$6:$AD$3005,"保留中")&gt;0,"保留",IF(COUNTIFS(請求記録!$B$6:$B$3005,$A267,請求記録!$X$6:$X$3005,M$5)=0,"",SUMIFS(請求記録!$AC$6:$AC$3005,請求記録!$B$6:$B$3005,$A267,請求記録!$X$6:$X$3005,M$5))))</f>
        <v/>
      </c>
      <c r="N267" s="19">
        <f>IF($A267="","",IF(COUNTIFS(請求記録!$B$6:$B$3005,$A267,請求記録!$X$6:$X$3005,N$5,請求記録!$AD$6:$AD$3005,"保留中")&gt;0,"保留",IF(COUNTIFS(請求記録!$B$6:$B$3005,$A267,請求記録!$X$6:$X$3005,N$5)=0,"",SUMIFS(請求記録!$AC$6:$AC$3005,請求記録!$B$6:$B$3005,$A267,請求記録!$X$6:$X$3005,N$5))))</f>
        <v/>
      </c>
      <c r="O267" s="19">
        <f>IF($A267="","",IF(COUNTIFS(請求記録!$B$6:$B$3005,$A267,請求記録!$X$6:$X$3005,O$5,請求記録!$AD$6:$AD$3005,"保留中")&gt;0,"保留",IF(COUNTIFS(請求記録!$B$6:$B$3005,$A267,請求記録!$X$6:$X$3005,O$5)=0,"",SUMIFS(請求記録!$AC$6:$AC$3005,請求記録!$B$6:$B$3005,$A267,請求記録!$X$6:$X$3005,O$5))))</f>
        <v/>
      </c>
      <c r="P267" s="19">
        <f>IF($A267="","",IF(COUNTIFS(請求記録!$B$6:$B$3005,$A267,請求記録!$X$6:$X$3005,P$5,請求記録!$AD$6:$AD$3005,"保留中")&gt;0,"保留",IF(COUNTIFS(請求記録!$B$6:$B$3005,$A267,請求記録!$X$6:$X$3005,P$5)=0,"",SUMIFS(請求記録!$AC$6:$AC$3005,請求記録!$B$6:$B$3005,$A267,請求記録!$X$6:$X$3005,P$5))))</f>
        <v/>
      </c>
      <c r="Q267" s="19">
        <f>IF($A267="","",IF(COUNTIFS(請求記録!$B$6:$B$3005,$A267,請求記録!$X$6:$X$3005,Q$5,請求記録!$AD$6:$AD$3005,"保留中")&gt;0,"保留",IF(COUNTIFS(請求記録!$B$6:$B$3005,$A267,請求記録!$X$6:$X$3005,Q$5)=0,"",SUMIFS(請求記録!$AC$6:$AC$3005,請求記録!$B$6:$B$3005,$A267,請求記録!$X$6:$X$3005,Q$5))))</f>
        <v/>
      </c>
      <c r="R267" s="19">
        <f>IF($A267="","",IF(COUNTIFS(請求記録!$B$6:$B$3005,$A267,請求記録!$X$6:$X$3005,R$5,請求記録!$AD$6:$AD$3005,"保留中")&gt;0,"保留",IF(COUNTIFS(請求記録!$B$6:$B$3005,$A267,請求記録!$X$6:$X$3005,R$5)=0,"",SUMIFS(請求記録!$AC$6:$AC$3005,請求記録!$B$6:$B$3005,$A267,請求記録!$X$6:$X$3005,R$5))))</f>
        <v/>
      </c>
      <c r="S267" s="19">
        <f>IF($A267="","",IF(COUNTIFS(請求記録!$B$6:$B$3005,$A267,請求記録!$X$6:$X$3005,S$5,請求記録!$AD$6:$AD$3005,"保留中")&gt;0,"保留",IF(COUNTIFS(請求記録!$B$6:$B$3005,$A267,請求記録!$X$6:$X$3005,S$5)=0,"",SUMIFS(請求記録!$AC$6:$AC$3005,請求記録!$B$6:$B$3005,$A267,請求記録!$X$6:$X$3005,S$5))))</f>
        <v/>
      </c>
      <c r="T267" s="19">
        <f>IF($A267="","",IF(COUNTIFS(請求記録!$B$6:$B$3005,$A267,請求記録!$X$6:$X$3005,T$5,請求記録!$AD$6:$AD$3005,"保留中")&gt;0,"保留",IF(COUNTIFS(請求記録!$B$6:$B$3005,$A267,請求記録!$X$6:$X$3005,T$5)=0,"",SUMIFS(請求記録!$AC$6:$AC$3005,請求記録!$B$6:$B$3005,$A267,請求記録!$X$6:$X$3005,T$5))))</f>
        <v/>
      </c>
      <c r="U267" s="19">
        <f>IF($A267="","",IF(COUNTIFS(請求記録!$B$6:$B$3005,$A267,請求記録!$X$6:$X$3005,U$5,請求記録!$AD$6:$AD$3005,"保留中")&gt;0,"保留",IF(COUNTIFS(請求記録!$B$6:$B$3005,$A267,請求記録!$X$6:$X$3005,U$5)=0,"",SUMIFS(請求記録!$AC$6:$AC$3005,請求記録!$B$6:$B$3005,$A267,請求記録!$X$6:$X$3005,U$5))))</f>
        <v/>
      </c>
      <c r="V267" s="19">
        <f>IF($A267="","",IF(COUNTIFS(請求記録!$B$6:$B$3005,$A267,請求記録!$X$6:$X$3005,V$5,請求記録!$AD$6:$AD$3005,"保留中")&gt;0,"保留",IF(COUNTIFS(請求記録!$B$6:$B$3005,$A267,請求記録!$X$6:$X$3005,V$5)=0,"",SUMIFS(請求記録!$AC$6:$AC$3005,請求記録!$B$6:$B$3005,$A267,請求記録!$X$6:$X$3005,V$5))))</f>
        <v/>
      </c>
      <c r="W267" s="19">
        <f>IF($A267="","",IF(COUNTIFS(請求記録!$B$6:$B$3005,$A267,請求記録!$X$6:$X$3005,W$5,請求記録!$AD$6:$AD$3005,"保留中")&gt;0,"保留",IF(COUNTIFS(請求記録!$B$6:$B$3005,$A267,請求記録!$X$6:$X$3005,W$5)=0,"",SUMIFS(請求記録!$AC$6:$AC$3005,請求記録!$B$6:$B$3005,$A267,請求記録!$X$6:$X$3005,W$5))))</f>
        <v/>
      </c>
      <c r="X267" s="19">
        <f>IF($A267="","",IF(COUNTIFS(請求記録!$B$6:$B$3005,$A267,請求記録!$X$6:$X$3005,X$5,請求記録!$AD$6:$AD$3005,"保留中")&gt;0,"保留",IF(COUNTIFS(請求記録!$B$6:$B$3005,$A267,請求記録!$X$6:$X$3005,X$5)=0,"",SUMIFS(請求記録!$AC$6:$AC$3005,請求記録!$B$6:$B$3005,$A267,請求記録!$X$6:$X$3005,X$5))))</f>
        <v/>
      </c>
      <c r="Y267" s="19">
        <f>IF($A267="","",IF(COUNTIFS(請求記録!$B$6:$B$3005,$A267,請求記録!$X$6:$X$3005,Y$5,請求記録!$AD$6:$AD$3005,"保留中")&gt;0,"保留",IF(COUNTIFS(請求記録!$B$6:$B$3005,$A267,請求記録!$X$6:$X$3005,Y$5)=0,"",SUMIFS(請求記録!$AC$6:$AC$3005,請求記録!$B$6:$B$3005,$A267,請求記録!$X$6:$X$3005,Y$5))))</f>
        <v/>
      </c>
      <c r="Z267" s="19">
        <f>IF($A267="","",IF(COUNTIFS(請求記録!$B$6:$B$3005,$A267,請求記録!$X$6:$X$3005,Z$5,請求記録!$AD$6:$AD$3005,"保留中")&gt;0,"保留",IF(COUNTIFS(請求記録!$B$6:$B$3005,$A267,請求記録!$X$6:$X$3005,Z$5)=0,"",SUMIFS(請求記録!$AC$6:$AC$3005,請求記録!$B$6:$B$3005,$A267,請求記録!$X$6:$X$3005,Z$5))))</f>
        <v/>
      </c>
      <c r="AA267" s="19">
        <f>IF($A267="","",IF(COUNTIFS(請求記録!$B$6:$B$3005,$A267,請求記録!$X$6:$X$3005,AA$5,請求記録!$AD$6:$AD$3005,"保留中")&gt;0,"保留",IF(COUNTIFS(請求記録!$B$6:$B$3005,$A267,請求記録!$X$6:$X$3005,AA$5)=0,"",SUMIFS(請求記録!$AC$6:$AC$3005,請求記録!$B$6:$B$3005,$A267,請求記録!$X$6:$X$3005,AA$5))))</f>
        <v/>
      </c>
      <c r="AB267">
        <f>IF(職員マスタ!P267="保留中",職員マスタ!M267,"")</f>
        <v/>
      </c>
    </row>
    <row r="268">
      <c r="A268">
        <f>IF(職員マスタ!A268="","",職員マスタ!A268)</f>
        <v/>
      </c>
      <c r="B268">
        <f>IF($A268="","",職員マスタ!B268)</f>
        <v/>
      </c>
      <c r="C268">
        <f>IF($A268="","",職員マスタ!C268)</f>
        <v/>
      </c>
      <c r="D268" s="19">
        <f>IF($A268="","",IF(COUNTIFS(請求記録!$B$6:$B$3005,$A268,請求記録!$X$6:$X$3005,D$5,請求記録!$AD$6:$AD$3005,"保留中")&gt;0,"保留",IF(COUNTIFS(請求記録!$B$6:$B$3005,$A268,請求記録!$X$6:$X$3005,D$5)=0,"",SUMIFS(請求記録!$AC$6:$AC$3005,請求記録!$B$6:$B$3005,$A268,請求記録!$X$6:$X$3005,D$5))))</f>
        <v/>
      </c>
      <c r="E268" s="19">
        <f>IF($A268="","",IF(COUNTIFS(請求記録!$B$6:$B$3005,$A268,請求記録!$X$6:$X$3005,E$5,請求記録!$AD$6:$AD$3005,"保留中")&gt;0,"保留",IF(COUNTIFS(請求記録!$B$6:$B$3005,$A268,請求記録!$X$6:$X$3005,E$5)=0,"",SUMIFS(請求記録!$AC$6:$AC$3005,請求記録!$B$6:$B$3005,$A268,請求記録!$X$6:$X$3005,E$5))))</f>
        <v/>
      </c>
      <c r="F268" s="19">
        <f>IF($A268="","",IF(COUNTIFS(請求記録!$B$6:$B$3005,$A268,請求記録!$X$6:$X$3005,F$5,請求記録!$AD$6:$AD$3005,"保留中")&gt;0,"保留",IF(COUNTIFS(請求記録!$B$6:$B$3005,$A268,請求記録!$X$6:$X$3005,F$5)=0,"",SUMIFS(請求記録!$AC$6:$AC$3005,請求記録!$B$6:$B$3005,$A268,請求記録!$X$6:$X$3005,F$5))))</f>
        <v/>
      </c>
      <c r="G268" s="19">
        <f>IF($A268="","",IF(COUNTIFS(請求記録!$B$6:$B$3005,$A268,請求記録!$X$6:$X$3005,G$5,請求記録!$AD$6:$AD$3005,"保留中")&gt;0,"保留",IF(COUNTIFS(請求記録!$B$6:$B$3005,$A268,請求記録!$X$6:$X$3005,G$5)=0,"",SUMIFS(請求記録!$AC$6:$AC$3005,請求記録!$B$6:$B$3005,$A268,請求記録!$X$6:$X$3005,G$5))))</f>
        <v/>
      </c>
      <c r="H268" s="19">
        <f>IF($A268="","",IF(COUNTIFS(請求記録!$B$6:$B$3005,$A268,請求記録!$X$6:$X$3005,H$5,請求記録!$AD$6:$AD$3005,"保留中")&gt;0,"保留",IF(COUNTIFS(請求記録!$B$6:$B$3005,$A268,請求記録!$X$6:$X$3005,H$5)=0,"",SUMIFS(請求記録!$AC$6:$AC$3005,請求記録!$B$6:$B$3005,$A268,請求記録!$X$6:$X$3005,H$5))))</f>
        <v/>
      </c>
      <c r="I268" s="19">
        <f>IF($A268="","",IF(COUNTIFS(請求記録!$B$6:$B$3005,$A268,請求記録!$X$6:$X$3005,I$5,請求記録!$AD$6:$AD$3005,"保留中")&gt;0,"保留",IF(COUNTIFS(請求記録!$B$6:$B$3005,$A268,請求記録!$X$6:$X$3005,I$5)=0,"",SUMIFS(請求記録!$AC$6:$AC$3005,請求記録!$B$6:$B$3005,$A268,請求記録!$X$6:$X$3005,I$5))))</f>
        <v/>
      </c>
      <c r="J268" s="19">
        <f>IF($A268="","",IF(COUNTIFS(請求記録!$B$6:$B$3005,$A268,請求記録!$X$6:$X$3005,J$5,請求記録!$AD$6:$AD$3005,"保留中")&gt;0,"保留",IF(COUNTIFS(請求記録!$B$6:$B$3005,$A268,請求記録!$X$6:$X$3005,J$5)=0,"",SUMIFS(請求記録!$AC$6:$AC$3005,請求記録!$B$6:$B$3005,$A268,請求記録!$X$6:$X$3005,J$5))))</f>
        <v/>
      </c>
      <c r="K268" s="19">
        <f>IF($A268="","",IF(COUNTIFS(請求記録!$B$6:$B$3005,$A268,請求記録!$X$6:$X$3005,K$5,請求記録!$AD$6:$AD$3005,"保留中")&gt;0,"保留",IF(COUNTIFS(請求記録!$B$6:$B$3005,$A268,請求記録!$X$6:$X$3005,K$5)=0,"",SUMIFS(請求記録!$AC$6:$AC$3005,請求記録!$B$6:$B$3005,$A268,請求記録!$X$6:$X$3005,K$5))))</f>
        <v/>
      </c>
      <c r="L268" s="19">
        <f>IF($A268="","",IF(COUNTIFS(請求記録!$B$6:$B$3005,$A268,請求記録!$X$6:$X$3005,L$5,請求記録!$AD$6:$AD$3005,"保留中")&gt;0,"保留",IF(COUNTIFS(請求記録!$B$6:$B$3005,$A268,請求記録!$X$6:$X$3005,L$5)=0,"",SUMIFS(請求記録!$AC$6:$AC$3005,請求記録!$B$6:$B$3005,$A268,請求記録!$X$6:$X$3005,L$5))))</f>
        <v/>
      </c>
      <c r="M268" s="19">
        <f>IF($A268="","",IF(COUNTIFS(請求記録!$B$6:$B$3005,$A268,請求記録!$X$6:$X$3005,M$5,請求記録!$AD$6:$AD$3005,"保留中")&gt;0,"保留",IF(COUNTIFS(請求記録!$B$6:$B$3005,$A268,請求記録!$X$6:$X$3005,M$5)=0,"",SUMIFS(請求記録!$AC$6:$AC$3005,請求記録!$B$6:$B$3005,$A268,請求記録!$X$6:$X$3005,M$5))))</f>
        <v/>
      </c>
      <c r="N268" s="19">
        <f>IF($A268="","",IF(COUNTIFS(請求記録!$B$6:$B$3005,$A268,請求記録!$X$6:$X$3005,N$5,請求記録!$AD$6:$AD$3005,"保留中")&gt;0,"保留",IF(COUNTIFS(請求記録!$B$6:$B$3005,$A268,請求記録!$X$6:$X$3005,N$5)=0,"",SUMIFS(請求記録!$AC$6:$AC$3005,請求記録!$B$6:$B$3005,$A268,請求記録!$X$6:$X$3005,N$5))))</f>
        <v/>
      </c>
      <c r="O268" s="19">
        <f>IF($A268="","",IF(COUNTIFS(請求記録!$B$6:$B$3005,$A268,請求記録!$X$6:$X$3005,O$5,請求記録!$AD$6:$AD$3005,"保留中")&gt;0,"保留",IF(COUNTIFS(請求記録!$B$6:$B$3005,$A268,請求記録!$X$6:$X$3005,O$5)=0,"",SUMIFS(請求記録!$AC$6:$AC$3005,請求記録!$B$6:$B$3005,$A268,請求記録!$X$6:$X$3005,O$5))))</f>
        <v/>
      </c>
      <c r="P268" s="19">
        <f>IF($A268="","",IF(COUNTIFS(請求記録!$B$6:$B$3005,$A268,請求記録!$X$6:$X$3005,P$5,請求記録!$AD$6:$AD$3005,"保留中")&gt;0,"保留",IF(COUNTIFS(請求記録!$B$6:$B$3005,$A268,請求記録!$X$6:$X$3005,P$5)=0,"",SUMIFS(請求記録!$AC$6:$AC$3005,請求記録!$B$6:$B$3005,$A268,請求記録!$X$6:$X$3005,P$5))))</f>
        <v/>
      </c>
      <c r="Q268" s="19">
        <f>IF($A268="","",IF(COUNTIFS(請求記録!$B$6:$B$3005,$A268,請求記録!$X$6:$X$3005,Q$5,請求記録!$AD$6:$AD$3005,"保留中")&gt;0,"保留",IF(COUNTIFS(請求記録!$B$6:$B$3005,$A268,請求記録!$X$6:$X$3005,Q$5)=0,"",SUMIFS(請求記録!$AC$6:$AC$3005,請求記録!$B$6:$B$3005,$A268,請求記録!$X$6:$X$3005,Q$5))))</f>
        <v/>
      </c>
      <c r="R268" s="19">
        <f>IF($A268="","",IF(COUNTIFS(請求記録!$B$6:$B$3005,$A268,請求記録!$X$6:$X$3005,R$5,請求記録!$AD$6:$AD$3005,"保留中")&gt;0,"保留",IF(COUNTIFS(請求記録!$B$6:$B$3005,$A268,請求記録!$X$6:$X$3005,R$5)=0,"",SUMIFS(請求記録!$AC$6:$AC$3005,請求記録!$B$6:$B$3005,$A268,請求記録!$X$6:$X$3005,R$5))))</f>
        <v/>
      </c>
      <c r="S268" s="19">
        <f>IF($A268="","",IF(COUNTIFS(請求記録!$B$6:$B$3005,$A268,請求記録!$X$6:$X$3005,S$5,請求記録!$AD$6:$AD$3005,"保留中")&gt;0,"保留",IF(COUNTIFS(請求記録!$B$6:$B$3005,$A268,請求記録!$X$6:$X$3005,S$5)=0,"",SUMIFS(請求記録!$AC$6:$AC$3005,請求記録!$B$6:$B$3005,$A268,請求記録!$X$6:$X$3005,S$5))))</f>
        <v/>
      </c>
      <c r="T268" s="19">
        <f>IF($A268="","",IF(COUNTIFS(請求記録!$B$6:$B$3005,$A268,請求記録!$X$6:$X$3005,T$5,請求記録!$AD$6:$AD$3005,"保留中")&gt;0,"保留",IF(COUNTIFS(請求記録!$B$6:$B$3005,$A268,請求記録!$X$6:$X$3005,T$5)=0,"",SUMIFS(請求記録!$AC$6:$AC$3005,請求記録!$B$6:$B$3005,$A268,請求記録!$X$6:$X$3005,T$5))))</f>
        <v/>
      </c>
      <c r="U268" s="19">
        <f>IF($A268="","",IF(COUNTIFS(請求記録!$B$6:$B$3005,$A268,請求記録!$X$6:$X$3005,U$5,請求記録!$AD$6:$AD$3005,"保留中")&gt;0,"保留",IF(COUNTIFS(請求記録!$B$6:$B$3005,$A268,請求記録!$X$6:$X$3005,U$5)=0,"",SUMIFS(請求記録!$AC$6:$AC$3005,請求記録!$B$6:$B$3005,$A268,請求記録!$X$6:$X$3005,U$5))))</f>
        <v/>
      </c>
      <c r="V268" s="19">
        <f>IF($A268="","",IF(COUNTIFS(請求記録!$B$6:$B$3005,$A268,請求記録!$X$6:$X$3005,V$5,請求記録!$AD$6:$AD$3005,"保留中")&gt;0,"保留",IF(COUNTIFS(請求記録!$B$6:$B$3005,$A268,請求記録!$X$6:$X$3005,V$5)=0,"",SUMIFS(請求記録!$AC$6:$AC$3005,請求記録!$B$6:$B$3005,$A268,請求記録!$X$6:$X$3005,V$5))))</f>
        <v/>
      </c>
      <c r="W268" s="19">
        <f>IF($A268="","",IF(COUNTIFS(請求記録!$B$6:$B$3005,$A268,請求記録!$X$6:$X$3005,W$5,請求記録!$AD$6:$AD$3005,"保留中")&gt;0,"保留",IF(COUNTIFS(請求記録!$B$6:$B$3005,$A268,請求記録!$X$6:$X$3005,W$5)=0,"",SUMIFS(請求記録!$AC$6:$AC$3005,請求記録!$B$6:$B$3005,$A268,請求記録!$X$6:$X$3005,W$5))))</f>
        <v/>
      </c>
      <c r="X268" s="19">
        <f>IF($A268="","",IF(COUNTIFS(請求記録!$B$6:$B$3005,$A268,請求記録!$X$6:$X$3005,X$5,請求記録!$AD$6:$AD$3005,"保留中")&gt;0,"保留",IF(COUNTIFS(請求記録!$B$6:$B$3005,$A268,請求記録!$X$6:$X$3005,X$5)=0,"",SUMIFS(請求記録!$AC$6:$AC$3005,請求記録!$B$6:$B$3005,$A268,請求記録!$X$6:$X$3005,X$5))))</f>
        <v/>
      </c>
      <c r="Y268" s="19">
        <f>IF($A268="","",IF(COUNTIFS(請求記録!$B$6:$B$3005,$A268,請求記録!$X$6:$X$3005,Y$5,請求記録!$AD$6:$AD$3005,"保留中")&gt;0,"保留",IF(COUNTIFS(請求記録!$B$6:$B$3005,$A268,請求記録!$X$6:$X$3005,Y$5)=0,"",SUMIFS(請求記録!$AC$6:$AC$3005,請求記録!$B$6:$B$3005,$A268,請求記録!$X$6:$X$3005,Y$5))))</f>
        <v/>
      </c>
      <c r="Z268" s="19">
        <f>IF($A268="","",IF(COUNTIFS(請求記録!$B$6:$B$3005,$A268,請求記録!$X$6:$X$3005,Z$5,請求記録!$AD$6:$AD$3005,"保留中")&gt;0,"保留",IF(COUNTIFS(請求記録!$B$6:$B$3005,$A268,請求記録!$X$6:$X$3005,Z$5)=0,"",SUMIFS(請求記録!$AC$6:$AC$3005,請求記録!$B$6:$B$3005,$A268,請求記録!$X$6:$X$3005,Z$5))))</f>
        <v/>
      </c>
      <c r="AA268" s="19">
        <f>IF($A268="","",IF(COUNTIFS(請求記録!$B$6:$B$3005,$A268,請求記録!$X$6:$X$3005,AA$5,請求記録!$AD$6:$AD$3005,"保留中")&gt;0,"保留",IF(COUNTIFS(請求記録!$B$6:$B$3005,$A268,請求記録!$X$6:$X$3005,AA$5)=0,"",SUMIFS(請求記録!$AC$6:$AC$3005,請求記録!$B$6:$B$3005,$A268,請求記録!$X$6:$X$3005,AA$5))))</f>
        <v/>
      </c>
      <c r="AB268">
        <f>IF(職員マスタ!P268="保留中",職員マスタ!M268,"")</f>
        <v/>
      </c>
    </row>
    <row r="269">
      <c r="A269">
        <f>IF(職員マスタ!A269="","",職員マスタ!A269)</f>
        <v/>
      </c>
      <c r="B269">
        <f>IF($A269="","",職員マスタ!B269)</f>
        <v/>
      </c>
      <c r="C269">
        <f>IF($A269="","",職員マスタ!C269)</f>
        <v/>
      </c>
      <c r="D269" s="19">
        <f>IF($A269="","",IF(COUNTIFS(請求記録!$B$6:$B$3005,$A269,請求記録!$X$6:$X$3005,D$5,請求記録!$AD$6:$AD$3005,"保留中")&gt;0,"保留",IF(COUNTIFS(請求記録!$B$6:$B$3005,$A269,請求記録!$X$6:$X$3005,D$5)=0,"",SUMIFS(請求記録!$AC$6:$AC$3005,請求記録!$B$6:$B$3005,$A269,請求記録!$X$6:$X$3005,D$5))))</f>
        <v/>
      </c>
      <c r="E269" s="19">
        <f>IF($A269="","",IF(COUNTIFS(請求記録!$B$6:$B$3005,$A269,請求記録!$X$6:$X$3005,E$5,請求記録!$AD$6:$AD$3005,"保留中")&gt;0,"保留",IF(COUNTIFS(請求記録!$B$6:$B$3005,$A269,請求記録!$X$6:$X$3005,E$5)=0,"",SUMIFS(請求記録!$AC$6:$AC$3005,請求記録!$B$6:$B$3005,$A269,請求記録!$X$6:$X$3005,E$5))))</f>
        <v/>
      </c>
      <c r="F269" s="19">
        <f>IF($A269="","",IF(COUNTIFS(請求記録!$B$6:$B$3005,$A269,請求記録!$X$6:$X$3005,F$5,請求記録!$AD$6:$AD$3005,"保留中")&gt;0,"保留",IF(COUNTIFS(請求記録!$B$6:$B$3005,$A269,請求記録!$X$6:$X$3005,F$5)=0,"",SUMIFS(請求記録!$AC$6:$AC$3005,請求記録!$B$6:$B$3005,$A269,請求記録!$X$6:$X$3005,F$5))))</f>
        <v/>
      </c>
      <c r="G269" s="19">
        <f>IF($A269="","",IF(COUNTIFS(請求記録!$B$6:$B$3005,$A269,請求記録!$X$6:$X$3005,G$5,請求記録!$AD$6:$AD$3005,"保留中")&gt;0,"保留",IF(COUNTIFS(請求記録!$B$6:$B$3005,$A269,請求記録!$X$6:$X$3005,G$5)=0,"",SUMIFS(請求記録!$AC$6:$AC$3005,請求記録!$B$6:$B$3005,$A269,請求記録!$X$6:$X$3005,G$5))))</f>
        <v/>
      </c>
      <c r="H269" s="19">
        <f>IF($A269="","",IF(COUNTIFS(請求記録!$B$6:$B$3005,$A269,請求記録!$X$6:$X$3005,H$5,請求記録!$AD$6:$AD$3005,"保留中")&gt;0,"保留",IF(COUNTIFS(請求記録!$B$6:$B$3005,$A269,請求記録!$X$6:$X$3005,H$5)=0,"",SUMIFS(請求記録!$AC$6:$AC$3005,請求記録!$B$6:$B$3005,$A269,請求記録!$X$6:$X$3005,H$5))))</f>
        <v/>
      </c>
      <c r="I269" s="19">
        <f>IF($A269="","",IF(COUNTIFS(請求記録!$B$6:$B$3005,$A269,請求記録!$X$6:$X$3005,I$5,請求記録!$AD$6:$AD$3005,"保留中")&gt;0,"保留",IF(COUNTIFS(請求記録!$B$6:$B$3005,$A269,請求記録!$X$6:$X$3005,I$5)=0,"",SUMIFS(請求記録!$AC$6:$AC$3005,請求記録!$B$6:$B$3005,$A269,請求記録!$X$6:$X$3005,I$5))))</f>
        <v/>
      </c>
      <c r="J269" s="19">
        <f>IF($A269="","",IF(COUNTIFS(請求記録!$B$6:$B$3005,$A269,請求記録!$X$6:$X$3005,J$5,請求記録!$AD$6:$AD$3005,"保留中")&gt;0,"保留",IF(COUNTIFS(請求記録!$B$6:$B$3005,$A269,請求記録!$X$6:$X$3005,J$5)=0,"",SUMIFS(請求記録!$AC$6:$AC$3005,請求記録!$B$6:$B$3005,$A269,請求記録!$X$6:$X$3005,J$5))))</f>
        <v/>
      </c>
      <c r="K269" s="19">
        <f>IF($A269="","",IF(COUNTIFS(請求記録!$B$6:$B$3005,$A269,請求記録!$X$6:$X$3005,K$5,請求記録!$AD$6:$AD$3005,"保留中")&gt;0,"保留",IF(COUNTIFS(請求記録!$B$6:$B$3005,$A269,請求記録!$X$6:$X$3005,K$5)=0,"",SUMIFS(請求記録!$AC$6:$AC$3005,請求記録!$B$6:$B$3005,$A269,請求記録!$X$6:$X$3005,K$5))))</f>
        <v/>
      </c>
      <c r="L269" s="19">
        <f>IF($A269="","",IF(COUNTIFS(請求記録!$B$6:$B$3005,$A269,請求記録!$X$6:$X$3005,L$5,請求記録!$AD$6:$AD$3005,"保留中")&gt;0,"保留",IF(COUNTIFS(請求記録!$B$6:$B$3005,$A269,請求記録!$X$6:$X$3005,L$5)=0,"",SUMIFS(請求記録!$AC$6:$AC$3005,請求記録!$B$6:$B$3005,$A269,請求記録!$X$6:$X$3005,L$5))))</f>
        <v/>
      </c>
      <c r="M269" s="19">
        <f>IF($A269="","",IF(COUNTIFS(請求記録!$B$6:$B$3005,$A269,請求記録!$X$6:$X$3005,M$5,請求記録!$AD$6:$AD$3005,"保留中")&gt;0,"保留",IF(COUNTIFS(請求記録!$B$6:$B$3005,$A269,請求記録!$X$6:$X$3005,M$5)=0,"",SUMIFS(請求記録!$AC$6:$AC$3005,請求記録!$B$6:$B$3005,$A269,請求記録!$X$6:$X$3005,M$5))))</f>
        <v/>
      </c>
      <c r="N269" s="19">
        <f>IF($A269="","",IF(COUNTIFS(請求記録!$B$6:$B$3005,$A269,請求記録!$X$6:$X$3005,N$5,請求記録!$AD$6:$AD$3005,"保留中")&gt;0,"保留",IF(COUNTIFS(請求記録!$B$6:$B$3005,$A269,請求記録!$X$6:$X$3005,N$5)=0,"",SUMIFS(請求記録!$AC$6:$AC$3005,請求記録!$B$6:$B$3005,$A269,請求記録!$X$6:$X$3005,N$5))))</f>
        <v/>
      </c>
      <c r="O269" s="19">
        <f>IF($A269="","",IF(COUNTIFS(請求記録!$B$6:$B$3005,$A269,請求記録!$X$6:$X$3005,O$5,請求記録!$AD$6:$AD$3005,"保留中")&gt;0,"保留",IF(COUNTIFS(請求記録!$B$6:$B$3005,$A269,請求記録!$X$6:$X$3005,O$5)=0,"",SUMIFS(請求記録!$AC$6:$AC$3005,請求記録!$B$6:$B$3005,$A269,請求記録!$X$6:$X$3005,O$5))))</f>
        <v/>
      </c>
      <c r="P269" s="19">
        <f>IF($A269="","",IF(COUNTIFS(請求記録!$B$6:$B$3005,$A269,請求記録!$X$6:$X$3005,P$5,請求記録!$AD$6:$AD$3005,"保留中")&gt;0,"保留",IF(COUNTIFS(請求記録!$B$6:$B$3005,$A269,請求記録!$X$6:$X$3005,P$5)=0,"",SUMIFS(請求記録!$AC$6:$AC$3005,請求記録!$B$6:$B$3005,$A269,請求記録!$X$6:$X$3005,P$5))))</f>
        <v/>
      </c>
      <c r="Q269" s="19">
        <f>IF($A269="","",IF(COUNTIFS(請求記録!$B$6:$B$3005,$A269,請求記録!$X$6:$X$3005,Q$5,請求記録!$AD$6:$AD$3005,"保留中")&gt;0,"保留",IF(COUNTIFS(請求記録!$B$6:$B$3005,$A269,請求記録!$X$6:$X$3005,Q$5)=0,"",SUMIFS(請求記録!$AC$6:$AC$3005,請求記録!$B$6:$B$3005,$A269,請求記録!$X$6:$X$3005,Q$5))))</f>
        <v/>
      </c>
      <c r="R269" s="19">
        <f>IF($A269="","",IF(COUNTIFS(請求記録!$B$6:$B$3005,$A269,請求記録!$X$6:$X$3005,R$5,請求記録!$AD$6:$AD$3005,"保留中")&gt;0,"保留",IF(COUNTIFS(請求記録!$B$6:$B$3005,$A269,請求記録!$X$6:$X$3005,R$5)=0,"",SUMIFS(請求記録!$AC$6:$AC$3005,請求記録!$B$6:$B$3005,$A269,請求記録!$X$6:$X$3005,R$5))))</f>
        <v/>
      </c>
      <c r="S269" s="19">
        <f>IF($A269="","",IF(COUNTIFS(請求記録!$B$6:$B$3005,$A269,請求記録!$X$6:$X$3005,S$5,請求記録!$AD$6:$AD$3005,"保留中")&gt;0,"保留",IF(COUNTIFS(請求記録!$B$6:$B$3005,$A269,請求記録!$X$6:$X$3005,S$5)=0,"",SUMIFS(請求記録!$AC$6:$AC$3005,請求記録!$B$6:$B$3005,$A269,請求記録!$X$6:$X$3005,S$5))))</f>
        <v/>
      </c>
      <c r="T269" s="19">
        <f>IF($A269="","",IF(COUNTIFS(請求記録!$B$6:$B$3005,$A269,請求記録!$X$6:$X$3005,T$5,請求記録!$AD$6:$AD$3005,"保留中")&gt;0,"保留",IF(COUNTIFS(請求記録!$B$6:$B$3005,$A269,請求記録!$X$6:$X$3005,T$5)=0,"",SUMIFS(請求記録!$AC$6:$AC$3005,請求記録!$B$6:$B$3005,$A269,請求記録!$X$6:$X$3005,T$5))))</f>
        <v/>
      </c>
      <c r="U269" s="19">
        <f>IF($A269="","",IF(COUNTIFS(請求記録!$B$6:$B$3005,$A269,請求記録!$X$6:$X$3005,U$5,請求記録!$AD$6:$AD$3005,"保留中")&gt;0,"保留",IF(COUNTIFS(請求記録!$B$6:$B$3005,$A269,請求記録!$X$6:$X$3005,U$5)=0,"",SUMIFS(請求記録!$AC$6:$AC$3005,請求記録!$B$6:$B$3005,$A269,請求記録!$X$6:$X$3005,U$5))))</f>
        <v/>
      </c>
      <c r="V269" s="19">
        <f>IF($A269="","",IF(COUNTIFS(請求記録!$B$6:$B$3005,$A269,請求記録!$X$6:$X$3005,V$5,請求記録!$AD$6:$AD$3005,"保留中")&gt;0,"保留",IF(COUNTIFS(請求記録!$B$6:$B$3005,$A269,請求記録!$X$6:$X$3005,V$5)=0,"",SUMIFS(請求記録!$AC$6:$AC$3005,請求記録!$B$6:$B$3005,$A269,請求記録!$X$6:$X$3005,V$5))))</f>
        <v/>
      </c>
      <c r="W269" s="19">
        <f>IF($A269="","",IF(COUNTIFS(請求記録!$B$6:$B$3005,$A269,請求記録!$X$6:$X$3005,W$5,請求記録!$AD$6:$AD$3005,"保留中")&gt;0,"保留",IF(COUNTIFS(請求記録!$B$6:$B$3005,$A269,請求記録!$X$6:$X$3005,W$5)=0,"",SUMIFS(請求記録!$AC$6:$AC$3005,請求記録!$B$6:$B$3005,$A269,請求記録!$X$6:$X$3005,W$5))))</f>
        <v/>
      </c>
      <c r="X269" s="19">
        <f>IF($A269="","",IF(COUNTIFS(請求記録!$B$6:$B$3005,$A269,請求記録!$X$6:$X$3005,X$5,請求記録!$AD$6:$AD$3005,"保留中")&gt;0,"保留",IF(COUNTIFS(請求記録!$B$6:$B$3005,$A269,請求記録!$X$6:$X$3005,X$5)=0,"",SUMIFS(請求記録!$AC$6:$AC$3005,請求記録!$B$6:$B$3005,$A269,請求記録!$X$6:$X$3005,X$5))))</f>
        <v/>
      </c>
      <c r="Y269" s="19">
        <f>IF($A269="","",IF(COUNTIFS(請求記録!$B$6:$B$3005,$A269,請求記録!$X$6:$X$3005,Y$5,請求記録!$AD$6:$AD$3005,"保留中")&gt;0,"保留",IF(COUNTIFS(請求記録!$B$6:$B$3005,$A269,請求記録!$X$6:$X$3005,Y$5)=0,"",SUMIFS(請求記録!$AC$6:$AC$3005,請求記録!$B$6:$B$3005,$A269,請求記録!$X$6:$X$3005,Y$5))))</f>
        <v/>
      </c>
      <c r="Z269" s="19">
        <f>IF($A269="","",IF(COUNTIFS(請求記録!$B$6:$B$3005,$A269,請求記録!$X$6:$X$3005,Z$5,請求記録!$AD$6:$AD$3005,"保留中")&gt;0,"保留",IF(COUNTIFS(請求記録!$B$6:$B$3005,$A269,請求記録!$X$6:$X$3005,Z$5)=0,"",SUMIFS(請求記録!$AC$6:$AC$3005,請求記録!$B$6:$B$3005,$A269,請求記録!$X$6:$X$3005,Z$5))))</f>
        <v/>
      </c>
      <c r="AA269" s="19">
        <f>IF($A269="","",IF(COUNTIFS(請求記録!$B$6:$B$3005,$A269,請求記録!$X$6:$X$3005,AA$5,請求記録!$AD$6:$AD$3005,"保留中")&gt;0,"保留",IF(COUNTIFS(請求記録!$B$6:$B$3005,$A269,請求記録!$X$6:$X$3005,AA$5)=0,"",SUMIFS(請求記録!$AC$6:$AC$3005,請求記録!$B$6:$B$3005,$A269,請求記録!$X$6:$X$3005,AA$5))))</f>
        <v/>
      </c>
      <c r="AB269">
        <f>IF(職員マスタ!P269="保留中",職員マスタ!M269,"")</f>
        <v/>
      </c>
    </row>
    <row r="270">
      <c r="A270">
        <f>IF(職員マスタ!A270="","",職員マスタ!A270)</f>
        <v/>
      </c>
      <c r="B270">
        <f>IF($A270="","",職員マスタ!B270)</f>
        <v/>
      </c>
      <c r="C270">
        <f>IF($A270="","",職員マスタ!C270)</f>
        <v/>
      </c>
      <c r="D270" s="19">
        <f>IF($A270="","",IF(COUNTIFS(請求記録!$B$6:$B$3005,$A270,請求記録!$X$6:$X$3005,D$5,請求記録!$AD$6:$AD$3005,"保留中")&gt;0,"保留",IF(COUNTIFS(請求記録!$B$6:$B$3005,$A270,請求記録!$X$6:$X$3005,D$5)=0,"",SUMIFS(請求記録!$AC$6:$AC$3005,請求記録!$B$6:$B$3005,$A270,請求記録!$X$6:$X$3005,D$5))))</f>
        <v/>
      </c>
      <c r="E270" s="19">
        <f>IF($A270="","",IF(COUNTIFS(請求記録!$B$6:$B$3005,$A270,請求記録!$X$6:$X$3005,E$5,請求記録!$AD$6:$AD$3005,"保留中")&gt;0,"保留",IF(COUNTIFS(請求記録!$B$6:$B$3005,$A270,請求記録!$X$6:$X$3005,E$5)=0,"",SUMIFS(請求記録!$AC$6:$AC$3005,請求記録!$B$6:$B$3005,$A270,請求記録!$X$6:$X$3005,E$5))))</f>
        <v/>
      </c>
      <c r="F270" s="19">
        <f>IF($A270="","",IF(COUNTIFS(請求記録!$B$6:$B$3005,$A270,請求記録!$X$6:$X$3005,F$5,請求記録!$AD$6:$AD$3005,"保留中")&gt;0,"保留",IF(COUNTIFS(請求記録!$B$6:$B$3005,$A270,請求記録!$X$6:$X$3005,F$5)=0,"",SUMIFS(請求記録!$AC$6:$AC$3005,請求記録!$B$6:$B$3005,$A270,請求記録!$X$6:$X$3005,F$5))))</f>
        <v/>
      </c>
      <c r="G270" s="19">
        <f>IF($A270="","",IF(COUNTIFS(請求記録!$B$6:$B$3005,$A270,請求記録!$X$6:$X$3005,G$5,請求記録!$AD$6:$AD$3005,"保留中")&gt;0,"保留",IF(COUNTIFS(請求記録!$B$6:$B$3005,$A270,請求記録!$X$6:$X$3005,G$5)=0,"",SUMIFS(請求記録!$AC$6:$AC$3005,請求記録!$B$6:$B$3005,$A270,請求記録!$X$6:$X$3005,G$5))))</f>
        <v/>
      </c>
      <c r="H270" s="19">
        <f>IF($A270="","",IF(COUNTIFS(請求記録!$B$6:$B$3005,$A270,請求記録!$X$6:$X$3005,H$5,請求記録!$AD$6:$AD$3005,"保留中")&gt;0,"保留",IF(COUNTIFS(請求記録!$B$6:$B$3005,$A270,請求記録!$X$6:$X$3005,H$5)=0,"",SUMIFS(請求記録!$AC$6:$AC$3005,請求記録!$B$6:$B$3005,$A270,請求記録!$X$6:$X$3005,H$5))))</f>
        <v/>
      </c>
      <c r="I270" s="19">
        <f>IF($A270="","",IF(COUNTIFS(請求記録!$B$6:$B$3005,$A270,請求記録!$X$6:$X$3005,I$5,請求記録!$AD$6:$AD$3005,"保留中")&gt;0,"保留",IF(COUNTIFS(請求記録!$B$6:$B$3005,$A270,請求記録!$X$6:$X$3005,I$5)=0,"",SUMIFS(請求記録!$AC$6:$AC$3005,請求記録!$B$6:$B$3005,$A270,請求記録!$X$6:$X$3005,I$5))))</f>
        <v/>
      </c>
      <c r="J270" s="19">
        <f>IF($A270="","",IF(COUNTIFS(請求記録!$B$6:$B$3005,$A270,請求記録!$X$6:$X$3005,J$5,請求記録!$AD$6:$AD$3005,"保留中")&gt;0,"保留",IF(COUNTIFS(請求記録!$B$6:$B$3005,$A270,請求記録!$X$6:$X$3005,J$5)=0,"",SUMIFS(請求記録!$AC$6:$AC$3005,請求記録!$B$6:$B$3005,$A270,請求記録!$X$6:$X$3005,J$5))))</f>
        <v/>
      </c>
      <c r="K270" s="19">
        <f>IF($A270="","",IF(COUNTIFS(請求記録!$B$6:$B$3005,$A270,請求記録!$X$6:$X$3005,K$5,請求記録!$AD$6:$AD$3005,"保留中")&gt;0,"保留",IF(COUNTIFS(請求記録!$B$6:$B$3005,$A270,請求記録!$X$6:$X$3005,K$5)=0,"",SUMIFS(請求記録!$AC$6:$AC$3005,請求記録!$B$6:$B$3005,$A270,請求記録!$X$6:$X$3005,K$5))))</f>
        <v/>
      </c>
      <c r="L270" s="19">
        <f>IF($A270="","",IF(COUNTIFS(請求記録!$B$6:$B$3005,$A270,請求記録!$X$6:$X$3005,L$5,請求記録!$AD$6:$AD$3005,"保留中")&gt;0,"保留",IF(COUNTIFS(請求記録!$B$6:$B$3005,$A270,請求記録!$X$6:$X$3005,L$5)=0,"",SUMIFS(請求記録!$AC$6:$AC$3005,請求記録!$B$6:$B$3005,$A270,請求記録!$X$6:$X$3005,L$5))))</f>
        <v/>
      </c>
      <c r="M270" s="19">
        <f>IF($A270="","",IF(COUNTIFS(請求記録!$B$6:$B$3005,$A270,請求記録!$X$6:$X$3005,M$5,請求記録!$AD$6:$AD$3005,"保留中")&gt;0,"保留",IF(COUNTIFS(請求記録!$B$6:$B$3005,$A270,請求記録!$X$6:$X$3005,M$5)=0,"",SUMIFS(請求記録!$AC$6:$AC$3005,請求記録!$B$6:$B$3005,$A270,請求記録!$X$6:$X$3005,M$5))))</f>
        <v/>
      </c>
      <c r="N270" s="19">
        <f>IF($A270="","",IF(COUNTIFS(請求記録!$B$6:$B$3005,$A270,請求記録!$X$6:$X$3005,N$5,請求記録!$AD$6:$AD$3005,"保留中")&gt;0,"保留",IF(COUNTIFS(請求記録!$B$6:$B$3005,$A270,請求記録!$X$6:$X$3005,N$5)=0,"",SUMIFS(請求記録!$AC$6:$AC$3005,請求記録!$B$6:$B$3005,$A270,請求記録!$X$6:$X$3005,N$5))))</f>
        <v/>
      </c>
      <c r="O270" s="19">
        <f>IF($A270="","",IF(COUNTIFS(請求記録!$B$6:$B$3005,$A270,請求記録!$X$6:$X$3005,O$5,請求記録!$AD$6:$AD$3005,"保留中")&gt;0,"保留",IF(COUNTIFS(請求記録!$B$6:$B$3005,$A270,請求記録!$X$6:$X$3005,O$5)=0,"",SUMIFS(請求記録!$AC$6:$AC$3005,請求記録!$B$6:$B$3005,$A270,請求記録!$X$6:$X$3005,O$5))))</f>
        <v/>
      </c>
      <c r="P270" s="19">
        <f>IF($A270="","",IF(COUNTIFS(請求記録!$B$6:$B$3005,$A270,請求記録!$X$6:$X$3005,P$5,請求記録!$AD$6:$AD$3005,"保留中")&gt;0,"保留",IF(COUNTIFS(請求記録!$B$6:$B$3005,$A270,請求記録!$X$6:$X$3005,P$5)=0,"",SUMIFS(請求記録!$AC$6:$AC$3005,請求記録!$B$6:$B$3005,$A270,請求記録!$X$6:$X$3005,P$5))))</f>
        <v/>
      </c>
      <c r="Q270" s="19">
        <f>IF($A270="","",IF(COUNTIFS(請求記録!$B$6:$B$3005,$A270,請求記録!$X$6:$X$3005,Q$5,請求記録!$AD$6:$AD$3005,"保留中")&gt;0,"保留",IF(COUNTIFS(請求記録!$B$6:$B$3005,$A270,請求記録!$X$6:$X$3005,Q$5)=0,"",SUMIFS(請求記録!$AC$6:$AC$3005,請求記録!$B$6:$B$3005,$A270,請求記録!$X$6:$X$3005,Q$5))))</f>
        <v/>
      </c>
      <c r="R270" s="19">
        <f>IF($A270="","",IF(COUNTIFS(請求記録!$B$6:$B$3005,$A270,請求記録!$X$6:$X$3005,R$5,請求記録!$AD$6:$AD$3005,"保留中")&gt;0,"保留",IF(COUNTIFS(請求記録!$B$6:$B$3005,$A270,請求記録!$X$6:$X$3005,R$5)=0,"",SUMIFS(請求記録!$AC$6:$AC$3005,請求記録!$B$6:$B$3005,$A270,請求記録!$X$6:$X$3005,R$5))))</f>
        <v/>
      </c>
      <c r="S270" s="19">
        <f>IF($A270="","",IF(COUNTIFS(請求記録!$B$6:$B$3005,$A270,請求記録!$X$6:$X$3005,S$5,請求記録!$AD$6:$AD$3005,"保留中")&gt;0,"保留",IF(COUNTIFS(請求記録!$B$6:$B$3005,$A270,請求記録!$X$6:$X$3005,S$5)=0,"",SUMIFS(請求記録!$AC$6:$AC$3005,請求記録!$B$6:$B$3005,$A270,請求記録!$X$6:$X$3005,S$5))))</f>
        <v/>
      </c>
      <c r="T270" s="19">
        <f>IF($A270="","",IF(COUNTIFS(請求記録!$B$6:$B$3005,$A270,請求記録!$X$6:$X$3005,T$5,請求記録!$AD$6:$AD$3005,"保留中")&gt;0,"保留",IF(COUNTIFS(請求記録!$B$6:$B$3005,$A270,請求記録!$X$6:$X$3005,T$5)=0,"",SUMIFS(請求記録!$AC$6:$AC$3005,請求記録!$B$6:$B$3005,$A270,請求記録!$X$6:$X$3005,T$5))))</f>
        <v/>
      </c>
      <c r="U270" s="19">
        <f>IF($A270="","",IF(COUNTIFS(請求記録!$B$6:$B$3005,$A270,請求記録!$X$6:$X$3005,U$5,請求記録!$AD$6:$AD$3005,"保留中")&gt;0,"保留",IF(COUNTIFS(請求記録!$B$6:$B$3005,$A270,請求記録!$X$6:$X$3005,U$5)=0,"",SUMIFS(請求記録!$AC$6:$AC$3005,請求記録!$B$6:$B$3005,$A270,請求記録!$X$6:$X$3005,U$5))))</f>
        <v/>
      </c>
      <c r="V270" s="19">
        <f>IF($A270="","",IF(COUNTIFS(請求記録!$B$6:$B$3005,$A270,請求記録!$X$6:$X$3005,V$5,請求記録!$AD$6:$AD$3005,"保留中")&gt;0,"保留",IF(COUNTIFS(請求記録!$B$6:$B$3005,$A270,請求記録!$X$6:$X$3005,V$5)=0,"",SUMIFS(請求記録!$AC$6:$AC$3005,請求記録!$B$6:$B$3005,$A270,請求記録!$X$6:$X$3005,V$5))))</f>
        <v/>
      </c>
      <c r="W270" s="19">
        <f>IF($A270="","",IF(COUNTIFS(請求記録!$B$6:$B$3005,$A270,請求記録!$X$6:$X$3005,W$5,請求記録!$AD$6:$AD$3005,"保留中")&gt;0,"保留",IF(COUNTIFS(請求記録!$B$6:$B$3005,$A270,請求記録!$X$6:$X$3005,W$5)=0,"",SUMIFS(請求記録!$AC$6:$AC$3005,請求記録!$B$6:$B$3005,$A270,請求記録!$X$6:$X$3005,W$5))))</f>
        <v/>
      </c>
      <c r="X270" s="19">
        <f>IF($A270="","",IF(COUNTIFS(請求記録!$B$6:$B$3005,$A270,請求記録!$X$6:$X$3005,X$5,請求記録!$AD$6:$AD$3005,"保留中")&gt;0,"保留",IF(COUNTIFS(請求記録!$B$6:$B$3005,$A270,請求記録!$X$6:$X$3005,X$5)=0,"",SUMIFS(請求記録!$AC$6:$AC$3005,請求記録!$B$6:$B$3005,$A270,請求記録!$X$6:$X$3005,X$5))))</f>
        <v/>
      </c>
      <c r="Y270" s="19">
        <f>IF($A270="","",IF(COUNTIFS(請求記録!$B$6:$B$3005,$A270,請求記録!$X$6:$X$3005,Y$5,請求記録!$AD$6:$AD$3005,"保留中")&gt;0,"保留",IF(COUNTIFS(請求記録!$B$6:$B$3005,$A270,請求記録!$X$6:$X$3005,Y$5)=0,"",SUMIFS(請求記録!$AC$6:$AC$3005,請求記録!$B$6:$B$3005,$A270,請求記録!$X$6:$X$3005,Y$5))))</f>
        <v/>
      </c>
      <c r="Z270" s="19">
        <f>IF($A270="","",IF(COUNTIFS(請求記録!$B$6:$B$3005,$A270,請求記録!$X$6:$X$3005,Z$5,請求記録!$AD$6:$AD$3005,"保留中")&gt;0,"保留",IF(COUNTIFS(請求記録!$B$6:$B$3005,$A270,請求記録!$X$6:$X$3005,Z$5)=0,"",SUMIFS(請求記録!$AC$6:$AC$3005,請求記録!$B$6:$B$3005,$A270,請求記録!$X$6:$X$3005,Z$5))))</f>
        <v/>
      </c>
      <c r="AA270" s="19">
        <f>IF($A270="","",IF(COUNTIFS(請求記録!$B$6:$B$3005,$A270,請求記録!$X$6:$X$3005,AA$5,請求記録!$AD$6:$AD$3005,"保留中")&gt;0,"保留",IF(COUNTIFS(請求記録!$B$6:$B$3005,$A270,請求記録!$X$6:$X$3005,AA$5)=0,"",SUMIFS(請求記録!$AC$6:$AC$3005,請求記録!$B$6:$B$3005,$A270,請求記録!$X$6:$X$3005,AA$5))))</f>
        <v/>
      </c>
      <c r="AB270">
        <f>IF(職員マスタ!P270="保留中",職員マスタ!M270,"")</f>
        <v/>
      </c>
    </row>
    <row r="271">
      <c r="A271">
        <f>IF(職員マスタ!A271="","",職員マスタ!A271)</f>
        <v/>
      </c>
      <c r="B271">
        <f>IF($A271="","",職員マスタ!B271)</f>
        <v/>
      </c>
      <c r="C271">
        <f>IF($A271="","",職員マスタ!C271)</f>
        <v/>
      </c>
      <c r="D271" s="19">
        <f>IF($A271="","",IF(COUNTIFS(請求記録!$B$6:$B$3005,$A271,請求記録!$X$6:$X$3005,D$5,請求記録!$AD$6:$AD$3005,"保留中")&gt;0,"保留",IF(COUNTIFS(請求記録!$B$6:$B$3005,$A271,請求記録!$X$6:$X$3005,D$5)=0,"",SUMIFS(請求記録!$AC$6:$AC$3005,請求記録!$B$6:$B$3005,$A271,請求記録!$X$6:$X$3005,D$5))))</f>
        <v/>
      </c>
      <c r="E271" s="19">
        <f>IF($A271="","",IF(COUNTIFS(請求記録!$B$6:$B$3005,$A271,請求記録!$X$6:$X$3005,E$5,請求記録!$AD$6:$AD$3005,"保留中")&gt;0,"保留",IF(COUNTIFS(請求記録!$B$6:$B$3005,$A271,請求記録!$X$6:$X$3005,E$5)=0,"",SUMIFS(請求記録!$AC$6:$AC$3005,請求記録!$B$6:$B$3005,$A271,請求記録!$X$6:$X$3005,E$5))))</f>
        <v/>
      </c>
      <c r="F271" s="19">
        <f>IF($A271="","",IF(COUNTIFS(請求記録!$B$6:$B$3005,$A271,請求記録!$X$6:$X$3005,F$5,請求記録!$AD$6:$AD$3005,"保留中")&gt;0,"保留",IF(COUNTIFS(請求記録!$B$6:$B$3005,$A271,請求記録!$X$6:$X$3005,F$5)=0,"",SUMIFS(請求記録!$AC$6:$AC$3005,請求記録!$B$6:$B$3005,$A271,請求記録!$X$6:$X$3005,F$5))))</f>
        <v/>
      </c>
      <c r="G271" s="19">
        <f>IF($A271="","",IF(COUNTIFS(請求記録!$B$6:$B$3005,$A271,請求記録!$X$6:$X$3005,G$5,請求記録!$AD$6:$AD$3005,"保留中")&gt;0,"保留",IF(COUNTIFS(請求記録!$B$6:$B$3005,$A271,請求記録!$X$6:$X$3005,G$5)=0,"",SUMIFS(請求記録!$AC$6:$AC$3005,請求記録!$B$6:$B$3005,$A271,請求記録!$X$6:$X$3005,G$5))))</f>
        <v/>
      </c>
      <c r="H271" s="19">
        <f>IF($A271="","",IF(COUNTIFS(請求記録!$B$6:$B$3005,$A271,請求記録!$X$6:$X$3005,H$5,請求記録!$AD$6:$AD$3005,"保留中")&gt;0,"保留",IF(COUNTIFS(請求記録!$B$6:$B$3005,$A271,請求記録!$X$6:$X$3005,H$5)=0,"",SUMIFS(請求記録!$AC$6:$AC$3005,請求記録!$B$6:$B$3005,$A271,請求記録!$X$6:$X$3005,H$5))))</f>
        <v/>
      </c>
      <c r="I271" s="19">
        <f>IF($A271="","",IF(COUNTIFS(請求記録!$B$6:$B$3005,$A271,請求記録!$X$6:$X$3005,I$5,請求記録!$AD$6:$AD$3005,"保留中")&gt;0,"保留",IF(COUNTIFS(請求記録!$B$6:$B$3005,$A271,請求記録!$X$6:$X$3005,I$5)=0,"",SUMIFS(請求記録!$AC$6:$AC$3005,請求記録!$B$6:$B$3005,$A271,請求記録!$X$6:$X$3005,I$5))))</f>
        <v/>
      </c>
      <c r="J271" s="19">
        <f>IF($A271="","",IF(COUNTIFS(請求記録!$B$6:$B$3005,$A271,請求記録!$X$6:$X$3005,J$5,請求記録!$AD$6:$AD$3005,"保留中")&gt;0,"保留",IF(COUNTIFS(請求記録!$B$6:$B$3005,$A271,請求記録!$X$6:$X$3005,J$5)=0,"",SUMIFS(請求記録!$AC$6:$AC$3005,請求記録!$B$6:$B$3005,$A271,請求記録!$X$6:$X$3005,J$5))))</f>
        <v/>
      </c>
      <c r="K271" s="19">
        <f>IF($A271="","",IF(COUNTIFS(請求記録!$B$6:$B$3005,$A271,請求記録!$X$6:$X$3005,K$5,請求記録!$AD$6:$AD$3005,"保留中")&gt;0,"保留",IF(COUNTIFS(請求記録!$B$6:$B$3005,$A271,請求記録!$X$6:$X$3005,K$5)=0,"",SUMIFS(請求記録!$AC$6:$AC$3005,請求記録!$B$6:$B$3005,$A271,請求記録!$X$6:$X$3005,K$5))))</f>
        <v/>
      </c>
      <c r="L271" s="19">
        <f>IF($A271="","",IF(COUNTIFS(請求記録!$B$6:$B$3005,$A271,請求記録!$X$6:$X$3005,L$5,請求記録!$AD$6:$AD$3005,"保留中")&gt;0,"保留",IF(COUNTIFS(請求記録!$B$6:$B$3005,$A271,請求記録!$X$6:$X$3005,L$5)=0,"",SUMIFS(請求記録!$AC$6:$AC$3005,請求記録!$B$6:$B$3005,$A271,請求記録!$X$6:$X$3005,L$5))))</f>
        <v/>
      </c>
      <c r="M271" s="19">
        <f>IF($A271="","",IF(COUNTIFS(請求記録!$B$6:$B$3005,$A271,請求記録!$X$6:$X$3005,M$5,請求記録!$AD$6:$AD$3005,"保留中")&gt;0,"保留",IF(COUNTIFS(請求記録!$B$6:$B$3005,$A271,請求記録!$X$6:$X$3005,M$5)=0,"",SUMIFS(請求記録!$AC$6:$AC$3005,請求記録!$B$6:$B$3005,$A271,請求記録!$X$6:$X$3005,M$5))))</f>
        <v/>
      </c>
      <c r="N271" s="19">
        <f>IF($A271="","",IF(COUNTIFS(請求記録!$B$6:$B$3005,$A271,請求記録!$X$6:$X$3005,N$5,請求記録!$AD$6:$AD$3005,"保留中")&gt;0,"保留",IF(COUNTIFS(請求記録!$B$6:$B$3005,$A271,請求記録!$X$6:$X$3005,N$5)=0,"",SUMIFS(請求記録!$AC$6:$AC$3005,請求記録!$B$6:$B$3005,$A271,請求記録!$X$6:$X$3005,N$5))))</f>
        <v/>
      </c>
      <c r="O271" s="19">
        <f>IF($A271="","",IF(COUNTIFS(請求記録!$B$6:$B$3005,$A271,請求記録!$X$6:$X$3005,O$5,請求記録!$AD$6:$AD$3005,"保留中")&gt;0,"保留",IF(COUNTIFS(請求記録!$B$6:$B$3005,$A271,請求記録!$X$6:$X$3005,O$5)=0,"",SUMIFS(請求記録!$AC$6:$AC$3005,請求記録!$B$6:$B$3005,$A271,請求記録!$X$6:$X$3005,O$5))))</f>
        <v/>
      </c>
      <c r="P271" s="19">
        <f>IF($A271="","",IF(COUNTIFS(請求記録!$B$6:$B$3005,$A271,請求記録!$X$6:$X$3005,P$5,請求記録!$AD$6:$AD$3005,"保留中")&gt;0,"保留",IF(COUNTIFS(請求記録!$B$6:$B$3005,$A271,請求記録!$X$6:$X$3005,P$5)=0,"",SUMIFS(請求記録!$AC$6:$AC$3005,請求記録!$B$6:$B$3005,$A271,請求記録!$X$6:$X$3005,P$5))))</f>
        <v/>
      </c>
      <c r="Q271" s="19">
        <f>IF($A271="","",IF(COUNTIFS(請求記録!$B$6:$B$3005,$A271,請求記録!$X$6:$X$3005,Q$5,請求記録!$AD$6:$AD$3005,"保留中")&gt;0,"保留",IF(COUNTIFS(請求記録!$B$6:$B$3005,$A271,請求記録!$X$6:$X$3005,Q$5)=0,"",SUMIFS(請求記録!$AC$6:$AC$3005,請求記録!$B$6:$B$3005,$A271,請求記録!$X$6:$X$3005,Q$5))))</f>
        <v/>
      </c>
      <c r="R271" s="19">
        <f>IF($A271="","",IF(COUNTIFS(請求記録!$B$6:$B$3005,$A271,請求記録!$X$6:$X$3005,R$5,請求記録!$AD$6:$AD$3005,"保留中")&gt;0,"保留",IF(COUNTIFS(請求記録!$B$6:$B$3005,$A271,請求記録!$X$6:$X$3005,R$5)=0,"",SUMIFS(請求記録!$AC$6:$AC$3005,請求記録!$B$6:$B$3005,$A271,請求記録!$X$6:$X$3005,R$5))))</f>
        <v/>
      </c>
      <c r="S271" s="19">
        <f>IF($A271="","",IF(COUNTIFS(請求記録!$B$6:$B$3005,$A271,請求記録!$X$6:$X$3005,S$5,請求記録!$AD$6:$AD$3005,"保留中")&gt;0,"保留",IF(COUNTIFS(請求記録!$B$6:$B$3005,$A271,請求記録!$X$6:$X$3005,S$5)=0,"",SUMIFS(請求記録!$AC$6:$AC$3005,請求記録!$B$6:$B$3005,$A271,請求記録!$X$6:$X$3005,S$5))))</f>
        <v/>
      </c>
      <c r="T271" s="19">
        <f>IF($A271="","",IF(COUNTIFS(請求記録!$B$6:$B$3005,$A271,請求記録!$X$6:$X$3005,T$5,請求記録!$AD$6:$AD$3005,"保留中")&gt;0,"保留",IF(COUNTIFS(請求記録!$B$6:$B$3005,$A271,請求記録!$X$6:$X$3005,T$5)=0,"",SUMIFS(請求記録!$AC$6:$AC$3005,請求記録!$B$6:$B$3005,$A271,請求記録!$X$6:$X$3005,T$5))))</f>
        <v/>
      </c>
      <c r="U271" s="19">
        <f>IF($A271="","",IF(COUNTIFS(請求記録!$B$6:$B$3005,$A271,請求記録!$X$6:$X$3005,U$5,請求記録!$AD$6:$AD$3005,"保留中")&gt;0,"保留",IF(COUNTIFS(請求記録!$B$6:$B$3005,$A271,請求記録!$X$6:$X$3005,U$5)=0,"",SUMIFS(請求記録!$AC$6:$AC$3005,請求記録!$B$6:$B$3005,$A271,請求記録!$X$6:$X$3005,U$5))))</f>
        <v/>
      </c>
      <c r="V271" s="19">
        <f>IF($A271="","",IF(COUNTIFS(請求記録!$B$6:$B$3005,$A271,請求記録!$X$6:$X$3005,V$5,請求記録!$AD$6:$AD$3005,"保留中")&gt;0,"保留",IF(COUNTIFS(請求記録!$B$6:$B$3005,$A271,請求記録!$X$6:$X$3005,V$5)=0,"",SUMIFS(請求記録!$AC$6:$AC$3005,請求記録!$B$6:$B$3005,$A271,請求記録!$X$6:$X$3005,V$5))))</f>
        <v/>
      </c>
      <c r="W271" s="19">
        <f>IF($A271="","",IF(COUNTIFS(請求記録!$B$6:$B$3005,$A271,請求記録!$X$6:$X$3005,W$5,請求記録!$AD$6:$AD$3005,"保留中")&gt;0,"保留",IF(COUNTIFS(請求記録!$B$6:$B$3005,$A271,請求記録!$X$6:$X$3005,W$5)=0,"",SUMIFS(請求記録!$AC$6:$AC$3005,請求記録!$B$6:$B$3005,$A271,請求記録!$X$6:$X$3005,W$5))))</f>
        <v/>
      </c>
      <c r="X271" s="19">
        <f>IF($A271="","",IF(COUNTIFS(請求記録!$B$6:$B$3005,$A271,請求記録!$X$6:$X$3005,X$5,請求記録!$AD$6:$AD$3005,"保留中")&gt;0,"保留",IF(COUNTIFS(請求記録!$B$6:$B$3005,$A271,請求記録!$X$6:$X$3005,X$5)=0,"",SUMIFS(請求記録!$AC$6:$AC$3005,請求記録!$B$6:$B$3005,$A271,請求記録!$X$6:$X$3005,X$5))))</f>
        <v/>
      </c>
      <c r="Y271" s="19">
        <f>IF($A271="","",IF(COUNTIFS(請求記録!$B$6:$B$3005,$A271,請求記録!$X$6:$X$3005,Y$5,請求記録!$AD$6:$AD$3005,"保留中")&gt;0,"保留",IF(COUNTIFS(請求記録!$B$6:$B$3005,$A271,請求記録!$X$6:$X$3005,Y$5)=0,"",SUMIFS(請求記録!$AC$6:$AC$3005,請求記録!$B$6:$B$3005,$A271,請求記録!$X$6:$X$3005,Y$5))))</f>
        <v/>
      </c>
      <c r="Z271" s="19">
        <f>IF($A271="","",IF(COUNTIFS(請求記録!$B$6:$B$3005,$A271,請求記録!$X$6:$X$3005,Z$5,請求記録!$AD$6:$AD$3005,"保留中")&gt;0,"保留",IF(COUNTIFS(請求記録!$B$6:$B$3005,$A271,請求記録!$X$6:$X$3005,Z$5)=0,"",SUMIFS(請求記録!$AC$6:$AC$3005,請求記録!$B$6:$B$3005,$A271,請求記録!$X$6:$X$3005,Z$5))))</f>
        <v/>
      </c>
      <c r="AA271" s="19">
        <f>IF($A271="","",IF(COUNTIFS(請求記録!$B$6:$B$3005,$A271,請求記録!$X$6:$X$3005,AA$5,請求記録!$AD$6:$AD$3005,"保留中")&gt;0,"保留",IF(COUNTIFS(請求記録!$B$6:$B$3005,$A271,請求記録!$X$6:$X$3005,AA$5)=0,"",SUMIFS(請求記録!$AC$6:$AC$3005,請求記録!$B$6:$B$3005,$A271,請求記録!$X$6:$X$3005,AA$5))))</f>
        <v/>
      </c>
      <c r="AB271">
        <f>IF(職員マスタ!P271="保留中",職員マスタ!M271,"")</f>
        <v/>
      </c>
    </row>
    <row r="272">
      <c r="A272">
        <f>IF(職員マスタ!A272="","",職員マスタ!A272)</f>
        <v/>
      </c>
      <c r="B272">
        <f>IF($A272="","",職員マスタ!B272)</f>
        <v/>
      </c>
      <c r="C272">
        <f>IF($A272="","",職員マスタ!C272)</f>
        <v/>
      </c>
      <c r="D272" s="19">
        <f>IF($A272="","",IF(COUNTIFS(請求記録!$B$6:$B$3005,$A272,請求記録!$X$6:$X$3005,D$5,請求記録!$AD$6:$AD$3005,"保留中")&gt;0,"保留",IF(COUNTIFS(請求記録!$B$6:$B$3005,$A272,請求記録!$X$6:$X$3005,D$5)=0,"",SUMIFS(請求記録!$AC$6:$AC$3005,請求記録!$B$6:$B$3005,$A272,請求記録!$X$6:$X$3005,D$5))))</f>
        <v/>
      </c>
      <c r="E272" s="19">
        <f>IF($A272="","",IF(COUNTIFS(請求記録!$B$6:$B$3005,$A272,請求記録!$X$6:$X$3005,E$5,請求記録!$AD$6:$AD$3005,"保留中")&gt;0,"保留",IF(COUNTIFS(請求記録!$B$6:$B$3005,$A272,請求記録!$X$6:$X$3005,E$5)=0,"",SUMIFS(請求記録!$AC$6:$AC$3005,請求記録!$B$6:$B$3005,$A272,請求記録!$X$6:$X$3005,E$5))))</f>
        <v/>
      </c>
      <c r="F272" s="19">
        <f>IF($A272="","",IF(COUNTIFS(請求記録!$B$6:$B$3005,$A272,請求記録!$X$6:$X$3005,F$5,請求記録!$AD$6:$AD$3005,"保留中")&gt;0,"保留",IF(COUNTIFS(請求記録!$B$6:$B$3005,$A272,請求記録!$X$6:$X$3005,F$5)=0,"",SUMIFS(請求記録!$AC$6:$AC$3005,請求記録!$B$6:$B$3005,$A272,請求記録!$X$6:$X$3005,F$5))))</f>
        <v/>
      </c>
      <c r="G272" s="19">
        <f>IF($A272="","",IF(COUNTIFS(請求記録!$B$6:$B$3005,$A272,請求記録!$X$6:$X$3005,G$5,請求記録!$AD$6:$AD$3005,"保留中")&gt;0,"保留",IF(COUNTIFS(請求記録!$B$6:$B$3005,$A272,請求記録!$X$6:$X$3005,G$5)=0,"",SUMIFS(請求記録!$AC$6:$AC$3005,請求記録!$B$6:$B$3005,$A272,請求記録!$X$6:$X$3005,G$5))))</f>
        <v/>
      </c>
      <c r="H272" s="19">
        <f>IF($A272="","",IF(COUNTIFS(請求記録!$B$6:$B$3005,$A272,請求記録!$X$6:$X$3005,H$5,請求記録!$AD$6:$AD$3005,"保留中")&gt;0,"保留",IF(COUNTIFS(請求記録!$B$6:$B$3005,$A272,請求記録!$X$6:$X$3005,H$5)=0,"",SUMIFS(請求記録!$AC$6:$AC$3005,請求記録!$B$6:$B$3005,$A272,請求記録!$X$6:$X$3005,H$5))))</f>
        <v/>
      </c>
      <c r="I272" s="19">
        <f>IF($A272="","",IF(COUNTIFS(請求記録!$B$6:$B$3005,$A272,請求記録!$X$6:$X$3005,I$5,請求記録!$AD$6:$AD$3005,"保留中")&gt;0,"保留",IF(COUNTIFS(請求記録!$B$6:$B$3005,$A272,請求記録!$X$6:$X$3005,I$5)=0,"",SUMIFS(請求記録!$AC$6:$AC$3005,請求記録!$B$6:$B$3005,$A272,請求記録!$X$6:$X$3005,I$5))))</f>
        <v/>
      </c>
      <c r="J272" s="19">
        <f>IF($A272="","",IF(COUNTIFS(請求記録!$B$6:$B$3005,$A272,請求記録!$X$6:$X$3005,J$5,請求記録!$AD$6:$AD$3005,"保留中")&gt;0,"保留",IF(COUNTIFS(請求記録!$B$6:$B$3005,$A272,請求記録!$X$6:$X$3005,J$5)=0,"",SUMIFS(請求記録!$AC$6:$AC$3005,請求記録!$B$6:$B$3005,$A272,請求記録!$X$6:$X$3005,J$5))))</f>
        <v/>
      </c>
      <c r="K272" s="19">
        <f>IF($A272="","",IF(COUNTIFS(請求記録!$B$6:$B$3005,$A272,請求記録!$X$6:$X$3005,K$5,請求記録!$AD$6:$AD$3005,"保留中")&gt;0,"保留",IF(COUNTIFS(請求記録!$B$6:$B$3005,$A272,請求記録!$X$6:$X$3005,K$5)=0,"",SUMIFS(請求記録!$AC$6:$AC$3005,請求記録!$B$6:$B$3005,$A272,請求記録!$X$6:$X$3005,K$5))))</f>
        <v/>
      </c>
      <c r="L272" s="19">
        <f>IF($A272="","",IF(COUNTIFS(請求記録!$B$6:$B$3005,$A272,請求記録!$X$6:$X$3005,L$5,請求記録!$AD$6:$AD$3005,"保留中")&gt;0,"保留",IF(COUNTIFS(請求記録!$B$6:$B$3005,$A272,請求記録!$X$6:$X$3005,L$5)=0,"",SUMIFS(請求記録!$AC$6:$AC$3005,請求記録!$B$6:$B$3005,$A272,請求記録!$X$6:$X$3005,L$5))))</f>
        <v/>
      </c>
      <c r="M272" s="19">
        <f>IF($A272="","",IF(COUNTIFS(請求記録!$B$6:$B$3005,$A272,請求記録!$X$6:$X$3005,M$5,請求記録!$AD$6:$AD$3005,"保留中")&gt;0,"保留",IF(COUNTIFS(請求記録!$B$6:$B$3005,$A272,請求記録!$X$6:$X$3005,M$5)=0,"",SUMIFS(請求記録!$AC$6:$AC$3005,請求記録!$B$6:$B$3005,$A272,請求記録!$X$6:$X$3005,M$5))))</f>
        <v/>
      </c>
      <c r="N272" s="19">
        <f>IF($A272="","",IF(COUNTIFS(請求記録!$B$6:$B$3005,$A272,請求記録!$X$6:$X$3005,N$5,請求記録!$AD$6:$AD$3005,"保留中")&gt;0,"保留",IF(COUNTIFS(請求記録!$B$6:$B$3005,$A272,請求記録!$X$6:$X$3005,N$5)=0,"",SUMIFS(請求記録!$AC$6:$AC$3005,請求記録!$B$6:$B$3005,$A272,請求記録!$X$6:$X$3005,N$5))))</f>
        <v/>
      </c>
      <c r="O272" s="19">
        <f>IF($A272="","",IF(COUNTIFS(請求記録!$B$6:$B$3005,$A272,請求記録!$X$6:$X$3005,O$5,請求記録!$AD$6:$AD$3005,"保留中")&gt;0,"保留",IF(COUNTIFS(請求記録!$B$6:$B$3005,$A272,請求記録!$X$6:$X$3005,O$5)=0,"",SUMIFS(請求記録!$AC$6:$AC$3005,請求記録!$B$6:$B$3005,$A272,請求記録!$X$6:$X$3005,O$5))))</f>
        <v/>
      </c>
      <c r="P272" s="19">
        <f>IF($A272="","",IF(COUNTIFS(請求記録!$B$6:$B$3005,$A272,請求記録!$X$6:$X$3005,P$5,請求記録!$AD$6:$AD$3005,"保留中")&gt;0,"保留",IF(COUNTIFS(請求記録!$B$6:$B$3005,$A272,請求記録!$X$6:$X$3005,P$5)=0,"",SUMIFS(請求記録!$AC$6:$AC$3005,請求記録!$B$6:$B$3005,$A272,請求記録!$X$6:$X$3005,P$5))))</f>
        <v/>
      </c>
      <c r="Q272" s="19">
        <f>IF($A272="","",IF(COUNTIFS(請求記録!$B$6:$B$3005,$A272,請求記録!$X$6:$X$3005,Q$5,請求記録!$AD$6:$AD$3005,"保留中")&gt;0,"保留",IF(COUNTIFS(請求記録!$B$6:$B$3005,$A272,請求記録!$X$6:$X$3005,Q$5)=0,"",SUMIFS(請求記録!$AC$6:$AC$3005,請求記録!$B$6:$B$3005,$A272,請求記録!$X$6:$X$3005,Q$5))))</f>
        <v/>
      </c>
      <c r="R272" s="19">
        <f>IF($A272="","",IF(COUNTIFS(請求記録!$B$6:$B$3005,$A272,請求記録!$X$6:$X$3005,R$5,請求記録!$AD$6:$AD$3005,"保留中")&gt;0,"保留",IF(COUNTIFS(請求記録!$B$6:$B$3005,$A272,請求記録!$X$6:$X$3005,R$5)=0,"",SUMIFS(請求記録!$AC$6:$AC$3005,請求記録!$B$6:$B$3005,$A272,請求記録!$X$6:$X$3005,R$5))))</f>
        <v/>
      </c>
      <c r="S272" s="19">
        <f>IF($A272="","",IF(COUNTIFS(請求記録!$B$6:$B$3005,$A272,請求記録!$X$6:$X$3005,S$5,請求記録!$AD$6:$AD$3005,"保留中")&gt;0,"保留",IF(COUNTIFS(請求記録!$B$6:$B$3005,$A272,請求記録!$X$6:$X$3005,S$5)=0,"",SUMIFS(請求記録!$AC$6:$AC$3005,請求記録!$B$6:$B$3005,$A272,請求記録!$X$6:$X$3005,S$5))))</f>
        <v/>
      </c>
      <c r="T272" s="19">
        <f>IF($A272="","",IF(COUNTIFS(請求記録!$B$6:$B$3005,$A272,請求記録!$X$6:$X$3005,T$5,請求記録!$AD$6:$AD$3005,"保留中")&gt;0,"保留",IF(COUNTIFS(請求記録!$B$6:$B$3005,$A272,請求記録!$X$6:$X$3005,T$5)=0,"",SUMIFS(請求記録!$AC$6:$AC$3005,請求記録!$B$6:$B$3005,$A272,請求記録!$X$6:$X$3005,T$5))))</f>
        <v/>
      </c>
      <c r="U272" s="19">
        <f>IF($A272="","",IF(COUNTIFS(請求記録!$B$6:$B$3005,$A272,請求記録!$X$6:$X$3005,U$5,請求記録!$AD$6:$AD$3005,"保留中")&gt;0,"保留",IF(COUNTIFS(請求記録!$B$6:$B$3005,$A272,請求記録!$X$6:$X$3005,U$5)=0,"",SUMIFS(請求記録!$AC$6:$AC$3005,請求記録!$B$6:$B$3005,$A272,請求記録!$X$6:$X$3005,U$5))))</f>
        <v/>
      </c>
      <c r="V272" s="19">
        <f>IF($A272="","",IF(COUNTIFS(請求記録!$B$6:$B$3005,$A272,請求記録!$X$6:$X$3005,V$5,請求記録!$AD$6:$AD$3005,"保留中")&gt;0,"保留",IF(COUNTIFS(請求記録!$B$6:$B$3005,$A272,請求記録!$X$6:$X$3005,V$5)=0,"",SUMIFS(請求記録!$AC$6:$AC$3005,請求記録!$B$6:$B$3005,$A272,請求記録!$X$6:$X$3005,V$5))))</f>
        <v/>
      </c>
      <c r="W272" s="19">
        <f>IF($A272="","",IF(COUNTIFS(請求記録!$B$6:$B$3005,$A272,請求記録!$X$6:$X$3005,W$5,請求記録!$AD$6:$AD$3005,"保留中")&gt;0,"保留",IF(COUNTIFS(請求記録!$B$6:$B$3005,$A272,請求記録!$X$6:$X$3005,W$5)=0,"",SUMIFS(請求記録!$AC$6:$AC$3005,請求記録!$B$6:$B$3005,$A272,請求記録!$X$6:$X$3005,W$5))))</f>
        <v/>
      </c>
      <c r="X272" s="19">
        <f>IF($A272="","",IF(COUNTIFS(請求記録!$B$6:$B$3005,$A272,請求記録!$X$6:$X$3005,X$5,請求記録!$AD$6:$AD$3005,"保留中")&gt;0,"保留",IF(COUNTIFS(請求記録!$B$6:$B$3005,$A272,請求記録!$X$6:$X$3005,X$5)=0,"",SUMIFS(請求記録!$AC$6:$AC$3005,請求記録!$B$6:$B$3005,$A272,請求記録!$X$6:$X$3005,X$5))))</f>
        <v/>
      </c>
      <c r="Y272" s="19">
        <f>IF($A272="","",IF(COUNTIFS(請求記録!$B$6:$B$3005,$A272,請求記録!$X$6:$X$3005,Y$5,請求記録!$AD$6:$AD$3005,"保留中")&gt;0,"保留",IF(COUNTIFS(請求記録!$B$6:$B$3005,$A272,請求記録!$X$6:$X$3005,Y$5)=0,"",SUMIFS(請求記録!$AC$6:$AC$3005,請求記録!$B$6:$B$3005,$A272,請求記録!$X$6:$X$3005,Y$5))))</f>
        <v/>
      </c>
      <c r="Z272" s="19">
        <f>IF($A272="","",IF(COUNTIFS(請求記録!$B$6:$B$3005,$A272,請求記録!$X$6:$X$3005,Z$5,請求記録!$AD$6:$AD$3005,"保留中")&gt;0,"保留",IF(COUNTIFS(請求記録!$B$6:$B$3005,$A272,請求記録!$X$6:$X$3005,Z$5)=0,"",SUMIFS(請求記録!$AC$6:$AC$3005,請求記録!$B$6:$B$3005,$A272,請求記録!$X$6:$X$3005,Z$5))))</f>
        <v/>
      </c>
      <c r="AA272" s="19">
        <f>IF($A272="","",IF(COUNTIFS(請求記録!$B$6:$B$3005,$A272,請求記録!$X$6:$X$3005,AA$5,請求記録!$AD$6:$AD$3005,"保留中")&gt;0,"保留",IF(COUNTIFS(請求記録!$B$6:$B$3005,$A272,請求記録!$X$6:$X$3005,AA$5)=0,"",SUMIFS(請求記録!$AC$6:$AC$3005,請求記録!$B$6:$B$3005,$A272,請求記録!$X$6:$X$3005,AA$5))))</f>
        <v/>
      </c>
      <c r="AB272">
        <f>IF(職員マスタ!P272="保留中",職員マスタ!M272,"")</f>
        <v/>
      </c>
    </row>
    <row r="273">
      <c r="A273">
        <f>IF(職員マスタ!A273="","",職員マスタ!A273)</f>
        <v/>
      </c>
      <c r="B273">
        <f>IF($A273="","",職員マスタ!B273)</f>
        <v/>
      </c>
      <c r="C273">
        <f>IF($A273="","",職員マスタ!C273)</f>
        <v/>
      </c>
      <c r="D273" s="19">
        <f>IF($A273="","",IF(COUNTIFS(請求記録!$B$6:$B$3005,$A273,請求記録!$X$6:$X$3005,D$5,請求記録!$AD$6:$AD$3005,"保留中")&gt;0,"保留",IF(COUNTIFS(請求記録!$B$6:$B$3005,$A273,請求記録!$X$6:$X$3005,D$5)=0,"",SUMIFS(請求記録!$AC$6:$AC$3005,請求記録!$B$6:$B$3005,$A273,請求記録!$X$6:$X$3005,D$5))))</f>
        <v/>
      </c>
      <c r="E273" s="19">
        <f>IF($A273="","",IF(COUNTIFS(請求記録!$B$6:$B$3005,$A273,請求記録!$X$6:$X$3005,E$5,請求記録!$AD$6:$AD$3005,"保留中")&gt;0,"保留",IF(COUNTIFS(請求記録!$B$6:$B$3005,$A273,請求記録!$X$6:$X$3005,E$5)=0,"",SUMIFS(請求記録!$AC$6:$AC$3005,請求記録!$B$6:$B$3005,$A273,請求記録!$X$6:$X$3005,E$5))))</f>
        <v/>
      </c>
      <c r="F273" s="19">
        <f>IF($A273="","",IF(COUNTIFS(請求記録!$B$6:$B$3005,$A273,請求記録!$X$6:$X$3005,F$5,請求記録!$AD$6:$AD$3005,"保留中")&gt;0,"保留",IF(COUNTIFS(請求記録!$B$6:$B$3005,$A273,請求記録!$X$6:$X$3005,F$5)=0,"",SUMIFS(請求記録!$AC$6:$AC$3005,請求記録!$B$6:$B$3005,$A273,請求記録!$X$6:$X$3005,F$5))))</f>
        <v/>
      </c>
      <c r="G273" s="19">
        <f>IF($A273="","",IF(COUNTIFS(請求記録!$B$6:$B$3005,$A273,請求記録!$X$6:$X$3005,G$5,請求記録!$AD$6:$AD$3005,"保留中")&gt;0,"保留",IF(COUNTIFS(請求記録!$B$6:$B$3005,$A273,請求記録!$X$6:$X$3005,G$5)=0,"",SUMIFS(請求記録!$AC$6:$AC$3005,請求記録!$B$6:$B$3005,$A273,請求記録!$X$6:$X$3005,G$5))))</f>
        <v/>
      </c>
      <c r="H273" s="19">
        <f>IF($A273="","",IF(COUNTIFS(請求記録!$B$6:$B$3005,$A273,請求記録!$X$6:$X$3005,H$5,請求記録!$AD$6:$AD$3005,"保留中")&gt;0,"保留",IF(COUNTIFS(請求記録!$B$6:$B$3005,$A273,請求記録!$X$6:$X$3005,H$5)=0,"",SUMIFS(請求記録!$AC$6:$AC$3005,請求記録!$B$6:$B$3005,$A273,請求記録!$X$6:$X$3005,H$5))))</f>
        <v/>
      </c>
      <c r="I273" s="19">
        <f>IF($A273="","",IF(COUNTIFS(請求記録!$B$6:$B$3005,$A273,請求記録!$X$6:$X$3005,I$5,請求記録!$AD$6:$AD$3005,"保留中")&gt;0,"保留",IF(COUNTIFS(請求記録!$B$6:$B$3005,$A273,請求記録!$X$6:$X$3005,I$5)=0,"",SUMIFS(請求記録!$AC$6:$AC$3005,請求記録!$B$6:$B$3005,$A273,請求記録!$X$6:$X$3005,I$5))))</f>
        <v/>
      </c>
      <c r="J273" s="19">
        <f>IF($A273="","",IF(COUNTIFS(請求記録!$B$6:$B$3005,$A273,請求記録!$X$6:$X$3005,J$5,請求記録!$AD$6:$AD$3005,"保留中")&gt;0,"保留",IF(COUNTIFS(請求記録!$B$6:$B$3005,$A273,請求記録!$X$6:$X$3005,J$5)=0,"",SUMIFS(請求記録!$AC$6:$AC$3005,請求記録!$B$6:$B$3005,$A273,請求記録!$X$6:$X$3005,J$5))))</f>
        <v/>
      </c>
      <c r="K273" s="19">
        <f>IF($A273="","",IF(COUNTIFS(請求記録!$B$6:$B$3005,$A273,請求記録!$X$6:$X$3005,K$5,請求記録!$AD$6:$AD$3005,"保留中")&gt;0,"保留",IF(COUNTIFS(請求記録!$B$6:$B$3005,$A273,請求記録!$X$6:$X$3005,K$5)=0,"",SUMIFS(請求記録!$AC$6:$AC$3005,請求記録!$B$6:$B$3005,$A273,請求記録!$X$6:$X$3005,K$5))))</f>
        <v/>
      </c>
      <c r="L273" s="19">
        <f>IF($A273="","",IF(COUNTIFS(請求記録!$B$6:$B$3005,$A273,請求記録!$X$6:$X$3005,L$5,請求記録!$AD$6:$AD$3005,"保留中")&gt;0,"保留",IF(COUNTIFS(請求記録!$B$6:$B$3005,$A273,請求記録!$X$6:$X$3005,L$5)=0,"",SUMIFS(請求記録!$AC$6:$AC$3005,請求記録!$B$6:$B$3005,$A273,請求記録!$X$6:$X$3005,L$5))))</f>
        <v/>
      </c>
      <c r="M273" s="19">
        <f>IF($A273="","",IF(COUNTIFS(請求記録!$B$6:$B$3005,$A273,請求記録!$X$6:$X$3005,M$5,請求記録!$AD$6:$AD$3005,"保留中")&gt;0,"保留",IF(COUNTIFS(請求記録!$B$6:$B$3005,$A273,請求記録!$X$6:$X$3005,M$5)=0,"",SUMIFS(請求記録!$AC$6:$AC$3005,請求記録!$B$6:$B$3005,$A273,請求記録!$X$6:$X$3005,M$5))))</f>
        <v/>
      </c>
      <c r="N273" s="19">
        <f>IF($A273="","",IF(COUNTIFS(請求記録!$B$6:$B$3005,$A273,請求記録!$X$6:$X$3005,N$5,請求記録!$AD$6:$AD$3005,"保留中")&gt;0,"保留",IF(COUNTIFS(請求記録!$B$6:$B$3005,$A273,請求記録!$X$6:$X$3005,N$5)=0,"",SUMIFS(請求記録!$AC$6:$AC$3005,請求記録!$B$6:$B$3005,$A273,請求記録!$X$6:$X$3005,N$5))))</f>
        <v/>
      </c>
      <c r="O273" s="19">
        <f>IF($A273="","",IF(COUNTIFS(請求記録!$B$6:$B$3005,$A273,請求記録!$X$6:$X$3005,O$5,請求記録!$AD$6:$AD$3005,"保留中")&gt;0,"保留",IF(COUNTIFS(請求記録!$B$6:$B$3005,$A273,請求記録!$X$6:$X$3005,O$5)=0,"",SUMIFS(請求記録!$AC$6:$AC$3005,請求記録!$B$6:$B$3005,$A273,請求記録!$X$6:$X$3005,O$5))))</f>
        <v/>
      </c>
      <c r="P273" s="19">
        <f>IF($A273="","",IF(COUNTIFS(請求記録!$B$6:$B$3005,$A273,請求記録!$X$6:$X$3005,P$5,請求記録!$AD$6:$AD$3005,"保留中")&gt;0,"保留",IF(COUNTIFS(請求記録!$B$6:$B$3005,$A273,請求記録!$X$6:$X$3005,P$5)=0,"",SUMIFS(請求記録!$AC$6:$AC$3005,請求記録!$B$6:$B$3005,$A273,請求記録!$X$6:$X$3005,P$5))))</f>
        <v/>
      </c>
      <c r="Q273" s="19">
        <f>IF($A273="","",IF(COUNTIFS(請求記録!$B$6:$B$3005,$A273,請求記録!$X$6:$X$3005,Q$5,請求記録!$AD$6:$AD$3005,"保留中")&gt;0,"保留",IF(COUNTIFS(請求記録!$B$6:$B$3005,$A273,請求記録!$X$6:$X$3005,Q$5)=0,"",SUMIFS(請求記録!$AC$6:$AC$3005,請求記録!$B$6:$B$3005,$A273,請求記録!$X$6:$X$3005,Q$5))))</f>
        <v/>
      </c>
      <c r="R273" s="19">
        <f>IF($A273="","",IF(COUNTIFS(請求記録!$B$6:$B$3005,$A273,請求記録!$X$6:$X$3005,R$5,請求記録!$AD$6:$AD$3005,"保留中")&gt;0,"保留",IF(COUNTIFS(請求記録!$B$6:$B$3005,$A273,請求記録!$X$6:$X$3005,R$5)=0,"",SUMIFS(請求記録!$AC$6:$AC$3005,請求記録!$B$6:$B$3005,$A273,請求記録!$X$6:$X$3005,R$5))))</f>
        <v/>
      </c>
      <c r="S273" s="19">
        <f>IF($A273="","",IF(COUNTIFS(請求記録!$B$6:$B$3005,$A273,請求記録!$X$6:$X$3005,S$5,請求記録!$AD$6:$AD$3005,"保留中")&gt;0,"保留",IF(COUNTIFS(請求記録!$B$6:$B$3005,$A273,請求記録!$X$6:$X$3005,S$5)=0,"",SUMIFS(請求記録!$AC$6:$AC$3005,請求記録!$B$6:$B$3005,$A273,請求記録!$X$6:$X$3005,S$5))))</f>
        <v/>
      </c>
      <c r="T273" s="19">
        <f>IF($A273="","",IF(COUNTIFS(請求記録!$B$6:$B$3005,$A273,請求記録!$X$6:$X$3005,T$5,請求記録!$AD$6:$AD$3005,"保留中")&gt;0,"保留",IF(COUNTIFS(請求記録!$B$6:$B$3005,$A273,請求記録!$X$6:$X$3005,T$5)=0,"",SUMIFS(請求記録!$AC$6:$AC$3005,請求記録!$B$6:$B$3005,$A273,請求記録!$X$6:$X$3005,T$5))))</f>
        <v/>
      </c>
      <c r="U273" s="19">
        <f>IF($A273="","",IF(COUNTIFS(請求記録!$B$6:$B$3005,$A273,請求記録!$X$6:$X$3005,U$5,請求記録!$AD$6:$AD$3005,"保留中")&gt;0,"保留",IF(COUNTIFS(請求記録!$B$6:$B$3005,$A273,請求記録!$X$6:$X$3005,U$5)=0,"",SUMIFS(請求記録!$AC$6:$AC$3005,請求記録!$B$6:$B$3005,$A273,請求記録!$X$6:$X$3005,U$5))))</f>
        <v/>
      </c>
      <c r="V273" s="19">
        <f>IF($A273="","",IF(COUNTIFS(請求記録!$B$6:$B$3005,$A273,請求記録!$X$6:$X$3005,V$5,請求記録!$AD$6:$AD$3005,"保留中")&gt;0,"保留",IF(COUNTIFS(請求記録!$B$6:$B$3005,$A273,請求記録!$X$6:$X$3005,V$5)=0,"",SUMIFS(請求記録!$AC$6:$AC$3005,請求記録!$B$6:$B$3005,$A273,請求記録!$X$6:$X$3005,V$5))))</f>
        <v/>
      </c>
      <c r="W273" s="19">
        <f>IF($A273="","",IF(COUNTIFS(請求記録!$B$6:$B$3005,$A273,請求記録!$X$6:$X$3005,W$5,請求記録!$AD$6:$AD$3005,"保留中")&gt;0,"保留",IF(COUNTIFS(請求記録!$B$6:$B$3005,$A273,請求記録!$X$6:$X$3005,W$5)=0,"",SUMIFS(請求記録!$AC$6:$AC$3005,請求記録!$B$6:$B$3005,$A273,請求記録!$X$6:$X$3005,W$5))))</f>
        <v/>
      </c>
      <c r="X273" s="19">
        <f>IF($A273="","",IF(COUNTIFS(請求記録!$B$6:$B$3005,$A273,請求記録!$X$6:$X$3005,X$5,請求記録!$AD$6:$AD$3005,"保留中")&gt;0,"保留",IF(COUNTIFS(請求記録!$B$6:$B$3005,$A273,請求記録!$X$6:$X$3005,X$5)=0,"",SUMIFS(請求記録!$AC$6:$AC$3005,請求記録!$B$6:$B$3005,$A273,請求記録!$X$6:$X$3005,X$5))))</f>
        <v/>
      </c>
      <c r="Y273" s="19">
        <f>IF($A273="","",IF(COUNTIFS(請求記録!$B$6:$B$3005,$A273,請求記録!$X$6:$X$3005,Y$5,請求記録!$AD$6:$AD$3005,"保留中")&gt;0,"保留",IF(COUNTIFS(請求記録!$B$6:$B$3005,$A273,請求記録!$X$6:$X$3005,Y$5)=0,"",SUMIFS(請求記録!$AC$6:$AC$3005,請求記録!$B$6:$B$3005,$A273,請求記録!$X$6:$X$3005,Y$5))))</f>
        <v/>
      </c>
      <c r="Z273" s="19">
        <f>IF($A273="","",IF(COUNTIFS(請求記録!$B$6:$B$3005,$A273,請求記録!$X$6:$X$3005,Z$5,請求記録!$AD$6:$AD$3005,"保留中")&gt;0,"保留",IF(COUNTIFS(請求記録!$B$6:$B$3005,$A273,請求記録!$X$6:$X$3005,Z$5)=0,"",SUMIFS(請求記録!$AC$6:$AC$3005,請求記録!$B$6:$B$3005,$A273,請求記録!$X$6:$X$3005,Z$5))))</f>
        <v/>
      </c>
      <c r="AA273" s="19">
        <f>IF($A273="","",IF(COUNTIFS(請求記録!$B$6:$B$3005,$A273,請求記録!$X$6:$X$3005,AA$5,請求記録!$AD$6:$AD$3005,"保留中")&gt;0,"保留",IF(COUNTIFS(請求記録!$B$6:$B$3005,$A273,請求記録!$X$6:$X$3005,AA$5)=0,"",SUMIFS(請求記録!$AC$6:$AC$3005,請求記録!$B$6:$B$3005,$A273,請求記録!$X$6:$X$3005,AA$5))))</f>
        <v/>
      </c>
      <c r="AB273">
        <f>IF(職員マスタ!P273="保留中",職員マスタ!M273,"")</f>
        <v/>
      </c>
    </row>
    <row r="274">
      <c r="A274">
        <f>IF(職員マスタ!A274="","",職員マスタ!A274)</f>
        <v/>
      </c>
      <c r="B274">
        <f>IF($A274="","",職員マスタ!B274)</f>
        <v/>
      </c>
      <c r="C274">
        <f>IF($A274="","",職員マスタ!C274)</f>
        <v/>
      </c>
      <c r="D274" s="19">
        <f>IF($A274="","",IF(COUNTIFS(請求記録!$B$6:$B$3005,$A274,請求記録!$X$6:$X$3005,D$5,請求記録!$AD$6:$AD$3005,"保留中")&gt;0,"保留",IF(COUNTIFS(請求記録!$B$6:$B$3005,$A274,請求記録!$X$6:$X$3005,D$5)=0,"",SUMIFS(請求記録!$AC$6:$AC$3005,請求記録!$B$6:$B$3005,$A274,請求記録!$X$6:$X$3005,D$5))))</f>
        <v/>
      </c>
      <c r="E274" s="19">
        <f>IF($A274="","",IF(COUNTIFS(請求記録!$B$6:$B$3005,$A274,請求記録!$X$6:$X$3005,E$5,請求記録!$AD$6:$AD$3005,"保留中")&gt;0,"保留",IF(COUNTIFS(請求記録!$B$6:$B$3005,$A274,請求記録!$X$6:$X$3005,E$5)=0,"",SUMIFS(請求記録!$AC$6:$AC$3005,請求記録!$B$6:$B$3005,$A274,請求記録!$X$6:$X$3005,E$5))))</f>
        <v/>
      </c>
      <c r="F274" s="19">
        <f>IF($A274="","",IF(COUNTIFS(請求記録!$B$6:$B$3005,$A274,請求記録!$X$6:$X$3005,F$5,請求記録!$AD$6:$AD$3005,"保留中")&gt;0,"保留",IF(COUNTIFS(請求記録!$B$6:$B$3005,$A274,請求記録!$X$6:$X$3005,F$5)=0,"",SUMIFS(請求記録!$AC$6:$AC$3005,請求記録!$B$6:$B$3005,$A274,請求記録!$X$6:$X$3005,F$5))))</f>
        <v/>
      </c>
      <c r="G274" s="19">
        <f>IF($A274="","",IF(COUNTIFS(請求記録!$B$6:$B$3005,$A274,請求記録!$X$6:$X$3005,G$5,請求記録!$AD$6:$AD$3005,"保留中")&gt;0,"保留",IF(COUNTIFS(請求記録!$B$6:$B$3005,$A274,請求記録!$X$6:$X$3005,G$5)=0,"",SUMIFS(請求記録!$AC$6:$AC$3005,請求記録!$B$6:$B$3005,$A274,請求記録!$X$6:$X$3005,G$5))))</f>
        <v/>
      </c>
      <c r="H274" s="19">
        <f>IF($A274="","",IF(COUNTIFS(請求記録!$B$6:$B$3005,$A274,請求記録!$X$6:$X$3005,H$5,請求記録!$AD$6:$AD$3005,"保留中")&gt;0,"保留",IF(COUNTIFS(請求記録!$B$6:$B$3005,$A274,請求記録!$X$6:$X$3005,H$5)=0,"",SUMIFS(請求記録!$AC$6:$AC$3005,請求記録!$B$6:$B$3005,$A274,請求記録!$X$6:$X$3005,H$5))))</f>
        <v/>
      </c>
      <c r="I274" s="19">
        <f>IF($A274="","",IF(COUNTIFS(請求記録!$B$6:$B$3005,$A274,請求記録!$X$6:$X$3005,I$5,請求記録!$AD$6:$AD$3005,"保留中")&gt;0,"保留",IF(COUNTIFS(請求記録!$B$6:$B$3005,$A274,請求記録!$X$6:$X$3005,I$5)=0,"",SUMIFS(請求記録!$AC$6:$AC$3005,請求記録!$B$6:$B$3005,$A274,請求記録!$X$6:$X$3005,I$5))))</f>
        <v/>
      </c>
      <c r="J274" s="19">
        <f>IF($A274="","",IF(COUNTIFS(請求記録!$B$6:$B$3005,$A274,請求記録!$X$6:$X$3005,J$5,請求記録!$AD$6:$AD$3005,"保留中")&gt;0,"保留",IF(COUNTIFS(請求記録!$B$6:$B$3005,$A274,請求記録!$X$6:$X$3005,J$5)=0,"",SUMIFS(請求記録!$AC$6:$AC$3005,請求記録!$B$6:$B$3005,$A274,請求記録!$X$6:$X$3005,J$5))))</f>
        <v/>
      </c>
      <c r="K274" s="19">
        <f>IF($A274="","",IF(COUNTIFS(請求記録!$B$6:$B$3005,$A274,請求記録!$X$6:$X$3005,K$5,請求記録!$AD$6:$AD$3005,"保留中")&gt;0,"保留",IF(COUNTIFS(請求記録!$B$6:$B$3005,$A274,請求記録!$X$6:$X$3005,K$5)=0,"",SUMIFS(請求記録!$AC$6:$AC$3005,請求記録!$B$6:$B$3005,$A274,請求記録!$X$6:$X$3005,K$5))))</f>
        <v/>
      </c>
      <c r="L274" s="19">
        <f>IF($A274="","",IF(COUNTIFS(請求記録!$B$6:$B$3005,$A274,請求記録!$X$6:$X$3005,L$5,請求記録!$AD$6:$AD$3005,"保留中")&gt;0,"保留",IF(COUNTIFS(請求記録!$B$6:$B$3005,$A274,請求記録!$X$6:$X$3005,L$5)=0,"",SUMIFS(請求記録!$AC$6:$AC$3005,請求記録!$B$6:$B$3005,$A274,請求記録!$X$6:$X$3005,L$5))))</f>
        <v/>
      </c>
      <c r="M274" s="19">
        <f>IF($A274="","",IF(COUNTIFS(請求記録!$B$6:$B$3005,$A274,請求記録!$X$6:$X$3005,M$5,請求記録!$AD$6:$AD$3005,"保留中")&gt;0,"保留",IF(COUNTIFS(請求記録!$B$6:$B$3005,$A274,請求記録!$X$6:$X$3005,M$5)=0,"",SUMIFS(請求記録!$AC$6:$AC$3005,請求記録!$B$6:$B$3005,$A274,請求記録!$X$6:$X$3005,M$5))))</f>
        <v/>
      </c>
      <c r="N274" s="19">
        <f>IF($A274="","",IF(COUNTIFS(請求記録!$B$6:$B$3005,$A274,請求記録!$X$6:$X$3005,N$5,請求記録!$AD$6:$AD$3005,"保留中")&gt;0,"保留",IF(COUNTIFS(請求記録!$B$6:$B$3005,$A274,請求記録!$X$6:$X$3005,N$5)=0,"",SUMIFS(請求記録!$AC$6:$AC$3005,請求記録!$B$6:$B$3005,$A274,請求記録!$X$6:$X$3005,N$5))))</f>
        <v/>
      </c>
      <c r="O274" s="19">
        <f>IF($A274="","",IF(COUNTIFS(請求記録!$B$6:$B$3005,$A274,請求記録!$X$6:$X$3005,O$5,請求記録!$AD$6:$AD$3005,"保留中")&gt;0,"保留",IF(COUNTIFS(請求記録!$B$6:$B$3005,$A274,請求記録!$X$6:$X$3005,O$5)=0,"",SUMIFS(請求記録!$AC$6:$AC$3005,請求記録!$B$6:$B$3005,$A274,請求記録!$X$6:$X$3005,O$5))))</f>
        <v/>
      </c>
      <c r="P274" s="19">
        <f>IF($A274="","",IF(COUNTIFS(請求記録!$B$6:$B$3005,$A274,請求記録!$X$6:$X$3005,P$5,請求記録!$AD$6:$AD$3005,"保留中")&gt;0,"保留",IF(COUNTIFS(請求記録!$B$6:$B$3005,$A274,請求記録!$X$6:$X$3005,P$5)=0,"",SUMIFS(請求記録!$AC$6:$AC$3005,請求記録!$B$6:$B$3005,$A274,請求記録!$X$6:$X$3005,P$5))))</f>
        <v/>
      </c>
      <c r="Q274" s="19">
        <f>IF($A274="","",IF(COUNTIFS(請求記録!$B$6:$B$3005,$A274,請求記録!$X$6:$X$3005,Q$5,請求記録!$AD$6:$AD$3005,"保留中")&gt;0,"保留",IF(COUNTIFS(請求記録!$B$6:$B$3005,$A274,請求記録!$X$6:$X$3005,Q$5)=0,"",SUMIFS(請求記録!$AC$6:$AC$3005,請求記録!$B$6:$B$3005,$A274,請求記録!$X$6:$X$3005,Q$5))))</f>
        <v/>
      </c>
      <c r="R274" s="19">
        <f>IF($A274="","",IF(COUNTIFS(請求記録!$B$6:$B$3005,$A274,請求記録!$X$6:$X$3005,R$5,請求記録!$AD$6:$AD$3005,"保留中")&gt;0,"保留",IF(COUNTIFS(請求記録!$B$6:$B$3005,$A274,請求記録!$X$6:$X$3005,R$5)=0,"",SUMIFS(請求記録!$AC$6:$AC$3005,請求記録!$B$6:$B$3005,$A274,請求記録!$X$6:$X$3005,R$5))))</f>
        <v/>
      </c>
      <c r="S274" s="19">
        <f>IF($A274="","",IF(COUNTIFS(請求記録!$B$6:$B$3005,$A274,請求記録!$X$6:$X$3005,S$5,請求記録!$AD$6:$AD$3005,"保留中")&gt;0,"保留",IF(COUNTIFS(請求記録!$B$6:$B$3005,$A274,請求記録!$X$6:$X$3005,S$5)=0,"",SUMIFS(請求記録!$AC$6:$AC$3005,請求記録!$B$6:$B$3005,$A274,請求記録!$X$6:$X$3005,S$5))))</f>
        <v/>
      </c>
      <c r="T274" s="19">
        <f>IF($A274="","",IF(COUNTIFS(請求記録!$B$6:$B$3005,$A274,請求記録!$X$6:$X$3005,T$5,請求記録!$AD$6:$AD$3005,"保留中")&gt;0,"保留",IF(COUNTIFS(請求記録!$B$6:$B$3005,$A274,請求記録!$X$6:$X$3005,T$5)=0,"",SUMIFS(請求記録!$AC$6:$AC$3005,請求記録!$B$6:$B$3005,$A274,請求記録!$X$6:$X$3005,T$5))))</f>
        <v/>
      </c>
      <c r="U274" s="19">
        <f>IF($A274="","",IF(COUNTIFS(請求記録!$B$6:$B$3005,$A274,請求記録!$X$6:$X$3005,U$5,請求記録!$AD$6:$AD$3005,"保留中")&gt;0,"保留",IF(COUNTIFS(請求記録!$B$6:$B$3005,$A274,請求記録!$X$6:$X$3005,U$5)=0,"",SUMIFS(請求記録!$AC$6:$AC$3005,請求記録!$B$6:$B$3005,$A274,請求記録!$X$6:$X$3005,U$5))))</f>
        <v/>
      </c>
      <c r="V274" s="19">
        <f>IF($A274="","",IF(COUNTIFS(請求記録!$B$6:$B$3005,$A274,請求記録!$X$6:$X$3005,V$5,請求記録!$AD$6:$AD$3005,"保留中")&gt;0,"保留",IF(COUNTIFS(請求記録!$B$6:$B$3005,$A274,請求記録!$X$6:$X$3005,V$5)=0,"",SUMIFS(請求記録!$AC$6:$AC$3005,請求記録!$B$6:$B$3005,$A274,請求記録!$X$6:$X$3005,V$5))))</f>
        <v/>
      </c>
      <c r="W274" s="19">
        <f>IF($A274="","",IF(COUNTIFS(請求記録!$B$6:$B$3005,$A274,請求記録!$X$6:$X$3005,W$5,請求記録!$AD$6:$AD$3005,"保留中")&gt;0,"保留",IF(COUNTIFS(請求記録!$B$6:$B$3005,$A274,請求記録!$X$6:$X$3005,W$5)=0,"",SUMIFS(請求記録!$AC$6:$AC$3005,請求記録!$B$6:$B$3005,$A274,請求記録!$X$6:$X$3005,W$5))))</f>
        <v/>
      </c>
      <c r="X274" s="19">
        <f>IF($A274="","",IF(COUNTIFS(請求記録!$B$6:$B$3005,$A274,請求記録!$X$6:$X$3005,X$5,請求記録!$AD$6:$AD$3005,"保留中")&gt;0,"保留",IF(COUNTIFS(請求記録!$B$6:$B$3005,$A274,請求記録!$X$6:$X$3005,X$5)=0,"",SUMIFS(請求記録!$AC$6:$AC$3005,請求記録!$B$6:$B$3005,$A274,請求記録!$X$6:$X$3005,X$5))))</f>
        <v/>
      </c>
      <c r="Y274" s="19">
        <f>IF($A274="","",IF(COUNTIFS(請求記録!$B$6:$B$3005,$A274,請求記録!$X$6:$X$3005,Y$5,請求記録!$AD$6:$AD$3005,"保留中")&gt;0,"保留",IF(COUNTIFS(請求記録!$B$6:$B$3005,$A274,請求記録!$X$6:$X$3005,Y$5)=0,"",SUMIFS(請求記録!$AC$6:$AC$3005,請求記録!$B$6:$B$3005,$A274,請求記録!$X$6:$X$3005,Y$5))))</f>
        <v/>
      </c>
      <c r="Z274" s="19">
        <f>IF($A274="","",IF(COUNTIFS(請求記録!$B$6:$B$3005,$A274,請求記録!$X$6:$X$3005,Z$5,請求記録!$AD$6:$AD$3005,"保留中")&gt;0,"保留",IF(COUNTIFS(請求記録!$B$6:$B$3005,$A274,請求記録!$X$6:$X$3005,Z$5)=0,"",SUMIFS(請求記録!$AC$6:$AC$3005,請求記録!$B$6:$B$3005,$A274,請求記録!$X$6:$X$3005,Z$5))))</f>
        <v/>
      </c>
      <c r="AA274" s="19">
        <f>IF($A274="","",IF(COUNTIFS(請求記録!$B$6:$B$3005,$A274,請求記録!$X$6:$X$3005,AA$5,請求記録!$AD$6:$AD$3005,"保留中")&gt;0,"保留",IF(COUNTIFS(請求記録!$B$6:$B$3005,$A274,請求記録!$X$6:$X$3005,AA$5)=0,"",SUMIFS(請求記録!$AC$6:$AC$3005,請求記録!$B$6:$B$3005,$A274,請求記録!$X$6:$X$3005,AA$5))))</f>
        <v/>
      </c>
      <c r="AB274">
        <f>IF(職員マスタ!P274="保留中",職員マスタ!M274,"")</f>
        <v/>
      </c>
    </row>
    <row r="275">
      <c r="A275">
        <f>IF(職員マスタ!A275="","",職員マスタ!A275)</f>
        <v/>
      </c>
      <c r="B275">
        <f>IF($A275="","",職員マスタ!B275)</f>
        <v/>
      </c>
      <c r="C275">
        <f>IF($A275="","",職員マスタ!C275)</f>
        <v/>
      </c>
      <c r="D275" s="19">
        <f>IF($A275="","",IF(COUNTIFS(請求記録!$B$6:$B$3005,$A275,請求記録!$X$6:$X$3005,D$5,請求記録!$AD$6:$AD$3005,"保留中")&gt;0,"保留",IF(COUNTIFS(請求記録!$B$6:$B$3005,$A275,請求記録!$X$6:$X$3005,D$5)=0,"",SUMIFS(請求記録!$AC$6:$AC$3005,請求記録!$B$6:$B$3005,$A275,請求記録!$X$6:$X$3005,D$5))))</f>
        <v/>
      </c>
      <c r="E275" s="19">
        <f>IF($A275="","",IF(COUNTIFS(請求記録!$B$6:$B$3005,$A275,請求記録!$X$6:$X$3005,E$5,請求記録!$AD$6:$AD$3005,"保留中")&gt;0,"保留",IF(COUNTIFS(請求記録!$B$6:$B$3005,$A275,請求記録!$X$6:$X$3005,E$5)=0,"",SUMIFS(請求記録!$AC$6:$AC$3005,請求記録!$B$6:$B$3005,$A275,請求記録!$X$6:$X$3005,E$5))))</f>
        <v/>
      </c>
      <c r="F275" s="19">
        <f>IF($A275="","",IF(COUNTIFS(請求記録!$B$6:$B$3005,$A275,請求記録!$X$6:$X$3005,F$5,請求記録!$AD$6:$AD$3005,"保留中")&gt;0,"保留",IF(COUNTIFS(請求記録!$B$6:$B$3005,$A275,請求記録!$X$6:$X$3005,F$5)=0,"",SUMIFS(請求記録!$AC$6:$AC$3005,請求記録!$B$6:$B$3005,$A275,請求記録!$X$6:$X$3005,F$5))))</f>
        <v/>
      </c>
      <c r="G275" s="19">
        <f>IF($A275="","",IF(COUNTIFS(請求記録!$B$6:$B$3005,$A275,請求記録!$X$6:$X$3005,G$5,請求記録!$AD$6:$AD$3005,"保留中")&gt;0,"保留",IF(COUNTIFS(請求記録!$B$6:$B$3005,$A275,請求記録!$X$6:$X$3005,G$5)=0,"",SUMIFS(請求記録!$AC$6:$AC$3005,請求記録!$B$6:$B$3005,$A275,請求記録!$X$6:$X$3005,G$5))))</f>
        <v/>
      </c>
      <c r="H275" s="19">
        <f>IF($A275="","",IF(COUNTIFS(請求記録!$B$6:$B$3005,$A275,請求記録!$X$6:$X$3005,H$5,請求記録!$AD$6:$AD$3005,"保留中")&gt;0,"保留",IF(COUNTIFS(請求記録!$B$6:$B$3005,$A275,請求記録!$X$6:$X$3005,H$5)=0,"",SUMIFS(請求記録!$AC$6:$AC$3005,請求記録!$B$6:$B$3005,$A275,請求記録!$X$6:$X$3005,H$5))))</f>
        <v/>
      </c>
      <c r="I275" s="19">
        <f>IF($A275="","",IF(COUNTIFS(請求記録!$B$6:$B$3005,$A275,請求記録!$X$6:$X$3005,I$5,請求記録!$AD$6:$AD$3005,"保留中")&gt;0,"保留",IF(COUNTIFS(請求記録!$B$6:$B$3005,$A275,請求記録!$X$6:$X$3005,I$5)=0,"",SUMIFS(請求記録!$AC$6:$AC$3005,請求記録!$B$6:$B$3005,$A275,請求記録!$X$6:$X$3005,I$5))))</f>
        <v/>
      </c>
      <c r="J275" s="19">
        <f>IF($A275="","",IF(COUNTIFS(請求記録!$B$6:$B$3005,$A275,請求記録!$X$6:$X$3005,J$5,請求記録!$AD$6:$AD$3005,"保留中")&gt;0,"保留",IF(COUNTIFS(請求記録!$B$6:$B$3005,$A275,請求記録!$X$6:$X$3005,J$5)=0,"",SUMIFS(請求記録!$AC$6:$AC$3005,請求記録!$B$6:$B$3005,$A275,請求記録!$X$6:$X$3005,J$5))))</f>
        <v/>
      </c>
      <c r="K275" s="19">
        <f>IF($A275="","",IF(COUNTIFS(請求記録!$B$6:$B$3005,$A275,請求記録!$X$6:$X$3005,K$5,請求記録!$AD$6:$AD$3005,"保留中")&gt;0,"保留",IF(COUNTIFS(請求記録!$B$6:$B$3005,$A275,請求記録!$X$6:$X$3005,K$5)=0,"",SUMIFS(請求記録!$AC$6:$AC$3005,請求記録!$B$6:$B$3005,$A275,請求記録!$X$6:$X$3005,K$5))))</f>
        <v/>
      </c>
      <c r="L275" s="19">
        <f>IF($A275="","",IF(COUNTIFS(請求記録!$B$6:$B$3005,$A275,請求記録!$X$6:$X$3005,L$5,請求記録!$AD$6:$AD$3005,"保留中")&gt;0,"保留",IF(COUNTIFS(請求記録!$B$6:$B$3005,$A275,請求記録!$X$6:$X$3005,L$5)=0,"",SUMIFS(請求記録!$AC$6:$AC$3005,請求記録!$B$6:$B$3005,$A275,請求記録!$X$6:$X$3005,L$5))))</f>
        <v/>
      </c>
      <c r="M275" s="19">
        <f>IF($A275="","",IF(COUNTIFS(請求記録!$B$6:$B$3005,$A275,請求記録!$X$6:$X$3005,M$5,請求記録!$AD$6:$AD$3005,"保留中")&gt;0,"保留",IF(COUNTIFS(請求記録!$B$6:$B$3005,$A275,請求記録!$X$6:$X$3005,M$5)=0,"",SUMIFS(請求記録!$AC$6:$AC$3005,請求記録!$B$6:$B$3005,$A275,請求記録!$X$6:$X$3005,M$5))))</f>
        <v/>
      </c>
      <c r="N275" s="19">
        <f>IF($A275="","",IF(COUNTIFS(請求記録!$B$6:$B$3005,$A275,請求記録!$X$6:$X$3005,N$5,請求記録!$AD$6:$AD$3005,"保留中")&gt;0,"保留",IF(COUNTIFS(請求記録!$B$6:$B$3005,$A275,請求記録!$X$6:$X$3005,N$5)=0,"",SUMIFS(請求記録!$AC$6:$AC$3005,請求記録!$B$6:$B$3005,$A275,請求記録!$X$6:$X$3005,N$5))))</f>
        <v/>
      </c>
      <c r="O275" s="19">
        <f>IF($A275="","",IF(COUNTIFS(請求記録!$B$6:$B$3005,$A275,請求記録!$X$6:$X$3005,O$5,請求記録!$AD$6:$AD$3005,"保留中")&gt;0,"保留",IF(COUNTIFS(請求記録!$B$6:$B$3005,$A275,請求記録!$X$6:$X$3005,O$5)=0,"",SUMIFS(請求記録!$AC$6:$AC$3005,請求記録!$B$6:$B$3005,$A275,請求記録!$X$6:$X$3005,O$5))))</f>
        <v/>
      </c>
      <c r="P275" s="19">
        <f>IF($A275="","",IF(COUNTIFS(請求記録!$B$6:$B$3005,$A275,請求記録!$X$6:$X$3005,P$5,請求記録!$AD$6:$AD$3005,"保留中")&gt;0,"保留",IF(COUNTIFS(請求記録!$B$6:$B$3005,$A275,請求記録!$X$6:$X$3005,P$5)=0,"",SUMIFS(請求記録!$AC$6:$AC$3005,請求記録!$B$6:$B$3005,$A275,請求記録!$X$6:$X$3005,P$5))))</f>
        <v/>
      </c>
      <c r="Q275" s="19">
        <f>IF($A275="","",IF(COUNTIFS(請求記録!$B$6:$B$3005,$A275,請求記録!$X$6:$X$3005,Q$5,請求記録!$AD$6:$AD$3005,"保留中")&gt;0,"保留",IF(COUNTIFS(請求記録!$B$6:$B$3005,$A275,請求記録!$X$6:$X$3005,Q$5)=0,"",SUMIFS(請求記録!$AC$6:$AC$3005,請求記録!$B$6:$B$3005,$A275,請求記録!$X$6:$X$3005,Q$5))))</f>
        <v/>
      </c>
      <c r="R275" s="19">
        <f>IF($A275="","",IF(COUNTIFS(請求記録!$B$6:$B$3005,$A275,請求記録!$X$6:$X$3005,R$5,請求記録!$AD$6:$AD$3005,"保留中")&gt;0,"保留",IF(COUNTIFS(請求記録!$B$6:$B$3005,$A275,請求記録!$X$6:$X$3005,R$5)=0,"",SUMIFS(請求記録!$AC$6:$AC$3005,請求記録!$B$6:$B$3005,$A275,請求記録!$X$6:$X$3005,R$5))))</f>
        <v/>
      </c>
      <c r="S275" s="19">
        <f>IF($A275="","",IF(COUNTIFS(請求記録!$B$6:$B$3005,$A275,請求記録!$X$6:$X$3005,S$5,請求記録!$AD$6:$AD$3005,"保留中")&gt;0,"保留",IF(COUNTIFS(請求記録!$B$6:$B$3005,$A275,請求記録!$X$6:$X$3005,S$5)=0,"",SUMIFS(請求記録!$AC$6:$AC$3005,請求記録!$B$6:$B$3005,$A275,請求記録!$X$6:$X$3005,S$5))))</f>
        <v/>
      </c>
      <c r="T275" s="19">
        <f>IF($A275="","",IF(COUNTIFS(請求記録!$B$6:$B$3005,$A275,請求記録!$X$6:$X$3005,T$5,請求記録!$AD$6:$AD$3005,"保留中")&gt;0,"保留",IF(COUNTIFS(請求記録!$B$6:$B$3005,$A275,請求記録!$X$6:$X$3005,T$5)=0,"",SUMIFS(請求記録!$AC$6:$AC$3005,請求記録!$B$6:$B$3005,$A275,請求記録!$X$6:$X$3005,T$5))))</f>
        <v/>
      </c>
      <c r="U275" s="19">
        <f>IF($A275="","",IF(COUNTIFS(請求記録!$B$6:$B$3005,$A275,請求記録!$X$6:$X$3005,U$5,請求記録!$AD$6:$AD$3005,"保留中")&gt;0,"保留",IF(COUNTIFS(請求記録!$B$6:$B$3005,$A275,請求記録!$X$6:$X$3005,U$5)=0,"",SUMIFS(請求記録!$AC$6:$AC$3005,請求記録!$B$6:$B$3005,$A275,請求記録!$X$6:$X$3005,U$5))))</f>
        <v/>
      </c>
      <c r="V275" s="19">
        <f>IF($A275="","",IF(COUNTIFS(請求記録!$B$6:$B$3005,$A275,請求記録!$X$6:$X$3005,V$5,請求記録!$AD$6:$AD$3005,"保留中")&gt;0,"保留",IF(COUNTIFS(請求記録!$B$6:$B$3005,$A275,請求記録!$X$6:$X$3005,V$5)=0,"",SUMIFS(請求記録!$AC$6:$AC$3005,請求記録!$B$6:$B$3005,$A275,請求記録!$X$6:$X$3005,V$5))))</f>
        <v/>
      </c>
      <c r="W275" s="19">
        <f>IF($A275="","",IF(COUNTIFS(請求記録!$B$6:$B$3005,$A275,請求記録!$X$6:$X$3005,W$5,請求記録!$AD$6:$AD$3005,"保留中")&gt;0,"保留",IF(COUNTIFS(請求記録!$B$6:$B$3005,$A275,請求記録!$X$6:$X$3005,W$5)=0,"",SUMIFS(請求記録!$AC$6:$AC$3005,請求記録!$B$6:$B$3005,$A275,請求記録!$X$6:$X$3005,W$5))))</f>
        <v/>
      </c>
      <c r="X275" s="19">
        <f>IF($A275="","",IF(COUNTIFS(請求記録!$B$6:$B$3005,$A275,請求記録!$X$6:$X$3005,X$5,請求記録!$AD$6:$AD$3005,"保留中")&gt;0,"保留",IF(COUNTIFS(請求記録!$B$6:$B$3005,$A275,請求記録!$X$6:$X$3005,X$5)=0,"",SUMIFS(請求記録!$AC$6:$AC$3005,請求記録!$B$6:$B$3005,$A275,請求記録!$X$6:$X$3005,X$5))))</f>
        <v/>
      </c>
      <c r="Y275" s="19">
        <f>IF($A275="","",IF(COUNTIFS(請求記録!$B$6:$B$3005,$A275,請求記録!$X$6:$X$3005,Y$5,請求記録!$AD$6:$AD$3005,"保留中")&gt;0,"保留",IF(COUNTIFS(請求記録!$B$6:$B$3005,$A275,請求記録!$X$6:$X$3005,Y$5)=0,"",SUMIFS(請求記録!$AC$6:$AC$3005,請求記録!$B$6:$B$3005,$A275,請求記録!$X$6:$X$3005,Y$5))))</f>
        <v/>
      </c>
      <c r="Z275" s="19">
        <f>IF($A275="","",IF(COUNTIFS(請求記録!$B$6:$B$3005,$A275,請求記録!$X$6:$X$3005,Z$5,請求記録!$AD$6:$AD$3005,"保留中")&gt;0,"保留",IF(COUNTIFS(請求記録!$B$6:$B$3005,$A275,請求記録!$X$6:$X$3005,Z$5)=0,"",SUMIFS(請求記録!$AC$6:$AC$3005,請求記録!$B$6:$B$3005,$A275,請求記録!$X$6:$X$3005,Z$5))))</f>
        <v/>
      </c>
      <c r="AA275" s="19">
        <f>IF($A275="","",IF(COUNTIFS(請求記録!$B$6:$B$3005,$A275,請求記録!$X$6:$X$3005,AA$5,請求記録!$AD$6:$AD$3005,"保留中")&gt;0,"保留",IF(COUNTIFS(請求記録!$B$6:$B$3005,$A275,請求記録!$X$6:$X$3005,AA$5)=0,"",SUMIFS(請求記録!$AC$6:$AC$3005,請求記録!$B$6:$B$3005,$A275,請求記録!$X$6:$X$3005,AA$5))))</f>
        <v/>
      </c>
      <c r="AB275">
        <f>IF(職員マスタ!P275="保留中",職員マスタ!M275,"")</f>
        <v/>
      </c>
    </row>
    <row r="276">
      <c r="A276">
        <f>IF(職員マスタ!A276="","",職員マスタ!A276)</f>
        <v/>
      </c>
      <c r="B276">
        <f>IF($A276="","",職員マスタ!B276)</f>
        <v/>
      </c>
      <c r="C276">
        <f>IF($A276="","",職員マスタ!C276)</f>
        <v/>
      </c>
      <c r="D276" s="19">
        <f>IF($A276="","",IF(COUNTIFS(請求記録!$B$6:$B$3005,$A276,請求記録!$X$6:$X$3005,D$5,請求記録!$AD$6:$AD$3005,"保留中")&gt;0,"保留",IF(COUNTIFS(請求記録!$B$6:$B$3005,$A276,請求記録!$X$6:$X$3005,D$5)=0,"",SUMIFS(請求記録!$AC$6:$AC$3005,請求記録!$B$6:$B$3005,$A276,請求記録!$X$6:$X$3005,D$5))))</f>
        <v/>
      </c>
      <c r="E276" s="19">
        <f>IF($A276="","",IF(COUNTIFS(請求記録!$B$6:$B$3005,$A276,請求記録!$X$6:$X$3005,E$5,請求記録!$AD$6:$AD$3005,"保留中")&gt;0,"保留",IF(COUNTIFS(請求記録!$B$6:$B$3005,$A276,請求記録!$X$6:$X$3005,E$5)=0,"",SUMIFS(請求記録!$AC$6:$AC$3005,請求記録!$B$6:$B$3005,$A276,請求記録!$X$6:$X$3005,E$5))))</f>
        <v/>
      </c>
      <c r="F276" s="19">
        <f>IF($A276="","",IF(COUNTIFS(請求記録!$B$6:$B$3005,$A276,請求記録!$X$6:$X$3005,F$5,請求記録!$AD$6:$AD$3005,"保留中")&gt;0,"保留",IF(COUNTIFS(請求記録!$B$6:$B$3005,$A276,請求記録!$X$6:$X$3005,F$5)=0,"",SUMIFS(請求記録!$AC$6:$AC$3005,請求記録!$B$6:$B$3005,$A276,請求記録!$X$6:$X$3005,F$5))))</f>
        <v/>
      </c>
      <c r="G276" s="19">
        <f>IF($A276="","",IF(COUNTIFS(請求記録!$B$6:$B$3005,$A276,請求記録!$X$6:$X$3005,G$5,請求記録!$AD$6:$AD$3005,"保留中")&gt;0,"保留",IF(COUNTIFS(請求記録!$B$6:$B$3005,$A276,請求記録!$X$6:$X$3005,G$5)=0,"",SUMIFS(請求記録!$AC$6:$AC$3005,請求記録!$B$6:$B$3005,$A276,請求記録!$X$6:$X$3005,G$5))))</f>
        <v/>
      </c>
      <c r="H276" s="19">
        <f>IF($A276="","",IF(COUNTIFS(請求記録!$B$6:$B$3005,$A276,請求記録!$X$6:$X$3005,H$5,請求記録!$AD$6:$AD$3005,"保留中")&gt;0,"保留",IF(COUNTIFS(請求記録!$B$6:$B$3005,$A276,請求記録!$X$6:$X$3005,H$5)=0,"",SUMIFS(請求記録!$AC$6:$AC$3005,請求記録!$B$6:$B$3005,$A276,請求記録!$X$6:$X$3005,H$5))))</f>
        <v/>
      </c>
      <c r="I276" s="19">
        <f>IF($A276="","",IF(COUNTIFS(請求記録!$B$6:$B$3005,$A276,請求記録!$X$6:$X$3005,I$5,請求記録!$AD$6:$AD$3005,"保留中")&gt;0,"保留",IF(COUNTIFS(請求記録!$B$6:$B$3005,$A276,請求記録!$X$6:$X$3005,I$5)=0,"",SUMIFS(請求記録!$AC$6:$AC$3005,請求記録!$B$6:$B$3005,$A276,請求記録!$X$6:$X$3005,I$5))))</f>
        <v/>
      </c>
      <c r="J276" s="19">
        <f>IF($A276="","",IF(COUNTIFS(請求記録!$B$6:$B$3005,$A276,請求記録!$X$6:$X$3005,J$5,請求記録!$AD$6:$AD$3005,"保留中")&gt;0,"保留",IF(COUNTIFS(請求記録!$B$6:$B$3005,$A276,請求記録!$X$6:$X$3005,J$5)=0,"",SUMIFS(請求記録!$AC$6:$AC$3005,請求記録!$B$6:$B$3005,$A276,請求記録!$X$6:$X$3005,J$5))))</f>
        <v/>
      </c>
      <c r="K276" s="19">
        <f>IF($A276="","",IF(COUNTIFS(請求記録!$B$6:$B$3005,$A276,請求記録!$X$6:$X$3005,K$5,請求記録!$AD$6:$AD$3005,"保留中")&gt;0,"保留",IF(COUNTIFS(請求記録!$B$6:$B$3005,$A276,請求記録!$X$6:$X$3005,K$5)=0,"",SUMIFS(請求記録!$AC$6:$AC$3005,請求記録!$B$6:$B$3005,$A276,請求記録!$X$6:$X$3005,K$5))))</f>
        <v/>
      </c>
      <c r="L276" s="19">
        <f>IF($A276="","",IF(COUNTIFS(請求記録!$B$6:$B$3005,$A276,請求記録!$X$6:$X$3005,L$5,請求記録!$AD$6:$AD$3005,"保留中")&gt;0,"保留",IF(COUNTIFS(請求記録!$B$6:$B$3005,$A276,請求記録!$X$6:$X$3005,L$5)=0,"",SUMIFS(請求記録!$AC$6:$AC$3005,請求記録!$B$6:$B$3005,$A276,請求記録!$X$6:$X$3005,L$5))))</f>
        <v/>
      </c>
      <c r="M276" s="19">
        <f>IF($A276="","",IF(COUNTIFS(請求記録!$B$6:$B$3005,$A276,請求記録!$X$6:$X$3005,M$5,請求記録!$AD$6:$AD$3005,"保留中")&gt;0,"保留",IF(COUNTIFS(請求記録!$B$6:$B$3005,$A276,請求記録!$X$6:$X$3005,M$5)=0,"",SUMIFS(請求記録!$AC$6:$AC$3005,請求記録!$B$6:$B$3005,$A276,請求記録!$X$6:$X$3005,M$5))))</f>
        <v/>
      </c>
      <c r="N276" s="19">
        <f>IF($A276="","",IF(COUNTIFS(請求記録!$B$6:$B$3005,$A276,請求記録!$X$6:$X$3005,N$5,請求記録!$AD$6:$AD$3005,"保留中")&gt;0,"保留",IF(COUNTIFS(請求記録!$B$6:$B$3005,$A276,請求記録!$X$6:$X$3005,N$5)=0,"",SUMIFS(請求記録!$AC$6:$AC$3005,請求記録!$B$6:$B$3005,$A276,請求記録!$X$6:$X$3005,N$5))))</f>
        <v/>
      </c>
      <c r="O276" s="19">
        <f>IF($A276="","",IF(COUNTIFS(請求記録!$B$6:$B$3005,$A276,請求記録!$X$6:$X$3005,O$5,請求記録!$AD$6:$AD$3005,"保留中")&gt;0,"保留",IF(COUNTIFS(請求記録!$B$6:$B$3005,$A276,請求記録!$X$6:$X$3005,O$5)=0,"",SUMIFS(請求記録!$AC$6:$AC$3005,請求記録!$B$6:$B$3005,$A276,請求記録!$X$6:$X$3005,O$5))))</f>
        <v/>
      </c>
      <c r="P276" s="19">
        <f>IF($A276="","",IF(COUNTIFS(請求記録!$B$6:$B$3005,$A276,請求記録!$X$6:$X$3005,P$5,請求記録!$AD$6:$AD$3005,"保留中")&gt;0,"保留",IF(COUNTIFS(請求記録!$B$6:$B$3005,$A276,請求記録!$X$6:$X$3005,P$5)=0,"",SUMIFS(請求記録!$AC$6:$AC$3005,請求記録!$B$6:$B$3005,$A276,請求記録!$X$6:$X$3005,P$5))))</f>
        <v/>
      </c>
      <c r="Q276" s="19">
        <f>IF($A276="","",IF(COUNTIFS(請求記録!$B$6:$B$3005,$A276,請求記録!$X$6:$X$3005,Q$5,請求記録!$AD$6:$AD$3005,"保留中")&gt;0,"保留",IF(COUNTIFS(請求記録!$B$6:$B$3005,$A276,請求記録!$X$6:$X$3005,Q$5)=0,"",SUMIFS(請求記録!$AC$6:$AC$3005,請求記録!$B$6:$B$3005,$A276,請求記録!$X$6:$X$3005,Q$5))))</f>
        <v/>
      </c>
      <c r="R276" s="19">
        <f>IF($A276="","",IF(COUNTIFS(請求記録!$B$6:$B$3005,$A276,請求記録!$X$6:$X$3005,R$5,請求記録!$AD$6:$AD$3005,"保留中")&gt;0,"保留",IF(COUNTIFS(請求記録!$B$6:$B$3005,$A276,請求記録!$X$6:$X$3005,R$5)=0,"",SUMIFS(請求記録!$AC$6:$AC$3005,請求記録!$B$6:$B$3005,$A276,請求記録!$X$6:$X$3005,R$5))))</f>
        <v/>
      </c>
      <c r="S276" s="19">
        <f>IF($A276="","",IF(COUNTIFS(請求記録!$B$6:$B$3005,$A276,請求記録!$X$6:$X$3005,S$5,請求記録!$AD$6:$AD$3005,"保留中")&gt;0,"保留",IF(COUNTIFS(請求記録!$B$6:$B$3005,$A276,請求記録!$X$6:$X$3005,S$5)=0,"",SUMIFS(請求記録!$AC$6:$AC$3005,請求記録!$B$6:$B$3005,$A276,請求記録!$X$6:$X$3005,S$5))))</f>
        <v/>
      </c>
      <c r="T276" s="19">
        <f>IF($A276="","",IF(COUNTIFS(請求記録!$B$6:$B$3005,$A276,請求記録!$X$6:$X$3005,T$5,請求記録!$AD$6:$AD$3005,"保留中")&gt;0,"保留",IF(COUNTIFS(請求記録!$B$6:$B$3005,$A276,請求記録!$X$6:$X$3005,T$5)=0,"",SUMIFS(請求記録!$AC$6:$AC$3005,請求記録!$B$6:$B$3005,$A276,請求記録!$X$6:$X$3005,T$5))))</f>
        <v/>
      </c>
      <c r="U276" s="19">
        <f>IF($A276="","",IF(COUNTIFS(請求記録!$B$6:$B$3005,$A276,請求記録!$X$6:$X$3005,U$5,請求記録!$AD$6:$AD$3005,"保留中")&gt;0,"保留",IF(COUNTIFS(請求記録!$B$6:$B$3005,$A276,請求記録!$X$6:$X$3005,U$5)=0,"",SUMIFS(請求記録!$AC$6:$AC$3005,請求記録!$B$6:$B$3005,$A276,請求記録!$X$6:$X$3005,U$5))))</f>
        <v/>
      </c>
      <c r="V276" s="19">
        <f>IF($A276="","",IF(COUNTIFS(請求記録!$B$6:$B$3005,$A276,請求記録!$X$6:$X$3005,V$5,請求記録!$AD$6:$AD$3005,"保留中")&gt;0,"保留",IF(COUNTIFS(請求記録!$B$6:$B$3005,$A276,請求記録!$X$6:$X$3005,V$5)=0,"",SUMIFS(請求記録!$AC$6:$AC$3005,請求記録!$B$6:$B$3005,$A276,請求記録!$X$6:$X$3005,V$5))))</f>
        <v/>
      </c>
      <c r="W276" s="19">
        <f>IF($A276="","",IF(COUNTIFS(請求記録!$B$6:$B$3005,$A276,請求記録!$X$6:$X$3005,W$5,請求記録!$AD$6:$AD$3005,"保留中")&gt;0,"保留",IF(COUNTIFS(請求記録!$B$6:$B$3005,$A276,請求記録!$X$6:$X$3005,W$5)=0,"",SUMIFS(請求記録!$AC$6:$AC$3005,請求記録!$B$6:$B$3005,$A276,請求記録!$X$6:$X$3005,W$5))))</f>
        <v/>
      </c>
      <c r="X276" s="19">
        <f>IF($A276="","",IF(COUNTIFS(請求記録!$B$6:$B$3005,$A276,請求記録!$X$6:$X$3005,X$5,請求記録!$AD$6:$AD$3005,"保留中")&gt;0,"保留",IF(COUNTIFS(請求記録!$B$6:$B$3005,$A276,請求記録!$X$6:$X$3005,X$5)=0,"",SUMIFS(請求記録!$AC$6:$AC$3005,請求記録!$B$6:$B$3005,$A276,請求記録!$X$6:$X$3005,X$5))))</f>
        <v/>
      </c>
      <c r="Y276" s="19">
        <f>IF($A276="","",IF(COUNTIFS(請求記録!$B$6:$B$3005,$A276,請求記録!$X$6:$X$3005,Y$5,請求記録!$AD$6:$AD$3005,"保留中")&gt;0,"保留",IF(COUNTIFS(請求記録!$B$6:$B$3005,$A276,請求記録!$X$6:$X$3005,Y$5)=0,"",SUMIFS(請求記録!$AC$6:$AC$3005,請求記録!$B$6:$B$3005,$A276,請求記録!$X$6:$X$3005,Y$5))))</f>
        <v/>
      </c>
      <c r="Z276" s="19">
        <f>IF($A276="","",IF(COUNTIFS(請求記録!$B$6:$B$3005,$A276,請求記録!$X$6:$X$3005,Z$5,請求記録!$AD$6:$AD$3005,"保留中")&gt;0,"保留",IF(COUNTIFS(請求記録!$B$6:$B$3005,$A276,請求記録!$X$6:$X$3005,Z$5)=0,"",SUMIFS(請求記録!$AC$6:$AC$3005,請求記録!$B$6:$B$3005,$A276,請求記録!$X$6:$X$3005,Z$5))))</f>
        <v/>
      </c>
      <c r="AA276" s="19">
        <f>IF($A276="","",IF(COUNTIFS(請求記録!$B$6:$B$3005,$A276,請求記録!$X$6:$X$3005,AA$5,請求記録!$AD$6:$AD$3005,"保留中")&gt;0,"保留",IF(COUNTIFS(請求記録!$B$6:$B$3005,$A276,請求記録!$X$6:$X$3005,AA$5)=0,"",SUMIFS(請求記録!$AC$6:$AC$3005,請求記録!$B$6:$B$3005,$A276,請求記録!$X$6:$X$3005,AA$5))))</f>
        <v/>
      </c>
      <c r="AB276">
        <f>IF(職員マスタ!P276="保留中",職員マスタ!M276,"")</f>
        <v/>
      </c>
    </row>
    <row r="277">
      <c r="A277">
        <f>IF(職員マスタ!A277="","",職員マスタ!A277)</f>
        <v/>
      </c>
      <c r="B277">
        <f>IF($A277="","",職員マスタ!B277)</f>
        <v/>
      </c>
      <c r="C277">
        <f>IF($A277="","",職員マスタ!C277)</f>
        <v/>
      </c>
      <c r="D277" s="19">
        <f>IF($A277="","",IF(COUNTIFS(請求記録!$B$6:$B$3005,$A277,請求記録!$X$6:$X$3005,D$5,請求記録!$AD$6:$AD$3005,"保留中")&gt;0,"保留",IF(COUNTIFS(請求記録!$B$6:$B$3005,$A277,請求記録!$X$6:$X$3005,D$5)=0,"",SUMIFS(請求記録!$AC$6:$AC$3005,請求記録!$B$6:$B$3005,$A277,請求記録!$X$6:$X$3005,D$5))))</f>
        <v/>
      </c>
      <c r="E277" s="19">
        <f>IF($A277="","",IF(COUNTIFS(請求記録!$B$6:$B$3005,$A277,請求記録!$X$6:$X$3005,E$5,請求記録!$AD$6:$AD$3005,"保留中")&gt;0,"保留",IF(COUNTIFS(請求記録!$B$6:$B$3005,$A277,請求記録!$X$6:$X$3005,E$5)=0,"",SUMIFS(請求記録!$AC$6:$AC$3005,請求記録!$B$6:$B$3005,$A277,請求記録!$X$6:$X$3005,E$5))))</f>
        <v/>
      </c>
      <c r="F277" s="19">
        <f>IF($A277="","",IF(COUNTIFS(請求記録!$B$6:$B$3005,$A277,請求記録!$X$6:$X$3005,F$5,請求記録!$AD$6:$AD$3005,"保留中")&gt;0,"保留",IF(COUNTIFS(請求記録!$B$6:$B$3005,$A277,請求記録!$X$6:$X$3005,F$5)=0,"",SUMIFS(請求記録!$AC$6:$AC$3005,請求記録!$B$6:$B$3005,$A277,請求記録!$X$6:$X$3005,F$5))))</f>
        <v/>
      </c>
      <c r="G277" s="19">
        <f>IF($A277="","",IF(COUNTIFS(請求記録!$B$6:$B$3005,$A277,請求記録!$X$6:$X$3005,G$5,請求記録!$AD$6:$AD$3005,"保留中")&gt;0,"保留",IF(COUNTIFS(請求記録!$B$6:$B$3005,$A277,請求記録!$X$6:$X$3005,G$5)=0,"",SUMIFS(請求記録!$AC$6:$AC$3005,請求記録!$B$6:$B$3005,$A277,請求記録!$X$6:$X$3005,G$5))))</f>
        <v/>
      </c>
      <c r="H277" s="19">
        <f>IF($A277="","",IF(COUNTIFS(請求記録!$B$6:$B$3005,$A277,請求記録!$X$6:$X$3005,H$5,請求記録!$AD$6:$AD$3005,"保留中")&gt;0,"保留",IF(COUNTIFS(請求記録!$B$6:$B$3005,$A277,請求記録!$X$6:$X$3005,H$5)=0,"",SUMIFS(請求記録!$AC$6:$AC$3005,請求記録!$B$6:$B$3005,$A277,請求記録!$X$6:$X$3005,H$5))))</f>
        <v/>
      </c>
      <c r="I277" s="19">
        <f>IF($A277="","",IF(COUNTIFS(請求記録!$B$6:$B$3005,$A277,請求記録!$X$6:$X$3005,I$5,請求記録!$AD$6:$AD$3005,"保留中")&gt;0,"保留",IF(COUNTIFS(請求記録!$B$6:$B$3005,$A277,請求記録!$X$6:$X$3005,I$5)=0,"",SUMIFS(請求記録!$AC$6:$AC$3005,請求記録!$B$6:$B$3005,$A277,請求記録!$X$6:$X$3005,I$5))))</f>
        <v/>
      </c>
      <c r="J277" s="19">
        <f>IF($A277="","",IF(COUNTIFS(請求記録!$B$6:$B$3005,$A277,請求記録!$X$6:$X$3005,J$5,請求記録!$AD$6:$AD$3005,"保留中")&gt;0,"保留",IF(COUNTIFS(請求記録!$B$6:$B$3005,$A277,請求記録!$X$6:$X$3005,J$5)=0,"",SUMIFS(請求記録!$AC$6:$AC$3005,請求記録!$B$6:$B$3005,$A277,請求記録!$X$6:$X$3005,J$5))))</f>
        <v/>
      </c>
      <c r="K277" s="19">
        <f>IF($A277="","",IF(COUNTIFS(請求記録!$B$6:$B$3005,$A277,請求記録!$X$6:$X$3005,K$5,請求記録!$AD$6:$AD$3005,"保留中")&gt;0,"保留",IF(COUNTIFS(請求記録!$B$6:$B$3005,$A277,請求記録!$X$6:$X$3005,K$5)=0,"",SUMIFS(請求記録!$AC$6:$AC$3005,請求記録!$B$6:$B$3005,$A277,請求記録!$X$6:$X$3005,K$5))))</f>
        <v/>
      </c>
      <c r="L277" s="19">
        <f>IF($A277="","",IF(COUNTIFS(請求記録!$B$6:$B$3005,$A277,請求記録!$X$6:$X$3005,L$5,請求記録!$AD$6:$AD$3005,"保留中")&gt;0,"保留",IF(COUNTIFS(請求記録!$B$6:$B$3005,$A277,請求記録!$X$6:$X$3005,L$5)=0,"",SUMIFS(請求記録!$AC$6:$AC$3005,請求記録!$B$6:$B$3005,$A277,請求記録!$X$6:$X$3005,L$5))))</f>
        <v/>
      </c>
      <c r="M277" s="19">
        <f>IF($A277="","",IF(COUNTIFS(請求記録!$B$6:$B$3005,$A277,請求記録!$X$6:$X$3005,M$5,請求記録!$AD$6:$AD$3005,"保留中")&gt;0,"保留",IF(COUNTIFS(請求記録!$B$6:$B$3005,$A277,請求記録!$X$6:$X$3005,M$5)=0,"",SUMIFS(請求記録!$AC$6:$AC$3005,請求記録!$B$6:$B$3005,$A277,請求記録!$X$6:$X$3005,M$5))))</f>
        <v/>
      </c>
      <c r="N277" s="19">
        <f>IF($A277="","",IF(COUNTIFS(請求記録!$B$6:$B$3005,$A277,請求記録!$X$6:$X$3005,N$5,請求記録!$AD$6:$AD$3005,"保留中")&gt;0,"保留",IF(COUNTIFS(請求記録!$B$6:$B$3005,$A277,請求記録!$X$6:$X$3005,N$5)=0,"",SUMIFS(請求記録!$AC$6:$AC$3005,請求記録!$B$6:$B$3005,$A277,請求記録!$X$6:$X$3005,N$5))))</f>
        <v/>
      </c>
      <c r="O277" s="19">
        <f>IF($A277="","",IF(COUNTIFS(請求記録!$B$6:$B$3005,$A277,請求記録!$X$6:$X$3005,O$5,請求記録!$AD$6:$AD$3005,"保留中")&gt;0,"保留",IF(COUNTIFS(請求記録!$B$6:$B$3005,$A277,請求記録!$X$6:$X$3005,O$5)=0,"",SUMIFS(請求記録!$AC$6:$AC$3005,請求記録!$B$6:$B$3005,$A277,請求記録!$X$6:$X$3005,O$5))))</f>
        <v/>
      </c>
      <c r="P277" s="19">
        <f>IF($A277="","",IF(COUNTIFS(請求記録!$B$6:$B$3005,$A277,請求記録!$X$6:$X$3005,P$5,請求記録!$AD$6:$AD$3005,"保留中")&gt;0,"保留",IF(COUNTIFS(請求記録!$B$6:$B$3005,$A277,請求記録!$X$6:$X$3005,P$5)=0,"",SUMIFS(請求記録!$AC$6:$AC$3005,請求記録!$B$6:$B$3005,$A277,請求記録!$X$6:$X$3005,P$5))))</f>
        <v/>
      </c>
      <c r="Q277" s="19">
        <f>IF($A277="","",IF(COUNTIFS(請求記録!$B$6:$B$3005,$A277,請求記録!$X$6:$X$3005,Q$5,請求記録!$AD$6:$AD$3005,"保留中")&gt;0,"保留",IF(COUNTIFS(請求記録!$B$6:$B$3005,$A277,請求記録!$X$6:$X$3005,Q$5)=0,"",SUMIFS(請求記録!$AC$6:$AC$3005,請求記録!$B$6:$B$3005,$A277,請求記録!$X$6:$X$3005,Q$5))))</f>
        <v/>
      </c>
      <c r="R277" s="19">
        <f>IF($A277="","",IF(COUNTIFS(請求記録!$B$6:$B$3005,$A277,請求記録!$X$6:$X$3005,R$5,請求記録!$AD$6:$AD$3005,"保留中")&gt;0,"保留",IF(COUNTIFS(請求記録!$B$6:$B$3005,$A277,請求記録!$X$6:$X$3005,R$5)=0,"",SUMIFS(請求記録!$AC$6:$AC$3005,請求記録!$B$6:$B$3005,$A277,請求記録!$X$6:$X$3005,R$5))))</f>
        <v/>
      </c>
      <c r="S277" s="19">
        <f>IF($A277="","",IF(COUNTIFS(請求記録!$B$6:$B$3005,$A277,請求記録!$X$6:$X$3005,S$5,請求記録!$AD$6:$AD$3005,"保留中")&gt;0,"保留",IF(COUNTIFS(請求記録!$B$6:$B$3005,$A277,請求記録!$X$6:$X$3005,S$5)=0,"",SUMIFS(請求記録!$AC$6:$AC$3005,請求記録!$B$6:$B$3005,$A277,請求記録!$X$6:$X$3005,S$5))))</f>
        <v/>
      </c>
      <c r="T277" s="19">
        <f>IF($A277="","",IF(COUNTIFS(請求記録!$B$6:$B$3005,$A277,請求記録!$X$6:$X$3005,T$5,請求記録!$AD$6:$AD$3005,"保留中")&gt;0,"保留",IF(COUNTIFS(請求記録!$B$6:$B$3005,$A277,請求記録!$X$6:$X$3005,T$5)=0,"",SUMIFS(請求記録!$AC$6:$AC$3005,請求記録!$B$6:$B$3005,$A277,請求記録!$X$6:$X$3005,T$5))))</f>
        <v/>
      </c>
      <c r="U277" s="19">
        <f>IF($A277="","",IF(COUNTIFS(請求記録!$B$6:$B$3005,$A277,請求記録!$X$6:$X$3005,U$5,請求記録!$AD$6:$AD$3005,"保留中")&gt;0,"保留",IF(COUNTIFS(請求記録!$B$6:$B$3005,$A277,請求記録!$X$6:$X$3005,U$5)=0,"",SUMIFS(請求記録!$AC$6:$AC$3005,請求記録!$B$6:$B$3005,$A277,請求記録!$X$6:$X$3005,U$5))))</f>
        <v/>
      </c>
      <c r="V277" s="19">
        <f>IF($A277="","",IF(COUNTIFS(請求記録!$B$6:$B$3005,$A277,請求記録!$X$6:$X$3005,V$5,請求記録!$AD$6:$AD$3005,"保留中")&gt;0,"保留",IF(COUNTIFS(請求記録!$B$6:$B$3005,$A277,請求記録!$X$6:$X$3005,V$5)=0,"",SUMIFS(請求記録!$AC$6:$AC$3005,請求記録!$B$6:$B$3005,$A277,請求記録!$X$6:$X$3005,V$5))))</f>
        <v/>
      </c>
      <c r="W277" s="19">
        <f>IF($A277="","",IF(COUNTIFS(請求記録!$B$6:$B$3005,$A277,請求記録!$X$6:$X$3005,W$5,請求記録!$AD$6:$AD$3005,"保留中")&gt;0,"保留",IF(COUNTIFS(請求記録!$B$6:$B$3005,$A277,請求記録!$X$6:$X$3005,W$5)=0,"",SUMIFS(請求記録!$AC$6:$AC$3005,請求記録!$B$6:$B$3005,$A277,請求記録!$X$6:$X$3005,W$5))))</f>
        <v/>
      </c>
      <c r="X277" s="19">
        <f>IF($A277="","",IF(COUNTIFS(請求記録!$B$6:$B$3005,$A277,請求記録!$X$6:$X$3005,X$5,請求記録!$AD$6:$AD$3005,"保留中")&gt;0,"保留",IF(COUNTIFS(請求記録!$B$6:$B$3005,$A277,請求記録!$X$6:$X$3005,X$5)=0,"",SUMIFS(請求記録!$AC$6:$AC$3005,請求記録!$B$6:$B$3005,$A277,請求記録!$X$6:$X$3005,X$5))))</f>
        <v/>
      </c>
      <c r="Y277" s="19">
        <f>IF($A277="","",IF(COUNTIFS(請求記録!$B$6:$B$3005,$A277,請求記録!$X$6:$X$3005,Y$5,請求記録!$AD$6:$AD$3005,"保留中")&gt;0,"保留",IF(COUNTIFS(請求記録!$B$6:$B$3005,$A277,請求記録!$X$6:$X$3005,Y$5)=0,"",SUMIFS(請求記録!$AC$6:$AC$3005,請求記録!$B$6:$B$3005,$A277,請求記録!$X$6:$X$3005,Y$5))))</f>
        <v/>
      </c>
      <c r="Z277" s="19">
        <f>IF($A277="","",IF(COUNTIFS(請求記録!$B$6:$B$3005,$A277,請求記録!$X$6:$X$3005,Z$5,請求記録!$AD$6:$AD$3005,"保留中")&gt;0,"保留",IF(COUNTIFS(請求記録!$B$6:$B$3005,$A277,請求記録!$X$6:$X$3005,Z$5)=0,"",SUMIFS(請求記録!$AC$6:$AC$3005,請求記録!$B$6:$B$3005,$A277,請求記録!$X$6:$X$3005,Z$5))))</f>
        <v/>
      </c>
      <c r="AA277" s="19">
        <f>IF($A277="","",IF(COUNTIFS(請求記録!$B$6:$B$3005,$A277,請求記録!$X$6:$X$3005,AA$5,請求記録!$AD$6:$AD$3005,"保留中")&gt;0,"保留",IF(COUNTIFS(請求記録!$B$6:$B$3005,$A277,請求記録!$X$6:$X$3005,AA$5)=0,"",SUMIFS(請求記録!$AC$6:$AC$3005,請求記録!$B$6:$B$3005,$A277,請求記録!$X$6:$X$3005,AA$5))))</f>
        <v/>
      </c>
      <c r="AB277">
        <f>IF(職員マスタ!P277="保留中",職員マスタ!M277,"")</f>
        <v/>
      </c>
    </row>
    <row r="278">
      <c r="A278">
        <f>IF(職員マスタ!A278="","",職員マスタ!A278)</f>
        <v/>
      </c>
      <c r="B278">
        <f>IF($A278="","",職員マスタ!B278)</f>
        <v/>
      </c>
      <c r="C278">
        <f>IF($A278="","",職員マスタ!C278)</f>
        <v/>
      </c>
      <c r="D278" s="19">
        <f>IF($A278="","",IF(COUNTIFS(請求記録!$B$6:$B$3005,$A278,請求記録!$X$6:$X$3005,D$5,請求記録!$AD$6:$AD$3005,"保留中")&gt;0,"保留",IF(COUNTIFS(請求記録!$B$6:$B$3005,$A278,請求記録!$X$6:$X$3005,D$5)=0,"",SUMIFS(請求記録!$AC$6:$AC$3005,請求記録!$B$6:$B$3005,$A278,請求記録!$X$6:$X$3005,D$5))))</f>
        <v/>
      </c>
      <c r="E278" s="19">
        <f>IF($A278="","",IF(COUNTIFS(請求記録!$B$6:$B$3005,$A278,請求記録!$X$6:$X$3005,E$5,請求記録!$AD$6:$AD$3005,"保留中")&gt;0,"保留",IF(COUNTIFS(請求記録!$B$6:$B$3005,$A278,請求記録!$X$6:$X$3005,E$5)=0,"",SUMIFS(請求記録!$AC$6:$AC$3005,請求記録!$B$6:$B$3005,$A278,請求記録!$X$6:$X$3005,E$5))))</f>
        <v/>
      </c>
      <c r="F278" s="19">
        <f>IF($A278="","",IF(COUNTIFS(請求記録!$B$6:$B$3005,$A278,請求記録!$X$6:$X$3005,F$5,請求記録!$AD$6:$AD$3005,"保留中")&gt;0,"保留",IF(COUNTIFS(請求記録!$B$6:$B$3005,$A278,請求記録!$X$6:$X$3005,F$5)=0,"",SUMIFS(請求記録!$AC$6:$AC$3005,請求記録!$B$6:$B$3005,$A278,請求記録!$X$6:$X$3005,F$5))))</f>
        <v/>
      </c>
      <c r="G278" s="19">
        <f>IF($A278="","",IF(COUNTIFS(請求記録!$B$6:$B$3005,$A278,請求記録!$X$6:$X$3005,G$5,請求記録!$AD$6:$AD$3005,"保留中")&gt;0,"保留",IF(COUNTIFS(請求記録!$B$6:$B$3005,$A278,請求記録!$X$6:$X$3005,G$5)=0,"",SUMIFS(請求記録!$AC$6:$AC$3005,請求記録!$B$6:$B$3005,$A278,請求記録!$X$6:$X$3005,G$5))))</f>
        <v/>
      </c>
      <c r="H278" s="19">
        <f>IF($A278="","",IF(COUNTIFS(請求記録!$B$6:$B$3005,$A278,請求記録!$X$6:$X$3005,H$5,請求記録!$AD$6:$AD$3005,"保留中")&gt;0,"保留",IF(COUNTIFS(請求記録!$B$6:$B$3005,$A278,請求記録!$X$6:$X$3005,H$5)=0,"",SUMIFS(請求記録!$AC$6:$AC$3005,請求記録!$B$6:$B$3005,$A278,請求記録!$X$6:$X$3005,H$5))))</f>
        <v/>
      </c>
      <c r="I278" s="19">
        <f>IF($A278="","",IF(COUNTIFS(請求記録!$B$6:$B$3005,$A278,請求記録!$X$6:$X$3005,I$5,請求記録!$AD$6:$AD$3005,"保留中")&gt;0,"保留",IF(COUNTIFS(請求記録!$B$6:$B$3005,$A278,請求記録!$X$6:$X$3005,I$5)=0,"",SUMIFS(請求記録!$AC$6:$AC$3005,請求記録!$B$6:$B$3005,$A278,請求記録!$X$6:$X$3005,I$5))))</f>
        <v/>
      </c>
      <c r="J278" s="19">
        <f>IF($A278="","",IF(COUNTIFS(請求記録!$B$6:$B$3005,$A278,請求記録!$X$6:$X$3005,J$5,請求記録!$AD$6:$AD$3005,"保留中")&gt;0,"保留",IF(COUNTIFS(請求記録!$B$6:$B$3005,$A278,請求記録!$X$6:$X$3005,J$5)=0,"",SUMIFS(請求記録!$AC$6:$AC$3005,請求記録!$B$6:$B$3005,$A278,請求記録!$X$6:$X$3005,J$5))))</f>
        <v/>
      </c>
      <c r="K278" s="19">
        <f>IF($A278="","",IF(COUNTIFS(請求記録!$B$6:$B$3005,$A278,請求記録!$X$6:$X$3005,K$5,請求記録!$AD$6:$AD$3005,"保留中")&gt;0,"保留",IF(COUNTIFS(請求記録!$B$6:$B$3005,$A278,請求記録!$X$6:$X$3005,K$5)=0,"",SUMIFS(請求記録!$AC$6:$AC$3005,請求記録!$B$6:$B$3005,$A278,請求記録!$X$6:$X$3005,K$5))))</f>
        <v/>
      </c>
      <c r="L278" s="19">
        <f>IF($A278="","",IF(COUNTIFS(請求記録!$B$6:$B$3005,$A278,請求記録!$X$6:$X$3005,L$5,請求記録!$AD$6:$AD$3005,"保留中")&gt;0,"保留",IF(COUNTIFS(請求記録!$B$6:$B$3005,$A278,請求記録!$X$6:$X$3005,L$5)=0,"",SUMIFS(請求記録!$AC$6:$AC$3005,請求記録!$B$6:$B$3005,$A278,請求記録!$X$6:$X$3005,L$5))))</f>
        <v/>
      </c>
      <c r="M278" s="19">
        <f>IF($A278="","",IF(COUNTIFS(請求記録!$B$6:$B$3005,$A278,請求記録!$X$6:$X$3005,M$5,請求記録!$AD$6:$AD$3005,"保留中")&gt;0,"保留",IF(COUNTIFS(請求記録!$B$6:$B$3005,$A278,請求記録!$X$6:$X$3005,M$5)=0,"",SUMIFS(請求記録!$AC$6:$AC$3005,請求記録!$B$6:$B$3005,$A278,請求記録!$X$6:$X$3005,M$5))))</f>
        <v/>
      </c>
      <c r="N278" s="19">
        <f>IF($A278="","",IF(COUNTIFS(請求記録!$B$6:$B$3005,$A278,請求記録!$X$6:$X$3005,N$5,請求記録!$AD$6:$AD$3005,"保留中")&gt;0,"保留",IF(COUNTIFS(請求記録!$B$6:$B$3005,$A278,請求記録!$X$6:$X$3005,N$5)=0,"",SUMIFS(請求記録!$AC$6:$AC$3005,請求記録!$B$6:$B$3005,$A278,請求記録!$X$6:$X$3005,N$5))))</f>
        <v/>
      </c>
      <c r="O278" s="19">
        <f>IF($A278="","",IF(COUNTIFS(請求記録!$B$6:$B$3005,$A278,請求記録!$X$6:$X$3005,O$5,請求記録!$AD$6:$AD$3005,"保留中")&gt;0,"保留",IF(COUNTIFS(請求記録!$B$6:$B$3005,$A278,請求記録!$X$6:$X$3005,O$5)=0,"",SUMIFS(請求記録!$AC$6:$AC$3005,請求記録!$B$6:$B$3005,$A278,請求記録!$X$6:$X$3005,O$5))))</f>
        <v/>
      </c>
      <c r="P278" s="19">
        <f>IF($A278="","",IF(COUNTIFS(請求記録!$B$6:$B$3005,$A278,請求記録!$X$6:$X$3005,P$5,請求記録!$AD$6:$AD$3005,"保留中")&gt;0,"保留",IF(COUNTIFS(請求記録!$B$6:$B$3005,$A278,請求記録!$X$6:$X$3005,P$5)=0,"",SUMIFS(請求記録!$AC$6:$AC$3005,請求記録!$B$6:$B$3005,$A278,請求記録!$X$6:$X$3005,P$5))))</f>
        <v/>
      </c>
      <c r="Q278" s="19">
        <f>IF($A278="","",IF(COUNTIFS(請求記録!$B$6:$B$3005,$A278,請求記録!$X$6:$X$3005,Q$5,請求記録!$AD$6:$AD$3005,"保留中")&gt;0,"保留",IF(COUNTIFS(請求記録!$B$6:$B$3005,$A278,請求記録!$X$6:$X$3005,Q$5)=0,"",SUMIFS(請求記録!$AC$6:$AC$3005,請求記録!$B$6:$B$3005,$A278,請求記録!$X$6:$X$3005,Q$5))))</f>
        <v/>
      </c>
      <c r="R278" s="19">
        <f>IF($A278="","",IF(COUNTIFS(請求記録!$B$6:$B$3005,$A278,請求記録!$X$6:$X$3005,R$5,請求記録!$AD$6:$AD$3005,"保留中")&gt;0,"保留",IF(COUNTIFS(請求記録!$B$6:$B$3005,$A278,請求記録!$X$6:$X$3005,R$5)=0,"",SUMIFS(請求記録!$AC$6:$AC$3005,請求記録!$B$6:$B$3005,$A278,請求記録!$X$6:$X$3005,R$5))))</f>
        <v/>
      </c>
      <c r="S278" s="19">
        <f>IF($A278="","",IF(COUNTIFS(請求記録!$B$6:$B$3005,$A278,請求記録!$X$6:$X$3005,S$5,請求記録!$AD$6:$AD$3005,"保留中")&gt;0,"保留",IF(COUNTIFS(請求記録!$B$6:$B$3005,$A278,請求記録!$X$6:$X$3005,S$5)=0,"",SUMIFS(請求記録!$AC$6:$AC$3005,請求記録!$B$6:$B$3005,$A278,請求記録!$X$6:$X$3005,S$5))))</f>
        <v/>
      </c>
      <c r="T278" s="19">
        <f>IF($A278="","",IF(COUNTIFS(請求記録!$B$6:$B$3005,$A278,請求記録!$X$6:$X$3005,T$5,請求記録!$AD$6:$AD$3005,"保留中")&gt;0,"保留",IF(COUNTIFS(請求記録!$B$6:$B$3005,$A278,請求記録!$X$6:$X$3005,T$5)=0,"",SUMIFS(請求記録!$AC$6:$AC$3005,請求記録!$B$6:$B$3005,$A278,請求記録!$X$6:$X$3005,T$5))))</f>
        <v/>
      </c>
      <c r="U278" s="19">
        <f>IF($A278="","",IF(COUNTIFS(請求記録!$B$6:$B$3005,$A278,請求記録!$X$6:$X$3005,U$5,請求記録!$AD$6:$AD$3005,"保留中")&gt;0,"保留",IF(COUNTIFS(請求記録!$B$6:$B$3005,$A278,請求記録!$X$6:$X$3005,U$5)=0,"",SUMIFS(請求記録!$AC$6:$AC$3005,請求記録!$B$6:$B$3005,$A278,請求記録!$X$6:$X$3005,U$5))))</f>
        <v/>
      </c>
      <c r="V278" s="19">
        <f>IF($A278="","",IF(COUNTIFS(請求記録!$B$6:$B$3005,$A278,請求記録!$X$6:$X$3005,V$5,請求記録!$AD$6:$AD$3005,"保留中")&gt;0,"保留",IF(COUNTIFS(請求記録!$B$6:$B$3005,$A278,請求記録!$X$6:$X$3005,V$5)=0,"",SUMIFS(請求記録!$AC$6:$AC$3005,請求記録!$B$6:$B$3005,$A278,請求記録!$X$6:$X$3005,V$5))))</f>
        <v/>
      </c>
      <c r="W278" s="19">
        <f>IF($A278="","",IF(COUNTIFS(請求記録!$B$6:$B$3005,$A278,請求記録!$X$6:$X$3005,W$5,請求記録!$AD$6:$AD$3005,"保留中")&gt;0,"保留",IF(COUNTIFS(請求記録!$B$6:$B$3005,$A278,請求記録!$X$6:$X$3005,W$5)=0,"",SUMIFS(請求記録!$AC$6:$AC$3005,請求記録!$B$6:$B$3005,$A278,請求記録!$X$6:$X$3005,W$5))))</f>
        <v/>
      </c>
      <c r="X278" s="19">
        <f>IF($A278="","",IF(COUNTIFS(請求記録!$B$6:$B$3005,$A278,請求記録!$X$6:$X$3005,X$5,請求記録!$AD$6:$AD$3005,"保留中")&gt;0,"保留",IF(COUNTIFS(請求記録!$B$6:$B$3005,$A278,請求記録!$X$6:$X$3005,X$5)=0,"",SUMIFS(請求記録!$AC$6:$AC$3005,請求記録!$B$6:$B$3005,$A278,請求記録!$X$6:$X$3005,X$5))))</f>
        <v/>
      </c>
      <c r="Y278" s="19">
        <f>IF($A278="","",IF(COUNTIFS(請求記録!$B$6:$B$3005,$A278,請求記録!$X$6:$X$3005,Y$5,請求記録!$AD$6:$AD$3005,"保留中")&gt;0,"保留",IF(COUNTIFS(請求記録!$B$6:$B$3005,$A278,請求記録!$X$6:$X$3005,Y$5)=0,"",SUMIFS(請求記録!$AC$6:$AC$3005,請求記録!$B$6:$B$3005,$A278,請求記録!$X$6:$X$3005,Y$5))))</f>
        <v/>
      </c>
      <c r="Z278" s="19">
        <f>IF($A278="","",IF(COUNTIFS(請求記録!$B$6:$B$3005,$A278,請求記録!$X$6:$X$3005,Z$5,請求記録!$AD$6:$AD$3005,"保留中")&gt;0,"保留",IF(COUNTIFS(請求記録!$B$6:$B$3005,$A278,請求記録!$X$6:$X$3005,Z$5)=0,"",SUMIFS(請求記録!$AC$6:$AC$3005,請求記録!$B$6:$B$3005,$A278,請求記録!$X$6:$X$3005,Z$5))))</f>
        <v/>
      </c>
      <c r="AA278" s="19">
        <f>IF($A278="","",IF(COUNTIFS(請求記録!$B$6:$B$3005,$A278,請求記録!$X$6:$X$3005,AA$5,請求記録!$AD$6:$AD$3005,"保留中")&gt;0,"保留",IF(COUNTIFS(請求記録!$B$6:$B$3005,$A278,請求記録!$X$6:$X$3005,AA$5)=0,"",SUMIFS(請求記録!$AC$6:$AC$3005,請求記録!$B$6:$B$3005,$A278,請求記録!$X$6:$X$3005,AA$5))))</f>
        <v/>
      </c>
      <c r="AB278">
        <f>IF(職員マスタ!P278="保留中",職員マスタ!M278,"")</f>
        <v/>
      </c>
    </row>
    <row r="279">
      <c r="A279">
        <f>IF(職員マスタ!A279="","",職員マスタ!A279)</f>
        <v/>
      </c>
      <c r="B279">
        <f>IF($A279="","",職員マスタ!B279)</f>
        <v/>
      </c>
      <c r="C279">
        <f>IF($A279="","",職員マスタ!C279)</f>
        <v/>
      </c>
      <c r="D279" s="19">
        <f>IF($A279="","",IF(COUNTIFS(請求記録!$B$6:$B$3005,$A279,請求記録!$X$6:$X$3005,D$5,請求記録!$AD$6:$AD$3005,"保留中")&gt;0,"保留",IF(COUNTIFS(請求記録!$B$6:$B$3005,$A279,請求記録!$X$6:$X$3005,D$5)=0,"",SUMIFS(請求記録!$AC$6:$AC$3005,請求記録!$B$6:$B$3005,$A279,請求記録!$X$6:$X$3005,D$5))))</f>
        <v/>
      </c>
      <c r="E279" s="19">
        <f>IF($A279="","",IF(COUNTIFS(請求記録!$B$6:$B$3005,$A279,請求記録!$X$6:$X$3005,E$5,請求記録!$AD$6:$AD$3005,"保留中")&gt;0,"保留",IF(COUNTIFS(請求記録!$B$6:$B$3005,$A279,請求記録!$X$6:$X$3005,E$5)=0,"",SUMIFS(請求記録!$AC$6:$AC$3005,請求記録!$B$6:$B$3005,$A279,請求記録!$X$6:$X$3005,E$5))))</f>
        <v/>
      </c>
      <c r="F279" s="19">
        <f>IF($A279="","",IF(COUNTIFS(請求記録!$B$6:$B$3005,$A279,請求記録!$X$6:$X$3005,F$5,請求記録!$AD$6:$AD$3005,"保留中")&gt;0,"保留",IF(COUNTIFS(請求記録!$B$6:$B$3005,$A279,請求記録!$X$6:$X$3005,F$5)=0,"",SUMIFS(請求記録!$AC$6:$AC$3005,請求記録!$B$6:$B$3005,$A279,請求記録!$X$6:$X$3005,F$5))))</f>
        <v/>
      </c>
      <c r="G279" s="19">
        <f>IF($A279="","",IF(COUNTIFS(請求記録!$B$6:$B$3005,$A279,請求記録!$X$6:$X$3005,G$5,請求記録!$AD$6:$AD$3005,"保留中")&gt;0,"保留",IF(COUNTIFS(請求記録!$B$6:$B$3005,$A279,請求記録!$X$6:$X$3005,G$5)=0,"",SUMIFS(請求記録!$AC$6:$AC$3005,請求記録!$B$6:$B$3005,$A279,請求記録!$X$6:$X$3005,G$5))))</f>
        <v/>
      </c>
      <c r="H279" s="19">
        <f>IF($A279="","",IF(COUNTIFS(請求記録!$B$6:$B$3005,$A279,請求記録!$X$6:$X$3005,H$5,請求記録!$AD$6:$AD$3005,"保留中")&gt;0,"保留",IF(COUNTIFS(請求記録!$B$6:$B$3005,$A279,請求記録!$X$6:$X$3005,H$5)=0,"",SUMIFS(請求記録!$AC$6:$AC$3005,請求記録!$B$6:$B$3005,$A279,請求記録!$X$6:$X$3005,H$5))))</f>
        <v/>
      </c>
      <c r="I279" s="19">
        <f>IF($A279="","",IF(COUNTIFS(請求記録!$B$6:$B$3005,$A279,請求記録!$X$6:$X$3005,I$5,請求記録!$AD$6:$AD$3005,"保留中")&gt;0,"保留",IF(COUNTIFS(請求記録!$B$6:$B$3005,$A279,請求記録!$X$6:$X$3005,I$5)=0,"",SUMIFS(請求記録!$AC$6:$AC$3005,請求記録!$B$6:$B$3005,$A279,請求記録!$X$6:$X$3005,I$5))))</f>
        <v/>
      </c>
      <c r="J279" s="19">
        <f>IF($A279="","",IF(COUNTIFS(請求記録!$B$6:$B$3005,$A279,請求記録!$X$6:$X$3005,J$5,請求記録!$AD$6:$AD$3005,"保留中")&gt;0,"保留",IF(COUNTIFS(請求記録!$B$6:$B$3005,$A279,請求記録!$X$6:$X$3005,J$5)=0,"",SUMIFS(請求記録!$AC$6:$AC$3005,請求記録!$B$6:$B$3005,$A279,請求記録!$X$6:$X$3005,J$5))))</f>
        <v/>
      </c>
      <c r="K279" s="19">
        <f>IF($A279="","",IF(COUNTIFS(請求記録!$B$6:$B$3005,$A279,請求記録!$X$6:$X$3005,K$5,請求記録!$AD$6:$AD$3005,"保留中")&gt;0,"保留",IF(COUNTIFS(請求記録!$B$6:$B$3005,$A279,請求記録!$X$6:$X$3005,K$5)=0,"",SUMIFS(請求記録!$AC$6:$AC$3005,請求記録!$B$6:$B$3005,$A279,請求記録!$X$6:$X$3005,K$5))))</f>
        <v/>
      </c>
      <c r="L279" s="19">
        <f>IF($A279="","",IF(COUNTIFS(請求記録!$B$6:$B$3005,$A279,請求記録!$X$6:$X$3005,L$5,請求記録!$AD$6:$AD$3005,"保留中")&gt;0,"保留",IF(COUNTIFS(請求記録!$B$6:$B$3005,$A279,請求記録!$X$6:$X$3005,L$5)=0,"",SUMIFS(請求記録!$AC$6:$AC$3005,請求記録!$B$6:$B$3005,$A279,請求記録!$X$6:$X$3005,L$5))))</f>
        <v/>
      </c>
      <c r="M279" s="19">
        <f>IF($A279="","",IF(COUNTIFS(請求記録!$B$6:$B$3005,$A279,請求記録!$X$6:$X$3005,M$5,請求記録!$AD$6:$AD$3005,"保留中")&gt;0,"保留",IF(COUNTIFS(請求記録!$B$6:$B$3005,$A279,請求記録!$X$6:$X$3005,M$5)=0,"",SUMIFS(請求記録!$AC$6:$AC$3005,請求記録!$B$6:$B$3005,$A279,請求記録!$X$6:$X$3005,M$5))))</f>
        <v/>
      </c>
      <c r="N279" s="19">
        <f>IF($A279="","",IF(COUNTIFS(請求記録!$B$6:$B$3005,$A279,請求記録!$X$6:$X$3005,N$5,請求記録!$AD$6:$AD$3005,"保留中")&gt;0,"保留",IF(COUNTIFS(請求記録!$B$6:$B$3005,$A279,請求記録!$X$6:$X$3005,N$5)=0,"",SUMIFS(請求記録!$AC$6:$AC$3005,請求記録!$B$6:$B$3005,$A279,請求記録!$X$6:$X$3005,N$5))))</f>
        <v/>
      </c>
      <c r="O279" s="19">
        <f>IF($A279="","",IF(COUNTIFS(請求記録!$B$6:$B$3005,$A279,請求記録!$X$6:$X$3005,O$5,請求記録!$AD$6:$AD$3005,"保留中")&gt;0,"保留",IF(COUNTIFS(請求記録!$B$6:$B$3005,$A279,請求記録!$X$6:$X$3005,O$5)=0,"",SUMIFS(請求記録!$AC$6:$AC$3005,請求記録!$B$6:$B$3005,$A279,請求記録!$X$6:$X$3005,O$5))))</f>
        <v/>
      </c>
      <c r="P279" s="19">
        <f>IF($A279="","",IF(COUNTIFS(請求記録!$B$6:$B$3005,$A279,請求記録!$X$6:$X$3005,P$5,請求記録!$AD$6:$AD$3005,"保留中")&gt;0,"保留",IF(COUNTIFS(請求記録!$B$6:$B$3005,$A279,請求記録!$X$6:$X$3005,P$5)=0,"",SUMIFS(請求記録!$AC$6:$AC$3005,請求記録!$B$6:$B$3005,$A279,請求記録!$X$6:$X$3005,P$5))))</f>
        <v/>
      </c>
      <c r="Q279" s="19">
        <f>IF($A279="","",IF(COUNTIFS(請求記録!$B$6:$B$3005,$A279,請求記録!$X$6:$X$3005,Q$5,請求記録!$AD$6:$AD$3005,"保留中")&gt;0,"保留",IF(COUNTIFS(請求記録!$B$6:$B$3005,$A279,請求記録!$X$6:$X$3005,Q$5)=0,"",SUMIFS(請求記録!$AC$6:$AC$3005,請求記録!$B$6:$B$3005,$A279,請求記録!$X$6:$X$3005,Q$5))))</f>
        <v/>
      </c>
      <c r="R279" s="19">
        <f>IF($A279="","",IF(COUNTIFS(請求記録!$B$6:$B$3005,$A279,請求記録!$X$6:$X$3005,R$5,請求記録!$AD$6:$AD$3005,"保留中")&gt;0,"保留",IF(COUNTIFS(請求記録!$B$6:$B$3005,$A279,請求記録!$X$6:$X$3005,R$5)=0,"",SUMIFS(請求記録!$AC$6:$AC$3005,請求記録!$B$6:$B$3005,$A279,請求記録!$X$6:$X$3005,R$5))))</f>
        <v/>
      </c>
      <c r="S279" s="19">
        <f>IF($A279="","",IF(COUNTIFS(請求記録!$B$6:$B$3005,$A279,請求記録!$X$6:$X$3005,S$5,請求記録!$AD$6:$AD$3005,"保留中")&gt;0,"保留",IF(COUNTIFS(請求記録!$B$6:$B$3005,$A279,請求記録!$X$6:$X$3005,S$5)=0,"",SUMIFS(請求記録!$AC$6:$AC$3005,請求記録!$B$6:$B$3005,$A279,請求記録!$X$6:$X$3005,S$5))))</f>
        <v/>
      </c>
      <c r="T279" s="19">
        <f>IF($A279="","",IF(COUNTIFS(請求記録!$B$6:$B$3005,$A279,請求記録!$X$6:$X$3005,T$5,請求記録!$AD$6:$AD$3005,"保留中")&gt;0,"保留",IF(COUNTIFS(請求記録!$B$6:$B$3005,$A279,請求記録!$X$6:$X$3005,T$5)=0,"",SUMIFS(請求記録!$AC$6:$AC$3005,請求記録!$B$6:$B$3005,$A279,請求記録!$X$6:$X$3005,T$5))))</f>
        <v/>
      </c>
      <c r="U279" s="19">
        <f>IF($A279="","",IF(COUNTIFS(請求記録!$B$6:$B$3005,$A279,請求記録!$X$6:$X$3005,U$5,請求記録!$AD$6:$AD$3005,"保留中")&gt;0,"保留",IF(COUNTIFS(請求記録!$B$6:$B$3005,$A279,請求記録!$X$6:$X$3005,U$5)=0,"",SUMIFS(請求記録!$AC$6:$AC$3005,請求記録!$B$6:$B$3005,$A279,請求記録!$X$6:$X$3005,U$5))))</f>
        <v/>
      </c>
      <c r="V279" s="19">
        <f>IF($A279="","",IF(COUNTIFS(請求記録!$B$6:$B$3005,$A279,請求記録!$X$6:$X$3005,V$5,請求記録!$AD$6:$AD$3005,"保留中")&gt;0,"保留",IF(COUNTIFS(請求記録!$B$6:$B$3005,$A279,請求記録!$X$6:$X$3005,V$5)=0,"",SUMIFS(請求記録!$AC$6:$AC$3005,請求記録!$B$6:$B$3005,$A279,請求記録!$X$6:$X$3005,V$5))))</f>
        <v/>
      </c>
      <c r="W279" s="19">
        <f>IF($A279="","",IF(COUNTIFS(請求記録!$B$6:$B$3005,$A279,請求記録!$X$6:$X$3005,W$5,請求記録!$AD$6:$AD$3005,"保留中")&gt;0,"保留",IF(COUNTIFS(請求記録!$B$6:$B$3005,$A279,請求記録!$X$6:$X$3005,W$5)=0,"",SUMIFS(請求記録!$AC$6:$AC$3005,請求記録!$B$6:$B$3005,$A279,請求記録!$X$6:$X$3005,W$5))))</f>
        <v/>
      </c>
      <c r="X279" s="19">
        <f>IF($A279="","",IF(COUNTIFS(請求記録!$B$6:$B$3005,$A279,請求記録!$X$6:$X$3005,X$5,請求記録!$AD$6:$AD$3005,"保留中")&gt;0,"保留",IF(COUNTIFS(請求記録!$B$6:$B$3005,$A279,請求記録!$X$6:$X$3005,X$5)=0,"",SUMIFS(請求記録!$AC$6:$AC$3005,請求記録!$B$6:$B$3005,$A279,請求記録!$X$6:$X$3005,X$5))))</f>
        <v/>
      </c>
      <c r="Y279" s="19">
        <f>IF($A279="","",IF(COUNTIFS(請求記録!$B$6:$B$3005,$A279,請求記録!$X$6:$X$3005,Y$5,請求記録!$AD$6:$AD$3005,"保留中")&gt;0,"保留",IF(COUNTIFS(請求記録!$B$6:$B$3005,$A279,請求記録!$X$6:$X$3005,Y$5)=0,"",SUMIFS(請求記録!$AC$6:$AC$3005,請求記録!$B$6:$B$3005,$A279,請求記録!$X$6:$X$3005,Y$5))))</f>
        <v/>
      </c>
      <c r="Z279" s="19">
        <f>IF($A279="","",IF(COUNTIFS(請求記録!$B$6:$B$3005,$A279,請求記録!$X$6:$X$3005,Z$5,請求記録!$AD$6:$AD$3005,"保留中")&gt;0,"保留",IF(COUNTIFS(請求記録!$B$6:$B$3005,$A279,請求記録!$X$6:$X$3005,Z$5)=0,"",SUMIFS(請求記録!$AC$6:$AC$3005,請求記録!$B$6:$B$3005,$A279,請求記録!$X$6:$X$3005,Z$5))))</f>
        <v/>
      </c>
      <c r="AA279" s="19">
        <f>IF($A279="","",IF(COUNTIFS(請求記録!$B$6:$B$3005,$A279,請求記録!$X$6:$X$3005,AA$5,請求記録!$AD$6:$AD$3005,"保留中")&gt;0,"保留",IF(COUNTIFS(請求記録!$B$6:$B$3005,$A279,請求記録!$X$6:$X$3005,AA$5)=0,"",SUMIFS(請求記録!$AC$6:$AC$3005,請求記録!$B$6:$B$3005,$A279,請求記録!$X$6:$X$3005,AA$5))))</f>
        <v/>
      </c>
      <c r="AB279">
        <f>IF(職員マスタ!P279="保留中",職員マスタ!M279,"")</f>
        <v/>
      </c>
    </row>
    <row r="280">
      <c r="A280">
        <f>IF(職員マスタ!A280="","",職員マスタ!A280)</f>
        <v/>
      </c>
      <c r="B280">
        <f>IF($A280="","",職員マスタ!B280)</f>
        <v/>
      </c>
      <c r="C280">
        <f>IF($A280="","",職員マスタ!C280)</f>
        <v/>
      </c>
      <c r="D280" s="19">
        <f>IF($A280="","",IF(COUNTIFS(請求記録!$B$6:$B$3005,$A280,請求記録!$X$6:$X$3005,D$5,請求記録!$AD$6:$AD$3005,"保留中")&gt;0,"保留",IF(COUNTIFS(請求記録!$B$6:$B$3005,$A280,請求記録!$X$6:$X$3005,D$5)=0,"",SUMIFS(請求記録!$AC$6:$AC$3005,請求記録!$B$6:$B$3005,$A280,請求記録!$X$6:$X$3005,D$5))))</f>
        <v/>
      </c>
      <c r="E280" s="19">
        <f>IF($A280="","",IF(COUNTIFS(請求記録!$B$6:$B$3005,$A280,請求記録!$X$6:$X$3005,E$5,請求記録!$AD$6:$AD$3005,"保留中")&gt;0,"保留",IF(COUNTIFS(請求記録!$B$6:$B$3005,$A280,請求記録!$X$6:$X$3005,E$5)=0,"",SUMIFS(請求記録!$AC$6:$AC$3005,請求記録!$B$6:$B$3005,$A280,請求記録!$X$6:$X$3005,E$5))))</f>
        <v/>
      </c>
      <c r="F280" s="19">
        <f>IF($A280="","",IF(COUNTIFS(請求記録!$B$6:$B$3005,$A280,請求記録!$X$6:$X$3005,F$5,請求記録!$AD$6:$AD$3005,"保留中")&gt;0,"保留",IF(COUNTIFS(請求記録!$B$6:$B$3005,$A280,請求記録!$X$6:$X$3005,F$5)=0,"",SUMIFS(請求記録!$AC$6:$AC$3005,請求記録!$B$6:$B$3005,$A280,請求記録!$X$6:$X$3005,F$5))))</f>
        <v/>
      </c>
      <c r="G280" s="19">
        <f>IF($A280="","",IF(COUNTIFS(請求記録!$B$6:$B$3005,$A280,請求記録!$X$6:$X$3005,G$5,請求記録!$AD$6:$AD$3005,"保留中")&gt;0,"保留",IF(COUNTIFS(請求記録!$B$6:$B$3005,$A280,請求記録!$X$6:$X$3005,G$5)=0,"",SUMIFS(請求記録!$AC$6:$AC$3005,請求記録!$B$6:$B$3005,$A280,請求記録!$X$6:$X$3005,G$5))))</f>
        <v/>
      </c>
      <c r="H280" s="19">
        <f>IF($A280="","",IF(COUNTIFS(請求記録!$B$6:$B$3005,$A280,請求記録!$X$6:$X$3005,H$5,請求記録!$AD$6:$AD$3005,"保留中")&gt;0,"保留",IF(COUNTIFS(請求記録!$B$6:$B$3005,$A280,請求記録!$X$6:$X$3005,H$5)=0,"",SUMIFS(請求記録!$AC$6:$AC$3005,請求記録!$B$6:$B$3005,$A280,請求記録!$X$6:$X$3005,H$5))))</f>
        <v/>
      </c>
      <c r="I280" s="19">
        <f>IF($A280="","",IF(COUNTIFS(請求記録!$B$6:$B$3005,$A280,請求記録!$X$6:$X$3005,I$5,請求記録!$AD$6:$AD$3005,"保留中")&gt;0,"保留",IF(COUNTIFS(請求記録!$B$6:$B$3005,$A280,請求記録!$X$6:$X$3005,I$5)=0,"",SUMIFS(請求記録!$AC$6:$AC$3005,請求記録!$B$6:$B$3005,$A280,請求記録!$X$6:$X$3005,I$5))))</f>
        <v/>
      </c>
      <c r="J280" s="19">
        <f>IF($A280="","",IF(COUNTIFS(請求記録!$B$6:$B$3005,$A280,請求記録!$X$6:$X$3005,J$5,請求記録!$AD$6:$AD$3005,"保留中")&gt;0,"保留",IF(COUNTIFS(請求記録!$B$6:$B$3005,$A280,請求記録!$X$6:$X$3005,J$5)=0,"",SUMIFS(請求記録!$AC$6:$AC$3005,請求記録!$B$6:$B$3005,$A280,請求記録!$X$6:$X$3005,J$5))))</f>
        <v/>
      </c>
      <c r="K280" s="19">
        <f>IF($A280="","",IF(COUNTIFS(請求記録!$B$6:$B$3005,$A280,請求記録!$X$6:$X$3005,K$5,請求記録!$AD$6:$AD$3005,"保留中")&gt;0,"保留",IF(COUNTIFS(請求記録!$B$6:$B$3005,$A280,請求記録!$X$6:$X$3005,K$5)=0,"",SUMIFS(請求記録!$AC$6:$AC$3005,請求記録!$B$6:$B$3005,$A280,請求記録!$X$6:$X$3005,K$5))))</f>
        <v/>
      </c>
      <c r="L280" s="19">
        <f>IF($A280="","",IF(COUNTIFS(請求記録!$B$6:$B$3005,$A280,請求記録!$X$6:$X$3005,L$5,請求記録!$AD$6:$AD$3005,"保留中")&gt;0,"保留",IF(COUNTIFS(請求記録!$B$6:$B$3005,$A280,請求記録!$X$6:$X$3005,L$5)=0,"",SUMIFS(請求記録!$AC$6:$AC$3005,請求記録!$B$6:$B$3005,$A280,請求記録!$X$6:$X$3005,L$5))))</f>
        <v/>
      </c>
      <c r="M280" s="19">
        <f>IF($A280="","",IF(COUNTIFS(請求記録!$B$6:$B$3005,$A280,請求記録!$X$6:$X$3005,M$5,請求記録!$AD$6:$AD$3005,"保留中")&gt;0,"保留",IF(COUNTIFS(請求記録!$B$6:$B$3005,$A280,請求記録!$X$6:$X$3005,M$5)=0,"",SUMIFS(請求記録!$AC$6:$AC$3005,請求記録!$B$6:$B$3005,$A280,請求記録!$X$6:$X$3005,M$5))))</f>
        <v/>
      </c>
      <c r="N280" s="19">
        <f>IF($A280="","",IF(COUNTIFS(請求記録!$B$6:$B$3005,$A280,請求記録!$X$6:$X$3005,N$5,請求記録!$AD$6:$AD$3005,"保留中")&gt;0,"保留",IF(COUNTIFS(請求記録!$B$6:$B$3005,$A280,請求記録!$X$6:$X$3005,N$5)=0,"",SUMIFS(請求記録!$AC$6:$AC$3005,請求記録!$B$6:$B$3005,$A280,請求記録!$X$6:$X$3005,N$5))))</f>
        <v/>
      </c>
      <c r="O280" s="19">
        <f>IF($A280="","",IF(COUNTIFS(請求記録!$B$6:$B$3005,$A280,請求記録!$X$6:$X$3005,O$5,請求記録!$AD$6:$AD$3005,"保留中")&gt;0,"保留",IF(COUNTIFS(請求記録!$B$6:$B$3005,$A280,請求記録!$X$6:$X$3005,O$5)=0,"",SUMIFS(請求記録!$AC$6:$AC$3005,請求記録!$B$6:$B$3005,$A280,請求記録!$X$6:$X$3005,O$5))))</f>
        <v/>
      </c>
      <c r="P280" s="19">
        <f>IF($A280="","",IF(COUNTIFS(請求記録!$B$6:$B$3005,$A280,請求記録!$X$6:$X$3005,P$5,請求記録!$AD$6:$AD$3005,"保留中")&gt;0,"保留",IF(COUNTIFS(請求記録!$B$6:$B$3005,$A280,請求記録!$X$6:$X$3005,P$5)=0,"",SUMIFS(請求記録!$AC$6:$AC$3005,請求記録!$B$6:$B$3005,$A280,請求記録!$X$6:$X$3005,P$5))))</f>
        <v/>
      </c>
      <c r="Q280" s="19">
        <f>IF($A280="","",IF(COUNTIFS(請求記録!$B$6:$B$3005,$A280,請求記録!$X$6:$X$3005,Q$5,請求記録!$AD$6:$AD$3005,"保留中")&gt;0,"保留",IF(COUNTIFS(請求記録!$B$6:$B$3005,$A280,請求記録!$X$6:$X$3005,Q$5)=0,"",SUMIFS(請求記録!$AC$6:$AC$3005,請求記録!$B$6:$B$3005,$A280,請求記録!$X$6:$X$3005,Q$5))))</f>
        <v/>
      </c>
      <c r="R280" s="19">
        <f>IF($A280="","",IF(COUNTIFS(請求記録!$B$6:$B$3005,$A280,請求記録!$X$6:$X$3005,R$5,請求記録!$AD$6:$AD$3005,"保留中")&gt;0,"保留",IF(COUNTIFS(請求記録!$B$6:$B$3005,$A280,請求記録!$X$6:$X$3005,R$5)=0,"",SUMIFS(請求記録!$AC$6:$AC$3005,請求記録!$B$6:$B$3005,$A280,請求記録!$X$6:$X$3005,R$5))))</f>
        <v/>
      </c>
      <c r="S280" s="19">
        <f>IF($A280="","",IF(COUNTIFS(請求記録!$B$6:$B$3005,$A280,請求記録!$X$6:$X$3005,S$5,請求記録!$AD$6:$AD$3005,"保留中")&gt;0,"保留",IF(COUNTIFS(請求記録!$B$6:$B$3005,$A280,請求記録!$X$6:$X$3005,S$5)=0,"",SUMIFS(請求記録!$AC$6:$AC$3005,請求記録!$B$6:$B$3005,$A280,請求記録!$X$6:$X$3005,S$5))))</f>
        <v/>
      </c>
      <c r="T280" s="19">
        <f>IF($A280="","",IF(COUNTIFS(請求記録!$B$6:$B$3005,$A280,請求記録!$X$6:$X$3005,T$5,請求記録!$AD$6:$AD$3005,"保留中")&gt;0,"保留",IF(COUNTIFS(請求記録!$B$6:$B$3005,$A280,請求記録!$X$6:$X$3005,T$5)=0,"",SUMIFS(請求記録!$AC$6:$AC$3005,請求記録!$B$6:$B$3005,$A280,請求記録!$X$6:$X$3005,T$5))))</f>
        <v/>
      </c>
      <c r="U280" s="19">
        <f>IF($A280="","",IF(COUNTIFS(請求記録!$B$6:$B$3005,$A280,請求記録!$X$6:$X$3005,U$5,請求記録!$AD$6:$AD$3005,"保留中")&gt;0,"保留",IF(COUNTIFS(請求記録!$B$6:$B$3005,$A280,請求記録!$X$6:$X$3005,U$5)=0,"",SUMIFS(請求記録!$AC$6:$AC$3005,請求記録!$B$6:$B$3005,$A280,請求記録!$X$6:$X$3005,U$5))))</f>
        <v/>
      </c>
      <c r="V280" s="19">
        <f>IF($A280="","",IF(COUNTIFS(請求記録!$B$6:$B$3005,$A280,請求記録!$X$6:$X$3005,V$5,請求記録!$AD$6:$AD$3005,"保留中")&gt;0,"保留",IF(COUNTIFS(請求記録!$B$6:$B$3005,$A280,請求記録!$X$6:$X$3005,V$5)=0,"",SUMIFS(請求記録!$AC$6:$AC$3005,請求記録!$B$6:$B$3005,$A280,請求記録!$X$6:$X$3005,V$5))))</f>
        <v/>
      </c>
      <c r="W280" s="19">
        <f>IF($A280="","",IF(COUNTIFS(請求記録!$B$6:$B$3005,$A280,請求記録!$X$6:$X$3005,W$5,請求記録!$AD$6:$AD$3005,"保留中")&gt;0,"保留",IF(COUNTIFS(請求記録!$B$6:$B$3005,$A280,請求記録!$X$6:$X$3005,W$5)=0,"",SUMIFS(請求記録!$AC$6:$AC$3005,請求記録!$B$6:$B$3005,$A280,請求記録!$X$6:$X$3005,W$5))))</f>
        <v/>
      </c>
      <c r="X280" s="19">
        <f>IF($A280="","",IF(COUNTIFS(請求記録!$B$6:$B$3005,$A280,請求記録!$X$6:$X$3005,X$5,請求記録!$AD$6:$AD$3005,"保留中")&gt;0,"保留",IF(COUNTIFS(請求記録!$B$6:$B$3005,$A280,請求記録!$X$6:$X$3005,X$5)=0,"",SUMIFS(請求記録!$AC$6:$AC$3005,請求記録!$B$6:$B$3005,$A280,請求記録!$X$6:$X$3005,X$5))))</f>
        <v/>
      </c>
      <c r="Y280" s="19">
        <f>IF($A280="","",IF(COUNTIFS(請求記録!$B$6:$B$3005,$A280,請求記録!$X$6:$X$3005,Y$5,請求記録!$AD$6:$AD$3005,"保留中")&gt;0,"保留",IF(COUNTIFS(請求記録!$B$6:$B$3005,$A280,請求記録!$X$6:$X$3005,Y$5)=0,"",SUMIFS(請求記録!$AC$6:$AC$3005,請求記録!$B$6:$B$3005,$A280,請求記録!$X$6:$X$3005,Y$5))))</f>
        <v/>
      </c>
      <c r="Z280" s="19">
        <f>IF($A280="","",IF(COUNTIFS(請求記録!$B$6:$B$3005,$A280,請求記録!$X$6:$X$3005,Z$5,請求記録!$AD$6:$AD$3005,"保留中")&gt;0,"保留",IF(COUNTIFS(請求記録!$B$6:$B$3005,$A280,請求記録!$X$6:$X$3005,Z$5)=0,"",SUMIFS(請求記録!$AC$6:$AC$3005,請求記録!$B$6:$B$3005,$A280,請求記録!$X$6:$X$3005,Z$5))))</f>
        <v/>
      </c>
      <c r="AA280" s="19">
        <f>IF($A280="","",IF(COUNTIFS(請求記録!$B$6:$B$3005,$A280,請求記録!$X$6:$X$3005,AA$5,請求記録!$AD$6:$AD$3005,"保留中")&gt;0,"保留",IF(COUNTIFS(請求記録!$B$6:$B$3005,$A280,請求記録!$X$6:$X$3005,AA$5)=0,"",SUMIFS(請求記録!$AC$6:$AC$3005,請求記録!$B$6:$B$3005,$A280,請求記録!$X$6:$X$3005,AA$5))))</f>
        <v/>
      </c>
      <c r="AB280">
        <f>IF(職員マスタ!P280="保留中",職員マスタ!M280,"")</f>
        <v/>
      </c>
    </row>
    <row r="281">
      <c r="A281">
        <f>IF(職員マスタ!A281="","",職員マスタ!A281)</f>
        <v/>
      </c>
      <c r="B281">
        <f>IF($A281="","",職員マスタ!B281)</f>
        <v/>
      </c>
      <c r="C281">
        <f>IF($A281="","",職員マスタ!C281)</f>
        <v/>
      </c>
      <c r="D281" s="19">
        <f>IF($A281="","",IF(COUNTIFS(請求記録!$B$6:$B$3005,$A281,請求記録!$X$6:$X$3005,D$5,請求記録!$AD$6:$AD$3005,"保留中")&gt;0,"保留",IF(COUNTIFS(請求記録!$B$6:$B$3005,$A281,請求記録!$X$6:$X$3005,D$5)=0,"",SUMIFS(請求記録!$AC$6:$AC$3005,請求記録!$B$6:$B$3005,$A281,請求記録!$X$6:$X$3005,D$5))))</f>
        <v/>
      </c>
      <c r="E281" s="19">
        <f>IF($A281="","",IF(COUNTIFS(請求記録!$B$6:$B$3005,$A281,請求記録!$X$6:$X$3005,E$5,請求記録!$AD$6:$AD$3005,"保留中")&gt;0,"保留",IF(COUNTIFS(請求記録!$B$6:$B$3005,$A281,請求記録!$X$6:$X$3005,E$5)=0,"",SUMIFS(請求記録!$AC$6:$AC$3005,請求記録!$B$6:$B$3005,$A281,請求記録!$X$6:$X$3005,E$5))))</f>
        <v/>
      </c>
      <c r="F281" s="19">
        <f>IF($A281="","",IF(COUNTIFS(請求記録!$B$6:$B$3005,$A281,請求記録!$X$6:$X$3005,F$5,請求記録!$AD$6:$AD$3005,"保留中")&gt;0,"保留",IF(COUNTIFS(請求記録!$B$6:$B$3005,$A281,請求記録!$X$6:$X$3005,F$5)=0,"",SUMIFS(請求記録!$AC$6:$AC$3005,請求記録!$B$6:$B$3005,$A281,請求記録!$X$6:$X$3005,F$5))))</f>
        <v/>
      </c>
      <c r="G281" s="19">
        <f>IF($A281="","",IF(COUNTIFS(請求記録!$B$6:$B$3005,$A281,請求記録!$X$6:$X$3005,G$5,請求記録!$AD$6:$AD$3005,"保留中")&gt;0,"保留",IF(COUNTIFS(請求記録!$B$6:$B$3005,$A281,請求記録!$X$6:$X$3005,G$5)=0,"",SUMIFS(請求記録!$AC$6:$AC$3005,請求記録!$B$6:$B$3005,$A281,請求記録!$X$6:$X$3005,G$5))))</f>
        <v/>
      </c>
      <c r="H281" s="19">
        <f>IF($A281="","",IF(COUNTIFS(請求記録!$B$6:$B$3005,$A281,請求記録!$X$6:$X$3005,H$5,請求記録!$AD$6:$AD$3005,"保留中")&gt;0,"保留",IF(COUNTIFS(請求記録!$B$6:$B$3005,$A281,請求記録!$X$6:$X$3005,H$5)=0,"",SUMIFS(請求記録!$AC$6:$AC$3005,請求記録!$B$6:$B$3005,$A281,請求記録!$X$6:$X$3005,H$5))))</f>
        <v/>
      </c>
      <c r="I281" s="19">
        <f>IF($A281="","",IF(COUNTIFS(請求記録!$B$6:$B$3005,$A281,請求記録!$X$6:$X$3005,I$5,請求記録!$AD$6:$AD$3005,"保留中")&gt;0,"保留",IF(COUNTIFS(請求記録!$B$6:$B$3005,$A281,請求記録!$X$6:$X$3005,I$5)=0,"",SUMIFS(請求記録!$AC$6:$AC$3005,請求記録!$B$6:$B$3005,$A281,請求記録!$X$6:$X$3005,I$5))))</f>
        <v/>
      </c>
      <c r="J281" s="19">
        <f>IF($A281="","",IF(COUNTIFS(請求記録!$B$6:$B$3005,$A281,請求記録!$X$6:$X$3005,J$5,請求記録!$AD$6:$AD$3005,"保留中")&gt;0,"保留",IF(COUNTIFS(請求記録!$B$6:$B$3005,$A281,請求記録!$X$6:$X$3005,J$5)=0,"",SUMIFS(請求記録!$AC$6:$AC$3005,請求記録!$B$6:$B$3005,$A281,請求記録!$X$6:$X$3005,J$5))))</f>
        <v/>
      </c>
      <c r="K281" s="19">
        <f>IF($A281="","",IF(COUNTIFS(請求記録!$B$6:$B$3005,$A281,請求記録!$X$6:$X$3005,K$5,請求記録!$AD$6:$AD$3005,"保留中")&gt;0,"保留",IF(COUNTIFS(請求記録!$B$6:$B$3005,$A281,請求記録!$X$6:$X$3005,K$5)=0,"",SUMIFS(請求記録!$AC$6:$AC$3005,請求記録!$B$6:$B$3005,$A281,請求記録!$X$6:$X$3005,K$5))))</f>
        <v/>
      </c>
      <c r="L281" s="19">
        <f>IF($A281="","",IF(COUNTIFS(請求記録!$B$6:$B$3005,$A281,請求記録!$X$6:$X$3005,L$5,請求記録!$AD$6:$AD$3005,"保留中")&gt;0,"保留",IF(COUNTIFS(請求記録!$B$6:$B$3005,$A281,請求記録!$X$6:$X$3005,L$5)=0,"",SUMIFS(請求記録!$AC$6:$AC$3005,請求記録!$B$6:$B$3005,$A281,請求記録!$X$6:$X$3005,L$5))))</f>
        <v/>
      </c>
      <c r="M281" s="19">
        <f>IF($A281="","",IF(COUNTIFS(請求記録!$B$6:$B$3005,$A281,請求記録!$X$6:$X$3005,M$5,請求記録!$AD$6:$AD$3005,"保留中")&gt;0,"保留",IF(COUNTIFS(請求記録!$B$6:$B$3005,$A281,請求記録!$X$6:$X$3005,M$5)=0,"",SUMIFS(請求記録!$AC$6:$AC$3005,請求記録!$B$6:$B$3005,$A281,請求記録!$X$6:$X$3005,M$5))))</f>
        <v/>
      </c>
      <c r="N281" s="19">
        <f>IF($A281="","",IF(COUNTIFS(請求記録!$B$6:$B$3005,$A281,請求記録!$X$6:$X$3005,N$5,請求記録!$AD$6:$AD$3005,"保留中")&gt;0,"保留",IF(COUNTIFS(請求記録!$B$6:$B$3005,$A281,請求記録!$X$6:$X$3005,N$5)=0,"",SUMIFS(請求記録!$AC$6:$AC$3005,請求記録!$B$6:$B$3005,$A281,請求記録!$X$6:$X$3005,N$5))))</f>
        <v/>
      </c>
      <c r="O281" s="19">
        <f>IF($A281="","",IF(COUNTIFS(請求記録!$B$6:$B$3005,$A281,請求記録!$X$6:$X$3005,O$5,請求記録!$AD$6:$AD$3005,"保留中")&gt;0,"保留",IF(COUNTIFS(請求記録!$B$6:$B$3005,$A281,請求記録!$X$6:$X$3005,O$5)=0,"",SUMIFS(請求記録!$AC$6:$AC$3005,請求記録!$B$6:$B$3005,$A281,請求記録!$X$6:$X$3005,O$5))))</f>
        <v/>
      </c>
      <c r="P281" s="19">
        <f>IF($A281="","",IF(COUNTIFS(請求記録!$B$6:$B$3005,$A281,請求記録!$X$6:$X$3005,P$5,請求記録!$AD$6:$AD$3005,"保留中")&gt;0,"保留",IF(COUNTIFS(請求記録!$B$6:$B$3005,$A281,請求記録!$X$6:$X$3005,P$5)=0,"",SUMIFS(請求記録!$AC$6:$AC$3005,請求記録!$B$6:$B$3005,$A281,請求記録!$X$6:$X$3005,P$5))))</f>
        <v/>
      </c>
      <c r="Q281" s="19">
        <f>IF($A281="","",IF(COUNTIFS(請求記録!$B$6:$B$3005,$A281,請求記録!$X$6:$X$3005,Q$5,請求記録!$AD$6:$AD$3005,"保留中")&gt;0,"保留",IF(COUNTIFS(請求記録!$B$6:$B$3005,$A281,請求記録!$X$6:$X$3005,Q$5)=0,"",SUMIFS(請求記録!$AC$6:$AC$3005,請求記録!$B$6:$B$3005,$A281,請求記録!$X$6:$X$3005,Q$5))))</f>
        <v/>
      </c>
      <c r="R281" s="19">
        <f>IF($A281="","",IF(COUNTIFS(請求記録!$B$6:$B$3005,$A281,請求記録!$X$6:$X$3005,R$5,請求記録!$AD$6:$AD$3005,"保留中")&gt;0,"保留",IF(COUNTIFS(請求記録!$B$6:$B$3005,$A281,請求記録!$X$6:$X$3005,R$5)=0,"",SUMIFS(請求記録!$AC$6:$AC$3005,請求記録!$B$6:$B$3005,$A281,請求記録!$X$6:$X$3005,R$5))))</f>
        <v/>
      </c>
      <c r="S281" s="19">
        <f>IF($A281="","",IF(COUNTIFS(請求記録!$B$6:$B$3005,$A281,請求記録!$X$6:$X$3005,S$5,請求記録!$AD$6:$AD$3005,"保留中")&gt;0,"保留",IF(COUNTIFS(請求記録!$B$6:$B$3005,$A281,請求記録!$X$6:$X$3005,S$5)=0,"",SUMIFS(請求記録!$AC$6:$AC$3005,請求記録!$B$6:$B$3005,$A281,請求記録!$X$6:$X$3005,S$5))))</f>
        <v/>
      </c>
      <c r="T281" s="19">
        <f>IF($A281="","",IF(COUNTIFS(請求記録!$B$6:$B$3005,$A281,請求記録!$X$6:$X$3005,T$5,請求記録!$AD$6:$AD$3005,"保留中")&gt;0,"保留",IF(COUNTIFS(請求記録!$B$6:$B$3005,$A281,請求記録!$X$6:$X$3005,T$5)=0,"",SUMIFS(請求記録!$AC$6:$AC$3005,請求記録!$B$6:$B$3005,$A281,請求記録!$X$6:$X$3005,T$5))))</f>
        <v/>
      </c>
      <c r="U281" s="19">
        <f>IF($A281="","",IF(COUNTIFS(請求記録!$B$6:$B$3005,$A281,請求記録!$X$6:$X$3005,U$5,請求記録!$AD$6:$AD$3005,"保留中")&gt;0,"保留",IF(COUNTIFS(請求記録!$B$6:$B$3005,$A281,請求記録!$X$6:$X$3005,U$5)=0,"",SUMIFS(請求記録!$AC$6:$AC$3005,請求記録!$B$6:$B$3005,$A281,請求記録!$X$6:$X$3005,U$5))))</f>
        <v/>
      </c>
      <c r="V281" s="19">
        <f>IF($A281="","",IF(COUNTIFS(請求記録!$B$6:$B$3005,$A281,請求記録!$X$6:$X$3005,V$5,請求記録!$AD$6:$AD$3005,"保留中")&gt;0,"保留",IF(COUNTIFS(請求記録!$B$6:$B$3005,$A281,請求記録!$X$6:$X$3005,V$5)=0,"",SUMIFS(請求記録!$AC$6:$AC$3005,請求記録!$B$6:$B$3005,$A281,請求記録!$X$6:$X$3005,V$5))))</f>
        <v/>
      </c>
      <c r="W281" s="19">
        <f>IF($A281="","",IF(COUNTIFS(請求記録!$B$6:$B$3005,$A281,請求記録!$X$6:$X$3005,W$5,請求記録!$AD$6:$AD$3005,"保留中")&gt;0,"保留",IF(COUNTIFS(請求記録!$B$6:$B$3005,$A281,請求記録!$X$6:$X$3005,W$5)=0,"",SUMIFS(請求記録!$AC$6:$AC$3005,請求記録!$B$6:$B$3005,$A281,請求記録!$X$6:$X$3005,W$5))))</f>
        <v/>
      </c>
      <c r="X281" s="19">
        <f>IF($A281="","",IF(COUNTIFS(請求記録!$B$6:$B$3005,$A281,請求記録!$X$6:$X$3005,X$5,請求記録!$AD$6:$AD$3005,"保留中")&gt;0,"保留",IF(COUNTIFS(請求記録!$B$6:$B$3005,$A281,請求記録!$X$6:$X$3005,X$5)=0,"",SUMIFS(請求記録!$AC$6:$AC$3005,請求記録!$B$6:$B$3005,$A281,請求記録!$X$6:$X$3005,X$5))))</f>
        <v/>
      </c>
      <c r="Y281" s="19">
        <f>IF($A281="","",IF(COUNTIFS(請求記録!$B$6:$B$3005,$A281,請求記録!$X$6:$X$3005,Y$5,請求記録!$AD$6:$AD$3005,"保留中")&gt;0,"保留",IF(COUNTIFS(請求記録!$B$6:$B$3005,$A281,請求記録!$X$6:$X$3005,Y$5)=0,"",SUMIFS(請求記録!$AC$6:$AC$3005,請求記録!$B$6:$B$3005,$A281,請求記録!$X$6:$X$3005,Y$5))))</f>
        <v/>
      </c>
      <c r="Z281" s="19">
        <f>IF($A281="","",IF(COUNTIFS(請求記録!$B$6:$B$3005,$A281,請求記録!$X$6:$X$3005,Z$5,請求記録!$AD$6:$AD$3005,"保留中")&gt;0,"保留",IF(COUNTIFS(請求記録!$B$6:$B$3005,$A281,請求記録!$X$6:$X$3005,Z$5)=0,"",SUMIFS(請求記録!$AC$6:$AC$3005,請求記録!$B$6:$B$3005,$A281,請求記録!$X$6:$X$3005,Z$5))))</f>
        <v/>
      </c>
      <c r="AA281" s="19">
        <f>IF($A281="","",IF(COUNTIFS(請求記録!$B$6:$B$3005,$A281,請求記録!$X$6:$X$3005,AA$5,請求記録!$AD$6:$AD$3005,"保留中")&gt;0,"保留",IF(COUNTIFS(請求記録!$B$6:$B$3005,$A281,請求記録!$X$6:$X$3005,AA$5)=0,"",SUMIFS(請求記録!$AC$6:$AC$3005,請求記録!$B$6:$B$3005,$A281,請求記録!$X$6:$X$3005,AA$5))))</f>
        <v/>
      </c>
      <c r="AB281">
        <f>IF(職員マスタ!P281="保留中",職員マスタ!M281,"")</f>
        <v/>
      </c>
    </row>
    <row r="282">
      <c r="A282">
        <f>IF(職員マスタ!A282="","",職員マスタ!A282)</f>
        <v/>
      </c>
      <c r="B282">
        <f>IF($A282="","",職員マスタ!B282)</f>
        <v/>
      </c>
      <c r="C282">
        <f>IF($A282="","",職員マスタ!C282)</f>
        <v/>
      </c>
      <c r="D282" s="19">
        <f>IF($A282="","",IF(COUNTIFS(請求記録!$B$6:$B$3005,$A282,請求記録!$X$6:$X$3005,D$5,請求記録!$AD$6:$AD$3005,"保留中")&gt;0,"保留",IF(COUNTIFS(請求記録!$B$6:$B$3005,$A282,請求記録!$X$6:$X$3005,D$5)=0,"",SUMIFS(請求記録!$AC$6:$AC$3005,請求記録!$B$6:$B$3005,$A282,請求記録!$X$6:$X$3005,D$5))))</f>
        <v/>
      </c>
      <c r="E282" s="19">
        <f>IF($A282="","",IF(COUNTIFS(請求記録!$B$6:$B$3005,$A282,請求記録!$X$6:$X$3005,E$5,請求記録!$AD$6:$AD$3005,"保留中")&gt;0,"保留",IF(COUNTIFS(請求記録!$B$6:$B$3005,$A282,請求記録!$X$6:$X$3005,E$5)=0,"",SUMIFS(請求記録!$AC$6:$AC$3005,請求記録!$B$6:$B$3005,$A282,請求記録!$X$6:$X$3005,E$5))))</f>
        <v/>
      </c>
      <c r="F282" s="19">
        <f>IF($A282="","",IF(COUNTIFS(請求記録!$B$6:$B$3005,$A282,請求記録!$X$6:$X$3005,F$5,請求記録!$AD$6:$AD$3005,"保留中")&gt;0,"保留",IF(COUNTIFS(請求記録!$B$6:$B$3005,$A282,請求記録!$X$6:$X$3005,F$5)=0,"",SUMIFS(請求記録!$AC$6:$AC$3005,請求記録!$B$6:$B$3005,$A282,請求記録!$X$6:$X$3005,F$5))))</f>
        <v/>
      </c>
      <c r="G282" s="19">
        <f>IF($A282="","",IF(COUNTIFS(請求記録!$B$6:$B$3005,$A282,請求記録!$X$6:$X$3005,G$5,請求記録!$AD$6:$AD$3005,"保留中")&gt;0,"保留",IF(COUNTIFS(請求記録!$B$6:$B$3005,$A282,請求記録!$X$6:$X$3005,G$5)=0,"",SUMIFS(請求記録!$AC$6:$AC$3005,請求記録!$B$6:$B$3005,$A282,請求記録!$X$6:$X$3005,G$5))))</f>
        <v/>
      </c>
      <c r="H282" s="19">
        <f>IF($A282="","",IF(COUNTIFS(請求記録!$B$6:$B$3005,$A282,請求記録!$X$6:$X$3005,H$5,請求記録!$AD$6:$AD$3005,"保留中")&gt;0,"保留",IF(COUNTIFS(請求記録!$B$6:$B$3005,$A282,請求記録!$X$6:$X$3005,H$5)=0,"",SUMIFS(請求記録!$AC$6:$AC$3005,請求記録!$B$6:$B$3005,$A282,請求記録!$X$6:$X$3005,H$5))))</f>
        <v/>
      </c>
      <c r="I282" s="19">
        <f>IF($A282="","",IF(COUNTIFS(請求記録!$B$6:$B$3005,$A282,請求記録!$X$6:$X$3005,I$5,請求記録!$AD$6:$AD$3005,"保留中")&gt;0,"保留",IF(COUNTIFS(請求記録!$B$6:$B$3005,$A282,請求記録!$X$6:$X$3005,I$5)=0,"",SUMIFS(請求記録!$AC$6:$AC$3005,請求記録!$B$6:$B$3005,$A282,請求記録!$X$6:$X$3005,I$5))))</f>
        <v/>
      </c>
      <c r="J282" s="19">
        <f>IF($A282="","",IF(COUNTIFS(請求記録!$B$6:$B$3005,$A282,請求記録!$X$6:$X$3005,J$5,請求記録!$AD$6:$AD$3005,"保留中")&gt;0,"保留",IF(COUNTIFS(請求記録!$B$6:$B$3005,$A282,請求記録!$X$6:$X$3005,J$5)=0,"",SUMIFS(請求記録!$AC$6:$AC$3005,請求記録!$B$6:$B$3005,$A282,請求記録!$X$6:$X$3005,J$5))))</f>
        <v/>
      </c>
      <c r="K282" s="19">
        <f>IF($A282="","",IF(COUNTIFS(請求記録!$B$6:$B$3005,$A282,請求記録!$X$6:$X$3005,K$5,請求記録!$AD$6:$AD$3005,"保留中")&gt;0,"保留",IF(COUNTIFS(請求記録!$B$6:$B$3005,$A282,請求記録!$X$6:$X$3005,K$5)=0,"",SUMIFS(請求記録!$AC$6:$AC$3005,請求記録!$B$6:$B$3005,$A282,請求記録!$X$6:$X$3005,K$5))))</f>
        <v/>
      </c>
      <c r="L282" s="19">
        <f>IF($A282="","",IF(COUNTIFS(請求記録!$B$6:$B$3005,$A282,請求記録!$X$6:$X$3005,L$5,請求記録!$AD$6:$AD$3005,"保留中")&gt;0,"保留",IF(COUNTIFS(請求記録!$B$6:$B$3005,$A282,請求記録!$X$6:$X$3005,L$5)=0,"",SUMIFS(請求記録!$AC$6:$AC$3005,請求記録!$B$6:$B$3005,$A282,請求記録!$X$6:$X$3005,L$5))))</f>
        <v/>
      </c>
      <c r="M282" s="19">
        <f>IF($A282="","",IF(COUNTIFS(請求記録!$B$6:$B$3005,$A282,請求記録!$X$6:$X$3005,M$5,請求記録!$AD$6:$AD$3005,"保留中")&gt;0,"保留",IF(COUNTIFS(請求記録!$B$6:$B$3005,$A282,請求記録!$X$6:$X$3005,M$5)=0,"",SUMIFS(請求記録!$AC$6:$AC$3005,請求記録!$B$6:$B$3005,$A282,請求記録!$X$6:$X$3005,M$5))))</f>
        <v/>
      </c>
      <c r="N282" s="19">
        <f>IF($A282="","",IF(COUNTIFS(請求記録!$B$6:$B$3005,$A282,請求記録!$X$6:$X$3005,N$5,請求記録!$AD$6:$AD$3005,"保留中")&gt;0,"保留",IF(COUNTIFS(請求記録!$B$6:$B$3005,$A282,請求記録!$X$6:$X$3005,N$5)=0,"",SUMIFS(請求記録!$AC$6:$AC$3005,請求記録!$B$6:$B$3005,$A282,請求記録!$X$6:$X$3005,N$5))))</f>
        <v/>
      </c>
      <c r="O282" s="19">
        <f>IF($A282="","",IF(COUNTIFS(請求記録!$B$6:$B$3005,$A282,請求記録!$X$6:$X$3005,O$5,請求記録!$AD$6:$AD$3005,"保留中")&gt;0,"保留",IF(COUNTIFS(請求記録!$B$6:$B$3005,$A282,請求記録!$X$6:$X$3005,O$5)=0,"",SUMIFS(請求記録!$AC$6:$AC$3005,請求記録!$B$6:$B$3005,$A282,請求記録!$X$6:$X$3005,O$5))))</f>
        <v/>
      </c>
      <c r="P282" s="19">
        <f>IF($A282="","",IF(COUNTIFS(請求記録!$B$6:$B$3005,$A282,請求記録!$X$6:$X$3005,P$5,請求記録!$AD$6:$AD$3005,"保留中")&gt;0,"保留",IF(COUNTIFS(請求記録!$B$6:$B$3005,$A282,請求記録!$X$6:$X$3005,P$5)=0,"",SUMIFS(請求記録!$AC$6:$AC$3005,請求記録!$B$6:$B$3005,$A282,請求記録!$X$6:$X$3005,P$5))))</f>
        <v/>
      </c>
      <c r="Q282" s="19">
        <f>IF($A282="","",IF(COUNTIFS(請求記録!$B$6:$B$3005,$A282,請求記録!$X$6:$X$3005,Q$5,請求記録!$AD$6:$AD$3005,"保留中")&gt;0,"保留",IF(COUNTIFS(請求記録!$B$6:$B$3005,$A282,請求記録!$X$6:$X$3005,Q$5)=0,"",SUMIFS(請求記録!$AC$6:$AC$3005,請求記録!$B$6:$B$3005,$A282,請求記録!$X$6:$X$3005,Q$5))))</f>
        <v/>
      </c>
      <c r="R282" s="19">
        <f>IF($A282="","",IF(COUNTIFS(請求記録!$B$6:$B$3005,$A282,請求記録!$X$6:$X$3005,R$5,請求記録!$AD$6:$AD$3005,"保留中")&gt;0,"保留",IF(COUNTIFS(請求記録!$B$6:$B$3005,$A282,請求記録!$X$6:$X$3005,R$5)=0,"",SUMIFS(請求記録!$AC$6:$AC$3005,請求記録!$B$6:$B$3005,$A282,請求記録!$X$6:$X$3005,R$5))))</f>
        <v/>
      </c>
      <c r="S282" s="19">
        <f>IF($A282="","",IF(COUNTIFS(請求記録!$B$6:$B$3005,$A282,請求記録!$X$6:$X$3005,S$5,請求記録!$AD$6:$AD$3005,"保留中")&gt;0,"保留",IF(COUNTIFS(請求記録!$B$6:$B$3005,$A282,請求記録!$X$6:$X$3005,S$5)=0,"",SUMIFS(請求記録!$AC$6:$AC$3005,請求記録!$B$6:$B$3005,$A282,請求記録!$X$6:$X$3005,S$5))))</f>
        <v/>
      </c>
      <c r="T282" s="19">
        <f>IF($A282="","",IF(COUNTIFS(請求記録!$B$6:$B$3005,$A282,請求記録!$X$6:$X$3005,T$5,請求記録!$AD$6:$AD$3005,"保留中")&gt;0,"保留",IF(COUNTIFS(請求記録!$B$6:$B$3005,$A282,請求記録!$X$6:$X$3005,T$5)=0,"",SUMIFS(請求記録!$AC$6:$AC$3005,請求記録!$B$6:$B$3005,$A282,請求記録!$X$6:$X$3005,T$5))))</f>
        <v/>
      </c>
      <c r="U282" s="19">
        <f>IF($A282="","",IF(COUNTIFS(請求記録!$B$6:$B$3005,$A282,請求記録!$X$6:$X$3005,U$5,請求記録!$AD$6:$AD$3005,"保留中")&gt;0,"保留",IF(COUNTIFS(請求記録!$B$6:$B$3005,$A282,請求記録!$X$6:$X$3005,U$5)=0,"",SUMIFS(請求記録!$AC$6:$AC$3005,請求記録!$B$6:$B$3005,$A282,請求記録!$X$6:$X$3005,U$5))))</f>
        <v/>
      </c>
      <c r="V282" s="19">
        <f>IF($A282="","",IF(COUNTIFS(請求記録!$B$6:$B$3005,$A282,請求記録!$X$6:$X$3005,V$5,請求記録!$AD$6:$AD$3005,"保留中")&gt;0,"保留",IF(COUNTIFS(請求記録!$B$6:$B$3005,$A282,請求記録!$X$6:$X$3005,V$5)=0,"",SUMIFS(請求記録!$AC$6:$AC$3005,請求記録!$B$6:$B$3005,$A282,請求記録!$X$6:$X$3005,V$5))))</f>
        <v/>
      </c>
      <c r="W282" s="19">
        <f>IF($A282="","",IF(COUNTIFS(請求記録!$B$6:$B$3005,$A282,請求記録!$X$6:$X$3005,W$5,請求記録!$AD$6:$AD$3005,"保留中")&gt;0,"保留",IF(COUNTIFS(請求記録!$B$6:$B$3005,$A282,請求記録!$X$6:$X$3005,W$5)=0,"",SUMIFS(請求記録!$AC$6:$AC$3005,請求記録!$B$6:$B$3005,$A282,請求記録!$X$6:$X$3005,W$5))))</f>
        <v/>
      </c>
      <c r="X282" s="19">
        <f>IF($A282="","",IF(COUNTIFS(請求記録!$B$6:$B$3005,$A282,請求記録!$X$6:$X$3005,X$5,請求記録!$AD$6:$AD$3005,"保留中")&gt;0,"保留",IF(COUNTIFS(請求記録!$B$6:$B$3005,$A282,請求記録!$X$6:$X$3005,X$5)=0,"",SUMIFS(請求記録!$AC$6:$AC$3005,請求記録!$B$6:$B$3005,$A282,請求記録!$X$6:$X$3005,X$5))))</f>
        <v/>
      </c>
      <c r="Y282" s="19">
        <f>IF($A282="","",IF(COUNTIFS(請求記録!$B$6:$B$3005,$A282,請求記録!$X$6:$X$3005,Y$5,請求記録!$AD$6:$AD$3005,"保留中")&gt;0,"保留",IF(COUNTIFS(請求記録!$B$6:$B$3005,$A282,請求記録!$X$6:$X$3005,Y$5)=0,"",SUMIFS(請求記録!$AC$6:$AC$3005,請求記録!$B$6:$B$3005,$A282,請求記録!$X$6:$X$3005,Y$5))))</f>
        <v/>
      </c>
      <c r="Z282" s="19">
        <f>IF($A282="","",IF(COUNTIFS(請求記録!$B$6:$B$3005,$A282,請求記録!$X$6:$X$3005,Z$5,請求記録!$AD$6:$AD$3005,"保留中")&gt;0,"保留",IF(COUNTIFS(請求記録!$B$6:$B$3005,$A282,請求記録!$X$6:$X$3005,Z$5)=0,"",SUMIFS(請求記録!$AC$6:$AC$3005,請求記録!$B$6:$B$3005,$A282,請求記録!$X$6:$X$3005,Z$5))))</f>
        <v/>
      </c>
      <c r="AA282" s="19">
        <f>IF($A282="","",IF(COUNTIFS(請求記録!$B$6:$B$3005,$A282,請求記録!$X$6:$X$3005,AA$5,請求記録!$AD$6:$AD$3005,"保留中")&gt;0,"保留",IF(COUNTIFS(請求記録!$B$6:$B$3005,$A282,請求記録!$X$6:$X$3005,AA$5)=0,"",SUMIFS(請求記録!$AC$6:$AC$3005,請求記録!$B$6:$B$3005,$A282,請求記録!$X$6:$X$3005,AA$5))))</f>
        <v/>
      </c>
      <c r="AB282">
        <f>IF(職員マスタ!P282="保留中",職員マスタ!M282,"")</f>
        <v/>
      </c>
    </row>
    <row r="283">
      <c r="A283">
        <f>IF(職員マスタ!A283="","",職員マスタ!A283)</f>
        <v/>
      </c>
      <c r="B283">
        <f>IF($A283="","",職員マスタ!B283)</f>
        <v/>
      </c>
      <c r="C283">
        <f>IF($A283="","",職員マスタ!C283)</f>
        <v/>
      </c>
      <c r="D283" s="19">
        <f>IF($A283="","",IF(COUNTIFS(請求記録!$B$6:$B$3005,$A283,請求記録!$X$6:$X$3005,D$5,請求記録!$AD$6:$AD$3005,"保留中")&gt;0,"保留",IF(COUNTIFS(請求記録!$B$6:$B$3005,$A283,請求記録!$X$6:$X$3005,D$5)=0,"",SUMIFS(請求記録!$AC$6:$AC$3005,請求記録!$B$6:$B$3005,$A283,請求記録!$X$6:$X$3005,D$5))))</f>
        <v/>
      </c>
      <c r="E283" s="19">
        <f>IF($A283="","",IF(COUNTIFS(請求記録!$B$6:$B$3005,$A283,請求記録!$X$6:$X$3005,E$5,請求記録!$AD$6:$AD$3005,"保留中")&gt;0,"保留",IF(COUNTIFS(請求記録!$B$6:$B$3005,$A283,請求記録!$X$6:$X$3005,E$5)=0,"",SUMIFS(請求記録!$AC$6:$AC$3005,請求記録!$B$6:$B$3005,$A283,請求記録!$X$6:$X$3005,E$5))))</f>
        <v/>
      </c>
      <c r="F283" s="19">
        <f>IF($A283="","",IF(COUNTIFS(請求記録!$B$6:$B$3005,$A283,請求記録!$X$6:$X$3005,F$5,請求記録!$AD$6:$AD$3005,"保留中")&gt;0,"保留",IF(COUNTIFS(請求記録!$B$6:$B$3005,$A283,請求記録!$X$6:$X$3005,F$5)=0,"",SUMIFS(請求記録!$AC$6:$AC$3005,請求記録!$B$6:$B$3005,$A283,請求記録!$X$6:$X$3005,F$5))))</f>
        <v/>
      </c>
      <c r="G283" s="19">
        <f>IF($A283="","",IF(COUNTIFS(請求記録!$B$6:$B$3005,$A283,請求記録!$X$6:$X$3005,G$5,請求記録!$AD$6:$AD$3005,"保留中")&gt;0,"保留",IF(COUNTIFS(請求記録!$B$6:$B$3005,$A283,請求記録!$X$6:$X$3005,G$5)=0,"",SUMIFS(請求記録!$AC$6:$AC$3005,請求記録!$B$6:$B$3005,$A283,請求記録!$X$6:$X$3005,G$5))))</f>
        <v/>
      </c>
      <c r="H283" s="19">
        <f>IF($A283="","",IF(COUNTIFS(請求記録!$B$6:$B$3005,$A283,請求記録!$X$6:$X$3005,H$5,請求記録!$AD$6:$AD$3005,"保留中")&gt;0,"保留",IF(COUNTIFS(請求記録!$B$6:$B$3005,$A283,請求記録!$X$6:$X$3005,H$5)=0,"",SUMIFS(請求記録!$AC$6:$AC$3005,請求記録!$B$6:$B$3005,$A283,請求記録!$X$6:$X$3005,H$5))))</f>
        <v/>
      </c>
      <c r="I283" s="19">
        <f>IF($A283="","",IF(COUNTIFS(請求記録!$B$6:$B$3005,$A283,請求記録!$X$6:$X$3005,I$5,請求記録!$AD$6:$AD$3005,"保留中")&gt;0,"保留",IF(COUNTIFS(請求記録!$B$6:$B$3005,$A283,請求記録!$X$6:$X$3005,I$5)=0,"",SUMIFS(請求記録!$AC$6:$AC$3005,請求記録!$B$6:$B$3005,$A283,請求記録!$X$6:$X$3005,I$5))))</f>
        <v/>
      </c>
      <c r="J283" s="19">
        <f>IF($A283="","",IF(COUNTIFS(請求記録!$B$6:$B$3005,$A283,請求記録!$X$6:$X$3005,J$5,請求記録!$AD$6:$AD$3005,"保留中")&gt;0,"保留",IF(COUNTIFS(請求記録!$B$6:$B$3005,$A283,請求記録!$X$6:$X$3005,J$5)=0,"",SUMIFS(請求記録!$AC$6:$AC$3005,請求記録!$B$6:$B$3005,$A283,請求記録!$X$6:$X$3005,J$5))))</f>
        <v/>
      </c>
      <c r="K283" s="19">
        <f>IF($A283="","",IF(COUNTIFS(請求記録!$B$6:$B$3005,$A283,請求記録!$X$6:$X$3005,K$5,請求記録!$AD$6:$AD$3005,"保留中")&gt;0,"保留",IF(COUNTIFS(請求記録!$B$6:$B$3005,$A283,請求記録!$X$6:$X$3005,K$5)=0,"",SUMIFS(請求記録!$AC$6:$AC$3005,請求記録!$B$6:$B$3005,$A283,請求記録!$X$6:$X$3005,K$5))))</f>
        <v/>
      </c>
      <c r="L283" s="19">
        <f>IF($A283="","",IF(COUNTIFS(請求記録!$B$6:$B$3005,$A283,請求記録!$X$6:$X$3005,L$5,請求記録!$AD$6:$AD$3005,"保留中")&gt;0,"保留",IF(COUNTIFS(請求記録!$B$6:$B$3005,$A283,請求記録!$X$6:$X$3005,L$5)=0,"",SUMIFS(請求記録!$AC$6:$AC$3005,請求記録!$B$6:$B$3005,$A283,請求記録!$X$6:$X$3005,L$5))))</f>
        <v/>
      </c>
      <c r="M283" s="19">
        <f>IF($A283="","",IF(COUNTIFS(請求記録!$B$6:$B$3005,$A283,請求記録!$X$6:$X$3005,M$5,請求記録!$AD$6:$AD$3005,"保留中")&gt;0,"保留",IF(COUNTIFS(請求記録!$B$6:$B$3005,$A283,請求記録!$X$6:$X$3005,M$5)=0,"",SUMIFS(請求記録!$AC$6:$AC$3005,請求記録!$B$6:$B$3005,$A283,請求記録!$X$6:$X$3005,M$5))))</f>
        <v/>
      </c>
      <c r="N283" s="19">
        <f>IF($A283="","",IF(COUNTIFS(請求記録!$B$6:$B$3005,$A283,請求記録!$X$6:$X$3005,N$5,請求記録!$AD$6:$AD$3005,"保留中")&gt;0,"保留",IF(COUNTIFS(請求記録!$B$6:$B$3005,$A283,請求記録!$X$6:$X$3005,N$5)=0,"",SUMIFS(請求記録!$AC$6:$AC$3005,請求記録!$B$6:$B$3005,$A283,請求記録!$X$6:$X$3005,N$5))))</f>
        <v/>
      </c>
      <c r="O283" s="19">
        <f>IF($A283="","",IF(COUNTIFS(請求記録!$B$6:$B$3005,$A283,請求記録!$X$6:$X$3005,O$5,請求記録!$AD$6:$AD$3005,"保留中")&gt;0,"保留",IF(COUNTIFS(請求記録!$B$6:$B$3005,$A283,請求記録!$X$6:$X$3005,O$5)=0,"",SUMIFS(請求記録!$AC$6:$AC$3005,請求記録!$B$6:$B$3005,$A283,請求記録!$X$6:$X$3005,O$5))))</f>
        <v/>
      </c>
      <c r="P283" s="19">
        <f>IF($A283="","",IF(COUNTIFS(請求記録!$B$6:$B$3005,$A283,請求記録!$X$6:$X$3005,P$5,請求記録!$AD$6:$AD$3005,"保留中")&gt;0,"保留",IF(COUNTIFS(請求記録!$B$6:$B$3005,$A283,請求記録!$X$6:$X$3005,P$5)=0,"",SUMIFS(請求記録!$AC$6:$AC$3005,請求記録!$B$6:$B$3005,$A283,請求記録!$X$6:$X$3005,P$5))))</f>
        <v/>
      </c>
      <c r="Q283" s="19">
        <f>IF($A283="","",IF(COUNTIFS(請求記録!$B$6:$B$3005,$A283,請求記録!$X$6:$X$3005,Q$5,請求記録!$AD$6:$AD$3005,"保留中")&gt;0,"保留",IF(COUNTIFS(請求記録!$B$6:$B$3005,$A283,請求記録!$X$6:$X$3005,Q$5)=0,"",SUMIFS(請求記録!$AC$6:$AC$3005,請求記録!$B$6:$B$3005,$A283,請求記録!$X$6:$X$3005,Q$5))))</f>
        <v/>
      </c>
      <c r="R283" s="19">
        <f>IF($A283="","",IF(COUNTIFS(請求記録!$B$6:$B$3005,$A283,請求記録!$X$6:$X$3005,R$5,請求記録!$AD$6:$AD$3005,"保留中")&gt;0,"保留",IF(COUNTIFS(請求記録!$B$6:$B$3005,$A283,請求記録!$X$6:$X$3005,R$5)=0,"",SUMIFS(請求記録!$AC$6:$AC$3005,請求記録!$B$6:$B$3005,$A283,請求記録!$X$6:$X$3005,R$5))))</f>
        <v/>
      </c>
      <c r="S283" s="19">
        <f>IF($A283="","",IF(COUNTIFS(請求記録!$B$6:$B$3005,$A283,請求記録!$X$6:$X$3005,S$5,請求記録!$AD$6:$AD$3005,"保留中")&gt;0,"保留",IF(COUNTIFS(請求記録!$B$6:$B$3005,$A283,請求記録!$X$6:$X$3005,S$5)=0,"",SUMIFS(請求記録!$AC$6:$AC$3005,請求記録!$B$6:$B$3005,$A283,請求記録!$X$6:$X$3005,S$5))))</f>
        <v/>
      </c>
      <c r="T283" s="19">
        <f>IF($A283="","",IF(COUNTIFS(請求記録!$B$6:$B$3005,$A283,請求記録!$X$6:$X$3005,T$5,請求記録!$AD$6:$AD$3005,"保留中")&gt;0,"保留",IF(COUNTIFS(請求記録!$B$6:$B$3005,$A283,請求記録!$X$6:$X$3005,T$5)=0,"",SUMIFS(請求記録!$AC$6:$AC$3005,請求記録!$B$6:$B$3005,$A283,請求記録!$X$6:$X$3005,T$5))))</f>
        <v/>
      </c>
      <c r="U283" s="19">
        <f>IF($A283="","",IF(COUNTIFS(請求記録!$B$6:$B$3005,$A283,請求記録!$X$6:$X$3005,U$5,請求記録!$AD$6:$AD$3005,"保留中")&gt;0,"保留",IF(COUNTIFS(請求記録!$B$6:$B$3005,$A283,請求記録!$X$6:$X$3005,U$5)=0,"",SUMIFS(請求記録!$AC$6:$AC$3005,請求記録!$B$6:$B$3005,$A283,請求記録!$X$6:$X$3005,U$5))))</f>
        <v/>
      </c>
      <c r="V283" s="19">
        <f>IF($A283="","",IF(COUNTIFS(請求記録!$B$6:$B$3005,$A283,請求記録!$X$6:$X$3005,V$5,請求記録!$AD$6:$AD$3005,"保留中")&gt;0,"保留",IF(COUNTIFS(請求記録!$B$6:$B$3005,$A283,請求記録!$X$6:$X$3005,V$5)=0,"",SUMIFS(請求記録!$AC$6:$AC$3005,請求記録!$B$6:$B$3005,$A283,請求記録!$X$6:$X$3005,V$5))))</f>
        <v/>
      </c>
      <c r="W283" s="19">
        <f>IF($A283="","",IF(COUNTIFS(請求記録!$B$6:$B$3005,$A283,請求記録!$X$6:$X$3005,W$5,請求記録!$AD$6:$AD$3005,"保留中")&gt;0,"保留",IF(COUNTIFS(請求記録!$B$6:$B$3005,$A283,請求記録!$X$6:$X$3005,W$5)=0,"",SUMIFS(請求記録!$AC$6:$AC$3005,請求記録!$B$6:$B$3005,$A283,請求記録!$X$6:$X$3005,W$5))))</f>
        <v/>
      </c>
      <c r="X283" s="19">
        <f>IF($A283="","",IF(COUNTIFS(請求記録!$B$6:$B$3005,$A283,請求記録!$X$6:$X$3005,X$5,請求記録!$AD$6:$AD$3005,"保留中")&gt;0,"保留",IF(COUNTIFS(請求記録!$B$6:$B$3005,$A283,請求記録!$X$6:$X$3005,X$5)=0,"",SUMIFS(請求記録!$AC$6:$AC$3005,請求記録!$B$6:$B$3005,$A283,請求記録!$X$6:$X$3005,X$5))))</f>
        <v/>
      </c>
      <c r="Y283" s="19">
        <f>IF($A283="","",IF(COUNTIFS(請求記録!$B$6:$B$3005,$A283,請求記録!$X$6:$X$3005,Y$5,請求記録!$AD$6:$AD$3005,"保留中")&gt;0,"保留",IF(COUNTIFS(請求記録!$B$6:$B$3005,$A283,請求記録!$X$6:$X$3005,Y$5)=0,"",SUMIFS(請求記録!$AC$6:$AC$3005,請求記録!$B$6:$B$3005,$A283,請求記録!$X$6:$X$3005,Y$5))))</f>
        <v/>
      </c>
      <c r="Z283" s="19">
        <f>IF($A283="","",IF(COUNTIFS(請求記録!$B$6:$B$3005,$A283,請求記録!$X$6:$X$3005,Z$5,請求記録!$AD$6:$AD$3005,"保留中")&gt;0,"保留",IF(COUNTIFS(請求記録!$B$6:$B$3005,$A283,請求記録!$X$6:$X$3005,Z$5)=0,"",SUMIFS(請求記録!$AC$6:$AC$3005,請求記録!$B$6:$B$3005,$A283,請求記録!$X$6:$X$3005,Z$5))))</f>
        <v/>
      </c>
      <c r="AA283" s="19">
        <f>IF($A283="","",IF(COUNTIFS(請求記録!$B$6:$B$3005,$A283,請求記録!$X$6:$X$3005,AA$5,請求記録!$AD$6:$AD$3005,"保留中")&gt;0,"保留",IF(COUNTIFS(請求記録!$B$6:$B$3005,$A283,請求記録!$X$6:$X$3005,AA$5)=0,"",SUMIFS(請求記録!$AC$6:$AC$3005,請求記録!$B$6:$B$3005,$A283,請求記録!$X$6:$X$3005,AA$5))))</f>
        <v/>
      </c>
      <c r="AB283">
        <f>IF(職員マスタ!P283="保留中",職員マスタ!M283,"")</f>
        <v/>
      </c>
    </row>
    <row r="284">
      <c r="A284">
        <f>IF(職員マスタ!A284="","",職員マスタ!A284)</f>
        <v/>
      </c>
      <c r="B284">
        <f>IF($A284="","",職員マスタ!B284)</f>
        <v/>
      </c>
      <c r="C284">
        <f>IF($A284="","",職員マスタ!C284)</f>
        <v/>
      </c>
      <c r="D284" s="19">
        <f>IF($A284="","",IF(COUNTIFS(請求記録!$B$6:$B$3005,$A284,請求記録!$X$6:$X$3005,D$5,請求記録!$AD$6:$AD$3005,"保留中")&gt;0,"保留",IF(COUNTIFS(請求記録!$B$6:$B$3005,$A284,請求記録!$X$6:$X$3005,D$5)=0,"",SUMIFS(請求記録!$AC$6:$AC$3005,請求記録!$B$6:$B$3005,$A284,請求記録!$X$6:$X$3005,D$5))))</f>
        <v/>
      </c>
      <c r="E284" s="19">
        <f>IF($A284="","",IF(COUNTIFS(請求記録!$B$6:$B$3005,$A284,請求記録!$X$6:$X$3005,E$5,請求記録!$AD$6:$AD$3005,"保留中")&gt;0,"保留",IF(COUNTIFS(請求記録!$B$6:$B$3005,$A284,請求記録!$X$6:$X$3005,E$5)=0,"",SUMIFS(請求記録!$AC$6:$AC$3005,請求記録!$B$6:$B$3005,$A284,請求記録!$X$6:$X$3005,E$5))))</f>
        <v/>
      </c>
      <c r="F284" s="19">
        <f>IF($A284="","",IF(COUNTIFS(請求記録!$B$6:$B$3005,$A284,請求記録!$X$6:$X$3005,F$5,請求記録!$AD$6:$AD$3005,"保留中")&gt;0,"保留",IF(COUNTIFS(請求記録!$B$6:$B$3005,$A284,請求記録!$X$6:$X$3005,F$5)=0,"",SUMIFS(請求記録!$AC$6:$AC$3005,請求記録!$B$6:$B$3005,$A284,請求記録!$X$6:$X$3005,F$5))))</f>
        <v/>
      </c>
      <c r="G284" s="19">
        <f>IF($A284="","",IF(COUNTIFS(請求記録!$B$6:$B$3005,$A284,請求記録!$X$6:$X$3005,G$5,請求記録!$AD$6:$AD$3005,"保留中")&gt;0,"保留",IF(COUNTIFS(請求記録!$B$6:$B$3005,$A284,請求記録!$X$6:$X$3005,G$5)=0,"",SUMIFS(請求記録!$AC$6:$AC$3005,請求記録!$B$6:$B$3005,$A284,請求記録!$X$6:$X$3005,G$5))))</f>
        <v/>
      </c>
      <c r="H284" s="19">
        <f>IF($A284="","",IF(COUNTIFS(請求記録!$B$6:$B$3005,$A284,請求記録!$X$6:$X$3005,H$5,請求記録!$AD$6:$AD$3005,"保留中")&gt;0,"保留",IF(COUNTIFS(請求記録!$B$6:$B$3005,$A284,請求記録!$X$6:$X$3005,H$5)=0,"",SUMIFS(請求記録!$AC$6:$AC$3005,請求記録!$B$6:$B$3005,$A284,請求記録!$X$6:$X$3005,H$5))))</f>
        <v/>
      </c>
      <c r="I284" s="19">
        <f>IF($A284="","",IF(COUNTIFS(請求記録!$B$6:$B$3005,$A284,請求記録!$X$6:$X$3005,I$5,請求記録!$AD$6:$AD$3005,"保留中")&gt;0,"保留",IF(COUNTIFS(請求記録!$B$6:$B$3005,$A284,請求記録!$X$6:$X$3005,I$5)=0,"",SUMIFS(請求記録!$AC$6:$AC$3005,請求記録!$B$6:$B$3005,$A284,請求記録!$X$6:$X$3005,I$5))))</f>
        <v/>
      </c>
      <c r="J284" s="19">
        <f>IF($A284="","",IF(COUNTIFS(請求記録!$B$6:$B$3005,$A284,請求記録!$X$6:$X$3005,J$5,請求記録!$AD$6:$AD$3005,"保留中")&gt;0,"保留",IF(COUNTIFS(請求記録!$B$6:$B$3005,$A284,請求記録!$X$6:$X$3005,J$5)=0,"",SUMIFS(請求記録!$AC$6:$AC$3005,請求記録!$B$6:$B$3005,$A284,請求記録!$X$6:$X$3005,J$5))))</f>
        <v/>
      </c>
      <c r="K284" s="19">
        <f>IF($A284="","",IF(COUNTIFS(請求記録!$B$6:$B$3005,$A284,請求記録!$X$6:$X$3005,K$5,請求記録!$AD$6:$AD$3005,"保留中")&gt;0,"保留",IF(COUNTIFS(請求記録!$B$6:$B$3005,$A284,請求記録!$X$6:$X$3005,K$5)=0,"",SUMIFS(請求記録!$AC$6:$AC$3005,請求記録!$B$6:$B$3005,$A284,請求記録!$X$6:$X$3005,K$5))))</f>
        <v/>
      </c>
      <c r="L284" s="19">
        <f>IF($A284="","",IF(COUNTIFS(請求記録!$B$6:$B$3005,$A284,請求記録!$X$6:$X$3005,L$5,請求記録!$AD$6:$AD$3005,"保留中")&gt;0,"保留",IF(COUNTIFS(請求記録!$B$6:$B$3005,$A284,請求記録!$X$6:$X$3005,L$5)=0,"",SUMIFS(請求記録!$AC$6:$AC$3005,請求記録!$B$6:$B$3005,$A284,請求記録!$X$6:$X$3005,L$5))))</f>
        <v/>
      </c>
      <c r="M284" s="19">
        <f>IF($A284="","",IF(COUNTIFS(請求記録!$B$6:$B$3005,$A284,請求記録!$X$6:$X$3005,M$5,請求記録!$AD$6:$AD$3005,"保留中")&gt;0,"保留",IF(COUNTIFS(請求記録!$B$6:$B$3005,$A284,請求記録!$X$6:$X$3005,M$5)=0,"",SUMIFS(請求記録!$AC$6:$AC$3005,請求記録!$B$6:$B$3005,$A284,請求記録!$X$6:$X$3005,M$5))))</f>
        <v/>
      </c>
      <c r="N284" s="19">
        <f>IF($A284="","",IF(COUNTIFS(請求記録!$B$6:$B$3005,$A284,請求記録!$X$6:$X$3005,N$5,請求記録!$AD$6:$AD$3005,"保留中")&gt;0,"保留",IF(COUNTIFS(請求記録!$B$6:$B$3005,$A284,請求記録!$X$6:$X$3005,N$5)=0,"",SUMIFS(請求記録!$AC$6:$AC$3005,請求記録!$B$6:$B$3005,$A284,請求記録!$X$6:$X$3005,N$5))))</f>
        <v/>
      </c>
      <c r="O284" s="19">
        <f>IF($A284="","",IF(COUNTIFS(請求記録!$B$6:$B$3005,$A284,請求記録!$X$6:$X$3005,O$5,請求記録!$AD$6:$AD$3005,"保留中")&gt;0,"保留",IF(COUNTIFS(請求記録!$B$6:$B$3005,$A284,請求記録!$X$6:$X$3005,O$5)=0,"",SUMIFS(請求記録!$AC$6:$AC$3005,請求記録!$B$6:$B$3005,$A284,請求記録!$X$6:$X$3005,O$5))))</f>
        <v/>
      </c>
      <c r="P284" s="19">
        <f>IF($A284="","",IF(COUNTIFS(請求記録!$B$6:$B$3005,$A284,請求記録!$X$6:$X$3005,P$5,請求記録!$AD$6:$AD$3005,"保留中")&gt;0,"保留",IF(COUNTIFS(請求記録!$B$6:$B$3005,$A284,請求記録!$X$6:$X$3005,P$5)=0,"",SUMIFS(請求記録!$AC$6:$AC$3005,請求記録!$B$6:$B$3005,$A284,請求記録!$X$6:$X$3005,P$5))))</f>
        <v/>
      </c>
      <c r="Q284" s="19">
        <f>IF($A284="","",IF(COUNTIFS(請求記録!$B$6:$B$3005,$A284,請求記録!$X$6:$X$3005,Q$5,請求記録!$AD$6:$AD$3005,"保留中")&gt;0,"保留",IF(COUNTIFS(請求記録!$B$6:$B$3005,$A284,請求記録!$X$6:$X$3005,Q$5)=0,"",SUMIFS(請求記録!$AC$6:$AC$3005,請求記録!$B$6:$B$3005,$A284,請求記録!$X$6:$X$3005,Q$5))))</f>
        <v/>
      </c>
      <c r="R284" s="19">
        <f>IF($A284="","",IF(COUNTIFS(請求記録!$B$6:$B$3005,$A284,請求記録!$X$6:$X$3005,R$5,請求記録!$AD$6:$AD$3005,"保留中")&gt;0,"保留",IF(COUNTIFS(請求記録!$B$6:$B$3005,$A284,請求記録!$X$6:$X$3005,R$5)=0,"",SUMIFS(請求記録!$AC$6:$AC$3005,請求記録!$B$6:$B$3005,$A284,請求記録!$X$6:$X$3005,R$5))))</f>
        <v/>
      </c>
      <c r="S284" s="19">
        <f>IF($A284="","",IF(COUNTIFS(請求記録!$B$6:$B$3005,$A284,請求記録!$X$6:$X$3005,S$5,請求記録!$AD$6:$AD$3005,"保留中")&gt;0,"保留",IF(COUNTIFS(請求記録!$B$6:$B$3005,$A284,請求記録!$X$6:$X$3005,S$5)=0,"",SUMIFS(請求記録!$AC$6:$AC$3005,請求記録!$B$6:$B$3005,$A284,請求記録!$X$6:$X$3005,S$5))))</f>
        <v/>
      </c>
      <c r="T284" s="19">
        <f>IF($A284="","",IF(COUNTIFS(請求記録!$B$6:$B$3005,$A284,請求記録!$X$6:$X$3005,T$5,請求記録!$AD$6:$AD$3005,"保留中")&gt;0,"保留",IF(COUNTIFS(請求記録!$B$6:$B$3005,$A284,請求記録!$X$6:$X$3005,T$5)=0,"",SUMIFS(請求記録!$AC$6:$AC$3005,請求記録!$B$6:$B$3005,$A284,請求記録!$X$6:$X$3005,T$5))))</f>
        <v/>
      </c>
      <c r="U284" s="19">
        <f>IF($A284="","",IF(COUNTIFS(請求記録!$B$6:$B$3005,$A284,請求記録!$X$6:$X$3005,U$5,請求記録!$AD$6:$AD$3005,"保留中")&gt;0,"保留",IF(COUNTIFS(請求記録!$B$6:$B$3005,$A284,請求記録!$X$6:$X$3005,U$5)=0,"",SUMIFS(請求記録!$AC$6:$AC$3005,請求記録!$B$6:$B$3005,$A284,請求記録!$X$6:$X$3005,U$5))))</f>
        <v/>
      </c>
      <c r="V284" s="19">
        <f>IF($A284="","",IF(COUNTIFS(請求記録!$B$6:$B$3005,$A284,請求記録!$X$6:$X$3005,V$5,請求記録!$AD$6:$AD$3005,"保留中")&gt;0,"保留",IF(COUNTIFS(請求記録!$B$6:$B$3005,$A284,請求記録!$X$6:$X$3005,V$5)=0,"",SUMIFS(請求記録!$AC$6:$AC$3005,請求記録!$B$6:$B$3005,$A284,請求記録!$X$6:$X$3005,V$5))))</f>
        <v/>
      </c>
      <c r="W284" s="19">
        <f>IF($A284="","",IF(COUNTIFS(請求記録!$B$6:$B$3005,$A284,請求記録!$X$6:$X$3005,W$5,請求記録!$AD$6:$AD$3005,"保留中")&gt;0,"保留",IF(COUNTIFS(請求記録!$B$6:$B$3005,$A284,請求記録!$X$6:$X$3005,W$5)=0,"",SUMIFS(請求記録!$AC$6:$AC$3005,請求記録!$B$6:$B$3005,$A284,請求記録!$X$6:$X$3005,W$5))))</f>
        <v/>
      </c>
      <c r="X284" s="19">
        <f>IF($A284="","",IF(COUNTIFS(請求記録!$B$6:$B$3005,$A284,請求記録!$X$6:$X$3005,X$5,請求記録!$AD$6:$AD$3005,"保留中")&gt;0,"保留",IF(COUNTIFS(請求記録!$B$6:$B$3005,$A284,請求記録!$X$6:$X$3005,X$5)=0,"",SUMIFS(請求記録!$AC$6:$AC$3005,請求記録!$B$6:$B$3005,$A284,請求記録!$X$6:$X$3005,X$5))))</f>
        <v/>
      </c>
      <c r="Y284" s="19">
        <f>IF($A284="","",IF(COUNTIFS(請求記録!$B$6:$B$3005,$A284,請求記録!$X$6:$X$3005,Y$5,請求記録!$AD$6:$AD$3005,"保留中")&gt;0,"保留",IF(COUNTIFS(請求記録!$B$6:$B$3005,$A284,請求記録!$X$6:$X$3005,Y$5)=0,"",SUMIFS(請求記録!$AC$6:$AC$3005,請求記録!$B$6:$B$3005,$A284,請求記録!$X$6:$X$3005,Y$5))))</f>
        <v/>
      </c>
      <c r="Z284" s="19">
        <f>IF($A284="","",IF(COUNTIFS(請求記録!$B$6:$B$3005,$A284,請求記録!$X$6:$X$3005,Z$5,請求記録!$AD$6:$AD$3005,"保留中")&gt;0,"保留",IF(COUNTIFS(請求記録!$B$6:$B$3005,$A284,請求記録!$X$6:$X$3005,Z$5)=0,"",SUMIFS(請求記録!$AC$6:$AC$3005,請求記録!$B$6:$B$3005,$A284,請求記録!$X$6:$X$3005,Z$5))))</f>
        <v/>
      </c>
      <c r="AA284" s="19">
        <f>IF($A284="","",IF(COUNTIFS(請求記録!$B$6:$B$3005,$A284,請求記録!$X$6:$X$3005,AA$5,請求記録!$AD$6:$AD$3005,"保留中")&gt;0,"保留",IF(COUNTIFS(請求記録!$B$6:$B$3005,$A284,請求記録!$X$6:$X$3005,AA$5)=0,"",SUMIFS(請求記録!$AC$6:$AC$3005,請求記録!$B$6:$B$3005,$A284,請求記録!$X$6:$X$3005,AA$5))))</f>
        <v/>
      </c>
      <c r="AB284">
        <f>IF(職員マスタ!P284="保留中",職員マスタ!M284,"")</f>
        <v/>
      </c>
    </row>
    <row r="285">
      <c r="A285">
        <f>IF(職員マスタ!A285="","",職員マスタ!A285)</f>
        <v/>
      </c>
      <c r="B285">
        <f>IF($A285="","",職員マスタ!B285)</f>
        <v/>
      </c>
      <c r="C285">
        <f>IF($A285="","",職員マスタ!C285)</f>
        <v/>
      </c>
      <c r="D285" s="19">
        <f>IF($A285="","",IF(COUNTIFS(請求記録!$B$6:$B$3005,$A285,請求記録!$X$6:$X$3005,D$5,請求記録!$AD$6:$AD$3005,"保留中")&gt;0,"保留",IF(COUNTIFS(請求記録!$B$6:$B$3005,$A285,請求記録!$X$6:$X$3005,D$5)=0,"",SUMIFS(請求記録!$AC$6:$AC$3005,請求記録!$B$6:$B$3005,$A285,請求記録!$X$6:$X$3005,D$5))))</f>
        <v/>
      </c>
      <c r="E285" s="19">
        <f>IF($A285="","",IF(COUNTIFS(請求記録!$B$6:$B$3005,$A285,請求記録!$X$6:$X$3005,E$5,請求記録!$AD$6:$AD$3005,"保留中")&gt;0,"保留",IF(COUNTIFS(請求記録!$B$6:$B$3005,$A285,請求記録!$X$6:$X$3005,E$5)=0,"",SUMIFS(請求記録!$AC$6:$AC$3005,請求記録!$B$6:$B$3005,$A285,請求記録!$X$6:$X$3005,E$5))))</f>
        <v/>
      </c>
      <c r="F285" s="19">
        <f>IF($A285="","",IF(COUNTIFS(請求記録!$B$6:$B$3005,$A285,請求記録!$X$6:$X$3005,F$5,請求記録!$AD$6:$AD$3005,"保留中")&gt;0,"保留",IF(COUNTIFS(請求記録!$B$6:$B$3005,$A285,請求記録!$X$6:$X$3005,F$5)=0,"",SUMIFS(請求記録!$AC$6:$AC$3005,請求記録!$B$6:$B$3005,$A285,請求記録!$X$6:$X$3005,F$5))))</f>
        <v/>
      </c>
      <c r="G285" s="19">
        <f>IF($A285="","",IF(COUNTIFS(請求記録!$B$6:$B$3005,$A285,請求記録!$X$6:$X$3005,G$5,請求記録!$AD$6:$AD$3005,"保留中")&gt;0,"保留",IF(COUNTIFS(請求記録!$B$6:$B$3005,$A285,請求記録!$X$6:$X$3005,G$5)=0,"",SUMIFS(請求記録!$AC$6:$AC$3005,請求記録!$B$6:$B$3005,$A285,請求記録!$X$6:$X$3005,G$5))))</f>
        <v/>
      </c>
      <c r="H285" s="19">
        <f>IF($A285="","",IF(COUNTIFS(請求記録!$B$6:$B$3005,$A285,請求記録!$X$6:$X$3005,H$5,請求記録!$AD$6:$AD$3005,"保留中")&gt;0,"保留",IF(COUNTIFS(請求記録!$B$6:$B$3005,$A285,請求記録!$X$6:$X$3005,H$5)=0,"",SUMIFS(請求記録!$AC$6:$AC$3005,請求記録!$B$6:$B$3005,$A285,請求記録!$X$6:$X$3005,H$5))))</f>
        <v/>
      </c>
      <c r="I285" s="19">
        <f>IF($A285="","",IF(COUNTIFS(請求記録!$B$6:$B$3005,$A285,請求記録!$X$6:$X$3005,I$5,請求記録!$AD$6:$AD$3005,"保留中")&gt;0,"保留",IF(COUNTIFS(請求記録!$B$6:$B$3005,$A285,請求記録!$X$6:$X$3005,I$5)=0,"",SUMIFS(請求記録!$AC$6:$AC$3005,請求記録!$B$6:$B$3005,$A285,請求記録!$X$6:$X$3005,I$5))))</f>
        <v/>
      </c>
      <c r="J285" s="19">
        <f>IF($A285="","",IF(COUNTIFS(請求記録!$B$6:$B$3005,$A285,請求記録!$X$6:$X$3005,J$5,請求記録!$AD$6:$AD$3005,"保留中")&gt;0,"保留",IF(COUNTIFS(請求記録!$B$6:$B$3005,$A285,請求記録!$X$6:$X$3005,J$5)=0,"",SUMIFS(請求記録!$AC$6:$AC$3005,請求記録!$B$6:$B$3005,$A285,請求記録!$X$6:$X$3005,J$5))))</f>
        <v/>
      </c>
      <c r="K285" s="19">
        <f>IF($A285="","",IF(COUNTIFS(請求記録!$B$6:$B$3005,$A285,請求記録!$X$6:$X$3005,K$5,請求記録!$AD$6:$AD$3005,"保留中")&gt;0,"保留",IF(COUNTIFS(請求記録!$B$6:$B$3005,$A285,請求記録!$X$6:$X$3005,K$5)=0,"",SUMIFS(請求記録!$AC$6:$AC$3005,請求記録!$B$6:$B$3005,$A285,請求記録!$X$6:$X$3005,K$5))))</f>
        <v/>
      </c>
      <c r="L285" s="19">
        <f>IF($A285="","",IF(COUNTIFS(請求記録!$B$6:$B$3005,$A285,請求記録!$X$6:$X$3005,L$5,請求記録!$AD$6:$AD$3005,"保留中")&gt;0,"保留",IF(COUNTIFS(請求記録!$B$6:$B$3005,$A285,請求記録!$X$6:$X$3005,L$5)=0,"",SUMIFS(請求記録!$AC$6:$AC$3005,請求記録!$B$6:$B$3005,$A285,請求記録!$X$6:$X$3005,L$5))))</f>
        <v/>
      </c>
      <c r="M285" s="19">
        <f>IF($A285="","",IF(COUNTIFS(請求記録!$B$6:$B$3005,$A285,請求記録!$X$6:$X$3005,M$5,請求記録!$AD$6:$AD$3005,"保留中")&gt;0,"保留",IF(COUNTIFS(請求記録!$B$6:$B$3005,$A285,請求記録!$X$6:$X$3005,M$5)=0,"",SUMIFS(請求記録!$AC$6:$AC$3005,請求記録!$B$6:$B$3005,$A285,請求記録!$X$6:$X$3005,M$5))))</f>
        <v/>
      </c>
      <c r="N285" s="19">
        <f>IF($A285="","",IF(COUNTIFS(請求記録!$B$6:$B$3005,$A285,請求記録!$X$6:$X$3005,N$5,請求記録!$AD$6:$AD$3005,"保留中")&gt;0,"保留",IF(COUNTIFS(請求記録!$B$6:$B$3005,$A285,請求記録!$X$6:$X$3005,N$5)=0,"",SUMIFS(請求記録!$AC$6:$AC$3005,請求記録!$B$6:$B$3005,$A285,請求記録!$X$6:$X$3005,N$5))))</f>
        <v/>
      </c>
      <c r="O285" s="19">
        <f>IF($A285="","",IF(COUNTIFS(請求記録!$B$6:$B$3005,$A285,請求記録!$X$6:$X$3005,O$5,請求記録!$AD$6:$AD$3005,"保留中")&gt;0,"保留",IF(COUNTIFS(請求記録!$B$6:$B$3005,$A285,請求記録!$X$6:$X$3005,O$5)=0,"",SUMIFS(請求記録!$AC$6:$AC$3005,請求記録!$B$6:$B$3005,$A285,請求記録!$X$6:$X$3005,O$5))))</f>
        <v/>
      </c>
      <c r="P285" s="19">
        <f>IF($A285="","",IF(COUNTIFS(請求記録!$B$6:$B$3005,$A285,請求記録!$X$6:$X$3005,P$5,請求記録!$AD$6:$AD$3005,"保留中")&gt;0,"保留",IF(COUNTIFS(請求記録!$B$6:$B$3005,$A285,請求記録!$X$6:$X$3005,P$5)=0,"",SUMIFS(請求記録!$AC$6:$AC$3005,請求記録!$B$6:$B$3005,$A285,請求記録!$X$6:$X$3005,P$5))))</f>
        <v/>
      </c>
      <c r="Q285" s="19">
        <f>IF($A285="","",IF(COUNTIFS(請求記録!$B$6:$B$3005,$A285,請求記録!$X$6:$X$3005,Q$5,請求記録!$AD$6:$AD$3005,"保留中")&gt;0,"保留",IF(COUNTIFS(請求記録!$B$6:$B$3005,$A285,請求記録!$X$6:$X$3005,Q$5)=0,"",SUMIFS(請求記録!$AC$6:$AC$3005,請求記録!$B$6:$B$3005,$A285,請求記録!$X$6:$X$3005,Q$5))))</f>
        <v/>
      </c>
      <c r="R285" s="19">
        <f>IF($A285="","",IF(COUNTIFS(請求記録!$B$6:$B$3005,$A285,請求記録!$X$6:$X$3005,R$5,請求記録!$AD$6:$AD$3005,"保留中")&gt;0,"保留",IF(COUNTIFS(請求記録!$B$6:$B$3005,$A285,請求記録!$X$6:$X$3005,R$5)=0,"",SUMIFS(請求記録!$AC$6:$AC$3005,請求記録!$B$6:$B$3005,$A285,請求記録!$X$6:$X$3005,R$5))))</f>
        <v/>
      </c>
      <c r="S285" s="19">
        <f>IF($A285="","",IF(COUNTIFS(請求記録!$B$6:$B$3005,$A285,請求記録!$X$6:$X$3005,S$5,請求記録!$AD$6:$AD$3005,"保留中")&gt;0,"保留",IF(COUNTIFS(請求記録!$B$6:$B$3005,$A285,請求記録!$X$6:$X$3005,S$5)=0,"",SUMIFS(請求記録!$AC$6:$AC$3005,請求記録!$B$6:$B$3005,$A285,請求記録!$X$6:$X$3005,S$5))))</f>
        <v/>
      </c>
      <c r="T285" s="19">
        <f>IF($A285="","",IF(COUNTIFS(請求記録!$B$6:$B$3005,$A285,請求記録!$X$6:$X$3005,T$5,請求記録!$AD$6:$AD$3005,"保留中")&gt;0,"保留",IF(COUNTIFS(請求記録!$B$6:$B$3005,$A285,請求記録!$X$6:$X$3005,T$5)=0,"",SUMIFS(請求記録!$AC$6:$AC$3005,請求記録!$B$6:$B$3005,$A285,請求記録!$X$6:$X$3005,T$5))))</f>
        <v/>
      </c>
      <c r="U285" s="19">
        <f>IF($A285="","",IF(COUNTIFS(請求記録!$B$6:$B$3005,$A285,請求記録!$X$6:$X$3005,U$5,請求記録!$AD$6:$AD$3005,"保留中")&gt;0,"保留",IF(COUNTIFS(請求記録!$B$6:$B$3005,$A285,請求記録!$X$6:$X$3005,U$5)=0,"",SUMIFS(請求記録!$AC$6:$AC$3005,請求記録!$B$6:$B$3005,$A285,請求記録!$X$6:$X$3005,U$5))))</f>
        <v/>
      </c>
      <c r="V285" s="19">
        <f>IF($A285="","",IF(COUNTIFS(請求記録!$B$6:$B$3005,$A285,請求記録!$X$6:$X$3005,V$5,請求記録!$AD$6:$AD$3005,"保留中")&gt;0,"保留",IF(COUNTIFS(請求記録!$B$6:$B$3005,$A285,請求記録!$X$6:$X$3005,V$5)=0,"",SUMIFS(請求記録!$AC$6:$AC$3005,請求記録!$B$6:$B$3005,$A285,請求記録!$X$6:$X$3005,V$5))))</f>
        <v/>
      </c>
      <c r="W285" s="19">
        <f>IF($A285="","",IF(COUNTIFS(請求記録!$B$6:$B$3005,$A285,請求記録!$X$6:$X$3005,W$5,請求記録!$AD$6:$AD$3005,"保留中")&gt;0,"保留",IF(COUNTIFS(請求記録!$B$6:$B$3005,$A285,請求記録!$X$6:$X$3005,W$5)=0,"",SUMIFS(請求記録!$AC$6:$AC$3005,請求記録!$B$6:$B$3005,$A285,請求記録!$X$6:$X$3005,W$5))))</f>
        <v/>
      </c>
      <c r="X285" s="19">
        <f>IF($A285="","",IF(COUNTIFS(請求記録!$B$6:$B$3005,$A285,請求記録!$X$6:$X$3005,X$5,請求記録!$AD$6:$AD$3005,"保留中")&gt;0,"保留",IF(COUNTIFS(請求記録!$B$6:$B$3005,$A285,請求記録!$X$6:$X$3005,X$5)=0,"",SUMIFS(請求記録!$AC$6:$AC$3005,請求記録!$B$6:$B$3005,$A285,請求記録!$X$6:$X$3005,X$5))))</f>
        <v/>
      </c>
      <c r="Y285" s="19">
        <f>IF($A285="","",IF(COUNTIFS(請求記録!$B$6:$B$3005,$A285,請求記録!$X$6:$X$3005,Y$5,請求記録!$AD$6:$AD$3005,"保留中")&gt;0,"保留",IF(COUNTIFS(請求記録!$B$6:$B$3005,$A285,請求記録!$X$6:$X$3005,Y$5)=0,"",SUMIFS(請求記録!$AC$6:$AC$3005,請求記録!$B$6:$B$3005,$A285,請求記録!$X$6:$X$3005,Y$5))))</f>
        <v/>
      </c>
      <c r="Z285" s="19">
        <f>IF($A285="","",IF(COUNTIFS(請求記録!$B$6:$B$3005,$A285,請求記録!$X$6:$X$3005,Z$5,請求記録!$AD$6:$AD$3005,"保留中")&gt;0,"保留",IF(COUNTIFS(請求記録!$B$6:$B$3005,$A285,請求記録!$X$6:$X$3005,Z$5)=0,"",SUMIFS(請求記録!$AC$6:$AC$3005,請求記録!$B$6:$B$3005,$A285,請求記録!$X$6:$X$3005,Z$5))))</f>
        <v/>
      </c>
      <c r="AA285" s="19">
        <f>IF($A285="","",IF(COUNTIFS(請求記録!$B$6:$B$3005,$A285,請求記録!$X$6:$X$3005,AA$5,請求記録!$AD$6:$AD$3005,"保留中")&gt;0,"保留",IF(COUNTIFS(請求記録!$B$6:$B$3005,$A285,請求記録!$X$6:$X$3005,AA$5)=0,"",SUMIFS(請求記録!$AC$6:$AC$3005,請求記録!$B$6:$B$3005,$A285,請求記録!$X$6:$X$3005,AA$5))))</f>
        <v/>
      </c>
      <c r="AB285">
        <f>IF(職員マスタ!P285="保留中",職員マスタ!M285,"")</f>
        <v/>
      </c>
    </row>
    <row r="286">
      <c r="A286">
        <f>IF(職員マスタ!A286="","",職員マスタ!A286)</f>
        <v/>
      </c>
      <c r="B286">
        <f>IF($A286="","",職員マスタ!B286)</f>
        <v/>
      </c>
      <c r="C286">
        <f>IF($A286="","",職員マスタ!C286)</f>
        <v/>
      </c>
      <c r="D286" s="19">
        <f>IF($A286="","",IF(COUNTIFS(請求記録!$B$6:$B$3005,$A286,請求記録!$X$6:$X$3005,D$5,請求記録!$AD$6:$AD$3005,"保留中")&gt;0,"保留",IF(COUNTIFS(請求記録!$B$6:$B$3005,$A286,請求記録!$X$6:$X$3005,D$5)=0,"",SUMIFS(請求記録!$AC$6:$AC$3005,請求記録!$B$6:$B$3005,$A286,請求記録!$X$6:$X$3005,D$5))))</f>
        <v/>
      </c>
      <c r="E286" s="19">
        <f>IF($A286="","",IF(COUNTIFS(請求記録!$B$6:$B$3005,$A286,請求記録!$X$6:$X$3005,E$5,請求記録!$AD$6:$AD$3005,"保留中")&gt;0,"保留",IF(COUNTIFS(請求記録!$B$6:$B$3005,$A286,請求記録!$X$6:$X$3005,E$5)=0,"",SUMIFS(請求記録!$AC$6:$AC$3005,請求記録!$B$6:$B$3005,$A286,請求記録!$X$6:$X$3005,E$5))))</f>
        <v/>
      </c>
      <c r="F286" s="19">
        <f>IF($A286="","",IF(COUNTIFS(請求記録!$B$6:$B$3005,$A286,請求記録!$X$6:$X$3005,F$5,請求記録!$AD$6:$AD$3005,"保留中")&gt;0,"保留",IF(COUNTIFS(請求記録!$B$6:$B$3005,$A286,請求記録!$X$6:$X$3005,F$5)=0,"",SUMIFS(請求記録!$AC$6:$AC$3005,請求記録!$B$6:$B$3005,$A286,請求記録!$X$6:$X$3005,F$5))))</f>
        <v/>
      </c>
      <c r="G286" s="19">
        <f>IF($A286="","",IF(COUNTIFS(請求記録!$B$6:$B$3005,$A286,請求記録!$X$6:$X$3005,G$5,請求記録!$AD$6:$AD$3005,"保留中")&gt;0,"保留",IF(COUNTIFS(請求記録!$B$6:$B$3005,$A286,請求記録!$X$6:$X$3005,G$5)=0,"",SUMIFS(請求記録!$AC$6:$AC$3005,請求記録!$B$6:$B$3005,$A286,請求記録!$X$6:$X$3005,G$5))))</f>
        <v/>
      </c>
      <c r="H286" s="19">
        <f>IF($A286="","",IF(COUNTIFS(請求記録!$B$6:$B$3005,$A286,請求記録!$X$6:$X$3005,H$5,請求記録!$AD$6:$AD$3005,"保留中")&gt;0,"保留",IF(COUNTIFS(請求記録!$B$6:$B$3005,$A286,請求記録!$X$6:$X$3005,H$5)=0,"",SUMIFS(請求記録!$AC$6:$AC$3005,請求記録!$B$6:$B$3005,$A286,請求記録!$X$6:$X$3005,H$5))))</f>
        <v/>
      </c>
      <c r="I286" s="19">
        <f>IF($A286="","",IF(COUNTIFS(請求記録!$B$6:$B$3005,$A286,請求記録!$X$6:$X$3005,I$5,請求記録!$AD$6:$AD$3005,"保留中")&gt;0,"保留",IF(COUNTIFS(請求記録!$B$6:$B$3005,$A286,請求記録!$X$6:$X$3005,I$5)=0,"",SUMIFS(請求記録!$AC$6:$AC$3005,請求記録!$B$6:$B$3005,$A286,請求記録!$X$6:$X$3005,I$5))))</f>
        <v/>
      </c>
      <c r="J286" s="19">
        <f>IF($A286="","",IF(COUNTIFS(請求記録!$B$6:$B$3005,$A286,請求記録!$X$6:$X$3005,J$5,請求記録!$AD$6:$AD$3005,"保留中")&gt;0,"保留",IF(COUNTIFS(請求記録!$B$6:$B$3005,$A286,請求記録!$X$6:$X$3005,J$5)=0,"",SUMIFS(請求記録!$AC$6:$AC$3005,請求記録!$B$6:$B$3005,$A286,請求記録!$X$6:$X$3005,J$5))))</f>
        <v/>
      </c>
      <c r="K286" s="19">
        <f>IF($A286="","",IF(COUNTIFS(請求記録!$B$6:$B$3005,$A286,請求記録!$X$6:$X$3005,K$5,請求記録!$AD$6:$AD$3005,"保留中")&gt;0,"保留",IF(COUNTIFS(請求記録!$B$6:$B$3005,$A286,請求記録!$X$6:$X$3005,K$5)=0,"",SUMIFS(請求記録!$AC$6:$AC$3005,請求記録!$B$6:$B$3005,$A286,請求記録!$X$6:$X$3005,K$5))))</f>
        <v/>
      </c>
      <c r="L286" s="19">
        <f>IF($A286="","",IF(COUNTIFS(請求記録!$B$6:$B$3005,$A286,請求記録!$X$6:$X$3005,L$5,請求記録!$AD$6:$AD$3005,"保留中")&gt;0,"保留",IF(COUNTIFS(請求記録!$B$6:$B$3005,$A286,請求記録!$X$6:$X$3005,L$5)=0,"",SUMIFS(請求記録!$AC$6:$AC$3005,請求記録!$B$6:$B$3005,$A286,請求記録!$X$6:$X$3005,L$5))))</f>
        <v/>
      </c>
      <c r="M286" s="19">
        <f>IF($A286="","",IF(COUNTIFS(請求記録!$B$6:$B$3005,$A286,請求記録!$X$6:$X$3005,M$5,請求記録!$AD$6:$AD$3005,"保留中")&gt;0,"保留",IF(COUNTIFS(請求記録!$B$6:$B$3005,$A286,請求記録!$X$6:$X$3005,M$5)=0,"",SUMIFS(請求記録!$AC$6:$AC$3005,請求記録!$B$6:$B$3005,$A286,請求記録!$X$6:$X$3005,M$5))))</f>
        <v/>
      </c>
      <c r="N286" s="19">
        <f>IF($A286="","",IF(COUNTIFS(請求記録!$B$6:$B$3005,$A286,請求記録!$X$6:$X$3005,N$5,請求記録!$AD$6:$AD$3005,"保留中")&gt;0,"保留",IF(COUNTIFS(請求記録!$B$6:$B$3005,$A286,請求記録!$X$6:$X$3005,N$5)=0,"",SUMIFS(請求記録!$AC$6:$AC$3005,請求記録!$B$6:$B$3005,$A286,請求記録!$X$6:$X$3005,N$5))))</f>
        <v/>
      </c>
      <c r="O286" s="19">
        <f>IF($A286="","",IF(COUNTIFS(請求記録!$B$6:$B$3005,$A286,請求記録!$X$6:$X$3005,O$5,請求記録!$AD$6:$AD$3005,"保留中")&gt;0,"保留",IF(COUNTIFS(請求記録!$B$6:$B$3005,$A286,請求記録!$X$6:$X$3005,O$5)=0,"",SUMIFS(請求記録!$AC$6:$AC$3005,請求記録!$B$6:$B$3005,$A286,請求記録!$X$6:$X$3005,O$5))))</f>
        <v/>
      </c>
      <c r="P286" s="19">
        <f>IF($A286="","",IF(COUNTIFS(請求記録!$B$6:$B$3005,$A286,請求記録!$X$6:$X$3005,P$5,請求記録!$AD$6:$AD$3005,"保留中")&gt;0,"保留",IF(COUNTIFS(請求記録!$B$6:$B$3005,$A286,請求記録!$X$6:$X$3005,P$5)=0,"",SUMIFS(請求記録!$AC$6:$AC$3005,請求記録!$B$6:$B$3005,$A286,請求記録!$X$6:$X$3005,P$5))))</f>
        <v/>
      </c>
      <c r="Q286" s="19">
        <f>IF($A286="","",IF(COUNTIFS(請求記録!$B$6:$B$3005,$A286,請求記録!$X$6:$X$3005,Q$5,請求記録!$AD$6:$AD$3005,"保留中")&gt;0,"保留",IF(COUNTIFS(請求記録!$B$6:$B$3005,$A286,請求記録!$X$6:$X$3005,Q$5)=0,"",SUMIFS(請求記録!$AC$6:$AC$3005,請求記録!$B$6:$B$3005,$A286,請求記録!$X$6:$X$3005,Q$5))))</f>
        <v/>
      </c>
      <c r="R286" s="19">
        <f>IF($A286="","",IF(COUNTIFS(請求記録!$B$6:$B$3005,$A286,請求記録!$X$6:$X$3005,R$5,請求記録!$AD$6:$AD$3005,"保留中")&gt;0,"保留",IF(COUNTIFS(請求記録!$B$6:$B$3005,$A286,請求記録!$X$6:$X$3005,R$5)=0,"",SUMIFS(請求記録!$AC$6:$AC$3005,請求記録!$B$6:$B$3005,$A286,請求記録!$X$6:$X$3005,R$5))))</f>
        <v/>
      </c>
      <c r="S286" s="19">
        <f>IF($A286="","",IF(COUNTIFS(請求記録!$B$6:$B$3005,$A286,請求記録!$X$6:$X$3005,S$5,請求記録!$AD$6:$AD$3005,"保留中")&gt;0,"保留",IF(COUNTIFS(請求記録!$B$6:$B$3005,$A286,請求記録!$X$6:$X$3005,S$5)=0,"",SUMIFS(請求記録!$AC$6:$AC$3005,請求記録!$B$6:$B$3005,$A286,請求記録!$X$6:$X$3005,S$5))))</f>
        <v/>
      </c>
      <c r="T286" s="19">
        <f>IF($A286="","",IF(COUNTIFS(請求記録!$B$6:$B$3005,$A286,請求記録!$X$6:$X$3005,T$5,請求記録!$AD$6:$AD$3005,"保留中")&gt;0,"保留",IF(COUNTIFS(請求記録!$B$6:$B$3005,$A286,請求記録!$X$6:$X$3005,T$5)=0,"",SUMIFS(請求記録!$AC$6:$AC$3005,請求記録!$B$6:$B$3005,$A286,請求記録!$X$6:$X$3005,T$5))))</f>
        <v/>
      </c>
      <c r="U286" s="19">
        <f>IF($A286="","",IF(COUNTIFS(請求記録!$B$6:$B$3005,$A286,請求記録!$X$6:$X$3005,U$5,請求記録!$AD$6:$AD$3005,"保留中")&gt;0,"保留",IF(COUNTIFS(請求記録!$B$6:$B$3005,$A286,請求記録!$X$6:$X$3005,U$5)=0,"",SUMIFS(請求記録!$AC$6:$AC$3005,請求記録!$B$6:$B$3005,$A286,請求記録!$X$6:$X$3005,U$5))))</f>
        <v/>
      </c>
      <c r="V286" s="19">
        <f>IF($A286="","",IF(COUNTIFS(請求記録!$B$6:$B$3005,$A286,請求記録!$X$6:$X$3005,V$5,請求記録!$AD$6:$AD$3005,"保留中")&gt;0,"保留",IF(COUNTIFS(請求記録!$B$6:$B$3005,$A286,請求記録!$X$6:$X$3005,V$5)=0,"",SUMIFS(請求記録!$AC$6:$AC$3005,請求記録!$B$6:$B$3005,$A286,請求記録!$X$6:$X$3005,V$5))))</f>
        <v/>
      </c>
      <c r="W286" s="19">
        <f>IF($A286="","",IF(COUNTIFS(請求記録!$B$6:$B$3005,$A286,請求記録!$X$6:$X$3005,W$5,請求記録!$AD$6:$AD$3005,"保留中")&gt;0,"保留",IF(COUNTIFS(請求記録!$B$6:$B$3005,$A286,請求記録!$X$6:$X$3005,W$5)=0,"",SUMIFS(請求記録!$AC$6:$AC$3005,請求記録!$B$6:$B$3005,$A286,請求記録!$X$6:$X$3005,W$5))))</f>
        <v/>
      </c>
      <c r="X286" s="19">
        <f>IF($A286="","",IF(COUNTIFS(請求記録!$B$6:$B$3005,$A286,請求記録!$X$6:$X$3005,X$5,請求記録!$AD$6:$AD$3005,"保留中")&gt;0,"保留",IF(COUNTIFS(請求記録!$B$6:$B$3005,$A286,請求記録!$X$6:$X$3005,X$5)=0,"",SUMIFS(請求記録!$AC$6:$AC$3005,請求記録!$B$6:$B$3005,$A286,請求記録!$X$6:$X$3005,X$5))))</f>
        <v/>
      </c>
      <c r="Y286" s="19">
        <f>IF($A286="","",IF(COUNTIFS(請求記録!$B$6:$B$3005,$A286,請求記録!$X$6:$X$3005,Y$5,請求記録!$AD$6:$AD$3005,"保留中")&gt;0,"保留",IF(COUNTIFS(請求記録!$B$6:$B$3005,$A286,請求記録!$X$6:$X$3005,Y$5)=0,"",SUMIFS(請求記録!$AC$6:$AC$3005,請求記録!$B$6:$B$3005,$A286,請求記録!$X$6:$X$3005,Y$5))))</f>
        <v/>
      </c>
      <c r="Z286" s="19">
        <f>IF($A286="","",IF(COUNTIFS(請求記録!$B$6:$B$3005,$A286,請求記録!$X$6:$X$3005,Z$5,請求記録!$AD$6:$AD$3005,"保留中")&gt;0,"保留",IF(COUNTIFS(請求記録!$B$6:$B$3005,$A286,請求記録!$X$6:$X$3005,Z$5)=0,"",SUMIFS(請求記録!$AC$6:$AC$3005,請求記録!$B$6:$B$3005,$A286,請求記録!$X$6:$X$3005,Z$5))))</f>
        <v/>
      </c>
      <c r="AA286" s="19">
        <f>IF($A286="","",IF(COUNTIFS(請求記録!$B$6:$B$3005,$A286,請求記録!$X$6:$X$3005,AA$5,請求記録!$AD$6:$AD$3005,"保留中")&gt;0,"保留",IF(COUNTIFS(請求記録!$B$6:$B$3005,$A286,請求記録!$X$6:$X$3005,AA$5)=0,"",SUMIFS(請求記録!$AC$6:$AC$3005,請求記録!$B$6:$B$3005,$A286,請求記録!$X$6:$X$3005,AA$5))))</f>
        <v/>
      </c>
      <c r="AB286">
        <f>IF(職員マスタ!P286="保留中",職員マスタ!M286,"")</f>
        <v/>
      </c>
    </row>
    <row r="287">
      <c r="A287">
        <f>IF(職員マスタ!A287="","",職員マスタ!A287)</f>
        <v/>
      </c>
      <c r="B287">
        <f>IF($A287="","",職員マスタ!B287)</f>
        <v/>
      </c>
      <c r="C287">
        <f>IF($A287="","",職員マスタ!C287)</f>
        <v/>
      </c>
      <c r="D287" s="19">
        <f>IF($A287="","",IF(COUNTIFS(請求記録!$B$6:$B$3005,$A287,請求記録!$X$6:$X$3005,D$5,請求記録!$AD$6:$AD$3005,"保留中")&gt;0,"保留",IF(COUNTIFS(請求記録!$B$6:$B$3005,$A287,請求記録!$X$6:$X$3005,D$5)=0,"",SUMIFS(請求記録!$AC$6:$AC$3005,請求記録!$B$6:$B$3005,$A287,請求記録!$X$6:$X$3005,D$5))))</f>
        <v/>
      </c>
      <c r="E287" s="19">
        <f>IF($A287="","",IF(COUNTIFS(請求記録!$B$6:$B$3005,$A287,請求記録!$X$6:$X$3005,E$5,請求記録!$AD$6:$AD$3005,"保留中")&gt;0,"保留",IF(COUNTIFS(請求記録!$B$6:$B$3005,$A287,請求記録!$X$6:$X$3005,E$5)=0,"",SUMIFS(請求記録!$AC$6:$AC$3005,請求記録!$B$6:$B$3005,$A287,請求記録!$X$6:$X$3005,E$5))))</f>
        <v/>
      </c>
      <c r="F287" s="19">
        <f>IF($A287="","",IF(COUNTIFS(請求記録!$B$6:$B$3005,$A287,請求記録!$X$6:$X$3005,F$5,請求記録!$AD$6:$AD$3005,"保留中")&gt;0,"保留",IF(COUNTIFS(請求記録!$B$6:$B$3005,$A287,請求記録!$X$6:$X$3005,F$5)=0,"",SUMIFS(請求記録!$AC$6:$AC$3005,請求記録!$B$6:$B$3005,$A287,請求記録!$X$6:$X$3005,F$5))))</f>
        <v/>
      </c>
      <c r="G287" s="19">
        <f>IF($A287="","",IF(COUNTIFS(請求記録!$B$6:$B$3005,$A287,請求記録!$X$6:$X$3005,G$5,請求記録!$AD$6:$AD$3005,"保留中")&gt;0,"保留",IF(COUNTIFS(請求記録!$B$6:$B$3005,$A287,請求記録!$X$6:$X$3005,G$5)=0,"",SUMIFS(請求記録!$AC$6:$AC$3005,請求記録!$B$6:$B$3005,$A287,請求記録!$X$6:$X$3005,G$5))))</f>
        <v/>
      </c>
      <c r="H287" s="19">
        <f>IF($A287="","",IF(COUNTIFS(請求記録!$B$6:$B$3005,$A287,請求記録!$X$6:$X$3005,H$5,請求記録!$AD$6:$AD$3005,"保留中")&gt;0,"保留",IF(COUNTIFS(請求記録!$B$6:$B$3005,$A287,請求記録!$X$6:$X$3005,H$5)=0,"",SUMIFS(請求記録!$AC$6:$AC$3005,請求記録!$B$6:$B$3005,$A287,請求記録!$X$6:$X$3005,H$5))))</f>
        <v/>
      </c>
      <c r="I287" s="19">
        <f>IF($A287="","",IF(COUNTIFS(請求記録!$B$6:$B$3005,$A287,請求記録!$X$6:$X$3005,I$5,請求記録!$AD$6:$AD$3005,"保留中")&gt;0,"保留",IF(COUNTIFS(請求記録!$B$6:$B$3005,$A287,請求記録!$X$6:$X$3005,I$5)=0,"",SUMIFS(請求記録!$AC$6:$AC$3005,請求記録!$B$6:$B$3005,$A287,請求記録!$X$6:$X$3005,I$5))))</f>
        <v/>
      </c>
      <c r="J287" s="19">
        <f>IF($A287="","",IF(COUNTIFS(請求記録!$B$6:$B$3005,$A287,請求記録!$X$6:$X$3005,J$5,請求記録!$AD$6:$AD$3005,"保留中")&gt;0,"保留",IF(COUNTIFS(請求記録!$B$6:$B$3005,$A287,請求記録!$X$6:$X$3005,J$5)=0,"",SUMIFS(請求記録!$AC$6:$AC$3005,請求記録!$B$6:$B$3005,$A287,請求記録!$X$6:$X$3005,J$5))))</f>
        <v/>
      </c>
      <c r="K287" s="19">
        <f>IF($A287="","",IF(COUNTIFS(請求記録!$B$6:$B$3005,$A287,請求記録!$X$6:$X$3005,K$5,請求記録!$AD$6:$AD$3005,"保留中")&gt;0,"保留",IF(COUNTIFS(請求記録!$B$6:$B$3005,$A287,請求記録!$X$6:$X$3005,K$5)=0,"",SUMIFS(請求記録!$AC$6:$AC$3005,請求記録!$B$6:$B$3005,$A287,請求記録!$X$6:$X$3005,K$5))))</f>
        <v/>
      </c>
      <c r="L287" s="19">
        <f>IF($A287="","",IF(COUNTIFS(請求記録!$B$6:$B$3005,$A287,請求記録!$X$6:$X$3005,L$5,請求記録!$AD$6:$AD$3005,"保留中")&gt;0,"保留",IF(COUNTIFS(請求記録!$B$6:$B$3005,$A287,請求記録!$X$6:$X$3005,L$5)=0,"",SUMIFS(請求記録!$AC$6:$AC$3005,請求記録!$B$6:$B$3005,$A287,請求記録!$X$6:$X$3005,L$5))))</f>
        <v/>
      </c>
      <c r="M287" s="19">
        <f>IF($A287="","",IF(COUNTIFS(請求記録!$B$6:$B$3005,$A287,請求記録!$X$6:$X$3005,M$5,請求記録!$AD$6:$AD$3005,"保留中")&gt;0,"保留",IF(COUNTIFS(請求記録!$B$6:$B$3005,$A287,請求記録!$X$6:$X$3005,M$5)=0,"",SUMIFS(請求記録!$AC$6:$AC$3005,請求記録!$B$6:$B$3005,$A287,請求記録!$X$6:$X$3005,M$5))))</f>
        <v/>
      </c>
      <c r="N287" s="19">
        <f>IF($A287="","",IF(COUNTIFS(請求記録!$B$6:$B$3005,$A287,請求記録!$X$6:$X$3005,N$5,請求記録!$AD$6:$AD$3005,"保留中")&gt;0,"保留",IF(COUNTIFS(請求記録!$B$6:$B$3005,$A287,請求記録!$X$6:$X$3005,N$5)=0,"",SUMIFS(請求記録!$AC$6:$AC$3005,請求記録!$B$6:$B$3005,$A287,請求記録!$X$6:$X$3005,N$5))))</f>
        <v/>
      </c>
      <c r="O287" s="19">
        <f>IF($A287="","",IF(COUNTIFS(請求記録!$B$6:$B$3005,$A287,請求記録!$X$6:$X$3005,O$5,請求記録!$AD$6:$AD$3005,"保留中")&gt;0,"保留",IF(COUNTIFS(請求記録!$B$6:$B$3005,$A287,請求記録!$X$6:$X$3005,O$5)=0,"",SUMIFS(請求記録!$AC$6:$AC$3005,請求記録!$B$6:$B$3005,$A287,請求記録!$X$6:$X$3005,O$5))))</f>
        <v/>
      </c>
      <c r="P287" s="19">
        <f>IF($A287="","",IF(COUNTIFS(請求記録!$B$6:$B$3005,$A287,請求記録!$X$6:$X$3005,P$5,請求記録!$AD$6:$AD$3005,"保留中")&gt;0,"保留",IF(COUNTIFS(請求記録!$B$6:$B$3005,$A287,請求記録!$X$6:$X$3005,P$5)=0,"",SUMIFS(請求記録!$AC$6:$AC$3005,請求記録!$B$6:$B$3005,$A287,請求記録!$X$6:$X$3005,P$5))))</f>
        <v/>
      </c>
      <c r="Q287" s="19">
        <f>IF($A287="","",IF(COUNTIFS(請求記録!$B$6:$B$3005,$A287,請求記録!$X$6:$X$3005,Q$5,請求記録!$AD$6:$AD$3005,"保留中")&gt;0,"保留",IF(COUNTIFS(請求記録!$B$6:$B$3005,$A287,請求記録!$X$6:$X$3005,Q$5)=0,"",SUMIFS(請求記録!$AC$6:$AC$3005,請求記録!$B$6:$B$3005,$A287,請求記録!$X$6:$X$3005,Q$5))))</f>
        <v/>
      </c>
      <c r="R287" s="19">
        <f>IF($A287="","",IF(COUNTIFS(請求記録!$B$6:$B$3005,$A287,請求記録!$X$6:$X$3005,R$5,請求記録!$AD$6:$AD$3005,"保留中")&gt;0,"保留",IF(COUNTIFS(請求記録!$B$6:$B$3005,$A287,請求記録!$X$6:$X$3005,R$5)=0,"",SUMIFS(請求記録!$AC$6:$AC$3005,請求記録!$B$6:$B$3005,$A287,請求記録!$X$6:$X$3005,R$5))))</f>
        <v/>
      </c>
      <c r="S287" s="19">
        <f>IF($A287="","",IF(COUNTIFS(請求記録!$B$6:$B$3005,$A287,請求記録!$X$6:$X$3005,S$5,請求記録!$AD$6:$AD$3005,"保留中")&gt;0,"保留",IF(COUNTIFS(請求記録!$B$6:$B$3005,$A287,請求記録!$X$6:$X$3005,S$5)=0,"",SUMIFS(請求記録!$AC$6:$AC$3005,請求記録!$B$6:$B$3005,$A287,請求記録!$X$6:$X$3005,S$5))))</f>
        <v/>
      </c>
      <c r="T287" s="19">
        <f>IF($A287="","",IF(COUNTIFS(請求記録!$B$6:$B$3005,$A287,請求記録!$X$6:$X$3005,T$5,請求記録!$AD$6:$AD$3005,"保留中")&gt;0,"保留",IF(COUNTIFS(請求記録!$B$6:$B$3005,$A287,請求記録!$X$6:$X$3005,T$5)=0,"",SUMIFS(請求記録!$AC$6:$AC$3005,請求記録!$B$6:$B$3005,$A287,請求記録!$X$6:$X$3005,T$5))))</f>
        <v/>
      </c>
      <c r="U287" s="19">
        <f>IF($A287="","",IF(COUNTIFS(請求記録!$B$6:$B$3005,$A287,請求記録!$X$6:$X$3005,U$5,請求記録!$AD$6:$AD$3005,"保留中")&gt;0,"保留",IF(COUNTIFS(請求記録!$B$6:$B$3005,$A287,請求記録!$X$6:$X$3005,U$5)=0,"",SUMIFS(請求記録!$AC$6:$AC$3005,請求記録!$B$6:$B$3005,$A287,請求記録!$X$6:$X$3005,U$5))))</f>
        <v/>
      </c>
      <c r="V287" s="19">
        <f>IF($A287="","",IF(COUNTIFS(請求記録!$B$6:$B$3005,$A287,請求記録!$X$6:$X$3005,V$5,請求記録!$AD$6:$AD$3005,"保留中")&gt;0,"保留",IF(COUNTIFS(請求記録!$B$6:$B$3005,$A287,請求記録!$X$6:$X$3005,V$5)=0,"",SUMIFS(請求記録!$AC$6:$AC$3005,請求記録!$B$6:$B$3005,$A287,請求記録!$X$6:$X$3005,V$5))))</f>
        <v/>
      </c>
      <c r="W287" s="19">
        <f>IF($A287="","",IF(COUNTIFS(請求記録!$B$6:$B$3005,$A287,請求記録!$X$6:$X$3005,W$5,請求記録!$AD$6:$AD$3005,"保留中")&gt;0,"保留",IF(COUNTIFS(請求記録!$B$6:$B$3005,$A287,請求記録!$X$6:$X$3005,W$5)=0,"",SUMIFS(請求記録!$AC$6:$AC$3005,請求記録!$B$6:$B$3005,$A287,請求記録!$X$6:$X$3005,W$5))))</f>
        <v/>
      </c>
      <c r="X287" s="19">
        <f>IF($A287="","",IF(COUNTIFS(請求記録!$B$6:$B$3005,$A287,請求記録!$X$6:$X$3005,X$5,請求記録!$AD$6:$AD$3005,"保留中")&gt;0,"保留",IF(COUNTIFS(請求記録!$B$6:$B$3005,$A287,請求記録!$X$6:$X$3005,X$5)=0,"",SUMIFS(請求記録!$AC$6:$AC$3005,請求記録!$B$6:$B$3005,$A287,請求記録!$X$6:$X$3005,X$5))))</f>
        <v/>
      </c>
      <c r="Y287" s="19">
        <f>IF($A287="","",IF(COUNTIFS(請求記録!$B$6:$B$3005,$A287,請求記録!$X$6:$X$3005,Y$5,請求記録!$AD$6:$AD$3005,"保留中")&gt;0,"保留",IF(COUNTIFS(請求記録!$B$6:$B$3005,$A287,請求記録!$X$6:$X$3005,Y$5)=0,"",SUMIFS(請求記録!$AC$6:$AC$3005,請求記録!$B$6:$B$3005,$A287,請求記録!$X$6:$X$3005,Y$5))))</f>
        <v/>
      </c>
      <c r="Z287" s="19">
        <f>IF($A287="","",IF(COUNTIFS(請求記録!$B$6:$B$3005,$A287,請求記録!$X$6:$X$3005,Z$5,請求記録!$AD$6:$AD$3005,"保留中")&gt;0,"保留",IF(COUNTIFS(請求記録!$B$6:$B$3005,$A287,請求記録!$X$6:$X$3005,Z$5)=0,"",SUMIFS(請求記録!$AC$6:$AC$3005,請求記録!$B$6:$B$3005,$A287,請求記録!$X$6:$X$3005,Z$5))))</f>
        <v/>
      </c>
      <c r="AA287" s="19">
        <f>IF($A287="","",IF(COUNTIFS(請求記録!$B$6:$B$3005,$A287,請求記録!$X$6:$X$3005,AA$5,請求記録!$AD$6:$AD$3005,"保留中")&gt;0,"保留",IF(COUNTIFS(請求記録!$B$6:$B$3005,$A287,請求記録!$X$6:$X$3005,AA$5)=0,"",SUMIFS(請求記録!$AC$6:$AC$3005,請求記録!$B$6:$B$3005,$A287,請求記録!$X$6:$X$3005,AA$5))))</f>
        <v/>
      </c>
      <c r="AB287">
        <f>IF(職員マスタ!P287="保留中",職員マスタ!M287,"")</f>
        <v/>
      </c>
    </row>
    <row r="288">
      <c r="A288">
        <f>IF(職員マスタ!A288="","",職員マスタ!A288)</f>
        <v/>
      </c>
      <c r="B288">
        <f>IF($A288="","",職員マスタ!B288)</f>
        <v/>
      </c>
      <c r="C288">
        <f>IF($A288="","",職員マスタ!C288)</f>
        <v/>
      </c>
      <c r="D288" s="19">
        <f>IF($A288="","",IF(COUNTIFS(請求記録!$B$6:$B$3005,$A288,請求記録!$X$6:$X$3005,D$5,請求記録!$AD$6:$AD$3005,"保留中")&gt;0,"保留",IF(COUNTIFS(請求記録!$B$6:$B$3005,$A288,請求記録!$X$6:$X$3005,D$5)=0,"",SUMIFS(請求記録!$AC$6:$AC$3005,請求記録!$B$6:$B$3005,$A288,請求記録!$X$6:$X$3005,D$5))))</f>
        <v/>
      </c>
      <c r="E288" s="19">
        <f>IF($A288="","",IF(COUNTIFS(請求記録!$B$6:$B$3005,$A288,請求記録!$X$6:$X$3005,E$5,請求記録!$AD$6:$AD$3005,"保留中")&gt;0,"保留",IF(COUNTIFS(請求記録!$B$6:$B$3005,$A288,請求記録!$X$6:$X$3005,E$5)=0,"",SUMIFS(請求記録!$AC$6:$AC$3005,請求記録!$B$6:$B$3005,$A288,請求記録!$X$6:$X$3005,E$5))))</f>
        <v/>
      </c>
      <c r="F288" s="19">
        <f>IF($A288="","",IF(COUNTIFS(請求記録!$B$6:$B$3005,$A288,請求記録!$X$6:$X$3005,F$5,請求記録!$AD$6:$AD$3005,"保留中")&gt;0,"保留",IF(COUNTIFS(請求記録!$B$6:$B$3005,$A288,請求記録!$X$6:$X$3005,F$5)=0,"",SUMIFS(請求記録!$AC$6:$AC$3005,請求記録!$B$6:$B$3005,$A288,請求記録!$X$6:$X$3005,F$5))))</f>
        <v/>
      </c>
      <c r="G288" s="19">
        <f>IF($A288="","",IF(COUNTIFS(請求記録!$B$6:$B$3005,$A288,請求記録!$X$6:$X$3005,G$5,請求記録!$AD$6:$AD$3005,"保留中")&gt;0,"保留",IF(COUNTIFS(請求記録!$B$6:$B$3005,$A288,請求記録!$X$6:$X$3005,G$5)=0,"",SUMIFS(請求記録!$AC$6:$AC$3005,請求記録!$B$6:$B$3005,$A288,請求記録!$X$6:$X$3005,G$5))))</f>
        <v/>
      </c>
      <c r="H288" s="19">
        <f>IF($A288="","",IF(COUNTIFS(請求記録!$B$6:$B$3005,$A288,請求記録!$X$6:$X$3005,H$5,請求記録!$AD$6:$AD$3005,"保留中")&gt;0,"保留",IF(COUNTIFS(請求記録!$B$6:$B$3005,$A288,請求記録!$X$6:$X$3005,H$5)=0,"",SUMIFS(請求記録!$AC$6:$AC$3005,請求記録!$B$6:$B$3005,$A288,請求記録!$X$6:$X$3005,H$5))))</f>
        <v/>
      </c>
      <c r="I288" s="19">
        <f>IF($A288="","",IF(COUNTIFS(請求記録!$B$6:$B$3005,$A288,請求記録!$X$6:$X$3005,I$5,請求記録!$AD$6:$AD$3005,"保留中")&gt;0,"保留",IF(COUNTIFS(請求記録!$B$6:$B$3005,$A288,請求記録!$X$6:$X$3005,I$5)=0,"",SUMIFS(請求記録!$AC$6:$AC$3005,請求記録!$B$6:$B$3005,$A288,請求記録!$X$6:$X$3005,I$5))))</f>
        <v/>
      </c>
      <c r="J288" s="19">
        <f>IF($A288="","",IF(COUNTIFS(請求記録!$B$6:$B$3005,$A288,請求記録!$X$6:$X$3005,J$5,請求記録!$AD$6:$AD$3005,"保留中")&gt;0,"保留",IF(COUNTIFS(請求記録!$B$6:$B$3005,$A288,請求記録!$X$6:$X$3005,J$5)=0,"",SUMIFS(請求記録!$AC$6:$AC$3005,請求記録!$B$6:$B$3005,$A288,請求記録!$X$6:$X$3005,J$5))))</f>
        <v/>
      </c>
      <c r="K288" s="19">
        <f>IF($A288="","",IF(COUNTIFS(請求記録!$B$6:$B$3005,$A288,請求記録!$X$6:$X$3005,K$5,請求記録!$AD$6:$AD$3005,"保留中")&gt;0,"保留",IF(COUNTIFS(請求記録!$B$6:$B$3005,$A288,請求記録!$X$6:$X$3005,K$5)=0,"",SUMIFS(請求記録!$AC$6:$AC$3005,請求記録!$B$6:$B$3005,$A288,請求記録!$X$6:$X$3005,K$5))))</f>
        <v/>
      </c>
      <c r="L288" s="19">
        <f>IF($A288="","",IF(COUNTIFS(請求記録!$B$6:$B$3005,$A288,請求記録!$X$6:$X$3005,L$5,請求記録!$AD$6:$AD$3005,"保留中")&gt;0,"保留",IF(COUNTIFS(請求記録!$B$6:$B$3005,$A288,請求記録!$X$6:$X$3005,L$5)=0,"",SUMIFS(請求記録!$AC$6:$AC$3005,請求記録!$B$6:$B$3005,$A288,請求記録!$X$6:$X$3005,L$5))))</f>
        <v/>
      </c>
      <c r="M288" s="19">
        <f>IF($A288="","",IF(COUNTIFS(請求記録!$B$6:$B$3005,$A288,請求記録!$X$6:$X$3005,M$5,請求記録!$AD$6:$AD$3005,"保留中")&gt;0,"保留",IF(COUNTIFS(請求記録!$B$6:$B$3005,$A288,請求記録!$X$6:$X$3005,M$5)=0,"",SUMIFS(請求記録!$AC$6:$AC$3005,請求記録!$B$6:$B$3005,$A288,請求記録!$X$6:$X$3005,M$5))))</f>
        <v/>
      </c>
      <c r="N288" s="19">
        <f>IF($A288="","",IF(COUNTIFS(請求記録!$B$6:$B$3005,$A288,請求記録!$X$6:$X$3005,N$5,請求記録!$AD$6:$AD$3005,"保留中")&gt;0,"保留",IF(COUNTIFS(請求記録!$B$6:$B$3005,$A288,請求記録!$X$6:$X$3005,N$5)=0,"",SUMIFS(請求記録!$AC$6:$AC$3005,請求記録!$B$6:$B$3005,$A288,請求記録!$X$6:$X$3005,N$5))))</f>
        <v/>
      </c>
      <c r="O288" s="19">
        <f>IF($A288="","",IF(COUNTIFS(請求記録!$B$6:$B$3005,$A288,請求記録!$X$6:$X$3005,O$5,請求記録!$AD$6:$AD$3005,"保留中")&gt;0,"保留",IF(COUNTIFS(請求記録!$B$6:$B$3005,$A288,請求記録!$X$6:$X$3005,O$5)=0,"",SUMIFS(請求記録!$AC$6:$AC$3005,請求記録!$B$6:$B$3005,$A288,請求記録!$X$6:$X$3005,O$5))))</f>
        <v/>
      </c>
      <c r="P288" s="19">
        <f>IF($A288="","",IF(COUNTIFS(請求記録!$B$6:$B$3005,$A288,請求記録!$X$6:$X$3005,P$5,請求記録!$AD$6:$AD$3005,"保留中")&gt;0,"保留",IF(COUNTIFS(請求記録!$B$6:$B$3005,$A288,請求記録!$X$6:$X$3005,P$5)=0,"",SUMIFS(請求記録!$AC$6:$AC$3005,請求記録!$B$6:$B$3005,$A288,請求記録!$X$6:$X$3005,P$5))))</f>
        <v/>
      </c>
      <c r="Q288" s="19">
        <f>IF($A288="","",IF(COUNTIFS(請求記録!$B$6:$B$3005,$A288,請求記録!$X$6:$X$3005,Q$5,請求記録!$AD$6:$AD$3005,"保留中")&gt;0,"保留",IF(COUNTIFS(請求記録!$B$6:$B$3005,$A288,請求記録!$X$6:$X$3005,Q$5)=0,"",SUMIFS(請求記録!$AC$6:$AC$3005,請求記録!$B$6:$B$3005,$A288,請求記録!$X$6:$X$3005,Q$5))))</f>
        <v/>
      </c>
      <c r="R288" s="19">
        <f>IF($A288="","",IF(COUNTIFS(請求記録!$B$6:$B$3005,$A288,請求記録!$X$6:$X$3005,R$5,請求記録!$AD$6:$AD$3005,"保留中")&gt;0,"保留",IF(COUNTIFS(請求記録!$B$6:$B$3005,$A288,請求記録!$X$6:$X$3005,R$5)=0,"",SUMIFS(請求記録!$AC$6:$AC$3005,請求記録!$B$6:$B$3005,$A288,請求記録!$X$6:$X$3005,R$5))))</f>
        <v/>
      </c>
      <c r="S288" s="19">
        <f>IF($A288="","",IF(COUNTIFS(請求記録!$B$6:$B$3005,$A288,請求記録!$X$6:$X$3005,S$5,請求記録!$AD$6:$AD$3005,"保留中")&gt;0,"保留",IF(COUNTIFS(請求記録!$B$6:$B$3005,$A288,請求記録!$X$6:$X$3005,S$5)=0,"",SUMIFS(請求記録!$AC$6:$AC$3005,請求記録!$B$6:$B$3005,$A288,請求記録!$X$6:$X$3005,S$5))))</f>
        <v/>
      </c>
      <c r="T288" s="19">
        <f>IF($A288="","",IF(COUNTIFS(請求記録!$B$6:$B$3005,$A288,請求記録!$X$6:$X$3005,T$5,請求記録!$AD$6:$AD$3005,"保留中")&gt;0,"保留",IF(COUNTIFS(請求記録!$B$6:$B$3005,$A288,請求記録!$X$6:$X$3005,T$5)=0,"",SUMIFS(請求記録!$AC$6:$AC$3005,請求記録!$B$6:$B$3005,$A288,請求記録!$X$6:$X$3005,T$5))))</f>
        <v/>
      </c>
      <c r="U288" s="19">
        <f>IF($A288="","",IF(COUNTIFS(請求記録!$B$6:$B$3005,$A288,請求記録!$X$6:$X$3005,U$5,請求記録!$AD$6:$AD$3005,"保留中")&gt;0,"保留",IF(COUNTIFS(請求記録!$B$6:$B$3005,$A288,請求記録!$X$6:$X$3005,U$5)=0,"",SUMIFS(請求記録!$AC$6:$AC$3005,請求記録!$B$6:$B$3005,$A288,請求記録!$X$6:$X$3005,U$5))))</f>
        <v/>
      </c>
      <c r="V288" s="19">
        <f>IF($A288="","",IF(COUNTIFS(請求記録!$B$6:$B$3005,$A288,請求記録!$X$6:$X$3005,V$5,請求記録!$AD$6:$AD$3005,"保留中")&gt;0,"保留",IF(COUNTIFS(請求記録!$B$6:$B$3005,$A288,請求記録!$X$6:$X$3005,V$5)=0,"",SUMIFS(請求記録!$AC$6:$AC$3005,請求記録!$B$6:$B$3005,$A288,請求記録!$X$6:$X$3005,V$5))))</f>
        <v/>
      </c>
      <c r="W288" s="19">
        <f>IF($A288="","",IF(COUNTIFS(請求記録!$B$6:$B$3005,$A288,請求記録!$X$6:$X$3005,W$5,請求記録!$AD$6:$AD$3005,"保留中")&gt;0,"保留",IF(COUNTIFS(請求記録!$B$6:$B$3005,$A288,請求記録!$X$6:$X$3005,W$5)=0,"",SUMIFS(請求記録!$AC$6:$AC$3005,請求記録!$B$6:$B$3005,$A288,請求記録!$X$6:$X$3005,W$5))))</f>
        <v/>
      </c>
      <c r="X288" s="19">
        <f>IF($A288="","",IF(COUNTIFS(請求記録!$B$6:$B$3005,$A288,請求記録!$X$6:$X$3005,X$5,請求記録!$AD$6:$AD$3005,"保留中")&gt;0,"保留",IF(COUNTIFS(請求記録!$B$6:$B$3005,$A288,請求記録!$X$6:$X$3005,X$5)=0,"",SUMIFS(請求記録!$AC$6:$AC$3005,請求記録!$B$6:$B$3005,$A288,請求記録!$X$6:$X$3005,X$5))))</f>
        <v/>
      </c>
      <c r="Y288" s="19">
        <f>IF($A288="","",IF(COUNTIFS(請求記録!$B$6:$B$3005,$A288,請求記録!$X$6:$X$3005,Y$5,請求記録!$AD$6:$AD$3005,"保留中")&gt;0,"保留",IF(COUNTIFS(請求記録!$B$6:$B$3005,$A288,請求記録!$X$6:$X$3005,Y$5)=0,"",SUMIFS(請求記録!$AC$6:$AC$3005,請求記録!$B$6:$B$3005,$A288,請求記録!$X$6:$X$3005,Y$5))))</f>
        <v/>
      </c>
      <c r="Z288" s="19">
        <f>IF($A288="","",IF(COUNTIFS(請求記録!$B$6:$B$3005,$A288,請求記録!$X$6:$X$3005,Z$5,請求記録!$AD$6:$AD$3005,"保留中")&gt;0,"保留",IF(COUNTIFS(請求記録!$B$6:$B$3005,$A288,請求記録!$X$6:$X$3005,Z$5)=0,"",SUMIFS(請求記録!$AC$6:$AC$3005,請求記録!$B$6:$B$3005,$A288,請求記録!$X$6:$X$3005,Z$5))))</f>
        <v/>
      </c>
      <c r="AA288" s="19">
        <f>IF($A288="","",IF(COUNTIFS(請求記録!$B$6:$B$3005,$A288,請求記録!$X$6:$X$3005,AA$5,請求記録!$AD$6:$AD$3005,"保留中")&gt;0,"保留",IF(COUNTIFS(請求記録!$B$6:$B$3005,$A288,請求記録!$X$6:$X$3005,AA$5)=0,"",SUMIFS(請求記録!$AC$6:$AC$3005,請求記録!$B$6:$B$3005,$A288,請求記録!$X$6:$X$3005,AA$5))))</f>
        <v/>
      </c>
      <c r="AB288">
        <f>IF(職員マスタ!P288="保留中",職員マスタ!M288,"")</f>
        <v/>
      </c>
    </row>
    <row r="289">
      <c r="A289">
        <f>IF(職員マスタ!A289="","",職員マスタ!A289)</f>
        <v/>
      </c>
      <c r="B289">
        <f>IF($A289="","",職員マスタ!B289)</f>
        <v/>
      </c>
      <c r="C289">
        <f>IF($A289="","",職員マスタ!C289)</f>
        <v/>
      </c>
      <c r="D289" s="19">
        <f>IF($A289="","",IF(COUNTIFS(請求記録!$B$6:$B$3005,$A289,請求記録!$X$6:$X$3005,D$5,請求記録!$AD$6:$AD$3005,"保留中")&gt;0,"保留",IF(COUNTIFS(請求記録!$B$6:$B$3005,$A289,請求記録!$X$6:$X$3005,D$5)=0,"",SUMIFS(請求記録!$AC$6:$AC$3005,請求記録!$B$6:$B$3005,$A289,請求記録!$X$6:$X$3005,D$5))))</f>
        <v/>
      </c>
      <c r="E289" s="19">
        <f>IF($A289="","",IF(COUNTIFS(請求記録!$B$6:$B$3005,$A289,請求記録!$X$6:$X$3005,E$5,請求記録!$AD$6:$AD$3005,"保留中")&gt;0,"保留",IF(COUNTIFS(請求記録!$B$6:$B$3005,$A289,請求記録!$X$6:$X$3005,E$5)=0,"",SUMIFS(請求記録!$AC$6:$AC$3005,請求記録!$B$6:$B$3005,$A289,請求記録!$X$6:$X$3005,E$5))))</f>
        <v/>
      </c>
      <c r="F289" s="19">
        <f>IF($A289="","",IF(COUNTIFS(請求記録!$B$6:$B$3005,$A289,請求記録!$X$6:$X$3005,F$5,請求記録!$AD$6:$AD$3005,"保留中")&gt;0,"保留",IF(COUNTIFS(請求記録!$B$6:$B$3005,$A289,請求記録!$X$6:$X$3005,F$5)=0,"",SUMIFS(請求記録!$AC$6:$AC$3005,請求記録!$B$6:$B$3005,$A289,請求記録!$X$6:$X$3005,F$5))))</f>
        <v/>
      </c>
      <c r="G289" s="19">
        <f>IF($A289="","",IF(COUNTIFS(請求記録!$B$6:$B$3005,$A289,請求記録!$X$6:$X$3005,G$5,請求記録!$AD$6:$AD$3005,"保留中")&gt;0,"保留",IF(COUNTIFS(請求記録!$B$6:$B$3005,$A289,請求記録!$X$6:$X$3005,G$5)=0,"",SUMIFS(請求記録!$AC$6:$AC$3005,請求記録!$B$6:$B$3005,$A289,請求記録!$X$6:$X$3005,G$5))))</f>
        <v/>
      </c>
      <c r="H289" s="19">
        <f>IF($A289="","",IF(COUNTIFS(請求記録!$B$6:$B$3005,$A289,請求記録!$X$6:$X$3005,H$5,請求記録!$AD$6:$AD$3005,"保留中")&gt;0,"保留",IF(COUNTIFS(請求記録!$B$6:$B$3005,$A289,請求記録!$X$6:$X$3005,H$5)=0,"",SUMIFS(請求記録!$AC$6:$AC$3005,請求記録!$B$6:$B$3005,$A289,請求記録!$X$6:$X$3005,H$5))))</f>
        <v/>
      </c>
      <c r="I289" s="19">
        <f>IF($A289="","",IF(COUNTIFS(請求記録!$B$6:$B$3005,$A289,請求記録!$X$6:$X$3005,I$5,請求記録!$AD$6:$AD$3005,"保留中")&gt;0,"保留",IF(COUNTIFS(請求記録!$B$6:$B$3005,$A289,請求記録!$X$6:$X$3005,I$5)=0,"",SUMIFS(請求記録!$AC$6:$AC$3005,請求記録!$B$6:$B$3005,$A289,請求記録!$X$6:$X$3005,I$5))))</f>
        <v/>
      </c>
      <c r="J289" s="19">
        <f>IF($A289="","",IF(COUNTIFS(請求記録!$B$6:$B$3005,$A289,請求記録!$X$6:$X$3005,J$5,請求記録!$AD$6:$AD$3005,"保留中")&gt;0,"保留",IF(COUNTIFS(請求記録!$B$6:$B$3005,$A289,請求記録!$X$6:$X$3005,J$5)=0,"",SUMIFS(請求記録!$AC$6:$AC$3005,請求記録!$B$6:$B$3005,$A289,請求記録!$X$6:$X$3005,J$5))))</f>
        <v/>
      </c>
      <c r="K289" s="19">
        <f>IF($A289="","",IF(COUNTIFS(請求記録!$B$6:$B$3005,$A289,請求記録!$X$6:$X$3005,K$5,請求記録!$AD$6:$AD$3005,"保留中")&gt;0,"保留",IF(COUNTIFS(請求記録!$B$6:$B$3005,$A289,請求記録!$X$6:$X$3005,K$5)=0,"",SUMIFS(請求記録!$AC$6:$AC$3005,請求記録!$B$6:$B$3005,$A289,請求記録!$X$6:$X$3005,K$5))))</f>
        <v/>
      </c>
      <c r="L289" s="19">
        <f>IF($A289="","",IF(COUNTIFS(請求記録!$B$6:$B$3005,$A289,請求記録!$X$6:$X$3005,L$5,請求記録!$AD$6:$AD$3005,"保留中")&gt;0,"保留",IF(COUNTIFS(請求記録!$B$6:$B$3005,$A289,請求記録!$X$6:$X$3005,L$5)=0,"",SUMIFS(請求記録!$AC$6:$AC$3005,請求記録!$B$6:$B$3005,$A289,請求記録!$X$6:$X$3005,L$5))))</f>
        <v/>
      </c>
      <c r="M289" s="19">
        <f>IF($A289="","",IF(COUNTIFS(請求記録!$B$6:$B$3005,$A289,請求記録!$X$6:$X$3005,M$5,請求記録!$AD$6:$AD$3005,"保留中")&gt;0,"保留",IF(COUNTIFS(請求記録!$B$6:$B$3005,$A289,請求記録!$X$6:$X$3005,M$5)=0,"",SUMIFS(請求記録!$AC$6:$AC$3005,請求記録!$B$6:$B$3005,$A289,請求記録!$X$6:$X$3005,M$5))))</f>
        <v/>
      </c>
      <c r="N289" s="19">
        <f>IF($A289="","",IF(COUNTIFS(請求記録!$B$6:$B$3005,$A289,請求記録!$X$6:$X$3005,N$5,請求記録!$AD$6:$AD$3005,"保留中")&gt;0,"保留",IF(COUNTIFS(請求記録!$B$6:$B$3005,$A289,請求記録!$X$6:$X$3005,N$5)=0,"",SUMIFS(請求記録!$AC$6:$AC$3005,請求記録!$B$6:$B$3005,$A289,請求記録!$X$6:$X$3005,N$5))))</f>
        <v/>
      </c>
      <c r="O289" s="19">
        <f>IF($A289="","",IF(COUNTIFS(請求記録!$B$6:$B$3005,$A289,請求記録!$X$6:$X$3005,O$5,請求記録!$AD$6:$AD$3005,"保留中")&gt;0,"保留",IF(COUNTIFS(請求記録!$B$6:$B$3005,$A289,請求記録!$X$6:$X$3005,O$5)=0,"",SUMIFS(請求記録!$AC$6:$AC$3005,請求記録!$B$6:$B$3005,$A289,請求記録!$X$6:$X$3005,O$5))))</f>
        <v/>
      </c>
      <c r="P289" s="19">
        <f>IF($A289="","",IF(COUNTIFS(請求記録!$B$6:$B$3005,$A289,請求記録!$X$6:$X$3005,P$5,請求記録!$AD$6:$AD$3005,"保留中")&gt;0,"保留",IF(COUNTIFS(請求記録!$B$6:$B$3005,$A289,請求記録!$X$6:$X$3005,P$5)=0,"",SUMIFS(請求記録!$AC$6:$AC$3005,請求記録!$B$6:$B$3005,$A289,請求記録!$X$6:$X$3005,P$5))))</f>
        <v/>
      </c>
      <c r="Q289" s="19">
        <f>IF($A289="","",IF(COUNTIFS(請求記録!$B$6:$B$3005,$A289,請求記録!$X$6:$X$3005,Q$5,請求記録!$AD$6:$AD$3005,"保留中")&gt;0,"保留",IF(COUNTIFS(請求記録!$B$6:$B$3005,$A289,請求記録!$X$6:$X$3005,Q$5)=0,"",SUMIFS(請求記録!$AC$6:$AC$3005,請求記録!$B$6:$B$3005,$A289,請求記録!$X$6:$X$3005,Q$5))))</f>
        <v/>
      </c>
      <c r="R289" s="19">
        <f>IF($A289="","",IF(COUNTIFS(請求記録!$B$6:$B$3005,$A289,請求記録!$X$6:$X$3005,R$5,請求記録!$AD$6:$AD$3005,"保留中")&gt;0,"保留",IF(COUNTIFS(請求記録!$B$6:$B$3005,$A289,請求記録!$X$6:$X$3005,R$5)=0,"",SUMIFS(請求記録!$AC$6:$AC$3005,請求記録!$B$6:$B$3005,$A289,請求記録!$X$6:$X$3005,R$5))))</f>
        <v/>
      </c>
      <c r="S289" s="19">
        <f>IF($A289="","",IF(COUNTIFS(請求記録!$B$6:$B$3005,$A289,請求記録!$X$6:$X$3005,S$5,請求記録!$AD$6:$AD$3005,"保留中")&gt;0,"保留",IF(COUNTIFS(請求記録!$B$6:$B$3005,$A289,請求記録!$X$6:$X$3005,S$5)=0,"",SUMIFS(請求記録!$AC$6:$AC$3005,請求記録!$B$6:$B$3005,$A289,請求記録!$X$6:$X$3005,S$5))))</f>
        <v/>
      </c>
      <c r="T289" s="19">
        <f>IF($A289="","",IF(COUNTIFS(請求記録!$B$6:$B$3005,$A289,請求記録!$X$6:$X$3005,T$5,請求記録!$AD$6:$AD$3005,"保留中")&gt;0,"保留",IF(COUNTIFS(請求記録!$B$6:$B$3005,$A289,請求記録!$X$6:$X$3005,T$5)=0,"",SUMIFS(請求記録!$AC$6:$AC$3005,請求記録!$B$6:$B$3005,$A289,請求記録!$X$6:$X$3005,T$5))))</f>
        <v/>
      </c>
      <c r="U289" s="19">
        <f>IF($A289="","",IF(COUNTIFS(請求記録!$B$6:$B$3005,$A289,請求記録!$X$6:$X$3005,U$5,請求記録!$AD$6:$AD$3005,"保留中")&gt;0,"保留",IF(COUNTIFS(請求記録!$B$6:$B$3005,$A289,請求記録!$X$6:$X$3005,U$5)=0,"",SUMIFS(請求記録!$AC$6:$AC$3005,請求記録!$B$6:$B$3005,$A289,請求記録!$X$6:$X$3005,U$5))))</f>
        <v/>
      </c>
      <c r="V289" s="19">
        <f>IF($A289="","",IF(COUNTIFS(請求記録!$B$6:$B$3005,$A289,請求記録!$X$6:$X$3005,V$5,請求記録!$AD$6:$AD$3005,"保留中")&gt;0,"保留",IF(COUNTIFS(請求記録!$B$6:$B$3005,$A289,請求記録!$X$6:$X$3005,V$5)=0,"",SUMIFS(請求記録!$AC$6:$AC$3005,請求記録!$B$6:$B$3005,$A289,請求記録!$X$6:$X$3005,V$5))))</f>
        <v/>
      </c>
      <c r="W289" s="19">
        <f>IF($A289="","",IF(COUNTIFS(請求記録!$B$6:$B$3005,$A289,請求記録!$X$6:$X$3005,W$5,請求記録!$AD$6:$AD$3005,"保留中")&gt;0,"保留",IF(COUNTIFS(請求記録!$B$6:$B$3005,$A289,請求記録!$X$6:$X$3005,W$5)=0,"",SUMIFS(請求記録!$AC$6:$AC$3005,請求記録!$B$6:$B$3005,$A289,請求記録!$X$6:$X$3005,W$5))))</f>
        <v/>
      </c>
      <c r="X289" s="19">
        <f>IF($A289="","",IF(COUNTIFS(請求記録!$B$6:$B$3005,$A289,請求記録!$X$6:$X$3005,X$5,請求記録!$AD$6:$AD$3005,"保留中")&gt;0,"保留",IF(COUNTIFS(請求記録!$B$6:$B$3005,$A289,請求記録!$X$6:$X$3005,X$5)=0,"",SUMIFS(請求記録!$AC$6:$AC$3005,請求記録!$B$6:$B$3005,$A289,請求記録!$X$6:$X$3005,X$5))))</f>
        <v/>
      </c>
      <c r="Y289" s="19">
        <f>IF($A289="","",IF(COUNTIFS(請求記録!$B$6:$B$3005,$A289,請求記録!$X$6:$X$3005,Y$5,請求記録!$AD$6:$AD$3005,"保留中")&gt;0,"保留",IF(COUNTIFS(請求記録!$B$6:$B$3005,$A289,請求記録!$X$6:$X$3005,Y$5)=0,"",SUMIFS(請求記録!$AC$6:$AC$3005,請求記録!$B$6:$B$3005,$A289,請求記録!$X$6:$X$3005,Y$5))))</f>
        <v/>
      </c>
      <c r="Z289" s="19">
        <f>IF($A289="","",IF(COUNTIFS(請求記録!$B$6:$B$3005,$A289,請求記録!$X$6:$X$3005,Z$5,請求記録!$AD$6:$AD$3005,"保留中")&gt;0,"保留",IF(COUNTIFS(請求記録!$B$6:$B$3005,$A289,請求記録!$X$6:$X$3005,Z$5)=0,"",SUMIFS(請求記録!$AC$6:$AC$3005,請求記録!$B$6:$B$3005,$A289,請求記録!$X$6:$X$3005,Z$5))))</f>
        <v/>
      </c>
      <c r="AA289" s="19">
        <f>IF($A289="","",IF(COUNTIFS(請求記録!$B$6:$B$3005,$A289,請求記録!$X$6:$X$3005,AA$5,請求記録!$AD$6:$AD$3005,"保留中")&gt;0,"保留",IF(COUNTIFS(請求記録!$B$6:$B$3005,$A289,請求記録!$X$6:$X$3005,AA$5)=0,"",SUMIFS(請求記録!$AC$6:$AC$3005,請求記録!$B$6:$B$3005,$A289,請求記録!$X$6:$X$3005,AA$5))))</f>
        <v/>
      </c>
      <c r="AB289">
        <f>IF(職員マスタ!P289="保留中",職員マスタ!M289,"")</f>
        <v/>
      </c>
    </row>
    <row r="290">
      <c r="A290">
        <f>IF(職員マスタ!A290="","",職員マスタ!A290)</f>
        <v/>
      </c>
      <c r="B290">
        <f>IF($A290="","",職員マスタ!B290)</f>
        <v/>
      </c>
      <c r="C290">
        <f>IF($A290="","",職員マスタ!C290)</f>
        <v/>
      </c>
      <c r="D290" s="19">
        <f>IF($A290="","",IF(COUNTIFS(請求記録!$B$6:$B$3005,$A290,請求記録!$X$6:$X$3005,D$5,請求記録!$AD$6:$AD$3005,"保留中")&gt;0,"保留",IF(COUNTIFS(請求記録!$B$6:$B$3005,$A290,請求記録!$X$6:$X$3005,D$5)=0,"",SUMIFS(請求記録!$AC$6:$AC$3005,請求記録!$B$6:$B$3005,$A290,請求記録!$X$6:$X$3005,D$5))))</f>
        <v/>
      </c>
      <c r="E290" s="19">
        <f>IF($A290="","",IF(COUNTIFS(請求記録!$B$6:$B$3005,$A290,請求記録!$X$6:$X$3005,E$5,請求記録!$AD$6:$AD$3005,"保留中")&gt;0,"保留",IF(COUNTIFS(請求記録!$B$6:$B$3005,$A290,請求記録!$X$6:$X$3005,E$5)=0,"",SUMIFS(請求記録!$AC$6:$AC$3005,請求記録!$B$6:$B$3005,$A290,請求記録!$X$6:$X$3005,E$5))))</f>
        <v/>
      </c>
      <c r="F290" s="19">
        <f>IF($A290="","",IF(COUNTIFS(請求記録!$B$6:$B$3005,$A290,請求記録!$X$6:$X$3005,F$5,請求記録!$AD$6:$AD$3005,"保留中")&gt;0,"保留",IF(COUNTIFS(請求記録!$B$6:$B$3005,$A290,請求記録!$X$6:$X$3005,F$5)=0,"",SUMIFS(請求記録!$AC$6:$AC$3005,請求記録!$B$6:$B$3005,$A290,請求記録!$X$6:$X$3005,F$5))))</f>
        <v/>
      </c>
      <c r="G290" s="19">
        <f>IF($A290="","",IF(COUNTIFS(請求記録!$B$6:$B$3005,$A290,請求記録!$X$6:$X$3005,G$5,請求記録!$AD$6:$AD$3005,"保留中")&gt;0,"保留",IF(COUNTIFS(請求記録!$B$6:$B$3005,$A290,請求記録!$X$6:$X$3005,G$5)=0,"",SUMIFS(請求記録!$AC$6:$AC$3005,請求記録!$B$6:$B$3005,$A290,請求記録!$X$6:$X$3005,G$5))))</f>
        <v/>
      </c>
      <c r="H290" s="19">
        <f>IF($A290="","",IF(COUNTIFS(請求記録!$B$6:$B$3005,$A290,請求記録!$X$6:$X$3005,H$5,請求記録!$AD$6:$AD$3005,"保留中")&gt;0,"保留",IF(COUNTIFS(請求記録!$B$6:$B$3005,$A290,請求記録!$X$6:$X$3005,H$5)=0,"",SUMIFS(請求記録!$AC$6:$AC$3005,請求記録!$B$6:$B$3005,$A290,請求記録!$X$6:$X$3005,H$5))))</f>
        <v/>
      </c>
      <c r="I290" s="19">
        <f>IF($A290="","",IF(COUNTIFS(請求記録!$B$6:$B$3005,$A290,請求記録!$X$6:$X$3005,I$5,請求記録!$AD$6:$AD$3005,"保留中")&gt;0,"保留",IF(COUNTIFS(請求記録!$B$6:$B$3005,$A290,請求記録!$X$6:$X$3005,I$5)=0,"",SUMIFS(請求記録!$AC$6:$AC$3005,請求記録!$B$6:$B$3005,$A290,請求記録!$X$6:$X$3005,I$5))))</f>
        <v/>
      </c>
      <c r="J290" s="19">
        <f>IF($A290="","",IF(COUNTIFS(請求記録!$B$6:$B$3005,$A290,請求記録!$X$6:$X$3005,J$5,請求記録!$AD$6:$AD$3005,"保留中")&gt;0,"保留",IF(COUNTIFS(請求記録!$B$6:$B$3005,$A290,請求記録!$X$6:$X$3005,J$5)=0,"",SUMIFS(請求記録!$AC$6:$AC$3005,請求記録!$B$6:$B$3005,$A290,請求記録!$X$6:$X$3005,J$5))))</f>
        <v/>
      </c>
      <c r="K290" s="19">
        <f>IF($A290="","",IF(COUNTIFS(請求記録!$B$6:$B$3005,$A290,請求記録!$X$6:$X$3005,K$5,請求記録!$AD$6:$AD$3005,"保留中")&gt;0,"保留",IF(COUNTIFS(請求記録!$B$6:$B$3005,$A290,請求記録!$X$6:$X$3005,K$5)=0,"",SUMIFS(請求記録!$AC$6:$AC$3005,請求記録!$B$6:$B$3005,$A290,請求記録!$X$6:$X$3005,K$5))))</f>
        <v/>
      </c>
      <c r="L290" s="19">
        <f>IF($A290="","",IF(COUNTIFS(請求記録!$B$6:$B$3005,$A290,請求記録!$X$6:$X$3005,L$5,請求記録!$AD$6:$AD$3005,"保留中")&gt;0,"保留",IF(COUNTIFS(請求記録!$B$6:$B$3005,$A290,請求記録!$X$6:$X$3005,L$5)=0,"",SUMIFS(請求記録!$AC$6:$AC$3005,請求記録!$B$6:$B$3005,$A290,請求記録!$X$6:$X$3005,L$5))))</f>
        <v/>
      </c>
      <c r="M290" s="19">
        <f>IF($A290="","",IF(COUNTIFS(請求記録!$B$6:$B$3005,$A290,請求記録!$X$6:$X$3005,M$5,請求記録!$AD$6:$AD$3005,"保留中")&gt;0,"保留",IF(COUNTIFS(請求記録!$B$6:$B$3005,$A290,請求記録!$X$6:$X$3005,M$5)=0,"",SUMIFS(請求記録!$AC$6:$AC$3005,請求記録!$B$6:$B$3005,$A290,請求記録!$X$6:$X$3005,M$5))))</f>
        <v/>
      </c>
      <c r="N290" s="19">
        <f>IF($A290="","",IF(COUNTIFS(請求記録!$B$6:$B$3005,$A290,請求記録!$X$6:$X$3005,N$5,請求記録!$AD$6:$AD$3005,"保留中")&gt;0,"保留",IF(COUNTIFS(請求記録!$B$6:$B$3005,$A290,請求記録!$X$6:$X$3005,N$5)=0,"",SUMIFS(請求記録!$AC$6:$AC$3005,請求記録!$B$6:$B$3005,$A290,請求記録!$X$6:$X$3005,N$5))))</f>
        <v/>
      </c>
      <c r="O290" s="19">
        <f>IF($A290="","",IF(COUNTIFS(請求記録!$B$6:$B$3005,$A290,請求記録!$X$6:$X$3005,O$5,請求記録!$AD$6:$AD$3005,"保留中")&gt;0,"保留",IF(COUNTIFS(請求記録!$B$6:$B$3005,$A290,請求記録!$X$6:$X$3005,O$5)=0,"",SUMIFS(請求記録!$AC$6:$AC$3005,請求記録!$B$6:$B$3005,$A290,請求記録!$X$6:$X$3005,O$5))))</f>
        <v/>
      </c>
      <c r="P290" s="19">
        <f>IF($A290="","",IF(COUNTIFS(請求記録!$B$6:$B$3005,$A290,請求記録!$X$6:$X$3005,P$5,請求記録!$AD$6:$AD$3005,"保留中")&gt;0,"保留",IF(COUNTIFS(請求記録!$B$6:$B$3005,$A290,請求記録!$X$6:$X$3005,P$5)=0,"",SUMIFS(請求記録!$AC$6:$AC$3005,請求記録!$B$6:$B$3005,$A290,請求記録!$X$6:$X$3005,P$5))))</f>
        <v/>
      </c>
      <c r="Q290" s="19">
        <f>IF($A290="","",IF(COUNTIFS(請求記録!$B$6:$B$3005,$A290,請求記録!$X$6:$X$3005,Q$5,請求記録!$AD$6:$AD$3005,"保留中")&gt;0,"保留",IF(COUNTIFS(請求記録!$B$6:$B$3005,$A290,請求記録!$X$6:$X$3005,Q$5)=0,"",SUMIFS(請求記録!$AC$6:$AC$3005,請求記録!$B$6:$B$3005,$A290,請求記録!$X$6:$X$3005,Q$5))))</f>
        <v/>
      </c>
      <c r="R290" s="19">
        <f>IF($A290="","",IF(COUNTIFS(請求記録!$B$6:$B$3005,$A290,請求記録!$X$6:$X$3005,R$5,請求記録!$AD$6:$AD$3005,"保留中")&gt;0,"保留",IF(COUNTIFS(請求記録!$B$6:$B$3005,$A290,請求記録!$X$6:$X$3005,R$5)=0,"",SUMIFS(請求記録!$AC$6:$AC$3005,請求記録!$B$6:$B$3005,$A290,請求記録!$X$6:$X$3005,R$5))))</f>
        <v/>
      </c>
      <c r="S290" s="19">
        <f>IF($A290="","",IF(COUNTIFS(請求記録!$B$6:$B$3005,$A290,請求記録!$X$6:$X$3005,S$5,請求記録!$AD$6:$AD$3005,"保留中")&gt;0,"保留",IF(COUNTIFS(請求記録!$B$6:$B$3005,$A290,請求記録!$X$6:$X$3005,S$5)=0,"",SUMIFS(請求記録!$AC$6:$AC$3005,請求記録!$B$6:$B$3005,$A290,請求記録!$X$6:$X$3005,S$5))))</f>
        <v/>
      </c>
      <c r="T290" s="19">
        <f>IF($A290="","",IF(COUNTIFS(請求記録!$B$6:$B$3005,$A290,請求記録!$X$6:$X$3005,T$5,請求記録!$AD$6:$AD$3005,"保留中")&gt;0,"保留",IF(COUNTIFS(請求記録!$B$6:$B$3005,$A290,請求記録!$X$6:$X$3005,T$5)=0,"",SUMIFS(請求記録!$AC$6:$AC$3005,請求記録!$B$6:$B$3005,$A290,請求記録!$X$6:$X$3005,T$5))))</f>
        <v/>
      </c>
      <c r="U290" s="19">
        <f>IF($A290="","",IF(COUNTIFS(請求記録!$B$6:$B$3005,$A290,請求記録!$X$6:$X$3005,U$5,請求記録!$AD$6:$AD$3005,"保留中")&gt;0,"保留",IF(COUNTIFS(請求記録!$B$6:$B$3005,$A290,請求記録!$X$6:$X$3005,U$5)=0,"",SUMIFS(請求記録!$AC$6:$AC$3005,請求記録!$B$6:$B$3005,$A290,請求記録!$X$6:$X$3005,U$5))))</f>
        <v/>
      </c>
      <c r="V290" s="19">
        <f>IF($A290="","",IF(COUNTIFS(請求記録!$B$6:$B$3005,$A290,請求記録!$X$6:$X$3005,V$5,請求記録!$AD$6:$AD$3005,"保留中")&gt;0,"保留",IF(COUNTIFS(請求記録!$B$6:$B$3005,$A290,請求記録!$X$6:$X$3005,V$5)=0,"",SUMIFS(請求記録!$AC$6:$AC$3005,請求記録!$B$6:$B$3005,$A290,請求記録!$X$6:$X$3005,V$5))))</f>
        <v/>
      </c>
      <c r="W290" s="19">
        <f>IF($A290="","",IF(COUNTIFS(請求記録!$B$6:$B$3005,$A290,請求記録!$X$6:$X$3005,W$5,請求記録!$AD$6:$AD$3005,"保留中")&gt;0,"保留",IF(COUNTIFS(請求記録!$B$6:$B$3005,$A290,請求記録!$X$6:$X$3005,W$5)=0,"",SUMIFS(請求記録!$AC$6:$AC$3005,請求記録!$B$6:$B$3005,$A290,請求記録!$X$6:$X$3005,W$5))))</f>
        <v/>
      </c>
      <c r="X290" s="19">
        <f>IF($A290="","",IF(COUNTIFS(請求記録!$B$6:$B$3005,$A290,請求記録!$X$6:$X$3005,X$5,請求記録!$AD$6:$AD$3005,"保留中")&gt;0,"保留",IF(COUNTIFS(請求記録!$B$6:$B$3005,$A290,請求記録!$X$6:$X$3005,X$5)=0,"",SUMIFS(請求記録!$AC$6:$AC$3005,請求記録!$B$6:$B$3005,$A290,請求記録!$X$6:$X$3005,X$5))))</f>
        <v/>
      </c>
      <c r="Y290" s="19">
        <f>IF($A290="","",IF(COUNTIFS(請求記録!$B$6:$B$3005,$A290,請求記録!$X$6:$X$3005,Y$5,請求記録!$AD$6:$AD$3005,"保留中")&gt;0,"保留",IF(COUNTIFS(請求記録!$B$6:$B$3005,$A290,請求記録!$X$6:$X$3005,Y$5)=0,"",SUMIFS(請求記録!$AC$6:$AC$3005,請求記録!$B$6:$B$3005,$A290,請求記録!$X$6:$X$3005,Y$5))))</f>
        <v/>
      </c>
      <c r="Z290" s="19">
        <f>IF($A290="","",IF(COUNTIFS(請求記録!$B$6:$B$3005,$A290,請求記録!$X$6:$X$3005,Z$5,請求記録!$AD$6:$AD$3005,"保留中")&gt;0,"保留",IF(COUNTIFS(請求記録!$B$6:$B$3005,$A290,請求記録!$X$6:$X$3005,Z$5)=0,"",SUMIFS(請求記録!$AC$6:$AC$3005,請求記録!$B$6:$B$3005,$A290,請求記録!$X$6:$X$3005,Z$5))))</f>
        <v/>
      </c>
      <c r="AA290" s="19">
        <f>IF($A290="","",IF(COUNTIFS(請求記録!$B$6:$B$3005,$A290,請求記録!$X$6:$X$3005,AA$5,請求記録!$AD$6:$AD$3005,"保留中")&gt;0,"保留",IF(COUNTIFS(請求記録!$B$6:$B$3005,$A290,請求記録!$X$6:$X$3005,AA$5)=0,"",SUMIFS(請求記録!$AC$6:$AC$3005,請求記録!$B$6:$B$3005,$A290,請求記録!$X$6:$X$3005,AA$5))))</f>
        <v/>
      </c>
      <c r="AB290">
        <f>IF(職員マスタ!P290="保留中",職員マスタ!M290,"")</f>
        <v/>
      </c>
    </row>
    <row r="291">
      <c r="A291">
        <f>IF(職員マスタ!A291="","",職員マスタ!A291)</f>
        <v/>
      </c>
      <c r="B291">
        <f>IF($A291="","",職員マスタ!B291)</f>
        <v/>
      </c>
      <c r="C291">
        <f>IF($A291="","",職員マスタ!C291)</f>
        <v/>
      </c>
      <c r="D291" s="19">
        <f>IF($A291="","",IF(COUNTIFS(請求記録!$B$6:$B$3005,$A291,請求記録!$X$6:$X$3005,D$5,請求記録!$AD$6:$AD$3005,"保留中")&gt;0,"保留",IF(COUNTIFS(請求記録!$B$6:$B$3005,$A291,請求記録!$X$6:$X$3005,D$5)=0,"",SUMIFS(請求記録!$AC$6:$AC$3005,請求記録!$B$6:$B$3005,$A291,請求記録!$X$6:$X$3005,D$5))))</f>
        <v/>
      </c>
      <c r="E291" s="19">
        <f>IF($A291="","",IF(COUNTIFS(請求記録!$B$6:$B$3005,$A291,請求記録!$X$6:$X$3005,E$5,請求記録!$AD$6:$AD$3005,"保留中")&gt;0,"保留",IF(COUNTIFS(請求記録!$B$6:$B$3005,$A291,請求記録!$X$6:$X$3005,E$5)=0,"",SUMIFS(請求記録!$AC$6:$AC$3005,請求記録!$B$6:$B$3005,$A291,請求記録!$X$6:$X$3005,E$5))))</f>
        <v/>
      </c>
      <c r="F291" s="19">
        <f>IF($A291="","",IF(COUNTIFS(請求記録!$B$6:$B$3005,$A291,請求記録!$X$6:$X$3005,F$5,請求記録!$AD$6:$AD$3005,"保留中")&gt;0,"保留",IF(COUNTIFS(請求記録!$B$6:$B$3005,$A291,請求記録!$X$6:$X$3005,F$5)=0,"",SUMIFS(請求記録!$AC$6:$AC$3005,請求記録!$B$6:$B$3005,$A291,請求記録!$X$6:$X$3005,F$5))))</f>
        <v/>
      </c>
      <c r="G291" s="19">
        <f>IF($A291="","",IF(COUNTIFS(請求記録!$B$6:$B$3005,$A291,請求記録!$X$6:$X$3005,G$5,請求記録!$AD$6:$AD$3005,"保留中")&gt;0,"保留",IF(COUNTIFS(請求記録!$B$6:$B$3005,$A291,請求記録!$X$6:$X$3005,G$5)=0,"",SUMIFS(請求記録!$AC$6:$AC$3005,請求記録!$B$6:$B$3005,$A291,請求記録!$X$6:$X$3005,G$5))))</f>
        <v/>
      </c>
      <c r="H291" s="19">
        <f>IF($A291="","",IF(COUNTIFS(請求記録!$B$6:$B$3005,$A291,請求記録!$X$6:$X$3005,H$5,請求記録!$AD$6:$AD$3005,"保留中")&gt;0,"保留",IF(COUNTIFS(請求記録!$B$6:$B$3005,$A291,請求記録!$X$6:$X$3005,H$5)=0,"",SUMIFS(請求記録!$AC$6:$AC$3005,請求記録!$B$6:$B$3005,$A291,請求記録!$X$6:$X$3005,H$5))))</f>
        <v/>
      </c>
      <c r="I291" s="19">
        <f>IF($A291="","",IF(COUNTIFS(請求記録!$B$6:$B$3005,$A291,請求記録!$X$6:$X$3005,I$5,請求記録!$AD$6:$AD$3005,"保留中")&gt;0,"保留",IF(COUNTIFS(請求記録!$B$6:$B$3005,$A291,請求記録!$X$6:$X$3005,I$5)=0,"",SUMIFS(請求記録!$AC$6:$AC$3005,請求記録!$B$6:$B$3005,$A291,請求記録!$X$6:$X$3005,I$5))))</f>
        <v/>
      </c>
      <c r="J291" s="19">
        <f>IF($A291="","",IF(COUNTIFS(請求記録!$B$6:$B$3005,$A291,請求記録!$X$6:$X$3005,J$5,請求記録!$AD$6:$AD$3005,"保留中")&gt;0,"保留",IF(COUNTIFS(請求記録!$B$6:$B$3005,$A291,請求記録!$X$6:$X$3005,J$5)=0,"",SUMIFS(請求記録!$AC$6:$AC$3005,請求記録!$B$6:$B$3005,$A291,請求記録!$X$6:$X$3005,J$5))))</f>
        <v/>
      </c>
      <c r="K291" s="19">
        <f>IF($A291="","",IF(COUNTIFS(請求記録!$B$6:$B$3005,$A291,請求記録!$X$6:$X$3005,K$5,請求記録!$AD$6:$AD$3005,"保留中")&gt;0,"保留",IF(COUNTIFS(請求記録!$B$6:$B$3005,$A291,請求記録!$X$6:$X$3005,K$5)=0,"",SUMIFS(請求記録!$AC$6:$AC$3005,請求記録!$B$6:$B$3005,$A291,請求記録!$X$6:$X$3005,K$5))))</f>
        <v/>
      </c>
      <c r="L291" s="19">
        <f>IF($A291="","",IF(COUNTIFS(請求記録!$B$6:$B$3005,$A291,請求記録!$X$6:$X$3005,L$5,請求記録!$AD$6:$AD$3005,"保留中")&gt;0,"保留",IF(COUNTIFS(請求記録!$B$6:$B$3005,$A291,請求記録!$X$6:$X$3005,L$5)=0,"",SUMIFS(請求記録!$AC$6:$AC$3005,請求記録!$B$6:$B$3005,$A291,請求記録!$X$6:$X$3005,L$5))))</f>
        <v/>
      </c>
      <c r="M291" s="19">
        <f>IF($A291="","",IF(COUNTIFS(請求記録!$B$6:$B$3005,$A291,請求記録!$X$6:$X$3005,M$5,請求記録!$AD$6:$AD$3005,"保留中")&gt;0,"保留",IF(COUNTIFS(請求記録!$B$6:$B$3005,$A291,請求記録!$X$6:$X$3005,M$5)=0,"",SUMIFS(請求記録!$AC$6:$AC$3005,請求記録!$B$6:$B$3005,$A291,請求記録!$X$6:$X$3005,M$5))))</f>
        <v/>
      </c>
      <c r="N291" s="19">
        <f>IF($A291="","",IF(COUNTIFS(請求記録!$B$6:$B$3005,$A291,請求記録!$X$6:$X$3005,N$5,請求記録!$AD$6:$AD$3005,"保留中")&gt;0,"保留",IF(COUNTIFS(請求記録!$B$6:$B$3005,$A291,請求記録!$X$6:$X$3005,N$5)=0,"",SUMIFS(請求記録!$AC$6:$AC$3005,請求記録!$B$6:$B$3005,$A291,請求記録!$X$6:$X$3005,N$5))))</f>
        <v/>
      </c>
      <c r="O291" s="19">
        <f>IF($A291="","",IF(COUNTIFS(請求記録!$B$6:$B$3005,$A291,請求記録!$X$6:$X$3005,O$5,請求記録!$AD$6:$AD$3005,"保留中")&gt;0,"保留",IF(COUNTIFS(請求記録!$B$6:$B$3005,$A291,請求記録!$X$6:$X$3005,O$5)=0,"",SUMIFS(請求記録!$AC$6:$AC$3005,請求記録!$B$6:$B$3005,$A291,請求記録!$X$6:$X$3005,O$5))))</f>
        <v/>
      </c>
      <c r="P291" s="19">
        <f>IF($A291="","",IF(COUNTIFS(請求記録!$B$6:$B$3005,$A291,請求記録!$X$6:$X$3005,P$5,請求記録!$AD$6:$AD$3005,"保留中")&gt;0,"保留",IF(COUNTIFS(請求記録!$B$6:$B$3005,$A291,請求記録!$X$6:$X$3005,P$5)=0,"",SUMIFS(請求記録!$AC$6:$AC$3005,請求記録!$B$6:$B$3005,$A291,請求記録!$X$6:$X$3005,P$5))))</f>
        <v/>
      </c>
      <c r="Q291" s="19">
        <f>IF($A291="","",IF(COUNTIFS(請求記録!$B$6:$B$3005,$A291,請求記録!$X$6:$X$3005,Q$5,請求記録!$AD$6:$AD$3005,"保留中")&gt;0,"保留",IF(COUNTIFS(請求記録!$B$6:$B$3005,$A291,請求記録!$X$6:$X$3005,Q$5)=0,"",SUMIFS(請求記録!$AC$6:$AC$3005,請求記録!$B$6:$B$3005,$A291,請求記録!$X$6:$X$3005,Q$5))))</f>
        <v/>
      </c>
      <c r="R291" s="19">
        <f>IF($A291="","",IF(COUNTIFS(請求記録!$B$6:$B$3005,$A291,請求記録!$X$6:$X$3005,R$5,請求記録!$AD$6:$AD$3005,"保留中")&gt;0,"保留",IF(COUNTIFS(請求記録!$B$6:$B$3005,$A291,請求記録!$X$6:$X$3005,R$5)=0,"",SUMIFS(請求記録!$AC$6:$AC$3005,請求記録!$B$6:$B$3005,$A291,請求記録!$X$6:$X$3005,R$5))))</f>
        <v/>
      </c>
      <c r="S291" s="19">
        <f>IF($A291="","",IF(COUNTIFS(請求記録!$B$6:$B$3005,$A291,請求記録!$X$6:$X$3005,S$5,請求記録!$AD$6:$AD$3005,"保留中")&gt;0,"保留",IF(COUNTIFS(請求記録!$B$6:$B$3005,$A291,請求記録!$X$6:$X$3005,S$5)=0,"",SUMIFS(請求記録!$AC$6:$AC$3005,請求記録!$B$6:$B$3005,$A291,請求記録!$X$6:$X$3005,S$5))))</f>
        <v/>
      </c>
      <c r="T291" s="19">
        <f>IF($A291="","",IF(COUNTIFS(請求記録!$B$6:$B$3005,$A291,請求記録!$X$6:$X$3005,T$5,請求記録!$AD$6:$AD$3005,"保留中")&gt;0,"保留",IF(COUNTIFS(請求記録!$B$6:$B$3005,$A291,請求記録!$X$6:$X$3005,T$5)=0,"",SUMIFS(請求記録!$AC$6:$AC$3005,請求記録!$B$6:$B$3005,$A291,請求記録!$X$6:$X$3005,T$5))))</f>
        <v/>
      </c>
      <c r="U291" s="19">
        <f>IF($A291="","",IF(COUNTIFS(請求記録!$B$6:$B$3005,$A291,請求記録!$X$6:$X$3005,U$5,請求記録!$AD$6:$AD$3005,"保留中")&gt;0,"保留",IF(COUNTIFS(請求記録!$B$6:$B$3005,$A291,請求記録!$X$6:$X$3005,U$5)=0,"",SUMIFS(請求記録!$AC$6:$AC$3005,請求記録!$B$6:$B$3005,$A291,請求記録!$X$6:$X$3005,U$5))))</f>
        <v/>
      </c>
      <c r="V291" s="19">
        <f>IF($A291="","",IF(COUNTIFS(請求記録!$B$6:$B$3005,$A291,請求記録!$X$6:$X$3005,V$5,請求記録!$AD$6:$AD$3005,"保留中")&gt;0,"保留",IF(COUNTIFS(請求記録!$B$6:$B$3005,$A291,請求記録!$X$6:$X$3005,V$5)=0,"",SUMIFS(請求記録!$AC$6:$AC$3005,請求記録!$B$6:$B$3005,$A291,請求記録!$X$6:$X$3005,V$5))))</f>
        <v/>
      </c>
      <c r="W291" s="19">
        <f>IF($A291="","",IF(COUNTIFS(請求記録!$B$6:$B$3005,$A291,請求記録!$X$6:$X$3005,W$5,請求記録!$AD$6:$AD$3005,"保留中")&gt;0,"保留",IF(COUNTIFS(請求記録!$B$6:$B$3005,$A291,請求記録!$X$6:$X$3005,W$5)=0,"",SUMIFS(請求記録!$AC$6:$AC$3005,請求記録!$B$6:$B$3005,$A291,請求記録!$X$6:$X$3005,W$5))))</f>
        <v/>
      </c>
      <c r="X291" s="19">
        <f>IF($A291="","",IF(COUNTIFS(請求記録!$B$6:$B$3005,$A291,請求記録!$X$6:$X$3005,X$5,請求記録!$AD$6:$AD$3005,"保留中")&gt;0,"保留",IF(COUNTIFS(請求記録!$B$6:$B$3005,$A291,請求記録!$X$6:$X$3005,X$5)=0,"",SUMIFS(請求記録!$AC$6:$AC$3005,請求記録!$B$6:$B$3005,$A291,請求記録!$X$6:$X$3005,X$5))))</f>
        <v/>
      </c>
      <c r="Y291" s="19">
        <f>IF($A291="","",IF(COUNTIFS(請求記録!$B$6:$B$3005,$A291,請求記録!$X$6:$X$3005,Y$5,請求記録!$AD$6:$AD$3005,"保留中")&gt;0,"保留",IF(COUNTIFS(請求記録!$B$6:$B$3005,$A291,請求記録!$X$6:$X$3005,Y$5)=0,"",SUMIFS(請求記録!$AC$6:$AC$3005,請求記録!$B$6:$B$3005,$A291,請求記録!$X$6:$X$3005,Y$5))))</f>
        <v/>
      </c>
      <c r="Z291" s="19">
        <f>IF($A291="","",IF(COUNTIFS(請求記録!$B$6:$B$3005,$A291,請求記録!$X$6:$X$3005,Z$5,請求記録!$AD$6:$AD$3005,"保留中")&gt;0,"保留",IF(COUNTIFS(請求記録!$B$6:$B$3005,$A291,請求記録!$X$6:$X$3005,Z$5)=0,"",SUMIFS(請求記録!$AC$6:$AC$3005,請求記録!$B$6:$B$3005,$A291,請求記録!$X$6:$X$3005,Z$5))))</f>
        <v/>
      </c>
      <c r="AA291" s="19">
        <f>IF($A291="","",IF(COUNTIFS(請求記録!$B$6:$B$3005,$A291,請求記録!$X$6:$X$3005,AA$5,請求記録!$AD$6:$AD$3005,"保留中")&gt;0,"保留",IF(COUNTIFS(請求記録!$B$6:$B$3005,$A291,請求記録!$X$6:$X$3005,AA$5)=0,"",SUMIFS(請求記録!$AC$6:$AC$3005,請求記録!$B$6:$B$3005,$A291,請求記録!$X$6:$X$3005,AA$5))))</f>
        <v/>
      </c>
      <c r="AB291">
        <f>IF(職員マスタ!P291="保留中",職員マスタ!M291,"")</f>
        <v/>
      </c>
    </row>
    <row r="292">
      <c r="A292">
        <f>IF(職員マスタ!A292="","",職員マスタ!A292)</f>
        <v/>
      </c>
      <c r="B292">
        <f>IF($A292="","",職員マスタ!B292)</f>
        <v/>
      </c>
      <c r="C292">
        <f>IF($A292="","",職員マスタ!C292)</f>
        <v/>
      </c>
      <c r="D292" s="19">
        <f>IF($A292="","",IF(COUNTIFS(請求記録!$B$6:$B$3005,$A292,請求記録!$X$6:$X$3005,D$5,請求記録!$AD$6:$AD$3005,"保留中")&gt;0,"保留",IF(COUNTIFS(請求記録!$B$6:$B$3005,$A292,請求記録!$X$6:$X$3005,D$5)=0,"",SUMIFS(請求記録!$AC$6:$AC$3005,請求記録!$B$6:$B$3005,$A292,請求記録!$X$6:$X$3005,D$5))))</f>
        <v/>
      </c>
      <c r="E292" s="19">
        <f>IF($A292="","",IF(COUNTIFS(請求記録!$B$6:$B$3005,$A292,請求記録!$X$6:$X$3005,E$5,請求記録!$AD$6:$AD$3005,"保留中")&gt;0,"保留",IF(COUNTIFS(請求記録!$B$6:$B$3005,$A292,請求記録!$X$6:$X$3005,E$5)=0,"",SUMIFS(請求記録!$AC$6:$AC$3005,請求記録!$B$6:$B$3005,$A292,請求記録!$X$6:$X$3005,E$5))))</f>
        <v/>
      </c>
      <c r="F292" s="19">
        <f>IF($A292="","",IF(COUNTIFS(請求記録!$B$6:$B$3005,$A292,請求記録!$X$6:$X$3005,F$5,請求記録!$AD$6:$AD$3005,"保留中")&gt;0,"保留",IF(COUNTIFS(請求記録!$B$6:$B$3005,$A292,請求記録!$X$6:$X$3005,F$5)=0,"",SUMIFS(請求記録!$AC$6:$AC$3005,請求記録!$B$6:$B$3005,$A292,請求記録!$X$6:$X$3005,F$5))))</f>
        <v/>
      </c>
      <c r="G292" s="19">
        <f>IF($A292="","",IF(COUNTIFS(請求記録!$B$6:$B$3005,$A292,請求記録!$X$6:$X$3005,G$5,請求記録!$AD$6:$AD$3005,"保留中")&gt;0,"保留",IF(COUNTIFS(請求記録!$B$6:$B$3005,$A292,請求記録!$X$6:$X$3005,G$5)=0,"",SUMIFS(請求記録!$AC$6:$AC$3005,請求記録!$B$6:$B$3005,$A292,請求記録!$X$6:$X$3005,G$5))))</f>
        <v/>
      </c>
      <c r="H292" s="19">
        <f>IF($A292="","",IF(COUNTIFS(請求記録!$B$6:$B$3005,$A292,請求記録!$X$6:$X$3005,H$5,請求記録!$AD$6:$AD$3005,"保留中")&gt;0,"保留",IF(COUNTIFS(請求記録!$B$6:$B$3005,$A292,請求記録!$X$6:$X$3005,H$5)=0,"",SUMIFS(請求記録!$AC$6:$AC$3005,請求記録!$B$6:$B$3005,$A292,請求記録!$X$6:$X$3005,H$5))))</f>
        <v/>
      </c>
      <c r="I292" s="19">
        <f>IF($A292="","",IF(COUNTIFS(請求記録!$B$6:$B$3005,$A292,請求記録!$X$6:$X$3005,I$5,請求記録!$AD$6:$AD$3005,"保留中")&gt;0,"保留",IF(COUNTIFS(請求記録!$B$6:$B$3005,$A292,請求記録!$X$6:$X$3005,I$5)=0,"",SUMIFS(請求記録!$AC$6:$AC$3005,請求記録!$B$6:$B$3005,$A292,請求記録!$X$6:$X$3005,I$5))))</f>
        <v/>
      </c>
      <c r="J292" s="19">
        <f>IF($A292="","",IF(COUNTIFS(請求記録!$B$6:$B$3005,$A292,請求記録!$X$6:$X$3005,J$5,請求記録!$AD$6:$AD$3005,"保留中")&gt;0,"保留",IF(COUNTIFS(請求記録!$B$6:$B$3005,$A292,請求記録!$X$6:$X$3005,J$5)=0,"",SUMIFS(請求記録!$AC$6:$AC$3005,請求記録!$B$6:$B$3005,$A292,請求記録!$X$6:$X$3005,J$5))))</f>
        <v/>
      </c>
      <c r="K292" s="19">
        <f>IF($A292="","",IF(COUNTIFS(請求記録!$B$6:$B$3005,$A292,請求記録!$X$6:$X$3005,K$5,請求記録!$AD$6:$AD$3005,"保留中")&gt;0,"保留",IF(COUNTIFS(請求記録!$B$6:$B$3005,$A292,請求記録!$X$6:$X$3005,K$5)=0,"",SUMIFS(請求記録!$AC$6:$AC$3005,請求記録!$B$6:$B$3005,$A292,請求記録!$X$6:$X$3005,K$5))))</f>
        <v/>
      </c>
      <c r="L292" s="19">
        <f>IF($A292="","",IF(COUNTIFS(請求記録!$B$6:$B$3005,$A292,請求記録!$X$6:$X$3005,L$5,請求記録!$AD$6:$AD$3005,"保留中")&gt;0,"保留",IF(COUNTIFS(請求記録!$B$6:$B$3005,$A292,請求記録!$X$6:$X$3005,L$5)=0,"",SUMIFS(請求記録!$AC$6:$AC$3005,請求記録!$B$6:$B$3005,$A292,請求記録!$X$6:$X$3005,L$5))))</f>
        <v/>
      </c>
      <c r="M292" s="19">
        <f>IF($A292="","",IF(COUNTIFS(請求記録!$B$6:$B$3005,$A292,請求記録!$X$6:$X$3005,M$5,請求記録!$AD$6:$AD$3005,"保留中")&gt;0,"保留",IF(COUNTIFS(請求記録!$B$6:$B$3005,$A292,請求記録!$X$6:$X$3005,M$5)=0,"",SUMIFS(請求記録!$AC$6:$AC$3005,請求記録!$B$6:$B$3005,$A292,請求記録!$X$6:$X$3005,M$5))))</f>
        <v/>
      </c>
      <c r="N292" s="19">
        <f>IF($A292="","",IF(COUNTIFS(請求記録!$B$6:$B$3005,$A292,請求記録!$X$6:$X$3005,N$5,請求記録!$AD$6:$AD$3005,"保留中")&gt;0,"保留",IF(COUNTIFS(請求記録!$B$6:$B$3005,$A292,請求記録!$X$6:$X$3005,N$5)=0,"",SUMIFS(請求記録!$AC$6:$AC$3005,請求記録!$B$6:$B$3005,$A292,請求記録!$X$6:$X$3005,N$5))))</f>
        <v/>
      </c>
      <c r="O292" s="19">
        <f>IF($A292="","",IF(COUNTIFS(請求記録!$B$6:$B$3005,$A292,請求記録!$X$6:$X$3005,O$5,請求記録!$AD$6:$AD$3005,"保留中")&gt;0,"保留",IF(COUNTIFS(請求記録!$B$6:$B$3005,$A292,請求記録!$X$6:$X$3005,O$5)=0,"",SUMIFS(請求記録!$AC$6:$AC$3005,請求記録!$B$6:$B$3005,$A292,請求記録!$X$6:$X$3005,O$5))))</f>
        <v/>
      </c>
      <c r="P292" s="19">
        <f>IF($A292="","",IF(COUNTIFS(請求記録!$B$6:$B$3005,$A292,請求記録!$X$6:$X$3005,P$5,請求記録!$AD$6:$AD$3005,"保留中")&gt;0,"保留",IF(COUNTIFS(請求記録!$B$6:$B$3005,$A292,請求記録!$X$6:$X$3005,P$5)=0,"",SUMIFS(請求記録!$AC$6:$AC$3005,請求記録!$B$6:$B$3005,$A292,請求記録!$X$6:$X$3005,P$5))))</f>
        <v/>
      </c>
      <c r="Q292" s="19">
        <f>IF($A292="","",IF(COUNTIFS(請求記録!$B$6:$B$3005,$A292,請求記録!$X$6:$X$3005,Q$5,請求記録!$AD$6:$AD$3005,"保留中")&gt;0,"保留",IF(COUNTIFS(請求記録!$B$6:$B$3005,$A292,請求記録!$X$6:$X$3005,Q$5)=0,"",SUMIFS(請求記録!$AC$6:$AC$3005,請求記録!$B$6:$B$3005,$A292,請求記録!$X$6:$X$3005,Q$5))))</f>
        <v/>
      </c>
      <c r="R292" s="19">
        <f>IF($A292="","",IF(COUNTIFS(請求記録!$B$6:$B$3005,$A292,請求記録!$X$6:$X$3005,R$5,請求記録!$AD$6:$AD$3005,"保留中")&gt;0,"保留",IF(COUNTIFS(請求記録!$B$6:$B$3005,$A292,請求記録!$X$6:$X$3005,R$5)=0,"",SUMIFS(請求記録!$AC$6:$AC$3005,請求記録!$B$6:$B$3005,$A292,請求記録!$X$6:$X$3005,R$5))))</f>
        <v/>
      </c>
      <c r="S292" s="19">
        <f>IF($A292="","",IF(COUNTIFS(請求記録!$B$6:$B$3005,$A292,請求記録!$X$6:$X$3005,S$5,請求記録!$AD$6:$AD$3005,"保留中")&gt;0,"保留",IF(COUNTIFS(請求記録!$B$6:$B$3005,$A292,請求記録!$X$6:$X$3005,S$5)=0,"",SUMIFS(請求記録!$AC$6:$AC$3005,請求記録!$B$6:$B$3005,$A292,請求記録!$X$6:$X$3005,S$5))))</f>
        <v/>
      </c>
      <c r="T292" s="19">
        <f>IF($A292="","",IF(COUNTIFS(請求記録!$B$6:$B$3005,$A292,請求記録!$X$6:$X$3005,T$5,請求記録!$AD$6:$AD$3005,"保留中")&gt;0,"保留",IF(COUNTIFS(請求記録!$B$6:$B$3005,$A292,請求記録!$X$6:$X$3005,T$5)=0,"",SUMIFS(請求記録!$AC$6:$AC$3005,請求記録!$B$6:$B$3005,$A292,請求記録!$X$6:$X$3005,T$5))))</f>
        <v/>
      </c>
      <c r="U292" s="19">
        <f>IF($A292="","",IF(COUNTIFS(請求記録!$B$6:$B$3005,$A292,請求記録!$X$6:$X$3005,U$5,請求記録!$AD$6:$AD$3005,"保留中")&gt;0,"保留",IF(COUNTIFS(請求記録!$B$6:$B$3005,$A292,請求記録!$X$6:$X$3005,U$5)=0,"",SUMIFS(請求記録!$AC$6:$AC$3005,請求記録!$B$6:$B$3005,$A292,請求記録!$X$6:$X$3005,U$5))))</f>
        <v/>
      </c>
      <c r="V292" s="19">
        <f>IF($A292="","",IF(COUNTIFS(請求記録!$B$6:$B$3005,$A292,請求記録!$X$6:$X$3005,V$5,請求記録!$AD$6:$AD$3005,"保留中")&gt;0,"保留",IF(COUNTIFS(請求記録!$B$6:$B$3005,$A292,請求記録!$X$6:$X$3005,V$5)=0,"",SUMIFS(請求記録!$AC$6:$AC$3005,請求記録!$B$6:$B$3005,$A292,請求記録!$X$6:$X$3005,V$5))))</f>
        <v/>
      </c>
      <c r="W292" s="19">
        <f>IF($A292="","",IF(COUNTIFS(請求記録!$B$6:$B$3005,$A292,請求記録!$X$6:$X$3005,W$5,請求記録!$AD$6:$AD$3005,"保留中")&gt;0,"保留",IF(COUNTIFS(請求記録!$B$6:$B$3005,$A292,請求記録!$X$6:$X$3005,W$5)=0,"",SUMIFS(請求記録!$AC$6:$AC$3005,請求記録!$B$6:$B$3005,$A292,請求記録!$X$6:$X$3005,W$5))))</f>
        <v/>
      </c>
      <c r="X292" s="19">
        <f>IF($A292="","",IF(COUNTIFS(請求記録!$B$6:$B$3005,$A292,請求記録!$X$6:$X$3005,X$5,請求記録!$AD$6:$AD$3005,"保留中")&gt;0,"保留",IF(COUNTIFS(請求記録!$B$6:$B$3005,$A292,請求記録!$X$6:$X$3005,X$5)=0,"",SUMIFS(請求記録!$AC$6:$AC$3005,請求記録!$B$6:$B$3005,$A292,請求記録!$X$6:$X$3005,X$5))))</f>
        <v/>
      </c>
      <c r="Y292" s="19">
        <f>IF($A292="","",IF(COUNTIFS(請求記録!$B$6:$B$3005,$A292,請求記録!$X$6:$X$3005,Y$5,請求記録!$AD$6:$AD$3005,"保留中")&gt;0,"保留",IF(COUNTIFS(請求記録!$B$6:$B$3005,$A292,請求記録!$X$6:$X$3005,Y$5)=0,"",SUMIFS(請求記録!$AC$6:$AC$3005,請求記録!$B$6:$B$3005,$A292,請求記録!$X$6:$X$3005,Y$5))))</f>
        <v/>
      </c>
      <c r="Z292" s="19">
        <f>IF($A292="","",IF(COUNTIFS(請求記録!$B$6:$B$3005,$A292,請求記録!$X$6:$X$3005,Z$5,請求記録!$AD$6:$AD$3005,"保留中")&gt;0,"保留",IF(COUNTIFS(請求記録!$B$6:$B$3005,$A292,請求記録!$X$6:$X$3005,Z$5)=0,"",SUMIFS(請求記録!$AC$6:$AC$3005,請求記録!$B$6:$B$3005,$A292,請求記録!$X$6:$X$3005,Z$5))))</f>
        <v/>
      </c>
      <c r="AA292" s="19">
        <f>IF($A292="","",IF(COUNTIFS(請求記録!$B$6:$B$3005,$A292,請求記録!$X$6:$X$3005,AA$5,請求記録!$AD$6:$AD$3005,"保留中")&gt;0,"保留",IF(COUNTIFS(請求記録!$B$6:$B$3005,$A292,請求記録!$X$6:$X$3005,AA$5)=0,"",SUMIFS(請求記録!$AC$6:$AC$3005,請求記録!$B$6:$B$3005,$A292,請求記録!$X$6:$X$3005,AA$5))))</f>
        <v/>
      </c>
      <c r="AB292">
        <f>IF(職員マスタ!P292="保留中",職員マスタ!M292,"")</f>
        <v/>
      </c>
    </row>
    <row r="293">
      <c r="A293">
        <f>IF(職員マスタ!A293="","",職員マスタ!A293)</f>
        <v/>
      </c>
      <c r="B293">
        <f>IF($A293="","",職員マスタ!B293)</f>
        <v/>
      </c>
      <c r="C293">
        <f>IF($A293="","",職員マスタ!C293)</f>
        <v/>
      </c>
      <c r="D293" s="19">
        <f>IF($A293="","",IF(COUNTIFS(請求記録!$B$6:$B$3005,$A293,請求記録!$X$6:$X$3005,D$5,請求記録!$AD$6:$AD$3005,"保留中")&gt;0,"保留",IF(COUNTIFS(請求記録!$B$6:$B$3005,$A293,請求記録!$X$6:$X$3005,D$5)=0,"",SUMIFS(請求記録!$AC$6:$AC$3005,請求記録!$B$6:$B$3005,$A293,請求記録!$X$6:$X$3005,D$5))))</f>
        <v/>
      </c>
      <c r="E293" s="19">
        <f>IF($A293="","",IF(COUNTIFS(請求記録!$B$6:$B$3005,$A293,請求記録!$X$6:$X$3005,E$5,請求記録!$AD$6:$AD$3005,"保留中")&gt;0,"保留",IF(COUNTIFS(請求記録!$B$6:$B$3005,$A293,請求記録!$X$6:$X$3005,E$5)=0,"",SUMIFS(請求記録!$AC$6:$AC$3005,請求記録!$B$6:$B$3005,$A293,請求記録!$X$6:$X$3005,E$5))))</f>
        <v/>
      </c>
      <c r="F293" s="19">
        <f>IF($A293="","",IF(COUNTIFS(請求記録!$B$6:$B$3005,$A293,請求記録!$X$6:$X$3005,F$5,請求記録!$AD$6:$AD$3005,"保留中")&gt;0,"保留",IF(COUNTIFS(請求記録!$B$6:$B$3005,$A293,請求記録!$X$6:$X$3005,F$5)=0,"",SUMIFS(請求記録!$AC$6:$AC$3005,請求記録!$B$6:$B$3005,$A293,請求記録!$X$6:$X$3005,F$5))))</f>
        <v/>
      </c>
      <c r="G293" s="19">
        <f>IF($A293="","",IF(COUNTIFS(請求記録!$B$6:$B$3005,$A293,請求記録!$X$6:$X$3005,G$5,請求記録!$AD$6:$AD$3005,"保留中")&gt;0,"保留",IF(COUNTIFS(請求記録!$B$6:$B$3005,$A293,請求記録!$X$6:$X$3005,G$5)=0,"",SUMIFS(請求記録!$AC$6:$AC$3005,請求記録!$B$6:$B$3005,$A293,請求記録!$X$6:$X$3005,G$5))))</f>
        <v/>
      </c>
      <c r="H293" s="19">
        <f>IF($A293="","",IF(COUNTIFS(請求記録!$B$6:$B$3005,$A293,請求記録!$X$6:$X$3005,H$5,請求記録!$AD$6:$AD$3005,"保留中")&gt;0,"保留",IF(COUNTIFS(請求記録!$B$6:$B$3005,$A293,請求記録!$X$6:$X$3005,H$5)=0,"",SUMIFS(請求記録!$AC$6:$AC$3005,請求記録!$B$6:$B$3005,$A293,請求記録!$X$6:$X$3005,H$5))))</f>
        <v/>
      </c>
      <c r="I293" s="19">
        <f>IF($A293="","",IF(COUNTIFS(請求記録!$B$6:$B$3005,$A293,請求記録!$X$6:$X$3005,I$5,請求記録!$AD$6:$AD$3005,"保留中")&gt;0,"保留",IF(COUNTIFS(請求記録!$B$6:$B$3005,$A293,請求記録!$X$6:$X$3005,I$5)=0,"",SUMIFS(請求記録!$AC$6:$AC$3005,請求記録!$B$6:$B$3005,$A293,請求記録!$X$6:$X$3005,I$5))))</f>
        <v/>
      </c>
      <c r="J293" s="19">
        <f>IF($A293="","",IF(COUNTIFS(請求記録!$B$6:$B$3005,$A293,請求記録!$X$6:$X$3005,J$5,請求記録!$AD$6:$AD$3005,"保留中")&gt;0,"保留",IF(COUNTIFS(請求記録!$B$6:$B$3005,$A293,請求記録!$X$6:$X$3005,J$5)=0,"",SUMIFS(請求記録!$AC$6:$AC$3005,請求記録!$B$6:$B$3005,$A293,請求記録!$X$6:$X$3005,J$5))))</f>
        <v/>
      </c>
      <c r="K293" s="19">
        <f>IF($A293="","",IF(COUNTIFS(請求記録!$B$6:$B$3005,$A293,請求記録!$X$6:$X$3005,K$5,請求記録!$AD$6:$AD$3005,"保留中")&gt;0,"保留",IF(COUNTIFS(請求記録!$B$6:$B$3005,$A293,請求記録!$X$6:$X$3005,K$5)=0,"",SUMIFS(請求記録!$AC$6:$AC$3005,請求記録!$B$6:$B$3005,$A293,請求記録!$X$6:$X$3005,K$5))))</f>
        <v/>
      </c>
      <c r="L293" s="19">
        <f>IF($A293="","",IF(COUNTIFS(請求記録!$B$6:$B$3005,$A293,請求記録!$X$6:$X$3005,L$5,請求記録!$AD$6:$AD$3005,"保留中")&gt;0,"保留",IF(COUNTIFS(請求記録!$B$6:$B$3005,$A293,請求記録!$X$6:$X$3005,L$5)=0,"",SUMIFS(請求記録!$AC$6:$AC$3005,請求記録!$B$6:$B$3005,$A293,請求記録!$X$6:$X$3005,L$5))))</f>
        <v/>
      </c>
      <c r="M293" s="19">
        <f>IF($A293="","",IF(COUNTIFS(請求記録!$B$6:$B$3005,$A293,請求記録!$X$6:$X$3005,M$5,請求記録!$AD$6:$AD$3005,"保留中")&gt;0,"保留",IF(COUNTIFS(請求記録!$B$6:$B$3005,$A293,請求記録!$X$6:$X$3005,M$5)=0,"",SUMIFS(請求記録!$AC$6:$AC$3005,請求記録!$B$6:$B$3005,$A293,請求記録!$X$6:$X$3005,M$5))))</f>
        <v/>
      </c>
      <c r="N293" s="19">
        <f>IF($A293="","",IF(COUNTIFS(請求記録!$B$6:$B$3005,$A293,請求記録!$X$6:$X$3005,N$5,請求記録!$AD$6:$AD$3005,"保留中")&gt;0,"保留",IF(COUNTIFS(請求記録!$B$6:$B$3005,$A293,請求記録!$X$6:$X$3005,N$5)=0,"",SUMIFS(請求記録!$AC$6:$AC$3005,請求記録!$B$6:$B$3005,$A293,請求記録!$X$6:$X$3005,N$5))))</f>
        <v/>
      </c>
      <c r="O293" s="19">
        <f>IF($A293="","",IF(COUNTIFS(請求記録!$B$6:$B$3005,$A293,請求記録!$X$6:$X$3005,O$5,請求記録!$AD$6:$AD$3005,"保留中")&gt;0,"保留",IF(COUNTIFS(請求記録!$B$6:$B$3005,$A293,請求記録!$X$6:$X$3005,O$5)=0,"",SUMIFS(請求記録!$AC$6:$AC$3005,請求記録!$B$6:$B$3005,$A293,請求記録!$X$6:$X$3005,O$5))))</f>
        <v/>
      </c>
      <c r="P293" s="19">
        <f>IF($A293="","",IF(COUNTIFS(請求記録!$B$6:$B$3005,$A293,請求記録!$X$6:$X$3005,P$5,請求記録!$AD$6:$AD$3005,"保留中")&gt;0,"保留",IF(COUNTIFS(請求記録!$B$6:$B$3005,$A293,請求記録!$X$6:$X$3005,P$5)=0,"",SUMIFS(請求記録!$AC$6:$AC$3005,請求記録!$B$6:$B$3005,$A293,請求記録!$X$6:$X$3005,P$5))))</f>
        <v/>
      </c>
      <c r="Q293" s="19">
        <f>IF($A293="","",IF(COUNTIFS(請求記録!$B$6:$B$3005,$A293,請求記録!$X$6:$X$3005,Q$5,請求記録!$AD$6:$AD$3005,"保留中")&gt;0,"保留",IF(COUNTIFS(請求記録!$B$6:$B$3005,$A293,請求記録!$X$6:$X$3005,Q$5)=0,"",SUMIFS(請求記録!$AC$6:$AC$3005,請求記録!$B$6:$B$3005,$A293,請求記録!$X$6:$X$3005,Q$5))))</f>
        <v/>
      </c>
      <c r="R293" s="19">
        <f>IF($A293="","",IF(COUNTIFS(請求記録!$B$6:$B$3005,$A293,請求記録!$X$6:$X$3005,R$5,請求記録!$AD$6:$AD$3005,"保留中")&gt;0,"保留",IF(COUNTIFS(請求記録!$B$6:$B$3005,$A293,請求記録!$X$6:$X$3005,R$5)=0,"",SUMIFS(請求記録!$AC$6:$AC$3005,請求記録!$B$6:$B$3005,$A293,請求記録!$X$6:$X$3005,R$5))))</f>
        <v/>
      </c>
      <c r="S293" s="19">
        <f>IF($A293="","",IF(COUNTIFS(請求記録!$B$6:$B$3005,$A293,請求記録!$X$6:$X$3005,S$5,請求記録!$AD$6:$AD$3005,"保留中")&gt;0,"保留",IF(COUNTIFS(請求記録!$B$6:$B$3005,$A293,請求記録!$X$6:$X$3005,S$5)=0,"",SUMIFS(請求記録!$AC$6:$AC$3005,請求記録!$B$6:$B$3005,$A293,請求記録!$X$6:$X$3005,S$5))))</f>
        <v/>
      </c>
      <c r="T293" s="19">
        <f>IF($A293="","",IF(COUNTIFS(請求記録!$B$6:$B$3005,$A293,請求記録!$X$6:$X$3005,T$5,請求記録!$AD$6:$AD$3005,"保留中")&gt;0,"保留",IF(COUNTIFS(請求記録!$B$6:$B$3005,$A293,請求記録!$X$6:$X$3005,T$5)=0,"",SUMIFS(請求記録!$AC$6:$AC$3005,請求記録!$B$6:$B$3005,$A293,請求記録!$X$6:$X$3005,T$5))))</f>
        <v/>
      </c>
      <c r="U293" s="19">
        <f>IF($A293="","",IF(COUNTIFS(請求記録!$B$6:$B$3005,$A293,請求記録!$X$6:$X$3005,U$5,請求記録!$AD$6:$AD$3005,"保留中")&gt;0,"保留",IF(COUNTIFS(請求記録!$B$6:$B$3005,$A293,請求記録!$X$6:$X$3005,U$5)=0,"",SUMIFS(請求記録!$AC$6:$AC$3005,請求記録!$B$6:$B$3005,$A293,請求記録!$X$6:$X$3005,U$5))))</f>
        <v/>
      </c>
      <c r="V293" s="19">
        <f>IF($A293="","",IF(COUNTIFS(請求記録!$B$6:$B$3005,$A293,請求記録!$X$6:$X$3005,V$5,請求記録!$AD$6:$AD$3005,"保留中")&gt;0,"保留",IF(COUNTIFS(請求記録!$B$6:$B$3005,$A293,請求記録!$X$6:$X$3005,V$5)=0,"",SUMIFS(請求記録!$AC$6:$AC$3005,請求記録!$B$6:$B$3005,$A293,請求記録!$X$6:$X$3005,V$5))))</f>
        <v/>
      </c>
      <c r="W293" s="19">
        <f>IF($A293="","",IF(COUNTIFS(請求記録!$B$6:$B$3005,$A293,請求記録!$X$6:$X$3005,W$5,請求記録!$AD$6:$AD$3005,"保留中")&gt;0,"保留",IF(COUNTIFS(請求記録!$B$6:$B$3005,$A293,請求記録!$X$6:$X$3005,W$5)=0,"",SUMIFS(請求記録!$AC$6:$AC$3005,請求記録!$B$6:$B$3005,$A293,請求記録!$X$6:$X$3005,W$5))))</f>
        <v/>
      </c>
      <c r="X293" s="19">
        <f>IF($A293="","",IF(COUNTIFS(請求記録!$B$6:$B$3005,$A293,請求記録!$X$6:$X$3005,X$5,請求記録!$AD$6:$AD$3005,"保留中")&gt;0,"保留",IF(COUNTIFS(請求記録!$B$6:$B$3005,$A293,請求記録!$X$6:$X$3005,X$5)=0,"",SUMIFS(請求記録!$AC$6:$AC$3005,請求記録!$B$6:$B$3005,$A293,請求記録!$X$6:$X$3005,X$5))))</f>
        <v/>
      </c>
      <c r="Y293" s="19">
        <f>IF($A293="","",IF(COUNTIFS(請求記録!$B$6:$B$3005,$A293,請求記録!$X$6:$X$3005,Y$5,請求記録!$AD$6:$AD$3005,"保留中")&gt;0,"保留",IF(COUNTIFS(請求記録!$B$6:$B$3005,$A293,請求記録!$X$6:$X$3005,Y$5)=0,"",SUMIFS(請求記録!$AC$6:$AC$3005,請求記録!$B$6:$B$3005,$A293,請求記録!$X$6:$X$3005,Y$5))))</f>
        <v/>
      </c>
      <c r="Z293" s="19">
        <f>IF($A293="","",IF(COUNTIFS(請求記録!$B$6:$B$3005,$A293,請求記録!$X$6:$X$3005,Z$5,請求記録!$AD$6:$AD$3005,"保留中")&gt;0,"保留",IF(COUNTIFS(請求記録!$B$6:$B$3005,$A293,請求記録!$X$6:$X$3005,Z$5)=0,"",SUMIFS(請求記録!$AC$6:$AC$3005,請求記録!$B$6:$B$3005,$A293,請求記録!$X$6:$X$3005,Z$5))))</f>
        <v/>
      </c>
      <c r="AA293" s="19">
        <f>IF($A293="","",IF(COUNTIFS(請求記録!$B$6:$B$3005,$A293,請求記録!$X$6:$X$3005,AA$5,請求記録!$AD$6:$AD$3005,"保留中")&gt;0,"保留",IF(COUNTIFS(請求記録!$B$6:$B$3005,$A293,請求記録!$X$6:$X$3005,AA$5)=0,"",SUMIFS(請求記録!$AC$6:$AC$3005,請求記録!$B$6:$B$3005,$A293,請求記録!$X$6:$X$3005,AA$5))))</f>
        <v/>
      </c>
      <c r="AB293">
        <f>IF(職員マスタ!P293="保留中",職員マスタ!M293,"")</f>
        <v/>
      </c>
    </row>
    <row r="294">
      <c r="A294">
        <f>IF(職員マスタ!A294="","",職員マスタ!A294)</f>
        <v/>
      </c>
      <c r="B294">
        <f>IF($A294="","",職員マスタ!B294)</f>
        <v/>
      </c>
      <c r="C294">
        <f>IF($A294="","",職員マスタ!C294)</f>
        <v/>
      </c>
      <c r="D294" s="19">
        <f>IF($A294="","",IF(COUNTIFS(請求記録!$B$6:$B$3005,$A294,請求記録!$X$6:$X$3005,D$5,請求記録!$AD$6:$AD$3005,"保留中")&gt;0,"保留",IF(COUNTIFS(請求記録!$B$6:$B$3005,$A294,請求記録!$X$6:$X$3005,D$5)=0,"",SUMIFS(請求記録!$AC$6:$AC$3005,請求記録!$B$6:$B$3005,$A294,請求記録!$X$6:$X$3005,D$5))))</f>
        <v/>
      </c>
      <c r="E294" s="19">
        <f>IF($A294="","",IF(COUNTIFS(請求記録!$B$6:$B$3005,$A294,請求記録!$X$6:$X$3005,E$5,請求記録!$AD$6:$AD$3005,"保留中")&gt;0,"保留",IF(COUNTIFS(請求記録!$B$6:$B$3005,$A294,請求記録!$X$6:$X$3005,E$5)=0,"",SUMIFS(請求記録!$AC$6:$AC$3005,請求記録!$B$6:$B$3005,$A294,請求記録!$X$6:$X$3005,E$5))))</f>
        <v/>
      </c>
      <c r="F294" s="19">
        <f>IF($A294="","",IF(COUNTIFS(請求記録!$B$6:$B$3005,$A294,請求記録!$X$6:$X$3005,F$5,請求記録!$AD$6:$AD$3005,"保留中")&gt;0,"保留",IF(COUNTIFS(請求記録!$B$6:$B$3005,$A294,請求記録!$X$6:$X$3005,F$5)=0,"",SUMIFS(請求記録!$AC$6:$AC$3005,請求記録!$B$6:$B$3005,$A294,請求記録!$X$6:$X$3005,F$5))))</f>
        <v/>
      </c>
      <c r="G294" s="19">
        <f>IF($A294="","",IF(COUNTIFS(請求記録!$B$6:$B$3005,$A294,請求記録!$X$6:$X$3005,G$5,請求記録!$AD$6:$AD$3005,"保留中")&gt;0,"保留",IF(COUNTIFS(請求記録!$B$6:$B$3005,$A294,請求記録!$X$6:$X$3005,G$5)=0,"",SUMIFS(請求記録!$AC$6:$AC$3005,請求記録!$B$6:$B$3005,$A294,請求記録!$X$6:$X$3005,G$5))))</f>
        <v/>
      </c>
      <c r="H294" s="19">
        <f>IF($A294="","",IF(COUNTIFS(請求記録!$B$6:$B$3005,$A294,請求記録!$X$6:$X$3005,H$5,請求記録!$AD$6:$AD$3005,"保留中")&gt;0,"保留",IF(COUNTIFS(請求記録!$B$6:$B$3005,$A294,請求記録!$X$6:$X$3005,H$5)=0,"",SUMIFS(請求記録!$AC$6:$AC$3005,請求記録!$B$6:$B$3005,$A294,請求記録!$X$6:$X$3005,H$5))))</f>
        <v/>
      </c>
      <c r="I294" s="19">
        <f>IF($A294="","",IF(COUNTIFS(請求記録!$B$6:$B$3005,$A294,請求記録!$X$6:$X$3005,I$5,請求記録!$AD$6:$AD$3005,"保留中")&gt;0,"保留",IF(COUNTIFS(請求記録!$B$6:$B$3005,$A294,請求記録!$X$6:$X$3005,I$5)=0,"",SUMIFS(請求記録!$AC$6:$AC$3005,請求記録!$B$6:$B$3005,$A294,請求記録!$X$6:$X$3005,I$5))))</f>
        <v/>
      </c>
      <c r="J294" s="19">
        <f>IF($A294="","",IF(COUNTIFS(請求記録!$B$6:$B$3005,$A294,請求記録!$X$6:$X$3005,J$5,請求記録!$AD$6:$AD$3005,"保留中")&gt;0,"保留",IF(COUNTIFS(請求記録!$B$6:$B$3005,$A294,請求記録!$X$6:$X$3005,J$5)=0,"",SUMIFS(請求記録!$AC$6:$AC$3005,請求記録!$B$6:$B$3005,$A294,請求記録!$X$6:$X$3005,J$5))))</f>
        <v/>
      </c>
      <c r="K294" s="19">
        <f>IF($A294="","",IF(COUNTIFS(請求記録!$B$6:$B$3005,$A294,請求記録!$X$6:$X$3005,K$5,請求記録!$AD$6:$AD$3005,"保留中")&gt;0,"保留",IF(COUNTIFS(請求記録!$B$6:$B$3005,$A294,請求記録!$X$6:$X$3005,K$5)=0,"",SUMIFS(請求記録!$AC$6:$AC$3005,請求記録!$B$6:$B$3005,$A294,請求記録!$X$6:$X$3005,K$5))))</f>
        <v/>
      </c>
      <c r="L294" s="19">
        <f>IF($A294="","",IF(COUNTIFS(請求記録!$B$6:$B$3005,$A294,請求記録!$X$6:$X$3005,L$5,請求記録!$AD$6:$AD$3005,"保留中")&gt;0,"保留",IF(COUNTIFS(請求記録!$B$6:$B$3005,$A294,請求記録!$X$6:$X$3005,L$5)=0,"",SUMIFS(請求記録!$AC$6:$AC$3005,請求記録!$B$6:$B$3005,$A294,請求記録!$X$6:$X$3005,L$5))))</f>
        <v/>
      </c>
      <c r="M294" s="19">
        <f>IF($A294="","",IF(COUNTIFS(請求記録!$B$6:$B$3005,$A294,請求記録!$X$6:$X$3005,M$5,請求記録!$AD$6:$AD$3005,"保留中")&gt;0,"保留",IF(COUNTIFS(請求記録!$B$6:$B$3005,$A294,請求記録!$X$6:$X$3005,M$5)=0,"",SUMIFS(請求記録!$AC$6:$AC$3005,請求記録!$B$6:$B$3005,$A294,請求記録!$X$6:$X$3005,M$5))))</f>
        <v/>
      </c>
      <c r="N294" s="19">
        <f>IF($A294="","",IF(COUNTIFS(請求記録!$B$6:$B$3005,$A294,請求記録!$X$6:$X$3005,N$5,請求記録!$AD$6:$AD$3005,"保留中")&gt;0,"保留",IF(COUNTIFS(請求記録!$B$6:$B$3005,$A294,請求記録!$X$6:$X$3005,N$5)=0,"",SUMIFS(請求記録!$AC$6:$AC$3005,請求記録!$B$6:$B$3005,$A294,請求記録!$X$6:$X$3005,N$5))))</f>
        <v/>
      </c>
      <c r="O294" s="19">
        <f>IF($A294="","",IF(COUNTIFS(請求記録!$B$6:$B$3005,$A294,請求記録!$X$6:$X$3005,O$5,請求記録!$AD$6:$AD$3005,"保留中")&gt;0,"保留",IF(COUNTIFS(請求記録!$B$6:$B$3005,$A294,請求記録!$X$6:$X$3005,O$5)=0,"",SUMIFS(請求記録!$AC$6:$AC$3005,請求記録!$B$6:$B$3005,$A294,請求記録!$X$6:$X$3005,O$5))))</f>
        <v/>
      </c>
      <c r="P294" s="19">
        <f>IF($A294="","",IF(COUNTIFS(請求記録!$B$6:$B$3005,$A294,請求記録!$X$6:$X$3005,P$5,請求記録!$AD$6:$AD$3005,"保留中")&gt;0,"保留",IF(COUNTIFS(請求記録!$B$6:$B$3005,$A294,請求記録!$X$6:$X$3005,P$5)=0,"",SUMIFS(請求記録!$AC$6:$AC$3005,請求記録!$B$6:$B$3005,$A294,請求記録!$X$6:$X$3005,P$5))))</f>
        <v/>
      </c>
      <c r="Q294" s="19">
        <f>IF($A294="","",IF(COUNTIFS(請求記録!$B$6:$B$3005,$A294,請求記録!$X$6:$X$3005,Q$5,請求記録!$AD$6:$AD$3005,"保留中")&gt;0,"保留",IF(COUNTIFS(請求記録!$B$6:$B$3005,$A294,請求記録!$X$6:$X$3005,Q$5)=0,"",SUMIFS(請求記録!$AC$6:$AC$3005,請求記録!$B$6:$B$3005,$A294,請求記録!$X$6:$X$3005,Q$5))))</f>
        <v/>
      </c>
      <c r="R294" s="19">
        <f>IF($A294="","",IF(COUNTIFS(請求記録!$B$6:$B$3005,$A294,請求記録!$X$6:$X$3005,R$5,請求記録!$AD$6:$AD$3005,"保留中")&gt;0,"保留",IF(COUNTIFS(請求記録!$B$6:$B$3005,$A294,請求記録!$X$6:$X$3005,R$5)=0,"",SUMIFS(請求記録!$AC$6:$AC$3005,請求記録!$B$6:$B$3005,$A294,請求記録!$X$6:$X$3005,R$5))))</f>
        <v/>
      </c>
      <c r="S294" s="19">
        <f>IF($A294="","",IF(COUNTIFS(請求記録!$B$6:$B$3005,$A294,請求記録!$X$6:$X$3005,S$5,請求記録!$AD$6:$AD$3005,"保留中")&gt;0,"保留",IF(COUNTIFS(請求記録!$B$6:$B$3005,$A294,請求記録!$X$6:$X$3005,S$5)=0,"",SUMIFS(請求記録!$AC$6:$AC$3005,請求記録!$B$6:$B$3005,$A294,請求記録!$X$6:$X$3005,S$5))))</f>
        <v/>
      </c>
      <c r="T294" s="19">
        <f>IF($A294="","",IF(COUNTIFS(請求記録!$B$6:$B$3005,$A294,請求記録!$X$6:$X$3005,T$5,請求記録!$AD$6:$AD$3005,"保留中")&gt;0,"保留",IF(COUNTIFS(請求記録!$B$6:$B$3005,$A294,請求記録!$X$6:$X$3005,T$5)=0,"",SUMIFS(請求記録!$AC$6:$AC$3005,請求記録!$B$6:$B$3005,$A294,請求記録!$X$6:$X$3005,T$5))))</f>
        <v/>
      </c>
      <c r="U294" s="19">
        <f>IF($A294="","",IF(COUNTIFS(請求記録!$B$6:$B$3005,$A294,請求記録!$X$6:$X$3005,U$5,請求記録!$AD$6:$AD$3005,"保留中")&gt;0,"保留",IF(COUNTIFS(請求記録!$B$6:$B$3005,$A294,請求記録!$X$6:$X$3005,U$5)=0,"",SUMIFS(請求記録!$AC$6:$AC$3005,請求記録!$B$6:$B$3005,$A294,請求記録!$X$6:$X$3005,U$5))))</f>
        <v/>
      </c>
      <c r="V294" s="19">
        <f>IF($A294="","",IF(COUNTIFS(請求記録!$B$6:$B$3005,$A294,請求記録!$X$6:$X$3005,V$5,請求記録!$AD$6:$AD$3005,"保留中")&gt;0,"保留",IF(COUNTIFS(請求記録!$B$6:$B$3005,$A294,請求記録!$X$6:$X$3005,V$5)=0,"",SUMIFS(請求記録!$AC$6:$AC$3005,請求記録!$B$6:$B$3005,$A294,請求記録!$X$6:$X$3005,V$5))))</f>
        <v/>
      </c>
      <c r="W294" s="19">
        <f>IF($A294="","",IF(COUNTIFS(請求記録!$B$6:$B$3005,$A294,請求記録!$X$6:$X$3005,W$5,請求記録!$AD$6:$AD$3005,"保留中")&gt;0,"保留",IF(COUNTIFS(請求記録!$B$6:$B$3005,$A294,請求記録!$X$6:$X$3005,W$5)=0,"",SUMIFS(請求記録!$AC$6:$AC$3005,請求記録!$B$6:$B$3005,$A294,請求記録!$X$6:$X$3005,W$5))))</f>
        <v/>
      </c>
      <c r="X294" s="19">
        <f>IF($A294="","",IF(COUNTIFS(請求記録!$B$6:$B$3005,$A294,請求記録!$X$6:$X$3005,X$5,請求記録!$AD$6:$AD$3005,"保留中")&gt;0,"保留",IF(COUNTIFS(請求記録!$B$6:$B$3005,$A294,請求記録!$X$6:$X$3005,X$5)=0,"",SUMIFS(請求記録!$AC$6:$AC$3005,請求記録!$B$6:$B$3005,$A294,請求記録!$X$6:$X$3005,X$5))))</f>
        <v/>
      </c>
      <c r="Y294" s="19">
        <f>IF($A294="","",IF(COUNTIFS(請求記録!$B$6:$B$3005,$A294,請求記録!$X$6:$X$3005,Y$5,請求記録!$AD$6:$AD$3005,"保留中")&gt;0,"保留",IF(COUNTIFS(請求記録!$B$6:$B$3005,$A294,請求記録!$X$6:$X$3005,Y$5)=0,"",SUMIFS(請求記録!$AC$6:$AC$3005,請求記録!$B$6:$B$3005,$A294,請求記録!$X$6:$X$3005,Y$5))))</f>
        <v/>
      </c>
      <c r="Z294" s="19">
        <f>IF($A294="","",IF(COUNTIFS(請求記録!$B$6:$B$3005,$A294,請求記録!$X$6:$X$3005,Z$5,請求記録!$AD$6:$AD$3005,"保留中")&gt;0,"保留",IF(COUNTIFS(請求記録!$B$6:$B$3005,$A294,請求記録!$X$6:$X$3005,Z$5)=0,"",SUMIFS(請求記録!$AC$6:$AC$3005,請求記録!$B$6:$B$3005,$A294,請求記録!$X$6:$X$3005,Z$5))))</f>
        <v/>
      </c>
      <c r="AA294" s="19">
        <f>IF($A294="","",IF(COUNTIFS(請求記録!$B$6:$B$3005,$A294,請求記録!$X$6:$X$3005,AA$5,請求記録!$AD$6:$AD$3005,"保留中")&gt;0,"保留",IF(COUNTIFS(請求記録!$B$6:$B$3005,$A294,請求記録!$X$6:$X$3005,AA$5)=0,"",SUMIFS(請求記録!$AC$6:$AC$3005,請求記録!$B$6:$B$3005,$A294,請求記録!$X$6:$X$3005,AA$5))))</f>
        <v/>
      </c>
      <c r="AB294">
        <f>IF(職員マスタ!P294="保留中",職員マスタ!M294,"")</f>
        <v/>
      </c>
    </row>
    <row r="295">
      <c r="A295">
        <f>IF(職員マスタ!A295="","",職員マスタ!A295)</f>
        <v/>
      </c>
      <c r="B295">
        <f>IF($A295="","",職員マスタ!B295)</f>
        <v/>
      </c>
      <c r="C295">
        <f>IF($A295="","",職員マスタ!C295)</f>
        <v/>
      </c>
      <c r="D295" s="19">
        <f>IF($A295="","",IF(COUNTIFS(請求記録!$B$6:$B$3005,$A295,請求記録!$X$6:$X$3005,D$5,請求記録!$AD$6:$AD$3005,"保留中")&gt;0,"保留",IF(COUNTIFS(請求記録!$B$6:$B$3005,$A295,請求記録!$X$6:$X$3005,D$5)=0,"",SUMIFS(請求記録!$AC$6:$AC$3005,請求記録!$B$6:$B$3005,$A295,請求記録!$X$6:$X$3005,D$5))))</f>
        <v/>
      </c>
      <c r="E295" s="19">
        <f>IF($A295="","",IF(COUNTIFS(請求記録!$B$6:$B$3005,$A295,請求記録!$X$6:$X$3005,E$5,請求記録!$AD$6:$AD$3005,"保留中")&gt;0,"保留",IF(COUNTIFS(請求記録!$B$6:$B$3005,$A295,請求記録!$X$6:$X$3005,E$5)=0,"",SUMIFS(請求記録!$AC$6:$AC$3005,請求記録!$B$6:$B$3005,$A295,請求記録!$X$6:$X$3005,E$5))))</f>
        <v/>
      </c>
      <c r="F295" s="19">
        <f>IF($A295="","",IF(COUNTIFS(請求記録!$B$6:$B$3005,$A295,請求記録!$X$6:$X$3005,F$5,請求記録!$AD$6:$AD$3005,"保留中")&gt;0,"保留",IF(COUNTIFS(請求記録!$B$6:$B$3005,$A295,請求記録!$X$6:$X$3005,F$5)=0,"",SUMIFS(請求記録!$AC$6:$AC$3005,請求記録!$B$6:$B$3005,$A295,請求記録!$X$6:$X$3005,F$5))))</f>
        <v/>
      </c>
      <c r="G295" s="19">
        <f>IF($A295="","",IF(COUNTIFS(請求記録!$B$6:$B$3005,$A295,請求記録!$X$6:$X$3005,G$5,請求記録!$AD$6:$AD$3005,"保留中")&gt;0,"保留",IF(COUNTIFS(請求記録!$B$6:$B$3005,$A295,請求記録!$X$6:$X$3005,G$5)=0,"",SUMIFS(請求記録!$AC$6:$AC$3005,請求記録!$B$6:$B$3005,$A295,請求記録!$X$6:$X$3005,G$5))))</f>
        <v/>
      </c>
      <c r="H295" s="19">
        <f>IF($A295="","",IF(COUNTIFS(請求記録!$B$6:$B$3005,$A295,請求記録!$X$6:$X$3005,H$5,請求記録!$AD$6:$AD$3005,"保留中")&gt;0,"保留",IF(COUNTIFS(請求記録!$B$6:$B$3005,$A295,請求記録!$X$6:$X$3005,H$5)=0,"",SUMIFS(請求記録!$AC$6:$AC$3005,請求記録!$B$6:$B$3005,$A295,請求記録!$X$6:$X$3005,H$5))))</f>
        <v/>
      </c>
      <c r="I295" s="19">
        <f>IF($A295="","",IF(COUNTIFS(請求記録!$B$6:$B$3005,$A295,請求記録!$X$6:$X$3005,I$5,請求記録!$AD$6:$AD$3005,"保留中")&gt;0,"保留",IF(COUNTIFS(請求記録!$B$6:$B$3005,$A295,請求記録!$X$6:$X$3005,I$5)=0,"",SUMIFS(請求記録!$AC$6:$AC$3005,請求記録!$B$6:$B$3005,$A295,請求記録!$X$6:$X$3005,I$5))))</f>
        <v/>
      </c>
      <c r="J295" s="19">
        <f>IF($A295="","",IF(COUNTIFS(請求記録!$B$6:$B$3005,$A295,請求記録!$X$6:$X$3005,J$5,請求記録!$AD$6:$AD$3005,"保留中")&gt;0,"保留",IF(COUNTIFS(請求記録!$B$6:$B$3005,$A295,請求記録!$X$6:$X$3005,J$5)=0,"",SUMIFS(請求記録!$AC$6:$AC$3005,請求記録!$B$6:$B$3005,$A295,請求記録!$X$6:$X$3005,J$5))))</f>
        <v/>
      </c>
      <c r="K295" s="19">
        <f>IF($A295="","",IF(COUNTIFS(請求記録!$B$6:$B$3005,$A295,請求記録!$X$6:$X$3005,K$5,請求記録!$AD$6:$AD$3005,"保留中")&gt;0,"保留",IF(COUNTIFS(請求記録!$B$6:$B$3005,$A295,請求記録!$X$6:$X$3005,K$5)=0,"",SUMIFS(請求記録!$AC$6:$AC$3005,請求記録!$B$6:$B$3005,$A295,請求記録!$X$6:$X$3005,K$5))))</f>
        <v/>
      </c>
      <c r="L295" s="19">
        <f>IF($A295="","",IF(COUNTIFS(請求記録!$B$6:$B$3005,$A295,請求記録!$X$6:$X$3005,L$5,請求記録!$AD$6:$AD$3005,"保留中")&gt;0,"保留",IF(COUNTIFS(請求記録!$B$6:$B$3005,$A295,請求記録!$X$6:$X$3005,L$5)=0,"",SUMIFS(請求記録!$AC$6:$AC$3005,請求記録!$B$6:$B$3005,$A295,請求記録!$X$6:$X$3005,L$5))))</f>
        <v/>
      </c>
      <c r="M295" s="19">
        <f>IF($A295="","",IF(COUNTIFS(請求記録!$B$6:$B$3005,$A295,請求記録!$X$6:$X$3005,M$5,請求記録!$AD$6:$AD$3005,"保留中")&gt;0,"保留",IF(COUNTIFS(請求記録!$B$6:$B$3005,$A295,請求記録!$X$6:$X$3005,M$5)=0,"",SUMIFS(請求記録!$AC$6:$AC$3005,請求記録!$B$6:$B$3005,$A295,請求記録!$X$6:$X$3005,M$5))))</f>
        <v/>
      </c>
      <c r="N295" s="19">
        <f>IF($A295="","",IF(COUNTIFS(請求記録!$B$6:$B$3005,$A295,請求記録!$X$6:$X$3005,N$5,請求記録!$AD$6:$AD$3005,"保留中")&gt;0,"保留",IF(COUNTIFS(請求記録!$B$6:$B$3005,$A295,請求記録!$X$6:$X$3005,N$5)=0,"",SUMIFS(請求記録!$AC$6:$AC$3005,請求記録!$B$6:$B$3005,$A295,請求記録!$X$6:$X$3005,N$5))))</f>
        <v/>
      </c>
      <c r="O295" s="19">
        <f>IF($A295="","",IF(COUNTIFS(請求記録!$B$6:$B$3005,$A295,請求記録!$X$6:$X$3005,O$5,請求記録!$AD$6:$AD$3005,"保留中")&gt;0,"保留",IF(COUNTIFS(請求記録!$B$6:$B$3005,$A295,請求記録!$X$6:$X$3005,O$5)=0,"",SUMIFS(請求記録!$AC$6:$AC$3005,請求記録!$B$6:$B$3005,$A295,請求記録!$X$6:$X$3005,O$5))))</f>
        <v/>
      </c>
      <c r="P295" s="19">
        <f>IF($A295="","",IF(COUNTIFS(請求記録!$B$6:$B$3005,$A295,請求記録!$X$6:$X$3005,P$5,請求記録!$AD$6:$AD$3005,"保留中")&gt;0,"保留",IF(COUNTIFS(請求記録!$B$6:$B$3005,$A295,請求記録!$X$6:$X$3005,P$5)=0,"",SUMIFS(請求記録!$AC$6:$AC$3005,請求記録!$B$6:$B$3005,$A295,請求記録!$X$6:$X$3005,P$5))))</f>
        <v/>
      </c>
      <c r="Q295" s="19">
        <f>IF($A295="","",IF(COUNTIFS(請求記録!$B$6:$B$3005,$A295,請求記録!$X$6:$X$3005,Q$5,請求記録!$AD$6:$AD$3005,"保留中")&gt;0,"保留",IF(COUNTIFS(請求記録!$B$6:$B$3005,$A295,請求記録!$X$6:$X$3005,Q$5)=0,"",SUMIFS(請求記録!$AC$6:$AC$3005,請求記録!$B$6:$B$3005,$A295,請求記録!$X$6:$X$3005,Q$5))))</f>
        <v/>
      </c>
      <c r="R295" s="19">
        <f>IF($A295="","",IF(COUNTIFS(請求記録!$B$6:$B$3005,$A295,請求記録!$X$6:$X$3005,R$5,請求記録!$AD$6:$AD$3005,"保留中")&gt;0,"保留",IF(COUNTIFS(請求記録!$B$6:$B$3005,$A295,請求記録!$X$6:$X$3005,R$5)=0,"",SUMIFS(請求記録!$AC$6:$AC$3005,請求記録!$B$6:$B$3005,$A295,請求記録!$X$6:$X$3005,R$5))))</f>
        <v/>
      </c>
      <c r="S295" s="19">
        <f>IF($A295="","",IF(COUNTIFS(請求記録!$B$6:$B$3005,$A295,請求記録!$X$6:$X$3005,S$5,請求記録!$AD$6:$AD$3005,"保留中")&gt;0,"保留",IF(COUNTIFS(請求記録!$B$6:$B$3005,$A295,請求記録!$X$6:$X$3005,S$5)=0,"",SUMIFS(請求記録!$AC$6:$AC$3005,請求記録!$B$6:$B$3005,$A295,請求記録!$X$6:$X$3005,S$5))))</f>
        <v/>
      </c>
      <c r="T295" s="19">
        <f>IF($A295="","",IF(COUNTIFS(請求記録!$B$6:$B$3005,$A295,請求記録!$X$6:$X$3005,T$5,請求記録!$AD$6:$AD$3005,"保留中")&gt;0,"保留",IF(COUNTIFS(請求記録!$B$6:$B$3005,$A295,請求記録!$X$6:$X$3005,T$5)=0,"",SUMIFS(請求記録!$AC$6:$AC$3005,請求記録!$B$6:$B$3005,$A295,請求記録!$X$6:$X$3005,T$5))))</f>
        <v/>
      </c>
      <c r="U295" s="19">
        <f>IF($A295="","",IF(COUNTIFS(請求記録!$B$6:$B$3005,$A295,請求記録!$X$6:$X$3005,U$5,請求記録!$AD$6:$AD$3005,"保留中")&gt;0,"保留",IF(COUNTIFS(請求記録!$B$6:$B$3005,$A295,請求記録!$X$6:$X$3005,U$5)=0,"",SUMIFS(請求記録!$AC$6:$AC$3005,請求記録!$B$6:$B$3005,$A295,請求記録!$X$6:$X$3005,U$5))))</f>
        <v/>
      </c>
      <c r="V295" s="19">
        <f>IF($A295="","",IF(COUNTIFS(請求記録!$B$6:$B$3005,$A295,請求記録!$X$6:$X$3005,V$5,請求記録!$AD$6:$AD$3005,"保留中")&gt;0,"保留",IF(COUNTIFS(請求記録!$B$6:$B$3005,$A295,請求記録!$X$6:$X$3005,V$5)=0,"",SUMIFS(請求記録!$AC$6:$AC$3005,請求記録!$B$6:$B$3005,$A295,請求記録!$X$6:$X$3005,V$5))))</f>
        <v/>
      </c>
      <c r="W295" s="19">
        <f>IF($A295="","",IF(COUNTIFS(請求記録!$B$6:$B$3005,$A295,請求記録!$X$6:$X$3005,W$5,請求記録!$AD$6:$AD$3005,"保留中")&gt;0,"保留",IF(COUNTIFS(請求記録!$B$6:$B$3005,$A295,請求記録!$X$6:$X$3005,W$5)=0,"",SUMIFS(請求記録!$AC$6:$AC$3005,請求記録!$B$6:$B$3005,$A295,請求記録!$X$6:$X$3005,W$5))))</f>
        <v/>
      </c>
      <c r="X295" s="19">
        <f>IF($A295="","",IF(COUNTIFS(請求記録!$B$6:$B$3005,$A295,請求記録!$X$6:$X$3005,X$5,請求記録!$AD$6:$AD$3005,"保留中")&gt;0,"保留",IF(COUNTIFS(請求記録!$B$6:$B$3005,$A295,請求記録!$X$6:$X$3005,X$5)=0,"",SUMIFS(請求記録!$AC$6:$AC$3005,請求記録!$B$6:$B$3005,$A295,請求記録!$X$6:$X$3005,X$5))))</f>
        <v/>
      </c>
      <c r="Y295" s="19">
        <f>IF($A295="","",IF(COUNTIFS(請求記録!$B$6:$B$3005,$A295,請求記録!$X$6:$X$3005,Y$5,請求記録!$AD$6:$AD$3005,"保留中")&gt;0,"保留",IF(COUNTIFS(請求記録!$B$6:$B$3005,$A295,請求記録!$X$6:$X$3005,Y$5)=0,"",SUMIFS(請求記録!$AC$6:$AC$3005,請求記録!$B$6:$B$3005,$A295,請求記録!$X$6:$X$3005,Y$5))))</f>
        <v/>
      </c>
      <c r="Z295" s="19">
        <f>IF($A295="","",IF(COUNTIFS(請求記録!$B$6:$B$3005,$A295,請求記録!$X$6:$X$3005,Z$5,請求記録!$AD$6:$AD$3005,"保留中")&gt;0,"保留",IF(COUNTIFS(請求記録!$B$6:$B$3005,$A295,請求記録!$X$6:$X$3005,Z$5)=0,"",SUMIFS(請求記録!$AC$6:$AC$3005,請求記録!$B$6:$B$3005,$A295,請求記録!$X$6:$X$3005,Z$5))))</f>
        <v/>
      </c>
      <c r="AA295" s="19">
        <f>IF($A295="","",IF(COUNTIFS(請求記録!$B$6:$B$3005,$A295,請求記録!$X$6:$X$3005,AA$5,請求記録!$AD$6:$AD$3005,"保留中")&gt;0,"保留",IF(COUNTIFS(請求記録!$B$6:$B$3005,$A295,請求記録!$X$6:$X$3005,AA$5)=0,"",SUMIFS(請求記録!$AC$6:$AC$3005,請求記録!$B$6:$B$3005,$A295,請求記録!$X$6:$X$3005,AA$5))))</f>
        <v/>
      </c>
      <c r="AB295">
        <f>IF(職員マスタ!P295="保留中",職員マスタ!M295,"")</f>
        <v/>
      </c>
    </row>
    <row r="296">
      <c r="A296">
        <f>IF(職員マスタ!A296="","",職員マスタ!A296)</f>
        <v/>
      </c>
      <c r="B296">
        <f>IF($A296="","",職員マスタ!B296)</f>
        <v/>
      </c>
      <c r="C296">
        <f>IF($A296="","",職員マスタ!C296)</f>
        <v/>
      </c>
      <c r="D296" s="19">
        <f>IF($A296="","",IF(COUNTIFS(請求記録!$B$6:$B$3005,$A296,請求記録!$X$6:$X$3005,D$5,請求記録!$AD$6:$AD$3005,"保留中")&gt;0,"保留",IF(COUNTIFS(請求記録!$B$6:$B$3005,$A296,請求記録!$X$6:$X$3005,D$5)=0,"",SUMIFS(請求記録!$AC$6:$AC$3005,請求記録!$B$6:$B$3005,$A296,請求記録!$X$6:$X$3005,D$5))))</f>
        <v/>
      </c>
      <c r="E296" s="19">
        <f>IF($A296="","",IF(COUNTIFS(請求記録!$B$6:$B$3005,$A296,請求記録!$X$6:$X$3005,E$5,請求記録!$AD$6:$AD$3005,"保留中")&gt;0,"保留",IF(COUNTIFS(請求記録!$B$6:$B$3005,$A296,請求記録!$X$6:$X$3005,E$5)=0,"",SUMIFS(請求記録!$AC$6:$AC$3005,請求記録!$B$6:$B$3005,$A296,請求記録!$X$6:$X$3005,E$5))))</f>
        <v/>
      </c>
      <c r="F296" s="19">
        <f>IF($A296="","",IF(COUNTIFS(請求記録!$B$6:$B$3005,$A296,請求記録!$X$6:$X$3005,F$5,請求記録!$AD$6:$AD$3005,"保留中")&gt;0,"保留",IF(COUNTIFS(請求記録!$B$6:$B$3005,$A296,請求記録!$X$6:$X$3005,F$5)=0,"",SUMIFS(請求記録!$AC$6:$AC$3005,請求記録!$B$6:$B$3005,$A296,請求記録!$X$6:$X$3005,F$5))))</f>
        <v/>
      </c>
      <c r="G296" s="19">
        <f>IF($A296="","",IF(COUNTIFS(請求記録!$B$6:$B$3005,$A296,請求記録!$X$6:$X$3005,G$5,請求記録!$AD$6:$AD$3005,"保留中")&gt;0,"保留",IF(COUNTIFS(請求記録!$B$6:$B$3005,$A296,請求記録!$X$6:$X$3005,G$5)=0,"",SUMIFS(請求記録!$AC$6:$AC$3005,請求記録!$B$6:$B$3005,$A296,請求記録!$X$6:$X$3005,G$5))))</f>
        <v/>
      </c>
      <c r="H296" s="19">
        <f>IF($A296="","",IF(COUNTIFS(請求記録!$B$6:$B$3005,$A296,請求記録!$X$6:$X$3005,H$5,請求記録!$AD$6:$AD$3005,"保留中")&gt;0,"保留",IF(COUNTIFS(請求記録!$B$6:$B$3005,$A296,請求記録!$X$6:$X$3005,H$5)=0,"",SUMIFS(請求記録!$AC$6:$AC$3005,請求記録!$B$6:$B$3005,$A296,請求記録!$X$6:$X$3005,H$5))))</f>
        <v/>
      </c>
      <c r="I296" s="19">
        <f>IF($A296="","",IF(COUNTIFS(請求記録!$B$6:$B$3005,$A296,請求記録!$X$6:$X$3005,I$5,請求記録!$AD$6:$AD$3005,"保留中")&gt;0,"保留",IF(COUNTIFS(請求記録!$B$6:$B$3005,$A296,請求記録!$X$6:$X$3005,I$5)=0,"",SUMIFS(請求記録!$AC$6:$AC$3005,請求記録!$B$6:$B$3005,$A296,請求記録!$X$6:$X$3005,I$5))))</f>
        <v/>
      </c>
      <c r="J296" s="19">
        <f>IF($A296="","",IF(COUNTIFS(請求記録!$B$6:$B$3005,$A296,請求記録!$X$6:$X$3005,J$5,請求記録!$AD$6:$AD$3005,"保留中")&gt;0,"保留",IF(COUNTIFS(請求記録!$B$6:$B$3005,$A296,請求記録!$X$6:$X$3005,J$5)=0,"",SUMIFS(請求記録!$AC$6:$AC$3005,請求記録!$B$6:$B$3005,$A296,請求記録!$X$6:$X$3005,J$5))))</f>
        <v/>
      </c>
      <c r="K296" s="19">
        <f>IF($A296="","",IF(COUNTIFS(請求記録!$B$6:$B$3005,$A296,請求記録!$X$6:$X$3005,K$5,請求記録!$AD$6:$AD$3005,"保留中")&gt;0,"保留",IF(COUNTIFS(請求記録!$B$6:$B$3005,$A296,請求記録!$X$6:$X$3005,K$5)=0,"",SUMIFS(請求記録!$AC$6:$AC$3005,請求記録!$B$6:$B$3005,$A296,請求記録!$X$6:$X$3005,K$5))))</f>
        <v/>
      </c>
      <c r="L296" s="19">
        <f>IF($A296="","",IF(COUNTIFS(請求記録!$B$6:$B$3005,$A296,請求記録!$X$6:$X$3005,L$5,請求記録!$AD$6:$AD$3005,"保留中")&gt;0,"保留",IF(COUNTIFS(請求記録!$B$6:$B$3005,$A296,請求記録!$X$6:$X$3005,L$5)=0,"",SUMIFS(請求記録!$AC$6:$AC$3005,請求記録!$B$6:$B$3005,$A296,請求記録!$X$6:$X$3005,L$5))))</f>
        <v/>
      </c>
      <c r="M296" s="19">
        <f>IF($A296="","",IF(COUNTIFS(請求記録!$B$6:$B$3005,$A296,請求記録!$X$6:$X$3005,M$5,請求記録!$AD$6:$AD$3005,"保留中")&gt;0,"保留",IF(COUNTIFS(請求記録!$B$6:$B$3005,$A296,請求記録!$X$6:$X$3005,M$5)=0,"",SUMIFS(請求記録!$AC$6:$AC$3005,請求記録!$B$6:$B$3005,$A296,請求記録!$X$6:$X$3005,M$5))))</f>
        <v/>
      </c>
      <c r="N296" s="19">
        <f>IF($A296="","",IF(COUNTIFS(請求記録!$B$6:$B$3005,$A296,請求記録!$X$6:$X$3005,N$5,請求記録!$AD$6:$AD$3005,"保留中")&gt;0,"保留",IF(COUNTIFS(請求記録!$B$6:$B$3005,$A296,請求記録!$X$6:$X$3005,N$5)=0,"",SUMIFS(請求記録!$AC$6:$AC$3005,請求記録!$B$6:$B$3005,$A296,請求記録!$X$6:$X$3005,N$5))))</f>
        <v/>
      </c>
      <c r="O296" s="19">
        <f>IF($A296="","",IF(COUNTIFS(請求記録!$B$6:$B$3005,$A296,請求記録!$X$6:$X$3005,O$5,請求記録!$AD$6:$AD$3005,"保留中")&gt;0,"保留",IF(COUNTIFS(請求記録!$B$6:$B$3005,$A296,請求記録!$X$6:$X$3005,O$5)=0,"",SUMIFS(請求記録!$AC$6:$AC$3005,請求記録!$B$6:$B$3005,$A296,請求記録!$X$6:$X$3005,O$5))))</f>
        <v/>
      </c>
      <c r="P296" s="19">
        <f>IF($A296="","",IF(COUNTIFS(請求記録!$B$6:$B$3005,$A296,請求記録!$X$6:$X$3005,P$5,請求記録!$AD$6:$AD$3005,"保留中")&gt;0,"保留",IF(COUNTIFS(請求記録!$B$6:$B$3005,$A296,請求記録!$X$6:$X$3005,P$5)=0,"",SUMIFS(請求記録!$AC$6:$AC$3005,請求記録!$B$6:$B$3005,$A296,請求記録!$X$6:$X$3005,P$5))))</f>
        <v/>
      </c>
      <c r="Q296" s="19">
        <f>IF($A296="","",IF(COUNTIFS(請求記録!$B$6:$B$3005,$A296,請求記録!$X$6:$X$3005,Q$5,請求記録!$AD$6:$AD$3005,"保留中")&gt;0,"保留",IF(COUNTIFS(請求記録!$B$6:$B$3005,$A296,請求記録!$X$6:$X$3005,Q$5)=0,"",SUMIFS(請求記録!$AC$6:$AC$3005,請求記録!$B$6:$B$3005,$A296,請求記録!$X$6:$X$3005,Q$5))))</f>
        <v/>
      </c>
      <c r="R296" s="19">
        <f>IF($A296="","",IF(COUNTIFS(請求記録!$B$6:$B$3005,$A296,請求記録!$X$6:$X$3005,R$5,請求記録!$AD$6:$AD$3005,"保留中")&gt;0,"保留",IF(COUNTIFS(請求記録!$B$6:$B$3005,$A296,請求記録!$X$6:$X$3005,R$5)=0,"",SUMIFS(請求記録!$AC$6:$AC$3005,請求記録!$B$6:$B$3005,$A296,請求記録!$X$6:$X$3005,R$5))))</f>
        <v/>
      </c>
      <c r="S296" s="19">
        <f>IF($A296="","",IF(COUNTIFS(請求記録!$B$6:$B$3005,$A296,請求記録!$X$6:$X$3005,S$5,請求記録!$AD$6:$AD$3005,"保留中")&gt;0,"保留",IF(COUNTIFS(請求記録!$B$6:$B$3005,$A296,請求記録!$X$6:$X$3005,S$5)=0,"",SUMIFS(請求記録!$AC$6:$AC$3005,請求記録!$B$6:$B$3005,$A296,請求記録!$X$6:$X$3005,S$5))))</f>
        <v/>
      </c>
      <c r="T296" s="19">
        <f>IF($A296="","",IF(COUNTIFS(請求記録!$B$6:$B$3005,$A296,請求記録!$X$6:$X$3005,T$5,請求記録!$AD$6:$AD$3005,"保留中")&gt;0,"保留",IF(COUNTIFS(請求記録!$B$6:$B$3005,$A296,請求記録!$X$6:$X$3005,T$5)=0,"",SUMIFS(請求記録!$AC$6:$AC$3005,請求記録!$B$6:$B$3005,$A296,請求記録!$X$6:$X$3005,T$5))))</f>
        <v/>
      </c>
      <c r="U296" s="19">
        <f>IF($A296="","",IF(COUNTIFS(請求記録!$B$6:$B$3005,$A296,請求記録!$X$6:$X$3005,U$5,請求記録!$AD$6:$AD$3005,"保留中")&gt;0,"保留",IF(COUNTIFS(請求記録!$B$6:$B$3005,$A296,請求記録!$X$6:$X$3005,U$5)=0,"",SUMIFS(請求記録!$AC$6:$AC$3005,請求記録!$B$6:$B$3005,$A296,請求記録!$X$6:$X$3005,U$5))))</f>
        <v/>
      </c>
      <c r="V296" s="19">
        <f>IF($A296="","",IF(COUNTIFS(請求記録!$B$6:$B$3005,$A296,請求記録!$X$6:$X$3005,V$5,請求記録!$AD$6:$AD$3005,"保留中")&gt;0,"保留",IF(COUNTIFS(請求記録!$B$6:$B$3005,$A296,請求記録!$X$6:$X$3005,V$5)=0,"",SUMIFS(請求記録!$AC$6:$AC$3005,請求記録!$B$6:$B$3005,$A296,請求記録!$X$6:$X$3005,V$5))))</f>
        <v/>
      </c>
      <c r="W296" s="19">
        <f>IF($A296="","",IF(COUNTIFS(請求記録!$B$6:$B$3005,$A296,請求記録!$X$6:$X$3005,W$5,請求記録!$AD$6:$AD$3005,"保留中")&gt;0,"保留",IF(COUNTIFS(請求記録!$B$6:$B$3005,$A296,請求記録!$X$6:$X$3005,W$5)=0,"",SUMIFS(請求記録!$AC$6:$AC$3005,請求記録!$B$6:$B$3005,$A296,請求記録!$X$6:$X$3005,W$5))))</f>
        <v/>
      </c>
      <c r="X296" s="19">
        <f>IF($A296="","",IF(COUNTIFS(請求記録!$B$6:$B$3005,$A296,請求記録!$X$6:$X$3005,X$5,請求記録!$AD$6:$AD$3005,"保留中")&gt;0,"保留",IF(COUNTIFS(請求記録!$B$6:$B$3005,$A296,請求記録!$X$6:$X$3005,X$5)=0,"",SUMIFS(請求記録!$AC$6:$AC$3005,請求記録!$B$6:$B$3005,$A296,請求記録!$X$6:$X$3005,X$5))))</f>
        <v/>
      </c>
      <c r="Y296" s="19">
        <f>IF($A296="","",IF(COUNTIFS(請求記録!$B$6:$B$3005,$A296,請求記録!$X$6:$X$3005,Y$5,請求記録!$AD$6:$AD$3005,"保留中")&gt;0,"保留",IF(COUNTIFS(請求記録!$B$6:$B$3005,$A296,請求記録!$X$6:$X$3005,Y$5)=0,"",SUMIFS(請求記録!$AC$6:$AC$3005,請求記録!$B$6:$B$3005,$A296,請求記録!$X$6:$X$3005,Y$5))))</f>
        <v/>
      </c>
      <c r="Z296" s="19">
        <f>IF($A296="","",IF(COUNTIFS(請求記録!$B$6:$B$3005,$A296,請求記録!$X$6:$X$3005,Z$5,請求記録!$AD$6:$AD$3005,"保留中")&gt;0,"保留",IF(COUNTIFS(請求記録!$B$6:$B$3005,$A296,請求記録!$X$6:$X$3005,Z$5)=0,"",SUMIFS(請求記録!$AC$6:$AC$3005,請求記録!$B$6:$B$3005,$A296,請求記録!$X$6:$X$3005,Z$5))))</f>
        <v/>
      </c>
      <c r="AA296" s="19">
        <f>IF($A296="","",IF(COUNTIFS(請求記録!$B$6:$B$3005,$A296,請求記録!$X$6:$X$3005,AA$5,請求記録!$AD$6:$AD$3005,"保留中")&gt;0,"保留",IF(COUNTIFS(請求記録!$B$6:$B$3005,$A296,請求記録!$X$6:$X$3005,AA$5)=0,"",SUMIFS(請求記録!$AC$6:$AC$3005,請求記録!$B$6:$B$3005,$A296,請求記録!$X$6:$X$3005,AA$5))))</f>
        <v/>
      </c>
      <c r="AB296">
        <f>IF(職員マスタ!P296="保留中",職員マスタ!M296,"")</f>
        <v/>
      </c>
    </row>
    <row r="297">
      <c r="A297">
        <f>IF(職員マスタ!A297="","",職員マスタ!A297)</f>
        <v/>
      </c>
      <c r="B297">
        <f>IF($A297="","",職員マスタ!B297)</f>
        <v/>
      </c>
      <c r="C297">
        <f>IF($A297="","",職員マスタ!C297)</f>
        <v/>
      </c>
      <c r="D297" s="19">
        <f>IF($A297="","",IF(COUNTIFS(請求記録!$B$6:$B$3005,$A297,請求記録!$X$6:$X$3005,D$5,請求記録!$AD$6:$AD$3005,"保留中")&gt;0,"保留",IF(COUNTIFS(請求記録!$B$6:$B$3005,$A297,請求記録!$X$6:$X$3005,D$5)=0,"",SUMIFS(請求記録!$AC$6:$AC$3005,請求記録!$B$6:$B$3005,$A297,請求記録!$X$6:$X$3005,D$5))))</f>
        <v/>
      </c>
      <c r="E297" s="19">
        <f>IF($A297="","",IF(COUNTIFS(請求記録!$B$6:$B$3005,$A297,請求記録!$X$6:$X$3005,E$5,請求記録!$AD$6:$AD$3005,"保留中")&gt;0,"保留",IF(COUNTIFS(請求記録!$B$6:$B$3005,$A297,請求記録!$X$6:$X$3005,E$5)=0,"",SUMIFS(請求記録!$AC$6:$AC$3005,請求記録!$B$6:$B$3005,$A297,請求記録!$X$6:$X$3005,E$5))))</f>
        <v/>
      </c>
      <c r="F297" s="19">
        <f>IF($A297="","",IF(COUNTIFS(請求記録!$B$6:$B$3005,$A297,請求記録!$X$6:$X$3005,F$5,請求記録!$AD$6:$AD$3005,"保留中")&gt;0,"保留",IF(COUNTIFS(請求記録!$B$6:$B$3005,$A297,請求記録!$X$6:$X$3005,F$5)=0,"",SUMIFS(請求記録!$AC$6:$AC$3005,請求記録!$B$6:$B$3005,$A297,請求記録!$X$6:$X$3005,F$5))))</f>
        <v/>
      </c>
      <c r="G297" s="19">
        <f>IF($A297="","",IF(COUNTIFS(請求記録!$B$6:$B$3005,$A297,請求記録!$X$6:$X$3005,G$5,請求記録!$AD$6:$AD$3005,"保留中")&gt;0,"保留",IF(COUNTIFS(請求記録!$B$6:$B$3005,$A297,請求記録!$X$6:$X$3005,G$5)=0,"",SUMIFS(請求記録!$AC$6:$AC$3005,請求記録!$B$6:$B$3005,$A297,請求記録!$X$6:$X$3005,G$5))))</f>
        <v/>
      </c>
      <c r="H297" s="19">
        <f>IF($A297="","",IF(COUNTIFS(請求記録!$B$6:$B$3005,$A297,請求記録!$X$6:$X$3005,H$5,請求記録!$AD$6:$AD$3005,"保留中")&gt;0,"保留",IF(COUNTIFS(請求記録!$B$6:$B$3005,$A297,請求記録!$X$6:$X$3005,H$5)=0,"",SUMIFS(請求記録!$AC$6:$AC$3005,請求記録!$B$6:$B$3005,$A297,請求記録!$X$6:$X$3005,H$5))))</f>
        <v/>
      </c>
      <c r="I297" s="19">
        <f>IF($A297="","",IF(COUNTIFS(請求記録!$B$6:$B$3005,$A297,請求記録!$X$6:$X$3005,I$5,請求記録!$AD$6:$AD$3005,"保留中")&gt;0,"保留",IF(COUNTIFS(請求記録!$B$6:$B$3005,$A297,請求記録!$X$6:$X$3005,I$5)=0,"",SUMIFS(請求記録!$AC$6:$AC$3005,請求記録!$B$6:$B$3005,$A297,請求記録!$X$6:$X$3005,I$5))))</f>
        <v/>
      </c>
      <c r="J297" s="19">
        <f>IF($A297="","",IF(COUNTIFS(請求記録!$B$6:$B$3005,$A297,請求記録!$X$6:$X$3005,J$5,請求記録!$AD$6:$AD$3005,"保留中")&gt;0,"保留",IF(COUNTIFS(請求記録!$B$6:$B$3005,$A297,請求記録!$X$6:$X$3005,J$5)=0,"",SUMIFS(請求記録!$AC$6:$AC$3005,請求記録!$B$6:$B$3005,$A297,請求記録!$X$6:$X$3005,J$5))))</f>
        <v/>
      </c>
      <c r="K297" s="19">
        <f>IF($A297="","",IF(COUNTIFS(請求記録!$B$6:$B$3005,$A297,請求記録!$X$6:$X$3005,K$5,請求記録!$AD$6:$AD$3005,"保留中")&gt;0,"保留",IF(COUNTIFS(請求記録!$B$6:$B$3005,$A297,請求記録!$X$6:$X$3005,K$5)=0,"",SUMIFS(請求記録!$AC$6:$AC$3005,請求記録!$B$6:$B$3005,$A297,請求記録!$X$6:$X$3005,K$5))))</f>
        <v/>
      </c>
      <c r="L297" s="19">
        <f>IF($A297="","",IF(COUNTIFS(請求記録!$B$6:$B$3005,$A297,請求記録!$X$6:$X$3005,L$5,請求記録!$AD$6:$AD$3005,"保留中")&gt;0,"保留",IF(COUNTIFS(請求記録!$B$6:$B$3005,$A297,請求記録!$X$6:$X$3005,L$5)=0,"",SUMIFS(請求記録!$AC$6:$AC$3005,請求記録!$B$6:$B$3005,$A297,請求記録!$X$6:$X$3005,L$5))))</f>
        <v/>
      </c>
      <c r="M297" s="19">
        <f>IF($A297="","",IF(COUNTIFS(請求記録!$B$6:$B$3005,$A297,請求記録!$X$6:$X$3005,M$5,請求記録!$AD$6:$AD$3005,"保留中")&gt;0,"保留",IF(COUNTIFS(請求記録!$B$6:$B$3005,$A297,請求記録!$X$6:$X$3005,M$5)=0,"",SUMIFS(請求記録!$AC$6:$AC$3005,請求記録!$B$6:$B$3005,$A297,請求記録!$X$6:$X$3005,M$5))))</f>
        <v/>
      </c>
      <c r="N297" s="19">
        <f>IF($A297="","",IF(COUNTIFS(請求記録!$B$6:$B$3005,$A297,請求記録!$X$6:$X$3005,N$5,請求記録!$AD$6:$AD$3005,"保留中")&gt;0,"保留",IF(COUNTIFS(請求記録!$B$6:$B$3005,$A297,請求記録!$X$6:$X$3005,N$5)=0,"",SUMIFS(請求記録!$AC$6:$AC$3005,請求記録!$B$6:$B$3005,$A297,請求記録!$X$6:$X$3005,N$5))))</f>
        <v/>
      </c>
      <c r="O297" s="19">
        <f>IF($A297="","",IF(COUNTIFS(請求記録!$B$6:$B$3005,$A297,請求記録!$X$6:$X$3005,O$5,請求記録!$AD$6:$AD$3005,"保留中")&gt;0,"保留",IF(COUNTIFS(請求記録!$B$6:$B$3005,$A297,請求記録!$X$6:$X$3005,O$5)=0,"",SUMIFS(請求記録!$AC$6:$AC$3005,請求記録!$B$6:$B$3005,$A297,請求記録!$X$6:$X$3005,O$5))))</f>
        <v/>
      </c>
      <c r="P297" s="19">
        <f>IF($A297="","",IF(COUNTIFS(請求記録!$B$6:$B$3005,$A297,請求記録!$X$6:$X$3005,P$5,請求記録!$AD$6:$AD$3005,"保留中")&gt;0,"保留",IF(COUNTIFS(請求記録!$B$6:$B$3005,$A297,請求記録!$X$6:$X$3005,P$5)=0,"",SUMIFS(請求記録!$AC$6:$AC$3005,請求記録!$B$6:$B$3005,$A297,請求記録!$X$6:$X$3005,P$5))))</f>
        <v/>
      </c>
      <c r="Q297" s="19">
        <f>IF($A297="","",IF(COUNTIFS(請求記録!$B$6:$B$3005,$A297,請求記録!$X$6:$X$3005,Q$5,請求記録!$AD$6:$AD$3005,"保留中")&gt;0,"保留",IF(COUNTIFS(請求記録!$B$6:$B$3005,$A297,請求記録!$X$6:$X$3005,Q$5)=0,"",SUMIFS(請求記録!$AC$6:$AC$3005,請求記録!$B$6:$B$3005,$A297,請求記録!$X$6:$X$3005,Q$5))))</f>
        <v/>
      </c>
      <c r="R297" s="19">
        <f>IF($A297="","",IF(COUNTIFS(請求記録!$B$6:$B$3005,$A297,請求記録!$X$6:$X$3005,R$5,請求記録!$AD$6:$AD$3005,"保留中")&gt;0,"保留",IF(COUNTIFS(請求記録!$B$6:$B$3005,$A297,請求記録!$X$6:$X$3005,R$5)=0,"",SUMIFS(請求記録!$AC$6:$AC$3005,請求記録!$B$6:$B$3005,$A297,請求記録!$X$6:$X$3005,R$5))))</f>
        <v/>
      </c>
      <c r="S297" s="19">
        <f>IF($A297="","",IF(COUNTIFS(請求記録!$B$6:$B$3005,$A297,請求記録!$X$6:$X$3005,S$5,請求記録!$AD$6:$AD$3005,"保留中")&gt;0,"保留",IF(COUNTIFS(請求記録!$B$6:$B$3005,$A297,請求記録!$X$6:$X$3005,S$5)=0,"",SUMIFS(請求記録!$AC$6:$AC$3005,請求記録!$B$6:$B$3005,$A297,請求記録!$X$6:$X$3005,S$5))))</f>
        <v/>
      </c>
      <c r="T297" s="19">
        <f>IF($A297="","",IF(COUNTIFS(請求記録!$B$6:$B$3005,$A297,請求記録!$X$6:$X$3005,T$5,請求記録!$AD$6:$AD$3005,"保留中")&gt;0,"保留",IF(COUNTIFS(請求記録!$B$6:$B$3005,$A297,請求記録!$X$6:$X$3005,T$5)=0,"",SUMIFS(請求記録!$AC$6:$AC$3005,請求記録!$B$6:$B$3005,$A297,請求記録!$X$6:$X$3005,T$5))))</f>
        <v/>
      </c>
      <c r="U297" s="19">
        <f>IF($A297="","",IF(COUNTIFS(請求記録!$B$6:$B$3005,$A297,請求記録!$X$6:$X$3005,U$5,請求記録!$AD$6:$AD$3005,"保留中")&gt;0,"保留",IF(COUNTIFS(請求記録!$B$6:$B$3005,$A297,請求記録!$X$6:$X$3005,U$5)=0,"",SUMIFS(請求記録!$AC$6:$AC$3005,請求記録!$B$6:$B$3005,$A297,請求記録!$X$6:$X$3005,U$5))))</f>
        <v/>
      </c>
      <c r="V297" s="19">
        <f>IF($A297="","",IF(COUNTIFS(請求記録!$B$6:$B$3005,$A297,請求記録!$X$6:$X$3005,V$5,請求記録!$AD$6:$AD$3005,"保留中")&gt;0,"保留",IF(COUNTIFS(請求記録!$B$6:$B$3005,$A297,請求記録!$X$6:$X$3005,V$5)=0,"",SUMIFS(請求記録!$AC$6:$AC$3005,請求記録!$B$6:$B$3005,$A297,請求記録!$X$6:$X$3005,V$5))))</f>
        <v/>
      </c>
      <c r="W297" s="19">
        <f>IF($A297="","",IF(COUNTIFS(請求記録!$B$6:$B$3005,$A297,請求記録!$X$6:$X$3005,W$5,請求記録!$AD$6:$AD$3005,"保留中")&gt;0,"保留",IF(COUNTIFS(請求記録!$B$6:$B$3005,$A297,請求記録!$X$6:$X$3005,W$5)=0,"",SUMIFS(請求記録!$AC$6:$AC$3005,請求記録!$B$6:$B$3005,$A297,請求記録!$X$6:$X$3005,W$5))))</f>
        <v/>
      </c>
      <c r="X297" s="19">
        <f>IF($A297="","",IF(COUNTIFS(請求記録!$B$6:$B$3005,$A297,請求記録!$X$6:$X$3005,X$5,請求記録!$AD$6:$AD$3005,"保留中")&gt;0,"保留",IF(COUNTIFS(請求記録!$B$6:$B$3005,$A297,請求記録!$X$6:$X$3005,X$5)=0,"",SUMIFS(請求記録!$AC$6:$AC$3005,請求記録!$B$6:$B$3005,$A297,請求記録!$X$6:$X$3005,X$5))))</f>
        <v/>
      </c>
      <c r="Y297" s="19">
        <f>IF($A297="","",IF(COUNTIFS(請求記録!$B$6:$B$3005,$A297,請求記録!$X$6:$X$3005,Y$5,請求記録!$AD$6:$AD$3005,"保留中")&gt;0,"保留",IF(COUNTIFS(請求記録!$B$6:$B$3005,$A297,請求記録!$X$6:$X$3005,Y$5)=0,"",SUMIFS(請求記録!$AC$6:$AC$3005,請求記録!$B$6:$B$3005,$A297,請求記録!$X$6:$X$3005,Y$5))))</f>
        <v/>
      </c>
      <c r="Z297" s="19">
        <f>IF($A297="","",IF(COUNTIFS(請求記録!$B$6:$B$3005,$A297,請求記録!$X$6:$X$3005,Z$5,請求記録!$AD$6:$AD$3005,"保留中")&gt;0,"保留",IF(COUNTIFS(請求記録!$B$6:$B$3005,$A297,請求記録!$X$6:$X$3005,Z$5)=0,"",SUMIFS(請求記録!$AC$6:$AC$3005,請求記録!$B$6:$B$3005,$A297,請求記録!$X$6:$X$3005,Z$5))))</f>
        <v/>
      </c>
      <c r="AA297" s="19">
        <f>IF($A297="","",IF(COUNTIFS(請求記録!$B$6:$B$3005,$A297,請求記録!$X$6:$X$3005,AA$5,請求記録!$AD$6:$AD$3005,"保留中")&gt;0,"保留",IF(COUNTIFS(請求記録!$B$6:$B$3005,$A297,請求記録!$X$6:$X$3005,AA$5)=0,"",SUMIFS(請求記録!$AC$6:$AC$3005,請求記録!$B$6:$B$3005,$A297,請求記録!$X$6:$X$3005,AA$5))))</f>
        <v/>
      </c>
      <c r="AB297">
        <f>IF(職員マスタ!P297="保留中",職員マスタ!M297,"")</f>
        <v/>
      </c>
    </row>
    <row r="298">
      <c r="A298">
        <f>IF(職員マスタ!A298="","",職員マスタ!A298)</f>
        <v/>
      </c>
      <c r="B298">
        <f>IF($A298="","",職員マスタ!B298)</f>
        <v/>
      </c>
      <c r="C298">
        <f>IF($A298="","",職員マスタ!C298)</f>
        <v/>
      </c>
      <c r="D298" s="19">
        <f>IF($A298="","",IF(COUNTIFS(請求記録!$B$6:$B$3005,$A298,請求記録!$X$6:$X$3005,D$5,請求記録!$AD$6:$AD$3005,"保留中")&gt;0,"保留",IF(COUNTIFS(請求記録!$B$6:$B$3005,$A298,請求記録!$X$6:$X$3005,D$5)=0,"",SUMIFS(請求記録!$AC$6:$AC$3005,請求記録!$B$6:$B$3005,$A298,請求記録!$X$6:$X$3005,D$5))))</f>
        <v/>
      </c>
      <c r="E298" s="19">
        <f>IF($A298="","",IF(COUNTIFS(請求記録!$B$6:$B$3005,$A298,請求記録!$X$6:$X$3005,E$5,請求記録!$AD$6:$AD$3005,"保留中")&gt;0,"保留",IF(COUNTIFS(請求記録!$B$6:$B$3005,$A298,請求記録!$X$6:$X$3005,E$5)=0,"",SUMIFS(請求記録!$AC$6:$AC$3005,請求記録!$B$6:$B$3005,$A298,請求記録!$X$6:$X$3005,E$5))))</f>
        <v/>
      </c>
      <c r="F298" s="19">
        <f>IF($A298="","",IF(COUNTIFS(請求記録!$B$6:$B$3005,$A298,請求記録!$X$6:$X$3005,F$5,請求記録!$AD$6:$AD$3005,"保留中")&gt;0,"保留",IF(COUNTIFS(請求記録!$B$6:$B$3005,$A298,請求記録!$X$6:$X$3005,F$5)=0,"",SUMIFS(請求記録!$AC$6:$AC$3005,請求記録!$B$6:$B$3005,$A298,請求記録!$X$6:$X$3005,F$5))))</f>
        <v/>
      </c>
      <c r="G298" s="19">
        <f>IF($A298="","",IF(COUNTIFS(請求記録!$B$6:$B$3005,$A298,請求記録!$X$6:$X$3005,G$5,請求記録!$AD$6:$AD$3005,"保留中")&gt;0,"保留",IF(COUNTIFS(請求記録!$B$6:$B$3005,$A298,請求記録!$X$6:$X$3005,G$5)=0,"",SUMIFS(請求記録!$AC$6:$AC$3005,請求記録!$B$6:$B$3005,$A298,請求記録!$X$6:$X$3005,G$5))))</f>
        <v/>
      </c>
      <c r="H298" s="19">
        <f>IF($A298="","",IF(COUNTIFS(請求記録!$B$6:$B$3005,$A298,請求記録!$X$6:$X$3005,H$5,請求記録!$AD$6:$AD$3005,"保留中")&gt;0,"保留",IF(COUNTIFS(請求記録!$B$6:$B$3005,$A298,請求記録!$X$6:$X$3005,H$5)=0,"",SUMIFS(請求記録!$AC$6:$AC$3005,請求記録!$B$6:$B$3005,$A298,請求記録!$X$6:$X$3005,H$5))))</f>
        <v/>
      </c>
      <c r="I298" s="19">
        <f>IF($A298="","",IF(COUNTIFS(請求記録!$B$6:$B$3005,$A298,請求記録!$X$6:$X$3005,I$5,請求記録!$AD$6:$AD$3005,"保留中")&gt;0,"保留",IF(COUNTIFS(請求記録!$B$6:$B$3005,$A298,請求記録!$X$6:$X$3005,I$5)=0,"",SUMIFS(請求記録!$AC$6:$AC$3005,請求記録!$B$6:$B$3005,$A298,請求記録!$X$6:$X$3005,I$5))))</f>
        <v/>
      </c>
      <c r="J298" s="19">
        <f>IF($A298="","",IF(COUNTIFS(請求記録!$B$6:$B$3005,$A298,請求記録!$X$6:$X$3005,J$5,請求記録!$AD$6:$AD$3005,"保留中")&gt;0,"保留",IF(COUNTIFS(請求記録!$B$6:$B$3005,$A298,請求記録!$X$6:$X$3005,J$5)=0,"",SUMIFS(請求記録!$AC$6:$AC$3005,請求記録!$B$6:$B$3005,$A298,請求記録!$X$6:$X$3005,J$5))))</f>
        <v/>
      </c>
      <c r="K298" s="19">
        <f>IF($A298="","",IF(COUNTIFS(請求記録!$B$6:$B$3005,$A298,請求記録!$X$6:$X$3005,K$5,請求記録!$AD$6:$AD$3005,"保留中")&gt;0,"保留",IF(COUNTIFS(請求記録!$B$6:$B$3005,$A298,請求記録!$X$6:$X$3005,K$5)=0,"",SUMIFS(請求記録!$AC$6:$AC$3005,請求記録!$B$6:$B$3005,$A298,請求記録!$X$6:$X$3005,K$5))))</f>
        <v/>
      </c>
      <c r="L298" s="19">
        <f>IF($A298="","",IF(COUNTIFS(請求記録!$B$6:$B$3005,$A298,請求記録!$X$6:$X$3005,L$5,請求記録!$AD$6:$AD$3005,"保留中")&gt;0,"保留",IF(COUNTIFS(請求記録!$B$6:$B$3005,$A298,請求記録!$X$6:$X$3005,L$5)=0,"",SUMIFS(請求記録!$AC$6:$AC$3005,請求記録!$B$6:$B$3005,$A298,請求記録!$X$6:$X$3005,L$5))))</f>
        <v/>
      </c>
      <c r="M298" s="19">
        <f>IF($A298="","",IF(COUNTIFS(請求記録!$B$6:$B$3005,$A298,請求記録!$X$6:$X$3005,M$5,請求記録!$AD$6:$AD$3005,"保留中")&gt;0,"保留",IF(COUNTIFS(請求記録!$B$6:$B$3005,$A298,請求記録!$X$6:$X$3005,M$5)=0,"",SUMIFS(請求記録!$AC$6:$AC$3005,請求記録!$B$6:$B$3005,$A298,請求記録!$X$6:$X$3005,M$5))))</f>
        <v/>
      </c>
      <c r="N298" s="19">
        <f>IF($A298="","",IF(COUNTIFS(請求記録!$B$6:$B$3005,$A298,請求記録!$X$6:$X$3005,N$5,請求記録!$AD$6:$AD$3005,"保留中")&gt;0,"保留",IF(COUNTIFS(請求記録!$B$6:$B$3005,$A298,請求記録!$X$6:$X$3005,N$5)=0,"",SUMIFS(請求記録!$AC$6:$AC$3005,請求記録!$B$6:$B$3005,$A298,請求記録!$X$6:$X$3005,N$5))))</f>
        <v/>
      </c>
      <c r="O298" s="19">
        <f>IF($A298="","",IF(COUNTIFS(請求記録!$B$6:$B$3005,$A298,請求記録!$X$6:$X$3005,O$5,請求記録!$AD$6:$AD$3005,"保留中")&gt;0,"保留",IF(COUNTIFS(請求記録!$B$6:$B$3005,$A298,請求記録!$X$6:$X$3005,O$5)=0,"",SUMIFS(請求記録!$AC$6:$AC$3005,請求記録!$B$6:$B$3005,$A298,請求記録!$X$6:$X$3005,O$5))))</f>
        <v/>
      </c>
      <c r="P298" s="19">
        <f>IF($A298="","",IF(COUNTIFS(請求記録!$B$6:$B$3005,$A298,請求記録!$X$6:$X$3005,P$5,請求記録!$AD$6:$AD$3005,"保留中")&gt;0,"保留",IF(COUNTIFS(請求記録!$B$6:$B$3005,$A298,請求記録!$X$6:$X$3005,P$5)=0,"",SUMIFS(請求記録!$AC$6:$AC$3005,請求記録!$B$6:$B$3005,$A298,請求記録!$X$6:$X$3005,P$5))))</f>
        <v/>
      </c>
      <c r="Q298" s="19">
        <f>IF($A298="","",IF(COUNTIFS(請求記録!$B$6:$B$3005,$A298,請求記録!$X$6:$X$3005,Q$5,請求記録!$AD$6:$AD$3005,"保留中")&gt;0,"保留",IF(COUNTIFS(請求記録!$B$6:$B$3005,$A298,請求記録!$X$6:$X$3005,Q$5)=0,"",SUMIFS(請求記録!$AC$6:$AC$3005,請求記録!$B$6:$B$3005,$A298,請求記録!$X$6:$X$3005,Q$5))))</f>
        <v/>
      </c>
      <c r="R298" s="19">
        <f>IF($A298="","",IF(COUNTIFS(請求記録!$B$6:$B$3005,$A298,請求記録!$X$6:$X$3005,R$5,請求記録!$AD$6:$AD$3005,"保留中")&gt;0,"保留",IF(COUNTIFS(請求記録!$B$6:$B$3005,$A298,請求記録!$X$6:$X$3005,R$5)=0,"",SUMIFS(請求記録!$AC$6:$AC$3005,請求記録!$B$6:$B$3005,$A298,請求記録!$X$6:$X$3005,R$5))))</f>
        <v/>
      </c>
      <c r="S298" s="19">
        <f>IF($A298="","",IF(COUNTIFS(請求記録!$B$6:$B$3005,$A298,請求記録!$X$6:$X$3005,S$5,請求記録!$AD$6:$AD$3005,"保留中")&gt;0,"保留",IF(COUNTIFS(請求記録!$B$6:$B$3005,$A298,請求記録!$X$6:$X$3005,S$5)=0,"",SUMIFS(請求記録!$AC$6:$AC$3005,請求記録!$B$6:$B$3005,$A298,請求記録!$X$6:$X$3005,S$5))))</f>
        <v/>
      </c>
      <c r="T298" s="19">
        <f>IF($A298="","",IF(COUNTIFS(請求記録!$B$6:$B$3005,$A298,請求記録!$X$6:$X$3005,T$5,請求記録!$AD$6:$AD$3005,"保留中")&gt;0,"保留",IF(COUNTIFS(請求記録!$B$6:$B$3005,$A298,請求記録!$X$6:$X$3005,T$5)=0,"",SUMIFS(請求記録!$AC$6:$AC$3005,請求記録!$B$6:$B$3005,$A298,請求記録!$X$6:$X$3005,T$5))))</f>
        <v/>
      </c>
      <c r="U298" s="19">
        <f>IF($A298="","",IF(COUNTIFS(請求記録!$B$6:$B$3005,$A298,請求記録!$X$6:$X$3005,U$5,請求記録!$AD$6:$AD$3005,"保留中")&gt;0,"保留",IF(COUNTIFS(請求記録!$B$6:$B$3005,$A298,請求記録!$X$6:$X$3005,U$5)=0,"",SUMIFS(請求記録!$AC$6:$AC$3005,請求記録!$B$6:$B$3005,$A298,請求記録!$X$6:$X$3005,U$5))))</f>
        <v/>
      </c>
      <c r="V298" s="19">
        <f>IF($A298="","",IF(COUNTIFS(請求記録!$B$6:$B$3005,$A298,請求記録!$X$6:$X$3005,V$5,請求記録!$AD$6:$AD$3005,"保留中")&gt;0,"保留",IF(COUNTIFS(請求記録!$B$6:$B$3005,$A298,請求記録!$X$6:$X$3005,V$5)=0,"",SUMIFS(請求記録!$AC$6:$AC$3005,請求記録!$B$6:$B$3005,$A298,請求記録!$X$6:$X$3005,V$5))))</f>
        <v/>
      </c>
      <c r="W298" s="19">
        <f>IF($A298="","",IF(COUNTIFS(請求記録!$B$6:$B$3005,$A298,請求記録!$X$6:$X$3005,W$5,請求記録!$AD$6:$AD$3005,"保留中")&gt;0,"保留",IF(COUNTIFS(請求記録!$B$6:$B$3005,$A298,請求記録!$X$6:$X$3005,W$5)=0,"",SUMIFS(請求記録!$AC$6:$AC$3005,請求記録!$B$6:$B$3005,$A298,請求記録!$X$6:$X$3005,W$5))))</f>
        <v/>
      </c>
      <c r="X298" s="19">
        <f>IF($A298="","",IF(COUNTIFS(請求記録!$B$6:$B$3005,$A298,請求記録!$X$6:$X$3005,X$5,請求記録!$AD$6:$AD$3005,"保留中")&gt;0,"保留",IF(COUNTIFS(請求記録!$B$6:$B$3005,$A298,請求記録!$X$6:$X$3005,X$5)=0,"",SUMIFS(請求記録!$AC$6:$AC$3005,請求記録!$B$6:$B$3005,$A298,請求記録!$X$6:$X$3005,X$5))))</f>
        <v/>
      </c>
      <c r="Y298" s="19">
        <f>IF($A298="","",IF(COUNTIFS(請求記録!$B$6:$B$3005,$A298,請求記録!$X$6:$X$3005,Y$5,請求記録!$AD$6:$AD$3005,"保留中")&gt;0,"保留",IF(COUNTIFS(請求記録!$B$6:$B$3005,$A298,請求記録!$X$6:$X$3005,Y$5)=0,"",SUMIFS(請求記録!$AC$6:$AC$3005,請求記録!$B$6:$B$3005,$A298,請求記録!$X$6:$X$3005,Y$5))))</f>
        <v/>
      </c>
      <c r="Z298" s="19">
        <f>IF($A298="","",IF(COUNTIFS(請求記録!$B$6:$B$3005,$A298,請求記録!$X$6:$X$3005,Z$5,請求記録!$AD$6:$AD$3005,"保留中")&gt;0,"保留",IF(COUNTIFS(請求記録!$B$6:$B$3005,$A298,請求記録!$X$6:$X$3005,Z$5)=0,"",SUMIFS(請求記録!$AC$6:$AC$3005,請求記録!$B$6:$B$3005,$A298,請求記録!$X$6:$X$3005,Z$5))))</f>
        <v/>
      </c>
      <c r="AA298" s="19">
        <f>IF($A298="","",IF(COUNTIFS(請求記録!$B$6:$B$3005,$A298,請求記録!$X$6:$X$3005,AA$5,請求記録!$AD$6:$AD$3005,"保留中")&gt;0,"保留",IF(COUNTIFS(請求記録!$B$6:$B$3005,$A298,請求記録!$X$6:$X$3005,AA$5)=0,"",SUMIFS(請求記録!$AC$6:$AC$3005,請求記録!$B$6:$B$3005,$A298,請求記録!$X$6:$X$3005,AA$5))))</f>
        <v/>
      </c>
      <c r="AB298">
        <f>IF(職員マスタ!P298="保留中",職員マスタ!M298,"")</f>
        <v/>
      </c>
    </row>
    <row r="299">
      <c r="A299">
        <f>IF(職員マスタ!A299="","",職員マスタ!A299)</f>
        <v/>
      </c>
      <c r="B299">
        <f>IF($A299="","",職員マスタ!B299)</f>
        <v/>
      </c>
      <c r="C299">
        <f>IF($A299="","",職員マスタ!C299)</f>
        <v/>
      </c>
      <c r="D299" s="19">
        <f>IF($A299="","",IF(COUNTIFS(請求記録!$B$6:$B$3005,$A299,請求記録!$X$6:$X$3005,D$5,請求記録!$AD$6:$AD$3005,"保留中")&gt;0,"保留",IF(COUNTIFS(請求記録!$B$6:$B$3005,$A299,請求記録!$X$6:$X$3005,D$5)=0,"",SUMIFS(請求記録!$AC$6:$AC$3005,請求記録!$B$6:$B$3005,$A299,請求記録!$X$6:$X$3005,D$5))))</f>
        <v/>
      </c>
      <c r="E299" s="19">
        <f>IF($A299="","",IF(COUNTIFS(請求記録!$B$6:$B$3005,$A299,請求記録!$X$6:$X$3005,E$5,請求記録!$AD$6:$AD$3005,"保留中")&gt;0,"保留",IF(COUNTIFS(請求記録!$B$6:$B$3005,$A299,請求記録!$X$6:$X$3005,E$5)=0,"",SUMIFS(請求記録!$AC$6:$AC$3005,請求記録!$B$6:$B$3005,$A299,請求記録!$X$6:$X$3005,E$5))))</f>
        <v/>
      </c>
      <c r="F299" s="19">
        <f>IF($A299="","",IF(COUNTIFS(請求記録!$B$6:$B$3005,$A299,請求記録!$X$6:$X$3005,F$5,請求記録!$AD$6:$AD$3005,"保留中")&gt;0,"保留",IF(COUNTIFS(請求記録!$B$6:$B$3005,$A299,請求記録!$X$6:$X$3005,F$5)=0,"",SUMIFS(請求記録!$AC$6:$AC$3005,請求記録!$B$6:$B$3005,$A299,請求記録!$X$6:$X$3005,F$5))))</f>
        <v/>
      </c>
      <c r="G299" s="19">
        <f>IF($A299="","",IF(COUNTIFS(請求記録!$B$6:$B$3005,$A299,請求記録!$X$6:$X$3005,G$5,請求記録!$AD$6:$AD$3005,"保留中")&gt;0,"保留",IF(COUNTIFS(請求記録!$B$6:$B$3005,$A299,請求記録!$X$6:$X$3005,G$5)=0,"",SUMIFS(請求記録!$AC$6:$AC$3005,請求記録!$B$6:$B$3005,$A299,請求記録!$X$6:$X$3005,G$5))))</f>
        <v/>
      </c>
      <c r="H299" s="19">
        <f>IF($A299="","",IF(COUNTIFS(請求記録!$B$6:$B$3005,$A299,請求記録!$X$6:$X$3005,H$5,請求記録!$AD$6:$AD$3005,"保留中")&gt;0,"保留",IF(COUNTIFS(請求記録!$B$6:$B$3005,$A299,請求記録!$X$6:$X$3005,H$5)=0,"",SUMIFS(請求記録!$AC$6:$AC$3005,請求記録!$B$6:$B$3005,$A299,請求記録!$X$6:$X$3005,H$5))))</f>
        <v/>
      </c>
      <c r="I299" s="19">
        <f>IF($A299="","",IF(COUNTIFS(請求記録!$B$6:$B$3005,$A299,請求記録!$X$6:$X$3005,I$5,請求記録!$AD$6:$AD$3005,"保留中")&gt;0,"保留",IF(COUNTIFS(請求記録!$B$6:$B$3005,$A299,請求記録!$X$6:$X$3005,I$5)=0,"",SUMIFS(請求記録!$AC$6:$AC$3005,請求記録!$B$6:$B$3005,$A299,請求記録!$X$6:$X$3005,I$5))))</f>
        <v/>
      </c>
      <c r="J299" s="19">
        <f>IF($A299="","",IF(COUNTIFS(請求記録!$B$6:$B$3005,$A299,請求記録!$X$6:$X$3005,J$5,請求記録!$AD$6:$AD$3005,"保留中")&gt;0,"保留",IF(COUNTIFS(請求記録!$B$6:$B$3005,$A299,請求記録!$X$6:$X$3005,J$5)=0,"",SUMIFS(請求記録!$AC$6:$AC$3005,請求記録!$B$6:$B$3005,$A299,請求記録!$X$6:$X$3005,J$5))))</f>
        <v/>
      </c>
      <c r="K299" s="19">
        <f>IF($A299="","",IF(COUNTIFS(請求記録!$B$6:$B$3005,$A299,請求記録!$X$6:$X$3005,K$5,請求記録!$AD$6:$AD$3005,"保留中")&gt;0,"保留",IF(COUNTIFS(請求記録!$B$6:$B$3005,$A299,請求記録!$X$6:$X$3005,K$5)=0,"",SUMIFS(請求記録!$AC$6:$AC$3005,請求記録!$B$6:$B$3005,$A299,請求記録!$X$6:$X$3005,K$5))))</f>
        <v/>
      </c>
      <c r="L299" s="19">
        <f>IF($A299="","",IF(COUNTIFS(請求記録!$B$6:$B$3005,$A299,請求記録!$X$6:$X$3005,L$5,請求記録!$AD$6:$AD$3005,"保留中")&gt;0,"保留",IF(COUNTIFS(請求記録!$B$6:$B$3005,$A299,請求記録!$X$6:$X$3005,L$5)=0,"",SUMIFS(請求記録!$AC$6:$AC$3005,請求記録!$B$6:$B$3005,$A299,請求記録!$X$6:$X$3005,L$5))))</f>
        <v/>
      </c>
      <c r="M299" s="19">
        <f>IF($A299="","",IF(COUNTIFS(請求記録!$B$6:$B$3005,$A299,請求記録!$X$6:$X$3005,M$5,請求記録!$AD$6:$AD$3005,"保留中")&gt;0,"保留",IF(COUNTIFS(請求記録!$B$6:$B$3005,$A299,請求記録!$X$6:$X$3005,M$5)=0,"",SUMIFS(請求記録!$AC$6:$AC$3005,請求記録!$B$6:$B$3005,$A299,請求記録!$X$6:$X$3005,M$5))))</f>
        <v/>
      </c>
      <c r="N299" s="19">
        <f>IF($A299="","",IF(COUNTIFS(請求記録!$B$6:$B$3005,$A299,請求記録!$X$6:$X$3005,N$5,請求記録!$AD$6:$AD$3005,"保留中")&gt;0,"保留",IF(COUNTIFS(請求記録!$B$6:$B$3005,$A299,請求記録!$X$6:$X$3005,N$5)=0,"",SUMIFS(請求記録!$AC$6:$AC$3005,請求記録!$B$6:$B$3005,$A299,請求記録!$X$6:$X$3005,N$5))))</f>
        <v/>
      </c>
      <c r="O299" s="19">
        <f>IF($A299="","",IF(COUNTIFS(請求記録!$B$6:$B$3005,$A299,請求記録!$X$6:$X$3005,O$5,請求記録!$AD$6:$AD$3005,"保留中")&gt;0,"保留",IF(COUNTIFS(請求記録!$B$6:$B$3005,$A299,請求記録!$X$6:$X$3005,O$5)=0,"",SUMIFS(請求記録!$AC$6:$AC$3005,請求記録!$B$6:$B$3005,$A299,請求記録!$X$6:$X$3005,O$5))))</f>
        <v/>
      </c>
      <c r="P299" s="19">
        <f>IF($A299="","",IF(COUNTIFS(請求記録!$B$6:$B$3005,$A299,請求記録!$X$6:$X$3005,P$5,請求記録!$AD$6:$AD$3005,"保留中")&gt;0,"保留",IF(COUNTIFS(請求記録!$B$6:$B$3005,$A299,請求記録!$X$6:$X$3005,P$5)=0,"",SUMIFS(請求記録!$AC$6:$AC$3005,請求記録!$B$6:$B$3005,$A299,請求記録!$X$6:$X$3005,P$5))))</f>
        <v/>
      </c>
      <c r="Q299" s="19">
        <f>IF($A299="","",IF(COUNTIFS(請求記録!$B$6:$B$3005,$A299,請求記録!$X$6:$X$3005,Q$5,請求記録!$AD$6:$AD$3005,"保留中")&gt;0,"保留",IF(COUNTIFS(請求記録!$B$6:$B$3005,$A299,請求記録!$X$6:$X$3005,Q$5)=0,"",SUMIFS(請求記録!$AC$6:$AC$3005,請求記録!$B$6:$B$3005,$A299,請求記録!$X$6:$X$3005,Q$5))))</f>
        <v/>
      </c>
      <c r="R299" s="19">
        <f>IF($A299="","",IF(COUNTIFS(請求記録!$B$6:$B$3005,$A299,請求記録!$X$6:$X$3005,R$5,請求記録!$AD$6:$AD$3005,"保留中")&gt;0,"保留",IF(COUNTIFS(請求記録!$B$6:$B$3005,$A299,請求記録!$X$6:$X$3005,R$5)=0,"",SUMIFS(請求記録!$AC$6:$AC$3005,請求記録!$B$6:$B$3005,$A299,請求記録!$X$6:$X$3005,R$5))))</f>
        <v/>
      </c>
      <c r="S299" s="19">
        <f>IF($A299="","",IF(COUNTIFS(請求記録!$B$6:$B$3005,$A299,請求記録!$X$6:$X$3005,S$5,請求記録!$AD$6:$AD$3005,"保留中")&gt;0,"保留",IF(COUNTIFS(請求記録!$B$6:$B$3005,$A299,請求記録!$X$6:$X$3005,S$5)=0,"",SUMIFS(請求記録!$AC$6:$AC$3005,請求記録!$B$6:$B$3005,$A299,請求記録!$X$6:$X$3005,S$5))))</f>
        <v/>
      </c>
      <c r="T299" s="19">
        <f>IF($A299="","",IF(COUNTIFS(請求記録!$B$6:$B$3005,$A299,請求記録!$X$6:$X$3005,T$5,請求記録!$AD$6:$AD$3005,"保留中")&gt;0,"保留",IF(COUNTIFS(請求記録!$B$6:$B$3005,$A299,請求記録!$X$6:$X$3005,T$5)=0,"",SUMIFS(請求記録!$AC$6:$AC$3005,請求記録!$B$6:$B$3005,$A299,請求記録!$X$6:$X$3005,T$5))))</f>
        <v/>
      </c>
      <c r="U299" s="19">
        <f>IF($A299="","",IF(COUNTIFS(請求記録!$B$6:$B$3005,$A299,請求記録!$X$6:$X$3005,U$5,請求記録!$AD$6:$AD$3005,"保留中")&gt;0,"保留",IF(COUNTIFS(請求記録!$B$6:$B$3005,$A299,請求記録!$X$6:$X$3005,U$5)=0,"",SUMIFS(請求記録!$AC$6:$AC$3005,請求記録!$B$6:$B$3005,$A299,請求記録!$X$6:$X$3005,U$5))))</f>
        <v/>
      </c>
      <c r="V299" s="19">
        <f>IF($A299="","",IF(COUNTIFS(請求記録!$B$6:$B$3005,$A299,請求記録!$X$6:$X$3005,V$5,請求記録!$AD$6:$AD$3005,"保留中")&gt;0,"保留",IF(COUNTIFS(請求記録!$B$6:$B$3005,$A299,請求記録!$X$6:$X$3005,V$5)=0,"",SUMIFS(請求記録!$AC$6:$AC$3005,請求記録!$B$6:$B$3005,$A299,請求記録!$X$6:$X$3005,V$5))))</f>
        <v/>
      </c>
      <c r="W299" s="19">
        <f>IF($A299="","",IF(COUNTIFS(請求記録!$B$6:$B$3005,$A299,請求記録!$X$6:$X$3005,W$5,請求記録!$AD$6:$AD$3005,"保留中")&gt;0,"保留",IF(COUNTIFS(請求記録!$B$6:$B$3005,$A299,請求記録!$X$6:$X$3005,W$5)=0,"",SUMIFS(請求記録!$AC$6:$AC$3005,請求記録!$B$6:$B$3005,$A299,請求記録!$X$6:$X$3005,W$5))))</f>
        <v/>
      </c>
      <c r="X299" s="19">
        <f>IF($A299="","",IF(COUNTIFS(請求記録!$B$6:$B$3005,$A299,請求記録!$X$6:$X$3005,X$5,請求記録!$AD$6:$AD$3005,"保留中")&gt;0,"保留",IF(COUNTIFS(請求記録!$B$6:$B$3005,$A299,請求記録!$X$6:$X$3005,X$5)=0,"",SUMIFS(請求記録!$AC$6:$AC$3005,請求記録!$B$6:$B$3005,$A299,請求記録!$X$6:$X$3005,X$5))))</f>
        <v/>
      </c>
      <c r="Y299" s="19">
        <f>IF($A299="","",IF(COUNTIFS(請求記録!$B$6:$B$3005,$A299,請求記録!$X$6:$X$3005,Y$5,請求記録!$AD$6:$AD$3005,"保留中")&gt;0,"保留",IF(COUNTIFS(請求記録!$B$6:$B$3005,$A299,請求記録!$X$6:$X$3005,Y$5)=0,"",SUMIFS(請求記録!$AC$6:$AC$3005,請求記録!$B$6:$B$3005,$A299,請求記録!$X$6:$X$3005,Y$5))))</f>
        <v/>
      </c>
      <c r="Z299" s="19">
        <f>IF($A299="","",IF(COUNTIFS(請求記録!$B$6:$B$3005,$A299,請求記録!$X$6:$X$3005,Z$5,請求記録!$AD$6:$AD$3005,"保留中")&gt;0,"保留",IF(COUNTIFS(請求記録!$B$6:$B$3005,$A299,請求記録!$X$6:$X$3005,Z$5)=0,"",SUMIFS(請求記録!$AC$6:$AC$3005,請求記録!$B$6:$B$3005,$A299,請求記録!$X$6:$X$3005,Z$5))))</f>
        <v/>
      </c>
      <c r="AA299" s="19">
        <f>IF($A299="","",IF(COUNTIFS(請求記録!$B$6:$B$3005,$A299,請求記録!$X$6:$X$3005,AA$5,請求記録!$AD$6:$AD$3005,"保留中")&gt;0,"保留",IF(COUNTIFS(請求記録!$B$6:$B$3005,$A299,請求記録!$X$6:$X$3005,AA$5)=0,"",SUMIFS(請求記録!$AC$6:$AC$3005,請求記録!$B$6:$B$3005,$A299,請求記録!$X$6:$X$3005,AA$5))))</f>
        <v/>
      </c>
      <c r="AB299">
        <f>IF(職員マスタ!P299="保留中",職員マスタ!M299,"")</f>
        <v/>
      </c>
    </row>
    <row r="300">
      <c r="A300">
        <f>IF(職員マスタ!A300="","",職員マスタ!A300)</f>
        <v/>
      </c>
      <c r="B300">
        <f>IF($A300="","",職員マスタ!B300)</f>
        <v/>
      </c>
      <c r="C300">
        <f>IF($A300="","",職員マスタ!C300)</f>
        <v/>
      </c>
      <c r="D300" s="19">
        <f>IF($A300="","",IF(COUNTIFS(請求記録!$B$6:$B$3005,$A300,請求記録!$X$6:$X$3005,D$5,請求記録!$AD$6:$AD$3005,"保留中")&gt;0,"保留",IF(COUNTIFS(請求記録!$B$6:$B$3005,$A300,請求記録!$X$6:$X$3005,D$5)=0,"",SUMIFS(請求記録!$AC$6:$AC$3005,請求記録!$B$6:$B$3005,$A300,請求記録!$X$6:$X$3005,D$5))))</f>
        <v/>
      </c>
      <c r="E300" s="19">
        <f>IF($A300="","",IF(COUNTIFS(請求記録!$B$6:$B$3005,$A300,請求記録!$X$6:$X$3005,E$5,請求記録!$AD$6:$AD$3005,"保留中")&gt;0,"保留",IF(COUNTIFS(請求記録!$B$6:$B$3005,$A300,請求記録!$X$6:$X$3005,E$5)=0,"",SUMIFS(請求記録!$AC$6:$AC$3005,請求記録!$B$6:$B$3005,$A300,請求記録!$X$6:$X$3005,E$5))))</f>
        <v/>
      </c>
      <c r="F300" s="19">
        <f>IF($A300="","",IF(COUNTIFS(請求記録!$B$6:$B$3005,$A300,請求記録!$X$6:$X$3005,F$5,請求記録!$AD$6:$AD$3005,"保留中")&gt;0,"保留",IF(COUNTIFS(請求記録!$B$6:$B$3005,$A300,請求記録!$X$6:$X$3005,F$5)=0,"",SUMIFS(請求記録!$AC$6:$AC$3005,請求記録!$B$6:$B$3005,$A300,請求記録!$X$6:$X$3005,F$5))))</f>
        <v/>
      </c>
      <c r="G300" s="19">
        <f>IF($A300="","",IF(COUNTIFS(請求記録!$B$6:$B$3005,$A300,請求記録!$X$6:$X$3005,G$5,請求記録!$AD$6:$AD$3005,"保留中")&gt;0,"保留",IF(COUNTIFS(請求記録!$B$6:$B$3005,$A300,請求記録!$X$6:$X$3005,G$5)=0,"",SUMIFS(請求記録!$AC$6:$AC$3005,請求記録!$B$6:$B$3005,$A300,請求記録!$X$6:$X$3005,G$5))))</f>
        <v/>
      </c>
      <c r="H300" s="19">
        <f>IF($A300="","",IF(COUNTIFS(請求記録!$B$6:$B$3005,$A300,請求記録!$X$6:$X$3005,H$5,請求記録!$AD$6:$AD$3005,"保留中")&gt;0,"保留",IF(COUNTIFS(請求記録!$B$6:$B$3005,$A300,請求記録!$X$6:$X$3005,H$5)=0,"",SUMIFS(請求記録!$AC$6:$AC$3005,請求記録!$B$6:$B$3005,$A300,請求記録!$X$6:$X$3005,H$5))))</f>
        <v/>
      </c>
      <c r="I300" s="19">
        <f>IF($A300="","",IF(COUNTIFS(請求記録!$B$6:$B$3005,$A300,請求記録!$X$6:$X$3005,I$5,請求記録!$AD$6:$AD$3005,"保留中")&gt;0,"保留",IF(COUNTIFS(請求記録!$B$6:$B$3005,$A300,請求記録!$X$6:$X$3005,I$5)=0,"",SUMIFS(請求記録!$AC$6:$AC$3005,請求記録!$B$6:$B$3005,$A300,請求記録!$X$6:$X$3005,I$5))))</f>
        <v/>
      </c>
      <c r="J300" s="19">
        <f>IF($A300="","",IF(COUNTIFS(請求記録!$B$6:$B$3005,$A300,請求記録!$X$6:$X$3005,J$5,請求記録!$AD$6:$AD$3005,"保留中")&gt;0,"保留",IF(COUNTIFS(請求記録!$B$6:$B$3005,$A300,請求記録!$X$6:$X$3005,J$5)=0,"",SUMIFS(請求記録!$AC$6:$AC$3005,請求記録!$B$6:$B$3005,$A300,請求記録!$X$6:$X$3005,J$5))))</f>
        <v/>
      </c>
      <c r="K300" s="19">
        <f>IF($A300="","",IF(COUNTIFS(請求記録!$B$6:$B$3005,$A300,請求記録!$X$6:$X$3005,K$5,請求記録!$AD$6:$AD$3005,"保留中")&gt;0,"保留",IF(COUNTIFS(請求記録!$B$6:$B$3005,$A300,請求記録!$X$6:$X$3005,K$5)=0,"",SUMIFS(請求記録!$AC$6:$AC$3005,請求記録!$B$6:$B$3005,$A300,請求記録!$X$6:$X$3005,K$5))))</f>
        <v/>
      </c>
      <c r="L300" s="19">
        <f>IF($A300="","",IF(COUNTIFS(請求記録!$B$6:$B$3005,$A300,請求記録!$X$6:$X$3005,L$5,請求記録!$AD$6:$AD$3005,"保留中")&gt;0,"保留",IF(COUNTIFS(請求記録!$B$6:$B$3005,$A300,請求記録!$X$6:$X$3005,L$5)=0,"",SUMIFS(請求記録!$AC$6:$AC$3005,請求記録!$B$6:$B$3005,$A300,請求記録!$X$6:$X$3005,L$5))))</f>
        <v/>
      </c>
      <c r="M300" s="19">
        <f>IF($A300="","",IF(COUNTIFS(請求記録!$B$6:$B$3005,$A300,請求記録!$X$6:$X$3005,M$5,請求記録!$AD$6:$AD$3005,"保留中")&gt;0,"保留",IF(COUNTIFS(請求記録!$B$6:$B$3005,$A300,請求記録!$X$6:$X$3005,M$5)=0,"",SUMIFS(請求記録!$AC$6:$AC$3005,請求記録!$B$6:$B$3005,$A300,請求記録!$X$6:$X$3005,M$5))))</f>
        <v/>
      </c>
      <c r="N300" s="19">
        <f>IF($A300="","",IF(COUNTIFS(請求記録!$B$6:$B$3005,$A300,請求記録!$X$6:$X$3005,N$5,請求記録!$AD$6:$AD$3005,"保留中")&gt;0,"保留",IF(COUNTIFS(請求記録!$B$6:$B$3005,$A300,請求記録!$X$6:$X$3005,N$5)=0,"",SUMIFS(請求記録!$AC$6:$AC$3005,請求記録!$B$6:$B$3005,$A300,請求記録!$X$6:$X$3005,N$5))))</f>
        <v/>
      </c>
      <c r="O300" s="19">
        <f>IF($A300="","",IF(COUNTIFS(請求記録!$B$6:$B$3005,$A300,請求記録!$X$6:$X$3005,O$5,請求記録!$AD$6:$AD$3005,"保留中")&gt;0,"保留",IF(COUNTIFS(請求記録!$B$6:$B$3005,$A300,請求記録!$X$6:$X$3005,O$5)=0,"",SUMIFS(請求記録!$AC$6:$AC$3005,請求記録!$B$6:$B$3005,$A300,請求記録!$X$6:$X$3005,O$5))))</f>
        <v/>
      </c>
      <c r="P300" s="19">
        <f>IF($A300="","",IF(COUNTIFS(請求記録!$B$6:$B$3005,$A300,請求記録!$X$6:$X$3005,P$5,請求記録!$AD$6:$AD$3005,"保留中")&gt;0,"保留",IF(COUNTIFS(請求記録!$B$6:$B$3005,$A300,請求記録!$X$6:$X$3005,P$5)=0,"",SUMIFS(請求記録!$AC$6:$AC$3005,請求記録!$B$6:$B$3005,$A300,請求記録!$X$6:$X$3005,P$5))))</f>
        <v/>
      </c>
      <c r="Q300" s="19">
        <f>IF($A300="","",IF(COUNTIFS(請求記録!$B$6:$B$3005,$A300,請求記録!$X$6:$X$3005,Q$5,請求記録!$AD$6:$AD$3005,"保留中")&gt;0,"保留",IF(COUNTIFS(請求記録!$B$6:$B$3005,$A300,請求記録!$X$6:$X$3005,Q$5)=0,"",SUMIFS(請求記録!$AC$6:$AC$3005,請求記録!$B$6:$B$3005,$A300,請求記録!$X$6:$X$3005,Q$5))))</f>
        <v/>
      </c>
      <c r="R300" s="19">
        <f>IF($A300="","",IF(COUNTIFS(請求記録!$B$6:$B$3005,$A300,請求記録!$X$6:$X$3005,R$5,請求記録!$AD$6:$AD$3005,"保留中")&gt;0,"保留",IF(COUNTIFS(請求記録!$B$6:$B$3005,$A300,請求記録!$X$6:$X$3005,R$5)=0,"",SUMIFS(請求記録!$AC$6:$AC$3005,請求記録!$B$6:$B$3005,$A300,請求記録!$X$6:$X$3005,R$5))))</f>
        <v/>
      </c>
      <c r="S300" s="19">
        <f>IF($A300="","",IF(COUNTIFS(請求記録!$B$6:$B$3005,$A300,請求記録!$X$6:$X$3005,S$5,請求記録!$AD$6:$AD$3005,"保留中")&gt;0,"保留",IF(COUNTIFS(請求記録!$B$6:$B$3005,$A300,請求記録!$X$6:$X$3005,S$5)=0,"",SUMIFS(請求記録!$AC$6:$AC$3005,請求記録!$B$6:$B$3005,$A300,請求記録!$X$6:$X$3005,S$5))))</f>
        <v/>
      </c>
      <c r="T300" s="19">
        <f>IF($A300="","",IF(COUNTIFS(請求記録!$B$6:$B$3005,$A300,請求記録!$X$6:$X$3005,T$5,請求記録!$AD$6:$AD$3005,"保留中")&gt;0,"保留",IF(COUNTIFS(請求記録!$B$6:$B$3005,$A300,請求記録!$X$6:$X$3005,T$5)=0,"",SUMIFS(請求記録!$AC$6:$AC$3005,請求記録!$B$6:$B$3005,$A300,請求記録!$X$6:$X$3005,T$5))))</f>
        <v/>
      </c>
      <c r="U300" s="19">
        <f>IF($A300="","",IF(COUNTIFS(請求記録!$B$6:$B$3005,$A300,請求記録!$X$6:$X$3005,U$5,請求記録!$AD$6:$AD$3005,"保留中")&gt;0,"保留",IF(COUNTIFS(請求記録!$B$6:$B$3005,$A300,請求記録!$X$6:$X$3005,U$5)=0,"",SUMIFS(請求記録!$AC$6:$AC$3005,請求記録!$B$6:$B$3005,$A300,請求記録!$X$6:$X$3005,U$5))))</f>
        <v/>
      </c>
      <c r="V300" s="19">
        <f>IF($A300="","",IF(COUNTIFS(請求記録!$B$6:$B$3005,$A300,請求記録!$X$6:$X$3005,V$5,請求記録!$AD$6:$AD$3005,"保留中")&gt;0,"保留",IF(COUNTIFS(請求記録!$B$6:$B$3005,$A300,請求記録!$X$6:$X$3005,V$5)=0,"",SUMIFS(請求記録!$AC$6:$AC$3005,請求記録!$B$6:$B$3005,$A300,請求記録!$X$6:$X$3005,V$5))))</f>
        <v/>
      </c>
      <c r="W300" s="19">
        <f>IF($A300="","",IF(COUNTIFS(請求記録!$B$6:$B$3005,$A300,請求記録!$X$6:$X$3005,W$5,請求記録!$AD$6:$AD$3005,"保留中")&gt;0,"保留",IF(COUNTIFS(請求記録!$B$6:$B$3005,$A300,請求記録!$X$6:$X$3005,W$5)=0,"",SUMIFS(請求記録!$AC$6:$AC$3005,請求記録!$B$6:$B$3005,$A300,請求記録!$X$6:$X$3005,W$5))))</f>
        <v/>
      </c>
      <c r="X300" s="19">
        <f>IF($A300="","",IF(COUNTIFS(請求記録!$B$6:$B$3005,$A300,請求記録!$X$6:$X$3005,X$5,請求記録!$AD$6:$AD$3005,"保留中")&gt;0,"保留",IF(COUNTIFS(請求記録!$B$6:$B$3005,$A300,請求記録!$X$6:$X$3005,X$5)=0,"",SUMIFS(請求記録!$AC$6:$AC$3005,請求記録!$B$6:$B$3005,$A300,請求記録!$X$6:$X$3005,X$5))))</f>
        <v/>
      </c>
      <c r="Y300" s="19">
        <f>IF($A300="","",IF(COUNTIFS(請求記録!$B$6:$B$3005,$A300,請求記録!$X$6:$X$3005,Y$5,請求記録!$AD$6:$AD$3005,"保留中")&gt;0,"保留",IF(COUNTIFS(請求記録!$B$6:$B$3005,$A300,請求記録!$X$6:$X$3005,Y$5)=0,"",SUMIFS(請求記録!$AC$6:$AC$3005,請求記録!$B$6:$B$3005,$A300,請求記録!$X$6:$X$3005,Y$5))))</f>
        <v/>
      </c>
      <c r="Z300" s="19">
        <f>IF($A300="","",IF(COUNTIFS(請求記録!$B$6:$B$3005,$A300,請求記録!$X$6:$X$3005,Z$5,請求記録!$AD$6:$AD$3005,"保留中")&gt;0,"保留",IF(COUNTIFS(請求記録!$B$6:$B$3005,$A300,請求記録!$X$6:$X$3005,Z$5)=0,"",SUMIFS(請求記録!$AC$6:$AC$3005,請求記録!$B$6:$B$3005,$A300,請求記録!$X$6:$X$3005,Z$5))))</f>
        <v/>
      </c>
      <c r="AA300" s="19">
        <f>IF($A300="","",IF(COUNTIFS(請求記録!$B$6:$B$3005,$A300,請求記録!$X$6:$X$3005,AA$5,請求記録!$AD$6:$AD$3005,"保留中")&gt;0,"保留",IF(COUNTIFS(請求記録!$B$6:$B$3005,$A300,請求記録!$X$6:$X$3005,AA$5)=0,"",SUMIFS(請求記録!$AC$6:$AC$3005,請求記録!$B$6:$B$3005,$A300,請求記録!$X$6:$X$3005,AA$5))))</f>
        <v/>
      </c>
      <c r="AB300">
        <f>IF(職員マスタ!P300="保留中",職員マスタ!M300,"")</f>
        <v/>
      </c>
    </row>
    <row r="301">
      <c r="A301">
        <f>IF(職員マスタ!A301="","",職員マスタ!A301)</f>
        <v/>
      </c>
      <c r="B301">
        <f>IF($A301="","",職員マスタ!B301)</f>
        <v/>
      </c>
      <c r="C301">
        <f>IF($A301="","",職員マスタ!C301)</f>
        <v/>
      </c>
      <c r="D301" s="19">
        <f>IF($A301="","",IF(COUNTIFS(請求記録!$B$6:$B$3005,$A301,請求記録!$X$6:$X$3005,D$5,請求記録!$AD$6:$AD$3005,"保留中")&gt;0,"保留",IF(COUNTIFS(請求記録!$B$6:$B$3005,$A301,請求記録!$X$6:$X$3005,D$5)=0,"",SUMIFS(請求記録!$AC$6:$AC$3005,請求記録!$B$6:$B$3005,$A301,請求記録!$X$6:$X$3005,D$5))))</f>
        <v/>
      </c>
      <c r="E301" s="19">
        <f>IF($A301="","",IF(COUNTIFS(請求記録!$B$6:$B$3005,$A301,請求記録!$X$6:$X$3005,E$5,請求記録!$AD$6:$AD$3005,"保留中")&gt;0,"保留",IF(COUNTIFS(請求記録!$B$6:$B$3005,$A301,請求記録!$X$6:$X$3005,E$5)=0,"",SUMIFS(請求記録!$AC$6:$AC$3005,請求記録!$B$6:$B$3005,$A301,請求記録!$X$6:$X$3005,E$5))))</f>
        <v/>
      </c>
      <c r="F301" s="19">
        <f>IF($A301="","",IF(COUNTIFS(請求記録!$B$6:$B$3005,$A301,請求記録!$X$6:$X$3005,F$5,請求記録!$AD$6:$AD$3005,"保留中")&gt;0,"保留",IF(COUNTIFS(請求記録!$B$6:$B$3005,$A301,請求記録!$X$6:$X$3005,F$5)=0,"",SUMIFS(請求記録!$AC$6:$AC$3005,請求記録!$B$6:$B$3005,$A301,請求記録!$X$6:$X$3005,F$5))))</f>
        <v/>
      </c>
      <c r="G301" s="19">
        <f>IF($A301="","",IF(COUNTIFS(請求記録!$B$6:$B$3005,$A301,請求記録!$X$6:$X$3005,G$5,請求記録!$AD$6:$AD$3005,"保留中")&gt;0,"保留",IF(COUNTIFS(請求記録!$B$6:$B$3005,$A301,請求記録!$X$6:$X$3005,G$5)=0,"",SUMIFS(請求記録!$AC$6:$AC$3005,請求記録!$B$6:$B$3005,$A301,請求記録!$X$6:$X$3005,G$5))))</f>
        <v/>
      </c>
      <c r="H301" s="19">
        <f>IF($A301="","",IF(COUNTIFS(請求記録!$B$6:$B$3005,$A301,請求記録!$X$6:$X$3005,H$5,請求記録!$AD$6:$AD$3005,"保留中")&gt;0,"保留",IF(COUNTIFS(請求記録!$B$6:$B$3005,$A301,請求記録!$X$6:$X$3005,H$5)=0,"",SUMIFS(請求記録!$AC$6:$AC$3005,請求記録!$B$6:$B$3005,$A301,請求記録!$X$6:$X$3005,H$5))))</f>
        <v/>
      </c>
      <c r="I301" s="19">
        <f>IF($A301="","",IF(COUNTIFS(請求記録!$B$6:$B$3005,$A301,請求記録!$X$6:$X$3005,I$5,請求記録!$AD$6:$AD$3005,"保留中")&gt;0,"保留",IF(COUNTIFS(請求記録!$B$6:$B$3005,$A301,請求記録!$X$6:$X$3005,I$5)=0,"",SUMIFS(請求記録!$AC$6:$AC$3005,請求記録!$B$6:$B$3005,$A301,請求記録!$X$6:$X$3005,I$5))))</f>
        <v/>
      </c>
      <c r="J301" s="19">
        <f>IF($A301="","",IF(COUNTIFS(請求記録!$B$6:$B$3005,$A301,請求記録!$X$6:$X$3005,J$5,請求記録!$AD$6:$AD$3005,"保留中")&gt;0,"保留",IF(COUNTIFS(請求記録!$B$6:$B$3005,$A301,請求記録!$X$6:$X$3005,J$5)=0,"",SUMIFS(請求記録!$AC$6:$AC$3005,請求記録!$B$6:$B$3005,$A301,請求記録!$X$6:$X$3005,J$5))))</f>
        <v/>
      </c>
      <c r="K301" s="19">
        <f>IF($A301="","",IF(COUNTIFS(請求記録!$B$6:$B$3005,$A301,請求記録!$X$6:$X$3005,K$5,請求記録!$AD$6:$AD$3005,"保留中")&gt;0,"保留",IF(COUNTIFS(請求記録!$B$6:$B$3005,$A301,請求記録!$X$6:$X$3005,K$5)=0,"",SUMIFS(請求記録!$AC$6:$AC$3005,請求記録!$B$6:$B$3005,$A301,請求記録!$X$6:$X$3005,K$5))))</f>
        <v/>
      </c>
      <c r="L301" s="19">
        <f>IF($A301="","",IF(COUNTIFS(請求記録!$B$6:$B$3005,$A301,請求記録!$X$6:$X$3005,L$5,請求記録!$AD$6:$AD$3005,"保留中")&gt;0,"保留",IF(COUNTIFS(請求記録!$B$6:$B$3005,$A301,請求記録!$X$6:$X$3005,L$5)=0,"",SUMIFS(請求記録!$AC$6:$AC$3005,請求記録!$B$6:$B$3005,$A301,請求記録!$X$6:$X$3005,L$5))))</f>
        <v/>
      </c>
      <c r="M301" s="19">
        <f>IF($A301="","",IF(COUNTIFS(請求記録!$B$6:$B$3005,$A301,請求記録!$X$6:$X$3005,M$5,請求記録!$AD$6:$AD$3005,"保留中")&gt;0,"保留",IF(COUNTIFS(請求記録!$B$6:$B$3005,$A301,請求記録!$X$6:$X$3005,M$5)=0,"",SUMIFS(請求記録!$AC$6:$AC$3005,請求記録!$B$6:$B$3005,$A301,請求記録!$X$6:$X$3005,M$5))))</f>
        <v/>
      </c>
      <c r="N301" s="19">
        <f>IF($A301="","",IF(COUNTIFS(請求記録!$B$6:$B$3005,$A301,請求記録!$X$6:$X$3005,N$5,請求記録!$AD$6:$AD$3005,"保留中")&gt;0,"保留",IF(COUNTIFS(請求記録!$B$6:$B$3005,$A301,請求記録!$X$6:$X$3005,N$5)=0,"",SUMIFS(請求記録!$AC$6:$AC$3005,請求記録!$B$6:$B$3005,$A301,請求記録!$X$6:$X$3005,N$5))))</f>
        <v/>
      </c>
      <c r="O301" s="19">
        <f>IF($A301="","",IF(COUNTIFS(請求記録!$B$6:$B$3005,$A301,請求記録!$X$6:$X$3005,O$5,請求記録!$AD$6:$AD$3005,"保留中")&gt;0,"保留",IF(COUNTIFS(請求記録!$B$6:$B$3005,$A301,請求記録!$X$6:$X$3005,O$5)=0,"",SUMIFS(請求記録!$AC$6:$AC$3005,請求記録!$B$6:$B$3005,$A301,請求記録!$X$6:$X$3005,O$5))))</f>
        <v/>
      </c>
      <c r="P301" s="19">
        <f>IF($A301="","",IF(COUNTIFS(請求記録!$B$6:$B$3005,$A301,請求記録!$X$6:$X$3005,P$5,請求記録!$AD$6:$AD$3005,"保留中")&gt;0,"保留",IF(COUNTIFS(請求記録!$B$6:$B$3005,$A301,請求記録!$X$6:$X$3005,P$5)=0,"",SUMIFS(請求記録!$AC$6:$AC$3005,請求記録!$B$6:$B$3005,$A301,請求記録!$X$6:$X$3005,P$5))))</f>
        <v/>
      </c>
      <c r="Q301" s="19">
        <f>IF($A301="","",IF(COUNTIFS(請求記録!$B$6:$B$3005,$A301,請求記録!$X$6:$X$3005,Q$5,請求記録!$AD$6:$AD$3005,"保留中")&gt;0,"保留",IF(COUNTIFS(請求記録!$B$6:$B$3005,$A301,請求記録!$X$6:$X$3005,Q$5)=0,"",SUMIFS(請求記録!$AC$6:$AC$3005,請求記録!$B$6:$B$3005,$A301,請求記録!$X$6:$X$3005,Q$5))))</f>
        <v/>
      </c>
      <c r="R301" s="19">
        <f>IF($A301="","",IF(COUNTIFS(請求記録!$B$6:$B$3005,$A301,請求記録!$X$6:$X$3005,R$5,請求記録!$AD$6:$AD$3005,"保留中")&gt;0,"保留",IF(COUNTIFS(請求記録!$B$6:$B$3005,$A301,請求記録!$X$6:$X$3005,R$5)=0,"",SUMIFS(請求記録!$AC$6:$AC$3005,請求記録!$B$6:$B$3005,$A301,請求記録!$X$6:$X$3005,R$5))))</f>
        <v/>
      </c>
      <c r="S301" s="19">
        <f>IF($A301="","",IF(COUNTIFS(請求記録!$B$6:$B$3005,$A301,請求記録!$X$6:$X$3005,S$5,請求記録!$AD$6:$AD$3005,"保留中")&gt;0,"保留",IF(COUNTIFS(請求記録!$B$6:$B$3005,$A301,請求記録!$X$6:$X$3005,S$5)=0,"",SUMIFS(請求記録!$AC$6:$AC$3005,請求記録!$B$6:$B$3005,$A301,請求記録!$X$6:$X$3005,S$5))))</f>
        <v/>
      </c>
      <c r="T301" s="19">
        <f>IF($A301="","",IF(COUNTIFS(請求記録!$B$6:$B$3005,$A301,請求記録!$X$6:$X$3005,T$5,請求記録!$AD$6:$AD$3005,"保留中")&gt;0,"保留",IF(COUNTIFS(請求記録!$B$6:$B$3005,$A301,請求記録!$X$6:$X$3005,T$5)=0,"",SUMIFS(請求記録!$AC$6:$AC$3005,請求記録!$B$6:$B$3005,$A301,請求記録!$X$6:$X$3005,T$5))))</f>
        <v/>
      </c>
      <c r="U301" s="19">
        <f>IF($A301="","",IF(COUNTIFS(請求記録!$B$6:$B$3005,$A301,請求記録!$X$6:$X$3005,U$5,請求記録!$AD$6:$AD$3005,"保留中")&gt;0,"保留",IF(COUNTIFS(請求記録!$B$6:$B$3005,$A301,請求記録!$X$6:$X$3005,U$5)=0,"",SUMIFS(請求記録!$AC$6:$AC$3005,請求記録!$B$6:$B$3005,$A301,請求記録!$X$6:$X$3005,U$5))))</f>
        <v/>
      </c>
      <c r="V301" s="19">
        <f>IF($A301="","",IF(COUNTIFS(請求記録!$B$6:$B$3005,$A301,請求記録!$X$6:$X$3005,V$5,請求記録!$AD$6:$AD$3005,"保留中")&gt;0,"保留",IF(COUNTIFS(請求記録!$B$6:$B$3005,$A301,請求記録!$X$6:$X$3005,V$5)=0,"",SUMIFS(請求記録!$AC$6:$AC$3005,請求記録!$B$6:$B$3005,$A301,請求記録!$X$6:$X$3005,V$5))))</f>
        <v/>
      </c>
      <c r="W301" s="19">
        <f>IF($A301="","",IF(COUNTIFS(請求記録!$B$6:$B$3005,$A301,請求記録!$X$6:$X$3005,W$5,請求記録!$AD$6:$AD$3005,"保留中")&gt;0,"保留",IF(COUNTIFS(請求記録!$B$6:$B$3005,$A301,請求記録!$X$6:$X$3005,W$5)=0,"",SUMIFS(請求記録!$AC$6:$AC$3005,請求記録!$B$6:$B$3005,$A301,請求記録!$X$6:$X$3005,W$5))))</f>
        <v/>
      </c>
      <c r="X301" s="19">
        <f>IF($A301="","",IF(COUNTIFS(請求記録!$B$6:$B$3005,$A301,請求記録!$X$6:$X$3005,X$5,請求記録!$AD$6:$AD$3005,"保留中")&gt;0,"保留",IF(COUNTIFS(請求記録!$B$6:$B$3005,$A301,請求記録!$X$6:$X$3005,X$5)=0,"",SUMIFS(請求記録!$AC$6:$AC$3005,請求記録!$B$6:$B$3005,$A301,請求記録!$X$6:$X$3005,X$5))))</f>
        <v/>
      </c>
      <c r="Y301" s="19">
        <f>IF($A301="","",IF(COUNTIFS(請求記録!$B$6:$B$3005,$A301,請求記録!$X$6:$X$3005,Y$5,請求記録!$AD$6:$AD$3005,"保留中")&gt;0,"保留",IF(COUNTIFS(請求記録!$B$6:$B$3005,$A301,請求記録!$X$6:$X$3005,Y$5)=0,"",SUMIFS(請求記録!$AC$6:$AC$3005,請求記録!$B$6:$B$3005,$A301,請求記録!$X$6:$X$3005,Y$5))))</f>
        <v/>
      </c>
      <c r="Z301" s="19">
        <f>IF($A301="","",IF(COUNTIFS(請求記録!$B$6:$B$3005,$A301,請求記録!$X$6:$X$3005,Z$5,請求記録!$AD$6:$AD$3005,"保留中")&gt;0,"保留",IF(COUNTIFS(請求記録!$B$6:$B$3005,$A301,請求記録!$X$6:$X$3005,Z$5)=0,"",SUMIFS(請求記録!$AC$6:$AC$3005,請求記録!$B$6:$B$3005,$A301,請求記録!$X$6:$X$3005,Z$5))))</f>
        <v/>
      </c>
      <c r="AA301" s="19">
        <f>IF($A301="","",IF(COUNTIFS(請求記録!$B$6:$B$3005,$A301,請求記録!$X$6:$X$3005,AA$5,請求記録!$AD$6:$AD$3005,"保留中")&gt;0,"保留",IF(COUNTIFS(請求記録!$B$6:$B$3005,$A301,請求記録!$X$6:$X$3005,AA$5)=0,"",SUMIFS(請求記録!$AC$6:$AC$3005,請求記録!$B$6:$B$3005,$A301,請求記録!$X$6:$X$3005,AA$5))))</f>
        <v/>
      </c>
      <c r="AB301">
        <f>IF(職員マスタ!P301="保留中",職員マスタ!M301,"")</f>
        <v/>
      </c>
    </row>
    <row r="302">
      <c r="A302">
        <f>IF(職員マスタ!A302="","",職員マスタ!A302)</f>
        <v/>
      </c>
      <c r="B302">
        <f>IF($A302="","",職員マスタ!B302)</f>
        <v/>
      </c>
      <c r="C302">
        <f>IF($A302="","",職員マスタ!C302)</f>
        <v/>
      </c>
      <c r="D302" s="19">
        <f>IF($A302="","",IF(COUNTIFS(請求記録!$B$6:$B$3005,$A302,請求記録!$X$6:$X$3005,D$5,請求記録!$AD$6:$AD$3005,"保留中")&gt;0,"保留",IF(COUNTIFS(請求記録!$B$6:$B$3005,$A302,請求記録!$X$6:$X$3005,D$5)=0,"",SUMIFS(請求記録!$AC$6:$AC$3005,請求記録!$B$6:$B$3005,$A302,請求記録!$X$6:$X$3005,D$5))))</f>
        <v/>
      </c>
      <c r="E302" s="19">
        <f>IF($A302="","",IF(COUNTIFS(請求記録!$B$6:$B$3005,$A302,請求記録!$X$6:$X$3005,E$5,請求記録!$AD$6:$AD$3005,"保留中")&gt;0,"保留",IF(COUNTIFS(請求記録!$B$6:$B$3005,$A302,請求記録!$X$6:$X$3005,E$5)=0,"",SUMIFS(請求記録!$AC$6:$AC$3005,請求記録!$B$6:$B$3005,$A302,請求記録!$X$6:$X$3005,E$5))))</f>
        <v/>
      </c>
      <c r="F302" s="19">
        <f>IF($A302="","",IF(COUNTIFS(請求記録!$B$6:$B$3005,$A302,請求記録!$X$6:$X$3005,F$5,請求記録!$AD$6:$AD$3005,"保留中")&gt;0,"保留",IF(COUNTIFS(請求記録!$B$6:$B$3005,$A302,請求記録!$X$6:$X$3005,F$5)=0,"",SUMIFS(請求記録!$AC$6:$AC$3005,請求記録!$B$6:$B$3005,$A302,請求記録!$X$6:$X$3005,F$5))))</f>
        <v/>
      </c>
      <c r="G302" s="19">
        <f>IF($A302="","",IF(COUNTIFS(請求記録!$B$6:$B$3005,$A302,請求記録!$X$6:$X$3005,G$5,請求記録!$AD$6:$AD$3005,"保留中")&gt;0,"保留",IF(COUNTIFS(請求記録!$B$6:$B$3005,$A302,請求記録!$X$6:$X$3005,G$5)=0,"",SUMIFS(請求記録!$AC$6:$AC$3005,請求記録!$B$6:$B$3005,$A302,請求記録!$X$6:$X$3005,G$5))))</f>
        <v/>
      </c>
      <c r="H302" s="19">
        <f>IF($A302="","",IF(COUNTIFS(請求記録!$B$6:$B$3005,$A302,請求記録!$X$6:$X$3005,H$5,請求記録!$AD$6:$AD$3005,"保留中")&gt;0,"保留",IF(COUNTIFS(請求記録!$B$6:$B$3005,$A302,請求記録!$X$6:$X$3005,H$5)=0,"",SUMIFS(請求記録!$AC$6:$AC$3005,請求記録!$B$6:$B$3005,$A302,請求記録!$X$6:$X$3005,H$5))))</f>
        <v/>
      </c>
      <c r="I302" s="19">
        <f>IF($A302="","",IF(COUNTIFS(請求記録!$B$6:$B$3005,$A302,請求記録!$X$6:$X$3005,I$5,請求記録!$AD$6:$AD$3005,"保留中")&gt;0,"保留",IF(COUNTIFS(請求記録!$B$6:$B$3005,$A302,請求記録!$X$6:$X$3005,I$5)=0,"",SUMIFS(請求記録!$AC$6:$AC$3005,請求記録!$B$6:$B$3005,$A302,請求記録!$X$6:$X$3005,I$5))))</f>
        <v/>
      </c>
      <c r="J302" s="19">
        <f>IF($A302="","",IF(COUNTIFS(請求記録!$B$6:$B$3005,$A302,請求記録!$X$6:$X$3005,J$5,請求記録!$AD$6:$AD$3005,"保留中")&gt;0,"保留",IF(COUNTIFS(請求記録!$B$6:$B$3005,$A302,請求記録!$X$6:$X$3005,J$5)=0,"",SUMIFS(請求記録!$AC$6:$AC$3005,請求記録!$B$6:$B$3005,$A302,請求記録!$X$6:$X$3005,J$5))))</f>
        <v/>
      </c>
      <c r="K302" s="19">
        <f>IF($A302="","",IF(COUNTIFS(請求記録!$B$6:$B$3005,$A302,請求記録!$X$6:$X$3005,K$5,請求記録!$AD$6:$AD$3005,"保留中")&gt;0,"保留",IF(COUNTIFS(請求記録!$B$6:$B$3005,$A302,請求記録!$X$6:$X$3005,K$5)=0,"",SUMIFS(請求記録!$AC$6:$AC$3005,請求記録!$B$6:$B$3005,$A302,請求記録!$X$6:$X$3005,K$5))))</f>
        <v/>
      </c>
      <c r="L302" s="19">
        <f>IF($A302="","",IF(COUNTIFS(請求記録!$B$6:$B$3005,$A302,請求記録!$X$6:$X$3005,L$5,請求記録!$AD$6:$AD$3005,"保留中")&gt;0,"保留",IF(COUNTIFS(請求記録!$B$6:$B$3005,$A302,請求記録!$X$6:$X$3005,L$5)=0,"",SUMIFS(請求記録!$AC$6:$AC$3005,請求記録!$B$6:$B$3005,$A302,請求記録!$X$6:$X$3005,L$5))))</f>
        <v/>
      </c>
      <c r="M302" s="19">
        <f>IF($A302="","",IF(COUNTIFS(請求記録!$B$6:$B$3005,$A302,請求記録!$X$6:$X$3005,M$5,請求記録!$AD$6:$AD$3005,"保留中")&gt;0,"保留",IF(COUNTIFS(請求記録!$B$6:$B$3005,$A302,請求記録!$X$6:$X$3005,M$5)=0,"",SUMIFS(請求記録!$AC$6:$AC$3005,請求記録!$B$6:$B$3005,$A302,請求記録!$X$6:$X$3005,M$5))))</f>
        <v/>
      </c>
      <c r="N302" s="19">
        <f>IF($A302="","",IF(COUNTIFS(請求記録!$B$6:$B$3005,$A302,請求記録!$X$6:$X$3005,N$5,請求記録!$AD$6:$AD$3005,"保留中")&gt;0,"保留",IF(COUNTIFS(請求記録!$B$6:$B$3005,$A302,請求記録!$X$6:$X$3005,N$5)=0,"",SUMIFS(請求記録!$AC$6:$AC$3005,請求記録!$B$6:$B$3005,$A302,請求記録!$X$6:$X$3005,N$5))))</f>
        <v/>
      </c>
      <c r="O302" s="19">
        <f>IF($A302="","",IF(COUNTIFS(請求記録!$B$6:$B$3005,$A302,請求記録!$X$6:$X$3005,O$5,請求記録!$AD$6:$AD$3005,"保留中")&gt;0,"保留",IF(COUNTIFS(請求記録!$B$6:$B$3005,$A302,請求記録!$X$6:$X$3005,O$5)=0,"",SUMIFS(請求記録!$AC$6:$AC$3005,請求記録!$B$6:$B$3005,$A302,請求記録!$X$6:$X$3005,O$5))))</f>
        <v/>
      </c>
      <c r="P302" s="19">
        <f>IF($A302="","",IF(COUNTIFS(請求記録!$B$6:$B$3005,$A302,請求記録!$X$6:$X$3005,P$5,請求記録!$AD$6:$AD$3005,"保留中")&gt;0,"保留",IF(COUNTIFS(請求記録!$B$6:$B$3005,$A302,請求記録!$X$6:$X$3005,P$5)=0,"",SUMIFS(請求記録!$AC$6:$AC$3005,請求記録!$B$6:$B$3005,$A302,請求記録!$X$6:$X$3005,P$5))))</f>
        <v/>
      </c>
      <c r="Q302" s="19">
        <f>IF($A302="","",IF(COUNTIFS(請求記録!$B$6:$B$3005,$A302,請求記録!$X$6:$X$3005,Q$5,請求記録!$AD$6:$AD$3005,"保留中")&gt;0,"保留",IF(COUNTIFS(請求記録!$B$6:$B$3005,$A302,請求記録!$X$6:$X$3005,Q$5)=0,"",SUMIFS(請求記録!$AC$6:$AC$3005,請求記録!$B$6:$B$3005,$A302,請求記録!$X$6:$X$3005,Q$5))))</f>
        <v/>
      </c>
      <c r="R302" s="19">
        <f>IF($A302="","",IF(COUNTIFS(請求記録!$B$6:$B$3005,$A302,請求記録!$X$6:$X$3005,R$5,請求記録!$AD$6:$AD$3005,"保留中")&gt;0,"保留",IF(COUNTIFS(請求記録!$B$6:$B$3005,$A302,請求記録!$X$6:$X$3005,R$5)=0,"",SUMIFS(請求記録!$AC$6:$AC$3005,請求記録!$B$6:$B$3005,$A302,請求記録!$X$6:$X$3005,R$5))))</f>
        <v/>
      </c>
      <c r="S302" s="19">
        <f>IF($A302="","",IF(COUNTIFS(請求記録!$B$6:$B$3005,$A302,請求記録!$X$6:$X$3005,S$5,請求記録!$AD$6:$AD$3005,"保留中")&gt;0,"保留",IF(COUNTIFS(請求記録!$B$6:$B$3005,$A302,請求記録!$X$6:$X$3005,S$5)=0,"",SUMIFS(請求記録!$AC$6:$AC$3005,請求記録!$B$6:$B$3005,$A302,請求記録!$X$6:$X$3005,S$5))))</f>
        <v/>
      </c>
      <c r="T302" s="19">
        <f>IF($A302="","",IF(COUNTIFS(請求記録!$B$6:$B$3005,$A302,請求記録!$X$6:$X$3005,T$5,請求記録!$AD$6:$AD$3005,"保留中")&gt;0,"保留",IF(COUNTIFS(請求記録!$B$6:$B$3005,$A302,請求記録!$X$6:$X$3005,T$5)=0,"",SUMIFS(請求記録!$AC$6:$AC$3005,請求記録!$B$6:$B$3005,$A302,請求記録!$X$6:$X$3005,T$5))))</f>
        <v/>
      </c>
      <c r="U302" s="19">
        <f>IF($A302="","",IF(COUNTIFS(請求記録!$B$6:$B$3005,$A302,請求記録!$X$6:$X$3005,U$5,請求記録!$AD$6:$AD$3005,"保留中")&gt;0,"保留",IF(COUNTIFS(請求記録!$B$6:$B$3005,$A302,請求記録!$X$6:$X$3005,U$5)=0,"",SUMIFS(請求記録!$AC$6:$AC$3005,請求記録!$B$6:$B$3005,$A302,請求記録!$X$6:$X$3005,U$5))))</f>
        <v/>
      </c>
      <c r="V302" s="19">
        <f>IF($A302="","",IF(COUNTIFS(請求記録!$B$6:$B$3005,$A302,請求記録!$X$6:$X$3005,V$5,請求記録!$AD$6:$AD$3005,"保留中")&gt;0,"保留",IF(COUNTIFS(請求記録!$B$6:$B$3005,$A302,請求記録!$X$6:$X$3005,V$5)=0,"",SUMIFS(請求記録!$AC$6:$AC$3005,請求記録!$B$6:$B$3005,$A302,請求記録!$X$6:$X$3005,V$5))))</f>
        <v/>
      </c>
      <c r="W302" s="19">
        <f>IF($A302="","",IF(COUNTIFS(請求記録!$B$6:$B$3005,$A302,請求記録!$X$6:$X$3005,W$5,請求記録!$AD$6:$AD$3005,"保留中")&gt;0,"保留",IF(COUNTIFS(請求記録!$B$6:$B$3005,$A302,請求記録!$X$6:$X$3005,W$5)=0,"",SUMIFS(請求記録!$AC$6:$AC$3005,請求記録!$B$6:$B$3005,$A302,請求記録!$X$6:$X$3005,W$5))))</f>
        <v/>
      </c>
      <c r="X302" s="19">
        <f>IF($A302="","",IF(COUNTIFS(請求記録!$B$6:$B$3005,$A302,請求記録!$X$6:$X$3005,X$5,請求記録!$AD$6:$AD$3005,"保留中")&gt;0,"保留",IF(COUNTIFS(請求記録!$B$6:$B$3005,$A302,請求記録!$X$6:$X$3005,X$5)=0,"",SUMIFS(請求記録!$AC$6:$AC$3005,請求記録!$B$6:$B$3005,$A302,請求記録!$X$6:$X$3005,X$5))))</f>
        <v/>
      </c>
      <c r="Y302" s="19">
        <f>IF($A302="","",IF(COUNTIFS(請求記録!$B$6:$B$3005,$A302,請求記録!$X$6:$X$3005,Y$5,請求記録!$AD$6:$AD$3005,"保留中")&gt;0,"保留",IF(COUNTIFS(請求記録!$B$6:$B$3005,$A302,請求記録!$X$6:$X$3005,Y$5)=0,"",SUMIFS(請求記録!$AC$6:$AC$3005,請求記録!$B$6:$B$3005,$A302,請求記録!$X$6:$X$3005,Y$5))))</f>
        <v/>
      </c>
      <c r="Z302" s="19">
        <f>IF($A302="","",IF(COUNTIFS(請求記録!$B$6:$B$3005,$A302,請求記録!$X$6:$X$3005,Z$5,請求記録!$AD$6:$AD$3005,"保留中")&gt;0,"保留",IF(COUNTIFS(請求記録!$B$6:$B$3005,$A302,請求記録!$X$6:$X$3005,Z$5)=0,"",SUMIFS(請求記録!$AC$6:$AC$3005,請求記録!$B$6:$B$3005,$A302,請求記録!$X$6:$X$3005,Z$5))))</f>
        <v/>
      </c>
      <c r="AA302" s="19">
        <f>IF($A302="","",IF(COUNTIFS(請求記録!$B$6:$B$3005,$A302,請求記録!$X$6:$X$3005,AA$5,請求記録!$AD$6:$AD$3005,"保留中")&gt;0,"保留",IF(COUNTIFS(請求記録!$B$6:$B$3005,$A302,請求記録!$X$6:$X$3005,AA$5)=0,"",SUMIFS(請求記録!$AC$6:$AC$3005,請求記録!$B$6:$B$3005,$A302,請求記録!$X$6:$X$3005,AA$5))))</f>
        <v/>
      </c>
      <c r="AB302">
        <f>IF(職員マスタ!P302="保留中",職員マスタ!M302,"")</f>
        <v/>
      </c>
    </row>
    <row r="303">
      <c r="A303">
        <f>IF(職員マスタ!A303="","",職員マスタ!A303)</f>
        <v/>
      </c>
      <c r="B303">
        <f>IF($A303="","",職員マスタ!B303)</f>
        <v/>
      </c>
      <c r="C303">
        <f>IF($A303="","",職員マスタ!C303)</f>
        <v/>
      </c>
      <c r="D303" s="19">
        <f>IF($A303="","",IF(COUNTIFS(請求記録!$B$6:$B$3005,$A303,請求記録!$X$6:$X$3005,D$5,請求記録!$AD$6:$AD$3005,"保留中")&gt;0,"保留",IF(COUNTIFS(請求記録!$B$6:$B$3005,$A303,請求記録!$X$6:$X$3005,D$5)=0,"",SUMIFS(請求記録!$AC$6:$AC$3005,請求記録!$B$6:$B$3005,$A303,請求記録!$X$6:$X$3005,D$5))))</f>
        <v/>
      </c>
      <c r="E303" s="19">
        <f>IF($A303="","",IF(COUNTIFS(請求記録!$B$6:$B$3005,$A303,請求記録!$X$6:$X$3005,E$5,請求記録!$AD$6:$AD$3005,"保留中")&gt;0,"保留",IF(COUNTIFS(請求記録!$B$6:$B$3005,$A303,請求記録!$X$6:$X$3005,E$5)=0,"",SUMIFS(請求記録!$AC$6:$AC$3005,請求記録!$B$6:$B$3005,$A303,請求記録!$X$6:$X$3005,E$5))))</f>
        <v/>
      </c>
      <c r="F303" s="19">
        <f>IF($A303="","",IF(COUNTIFS(請求記録!$B$6:$B$3005,$A303,請求記録!$X$6:$X$3005,F$5,請求記録!$AD$6:$AD$3005,"保留中")&gt;0,"保留",IF(COUNTIFS(請求記録!$B$6:$B$3005,$A303,請求記録!$X$6:$X$3005,F$5)=0,"",SUMIFS(請求記録!$AC$6:$AC$3005,請求記録!$B$6:$B$3005,$A303,請求記録!$X$6:$X$3005,F$5))))</f>
        <v/>
      </c>
      <c r="G303" s="19">
        <f>IF($A303="","",IF(COUNTIFS(請求記録!$B$6:$B$3005,$A303,請求記録!$X$6:$X$3005,G$5,請求記録!$AD$6:$AD$3005,"保留中")&gt;0,"保留",IF(COUNTIFS(請求記録!$B$6:$B$3005,$A303,請求記録!$X$6:$X$3005,G$5)=0,"",SUMIFS(請求記録!$AC$6:$AC$3005,請求記録!$B$6:$B$3005,$A303,請求記録!$X$6:$X$3005,G$5))))</f>
        <v/>
      </c>
      <c r="H303" s="19">
        <f>IF($A303="","",IF(COUNTIFS(請求記録!$B$6:$B$3005,$A303,請求記録!$X$6:$X$3005,H$5,請求記録!$AD$6:$AD$3005,"保留中")&gt;0,"保留",IF(COUNTIFS(請求記録!$B$6:$B$3005,$A303,請求記録!$X$6:$X$3005,H$5)=0,"",SUMIFS(請求記録!$AC$6:$AC$3005,請求記録!$B$6:$B$3005,$A303,請求記録!$X$6:$X$3005,H$5))))</f>
        <v/>
      </c>
      <c r="I303" s="19">
        <f>IF($A303="","",IF(COUNTIFS(請求記録!$B$6:$B$3005,$A303,請求記録!$X$6:$X$3005,I$5,請求記録!$AD$6:$AD$3005,"保留中")&gt;0,"保留",IF(COUNTIFS(請求記録!$B$6:$B$3005,$A303,請求記録!$X$6:$X$3005,I$5)=0,"",SUMIFS(請求記録!$AC$6:$AC$3005,請求記録!$B$6:$B$3005,$A303,請求記録!$X$6:$X$3005,I$5))))</f>
        <v/>
      </c>
      <c r="J303" s="19">
        <f>IF($A303="","",IF(COUNTIFS(請求記録!$B$6:$B$3005,$A303,請求記録!$X$6:$X$3005,J$5,請求記録!$AD$6:$AD$3005,"保留中")&gt;0,"保留",IF(COUNTIFS(請求記録!$B$6:$B$3005,$A303,請求記録!$X$6:$X$3005,J$5)=0,"",SUMIFS(請求記録!$AC$6:$AC$3005,請求記録!$B$6:$B$3005,$A303,請求記録!$X$6:$X$3005,J$5))))</f>
        <v/>
      </c>
      <c r="K303" s="19">
        <f>IF($A303="","",IF(COUNTIFS(請求記録!$B$6:$B$3005,$A303,請求記録!$X$6:$X$3005,K$5,請求記録!$AD$6:$AD$3005,"保留中")&gt;0,"保留",IF(COUNTIFS(請求記録!$B$6:$B$3005,$A303,請求記録!$X$6:$X$3005,K$5)=0,"",SUMIFS(請求記録!$AC$6:$AC$3005,請求記録!$B$6:$B$3005,$A303,請求記録!$X$6:$X$3005,K$5))))</f>
        <v/>
      </c>
      <c r="L303" s="19">
        <f>IF($A303="","",IF(COUNTIFS(請求記録!$B$6:$B$3005,$A303,請求記録!$X$6:$X$3005,L$5,請求記録!$AD$6:$AD$3005,"保留中")&gt;0,"保留",IF(COUNTIFS(請求記録!$B$6:$B$3005,$A303,請求記録!$X$6:$X$3005,L$5)=0,"",SUMIFS(請求記録!$AC$6:$AC$3005,請求記録!$B$6:$B$3005,$A303,請求記録!$X$6:$X$3005,L$5))))</f>
        <v/>
      </c>
      <c r="M303" s="19">
        <f>IF($A303="","",IF(COUNTIFS(請求記録!$B$6:$B$3005,$A303,請求記録!$X$6:$X$3005,M$5,請求記録!$AD$6:$AD$3005,"保留中")&gt;0,"保留",IF(COUNTIFS(請求記録!$B$6:$B$3005,$A303,請求記録!$X$6:$X$3005,M$5)=0,"",SUMIFS(請求記録!$AC$6:$AC$3005,請求記録!$B$6:$B$3005,$A303,請求記録!$X$6:$X$3005,M$5))))</f>
        <v/>
      </c>
      <c r="N303" s="19">
        <f>IF($A303="","",IF(COUNTIFS(請求記録!$B$6:$B$3005,$A303,請求記録!$X$6:$X$3005,N$5,請求記録!$AD$6:$AD$3005,"保留中")&gt;0,"保留",IF(COUNTIFS(請求記録!$B$6:$B$3005,$A303,請求記録!$X$6:$X$3005,N$5)=0,"",SUMIFS(請求記録!$AC$6:$AC$3005,請求記録!$B$6:$B$3005,$A303,請求記録!$X$6:$X$3005,N$5))))</f>
        <v/>
      </c>
      <c r="O303" s="19">
        <f>IF($A303="","",IF(COUNTIFS(請求記録!$B$6:$B$3005,$A303,請求記録!$X$6:$X$3005,O$5,請求記録!$AD$6:$AD$3005,"保留中")&gt;0,"保留",IF(COUNTIFS(請求記録!$B$6:$B$3005,$A303,請求記録!$X$6:$X$3005,O$5)=0,"",SUMIFS(請求記録!$AC$6:$AC$3005,請求記録!$B$6:$B$3005,$A303,請求記録!$X$6:$X$3005,O$5))))</f>
        <v/>
      </c>
      <c r="P303" s="19">
        <f>IF($A303="","",IF(COUNTIFS(請求記録!$B$6:$B$3005,$A303,請求記録!$X$6:$X$3005,P$5,請求記録!$AD$6:$AD$3005,"保留中")&gt;0,"保留",IF(COUNTIFS(請求記録!$B$6:$B$3005,$A303,請求記録!$X$6:$X$3005,P$5)=0,"",SUMIFS(請求記録!$AC$6:$AC$3005,請求記録!$B$6:$B$3005,$A303,請求記録!$X$6:$X$3005,P$5))))</f>
        <v/>
      </c>
      <c r="Q303" s="19">
        <f>IF($A303="","",IF(COUNTIFS(請求記録!$B$6:$B$3005,$A303,請求記録!$X$6:$X$3005,Q$5,請求記録!$AD$6:$AD$3005,"保留中")&gt;0,"保留",IF(COUNTIFS(請求記録!$B$6:$B$3005,$A303,請求記録!$X$6:$X$3005,Q$5)=0,"",SUMIFS(請求記録!$AC$6:$AC$3005,請求記録!$B$6:$B$3005,$A303,請求記録!$X$6:$X$3005,Q$5))))</f>
        <v/>
      </c>
      <c r="R303" s="19">
        <f>IF($A303="","",IF(COUNTIFS(請求記録!$B$6:$B$3005,$A303,請求記録!$X$6:$X$3005,R$5,請求記録!$AD$6:$AD$3005,"保留中")&gt;0,"保留",IF(COUNTIFS(請求記録!$B$6:$B$3005,$A303,請求記録!$X$6:$X$3005,R$5)=0,"",SUMIFS(請求記録!$AC$6:$AC$3005,請求記録!$B$6:$B$3005,$A303,請求記録!$X$6:$X$3005,R$5))))</f>
        <v/>
      </c>
      <c r="S303" s="19">
        <f>IF($A303="","",IF(COUNTIFS(請求記録!$B$6:$B$3005,$A303,請求記録!$X$6:$X$3005,S$5,請求記録!$AD$6:$AD$3005,"保留中")&gt;0,"保留",IF(COUNTIFS(請求記録!$B$6:$B$3005,$A303,請求記録!$X$6:$X$3005,S$5)=0,"",SUMIFS(請求記録!$AC$6:$AC$3005,請求記録!$B$6:$B$3005,$A303,請求記録!$X$6:$X$3005,S$5))))</f>
        <v/>
      </c>
      <c r="T303" s="19">
        <f>IF($A303="","",IF(COUNTIFS(請求記録!$B$6:$B$3005,$A303,請求記録!$X$6:$X$3005,T$5,請求記録!$AD$6:$AD$3005,"保留中")&gt;0,"保留",IF(COUNTIFS(請求記録!$B$6:$B$3005,$A303,請求記録!$X$6:$X$3005,T$5)=0,"",SUMIFS(請求記録!$AC$6:$AC$3005,請求記録!$B$6:$B$3005,$A303,請求記録!$X$6:$X$3005,T$5))))</f>
        <v/>
      </c>
      <c r="U303" s="19">
        <f>IF($A303="","",IF(COUNTIFS(請求記録!$B$6:$B$3005,$A303,請求記録!$X$6:$X$3005,U$5,請求記録!$AD$6:$AD$3005,"保留中")&gt;0,"保留",IF(COUNTIFS(請求記録!$B$6:$B$3005,$A303,請求記録!$X$6:$X$3005,U$5)=0,"",SUMIFS(請求記録!$AC$6:$AC$3005,請求記録!$B$6:$B$3005,$A303,請求記録!$X$6:$X$3005,U$5))))</f>
        <v/>
      </c>
      <c r="V303" s="19">
        <f>IF($A303="","",IF(COUNTIFS(請求記録!$B$6:$B$3005,$A303,請求記録!$X$6:$X$3005,V$5,請求記録!$AD$6:$AD$3005,"保留中")&gt;0,"保留",IF(COUNTIFS(請求記録!$B$6:$B$3005,$A303,請求記録!$X$6:$X$3005,V$5)=0,"",SUMIFS(請求記録!$AC$6:$AC$3005,請求記録!$B$6:$B$3005,$A303,請求記録!$X$6:$X$3005,V$5))))</f>
        <v/>
      </c>
      <c r="W303" s="19">
        <f>IF($A303="","",IF(COUNTIFS(請求記録!$B$6:$B$3005,$A303,請求記録!$X$6:$X$3005,W$5,請求記録!$AD$6:$AD$3005,"保留中")&gt;0,"保留",IF(COUNTIFS(請求記録!$B$6:$B$3005,$A303,請求記録!$X$6:$X$3005,W$5)=0,"",SUMIFS(請求記録!$AC$6:$AC$3005,請求記録!$B$6:$B$3005,$A303,請求記録!$X$6:$X$3005,W$5))))</f>
        <v/>
      </c>
      <c r="X303" s="19">
        <f>IF($A303="","",IF(COUNTIFS(請求記録!$B$6:$B$3005,$A303,請求記録!$X$6:$X$3005,X$5,請求記録!$AD$6:$AD$3005,"保留中")&gt;0,"保留",IF(COUNTIFS(請求記録!$B$6:$B$3005,$A303,請求記録!$X$6:$X$3005,X$5)=0,"",SUMIFS(請求記録!$AC$6:$AC$3005,請求記録!$B$6:$B$3005,$A303,請求記録!$X$6:$X$3005,X$5))))</f>
        <v/>
      </c>
      <c r="Y303" s="19">
        <f>IF($A303="","",IF(COUNTIFS(請求記録!$B$6:$B$3005,$A303,請求記録!$X$6:$X$3005,Y$5,請求記録!$AD$6:$AD$3005,"保留中")&gt;0,"保留",IF(COUNTIFS(請求記録!$B$6:$B$3005,$A303,請求記録!$X$6:$X$3005,Y$5)=0,"",SUMIFS(請求記録!$AC$6:$AC$3005,請求記録!$B$6:$B$3005,$A303,請求記録!$X$6:$X$3005,Y$5))))</f>
        <v/>
      </c>
      <c r="Z303" s="19">
        <f>IF($A303="","",IF(COUNTIFS(請求記録!$B$6:$B$3005,$A303,請求記録!$X$6:$X$3005,Z$5,請求記録!$AD$6:$AD$3005,"保留中")&gt;0,"保留",IF(COUNTIFS(請求記録!$B$6:$B$3005,$A303,請求記録!$X$6:$X$3005,Z$5)=0,"",SUMIFS(請求記録!$AC$6:$AC$3005,請求記録!$B$6:$B$3005,$A303,請求記録!$X$6:$X$3005,Z$5))))</f>
        <v/>
      </c>
      <c r="AA303" s="19">
        <f>IF($A303="","",IF(COUNTIFS(請求記録!$B$6:$B$3005,$A303,請求記録!$X$6:$X$3005,AA$5,請求記録!$AD$6:$AD$3005,"保留中")&gt;0,"保留",IF(COUNTIFS(請求記録!$B$6:$B$3005,$A303,請求記録!$X$6:$X$3005,AA$5)=0,"",SUMIFS(請求記録!$AC$6:$AC$3005,請求記録!$B$6:$B$3005,$A303,請求記録!$X$6:$X$3005,AA$5))))</f>
        <v/>
      </c>
      <c r="AB303">
        <f>IF(職員マスタ!P303="保留中",職員マスタ!M303,"")</f>
        <v/>
      </c>
    </row>
    <row r="304">
      <c r="A304">
        <f>IF(職員マスタ!A304="","",職員マスタ!A304)</f>
        <v/>
      </c>
      <c r="B304">
        <f>IF($A304="","",職員マスタ!B304)</f>
        <v/>
      </c>
      <c r="C304">
        <f>IF($A304="","",職員マスタ!C304)</f>
        <v/>
      </c>
      <c r="D304" s="19">
        <f>IF($A304="","",IF(COUNTIFS(請求記録!$B$6:$B$3005,$A304,請求記録!$X$6:$X$3005,D$5,請求記録!$AD$6:$AD$3005,"保留中")&gt;0,"保留",IF(COUNTIFS(請求記録!$B$6:$B$3005,$A304,請求記録!$X$6:$X$3005,D$5)=0,"",SUMIFS(請求記録!$AC$6:$AC$3005,請求記録!$B$6:$B$3005,$A304,請求記録!$X$6:$X$3005,D$5))))</f>
        <v/>
      </c>
      <c r="E304" s="19">
        <f>IF($A304="","",IF(COUNTIFS(請求記録!$B$6:$B$3005,$A304,請求記録!$X$6:$X$3005,E$5,請求記録!$AD$6:$AD$3005,"保留中")&gt;0,"保留",IF(COUNTIFS(請求記録!$B$6:$B$3005,$A304,請求記録!$X$6:$X$3005,E$5)=0,"",SUMIFS(請求記録!$AC$6:$AC$3005,請求記録!$B$6:$B$3005,$A304,請求記録!$X$6:$X$3005,E$5))))</f>
        <v/>
      </c>
      <c r="F304" s="19">
        <f>IF($A304="","",IF(COUNTIFS(請求記録!$B$6:$B$3005,$A304,請求記録!$X$6:$X$3005,F$5,請求記録!$AD$6:$AD$3005,"保留中")&gt;0,"保留",IF(COUNTIFS(請求記録!$B$6:$B$3005,$A304,請求記録!$X$6:$X$3005,F$5)=0,"",SUMIFS(請求記録!$AC$6:$AC$3005,請求記録!$B$6:$B$3005,$A304,請求記録!$X$6:$X$3005,F$5))))</f>
        <v/>
      </c>
      <c r="G304" s="19">
        <f>IF($A304="","",IF(COUNTIFS(請求記録!$B$6:$B$3005,$A304,請求記録!$X$6:$X$3005,G$5,請求記録!$AD$6:$AD$3005,"保留中")&gt;0,"保留",IF(COUNTIFS(請求記録!$B$6:$B$3005,$A304,請求記録!$X$6:$X$3005,G$5)=0,"",SUMIFS(請求記録!$AC$6:$AC$3005,請求記録!$B$6:$B$3005,$A304,請求記録!$X$6:$X$3005,G$5))))</f>
        <v/>
      </c>
      <c r="H304" s="19">
        <f>IF($A304="","",IF(COUNTIFS(請求記録!$B$6:$B$3005,$A304,請求記録!$X$6:$X$3005,H$5,請求記録!$AD$6:$AD$3005,"保留中")&gt;0,"保留",IF(COUNTIFS(請求記録!$B$6:$B$3005,$A304,請求記録!$X$6:$X$3005,H$5)=0,"",SUMIFS(請求記録!$AC$6:$AC$3005,請求記録!$B$6:$B$3005,$A304,請求記録!$X$6:$X$3005,H$5))))</f>
        <v/>
      </c>
      <c r="I304" s="19">
        <f>IF($A304="","",IF(COUNTIFS(請求記録!$B$6:$B$3005,$A304,請求記録!$X$6:$X$3005,I$5,請求記録!$AD$6:$AD$3005,"保留中")&gt;0,"保留",IF(COUNTIFS(請求記録!$B$6:$B$3005,$A304,請求記録!$X$6:$X$3005,I$5)=0,"",SUMIFS(請求記録!$AC$6:$AC$3005,請求記録!$B$6:$B$3005,$A304,請求記録!$X$6:$X$3005,I$5))))</f>
        <v/>
      </c>
      <c r="J304" s="19">
        <f>IF($A304="","",IF(COUNTIFS(請求記録!$B$6:$B$3005,$A304,請求記録!$X$6:$X$3005,J$5,請求記録!$AD$6:$AD$3005,"保留中")&gt;0,"保留",IF(COUNTIFS(請求記録!$B$6:$B$3005,$A304,請求記録!$X$6:$X$3005,J$5)=0,"",SUMIFS(請求記録!$AC$6:$AC$3005,請求記録!$B$6:$B$3005,$A304,請求記録!$X$6:$X$3005,J$5))))</f>
        <v/>
      </c>
      <c r="K304" s="19">
        <f>IF($A304="","",IF(COUNTIFS(請求記録!$B$6:$B$3005,$A304,請求記録!$X$6:$X$3005,K$5,請求記録!$AD$6:$AD$3005,"保留中")&gt;0,"保留",IF(COUNTIFS(請求記録!$B$6:$B$3005,$A304,請求記録!$X$6:$X$3005,K$5)=0,"",SUMIFS(請求記録!$AC$6:$AC$3005,請求記録!$B$6:$B$3005,$A304,請求記録!$X$6:$X$3005,K$5))))</f>
        <v/>
      </c>
      <c r="L304" s="19">
        <f>IF($A304="","",IF(COUNTIFS(請求記録!$B$6:$B$3005,$A304,請求記録!$X$6:$X$3005,L$5,請求記録!$AD$6:$AD$3005,"保留中")&gt;0,"保留",IF(COUNTIFS(請求記録!$B$6:$B$3005,$A304,請求記録!$X$6:$X$3005,L$5)=0,"",SUMIFS(請求記録!$AC$6:$AC$3005,請求記録!$B$6:$B$3005,$A304,請求記録!$X$6:$X$3005,L$5))))</f>
        <v/>
      </c>
      <c r="M304" s="19">
        <f>IF($A304="","",IF(COUNTIFS(請求記録!$B$6:$B$3005,$A304,請求記録!$X$6:$X$3005,M$5,請求記録!$AD$6:$AD$3005,"保留中")&gt;0,"保留",IF(COUNTIFS(請求記録!$B$6:$B$3005,$A304,請求記録!$X$6:$X$3005,M$5)=0,"",SUMIFS(請求記録!$AC$6:$AC$3005,請求記録!$B$6:$B$3005,$A304,請求記録!$X$6:$X$3005,M$5))))</f>
        <v/>
      </c>
      <c r="N304" s="19">
        <f>IF($A304="","",IF(COUNTIFS(請求記録!$B$6:$B$3005,$A304,請求記録!$X$6:$X$3005,N$5,請求記録!$AD$6:$AD$3005,"保留中")&gt;0,"保留",IF(COUNTIFS(請求記録!$B$6:$B$3005,$A304,請求記録!$X$6:$X$3005,N$5)=0,"",SUMIFS(請求記録!$AC$6:$AC$3005,請求記録!$B$6:$B$3005,$A304,請求記録!$X$6:$X$3005,N$5))))</f>
        <v/>
      </c>
      <c r="O304" s="19">
        <f>IF($A304="","",IF(COUNTIFS(請求記録!$B$6:$B$3005,$A304,請求記録!$X$6:$X$3005,O$5,請求記録!$AD$6:$AD$3005,"保留中")&gt;0,"保留",IF(COUNTIFS(請求記録!$B$6:$B$3005,$A304,請求記録!$X$6:$X$3005,O$5)=0,"",SUMIFS(請求記録!$AC$6:$AC$3005,請求記録!$B$6:$B$3005,$A304,請求記録!$X$6:$X$3005,O$5))))</f>
        <v/>
      </c>
      <c r="P304" s="19">
        <f>IF($A304="","",IF(COUNTIFS(請求記録!$B$6:$B$3005,$A304,請求記録!$X$6:$X$3005,P$5,請求記録!$AD$6:$AD$3005,"保留中")&gt;0,"保留",IF(COUNTIFS(請求記録!$B$6:$B$3005,$A304,請求記録!$X$6:$X$3005,P$5)=0,"",SUMIFS(請求記録!$AC$6:$AC$3005,請求記録!$B$6:$B$3005,$A304,請求記録!$X$6:$X$3005,P$5))))</f>
        <v/>
      </c>
      <c r="Q304" s="19">
        <f>IF($A304="","",IF(COUNTIFS(請求記録!$B$6:$B$3005,$A304,請求記録!$X$6:$X$3005,Q$5,請求記録!$AD$6:$AD$3005,"保留中")&gt;0,"保留",IF(COUNTIFS(請求記録!$B$6:$B$3005,$A304,請求記録!$X$6:$X$3005,Q$5)=0,"",SUMIFS(請求記録!$AC$6:$AC$3005,請求記録!$B$6:$B$3005,$A304,請求記録!$X$6:$X$3005,Q$5))))</f>
        <v/>
      </c>
      <c r="R304" s="19">
        <f>IF($A304="","",IF(COUNTIFS(請求記録!$B$6:$B$3005,$A304,請求記録!$X$6:$X$3005,R$5,請求記録!$AD$6:$AD$3005,"保留中")&gt;0,"保留",IF(COUNTIFS(請求記録!$B$6:$B$3005,$A304,請求記録!$X$6:$X$3005,R$5)=0,"",SUMIFS(請求記録!$AC$6:$AC$3005,請求記録!$B$6:$B$3005,$A304,請求記録!$X$6:$X$3005,R$5))))</f>
        <v/>
      </c>
      <c r="S304" s="19">
        <f>IF($A304="","",IF(COUNTIFS(請求記録!$B$6:$B$3005,$A304,請求記録!$X$6:$X$3005,S$5,請求記録!$AD$6:$AD$3005,"保留中")&gt;0,"保留",IF(COUNTIFS(請求記録!$B$6:$B$3005,$A304,請求記録!$X$6:$X$3005,S$5)=0,"",SUMIFS(請求記録!$AC$6:$AC$3005,請求記録!$B$6:$B$3005,$A304,請求記録!$X$6:$X$3005,S$5))))</f>
        <v/>
      </c>
      <c r="T304" s="19">
        <f>IF($A304="","",IF(COUNTIFS(請求記録!$B$6:$B$3005,$A304,請求記録!$X$6:$X$3005,T$5,請求記録!$AD$6:$AD$3005,"保留中")&gt;0,"保留",IF(COUNTIFS(請求記録!$B$6:$B$3005,$A304,請求記録!$X$6:$X$3005,T$5)=0,"",SUMIFS(請求記録!$AC$6:$AC$3005,請求記録!$B$6:$B$3005,$A304,請求記録!$X$6:$X$3005,T$5))))</f>
        <v/>
      </c>
      <c r="U304" s="19">
        <f>IF($A304="","",IF(COUNTIFS(請求記録!$B$6:$B$3005,$A304,請求記録!$X$6:$X$3005,U$5,請求記録!$AD$6:$AD$3005,"保留中")&gt;0,"保留",IF(COUNTIFS(請求記録!$B$6:$B$3005,$A304,請求記録!$X$6:$X$3005,U$5)=0,"",SUMIFS(請求記録!$AC$6:$AC$3005,請求記録!$B$6:$B$3005,$A304,請求記録!$X$6:$X$3005,U$5))))</f>
        <v/>
      </c>
      <c r="V304" s="19">
        <f>IF($A304="","",IF(COUNTIFS(請求記録!$B$6:$B$3005,$A304,請求記録!$X$6:$X$3005,V$5,請求記録!$AD$6:$AD$3005,"保留中")&gt;0,"保留",IF(COUNTIFS(請求記録!$B$6:$B$3005,$A304,請求記録!$X$6:$X$3005,V$5)=0,"",SUMIFS(請求記録!$AC$6:$AC$3005,請求記録!$B$6:$B$3005,$A304,請求記録!$X$6:$X$3005,V$5))))</f>
        <v/>
      </c>
      <c r="W304" s="19">
        <f>IF($A304="","",IF(COUNTIFS(請求記録!$B$6:$B$3005,$A304,請求記録!$X$6:$X$3005,W$5,請求記録!$AD$6:$AD$3005,"保留中")&gt;0,"保留",IF(COUNTIFS(請求記録!$B$6:$B$3005,$A304,請求記録!$X$6:$X$3005,W$5)=0,"",SUMIFS(請求記録!$AC$6:$AC$3005,請求記録!$B$6:$B$3005,$A304,請求記録!$X$6:$X$3005,W$5))))</f>
        <v/>
      </c>
      <c r="X304" s="19">
        <f>IF($A304="","",IF(COUNTIFS(請求記録!$B$6:$B$3005,$A304,請求記録!$X$6:$X$3005,X$5,請求記録!$AD$6:$AD$3005,"保留中")&gt;0,"保留",IF(COUNTIFS(請求記録!$B$6:$B$3005,$A304,請求記録!$X$6:$X$3005,X$5)=0,"",SUMIFS(請求記録!$AC$6:$AC$3005,請求記録!$B$6:$B$3005,$A304,請求記録!$X$6:$X$3005,X$5))))</f>
        <v/>
      </c>
      <c r="Y304" s="19">
        <f>IF($A304="","",IF(COUNTIFS(請求記録!$B$6:$B$3005,$A304,請求記録!$X$6:$X$3005,Y$5,請求記録!$AD$6:$AD$3005,"保留中")&gt;0,"保留",IF(COUNTIFS(請求記録!$B$6:$B$3005,$A304,請求記録!$X$6:$X$3005,Y$5)=0,"",SUMIFS(請求記録!$AC$6:$AC$3005,請求記録!$B$6:$B$3005,$A304,請求記録!$X$6:$X$3005,Y$5))))</f>
        <v/>
      </c>
      <c r="Z304" s="19">
        <f>IF($A304="","",IF(COUNTIFS(請求記録!$B$6:$B$3005,$A304,請求記録!$X$6:$X$3005,Z$5,請求記録!$AD$6:$AD$3005,"保留中")&gt;0,"保留",IF(COUNTIFS(請求記録!$B$6:$B$3005,$A304,請求記録!$X$6:$X$3005,Z$5)=0,"",SUMIFS(請求記録!$AC$6:$AC$3005,請求記録!$B$6:$B$3005,$A304,請求記録!$X$6:$X$3005,Z$5))))</f>
        <v/>
      </c>
      <c r="AA304" s="19">
        <f>IF($A304="","",IF(COUNTIFS(請求記録!$B$6:$B$3005,$A304,請求記録!$X$6:$X$3005,AA$5,請求記録!$AD$6:$AD$3005,"保留中")&gt;0,"保留",IF(COUNTIFS(請求記録!$B$6:$B$3005,$A304,請求記録!$X$6:$X$3005,AA$5)=0,"",SUMIFS(請求記録!$AC$6:$AC$3005,請求記録!$B$6:$B$3005,$A304,請求記録!$X$6:$X$3005,AA$5))))</f>
        <v/>
      </c>
      <c r="AB304">
        <f>IF(職員マスタ!P304="保留中",職員マスタ!M304,"")</f>
        <v/>
      </c>
    </row>
    <row r="305">
      <c r="A305">
        <f>IF(職員マスタ!A305="","",職員マスタ!A305)</f>
        <v/>
      </c>
      <c r="B305">
        <f>IF($A305="","",職員マスタ!B305)</f>
        <v/>
      </c>
      <c r="C305">
        <f>IF($A305="","",職員マスタ!C305)</f>
        <v/>
      </c>
      <c r="D305" s="19">
        <f>IF($A305="","",IF(COUNTIFS(請求記録!$B$6:$B$3005,$A305,請求記録!$X$6:$X$3005,D$5,請求記録!$AD$6:$AD$3005,"保留中")&gt;0,"保留",IF(COUNTIFS(請求記録!$B$6:$B$3005,$A305,請求記録!$X$6:$X$3005,D$5)=0,"",SUMIFS(請求記録!$AC$6:$AC$3005,請求記録!$B$6:$B$3005,$A305,請求記録!$X$6:$X$3005,D$5))))</f>
        <v/>
      </c>
      <c r="E305" s="19">
        <f>IF($A305="","",IF(COUNTIFS(請求記録!$B$6:$B$3005,$A305,請求記録!$X$6:$X$3005,E$5,請求記録!$AD$6:$AD$3005,"保留中")&gt;0,"保留",IF(COUNTIFS(請求記録!$B$6:$B$3005,$A305,請求記録!$X$6:$X$3005,E$5)=0,"",SUMIFS(請求記録!$AC$6:$AC$3005,請求記録!$B$6:$B$3005,$A305,請求記録!$X$6:$X$3005,E$5))))</f>
        <v/>
      </c>
      <c r="F305" s="19">
        <f>IF($A305="","",IF(COUNTIFS(請求記録!$B$6:$B$3005,$A305,請求記録!$X$6:$X$3005,F$5,請求記録!$AD$6:$AD$3005,"保留中")&gt;0,"保留",IF(COUNTIFS(請求記録!$B$6:$B$3005,$A305,請求記録!$X$6:$X$3005,F$5)=0,"",SUMIFS(請求記録!$AC$6:$AC$3005,請求記録!$B$6:$B$3005,$A305,請求記録!$X$6:$X$3005,F$5))))</f>
        <v/>
      </c>
      <c r="G305" s="19">
        <f>IF($A305="","",IF(COUNTIFS(請求記録!$B$6:$B$3005,$A305,請求記録!$X$6:$X$3005,G$5,請求記録!$AD$6:$AD$3005,"保留中")&gt;0,"保留",IF(COUNTIFS(請求記録!$B$6:$B$3005,$A305,請求記録!$X$6:$X$3005,G$5)=0,"",SUMIFS(請求記録!$AC$6:$AC$3005,請求記録!$B$6:$B$3005,$A305,請求記録!$X$6:$X$3005,G$5))))</f>
        <v/>
      </c>
      <c r="H305" s="19">
        <f>IF($A305="","",IF(COUNTIFS(請求記録!$B$6:$B$3005,$A305,請求記録!$X$6:$X$3005,H$5,請求記録!$AD$6:$AD$3005,"保留中")&gt;0,"保留",IF(COUNTIFS(請求記録!$B$6:$B$3005,$A305,請求記録!$X$6:$X$3005,H$5)=0,"",SUMIFS(請求記録!$AC$6:$AC$3005,請求記録!$B$6:$B$3005,$A305,請求記録!$X$6:$X$3005,H$5))))</f>
        <v/>
      </c>
      <c r="I305" s="19">
        <f>IF($A305="","",IF(COUNTIFS(請求記録!$B$6:$B$3005,$A305,請求記録!$X$6:$X$3005,I$5,請求記録!$AD$6:$AD$3005,"保留中")&gt;0,"保留",IF(COUNTIFS(請求記録!$B$6:$B$3005,$A305,請求記録!$X$6:$X$3005,I$5)=0,"",SUMIFS(請求記録!$AC$6:$AC$3005,請求記録!$B$6:$B$3005,$A305,請求記録!$X$6:$X$3005,I$5))))</f>
        <v/>
      </c>
      <c r="J305" s="19">
        <f>IF($A305="","",IF(COUNTIFS(請求記録!$B$6:$B$3005,$A305,請求記録!$X$6:$X$3005,J$5,請求記録!$AD$6:$AD$3005,"保留中")&gt;0,"保留",IF(COUNTIFS(請求記録!$B$6:$B$3005,$A305,請求記録!$X$6:$X$3005,J$5)=0,"",SUMIFS(請求記録!$AC$6:$AC$3005,請求記録!$B$6:$B$3005,$A305,請求記録!$X$6:$X$3005,J$5))))</f>
        <v/>
      </c>
      <c r="K305" s="19">
        <f>IF($A305="","",IF(COUNTIFS(請求記録!$B$6:$B$3005,$A305,請求記録!$X$6:$X$3005,K$5,請求記録!$AD$6:$AD$3005,"保留中")&gt;0,"保留",IF(COUNTIFS(請求記録!$B$6:$B$3005,$A305,請求記録!$X$6:$X$3005,K$5)=0,"",SUMIFS(請求記録!$AC$6:$AC$3005,請求記録!$B$6:$B$3005,$A305,請求記録!$X$6:$X$3005,K$5))))</f>
        <v/>
      </c>
      <c r="L305" s="19">
        <f>IF($A305="","",IF(COUNTIFS(請求記録!$B$6:$B$3005,$A305,請求記録!$X$6:$X$3005,L$5,請求記録!$AD$6:$AD$3005,"保留中")&gt;0,"保留",IF(COUNTIFS(請求記録!$B$6:$B$3005,$A305,請求記録!$X$6:$X$3005,L$5)=0,"",SUMIFS(請求記録!$AC$6:$AC$3005,請求記録!$B$6:$B$3005,$A305,請求記録!$X$6:$X$3005,L$5))))</f>
        <v/>
      </c>
      <c r="M305" s="19">
        <f>IF($A305="","",IF(COUNTIFS(請求記録!$B$6:$B$3005,$A305,請求記録!$X$6:$X$3005,M$5,請求記録!$AD$6:$AD$3005,"保留中")&gt;0,"保留",IF(COUNTIFS(請求記録!$B$6:$B$3005,$A305,請求記録!$X$6:$X$3005,M$5)=0,"",SUMIFS(請求記録!$AC$6:$AC$3005,請求記録!$B$6:$B$3005,$A305,請求記録!$X$6:$X$3005,M$5))))</f>
        <v/>
      </c>
      <c r="N305" s="19">
        <f>IF($A305="","",IF(COUNTIFS(請求記録!$B$6:$B$3005,$A305,請求記録!$X$6:$X$3005,N$5,請求記録!$AD$6:$AD$3005,"保留中")&gt;0,"保留",IF(COUNTIFS(請求記録!$B$6:$B$3005,$A305,請求記録!$X$6:$X$3005,N$5)=0,"",SUMIFS(請求記録!$AC$6:$AC$3005,請求記録!$B$6:$B$3005,$A305,請求記録!$X$6:$X$3005,N$5))))</f>
        <v/>
      </c>
      <c r="O305" s="19">
        <f>IF($A305="","",IF(COUNTIFS(請求記録!$B$6:$B$3005,$A305,請求記録!$X$6:$X$3005,O$5,請求記録!$AD$6:$AD$3005,"保留中")&gt;0,"保留",IF(COUNTIFS(請求記録!$B$6:$B$3005,$A305,請求記録!$X$6:$X$3005,O$5)=0,"",SUMIFS(請求記録!$AC$6:$AC$3005,請求記録!$B$6:$B$3005,$A305,請求記録!$X$6:$X$3005,O$5))))</f>
        <v/>
      </c>
      <c r="P305" s="19">
        <f>IF($A305="","",IF(COUNTIFS(請求記録!$B$6:$B$3005,$A305,請求記録!$X$6:$X$3005,P$5,請求記録!$AD$6:$AD$3005,"保留中")&gt;0,"保留",IF(COUNTIFS(請求記録!$B$6:$B$3005,$A305,請求記録!$X$6:$X$3005,P$5)=0,"",SUMIFS(請求記録!$AC$6:$AC$3005,請求記録!$B$6:$B$3005,$A305,請求記録!$X$6:$X$3005,P$5))))</f>
        <v/>
      </c>
      <c r="Q305" s="19">
        <f>IF($A305="","",IF(COUNTIFS(請求記録!$B$6:$B$3005,$A305,請求記録!$X$6:$X$3005,Q$5,請求記録!$AD$6:$AD$3005,"保留中")&gt;0,"保留",IF(COUNTIFS(請求記録!$B$6:$B$3005,$A305,請求記録!$X$6:$X$3005,Q$5)=0,"",SUMIFS(請求記録!$AC$6:$AC$3005,請求記録!$B$6:$B$3005,$A305,請求記録!$X$6:$X$3005,Q$5))))</f>
        <v/>
      </c>
      <c r="R305" s="19">
        <f>IF($A305="","",IF(COUNTIFS(請求記録!$B$6:$B$3005,$A305,請求記録!$X$6:$X$3005,R$5,請求記録!$AD$6:$AD$3005,"保留中")&gt;0,"保留",IF(COUNTIFS(請求記録!$B$6:$B$3005,$A305,請求記録!$X$6:$X$3005,R$5)=0,"",SUMIFS(請求記録!$AC$6:$AC$3005,請求記録!$B$6:$B$3005,$A305,請求記録!$X$6:$X$3005,R$5))))</f>
        <v/>
      </c>
      <c r="S305" s="19">
        <f>IF($A305="","",IF(COUNTIFS(請求記録!$B$6:$B$3005,$A305,請求記録!$X$6:$X$3005,S$5,請求記録!$AD$6:$AD$3005,"保留中")&gt;0,"保留",IF(COUNTIFS(請求記録!$B$6:$B$3005,$A305,請求記録!$X$6:$X$3005,S$5)=0,"",SUMIFS(請求記録!$AC$6:$AC$3005,請求記録!$B$6:$B$3005,$A305,請求記録!$X$6:$X$3005,S$5))))</f>
        <v/>
      </c>
      <c r="T305" s="19">
        <f>IF($A305="","",IF(COUNTIFS(請求記録!$B$6:$B$3005,$A305,請求記録!$X$6:$X$3005,T$5,請求記録!$AD$6:$AD$3005,"保留中")&gt;0,"保留",IF(COUNTIFS(請求記録!$B$6:$B$3005,$A305,請求記録!$X$6:$X$3005,T$5)=0,"",SUMIFS(請求記録!$AC$6:$AC$3005,請求記録!$B$6:$B$3005,$A305,請求記録!$X$6:$X$3005,T$5))))</f>
        <v/>
      </c>
      <c r="U305" s="19">
        <f>IF($A305="","",IF(COUNTIFS(請求記録!$B$6:$B$3005,$A305,請求記録!$X$6:$X$3005,U$5,請求記録!$AD$6:$AD$3005,"保留中")&gt;0,"保留",IF(COUNTIFS(請求記録!$B$6:$B$3005,$A305,請求記録!$X$6:$X$3005,U$5)=0,"",SUMIFS(請求記録!$AC$6:$AC$3005,請求記録!$B$6:$B$3005,$A305,請求記録!$X$6:$X$3005,U$5))))</f>
        <v/>
      </c>
      <c r="V305" s="19">
        <f>IF($A305="","",IF(COUNTIFS(請求記録!$B$6:$B$3005,$A305,請求記録!$X$6:$X$3005,V$5,請求記録!$AD$6:$AD$3005,"保留中")&gt;0,"保留",IF(COUNTIFS(請求記録!$B$6:$B$3005,$A305,請求記録!$X$6:$X$3005,V$5)=0,"",SUMIFS(請求記録!$AC$6:$AC$3005,請求記録!$B$6:$B$3005,$A305,請求記録!$X$6:$X$3005,V$5))))</f>
        <v/>
      </c>
      <c r="W305" s="19">
        <f>IF($A305="","",IF(COUNTIFS(請求記録!$B$6:$B$3005,$A305,請求記録!$X$6:$X$3005,W$5,請求記録!$AD$6:$AD$3005,"保留中")&gt;0,"保留",IF(COUNTIFS(請求記録!$B$6:$B$3005,$A305,請求記録!$X$6:$X$3005,W$5)=0,"",SUMIFS(請求記録!$AC$6:$AC$3005,請求記録!$B$6:$B$3005,$A305,請求記録!$X$6:$X$3005,W$5))))</f>
        <v/>
      </c>
      <c r="X305" s="19">
        <f>IF($A305="","",IF(COUNTIFS(請求記録!$B$6:$B$3005,$A305,請求記録!$X$6:$X$3005,X$5,請求記録!$AD$6:$AD$3005,"保留中")&gt;0,"保留",IF(COUNTIFS(請求記録!$B$6:$B$3005,$A305,請求記録!$X$6:$X$3005,X$5)=0,"",SUMIFS(請求記録!$AC$6:$AC$3005,請求記録!$B$6:$B$3005,$A305,請求記録!$X$6:$X$3005,X$5))))</f>
        <v/>
      </c>
      <c r="Y305" s="19">
        <f>IF($A305="","",IF(COUNTIFS(請求記録!$B$6:$B$3005,$A305,請求記録!$X$6:$X$3005,Y$5,請求記録!$AD$6:$AD$3005,"保留中")&gt;0,"保留",IF(COUNTIFS(請求記録!$B$6:$B$3005,$A305,請求記録!$X$6:$X$3005,Y$5)=0,"",SUMIFS(請求記録!$AC$6:$AC$3005,請求記録!$B$6:$B$3005,$A305,請求記録!$X$6:$X$3005,Y$5))))</f>
        <v/>
      </c>
      <c r="Z305" s="19">
        <f>IF($A305="","",IF(COUNTIFS(請求記録!$B$6:$B$3005,$A305,請求記録!$X$6:$X$3005,Z$5,請求記録!$AD$6:$AD$3005,"保留中")&gt;0,"保留",IF(COUNTIFS(請求記録!$B$6:$B$3005,$A305,請求記録!$X$6:$X$3005,Z$5)=0,"",SUMIFS(請求記録!$AC$6:$AC$3005,請求記録!$B$6:$B$3005,$A305,請求記録!$X$6:$X$3005,Z$5))))</f>
        <v/>
      </c>
      <c r="AA305" s="19">
        <f>IF($A305="","",IF(COUNTIFS(請求記録!$B$6:$B$3005,$A305,請求記録!$X$6:$X$3005,AA$5,請求記録!$AD$6:$AD$3005,"保留中")&gt;0,"保留",IF(COUNTIFS(請求記録!$B$6:$B$3005,$A305,請求記録!$X$6:$X$3005,AA$5)=0,"",SUMIFS(請求記録!$AC$6:$AC$3005,請求記録!$B$6:$B$3005,$A305,請求記録!$X$6:$X$3005,AA$5))))</f>
        <v/>
      </c>
      <c r="AB305">
        <f>IF(職員マスタ!P305="保留中",職員マスタ!M305,"")</f>
        <v/>
      </c>
    </row>
    <row r="306">
      <c r="A306">
        <f>IF(職員マスタ!A306="","",職員マスタ!A306)</f>
        <v/>
      </c>
      <c r="B306">
        <f>IF($A306="","",職員マスタ!B306)</f>
        <v/>
      </c>
      <c r="C306">
        <f>IF($A306="","",職員マスタ!C306)</f>
        <v/>
      </c>
      <c r="D306" s="19">
        <f>IF($A306="","",IF(COUNTIFS(請求記録!$B$6:$B$3005,$A306,請求記録!$X$6:$X$3005,D$5,請求記録!$AD$6:$AD$3005,"保留中")&gt;0,"保留",IF(COUNTIFS(請求記録!$B$6:$B$3005,$A306,請求記録!$X$6:$X$3005,D$5)=0,"",SUMIFS(請求記録!$AC$6:$AC$3005,請求記録!$B$6:$B$3005,$A306,請求記録!$X$6:$X$3005,D$5))))</f>
        <v/>
      </c>
      <c r="E306" s="19">
        <f>IF($A306="","",IF(COUNTIFS(請求記録!$B$6:$B$3005,$A306,請求記録!$X$6:$X$3005,E$5,請求記録!$AD$6:$AD$3005,"保留中")&gt;0,"保留",IF(COUNTIFS(請求記録!$B$6:$B$3005,$A306,請求記録!$X$6:$X$3005,E$5)=0,"",SUMIFS(請求記録!$AC$6:$AC$3005,請求記録!$B$6:$B$3005,$A306,請求記録!$X$6:$X$3005,E$5))))</f>
        <v/>
      </c>
      <c r="F306" s="19">
        <f>IF($A306="","",IF(COUNTIFS(請求記録!$B$6:$B$3005,$A306,請求記録!$X$6:$X$3005,F$5,請求記録!$AD$6:$AD$3005,"保留中")&gt;0,"保留",IF(COUNTIFS(請求記録!$B$6:$B$3005,$A306,請求記録!$X$6:$X$3005,F$5)=0,"",SUMIFS(請求記録!$AC$6:$AC$3005,請求記録!$B$6:$B$3005,$A306,請求記録!$X$6:$X$3005,F$5))))</f>
        <v/>
      </c>
      <c r="G306" s="19">
        <f>IF($A306="","",IF(COUNTIFS(請求記録!$B$6:$B$3005,$A306,請求記録!$X$6:$X$3005,G$5,請求記録!$AD$6:$AD$3005,"保留中")&gt;0,"保留",IF(COUNTIFS(請求記録!$B$6:$B$3005,$A306,請求記録!$X$6:$X$3005,G$5)=0,"",SUMIFS(請求記録!$AC$6:$AC$3005,請求記録!$B$6:$B$3005,$A306,請求記録!$X$6:$X$3005,G$5))))</f>
        <v/>
      </c>
      <c r="H306" s="19">
        <f>IF($A306="","",IF(COUNTIFS(請求記録!$B$6:$B$3005,$A306,請求記録!$X$6:$X$3005,H$5,請求記録!$AD$6:$AD$3005,"保留中")&gt;0,"保留",IF(COUNTIFS(請求記録!$B$6:$B$3005,$A306,請求記録!$X$6:$X$3005,H$5)=0,"",SUMIFS(請求記録!$AC$6:$AC$3005,請求記録!$B$6:$B$3005,$A306,請求記録!$X$6:$X$3005,H$5))))</f>
        <v/>
      </c>
      <c r="I306" s="19">
        <f>IF($A306="","",IF(COUNTIFS(請求記録!$B$6:$B$3005,$A306,請求記録!$X$6:$X$3005,I$5,請求記録!$AD$6:$AD$3005,"保留中")&gt;0,"保留",IF(COUNTIFS(請求記録!$B$6:$B$3005,$A306,請求記録!$X$6:$X$3005,I$5)=0,"",SUMIFS(請求記録!$AC$6:$AC$3005,請求記録!$B$6:$B$3005,$A306,請求記録!$X$6:$X$3005,I$5))))</f>
        <v/>
      </c>
      <c r="J306" s="19">
        <f>IF($A306="","",IF(COUNTIFS(請求記録!$B$6:$B$3005,$A306,請求記録!$X$6:$X$3005,J$5,請求記録!$AD$6:$AD$3005,"保留中")&gt;0,"保留",IF(COUNTIFS(請求記録!$B$6:$B$3005,$A306,請求記録!$X$6:$X$3005,J$5)=0,"",SUMIFS(請求記録!$AC$6:$AC$3005,請求記録!$B$6:$B$3005,$A306,請求記録!$X$6:$X$3005,J$5))))</f>
        <v/>
      </c>
      <c r="K306" s="19">
        <f>IF($A306="","",IF(COUNTIFS(請求記録!$B$6:$B$3005,$A306,請求記録!$X$6:$X$3005,K$5,請求記録!$AD$6:$AD$3005,"保留中")&gt;0,"保留",IF(COUNTIFS(請求記録!$B$6:$B$3005,$A306,請求記録!$X$6:$X$3005,K$5)=0,"",SUMIFS(請求記録!$AC$6:$AC$3005,請求記録!$B$6:$B$3005,$A306,請求記録!$X$6:$X$3005,K$5))))</f>
        <v/>
      </c>
      <c r="L306" s="19">
        <f>IF($A306="","",IF(COUNTIFS(請求記録!$B$6:$B$3005,$A306,請求記録!$X$6:$X$3005,L$5,請求記録!$AD$6:$AD$3005,"保留中")&gt;0,"保留",IF(COUNTIFS(請求記録!$B$6:$B$3005,$A306,請求記録!$X$6:$X$3005,L$5)=0,"",SUMIFS(請求記録!$AC$6:$AC$3005,請求記録!$B$6:$B$3005,$A306,請求記録!$X$6:$X$3005,L$5))))</f>
        <v/>
      </c>
      <c r="M306" s="19">
        <f>IF($A306="","",IF(COUNTIFS(請求記録!$B$6:$B$3005,$A306,請求記録!$X$6:$X$3005,M$5,請求記録!$AD$6:$AD$3005,"保留中")&gt;0,"保留",IF(COUNTIFS(請求記録!$B$6:$B$3005,$A306,請求記録!$X$6:$X$3005,M$5)=0,"",SUMIFS(請求記録!$AC$6:$AC$3005,請求記録!$B$6:$B$3005,$A306,請求記録!$X$6:$X$3005,M$5))))</f>
        <v/>
      </c>
      <c r="N306" s="19">
        <f>IF($A306="","",IF(COUNTIFS(請求記録!$B$6:$B$3005,$A306,請求記録!$X$6:$X$3005,N$5,請求記録!$AD$6:$AD$3005,"保留中")&gt;0,"保留",IF(COUNTIFS(請求記録!$B$6:$B$3005,$A306,請求記録!$X$6:$X$3005,N$5)=0,"",SUMIFS(請求記録!$AC$6:$AC$3005,請求記録!$B$6:$B$3005,$A306,請求記録!$X$6:$X$3005,N$5))))</f>
        <v/>
      </c>
      <c r="O306" s="19">
        <f>IF($A306="","",IF(COUNTIFS(請求記録!$B$6:$B$3005,$A306,請求記録!$X$6:$X$3005,O$5,請求記録!$AD$6:$AD$3005,"保留中")&gt;0,"保留",IF(COUNTIFS(請求記録!$B$6:$B$3005,$A306,請求記録!$X$6:$X$3005,O$5)=0,"",SUMIFS(請求記録!$AC$6:$AC$3005,請求記録!$B$6:$B$3005,$A306,請求記録!$X$6:$X$3005,O$5))))</f>
        <v/>
      </c>
      <c r="P306" s="19">
        <f>IF($A306="","",IF(COUNTIFS(請求記録!$B$6:$B$3005,$A306,請求記録!$X$6:$X$3005,P$5,請求記録!$AD$6:$AD$3005,"保留中")&gt;0,"保留",IF(COUNTIFS(請求記録!$B$6:$B$3005,$A306,請求記録!$X$6:$X$3005,P$5)=0,"",SUMIFS(請求記録!$AC$6:$AC$3005,請求記録!$B$6:$B$3005,$A306,請求記録!$X$6:$X$3005,P$5))))</f>
        <v/>
      </c>
      <c r="Q306" s="19">
        <f>IF($A306="","",IF(COUNTIFS(請求記録!$B$6:$B$3005,$A306,請求記録!$X$6:$X$3005,Q$5,請求記録!$AD$6:$AD$3005,"保留中")&gt;0,"保留",IF(COUNTIFS(請求記録!$B$6:$B$3005,$A306,請求記録!$X$6:$X$3005,Q$5)=0,"",SUMIFS(請求記録!$AC$6:$AC$3005,請求記録!$B$6:$B$3005,$A306,請求記録!$X$6:$X$3005,Q$5))))</f>
        <v/>
      </c>
      <c r="R306" s="19">
        <f>IF($A306="","",IF(COUNTIFS(請求記録!$B$6:$B$3005,$A306,請求記録!$X$6:$X$3005,R$5,請求記録!$AD$6:$AD$3005,"保留中")&gt;0,"保留",IF(COUNTIFS(請求記録!$B$6:$B$3005,$A306,請求記録!$X$6:$X$3005,R$5)=0,"",SUMIFS(請求記録!$AC$6:$AC$3005,請求記録!$B$6:$B$3005,$A306,請求記録!$X$6:$X$3005,R$5))))</f>
        <v/>
      </c>
      <c r="S306" s="19">
        <f>IF($A306="","",IF(COUNTIFS(請求記録!$B$6:$B$3005,$A306,請求記録!$X$6:$X$3005,S$5,請求記録!$AD$6:$AD$3005,"保留中")&gt;0,"保留",IF(COUNTIFS(請求記録!$B$6:$B$3005,$A306,請求記録!$X$6:$X$3005,S$5)=0,"",SUMIFS(請求記録!$AC$6:$AC$3005,請求記録!$B$6:$B$3005,$A306,請求記録!$X$6:$X$3005,S$5))))</f>
        <v/>
      </c>
      <c r="T306" s="19">
        <f>IF($A306="","",IF(COUNTIFS(請求記録!$B$6:$B$3005,$A306,請求記録!$X$6:$X$3005,T$5,請求記録!$AD$6:$AD$3005,"保留中")&gt;0,"保留",IF(COUNTIFS(請求記録!$B$6:$B$3005,$A306,請求記録!$X$6:$X$3005,T$5)=0,"",SUMIFS(請求記録!$AC$6:$AC$3005,請求記録!$B$6:$B$3005,$A306,請求記録!$X$6:$X$3005,T$5))))</f>
        <v/>
      </c>
      <c r="U306" s="19">
        <f>IF($A306="","",IF(COUNTIFS(請求記録!$B$6:$B$3005,$A306,請求記録!$X$6:$X$3005,U$5,請求記録!$AD$6:$AD$3005,"保留中")&gt;0,"保留",IF(COUNTIFS(請求記録!$B$6:$B$3005,$A306,請求記録!$X$6:$X$3005,U$5)=0,"",SUMIFS(請求記録!$AC$6:$AC$3005,請求記録!$B$6:$B$3005,$A306,請求記録!$X$6:$X$3005,U$5))))</f>
        <v/>
      </c>
      <c r="V306" s="19">
        <f>IF($A306="","",IF(COUNTIFS(請求記録!$B$6:$B$3005,$A306,請求記録!$X$6:$X$3005,V$5,請求記録!$AD$6:$AD$3005,"保留中")&gt;0,"保留",IF(COUNTIFS(請求記録!$B$6:$B$3005,$A306,請求記録!$X$6:$X$3005,V$5)=0,"",SUMIFS(請求記録!$AC$6:$AC$3005,請求記録!$B$6:$B$3005,$A306,請求記録!$X$6:$X$3005,V$5))))</f>
        <v/>
      </c>
      <c r="W306" s="19">
        <f>IF($A306="","",IF(COUNTIFS(請求記録!$B$6:$B$3005,$A306,請求記録!$X$6:$X$3005,W$5,請求記録!$AD$6:$AD$3005,"保留中")&gt;0,"保留",IF(COUNTIFS(請求記録!$B$6:$B$3005,$A306,請求記録!$X$6:$X$3005,W$5)=0,"",SUMIFS(請求記録!$AC$6:$AC$3005,請求記録!$B$6:$B$3005,$A306,請求記録!$X$6:$X$3005,W$5))))</f>
        <v/>
      </c>
      <c r="X306" s="19">
        <f>IF($A306="","",IF(COUNTIFS(請求記録!$B$6:$B$3005,$A306,請求記録!$X$6:$X$3005,X$5,請求記録!$AD$6:$AD$3005,"保留中")&gt;0,"保留",IF(COUNTIFS(請求記録!$B$6:$B$3005,$A306,請求記録!$X$6:$X$3005,X$5)=0,"",SUMIFS(請求記録!$AC$6:$AC$3005,請求記録!$B$6:$B$3005,$A306,請求記録!$X$6:$X$3005,X$5))))</f>
        <v/>
      </c>
      <c r="Y306" s="19">
        <f>IF($A306="","",IF(COUNTIFS(請求記録!$B$6:$B$3005,$A306,請求記録!$X$6:$X$3005,Y$5,請求記録!$AD$6:$AD$3005,"保留中")&gt;0,"保留",IF(COUNTIFS(請求記録!$B$6:$B$3005,$A306,請求記録!$X$6:$X$3005,Y$5)=0,"",SUMIFS(請求記録!$AC$6:$AC$3005,請求記録!$B$6:$B$3005,$A306,請求記録!$X$6:$X$3005,Y$5))))</f>
        <v/>
      </c>
      <c r="Z306" s="19">
        <f>IF($A306="","",IF(COUNTIFS(請求記録!$B$6:$B$3005,$A306,請求記録!$X$6:$X$3005,Z$5,請求記録!$AD$6:$AD$3005,"保留中")&gt;0,"保留",IF(COUNTIFS(請求記録!$B$6:$B$3005,$A306,請求記録!$X$6:$X$3005,Z$5)=0,"",SUMIFS(請求記録!$AC$6:$AC$3005,請求記録!$B$6:$B$3005,$A306,請求記録!$X$6:$X$3005,Z$5))))</f>
        <v/>
      </c>
      <c r="AA306" s="19">
        <f>IF($A306="","",IF(COUNTIFS(請求記録!$B$6:$B$3005,$A306,請求記録!$X$6:$X$3005,AA$5,請求記録!$AD$6:$AD$3005,"保留中")&gt;0,"保留",IF(COUNTIFS(請求記録!$B$6:$B$3005,$A306,請求記録!$X$6:$X$3005,AA$5)=0,"",SUMIFS(請求記録!$AC$6:$AC$3005,請求記録!$B$6:$B$3005,$A306,請求記録!$X$6:$X$3005,AA$5))))</f>
        <v/>
      </c>
      <c r="AB306">
        <f>IF(職員マスタ!P306="保留中",職員マスタ!M306,"")</f>
        <v/>
      </c>
    </row>
    <row r="307">
      <c r="A307">
        <f>IF(職員マスタ!A307="","",職員マスタ!A307)</f>
        <v/>
      </c>
      <c r="B307">
        <f>IF($A307="","",職員マスタ!B307)</f>
        <v/>
      </c>
      <c r="C307">
        <f>IF($A307="","",職員マスタ!C307)</f>
        <v/>
      </c>
      <c r="D307" s="19">
        <f>IF($A307="","",IF(COUNTIFS(請求記録!$B$6:$B$3005,$A307,請求記録!$X$6:$X$3005,D$5,請求記録!$AD$6:$AD$3005,"保留中")&gt;0,"保留",IF(COUNTIFS(請求記録!$B$6:$B$3005,$A307,請求記録!$X$6:$X$3005,D$5)=0,"",SUMIFS(請求記録!$AC$6:$AC$3005,請求記録!$B$6:$B$3005,$A307,請求記録!$X$6:$X$3005,D$5))))</f>
        <v/>
      </c>
      <c r="E307" s="19">
        <f>IF($A307="","",IF(COUNTIFS(請求記録!$B$6:$B$3005,$A307,請求記録!$X$6:$X$3005,E$5,請求記録!$AD$6:$AD$3005,"保留中")&gt;0,"保留",IF(COUNTIFS(請求記録!$B$6:$B$3005,$A307,請求記録!$X$6:$X$3005,E$5)=0,"",SUMIFS(請求記録!$AC$6:$AC$3005,請求記録!$B$6:$B$3005,$A307,請求記録!$X$6:$X$3005,E$5))))</f>
        <v/>
      </c>
      <c r="F307" s="19">
        <f>IF($A307="","",IF(COUNTIFS(請求記録!$B$6:$B$3005,$A307,請求記録!$X$6:$X$3005,F$5,請求記録!$AD$6:$AD$3005,"保留中")&gt;0,"保留",IF(COUNTIFS(請求記録!$B$6:$B$3005,$A307,請求記録!$X$6:$X$3005,F$5)=0,"",SUMIFS(請求記録!$AC$6:$AC$3005,請求記録!$B$6:$B$3005,$A307,請求記録!$X$6:$X$3005,F$5))))</f>
        <v/>
      </c>
      <c r="G307" s="19">
        <f>IF($A307="","",IF(COUNTIFS(請求記録!$B$6:$B$3005,$A307,請求記録!$X$6:$X$3005,G$5,請求記録!$AD$6:$AD$3005,"保留中")&gt;0,"保留",IF(COUNTIFS(請求記録!$B$6:$B$3005,$A307,請求記録!$X$6:$X$3005,G$5)=0,"",SUMIFS(請求記録!$AC$6:$AC$3005,請求記録!$B$6:$B$3005,$A307,請求記録!$X$6:$X$3005,G$5))))</f>
        <v/>
      </c>
      <c r="H307" s="19">
        <f>IF($A307="","",IF(COUNTIFS(請求記録!$B$6:$B$3005,$A307,請求記録!$X$6:$X$3005,H$5,請求記録!$AD$6:$AD$3005,"保留中")&gt;0,"保留",IF(COUNTIFS(請求記録!$B$6:$B$3005,$A307,請求記録!$X$6:$X$3005,H$5)=0,"",SUMIFS(請求記録!$AC$6:$AC$3005,請求記録!$B$6:$B$3005,$A307,請求記録!$X$6:$X$3005,H$5))))</f>
        <v/>
      </c>
      <c r="I307" s="19">
        <f>IF($A307="","",IF(COUNTIFS(請求記録!$B$6:$B$3005,$A307,請求記録!$X$6:$X$3005,I$5,請求記録!$AD$6:$AD$3005,"保留中")&gt;0,"保留",IF(COUNTIFS(請求記録!$B$6:$B$3005,$A307,請求記録!$X$6:$X$3005,I$5)=0,"",SUMIFS(請求記録!$AC$6:$AC$3005,請求記録!$B$6:$B$3005,$A307,請求記録!$X$6:$X$3005,I$5))))</f>
        <v/>
      </c>
      <c r="J307" s="19">
        <f>IF($A307="","",IF(COUNTIFS(請求記録!$B$6:$B$3005,$A307,請求記録!$X$6:$X$3005,J$5,請求記録!$AD$6:$AD$3005,"保留中")&gt;0,"保留",IF(COUNTIFS(請求記録!$B$6:$B$3005,$A307,請求記録!$X$6:$X$3005,J$5)=0,"",SUMIFS(請求記録!$AC$6:$AC$3005,請求記録!$B$6:$B$3005,$A307,請求記録!$X$6:$X$3005,J$5))))</f>
        <v/>
      </c>
      <c r="K307" s="19">
        <f>IF($A307="","",IF(COUNTIFS(請求記録!$B$6:$B$3005,$A307,請求記録!$X$6:$X$3005,K$5,請求記録!$AD$6:$AD$3005,"保留中")&gt;0,"保留",IF(COUNTIFS(請求記録!$B$6:$B$3005,$A307,請求記録!$X$6:$X$3005,K$5)=0,"",SUMIFS(請求記録!$AC$6:$AC$3005,請求記録!$B$6:$B$3005,$A307,請求記録!$X$6:$X$3005,K$5))))</f>
        <v/>
      </c>
      <c r="L307" s="19">
        <f>IF($A307="","",IF(COUNTIFS(請求記録!$B$6:$B$3005,$A307,請求記録!$X$6:$X$3005,L$5,請求記録!$AD$6:$AD$3005,"保留中")&gt;0,"保留",IF(COUNTIFS(請求記録!$B$6:$B$3005,$A307,請求記録!$X$6:$X$3005,L$5)=0,"",SUMIFS(請求記録!$AC$6:$AC$3005,請求記録!$B$6:$B$3005,$A307,請求記録!$X$6:$X$3005,L$5))))</f>
        <v/>
      </c>
      <c r="M307" s="19">
        <f>IF($A307="","",IF(COUNTIFS(請求記録!$B$6:$B$3005,$A307,請求記録!$X$6:$X$3005,M$5,請求記録!$AD$6:$AD$3005,"保留中")&gt;0,"保留",IF(COUNTIFS(請求記録!$B$6:$B$3005,$A307,請求記録!$X$6:$X$3005,M$5)=0,"",SUMIFS(請求記録!$AC$6:$AC$3005,請求記録!$B$6:$B$3005,$A307,請求記録!$X$6:$X$3005,M$5))))</f>
        <v/>
      </c>
      <c r="N307" s="19">
        <f>IF($A307="","",IF(COUNTIFS(請求記録!$B$6:$B$3005,$A307,請求記録!$X$6:$X$3005,N$5,請求記録!$AD$6:$AD$3005,"保留中")&gt;0,"保留",IF(COUNTIFS(請求記録!$B$6:$B$3005,$A307,請求記録!$X$6:$X$3005,N$5)=0,"",SUMIFS(請求記録!$AC$6:$AC$3005,請求記録!$B$6:$B$3005,$A307,請求記録!$X$6:$X$3005,N$5))))</f>
        <v/>
      </c>
      <c r="O307" s="19">
        <f>IF($A307="","",IF(COUNTIFS(請求記録!$B$6:$B$3005,$A307,請求記録!$X$6:$X$3005,O$5,請求記録!$AD$6:$AD$3005,"保留中")&gt;0,"保留",IF(COUNTIFS(請求記録!$B$6:$B$3005,$A307,請求記録!$X$6:$X$3005,O$5)=0,"",SUMIFS(請求記録!$AC$6:$AC$3005,請求記録!$B$6:$B$3005,$A307,請求記録!$X$6:$X$3005,O$5))))</f>
        <v/>
      </c>
      <c r="P307" s="19">
        <f>IF($A307="","",IF(COUNTIFS(請求記録!$B$6:$B$3005,$A307,請求記録!$X$6:$X$3005,P$5,請求記録!$AD$6:$AD$3005,"保留中")&gt;0,"保留",IF(COUNTIFS(請求記録!$B$6:$B$3005,$A307,請求記録!$X$6:$X$3005,P$5)=0,"",SUMIFS(請求記録!$AC$6:$AC$3005,請求記録!$B$6:$B$3005,$A307,請求記録!$X$6:$X$3005,P$5))))</f>
        <v/>
      </c>
      <c r="Q307" s="19">
        <f>IF($A307="","",IF(COUNTIFS(請求記録!$B$6:$B$3005,$A307,請求記録!$X$6:$X$3005,Q$5,請求記録!$AD$6:$AD$3005,"保留中")&gt;0,"保留",IF(COUNTIFS(請求記録!$B$6:$B$3005,$A307,請求記録!$X$6:$X$3005,Q$5)=0,"",SUMIFS(請求記録!$AC$6:$AC$3005,請求記録!$B$6:$B$3005,$A307,請求記録!$X$6:$X$3005,Q$5))))</f>
        <v/>
      </c>
      <c r="R307" s="19">
        <f>IF($A307="","",IF(COUNTIFS(請求記録!$B$6:$B$3005,$A307,請求記録!$X$6:$X$3005,R$5,請求記録!$AD$6:$AD$3005,"保留中")&gt;0,"保留",IF(COUNTIFS(請求記録!$B$6:$B$3005,$A307,請求記録!$X$6:$X$3005,R$5)=0,"",SUMIFS(請求記録!$AC$6:$AC$3005,請求記録!$B$6:$B$3005,$A307,請求記録!$X$6:$X$3005,R$5))))</f>
        <v/>
      </c>
      <c r="S307" s="19">
        <f>IF($A307="","",IF(COUNTIFS(請求記録!$B$6:$B$3005,$A307,請求記録!$X$6:$X$3005,S$5,請求記録!$AD$6:$AD$3005,"保留中")&gt;0,"保留",IF(COUNTIFS(請求記録!$B$6:$B$3005,$A307,請求記録!$X$6:$X$3005,S$5)=0,"",SUMIFS(請求記録!$AC$6:$AC$3005,請求記録!$B$6:$B$3005,$A307,請求記録!$X$6:$X$3005,S$5))))</f>
        <v/>
      </c>
      <c r="T307" s="19">
        <f>IF($A307="","",IF(COUNTIFS(請求記録!$B$6:$B$3005,$A307,請求記録!$X$6:$X$3005,T$5,請求記録!$AD$6:$AD$3005,"保留中")&gt;0,"保留",IF(COUNTIFS(請求記録!$B$6:$B$3005,$A307,請求記録!$X$6:$X$3005,T$5)=0,"",SUMIFS(請求記録!$AC$6:$AC$3005,請求記録!$B$6:$B$3005,$A307,請求記録!$X$6:$X$3005,T$5))))</f>
        <v/>
      </c>
      <c r="U307" s="19">
        <f>IF($A307="","",IF(COUNTIFS(請求記録!$B$6:$B$3005,$A307,請求記録!$X$6:$X$3005,U$5,請求記録!$AD$6:$AD$3005,"保留中")&gt;0,"保留",IF(COUNTIFS(請求記録!$B$6:$B$3005,$A307,請求記録!$X$6:$X$3005,U$5)=0,"",SUMIFS(請求記録!$AC$6:$AC$3005,請求記録!$B$6:$B$3005,$A307,請求記録!$X$6:$X$3005,U$5))))</f>
        <v/>
      </c>
      <c r="V307" s="19">
        <f>IF($A307="","",IF(COUNTIFS(請求記録!$B$6:$B$3005,$A307,請求記録!$X$6:$X$3005,V$5,請求記録!$AD$6:$AD$3005,"保留中")&gt;0,"保留",IF(COUNTIFS(請求記録!$B$6:$B$3005,$A307,請求記録!$X$6:$X$3005,V$5)=0,"",SUMIFS(請求記録!$AC$6:$AC$3005,請求記録!$B$6:$B$3005,$A307,請求記録!$X$6:$X$3005,V$5))))</f>
        <v/>
      </c>
      <c r="W307" s="19">
        <f>IF($A307="","",IF(COUNTIFS(請求記録!$B$6:$B$3005,$A307,請求記録!$X$6:$X$3005,W$5,請求記録!$AD$6:$AD$3005,"保留中")&gt;0,"保留",IF(COUNTIFS(請求記録!$B$6:$B$3005,$A307,請求記録!$X$6:$X$3005,W$5)=0,"",SUMIFS(請求記録!$AC$6:$AC$3005,請求記録!$B$6:$B$3005,$A307,請求記録!$X$6:$X$3005,W$5))))</f>
        <v/>
      </c>
      <c r="X307" s="19">
        <f>IF($A307="","",IF(COUNTIFS(請求記録!$B$6:$B$3005,$A307,請求記録!$X$6:$X$3005,X$5,請求記録!$AD$6:$AD$3005,"保留中")&gt;0,"保留",IF(COUNTIFS(請求記録!$B$6:$B$3005,$A307,請求記録!$X$6:$X$3005,X$5)=0,"",SUMIFS(請求記録!$AC$6:$AC$3005,請求記録!$B$6:$B$3005,$A307,請求記録!$X$6:$X$3005,X$5))))</f>
        <v/>
      </c>
      <c r="Y307" s="19">
        <f>IF($A307="","",IF(COUNTIFS(請求記録!$B$6:$B$3005,$A307,請求記録!$X$6:$X$3005,Y$5,請求記録!$AD$6:$AD$3005,"保留中")&gt;0,"保留",IF(COUNTIFS(請求記録!$B$6:$B$3005,$A307,請求記録!$X$6:$X$3005,Y$5)=0,"",SUMIFS(請求記録!$AC$6:$AC$3005,請求記録!$B$6:$B$3005,$A307,請求記録!$X$6:$X$3005,Y$5))))</f>
        <v/>
      </c>
      <c r="Z307" s="19">
        <f>IF($A307="","",IF(COUNTIFS(請求記録!$B$6:$B$3005,$A307,請求記録!$X$6:$X$3005,Z$5,請求記録!$AD$6:$AD$3005,"保留中")&gt;0,"保留",IF(COUNTIFS(請求記録!$B$6:$B$3005,$A307,請求記録!$X$6:$X$3005,Z$5)=0,"",SUMIFS(請求記録!$AC$6:$AC$3005,請求記録!$B$6:$B$3005,$A307,請求記録!$X$6:$X$3005,Z$5))))</f>
        <v/>
      </c>
      <c r="AA307" s="19">
        <f>IF($A307="","",IF(COUNTIFS(請求記録!$B$6:$B$3005,$A307,請求記録!$X$6:$X$3005,AA$5,請求記録!$AD$6:$AD$3005,"保留中")&gt;0,"保留",IF(COUNTIFS(請求記録!$B$6:$B$3005,$A307,請求記録!$X$6:$X$3005,AA$5)=0,"",SUMIFS(請求記録!$AC$6:$AC$3005,請求記録!$B$6:$B$3005,$A307,請求記録!$X$6:$X$3005,AA$5))))</f>
        <v/>
      </c>
      <c r="AB307">
        <f>IF(職員マスタ!P307="保留中",職員マスタ!M307,"")</f>
        <v/>
      </c>
    </row>
    <row r="308">
      <c r="A308">
        <f>IF(職員マスタ!A308="","",職員マスタ!A308)</f>
        <v/>
      </c>
      <c r="B308">
        <f>IF($A308="","",職員マスタ!B308)</f>
        <v/>
      </c>
      <c r="C308">
        <f>IF($A308="","",職員マスタ!C308)</f>
        <v/>
      </c>
      <c r="D308" s="19">
        <f>IF($A308="","",IF(COUNTIFS(請求記録!$B$6:$B$3005,$A308,請求記録!$X$6:$X$3005,D$5,請求記録!$AD$6:$AD$3005,"保留中")&gt;0,"保留",IF(COUNTIFS(請求記録!$B$6:$B$3005,$A308,請求記録!$X$6:$X$3005,D$5)=0,"",SUMIFS(請求記録!$AC$6:$AC$3005,請求記録!$B$6:$B$3005,$A308,請求記録!$X$6:$X$3005,D$5))))</f>
        <v/>
      </c>
      <c r="E308" s="19">
        <f>IF($A308="","",IF(COUNTIFS(請求記録!$B$6:$B$3005,$A308,請求記録!$X$6:$X$3005,E$5,請求記録!$AD$6:$AD$3005,"保留中")&gt;0,"保留",IF(COUNTIFS(請求記録!$B$6:$B$3005,$A308,請求記録!$X$6:$X$3005,E$5)=0,"",SUMIFS(請求記録!$AC$6:$AC$3005,請求記録!$B$6:$B$3005,$A308,請求記録!$X$6:$X$3005,E$5))))</f>
        <v/>
      </c>
      <c r="F308" s="19">
        <f>IF($A308="","",IF(COUNTIFS(請求記録!$B$6:$B$3005,$A308,請求記録!$X$6:$X$3005,F$5,請求記録!$AD$6:$AD$3005,"保留中")&gt;0,"保留",IF(COUNTIFS(請求記録!$B$6:$B$3005,$A308,請求記録!$X$6:$X$3005,F$5)=0,"",SUMIFS(請求記録!$AC$6:$AC$3005,請求記録!$B$6:$B$3005,$A308,請求記録!$X$6:$X$3005,F$5))))</f>
        <v/>
      </c>
      <c r="G308" s="19">
        <f>IF($A308="","",IF(COUNTIFS(請求記録!$B$6:$B$3005,$A308,請求記録!$X$6:$X$3005,G$5,請求記録!$AD$6:$AD$3005,"保留中")&gt;0,"保留",IF(COUNTIFS(請求記録!$B$6:$B$3005,$A308,請求記録!$X$6:$X$3005,G$5)=0,"",SUMIFS(請求記録!$AC$6:$AC$3005,請求記録!$B$6:$B$3005,$A308,請求記録!$X$6:$X$3005,G$5))))</f>
        <v/>
      </c>
      <c r="H308" s="19">
        <f>IF($A308="","",IF(COUNTIFS(請求記録!$B$6:$B$3005,$A308,請求記録!$X$6:$X$3005,H$5,請求記録!$AD$6:$AD$3005,"保留中")&gt;0,"保留",IF(COUNTIFS(請求記録!$B$6:$B$3005,$A308,請求記録!$X$6:$X$3005,H$5)=0,"",SUMIFS(請求記録!$AC$6:$AC$3005,請求記録!$B$6:$B$3005,$A308,請求記録!$X$6:$X$3005,H$5))))</f>
        <v/>
      </c>
      <c r="I308" s="19">
        <f>IF($A308="","",IF(COUNTIFS(請求記録!$B$6:$B$3005,$A308,請求記録!$X$6:$X$3005,I$5,請求記録!$AD$6:$AD$3005,"保留中")&gt;0,"保留",IF(COUNTIFS(請求記録!$B$6:$B$3005,$A308,請求記録!$X$6:$X$3005,I$5)=0,"",SUMIFS(請求記録!$AC$6:$AC$3005,請求記録!$B$6:$B$3005,$A308,請求記録!$X$6:$X$3005,I$5))))</f>
        <v/>
      </c>
      <c r="J308" s="19">
        <f>IF($A308="","",IF(COUNTIFS(請求記録!$B$6:$B$3005,$A308,請求記録!$X$6:$X$3005,J$5,請求記録!$AD$6:$AD$3005,"保留中")&gt;0,"保留",IF(COUNTIFS(請求記録!$B$6:$B$3005,$A308,請求記録!$X$6:$X$3005,J$5)=0,"",SUMIFS(請求記録!$AC$6:$AC$3005,請求記録!$B$6:$B$3005,$A308,請求記録!$X$6:$X$3005,J$5))))</f>
        <v/>
      </c>
      <c r="K308" s="19">
        <f>IF($A308="","",IF(COUNTIFS(請求記録!$B$6:$B$3005,$A308,請求記録!$X$6:$X$3005,K$5,請求記録!$AD$6:$AD$3005,"保留中")&gt;0,"保留",IF(COUNTIFS(請求記録!$B$6:$B$3005,$A308,請求記録!$X$6:$X$3005,K$5)=0,"",SUMIFS(請求記録!$AC$6:$AC$3005,請求記録!$B$6:$B$3005,$A308,請求記録!$X$6:$X$3005,K$5))))</f>
        <v/>
      </c>
      <c r="L308" s="19">
        <f>IF($A308="","",IF(COUNTIFS(請求記録!$B$6:$B$3005,$A308,請求記録!$X$6:$X$3005,L$5,請求記録!$AD$6:$AD$3005,"保留中")&gt;0,"保留",IF(COUNTIFS(請求記録!$B$6:$B$3005,$A308,請求記録!$X$6:$X$3005,L$5)=0,"",SUMIFS(請求記録!$AC$6:$AC$3005,請求記録!$B$6:$B$3005,$A308,請求記録!$X$6:$X$3005,L$5))))</f>
        <v/>
      </c>
      <c r="M308" s="19">
        <f>IF($A308="","",IF(COUNTIFS(請求記録!$B$6:$B$3005,$A308,請求記録!$X$6:$X$3005,M$5,請求記録!$AD$6:$AD$3005,"保留中")&gt;0,"保留",IF(COUNTIFS(請求記録!$B$6:$B$3005,$A308,請求記録!$X$6:$X$3005,M$5)=0,"",SUMIFS(請求記録!$AC$6:$AC$3005,請求記録!$B$6:$B$3005,$A308,請求記録!$X$6:$X$3005,M$5))))</f>
        <v/>
      </c>
      <c r="N308" s="19">
        <f>IF($A308="","",IF(COUNTIFS(請求記録!$B$6:$B$3005,$A308,請求記録!$X$6:$X$3005,N$5,請求記録!$AD$6:$AD$3005,"保留中")&gt;0,"保留",IF(COUNTIFS(請求記録!$B$6:$B$3005,$A308,請求記録!$X$6:$X$3005,N$5)=0,"",SUMIFS(請求記録!$AC$6:$AC$3005,請求記録!$B$6:$B$3005,$A308,請求記録!$X$6:$X$3005,N$5))))</f>
        <v/>
      </c>
      <c r="O308" s="19">
        <f>IF($A308="","",IF(COUNTIFS(請求記録!$B$6:$B$3005,$A308,請求記録!$X$6:$X$3005,O$5,請求記録!$AD$6:$AD$3005,"保留中")&gt;0,"保留",IF(COUNTIFS(請求記録!$B$6:$B$3005,$A308,請求記録!$X$6:$X$3005,O$5)=0,"",SUMIFS(請求記録!$AC$6:$AC$3005,請求記録!$B$6:$B$3005,$A308,請求記録!$X$6:$X$3005,O$5))))</f>
        <v/>
      </c>
      <c r="P308" s="19">
        <f>IF($A308="","",IF(COUNTIFS(請求記録!$B$6:$B$3005,$A308,請求記録!$X$6:$X$3005,P$5,請求記録!$AD$6:$AD$3005,"保留中")&gt;0,"保留",IF(COUNTIFS(請求記録!$B$6:$B$3005,$A308,請求記録!$X$6:$X$3005,P$5)=0,"",SUMIFS(請求記録!$AC$6:$AC$3005,請求記録!$B$6:$B$3005,$A308,請求記録!$X$6:$X$3005,P$5))))</f>
        <v/>
      </c>
      <c r="Q308" s="19">
        <f>IF($A308="","",IF(COUNTIFS(請求記録!$B$6:$B$3005,$A308,請求記録!$X$6:$X$3005,Q$5,請求記録!$AD$6:$AD$3005,"保留中")&gt;0,"保留",IF(COUNTIFS(請求記録!$B$6:$B$3005,$A308,請求記録!$X$6:$X$3005,Q$5)=0,"",SUMIFS(請求記録!$AC$6:$AC$3005,請求記録!$B$6:$B$3005,$A308,請求記録!$X$6:$X$3005,Q$5))))</f>
        <v/>
      </c>
      <c r="R308" s="19">
        <f>IF($A308="","",IF(COUNTIFS(請求記録!$B$6:$B$3005,$A308,請求記録!$X$6:$X$3005,R$5,請求記録!$AD$6:$AD$3005,"保留中")&gt;0,"保留",IF(COUNTIFS(請求記録!$B$6:$B$3005,$A308,請求記録!$X$6:$X$3005,R$5)=0,"",SUMIFS(請求記録!$AC$6:$AC$3005,請求記録!$B$6:$B$3005,$A308,請求記録!$X$6:$X$3005,R$5))))</f>
        <v/>
      </c>
      <c r="S308" s="19">
        <f>IF($A308="","",IF(COUNTIFS(請求記録!$B$6:$B$3005,$A308,請求記録!$X$6:$X$3005,S$5,請求記録!$AD$6:$AD$3005,"保留中")&gt;0,"保留",IF(COUNTIFS(請求記録!$B$6:$B$3005,$A308,請求記録!$X$6:$X$3005,S$5)=0,"",SUMIFS(請求記録!$AC$6:$AC$3005,請求記録!$B$6:$B$3005,$A308,請求記録!$X$6:$X$3005,S$5))))</f>
        <v/>
      </c>
      <c r="T308" s="19">
        <f>IF($A308="","",IF(COUNTIFS(請求記録!$B$6:$B$3005,$A308,請求記録!$X$6:$X$3005,T$5,請求記録!$AD$6:$AD$3005,"保留中")&gt;0,"保留",IF(COUNTIFS(請求記録!$B$6:$B$3005,$A308,請求記録!$X$6:$X$3005,T$5)=0,"",SUMIFS(請求記録!$AC$6:$AC$3005,請求記録!$B$6:$B$3005,$A308,請求記録!$X$6:$X$3005,T$5))))</f>
        <v/>
      </c>
      <c r="U308" s="19">
        <f>IF($A308="","",IF(COUNTIFS(請求記録!$B$6:$B$3005,$A308,請求記録!$X$6:$X$3005,U$5,請求記録!$AD$6:$AD$3005,"保留中")&gt;0,"保留",IF(COUNTIFS(請求記録!$B$6:$B$3005,$A308,請求記録!$X$6:$X$3005,U$5)=0,"",SUMIFS(請求記録!$AC$6:$AC$3005,請求記録!$B$6:$B$3005,$A308,請求記録!$X$6:$X$3005,U$5))))</f>
        <v/>
      </c>
      <c r="V308" s="19">
        <f>IF($A308="","",IF(COUNTIFS(請求記録!$B$6:$B$3005,$A308,請求記録!$X$6:$X$3005,V$5,請求記録!$AD$6:$AD$3005,"保留中")&gt;0,"保留",IF(COUNTIFS(請求記録!$B$6:$B$3005,$A308,請求記録!$X$6:$X$3005,V$5)=0,"",SUMIFS(請求記録!$AC$6:$AC$3005,請求記録!$B$6:$B$3005,$A308,請求記録!$X$6:$X$3005,V$5))))</f>
        <v/>
      </c>
      <c r="W308" s="19">
        <f>IF($A308="","",IF(COUNTIFS(請求記録!$B$6:$B$3005,$A308,請求記録!$X$6:$X$3005,W$5,請求記録!$AD$6:$AD$3005,"保留中")&gt;0,"保留",IF(COUNTIFS(請求記録!$B$6:$B$3005,$A308,請求記録!$X$6:$X$3005,W$5)=0,"",SUMIFS(請求記録!$AC$6:$AC$3005,請求記録!$B$6:$B$3005,$A308,請求記録!$X$6:$X$3005,W$5))))</f>
        <v/>
      </c>
      <c r="X308" s="19">
        <f>IF($A308="","",IF(COUNTIFS(請求記録!$B$6:$B$3005,$A308,請求記録!$X$6:$X$3005,X$5,請求記録!$AD$6:$AD$3005,"保留中")&gt;0,"保留",IF(COUNTIFS(請求記録!$B$6:$B$3005,$A308,請求記録!$X$6:$X$3005,X$5)=0,"",SUMIFS(請求記録!$AC$6:$AC$3005,請求記録!$B$6:$B$3005,$A308,請求記録!$X$6:$X$3005,X$5))))</f>
        <v/>
      </c>
      <c r="Y308" s="19">
        <f>IF($A308="","",IF(COUNTIFS(請求記録!$B$6:$B$3005,$A308,請求記録!$X$6:$X$3005,Y$5,請求記録!$AD$6:$AD$3005,"保留中")&gt;0,"保留",IF(COUNTIFS(請求記録!$B$6:$B$3005,$A308,請求記録!$X$6:$X$3005,Y$5)=0,"",SUMIFS(請求記録!$AC$6:$AC$3005,請求記録!$B$6:$B$3005,$A308,請求記録!$X$6:$X$3005,Y$5))))</f>
        <v/>
      </c>
      <c r="Z308" s="19">
        <f>IF($A308="","",IF(COUNTIFS(請求記録!$B$6:$B$3005,$A308,請求記録!$X$6:$X$3005,Z$5,請求記録!$AD$6:$AD$3005,"保留中")&gt;0,"保留",IF(COUNTIFS(請求記録!$B$6:$B$3005,$A308,請求記録!$X$6:$X$3005,Z$5)=0,"",SUMIFS(請求記録!$AC$6:$AC$3005,請求記録!$B$6:$B$3005,$A308,請求記録!$X$6:$X$3005,Z$5))))</f>
        <v/>
      </c>
      <c r="AA308" s="19">
        <f>IF($A308="","",IF(COUNTIFS(請求記録!$B$6:$B$3005,$A308,請求記録!$X$6:$X$3005,AA$5,請求記録!$AD$6:$AD$3005,"保留中")&gt;0,"保留",IF(COUNTIFS(請求記録!$B$6:$B$3005,$A308,請求記録!$X$6:$X$3005,AA$5)=0,"",SUMIFS(請求記録!$AC$6:$AC$3005,請求記録!$B$6:$B$3005,$A308,請求記録!$X$6:$X$3005,AA$5))))</f>
        <v/>
      </c>
      <c r="AB308">
        <f>IF(職員マスタ!P308="保留中",職員マスタ!M308,"")</f>
        <v/>
      </c>
    </row>
    <row r="309">
      <c r="A309">
        <f>IF(職員マスタ!A309="","",職員マスタ!A309)</f>
        <v/>
      </c>
      <c r="B309">
        <f>IF($A309="","",職員マスタ!B309)</f>
        <v/>
      </c>
      <c r="C309">
        <f>IF($A309="","",職員マスタ!C309)</f>
        <v/>
      </c>
      <c r="D309" s="19">
        <f>IF($A309="","",IF(COUNTIFS(請求記録!$B$6:$B$3005,$A309,請求記録!$X$6:$X$3005,D$5,請求記録!$AD$6:$AD$3005,"保留中")&gt;0,"保留",IF(COUNTIFS(請求記録!$B$6:$B$3005,$A309,請求記録!$X$6:$X$3005,D$5)=0,"",SUMIFS(請求記録!$AC$6:$AC$3005,請求記録!$B$6:$B$3005,$A309,請求記録!$X$6:$X$3005,D$5))))</f>
        <v/>
      </c>
      <c r="E309" s="19">
        <f>IF($A309="","",IF(COUNTIFS(請求記録!$B$6:$B$3005,$A309,請求記録!$X$6:$X$3005,E$5,請求記録!$AD$6:$AD$3005,"保留中")&gt;0,"保留",IF(COUNTIFS(請求記録!$B$6:$B$3005,$A309,請求記録!$X$6:$X$3005,E$5)=0,"",SUMIFS(請求記録!$AC$6:$AC$3005,請求記録!$B$6:$B$3005,$A309,請求記録!$X$6:$X$3005,E$5))))</f>
        <v/>
      </c>
      <c r="F309" s="19">
        <f>IF($A309="","",IF(COUNTIFS(請求記録!$B$6:$B$3005,$A309,請求記録!$X$6:$X$3005,F$5,請求記録!$AD$6:$AD$3005,"保留中")&gt;0,"保留",IF(COUNTIFS(請求記録!$B$6:$B$3005,$A309,請求記録!$X$6:$X$3005,F$5)=0,"",SUMIFS(請求記録!$AC$6:$AC$3005,請求記録!$B$6:$B$3005,$A309,請求記録!$X$6:$X$3005,F$5))))</f>
        <v/>
      </c>
      <c r="G309" s="19">
        <f>IF($A309="","",IF(COUNTIFS(請求記録!$B$6:$B$3005,$A309,請求記録!$X$6:$X$3005,G$5,請求記録!$AD$6:$AD$3005,"保留中")&gt;0,"保留",IF(COUNTIFS(請求記録!$B$6:$B$3005,$A309,請求記録!$X$6:$X$3005,G$5)=0,"",SUMIFS(請求記録!$AC$6:$AC$3005,請求記録!$B$6:$B$3005,$A309,請求記録!$X$6:$X$3005,G$5))))</f>
        <v/>
      </c>
      <c r="H309" s="19">
        <f>IF($A309="","",IF(COUNTIFS(請求記録!$B$6:$B$3005,$A309,請求記録!$X$6:$X$3005,H$5,請求記録!$AD$6:$AD$3005,"保留中")&gt;0,"保留",IF(COUNTIFS(請求記録!$B$6:$B$3005,$A309,請求記録!$X$6:$X$3005,H$5)=0,"",SUMIFS(請求記録!$AC$6:$AC$3005,請求記録!$B$6:$B$3005,$A309,請求記録!$X$6:$X$3005,H$5))))</f>
        <v/>
      </c>
      <c r="I309" s="19">
        <f>IF($A309="","",IF(COUNTIFS(請求記録!$B$6:$B$3005,$A309,請求記録!$X$6:$X$3005,I$5,請求記録!$AD$6:$AD$3005,"保留中")&gt;0,"保留",IF(COUNTIFS(請求記録!$B$6:$B$3005,$A309,請求記録!$X$6:$X$3005,I$5)=0,"",SUMIFS(請求記録!$AC$6:$AC$3005,請求記録!$B$6:$B$3005,$A309,請求記録!$X$6:$X$3005,I$5))))</f>
        <v/>
      </c>
      <c r="J309" s="19">
        <f>IF($A309="","",IF(COUNTIFS(請求記録!$B$6:$B$3005,$A309,請求記録!$X$6:$X$3005,J$5,請求記録!$AD$6:$AD$3005,"保留中")&gt;0,"保留",IF(COUNTIFS(請求記録!$B$6:$B$3005,$A309,請求記録!$X$6:$X$3005,J$5)=0,"",SUMIFS(請求記録!$AC$6:$AC$3005,請求記録!$B$6:$B$3005,$A309,請求記録!$X$6:$X$3005,J$5))))</f>
        <v/>
      </c>
      <c r="K309" s="19">
        <f>IF($A309="","",IF(COUNTIFS(請求記録!$B$6:$B$3005,$A309,請求記録!$X$6:$X$3005,K$5,請求記録!$AD$6:$AD$3005,"保留中")&gt;0,"保留",IF(COUNTIFS(請求記録!$B$6:$B$3005,$A309,請求記録!$X$6:$X$3005,K$5)=0,"",SUMIFS(請求記録!$AC$6:$AC$3005,請求記録!$B$6:$B$3005,$A309,請求記録!$X$6:$X$3005,K$5))))</f>
        <v/>
      </c>
      <c r="L309" s="19">
        <f>IF($A309="","",IF(COUNTIFS(請求記録!$B$6:$B$3005,$A309,請求記録!$X$6:$X$3005,L$5,請求記録!$AD$6:$AD$3005,"保留中")&gt;0,"保留",IF(COUNTIFS(請求記録!$B$6:$B$3005,$A309,請求記録!$X$6:$X$3005,L$5)=0,"",SUMIFS(請求記録!$AC$6:$AC$3005,請求記録!$B$6:$B$3005,$A309,請求記録!$X$6:$X$3005,L$5))))</f>
        <v/>
      </c>
      <c r="M309" s="19">
        <f>IF($A309="","",IF(COUNTIFS(請求記録!$B$6:$B$3005,$A309,請求記録!$X$6:$X$3005,M$5,請求記録!$AD$6:$AD$3005,"保留中")&gt;0,"保留",IF(COUNTIFS(請求記録!$B$6:$B$3005,$A309,請求記録!$X$6:$X$3005,M$5)=0,"",SUMIFS(請求記録!$AC$6:$AC$3005,請求記録!$B$6:$B$3005,$A309,請求記録!$X$6:$X$3005,M$5))))</f>
        <v/>
      </c>
      <c r="N309" s="19">
        <f>IF($A309="","",IF(COUNTIFS(請求記録!$B$6:$B$3005,$A309,請求記録!$X$6:$X$3005,N$5,請求記録!$AD$6:$AD$3005,"保留中")&gt;0,"保留",IF(COUNTIFS(請求記録!$B$6:$B$3005,$A309,請求記録!$X$6:$X$3005,N$5)=0,"",SUMIFS(請求記録!$AC$6:$AC$3005,請求記録!$B$6:$B$3005,$A309,請求記録!$X$6:$X$3005,N$5))))</f>
        <v/>
      </c>
      <c r="O309" s="19">
        <f>IF($A309="","",IF(COUNTIFS(請求記録!$B$6:$B$3005,$A309,請求記録!$X$6:$X$3005,O$5,請求記録!$AD$6:$AD$3005,"保留中")&gt;0,"保留",IF(COUNTIFS(請求記録!$B$6:$B$3005,$A309,請求記録!$X$6:$X$3005,O$5)=0,"",SUMIFS(請求記録!$AC$6:$AC$3005,請求記録!$B$6:$B$3005,$A309,請求記録!$X$6:$X$3005,O$5))))</f>
        <v/>
      </c>
      <c r="P309" s="19">
        <f>IF($A309="","",IF(COUNTIFS(請求記録!$B$6:$B$3005,$A309,請求記録!$X$6:$X$3005,P$5,請求記録!$AD$6:$AD$3005,"保留中")&gt;0,"保留",IF(COUNTIFS(請求記録!$B$6:$B$3005,$A309,請求記録!$X$6:$X$3005,P$5)=0,"",SUMIFS(請求記録!$AC$6:$AC$3005,請求記録!$B$6:$B$3005,$A309,請求記録!$X$6:$X$3005,P$5))))</f>
        <v/>
      </c>
      <c r="Q309" s="19">
        <f>IF($A309="","",IF(COUNTIFS(請求記録!$B$6:$B$3005,$A309,請求記録!$X$6:$X$3005,Q$5,請求記録!$AD$6:$AD$3005,"保留中")&gt;0,"保留",IF(COUNTIFS(請求記録!$B$6:$B$3005,$A309,請求記録!$X$6:$X$3005,Q$5)=0,"",SUMIFS(請求記録!$AC$6:$AC$3005,請求記録!$B$6:$B$3005,$A309,請求記録!$X$6:$X$3005,Q$5))))</f>
        <v/>
      </c>
      <c r="R309" s="19">
        <f>IF($A309="","",IF(COUNTIFS(請求記録!$B$6:$B$3005,$A309,請求記録!$X$6:$X$3005,R$5,請求記録!$AD$6:$AD$3005,"保留中")&gt;0,"保留",IF(COUNTIFS(請求記録!$B$6:$B$3005,$A309,請求記録!$X$6:$X$3005,R$5)=0,"",SUMIFS(請求記録!$AC$6:$AC$3005,請求記録!$B$6:$B$3005,$A309,請求記録!$X$6:$X$3005,R$5))))</f>
        <v/>
      </c>
      <c r="S309" s="19">
        <f>IF($A309="","",IF(COUNTIFS(請求記録!$B$6:$B$3005,$A309,請求記録!$X$6:$X$3005,S$5,請求記録!$AD$6:$AD$3005,"保留中")&gt;0,"保留",IF(COUNTIFS(請求記録!$B$6:$B$3005,$A309,請求記録!$X$6:$X$3005,S$5)=0,"",SUMIFS(請求記録!$AC$6:$AC$3005,請求記録!$B$6:$B$3005,$A309,請求記録!$X$6:$X$3005,S$5))))</f>
        <v/>
      </c>
      <c r="T309" s="19">
        <f>IF($A309="","",IF(COUNTIFS(請求記録!$B$6:$B$3005,$A309,請求記録!$X$6:$X$3005,T$5,請求記録!$AD$6:$AD$3005,"保留中")&gt;0,"保留",IF(COUNTIFS(請求記録!$B$6:$B$3005,$A309,請求記録!$X$6:$X$3005,T$5)=0,"",SUMIFS(請求記録!$AC$6:$AC$3005,請求記録!$B$6:$B$3005,$A309,請求記録!$X$6:$X$3005,T$5))))</f>
        <v/>
      </c>
      <c r="U309" s="19">
        <f>IF($A309="","",IF(COUNTIFS(請求記録!$B$6:$B$3005,$A309,請求記録!$X$6:$X$3005,U$5,請求記録!$AD$6:$AD$3005,"保留中")&gt;0,"保留",IF(COUNTIFS(請求記録!$B$6:$B$3005,$A309,請求記録!$X$6:$X$3005,U$5)=0,"",SUMIFS(請求記録!$AC$6:$AC$3005,請求記録!$B$6:$B$3005,$A309,請求記録!$X$6:$X$3005,U$5))))</f>
        <v/>
      </c>
      <c r="V309" s="19">
        <f>IF($A309="","",IF(COUNTIFS(請求記録!$B$6:$B$3005,$A309,請求記録!$X$6:$X$3005,V$5,請求記録!$AD$6:$AD$3005,"保留中")&gt;0,"保留",IF(COUNTIFS(請求記録!$B$6:$B$3005,$A309,請求記録!$X$6:$X$3005,V$5)=0,"",SUMIFS(請求記録!$AC$6:$AC$3005,請求記録!$B$6:$B$3005,$A309,請求記録!$X$6:$X$3005,V$5))))</f>
        <v/>
      </c>
      <c r="W309" s="19">
        <f>IF($A309="","",IF(COUNTIFS(請求記録!$B$6:$B$3005,$A309,請求記録!$X$6:$X$3005,W$5,請求記録!$AD$6:$AD$3005,"保留中")&gt;0,"保留",IF(COUNTIFS(請求記録!$B$6:$B$3005,$A309,請求記録!$X$6:$X$3005,W$5)=0,"",SUMIFS(請求記録!$AC$6:$AC$3005,請求記録!$B$6:$B$3005,$A309,請求記録!$X$6:$X$3005,W$5))))</f>
        <v/>
      </c>
      <c r="X309" s="19">
        <f>IF($A309="","",IF(COUNTIFS(請求記録!$B$6:$B$3005,$A309,請求記録!$X$6:$X$3005,X$5,請求記録!$AD$6:$AD$3005,"保留中")&gt;0,"保留",IF(COUNTIFS(請求記録!$B$6:$B$3005,$A309,請求記録!$X$6:$X$3005,X$5)=0,"",SUMIFS(請求記録!$AC$6:$AC$3005,請求記録!$B$6:$B$3005,$A309,請求記録!$X$6:$X$3005,X$5))))</f>
        <v/>
      </c>
      <c r="Y309" s="19">
        <f>IF($A309="","",IF(COUNTIFS(請求記録!$B$6:$B$3005,$A309,請求記録!$X$6:$X$3005,Y$5,請求記録!$AD$6:$AD$3005,"保留中")&gt;0,"保留",IF(COUNTIFS(請求記録!$B$6:$B$3005,$A309,請求記録!$X$6:$X$3005,Y$5)=0,"",SUMIFS(請求記録!$AC$6:$AC$3005,請求記録!$B$6:$B$3005,$A309,請求記録!$X$6:$X$3005,Y$5))))</f>
        <v/>
      </c>
      <c r="Z309" s="19">
        <f>IF($A309="","",IF(COUNTIFS(請求記録!$B$6:$B$3005,$A309,請求記録!$X$6:$X$3005,Z$5,請求記録!$AD$6:$AD$3005,"保留中")&gt;0,"保留",IF(COUNTIFS(請求記録!$B$6:$B$3005,$A309,請求記録!$X$6:$X$3005,Z$5)=0,"",SUMIFS(請求記録!$AC$6:$AC$3005,請求記録!$B$6:$B$3005,$A309,請求記録!$X$6:$X$3005,Z$5))))</f>
        <v/>
      </c>
      <c r="AA309" s="19">
        <f>IF($A309="","",IF(COUNTIFS(請求記録!$B$6:$B$3005,$A309,請求記録!$X$6:$X$3005,AA$5,請求記録!$AD$6:$AD$3005,"保留中")&gt;0,"保留",IF(COUNTIFS(請求記録!$B$6:$B$3005,$A309,請求記録!$X$6:$X$3005,AA$5)=0,"",SUMIFS(請求記録!$AC$6:$AC$3005,請求記録!$B$6:$B$3005,$A309,請求記録!$X$6:$X$3005,AA$5))))</f>
        <v/>
      </c>
      <c r="AB309">
        <f>IF(職員マスタ!P309="保留中",職員マスタ!M309,"")</f>
        <v/>
      </c>
    </row>
    <row r="310">
      <c r="A310">
        <f>IF(職員マスタ!A310="","",職員マスタ!A310)</f>
        <v/>
      </c>
      <c r="B310">
        <f>IF($A310="","",職員マスタ!B310)</f>
        <v/>
      </c>
      <c r="C310">
        <f>IF($A310="","",職員マスタ!C310)</f>
        <v/>
      </c>
      <c r="D310" s="19">
        <f>IF($A310="","",IF(COUNTIFS(請求記録!$B$6:$B$3005,$A310,請求記録!$X$6:$X$3005,D$5,請求記録!$AD$6:$AD$3005,"保留中")&gt;0,"保留",IF(COUNTIFS(請求記録!$B$6:$B$3005,$A310,請求記録!$X$6:$X$3005,D$5)=0,"",SUMIFS(請求記録!$AC$6:$AC$3005,請求記録!$B$6:$B$3005,$A310,請求記録!$X$6:$X$3005,D$5))))</f>
        <v/>
      </c>
      <c r="E310" s="19">
        <f>IF($A310="","",IF(COUNTIFS(請求記録!$B$6:$B$3005,$A310,請求記録!$X$6:$X$3005,E$5,請求記録!$AD$6:$AD$3005,"保留中")&gt;0,"保留",IF(COUNTIFS(請求記録!$B$6:$B$3005,$A310,請求記録!$X$6:$X$3005,E$5)=0,"",SUMIFS(請求記録!$AC$6:$AC$3005,請求記録!$B$6:$B$3005,$A310,請求記録!$X$6:$X$3005,E$5))))</f>
        <v/>
      </c>
      <c r="F310" s="19">
        <f>IF($A310="","",IF(COUNTIFS(請求記録!$B$6:$B$3005,$A310,請求記録!$X$6:$X$3005,F$5,請求記録!$AD$6:$AD$3005,"保留中")&gt;0,"保留",IF(COUNTIFS(請求記録!$B$6:$B$3005,$A310,請求記録!$X$6:$X$3005,F$5)=0,"",SUMIFS(請求記録!$AC$6:$AC$3005,請求記録!$B$6:$B$3005,$A310,請求記録!$X$6:$X$3005,F$5))))</f>
        <v/>
      </c>
      <c r="G310" s="19">
        <f>IF($A310="","",IF(COUNTIFS(請求記録!$B$6:$B$3005,$A310,請求記録!$X$6:$X$3005,G$5,請求記録!$AD$6:$AD$3005,"保留中")&gt;0,"保留",IF(COUNTIFS(請求記録!$B$6:$B$3005,$A310,請求記録!$X$6:$X$3005,G$5)=0,"",SUMIFS(請求記録!$AC$6:$AC$3005,請求記録!$B$6:$B$3005,$A310,請求記録!$X$6:$X$3005,G$5))))</f>
        <v/>
      </c>
      <c r="H310" s="19">
        <f>IF($A310="","",IF(COUNTIFS(請求記録!$B$6:$B$3005,$A310,請求記録!$X$6:$X$3005,H$5,請求記録!$AD$6:$AD$3005,"保留中")&gt;0,"保留",IF(COUNTIFS(請求記録!$B$6:$B$3005,$A310,請求記録!$X$6:$X$3005,H$5)=0,"",SUMIFS(請求記録!$AC$6:$AC$3005,請求記録!$B$6:$B$3005,$A310,請求記録!$X$6:$X$3005,H$5))))</f>
        <v/>
      </c>
      <c r="I310" s="19">
        <f>IF($A310="","",IF(COUNTIFS(請求記録!$B$6:$B$3005,$A310,請求記録!$X$6:$X$3005,I$5,請求記録!$AD$6:$AD$3005,"保留中")&gt;0,"保留",IF(COUNTIFS(請求記録!$B$6:$B$3005,$A310,請求記録!$X$6:$X$3005,I$5)=0,"",SUMIFS(請求記録!$AC$6:$AC$3005,請求記録!$B$6:$B$3005,$A310,請求記録!$X$6:$X$3005,I$5))))</f>
        <v/>
      </c>
      <c r="J310" s="19">
        <f>IF($A310="","",IF(COUNTIFS(請求記録!$B$6:$B$3005,$A310,請求記録!$X$6:$X$3005,J$5,請求記録!$AD$6:$AD$3005,"保留中")&gt;0,"保留",IF(COUNTIFS(請求記録!$B$6:$B$3005,$A310,請求記録!$X$6:$X$3005,J$5)=0,"",SUMIFS(請求記録!$AC$6:$AC$3005,請求記録!$B$6:$B$3005,$A310,請求記録!$X$6:$X$3005,J$5))))</f>
        <v/>
      </c>
      <c r="K310" s="19">
        <f>IF($A310="","",IF(COUNTIFS(請求記録!$B$6:$B$3005,$A310,請求記録!$X$6:$X$3005,K$5,請求記録!$AD$6:$AD$3005,"保留中")&gt;0,"保留",IF(COUNTIFS(請求記録!$B$6:$B$3005,$A310,請求記録!$X$6:$X$3005,K$5)=0,"",SUMIFS(請求記録!$AC$6:$AC$3005,請求記録!$B$6:$B$3005,$A310,請求記録!$X$6:$X$3005,K$5))))</f>
        <v/>
      </c>
      <c r="L310" s="19">
        <f>IF($A310="","",IF(COUNTIFS(請求記録!$B$6:$B$3005,$A310,請求記録!$X$6:$X$3005,L$5,請求記録!$AD$6:$AD$3005,"保留中")&gt;0,"保留",IF(COUNTIFS(請求記録!$B$6:$B$3005,$A310,請求記録!$X$6:$X$3005,L$5)=0,"",SUMIFS(請求記録!$AC$6:$AC$3005,請求記録!$B$6:$B$3005,$A310,請求記録!$X$6:$X$3005,L$5))))</f>
        <v/>
      </c>
      <c r="M310" s="19">
        <f>IF($A310="","",IF(COUNTIFS(請求記録!$B$6:$B$3005,$A310,請求記録!$X$6:$X$3005,M$5,請求記録!$AD$6:$AD$3005,"保留中")&gt;0,"保留",IF(COUNTIFS(請求記録!$B$6:$B$3005,$A310,請求記録!$X$6:$X$3005,M$5)=0,"",SUMIFS(請求記録!$AC$6:$AC$3005,請求記録!$B$6:$B$3005,$A310,請求記録!$X$6:$X$3005,M$5))))</f>
        <v/>
      </c>
      <c r="N310" s="19">
        <f>IF($A310="","",IF(COUNTIFS(請求記録!$B$6:$B$3005,$A310,請求記録!$X$6:$X$3005,N$5,請求記録!$AD$6:$AD$3005,"保留中")&gt;0,"保留",IF(COUNTIFS(請求記録!$B$6:$B$3005,$A310,請求記録!$X$6:$X$3005,N$5)=0,"",SUMIFS(請求記録!$AC$6:$AC$3005,請求記録!$B$6:$B$3005,$A310,請求記録!$X$6:$X$3005,N$5))))</f>
        <v/>
      </c>
      <c r="O310" s="19">
        <f>IF($A310="","",IF(COUNTIFS(請求記録!$B$6:$B$3005,$A310,請求記録!$X$6:$X$3005,O$5,請求記録!$AD$6:$AD$3005,"保留中")&gt;0,"保留",IF(COUNTIFS(請求記録!$B$6:$B$3005,$A310,請求記録!$X$6:$X$3005,O$5)=0,"",SUMIFS(請求記録!$AC$6:$AC$3005,請求記録!$B$6:$B$3005,$A310,請求記録!$X$6:$X$3005,O$5))))</f>
        <v/>
      </c>
      <c r="P310" s="19">
        <f>IF($A310="","",IF(COUNTIFS(請求記録!$B$6:$B$3005,$A310,請求記録!$X$6:$X$3005,P$5,請求記録!$AD$6:$AD$3005,"保留中")&gt;0,"保留",IF(COUNTIFS(請求記録!$B$6:$B$3005,$A310,請求記録!$X$6:$X$3005,P$5)=0,"",SUMIFS(請求記録!$AC$6:$AC$3005,請求記録!$B$6:$B$3005,$A310,請求記録!$X$6:$X$3005,P$5))))</f>
        <v/>
      </c>
      <c r="Q310" s="19">
        <f>IF($A310="","",IF(COUNTIFS(請求記録!$B$6:$B$3005,$A310,請求記録!$X$6:$X$3005,Q$5,請求記録!$AD$6:$AD$3005,"保留中")&gt;0,"保留",IF(COUNTIFS(請求記録!$B$6:$B$3005,$A310,請求記録!$X$6:$X$3005,Q$5)=0,"",SUMIFS(請求記録!$AC$6:$AC$3005,請求記録!$B$6:$B$3005,$A310,請求記録!$X$6:$X$3005,Q$5))))</f>
        <v/>
      </c>
      <c r="R310" s="19">
        <f>IF($A310="","",IF(COUNTIFS(請求記録!$B$6:$B$3005,$A310,請求記録!$X$6:$X$3005,R$5,請求記録!$AD$6:$AD$3005,"保留中")&gt;0,"保留",IF(COUNTIFS(請求記録!$B$6:$B$3005,$A310,請求記録!$X$6:$X$3005,R$5)=0,"",SUMIFS(請求記録!$AC$6:$AC$3005,請求記録!$B$6:$B$3005,$A310,請求記録!$X$6:$X$3005,R$5))))</f>
        <v/>
      </c>
      <c r="S310" s="19">
        <f>IF($A310="","",IF(COUNTIFS(請求記録!$B$6:$B$3005,$A310,請求記録!$X$6:$X$3005,S$5,請求記録!$AD$6:$AD$3005,"保留中")&gt;0,"保留",IF(COUNTIFS(請求記録!$B$6:$B$3005,$A310,請求記録!$X$6:$X$3005,S$5)=0,"",SUMIFS(請求記録!$AC$6:$AC$3005,請求記録!$B$6:$B$3005,$A310,請求記録!$X$6:$X$3005,S$5))))</f>
        <v/>
      </c>
      <c r="T310" s="19">
        <f>IF($A310="","",IF(COUNTIFS(請求記録!$B$6:$B$3005,$A310,請求記録!$X$6:$X$3005,T$5,請求記録!$AD$6:$AD$3005,"保留中")&gt;0,"保留",IF(COUNTIFS(請求記録!$B$6:$B$3005,$A310,請求記録!$X$6:$X$3005,T$5)=0,"",SUMIFS(請求記録!$AC$6:$AC$3005,請求記録!$B$6:$B$3005,$A310,請求記録!$X$6:$X$3005,T$5))))</f>
        <v/>
      </c>
      <c r="U310" s="19">
        <f>IF($A310="","",IF(COUNTIFS(請求記録!$B$6:$B$3005,$A310,請求記録!$X$6:$X$3005,U$5,請求記録!$AD$6:$AD$3005,"保留中")&gt;0,"保留",IF(COUNTIFS(請求記録!$B$6:$B$3005,$A310,請求記録!$X$6:$X$3005,U$5)=0,"",SUMIFS(請求記録!$AC$6:$AC$3005,請求記録!$B$6:$B$3005,$A310,請求記録!$X$6:$X$3005,U$5))))</f>
        <v/>
      </c>
      <c r="V310" s="19">
        <f>IF($A310="","",IF(COUNTIFS(請求記録!$B$6:$B$3005,$A310,請求記録!$X$6:$X$3005,V$5,請求記録!$AD$6:$AD$3005,"保留中")&gt;0,"保留",IF(COUNTIFS(請求記録!$B$6:$B$3005,$A310,請求記録!$X$6:$X$3005,V$5)=0,"",SUMIFS(請求記録!$AC$6:$AC$3005,請求記録!$B$6:$B$3005,$A310,請求記録!$X$6:$X$3005,V$5))))</f>
        <v/>
      </c>
      <c r="W310" s="19">
        <f>IF($A310="","",IF(COUNTIFS(請求記録!$B$6:$B$3005,$A310,請求記録!$X$6:$X$3005,W$5,請求記録!$AD$6:$AD$3005,"保留中")&gt;0,"保留",IF(COUNTIFS(請求記録!$B$6:$B$3005,$A310,請求記録!$X$6:$X$3005,W$5)=0,"",SUMIFS(請求記録!$AC$6:$AC$3005,請求記録!$B$6:$B$3005,$A310,請求記録!$X$6:$X$3005,W$5))))</f>
        <v/>
      </c>
      <c r="X310" s="19">
        <f>IF($A310="","",IF(COUNTIFS(請求記録!$B$6:$B$3005,$A310,請求記録!$X$6:$X$3005,X$5,請求記録!$AD$6:$AD$3005,"保留中")&gt;0,"保留",IF(COUNTIFS(請求記録!$B$6:$B$3005,$A310,請求記録!$X$6:$X$3005,X$5)=0,"",SUMIFS(請求記録!$AC$6:$AC$3005,請求記録!$B$6:$B$3005,$A310,請求記録!$X$6:$X$3005,X$5))))</f>
        <v/>
      </c>
      <c r="Y310" s="19">
        <f>IF($A310="","",IF(COUNTIFS(請求記録!$B$6:$B$3005,$A310,請求記録!$X$6:$X$3005,Y$5,請求記録!$AD$6:$AD$3005,"保留中")&gt;0,"保留",IF(COUNTIFS(請求記録!$B$6:$B$3005,$A310,請求記録!$X$6:$X$3005,Y$5)=0,"",SUMIFS(請求記録!$AC$6:$AC$3005,請求記録!$B$6:$B$3005,$A310,請求記録!$X$6:$X$3005,Y$5))))</f>
        <v/>
      </c>
      <c r="Z310" s="19">
        <f>IF($A310="","",IF(COUNTIFS(請求記録!$B$6:$B$3005,$A310,請求記録!$X$6:$X$3005,Z$5,請求記録!$AD$6:$AD$3005,"保留中")&gt;0,"保留",IF(COUNTIFS(請求記録!$B$6:$B$3005,$A310,請求記録!$X$6:$X$3005,Z$5)=0,"",SUMIFS(請求記録!$AC$6:$AC$3005,請求記録!$B$6:$B$3005,$A310,請求記録!$X$6:$X$3005,Z$5))))</f>
        <v/>
      </c>
      <c r="AA310" s="19">
        <f>IF($A310="","",IF(COUNTIFS(請求記録!$B$6:$B$3005,$A310,請求記録!$X$6:$X$3005,AA$5,請求記録!$AD$6:$AD$3005,"保留中")&gt;0,"保留",IF(COUNTIFS(請求記録!$B$6:$B$3005,$A310,請求記録!$X$6:$X$3005,AA$5)=0,"",SUMIFS(請求記録!$AC$6:$AC$3005,請求記録!$B$6:$B$3005,$A310,請求記録!$X$6:$X$3005,AA$5))))</f>
        <v/>
      </c>
      <c r="AB310">
        <f>IF(職員マスタ!P310="保留中",職員マスタ!M310,"")</f>
        <v/>
      </c>
    </row>
    <row r="311">
      <c r="A311">
        <f>IF(職員マスタ!A311="","",職員マスタ!A311)</f>
        <v/>
      </c>
      <c r="B311">
        <f>IF($A311="","",職員マスタ!B311)</f>
        <v/>
      </c>
      <c r="C311">
        <f>IF($A311="","",職員マスタ!C311)</f>
        <v/>
      </c>
      <c r="D311" s="19">
        <f>IF($A311="","",IF(COUNTIFS(請求記録!$B$6:$B$3005,$A311,請求記録!$X$6:$X$3005,D$5,請求記録!$AD$6:$AD$3005,"保留中")&gt;0,"保留",IF(COUNTIFS(請求記録!$B$6:$B$3005,$A311,請求記録!$X$6:$X$3005,D$5)=0,"",SUMIFS(請求記録!$AC$6:$AC$3005,請求記録!$B$6:$B$3005,$A311,請求記録!$X$6:$X$3005,D$5))))</f>
        <v/>
      </c>
      <c r="E311" s="19">
        <f>IF($A311="","",IF(COUNTIFS(請求記録!$B$6:$B$3005,$A311,請求記録!$X$6:$X$3005,E$5,請求記録!$AD$6:$AD$3005,"保留中")&gt;0,"保留",IF(COUNTIFS(請求記録!$B$6:$B$3005,$A311,請求記録!$X$6:$X$3005,E$5)=0,"",SUMIFS(請求記録!$AC$6:$AC$3005,請求記録!$B$6:$B$3005,$A311,請求記録!$X$6:$X$3005,E$5))))</f>
        <v/>
      </c>
      <c r="F311" s="19">
        <f>IF($A311="","",IF(COUNTIFS(請求記録!$B$6:$B$3005,$A311,請求記録!$X$6:$X$3005,F$5,請求記録!$AD$6:$AD$3005,"保留中")&gt;0,"保留",IF(COUNTIFS(請求記録!$B$6:$B$3005,$A311,請求記録!$X$6:$X$3005,F$5)=0,"",SUMIFS(請求記録!$AC$6:$AC$3005,請求記録!$B$6:$B$3005,$A311,請求記録!$X$6:$X$3005,F$5))))</f>
        <v/>
      </c>
      <c r="G311" s="19">
        <f>IF($A311="","",IF(COUNTIFS(請求記録!$B$6:$B$3005,$A311,請求記録!$X$6:$X$3005,G$5,請求記録!$AD$6:$AD$3005,"保留中")&gt;0,"保留",IF(COUNTIFS(請求記録!$B$6:$B$3005,$A311,請求記録!$X$6:$X$3005,G$5)=0,"",SUMIFS(請求記録!$AC$6:$AC$3005,請求記録!$B$6:$B$3005,$A311,請求記録!$X$6:$X$3005,G$5))))</f>
        <v/>
      </c>
      <c r="H311" s="19">
        <f>IF($A311="","",IF(COUNTIFS(請求記録!$B$6:$B$3005,$A311,請求記録!$X$6:$X$3005,H$5,請求記録!$AD$6:$AD$3005,"保留中")&gt;0,"保留",IF(COUNTIFS(請求記録!$B$6:$B$3005,$A311,請求記録!$X$6:$X$3005,H$5)=0,"",SUMIFS(請求記録!$AC$6:$AC$3005,請求記録!$B$6:$B$3005,$A311,請求記録!$X$6:$X$3005,H$5))))</f>
        <v/>
      </c>
      <c r="I311" s="19">
        <f>IF($A311="","",IF(COUNTIFS(請求記録!$B$6:$B$3005,$A311,請求記録!$X$6:$X$3005,I$5,請求記録!$AD$6:$AD$3005,"保留中")&gt;0,"保留",IF(COUNTIFS(請求記録!$B$6:$B$3005,$A311,請求記録!$X$6:$X$3005,I$5)=0,"",SUMIFS(請求記録!$AC$6:$AC$3005,請求記録!$B$6:$B$3005,$A311,請求記録!$X$6:$X$3005,I$5))))</f>
        <v/>
      </c>
      <c r="J311" s="19">
        <f>IF($A311="","",IF(COUNTIFS(請求記録!$B$6:$B$3005,$A311,請求記録!$X$6:$X$3005,J$5,請求記録!$AD$6:$AD$3005,"保留中")&gt;0,"保留",IF(COUNTIFS(請求記録!$B$6:$B$3005,$A311,請求記録!$X$6:$X$3005,J$5)=0,"",SUMIFS(請求記録!$AC$6:$AC$3005,請求記録!$B$6:$B$3005,$A311,請求記録!$X$6:$X$3005,J$5))))</f>
        <v/>
      </c>
      <c r="K311" s="19">
        <f>IF($A311="","",IF(COUNTIFS(請求記録!$B$6:$B$3005,$A311,請求記録!$X$6:$X$3005,K$5,請求記録!$AD$6:$AD$3005,"保留中")&gt;0,"保留",IF(COUNTIFS(請求記録!$B$6:$B$3005,$A311,請求記録!$X$6:$X$3005,K$5)=0,"",SUMIFS(請求記録!$AC$6:$AC$3005,請求記録!$B$6:$B$3005,$A311,請求記録!$X$6:$X$3005,K$5))))</f>
        <v/>
      </c>
      <c r="L311" s="19">
        <f>IF($A311="","",IF(COUNTIFS(請求記録!$B$6:$B$3005,$A311,請求記録!$X$6:$X$3005,L$5,請求記録!$AD$6:$AD$3005,"保留中")&gt;0,"保留",IF(COUNTIFS(請求記録!$B$6:$B$3005,$A311,請求記録!$X$6:$X$3005,L$5)=0,"",SUMIFS(請求記録!$AC$6:$AC$3005,請求記録!$B$6:$B$3005,$A311,請求記録!$X$6:$X$3005,L$5))))</f>
        <v/>
      </c>
      <c r="M311" s="19">
        <f>IF($A311="","",IF(COUNTIFS(請求記録!$B$6:$B$3005,$A311,請求記録!$X$6:$X$3005,M$5,請求記録!$AD$6:$AD$3005,"保留中")&gt;0,"保留",IF(COUNTIFS(請求記録!$B$6:$B$3005,$A311,請求記録!$X$6:$X$3005,M$5)=0,"",SUMIFS(請求記録!$AC$6:$AC$3005,請求記録!$B$6:$B$3005,$A311,請求記録!$X$6:$X$3005,M$5))))</f>
        <v/>
      </c>
      <c r="N311" s="19">
        <f>IF($A311="","",IF(COUNTIFS(請求記録!$B$6:$B$3005,$A311,請求記録!$X$6:$X$3005,N$5,請求記録!$AD$6:$AD$3005,"保留中")&gt;0,"保留",IF(COUNTIFS(請求記録!$B$6:$B$3005,$A311,請求記録!$X$6:$X$3005,N$5)=0,"",SUMIFS(請求記録!$AC$6:$AC$3005,請求記録!$B$6:$B$3005,$A311,請求記録!$X$6:$X$3005,N$5))))</f>
        <v/>
      </c>
      <c r="O311" s="19">
        <f>IF($A311="","",IF(COUNTIFS(請求記録!$B$6:$B$3005,$A311,請求記録!$X$6:$X$3005,O$5,請求記録!$AD$6:$AD$3005,"保留中")&gt;0,"保留",IF(COUNTIFS(請求記録!$B$6:$B$3005,$A311,請求記録!$X$6:$X$3005,O$5)=0,"",SUMIFS(請求記録!$AC$6:$AC$3005,請求記録!$B$6:$B$3005,$A311,請求記録!$X$6:$X$3005,O$5))))</f>
        <v/>
      </c>
      <c r="P311" s="19">
        <f>IF($A311="","",IF(COUNTIFS(請求記録!$B$6:$B$3005,$A311,請求記録!$X$6:$X$3005,P$5,請求記録!$AD$6:$AD$3005,"保留中")&gt;0,"保留",IF(COUNTIFS(請求記録!$B$6:$B$3005,$A311,請求記録!$X$6:$X$3005,P$5)=0,"",SUMIFS(請求記録!$AC$6:$AC$3005,請求記録!$B$6:$B$3005,$A311,請求記録!$X$6:$X$3005,P$5))))</f>
        <v/>
      </c>
      <c r="Q311" s="19">
        <f>IF($A311="","",IF(COUNTIFS(請求記録!$B$6:$B$3005,$A311,請求記録!$X$6:$X$3005,Q$5,請求記録!$AD$6:$AD$3005,"保留中")&gt;0,"保留",IF(COUNTIFS(請求記録!$B$6:$B$3005,$A311,請求記録!$X$6:$X$3005,Q$5)=0,"",SUMIFS(請求記録!$AC$6:$AC$3005,請求記録!$B$6:$B$3005,$A311,請求記録!$X$6:$X$3005,Q$5))))</f>
        <v/>
      </c>
      <c r="R311" s="19">
        <f>IF($A311="","",IF(COUNTIFS(請求記録!$B$6:$B$3005,$A311,請求記録!$X$6:$X$3005,R$5,請求記録!$AD$6:$AD$3005,"保留中")&gt;0,"保留",IF(COUNTIFS(請求記録!$B$6:$B$3005,$A311,請求記録!$X$6:$X$3005,R$5)=0,"",SUMIFS(請求記録!$AC$6:$AC$3005,請求記録!$B$6:$B$3005,$A311,請求記録!$X$6:$X$3005,R$5))))</f>
        <v/>
      </c>
      <c r="S311" s="19">
        <f>IF($A311="","",IF(COUNTIFS(請求記録!$B$6:$B$3005,$A311,請求記録!$X$6:$X$3005,S$5,請求記録!$AD$6:$AD$3005,"保留中")&gt;0,"保留",IF(COUNTIFS(請求記録!$B$6:$B$3005,$A311,請求記録!$X$6:$X$3005,S$5)=0,"",SUMIFS(請求記録!$AC$6:$AC$3005,請求記録!$B$6:$B$3005,$A311,請求記録!$X$6:$X$3005,S$5))))</f>
        <v/>
      </c>
      <c r="T311" s="19">
        <f>IF($A311="","",IF(COUNTIFS(請求記録!$B$6:$B$3005,$A311,請求記録!$X$6:$X$3005,T$5,請求記録!$AD$6:$AD$3005,"保留中")&gt;0,"保留",IF(COUNTIFS(請求記録!$B$6:$B$3005,$A311,請求記録!$X$6:$X$3005,T$5)=0,"",SUMIFS(請求記録!$AC$6:$AC$3005,請求記録!$B$6:$B$3005,$A311,請求記録!$X$6:$X$3005,T$5))))</f>
        <v/>
      </c>
      <c r="U311" s="19">
        <f>IF($A311="","",IF(COUNTIFS(請求記録!$B$6:$B$3005,$A311,請求記録!$X$6:$X$3005,U$5,請求記録!$AD$6:$AD$3005,"保留中")&gt;0,"保留",IF(COUNTIFS(請求記録!$B$6:$B$3005,$A311,請求記録!$X$6:$X$3005,U$5)=0,"",SUMIFS(請求記録!$AC$6:$AC$3005,請求記録!$B$6:$B$3005,$A311,請求記録!$X$6:$X$3005,U$5))))</f>
        <v/>
      </c>
      <c r="V311" s="19">
        <f>IF($A311="","",IF(COUNTIFS(請求記録!$B$6:$B$3005,$A311,請求記録!$X$6:$X$3005,V$5,請求記録!$AD$6:$AD$3005,"保留中")&gt;0,"保留",IF(COUNTIFS(請求記録!$B$6:$B$3005,$A311,請求記録!$X$6:$X$3005,V$5)=0,"",SUMIFS(請求記録!$AC$6:$AC$3005,請求記録!$B$6:$B$3005,$A311,請求記録!$X$6:$X$3005,V$5))))</f>
        <v/>
      </c>
      <c r="W311" s="19">
        <f>IF($A311="","",IF(COUNTIFS(請求記録!$B$6:$B$3005,$A311,請求記録!$X$6:$X$3005,W$5,請求記録!$AD$6:$AD$3005,"保留中")&gt;0,"保留",IF(COUNTIFS(請求記録!$B$6:$B$3005,$A311,請求記録!$X$6:$X$3005,W$5)=0,"",SUMIFS(請求記録!$AC$6:$AC$3005,請求記録!$B$6:$B$3005,$A311,請求記録!$X$6:$X$3005,W$5))))</f>
        <v/>
      </c>
      <c r="X311" s="19">
        <f>IF($A311="","",IF(COUNTIFS(請求記録!$B$6:$B$3005,$A311,請求記録!$X$6:$X$3005,X$5,請求記録!$AD$6:$AD$3005,"保留中")&gt;0,"保留",IF(COUNTIFS(請求記録!$B$6:$B$3005,$A311,請求記録!$X$6:$X$3005,X$5)=0,"",SUMIFS(請求記録!$AC$6:$AC$3005,請求記録!$B$6:$B$3005,$A311,請求記録!$X$6:$X$3005,X$5))))</f>
        <v/>
      </c>
      <c r="Y311" s="19">
        <f>IF($A311="","",IF(COUNTIFS(請求記録!$B$6:$B$3005,$A311,請求記録!$X$6:$X$3005,Y$5,請求記録!$AD$6:$AD$3005,"保留中")&gt;0,"保留",IF(COUNTIFS(請求記録!$B$6:$B$3005,$A311,請求記録!$X$6:$X$3005,Y$5)=0,"",SUMIFS(請求記録!$AC$6:$AC$3005,請求記録!$B$6:$B$3005,$A311,請求記録!$X$6:$X$3005,Y$5))))</f>
        <v/>
      </c>
      <c r="Z311" s="19">
        <f>IF($A311="","",IF(COUNTIFS(請求記録!$B$6:$B$3005,$A311,請求記録!$X$6:$X$3005,Z$5,請求記録!$AD$6:$AD$3005,"保留中")&gt;0,"保留",IF(COUNTIFS(請求記録!$B$6:$B$3005,$A311,請求記録!$X$6:$X$3005,Z$5)=0,"",SUMIFS(請求記録!$AC$6:$AC$3005,請求記録!$B$6:$B$3005,$A311,請求記録!$X$6:$X$3005,Z$5))))</f>
        <v/>
      </c>
      <c r="AA311" s="19">
        <f>IF($A311="","",IF(COUNTIFS(請求記録!$B$6:$B$3005,$A311,請求記録!$X$6:$X$3005,AA$5,請求記録!$AD$6:$AD$3005,"保留中")&gt;0,"保留",IF(COUNTIFS(請求記録!$B$6:$B$3005,$A311,請求記録!$X$6:$X$3005,AA$5)=0,"",SUMIFS(請求記録!$AC$6:$AC$3005,請求記録!$B$6:$B$3005,$A311,請求記録!$X$6:$X$3005,AA$5))))</f>
        <v/>
      </c>
      <c r="AB311">
        <f>IF(職員マスタ!P311="保留中",職員マスタ!M311,"")</f>
        <v/>
      </c>
    </row>
    <row r="312">
      <c r="A312">
        <f>IF(職員マスタ!A312="","",職員マスタ!A312)</f>
        <v/>
      </c>
      <c r="B312">
        <f>IF($A312="","",職員マスタ!B312)</f>
        <v/>
      </c>
      <c r="C312">
        <f>IF($A312="","",職員マスタ!C312)</f>
        <v/>
      </c>
      <c r="D312" s="19">
        <f>IF($A312="","",IF(COUNTIFS(請求記録!$B$6:$B$3005,$A312,請求記録!$X$6:$X$3005,D$5,請求記録!$AD$6:$AD$3005,"保留中")&gt;0,"保留",IF(COUNTIFS(請求記録!$B$6:$B$3005,$A312,請求記録!$X$6:$X$3005,D$5)=0,"",SUMIFS(請求記録!$AC$6:$AC$3005,請求記録!$B$6:$B$3005,$A312,請求記録!$X$6:$X$3005,D$5))))</f>
        <v/>
      </c>
      <c r="E312" s="19">
        <f>IF($A312="","",IF(COUNTIFS(請求記録!$B$6:$B$3005,$A312,請求記録!$X$6:$X$3005,E$5,請求記録!$AD$6:$AD$3005,"保留中")&gt;0,"保留",IF(COUNTIFS(請求記録!$B$6:$B$3005,$A312,請求記録!$X$6:$X$3005,E$5)=0,"",SUMIFS(請求記録!$AC$6:$AC$3005,請求記録!$B$6:$B$3005,$A312,請求記録!$X$6:$X$3005,E$5))))</f>
        <v/>
      </c>
      <c r="F312" s="19">
        <f>IF($A312="","",IF(COUNTIFS(請求記録!$B$6:$B$3005,$A312,請求記録!$X$6:$X$3005,F$5,請求記録!$AD$6:$AD$3005,"保留中")&gt;0,"保留",IF(COUNTIFS(請求記録!$B$6:$B$3005,$A312,請求記録!$X$6:$X$3005,F$5)=0,"",SUMIFS(請求記録!$AC$6:$AC$3005,請求記録!$B$6:$B$3005,$A312,請求記録!$X$6:$X$3005,F$5))))</f>
        <v/>
      </c>
      <c r="G312" s="19">
        <f>IF($A312="","",IF(COUNTIFS(請求記録!$B$6:$B$3005,$A312,請求記録!$X$6:$X$3005,G$5,請求記録!$AD$6:$AD$3005,"保留中")&gt;0,"保留",IF(COUNTIFS(請求記録!$B$6:$B$3005,$A312,請求記録!$X$6:$X$3005,G$5)=0,"",SUMIFS(請求記録!$AC$6:$AC$3005,請求記録!$B$6:$B$3005,$A312,請求記録!$X$6:$X$3005,G$5))))</f>
        <v/>
      </c>
      <c r="H312" s="19">
        <f>IF($A312="","",IF(COUNTIFS(請求記録!$B$6:$B$3005,$A312,請求記録!$X$6:$X$3005,H$5,請求記録!$AD$6:$AD$3005,"保留中")&gt;0,"保留",IF(COUNTIFS(請求記録!$B$6:$B$3005,$A312,請求記録!$X$6:$X$3005,H$5)=0,"",SUMIFS(請求記録!$AC$6:$AC$3005,請求記録!$B$6:$B$3005,$A312,請求記録!$X$6:$X$3005,H$5))))</f>
        <v/>
      </c>
      <c r="I312" s="19">
        <f>IF($A312="","",IF(COUNTIFS(請求記録!$B$6:$B$3005,$A312,請求記録!$X$6:$X$3005,I$5,請求記録!$AD$6:$AD$3005,"保留中")&gt;0,"保留",IF(COUNTIFS(請求記録!$B$6:$B$3005,$A312,請求記録!$X$6:$X$3005,I$5)=0,"",SUMIFS(請求記録!$AC$6:$AC$3005,請求記録!$B$6:$B$3005,$A312,請求記録!$X$6:$X$3005,I$5))))</f>
        <v/>
      </c>
      <c r="J312" s="19">
        <f>IF($A312="","",IF(COUNTIFS(請求記録!$B$6:$B$3005,$A312,請求記録!$X$6:$X$3005,J$5,請求記録!$AD$6:$AD$3005,"保留中")&gt;0,"保留",IF(COUNTIFS(請求記録!$B$6:$B$3005,$A312,請求記録!$X$6:$X$3005,J$5)=0,"",SUMIFS(請求記録!$AC$6:$AC$3005,請求記録!$B$6:$B$3005,$A312,請求記録!$X$6:$X$3005,J$5))))</f>
        <v/>
      </c>
      <c r="K312" s="19">
        <f>IF($A312="","",IF(COUNTIFS(請求記録!$B$6:$B$3005,$A312,請求記録!$X$6:$X$3005,K$5,請求記録!$AD$6:$AD$3005,"保留中")&gt;0,"保留",IF(COUNTIFS(請求記録!$B$6:$B$3005,$A312,請求記録!$X$6:$X$3005,K$5)=0,"",SUMIFS(請求記録!$AC$6:$AC$3005,請求記録!$B$6:$B$3005,$A312,請求記録!$X$6:$X$3005,K$5))))</f>
        <v/>
      </c>
      <c r="L312" s="19">
        <f>IF($A312="","",IF(COUNTIFS(請求記録!$B$6:$B$3005,$A312,請求記録!$X$6:$X$3005,L$5,請求記録!$AD$6:$AD$3005,"保留中")&gt;0,"保留",IF(COUNTIFS(請求記録!$B$6:$B$3005,$A312,請求記録!$X$6:$X$3005,L$5)=0,"",SUMIFS(請求記録!$AC$6:$AC$3005,請求記録!$B$6:$B$3005,$A312,請求記録!$X$6:$X$3005,L$5))))</f>
        <v/>
      </c>
      <c r="M312" s="19">
        <f>IF($A312="","",IF(COUNTIFS(請求記録!$B$6:$B$3005,$A312,請求記録!$X$6:$X$3005,M$5,請求記録!$AD$6:$AD$3005,"保留中")&gt;0,"保留",IF(COUNTIFS(請求記録!$B$6:$B$3005,$A312,請求記録!$X$6:$X$3005,M$5)=0,"",SUMIFS(請求記録!$AC$6:$AC$3005,請求記録!$B$6:$B$3005,$A312,請求記録!$X$6:$X$3005,M$5))))</f>
        <v/>
      </c>
      <c r="N312" s="19">
        <f>IF($A312="","",IF(COUNTIFS(請求記録!$B$6:$B$3005,$A312,請求記録!$X$6:$X$3005,N$5,請求記録!$AD$6:$AD$3005,"保留中")&gt;0,"保留",IF(COUNTIFS(請求記録!$B$6:$B$3005,$A312,請求記録!$X$6:$X$3005,N$5)=0,"",SUMIFS(請求記録!$AC$6:$AC$3005,請求記録!$B$6:$B$3005,$A312,請求記録!$X$6:$X$3005,N$5))))</f>
        <v/>
      </c>
      <c r="O312" s="19">
        <f>IF($A312="","",IF(COUNTIFS(請求記録!$B$6:$B$3005,$A312,請求記録!$X$6:$X$3005,O$5,請求記録!$AD$6:$AD$3005,"保留中")&gt;0,"保留",IF(COUNTIFS(請求記録!$B$6:$B$3005,$A312,請求記録!$X$6:$X$3005,O$5)=0,"",SUMIFS(請求記録!$AC$6:$AC$3005,請求記録!$B$6:$B$3005,$A312,請求記録!$X$6:$X$3005,O$5))))</f>
        <v/>
      </c>
      <c r="P312" s="19">
        <f>IF($A312="","",IF(COUNTIFS(請求記録!$B$6:$B$3005,$A312,請求記録!$X$6:$X$3005,P$5,請求記録!$AD$6:$AD$3005,"保留中")&gt;0,"保留",IF(COUNTIFS(請求記録!$B$6:$B$3005,$A312,請求記録!$X$6:$X$3005,P$5)=0,"",SUMIFS(請求記録!$AC$6:$AC$3005,請求記録!$B$6:$B$3005,$A312,請求記録!$X$6:$X$3005,P$5))))</f>
        <v/>
      </c>
      <c r="Q312" s="19">
        <f>IF($A312="","",IF(COUNTIFS(請求記録!$B$6:$B$3005,$A312,請求記録!$X$6:$X$3005,Q$5,請求記録!$AD$6:$AD$3005,"保留中")&gt;0,"保留",IF(COUNTIFS(請求記録!$B$6:$B$3005,$A312,請求記録!$X$6:$X$3005,Q$5)=0,"",SUMIFS(請求記録!$AC$6:$AC$3005,請求記録!$B$6:$B$3005,$A312,請求記録!$X$6:$X$3005,Q$5))))</f>
        <v/>
      </c>
      <c r="R312" s="19">
        <f>IF($A312="","",IF(COUNTIFS(請求記録!$B$6:$B$3005,$A312,請求記録!$X$6:$X$3005,R$5,請求記録!$AD$6:$AD$3005,"保留中")&gt;0,"保留",IF(COUNTIFS(請求記録!$B$6:$B$3005,$A312,請求記録!$X$6:$X$3005,R$5)=0,"",SUMIFS(請求記録!$AC$6:$AC$3005,請求記録!$B$6:$B$3005,$A312,請求記録!$X$6:$X$3005,R$5))))</f>
        <v/>
      </c>
      <c r="S312" s="19">
        <f>IF($A312="","",IF(COUNTIFS(請求記録!$B$6:$B$3005,$A312,請求記録!$X$6:$X$3005,S$5,請求記録!$AD$6:$AD$3005,"保留中")&gt;0,"保留",IF(COUNTIFS(請求記録!$B$6:$B$3005,$A312,請求記録!$X$6:$X$3005,S$5)=0,"",SUMIFS(請求記録!$AC$6:$AC$3005,請求記録!$B$6:$B$3005,$A312,請求記録!$X$6:$X$3005,S$5))))</f>
        <v/>
      </c>
      <c r="T312" s="19">
        <f>IF($A312="","",IF(COUNTIFS(請求記録!$B$6:$B$3005,$A312,請求記録!$X$6:$X$3005,T$5,請求記録!$AD$6:$AD$3005,"保留中")&gt;0,"保留",IF(COUNTIFS(請求記録!$B$6:$B$3005,$A312,請求記録!$X$6:$X$3005,T$5)=0,"",SUMIFS(請求記録!$AC$6:$AC$3005,請求記録!$B$6:$B$3005,$A312,請求記録!$X$6:$X$3005,T$5))))</f>
        <v/>
      </c>
      <c r="U312" s="19">
        <f>IF($A312="","",IF(COUNTIFS(請求記録!$B$6:$B$3005,$A312,請求記録!$X$6:$X$3005,U$5,請求記録!$AD$6:$AD$3005,"保留中")&gt;0,"保留",IF(COUNTIFS(請求記録!$B$6:$B$3005,$A312,請求記録!$X$6:$X$3005,U$5)=0,"",SUMIFS(請求記録!$AC$6:$AC$3005,請求記録!$B$6:$B$3005,$A312,請求記録!$X$6:$X$3005,U$5))))</f>
        <v/>
      </c>
      <c r="V312" s="19">
        <f>IF($A312="","",IF(COUNTIFS(請求記録!$B$6:$B$3005,$A312,請求記録!$X$6:$X$3005,V$5,請求記録!$AD$6:$AD$3005,"保留中")&gt;0,"保留",IF(COUNTIFS(請求記録!$B$6:$B$3005,$A312,請求記録!$X$6:$X$3005,V$5)=0,"",SUMIFS(請求記録!$AC$6:$AC$3005,請求記録!$B$6:$B$3005,$A312,請求記録!$X$6:$X$3005,V$5))))</f>
        <v/>
      </c>
      <c r="W312" s="19">
        <f>IF($A312="","",IF(COUNTIFS(請求記録!$B$6:$B$3005,$A312,請求記録!$X$6:$X$3005,W$5,請求記録!$AD$6:$AD$3005,"保留中")&gt;0,"保留",IF(COUNTIFS(請求記録!$B$6:$B$3005,$A312,請求記録!$X$6:$X$3005,W$5)=0,"",SUMIFS(請求記録!$AC$6:$AC$3005,請求記録!$B$6:$B$3005,$A312,請求記録!$X$6:$X$3005,W$5))))</f>
        <v/>
      </c>
      <c r="X312" s="19">
        <f>IF($A312="","",IF(COUNTIFS(請求記録!$B$6:$B$3005,$A312,請求記録!$X$6:$X$3005,X$5,請求記録!$AD$6:$AD$3005,"保留中")&gt;0,"保留",IF(COUNTIFS(請求記録!$B$6:$B$3005,$A312,請求記録!$X$6:$X$3005,X$5)=0,"",SUMIFS(請求記録!$AC$6:$AC$3005,請求記録!$B$6:$B$3005,$A312,請求記録!$X$6:$X$3005,X$5))))</f>
        <v/>
      </c>
      <c r="Y312" s="19">
        <f>IF($A312="","",IF(COUNTIFS(請求記録!$B$6:$B$3005,$A312,請求記録!$X$6:$X$3005,Y$5,請求記録!$AD$6:$AD$3005,"保留中")&gt;0,"保留",IF(COUNTIFS(請求記録!$B$6:$B$3005,$A312,請求記録!$X$6:$X$3005,Y$5)=0,"",SUMIFS(請求記録!$AC$6:$AC$3005,請求記録!$B$6:$B$3005,$A312,請求記録!$X$6:$X$3005,Y$5))))</f>
        <v/>
      </c>
      <c r="Z312" s="19">
        <f>IF($A312="","",IF(COUNTIFS(請求記録!$B$6:$B$3005,$A312,請求記録!$X$6:$X$3005,Z$5,請求記録!$AD$6:$AD$3005,"保留中")&gt;0,"保留",IF(COUNTIFS(請求記録!$B$6:$B$3005,$A312,請求記録!$X$6:$X$3005,Z$5)=0,"",SUMIFS(請求記録!$AC$6:$AC$3005,請求記録!$B$6:$B$3005,$A312,請求記録!$X$6:$X$3005,Z$5))))</f>
        <v/>
      </c>
      <c r="AA312" s="19">
        <f>IF($A312="","",IF(COUNTIFS(請求記録!$B$6:$B$3005,$A312,請求記録!$X$6:$X$3005,AA$5,請求記録!$AD$6:$AD$3005,"保留中")&gt;0,"保留",IF(COUNTIFS(請求記録!$B$6:$B$3005,$A312,請求記録!$X$6:$X$3005,AA$5)=0,"",SUMIFS(請求記録!$AC$6:$AC$3005,請求記録!$B$6:$B$3005,$A312,請求記録!$X$6:$X$3005,AA$5))))</f>
        <v/>
      </c>
      <c r="AB312">
        <f>IF(職員マスタ!P312="保留中",職員マスタ!M312,"")</f>
        <v/>
      </c>
    </row>
    <row r="313">
      <c r="A313">
        <f>IF(職員マスタ!A313="","",職員マスタ!A313)</f>
        <v/>
      </c>
      <c r="B313">
        <f>IF($A313="","",職員マスタ!B313)</f>
        <v/>
      </c>
      <c r="C313">
        <f>IF($A313="","",職員マスタ!C313)</f>
        <v/>
      </c>
      <c r="D313" s="19">
        <f>IF($A313="","",IF(COUNTIFS(請求記録!$B$6:$B$3005,$A313,請求記録!$X$6:$X$3005,D$5,請求記録!$AD$6:$AD$3005,"保留中")&gt;0,"保留",IF(COUNTIFS(請求記録!$B$6:$B$3005,$A313,請求記録!$X$6:$X$3005,D$5)=0,"",SUMIFS(請求記録!$AC$6:$AC$3005,請求記録!$B$6:$B$3005,$A313,請求記録!$X$6:$X$3005,D$5))))</f>
        <v/>
      </c>
      <c r="E313" s="19">
        <f>IF($A313="","",IF(COUNTIFS(請求記録!$B$6:$B$3005,$A313,請求記録!$X$6:$X$3005,E$5,請求記録!$AD$6:$AD$3005,"保留中")&gt;0,"保留",IF(COUNTIFS(請求記録!$B$6:$B$3005,$A313,請求記録!$X$6:$X$3005,E$5)=0,"",SUMIFS(請求記録!$AC$6:$AC$3005,請求記録!$B$6:$B$3005,$A313,請求記録!$X$6:$X$3005,E$5))))</f>
        <v/>
      </c>
      <c r="F313" s="19">
        <f>IF($A313="","",IF(COUNTIFS(請求記録!$B$6:$B$3005,$A313,請求記録!$X$6:$X$3005,F$5,請求記録!$AD$6:$AD$3005,"保留中")&gt;0,"保留",IF(COUNTIFS(請求記録!$B$6:$B$3005,$A313,請求記録!$X$6:$X$3005,F$5)=0,"",SUMIFS(請求記録!$AC$6:$AC$3005,請求記録!$B$6:$B$3005,$A313,請求記録!$X$6:$X$3005,F$5))))</f>
        <v/>
      </c>
      <c r="G313" s="19">
        <f>IF($A313="","",IF(COUNTIFS(請求記録!$B$6:$B$3005,$A313,請求記録!$X$6:$X$3005,G$5,請求記録!$AD$6:$AD$3005,"保留中")&gt;0,"保留",IF(COUNTIFS(請求記録!$B$6:$B$3005,$A313,請求記録!$X$6:$X$3005,G$5)=0,"",SUMIFS(請求記録!$AC$6:$AC$3005,請求記録!$B$6:$B$3005,$A313,請求記録!$X$6:$X$3005,G$5))))</f>
        <v/>
      </c>
      <c r="H313" s="19">
        <f>IF($A313="","",IF(COUNTIFS(請求記録!$B$6:$B$3005,$A313,請求記録!$X$6:$X$3005,H$5,請求記録!$AD$6:$AD$3005,"保留中")&gt;0,"保留",IF(COUNTIFS(請求記録!$B$6:$B$3005,$A313,請求記録!$X$6:$X$3005,H$5)=0,"",SUMIFS(請求記録!$AC$6:$AC$3005,請求記録!$B$6:$B$3005,$A313,請求記録!$X$6:$X$3005,H$5))))</f>
        <v/>
      </c>
      <c r="I313" s="19">
        <f>IF($A313="","",IF(COUNTIFS(請求記録!$B$6:$B$3005,$A313,請求記録!$X$6:$X$3005,I$5,請求記録!$AD$6:$AD$3005,"保留中")&gt;0,"保留",IF(COUNTIFS(請求記録!$B$6:$B$3005,$A313,請求記録!$X$6:$X$3005,I$5)=0,"",SUMIFS(請求記録!$AC$6:$AC$3005,請求記録!$B$6:$B$3005,$A313,請求記録!$X$6:$X$3005,I$5))))</f>
        <v/>
      </c>
      <c r="J313" s="19">
        <f>IF($A313="","",IF(COUNTIFS(請求記録!$B$6:$B$3005,$A313,請求記録!$X$6:$X$3005,J$5,請求記録!$AD$6:$AD$3005,"保留中")&gt;0,"保留",IF(COUNTIFS(請求記録!$B$6:$B$3005,$A313,請求記録!$X$6:$X$3005,J$5)=0,"",SUMIFS(請求記録!$AC$6:$AC$3005,請求記録!$B$6:$B$3005,$A313,請求記録!$X$6:$X$3005,J$5))))</f>
        <v/>
      </c>
      <c r="K313" s="19">
        <f>IF($A313="","",IF(COUNTIFS(請求記録!$B$6:$B$3005,$A313,請求記録!$X$6:$X$3005,K$5,請求記録!$AD$6:$AD$3005,"保留中")&gt;0,"保留",IF(COUNTIFS(請求記録!$B$6:$B$3005,$A313,請求記録!$X$6:$X$3005,K$5)=0,"",SUMIFS(請求記録!$AC$6:$AC$3005,請求記録!$B$6:$B$3005,$A313,請求記録!$X$6:$X$3005,K$5))))</f>
        <v/>
      </c>
      <c r="L313" s="19">
        <f>IF($A313="","",IF(COUNTIFS(請求記録!$B$6:$B$3005,$A313,請求記録!$X$6:$X$3005,L$5,請求記録!$AD$6:$AD$3005,"保留中")&gt;0,"保留",IF(COUNTIFS(請求記録!$B$6:$B$3005,$A313,請求記録!$X$6:$X$3005,L$5)=0,"",SUMIFS(請求記録!$AC$6:$AC$3005,請求記録!$B$6:$B$3005,$A313,請求記録!$X$6:$X$3005,L$5))))</f>
        <v/>
      </c>
      <c r="M313" s="19">
        <f>IF($A313="","",IF(COUNTIFS(請求記録!$B$6:$B$3005,$A313,請求記録!$X$6:$X$3005,M$5,請求記録!$AD$6:$AD$3005,"保留中")&gt;0,"保留",IF(COUNTIFS(請求記録!$B$6:$B$3005,$A313,請求記録!$X$6:$X$3005,M$5)=0,"",SUMIFS(請求記録!$AC$6:$AC$3005,請求記録!$B$6:$B$3005,$A313,請求記録!$X$6:$X$3005,M$5))))</f>
        <v/>
      </c>
      <c r="N313" s="19">
        <f>IF($A313="","",IF(COUNTIFS(請求記録!$B$6:$B$3005,$A313,請求記録!$X$6:$X$3005,N$5,請求記録!$AD$6:$AD$3005,"保留中")&gt;0,"保留",IF(COUNTIFS(請求記録!$B$6:$B$3005,$A313,請求記録!$X$6:$X$3005,N$5)=0,"",SUMIFS(請求記録!$AC$6:$AC$3005,請求記録!$B$6:$B$3005,$A313,請求記録!$X$6:$X$3005,N$5))))</f>
        <v/>
      </c>
      <c r="O313" s="19">
        <f>IF($A313="","",IF(COUNTIFS(請求記録!$B$6:$B$3005,$A313,請求記録!$X$6:$X$3005,O$5,請求記録!$AD$6:$AD$3005,"保留中")&gt;0,"保留",IF(COUNTIFS(請求記録!$B$6:$B$3005,$A313,請求記録!$X$6:$X$3005,O$5)=0,"",SUMIFS(請求記録!$AC$6:$AC$3005,請求記録!$B$6:$B$3005,$A313,請求記録!$X$6:$X$3005,O$5))))</f>
        <v/>
      </c>
      <c r="P313" s="19">
        <f>IF($A313="","",IF(COUNTIFS(請求記録!$B$6:$B$3005,$A313,請求記録!$X$6:$X$3005,P$5,請求記録!$AD$6:$AD$3005,"保留中")&gt;0,"保留",IF(COUNTIFS(請求記録!$B$6:$B$3005,$A313,請求記録!$X$6:$X$3005,P$5)=0,"",SUMIFS(請求記録!$AC$6:$AC$3005,請求記録!$B$6:$B$3005,$A313,請求記録!$X$6:$X$3005,P$5))))</f>
        <v/>
      </c>
      <c r="Q313" s="19">
        <f>IF($A313="","",IF(COUNTIFS(請求記録!$B$6:$B$3005,$A313,請求記録!$X$6:$X$3005,Q$5,請求記録!$AD$6:$AD$3005,"保留中")&gt;0,"保留",IF(COUNTIFS(請求記録!$B$6:$B$3005,$A313,請求記録!$X$6:$X$3005,Q$5)=0,"",SUMIFS(請求記録!$AC$6:$AC$3005,請求記録!$B$6:$B$3005,$A313,請求記録!$X$6:$X$3005,Q$5))))</f>
        <v/>
      </c>
      <c r="R313" s="19">
        <f>IF($A313="","",IF(COUNTIFS(請求記録!$B$6:$B$3005,$A313,請求記録!$X$6:$X$3005,R$5,請求記録!$AD$6:$AD$3005,"保留中")&gt;0,"保留",IF(COUNTIFS(請求記録!$B$6:$B$3005,$A313,請求記録!$X$6:$X$3005,R$5)=0,"",SUMIFS(請求記録!$AC$6:$AC$3005,請求記録!$B$6:$B$3005,$A313,請求記録!$X$6:$X$3005,R$5))))</f>
        <v/>
      </c>
      <c r="S313" s="19">
        <f>IF($A313="","",IF(COUNTIFS(請求記録!$B$6:$B$3005,$A313,請求記録!$X$6:$X$3005,S$5,請求記録!$AD$6:$AD$3005,"保留中")&gt;0,"保留",IF(COUNTIFS(請求記録!$B$6:$B$3005,$A313,請求記録!$X$6:$X$3005,S$5)=0,"",SUMIFS(請求記録!$AC$6:$AC$3005,請求記録!$B$6:$B$3005,$A313,請求記録!$X$6:$X$3005,S$5))))</f>
        <v/>
      </c>
      <c r="T313" s="19">
        <f>IF($A313="","",IF(COUNTIFS(請求記録!$B$6:$B$3005,$A313,請求記録!$X$6:$X$3005,T$5,請求記録!$AD$6:$AD$3005,"保留中")&gt;0,"保留",IF(COUNTIFS(請求記録!$B$6:$B$3005,$A313,請求記録!$X$6:$X$3005,T$5)=0,"",SUMIFS(請求記録!$AC$6:$AC$3005,請求記録!$B$6:$B$3005,$A313,請求記録!$X$6:$X$3005,T$5))))</f>
        <v/>
      </c>
      <c r="U313" s="19">
        <f>IF($A313="","",IF(COUNTIFS(請求記録!$B$6:$B$3005,$A313,請求記録!$X$6:$X$3005,U$5,請求記録!$AD$6:$AD$3005,"保留中")&gt;0,"保留",IF(COUNTIFS(請求記録!$B$6:$B$3005,$A313,請求記録!$X$6:$X$3005,U$5)=0,"",SUMIFS(請求記録!$AC$6:$AC$3005,請求記録!$B$6:$B$3005,$A313,請求記録!$X$6:$X$3005,U$5))))</f>
        <v/>
      </c>
      <c r="V313" s="19">
        <f>IF($A313="","",IF(COUNTIFS(請求記録!$B$6:$B$3005,$A313,請求記録!$X$6:$X$3005,V$5,請求記録!$AD$6:$AD$3005,"保留中")&gt;0,"保留",IF(COUNTIFS(請求記録!$B$6:$B$3005,$A313,請求記録!$X$6:$X$3005,V$5)=0,"",SUMIFS(請求記録!$AC$6:$AC$3005,請求記録!$B$6:$B$3005,$A313,請求記録!$X$6:$X$3005,V$5))))</f>
        <v/>
      </c>
      <c r="W313" s="19">
        <f>IF($A313="","",IF(COUNTIFS(請求記録!$B$6:$B$3005,$A313,請求記録!$X$6:$X$3005,W$5,請求記録!$AD$6:$AD$3005,"保留中")&gt;0,"保留",IF(COUNTIFS(請求記録!$B$6:$B$3005,$A313,請求記録!$X$6:$X$3005,W$5)=0,"",SUMIFS(請求記録!$AC$6:$AC$3005,請求記録!$B$6:$B$3005,$A313,請求記録!$X$6:$X$3005,W$5))))</f>
        <v/>
      </c>
      <c r="X313" s="19">
        <f>IF($A313="","",IF(COUNTIFS(請求記録!$B$6:$B$3005,$A313,請求記録!$X$6:$X$3005,X$5,請求記録!$AD$6:$AD$3005,"保留中")&gt;0,"保留",IF(COUNTIFS(請求記録!$B$6:$B$3005,$A313,請求記録!$X$6:$X$3005,X$5)=0,"",SUMIFS(請求記録!$AC$6:$AC$3005,請求記録!$B$6:$B$3005,$A313,請求記録!$X$6:$X$3005,X$5))))</f>
        <v/>
      </c>
      <c r="Y313" s="19">
        <f>IF($A313="","",IF(COUNTIFS(請求記録!$B$6:$B$3005,$A313,請求記録!$X$6:$X$3005,Y$5,請求記録!$AD$6:$AD$3005,"保留中")&gt;0,"保留",IF(COUNTIFS(請求記録!$B$6:$B$3005,$A313,請求記録!$X$6:$X$3005,Y$5)=0,"",SUMIFS(請求記録!$AC$6:$AC$3005,請求記録!$B$6:$B$3005,$A313,請求記録!$X$6:$X$3005,Y$5))))</f>
        <v/>
      </c>
      <c r="Z313" s="19">
        <f>IF($A313="","",IF(COUNTIFS(請求記録!$B$6:$B$3005,$A313,請求記録!$X$6:$X$3005,Z$5,請求記録!$AD$6:$AD$3005,"保留中")&gt;0,"保留",IF(COUNTIFS(請求記録!$B$6:$B$3005,$A313,請求記録!$X$6:$X$3005,Z$5)=0,"",SUMIFS(請求記録!$AC$6:$AC$3005,請求記録!$B$6:$B$3005,$A313,請求記録!$X$6:$X$3005,Z$5))))</f>
        <v/>
      </c>
      <c r="AA313" s="19">
        <f>IF($A313="","",IF(COUNTIFS(請求記録!$B$6:$B$3005,$A313,請求記録!$X$6:$X$3005,AA$5,請求記録!$AD$6:$AD$3005,"保留中")&gt;0,"保留",IF(COUNTIFS(請求記録!$B$6:$B$3005,$A313,請求記録!$X$6:$X$3005,AA$5)=0,"",SUMIFS(請求記録!$AC$6:$AC$3005,請求記録!$B$6:$B$3005,$A313,請求記録!$X$6:$X$3005,AA$5))))</f>
        <v/>
      </c>
      <c r="AB313">
        <f>IF(職員マスタ!P313="保留中",職員マスタ!M313,"")</f>
        <v/>
      </c>
    </row>
    <row r="314">
      <c r="A314">
        <f>IF(職員マスタ!A314="","",職員マスタ!A314)</f>
        <v/>
      </c>
      <c r="B314">
        <f>IF($A314="","",職員マスタ!B314)</f>
        <v/>
      </c>
      <c r="C314">
        <f>IF($A314="","",職員マスタ!C314)</f>
        <v/>
      </c>
      <c r="D314" s="19">
        <f>IF($A314="","",IF(COUNTIFS(請求記録!$B$6:$B$3005,$A314,請求記録!$X$6:$X$3005,D$5,請求記録!$AD$6:$AD$3005,"保留中")&gt;0,"保留",IF(COUNTIFS(請求記録!$B$6:$B$3005,$A314,請求記録!$X$6:$X$3005,D$5)=0,"",SUMIFS(請求記録!$AC$6:$AC$3005,請求記録!$B$6:$B$3005,$A314,請求記録!$X$6:$X$3005,D$5))))</f>
        <v/>
      </c>
      <c r="E314" s="19">
        <f>IF($A314="","",IF(COUNTIFS(請求記録!$B$6:$B$3005,$A314,請求記録!$X$6:$X$3005,E$5,請求記録!$AD$6:$AD$3005,"保留中")&gt;0,"保留",IF(COUNTIFS(請求記録!$B$6:$B$3005,$A314,請求記録!$X$6:$X$3005,E$5)=0,"",SUMIFS(請求記録!$AC$6:$AC$3005,請求記録!$B$6:$B$3005,$A314,請求記録!$X$6:$X$3005,E$5))))</f>
        <v/>
      </c>
      <c r="F314" s="19">
        <f>IF($A314="","",IF(COUNTIFS(請求記録!$B$6:$B$3005,$A314,請求記録!$X$6:$X$3005,F$5,請求記録!$AD$6:$AD$3005,"保留中")&gt;0,"保留",IF(COUNTIFS(請求記録!$B$6:$B$3005,$A314,請求記録!$X$6:$X$3005,F$5)=0,"",SUMIFS(請求記録!$AC$6:$AC$3005,請求記録!$B$6:$B$3005,$A314,請求記録!$X$6:$X$3005,F$5))))</f>
        <v/>
      </c>
      <c r="G314" s="19">
        <f>IF($A314="","",IF(COUNTIFS(請求記録!$B$6:$B$3005,$A314,請求記録!$X$6:$X$3005,G$5,請求記録!$AD$6:$AD$3005,"保留中")&gt;0,"保留",IF(COUNTIFS(請求記録!$B$6:$B$3005,$A314,請求記録!$X$6:$X$3005,G$5)=0,"",SUMIFS(請求記録!$AC$6:$AC$3005,請求記録!$B$6:$B$3005,$A314,請求記録!$X$6:$X$3005,G$5))))</f>
        <v/>
      </c>
      <c r="H314" s="19">
        <f>IF($A314="","",IF(COUNTIFS(請求記録!$B$6:$B$3005,$A314,請求記録!$X$6:$X$3005,H$5,請求記録!$AD$6:$AD$3005,"保留中")&gt;0,"保留",IF(COUNTIFS(請求記録!$B$6:$B$3005,$A314,請求記録!$X$6:$X$3005,H$5)=0,"",SUMIFS(請求記録!$AC$6:$AC$3005,請求記録!$B$6:$B$3005,$A314,請求記録!$X$6:$X$3005,H$5))))</f>
        <v/>
      </c>
      <c r="I314" s="19">
        <f>IF($A314="","",IF(COUNTIFS(請求記録!$B$6:$B$3005,$A314,請求記録!$X$6:$X$3005,I$5,請求記録!$AD$6:$AD$3005,"保留中")&gt;0,"保留",IF(COUNTIFS(請求記録!$B$6:$B$3005,$A314,請求記録!$X$6:$X$3005,I$5)=0,"",SUMIFS(請求記録!$AC$6:$AC$3005,請求記録!$B$6:$B$3005,$A314,請求記録!$X$6:$X$3005,I$5))))</f>
        <v/>
      </c>
      <c r="J314" s="19">
        <f>IF($A314="","",IF(COUNTIFS(請求記録!$B$6:$B$3005,$A314,請求記録!$X$6:$X$3005,J$5,請求記録!$AD$6:$AD$3005,"保留中")&gt;0,"保留",IF(COUNTIFS(請求記録!$B$6:$B$3005,$A314,請求記録!$X$6:$X$3005,J$5)=0,"",SUMIFS(請求記録!$AC$6:$AC$3005,請求記録!$B$6:$B$3005,$A314,請求記録!$X$6:$X$3005,J$5))))</f>
        <v/>
      </c>
      <c r="K314" s="19">
        <f>IF($A314="","",IF(COUNTIFS(請求記録!$B$6:$B$3005,$A314,請求記録!$X$6:$X$3005,K$5,請求記録!$AD$6:$AD$3005,"保留中")&gt;0,"保留",IF(COUNTIFS(請求記録!$B$6:$B$3005,$A314,請求記録!$X$6:$X$3005,K$5)=0,"",SUMIFS(請求記録!$AC$6:$AC$3005,請求記録!$B$6:$B$3005,$A314,請求記録!$X$6:$X$3005,K$5))))</f>
        <v/>
      </c>
      <c r="L314" s="19">
        <f>IF($A314="","",IF(COUNTIFS(請求記録!$B$6:$B$3005,$A314,請求記録!$X$6:$X$3005,L$5,請求記録!$AD$6:$AD$3005,"保留中")&gt;0,"保留",IF(COUNTIFS(請求記録!$B$6:$B$3005,$A314,請求記録!$X$6:$X$3005,L$5)=0,"",SUMIFS(請求記録!$AC$6:$AC$3005,請求記録!$B$6:$B$3005,$A314,請求記録!$X$6:$X$3005,L$5))))</f>
        <v/>
      </c>
      <c r="M314" s="19">
        <f>IF($A314="","",IF(COUNTIFS(請求記録!$B$6:$B$3005,$A314,請求記録!$X$6:$X$3005,M$5,請求記録!$AD$6:$AD$3005,"保留中")&gt;0,"保留",IF(COUNTIFS(請求記録!$B$6:$B$3005,$A314,請求記録!$X$6:$X$3005,M$5)=0,"",SUMIFS(請求記録!$AC$6:$AC$3005,請求記録!$B$6:$B$3005,$A314,請求記録!$X$6:$X$3005,M$5))))</f>
        <v/>
      </c>
      <c r="N314" s="19">
        <f>IF($A314="","",IF(COUNTIFS(請求記録!$B$6:$B$3005,$A314,請求記録!$X$6:$X$3005,N$5,請求記録!$AD$6:$AD$3005,"保留中")&gt;0,"保留",IF(COUNTIFS(請求記録!$B$6:$B$3005,$A314,請求記録!$X$6:$X$3005,N$5)=0,"",SUMIFS(請求記録!$AC$6:$AC$3005,請求記録!$B$6:$B$3005,$A314,請求記録!$X$6:$X$3005,N$5))))</f>
        <v/>
      </c>
      <c r="O314" s="19">
        <f>IF($A314="","",IF(COUNTIFS(請求記録!$B$6:$B$3005,$A314,請求記録!$X$6:$X$3005,O$5,請求記録!$AD$6:$AD$3005,"保留中")&gt;0,"保留",IF(COUNTIFS(請求記録!$B$6:$B$3005,$A314,請求記録!$X$6:$X$3005,O$5)=0,"",SUMIFS(請求記録!$AC$6:$AC$3005,請求記録!$B$6:$B$3005,$A314,請求記録!$X$6:$X$3005,O$5))))</f>
        <v/>
      </c>
      <c r="P314" s="19">
        <f>IF($A314="","",IF(COUNTIFS(請求記録!$B$6:$B$3005,$A314,請求記録!$X$6:$X$3005,P$5,請求記録!$AD$6:$AD$3005,"保留中")&gt;0,"保留",IF(COUNTIFS(請求記録!$B$6:$B$3005,$A314,請求記録!$X$6:$X$3005,P$5)=0,"",SUMIFS(請求記録!$AC$6:$AC$3005,請求記録!$B$6:$B$3005,$A314,請求記録!$X$6:$X$3005,P$5))))</f>
        <v/>
      </c>
      <c r="Q314" s="19">
        <f>IF($A314="","",IF(COUNTIFS(請求記録!$B$6:$B$3005,$A314,請求記録!$X$6:$X$3005,Q$5,請求記録!$AD$6:$AD$3005,"保留中")&gt;0,"保留",IF(COUNTIFS(請求記録!$B$6:$B$3005,$A314,請求記録!$X$6:$X$3005,Q$5)=0,"",SUMIFS(請求記録!$AC$6:$AC$3005,請求記録!$B$6:$B$3005,$A314,請求記録!$X$6:$X$3005,Q$5))))</f>
        <v/>
      </c>
      <c r="R314" s="19">
        <f>IF($A314="","",IF(COUNTIFS(請求記録!$B$6:$B$3005,$A314,請求記録!$X$6:$X$3005,R$5,請求記録!$AD$6:$AD$3005,"保留中")&gt;0,"保留",IF(COUNTIFS(請求記録!$B$6:$B$3005,$A314,請求記録!$X$6:$X$3005,R$5)=0,"",SUMIFS(請求記録!$AC$6:$AC$3005,請求記録!$B$6:$B$3005,$A314,請求記録!$X$6:$X$3005,R$5))))</f>
        <v/>
      </c>
      <c r="S314" s="19">
        <f>IF($A314="","",IF(COUNTIFS(請求記録!$B$6:$B$3005,$A314,請求記録!$X$6:$X$3005,S$5,請求記録!$AD$6:$AD$3005,"保留中")&gt;0,"保留",IF(COUNTIFS(請求記録!$B$6:$B$3005,$A314,請求記録!$X$6:$X$3005,S$5)=0,"",SUMIFS(請求記録!$AC$6:$AC$3005,請求記録!$B$6:$B$3005,$A314,請求記録!$X$6:$X$3005,S$5))))</f>
        <v/>
      </c>
      <c r="T314" s="19">
        <f>IF($A314="","",IF(COUNTIFS(請求記録!$B$6:$B$3005,$A314,請求記録!$X$6:$X$3005,T$5,請求記録!$AD$6:$AD$3005,"保留中")&gt;0,"保留",IF(COUNTIFS(請求記録!$B$6:$B$3005,$A314,請求記録!$X$6:$X$3005,T$5)=0,"",SUMIFS(請求記録!$AC$6:$AC$3005,請求記録!$B$6:$B$3005,$A314,請求記録!$X$6:$X$3005,T$5))))</f>
        <v/>
      </c>
      <c r="U314" s="19">
        <f>IF($A314="","",IF(COUNTIFS(請求記録!$B$6:$B$3005,$A314,請求記録!$X$6:$X$3005,U$5,請求記録!$AD$6:$AD$3005,"保留中")&gt;0,"保留",IF(COUNTIFS(請求記録!$B$6:$B$3005,$A314,請求記録!$X$6:$X$3005,U$5)=0,"",SUMIFS(請求記録!$AC$6:$AC$3005,請求記録!$B$6:$B$3005,$A314,請求記録!$X$6:$X$3005,U$5))))</f>
        <v/>
      </c>
      <c r="V314" s="19">
        <f>IF($A314="","",IF(COUNTIFS(請求記録!$B$6:$B$3005,$A314,請求記録!$X$6:$X$3005,V$5,請求記録!$AD$6:$AD$3005,"保留中")&gt;0,"保留",IF(COUNTIFS(請求記録!$B$6:$B$3005,$A314,請求記録!$X$6:$X$3005,V$5)=0,"",SUMIFS(請求記録!$AC$6:$AC$3005,請求記録!$B$6:$B$3005,$A314,請求記録!$X$6:$X$3005,V$5))))</f>
        <v/>
      </c>
      <c r="W314" s="19">
        <f>IF($A314="","",IF(COUNTIFS(請求記録!$B$6:$B$3005,$A314,請求記録!$X$6:$X$3005,W$5,請求記録!$AD$6:$AD$3005,"保留中")&gt;0,"保留",IF(COUNTIFS(請求記録!$B$6:$B$3005,$A314,請求記録!$X$6:$X$3005,W$5)=0,"",SUMIFS(請求記録!$AC$6:$AC$3005,請求記録!$B$6:$B$3005,$A314,請求記録!$X$6:$X$3005,W$5))))</f>
        <v/>
      </c>
      <c r="X314" s="19">
        <f>IF($A314="","",IF(COUNTIFS(請求記録!$B$6:$B$3005,$A314,請求記録!$X$6:$X$3005,X$5,請求記録!$AD$6:$AD$3005,"保留中")&gt;0,"保留",IF(COUNTIFS(請求記録!$B$6:$B$3005,$A314,請求記録!$X$6:$X$3005,X$5)=0,"",SUMIFS(請求記録!$AC$6:$AC$3005,請求記録!$B$6:$B$3005,$A314,請求記録!$X$6:$X$3005,X$5))))</f>
        <v/>
      </c>
      <c r="Y314" s="19">
        <f>IF($A314="","",IF(COUNTIFS(請求記録!$B$6:$B$3005,$A314,請求記録!$X$6:$X$3005,Y$5,請求記録!$AD$6:$AD$3005,"保留中")&gt;0,"保留",IF(COUNTIFS(請求記録!$B$6:$B$3005,$A314,請求記録!$X$6:$X$3005,Y$5)=0,"",SUMIFS(請求記録!$AC$6:$AC$3005,請求記録!$B$6:$B$3005,$A314,請求記録!$X$6:$X$3005,Y$5))))</f>
        <v/>
      </c>
      <c r="Z314" s="19">
        <f>IF($A314="","",IF(COUNTIFS(請求記録!$B$6:$B$3005,$A314,請求記録!$X$6:$X$3005,Z$5,請求記録!$AD$6:$AD$3005,"保留中")&gt;0,"保留",IF(COUNTIFS(請求記録!$B$6:$B$3005,$A314,請求記録!$X$6:$X$3005,Z$5)=0,"",SUMIFS(請求記録!$AC$6:$AC$3005,請求記録!$B$6:$B$3005,$A314,請求記録!$X$6:$X$3005,Z$5))))</f>
        <v/>
      </c>
      <c r="AA314" s="19">
        <f>IF($A314="","",IF(COUNTIFS(請求記録!$B$6:$B$3005,$A314,請求記録!$X$6:$X$3005,AA$5,請求記録!$AD$6:$AD$3005,"保留中")&gt;0,"保留",IF(COUNTIFS(請求記録!$B$6:$B$3005,$A314,請求記録!$X$6:$X$3005,AA$5)=0,"",SUMIFS(請求記録!$AC$6:$AC$3005,請求記録!$B$6:$B$3005,$A314,請求記録!$X$6:$X$3005,AA$5))))</f>
        <v/>
      </c>
      <c r="AB314">
        <f>IF(職員マスタ!P314="保留中",職員マスタ!M314,"")</f>
        <v/>
      </c>
    </row>
    <row r="315">
      <c r="A315">
        <f>IF(職員マスタ!A315="","",職員マスタ!A315)</f>
        <v/>
      </c>
      <c r="B315">
        <f>IF($A315="","",職員マスタ!B315)</f>
        <v/>
      </c>
      <c r="C315">
        <f>IF($A315="","",職員マスタ!C315)</f>
        <v/>
      </c>
      <c r="D315" s="19">
        <f>IF($A315="","",IF(COUNTIFS(請求記録!$B$6:$B$3005,$A315,請求記録!$X$6:$X$3005,D$5,請求記録!$AD$6:$AD$3005,"保留中")&gt;0,"保留",IF(COUNTIFS(請求記録!$B$6:$B$3005,$A315,請求記録!$X$6:$X$3005,D$5)=0,"",SUMIFS(請求記録!$AC$6:$AC$3005,請求記録!$B$6:$B$3005,$A315,請求記録!$X$6:$X$3005,D$5))))</f>
        <v/>
      </c>
      <c r="E315" s="19">
        <f>IF($A315="","",IF(COUNTIFS(請求記録!$B$6:$B$3005,$A315,請求記録!$X$6:$X$3005,E$5,請求記録!$AD$6:$AD$3005,"保留中")&gt;0,"保留",IF(COUNTIFS(請求記録!$B$6:$B$3005,$A315,請求記録!$X$6:$X$3005,E$5)=0,"",SUMIFS(請求記録!$AC$6:$AC$3005,請求記録!$B$6:$B$3005,$A315,請求記録!$X$6:$X$3005,E$5))))</f>
        <v/>
      </c>
      <c r="F315" s="19">
        <f>IF($A315="","",IF(COUNTIFS(請求記録!$B$6:$B$3005,$A315,請求記録!$X$6:$X$3005,F$5,請求記録!$AD$6:$AD$3005,"保留中")&gt;0,"保留",IF(COUNTIFS(請求記録!$B$6:$B$3005,$A315,請求記録!$X$6:$X$3005,F$5)=0,"",SUMIFS(請求記録!$AC$6:$AC$3005,請求記録!$B$6:$B$3005,$A315,請求記録!$X$6:$X$3005,F$5))))</f>
        <v/>
      </c>
      <c r="G315" s="19">
        <f>IF($A315="","",IF(COUNTIFS(請求記録!$B$6:$B$3005,$A315,請求記録!$X$6:$X$3005,G$5,請求記録!$AD$6:$AD$3005,"保留中")&gt;0,"保留",IF(COUNTIFS(請求記録!$B$6:$B$3005,$A315,請求記録!$X$6:$X$3005,G$5)=0,"",SUMIFS(請求記録!$AC$6:$AC$3005,請求記録!$B$6:$B$3005,$A315,請求記録!$X$6:$X$3005,G$5))))</f>
        <v/>
      </c>
      <c r="H315" s="19">
        <f>IF($A315="","",IF(COUNTIFS(請求記録!$B$6:$B$3005,$A315,請求記録!$X$6:$X$3005,H$5,請求記録!$AD$6:$AD$3005,"保留中")&gt;0,"保留",IF(COUNTIFS(請求記録!$B$6:$B$3005,$A315,請求記録!$X$6:$X$3005,H$5)=0,"",SUMIFS(請求記録!$AC$6:$AC$3005,請求記録!$B$6:$B$3005,$A315,請求記録!$X$6:$X$3005,H$5))))</f>
        <v/>
      </c>
      <c r="I315" s="19">
        <f>IF($A315="","",IF(COUNTIFS(請求記録!$B$6:$B$3005,$A315,請求記録!$X$6:$X$3005,I$5,請求記録!$AD$6:$AD$3005,"保留中")&gt;0,"保留",IF(COUNTIFS(請求記録!$B$6:$B$3005,$A315,請求記録!$X$6:$X$3005,I$5)=0,"",SUMIFS(請求記録!$AC$6:$AC$3005,請求記録!$B$6:$B$3005,$A315,請求記録!$X$6:$X$3005,I$5))))</f>
        <v/>
      </c>
      <c r="J315" s="19">
        <f>IF($A315="","",IF(COUNTIFS(請求記録!$B$6:$B$3005,$A315,請求記録!$X$6:$X$3005,J$5,請求記録!$AD$6:$AD$3005,"保留中")&gt;0,"保留",IF(COUNTIFS(請求記録!$B$6:$B$3005,$A315,請求記録!$X$6:$X$3005,J$5)=0,"",SUMIFS(請求記録!$AC$6:$AC$3005,請求記録!$B$6:$B$3005,$A315,請求記録!$X$6:$X$3005,J$5))))</f>
        <v/>
      </c>
      <c r="K315" s="19">
        <f>IF($A315="","",IF(COUNTIFS(請求記録!$B$6:$B$3005,$A315,請求記録!$X$6:$X$3005,K$5,請求記録!$AD$6:$AD$3005,"保留中")&gt;0,"保留",IF(COUNTIFS(請求記録!$B$6:$B$3005,$A315,請求記録!$X$6:$X$3005,K$5)=0,"",SUMIFS(請求記録!$AC$6:$AC$3005,請求記録!$B$6:$B$3005,$A315,請求記録!$X$6:$X$3005,K$5))))</f>
        <v/>
      </c>
      <c r="L315" s="19">
        <f>IF($A315="","",IF(COUNTIFS(請求記録!$B$6:$B$3005,$A315,請求記録!$X$6:$X$3005,L$5,請求記録!$AD$6:$AD$3005,"保留中")&gt;0,"保留",IF(COUNTIFS(請求記録!$B$6:$B$3005,$A315,請求記録!$X$6:$X$3005,L$5)=0,"",SUMIFS(請求記録!$AC$6:$AC$3005,請求記録!$B$6:$B$3005,$A315,請求記録!$X$6:$X$3005,L$5))))</f>
        <v/>
      </c>
      <c r="M315" s="19">
        <f>IF($A315="","",IF(COUNTIFS(請求記録!$B$6:$B$3005,$A315,請求記録!$X$6:$X$3005,M$5,請求記録!$AD$6:$AD$3005,"保留中")&gt;0,"保留",IF(COUNTIFS(請求記録!$B$6:$B$3005,$A315,請求記録!$X$6:$X$3005,M$5)=0,"",SUMIFS(請求記録!$AC$6:$AC$3005,請求記録!$B$6:$B$3005,$A315,請求記録!$X$6:$X$3005,M$5))))</f>
        <v/>
      </c>
      <c r="N315" s="19">
        <f>IF($A315="","",IF(COUNTIFS(請求記録!$B$6:$B$3005,$A315,請求記録!$X$6:$X$3005,N$5,請求記録!$AD$6:$AD$3005,"保留中")&gt;0,"保留",IF(COUNTIFS(請求記録!$B$6:$B$3005,$A315,請求記録!$X$6:$X$3005,N$5)=0,"",SUMIFS(請求記録!$AC$6:$AC$3005,請求記録!$B$6:$B$3005,$A315,請求記録!$X$6:$X$3005,N$5))))</f>
        <v/>
      </c>
      <c r="O315" s="19">
        <f>IF($A315="","",IF(COUNTIFS(請求記録!$B$6:$B$3005,$A315,請求記録!$X$6:$X$3005,O$5,請求記録!$AD$6:$AD$3005,"保留中")&gt;0,"保留",IF(COUNTIFS(請求記録!$B$6:$B$3005,$A315,請求記録!$X$6:$X$3005,O$5)=0,"",SUMIFS(請求記録!$AC$6:$AC$3005,請求記録!$B$6:$B$3005,$A315,請求記録!$X$6:$X$3005,O$5))))</f>
        <v/>
      </c>
      <c r="P315" s="19">
        <f>IF($A315="","",IF(COUNTIFS(請求記録!$B$6:$B$3005,$A315,請求記録!$X$6:$X$3005,P$5,請求記録!$AD$6:$AD$3005,"保留中")&gt;0,"保留",IF(COUNTIFS(請求記録!$B$6:$B$3005,$A315,請求記録!$X$6:$X$3005,P$5)=0,"",SUMIFS(請求記録!$AC$6:$AC$3005,請求記録!$B$6:$B$3005,$A315,請求記録!$X$6:$X$3005,P$5))))</f>
        <v/>
      </c>
      <c r="Q315" s="19">
        <f>IF($A315="","",IF(COUNTIFS(請求記録!$B$6:$B$3005,$A315,請求記録!$X$6:$X$3005,Q$5,請求記録!$AD$6:$AD$3005,"保留中")&gt;0,"保留",IF(COUNTIFS(請求記録!$B$6:$B$3005,$A315,請求記録!$X$6:$X$3005,Q$5)=0,"",SUMIFS(請求記録!$AC$6:$AC$3005,請求記録!$B$6:$B$3005,$A315,請求記録!$X$6:$X$3005,Q$5))))</f>
        <v/>
      </c>
      <c r="R315" s="19">
        <f>IF($A315="","",IF(COUNTIFS(請求記録!$B$6:$B$3005,$A315,請求記録!$X$6:$X$3005,R$5,請求記録!$AD$6:$AD$3005,"保留中")&gt;0,"保留",IF(COUNTIFS(請求記録!$B$6:$B$3005,$A315,請求記録!$X$6:$X$3005,R$5)=0,"",SUMIFS(請求記録!$AC$6:$AC$3005,請求記録!$B$6:$B$3005,$A315,請求記録!$X$6:$X$3005,R$5))))</f>
        <v/>
      </c>
      <c r="S315" s="19">
        <f>IF($A315="","",IF(COUNTIFS(請求記録!$B$6:$B$3005,$A315,請求記録!$X$6:$X$3005,S$5,請求記録!$AD$6:$AD$3005,"保留中")&gt;0,"保留",IF(COUNTIFS(請求記録!$B$6:$B$3005,$A315,請求記録!$X$6:$X$3005,S$5)=0,"",SUMIFS(請求記録!$AC$6:$AC$3005,請求記録!$B$6:$B$3005,$A315,請求記録!$X$6:$X$3005,S$5))))</f>
        <v/>
      </c>
      <c r="T315" s="19">
        <f>IF($A315="","",IF(COUNTIFS(請求記録!$B$6:$B$3005,$A315,請求記録!$X$6:$X$3005,T$5,請求記録!$AD$6:$AD$3005,"保留中")&gt;0,"保留",IF(COUNTIFS(請求記録!$B$6:$B$3005,$A315,請求記録!$X$6:$X$3005,T$5)=0,"",SUMIFS(請求記録!$AC$6:$AC$3005,請求記録!$B$6:$B$3005,$A315,請求記録!$X$6:$X$3005,T$5))))</f>
        <v/>
      </c>
      <c r="U315" s="19">
        <f>IF($A315="","",IF(COUNTIFS(請求記録!$B$6:$B$3005,$A315,請求記録!$X$6:$X$3005,U$5,請求記録!$AD$6:$AD$3005,"保留中")&gt;0,"保留",IF(COUNTIFS(請求記録!$B$6:$B$3005,$A315,請求記録!$X$6:$X$3005,U$5)=0,"",SUMIFS(請求記録!$AC$6:$AC$3005,請求記録!$B$6:$B$3005,$A315,請求記録!$X$6:$X$3005,U$5))))</f>
        <v/>
      </c>
      <c r="V315" s="19">
        <f>IF($A315="","",IF(COUNTIFS(請求記録!$B$6:$B$3005,$A315,請求記録!$X$6:$X$3005,V$5,請求記録!$AD$6:$AD$3005,"保留中")&gt;0,"保留",IF(COUNTIFS(請求記録!$B$6:$B$3005,$A315,請求記録!$X$6:$X$3005,V$5)=0,"",SUMIFS(請求記録!$AC$6:$AC$3005,請求記録!$B$6:$B$3005,$A315,請求記録!$X$6:$X$3005,V$5))))</f>
        <v/>
      </c>
      <c r="W315" s="19">
        <f>IF($A315="","",IF(COUNTIFS(請求記録!$B$6:$B$3005,$A315,請求記録!$X$6:$X$3005,W$5,請求記録!$AD$6:$AD$3005,"保留中")&gt;0,"保留",IF(COUNTIFS(請求記録!$B$6:$B$3005,$A315,請求記録!$X$6:$X$3005,W$5)=0,"",SUMIFS(請求記録!$AC$6:$AC$3005,請求記録!$B$6:$B$3005,$A315,請求記録!$X$6:$X$3005,W$5))))</f>
        <v/>
      </c>
      <c r="X315" s="19">
        <f>IF($A315="","",IF(COUNTIFS(請求記録!$B$6:$B$3005,$A315,請求記録!$X$6:$X$3005,X$5,請求記録!$AD$6:$AD$3005,"保留中")&gt;0,"保留",IF(COUNTIFS(請求記録!$B$6:$B$3005,$A315,請求記録!$X$6:$X$3005,X$5)=0,"",SUMIFS(請求記録!$AC$6:$AC$3005,請求記録!$B$6:$B$3005,$A315,請求記録!$X$6:$X$3005,X$5))))</f>
        <v/>
      </c>
      <c r="Y315" s="19">
        <f>IF($A315="","",IF(COUNTIFS(請求記録!$B$6:$B$3005,$A315,請求記録!$X$6:$X$3005,Y$5,請求記録!$AD$6:$AD$3005,"保留中")&gt;0,"保留",IF(COUNTIFS(請求記録!$B$6:$B$3005,$A315,請求記録!$X$6:$X$3005,Y$5)=0,"",SUMIFS(請求記録!$AC$6:$AC$3005,請求記録!$B$6:$B$3005,$A315,請求記録!$X$6:$X$3005,Y$5))))</f>
        <v/>
      </c>
      <c r="Z315" s="19">
        <f>IF($A315="","",IF(COUNTIFS(請求記録!$B$6:$B$3005,$A315,請求記録!$X$6:$X$3005,Z$5,請求記録!$AD$6:$AD$3005,"保留中")&gt;0,"保留",IF(COUNTIFS(請求記録!$B$6:$B$3005,$A315,請求記録!$X$6:$X$3005,Z$5)=0,"",SUMIFS(請求記録!$AC$6:$AC$3005,請求記録!$B$6:$B$3005,$A315,請求記録!$X$6:$X$3005,Z$5))))</f>
        <v/>
      </c>
      <c r="AA315" s="19">
        <f>IF($A315="","",IF(COUNTIFS(請求記録!$B$6:$B$3005,$A315,請求記録!$X$6:$X$3005,AA$5,請求記録!$AD$6:$AD$3005,"保留中")&gt;0,"保留",IF(COUNTIFS(請求記録!$B$6:$B$3005,$A315,請求記録!$X$6:$X$3005,AA$5)=0,"",SUMIFS(請求記録!$AC$6:$AC$3005,請求記録!$B$6:$B$3005,$A315,請求記録!$X$6:$X$3005,AA$5))))</f>
        <v/>
      </c>
      <c r="AB315">
        <f>IF(職員マスタ!P315="保留中",職員マスタ!M315,"")</f>
        <v/>
      </c>
    </row>
    <row r="316">
      <c r="A316">
        <f>IF(職員マスタ!A316="","",職員マスタ!A316)</f>
        <v/>
      </c>
      <c r="B316">
        <f>IF($A316="","",職員マスタ!B316)</f>
        <v/>
      </c>
      <c r="C316">
        <f>IF($A316="","",職員マスタ!C316)</f>
        <v/>
      </c>
      <c r="D316" s="19">
        <f>IF($A316="","",IF(COUNTIFS(請求記録!$B$6:$B$3005,$A316,請求記録!$X$6:$X$3005,D$5,請求記録!$AD$6:$AD$3005,"保留中")&gt;0,"保留",IF(COUNTIFS(請求記録!$B$6:$B$3005,$A316,請求記録!$X$6:$X$3005,D$5)=0,"",SUMIFS(請求記録!$AC$6:$AC$3005,請求記録!$B$6:$B$3005,$A316,請求記録!$X$6:$X$3005,D$5))))</f>
        <v/>
      </c>
      <c r="E316" s="19">
        <f>IF($A316="","",IF(COUNTIFS(請求記録!$B$6:$B$3005,$A316,請求記録!$X$6:$X$3005,E$5,請求記録!$AD$6:$AD$3005,"保留中")&gt;0,"保留",IF(COUNTIFS(請求記録!$B$6:$B$3005,$A316,請求記録!$X$6:$X$3005,E$5)=0,"",SUMIFS(請求記録!$AC$6:$AC$3005,請求記録!$B$6:$B$3005,$A316,請求記録!$X$6:$X$3005,E$5))))</f>
        <v/>
      </c>
      <c r="F316" s="19">
        <f>IF($A316="","",IF(COUNTIFS(請求記録!$B$6:$B$3005,$A316,請求記録!$X$6:$X$3005,F$5,請求記録!$AD$6:$AD$3005,"保留中")&gt;0,"保留",IF(COUNTIFS(請求記録!$B$6:$B$3005,$A316,請求記録!$X$6:$X$3005,F$5)=0,"",SUMIFS(請求記録!$AC$6:$AC$3005,請求記録!$B$6:$B$3005,$A316,請求記録!$X$6:$X$3005,F$5))))</f>
        <v/>
      </c>
      <c r="G316" s="19">
        <f>IF($A316="","",IF(COUNTIFS(請求記録!$B$6:$B$3005,$A316,請求記録!$X$6:$X$3005,G$5,請求記録!$AD$6:$AD$3005,"保留中")&gt;0,"保留",IF(COUNTIFS(請求記録!$B$6:$B$3005,$A316,請求記録!$X$6:$X$3005,G$5)=0,"",SUMIFS(請求記録!$AC$6:$AC$3005,請求記録!$B$6:$B$3005,$A316,請求記録!$X$6:$X$3005,G$5))))</f>
        <v/>
      </c>
      <c r="H316" s="19">
        <f>IF($A316="","",IF(COUNTIFS(請求記録!$B$6:$B$3005,$A316,請求記録!$X$6:$X$3005,H$5,請求記録!$AD$6:$AD$3005,"保留中")&gt;0,"保留",IF(COUNTIFS(請求記録!$B$6:$B$3005,$A316,請求記録!$X$6:$X$3005,H$5)=0,"",SUMIFS(請求記録!$AC$6:$AC$3005,請求記録!$B$6:$B$3005,$A316,請求記録!$X$6:$X$3005,H$5))))</f>
        <v/>
      </c>
      <c r="I316" s="19">
        <f>IF($A316="","",IF(COUNTIFS(請求記録!$B$6:$B$3005,$A316,請求記録!$X$6:$X$3005,I$5,請求記録!$AD$6:$AD$3005,"保留中")&gt;0,"保留",IF(COUNTIFS(請求記録!$B$6:$B$3005,$A316,請求記録!$X$6:$X$3005,I$5)=0,"",SUMIFS(請求記録!$AC$6:$AC$3005,請求記録!$B$6:$B$3005,$A316,請求記録!$X$6:$X$3005,I$5))))</f>
        <v/>
      </c>
      <c r="J316" s="19">
        <f>IF($A316="","",IF(COUNTIFS(請求記録!$B$6:$B$3005,$A316,請求記録!$X$6:$X$3005,J$5,請求記録!$AD$6:$AD$3005,"保留中")&gt;0,"保留",IF(COUNTIFS(請求記録!$B$6:$B$3005,$A316,請求記録!$X$6:$X$3005,J$5)=0,"",SUMIFS(請求記録!$AC$6:$AC$3005,請求記録!$B$6:$B$3005,$A316,請求記録!$X$6:$X$3005,J$5))))</f>
        <v/>
      </c>
      <c r="K316" s="19">
        <f>IF($A316="","",IF(COUNTIFS(請求記録!$B$6:$B$3005,$A316,請求記録!$X$6:$X$3005,K$5,請求記録!$AD$6:$AD$3005,"保留中")&gt;0,"保留",IF(COUNTIFS(請求記録!$B$6:$B$3005,$A316,請求記録!$X$6:$X$3005,K$5)=0,"",SUMIFS(請求記録!$AC$6:$AC$3005,請求記録!$B$6:$B$3005,$A316,請求記録!$X$6:$X$3005,K$5))))</f>
        <v/>
      </c>
      <c r="L316" s="19">
        <f>IF($A316="","",IF(COUNTIFS(請求記録!$B$6:$B$3005,$A316,請求記録!$X$6:$X$3005,L$5,請求記録!$AD$6:$AD$3005,"保留中")&gt;0,"保留",IF(COUNTIFS(請求記録!$B$6:$B$3005,$A316,請求記録!$X$6:$X$3005,L$5)=0,"",SUMIFS(請求記録!$AC$6:$AC$3005,請求記録!$B$6:$B$3005,$A316,請求記録!$X$6:$X$3005,L$5))))</f>
        <v/>
      </c>
      <c r="M316" s="19">
        <f>IF($A316="","",IF(COUNTIFS(請求記録!$B$6:$B$3005,$A316,請求記録!$X$6:$X$3005,M$5,請求記録!$AD$6:$AD$3005,"保留中")&gt;0,"保留",IF(COUNTIFS(請求記録!$B$6:$B$3005,$A316,請求記録!$X$6:$X$3005,M$5)=0,"",SUMIFS(請求記録!$AC$6:$AC$3005,請求記録!$B$6:$B$3005,$A316,請求記録!$X$6:$X$3005,M$5))))</f>
        <v/>
      </c>
      <c r="N316" s="19">
        <f>IF($A316="","",IF(COUNTIFS(請求記録!$B$6:$B$3005,$A316,請求記録!$X$6:$X$3005,N$5,請求記録!$AD$6:$AD$3005,"保留中")&gt;0,"保留",IF(COUNTIFS(請求記録!$B$6:$B$3005,$A316,請求記録!$X$6:$X$3005,N$5)=0,"",SUMIFS(請求記録!$AC$6:$AC$3005,請求記録!$B$6:$B$3005,$A316,請求記録!$X$6:$X$3005,N$5))))</f>
        <v/>
      </c>
      <c r="O316" s="19">
        <f>IF($A316="","",IF(COUNTIFS(請求記録!$B$6:$B$3005,$A316,請求記録!$X$6:$X$3005,O$5,請求記録!$AD$6:$AD$3005,"保留中")&gt;0,"保留",IF(COUNTIFS(請求記録!$B$6:$B$3005,$A316,請求記録!$X$6:$X$3005,O$5)=0,"",SUMIFS(請求記録!$AC$6:$AC$3005,請求記録!$B$6:$B$3005,$A316,請求記録!$X$6:$X$3005,O$5))))</f>
        <v/>
      </c>
      <c r="P316" s="19">
        <f>IF($A316="","",IF(COUNTIFS(請求記録!$B$6:$B$3005,$A316,請求記録!$X$6:$X$3005,P$5,請求記録!$AD$6:$AD$3005,"保留中")&gt;0,"保留",IF(COUNTIFS(請求記録!$B$6:$B$3005,$A316,請求記録!$X$6:$X$3005,P$5)=0,"",SUMIFS(請求記録!$AC$6:$AC$3005,請求記録!$B$6:$B$3005,$A316,請求記録!$X$6:$X$3005,P$5))))</f>
        <v/>
      </c>
      <c r="Q316" s="19">
        <f>IF($A316="","",IF(COUNTIFS(請求記録!$B$6:$B$3005,$A316,請求記録!$X$6:$X$3005,Q$5,請求記録!$AD$6:$AD$3005,"保留中")&gt;0,"保留",IF(COUNTIFS(請求記録!$B$6:$B$3005,$A316,請求記録!$X$6:$X$3005,Q$5)=0,"",SUMIFS(請求記録!$AC$6:$AC$3005,請求記録!$B$6:$B$3005,$A316,請求記録!$X$6:$X$3005,Q$5))))</f>
        <v/>
      </c>
      <c r="R316" s="19">
        <f>IF($A316="","",IF(COUNTIFS(請求記録!$B$6:$B$3005,$A316,請求記録!$X$6:$X$3005,R$5,請求記録!$AD$6:$AD$3005,"保留中")&gt;0,"保留",IF(COUNTIFS(請求記録!$B$6:$B$3005,$A316,請求記録!$X$6:$X$3005,R$5)=0,"",SUMIFS(請求記録!$AC$6:$AC$3005,請求記録!$B$6:$B$3005,$A316,請求記録!$X$6:$X$3005,R$5))))</f>
        <v/>
      </c>
      <c r="S316" s="19">
        <f>IF($A316="","",IF(COUNTIFS(請求記録!$B$6:$B$3005,$A316,請求記録!$X$6:$X$3005,S$5,請求記録!$AD$6:$AD$3005,"保留中")&gt;0,"保留",IF(COUNTIFS(請求記録!$B$6:$B$3005,$A316,請求記録!$X$6:$X$3005,S$5)=0,"",SUMIFS(請求記録!$AC$6:$AC$3005,請求記録!$B$6:$B$3005,$A316,請求記録!$X$6:$X$3005,S$5))))</f>
        <v/>
      </c>
      <c r="T316" s="19">
        <f>IF($A316="","",IF(COUNTIFS(請求記録!$B$6:$B$3005,$A316,請求記録!$X$6:$X$3005,T$5,請求記録!$AD$6:$AD$3005,"保留中")&gt;0,"保留",IF(COUNTIFS(請求記録!$B$6:$B$3005,$A316,請求記録!$X$6:$X$3005,T$5)=0,"",SUMIFS(請求記録!$AC$6:$AC$3005,請求記録!$B$6:$B$3005,$A316,請求記録!$X$6:$X$3005,T$5))))</f>
        <v/>
      </c>
      <c r="U316" s="19">
        <f>IF($A316="","",IF(COUNTIFS(請求記録!$B$6:$B$3005,$A316,請求記録!$X$6:$X$3005,U$5,請求記録!$AD$6:$AD$3005,"保留中")&gt;0,"保留",IF(COUNTIFS(請求記録!$B$6:$B$3005,$A316,請求記録!$X$6:$X$3005,U$5)=0,"",SUMIFS(請求記録!$AC$6:$AC$3005,請求記録!$B$6:$B$3005,$A316,請求記録!$X$6:$X$3005,U$5))))</f>
        <v/>
      </c>
      <c r="V316" s="19">
        <f>IF($A316="","",IF(COUNTIFS(請求記録!$B$6:$B$3005,$A316,請求記録!$X$6:$X$3005,V$5,請求記録!$AD$6:$AD$3005,"保留中")&gt;0,"保留",IF(COUNTIFS(請求記録!$B$6:$B$3005,$A316,請求記録!$X$6:$X$3005,V$5)=0,"",SUMIFS(請求記録!$AC$6:$AC$3005,請求記録!$B$6:$B$3005,$A316,請求記録!$X$6:$X$3005,V$5))))</f>
        <v/>
      </c>
      <c r="W316" s="19">
        <f>IF($A316="","",IF(COUNTIFS(請求記録!$B$6:$B$3005,$A316,請求記録!$X$6:$X$3005,W$5,請求記録!$AD$6:$AD$3005,"保留中")&gt;0,"保留",IF(COUNTIFS(請求記録!$B$6:$B$3005,$A316,請求記録!$X$6:$X$3005,W$5)=0,"",SUMIFS(請求記録!$AC$6:$AC$3005,請求記録!$B$6:$B$3005,$A316,請求記録!$X$6:$X$3005,W$5))))</f>
        <v/>
      </c>
      <c r="X316" s="19">
        <f>IF($A316="","",IF(COUNTIFS(請求記録!$B$6:$B$3005,$A316,請求記録!$X$6:$X$3005,X$5,請求記録!$AD$6:$AD$3005,"保留中")&gt;0,"保留",IF(COUNTIFS(請求記録!$B$6:$B$3005,$A316,請求記録!$X$6:$X$3005,X$5)=0,"",SUMIFS(請求記録!$AC$6:$AC$3005,請求記録!$B$6:$B$3005,$A316,請求記録!$X$6:$X$3005,X$5))))</f>
        <v/>
      </c>
      <c r="Y316" s="19">
        <f>IF($A316="","",IF(COUNTIFS(請求記録!$B$6:$B$3005,$A316,請求記録!$X$6:$X$3005,Y$5,請求記録!$AD$6:$AD$3005,"保留中")&gt;0,"保留",IF(COUNTIFS(請求記録!$B$6:$B$3005,$A316,請求記録!$X$6:$X$3005,Y$5)=0,"",SUMIFS(請求記録!$AC$6:$AC$3005,請求記録!$B$6:$B$3005,$A316,請求記録!$X$6:$X$3005,Y$5))))</f>
        <v/>
      </c>
      <c r="Z316" s="19">
        <f>IF($A316="","",IF(COUNTIFS(請求記録!$B$6:$B$3005,$A316,請求記録!$X$6:$X$3005,Z$5,請求記録!$AD$6:$AD$3005,"保留中")&gt;0,"保留",IF(COUNTIFS(請求記録!$B$6:$B$3005,$A316,請求記録!$X$6:$X$3005,Z$5)=0,"",SUMIFS(請求記録!$AC$6:$AC$3005,請求記録!$B$6:$B$3005,$A316,請求記録!$X$6:$X$3005,Z$5))))</f>
        <v/>
      </c>
      <c r="AA316" s="19">
        <f>IF($A316="","",IF(COUNTIFS(請求記録!$B$6:$B$3005,$A316,請求記録!$X$6:$X$3005,AA$5,請求記録!$AD$6:$AD$3005,"保留中")&gt;0,"保留",IF(COUNTIFS(請求記録!$B$6:$B$3005,$A316,請求記録!$X$6:$X$3005,AA$5)=0,"",SUMIFS(請求記録!$AC$6:$AC$3005,請求記録!$B$6:$B$3005,$A316,請求記録!$X$6:$X$3005,AA$5))))</f>
        <v/>
      </c>
      <c r="AB316">
        <f>IF(職員マスタ!P316="保留中",職員マスタ!M316,"")</f>
        <v/>
      </c>
    </row>
    <row r="317">
      <c r="A317">
        <f>IF(職員マスタ!A317="","",職員マスタ!A317)</f>
        <v/>
      </c>
      <c r="B317">
        <f>IF($A317="","",職員マスタ!B317)</f>
        <v/>
      </c>
      <c r="C317">
        <f>IF($A317="","",職員マスタ!C317)</f>
        <v/>
      </c>
      <c r="D317" s="19">
        <f>IF($A317="","",IF(COUNTIFS(請求記録!$B$6:$B$3005,$A317,請求記録!$X$6:$X$3005,D$5,請求記録!$AD$6:$AD$3005,"保留中")&gt;0,"保留",IF(COUNTIFS(請求記録!$B$6:$B$3005,$A317,請求記録!$X$6:$X$3005,D$5)=0,"",SUMIFS(請求記録!$AC$6:$AC$3005,請求記録!$B$6:$B$3005,$A317,請求記録!$X$6:$X$3005,D$5))))</f>
        <v/>
      </c>
      <c r="E317" s="19">
        <f>IF($A317="","",IF(COUNTIFS(請求記録!$B$6:$B$3005,$A317,請求記録!$X$6:$X$3005,E$5,請求記録!$AD$6:$AD$3005,"保留中")&gt;0,"保留",IF(COUNTIFS(請求記録!$B$6:$B$3005,$A317,請求記録!$X$6:$X$3005,E$5)=0,"",SUMIFS(請求記録!$AC$6:$AC$3005,請求記録!$B$6:$B$3005,$A317,請求記録!$X$6:$X$3005,E$5))))</f>
        <v/>
      </c>
      <c r="F317" s="19">
        <f>IF($A317="","",IF(COUNTIFS(請求記録!$B$6:$B$3005,$A317,請求記録!$X$6:$X$3005,F$5,請求記録!$AD$6:$AD$3005,"保留中")&gt;0,"保留",IF(COUNTIFS(請求記録!$B$6:$B$3005,$A317,請求記録!$X$6:$X$3005,F$5)=0,"",SUMIFS(請求記録!$AC$6:$AC$3005,請求記録!$B$6:$B$3005,$A317,請求記録!$X$6:$X$3005,F$5))))</f>
        <v/>
      </c>
      <c r="G317" s="19">
        <f>IF($A317="","",IF(COUNTIFS(請求記録!$B$6:$B$3005,$A317,請求記録!$X$6:$X$3005,G$5,請求記録!$AD$6:$AD$3005,"保留中")&gt;0,"保留",IF(COUNTIFS(請求記録!$B$6:$B$3005,$A317,請求記録!$X$6:$X$3005,G$5)=0,"",SUMIFS(請求記録!$AC$6:$AC$3005,請求記録!$B$6:$B$3005,$A317,請求記録!$X$6:$X$3005,G$5))))</f>
        <v/>
      </c>
      <c r="H317" s="19">
        <f>IF($A317="","",IF(COUNTIFS(請求記録!$B$6:$B$3005,$A317,請求記録!$X$6:$X$3005,H$5,請求記録!$AD$6:$AD$3005,"保留中")&gt;0,"保留",IF(COUNTIFS(請求記録!$B$6:$B$3005,$A317,請求記録!$X$6:$X$3005,H$5)=0,"",SUMIFS(請求記録!$AC$6:$AC$3005,請求記録!$B$6:$B$3005,$A317,請求記録!$X$6:$X$3005,H$5))))</f>
        <v/>
      </c>
      <c r="I317" s="19">
        <f>IF($A317="","",IF(COUNTIFS(請求記録!$B$6:$B$3005,$A317,請求記録!$X$6:$X$3005,I$5,請求記録!$AD$6:$AD$3005,"保留中")&gt;0,"保留",IF(COUNTIFS(請求記録!$B$6:$B$3005,$A317,請求記録!$X$6:$X$3005,I$5)=0,"",SUMIFS(請求記録!$AC$6:$AC$3005,請求記録!$B$6:$B$3005,$A317,請求記録!$X$6:$X$3005,I$5))))</f>
        <v/>
      </c>
      <c r="J317" s="19">
        <f>IF($A317="","",IF(COUNTIFS(請求記録!$B$6:$B$3005,$A317,請求記録!$X$6:$X$3005,J$5,請求記録!$AD$6:$AD$3005,"保留中")&gt;0,"保留",IF(COUNTIFS(請求記録!$B$6:$B$3005,$A317,請求記録!$X$6:$X$3005,J$5)=0,"",SUMIFS(請求記録!$AC$6:$AC$3005,請求記録!$B$6:$B$3005,$A317,請求記録!$X$6:$X$3005,J$5))))</f>
        <v/>
      </c>
      <c r="K317" s="19">
        <f>IF($A317="","",IF(COUNTIFS(請求記録!$B$6:$B$3005,$A317,請求記録!$X$6:$X$3005,K$5,請求記録!$AD$6:$AD$3005,"保留中")&gt;0,"保留",IF(COUNTIFS(請求記録!$B$6:$B$3005,$A317,請求記録!$X$6:$X$3005,K$5)=0,"",SUMIFS(請求記録!$AC$6:$AC$3005,請求記録!$B$6:$B$3005,$A317,請求記録!$X$6:$X$3005,K$5))))</f>
        <v/>
      </c>
      <c r="L317" s="19">
        <f>IF($A317="","",IF(COUNTIFS(請求記録!$B$6:$B$3005,$A317,請求記録!$X$6:$X$3005,L$5,請求記録!$AD$6:$AD$3005,"保留中")&gt;0,"保留",IF(COUNTIFS(請求記録!$B$6:$B$3005,$A317,請求記録!$X$6:$X$3005,L$5)=0,"",SUMIFS(請求記録!$AC$6:$AC$3005,請求記録!$B$6:$B$3005,$A317,請求記録!$X$6:$X$3005,L$5))))</f>
        <v/>
      </c>
      <c r="M317" s="19">
        <f>IF($A317="","",IF(COUNTIFS(請求記録!$B$6:$B$3005,$A317,請求記録!$X$6:$X$3005,M$5,請求記録!$AD$6:$AD$3005,"保留中")&gt;0,"保留",IF(COUNTIFS(請求記録!$B$6:$B$3005,$A317,請求記録!$X$6:$X$3005,M$5)=0,"",SUMIFS(請求記録!$AC$6:$AC$3005,請求記録!$B$6:$B$3005,$A317,請求記録!$X$6:$X$3005,M$5))))</f>
        <v/>
      </c>
      <c r="N317" s="19">
        <f>IF($A317="","",IF(COUNTIFS(請求記録!$B$6:$B$3005,$A317,請求記録!$X$6:$X$3005,N$5,請求記録!$AD$6:$AD$3005,"保留中")&gt;0,"保留",IF(COUNTIFS(請求記録!$B$6:$B$3005,$A317,請求記録!$X$6:$X$3005,N$5)=0,"",SUMIFS(請求記録!$AC$6:$AC$3005,請求記録!$B$6:$B$3005,$A317,請求記録!$X$6:$X$3005,N$5))))</f>
        <v/>
      </c>
      <c r="O317" s="19">
        <f>IF($A317="","",IF(COUNTIFS(請求記録!$B$6:$B$3005,$A317,請求記録!$X$6:$X$3005,O$5,請求記録!$AD$6:$AD$3005,"保留中")&gt;0,"保留",IF(COUNTIFS(請求記録!$B$6:$B$3005,$A317,請求記録!$X$6:$X$3005,O$5)=0,"",SUMIFS(請求記録!$AC$6:$AC$3005,請求記録!$B$6:$B$3005,$A317,請求記録!$X$6:$X$3005,O$5))))</f>
        <v/>
      </c>
      <c r="P317" s="19">
        <f>IF($A317="","",IF(COUNTIFS(請求記録!$B$6:$B$3005,$A317,請求記録!$X$6:$X$3005,P$5,請求記録!$AD$6:$AD$3005,"保留中")&gt;0,"保留",IF(COUNTIFS(請求記録!$B$6:$B$3005,$A317,請求記録!$X$6:$X$3005,P$5)=0,"",SUMIFS(請求記録!$AC$6:$AC$3005,請求記録!$B$6:$B$3005,$A317,請求記録!$X$6:$X$3005,P$5))))</f>
        <v/>
      </c>
      <c r="Q317" s="19">
        <f>IF($A317="","",IF(COUNTIFS(請求記録!$B$6:$B$3005,$A317,請求記録!$X$6:$X$3005,Q$5,請求記録!$AD$6:$AD$3005,"保留中")&gt;0,"保留",IF(COUNTIFS(請求記録!$B$6:$B$3005,$A317,請求記録!$X$6:$X$3005,Q$5)=0,"",SUMIFS(請求記録!$AC$6:$AC$3005,請求記録!$B$6:$B$3005,$A317,請求記録!$X$6:$X$3005,Q$5))))</f>
        <v/>
      </c>
      <c r="R317" s="19">
        <f>IF($A317="","",IF(COUNTIFS(請求記録!$B$6:$B$3005,$A317,請求記録!$X$6:$X$3005,R$5,請求記録!$AD$6:$AD$3005,"保留中")&gt;0,"保留",IF(COUNTIFS(請求記録!$B$6:$B$3005,$A317,請求記録!$X$6:$X$3005,R$5)=0,"",SUMIFS(請求記録!$AC$6:$AC$3005,請求記録!$B$6:$B$3005,$A317,請求記録!$X$6:$X$3005,R$5))))</f>
        <v/>
      </c>
      <c r="S317" s="19">
        <f>IF($A317="","",IF(COUNTIFS(請求記録!$B$6:$B$3005,$A317,請求記録!$X$6:$X$3005,S$5,請求記録!$AD$6:$AD$3005,"保留中")&gt;0,"保留",IF(COUNTIFS(請求記録!$B$6:$B$3005,$A317,請求記録!$X$6:$X$3005,S$5)=0,"",SUMIFS(請求記録!$AC$6:$AC$3005,請求記録!$B$6:$B$3005,$A317,請求記録!$X$6:$X$3005,S$5))))</f>
        <v/>
      </c>
      <c r="T317" s="19">
        <f>IF($A317="","",IF(COUNTIFS(請求記録!$B$6:$B$3005,$A317,請求記録!$X$6:$X$3005,T$5,請求記録!$AD$6:$AD$3005,"保留中")&gt;0,"保留",IF(COUNTIFS(請求記録!$B$6:$B$3005,$A317,請求記録!$X$6:$X$3005,T$5)=0,"",SUMIFS(請求記録!$AC$6:$AC$3005,請求記録!$B$6:$B$3005,$A317,請求記録!$X$6:$X$3005,T$5))))</f>
        <v/>
      </c>
      <c r="U317" s="19">
        <f>IF($A317="","",IF(COUNTIFS(請求記録!$B$6:$B$3005,$A317,請求記録!$X$6:$X$3005,U$5,請求記録!$AD$6:$AD$3005,"保留中")&gt;0,"保留",IF(COUNTIFS(請求記録!$B$6:$B$3005,$A317,請求記録!$X$6:$X$3005,U$5)=0,"",SUMIFS(請求記録!$AC$6:$AC$3005,請求記録!$B$6:$B$3005,$A317,請求記録!$X$6:$X$3005,U$5))))</f>
        <v/>
      </c>
      <c r="V317" s="19">
        <f>IF($A317="","",IF(COUNTIFS(請求記録!$B$6:$B$3005,$A317,請求記録!$X$6:$X$3005,V$5,請求記録!$AD$6:$AD$3005,"保留中")&gt;0,"保留",IF(COUNTIFS(請求記録!$B$6:$B$3005,$A317,請求記録!$X$6:$X$3005,V$5)=0,"",SUMIFS(請求記録!$AC$6:$AC$3005,請求記録!$B$6:$B$3005,$A317,請求記録!$X$6:$X$3005,V$5))))</f>
        <v/>
      </c>
      <c r="W317" s="19">
        <f>IF($A317="","",IF(COUNTIFS(請求記録!$B$6:$B$3005,$A317,請求記録!$X$6:$X$3005,W$5,請求記録!$AD$6:$AD$3005,"保留中")&gt;0,"保留",IF(COUNTIFS(請求記録!$B$6:$B$3005,$A317,請求記録!$X$6:$X$3005,W$5)=0,"",SUMIFS(請求記録!$AC$6:$AC$3005,請求記録!$B$6:$B$3005,$A317,請求記録!$X$6:$X$3005,W$5))))</f>
        <v/>
      </c>
      <c r="X317" s="19">
        <f>IF($A317="","",IF(COUNTIFS(請求記録!$B$6:$B$3005,$A317,請求記録!$X$6:$X$3005,X$5,請求記録!$AD$6:$AD$3005,"保留中")&gt;0,"保留",IF(COUNTIFS(請求記録!$B$6:$B$3005,$A317,請求記録!$X$6:$X$3005,X$5)=0,"",SUMIFS(請求記録!$AC$6:$AC$3005,請求記録!$B$6:$B$3005,$A317,請求記録!$X$6:$X$3005,X$5))))</f>
        <v/>
      </c>
      <c r="Y317" s="19">
        <f>IF($A317="","",IF(COUNTIFS(請求記録!$B$6:$B$3005,$A317,請求記録!$X$6:$X$3005,Y$5,請求記録!$AD$6:$AD$3005,"保留中")&gt;0,"保留",IF(COUNTIFS(請求記録!$B$6:$B$3005,$A317,請求記録!$X$6:$X$3005,Y$5)=0,"",SUMIFS(請求記録!$AC$6:$AC$3005,請求記録!$B$6:$B$3005,$A317,請求記録!$X$6:$X$3005,Y$5))))</f>
        <v/>
      </c>
      <c r="Z317" s="19">
        <f>IF($A317="","",IF(COUNTIFS(請求記録!$B$6:$B$3005,$A317,請求記録!$X$6:$X$3005,Z$5,請求記録!$AD$6:$AD$3005,"保留中")&gt;0,"保留",IF(COUNTIFS(請求記録!$B$6:$B$3005,$A317,請求記録!$X$6:$X$3005,Z$5)=0,"",SUMIFS(請求記録!$AC$6:$AC$3005,請求記録!$B$6:$B$3005,$A317,請求記録!$X$6:$X$3005,Z$5))))</f>
        <v/>
      </c>
      <c r="AA317" s="19">
        <f>IF($A317="","",IF(COUNTIFS(請求記録!$B$6:$B$3005,$A317,請求記録!$X$6:$X$3005,AA$5,請求記録!$AD$6:$AD$3005,"保留中")&gt;0,"保留",IF(COUNTIFS(請求記録!$B$6:$B$3005,$A317,請求記録!$X$6:$X$3005,AA$5)=0,"",SUMIFS(請求記録!$AC$6:$AC$3005,請求記録!$B$6:$B$3005,$A317,請求記録!$X$6:$X$3005,AA$5))))</f>
        <v/>
      </c>
      <c r="AB317">
        <f>IF(職員マスタ!P317="保留中",職員マスタ!M317,"")</f>
        <v/>
      </c>
    </row>
    <row r="318">
      <c r="A318">
        <f>IF(職員マスタ!A318="","",職員マスタ!A318)</f>
        <v/>
      </c>
      <c r="B318">
        <f>IF($A318="","",職員マスタ!B318)</f>
        <v/>
      </c>
      <c r="C318">
        <f>IF($A318="","",職員マスタ!C318)</f>
        <v/>
      </c>
      <c r="D318" s="19">
        <f>IF($A318="","",IF(COUNTIFS(請求記録!$B$6:$B$3005,$A318,請求記録!$X$6:$X$3005,D$5,請求記録!$AD$6:$AD$3005,"保留中")&gt;0,"保留",IF(COUNTIFS(請求記録!$B$6:$B$3005,$A318,請求記録!$X$6:$X$3005,D$5)=0,"",SUMIFS(請求記録!$AC$6:$AC$3005,請求記録!$B$6:$B$3005,$A318,請求記録!$X$6:$X$3005,D$5))))</f>
        <v/>
      </c>
      <c r="E318" s="19">
        <f>IF($A318="","",IF(COUNTIFS(請求記録!$B$6:$B$3005,$A318,請求記録!$X$6:$X$3005,E$5,請求記録!$AD$6:$AD$3005,"保留中")&gt;0,"保留",IF(COUNTIFS(請求記録!$B$6:$B$3005,$A318,請求記録!$X$6:$X$3005,E$5)=0,"",SUMIFS(請求記録!$AC$6:$AC$3005,請求記録!$B$6:$B$3005,$A318,請求記録!$X$6:$X$3005,E$5))))</f>
        <v/>
      </c>
      <c r="F318" s="19">
        <f>IF($A318="","",IF(COUNTIFS(請求記録!$B$6:$B$3005,$A318,請求記録!$X$6:$X$3005,F$5,請求記録!$AD$6:$AD$3005,"保留中")&gt;0,"保留",IF(COUNTIFS(請求記録!$B$6:$B$3005,$A318,請求記録!$X$6:$X$3005,F$5)=0,"",SUMIFS(請求記録!$AC$6:$AC$3005,請求記録!$B$6:$B$3005,$A318,請求記録!$X$6:$X$3005,F$5))))</f>
        <v/>
      </c>
      <c r="G318" s="19">
        <f>IF($A318="","",IF(COUNTIFS(請求記録!$B$6:$B$3005,$A318,請求記録!$X$6:$X$3005,G$5,請求記録!$AD$6:$AD$3005,"保留中")&gt;0,"保留",IF(COUNTIFS(請求記録!$B$6:$B$3005,$A318,請求記録!$X$6:$X$3005,G$5)=0,"",SUMIFS(請求記録!$AC$6:$AC$3005,請求記録!$B$6:$B$3005,$A318,請求記録!$X$6:$X$3005,G$5))))</f>
        <v/>
      </c>
      <c r="H318" s="19">
        <f>IF($A318="","",IF(COUNTIFS(請求記録!$B$6:$B$3005,$A318,請求記録!$X$6:$X$3005,H$5,請求記録!$AD$6:$AD$3005,"保留中")&gt;0,"保留",IF(COUNTIFS(請求記録!$B$6:$B$3005,$A318,請求記録!$X$6:$X$3005,H$5)=0,"",SUMIFS(請求記録!$AC$6:$AC$3005,請求記録!$B$6:$B$3005,$A318,請求記録!$X$6:$X$3005,H$5))))</f>
        <v/>
      </c>
      <c r="I318" s="19">
        <f>IF($A318="","",IF(COUNTIFS(請求記録!$B$6:$B$3005,$A318,請求記録!$X$6:$X$3005,I$5,請求記録!$AD$6:$AD$3005,"保留中")&gt;0,"保留",IF(COUNTIFS(請求記録!$B$6:$B$3005,$A318,請求記録!$X$6:$X$3005,I$5)=0,"",SUMIFS(請求記録!$AC$6:$AC$3005,請求記録!$B$6:$B$3005,$A318,請求記録!$X$6:$X$3005,I$5))))</f>
        <v/>
      </c>
      <c r="J318" s="19">
        <f>IF($A318="","",IF(COUNTIFS(請求記録!$B$6:$B$3005,$A318,請求記録!$X$6:$X$3005,J$5,請求記録!$AD$6:$AD$3005,"保留中")&gt;0,"保留",IF(COUNTIFS(請求記録!$B$6:$B$3005,$A318,請求記録!$X$6:$X$3005,J$5)=0,"",SUMIFS(請求記録!$AC$6:$AC$3005,請求記録!$B$6:$B$3005,$A318,請求記録!$X$6:$X$3005,J$5))))</f>
        <v/>
      </c>
      <c r="K318" s="19">
        <f>IF($A318="","",IF(COUNTIFS(請求記録!$B$6:$B$3005,$A318,請求記録!$X$6:$X$3005,K$5,請求記録!$AD$6:$AD$3005,"保留中")&gt;0,"保留",IF(COUNTIFS(請求記録!$B$6:$B$3005,$A318,請求記録!$X$6:$X$3005,K$5)=0,"",SUMIFS(請求記録!$AC$6:$AC$3005,請求記録!$B$6:$B$3005,$A318,請求記録!$X$6:$X$3005,K$5))))</f>
        <v/>
      </c>
      <c r="L318" s="19">
        <f>IF($A318="","",IF(COUNTIFS(請求記録!$B$6:$B$3005,$A318,請求記録!$X$6:$X$3005,L$5,請求記録!$AD$6:$AD$3005,"保留中")&gt;0,"保留",IF(COUNTIFS(請求記録!$B$6:$B$3005,$A318,請求記録!$X$6:$X$3005,L$5)=0,"",SUMIFS(請求記録!$AC$6:$AC$3005,請求記録!$B$6:$B$3005,$A318,請求記録!$X$6:$X$3005,L$5))))</f>
        <v/>
      </c>
      <c r="M318" s="19">
        <f>IF($A318="","",IF(COUNTIFS(請求記録!$B$6:$B$3005,$A318,請求記録!$X$6:$X$3005,M$5,請求記録!$AD$6:$AD$3005,"保留中")&gt;0,"保留",IF(COUNTIFS(請求記録!$B$6:$B$3005,$A318,請求記録!$X$6:$X$3005,M$5)=0,"",SUMIFS(請求記録!$AC$6:$AC$3005,請求記録!$B$6:$B$3005,$A318,請求記録!$X$6:$X$3005,M$5))))</f>
        <v/>
      </c>
      <c r="N318" s="19">
        <f>IF($A318="","",IF(COUNTIFS(請求記録!$B$6:$B$3005,$A318,請求記録!$X$6:$X$3005,N$5,請求記録!$AD$6:$AD$3005,"保留中")&gt;0,"保留",IF(COUNTIFS(請求記録!$B$6:$B$3005,$A318,請求記録!$X$6:$X$3005,N$5)=0,"",SUMIFS(請求記録!$AC$6:$AC$3005,請求記録!$B$6:$B$3005,$A318,請求記録!$X$6:$X$3005,N$5))))</f>
        <v/>
      </c>
      <c r="O318" s="19">
        <f>IF($A318="","",IF(COUNTIFS(請求記録!$B$6:$B$3005,$A318,請求記録!$X$6:$X$3005,O$5,請求記録!$AD$6:$AD$3005,"保留中")&gt;0,"保留",IF(COUNTIFS(請求記録!$B$6:$B$3005,$A318,請求記録!$X$6:$X$3005,O$5)=0,"",SUMIFS(請求記録!$AC$6:$AC$3005,請求記録!$B$6:$B$3005,$A318,請求記録!$X$6:$X$3005,O$5))))</f>
        <v/>
      </c>
      <c r="P318" s="19">
        <f>IF($A318="","",IF(COUNTIFS(請求記録!$B$6:$B$3005,$A318,請求記録!$X$6:$X$3005,P$5,請求記録!$AD$6:$AD$3005,"保留中")&gt;0,"保留",IF(COUNTIFS(請求記録!$B$6:$B$3005,$A318,請求記録!$X$6:$X$3005,P$5)=0,"",SUMIFS(請求記録!$AC$6:$AC$3005,請求記録!$B$6:$B$3005,$A318,請求記録!$X$6:$X$3005,P$5))))</f>
        <v/>
      </c>
      <c r="Q318" s="19">
        <f>IF($A318="","",IF(COUNTIFS(請求記録!$B$6:$B$3005,$A318,請求記録!$X$6:$X$3005,Q$5,請求記録!$AD$6:$AD$3005,"保留中")&gt;0,"保留",IF(COUNTIFS(請求記録!$B$6:$B$3005,$A318,請求記録!$X$6:$X$3005,Q$5)=0,"",SUMIFS(請求記録!$AC$6:$AC$3005,請求記録!$B$6:$B$3005,$A318,請求記録!$X$6:$X$3005,Q$5))))</f>
        <v/>
      </c>
      <c r="R318" s="19">
        <f>IF($A318="","",IF(COUNTIFS(請求記録!$B$6:$B$3005,$A318,請求記録!$X$6:$X$3005,R$5,請求記録!$AD$6:$AD$3005,"保留中")&gt;0,"保留",IF(COUNTIFS(請求記録!$B$6:$B$3005,$A318,請求記録!$X$6:$X$3005,R$5)=0,"",SUMIFS(請求記録!$AC$6:$AC$3005,請求記録!$B$6:$B$3005,$A318,請求記録!$X$6:$X$3005,R$5))))</f>
        <v/>
      </c>
      <c r="S318" s="19">
        <f>IF($A318="","",IF(COUNTIFS(請求記録!$B$6:$B$3005,$A318,請求記録!$X$6:$X$3005,S$5,請求記録!$AD$6:$AD$3005,"保留中")&gt;0,"保留",IF(COUNTIFS(請求記録!$B$6:$B$3005,$A318,請求記録!$X$6:$X$3005,S$5)=0,"",SUMIFS(請求記録!$AC$6:$AC$3005,請求記録!$B$6:$B$3005,$A318,請求記録!$X$6:$X$3005,S$5))))</f>
        <v/>
      </c>
      <c r="T318" s="19">
        <f>IF($A318="","",IF(COUNTIFS(請求記録!$B$6:$B$3005,$A318,請求記録!$X$6:$X$3005,T$5,請求記録!$AD$6:$AD$3005,"保留中")&gt;0,"保留",IF(COUNTIFS(請求記録!$B$6:$B$3005,$A318,請求記録!$X$6:$X$3005,T$5)=0,"",SUMIFS(請求記録!$AC$6:$AC$3005,請求記録!$B$6:$B$3005,$A318,請求記録!$X$6:$X$3005,T$5))))</f>
        <v/>
      </c>
      <c r="U318" s="19">
        <f>IF($A318="","",IF(COUNTIFS(請求記録!$B$6:$B$3005,$A318,請求記録!$X$6:$X$3005,U$5,請求記録!$AD$6:$AD$3005,"保留中")&gt;0,"保留",IF(COUNTIFS(請求記録!$B$6:$B$3005,$A318,請求記録!$X$6:$X$3005,U$5)=0,"",SUMIFS(請求記録!$AC$6:$AC$3005,請求記録!$B$6:$B$3005,$A318,請求記録!$X$6:$X$3005,U$5))))</f>
        <v/>
      </c>
      <c r="V318" s="19">
        <f>IF($A318="","",IF(COUNTIFS(請求記録!$B$6:$B$3005,$A318,請求記録!$X$6:$X$3005,V$5,請求記録!$AD$6:$AD$3005,"保留中")&gt;0,"保留",IF(COUNTIFS(請求記録!$B$6:$B$3005,$A318,請求記録!$X$6:$X$3005,V$5)=0,"",SUMIFS(請求記録!$AC$6:$AC$3005,請求記録!$B$6:$B$3005,$A318,請求記録!$X$6:$X$3005,V$5))))</f>
        <v/>
      </c>
      <c r="W318" s="19">
        <f>IF($A318="","",IF(COUNTIFS(請求記録!$B$6:$B$3005,$A318,請求記録!$X$6:$X$3005,W$5,請求記録!$AD$6:$AD$3005,"保留中")&gt;0,"保留",IF(COUNTIFS(請求記録!$B$6:$B$3005,$A318,請求記録!$X$6:$X$3005,W$5)=0,"",SUMIFS(請求記録!$AC$6:$AC$3005,請求記録!$B$6:$B$3005,$A318,請求記録!$X$6:$X$3005,W$5))))</f>
        <v/>
      </c>
      <c r="X318" s="19">
        <f>IF($A318="","",IF(COUNTIFS(請求記録!$B$6:$B$3005,$A318,請求記録!$X$6:$X$3005,X$5,請求記録!$AD$6:$AD$3005,"保留中")&gt;0,"保留",IF(COUNTIFS(請求記録!$B$6:$B$3005,$A318,請求記録!$X$6:$X$3005,X$5)=0,"",SUMIFS(請求記録!$AC$6:$AC$3005,請求記録!$B$6:$B$3005,$A318,請求記録!$X$6:$X$3005,X$5))))</f>
        <v/>
      </c>
      <c r="Y318" s="19">
        <f>IF($A318="","",IF(COUNTIFS(請求記録!$B$6:$B$3005,$A318,請求記録!$X$6:$X$3005,Y$5,請求記録!$AD$6:$AD$3005,"保留中")&gt;0,"保留",IF(COUNTIFS(請求記録!$B$6:$B$3005,$A318,請求記録!$X$6:$X$3005,Y$5)=0,"",SUMIFS(請求記録!$AC$6:$AC$3005,請求記録!$B$6:$B$3005,$A318,請求記録!$X$6:$X$3005,Y$5))))</f>
        <v/>
      </c>
      <c r="Z318" s="19">
        <f>IF($A318="","",IF(COUNTIFS(請求記録!$B$6:$B$3005,$A318,請求記録!$X$6:$X$3005,Z$5,請求記録!$AD$6:$AD$3005,"保留中")&gt;0,"保留",IF(COUNTIFS(請求記録!$B$6:$B$3005,$A318,請求記録!$X$6:$X$3005,Z$5)=0,"",SUMIFS(請求記録!$AC$6:$AC$3005,請求記録!$B$6:$B$3005,$A318,請求記録!$X$6:$X$3005,Z$5))))</f>
        <v/>
      </c>
      <c r="AA318" s="19">
        <f>IF($A318="","",IF(COUNTIFS(請求記録!$B$6:$B$3005,$A318,請求記録!$X$6:$X$3005,AA$5,請求記録!$AD$6:$AD$3005,"保留中")&gt;0,"保留",IF(COUNTIFS(請求記録!$B$6:$B$3005,$A318,請求記録!$X$6:$X$3005,AA$5)=0,"",SUMIFS(請求記録!$AC$6:$AC$3005,請求記録!$B$6:$B$3005,$A318,請求記録!$X$6:$X$3005,AA$5))))</f>
        <v/>
      </c>
      <c r="AB318">
        <f>IF(職員マスタ!P318="保留中",職員マスタ!M318,"")</f>
        <v/>
      </c>
    </row>
    <row r="319">
      <c r="A319">
        <f>IF(職員マスタ!A319="","",職員マスタ!A319)</f>
        <v/>
      </c>
      <c r="B319">
        <f>IF($A319="","",職員マスタ!B319)</f>
        <v/>
      </c>
      <c r="C319">
        <f>IF($A319="","",職員マスタ!C319)</f>
        <v/>
      </c>
      <c r="D319" s="19">
        <f>IF($A319="","",IF(COUNTIFS(請求記録!$B$6:$B$3005,$A319,請求記録!$X$6:$X$3005,D$5,請求記録!$AD$6:$AD$3005,"保留中")&gt;0,"保留",IF(COUNTIFS(請求記録!$B$6:$B$3005,$A319,請求記録!$X$6:$X$3005,D$5)=0,"",SUMIFS(請求記録!$AC$6:$AC$3005,請求記録!$B$6:$B$3005,$A319,請求記録!$X$6:$X$3005,D$5))))</f>
        <v/>
      </c>
      <c r="E319" s="19">
        <f>IF($A319="","",IF(COUNTIFS(請求記録!$B$6:$B$3005,$A319,請求記録!$X$6:$X$3005,E$5,請求記録!$AD$6:$AD$3005,"保留中")&gt;0,"保留",IF(COUNTIFS(請求記録!$B$6:$B$3005,$A319,請求記録!$X$6:$X$3005,E$5)=0,"",SUMIFS(請求記録!$AC$6:$AC$3005,請求記録!$B$6:$B$3005,$A319,請求記録!$X$6:$X$3005,E$5))))</f>
        <v/>
      </c>
      <c r="F319" s="19">
        <f>IF($A319="","",IF(COUNTIFS(請求記録!$B$6:$B$3005,$A319,請求記録!$X$6:$X$3005,F$5,請求記録!$AD$6:$AD$3005,"保留中")&gt;0,"保留",IF(COUNTIFS(請求記録!$B$6:$B$3005,$A319,請求記録!$X$6:$X$3005,F$5)=0,"",SUMIFS(請求記録!$AC$6:$AC$3005,請求記録!$B$6:$B$3005,$A319,請求記録!$X$6:$X$3005,F$5))))</f>
        <v/>
      </c>
      <c r="G319" s="19">
        <f>IF($A319="","",IF(COUNTIFS(請求記録!$B$6:$B$3005,$A319,請求記録!$X$6:$X$3005,G$5,請求記録!$AD$6:$AD$3005,"保留中")&gt;0,"保留",IF(COUNTIFS(請求記録!$B$6:$B$3005,$A319,請求記録!$X$6:$X$3005,G$5)=0,"",SUMIFS(請求記録!$AC$6:$AC$3005,請求記録!$B$6:$B$3005,$A319,請求記録!$X$6:$X$3005,G$5))))</f>
        <v/>
      </c>
      <c r="H319" s="19">
        <f>IF($A319="","",IF(COUNTIFS(請求記録!$B$6:$B$3005,$A319,請求記録!$X$6:$X$3005,H$5,請求記録!$AD$6:$AD$3005,"保留中")&gt;0,"保留",IF(COUNTIFS(請求記録!$B$6:$B$3005,$A319,請求記録!$X$6:$X$3005,H$5)=0,"",SUMIFS(請求記録!$AC$6:$AC$3005,請求記録!$B$6:$B$3005,$A319,請求記録!$X$6:$X$3005,H$5))))</f>
        <v/>
      </c>
      <c r="I319" s="19">
        <f>IF($A319="","",IF(COUNTIFS(請求記録!$B$6:$B$3005,$A319,請求記録!$X$6:$X$3005,I$5,請求記録!$AD$6:$AD$3005,"保留中")&gt;0,"保留",IF(COUNTIFS(請求記録!$B$6:$B$3005,$A319,請求記録!$X$6:$X$3005,I$5)=0,"",SUMIFS(請求記録!$AC$6:$AC$3005,請求記録!$B$6:$B$3005,$A319,請求記録!$X$6:$X$3005,I$5))))</f>
        <v/>
      </c>
      <c r="J319" s="19">
        <f>IF($A319="","",IF(COUNTIFS(請求記録!$B$6:$B$3005,$A319,請求記録!$X$6:$X$3005,J$5,請求記録!$AD$6:$AD$3005,"保留中")&gt;0,"保留",IF(COUNTIFS(請求記録!$B$6:$B$3005,$A319,請求記録!$X$6:$X$3005,J$5)=0,"",SUMIFS(請求記録!$AC$6:$AC$3005,請求記録!$B$6:$B$3005,$A319,請求記録!$X$6:$X$3005,J$5))))</f>
        <v/>
      </c>
      <c r="K319" s="19">
        <f>IF($A319="","",IF(COUNTIFS(請求記録!$B$6:$B$3005,$A319,請求記録!$X$6:$X$3005,K$5,請求記録!$AD$6:$AD$3005,"保留中")&gt;0,"保留",IF(COUNTIFS(請求記録!$B$6:$B$3005,$A319,請求記録!$X$6:$X$3005,K$5)=0,"",SUMIFS(請求記録!$AC$6:$AC$3005,請求記録!$B$6:$B$3005,$A319,請求記録!$X$6:$X$3005,K$5))))</f>
        <v/>
      </c>
      <c r="L319" s="19">
        <f>IF($A319="","",IF(COUNTIFS(請求記録!$B$6:$B$3005,$A319,請求記録!$X$6:$X$3005,L$5,請求記録!$AD$6:$AD$3005,"保留中")&gt;0,"保留",IF(COUNTIFS(請求記録!$B$6:$B$3005,$A319,請求記録!$X$6:$X$3005,L$5)=0,"",SUMIFS(請求記録!$AC$6:$AC$3005,請求記録!$B$6:$B$3005,$A319,請求記録!$X$6:$X$3005,L$5))))</f>
        <v/>
      </c>
      <c r="M319" s="19">
        <f>IF($A319="","",IF(COUNTIFS(請求記録!$B$6:$B$3005,$A319,請求記録!$X$6:$X$3005,M$5,請求記録!$AD$6:$AD$3005,"保留中")&gt;0,"保留",IF(COUNTIFS(請求記録!$B$6:$B$3005,$A319,請求記録!$X$6:$X$3005,M$5)=0,"",SUMIFS(請求記録!$AC$6:$AC$3005,請求記録!$B$6:$B$3005,$A319,請求記録!$X$6:$X$3005,M$5))))</f>
        <v/>
      </c>
      <c r="N319" s="19">
        <f>IF($A319="","",IF(COUNTIFS(請求記録!$B$6:$B$3005,$A319,請求記録!$X$6:$X$3005,N$5,請求記録!$AD$6:$AD$3005,"保留中")&gt;0,"保留",IF(COUNTIFS(請求記録!$B$6:$B$3005,$A319,請求記録!$X$6:$X$3005,N$5)=0,"",SUMIFS(請求記録!$AC$6:$AC$3005,請求記録!$B$6:$B$3005,$A319,請求記録!$X$6:$X$3005,N$5))))</f>
        <v/>
      </c>
      <c r="O319" s="19">
        <f>IF($A319="","",IF(COUNTIFS(請求記録!$B$6:$B$3005,$A319,請求記録!$X$6:$X$3005,O$5,請求記録!$AD$6:$AD$3005,"保留中")&gt;0,"保留",IF(COUNTIFS(請求記録!$B$6:$B$3005,$A319,請求記録!$X$6:$X$3005,O$5)=0,"",SUMIFS(請求記録!$AC$6:$AC$3005,請求記録!$B$6:$B$3005,$A319,請求記録!$X$6:$X$3005,O$5))))</f>
        <v/>
      </c>
      <c r="P319" s="19">
        <f>IF($A319="","",IF(COUNTIFS(請求記録!$B$6:$B$3005,$A319,請求記録!$X$6:$X$3005,P$5,請求記録!$AD$6:$AD$3005,"保留中")&gt;0,"保留",IF(COUNTIFS(請求記録!$B$6:$B$3005,$A319,請求記録!$X$6:$X$3005,P$5)=0,"",SUMIFS(請求記録!$AC$6:$AC$3005,請求記録!$B$6:$B$3005,$A319,請求記録!$X$6:$X$3005,P$5))))</f>
        <v/>
      </c>
      <c r="Q319" s="19">
        <f>IF($A319="","",IF(COUNTIFS(請求記録!$B$6:$B$3005,$A319,請求記録!$X$6:$X$3005,Q$5,請求記録!$AD$6:$AD$3005,"保留中")&gt;0,"保留",IF(COUNTIFS(請求記録!$B$6:$B$3005,$A319,請求記録!$X$6:$X$3005,Q$5)=0,"",SUMIFS(請求記録!$AC$6:$AC$3005,請求記録!$B$6:$B$3005,$A319,請求記録!$X$6:$X$3005,Q$5))))</f>
        <v/>
      </c>
      <c r="R319" s="19">
        <f>IF($A319="","",IF(COUNTIFS(請求記録!$B$6:$B$3005,$A319,請求記録!$X$6:$X$3005,R$5,請求記録!$AD$6:$AD$3005,"保留中")&gt;0,"保留",IF(COUNTIFS(請求記録!$B$6:$B$3005,$A319,請求記録!$X$6:$X$3005,R$5)=0,"",SUMIFS(請求記録!$AC$6:$AC$3005,請求記録!$B$6:$B$3005,$A319,請求記録!$X$6:$X$3005,R$5))))</f>
        <v/>
      </c>
      <c r="S319" s="19">
        <f>IF($A319="","",IF(COUNTIFS(請求記録!$B$6:$B$3005,$A319,請求記録!$X$6:$X$3005,S$5,請求記録!$AD$6:$AD$3005,"保留中")&gt;0,"保留",IF(COUNTIFS(請求記録!$B$6:$B$3005,$A319,請求記録!$X$6:$X$3005,S$5)=0,"",SUMIFS(請求記録!$AC$6:$AC$3005,請求記録!$B$6:$B$3005,$A319,請求記録!$X$6:$X$3005,S$5))))</f>
        <v/>
      </c>
      <c r="T319" s="19">
        <f>IF($A319="","",IF(COUNTIFS(請求記録!$B$6:$B$3005,$A319,請求記録!$X$6:$X$3005,T$5,請求記録!$AD$6:$AD$3005,"保留中")&gt;0,"保留",IF(COUNTIFS(請求記録!$B$6:$B$3005,$A319,請求記録!$X$6:$X$3005,T$5)=0,"",SUMIFS(請求記録!$AC$6:$AC$3005,請求記録!$B$6:$B$3005,$A319,請求記録!$X$6:$X$3005,T$5))))</f>
        <v/>
      </c>
      <c r="U319" s="19">
        <f>IF($A319="","",IF(COUNTIFS(請求記録!$B$6:$B$3005,$A319,請求記録!$X$6:$X$3005,U$5,請求記録!$AD$6:$AD$3005,"保留中")&gt;0,"保留",IF(COUNTIFS(請求記録!$B$6:$B$3005,$A319,請求記録!$X$6:$X$3005,U$5)=0,"",SUMIFS(請求記録!$AC$6:$AC$3005,請求記録!$B$6:$B$3005,$A319,請求記録!$X$6:$X$3005,U$5))))</f>
        <v/>
      </c>
      <c r="V319" s="19">
        <f>IF($A319="","",IF(COUNTIFS(請求記録!$B$6:$B$3005,$A319,請求記録!$X$6:$X$3005,V$5,請求記録!$AD$6:$AD$3005,"保留中")&gt;0,"保留",IF(COUNTIFS(請求記録!$B$6:$B$3005,$A319,請求記録!$X$6:$X$3005,V$5)=0,"",SUMIFS(請求記録!$AC$6:$AC$3005,請求記録!$B$6:$B$3005,$A319,請求記録!$X$6:$X$3005,V$5))))</f>
        <v/>
      </c>
      <c r="W319" s="19">
        <f>IF($A319="","",IF(COUNTIFS(請求記録!$B$6:$B$3005,$A319,請求記録!$X$6:$X$3005,W$5,請求記録!$AD$6:$AD$3005,"保留中")&gt;0,"保留",IF(COUNTIFS(請求記録!$B$6:$B$3005,$A319,請求記録!$X$6:$X$3005,W$5)=0,"",SUMIFS(請求記録!$AC$6:$AC$3005,請求記録!$B$6:$B$3005,$A319,請求記録!$X$6:$X$3005,W$5))))</f>
        <v/>
      </c>
      <c r="X319" s="19">
        <f>IF($A319="","",IF(COUNTIFS(請求記録!$B$6:$B$3005,$A319,請求記録!$X$6:$X$3005,X$5,請求記録!$AD$6:$AD$3005,"保留中")&gt;0,"保留",IF(COUNTIFS(請求記録!$B$6:$B$3005,$A319,請求記録!$X$6:$X$3005,X$5)=0,"",SUMIFS(請求記録!$AC$6:$AC$3005,請求記録!$B$6:$B$3005,$A319,請求記録!$X$6:$X$3005,X$5))))</f>
        <v/>
      </c>
      <c r="Y319" s="19">
        <f>IF($A319="","",IF(COUNTIFS(請求記録!$B$6:$B$3005,$A319,請求記録!$X$6:$X$3005,Y$5,請求記録!$AD$6:$AD$3005,"保留中")&gt;0,"保留",IF(COUNTIFS(請求記録!$B$6:$B$3005,$A319,請求記録!$X$6:$X$3005,Y$5)=0,"",SUMIFS(請求記録!$AC$6:$AC$3005,請求記録!$B$6:$B$3005,$A319,請求記録!$X$6:$X$3005,Y$5))))</f>
        <v/>
      </c>
      <c r="Z319" s="19">
        <f>IF($A319="","",IF(COUNTIFS(請求記録!$B$6:$B$3005,$A319,請求記録!$X$6:$X$3005,Z$5,請求記録!$AD$6:$AD$3005,"保留中")&gt;0,"保留",IF(COUNTIFS(請求記録!$B$6:$B$3005,$A319,請求記録!$X$6:$X$3005,Z$5)=0,"",SUMIFS(請求記録!$AC$6:$AC$3005,請求記録!$B$6:$B$3005,$A319,請求記録!$X$6:$X$3005,Z$5))))</f>
        <v/>
      </c>
      <c r="AA319" s="19">
        <f>IF($A319="","",IF(COUNTIFS(請求記録!$B$6:$B$3005,$A319,請求記録!$X$6:$X$3005,AA$5,請求記録!$AD$6:$AD$3005,"保留中")&gt;0,"保留",IF(COUNTIFS(請求記録!$B$6:$B$3005,$A319,請求記録!$X$6:$X$3005,AA$5)=0,"",SUMIFS(請求記録!$AC$6:$AC$3005,請求記録!$B$6:$B$3005,$A319,請求記録!$X$6:$X$3005,AA$5))))</f>
        <v/>
      </c>
      <c r="AB319">
        <f>IF(職員マスタ!P319="保留中",職員マスタ!M319,"")</f>
        <v/>
      </c>
    </row>
    <row r="320">
      <c r="A320">
        <f>IF(職員マスタ!A320="","",職員マスタ!A320)</f>
        <v/>
      </c>
      <c r="B320">
        <f>IF($A320="","",職員マスタ!B320)</f>
        <v/>
      </c>
      <c r="C320">
        <f>IF($A320="","",職員マスタ!C320)</f>
        <v/>
      </c>
      <c r="D320" s="19">
        <f>IF($A320="","",IF(COUNTIFS(請求記録!$B$6:$B$3005,$A320,請求記録!$X$6:$X$3005,D$5,請求記録!$AD$6:$AD$3005,"保留中")&gt;0,"保留",IF(COUNTIFS(請求記録!$B$6:$B$3005,$A320,請求記録!$X$6:$X$3005,D$5)=0,"",SUMIFS(請求記録!$AC$6:$AC$3005,請求記録!$B$6:$B$3005,$A320,請求記録!$X$6:$X$3005,D$5))))</f>
        <v/>
      </c>
      <c r="E320" s="19">
        <f>IF($A320="","",IF(COUNTIFS(請求記録!$B$6:$B$3005,$A320,請求記録!$X$6:$X$3005,E$5,請求記録!$AD$6:$AD$3005,"保留中")&gt;0,"保留",IF(COUNTIFS(請求記録!$B$6:$B$3005,$A320,請求記録!$X$6:$X$3005,E$5)=0,"",SUMIFS(請求記録!$AC$6:$AC$3005,請求記録!$B$6:$B$3005,$A320,請求記録!$X$6:$X$3005,E$5))))</f>
        <v/>
      </c>
      <c r="F320" s="19">
        <f>IF($A320="","",IF(COUNTIFS(請求記録!$B$6:$B$3005,$A320,請求記録!$X$6:$X$3005,F$5,請求記録!$AD$6:$AD$3005,"保留中")&gt;0,"保留",IF(COUNTIFS(請求記録!$B$6:$B$3005,$A320,請求記録!$X$6:$X$3005,F$5)=0,"",SUMIFS(請求記録!$AC$6:$AC$3005,請求記録!$B$6:$B$3005,$A320,請求記録!$X$6:$X$3005,F$5))))</f>
        <v/>
      </c>
      <c r="G320" s="19">
        <f>IF($A320="","",IF(COUNTIFS(請求記録!$B$6:$B$3005,$A320,請求記録!$X$6:$X$3005,G$5,請求記録!$AD$6:$AD$3005,"保留中")&gt;0,"保留",IF(COUNTIFS(請求記録!$B$6:$B$3005,$A320,請求記録!$X$6:$X$3005,G$5)=0,"",SUMIFS(請求記録!$AC$6:$AC$3005,請求記録!$B$6:$B$3005,$A320,請求記録!$X$6:$X$3005,G$5))))</f>
        <v/>
      </c>
      <c r="H320" s="19">
        <f>IF($A320="","",IF(COUNTIFS(請求記録!$B$6:$B$3005,$A320,請求記録!$X$6:$X$3005,H$5,請求記録!$AD$6:$AD$3005,"保留中")&gt;0,"保留",IF(COUNTIFS(請求記録!$B$6:$B$3005,$A320,請求記録!$X$6:$X$3005,H$5)=0,"",SUMIFS(請求記録!$AC$6:$AC$3005,請求記録!$B$6:$B$3005,$A320,請求記録!$X$6:$X$3005,H$5))))</f>
        <v/>
      </c>
      <c r="I320" s="19">
        <f>IF($A320="","",IF(COUNTIFS(請求記録!$B$6:$B$3005,$A320,請求記録!$X$6:$X$3005,I$5,請求記録!$AD$6:$AD$3005,"保留中")&gt;0,"保留",IF(COUNTIFS(請求記録!$B$6:$B$3005,$A320,請求記録!$X$6:$X$3005,I$5)=0,"",SUMIFS(請求記録!$AC$6:$AC$3005,請求記録!$B$6:$B$3005,$A320,請求記録!$X$6:$X$3005,I$5))))</f>
        <v/>
      </c>
      <c r="J320" s="19">
        <f>IF($A320="","",IF(COUNTIFS(請求記録!$B$6:$B$3005,$A320,請求記録!$X$6:$X$3005,J$5,請求記録!$AD$6:$AD$3005,"保留中")&gt;0,"保留",IF(COUNTIFS(請求記録!$B$6:$B$3005,$A320,請求記録!$X$6:$X$3005,J$5)=0,"",SUMIFS(請求記録!$AC$6:$AC$3005,請求記録!$B$6:$B$3005,$A320,請求記録!$X$6:$X$3005,J$5))))</f>
        <v/>
      </c>
      <c r="K320" s="19">
        <f>IF($A320="","",IF(COUNTIFS(請求記録!$B$6:$B$3005,$A320,請求記録!$X$6:$X$3005,K$5,請求記録!$AD$6:$AD$3005,"保留中")&gt;0,"保留",IF(COUNTIFS(請求記録!$B$6:$B$3005,$A320,請求記録!$X$6:$X$3005,K$5)=0,"",SUMIFS(請求記録!$AC$6:$AC$3005,請求記録!$B$6:$B$3005,$A320,請求記録!$X$6:$X$3005,K$5))))</f>
        <v/>
      </c>
      <c r="L320" s="19">
        <f>IF($A320="","",IF(COUNTIFS(請求記録!$B$6:$B$3005,$A320,請求記録!$X$6:$X$3005,L$5,請求記録!$AD$6:$AD$3005,"保留中")&gt;0,"保留",IF(COUNTIFS(請求記録!$B$6:$B$3005,$A320,請求記録!$X$6:$X$3005,L$5)=0,"",SUMIFS(請求記録!$AC$6:$AC$3005,請求記録!$B$6:$B$3005,$A320,請求記録!$X$6:$X$3005,L$5))))</f>
        <v/>
      </c>
      <c r="M320" s="19">
        <f>IF($A320="","",IF(COUNTIFS(請求記録!$B$6:$B$3005,$A320,請求記録!$X$6:$X$3005,M$5,請求記録!$AD$6:$AD$3005,"保留中")&gt;0,"保留",IF(COUNTIFS(請求記録!$B$6:$B$3005,$A320,請求記録!$X$6:$X$3005,M$5)=0,"",SUMIFS(請求記録!$AC$6:$AC$3005,請求記録!$B$6:$B$3005,$A320,請求記録!$X$6:$X$3005,M$5))))</f>
        <v/>
      </c>
      <c r="N320" s="19">
        <f>IF($A320="","",IF(COUNTIFS(請求記録!$B$6:$B$3005,$A320,請求記録!$X$6:$X$3005,N$5,請求記録!$AD$6:$AD$3005,"保留中")&gt;0,"保留",IF(COUNTIFS(請求記録!$B$6:$B$3005,$A320,請求記録!$X$6:$X$3005,N$5)=0,"",SUMIFS(請求記録!$AC$6:$AC$3005,請求記録!$B$6:$B$3005,$A320,請求記録!$X$6:$X$3005,N$5))))</f>
        <v/>
      </c>
      <c r="O320" s="19">
        <f>IF($A320="","",IF(COUNTIFS(請求記録!$B$6:$B$3005,$A320,請求記録!$X$6:$X$3005,O$5,請求記録!$AD$6:$AD$3005,"保留中")&gt;0,"保留",IF(COUNTIFS(請求記録!$B$6:$B$3005,$A320,請求記録!$X$6:$X$3005,O$5)=0,"",SUMIFS(請求記録!$AC$6:$AC$3005,請求記録!$B$6:$B$3005,$A320,請求記録!$X$6:$X$3005,O$5))))</f>
        <v/>
      </c>
      <c r="P320" s="19">
        <f>IF($A320="","",IF(COUNTIFS(請求記録!$B$6:$B$3005,$A320,請求記録!$X$6:$X$3005,P$5,請求記録!$AD$6:$AD$3005,"保留中")&gt;0,"保留",IF(COUNTIFS(請求記録!$B$6:$B$3005,$A320,請求記録!$X$6:$X$3005,P$5)=0,"",SUMIFS(請求記録!$AC$6:$AC$3005,請求記録!$B$6:$B$3005,$A320,請求記録!$X$6:$X$3005,P$5))))</f>
        <v/>
      </c>
      <c r="Q320" s="19">
        <f>IF($A320="","",IF(COUNTIFS(請求記録!$B$6:$B$3005,$A320,請求記録!$X$6:$X$3005,Q$5,請求記録!$AD$6:$AD$3005,"保留中")&gt;0,"保留",IF(COUNTIFS(請求記録!$B$6:$B$3005,$A320,請求記録!$X$6:$X$3005,Q$5)=0,"",SUMIFS(請求記録!$AC$6:$AC$3005,請求記録!$B$6:$B$3005,$A320,請求記録!$X$6:$X$3005,Q$5))))</f>
        <v/>
      </c>
      <c r="R320" s="19">
        <f>IF($A320="","",IF(COUNTIFS(請求記録!$B$6:$B$3005,$A320,請求記録!$X$6:$X$3005,R$5,請求記録!$AD$6:$AD$3005,"保留中")&gt;0,"保留",IF(COUNTIFS(請求記録!$B$6:$B$3005,$A320,請求記録!$X$6:$X$3005,R$5)=0,"",SUMIFS(請求記録!$AC$6:$AC$3005,請求記録!$B$6:$B$3005,$A320,請求記録!$X$6:$X$3005,R$5))))</f>
        <v/>
      </c>
      <c r="S320" s="19">
        <f>IF($A320="","",IF(COUNTIFS(請求記録!$B$6:$B$3005,$A320,請求記録!$X$6:$X$3005,S$5,請求記録!$AD$6:$AD$3005,"保留中")&gt;0,"保留",IF(COUNTIFS(請求記録!$B$6:$B$3005,$A320,請求記録!$X$6:$X$3005,S$5)=0,"",SUMIFS(請求記録!$AC$6:$AC$3005,請求記録!$B$6:$B$3005,$A320,請求記録!$X$6:$X$3005,S$5))))</f>
        <v/>
      </c>
      <c r="T320" s="19">
        <f>IF($A320="","",IF(COUNTIFS(請求記録!$B$6:$B$3005,$A320,請求記録!$X$6:$X$3005,T$5,請求記録!$AD$6:$AD$3005,"保留中")&gt;0,"保留",IF(COUNTIFS(請求記録!$B$6:$B$3005,$A320,請求記録!$X$6:$X$3005,T$5)=0,"",SUMIFS(請求記録!$AC$6:$AC$3005,請求記録!$B$6:$B$3005,$A320,請求記録!$X$6:$X$3005,T$5))))</f>
        <v/>
      </c>
      <c r="U320" s="19">
        <f>IF($A320="","",IF(COUNTIFS(請求記録!$B$6:$B$3005,$A320,請求記録!$X$6:$X$3005,U$5,請求記録!$AD$6:$AD$3005,"保留中")&gt;0,"保留",IF(COUNTIFS(請求記録!$B$6:$B$3005,$A320,請求記録!$X$6:$X$3005,U$5)=0,"",SUMIFS(請求記録!$AC$6:$AC$3005,請求記録!$B$6:$B$3005,$A320,請求記録!$X$6:$X$3005,U$5))))</f>
        <v/>
      </c>
      <c r="V320" s="19">
        <f>IF($A320="","",IF(COUNTIFS(請求記録!$B$6:$B$3005,$A320,請求記録!$X$6:$X$3005,V$5,請求記録!$AD$6:$AD$3005,"保留中")&gt;0,"保留",IF(COUNTIFS(請求記録!$B$6:$B$3005,$A320,請求記録!$X$6:$X$3005,V$5)=0,"",SUMIFS(請求記録!$AC$6:$AC$3005,請求記録!$B$6:$B$3005,$A320,請求記録!$X$6:$X$3005,V$5))))</f>
        <v/>
      </c>
      <c r="W320" s="19">
        <f>IF($A320="","",IF(COUNTIFS(請求記録!$B$6:$B$3005,$A320,請求記録!$X$6:$X$3005,W$5,請求記録!$AD$6:$AD$3005,"保留中")&gt;0,"保留",IF(COUNTIFS(請求記録!$B$6:$B$3005,$A320,請求記録!$X$6:$X$3005,W$5)=0,"",SUMIFS(請求記録!$AC$6:$AC$3005,請求記録!$B$6:$B$3005,$A320,請求記録!$X$6:$X$3005,W$5))))</f>
        <v/>
      </c>
      <c r="X320" s="19">
        <f>IF($A320="","",IF(COUNTIFS(請求記録!$B$6:$B$3005,$A320,請求記録!$X$6:$X$3005,X$5,請求記録!$AD$6:$AD$3005,"保留中")&gt;0,"保留",IF(COUNTIFS(請求記録!$B$6:$B$3005,$A320,請求記録!$X$6:$X$3005,X$5)=0,"",SUMIFS(請求記録!$AC$6:$AC$3005,請求記録!$B$6:$B$3005,$A320,請求記録!$X$6:$X$3005,X$5))))</f>
        <v/>
      </c>
      <c r="Y320" s="19">
        <f>IF($A320="","",IF(COUNTIFS(請求記録!$B$6:$B$3005,$A320,請求記録!$X$6:$X$3005,Y$5,請求記録!$AD$6:$AD$3005,"保留中")&gt;0,"保留",IF(COUNTIFS(請求記録!$B$6:$B$3005,$A320,請求記録!$X$6:$X$3005,Y$5)=0,"",SUMIFS(請求記録!$AC$6:$AC$3005,請求記録!$B$6:$B$3005,$A320,請求記録!$X$6:$X$3005,Y$5))))</f>
        <v/>
      </c>
      <c r="Z320" s="19">
        <f>IF($A320="","",IF(COUNTIFS(請求記録!$B$6:$B$3005,$A320,請求記録!$X$6:$X$3005,Z$5,請求記録!$AD$6:$AD$3005,"保留中")&gt;0,"保留",IF(COUNTIFS(請求記録!$B$6:$B$3005,$A320,請求記録!$X$6:$X$3005,Z$5)=0,"",SUMIFS(請求記録!$AC$6:$AC$3005,請求記録!$B$6:$B$3005,$A320,請求記録!$X$6:$X$3005,Z$5))))</f>
        <v/>
      </c>
      <c r="AA320" s="19">
        <f>IF($A320="","",IF(COUNTIFS(請求記録!$B$6:$B$3005,$A320,請求記録!$X$6:$X$3005,AA$5,請求記録!$AD$6:$AD$3005,"保留中")&gt;0,"保留",IF(COUNTIFS(請求記録!$B$6:$B$3005,$A320,請求記録!$X$6:$X$3005,AA$5)=0,"",SUMIFS(請求記録!$AC$6:$AC$3005,請求記録!$B$6:$B$3005,$A320,請求記録!$X$6:$X$3005,AA$5))))</f>
        <v/>
      </c>
      <c r="AB320">
        <f>IF(職員マスタ!P320="保留中",職員マスタ!M320,"")</f>
        <v/>
      </c>
    </row>
    <row r="321">
      <c r="A321">
        <f>IF(職員マスタ!A321="","",職員マスタ!A321)</f>
        <v/>
      </c>
      <c r="B321">
        <f>IF($A321="","",職員マスタ!B321)</f>
        <v/>
      </c>
      <c r="C321">
        <f>IF($A321="","",職員マスタ!C321)</f>
        <v/>
      </c>
      <c r="D321" s="19">
        <f>IF($A321="","",IF(COUNTIFS(請求記録!$B$6:$B$3005,$A321,請求記録!$X$6:$X$3005,D$5,請求記録!$AD$6:$AD$3005,"保留中")&gt;0,"保留",IF(COUNTIFS(請求記録!$B$6:$B$3005,$A321,請求記録!$X$6:$X$3005,D$5)=0,"",SUMIFS(請求記録!$AC$6:$AC$3005,請求記録!$B$6:$B$3005,$A321,請求記録!$X$6:$X$3005,D$5))))</f>
        <v/>
      </c>
      <c r="E321" s="19">
        <f>IF($A321="","",IF(COUNTIFS(請求記録!$B$6:$B$3005,$A321,請求記録!$X$6:$X$3005,E$5,請求記録!$AD$6:$AD$3005,"保留中")&gt;0,"保留",IF(COUNTIFS(請求記録!$B$6:$B$3005,$A321,請求記録!$X$6:$X$3005,E$5)=0,"",SUMIFS(請求記録!$AC$6:$AC$3005,請求記録!$B$6:$B$3005,$A321,請求記録!$X$6:$X$3005,E$5))))</f>
        <v/>
      </c>
      <c r="F321" s="19">
        <f>IF($A321="","",IF(COUNTIFS(請求記録!$B$6:$B$3005,$A321,請求記録!$X$6:$X$3005,F$5,請求記録!$AD$6:$AD$3005,"保留中")&gt;0,"保留",IF(COUNTIFS(請求記録!$B$6:$B$3005,$A321,請求記録!$X$6:$X$3005,F$5)=0,"",SUMIFS(請求記録!$AC$6:$AC$3005,請求記録!$B$6:$B$3005,$A321,請求記録!$X$6:$X$3005,F$5))))</f>
        <v/>
      </c>
      <c r="G321" s="19">
        <f>IF($A321="","",IF(COUNTIFS(請求記録!$B$6:$B$3005,$A321,請求記録!$X$6:$X$3005,G$5,請求記録!$AD$6:$AD$3005,"保留中")&gt;0,"保留",IF(COUNTIFS(請求記録!$B$6:$B$3005,$A321,請求記録!$X$6:$X$3005,G$5)=0,"",SUMIFS(請求記録!$AC$6:$AC$3005,請求記録!$B$6:$B$3005,$A321,請求記録!$X$6:$X$3005,G$5))))</f>
        <v/>
      </c>
      <c r="H321" s="19">
        <f>IF($A321="","",IF(COUNTIFS(請求記録!$B$6:$B$3005,$A321,請求記録!$X$6:$X$3005,H$5,請求記録!$AD$6:$AD$3005,"保留中")&gt;0,"保留",IF(COUNTIFS(請求記録!$B$6:$B$3005,$A321,請求記録!$X$6:$X$3005,H$5)=0,"",SUMIFS(請求記録!$AC$6:$AC$3005,請求記録!$B$6:$B$3005,$A321,請求記録!$X$6:$X$3005,H$5))))</f>
        <v/>
      </c>
      <c r="I321" s="19">
        <f>IF($A321="","",IF(COUNTIFS(請求記録!$B$6:$B$3005,$A321,請求記録!$X$6:$X$3005,I$5,請求記録!$AD$6:$AD$3005,"保留中")&gt;0,"保留",IF(COUNTIFS(請求記録!$B$6:$B$3005,$A321,請求記録!$X$6:$X$3005,I$5)=0,"",SUMIFS(請求記録!$AC$6:$AC$3005,請求記録!$B$6:$B$3005,$A321,請求記録!$X$6:$X$3005,I$5))))</f>
        <v/>
      </c>
      <c r="J321" s="19">
        <f>IF($A321="","",IF(COUNTIFS(請求記録!$B$6:$B$3005,$A321,請求記録!$X$6:$X$3005,J$5,請求記録!$AD$6:$AD$3005,"保留中")&gt;0,"保留",IF(COUNTIFS(請求記録!$B$6:$B$3005,$A321,請求記録!$X$6:$X$3005,J$5)=0,"",SUMIFS(請求記録!$AC$6:$AC$3005,請求記録!$B$6:$B$3005,$A321,請求記録!$X$6:$X$3005,J$5))))</f>
        <v/>
      </c>
      <c r="K321" s="19">
        <f>IF($A321="","",IF(COUNTIFS(請求記録!$B$6:$B$3005,$A321,請求記録!$X$6:$X$3005,K$5,請求記録!$AD$6:$AD$3005,"保留中")&gt;0,"保留",IF(COUNTIFS(請求記録!$B$6:$B$3005,$A321,請求記録!$X$6:$X$3005,K$5)=0,"",SUMIFS(請求記録!$AC$6:$AC$3005,請求記録!$B$6:$B$3005,$A321,請求記録!$X$6:$X$3005,K$5))))</f>
        <v/>
      </c>
      <c r="L321" s="19">
        <f>IF($A321="","",IF(COUNTIFS(請求記録!$B$6:$B$3005,$A321,請求記録!$X$6:$X$3005,L$5,請求記録!$AD$6:$AD$3005,"保留中")&gt;0,"保留",IF(COUNTIFS(請求記録!$B$6:$B$3005,$A321,請求記録!$X$6:$X$3005,L$5)=0,"",SUMIFS(請求記録!$AC$6:$AC$3005,請求記録!$B$6:$B$3005,$A321,請求記録!$X$6:$X$3005,L$5))))</f>
        <v/>
      </c>
      <c r="M321" s="19">
        <f>IF($A321="","",IF(COUNTIFS(請求記録!$B$6:$B$3005,$A321,請求記録!$X$6:$X$3005,M$5,請求記録!$AD$6:$AD$3005,"保留中")&gt;0,"保留",IF(COUNTIFS(請求記録!$B$6:$B$3005,$A321,請求記録!$X$6:$X$3005,M$5)=0,"",SUMIFS(請求記録!$AC$6:$AC$3005,請求記録!$B$6:$B$3005,$A321,請求記録!$X$6:$X$3005,M$5))))</f>
        <v/>
      </c>
      <c r="N321" s="19">
        <f>IF($A321="","",IF(COUNTIFS(請求記録!$B$6:$B$3005,$A321,請求記録!$X$6:$X$3005,N$5,請求記録!$AD$6:$AD$3005,"保留中")&gt;0,"保留",IF(COUNTIFS(請求記録!$B$6:$B$3005,$A321,請求記録!$X$6:$X$3005,N$5)=0,"",SUMIFS(請求記録!$AC$6:$AC$3005,請求記録!$B$6:$B$3005,$A321,請求記録!$X$6:$X$3005,N$5))))</f>
        <v/>
      </c>
      <c r="O321" s="19">
        <f>IF($A321="","",IF(COUNTIFS(請求記録!$B$6:$B$3005,$A321,請求記録!$X$6:$X$3005,O$5,請求記録!$AD$6:$AD$3005,"保留中")&gt;0,"保留",IF(COUNTIFS(請求記録!$B$6:$B$3005,$A321,請求記録!$X$6:$X$3005,O$5)=0,"",SUMIFS(請求記録!$AC$6:$AC$3005,請求記録!$B$6:$B$3005,$A321,請求記録!$X$6:$X$3005,O$5))))</f>
        <v/>
      </c>
      <c r="P321" s="19">
        <f>IF($A321="","",IF(COUNTIFS(請求記録!$B$6:$B$3005,$A321,請求記録!$X$6:$X$3005,P$5,請求記録!$AD$6:$AD$3005,"保留中")&gt;0,"保留",IF(COUNTIFS(請求記録!$B$6:$B$3005,$A321,請求記録!$X$6:$X$3005,P$5)=0,"",SUMIFS(請求記録!$AC$6:$AC$3005,請求記録!$B$6:$B$3005,$A321,請求記録!$X$6:$X$3005,P$5))))</f>
        <v/>
      </c>
      <c r="Q321" s="19">
        <f>IF($A321="","",IF(COUNTIFS(請求記録!$B$6:$B$3005,$A321,請求記録!$X$6:$X$3005,Q$5,請求記録!$AD$6:$AD$3005,"保留中")&gt;0,"保留",IF(COUNTIFS(請求記録!$B$6:$B$3005,$A321,請求記録!$X$6:$X$3005,Q$5)=0,"",SUMIFS(請求記録!$AC$6:$AC$3005,請求記録!$B$6:$B$3005,$A321,請求記録!$X$6:$X$3005,Q$5))))</f>
        <v/>
      </c>
      <c r="R321" s="19">
        <f>IF($A321="","",IF(COUNTIFS(請求記録!$B$6:$B$3005,$A321,請求記録!$X$6:$X$3005,R$5,請求記録!$AD$6:$AD$3005,"保留中")&gt;0,"保留",IF(COUNTIFS(請求記録!$B$6:$B$3005,$A321,請求記録!$X$6:$X$3005,R$5)=0,"",SUMIFS(請求記録!$AC$6:$AC$3005,請求記録!$B$6:$B$3005,$A321,請求記録!$X$6:$X$3005,R$5))))</f>
        <v/>
      </c>
      <c r="S321" s="19">
        <f>IF($A321="","",IF(COUNTIFS(請求記録!$B$6:$B$3005,$A321,請求記録!$X$6:$X$3005,S$5,請求記録!$AD$6:$AD$3005,"保留中")&gt;0,"保留",IF(COUNTIFS(請求記録!$B$6:$B$3005,$A321,請求記録!$X$6:$X$3005,S$5)=0,"",SUMIFS(請求記録!$AC$6:$AC$3005,請求記録!$B$6:$B$3005,$A321,請求記録!$X$6:$X$3005,S$5))))</f>
        <v/>
      </c>
      <c r="T321" s="19">
        <f>IF($A321="","",IF(COUNTIFS(請求記録!$B$6:$B$3005,$A321,請求記録!$X$6:$X$3005,T$5,請求記録!$AD$6:$AD$3005,"保留中")&gt;0,"保留",IF(COUNTIFS(請求記録!$B$6:$B$3005,$A321,請求記録!$X$6:$X$3005,T$5)=0,"",SUMIFS(請求記録!$AC$6:$AC$3005,請求記録!$B$6:$B$3005,$A321,請求記録!$X$6:$X$3005,T$5))))</f>
        <v/>
      </c>
      <c r="U321" s="19">
        <f>IF($A321="","",IF(COUNTIFS(請求記録!$B$6:$B$3005,$A321,請求記録!$X$6:$X$3005,U$5,請求記録!$AD$6:$AD$3005,"保留中")&gt;0,"保留",IF(COUNTIFS(請求記録!$B$6:$B$3005,$A321,請求記録!$X$6:$X$3005,U$5)=0,"",SUMIFS(請求記録!$AC$6:$AC$3005,請求記録!$B$6:$B$3005,$A321,請求記録!$X$6:$X$3005,U$5))))</f>
        <v/>
      </c>
      <c r="V321" s="19">
        <f>IF($A321="","",IF(COUNTIFS(請求記録!$B$6:$B$3005,$A321,請求記録!$X$6:$X$3005,V$5,請求記録!$AD$6:$AD$3005,"保留中")&gt;0,"保留",IF(COUNTIFS(請求記録!$B$6:$B$3005,$A321,請求記録!$X$6:$X$3005,V$5)=0,"",SUMIFS(請求記録!$AC$6:$AC$3005,請求記録!$B$6:$B$3005,$A321,請求記録!$X$6:$X$3005,V$5))))</f>
        <v/>
      </c>
      <c r="W321" s="19">
        <f>IF($A321="","",IF(COUNTIFS(請求記録!$B$6:$B$3005,$A321,請求記録!$X$6:$X$3005,W$5,請求記録!$AD$6:$AD$3005,"保留中")&gt;0,"保留",IF(COUNTIFS(請求記録!$B$6:$B$3005,$A321,請求記録!$X$6:$X$3005,W$5)=0,"",SUMIFS(請求記録!$AC$6:$AC$3005,請求記録!$B$6:$B$3005,$A321,請求記録!$X$6:$X$3005,W$5))))</f>
        <v/>
      </c>
      <c r="X321" s="19">
        <f>IF($A321="","",IF(COUNTIFS(請求記録!$B$6:$B$3005,$A321,請求記録!$X$6:$X$3005,X$5,請求記録!$AD$6:$AD$3005,"保留中")&gt;0,"保留",IF(COUNTIFS(請求記録!$B$6:$B$3005,$A321,請求記録!$X$6:$X$3005,X$5)=0,"",SUMIFS(請求記録!$AC$6:$AC$3005,請求記録!$B$6:$B$3005,$A321,請求記録!$X$6:$X$3005,X$5))))</f>
        <v/>
      </c>
      <c r="Y321" s="19">
        <f>IF($A321="","",IF(COUNTIFS(請求記録!$B$6:$B$3005,$A321,請求記録!$X$6:$X$3005,Y$5,請求記録!$AD$6:$AD$3005,"保留中")&gt;0,"保留",IF(COUNTIFS(請求記録!$B$6:$B$3005,$A321,請求記録!$X$6:$X$3005,Y$5)=0,"",SUMIFS(請求記録!$AC$6:$AC$3005,請求記録!$B$6:$B$3005,$A321,請求記録!$X$6:$X$3005,Y$5))))</f>
        <v/>
      </c>
      <c r="Z321" s="19">
        <f>IF($A321="","",IF(COUNTIFS(請求記録!$B$6:$B$3005,$A321,請求記録!$X$6:$X$3005,Z$5,請求記録!$AD$6:$AD$3005,"保留中")&gt;0,"保留",IF(COUNTIFS(請求記録!$B$6:$B$3005,$A321,請求記録!$X$6:$X$3005,Z$5)=0,"",SUMIFS(請求記録!$AC$6:$AC$3005,請求記録!$B$6:$B$3005,$A321,請求記録!$X$6:$X$3005,Z$5))))</f>
        <v/>
      </c>
      <c r="AA321" s="19">
        <f>IF($A321="","",IF(COUNTIFS(請求記録!$B$6:$B$3005,$A321,請求記録!$X$6:$X$3005,AA$5,請求記録!$AD$6:$AD$3005,"保留中")&gt;0,"保留",IF(COUNTIFS(請求記録!$B$6:$B$3005,$A321,請求記録!$X$6:$X$3005,AA$5)=0,"",SUMIFS(請求記録!$AC$6:$AC$3005,請求記録!$B$6:$B$3005,$A321,請求記録!$X$6:$X$3005,AA$5))))</f>
        <v/>
      </c>
      <c r="AB321">
        <f>IF(職員マスタ!P321="保留中",職員マスタ!M321,"")</f>
        <v/>
      </c>
    </row>
    <row r="322">
      <c r="A322">
        <f>IF(職員マスタ!A322="","",職員マスタ!A322)</f>
        <v/>
      </c>
      <c r="B322">
        <f>IF($A322="","",職員マスタ!B322)</f>
        <v/>
      </c>
      <c r="C322">
        <f>IF($A322="","",職員マスタ!C322)</f>
        <v/>
      </c>
      <c r="D322" s="19">
        <f>IF($A322="","",IF(COUNTIFS(請求記録!$B$6:$B$3005,$A322,請求記録!$X$6:$X$3005,D$5,請求記録!$AD$6:$AD$3005,"保留中")&gt;0,"保留",IF(COUNTIFS(請求記録!$B$6:$B$3005,$A322,請求記録!$X$6:$X$3005,D$5)=0,"",SUMIFS(請求記録!$AC$6:$AC$3005,請求記録!$B$6:$B$3005,$A322,請求記録!$X$6:$X$3005,D$5))))</f>
        <v/>
      </c>
      <c r="E322" s="19">
        <f>IF($A322="","",IF(COUNTIFS(請求記録!$B$6:$B$3005,$A322,請求記録!$X$6:$X$3005,E$5,請求記録!$AD$6:$AD$3005,"保留中")&gt;0,"保留",IF(COUNTIFS(請求記録!$B$6:$B$3005,$A322,請求記録!$X$6:$X$3005,E$5)=0,"",SUMIFS(請求記録!$AC$6:$AC$3005,請求記録!$B$6:$B$3005,$A322,請求記録!$X$6:$X$3005,E$5))))</f>
        <v/>
      </c>
      <c r="F322" s="19">
        <f>IF($A322="","",IF(COUNTIFS(請求記録!$B$6:$B$3005,$A322,請求記録!$X$6:$X$3005,F$5,請求記録!$AD$6:$AD$3005,"保留中")&gt;0,"保留",IF(COUNTIFS(請求記録!$B$6:$B$3005,$A322,請求記録!$X$6:$X$3005,F$5)=0,"",SUMIFS(請求記録!$AC$6:$AC$3005,請求記録!$B$6:$B$3005,$A322,請求記録!$X$6:$X$3005,F$5))))</f>
        <v/>
      </c>
      <c r="G322" s="19">
        <f>IF($A322="","",IF(COUNTIFS(請求記録!$B$6:$B$3005,$A322,請求記録!$X$6:$X$3005,G$5,請求記録!$AD$6:$AD$3005,"保留中")&gt;0,"保留",IF(COUNTIFS(請求記録!$B$6:$B$3005,$A322,請求記録!$X$6:$X$3005,G$5)=0,"",SUMIFS(請求記録!$AC$6:$AC$3005,請求記録!$B$6:$B$3005,$A322,請求記録!$X$6:$X$3005,G$5))))</f>
        <v/>
      </c>
      <c r="H322" s="19">
        <f>IF($A322="","",IF(COUNTIFS(請求記録!$B$6:$B$3005,$A322,請求記録!$X$6:$X$3005,H$5,請求記録!$AD$6:$AD$3005,"保留中")&gt;0,"保留",IF(COUNTIFS(請求記録!$B$6:$B$3005,$A322,請求記録!$X$6:$X$3005,H$5)=0,"",SUMIFS(請求記録!$AC$6:$AC$3005,請求記録!$B$6:$B$3005,$A322,請求記録!$X$6:$X$3005,H$5))))</f>
        <v/>
      </c>
      <c r="I322" s="19">
        <f>IF($A322="","",IF(COUNTIFS(請求記録!$B$6:$B$3005,$A322,請求記録!$X$6:$X$3005,I$5,請求記録!$AD$6:$AD$3005,"保留中")&gt;0,"保留",IF(COUNTIFS(請求記録!$B$6:$B$3005,$A322,請求記録!$X$6:$X$3005,I$5)=0,"",SUMIFS(請求記録!$AC$6:$AC$3005,請求記録!$B$6:$B$3005,$A322,請求記録!$X$6:$X$3005,I$5))))</f>
        <v/>
      </c>
      <c r="J322" s="19">
        <f>IF($A322="","",IF(COUNTIFS(請求記録!$B$6:$B$3005,$A322,請求記録!$X$6:$X$3005,J$5,請求記録!$AD$6:$AD$3005,"保留中")&gt;0,"保留",IF(COUNTIFS(請求記録!$B$6:$B$3005,$A322,請求記録!$X$6:$X$3005,J$5)=0,"",SUMIFS(請求記録!$AC$6:$AC$3005,請求記録!$B$6:$B$3005,$A322,請求記録!$X$6:$X$3005,J$5))))</f>
        <v/>
      </c>
      <c r="K322" s="19">
        <f>IF($A322="","",IF(COUNTIFS(請求記録!$B$6:$B$3005,$A322,請求記録!$X$6:$X$3005,K$5,請求記録!$AD$6:$AD$3005,"保留中")&gt;0,"保留",IF(COUNTIFS(請求記録!$B$6:$B$3005,$A322,請求記録!$X$6:$X$3005,K$5)=0,"",SUMIFS(請求記録!$AC$6:$AC$3005,請求記録!$B$6:$B$3005,$A322,請求記録!$X$6:$X$3005,K$5))))</f>
        <v/>
      </c>
      <c r="L322" s="19">
        <f>IF($A322="","",IF(COUNTIFS(請求記録!$B$6:$B$3005,$A322,請求記録!$X$6:$X$3005,L$5,請求記録!$AD$6:$AD$3005,"保留中")&gt;0,"保留",IF(COUNTIFS(請求記録!$B$6:$B$3005,$A322,請求記録!$X$6:$X$3005,L$5)=0,"",SUMIFS(請求記録!$AC$6:$AC$3005,請求記録!$B$6:$B$3005,$A322,請求記録!$X$6:$X$3005,L$5))))</f>
        <v/>
      </c>
      <c r="M322" s="19">
        <f>IF($A322="","",IF(COUNTIFS(請求記録!$B$6:$B$3005,$A322,請求記録!$X$6:$X$3005,M$5,請求記録!$AD$6:$AD$3005,"保留中")&gt;0,"保留",IF(COUNTIFS(請求記録!$B$6:$B$3005,$A322,請求記録!$X$6:$X$3005,M$5)=0,"",SUMIFS(請求記録!$AC$6:$AC$3005,請求記録!$B$6:$B$3005,$A322,請求記録!$X$6:$X$3005,M$5))))</f>
        <v/>
      </c>
      <c r="N322" s="19">
        <f>IF($A322="","",IF(COUNTIFS(請求記録!$B$6:$B$3005,$A322,請求記録!$X$6:$X$3005,N$5,請求記録!$AD$6:$AD$3005,"保留中")&gt;0,"保留",IF(COUNTIFS(請求記録!$B$6:$B$3005,$A322,請求記録!$X$6:$X$3005,N$5)=0,"",SUMIFS(請求記録!$AC$6:$AC$3005,請求記録!$B$6:$B$3005,$A322,請求記録!$X$6:$X$3005,N$5))))</f>
        <v/>
      </c>
      <c r="O322" s="19">
        <f>IF($A322="","",IF(COUNTIFS(請求記録!$B$6:$B$3005,$A322,請求記録!$X$6:$X$3005,O$5,請求記録!$AD$6:$AD$3005,"保留中")&gt;0,"保留",IF(COUNTIFS(請求記録!$B$6:$B$3005,$A322,請求記録!$X$6:$X$3005,O$5)=0,"",SUMIFS(請求記録!$AC$6:$AC$3005,請求記録!$B$6:$B$3005,$A322,請求記録!$X$6:$X$3005,O$5))))</f>
        <v/>
      </c>
      <c r="P322" s="19">
        <f>IF($A322="","",IF(COUNTIFS(請求記録!$B$6:$B$3005,$A322,請求記録!$X$6:$X$3005,P$5,請求記録!$AD$6:$AD$3005,"保留中")&gt;0,"保留",IF(COUNTIFS(請求記録!$B$6:$B$3005,$A322,請求記録!$X$6:$X$3005,P$5)=0,"",SUMIFS(請求記録!$AC$6:$AC$3005,請求記録!$B$6:$B$3005,$A322,請求記録!$X$6:$X$3005,P$5))))</f>
        <v/>
      </c>
      <c r="Q322" s="19">
        <f>IF($A322="","",IF(COUNTIFS(請求記録!$B$6:$B$3005,$A322,請求記録!$X$6:$X$3005,Q$5,請求記録!$AD$6:$AD$3005,"保留中")&gt;0,"保留",IF(COUNTIFS(請求記録!$B$6:$B$3005,$A322,請求記録!$X$6:$X$3005,Q$5)=0,"",SUMIFS(請求記録!$AC$6:$AC$3005,請求記録!$B$6:$B$3005,$A322,請求記録!$X$6:$X$3005,Q$5))))</f>
        <v/>
      </c>
      <c r="R322" s="19">
        <f>IF($A322="","",IF(COUNTIFS(請求記録!$B$6:$B$3005,$A322,請求記録!$X$6:$X$3005,R$5,請求記録!$AD$6:$AD$3005,"保留中")&gt;0,"保留",IF(COUNTIFS(請求記録!$B$6:$B$3005,$A322,請求記録!$X$6:$X$3005,R$5)=0,"",SUMIFS(請求記録!$AC$6:$AC$3005,請求記録!$B$6:$B$3005,$A322,請求記録!$X$6:$X$3005,R$5))))</f>
        <v/>
      </c>
      <c r="S322" s="19">
        <f>IF($A322="","",IF(COUNTIFS(請求記録!$B$6:$B$3005,$A322,請求記録!$X$6:$X$3005,S$5,請求記録!$AD$6:$AD$3005,"保留中")&gt;0,"保留",IF(COUNTIFS(請求記録!$B$6:$B$3005,$A322,請求記録!$X$6:$X$3005,S$5)=0,"",SUMIFS(請求記録!$AC$6:$AC$3005,請求記録!$B$6:$B$3005,$A322,請求記録!$X$6:$X$3005,S$5))))</f>
        <v/>
      </c>
      <c r="T322" s="19">
        <f>IF($A322="","",IF(COUNTIFS(請求記録!$B$6:$B$3005,$A322,請求記録!$X$6:$X$3005,T$5,請求記録!$AD$6:$AD$3005,"保留中")&gt;0,"保留",IF(COUNTIFS(請求記録!$B$6:$B$3005,$A322,請求記録!$X$6:$X$3005,T$5)=0,"",SUMIFS(請求記録!$AC$6:$AC$3005,請求記録!$B$6:$B$3005,$A322,請求記録!$X$6:$X$3005,T$5))))</f>
        <v/>
      </c>
      <c r="U322" s="19">
        <f>IF($A322="","",IF(COUNTIFS(請求記録!$B$6:$B$3005,$A322,請求記録!$X$6:$X$3005,U$5,請求記録!$AD$6:$AD$3005,"保留中")&gt;0,"保留",IF(COUNTIFS(請求記録!$B$6:$B$3005,$A322,請求記録!$X$6:$X$3005,U$5)=0,"",SUMIFS(請求記録!$AC$6:$AC$3005,請求記録!$B$6:$B$3005,$A322,請求記録!$X$6:$X$3005,U$5))))</f>
        <v/>
      </c>
      <c r="V322" s="19">
        <f>IF($A322="","",IF(COUNTIFS(請求記録!$B$6:$B$3005,$A322,請求記録!$X$6:$X$3005,V$5,請求記録!$AD$6:$AD$3005,"保留中")&gt;0,"保留",IF(COUNTIFS(請求記録!$B$6:$B$3005,$A322,請求記録!$X$6:$X$3005,V$5)=0,"",SUMIFS(請求記録!$AC$6:$AC$3005,請求記録!$B$6:$B$3005,$A322,請求記録!$X$6:$X$3005,V$5))))</f>
        <v/>
      </c>
      <c r="W322" s="19">
        <f>IF($A322="","",IF(COUNTIFS(請求記録!$B$6:$B$3005,$A322,請求記録!$X$6:$X$3005,W$5,請求記録!$AD$6:$AD$3005,"保留中")&gt;0,"保留",IF(COUNTIFS(請求記録!$B$6:$B$3005,$A322,請求記録!$X$6:$X$3005,W$5)=0,"",SUMIFS(請求記録!$AC$6:$AC$3005,請求記録!$B$6:$B$3005,$A322,請求記録!$X$6:$X$3005,W$5))))</f>
        <v/>
      </c>
      <c r="X322" s="19">
        <f>IF($A322="","",IF(COUNTIFS(請求記録!$B$6:$B$3005,$A322,請求記録!$X$6:$X$3005,X$5,請求記録!$AD$6:$AD$3005,"保留中")&gt;0,"保留",IF(COUNTIFS(請求記録!$B$6:$B$3005,$A322,請求記録!$X$6:$X$3005,X$5)=0,"",SUMIFS(請求記録!$AC$6:$AC$3005,請求記録!$B$6:$B$3005,$A322,請求記録!$X$6:$X$3005,X$5))))</f>
        <v/>
      </c>
      <c r="Y322" s="19">
        <f>IF($A322="","",IF(COUNTIFS(請求記録!$B$6:$B$3005,$A322,請求記録!$X$6:$X$3005,Y$5,請求記録!$AD$6:$AD$3005,"保留中")&gt;0,"保留",IF(COUNTIFS(請求記録!$B$6:$B$3005,$A322,請求記録!$X$6:$X$3005,Y$5)=0,"",SUMIFS(請求記録!$AC$6:$AC$3005,請求記録!$B$6:$B$3005,$A322,請求記録!$X$6:$X$3005,Y$5))))</f>
        <v/>
      </c>
      <c r="Z322" s="19">
        <f>IF($A322="","",IF(COUNTIFS(請求記録!$B$6:$B$3005,$A322,請求記録!$X$6:$X$3005,Z$5,請求記録!$AD$6:$AD$3005,"保留中")&gt;0,"保留",IF(COUNTIFS(請求記録!$B$6:$B$3005,$A322,請求記録!$X$6:$X$3005,Z$5)=0,"",SUMIFS(請求記録!$AC$6:$AC$3005,請求記録!$B$6:$B$3005,$A322,請求記録!$X$6:$X$3005,Z$5))))</f>
        <v/>
      </c>
      <c r="AA322" s="19">
        <f>IF($A322="","",IF(COUNTIFS(請求記録!$B$6:$B$3005,$A322,請求記録!$X$6:$X$3005,AA$5,請求記録!$AD$6:$AD$3005,"保留中")&gt;0,"保留",IF(COUNTIFS(請求記録!$B$6:$B$3005,$A322,請求記録!$X$6:$X$3005,AA$5)=0,"",SUMIFS(請求記録!$AC$6:$AC$3005,請求記録!$B$6:$B$3005,$A322,請求記録!$X$6:$X$3005,AA$5))))</f>
        <v/>
      </c>
      <c r="AB322">
        <f>IF(職員マスタ!P322="保留中",職員マスタ!M322,"")</f>
        <v/>
      </c>
    </row>
    <row r="323">
      <c r="A323">
        <f>IF(職員マスタ!A323="","",職員マスタ!A323)</f>
        <v/>
      </c>
      <c r="B323">
        <f>IF($A323="","",職員マスタ!B323)</f>
        <v/>
      </c>
      <c r="C323">
        <f>IF($A323="","",職員マスタ!C323)</f>
        <v/>
      </c>
      <c r="D323" s="19">
        <f>IF($A323="","",IF(COUNTIFS(請求記録!$B$6:$B$3005,$A323,請求記録!$X$6:$X$3005,D$5,請求記録!$AD$6:$AD$3005,"保留中")&gt;0,"保留",IF(COUNTIFS(請求記録!$B$6:$B$3005,$A323,請求記録!$X$6:$X$3005,D$5)=0,"",SUMIFS(請求記録!$AC$6:$AC$3005,請求記録!$B$6:$B$3005,$A323,請求記録!$X$6:$X$3005,D$5))))</f>
        <v/>
      </c>
      <c r="E323" s="19">
        <f>IF($A323="","",IF(COUNTIFS(請求記録!$B$6:$B$3005,$A323,請求記録!$X$6:$X$3005,E$5,請求記録!$AD$6:$AD$3005,"保留中")&gt;0,"保留",IF(COUNTIFS(請求記録!$B$6:$B$3005,$A323,請求記録!$X$6:$X$3005,E$5)=0,"",SUMIFS(請求記録!$AC$6:$AC$3005,請求記録!$B$6:$B$3005,$A323,請求記録!$X$6:$X$3005,E$5))))</f>
        <v/>
      </c>
      <c r="F323" s="19">
        <f>IF($A323="","",IF(COUNTIFS(請求記録!$B$6:$B$3005,$A323,請求記録!$X$6:$X$3005,F$5,請求記録!$AD$6:$AD$3005,"保留中")&gt;0,"保留",IF(COUNTIFS(請求記録!$B$6:$B$3005,$A323,請求記録!$X$6:$X$3005,F$5)=0,"",SUMIFS(請求記録!$AC$6:$AC$3005,請求記録!$B$6:$B$3005,$A323,請求記録!$X$6:$X$3005,F$5))))</f>
        <v/>
      </c>
      <c r="G323" s="19">
        <f>IF($A323="","",IF(COUNTIFS(請求記録!$B$6:$B$3005,$A323,請求記録!$X$6:$X$3005,G$5,請求記録!$AD$6:$AD$3005,"保留中")&gt;0,"保留",IF(COUNTIFS(請求記録!$B$6:$B$3005,$A323,請求記録!$X$6:$X$3005,G$5)=0,"",SUMIFS(請求記録!$AC$6:$AC$3005,請求記録!$B$6:$B$3005,$A323,請求記録!$X$6:$X$3005,G$5))))</f>
        <v/>
      </c>
      <c r="H323" s="19">
        <f>IF($A323="","",IF(COUNTIFS(請求記録!$B$6:$B$3005,$A323,請求記録!$X$6:$X$3005,H$5,請求記録!$AD$6:$AD$3005,"保留中")&gt;0,"保留",IF(COUNTIFS(請求記録!$B$6:$B$3005,$A323,請求記録!$X$6:$X$3005,H$5)=0,"",SUMIFS(請求記録!$AC$6:$AC$3005,請求記録!$B$6:$B$3005,$A323,請求記録!$X$6:$X$3005,H$5))))</f>
        <v/>
      </c>
      <c r="I323" s="19">
        <f>IF($A323="","",IF(COUNTIFS(請求記録!$B$6:$B$3005,$A323,請求記録!$X$6:$X$3005,I$5,請求記録!$AD$6:$AD$3005,"保留中")&gt;0,"保留",IF(COUNTIFS(請求記録!$B$6:$B$3005,$A323,請求記録!$X$6:$X$3005,I$5)=0,"",SUMIFS(請求記録!$AC$6:$AC$3005,請求記録!$B$6:$B$3005,$A323,請求記録!$X$6:$X$3005,I$5))))</f>
        <v/>
      </c>
      <c r="J323" s="19">
        <f>IF($A323="","",IF(COUNTIFS(請求記録!$B$6:$B$3005,$A323,請求記録!$X$6:$X$3005,J$5,請求記録!$AD$6:$AD$3005,"保留中")&gt;0,"保留",IF(COUNTIFS(請求記録!$B$6:$B$3005,$A323,請求記録!$X$6:$X$3005,J$5)=0,"",SUMIFS(請求記録!$AC$6:$AC$3005,請求記録!$B$6:$B$3005,$A323,請求記録!$X$6:$X$3005,J$5))))</f>
        <v/>
      </c>
      <c r="K323" s="19">
        <f>IF($A323="","",IF(COUNTIFS(請求記録!$B$6:$B$3005,$A323,請求記録!$X$6:$X$3005,K$5,請求記録!$AD$6:$AD$3005,"保留中")&gt;0,"保留",IF(COUNTIFS(請求記録!$B$6:$B$3005,$A323,請求記録!$X$6:$X$3005,K$5)=0,"",SUMIFS(請求記録!$AC$6:$AC$3005,請求記録!$B$6:$B$3005,$A323,請求記録!$X$6:$X$3005,K$5))))</f>
        <v/>
      </c>
      <c r="L323" s="19">
        <f>IF($A323="","",IF(COUNTIFS(請求記録!$B$6:$B$3005,$A323,請求記録!$X$6:$X$3005,L$5,請求記録!$AD$6:$AD$3005,"保留中")&gt;0,"保留",IF(COUNTIFS(請求記録!$B$6:$B$3005,$A323,請求記録!$X$6:$X$3005,L$5)=0,"",SUMIFS(請求記録!$AC$6:$AC$3005,請求記録!$B$6:$B$3005,$A323,請求記録!$X$6:$X$3005,L$5))))</f>
        <v/>
      </c>
      <c r="M323" s="19">
        <f>IF($A323="","",IF(COUNTIFS(請求記録!$B$6:$B$3005,$A323,請求記録!$X$6:$X$3005,M$5,請求記録!$AD$6:$AD$3005,"保留中")&gt;0,"保留",IF(COUNTIFS(請求記録!$B$6:$B$3005,$A323,請求記録!$X$6:$X$3005,M$5)=0,"",SUMIFS(請求記録!$AC$6:$AC$3005,請求記録!$B$6:$B$3005,$A323,請求記録!$X$6:$X$3005,M$5))))</f>
        <v/>
      </c>
      <c r="N323" s="19">
        <f>IF($A323="","",IF(COUNTIFS(請求記録!$B$6:$B$3005,$A323,請求記録!$X$6:$X$3005,N$5,請求記録!$AD$6:$AD$3005,"保留中")&gt;0,"保留",IF(COUNTIFS(請求記録!$B$6:$B$3005,$A323,請求記録!$X$6:$X$3005,N$5)=0,"",SUMIFS(請求記録!$AC$6:$AC$3005,請求記録!$B$6:$B$3005,$A323,請求記録!$X$6:$X$3005,N$5))))</f>
        <v/>
      </c>
      <c r="O323" s="19">
        <f>IF($A323="","",IF(COUNTIFS(請求記録!$B$6:$B$3005,$A323,請求記録!$X$6:$X$3005,O$5,請求記録!$AD$6:$AD$3005,"保留中")&gt;0,"保留",IF(COUNTIFS(請求記録!$B$6:$B$3005,$A323,請求記録!$X$6:$X$3005,O$5)=0,"",SUMIFS(請求記録!$AC$6:$AC$3005,請求記録!$B$6:$B$3005,$A323,請求記録!$X$6:$X$3005,O$5))))</f>
        <v/>
      </c>
      <c r="P323" s="19">
        <f>IF($A323="","",IF(COUNTIFS(請求記録!$B$6:$B$3005,$A323,請求記録!$X$6:$X$3005,P$5,請求記録!$AD$6:$AD$3005,"保留中")&gt;0,"保留",IF(COUNTIFS(請求記録!$B$6:$B$3005,$A323,請求記録!$X$6:$X$3005,P$5)=0,"",SUMIFS(請求記録!$AC$6:$AC$3005,請求記録!$B$6:$B$3005,$A323,請求記録!$X$6:$X$3005,P$5))))</f>
        <v/>
      </c>
      <c r="Q323" s="19">
        <f>IF($A323="","",IF(COUNTIFS(請求記録!$B$6:$B$3005,$A323,請求記録!$X$6:$X$3005,Q$5,請求記録!$AD$6:$AD$3005,"保留中")&gt;0,"保留",IF(COUNTIFS(請求記録!$B$6:$B$3005,$A323,請求記録!$X$6:$X$3005,Q$5)=0,"",SUMIFS(請求記録!$AC$6:$AC$3005,請求記録!$B$6:$B$3005,$A323,請求記録!$X$6:$X$3005,Q$5))))</f>
        <v/>
      </c>
      <c r="R323" s="19">
        <f>IF($A323="","",IF(COUNTIFS(請求記録!$B$6:$B$3005,$A323,請求記録!$X$6:$X$3005,R$5,請求記録!$AD$6:$AD$3005,"保留中")&gt;0,"保留",IF(COUNTIFS(請求記録!$B$6:$B$3005,$A323,請求記録!$X$6:$X$3005,R$5)=0,"",SUMIFS(請求記録!$AC$6:$AC$3005,請求記録!$B$6:$B$3005,$A323,請求記録!$X$6:$X$3005,R$5))))</f>
        <v/>
      </c>
      <c r="S323" s="19">
        <f>IF($A323="","",IF(COUNTIFS(請求記録!$B$6:$B$3005,$A323,請求記録!$X$6:$X$3005,S$5,請求記録!$AD$6:$AD$3005,"保留中")&gt;0,"保留",IF(COUNTIFS(請求記録!$B$6:$B$3005,$A323,請求記録!$X$6:$X$3005,S$5)=0,"",SUMIFS(請求記録!$AC$6:$AC$3005,請求記録!$B$6:$B$3005,$A323,請求記録!$X$6:$X$3005,S$5))))</f>
        <v/>
      </c>
      <c r="T323" s="19">
        <f>IF($A323="","",IF(COUNTIFS(請求記録!$B$6:$B$3005,$A323,請求記録!$X$6:$X$3005,T$5,請求記録!$AD$6:$AD$3005,"保留中")&gt;0,"保留",IF(COUNTIFS(請求記録!$B$6:$B$3005,$A323,請求記録!$X$6:$X$3005,T$5)=0,"",SUMIFS(請求記録!$AC$6:$AC$3005,請求記録!$B$6:$B$3005,$A323,請求記録!$X$6:$X$3005,T$5))))</f>
        <v/>
      </c>
      <c r="U323" s="19">
        <f>IF($A323="","",IF(COUNTIFS(請求記録!$B$6:$B$3005,$A323,請求記録!$X$6:$X$3005,U$5,請求記録!$AD$6:$AD$3005,"保留中")&gt;0,"保留",IF(COUNTIFS(請求記録!$B$6:$B$3005,$A323,請求記録!$X$6:$X$3005,U$5)=0,"",SUMIFS(請求記録!$AC$6:$AC$3005,請求記録!$B$6:$B$3005,$A323,請求記録!$X$6:$X$3005,U$5))))</f>
        <v/>
      </c>
      <c r="V323" s="19">
        <f>IF($A323="","",IF(COUNTIFS(請求記録!$B$6:$B$3005,$A323,請求記録!$X$6:$X$3005,V$5,請求記録!$AD$6:$AD$3005,"保留中")&gt;0,"保留",IF(COUNTIFS(請求記録!$B$6:$B$3005,$A323,請求記録!$X$6:$X$3005,V$5)=0,"",SUMIFS(請求記録!$AC$6:$AC$3005,請求記録!$B$6:$B$3005,$A323,請求記録!$X$6:$X$3005,V$5))))</f>
        <v/>
      </c>
      <c r="W323" s="19">
        <f>IF($A323="","",IF(COUNTIFS(請求記録!$B$6:$B$3005,$A323,請求記録!$X$6:$X$3005,W$5,請求記録!$AD$6:$AD$3005,"保留中")&gt;0,"保留",IF(COUNTIFS(請求記録!$B$6:$B$3005,$A323,請求記録!$X$6:$X$3005,W$5)=0,"",SUMIFS(請求記録!$AC$6:$AC$3005,請求記録!$B$6:$B$3005,$A323,請求記録!$X$6:$X$3005,W$5))))</f>
        <v/>
      </c>
      <c r="X323" s="19">
        <f>IF($A323="","",IF(COUNTIFS(請求記録!$B$6:$B$3005,$A323,請求記録!$X$6:$X$3005,X$5,請求記録!$AD$6:$AD$3005,"保留中")&gt;0,"保留",IF(COUNTIFS(請求記録!$B$6:$B$3005,$A323,請求記録!$X$6:$X$3005,X$5)=0,"",SUMIFS(請求記録!$AC$6:$AC$3005,請求記録!$B$6:$B$3005,$A323,請求記録!$X$6:$X$3005,X$5))))</f>
        <v/>
      </c>
      <c r="Y323" s="19">
        <f>IF($A323="","",IF(COUNTIFS(請求記録!$B$6:$B$3005,$A323,請求記録!$X$6:$X$3005,Y$5,請求記録!$AD$6:$AD$3005,"保留中")&gt;0,"保留",IF(COUNTIFS(請求記録!$B$6:$B$3005,$A323,請求記録!$X$6:$X$3005,Y$5)=0,"",SUMIFS(請求記録!$AC$6:$AC$3005,請求記録!$B$6:$B$3005,$A323,請求記録!$X$6:$X$3005,Y$5))))</f>
        <v/>
      </c>
      <c r="Z323" s="19">
        <f>IF($A323="","",IF(COUNTIFS(請求記録!$B$6:$B$3005,$A323,請求記録!$X$6:$X$3005,Z$5,請求記録!$AD$6:$AD$3005,"保留中")&gt;0,"保留",IF(COUNTIFS(請求記録!$B$6:$B$3005,$A323,請求記録!$X$6:$X$3005,Z$5)=0,"",SUMIFS(請求記録!$AC$6:$AC$3005,請求記録!$B$6:$B$3005,$A323,請求記録!$X$6:$X$3005,Z$5))))</f>
        <v/>
      </c>
      <c r="AA323" s="19">
        <f>IF($A323="","",IF(COUNTIFS(請求記録!$B$6:$B$3005,$A323,請求記録!$X$6:$X$3005,AA$5,請求記録!$AD$6:$AD$3005,"保留中")&gt;0,"保留",IF(COUNTIFS(請求記録!$B$6:$B$3005,$A323,請求記録!$X$6:$X$3005,AA$5)=0,"",SUMIFS(請求記録!$AC$6:$AC$3005,請求記録!$B$6:$B$3005,$A323,請求記録!$X$6:$X$3005,AA$5))))</f>
        <v/>
      </c>
      <c r="AB323">
        <f>IF(職員マスタ!P323="保留中",職員マスタ!M323,"")</f>
        <v/>
      </c>
    </row>
    <row r="324">
      <c r="A324">
        <f>IF(職員マスタ!A324="","",職員マスタ!A324)</f>
        <v/>
      </c>
      <c r="B324">
        <f>IF($A324="","",職員マスタ!B324)</f>
        <v/>
      </c>
      <c r="C324">
        <f>IF($A324="","",職員マスタ!C324)</f>
        <v/>
      </c>
      <c r="D324" s="19">
        <f>IF($A324="","",IF(COUNTIFS(請求記録!$B$6:$B$3005,$A324,請求記録!$X$6:$X$3005,D$5,請求記録!$AD$6:$AD$3005,"保留中")&gt;0,"保留",IF(COUNTIFS(請求記録!$B$6:$B$3005,$A324,請求記録!$X$6:$X$3005,D$5)=0,"",SUMIFS(請求記録!$AC$6:$AC$3005,請求記録!$B$6:$B$3005,$A324,請求記録!$X$6:$X$3005,D$5))))</f>
        <v/>
      </c>
      <c r="E324" s="19">
        <f>IF($A324="","",IF(COUNTIFS(請求記録!$B$6:$B$3005,$A324,請求記録!$X$6:$X$3005,E$5,請求記録!$AD$6:$AD$3005,"保留中")&gt;0,"保留",IF(COUNTIFS(請求記録!$B$6:$B$3005,$A324,請求記録!$X$6:$X$3005,E$5)=0,"",SUMIFS(請求記録!$AC$6:$AC$3005,請求記録!$B$6:$B$3005,$A324,請求記録!$X$6:$X$3005,E$5))))</f>
        <v/>
      </c>
      <c r="F324" s="19">
        <f>IF($A324="","",IF(COUNTIFS(請求記録!$B$6:$B$3005,$A324,請求記録!$X$6:$X$3005,F$5,請求記録!$AD$6:$AD$3005,"保留中")&gt;0,"保留",IF(COUNTIFS(請求記録!$B$6:$B$3005,$A324,請求記録!$X$6:$X$3005,F$5)=0,"",SUMIFS(請求記録!$AC$6:$AC$3005,請求記録!$B$6:$B$3005,$A324,請求記録!$X$6:$X$3005,F$5))))</f>
        <v/>
      </c>
      <c r="G324" s="19">
        <f>IF($A324="","",IF(COUNTIFS(請求記録!$B$6:$B$3005,$A324,請求記録!$X$6:$X$3005,G$5,請求記録!$AD$6:$AD$3005,"保留中")&gt;0,"保留",IF(COUNTIFS(請求記録!$B$6:$B$3005,$A324,請求記録!$X$6:$X$3005,G$5)=0,"",SUMIFS(請求記録!$AC$6:$AC$3005,請求記録!$B$6:$B$3005,$A324,請求記録!$X$6:$X$3005,G$5))))</f>
        <v/>
      </c>
      <c r="H324" s="19">
        <f>IF($A324="","",IF(COUNTIFS(請求記録!$B$6:$B$3005,$A324,請求記録!$X$6:$X$3005,H$5,請求記録!$AD$6:$AD$3005,"保留中")&gt;0,"保留",IF(COUNTIFS(請求記録!$B$6:$B$3005,$A324,請求記録!$X$6:$X$3005,H$5)=0,"",SUMIFS(請求記録!$AC$6:$AC$3005,請求記録!$B$6:$B$3005,$A324,請求記録!$X$6:$X$3005,H$5))))</f>
        <v/>
      </c>
      <c r="I324" s="19">
        <f>IF($A324="","",IF(COUNTIFS(請求記録!$B$6:$B$3005,$A324,請求記録!$X$6:$X$3005,I$5,請求記録!$AD$6:$AD$3005,"保留中")&gt;0,"保留",IF(COUNTIFS(請求記録!$B$6:$B$3005,$A324,請求記録!$X$6:$X$3005,I$5)=0,"",SUMIFS(請求記録!$AC$6:$AC$3005,請求記録!$B$6:$B$3005,$A324,請求記録!$X$6:$X$3005,I$5))))</f>
        <v/>
      </c>
      <c r="J324" s="19">
        <f>IF($A324="","",IF(COUNTIFS(請求記録!$B$6:$B$3005,$A324,請求記録!$X$6:$X$3005,J$5,請求記録!$AD$6:$AD$3005,"保留中")&gt;0,"保留",IF(COUNTIFS(請求記録!$B$6:$B$3005,$A324,請求記録!$X$6:$X$3005,J$5)=0,"",SUMIFS(請求記録!$AC$6:$AC$3005,請求記録!$B$6:$B$3005,$A324,請求記録!$X$6:$X$3005,J$5))))</f>
        <v/>
      </c>
      <c r="K324" s="19">
        <f>IF($A324="","",IF(COUNTIFS(請求記録!$B$6:$B$3005,$A324,請求記録!$X$6:$X$3005,K$5,請求記録!$AD$6:$AD$3005,"保留中")&gt;0,"保留",IF(COUNTIFS(請求記録!$B$6:$B$3005,$A324,請求記録!$X$6:$X$3005,K$5)=0,"",SUMIFS(請求記録!$AC$6:$AC$3005,請求記録!$B$6:$B$3005,$A324,請求記録!$X$6:$X$3005,K$5))))</f>
        <v/>
      </c>
      <c r="L324" s="19">
        <f>IF($A324="","",IF(COUNTIFS(請求記録!$B$6:$B$3005,$A324,請求記録!$X$6:$X$3005,L$5,請求記録!$AD$6:$AD$3005,"保留中")&gt;0,"保留",IF(COUNTIFS(請求記録!$B$6:$B$3005,$A324,請求記録!$X$6:$X$3005,L$5)=0,"",SUMIFS(請求記録!$AC$6:$AC$3005,請求記録!$B$6:$B$3005,$A324,請求記録!$X$6:$X$3005,L$5))))</f>
        <v/>
      </c>
      <c r="M324" s="19">
        <f>IF($A324="","",IF(COUNTIFS(請求記録!$B$6:$B$3005,$A324,請求記録!$X$6:$X$3005,M$5,請求記録!$AD$6:$AD$3005,"保留中")&gt;0,"保留",IF(COUNTIFS(請求記録!$B$6:$B$3005,$A324,請求記録!$X$6:$X$3005,M$5)=0,"",SUMIFS(請求記録!$AC$6:$AC$3005,請求記録!$B$6:$B$3005,$A324,請求記録!$X$6:$X$3005,M$5))))</f>
        <v/>
      </c>
      <c r="N324" s="19">
        <f>IF($A324="","",IF(COUNTIFS(請求記録!$B$6:$B$3005,$A324,請求記録!$X$6:$X$3005,N$5,請求記録!$AD$6:$AD$3005,"保留中")&gt;0,"保留",IF(COUNTIFS(請求記録!$B$6:$B$3005,$A324,請求記録!$X$6:$X$3005,N$5)=0,"",SUMIFS(請求記録!$AC$6:$AC$3005,請求記録!$B$6:$B$3005,$A324,請求記録!$X$6:$X$3005,N$5))))</f>
        <v/>
      </c>
      <c r="O324" s="19">
        <f>IF($A324="","",IF(COUNTIFS(請求記録!$B$6:$B$3005,$A324,請求記録!$X$6:$X$3005,O$5,請求記録!$AD$6:$AD$3005,"保留中")&gt;0,"保留",IF(COUNTIFS(請求記録!$B$6:$B$3005,$A324,請求記録!$X$6:$X$3005,O$5)=0,"",SUMIFS(請求記録!$AC$6:$AC$3005,請求記録!$B$6:$B$3005,$A324,請求記録!$X$6:$X$3005,O$5))))</f>
        <v/>
      </c>
      <c r="P324" s="19">
        <f>IF($A324="","",IF(COUNTIFS(請求記録!$B$6:$B$3005,$A324,請求記録!$X$6:$X$3005,P$5,請求記録!$AD$6:$AD$3005,"保留中")&gt;0,"保留",IF(COUNTIFS(請求記録!$B$6:$B$3005,$A324,請求記録!$X$6:$X$3005,P$5)=0,"",SUMIFS(請求記録!$AC$6:$AC$3005,請求記録!$B$6:$B$3005,$A324,請求記録!$X$6:$X$3005,P$5))))</f>
        <v/>
      </c>
      <c r="Q324" s="19">
        <f>IF($A324="","",IF(COUNTIFS(請求記録!$B$6:$B$3005,$A324,請求記録!$X$6:$X$3005,Q$5,請求記録!$AD$6:$AD$3005,"保留中")&gt;0,"保留",IF(COUNTIFS(請求記録!$B$6:$B$3005,$A324,請求記録!$X$6:$X$3005,Q$5)=0,"",SUMIFS(請求記録!$AC$6:$AC$3005,請求記録!$B$6:$B$3005,$A324,請求記録!$X$6:$X$3005,Q$5))))</f>
        <v/>
      </c>
      <c r="R324" s="19">
        <f>IF($A324="","",IF(COUNTIFS(請求記録!$B$6:$B$3005,$A324,請求記録!$X$6:$X$3005,R$5,請求記録!$AD$6:$AD$3005,"保留中")&gt;0,"保留",IF(COUNTIFS(請求記録!$B$6:$B$3005,$A324,請求記録!$X$6:$X$3005,R$5)=0,"",SUMIFS(請求記録!$AC$6:$AC$3005,請求記録!$B$6:$B$3005,$A324,請求記録!$X$6:$X$3005,R$5))))</f>
        <v/>
      </c>
      <c r="S324" s="19">
        <f>IF($A324="","",IF(COUNTIFS(請求記録!$B$6:$B$3005,$A324,請求記録!$X$6:$X$3005,S$5,請求記録!$AD$6:$AD$3005,"保留中")&gt;0,"保留",IF(COUNTIFS(請求記録!$B$6:$B$3005,$A324,請求記録!$X$6:$X$3005,S$5)=0,"",SUMIFS(請求記録!$AC$6:$AC$3005,請求記録!$B$6:$B$3005,$A324,請求記録!$X$6:$X$3005,S$5))))</f>
        <v/>
      </c>
      <c r="T324" s="19">
        <f>IF($A324="","",IF(COUNTIFS(請求記録!$B$6:$B$3005,$A324,請求記録!$X$6:$X$3005,T$5,請求記録!$AD$6:$AD$3005,"保留中")&gt;0,"保留",IF(COUNTIFS(請求記録!$B$6:$B$3005,$A324,請求記録!$X$6:$X$3005,T$5)=0,"",SUMIFS(請求記録!$AC$6:$AC$3005,請求記録!$B$6:$B$3005,$A324,請求記録!$X$6:$X$3005,T$5))))</f>
        <v/>
      </c>
      <c r="U324" s="19">
        <f>IF($A324="","",IF(COUNTIFS(請求記録!$B$6:$B$3005,$A324,請求記録!$X$6:$X$3005,U$5,請求記録!$AD$6:$AD$3005,"保留中")&gt;0,"保留",IF(COUNTIFS(請求記録!$B$6:$B$3005,$A324,請求記録!$X$6:$X$3005,U$5)=0,"",SUMIFS(請求記録!$AC$6:$AC$3005,請求記録!$B$6:$B$3005,$A324,請求記録!$X$6:$X$3005,U$5))))</f>
        <v/>
      </c>
      <c r="V324" s="19">
        <f>IF($A324="","",IF(COUNTIFS(請求記録!$B$6:$B$3005,$A324,請求記録!$X$6:$X$3005,V$5,請求記録!$AD$6:$AD$3005,"保留中")&gt;0,"保留",IF(COUNTIFS(請求記録!$B$6:$B$3005,$A324,請求記録!$X$6:$X$3005,V$5)=0,"",SUMIFS(請求記録!$AC$6:$AC$3005,請求記録!$B$6:$B$3005,$A324,請求記録!$X$6:$X$3005,V$5))))</f>
        <v/>
      </c>
      <c r="W324" s="19">
        <f>IF($A324="","",IF(COUNTIFS(請求記録!$B$6:$B$3005,$A324,請求記録!$X$6:$X$3005,W$5,請求記録!$AD$6:$AD$3005,"保留中")&gt;0,"保留",IF(COUNTIFS(請求記録!$B$6:$B$3005,$A324,請求記録!$X$6:$X$3005,W$5)=0,"",SUMIFS(請求記録!$AC$6:$AC$3005,請求記録!$B$6:$B$3005,$A324,請求記録!$X$6:$X$3005,W$5))))</f>
        <v/>
      </c>
      <c r="X324" s="19">
        <f>IF($A324="","",IF(COUNTIFS(請求記録!$B$6:$B$3005,$A324,請求記録!$X$6:$X$3005,X$5,請求記録!$AD$6:$AD$3005,"保留中")&gt;0,"保留",IF(COUNTIFS(請求記録!$B$6:$B$3005,$A324,請求記録!$X$6:$X$3005,X$5)=0,"",SUMIFS(請求記録!$AC$6:$AC$3005,請求記録!$B$6:$B$3005,$A324,請求記録!$X$6:$X$3005,X$5))))</f>
        <v/>
      </c>
      <c r="Y324" s="19">
        <f>IF($A324="","",IF(COUNTIFS(請求記録!$B$6:$B$3005,$A324,請求記録!$X$6:$X$3005,Y$5,請求記録!$AD$6:$AD$3005,"保留中")&gt;0,"保留",IF(COUNTIFS(請求記録!$B$6:$B$3005,$A324,請求記録!$X$6:$X$3005,Y$5)=0,"",SUMIFS(請求記録!$AC$6:$AC$3005,請求記録!$B$6:$B$3005,$A324,請求記録!$X$6:$X$3005,Y$5))))</f>
        <v/>
      </c>
      <c r="Z324" s="19">
        <f>IF($A324="","",IF(COUNTIFS(請求記録!$B$6:$B$3005,$A324,請求記録!$X$6:$X$3005,Z$5,請求記録!$AD$6:$AD$3005,"保留中")&gt;0,"保留",IF(COUNTIFS(請求記録!$B$6:$B$3005,$A324,請求記録!$X$6:$X$3005,Z$5)=0,"",SUMIFS(請求記録!$AC$6:$AC$3005,請求記録!$B$6:$B$3005,$A324,請求記録!$X$6:$X$3005,Z$5))))</f>
        <v/>
      </c>
      <c r="AA324" s="19">
        <f>IF($A324="","",IF(COUNTIFS(請求記録!$B$6:$B$3005,$A324,請求記録!$X$6:$X$3005,AA$5,請求記録!$AD$6:$AD$3005,"保留中")&gt;0,"保留",IF(COUNTIFS(請求記録!$B$6:$B$3005,$A324,請求記録!$X$6:$X$3005,AA$5)=0,"",SUMIFS(請求記録!$AC$6:$AC$3005,請求記録!$B$6:$B$3005,$A324,請求記録!$X$6:$X$3005,AA$5))))</f>
        <v/>
      </c>
      <c r="AB324">
        <f>IF(職員マスタ!P324="保留中",職員マスタ!M324,"")</f>
        <v/>
      </c>
    </row>
    <row r="325">
      <c r="A325">
        <f>IF(職員マスタ!A325="","",職員マスタ!A325)</f>
        <v/>
      </c>
      <c r="B325">
        <f>IF($A325="","",職員マスタ!B325)</f>
        <v/>
      </c>
      <c r="C325">
        <f>IF($A325="","",職員マスタ!C325)</f>
        <v/>
      </c>
      <c r="D325" s="19">
        <f>IF($A325="","",IF(COUNTIFS(請求記録!$B$6:$B$3005,$A325,請求記録!$X$6:$X$3005,D$5,請求記録!$AD$6:$AD$3005,"保留中")&gt;0,"保留",IF(COUNTIFS(請求記録!$B$6:$B$3005,$A325,請求記録!$X$6:$X$3005,D$5)=0,"",SUMIFS(請求記録!$AC$6:$AC$3005,請求記録!$B$6:$B$3005,$A325,請求記録!$X$6:$X$3005,D$5))))</f>
        <v/>
      </c>
      <c r="E325" s="19">
        <f>IF($A325="","",IF(COUNTIFS(請求記録!$B$6:$B$3005,$A325,請求記録!$X$6:$X$3005,E$5,請求記録!$AD$6:$AD$3005,"保留中")&gt;0,"保留",IF(COUNTIFS(請求記録!$B$6:$B$3005,$A325,請求記録!$X$6:$X$3005,E$5)=0,"",SUMIFS(請求記録!$AC$6:$AC$3005,請求記録!$B$6:$B$3005,$A325,請求記録!$X$6:$X$3005,E$5))))</f>
        <v/>
      </c>
      <c r="F325" s="19">
        <f>IF($A325="","",IF(COUNTIFS(請求記録!$B$6:$B$3005,$A325,請求記録!$X$6:$X$3005,F$5,請求記録!$AD$6:$AD$3005,"保留中")&gt;0,"保留",IF(COUNTIFS(請求記録!$B$6:$B$3005,$A325,請求記録!$X$6:$X$3005,F$5)=0,"",SUMIFS(請求記録!$AC$6:$AC$3005,請求記録!$B$6:$B$3005,$A325,請求記録!$X$6:$X$3005,F$5))))</f>
        <v/>
      </c>
      <c r="G325" s="19">
        <f>IF($A325="","",IF(COUNTIFS(請求記録!$B$6:$B$3005,$A325,請求記録!$X$6:$X$3005,G$5,請求記録!$AD$6:$AD$3005,"保留中")&gt;0,"保留",IF(COUNTIFS(請求記録!$B$6:$B$3005,$A325,請求記録!$X$6:$X$3005,G$5)=0,"",SUMIFS(請求記録!$AC$6:$AC$3005,請求記録!$B$6:$B$3005,$A325,請求記録!$X$6:$X$3005,G$5))))</f>
        <v/>
      </c>
      <c r="H325" s="19">
        <f>IF($A325="","",IF(COUNTIFS(請求記録!$B$6:$B$3005,$A325,請求記録!$X$6:$X$3005,H$5,請求記録!$AD$6:$AD$3005,"保留中")&gt;0,"保留",IF(COUNTIFS(請求記録!$B$6:$B$3005,$A325,請求記録!$X$6:$X$3005,H$5)=0,"",SUMIFS(請求記録!$AC$6:$AC$3005,請求記録!$B$6:$B$3005,$A325,請求記録!$X$6:$X$3005,H$5))))</f>
        <v/>
      </c>
      <c r="I325" s="19">
        <f>IF($A325="","",IF(COUNTIFS(請求記録!$B$6:$B$3005,$A325,請求記録!$X$6:$X$3005,I$5,請求記録!$AD$6:$AD$3005,"保留中")&gt;0,"保留",IF(COUNTIFS(請求記録!$B$6:$B$3005,$A325,請求記録!$X$6:$X$3005,I$5)=0,"",SUMIFS(請求記録!$AC$6:$AC$3005,請求記録!$B$6:$B$3005,$A325,請求記録!$X$6:$X$3005,I$5))))</f>
        <v/>
      </c>
      <c r="J325" s="19">
        <f>IF($A325="","",IF(COUNTIFS(請求記録!$B$6:$B$3005,$A325,請求記録!$X$6:$X$3005,J$5,請求記録!$AD$6:$AD$3005,"保留中")&gt;0,"保留",IF(COUNTIFS(請求記録!$B$6:$B$3005,$A325,請求記録!$X$6:$X$3005,J$5)=0,"",SUMIFS(請求記録!$AC$6:$AC$3005,請求記録!$B$6:$B$3005,$A325,請求記録!$X$6:$X$3005,J$5))))</f>
        <v/>
      </c>
      <c r="K325" s="19">
        <f>IF($A325="","",IF(COUNTIFS(請求記録!$B$6:$B$3005,$A325,請求記録!$X$6:$X$3005,K$5,請求記録!$AD$6:$AD$3005,"保留中")&gt;0,"保留",IF(COUNTIFS(請求記録!$B$6:$B$3005,$A325,請求記録!$X$6:$X$3005,K$5)=0,"",SUMIFS(請求記録!$AC$6:$AC$3005,請求記録!$B$6:$B$3005,$A325,請求記録!$X$6:$X$3005,K$5))))</f>
        <v/>
      </c>
      <c r="L325" s="19">
        <f>IF($A325="","",IF(COUNTIFS(請求記録!$B$6:$B$3005,$A325,請求記録!$X$6:$X$3005,L$5,請求記録!$AD$6:$AD$3005,"保留中")&gt;0,"保留",IF(COUNTIFS(請求記録!$B$6:$B$3005,$A325,請求記録!$X$6:$X$3005,L$5)=0,"",SUMIFS(請求記録!$AC$6:$AC$3005,請求記録!$B$6:$B$3005,$A325,請求記録!$X$6:$X$3005,L$5))))</f>
        <v/>
      </c>
      <c r="M325" s="19">
        <f>IF($A325="","",IF(COUNTIFS(請求記録!$B$6:$B$3005,$A325,請求記録!$X$6:$X$3005,M$5,請求記録!$AD$6:$AD$3005,"保留中")&gt;0,"保留",IF(COUNTIFS(請求記録!$B$6:$B$3005,$A325,請求記録!$X$6:$X$3005,M$5)=0,"",SUMIFS(請求記録!$AC$6:$AC$3005,請求記録!$B$6:$B$3005,$A325,請求記録!$X$6:$X$3005,M$5))))</f>
        <v/>
      </c>
      <c r="N325" s="19">
        <f>IF($A325="","",IF(COUNTIFS(請求記録!$B$6:$B$3005,$A325,請求記録!$X$6:$X$3005,N$5,請求記録!$AD$6:$AD$3005,"保留中")&gt;0,"保留",IF(COUNTIFS(請求記録!$B$6:$B$3005,$A325,請求記録!$X$6:$X$3005,N$5)=0,"",SUMIFS(請求記録!$AC$6:$AC$3005,請求記録!$B$6:$B$3005,$A325,請求記録!$X$6:$X$3005,N$5))))</f>
        <v/>
      </c>
      <c r="O325" s="19">
        <f>IF($A325="","",IF(COUNTIFS(請求記録!$B$6:$B$3005,$A325,請求記録!$X$6:$X$3005,O$5,請求記録!$AD$6:$AD$3005,"保留中")&gt;0,"保留",IF(COUNTIFS(請求記録!$B$6:$B$3005,$A325,請求記録!$X$6:$X$3005,O$5)=0,"",SUMIFS(請求記録!$AC$6:$AC$3005,請求記録!$B$6:$B$3005,$A325,請求記録!$X$6:$X$3005,O$5))))</f>
        <v/>
      </c>
      <c r="P325" s="19">
        <f>IF($A325="","",IF(COUNTIFS(請求記録!$B$6:$B$3005,$A325,請求記録!$X$6:$X$3005,P$5,請求記録!$AD$6:$AD$3005,"保留中")&gt;0,"保留",IF(COUNTIFS(請求記録!$B$6:$B$3005,$A325,請求記録!$X$6:$X$3005,P$5)=0,"",SUMIFS(請求記録!$AC$6:$AC$3005,請求記録!$B$6:$B$3005,$A325,請求記録!$X$6:$X$3005,P$5))))</f>
        <v/>
      </c>
      <c r="Q325" s="19">
        <f>IF($A325="","",IF(COUNTIFS(請求記録!$B$6:$B$3005,$A325,請求記録!$X$6:$X$3005,Q$5,請求記録!$AD$6:$AD$3005,"保留中")&gt;0,"保留",IF(COUNTIFS(請求記録!$B$6:$B$3005,$A325,請求記録!$X$6:$X$3005,Q$5)=0,"",SUMIFS(請求記録!$AC$6:$AC$3005,請求記録!$B$6:$B$3005,$A325,請求記録!$X$6:$X$3005,Q$5))))</f>
        <v/>
      </c>
      <c r="R325" s="19">
        <f>IF($A325="","",IF(COUNTIFS(請求記録!$B$6:$B$3005,$A325,請求記録!$X$6:$X$3005,R$5,請求記録!$AD$6:$AD$3005,"保留中")&gt;0,"保留",IF(COUNTIFS(請求記録!$B$6:$B$3005,$A325,請求記録!$X$6:$X$3005,R$5)=0,"",SUMIFS(請求記録!$AC$6:$AC$3005,請求記録!$B$6:$B$3005,$A325,請求記録!$X$6:$X$3005,R$5))))</f>
        <v/>
      </c>
      <c r="S325" s="19">
        <f>IF($A325="","",IF(COUNTIFS(請求記録!$B$6:$B$3005,$A325,請求記録!$X$6:$X$3005,S$5,請求記録!$AD$6:$AD$3005,"保留中")&gt;0,"保留",IF(COUNTIFS(請求記録!$B$6:$B$3005,$A325,請求記録!$X$6:$X$3005,S$5)=0,"",SUMIFS(請求記録!$AC$6:$AC$3005,請求記録!$B$6:$B$3005,$A325,請求記録!$X$6:$X$3005,S$5))))</f>
        <v/>
      </c>
      <c r="T325" s="19">
        <f>IF($A325="","",IF(COUNTIFS(請求記録!$B$6:$B$3005,$A325,請求記録!$X$6:$X$3005,T$5,請求記録!$AD$6:$AD$3005,"保留中")&gt;0,"保留",IF(COUNTIFS(請求記録!$B$6:$B$3005,$A325,請求記録!$X$6:$X$3005,T$5)=0,"",SUMIFS(請求記録!$AC$6:$AC$3005,請求記録!$B$6:$B$3005,$A325,請求記録!$X$6:$X$3005,T$5))))</f>
        <v/>
      </c>
      <c r="U325" s="19">
        <f>IF($A325="","",IF(COUNTIFS(請求記録!$B$6:$B$3005,$A325,請求記録!$X$6:$X$3005,U$5,請求記録!$AD$6:$AD$3005,"保留中")&gt;0,"保留",IF(COUNTIFS(請求記録!$B$6:$B$3005,$A325,請求記録!$X$6:$X$3005,U$5)=0,"",SUMIFS(請求記録!$AC$6:$AC$3005,請求記録!$B$6:$B$3005,$A325,請求記録!$X$6:$X$3005,U$5))))</f>
        <v/>
      </c>
      <c r="V325" s="19">
        <f>IF($A325="","",IF(COUNTIFS(請求記録!$B$6:$B$3005,$A325,請求記録!$X$6:$X$3005,V$5,請求記録!$AD$6:$AD$3005,"保留中")&gt;0,"保留",IF(COUNTIFS(請求記録!$B$6:$B$3005,$A325,請求記録!$X$6:$X$3005,V$5)=0,"",SUMIFS(請求記録!$AC$6:$AC$3005,請求記録!$B$6:$B$3005,$A325,請求記録!$X$6:$X$3005,V$5))))</f>
        <v/>
      </c>
      <c r="W325" s="19">
        <f>IF($A325="","",IF(COUNTIFS(請求記録!$B$6:$B$3005,$A325,請求記録!$X$6:$X$3005,W$5,請求記録!$AD$6:$AD$3005,"保留中")&gt;0,"保留",IF(COUNTIFS(請求記録!$B$6:$B$3005,$A325,請求記録!$X$6:$X$3005,W$5)=0,"",SUMIFS(請求記録!$AC$6:$AC$3005,請求記録!$B$6:$B$3005,$A325,請求記録!$X$6:$X$3005,W$5))))</f>
        <v/>
      </c>
      <c r="X325" s="19">
        <f>IF($A325="","",IF(COUNTIFS(請求記録!$B$6:$B$3005,$A325,請求記録!$X$6:$X$3005,X$5,請求記録!$AD$6:$AD$3005,"保留中")&gt;0,"保留",IF(COUNTIFS(請求記録!$B$6:$B$3005,$A325,請求記録!$X$6:$X$3005,X$5)=0,"",SUMIFS(請求記録!$AC$6:$AC$3005,請求記録!$B$6:$B$3005,$A325,請求記録!$X$6:$X$3005,X$5))))</f>
        <v/>
      </c>
      <c r="Y325" s="19">
        <f>IF($A325="","",IF(COUNTIFS(請求記録!$B$6:$B$3005,$A325,請求記録!$X$6:$X$3005,Y$5,請求記録!$AD$6:$AD$3005,"保留中")&gt;0,"保留",IF(COUNTIFS(請求記録!$B$6:$B$3005,$A325,請求記録!$X$6:$X$3005,Y$5)=0,"",SUMIFS(請求記録!$AC$6:$AC$3005,請求記録!$B$6:$B$3005,$A325,請求記録!$X$6:$X$3005,Y$5))))</f>
        <v/>
      </c>
      <c r="Z325" s="19">
        <f>IF($A325="","",IF(COUNTIFS(請求記録!$B$6:$B$3005,$A325,請求記録!$X$6:$X$3005,Z$5,請求記録!$AD$6:$AD$3005,"保留中")&gt;0,"保留",IF(COUNTIFS(請求記録!$B$6:$B$3005,$A325,請求記録!$X$6:$X$3005,Z$5)=0,"",SUMIFS(請求記録!$AC$6:$AC$3005,請求記録!$B$6:$B$3005,$A325,請求記録!$X$6:$X$3005,Z$5))))</f>
        <v/>
      </c>
      <c r="AA325" s="19">
        <f>IF($A325="","",IF(COUNTIFS(請求記録!$B$6:$B$3005,$A325,請求記録!$X$6:$X$3005,AA$5,請求記録!$AD$6:$AD$3005,"保留中")&gt;0,"保留",IF(COUNTIFS(請求記録!$B$6:$B$3005,$A325,請求記録!$X$6:$X$3005,AA$5)=0,"",SUMIFS(請求記録!$AC$6:$AC$3005,請求記録!$B$6:$B$3005,$A325,請求記録!$X$6:$X$3005,AA$5))))</f>
        <v/>
      </c>
      <c r="AB325">
        <f>IF(職員マスタ!P325="保留中",職員マスタ!M325,"")</f>
        <v/>
      </c>
    </row>
    <row r="326">
      <c r="A326">
        <f>IF(職員マスタ!A326="","",職員マスタ!A326)</f>
        <v/>
      </c>
      <c r="B326">
        <f>IF($A326="","",職員マスタ!B326)</f>
        <v/>
      </c>
      <c r="C326">
        <f>IF($A326="","",職員マスタ!C326)</f>
        <v/>
      </c>
      <c r="D326" s="19">
        <f>IF($A326="","",IF(COUNTIFS(請求記録!$B$6:$B$3005,$A326,請求記録!$X$6:$X$3005,D$5,請求記録!$AD$6:$AD$3005,"保留中")&gt;0,"保留",IF(COUNTIFS(請求記録!$B$6:$B$3005,$A326,請求記録!$X$6:$X$3005,D$5)=0,"",SUMIFS(請求記録!$AC$6:$AC$3005,請求記録!$B$6:$B$3005,$A326,請求記録!$X$6:$X$3005,D$5))))</f>
        <v/>
      </c>
      <c r="E326" s="19">
        <f>IF($A326="","",IF(COUNTIFS(請求記録!$B$6:$B$3005,$A326,請求記録!$X$6:$X$3005,E$5,請求記録!$AD$6:$AD$3005,"保留中")&gt;0,"保留",IF(COUNTIFS(請求記録!$B$6:$B$3005,$A326,請求記録!$X$6:$X$3005,E$5)=0,"",SUMIFS(請求記録!$AC$6:$AC$3005,請求記録!$B$6:$B$3005,$A326,請求記録!$X$6:$X$3005,E$5))))</f>
        <v/>
      </c>
      <c r="F326" s="19">
        <f>IF($A326="","",IF(COUNTIFS(請求記録!$B$6:$B$3005,$A326,請求記録!$X$6:$X$3005,F$5,請求記録!$AD$6:$AD$3005,"保留中")&gt;0,"保留",IF(COUNTIFS(請求記録!$B$6:$B$3005,$A326,請求記録!$X$6:$X$3005,F$5)=0,"",SUMIFS(請求記録!$AC$6:$AC$3005,請求記録!$B$6:$B$3005,$A326,請求記録!$X$6:$X$3005,F$5))))</f>
        <v/>
      </c>
      <c r="G326" s="19">
        <f>IF($A326="","",IF(COUNTIFS(請求記録!$B$6:$B$3005,$A326,請求記録!$X$6:$X$3005,G$5,請求記録!$AD$6:$AD$3005,"保留中")&gt;0,"保留",IF(COUNTIFS(請求記録!$B$6:$B$3005,$A326,請求記録!$X$6:$X$3005,G$5)=0,"",SUMIFS(請求記録!$AC$6:$AC$3005,請求記録!$B$6:$B$3005,$A326,請求記録!$X$6:$X$3005,G$5))))</f>
        <v/>
      </c>
      <c r="H326" s="19">
        <f>IF($A326="","",IF(COUNTIFS(請求記録!$B$6:$B$3005,$A326,請求記録!$X$6:$X$3005,H$5,請求記録!$AD$6:$AD$3005,"保留中")&gt;0,"保留",IF(COUNTIFS(請求記録!$B$6:$B$3005,$A326,請求記録!$X$6:$X$3005,H$5)=0,"",SUMIFS(請求記録!$AC$6:$AC$3005,請求記録!$B$6:$B$3005,$A326,請求記録!$X$6:$X$3005,H$5))))</f>
        <v/>
      </c>
      <c r="I326" s="19">
        <f>IF($A326="","",IF(COUNTIFS(請求記録!$B$6:$B$3005,$A326,請求記録!$X$6:$X$3005,I$5,請求記録!$AD$6:$AD$3005,"保留中")&gt;0,"保留",IF(COUNTIFS(請求記録!$B$6:$B$3005,$A326,請求記録!$X$6:$X$3005,I$5)=0,"",SUMIFS(請求記録!$AC$6:$AC$3005,請求記録!$B$6:$B$3005,$A326,請求記録!$X$6:$X$3005,I$5))))</f>
        <v/>
      </c>
      <c r="J326" s="19">
        <f>IF($A326="","",IF(COUNTIFS(請求記録!$B$6:$B$3005,$A326,請求記録!$X$6:$X$3005,J$5,請求記録!$AD$6:$AD$3005,"保留中")&gt;0,"保留",IF(COUNTIFS(請求記録!$B$6:$B$3005,$A326,請求記録!$X$6:$X$3005,J$5)=0,"",SUMIFS(請求記録!$AC$6:$AC$3005,請求記録!$B$6:$B$3005,$A326,請求記録!$X$6:$X$3005,J$5))))</f>
        <v/>
      </c>
      <c r="K326" s="19">
        <f>IF($A326="","",IF(COUNTIFS(請求記録!$B$6:$B$3005,$A326,請求記録!$X$6:$X$3005,K$5,請求記録!$AD$6:$AD$3005,"保留中")&gt;0,"保留",IF(COUNTIFS(請求記録!$B$6:$B$3005,$A326,請求記録!$X$6:$X$3005,K$5)=0,"",SUMIFS(請求記録!$AC$6:$AC$3005,請求記録!$B$6:$B$3005,$A326,請求記録!$X$6:$X$3005,K$5))))</f>
        <v/>
      </c>
      <c r="L326" s="19">
        <f>IF($A326="","",IF(COUNTIFS(請求記録!$B$6:$B$3005,$A326,請求記録!$X$6:$X$3005,L$5,請求記録!$AD$6:$AD$3005,"保留中")&gt;0,"保留",IF(COUNTIFS(請求記録!$B$6:$B$3005,$A326,請求記録!$X$6:$X$3005,L$5)=0,"",SUMIFS(請求記録!$AC$6:$AC$3005,請求記録!$B$6:$B$3005,$A326,請求記録!$X$6:$X$3005,L$5))))</f>
        <v/>
      </c>
      <c r="M326" s="19">
        <f>IF($A326="","",IF(COUNTIFS(請求記録!$B$6:$B$3005,$A326,請求記録!$X$6:$X$3005,M$5,請求記録!$AD$6:$AD$3005,"保留中")&gt;0,"保留",IF(COUNTIFS(請求記録!$B$6:$B$3005,$A326,請求記録!$X$6:$X$3005,M$5)=0,"",SUMIFS(請求記録!$AC$6:$AC$3005,請求記録!$B$6:$B$3005,$A326,請求記録!$X$6:$X$3005,M$5))))</f>
        <v/>
      </c>
      <c r="N326" s="19">
        <f>IF($A326="","",IF(COUNTIFS(請求記録!$B$6:$B$3005,$A326,請求記録!$X$6:$X$3005,N$5,請求記録!$AD$6:$AD$3005,"保留中")&gt;0,"保留",IF(COUNTIFS(請求記録!$B$6:$B$3005,$A326,請求記録!$X$6:$X$3005,N$5)=0,"",SUMIFS(請求記録!$AC$6:$AC$3005,請求記録!$B$6:$B$3005,$A326,請求記録!$X$6:$X$3005,N$5))))</f>
        <v/>
      </c>
      <c r="O326" s="19">
        <f>IF($A326="","",IF(COUNTIFS(請求記録!$B$6:$B$3005,$A326,請求記録!$X$6:$X$3005,O$5,請求記録!$AD$6:$AD$3005,"保留中")&gt;0,"保留",IF(COUNTIFS(請求記録!$B$6:$B$3005,$A326,請求記録!$X$6:$X$3005,O$5)=0,"",SUMIFS(請求記録!$AC$6:$AC$3005,請求記録!$B$6:$B$3005,$A326,請求記録!$X$6:$X$3005,O$5))))</f>
        <v/>
      </c>
      <c r="P326" s="19">
        <f>IF($A326="","",IF(COUNTIFS(請求記録!$B$6:$B$3005,$A326,請求記録!$X$6:$X$3005,P$5,請求記録!$AD$6:$AD$3005,"保留中")&gt;0,"保留",IF(COUNTIFS(請求記録!$B$6:$B$3005,$A326,請求記録!$X$6:$X$3005,P$5)=0,"",SUMIFS(請求記録!$AC$6:$AC$3005,請求記録!$B$6:$B$3005,$A326,請求記録!$X$6:$X$3005,P$5))))</f>
        <v/>
      </c>
      <c r="Q326" s="19">
        <f>IF($A326="","",IF(COUNTIFS(請求記録!$B$6:$B$3005,$A326,請求記録!$X$6:$X$3005,Q$5,請求記録!$AD$6:$AD$3005,"保留中")&gt;0,"保留",IF(COUNTIFS(請求記録!$B$6:$B$3005,$A326,請求記録!$X$6:$X$3005,Q$5)=0,"",SUMIFS(請求記録!$AC$6:$AC$3005,請求記録!$B$6:$B$3005,$A326,請求記録!$X$6:$X$3005,Q$5))))</f>
        <v/>
      </c>
      <c r="R326" s="19">
        <f>IF($A326="","",IF(COUNTIFS(請求記録!$B$6:$B$3005,$A326,請求記録!$X$6:$X$3005,R$5,請求記録!$AD$6:$AD$3005,"保留中")&gt;0,"保留",IF(COUNTIFS(請求記録!$B$6:$B$3005,$A326,請求記録!$X$6:$X$3005,R$5)=0,"",SUMIFS(請求記録!$AC$6:$AC$3005,請求記録!$B$6:$B$3005,$A326,請求記録!$X$6:$X$3005,R$5))))</f>
        <v/>
      </c>
      <c r="S326" s="19">
        <f>IF($A326="","",IF(COUNTIFS(請求記録!$B$6:$B$3005,$A326,請求記録!$X$6:$X$3005,S$5,請求記録!$AD$6:$AD$3005,"保留中")&gt;0,"保留",IF(COUNTIFS(請求記録!$B$6:$B$3005,$A326,請求記録!$X$6:$X$3005,S$5)=0,"",SUMIFS(請求記録!$AC$6:$AC$3005,請求記録!$B$6:$B$3005,$A326,請求記録!$X$6:$X$3005,S$5))))</f>
        <v/>
      </c>
      <c r="T326" s="19">
        <f>IF($A326="","",IF(COUNTIFS(請求記録!$B$6:$B$3005,$A326,請求記録!$X$6:$X$3005,T$5,請求記録!$AD$6:$AD$3005,"保留中")&gt;0,"保留",IF(COUNTIFS(請求記録!$B$6:$B$3005,$A326,請求記録!$X$6:$X$3005,T$5)=0,"",SUMIFS(請求記録!$AC$6:$AC$3005,請求記録!$B$6:$B$3005,$A326,請求記録!$X$6:$X$3005,T$5))))</f>
        <v/>
      </c>
      <c r="U326" s="19">
        <f>IF($A326="","",IF(COUNTIFS(請求記録!$B$6:$B$3005,$A326,請求記録!$X$6:$X$3005,U$5,請求記録!$AD$6:$AD$3005,"保留中")&gt;0,"保留",IF(COUNTIFS(請求記録!$B$6:$B$3005,$A326,請求記録!$X$6:$X$3005,U$5)=0,"",SUMIFS(請求記録!$AC$6:$AC$3005,請求記録!$B$6:$B$3005,$A326,請求記録!$X$6:$X$3005,U$5))))</f>
        <v/>
      </c>
      <c r="V326" s="19">
        <f>IF($A326="","",IF(COUNTIFS(請求記録!$B$6:$B$3005,$A326,請求記録!$X$6:$X$3005,V$5,請求記録!$AD$6:$AD$3005,"保留中")&gt;0,"保留",IF(COUNTIFS(請求記録!$B$6:$B$3005,$A326,請求記録!$X$6:$X$3005,V$5)=0,"",SUMIFS(請求記録!$AC$6:$AC$3005,請求記録!$B$6:$B$3005,$A326,請求記録!$X$6:$X$3005,V$5))))</f>
        <v/>
      </c>
      <c r="W326" s="19">
        <f>IF($A326="","",IF(COUNTIFS(請求記録!$B$6:$B$3005,$A326,請求記録!$X$6:$X$3005,W$5,請求記録!$AD$6:$AD$3005,"保留中")&gt;0,"保留",IF(COUNTIFS(請求記録!$B$6:$B$3005,$A326,請求記録!$X$6:$X$3005,W$5)=0,"",SUMIFS(請求記録!$AC$6:$AC$3005,請求記録!$B$6:$B$3005,$A326,請求記録!$X$6:$X$3005,W$5))))</f>
        <v/>
      </c>
      <c r="X326" s="19">
        <f>IF($A326="","",IF(COUNTIFS(請求記録!$B$6:$B$3005,$A326,請求記録!$X$6:$X$3005,X$5,請求記録!$AD$6:$AD$3005,"保留中")&gt;0,"保留",IF(COUNTIFS(請求記録!$B$6:$B$3005,$A326,請求記録!$X$6:$X$3005,X$5)=0,"",SUMIFS(請求記録!$AC$6:$AC$3005,請求記録!$B$6:$B$3005,$A326,請求記録!$X$6:$X$3005,X$5))))</f>
        <v/>
      </c>
      <c r="Y326" s="19">
        <f>IF($A326="","",IF(COUNTIFS(請求記録!$B$6:$B$3005,$A326,請求記録!$X$6:$X$3005,Y$5,請求記録!$AD$6:$AD$3005,"保留中")&gt;0,"保留",IF(COUNTIFS(請求記録!$B$6:$B$3005,$A326,請求記録!$X$6:$X$3005,Y$5)=0,"",SUMIFS(請求記録!$AC$6:$AC$3005,請求記録!$B$6:$B$3005,$A326,請求記録!$X$6:$X$3005,Y$5))))</f>
        <v/>
      </c>
      <c r="Z326" s="19">
        <f>IF($A326="","",IF(COUNTIFS(請求記録!$B$6:$B$3005,$A326,請求記録!$X$6:$X$3005,Z$5,請求記録!$AD$6:$AD$3005,"保留中")&gt;0,"保留",IF(COUNTIFS(請求記録!$B$6:$B$3005,$A326,請求記録!$X$6:$X$3005,Z$5)=0,"",SUMIFS(請求記録!$AC$6:$AC$3005,請求記録!$B$6:$B$3005,$A326,請求記録!$X$6:$X$3005,Z$5))))</f>
        <v/>
      </c>
      <c r="AA326" s="19">
        <f>IF($A326="","",IF(COUNTIFS(請求記録!$B$6:$B$3005,$A326,請求記録!$X$6:$X$3005,AA$5,請求記録!$AD$6:$AD$3005,"保留中")&gt;0,"保留",IF(COUNTIFS(請求記録!$B$6:$B$3005,$A326,請求記録!$X$6:$X$3005,AA$5)=0,"",SUMIFS(請求記録!$AC$6:$AC$3005,請求記録!$B$6:$B$3005,$A326,請求記録!$X$6:$X$3005,AA$5))))</f>
        <v/>
      </c>
      <c r="AB326">
        <f>IF(職員マスタ!P326="保留中",職員マスタ!M326,"")</f>
        <v/>
      </c>
    </row>
    <row r="327">
      <c r="A327">
        <f>IF(職員マスタ!A327="","",職員マスタ!A327)</f>
        <v/>
      </c>
      <c r="B327">
        <f>IF($A327="","",職員マスタ!B327)</f>
        <v/>
      </c>
      <c r="C327">
        <f>IF($A327="","",職員マスタ!C327)</f>
        <v/>
      </c>
      <c r="D327" s="19">
        <f>IF($A327="","",IF(COUNTIFS(請求記録!$B$6:$B$3005,$A327,請求記録!$X$6:$X$3005,D$5,請求記録!$AD$6:$AD$3005,"保留中")&gt;0,"保留",IF(COUNTIFS(請求記録!$B$6:$B$3005,$A327,請求記録!$X$6:$X$3005,D$5)=0,"",SUMIFS(請求記録!$AC$6:$AC$3005,請求記録!$B$6:$B$3005,$A327,請求記録!$X$6:$X$3005,D$5))))</f>
        <v/>
      </c>
      <c r="E327" s="19">
        <f>IF($A327="","",IF(COUNTIFS(請求記録!$B$6:$B$3005,$A327,請求記録!$X$6:$X$3005,E$5,請求記録!$AD$6:$AD$3005,"保留中")&gt;0,"保留",IF(COUNTIFS(請求記録!$B$6:$B$3005,$A327,請求記録!$X$6:$X$3005,E$5)=0,"",SUMIFS(請求記録!$AC$6:$AC$3005,請求記録!$B$6:$B$3005,$A327,請求記録!$X$6:$X$3005,E$5))))</f>
        <v/>
      </c>
      <c r="F327" s="19">
        <f>IF($A327="","",IF(COUNTIFS(請求記録!$B$6:$B$3005,$A327,請求記録!$X$6:$X$3005,F$5,請求記録!$AD$6:$AD$3005,"保留中")&gt;0,"保留",IF(COUNTIFS(請求記録!$B$6:$B$3005,$A327,請求記録!$X$6:$X$3005,F$5)=0,"",SUMIFS(請求記録!$AC$6:$AC$3005,請求記録!$B$6:$B$3005,$A327,請求記録!$X$6:$X$3005,F$5))))</f>
        <v/>
      </c>
      <c r="G327" s="19">
        <f>IF($A327="","",IF(COUNTIFS(請求記録!$B$6:$B$3005,$A327,請求記録!$X$6:$X$3005,G$5,請求記録!$AD$6:$AD$3005,"保留中")&gt;0,"保留",IF(COUNTIFS(請求記録!$B$6:$B$3005,$A327,請求記録!$X$6:$X$3005,G$5)=0,"",SUMIFS(請求記録!$AC$6:$AC$3005,請求記録!$B$6:$B$3005,$A327,請求記録!$X$6:$X$3005,G$5))))</f>
        <v/>
      </c>
      <c r="H327" s="19">
        <f>IF($A327="","",IF(COUNTIFS(請求記録!$B$6:$B$3005,$A327,請求記録!$X$6:$X$3005,H$5,請求記録!$AD$6:$AD$3005,"保留中")&gt;0,"保留",IF(COUNTIFS(請求記録!$B$6:$B$3005,$A327,請求記録!$X$6:$X$3005,H$5)=0,"",SUMIFS(請求記録!$AC$6:$AC$3005,請求記録!$B$6:$B$3005,$A327,請求記録!$X$6:$X$3005,H$5))))</f>
        <v/>
      </c>
      <c r="I327" s="19">
        <f>IF($A327="","",IF(COUNTIFS(請求記録!$B$6:$B$3005,$A327,請求記録!$X$6:$X$3005,I$5,請求記録!$AD$6:$AD$3005,"保留中")&gt;0,"保留",IF(COUNTIFS(請求記録!$B$6:$B$3005,$A327,請求記録!$X$6:$X$3005,I$5)=0,"",SUMIFS(請求記録!$AC$6:$AC$3005,請求記録!$B$6:$B$3005,$A327,請求記録!$X$6:$X$3005,I$5))))</f>
        <v/>
      </c>
      <c r="J327" s="19">
        <f>IF($A327="","",IF(COUNTIFS(請求記録!$B$6:$B$3005,$A327,請求記録!$X$6:$X$3005,J$5,請求記録!$AD$6:$AD$3005,"保留中")&gt;0,"保留",IF(COUNTIFS(請求記録!$B$6:$B$3005,$A327,請求記録!$X$6:$X$3005,J$5)=0,"",SUMIFS(請求記録!$AC$6:$AC$3005,請求記録!$B$6:$B$3005,$A327,請求記録!$X$6:$X$3005,J$5))))</f>
        <v/>
      </c>
      <c r="K327" s="19">
        <f>IF($A327="","",IF(COUNTIFS(請求記録!$B$6:$B$3005,$A327,請求記録!$X$6:$X$3005,K$5,請求記録!$AD$6:$AD$3005,"保留中")&gt;0,"保留",IF(COUNTIFS(請求記録!$B$6:$B$3005,$A327,請求記録!$X$6:$X$3005,K$5)=0,"",SUMIFS(請求記録!$AC$6:$AC$3005,請求記録!$B$6:$B$3005,$A327,請求記録!$X$6:$X$3005,K$5))))</f>
        <v/>
      </c>
      <c r="L327" s="19">
        <f>IF($A327="","",IF(COUNTIFS(請求記録!$B$6:$B$3005,$A327,請求記録!$X$6:$X$3005,L$5,請求記録!$AD$6:$AD$3005,"保留中")&gt;0,"保留",IF(COUNTIFS(請求記録!$B$6:$B$3005,$A327,請求記録!$X$6:$X$3005,L$5)=0,"",SUMIFS(請求記録!$AC$6:$AC$3005,請求記録!$B$6:$B$3005,$A327,請求記録!$X$6:$X$3005,L$5))))</f>
        <v/>
      </c>
      <c r="M327" s="19">
        <f>IF($A327="","",IF(COUNTIFS(請求記録!$B$6:$B$3005,$A327,請求記録!$X$6:$X$3005,M$5,請求記録!$AD$6:$AD$3005,"保留中")&gt;0,"保留",IF(COUNTIFS(請求記録!$B$6:$B$3005,$A327,請求記録!$X$6:$X$3005,M$5)=0,"",SUMIFS(請求記録!$AC$6:$AC$3005,請求記録!$B$6:$B$3005,$A327,請求記録!$X$6:$X$3005,M$5))))</f>
        <v/>
      </c>
      <c r="N327" s="19">
        <f>IF($A327="","",IF(COUNTIFS(請求記録!$B$6:$B$3005,$A327,請求記録!$X$6:$X$3005,N$5,請求記録!$AD$6:$AD$3005,"保留中")&gt;0,"保留",IF(COUNTIFS(請求記録!$B$6:$B$3005,$A327,請求記録!$X$6:$X$3005,N$5)=0,"",SUMIFS(請求記録!$AC$6:$AC$3005,請求記録!$B$6:$B$3005,$A327,請求記録!$X$6:$X$3005,N$5))))</f>
        <v/>
      </c>
      <c r="O327" s="19">
        <f>IF($A327="","",IF(COUNTIFS(請求記録!$B$6:$B$3005,$A327,請求記録!$X$6:$X$3005,O$5,請求記録!$AD$6:$AD$3005,"保留中")&gt;0,"保留",IF(COUNTIFS(請求記録!$B$6:$B$3005,$A327,請求記録!$X$6:$X$3005,O$5)=0,"",SUMIFS(請求記録!$AC$6:$AC$3005,請求記録!$B$6:$B$3005,$A327,請求記録!$X$6:$X$3005,O$5))))</f>
        <v/>
      </c>
      <c r="P327" s="19">
        <f>IF($A327="","",IF(COUNTIFS(請求記録!$B$6:$B$3005,$A327,請求記録!$X$6:$X$3005,P$5,請求記録!$AD$6:$AD$3005,"保留中")&gt;0,"保留",IF(COUNTIFS(請求記録!$B$6:$B$3005,$A327,請求記録!$X$6:$X$3005,P$5)=0,"",SUMIFS(請求記録!$AC$6:$AC$3005,請求記録!$B$6:$B$3005,$A327,請求記録!$X$6:$X$3005,P$5))))</f>
        <v/>
      </c>
      <c r="Q327" s="19">
        <f>IF($A327="","",IF(COUNTIFS(請求記録!$B$6:$B$3005,$A327,請求記録!$X$6:$X$3005,Q$5,請求記録!$AD$6:$AD$3005,"保留中")&gt;0,"保留",IF(COUNTIFS(請求記録!$B$6:$B$3005,$A327,請求記録!$X$6:$X$3005,Q$5)=0,"",SUMIFS(請求記録!$AC$6:$AC$3005,請求記録!$B$6:$B$3005,$A327,請求記録!$X$6:$X$3005,Q$5))))</f>
        <v/>
      </c>
      <c r="R327" s="19">
        <f>IF($A327="","",IF(COUNTIFS(請求記録!$B$6:$B$3005,$A327,請求記録!$X$6:$X$3005,R$5,請求記録!$AD$6:$AD$3005,"保留中")&gt;0,"保留",IF(COUNTIFS(請求記録!$B$6:$B$3005,$A327,請求記録!$X$6:$X$3005,R$5)=0,"",SUMIFS(請求記録!$AC$6:$AC$3005,請求記録!$B$6:$B$3005,$A327,請求記録!$X$6:$X$3005,R$5))))</f>
        <v/>
      </c>
      <c r="S327" s="19">
        <f>IF($A327="","",IF(COUNTIFS(請求記録!$B$6:$B$3005,$A327,請求記録!$X$6:$X$3005,S$5,請求記録!$AD$6:$AD$3005,"保留中")&gt;0,"保留",IF(COUNTIFS(請求記録!$B$6:$B$3005,$A327,請求記録!$X$6:$X$3005,S$5)=0,"",SUMIFS(請求記録!$AC$6:$AC$3005,請求記録!$B$6:$B$3005,$A327,請求記録!$X$6:$X$3005,S$5))))</f>
        <v/>
      </c>
      <c r="T327" s="19">
        <f>IF($A327="","",IF(COUNTIFS(請求記録!$B$6:$B$3005,$A327,請求記録!$X$6:$X$3005,T$5,請求記録!$AD$6:$AD$3005,"保留中")&gt;0,"保留",IF(COUNTIFS(請求記録!$B$6:$B$3005,$A327,請求記録!$X$6:$X$3005,T$5)=0,"",SUMIFS(請求記録!$AC$6:$AC$3005,請求記録!$B$6:$B$3005,$A327,請求記録!$X$6:$X$3005,T$5))))</f>
        <v/>
      </c>
      <c r="U327" s="19">
        <f>IF($A327="","",IF(COUNTIFS(請求記録!$B$6:$B$3005,$A327,請求記録!$X$6:$X$3005,U$5,請求記録!$AD$6:$AD$3005,"保留中")&gt;0,"保留",IF(COUNTIFS(請求記録!$B$6:$B$3005,$A327,請求記録!$X$6:$X$3005,U$5)=0,"",SUMIFS(請求記録!$AC$6:$AC$3005,請求記録!$B$6:$B$3005,$A327,請求記録!$X$6:$X$3005,U$5))))</f>
        <v/>
      </c>
      <c r="V327" s="19">
        <f>IF($A327="","",IF(COUNTIFS(請求記録!$B$6:$B$3005,$A327,請求記録!$X$6:$X$3005,V$5,請求記録!$AD$6:$AD$3005,"保留中")&gt;0,"保留",IF(COUNTIFS(請求記録!$B$6:$B$3005,$A327,請求記録!$X$6:$X$3005,V$5)=0,"",SUMIFS(請求記録!$AC$6:$AC$3005,請求記録!$B$6:$B$3005,$A327,請求記録!$X$6:$X$3005,V$5))))</f>
        <v/>
      </c>
      <c r="W327" s="19">
        <f>IF($A327="","",IF(COUNTIFS(請求記録!$B$6:$B$3005,$A327,請求記録!$X$6:$X$3005,W$5,請求記録!$AD$6:$AD$3005,"保留中")&gt;0,"保留",IF(COUNTIFS(請求記録!$B$6:$B$3005,$A327,請求記録!$X$6:$X$3005,W$5)=0,"",SUMIFS(請求記録!$AC$6:$AC$3005,請求記録!$B$6:$B$3005,$A327,請求記録!$X$6:$X$3005,W$5))))</f>
        <v/>
      </c>
      <c r="X327" s="19">
        <f>IF($A327="","",IF(COUNTIFS(請求記録!$B$6:$B$3005,$A327,請求記録!$X$6:$X$3005,X$5,請求記録!$AD$6:$AD$3005,"保留中")&gt;0,"保留",IF(COUNTIFS(請求記録!$B$6:$B$3005,$A327,請求記録!$X$6:$X$3005,X$5)=0,"",SUMIFS(請求記録!$AC$6:$AC$3005,請求記録!$B$6:$B$3005,$A327,請求記録!$X$6:$X$3005,X$5))))</f>
        <v/>
      </c>
      <c r="Y327" s="19">
        <f>IF($A327="","",IF(COUNTIFS(請求記録!$B$6:$B$3005,$A327,請求記録!$X$6:$X$3005,Y$5,請求記録!$AD$6:$AD$3005,"保留中")&gt;0,"保留",IF(COUNTIFS(請求記録!$B$6:$B$3005,$A327,請求記録!$X$6:$X$3005,Y$5)=0,"",SUMIFS(請求記録!$AC$6:$AC$3005,請求記録!$B$6:$B$3005,$A327,請求記録!$X$6:$X$3005,Y$5))))</f>
        <v/>
      </c>
      <c r="Z327" s="19">
        <f>IF($A327="","",IF(COUNTIFS(請求記録!$B$6:$B$3005,$A327,請求記録!$X$6:$X$3005,Z$5,請求記録!$AD$6:$AD$3005,"保留中")&gt;0,"保留",IF(COUNTIFS(請求記録!$B$6:$B$3005,$A327,請求記録!$X$6:$X$3005,Z$5)=0,"",SUMIFS(請求記録!$AC$6:$AC$3005,請求記録!$B$6:$B$3005,$A327,請求記録!$X$6:$X$3005,Z$5))))</f>
        <v/>
      </c>
      <c r="AA327" s="19">
        <f>IF($A327="","",IF(COUNTIFS(請求記録!$B$6:$B$3005,$A327,請求記録!$X$6:$X$3005,AA$5,請求記録!$AD$6:$AD$3005,"保留中")&gt;0,"保留",IF(COUNTIFS(請求記録!$B$6:$B$3005,$A327,請求記録!$X$6:$X$3005,AA$5)=0,"",SUMIFS(請求記録!$AC$6:$AC$3005,請求記録!$B$6:$B$3005,$A327,請求記録!$X$6:$X$3005,AA$5))))</f>
        <v/>
      </c>
      <c r="AB327">
        <f>IF(職員マスタ!P327="保留中",職員マスタ!M327,"")</f>
        <v/>
      </c>
    </row>
    <row r="328">
      <c r="A328">
        <f>IF(職員マスタ!A328="","",職員マスタ!A328)</f>
        <v/>
      </c>
      <c r="B328">
        <f>IF($A328="","",職員マスタ!B328)</f>
        <v/>
      </c>
      <c r="C328">
        <f>IF($A328="","",職員マスタ!C328)</f>
        <v/>
      </c>
      <c r="D328" s="19">
        <f>IF($A328="","",IF(COUNTIFS(請求記録!$B$6:$B$3005,$A328,請求記録!$X$6:$X$3005,D$5,請求記録!$AD$6:$AD$3005,"保留中")&gt;0,"保留",IF(COUNTIFS(請求記録!$B$6:$B$3005,$A328,請求記録!$X$6:$X$3005,D$5)=0,"",SUMIFS(請求記録!$AC$6:$AC$3005,請求記録!$B$6:$B$3005,$A328,請求記録!$X$6:$X$3005,D$5))))</f>
        <v/>
      </c>
      <c r="E328" s="19">
        <f>IF($A328="","",IF(COUNTIFS(請求記録!$B$6:$B$3005,$A328,請求記録!$X$6:$X$3005,E$5,請求記録!$AD$6:$AD$3005,"保留中")&gt;0,"保留",IF(COUNTIFS(請求記録!$B$6:$B$3005,$A328,請求記録!$X$6:$X$3005,E$5)=0,"",SUMIFS(請求記録!$AC$6:$AC$3005,請求記録!$B$6:$B$3005,$A328,請求記録!$X$6:$X$3005,E$5))))</f>
        <v/>
      </c>
      <c r="F328" s="19">
        <f>IF($A328="","",IF(COUNTIFS(請求記録!$B$6:$B$3005,$A328,請求記録!$X$6:$X$3005,F$5,請求記録!$AD$6:$AD$3005,"保留中")&gt;0,"保留",IF(COUNTIFS(請求記録!$B$6:$B$3005,$A328,請求記録!$X$6:$X$3005,F$5)=0,"",SUMIFS(請求記録!$AC$6:$AC$3005,請求記録!$B$6:$B$3005,$A328,請求記録!$X$6:$X$3005,F$5))))</f>
        <v/>
      </c>
      <c r="G328" s="19">
        <f>IF($A328="","",IF(COUNTIFS(請求記録!$B$6:$B$3005,$A328,請求記録!$X$6:$X$3005,G$5,請求記録!$AD$6:$AD$3005,"保留中")&gt;0,"保留",IF(COUNTIFS(請求記録!$B$6:$B$3005,$A328,請求記録!$X$6:$X$3005,G$5)=0,"",SUMIFS(請求記録!$AC$6:$AC$3005,請求記録!$B$6:$B$3005,$A328,請求記録!$X$6:$X$3005,G$5))))</f>
        <v/>
      </c>
      <c r="H328" s="19">
        <f>IF($A328="","",IF(COUNTIFS(請求記録!$B$6:$B$3005,$A328,請求記録!$X$6:$X$3005,H$5,請求記録!$AD$6:$AD$3005,"保留中")&gt;0,"保留",IF(COUNTIFS(請求記録!$B$6:$B$3005,$A328,請求記録!$X$6:$X$3005,H$5)=0,"",SUMIFS(請求記録!$AC$6:$AC$3005,請求記録!$B$6:$B$3005,$A328,請求記録!$X$6:$X$3005,H$5))))</f>
        <v/>
      </c>
      <c r="I328" s="19">
        <f>IF($A328="","",IF(COUNTIFS(請求記録!$B$6:$B$3005,$A328,請求記録!$X$6:$X$3005,I$5,請求記録!$AD$6:$AD$3005,"保留中")&gt;0,"保留",IF(COUNTIFS(請求記録!$B$6:$B$3005,$A328,請求記録!$X$6:$X$3005,I$5)=0,"",SUMIFS(請求記録!$AC$6:$AC$3005,請求記録!$B$6:$B$3005,$A328,請求記録!$X$6:$X$3005,I$5))))</f>
        <v/>
      </c>
      <c r="J328" s="19">
        <f>IF($A328="","",IF(COUNTIFS(請求記録!$B$6:$B$3005,$A328,請求記録!$X$6:$X$3005,J$5,請求記録!$AD$6:$AD$3005,"保留中")&gt;0,"保留",IF(COUNTIFS(請求記録!$B$6:$B$3005,$A328,請求記録!$X$6:$X$3005,J$5)=0,"",SUMIFS(請求記録!$AC$6:$AC$3005,請求記録!$B$6:$B$3005,$A328,請求記録!$X$6:$X$3005,J$5))))</f>
        <v/>
      </c>
      <c r="K328" s="19">
        <f>IF($A328="","",IF(COUNTIFS(請求記録!$B$6:$B$3005,$A328,請求記録!$X$6:$X$3005,K$5,請求記録!$AD$6:$AD$3005,"保留中")&gt;0,"保留",IF(COUNTIFS(請求記録!$B$6:$B$3005,$A328,請求記録!$X$6:$X$3005,K$5)=0,"",SUMIFS(請求記録!$AC$6:$AC$3005,請求記録!$B$6:$B$3005,$A328,請求記録!$X$6:$X$3005,K$5))))</f>
        <v/>
      </c>
      <c r="L328" s="19">
        <f>IF($A328="","",IF(COUNTIFS(請求記録!$B$6:$B$3005,$A328,請求記録!$X$6:$X$3005,L$5,請求記録!$AD$6:$AD$3005,"保留中")&gt;0,"保留",IF(COUNTIFS(請求記録!$B$6:$B$3005,$A328,請求記録!$X$6:$X$3005,L$5)=0,"",SUMIFS(請求記録!$AC$6:$AC$3005,請求記録!$B$6:$B$3005,$A328,請求記録!$X$6:$X$3005,L$5))))</f>
        <v/>
      </c>
      <c r="M328" s="19">
        <f>IF($A328="","",IF(COUNTIFS(請求記録!$B$6:$B$3005,$A328,請求記録!$X$6:$X$3005,M$5,請求記録!$AD$6:$AD$3005,"保留中")&gt;0,"保留",IF(COUNTIFS(請求記録!$B$6:$B$3005,$A328,請求記録!$X$6:$X$3005,M$5)=0,"",SUMIFS(請求記録!$AC$6:$AC$3005,請求記録!$B$6:$B$3005,$A328,請求記録!$X$6:$X$3005,M$5))))</f>
        <v/>
      </c>
      <c r="N328" s="19">
        <f>IF($A328="","",IF(COUNTIFS(請求記録!$B$6:$B$3005,$A328,請求記録!$X$6:$X$3005,N$5,請求記録!$AD$6:$AD$3005,"保留中")&gt;0,"保留",IF(COUNTIFS(請求記録!$B$6:$B$3005,$A328,請求記録!$X$6:$X$3005,N$5)=0,"",SUMIFS(請求記録!$AC$6:$AC$3005,請求記録!$B$6:$B$3005,$A328,請求記録!$X$6:$X$3005,N$5))))</f>
        <v/>
      </c>
      <c r="O328" s="19">
        <f>IF($A328="","",IF(COUNTIFS(請求記録!$B$6:$B$3005,$A328,請求記録!$X$6:$X$3005,O$5,請求記録!$AD$6:$AD$3005,"保留中")&gt;0,"保留",IF(COUNTIFS(請求記録!$B$6:$B$3005,$A328,請求記録!$X$6:$X$3005,O$5)=0,"",SUMIFS(請求記録!$AC$6:$AC$3005,請求記録!$B$6:$B$3005,$A328,請求記録!$X$6:$X$3005,O$5))))</f>
        <v/>
      </c>
      <c r="P328" s="19">
        <f>IF($A328="","",IF(COUNTIFS(請求記録!$B$6:$B$3005,$A328,請求記録!$X$6:$X$3005,P$5,請求記録!$AD$6:$AD$3005,"保留中")&gt;0,"保留",IF(COUNTIFS(請求記録!$B$6:$B$3005,$A328,請求記録!$X$6:$X$3005,P$5)=0,"",SUMIFS(請求記録!$AC$6:$AC$3005,請求記録!$B$6:$B$3005,$A328,請求記録!$X$6:$X$3005,P$5))))</f>
        <v/>
      </c>
      <c r="Q328" s="19">
        <f>IF($A328="","",IF(COUNTIFS(請求記録!$B$6:$B$3005,$A328,請求記録!$X$6:$X$3005,Q$5,請求記録!$AD$6:$AD$3005,"保留中")&gt;0,"保留",IF(COUNTIFS(請求記録!$B$6:$B$3005,$A328,請求記録!$X$6:$X$3005,Q$5)=0,"",SUMIFS(請求記録!$AC$6:$AC$3005,請求記録!$B$6:$B$3005,$A328,請求記録!$X$6:$X$3005,Q$5))))</f>
        <v/>
      </c>
      <c r="R328" s="19">
        <f>IF($A328="","",IF(COUNTIFS(請求記録!$B$6:$B$3005,$A328,請求記録!$X$6:$X$3005,R$5,請求記録!$AD$6:$AD$3005,"保留中")&gt;0,"保留",IF(COUNTIFS(請求記録!$B$6:$B$3005,$A328,請求記録!$X$6:$X$3005,R$5)=0,"",SUMIFS(請求記録!$AC$6:$AC$3005,請求記録!$B$6:$B$3005,$A328,請求記録!$X$6:$X$3005,R$5))))</f>
        <v/>
      </c>
      <c r="S328" s="19">
        <f>IF($A328="","",IF(COUNTIFS(請求記録!$B$6:$B$3005,$A328,請求記録!$X$6:$X$3005,S$5,請求記録!$AD$6:$AD$3005,"保留中")&gt;0,"保留",IF(COUNTIFS(請求記録!$B$6:$B$3005,$A328,請求記録!$X$6:$X$3005,S$5)=0,"",SUMIFS(請求記録!$AC$6:$AC$3005,請求記録!$B$6:$B$3005,$A328,請求記録!$X$6:$X$3005,S$5))))</f>
        <v/>
      </c>
      <c r="T328" s="19">
        <f>IF($A328="","",IF(COUNTIFS(請求記録!$B$6:$B$3005,$A328,請求記録!$X$6:$X$3005,T$5,請求記録!$AD$6:$AD$3005,"保留中")&gt;0,"保留",IF(COUNTIFS(請求記録!$B$6:$B$3005,$A328,請求記録!$X$6:$X$3005,T$5)=0,"",SUMIFS(請求記録!$AC$6:$AC$3005,請求記録!$B$6:$B$3005,$A328,請求記録!$X$6:$X$3005,T$5))))</f>
        <v/>
      </c>
      <c r="U328" s="19">
        <f>IF($A328="","",IF(COUNTIFS(請求記録!$B$6:$B$3005,$A328,請求記録!$X$6:$X$3005,U$5,請求記録!$AD$6:$AD$3005,"保留中")&gt;0,"保留",IF(COUNTIFS(請求記録!$B$6:$B$3005,$A328,請求記録!$X$6:$X$3005,U$5)=0,"",SUMIFS(請求記録!$AC$6:$AC$3005,請求記録!$B$6:$B$3005,$A328,請求記録!$X$6:$X$3005,U$5))))</f>
        <v/>
      </c>
      <c r="V328" s="19">
        <f>IF($A328="","",IF(COUNTIFS(請求記録!$B$6:$B$3005,$A328,請求記録!$X$6:$X$3005,V$5,請求記録!$AD$6:$AD$3005,"保留中")&gt;0,"保留",IF(COUNTIFS(請求記録!$B$6:$B$3005,$A328,請求記録!$X$6:$X$3005,V$5)=0,"",SUMIFS(請求記録!$AC$6:$AC$3005,請求記録!$B$6:$B$3005,$A328,請求記録!$X$6:$X$3005,V$5))))</f>
        <v/>
      </c>
      <c r="W328" s="19">
        <f>IF($A328="","",IF(COUNTIFS(請求記録!$B$6:$B$3005,$A328,請求記録!$X$6:$X$3005,W$5,請求記録!$AD$6:$AD$3005,"保留中")&gt;0,"保留",IF(COUNTIFS(請求記録!$B$6:$B$3005,$A328,請求記録!$X$6:$X$3005,W$5)=0,"",SUMIFS(請求記録!$AC$6:$AC$3005,請求記録!$B$6:$B$3005,$A328,請求記録!$X$6:$X$3005,W$5))))</f>
        <v/>
      </c>
      <c r="X328" s="19">
        <f>IF($A328="","",IF(COUNTIFS(請求記録!$B$6:$B$3005,$A328,請求記録!$X$6:$X$3005,X$5,請求記録!$AD$6:$AD$3005,"保留中")&gt;0,"保留",IF(COUNTIFS(請求記録!$B$6:$B$3005,$A328,請求記録!$X$6:$X$3005,X$5)=0,"",SUMIFS(請求記録!$AC$6:$AC$3005,請求記録!$B$6:$B$3005,$A328,請求記録!$X$6:$X$3005,X$5))))</f>
        <v/>
      </c>
      <c r="Y328" s="19">
        <f>IF($A328="","",IF(COUNTIFS(請求記録!$B$6:$B$3005,$A328,請求記録!$X$6:$X$3005,Y$5,請求記録!$AD$6:$AD$3005,"保留中")&gt;0,"保留",IF(COUNTIFS(請求記録!$B$6:$B$3005,$A328,請求記録!$X$6:$X$3005,Y$5)=0,"",SUMIFS(請求記録!$AC$6:$AC$3005,請求記録!$B$6:$B$3005,$A328,請求記録!$X$6:$X$3005,Y$5))))</f>
        <v/>
      </c>
      <c r="Z328" s="19">
        <f>IF($A328="","",IF(COUNTIFS(請求記録!$B$6:$B$3005,$A328,請求記録!$X$6:$X$3005,Z$5,請求記録!$AD$6:$AD$3005,"保留中")&gt;0,"保留",IF(COUNTIFS(請求記録!$B$6:$B$3005,$A328,請求記録!$X$6:$X$3005,Z$5)=0,"",SUMIFS(請求記録!$AC$6:$AC$3005,請求記録!$B$6:$B$3005,$A328,請求記録!$X$6:$X$3005,Z$5))))</f>
        <v/>
      </c>
      <c r="AA328" s="19">
        <f>IF($A328="","",IF(COUNTIFS(請求記録!$B$6:$B$3005,$A328,請求記録!$X$6:$X$3005,AA$5,請求記録!$AD$6:$AD$3005,"保留中")&gt;0,"保留",IF(COUNTIFS(請求記録!$B$6:$B$3005,$A328,請求記録!$X$6:$X$3005,AA$5)=0,"",SUMIFS(請求記録!$AC$6:$AC$3005,請求記録!$B$6:$B$3005,$A328,請求記録!$X$6:$X$3005,AA$5))))</f>
        <v/>
      </c>
      <c r="AB328">
        <f>IF(職員マスタ!P328="保留中",職員マスタ!M328,"")</f>
        <v/>
      </c>
    </row>
    <row r="329">
      <c r="A329">
        <f>IF(職員マスタ!A329="","",職員マスタ!A329)</f>
        <v/>
      </c>
      <c r="B329">
        <f>IF($A329="","",職員マスタ!B329)</f>
        <v/>
      </c>
      <c r="C329">
        <f>IF($A329="","",職員マスタ!C329)</f>
        <v/>
      </c>
      <c r="D329" s="19">
        <f>IF($A329="","",IF(COUNTIFS(請求記録!$B$6:$B$3005,$A329,請求記録!$X$6:$X$3005,D$5,請求記録!$AD$6:$AD$3005,"保留中")&gt;0,"保留",IF(COUNTIFS(請求記録!$B$6:$B$3005,$A329,請求記録!$X$6:$X$3005,D$5)=0,"",SUMIFS(請求記録!$AC$6:$AC$3005,請求記録!$B$6:$B$3005,$A329,請求記録!$X$6:$X$3005,D$5))))</f>
        <v/>
      </c>
      <c r="E329" s="19">
        <f>IF($A329="","",IF(COUNTIFS(請求記録!$B$6:$B$3005,$A329,請求記録!$X$6:$X$3005,E$5,請求記録!$AD$6:$AD$3005,"保留中")&gt;0,"保留",IF(COUNTIFS(請求記録!$B$6:$B$3005,$A329,請求記録!$X$6:$X$3005,E$5)=0,"",SUMIFS(請求記録!$AC$6:$AC$3005,請求記録!$B$6:$B$3005,$A329,請求記録!$X$6:$X$3005,E$5))))</f>
        <v/>
      </c>
      <c r="F329" s="19">
        <f>IF($A329="","",IF(COUNTIFS(請求記録!$B$6:$B$3005,$A329,請求記録!$X$6:$X$3005,F$5,請求記録!$AD$6:$AD$3005,"保留中")&gt;0,"保留",IF(COUNTIFS(請求記録!$B$6:$B$3005,$A329,請求記録!$X$6:$X$3005,F$5)=0,"",SUMIFS(請求記録!$AC$6:$AC$3005,請求記録!$B$6:$B$3005,$A329,請求記録!$X$6:$X$3005,F$5))))</f>
        <v/>
      </c>
      <c r="G329" s="19">
        <f>IF($A329="","",IF(COUNTIFS(請求記録!$B$6:$B$3005,$A329,請求記録!$X$6:$X$3005,G$5,請求記録!$AD$6:$AD$3005,"保留中")&gt;0,"保留",IF(COUNTIFS(請求記録!$B$6:$B$3005,$A329,請求記録!$X$6:$X$3005,G$5)=0,"",SUMIFS(請求記録!$AC$6:$AC$3005,請求記録!$B$6:$B$3005,$A329,請求記録!$X$6:$X$3005,G$5))))</f>
        <v/>
      </c>
      <c r="H329" s="19">
        <f>IF($A329="","",IF(COUNTIFS(請求記録!$B$6:$B$3005,$A329,請求記録!$X$6:$X$3005,H$5,請求記録!$AD$6:$AD$3005,"保留中")&gt;0,"保留",IF(COUNTIFS(請求記録!$B$6:$B$3005,$A329,請求記録!$X$6:$X$3005,H$5)=0,"",SUMIFS(請求記録!$AC$6:$AC$3005,請求記録!$B$6:$B$3005,$A329,請求記録!$X$6:$X$3005,H$5))))</f>
        <v/>
      </c>
      <c r="I329" s="19">
        <f>IF($A329="","",IF(COUNTIFS(請求記録!$B$6:$B$3005,$A329,請求記録!$X$6:$X$3005,I$5,請求記録!$AD$6:$AD$3005,"保留中")&gt;0,"保留",IF(COUNTIFS(請求記録!$B$6:$B$3005,$A329,請求記録!$X$6:$X$3005,I$5)=0,"",SUMIFS(請求記録!$AC$6:$AC$3005,請求記録!$B$6:$B$3005,$A329,請求記録!$X$6:$X$3005,I$5))))</f>
        <v/>
      </c>
      <c r="J329" s="19">
        <f>IF($A329="","",IF(COUNTIFS(請求記録!$B$6:$B$3005,$A329,請求記録!$X$6:$X$3005,J$5,請求記録!$AD$6:$AD$3005,"保留中")&gt;0,"保留",IF(COUNTIFS(請求記録!$B$6:$B$3005,$A329,請求記録!$X$6:$X$3005,J$5)=0,"",SUMIFS(請求記録!$AC$6:$AC$3005,請求記録!$B$6:$B$3005,$A329,請求記録!$X$6:$X$3005,J$5))))</f>
        <v/>
      </c>
      <c r="K329" s="19">
        <f>IF($A329="","",IF(COUNTIFS(請求記録!$B$6:$B$3005,$A329,請求記録!$X$6:$X$3005,K$5,請求記録!$AD$6:$AD$3005,"保留中")&gt;0,"保留",IF(COUNTIFS(請求記録!$B$6:$B$3005,$A329,請求記録!$X$6:$X$3005,K$5)=0,"",SUMIFS(請求記録!$AC$6:$AC$3005,請求記録!$B$6:$B$3005,$A329,請求記録!$X$6:$X$3005,K$5))))</f>
        <v/>
      </c>
      <c r="L329" s="19">
        <f>IF($A329="","",IF(COUNTIFS(請求記録!$B$6:$B$3005,$A329,請求記録!$X$6:$X$3005,L$5,請求記録!$AD$6:$AD$3005,"保留中")&gt;0,"保留",IF(COUNTIFS(請求記録!$B$6:$B$3005,$A329,請求記録!$X$6:$X$3005,L$5)=0,"",SUMIFS(請求記録!$AC$6:$AC$3005,請求記録!$B$6:$B$3005,$A329,請求記録!$X$6:$X$3005,L$5))))</f>
        <v/>
      </c>
      <c r="M329" s="19">
        <f>IF($A329="","",IF(COUNTIFS(請求記録!$B$6:$B$3005,$A329,請求記録!$X$6:$X$3005,M$5,請求記録!$AD$6:$AD$3005,"保留中")&gt;0,"保留",IF(COUNTIFS(請求記録!$B$6:$B$3005,$A329,請求記録!$X$6:$X$3005,M$5)=0,"",SUMIFS(請求記録!$AC$6:$AC$3005,請求記録!$B$6:$B$3005,$A329,請求記録!$X$6:$X$3005,M$5))))</f>
        <v/>
      </c>
      <c r="N329" s="19">
        <f>IF($A329="","",IF(COUNTIFS(請求記録!$B$6:$B$3005,$A329,請求記録!$X$6:$X$3005,N$5,請求記録!$AD$6:$AD$3005,"保留中")&gt;0,"保留",IF(COUNTIFS(請求記録!$B$6:$B$3005,$A329,請求記録!$X$6:$X$3005,N$5)=0,"",SUMIFS(請求記録!$AC$6:$AC$3005,請求記録!$B$6:$B$3005,$A329,請求記録!$X$6:$X$3005,N$5))))</f>
        <v/>
      </c>
      <c r="O329" s="19">
        <f>IF($A329="","",IF(COUNTIFS(請求記録!$B$6:$B$3005,$A329,請求記録!$X$6:$X$3005,O$5,請求記録!$AD$6:$AD$3005,"保留中")&gt;0,"保留",IF(COUNTIFS(請求記録!$B$6:$B$3005,$A329,請求記録!$X$6:$X$3005,O$5)=0,"",SUMIFS(請求記録!$AC$6:$AC$3005,請求記録!$B$6:$B$3005,$A329,請求記録!$X$6:$X$3005,O$5))))</f>
        <v/>
      </c>
      <c r="P329" s="19">
        <f>IF($A329="","",IF(COUNTIFS(請求記録!$B$6:$B$3005,$A329,請求記録!$X$6:$X$3005,P$5,請求記録!$AD$6:$AD$3005,"保留中")&gt;0,"保留",IF(COUNTIFS(請求記録!$B$6:$B$3005,$A329,請求記録!$X$6:$X$3005,P$5)=0,"",SUMIFS(請求記録!$AC$6:$AC$3005,請求記録!$B$6:$B$3005,$A329,請求記録!$X$6:$X$3005,P$5))))</f>
        <v/>
      </c>
      <c r="Q329" s="19">
        <f>IF($A329="","",IF(COUNTIFS(請求記録!$B$6:$B$3005,$A329,請求記録!$X$6:$X$3005,Q$5,請求記録!$AD$6:$AD$3005,"保留中")&gt;0,"保留",IF(COUNTIFS(請求記録!$B$6:$B$3005,$A329,請求記録!$X$6:$X$3005,Q$5)=0,"",SUMIFS(請求記録!$AC$6:$AC$3005,請求記録!$B$6:$B$3005,$A329,請求記録!$X$6:$X$3005,Q$5))))</f>
        <v/>
      </c>
      <c r="R329" s="19">
        <f>IF($A329="","",IF(COUNTIFS(請求記録!$B$6:$B$3005,$A329,請求記録!$X$6:$X$3005,R$5,請求記録!$AD$6:$AD$3005,"保留中")&gt;0,"保留",IF(COUNTIFS(請求記録!$B$6:$B$3005,$A329,請求記録!$X$6:$X$3005,R$5)=0,"",SUMIFS(請求記録!$AC$6:$AC$3005,請求記録!$B$6:$B$3005,$A329,請求記録!$X$6:$X$3005,R$5))))</f>
        <v/>
      </c>
      <c r="S329" s="19">
        <f>IF($A329="","",IF(COUNTIFS(請求記録!$B$6:$B$3005,$A329,請求記録!$X$6:$X$3005,S$5,請求記録!$AD$6:$AD$3005,"保留中")&gt;0,"保留",IF(COUNTIFS(請求記録!$B$6:$B$3005,$A329,請求記録!$X$6:$X$3005,S$5)=0,"",SUMIFS(請求記録!$AC$6:$AC$3005,請求記録!$B$6:$B$3005,$A329,請求記録!$X$6:$X$3005,S$5))))</f>
        <v/>
      </c>
      <c r="T329" s="19">
        <f>IF($A329="","",IF(COUNTIFS(請求記録!$B$6:$B$3005,$A329,請求記録!$X$6:$X$3005,T$5,請求記録!$AD$6:$AD$3005,"保留中")&gt;0,"保留",IF(COUNTIFS(請求記録!$B$6:$B$3005,$A329,請求記録!$X$6:$X$3005,T$5)=0,"",SUMIFS(請求記録!$AC$6:$AC$3005,請求記録!$B$6:$B$3005,$A329,請求記録!$X$6:$X$3005,T$5))))</f>
        <v/>
      </c>
      <c r="U329" s="19">
        <f>IF($A329="","",IF(COUNTIFS(請求記録!$B$6:$B$3005,$A329,請求記録!$X$6:$X$3005,U$5,請求記録!$AD$6:$AD$3005,"保留中")&gt;0,"保留",IF(COUNTIFS(請求記録!$B$6:$B$3005,$A329,請求記録!$X$6:$X$3005,U$5)=0,"",SUMIFS(請求記録!$AC$6:$AC$3005,請求記録!$B$6:$B$3005,$A329,請求記録!$X$6:$X$3005,U$5))))</f>
        <v/>
      </c>
      <c r="V329" s="19">
        <f>IF($A329="","",IF(COUNTIFS(請求記録!$B$6:$B$3005,$A329,請求記録!$X$6:$X$3005,V$5,請求記録!$AD$6:$AD$3005,"保留中")&gt;0,"保留",IF(COUNTIFS(請求記録!$B$6:$B$3005,$A329,請求記録!$X$6:$X$3005,V$5)=0,"",SUMIFS(請求記録!$AC$6:$AC$3005,請求記録!$B$6:$B$3005,$A329,請求記録!$X$6:$X$3005,V$5))))</f>
        <v/>
      </c>
      <c r="W329" s="19">
        <f>IF($A329="","",IF(COUNTIFS(請求記録!$B$6:$B$3005,$A329,請求記録!$X$6:$X$3005,W$5,請求記録!$AD$6:$AD$3005,"保留中")&gt;0,"保留",IF(COUNTIFS(請求記録!$B$6:$B$3005,$A329,請求記録!$X$6:$X$3005,W$5)=0,"",SUMIFS(請求記録!$AC$6:$AC$3005,請求記録!$B$6:$B$3005,$A329,請求記録!$X$6:$X$3005,W$5))))</f>
        <v/>
      </c>
      <c r="X329" s="19">
        <f>IF($A329="","",IF(COUNTIFS(請求記録!$B$6:$B$3005,$A329,請求記録!$X$6:$X$3005,X$5,請求記録!$AD$6:$AD$3005,"保留中")&gt;0,"保留",IF(COUNTIFS(請求記録!$B$6:$B$3005,$A329,請求記録!$X$6:$X$3005,X$5)=0,"",SUMIFS(請求記録!$AC$6:$AC$3005,請求記録!$B$6:$B$3005,$A329,請求記録!$X$6:$X$3005,X$5))))</f>
        <v/>
      </c>
      <c r="Y329" s="19">
        <f>IF($A329="","",IF(COUNTIFS(請求記録!$B$6:$B$3005,$A329,請求記録!$X$6:$X$3005,Y$5,請求記録!$AD$6:$AD$3005,"保留中")&gt;0,"保留",IF(COUNTIFS(請求記録!$B$6:$B$3005,$A329,請求記録!$X$6:$X$3005,Y$5)=0,"",SUMIFS(請求記録!$AC$6:$AC$3005,請求記録!$B$6:$B$3005,$A329,請求記録!$X$6:$X$3005,Y$5))))</f>
        <v/>
      </c>
      <c r="Z329" s="19">
        <f>IF($A329="","",IF(COUNTIFS(請求記録!$B$6:$B$3005,$A329,請求記録!$X$6:$X$3005,Z$5,請求記録!$AD$6:$AD$3005,"保留中")&gt;0,"保留",IF(COUNTIFS(請求記録!$B$6:$B$3005,$A329,請求記録!$X$6:$X$3005,Z$5)=0,"",SUMIFS(請求記録!$AC$6:$AC$3005,請求記録!$B$6:$B$3005,$A329,請求記録!$X$6:$X$3005,Z$5))))</f>
        <v/>
      </c>
      <c r="AA329" s="19">
        <f>IF($A329="","",IF(COUNTIFS(請求記録!$B$6:$B$3005,$A329,請求記録!$X$6:$X$3005,AA$5,請求記録!$AD$6:$AD$3005,"保留中")&gt;0,"保留",IF(COUNTIFS(請求記録!$B$6:$B$3005,$A329,請求記録!$X$6:$X$3005,AA$5)=0,"",SUMIFS(請求記録!$AC$6:$AC$3005,請求記録!$B$6:$B$3005,$A329,請求記録!$X$6:$X$3005,AA$5))))</f>
        <v/>
      </c>
      <c r="AB329">
        <f>IF(職員マスタ!P329="保留中",職員マスタ!M329,"")</f>
        <v/>
      </c>
    </row>
    <row r="330">
      <c r="A330">
        <f>IF(職員マスタ!A330="","",職員マスタ!A330)</f>
        <v/>
      </c>
      <c r="B330">
        <f>IF($A330="","",職員マスタ!B330)</f>
        <v/>
      </c>
      <c r="C330">
        <f>IF($A330="","",職員マスタ!C330)</f>
        <v/>
      </c>
      <c r="D330" s="19">
        <f>IF($A330="","",IF(COUNTIFS(請求記録!$B$6:$B$3005,$A330,請求記録!$X$6:$X$3005,D$5,請求記録!$AD$6:$AD$3005,"保留中")&gt;0,"保留",IF(COUNTIFS(請求記録!$B$6:$B$3005,$A330,請求記録!$X$6:$X$3005,D$5)=0,"",SUMIFS(請求記録!$AC$6:$AC$3005,請求記録!$B$6:$B$3005,$A330,請求記録!$X$6:$X$3005,D$5))))</f>
        <v/>
      </c>
      <c r="E330" s="19">
        <f>IF($A330="","",IF(COUNTIFS(請求記録!$B$6:$B$3005,$A330,請求記録!$X$6:$X$3005,E$5,請求記録!$AD$6:$AD$3005,"保留中")&gt;0,"保留",IF(COUNTIFS(請求記録!$B$6:$B$3005,$A330,請求記録!$X$6:$X$3005,E$5)=0,"",SUMIFS(請求記録!$AC$6:$AC$3005,請求記録!$B$6:$B$3005,$A330,請求記録!$X$6:$X$3005,E$5))))</f>
        <v/>
      </c>
      <c r="F330" s="19">
        <f>IF($A330="","",IF(COUNTIFS(請求記録!$B$6:$B$3005,$A330,請求記録!$X$6:$X$3005,F$5,請求記録!$AD$6:$AD$3005,"保留中")&gt;0,"保留",IF(COUNTIFS(請求記録!$B$6:$B$3005,$A330,請求記録!$X$6:$X$3005,F$5)=0,"",SUMIFS(請求記録!$AC$6:$AC$3005,請求記録!$B$6:$B$3005,$A330,請求記録!$X$6:$X$3005,F$5))))</f>
        <v/>
      </c>
      <c r="G330" s="19">
        <f>IF($A330="","",IF(COUNTIFS(請求記録!$B$6:$B$3005,$A330,請求記録!$X$6:$X$3005,G$5,請求記録!$AD$6:$AD$3005,"保留中")&gt;0,"保留",IF(COUNTIFS(請求記録!$B$6:$B$3005,$A330,請求記録!$X$6:$X$3005,G$5)=0,"",SUMIFS(請求記録!$AC$6:$AC$3005,請求記録!$B$6:$B$3005,$A330,請求記録!$X$6:$X$3005,G$5))))</f>
        <v/>
      </c>
      <c r="H330" s="19">
        <f>IF($A330="","",IF(COUNTIFS(請求記録!$B$6:$B$3005,$A330,請求記録!$X$6:$X$3005,H$5,請求記録!$AD$6:$AD$3005,"保留中")&gt;0,"保留",IF(COUNTIFS(請求記録!$B$6:$B$3005,$A330,請求記録!$X$6:$X$3005,H$5)=0,"",SUMIFS(請求記録!$AC$6:$AC$3005,請求記録!$B$6:$B$3005,$A330,請求記録!$X$6:$X$3005,H$5))))</f>
        <v/>
      </c>
      <c r="I330" s="19">
        <f>IF($A330="","",IF(COUNTIFS(請求記録!$B$6:$B$3005,$A330,請求記録!$X$6:$X$3005,I$5,請求記録!$AD$6:$AD$3005,"保留中")&gt;0,"保留",IF(COUNTIFS(請求記録!$B$6:$B$3005,$A330,請求記録!$X$6:$X$3005,I$5)=0,"",SUMIFS(請求記録!$AC$6:$AC$3005,請求記録!$B$6:$B$3005,$A330,請求記録!$X$6:$X$3005,I$5))))</f>
        <v/>
      </c>
      <c r="J330" s="19">
        <f>IF($A330="","",IF(COUNTIFS(請求記録!$B$6:$B$3005,$A330,請求記録!$X$6:$X$3005,J$5,請求記録!$AD$6:$AD$3005,"保留中")&gt;0,"保留",IF(COUNTIFS(請求記録!$B$6:$B$3005,$A330,請求記録!$X$6:$X$3005,J$5)=0,"",SUMIFS(請求記録!$AC$6:$AC$3005,請求記録!$B$6:$B$3005,$A330,請求記録!$X$6:$X$3005,J$5))))</f>
        <v/>
      </c>
      <c r="K330" s="19">
        <f>IF($A330="","",IF(COUNTIFS(請求記録!$B$6:$B$3005,$A330,請求記録!$X$6:$X$3005,K$5,請求記録!$AD$6:$AD$3005,"保留中")&gt;0,"保留",IF(COUNTIFS(請求記録!$B$6:$B$3005,$A330,請求記録!$X$6:$X$3005,K$5)=0,"",SUMIFS(請求記録!$AC$6:$AC$3005,請求記録!$B$6:$B$3005,$A330,請求記録!$X$6:$X$3005,K$5))))</f>
        <v/>
      </c>
      <c r="L330" s="19">
        <f>IF($A330="","",IF(COUNTIFS(請求記録!$B$6:$B$3005,$A330,請求記録!$X$6:$X$3005,L$5,請求記録!$AD$6:$AD$3005,"保留中")&gt;0,"保留",IF(COUNTIFS(請求記録!$B$6:$B$3005,$A330,請求記録!$X$6:$X$3005,L$5)=0,"",SUMIFS(請求記録!$AC$6:$AC$3005,請求記録!$B$6:$B$3005,$A330,請求記録!$X$6:$X$3005,L$5))))</f>
        <v/>
      </c>
      <c r="M330" s="19">
        <f>IF($A330="","",IF(COUNTIFS(請求記録!$B$6:$B$3005,$A330,請求記録!$X$6:$X$3005,M$5,請求記録!$AD$6:$AD$3005,"保留中")&gt;0,"保留",IF(COUNTIFS(請求記録!$B$6:$B$3005,$A330,請求記録!$X$6:$X$3005,M$5)=0,"",SUMIFS(請求記録!$AC$6:$AC$3005,請求記録!$B$6:$B$3005,$A330,請求記録!$X$6:$X$3005,M$5))))</f>
        <v/>
      </c>
      <c r="N330" s="19">
        <f>IF($A330="","",IF(COUNTIFS(請求記録!$B$6:$B$3005,$A330,請求記録!$X$6:$X$3005,N$5,請求記録!$AD$6:$AD$3005,"保留中")&gt;0,"保留",IF(COUNTIFS(請求記録!$B$6:$B$3005,$A330,請求記録!$X$6:$X$3005,N$5)=0,"",SUMIFS(請求記録!$AC$6:$AC$3005,請求記録!$B$6:$B$3005,$A330,請求記録!$X$6:$X$3005,N$5))))</f>
        <v/>
      </c>
      <c r="O330" s="19">
        <f>IF($A330="","",IF(COUNTIFS(請求記録!$B$6:$B$3005,$A330,請求記録!$X$6:$X$3005,O$5,請求記録!$AD$6:$AD$3005,"保留中")&gt;0,"保留",IF(COUNTIFS(請求記録!$B$6:$B$3005,$A330,請求記録!$X$6:$X$3005,O$5)=0,"",SUMIFS(請求記録!$AC$6:$AC$3005,請求記録!$B$6:$B$3005,$A330,請求記録!$X$6:$X$3005,O$5))))</f>
        <v/>
      </c>
      <c r="P330" s="19">
        <f>IF($A330="","",IF(COUNTIFS(請求記録!$B$6:$B$3005,$A330,請求記録!$X$6:$X$3005,P$5,請求記録!$AD$6:$AD$3005,"保留中")&gt;0,"保留",IF(COUNTIFS(請求記録!$B$6:$B$3005,$A330,請求記録!$X$6:$X$3005,P$5)=0,"",SUMIFS(請求記録!$AC$6:$AC$3005,請求記録!$B$6:$B$3005,$A330,請求記録!$X$6:$X$3005,P$5))))</f>
        <v/>
      </c>
      <c r="Q330" s="19">
        <f>IF($A330="","",IF(COUNTIFS(請求記録!$B$6:$B$3005,$A330,請求記録!$X$6:$X$3005,Q$5,請求記録!$AD$6:$AD$3005,"保留中")&gt;0,"保留",IF(COUNTIFS(請求記録!$B$6:$B$3005,$A330,請求記録!$X$6:$X$3005,Q$5)=0,"",SUMIFS(請求記録!$AC$6:$AC$3005,請求記録!$B$6:$B$3005,$A330,請求記録!$X$6:$X$3005,Q$5))))</f>
        <v/>
      </c>
      <c r="R330" s="19">
        <f>IF($A330="","",IF(COUNTIFS(請求記録!$B$6:$B$3005,$A330,請求記録!$X$6:$X$3005,R$5,請求記録!$AD$6:$AD$3005,"保留中")&gt;0,"保留",IF(COUNTIFS(請求記録!$B$6:$B$3005,$A330,請求記録!$X$6:$X$3005,R$5)=0,"",SUMIFS(請求記録!$AC$6:$AC$3005,請求記録!$B$6:$B$3005,$A330,請求記録!$X$6:$X$3005,R$5))))</f>
        <v/>
      </c>
      <c r="S330" s="19">
        <f>IF($A330="","",IF(COUNTIFS(請求記録!$B$6:$B$3005,$A330,請求記録!$X$6:$X$3005,S$5,請求記録!$AD$6:$AD$3005,"保留中")&gt;0,"保留",IF(COUNTIFS(請求記録!$B$6:$B$3005,$A330,請求記録!$X$6:$X$3005,S$5)=0,"",SUMIFS(請求記録!$AC$6:$AC$3005,請求記録!$B$6:$B$3005,$A330,請求記録!$X$6:$X$3005,S$5))))</f>
        <v/>
      </c>
      <c r="T330" s="19">
        <f>IF($A330="","",IF(COUNTIFS(請求記録!$B$6:$B$3005,$A330,請求記録!$X$6:$X$3005,T$5,請求記録!$AD$6:$AD$3005,"保留中")&gt;0,"保留",IF(COUNTIFS(請求記録!$B$6:$B$3005,$A330,請求記録!$X$6:$X$3005,T$5)=0,"",SUMIFS(請求記録!$AC$6:$AC$3005,請求記録!$B$6:$B$3005,$A330,請求記録!$X$6:$X$3005,T$5))))</f>
        <v/>
      </c>
      <c r="U330" s="19">
        <f>IF($A330="","",IF(COUNTIFS(請求記録!$B$6:$B$3005,$A330,請求記録!$X$6:$X$3005,U$5,請求記録!$AD$6:$AD$3005,"保留中")&gt;0,"保留",IF(COUNTIFS(請求記録!$B$6:$B$3005,$A330,請求記録!$X$6:$X$3005,U$5)=0,"",SUMIFS(請求記録!$AC$6:$AC$3005,請求記録!$B$6:$B$3005,$A330,請求記録!$X$6:$X$3005,U$5))))</f>
        <v/>
      </c>
      <c r="V330" s="19">
        <f>IF($A330="","",IF(COUNTIFS(請求記録!$B$6:$B$3005,$A330,請求記録!$X$6:$X$3005,V$5,請求記録!$AD$6:$AD$3005,"保留中")&gt;0,"保留",IF(COUNTIFS(請求記録!$B$6:$B$3005,$A330,請求記録!$X$6:$X$3005,V$5)=0,"",SUMIFS(請求記録!$AC$6:$AC$3005,請求記録!$B$6:$B$3005,$A330,請求記録!$X$6:$X$3005,V$5))))</f>
        <v/>
      </c>
      <c r="W330" s="19">
        <f>IF($A330="","",IF(COUNTIFS(請求記録!$B$6:$B$3005,$A330,請求記録!$X$6:$X$3005,W$5,請求記録!$AD$6:$AD$3005,"保留中")&gt;0,"保留",IF(COUNTIFS(請求記録!$B$6:$B$3005,$A330,請求記録!$X$6:$X$3005,W$5)=0,"",SUMIFS(請求記録!$AC$6:$AC$3005,請求記録!$B$6:$B$3005,$A330,請求記録!$X$6:$X$3005,W$5))))</f>
        <v/>
      </c>
      <c r="X330" s="19">
        <f>IF($A330="","",IF(COUNTIFS(請求記録!$B$6:$B$3005,$A330,請求記録!$X$6:$X$3005,X$5,請求記録!$AD$6:$AD$3005,"保留中")&gt;0,"保留",IF(COUNTIFS(請求記録!$B$6:$B$3005,$A330,請求記録!$X$6:$X$3005,X$5)=0,"",SUMIFS(請求記録!$AC$6:$AC$3005,請求記録!$B$6:$B$3005,$A330,請求記録!$X$6:$X$3005,X$5))))</f>
        <v/>
      </c>
      <c r="Y330" s="19">
        <f>IF($A330="","",IF(COUNTIFS(請求記録!$B$6:$B$3005,$A330,請求記録!$X$6:$X$3005,Y$5,請求記録!$AD$6:$AD$3005,"保留中")&gt;0,"保留",IF(COUNTIFS(請求記録!$B$6:$B$3005,$A330,請求記録!$X$6:$X$3005,Y$5)=0,"",SUMIFS(請求記録!$AC$6:$AC$3005,請求記録!$B$6:$B$3005,$A330,請求記録!$X$6:$X$3005,Y$5))))</f>
        <v/>
      </c>
      <c r="Z330" s="19">
        <f>IF($A330="","",IF(COUNTIFS(請求記録!$B$6:$B$3005,$A330,請求記録!$X$6:$X$3005,Z$5,請求記録!$AD$6:$AD$3005,"保留中")&gt;0,"保留",IF(COUNTIFS(請求記録!$B$6:$B$3005,$A330,請求記録!$X$6:$X$3005,Z$5)=0,"",SUMIFS(請求記録!$AC$6:$AC$3005,請求記録!$B$6:$B$3005,$A330,請求記録!$X$6:$X$3005,Z$5))))</f>
        <v/>
      </c>
      <c r="AA330" s="19">
        <f>IF($A330="","",IF(COUNTIFS(請求記録!$B$6:$B$3005,$A330,請求記録!$X$6:$X$3005,AA$5,請求記録!$AD$6:$AD$3005,"保留中")&gt;0,"保留",IF(COUNTIFS(請求記録!$B$6:$B$3005,$A330,請求記録!$X$6:$X$3005,AA$5)=0,"",SUMIFS(請求記録!$AC$6:$AC$3005,請求記録!$B$6:$B$3005,$A330,請求記録!$X$6:$X$3005,AA$5))))</f>
        <v/>
      </c>
      <c r="AB330">
        <f>IF(職員マスタ!P330="保留中",職員マスタ!M330,"")</f>
        <v/>
      </c>
    </row>
    <row r="331">
      <c r="A331">
        <f>IF(職員マスタ!A331="","",職員マスタ!A331)</f>
        <v/>
      </c>
      <c r="B331">
        <f>IF($A331="","",職員マスタ!B331)</f>
        <v/>
      </c>
      <c r="C331">
        <f>IF($A331="","",職員マスタ!C331)</f>
        <v/>
      </c>
      <c r="D331" s="19">
        <f>IF($A331="","",IF(COUNTIFS(請求記録!$B$6:$B$3005,$A331,請求記録!$X$6:$X$3005,D$5,請求記録!$AD$6:$AD$3005,"保留中")&gt;0,"保留",IF(COUNTIFS(請求記録!$B$6:$B$3005,$A331,請求記録!$X$6:$X$3005,D$5)=0,"",SUMIFS(請求記録!$AC$6:$AC$3005,請求記録!$B$6:$B$3005,$A331,請求記録!$X$6:$X$3005,D$5))))</f>
        <v/>
      </c>
      <c r="E331" s="19">
        <f>IF($A331="","",IF(COUNTIFS(請求記録!$B$6:$B$3005,$A331,請求記録!$X$6:$X$3005,E$5,請求記録!$AD$6:$AD$3005,"保留中")&gt;0,"保留",IF(COUNTIFS(請求記録!$B$6:$B$3005,$A331,請求記録!$X$6:$X$3005,E$5)=0,"",SUMIFS(請求記録!$AC$6:$AC$3005,請求記録!$B$6:$B$3005,$A331,請求記録!$X$6:$X$3005,E$5))))</f>
        <v/>
      </c>
      <c r="F331" s="19">
        <f>IF($A331="","",IF(COUNTIFS(請求記録!$B$6:$B$3005,$A331,請求記録!$X$6:$X$3005,F$5,請求記録!$AD$6:$AD$3005,"保留中")&gt;0,"保留",IF(COUNTIFS(請求記録!$B$6:$B$3005,$A331,請求記録!$X$6:$X$3005,F$5)=0,"",SUMIFS(請求記録!$AC$6:$AC$3005,請求記録!$B$6:$B$3005,$A331,請求記録!$X$6:$X$3005,F$5))))</f>
        <v/>
      </c>
      <c r="G331" s="19">
        <f>IF($A331="","",IF(COUNTIFS(請求記録!$B$6:$B$3005,$A331,請求記録!$X$6:$X$3005,G$5,請求記録!$AD$6:$AD$3005,"保留中")&gt;0,"保留",IF(COUNTIFS(請求記録!$B$6:$B$3005,$A331,請求記録!$X$6:$X$3005,G$5)=0,"",SUMIFS(請求記録!$AC$6:$AC$3005,請求記録!$B$6:$B$3005,$A331,請求記録!$X$6:$X$3005,G$5))))</f>
        <v/>
      </c>
      <c r="H331" s="19">
        <f>IF($A331="","",IF(COUNTIFS(請求記録!$B$6:$B$3005,$A331,請求記録!$X$6:$X$3005,H$5,請求記録!$AD$6:$AD$3005,"保留中")&gt;0,"保留",IF(COUNTIFS(請求記録!$B$6:$B$3005,$A331,請求記録!$X$6:$X$3005,H$5)=0,"",SUMIFS(請求記録!$AC$6:$AC$3005,請求記録!$B$6:$B$3005,$A331,請求記録!$X$6:$X$3005,H$5))))</f>
        <v/>
      </c>
      <c r="I331" s="19">
        <f>IF($A331="","",IF(COUNTIFS(請求記録!$B$6:$B$3005,$A331,請求記録!$X$6:$X$3005,I$5,請求記録!$AD$6:$AD$3005,"保留中")&gt;0,"保留",IF(COUNTIFS(請求記録!$B$6:$B$3005,$A331,請求記録!$X$6:$X$3005,I$5)=0,"",SUMIFS(請求記録!$AC$6:$AC$3005,請求記録!$B$6:$B$3005,$A331,請求記録!$X$6:$X$3005,I$5))))</f>
        <v/>
      </c>
      <c r="J331" s="19">
        <f>IF($A331="","",IF(COUNTIFS(請求記録!$B$6:$B$3005,$A331,請求記録!$X$6:$X$3005,J$5,請求記録!$AD$6:$AD$3005,"保留中")&gt;0,"保留",IF(COUNTIFS(請求記録!$B$6:$B$3005,$A331,請求記録!$X$6:$X$3005,J$5)=0,"",SUMIFS(請求記録!$AC$6:$AC$3005,請求記録!$B$6:$B$3005,$A331,請求記録!$X$6:$X$3005,J$5))))</f>
        <v/>
      </c>
      <c r="K331" s="19">
        <f>IF($A331="","",IF(COUNTIFS(請求記録!$B$6:$B$3005,$A331,請求記録!$X$6:$X$3005,K$5,請求記録!$AD$6:$AD$3005,"保留中")&gt;0,"保留",IF(COUNTIFS(請求記録!$B$6:$B$3005,$A331,請求記録!$X$6:$X$3005,K$5)=0,"",SUMIFS(請求記録!$AC$6:$AC$3005,請求記録!$B$6:$B$3005,$A331,請求記録!$X$6:$X$3005,K$5))))</f>
        <v/>
      </c>
      <c r="L331" s="19">
        <f>IF($A331="","",IF(COUNTIFS(請求記録!$B$6:$B$3005,$A331,請求記録!$X$6:$X$3005,L$5,請求記録!$AD$6:$AD$3005,"保留中")&gt;0,"保留",IF(COUNTIFS(請求記録!$B$6:$B$3005,$A331,請求記録!$X$6:$X$3005,L$5)=0,"",SUMIFS(請求記録!$AC$6:$AC$3005,請求記録!$B$6:$B$3005,$A331,請求記録!$X$6:$X$3005,L$5))))</f>
        <v/>
      </c>
      <c r="M331" s="19">
        <f>IF($A331="","",IF(COUNTIFS(請求記録!$B$6:$B$3005,$A331,請求記録!$X$6:$X$3005,M$5,請求記録!$AD$6:$AD$3005,"保留中")&gt;0,"保留",IF(COUNTIFS(請求記録!$B$6:$B$3005,$A331,請求記録!$X$6:$X$3005,M$5)=0,"",SUMIFS(請求記録!$AC$6:$AC$3005,請求記録!$B$6:$B$3005,$A331,請求記録!$X$6:$X$3005,M$5))))</f>
        <v/>
      </c>
      <c r="N331" s="19">
        <f>IF($A331="","",IF(COUNTIFS(請求記録!$B$6:$B$3005,$A331,請求記録!$X$6:$X$3005,N$5,請求記録!$AD$6:$AD$3005,"保留中")&gt;0,"保留",IF(COUNTIFS(請求記録!$B$6:$B$3005,$A331,請求記録!$X$6:$X$3005,N$5)=0,"",SUMIFS(請求記録!$AC$6:$AC$3005,請求記録!$B$6:$B$3005,$A331,請求記録!$X$6:$X$3005,N$5))))</f>
        <v/>
      </c>
      <c r="O331" s="19">
        <f>IF($A331="","",IF(COUNTIFS(請求記録!$B$6:$B$3005,$A331,請求記録!$X$6:$X$3005,O$5,請求記録!$AD$6:$AD$3005,"保留中")&gt;0,"保留",IF(COUNTIFS(請求記録!$B$6:$B$3005,$A331,請求記録!$X$6:$X$3005,O$5)=0,"",SUMIFS(請求記録!$AC$6:$AC$3005,請求記録!$B$6:$B$3005,$A331,請求記録!$X$6:$X$3005,O$5))))</f>
        <v/>
      </c>
      <c r="P331" s="19">
        <f>IF($A331="","",IF(COUNTIFS(請求記録!$B$6:$B$3005,$A331,請求記録!$X$6:$X$3005,P$5,請求記録!$AD$6:$AD$3005,"保留中")&gt;0,"保留",IF(COUNTIFS(請求記録!$B$6:$B$3005,$A331,請求記録!$X$6:$X$3005,P$5)=0,"",SUMIFS(請求記録!$AC$6:$AC$3005,請求記録!$B$6:$B$3005,$A331,請求記録!$X$6:$X$3005,P$5))))</f>
        <v/>
      </c>
      <c r="Q331" s="19">
        <f>IF($A331="","",IF(COUNTIFS(請求記録!$B$6:$B$3005,$A331,請求記録!$X$6:$X$3005,Q$5,請求記録!$AD$6:$AD$3005,"保留中")&gt;0,"保留",IF(COUNTIFS(請求記録!$B$6:$B$3005,$A331,請求記録!$X$6:$X$3005,Q$5)=0,"",SUMIFS(請求記録!$AC$6:$AC$3005,請求記録!$B$6:$B$3005,$A331,請求記録!$X$6:$X$3005,Q$5))))</f>
        <v/>
      </c>
      <c r="R331" s="19">
        <f>IF($A331="","",IF(COUNTIFS(請求記録!$B$6:$B$3005,$A331,請求記録!$X$6:$X$3005,R$5,請求記録!$AD$6:$AD$3005,"保留中")&gt;0,"保留",IF(COUNTIFS(請求記録!$B$6:$B$3005,$A331,請求記録!$X$6:$X$3005,R$5)=0,"",SUMIFS(請求記録!$AC$6:$AC$3005,請求記録!$B$6:$B$3005,$A331,請求記録!$X$6:$X$3005,R$5))))</f>
        <v/>
      </c>
      <c r="S331" s="19">
        <f>IF($A331="","",IF(COUNTIFS(請求記録!$B$6:$B$3005,$A331,請求記録!$X$6:$X$3005,S$5,請求記録!$AD$6:$AD$3005,"保留中")&gt;0,"保留",IF(COUNTIFS(請求記録!$B$6:$B$3005,$A331,請求記録!$X$6:$X$3005,S$5)=0,"",SUMIFS(請求記録!$AC$6:$AC$3005,請求記録!$B$6:$B$3005,$A331,請求記録!$X$6:$X$3005,S$5))))</f>
        <v/>
      </c>
      <c r="T331" s="19">
        <f>IF($A331="","",IF(COUNTIFS(請求記録!$B$6:$B$3005,$A331,請求記録!$X$6:$X$3005,T$5,請求記録!$AD$6:$AD$3005,"保留中")&gt;0,"保留",IF(COUNTIFS(請求記録!$B$6:$B$3005,$A331,請求記録!$X$6:$X$3005,T$5)=0,"",SUMIFS(請求記録!$AC$6:$AC$3005,請求記録!$B$6:$B$3005,$A331,請求記録!$X$6:$X$3005,T$5))))</f>
        <v/>
      </c>
      <c r="U331" s="19">
        <f>IF($A331="","",IF(COUNTIFS(請求記録!$B$6:$B$3005,$A331,請求記録!$X$6:$X$3005,U$5,請求記録!$AD$6:$AD$3005,"保留中")&gt;0,"保留",IF(COUNTIFS(請求記録!$B$6:$B$3005,$A331,請求記録!$X$6:$X$3005,U$5)=0,"",SUMIFS(請求記録!$AC$6:$AC$3005,請求記録!$B$6:$B$3005,$A331,請求記録!$X$6:$X$3005,U$5))))</f>
        <v/>
      </c>
      <c r="V331" s="19">
        <f>IF($A331="","",IF(COUNTIFS(請求記録!$B$6:$B$3005,$A331,請求記録!$X$6:$X$3005,V$5,請求記録!$AD$6:$AD$3005,"保留中")&gt;0,"保留",IF(COUNTIFS(請求記録!$B$6:$B$3005,$A331,請求記録!$X$6:$X$3005,V$5)=0,"",SUMIFS(請求記録!$AC$6:$AC$3005,請求記録!$B$6:$B$3005,$A331,請求記録!$X$6:$X$3005,V$5))))</f>
        <v/>
      </c>
      <c r="W331" s="19">
        <f>IF($A331="","",IF(COUNTIFS(請求記録!$B$6:$B$3005,$A331,請求記録!$X$6:$X$3005,W$5,請求記録!$AD$6:$AD$3005,"保留中")&gt;0,"保留",IF(COUNTIFS(請求記録!$B$6:$B$3005,$A331,請求記録!$X$6:$X$3005,W$5)=0,"",SUMIFS(請求記録!$AC$6:$AC$3005,請求記録!$B$6:$B$3005,$A331,請求記録!$X$6:$X$3005,W$5))))</f>
        <v/>
      </c>
      <c r="X331" s="19">
        <f>IF($A331="","",IF(COUNTIFS(請求記録!$B$6:$B$3005,$A331,請求記録!$X$6:$X$3005,X$5,請求記録!$AD$6:$AD$3005,"保留中")&gt;0,"保留",IF(COUNTIFS(請求記録!$B$6:$B$3005,$A331,請求記録!$X$6:$X$3005,X$5)=0,"",SUMIFS(請求記録!$AC$6:$AC$3005,請求記録!$B$6:$B$3005,$A331,請求記録!$X$6:$X$3005,X$5))))</f>
        <v/>
      </c>
      <c r="Y331" s="19">
        <f>IF($A331="","",IF(COUNTIFS(請求記録!$B$6:$B$3005,$A331,請求記録!$X$6:$X$3005,Y$5,請求記録!$AD$6:$AD$3005,"保留中")&gt;0,"保留",IF(COUNTIFS(請求記録!$B$6:$B$3005,$A331,請求記録!$X$6:$X$3005,Y$5)=0,"",SUMIFS(請求記録!$AC$6:$AC$3005,請求記録!$B$6:$B$3005,$A331,請求記録!$X$6:$X$3005,Y$5))))</f>
        <v/>
      </c>
      <c r="Z331" s="19">
        <f>IF($A331="","",IF(COUNTIFS(請求記録!$B$6:$B$3005,$A331,請求記録!$X$6:$X$3005,Z$5,請求記録!$AD$6:$AD$3005,"保留中")&gt;0,"保留",IF(COUNTIFS(請求記録!$B$6:$B$3005,$A331,請求記録!$X$6:$X$3005,Z$5)=0,"",SUMIFS(請求記録!$AC$6:$AC$3005,請求記録!$B$6:$B$3005,$A331,請求記録!$X$6:$X$3005,Z$5))))</f>
        <v/>
      </c>
      <c r="AA331" s="19">
        <f>IF($A331="","",IF(COUNTIFS(請求記録!$B$6:$B$3005,$A331,請求記録!$X$6:$X$3005,AA$5,請求記録!$AD$6:$AD$3005,"保留中")&gt;0,"保留",IF(COUNTIFS(請求記録!$B$6:$B$3005,$A331,請求記録!$X$6:$X$3005,AA$5)=0,"",SUMIFS(請求記録!$AC$6:$AC$3005,請求記録!$B$6:$B$3005,$A331,請求記録!$X$6:$X$3005,AA$5))))</f>
        <v/>
      </c>
      <c r="AB331">
        <f>IF(職員マスタ!P331="保留中",職員マスタ!M331,"")</f>
        <v/>
      </c>
    </row>
    <row r="332">
      <c r="A332">
        <f>IF(職員マスタ!A332="","",職員マスタ!A332)</f>
        <v/>
      </c>
      <c r="B332">
        <f>IF($A332="","",職員マスタ!B332)</f>
        <v/>
      </c>
      <c r="C332">
        <f>IF($A332="","",職員マスタ!C332)</f>
        <v/>
      </c>
      <c r="D332" s="19">
        <f>IF($A332="","",IF(COUNTIFS(請求記録!$B$6:$B$3005,$A332,請求記録!$X$6:$X$3005,D$5,請求記録!$AD$6:$AD$3005,"保留中")&gt;0,"保留",IF(COUNTIFS(請求記録!$B$6:$B$3005,$A332,請求記録!$X$6:$X$3005,D$5)=0,"",SUMIFS(請求記録!$AC$6:$AC$3005,請求記録!$B$6:$B$3005,$A332,請求記録!$X$6:$X$3005,D$5))))</f>
        <v/>
      </c>
      <c r="E332" s="19">
        <f>IF($A332="","",IF(COUNTIFS(請求記録!$B$6:$B$3005,$A332,請求記録!$X$6:$X$3005,E$5,請求記録!$AD$6:$AD$3005,"保留中")&gt;0,"保留",IF(COUNTIFS(請求記録!$B$6:$B$3005,$A332,請求記録!$X$6:$X$3005,E$5)=0,"",SUMIFS(請求記録!$AC$6:$AC$3005,請求記録!$B$6:$B$3005,$A332,請求記録!$X$6:$X$3005,E$5))))</f>
        <v/>
      </c>
      <c r="F332" s="19">
        <f>IF($A332="","",IF(COUNTIFS(請求記録!$B$6:$B$3005,$A332,請求記録!$X$6:$X$3005,F$5,請求記録!$AD$6:$AD$3005,"保留中")&gt;0,"保留",IF(COUNTIFS(請求記録!$B$6:$B$3005,$A332,請求記録!$X$6:$X$3005,F$5)=0,"",SUMIFS(請求記録!$AC$6:$AC$3005,請求記録!$B$6:$B$3005,$A332,請求記録!$X$6:$X$3005,F$5))))</f>
        <v/>
      </c>
      <c r="G332" s="19">
        <f>IF($A332="","",IF(COUNTIFS(請求記録!$B$6:$B$3005,$A332,請求記録!$X$6:$X$3005,G$5,請求記録!$AD$6:$AD$3005,"保留中")&gt;0,"保留",IF(COUNTIFS(請求記録!$B$6:$B$3005,$A332,請求記録!$X$6:$X$3005,G$5)=0,"",SUMIFS(請求記録!$AC$6:$AC$3005,請求記録!$B$6:$B$3005,$A332,請求記録!$X$6:$X$3005,G$5))))</f>
        <v/>
      </c>
      <c r="H332" s="19">
        <f>IF($A332="","",IF(COUNTIFS(請求記録!$B$6:$B$3005,$A332,請求記録!$X$6:$X$3005,H$5,請求記録!$AD$6:$AD$3005,"保留中")&gt;0,"保留",IF(COUNTIFS(請求記録!$B$6:$B$3005,$A332,請求記録!$X$6:$X$3005,H$5)=0,"",SUMIFS(請求記録!$AC$6:$AC$3005,請求記録!$B$6:$B$3005,$A332,請求記録!$X$6:$X$3005,H$5))))</f>
        <v/>
      </c>
      <c r="I332" s="19">
        <f>IF($A332="","",IF(COUNTIFS(請求記録!$B$6:$B$3005,$A332,請求記録!$X$6:$X$3005,I$5,請求記録!$AD$6:$AD$3005,"保留中")&gt;0,"保留",IF(COUNTIFS(請求記録!$B$6:$B$3005,$A332,請求記録!$X$6:$X$3005,I$5)=0,"",SUMIFS(請求記録!$AC$6:$AC$3005,請求記録!$B$6:$B$3005,$A332,請求記録!$X$6:$X$3005,I$5))))</f>
        <v/>
      </c>
      <c r="J332" s="19">
        <f>IF($A332="","",IF(COUNTIFS(請求記録!$B$6:$B$3005,$A332,請求記録!$X$6:$X$3005,J$5,請求記録!$AD$6:$AD$3005,"保留中")&gt;0,"保留",IF(COUNTIFS(請求記録!$B$6:$B$3005,$A332,請求記録!$X$6:$X$3005,J$5)=0,"",SUMIFS(請求記録!$AC$6:$AC$3005,請求記録!$B$6:$B$3005,$A332,請求記録!$X$6:$X$3005,J$5))))</f>
        <v/>
      </c>
      <c r="K332" s="19">
        <f>IF($A332="","",IF(COUNTIFS(請求記録!$B$6:$B$3005,$A332,請求記録!$X$6:$X$3005,K$5,請求記録!$AD$6:$AD$3005,"保留中")&gt;0,"保留",IF(COUNTIFS(請求記録!$B$6:$B$3005,$A332,請求記録!$X$6:$X$3005,K$5)=0,"",SUMIFS(請求記録!$AC$6:$AC$3005,請求記録!$B$6:$B$3005,$A332,請求記録!$X$6:$X$3005,K$5))))</f>
        <v/>
      </c>
      <c r="L332" s="19">
        <f>IF($A332="","",IF(COUNTIFS(請求記録!$B$6:$B$3005,$A332,請求記録!$X$6:$X$3005,L$5,請求記録!$AD$6:$AD$3005,"保留中")&gt;0,"保留",IF(COUNTIFS(請求記録!$B$6:$B$3005,$A332,請求記録!$X$6:$X$3005,L$5)=0,"",SUMIFS(請求記録!$AC$6:$AC$3005,請求記録!$B$6:$B$3005,$A332,請求記録!$X$6:$X$3005,L$5))))</f>
        <v/>
      </c>
      <c r="M332" s="19">
        <f>IF($A332="","",IF(COUNTIFS(請求記録!$B$6:$B$3005,$A332,請求記録!$X$6:$X$3005,M$5,請求記録!$AD$6:$AD$3005,"保留中")&gt;0,"保留",IF(COUNTIFS(請求記録!$B$6:$B$3005,$A332,請求記録!$X$6:$X$3005,M$5)=0,"",SUMIFS(請求記録!$AC$6:$AC$3005,請求記録!$B$6:$B$3005,$A332,請求記録!$X$6:$X$3005,M$5))))</f>
        <v/>
      </c>
      <c r="N332" s="19">
        <f>IF($A332="","",IF(COUNTIFS(請求記録!$B$6:$B$3005,$A332,請求記録!$X$6:$X$3005,N$5,請求記録!$AD$6:$AD$3005,"保留中")&gt;0,"保留",IF(COUNTIFS(請求記録!$B$6:$B$3005,$A332,請求記録!$X$6:$X$3005,N$5)=0,"",SUMIFS(請求記録!$AC$6:$AC$3005,請求記録!$B$6:$B$3005,$A332,請求記録!$X$6:$X$3005,N$5))))</f>
        <v/>
      </c>
      <c r="O332" s="19">
        <f>IF($A332="","",IF(COUNTIFS(請求記録!$B$6:$B$3005,$A332,請求記録!$X$6:$X$3005,O$5,請求記録!$AD$6:$AD$3005,"保留中")&gt;0,"保留",IF(COUNTIFS(請求記録!$B$6:$B$3005,$A332,請求記録!$X$6:$X$3005,O$5)=0,"",SUMIFS(請求記録!$AC$6:$AC$3005,請求記録!$B$6:$B$3005,$A332,請求記録!$X$6:$X$3005,O$5))))</f>
        <v/>
      </c>
      <c r="P332" s="19">
        <f>IF($A332="","",IF(COUNTIFS(請求記録!$B$6:$B$3005,$A332,請求記録!$X$6:$X$3005,P$5,請求記録!$AD$6:$AD$3005,"保留中")&gt;0,"保留",IF(COUNTIFS(請求記録!$B$6:$B$3005,$A332,請求記録!$X$6:$X$3005,P$5)=0,"",SUMIFS(請求記録!$AC$6:$AC$3005,請求記録!$B$6:$B$3005,$A332,請求記録!$X$6:$X$3005,P$5))))</f>
        <v/>
      </c>
      <c r="Q332" s="19">
        <f>IF($A332="","",IF(COUNTIFS(請求記録!$B$6:$B$3005,$A332,請求記録!$X$6:$X$3005,Q$5,請求記録!$AD$6:$AD$3005,"保留中")&gt;0,"保留",IF(COUNTIFS(請求記録!$B$6:$B$3005,$A332,請求記録!$X$6:$X$3005,Q$5)=0,"",SUMIFS(請求記録!$AC$6:$AC$3005,請求記録!$B$6:$B$3005,$A332,請求記録!$X$6:$X$3005,Q$5))))</f>
        <v/>
      </c>
      <c r="R332" s="19">
        <f>IF($A332="","",IF(COUNTIFS(請求記録!$B$6:$B$3005,$A332,請求記録!$X$6:$X$3005,R$5,請求記録!$AD$6:$AD$3005,"保留中")&gt;0,"保留",IF(COUNTIFS(請求記録!$B$6:$B$3005,$A332,請求記録!$X$6:$X$3005,R$5)=0,"",SUMIFS(請求記録!$AC$6:$AC$3005,請求記録!$B$6:$B$3005,$A332,請求記録!$X$6:$X$3005,R$5))))</f>
        <v/>
      </c>
      <c r="S332" s="19">
        <f>IF($A332="","",IF(COUNTIFS(請求記録!$B$6:$B$3005,$A332,請求記録!$X$6:$X$3005,S$5,請求記録!$AD$6:$AD$3005,"保留中")&gt;0,"保留",IF(COUNTIFS(請求記録!$B$6:$B$3005,$A332,請求記録!$X$6:$X$3005,S$5)=0,"",SUMIFS(請求記録!$AC$6:$AC$3005,請求記録!$B$6:$B$3005,$A332,請求記録!$X$6:$X$3005,S$5))))</f>
        <v/>
      </c>
      <c r="T332" s="19">
        <f>IF($A332="","",IF(COUNTIFS(請求記録!$B$6:$B$3005,$A332,請求記録!$X$6:$X$3005,T$5,請求記録!$AD$6:$AD$3005,"保留中")&gt;0,"保留",IF(COUNTIFS(請求記録!$B$6:$B$3005,$A332,請求記録!$X$6:$X$3005,T$5)=0,"",SUMIFS(請求記録!$AC$6:$AC$3005,請求記録!$B$6:$B$3005,$A332,請求記録!$X$6:$X$3005,T$5))))</f>
        <v/>
      </c>
      <c r="U332" s="19">
        <f>IF($A332="","",IF(COUNTIFS(請求記録!$B$6:$B$3005,$A332,請求記録!$X$6:$X$3005,U$5,請求記録!$AD$6:$AD$3005,"保留中")&gt;0,"保留",IF(COUNTIFS(請求記録!$B$6:$B$3005,$A332,請求記録!$X$6:$X$3005,U$5)=0,"",SUMIFS(請求記録!$AC$6:$AC$3005,請求記録!$B$6:$B$3005,$A332,請求記録!$X$6:$X$3005,U$5))))</f>
        <v/>
      </c>
      <c r="V332" s="19">
        <f>IF($A332="","",IF(COUNTIFS(請求記録!$B$6:$B$3005,$A332,請求記録!$X$6:$X$3005,V$5,請求記録!$AD$6:$AD$3005,"保留中")&gt;0,"保留",IF(COUNTIFS(請求記録!$B$6:$B$3005,$A332,請求記録!$X$6:$X$3005,V$5)=0,"",SUMIFS(請求記録!$AC$6:$AC$3005,請求記録!$B$6:$B$3005,$A332,請求記録!$X$6:$X$3005,V$5))))</f>
        <v/>
      </c>
      <c r="W332" s="19">
        <f>IF($A332="","",IF(COUNTIFS(請求記録!$B$6:$B$3005,$A332,請求記録!$X$6:$X$3005,W$5,請求記録!$AD$6:$AD$3005,"保留中")&gt;0,"保留",IF(COUNTIFS(請求記録!$B$6:$B$3005,$A332,請求記録!$X$6:$X$3005,W$5)=0,"",SUMIFS(請求記録!$AC$6:$AC$3005,請求記録!$B$6:$B$3005,$A332,請求記録!$X$6:$X$3005,W$5))))</f>
        <v/>
      </c>
      <c r="X332" s="19">
        <f>IF($A332="","",IF(COUNTIFS(請求記録!$B$6:$B$3005,$A332,請求記録!$X$6:$X$3005,X$5,請求記録!$AD$6:$AD$3005,"保留中")&gt;0,"保留",IF(COUNTIFS(請求記録!$B$6:$B$3005,$A332,請求記録!$X$6:$X$3005,X$5)=0,"",SUMIFS(請求記録!$AC$6:$AC$3005,請求記録!$B$6:$B$3005,$A332,請求記録!$X$6:$X$3005,X$5))))</f>
        <v/>
      </c>
      <c r="Y332" s="19">
        <f>IF($A332="","",IF(COUNTIFS(請求記録!$B$6:$B$3005,$A332,請求記録!$X$6:$X$3005,Y$5,請求記録!$AD$6:$AD$3005,"保留中")&gt;0,"保留",IF(COUNTIFS(請求記録!$B$6:$B$3005,$A332,請求記録!$X$6:$X$3005,Y$5)=0,"",SUMIFS(請求記録!$AC$6:$AC$3005,請求記録!$B$6:$B$3005,$A332,請求記録!$X$6:$X$3005,Y$5))))</f>
        <v/>
      </c>
      <c r="Z332" s="19">
        <f>IF($A332="","",IF(COUNTIFS(請求記録!$B$6:$B$3005,$A332,請求記録!$X$6:$X$3005,Z$5,請求記録!$AD$6:$AD$3005,"保留中")&gt;0,"保留",IF(COUNTIFS(請求記録!$B$6:$B$3005,$A332,請求記録!$X$6:$X$3005,Z$5)=0,"",SUMIFS(請求記録!$AC$6:$AC$3005,請求記録!$B$6:$B$3005,$A332,請求記録!$X$6:$X$3005,Z$5))))</f>
        <v/>
      </c>
      <c r="AA332" s="19">
        <f>IF($A332="","",IF(COUNTIFS(請求記録!$B$6:$B$3005,$A332,請求記録!$X$6:$X$3005,AA$5,請求記録!$AD$6:$AD$3005,"保留中")&gt;0,"保留",IF(COUNTIFS(請求記録!$B$6:$B$3005,$A332,請求記録!$X$6:$X$3005,AA$5)=0,"",SUMIFS(請求記録!$AC$6:$AC$3005,請求記録!$B$6:$B$3005,$A332,請求記録!$X$6:$X$3005,AA$5))))</f>
        <v/>
      </c>
      <c r="AB332">
        <f>IF(職員マスタ!P332="保留中",職員マスタ!M332,"")</f>
        <v/>
      </c>
    </row>
    <row r="333">
      <c r="A333">
        <f>IF(職員マスタ!A333="","",職員マスタ!A333)</f>
        <v/>
      </c>
      <c r="B333">
        <f>IF($A333="","",職員マスタ!B333)</f>
        <v/>
      </c>
      <c r="C333">
        <f>IF($A333="","",職員マスタ!C333)</f>
        <v/>
      </c>
      <c r="D333" s="19">
        <f>IF($A333="","",IF(COUNTIFS(請求記録!$B$6:$B$3005,$A333,請求記録!$X$6:$X$3005,D$5,請求記録!$AD$6:$AD$3005,"保留中")&gt;0,"保留",IF(COUNTIFS(請求記録!$B$6:$B$3005,$A333,請求記録!$X$6:$X$3005,D$5)=0,"",SUMIFS(請求記録!$AC$6:$AC$3005,請求記録!$B$6:$B$3005,$A333,請求記録!$X$6:$X$3005,D$5))))</f>
        <v/>
      </c>
      <c r="E333" s="19">
        <f>IF($A333="","",IF(COUNTIFS(請求記録!$B$6:$B$3005,$A333,請求記録!$X$6:$X$3005,E$5,請求記録!$AD$6:$AD$3005,"保留中")&gt;0,"保留",IF(COUNTIFS(請求記録!$B$6:$B$3005,$A333,請求記録!$X$6:$X$3005,E$5)=0,"",SUMIFS(請求記録!$AC$6:$AC$3005,請求記録!$B$6:$B$3005,$A333,請求記録!$X$6:$X$3005,E$5))))</f>
        <v/>
      </c>
      <c r="F333" s="19">
        <f>IF($A333="","",IF(COUNTIFS(請求記録!$B$6:$B$3005,$A333,請求記録!$X$6:$X$3005,F$5,請求記録!$AD$6:$AD$3005,"保留中")&gt;0,"保留",IF(COUNTIFS(請求記録!$B$6:$B$3005,$A333,請求記録!$X$6:$X$3005,F$5)=0,"",SUMIFS(請求記録!$AC$6:$AC$3005,請求記録!$B$6:$B$3005,$A333,請求記録!$X$6:$X$3005,F$5))))</f>
        <v/>
      </c>
      <c r="G333" s="19">
        <f>IF($A333="","",IF(COUNTIFS(請求記録!$B$6:$B$3005,$A333,請求記録!$X$6:$X$3005,G$5,請求記録!$AD$6:$AD$3005,"保留中")&gt;0,"保留",IF(COUNTIFS(請求記録!$B$6:$B$3005,$A333,請求記録!$X$6:$X$3005,G$5)=0,"",SUMIFS(請求記録!$AC$6:$AC$3005,請求記録!$B$6:$B$3005,$A333,請求記録!$X$6:$X$3005,G$5))))</f>
        <v/>
      </c>
      <c r="H333" s="19">
        <f>IF($A333="","",IF(COUNTIFS(請求記録!$B$6:$B$3005,$A333,請求記録!$X$6:$X$3005,H$5,請求記録!$AD$6:$AD$3005,"保留中")&gt;0,"保留",IF(COUNTIFS(請求記録!$B$6:$B$3005,$A333,請求記録!$X$6:$X$3005,H$5)=0,"",SUMIFS(請求記録!$AC$6:$AC$3005,請求記録!$B$6:$B$3005,$A333,請求記録!$X$6:$X$3005,H$5))))</f>
        <v/>
      </c>
      <c r="I333" s="19">
        <f>IF($A333="","",IF(COUNTIFS(請求記録!$B$6:$B$3005,$A333,請求記録!$X$6:$X$3005,I$5,請求記録!$AD$6:$AD$3005,"保留中")&gt;0,"保留",IF(COUNTIFS(請求記録!$B$6:$B$3005,$A333,請求記録!$X$6:$X$3005,I$5)=0,"",SUMIFS(請求記録!$AC$6:$AC$3005,請求記録!$B$6:$B$3005,$A333,請求記録!$X$6:$X$3005,I$5))))</f>
        <v/>
      </c>
      <c r="J333" s="19">
        <f>IF($A333="","",IF(COUNTIFS(請求記録!$B$6:$B$3005,$A333,請求記録!$X$6:$X$3005,J$5,請求記録!$AD$6:$AD$3005,"保留中")&gt;0,"保留",IF(COUNTIFS(請求記録!$B$6:$B$3005,$A333,請求記録!$X$6:$X$3005,J$5)=0,"",SUMIFS(請求記録!$AC$6:$AC$3005,請求記録!$B$6:$B$3005,$A333,請求記録!$X$6:$X$3005,J$5))))</f>
        <v/>
      </c>
      <c r="K333" s="19">
        <f>IF($A333="","",IF(COUNTIFS(請求記録!$B$6:$B$3005,$A333,請求記録!$X$6:$X$3005,K$5,請求記録!$AD$6:$AD$3005,"保留中")&gt;0,"保留",IF(COUNTIFS(請求記録!$B$6:$B$3005,$A333,請求記録!$X$6:$X$3005,K$5)=0,"",SUMIFS(請求記録!$AC$6:$AC$3005,請求記録!$B$6:$B$3005,$A333,請求記録!$X$6:$X$3005,K$5))))</f>
        <v/>
      </c>
      <c r="L333" s="19">
        <f>IF($A333="","",IF(COUNTIFS(請求記録!$B$6:$B$3005,$A333,請求記録!$X$6:$X$3005,L$5,請求記録!$AD$6:$AD$3005,"保留中")&gt;0,"保留",IF(COUNTIFS(請求記録!$B$6:$B$3005,$A333,請求記録!$X$6:$X$3005,L$5)=0,"",SUMIFS(請求記録!$AC$6:$AC$3005,請求記録!$B$6:$B$3005,$A333,請求記録!$X$6:$X$3005,L$5))))</f>
        <v/>
      </c>
      <c r="M333" s="19">
        <f>IF($A333="","",IF(COUNTIFS(請求記録!$B$6:$B$3005,$A333,請求記録!$X$6:$X$3005,M$5,請求記録!$AD$6:$AD$3005,"保留中")&gt;0,"保留",IF(COUNTIFS(請求記録!$B$6:$B$3005,$A333,請求記録!$X$6:$X$3005,M$5)=0,"",SUMIFS(請求記録!$AC$6:$AC$3005,請求記録!$B$6:$B$3005,$A333,請求記録!$X$6:$X$3005,M$5))))</f>
        <v/>
      </c>
      <c r="N333" s="19">
        <f>IF($A333="","",IF(COUNTIFS(請求記録!$B$6:$B$3005,$A333,請求記録!$X$6:$X$3005,N$5,請求記録!$AD$6:$AD$3005,"保留中")&gt;0,"保留",IF(COUNTIFS(請求記録!$B$6:$B$3005,$A333,請求記録!$X$6:$X$3005,N$5)=0,"",SUMIFS(請求記録!$AC$6:$AC$3005,請求記録!$B$6:$B$3005,$A333,請求記録!$X$6:$X$3005,N$5))))</f>
        <v/>
      </c>
      <c r="O333" s="19">
        <f>IF($A333="","",IF(COUNTIFS(請求記録!$B$6:$B$3005,$A333,請求記録!$X$6:$X$3005,O$5,請求記録!$AD$6:$AD$3005,"保留中")&gt;0,"保留",IF(COUNTIFS(請求記録!$B$6:$B$3005,$A333,請求記録!$X$6:$X$3005,O$5)=0,"",SUMIFS(請求記録!$AC$6:$AC$3005,請求記録!$B$6:$B$3005,$A333,請求記録!$X$6:$X$3005,O$5))))</f>
        <v/>
      </c>
      <c r="P333" s="19">
        <f>IF($A333="","",IF(COUNTIFS(請求記録!$B$6:$B$3005,$A333,請求記録!$X$6:$X$3005,P$5,請求記録!$AD$6:$AD$3005,"保留中")&gt;0,"保留",IF(COUNTIFS(請求記録!$B$6:$B$3005,$A333,請求記録!$X$6:$X$3005,P$5)=0,"",SUMIFS(請求記録!$AC$6:$AC$3005,請求記録!$B$6:$B$3005,$A333,請求記録!$X$6:$X$3005,P$5))))</f>
        <v/>
      </c>
      <c r="Q333" s="19">
        <f>IF($A333="","",IF(COUNTIFS(請求記録!$B$6:$B$3005,$A333,請求記録!$X$6:$X$3005,Q$5,請求記録!$AD$6:$AD$3005,"保留中")&gt;0,"保留",IF(COUNTIFS(請求記録!$B$6:$B$3005,$A333,請求記録!$X$6:$X$3005,Q$5)=0,"",SUMIFS(請求記録!$AC$6:$AC$3005,請求記録!$B$6:$B$3005,$A333,請求記録!$X$6:$X$3005,Q$5))))</f>
        <v/>
      </c>
      <c r="R333" s="19">
        <f>IF($A333="","",IF(COUNTIFS(請求記録!$B$6:$B$3005,$A333,請求記録!$X$6:$X$3005,R$5,請求記録!$AD$6:$AD$3005,"保留中")&gt;0,"保留",IF(COUNTIFS(請求記録!$B$6:$B$3005,$A333,請求記録!$X$6:$X$3005,R$5)=0,"",SUMIFS(請求記録!$AC$6:$AC$3005,請求記録!$B$6:$B$3005,$A333,請求記録!$X$6:$X$3005,R$5))))</f>
        <v/>
      </c>
      <c r="S333" s="19">
        <f>IF($A333="","",IF(COUNTIFS(請求記録!$B$6:$B$3005,$A333,請求記録!$X$6:$X$3005,S$5,請求記録!$AD$6:$AD$3005,"保留中")&gt;0,"保留",IF(COUNTIFS(請求記録!$B$6:$B$3005,$A333,請求記録!$X$6:$X$3005,S$5)=0,"",SUMIFS(請求記録!$AC$6:$AC$3005,請求記録!$B$6:$B$3005,$A333,請求記録!$X$6:$X$3005,S$5))))</f>
        <v/>
      </c>
      <c r="T333" s="19">
        <f>IF($A333="","",IF(COUNTIFS(請求記録!$B$6:$B$3005,$A333,請求記録!$X$6:$X$3005,T$5,請求記録!$AD$6:$AD$3005,"保留中")&gt;0,"保留",IF(COUNTIFS(請求記録!$B$6:$B$3005,$A333,請求記録!$X$6:$X$3005,T$5)=0,"",SUMIFS(請求記録!$AC$6:$AC$3005,請求記録!$B$6:$B$3005,$A333,請求記録!$X$6:$X$3005,T$5))))</f>
        <v/>
      </c>
      <c r="U333" s="19">
        <f>IF($A333="","",IF(COUNTIFS(請求記録!$B$6:$B$3005,$A333,請求記録!$X$6:$X$3005,U$5,請求記録!$AD$6:$AD$3005,"保留中")&gt;0,"保留",IF(COUNTIFS(請求記録!$B$6:$B$3005,$A333,請求記録!$X$6:$X$3005,U$5)=0,"",SUMIFS(請求記録!$AC$6:$AC$3005,請求記録!$B$6:$B$3005,$A333,請求記録!$X$6:$X$3005,U$5))))</f>
        <v/>
      </c>
      <c r="V333" s="19">
        <f>IF($A333="","",IF(COUNTIFS(請求記録!$B$6:$B$3005,$A333,請求記録!$X$6:$X$3005,V$5,請求記録!$AD$6:$AD$3005,"保留中")&gt;0,"保留",IF(COUNTIFS(請求記録!$B$6:$B$3005,$A333,請求記録!$X$6:$X$3005,V$5)=0,"",SUMIFS(請求記録!$AC$6:$AC$3005,請求記録!$B$6:$B$3005,$A333,請求記録!$X$6:$X$3005,V$5))))</f>
        <v/>
      </c>
      <c r="W333" s="19">
        <f>IF($A333="","",IF(COUNTIFS(請求記録!$B$6:$B$3005,$A333,請求記録!$X$6:$X$3005,W$5,請求記録!$AD$6:$AD$3005,"保留中")&gt;0,"保留",IF(COUNTIFS(請求記録!$B$6:$B$3005,$A333,請求記録!$X$6:$X$3005,W$5)=0,"",SUMIFS(請求記録!$AC$6:$AC$3005,請求記録!$B$6:$B$3005,$A333,請求記録!$X$6:$X$3005,W$5))))</f>
        <v/>
      </c>
      <c r="X333" s="19">
        <f>IF($A333="","",IF(COUNTIFS(請求記録!$B$6:$B$3005,$A333,請求記録!$X$6:$X$3005,X$5,請求記録!$AD$6:$AD$3005,"保留中")&gt;0,"保留",IF(COUNTIFS(請求記録!$B$6:$B$3005,$A333,請求記録!$X$6:$X$3005,X$5)=0,"",SUMIFS(請求記録!$AC$6:$AC$3005,請求記録!$B$6:$B$3005,$A333,請求記録!$X$6:$X$3005,X$5))))</f>
        <v/>
      </c>
      <c r="Y333" s="19">
        <f>IF($A333="","",IF(COUNTIFS(請求記録!$B$6:$B$3005,$A333,請求記録!$X$6:$X$3005,Y$5,請求記録!$AD$6:$AD$3005,"保留中")&gt;0,"保留",IF(COUNTIFS(請求記録!$B$6:$B$3005,$A333,請求記録!$X$6:$X$3005,Y$5)=0,"",SUMIFS(請求記録!$AC$6:$AC$3005,請求記録!$B$6:$B$3005,$A333,請求記録!$X$6:$X$3005,Y$5))))</f>
        <v/>
      </c>
      <c r="Z333" s="19">
        <f>IF($A333="","",IF(COUNTIFS(請求記録!$B$6:$B$3005,$A333,請求記録!$X$6:$X$3005,Z$5,請求記録!$AD$6:$AD$3005,"保留中")&gt;0,"保留",IF(COUNTIFS(請求記録!$B$6:$B$3005,$A333,請求記録!$X$6:$X$3005,Z$5)=0,"",SUMIFS(請求記録!$AC$6:$AC$3005,請求記録!$B$6:$B$3005,$A333,請求記録!$X$6:$X$3005,Z$5))))</f>
        <v/>
      </c>
      <c r="AA333" s="19">
        <f>IF($A333="","",IF(COUNTIFS(請求記録!$B$6:$B$3005,$A333,請求記録!$X$6:$X$3005,AA$5,請求記録!$AD$6:$AD$3005,"保留中")&gt;0,"保留",IF(COUNTIFS(請求記録!$B$6:$B$3005,$A333,請求記録!$X$6:$X$3005,AA$5)=0,"",SUMIFS(請求記録!$AC$6:$AC$3005,請求記録!$B$6:$B$3005,$A333,請求記録!$X$6:$X$3005,AA$5))))</f>
        <v/>
      </c>
      <c r="AB333">
        <f>IF(職員マスタ!P333="保留中",職員マスタ!M333,"")</f>
        <v/>
      </c>
    </row>
    <row r="334">
      <c r="A334">
        <f>IF(職員マスタ!A334="","",職員マスタ!A334)</f>
        <v/>
      </c>
      <c r="B334">
        <f>IF($A334="","",職員マスタ!B334)</f>
        <v/>
      </c>
      <c r="C334">
        <f>IF($A334="","",職員マスタ!C334)</f>
        <v/>
      </c>
      <c r="D334" s="19">
        <f>IF($A334="","",IF(COUNTIFS(請求記録!$B$6:$B$3005,$A334,請求記録!$X$6:$X$3005,D$5,請求記録!$AD$6:$AD$3005,"保留中")&gt;0,"保留",IF(COUNTIFS(請求記録!$B$6:$B$3005,$A334,請求記録!$X$6:$X$3005,D$5)=0,"",SUMIFS(請求記録!$AC$6:$AC$3005,請求記録!$B$6:$B$3005,$A334,請求記録!$X$6:$X$3005,D$5))))</f>
        <v/>
      </c>
      <c r="E334" s="19">
        <f>IF($A334="","",IF(COUNTIFS(請求記録!$B$6:$B$3005,$A334,請求記録!$X$6:$X$3005,E$5,請求記録!$AD$6:$AD$3005,"保留中")&gt;0,"保留",IF(COUNTIFS(請求記録!$B$6:$B$3005,$A334,請求記録!$X$6:$X$3005,E$5)=0,"",SUMIFS(請求記録!$AC$6:$AC$3005,請求記録!$B$6:$B$3005,$A334,請求記録!$X$6:$X$3005,E$5))))</f>
        <v/>
      </c>
      <c r="F334" s="19">
        <f>IF($A334="","",IF(COUNTIFS(請求記録!$B$6:$B$3005,$A334,請求記録!$X$6:$X$3005,F$5,請求記録!$AD$6:$AD$3005,"保留中")&gt;0,"保留",IF(COUNTIFS(請求記録!$B$6:$B$3005,$A334,請求記録!$X$6:$X$3005,F$5)=0,"",SUMIFS(請求記録!$AC$6:$AC$3005,請求記録!$B$6:$B$3005,$A334,請求記録!$X$6:$X$3005,F$5))))</f>
        <v/>
      </c>
      <c r="G334" s="19">
        <f>IF($A334="","",IF(COUNTIFS(請求記録!$B$6:$B$3005,$A334,請求記録!$X$6:$X$3005,G$5,請求記録!$AD$6:$AD$3005,"保留中")&gt;0,"保留",IF(COUNTIFS(請求記録!$B$6:$B$3005,$A334,請求記録!$X$6:$X$3005,G$5)=0,"",SUMIFS(請求記録!$AC$6:$AC$3005,請求記録!$B$6:$B$3005,$A334,請求記録!$X$6:$X$3005,G$5))))</f>
        <v/>
      </c>
      <c r="H334" s="19">
        <f>IF($A334="","",IF(COUNTIFS(請求記録!$B$6:$B$3005,$A334,請求記録!$X$6:$X$3005,H$5,請求記録!$AD$6:$AD$3005,"保留中")&gt;0,"保留",IF(COUNTIFS(請求記録!$B$6:$B$3005,$A334,請求記録!$X$6:$X$3005,H$5)=0,"",SUMIFS(請求記録!$AC$6:$AC$3005,請求記録!$B$6:$B$3005,$A334,請求記録!$X$6:$X$3005,H$5))))</f>
        <v/>
      </c>
      <c r="I334" s="19">
        <f>IF($A334="","",IF(COUNTIFS(請求記録!$B$6:$B$3005,$A334,請求記録!$X$6:$X$3005,I$5,請求記録!$AD$6:$AD$3005,"保留中")&gt;0,"保留",IF(COUNTIFS(請求記録!$B$6:$B$3005,$A334,請求記録!$X$6:$X$3005,I$5)=0,"",SUMIFS(請求記録!$AC$6:$AC$3005,請求記録!$B$6:$B$3005,$A334,請求記録!$X$6:$X$3005,I$5))))</f>
        <v/>
      </c>
      <c r="J334" s="19">
        <f>IF($A334="","",IF(COUNTIFS(請求記録!$B$6:$B$3005,$A334,請求記録!$X$6:$X$3005,J$5,請求記録!$AD$6:$AD$3005,"保留中")&gt;0,"保留",IF(COUNTIFS(請求記録!$B$6:$B$3005,$A334,請求記録!$X$6:$X$3005,J$5)=0,"",SUMIFS(請求記録!$AC$6:$AC$3005,請求記録!$B$6:$B$3005,$A334,請求記録!$X$6:$X$3005,J$5))))</f>
        <v/>
      </c>
      <c r="K334" s="19">
        <f>IF($A334="","",IF(COUNTIFS(請求記録!$B$6:$B$3005,$A334,請求記録!$X$6:$X$3005,K$5,請求記録!$AD$6:$AD$3005,"保留中")&gt;0,"保留",IF(COUNTIFS(請求記録!$B$6:$B$3005,$A334,請求記録!$X$6:$X$3005,K$5)=0,"",SUMIFS(請求記録!$AC$6:$AC$3005,請求記録!$B$6:$B$3005,$A334,請求記録!$X$6:$X$3005,K$5))))</f>
        <v/>
      </c>
      <c r="L334" s="19">
        <f>IF($A334="","",IF(COUNTIFS(請求記録!$B$6:$B$3005,$A334,請求記録!$X$6:$X$3005,L$5,請求記録!$AD$6:$AD$3005,"保留中")&gt;0,"保留",IF(COUNTIFS(請求記録!$B$6:$B$3005,$A334,請求記録!$X$6:$X$3005,L$5)=0,"",SUMIFS(請求記録!$AC$6:$AC$3005,請求記録!$B$6:$B$3005,$A334,請求記録!$X$6:$X$3005,L$5))))</f>
        <v/>
      </c>
      <c r="M334" s="19">
        <f>IF($A334="","",IF(COUNTIFS(請求記録!$B$6:$B$3005,$A334,請求記録!$X$6:$X$3005,M$5,請求記録!$AD$6:$AD$3005,"保留中")&gt;0,"保留",IF(COUNTIFS(請求記録!$B$6:$B$3005,$A334,請求記録!$X$6:$X$3005,M$5)=0,"",SUMIFS(請求記録!$AC$6:$AC$3005,請求記録!$B$6:$B$3005,$A334,請求記録!$X$6:$X$3005,M$5))))</f>
        <v/>
      </c>
      <c r="N334" s="19">
        <f>IF($A334="","",IF(COUNTIFS(請求記録!$B$6:$B$3005,$A334,請求記録!$X$6:$X$3005,N$5,請求記録!$AD$6:$AD$3005,"保留中")&gt;0,"保留",IF(COUNTIFS(請求記録!$B$6:$B$3005,$A334,請求記録!$X$6:$X$3005,N$5)=0,"",SUMIFS(請求記録!$AC$6:$AC$3005,請求記録!$B$6:$B$3005,$A334,請求記録!$X$6:$X$3005,N$5))))</f>
        <v/>
      </c>
      <c r="O334" s="19">
        <f>IF($A334="","",IF(COUNTIFS(請求記録!$B$6:$B$3005,$A334,請求記録!$X$6:$X$3005,O$5,請求記録!$AD$6:$AD$3005,"保留中")&gt;0,"保留",IF(COUNTIFS(請求記録!$B$6:$B$3005,$A334,請求記録!$X$6:$X$3005,O$5)=0,"",SUMIFS(請求記録!$AC$6:$AC$3005,請求記録!$B$6:$B$3005,$A334,請求記録!$X$6:$X$3005,O$5))))</f>
        <v/>
      </c>
      <c r="P334" s="19">
        <f>IF($A334="","",IF(COUNTIFS(請求記録!$B$6:$B$3005,$A334,請求記録!$X$6:$X$3005,P$5,請求記録!$AD$6:$AD$3005,"保留中")&gt;0,"保留",IF(COUNTIFS(請求記録!$B$6:$B$3005,$A334,請求記録!$X$6:$X$3005,P$5)=0,"",SUMIFS(請求記録!$AC$6:$AC$3005,請求記録!$B$6:$B$3005,$A334,請求記録!$X$6:$X$3005,P$5))))</f>
        <v/>
      </c>
      <c r="Q334" s="19">
        <f>IF($A334="","",IF(COUNTIFS(請求記録!$B$6:$B$3005,$A334,請求記録!$X$6:$X$3005,Q$5,請求記録!$AD$6:$AD$3005,"保留中")&gt;0,"保留",IF(COUNTIFS(請求記録!$B$6:$B$3005,$A334,請求記録!$X$6:$X$3005,Q$5)=0,"",SUMIFS(請求記録!$AC$6:$AC$3005,請求記録!$B$6:$B$3005,$A334,請求記録!$X$6:$X$3005,Q$5))))</f>
        <v/>
      </c>
      <c r="R334" s="19">
        <f>IF($A334="","",IF(COUNTIFS(請求記録!$B$6:$B$3005,$A334,請求記録!$X$6:$X$3005,R$5,請求記録!$AD$6:$AD$3005,"保留中")&gt;0,"保留",IF(COUNTIFS(請求記録!$B$6:$B$3005,$A334,請求記録!$X$6:$X$3005,R$5)=0,"",SUMIFS(請求記録!$AC$6:$AC$3005,請求記録!$B$6:$B$3005,$A334,請求記録!$X$6:$X$3005,R$5))))</f>
        <v/>
      </c>
      <c r="S334" s="19">
        <f>IF($A334="","",IF(COUNTIFS(請求記録!$B$6:$B$3005,$A334,請求記録!$X$6:$X$3005,S$5,請求記録!$AD$6:$AD$3005,"保留中")&gt;0,"保留",IF(COUNTIFS(請求記録!$B$6:$B$3005,$A334,請求記録!$X$6:$X$3005,S$5)=0,"",SUMIFS(請求記録!$AC$6:$AC$3005,請求記録!$B$6:$B$3005,$A334,請求記録!$X$6:$X$3005,S$5))))</f>
        <v/>
      </c>
      <c r="T334" s="19">
        <f>IF($A334="","",IF(COUNTIFS(請求記録!$B$6:$B$3005,$A334,請求記録!$X$6:$X$3005,T$5,請求記録!$AD$6:$AD$3005,"保留中")&gt;0,"保留",IF(COUNTIFS(請求記録!$B$6:$B$3005,$A334,請求記録!$X$6:$X$3005,T$5)=0,"",SUMIFS(請求記録!$AC$6:$AC$3005,請求記録!$B$6:$B$3005,$A334,請求記録!$X$6:$X$3005,T$5))))</f>
        <v/>
      </c>
      <c r="U334" s="19">
        <f>IF($A334="","",IF(COUNTIFS(請求記録!$B$6:$B$3005,$A334,請求記録!$X$6:$X$3005,U$5,請求記録!$AD$6:$AD$3005,"保留中")&gt;0,"保留",IF(COUNTIFS(請求記録!$B$6:$B$3005,$A334,請求記録!$X$6:$X$3005,U$5)=0,"",SUMIFS(請求記録!$AC$6:$AC$3005,請求記録!$B$6:$B$3005,$A334,請求記録!$X$6:$X$3005,U$5))))</f>
        <v/>
      </c>
      <c r="V334" s="19">
        <f>IF($A334="","",IF(COUNTIFS(請求記録!$B$6:$B$3005,$A334,請求記録!$X$6:$X$3005,V$5,請求記録!$AD$6:$AD$3005,"保留中")&gt;0,"保留",IF(COUNTIFS(請求記録!$B$6:$B$3005,$A334,請求記録!$X$6:$X$3005,V$5)=0,"",SUMIFS(請求記録!$AC$6:$AC$3005,請求記録!$B$6:$B$3005,$A334,請求記録!$X$6:$X$3005,V$5))))</f>
        <v/>
      </c>
      <c r="W334" s="19">
        <f>IF($A334="","",IF(COUNTIFS(請求記録!$B$6:$B$3005,$A334,請求記録!$X$6:$X$3005,W$5,請求記録!$AD$6:$AD$3005,"保留中")&gt;0,"保留",IF(COUNTIFS(請求記録!$B$6:$B$3005,$A334,請求記録!$X$6:$X$3005,W$5)=0,"",SUMIFS(請求記録!$AC$6:$AC$3005,請求記録!$B$6:$B$3005,$A334,請求記録!$X$6:$X$3005,W$5))))</f>
        <v/>
      </c>
      <c r="X334" s="19">
        <f>IF($A334="","",IF(COUNTIFS(請求記録!$B$6:$B$3005,$A334,請求記録!$X$6:$X$3005,X$5,請求記録!$AD$6:$AD$3005,"保留中")&gt;0,"保留",IF(COUNTIFS(請求記録!$B$6:$B$3005,$A334,請求記録!$X$6:$X$3005,X$5)=0,"",SUMIFS(請求記録!$AC$6:$AC$3005,請求記録!$B$6:$B$3005,$A334,請求記録!$X$6:$X$3005,X$5))))</f>
        <v/>
      </c>
      <c r="Y334" s="19">
        <f>IF($A334="","",IF(COUNTIFS(請求記録!$B$6:$B$3005,$A334,請求記録!$X$6:$X$3005,Y$5,請求記録!$AD$6:$AD$3005,"保留中")&gt;0,"保留",IF(COUNTIFS(請求記録!$B$6:$B$3005,$A334,請求記録!$X$6:$X$3005,Y$5)=0,"",SUMIFS(請求記録!$AC$6:$AC$3005,請求記録!$B$6:$B$3005,$A334,請求記録!$X$6:$X$3005,Y$5))))</f>
        <v/>
      </c>
      <c r="Z334" s="19">
        <f>IF($A334="","",IF(COUNTIFS(請求記録!$B$6:$B$3005,$A334,請求記録!$X$6:$X$3005,Z$5,請求記録!$AD$6:$AD$3005,"保留中")&gt;0,"保留",IF(COUNTIFS(請求記録!$B$6:$B$3005,$A334,請求記録!$X$6:$X$3005,Z$5)=0,"",SUMIFS(請求記録!$AC$6:$AC$3005,請求記録!$B$6:$B$3005,$A334,請求記録!$X$6:$X$3005,Z$5))))</f>
        <v/>
      </c>
      <c r="AA334" s="19">
        <f>IF($A334="","",IF(COUNTIFS(請求記録!$B$6:$B$3005,$A334,請求記録!$X$6:$X$3005,AA$5,請求記録!$AD$6:$AD$3005,"保留中")&gt;0,"保留",IF(COUNTIFS(請求記録!$B$6:$B$3005,$A334,請求記録!$X$6:$X$3005,AA$5)=0,"",SUMIFS(請求記録!$AC$6:$AC$3005,請求記録!$B$6:$B$3005,$A334,請求記録!$X$6:$X$3005,AA$5))))</f>
        <v/>
      </c>
      <c r="AB334">
        <f>IF(職員マスタ!P334="保留中",職員マスタ!M334,"")</f>
        <v/>
      </c>
    </row>
    <row r="335">
      <c r="A335">
        <f>IF(職員マスタ!A335="","",職員マスタ!A335)</f>
        <v/>
      </c>
      <c r="B335">
        <f>IF($A335="","",職員マスタ!B335)</f>
        <v/>
      </c>
      <c r="C335">
        <f>IF($A335="","",職員マスタ!C335)</f>
        <v/>
      </c>
      <c r="D335" s="19">
        <f>IF($A335="","",IF(COUNTIFS(請求記録!$B$6:$B$3005,$A335,請求記録!$X$6:$X$3005,D$5,請求記録!$AD$6:$AD$3005,"保留中")&gt;0,"保留",IF(COUNTIFS(請求記録!$B$6:$B$3005,$A335,請求記録!$X$6:$X$3005,D$5)=0,"",SUMIFS(請求記録!$AC$6:$AC$3005,請求記録!$B$6:$B$3005,$A335,請求記録!$X$6:$X$3005,D$5))))</f>
        <v/>
      </c>
      <c r="E335" s="19">
        <f>IF($A335="","",IF(COUNTIFS(請求記録!$B$6:$B$3005,$A335,請求記録!$X$6:$X$3005,E$5,請求記録!$AD$6:$AD$3005,"保留中")&gt;0,"保留",IF(COUNTIFS(請求記録!$B$6:$B$3005,$A335,請求記録!$X$6:$X$3005,E$5)=0,"",SUMIFS(請求記録!$AC$6:$AC$3005,請求記録!$B$6:$B$3005,$A335,請求記録!$X$6:$X$3005,E$5))))</f>
        <v/>
      </c>
      <c r="F335" s="19">
        <f>IF($A335="","",IF(COUNTIFS(請求記録!$B$6:$B$3005,$A335,請求記録!$X$6:$X$3005,F$5,請求記録!$AD$6:$AD$3005,"保留中")&gt;0,"保留",IF(COUNTIFS(請求記録!$B$6:$B$3005,$A335,請求記録!$X$6:$X$3005,F$5)=0,"",SUMIFS(請求記録!$AC$6:$AC$3005,請求記録!$B$6:$B$3005,$A335,請求記録!$X$6:$X$3005,F$5))))</f>
        <v/>
      </c>
      <c r="G335" s="19">
        <f>IF($A335="","",IF(COUNTIFS(請求記録!$B$6:$B$3005,$A335,請求記録!$X$6:$X$3005,G$5,請求記録!$AD$6:$AD$3005,"保留中")&gt;0,"保留",IF(COUNTIFS(請求記録!$B$6:$B$3005,$A335,請求記録!$X$6:$X$3005,G$5)=0,"",SUMIFS(請求記録!$AC$6:$AC$3005,請求記録!$B$6:$B$3005,$A335,請求記録!$X$6:$X$3005,G$5))))</f>
        <v/>
      </c>
      <c r="H335" s="19">
        <f>IF($A335="","",IF(COUNTIFS(請求記録!$B$6:$B$3005,$A335,請求記録!$X$6:$X$3005,H$5,請求記録!$AD$6:$AD$3005,"保留中")&gt;0,"保留",IF(COUNTIFS(請求記録!$B$6:$B$3005,$A335,請求記録!$X$6:$X$3005,H$5)=0,"",SUMIFS(請求記録!$AC$6:$AC$3005,請求記録!$B$6:$B$3005,$A335,請求記録!$X$6:$X$3005,H$5))))</f>
        <v/>
      </c>
      <c r="I335" s="19">
        <f>IF($A335="","",IF(COUNTIFS(請求記録!$B$6:$B$3005,$A335,請求記録!$X$6:$X$3005,I$5,請求記録!$AD$6:$AD$3005,"保留中")&gt;0,"保留",IF(COUNTIFS(請求記録!$B$6:$B$3005,$A335,請求記録!$X$6:$X$3005,I$5)=0,"",SUMIFS(請求記録!$AC$6:$AC$3005,請求記録!$B$6:$B$3005,$A335,請求記録!$X$6:$X$3005,I$5))))</f>
        <v/>
      </c>
      <c r="J335" s="19">
        <f>IF($A335="","",IF(COUNTIFS(請求記録!$B$6:$B$3005,$A335,請求記録!$X$6:$X$3005,J$5,請求記録!$AD$6:$AD$3005,"保留中")&gt;0,"保留",IF(COUNTIFS(請求記録!$B$6:$B$3005,$A335,請求記録!$X$6:$X$3005,J$5)=0,"",SUMIFS(請求記録!$AC$6:$AC$3005,請求記録!$B$6:$B$3005,$A335,請求記録!$X$6:$X$3005,J$5))))</f>
        <v/>
      </c>
      <c r="K335" s="19">
        <f>IF($A335="","",IF(COUNTIFS(請求記録!$B$6:$B$3005,$A335,請求記録!$X$6:$X$3005,K$5,請求記録!$AD$6:$AD$3005,"保留中")&gt;0,"保留",IF(COUNTIFS(請求記録!$B$6:$B$3005,$A335,請求記録!$X$6:$X$3005,K$5)=0,"",SUMIFS(請求記録!$AC$6:$AC$3005,請求記録!$B$6:$B$3005,$A335,請求記録!$X$6:$X$3005,K$5))))</f>
        <v/>
      </c>
      <c r="L335" s="19">
        <f>IF($A335="","",IF(COUNTIFS(請求記録!$B$6:$B$3005,$A335,請求記録!$X$6:$X$3005,L$5,請求記録!$AD$6:$AD$3005,"保留中")&gt;0,"保留",IF(COUNTIFS(請求記録!$B$6:$B$3005,$A335,請求記録!$X$6:$X$3005,L$5)=0,"",SUMIFS(請求記録!$AC$6:$AC$3005,請求記録!$B$6:$B$3005,$A335,請求記録!$X$6:$X$3005,L$5))))</f>
        <v/>
      </c>
      <c r="M335" s="19">
        <f>IF($A335="","",IF(COUNTIFS(請求記録!$B$6:$B$3005,$A335,請求記録!$X$6:$X$3005,M$5,請求記録!$AD$6:$AD$3005,"保留中")&gt;0,"保留",IF(COUNTIFS(請求記録!$B$6:$B$3005,$A335,請求記録!$X$6:$X$3005,M$5)=0,"",SUMIFS(請求記録!$AC$6:$AC$3005,請求記録!$B$6:$B$3005,$A335,請求記録!$X$6:$X$3005,M$5))))</f>
        <v/>
      </c>
      <c r="N335" s="19">
        <f>IF($A335="","",IF(COUNTIFS(請求記録!$B$6:$B$3005,$A335,請求記録!$X$6:$X$3005,N$5,請求記録!$AD$6:$AD$3005,"保留中")&gt;0,"保留",IF(COUNTIFS(請求記録!$B$6:$B$3005,$A335,請求記録!$X$6:$X$3005,N$5)=0,"",SUMIFS(請求記録!$AC$6:$AC$3005,請求記録!$B$6:$B$3005,$A335,請求記録!$X$6:$X$3005,N$5))))</f>
        <v/>
      </c>
      <c r="O335" s="19">
        <f>IF($A335="","",IF(COUNTIFS(請求記録!$B$6:$B$3005,$A335,請求記録!$X$6:$X$3005,O$5,請求記録!$AD$6:$AD$3005,"保留中")&gt;0,"保留",IF(COUNTIFS(請求記録!$B$6:$B$3005,$A335,請求記録!$X$6:$X$3005,O$5)=0,"",SUMIFS(請求記録!$AC$6:$AC$3005,請求記録!$B$6:$B$3005,$A335,請求記録!$X$6:$X$3005,O$5))))</f>
        <v/>
      </c>
      <c r="P335" s="19">
        <f>IF($A335="","",IF(COUNTIFS(請求記録!$B$6:$B$3005,$A335,請求記録!$X$6:$X$3005,P$5,請求記録!$AD$6:$AD$3005,"保留中")&gt;0,"保留",IF(COUNTIFS(請求記録!$B$6:$B$3005,$A335,請求記録!$X$6:$X$3005,P$5)=0,"",SUMIFS(請求記録!$AC$6:$AC$3005,請求記録!$B$6:$B$3005,$A335,請求記録!$X$6:$X$3005,P$5))))</f>
        <v/>
      </c>
      <c r="Q335" s="19">
        <f>IF($A335="","",IF(COUNTIFS(請求記録!$B$6:$B$3005,$A335,請求記録!$X$6:$X$3005,Q$5,請求記録!$AD$6:$AD$3005,"保留中")&gt;0,"保留",IF(COUNTIFS(請求記録!$B$6:$B$3005,$A335,請求記録!$X$6:$X$3005,Q$5)=0,"",SUMIFS(請求記録!$AC$6:$AC$3005,請求記録!$B$6:$B$3005,$A335,請求記録!$X$6:$X$3005,Q$5))))</f>
        <v/>
      </c>
      <c r="R335" s="19">
        <f>IF($A335="","",IF(COUNTIFS(請求記録!$B$6:$B$3005,$A335,請求記録!$X$6:$X$3005,R$5,請求記録!$AD$6:$AD$3005,"保留中")&gt;0,"保留",IF(COUNTIFS(請求記録!$B$6:$B$3005,$A335,請求記録!$X$6:$X$3005,R$5)=0,"",SUMIFS(請求記録!$AC$6:$AC$3005,請求記録!$B$6:$B$3005,$A335,請求記録!$X$6:$X$3005,R$5))))</f>
        <v/>
      </c>
      <c r="S335" s="19">
        <f>IF($A335="","",IF(COUNTIFS(請求記録!$B$6:$B$3005,$A335,請求記録!$X$6:$X$3005,S$5,請求記録!$AD$6:$AD$3005,"保留中")&gt;0,"保留",IF(COUNTIFS(請求記録!$B$6:$B$3005,$A335,請求記録!$X$6:$X$3005,S$5)=0,"",SUMIFS(請求記録!$AC$6:$AC$3005,請求記録!$B$6:$B$3005,$A335,請求記録!$X$6:$X$3005,S$5))))</f>
        <v/>
      </c>
      <c r="T335" s="19">
        <f>IF($A335="","",IF(COUNTIFS(請求記録!$B$6:$B$3005,$A335,請求記録!$X$6:$X$3005,T$5,請求記録!$AD$6:$AD$3005,"保留中")&gt;0,"保留",IF(COUNTIFS(請求記録!$B$6:$B$3005,$A335,請求記録!$X$6:$X$3005,T$5)=0,"",SUMIFS(請求記録!$AC$6:$AC$3005,請求記録!$B$6:$B$3005,$A335,請求記録!$X$6:$X$3005,T$5))))</f>
        <v/>
      </c>
      <c r="U335" s="19">
        <f>IF($A335="","",IF(COUNTIFS(請求記録!$B$6:$B$3005,$A335,請求記録!$X$6:$X$3005,U$5,請求記録!$AD$6:$AD$3005,"保留中")&gt;0,"保留",IF(COUNTIFS(請求記録!$B$6:$B$3005,$A335,請求記録!$X$6:$X$3005,U$5)=0,"",SUMIFS(請求記録!$AC$6:$AC$3005,請求記録!$B$6:$B$3005,$A335,請求記録!$X$6:$X$3005,U$5))))</f>
        <v/>
      </c>
      <c r="V335" s="19">
        <f>IF($A335="","",IF(COUNTIFS(請求記録!$B$6:$B$3005,$A335,請求記録!$X$6:$X$3005,V$5,請求記録!$AD$6:$AD$3005,"保留中")&gt;0,"保留",IF(COUNTIFS(請求記録!$B$6:$B$3005,$A335,請求記録!$X$6:$X$3005,V$5)=0,"",SUMIFS(請求記録!$AC$6:$AC$3005,請求記録!$B$6:$B$3005,$A335,請求記録!$X$6:$X$3005,V$5))))</f>
        <v/>
      </c>
      <c r="W335" s="19">
        <f>IF($A335="","",IF(COUNTIFS(請求記録!$B$6:$B$3005,$A335,請求記録!$X$6:$X$3005,W$5,請求記録!$AD$6:$AD$3005,"保留中")&gt;0,"保留",IF(COUNTIFS(請求記録!$B$6:$B$3005,$A335,請求記録!$X$6:$X$3005,W$5)=0,"",SUMIFS(請求記録!$AC$6:$AC$3005,請求記録!$B$6:$B$3005,$A335,請求記録!$X$6:$X$3005,W$5))))</f>
        <v/>
      </c>
      <c r="X335" s="19">
        <f>IF($A335="","",IF(COUNTIFS(請求記録!$B$6:$B$3005,$A335,請求記録!$X$6:$X$3005,X$5,請求記録!$AD$6:$AD$3005,"保留中")&gt;0,"保留",IF(COUNTIFS(請求記録!$B$6:$B$3005,$A335,請求記録!$X$6:$X$3005,X$5)=0,"",SUMIFS(請求記録!$AC$6:$AC$3005,請求記録!$B$6:$B$3005,$A335,請求記録!$X$6:$X$3005,X$5))))</f>
        <v/>
      </c>
      <c r="Y335" s="19">
        <f>IF($A335="","",IF(COUNTIFS(請求記録!$B$6:$B$3005,$A335,請求記録!$X$6:$X$3005,Y$5,請求記録!$AD$6:$AD$3005,"保留中")&gt;0,"保留",IF(COUNTIFS(請求記録!$B$6:$B$3005,$A335,請求記録!$X$6:$X$3005,Y$5)=0,"",SUMIFS(請求記録!$AC$6:$AC$3005,請求記録!$B$6:$B$3005,$A335,請求記録!$X$6:$X$3005,Y$5))))</f>
        <v/>
      </c>
      <c r="Z335" s="19">
        <f>IF($A335="","",IF(COUNTIFS(請求記録!$B$6:$B$3005,$A335,請求記録!$X$6:$X$3005,Z$5,請求記録!$AD$6:$AD$3005,"保留中")&gt;0,"保留",IF(COUNTIFS(請求記録!$B$6:$B$3005,$A335,請求記録!$X$6:$X$3005,Z$5)=0,"",SUMIFS(請求記録!$AC$6:$AC$3005,請求記録!$B$6:$B$3005,$A335,請求記録!$X$6:$X$3005,Z$5))))</f>
        <v/>
      </c>
      <c r="AA335" s="19">
        <f>IF($A335="","",IF(COUNTIFS(請求記録!$B$6:$B$3005,$A335,請求記録!$X$6:$X$3005,AA$5,請求記録!$AD$6:$AD$3005,"保留中")&gt;0,"保留",IF(COUNTIFS(請求記録!$B$6:$B$3005,$A335,請求記録!$X$6:$X$3005,AA$5)=0,"",SUMIFS(請求記録!$AC$6:$AC$3005,請求記録!$B$6:$B$3005,$A335,請求記録!$X$6:$X$3005,AA$5))))</f>
        <v/>
      </c>
      <c r="AB335">
        <f>IF(職員マスタ!P335="保留中",職員マスタ!M335,"")</f>
        <v/>
      </c>
    </row>
    <row r="336">
      <c r="A336">
        <f>IF(職員マスタ!A336="","",職員マスタ!A336)</f>
        <v/>
      </c>
      <c r="B336">
        <f>IF($A336="","",職員マスタ!B336)</f>
        <v/>
      </c>
      <c r="C336">
        <f>IF($A336="","",職員マスタ!C336)</f>
        <v/>
      </c>
      <c r="D336" s="19">
        <f>IF($A336="","",IF(COUNTIFS(請求記録!$B$6:$B$3005,$A336,請求記録!$X$6:$X$3005,D$5,請求記録!$AD$6:$AD$3005,"保留中")&gt;0,"保留",IF(COUNTIFS(請求記録!$B$6:$B$3005,$A336,請求記録!$X$6:$X$3005,D$5)=0,"",SUMIFS(請求記録!$AC$6:$AC$3005,請求記録!$B$6:$B$3005,$A336,請求記録!$X$6:$X$3005,D$5))))</f>
        <v/>
      </c>
      <c r="E336" s="19">
        <f>IF($A336="","",IF(COUNTIFS(請求記録!$B$6:$B$3005,$A336,請求記録!$X$6:$X$3005,E$5,請求記録!$AD$6:$AD$3005,"保留中")&gt;0,"保留",IF(COUNTIFS(請求記録!$B$6:$B$3005,$A336,請求記録!$X$6:$X$3005,E$5)=0,"",SUMIFS(請求記録!$AC$6:$AC$3005,請求記録!$B$6:$B$3005,$A336,請求記録!$X$6:$X$3005,E$5))))</f>
        <v/>
      </c>
      <c r="F336" s="19">
        <f>IF($A336="","",IF(COUNTIFS(請求記録!$B$6:$B$3005,$A336,請求記録!$X$6:$X$3005,F$5,請求記録!$AD$6:$AD$3005,"保留中")&gt;0,"保留",IF(COUNTIFS(請求記録!$B$6:$B$3005,$A336,請求記録!$X$6:$X$3005,F$5)=0,"",SUMIFS(請求記録!$AC$6:$AC$3005,請求記録!$B$6:$B$3005,$A336,請求記録!$X$6:$X$3005,F$5))))</f>
        <v/>
      </c>
      <c r="G336" s="19">
        <f>IF($A336="","",IF(COUNTIFS(請求記録!$B$6:$B$3005,$A336,請求記録!$X$6:$X$3005,G$5,請求記録!$AD$6:$AD$3005,"保留中")&gt;0,"保留",IF(COUNTIFS(請求記録!$B$6:$B$3005,$A336,請求記録!$X$6:$X$3005,G$5)=0,"",SUMIFS(請求記録!$AC$6:$AC$3005,請求記録!$B$6:$B$3005,$A336,請求記録!$X$6:$X$3005,G$5))))</f>
        <v/>
      </c>
      <c r="H336" s="19">
        <f>IF($A336="","",IF(COUNTIFS(請求記録!$B$6:$B$3005,$A336,請求記録!$X$6:$X$3005,H$5,請求記録!$AD$6:$AD$3005,"保留中")&gt;0,"保留",IF(COUNTIFS(請求記録!$B$6:$B$3005,$A336,請求記録!$X$6:$X$3005,H$5)=0,"",SUMIFS(請求記録!$AC$6:$AC$3005,請求記録!$B$6:$B$3005,$A336,請求記録!$X$6:$X$3005,H$5))))</f>
        <v/>
      </c>
      <c r="I336" s="19">
        <f>IF($A336="","",IF(COUNTIFS(請求記録!$B$6:$B$3005,$A336,請求記録!$X$6:$X$3005,I$5,請求記録!$AD$6:$AD$3005,"保留中")&gt;0,"保留",IF(COUNTIFS(請求記録!$B$6:$B$3005,$A336,請求記録!$X$6:$X$3005,I$5)=0,"",SUMIFS(請求記録!$AC$6:$AC$3005,請求記録!$B$6:$B$3005,$A336,請求記録!$X$6:$X$3005,I$5))))</f>
        <v/>
      </c>
      <c r="J336" s="19">
        <f>IF($A336="","",IF(COUNTIFS(請求記録!$B$6:$B$3005,$A336,請求記録!$X$6:$X$3005,J$5,請求記録!$AD$6:$AD$3005,"保留中")&gt;0,"保留",IF(COUNTIFS(請求記録!$B$6:$B$3005,$A336,請求記録!$X$6:$X$3005,J$5)=0,"",SUMIFS(請求記録!$AC$6:$AC$3005,請求記録!$B$6:$B$3005,$A336,請求記録!$X$6:$X$3005,J$5))))</f>
        <v/>
      </c>
      <c r="K336" s="19">
        <f>IF($A336="","",IF(COUNTIFS(請求記録!$B$6:$B$3005,$A336,請求記録!$X$6:$X$3005,K$5,請求記録!$AD$6:$AD$3005,"保留中")&gt;0,"保留",IF(COUNTIFS(請求記録!$B$6:$B$3005,$A336,請求記録!$X$6:$X$3005,K$5)=0,"",SUMIFS(請求記録!$AC$6:$AC$3005,請求記録!$B$6:$B$3005,$A336,請求記録!$X$6:$X$3005,K$5))))</f>
        <v/>
      </c>
      <c r="L336" s="19">
        <f>IF($A336="","",IF(COUNTIFS(請求記録!$B$6:$B$3005,$A336,請求記録!$X$6:$X$3005,L$5,請求記録!$AD$6:$AD$3005,"保留中")&gt;0,"保留",IF(COUNTIFS(請求記録!$B$6:$B$3005,$A336,請求記録!$X$6:$X$3005,L$5)=0,"",SUMIFS(請求記録!$AC$6:$AC$3005,請求記録!$B$6:$B$3005,$A336,請求記録!$X$6:$X$3005,L$5))))</f>
        <v/>
      </c>
      <c r="M336" s="19">
        <f>IF($A336="","",IF(COUNTIFS(請求記録!$B$6:$B$3005,$A336,請求記録!$X$6:$X$3005,M$5,請求記録!$AD$6:$AD$3005,"保留中")&gt;0,"保留",IF(COUNTIFS(請求記録!$B$6:$B$3005,$A336,請求記録!$X$6:$X$3005,M$5)=0,"",SUMIFS(請求記録!$AC$6:$AC$3005,請求記録!$B$6:$B$3005,$A336,請求記録!$X$6:$X$3005,M$5))))</f>
        <v/>
      </c>
      <c r="N336" s="19">
        <f>IF($A336="","",IF(COUNTIFS(請求記録!$B$6:$B$3005,$A336,請求記録!$X$6:$X$3005,N$5,請求記録!$AD$6:$AD$3005,"保留中")&gt;0,"保留",IF(COUNTIFS(請求記録!$B$6:$B$3005,$A336,請求記録!$X$6:$X$3005,N$5)=0,"",SUMIFS(請求記録!$AC$6:$AC$3005,請求記録!$B$6:$B$3005,$A336,請求記録!$X$6:$X$3005,N$5))))</f>
        <v/>
      </c>
      <c r="O336" s="19">
        <f>IF($A336="","",IF(COUNTIFS(請求記録!$B$6:$B$3005,$A336,請求記録!$X$6:$X$3005,O$5,請求記録!$AD$6:$AD$3005,"保留中")&gt;0,"保留",IF(COUNTIFS(請求記録!$B$6:$B$3005,$A336,請求記録!$X$6:$X$3005,O$5)=0,"",SUMIFS(請求記録!$AC$6:$AC$3005,請求記録!$B$6:$B$3005,$A336,請求記録!$X$6:$X$3005,O$5))))</f>
        <v/>
      </c>
      <c r="P336" s="19">
        <f>IF($A336="","",IF(COUNTIFS(請求記録!$B$6:$B$3005,$A336,請求記録!$X$6:$X$3005,P$5,請求記録!$AD$6:$AD$3005,"保留中")&gt;0,"保留",IF(COUNTIFS(請求記録!$B$6:$B$3005,$A336,請求記録!$X$6:$X$3005,P$5)=0,"",SUMIFS(請求記録!$AC$6:$AC$3005,請求記録!$B$6:$B$3005,$A336,請求記録!$X$6:$X$3005,P$5))))</f>
        <v/>
      </c>
      <c r="Q336" s="19">
        <f>IF($A336="","",IF(COUNTIFS(請求記録!$B$6:$B$3005,$A336,請求記録!$X$6:$X$3005,Q$5,請求記録!$AD$6:$AD$3005,"保留中")&gt;0,"保留",IF(COUNTIFS(請求記録!$B$6:$B$3005,$A336,請求記録!$X$6:$X$3005,Q$5)=0,"",SUMIFS(請求記録!$AC$6:$AC$3005,請求記録!$B$6:$B$3005,$A336,請求記録!$X$6:$X$3005,Q$5))))</f>
        <v/>
      </c>
      <c r="R336" s="19">
        <f>IF($A336="","",IF(COUNTIFS(請求記録!$B$6:$B$3005,$A336,請求記録!$X$6:$X$3005,R$5,請求記録!$AD$6:$AD$3005,"保留中")&gt;0,"保留",IF(COUNTIFS(請求記録!$B$6:$B$3005,$A336,請求記録!$X$6:$X$3005,R$5)=0,"",SUMIFS(請求記録!$AC$6:$AC$3005,請求記録!$B$6:$B$3005,$A336,請求記録!$X$6:$X$3005,R$5))))</f>
        <v/>
      </c>
      <c r="S336" s="19">
        <f>IF($A336="","",IF(COUNTIFS(請求記録!$B$6:$B$3005,$A336,請求記録!$X$6:$X$3005,S$5,請求記録!$AD$6:$AD$3005,"保留中")&gt;0,"保留",IF(COUNTIFS(請求記録!$B$6:$B$3005,$A336,請求記録!$X$6:$X$3005,S$5)=0,"",SUMIFS(請求記録!$AC$6:$AC$3005,請求記録!$B$6:$B$3005,$A336,請求記録!$X$6:$X$3005,S$5))))</f>
        <v/>
      </c>
      <c r="T336" s="19">
        <f>IF($A336="","",IF(COUNTIFS(請求記録!$B$6:$B$3005,$A336,請求記録!$X$6:$X$3005,T$5,請求記録!$AD$6:$AD$3005,"保留中")&gt;0,"保留",IF(COUNTIFS(請求記録!$B$6:$B$3005,$A336,請求記録!$X$6:$X$3005,T$5)=0,"",SUMIFS(請求記録!$AC$6:$AC$3005,請求記録!$B$6:$B$3005,$A336,請求記録!$X$6:$X$3005,T$5))))</f>
        <v/>
      </c>
      <c r="U336" s="19">
        <f>IF($A336="","",IF(COUNTIFS(請求記録!$B$6:$B$3005,$A336,請求記録!$X$6:$X$3005,U$5,請求記録!$AD$6:$AD$3005,"保留中")&gt;0,"保留",IF(COUNTIFS(請求記録!$B$6:$B$3005,$A336,請求記録!$X$6:$X$3005,U$5)=0,"",SUMIFS(請求記録!$AC$6:$AC$3005,請求記録!$B$6:$B$3005,$A336,請求記録!$X$6:$X$3005,U$5))))</f>
        <v/>
      </c>
      <c r="V336" s="19">
        <f>IF($A336="","",IF(COUNTIFS(請求記録!$B$6:$B$3005,$A336,請求記録!$X$6:$X$3005,V$5,請求記録!$AD$6:$AD$3005,"保留中")&gt;0,"保留",IF(COUNTIFS(請求記録!$B$6:$B$3005,$A336,請求記録!$X$6:$X$3005,V$5)=0,"",SUMIFS(請求記録!$AC$6:$AC$3005,請求記録!$B$6:$B$3005,$A336,請求記録!$X$6:$X$3005,V$5))))</f>
        <v/>
      </c>
      <c r="W336" s="19">
        <f>IF($A336="","",IF(COUNTIFS(請求記録!$B$6:$B$3005,$A336,請求記録!$X$6:$X$3005,W$5,請求記録!$AD$6:$AD$3005,"保留中")&gt;0,"保留",IF(COUNTIFS(請求記録!$B$6:$B$3005,$A336,請求記録!$X$6:$X$3005,W$5)=0,"",SUMIFS(請求記録!$AC$6:$AC$3005,請求記録!$B$6:$B$3005,$A336,請求記録!$X$6:$X$3005,W$5))))</f>
        <v/>
      </c>
      <c r="X336" s="19">
        <f>IF($A336="","",IF(COUNTIFS(請求記録!$B$6:$B$3005,$A336,請求記録!$X$6:$X$3005,X$5,請求記録!$AD$6:$AD$3005,"保留中")&gt;0,"保留",IF(COUNTIFS(請求記録!$B$6:$B$3005,$A336,請求記録!$X$6:$X$3005,X$5)=0,"",SUMIFS(請求記録!$AC$6:$AC$3005,請求記録!$B$6:$B$3005,$A336,請求記録!$X$6:$X$3005,X$5))))</f>
        <v/>
      </c>
      <c r="Y336" s="19">
        <f>IF($A336="","",IF(COUNTIFS(請求記録!$B$6:$B$3005,$A336,請求記録!$X$6:$X$3005,Y$5,請求記録!$AD$6:$AD$3005,"保留中")&gt;0,"保留",IF(COUNTIFS(請求記録!$B$6:$B$3005,$A336,請求記録!$X$6:$X$3005,Y$5)=0,"",SUMIFS(請求記録!$AC$6:$AC$3005,請求記録!$B$6:$B$3005,$A336,請求記録!$X$6:$X$3005,Y$5))))</f>
        <v/>
      </c>
      <c r="Z336" s="19">
        <f>IF($A336="","",IF(COUNTIFS(請求記録!$B$6:$B$3005,$A336,請求記録!$X$6:$X$3005,Z$5,請求記録!$AD$6:$AD$3005,"保留中")&gt;0,"保留",IF(COUNTIFS(請求記録!$B$6:$B$3005,$A336,請求記録!$X$6:$X$3005,Z$5)=0,"",SUMIFS(請求記録!$AC$6:$AC$3005,請求記録!$B$6:$B$3005,$A336,請求記録!$X$6:$X$3005,Z$5))))</f>
        <v/>
      </c>
      <c r="AA336" s="19">
        <f>IF($A336="","",IF(COUNTIFS(請求記録!$B$6:$B$3005,$A336,請求記録!$X$6:$X$3005,AA$5,請求記録!$AD$6:$AD$3005,"保留中")&gt;0,"保留",IF(COUNTIFS(請求記録!$B$6:$B$3005,$A336,請求記録!$X$6:$X$3005,AA$5)=0,"",SUMIFS(請求記録!$AC$6:$AC$3005,請求記録!$B$6:$B$3005,$A336,請求記録!$X$6:$X$3005,AA$5))))</f>
        <v/>
      </c>
      <c r="AB336">
        <f>IF(職員マスタ!P336="保留中",職員マスタ!M336,"")</f>
        <v/>
      </c>
    </row>
    <row r="337">
      <c r="A337">
        <f>IF(職員マスタ!A337="","",職員マスタ!A337)</f>
        <v/>
      </c>
      <c r="B337">
        <f>IF($A337="","",職員マスタ!B337)</f>
        <v/>
      </c>
      <c r="C337">
        <f>IF($A337="","",職員マスタ!C337)</f>
        <v/>
      </c>
      <c r="D337" s="19">
        <f>IF($A337="","",IF(COUNTIFS(請求記録!$B$6:$B$3005,$A337,請求記録!$X$6:$X$3005,D$5,請求記録!$AD$6:$AD$3005,"保留中")&gt;0,"保留",IF(COUNTIFS(請求記録!$B$6:$B$3005,$A337,請求記録!$X$6:$X$3005,D$5)=0,"",SUMIFS(請求記録!$AC$6:$AC$3005,請求記録!$B$6:$B$3005,$A337,請求記録!$X$6:$X$3005,D$5))))</f>
        <v/>
      </c>
      <c r="E337" s="19">
        <f>IF($A337="","",IF(COUNTIFS(請求記録!$B$6:$B$3005,$A337,請求記録!$X$6:$X$3005,E$5,請求記録!$AD$6:$AD$3005,"保留中")&gt;0,"保留",IF(COUNTIFS(請求記録!$B$6:$B$3005,$A337,請求記録!$X$6:$X$3005,E$5)=0,"",SUMIFS(請求記録!$AC$6:$AC$3005,請求記録!$B$6:$B$3005,$A337,請求記録!$X$6:$X$3005,E$5))))</f>
        <v/>
      </c>
      <c r="F337" s="19">
        <f>IF($A337="","",IF(COUNTIFS(請求記録!$B$6:$B$3005,$A337,請求記録!$X$6:$X$3005,F$5,請求記録!$AD$6:$AD$3005,"保留中")&gt;0,"保留",IF(COUNTIFS(請求記録!$B$6:$B$3005,$A337,請求記録!$X$6:$X$3005,F$5)=0,"",SUMIFS(請求記録!$AC$6:$AC$3005,請求記録!$B$6:$B$3005,$A337,請求記録!$X$6:$X$3005,F$5))))</f>
        <v/>
      </c>
      <c r="G337" s="19">
        <f>IF($A337="","",IF(COUNTIFS(請求記録!$B$6:$B$3005,$A337,請求記録!$X$6:$X$3005,G$5,請求記録!$AD$6:$AD$3005,"保留中")&gt;0,"保留",IF(COUNTIFS(請求記録!$B$6:$B$3005,$A337,請求記録!$X$6:$X$3005,G$5)=0,"",SUMIFS(請求記録!$AC$6:$AC$3005,請求記録!$B$6:$B$3005,$A337,請求記録!$X$6:$X$3005,G$5))))</f>
        <v/>
      </c>
      <c r="H337" s="19">
        <f>IF($A337="","",IF(COUNTIFS(請求記録!$B$6:$B$3005,$A337,請求記録!$X$6:$X$3005,H$5,請求記録!$AD$6:$AD$3005,"保留中")&gt;0,"保留",IF(COUNTIFS(請求記録!$B$6:$B$3005,$A337,請求記録!$X$6:$X$3005,H$5)=0,"",SUMIFS(請求記録!$AC$6:$AC$3005,請求記録!$B$6:$B$3005,$A337,請求記録!$X$6:$X$3005,H$5))))</f>
        <v/>
      </c>
      <c r="I337" s="19">
        <f>IF($A337="","",IF(COUNTIFS(請求記録!$B$6:$B$3005,$A337,請求記録!$X$6:$X$3005,I$5,請求記録!$AD$6:$AD$3005,"保留中")&gt;0,"保留",IF(COUNTIFS(請求記録!$B$6:$B$3005,$A337,請求記録!$X$6:$X$3005,I$5)=0,"",SUMIFS(請求記録!$AC$6:$AC$3005,請求記録!$B$6:$B$3005,$A337,請求記録!$X$6:$X$3005,I$5))))</f>
        <v/>
      </c>
      <c r="J337" s="19">
        <f>IF($A337="","",IF(COUNTIFS(請求記録!$B$6:$B$3005,$A337,請求記録!$X$6:$X$3005,J$5,請求記録!$AD$6:$AD$3005,"保留中")&gt;0,"保留",IF(COUNTIFS(請求記録!$B$6:$B$3005,$A337,請求記録!$X$6:$X$3005,J$5)=0,"",SUMIFS(請求記録!$AC$6:$AC$3005,請求記録!$B$6:$B$3005,$A337,請求記録!$X$6:$X$3005,J$5))))</f>
        <v/>
      </c>
      <c r="K337" s="19">
        <f>IF($A337="","",IF(COUNTIFS(請求記録!$B$6:$B$3005,$A337,請求記録!$X$6:$X$3005,K$5,請求記録!$AD$6:$AD$3005,"保留中")&gt;0,"保留",IF(COUNTIFS(請求記録!$B$6:$B$3005,$A337,請求記録!$X$6:$X$3005,K$5)=0,"",SUMIFS(請求記録!$AC$6:$AC$3005,請求記録!$B$6:$B$3005,$A337,請求記録!$X$6:$X$3005,K$5))))</f>
        <v/>
      </c>
      <c r="L337" s="19">
        <f>IF($A337="","",IF(COUNTIFS(請求記録!$B$6:$B$3005,$A337,請求記録!$X$6:$X$3005,L$5,請求記録!$AD$6:$AD$3005,"保留中")&gt;0,"保留",IF(COUNTIFS(請求記録!$B$6:$B$3005,$A337,請求記録!$X$6:$X$3005,L$5)=0,"",SUMIFS(請求記録!$AC$6:$AC$3005,請求記録!$B$6:$B$3005,$A337,請求記録!$X$6:$X$3005,L$5))))</f>
        <v/>
      </c>
      <c r="M337" s="19">
        <f>IF($A337="","",IF(COUNTIFS(請求記録!$B$6:$B$3005,$A337,請求記録!$X$6:$X$3005,M$5,請求記録!$AD$6:$AD$3005,"保留中")&gt;0,"保留",IF(COUNTIFS(請求記録!$B$6:$B$3005,$A337,請求記録!$X$6:$X$3005,M$5)=0,"",SUMIFS(請求記録!$AC$6:$AC$3005,請求記録!$B$6:$B$3005,$A337,請求記録!$X$6:$X$3005,M$5))))</f>
        <v/>
      </c>
      <c r="N337" s="19">
        <f>IF($A337="","",IF(COUNTIFS(請求記録!$B$6:$B$3005,$A337,請求記録!$X$6:$X$3005,N$5,請求記録!$AD$6:$AD$3005,"保留中")&gt;0,"保留",IF(COUNTIFS(請求記録!$B$6:$B$3005,$A337,請求記録!$X$6:$X$3005,N$5)=0,"",SUMIFS(請求記録!$AC$6:$AC$3005,請求記録!$B$6:$B$3005,$A337,請求記録!$X$6:$X$3005,N$5))))</f>
        <v/>
      </c>
      <c r="O337" s="19">
        <f>IF($A337="","",IF(COUNTIFS(請求記録!$B$6:$B$3005,$A337,請求記録!$X$6:$X$3005,O$5,請求記録!$AD$6:$AD$3005,"保留中")&gt;0,"保留",IF(COUNTIFS(請求記録!$B$6:$B$3005,$A337,請求記録!$X$6:$X$3005,O$5)=0,"",SUMIFS(請求記録!$AC$6:$AC$3005,請求記録!$B$6:$B$3005,$A337,請求記録!$X$6:$X$3005,O$5))))</f>
        <v/>
      </c>
      <c r="P337" s="19">
        <f>IF($A337="","",IF(COUNTIFS(請求記録!$B$6:$B$3005,$A337,請求記録!$X$6:$X$3005,P$5,請求記録!$AD$6:$AD$3005,"保留中")&gt;0,"保留",IF(COUNTIFS(請求記録!$B$6:$B$3005,$A337,請求記録!$X$6:$X$3005,P$5)=0,"",SUMIFS(請求記録!$AC$6:$AC$3005,請求記録!$B$6:$B$3005,$A337,請求記録!$X$6:$X$3005,P$5))))</f>
        <v/>
      </c>
      <c r="Q337" s="19">
        <f>IF($A337="","",IF(COUNTIFS(請求記録!$B$6:$B$3005,$A337,請求記録!$X$6:$X$3005,Q$5,請求記録!$AD$6:$AD$3005,"保留中")&gt;0,"保留",IF(COUNTIFS(請求記録!$B$6:$B$3005,$A337,請求記録!$X$6:$X$3005,Q$5)=0,"",SUMIFS(請求記録!$AC$6:$AC$3005,請求記録!$B$6:$B$3005,$A337,請求記録!$X$6:$X$3005,Q$5))))</f>
        <v/>
      </c>
      <c r="R337" s="19">
        <f>IF($A337="","",IF(COUNTIFS(請求記録!$B$6:$B$3005,$A337,請求記録!$X$6:$X$3005,R$5,請求記録!$AD$6:$AD$3005,"保留中")&gt;0,"保留",IF(COUNTIFS(請求記録!$B$6:$B$3005,$A337,請求記録!$X$6:$X$3005,R$5)=0,"",SUMIFS(請求記録!$AC$6:$AC$3005,請求記録!$B$6:$B$3005,$A337,請求記録!$X$6:$X$3005,R$5))))</f>
        <v/>
      </c>
      <c r="S337" s="19">
        <f>IF($A337="","",IF(COUNTIFS(請求記録!$B$6:$B$3005,$A337,請求記録!$X$6:$X$3005,S$5,請求記録!$AD$6:$AD$3005,"保留中")&gt;0,"保留",IF(COUNTIFS(請求記録!$B$6:$B$3005,$A337,請求記録!$X$6:$X$3005,S$5)=0,"",SUMIFS(請求記録!$AC$6:$AC$3005,請求記録!$B$6:$B$3005,$A337,請求記録!$X$6:$X$3005,S$5))))</f>
        <v/>
      </c>
      <c r="T337" s="19">
        <f>IF($A337="","",IF(COUNTIFS(請求記録!$B$6:$B$3005,$A337,請求記録!$X$6:$X$3005,T$5,請求記録!$AD$6:$AD$3005,"保留中")&gt;0,"保留",IF(COUNTIFS(請求記録!$B$6:$B$3005,$A337,請求記録!$X$6:$X$3005,T$5)=0,"",SUMIFS(請求記録!$AC$6:$AC$3005,請求記録!$B$6:$B$3005,$A337,請求記録!$X$6:$X$3005,T$5))))</f>
        <v/>
      </c>
      <c r="U337" s="19">
        <f>IF($A337="","",IF(COUNTIFS(請求記録!$B$6:$B$3005,$A337,請求記録!$X$6:$X$3005,U$5,請求記録!$AD$6:$AD$3005,"保留中")&gt;0,"保留",IF(COUNTIFS(請求記録!$B$6:$B$3005,$A337,請求記録!$X$6:$X$3005,U$5)=0,"",SUMIFS(請求記録!$AC$6:$AC$3005,請求記録!$B$6:$B$3005,$A337,請求記録!$X$6:$X$3005,U$5))))</f>
        <v/>
      </c>
      <c r="V337" s="19">
        <f>IF($A337="","",IF(COUNTIFS(請求記録!$B$6:$B$3005,$A337,請求記録!$X$6:$X$3005,V$5,請求記録!$AD$6:$AD$3005,"保留中")&gt;0,"保留",IF(COUNTIFS(請求記録!$B$6:$B$3005,$A337,請求記録!$X$6:$X$3005,V$5)=0,"",SUMIFS(請求記録!$AC$6:$AC$3005,請求記録!$B$6:$B$3005,$A337,請求記録!$X$6:$X$3005,V$5))))</f>
        <v/>
      </c>
      <c r="W337" s="19">
        <f>IF($A337="","",IF(COUNTIFS(請求記録!$B$6:$B$3005,$A337,請求記録!$X$6:$X$3005,W$5,請求記録!$AD$6:$AD$3005,"保留中")&gt;0,"保留",IF(COUNTIFS(請求記録!$B$6:$B$3005,$A337,請求記録!$X$6:$X$3005,W$5)=0,"",SUMIFS(請求記録!$AC$6:$AC$3005,請求記録!$B$6:$B$3005,$A337,請求記録!$X$6:$X$3005,W$5))))</f>
        <v/>
      </c>
      <c r="X337" s="19">
        <f>IF($A337="","",IF(COUNTIFS(請求記録!$B$6:$B$3005,$A337,請求記録!$X$6:$X$3005,X$5,請求記録!$AD$6:$AD$3005,"保留中")&gt;0,"保留",IF(COUNTIFS(請求記録!$B$6:$B$3005,$A337,請求記録!$X$6:$X$3005,X$5)=0,"",SUMIFS(請求記録!$AC$6:$AC$3005,請求記録!$B$6:$B$3005,$A337,請求記録!$X$6:$X$3005,X$5))))</f>
        <v/>
      </c>
      <c r="Y337" s="19">
        <f>IF($A337="","",IF(COUNTIFS(請求記録!$B$6:$B$3005,$A337,請求記録!$X$6:$X$3005,Y$5,請求記録!$AD$6:$AD$3005,"保留中")&gt;0,"保留",IF(COUNTIFS(請求記録!$B$6:$B$3005,$A337,請求記録!$X$6:$X$3005,Y$5)=0,"",SUMIFS(請求記録!$AC$6:$AC$3005,請求記録!$B$6:$B$3005,$A337,請求記録!$X$6:$X$3005,Y$5))))</f>
        <v/>
      </c>
      <c r="Z337" s="19">
        <f>IF($A337="","",IF(COUNTIFS(請求記録!$B$6:$B$3005,$A337,請求記録!$X$6:$X$3005,Z$5,請求記録!$AD$6:$AD$3005,"保留中")&gt;0,"保留",IF(COUNTIFS(請求記録!$B$6:$B$3005,$A337,請求記録!$X$6:$X$3005,Z$5)=0,"",SUMIFS(請求記録!$AC$6:$AC$3005,請求記録!$B$6:$B$3005,$A337,請求記録!$X$6:$X$3005,Z$5))))</f>
        <v/>
      </c>
      <c r="AA337" s="19">
        <f>IF($A337="","",IF(COUNTIFS(請求記録!$B$6:$B$3005,$A337,請求記録!$X$6:$X$3005,AA$5,請求記録!$AD$6:$AD$3005,"保留中")&gt;0,"保留",IF(COUNTIFS(請求記録!$B$6:$B$3005,$A337,請求記録!$X$6:$X$3005,AA$5)=0,"",SUMIFS(請求記録!$AC$6:$AC$3005,請求記録!$B$6:$B$3005,$A337,請求記録!$X$6:$X$3005,AA$5))))</f>
        <v/>
      </c>
      <c r="AB337">
        <f>IF(職員マスタ!P337="保留中",職員マスタ!M337,"")</f>
        <v/>
      </c>
    </row>
    <row r="338">
      <c r="A338">
        <f>IF(職員マスタ!A338="","",職員マスタ!A338)</f>
        <v/>
      </c>
      <c r="B338">
        <f>IF($A338="","",職員マスタ!B338)</f>
        <v/>
      </c>
      <c r="C338">
        <f>IF($A338="","",職員マスタ!C338)</f>
        <v/>
      </c>
      <c r="D338" s="19">
        <f>IF($A338="","",IF(COUNTIFS(請求記録!$B$6:$B$3005,$A338,請求記録!$X$6:$X$3005,D$5,請求記録!$AD$6:$AD$3005,"保留中")&gt;0,"保留",IF(COUNTIFS(請求記録!$B$6:$B$3005,$A338,請求記録!$X$6:$X$3005,D$5)=0,"",SUMIFS(請求記録!$AC$6:$AC$3005,請求記録!$B$6:$B$3005,$A338,請求記録!$X$6:$X$3005,D$5))))</f>
        <v/>
      </c>
      <c r="E338" s="19">
        <f>IF($A338="","",IF(COUNTIFS(請求記録!$B$6:$B$3005,$A338,請求記録!$X$6:$X$3005,E$5,請求記録!$AD$6:$AD$3005,"保留中")&gt;0,"保留",IF(COUNTIFS(請求記録!$B$6:$B$3005,$A338,請求記録!$X$6:$X$3005,E$5)=0,"",SUMIFS(請求記録!$AC$6:$AC$3005,請求記録!$B$6:$B$3005,$A338,請求記録!$X$6:$X$3005,E$5))))</f>
        <v/>
      </c>
      <c r="F338" s="19">
        <f>IF($A338="","",IF(COUNTIFS(請求記録!$B$6:$B$3005,$A338,請求記録!$X$6:$X$3005,F$5,請求記録!$AD$6:$AD$3005,"保留中")&gt;0,"保留",IF(COUNTIFS(請求記録!$B$6:$B$3005,$A338,請求記録!$X$6:$X$3005,F$5)=0,"",SUMIFS(請求記録!$AC$6:$AC$3005,請求記録!$B$6:$B$3005,$A338,請求記録!$X$6:$X$3005,F$5))))</f>
        <v/>
      </c>
      <c r="G338" s="19">
        <f>IF($A338="","",IF(COUNTIFS(請求記録!$B$6:$B$3005,$A338,請求記録!$X$6:$X$3005,G$5,請求記録!$AD$6:$AD$3005,"保留中")&gt;0,"保留",IF(COUNTIFS(請求記録!$B$6:$B$3005,$A338,請求記録!$X$6:$X$3005,G$5)=0,"",SUMIFS(請求記録!$AC$6:$AC$3005,請求記録!$B$6:$B$3005,$A338,請求記録!$X$6:$X$3005,G$5))))</f>
        <v/>
      </c>
      <c r="H338" s="19">
        <f>IF($A338="","",IF(COUNTIFS(請求記録!$B$6:$B$3005,$A338,請求記録!$X$6:$X$3005,H$5,請求記録!$AD$6:$AD$3005,"保留中")&gt;0,"保留",IF(COUNTIFS(請求記録!$B$6:$B$3005,$A338,請求記録!$X$6:$X$3005,H$5)=0,"",SUMIFS(請求記録!$AC$6:$AC$3005,請求記録!$B$6:$B$3005,$A338,請求記録!$X$6:$X$3005,H$5))))</f>
        <v/>
      </c>
      <c r="I338" s="19">
        <f>IF($A338="","",IF(COUNTIFS(請求記録!$B$6:$B$3005,$A338,請求記録!$X$6:$X$3005,I$5,請求記録!$AD$6:$AD$3005,"保留中")&gt;0,"保留",IF(COUNTIFS(請求記録!$B$6:$B$3005,$A338,請求記録!$X$6:$X$3005,I$5)=0,"",SUMIFS(請求記録!$AC$6:$AC$3005,請求記録!$B$6:$B$3005,$A338,請求記録!$X$6:$X$3005,I$5))))</f>
        <v/>
      </c>
      <c r="J338" s="19">
        <f>IF($A338="","",IF(COUNTIFS(請求記録!$B$6:$B$3005,$A338,請求記録!$X$6:$X$3005,J$5,請求記録!$AD$6:$AD$3005,"保留中")&gt;0,"保留",IF(COUNTIFS(請求記録!$B$6:$B$3005,$A338,請求記録!$X$6:$X$3005,J$5)=0,"",SUMIFS(請求記録!$AC$6:$AC$3005,請求記録!$B$6:$B$3005,$A338,請求記録!$X$6:$X$3005,J$5))))</f>
        <v/>
      </c>
      <c r="K338" s="19">
        <f>IF($A338="","",IF(COUNTIFS(請求記録!$B$6:$B$3005,$A338,請求記録!$X$6:$X$3005,K$5,請求記録!$AD$6:$AD$3005,"保留中")&gt;0,"保留",IF(COUNTIFS(請求記録!$B$6:$B$3005,$A338,請求記録!$X$6:$X$3005,K$5)=0,"",SUMIFS(請求記録!$AC$6:$AC$3005,請求記録!$B$6:$B$3005,$A338,請求記録!$X$6:$X$3005,K$5))))</f>
        <v/>
      </c>
      <c r="L338" s="19">
        <f>IF($A338="","",IF(COUNTIFS(請求記録!$B$6:$B$3005,$A338,請求記録!$X$6:$X$3005,L$5,請求記録!$AD$6:$AD$3005,"保留中")&gt;0,"保留",IF(COUNTIFS(請求記録!$B$6:$B$3005,$A338,請求記録!$X$6:$X$3005,L$5)=0,"",SUMIFS(請求記録!$AC$6:$AC$3005,請求記録!$B$6:$B$3005,$A338,請求記録!$X$6:$X$3005,L$5))))</f>
        <v/>
      </c>
      <c r="M338" s="19">
        <f>IF($A338="","",IF(COUNTIFS(請求記録!$B$6:$B$3005,$A338,請求記録!$X$6:$X$3005,M$5,請求記録!$AD$6:$AD$3005,"保留中")&gt;0,"保留",IF(COUNTIFS(請求記録!$B$6:$B$3005,$A338,請求記録!$X$6:$X$3005,M$5)=0,"",SUMIFS(請求記録!$AC$6:$AC$3005,請求記録!$B$6:$B$3005,$A338,請求記録!$X$6:$X$3005,M$5))))</f>
        <v/>
      </c>
      <c r="N338" s="19">
        <f>IF($A338="","",IF(COUNTIFS(請求記録!$B$6:$B$3005,$A338,請求記録!$X$6:$X$3005,N$5,請求記録!$AD$6:$AD$3005,"保留中")&gt;0,"保留",IF(COUNTIFS(請求記録!$B$6:$B$3005,$A338,請求記録!$X$6:$X$3005,N$5)=0,"",SUMIFS(請求記録!$AC$6:$AC$3005,請求記録!$B$6:$B$3005,$A338,請求記録!$X$6:$X$3005,N$5))))</f>
        <v/>
      </c>
      <c r="O338" s="19">
        <f>IF($A338="","",IF(COUNTIFS(請求記録!$B$6:$B$3005,$A338,請求記録!$X$6:$X$3005,O$5,請求記録!$AD$6:$AD$3005,"保留中")&gt;0,"保留",IF(COUNTIFS(請求記録!$B$6:$B$3005,$A338,請求記録!$X$6:$X$3005,O$5)=0,"",SUMIFS(請求記録!$AC$6:$AC$3005,請求記録!$B$6:$B$3005,$A338,請求記録!$X$6:$X$3005,O$5))))</f>
        <v/>
      </c>
      <c r="P338" s="19">
        <f>IF($A338="","",IF(COUNTIFS(請求記録!$B$6:$B$3005,$A338,請求記録!$X$6:$X$3005,P$5,請求記録!$AD$6:$AD$3005,"保留中")&gt;0,"保留",IF(COUNTIFS(請求記録!$B$6:$B$3005,$A338,請求記録!$X$6:$X$3005,P$5)=0,"",SUMIFS(請求記録!$AC$6:$AC$3005,請求記録!$B$6:$B$3005,$A338,請求記録!$X$6:$X$3005,P$5))))</f>
        <v/>
      </c>
      <c r="Q338" s="19">
        <f>IF($A338="","",IF(COUNTIFS(請求記録!$B$6:$B$3005,$A338,請求記録!$X$6:$X$3005,Q$5,請求記録!$AD$6:$AD$3005,"保留中")&gt;0,"保留",IF(COUNTIFS(請求記録!$B$6:$B$3005,$A338,請求記録!$X$6:$X$3005,Q$5)=0,"",SUMIFS(請求記録!$AC$6:$AC$3005,請求記録!$B$6:$B$3005,$A338,請求記録!$X$6:$X$3005,Q$5))))</f>
        <v/>
      </c>
      <c r="R338" s="19">
        <f>IF($A338="","",IF(COUNTIFS(請求記録!$B$6:$B$3005,$A338,請求記録!$X$6:$X$3005,R$5,請求記録!$AD$6:$AD$3005,"保留中")&gt;0,"保留",IF(COUNTIFS(請求記録!$B$6:$B$3005,$A338,請求記録!$X$6:$X$3005,R$5)=0,"",SUMIFS(請求記録!$AC$6:$AC$3005,請求記録!$B$6:$B$3005,$A338,請求記録!$X$6:$X$3005,R$5))))</f>
        <v/>
      </c>
      <c r="S338" s="19">
        <f>IF($A338="","",IF(COUNTIFS(請求記録!$B$6:$B$3005,$A338,請求記録!$X$6:$X$3005,S$5,請求記録!$AD$6:$AD$3005,"保留中")&gt;0,"保留",IF(COUNTIFS(請求記録!$B$6:$B$3005,$A338,請求記録!$X$6:$X$3005,S$5)=0,"",SUMIFS(請求記録!$AC$6:$AC$3005,請求記録!$B$6:$B$3005,$A338,請求記録!$X$6:$X$3005,S$5))))</f>
        <v/>
      </c>
      <c r="T338" s="19">
        <f>IF($A338="","",IF(COUNTIFS(請求記録!$B$6:$B$3005,$A338,請求記録!$X$6:$X$3005,T$5,請求記録!$AD$6:$AD$3005,"保留中")&gt;0,"保留",IF(COUNTIFS(請求記録!$B$6:$B$3005,$A338,請求記録!$X$6:$X$3005,T$5)=0,"",SUMIFS(請求記録!$AC$6:$AC$3005,請求記録!$B$6:$B$3005,$A338,請求記録!$X$6:$X$3005,T$5))))</f>
        <v/>
      </c>
      <c r="U338" s="19">
        <f>IF($A338="","",IF(COUNTIFS(請求記録!$B$6:$B$3005,$A338,請求記録!$X$6:$X$3005,U$5,請求記録!$AD$6:$AD$3005,"保留中")&gt;0,"保留",IF(COUNTIFS(請求記録!$B$6:$B$3005,$A338,請求記録!$X$6:$X$3005,U$5)=0,"",SUMIFS(請求記録!$AC$6:$AC$3005,請求記録!$B$6:$B$3005,$A338,請求記録!$X$6:$X$3005,U$5))))</f>
        <v/>
      </c>
      <c r="V338" s="19">
        <f>IF($A338="","",IF(COUNTIFS(請求記録!$B$6:$B$3005,$A338,請求記録!$X$6:$X$3005,V$5,請求記録!$AD$6:$AD$3005,"保留中")&gt;0,"保留",IF(COUNTIFS(請求記録!$B$6:$B$3005,$A338,請求記録!$X$6:$X$3005,V$5)=0,"",SUMIFS(請求記録!$AC$6:$AC$3005,請求記録!$B$6:$B$3005,$A338,請求記録!$X$6:$X$3005,V$5))))</f>
        <v/>
      </c>
      <c r="W338" s="19">
        <f>IF($A338="","",IF(COUNTIFS(請求記録!$B$6:$B$3005,$A338,請求記録!$X$6:$X$3005,W$5,請求記録!$AD$6:$AD$3005,"保留中")&gt;0,"保留",IF(COUNTIFS(請求記録!$B$6:$B$3005,$A338,請求記録!$X$6:$X$3005,W$5)=0,"",SUMIFS(請求記録!$AC$6:$AC$3005,請求記録!$B$6:$B$3005,$A338,請求記録!$X$6:$X$3005,W$5))))</f>
        <v/>
      </c>
      <c r="X338" s="19">
        <f>IF($A338="","",IF(COUNTIFS(請求記録!$B$6:$B$3005,$A338,請求記録!$X$6:$X$3005,X$5,請求記録!$AD$6:$AD$3005,"保留中")&gt;0,"保留",IF(COUNTIFS(請求記録!$B$6:$B$3005,$A338,請求記録!$X$6:$X$3005,X$5)=0,"",SUMIFS(請求記録!$AC$6:$AC$3005,請求記録!$B$6:$B$3005,$A338,請求記録!$X$6:$X$3005,X$5))))</f>
        <v/>
      </c>
      <c r="Y338" s="19">
        <f>IF($A338="","",IF(COUNTIFS(請求記録!$B$6:$B$3005,$A338,請求記録!$X$6:$X$3005,Y$5,請求記録!$AD$6:$AD$3005,"保留中")&gt;0,"保留",IF(COUNTIFS(請求記録!$B$6:$B$3005,$A338,請求記録!$X$6:$X$3005,Y$5)=0,"",SUMIFS(請求記録!$AC$6:$AC$3005,請求記録!$B$6:$B$3005,$A338,請求記録!$X$6:$X$3005,Y$5))))</f>
        <v/>
      </c>
      <c r="Z338" s="19">
        <f>IF($A338="","",IF(COUNTIFS(請求記録!$B$6:$B$3005,$A338,請求記録!$X$6:$X$3005,Z$5,請求記録!$AD$6:$AD$3005,"保留中")&gt;0,"保留",IF(COUNTIFS(請求記録!$B$6:$B$3005,$A338,請求記録!$X$6:$X$3005,Z$5)=0,"",SUMIFS(請求記録!$AC$6:$AC$3005,請求記録!$B$6:$B$3005,$A338,請求記録!$X$6:$X$3005,Z$5))))</f>
        <v/>
      </c>
      <c r="AA338" s="19">
        <f>IF($A338="","",IF(COUNTIFS(請求記録!$B$6:$B$3005,$A338,請求記録!$X$6:$X$3005,AA$5,請求記録!$AD$6:$AD$3005,"保留中")&gt;0,"保留",IF(COUNTIFS(請求記録!$B$6:$B$3005,$A338,請求記録!$X$6:$X$3005,AA$5)=0,"",SUMIFS(請求記録!$AC$6:$AC$3005,請求記録!$B$6:$B$3005,$A338,請求記録!$X$6:$X$3005,AA$5))))</f>
        <v/>
      </c>
      <c r="AB338">
        <f>IF(職員マスタ!P338="保留中",職員マスタ!M338,"")</f>
        <v/>
      </c>
    </row>
    <row r="339">
      <c r="A339">
        <f>IF(職員マスタ!A339="","",職員マスタ!A339)</f>
        <v/>
      </c>
      <c r="B339">
        <f>IF($A339="","",職員マスタ!B339)</f>
        <v/>
      </c>
      <c r="C339">
        <f>IF($A339="","",職員マスタ!C339)</f>
        <v/>
      </c>
      <c r="D339" s="19">
        <f>IF($A339="","",IF(COUNTIFS(請求記録!$B$6:$B$3005,$A339,請求記録!$X$6:$X$3005,D$5,請求記録!$AD$6:$AD$3005,"保留中")&gt;0,"保留",IF(COUNTIFS(請求記録!$B$6:$B$3005,$A339,請求記録!$X$6:$X$3005,D$5)=0,"",SUMIFS(請求記録!$AC$6:$AC$3005,請求記録!$B$6:$B$3005,$A339,請求記録!$X$6:$X$3005,D$5))))</f>
        <v/>
      </c>
      <c r="E339" s="19">
        <f>IF($A339="","",IF(COUNTIFS(請求記録!$B$6:$B$3005,$A339,請求記録!$X$6:$X$3005,E$5,請求記録!$AD$6:$AD$3005,"保留中")&gt;0,"保留",IF(COUNTIFS(請求記録!$B$6:$B$3005,$A339,請求記録!$X$6:$X$3005,E$5)=0,"",SUMIFS(請求記録!$AC$6:$AC$3005,請求記録!$B$6:$B$3005,$A339,請求記録!$X$6:$X$3005,E$5))))</f>
        <v/>
      </c>
      <c r="F339" s="19">
        <f>IF($A339="","",IF(COUNTIFS(請求記録!$B$6:$B$3005,$A339,請求記録!$X$6:$X$3005,F$5,請求記録!$AD$6:$AD$3005,"保留中")&gt;0,"保留",IF(COUNTIFS(請求記録!$B$6:$B$3005,$A339,請求記録!$X$6:$X$3005,F$5)=0,"",SUMIFS(請求記録!$AC$6:$AC$3005,請求記録!$B$6:$B$3005,$A339,請求記録!$X$6:$X$3005,F$5))))</f>
        <v/>
      </c>
      <c r="G339" s="19">
        <f>IF($A339="","",IF(COUNTIFS(請求記録!$B$6:$B$3005,$A339,請求記録!$X$6:$X$3005,G$5,請求記録!$AD$6:$AD$3005,"保留中")&gt;0,"保留",IF(COUNTIFS(請求記録!$B$6:$B$3005,$A339,請求記録!$X$6:$X$3005,G$5)=0,"",SUMIFS(請求記録!$AC$6:$AC$3005,請求記録!$B$6:$B$3005,$A339,請求記録!$X$6:$X$3005,G$5))))</f>
        <v/>
      </c>
      <c r="H339" s="19">
        <f>IF($A339="","",IF(COUNTIFS(請求記録!$B$6:$B$3005,$A339,請求記録!$X$6:$X$3005,H$5,請求記録!$AD$6:$AD$3005,"保留中")&gt;0,"保留",IF(COUNTIFS(請求記録!$B$6:$B$3005,$A339,請求記録!$X$6:$X$3005,H$5)=0,"",SUMIFS(請求記録!$AC$6:$AC$3005,請求記録!$B$6:$B$3005,$A339,請求記録!$X$6:$X$3005,H$5))))</f>
        <v/>
      </c>
      <c r="I339" s="19">
        <f>IF($A339="","",IF(COUNTIFS(請求記録!$B$6:$B$3005,$A339,請求記録!$X$6:$X$3005,I$5,請求記録!$AD$6:$AD$3005,"保留中")&gt;0,"保留",IF(COUNTIFS(請求記録!$B$6:$B$3005,$A339,請求記録!$X$6:$X$3005,I$5)=0,"",SUMIFS(請求記録!$AC$6:$AC$3005,請求記録!$B$6:$B$3005,$A339,請求記録!$X$6:$X$3005,I$5))))</f>
        <v/>
      </c>
      <c r="J339" s="19">
        <f>IF($A339="","",IF(COUNTIFS(請求記録!$B$6:$B$3005,$A339,請求記録!$X$6:$X$3005,J$5,請求記録!$AD$6:$AD$3005,"保留中")&gt;0,"保留",IF(COUNTIFS(請求記録!$B$6:$B$3005,$A339,請求記録!$X$6:$X$3005,J$5)=0,"",SUMIFS(請求記録!$AC$6:$AC$3005,請求記録!$B$6:$B$3005,$A339,請求記録!$X$6:$X$3005,J$5))))</f>
        <v/>
      </c>
      <c r="K339" s="19">
        <f>IF($A339="","",IF(COUNTIFS(請求記録!$B$6:$B$3005,$A339,請求記録!$X$6:$X$3005,K$5,請求記録!$AD$6:$AD$3005,"保留中")&gt;0,"保留",IF(COUNTIFS(請求記録!$B$6:$B$3005,$A339,請求記録!$X$6:$X$3005,K$5)=0,"",SUMIFS(請求記録!$AC$6:$AC$3005,請求記録!$B$6:$B$3005,$A339,請求記録!$X$6:$X$3005,K$5))))</f>
        <v/>
      </c>
      <c r="L339" s="19">
        <f>IF($A339="","",IF(COUNTIFS(請求記録!$B$6:$B$3005,$A339,請求記録!$X$6:$X$3005,L$5,請求記録!$AD$6:$AD$3005,"保留中")&gt;0,"保留",IF(COUNTIFS(請求記録!$B$6:$B$3005,$A339,請求記録!$X$6:$X$3005,L$5)=0,"",SUMIFS(請求記録!$AC$6:$AC$3005,請求記録!$B$6:$B$3005,$A339,請求記録!$X$6:$X$3005,L$5))))</f>
        <v/>
      </c>
      <c r="M339" s="19">
        <f>IF($A339="","",IF(COUNTIFS(請求記録!$B$6:$B$3005,$A339,請求記録!$X$6:$X$3005,M$5,請求記録!$AD$6:$AD$3005,"保留中")&gt;0,"保留",IF(COUNTIFS(請求記録!$B$6:$B$3005,$A339,請求記録!$X$6:$X$3005,M$5)=0,"",SUMIFS(請求記録!$AC$6:$AC$3005,請求記録!$B$6:$B$3005,$A339,請求記録!$X$6:$X$3005,M$5))))</f>
        <v/>
      </c>
      <c r="N339" s="19">
        <f>IF($A339="","",IF(COUNTIFS(請求記録!$B$6:$B$3005,$A339,請求記録!$X$6:$X$3005,N$5,請求記録!$AD$6:$AD$3005,"保留中")&gt;0,"保留",IF(COUNTIFS(請求記録!$B$6:$B$3005,$A339,請求記録!$X$6:$X$3005,N$5)=0,"",SUMIFS(請求記録!$AC$6:$AC$3005,請求記録!$B$6:$B$3005,$A339,請求記録!$X$6:$X$3005,N$5))))</f>
        <v/>
      </c>
      <c r="O339" s="19">
        <f>IF($A339="","",IF(COUNTIFS(請求記録!$B$6:$B$3005,$A339,請求記録!$X$6:$X$3005,O$5,請求記録!$AD$6:$AD$3005,"保留中")&gt;0,"保留",IF(COUNTIFS(請求記録!$B$6:$B$3005,$A339,請求記録!$X$6:$X$3005,O$5)=0,"",SUMIFS(請求記録!$AC$6:$AC$3005,請求記録!$B$6:$B$3005,$A339,請求記録!$X$6:$X$3005,O$5))))</f>
        <v/>
      </c>
      <c r="P339" s="19">
        <f>IF($A339="","",IF(COUNTIFS(請求記録!$B$6:$B$3005,$A339,請求記録!$X$6:$X$3005,P$5,請求記録!$AD$6:$AD$3005,"保留中")&gt;0,"保留",IF(COUNTIFS(請求記録!$B$6:$B$3005,$A339,請求記録!$X$6:$X$3005,P$5)=0,"",SUMIFS(請求記録!$AC$6:$AC$3005,請求記録!$B$6:$B$3005,$A339,請求記録!$X$6:$X$3005,P$5))))</f>
        <v/>
      </c>
      <c r="Q339" s="19">
        <f>IF($A339="","",IF(COUNTIFS(請求記録!$B$6:$B$3005,$A339,請求記録!$X$6:$X$3005,Q$5,請求記録!$AD$6:$AD$3005,"保留中")&gt;0,"保留",IF(COUNTIFS(請求記録!$B$6:$B$3005,$A339,請求記録!$X$6:$X$3005,Q$5)=0,"",SUMIFS(請求記録!$AC$6:$AC$3005,請求記録!$B$6:$B$3005,$A339,請求記録!$X$6:$X$3005,Q$5))))</f>
        <v/>
      </c>
      <c r="R339" s="19">
        <f>IF($A339="","",IF(COUNTIFS(請求記録!$B$6:$B$3005,$A339,請求記録!$X$6:$X$3005,R$5,請求記録!$AD$6:$AD$3005,"保留中")&gt;0,"保留",IF(COUNTIFS(請求記録!$B$6:$B$3005,$A339,請求記録!$X$6:$X$3005,R$5)=0,"",SUMIFS(請求記録!$AC$6:$AC$3005,請求記録!$B$6:$B$3005,$A339,請求記録!$X$6:$X$3005,R$5))))</f>
        <v/>
      </c>
      <c r="S339" s="19">
        <f>IF($A339="","",IF(COUNTIFS(請求記録!$B$6:$B$3005,$A339,請求記録!$X$6:$X$3005,S$5,請求記録!$AD$6:$AD$3005,"保留中")&gt;0,"保留",IF(COUNTIFS(請求記録!$B$6:$B$3005,$A339,請求記録!$X$6:$X$3005,S$5)=0,"",SUMIFS(請求記録!$AC$6:$AC$3005,請求記録!$B$6:$B$3005,$A339,請求記録!$X$6:$X$3005,S$5))))</f>
        <v/>
      </c>
      <c r="T339" s="19">
        <f>IF($A339="","",IF(COUNTIFS(請求記録!$B$6:$B$3005,$A339,請求記録!$X$6:$X$3005,T$5,請求記録!$AD$6:$AD$3005,"保留中")&gt;0,"保留",IF(COUNTIFS(請求記録!$B$6:$B$3005,$A339,請求記録!$X$6:$X$3005,T$5)=0,"",SUMIFS(請求記録!$AC$6:$AC$3005,請求記録!$B$6:$B$3005,$A339,請求記録!$X$6:$X$3005,T$5))))</f>
        <v/>
      </c>
      <c r="U339" s="19">
        <f>IF($A339="","",IF(COUNTIFS(請求記録!$B$6:$B$3005,$A339,請求記録!$X$6:$X$3005,U$5,請求記録!$AD$6:$AD$3005,"保留中")&gt;0,"保留",IF(COUNTIFS(請求記録!$B$6:$B$3005,$A339,請求記録!$X$6:$X$3005,U$5)=0,"",SUMIFS(請求記録!$AC$6:$AC$3005,請求記録!$B$6:$B$3005,$A339,請求記録!$X$6:$X$3005,U$5))))</f>
        <v/>
      </c>
      <c r="V339" s="19">
        <f>IF($A339="","",IF(COUNTIFS(請求記録!$B$6:$B$3005,$A339,請求記録!$X$6:$X$3005,V$5,請求記録!$AD$6:$AD$3005,"保留中")&gt;0,"保留",IF(COUNTIFS(請求記録!$B$6:$B$3005,$A339,請求記録!$X$6:$X$3005,V$5)=0,"",SUMIFS(請求記録!$AC$6:$AC$3005,請求記録!$B$6:$B$3005,$A339,請求記録!$X$6:$X$3005,V$5))))</f>
        <v/>
      </c>
      <c r="W339" s="19">
        <f>IF($A339="","",IF(COUNTIFS(請求記録!$B$6:$B$3005,$A339,請求記録!$X$6:$X$3005,W$5,請求記録!$AD$6:$AD$3005,"保留中")&gt;0,"保留",IF(COUNTIFS(請求記録!$B$6:$B$3005,$A339,請求記録!$X$6:$X$3005,W$5)=0,"",SUMIFS(請求記録!$AC$6:$AC$3005,請求記録!$B$6:$B$3005,$A339,請求記録!$X$6:$X$3005,W$5))))</f>
        <v/>
      </c>
      <c r="X339" s="19">
        <f>IF($A339="","",IF(COUNTIFS(請求記録!$B$6:$B$3005,$A339,請求記録!$X$6:$X$3005,X$5,請求記録!$AD$6:$AD$3005,"保留中")&gt;0,"保留",IF(COUNTIFS(請求記録!$B$6:$B$3005,$A339,請求記録!$X$6:$X$3005,X$5)=0,"",SUMIFS(請求記録!$AC$6:$AC$3005,請求記録!$B$6:$B$3005,$A339,請求記録!$X$6:$X$3005,X$5))))</f>
        <v/>
      </c>
      <c r="Y339" s="19">
        <f>IF($A339="","",IF(COUNTIFS(請求記録!$B$6:$B$3005,$A339,請求記録!$X$6:$X$3005,Y$5,請求記録!$AD$6:$AD$3005,"保留中")&gt;0,"保留",IF(COUNTIFS(請求記録!$B$6:$B$3005,$A339,請求記録!$X$6:$X$3005,Y$5)=0,"",SUMIFS(請求記録!$AC$6:$AC$3005,請求記録!$B$6:$B$3005,$A339,請求記録!$X$6:$X$3005,Y$5))))</f>
        <v/>
      </c>
      <c r="Z339" s="19">
        <f>IF($A339="","",IF(COUNTIFS(請求記録!$B$6:$B$3005,$A339,請求記録!$X$6:$X$3005,Z$5,請求記録!$AD$6:$AD$3005,"保留中")&gt;0,"保留",IF(COUNTIFS(請求記録!$B$6:$B$3005,$A339,請求記録!$X$6:$X$3005,Z$5)=0,"",SUMIFS(請求記録!$AC$6:$AC$3005,請求記録!$B$6:$B$3005,$A339,請求記録!$X$6:$X$3005,Z$5))))</f>
        <v/>
      </c>
      <c r="AA339" s="19">
        <f>IF($A339="","",IF(COUNTIFS(請求記録!$B$6:$B$3005,$A339,請求記録!$X$6:$X$3005,AA$5,請求記録!$AD$6:$AD$3005,"保留中")&gt;0,"保留",IF(COUNTIFS(請求記録!$B$6:$B$3005,$A339,請求記録!$X$6:$X$3005,AA$5)=0,"",SUMIFS(請求記録!$AC$6:$AC$3005,請求記録!$B$6:$B$3005,$A339,請求記録!$X$6:$X$3005,AA$5))))</f>
        <v/>
      </c>
      <c r="AB339">
        <f>IF(職員マスタ!P339="保留中",職員マスタ!M339,"")</f>
        <v/>
      </c>
    </row>
    <row r="340">
      <c r="A340">
        <f>IF(職員マスタ!A340="","",職員マスタ!A340)</f>
        <v/>
      </c>
      <c r="B340">
        <f>IF($A340="","",職員マスタ!B340)</f>
        <v/>
      </c>
      <c r="C340">
        <f>IF($A340="","",職員マスタ!C340)</f>
        <v/>
      </c>
      <c r="D340" s="19">
        <f>IF($A340="","",IF(COUNTIFS(請求記録!$B$6:$B$3005,$A340,請求記録!$X$6:$X$3005,D$5,請求記録!$AD$6:$AD$3005,"保留中")&gt;0,"保留",IF(COUNTIFS(請求記録!$B$6:$B$3005,$A340,請求記録!$X$6:$X$3005,D$5)=0,"",SUMIFS(請求記録!$AC$6:$AC$3005,請求記録!$B$6:$B$3005,$A340,請求記録!$X$6:$X$3005,D$5))))</f>
        <v/>
      </c>
      <c r="E340" s="19">
        <f>IF($A340="","",IF(COUNTIFS(請求記録!$B$6:$B$3005,$A340,請求記録!$X$6:$X$3005,E$5,請求記録!$AD$6:$AD$3005,"保留中")&gt;0,"保留",IF(COUNTIFS(請求記録!$B$6:$B$3005,$A340,請求記録!$X$6:$X$3005,E$5)=0,"",SUMIFS(請求記録!$AC$6:$AC$3005,請求記録!$B$6:$B$3005,$A340,請求記録!$X$6:$X$3005,E$5))))</f>
        <v/>
      </c>
      <c r="F340" s="19">
        <f>IF($A340="","",IF(COUNTIFS(請求記録!$B$6:$B$3005,$A340,請求記録!$X$6:$X$3005,F$5,請求記録!$AD$6:$AD$3005,"保留中")&gt;0,"保留",IF(COUNTIFS(請求記録!$B$6:$B$3005,$A340,請求記録!$X$6:$X$3005,F$5)=0,"",SUMIFS(請求記録!$AC$6:$AC$3005,請求記録!$B$6:$B$3005,$A340,請求記録!$X$6:$X$3005,F$5))))</f>
        <v/>
      </c>
      <c r="G340" s="19">
        <f>IF($A340="","",IF(COUNTIFS(請求記録!$B$6:$B$3005,$A340,請求記録!$X$6:$X$3005,G$5,請求記録!$AD$6:$AD$3005,"保留中")&gt;0,"保留",IF(COUNTIFS(請求記録!$B$6:$B$3005,$A340,請求記録!$X$6:$X$3005,G$5)=0,"",SUMIFS(請求記録!$AC$6:$AC$3005,請求記録!$B$6:$B$3005,$A340,請求記録!$X$6:$X$3005,G$5))))</f>
        <v/>
      </c>
      <c r="H340" s="19">
        <f>IF($A340="","",IF(COUNTIFS(請求記録!$B$6:$B$3005,$A340,請求記録!$X$6:$X$3005,H$5,請求記録!$AD$6:$AD$3005,"保留中")&gt;0,"保留",IF(COUNTIFS(請求記録!$B$6:$B$3005,$A340,請求記録!$X$6:$X$3005,H$5)=0,"",SUMIFS(請求記録!$AC$6:$AC$3005,請求記録!$B$6:$B$3005,$A340,請求記録!$X$6:$X$3005,H$5))))</f>
        <v/>
      </c>
      <c r="I340" s="19">
        <f>IF($A340="","",IF(COUNTIFS(請求記録!$B$6:$B$3005,$A340,請求記録!$X$6:$X$3005,I$5,請求記録!$AD$6:$AD$3005,"保留中")&gt;0,"保留",IF(COUNTIFS(請求記録!$B$6:$B$3005,$A340,請求記録!$X$6:$X$3005,I$5)=0,"",SUMIFS(請求記録!$AC$6:$AC$3005,請求記録!$B$6:$B$3005,$A340,請求記録!$X$6:$X$3005,I$5))))</f>
        <v/>
      </c>
      <c r="J340" s="19">
        <f>IF($A340="","",IF(COUNTIFS(請求記録!$B$6:$B$3005,$A340,請求記録!$X$6:$X$3005,J$5,請求記録!$AD$6:$AD$3005,"保留中")&gt;0,"保留",IF(COUNTIFS(請求記録!$B$6:$B$3005,$A340,請求記録!$X$6:$X$3005,J$5)=0,"",SUMIFS(請求記録!$AC$6:$AC$3005,請求記録!$B$6:$B$3005,$A340,請求記録!$X$6:$X$3005,J$5))))</f>
        <v/>
      </c>
      <c r="K340" s="19">
        <f>IF($A340="","",IF(COUNTIFS(請求記録!$B$6:$B$3005,$A340,請求記録!$X$6:$X$3005,K$5,請求記録!$AD$6:$AD$3005,"保留中")&gt;0,"保留",IF(COUNTIFS(請求記録!$B$6:$B$3005,$A340,請求記録!$X$6:$X$3005,K$5)=0,"",SUMIFS(請求記録!$AC$6:$AC$3005,請求記録!$B$6:$B$3005,$A340,請求記録!$X$6:$X$3005,K$5))))</f>
        <v/>
      </c>
      <c r="L340" s="19">
        <f>IF($A340="","",IF(COUNTIFS(請求記録!$B$6:$B$3005,$A340,請求記録!$X$6:$X$3005,L$5,請求記録!$AD$6:$AD$3005,"保留中")&gt;0,"保留",IF(COUNTIFS(請求記録!$B$6:$B$3005,$A340,請求記録!$X$6:$X$3005,L$5)=0,"",SUMIFS(請求記録!$AC$6:$AC$3005,請求記録!$B$6:$B$3005,$A340,請求記録!$X$6:$X$3005,L$5))))</f>
        <v/>
      </c>
      <c r="M340" s="19">
        <f>IF($A340="","",IF(COUNTIFS(請求記録!$B$6:$B$3005,$A340,請求記録!$X$6:$X$3005,M$5,請求記録!$AD$6:$AD$3005,"保留中")&gt;0,"保留",IF(COUNTIFS(請求記録!$B$6:$B$3005,$A340,請求記録!$X$6:$X$3005,M$5)=0,"",SUMIFS(請求記録!$AC$6:$AC$3005,請求記録!$B$6:$B$3005,$A340,請求記録!$X$6:$X$3005,M$5))))</f>
        <v/>
      </c>
      <c r="N340" s="19">
        <f>IF($A340="","",IF(COUNTIFS(請求記録!$B$6:$B$3005,$A340,請求記録!$X$6:$X$3005,N$5,請求記録!$AD$6:$AD$3005,"保留中")&gt;0,"保留",IF(COUNTIFS(請求記録!$B$6:$B$3005,$A340,請求記録!$X$6:$X$3005,N$5)=0,"",SUMIFS(請求記録!$AC$6:$AC$3005,請求記録!$B$6:$B$3005,$A340,請求記録!$X$6:$X$3005,N$5))))</f>
        <v/>
      </c>
      <c r="O340" s="19">
        <f>IF($A340="","",IF(COUNTIFS(請求記録!$B$6:$B$3005,$A340,請求記録!$X$6:$X$3005,O$5,請求記録!$AD$6:$AD$3005,"保留中")&gt;0,"保留",IF(COUNTIFS(請求記録!$B$6:$B$3005,$A340,請求記録!$X$6:$X$3005,O$5)=0,"",SUMIFS(請求記録!$AC$6:$AC$3005,請求記録!$B$6:$B$3005,$A340,請求記録!$X$6:$X$3005,O$5))))</f>
        <v/>
      </c>
      <c r="P340" s="19">
        <f>IF($A340="","",IF(COUNTIFS(請求記録!$B$6:$B$3005,$A340,請求記録!$X$6:$X$3005,P$5,請求記録!$AD$6:$AD$3005,"保留中")&gt;0,"保留",IF(COUNTIFS(請求記録!$B$6:$B$3005,$A340,請求記録!$X$6:$X$3005,P$5)=0,"",SUMIFS(請求記録!$AC$6:$AC$3005,請求記録!$B$6:$B$3005,$A340,請求記録!$X$6:$X$3005,P$5))))</f>
        <v/>
      </c>
      <c r="Q340" s="19">
        <f>IF($A340="","",IF(COUNTIFS(請求記録!$B$6:$B$3005,$A340,請求記録!$X$6:$X$3005,Q$5,請求記録!$AD$6:$AD$3005,"保留中")&gt;0,"保留",IF(COUNTIFS(請求記録!$B$6:$B$3005,$A340,請求記録!$X$6:$X$3005,Q$5)=0,"",SUMIFS(請求記録!$AC$6:$AC$3005,請求記録!$B$6:$B$3005,$A340,請求記録!$X$6:$X$3005,Q$5))))</f>
        <v/>
      </c>
      <c r="R340" s="19">
        <f>IF($A340="","",IF(COUNTIFS(請求記録!$B$6:$B$3005,$A340,請求記録!$X$6:$X$3005,R$5,請求記録!$AD$6:$AD$3005,"保留中")&gt;0,"保留",IF(COUNTIFS(請求記録!$B$6:$B$3005,$A340,請求記録!$X$6:$X$3005,R$5)=0,"",SUMIFS(請求記録!$AC$6:$AC$3005,請求記録!$B$6:$B$3005,$A340,請求記録!$X$6:$X$3005,R$5))))</f>
        <v/>
      </c>
      <c r="S340" s="19">
        <f>IF($A340="","",IF(COUNTIFS(請求記録!$B$6:$B$3005,$A340,請求記録!$X$6:$X$3005,S$5,請求記録!$AD$6:$AD$3005,"保留中")&gt;0,"保留",IF(COUNTIFS(請求記録!$B$6:$B$3005,$A340,請求記録!$X$6:$X$3005,S$5)=0,"",SUMIFS(請求記録!$AC$6:$AC$3005,請求記録!$B$6:$B$3005,$A340,請求記録!$X$6:$X$3005,S$5))))</f>
        <v/>
      </c>
      <c r="T340" s="19">
        <f>IF($A340="","",IF(COUNTIFS(請求記録!$B$6:$B$3005,$A340,請求記録!$X$6:$X$3005,T$5,請求記録!$AD$6:$AD$3005,"保留中")&gt;0,"保留",IF(COUNTIFS(請求記録!$B$6:$B$3005,$A340,請求記録!$X$6:$X$3005,T$5)=0,"",SUMIFS(請求記録!$AC$6:$AC$3005,請求記録!$B$6:$B$3005,$A340,請求記録!$X$6:$X$3005,T$5))))</f>
        <v/>
      </c>
      <c r="U340" s="19">
        <f>IF($A340="","",IF(COUNTIFS(請求記録!$B$6:$B$3005,$A340,請求記録!$X$6:$X$3005,U$5,請求記録!$AD$6:$AD$3005,"保留中")&gt;0,"保留",IF(COUNTIFS(請求記録!$B$6:$B$3005,$A340,請求記録!$X$6:$X$3005,U$5)=0,"",SUMIFS(請求記録!$AC$6:$AC$3005,請求記録!$B$6:$B$3005,$A340,請求記録!$X$6:$X$3005,U$5))))</f>
        <v/>
      </c>
      <c r="V340" s="19">
        <f>IF($A340="","",IF(COUNTIFS(請求記録!$B$6:$B$3005,$A340,請求記録!$X$6:$X$3005,V$5,請求記録!$AD$6:$AD$3005,"保留中")&gt;0,"保留",IF(COUNTIFS(請求記録!$B$6:$B$3005,$A340,請求記録!$X$6:$X$3005,V$5)=0,"",SUMIFS(請求記録!$AC$6:$AC$3005,請求記録!$B$6:$B$3005,$A340,請求記録!$X$6:$X$3005,V$5))))</f>
        <v/>
      </c>
      <c r="W340" s="19">
        <f>IF($A340="","",IF(COUNTIFS(請求記録!$B$6:$B$3005,$A340,請求記録!$X$6:$X$3005,W$5,請求記録!$AD$6:$AD$3005,"保留中")&gt;0,"保留",IF(COUNTIFS(請求記録!$B$6:$B$3005,$A340,請求記録!$X$6:$X$3005,W$5)=0,"",SUMIFS(請求記録!$AC$6:$AC$3005,請求記録!$B$6:$B$3005,$A340,請求記録!$X$6:$X$3005,W$5))))</f>
        <v/>
      </c>
      <c r="X340" s="19">
        <f>IF($A340="","",IF(COUNTIFS(請求記録!$B$6:$B$3005,$A340,請求記録!$X$6:$X$3005,X$5,請求記録!$AD$6:$AD$3005,"保留中")&gt;0,"保留",IF(COUNTIFS(請求記録!$B$6:$B$3005,$A340,請求記録!$X$6:$X$3005,X$5)=0,"",SUMIFS(請求記録!$AC$6:$AC$3005,請求記録!$B$6:$B$3005,$A340,請求記録!$X$6:$X$3005,X$5))))</f>
        <v/>
      </c>
      <c r="Y340" s="19">
        <f>IF($A340="","",IF(COUNTIFS(請求記録!$B$6:$B$3005,$A340,請求記録!$X$6:$X$3005,Y$5,請求記録!$AD$6:$AD$3005,"保留中")&gt;0,"保留",IF(COUNTIFS(請求記録!$B$6:$B$3005,$A340,請求記録!$X$6:$X$3005,Y$5)=0,"",SUMIFS(請求記録!$AC$6:$AC$3005,請求記録!$B$6:$B$3005,$A340,請求記録!$X$6:$X$3005,Y$5))))</f>
        <v/>
      </c>
      <c r="Z340" s="19">
        <f>IF($A340="","",IF(COUNTIFS(請求記録!$B$6:$B$3005,$A340,請求記録!$X$6:$X$3005,Z$5,請求記録!$AD$6:$AD$3005,"保留中")&gt;0,"保留",IF(COUNTIFS(請求記録!$B$6:$B$3005,$A340,請求記録!$X$6:$X$3005,Z$5)=0,"",SUMIFS(請求記録!$AC$6:$AC$3005,請求記録!$B$6:$B$3005,$A340,請求記録!$X$6:$X$3005,Z$5))))</f>
        <v/>
      </c>
      <c r="AA340" s="19">
        <f>IF($A340="","",IF(COUNTIFS(請求記録!$B$6:$B$3005,$A340,請求記録!$X$6:$X$3005,AA$5,請求記録!$AD$6:$AD$3005,"保留中")&gt;0,"保留",IF(COUNTIFS(請求記録!$B$6:$B$3005,$A340,請求記録!$X$6:$X$3005,AA$5)=0,"",SUMIFS(請求記録!$AC$6:$AC$3005,請求記録!$B$6:$B$3005,$A340,請求記録!$X$6:$X$3005,AA$5))))</f>
        <v/>
      </c>
      <c r="AB340">
        <f>IF(職員マスタ!P340="保留中",職員マスタ!M340,"")</f>
        <v/>
      </c>
    </row>
    <row r="341">
      <c r="A341">
        <f>IF(職員マスタ!A341="","",職員マスタ!A341)</f>
        <v/>
      </c>
      <c r="B341">
        <f>IF($A341="","",職員マスタ!B341)</f>
        <v/>
      </c>
      <c r="C341">
        <f>IF($A341="","",職員マスタ!C341)</f>
        <v/>
      </c>
      <c r="D341" s="19">
        <f>IF($A341="","",IF(COUNTIFS(請求記録!$B$6:$B$3005,$A341,請求記録!$X$6:$X$3005,D$5,請求記録!$AD$6:$AD$3005,"保留中")&gt;0,"保留",IF(COUNTIFS(請求記録!$B$6:$B$3005,$A341,請求記録!$X$6:$X$3005,D$5)=0,"",SUMIFS(請求記録!$AC$6:$AC$3005,請求記録!$B$6:$B$3005,$A341,請求記録!$X$6:$X$3005,D$5))))</f>
        <v/>
      </c>
      <c r="E341" s="19">
        <f>IF($A341="","",IF(COUNTIFS(請求記録!$B$6:$B$3005,$A341,請求記録!$X$6:$X$3005,E$5,請求記録!$AD$6:$AD$3005,"保留中")&gt;0,"保留",IF(COUNTIFS(請求記録!$B$6:$B$3005,$A341,請求記録!$X$6:$X$3005,E$5)=0,"",SUMIFS(請求記録!$AC$6:$AC$3005,請求記録!$B$6:$B$3005,$A341,請求記録!$X$6:$X$3005,E$5))))</f>
        <v/>
      </c>
      <c r="F341" s="19">
        <f>IF($A341="","",IF(COUNTIFS(請求記録!$B$6:$B$3005,$A341,請求記録!$X$6:$X$3005,F$5,請求記録!$AD$6:$AD$3005,"保留中")&gt;0,"保留",IF(COUNTIFS(請求記録!$B$6:$B$3005,$A341,請求記録!$X$6:$X$3005,F$5)=0,"",SUMIFS(請求記録!$AC$6:$AC$3005,請求記録!$B$6:$B$3005,$A341,請求記録!$X$6:$X$3005,F$5))))</f>
        <v/>
      </c>
      <c r="G341" s="19">
        <f>IF($A341="","",IF(COUNTIFS(請求記録!$B$6:$B$3005,$A341,請求記録!$X$6:$X$3005,G$5,請求記録!$AD$6:$AD$3005,"保留中")&gt;0,"保留",IF(COUNTIFS(請求記録!$B$6:$B$3005,$A341,請求記録!$X$6:$X$3005,G$5)=0,"",SUMIFS(請求記録!$AC$6:$AC$3005,請求記録!$B$6:$B$3005,$A341,請求記録!$X$6:$X$3005,G$5))))</f>
        <v/>
      </c>
      <c r="H341" s="19">
        <f>IF($A341="","",IF(COUNTIFS(請求記録!$B$6:$B$3005,$A341,請求記録!$X$6:$X$3005,H$5,請求記録!$AD$6:$AD$3005,"保留中")&gt;0,"保留",IF(COUNTIFS(請求記録!$B$6:$B$3005,$A341,請求記録!$X$6:$X$3005,H$5)=0,"",SUMIFS(請求記録!$AC$6:$AC$3005,請求記録!$B$6:$B$3005,$A341,請求記録!$X$6:$X$3005,H$5))))</f>
        <v/>
      </c>
      <c r="I341" s="19">
        <f>IF($A341="","",IF(COUNTIFS(請求記録!$B$6:$B$3005,$A341,請求記録!$X$6:$X$3005,I$5,請求記録!$AD$6:$AD$3005,"保留中")&gt;0,"保留",IF(COUNTIFS(請求記録!$B$6:$B$3005,$A341,請求記録!$X$6:$X$3005,I$5)=0,"",SUMIFS(請求記録!$AC$6:$AC$3005,請求記録!$B$6:$B$3005,$A341,請求記録!$X$6:$X$3005,I$5))))</f>
        <v/>
      </c>
      <c r="J341" s="19">
        <f>IF($A341="","",IF(COUNTIFS(請求記録!$B$6:$B$3005,$A341,請求記録!$X$6:$X$3005,J$5,請求記録!$AD$6:$AD$3005,"保留中")&gt;0,"保留",IF(COUNTIFS(請求記録!$B$6:$B$3005,$A341,請求記録!$X$6:$X$3005,J$5)=0,"",SUMIFS(請求記録!$AC$6:$AC$3005,請求記録!$B$6:$B$3005,$A341,請求記録!$X$6:$X$3005,J$5))))</f>
        <v/>
      </c>
      <c r="K341" s="19">
        <f>IF($A341="","",IF(COUNTIFS(請求記録!$B$6:$B$3005,$A341,請求記録!$X$6:$X$3005,K$5,請求記録!$AD$6:$AD$3005,"保留中")&gt;0,"保留",IF(COUNTIFS(請求記録!$B$6:$B$3005,$A341,請求記録!$X$6:$X$3005,K$5)=0,"",SUMIFS(請求記録!$AC$6:$AC$3005,請求記録!$B$6:$B$3005,$A341,請求記録!$X$6:$X$3005,K$5))))</f>
        <v/>
      </c>
      <c r="L341" s="19">
        <f>IF($A341="","",IF(COUNTIFS(請求記録!$B$6:$B$3005,$A341,請求記録!$X$6:$X$3005,L$5,請求記録!$AD$6:$AD$3005,"保留中")&gt;0,"保留",IF(COUNTIFS(請求記録!$B$6:$B$3005,$A341,請求記録!$X$6:$X$3005,L$5)=0,"",SUMIFS(請求記録!$AC$6:$AC$3005,請求記録!$B$6:$B$3005,$A341,請求記録!$X$6:$X$3005,L$5))))</f>
        <v/>
      </c>
      <c r="M341" s="19">
        <f>IF($A341="","",IF(COUNTIFS(請求記録!$B$6:$B$3005,$A341,請求記録!$X$6:$X$3005,M$5,請求記録!$AD$6:$AD$3005,"保留中")&gt;0,"保留",IF(COUNTIFS(請求記録!$B$6:$B$3005,$A341,請求記録!$X$6:$X$3005,M$5)=0,"",SUMIFS(請求記録!$AC$6:$AC$3005,請求記録!$B$6:$B$3005,$A341,請求記録!$X$6:$X$3005,M$5))))</f>
        <v/>
      </c>
      <c r="N341" s="19">
        <f>IF($A341="","",IF(COUNTIFS(請求記録!$B$6:$B$3005,$A341,請求記録!$X$6:$X$3005,N$5,請求記録!$AD$6:$AD$3005,"保留中")&gt;0,"保留",IF(COUNTIFS(請求記録!$B$6:$B$3005,$A341,請求記録!$X$6:$X$3005,N$5)=0,"",SUMIFS(請求記録!$AC$6:$AC$3005,請求記録!$B$6:$B$3005,$A341,請求記録!$X$6:$X$3005,N$5))))</f>
        <v/>
      </c>
      <c r="O341" s="19">
        <f>IF($A341="","",IF(COUNTIFS(請求記録!$B$6:$B$3005,$A341,請求記録!$X$6:$X$3005,O$5,請求記録!$AD$6:$AD$3005,"保留中")&gt;0,"保留",IF(COUNTIFS(請求記録!$B$6:$B$3005,$A341,請求記録!$X$6:$X$3005,O$5)=0,"",SUMIFS(請求記録!$AC$6:$AC$3005,請求記録!$B$6:$B$3005,$A341,請求記録!$X$6:$X$3005,O$5))))</f>
        <v/>
      </c>
      <c r="P341" s="19">
        <f>IF($A341="","",IF(COUNTIFS(請求記録!$B$6:$B$3005,$A341,請求記録!$X$6:$X$3005,P$5,請求記録!$AD$6:$AD$3005,"保留中")&gt;0,"保留",IF(COUNTIFS(請求記録!$B$6:$B$3005,$A341,請求記録!$X$6:$X$3005,P$5)=0,"",SUMIFS(請求記録!$AC$6:$AC$3005,請求記録!$B$6:$B$3005,$A341,請求記録!$X$6:$X$3005,P$5))))</f>
        <v/>
      </c>
      <c r="Q341" s="19">
        <f>IF($A341="","",IF(COUNTIFS(請求記録!$B$6:$B$3005,$A341,請求記録!$X$6:$X$3005,Q$5,請求記録!$AD$6:$AD$3005,"保留中")&gt;0,"保留",IF(COUNTIFS(請求記録!$B$6:$B$3005,$A341,請求記録!$X$6:$X$3005,Q$5)=0,"",SUMIFS(請求記録!$AC$6:$AC$3005,請求記録!$B$6:$B$3005,$A341,請求記録!$X$6:$X$3005,Q$5))))</f>
        <v/>
      </c>
      <c r="R341" s="19">
        <f>IF($A341="","",IF(COUNTIFS(請求記録!$B$6:$B$3005,$A341,請求記録!$X$6:$X$3005,R$5,請求記録!$AD$6:$AD$3005,"保留中")&gt;0,"保留",IF(COUNTIFS(請求記録!$B$6:$B$3005,$A341,請求記録!$X$6:$X$3005,R$5)=0,"",SUMIFS(請求記録!$AC$6:$AC$3005,請求記録!$B$6:$B$3005,$A341,請求記録!$X$6:$X$3005,R$5))))</f>
        <v/>
      </c>
      <c r="S341" s="19">
        <f>IF($A341="","",IF(COUNTIFS(請求記録!$B$6:$B$3005,$A341,請求記録!$X$6:$X$3005,S$5,請求記録!$AD$6:$AD$3005,"保留中")&gt;0,"保留",IF(COUNTIFS(請求記録!$B$6:$B$3005,$A341,請求記録!$X$6:$X$3005,S$5)=0,"",SUMIFS(請求記録!$AC$6:$AC$3005,請求記録!$B$6:$B$3005,$A341,請求記録!$X$6:$X$3005,S$5))))</f>
        <v/>
      </c>
      <c r="T341" s="19">
        <f>IF($A341="","",IF(COUNTIFS(請求記録!$B$6:$B$3005,$A341,請求記録!$X$6:$X$3005,T$5,請求記録!$AD$6:$AD$3005,"保留中")&gt;0,"保留",IF(COUNTIFS(請求記録!$B$6:$B$3005,$A341,請求記録!$X$6:$X$3005,T$5)=0,"",SUMIFS(請求記録!$AC$6:$AC$3005,請求記録!$B$6:$B$3005,$A341,請求記録!$X$6:$X$3005,T$5))))</f>
        <v/>
      </c>
      <c r="U341" s="19">
        <f>IF($A341="","",IF(COUNTIFS(請求記録!$B$6:$B$3005,$A341,請求記録!$X$6:$X$3005,U$5,請求記録!$AD$6:$AD$3005,"保留中")&gt;0,"保留",IF(COUNTIFS(請求記録!$B$6:$B$3005,$A341,請求記録!$X$6:$X$3005,U$5)=0,"",SUMIFS(請求記録!$AC$6:$AC$3005,請求記録!$B$6:$B$3005,$A341,請求記録!$X$6:$X$3005,U$5))))</f>
        <v/>
      </c>
      <c r="V341" s="19">
        <f>IF($A341="","",IF(COUNTIFS(請求記録!$B$6:$B$3005,$A341,請求記録!$X$6:$X$3005,V$5,請求記録!$AD$6:$AD$3005,"保留中")&gt;0,"保留",IF(COUNTIFS(請求記録!$B$6:$B$3005,$A341,請求記録!$X$6:$X$3005,V$5)=0,"",SUMIFS(請求記録!$AC$6:$AC$3005,請求記録!$B$6:$B$3005,$A341,請求記録!$X$6:$X$3005,V$5))))</f>
        <v/>
      </c>
      <c r="W341" s="19">
        <f>IF($A341="","",IF(COUNTIFS(請求記録!$B$6:$B$3005,$A341,請求記録!$X$6:$X$3005,W$5,請求記録!$AD$6:$AD$3005,"保留中")&gt;0,"保留",IF(COUNTIFS(請求記録!$B$6:$B$3005,$A341,請求記録!$X$6:$X$3005,W$5)=0,"",SUMIFS(請求記録!$AC$6:$AC$3005,請求記録!$B$6:$B$3005,$A341,請求記録!$X$6:$X$3005,W$5))))</f>
        <v/>
      </c>
      <c r="X341" s="19">
        <f>IF($A341="","",IF(COUNTIFS(請求記録!$B$6:$B$3005,$A341,請求記録!$X$6:$X$3005,X$5,請求記録!$AD$6:$AD$3005,"保留中")&gt;0,"保留",IF(COUNTIFS(請求記録!$B$6:$B$3005,$A341,請求記録!$X$6:$X$3005,X$5)=0,"",SUMIFS(請求記録!$AC$6:$AC$3005,請求記録!$B$6:$B$3005,$A341,請求記録!$X$6:$X$3005,X$5))))</f>
        <v/>
      </c>
      <c r="Y341" s="19">
        <f>IF($A341="","",IF(COUNTIFS(請求記録!$B$6:$B$3005,$A341,請求記録!$X$6:$X$3005,Y$5,請求記録!$AD$6:$AD$3005,"保留中")&gt;0,"保留",IF(COUNTIFS(請求記録!$B$6:$B$3005,$A341,請求記録!$X$6:$X$3005,Y$5)=0,"",SUMIFS(請求記録!$AC$6:$AC$3005,請求記録!$B$6:$B$3005,$A341,請求記録!$X$6:$X$3005,Y$5))))</f>
        <v/>
      </c>
      <c r="Z341" s="19">
        <f>IF($A341="","",IF(COUNTIFS(請求記録!$B$6:$B$3005,$A341,請求記録!$X$6:$X$3005,Z$5,請求記録!$AD$6:$AD$3005,"保留中")&gt;0,"保留",IF(COUNTIFS(請求記録!$B$6:$B$3005,$A341,請求記録!$X$6:$X$3005,Z$5)=0,"",SUMIFS(請求記録!$AC$6:$AC$3005,請求記録!$B$6:$B$3005,$A341,請求記録!$X$6:$X$3005,Z$5))))</f>
        <v/>
      </c>
      <c r="AA341" s="19">
        <f>IF($A341="","",IF(COUNTIFS(請求記録!$B$6:$B$3005,$A341,請求記録!$X$6:$X$3005,AA$5,請求記録!$AD$6:$AD$3005,"保留中")&gt;0,"保留",IF(COUNTIFS(請求記録!$B$6:$B$3005,$A341,請求記録!$X$6:$X$3005,AA$5)=0,"",SUMIFS(請求記録!$AC$6:$AC$3005,請求記録!$B$6:$B$3005,$A341,請求記録!$X$6:$X$3005,AA$5))))</f>
        <v/>
      </c>
      <c r="AB341">
        <f>IF(職員マスタ!P341="保留中",職員マスタ!M341,"")</f>
        <v/>
      </c>
    </row>
    <row r="342">
      <c r="A342">
        <f>IF(職員マスタ!A342="","",職員マスタ!A342)</f>
        <v/>
      </c>
      <c r="B342">
        <f>IF($A342="","",職員マスタ!B342)</f>
        <v/>
      </c>
      <c r="C342">
        <f>IF($A342="","",職員マスタ!C342)</f>
        <v/>
      </c>
      <c r="D342" s="19">
        <f>IF($A342="","",IF(COUNTIFS(請求記録!$B$6:$B$3005,$A342,請求記録!$X$6:$X$3005,D$5,請求記録!$AD$6:$AD$3005,"保留中")&gt;0,"保留",IF(COUNTIFS(請求記録!$B$6:$B$3005,$A342,請求記録!$X$6:$X$3005,D$5)=0,"",SUMIFS(請求記録!$AC$6:$AC$3005,請求記録!$B$6:$B$3005,$A342,請求記録!$X$6:$X$3005,D$5))))</f>
        <v/>
      </c>
      <c r="E342" s="19">
        <f>IF($A342="","",IF(COUNTIFS(請求記録!$B$6:$B$3005,$A342,請求記録!$X$6:$X$3005,E$5,請求記録!$AD$6:$AD$3005,"保留中")&gt;0,"保留",IF(COUNTIFS(請求記録!$B$6:$B$3005,$A342,請求記録!$X$6:$X$3005,E$5)=0,"",SUMIFS(請求記録!$AC$6:$AC$3005,請求記録!$B$6:$B$3005,$A342,請求記録!$X$6:$X$3005,E$5))))</f>
        <v/>
      </c>
      <c r="F342" s="19">
        <f>IF($A342="","",IF(COUNTIFS(請求記録!$B$6:$B$3005,$A342,請求記録!$X$6:$X$3005,F$5,請求記録!$AD$6:$AD$3005,"保留中")&gt;0,"保留",IF(COUNTIFS(請求記録!$B$6:$B$3005,$A342,請求記録!$X$6:$X$3005,F$5)=0,"",SUMIFS(請求記録!$AC$6:$AC$3005,請求記録!$B$6:$B$3005,$A342,請求記録!$X$6:$X$3005,F$5))))</f>
        <v/>
      </c>
      <c r="G342" s="19">
        <f>IF($A342="","",IF(COUNTIFS(請求記録!$B$6:$B$3005,$A342,請求記録!$X$6:$X$3005,G$5,請求記録!$AD$6:$AD$3005,"保留中")&gt;0,"保留",IF(COUNTIFS(請求記録!$B$6:$B$3005,$A342,請求記録!$X$6:$X$3005,G$5)=0,"",SUMIFS(請求記録!$AC$6:$AC$3005,請求記録!$B$6:$B$3005,$A342,請求記録!$X$6:$X$3005,G$5))))</f>
        <v/>
      </c>
      <c r="H342" s="19">
        <f>IF($A342="","",IF(COUNTIFS(請求記録!$B$6:$B$3005,$A342,請求記録!$X$6:$X$3005,H$5,請求記録!$AD$6:$AD$3005,"保留中")&gt;0,"保留",IF(COUNTIFS(請求記録!$B$6:$B$3005,$A342,請求記録!$X$6:$X$3005,H$5)=0,"",SUMIFS(請求記録!$AC$6:$AC$3005,請求記録!$B$6:$B$3005,$A342,請求記録!$X$6:$X$3005,H$5))))</f>
        <v/>
      </c>
      <c r="I342" s="19">
        <f>IF($A342="","",IF(COUNTIFS(請求記録!$B$6:$B$3005,$A342,請求記録!$X$6:$X$3005,I$5,請求記録!$AD$6:$AD$3005,"保留中")&gt;0,"保留",IF(COUNTIFS(請求記録!$B$6:$B$3005,$A342,請求記録!$X$6:$X$3005,I$5)=0,"",SUMIFS(請求記録!$AC$6:$AC$3005,請求記録!$B$6:$B$3005,$A342,請求記録!$X$6:$X$3005,I$5))))</f>
        <v/>
      </c>
      <c r="J342" s="19">
        <f>IF($A342="","",IF(COUNTIFS(請求記録!$B$6:$B$3005,$A342,請求記録!$X$6:$X$3005,J$5,請求記録!$AD$6:$AD$3005,"保留中")&gt;0,"保留",IF(COUNTIFS(請求記録!$B$6:$B$3005,$A342,請求記録!$X$6:$X$3005,J$5)=0,"",SUMIFS(請求記録!$AC$6:$AC$3005,請求記録!$B$6:$B$3005,$A342,請求記録!$X$6:$X$3005,J$5))))</f>
        <v/>
      </c>
      <c r="K342" s="19">
        <f>IF($A342="","",IF(COUNTIFS(請求記録!$B$6:$B$3005,$A342,請求記録!$X$6:$X$3005,K$5,請求記録!$AD$6:$AD$3005,"保留中")&gt;0,"保留",IF(COUNTIFS(請求記録!$B$6:$B$3005,$A342,請求記録!$X$6:$X$3005,K$5)=0,"",SUMIFS(請求記録!$AC$6:$AC$3005,請求記録!$B$6:$B$3005,$A342,請求記録!$X$6:$X$3005,K$5))))</f>
        <v/>
      </c>
      <c r="L342" s="19">
        <f>IF($A342="","",IF(COUNTIFS(請求記録!$B$6:$B$3005,$A342,請求記録!$X$6:$X$3005,L$5,請求記録!$AD$6:$AD$3005,"保留中")&gt;0,"保留",IF(COUNTIFS(請求記録!$B$6:$B$3005,$A342,請求記録!$X$6:$X$3005,L$5)=0,"",SUMIFS(請求記録!$AC$6:$AC$3005,請求記録!$B$6:$B$3005,$A342,請求記録!$X$6:$X$3005,L$5))))</f>
        <v/>
      </c>
      <c r="M342" s="19">
        <f>IF($A342="","",IF(COUNTIFS(請求記録!$B$6:$B$3005,$A342,請求記録!$X$6:$X$3005,M$5,請求記録!$AD$6:$AD$3005,"保留中")&gt;0,"保留",IF(COUNTIFS(請求記録!$B$6:$B$3005,$A342,請求記録!$X$6:$X$3005,M$5)=0,"",SUMIFS(請求記録!$AC$6:$AC$3005,請求記録!$B$6:$B$3005,$A342,請求記録!$X$6:$X$3005,M$5))))</f>
        <v/>
      </c>
      <c r="N342" s="19">
        <f>IF($A342="","",IF(COUNTIFS(請求記録!$B$6:$B$3005,$A342,請求記録!$X$6:$X$3005,N$5,請求記録!$AD$6:$AD$3005,"保留中")&gt;0,"保留",IF(COUNTIFS(請求記録!$B$6:$B$3005,$A342,請求記録!$X$6:$X$3005,N$5)=0,"",SUMIFS(請求記録!$AC$6:$AC$3005,請求記録!$B$6:$B$3005,$A342,請求記録!$X$6:$X$3005,N$5))))</f>
        <v/>
      </c>
      <c r="O342" s="19">
        <f>IF($A342="","",IF(COUNTIFS(請求記録!$B$6:$B$3005,$A342,請求記録!$X$6:$X$3005,O$5,請求記録!$AD$6:$AD$3005,"保留中")&gt;0,"保留",IF(COUNTIFS(請求記録!$B$6:$B$3005,$A342,請求記録!$X$6:$X$3005,O$5)=0,"",SUMIFS(請求記録!$AC$6:$AC$3005,請求記録!$B$6:$B$3005,$A342,請求記録!$X$6:$X$3005,O$5))))</f>
        <v/>
      </c>
      <c r="P342" s="19">
        <f>IF($A342="","",IF(COUNTIFS(請求記録!$B$6:$B$3005,$A342,請求記録!$X$6:$X$3005,P$5,請求記録!$AD$6:$AD$3005,"保留中")&gt;0,"保留",IF(COUNTIFS(請求記録!$B$6:$B$3005,$A342,請求記録!$X$6:$X$3005,P$5)=0,"",SUMIFS(請求記録!$AC$6:$AC$3005,請求記録!$B$6:$B$3005,$A342,請求記録!$X$6:$X$3005,P$5))))</f>
        <v/>
      </c>
      <c r="Q342" s="19">
        <f>IF($A342="","",IF(COUNTIFS(請求記録!$B$6:$B$3005,$A342,請求記録!$X$6:$X$3005,Q$5,請求記録!$AD$6:$AD$3005,"保留中")&gt;0,"保留",IF(COUNTIFS(請求記録!$B$6:$B$3005,$A342,請求記録!$X$6:$X$3005,Q$5)=0,"",SUMIFS(請求記録!$AC$6:$AC$3005,請求記録!$B$6:$B$3005,$A342,請求記録!$X$6:$X$3005,Q$5))))</f>
        <v/>
      </c>
      <c r="R342" s="19">
        <f>IF($A342="","",IF(COUNTIFS(請求記録!$B$6:$B$3005,$A342,請求記録!$X$6:$X$3005,R$5,請求記録!$AD$6:$AD$3005,"保留中")&gt;0,"保留",IF(COUNTIFS(請求記録!$B$6:$B$3005,$A342,請求記録!$X$6:$X$3005,R$5)=0,"",SUMIFS(請求記録!$AC$6:$AC$3005,請求記録!$B$6:$B$3005,$A342,請求記録!$X$6:$X$3005,R$5))))</f>
        <v/>
      </c>
      <c r="S342" s="19">
        <f>IF($A342="","",IF(COUNTIFS(請求記録!$B$6:$B$3005,$A342,請求記録!$X$6:$X$3005,S$5,請求記録!$AD$6:$AD$3005,"保留中")&gt;0,"保留",IF(COUNTIFS(請求記録!$B$6:$B$3005,$A342,請求記録!$X$6:$X$3005,S$5)=0,"",SUMIFS(請求記録!$AC$6:$AC$3005,請求記録!$B$6:$B$3005,$A342,請求記録!$X$6:$X$3005,S$5))))</f>
        <v/>
      </c>
      <c r="T342" s="19">
        <f>IF($A342="","",IF(COUNTIFS(請求記録!$B$6:$B$3005,$A342,請求記録!$X$6:$X$3005,T$5,請求記録!$AD$6:$AD$3005,"保留中")&gt;0,"保留",IF(COUNTIFS(請求記録!$B$6:$B$3005,$A342,請求記録!$X$6:$X$3005,T$5)=0,"",SUMIFS(請求記録!$AC$6:$AC$3005,請求記録!$B$6:$B$3005,$A342,請求記録!$X$6:$X$3005,T$5))))</f>
        <v/>
      </c>
      <c r="U342" s="19">
        <f>IF($A342="","",IF(COUNTIFS(請求記録!$B$6:$B$3005,$A342,請求記録!$X$6:$X$3005,U$5,請求記録!$AD$6:$AD$3005,"保留中")&gt;0,"保留",IF(COUNTIFS(請求記録!$B$6:$B$3005,$A342,請求記録!$X$6:$X$3005,U$5)=0,"",SUMIFS(請求記録!$AC$6:$AC$3005,請求記録!$B$6:$B$3005,$A342,請求記録!$X$6:$X$3005,U$5))))</f>
        <v/>
      </c>
      <c r="V342" s="19">
        <f>IF($A342="","",IF(COUNTIFS(請求記録!$B$6:$B$3005,$A342,請求記録!$X$6:$X$3005,V$5,請求記録!$AD$6:$AD$3005,"保留中")&gt;0,"保留",IF(COUNTIFS(請求記録!$B$6:$B$3005,$A342,請求記録!$X$6:$X$3005,V$5)=0,"",SUMIFS(請求記録!$AC$6:$AC$3005,請求記録!$B$6:$B$3005,$A342,請求記録!$X$6:$X$3005,V$5))))</f>
        <v/>
      </c>
      <c r="W342" s="19">
        <f>IF($A342="","",IF(COUNTIFS(請求記録!$B$6:$B$3005,$A342,請求記録!$X$6:$X$3005,W$5,請求記録!$AD$6:$AD$3005,"保留中")&gt;0,"保留",IF(COUNTIFS(請求記録!$B$6:$B$3005,$A342,請求記録!$X$6:$X$3005,W$5)=0,"",SUMIFS(請求記録!$AC$6:$AC$3005,請求記録!$B$6:$B$3005,$A342,請求記録!$X$6:$X$3005,W$5))))</f>
        <v/>
      </c>
      <c r="X342" s="19">
        <f>IF($A342="","",IF(COUNTIFS(請求記録!$B$6:$B$3005,$A342,請求記録!$X$6:$X$3005,X$5,請求記録!$AD$6:$AD$3005,"保留中")&gt;0,"保留",IF(COUNTIFS(請求記録!$B$6:$B$3005,$A342,請求記録!$X$6:$X$3005,X$5)=0,"",SUMIFS(請求記録!$AC$6:$AC$3005,請求記録!$B$6:$B$3005,$A342,請求記録!$X$6:$X$3005,X$5))))</f>
        <v/>
      </c>
      <c r="Y342" s="19">
        <f>IF($A342="","",IF(COUNTIFS(請求記録!$B$6:$B$3005,$A342,請求記録!$X$6:$X$3005,Y$5,請求記録!$AD$6:$AD$3005,"保留中")&gt;0,"保留",IF(COUNTIFS(請求記録!$B$6:$B$3005,$A342,請求記録!$X$6:$X$3005,Y$5)=0,"",SUMIFS(請求記録!$AC$6:$AC$3005,請求記録!$B$6:$B$3005,$A342,請求記録!$X$6:$X$3005,Y$5))))</f>
        <v/>
      </c>
      <c r="Z342" s="19">
        <f>IF($A342="","",IF(COUNTIFS(請求記録!$B$6:$B$3005,$A342,請求記録!$X$6:$X$3005,Z$5,請求記録!$AD$6:$AD$3005,"保留中")&gt;0,"保留",IF(COUNTIFS(請求記録!$B$6:$B$3005,$A342,請求記録!$X$6:$X$3005,Z$5)=0,"",SUMIFS(請求記録!$AC$6:$AC$3005,請求記録!$B$6:$B$3005,$A342,請求記録!$X$6:$X$3005,Z$5))))</f>
        <v/>
      </c>
      <c r="AA342" s="19">
        <f>IF($A342="","",IF(COUNTIFS(請求記録!$B$6:$B$3005,$A342,請求記録!$X$6:$X$3005,AA$5,請求記録!$AD$6:$AD$3005,"保留中")&gt;0,"保留",IF(COUNTIFS(請求記録!$B$6:$B$3005,$A342,請求記録!$X$6:$X$3005,AA$5)=0,"",SUMIFS(請求記録!$AC$6:$AC$3005,請求記録!$B$6:$B$3005,$A342,請求記録!$X$6:$X$3005,AA$5))))</f>
        <v/>
      </c>
      <c r="AB342">
        <f>IF(職員マスタ!P342="保留中",職員マスタ!M342,"")</f>
        <v/>
      </c>
    </row>
    <row r="343">
      <c r="A343">
        <f>IF(職員マスタ!A343="","",職員マスタ!A343)</f>
        <v/>
      </c>
      <c r="B343">
        <f>IF($A343="","",職員マスタ!B343)</f>
        <v/>
      </c>
      <c r="C343">
        <f>IF($A343="","",職員マスタ!C343)</f>
        <v/>
      </c>
      <c r="D343" s="19">
        <f>IF($A343="","",IF(COUNTIFS(請求記録!$B$6:$B$3005,$A343,請求記録!$X$6:$X$3005,D$5,請求記録!$AD$6:$AD$3005,"保留中")&gt;0,"保留",IF(COUNTIFS(請求記録!$B$6:$B$3005,$A343,請求記録!$X$6:$X$3005,D$5)=0,"",SUMIFS(請求記録!$AC$6:$AC$3005,請求記録!$B$6:$B$3005,$A343,請求記録!$X$6:$X$3005,D$5))))</f>
        <v/>
      </c>
      <c r="E343" s="19">
        <f>IF($A343="","",IF(COUNTIFS(請求記録!$B$6:$B$3005,$A343,請求記録!$X$6:$X$3005,E$5,請求記録!$AD$6:$AD$3005,"保留中")&gt;0,"保留",IF(COUNTIFS(請求記録!$B$6:$B$3005,$A343,請求記録!$X$6:$X$3005,E$5)=0,"",SUMIFS(請求記録!$AC$6:$AC$3005,請求記録!$B$6:$B$3005,$A343,請求記録!$X$6:$X$3005,E$5))))</f>
        <v/>
      </c>
      <c r="F343" s="19">
        <f>IF($A343="","",IF(COUNTIFS(請求記録!$B$6:$B$3005,$A343,請求記録!$X$6:$X$3005,F$5,請求記録!$AD$6:$AD$3005,"保留中")&gt;0,"保留",IF(COUNTIFS(請求記録!$B$6:$B$3005,$A343,請求記録!$X$6:$X$3005,F$5)=0,"",SUMIFS(請求記録!$AC$6:$AC$3005,請求記録!$B$6:$B$3005,$A343,請求記録!$X$6:$X$3005,F$5))))</f>
        <v/>
      </c>
      <c r="G343" s="19">
        <f>IF($A343="","",IF(COUNTIFS(請求記録!$B$6:$B$3005,$A343,請求記録!$X$6:$X$3005,G$5,請求記録!$AD$6:$AD$3005,"保留中")&gt;0,"保留",IF(COUNTIFS(請求記録!$B$6:$B$3005,$A343,請求記録!$X$6:$X$3005,G$5)=0,"",SUMIFS(請求記録!$AC$6:$AC$3005,請求記録!$B$6:$B$3005,$A343,請求記録!$X$6:$X$3005,G$5))))</f>
        <v/>
      </c>
      <c r="H343" s="19">
        <f>IF($A343="","",IF(COUNTIFS(請求記録!$B$6:$B$3005,$A343,請求記録!$X$6:$X$3005,H$5,請求記録!$AD$6:$AD$3005,"保留中")&gt;0,"保留",IF(COUNTIFS(請求記録!$B$6:$B$3005,$A343,請求記録!$X$6:$X$3005,H$5)=0,"",SUMIFS(請求記録!$AC$6:$AC$3005,請求記録!$B$6:$B$3005,$A343,請求記録!$X$6:$X$3005,H$5))))</f>
        <v/>
      </c>
      <c r="I343" s="19">
        <f>IF($A343="","",IF(COUNTIFS(請求記録!$B$6:$B$3005,$A343,請求記録!$X$6:$X$3005,I$5,請求記録!$AD$6:$AD$3005,"保留中")&gt;0,"保留",IF(COUNTIFS(請求記録!$B$6:$B$3005,$A343,請求記録!$X$6:$X$3005,I$5)=0,"",SUMIFS(請求記録!$AC$6:$AC$3005,請求記録!$B$6:$B$3005,$A343,請求記録!$X$6:$X$3005,I$5))))</f>
        <v/>
      </c>
      <c r="J343" s="19">
        <f>IF($A343="","",IF(COUNTIFS(請求記録!$B$6:$B$3005,$A343,請求記録!$X$6:$X$3005,J$5,請求記録!$AD$6:$AD$3005,"保留中")&gt;0,"保留",IF(COUNTIFS(請求記録!$B$6:$B$3005,$A343,請求記録!$X$6:$X$3005,J$5)=0,"",SUMIFS(請求記録!$AC$6:$AC$3005,請求記録!$B$6:$B$3005,$A343,請求記録!$X$6:$X$3005,J$5))))</f>
        <v/>
      </c>
      <c r="K343" s="19">
        <f>IF($A343="","",IF(COUNTIFS(請求記録!$B$6:$B$3005,$A343,請求記録!$X$6:$X$3005,K$5,請求記録!$AD$6:$AD$3005,"保留中")&gt;0,"保留",IF(COUNTIFS(請求記録!$B$6:$B$3005,$A343,請求記録!$X$6:$X$3005,K$5)=0,"",SUMIFS(請求記録!$AC$6:$AC$3005,請求記録!$B$6:$B$3005,$A343,請求記録!$X$6:$X$3005,K$5))))</f>
        <v/>
      </c>
      <c r="L343" s="19">
        <f>IF($A343="","",IF(COUNTIFS(請求記録!$B$6:$B$3005,$A343,請求記録!$X$6:$X$3005,L$5,請求記録!$AD$6:$AD$3005,"保留中")&gt;0,"保留",IF(COUNTIFS(請求記録!$B$6:$B$3005,$A343,請求記録!$X$6:$X$3005,L$5)=0,"",SUMIFS(請求記録!$AC$6:$AC$3005,請求記録!$B$6:$B$3005,$A343,請求記録!$X$6:$X$3005,L$5))))</f>
        <v/>
      </c>
      <c r="M343" s="19">
        <f>IF($A343="","",IF(COUNTIFS(請求記録!$B$6:$B$3005,$A343,請求記録!$X$6:$X$3005,M$5,請求記録!$AD$6:$AD$3005,"保留中")&gt;0,"保留",IF(COUNTIFS(請求記録!$B$6:$B$3005,$A343,請求記録!$X$6:$X$3005,M$5)=0,"",SUMIFS(請求記録!$AC$6:$AC$3005,請求記録!$B$6:$B$3005,$A343,請求記録!$X$6:$X$3005,M$5))))</f>
        <v/>
      </c>
      <c r="N343" s="19">
        <f>IF($A343="","",IF(COUNTIFS(請求記録!$B$6:$B$3005,$A343,請求記録!$X$6:$X$3005,N$5,請求記録!$AD$6:$AD$3005,"保留中")&gt;0,"保留",IF(COUNTIFS(請求記録!$B$6:$B$3005,$A343,請求記録!$X$6:$X$3005,N$5)=0,"",SUMIFS(請求記録!$AC$6:$AC$3005,請求記録!$B$6:$B$3005,$A343,請求記録!$X$6:$X$3005,N$5))))</f>
        <v/>
      </c>
      <c r="O343" s="19">
        <f>IF($A343="","",IF(COUNTIFS(請求記録!$B$6:$B$3005,$A343,請求記録!$X$6:$X$3005,O$5,請求記録!$AD$6:$AD$3005,"保留中")&gt;0,"保留",IF(COUNTIFS(請求記録!$B$6:$B$3005,$A343,請求記録!$X$6:$X$3005,O$5)=0,"",SUMIFS(請求記録!$AC$6:$AC$3005,請求記録!$B$6:$B$3005,$A343,請求記録!$X$6:$X$3005,O$5))))</f>
        <v/>
      </c>
      <c r="P343" s="19">
        <f>IF($A343="","",IF(COUNTIFS(請求記録!$B$6:$B$3005,$A343,請求記録!$X$6:$X$3005,P$5,請求記録!$AD$6:$AD$3005,"保留中")&gt;0,"保留",IF(COUNTIFS(請求記録!$B$6:$B$3005,$A343,請求記録!$X$6:$X$3005,P$5)=0,"",SUMIFS(請求記録!$AC$6:$AC$3005,請求記録!$B$6:$B$3005,$A343,請求記録!$X$6:$X$3005,P$5))))</f>
        <v/>
      </c>
      <c r="Q343" s="19">
        <f>IF($A343="","",IF(COUNTIFS(請求記録!$B$6:$B$3005,$A343,請求記録!$X$6:$X$3005,Q$5,請求記録!$AD$6:$AD$3005,"保留中")&gt;0,"保留",IF(COUNTIFS(請求記録!$B$6:$B$3005,$A343,請求記録!$X$6:$X$3005,Q$5)=0,"",SUMIFS(請求記録!$AC$6:$AC$3005,請求記録!$B$6:$B$3005,$A343,請求記録!$X$6:$X$3005,Q$5))))</f>
        <v/>
      </c>
      <c r="R343" s="19">
        <f>IF($A343="","",IF(COUNTIFS(請求記録!$B$6:$B$3005,$A343,請求記録!$X$6:$X$3005,R$5,請求記録!$AD$6:$AD$3005,"保留中")&gt;0,"保留",IF(COUNTIFS(請求記録!$B$6:$B$3005,$A343,請求記録!$X$6:$X$3005,R$5)=0,"",SUMIFS(請求記録!$AC$6:$AC$3005,請求記録!$B$6:$B$3005,$A343,請求記録!$X$6:$X$3005,R$5))))</f>
        <v/>
      </c>
      <c r="S343" s="19">
        <f>IF($A343="","",IF(COUNTIFS(請求記録!$B$6:$B$3005,$A343,請求記録!$X$6:$X$3005,S$5,請求記録!$AD$6:$AD$3005,"保留中")&gt;0,"保留",IF(COUNTIFS(請求記録!$B$6:$B$3005,$A343,請求記録!$X$6:$X$3005,S$5)=0,"",SUMIFS(請求記録!$AC$6:$AC$3005,請求記録!$B$6:$B$3005,$A343,請求記録!$X$6:$X$3005,S$5))))</f>
        <v/>
      </c>
      <c r="T343" s="19">
        <f>IF($A343="","",IF(COUNTIFS(請求記録!$B$6:$B$3005,$A343,請求記録!$X$6:$X$3005,T$5,請求記録!$AD$6:$AD$3005,"保留中")&gt;0,"保留",IF(COUNTIFS(請求記録!$B$6:$B$3005,$A343,請求記録!$X$6:$X$3005,T$5)=0,"",SUMIFS(請求記録!$AC$6:$AC$3005,請求記録!$B$6:$B$3005,$A343,請求記録!$X$6:$X$3005,T$5))))</f>
        <v/>
      </c>
      <c r="U343" s="19">
        <f>IF($A343="","",IF(COUNTIFS(請求記録!$B$6:$B$3005,$A343,請求記録!$X$6:$X$3005,U$5,請求記録!$AD$6:$AD$3005,"保留中")&gt;0,"保留",IF(COUNTIFS(請求記録!$B$6:$B$3005,$A343,請求記録!$X$6:$X$3005,U$5)=0,"",SUMIFS(請求記録!$AC$6:$AC$3005,請求記録!$B$6:$B$3005,$A343,請求記録!$X$6:$X$3005,U$5))))</f>
        <v/>
      </c>
      <c r="V343" s="19">
        <f>IF($A343="","",IF(COUNTIFS(請求記録!$B$6:$B$3005,$A343,請求記録!$X$6:$X$3005,V$5,請求記録!$AD$6:$AD$3005,"保留中")&gt;0,"保留",IF(COUNTIFS(請求記録!$B$6:$B$3005,$A343,請求記録!$X$6:$X$3005,V$5)=0,"",SUMIFS(請求記録!$AC$6:$AC$3005,請求記録!$B$6:$B$3005,$A343,請求記録!$X$6:$X$3005,V$5))))</f>
        <v/>
      </c>
      <c r="W343" s="19">
        <f>IF($A343="","",IF(COUNTIFS(請求記録!$B$6:$B$3005,$A343,請求記録!$X$6:$X$3005,W$5,請求記録!$AD$6:$AD$3005,"保留中")&gt;0,"保留",IF(COUNTIFS(請求記録!$B$6:$B$3005,$A343,請求記録!$X$6:$X$3005,W$5)=0,"",SUMIFS(請求記録!$AC$6:$AC$3005,請求記録!$B$6:$B$3005,$A343,請求記録!$X$6:$X$3005,W$5))))</f>
        <v/>
      </c>
      <c r="X343" s="19">
        <f>IF($A343="","",IF(COUNTIFS(請求記録!$B$6:$B$3005,$A343,請求記録!$X$6:$X$3005,X$5,請求記録!$AD$6:$AD$3005,"保留中")&gt;0,"保留",IF(COUNTIFS(請求記録!$B$6:$B$3005,$A343,請求記録!$X$6:$X$3005,X$5)=0,"",SUMIFS(請求記録!$AC$6:$AC$3005,請求記録!$B$6:$B$3005,$A343,請求記録!$X$6:$X$3005,X$5))))</f>
        <v/>
      </c>
      <c r="Y343" s="19">
        <f>IF($A343="","",IF(COUNTIFS(請求記録!$B$6:$B$3005,$A343,請求記録!$X$6:$X$3005,Y$5,請求記録!$AD$6:$AD$3005,"保留中")&gt;0,"保留",IF(COUNTIFS(請求記録!$B$6:$B$3005,$A343,請求記録!$X$6:$X$3005,Y$5)=0,"",SUMIFS(請求記録!$AC$6:$AC$3005,請求記録!$B$6:$B$3005,$A343,請求記録!$X$6:$X$3005,Y$5))))</f>
        <v/>
      </c>
      <c r="Z343" s="19">
        <f>IF($A343="","",IF(COUNTIFS(請求記録!$B$6:$B$3005,$A343,請求記録!$X$6:$X$3005,Z$5,請求記録!$AD$6:$AD$3005,"保留中")&gt;0,"保留",IF(COUNTIFS(請求記録!$B$6:$B$3005,$A343,請求記録!$X$6:$X$3005,Z$5)=0,"",SUMIFS(請求記録!$AC$6:$AC$3005,請求記録!$B$6:$B$3005,$A343,請求記録!$X$6:$X$3005,Z$5))))</f>
        <v/>
      </c>
      <c r="AA343" s="19">
        <f>IF($A343="","",IF(COUNTIFS(請求記録!$B$6:$B$3005,$A343,請求記録!$X$6:$X$3005,AA$5,請求記録!$AD$6:$AD$3005,"保留中")&gt;0,"保留",IF(COUNTIFS(請求記録!$B$6:$B$3005,$A343,請求記録!$X$6:$X$3005,AA$5)=0,"",SUMIFS(請求記録!$AC$6:$AC$3005,請求記録!$B$6:$B$3005,$A343,請求記録!$X$6:$X$3005,AA$5))))</f>
        <v/>
      </c>
      <c r="AB343">
        <f>IF(職員マスタ!P343="保留中",職員マスタ!M343,"")</f>
        <v/>
      </c>
    </row>
    <row r="344">
      <c r="A344">
        <f>IF(職員マスタ!A344="","",職員マスタ!A344)</f>
        <v/>
      </c>
      <c r="B344">
        <f>IF($A344="","",職員マスタ!B344)</f>
        <v/>
      </c>
      <c r="C344">
        <f>IF($A344="","",職員マスタ!C344)</f>
        <v/>
      </c>
      <c r="D344" s="19">
        <f>IF($A344="","",IF(COUNTIFS(請求記録!$B$6:$B$3005,$A344,請求記録!$X$6:$X$3005,D$5,請求記録!$AD$6:$AD$3005,"保留中")&gt;0,"保留",IF(COUNTIFS(請求記録!$B$6:$B$3005,$A344,請求記録!$X$6:$X$3005,D$5)=0,"",SUMIFS(請求記録!$AC$6:$AC$3005,請求記録!$B$6:$B$3005,$A344,請求記録!$X$6:$X$3005,D$5))))</f>
        <v/>
      </c>
      <c r="E344" s="19">
        <f>IF($A344="","",IF(COUNTIFS(請求記録!$B$6:$B$3005,$A344,請求記録!$X$6:$X$3005,E$5,請求記録!$AD$6:$AD$3005,"保留中")&gt;0,"保留",IF(COUNTIFS(請求記録!$B$6:$B$3005,$A344,請求記録!$X$6:$X$3005,E$5)=0,"",SUMIFS(請求記録!$AC$6:$AC$3005,請求記録!$B$6:$B$3005,$A344,請求記録!$X$6:$X$3005,E$5))))</f>
        <v/>
      </c>
      <c r="F344" s="19">
        <f>IF($A344="","",IF(COUNTIFS(請求記録!$B$6:$B$3005,$A344,請求記録!$X$6:$X$3005,F$5,請求記録!$AD$6:$AD$3005,"保留中")&gt;0,"保留",IF(COUNTIFS(請求記録!$B$6:$B$3005,$A344,請求記録!$X$6:$X$3005,F$5)=0,"",SUMIFS(請求記録!$AC$6:$AC$3005,請求記録!$B$6:$B$3005,$A344,請求記録!$X$6:$X$3005,F$5))))</f>
        <v/>
      </c>
      <c r="G344" s="19">
        <f>IF($A344="","",IF(COUNTIFS(請求記録!$B$6:$B$3005,$A344,請求記録!$X$6:$X$3005,G$5,請求記録!$AD$6:$AD$3005,"保留中")&gt;0,"保留",IF(COUNTIFS(請求記録!$B$6:$B$3005,$A344,請求記録!$X$6:$X$3005,G$5)=0,"",SUMIFS(請求記録!$AC$6:$AC$3005,請求記録!$B$6:$B$3005,$A344,請求記録!$X$6:$X$3005,G$5))))</f>
        <v/>
      </c>
      <c r="H344" s="19">
        <f>IF($A344="","",IF(COUNTIFS(請求記録!$B$6:$B$3005,$A344,請求記録!$X$6:$X$3005,H$5,請求記録!$AD$6:$AD$3005,"保留中")&gt;0,"保留",IF(COUNTIFS(請求記録!$B$6:$B$3005,$A344,請求記録!$X$6:$X$3005,H$5)=0,"",SUMIFS(請求記録!$AC$6:$AC$3005,請求記録!$B$6:$B$3005,$A344,請求記録!$X$6:$X$3005,H$5))))</f>
        <v/>
      </c>
      <c r="I344" s="19">
        <f>IF($A344="","",IF(COUNTIFS(請求記録!$B$6:$B$3005,$A344,請求記録!$X$6:$X$3005,I$5,請求記録!$AD$6:$AD$3005,"保留中")&gt;0,"保留",IF(COUNTIFS(請求記録!$B$6:$B$3005,$A344,請求記録!$X$6:$X$3005,I$5)=0,"",SUMIFS(請求記録!$AC$6:$AC$3005,請求記録!$B$6:$B$3005,$A344,請求記録!$X$6:$X$3005,I$5))))</f>
        <v/>
      </c>
      <c r="J344" s="19">
        <f>IF($A344="","",IF(COUNTIFS(請求記録!$B$6:$B$3005,$A344,請求記録!$X$6:$X$3005,J$5,請求記録!$AD$6:$AD$3005,"保留中")&gt;0,"保留",IF(COUNTIFS(請求記録!$B$6:$B$3005,$A344,請求記録!$X$6:$X$3005,J$5)=0,"",SUMIFS(請求記録!$AC$6:$AC$3005,請求記録!$B$6:$B$3005,$A344,請求記録!$X$6:$X$3005,J$5))))</f>
        <v/>
      </c>
      <c r="K344" s="19">
        <f>IF($A344="","",IF(COUNTIFS(請求記録!$B$6:$B$3005,$A344,請求記録!$X$6:$X$3005,K$5,請求記録!$AD$6:$AD$3005,"保留中")&gt;0,"保留",IF(COUNTIFS(請求記録!$B$6:$B$3005,$A344,請求記録!$X$6:$X$3005,K$5)=0,"",SUMIFS(請求記録!$AC$6:$AC$3005,請求記録!$B$6:$B$3005,$A344,請求記録!$X$6:$X$3005,K$5))))</f>
        <v/>
      </c>
      <c r="L344" s="19">
        <f>IF($A344="","",IF(COUNTIFS(請求記録!$B$6:$B$3005,$A344,請求記録!$X$6:$X$3005,L$5,請求記録!$AD$6:$AD$3005,"保留中")&gt;0,"保留",IF(COUNTIFS(請求記録!$B$6:$B$3005,$A344,請求記録!$X$6:$X$3005,L$5)=0,"",SUMIFS(請求記録!$AC$6:$AC$3005,請求記録!$B$6:$B$3005,$A344,請求記録!$X$6:$X$3005,L$5))))</f>
        <v/>
      </c>
      <c r="M344" s="19">
        <f>IF($A344="","",IF(COUNTIFS(請求記録!$B$6:$B$3005,$A344,請求記録!$X$6:$X$3005,M$5,請求記録!$AD$6:$AD$3005,"保留中")&gt;0,"保留",IF(COUNTIFS(請求記録!$B$6:$B$3005,$A344,請求記録!$X$6:$X$3005,M$5)=0,"",SUMIFS(請求記録!$AC$6:$AC$3005,請求記録!$B$6:$B$3005,$A344,請求記録!$X$6:$X$3005,M$5))))</f>
        <v/>
      </c>
      <c r="N344" s="19">
        <f>IF($A344="","",IF(COUNTIFS(請求記録!$B$6:$B$3005,$A344,請求記録!$X$6:$X$3005,N$5,請求記録!$AD$6:$AD$3005,"保留中")&gt;0,"保留",IF(COUNTIFS(請求記録!$B$6:$B$3005,$A344,請求記録!$X$6:$X$3005,N$5)=0,"",SUMIFS(請求記録!$AC$6:$AC$3005,請求記録!$B$6:$B$3005,$A344,請求記録!$X$6:$X$3005,N$5))))</f>
        <v/>
      </c>
      <c r="O344" s="19">
        <f>IF($A344="","",IF(COUNTIFS(請求記録!$B$6:$B$3005,$A344,請求記録!$X$6:$X$3005,O$5,請求記録!$AD$6:$AD$3005,"保留中")&gt;0,"保留",IF(COUNTIFS(請求記録!$B$6:$B$3005,$A344,請求記録!$X$6:$X$3005,O$5)=0,"",SUMIFS(請求記録!$AC$6:$AC$3005,請求記録!$B$6:$B$3005,$A344,請求記録!$X$6:$X$3005,O$5))))</f>
        <v/>
      </c>
      <c r="P344" s="19">
        <f>IF($A344="","",IF(COUNTIFS(請求記録!$B$6:$B$3005,$A344,請求記録!$X$6:$X$3005,P$5,請求記録!$AD$6:$AD$3005,"保留中")&gt;0,"保留",IF(COUNTIFS(請求記録!$B$6:$B$3005,$A344,請求記録!$X$6:$X$3005,P$5)=0,"",SUMIFS(請求記録!$AC$6:$AC$3005,請求記録!$B$6:$B$3005,$A344,請求記録!$X$6:$X$3005,P$5))))</f>
        <v/>
      </c>
      <c r="Q344" s="19">
        <f>IF($A344="","",IF(COUNTIFS(請求記録!$B$6:$B$3005,$A344,請求記録!$X$6:$X$3005,Q$5,請求記録!$AD$6:$AD$3005,"保留中")&gt;0,"保留",IF(COUNTIFS(請求記録!$B$6:$B$3005,$A344,請求記録!$X$6:$X$3005,Q$5)=0,"",SUMIFS(請求記録!$AC$6:$AC$3005,請求記録!$B$6:$B$3005,$A344,請求記録!$X$6:$X$3005,Q$5))))</f>
        <v/>
      </c>
      <c r="R344" s="19">
        <f>IF($A344="","",IF(COUNTIFS(請求記録!$B$6:$B$3005,$A344,請求記録!$X$6:$X$3005,R$5,請求記録!$AD$6:$AD$3005,"保留中")&gt;0,"保留",IF(COUNTIFS(請求記録!$B$6:$B$3005,$A344,請求記録!$X$6:$X$3005,R$5)=0,"",SUMIFS(請求記録!$AC$6:$AC$3005,請求記録!$B$6:$B$3005,$A344,請求記録!$X$6:$X$3005,R$5))))</f>
        <v/>
      </c>
      <c r="S344" s="19">
        <f>IF($A344="","",IF(COUNTIFS(請求記録!$B$6:$B$3005,$A344,請求記録!$X$6:$X$3005,S$5,請求記録!$AD$6:$AD$3005,"保留中")&gt;0,"保留",IF(COUNTIFS(請求記録!$B$6:$B$3005,$A344,請求記録!$X$6:$X$3005,S$5)=0,"",SUMIFS(請求記録!$AC$6:$AC$3005,請求記録!$B$6:$B$3005,$A344,請求記録!$X$6:$X$3005,S$5))))</f>
        <v/>
      </c>
      <c r="T344" s="19">
        <f>IF($A344="","",IF(COUNTIFS(請求記録!$B$6:$B$3005,$A344,請求記録!$X$6:$X$3005,T$5,請求記録!$AD$6:$AD$3005,"保留中")&gt;0,"保留",IF(COUNTIFS(請求記録!$B$6:$B$3005,$A344,請求記録!$X$6:$X$3005,T$5)=0,"",SUMIFS(請求記録!$AC$6:$AC$3005,請求記録!$B$6:$B$3005,$A344,請求記録!$X$6:$X$3005,T$5))))</f>
        <v/>
      </c>
      <c r="U344" s="19">
        <f>IF($A344="","",IF(COUNTIFS(請求記録!$B$6:$B$3005,$A344,請求記録!$X$6:$X$3005,U$5,請求記録!$AD$6:$AD$3005,"保留中")&gt;0,"保留",IF(COUNTIFS(請求記録!$B$6:$B$3005,$A344,請求記録!$X$6:$X$3005,U$5)=0,"",SUMIFS(請求記録!$AC$6:$AC$3005,請求記録!$B$6:$B$3005,$A344,請求記録!$X$6:$X$3005,U$5))))</f>
        <v/>
      </c>
      <c r="V344" s="19">
        <f>IF($A344="","",IF(COUNTIFS(請求記録!$B$6:$B$3005,$A344,請求記録!$X$6:$X$3005,V$5,請求記録!$AD$6:$AD$3005,"保留中")&gt;0,"保留",IF(COUNTIFS(請求記録!$B$6:$B$3005,$A344,請求記録!$X$6:$X$3005,V$5)=0,"",SUMIFS(請求記録!$AC$6:$AC$3005,請求記録!$B$6:$B$3005,$A344,請求記録!$X$6:$X$3005,V$5))))</f>
        <v/>
      </c>
      <c r="W344" s="19">
        <f>IF($A344="","",IF(COUNTIFS(請求記録!$B$6:$B$3005,$A344,請求記録!$X$6:$X$3005,W$5,請求記録!$AD$6:$AD$3005,"保留中")&gt;0,"保留",IF(COUNTIFS(請求記録!$B$6:$B$3005,$A344,請求記録!$X$6:$X$3005,W$5)=0,"",SUMIFS(請求記録!$AC$6:$AC$3005,請求記録!$B$6:$B$3005,$A344,請求記録!$X$6:$X$3005,W$5))))</f>
        <v/>
      </c>
      <c r="X344" s="19">
        <f>IF($A344="","",IF(COUNTIFS(請求記録!$B$6:$B$3005,$A344,請求記録!$X$6:$X$3005,X$5,請求記録!$AD$6:$AD$3005,"保留中")&gt;0,"保留",IF(COUNTIFS(請求記録!$B$6:$B$3005,$A344,請求記録!$X$6:$X$3005,X$5)=0,"",SUMIFS(請求記録!$AC$6:$AC$3005,請求記録!$B$6:$B$3005,$A344,請求記録!$X$6:$X$3005,X$5))))</f>
        <v/>
      </c>
      <c r="Y344" s="19">
        <f>IF($A344="","",IF(COUNTIFS(請求記録!$B$6:$B$3005,$A344,請求記録!$X$6:$X$3005,Y$5,請求記録!$AD$6:$AD$3005,"保留中")&gt;0,"保留",IF(COUNTIFS(請求記録!$B$6:$B$3005,$A344,請求記録!$X$6:$X$3005,Y$5)=0,"",SUMIFS(請求記録!$AC$6:$AC$3005,請求記録!$B$6:$B$3005,$A344,請求記録!$X$6:$X$3005,Y$5))))</f>
        <v/>
      </c>
      <c r="Z344" s="19">
        <f>IF($A344="","",IF(COUNTIFS(請求記録!$B$6:$B$3005,$A344,請求記録!$X$6:$X$3005,Z$5,請求記録!$AD$6:$AD$3005,"保留中")&gt;0,"保留",IF(COUNTIFS(請求記録!$B$6:$B$3005,$A344,請求記録!$X$6:$X$3005,Z$5)=0,"",SUMIFS(請求記録!$AC$6:$AC$3005,請求記録!$B$6:$B$3005,$A344,請求記録!$X$6:$X$3005,Z$5))))</f>
        <v/>
      </c>
      <c r="AA344" s="19">
        <f>IF($A344="","",IF(COUNTIFS(請求記録!$B$6:$B$3005,$A344,請求記録!$X$6:$X$3005,AA$5,請求記録!$AD$6:$AD$3005,"保留中")&gt;0,"保留",IF(COUNTIFS(請求記録!$B$6:$B$3005,$A344,請求記録!$X$6:$X$3005,AA$5)=0,"",SUMIFS(請求記録!$AC$6:$AC$3005,請求記録!$B$6:$B$3005,$A344,請求記録!$X$6:$X$3005,AA$5))))</f>
        <v/>
      </c>
      <c r="AB344">
        <f>IF(職員マスタ!P344="保留中",職員マスタ!M344,"")</f>
        <v/>
      </c>
    </row>
    <row r="345">
      <c r="A345">
        <f>IF(職員マスタ!A345="","",職員マスタ!A345)</f>
        <v/>
      </c>
      <c r="B345">
        <f>IF($A345="","",職員マスタ!B345)</f>
        <v/>
      </c>
      <c r="C345">
        <f>IF($A345="","",職員マスタ!C345)</f>
        <v/>
      </c>
      <c r="D345" s="19">
        <f>IF($A345="","",IF(COUNTIFS(請求記録!$B$6:$B$3005,$A345,請求記録!$X$6:$X$3005,D$5,請求記録!$AD$6:$AD$3005,"保留中")&gt;0,"保留",IF(COUNTIFS(請求記録!$B$6:$B$3005,$A345,請求記録!$X$6:$X$3005,D$5)=0,"",SUMIFS(請求記録!$AC$6:$AC$3005,請求記録!$B$6:$B$3005,$A345,請求記録!$X$6:$X$3005,D$5))))</f>
        <v/>
      </c>
      <c r="E345" s="19">
        <f>IF($A345="","",IF(COUNTIFS(請求記録!$B$6:$B$3005,$A345,請求記録!$X$6:$X$3005,E$5,請求記録!$AD$6:$AD$3005,"保留中")&gt;0,"保留",IF(COUNTIFS(請求記録!$B$6:$B$3005,$A345,請求記録!$X$6:$X$3005,E$5)=0,"",SUMIFS(請求記録!$AC$6:$AC$3005,請求記録!$B$6:$B$3005,$A345,請求記録!$X$6:$X$3005,E$5))))</f>
        <v/>
      </c>
      <c r="F345" s="19">
        <f>IF($A345="","",IF(COUNTIFS(請求記録!$B$6:$B$3005,$A345,請求記録!$X$6:$X$3005,F$5,請求記録!$AD$6:$AD$3005,"保留中")&gt;0,"保留",IF(COUNTIFS(請求記録!$B$6:$B$3005,$A345,請求記録!$X$6:$X$3005,F$5)=0,"",SUMIFS(請求記録!$AC$6:$AC$3005,請求記録!$B$6:$B$3005,$A345,請求記録!$X$6:$X$3005,F$5))))</f>
        <v/>
      </c>
      <c r="G345" s="19">
        <f>IF($A345="","",IF(COUNTIFS(請求記録!$B$6:$B$3005,$A345,請求記録!$X$6:$X$3005,G$5,請求記録!$AD$6:$AD$3005,"保留中")&gt;0,"保留",IF(COUNTIFS(請求記録!$B$6:$B$3005,$A345,請求記録!$X$6:$X$3005,G$5)=0,"",SUMIFS(請求記録!$AC$6:$AC$3005,請求記録!$B$6:$B$3005,$A345,請求記録!$X$6:$X$3005,G$5))))</f>
        <v/>
      </c>
      <c r="H345" s="19">
        <f>IF($A345="","",IF(COUNTIFS(請求記録!$B$6:$B$3005,$A345,請求記録!$X$6:$X$3005,H$5,請求記録!$AD$6:$AD$3005,"保留中")&gt;0,"保留",IF(COUNTIFS(請求記録!$B$6:$B$3005,$A345,請求記録!$X$6:$X$3005,H$5)=0,"",SUMIFS(請求記録!$AC$6:$AC$3005,請求記録!$B$6:$B$3005,$A345,請求記録!$X$6:$X$3005,H$5))))</f>
        <v/>
      </c>
      <c r="I345" s="19">
        <f>IF($A345="","",IF(COUNTIFS(請求記録!$B$6:$B$3005,$A345,請求記録!$X$6:$X$3005,I$5,請求記録!$AD$6:$AD$3005,"保留中")&gt;0,"保留",IF(COUNTIFS(請求記録!$B$6:$B$3005,$A345,請求記録!$X$6:$X$3005,I$5)=0,"",SUMIFS(請求記録!$AC$6:$AC$3005,請求記録!$B$6:$B$3005,$A345,請求記録!$X$6:$X$3005,I$5))))</f>
        <v/>
      </c>
      <c r="J345" s="19">
        <f>IF($A345="","",IF(COUNTIFS(請求記録!$B$6:$B$3005,$A345,請求記録!$X$6:$X$3005,J$5,請求記録!$AD$6:$AD$3005,"保留中")&gt;0,"保留",IF(COUNTIFS(請求記録!$B$6:$B$3005,$A345,請求記録!$X$6:$X$3005,J$5)=0,"",SUMIFS(請求記録!$AC$6:$AC$3005,請求記録!$B$6:$B$3005,$A345,請求記録!$X$6:$X$3005,J$5))))</f>
        <v/>
      </c>
      <c r="K345" s="19">
        <f>IF($A345="","",IF(COUNTIFS(請求記録!$B$6:$B$3005,$A345,請求記録!$X$6:$X$3005,K$5,請求記録!$AD$6:$AD$3005,"保留中")&gt;0,"保留",IF(COUNTIFS(請求記録!$B$6:$B$3005,$A345,請求記録!$X$6:$X$3005,K$5)=0,"",SUMIFS(請求記録!$AC$6:$AC$3005,請求記録!$B$6:$B$3005,$A345,請求記録!$X$6:$X$3005,K$5))))</f>
        <v/>
      </c>
      <c r="L345" s="19">
        <f>IF($A345="","",IF(COUNTIFS(請求記録!$B$6:$B$3005,$A345,請求記録!$X$6:$X$3005,L$5,請求記録!$AD$6:$AD$3005,"保留中")&gt;0,"保留",IF(COUNTIFS(請求記録!$B$6:$B$3005,$A345,請求記録!$X$6:$X$3005,L$5)=0,"",SUMIFS(請求記録!$AC$6:$AC$3005,請求記録!$B$6:$B$3005,$A345,請求記録!$X$6:$X$3005,L$5))))</f>
        <v/>
      </c>
      <c r="M345" s="19">
        <f>IF($A345="","",IF(COUNTIFS(請求記録!$B$6:$B$3005,$A345,請求記録!$X$6:$X$3005,M$5,請求記録!$AD$6:$AD$3005,"保留中")&gt;0,"保留",IF(COUNTIFS(請求記録!$B$6:$B$3005,$A345,請求記録!$X$6:$X$3005,M$5)=0,"",SUMIFS(請求記録!$AC$6:$AC$3005,請求記録!$B$6:$B$3005,$A345,請求記録!$X$6:$X$3005,M$5))))</f>
        <v/>
      </c>
      <c r="N345" s="19">
        <f>IF($A345="","",IF(COUNTIFS(請求記録!$B$6:$B$3005,$A345,請求記録!$X$6:$X$3005,N$5,請求記録!$AD$6:$AD$3005,"保留中")&gt;0,"保留",IF(COUNTIFS(請求記録!$B$6:$B$3005,$A345,請求記録!$X$6:$X$3005,N$5)=0,"",SUMIFS(請求記録!$AC$6:$AC$3005,請求記録!$B$6:$B$3005,$A345,請求記録!$X$6:$X$3005,N$5))))</f>
        <v/>
      </c>
      <c r="O345" s="19">
        <f>IF($A345="","",IF(COUNTIFS(請求記録!$B$6:$B$3005,$A345,請求記録!$X$6:$X$3005,O$5,請求記録!$AD$6:$AD$3005,"保留中")&gt;0,"保留",IF(COUNTIFS(請求記録!$B$6:$B$3005,$A345,請求記録!$X$6:$X$3005,O$5)=0,"",SUMIFS(請求記録!$AC$6:$AC$3005,請求記録!$B$6:$B$3005,$A345,請求記録!$X$6:$X$3005,O$5))))</f>
        <v/>
      </c>
      <c r="P345" s="19">
        <f>IF($A345="","",IF(COUNTIFS(請求記録!$B$6:$B$3005,$A345,請求記録!$X$6:$X$3005,P$5,請求記録!$AD$6:$AD$3005,"保留中")&gt;0,"保留",IF(COUNTIFS(請求記録!$B$6:$B$3005,$A345,請求記録!$X$6:$X$3005,P$5)=0,"",SUMIFS(請求記録!$AC$6:$AC$3005,請求記録!$B$6:$B$3005,$A345,請求記録!$X$6:$X$3005,P$5))))</f>
        <v/>
      </c>
      <c r="Q345" s="19">
        <f>IF($A345="","",IF(COUNTIFS(請求記録!$B$6:$B$3005,$A345,請求記録!$X$6:$X$3005,Q$5,請求記録!$AD$6:$AD$3005,"保留中")&gt;0,"保留",IF(COUNTIFS(請求記録!$B$6:$B$3005,$A345,請求記録!$X$6:$X$3005,Q$5)=0,"",SUMIFS(請求記録!$AC$6:$AC$3005,請求記録!$B$6:$B$3005,$A345,請求記録!$X$6:$X$3005,Q$5))))</f>
        <v/>
      </c>
      <c r="R345" s="19">
        <f>IF($A345="","",IF(COUNTIFS(請求記録!$B$6:$B$3005,$A345,請求記録!$X$6:$X$3005,R$5,請求記録!$AD$6:$AD$3005,"保留中")&gt;0,"保留",IF(COUNTIFS(請求記録!$B$6:$B$3005,$A345,請求記録!$X$6:$X$3005,R$5)=0,"",SUMIFS(請求記録!$AC$6:$AC$3005,請求記録!$B$6:$B$3005,$A345,請求記録!$X$6:$X$3005,R$5))))</f>
        <v/>
      </c>
      <c r="S345" s="19">
        <f>IF($A345="","",IF(COUNTIFS(請求記録!$B$6:$B$3005,$A345,請求記録!$X$6:$X$3005,S$5,請求記録!$AD$6:$AD$3005,"保留中")&gt;0,"保留",IF(COUNTIFS(請求記録!$B$6:$B$3005,$A345,請求記録!$X$6:$X$3005,S$5)=0,"",SUMIFS(請求記録!$AC$6:$AC$3005,請求記録!$B$6:$B$3005,$A345,請求記録!$X$6:$X$3005,S$5))))</f>
        <v/>
      </c>
      <c r="T345" s="19">
        <f>IF($A345="","",IF(COUNTIFS(請求記録!$B$6:$B$3005,$A345,請求記録!$X$6:$X$3005,T$5,請求記録!$AD$6:$AD$3005,"保留中")&gt;0,"保留",IF(COUNTIFS(請求記録!$B$6:$B$3005,$A345,請求記録!$X$6:$X$3005,T$5)=0,"",SUMIFS(請求記録!$AC$6:$AC$3005,請求記録!$B$6:$B$3005,$A345,請求記録!$X$6:$X$3005,T$5))))</f>
        <v/>
      </c>
      <c r="U345" s="19">
        <f>IF($A345="","",IF(COUNTIFS(請求記録!$B$6:$B$3005,$A345,請求記録!$X$6:$X$3005,U$5,請求記録!$AD$6:$AD$3005,"保留中")&gt;0,"保留",IF(COUNTIFS(請求記録!$B$6:$B$3005,$A345,請求記録!$X$6:$X$3005,U$5)=0,"",SUMIFS(請求記録!$AC$6:$AC$3005,請求記録!$B$6:$B$3005,$A345,請求記録!$X$6:$X$3005,U$5))))</f>
        <v/>
      </c>
      <c r="V345" s="19">
        <f>IF($A345="","",IF(COUNTIFS(請求記録!$B$6:$B$3005,$A345,請求記録!$X$6:$X$3005,V$5,請求記録!$AD$6:$AD$3005,"保留中")&gt;0,"保留",IF(COUNTIFS(請求記録!$B$6:$B$3005,$A345,請求記録!$X$6:$X$3005,V$5)=0,"",SUMIFS(請求記録!$AC$6:$AC$3005,請求記録!$B$6:$B$3005,$A345,請求記録!$X$6:$X$3005,V$5))))</f>
        <v/>
      </c>
      <c r="W345" s="19">
        <f>IF($A345="","",IF(COUNTIFS(請求記録!$B$6:$B$3005,$A345,請求記録!$X$6:$X$3005,W$5,請求記録!$AD$6:$AD$3005,"保留中")&gt;0,"保留",IF(COUNTIFS(請求記録!$B$6:$B$3005,$A345,請求記録!$X$6:$X$3005,W$5)=0,"",SUMIFS(請求記録!$AC$6:$AC$3005,請求記録!$B$6:$B$3005,$A345,請求記録!$X$6:$X$3005,W$5))))</f>
        <v/>
      </c>
      <c r="X345" s="19">
        <f>IF($A345="","",IF(COUNTIFS(請求記録!$B$6:$B$3005,$A345,請求記録!$X$6:$X$3005,X$5,請求記録!$AD$6:$AD$3005,"保留中")&gt;0,"保留",IF(COUNTIFS(請求記録!$B$6:$B$3005,$A345,請求記録!$X$6:$X$3005,X$5)=0,"",SUMIFS(請求記録!$AC$6:$AC$3005,請求記録!$B$6:$B$3005,$A345,請求記録!$X$6:$X$3005,X$5))))</f>
        <v/>
      </c>
      <c r="Y345" s="19">
        <f>IF($A345="","",IF(COUNTIFS(請求記録!$B$6:$B$3005,$A345,請求記録!$X$6:$X$3005,Y$5,請求記録!$AD$6:$AD$3005,"保留中")&gt;0,"保留",IF(COUNTIFS(請求記録!$B$6:$B$3005,$A345,請求記録!$X$6:$X$3005,Y$5)=0,"",SUMIFS(請求記録!$AC$6:$AC$3005,請求記録!$B$6:$B$3005,$A345,請求記録!$X$6:$X$3005,Y$5))))</f>
        <v/>
      </c>
      <c r="Z345" s="19">
        <f>IF($A345="","",IF(COUNTIFS(請求記録!$B$6:$B$3005,$A345,請求記録!$X$6:$X$3005,Z$5,請求記録!$AD$6:$AD$3005,"保留中")&gt;0,"保留",IF(COUNTIFS(請求記録!$B$6:$B$3005,$A345,請求記録!$X$6:$X$3005,Z$5)=0,"",SUMIFS(請求記録!$AC$6:$AC$3005,請求記録!$B$6:$B$3005,$A345,請求記録!$X$6:$X$3005,Z$5))))</f>
        <v/>
      </c>
      <c r="AA345" s="19">
        <f>IF($A345="","",IF(COUNTIFS(請求記録!$B$6:$B$3005,$A345,請求記録!$X$6:$X$3005,AA$5,請求記録!$AD$6:$AD$3005,"保留中")&gt;0,"保留",IF(COUNTIFS(請求記録!$B$6:$B$3005,$A345,請求記録!$X$6:$X$3005,AA$5)=0,"",SUMIFS(請求記録!$AC$6:$AC$3005,請求記録!$B$6:$B$3005,$A345,請求記録!$X$6:$X$3005,AA$5))))</f>
        <v/>
      </c>
      <c r="AB345">
        <f>IF(職員マスタ!P345="保留中",職員マスタ!M345,"")</f>
        <v/>
      </c>
    </row>
    <row r="346">
      <c r="A346">
        <f>IF(職員マスタ!A346="","",職員マスタ!A346)</f>
        <v/>
      </c>
      <c r="B346">
        <f>IF($A346="","",職員マスタ!B346)</f>
        <v/>
      </c>
      <c r="C346">
        <f>IF($A346="","",職員マスタ!C346)</f>
        <v/>
      </c>
      <c r="D346" s="19">
        <f>IF($A346="","",IF(COUNTIFS(請求記録!$B$6:$B$3005,$A346,請求記録!$X$6:$X$3005,D$5,請求記録!$AD$6:$AD$3005,"保留中")&gt;0,"保留",IF(COUNTIFS(請求記録!$B$6:$B$3005,$A346,請求記録!$X$6:$X$3005,D$5)=0,"",SUMIFS(請求記録!$AC$6:$AC$3005,請求記録!$B$6:$B$3005,$A346,請求記録!$X$6:$X$3005,D$5))))</f>
        <v/>
      </c>
      <c r="E346" s="19">
        <f>IF($A346="","",IF(COUNTIFS(請求記録!$B$6:$B$3005,$A346,請求記録!$X$6:$X$3005,E$5,請求記録!$AD$6:$AD$3005,"保留中")&gt;0,"保留",IF(COUNTIFS(請求記録!$B$6:$B$3005,$A346,請求記録!$X$6:$X$3005,E$5)=0,"",SUMIFS(請求記録!$AC$6:$AC$3005,請求記録!$B$6:$B$3005,$A346,請求記録!$X$6:$X$3005,E$5))))</f>
        <v/>
      </c>
      <c r="F346" s="19">
        <f>IF($A346="","",IF(COUNTIFS(請求記録!$B$6:$B$3005,$A346,請求記録!$X$6:$X$3005,F$5,請求記録!$AD$6:$AD$3005,"保留中")&gt;0,"保留",IF(COUNTIFS(請求記録!$B$6:$B$3005,$A346,請求記録!$X$6:$X$3005,F$5)=0,"",SUMIFS(請求記録!$AC$6:$AC$3005,請求記録!$B$6:$B$3005,$A346,請求記録!$X$6:$X$3005,F$5))))</f>
        <v/>
      </c>
      <c r="G346" s="19">
        <f>IF($A346="","",IF(COUNTIFS(請求記録!$B$6:$B$3005,$A346,請求記録!$X$6:$X$3005,G$5,請求記録!$AD$6:$AD$3005,"保留中")&gt;0,"保留",IF(COUNTIFS(請求記録!$B$6:$B$3005,$A346,請求記録!$X$6:$X$3005,G$5)=0,"",SUMIFS(請求記録!$AC$6:$AC$3005,請求記録!$B$6:$B$3005,$A346,請求記録!$X$6:$X$3005,G$5))))</f>
        <v/>
      </c>
      <c r="H346" s="19">
        <f>IF($A346="","",IF(COUNTIFS(請求記録!$B$6:$B$3005,$A346,請求記録!$X$6:$X$3005,H$5,請求記録!$AD$6:$AD$3005,"保留中")&gt;0,"保留",IF(COUNTIFS(請求記録!$B$6:$B$3005,$A346,請求記録!$X$6:$X$3005,H$5)=0,"",SUMIFS(請求記録!$AC$6:$AC$3005,請求記録!$B$6:$B$3005,$A346,請求記録!$X$6:$X$3005,H$5))))</f>
        <v/>
      </c>
      <c r="I346" s="19">
        <f>IF($A346="","",IF(COUNTIFS(請求記録!$B$6:$B$3005,$A346,請求記録!$X$6:$X$3005,I$5,請求記録!$AD$6:$AD$3005,"保留中")&gt;0,"保留",IF(COUNTIFS(請求記録!$B$6:$B$3005,$A346,請求記録!$X$6:$X$3005,I$5)=0,"",SUMIFS(請求記録!$AC$6:$AC$3005,請求記録!$B$6:$B$3005,$A346,請求記録!$X$6:$X$3005,I$5))))</f>
        <v/>
      </c>
      <c r="J346" s="19">
        <f>IF($A346="","",IF(COUNTIFS(請求記録!$B$6:$B$3005,$A346,請求記録!$X$6:$X$3005,J$5,請求記録!$AD$6:$AD$3005,"保留中")&gt;0,"保留",IF(COUNTIFS(請求記録!$B$6:$B$3005,$A346,請求記録!$X$6:$X$3005,J$5)=0,"",SUMIFS(請求記録!$AC$6:$AC$3005,請求記録!$B$6:$B$3005,$A346,請求記録!$X$6:$X$3005,J$5))))</f>
        <v/>
      </c>
      <c r="K346" s="19">
        <f>IF($A346="","",IF(COUNTIFS(請求記録!$B$6:$B$3005,$A346,請求記録!$X$6:$X$3005,K$5,請求記録!$AD$6:$AD$3005,"保留中")&gt;0,"保留",IF(COUNTIFS(請求記録!$B$6:$B$3005,$A346,請求記録!$X$6:$X$3005,K$5)=0,"",SUMIFS(請求記録!$AC$6:$AC$3005,請求記録!$B$6:$B$3005,$A346,請求記録!$X$6:$X$3005,K$5))))</f>
        <v/>
      </c>
      <c r="L346" s="19">
        <f>IF($A346="","",IF(COUNTIFS(請求記録!$B$6:$B$3005,$A346,請求記録!$X$6:$X$3005,L$5,請求記録!$AD$6:$AD$3005,"保留中")&gt;0,"保留",IF(COUNTIFS(請求記録!$B$6:$B$3005,$A346,請求記録!$X$6:$X$3005,L$5)=0,"",SUMIFS(請求記録!$AC$6:$AC$3005,請求記録!$B$6:$B$3005,$A346,請求記録!$X$6:$X$3005,L$5))))</f>
        <v/>
      </c>
      <c r="M346" s="19">
        <f>IF($A346="","",IF(COUNTIFS(請求記録!$B$6:$B$3005,$A346,請求記録!$X$6:$X$3005,M$5,請求記録!$AD$6:$AD$3005,"保留中")&gt;0,"保留",IF(COUNTIFS(請求記録!$B$6:$B$3005,$A346,請求記録!$X$6:$X$3005,M$5)=0,"",SUMIFS(請求記録!$AC$6:$AC$3005,請求記録!$B$6:$B$3005,$A346,請求記録!$X$6:$X$3005,M$5))))</f>
        <v/>
      </c>
      <c r="N346" s="19">
        <f>IF($A346="","",IF(COUNTIFS(請求記録!$B$6:$B$3005,$A346,請求記録!$X$6:$X$3005,N$5,請求記録!$AD$6:$AD$3005,"保留中")&gt;0,"保留",IF(COUNTIFS(請求記録!$B$6:$B$3005,$A346,請求記録!$X$6:$X$3005,N$5)=0,"",SUMIFS(請求記録!$AC$6:$AC$3005,請求記録!$B$6:$B$3005,$A346,請求記録!$X$6:$X$3005,N$5))))</f>
        <v/>
      </c>
      <c r="O346" s="19">
        <f>IF($A346="","",IF(COUNTIFS(請求記録!$B$6:$B$3005,$A346,請求記録!$X$6:$X$3005,O$5,請求記録!$AD$6:$AD$3005,"保留中")&gt;0,"保留",IF(COUNTIFS(請求記録!$B$6:$B$3005,$A346,請求記録!$X$6:$X$3005,O$5)=0,"",SUMIFS(請求記録!$AC$6:$AC$3005,請求記録!$B$6:$B$3005,$A346,請求記録!$X$6:$X$3005,O$5))))</f>
        <v/>
      </c>
      <c r="P346" s="19">
        <f>IF($A346="","",IF(COUNTIFS(請求記録!$B$6:$B$3005,$A346,請求記録!$X$6:$X$3005,P$5,請求記録!$AD$6:$AD$3005,"保留中")&gt;0,"保留",IF(COUNTIFS(請求記録!$B$6:$B$3005,$A346,請求記録!$X$6:$X$3005,P$5)=0,"",SUMIFS(請求記録!$AC$6:$AC$3005,請求記録!$B$6:$B$3005,$A346,請求記録!$X$6:$X$3005,P$5))))</f>
        <v/>
      </c>
      <c r="Q346" s="19">
        <f>IF($A346="","",IF(COUNTIFS(請求記録!$B$6:$B$3005,$A346,請求記録!$X$6:$X$3005,Q$5,請求記録!$AD$6:$AD$3005,"保留中")&gt;0,"保留",IF(COUNTIFS(請求記録!$B$6:$B$3005,$A346,請求記録!$X$6:$X$3005,Q$5)=0,"",SUMIFS(請求記録!$AC$6:$AC$3005,請求記録!$B$6:$B$3005,$A346,請求記録!$X$6:$X$3005,Q$5))))</f>
        <v/>
      </c>
      <c r="R346" s="19">
        <f>IF($A346="","",IF(COUNTIFS(請求記録!$B$6:$B$3005,$A346,請求記録!$X$6:$X$3005,R$5,請求記録!$AD$6:$AD$3005,"保留中")&gt;0,"保留",IF(COUNTIFS(請求記録!$B$6:$B$3005,$A346,請求記録!$X$6:$X$3005,R$5)=0,"",SUMIFS(請求記録!$AC$6:$AC$3005,請求記録!$B$6:$B$3005,$A346,請求記録!$X$6:$X$3005,R$5))))</f>
        <v/>
      </c>
      <c r="S346" s="19">
        <f>IF($A346="","",IF(COUNTIFS(請求記録!$B$6:$B$3005,$A346,請求記録!$X$6:$X$3005,S$5,請求記録!$AD$6:$AD$3005,"保留中")&gt;0,"保留",IF(COUNTIFS(請求記録!$B$6:$B$3005,$A346,請求記録!$X$6:$X$3005,S$5)=0,"",SUMIFS(請求記録!$AC$6:$AC$3005,請求記録!$B$6:$B$3005,$A346,請求記録!$X$6:$X$3005,S$5))))</f>
        <v/>
      </c>
      <c r="T346" s="19">
        <f>IF($A346="","",IF(COUNTIFS(請求記録!$B$6:$B$3005,$A346,請求記録!$X$6:$X$3005,T$5,請求記録!$AD$6:$AD$3005,"保留中")&gt;0,"保留",IF(COUNTIFS(請求記録!$B$6:$B$3005,$A346,請求記録!$X$6:$X$3005,T$5)=0,"",SUMIFS(請求記録!$AC$6:$AC$3005,請求記録!$B$6:$B$3005,$A346,請求記録!$X$6:$X$3005,T$5))))</f>
        <v/>
      </c>
      <c r="U346" s="19">
        <f>IF($A346="","",IF(COUNTIFS(請求記録!$B$6:$B$3005,$A346,請求記録!$X$6:$X$3005,U$5,請求記録!$AD$6:$AD$3005,"保留中")&gt;0,"保留",IF(COUNTIFS(請求記録!$B$6:$B$3005,$A346,請求記録!$X$6:$X$3005,U$5)=0,"",SUMIFS(請求記録!$AC$6:$AC$3005,請求記録!$B$6:$B$3005,$A346,請求記録!$X$6:$X$3005,U$5))))</f>
        <v/>
      </c>
      <c r="V346" s="19">
        <f>IF($A346="","",IF(COUNTIFS(請求記録!$B$6:$B$3005,$A346,請求記録!$X$6:$X$3005,V$5,請求記録!$AD$6:$AD$3005,"保留中")&gt;0,"保留",IF(COUNTIFS(請求記録!$B$6:$B$3005,$A346,請求記録!$X$6:$X$3005,V$5)=0,"",SUMIFS(請求記録!$AC$6:$AC$3005,請求記録!$B$6:$B$3005,$A346,請求記録!$X$6:$X$3005,V$5))))</f>
        <v/>
      </c>
      <c r="W346" s="19">
        <f>IF($A346="","",IF(COUNTIFS(請求記録!$B$6:$B$3005,$A346,請求記録!$X$6:$X$3005,W$5,請求記録!$AD$6:$AD$3005,"保留中")&gt;0,"保留",IF(COUNTIFS(請求記録!$B$6:$B$3005,$A346,請求記録!$X$6:$X$3005,W$5)=0,"",SUMIFS(請求記録!$AC$6:$AC$3005,請求記録!$B$6:$B$3005,$A346,請求記録!$X$6:$X$3005,W$5))))</f>
        <v/>
      </c>
      <c r="X346" s="19">
        <f>IF($A346="","",IF(COUNTIFS(請求記録!$B$6:$B$3005,$A346,請求記録!$X$6:$X$3005,X$5,請求記録!$AD$6:$AD$3005,"保留中")&gt;0,"保留",IF(COUNTIFS(請求記録!$B$6:$B$3005,$A346,請求記録!$X$6:$X$3005,X$5)=0,"",SUMIFS(請求記録!$AC$6:$AC$3005,請求記録!$B$6:$B$3005,$A346,請求記録!$X$6:$X$3005,X$5))))</f>
        <v/>
      </c>
      <c r="Y346" s="19">
        <f>IF($A346="","",IF(COUNTIFS(請求記録!$B$6:$B$3005,$A346,請求記録!$X$6:$X$3005,Y$5,請求記録!$AD$6:$AD$3005,"保留中")&gt;0,"保留",IF(COUNTIFS(請求記録!$B$6:$B$3005,$A346,請求記録!$X$6:$X$3005,Y$5)=0,"",SUMIFS(請求記録!$AC$6:$AC$3005,請求記録!$B$6:$B$3005,$A346,請求記録!$X$6:$X$3005,Y$5))))</f>
        <v/>
      </c>
      <c r="Z346" s="19">
        <f>IF($A346="","",IF(COUNTIFS(請求記録!$B$6:$B$3005,$A346,請求記録!$X$6:$X$3005,Z$5,請求記録!$AD$6:$AD$3005,"保留中")&gt;0,"保留",IF(COUNTIFS(請求記録!$B$6:$B$3005,$A346,請求記録!$X$6:$X$3005,Z$5)=0,"",SUMIFS(請求記録!$AC$6:$AC$3005,請求記録!$B$6:$B$3005,$A346,請求記録!$X$6:$X$3005,Z$5))))</f>
        <v/>
      </c>
      <c r="AA346" s="19">
        <f>IF($A346="","",IF(COUNTIFS(請求記録!$B$6:$B$3005,$A346,請求記録!$X$6:$X$3005,AA$5,請求記録!$AD$6:$AD$3005,"保留中")&gt;0,"保留",IF(COUNTIFS(請求記録!$B$6:$B$3005,$A346,請求記録!$X$6:$X$3005,AA$5)=0,"",SUMIFS(請求記録!$AC$6:$AC$3005,請求記録!$B$6:$B$3005,$A346,請求記録!$X$6:$X$3005,AA$5))))</f>
        <v/>
      </c>
      <c r="AB346">
        <f>IF(職員マスタ!P346="保留中",職員マスタ!M346,"")</f>
        <v/>
      </c>
    </row>
    <row r="347">
      <c r="A347">
        <f>IF(職員マスタ!A347="","",職員マスタ!A347)</f>
        <v/>
      </c>
      <c r="B347">
        <f>IF($A347="","",職員マスタ!B347)</f>
        <v/>
      </c>
      <c r="C347">
        <f>IF($A347="","",職員マスタ!C347)</f>
        <v/>
      </c>
      <c r="D347" s="19">
        <f>IF($A347="","",IF(COUNTIFS(請求記録!$B$6:$B$3005,$A347,請求記録!$X$6:$X$3005,D$5,請求記録!$AD$6:$AD$3005,"保留中")&gt;0,"保留",IF(COUNTIFS(請求記録!$B$6:$B$3005,$A347,請求記録!$X$6:$X$3005,D$5)=0,"",SUMIFS(請求記録!$AC$6:$AC$3005,請求記録!$B$6:$B$3005,$A347,請求記録!$X$6:$X$3005,D$5))))</f>
        <v/>
      </c>
      <c r="E347" s="19">
        <f>IF($A347="","",IF(COUNTIFS(請求記録!$B$6:$B$3005,$A347,請求記録!$X$6:$X$3005,E$5,請求記録!$AD$6:$AD$3005,"保留中")&gt;0,"保留",IF(COUNTIFS(請求記録!$B$6:$B$3005,$A347,請求記録!$X$6:$X$3005,E$5)=0,"",SUMIFS(請求記録!$AC$6:$AC$3005,請求記録!$B$6:$B$3005,$A347,請求記録!$X$6:$X$3005,E$5))))</f>
        <v/>
      </c>
      <c r="F347" s="19">
        <f>IF($A347="","",IF(COUNTIFS(請求記録!$B$6:$B$3005,$A347,請求記録!$X$6:$X$3005,F$5,請求記録!$AD$6:$AD$3005,"保留中")&gt;0,"保留",IF(COUNTIFS(請求記録!$B$6:$B$3005,$A347,請求記録!$X$6:$X$3005,F$5)=0,"",SUMIFS(請求記録!$AC$6:$AC$3005,請求記録!$B$6:$B$3005,$A347,請求記録!$X$6:$X$3005,F$5))))</f>
        <v/>
      </c>
      <c r="G347" s="19">
        <f>IF($A347="","",IF(COUNTIFS(請求記録!$B$6:$B$3005,$A347,請求記録!$X$6:$X$3005,G$5,請求記録!$AD$6:$AD$3005,"保留中")&gt;0,"保留",IF(COUNTIFS(請求記録!$B$6:$B$3005,$A347,請求記録!$X$6:$X$3005,G$5)=0,"",SUMIFS(請求記録!$AC$6:$AC$3005,請求記録!$B$6:$B$3005,$A347,請求記録!$X$6:$X$3005,G$5))))</f>
        <v/>
      </c>
      <c r="H347" s="19">
        <f>IF($A347="","",IF(COUNTIFS(請求記録!$B$6:$B$3005,$A347,請求記録!$X$6:$X$3005,H$5,請求記録!$AD$6:$AD$3005,"保留中")&gt;0,"保留",IF(COUNTIFS(請求記録!$B$6:$B$3005,$A347,請求記録!$X$6:$X$3005,H$5)=0,"",SUMIFS(請求記録!$AC$6:$AC$3005,請求記録!$B$6:$B$3005,$A347,請求記録!$X$6:$X$3005,H$5))))</f>
        <v/>
      </c>
      <c r="I347" s="19">
        <f>IF($A347="","",IF(COUNTIFS(請求記録!$B$6:$B$3005,$A347,請求記録!$X$6:$X$3005,I$5,請求記録!$AD$6:$AD$3005,"保留中")&gt;0,"保留",IF(COUNTIFS(請求記録!$B$6:$B$3005,$A347,請求記録!$X$6:$X$3005,I$5)=0,"",SUMIFS(請求記録!$AC$6:$AC$3005,請求記録!$B$6:$B$3005,$A347,請求記録!$X$6:$X$3005,I$5))))</f>
        <v/>
      </c>
      <c r="J347" s="19">
        <f>IF($A347="","",IF(COUNTIFS(請求記録!$B$6:$B$3005,$A347,請求記録!$X$6:$X$3005,J$5,請求記録!$AD$6:$AD$3005,"保留中")&gt;0,"保留",IF(COUNTIFS(請求記録!$B$6:$B$3005,$A347,請求記録!$X$6:$X$3005,J$5)=0,"",SUMIFS(請求記録!$AC$6:$AC$3005,請求記録!$B$6:$B$3005,$A347,請求記録!$X$6:$X$3005,J$5))))</f>
        <v/>
      </c>
      <c r="K347" s="19">
        <f>IF($A347="","",IF(COUNTIFS(請求記録!$B$6:$B$3005,$A347,請求記録!$X$6:$X$3005,K$5,請求記録!$AD$6:$AD$3005,"保留中")&gt;0,"保留",IF(COUNTIFS(請求記録!$B$6:$B$3005,$A347,請求記録!$X$6:$X$3005,K$5)=0,"",SUMIFS(請求記録!$AC$6:$AC$3005,請求記録!$B$6:$B$3005,$A347,請求記録!$X$6:$X$3005,K$5))))</f>
        <v/>
      </c>
      <c r="L347" s="19">
        <f>IF($A347="","",IF(COUNTIFS(請求記録!$B$6:$B$3005,$A347,請求記録!$X$6:$X$3005,L$5,請求記録!$AD$6:$AD$3005,"保留中")&gt;0,"保留",IF(COUNTIFS(請求記録!$B$6:$B$3005,$A347,請求記録!$X$6:$X$3005,L$5)=0,"",SUMIFS(請求記録!$AC$6:$AC$3005,請求記録!$B$6:$B$3005,$A347,請求記録!$X$6:$X$3005,L$5))))</f>
        <v/>
      </c>
      <c r="M347" s="19">
        <f>IF($A347="","",IF(COUNTIFS(請求記録!$B$6:$B$3005,$A347,請求記録!$X$6:$X$3005,M$5,請求記録!$AD$6:$AD$3005,"保留中")&gt;0,"保留",IF(COUNTIFS(請求記録!$B$6:$B$3005,$A347,請求記録!$X$6:$X$3005,M$5)=0,"",SUMIFS(請求記録!$AC$6:$AC$3005,請求記録!$B$6:$B$3005,$A347,請求記録!$X$6:$X$3005,M$5))))</f>
        <v/>
      </c>
      <c r="N347" s="19">
        <f>IF($A347="","",IF(COUNTIFS(請求記録!$B$6:$B$3005,$A347,請求記録!$X$6:$X$3005,N$5,請求記録!$AD$6:$AD$3005,"保留中")&gt;0,"保留",IF(COUNTIFS(請求記録!$B$6:$B$3005,$A347,請求記録!$X$6:$X$3005,N$5)=0,"",SUMIFS(請求記録!$AC$6:$AC$3005,請求記録!$B$6:$B$3005,$A347,請求記録!$X$6:$X$3005,N$5))))</f>
        <v/>
      </c>
      <c r="O347" s="19">
        <f>IF($A347="","",IF(COUNTIFS(請求記録!$B$6:$B$3005,$A347,請求記録!$X$6:$X$3005,O$5,請求記録!$AD$6:$AD$3005,"保留中")&gt;0,"保留",IF(COUNTIFS(請求記録!$B$6:$B$3005,$A347,請求記録!$X$6:$X$3005,O$5)=0,"",SUMIFS(請求記録!$AC$6:$AC$3005,請求記録!$B$6:$B$3005,$A347,請求記録!$X$6:$X$3005,O$5))))</f>
        <v/>
      </c>
      <c r="P347" s="19">
        <f>IF($A347="","",IF(COUNTIFS(請求記録!$B$6:$B$3005,$A347,請求記録!$X$6:$X$3005,P$5,請求記録!$AD$6:$AD$3005,"保留中")&gt;0,"保留",IF(COUNTIFS(請求記録!$B$6:$B$3005,$A347,請求記録!$X$6:$X$3005,P$5)=0,"",SUMIFS(請求記録!$AC$6:$AC$3005,請求記録!$B$6:$B$3005,$A347,請求記録!$X$6:$X$3005,P$5))))</f>
        <v/>
      </c>
      <c r="Q347" s="19">
        <f>IF($A347="","",IF(COUNTIFS(請求記録!$B$6:$B$3005,$A347,請求記録!$X$6:$X$3005,Q$5,請求記録!$AD$6:$AD$3005,"保留中")&gt;0,"保留",IF(COUNTIFS(請求記録!$B$6:$B$3005,$A347,請求記録!$X$6:$X$3005,Q$5)=0,"",SUMIFS(請求記録!$AC$6:$AC$3005,請求記録!$B$6:$B$3005,$A347,請求記録!$X$6:$X$3005,Q$5))))</f>
        <v/>
      </c>
      <c r="R347" s="19">
        <f>IF($A347="","",IF(COUNTIFS(請求記録!$B$6:$B$3005,$A347,請求記録!$X$6:$X$3005,R$5,請求記録!$AD$6:$AD$3005,"保留中")&gt;0,"保留",IF(COUNTIFS(請求記録!$B$6:$B$3005,$A347,請求記録!$X$6:$X$3005,R$5)=0,"",SUMIFS(請求記録!$AC$6:$AC$3005,請求記録!$B$6:$B$3005,$A347,請求記録!$X$6:$X$3005,R$5))))</f>
        <v/>
      </c>
      <c r="S347" s="19">
        <f>IF($A347="","",IF(COUNTIFS(請求記録!$B$6:$B$3005,$A347,請求記録!$X$6:$X$3005,S$5,請求記録!$AD$6:$AD$3005,"保留中")&gt;0,"保留",IF(COUNTIFS(請求記録!$B$6:$B$3005,$A347,請求記録!$X$6:$X$3005,S$5)=0,"",SUMIFS(請求記録!$AC$6:$AC$3005,請求記録!$B$6:$B$3005,$A347,請求記録!$X$6:$X$3005,S$5))))</f>
        <v/>
      </c>
      <c r="T347" s="19">
        <f>IF($A347="","",IF(COUNTIFS(請求記録!$B$6:$B$3005,$A347,請求記録!$X$6:$X$3005,T$5,請求記録!$AD$6:$AD$3005,"保留中")&gt;0,"保留",IF(COUNTIFS(請求記録!$B$6:$B$3005,$A347,請求記録!$X$6:$X$3005,T$5)=0,"",SUMIFS(請求記録!$AC$6:$AC$3005,請求記録!$B$6:$B$3005,$A347,請求記録!$X$6:$X$3005,T$5))))</f>
        <v/>
      </c>
      <c r="U347" s="19">
        <f>IF($A347="","",IF(COUNTIFS(請求記録!$B$6:$B$3005,$A347,請求記録!$X$6:$X$3005,U$5,請求記録!$AD$6:$AD$3005,"保留中")&gt;0,"保留",IF(COUNTIFS(請求記録!$B$6:$B$3005,$A347,請求記録!$X$6:$X$3005,U$5)=0,"",SUMIFS(請求記録!$AC$6:$AC$3005,請求記録!$B$6:$B$3005,$A347,請求記録!$X$6:$X$3005,U$5))))</f>
        <v/>
      </c>
      <c r="V347" s="19">
        <f>IF($A347="","",IF(COUNTIFS(請求記録!$B$6:$B$3005,$A347,請求記録!$X$6:$X$3005,V$5,請求記録!$AD$6:$AD$3005,"保留中")&gt;0,"保留",IF(COUNTIFS(請求記録!$B$6:$B$3005,$A347,請求記録!$X$6:$X$3005,V$5)=0,"",SUMIFS(請求記録!$AC$6:$AC$3005,請求記録!$B$6:$B$3005,$A347,請求記録!$X$6:$X$3005,V$5))))</f>
        <v/>
      </c>
      <c r="W347" s="19">
        <f>IF($A347="","",IF(COUNTIFS(請求記録!$B$6:$B$3005,$A347,請求記録!$X$6:$X$3005,W$5,請求記録!$AD$6:$AD$3005,"保留中")&gt;0,"保留",IF(COUNTIFS(請求記録!$B$6:$B$3005,$A347,請求記録!$X$6:$X$3005,W$5)=0,"",SUMIFS(請求記録!$AC$6:$AC$3005,請求記録!$B$6:$B$3005,$A347,請求記録!$X$6:$X$3005,W$5))))</f>
        <v/>
      </c>
      <c r="X347" s="19">
        <f>IF($A347="","",IF(COUNTIFS(請求記録!$B$6:$B$3005,$A347,請求記録!$X$6:$X$3005,X$5,請求記録!$AD$6:$AD$3005,"保留中")&gt;0,"保留",IF(COUNTIFS(請求記録!$B$6:$B$3005,$A347,請求記録!$X$6:$X$3005,X$5)=0,"",SUMIFS(請求記録!$AC$6:$AC$3005,請求記録!$B$6:$B$3005,$A347,請求記録!$X$6:$X$3005,X$5))))</f>
        <v/>
      </c>
      <c r="Y347" s="19">
        <f>IF($A347="","",IF(COUNTIFS(請求記録!$B$6:$B$3005,$A347,請求記録!$X$6:$X$3005,Y$5,請求記録!$AD$6:$AD$3005,"保留中")&gt;0,"保留",IF(COUNTIFS(請求記録!$B$6:$B$3005,$A347,請求記録!$X$6:$X$3005,Y$5)=0,"",SUMIFS(請求記録!$AC$6:$AC$3005,請求記録!$B$6:$B$3005,$A347,請求記録!$X$6:$X$3005,Y$5))))</f>
        <v/>
      </c>
      <c r="Z347" s="19">
        <f>IF($A347="","",IF(COUNTIFS(請求記録!$B$6:$B$3005,$A347,請求記録!$X$6:$X$3005,Z$5,請求記録!$AD$6:$AD$3005,"保留中")&gt;0,"保留",IF(COUNTIFS(請求記録!$B$6:$B$3005,$A347,請求記録!$X$6:$X$3005,Z$5)=0,"",SUMIFS(請求記録!$AC$6:$AC$3005,請求記録!$B$6:$B$3005,$A347,請求記録!$X$6:$X$3005,Z$5))))</f>
        <v/>
      </c>
      <c r="AA347" s="19">
        <f>IF($A347="","",IF(COUNTIFS(請求記録!$B$6:$B$3005,$A347,請求記録!$X$6:$X$3005,AA$5,請求記録!$AD$6:$AD$3005,"保留中")&gt;0,"保留",IF(COUNTIFS(請求記録!$B$6:$B$3005,$A347,請求記録!$X$6:$X$3005,AA$5)=0,"",SUMIFS(請求記録!$AC$6:$AC$3005,請求記録!$B$6:$B$3005,$A347,請求記録!$X$6:$X$3005,AA$5))))</f>
        <v/>
      </c>
      <c r="AB347">
        <f>IF(職員マスタ!P347="保留中",職員マスタ!M347,"")</f>
        <v/>
      </c>
    </row>
    <row r="348">
      <c r="A348">
        <f>IF(職員マスタ!A348="","",職員マスタ!A348)</f>
        <v/>
      </c>
      <c r="B348">
        <f>IF($A348="","",職員マスタ!B348)</f>
        <v/>
      </c>
      <c r="C348">
        <f>IF($A348="","",職員マスタ!C348)</f>
        <v/>
      </c>
      <c r="D348" s="19">
        <f>IF($A348="","",IF(COUNTIFS(請求記録!$B$6:$B$3005,$A348,請求記録!$X$6:$X$3005,D$5,請求記録!$AD$6:$AD$3005,"保留中")&gt;0,"保留",IF(COUNTIFS(請求記録!$B$6:$B$3005,$A348,請求記録!$X$6:$X$3005,D$5)=0,"",SUMIFS(請求記録!$AC$6:$AC$3005,請求記録!$B$6:$B$3005,$A348,請求記録!$X$6:$X$3005,D$5))))</f>
        <v/>
      </c>
      <c r="E348" s="19">
        <f>IF($A348="","",IF(COUNTIFS(請求記録!$B$6:$B$3005,$A348,請求記録!$X$6:$X$3005,E$5,請求記録!$AD$6:$AD$3005,"保留中")&gt;0,"保留",IF(COUNTIFS(請求記録!$B$6:$B$3005,$A348,請求記録!$X$6:$X$3005,E$5)=0,"",SUMIFS(請求記録!$AC$6:$AC$3005,請求記録!$B$6:$B$3005,$A348,請求記録!$X$6:$X$3005,E$5))))</f>
        <v/>
      </c>
      <c r="F348" s="19">
        <f>IF($A348="","",IF(COUNTIFS(請求記録!$B$6:$B$3005,$A348,請求記録!$X$6:$X$3005,F$5,請求記録!$AD$6:$AD$3005,"保留中")&gt;0,"保留",IF(COUNTIFS(請求記録!$B$6:$B$3005,$A348,請求記録!$X$6:$X$3005,F$5)=0,"",SUMIFS(請求記録!$AC$6:$AC$3005,請求記録!$B$6:$B$3005,$A348,請求記録!$X$6:$X$3005,F$5))))</f>
        <v/>
      </c>
      <c r="G348" s="19">
        <f>IF($A348="","",IF(COUNTIFS(請求記録!$B$6:$B$3005,$A348,請求記録!$X$6:$X$3005,G$5,請求記録!$AD$6:$AD$3005,"保留中")&gt;0,"保留",IF(COUNTIFS(請求記録!$B$6:$B$3005,$A348,請求記録!$X$6:$X$3005,G$5)=0,"",SUMIFS(請求記録!$AC$6:$AC$3005,請求記録!$B$6:$B$3005,$A348,請求記録!$X$6:$X$3005,G$5))))</f>
        <v/>
      </c>
      <c r="H348" s="19">
        <f>IF($A348="","",IF(COUNTIFS(請求記録!$B$6:$B$3005,$A348,請求記録!$X$6:$X$3005,H$5,請求記録!$AD$6:$AD$3005,"保留中")&gt;0,"保留",IF(COUNTIFS(請求記録!$B$6:$B$3005,$A348,請求記録!$X$6:$X$3005,H$5)=0,"",SUMIFS(請求記録!$AC$6:$AC$3005,請求記録!$B$6:$B$3005,$A348,請求記録!$X$6:$X$3005,H$5))))</f>
        <v/>
      </c>
      <c r="I348" s="19">
        <f>IF($A348="","",IF(COUNTIFS(請求記録!$B$6:$B$3005,$A348,請求記録!$X$6:$X$3005,I$5,請求記録!$AD$6:$AD$3005,"保留中")&gt;0,"保留",IF(COUNTIFS(請求記録!$B$6:$B$3005,$A348,請求記録!$X$6:$X$3005,I$5)=0,"",SUMIFS(請求記録!$AC$6:$AC$3005,請求記録!$B$6:$B$3005,$A348,請求記録!$X$6:$X$3005,I$5))))</f>
        <v/>
      </c>
      <c r="J348" s="19">
        <f>IF($A348="","",IF(COUNTIFS(請求記録!$B$6:$B$3005,$A348,請求記録!$X$6:$X$3005,J$5,請求記録!$AD$6:$AD$3005,"保留中")&gt;0,"保留",IF(COUNTIFS(請求記録!$B$6:$B$3005,$A348,請求記録!$X$6:$X$3005,J$5)=0,"",SUMIFS(請求記録!$AC$6:$AC$3005,請求記録!$B$6:$B$3005,$A348,請求記録!$X$6:$X$3005,J$5))))</f>
        <v/>
      </c>
      <c r="K348" s="19">
        <f>IF($A348="","",IF(COUNTIFS(請求記録!$B$6:$B$3005,$A348,請求記録!$X$6:$X$3005,K$5,請求記録!$AD$6:$AD$3005,"保留中")&gt;0,"保留",IF(COUNTIFS(請求記録!$B$6:$B$3005,$A348,請求記録!$X$6:$X$3005,K$5)=0,"",SUMIFS(請求記録!$AC$6:$AC$3005,請求記録!$B$6:$B$3005,$A348,請求記録!$X$6:$X$3005,K$5))))</f>
        <v/>
      </c>
      <c r="L348" s="19">
        <f>IF($A348="","",IF(COUNTIFS(請求記録!$B$6:$B$3005,$A348,請求記録!$X$6:$X$3005,L$5,請求記録!$AD$6:$AD$3005,"保留中")&gt;0,"保留",IF(COUNTIFS(請求記録!$B$6:$B$3005,$A348,請求記録!$X$6:$X$3005,L$5)=0,"",SUMIFS(請求記録!$AC$6:$AC$3005,請求記録!$B$6:$B$3005,$A348,請求記録!$X$6:$X$3005,L$5))))</f>
        <v/>
      </c>
      <c r="M348" s="19">
        <f>IF($A348="","",IF(COUNTIFS(請求記録!$B$6:$B$3005,$A348,請求記録!$X$6:$X$3005,M$5,請求記録!$AD$6:$AD$3005,"保留中")&gt;0,"保留",IF(COUNTIFS(請求記録!$B$6:$B$3005,$A348,請求記録!$X$6:$X$3005,M$5)=0,"",SUMIFS(請求記録!$AC$6:$AC$3005,請求記録!$B$6:$B$3005,$A348,請求記録!$X$6:$X$3005,M$5))))</f>
        <v/>
      </c>
      <c r="N348" s="19">
        <f>IF($A348="","",IF(COUNTIFS(請求記録!$B$6:$B$3005,$A348,請求記録!$X$6:$X$3005,N$5,請求記録!$AD$6:$AD$3005,"保留中")&gt;0,"保留",IF(COUNTIFS(請求記録!$B$6:$B$3005,$A348,請求記録!$X$6:$X$3005,N$5)=0,"",SUMIFS(請求記録!$AC$6:$AC$3005,請求記録!$B$6:$B$3005,$A348,請求記録!$X$6:$X$3005,N$5))))</f>
        <v/>
      </c>
      <c r="O348" s="19">
        <f>IF($A348="","",IF(COUNTIFS(請求記録!$B$6:$B$3005,$A348,請求記録!$X$6:$X$3005,O$5,請求記録!$AD$6:$AD$3005,"保留中")&gt;0,"保留",IF(COUNTIFS(請求記録!$B$6:$B$3005,$A348,請求記録!$X$6:$X$3005,O$5)=0,"",SUMIFS(請求記録!$AC$6:$AC$3005,請求記録!$B$6:$B$3005,$A348,請求記録!$X$6:$X$3005,O$5))))</f>
        <v/>
      </c>
      <c r="P348" s="19">
        <f>IF($A348="","",IF(COUNTIFS(請求記録!$B$6:$B$3005,$A348,請求記録!$X$6:$X$3005,P$5,請求記録!$AD$6:$AD$3005,"保留中")&gt;0,"保留",IF(COUNTIFS(請求記録!$B$6:$B$3005,$A348,請求記録!$X$6:$X$3005,P$5)=0,"",SUMIFS(請求記録!$AC$6:$AC$3005,請求記録!$B$6:$B$3005,$A348,請求記録!$X$6:$X$3005,P$5))))</f>
        <v/>
      </c>
      <c r="Q348" s="19">
        <f>IF($A348="","",IF(COUNTIFS(請求記録!$B$6:$B$3005,$A348,請求記録!$X$6:$X$3005,Q$5,請求記録!$AD$6:$AD$3005,"保留中")&gt;0,"保留",IF(COUNTIFS(請求記録!$B$6:$B$3005,$A348,請求記録!$X$6:$X$3005,Q$5)=0,"",SUMIFS(請求記録!$AC$6:$AC$3005,請求記録!$B$6:$B$3005,$A348,請求記録!$X$6:$X$3005,Q$5))))</f>
        <v/>
      </c>
      <c r="R348" s="19">
        <f>IF($A348="","",IF(COUNTIFS(請求記録!$B$6:$B$3005,$A348,請求記録!$X$6:$X$3005,R$5,請求記録!$AD$6:$AD$3005,"保留中")&gt;0,"保留",IF(COUNTIFS(請求記録!$B$6:$B$3005,$A348,請求記録!$X$6:$X$3005,R$5)=0,"",SUMIFS(請求記録!$AC$6:$AC$3005,請求記録!$B$6:$B$3005,$A348,請求記録!$X$6:$X$3005,R$5))))</f>
        <v/>
      </c>
      <c r="S348" s="19">
        <f>IF($A348="","",IF(COUNTIFS(請求記録!$B$6:$B$3005,$A348,請求記録!$X$6:$X$3005,S$5,請求記録!$AD$6:$AD$3005,"保留中")&gt;0,"保留",IF(COUNTIFS(請求記録!$B$6:$B$3005,$A348,請求記録!$X$6:$X$3005,S$5)=0,"",SUMIFS(請求記録!$AC$6:$AC$3005,請求記録!$B$6:$B$3005,$A348,請求記録!$X$6:$X$3005,S$5))))</f>
        <v/>
      </c>
      <c r="T348" s="19">
        <f>IF($A348="","",IF(COUNTIFS(請求記録!$B$6:$B$3005,$A348,請求記録!$X$6:$X$3005,T$5,請求記録!$AD$6:$AD$3005,"保留中")&gt;0,"保留",IF(COUNTIFS(請求記録!$B$6:$B$3005,$A348,請求記録!$X$6:$X$3005,T$5)=0,"",SUMIFS(請求記録!$AC$6:$AC$3005,請求記録!$B$6:$B$3005,$A348,請求記録!$X$6:$X$3005,T$5))))</f>
        <v/>
      </c>
      <c r="U348" s="19">
        <f>IF($A348="","",IF(COUNTIFS(請求記録!$B$6:$B$3005,$A348,請求記録!$X$6:$X$3005,U$5,請求記録!$AD$6:$AD$3005,"保留中")&gt;0,"保留",IF(COUNTIFS(請求記録!$B$6:$B$3005,$A348,請求記録!$X$6:$X$3005,U$5)=0,"",SUMIFS(請求記録!$AC$6:$AC$3005,請求記録!$B$6:$B$3005,$A348,請求記録!$X$6:$X$3005,U$5))))</f>
        <v/>
      </c>
      <c r="V348" s="19">
        <f>IF($A348="","",IF(COUNTIFS(請求記録!$B$6:$B$3005,$A348,請求記録!$X$6:$X$3005,V$5,請求記録!$AD$6:$AD$3005,"保留中")&gt;0,"保留",IF(COUNTIFS(請求記録!$B$6:$B$3005,$A348,請求記録!$X$6:$X$3005,V$5)=0,"",SUMIFS(請求記録!$AC$6:$AC$3005,請求記録!$B$6:$B$3005,$A348,請求記録!$X$6:$X$3005,V$5))))</f>
        <v/>
      </c>
      <c r="W348" s="19">
        <f>IF($A348="","",IF(COUNTIFS(請求記録!$B$6:$B$3005,$A348,請求記録!$X$6:$X$3005,W$5,請求記録!$AD$6:$AD$3005,"保留中")&gt;0,"保留",IF(COUNTIFS(請求記録!$B$6:$B$3005,$A348,請求記録!$X$6:$X$3005,W$5)=0,"",SUMIFS(請求記録!$AC$6:$AC$3005,請求記録!$B$6:$B$3005,$A348,請求記録!$X$6:$X$3005,W$5))))</f>
        <v/>
      </c>
      <c r="X348" s="19">
        <f>IF($A348="","",IF(COUNTIFS(請求記録!$B$6:$B$3005,$A348,請求記録!$X$6:$X$3005,X$5,請求記録!$AD$6:$AD$3005,"保留中")&gt;0,"保留",IF(COUNTIFS(請求記録!$B$6:$B$3005,$A348,請求記録!$X$6:$X$3005,X$5)=0,"",SUMIFS(請求記録!$AC$6:$AC$3005,請求記録!$B$6:$B$3005,$A348,請求記録!$X$6:$X$3005,X$5))))</f>
        <v/>
      </c>
      <c r="Y348" s="19">
        <f>IF($A348="","",IF(COUNTIFS(請求記録!$B$6:$B$3005,$A348,請求記録!$X$6:$X$3005,Y$5,請求記録!$AD$6:$AD$3005,"保留中")&gt;0,"保留",IF(COUNTIFS(請求記録!$B$6:$B$3005,$A348,請求記録!$X$6:$X$3005,Y$5)=0,"",SUMIFS(請求記録!$AC$6:$AC$3005,請求記録!$B$6:$B$3005,$A348,請求記録!$X$6:$X$3005,Y$5))))</f>
        <v/>
      </c>
      <c r="Z348" s="19">
        <f>IF($A348="","",IF(COUNTIFS(請求記録!$B$6:$B$3005,$A348,請求記録!$X$6:$X$3005,Z$5,請求記録!$AD$6:$AD$3005,"保留中")&gt;0,"保留",IF(COUNTIFS(請求記録!$B$6:$B$3005,$A348,請求記録!$X$6:$X$3005,Z$5)=0,"",SUMIFS(請求記録!$AC$6:$AC$3005,請求記録!$B$6:$B$3005,$A348,請求記録!$X$6:$X$3005,Z$5))))</f>
        <v/>
      </c>
      <c r="AA348" s="19">
        <f>IF($A348="","",IF(COUNTIFS(請求記録!$B$6:$B$3005,$A348,請求記録!$X$6:$X$3005,AA$5,請求記録!$AD$6:$AD$3005,"保留中")&gt;0,"保留",IF(COUNTIFS(請求記録!$B$6:$B$3005,$A348,請求記録!$X$6:$X$3005,AA$5)=0,"",SUMIFS(請求記録!$AC$6:$AC$3005,請求記録!$B$6:$B$3005,$A348,請求記録!$X$6:$X$3005,AA$5))))</f>
        <v/>
      </c>
      <c r="AB348">
        <f>IF(職員マスタ!P348="保留中",職員マスタ!M348,"")</f>
        <v/>
      </c>
    </row>
    <row r="349">
      <c r="A349">
        <f>IF(職員マスタ!A349="","",職員マスタ!A349)</f>
        <v/>
      </c>
      <c r="B349">
        <f>IF($A349="","",職員マスタ!B349)</f>
        <v/>
      </c>
      <c r="C349">
        <f>IF($A349="","",職員マスタ!C349)</f>
        <v/>
      </c>
      <c r="D349" s="19">
        <f>IF($A349="","",IF(COUNTIFS(請求記録!$B$6:$B$3005,$A349,請求記録!$X$6:$X$3005,D$5,請求記録!$AD$6:$AD$3005,"保留中")&gt;0,"保留",IF(COUNTIFS(請求記録!$B$6:$B$3005,$A349,請求記録!$X$6:$X$3005,D$5)=0,"",SUMIFS(請求記録!$AC$6:$AC$3005,請求記録!$B$6:$B$3005,$A349,請求記録!$X$6:$X$3005,D$5))))</f>
        <v/>
      </c>
      <c r="E349" s="19">
        <f>IF($A349="","",IF(COUNTIFS(請求記録!$B$6:$B$3005,$A349,請求記録!$X$6:$X$3005,E$5,請求記録!$AD$6:$AD$3005,"保留中")&gt;0,"保留",IF(COUNTIFS(請求記録!$B$6:$B$3005,$A349,請求記録!$X$6:$X$3005,E$5)=0,"",SUMIFS(請求記録!$AC$6:$AC$3005,請求記録!$B$6:$B$3005,$A349,請求記録!$X$6:$X$3005,E$5))))</f>
        <v/>
      </c>
      <c r="F349" s="19">
        <f>IF($A349="","",IF(COUNTIFS(請求記録!$B$6:$B$3005,$A349,請求記録!$X$6:$X$3005,F$5,請求記録!$AD$6:$AD$3005,"保留中")&gt;0,"保留",IF(COUNTIFS(請求記録!$B$6:$B$3005,$A349,請求記録!$X$6:$X$3005,F$5)=0,"",SUMIFS(請求記録!$AC$6:$AC$3005,請求記録!$B$6:$B$3005,$A349,請求記録!$X$6:$X$3005,F$5))))</f>
        <v/>
      </c>
      <c r="G349" s="19">
        <f>IF($A349="","",IF(COUNTIFS(請求記録!$B$6:$B$3005,$A349,請求記録!$X$6:$X$3005,G$5,請求記録!$AD$6:$AD$3005,"保留中")&gt;0,"保留",IF(COUNTIFS(請求記録!$B$6:$B$3005,$A349,請求記録!$X$6:$X$3005,G$5)=0,"",SUMIFS(請求記録!$AC$6:$AC$3005,請求記録!$B$6:$B$3005,$A349,請求記録!$X$6:$X$3005,G$5))))</f>
        <v/>
      </c>
      <c r="H349" s="19">
        <f>IF($A349="","",IF(COUNTIFS(請求記録!$B$6:$B$3005,$A349,請求記録!$X$6:$X$3005,H$5,請求記録!$AD$6:$AD$3005,"保留中")&gt;0,"保留",IF(COUNTIFS(請求記録!$B$6:$B$3005,$A349,請求記録!$X$6:$X$3005,H$5)=0,"",SUMIFS(請求記録!$AC$6:$AC$3005,請求記録!$B$6:$B$3005,$A349,請求記録!$X$6:$X$3005,H$5))))</f>
        <v/>
      </c>
      <c r="I349" s="19">
        <f>IF($A349="","",IF(COUNTIFS(請求記録!$B$6:$B$3005,$A349,請求記録!$X$6:$X$3005,I$5,請求記録!$AD$6:$AD$3005,"保留中")&gt;0,"保留",IF(COUNTIFS(請求記録!$B$6:$B$3005,$A349,請求記録!$X$6:$X$3005,I$5)=0,"",SUMIFS(請求記録!$AC$6:$AC$3005,請求記録!$B$6:$B$3005,$A349,請求記録!$X$6:$X$3005,I$5))))</f>
        <v/>
      </c>
      <c r="J349" s="19">
        <f>IF($A349="","",IF(COUNTIFS(請求記録!$B$6:$B$3005,$A349,請求記録!$X$6:$X$3005,J$5,請求記録!$AD$6:$AD$3005,"保留中")&gt;0,"保留",IF(COUNTIFS(請求記録!$B$6:$B$3005,$A349,請求記録!$X$6:$X$3005,J$5)=0,"",SUMIFS(請求記録!$AC$6:$AC$3005,請求記録!$B$6:$B$3005,$A349,請求記録!$X$6:$X$3005,J$5))))</f>
        <v/>
      </c>
      <c r="K349" s="19">
        <f>IF($A349="","",IF(COUNTIFS(請求記録!$B$6:$B$3005,$A349,請求記録!$X$6:$X$3005,K$5,請求記録!$AD$6:$AD$3005,"保留中")&gt;0,"保留",IF(COUNTIFS(請求記録!$B$6:$B$3005,$A349,請求記録!$X$6:$X$3005,K$5)=0,"",SUMIFS(請求記録!$AC$6:$AC$3005,請求記録!$B$6:$B$3005,$A349,請求記録!$X$6:$X$3005,K$5))))</f>
        <v/>
      </c>
      <c r="L349" s="19">
        <f>IF($A349="","",IF(COUNTIFS(請求記録!$B$6:$B$3005,$A349,請求記録!$X$6:$X$3005,L$5,請求記録!$AD$6:$AD$3005,"保留中")&gt;0,"保留",IF(COUNTIFS(請求記録!$B$6:$B$3005,$A349,請求記録!$X$6:$X$3005,L$5)=0,"",SUMIFS(請求記録!$AC$6:$AC$3005,請求記録!$B$6:$B$3005,$A349,請求記録!$X$6:$X$3005,L$5))))</f>
        <v/>
      </c>
      <c r="M349" s="19">
        <f>IF($A349="","",IF(COUNTIFS(請求記録!$B$6:$B$3005,$A349,請求記録!$X$6:$X$3005,M$5,請求記録!$AD$6:$AD$3005,"保留中")&gt;0,"保留",IF(COUNTIFS(請求記録!$B$6:$B$3005,$A349,請求記録!$X$6:$X$3005,M$5)=0,"",SUMIFS(請求記録!$AC$6:$AC$3005,請求記録!$B$6:$B$3005,$A349,請求記録!$X$6:$X$3005,M$5))))</f>
        <v/>
      </c>
      <c r="N349" s="19">
        <f>IF($A349="","",IF(COUNTIFS(請求記録!$B$6:$B$3005,$A349,請求記録!$X$6:$X$3005,N$5,請求記録!$AD$6:$AD$3005,"保留中")&gt;0,"保留",IF(COUNTIFS(請求記録!$B$6:$B$3005,$A349,請求記録!$X$6:$X$3005,N$5)=0,"",SUMIFS(請求記録!$AC$6:$AC$3005,請求記録!$B$6:$B$3005,$A349,請求記録!$X$6:$X$3005,N$5))))</f>
        <v/>
      </c>
      <c r="O349" s="19">
        <f>IF($A349="","",IF(COUNTIFS(請求記録!$B$6:$B$3005,$A349,請求記録!$X$6:$X$3005,O$5,請求記録!$AD$6:$AD$3005,"保留中")&gt;0,"保留",IF(COUNTIFS(請求記録!$B$6:$B$3005,$A349,請求記録!$X$6:$X$3005,O$5)=0,"",SUMIFS(請求記録!$AC$6:$AC$3005,請求記録!$B$6:$B$3005,$A349,請求記録!$X$6:$X$3005,O$5))))</f>
        <v/>
      </c>
      <c r="P349" s="19">
        <f>IF($A349="","",IF(COUNTIFS(請求記録!$B$6:$B$3005,$A349,請求記録!$X$6:$X$3005,P$5,請求記録!$AD$6:$AD$3005,"保留中")&gt;0,"保留",IF(COUNTIFS(請求記録!$B$6:$B$3005,$A349,請求記録!$X$6:$X$3005,P$5)=0,"",SUMIFS(請求記録!$AC$6:$AC$3005,請求記録!$B$6:$B$3005,$A349,請求記録!$X$6:$X$3005,P$5))))</f>
        <v/>
      </c>
      <c r="Q349" s="19">
        <f>IF($A349="","",IF(COUNTIFS(請求記録!$B$6:$B$3005,$A349,請求記録!$X$6:$X$3005,Q$5,請求記録!$AD$6:$AD$3005,"保留中")&gt;0,"保留",IF(COUNTIFS(請求記録!$B$6:$B$3005,$A349,請求記録!$X$6:$X$3005,Q$5)=0,"",SUMIFS(請求記録!$AC$6:$AC$3005,請求記録!$B$6:$B$3005,$A349,請求記録!$X$6:$X$3005,Q$5))))</f>
        <v/>
      </c>
      <c r="R349" s="19">
        <f>IF($A349="","",IF(COUNTIFS(請求記録!$B$6:$B$3005,$A349,請求記録!$X$6:$X$3005,R$5,請求記録!$AD$6:$AD$3005,"保留中")&gt;0,"保留",IF(COUNTIFS(請求記録!$B$6:$B$3005,$A349,請求記録!$X$6:$X$3005,R$5)=0,"",SUMIFS(請求記録!$AC$6:$AC$3005,請求記録!$B$6:$B$3005,$A349,請求記録!$X$6:$X$3005,R$5))))</f>
        <v/>
      </c>
      <c r="S349" s="19">
        <f>IF($A349="","",IF(COUNTIFS(請求記録!$B$6:$B$3005,$A349,請求記録!$X$6:$X$3005,S$5,請求記録!$AD$6:$AD$3005,"保留中")&gt;0,"保留",IF(COUNTIFS(請求記録!$B$6:$B$3005,$A349,請求記録!$X$6:$X$3005,S$5)=0,"",SUMIFS(請求記録!$AC$6:$AC$3005,請求記録!$B$6:$B$3005,$A349,請求記録!$X$6:$X$3005,S$5))))</f>
        <v/>
      </c>
      <c r="T349" s="19">
        <f>IF($A349="","",IF(COUNTIFS(請求記録!$B$6:$B$3005,$A349,請求記録!$X$6:$X$3005,T$5,請求記録!$AD$6:$AD$3005,"保留中")&gt;0,"保留",IF(COUNTIFS(請求記録!$B$6:$B$3005,$A349,請求記録!$X$6:$X$3005,T$5)=0,"",SUMIFS(請求記録!$AC$6:$AC$3005,請求記録!$B$6:$B$3005,$A349,請求記録!$X$6:$X$3005,T$5))))</f>
        <v/>
      </c>
      <c r="U349" s="19">
        <f>IF($A349="","",IF(COUNTIFS(請求記録!$B$6:$B$3005,$A349,請求記録!$X$6:$X$3005,U$5,請求記録!$AD$6:$AD$3005,"保留中")&gt;0,"保留",IF(COUNTIFS(請求記録!$B$6:$B$3005,$A349,請求記録!$X$6:$X$3005,U$5)=0,"",SUMIFS(請求記録!$AC$6:$AC$3005,請求記録!$B$6:$B$3005,$A349,請求記録!$X$6:$X$3005,U$5))))</f>
        <v/>
      </c>
      <c r="V349" s="19">
        <f>IF($A349="","",IF(COUNTIFS(請求記録!$B$6:$B$3005,$A349,請求記録!$X$6:$X$3005,V$5,請求記録!$AD$6:$AD$3005,"保留中")&gt;0,"保留",IF(COUNTIFS(請求記録!$B$6:$B$3005,$A349,請求記録!$X$6:$X$3005,V$5)=0,"",SUMIFS(請求記録!$AC$6:$AC$3005,請求記録!$B$6:$B$3005,$A349,請求記録!$X$6:$X$3005,V$5))))</f>
        <v/>
      </c>
      <c r="W349" s="19">
        <f>IF($A349="","",IF(COUNTIFS(請求記録!$B$6:$B$3005,$A349,請求記録!$X$6:$X$3005,W$5,請求記録!$AD$6:$AD$3005,"保留中")&gt;0,"保留",IF(COUNTIFS(請求記録!$B$6:$B$3005,$A349,請求記録!$X$6:$X$3005,W$5)=0,"",SUMIFS(請求記録!$AC$6:$AC$3005,請求記録!$B$6:$B$3005,$A349,請求記録!$X$6:$X$3005,W$5))))</f>
        <v/>
      </c>
      <c r="X349" s="19">
        <f>IF($A349="","",IF(COUNTIFS(請求記録!$B$6:$B$3005,$A349,請求記録!$X$6:$X$3005,X$5,請求記録!$AD$6:$AD$3005,"保留中")&gt;0,"保留",IF(COUNTIFS(請求記録!$B$6:$B$3005,$A349,請求記録!$X$6:$X$3005,X$5)=0,"",SUMIFS(請求記録!$AC$6:$AC$3005,請求記録!$B$6:$B$3005,$A349,請求記録!$X$6:$X$3005,X$5))))</f>
        <v/>
      </c>
      <c r="Y349" s="19">
        <f>IF($A349="","",IF(COUNTIFS(請求記録!$B$6:$B$3005,$A349,請求記録!$X$6:$X$3005,Y$5,請求記録!$AD$6:$AD$3005,"保留中")&gt;0,"保留",IF(COUNTIFS(請求記録!$B$6:$B$3005,$A349,請求記録!$X$6:$X$3005,Y$5)=0,"",SUMIFS(請求記録!$AC$6:$AC$3005,請求記録!$B$6:$B$3005,$A349,請求記録!$X$6:$X$3005,Y$5))))</f>
        <v/>
      </c>
      <c r="Z349" s="19">
        <f>IF($A349="","",IF(COUNTIFS(請求記録!$B$6:$B$3005,$A349,請求記録!$X$6:$X$3005,Z$5,請求記録!$AD$6:$AD$3005,"保留中")&gt;0,"保留",IF(COUNTIFS(請求記録!$B$6:$B$3005,$A349,請求記録!$X$6:$X$3005,Z$5)=0,"",SUMIFS(請求記録!$AC$6:$AC$3005,請求記録!$B$6:$B$3005,$A349,請求記録!$X$6:$X$3005,Z$5))))</f>
        <v/>
      </c>
      <c r="AA349" s="19">
        <f>IF($A349="","",IF(COUNTIFS(請求記録!$B$6:$B$3005,$A349,請求記録!$X$6:$X$3005,AA$5,請求記録!$AD$6:$AD$3005,"保留中")&gt;0,"保留",IF(COUNTIFS(請求記録!$B$6:$B$3005,$A349,請求記録!$X$6:$X$3005,AA$5)=0,"",SUMIFS(請求記録!$AC$6:$AC$3005,請求記録!$B$6:$B$3005,$A349,請求記録!$X$6:$X$3005,AA$5))))</f>
        <v/>
      </c>
      <c r="AB349">
        <f>IF(職員マスタ!P349="保留中",職員マスタ!M349,"")</f>
        <v/>
      </c>
    </row>
    <row r="350">
      <c r="A350">
        <f>IF(職員マスタ!A350="","",職員マスタ!A350)</f>
        <v/>
      </c>
      <c r="B350">
        <f>IF($A350="","",職員マスタ!B350)</f>
        <v/>
      </c>
      <c r="C350">
        <f>IF($A350="","",職員マスタ!C350)</f>
        <v/>
      </c>
      <c r="D350" s="19">
        <f>IF($A350="","",IF(COUNTIFS(請求記録!$B$6:$B$3005,$A350,請求記録!$X$6:$X$3005,D$5,請求記録!$AD$6:$AD$3005,"保留中")&gt;0,"保留",IF(COUNTIFS(請求記録!$B$6:$B$3005,$A350,請求記録!$X$6:$X$3005,D$5)=0,"",SUMIFS(請求記録!$AC$6:$AC$3005,請求記録!$B$6:$B$3005,$A350,請求記録!$X$6:$X$3005,D$5))))</f>
        <v/>
      </c>
      <c r="E350" s="19">
        <f>IF($A350="","",IF(COUNTIFS(請求記録!$B$6:$B$3005,$A350,請求記録!$X$6:$X$3005,E$5,請求記録!$AD$6:$AD$3005,"保留中")&gt;0,"保留",IF(COUNTIFS(請求記録!$B$6:$B$3005,$A350,請求記録!$X$6:$X$3005,E$5)=0,"",SUMIFS(請求記録!$AC$6:$AC$3005,請求記録!$B$6:$B$3005,$A350,請求記録!$X$6:$X$3005,E$5))))</f>
        <v/>
      </c>
      <c r="F350" s="19">
        <f>IF($A350="","",IF(COUNTIFS(請求記録!$B$6:$B$3005,$A350,請求記録!$X$6:$X$3005,F$5,請求記録!$AD$6:$AD$3005,"保留中")&gt;0,"保留",IF(COUNTIFS(請求記録!$B$6:$B$3005,$A350,請求記録!$X$6:$X$3005,F$5)=0,"",SUMIFS(請求記録!$AC$6:$AC$3005,請求記録!$B$6:$B$3005,$A350,請求記録!$X$6:$X$3005,F$5))))</f>
        <v/>
      </c>
      <c r="G350" s="19">
        <f>IF($A350="","",IF(COUNTIFS(請求記録!$B$6:$B$3005,$A350,請求記録!$X$6:$X$3005,G$5,請求記録!$AD$6:$AD$3005,"保留中")&gt;0,"保留",IF(COUNTIFS(請求記録!$B$6:$B$3005,$A350,請求記録!$X$6:$X$3005,G$5)=0,"",SUMIFS(請求記録!$AC$6:$AC$3005,請求記録!$B$6:$B$3005,$A350,請求記録!$X$6:$X$3005,G$5))))</f>
        <v/>
      </c>
      <c r="H350" s="19">
        <f>IF($A350="","",IF(COUNTIFS(請求記録!$B$6:$B$3005,$A350,請求記録!$X$6:$X$3005,H$5,請求記録!$AD$6:$AD$3005,"保留中")&gt;0,"保留",IF(COUNTIFS(請求記録!$B$6:$B$3005,$A350,請求記録!$X$6:$X$3005,H$5)=0,"",SUMIFS(請求記録!$AC$6:$AC$3005,請求記録!$B$6:$B$3005,$A350,請求記録!$X$6:$X$3005,H$5))))</f>
        <v/>
      </c>
      <c r="I350" s="19">
        <f>IF($A350="","",IF(COUNTIFS(請求記録!$B$6:$B$3005,$A350,請求記録!$X$6:$X$3005,I$5,請求記録!$AD$6:$AD$3005,"保留中")&gt;0,"保留",IF(COUNTIFS(請求記録!$B$6:$B$3005,$A350,請求記録!$X$6:$X$3005,I$5)=0,"",SUMIFS(請求記録!$AC$6:$AC$3005,請求記録!$B$6:$B$3005,$A350,請求記録!$X$6:$X$3005,I$5))))</f>
        <v/>
      </c>
      <c r="J350" s="19">
        <f>IF($A350="","",IF(COUNTIFS(請求記録!$B$6:$B$3005,$A350,請求記録!$X$6:$X$3005,J$5,請求記録!$AD$6:$AD$3005,"保留中")&gt;0,"保留",IF(COUNTIFS(請求記録!$B$6:$B$3005,$A350,請求記録!$X$6:$X$3005,J$5)=0,"",SUMIFS(請求記録!$AC$6:$AC$3005,請求記録!$B$6:$B$3005,$A350,請求記録!$X$6:$X$3005,J$5))))</f>
        <v/>
      </c>
      <c r="K350" s="19">
        <f>IF($A350="","",IF(COUNTIFS(請求記録!$B$6:$B$3005,$A350,請求記録!$X$6:$X$3005,K$5,請求記録!$AD$6:$AD$3005,"保留中")&gt;0,"保留",IF(COUNTIFS(請求記録!$B$6:$B$3005,$A350,請求記録!$X$6:$X$3005,K$5)=0,"",SUMIFS(請求記録!$AC$6:$AC$3005,請求記録!$B$6:$B$3005,$A350,請求記録!$X$6:$X$3005,K$5))))</f>
        <v/>
      </c>
      <c r="L350" s="19">
        <f>IF($A350="","",IF(COUNTIFS(請求記録!$B$6:$B$3005,$A350,請求記録!$X$6:$X$3005,L$5,請求記録!$AD$6:$AD$3005,"保留中")&gt;0,"保留",IF(COUNTIFS(請求記録!$B$6:$B$3005,$A350,請求記録!$X$6:$X$3005,L$5)=0,"",SUMIFS(請求記録!$AC$6:$AC$3005,請求記録!$B$6:$B$3005,$A350,請求記録!$X$6:$X$3005,L$5))))</f>
        <v/>
      </c>
      <c r="M350" s="19">
        <f>IF($A350="","",IF(COUNTIFS(請求記録!$B$6:$B$3005,$A350,請求記録!$X$6:$X$3005,M$5,請求記録!$AD$6:$AD$3005,"保留中")&gt;0,"保留",IF(COUNTIFS(請求記録!$B$6:$B$3005,$A350,請求記録!$X$6:$X$3005,M$5)=0,"",SUMIFS(請求記録!$AC$6:$AC$3005,請求記録!$B$6:$B$3005,$A350,請求記録!$X$6:$X$3005,M$5))))</f>
        <v/>
      </c>
      <c r="N350" s="19">
        <f>IF($A350="","",IF(COUNTIFS(請求記録!$B$6:$B$3005,$A350,請求記録!$X$6:$X$3005,N$5,請求記録!$AD$6:$AD$3005,"保留中")&gt;0,"保留",IF(COUNTIFS(請求記録!$B$6:$B$3005,$A350,請求記録!$X$6:$X$3005,N$5)=0,"",SUMIFS(請求記録!$AC$6:$AC$3005,請求記録!$B$6:$B$3005,$A350,請求記録!$X$6:$X$3005,N$5))))</f>
        <v/>
      </c>
      <c r="O350" s="19">
        <f>IF($A350="","",IF(COUNTIFS(請求記録!$B$6:$B$3005,$A350,請求記録!$X$6:$X$3005,O$5,請求記録!$AD$6:$AD$3005,"保留中")&gt;0,"保留",IF(COUNTIFS(請求記録!$B$6:$B$3005,$A350,請求記録!$X$6:$X$3005,O$5)=0,"",SUMIFS(請求記録!$AC$6:$AC$3005,請求記録!$B$6:$B$3005,$A350,請求記録!$X$6:$X$3005,O$5))))</f>
        <v/>
      </c>
      <c r="P350" s="19">
        <f>IF($A350="","",IF(COUNTIFS(請求記録!$B$6:$B$3005,$A350,請求記録!$X$6:$X$3005,P$5,請求記録!$AD$6:$AD$3005,"保留中")&gt;0,"保留",IF(COUNTIFS(請求記録!$B$6:$B$3005,$A350,請求記録!$X$6:$X$3005,P$5)=0,"",SUMIFS(請求記録!$AC$6:$AC$3005,請求記録!$B$6:$B$3005,$A350,請求記録!$X$6:$X$3005,P$5))))</f>
        <v/>
      </c>
      <c r="Q350" s="19">
        <f>IF($A350="","",IF(COUNTIFS(請求記録!$B$6:$B$3005,$A350,請求記録!$X$6:$X$3005,Q$5,請求記録!$AD$6:$AD$3005,"保留中")&gt;0,"保留",IF(COUNTIFS(請求記録!$B$6:$B$3005,$A350,請求記録!$X$6:$X$3005,Q$5)=0,"",SUMIFS(請求記録!$AC$6:$AC$3005,請求記録!$B$6:$B$3005,$A350,請求記録!$X$6:$X$3005,Q$5))))</f>
        <v/>
      </c>
      <c r="R350" s="19">
        <f>IF($A350="","",IF(COUNTIFS(請求記録!$B$6:$B$3005,$A350,請求記録!$X$6:$X$3005,R$5,請求記録!$AD$6:$AD$3005,"保留中")&gt;0,"保留",IF(COUNTIFS(請求記録!$B$6:$B$3005,$A350,請求記録!$X$6:$X$3005,R$5)=0,"",SUMIFS(請求記録!$AC$6:$AC$3005,請求記録!$B$6:$B$3005,$A350,請求記録!$X$6:$X$3005,R$5))))</f>
        <v/>
      </c>
      <c r="S350" s="19">
        <f>IF($A350="","",IF(COUNTIFS(請求記録!$B$6:$B$3005,$A350,請求記録!$X$6:$X$3005,S$5,請求記録!$AD$6:$AD$3005,"保留中")&gt;0,"保留",IF(COUNTIFS(請求記録!$B$6:$B$3005,$A350,請求記録!$X$6:$X$3005,S$5)=0,"",SUMIFS(請求記録!$AC$6:$AC$3005,請求記録!$B$6:$B$3005,$A350,請求記録!$X$6:$X$3005,S$5))))</f>
        <v/>
      </c>
      <c r="T350" s="19">
        <f>IF($A350="","",IF(COUNTIFS(請求記録!$B$6:$B$3005,$A350,請求記録!$X$6:$X$3005,T$5,請求記録!$AD$6:$AD$3005,"保留中")&gt;0,"保留",IF(COUNTIFS(請求記録!$B$6:$B$3005,$A350,請求記録!$X$6:$X$3005,T$5)=0,"",SUMIFS(請求記録!$AC$6:$AC$3005,請求記録!$B$6:$B$3005,$A350,請求記録!$X$6:$X$3005,T$5))))</f>
        <v/>
      </c>
      <c r="U350" s="19">
        <f>IF($A350="","",IF(COUNTIFS(請求記録!$B$6:$B$3005,$A350,請求記録!$X$6:$X$3005,U$5,請求記録!$AD$6:$AD$3005,"保留中")&gt;0,"保留",IF(COUNTIFS(請求記録!$B$6:$B$3005,$A350,請求記録!$X$6:$X$3005,U$5)=0,"",SUMIFS(請求記録!$AC$6:$AC$3005,請求記録!$B$6:$B$3005,$A350,請求記録!$X$6:$X$3005,U$5))))</f>
        <v/>
      </c>
      <c r="V350" s="19">
        <f>IF($A350="","",IF(COUNTIFS(請求記録!$B$6:$B$3005,$A350,請求記録!$X$6:$X$3005,V$5,請求記録!$AD$6:$AD$3005,"保留中")&gt;0,"保留",IF(COUNTIFS(請求記録!$B$6:$B$3005,$A350,請求記録!$X$6:$X$3005,V$5)=0,"",SUMIFS(請求記録!$AC$6:$AC$3005,請求記録!$B$6:$B$3005,$A350,請求記録!$X$6:$X$3005,V$5))))</f>
        <v/>
      </c>
      <c r="W350" s="19">
        <f>IF($A350="","",IF(COUNTIFS(請求記録!$B$6:$B$3005,$A350,請求記録!$X$6:$X$3005,W$5,請求記録!$AD$6:$AD$3005,"保留中")&gt;0,"保留",IF(COUNTIFS(請求記録!$B$6:$B$3005,$A350,請求記録!$X$6:$X$3005,W$5)=0,"",SUMIFS(請求記録!$AC$6:$AC$3005,請求記録!$B$6:$B$3005,$A350,請求記録!$X$6:$X$3005,W$5))))</f>
        <v/>
      </c>
      <c r="X350" s="19">
        <f>IF($A350="","",IF(COUNTIFS(請求記録!$B$6:$B$3005,$A350,請求記録!$X$6:$X$3005,X$5,請求記録!$AD$6:$AD$3005,"保留中")&gt;0,"保留",IF(COUNTIFS(請求記録!$B$6:$B$3005,$A350,請求記録!$X$6:$X$3005,X$5)=0,"",SUMIFS(請求記録!$AC$6:$AC$3005,請求記録!$B$6:$B$3005,$A350,請求記録!$X$6:$X$3005,X$5))))</f>
        <v/>
      </c>
      <c r="Y350" s="19">
        <f>IF($A350="","",IF(COUNTIFS(請求記録!$B$6:$B$3005,$A350,請求記録!$X$6:$X$3005,Y$5,請求記録!$AD$6:$AD$3005,"保留中")&gt;0,"保留",IF(COUNTIFS(請求記録!$B$6:$B$3005,$A350,請求記録!$X$6:$X$3005,Y$5)=0,"",SUMIFS(請求記録!$AC$6:$AC$3005,請求記録!$B$6:$B$3005,$A350,請求記録!$X$6:$X$3005,Y$5))))</f>
        <v/>
      </c>
      <c r="Z350" s="19">
        <f>IF($A350="","",IF(COUNTIFS(請求記録!$B$6:$B$3005,$A350,請求記録!$X$6:$X$3005,Z$5,請求記録!$AD$6:$AD$3005,"保留中")&gt;0,"保留",IF(COUNTIFS(請求記録!$B$6:$B$3005,$A350,請求記録!$X$6:$X$3005,Z$5)=0,"",SUMIFS(請求記録!$AC$6:$AC$3005,請求記録!$B$6:$B$3005,$A350,請求記録!$X$6:$X$3005,Z$5))))</f>
        <v/>
      </c>
      <c r="AA350" s="19">
        <f>IF($A350="","",IF(COUNTIFS(請求記録!$B$6:$B$3005,$A350,請求記録!$X$6:$X$3005,AA$5,請求記録!$AD$6:$AD$3005,"保留中")&gt;0,"保留",IF(COUNTIFS(請求記録!$B$6:$B$3005,$A350,請求記録!$X$6:$X$3005,AA$5)=0,"",SUMIFS(請求記録!$AC$6:$AC$3005,請求記録!$B$6:$B$3005,$A350,請求記録!$X$6:$X$3005,AA$5))))</f>
        <v/>
      </c>
      <c r="AB350">
        <f>IF(職員マスタ!P350="保留中",職員マスタ!M350,"")</f>
        <v/>
      </c>
    </row>
    <row r="351">
      <c r="A351">
        <f>IF(職員マスタ!A351="","",職員マスタ!A351)</f>
        <v/>
      </c>
      <c r="B351">
        <f>IF($A351="","",職員マスタ!B351)</f>
        <v/>
      </c>
      <c r="C351">
        <f>IF($A351="","",職員マスタ!C351)</f>
        <v/>
      </c>
      <c r="D351" s="19">
        <f>IF($A351="","",IF(COUNTIFS(請求記録!$B$6:$B$3005,$A351,請求記録!$X$6:$X$3005,D$5,請求記録!$AD$6:$AD$3005,"保留中")&gt;0,"保留",IF(COUNTIFS(請求記録!$B$6:$B$3005,$A351,請求記録!$X$6:$X$3005,D$5)=0,"",SUMIFS(請求記録!$AC$6:$AC$3005,請求記録!$B$6:$B$3005,$A351,請求記録!$X$6:$X$3005,D$5))))</f>
        <v/>
      </c>
      <c r="E351" s="19">
        <f>IF($A351="","",IF(COUNTIFS(請求記録!$B$6:$B$3005,$A351,請求記録!$X$6:$X$3005,E$5,請求記録!$AD$6:$AD$3005,"保留中")&gt;0,"保留",IF(COUNTIFS(請求記録!$B$6:$B$3005,$A351,請求記録!$X$6:$X$3005,E$5)=0,"",SUMIFS(請求記録!$AC$6:$AC$3005,請求記録!$B$6:$B$3005,$A351,請求記録!$X$6:$X$3005,E$5))))</f>
        <v/>
      </c>
      <c r="F351" s="19">
        <f>IF($A351="","",IF(COUNTIFS(請求記録!$B$6:$B$3005,$A351,請求記録!$X$6:$X$3005,F$5,請求記録!$AD$6:$AD$3005,"保留中")&gt;0,"保留",IF(COUNTIFS(請求記録!$B$6:$B$3005,$A351,請求記録!$X$6:$X$3005,F$5)=0,"",SUMIFS(請求記録!$AC$6:$AC$3005,請求記録!$B$6:$B$3005,$A351,請求記録!$X$6:$X$3005,F$5))))</f>
        <v/>
      </c>
      <c r="G351" s="19">
        <f>IF($A351="","",IF(COUNTIFS(請求記録!$B$6:$B$3005,$A351,請求記録!$X$6:$X$3005,G$5,請求記録!$AD$6:$AD$3005,"保留中")&gt;0,"保留",IF(COUNTIFS(請求記録!$B$6:$B$3005,$A351,請求記録!$X$6:$X$3005,G$5)=0,"",SUMIFS(請求記録!$AC$6:$AC$3005,請求記録!$B$6:$B$3005,$A351,請求記録!$X$6:$X$3005,G$5))))</f>
        <v/>
      </c>
      <c r="H351" s="19">
        <f>IF($A351="","",IF(COUNTIFS(請求記録!$B$6:$B$3005,$A351,請求記録!$X$6:$X$3005,H$5,請求記録!$AD$6:$AD$3005,"保留中")&gt;0,"保留",IF(COUNTIFS(請求記録!$B$6:$B$3005,$A351,請求記録!$X$6:$X$3005,H$5)=0,"",SUMIFS(請求記録!$AC$6:$AC$3005,請求記録!$B$6:$B$3005,$A351,請求記録!$X$6:$X$3005,H$5))))</f>
        <v/>
      </c>
      <c r="I351" s="19">
        <f>IF($A351="","",IF(COUNTIFS(請求記録!$B$6:$B$3005,$A351,請求記録!$X$6:$X$3005,I$5,請求記録!$AD$6:$AD$3005,"保留中")&gt;0,"保留",IF(COUNTIFS(請求記録!$B$6:$B$3005,$A351,請求記録!$X$6:$X$3005,I$5)=0,"",SUMIFS(請求記録!$AC$6:$AC$3005,請求記録!$B$6:$B$3005,$A351,請求記録!$X$6:$X$3005,I$5))))</f>
        <v/>
      </c>
      <c r="J351" s="19">
        <f>IF($A351="","",IF(COUNTIFS(請求記録!$B$6:$B$3005,$A351,請求記録!$X$6:$X$3005,J$5,請求記録!$AD$6:$AD$3005,"保留中")&gt;0,"保留",IF(COUNTIFS(請求記録!$B$6:$B$3005,$A351,請求記録!$X$6:$X$3005,J$5)=0,"",SUMIFS(請求記録!$AC$6:$AC$3005,請求記録!$B$6:$B$3005,$A351,請求記録!$X$6:$X$3005,J$5))))</f>
        <v/>
      </c>
      <c r="K351" s="19">
        <f>IF($A351="","",IF(COUNTIFS(請求記録!$B$6:$B$3005,$A351,請求記録!$X$6:$X$3005,K$5,請求記録!$AD$6:$AD$3005,"保留中")&gt;0,"保留",IF(COUNTIFS(請求記録!$B$6:$B$3005,$A351,請求記録!$X$6:$X$3005,K$5)=0,"",SUMIFS(請求記録!$AC$6:$AC$3005,請求記録!$B$6:$B$3005,$A351,請求記録!$X$6:$X$3005,K$5))))</f>
        <v/>
      </c>
      <c r="L351" s="19">
        <f>IF($A351="","",IF(COUNTIFS(請求記録!$B$6:$B$3005,$A351,請求記録!$X$6:$X$3005,L$5,請求記録!$AD$6:$AD$3005,"保留中")&gt;0,"保留",IF(COUNTIFS(請求記録!$B$6:$B$3005,$A351,請求記録!$X$6:$X$3005,L$5)=0,"",SUMIFS(請求記録!$AC$6:$AC$3005,請求記録!$B$6:$B$3005,$A351,請求記録!$X$6:$X$3005,L$5))))</f>
        <v/>
      </c>
      <c r="M351" s="19">
        <f>IF($A351="","",IF(COUNTIFS(請求記録!$B$6:$B$3005,$A351,請求記録!$X$6:$X$3005,M$5,請求記録!$AD$6:$AD$3005,"保留中")&gt;0,"保留",IF(COUNTIFS(請求記録!$B$6:$B$3005,$A351,請求記録!$X$6:$X$3005,M$5)=0,"",SUMIFS(請求記録!$AC$6:$AC$3005,請求記録!$B$6:$B$3005,$A351,請求記録!$X$6:$X$3005,M$5))))</f>
        <v/>
      </c>
      <c r="N351" s="19">
        <f>IF($A351="","",IF(COUNTIFS(請求記録!$B$6:$B$3005,$A351,請求記録!$X$6:$X$3005,N$5,請求記録!$AD$6:$AD$3005,"保留中")&gt;0,"保留",IF(COUNTIFS(請求記録!$B$6:$B$3005,$A351,請求記録!$X$6:$X$3005,N$5)=0,"",SUMIFS(請求記録!$AC$6:$AC$3005,請求記録!$B$6:$B$3005,$A351,請求記録!$X$6:$X$3005,N$5))))</f>
        <v/>
      </c>
      <c r="O351" s="19">
        <f>IF($A351="","",IF(COUNTIFS(請求記録!$B$6:$B$3005,$A351,請求記録!$X$6:$X$3005,O$5,請求記録!$AD$6:$AD$3005,"保留中")&gt;0,"保留",IF(COUNTIFS(請求記録!$B$6:$B$3005,$A351,請求記録!$X$6:$X$3005,O$5)=0,"",SUMIFS(請求記録!$AC$6:$AC$3005,請求記録!$B$6:$B$3005,$A351,請求記録!$X$6:$X$3005,O$5))))</f>
        <v/>
      </c>
      <c r="P351" s="19">
        <f>IF($A351="","",IF(COUNTIFS(請求記録!$B$6:$B$3005,$A351,請求記録!$X$6:$X$3005,P$5,請求記録!$AD$6:$AD$3005,"保留中")&gt;0,"保留",IF(COUNTIFS(請求記録!$B$6:$B$3005,$A351,請求記録!$X$6:$X$3005,P$5)=0,"",SUMIFS(請求記録!$AC$6:$AC$3005,請求記録!$B$6:$B$3005,$A351,請求記録!$X$6:$X$3005,P$5))))</f>
        <v/>
      </c>
      <c r="Q351" s="19">
        <f>IF($A351="","",IF(COUNTIFS(請求記録!$B$6:$B$3005,$A351,請求記録!$X$6:$X$3005,Q$5,請求記録!$AD$6:$AD$3005,"保留中")&gt;0,"保留",IF(COUNTIFS(請求記録!$B$6:$B$3005,$A351,請求記録!$X$6:$X$3005,Q$5)=0,"",SUMIFS(請求記録!$AC$6:$AC$3005,請求記録!$B$6:$B$3005,$A351,請求記録!$X$6:$X$3005,Q$5))))</f>
        <v/>
      </c>
      <c r="R351" s="19">
        <f>IF($A351="","",IF(COUNTIFS(請求記録!$B$6:$B$3005,$A351,請求記録!$X$6:$X$3005,R$5,請求記録!$AD$6:$AD$3005,"保留中")&gt;0,"保留",IF(COUNTIFS(請求記録!$B$6:$B$3005,$A351,請求記録!$X$6:$X$3005,R$5)=0,"",SUMIFS(請求記録!$AC$6:$AC$3005,請求記録!$B$6:$B$3005,$A351,請求記録!$X$6:$X$3005,R$5))))</f>
        <v/>
      </c>
      <c r="S351" s="19">
        <f>IF($A351="","",IF(COUNTIFS(請求記録!$B$6:$B$3005,$A351,請求記録!$X$6:$X$3005,S$5,請求記録!$AD$6:$AD$3005,"保留中")&gt;0,"保留",IF(COUNTIFS(請求記録!$B$6:$B$3005,$A351,請求記録!$X$6:$X$3005,S$5)=0,"",SUMIFS(請求記録!$AC$6:$AC$3005,請求記録!$B$6:$B$3005,$A351,請求記録!$X$6:$X$3005,S$5))))</f>
        <v/>
      </c>
      <c r="T351" s="19">
        <f>IF($A351="","",IF(COUNTIFS(請求記録!$B$6:$B$3005,$A351,請求記録!$X$6:$X$3005,T$5,請求記録!$AD$6:$AD$3005,"保留中")&gt;0,"保留",IF(COUNTIFS(請求記録!$B$6:$B$3005,$A351,請求記録!$X$6:$X$3005,T$5)=0,"",SUMIFS(請求記録!$AC$6:$AC$3005,請求記録!$B$6:$B$3005,$A351,請求記録!$X$6:$X$3005,T$5))))</f>
        <v/>
      </c>
      <c r="U351" s="19">
        <f>IF($A351="","",IF(COUNTIFS(請求記録!$B$6:$B$3005,$A351,請求記録!$X$6:$X$3005,U$5,請求記録!$AD$6:$AD$3005,"保留中")&gt;0,"保留",IF(COUNTIFS(請求記録!$B$6:$B$3005,$A351,請求記録!$X$6:$X$3005,U$5)=0,"",SUMIFS(請求記録!$AC$6:$AC$3005,請求記録!$B$6:$B$3005,$A351,請求記録!$X$6:$X$3005,U$5))))</f>
        <v/>
      </c>
      <c r="V351" s="19">
        <f>IF($A351="","",IF(COUNTIFS(請求記録!$B$6:$B$3005,$A351,請求記録!$X$6:$X$3005,V$5,請求記録!$AD$6:$AD$3005,"保留中")&gt;0,"保留",IF(COUNTIFS(請求記録!$B$6:$B$3005,$A351,請求記録!$X$6:$X$3005,V$5)=0,"",SUMIFS(請求記録!$AC$6:$AC$3005,請求記録!$B$6:$B$3005,$A351,請求記録!$X$6:$X$3005,V$5))))</f>
        <v/>
      </c>
      <c r="W351" s="19">
        <f>IF($A351="","",IF(COUNTIFS(請求記録!$B$6:$B$3005,$A351,請求記録!$X$6:$X$3005,W$5,請求記録!$AD$6:$AD$3005,"保留中")&gt;0,"保留",IF(COUNTIFS(請求記録!$B$6:$B$3005,$A351,請求記録!$X$6:$X$3005,W$5)=0,"",SUMIFS(請求記録!$AC$6:$AC$3005,請求記録!$B$6:$B$3005,$A351,請求記録!$X$6:$X$3005,W$5))))</f>
        <v/>
      </c>
      <c r="X351" s="19">
        <f>IF($A351="","",IF(COUNTIFS(請求記録!$B$6:$B$3005,$A351,請求記録!$X$6:$X$3005,X$5,請求記録!$AD$6:$AD$3005,"保留中")&gt;0,"保留",IF(COUNTIFS(請求記録!$B$6:$B$3005,$A351,請求記録!$X$6:$X$3005,X$5)=0,"",SUMIFS(請求記録!$AC$6:$AC$3005,請求記録!$B$6:$B$3005,$A351,請求記録!$X$6:$X$3005,X$5))))</f>
        <v/>
      </c>
      <c r="Y351" s="19">
        <f>IF($A351="","",IF(COUNTIFS(請求記録!$B$6:$B$3005,$A351,請求記録!$X$6:$X$3005,Y$5,請求記録!$AD$6:$AD$3005,"保留中")&gt;0,"保留",IF(COUNTIFS(請求記録!$B$6:$B$3005,$A351,請求記録!$X$6:$X$3005,Y$5)=0,"",SUMIFS(請求記録!$AC$6:$AC$3005,請求記録!$B$6:$B$3005,$A351,請求記録!$X$6:$X$3005,Y$5))))</f>
        <v/>
      </c>
      <c r="Z351" s="19">
        <f>IF($A351="","",IF(COUNTIFS(請求記録!$B$6:$B$3005,$A351,請求記録!$X$6:$X$3005,Z$5,請求記録!$AD$6:$AD$3005,"保留中")&gt;0,"保留",IF(COUNTIFS(請求記録!$B$6:$B$3005,$A351,請求記録!$X$6:$X$3005,Z$5)=0,"",SUMIFS(請求記録!$AC$6:$AC$3005,請求記録!$B$6:$B$3005,$A351,請求記録!$X$6:$X$3005,Z$5))))</f>
        <v/>
      </c>
      <c r="AA351" s="19">
        <f>IF($A351="","",IF(COUNTIFS(請求記録!$B$6:$B$3005,$A351,請求記録!$X$6:$X$3005,AA$5,請求記録!$AD$6:$AD$3005,"保留中")&gt;0,"保留",IF(COUNTIFS(請求記録!$B$6:$B$3005,$A351,請求記録!$X$6:$X$3005,AA$5)=0,"",SUMIFS(請求記録!$AC$6:$AC$3005,請求記録!$B$6:$B$3005,$A351,請求記録!$X$6:$X$3005,AA$5))))</f>
        <v/>
      </c>
      <c r="AB351">
        <f>IF(職員マスタ!P351="保留中",職員マスタ!M351,"")</f>
        <v/>
      </c>
    </row>
    <row r="352">
      <c r="A352">
        <f>IF(職員マスタ!A352="","",職員マスタ!A352)</f>
        <v/>
      </c>
      <c r="B352">
        <f>IF($A352="","",職員マスタ!B352)</f>
        <v/>
      </c>
      <c r="C352">
        <f>IF($A352="","",職員マスタ!C352)</f>
        <v/>
      </c>
      <c r="D352" s="19">
        <f>IF($A352="","",IF(COUNTIFS(請求記録!$B$6:$B$3005,$A352,請求記録!$X$6:$X$3005,D$5,請求記録!$AD$6:$AD$3005,"保留中")&gt;0,"保留",IF(COUNTIFS(請求記録!$B$6:$B$3005,$A352,請求記録!$X$6:$X$3005,D$5)=0,"",SUMIFS(請求記録!$AC$6:$AC$3005,請求記録!$B$6:$B$3005,$A352,請求記録!$X$6:$X$3005,D$5))))</f>
        <v/>
      </c>
      <c r="E352" s="19">
        <f>IF($A352="","",IF(COUNTIFS(請求記録!$B$6:$B$3005,$A352,請求記録!$X$6:$X$3005,E$5,請求記録!$AD$6:$AD$3005,"保留中")&gt;0,"保留",IF(COUNTIFS(請求記録!$B$6:$B$3005,$A352,請求記録!$X$6:$X$3005,E$5)=0,"",SUMIFS(請求記録!$AC$6:$AC$3005,請求記録!$B$6:$B$3005,$A352,請求記録!$X$6:$X$3005,E$5))))</f>
        <v/>
      </c>
      <c r="F352" s="19">
        <f>IF($A352="","",IF(COUNTIFS(請求記録!$B$6:$B$3005,$A352,請求記録!$X$6:$X$3005,F$5,請求記録!$AD$6:$AD$3005,"保留中")&gt;0,"保留",IF(COUNTIFS(請求記録!$B$6:$B$3005,$A352,請求記録!$X$6:$X$3005,F$5)=0,"",SUMIFS(請求記録!$AC$6:$AC$3005,請求記録!$B$6:$B$3005,$A352,請求記録!$X$6:$X$3005,F$5))))</f>
        <v/>
      </c>
      <c r="G352" s="19">
        <f>IF($A352="","",IF(COUNTIFS(請求記録!$B$6:$B$3005,$A352,請求記録!$X$6:$X$3005,G$5,請求記録!$AD$6:$AD$3005,"保留中")&gt;0,"保留",IF(COUNTIFS(請求記録!$B$6:$B$3005,$A352,請求記録!$X$6:$X$3005,G$5)=0,"",SUMIFS(請求記録!$AC$6:$AC$3005,請求記録!$B$6:$B$3005,$A352,請求記録!$X$6:$X$3005,G$5))))</f>
        <v/>
      </c>
      <c r="H352" s="19">
        <f>IF($A352="","",IF(COUNTIFS(請求記録!$B$6:$B$3005,$A352,請求記録!$X$6:$X$3005,H$5,請求記録!$AD$6:$AD$3005,"保留中")&gt;0,"保留",IF(COUNTIFS(請求記録!$B$6:$B$3005,$A352,請求記録!$X$6:$X$3005,H$5)=0,"",SUMIFS(請求記録!$AC$6:$AC$3005,請求記録!$B$6:$B$3005,$A352,請求記録!$X$6:$X$3005,H$5))))</f>
        <v/>
      </c>
      <c r="I352" s="19">
        <f>IF($A352="","",IF(COUNTIFS(請求記録!$B$6:$B$3005,$A352,請求記録!$X$6:$X$3005,I$5,請求記録!$AD$6:$AD$3005,"保留中")&gt;0,"保留",IF(COUNTIFS(請求記録!$B$6:$B$3005,$A352,請求記録!$X$6:$X$3005,I$5)=0,"",SUMIFS(請求記録!$AC$6:$AC$3005,請求記録!$B$6:$B$3005,$A352,請求記録!$X$6:$X$3005,I$5))))</f>
        <v/>
      </c>
      <c r="J352" s="19">
        <f>IF($A352="","",IF(COUNTIFS(請求記録!$B$6:$B$3005,$A352,請求記録!$X$6:$X$3005,J$5,請求記録!$AD$6:$AD$3005,"保留中")&gt;0,"保留",IF(COUNTIFS(請求記録!$B$6:$B$3005,$A352,請求記録!$X$6:$X$3005,J$5)=0,"",SUMIFS(請求記録!$AC$6:$AC$3005,請求記録!$B$6:$B$3005,$A352,請求記録!$X$6:$X$3005,J$5))))</f>
        <v/>
      </c>
      <c r="K352" s="19">
        <f>IF($A352="","",IF(COUNTIFS(請求記録!$B$6:$B$3005,$A352,請求記録!$X$6:$X$3005,K$5,請求記録!$AD$6:$AD$3005,"保留中")&gt;0,"保留",IF(COUNTIFS(請求記録!$B$6:$B$3005,$A352,請求記録!$X$6:$X$3005,K$5)=0,"",SUMIFS(請求記録!$AC$6:$AC$3005,請求記録!$B$6:$B$3005,$A352,請求記録!$X$6:$X$3005,K$5))))</f>
        <v/>
      </c>
      <c r="L352" s="19">
        <f>IF($A352="","",IF(COUNTIFS(請求記録!$B$6:$B$3005,$A352,請求記録!$X$6:$X$3005,L$5,請求記録!$AD$6:$AD$3005,"保留中")&gt;0,"保留",IF(COUNTIFS(請求記録!$B$6:$B$3005,$A352,請求記録!$X$6:$X$3005,L$5)=0,"",SUMIFS(請求記録!$AC$6:$AC$3005,請求記録!$B$6:$B$3005,$A352,請求記録!$X$6:$X$3005,L$5))))</f>
        <v/>
      </c>
      <c r="M352" s="19">
        <f>IF($A352="","",IF(COUNTIFS(請求記録!$B$6:$B$3005,$A352,請求記録!$X$6:$X$3005,M$5,請求記録!$AD$6:$AD$3005,"保留中")&gt;0,"保留",IF(COUNTIFS(請求記録!$B$6:$B$3005,$A352,請求記録!$X$6:$X$3005,M$5)=0,"",SUMIFS(請求記録!$AC$6:$AC$3005,請求記録!$B$6:$B$3005,$A352,請求記録!$X$6:$X$3005,M$5))))</f>
        <v/>
      </c>
      <c r="N352" s="19">
        <f>IF($A352="","",IF(COUNTIFS(請求記録!$B$6:$B$3005,$A352,請求記録!$X$6:$X$3005,N$5,請求記録!$AD$6:$AD$3005,"保留中")&gt;0,"保留",IF(COUNTIFS(請求記録!$B$6:$B$3005,$A352,請求記録!$X$6:$X$3005,N$5)=0,"",SUMIFS(請求記録!$AC$6:$AC$3005,請求記録!$B$6:$B$3005,$A352,請求記録!$X$6:$X$3005,N$5))))</f>
        <v/>
      </c>
      <c r="O352" s="19">
        <f>IF($A352="","",IF(COUNTIFS(請求記録!$B$6:$B$3005,$A352,請求記録!$X$6:$X$3005,O$5,請求記録!$AD$6:$AD$3005,"保留中")&gt;0,"保留",IF(COUNTIFS(請求記録!$B$6:$B$3005,$A352,請求記録!$X$6:$X$3005,O$5)=0,"",SUMIFS(請求記録!$AC$6:$AC$3005,請求記録!$B$6:$B$3005,$A352,請求記録!$X$6:$X$3005,O$5))))</f>
        <v/>
      </c>
      <c r="P352" s="19">
        <f>IF($A352="","",IF(COUNTIFS(請求記録!$B$6:$B$3005,$A352,請求記録!$X$6:$X$3005,P$5,請求記録!$AD$6:$AD$3005,"保留中")&gt;0,"保留",IF(COUNTIFS(請求記録!$B$6:$B$3005,$A352,請求記録!$X$6:$X$3005,P$5)=0,"",SUMIFS(請求記録!$AC$6:$AC$3005,請求記録!$B$6:$B$3005,$A352,請求記録!$X$6:$X$3005,P$5))))</f>
        <v/>
      </c>
      <c r="Q352" s="19">
        <f>IF($A352="","",IF(COUNTIFS(請求記録!$B$6:$B$3005,$A352,請求記録!$X$6:$X$3005,Q$5,請求記録!$AD$6:$AD$3005,"保留中")&gt;0,"保留",IF(COUNTIFS(請求記録!$B$6:$B$3005,$A352,請求記録!$X$6:$X$3005,Q$5)=0,"",SUMIFS(請求記録!$AC$6:$AC$3005,請求記録!$B$6:$B$3005,$A352,請求記録!$X$6:$X$3005,Q$5))))</f>
        <v/>
      </c>
      <c r="R352" s="19">
        <f>IF($A352="","",IF(COUNTIFS(請求記録!$B$6:$B$3005,$A352,請求記録!$X$6:$X$3005,R$5,請求記録!$AD$6:$AD$3005,"保留中")&gt;0,"保留",IF(COUNTIFS(請求記録!$B$6:$B$3005,$A352,請求記録!$X$6:$X$3005,R$5)=0,"",SUMIFS(請求記録!$AC$6:$AC$3005,請求記録!$B$6:$B$3005,$A352,請求記録!$X$6:$X$3005,R$5))))</f>
        <v/>
      </c>
      <c r="S352" s="19">
        <f>IF($A352="","",IF(COUNTIFS(請求記録!$B$6:$B$3005,$A352,請求記録!$X$6:$X$3005,S$5,請求記録!$AD$6:$AD$3005,"保留中")&gt;0,"保留",IF(COUNTIFS(請求記録!$B$6:$B$3005,$A352,請求記録!$X$6:$X$3005,S$5)=0,"",SUMIFS(請求記録!$AC$6:$AC$3005,請求記録!$B$6:$B$3005,$A352,請求記録!$X$6:$X$3005,S$5))))</f>
        <v/>
      </c>
      <c r="T352" s="19">
        <f>IF($A352="","",IF(COUNTIFS(請求記録!$B$6:$B$3005,$A352,請求記録!$X$6:$X$3005,T$5,請求記録!$AD$6:$AD$3005,"保留中")&gt;0,"保留",IF(COUNTIFS(請求記録!$B$6:$B$3005,$A352,請求記録!$X$6:$X$3005,T$5)=0,"",SUMIFS(請求記録!$AC$6:$AC$3005,請求記録!$B$6:$B$3005,$A352,請求記録!$X$6:$X$3005,T$5))))</f>
        <v/>
      </c>
      <c r="U352" s="19">
        <f>IF($A352="","",IF(COUNTIFS(請求記録!$B$6:$B$3005,$A352,請求記録!$X$6:$X$3005,U$5,請求記録!$AD$6:$AD$3005,"保留中")&gt;0,"保留",IF(COUNTIFS(請求記録!$B$6:$B$3005,$A352,請求記録!$X$6:$X$3005,U$5)=0,"",SUMIFS(請求記録!$AC$6:$AC$3005,請求記録!$B$6:$B$3005,$A352,請求記録!$X$6:$X$3005,U$5))))</f>
        <v/>
      </c>
      <c r="V352" s="19">
        <f>IF($A352="","",IF(COUNTIFS(請求記録!$B$6:$B$3005,$A352,請求記録!$X$6:$X$3005,V$5,請求記録!$AD$6:$AD$3005,"保留中")&gt;0,"保留",IF(COUNTIFS(請求記録!$B$6:$B$3005,$A352,請求記録!$X$6:$X$3005,V$5)=0,"",SUMIFS(請求記録!$AC$6:$AC$3005,請求記録!$B$6:$B$3005,$A352,請求記録!$X$6:$X$3005,V$5))))</f>
        <v/>
      </c>
      <c r="W352" s="19">
        <f>IF($A352="","",IF(COUNTIFS(請求記録!$B$6:$B$3005,$A352,請求記録!$X$6:$X$3005,W$5,請求記録!$AD$6:$AD$3005,"保留中")&gt;0,"保留",IF(COUNTIFS(請求記録!$B$6:$B$3005,$A352,請求記録!$X$6:$X$3005,W$5)=0,"",SUMIFS(請求記録!$AC$6:$AC$3005,請求記録!$B$6:$B$3005,$A352,請求記録!$X$6:$X$3005,W$5))))</f>
        <v/>
      </c>
      <c r="X352" s="19">
        <f>IF($A352="","",IF(COUNTIFS(請求記録!$B$6:$B$3005,$A352,請求記録!$X$6:$X$3005,X$5,請求記録!$AD$6:$AD$3005,"保留中")&gt;0,"保留",IF(COUNTIFS(請求記録!$B$6:$B$3005,$A352,請求記録!$X$6:$X$3005,X$5)=0,"",SUMIFS(請求記録!$AC$6:$AC$3005,請求記録!$B$6:$B$3005,$A352,請求記録!$X$6:$X$3005,X$5))))</f>
        <v/>
      </c>
      <c r="Y352" s="19">
        <f>IF($A352="","",IF(COUNTIFS(請求記録!$B$6:$B$3005,$A352,請求記録!$X$6:$X$3005,Y$5,請求記録!$AD$6:$AD$3005,"保留中")&gt;0,"保留",IF(COUNTIFS(請求記録!$B$6:$B$3005,$A352,請求記録!$X$6:$X$3005,Y$5)=0,"",SUMIFS(請求記録!$AC$6:$AC$3005,請求記録!$B$6:$B$3005,$A352,請求記録!$X$6:$X$3005,Y$5))))</f>
        <v/>
      </c>
      <c r="Z352" s="19">
        <f>IF($A352="","",IF(COUNTIFS(請求記録!$B$6:$B$3005,$A352,請求記録!$X$6:$X$3005,Z$5,請求記録!$AD$6:$AD$3005,"保留中")&gt;0,"保留",IF(COUNTIFS(請求記録!$B$6:$B$3005,$A352,請求記録!$X$6:$X$3005,Z$5)=0,"",SUMIFS(請求記録!$AC$6:$AC$3005,請求記録!$B$6:$B$3005,$A352,請求記録!$X$6:$X$3005,Z$5))))</f>
        <v/>
      </c>
      <c r="AA352" s="19">
        <f>IF($A352="","",IF(COUNTIFS(請求記録!$B$6:$B$3005,$A352,請求記録!$X$6:$X$3005,AA$5,請求記録!$AD$6:$AD$3005,"保留中")&gt;0,"保留",IF(COUNTIFS(請求記録!$B$6:$B$3005,$A352,請求記録!$X$6:$X$3005,AA$5)=0,"",SUMIFS(請求記録!$AC$6:$AC$3005,請求記録!$B$6:$B$3005,$A352,請求記録!$X$6:$X$3005,AA$5))))</f>
        <v/>
      </c>
      <c r="AB352">
        <f>IF(職員マスタ!P352="保留中",職員マスタ!M352,"")</f>
        <v/>
      </c>
    </row>
    <row r="353">
      <c r="A353">
        <f>IF(職員マスタ!A353="","",職員マスタ!A353)</f>
        <v/>
      </c>
      <c r="B353">
        <f>IF($A353="","",職員マスタ!B353)</f>
        <v/>
      </c>
      <c r="C353">
        <f>IF($A353="","",職員マスタ!C353)</f>
        <v/>
      </c>
      <c r="D353" s="19">
        <f>IF($A353="","",IF(COUNTIFS(請求記録!$B$6:$B$3005,$A353,請求記録!$X$6:$X$3005,D$5,請求記録!$AD$6:$AD$3005,"保留中")&gt;0,"保留",IF(COUNTIFS(請求記録!$B$6:$B$3005,$A353,請求記録!$X$6:$X$3005,D$5)=0,"",SUMIFS(請求記録!$AC$6:$AC$3005,請求記録!$B$6:$B$3005,$A353,請求記録!$X$6:$X$3005,D$5))))</f>
        <v/>
      </c>
      <c r="E353" s="19">
        <f>IF($A353="","",IF(COUNTIFS(請求記録!$B$6:$B$3005,$A353,請求記録!$X$6:$X$3005,E$5,請求記録!$AD$6:$AD$3005,"保留中")&gt;0,"保留",IF(COUNTIFS(請求記録!$B$6:$B$3005,$A353,請求記録!$X$6:$X$3005,E$5)=0,"",SUMIFS(請求記録!$AC$6:$AC$3005,請求記録!$B$6:$B$3005,$A353,請求記録!$X$6:$X$3005,E$5))))</f>
        <v/>
      </c>
      <c r="F353" s="19">
        <f>IF($A353="","",IF(COUNTIFS(請求記録!$B$6:$B$3005,$A353,請求記録!$X$6:$X$3005,F$5,請求記録!$AD$6:$AD$3005,"保留中")&gt;0,"保留",IF(COUNTIFS(請求記録!$B$6:$B$3005,$A353,請求記録!$X$6:$X$3005,F$5)=0,"",SUMIFS(請求記録!$AC$6:$AC$3005,請求記録!$B$6:$B$3005,$A353,請求記録!$X$6:$X$3005,F$5))))</f>
        <v/>
      </c>
      <c r="G353" s="19">
        <f>IF($A353="","",IF(COUNTIFS(請求記録!$B$6:$B$3005,$A353,請求記録!$X$6:$X$3005,G$5,請求記録!$AD$6:$AD$3005,"保留中")&gt;0,"保留",IF(COUNTIFS(請求記録!$B$6:$B$3005,$A353,請求記録!$X$6:$X$3005,G$5)=0,"",SUMIFS(請求記録!$AC$6:$AC$3005,請求記録!$B$6:$B$3005,$A353,請求記録!$X$6:$X$3005,G$5))))</f>
        <v/>
      </c>
      <c r="H353" s="19">
        <f>IF($A353="","",IF(COUNTIFS(請求記録!$B$6:$B$3005,$A353,請求記録!$X$6:$X$3005,H$5,請求記録!$AD$6:$AD$3005,"保留中")&gt;0,"保留",IF(COUNTIFS(請求記録!$B$6:$B$3005,$A353,請求記録!$X$6:$X$3005,H$5)=0,"",SUMIFS(請求記録!$AC$6:$AC$3005,請求記録!$B$6:$B$3005,$A353,請求記録!$X$6:$X$3005,H$5))))</f>
        <v/>
      </c>
      <c r="I353" s="19">
        <f>IF($A353="","",IF(COUNTIFS(請求記録!$B$6:$B$3005,$A353,請求記録!$X$6:$X$3005,I$5,請求記録!$AD$6:$AD$3005,"保留中")&gt;0,"保留",IF(COUNTIFS(請求記録!$B$6:$B$3005,$A353,請求記録!$X$6:$X$3005,I$5)=0,"",SUMIFS(請求記録!$AC$6:$AC$3005,請求記録!$B$6:$B$3005,$A353,請求記録!$X$6:$X$3005,I$5))))</f>
        <v/>
      </c>
      <c r="J353" s="19">
        <f>IF($A353="","",IF(COUNTIFS(請求記録!$B$6:$B$3005,$A353,請求記録!$X$6:$X$3005,J$5,請求記録!$AD$6:$AD$3005,"保留中")&gt;0,"保留",IF(COUNTIFS(請求記録!$B$6:$B$3005,$A353,請求記録!$X$6:$X$3005,J$5)=0,"",SUMIFS(請求記録!$AC$6:$AC$3005,請求記録!$B$6:$B$3005,$A353,請求記録!$X$6:$X$3005,J$5))))</f>
        <v/>
      </c>
      <c r="K353" s="19">
        <f>IF($A353="","",IF(COUNTIFS(請求記録!$B$6:$B$3005,$A353,請求記録!$X$6:$X$3005,K$5,請求記録!$AD$6:$AD$3005,"保留中")&gt;0,"保留",IF(COUNTIFS(請求記録!$B$6:$B$3005,$A353,請求記録!$X$6:$X$3005,K$5)=0,"",SUMIFS(請求記録!$AC$6:$AC$3005,請求記録!$B$6:$B$3005,$A353,請求記録!$X$6:$X$3005,K$5))))</f>
        <v/>
      </c>
      <c r="L353" s="19">
        <f>IF($A353="","",IF(COUNTIFS(請求記録!$B$6:$B$3005,$A353,請求記録!$X$6:$X$3005,L$5,請求記録!$AD$6:$AD$3005,"保留中")&gt;0,"保留",IF(COUNTIFS(請求記録!$B$6:$B$3005,$A353,請求記録!$X$6:$X$3005,L$5)=0,"",SUMIFS(請求記録!$AC$6:$AC$3005,請求記録!$B$6:$B$3005,$A353,請求記録!$X$6:$X$3005,L$5))))</f>
        <v/>
      </c>
      <c r="M353" s="19">
        <f>IF($A353="","",IF(COUNTIFS(請求記録!$B$6:$B$3005,$A353,請求記録!$X$6:$X$3005,M$5,請求記録!$AD$6:$AD$3005,"保留中")&gt;0,"保留",IF(COUNTIFS(請求記録!$B$6:$B$3005,$A353,請求記録!$X$6:$X$3005,M$5)=0,"",SUMIFS(請求記録!$AC$6:$AC$3005,請求記録!$B$6:$B$3005,$A353,請求記録!$X$6:$X$3005,M$5))))</f>
        <v/>
      </c>
      <c r="N353" s="19">
        <f>IF($A353="","",IF(COUNTIFS(請求記録!$B$6:$B$3005,$A353,請求記録!$X$6:$X$3005,N$5,請求記録!$AD$6:$AD$3005,"保留中")&gt;0,"保留",IF(COUNTIFS(請求記録!$B$6:$B$3005,$A353,請求記録!$X$6:$X$3005,N$5)=0,"",SUMIFS(請求記録!$AC$6:$AC$3005,請求記録!$B$6:$B$3005,$A353,請求記録!$X$6:$X$3005,N$5))))</f>
        <v/>
      </c>
      <c r="O353" s="19">
        <f>IF($A353="","",IF(COUNTIFS(請求記録!$B$6:$B$3005,$A353,請求記録!$X$6:$X$3005,O$5,請求記録!$AD$6:$AD$3005,"保留中")&gt;0,"保留",IF(COUNTIFS(請求記録!$B$6:$B$3005,$A353,請求記録!$X$6:$X$3005,O$5)=0,"",SUMIFS(請求記録!$AC$6:$AC$3005,請求記録!$B$6:$B$3005,$A353,請求記録!$X$6:$X$3005,O$5))))</f>
        <v/>
      </c>
      <c r="P353" s="19">
        <f>IF($A353="","",IF(COUNTIFS(請求記録!$B$6:$B$3005,$A353,請求記録!$X$6:$X$3005,P$5,請求記録!$AD$6:$AD$3005,"保留中")&gt;0,"保留",IF(COUNTIFS(請求記録!$B$6:$B$3005,$A353,請求記録!$X$6:$X$3005,P$5)=0,"",SUMIFS(請求記録!$AC$6:$AC$3005,請求記録!$B$6:$B$3005,$A353,請求記録!$X$6:$X$3005,P$5))))</f>
        <v/>
      </c>
      <c r="Q353" s="19">
        <f>IF($A353="","",IF(COUNTIFS(請求記録!$B$6:$B$3005,$A353,請求記録!$X$6:$X$3005,Q$5,請求記録!$AD$6:$AD$3005,"保留中")&gt;0,"保留",IF(COUNTIFS(請求記録!$B$6:$B$3005,$A353,請求記録!$X$6:$X$3005,Q$5)=0,"",SUMIFS(請求記録!$AC$6:$AC$3005,請求記録!$B$6:$B$3005,$A353,請求記録!$X$6:$X$3005,Q$5))))</f>
        <v/>
      </c>
      <c r="R353" s="19">
        <f>IF($A353="","",IF(COUNTIFS(請求記録!$B$6:$B$3005,$A353,請求記録!$X$6:$X$3005,R$5,請求記録!$AD$6:$AD$3005,"保留中")&gt;0,"保留",IF(COUNTIFS(請求記録!$B$6:$B$3005,$A353,請求記録!$X$6:$X$3005,R$5)=0,"",SUMIFS(請求記録!$AC$6:$AC$3005,請求記録!$B$6:$B$3005,$A353,請求記録!$X$6:$X$3005,R$5))))</f>
        <v/>
      </c>
      <c r="S353" s="19">
        <f>IF($A353="","",IF(COUNTIFS(請求記録!$B$6:$B$3005,$A353,請求記録!$X$6:$X$3005,S$5,請求記録!$AD$6:$AD$3005,"保留中")&gt;0,"保留",IF(COUNTIFS(請求記録!$B$6:$B$3005,$A353,請求記録!$X$6:$X$3005,S$5)=0,"",SUMIFS(請求記録!$AC$6:$AC$3005,請求記録!$B$6:$B$3005,$A353,請求記録!$X$6:$X$3005,S$5))))</f>
        <v/>
      </c>
      <c r="T353" s="19">
        <f>IF($A353="","",IF(COUNTIFS(請求記録!$B$6:$B$3005,$A353,請求記録!$X$6:$X$3005,T$5,請求記録!$AD$6:$AD$3005,"保留中")&gt;0,"保留",IF(COUNTIFS(請求記録!$B$6:$B$3005,$A353,請求記録!$X$6:$X$3005,T$5)=0,"",SUMIFS(請求記録!$AC$6:$AC$3005,請求記録!$B$6:$B$3005,$A353,請求記録!$X$6:$X$3005,T$5))))</f>
        <v/>
      </c>
      <c r="U353" s="19">
        <f>IF($A353="","",IF(COUNTIFS(請求記録!$B$6:$B$3005,$A353,請求記録!$X$6:$X$3005,U$5,請求記録!$AD$6:$AD$3005,"保留中")&gt;0,"保留",IF(COUNTIFS(請求記録!$B$6:$B$3005,$A353,請求記録!$X$6:$X$3005,U$5)=0,"",SUMIFS(請求記録!$AC$6:$AC$3005,請求記録!$B$6:$B$3005,$A353,請求記録!$X$6:$X$3005,U$5))))</f>
        <v/>
      </c>
      <c r="V353" s="19">
        <f>IF($A353="","",IF(COUNTIFS(請求記録!$B$6:$B$3005,$A353,請求記録!$X$6:$X$3005,V$5,請求記録!$AD$6:$AD$3005,"保留中")&gt;0,"保留",IF(COUNTIFS(請求記録!$B$6:$B$3005,$A353,請求記録!$X$6:$X$3005,V$5)=0,"",SUMIFS(請求記録!$AC$6:$AC$3005,請求記録!$B$6:$B$3005,$A353,請求記録!$X$6:$X$3005,V$5))))</f>
        <v/>
      </c>
      <c r="W353" s="19">
        <f>IF($A353="","",IF(COUNTIFS(請求記録!$B$6:$B$3005,$A353,請求記録!$X$6:$X$3005,W$5,請求記録!$AD$6:$AD$3005,"保留中")&gt;0,"保留",IF(COUNTIFS(請求記録!$B$6:$B$3005,$A353,請求記録!$X$6:$X$3005,W$5)=0,"",SUMIFS(請求記録!$AC$6:$AC$3005,請求記録!$B$6:$B$3005,$A353,請求記録!$X$6:$X$3005,W$5))))</f>
        <v/>
      </c>
      <c r="X353" s="19">
        <f>IF($A353="","",IF(COUNTIFS(請求記録!$B$6:$B$3005,$A353,請求記録!$X$6:$X$3005,X$5,請求記録!$AD$6:$AD$3005,"保留中")&gt;0,"保留",IF(COUNTIFS(請求記録!$B$6:$B$3005,$A353,請求記録!$X$6:$X$3005,X$5)=0,"",SUMIFS(請求記録!$AC$6:$AC$3005,請求記録!$B$6:$B$3005,$A353,請求記録!$X$6:$X$3005,X$5))))</f>
        <v/>
      </c>
      <c r="Y353" s="19">
        <f>IF($A353="","",IF(COUNTIFS(請求記録!$B$6:$B$3005,$A353,請求記録!$X$6:$X$3005,Y$5,請求記録!$AD$6:$AD$3005,"保留中")&gt;0,"保留",IF(COUNTIFS(請求記録!$B$6:$B$3005,$A353,請求記録!$X$6:$X$3005,Y$5)=0,"",SUMIFS(請求記録!$AC$6:$AC$3005,請求記録!$B$6:$B$3005,$A353,請求記録!$X$6:$X$3005,Y$5))))</f>
        <v/>
      </c>
      <c r="Z353" s="19">
        <f>IF($A353="","",IF(COUNTIFS(請求記録!$B$6:$B$3005,$A353,請求記録!$X$6:$X$3005,Z$5,請求記録!$AD$6:$AD$3005,"保留中")&gt;0,"保留",IF(COUNTIFS(請求記録!$B$6:$B$3005,$A353,請求記録!$X$6:$X$3005,Z$5)=0,"",SUMIFS(請求記録!$AC$6:$AC$3005,請求記録!$B$6:$B$3005,$A353,請求記録!$X$6:$X$3005,Z$5))))</f>
        <v/>
      </c>
      <c r="AA353" s="19">
        <f>IF($A353="","",IF(COUNTIFS(請求記録!$B$6:$B$3005,$A353,請求記録!$X$6:$X$3005,AA$5,請求記録!$AD$6:$AD$3005,"保留中")&gt;0,"保留",IF(COUNTIFS(請求記録!$B$6:$B$3005,$A353,請求記録!$X$6:$X$3005,AA$5)=0,"",SUMIFS(請求記録!$AC$6:$AC$3005,請求記録!$B$6:$B$3005,$A353,請求記録!$X$6:$X$3005,AA$5))))</f>
        <v/>
      </c>
      <c r="AB353">
        <f>IF(職員マスタ!P353="保留中",職員マスタ!M353,"")</f>
        <v/>
      </c>
    </row>
    <row r="354">
      <c r="A354">
        <f>IF(職員マスタ!A354="","",職員マスタ!A354)</f>
        <v/>
      </c>
      <c r="B354">
        <f>IF($A354="","",職員マスタ!B354)</f>
        <v/>
      </c>
      <c r="C354">
        <f>IF($A354="","",職員マスタ!C354)</f>
        <v/>
      </c>
      <c r="D354" s="19">
        <f>IF($A354="","",IF(COUNTIFS(請求記録!$B$6:$B$3005,$A354,請求記録!$X$6:$X$3005,D$5,請求記録!$AD$6:$AD$3005,"保留中")&gt;0,"保留",IF(COUNTIFS(請求記録!$B$6:$B$3005,$A354,請求記録!$X$6:$X$3005,D$5)=0,"",SUMIFS(請求記録!$AC$6:$AC$3005,請求記録!$B$6:$B$3005,$A354,請求記録!$X$6:$X$3005,D$5))))</f>
        <v/>
      </c>
      <c r="E354" s="19">
        <f>IF($A354="","",IF(COUNTIFS(請求記録!$B$6:$B$3005,$A354,請求記録!$X$6:$X$3005,E$5,請求記録!$AD$6:$AD$3005,"保留中")&gt;0,"保留",IF(COUNTIFS(請求記録!$B$6:$B$3005,$A354,請求記録!$X$6:$X$3005,E$5)=0,"",SUMIFS(請求記録!$AC$6:$AC$3005,請求記録!$B$6:$B$3005,$A354,請求記録!$X$6:$X$3005,E$5))))</f>
        <v/>
      </c>
      <c r="F354" s="19">
        <f>IF($A354="","",IF(COUNTIFS(請求記録!$B$6:$B$3005,$A354,請求記録!$X$6:$X$3005,F$5,請求記録!$AD$6:$AD$3005,"保留中")&gt;0,"保留",IF(COUNTIFS(請求記録!$B$6:$B$3005,$A354,請求記録!$X$6:$X$3005,F$5)=0,"",SUMIFS(請求記録!$AC$6:$AC$3005,請求記録!$B$6:$B$3005,$A354,請求記録!$X$6:$X$3005,F$5))))</f>
        <v/>
      </c>
      <c r="G354" s="19">
        <f>IF($A354="","",IF(COUNTIFS(請求記録!$B$6:$B$3005,$A354,請求記録!$X$6:$X$3005,G$5,請求記録!$AD$6:$AD$3005,"保留中")&gt;0,"保留",IF(COUNTIFS(請求記録!$B$6:$B$3005,$A354,請求記録!$X$6:$X$3005,G$5)=0,"",SUMIFS(請求記録!$AC$6:$AC$3005,請求記録!$B$6:$B$3005,$A354,請求記録!$X$6:$X$3005,G$5))))</f>
        <v/>
      </c>
      <c r="H354" s="19">
        <f>IF($A354="","",IF(COUNTIFS(請求記録!$B$6:$B$3005,$A354,請求記録!$X$6:$X$3005,H$5,請求記録!$AD$6:$AD$3005,"保留中")&gt;0,"保留",IF(COUNTIFS(請求記録!$B$6:$B$3005,$A354,請求記録!$X$6:$X$3005,H$5)=0,"",SUMIFS(請求記録!$AC$6:$AC$3005,請求記録!$B$6:$B$3005,$A354,請求記録!$X$6:$X$3005,H$5))))</f>
        <v/>
      </c>
      <c r="I354" s="19">
        <f>IF($A354="","",IF(COUNTIFS(請求記録!$B$6:$B$3005,$A354,請求記録!$X$6:$X$3005,I$5,請求記録!$AD$6:$AD$3005,"保留中")&gt;0,"保留",IF(COUNTIFS(請求記録!$B$6:$B$3005,$A354,請求記録!$X$6:$X$3005,I$5)=0,"",SUMIFS(請求記録!$AC$6:$AC$3005,請求記録!$B$6:$B$3005,$A354,請求記録!$X$6:$X$3005,I$5))))</f>
        <v/>
      </c>
      <c r="J354" s="19">
        <f>IF($A354="","",IF(COUNTIFS(請求記録!$B$6:$B$3005,$A354,請求記録!$X$6:$X$3005,J$5,請求記録!$AD$6:$AD$3005,"保留中")&gt;0,"保留",IF(COUNTIFS(請求記録!$B$6:$B$3005,$A354,請求記録!$X$6:$X$3005,J$5)=0,"",SUMIFS(請求記録!$AC$6:$AC$3005,請求記録!$B$6:$B$3005,$A354,請求記録!$X$6:$X$3005,J$5))))</f>
        <v/>
      </c>
      <c r="K354" s="19">
        <f>IF($A354="","",IF(COUNTIFS(請求記録!$B$6:$B$3005,$A354,請求記録!$X$6:$X$3005,K$5,請求記録!$AD$6:$AD$3005,"保留中")&gt;0,"保留",IF(COUNTIFS(請求記録!$B$6:$B$3005,$A354,請求記録!$X$6:$X$3005,K$5)=0,"",SUMIFS(請求記録!$AC$6:$AC$3005,請求記録!$B$6:$B$3005,$A354,請求記録!$X$6:$X$3005,K$5))))</f>
        <v/>
      </c>
      <c r="L354" s="19">
        <f>IF($A354="","",IF(COUNTIFS(請求記録!$B$6:$B$3005,$A354,請求記録!$X$6:$X$3005,L$5,請求記録!$AD$6:$AD$3005,"保留中")&gt;0,"保留",IF(COUNTIFS(請求記録!$B$6:$B$3005,$A354,請求記録!$X$6:$X$3005,L$5)=0,"",SUMIFS(請求記録!$AC$6:$AC$3005,請求記録!$B$6:$B$3005,$A354,請求記録!$X$6:$X$3005,L$5))))</f>
        <v/>
      </c>
      <c r="M354" s="19">
        <f>IF($A354="","",IF(COUNTIFS(請求記録!$B$6:$B$3005,$A354,請求記録!$X$6:$X$3005,M$5,請求記録!$AD$6:$AD$3005,"保留中")&gt;0,"保留",IF(COUNTIFS(請求記録!$B$6:$B$3005,$A354,請求記録!$X$6:$X$3005,M$5)=0,"",SUMIFS(請求記録!$AC$6:$AC$3005,請求記録!$B$6:$B$3005,$A354,請求記録!$X$6:$X$3005,M$5))))</f>
        <v/>
      </c>
      <c r="N354" s="19">
        <f>IF($A354="","",IF(COUNTIFS(請求記録!$B$6:$B$3005,$A354,請求記録!$X$6:$X$3005,N$5,請求記録!$AD$6:$AD$3005,"保留中")&gt;0,"保留",IF(COUNTIFS(請求記録!$B$6:$B$3005,$A354,請求記録!$X$6:$X$3005,N$5)=0,"",SUMIFS(請求記録!$AC$6:$AC$3005,請求記録!$B$6:$B$3005,$A354,請求記録!$X$6:$X$3005,N$5))))</f>
        <v/>
      </c>
      <c r="O354" s="19">
        <f>IF($A354="","",IF(COUNTIFS(請求記録!$B$6:$B$3005,$A354,請求記録!$X$6:$X$3005,O$5,請求記録!$AD$6:$AD$3005,"保留中")&gt;0,"保留",IF(COUNTIFS(請求記録!$B$6:$B$3005,$A354,請求記録!$X$6:$X$3005,O$5)=0,"",SUMIFS(請求記録!$AC$6:$AC$3005,請求記録!$B$6:$B$3005,$A354,請求記録!$X$6:$X$3005,O$5))))</f>
        <v/>
      </c>
      <c r="P354" s="19">
        <f>IF($A354="","",IF(COUNTIFS(請求記録!$B$6:$B$3005,$A354,請求記録!$X$6:$X$3005,P$5,請求記録!$AD$6:$AD$3005,"保留中")&gt;0,"保留",IF(COUNTIFS(請求記録!$B$6:$B$3005,$A354,請求記録!$X$6:$X$3005,P$5)=0,"",SUMIFS(請求記録!$AC$6:$AC$3005,請求記録!$B$6:$B$3005,$A354,請求記録!$X$6:$X$3005,P$5))))</f>
        <v/>
      </c>
      <c r="Q354" s="19">
        <f>IF($A354="","",IF(COUNTIFS(請求記録!$B$6:$B$3005,$A354,請求記録!$X$6:$X$3005,Q$5,請求記録!$AD$6:$AD$3005,"保留中")&gt;0,"保留",IF(COUNTIFS(請求記録!$B$6:$B$3005,$A354,請求記録!$X$6:$X$3005,Q$5)=0,"",SUMIFS(請求記録!$AC$6:$AC$3005,請求記録!$B$6:$B$3005,$A354,請求記録!$X$6:$X$3005,Q$5))))</f>
        <v/>
      </c>
      <c r="R354" s="19">
        <f>IF($A354="","",IF(COUNTIFS(請求記録!$B$6:$B$3005,$A354,請求記録!$X$6:$X$3005,R$5,請求記録!$AD$6:$AD$3005,"保留中")&gt;0,"保留",IF(COUNTIFS(請求記録!$B$6:$B$3005,$A354,請求記録!$X$6:$X$3005,R$5)=0,"",SUMIFS(請求記録!$AC$6:$AC$3005,請求記録!$B$6:$B$3005,$A354,請求記録!$X$6:$X$3005,R$5))))</f>
        <v/>
      </c>
      <c r="S354" s="19">
        <f>IF($A354="","",IF(COUNTIFS(請求記録!$B$6:$B$3005,$A354,請求記録!$X$6:$X$3005,S$5,請求記録!$AD$6:$AD$3005,"保留中")&gt;0,"保留",IF(COUNTIFS(請求記録!$B$6:$B$3005,$A354,請求記録!$X$6:$X$3005,S$5)=0,"",SUMIFS(請求記録!$AC$6:$AC$3005,請求記録!$B$6:$B$3005,$A354,請求記録!$X$6:$X$3005,S$5))))</f>
        <v/>
      </c>
      <c r="T354" s="19">
        <f>IF($A354="","",IF(COUNTIFS(請求記録!$B$6:$B$3005,$A354,請求記録!$X$6:$X$3005,T$5,請求記録!$AD$6:$AD$3005,"保留中")&gt;0,"保留",IF(COUNTIFS(請求記録!$B$6:$B$3005,$A354,請求記録!$X$6:$X$3005,T$5)=0,"",SUMIFS(請求記録!$AC$6:$AC$3005,請求記録!$B$6:$B$3005,$A354,請求記録!$X$6:$X$3005,T$5))))</f>
        <v/>
      </c>
      <c r="U354" s="19">
        <f>IF($A354="","",IF(COUNTIFS(請求記録!$B$6:$B$3005,$A354,請求記録!$X$6:$X$3005,U$5,請求記録!$AD$6:$AD$3005,"保留中")&gt;0,"保留",IF(COUNTIFS(請求記録!$B$6:$B$3005,$A354,請求記録!$X$6:$X$3005,U$5)=0,"",SUMIFS(請求記録!$AC$6:$AC$3005,請求記録!$B$6:$B$3005,$A354,請求記録!$X$6:$X$3005,U$5))))</f>
        <v/>
      </c>
      <c r="V354" s="19">
        <f>IF($A354="","",IF(COUNTIFS(請求記録!$B$6:$B$3005,$A354,請求記録!$X$6:$X$3005,V$5,請求記録!$AD$6:$AD$3005,"保留中")&gt;0,"保留",IF(COUNTIFS(請求記録!$B$6:$B$3005,$A354,請求記録!$X$6:$X$3005,V$5)=0,"",SUMIFS(請求記録!$AC$6:$AC$3005,請求記録!$B$6:$B$3005,$A354,請求記録!$X$6:$X$3005,V$5))))</f>
        <v/>
      </c>
      <c r="W354" s="19">
        <f>IF($A354="","",IF(COUNTIFS(請求記録!$B$6:$B$3005,$A354,請求記録!$X$6:$X$3005,W$5,請求記録!$AD$6:$AD$3005,"保留中")&gt;0,"保留",IF(COUNTIFS(請求記録!$B$6:$B$3005,$A354,請求記録!$X$6:$X$3005,W$5)=0,"",SUMIFS(請求記録!$AC$6:$AC$3005,請求記録!$B$6:$B$3005,$A354,請求記録!$X$6:$X$3005,W$5))))</f>
        <v/>
      </c>
      <c r="X354" s="19">
        <f>IF($A354="","",IF(COUNTIFS(請求記録!$B$6:$B$3005,$A354,請求記録!$X$6:$X$3005,X$5,請求記録!$AD$6:$AD$3005,"保留中")&gt;0,"保留",IF(COUNTIFS(請求記録!$B$6:$B$3005,$A354,請求記録!$X$6:$X$3005,X$5)=0,"",SUMIFS(請求記録!$AC$6:$AC$3005,請求記録!$B$6:$B$3005,$A354,請求記録!$X$6:$X$3005,X$5))))</f>
        <v/>
      </c>
      <c r="Y354" s="19">
        <f>IF($A354="","",IF(COUNTIFS(請求記録!$B$6:$B$3005,$A354,請求記録!$X$6:$X$3005,Y$5,請求記録!$AD$6:$AD$3005,"保留中")&gt;0,"保留",IF(COUNTIFS(請求記録!$B$6:$B$3005,$A354,請求記録!$X$6:$X$3005,Y$5)=0,"",SUMIFS(請求記録!$AC$6:$AC$3005,請求記録!$B$6:$B$3005,$A354,請求記録!$X$6:$X$3005,Y$5))))</f>
        <v/>
      </c>
      <c r="Z354" s="19">
        <f>IF($A354="","",IF(COUNTIFS(請求記録!$B$6:$B$3005,$A354,請求記録!$X$6:$X$3005,Z$5,請求記録!$AD$6:$AD$3005,"保留中")&gt;0,"保留",IF(COUNTIFS(請求記録!$B$6:$B$3005,$A354,請求記録!$X$6:$X$3005,Z$5)=0,"",SUMIFS(請求記録!$AC$6:$AC$3005,請求記録!$B$6:$B$3005,$A354,請求記録!$X$6:$X$3005,Z$5))))</f>
        <v/>
      </c>
      <c r="AA354" s="19">
        <f>IF($A354="","",IF(COUNTIFS(請求記録!$B$6:$B$3005,$A354,請求記録!$X$6:$X$3005,AA$5,請求記録!$AD$6:$AD$3005,"保留中")&gt;0,"保留",IF(COUNTIFS(請求記録!$B$6:$B$3005,$A354,請求記録!$X$6:$X$3005,AA$5)=0,"",SUMIFS(請求記録!$AC$6:$AC$3005,請求記録!$B$6:$B$3005,$A354,請求記録!$X$6:$X$3005,AA$5))))</f>
        <v/>
      </c>
      <c r="AB354">
        <f>IF(職員マスタ!P354="保留中",職員マスタ!M354,"")</f>
        <v/>
      </c>
    </row>
    <row r="355">
      <c r="A355">
        <f>IF(職員マスタ!A355="","",職員マスタ!A355)</f>
        <v/>
      </c>
      <c r="B355">
        <f>IF($A355="","",職員マスタ!B355)</f>
        <v/>
      </c>
      <c r="C355">
        <f>IF($A355="","",職員マスタ!C355)</f>
        <v/>
      </c>
      <c r="D355" s="19">
        <f>IF($A355="","",IF(COUNTIFS(請求記録!$B$6:$B$3005,$A355,請求記録!$X$6:$X$3005,D$5,請求記録!$AD$6:$AD$3005,"保留中")&gt;0,"保留",IF(COUNTIFS(請求記録!$B$6:$B$3005,$A355,請求記録!$X$6:$X$3005,D$5)=0,"",SUMIFS(請求記録!$AC$6:$AC$3005,請求記録!$B$6:$B$3005,$A355,請求記録!$X$6:$X$3005,D$5))))</f>
        <v/>
      </c>
      <c r="E355" s="19">
        <f>IF($A355="","",IF(COUNTIFS(請求記録!$B$6:$B$3005,$A355,請求記録!$X$6:$X$3005,E$5,請求記録!$AD$6:$AD$3005,"保留中")&gt;0,"保留",IF(COUNTIFS(請求記録!$B$6:$B$3005,$A355,請求記録!$X$6:$X$3005,E$5)=0,"",SUMIFS(請求記録!$AC$6:$AC$3005,請求記録!$B$6:$B$3005,$A355,請求記録!$X$6:$X$3005,E$5))))</f>
        <v/>
      </c>
      <c r="F355" s="19">
        <f>IF($A355="","",IF(COUNTIFS(請求記録!$B$6:$B$3005,$A355,請求記録!$X$6:$X$3005,F$5,請求記録!$AD$6:$AD$3005,"保留中")&gt;0,"保留",IF(COUNTIFS(請求記録!$B$6:$B$3005,$A355,請求記録!$X$6:$X$3005,F$5)=0,"",SUMIFS(請求記録!$AC$6:$AC$3005,請求記録!$B$6:$B$3005,$A355,請求記録!$X$6:$X$3005,F$5))))</f>
        <v/>
      </c>
      <c r="G355" s="19">
        <f>IF($A355="","",IF(COUNTIFS(請求記録!$B$6:$B$3005,$A355,請求記録!$X$6:$X$3005,G$5,請求記録!$AD$6:$AD$3005,"保留中")&gt;0,"保留",IF(COUNTIFS(請求記録!$B$6:$B$3005,$A355,請求記録!$X$6:$X$3005,G$5)=0,"",SUMIFS(請求記録!$AC$6:$AC$3005,請求記録!$B$6:$B$3005,$A355,請求記録!$X$6:$X$3005,G$5))))</f>
        <v/>
      </c>
      <c r="H355" s="19">
        <f>IF($A355="","",IF(COUNTIFS(請求記録!$B$6:$B$3005,$A355,請求記録!$X$6:$X$3005,H$5,請求記録!$AD$6:$AD$3005,"保留中")&gt;0,"保留",IF(COUNTIFS(請求記録!$B$6:$B$3005,$A355,請求記録!$X$6:$X$3005,H$5)=0,"",SUMIFS(請求記録!$AC$6:$AC$3005,請求記録!$B$6:$B$3005,$A355,請求記録!$X$6:$X$3005,H$5))))</f>
        <v/>
      </c>
      <c r="I355" s="19">
        <f>IF($A355="","",IF(COUNTIFS(請求記録!$B$6:$B$3005,$A355,請求記録!$X$6:$X$3005,I$5,請求記録!$AD$6:$AD$3005,"保留中")&gt;0,"保留",IF(COUNTIFS(請求記録!$B$6:$B$3005,$A355,請求記録!$X$6:$X$3005,I$5)=0,"",SUMIFS(請求記録!$AC$6:$AC$3005,請求記録!$B$6:$B$3005,$A355,請求記録!$X$6:$X$3005,I$5))))</f>
        <v/>
      </c>
      <c r="J355" s="19">
        <f>IF($A355="","",IF(COUNTIFS(請求記録!$B$6:$B$3005,$A355,請求記録!$X$6:$X$3005,J$5,請求記録!$AD$6:$AD$3005,"保留中")&gt;0,"保留",IF(COUNTIFS(請求記録!$B$6:$B$3005,$A355,請求記録!$X$6:$X$3005,J$5)=0,"",SUMIFS(請求記録!$AC$6:$AC$3005,請求記録!$B$6:$B$3005,$A355,請求記録!$X$6:$X$3005,J$5))))</f>
        <v/>
      </c>
      <c r="K355" s="19">
        <f>IF($A355="","",IF(COUNTIFS(請求記録!$B$6:$B$3005,$A355,請求記録!$X$6:$X$3005,K$5,請求記録!$AD$6:$AD$3005,"保留中")&gt;0,"保留",IF(COUNTIFS(請求記録!$B$6:$B$3005,$A355,請求記録!$X$6:$X$3005,K$5)=0,"",SUMIFS(請求記録!$AC$6:$AC$3005,請求記録!$B$6:$B$3005,$A355,請求記録!$X$6:$X$3005,K$5))))</f>
        <v/>
      </c>
      <c r="L355" s="19">
        <f>IF($A355="","",IF(COUNTIFS(請求記録!$B$6:$B$3005,$A355,請求記録!$X$6:$X$3005,L$5,請求記録!$AD$6:$AD$3005,"保留中")&gt;0,"保留",IF(COUNTIFS(請求記録!$B$6:$B$3005,$A355,請求記録!$X$6:$X$3005,L$5)=0,"",SUMIFS(請求記録!$AC$6:$AC$3005,請求記録!$B$6:$B$3005,$A355,請求記録!$X$6:$X$3005,L$5))))</f>
        <v/>
      </c>
      <c r="M355" s="19">
        <f>IF($A355="","",IF(COUNTIFS(請求記録!$B$6:$B$3005,$A355,請求記録!$X$6:$X$3005,M$5,請求記録!$AD$6:$AD$3005,"保留中")&gt;0,"保留",IF(COUNTIFS(請求記録!$B$6:$B$3005,$A355,請求記録!$X$6:$X$3005,M$5)=0,"",SUMIFS(請求記録!$AC$6:$AC$3005,請求記録!$B$6:$B$3005,$A355,請求記録!$X$6:$X$3005,M$5))))</f>
        <v/>
      </c>
      <c r="N355" s="19">
        <f>IF($A355="","",IF(COUNTIFS(請求記録!$B$6:$B$3005,$A355,請求記録!$X$6:$X$3005,N$5,請求記録!$AD$6:$AD$3005,"保留中")&gt;0,"保留",IF(COUNTIFS(請求記録!$B$6:$B$3005,$A355,請求記録!$X$6:$X$3005,N$5)=0,"",SUMIFS(請求記録!$AC$6:$AC$3005,請求記録!$B$6:$B$3005,$A355,請求記録!$X$6:$X$3005,N$5))))</f>
        <v/>
      </c>
      <c r="O355" s="19">
        <f>IF($A355="","",IF(COUNTIFS(請求記録!$B$6:$B$3005,$A355,請求記録!$X$6:$X$3005,O$5,請求記録!$AD$6:$AD$3005,"保留中")&gt;0,"保留",IF(COUNTIFS(請求記録!$B$6:$B$3005,$A355,請求記録!$X$6:$X$3005,O$5)=0,"",SUMIFS(請求記録!$AC$6:$AC$3005,請求記録!$B$6:$B$3005,$A355,請求記録!$X$6:$X$3005,O$5))))</f>
        <v/>
      </c>
      <c r="P355" s="19">
        <f>IF($A355="","",IF(COUNTIFS(請求記録!$B$6:$B$3005,$A355,請求記録!$X$6:$X$3005,P$5,請求記録!$AD$6:$AD$3005,"保留中")&gt;0,"保留",IF(COUNTIFS(請求記録!$B$6:$B$3005,$A355,請求記録!$X$6:$X$3005,P$5)=0,"",SUMIFS(請求記録!$AC$6:$AC$3005,請求記録!$B$6:$B$3005,$A355,請求記録!$X$6:$X$3005,P$5))))</f>
        <v/>
      </c>
      <c r="Q355" s="19">
        <f>IF($A355="","",IF(COUNTIFS(請求記録!$B$6:$B$3005,$A355,請求記録!$X$6:$X$3005,Q$5,請求記録!$AD$6:$AD$3005,"保留中")&gt;0,"保留",IF(COUNTIFS(請求記録!$B$6:$B$3005,$A355,請求記録!$X$6:$X$3005,Q$5)=0,"",SUMIFS(請求記録!$AC$6:$AC$3005,請求記録!$B$6:$B$3005,$A355,請求記録!$X$6:$X$3005,Q$5))))</f>
        <v/>
      </c>
      <c r="R355" s="19">
        <f>IF($A355="","",IF(COUNTIFS(請求記録!$B$6:$B$3005,$A355,請求記録!$X$6:$X$3005,R$5,請求記録!$AD$6:$AD$3005,"保留中")&gt;0,"保留",IF(COUNTIFS(請求記録!$B$6:$B$3005,$A355,請求記録!$X$6:$X$3005,R$5)=0,"",SUMIFS(請求記録!$AC$6:$AC$3005,請求記録!$B$6:$B$3005,$A355,請求記録!$X$6:$X$3005,R$5))))</f>
        <v/>
      </c>
      <c r="S355" s="19">
        <f>IF($A355="","",IF(COUNTIFS(請求記録!$B$6:$B$3005,$A355,請求記録!$X$6:$X$3005,S$5,請求記録!$AD$6:$AD$3005,"保留中")&gt;0,"保留",IF(COUNTIFS(請求記録!$B$6:$B$3005,$A355,請求記録!$X$6:$X$3005,S$5)=0,"",SUMIFS(請求記録!$AC$6:$AC$3005,請求記録!$B$6:$B$3005,$A355,請求記録!$X$6:$X$3005,S$5))))</f>
        <v/>
      </c>
      <c r="T355" s="19">
        <f>IF($A355="","",IF(COUNTIFS(請求記録!$B$6:$B$3005,$A355,請求記録!$X$6:$X$3005,T$5,請求記録!$AD$6:$AD$3005,"保留中")&gt;0,"保留",IF(COUNTIFS(請求記録!$B$6:$B$3005,$A355,請求記録!$X$6:$X$3005,T$5)=0,"",SUMIFS(請求記録!$AC$6:$AC$3005,請求記録!$B$6:$B$3005,$A355,請求記録!$X$6:$X$3005,T$5))))</f>
        <v/>
      </c>
      <c r="U355" s="19">
        <f>IF($A355="","",IF(COUNTIFS(請求記録!$B$6:$B$3005,$A355,請求記録!$X$6:$X$3005,U$5,請求記録!$AD$6:$AD$3005,"保留中")&gt;0,"保留",IF(COUNTIFS(請求記録!$B$6:$B$3005,$A355,請求記録!$X$6:$X$3005,U$5)=0,"",SUMIFS(請求記録!$AC$6:$AC$3005,請求記録!$B$6:$B$3005,$A355,請求記録!$X$6:$X$3005,U$5))))</f>
        <v/>
      </c>
      <c r="V355" s="19">
        <f>IF($A355="","",IF(COUNTIFS(請求記録!$B$6:$B$3005,$A355,請求記録!$X$6:$X$3005,V$5,請求記録!$AD$6:$AD$3005,"保留中")&gt;0,"保留",IF(COUNTIFS(請求記録!$B$6:$B$3005,$A355,請求記録!$X$6:$X$3005,V$5)=0,"",SUMIFS(請求記録!$AC$6:$AC$3005,請求記録!$B$6:$B$3005,$A355,請求記録!$X$6:$X$3005,V$5))))</f>
        <v/>
      </c>
      <c r="W355" s="19">
        <f>IF($A355="","",IF(COUNTIFS(請求記録!$B$6:$B$3005,$A355,請求記録!$X$6:$X$3005,W$5,請求記録!$AD$6:$AD$3005,"保留中")&gt;0,"保留",IF(COUNTIFS(請求記録!$B$6:$B$3005,$A355,請求記録!$X$6:$X$3005,W$5)=0,"",SUMIFS(請求記録!$AC$6:$AC$3005,請求記録!$B$6:$B$3005,$A355,請求記録!$X$6:$X$3005,W$5))))</f>
        <v/>
      </c>
      <c r="X355" s="19">
        <f>IF($A355="","",IF(COUNTIFS(請求記録!$B$6:$B$3005,$A355,請求記録!$X$6:$X$3005,X$5,請求記録!$AD$6:$AD$3005,"保留中")&gt;0,"保留",IF(COUNTIFS(請求記録!$B$6:$B$3005,$A355,請求記録!$X$6:$X$3005,X$5)=0,"",SUMIFS(請求記録!$AC$6:$AC$3005,請求記録!$B$6:$B$3005,$A355,請求記録!$X$6:$X$3005,X$5))))</f>
        <v/>
      </c>
      <c r="Y355" s="19">
        <f>IF($A355="","",IF(COUNTIFS(請求記録!$B$6:$B$3005,$A355,請求記録!$X$6:$X$3005,Y$5,請求記録!$AD$6:$AD$3005,"保留中")&gt;0,"保留",IF(COUNTIFS(請求記録!$B$6:$B$3005,$A355,請求記録!$X$6:$X$3005,Y$5)=0,"",SUMIFS(請求記録!$AC$6:$AC$3005,請求記録!$B$6:$B$3005,$A355,請求記録!$X$6:$X$3005,Y$5))))</f>
        <v/>
      </c>
      <c r="Z355" s="19">
        <f>IF($A355="","",IF(COUNTIFS(請求記録!$B$6:$B$3005,$A355,請求記録!$X$6:$X$3005,Z$5,請求記録!$AD$6:$AD$3005,"保留中")&gt;0,"保留",IF(COUNTIFS(請求記録!$B$6:$B$3005,$A355,請求記録!$X$6:$X$3005,Z$5)=0,"",SUMIFS(請求記録!$AC$6:$AC$3005,請求記録!$B$6:$B$3005,$A355,請求記録!$X$6:$X$3005,Z$5))))</f>
        <v/>
      </c>
      <c r="AA355" s="19">
        <f>IF($A355="","",IF(COUNTIFS(請求記録!$B$6:$B$3005,$A355,請求記録!$X$6:$X$3005,AA$5,請求記録!$AD$6:$AD$3005,"保留中")&gt;0,"保留",IF(COUNTIFS(請求記録!$B$6:$B$3005,$A355,請求記録!$X$6:$X$3005,AA$5)=0,"",SUMIFS(請求記録!$AC$6:$AC$3005,請求記録!$B$6:$B$3005,$A355,請求記録!$X$6:$X$3005,AA$5))))</f>
        <v/>
      </c>
      <c r="AB355">
        <f>IF(職員マスタ!P355="保留中",職員マスタ!M355,"")</f>
        <v/>
      </c>
    </row>
    <row r="356">
      <c r="A356">
        <f>IF(職員マスタ!A356="","",職員マスタ!A356)</f>
        <v/>
      </c>
      <c r="B356">
        <f>IF($A356="","",職員マスタ!B356)</f>
        <v/>
      </c>
      <c r="C356">
        <f>IF($A356="","",職員マスタ!C356)</f>
        <v/>
      </c>
      <c r="D356" s="19">
        <f>IF($A356="","",IF(COUNTIFS(請求記録!$B$6:$B$3005,$A356,請求記録!$X$6:$X$3005,D$5,請求記録!$AD$6:$AD$3005,"保留中")&gt;0,"保留",IF(COUNTIFS(請求記録!$B$6:$B$3005,$A356,請求記録!$X$6:$X$3005,D$5)=0,"",SUMIFS(請求記録!$AC$6:$AC$3005,請求記録!$B$6:$B$3005,$A356,請求記録!$X$6:$X$3005,D$5))))</f>
        <v/>
      </c>
      <c r="E356" s="19">
        <f>IF($A356="","",IF(COUNTIFS(請求記録!$B$6:$B$3005,$A356,請求記録!$X$6:$X$3005,E$5,請求記録!$AD$6:$AD$3005,"保留中")&gt;0,"保留",IF(COUNTIFS(請求記録!$B$6:$B$3005,$A356,請求記録!$X$6:$X$3005,E$5)=0,"",SUMIFS(請求記録!$AC$6:$AC$3005,請求記録!$B$6:$B$3005,$A356,請求記録!$X$6:$X$3005,E$5))))</f>
        <v/>
      </c>
      <c r="F356" s="19">
        <f>IF($A356="","",IF(COUNTIFS(請求記録!$B$6:$B$3005,$A356,請求記録!$X$6:$X$3005,F$5,請求記録!$AD$6:$AD$3005,"保留中")&gt;0,"保留",IF(COUNTIFS(請求記録!$B$6:$B$3005,$A356,請求記録!$X$6:$X$3005,F$5)=0,"",SUMIFS(請求記録!$AC$6:$AC$3005,請求記録!$B$6:$B$3005,$A356,請求記録!$X$6:$X$3005,F$5))))</f>
        <v/>
      </c>
      <c r="G356" s="19">
        <f>IF($A356="","",IF(COUNTIFS(請求記録!$B$6:$B$3005,$A356,請求記録!$X$6:$X$3005,G$5,請求記録!$AD$6:$AD$3005,"保留中")&gt;0,"保留",IF(COUNTIFS(請求記録!$B$6:$B$3005,$A356,請求記録!$X$6:$X$3005,G$5)=0,"",SUMIFS(請求記録!$AC$6:$AC$3005,請求記録!$B$6:$B$3005,$A356,請求記録!$X$6:$X$3005,G$5))))</f>
        <v/>
      </c>
      <c r="H356" s="19">
        <f>IF($A356="","",IF(COUNTIFS(請求記録!$B$6:$B$3005,$A356,請求記録!$X$6:$X$3005,H$5,請求記録!$AD$6:$AD$3005,"保留中")&gt;0,"保留",IF(COUNTIFS(請求記録!$B$6:$B$3005,$A356,請求記録!$X$6:$X$3005,H$5)=0,"",SUMIFS(請求記録!$AC$6:$AC$3005,請求記録!$B$6:$B$3005,$A356,請求記録!$X$6:$X$3005,H$5))))</f>
        <v/>
      </c>
      <c r="I356" s="19">
        <f>IF($A356="","",IF(COUNTIFS(請求記録!$B$6:$B$3005,$A356,請求記録!$X$6:$X$3005,I$5,請求記録!$AD$6:$AD$3005,"保留中")&gt;0,"保留",IF(COUNTIFS(請求記録!$B$6:$B$3005,$A356,請求記録!$X$6:$X$3005,I$5)=0,"",SUMIFS(請求記録!$AC$6:$AC$3005,請求記録!$B$6:$B$3005,$A356,請求記録!$X$6:$X$3005,I$5))))</f>
        <v/>
      </c>
      <c r="J356" s="19">
        <f>IF($A356="","",IF(COUNTIFS(請求記録!$B$6:$B$3005,$A356,請求記録!$X$6:$X$3005,J$5,請求記録!$AD$6:$AD$3005,"保留中")&gt;0,"保留",IF(COUNTIFS(請求記録!$B$6:$B$3005,$A356,請求記録!$X$6:$X$3005,J$5)=0,"",SUMIFS(請求記録!$AC$6:$AC$3005,請求記録!$B$6:$B$3005,$A356,請求記録!$X$6:$X$3005,J$5))))</f>
        <v/>
      </c>
      <c r="K356" s="19">
        <f>IF($A356="","",IF(COUNTIFS(請求記録!$B$6:$B$3005,$A356,請求記録!$X$6:$X$3005,K$5,請求記録!$AD$6:$AD$3005,"保留中")&gt;0,"保留",IF(COUNTIFS(請求記録!$B$6:$B$3005,$A356,請求記録!$X$6:$X$3005,K$5)=0,"",SUMIFS(請求記録!$AC$6:$AC$3005,請求記録!$B$6:$B$3005,$A356,請求記録!$X$6:$X$3005,K$5))))</f>
        <v/>
      </c>
      <c r="L356" s="19">
        <f>IF($A356="","",IF(COUNTIFS(請求記録!$B$6:$B$3005,$A356,請求記録!$X$6:$X$3005,L$5,請求記録!$AD$6:$AD$3005,"保留中")&gt;0,"保留",IF(COUNTIFS(請求記録!$B$6:$B$3005,$A356,請求記録!$X$6:$X$3005,L$5)=0,"",SUMIFS(請求記録!$AC$6:$AC$3005,請求記録!$B$6:$B$3005,$A356,請求記録!$X$6:$X$3005,L$5))))</f>
        <v/>
      </c>
      <c r="M356" s="19">
        <f>IF($A356="","",IF(COUNTIFS(請求記録!$B$6:$B$3005,$A356,請求記録!$X$6:$X$3005,M$5,請求記録!$AD$6:$AD$3005,"保留中")&gt;0,"保留",IF(COUNTIFS(請求記録!$B$6:$B$3005,$A356,請求記録!$X$6:$X$3005,M$5)=0,"",SUMIFS(請求記録!$AC$6:$AC$3005,請求記録!$B$6:$B$3005,$A356,請求記録!$X$6:$X$3005,M$5))))</f>
        <v/>
      </c>
      <c r="N356" s="19">
        <f>IF($A356="","",IF(COUNTIFS(請求記録!$B$6:$B$3005,$A356,請求記録!$X$6:$X$3005,N$5,請求記録!$AD$6:$AD$3005,"保留中")&gt;0,"保留",IF(COUNTIFS(請求記録!$B$6:$B$3005,$A356,請求記録!$X$6:$X$3005,N$5)=0,"",SUMIFS(請求記録!$AC$6:$AC$3005,請求記録!$B$6:$B$3005,$A356,請求記録!$X$6:$X$3005,N$5))))</f>
        <v/>
      </c>
      <c r="O356" s="19">
        <f>IF($A356="","",IF(COUNTIFS(請求記録!$B$6:$B$3005,$A356,請求記録!$X$6:$X$3005,O$5,請求記録!$AD$6:$AD$3005,"保留中")&gt;0,"保留",IF(COUNTIFS(請求記録!$B$6:$B$3005,$A356,請求記録!$X$6:$X$3005,O$5)=0,"",SUMIFS(請求記録!$AC$6:$AC$3005,請求記録!$B$6:$B$3005,$A356,請求記録!$X$6:$X$3005,O$5))))</f>
        <v/>
      </c>
      <c r="P356" s="19">
        <f>IF($A356="","",IF(COUNTIFS(請求記録!$B$6:$B$3005,$A356,請求記録!$X$6:$X$3005,P$5,請求記録!$AD$6:$AD$3005,"保留中")&gt;0,"保留",IF(COUNTIFS(請求記録!$B$6:$B$3005,$A356,請求記録!$X$6:$X$3005,P$5)=0,"",SUMIFS(請求記録!$AC$6:$AC$3005,請求記録!$B$6:$B$3005,$A356,請求記録!$X$6:$X$3005,P$5))))</f>
        <v/>
      </c>
      <c r="Q356" s="19">
        <f>IF($A356="","",IF(COUNTIFS(請求記録!$B$6:$B$3005,$A356,請求記録!$X$6:$X$3005,Q$5,請求記録!$AD$6:$AD$3005,"保留中")&gt;0,"保留",IF(COUNTIFS(請求記録!$B$6:$B$3005,$A356,請求記録!$X$6:$X$3005,Q$5)=0,"",SUMIFS(請求記録!$AC$6:$AC$3005,請求記録!$B$6:$B$3005,$A356,請求記録!$X$6:$X$3005,Q$5))))</f>
        <v/>
      </c>
      <c r="R356" s="19">
        <f>IF($A356="","",IF(COUNTIFS(請求記録!$B$6:$B$3005,$A356,請求記録!$X$6:$X$3005,R$5,請求記録!$AD$6:$AD$3005,"保留中")&gt;0,"保留",IF(COUNTIFS(請求記録!$B$6:$B$3005,$A356,請求記録!$X$6:$X$3005,R$5)=0,"",SUMIFS(請求記録!$AC$6:$AC$3005,請求記録!$B$6:$B$3005,$A356,請求記録!$X$6:$X$3005,R$5))))</f>
        <v/>
      </c>
      <c r="S356" s="19">
        <f>IF($A356="","",IF(COUNTIFS(請求記録!$B$6:$B$3005,$A356,請求記録!$X$6:$X$3005,S$5,請求記録!$AD$6:$AD$3005,"保留中")&gt;0,"保留",IF(COUNTIFS(請求記録!$B$6:$B$3005,$A356,請求記録!$X$6:$X$3005,S$5)=0,"",SUMIFS(請求記録!$AC$6:$AC$3005,請求記録!$B$6:$B$3005,$A356,請求記録!$X$6:$X$3005,S$5))))</f>
        <v/>
      </c>
      <c r="T356" s="19">
        <f>IF($A356="","",IF(COUNTIFS(請求記録!$B$6:$B$3005,$A356,請求記録!$X$6:$X$3005,T$5,請求記録!$AD$6:$AD$3005,"保留中")&gt;0,"保留",IF(COUNTIFS(請求記録!$B$6:$B$3005,$A356,請求記録!$X$6:$X$3005,T$5)=0,"",SUMIFS(請求記録!$AC$6:$AC$3005,請求記録!$B$6:$B$3005,$A356,請求記録!$X$6:$X$3005,T$5))))</f>
        <v/>
      </c>
      <c r="U356" s="19">
        <f>IF($A356="","",IF(COUNTIFS(請求記録!$B$6:$B$3005,$A356,請求記録!$X$6:$X$3005,U$5,請求記録!$AD$6:$AD$3005,"保留中")&gt;0,"保留",IF(COUNTIFS(請求記録!$B$6:$B$3005,$A356,請求記録!$X$6:$X$3005,U$5)=0,"",SUMIFS(請求記録!$AC$6:$AC$3005,請求記録!$B$6:$B$3005,$A356,請求記録!$X$6:$X$3005,U$5))))</f>
        <v/>
      </c>
      <c r="V356" s="19">
        <f>IF($A356="","",IF(COUNTIFS(請求記録!$B$6:$B$3005,$A356,請求記録!$X$6:$X$3005,V$5,請求記録!$AD$6:$AD$3005,"保留中")&gt;0,"保留",IF(COUNTIFS(請求記録!$B$6:$B$3005,$A356,請求記録!$X$6:$X$3005,V$5)=0,"",SUMIFS(請求記録!$AC$6:$AC$3005,請求記録!$B$6:$B$3005,$A356,請求記録!$X$6:$X$3005,V$5))))</f>
        <v/>
      </c>
      <c r="W356" s="19">
        <f>IF($A356="","",IF(COUNTIFS(請求記録!$B$6:$B$3005,$A356,請求記録!$X$6:$X$3005,W$5,請求記録!$AD$6:$AD$3005,"保留中")&gt;0,"保留",IF(COUNTIFS(請求記録!$B$6:$B$3005,$A356,請求記録!$X$6:$X$3005,W$5)=0,"",SUMIFS(請求記録!$AC$6:$AC$3005,請求記録!$B$6:$B$3005,$A356,請求記録!$X$6:$X$3005,W$5))))</f>
        <v/>
      </c>
      <c r="X356" s="19">
        <f>IF($A356="","",IF(COUNTIFS(請求記録!$B$6:$B$3005,$A356,請求記録!$X$6:$X$3005,X$5,請求記録!$AD$6:$AD$3005,"保留中")&gt;0,"保留",IF(COUNTIFS(請求記録!$B$6:$B$3005,$A356,請求記録!$X$6:$X$3005,X$5)=0,"",SUMIFS(請求記録!$AC$6:$AC$3005,請求記録!$B$6:$B$3005,$A356,請求記録!$X$6:$X$3005,X$5))))</f>
        <v/>
      </c>
      <c r="Y356" s="19">
        <f>IF($A356="","",IF(COUNTIFS(請求記録!$B$6:$B$3005,$A356,請求記録!$X$6:$X$3005,Y$5,請求記録!$AD$6:$AD$3005,"保留中")&gt;0,"保留",IF(COUNTIFS(請求記録!$B$6:$B$3005,$A356,請求記録!$X$6:$X$3005,Y$5)=0,"",SUMIFS(請求記録!$AC$6:$AC$3005,請求記録!$B$6:$B$3005,$A356,請求記録!$X$6:$X$3005,Y$5))))</f>
        <v/>
      </c>
      <c r="Z356" s="19">
        <f>IF($A356="","",IF(COUNTIFS(請求記録!$B$6:$B$3005,$A356,請求記録!$X$6:$X$3005,Z$5,請求記録!$AD$6:$AD$3005,"保留中")&gt;0,"保留",IF(COUNTIFS(請求記録!$B$6:$B$3005,$A356,請求記録!$X$6:$X$3005,Z$5)=0,"",SUMIFS(請求記録!$AC$6:$AC$3005,請求記録!$B$6:$B$3005,$A356,請求記録!$X$6:$X$3005,Z$5))))</f>
        <v/>
      </c>
      <c r="AA356" s="19">
        <f>IF($A356="","",IF(COUNTIFS(請求記録!$B$6:$B$3005,$A356,請求記録!$X$6:$X$3005,AA$5,請求記録!$AD$6:$AD$3005,"保留中")&gt;0,"保留",IF(COUNTIFS(請求記録!$B$6:$B$3005,$A356,請求記録!$X$6:$X$3005,AA$5)=0,"",SUMIFS(請求記録!$AC$6:$AC$3005,請求記録!$B$6:$B$3005,$A356,請求記録!$X$6:$X$3005,AA$5))))</f>
        <v/>
      </c>
      <c r="AB356">
        <f>IF(職員マスタ!P356="保留中",職員マスタ!M356,"")</f>
        <v/>
      </c>
    </row>
    <row r="357">
      <c r="A357">
        <f>IF(職員マスタ!A357="","",職員マスタ!A357)</f>
        <v/>
      </c>
      <c r="B357">
        <f>IF($A357="","",職員マスタ!B357)</f>
        <v/>
      </c>
      <c r="C357">
        <f>IF($A357="","",職員マスタ!C357)</f>
        <v/>
      </c>
      <c r="D357" s="19">
        <f>IF($A357="","",IF(COUNTIFS(請求記録!$B$6:$B$3005,$A357,請求記録!$X$6:$X$3005,D$5,請求記録!$AD$6:$AD$3005,"保留中")&gt;0,"保留",IF(COUNTIFS(請求記録!$B$6:$B$3005,$A357,請求記録!$X$6:$X$3005,D$5)=0,"",SUMIFS(請求記録!$AC$6:$AC$3005,請求記録!$B$6:$B$3005,$A357,請求記録!$X$6:$X$3005,D$5))))</f>
        <v/>
      </c>
      <c r="E357" s="19">
        <f>IF($A357="","",IF(COUNTIFS(請求記録!$B$6:$B$3005,$A357,請求記録!$X$6:$X$3005,E$5,請求記録!$AD$6:$AD$3005,"保留中")&gt;0,"保留",IF(COUNTIFS(請求記録!$B$6:$B$3005,$A357,請求記録!$X$6:$X$3005,E$5)=0,"",SUMIFS(請求記録!$AC$6:$AC$3005,請求記録!$B$6:$B$3005,$A357,請求記録!$X$6:$X$3005,E$5))))</f>
        <v/>
      </c>
      <c r="F357" s="19">
        <f>IF($A357="","",IF(COUNTIFS(請求記録!$B$6:$B$3005,$A357,請求記録!$X$6:$X$3005,F$5,請求記録!$AD$6:$AD$3005,"保留中")&gt;0,"保留",IF(COUNTIFS(請求記録!$B$6:$B$3005,$A357,請求記録!$X$6:$X$3005,F$5)=0,"",SUMIFS(請求記録!$AC$6:$AC$3005,請求記録!$B$6:$B$3005,$A357,請求記録!$X$6:$X$3005,F$5))))</f>
        <v/>
      </c>
      <c r="G357" s="19">
        <f>IF($A357="","",IF(COUNTIFS(請求記録!$B$6:$B$3005,$A357,請求記録!$X$6:$X$3005,G$5,請求記録!$AD$6:$AD$3005,"保留中")&gt;0,"保留",IF(COUNTIFS(請求記録!$B$6:$B$3005,$A357,請求記録!$X$6:$X$3005,G$5)=0,"",SUMIFS(請求記録!$AC$6:$AC$3005,請求記録!$B$6:$B$3005,$A357,請求記録!$X$6:$X$3005,G$5))))</f>
        <v/>
      </c>
      <c r="H357" s="19">
        <f>IF($A357="","",IF(COUNTIFS(請求記録!$B$6:$B$3005,$A357,請求記録!$X$6:$X$3005,H$5,請求記録!$AD$6:$AD$3005,"保留中")&gt;0,"保留",IF(COUNTIFS(請求記録!$B$6:$B$3005,$A357,請求記録!$X$6:$X$3005,H$5)=0,"",SUMIFS(請求記録!$AC$6:$AC$3005,請求記録!$B$6:$B$3005,$A357,請求記録!$X$6:$X$3005,H$5))))</f>
        <v/>
      </c>
      <c r="I357" s="19">
        <f>IF($A357="","",IF(COUNTIFS(請求記録!$B$6:$B$3005,$A357,請求記録!$X$6:$X$3005,I$5,請求記録!$AD$6:$AD$3005,"保留中")&gt;0,"保留",IF(COUNTIFS(請求記録!$B$6:$B$3005,$A357,請求記録!$X$6:$X$3005,I$5)=0,"",SUMIFS(請求記録!$AC$6:$AC$3005,請求記録!$B$6:$B$3005,$A357,請求記録!$X$6:$X$3005,I$5))))</f>
        <v/>
      </c>
      <c r="J357" s="19">
        <f>IF($A357="","",IF(COUNTIFS(請求記録!$B$6:$B$3005,$A357,請求記録!$X$6:$X$3005,J$5,請求記録!$AD$6:$AD$3005,"保留中")&gt;0,"保留",IF(COUNTIFS(請求記録!$B$6:$B$3005,$A357,請求記録!$X$6:$X$3005,J$5)=0,"",SUMIFS(請求記録!$AC$6:$AC$3005,請求記録!$B$6:$B$3005,$A357,請求記録!$X$6:$X$3005,J$5))))</f>
        <v/>
      </c>
      <c r="K357" s="19">
        <f>IF($A357="","",IF(COUNTIFS(請求記録!$B$6:$B$3005,$A357,請求記録!$X$6:$X$3005,K$5,請求記録!$AD$6:$AD$3005,"保留中")&gt;0,"保留",IF(COUNTIFS(請求記録!$B$6:$B$3005,$A357,請求記録!$X$6:$X$3005,K$5)=0,"",SUMIFS(請求記録!$AC$6:$AC$3005,請求記録!$B$6:$B$3005,$A357,請求記録!$X$6:$X$3005,K$5))))</f>
        <v/>
      </c>
      <c r="L357" s="19">
        <f>IF($A357="","",IF(COUNTIFS(請求記録!$B$6:$B$3005,$A357,請求記録!$X$6:$X$3005,L$5,請求記録!$AD$6:$AD$3005,"保留中")&gt;0,"保留",IF(COUNTIFS(請求記録!$B$6:$B$3005,$A357,請求記録!$X$6:$X$3005,L$5)=0,"",SUMIFS(請求記録!$AC$6:$AC$3005,請求記録!$B$6:$B$3005,$A357,請求記録!$X$6:$X$3005,L$5))))</f>
        <v/>
      </c>
      <c r="M357" s="19">
        <f>IF($A357="","",IF(COUNTIFS(請求記録!$B$6:$B$3005,$A357,請求記録!$X$6:$X$3005,M$5,請求記録!$AD$6:$AD$3005,"保留中")&gt;0,"保留",IF(COUNTIFS(請求記録!$B$6:$B$3005,$A357,請求記録!$X$6:$X$3005,M$5)=0,"",SUMIFS(請求記録!$AC$6:$AC$3005,請求記録!$B$6:$B$3005,$A357,請求記録!$X$6:$X$3005,M$5))))</f>
        <v/>
      </c>
      <c r="N357" s="19">
        <f>IF($A357="","",IF(COUNTIFS(請求記録!$B$6:$B$3005,$A357,請求記録!$X$6:$X$3005,N$5,請求記録!$AD$6:$AD$3005,"保留中")&gt;0,"保留",IF(COUNTIFS(請求記録!$B$6:$B$3005,$A357,請求記録!$X$6:$X$3005,N$5)=0,"",SUMIFS(請求記録!$AC$6:$AC$3005,請求記録!$B$6:$B$3005,$A357,請求記録!$X$6:$X$3005,N$5))))</f>
        <v/>
      </c>
      <c r="O357" s="19">
        <f>IF($A357="","",IF(COUNTIFS(請求記録!$B$6:$B$3005,$A357,請求記録!$X$6:$X$3005,O$5,請求記録!$AD$6:$AD$3005,"保留中")&gt;0,"保留",IF(COUNTIFS(請求記録!$B$6:$B$3005,$A357,請求記録!$X$6:$X$3005,O$5)=0,"",SUMIFS(請求記録!$AC$6:$AC$3005,請求記録!$B$6:$B$3005,$A357,請求記録!$X$6:$X$3005,O$5))))</f>
        <v/>
      </c>
      <c r="P357" s="19">
        <f>IF($A357="","",IF(COUNTIFS(請求記録!$B$6:$B$3005,$A357,請求記録!$X$6:$X$3005,P$5,請求記録!$AD$6:$AD$3005,"保留中")&gt;0,"保留",IF(COUNTIFS(請求記録!$B$6:$B$3005,$A357,請求記録!$X$6:$X$3005,P$5)=0,"",SUMIFS(請求記録!$AC$6:$AC$3005,請求記録!$B$6:$B$3005,$A357,請求記録!$X$6:$X$3005,P$5))))</f>
        <v/>
      </c>
      <c r="Q357" s="19">
        <f>IF($A357="","",IF(COUNTIFS(請求記録!$B$6:$B$3005,$A357,請求記録!$X$6:$X$3005,Q$5,請求記録!$AD$6:$AD$3005,"保留中")&gt;0,"保留",IF(COUNTIFS(請求記録!$B$6:$B$3005,$A357,請求記録!$X$6:$X$3005,Q$5)=0,"",SUMIFS(請求記録!$AC$6:$AC$3005,請求記録!$B$6:$B$3005,$A357,請求記録!$X$6:$X$3005,Q$5))))</f>
        <v/>
      </c>
      <c r="R357" s="19">
        <f>IF($A357="","",IF(COUNTIFS(請求記録!$B$6:$B$3005,$A357,請求記録!$X$6:$X$3005,R$5,請求記録!$AD$6:$AD$3005,"保留中")&gt;0,"保留",IF(COUNTIFS(請求記録!$B$6:$B$3005,$A357,請求記録!$X$6:$X$3005,R$5)=0,"",SUMIFS(請求記録!$AC$6:$AC$3005,請求記録!$B$6:$B$3005,$A357,請求記録!$X$6:$X$3005,R$5))))</f>
        <v/>
      </c>
      <c r="S357" s="19">
        <f>IF($A357="","",IF(COUNTIFS(請求記録!$B$6:$B$3005,$A357,請求記録!$X$6:$X$3005,S$5,請求記録!$AD$6:$AD$3005,"保留中")&gt;0,"保留",IF(COUNTIFS(請求記録!$B$6:$B$3005,$A357,請求記録!$X$6:$X$3005,S$5)=0,"",SUMIFS(請求記録!$AC$6:$AC$3005,請求記録!$B$6:$B$3005,$A357,請求記録!$X$6:$X$3005,S$5))))</f>
        <v/>
      </c>
      <c r="T357" s="19">
        <f>IF($A357="","",IF(COUNTIFS(請求記録!$B$6:$B$3005,$A357,請求記録!$X$6:$X$3005,T$5,請求記録!$AD$6:$AD$3005,"保留中")&gt;0,"保留",IF(COUNTIFS(請求記録!$B$6:$B$3005,$A357,請求記録!$X$6:$X$3005,T$5)=0,"",SUMIFS(請求記録!$AC$6:$AC$3005,請求記録!$B$6:$B$3005,$A357,請求記録!$X$6:$X$3005,T$5))))</f>
        <v/>
      </c>
      <c r="U357" s="19">
        <f>IF($A357="","",IF(COUNTIFS(請求記録!$B$6:$B$3005,$A357,請求記録!$X$6:$X$3005,U$5,請求記録!$AD$6:$AD$3005,"保留中")&gt;0,"保留",IF(COUNTIFS(請求記録!$B$6:$B$3005,$A357,請求記録!$X$6:$X$3005,U$5)=0,"",SUMIFS(請求記録!$AC$6:$AC$3005,請求記録!$B$6:$B$3005,$A357,請求記録!$X$6:$X$3005,U$5))))</f>
        <v/>
      </c>
      <c r="V357" s="19">
        <f>IF($A357="","",IF(COUNTIFS(請求記録!$B$6:$B$3005,$A357,請求記録!$X$6:$X$3005,V$5,請求記録!$AD$6:$AD$3005,"保留中")&gt;0,"保留",IF(COUNTIFS(請求記録!$B$6:$B$3005,$A357,請求記録!$X$6:$X$3005,V$5)=0,"",SUMIFS(請求記録!$AC$6:$AC$3005,請求記録!$B$6:$B$3005,$A357,請求記録!$X$6:$X$3005,V$5))))</f>
        <v/>
      </c>
      <c r="W357" s="19">
        <f>IF($A357="","",IF(COUNTIFS(請求記録!$B$6:$B$3005,$A357,請求記録!$X$6:$X$3005,W$5,請求記録!$AD$6:$AD$3005,"保留中")&gt;0,"保留",IF(COUNTIFS(請求記録!$B$6:$B$3005,$A357,請求記録!$X$6:$X$3005,W$5)=0,"",SUMIFS(請求記録!$AC$6:$AC$3005,請求記録!$B$6:$B$3005,$A357,請求記録!$X$6:$X$3005,W$5))))</f>
        <v/>
      </c>
      <c r="X357" s="19">
        <f>IF($A357="","",IF(COUNTIFS(請求記録!$B$6:$B$3005,$A357,請求記録!$X$6:$X$3005,X$5,請求記録!$AD$6:$AD$3005,"保留中")&gt;0,"保留",IF(COUNTIFS(請求記録!$B$6:$B$3005,$A357,請求記録!$X$6:$X$3005,X$5)=0,"",SUMIFS(請求記録!$AC$6:$AC$3005,請求記録!$B$6:$B$3005,$A357,請求記録!$X$6:$X$3005,X$5))))</f>
        <v/>
      </c>
      <c r="Y357" s="19">
        <f>IF($A357="","",IF(COUNTIFS(請求記録!$B$6:$B$3005,$A357,請求記録!$X$6:$X$3005,Y$5,請求記録!$AD$6:$AD$3005,"保留中")&gt;0,"保留",IF(COUNTIFS(請求記録!$B$6:$B$3005,$A357,請求記録!$X$6:$X$3005,Y$5)=0,"",SUMIFS(請求記録!$AC$6:$AC$3005,請求記録!$B$6:$B$3005,$A357,請求記録!$X$6:$X$3005,Y$5))))</f>
        <v/>
      </c>
      <c r="Z357" s="19">
        <f>IF($A357="","",IF(COUNTIFS(請求記録!$B$6:$B$3005,$A357,請求記録!$X$6:$X$3005,Z$5,請求記録!$AD$6:$AD$3005,"保留中")&gt;0,"保留",IF(COUNTIFS(請求記録!$B$6:$B$3005,$A357,請求記録!$X$6:$X$3005,Z$5)=0,"",SUMIFS(請求記録!$AC$6:$AC$3005,請求記録!$B$6:$B$3005,$A357,請求記録!$X$6:$X$3005,Z$5))))</f>
        <v/>
      </c>
      <c r="AA357" s="19">
        <f>IF($A357="","",IF(COUNTIFS(請求記録!$B$6:$B$3005,$A357,請求記録!$X$6:$X$3005,AA$5,請求記録!$AD$6:$AD$3005,"保留中")&gt;0,"保留",IF(COUNTIFS(請求記録!$B$6:$B$3005,$A357,請求記録!$X$6:$X$3005,AA$5)=0,"",SUMIFS(請求記録!$AC$6:$AC$3005,請求記録!$B$6:$B$3005,$A357,請求記録!$X$6:$X$3005,AA$5))))</f>
        <v/>
      </c>
      <c r="AB357">
        <f>IF(職員マスタ!P357="保留中",職員マスタ!M357,"")</f>
        <v/>
      </c>
    </row>
    <row r="358">
      <c r="A358">
        <f>IF(職員マスタ!A358="","",職員マスタ!A358)</f>
        <v/>
      </c>
      <c r="B358">
        <f>IF($A358="","",職員マスタ!B358)</f>
        <v/>
      </c>
      <c r="C358">
        <f>IF($A358="","",職員マスタ!C358)</f>
        <v/>
      </c>
      <c r="D358" s="19">
        <f>IF($A358="","",IF(COUNTIFS(請求記録!$B$6:$B$3005,$A358,請求記録!$X$6:$X$3005,D$5,請求記録!$AD$6:$AD$3005,"保留中")&gt;0,"保留",IF(COUNTIFS(請求記録!$B$6:$B$3005,$A358,請求記録!$X$6:$X$3005,D$5)=0,"",SUMIFS(請求記録!$AC$6:$AC$3005,請求記録!$B$6:$B$3005,$A358,請求記録!$X$6:$X$3005,D$5))))</f>
        <v/>
      </c>
      <c r="E358" s="19">
        <f>IF($A358="","",IF(COUNTIFS(請求記録!$B$6:$B$3005,$A358,請求記録!$X$6:$X$3005,E$5,請求記録!$AD$6:$AD$3005,"保留中")&gt;0,"保留",IF(COUNTIFS(請求記録!$B$6:$B$3005,$A358,請求記録!$X$6:$X$3005,E$5)=0,"",SUMIFS(請求記録!$AC$6:$AC$3005,請求記録!$B$6:$B$3005,$A358,請求記録!$X$6:$X$3005,E$5))))</f>
        <v/>
      </c>
      <c r="F358" s="19">
        <f>IF($A358="","",IF(COUNTIFS(請求記録!$B$6:$B$3005,$A358,請求記録!$X$6:$X$3005,F$5,請求記録!$AD$6:$AD$3005,"保留中")&gt;0,"保留",IF(COUNTIFS(請求記録!$B$6:$B$3005,$A358,請求記録!$X$6:$X$3005,F$5)=0,"",SUMIFS(請求記録!$AC$6:$AC$3005,請求記録!$B$6:$B$3005,$A358,請求記録!$X$6:$X$3005,F$5))))</f>
        <v/>
      </c>
      <c r="G358" s="19">
        <f>IF($A358="","",IF(COUNTIFS(請求記録!$B$6:$B$3005,$A358,請求記録!$X$6:$X$3005,G$5,請求記録!$AD$6:$AD$3005,"保留中")&gt;0,"保留",IF(COUNTIFS(請求記録!$B$6:$B$3005,$A358,請求記録!$X$6:$X$3005,G$5)=0,"",SUMIFS(請求記録!$AC$6:$AC$3005,請求記録!$B$6:$B$3005,$A358,請求記録!$X$6:$X$3005,G$5))))</f>
        <v/>
      </c>
      <c r="H358" s="19">
        <f>IF($A358="","",IF(COUNTIFS(請求記録!$B$6:$B$3005,$A358,請求記録!$X$6:$X$3005,H$5,請求記録!$AD$6:$AD$3005,"保留中")&gt;0,"保留",IF(COUNTIFS(請求記録!$B$6:$B$3005,$A358,請求記録!$X$6:$X$3005,H$5)=0,"",SUMIFS(請求記録!$AC$6:$AC$3005,請求記録!$B$6:$B$3005,$A358,請求記録!$X$6:$X$3005,H$5))))</f>
        <v/>
      </c>
      <c r="I358" s="19">
        <f>IF($A358="","",IF(COUNTIFS(請求記録!$B$6:$B$3005,$A358,請求記録!$X$6:$X$3005,I$5,請求記録!$AD$6:$AD$3005,"保留中")&gt;0,"保留",IF(COUNTIFS(請求記録!$B$6:$B$3005,$A358,請求記録!$X$6:$X$3005,I$5)=0,"",SUMIFS(請求記録!$AC$6:$AC$3005,請求記録!$B$6:$B$3005,$A358,請求記録!$X$6:$X$3005,I$5))))</f>
        <v/>
      </c>
      <c r="J358" s="19">
        <f>IF($A358="","",IF(COUNTIFS(請求記録!$B$6:$B$3005,$A358,請求記録!$X$6:$X$3005,J$5,請求記録!$AD$6:$AD$3005,"保留中")&gt;0,"保留",IF(COUNTIFS(請求記録!$B$6:$B$3005,$A358,請求記録!$X$6:$X$3005,J$5)=0,"",SUMIFS(請求記録!$AC$6:$AC$3005,請求記録!$B$6:$B$3005,$A358,請求記録!$X$6:$X$3005,J$5))))</f>
        <v/>
      </c>
      <c r="K358" s="19">
        <f>IF($A358="","",IF(COUNTIFS(請求記録!$B$6:$B$3005,$A358,請求記録!$X$6:$X$3005,K$5,請求記録!$AD$6:$AD$3005,"保留中")&gt;0,"保留",IF(COUNTIFS(請求記録!$B$6:$B$3005,$A358,請求記録!$X$6:$X$3005,K$5)=0,"",SUMIFS(請求記録!$AC$6:$AC$3005,請求記録!$B$6:$B$3005,$A358,請求記録!$X$6:$X$3005,K$5))))</f>
        <v/>
      </c>
      <c r="L358" s="19">
        <f>IF($A358="","",IF(COUNTIFS(請求記録!$B$6:$B$3005,$A358,請求記録!$X$6:$X$3005,L$5,請求記録!$AD$6:$AD$3005,"保留中")&gt;0,"保留",IF(COUNTIFS(請求記録!$B$6:$B$3005,$A358,請求記録!$X$6:$X$3005,L$5)=0,"",SUMIFS(請求記録!$AC$6:$AC$3005,請求記録!$B$6:$B$3005,$A358,請求記録!$X$6:$X$3005,L$5))))</f>
        <v/>
      </c>
      <c r="M358" s="19">
        <f>IF($A358="","",IF(COUNTIFS(請求記録!$B$6:$B$3005,$A358,請求記録!$X$6:$X$3005,M$5,請求記録!$AD$6:$AD$3005,"保留中")&gt;0,"保留",IF(COUNTIFS(請求記録!$B$6:$B$3005,$A358,請求記録!$X$6:$X$3005,M$5)=0,"",SUMIFS(請求記録!$AC$6:$AC$3005,請求記録!$B$6:$B$3005,$A358,請求記録!$X$6:$X$3005,M$5))))</f>
        <v/>
      </c>
      <c r="N358" s="19">
        <f>IF($A358="","",IF(COUNTIFS(請求記録!$B$6:$B$3005,$A358,請求記録!$X$6:$X$3005,N$5,請求記録!$AD$6:$AD$3005,"保留中")&gt;0,"保留",IF(COUNTIFS(請求記録!$B$6:$B$3005,$A358,請求記録!$X$6:$X$3005,N$5)=0,"",SUMIFS(請求記録!$AC$6:$AC$3005,請求記録!$B$6:$B$3005,$A358,請求記録!$X$6:$X$3005,N$5))))</f>
        <v/>
      </c>
      <c r="O358" s="19">
        <f>IF($A358="","",IF(COUNTIFS(請求記録!$B$6:$B$3005,$A358,請求記録!$X$6:$X$3005,O$5,請求記録!$AD$6:$AD$3005,"保留中")&gt;0,"保留",IF(COUNTIFS(請求記録!$B$6:$B$3005,$A358,請求記録!$X$6:$X$3005,O$5)=0,"",SUMIFS(請求記録!$AC$6:$AC$3005,請求記録!$B$6:$B$3005,$A358,請求記録!$X$6:$X$3005,O$5))))</f>
        <v/>
      </c>
      <c r="P358" s="19">
        <f>IF($A358="","",IF(COUNTIFS(請求記録!$B$6:$B$3005,$A358,請求記録!$X$6:$X$3005,P$5,請求記録!$AD$6:$AD$3005,"保留中")&gt;0,"保留",IF(COUNTIFS(請求記録!$B$6:$B$3005,$A358,請求記録!$X$6:$X$3005,P$5)=0,"",SUMIFS(請求記録!$AC$6:$AC$3005,請求記録!$B$6:$B$3005,$A358,請求記録!$X$6:$X$3005,P$5))))</f>
        <v/>
      </c>
      <c r="Q358" s="19">
        <f>IF($A358="","",IF(COUNTIFS(請求記録!$B$6:$B$3005,$A358,請求記録!$X$6:$X$3005,Q$5,請求記録!$AD$6:$AD$3005,"保留中")&gt;0,"保留",IF(COUNTIFS(請求記録!$B$6:$B$3005,$A358,請求記録!$X$6:$X$3005,Q$5)=0,"",SUMIFS(請求記録!$AC$6:$AC$3005,請求記録!$B$6:$B$3005,$A358,請求記録!$X$6:$X$3005,Q$5))))</f>
        <v/>
      </c>
      <c r="R358" s="19">
        <f>IF($A358="","",IF(COUNTIFS(請求記録!$B$6:$B$3005,$A358,請求記録!$X$6:$X$3005,R$5,請求記録!$AD$6:$AD$3005,"保留中")&gt;0,"保留",IF(COUNTIFS(請求記録!$B$6:$B$3005,$A358,請求記録!$X$6:$X$3005,R$5)=0,"",SUMIFS(請求記録!$AC$6:$AC$3005,請求記録!$B$6:$B$3005,$A358,請求記録!$X$6:$X$3005,R$5))))</f>
        <v/>
      </c>
      <c r="S358" s="19">
        <f>IF($A358="","",IF(COUNTIFS(請求記録!$B$6:$B$3005,$A358,請求記録!$X$6:$X$3005,S$5,請求記録!$AD$6:$AD$3005,"保留中")&gt;0,"保留",IF(COUNTIFS(請求記録!$B$6:$B$3005,$A358,請求記録!$X$6:$X$3005,S$5)=0,"",SUMIFS(請求記録!$AC$6:$AC$3005,請求記録!$B$6:$B$3005,$A358,請求記録!$X$6:$X$3005,S$5))))</f>
        <v/>
      </c>
      <c r="T358" s="19">
        <f>IF($A358="","",IF(COUNTIFS(請求記録!$B$6:$B$3005,$A358,請求記録!$X$6:$X$3005,T$5,請求記録!$AD$6:$AD$3005,"保留中")&gt;0,"保留",IF(COUNTIFS(請求記録!$B$6:$B$3005,$A358,請求記録!$X$6:$X$3005,T$5)=0,"",SUMIFS(請求記録!$AC$6:$AC$3005,請求記録!$B$6:$B$3005,$A358,請求記録!$X$6:$X$3005,T$5))))</f>
        <v/>
      </c>
      <c r="U358" s="19">
        <f>IF($A358="","",IF(COUNTIFS(請求記録!$B$6:$B$3005,$A358,請求記録!$X$6:$X$3005,U$5,請求記録!$AD$6:$AD$3005,"保留中")&gt;0,"保留",IF(COUNTIFS(請求記録!$B$6:$B$3005,$A358,請求記録!$X$6:$X$3005,U$5)=0,"",SUMIFS(請求記録!$AC$6:$AC$3005,請求記録!$B$6:$B$3005,$A358,請求記録!$X$6:$X$3005,U$5))))</f>
        <v/>
      </c>
      <c r="V358" s="19">
        <f>IF($A358="","",IF(COUNTIFS(請求記録!$B$6:$B$3005,$A358,請求記録!$X$6:$X$3005,V$5,請求記録!$AD$6:$AD$3005,"保留中")&gt;0,"保留",IF(COUNTIFS(請求記録!$B$6:$B$3005,$A358,請求記録!$X$6:$X$3005,V$5)=0,"",SUMIFS(請求記録!$AC$6:$AC$3005,請求記録!$B$6:$B$3005,$A358,請求記録!$X$6:$X$3005,V$5))))</f>
        <v/>
      </c>
      <c r="W358" s="19">
        <f>IF($A358="","",IF(COUNTIFS(請求記録!$B$6:$B$3005,$A358,請求記録!$X$6:$X$3005,W$5,請求記録!$AD$6:$AD$3005,"保留中")&gt;0,"保留",IF(COUNTIFS(請求記録!$B$6:$B$3005,$A358,請求記録!$X$6:$X$3005,W$5)=0,"",SUMIFS(請求記録!$AC$6:$AC$3005,請求記録!$B$6:$B$3005,$A358,請求記録!$X$6:$X$3005,W$5))))</f>
        <v/>
      </c>
      <c r="X358" s="19">
        <f>IF($A358="","",IF(COUNTIFS(請求記録!$B$6:$B$3005,$A358,請求記録!$X$6:$X$3005,X$5,請求記録!$AD$6:$AD$3005,"保留中")&gt;0,"保留",IF(COUNTIFS(請求記録!$B$6:$B$3005,$A358,請求記録!$X$6:$X$3005,X$5)=0,"",SUMIFS(請求記録!$AC$6:$AC$3005,請求記録!$B$6:$B$3005,$A358,請求記録!$X$6:$X$3005,X$5))))</f>
        <v/>
      </c>
      <c r="Y358" s="19">
        <f>IF($A358="","",IF(COUNTIFS(請求記録!$B$6:$B$3005,$A358,請求記録!$X$6:$X$3005,Y$5,請求記録!$AD$6:$AD$3005,"保留中")&gt;0,"保留",IF(COUNTIFS(請求記録!$B$6:$B$3005,$A358,請求記録!$X$6:$X$3005,Y$5)=0,"",SUMIFS(請求記録!$AC$6:$AC$3005,請求記録!$B$6:$B$3005,$A358,請求記録!$X$6:$X$3005,Y$5))))</f>
        <v/>
      </c>
      <c r="Z358" s="19">
        <f>IF($A358="","",IF(COUNTIFS(請求記録!$B$6:$B$3005,$A358,請求記録!$X$6:$X$3005,Z$5,請求記録!$AD$6:$AD$3005,"保留中")&gt;0,"保留",IF(COUNTIFS(請求記録!$B$6:$B$3005,$A358,請求記録!$X$6:$X$3005,Z$5)=0,"",SUMIFS(請求記録!$AC$6:$AC$3005,請求記録!$B$6:$B$3005,$A358,請求記録!$X$6:$X$3005,Z$5))))</f>
        <v/>
      </c>
      <c r="AA358" s="19">
        <f>IF($A358="","",IF(COUNTIFS(請求記録!$B$6:$B$3005,$A358,請求記録!$X$6:$X$3005,AA$5,請求記録!$AD$6:$AD$3005,"保留中")&gt;0,"保留",IF(COUNTIFS(請求記録!$B$6:$B$3005,$A358,請求記録!$X$6:$X$3005,AA$5)=0,"",SUMIFS(請求記録!$AC$6:$AC$3005,請求記録!$B$6:$B$3005,$A358,請求記録!$X$6:$X$3005,AA$5))))</f>
        <v/>
      </c>
      <c r="AB358">
        <f>IF(職員マスタ!P358="保留中",職員マスタ!M358,"")</f>
        <v/>
      </c>
    </row>
    <row r="359">
      <c r="A359">
        <f>IF(職員マスタ!A359="","",職員マスタ!A359)</f>
        <v/>
      </c>
      <c r="B359">
        <f>IF($A359="","",職員マスタ!B359)</f>
        <v/>
      </c>
      <c r="C359">
        <f>IF($A359="","",職員マスタ!C359)</f>
        <v/>
      </c>
      <c r="D359" s="19">
        <f>IF($A359="","",IF(COUNTIFS(請求記録!$B$6:$B$3005,$A359,請求記録!$X$6:$X$3005,D$5,請求記録!$AD$6:$AD$3005,"保留中")&gt;0,"保留",IF(COUNTIFS(請求記録!$B$6:$B$3005,$A359,請求記録!$X$6:$X$3005,D$5)=0,"",SUMIFS(請求記録!$AC$6:$AC$3005,請求記録!$B$6:$B$3005,$A359,請求記録!$X$6:$X$3005,D$5))))</f>
        <v/>
      </c>
      <c r="E359" s="19">
        <f>IF($A359="","",IF(COUNTIFS(請求記録!$B$6:$B$3005,$A359,請求記録!$X$6:$X$3005,E$5,請求記録!$AD$6:$AD$3005,"保留中")&gt;0,"保留",IF(COUNTIFS(請求記録!$B$6:$B$3005,$A359,請求記録!$X$6:$X$3005,E$5)=0,"",SUMIFS(請求記録!$AC$6:$AC$3005,請求記録!$B$6:$B$3005,$A359,請求記録!$X$6:$X$3005,E$5))))</f>
        <v/>
      </c>
      <c r="F359" s="19">
        <f>IF($A359="","",IF(COUNTIFS(請求記録!$B$6:$B$3005,$A359,請求記録!$X$6:$X$3005,F$5,請求記録!$AD$6:$AD$3005,"保留中")&gt;0,"保留",IF(COUNTIFS(請求記録!$B$6:$B$3005,$A359,請求記録!$X$6:$X$3005,F$5)=0,"",SUMIFS(請求記録!$AC$6:$AC$3005,請求記録!$B$6:$B$3005,$A359,請求記録!$X$6:$X$3005,F$5))))</f>
        <v/>
      </c>
      <c r="G359" s="19">
        <f>IF($A359="","",IF(COUNTIFS(請求記録!$B$6:$B$3005,$A359,請求記録!$X$6:$X$3005,G$5,請求記録!$AD$6:$AD$3005,"保留中")&gt;0,"保留",IF(COUNTIFS(請求記録!$B$6:$B$3005,$A359,請求記録!$X$6:$X$3005,G$5)=0,"",SUMIFS(請求記録!$AC$6:$AC$3005,請求記録!$B$6:$B$3005,$A359,請求記録!$X$6:$X$3005,G$5))))</f>
        <v/>
      </c>
      <c r="H359" s="19">
        <f>IF($A359="","",IF(COUNTIFS(請求記録!$B$6:$B$3005,$A359,請求記録!$X$6:$X$3005,H$5,請求記録!$AD$6:$AD$3005,"保留中")&gt;0,"保留",IF(COUNTIFS(請求記録!$B$6:$B$3005,$A359,請求記録!$X$6:$X$3005,H$5)=0,"",SUMIFS(請求記録!$AC$6:$AC$3005,請求記録!$B$6:$B$3005,$A359,請求記録!$X$6:$X$3005,H$5))))</f>
        <v/>
      </c>
      <c r="I359" s="19">
        <f>IF($A359="","",IF(COUNTIFS(請求記録!$B$6:$B$3005,$A359,請求記録!$X$6:$X$3005,I$5,請求記録!$AD$6:$AD$3005,"保留中")&gt;0,"保留",IF(COUNTIFS(請求記録!$B$6:$B$3005,$A359,請求記録!$X$6:$X$3005,I$5)=0,"",SUMIFS(請求記録!$AC$6:$AC$3005,請求記録!$B$6:$B$3005,$A359,請求記録!$X$6:$X$3005,I$5))))</f>
        <v/>
      </c>
      <c r="J359" s="19">
        <f>IF($A359="","",IF(COUNTIFS(請求記録!$B$6:$B$3005,$A359,請求記録!$X$6:$X$3005,J$5,請求記録!$AD$6:$AD$3005,"保留中")&gt;0,"保留",IF(COUNTIFS(請求記録!$B$6:$B$3005,$A359,請求記録!$X$6:$X$3005,J$5)=0,"",SUMIFS(請求記録!$AC$6:$AC$3005,請求記録!$B$6:$B$3005,$A359,請求記録!$X$6:$X$3005,J$5))))</f>
        <v/>
      </c>
      <c r="K359" s="19">
        <f>IF($A359="","",IF(COUNTIFS(請求記録!$B$6:$B$3005,$A359,請求記録!$X$6:$X$3005,K$5,請求記録!$AD$6:$AD$3005,"保留中")&gt;0,"保留",IF(COUNTIFS(請求記録!$B$6:$B$3005,$A359,請求記録!$X$6:$X$3005,K$5)=0,"",SUMIFS(請求記録!$AC$6:$AC$3005,請求記録!$B$6:$B$3005,$A359,請求記録!$X$6:$X$3005,K$5))))</f>
        <v/>
      </c>
      <c r="L359" s="19">
        <f>IF($A359="","",IF(COUNTIFS(請求記録!$B$6:$B$3005,$A359,請求記録!$X$6:$X$3005,L$5,請求記録!$AD$6:$AD$3005,"保留中")&gt;0,"保留",IF(COUNTIFS(請求記録!$B$6:$B$3005,$A359,請求記録!$X$6:$X$3005,L$5)=0,"",SUMIFS(請求記録!$AC$6:$AC$3005,請求記録!$B$6:$B$3005,$A359,請求記録!$X$6:$X$3005,L$5))))</f>
        <v/>
      </c>
      <c r="M359" s="19">
        <f>IF($A359="","",IF(COUNTIFS(請求記録!$B$6:$B$3005,$A359,請求記録!$X$6:$X$3005,M$5,請求記録!$AD$6:$AD$3005,"保留中")&gt;0,"保留",IF(COUNTIFS(請求記録!$B$6:$B$3005,$A359,請求記録!$X$6:$X$3005,M$5)=0,"",SUMIFS(請求記録!$AC$6:$AC$3005,請求記録!$B$6:$B$3005,$A359,請求記録!$X$6:$X$3005,M$5))))</f>
        <v/>
      </c>
      <c r="N359" s="19">
        <f>IF($A359="","",IF(COUNTIFS(請求記録!$B$6:$B$3005,$A359,請求記録!$X$6:$X$3005,N$5,請求記録!$AD$6:$AD$3005,"保留中")&gt;0,"保留",IF(COUNTIFS(請求記録!$B$6:$B$3005,$A359,請求記録!$X$6:$X$3005,N$5)=0,"",SUMIFS(請求記録!$AC$6:$AC$3005,請求記録!$B$6:$B$3005,$A359,請求記録!$X$6:$X$3005,N$5))))</f>
        <v/>
      </c>
      <c r="O359" s="19">
        <f>IF($A359="","",IF(COUNTIFS(請求記録!$B$6:$B$3005,$A359,請求記録!$X$6:$X$3005,O$5,請求記録!$AD$6:$AD$3005,"保留中")&gt;0,"保留",IF(COUNTIFS(請求記録!$B$6:$B$3005,$A359,請求記録!$X$6:$X$3005,O$5)=0,"",SUMIFS(請求記録!$AC$6:$AC$3005,請求記録!$B$6:$B$3005,$A359,請求記録!$X$6:$X$3005,O$5))))</f>
        <v/>
      </c>
      <c r="P359" s="19">
        <f>IF($A359="","",IF(COUNTIFS(請求記録!$B$6:$B$3005,$A359,請求記録!$X$6:$X$3005,P$5,請求記録!$AD$6:$AD$3005,"保留中")&gt;0,"保留",IF(COUNTIFS(請求記録!$B$6:$B$3005,$A359,請求記録!$X$6:$X$3005,P$5)=0,"",SUMIFS(請求記録!$AC$6:$AC$3005,請求記録!$B$6:$B$3005,$A359,請求記録!$X$6:$X$3005,P$5))))</f>
        <v/>
      </c>
      <c r="Q359" s="19">
        <f>IF($A359="","",IF(COUNTIFS(請求記録!$B$6:$B$3005,$A359,請求記録!$X$6:$X$3005,Q$5,請求記録!$AD$6:$AD$3005,"保留中")&gt;0,"保留",IF(COUNTIFS(請求記録!$B$6:$B$3005,$A359,請求記録!$X$6:$X$3005,Q$5)=0,"",SUMIFS(請求記録!$AC$6:$AC$3005,請求記録!$B$6:$B$3005,$A359,請求記録!$X$6:$X$3005,Q$5))))</f>
        <v/>
      </c>
      <c r="R359" s="19">
        <f>IF($A359="","",IF(COUNTIFS(請求記録!$B$6:$B$3005,$A359,請求記録!$X$6:$X$3005,R$5,請求記録!$AD$6:$AD$3005,"保留中")&gt;0,"保留",IF(COUNTIFS(請求記録!$B$6:$B$3005,$A359,請求記録!$X$6:$X$3005,R$5)=0,"",SUMIFS(請求記録!$AC$6:$AC$3005,請求記録!$B$6:$B$3005,$A359,請求記録!$X$6:$X$3005,R$5))))</f>
        <v/>
      </c>
      <c r="S359" s="19">
        <f>IF($A359="","",IF(COUNTIFS(請求記録!$B$6:$B$3005,$A359,請求記録!$X$6:$X$3005,S$5,請求記録!$AD$6:$AD$3005,"保留中")&gt;0,"保留",IF(COUNTIFS(請求記録!$B$6:$B$3005,$A359,請求記録!$X$6:$X$3005,S$5)=0,"",SUMIFS(請求記録!$AC$6:$AC$3005,請求記録!$B$6:$B$3005,$A359,請求記録!$X$6:$X$3005,S$5))))</f>
        <v/>
      </c>
      <c r="T359" s="19">
        <f>IF($A359="","",IF(COUNTIFS(請求記録!$B$6:$B$3005,$A359,請求記録!$X$6:$X$3005,T$5,請求記録!$AD$6:$AD$3005,"保留中")&gt;0,"保留",IF(COUNTIFS(請求記録!$B$6:$B$3005,$A359,請求記録!$X$6:$X$3005,T$5)=0,"",SUMIFS(請求記録!$AC$6:$AC$3005,請求記録!$B$6:$B$3005,$A359,請求記録!$X$6:$X$3005,T$5))))</f>
        <v/>
      </c>
      <c r="U359" s="19">
        <f>IF($A359="","",IF(COUNTIFS(請求記録!$B$6:$B$3005,$A359,請求記録!$X$6:$X$3005,U$5,請求記録!$AD$6:$AD$3005,"保留中")&gt;0,"保留",IF(COUNTIFS(請求記録!$B$6:$B$3005,$A359,請求記録!$X$6:$X$3005,U$5)=0,"",SUMIFS(請求記録!$AC$6:$AC$3005,請求記録!$B$6:$B$3005,$A359,請求記録!$X$6:$X$3005,U$5))))</f>
        <v/>
      </c>
      <c r="V359" s="19">
        <f>IF($A359="","",IF(COUNTIFS(請求記録!$B$6:$B$3005,$A359,請求記録!$X$6:$X$3005,V$5,請求記録!$AD$6:$AD$3005,"保留中")&gt;0,"保留",IF(COUNTIFS(請求記録!$B$6:$B$3005,$A359,請求記録!$X$6:$X$3005,V$5)=0,"",SUMIFS(請求記録!$AC$6:$AC$3005,請求記録!$B$6:$B$3005,$A359,請求記録!$X$6:$X$3005,V$5))))</f>
        <v/>
      </c>
      <c r="W359" s="19">
        <f>IF($A359="","",IF(COUNTIFS(請求記録!$B$6:$B$3005,$A359,請求記録!$X$6:$X$3005,W$5,請求記録!$AD$6:$AD$3005,"保留中")&gt;0,"保留",IF(COUNTIFS(請求記録!$B$6:$B$3005,$A359,請求記録!$X$6:$X$3005,W$5)=0,"",SUMIFS(請求記録!$AC$6:$AC$3005,請求記録!$B$6:$B$3005,$A359,請求記録!$X$6:$X$3005,W$5))))</f>
        <v/>
      </c>
      <c r="X359" s="19">
        <f>IF($A359="","",IF(COUNTIFS(請求記録!$B$6:$B$3005,$A359,請求記録!$X$6:$X$3005,X$5,請求記録!$AD$6:$AD$3005,"保留中")&gt;0,"保留",IF(COUNTIFS(請求記録!$B$6:$B$3005,$A359,請求記録!$X$6:$X$3005,X$5)=0,"",SUMIFS(請求記録!$AC$6:$AC$3005,請求記録!$B$6:$B$3005,$A359,請求記録!$X$6:$X$3005,X$5))))</f>
        <v/>
      </c>
      <c r="Y359" s="19">
        <f>IF($A359="","",IF(COUNTIFS(請求記録!$B$6:$B$3005,$A359,請求記録!$X$6:$X$3005,Y$5,請求記録!$AD$6:$AD$3005,"保留中")&gt;0,"保留",IF(COUNTIFS(請求記録!$B$6:$B$3005,$A359,請求記録!$X$6:$X$3005,Y$5)=0,"",SUMIFS(請求記録!$AC$6:$AC$3005,請求記録!$B$6:$B$3005,$A359,請求記録!$X$6:$X$3005,Y$5))))</f>
        <v/>
      </c>
      <c r="Z359" s="19">
        <f>IF($A359="","",IF(COUNTIFS(請求記録!$B$6:$B$3005,$A359,請求記録!$X$6:$X$3005,Z$5,請求記録!$AD$6:$AD$3005,"保留中")&gt;0,"保留",IF(COUNTIFS(請求記録!$B$6:$B$3005,$A359,請求記録!$X$6:$X$3005,Z$5)=0,"",SUMIFS(請求記録!$AC$6:$AC$3005,請求記録!$B$6:$B$3005,$A359,請求記録!$X$6:$X$3005,Z$5))))</f>
        <v/>
      </c>
      <c r="AA359" s="19">
        <f>IF($A359="","",IF(COUNTIFS(請求記録!$B$6:$B$3005,$A359,請求記録!$X$6:$X$3005,AA$5,請求記録!$AD$6:$AD$3005,"保留中")&gt;0,"保留",IF(COUNTIFS(請求記録!$B$6:$B$3005,$A359,請求記録!$X$6:$X$3005,AA$5)=0,"",SUMIFS(請求記録!$AC$6:$AC$3005,請求記録!$B$6:$B$3005,$A359,請求記録!$X$6:$X$3005,AA$5))))</f>
        <v/>
      </c>
      <c r="AB359">
        <f>IF(職員マスタ!P359="保留中",職員マスタ!M359,"")</f>
        <v/>
      </c>
    </row>
    <row r="360">
      <c r="A360">
        <f>IF(職員マスタ!A360="","",職員マスタ!A360)</f>
        <v/>
      </c>
      <c r="B360">
        <f>IF($A360="","",職員マスタ!B360)</f>
        <v/>
      </c>
      <c r="C360">
        <f>IF($A360="","",職員マスタ!C360)</f>
        <v/>
      </c>
      <c r="D360" s="19">
        <f>IF($A360="","",IF(COUNTIFS(請求記録!$B$6:$B$3005,$A360,請求記録!$X$6:$X$3005,D$5,請求記録!$AD$6:$AD$3005,"保留中")&gt;0,"保留",IF(COUNTIFS(請求記録!$B$6:$B$3005,$A360,請求記録!$X$6:$X$3005,D$5)=0,"",SUMIFS(請求記録!$AC$6:$AC$3005,請求記録!$B$6:$B$3005,$A360,請求記録!$X$6:$X$3005,D$5))))</f>
        <v/>
      </c>
      <c r="E360" s="19">
        <f>IF($A360="","",IF(COUNTIFS(請求記録!$B$6:$B$3005,$A360,請求記録!$X$6:$X$3005,E$5,請求記録!$AD$6:$AD$3005,"保留中")&gt;0,"保留",IF(COUNTIFS(請求記録!$B$6:$B$3005,$A360,請求記録!$X$6:$X$3005,E$5)=0,"",SUMIFS(請求記録!$AC$6:$AC$3005,請求記録!$B$6:$B$3005,$A360,請求記録!$X$6:$X$3005,E$5))))</f>
        <v/>
      </c>
      <c r="F360" s="19">
        <f>IF($A360="","",IF(COUNTIFS(請求記録!$B$6:$B$3005,$A360,請求記録!$X$6:$X$3005,F$5,請求記録!$AD$6:$AD$3005,"保留中")&gt;0,"保留",IF(COUNTIFS(請求記録!$B$6:$B$3005,$A360,請求記録!$X$6:$X$3005,F$5)=0,"",SUMIFS(請求記録!$AC$6:$AC$3005,請求記録!$B$6:$B$3005,$A360,請求記録!$X$6:$X$3005,F$5))))</f>
        <v/>
      </c>
      <c r="G360" s="19">
        <f>IF($A360="","",IF(COUNTIFS(請求記録!$B$6:$B$3005,$A360,請求記録!$X$6:$X$3005,G$5,請求記録!$AD$6:$AD$3005,"保留中")&gt;0,"保留",IF(COUNTIFS(請求記録!$B$6:$B$3005,$A360,請求記録!$X$6:$X$3005,G$5)=0,"",SUMIFS(請求記録!$AC$6:$AC$3005,請求記録!$B$6:$B$3005,$A360,請求記録!$X$6:$X$3005,G$5))))</f>
        <v/>
      </c>
      <c r="H360" s="19">
        <f>IF($A360="","",IF(COUNTIFS(請求記録!$B$6:$B$3005,$A360,請求記録!$X$6:$X$3005,H$5,請求記録!$AD$6:$AD$3005,"保留中")&gt;0,"保留",IF(COUNTIFS(請求記録!$B$6:$B$3005,$A360,請求記録!$X$6:$X$3005,H$5)=0,"",SUMIFS(請求記録!$AC$6:$AC$3005,請求記録!$B$6:$B$3005,$A360,請求記録!$X$6:$X$3005,H$5))))</f>
        <v/>
      </c>
      <c r="I360" s="19">
        <f>IF($A360="","",IF(COUNTIFS(請求記録!$B$6:$B$3005,$A360,請求記録!$X$6:$X$3005,I$5,請求記録!$AD$6:$AD$3005,"保留中")&gt;0,"保留",IF(COUNTIFS(請求記録!$B$6:$B$3005,$A360,請求記録!$X$6:$X$3005,I$5)=0,"",SUMIFS(請求記録!$AC$6:$AC$3005,請求記録!$B$6:$B$3005,$A360,請求記録!$X$6:$X$3005,I$5))))</f>
        <v/>
      </c>
      <c r="J360" s="19">
        <f>IF($A360="","",IF(COUNTIFS(請求記録!$B$6:$B$3005,$A360,請求記録!$X$6:$X$3005,J$5,請求記録!$AD$6:$AD$3005,"保留中")&gt;0,"保留",IF(COUNTIFS(請求記録!$B$6:$B$3005,$A360,請求記録!$X$6:$X$3005,J$5)=0,"",SUMIFS(請求記録!$AC$6:$AC$3005,請求記録!$B$6:$B$3005,$A360,請求記録!$X$6:$X$3005,J$5))))</f>
        <v/>
      </c>
      <c r="K360" s="19">
        <f>IF($A360="","",IF(COUNTIFS(請求記録!$B$6:$B$3005,$A360,請求記録!$X$6:$X$3005,K$5,請求記録!$AD$6:$AD$3005,"保留中")&gt;0,"保留",IF(COUNTIFS(請求記録!$B$6:$B$3005,$A360,請求記録!$X$6:$X$3005,K$5)=0,"",SUMIFS(請求記録!$AC$6:$AC$3005,請求記録!$B$6:$B$3005,$A360,請求記録!$X$6:$X$3005,K$5))))</f>
        <v/>
      </c>
      <c r="L360" s="19">
        <f>IF($A360="","",IF(COUNTIFS(請求記録!$B$6:$B$3005,$A360,請求記録!$X$6:$X$3005,L$5,請求記録!$AD$6:$AD$3005,"保留中")&gt;0,"保留",IF(COUNTIFS(請求記録!$B$6:$B$3005,$A360,請求記録!$X$6:$X$3005,L$5)=0,"",SUMIFS(請求記録!$AC$6:$AC$3005,請求記録!$B$6:$B$3005,$A360,請求記録!$X$6:$X$3005,L$5))))</f>
        <v/>
      </c>
      <c r="M360" s="19">
        <f>IF($A360="","",IF(COUNTIFS(請求記録!$B$6:$B$3005,$A360,請求記録!$X$6:$X$3005,M$5,請求記録!$AD$6:$AD$3005,"保留中")&gt;0,"保留",IF(COUNTIFS(請求記録!$B$6:$B$3005,$A360,請求記録!$X$6:$X$3005,M$5)=0,"",SUMIFS(請求記録!$AC$6:$AC$3005,請求記録!$B$6:$B$3005,$A360,請求記録!$X$6:$X$3005,M$5))))</f>
        <v/>
      </c>
      <c r="N360" s="19">
        <f>IF($A360="","",IF(COUNTIFS(請求記録!$B$6:$B$3005,$A360,請求記録!$X$6:$X$3005,N$5,請求記録!$AD$6:$AD$3005,"保留中")&gt;0,"保留",IF(COUNTIFS(請求記録!$B$6:$B$3005,$A360,請求記録!$X$6:$X$3005,N$5)=0,"",SUMIFS(請求記録!$AC$6:$AC$3005,請求記録!$B$6:$B$3005,$A360,請求記録!$X$6:$X$3005,N$5))))</f>
        <v/>
      </c>
      <c r="O360" s="19">
        <f>IF($A360="","",IF(COUNTIFS(請求記録!$B$6:$B$3005,$A360,請求記録!$X$6:$X$3005,O$5,請求記録!$AD$6:$AD$3005,"保留中")&gt;0,"保留",IF(COUNTIFS(請求記録!$B$6:$B$3005,$A360,請求記録!$X$6:$X$3005,O$5)=0,"",SUMIFS(請求記録!$AC$6:$AC$3005,請求記録!$B$6:$B$3005,$A360,請求記録!$X$6:$X$3005,O$5))))</f>
        <v/>
      </c>
      <c r="P360" s="19">
        <f>IF($A360="","",IF(COUNTIFS(請求記録!$B$6:$B$3005,$A360,請求記録!$X$6:$X$3005,P$5,請求記録!$AD$6:$AD$3005,"保留中")&gt;0,"保留",IF(COUNTIFS(請求記録!$B$6:$B$3005,$A360,請求記録!$X$6:$X$3005,P$5)=0,"",SUMIFS(請求記録!$AC$6:$AC$3005,請求記録!$B$6:$B$3005,$A360,請求記録!$X$6:$X$3005,P$5))))</f>
        <v/>
      </c>
      <c r="Q360" s="19">
        <f>IF($A360="","",IF(COUNTIFS(請求記録!$B$6:$B$3005,$A360,請求記録!$X$6:$X$3005,Q$5,請求記録!$AD$6:$AD$3005,"保留中")&gt;0,"保留",IF(COUNTIFS(請求記録!$B$6:$B$3005,$A360,請求記録!$X$6:$X$3005,Q$5)=0,"",SUMIFS(請求記録!$AC$6:$AC$3005,請求記録!$B$6:$B$3005,$A360,請求記録!$X$6:$X$3005,Q$5))))</f>
        <v/>
      </c>
      <c r="R360" s="19">
        <f>IF($A360="","",IF(COUNTIFS(請求記録!$B$6:$B$3005,$A360,請求記録!$X$6:$X$3005,R$5,請求記録!$AD$6:$AD$3005,"保留中")&gt;0,"保留",IF(COUNTIFS(請求記録!$B$6:$B$3005,$A360,請求記録!$X$6:$X$3005,R$5)=0,"",SUMIFS(請求記録!$AC$6:$AC$3005,請求記録!$B$6:$B$3005,$A360,請求記録!$X$6:$X$3005,R$5))))</f>
        <v/>
      </c>
      <c r="S360" s="19">
        <f>IF($A360="","",IF(COUNTIFS(請求記録!$B$6:$B$3005,$A360,請求記録!$X$6:$X$3005,S$5,請求記録!$AD$6:$AD$3005,"保留中")&gt;0,"保留",IF(COUNTIFS(請求記録!$B$6:$B$3005,$A360,請求記録!$X$6:$X$3005,S$5)=0,"",SUMIFS(請求記録!$AC$6:$AC$3005,請求記録!$B$6:$B$3005,$A360,請求記録!$X$6:$X$3005,S$5))))</f>
        <v/>
      </c>
      <c r="T360" s="19">
        <f>IF($A360="","",IF(COUNTIFS(請求記録!$B$6:$B$3005,$A360,請求記録!$X$6:$X$3005,T$5,請求記録!$AD$6:$AD$3005,"保留中")&gt;0,"保留",IF(COUNTIFS(請求記録!$B$6:$B$3005,$A360,請求記録!$X$6:$X$3005,T$5)=0,"",SUMIFS(請求記録!$AC$6:$AC$3005,請求記録!$B$6:$B$3005,$A360,請求記録!$X$6:$X$3005,T$5))))</f>
        <v/>
      </c>
      <c r="U360" s="19">
        <f>IF($A360="","",IF(COUNTIFS(請求記録!$B$6:$B$3005,$A360,請求記録!$X$6:$X$3005,U$5,請求記録!$AD$6:$AD$3005,"保留中")&gt;0,"保留",IF(COUNTIFS(請求記録!$B$6:$B$3005,$A360,請求記録!$X$6:$X$3005,U$5)=0,"",SUMIFS(請求記録!$AC$6:$AC$3005,請求記録!$B$6:$B$3005,$A360,請求記録!$X$6:$X$3005,U$5))))</f>
        <v/>
      </c>
      <c r="V360" s="19">
        <f>IF($A360="","",IF(COUNTIFS(請求記録!$B$6:$B$3005,$A360,請求記録!$X$6:$X$3005,V$5,請求記録!$AD$6:$AD$3005,"保留中")&gt;0,"保留",IF(COUNTIFS(請求記録!$B$6:$B$3005,$A360,請求記録!$X$6:$X$3005,V$5)=0,"",SUMIFS(請求記録!$AC$6:$AC$3005,請求記録!$B$6:$B$3005,$A360,請求記録!$X$6:$X$3005,V$5))))</f>
        <v/>
      </c>
      <c r="W360" s="19">
        <f>IF($A360="","",IF(COUNTIFS(請求記録!$B$6:$B$3005,$A360,請求記録!$X$6:$X$3005,W$5,請求記録!$AD$6:$AD$3005,"保留中")&gt;0,"保留",IF(COUNTIFS(請求記録!$B$6:$B$3005,$A360,請求記録!$X$6:$X$3005,W$5)=0,"",SUMIFS(請求記録!$AC$6:$AC$3005,請求記録!$B$6:$B$3005,$A360,請求記録!$X$6:$X$3005,W$5))))</f>
        <v/>
      </c>
      <c r="X360" s="19">
        <f>IF($A360="","",IF(COUNTIFS(請求記録!$B$6:$B$3005,$A360,請求記録!$X$6:$X$3005,X$5,請求記録!$AD$6:$AD$3005,"保留中")&gt;0,"保留",IF(COUNTIFS(請求記録!$B$6:$B$3005,$A360,請求記録!$X$6:$X$3005,X$5)=0,"",SUMIFS(請求記録!$AC$6:$AC$3005,請求記録!$B$6:$B$3005,$A360,請求記録!$X$6:$X$3005,X$5))))</f>
        <v/>
      </c>
      <c r="Y360" s="19">
        <f>IF($A360="","",IF(COUNTIFS(請求記録!$B$6:$B$3005,$A360,請求記録!$X$6:$X$3005,Y$5,請求記録!$AD$6:$AD$3005,"保留中")&gt;0,"保留",IF(COUNTIFS(請求記録!$B$6:$B$3005,$A360,請求記録!$X$6:$X$3005,Y$5)=0,"",SUMIFS(請求記録!$AC$6:$AC$3005,請求記録!$B$6:$B$3005,$A360,請求記録!$X$6:$X$3005,Y$5))))</f>
        <v/>
      </c>
      <c r="Z360" s="19">
        <f>IF($A360="","",IF(COUNTIFS(請求記録!$B$6:$B$3005,$A360,請求記録!$X$6:$X$3005,Z$5,請求記録!$AD$6:$AD$3005,"保留中")&gt;0,"保留",IF(COUNTIFS(請求記録!$B$6:$B$3005,$A360,請求記録!$X$6:$X$3005,Z$5)=0,"",SUMIFS(請求記録!$AC$6:$AC$3005,請求記録!$B$6:$B$3005,$A360,請求記録!$X$6:$X$3005,Z$5))))</f>
        <v/>
      </c>
      <c r="AA360" s="19">
        <f>IF($A360="","",IF(COUNTIFS(請求記録!$B$6:$B$3005,$A360,請求記録!$X$6:$X$3005,AA$5,請求記録!$AD$6:$AD$3005,"保留中")&gt;0,"保留",IF(COUNTIFS(請求記録!$B$6:$B$3005,$A360,請求記録!$X$6:$X$3005,AA$5)=0,"",SUMIFS(請求記録!$AC$6:$AC$3005,請求記録!$B$6:$B$3005,$A360,請求記録!$X$6:$X$3005,AA$5))))</f>
        <v/>
      </c>
      <c r="AB360">
        <f>IF(職員マスタ!P360="保留中",職員マスタ!M360,"")</f>
        <v/>
      </c>
    </row>
    <row r="361">
      <c r="A361">
        <f>IF(職員マスタ!A361="","",職員マスタ!A361)</f>
        <v/>
      </c>
      <c r="B361">
        <f>IF($A361="","",職員マスタ!B361)</f>
        <v/>
      </c>
      <c r="C361">
        <f>IF($A361="","",職員マスタ!C361)</f>
        <v/>
      </c>
      <c r="D361" s="19">
        <f>IF($A361="","",IF(COUNTIFS(請求記録!$B$6:$B$3005,$A361,請求記録!$X$6:$X$3005,D$5,請求記録!$AD$6:$AD$3005,"保留中")&gt;0,"保留",IF(COUNTIFS(請求記録!$B$6:$B$3005,$A361,請求記録!$X$6:$X$3005,D$5)=0,"",SUMIFS(請求記録!$AC$6:$AC$3005,請求記録!$B$6:$B$3005,$A361,請求記録!$X$6:$X$3005,D$5))))</f>
        <v/>
      </c>
      <c r="E361" s="19">
        <f>IF($A361="","",IF(COUNTIFS(請求記録!$B$6:$B$3005,$A361,請求記録!$X$6:$X$3005,E$5,請求記録!$AD$6:$AD$3005,"保留中")&gt;0,"保留",IF(COUNTIFS(請求記録!$B$6:$B$3005,$A361,請求記録!$X$6:$X$3005,E$5)=0,"",SUMIFS(請求記録!$AC$6:$AC$3005,請求記録!$B$6:$B$3005,$A361,請求記録!$X$6:$X$3005,E$5))))</f>
        <v/>
      </c>
      <c r="F361" s="19">
        <f>IF($A361="","",IF(COUNTIFS(請求記録!$B$6:$B$3005,$A361,請求記録!$X$6:$X$3005,F$5,請求記録!$AD$6:$AD$3005,"保留中")&gt;0,"保留",IF(COUNTIFS(請求記録!$B$6:$B$3005,$A361,請求記録!$X$6:$X$3005,F$5)=0,"",SUMIFS(請求記録!$AC$6:$AC$3005,請求記録!$B$6:$B$3005,$A361,請求記録!$X$6:$X$3005,F$5))))</f>
        <v/>
      </c>
      <c r="G361" s="19">
        <f>IF($A361="","",IF(COUNTIFS(請求記録!$B$6:$B$3005,$A361,請求記録!$X$6:$X$3005,G$5,請求記録!$AD$6:$AD$3005,"保留中")&gt;0,"保留",IF(COUNTIFS(請求記録!$B$6:$B$3005,$A361,請求記録!$X$6:$X$3005,G$5)=0,"",SUMIFS(請求記録!$AC$6:$AC$3005,請求記録!$B$6:$B$3005,$A361,請求記録!$X$6:$X$3005,G$5))))</f>
        <v/>
      </c>
      <c r="H361" s="19">
        <f>IF($A361="","",IF(COUNTIFS(請求記録!$B$6:$B$3005,$A361,請求記録!$X$6:$X$3005,H$5,請求記録!$AD$6:$AD$3005,"保留中")&gt;0,"保留",IF(COUNTIFS(請求記録!$B$6:$B$3005,$A361,請求記録!$X$6:$X$3005,H$5)=0,"",SUMIFS(請求記録!$AC$6:$AC$3005,請求記録!$B$6:$B$3005,$A361,請求記録!$X$6:$X$3005,H$5))))</f>
        <v/>
      </c>
      <c r="I361" s="19">
        <f>IF($A361="","",IF(COUNTIFS(請求記録!$B$6:$B$3005,$A361,請求記録!$X$6:$X$3005,I$5,請求記録!$AD$6:$AD$3005,"保留中")&gt;0,"保留",IF(COUNTIFS(請求記録!$B$6:$B$3005,$A361,請求記録!$X$6:$X$3005,I$5)=0,"",SUMIFS(請求記録!$AC$6:$AC$3005,請求記録!$B$6:$B$3005,$A361,請求記録!$X$6:$X$3005,I$5))))</f>
        <v/>
      </c>
      <c r="J361" s="19">
        <f>IF($A361="","",IF(COUNTIFS(請求記録!$B$6:$B$3005,$A361,請求記録!$X$6:$X$3005,J$5,請求記録!$AD$6:$AD$3005,"保留中")&gt;0,"保留",IF(COUNTIFS(請求記録!$B$6:$B$3005,$A361,請求記録!$X$6:$X$3005,J$5)=0,"",SUMIFS(請求記録!$AC$6:$AC$3005,請求記録!$B$6:$B$3005,$A361,請求記録!$X$6:$X$3005,J$5))))</f>
        <v/>
      </c>
      <c r="K361" s="19">
        <f>IF($A361="","",IF(COUNTIFS(請求記録!$B$6:$B$3005,$A361,請求記録!$X$6:$X$3005,K$5,請求記録!$AD$6:$AD$3005,"保留中")&gt;0,"保留",IF(COUNTIFS(請求記録!$B$6:$B$3005,$A361,請求記録!$X$6:$X$3005,K$5)=0,"",SUMIFS(請求記録!$AC$6:$AC$3005,請求記録!$B$6:$B$3005,$A361,請求記録!$X$6:$X$3005,K$5))))</f>
        <v/>
      </c>
      <c r="L361" s="19">
        <f>IF($A361="","",IF(COUNTIFS(請求記録!$B$6:$B$3005,$A361,請求記録!$X$6:$X$3005,L$5,請求記録!$AD$6:$AD$3005,"保留中")&gt;0,"保留",IF(COUNTIFS(請求記録!$B$6:$B$3005,$A361,請求記録!$X$6:$X$3005,L$5)=0,"",SUMIFS(請求記録!$AC$6:$AC$3005,請求記録!$B$6:$B$3005,$A361,請求記録!$X$6:$X$3005,L$5))))</f>
        <v/>
      </c>
      <c r="M361" s="19">
        <f>IF($A361="","",IF(COUNTIFS(請求記録!$B$6:$B$3005,$A361,請求記録!$X$6:$X$3005,M$5,請求記録!$AD$6:$AD$3005,"保留中")&gt;0,"保留",IF(COUNTIFS(請求記録!$B$6:$B$3005,$A361,請求記録!$X$6:$X$3005,M$5)=0,"",SUMIFS(請求記録!$AC$6:$AC$3005,請求記録!$B$6:$B$3005,$A361,請求記録!$X$6:$X$3005,M$5))))</f>
        <v/>
      </c>
      <c r="N361" s="19">
        <f>IF($A361="","",IF(COUNTIFS(請求記録!$B$6:$B$3005,$A361,請求記録!$X$6:$X$3005,N$5,請求記録!$AD$6:$AD$3005,"保留中")&gt;0,"保留",IF(COUNTIFS(請求記録!$B$6:$B$3005,$A361,請求記録!$X$6:$X$3005,N$5)=0,"",SUMIFS(請求記録!$AC$6:$AC$3005,請求記録!$B$6:$B$3005,$A361,請求記録!$X$6:$X$3005,N$5))))</f>
        <v/>
      </c>
      <c r="O361" s="19">
        <f>IF($A361="","",IF(COUNTIFS(請求記録!$B$6:$B$3005,$A361,請求記録!$X$6:$X$3005,O$5,請求記録!$AD$6:$AD$3005,"保留中")&gt;0,"保留",IF(COUNTIFS(請求記録!$B$6:$B$3005,$A361,請求記録!$X$6:$X$3005,O$5)=0,"",SUMIFS(請求記録!$AC$6:$AC$3005,請求記録!$B$6:$B$3005,$A361,請求記録!$X$6:$X$3005,O$5))))</f>
        <v/>
      </c>
      <c r="P361" s="19">
        <f>IF($A361="","",IF(COUNTIFS(請求記録!$B$6:$B$3005,$A361,請求記録!$X$6:$X$3005,P$5,請求記録!$AD$6:$AD$3005,"保留中")&gt;0,"保留",IF(COUNTIFS(請求記録!$B$6:$B$3005,$A361,請求記録!$X$6:$X$3005,P$5)=0,"",SUMIFS(請求記録!$AC$6:$AC$3005,請求記録!$B$6:$B$3005,$A361,請求記録!$X$6:$X$3005,P$5))))</f>
        <v/>
      </c>
      <c r="Q361" s="19">
        <f>IF($A361="","",IF(COUNTIFS(請求記録!$B$6:$B$3005,$A361,請求記録!$X$6:$X$3005,Q$5,請求記録!$AD$6:$AD$3005,"保留中")&gt;0,"保留",IF(COUNTIFS(請求記録!$B$6:$B$3005,$A361,請求記録!$X$6:$X$3005,Q$5)=0,"",SUMIFS(請求記録!$AC$6:$AC$3005,請求記録!$B$6:$B$3005,$A361,請求記録!$X$6:$X$3005,Q$5))))</f>
        <v/>
      </c>
      <c r="R361" s="19">
        <f>IF($A361="","",IF(COUNTIFS(請求記録!$B$6:$B$3005,$A361,請求記録!$X$6:$X$3005,R$5,請求記録!$AD$6:$AD$3005,"保留中")&gt;0,"保留",IF(COUNTIFS(請求記録!$B$6:$B$3005,$A361,請求記録!$X$6:$X$3005,R$5)=0,"",SUMIFS(請求記録!$AC$6:$AC$3005,請求記録!$B$6:$B$3005,$A361,請求記録!$X$6:$X$3005,R$5))))</f>
        <v/>
      </c>
      <c r="S361" s="19">
        <f>IF($A361="","",IF(COUNTIFS(請求記録!$B$6:$B$3005,$A361,請求記録!$X$6:$X$3005,S$5,請求記録!$AD$6:$AD$3005,"保留中")&gt;0,"保留",IF(COUNTIFS(請求記録!$B$6:$B$3005,$A361,請求記録!$X$6:$X$3005,S$5)=0,"",SUMIFS(請求記録!$AC$6:$AC$3005,請求記録!$B$6:$B$3005,$A361,請求記録!$X$6:$X$3005,S$5))))</f>
        <v/>
      </c>
      <c r="T361" s="19">
        <f>IF($A361="","",IF(COUNTIFS(請求記録!$B$6:$B$3005,$A361,請求記録!$X$6:$X$3005,T$5,請求記録!$AD$6:$AD$3005,"保留中")&gt;0,"保留",IF(COUNTIFS(請求記録!$B$6:$B$3005,$A361,請求記録!$X$6:$X$3005,T$5)=0,"",SUMIFS(請求記録!$AC$6:$AC$3005,請求記録!$B$6:$B$3005,$A361,請求記録!$X$6:$X$3005,T$5))))</f>
        <v/>
      </c>
      <c r="U361" s="19">
        <f>IF($A361="","",IF(COUNTIFS(請求記録!$B$6:$B$3005,$A361,請求記録!$X$6:$X$3005,U$5,請求記録!$AD$6:$AD$3005,"保留中")&gt;0,"保留",IF(COUNTIFS(請求記録!$B$6:$B$3005,$A361,請求記録!$X$6:$X$3005,U$5)=0,"",SUMIFS(請求記録!$AC$6:$AC$3005,請求記録!$B$6:$B$3005,$A361,請求記録!$X$6:$X$3005,U$5))))</f>
        <v/>
      </c>
      <c r="V361" s="19">
        <f>IF($A361="","",IF(COUNTIFS(請求記録!$B$6:$B$3005,$A361,請求記録!$X$6:$X$3005,V$5,請求記録!$AD$6:$AD$3005,"保留中")&gt;0,"保留",IF(COUNTIFS(請求記録!$B$6:$B$3005,$A361,請求記録!$X$6:$X$3005,V$5)=0,"",SUMIFS(請求記録!$AC$6:$AC$3005,請求記録!$B$6:$B$3005,$A361,請求記録!$X$6:$X$3005,V$5))))</f>
        <v/>
      </c>
      <c r="W361" s="19">
        <f>IF($A361="","",IF(COUNTIFS(請求記録!$B$6:$B$3005,$A361,請求記録!$X$6:$X$3005,W$5,請求記録!$AD$6:$AD$3005,"保留中")&gt;0,"保留",IF(COUNTIFS(請求記録!$B$6:$B$3005,$A361,請求記録!$X$6:$X$3005,W$5)=0,"",SUMIFS(請求記録!$AC$6:$AC$3005,請求記録!$B$6:$B$3005,$A361,請求記録!$X$6:$X$3005,W$5))))</f>
        <v/>
      </c>
      <c r="X361" s="19">
        <f>IF($A361="","",IF(COUNTIFS(請求記録!$B$6:$B$3005,$A361,請求記録!$X$6:$X$3005,X$5,請求記録!$AD$6:$AD$3005,"保留中")&gt;0,"保留",IF(COUNTIFS(請求記録!$B$6:$B$3005,$A361,請求記録!$X$6:$X$3005,X$5)=0,"",SUMIFS(請求記録!$AC$6:$AC$3005,請求記録!$B$6:$B$3005,$A361,請求記録!$X$6:$X$3005,X$5))))</f>
        <v/>
      </c>
      <c r="Y361" s="19">
        <f>IF($A361="","",IF(COUNTIFS(請求記録!$B$6:$B$3005,$A361,請求記録!$X$6:$X$3005,Y$5,請求記録!$AD$6:$AD$3005,"保留中")&gt;0,"保留",IF(COUNTIFS(請求記録!$B$6:$B$3005,$A361,請求記録!$X$6:$X$3005,Y$5)=0,"",SUMIFS(請求記録!$AC$6:$AC$3005,請求記録!$B$6:$B$3005,$A361,請求記録!$X$6:$X$3005,Y$5))))</f>
        <v/>
      </c>
      <c r="Z361" s="19">
        <f>IF($A361="","",IF(COUNTIFS(請求記録!$B$6:$B$3005,$A361,請求記録!$X$6:$X$3005,Z$5,請求記録!$AD$6:$AD$3005,"保留中")&gt;0,"保留",IF(COUNTIFS(請求記録!$B$6:$B$3005,$A361,請求記録!$X$6:$X$3005,Z$5)=0,"",SUMIFS(請求記録!$AC$6:$AC$3005,請求記録!$B$6:$B$3005,$A361,請求記録!$X$6:$X$3005,Z$5))))</f>
        <v/>
      </c>
      <c r="AA361" s="19">
        <f>IF($A361="","",IF(COUNTIFS(請求記録!$B$6:$B$3005,$A361,請求記録!$X$6:$X$3005,AA$5,請求記録!$AD$6:$AD$3005,"保留中")&gt;0,"保留",IF(COUNTIFS(請求記録!$B$6:$B$3005,$A361,請求記録!$X$6:$X$3005,AA$5)=0,"",SUMIFS(請求記録!$AC$6:$AC$3005,請求記録!$B$6:$B$3005,$A361,請求記録!$X$6:$X$3005,AA$5))))</f>
        <v/>
      </c>
      <c r="AB361">
        <f>IF(職員マスタ!P361="保留中",職員マスタ!M361,"")</f>
        <v/>
      </c>
    </row>
    <row r="362">
      <c r="A362">
        <f>IF(職員マスタ!A362="","",職員マスタ!A362)</f>
        <v/>
      </c>
      <c r="B362">
        <f>IF($A362="","",職員マスタ!B362)</f>
        <v/>
      </c>
      <c r="C362">
        <f>IF($A362="","",職員マスタ!C362)</f>
        <v/>
      </c>
      <c r="D362" s="19">
        <f>IF($A362="","",IF(COUNTIFS(請求記録!$B$6:$B$3005,$A362,請求記録!$X$6:$X$3005,D$5,請求記録!$AD$6:$AD$3005,"保留中")&gt;0,"保留",IF(COUNTIFS(請求記録!$B$6:$B$3005,$A362,請求記録!$X$6:$X$3005,D$5)=0,"",SUMIFS(請求記録!$AC$6:$AC$3005,請求記録!$B$6:$B$3005,$A362,請求記録!$X$6:$X$3005,D$5))))</f>
        <v/>
      </c>
      <c r="E362" s="19">
        <f>IF($A362="","",IF(COUNTIFS(請求記録!$B$6:$B$3005,$A362,請求記録!$X$6:$X$3005,E$5,請求記録!$AD$6:$AD$3005,"保留中")&gt;0,"保留",IF(COUNTIFS(請求記録!$B$6:$B$3005,$A362,請求記録!$X$6:$X$3005,E$5)=0,"",SUMIFS(請求記録!$AC$6:$AC$3005,請求記録!$B$6:$B$3005,$A362,請求記録!$X$6:$X$3005,E$5))))</f>
        <v/>
      </c>
      <c r="F362" s="19">
        <f>IF($A362="","",IF(COUNTIFS(請求記録!$B$6:$B$3005,$A362,請求記録!$X$6:$X$3005,F$5,請求記録!$AD$6:$AD$3005,"保留中")&gt;0,"保留",IF(COUNTIFS(請求記録!$B$6:$B$3005,$A362,請求記録!$X$6:$X$3005,F$5)=0,"",SUMIFS(請求記録!$AC$6:$AC$3005,請求記録!$B$6:$B$3005,$A362,請求記録!$X$6:$X$3005,F$5))))</f>
        <v/>
      </c>
      <c r="G362" s="19">
        <f>IF($A362="","",IF(COUNTIFS(請求記録!$B$6:$B$3005,$A362,請求記録!$X$6:$X$3005,G$5,請求記録!$AD$6:$AD$3005,"保留中")&gt;0,"保留",IF(COUNTIFS(請求記録!$B$6:$B$3005,$A362,請求記録!$X$6:$X$3005,G$5)=0,"",SUMIFS(請求記録!$AC$6:$AC$3005,請求記録!$B$6:$B$3005,$A362,請求記録!$X$6:$X$3005,G$5))))</f>
        <v/>
      </c>
      <c r="H362" s="19">
        <f>IF($A362="","",IF(COUNTIFS(請求記録!$B$6:$B$3005,$A362,請求記録!$X$6:$X$3005,H$5,請求記録!$AD$6:$AD$3005,"保留中")&gt;0,"保留",IF(COUNTIFS(請求記録!$B$6:$B$3005,$A362,請求記録!$X$6:$X$3005,H$5)=0,"",SUMIFS(請求記録!$AC$6:$AC$3005,請求記録!$B$6:$B$3005,$A362,請求記録!$X$6:$X$3005,H$5))))</f>
        <v/>
      </c>
      <c r="I362" s="19">
        <f>IF($A362="","",IF(COUNTIFS(請求記録!$B$6:$B$3005,$A362,請求記録!$X$6:$X$3005,I$5,請求記録!$AD$6:$AD$3005,"保留中")&gt;0,"保留",IF(COUNTIFS(請求記録!$B$6:$B$3005,$A362,請求記録!$X$6:$X$3005,I$5)=0,"",SUMIFS(請求記録!$AC$6:$AC$3005,請求記録!$B$6:$B$3005,$A362,請求記録!$X$6:$X$3005,I$5))))</f>
        <v/>
      </c>
      <c r="J362" s="19">
        <f>IF($A362="","",IF(COUNTIFS(請求記録!$B$6:$B$3005,$A362,請求記録!$X$6:$X$3005,J$5,請求記録!$AD$6:$AD$3005,"保留中")&gt;0,"保留",IF(COUNTIFS(請求記録!$B$6:$B$3005,$A362,請求記録!$X$6:$X$3005,J$5)=0,"",SUMIFS(請求記録!$AC$6:$AC$3005,請求記録!$B$6:$B$3005,$A362,請求記録!$X$6:$X$3005,J$5))))</f>
        <v/>
      </c>
      <c r="K362" s="19">
        <f>IF($A362="","",IF(COUNTIFS(請求記録!$B$6:$B$3005,$A362,請求記録!$X$6:$X$3005,K$5,請求記録!$AD$6:$AD$3005,"保留中")&gt;0,"保留",IF(COUNTIFS(請求記録!$B$6:$B$3005,$A362,請求記録!$X$6:$X$3005,K$5)=0,"",SUMIFS(請求記録!$AC$6:$AC$3005,請求記録!$B$6:$B$3005,$A362,請求記録!$X$6:$X$3005,K$5))))</f>
        <v/>
      </c>
      <c r="L362" s="19">
        <f>IF($A362="","",IF(COUNTIFS(請求記録!$B$6:$B$3005,$A362,請求記録!$X$6:$X$3005,L$5,請求記録!$AD$6:$AD$3005,"保留中")&gt;0,"保留",IF(COUNTIFS(請求記録!$B$6:$B$3005,$A362,請求記録!$X$6:$X$3005,L$5)=0,"",SUMIFS(請求記録!$AC$6:$AC$3005,請求記録!$B$6:$B$3005,$A362,請求記録!$X$6:$X$3005,L$5))))</f>
        <v/>
      </c>
      <c r="M362" s="19">
        <f>IF($A362="","",IF(COUNTIFS(請求記録!$B$6:$B$3005,$A362,請求記録!$X$6:$X$3005,M$5,請求記録!$AD$6:$AD$3005,"保留中")&gt;0,"保留",IF(COUNTIFS(請求記録!$B$6:$B$3005,$A362,請求記録!$X$6:$X$3005,M$5)=0,"",SUMIFS(請求記録!$AC$6:$AC$3005,請求記録!$B$6:$B$3005,$A362,請求記録!$X$6:$X$3005,M$5))))</f>
        <v/>
      </c>
      <c r="N362" s="19">
        <f>IF($A362="","",IF(COUNTIFS(請求記録!$B$6:$B$3005,$A362,請求記録!$X$6:$X$3005,N$5,請求記録!$AD$6:$AD$3005,"保留中")&gt;0,"保留",IF(COUNTIFS(請求記録!$B$6:$B$3005,$A362,請求記録!$X$6:$X$3005,N$5)=0,"",SUMIFS(請求記録!$AC$6:$AC$3005,請求記録!$B$6:$B$3005,$A362,請求記録!$X$6:$X$3005,N$5))))</f>
        <v/>
      </c>
      <c r="O362" s="19">
        <f>IF($A362="","",IF(COUNTIFS(請求記録!$B$6:$B$3005,$A362,請求記録!$X$6:$X$3005,O$5,請求記録!$AD$6:$AD$3005,"保留中")&gt;0,"保留",IF(COUNTIFS(請求記録!$B$6:$B$3005,$A362,請求記録!$X$6:$X$3005,O$5)=0,"",SUMIFS(請求記録!$AC$6:$AC$3005,請求記録!$B$6:$B$3005,$A362,請求記録!$X$6:$X$3005,O$5))))</f>
        <v/>
      </c>
      <c r="P362" s="19">
        <f>IF($A362="","",IF(COUNTIFS(請求記録!$B$6:$B$3005,$A362,請求記録!$X$6:$X$3005,P$5,請求記録!$AD$6:$AD$3005,"保留中")&gt;0,"保留",IF(COUNTIFS(請求記録!$B$6:$B$3005,$A362,請求記録!$X$6:$X$3005,P$5)=0,"",SUMIFS(請求記録!$AC$6:$AC$3005,請求記録!$B$6:$B$3005,$A362,請求記録!$X$6:$X$3005,P$5))))</f>
        <v/>
      </c>
      <c r="Q362" s="19">
        <f>IF($A362="","",IF(COUNTIFS(請求記録!$B$6:$B$3005,$A362,請求記録!$X$6:$X$3005,Q$5,請求記録!$AD$6:$AD$3005,"保留中")&gt;0,"保留",IF(COUNTIFS(請求記録!$B$6:$B$3005,$A362,請求記録!$X$6:$X$3005,Q$5)=0,"",SUMIFS(請求記録!$AC$6:$AC$3005,請求記録!$B$6:$B$3005,$A362,請求記録!$X$6:$X$3005,Q$5))))</f>
        <v/>
      </c>
      <c r="R362" s="19">
        <f>IF($A362="","",IF(COUNTIFS(請求記録!$B$6:$B$3005,$A362,請求記録!$X$6:$X$3005,R$5,請求記録!$AD$6:$AD$3005,"保留中")&gt;0,"保留",IF(COUNTIFS(請求記録!$B$6:$B$3005,$A362,請求記録!$X$6:$X$3005,R$5)=0,"",SUMIFS(請求記録!$AC$6:$AC$3005,請求記録!$B$6:$B$3005,$A362,請求記録!$X$6:$X$3005,R$5))))</f>
        <v/>
      </c>
      <c r="S362" s="19">
        <f>IF($A362="","",IF(COUNTIFS(請求記録!$B$6:$B$3005,$A362,請求記録!$X$6:$X$3005,S$5,請求記録!$AD$6:$AD$3005,"保留中")&gt;0,"保留",IF(COUNTIFS(請求記録!$B$6:$B$3005,$A362,請求記録!$X$6:$X$3005,S$5)=0,"",SUMIFS(請求記録!$AC$6:$AC$3005,請求記録!$B$6:$B$3005,$A362,請求記録!$X$6:$X$3005,S$5))))</f>
        <v/>
      </c>
      <c r="T362" s="19">
        <f>IF($A362="","",IF(COUNTIFS(請求記録!$B$6:$B$3005,$A362,請求記録!$X$6:$X$3005,T$5,請求記録!$AD$6:$AD$3005,"保留中")&gt;0,"保留",IF(COUNTIFS(請求記録!$B$6:$B$3005,$A362,請求記録!$X$6:$X$3005,T$5)=0,"",SUMIFS(請求記録!$AC$6:$AC$3005,請求記録!$B$6:$B$3005,$A362,請求記録!$X$6:$X$3005,T$5))))</f>
        <v/>
      </c>
      <c r="U362" s="19">
        <f>IF($A362="","",IF(COUNTIFS(請求記録!$B$6:$B$3005,$A362,請求記録!$X$6:$X$3005,U$5,請求記録!$AD$6:$AD$3005,"保留中")&gt;0,"保留",IF(COUNTIFS(請求記録!$B$6:$B$3005,$A362,請求記録!$X$6:$X$3005,U$5)=0,"",SUMIFS(請求記録!$AC$6:$AC$3005,請求記録!$B$6:$B$3005,$A362,請求記録!$X$6:$X$3005,U$5))))</f>
        <v/>
      </c>
      <c r="V362" s="19">
        <f>IF($A362="","",IF(COUNTIFS(請求記録!$B$6:$B$3005,$A362,請求記録!$X$6:$X$3005,V$5,請求記録!$AD$6:$AD$3005,"保留中")&gt;0,"保留",IF(COUNTIFS(請求記録!$B$6:$B$3005,$A362,請求記録!$X$6:$X$3005,V$5)=0,"",SUMIFS(請求記録!$AC$6:$AC$3005,請求記録!$B$6:$B$3005,$A362,請求記録!$X$6:$X$3005,V$5))))</f>
        <v/>
      </c>
      <c r="W362" s="19">
        <f>IF($A362="","",IF(COUNTIFS(請求記録!$B$6:$B$3005,$A362,請求記録!$X$6:$X$3005,W$5,請求記録!$AD$6:$AD$3005,"保留中")&gt;0,"保留",IF(COUNTIFS(請求記録!$B$6:$B$3005,$A362,請求記録!$X$6:$X$3005,W$5)=0,"",SUMIFS(請求記録!$AC$6:$AC$3005,請求記録!$B$6:$B$3005,$A362,請求記録!$X$6:$X$3005,W$5))))</f>
        <v/>
      </c>
      <c r="X362" s="19">
        <f>IF($A362="","",IF(COUNTIFS(請求記録!$B$6:$B$3005,$A362,請求記録!$X$6:$X$3005,X$5,請求記録!$AD$6:$AD$3005,"保留中")&gt;0,"保留",IF(COUNTIFS(請求記録!$B$6:$B$3005,$A362,請求記録!$X$6:$X$3005,X$5)=0,"",SUMIFS(請求記録!$AC$6:$AC$3005,請求記録!$B$6:$B$3005,$A362,請求記録!$X$6:$X$3005,X$5))))</f>
        <v/>
      </c>
      <c r="Y362" s="19">
        <f>IF($A362="","",IF(COUNTIFS(請求記録!$B$6:$B$3005,$A362,請求記録!$X$6:$X$3005,Y$5,請求記録!$AD$6:$AD$3005,"保留中")&gt;0,"保留",IF(COUNTIFS(請求記録!$B$6:$B$3005,$A362,請求記録!$X$6:$X$3005,Y$5)=0,"",SUMIFS(請求記録!$AC$6:$AC$3005,請求記録!$B$6:$B$3005,$A362,請求記録!$X$6:$X$3005,Y$5))))</f>
        <v/>
      </c>
      <c r="Z362" s="19">
        <f>IF($A362="","",IF(COUNTIFS(請求記録!$B$6:$B$3005,$A362,請求記録!$X$6:$X$3005,Z$5,請求記録!$AD$6:$AD$3005,"保留中")&gt;0,"保留",IF(COUNTIFS(請求記録!$B$6:$B$3005,$A362,請求記録!$X$6:$X$3005,Z$5)=0,"",SUMIFS(請求記録!$AC$6:$AC$3005,請求記録!$B$6:$B$3005,$A362,請求記録!$X$6:$X$3005,Z$5))))</f>
        <v/>
      </c>
      <c r="AA362" s="19">
        <f>IF($A362="","",IF(COUNTIFS(請求記録!$B$6:$B$3005,$A362,請求記録!$X$6:$X$3005,AA$5,請求記録!$AD$6:$AD$3005,"保留中")&gt;0,"保留",IF(COUNTIFS(請求記録!$B$6:$B$3005,$A362,請求記録!$X$6:$X$3005,AA$5)=0,"",SUMIFS(請求記録!$AC$6:$AC$3005,請求記録!$B$6:$B$3005,$A362,請求記録!$X$6:$X$3005,AA$5))))</f>
        <v/>
      </c>
      <c r="AB362">
        <f>IF(職員マスタ!P362="保留中",職員マスタ!M362,"")</f>
        <v/>
      </c>
    </row>
    <row r="363">
      <c r="A363">
        <f>IF(職員マスタ!A363="","",職員マスタ!A363)</f>
        <v/>
      </c>
      <c r="B363">
        <f>IF($A363="","",職員マスタ!B363)</f>
        <v/>
      </c>
      <c r="C363">
        <f>IF($A363="","",職員マスタ!C363)</f>
        <v/>
      </c>
      <c r="D363" s="19">
        <f>IF($A363="","",IF(COUNTIFS(請求記録!$B$6:$B$3005,$A363,請求記録!$X$6:$X$3005,D$5,請求記録!$AD$6:$AD$3005,"保留中")&gt;0,"保留",IF(COUNTIFS(請求記録!$B$6:$B$3005,$A363,請求記録!$X$6:$X$3005,D$5)=0,"",SUMIFS(請求記録!$AC$6:$AC$3005,請求記録!$B$6:$B$3005,$A363,請求記録!$X$6:$X$3005,D$5))))</f>
        <v/>
      </c>
      <c r="E363" s="19">
        <f>IF($A363="","",IF(COUNTIFS(請求記録!$B$6:$B$3005,$A363,請求記録!$X$6:$X$3005,E$5,請求記録!$AD$6:$AD$3005,"保留中")&gt;0,"保留",IF(COUNTIFS(請求記録!$B$6:$B$3005,$A363,請求記録!$X$6:$X$3005,E$5)=0,"",SUMIFS(請求記録!$AC$6:$AC$3005,請求記録!$B$6:$B$3005,$A363,請求記録!$X$6:$X$3005,E$5))))</f>
        <v/>
      </c>
      <c r="F363" s="19">
        <f>IF($A363="","",IF(COUNTIFS(請求記録!$B$6:$B$3005,$A363,請求記録!$X$6:$X$3005,F$5,請求記録!$AD$6:$AD$3005,"保留中")&gt;0,"保留",IF(COUNTIFS(請求記録!$B$6:$B$3005,$A363,請求記録!$X$6:$X$3005,F$5)=0,"",SUMIFS(請求記録!$AC$6:$AC$3005,請求記録!$B$6:$B$3005,$A363,請求記録!$X$6:$X$3005,F$5))))</f>
        <v/>
      </c>
      <c r="G363" s="19">
        <f>IF($A363="","",IF(COUNTIFS(請求記録!$B$6:$B$3005,$A363,請求記録!$X$6:$X$3005,G$5,請求記録!$AD$6:$AD$3005,"保留中")&gt;0,"保留",IF(COUNTIFS(請求記録!$B$6:$B$3005,$A363,請求記録!$X$6:$X$3005,G$5)=0,"",SUMIFS(請求記録!$AC$6:$AC$3005,請求記録!$B$6:$B$3005,$A363,請求記録!$X$6:$X$3005,G$5))))</f>
        <v/>
      </c>
      <c r="H363" s="19">
        <f>IF($A363="","",IF(COUNTIFS(請求記録!$B$6:$B$3005,$A363,請求記録!$X$6:$X$3005,H$5,請求記録!$AD$6:$AD$3005,"保留中")&gt;0,"保留",IF(COUNTIFS(請求記録!$B$6:$B$3005,$A363,請求記録!$X$6:$X$3005,H$5)=0,"",SUMIFS(請求記録!$AC$6:$AC$3005,請求記録!$B$6:$B$3005,$A363,請求記録!$X$6:$X$3005,H$5))))</f>
        <v/>
      </c>
      <c r="I363" s="19">
        <f>IF($A363="","",IF(COUNTIFS(請求記録!$B$6:$B$3005,$A363,請求記録!$X$6:$X$3005,I$5,請求記録!$AD$6:$AD$3005,"保留中")&gt;0,"保留",IF(COUNTIFS(請求記録!$B$6:$B$3005,$A363,請求記録!$X$6:$X$3005,I$5)=0,"",SUMIFS(請求記録!$AC$6:$AC$3005,請求記録!$B$6:$B$3005,$A363,請求記録!$X$6:$X$3005,I$5))))</f>
        <v/>
      </c>
      <c r="J363" s="19">
        <f>IF($A363="","",IF(COUNTIFS(請求記録!$B$6:$B$3005,$A363,請求記録!$X$6:$X$3005,J$5,請求記録!$AD$6:$AD$3005,"保留中")&gt;0,"保留",IF(COUNTIFS(請求記録!$B$6:$B$3005,$A363,請求記録!$X$6:$X$3005,J$5)=0,"",SUMIFS(請求記録!$AC$6:$AC$3005,請求記録!$B$6:$B$3005,$A363,請求記録!$X$6:$X$3005,J$5))))</f>
        <v/>
      </c>
      <c r="K363" s="19">
        <f>IF($A363="","",IF(COUNTIFS(請求記録!$B$6:$B$3005,$A363,請求記録!$X$6:$X$3005,K$5,請求記録!$AD$6:$AD$3005,"保留中")&gt;0,"保留",IF(COUNTIFS(請求記録!$B$6:$B$3005,$A363,請求記録!$X$6:$X$3005,K$5)=0,"",SUMIFS(請求記録!$AC$6:$AC$3005,請求記録!$B$6:$B$3005,$A363,請求記録!$X$6:$X$3005,K$5))))</f>
        <v/>
      </c>
      <c r="L363" s="19">
        <f>IF($A363="","",IF(COUNTIFS(請求記録!$B$6:$B$3005,$A363,請求記録!$X$6:$X$3005,L$5,請求記録!$AD$6:$AD$3005,"保留中")&gt;0,"保留",IF(COUNTIFS(請求記録!$B$6:$B$3005,$A363,請求記録!$X$6:$X$3005,L$5)=0,"",SUMIFS(請求記録!$AC$6:$AC$3005,請求記録!$B$6:$B$3005,$A363,請求記録!$X$6:$X$3005,L$5))))</f>
        <v/>
      </c>
      <c r="M363" s="19">
        <f>IF($A363="","",IF(COUNTIFS(請求記録!$B$6:$B$3005,$A363,請求記録!$X$6:$X$3005,M$5,請求記録!$AD$6:$AD$3005,"保留中")&gt;0,"保留",IF(COUNTIFS(請求記録!$B$6:$B$3005,$A363,請求記録!$X$6:$X$3005,M$5)=0,"",SUMIFS(請求記録!$AC$6:$AC$3005,請求記録!$B$6:$B$3005,$A363,請求記録!$X$6:$X$3005,M$5))))</f>
        <v/>
      </c>
      <c r="N363" s="19">
        <f>IF($A363="","",IF(COUNTIFS(請求記録!$B$6:$B$3005,$A363,請求記録!$X$6:$X$3005,N$5,請求記録!$AD$6:$AD$3005,"保留中")&gt;0,"保留",IF(COUNTIFS(請求記録!$B$6:$B$3005,$A363,請求記録!$X$6:$X$3005,N$5)=0,"",SUMIFS(請求記録!$AC$6:$AC$3005,請求記録!$B$6:$B$3005,$A363,請求記録!$X$6:$X$3005,N$5))))</f>
        <v/>
      </c>
      <c r="O363" s="19">
        <f>IF($A363="","",IF(COUNTIFS(請求記録!$B$6:$B$3005,$A363,請求記録!$X$6:$X$3005,O$5,請求記録!$AD$6:$AD$3005,"保留中")&gt;0,"保留",IF(COUNTIFS(請求記録!$B$6:$B$3005,$A363,請求記録!$X$6:$X$3005,O$5)=0,"",SUMIFS(請求記録!$AC$6:$AC$3005,請求記録!$B$6:$B$3005,$A363,請求記録!$X$6:$X$3005,O$5))))</f>
        <v/>
      </c>
      <c r="P363" s="19">
        <f>IF($A363="","",IF(COUNTIFS(請求記録!$B$6:$B$3005,$A363,請求記録!$X$6:$X$3005,P$5,請求記録!$AD$6:$AD$3005,"保留中")&gt;0,"保留",IF(COUNTIFS(請求記録!$B$6:$B$3005,$A363,請求記録!$X$6:$X$3005,P$5)=0,"",SUMIFS(請求記録!$AC$6:$AC$3005,請求記録!$B$6:$B$3005,$A363,請求記録!$X$6:$X$3005,P$5))))</f>
        <v/>
      </c>
      <c r="Q363" s="19">
        <f>IF($A363="","",IF(COUNTIFS(請求記録!$B$6:$B$3005,$A363,請求記録!$X$6:$X$3005,Q$5,請求記録!$AD$6:$AD$3005,"保留中")&gt;0,"保留",IF(COUNTIFS(請求記録!$B$6:$B$3005,$A363,請求記録!$X$6:$X$3005,Q$5)=0,"",SUMIFS(請求記録!$AC$6:$AC$3005,請求記録!$B$6:$B$3005,$A363,請求記録!$X$6:$X$3005,Q$5))))</f>
        <v/>
      </c>
      <c r="R363" s="19">
        <f>IF($A363="","",IF(COUNTIFS(請求記録!$B$6:$B$3005,$A363,請求記録!$X$6:$X$3005,R$5,請求記録!$AD$6:$AD$3005,"保留中")&gt;0,"保留",IF(COUNTIFS(請求記録!$B$6:$B$3005,$A363,請求記録!$X$6:$X$3005,R$5)=0,"",SUMIFS(請求記録!$AC$6:$AC$3005,請求記録!$B$6:$B$3005,$A363,請求記録!$X$6:$X$3005,R$5))))</f>
        <v/>
      </c>
      <c r="S363" s="19">
        <f>IF($A363="","",IF(COUNTIFS(請求記録!$B$6:$B$3005,$A363,請求記録!$X$6:$X$3005,S$5,請求記録!$AD$6:$AD$3005,"保留中")&gt;0,"保留",IF(COUNTIFS(請求記録!$B$6:$B$3005,$A363,請求記録!$X$6:$X$3005,S$5)=0,"",SUMIFS(請求記録!$AC$6:$AC$3005,請求記録!$B$6:$B$3005,$A363,請求記録!$X$6:$X$3005,S$5))))</f>
        <v/>
      </c>
      <c r="T363" s="19">
        <f>IF($A363="","",IF(COUNTIFS(請求記録!$B$6:$B$3005,$A363,請求記録!$X$6:$X$3005,T$5,請求記録!$AD$6:$AD$3005,"保留中")&gt;0,"保留",IF(COUNTIFS(請求記録!$B$6:$B$3005,$A363,請求記録!$X$6:$X$3005,T$5)=0,"",SUMIFS(請求記録!$AC$6:$AC$3005,請求記録!$B$6:$B$3005,$A363,請求記録!$X$6:$X$3005,T$5))))</f>
        <v/>
      </c>
      <c r="U363" s="19">
        <f>IF($A363="","",IF(COUNTIFS(請求記録!$B$6:$B$3005,$A363,請求記録!$X$6:$X$3005,U$5,請求記録!$AD$6:$AD$3005,"保留中")&gt;0,"保留",IF(COUNTIFS(請求記録!$B$6:$B$3005,$A363,請求記録!$X$6:$X$3005,U$5)=0,"",SUMIFS(請求記録!$AC$6:$AC$3005,請求記録!$B$6:$B$3005,$A363,請求記録!$X$6:$X$3005,U$5))))</f>
        <v/>
      </c>
      <c r="V363" s="19">
        <f>IF($A363="","",IF(COUNTIFS(請求記録!$B$6:$B$3005,$A363,請求記録!$X$6:$X$3005,V$5,請求記録!$AD$6:$AD$3005,"保留中")&gt;0,"保留",IF(COUNTIFS(請求記録!$B$6:$B$3005,$A363,請求記録!$X$6:$X$3005,V$5)=0,"",SUMIFS(請求記録!$AC$6:$AC$3005,請求記録!$B$6:$B$3005,$A363,請求記録!$X$6:$X$3005,V$5))))</f>
        <v/>
      </c>
      <c r="W363" s="19">
        <f>IF($A363="","",IF(COUNTIFS(請求記録!$B$6:$B$3005,$A363,請求記録!$X$6:$X$3005,W$5,請求記録!$AD$6:$AD$3005,"保留中")&gt;0,"保留",IF(COUNTIFS(請求記録!$B$6:$B$3005,$A363,請求記録!$X$6:$X$3005,W$5)=0,"",SUMIFS(請求記録!$AC$6:$AC$3005,請求記録!$B$6:$B$3005,$A363,請求記録!$X$6:$X$3005,W$5))))</f>
        <v/>
      </c>
      <c r="X363" s="19">
        <f>IF($A363="","",IF(COUNTIFS(請求記録!$B$6:$B$3005,$A363,請求記録!$X$6:$X$3005,X$5,請求記録!$AD$6:$AD$3005,"保留中")&gt;0,"保留",IF(COUNTIFS(請求記録!$B$6:$B$3005,$A363,請求記録!$X$6:$X$3005,X$5)=0,"",SUMIFS(請求記録!$AC$6:$AC$3005,請求記録!$B$6:$B$3005,$A363,請求記録!$X$6:$X$3005,X$5))))</f>
        <v/>
      </c>
      <c r="Y363" s="19">
        <f>IF($A363="","",IF(COUNTIFS(請求記録!$B$6:$B$3005,$A363,請求記録!$X$6:$X$3005,Y$5,請求記録!$AD$6:$AD$3005,"保留中")&gt;0,"保留",IF(COUNTIFS(請求記録!$B$6:$B$3005,$A363,請求記録!$X$6:$X$3005,Y$5)=0,"",SUMIFS(請求記録!$AC$6:$AC$3005,請求記録!$B$6:$B$3005,$A363,請求記録!$X$6:$X$3005,Y$5))))</f>
        <v/>
      </c>
      <c r="Z363" s="19">
        <f>IF($A363="","",IF(COUNTIFS(請求記録!$B$6:$B$3005,$A363,請求記録!$X$6:$X$3005,Z$5,請求記録!$AD$6:$AD$3005,"保留中")&gt;0,"保留",IF(COUNTIFS(請求記録!$B$6:$B$3005,$A363,請求記録!$X$6:$X$3005,Z$5)=0,"",SUMIFS(請求記録!$AC$6:$AC$3005,請求記録!$B$6:$B$3005,$A363,請求記録!$X$6:$X$3005,Z$5))))</f>
        <v/>
      </c>
      <c r="AA363" s="19">
        <f>IF($A363="","",IF(COUNTIFS(請求記録!$B$6:$B$3005,$A363,請求記録!$X$6:$X$3005,AA$5,請求記録!$AD$6:$AD$3005,"保留中")&gt;0,"保留",IF(COUNTIFS(請求記録!$B$6:$B$3005,$A363,請求記録!$X$6:$X$3005,AA$5)=0,"",SUMIFS(請求記録!$AC$6:$AC$3005,請求記録!$B$6:$B$3005,$A363,請求記録!$X$6:$X$3005,AA$5))))</f>
        <v/>
      </c>
      <c r="AB363">
        <f>IF(職員マスタ!P363="保留中",職員マスタ!M363,"")</f>
        <v/>
      </c>
    </row>
    <row r="364">
      <c r="A364">
        <f>IF(職員マスタ!A364="","",職員マスタ!A364)</f>
        <v/>
      </c>
      <c r="B364">
        <f>IF($A364="","",職員マスタ!B364)</f>
        <v/>
      </c>
      <c r="C364">
        <f>IF($A364="","",職員マスタ!C364)</f>
        <v/>
      </c>
      <c r="D364" s="19">
        <f>IF($A364="","",IF(COUNTIFS(請求記録!$B$6:$B$3005,$A364,請求記録!$X$6:$X$3005,D$5,請求記録!$AD$6:$AD$3005,"保留中")&gt;0,"保留",IF(COUNTIFS(請求記録!$B$6:$B$3005,$A364,請求記録!$X$6:$X$3005,D$5)=0,"",SUMIFS(請求記録!$AC$6:$AC$3005,請求記録!$B$6:$B$3005,$A364,請求記録!$X$6:$X$3005,D$5))))</f>
        <v/>
      </c>
      <c r="E364" s="19">
        <f>IF($A364="","",IF(COUNTIFS(請求記録!$B$6:$B$3005,$A364,請求記録!$X$6:$X$3005,E$5,請求記録!$AD$6:$AD$3005,"保留中")&gt;0,"保留",IF(COUNTIFS(請求記録!$B$6:$B$3005,$A364,請求記録!$X$6:$X$3005,E$5)=0,"",SUMIFS(請求記録!$AC$6:$AC$3005,請求記録!$B$6:$B$3005,$A364,請求記録!$X$6:$X$3005,E$5))))</f>
        <v/>
      </c>
      <c r="F364" s="19">
        <f>IF($A364="","",IF(COUNTIFS(請求記録!$B$6:$B$3005,$A364,請求記録!$X$6:$X$3005,F$5,請求記録!$AD$6:$AD$3005,"保留中")&gt;0,"保留",IF(COUNTIFS(請求記録!$B$6:$B$3005,$A364,請求記録!$X$6:$X$3005,F$5)=0,"",SUMIFS(請求記録!$AC$6:$AC$3005,請求記録!$B$6:$B$3005,$A364,請求記録!$X$6:$X$3005,F$5))))</f>
        <v/>
      </c>
      <c r="G364" s="19">
        <f>IF($A364="","",IF(COUNTIFS(請求記録!$B$6:$B$3005,$A364,請求記録!$X$6:$X$3005,G$5,請求記録!$AD$6:$AD$3005,"保留中")&gt;0,"保留",IF(COUNTIFS(請求記録!$B$6:$B$3005,$A364,請求記録!$X$6:$X$3005,G$5)=0,"",SUMIFS(請求記録!$AC$6:$AC$3005,請求記録!$B$6:$B$3005,$A364,請求記録!$X$6:$X$3005,G$5))))</f>
        <v/>
      </c>
      <c r="H364" s="19">
        <f>IF($A364="","",IF(COUNTIFS(請求記録!$B$6:$B$3005,$A364,請求記録!$X$6:$X$3005,H$5,請求記録!$AD$6:$AD$3005,"保留中")&gt;0,"保留",IF(COUNTIFS(請求記録!$B$6:$B$3005,$A364,請求記録!$X$6:$X$3005,H$5)=0,"",SUMIFS(請求記録!$AC$6:$AC$3005,請求記録!$B$6:$B$3005,$A364,請求記録!$X$6:$X$3005,H$5))))</f>
        <v/>
      </c>
      <c r="I364" s="19">
        <f>IF($A364="","",IF(COUNTIFS(請求記録!$B$6:$B$3005,$A364,請求記録!$X$6:$X$3005,I$5,請求記録!$AD$6:$AD$3005,"保留中")&gt;0,"保留",IF(COUNTIFS(請求記録!$B$6:$B$3005,$A364,請求記録!$X$6:$X$3005,I$5)=0,"",SUMIFS(請求記録!$AC$6:$AC$3005,請求記録!$B$6:$B$3005,$A364,請求記録!$X$6:$X$3005,I$5))))</f>
        <v/>
      </c>
      <c r="J364" s="19">
        <f>IF($A364="","",IF(COUNTIFS(請求記録!$B$6:$B$3005,$A364,請求記録!$X$6:$X$3005,J$5,請求記録!$AD$6:$AD$3005,"保留中")&gt;0,"保留",IF(COUNTIFS(請求記録!$B$6:$B$3005,$A364,請求記録!$X$6:$X$3005,J$5)=0,"",SUMIFS(請求記録!$AC$6:$AC$3005,請求記録!$B$6:$B$3005,$A364,請求記録!$X$6:$X$3005,J$5))))</f>
        <v/>
      </c>
      <c r="K364" s="19">
        <f>IF($A364="","",IF(COUNTIFS(請求記録!$B$6:$B$3005,$A364,請求記録!$X$6:$X$3005,K$5,請求記録!$AD$6:$AD$3005,"保留中")&gt;0,"保留",IF(COUNTIFS(請求記録!$B$6:$B$3005,$A364,請求記録!$X$6:$X$3005,K$5)=0,"",SUMIFS(請求記録!$AC$6:$AC$3005,請求記録!$B$6:$B$3005,$A364,請求記録!$X$6:$X$3005,K$5))))</f>
        <v/>
      </c>
      <c r="L364" s="19">
        <f>IF($A364="","",IF(COUNTIFS(請求記録!$B$6:$B$3005,$A364,請求記録!$X$6:$X$3005,L$5,請求記録!$AD$6:$AD$3005,"保留中")&gt;0,"保留",IF(COUNTIFS(請求記録!$B$6:$B$3005,$A364,請求記録!$X$6:$X$3005,L$5)=0,"",SUMIFS(請求記録!$AC$6:$AC$3005,請求記録!$B$6:$B$3005,$A364,請求記録!$X$6:$X$3005,L$5))))</f>
        <v/>
      </c>
      <c r="M364" s="19">
        <f>IF($A364="","",IF(COUNTIFS(請求記録!$B$6:$B$3005,$A364,請求記録!$X$6:$X$3005,M$5,請求記録!$AD$6:$AD$3005,"保留中")&gt;0,"保留",IF(COUNTIFS(請求記録!$B$6:$B$3005,$A364,請求記録!$X$6:$X$3005,M$5)=0,"",SUMIFS(請求記録!$AC$6:$AC$3005,請求記録!$B$6:$B$3005,$A364,請求記録!$X$6:$X$3005,M$5))))</f>
        <v/>
      </c>
      <c r="N364" s="19">
        <f>IF($A364="","",IF(COUNTIFS(請求記録!$B$6:$B$3005,$A364,請求記録!$X$6:$X$3005,N$5,請求記録!$AD$6:$AD$3005,"保留中")&gt;0,"保留",IF(COUNTIFS(請求記録!$B$6:$B$3005,$A364,請求記録!$X$6:$X$3005,N$5)=0,"",SUMIFS(請求記録!$AC$6:$AC$3005,請求記録!$B$6:$B$3005,$A364,請求記録!$X$6:$X$3005,N$5))))</f>
        <v/>
      </c>
      <c r="O364" s="19">
        <f>IF($A364="","",IF(COUNTIFS(請求記録!$B$6:$B$3005,$A364,請求記録!$X$6:$X$3005,O$5,請求記録!$AD$6:$AD$3005,"保留中")&gt;0,"保留",IF(COUNTIFS(請求記録!$B$6:$B$3005,$A364,請求記録!$X$6:$X$3005,O$5)=0,"",SUMIFS(請求記録!$AC$6:$AC$3005,請求記録!$B$6:$B$3005,$A364,請求記録!$X$6:$X$3005,O$5))))</f>
        <v/>
      </c>
      <c r="P364" s="19">
        <f>IF($A364="","",IF(COUNTIFS(請求記録!$B$6:$B$3005,$A364,請求記録!$X$6:$X$3005,P$5,請求記録!$AD$6:$AD$3005,"保留中")&gt;0,"保留",IF(COUNTIFS(請求記録!$B$6:$B$3005,$A364,請求記録!$X$6:$X$3005,P$5)=0,"",SUMIFS(請求記録!$AC$6:$AC$3005,請求記録!$B$6:$B$3005,$A364,請求記録!$X$6:$X$3005,P$5))))</f>
        <v/>
      </c>
      <c r="Q364" s="19">
        <f>IF($A364="","",IF(COUNTIFS(請求記録!$B$6:$B$3005,$A364,請求記録!$X$6:$X$3005,Q$5,請求記録!$AD$6:$AD$3005,"保留中")&gt;0,"保留",IF(COUNTIFS(請求記録!$B$6:$B$3005,$A364,請求記録!$X$6:$X$3005,Q$5)=0,"",SUMIFS(請求記録!$AC$6:$AC$3005,請求記録!$B$6:$B$3005,$A364,請求記録!$X$6:$X$3005,Q$5))))</f>
        <v/>
      </c>
      <c r="R364" s="19">
        <f>IF($A364="","",IF(COUNTIFS(請求記録!$B$6:$B$3005,$A364,請求記録!$X$6:$X$3005,R$5,請求記録!$AD$6:$AD$3005,"保留中")&gt;0,"保留",IF(COUNTIFS(請求記録!$B$6:$B$3005,$A364,請求記録!$X$6:$X$3005,R$5)=0,"",SUMIFS(請求記録!$AC$6:$AC$3005,請求記録!$B$6:$B$3005,$A364,請求記録!$X$6:$X$3005,R$5))))</f>
        <v/>
      </c>
      <c r="S364" s="19">
        <f>IF($A364="","",IF(COUNTIFS(請求記録!$B$6:$B$3005,$A364,請求記録!$X$6:$X$3005,S$5,請求記録!$AD$6:$AD$3005,"保留中")&gt;0,"保留",IF(COUNTIFS(請求記録!$B$6:$B$3005,$A364,請求記録!$X$6:$X$3005,S$5)=0,"",SUMIFS(請求記録!$AC$6:$AC$3005,請求記録!$B$6:$B$3005,$A364,請求記録!$X$6:$X$3005,S$5))))</f>
        <v/>
      </c>
      <c r="T364" s="19">
        <f>IF($A364="","",IF(COUNTIFS(請求記録!$B$6:$B$3005,$A364,請求記録!$X$6:$X$3005,T$5,請求記録!$AD$6:$AD$3005,"保留中")&gt;0,"保留",IF(COUNTIFS(請求記録!$B$6:$B$3005,$A364,請求記録!$X$6:$X$3005,T$5)=0,"",SUMIFS(請求記録!$AC$6:$AC$3005,請求記録!$B$6:$B$3005,$A364,請求記録!$X$6:$X$3005,T$5))))</f>
        <v/>
      </c>
      <c r="U364" s="19">
        <f>IF($A364="","",IF(COUNTIFS(請求記録!$B$6:$B$3005,$A364,請求記録!$X$6:$X$3005,U$5,請求記録!$AD$6:$AD$3005,"保留中")&gt;0,"保留",IF(COUNTIFS(請求記録!$B$6:$B$3005,$A364,請求記録!$X$6:$X$3005,U$5)=0,"",SUMIFS(請求記録!$AC$6:$AC$3005,請求記録!$B$6:$B$3005,$A364,請求記録!$X$6:$X$3005,U$5))))</f>
        <v/>
      </c>
      <c r="V364" s="19">
        <f>IF($A364="","",IF(COUNTIFS(請求記録!$B$6:$B$3005,$A364,請求記録!$X$6:$X$3005,V$5,請求記録!$AD$6:$AD$3005,"保留中")&gt;0,"保留",IF(COUNTIFS(請求記録!$B$6:$B$3005,$A364,請求記録!$X$6:$X$3005,V$5)=0,"",SUMIFS(請求記録!$AC$6:$AC$3005,請求記録!$B$6:$B$3005,$A364,請求記録!$X$6:$X$3005,V$5))))</f>
        <v/>
      </c>
      <c r="W364" s="19">
        <f>IF($A364="","",IF(COUNTIFS(請求記録!$B$6:$B$3005,$A364,請求記録!$X$6:$X$3005,W$5,請求記録!$AD$6:$AD$3005,"保留中")&gt;0,"保留",IF(COUNTIFS(請求記録!$B$6:$B$3005,$A364,請求記録!$X$6:$X$3005,W$5)=0,"",SUMIFS(請求記録!$AC$6:$AC$3005,請求記録!$B$6:$B$3005,$A364,請求記録!$X$6:$X$3005,W$5))))</f>
        <v/>
      </c>
      <c r="X364" s="19">
        <f>IF($A364="","",IF(COUNTIFS(請求記録!$B$6:$B$3005,$A364,請求記録!$X$6:$X$3005,X$5,請求記録!$AD$6:$AD$3005,"保留中")&gt;0,"保留",IF(COUNTIFS(請求記録!$B$6:$B$3005,$A364,請求記録!$X$6:$X$3005,X$5)=0,"",SUMIFS(請求記録!$AC$6:$AC$3005,請求記録!$B$6:$B$3005,$A364,請求記録!$X$6:$X$3005,X$5))))</f>
        <v/>
      </c>
      <c r="Y364" s="19">
        <f>IF($A364="","",IF(COUNTIFS(請求記録!$B$6:$B$3005,$A364,請求記録!$X$6:$X$3005,Y$5,請求記録!$AD$6:$AD$3005,"保留中")&gt;0,"保留",IF(COUNTIFS(請求記録!$B$6:$B$3005,$A364,請求記録!$X$6:$X$3005,Y$5)=0,"",SUMIFS(請求記録!$AC$6:$AC$3005,請求記録!$B$6:$B$3005,$A364,請求記録!$X$6:$X$3005,Y$5))))</f>
        <v/>
      </c>
      <c r="Z364" s="19">
        <f>IF($A364="","",IF(COUNTIFS(請求記録!$B$6:$B$3005,$A364,請求記録!$X$6:$X$3005,Z$5,請求記録!$AD$6:$AD$3005,"保留中")&gt;0,"保留",IF(COUNTIFS(請求記録!$B$6:$B$3005,$A364,請求記録!$X$6:$X$3005,Z$5)=0,"",SUMIFS(請求記録!$AC$6:$AC$3005,請求記録!$B$6:$B$3005,$A364,請求記録!$X$6:$X$3005,Z$5))))</f>
        <v/>
      </c>
      <c r="AA364" s="19">
        <f>IF($A364="","",IF(COUNTIFS(請求記録!$B$6:$B$3005,$A364,請求記録!$X$6:$X$3005,AA$5,請求記録!$AD$6:$AD$3005,"保留中")&gt;0,"保留",IF(COUNTIFS(請求記録!$B$6:$B$3005,$A364,請求記録!$X$6:$X$3005,AA$5)=0,"",SUMIFS(請求記録!$AC$6:$AC$3005,請求記録!$B$6:$B$3005,$A364,請求記録!$X$6:$X$3005,AA$5))))</f>
        <v/>
      </c>
      <c r="AB364">
        <f>IF(職員マスタ!P364="保留中",職員マスタ!M364,"")</f>
        <v/>
      </c>
    </row>
    <row r="365">
      <c r="A365">
        <f>IF(職員マスタ!A365="","",職員マスタ!A365)</f>
        <v/>
      </c>
      <c r="B365">
        <f>IF($A365="","",職員マスタ!B365)</f>
        <v/>
      </c>
      <c r="C365">
        <f>IF($A365="","",職員マスタ!C365)</f>
        <v/>
      </c>
      <c r="D365" s="19">
        <f>IF($A365="","",IF(COUNTIFS(請求記録!$B$6:$B$3005,$A365,請求記録!$X$6:$X$3005,D$5,請求記録!$AD$6:$AD$3005,"保留中")&gt;0,"保留",IF(COUNTIFS(請求記録!$B$6:$B$3005,$A365,請求記録!$X$6:$X$3005,D$5)=0,"",SUMIFS(請求記録!$AC$6:$AC$3005,請求記録!$B$6:$B$3005,$A365,請求記録!$X$6:$X$3005,D$5))))</f>
        <v/>
      </c>
      <c r="E365" s="19">
        <f>IF($A365="","",IF(COUNTIFS(請求記録!$B$6:$B$3005,$A365,請求記録!$X$6:$X$3005,E$5,請求記録!$AD$6:$AD$3005,"保留中")&gt;0,"保留",IF(COUNTIFS(請求記録!$B$6:$B$3005,$A365,請求記録!$X$6:$X$3005,E$5)=0,"",SUMIFS(請求記録!$AC$6:$AC$3005,請求記録!$B$6:$B$3005,$A365,請求記録!$X$6:$X$3005,E$5))))</f>
        <v/>
      </c>
      <c r="F365" s="19">
        <f>IF($A365="","",IF(COUNTIFS(請求記録!$B$6:$B$3005,$A365,請求記録!$X$6:$X$3005,F$5,請求記録!$AD$6:$AD$3005,"保留中")&gt;0,"保留",IF(COUNTIFS(請求記録!$B$6:$B$3005,$A365,請求記録!$X$6:$X$3005,F$5)=0,"",SUMIFS(請求記録!$AC$6:$AC$3005,請求記録!$B$6:$B$3005,$A365,請求記録!$X$6:$X$3005,F$5))))</f>
        <v/>
      </c>
      <c r="G365" s="19">
        <f>IF($A365="","",IF(COUNTIFS(請求記録!$B$6:$B$3005,$A365,請求記録!$X$6:$X$3005,G$5,請求記録!$AD$6:$AD$3005,"保留中")&gt;0,"保留",IF(COUNTIFS(請求記録!$B$6:$B$3005,$A365,請求記録!$X$6:$X$3005,G$5)=0,"",SUMIFS(請求記録!$AC$6:$AC$3005,請求記録!$B$6:$B$3005,$A365,請求記録!$X$6:$X$3005,G$5))))</f>
        <v/>
      </c>
      <c r="H365" s="19">
        <f>IF($A365="","",IF(COUNTIFS(請求記録!$B$6:$B$3005,$A365,請求記録!$X$6:$X$3005,H$5,請求記録!$AD$6:$AD$3005,"保留中")&gt;0,"保留",IF(COUNTIFS(請求記録!$B$6:$B$3005,$A365,請求記録!$X$6:$X$3005,H$5)=0,"",SUMIFS(請求記録!$AC$6:$AC$3005,請求記録!$B$6:$B$3005,$A365,請求記録!$X$6:$X$3005,H$5))))</f>
        <v/>
      </c>
      <c r="I365" s="19">
        <f>IF($A365="","",IF(COUNTIFS(請求記録!$B$6:$B$3005,$A365,請求記録!$X$6:$X$3005,I$5,請求記録!$AD$6:$AD$3005,"保留中")&gt;0,"保留",IF(COUNTIFS(請求記録!$B$6:$B$3005,$A365,請求記録!$X$6:$X$3005,I$5)=0,"",SUMIFS(請求記録!$AC$6:$AC$3005,請求記録!$B$6:$B$3005,$A365,請求記録!$X$6:$X$3005,I$5))))</f>
        <v/>
      </c>
      <c r="J365" s="19">
        <f>IF($A365="","",IF(COUNTIFS(請求記録!$B$6:$B$3005,$A365,請求記録!$X$6:$X$3005,J$5,請求記録!$AD$6:$AD$3005,"保留中")&gt;0,"保留",IF(COUNTIFS(請求記録!$B$6:$B$3005,$A365,請求記録!$X$6:$X$3005,J$5)=0,"",SUMIFS(請求記録!$AC$6:$AC$3005,請求記録!$B$6:$B$3005,$A365,請求記録!$X$6:$X$3005,J$5))))</f>
        <v/>
      </c>
      <c r="K365" s="19">
        <f>IF($A365="","",IF(COUNTIFS(請求記録!$B$6:$B$3005,$A365,請求記録!$X$6:$X$3005,K$5,請求記録!$AD$6:$AD$3005,"保留中")&gt;0,"保留",IF(COUNTIFS(請求記録!$B$6:$B$3005,$A365,請求記録!$X$6:$X$3005,K$5)=0,"",SUMIFS(請求記録!$AC$6:$AC$3005,請求記録!$B$6:$B$3005,$A365,請求記録!$X$6:$X$3005,K$5))))</f>
        <v/>
      </c>
      <c r="L365" s="19">
        <f>IF($A365="","",IF(COUNTIFS(請求記録!$B$6:$B$3005,$A365,請求記録!$X$6:$X$3005,L$5,請求記録!$AD$6:$AD$3005,"保留中")&gt;0,"保留",IF(COUNTIFS(請求記録!$B$6:$B$3005,$A365,請求記録!$X$6:$X$3005,L$5)=0,"",SUMIFS(請求記録!$AC$6:$AC$3005,請求記録!$B$6:$B$3005,$A365,請求記録!$X$6:$X$3005,L$5))))</f>
        <v/>
      </c>
      <c r="M365" s="19">
        <f>IF($A365="","",IF(COUNTIFS(請求記録!$B$6:$B$3005,$A365,請求記録!$X$6:$X$3005,M$5,請求記録!$AD$6:$AD$3005,"保留中")&gt;0,"保留",IF(COUNTIFS(請求記録!$B$6:$B$3005,$A365,請求記録!$X$6:$X$3005,M$5)=0,"",SUMIFS(請求記録!$AC$6:$AC$3005,請求記録!$B$6:$B$3005,$A365,請求記録!$X$6:$X$3005,M$5))))</f>
        <v/>
      </c>
      <c r="N365" s="19">
        <f>IF($A365="","",IF(COUNTIFS(請求記録!$B$6:$B$3005,$A365,請求記録!$X$6:$X$3005,N$5,請求記録!$AD$6:$AD$3005,"保留中")&gt;0,"保留",IF(COUNTIFS(請求記録!$B$6:$B$3005,$A365,請求記録!$X$6:$X$3005,N$5)=0,"",SUMIFS(請求記録!$AC$6:$AC$3005,請求記録!$B$6:$B$3005,$A365,請求記録!$X$6:$X$3005,N$5))))</f>
        <v/>
      </c>
      <c r="O365" s="19">
        <f>IF($A365="","",IF(COUNTIFS(請求記録!$B$6:$B$3005,$A365,請求記録!$X$6:$X$3005,O$5,請求記録!$AD$6:$AD$3005,"保留中")&gt;0,"保留",IF(COUNTIFS(請求記録!$B$6:$B$3005,$A365,請求記録!$X$6:$X$3005,O$5)=0,"",SUMIFS(請求記録!$AC$6:$AC$3005,請求記録!$B$6:$B$3005,$A365,請求記録!$X$6:$X$3005,O$5))))</f>
        <v/>
      </c>
      <c r="P365" s="19">
        <f>IF($A365="","",IF(COUNTIFS(請求記録!$B$6:$B$3005,$A365,請求記録!$X$6:$X$3005,P$5,請求記録!$AD$6:$AD$3005,"保留中")&gt;0,"保留",IF(COUNTIFS(請求記録!$B$6:$B$3005,$A365,請求記録!$X$6:$X$3005,P$5)=0,"",SUMIFS(請求記録!$AC$6:$AC$3005,請求記録!$B$6:$B$3005,$A365,請求記録!$X$6:$X$3005,P$5))))</f>
        <v/>
      </c>
      <c r="Q365" s="19">
        <f>IF($A365="","",IF(COUNTIFS(請求記録!$B$6:$B$3005,$A365,請求記録!$X$6:$X$3005,Q$5,請求記録!$AD$6:$AD$3005,"保留中")&gt;0,"保留",IF(COUNTIFS(請求記録!$B$6:$B$3005,$A365,請求記録!$X$6:$X$3005,Q$5)=0,"",SUMIFS(請求記録!$AC$6:$AC$3005,請求記録!$B$6:$B$3005,$A365,請求記録!$X$6:$X$3005,Q$5))))</f>
        <v/>
      </c>
      <c r="R365" s="19">
        <f>IF($A365="","",IF(COUNTIFS(請求記録!$B$6:$B$3005,$A365,請求記録!$X$6:$X$3005,R$5,請求記録!$AD$6:$AD$3005,"保留中")&gt;0,"保留",IF(COUNTIFS(請求記録!$B$6:$B$3005,$A365,請求記録!$X$6:$X$3005,R$5)=0,"",SUMIFS(請求記録!$AC$6:$AC$3005,請求記録!$B$6:$B$3005,$A365,請求記録!$X$6:$X$3005,R$5))))</f>
        <v/>
      </c>
      <c r="S365" s="19">
        <f>IF($A365="","",IF(COUNTIFS(請求記録!$B$6:$B$3005,$A365,請求記録!$X$6:$X$3005,S$5,請求記録!$AD$6:$AD$3005,"保留中")&gt;0,"保留",IF(COUNTIFS(請求記録!$B$6:$B$3005,$A365,請求記録!$X$6:$X$3005,S$5)=0,"",SUMIFS(請求記録!$AC$6:$AC$3005,請求記録!$B$6:$B$3005,$A365,請求記録!$X$6:$X$3005,S$5))))</f>
        <v/>
      </c>
      <c r="T365" s="19">
        <f>IF($A365="","",IF(COUNTIFS(請求記録!$B$6:$B$3005,$A365,請求記録!$X$6:$X$3005,T$5,請求記録!$AD$6:$AD$3005,"保留中")&gt;0,"保留",IF(COUNTIFS(請求記録!$B$6:$B$3005,$A365,請求記録!$X$6:$X$3005,T$5)=0,"",SUMIFS(請求記録!$AC$6:$AC$3005,請求記録!$B$6:$B$3005,$A365,請求記録!$X$6:$X$3005,T$5))))</f>
        <v/>
      </c>
      <c r="U365" s="19">
        <f>IF($A365="","",IF(COUNTIFS(請求記録!$B$6:$B$3005,$A365,請求記録!$X$6:$X$3005,U$5,請求記録!$AD$6:$AD$3005,"保留中")&gt;0,"保留",IF(COUNTIFS(請求記録!$B$6:$B$3005,$A365,請求記録!$X$6:$X$3005,U$5)=0,"",SUMIFS(請求記録!$AC$6:$AC$3005,請求記録!$B$6:$B$3005,$A365,請求記録!$X$6:$X$3005,U$5))))</f>
        <v/>
      </c>
      <c r="V365" s="19">
        <f>IF($A365="","",IF(COUNTIFS(請求記録!$B$6:$B$3005,$A365,請求記録!$X$6:$X$3005,V$5,請求記録!$AD$6:$AD$3005,"保留中")&gt;0,"保留",IF(COUNTIFS(請求記録!$B$6:$B$3005,$A365,請求記録!$X$6:$X$3005,V$5)=0,"",SUMIFS(請求記録!$AC$6:$AC$3005,請求記録!$B$6:$B$3005,$A365,請求記録!$X$6:$X$3005,V$5))))</f>
        <v/>
      </c>
      <c r="W365" s="19">
        <f>IF($A365="","",IF(COUNTIFS(請求記録!$B$6:$B$3005,$A365,請求記録!$X$6:$X$3005,W$5,請求記録!$AD$6:$AD$3005,"保留中")&gt;0,"保留",IF(COUNTIFS(請求記録!$B$6:$B$3005,$A365,請求記録!$X$6:$X$3005,W$5)=0,"",SUMIFS(請求記録!$AC$6:$AC$3005,請求記録!$B$6:$B$3005,$A365,請求記録!$X$6:$X$3005,W$5))))</f>
        <v/>
      </c>
      <c r="X365" s="19">
        <f>IF($A365="","",IF(COUNTIFS(請求記録!$B$6:$B$3005,$A365,請求記録!$X$6:$X$3005,X$5,請求記録!$AD$6:$AD$3005,"保留中")&gt;0,"保留",IF(COUNTIFS(請求記録!$B$6:$B$3005,$A365,請求記録!$X$6:$X$3005,X$5)=0,"",SUMIFS(請求記録!$AC$6:$AC$3005,請求記録!$B$6:$B$3005,$A365,請求記録!$X$6:$X$3005,X$5))))</f>
        <v/>
      </c>
      <c r="Y365" s="19">
        <f>IF($A365="","",IF(COUNTIFS(請求記録!$B$6:$B$3005,$A365,請求記録!$X$6:$X$3005,Y$5,請求記録!$AD$6:$AD$3005,"保留中")&gt;0,"保留",IF(COUNTIFS(請求記録!$B$6:$B$3005,$A365,請求記録!$X$6:$X$3005,Y$5)=0,"",SUMIFS(請求記録!$AC$6:$AC$3005,請求記録!$B$6:$B$3005,$A365,請求記録!$X$6:$X$3005,Y$5))))</f>
        <v/>
      </c>
      <c r="Z365" s="19">
        <f>IF($A365="","",IF(COUNTIFS(請求記録!$B$6:$B$3005,$A365,請求記録!$X$6:$X$3005,Z$5,請求記録!$AD$6:$AD$3005,"保留中")&gt;0,"保留",IF(COUNTIFS(請求記録!$B$6:$B$3005,$A365,請求記録!$X$6:$X$3005,Z$5)=0,"",SUMIFS(請求記録!$AC$6:$AC$3005,請求記録!$B$6:$B$3005,$A365,請求記録!$X$6:$X$3005,Z$5))))</f>
        <v/>
      </c>
      <c r="AA365" s="19">
        <f>IF($A365="","",IF(COUNTIFS(請求記録!$B$6:$B$3005,$A365,請求記録!$X$6:$X$3005,AA$5,請求記録!$AD$6:$AD$3005,"保留中")&gt;0,"保留",IF(COUNTIFS(請求記録!$B$6:$B$3005,$A365,請求記録!$X$6:$X$3005,AA$5)=0,"",SUMIFS(請求記録!$AC$6:$AC$3005,請求記録!$B$6:$B$3005,$A365,請求記録!$X$6:$X$3005,AA$5))))</f>
        <v/>
      </c>
      <c r="AB365">
        <f>IF(職員マスタ!P365="保留中",職員マスタ!M365,"")</f>
        <v/>
      </c>
    </row>
    <row r="366">
      <c r="A366">
        <f>IF(職員マスタ!A366="","",職員マスタ!A366)</f>
        <v/>
      </c>
      <c r="B366">
        <f>IF($A366="","",職員マスタ!B366)</f>
        <v/>
      </c>
      <c r="C366">
        <f>IF($A366="","",職員マスタ!C366)</f>
        <v/>
      </c>
      <c r="D366" s="19">
        <f>IF($A366="","",IF(COUNTIFS(請求記録!$B$6:$B$3005,$A366,請求記録!$X$6:$X$3005,D$5,請求記録!$AD$6:$AD$3005,"保留中")&gt;0,"保留",IF(COUNTIFS(請求記録!$B$6:$B$3005,$A366,請求記録!$X$6:$X$3005,D$5)=0,"",SUMIFS(請求記録!$AC$6:$AC$3005,請求記録!$B$6:$B$3005,$A366,請求記録!$X$6:$X$3005,D$5))))</f>
        <v/>
      </c>
      <c r="E366" s="19">
        <f>IF($A366="","",IF(COUNTIFS(請求記録!$B$6:$B$3005,$A366,請求記録!$X$6:$X$3005,E$5,請求記録!$AD$6:$AD$3005,"保留中")&gt;0,"保留",IF(COUNTIFS(請求記録!$B$6:$B$3005,$A366,請求記録!$X$6:$X$3005,E$5)=0,"",SUMIFS(請求記録!$AC$6:$AC$3005,請求記録!$B$6:$B$3005,$A366,請求記録!$X$6:$X$3005,E$5))))</f>
        <v/>
      </c>
      <c r="F366" s="19">
        <f>IF($A366="","",IF(COUNTIFS(請求記録!$B$6:$B$3005,$A366,請求記録!$X$6:$X$3005,F$5,請求記録!$AD$6:$AD$3005,"保留中")&gt;0,"保留",IF(COUNTIFS(請求記録!$B$6:$B$3005,$A366,請求記録!$X$6:$X$3005,F$5)=0,"",SUMIFS(請求記録!$AC$6:$AC$3005,請求記録!$B$6:$B$3005,$A366,請求記録!$X$6:$X$3005,F$5))))</f>
        <v/>
      </c>
      <c r="G366" s="19">
        <f>IF($A366="","",IF(COUNTIFS(請求記録!$B$6:$B$3005,$A366,請求記録!$X$6:$X$3005,G$5,請求記録!$AD$6:$AD$3005,"保留中")&gt;0,"保留",IF(COUNTIFS(請求記録!$B$6:$B$3005,$A366,請求記録!$X$6:$X$3005,G$5)=0,"",SUMIFS(請求記録!$AC$6:$AC$3005,請求記録!$B$6:$B$3005,$A366,請求記録!$X$6:$X$3005,G$5))))</f>
        <v/>
      </c>
      <c r="H366" s="19">
        <f>IF($A366="","",IF(COUNTIFS(請求記録!$B$6:$B$3005,$A366,請求記録!$X$6:$X$3005,H$5,請求記録!$AD$6:$AD$3005,"保留中")&gt;0,"保留",IF(COUNTIFS(請求記録!$B$6:$B$3005,$A366,請求記録!$X$6:$X$3005,H$5)=0,"",SUMIFS(請求記録!$AC$6:$AC$3005,請求記録!$B$6:$B$3005,$A366,請求記録!$X$6:$X$3005,H$5))))</f>
        <v/>
      </c>
      <c r="I366" s="19">
        <f>IF($A366="","",IF(COUNTIFS(請求記録!$B$6:$B$3005,$A366,請求記録!$X$6:$X$3005,I$5,請求記録!$AD$6:$AD$3005,"保留中")&gt;0,"保留",IF(COUNTIFS(請求記録!$B$6:$B$3005,$A366,請求記録!$X$6:$X$3005,I$5)=0,"",SUMIFS(請求記録!$AC$6:$AC$3005,請求記録!$B$6:$B$3005,$A366,請求記録!$X$6:$X$3005,I$5))))</f>
        <v/>
      </c>
      <c r="J366" s="19">
        <f>IF($A366="","",IF(COUNTIFS(請求記録!$B$6:$B$3005,$A366,請求記録!$X$6:$X$3005,J$5,請求記録!$AD$6:$AD$3005,"保留中")&gt;0,"保留",IF(COUNTIFS(請求記録!$B$6:$B$3005,$A366,請求記録!$X$6:$X$3005,J$5)=0,"",SUMIFS(請求記録!$AC$6:$AC$3005,請求記録!$B$6:$B$3005,$A366,請求記録!$X$6:$X$3005,J$5))))</f>
        <v/>
      </c>
      <c r="K366" s="19">
        <f>IF($A366="","",IF(COUNTIFS(請求記録!$B$6:$B$3005,$A366,請求記録!$X$6:$X$3005,K$5,請求記録!$AD$6:$AD$3005,"保留中")&gt;0,"保留",IF(COUNTIFS(請求記録!$B$6:$B$3005,$A366,請求記録!$X$6:$X$3005,K$5)=0,"",SUMIFS(請求記録!$AC$6:$AC$3005,請求記録!$B$6:$B$3005,$A366,請求記録!$X$6:$X$3005,K$5))))</f>
        <v/>
      </c>
      <c r="L366" s="19">
        <f>IF($A366="","",IF(COUNTIFS(請求記録!$B$6:$B$3005,$A366,請求記録!$X$6:$X$3005,L$5,請求記録!$AD$6:$AD$3005,"保留中")&gt;0,"保留",IF(COUNTIFS(請求記録!$B$6:$B$3005,$A366,請求記録!$X$6:$X$3005,L$5)=0,"",SUMIFS(請求記録!$AC$6:$AC$3005,請求記録!$B$6:$B$3005,$A366,請求記録!$X$6:$X$3005,L$5))))</f>
        <v/>
      </c>
      <c r="M366" s="19">
        <f>IF($A366="","",IF(COUNTIFS(請求記録!$B$6:$B$3005,$A366,請求記録!$X$6:$X$3005,M$5,請求記録!$AD$6:$AD$3005,"保留中")&gt;0,"保留",IF(COUNTIFS(請求記録!$B$6:$B$3005,$A366,請求記録!$X$6:$X$3005,M$5)=0,"",SUMIFS(請求記録!$AC$6:$AC$3005,請求記録!$B$6:$B$3005,$A366,請求記録!$X$6:$X$3005,M$5))))</f>
        <v/>
      </c>
      <c r="N366" s="19">
        <f>IF($A366="","",IF(COUNTIFS(請求記録!$B$6:$B$3005,$A366,請求記録!$X$6:$X$3005,N$5,請求記録!$AD$6:$AD$3005,"保留中")&gt;0,"保留",IF(COUNTIFS(請求記録!$B$6:$B$3005,$A366,請求記録!$X$6:$X$3005,N$5)=0,"",SUMIFS(請求記録!$AC$6:$AC$3005,請求記録!$B$6:$B$3005,$A366,請求記録!$X$6:$X$3005,N$5))))</f>
        <v/>
      </c>
      <c r="O366" s="19">
        <f>IF($A366="","",IF(COUNTIFS(請求記録!$B$6:$B$3005,$A366,請求記録!$X$6:$X$3005,O$5,請求記録!$AD$6:$AD$3005,"保留中")&gt;0,"保留",IF(COUNTIFS(請求記録!$B$6:$B$3005,$A366,請求記録!$X$6:$X$3005,O$5)=0,"",SUMIFS(請求記録!$AC$6:$AC$3005,請求記録!$B$6:$B$3005,$A366,請求記録!$X$6:$X$3005,O$5))))</f>
        <v/>
      </c>
      <c r="P366" s="19">
        <f>IF($A366="","",IF(COUNTIFS(請求記録!$B$6:$B$3005,$A366,請求記録!$X$6:$X$3005,P$5,請求記録!$AD$6:$AD$3005,"保留中")&gt;0,"保留",IF(COUNTIFS(請求記録!$B$6:$B$3005,$A366,請求記録!$X$6:$X$3005,P$5)=0,"",SUMIFS(請求記録!$AC$6:$AC$3005,請求記録!$B$6:$B$3005,$A366,請求記録!$X$6:$X$3005,P$5))))</f>
        <v/>
      </c>
      <c r="Q366" s="19">
        <f>IF($A366="","",IF(COUNTIFS(請求記録!$B$6:$B$3005,$A366,請求記録!$X$6:$X$3005,Q$5,請求記録!$AD$6:$AD$3005,"保留中")&gt;0,"保留",IF(COUNTIFS(請求記録!$B$6:$B$3005,$A366,請求記録!$X$6:$X$3005,Q$5)=0,"",SUMIFS(請求記録!$AC$6:$AC$3005,請求記録!$B$6:$B$3005,$A366,請求記録!$X$6:$X$3005,Q$5))))</f>
        <v/>
      </c>
      <c r="R366" s="19">
        <f>IF($A366="","",IF(COUNTIFS(請求記録!$B$6:$B$3005,$A366,請求記録!$X$6:$X$3005,R$5,請求記録!$AD$6:$AD$3005,"保留中")&gt;0,"保留",IF(COUNTIFS(請求記録!$B$6:$B$3005,$A366,請求記録!$X$6:$X$3005,R$5)=0,"",SUMIFS(請求記録!$AC$6:$AC$3005,請求記録!$B$6:$B$3005,$A366,請求記録!$X$6:$X$3005,R$5))))</f>
        <v/>
      </c>
      <c r="S366" s="19">
        <f>IF($A366="","",IF(COUNTIFS(請求記録!$B$6:$B$3005,$A366,請求記録!$X$6:$X$3005,S$5,請求記録!$AD$6:$AD$3005,"保留中")&gt;0,"保留",IF(COUNTIFS(請求記録!$B$6:$B$3005,$A366,請求記録!$X$6:$X$3005,S$5)=0,"",SUMIFS(請求記録!$AC$6:$AC$3005,請求記録!$B$6:$B$3005,$A366,請求記録!$X$6:$X$3005,S$5))))</f>
        <v/>
      </c>
      <c r="T366" s="19">
        <f>IF($A366="","",IF(COUNTIFS(請求記録!$B$6:$B$3005,$A366,請求記録!$X$6:$X$3005,T$5,請求記録!$AD$6:$AD$3005,"保留中")&gt;0,"保留",IF(COUNTIFS(請求記録!$B$6:$B$3005,$A366,請求記録!$X$6:$X$3005,T$5)=0,"",SUMIFS(請求記録!$AC$6:$AC$3005,請求記録!$B$6:$B$3005,$A366,請求記録!$X$6:$X$3005,T$5))))</f>
        <v/>
      </c>
      <c r="U366" s="19">
        <f>IF($A366="","",IF(COUNTIFS(請求記録!$B$6:$B$3005,$A366,請求記録!$X$6:$X$3005,U$5,請求記録!$AD$6:$AD$3005,"保留中")&gt;0,"保留",IF(COUNTIFS(請求記録!$B$6:$B$3005,$A366,請求記録!$X$6:$X$3005,U$5)=0,"",SUMIFS(請求記録!$AC$6:$AC$3005,請求記録!$B$6:$B$3005,$A366,請求記録!$X$6:$X$3005,U$5))))</f>
        <v/>
      </c>
      <c r="V366" s="19">
        <f>IF($A366="","",IF(COUNTIFS(請求記録!$B$6:$B$3005,$A366,請求記録!$X$6:$X$3005,V$5,請求記録!$AD$6:$AD$3005,"保留中")&gt;0,"保留",IF(COUNTIFS(請求記録!$B$6:$B$3005,$A366,請求記録!$X$6:$X$3005,V$5)=0,"",SUMIFS(請求記録!$AC$6:$AC$3005,請求記録!$B$6:$B$3005,$A366,請求記録!$X$6:$X$3005,V$5))))</f>
        <v/>
      </c>
      <c r="W366" s="19">
        <f>IF($A366="","",IF(COUNTIFS(請求記録!$B$6:$B$3005,$A366,請求記録!$X$6:$X$3005,W$5,請求記録!$AD$6:$AD$3005,"保留中")&gt;0,"保留",IF(COUNTIFS(請求記録!$B$6:$B$3005,$A366,請求記録!$X$6:$X$3005,W$5)=0,"",SUMIFS(請求記録!$AC$6:$AC$3005,請求記録!$B$6:$B$3005,$A366,請求記録!$X$6:$X$3005,W$5))))</f>
        <v/>
      </c>
      <c r="X366" s="19">
        <f>IF($A366="","",IF(COUNTIFS(請求記録!$B$6:$B$3005,$A366,請求記録!$X$6:$X$3005,X$5,請求記録!$AD$6:$AD$3005,"保留中")&gt;0,"保留",IF(COUNTIFS(請求記録!$B$6:$B$3005,$A366,請求記録!$X$6:$X$3005,X$5)=0,"",SUMIFS(請求記録!$AC$6:$AC$3005,請求記録!$B$6:$B$3005,$A366,請求記録!$X$6:$X$3005,X$5))))</f>
        <v/>
      </c>
      <c r="Y366" s="19">
        <f>IF($A366="","",IF(COUNTIFS(請求記録!$B$6:$B$3005,$A366,請求記録!$X$6:$X$3005,Y$5,請求記録!$AD$6:$AD$3005,"保留中")&gt;0,"保留",IF(COUNTIFS(請求記録!$B$6:$B$3005,$A366,請求記録!$X$6:$X$3005,Y$5)=0,"",SUMIFS(請求記録!$AC$6:$AC$3005,請求記録!$B$6:$B$3005,$A366,請求記録!$X$6:$X$3005,Y$5))))</f>
        <v/>
      </c>
      <c r="Z366" s="19">
        <f>IF($A366="","",IF(COUNTIFS(請求記録!$B$6:$B$3005,$A366,請求記録!$X$6:$X$3005,Z$5,請求記録!$AD$6:$AD$3005,"保留中")&gt;0,"保留",IF(COUNTIFS(請求記録!$B$6:$B$3005,$A366,請求記録!$X$6:$X$3005,Z$5)=0,"",SUMIFS(請求記録!$AC$6:$AC$3005,請求記録!$B$6:$B$3005,$A366,請求記録!$X$6:$X$3005,Z$5))))</f>
        <v/>
      </c>
      <c r="AA366" s="19">
        <f>IF($A366="","",IF(COUNTIFS(請求記録!$B$6:$B$3005,$A366,請求記録!$X$6:$X$3005,AA$5,請求記録!$AD$6:$AD$3005,"保留中")&gt;0,"保留",IF(COUNTIFS(請求記録!$B$6:$B$3005,$A366,請求記録!$X$6:$X$3005,AA$5)=0,"",SUMIFS(請求記録!$AC$6:$AC$3005,請求記録!$B$6:$B$3005,$A366,請求記録!$X$6:$X$3005,AA$5))))</f>
        <v/>
      </c>
      <c r="AB366">
        <f>IF(職員マスタ!P366="保留中",職員マスタ!M366,"")</f>
        <v/>
      </c>
    </row>
    <row r="367">
      <c r="A367">
        <f>IF(職員マスタ!A367="","",職員マスタ!A367)</f>
        <v/>
      </c>
      <c r="B367">
        <f>IF($A367="","",職員マスタ!B367)</f>
        <v/>
      </c>
      <c r="C367">
        <f>IF($A367="","",職員マスタ!C367)</f>
        <v/>
      </c>
      <c r="D367" s="19">
        <f>IF($A367="","",IF(COUNTIFS(請求記録!$B$6:$B$3005,$A367,請求記録!$X$6:$X$3005,D$5,請求記録!$AD$6:$AD$3005,"保留中")&gt;0,"保留",IF(COUNTIFS(請求記録!$B$6:$B$3005,$A367,請求記録!$X$6:$X$3005,D$5)=0,"",SUMIFS(請求記録!$AC$6:$AC$3005,請求記録!$B$6:$B$3005,$A367,請求記録!$X$6:$X$3005,D$5))))</f>
        <v/>
      </c>
      <c r="E367" s="19">
        <f>IF($A367="","",IF(COUNTIFS(請求記録!$B$6:$B$3005,$A367,請求記録!$X$6:$X$3005,E$5,請求記録!$AD$6:$AD$3005,"保留中")&gt;0,"保留",IF(COUNTIFS(請求記録!$B$6:$B$3005,$A367,請求記録!$X$6:$X$3005,E$5)=0,"",SUMIFS(請求記録!$AC$6:$AC$3005,請求記録!$B$6:$B$3005,$A367,請求記録!$X$6:$X$3005,E$5))))</f>
        <v/>
      </c>
      <c r="F367" s="19">
        <f>IF($A367="","",IF(COUNTIFS(請求記録!$B$6:$B$3005,$A367,請求記録!$X$6:$X$3005,F$5,請求記録!$AD$6:$AD$3005,"保留中")&gt;0,"保留",IF(COUNTIFS(請求記録!$B$6:$B$3005,$A367,請求記録!$X$6:$X$3005,F$5)=0,"",SUMIFS(請求記録!$AC$6:$AC$3005,請求記録!$B$6:$B$3005,$A367,請求記録!$X$6:$X$3005,F$5))))</f>
        <v/>
      </c>
      <c r="G367" s="19">
        <f>IF($A367="","",IF(COUNTIFS(請求記録!$B$6:$B$3005,$A367,請求記録!$X$6:$X$3005,G$5,請求記録!$AD$6:$AD$3005,"保留中")&gt;0,"保留",IF(COUNTIFS(請求記録!$B$6:$B$3005,$A367,請求記録!$X$6:$X$3005,G$5)=0,"",SUMIFS(請求記録!$AC$6:$AC$3005,請求記録!$B$6:$B$3005,$A367,請求記録!$X$6:$X$3005,G$5))))</f>
        <v/>
      </c>
      <c r="H367" s="19">
        <f>IF($A367="","",IF(COUNTIFS(請求記録!$B$6:$B$3005,$A367,請求記録!$X$6:$X$3005,H$5,請求記録!$AD$6:$AD$3005,"保留中")&gt;0,"保留",IF(COUNTIFS(請求記録!$B$6:$B$3005,$A367,請求記録!$X$6:$X$3005,H$5)=0,"",SUMIFS(請求記録!$AC$6:$AC$3005,請求記録!$B$6:$B$3005,$A367,請求記録!$X$6:$X$3005,H$5))))</f>
        <v/>
      </c>
      <c r="I367" s="19">
        <f>IF($A367="","",IF(COUNTIFS(請求記録!$B$6:$B$3005,$A367,請求記録!$X$6:$X$3005,I$5,請求記録!$AD$6:$AD$3005,"保留中")&gt;0,"保留",IF(COUNTIFS(請求記録!$B$6:$B$3005,$A367,請求記録!$X$6:$X$3005,I$5)=0,"",SUMIFS(請求記録!$AC$6:$AC$3005,請求記録!$B$6:$B$3005,$A367,請求記録!$X$6:$X$3005,I$5))))</f>
        <v/>
      </c>
      <c r="J367" s="19">
        <f>IF($A367="","",IF(COUNTIFS(請求記録!$B$6:$B$3005,$A367,請求記録!$X$6:$X$3005,J$5,請求記録!$AD$6:$AD$3005,"保留中")&gt;0,"保留",IF(COUNTIFS(請求記録!$B$6:$B$3005,$A367,請求記録!$X$6:$X$3005,J$5)=0,"",SUMIFS(請求記録!$AC$6:$AC$3005,請求記録!$B$6:$B$3005,$A367,請求記録!$X$6:$X$3005,J$5))))</f>
        <v/>
      </c>
      <c r="K367" s="19">
        <f>IF($A367="","",IF(COUNTIFS(請求記録!$B$6:$B$3005,$A367,請求記録!$X$6:$X$3005,K$5,請求記録!$AD$6:$AD$3005,"保留中")&gt;0,"保留",IF(COUNTIFS(請求記録!$B$6:$B$3005,$A367,請求記録!$X$6:$X$3005,K$5)=0,"",SUMIFS(請求記録!$AC$6:$AC$3005,請求記録!$B$6:$B$3005,$A367,請求記録!$X$6:$X$3005,K$5))))</f>
        <v/>
      </c>
      <c r="L367" s="19">
        <f>IF($A367="","",IF(COUNTIFS(請求記録!$B$6:$B$3005,$A367,請求記録!$X$6:$X$3005,L$5,請求記録!$AD$6:$AD$3005,"保留中")&gt;0,"保留",IF(COUNTIFS(請求記録!$B$6:$B$3005,$A367,請求記録!$X$6:$X$3005,L$5)=0,"",SUMIFS(請求記録!$AC$6:$AC$3005,請求記録!$B$6:$B$3005,$A367,請求記録!$X$6:$X$3005,L$5))))</f>
        <v/>
      </c>
      <c r="M367" s="19">
        <f>IF($A367="","",IF(COUNTIFS(請求記録!$B$6:$B$3005,$A367,請求記録!$X$6:$X$3005,M$5,請求記録!$AD$6:$AD$3005,"保留中")&gt;0,"保留",IF(COUNTIFS(請求記録!$B$6:$B$3005,$A367,請求記録!$X$6:$X$3005,M$5)=0,"",SUMIFS(請求記録!$AC$6:$AC$3005,請求記録!$B$6:$B$3005,$A367,請求記録!$X$6:$X$3005,M$5))))</f>
        <v/>
      </c>
      <c r="N367" s="19">
        <f>IF($A367="","",IF(COUNTIFS(請求記録!$B$6:$B$3005,$A367,請求記録!$X$6:$X$3005,N$5,請求記録!$AD$6:$AD$3005,"保留中")&gt;0,"保留",IF(COUNTIFS(請求記録!$B$6:$B$3005,$A367,請求記録!$X$6:$X$3005,N$5)=0,"",SUMIFS(請求記録!$AC$6:$AC$3005,請求記録!$B$6:$B$3005,$A367,請求記録!$X$6:$X$3005,N$5))))</f>
        <v/>
      </c>
      <c r="O367" s="19">
        <f>IF($A367="","",IF(COUNTIFS(請求記録!$B$6:$B$3005,$A367,請求記録!$X$6:$X$3005,O$5,請求記録!$AD$6:$AD$3005,"保留中")&gt;0,"保留",IF(COUNTIFS(請求記録!$B$6:$B$3005,$A367,請求記録!$X$6:$X$3005,O$5)=0,"",SUMIFS(請求記録!$AC$6:$AC$3005,請求記録!$B$6:$B$3005,$A367,請求記録!$X$6:$X$3005,O$5))))</f>
        <v/>
      </c>
      <c r="P367" s="19">
        <f>IF($A367="","",IF(COUNTIFS(請求記録!$B$6:$B$3005,$A367,請求記録!$X$6:$X$3005,P$5,請求記録!$AD$6:$AD$3005,"保留中")&gt;0,"保留",IF(COUNTIFS(請求記録!$B$6:$B$3005,$A367,請求記録!$X$6:$X$3005,P$5)=0,"",SUMIFS(請求記録!$AC$6:$AC$3005,請求記録!$B$6:$B$3005,$A367,請求記録!$X$6:$X$3005,P$5))))</f>
        <v/>
      </c>
      <c r="Q367" s="19">
        <f>IF($A367="","",IF(COUNTIFS(請求記録!$B$6:$B$3005,$A367,請求記録!$X$6:$X$3005,Q$5,請求記録!$AD$6:$AD$3005,"保留中")&gt;0,"保留",IF(COUNTIFS(請求記録!$B$6:$B$3005,$A367,請求記録!$X$6:$X$3005,Q$5)=0,"",SUMIFS(請求記録!$AC$6:$AC$3005,請求記録!$B$6:$B$3005,$A367,請求記録!$X$6:$X$3005,Q$5))))</f>
        <v/>
      </c>
      <c r="R367" s="19">
        <f>IF($A367="","",IF(COUNTIFS(請求記録!$B$6:$B$3005,$A367,請求記録!$X$6:$X$3005,R$5,請求記録!$AD$6:$AD$3005,"保留中")&gt;0,"保留",IF(COUNTIFS(請求記録!$B$6:$B$3005,$A367,請求記録!$X$6:$X$3005,R$5)=0,"",SUMIFS(請求記録!$AC$6:$AC$3005,請求記録!$B$6:$B$3005,$A367,請求記録!$X$6:$X$3005,R$5))))</f>
        <v/>
      </c>
      <c r="S367" s="19">
        <f>IF($A367="","",IF(COUNTIFS(請求記録!$B$6:$B$3005,$A367,請求記録!$X$6:$X$3005,S$5,請求記録!$AD$6:$AD$3005,"保留中")&gt;0,"保留",IF(COUNTIFS(請求記録!$B$6:$B$3005,$A367,請求記録!$X$6:$X$3005,S$5)=0,"",SUMIFS(請求記録!$AC$6:$AC$3005,請求記録!$B$6:$B$3005,$A367,請求記録!$X$6:$X$3005,S$5))))</f>
        <v/>
      </c>
      <c r="T367" s="19">
        <f>IF($A367="","",IF(COUNTIFS(請求記録!$B$6:$B$3005,$A367,請求記録!$X$6:$X$3005,T$5,請求記録!$AD$6:$AD$3005,"保留中")&gt;0,"保留",IF(COUNTIFS(請求記録!$B$6:$B$3005,$A367,請求記録!$X$6:$X$3005,T$5)=0,"",SUMIFS(請求記録!$AC$6:$AC$3005,請求記録!$B$6:$B$3005,$A367,請求記録!$X$6:$X$3005,T$5))))</f>
        <v/>
      </c>
      <c r="U367" s="19">
        <f>IF($A367="","",IF(COUNTIFS(請求記録!$B$6:$B$3005,$A367,請求記録!$X$6:$X$3005,U$5,請求記録!$AD$6:$AD$3005,"保留中")&gt;0,"保留",IF(COUNTIFS(請求記録!$B$6:$B$3005,$A367,請求記録!$X$6:$X$3005,U$5)=0,"",SUMIFS(請求記録!$AC$6:$AC$3005,請求記録!$B$6:$B$3005,$A367,請求記録!$X$6:$X$3005,U$5))))</f>
        <v/>
      </c>
      <c r="V367" s="19">
        <f>IF($A367="","",IF(COUNTIFS(請求記録!$B$6:$B$3005,$A367,請求記録!$X$6:$X$3005,V$5,請求記録!$AD$6:$AD$3005,"保留中")&gt;0,"保留",IF(COUNTIFS(請求記録!$B$6:$B$3005,$A367,請求記録!$X$6:$X$3005,V$5)=0,"",SUMIFS(請求記録!$AC$6:$AC$3005,請求記録!$B$6:$B$3005,$A367,請求記録!$X$6:$X$3005,V$5))))</f>
        <v/>
      </c>
      <c r="W367" s="19">
        <f>IF($A367="","",IF(COUNTIFS(請求記録!$B$6:$B$3005,$A367,請求記録!$X$6:$X$3005,W$5,請求記録!$AD$6:$AD$3005,"保留中")&gt;0,"保留",IF(COUNTIFS(請求記録!$B$6:$B$3005,$A367,請求記録!$X$6:$X$3005,W$5)=0,"",SUMIFS(請求記録!$AC$6:$AC$3005,請求記録!$B$6:$B$3005,$A367,請求記録!$X$6:$X$3005,W$5))))</f>
        <v/>
      </c>
      <c r="X367" s="19">
        <f>IF($A367="","",IF(COUNTIFS(請求記録!$B$6:$B$3005,$A367,請求記録!$X$6:$X$3005,X$5,請求記録!$AD$6:$AD$3005,"保留中")&gt;0,"保留",IF(COUNTIFS(請求記録!$B$6:$B$3005,$A367,請求記録!$X$6:$X$3005,X$5)=0,"",SUMIFS(請求記録!$AC$6:$AC$3005,請求記録!$B$6:$B$3005,$A367,請求記録!$X$6:$X$3005,X$5))))</f>
        <v/>
      </c>
      <c r="Y367" s="19">
        <f>IF($A367="","",IF(COUNTIFS(請求記録!$B$6:$B$3005,$A367,請求記録!$X$6:$X$3005,Y$5,請求記録!$AD$6:$AD$3005,"保留中")&gt;0,"保留",IF(COUNTIFS(請求記録!$B$6:$B$3005,$A367,請求記録!$X$6:$X$3005,Y$5)=0,"",SUMIFS(請求記録!$AC$6:$AC$3005,請求記録!$B$6:$B$3005,$A367,請求記録!$X$6:$X$3005,Y$5))))</f>
        <v/>
      </c>
      <c r="Z367" s="19">
        <f>IF($A367="","",IF(COUNTIFS(請求記録!$B$6:$B$3005,$A367,請求記録!$X$6:$X$3005,Z$5,請求記録!$AD$6:$AD$3005,"保留中")&gt;0,"保留",IF(COUNTIFS(請求記録!$B$6:$B$3005,$A367,請求記録!$X$6:$X$3005,Z$5)=0,"",SUMIFS(請求記録!$AC$6:$AC$3005,請求記録!$B$6:$B$3005,$A367,請求記録!$X$6:$X$3005,Z$5))))</f>
        <v/>
      </c>
      <c r="AA367" s="19">
        <f>IF($A367="","",IF(COUNTIFS(請求記録!$B$6:$B$3005,$A367,請求記録!$X$6:$X$3005,AA$5,請求記録!$AD$6:$AD$3005,"保留中")&gt;0,"保留",IF(COUNTIFS(請求記録!$B$6:$B$3005,$A367,請求記録!$X$6:$X$3005,AA$5)=0,"",SUMIFS(請求記録!$AC$6:$AC$3005,請求記録!$B$6:$B$3005,$A367,請求記録!$X$6:$X$3005,AA$5))))</f>
        <v/>
      </c>
      <c r="AB367">
        <f>IF(職員マスタ!P367="保留中",職員マスタ!M367,"")</f>
        <v/>
      </c>
    </row>
    <row r="368">
      <c r="A368">
        <f>IF(職員マスタ!A368="","",職員マスタ!A368)</f>
        <v/>
      </c>
      <c r="B368">
        <f>IF($A368="","",職員マスタ!B368)</f>
        <v/>
      </c>
      <c r="C368">
        <f>IF($A368="","",職員マスタ!C368)</f>
        <v/>
      </c>
      <c r="D368" s="19">
        <f>IF($A368="","",IF(COUNTIFS(請求記録!$B$6:$B$3005,$A368,請求記録!$X$6:$X$3005,D$5,請求記録!$AD$6:$AD$3005,"保留中")&gt;0,"保留",IF(COUNTIFS(請求記録!$B$6:$B$3005,$A368,請求記録!$X$6:$X$3005,D$5)=0,"",SUMIFS(請求記録!$AC$6:$AC$3005,請求記録!$B$6:$B$3005,$A368,請求記録!$X$6:$X$3005,D$5))))</f>
        <v/>
      </c>
      <c r="E368" s="19">
        <f>IF($A368="","",IF(COUNTIFS(請求記録!$B$6:$B$3005,$A368,請求記録!$X$6:$X$3005,E$5,請求記録!$AD$6:$AD$3005,"保留中")&gt;0,"保留",IF(COUNTIFS(請求記録!$B$6:$B$3005,$A368,請求記録!$X$6:$X$3005,E$5)=0,"",SUMIFS(請求記録!$AC$6:$AC$3005,請求記録!$B$6:$B$3005,$A368,請求記録!$X$6:$X$3005,E$5))))</f>
        <v/>
      </c>
      <c r="F368" s="19">
        <f>IF($A368="","",IF(COUNTIFS(請求記録!$B$6:$B$3005,$A368,請求記録!$X$6:$X$3005,F$5,請求記録!$AD$6:$AD$3005,"保留中")&gt;0,"保留",IF(COUNTIFS(請求記録!$B$6:$B$3005,$A368,請求記録!$X$6:$X$3005,F$5)=0,"",SUMIFS(請求記録!$AC$6:$AC$3005,請求記録!$B$6:$B$3005,$A368,請求記録!$X$6:$X$3005,F$5))))</f>
        <v/>
      </c>
      <c r="G368" s="19">
        <f>IF($A368="","",IF(COUNTIFS(請求記録!$B$6:$B$3005,$A368,請求記録!$X$6:$X$3005,G$5,請求記録!$AD$6:$AD$3005,"保留中")&gt;0,"保留",IF(COUNTIFS(請求記録!$B$6:$B$3005,$A368,請求記録!$X$6:$X$3005,G$5)=0,"",SUMIFS(請求記録!$AC$6:$AC$3005,請求記録!$B$6:$B$3005,$A368,請求記録!$X$6:$X$3005,G$5))))</f>
        <v/>
      </c>
      <c r="H368" s="19">
        <f>IF($A368="","",IF(COUNTIFS(請求記録!$B$6:$B$3005,$A368,請求記録!$X$6:$X$3005,H$5,請求記録!$AD$6:$AD$3005,"保留中")&gt;0,"保留",IF(COUNTIFS(請求記録!$B$6:$B$3005,$A368,請求記録!$X$6:$X$3005,H$5)=0,"",SUMIFS(請求記録!$AC$6:$AC$3005,請求記録!$B$6:$B$3005,$A368,請求記録!$X$6:$X$3005,H$5))))</f>
        <v/>
      </c>
      <c r="I368" s="19">
        <f>IF($A368="","",IF(COUNTIFS(請求記録!$B$6:$B$3005,$A368,請求記録!$X$6:$X$3005,I$5,請求記録!$AD$6:$AD$3005,"保留中")&gt;0,"保留",IF(COUNTIFS(請求記録!$B$6:$B$3005,$A368,請求記録!$X$6:$X$3005,I$5)=0,"",SUMIFS(請求記録!$AC$6:$AC$3005,請求記録!$B$6:$B$3005,$A368,請求記録!$X$6:$X$3005,I$5))))</f>
        <v/>
      </c>
      <c r="J368" s="19">
        <f>IF($A368="","",IF(COUNTIFS(請求記録!$B$6:$B$3005,$A368,請求記録!$X$6:$X$3005,J$5,請求記録!$AD$6:$AD$3005,"保留中")&gt;0,"保留",IF(COUNTIFS(請求記録!$B$6:$B$3005,$A368,請求記録!$X$6:$X$3005,J$5)=0,"",SUMIFS(請求記録!$AC$6:$AC$3005,請求記録!$B$6:$B$3005,$A368,請求記録!$X$6:$X$3005,J$5))))</f>
        <v/>
      </c>
      <c r="K368" s="19">
        <f>IF($A368="","",IF(COUNTIFS(請求記録!$B$6:$B$3005,$A368,請求記録!$X$6:$X$3005,K$5,請求記録!$AD$6:$AD$3005,"保留中")&gt;0,"保留",IF(COUNTIFS(請求記録!$B$6:$B$3005,$A368,請求記録!$X$6:$X$3005,K$5)=0,"",SUMIFS(請求記録!$AC$6:$AC$3005,請求記録!$B$6:$B$3005,$A368,請求記録!$X$6:$X$3005,K$5))))</f>
        <v/>
      </c>
      <c r="L368" s="19">
        <f>IF($A368="","",IF(COUNTIFS(請求記録!$B$6:$B$3005,$A368,請求記録!$X$6:$X$3005,L$5,請求記録!$AD$6:$AD$3005,"保留中")&gt;0,"保留",IF(COUNTIFS(請求記録!$B$6:$B$3005,$A368,請求記録!$X$6:$X$3005,L$5)=0,"",SUMIFS(請求記録!$AC$6:$AC$3005,請求記録!$B$6:$B$3005,$A368,請求記録!$X$6:$X$3005,L$5))))</f>
        <v/>
      </c>
      <c r="M368" s="19">
        <f>IF($A368="","",IF(COUNTIFS(請求記録!$B$6:$B$3005,$A368,請求記録!$X$6:$X$3005,M$5,請求記録!$AD$6:$AD$3005,"保留中")&gt;0,"保留",IF(COUNTIFS(請求記録!$B$6:$B$3005,$A368,請求記録!$X$6:$X$3005,M$5)=0,"",SUMIFS(請求記録!$AC$6:$AC$3005,請求記録!$B$6:$B$3005,$A368,請求記録!$X$6:$X$3005,M$5))))</f>
        <v/>
      </c>
      <c r="N368" s="19">
        <f>IF($A368="","",IF(COUNTIFS(請求記録!$B$6:$B$3005,$A368,請求記録!$X$6:$X$3005,N$5,請求記録!$AD$6:$AD$3005,"保留中")&gt;0,"保留",IF(COUNTIFS(請求記録!$B$6:$B$3005,$A368,請求記録!$X$6:$X$3005,N$5)=0,"",SUMIFS(請求記録!$AC$6:$AC$3005,請求記録!$B$6:$B$3005,$A368,請求記録!$X$6:$X$3005,N$5))))</f>
        <v/>
      </c>
      <c r="O368" s="19">
        <f>IF($A368="","",IF(COUNTIFS(請求記録!$B$6:$B$3005,$A368,請求記録!$X$6:$X$3005,O$5,請求記録!$AD$6:$AD$3005,"保留中")&gt;0,"保留",IF(COUNTIFS(請求記録!$B$6:$B$3005,$A368,請求記録!$X$6:$X$3005,O$5)=0,"",SUMIFS(請求記録!$AC$6:$AC$3005,請求記録!$B$6:$B$3005,$A368,請求記録!$X$6:$X$3005,O$5))))</f>
        <v/>
      </c>
      <c r="P368" s="19">
        <f>IF($A368="","",IF(COUNTIFS(請求記録!$B$6:$B$3005,$A368,請求記録!$X$6:$X$3005,P$5,請求記録!$AD$6:$AD$3005,"保留中")&gt;0,"保留",IF(COUNTIFS(請求記録!$B$6:$B$3005,$A368,請求記録!$X$6:$X$3005,P$5)=0,"",SUMIFS(請求記録!$AC$6:$AC$3005,請求記録!$B$6:$B$3005,$A368,請求記録!$X$6:$X$3005,P$5))))</f>
        <v/>
      </c>
      <c r="Q368" s="19">
        <f>IF($A368="","",IF(COUNTIFS(請求記録!$B$6:$B$3005,$A368,請求記録!$X$6:$X$3005,Q$5,請求記録!$AD$6:$AD$3005,"保留中")&gt;0,"保留",IF(COUNTIFS(請求記録!$B$6:$B$3005,$A368,請求記録!$X$6:$X$3005,Q$5)=0,"",SUMIFS(請求記録!$AC$6:$AC$3005,請求記録!$B$6:$B$3005,$A368,請求記録!$X$6:$X$3005,Q$5))))</f>
        <v/>
      </c>
      <c r="R368" s="19">
        <f>IF($A368="","",IF(COUNTIFS(請求記録!$B$6:$B$3005,$A368,請求記録!$X$6:$X$3005,R$5,請求記録!$AD$6:$AD$3005,"保留中")&gt;0,"保留",IF(COUNTIFS(請求記録!$B$6:$B$3005,$A368,請求記録!$X$6:$X$3005,R$5)=0,"",SUMIFS(請求記録!$AC$6:$AC$3005,請求記録!$B$6:$B$3005,$A368,請求記録!$X$6:$X$3005,R$5))))</f>
        <v/>
      </c>
      <c r="S368" s="19">
        <f>IF($A368="","",IF(COUNTIFS(請求記録!$B$6:$B$3005,$A368,請求記録!$X$6:$X$3005,S$5,請求記録!$AD$6:$AD$3005,"保留中")&gt;0,"保留",IF(COUNTIFS(請求記録!$B$6:$B$3005,$A368,請求記録!$X$6:$X$3005,S$5)=0,"",SUMIFS(請求記録!$AC$6:$AC$3005,請求記録!$B$6:$B$3005,$A368,請求記録!$X$6:$X$3005,S$5))))</f>
        <v/>
      </c>
      <c r="T368" s="19">
        <f>IF($A368="","",IF(COUNTIFS(請求記録!$B$6:$B$3005,$A368,請求記録!$X$6:$X$3005,T$5,請求記録!$AD$6:$AD$3005,"保留中")&gt;0,"保留",IF(COUNTIFS(請求記録!$B$6:$B$3005,$A368,請求記録!$X$6:$X$3005,T$5)=0,"",SUMIFS(請求記録!$AC$6:$AC$3005,請求記録!$B$6:$B$3005,$A368,請求記録!$X$6:$X$3005,T$5))))</f>
        <v/>
      </c>
      <c r="U368" s="19">
        <f>IF($A368="","",IF(COUNTIFS(請求記録!$B$6:$B$3005,$A368,請求記録!$X$6:$X$3005,U$5,請求記録!$AD$6:$AD$3005,"保留中")&gt;0,"保留",IF(COUNTIFS(請求記録!$B$6:$B$3005,$A368,請求記録!$X$6:$X$3005,U$5)=0,"",SUMIFS(請求記録!$AC$6:$AC$3005,請求記録!$B$6:$B$3005,$A368,請求記録!$X$6:$X$3005,U$5))))</f>
        <v/>
      </c>
      <c r="V368" s="19">
        <f>IF($A368="","",IF(COUNTIFS(請求記録!$B$6:$B$3005,$A368,請求記録!$X$6:$X$3005,V$5,請求記録!$AD$6:$AD$3005,"保留中")&gt;0,"保留",IF(COUNTIFS(請求記録!$B$6:$B$3005,$A368,請求記録!$X$6:$X$3005,V$5)=0,"",SUMIFS(請求記録!$AC$6:$AC$3005,請求記録!$B$6:$B$3005,$A368,請求記録!$X$6:$X$3005,V$5))))</f>
        <v/>
      </c>
      <c r="W368" s="19">
        <f>IF($A368="","",IF(COUNTIFS(請求記録!$B$6:$B$3005,$A368,請求記録!$X$6:$X$3005,W$5,請求記録!$AD$6:$AD$3005,"保留中")&gt;0,"保留",IF(COUNTIFS(請求記録!$B$6:$B$3005,$A368,請求記録!$X$6:$X$3005,W$5)=0,"",SUMIFS(請求記録!$AC$6:$AC$3005,請求記録!$B$6:$B$3005,$A368,請求記録!$X$6:$X$3005,W$5))))</f>
        <v/>
      </c>
      <c r="X368" s="19">
        <f>IF($A368="","",IF(COUNTIFS(請求記録!$B$6:$B$3005,$A368,請求記録!$X$6:$X$3005,X$5,請求記録!$AD$6:$AD$3005,"保留中")&gt;0,"保留",IF(COUNTIFS(請求記録!$B$6:$B$3005,$A368,請求記録!$X$6:$X$3005,X$5)=0,"",SUMIFS(請求記録!$AC$6:$AC$3005,請求記録!$B$6:$B$3005,$A368,請求記録!$X$6:$X$3005,X$5))))</f>
        <v/>
      </c>
      <c r="Y368" s="19">
        <f>IF($A368="","",IF(COUNTIFS(請求記録!$B$6:$B$3005,$A368,請求記録!$X$6:$X$3005,Y$5,請求記録!$AD$6:$AD$3005,"保留中")&gt;0,"保留",IF(COUNTIFS(請求記録!$B$6:$B$3005,$A368,請求記録!$X$6:$X$3005,Y$5)=0,"",SUMIFS(請求記録!$AC$6:$AC$3005,請求記録!$B$6:$B$3005,$A368,請求記録!$X$6:$X$3005,Y$5))))</f>
        <v/>
      </c>
      <c r="Z368" s="19">
        <f>IF($A368="","",IF(COUNTIFS(請求記録!$B$6:$B$3005,$A368,請求記録!$X$6:$X$3005,Z$5,請求記録!$AD$6:$AD$3005,"保留中")&gt;0,"保留",IF(COUNTIFS(請求記録!$B$6:$B$3005,$A368,請求記録!$X$6:$X$3005,Z$5)=0,"",SUMIFS(請求記録!$AC$6:$AC$3005,請求記録!$B$6:$B$3005,$A368,請求記録!$X$6:$X$3005,Z$5))))</f>
        <v/>
      </c>
      <c r="AA368" s="19">
        <f>IF($A368="","",IF(COUNTIFS(請求記録!$B$6:$B$3005,$A368,請求記録!$X$6:$X$3005,AA$5,請求記録!$AD$6:$AD$3005,"保留中")&gt;0,"保留",IF(COUNTIFS(請求記録!$B$6:$B$3005,$A368,請求記録!$X$6:$X$3005,AA$5)=0,"",SUMIFS(請求記録!$AC$6:$AC$3005,請求記録!$B$6:$B$3005,$A368,請求記録!$X$6:$X$3005,AA$5))))</f>
        <v/>
      </c>
      <c r="AB368">
        <f>IF(職員マスタ!P368="保留中",職員マスタ!M368,"")</f>
        <v/>
      </c>
    </row>
    <row r="369">
      <c r="A369">
        <f>IF(職員マスタ!A369="","",職員マスタ!A369)</f>
        <v/>
      </c>
      <c r="B369">
        <f>IF($A369="","",職員マスタ!B369)</f>
        <v/>
      </c>
      <c r="C369">
        <f>IF($A369="","",職員マスタ!C369)</f>
        <v/>
      </c>
      <c r="D369" s="19">
        <f>IF($A369="","",IF(COUNTIFS(請求記録!$B$6:$B$3005,$A369,請求記録!$X$6:$X$3005,D$5,請求記録!$AD$6:$AD$3005,"保留中")&gt;0,"保留",IF(COUNTIFS(請求記録!$B$6:$B$3005,$A369,請求記録!$X$6:$X$3005,D$5)=0,"",SUMIFS(請求記録!$AC$6:$AC$3005,請求記録!$B$6:$B$3005,$A369,請求記録!$X$6:$X$3005,D$5))))</f>
        <v/>
      </c>
      <c r="E369" s="19">
        <f>IF($A369="","",IF(COUNTIFS(請求記録!$B$6:$B$3005,$A369,請求記録!$X$6:$X$3005,E$5,請求記録!$AD$6:$AD$3005,"保留中")&gt;0,"保留",IF(COUNTIFS(請求記録!$B$6:$B$3005,$A369,請求記録!$X$6:$X$3005,E$5)=0,"",SUMIFS(請求記録!$AC$6:$AC$3005,請求記録!$B$6:$B$3005,$A369,請求記録!$X$6:$X$3005,E$5))))</f>
        <v/>
      </c>
      <c r="F369" s="19">
        <f>IF($A369="","",IF(COUNTIFS(請求記録!$B$6:$B$3005,$A369,請求記録!$X$6:$X$3005,F$5,請求記録!$AD$6:$AD$3005,"保留中")&gt;0,"保留",IF(COUNTIFS(請求記録!$B$6:$B$3005,$A369,請求記録!$X$6:$X$3005,F$5)=0,"",SUMIFS(請求記録!$AC$6:$AC$3005,請求記録!$B$6:$B$3005,$A369,請求記録!$X$6:$X$3005,F$5))))</f>
        <v/>
      </c>
      <c r="G369" s="19">
        <f>IF($A369="","",IF(COUNTIFS(請求記録!$B$6:$B$3005,$A369,請求記録!$X$6:$X$3005,G$5,請求記録!$AD$6:$AD$3005,"保留中")&gt;0,"保留",IF(COUNTIFS(請求記録!$B$6:$B$3005,$A369,請求記録!$X$6:$X$3005,G$5)=0,"",SUMIFS(請求記録!$AC$6:$AC$3005,請求記録!$B$6:$B$3005,$A369,請求記録!$X$6:$X$3005,G$5))))</f>
        <v/>
      </c>
      <c r="H369" s="19">
        <f>IF($A369="","",IF(COUNTIFS(請求記録!$B$6:$B$3005,$A369,請求記録!$X$6:$X$3005,H$5,請求記録!$AD$6:$AD$3005,"保留中")&gt;0,"保留",IF(COUNTIFS(請求記録!$B$6:$B$3005,$A369,請求記録!$X$6:$X$3005,H$5)=0,"",SUMIFS(請求記録!$AC$6:$AC$3005,請求記録!$B$6:$B$3005,$A369,請求記録!$X$6:$X$3005,H$5))))</f>
        <v/>
      </c>
      <c r="I369" s="19">
        <f>IF($A369="","",IF(COUNTIFS(請求記録!$B$6:$B$3005,$A369,請求記録!$X$6:$X$3005,I$5,請求記録!$AD$6:$AD$3005,"保留中")&gt;0,"保留",IF(COUNTIFS(請求記録!$B$6:$B$3005,$A369,請求記録!$X$6:$X$3005,I$5)=0,"",SUMIFS(請求記録!$AC$6:$AC$3005,請求記録!$B$6:$B$3005,$A369,請求記録!$X$6:$X$3005,I$5))))</f>
        <v/>
      </c>
      <c r="J369" s="19">
        <f>IF($A369="","",IF(COUNTIFS(請求記録!$B$6:$B$3005,$A369,請求記録!$X$6:$X$3005,J$5,請求記録!$AD$6:$AD$3005,"保留中")&gt;0,"保留",IF(COUNTIFS(請求記録!$B$6:$B$3005,$A369,請求記録!$X$6:$X$3005,J$5)=0,"",SUMIFS(請求記録!$AC$6:$AC$3005,請求記録!$B$6:$B$3005,$A369,請求記録!$X$6:$X$3005,J$5))))</f>
        <v/>
      </c>
      <c r="K369" s="19">
        <f>IF($A369="","",IF(COUNTIFS(請求記録!$B$6:$B$3005,$A369,請求記録!$X$6:$X$3005,K$5,請求記録!$AD$6:$AD$3005,"保留中")&gt;0,"保留",IF(COUNTIFS(請求記録!$B$6:$B$3005,$A369,請求記録!$X$6:$X$3005,K$5)=0,"",SUMIFS(請求記録!$AC$6:$AC$3005,請求記録!$B$6:$B$3005,$A369,請求記録!$X$6:$X$3005,K$5))))</f>
        <v/>
      </c>
      <c r="L369" s="19">
        <f>IF($A369="","",IF(COUNTIFS(請求記録!$B$6:$B$3005,$A369,請求記録!$X$6:$X$3005,L$5,請求記録!$AD$6:$AD$3005,"保留中")&gt;0,"保留",IF(COUNTIFS(請求記録!$B$6:$B$3005,$A369,請求記録!$X$6:$X$3005,L$5)=0,"",SUMIFS(請求記録!$AC$6:$AC$3005,請求記録!$B$6:$B$3005,$A369,請求記録!$X$6:$X$3005,L$5))))</f>
        <v/>
      </c>
      <c r="M369" s="19">
        <f>IF($A369="","",IF(COUNTIFS(請求記録!$B$6:$B$3005,$A369,請求記録!$X$6:$X$3005,M$5,請求記録!$AD$6:$AD$3005,"保留中")&gt;0,"保留",IF(COUNTIFS(請求記録!$B$6:$B$3005,$A369,請求記録!$X$6:$X$3005,M$5)=0,"",SUMIFS(請求記録!$AC$6:$AC$3005,請求記録!$B$6:$B$3005,$A369,請求記録!$X$6:$X$3005,M$5))))</f>
        <v/>
      </c>
      <c r="N369" s="19">
        <f>IF($A369="","",IF(COUNTIFS(請求記録!$B$6:$B$3005,$A369,請求記録!$X$6:$X$3005,N$5,請求記録!$AD$6:$AD$3005,"保留中")&gt;0,"保留",IF(COUNTIFS(請求記録!$B$6:$B$3005,$A369,請求記録!$X$6:$X$3005,N$5)=0,"",SUMIFS(請求記録!$AC$6:$AC$3005,請求記録!$B$6:$B$3005,$A369,請求記録!$X$6:$X$3005,N$5))))</f>
        <v/>
      </c>
      <c r="O369" s="19">
        <f>IF($A369="","",IF(COUNTIFS(請求記録!$B$6:$B$3005,$A369,請求記録!$X$6:$X$3005,O$5,請求記録!$AD$6:$AD$3005,"保留中")&gt;0,"保留",IF(COUNTIFS(請求記録!$B$6:$B$3005,$A369,請求記録!$X$6:$X$3005,O$5)=0,"",SUMIFS(請求記録!$AC$6:$AC$3005,請求記録!$B$6:$B$3005,$A369,請求記録!$X$6:$X$3005,O$5))))</f>
        <v/>
      </c>
      <c r="P369" s="19">
        <f>IF($A369="","",IF(COUNTIFS(請求記録!$B$6:$B$3005,$A369,請求記録!$X$6:$X$3005,P$5,請求記録!$AD$6:$AD$3005,"保留中")&gt;0,"保留",IF(COUNTIFS(請求記録!$B$6:$B$3005,$A369,請求記録!$X$6:$X$3005,P$5)=0,"",SUMIFS(請求記録!$AC$6:$AC$3005,請求記録!$B$6:$B$3005,$A369,請求記録!$X$6:$X$3005,P$5))))</f>
        <v/>
      </c>
      <c r="Q369" s="19">
        <f>IF($A369="","",IF(COUNTIFS(請求記録!$B$6:$B$3005,$A369,請求記録!$X$6:$X$3005,Q$5,請求記録!$AD$6:$AD$3005,"保留中")&gt;0,"保留",IF(COUNTIFS(請求記録!$B$6:$B$3005,$A369,請求記録!$X$6:$X$3005,Q$5)=0,"",SUMIFS(請求記録!$AC$6:$AC$3005,請求記録!$B$6:$B$3005,$A369,請求記録!$X$6:$X$3005,Q$5))))</f>
        <v/>
      </c>
      <c r="R369" s="19">
        <f>IF($A369="","",IF(COUNTIFS(請求記録!$B$6:$B$3005,$A369,請求記録!$X$6:$X$3005,R$5,請求記録!$AD$6:$AD$3005,"保留中")&gt;0,"保留",IF(COUNTIFS(請求記録!$B$6:$B$3005,$A369,請求記録!$X$6:$X$3005,R$5)=0,"",SUMIFS(請求記録!$AC$6:$AC$3005,請求記録!$B$6:$B$3005,$A369,請求記録!$X$6:$X$3005,R$5))))</f>
        <v/>
      </c>
      <c r="S369" s="19">
        <f>IF($A369="","",IF(COUNTIFS(請求記録!$B$6:$B$3005,$A369,請求記録!$X$6:$X$3005,S$5,請求記録!$AD$6:$AD$3005,"保留中")&gt;0,"保留",IF(COUNTIFS(請求記録!$B$6:$B$3005,$A369,請求記録!$X$6:$X$3005,S$5)=0,"",SUMIFS(請求記録!$AC$6:$AC$3005,請求記録!$B$6:$B$3005,$A369,請求記録!$X$6:$X$3005,S$5))))</f>
        <v/>
      </c>
      <c r="T369" s="19">
        <f>IF($A369="","",IF(COUNTIFS(請求記録!$B$6:$B$3005,$A369,請求記録!$X$6:$X$3005,T$5,請求記録!$AD$6:$AD$3005,"保留中")&gt;0,"保留",IF(COUNTIFS(請求記録!$B$6:$B$3005,$A369,請求記録!$X$6:$X$3005,T$5)=0,"",SUMIFS(請求記録!$AC$6:$AC$3005,請求記録!$B$6:$B$3005,$A369,請求記録!$X$6:$X$3005,T$5))))</f>
        <v/>
      </c>
      <c r="U369" s="19">
        <f>IF($A369="","",IF(COUNTIFS(請求記録!$B$6:$B$3005,$A369,請求記録!$X$6:$X$3005,U$5,請求記録!$AD$6:$AD$3005,"保留中")&gt;0,"保留",IF(COUNTIFS(請求記録!$B$6:$B$3005,$A369,請求記録!$X$6:$X$3005,U$5)=0,"",SUMIFS(請求記録!$AC$6:$AC$3005,請求記録!$B$6:$B$3005,$A369,請求記録!$X$6:$X$3005,U$5))))</f>
        <v/>
      </c>
      <c r="V369" s="19">
        <f>IF($A369="","",IF(COUNTIFS(請求記録!$B$6:$B$3005,$A369,請求記録!$X$6:$X$3005,V$5,請求記録!$AD$6:$AD$3005,"保留中")&gt;0,"保留",IF(COUNTIFS(請求記録!$B$6:$B$3005,$A369,請求記録!$X$6:$X$3005,V$5)=0,"",SUMIFS(請求記録!$AC$6:$AC$3005,請求記録!$B$6:$B$3005,$A369,請求記録!$X$6:$X$3005,V$5))))</f>
        <v/>
      </c>
      <c r="W369" s="19">
        <f>IF($A369="","",IF(COUNTIFS(請求記録!$B$6:$B$3005,$A369,請求記録!$X$6:$X$3005,W$5,請求記録!$AD$6:$AD$3005,"保留中")&gt;0,"保留",IF(COUNTIFS(請求記録!$B$6:$B$3005,$A369,請求記録!$X$6:$X$3005,W$5)=0,"",SUMIFS(請求記録!$AC$6:$AC$3005,請求記録!$B$6:$B$3005,$A369,請求記録!$X$6:$X$3005,W$5))))</f>
        <v/>
      </c>
      <c r="X369" s="19">
        <f>IF($A369="","",IF(COUNTIFS(請求記録!$B$6:$B$3005,$A369,請求記録!$X$6:$X$3005,X$5,請求記録!$AD$6:$AD$3005,"保留中")&gt;0,"保留",IF(COUNTIFS(請求記録!$B$6:$B$3005,$A369,請求記録!$X$6:$X$3005,X$5)=0,"",SUMIFS(請求記録!$AC$6:$AC$3005,請求記録!$B$6:$B$3005,$A369,請求記録!$X$6:$X$3005,X$5))))</f>
        <v/>
      </c>
      <c r="Y369" s="19">
        <f>IF($A369="","",IF(COUNTIFS(請求記録!$B$6:$B$3005,$A369,請求記録!$X$6:$X$3005,Y$5,請求記録!$AD$6:$AD$3005,"保留中")&gt;0,"保留",IF(COUNTIFS(請求記録!$B$6:$B$3005,$A369,請求記録!$X$6:$X$3005,Y$5)=0,"",SUMIFS(請求記録!$AC$6:$AC$3005,請求記録!$B$6:$B$3005,$A369,請求記録!$X$6:$X$3005,Y$5))))</f>
        <v/>
      </c>
      <c r="Z369" s="19">
        <f>IF($A369="","",IF(COUNTIFS(請求記録!$B$6:$B$3005,$A369,請求記録!$X$6:$X$3005,Z$5,請求記録!$AD$6:$AD$3005,"保留中")&gt;0,"保留",IF(COUNTIFS(請求記録!$B$6:$B$3005,$A369,請求記録!$X$6:$X$3005,Z$5)=0,"",SUMIFS(請求記録!$AC$6:$AC$3005,請求記録!$B$6:$B$3005,$A369,請求記録!$X$6:$X$3005,Z$5))))</f>
        <v/>
      </c>
      <c r="AA369" s="19">
        <f>IF($A369="","",IF(COUNTIFS(請求記録!$B$6:$B$3005,$A369,請求記録!$X$6:$X$3005,AA$5,請求記録!$AD$6:$AD$3005,"保留中")&gt;0,"保留",IF(COUNTIFS(請求記録!$B$6:$B$3005,$A369,請求記録!$X$6:$X$3005,AA$5)=0,"",SUMIFS(請求記録!$AC$6:$AC$3005,請求記録!$B$6:$B$3005,$A369,請求記録!$X$6:$X$3005,AA$5))))</f>
        <v/>
      </c>
      <c r="AB369">
        <f>IF(職員マスタ!P369="保留中",職員マスタ!M369,"")</f>
        <v/>
      </c>
    </row>
    <row r="370">
      <c r="A370">
        <f>IF(職員マスタ!A370="","",職員マスタ!A370)</f>
        <v/>
      </c>
      <c r="B370">
        <f>IF($A370="","",職員マスタ!B370)</f>
        <v/>
      </c>
      <c r="C370">
        <f>IF($A370="","",職員マスタ!C370)</f>
        <v/>
      </c>
      <c r="D370" s="19">
        <f>IF($A370="","",IF(COUNTIFS(請求記録!$B$6:$B$3005,$A370,請求記録!$X$6:$X$3005,D$5,請求記録!$AD$6:$AD$3005,"保留中")&gt;0,"保留",IF(COUNTIFS(請求記録!$B$6:$B$3005,$A370,請求記録!$X$6:$X$3005,D$5)=0,"",SUMIFS(請求記録!$AC$6:$AC$3005,請求記録!$B$6:$B$3005,$A370,請求記録!$X$6:$X$3005,D$5))))</f>
        <v/>
      </c>
      <c r="E370" s="19">
        <f>IF($A370="","",IF(COUNTIFS(請求記録!$B$6:$B$3005,$A370,請求記録!$X$6:$X$3005,E$5,請求記録!$AD$6:$AD$3005,"保留中")&gt;0,"保留",IF(COUNTIFS(請求記録!$B$6:$B$3005,$A370,請求記録!$X$6:$X$3005,E$5)=0,"",SUMIFS(請求記録!$AC$6:$AC$3005,請求記録!$B$6:$B$3005,$A370,請求記録!$X$6:$X$3005,E$5))))</f>
        <v/>
      </c>
      <c r="F370" s="19">
        <f>IF($A370="","",IF(COUNTIFS(請求記録!$B$6:$B$3005,$A370,請求記録!$X$6:$X$3005,F$5,請求記録!$AD$6:$AD$3005,"保留中")&gt;0,"保留",IF(COUNTIFS(請求記録!$B$6:$B$3005,$A370,請求記録!$X$6:$X$3005,F$5)=0,"",SUMIFS(請求記録!$AC$6:$AC$3005,請求記録!$B$6:$B$3005,$A370,請求記録!$X$6:$X$3005,F$5))))</f>
        <v/>
      </c>
      <c r="G370" s="19">
        <f>IF($A370="","",IF(COUNTIFS(請求記録!$B$6:$B$3005,$A370,請求記録!$X$6:$X$3005,G$5,請求記録!$AD$6:$AD$3005,"保留中")&gt;0,"保留",IF(COUNTIFS(請求記録!$B$6:$B$3005,$A370,請求記録!$X$6:$X$3005,G$5)=0,"",SUMIFS(請求記録!$AC$6:$AC$3005,請求記録!$B$6:$B$3005,$A370,請求記録!$X$6:$X$3005,G$5))))</f>
        <v/>
      </c>
      <c r="H370" s="19">
        <f>IF($A370="","",IF(COUNTIFS(請求記録!$B$6:$B$3005,$A370,請求記録!$X$6:$X$3005,H$5,請求記録!$AD$6:$AD$3005,"保留中")&gt;0,"保留",IF(COUNTIFS(請求記録!$B$6:$B$3005,$A370,請求記録!$X$6:$X$3005,H$5)=0,"",SUMIFS(請求記録!$AC$6:$AC$3005,請求記録!$B$6:$B$3005,$A370,請求記録!$X$6:$X$3005,H$5))))</f>
        <v/>
      </c>
      <c r="I370" s="19">
        <f>IF($A370="","",IF(COUNTIFS(請求記録!$B$6:$B$3005,$A370,請求記録!$X$6:$X$3005,I$5,請求記録!$AD$6:$AD$3005,"保留中")&gt;0,"保留",IF(COUNTIFS(請求記録!$B$6:$B$3005,$A370,請求記録!$X$6:$X$3005,I$5)=0,"",SUMIFS(請求記録!$AC$6:$AC$3005,請求記録!$B$6:$B$3005,$A370,請求記録!$X$6:$X$3005,I$5))))</f>
        <v/>
      </c>
      <c r="J370" s="19">
        <f>IF($A370="","",IF(COUNTIFS(請求記録!$B$6:$B$3005,$A370,請求記録!$X$6:$X$3005,J$5,請求記録!$AD$6:$AD$3005,"保留中")&gt;0,"保留",IF(COUNTIFS(請求記録!$B$6:$B$3005,$A370,請求記録!$X$6:$X$3005,J$5)=0,"",SUMIFS(請求記録!$AC$6:$AC$3005,請求記録!$B$6:$B$3005,$A370,請求記録!$X$6:$X$3005,J$5))))</f>
        <v/>
      </c>
      <c r="K370" s="19">
        <f>IF($A370="","",IF(COUNTIFS(請求記録!$B$6:$B$3005,$A370,請求記録!$X$6:$X$3005,K$5,請求記録!$AD$6:$AD$3005,"保留中")&gt;0,"保留",IF(COUNTIFS(請求記録!$B$6:$B$3005,$A370,請求記録!$X$6:$X$3005,K$5)=0,"",SUMIFS(請求記録!$AC$6:$AC$3005,請求記録!$B$6:$B$3005,$A370,請求記録!$X$6:$X$3005,K$5))))</f>
        <v/>
      </c>
      <c r="L370" s="19">
        <f>IF($A370="","",IF(COUNTIFS(請求記録!$B$6:$B$3005,$A370,請求記録!$X$6:$X$3005,L$5,請求記録!$AD$6:$AD$3005,"保留中")&gt;0,"保留",IF(COUNTIFS(請求記録!$B$6:$B$3005,$A370,請求記録!$X$6:$X$3005,L$5)=0,"",SUMIFS(請求記録!$AC$6:$AC$3005,請求記録!$B$6:$B$3005,$A370,請求記録!$X$6:$X$3005,L$5))))</f>
        <v/>
      </c>
      <c r="M370" s="19">
        <f>IF($A370="","",IF(COUNTIFS(請求記録!$B$6:$B$3005,$A370,請求記録!$X$6:$X$3005,M$5,請求記録!$AD$6:$AD$3005,"保留中")&gt;0,"保留",IF(COUNTIFS(請求記録!$B$6:$B$3005,$A370,請求記録!$X$6:$X$3005,M$5)=0,"",SUMIFS(請求記録!$AC$6:$AC$3005,請求記録!$B$6:$B$3005,$A370,請求記録!$X$6:$X$3005,M$5))))</f>
        <v/>
      </c>
      <c r="N370" s="19">
        <f>IF($A370="","",IF(COUNTIFS(請求記録!$B$6:$B$3005,$A370,請求記録!$X$6:$X$3005,N$5,請求記録!$AD$6:$AD$3005,"保留中")&gt;0,"保留",IF(COUNTIFS(請求記録!$B$6:$B$3005,$A370,請求記録!$X$6:$X$3005,N$5)=0,"",SUMIFS(請求記録!$AC$6:$AC$3005,請求記録!$B$6:$B$3005,$A370,請求記録!$X$6:$X$3005,N$5))))</f>
        <v/>
      </c>
      <c r="O370" s="19">
        <f>IF($A370="","",IF(COUNTIFS(請求記録!$B$6:$B$3005,$A370,請求記録!$X$6:$X$3005,O$5,請求記録!$AD$6:$AD$3005,"保留中")&gt;0,"保留",IF(COUNTIFS(請求記録!$B$6:$B$3005,$A370,請求記録!$X$6:$X$3005,O$5)=0,"",SUMIFS(請求記録!$AC$6:$AC$3005,請求記録!$B$6:$B$3005,$A370,請求記録!$X$6:$X$3005,O$5))))</f>
        <v/>
      </c>
      <c r="P370" s="19">
        <f>IF($A370="","",IF(COUNTIFS(請求記録!$B$6:$B$3005,$A370,請求記録!$X$6:$X$3005,P$5,請求記録!$AD$6:$AD$3005,"保留中")&gt;0,"保留",IF(COUNTIFS(請求記録!$B$6:$B$3005,$A370,請求記録!$X$6:$X$3005,P$5)=0,"",SUMIFS(請求記録!$AC$6:$AC$3005,請求記録!$B$6:$B$3005,$A370,請求記録!$X$6:$X$3005,P$5))))</f>
        <v/>
      </c>
      <c r="Q370" s="19">
        <f>IF($A370="","",IF(COUNTIFS(請求記録!$B$6:$B$3005,$A370,請求記録!$X$6:$X$3005,Q$5,請求記録!$AD$6:$AD$3005,"保留中")&gt;0,"保留",IF(COUNTIFS(請求記録!$B$6:$B$3005,$A370,請求記録!$X$6:$X$3005,Q$5)=0,"",SUMIFS(請求記録!$AC$6:$AC$3005,請求記録!$B$6:$B$3005,$A370,請求記録!$X$6:$X$3005,Q$5))))</f>
        <v/>
      </c>
      <c r="R370" s="19">
        <f>IF($A370="","",IF(COUNTIFS(請求記録!$B$6:$B$3005,$A370,請求記録!$X$6:$X$3005,R$5,請求記録!$AD$6:$AD$3005,"保留中")&gt;0,"保留",IF(COUNTIFS(請求記録!$B$6:$B$3005,$A370,請求記録!$X$6:$X$3005,R$5)=0,"",SUMIFS(請求記録!$AC$6:$AC$3005,請求記録!$B$6:$B$3005,$A370,請求記録!$X$6:$X$3005,R$5))))</f>
        <v/>
      </c>
      <c r="S370" s="19">
        <f>IF($A370="","",IF(COUNTIFS(請求記録!$B$6:$B$3005,$A370,請求記録!$X$6:$X$3005,S$5,請求記録!$AD$6:$AD$3005,"保留中")&gt;0,"保留",IF(COUNTIFS(請求記録!$B$6:$B$3005,$A370,請求記録!$X$6:$X$3005,S$5)=0,"",SUMIFS(請求記録!$AC$6:$AC$3005,請求記録!$B$6:$B$3005,$A370,請求記録!$X$6:$X$3005,S$5))))</f>
        <v/>
      </c>
      <c r="T370" s="19">
        <f>IF($A370="","",IF(COUNTIFS(請求記録!$B$6:$B$3005,$A370,請求記録!$X$6:$X$3005,T$5,請求記録!$AD$6:$AD$3005,"保留中")&gt;0,"保留",IF(COUNTIFS(請求記録!$B$6:$B$3005,$A370,請求記録!$X$6:$X$3005,T$5)=0,"",SUMIFS(請求記録!$AC$6:$AC$3005,請求記録!$B$6:$B$3005,$A370,請求記録!$X$6:$X$3005,T$5))))</f>
        <v/>
      </c>
      <c r="U370" s="19">
        <f>IF($A370="","",IF(COUNTIFS(請求記録!$B$6:$B$3005,$A370,請求記録!$X$6:$X$3005,U$5,請求記録!$AD$6:$AD$3005,"保留中")&gt;0,"保留",IF(COUNTIFS(請求記録!$B$6:$B$3005,$A370,請求記録!$X$6:$X$3005,U$5)=0,"",SUMIFS(請求記録!$AC$6:$AC$3005,請求記録!$B$6:$B$3005,$A370,請求記録!$X$6:$X$3005,U$5))))</f>
        <v/>
      </c>
      <c r="V370" s="19">
        <f>IF($A370="","",IF(COUNTIFS(請求記録!$B$6:$B$3005,$A370,請求記録!$X$6:$X$3005,V$5,請求記録!$AD$6:$AD$3005,"保留中")&gt;0,"保留",IF(COUNTIFS(請求記録!$B$6:$B$3005,$A370,請求記録!$X$6:$X$3005,V$5)=0,"",SUMIFS(請求記録!$AC$6:$AC$3005,請求記録!$B$6:$B$3005,$A370,請求記録!$X$6:$X$3005,V$5))))</f>
        <v/>
      </c>
      <c r="W370" s="19">
        <f>IF($A370="","",IF(COUNTIFS(請求記録!$B$6:$B$3005,$A370,請求記録!$X$6:$X$3005,W$5,請求記録!$AD$6:$AD$3005,"保留中")&gt;0,"保留",IF(COUNTIFS(請求記録!$B$6:$B$3005,$A370,請求記録!$X$6:$X$3005,W$5)=0,"",SUMIFS(請求記録!$AC$6:$AC$3005,請求記録!$B$6:$B$3005,$A370,請求記録!$X$6:$X$3005,W$5))))</f>
        <v/>
      </c>
      <c r="X370" s="19">
        <f>IF($A370="","",IF(COUNTIFS(請求記録!$B$6:$B$3005,$A370,請求記録!$X$6:$X$3005,X$5,請求記録!$AD$6:$AD$3005,"保留中")&gt;0,"保留",IF(COUNTIFS(請求記録!$B$6:$B$3005,$A370,請求記録!$X$6:$X$3005,X$5)=0,"",SUMIFS(請求記録!$AC$6:$AC$3005,請求記録!$B$6:$B$3005,$A370,請求記録!$X$6:$X$3005,X$5))))</f>
        <v/>
      </c>
      <c r="Y370" s="19">
        <f>IF($A370="","",IF(COUNTIFS(請求記録!$B$6:$B$3005,$A370,請求記録!$X$6:$X$3005,Y$5,請求記録!$AD$6:$AD$3005,"保留中")&gt;0,"保留",IF(COUNTIFS(請求記録!$B$6:$B$3005,$A370,請求記録!$X$6:$X$3005,Y$5)=0,"",SUMIFS(請求記録!$AC$6:$AC$3005,請求記録!$B$6:$B$3005,$A370,請求記録!$X$6:$X$3005,Y$5))))</f>
        <v/>
      </c>
      <c r="Z370" s="19">
        <f>IF($A370="","",IF(COUNTIFS(請求記録!$B$6:$B$3005,$A370,請求記録!$X$6:$X$3005,Z$5,請求記録!$AD$6:$AD$3005,"保留中")&gt;0,"保留",IF(COUNTIFS(請求記録!$B$6:$B$3005,$A370,請求記録!$X$6:$X$3005,Z$5)=0,"",SUMIFS(請求記録!$AC$6:$AC$3005,請求記録!$B$6:$B$3005,$A370,請求記録!$X$6:$X$3005,Z$5))))</f>
        <v/>
      </c>
      <c r="AA370" s="19">
        <f>IF($A370="","",IF(COUNTIFS(請求記録!$B$6:$B$3005,$A370,請求記録!$X$6:$X$3005,AA$5,請求記録!$AD$6:$AD$3005,"保留中")&gt;0,"保留",IF(COUNTIFS(請求記録!$B$6:$B$3005,$A370,請求記録!$X$6:$X$3005,AA$5)=0,"",SUMIFS(請求記録!$AC$6:$AC$3005,請求記録!$B$6:$B$3005,$A370,請求記録!$X$6:$X$3005,AA$5))))</f>
        <v/>
      </c>
      <c r="AB370">
        <f>IF(職員マスタ!P370="保留中",職員マスタ!M370,"")</f>
        <v/>
      </c>
    </row>
    <row r="371">
      <c r="A371">
        <f>IF(職員マスタ!A371="","",職員マスタ!A371)</f>
        <v/>
      </c>
      <c r="B371">
        <f>IF($A371="","",職員マスタ!B371)</f>
        <v/>
      </c>
      <c r="C371">
        <f>IF($A371="","",職員マスタ!C371)</f>
        <v/>
      </c>
      <c r="D371" s="19">
        <f>IF($A371="","",IF(COUNTIFS(請求記録!$B$6:$B$3005,$A371,請求記録!$X$6:$X$3005,D$5,請求記録!$AD$6:$AD$3005,"保留中")&gt;0,"保留",IF(COUNTIFS(請求記録!$B$6:$B$3005,$A371,請求記録!$X$6:$X$3005,D$5)=0,"",SUMIFS(請求記録!$AC$6:$AC$3005,請求記録!$B$6:$B$3005,$A371,請求記録!$X$6:$X$3005,D$5))))</f>
        <v/>
      </c>
      <c r="E371" s="19">
        <f>IF($A371="","",IF(COUNTIFS(請求記録!$B$6:$B$3005,$A371,請求記録!$X$6:$X$3005,E$5,請求記録!$AD$6:$AD$3005,"保留中")&gt;0,"保留",IF(COUNTIFS(請求記録!$B$6:$B$3005,$A371,請求記録!$X$6:$X$3005,E$5)=0,"",SUMIFS(請求記録!$AC$6:$AC$3005,請求記録!$B$6:$B$3005,$A371,請求記録!$X$6:$X$3005,E$5))))</f>
        <v/>
      </c>
      <c r="F371" s="19">
        <f>IF($A371="","",IF(COUNTIFS(請求記録!$B$6:$B$3005,$A371,請求記録!$X$6:$X$3005,F$5,請求記録!$AD$6:$AD$3005,"保留中")&gt;0,"保留",IF(COUNTIFS(請求記録!$B$6:$B$3005,$A371,請求記録!$X$6:$X$3005,F$5)=0,"",SUMIFS(請求記録!$AC$6:$AC$3005,請求記録!$B$6:$B$3005,$A371,請求記録!$X$6:$X$3005,F$5))))</f>
        <v/>
      </c>
      <c r="G371" s="19">
        <f>IF($A371="","",IF(COUNTIFS(請求記録!$B$6:$B$3005,$A371,請求記録!$X$6:$X$3005,G$5,請求記録!$AD$6:$AD$3005,"保留中")&gt;0,"保留",IF(COUNTIFS(請求記録!$B$6:$B$3005,$A371,請求記録!$X$6:$X$3005,G$5)=0,"",SUMIFS(請求記録!$AC$6:$AC$3005,請求記録!$B$6:$B$3005,$A371,請求記録!$X$6:$X$3005,G$5))))</f>
        <v/>
      </c>
      <c r="H371" s="19">
        <f>IF($A371="","",IF(COUNTIFS(請求記録!$B$6:$B$3005,$A371,請求記録!$X$6:$X$3005,H$5,請求記録!$AD$6:$AD$3005,"保留中")&gt;0,"保留",IF(COUNTIFS(請求記録!$B$6:$B$3005,$A371,請求記録!$X$6:$X$3005,H$5)=0,"",SUMIFS(請求記録!$AC$6:$AC$3005,請求記録!$B$6:$B$3005,$A371,請求記録!$X$6:$X$3005,H$5))))</f>
        <v/>
      </c>
      <c r="I371" s="19">
        <f>IF($A371="","",IF(COUNTIFS(請求記録!$B$6:$B$3005,$A371,請求記録!$X$6:$X$3005,I$5,請求記録!$AD$6:$AD$3005,"保留中")&gt;0,"保留",IF(COUNTIFS(請求記録!$B$6:$B$3005,$A371,請求記録!$X$6:$X$3005,I$5)=0,"",SUMIFS(請求記録!$AC$6:$AC$3005,請求記録!$B$6:$B$3005,$A371,請求記録!$X$6:$X$3005,I$5))))</f>
        <v/>
      </c>
      <c r="J371" s="19">
        <f>IF($A371="","",IF(COUNTIFS(請求記録!$B$6:$B$3005,$A371,請求記録!$X$6:$X$3005,J$5,請求記録!$AD$6:$AD$3005,"保留中")&gt;0,"保留",IF(COUNTIFS(請求記録!$B$6:$B$3005,$A371,請求記録!$X$6:$X$3005,J$5)=0,"",SUMIFS(請求記録!$AC$6:$AC$3005,請求記録!$B$6:$B$3005,$A371,請求記録!$X$6:$X$3005,J$5))))</f>
        <v/>
      </c>
      <c r="K371" s="19">
        <f>IF($A371="","",IF(COUNTIFS(請求記録!$B$6:$B$3005,$A371,請求記録!$X$6:$X$3005,K$5,請求記録!$AD$6:$AD$3005,"保留中")&gt;0,"保留",IF(COUNTIFS(請求記録!$B$6:$B$3005,$A371,請求記録!$X$6:$X$3005,K$5)=0,"",SUMIFS(請求記録!$AC$6:$AC$3005,請求記録!$B$6:$B$3005,$A371,請求記録!$X$6:$X$3005,K$5))))</f>
        <v/>
      </c>
      <c r="L371" s="19">
        <f>IF($A371="","",IF(COUNTIFS(請求記録!$B$6:$B$3005,$A371,請求記録!$X$6:$X$3005,L$5,請求記録!$AD$6:$AD$3005,"保留中")&gt;0,"保留",IF(COUNTIFS(請求記録!$B$6:$B$3005,$A371,請求記録!$X$6:$X$3005,L$5)=0,"",SUMIFS(請求記録!$AC$6:$AC$3005,請求記録!$B$6:$B$3005,$A371,請求記録!$X$6:$X$3005,L$5))))</f>
        <v/>
      </c>
      <c r="M371" s="19">
        <f>IF($A371="","",IF(COUNTIFS(請求記録!$B$6:$B$3005,$A371,請求記録!$X$6:$X$3005,M$5,請求記録!$AD$6:$AD$3005,"保留中")&gt;0,"保留",IF(COUNTIFS(請求記録!$B$6:$B$3005,$A371,請求記録!$X$6:$X$3005,M$5)=0,"",SUMIFS(請求記録!$AC$6:$AC$3005,請求記録!$B$6:$B$3005,$A371,請求記録!$X$6:$X$3005,M$5))))</f>
        <v/>
      </c>
      <c r="N371" s="19">
        <f>IF($A371="","",IF(COUNTIFS(請求記録!$B$6:$B$3005,$A371,請求記録!$X$6:$X$3005,N$5,請求記録!$AD$6:$AD$3005,"保留中")&gt;0,"保留",IF(COUNTIFS(請求記録!$B$6:$B$3005,$A371,請求記録!$X$6:$X$3005,N$5)=0,"",SUMIFS(請求記録!$AC$6:$AC$3005,請求記録!$B$6:$B$3005,$A371,請求記録!$X$6:$X$3005,N$5))))</f>
        <v/>
      </c>
      <c r="O371" s="19">
        <f>IF($A371="","",IF(COUNTIFS(請求記録!$B$6:$B$3005,$A371,請求記録!$X$6:$X$3005,O$5,請求記録!$AD$6:$AD$3005,"保留中")&gt;0,"保留",IF(COUNTIFS(請求記録!$B$6:$B$3005,$A371,請求記録!$X$6:$X$3005,O$5)=0,"",SUMIFS(請求記録!$AC$6:$AC$3005,請求記録!$B$6:$B$3005,$A371,請求記録!$X$6:$X$3005,O$5))))</f>
        <v/>
      </c>
      <c r="P371" s="19">
        <f>IF($A371="","",IF(COUNTIFS(請求記録!$B$6:$B$3005,$A371,請求記録!$X$6:$X$3005,P$5,請求記録!$AD$6:$AD$3005,"保留中")&gt;0,"保留",IF(COUNTIFS(請求記録!$B$6:$B$3005,$A371,請求記録!$X$6:$X$3005,P$5)=0,"",SUMIFS(請求記録!$AC$6:$AC$3005,請求記録!$B$6:$B$3005,$A371,請求記録!$X$6:$X$3005,P$5))))</f>
        <v/>
      </c>
      <c r="Q371" s="19">
        <f>IF($A371="","",IF(COUNTIFS(請求記録!$B$6:$B$3005,$A371,請求記録!$X$6:$X$3005,Q$5,請求記録!$AD$6:$AD$3005,"保留中")&gt;0,"保留",IF(COUNTIFS(請求記録!$B$6:$B$3005,$A371,請求記録!$X$6:$X$3005,Q$5)=0,"",SUMIFS(請求記録!$AC$6:$AC$3005,請求記録!$B$6:$B$3005,$A371,請求記録!$X$6:$X$3005,Q$5))))</f>
        <v/>
      </c>
      <c r="R371" s="19">
        <f>IF($A371="","",IF(COUNTIFS(請求記録!$B$6:$B$3005,$A371,請求記録!$X$6:$X$3005,R$5,請求記録!$AD$6:$AD$3005,"保留中")&gt;0,"保留",IF(COUNTIFS(請求記録!$B$6:$B$3005,$A371,請求記録!$X$6:$X$3005,R$5)=0,"",SUMIFS(請求記録!$AC$6:$AC$3005,請求記録!$B$6:$B$3005,$A371,請求記録!$X$6:$X$3005,R$5))))</f>
        <v/>
      </c>
      <c r="S371" s="19">
        <f>IF($A371="","",IF(COUNTIFS(請求記録!$B$6:$B$3005,$A371,請求記録!$X$6:$X$3005,S$5,請求記録!$AD$6:$AD$3005,"保留中")&gt;0,"保留",IF(COUNTIFS(請求記録!$B$6:$B$3005,$A371,請求記録!$X$6:$X$3005,S$5)=0,"",SUMIFS(請求記録!$AC$6:$AC$3005,請求記録!$B$6:$B$3005,$A371,請求記録!$X$6:$X$3005,S$5))))</f>
        <v/>
      </c>
      <c r="T371" s="19">
        <f>IF($A371="","",IF(COUNTIFS(請求記録!$B$6:$B$3005,$A371,請求記録!$X$6:$X$3005,T$5,請求記録!$AD$6:$AD$3005,"保留中")&gt;0,"保留",IF(COUNTIFS(請求記録!$B$6:$B$3005,$A371,請求記録!$X$6:$X$3005,T$5)=0,"",SUMIFS(請求記録!$AC$6:$AC$3005,請求記録!$B$6:$B$3005,$A371,請求記録!$X$6:$X$3005,T$5))))</f>
        <v/>
      </c>
      <c r="U371" s="19">
        <f>IF($A371="","",IF(COUNTIFS(請求記録!$B$6:$B$3005,$A371,請求記録!$X$6:$X$3005,U$5,請求記録!$AD$6:$AD$3005,"保留中")&gt;0,"保留",IF(COUNTIFS(請求記録!$B$6:$B$3005,$A371,請求記録!$X$6:$X$3005,U$5)=0,"",SUMIFS(請求記録!$AC$6:$AC$3005,請求記録!$B$6:$B$3005,$A371,請求記録!$X$6:$X$3005,U$5))))</f>
        <v/>
      </c>
      <c r="V371" s="19">
        <f>IF($A371="","",IF(COUNTIFS(請求記録!$B$6:$B$3005,$A371,請求記録!$X$6:$X$3005,V$5,請求記録!$AD$6:$AD$3005,"保留中")&gt;0,"保留",IF(COUNTIFS(請求記録!$B$6:$B$3005,$A371,請求記録!$X$6:$X$3005,V$5)=0,"",SUMIFS(請求記録!$AC$6:$AC$3005,請求記録!$B$6:$B$3005,$A371,請求記録!$X$6:$X$3005,V$5))))</f>
        <v/>
      </c>
      <c r="W371" s="19">
        <f>IF($A371="","",IF(COUNTIFS(請求記録!$B$6:$B$3005,$A371,請求記録!$X$6:$X$3005,W$5,請求記録!$AD$6:$AD$3005,"保留中")&gt;0,"保留",IF(COUNTIFS(請求記録!$B$6:$B$3005,$A371,請求記録!$X$6:$X$3005,W$5)=0,"",SUMIFS(請求記録!$AC$6:$AC$3005,請求記録!$B$6:$B$3005,$A371,請求記録!$X$6:$X$3005,W$5))))</f>
        <v/>
      </c>
      <c r="X371" s="19">
        <f>IF($A371="","",IF(COUNTIFS(請求記録!$B$6:$B$3005,$A371,請求記録!$X$6:$X$3005,X$5,請求記録!$AD$6:$AD$3005,"保留中")&gt;0,"保留",IF(COUNTIFS(請求記録!$B$6:$B$3005,$A371,請求記録!$X$6:$X$3005,X$5)=0,"",SUMIFS(請求記録!$AC$6:$AC$3005,請求記録!$B$6:$B$3005,$A371,請求記録!$X$6:$X$3005,X$5))))</f>
        <v/>
      </c>
      <c r="Y371" s="19">
        <f>IF($A371="","",IF(COUNTIFS(請求記録!$B$6:$B$3005,$A371,請求記録!$X$6:$X$3005,Y$5,請求記録!$AD$6:$AD$3005,"保留中")&gt;0,"保留",IF(COUNTIFS(請求記録!$B$6:$B$3005,$A371,請求記録!$X$6:$X$3005,Y$5)=0,"",SUMIFS(請求記録!$AC$6:$AC$3005,請求記録!$B$6:$B$3005,$A371,請求記録!$X$6:$X$3005,Y$5))))</f>
        <v/>
      </c>
      <c r="Z371" s="19">
        <f>IF($A371="","",IF(COUNTIFS(請求記録!$B$6:$B$3005,$A371,請求記録!$X$6:$X$3005,Z$5,請求記録!$AD$6:$AD$3005,"保留中")&gt;0,"保留",IF(COUNTIFS(請求記録!$B$6:$B$3005,$A371,請求記録!$X$6:$X$3005,Z$5)=0,"",SUMIFS(請求記録!$AC$6:$AC$3005,請求記録!$B$6:$B$3005,$A371,請求記録!$X$6:$X$3005,Z$5))))</f>
        <v/>
      </c>
      <c r="AA371" s="19">
        <f>IF($A371="","",IF(COUNTIFS(請求記録!$B$6:$B$3005,$A371,請求記録!$X$6:$X$3005,AA$5,請求記録!$AD$6:$AD$3005,"保留中")&gt;0,"保留",IF(COUNTIFS(請求記録!$B$6:$B$3005,$A371,請求記録!$X$6:$X$3005,AA$5)=0,"",SUMIFS(請求記録!$AC$6:$AC$3005,請求記録!$B$6:$B$3005,$A371,請求記録!$X$6:$X$3005,AA$5))))</f>
        <v/>
      </c>
      <c r="AB371">
        <f>IF(職員マスタ!P371="保留中",職員マスタ!M371,"")</f>
        <v/>
      </c>
    </row>
    <row r="372">
      <c r="A372">
        <f>IF(職員マスタ!A372="","",職員マスタ!A372)</f>
        <v/>
      </c>
      <c r="B372">
        <f>IF($A372="","",職員マスタ!B372)</f>
        <v/>
      </c>
      <c r="C372">
        <f>IF($A372="","",職員マスタ!C372)</f>
        <v/>
      </c>
      <c r="D372" s="19">
        <f>IF($A372="","",IF(COUNTIFS(請求記録!$B$6:$B$3005,$A372,請求記録!$X$6:$X$3005,D$5,請求記録!$AD$6:$AD$3005,"保留中")&gt;0,"保留",IF(COUNTIFS(請求記録!$B$6:$B$3005,$A372,請求記録!$X$6:$X$3005,D$5)=0,"",SUMIFS(請求記録!$AC$6:$AC$3005,請求記録!$B$6:$B$3005,$A372,請求記録!$X$6:$X$3005,D$5))))</f>
        <v/>
      </c>
      <c r="E372" s="19">
        <f>IF($A372="","",IF(COUNTIFS(請求記録!$B$6:$B$3005,$A372,請求記録!$X$6:$X$3005,E$5,請求記録!$AD$6:$AD$3005,"保留中")&gt;0,"保留",IF(COUNTIFS(請求記録!$B$6:$B$3005,$A372,請求記録!$X$6:$X$3005,E$5)=0,"",SUMIFS(請求記録!$AC$6:$AC$3005,請求記録!$B$6:$B$3005,$A372,請求記録!$X$6:$X$3005,E$5))))</f>
        <v/>
      </c>
      <c r="F372" s="19">
        <f>IF($A372="","",IF(COUNTIFS(請求記録!$B$6:$B$3005,$A372,請求記録!$X$6:$X$3005,F$5,請求記録!$AD$6:$AD$3005,"保留中")&gt;0,"保留",IF(COUNTIFS(請求記録!$B$6:$B$3005,$A372,請求記録!$X$6:$X$3005,F$5)=0,"",SUMIFS(請求記録!$AC$6:$AC$3005,請求記録!$B$6:$B$3005,$A372,請求記録!$X$6:$X$3005,F$5))))</f>
        <v/>
      </c>
      <c r="G372" s="19">
        <f>IF($A372="","",IF(COUNTIFS(請求記録!$B$6:$B$3005,$A372,請求記録!$X$6:$X$3005,G$5,請求記録!$AD$6:$AD$3005,"保留中")&gt;0,"保留",IF(COUNTIFS(請求記録!$B$6:$B$3005,$A372,請求記録!$X$6:$X$3005,G$5)=0,"",SUMIFS(請求記録!$AC$6:$AC$3005,請求記録!$B$6:$B$3005,$A372,請求記録!$X$6:$X$3005,G$5))))</f>
        <v/>
      </c>
      <c r="H372" s="19">
        <f>IF($A372="","",IF(COUNTIFS(請求記録!$B$6:$B$3005,$A372,請求記録!$X$6:$X$3005,H$5,請求記録!$AD$6:$AD$3005,"保留中")&gt;0,"保留",IF(COUNTIFS(請求記録!$B$6:$B$3005,$A372,請求記録!$X$6:$X$3005,H$5)=0,"",SUMIFS(請求記録!$AC$6:$AC$3005,請求記録!$B$6:$B$3005,$A372,請求記録!$X$6:$X$3005,H$5))))</f>
        <v/>
      </c>
      <c r="I372" s="19">
        <f>IF($A372="","",IF(COUNTIFS(請求記録!$B$6:$B$3005,$A372,請求記録!$X$6:$X$3005,I$5,請求記録!$AD$6:$AD$3005,"保留中")&gt;0,"保留",IF(COUNTIFS(請求記録!$B$6:$B$3005,$A372,請求記録!$X$6:$X$3005,I$5)=0,"",SUMIFS(請求記録!$AC$6:$AC$3005,請求記録!$B$6:$B$3005,$A372,請求記録!$X$6:$X$3005,I$5))))</f>
        <v/>
      </c>
      <c r="J372" s="19">
        <f>IF($A372="","",IF(COUNTIFS(請求記録!$B$6:$B$3005,$A372,請求記録!$X$6:$X$3005,J$5,請求記録!$AD$6:$AD$3005,"保留中")&gt;0,"保留",IF(COUNTIFS(請求記録!$B$6:$B$3005,$A372,請求記録!$X$6:$X$3005,J$5)=0,"",SUMIFS(請求記録!$AC$6:$AC$3005,請求記録!$B$6:$B$3005,$A372,請求記録!$X$6:$X$3005,J$5))))</f>
        <v/>
      </c>
      <c r="K372" s="19">
        <f>IF($A372="","",IF(COUNTIFS(請求記録!$B$6:$B$3005,$A372,請求記録!$X$6:$X$3005,K$5,請求記録!$AD$6:$AD$3005,"保留中")&gt;0,"保留",IF(COUNTIFS(請求記録!$B$6:$B$3005,$A372,請求記録!$X$6:$X$3005,K$5)=0,"",SUMIFS(請求記録!$AC$6:$AC$3005,請求記録!$B$6:$B$3005,$A372,請求記録!$X$6:$X$3005,K$5))))</f>
        <v/>
      </c>
      <c r="L372" s="19">
        <f>IF($A372="","",IF(COUNTIFS(請求記録!$B$6:$B$3005,$A372,請求記録!$X$6:$X$3005,L$5,請求記録!$AD$6:$AD$3005,"保留中")&gt;0,"保留",IF(COUNTIFS(請求記録!$B$6:$B$3005,$A372,請求記録!$X$6:$X$3005,L$5)=0,"",SUMIFS(請求記録!$AC$6:$AC$3005,請求記録!$B$6:$B$3005,$A372,請求記録!$X$6:$X$3005,L$5))))</f>
        <v/>
      </c>
      <c r="M372" s="19">
        <f>IF($A372="","",IF(COUNTIFS(請求記録!$B$6:$B$3005,$A372,請求記録!$X$6:$X$3005,M$5,請求記録!$AD$6:$AD$3005,"保留中")&gt;0,"保留",IF(COUNTIFS(請求記録!$B$6:$B$3005,$A372,請求記録!$X$6:$X$3005,M$5)=0,"",SUMIFS(請求記録!$AC$6:$AC$3005,請求記録!$B$6:$B$3005,$A372,請求記録!$X$6:$X$3005,M$5))))</f>
        <v/>
      </c>
      <c r="N372" s="19">
        <f>IF($A372="","",IF(COUNTIFS(請求記録!$B$6:$B$3005,$A372,請求記録!$X$6:$X$3005,N$5,請求記録!$AD$6:$AD$3005,"保留中")&gt;0,"保留",IF(COUNTIFS(請求記録!$B$6:$B$3005,$A372,請求記録!$X$6:$X$3005,N$5)=0,"",SUMIFS(請求記録!$AC$6:$AC$3005,請求記録!$B$6:$B$3005,$A372,請求記録!$X$6:$X$3005,N$5))))</f>
        <v/>
      </c>
      <c r="O372" s="19">
        <f>IF($A372="","",IF(COUNTIFS(請求記録!$B$6:$B$3005,$A372,請求記録!$X$6:$X$3005,O$5,請求記録!$AD$6:$AD$3005,"保留中")&gt;0,"保留",IF(COUNTIFS(請求記録!$B$6:$B$3005,$A372,請求記録!$X$6:$X$3005,O$5)=0,"",SUMIFS(請求記録!$AC$6:$AC$3005,請求記録!$B$6:$B$3005,$A372,請求記録!$X$6:$X$3005,O$5))))</f>
        <v/>
      </c>
      <c r="P372" s="19">
        <f>IF($A372="","",IF(COUNTIFS(請求記録!$B$6:$B$3005,$A372,請求記録!$X$6:$X$3005,P$5,請求記録!$AD$6:$AD$3005,"保留中")&gt;0,"保留",IF(COUNTIFS(請求記録!$B$6:$B$3005,$A372,請求記録!$X$6:$X$3005,P$5)=0,"",SUMIFS(請求記録!$AC$6:$AC$3005,請求記録!$B$6:$B$3005,$A372,請求記録!$X$6:$X$3005,P$5))))</f>
        <v/>
      </c>
      <c r="Q372" s="19">
        <f>IF($A372="","",IF(COUNTIFS(請求記録!$B$6:$B$3005,$A372,請求記録!$X$6:$X$3005,Q$5,請求記録!$AD$6:$AD$3005,"保留中")&gt;0,"保留",IF(COUNTIFS(請求記録!$B$6:$B$3005,$A372,請求記録!$X$6:$X$3005,Q$5)=0,"",SUMIFS(請求記録!$AC$6:$AC$3005,請求記録!$B$6:$B$3005,$A372,請求記録!$X$6:$X$3005,Q$5))))</f>
        <v/>
      </c>
      <c r="R372" s="19">
        <f>IF($A372="","",IF(COUNTIFS(請求記録!$B$6:$B$3005,$A372,請求記録!$X$6:$X$3005,R$5,請求記録!$AD$6:$AD$3005,"保留中")&gt;0,"保留",IF(COUNTIFS(請求記録!$B$6:$B$3005,$A372,請求記録!$X$6:$X$3005,R$5)=0,"",SUMIFS(請求記録!$AC$6:$AC$3005,請求記録!$B$6:$B$3005,$A372,請求記録!$X$6:$X$3005,R$5))))</f>
        <v/>
      </c>
      <c r="S372" s="19">
        <f>IF($A372="","",IF(COUNTIFS(請求記録!$B$6:$B$3005,$A372,請求記録!$X$6:$X$3005,S$5,請求記録!$AD$6:$AD$3005,"保留中")&gt;0,"保留",IF(COUNTIFS(請求記録!$B$6:$B$3005,$A372,請求記録!$X$6:$X$3005,S$5)=0,"",SUMIFS(請求記録!$AC$6:$AC$3005,請求記録!$B$6:$B$3005,$A372,請求記録!$X$6:$X$3005,S$5))))</f>
        <v/>
      </c>
      <c r="T372" s="19">
        <f>IF($A372="","",IF(COUNTIFS(請求記録!$B$6:$B$3005,$A372,請求記録!$X$6:$X$3005,T$5,請求記録!$AD$6:$AD$3005,"保留中")&gt;0,"保留",IF(COUNTIFS(請求記録!$B$6:$B$3005,$A372,請求記録!$X$6:$X$3005,T$5)=0,"",SUMIFS(請求記録!$AC$6:$AC$3005,請求記録!$B$6:$B$3005,$A372,請求記録!$X$6:$X$3005,T$5))))</f>
        <v/>
      </c>
      <c r="U372" s="19">
        <f>IF($A372="","",IF(COUNTIFS(請求記録!$B$6:$B$3005,$A372,請求記録!$X$6:$X$3005,U$5,請求記録!$AD$6:$AD$3005,"保留中")&gt;0,"保留",IF(COUNTIFS(請求記録!$B$6:$B$3005,$A372,請求記録!$X$6:$X$3005,U$5)=0,"",SUMIFS(請求記録!$AC$6:$AC$3005,請求記録!$B$6:$B$3005,$A372,請求記録!$X$6:$X$3005,U$5))))</f>
        <v/>
      </c>
      <c r="V372" s="19">
        <f>IF($A372="","",IF(COUNTIFS(請求記録!$B$6:$B$3005,$A372,請求記録!$X$6:$X$3005,V$5,請求記録!$AD$6:$AD$3005,"保留中")&gt;0,"保留",IF(COUNTIFS(請求記録!$B$6:$B$3005,$A372,請求記録!$X$6:$X$3005,V$5)=0,"",SUMIFS(請求記録!$AC$6:$AC$3005,請求記録!$B$6:$B$3005,$A372,請求記録!$X$6:$X$3005,V$5))))</f>
        <v/>
      </c>
      <c r="W372" s="19">
        <f>IF($A372="","",IF(COUNTIFS(請求記録!$B$6:$B$3005,$A372,請求記録!$X$6:$X$3005,W$5,請求記録!$AD$6:$AD$3005,"保留中")&gt;0,"保留",IF(COUNTIFS(請求記録!$B$6:$B$3005,$A372,請求記録!$X$6:$X$3005,W$5)=0,"",SUMIFS(請求記録!$AC$6:$AC$3005,請求記録!$B$6:$B$3005,$A372,請求記録!$X$6:$X$3005,W$5))))</f>
        <v/>
      </c>
      <c r="X372" s="19">
        <f>IF($A372="","",IF(COUNTIFS(請求記録!$B$6:$B$3005,$A372,請求記録!$X$6:$X$3005,X$5,請求記録!$AD$6:$AD$3005,"保留中")&gt;0,"保留",IF(COUNTIFS(請求記録!$B$6:$B$3005,$A372,請求記録!$X$6:$X$3005,X$5)=0,"",SUMIFS(請求記録!$AC$6:$AC$3005,請求記録!$B$6:$B$3005,$A372,請求記録!$X$6:$X$3005,X$5))))</f>
        <v/>
      </c>
      <c r="Y372" s="19">
        <f>IF($A372="","",IF(COUNTIFS(請求記録!$B$6:$B$3005,$A372,請求記録!$X$6:$X$3005,Y$5,請求記録!$AD$6:$AD$3005,"保留中")&gt;0,"保留",IF(COUNTIFS(請求記録!$B$6:$B$3005,$A372,請求記録!$X$6:$X$3005,Y$5)=0,"",SUMIFS(請求記録!$AC$6:$AC$3005,請求記録!$B$6:$B$3005,$A372,請求記録!$X$6:$X$3005,Y$5))))</f>
        <v/>
      </c>
      <c r="Z372" s="19">
        <f>IF($A372="","",IF(COUNTIFS(請求記録!$B$6:$B$3005,$A372,請求記録!$X$6:$X$3005,Z$5,請求記録!$AD$6:$AD$3005,"保留中")&gt;0,"保留",IF(COUNTIFS(請求記録!$B$6:$B$3005,$A372,請求記録!$X$6:$X$3005,Z$5)=0,"",SUMIFS(請求記録!$AC$6:$AC$3005,請求記録!$B$6:$B$3005,$A372,請求記録!$X$6:$X$3005,Z$5))))</f>
        <v/>
      </c>
      <c r="AA372" s="19">
        <f>IF($A372="","",IF(COUNTIFS(請求記録!$B$6:$B$3005,$A372,請求記録!$X$6:$X$3005,AA$5,請求記録!$AD$6:$AD$3005,"保留中")&gt;0,"保留",IF(COUNTIFS(請求記録!$B$6:$B$3005,$A372,請求記録!$X$6:$X$3005,AA$5)=0,"",SUMIFS(請求記録!$AC$6:$AC$3005,請求記録!$B$6:$B$3005,$A372,請求記録!$X$6:$X$3005,AA$5))))</f>
        <v/>
      </c>
      <c r="AB372">
        <f>IF(職員マスタ!P372="保留中",職員マスタ!M372,"")</f>
        <v/>
      </c>
    </row>
    <row r="373">
      <c r="A373">
        <f>IF(職員マスタ!A373="","",職員マスタ!A373)</f>
        <v/>
      </c>
      <c r="B373">
        <f>IF($A373="","",職員マスタ!B373)</f>
        <v/>
      </c>
      <c r="C373">
        <f>IF($A373="","",職員マスタ!C373)</f>
        <v/>
      </c>
      <c r="D373" s="19">
        <f>IF($A373="","",IF(COUNTIFS(請求記録!$B$6:$B$3005,$A373,請求記録!$X$6:$X$3005,D$5,請求記録!$AD$6:$AD$3005,"保留中")&gt;0,"保留",IF(COUNTIFS(請求記録!$B$6:$B$3005,$A373,請求記録!$X$6:$X$3005,D$5)=0,"",SUMIFS(請求記録!$AC$6:$AC$3005,請求記録!$B$6:$B$3005,$A373,請求記録!$X$6:$X$3005,D$5))))</f>
        <v/>
      </c>
      <c r="E373" s="19">
        <f>IF($A373="","",IF(COUNTIFS(請求記録!$B$6:$B$3005,$A373,請求記録!$X$6:$X$3005,E$5,請求記録!$AD$6:$AD$3005,"保留中")&gt;0,"保留",IF(COUNTIFS(請求記録!$B$6:$B$3005,$A373,請求記録!$X$6:$X$3005,E$5)=0,"",SUMIFS(請求記録!$AC$6:$AC$3005,請求記録!$B$6:$B$3005,$A373,請求記録!$X$6:$X$3005,E$5))))</f>
        <v/>
      </c>
      <c r="F373" s="19">
        <f>IF($A373="","",IF(COUNTIFS(請求記録!$B$6:$B$3005,$A373,請求記録!$X$6:$X$3005,F$5,請求記録!$AD$6:$AD$3005,"保留中")&gt;0,"保留",IF(COUNTIFS(請求記録!$B$6:$B$3005,$A373,請求記録!$X$6:$X$3005,F$5)=0,"",SUMIFS(請求記録!$AC$6:$AC$3005,請求記録!$B$6:$B$3005,$A373,請求記録!$X$6:$X$3005,F$5))))</f>
        <v/>
      </c>
      <c r="G373" s="19">
        <f>IF($A373="","",IF(COUNTIFS(請求記録!$B$6:$B$3005,$A373,請求記録!$X$6:$X$3005,G$5,請求記録!$AD$6:$AD$3005,"保留中")&gt;0,"保留",IF(COUNTIFS(請求記録!$B$6:$B$3005,$A373,請求記録!$X$6:$X$3005,G$5)=0,"",SUMIFS(請求記録!$AC$6:$AC$3005,請求記録!$B$6:$B$3005,$A373,請求記録!$X$6:$X$3005,G$5))))</f>
        <v/>
      </c>
      <c r="H373" s="19">
        <f>IF($A373="","",IF(COUNTIFS(請求記録!$B$6:$B$3005,$A373,請求記録!$X$6:$X$3005,H$5,請求記録!$AD$6:$AD$3005,"保留中")&gt;0,"保留",IF(COUNTIFS(請求記録!$B$6:$B$3005,$A373,請求記録!$X$6:$X$3005,H$5)=0,"",SUMIFS(請求記録!$AC$6:$AC$3005,請求記録!$B$6:$B$3005,$A373,請求記録!$X$6:$X$3005,H$5))))</f>
        <v/>
      </c>
      <c r="I373" s="19">
        <f>IF($A373="","",IF(COUNTIFS(請求記録!$B$6:$B$3005,$A373,請求記録!$X$6:$X$3005,I$5,請求記録!$AD$6:$AD$3005,"保留中")&gt;0,"保留",IF(COUNTIFS(請求記録!$B$6:$B$3005,$A373,請求記録!$X$6:$X$3005,I$5)=0,"",SUMIFS(請求記録!$AC$6:$AC$3005,請求記録!$B$6:$B$3005,$A373,請求記録!$X$6:$X$3005,I$5))))</f>
        <v/>
      </c>
      <c r="J373" s="19">
        <f>IF($A373="","",IF(COUNTIFS(請求記録!$B$6:$B$3005,$A373,請求記録!$X$6:$X$3005,J$5,請求記録!$AD$6:$AD$3005,"保留中")&gt;0,"保留",IF(COUNTIFS(請求記録!$B$6:$B$3005,$A373,請求記録!$X$6:$X$3005,J$5)=0,"",SUMIFS(請求記録!$AC$6:$AC$3005,請求記録!$B$6:$B$3005,$A373,請求記録!$X$6:$X$3005,J$5))))</f>
        <v/>
      </c>
      <c r="K373" s="19">
        <f>IF($A373="","",IF(COUNTIFS(請求記録!$B$6:$B$3005,$A373,請求記録!$X$6:$X$3005,K$5,請求記録!$AD$6:$AD$3005,"保留中")&gt;0,"保留",IF(COUNTIFS(請求記録!$B$6:$B$3005,$A373,請求記録!$X$6:$X$3005,K$5)=0,"",SUMIFS(請求記録!$AC$6:$AC$3005,請求記録!$B$6:$B$3005,$A373,請求記録!$X$6:$X$3005,K$5))))</f>
        <v/>
      </c>
      <c r="L373" s="19">
        <f>IF($A373="","",IF(COUNTIFS(請求記録!$B$6:$B$3005,$A373,請求記録!$X$6:$X$3005,L$5,請求記録!$AD$6:$AD$3005,"保留中")&gt;0,"保留",IF(COUNTIFS(請求記録!$B$6:$B$3005,$A373,請求記録!$X$6:$X$3005,L$5)=0,"",SUMIFS(請求記録!$AC$6:$AC$3005,請求記録!$B$6:$B$3005,$A373,請求記録!$X$6:$X$3005,L$5))))</f>
        <v/>
      </c>
      <c r="M373" s="19">
        <f>IF($A373="","",IF(COUNTIFS(請求記録!$B$6:$B$3005,$A373,請求記録!$X$6:$X$3005,M$5,請求記録!$AD$6:$AD$3005,"保留中")&gt;0,"保留",IF(COUNTIFS(請求記録!$B$6:$B$3005,$A373,請求記録!$X$6:$X$3005,M$5)=0,"",SUMIFS(請求記録!$AC$6:$AC$3005,請求記録!$B$6:$B$3005,$A373,請求記録!$X$6:$X$3005,M$5))))</f>
        <v/>
      </c>
      <c r="N373" s="19">
        <f>IF($A373="","",IF(COUNTIFS(請求記録!$B$6:$B$3005,$A373,請求記録!$X$6:$X$3005,N$5,請求記録!$AD$6:$AD$3005,"保留中")&gt;0,"保留",IF(COUNTIFS(請求記録!$B$6:$B$3005,$A373,請求記録!$X$6:$X$3005,N$5)=0,"",SUMIFS(請求記録!$AC$6:$AC$3005,請求記録!$B$6:$B$3005,$A373,請求記録!$X$6:$X$3005,N$5))))</f>
        <v/>
      </c>
      <c r="O373" s="19">
        <f>IF($A373="","",IF(COUNTIFS(請求記録!$B$6:$B$3005,$A373,請求記録!$X$6:$X$3005,O$5,請求記録!$AD$6:$AD$3005,"保留中")&gt;0,"保留",IF(COUNTIFS(請求記録!$B$6:$B$3005,$A373,請求記録!$X$6:$X$3005,O$5)=0,"",SUMIFS(請求記録!$AC$6:$AC$3005,請求記録!$B$6:$B$3005,$A373,請求記録!$X$6:$X$3005,O$5))))</f>
        <v/>
      </c>
      <c r="P373" s="19">
        <f>IF($A373="","",IF(COUNTIFS(請求記録!$B$6:$B$3005,$A373,請求記録!$X$6:$X$3005,P$5,請求記録!$AD$6:$AD$3005,"保留中")&gt;0,"保留",IF(COUNTIFS(請求記録!$B$6:$B$3005,$A373,請求記録!$X$6:$X$3005,P$5)=0,"",SUMIFS(請求記録!$AC$6:$AC$3005,請求記録!$B$6:$B$3005,$A373,請求記録!$X$6:$X$3005,P$5))))</f>
        <v/>
      </c>
      <c r="Q373" s="19">
        <f>IF($A373="","",IF(COUNTIFS(請求記録!$B$6:$B$3005,$A373,請求記録!$X$6:$X$3005,Q$5,請求記録!$AD$6:$AD$3005,"保留中")&gt;0,"保留",IF(COUNTIFS(請求記録!$B$6:$B$3005,$A373,請求記録!$X$6:$X$3005,Q$5)=0,"",SUMIFS(請求記録!$AC$6:$AC$3005,請求記録!$B$6:$B$3005,$A373,請求記録!$X$6:$X$3005,Q$5))))</f>
        <v/>
      </c>
      <c r="R373" s="19">
        <f>IF($A373="","",IF(COUNTIFS(請求記録!$B$6:$B$3005,$A373,請求記録!$X$6:$X$3005,R$5,請求記録!$AD$6:$AD$3005,"保留中")&gt;0,"保留",IF(COUNTIFS(請求記録!$B$6:$B$3005,$A373,請求記録!$X$6:$X$3005,R$5)=0,"",SUMIFS(請求記録!$AC$6:$AC$3005,請求記録!$B$6:$B$3005,$A373,請求記録!$X$6:$X$3005,R$5))))</f>
        <v/>
      </c>
      <c r="S373" s="19">
        <f>IF($A373="","",IF(COUNTIFS(請求記録!$B$6:$B$3005,$A373,請求記録!$X$6:$X$3005,S$5,請求記録!$AD$6:$AD$3005,"保留中")&gt;0,"保留",IF(COUNTIFS(請求記録!$B$6:$B$3005,$A373,請求記録!$X$6:$X$3005,S$5)=0,"",SUMIFS(請求記録!$AC$6:$AC$3005,請求記録!$B$6:$B$3005,$A373,請求記録!$X$6:$X$3005,S$5))))</f>
        <v/>
      </c>
      <c r="T373" s="19">
        <f>IF($A373="","",IF(COUNTIFS(請求記録!$B$6:$B$3005,$A373,請求記録!$X$6:$X$3005,T$5,請求記録!$AD$6:$AD$3005,"保留中")&gt;0,"保留",IF(COUNTIFS(請求記録!$B$6:$B$3005,$A373,請求記録!$X$6:$X$3005,T$5)=0,"",SUMIFS(請求記録!$AC$6:$AC$3005,請求記録!$B$6:$B$3005,$A373,請求記録!$X$6:$X$3005,T$5))))</f>
        <v/>
      </c>
      <c r="U373" s="19">
        <f>IF($A373="","",IF(COUNTIFS(請求記録!$B$6:$B$3005,$A373,請求記録!$X$6:$X$3005,U$5,請求記録!$AD$6:$AD$3005,"保留中")&gt;0,"保留",IF(COUNTIFS(請求記録!$B$6:$B$3005,$A373,請求記録!$X$6:$X$3005,U$5)=0,"",SUMIFS(請求記録!$AC$6:$AC$3005,請求記録!$B$6:$B$3005,$A373,請求記録!$X$6:$X$3005,U$5))))</f>
        <v/>
      </c>
      <c r="V373" s="19">
        <f>IF($A373="","",IF(COUNTIFS(請求記録!$B$6:$B$3005,$A373,請求記録!$X$6:$X$3005,V$5,請求記録!$AD$6:$AD$3005,"保留中")&gt;0,"保留",IF(COUNTIFS(請求記録!$B$6:$B$3005,$A373,請求記録!$X$6:$X$3005,V$5)=0,"",SUMIFS(請求記録!$AC$6:$AC$3005,請求記録!$B$6:$B$3005,$A373,請求記録!$X$6:$X$3005,V$5))))</f>
        <v/>
      </c>
      <c r="W373" s="19">
        <f>IF($A373="","",IF(COUNTIFS(請求記録!$B$6:$B$3005,$A373,請求記録!$X$6:$X$3005,W$5,請求記録!$AD$6:$AD$3005,"保留中")&gt;0,"保留",IF(COUNTIFS(請求記録!$B$6:$B$3005,$A373,請求記録!$X$6:$X$3005,W$5)=0,"",SUMIFS(請求記録!$AC$6:$AC$3005,請求記録!$B$6:$B$3005,$A373,請求記録!$X$6:$X$3005,W$5))))</f>
        <v/>
      </c>
      <c r="X373" s="19">
        <f>IF($A373="","",IF(COUNTIFS(請求記録!$B$6:$B$3005,$A373,請求記録!$X$6:$X$3005,X$5,請求記録!$AD$6:$AD$3005,"保留中")&gt;0,"保留",IF(COUNTIFS(請求記録!$B$6:$B$3005,$A373,請求記録!$X$6:$X$3005,X$5)=0,"",SUMIFS(請求記録!$AC$6:$AC$3005,請求記録!$B$6:$B$3005,$A373,請求記録!$X$6:$X$3005,X$5))))</f>
        <v/>
      </c>
      <c r="Y373" s="19">
        <f>IF($A373="","",IF(COUNTIFS(請求記録!$B$6:$B$3005,$A373,請求記録!$X$6:$X$3005,Y$5,請求記録!$AD$6:$AD$3005,"保留中")&gt;0,"保留",IF(COUNTIFS(請求記録!$B$6:$B$3005,$A373,請求記録!$X$6:$X$3005,Y$5)=0,"",SUMIFS(請求記録!$AC$6:$AC$3005,請求記録!$B$6:$B$3005,$A373,請求記録!$X$6:$X$3005,Y$5))))</f>
        <v/>
      </c>
      <c r="Z373" s="19">
        <f>IF($A373="","",IF(COUNTIFS(請求記録!$B$6:$B$3005,$A373,請求記録!$X$6:$X$3005,Z$5,請求記録!$AD$6:$AD$3005,"保留中")&gt;0,"保留",IF(COUNTIFS(請求記録!$B$6:$B$3005,$A373,請求記録!$X$6:$X$3005,Z$5)=0,"",SUMIFS(請求記録!$AC$6:$AC$3005,請求記録!$B$6:$B$3005,$A373,請求記録!$X$6:$X$3005,Z$5))))</f>
        <v/>
      </c>
      <c r="AA373" s="19">
        <f>IF($A373="","",IF(COUNTIFS(請求記録!$B$6:$B$3005,$A373,請求記録!$X$6:$X$3005,AA$5,請求記録!$AD$6:$AD$3005,"保留中")&gt;0,"保留",IF(COUNTIFS(請求記録!$B$6:$B$3005,$A373,請求記録!$X$6:$X$3005,AA$5)=0,"",SUMIFS(請求記録!$AC$6:$AC$3005,請求記録!$B$6:$B$3005,$A373,請求記録!$X$6:$X$3005,AA$5))))</f>
        <v/>
      </c>
      <c r="AB373">
        <f>IF(職員マスタ!P373="保留中",職員マスタ!M373,"")</f>
        <v/>
      </c>
    </row>
    <row r="374">
      <c r="A374">
        <f>IF(職員マスタ!A374="","",職員マスタ!A374)</f>
        <v/>
      </c>
      <c r="B374">
        <f>IF($A374="","",職員マスタ!B374)</f>
        <v/>
      </c>
      <c r="C374">
        <f>IF($A374="","",職員マスタ!C374)</f>
        <v/>
      </c>
      <c r="D374" s="19">
        <f>IF($A374="","",IF(COUNTIFS(請求記録!$B$6:$B$3005,$A374,請求記録!$X$6:$X$3005,D$5,請求記録!$AD$6:$AD$3005,"保留中")&gt;0,"保留",IF(COUNTIFS(請求記録!$B$6:$B$3005,$A374,請求記録!$X$6:$X$3005,D$5)=0,"",SUMIFS(請求記録!$AC$6:$AC$3005,請求記録!$B$6:$B$3005,$A374,請求記録!$X$6:$X$3005,D$5))))</f>
        <v/>
      </c>
      <c r="E374" s="19">
        <f>IF($A374="","",IF(COUNTIFS(請求記録!$B$6:$B$3005,$A374,請求記録!$X$6:$X$3005,E$5,請求記録!$AD$6:$AD$3005,"保留中")&gt;0,"保留",IF(COUNTIFS(請求記録!$B$6:$B$3005,$A374,請求記録!$X$6:$X$3005,E$5)=0,"",SUMIFS(請求記録!$AC$6:$AC$3005,請求記録!$B$6:$B$3005,$A374,請求記録!$X$6:$X$3005,E$5))))</f>
        <v/>
      </c>
      <c r="F374" s="19">
        <f>IF($A374="","",IF(COUNTIFS(請求記録!$B$6:$B$3005,$A374,請求記録!$X$6:$X$3005,F$5,請求記録!$AD$6:$AD$3005,"保留中")&gt;0,"保留",IF(COUNTIFS(請求記録!$B$6:$B$3005,$A374,請求記録!$X$6:$X$3005,F$5)=0,"",SUMIFS(請求記録!$AC$6:$AC$3005,請求記録!$B$6:$B$3005,$A374,請求記録!$X$6:$X$3005,F$5))))</f>
        <v/>
      </c>
      <c r="G374" s="19">
        <f>IF($A374="","",IF(COUNTIFS(請求記録!$B$6:$B$3005,$A374,請求記録!$X$6:$X$3005,G$5,請求記録!$AD$6:$AD$3005,"保留中")&gt;0,"保留",IF(COUNTIFS(請求記録!$B$6:$B$3005,$A374,請求記録!$X$6:$X$3005,G$5)=0,"",SUMIFS(請求記録!$AC$6:$AC$3005,請求記録!$B$6:$B$3005,$A374,請求記録!$X$6:$X$3005,G$5))))</f>
        <v/>
      </c>
      <c r="H374" s="19">
        <f>IF($A374="","",IF(COUNTIFS(請求記録!$B$6:$B$3005,$A374,請求記録!$X$6:$X$3005,H$5,請求記録!$AD$6:$AD$3005,"保留中")&gt;0,"保留",IF(COUNTIFS(請求記録!$B$6:$B$3005,$A374,請求記録!$X$6:$X$3005,H$5)=0,"",SUMIFS(請求記録!$AC$6:$AC$3005,請求記録!$B$6:$B$3005,$A374,請求記録!$X$6:$X$3005,H$5))))</f>
        <v/>
      </c>
      <c r="I374" s="19">
        <f>IF($A374="","",IF(COUNTIFS(請求記録!$B$6:$B$3005,$A374,請求記録!$X$6:$X$3005,I$5,請求記録!$AD$6:$AD$3005,"保留中")&gt;0,"保留",IF(COUNTIFS(請求記録!$B$6:$B$3005,$A374,請求記録!$X$6:$X$3005,I$5)=0,"",SUMIFS(請求記録!$AC$6:$AC$3005,請求記録!$B$6:$B$3005,$A374,請求記録!$X$6:$X$3005,I$5))))</f>
        <v/>
      </c>
      <c r="J374" s="19">
        <f>IF($A374="","",IF(COUNTIFS(請求記録!$B$6:$B$3005,$A374,請求記録!$X$6:$X$3005,J$5,請求記録!$AD$6:$AD$3005,"保留中")&gt;0,"保留",IF(COUNTIFS(請求記録!$B$6:$B$3005,$A374,請求記録!$X$6:$X$3005,J$5)=0,"",SUMIFS(請求記録!$AC$6:$AC$3005,請求記録!$B$6:$B$3005,$A374,請求記録!$X$6:$X$3005,J$5))))</f>
        <v/>
      </c>
      <c r="K374" s="19">
        <f>IF($A374="","",IF(COUNTIFS(請求記録!$B$6:$B$3005,$A374,請求記録!$X$6:$X$3005,K$5,請求記録!$AD$6:$AD$3005,"保留中")&gt;0,"保留",IF(COUNTIFS(請求記録!$B$6:$B$3005,$A374,請求記録!$X$6:$X$3005,K$5)=0,"",SUMIFS(請求記録!$AC$6:$AC$3005,請求記録!$B$6:$B$3005,$A374,請求記録!$X$6:$X$3005,K$5))))</f>
        <v/>
      </c>
      <c r="L374" s="19">
        <f>IF($A374="","",IF(COUNTIFS(請求記録!$B$6:$B$3005,$A374,請求記録!$X$6:$X$3005,L$5,請求記録!$AD$6:$AD$3005,"保留中")&gt;0,"保留",IF(COUNTIFS(請求記録!$B$6:$B$3005,$A374,請求記録!$X$6:$X$3005,L$5)=0,"",SUMIFS(請求記録!$AC$6:$AC$3005,請求記録!$B$6:$B$3005,$A374,請求記録!$X$6:$X$3005,L$5))))</f>
        <v/>
      </c>
      <c r="M374" s="19">
        <f>IF($A374="","",IF(COUNTIFS(請求記録!$B$6:$B$3005,$A374,請求記録!$X$6:$X$3005,M$5,請求記録!$AD$6:$AD$3005,"保留中")&gt;0,"保留",IF(COUNTIFS(請求記録!$B$6:$B$3005,$A374,請求記録!$X$6:$X$3005,M$5)=0,"",SUMIFS(請求記録!$AC$6:$AC$3005,請求記録!$B$6:$B$3005,$A374,請求記録!$X$6:$X$3005,M$5))))</f>
        <v/>
      </c>
      <c r="N374" s="19">
        <f>IF($A374="","",IF(COUNTIFS(請求記録!$B$6:$B$3005,$A374,請求記録!$X$6:$X$3005,N$5,請求記録!$AD$6:$AD$3005,"保留中")&gt;0,"保留",IF(COUNTIFS(請求記録!$B$6:$B$3005,$A374,請求記録!$X$6:$X$3005,N$5)=0,"",SUMIFS(請求記録!$AC$6:$AC$3005,請求記録!$B$6:$B$3005,$A374,請求記録!$X$6:$X$3005,N$5))))</f>
        <v/>
      </c>
      <c r="O374" s="19">
        <f>IF($A374="","",IF(COUNTIFS(請求記録!$B$6:$B$3005,$A374,請求記録!$X$6:$X$3005,O$5,請求記録!$AD$6:$AD$3005,"保留中")&gt;0,"保留",IF(COUNTIFS(請求記録!$B$6:$B$3005,$A374,請求記録!$X$6:$X$3005,O$5)=0,"",SUMIFS(請求記録!$AC$6:$AC$3005,請求記録!$B$6:$B$3005,$A374,請求記録!$X$6:$X$3005,O$5))))</f>
        <v/>
      </c>
      <c r="P374" s="19">
        <f>IF($A374="","",IF(COUNTIFS(請求記録!$B$6:$B$3005,$A374,請求記録!$X$6:$X$3005,P$5,請求記録!$AD$6:$AD$3005,"保留中")&gt;0,"保留",IF(COUNTIFS(請求記録!$B$6:$B$3005,$A374,請求記録!$X$6:$X$3005,P$5)=0,"",SUMIFS(請求記録!$AC$6:$AC$3005,請求記録!$B$6:$B$3005,$A374,請求記録!$X$6:$X$3005,P$5))))</f>
        <v/>
      </c>
      <c r="Q374" s="19">
        <f>IF($A374="","",IF(COUNTIFS(請求記録!$B$6:$B$3005,$A374,請求記録!$X$6:$X$3005,Q$5,請求記録!$AD$6:$AD$3005,"保留中")&gt;0,"保留",IF(COUNTIFS(請求記録!$B$6:$B$3005,$A374,請求記録!$X$6:$X$3005,Q$5)=0,"",SUMIFS(請求記録!$AC$6:$AC$3005,請求記録!$B$6:$B$3005,$A374,請求記録!$X$6:$X$3005,Q$5))))</f>
        <v/>
      </c>
      <c r="R374" s="19">
        <f>IF($A374="","",IF(COUNTIFS(請求記録!$B$6:$B$3005,$A374,請求記録!$X$6:$X$3005,R$5,請求記録!$AD$6:$AD$3005,"保留中")&gt;0,"保留",IF(COUNTIFS(請求記録!$B$6:$B$3005,$A374,請求記録!$X$6:$X$3005,R$5)=0,"",SUMIFS(請求記録!$AC$6:$AC$3005,請求記録!$B$6:$B$3005,$A374,請求記録!$X$6:$X$3005,R$5))))</f>
        <v/>
      </c>
      <c r="S374" s="19">
        <f>IF($A374="","",IF(COUNTIFS(請求記録!$B$6:$B$3005,$A374,請求記録!$X$6:$X$3005,S$5,請求記録!$AD$6:$AD$3005,"保留中")&gt;0,"保留",IF(COUNTIFS(請求記録!$B$6:$B$3005,$A374,請求記録!$X$6:$X$3005,S$5)=0,"",SUMIFS(請求記録!$AC$6:$AC$3005,請求記録!$B$6:$B$3005,$A374,請求記録!$X$6:$X$3005,S$5))))</f>
        <v/>
      </c>
      <c r="T374" s="19">
        <f>IF($A374="","",IF(COUNTIFS(請求記録!$B$6:$B$3005,$A374,請求記録!$X$6:$X$3005,T$5,請求記録!$AD$6:$AD$3005,"保留中")&gt;0,"保留",IF(COUNTIFS(請求記録!$B$6:$B$3005,$A374,請求記録!$X$6:$X$3005,T$5)=0,"",SUMIFS(請求記録!$AC$6:$AC$3005,請求記録!$B$6:$B$3005,$A374,請求記録!$X$6:$X$3005,T$5))))</f>
        <v/>
      </c>
      <c r="U374" s="19">
        <f>IF($A374="","",IF(COUNTIFS(請求記録!$B$6:$B$3005,$A374,請求記録!$X$6:$X$3005,U$5,請求記録!$AD$6:$AD$3005,"保留中")&gt;0,"保留",IF(COUNTIFS(請求記録!$B$6:$B$3005,$A374,請求記録!$X$6:$X$3005,U$5)=0,"",SUMIFS(請求記録!$AC$6:$AC$3005,請求記録!$B$6:$B$3005,$A374,請求記録!$X$6:$X$3005,U$5))))</f>
        <v/>
      </c>
      <c r="V374" s="19">
        <f>IF($A374="","",IF(COUNTIFS(請求記録!$B$6:$B$3005,$A374,請求記録!$X$6:$X$3005,V$5,請求記録!$AD$6:$AD$3005,"保留中")&gt;0,"保留",IF(COUNTIFS(請求記録!$B$6:$B$3005,$A374,請求記録!$X$6:$X$3005,V$5)=0,"",SUMIFS(請求記録!$AC$6:$AC$3005,請求記録!$B$6:$B$3005,$A374,請求記録!$X$6:$X$3005,V$5))))</f>
        <v/>
      </c>
      <c r="W374" s="19">
        <f>IF($A374="","",IF(COUNTIFS(請求記録!$B$6:$B$3005,$A374,請求記録!$X$6:$X$3005,W$5,請求記録!$AD$6:$AD$3005,"保留中")&gt;0,"保留",IF(COUNTIFS(請求記録!$B$6:$B$3005,$A374,請求記録!$X$6:$X$3005,W$5)=0,"",SUMIFS(請求記録!$AC$6:$AC$3005,請求記録!$B$6:$B$3005,$A374,請求記録!$X$6:$X$3005,W$5))))</f>
        <v/>
      </c>
      <c r="X374" s="19">
        <f>IF($A374="","",IF(COUNTIFS(請求記録!$B$6:$B$3005,$A374,請求記録!$X$6:$X$3005,X$5,請求記録!$AD$6:$AD$3005,"保留中")&gt;0,"保留",IF(COUNTIFS(請求記録!$B$6:$B$3005,$A374,請求記録!$X$6:$X$3005,X$5)=0,"",SUMIFS(請求記録!$AC$6:$AC$3005,請求記録!$B$6:$B$3005,$A374,請求記録!$X$6:$X$3005,X$5))))</f>
        <v/>
      </c>
      <c r="Y374" s="19">
        <f>IF($A374="","",IF(COUNTIFS(請求記録!$B$6:$B$3005,$A374,請求記録!$X$6:$X$3005,Y$5,請求記録!$AD$6:$AD$3005,"保留中")&gt;0,"保留",IF(COUNTIFS(請求記録!$B$6:$B$3005,$A374,請求記録!$X$6:$X$3005,Y$5)=0,"",SUMIFS(請求記録!$AC$6:$AC$3005,請求記録!$B$6:$B$3005,$A374,請求記録!$X$6:$X$3005,Y$5))))</f>
        <v/>
      </c>
      <c r="Z374" s="19">
        <f>IF($A374="","",IF(COUNTIFS(請求記録!$B$6:$B$3005,$A374,請求記録!$X$6:$X$3005,Z$5,請求記録!$AD$6:$AD$3005,"保留中")&gt;0,"保留",IF(COUNTIFS(請求記録!$B$6:$B$3005,$A374,請求記録!$X$6:$X$3005,Z$5)=0,"",SUMIFS(請求記録!$AC$6:$AC$3005,請求記録!$B$6:$B$3005,$A374,請求記録!$X$6:$X$3005,Z$5))))</f>
        <v/>
      </c>
      <c r="AA374" s="19">
        <f>IF($A374="","",IF(COUNTIFS(請求記録!$B$6:$B$3005,$A374,請求記録!$X$6:$X$3005,AA$5,請求記録!$AD$6:$AD$3005,"保留中")&gt;0,"保留",IF(COUNTIFS(請求記録!$B$6:$B$3005,$A374,請求記録!$X$6:$X$3005,AA$5)=0,"",SUMIFS(請求記録!$AC$6:$AC$3005,請求記録!$B$6:$B$3005,$A374,請求記録!$X$6:$X$3005,AA$5))))</f>
        <v/>
      </c>
      <c r="AB374">
        <f>IF(職員マスタ!P374="保留中",職員マスタ!M374,"")</f>
        <v/>
      </c>
    </row>
    <row r="375">
      <c r="A375">
        <f>IF(職員マスタ!A375="","",職員マスタ!A375)</f>
        <v/>
      </c>
      <c r="B375">
        <f>IF($A375="","",職員マスタ!B375)</f>
        <v/>
      </c>
      <c r="C375">
        <f>IF($A375="","",職員マスタ!C375)</f>
        <v/>
      </c>
      <c r="D375" s="19">
        <f>IF($A375="","",IF(COUNTIFS(請求記録!$B$6:$B$3005,$A375,請求記録!$X$6:$X$3005,D$5,請求記録!$AD$6:$AD$3005,"保留中")&gt;0,"保留",IF(COUNTIFS(請求記録!$B$6:$B$3005,$A375,請求記録!$X$6:$X$3005,D$5)=0,"",SUMIFS(請求記録!$AC$6:$AC$3005,請求記録!$B$6:$B$3005,$A375,請求記録!$X$6:$X$3005,D$5))))</f>
        <v/>
      </c>
      <c r="E375" s="19">
        <f>IF($A375="","",IF(COUNTIFS(請求記録!$B$6:$B$3005,$A375,請求記録!$X$6:$X$3005,E$5,請求記録!$AD$6:$AD$3005,"保留中")&gt;0,"保留",IF(COUNTIFS(請求記録!$B$6:$B$3005,$A375,請求記録!$X$6:$X$3005,E$5)=0,"",SUMIFS(請求記録!$AC$6:$AC$3005,請求記録!$B$6:$B$3005,$A375,請求記録!$X$6:$X$3005,E$5))))</f>
        <v/>
      </c>
      <c r="F375" s="19">
        <f>IF($A375="","",IF(COUNTIFS(請求記録!$B$6:$B$3005,$A375,請求記録!$X$6:$X$3005,F$5,請求記録!$AD$6:$AD$3005,"保留中")&gt;0,"保留",IF(COUNTIFS(請求記録!$B$6:$B$3005,$A375,請求記録!$X$6:$X$3005,F$5)=0,"",SUMIFS(請求記録!$AC$6:$AC$3005,請求記録!$B$6:$B$3005,$A375,請求記録!$X$6:$X$3005,F$5))))</f>
        <v/>
      </c>
      <c r="G375" s="19">
        <f>IF($A375="","",IF(COUNTIFS(請求記録!$B$6:$B$3005,$A375,請求記録!$X$6:$X$3005,G$5,請求記録!$AD$6:$AD$3005,"保留中")&gt;0,"保留",IF(COUNTIFS(請求記録!$B$6:$B$3005,$A375,請求記録!$X$6:$X$3005,G$5)=0,"",SUMIFS(請求記録!$AC$6:$AC$3005,請求記録!$B$6:$B$3005,$A375,請求記録!$X$6:$X$3005,G$5))))</f>
        <v/>
      </c>
      <c r="H375" s="19">
        <f>IF($A375="","",IF(COUNTIFS(請求記録!$B$6:$B$3005,$A375,請求記録!$X$6:$X$3005,H$5,請求記録!$AD$6:$AD$3005,"保留中")&gt;0,"保留",IF(COUNTIFS(請求記録!$B$6:$B$3005,$A375,請求記録!$X$6:$X$3005,H$5)=0,"",SUMIFS(請求記録!$AC$6:$AC$3005,請求記録!$B$6:$B$3005,$A375,請求記録!$X$6:$X$3005,H$5))))</f>
        <v/>
      </c>
      <c r="I375" s="19">
        <f>IF($A375="","",IF(COUNTIFS(請求記録!$B$6:$B$3005,$A375,請求記録!$X$6:$X$3005,I$5,請求記録!$AD$6:$AD$3005,"保留中")&gt;0,"保留",IF(COUNTIFS(請求記録!$B$6:$B$3005,$A375,請求記録!$X$6:$X$3005,I$5)=0,"",SUMIFS(請求記録!$AC$6:$AC$3005,請求記録!$B$6:$B$3005,$A375,請求記録!$X$6:$X$3005,I$5))))</f>
        <v/>
      </c>
      <c r="J375" s="19">
        <f>IF($A375="","",IF(COUNTIFS(請求記録!$B$6:$B$3005,$A375,請求記録!$X$6:$X$3005,J$5,請求記録!$AD$6:$AD$3005,"保留中")&gt;0,"保留",IF(COUNTIFS(請求記録!$B$6:$B$3005,$A375,請求記録!$X$6:$X$3005,J$5)=0,"",SUMIFS(請求記録!$AC$6:$AC$3005,請求記録!$B$6:$B$3005,$A375,請求記録!$X$6:$X$3005,J$5))))</f>
        <v/>
      </c>
      <c r="K375" s="19">
        <f>IF($A375="","",IF(COUNTIFS(請求記録!$B$6:$B$3005,$A375,請求記録!$X$6:$X$3005,K$5,請求記録!$AD$6:$AD$3005,"保留中")&gt;0,"保留",IF(COUNTIFS(請求記録!$B$6:$B$3005,$A375,請求記録!$X$6:$X$3005,K$5)=0,"",SUMIFS(請求記録!$AC$6:$AC$3005,請求記録!$B$6:$B$3005,$A375,請求記録!$X$6:$X$3005,K$5))))</f>
        <v/>
      </c>
      <c r="L375" s="19">
        <f>IF($A375="","",IF(COUNTIFS(請求記録!$B$6:$B$3005,$A375,請求記録!$X$6:$X$3005,L$5,請求記録!$AD$6:$AD$3005,"保留中")&gt;0,"保留",IF(COUNTIFS(請求記録!$B$6:$B$3005,$A375,請求記録!$X$6:$X$3005,L$5)=0,"",SUMIFS(請求記録!$AC$6:$AC$3005,請求記録!$B$6:$B$3005,$A375,請求記録!$X$6:$X$3005,L$5))))</f>
        <v/>
      </c>
      <c r="M375" s="19">
        <f>IF($A375="","",IF(COUNTIFS(請求記録!$B$6:$B$3005,$A375,請求記録!$X$6:$X$3005,M$5,請求記録!$AD$6:$AD$3005,"保留中")&gt;0,"保留",IF(COUNTIFS(請求記録!$B$6:$B$3005,$A375,請求記録!$X$6:$X$3005,M$5)=0,"",SUMIFS(請求記録!$AC$6:$AC$3005,請求記録!$B$6:$B$3005,$A375,請求記録!$X$6:$X$3005,M$5))))</f>
        <v/>
      </c>
      <c r="N375" s="19">
        <f>IF($A375="","",IF(COUNTIFS(請求記録!$B$6:$B$3005,$A375,請求記録!$X$6:$X$3005,N$5,請求記録!$AD$6:$AD$3005,"保留中")&gt;0,"保留",IF(COUNTIFS(請求記録!$B$6:$B$3005,$A375,請求記録!$X$6:$X$3005,N$5)=0,"",SUMIFS(請求記録!$AC$6:$AC$3005,請求記録!$B$6:$B$3005,$A375,請求記録!$X$6:$X$3005,N$5))))</f>
        <v/>
      </c>
      <c r="O375" s="19">
        <f>IF($A375="","",IF(COUNTIFS(請求記録!$B$6:$B$3005,$A375,請求記録!$X$6:$X$3005,O$5,請求記録!$AD$6:$AD$3005,"保留中")&gt;0,"保留",IF(COUNTIFS(請求記録!$B$6:$B$3005,$A375,請求記録!$X$6:$X$3005,O$5)=0,"",SUMIFS(請求記録!$AC$6:$AC$3005,請求記録!$B$6:$B$3005,$A375,請求記録!$X$6:$X$3005,O$5))))</f>
        <v/>
      </c>
      <c r="P375" s="19">
        <f>IF($A375="","",IF(COUNTIFS(請求記録!$B$6:$B$3005,$A375,請求記録!$X$6:$X$3005,P$5,請求記録!$AD$6:$AD$3005,"保留中")&gt;0,"保留",IF(COUNTIFS(請求記録!$B$6:$B$3005,$A375,請求記録!$X$6:$X$3005,P$5)=0,"",SUMIFS(請求記録!$AC$6:$AC$3005,請求記録!$B$6:$B$3005,$A375,請求記録!$X$6:$X$3005,P$5))))</f>
        <v/>
      </c>
      <c r="Q375" s="19">
        <f>IF($A375="","",IF(COUNTIFS(請求記録!$B$6:$B$3005,$A375,請求記録!$X$6:$X$3005,Q$5,請求記録!$AD$6:$AD$3005,"保留中")&gt;0,"保留",IF(COUNTIFS(請求記録!$B$6:$B$3005,$A375,請求記録!$X$6:$X$3005,Q$5)=0,"",SUMIFS(請求記録!$AC$6:$AC$3005,請求記録!$B$6:$B$3005,$A375,請求記録!$X$6:$X$3005,Q$5))))</f>
        <v/>
      </c>
      <c r="R375" s="19">
        <f>IF($A375="","",IF(COUNTIFS(請求記録!$B$6:$B$3005,$A375,請求記録!$X$6:$X$3005,R$5,請求記録!$AD$6:$AD$3005,"保留中")&gt;0,"保留",IF(COUNTIFS(請求記録!$B$6:$B$3005,$A375,請求記録!$X$6:$X$3005,R$5)=0,"",SUMIFS(請求記録!$AC$6:$AC$3005,請求記録!$B$6:$B$3005,$A375,請求記録!$X$6:$X$3005,R$5))))</f>
        <v/>
      </c>
      <c r="S375" s="19">
        <f>IF($A375="","",IF(COUNTIFS(請求記録!$B$6:$B$3005,$A375,請求記録!$X$6:$X$3005,S$5,請求記録!$AD$6:$AD$3005,"保留中")&gt;0,"保留",IF(COUNTIFS(請求記録!$B$6:$B$3005,$A375,請求記録!$X$6:$X$3005,S$5)=0,"",SUMIFS(請求記録!$AC$6:$AC$3005,請求記録!$B$6:$B$3005,$A375,請求記録!$X$6:$X$3005,S$5))))</f>
        <v/>
      </c>
      <c r="T375" s="19">
        <f>IF($A375="","",IF(COUNTIFS(請求記録!$B$6:$B$3005,$A375,請求記録!$X$6:$X$3005,T$5,請求記録!$AD$6:$AD$3005,"保留中")&gt;0,"保留",IF(COUNTIFS(請求記録!$B$6:$B$3005,$A375,請求記録!$X$6:$X$3005,T$5)=0,"",SUMIFS(請求記録!$AC$6:$AC$3005,請求記録!$B$6:$B$3005,$A375,請求記録!$X$6:$X$3005,T$5))))</f>
        <v/>
      </c>
      <c r="U375" s="19">
        <f>IF($A375="","",IF(COUNTIFS(請求記録!$B$6:$B$3005,$A375,請求記録!$X$6:$X$3005,U$5,請求記録!$AD$6:$AD$3005,"保留中")&gt;0,"保留",IF(COUNTIFS(請求記録!$B$6:$B$3005,$A375,請求記録!$X$6:$X$3005,U$5)=0,"",SUMIFS(請求記録!$AC$6:$AC$3005,請求記録!$B$6:$B$3005,$A375,請求記録!$X$6:$X$3005,U$5))))</f>
        <v/>
      </c>
      <c r="V375" s="19">
        <f>IF($A375="","",IF(COUNTIFS(請求記録!$B$6:$B$3005,$A375,請求記録!$X$6:$X$3005,V$5,請求記録!$AD$6:$AD$3005,"保留中")&gt;0,"保留",IF(COUNTIFS(請求記録!$B$6:$B$3005,$A375,請求記録!$X$6:$X$3005,V$5)=0,"",SUMIFS(請求記録!$AC$6:$AC$3005,請求記録!$B$6:$B$3005,$A375,請求記録!$X$6:$X$3005,V$5))))</f>
        <v/>
      </c>
      <c r="W375" s="19">
        <f>IF($A375="","",IF(COUNTIFS(請求記録!$B$6:$B$3005,$A375,請求記録!$X$6:$X$3005,W$5,請求記録!$AD$6:$AD$3005,"保留中")&gt;0,"保留",IF(COUNTIFS(請求記録!$B$6:$B$3005,$A375,請求記録!$X$6:$X$3005,W$5)=0,"",SUMIFS(請求記録!$AC$6:$AC$3005,請求記録!$B$6:$B$3005,$A375,請求記録!$X$6:$X$3005,W$5))))</f>
        <v/>
      </c>
      <c r="X375" s="19">
        <f>IF($A375="","",IF(COUNTIFS(請求記録!$B$6:$B$3005,$A375,請求記録!$X$6:$X$3005,X$5,請求記録!$AD$6:$AD$3005,"保留中")&gt;0,"保留",IF(COUNTIFS(請求記録!$B$6:$B$3005,$A375,請求記録!$X$6:$X$3005,X$5)=0,"",SUMIFS(請求記録!$AC$6:$AC$3005,請求記録!$B$6:$B$3005,$A375,請求記録!$X$6:$X$3005,X$5))))</f>
        <v/>
      </c>
      <c r="Y375" s="19">
        <f>IF($A375="","",IF(COUNTIFS(請求記録!$B$6:$B$3005,$A375,請求記録!$X$6:$X$3005,Y$5,請求記録!$AD$6:$AD$3005,"保留中")&gt;0,"保留",IF(COUNTIFS(請求記録!$B$6:$B$3005,$A375,請求記録!$X$6:$X$3005,Y$5)=0,"",SUMIFS(請求記録!$AC$6:$AC$3005,請求記録!$B$6:$B$3005,$A375,請求記録!$X$6:$X$3005,Y$5))))</f>
        <v/>
      </c>
      <c r="Z375" s="19">
        <f>IF($A375="","",IF(COUNTIFS(請求記録!$B$6:$B$3005,$A375,請求記録!$X$6:$X$3005,Z$5,請求記録!$AD$6:$AD$3005,"保留中")&gt;0,"保留",IF(COUNTIFS(請求記録!$B$6:$B$3005,$A375,請求記録!$X$6:$X$3005,Z$5)=0,"",SUMIFS(請求記録!$AC$6:$AC$3005,請求記録!$B$6:$B$3005,$A375,請求記録!$X$6:$X$3005,Z$5))))</f>
        <v/>
      </c>
      <c r="AA375" s="19">
        <f>IF($A375="","",IF(COUNTIFS(請求記録!$B$6:$B$3005,$A375,請求記録!$X$6:$X$3005,AA$5,請求記録!$AD$6:$AD$3005,"保留中")&gt;0,"保留",IF(COUNTIFS(請求記録!$B$6:$B$3005,$A375,請求記録!$X$6:$X$3005,AA$5)=0,"",SUMIFS(請求記録!$AC$6:$AC$3005,請求記録!$B$6:$B$3005,$A375,請求記録!$X$6:$X$3005,AA$5))))</f>
        <v/>
      </c>
      <c r="AB375">
        <f>IF(職員マスタ!P375="保留中",職員マスタ!M375,"")</f>
        <v/>
      </c>
    </row>
    <row r="376">
      <c r="A376">
        <f>IF(職員マスタ!A376="","",職員マスタ!A376)</f>
        <v/>
      </c>
      <c r="B376">
        <f>IF($A376="","",職員マスタ!B376)</f>
        <v/>
      </c>
      <c r="C376">
        <f>IF($A376="","",職員マスタ!C376)</f>
        <v/>
      </c>
      <c r="D376" s="19">
        <f>IF($A376="","",IF(COUNTIFS(請求記録!$B$6:$B$3005,$A376,請求記録!$X$6:$X$3005,D$5,請求記録!$AD$6:$AD$3005,"保留中")&gt;0,"保留",IF(COUNTIFS(請求記録!$B$6:$B$3005,$A376,請求記録!$X$6:$X$3005,D$5)=0,"",SUMIFS(請求記録!$AC$6:$AC$3005,請求記録!$B$6:$B$3005,$A376,請求記録!$X$6:$X$3005,D$5))))</f>
        <v/>
      </c>
      <c r="E376" s="19">
        <f>IF($A376="","",IF(COUNTIFS(請求記録!$B$6:$B$3005,$A376,請求記録!$X$6:$X$3005,E$5,請求記録!$AD$6:$AD$3005,"保留中")&gt;0,"保留",IF(COUNTIFS(請求記録!$B$6:$B$3005,$A376,請求記録!$X$6:$X$3005,E$5)=0,"",SUMIFS(請求記録!$AC$6:$AC$3005,請求記録!$B$6:$B$3005,$A376,請求記録!$X$6:$X$3005,E$5))))</f>
        <v/>
      </c>
      <c r="F376" s="19">
        <f>IF($A376="","",IF(COUNTIFS(請求記録!$B$6:$B$3005,$A376,請求記録!$X$6:$X$3005,F$5,請求記録!$AD$6:$AD$3005,"保留中")&gt;0,"保留",IF(COUNTIFS(請求記録!$B$6:$B$3005,$A376,請求記録!$X$6:$X$3005,F$5)=0,"",SUMIFS(請求記録!$AC$6:$AC$3005,請求記録!$B$6:$B$3005,$A376,請求記録!$X$6:$X$3005,F$5))))</f>
        <v/>
      </c>
      <c r="G376" s="19">
        <f>IF($A376="","",IF(COUNTIFS(請求記録!$B$6:$B$3005,$A376,請求記録!$X$6:$X$3005,G$5,請求記録!$AD$6:$AD$3005,"保留中")&gt;0,"保留",IF(COUNTIFS(請求記録!$B$6:$B$3005,$A376,請求記録!$X$6:$X$3005,G$5)=0,"",SUMIFS(請求記録!$AC$6:$AC$3005,請求記録!$B$6:$B$3005,$A376,請求記録!$X$6:$X$3005,G$5))))</f>
        <v/>
      </c>
      <c r="H376" s="19">
        <f>IF($A376="","",IF(COUNTIFS(請求記録!$B$6:$B$3005,$A376,請求記録!$X$6:$X$3005,H$5,請求記録!$AD$6:$AD$3005,"保留中")&gt;0,"保留",IF(COUNTIFS(請求記録!$B$6:$B$3005,$A376,請求記録!$X$6:$X$3005,H$5)=0,"",SUMIFS(請求記録!$AC$6:$AC$3005,請求記録!$B$6:$B$3005,$A376,請求記録!$X$6:$X$3005,H$5))))</f>
        <v/>
      </c>
      <c r="I376" s="19">
        <f>IF($A376="","",IF(COUNTIFS(請求記録!$B$6:$B$3005,$A376,請求記録!$X$6:$X$3005,I$5,請求記録!$AD$6:$AD$3005,"保留中")&gt;0,"保留",IF(COUNTIFS(請求記録!$B$6:$B$3005,$A376,請求記録!$X$6:$X$3005,I$5)=0,"",SUMIFS(請求記録!$AC$6:$AC$3005,請求記録!$B$6:$B$3005,$A376,請求記録!$X$6:$X$3005,I$5))))</f>
        <v/>
      </c>
      <c r="J376" s="19">
        <f>IF($A376="","",IF(COUNTIFS(請求記録!$B$6:$B$3005,$A376,請求記録!$X$6:$X$3005,J$5,請求記録!$AD$6:$AD$3005,"保留中")&gt;0,"保留",IF(COUNTIFS(請求記録!$B$6:$B$3005,$A376,請求記録!$X$6:$X$3005,J$5)=0,"",SUMIFS(請求記録!$AC$6:$AC$3005,請求記録!$B$6:$B$3005,$A376,請求記録!$X$6:$X$3005,J$5))))</f>
        <v/>
      </c>
      <c r="K376" s="19">
        <f>IF($A376="","",IF(COUNTIFS(請求記録!$B$6:$B$3005,$A376,請求記録!$X$6:$X$3005,K$5,請求記録!$AD$6:$AD$3005,"保留中")&gt;0,"保留",IF(COUNTIFS(請求記録!$B$6:$B$3005,$A376,請求記録!$X$6:$X$3005,K$5)=0,"",SUMIFS(請求記録!$AC$6:$AC$3005,請求記録!$B$6:$B$3005,$A376,請求記録!$X$6:$X$3005,K$5))))</f>
        <v/>
      </c>
      <c r="L376" s="19">
        <f>IF($A376="","",IF(COUNTIFS(請求記録!$B$6:$B$3005,$A376,請求記録!$X$6:$X$3005,L$5,請求記録!$AD$6:$AD$3005,"保留中")&gt;0,"保留",IF(COUNTIFS(請求記録!$B$6:$B$3005,$A376,請求記録!$X$6:$X$3005,L$5)=0,"",SUMIFS(請求記録!$AC$6:$AC$3005,請求記録!$B$6:$B$3005,$A376,請求記録!$X$6:$X$3005,L$5))))</f>
        <v/>
      </c>
      <c r="M376" s="19">
        <f>IF($A376="","",IF(COUNTIFS(請求記録!$B$6:$B$3005,$A376,請求記録!$X$6:$X$3005,M$5,請求記録!$AD$6:$AD$3005,"保留中")&gt;0,"保留",IF(COUNTIFS(請求記録!$B$6:$B$3005,$A376,請求記録!$X$6:$X$3005,M$5)=0,"",SUMIFS(請求記録!$AC$6:$AC$3005,請求記録!$B$6:$B$3005,$A376,請求記録!$X$6:$X$3005,M$5))))</f>
        <v/>
      </c>
      <c r="N376" s="19">
        <f>IF($A376="","",IF(COUNTIFS(請求記録!$B$6:$B$3005,$A376,請求記録!$X$6:$X$3005,N$5,請求記録!$AD$6:$AD$3005,"保留中")&gt;0,"保留",IF(COUNTIFS(請求記録!$B$6:$B$3005,$A376,請求記録!$X$6:$X$3005,N$5)=0,"",SUMIFS(請求記録!$AC$6:$AC$3005,請求記録!$B$6:$B$3005,$A376,請求記録!$X$6:$X$3005,N$5))))</f>
        <v/>
      </c>
      <c r="O376" s="19">
        <f>IF($A376="","",IF(COUNTIFS(請求記録!$B$6:$B$3005,$A376,請求記録!$X$6:$X$3005,O$5,請求記録!$AD$6:$AD$3005,"保留中")&gt;0,"保留",IF(COUNTIFS(請求記録!$B$6:$B$3005,$A376,請求記録!$X$6:$X$3005,O$5)=0,"",SUMIFS(請求記録!$AC$6:$AC$3005,請求記録!$B$6:$B$3005,$A376,請求記録!$X$6:$X$3005,O$5))))</f>
        <v/>
      </c>
      <c r="P376" s="19">
        <f>IF($A376="","",IF(COUNTIFS(請求記録!$B$6:$B$3005,$A376,請求記録!$X$6:$X$3005,P$5,請求記録!$AD$6:$AD$3005,"保留中")&gt;0,"保留",IF(COUNTIFS(請求記録!$B$6:$B$3005,$A376,請求記録!$X$6:$X$3005,P$5)=0,"",SUMIFS(請求記録!$AC$6:$AC$3005,請求記録!$B$6:$B$3005,$A376,請求記録!$X$6:$X$3005,P$5))))</f>
        <v/>
      </c>
      <c r="Q376" s="19">
        <f>IF($A376="","",IF(COUNTIFS(請求記録!$B$6:$B$3005,$A376,請求記録!$X$6:$X$3005,Q$5,請求記録!$AD$6:$AD$3005,"保留中")&gt;0,"保留",IF(COUNTIFS(請求記録!$B$6:$B$3005,$A376,請求記録!$X$6:$X$3005,Q$5)=0,"",SUMIFS(請求記録!$AC$6:$AC$3005,請求記録!$B$6:$B$3005,$A376,請求記録!$X$6:$X$3005,Q$5))))</f>
        <v/>
      </c>
      <c r="R376" s="19">
        <f>IF($A376="","",IF(COUNTIFS(請求記録!$B$6:$B$3005,$A376,請求記録!$X$6:$X$3005,R$5,請求記録!$AD$6:$AD$3005,"保留中")&gt;0,"保留",IF(COUNTIFS(請求記録!$B$6:$B$3005,$A376,請求記録!$X$6:$X$3005,R$5)=0,"",SUMIFS(請求記録!$AC$6:$AC$3005,請求記録!$B$6:$B$3005,$A376,請求記録!$X$6:$X$3005,R$5))))</f>
        <v/>
      </c>
      <c r="S376" s="19">
        <f>IF($A376="","",IF(COUNTIFS(請求記録!$B$6:$B$3005,$A376,請求記録!$X$6:$X$3005,S$5,請求記録!$AD$6:$AD$3005,"保留中")&gt;0,"保留",IF(COUNTIFS(請求記録!$B$6:$B$3005,$A376,請求記録!$X$6:$X$3005,S$5)=0,"",SUMIFS(請求記録!$AC$6:$AC$3005,請求記録!$B$6:$B$3005,$A376,請求記録!$X$6:$X$3005,S$5))))</f>
        <v/>
      </c>
      <c r="T376" s="19">
        <f>IF($A376="","",IF(COUNTIFS(請求記録!$B$6:$B$3005,$A376,請求記録!$X$6:$X$3005,T$5,請求記録!$AD$6:$AD$3005,"保留中")&gt;0,"保留",IF(COUNTIFS(請求記録!$B$6:$B$3005,$A376,請求記録!$X$6:$X$3005,T$5)=0,"",SUMIFS(請求記録!$AC$6:$AC$3005,請求記録!$B$6:$B$3005,$A376,請求記録!$X$6:$X$3005,T$5))))</f>
        <v/>
      </c>
      <c r="U376" s="19">
        <f>IF($A376="","",IF(COUNTIFS(請求記録!$B$6:$B$3005,$A376,請求記録!$X$6:$X$3005,U$5,請求記録!$AD$6:$AD$3005,"保留中")&gt;0,"保留",IF(COUNTIFS(請求記録!$B$6:$B$3005,$A376,請求記録!$X$6:$X$3005,U$5)=0,"",SUMIFS(請求記録!$AC$6:$AC$3005,請求記録!$B$6:$B$3005,$A376,請求記録!$X$6:$X$3005,U$5))))</f>
        <v/>
      </c>
      <c r="V376" s="19">
        <f>IF($A376="","",IF(COUNTIFS(請求記録!$B$6:$B$3005,$A376,請求記録!$X$6:$X$3005,V$5,請求記録!$AD$6:$AD$3005,"保留中")&gt;0,"保留",IF(COUNTIFS(請求記録!$B$6:$B$3005,$A376,請求記録!$X$6:$X$3005,V$5)=0,"",SUMIFS(請求記録!$AC$6:$AC$3005,請求記録!$B$6:$B$3005,$A376,請求記録!$X$6:$X$3005,V$5))))</f>
        <v/>
      </c>
      <c r="W376" s="19">
        <f>IF($A376="","",IF(COUNTIFS(請求記録!$B$6:$B$3005,$A376,請求記録!$X$6:$X$3005,W$5,請求記録!$AD$6:$AD$3005,"保留中")&gt;0,"保留",IF(COUNTIFS(請求記録!$B$6:$B$3005,$A376,請求記録!$X$6:$X$3005,W$5)=0,"",SUMIFS(請求記録!$AC$6:$AC$3005,請求記録!$B$6:$B$3005,$A376,請求記録!$X$6:$X$3005,W$5))))</f>
        <v/>
      </c>
      <c r="X376" s="19">
        <f>IF($A376="","",IF(COUNTIFS(請求記録!$B$6:$B$3005,$A376,請求記録!$X$6:$X$3005,X$5,請求記録!$AD$6:$AD$3005,"保留中")&gt;0,"保留",IF(COUNTIFS(請求記録!$B$6:$B$3005,$A376,請求記録!$X$6:$X$3005,X$5)=0,"",SUMIFS(請求記録!$AC$6:$AC$3005,請求記録!$B$6:$B$3005,$A376,請求記録!$X$6:$X$3005,X$5))))</f>
        <v/>
      </c>
      <c r="Y376" s="19">
        <f>IF($A376="","",IF(COUNTIFS(請求記録!$B$6:$B$3005,$A376,請求記録!$X$6:$X$3005,Y$5,請求記録!$AD$6:$AD$3005,"保留中")&gt;0,"保留",IF(COUNTIFS(請求記録!$B$6:$B$3005,$A376,請求記録!$X$6:$X$3005,Y$5)=0,"",SUMIFS(請求記録!$AC$6:$AC$3005,請求記録!$B$6:$B$3005,$A376,請求記録!$X$6:$X$3005,Y$5))))</f>
        <v/>
      </c>
      <c r="Z376" s="19">
        <f>IF($A376="","",IF(COUNTIFS(請求記録!$B$6:$B$3005,$A376,請求記録!$X$6:$X$3005,Z$5,請求記録!$AD$6:$AD$3005,"保留中")&gt;0,"保留",IF(COUNTIFS(請求記録!$B$6:$B$3005,$A376,請求記録!$X$6:$X$3005,Z$5)=0,"",SUMIFS(請求記録!$AC$6:$AC$3005,請求記録!$B$6:$B$3005,$A376,請求記録!$X$6:$X$3005,Z$5))))</f>
        <v/>
      </c>
      <c r="AA376" s="19">
        <f>IF($A376="","",IF(COUNTIFS(請求記録!$B$6:$B$3005,$A376,請求記録!$X$6:$X$3005,AA$5,請求記録!$AD$6:$AD$3005,"保留中")&gt;0,"保留",IF(COUNTIFS(請求記録!$B$6:$B$3005,$A376,請求記録!$X$6:$X$3005,AA$5)=0,"",SUMIFS(請求記録!$AC$6:$AC$3005,請求記録!$B$6:$B$3005,$A376,請求記録!$X$6:$X$3005,AA$5))))</f>
        <v/>
      </c>
      <c r="AB376">
        <f>IF(職員マスタ!P376="保留中",職員マスタ!M376,"")</f>
        <v/>
      </c>
    </row>
    <row r="377">
      <c r="A377">
        <f>IF(職員マスタ!A377="","",職員マスタ!A377)</f>
        <v/>
      </c>
      <c r="B377">
        <f>IF($A377="","",職員マスタ!B377)</f>
        <v/>
      </c>
      <c r="C377">
        <f>IF($A377="","",職員マスタ!C377)</f>
        <v/>
      </c>
      <c r="D377" s="19">
        <f>IF($A377="","",IF(COUNTIFS(請求記録!$B$6:$B$3005,$A377,請求記録!$X$6:$X$3005,D$5,請求記録!$AD$6:$AD$3005,"保留中")&gt;0,"保留",IF(COUNTIFS(請求記録!$B$6:$B$3005,$A377,請求記録!$X$6:$X$3005,D$5)=0,"",SUMIFS(請求記録!$AC$6:$AC$3005,請求記録!$B$6:$B$3005,$A377,請求記録!$X$6:$X$3005,D$5))))</f>
        <v/>
      </c>
      <c r="E377" s="19">
        <f>IF($A377="","",IF(COUNTIFS(請求記録!$B$6:$B$3005,$A377,請求記録!$X$6:$X$3005,E$5,請求記録!$AD$6:$AD$3005,"保留中")&gt;0,"保留",IF(COUNTIFS(請求記録!$B$6:$B$3005,$A377,請求記録!$X$6:$X$3005,E$5)=0,"",SUMIFS(請求記録!$AC$6:$AC$3005,請求記録!$B$6:$B$3005,$A377,請求記録!$X$6:$X$3005,E$5))))</f>
        <v/>
      </c>
      <c r="F377" s="19">
        <f>IF($A377="","",IF(COUNTIFS(請求記録!$B$6:$B$3005,$A377,請求記録!$X$6:$X$3005,F$5,請求記録!$AD$6:$AD$3005,"保留中")&gt;0,"保留",IF(COUNTIFS(請求記録!$B$6:$B$3005,$A377,請求記録!$X$6:$X$3005,F$5)=0,"",SUMIFS(請求記録!$AC$6:$AC$3005,請求記録!$B$6:$B$3005,$A377,請求記録!$X$6:$X$3005,F$5))))</f>
        <v/>
      </c>
      <c r="G377" s="19">
        <f>IF($A377="","",IF(COUNTIFS(請求記録!$B$6:$B$3005,$A377,請求記録!$X$6:$X$3005,G$5,請求記録!$AD$6:$AD$3005,"保留中")&gt;0,"保留",IF(COUNTIFS(請求記録!$B$6:$B$3005,$A377,請求記録!$X$6:$X$3005,G$5)=0,"",SUMIFS(請求記録!$AC$6:$AC$3005,請求記録!$B$6:$B$3005,$A377,請求記録!$X$6:$X$3005,G$5))))</f>
        <v/>
      </c>
      <c r="H377" s="19">
        <f>IF($A377="","",IF(COUNTIFS(請求記録!$B$6:$B$3005,$A377,請求記録!$X$6:$X$3005,H$5,請求記録!$AD$6:$AD$3005,"保留中")&gt;0,"保留",IF(COUNTIFS(請求記録!$B$6:$B$3005,$A377,請求記録!$X$6:$X$3005,H$5)=0,"",SUMIFS(請求記録!$AC$6:$AC$3005,請求記録!$B$6:$B$3005,$A377,請求記録!$X$6:$X$3005,H$5))))</f>
        <v/>
      </c>
      <c r="I377" s="19">
        <f>IF($A377="","",IF(COUNTIFS(請求記録!$B$6:$B$3005,$A377,請求記録!$X$6:$X$3005,I$5,請求記録!$AD$6:$AD$3005,"保留中")&gt;0,"保留",IF(COUNTIFS(請求記録!$B$6:$B$3005,$A377,請求記録!$X$6:$X$3005,I$5)=0,"",SUMIFS(請求記録!$AC$6:$AC$3005,請求記録!$B$6:$B$3005,$A377,請求記録!$X$6:$X$3005,I$5))))</f>
        <v/>
      </c>
      <c r="J377" s="19">
        <f>IF($A377="","",IF(COUNTIFS(請求記録!$B$6:$B$3005,$A377,請求記録!$X$6:$X$3005,J$5,請求記録!$AD$6:$AD$3005,"保留中")&gt;0,"保留",IF(COUNTIFS(請求記録!$B$6:$B$3005,$A377,請求記録!$X$6:$X$3005,J$5)=0,"",SUMIFS(請求記録!$AC$6:$AC$3005,請求記録!$B$6:$B$3005,$A377,請求記録!$X$6:$X$3005,J$5))))</f>
        <v/>
      </c>
      <c r="K377" s="19">
        <f>IF($A377="","",IF(COUNTIFS(請求記録!$B$6:$B$3005,$A377,請求記録!$X$6:$X$3005,K$5,請求記録!$AD$6:$AD$3005,"保留中")&gt;0,"保留",IF(COUNTIFS(請求記録!$B$6:$B$3005,$A377,請求記録!$X$6:$X$3005,K$5)=0,"",SUMIFS(請求記録!$AC$6:$AC$3005,請求記録!$B$6:$B$3005,$A377,請求記録!$X$6:$X$3005,K$5))))</f>
        <v/>
      </c>
      <c r="L377" s="19">
        <f>IF($A377="","",IF(COUNTIFS(請求記録!$B$6:$B$3005,$A377,請求記録!$X$6:$X$3005,L$5,請求記録!$AD$6:$AD$3005,"保留中")&gt;0,"保留",IF(COUNTIFS(請求記録!$B$6:$B$3005,$A377,請求記録!$X$6:$X$3005,L$5)=0,"",SUMIFS(請求記録!$AC$6:$AC$3005,請求記録!$B$6:$B$3005,$A377,請求記録!$X$6:$X$3005,L$5))))</f>
        <v/>
      </c>
      <c r="M377" s="19">
        <f>IF($A377="","",IF(COUNTIFS(請求記録!$B$6:$B$3005,$A377,請求記録!$X$6:$X$3005,M$5,請求記録!$AD$6:$AD$3005,"保留中")&gt;0,"保留",IF(COUNTIFS(請求記録!$B$6:$B$3005,$A377,請求記録!$X$6:$X$3005,M$5)=0,"",SUMIFS(請求記録!$AC$6:$AC$3005,請求記録!$B$6:$B$3005,$A377,請求記録!$X$6:$X$3005,M$5))))</f>
        <v/>
      </c>
      <c r="N377" s="19">
        <f>IF($A377="","",IF(COUNTIFS(請求記録!$B$6:$B$3005,$A377,請求記録!$X$6:$X$3005,N$5,請求記録!$AD$6:$AD$3005,"保留中")&gt;0,"保留",IF(COUNTIFS(請求記録!$B$6:$B$3005,$A377,請求記録!$X$6:$X$3005,N$5)=0,"",SUMIFS(請求記録!$AC$6:$AC$3005,請求記録!$B$6:$B$3005,$A377,請求記録!$X$6:$X$3005,N$5))))</f>
        <v/>
      </c>
      <c r="O377" s="19">
        <f>IF($A377="","",IF(COUNTIFS(請求記録!$B$6:$B$3005,$A377,請求記録!$X$6:$X$3005,O$5,請求記録!$AD$6:$AD$3005,"保留中")&gt;0,"保留",IF(COUNTIFS(請求記録!$B$6:$B$3005,$A377,請求記録!$X$6:$X$3005,O$5)=0,"",SUMIFS(請求記録!$AC$6:$AC$3005,請求記録!$B$6:$B$3005,$A377,請求記録!$X$6:$X$3005,O$5))))</f>
        <v/>
      </c>
      <c r="P377" s="19">
        <f>IF($A377="","",IF(COUNTIFS(請求記録!$B$6:$B$3005,$A377,請求記録!$X$6:$X$3005,P$5,請求記録!$AD$6:$AD$3005,"保留中")&gt;0,"保留",IF(COUNTIFS(請求記録!$B$6:$B$3005,$A377,請求記録!$X$6:$X$3005,P$5)=0,"",SUMIFS(請求記録!$AC$6:$AC$3005,請求記録!$B$6:$B$3005,$A377,請求記録!$X$6:$X$3005,P$5))))</f>
        <v/>
      </c>
      <c r="Q377" s="19">
        <f>IF($A377="","",IF(COUNTIFS(請求記録!$B$6:$B$3005,$A377,請求記録!$X$6:$X$3005,Q$5,請求記録!$AD$6:$AD$3005,"保留中")&gt;0,"保留",IF(COUNTIFS(請求記録!$B$6:$B$3005,$A377,請求記録!$X$6:$X$3005,Q$5)=0,"",SUMIFS(請求記録!$AC$6:$AC$3005,請求記録!$B$6:$B$3005,$A377,請求記録!$X$6:$X$3005,Q$5))))</f>
        <v/>
      </c>
      <c r="R377" s="19">
        <f>IF($A377="","",IF(COUNTIFS(請求記録!$B$6:$B$3005,$A377,請求記録!$X$6:$X$3005,R$5,請求記録!$AD$6:$AD$3005,"保留中")&gt;0,"保留",IF(COUNTIFS(請求記録!$B$6:$B$3005,$A377,請求記録!$X$6:$X$3005,R$5)=0,"",SUMIFS(請求記録!$AC$6:$AC$3005,請求記録!$B$6:$B$3005,$A377,請求記録!$X$6:$X$3005,R$5))))</f>
        <v/>
      </c>
      <c r="S377" s="19">
        <f>IF($A377="","",IF(COUNTIFS(請求記録!$B$6:$B$3005,$A377,請求記録!$X$6:$X$3005,S$5,請求記録!$AD$6:$AD$3005,"保留中")&gt;0,"保留",IF(COUNTIFS(請求記録!$B$6:$B$3005,$A377,請求記録!$X$6:$X$3005,S$5)=0,"",SUMIFS(請求記録!$AC$6:$AC$3005,請求記録!$B$6:$B$3005,$A377,請求記録!$X$6:$X$3005,S$5))))</f>
        <v/>
      </c>
      <c r="T377" s="19">
        <f>IF($A377="","",IF(COUNTIFS(請求記録!$B$6:$B$3005,$A377,請求記録!$X$6:$X$3005,T$5,請求記録!$AD$6:$AD$3005,"保留中")&gt;0,"保留",IF(COUNTIFS(請求記録!$B$6:$B$3005,$A377,請求記録!$X$6:$X$3005,T$5)=0,"",SUMIFS(請求記録!$AC$6:$AC$3005,請求記録!$B$6:$B$3005,$A377,請求記録!$X$6:$X$3005,T$5))))</f>
        <v/>
      </c>
      <c r="U377" s="19">
        <f>IF($A377="","",IF(COUNTIFS(請求記録!$B$6:$B$3005,$A377,請求記録!$X$6:$X$3005,U$5,請求記録!$AD$6:$AD$3005,"保留中")&gt;0,"保留",IF(COUNTIFS(請求記録!$B$6:$B$3005,$A377,請求記録!$X$6:$X$3005,U$5)=0,"",SUMIFS(請求記録!$AC$6:$AC$3005,請求記録!$B$6:$B$3005,$A377,請求記録!$X$6:$X$3005,U$5))))</f>
        <v/>
      </c>
      <c r="V377" s="19">
        <f>IF($A377="","",IF(COUNTIFS(請求記録!$B$6:$B$3005,$A377,請求記録!$X$6:$X$3005,V$5,請求記録!$AD$6:$AD$3005,"保留中")&gt;0,"保留",IF(COUNTIFS(請求記録!$B$6:$B$3005,$A377,請求記録!$X$6:$X$3005,V$5)=0,"",SUMIFS(請求記録!$AC$6:$AC$3005,請求記録!$B$6:$B$3005,$A377,請求記録!$X$6:$X$3005,V$5))))</f>
        <v/>
      </c>
      <c r="W377" s="19">
        <f>IF($A377="","",IF(COUNTIFS(請求記録!$B$6:$B$3005,$A377,請求記録!$X$6:$X$3005,W$5,請求記録!$AD$6:$AD$3005,"保留中")&gt;0,"保留",IF(COUNTIFS(請求記録!$B$6:$B$3005,$A377,請求記録!$X$6:$X$3005,W$5)=0,"",SUMIFS(請求記録!$AC$6:$AC$3005,請求記録!$B$6:$B$3005,$A377,請求記録!$X$6:$X$3005,W$5))))</f>
        <v/>
      </c>
      <c r="X377" s="19">
        <f>IF($A377="","",IF(COUNTIFS(請求記録!$B$6:$B$3005,$A377,請求記録!$X$6:$X$3005,X$5,請求記録!$AD$6:$AD$3005,"保留中")&gt;0,"保留",IF(COUNTIFS(請求記録!$B$6:$B$3005,$A377,請求記録!$X$6:$X$3005,X$5)=0,"",SUMIFS(請求記録!$AC$6:$AC$3005,請求記録!$B$6:$B$3005,$A377,請求記録!$X$6:$X$3005,X$5))))</f>
        <v/>
      </c>
      <c r="Y377" s="19">
        <f>IF($A377="","",IF(COUNTIFS(請求記録!$B$6:$B$3005,$A377,請求記録!$X$6:$X$3005,Y$5,請求記録!$AD$6:$AD$3005,"保留中")&gt;0,"保留",IF(COUNTIFS(請求記録!$B$6:$B$3005,$A377,請求記録!$X$6:$X$3005,Y$5)=0,"",SUMIFS(請求記録!$AC$6:$AC$3005,請求記録!$B$6:$B$3005,$A377,請求記録!$X$6:$X$3005,Y$5))))</f>
        <v/>
      </c>
      <c r="Z377" s="19">
        <f>IF($A377="","",IF(COUNTIFS(請求記録!$B$6:$B$3005,$A377,請求記録!$X$6:$X$3005,Z$5,請求記録!$AD$6:$AD$3005,"保留中")&gt;0,"保留",IF(COUNTIFS(請求記録!$B$6:$B$3005,$A377,請求記録!$X$6:$X$3005,Z$5)=0,"",SUMIFS(請求記録!$AC$6:$AC$3005,請求記録!$B$6:$B$3005,$A377,請求記録!$X$6:$X$3005,Z$5))))</f>
        <v/>
      </c>
      <c r="AA377" s="19">
        <f>IF($A377="","",IF(COUNTIFS(請求記録!$B$6:$B$3005,$A377,請求記録!$X$6:$X$3005,AA$5,請求記録!$AD$6:$AD$3005,"保留中")&gt;0,"保留",IF(COUNTIFS(請求記録!$B$6:$B$3005,$A377,請求記録!$X$6:$X$3005,AA$5)=0,"",SUMIFS(請求記録!$AC$6:$AC$3005,請求記録!$B$6:$B$3005,$A377,請求記録!$X$6:$X$3005,AA$5))))</f>
        <v/>
      </c>
      <c r="AB377">
        <f>IF(職員マスタ!P377="保留中",職員マスタ!M377,"")</f>
        <v/>
      </c>
    </row>
    <row r="378">
      <c r="A378">
        <f>IF(職員マスタ!A378="","",職員マスタ!A378)</f>
        <v/>
      </c>
      <c r="B378">
        <f>IF($A378="","",職員マスタ!B378)</f>
        <v/>
      </c>
      <c r="C378">
        <f>IF($A378="","",職員マスタ!C378)</f>
        <v/>
      </c>
      <c r="D378" s="19">
        <f>IF($A378="","",IF(COUNTIFS(請求記録!$B$6:$B$3005,$A378,請求記録!$X$6:$X$3005,D$5,請求記録!$AD$6:$AD$3005,"保留中")&gt;0,"保留",IF(COUNTIFS(請求記録!$B$6:$B$3005,$A378,請求記録!$X$6:$X$3005,D$5)=0,"",SUMIFS(請求記録!$AC$6:$AC$3005,請求記録!$B$6:$B$3005,$A378,請求記録!$X$6:$X$3005,D$5))))</f>
        <v/>
      </c>
      <c r="E378" s="19">
        <f>IF($A378="","",IF(COUNTIFS(請求記録!$B$6:$B$3005,$A378,請求記録!$X$6:$X$3005,E$5,請求記録!$AD$6:$AD$3005,"保留中")&gt;0,"保留",IF(COUNTIFS(請求記録!$B$6:$B$3005,$A378,請求記録!$X$6:$X$3005,E$5)=0,"",SUMIFS(請求記録!$AC$6:$AC$3005,請求記録!$B$6:$B$3005,$A378,請求記録!$X$6:$X$3005,E$5))))</f>
        <v/>
      </c>
      <c r="F378" s="19">
        <f>IF($A378="","",IF(COUNTIFS(請求記録!$B$6:$B$3005,$A378,請求記録!$X$6:$X$3005,F$5,請求記録!$AD$6:$AD$3005,"保留中")&gt;0,"保留",IF(COUNTIFS(請求記録!$B$6:$B$3005,$A378,請求記録!$X$6:$X$3005,F$5)=0,"",SUMIFS(請求記録!$AC$6:$AC$3005,請求記録!$B$6:$B$3005,$A378,請求記録!$X$6:$X$3005,F$5))))</f>
        <v/>
      </c>
      <c r="G378" s="19">
        <f>IF($A378="","",IF(COUNTIFS(請求記録!$B$6:$B$3005,$A378,請求記録!$X$6:$X$3005,G$5,請求記録!$AD$6:$AD$3005,"保留中")&gt;0,"保留",IF(COUNTIFS(請求記録!$B$6:$B$3005,$A378,請求記録!$X$6:$X$3005,G$5)=0,"",SUMIFS(請求記録!$AC$6:$AC$3005,請求記録!$B$6:$B$3005,$A378,請求記録!$X$6:$X$3005,G$5))))</f>
        <v/>
      </c>
      <c r="H378" s="19">
        <f>IF($A378="","",IF(COUNTIFS(請求記録!$B$6:$B$3005,$A378,請求記録!$X$6:$X$3005,H$5,請求記録!$AD$6:$AD$3005,"保留中")&gt;0,"保留",IF(COUNTIFS(請求記録!$B$6:$B$3005,$A378,請求記録!$X$6:$X$3005,H$5)=0,"",SUMIFS(請求記録!$AC$6:$AC$3005,請求記録!$B$6:$B$3005,$A378,請求記録!$X$6:$X$3005,H$5))))</f>
        <v/>
      </c>
      <c r="I378" s="19">
        <f>IF($A378="","",IF(COUNTIFS(請求記録!$B$6:$B$3005,$A378,請求記録!$X$6:$X$3005,I$5,請求記録!$AD$6:$AD$3005,"保留中")&gt;0,"保留",IF(COUNTIFS(請求記録!$B$6:$B$3005,$A378,請求記録!$X$6:$X$3005,I$5)=0,"",SUMIFS(請求記録!$AC$6:$AC$3005,請求記録!$B$6:$B$3005,$A378,請求記録!$X$6:$X$3005,I$5))))</f>
        <v/>
      </c>
      <c r="J378" s="19">
        <f>IF($A378="","",IF(COUNTIFS(請求記録!$B$6:$B$3005,$A378,請求記録!$X$6:$X$3005,J$5,請求記録!$AD$6:$AD$3005,"保留中")&gt;0,"保留",IF(COUNTIFS(請求記録!$B$6:$B$3005,$A378,請求記録!$X$6:$X$3005,J$5)=0,"",SUMIFS(請求記録!$AC$6:$AC$3005,請求記録!$B$6:$B$3005,$A378,請求記録!$X$6:$X$3005,J$5))))</f>
        <v/>
      </c>
      <c r="K378" s="19">
        <f>IF($A378="","",IF(COUNTIFS(請求記録!$B$6:$B$3005,$A378,請求記録!$X$6:$X$3005,K$5,請求記録!$AD$6:$AD$3005,"保留中")&gt;0,"保留",IF(COUNTIFS(請求記録!$B$6:$B$3005,$A378,請求記録!$X$6:$X$3005,K$5)=0,"",SUMIFS(請求記録!$AC$6:$AC$3005,請求記録!$B$6:$B$3005,$A378,請求記録!$X$6:$X$3005,K$5))))</f>
        <v/>
      </c>
      <c r="L378" s="19">
        <f>IF($A378="","",IF(COUNTIFS(請求記録!$B$6:$B$3005,$A378,請求記録!$X$6:$X$3005,L$5,請求記録!$AD$6:$AD$3005,"保留中")&gt;0,"保留",IF(COUNTIFS(請求記録!$B$6:$B$3005,$A378,請求記録!$X$6:$X$3005,L$5)=0,"",SUMIFS(請求記録!$AC$6:$AC$3005,請求記録!$B$6:$B$3005,$A378,請求記録!$X$6:$X$3005,L$5))))</f>
        <v/>
      </c>
      <c r="M378" s="19">
        <f>IF($A378="","",IF(COUNTIFS(請求記録!$B$6:$B$3005,$A378,請求記録!$X$6:$X$3005,M$5,請求記録!$AD$6:$AD$3005,"保留中")&gt;0,"保留",IF(COUNTIFS(請求記録!$B$6:$B$3005,$A378,請求記録!$X$6:$X$3005,M$5)=0,"",SUMIFS(請求記録!$AC$6:$AC$3005,請求記録!$B$6:$B$3005,$A378,請求記録!$X$6:$X$3005,M$5))))</f>
        <v/>
      </c>
      <c r="N378" s="19">
        <f>IF($A378="","",IF(COUNTIFS(請求記録!$B$6:$B$3005,$A378,請求記録!$X$6:$X$3005,N$5,請求記録!$AD$6:$AD$3005,"保留中")&gt;0,"保留",IF(COUNTIFS(請求記録!$B$6:$B$3005,$A378,請求記録!$X$6:$X$3005,N$5)=0,"",SUMIFS(請求記録!$AC$6:$AC$3005,請求記録!$B$6:$B$3005,$A378,請求記録!$X$6:$X$3005,N$5))))</f>
        <v/>
      </c>
      <c r="O378" s="19">
        <f>IF($A378="","",IF(COUNTIFS(請求記録!$B$6:$B$3005,$A378,請求記録!$X$6:$X$3005,O$5,請求記録!$AD$6:$AD$3005,"保留中")&gt;0,"保留",IF(COUNTIFS(請求記録!$B$6:$B$3005,$A378,請求記録!$X$6:$X$3005,O$5)=0,"",SUMIFS(請求記録!$AC$6:$AC$3005,請求記録!$B$6:$B$3005,$A378,請求記録!$X$6:$X$3005,O$5))))</f>
        <v/>
      </c>
      <c r="P378" s="19">
        <f>IF($A378="","",IF(COUNTIFS(請求記録!$B$6:$B$3005,$A378,請求記録!$X$6:$X$3005,P$5,請求記録!$AD$6:$AD$3005,"保留中")&gt;0,"保留",IF(COUNTIFS(請求記録!$B$6:$B$3005,$A378,請求記録!$X$6:$X$3005,P$5)=0,"",SUMIFS(請求記録!$AC$6:$AC$3005,請求記録!$B$6:$B$3005,$A378,請求記録!$X$6:$X$3005,P$5))))</f>
        <v/>
      </c>
      <c r="Q378" s="19">
        <f>IF($A378="","",IF(COUNTIFS(請求記録!$B$6:$B$3005,$A378,請求記録!$X$6:$X$3005,Q$5,請求記録!$AD$6:$AD$3005,"保留中")&gt;0,"保留",IF(COUNTIFS(請求記録!$B$6:$B$3005,$A378,請求記録!$X$6:$X$3005,Q$5)=0,"",SUMIFS(請求記録!$AC$6:$AC$3005,請求記録!$B$6:$B$3005,$A378,請求記録!$X$6:$X$3005,Q$5))))</f>
        <v/>
      </c>
      <c r="R378" s="19">
        <f>IF($A378="","",IF(COUNTIFS(請求記録!$B$6:$B$3005,$A378,請求記録!$X$6:$X$3005,R$5,請求記録!$AD$6:$AD$3005,"保留中")&gt;0,"保留",IF(COUNTIFS(請求記録!$B$6:$B$3005,$A378,請求記録!$X$6:$X$3005,R$5)=0,"",SUMIFS(請求記録!$AC$6:$AC$3005,請求記録!$B$6:$B$3005,$A378,請求記録!$X$6:$X$3005,R$5))))</f>
        <v/>
      </c>
      <c r="S378" s="19">
        <f>IF($A378="","",IF(COUNTIFS(請求記録!$B$6:$B$3005,$A378,請求記録!$X$6:$X$3005,S$5,請求記録!$AD$6:$AD$3005,"保留中")&gt;0,"保留",IF(COUNTIFS(請求記録!$B$6:$B$3005,$A378,請求記録!$X$6:$X$3005,S$5)=0,"",SUMIFS(請求記録!$AC$6:$AC$3005,請求記録!$B$6:$B$3005,$A378,請求記録!$X$6:$X$3005,S$5))))</f>
        <v/>
      </c>
      <c r="T378" s="19">
        <f>IF($A378="","",IF(COUNTIFS(請求記録!$B$6:$B$3005,$A378,請求記録!$X$6:$X$3005,T$5,請求記録!$AD$6:$AD$3005,"保留中")&gt;0,"保留",IF(COUNTIFS(請求記録!$B$6:$B$3005,$A378,請求記録!$X$6:$X$3005,T$5)=0,"",SUMIFS(請求記録!$AC$6:$AC$3005,請求記録!$B$6:$B$3005,$A378,請求記録!$X$6:$X$3005,T$5))))</f>
        <v/>
      </c>
      <c r="U378" s="19">
        <f>IF($A378="","",IF(COUNTIFS(請求記録!$B$6:$B$3005,$A378,請求記録!$X$6:$X$3005,U$5,請求記録!$AD$6:$AD$3005,"保留中")&gt;0,"保留",IF(COUNTIFS(請求記録!$B$6:$B$3005,$A378,請求記録!$X$6:$X$3005,U$5)=0,"",SUMIFS(請求記録!$AC$6:$AC$3005,請求記録!$B$6:$B$3005,$A378,請求記録!$X$6:$X$3005,U$5))))</f>
        <v/>
      </c>
      <c r="V378" s="19">
        <f>IF($A378="","",IF(COUNTIFS(請求記録!$B$6:$B$3005,$A378,請求記録!$X$6:$X$3005,V$5,請求記録!$AD$6:$AD$3005,"保留中")&gt;0,"保留",IF(COUNTIFS(請求記録!$B$6:$B$3005,$A378,請求記録!$X$6:$X$3005,V$5)=0,"",SUMIFS(請求記録!$AC$6:$AC$3005,請求記録!$B$6:$B$3005,$A378,請求記録!$X$6:$X$3005,V$5))))</f>
        <v/>
      </c>
      <c r="W378" s="19">
        <f>IF($A378="","",IF(COUNTIFS(請求記録!$B$6:$B$3005,$A378,請求記録!$X$6:$X$3005,W$5,請求記録!$AD$6:$AD$3005,"保留中")&gt;0,"保留",IF(COUNTIFS(請求記録!$B$6:$B$3005,$A378,請求記録!$X$6:$X$3005,W$5)=0,"",SUMIFS(請求記録!$AC$6:$AC$3005,請求記録!$B$6:$B$3005,$A378,請求記録!$X$6:$X$3005,W$5))))</f>
        <v/>
      </c>
      <c r="X378" s="19">
        <f>IF($A378="","",IF(COUNTIFS(請求記録!$B$6:$B$3005,$A378,請求記録!$X$6:$X$3005,X$5,請求記録!$AD$6:$AD$3005,"保留中")&gt;0,"保留",IF(COUNTIFS(請求記録!$B$6:$B$3005,$A378,請求記録!$X$6:$X$3005,X$5)=0,"",SUMIFS(請求記録!$AC$6:$AC$3005,請求記録!$B$6:$B$3005,$A378,請求記録!$X$6:$X$3005,X$5))))</f>
        <v/>
      </c>
      <c r="Y378" s="19">
        <f>IF($A378="","",IF(COUNTIFS(請求記録!$B$6:$B$3005,$A378,請求記録!$X$6:$X$3005,Y$5,請求記録!$AD$6:$AD$3005,"保留中")&gt;0,"保留",IF(COUNTIFS(請求記録!$B$6:$B$3005,$A378,請求記録!$X$6:$X$3005,Y$5)=0,"",SUMIFS(請求記録!$AC$6:$AC$3005,請求記録!$B$6:$B$3005,$A378,請求記録!$X$6:$X$3005,Y$5))))</f>
        <v/>
      </c>
      <c r="Z378" s="19">
        <f>IF($A378="","",IF(COUNTIFS(請求記録!$B$6:$B$3005,$A378,請求記録!$X$6:$X$3005,Z$5,請求記録!$AD$6:$AD$3005,"保留中")&gt;0,"保留",IF(COUNTIFS(請求記録!$B$6:$B$3005,$A378,請求記録!$X$6:$X$3005,Z$5)=0,"",SUMIFS(請求記録!$AC$6:$AC$3005,請求記録!$B$6:$B$3005,$A378,請求記録!$X$6:$X$3005,Z$5))))</f>
        <v/>
      </c>
      <c r="AA378" s="19">
        <f>IF($A378="","",IF(COUNTIFS(請求記録!$B$6:$B$3005,$A378,請求記録!$X$6:$X$3005,AA$5,請求記録!$AD$6:$AD$3005,"保留中")&gt;0,"保留",IF(COUNTIFS(請求記録!$B$6:$B$3005,$A378,請求記録!$X$6:$X$3005,AA$5)=0,"",SUMIFS(請求記録!$AC$6:$AC$3005,請求記録!$B$6:$B$3005,$A378,請求記録!$X$6:$X$3005,AA$5))))</f>
        <v/>
      </c>
      <c r="AB378">
        <f>IF(職員マスタ!P378="保留中",職員マスタ!M378,"")</f>
        <v/>
      </c>
    </row>
    <row r="379">
      <c r="A379">
        <f>IF(職員マスタ!A379="","",職員マスタ!A379)</f>
        <v/>
      </c>
      <c r="B379">
        <f>IF($A379="","",職員マスタ!B379)</f>
        <v/>
      </c>
      <c r="C379">
        <f>IF($A379="","",職員マスタ!C379)</f>
        <v/>
      </c>
      <c r="D379" s="19">
        <f>IF($A379="","",IF(COUNTIFS(請求記録!$B$6:$B$3005,$A379,請求記録!$X$6:$X$3005,D$5,請求記録!$AD$6:$AD$3005,"保留中")&gt;0,"保留",IF(COUNTIFS(請求記録!$B$6:$B$3005,$A379,請求記録!$X$6:$X$3005,D$5)=0,"",SUMIFS(請求記録!$AC$6:$AC$3005,請求記録!$B$6:$B$3005,$A379,請求記録!$X$6:$X$3005,D$5))))</f>
        <v/>
      </c>
      <c r="E379" s="19">
        <f>IF($A379="","",IF(COUNTIFS(請求記録!$B$6:$B$3005,$A379,請求記録!$X$6:$X$3005,E$5,請求記録!$AD$6:$AD$3005,"保留中")&gt;0,"保留",IF(COUNTIFS(請求記録!$B$6:$B$3005,$A379,請求記録!$X$6:$X$3005,E$5)=0,"",SUMIFS(請求記録!$AC$6:$AC$3005,請求記録!$B$6:$B$3005,$A379,請求記録!$X$6:$X$3005,E$5))))</f>
        <v/>
      </c>
      <c r="F379" s="19">
        <f>IF($A379="","",IF(COUNTIFS(請求記録!$B$6:$B$3005,$A379,請求記録!$X$6:$X$3005,F$5,請求記録!$AD$6:$AD$3005,"保留中")&gt;0,"保留",IF(COUNTIFS(請求記録!$B$6:$B$3005,$A379,請求記録!$X$6:$X$3005,F$5)=0,"",SUMIFS(請求記録!$AC$6:$AC$3005,請求記録!$B$6:$B$3005,$A379,請求記録!$X$6:$X$3005,F$5))))</f>
        <v/>
      </c>
      <c r="G379" s="19">
        <f>IF($A379="","",IF(COUNTIFS(請求記録!$B$6:$B$3005,$A379,請求記録!$X$6:$X$3005,G$5,請求記録!$AD$6:$AD$3005,"保留中")&gt;0,"保留",IF(COUNTIFS(請求記録!$B$6:$B$3005,$A379,請求記録!$X$6:$X$3005,G$5)=0,"",SUMIFS(請求記録!$AC$6:$AC$3005,請求記録!$B$6:$B$3005,$A379,請求記録!$X$6:$X$3005,G$5))))</f>
        <v/>
      </c>
      <c r="H379" s="19">
        <f>IF($A379="","",IF(COUNTIFS(請求記録!$B$6:$B$3005,$A379,請求記録!$X$6:$X$3005,H$5,請求記録!$AD$6:$AD$3005,"保留中")&gt;0,"保留",IF(COUNTIFS(請求記録!$B$6:$B$3005,$A379,請求記録!$X$6:$X$3005,H$5)=0,"",SUMIFS(請求記録!$AC$6:$AC$3005,請求記録!$B$6:$B$3005,$A379,請求記録!$X$6:$X$3005,H$5))))</f>
        <v/>
      </c>
      <c r="I379" s="19">
        <f>IF($A379="","",IF(COUNTIFS(請求記録!$B$6:$B$3005,$A379,請求記録!$X$6:$X$3005,I$5,請求記録!$AD$6:$AD$3005,"保留中")&gt;0,"保留",IF(COUNTIFS(請求記録!$B$6:$B$3005,$A379,請求記録!$X$6:$X$3005,I$5)=0,"",SUMIFS(請求記録!$AC$6:$AC$3005,請求記録!$B$6:$B$3005,$A379,請求記録!$X$6:$X$3005,I$5))))</f>
        <v/>
      </c>
      <c r="J379" s="19">
        <f>IF($A379="","",IF(COUNTIFS(請求記録!$B$6:$B$3005,$A379,請求記録!$X$6:$X$3005,J$5,請求記録!$AD$6:$AD$3005,"保留中")&gt;0,"保留",IF(COUNTIFS(請求記録!$B$6:$B$3005,$A379,請求記録!$X$6:$X$3005,J$5)=0,"",SUMIFS(請求記録!$AC$6:$AC$3005,請求記録!$B$6:$B$3005,$A379,請求記録!$X$6:$X$3005,J$5))))</f>
        <v/>
      </c>
      <c r="K379" s="19">
        <f>IF($A379="","",IF(COUNTIFS(請求記録!$B$6:$B$3005,$A379,請求記録!$X$6:$X$3005,K$5,請求記録!$AD$6:$AD$3005,"保留中")&gt;0,"保留",IF(COUNTIFS(請求記録!$B$6:$B$3005,$A379,請求記録!$X$6:$X$3005,K$5)=0,"",SUMIFS(請求記録!$AC$6:$AC$3005,請求記録!$B$6:$B$3005,$A379,請求記録!$X$6:$X$3005,K$5))))</f>
        <v/>
      </c>
      <c r="L379" s="19">
        <f>IF($A379="","",IF(COUNTIFS(請求記録!$B$6:$B$3005,$A379,請求記録!$X$6:$X$3005,L$5,請求記録!$AD$6:$AD$3005,"保留中")&gt;0,"保留",IF(COUNTIFS(請求記録!$B$6:$B$3005,$A379,請求記録!$X$6:$X$3005,L$5)=0,"",SUMIFS(請求記録!$AC$6:$AC$3005,請求記録!$B$6:$B$3005,$A379,請求記録!$X$6:$X$3005,L$5))))</f>
        <v/>
      </c>
      <c r="M379" s="19">
        <f>IF($A379="","",IF(COUNTIFS(請求記録!$B$6:$B$3005,$A379,請求記録!$X$6:$X$3005,M$5,請求記録!$AD$6:$AD$3005,"保留中")&gt;0,"保留",IF(COUNTIFS(請求記録!$B$6:$B$3005,$A379,請求記録!$X$6:$X$3005,M$5)=0,"",SUMIFS(請求記録!$AC$6:$AC$3005,請求記録!$B$6:$B$3005,$A379,請求記録!$X$6:$X$3005,M$5))))</f>
        <v/>
      </c>
      <c r="N379" s="19">
        <f>IF($A379="","",IF(COUNTIFS(請求記録!$B$6:$B$3005,$A379,請求記録!$X$6:$X$3005,N$5,請求記録!$AD$6:$AD$3005,"保留中")&gt;0,"保留",IF(COUNTIFS(請求記録!$B$6:$B$3005,$A379,請求記録!$X$6:$X$3005,N$5)=0,"",SUMIFS(請求記録!$AC$6:$AC$3005,請求記録!$B$6:$B$3005,$A379,請求記録!$X$6:$X$3005,N$5))))</f>
        <v/>
      </c>
      <c r="O379" s="19">
        <f>IF($A379="","",IF(COUNTIFS(請求記録!$B$6:$B$3005,$A379,請求記録!$X$6:$X$3005,O$5,請求記録!$AD$6:$AD$3005,"保留中")&gt;0,"保留",IF(COUNTIFS(請求記録!$B$6:$B$3005,$A379,請求記録!$X$6:$X$3005,O$5)=0,"",SUMIFS(請求記録!$AC$6:$AC$3005,請求記録!$B$6:$B$3005,$A379,請求記録!$X$6:$X$3005,O$5))))</f>
        <v/>
      </c>
      <c r="P379" s="19">
        <f>IF($A379="","",IF(COUNTIFS(請求記録!$B$6:$B$3005,$A379,請求記録!$X$6:$X$3005,P$5,請求記録!$AD$6:$AD$3005,"保留中")&gt;0,"保留",IF(COUNTIFS(請求記録!$B$6:$B$3005,$A379,請求記録!$X$6:$X$3005,P$5)=0,"",SUMIFS(請求記録!$AC$6:$AC$3005,請求記録!$B$6:$B$3005,$A379,請求記録!$X$6:$X$3005,P$5))))</f>
        <v/>
      </c>
      <c r="Q379" s="19">
        <f>IF($A379="","",IF(COUNTIFS(請求記録!$B$6:$B$3005,$A379,請求記録!$X$6:$X$3005,Q$5,請求記録!$AD$6:$AD$3005,"保留中")&gt;0,"保留",IF(COUNTIFS(請求記録!$B$6:$B$3005,$A379,請求記録!$X$6:$X$3005,Q$5)=0,"",SUMIFS(請求記録!$AC$6:$AC$3005,請求記録!$B$6:$B$3005,$A379,請求記録!$X$6:$X$3005,Q$5))))</f>
        <v/>
      </c>
      <c r="R379" s="19">
        <f>IF($A379="","",IF(COUNTIFS(請求記録!$B$6:$B$3005,$A379,請求記録!$X$6:$X$3005,R$5,請求記録!$AD$6:$AD$3005,"保留中")&gt;0,"保留",IF(COUNTIFS(請求記録!$B$6:$B$3005,$A379,請求記録!$X$6:$X$3005,R$5)=0,"",SUMIFS(請求記録!$AC$6:$AC$3005,請求記録!$B$6:$B$3005,$A379,請求記録!$X$6:$X$3005,R$5))))</f>
        <v/>
      </c>
      <c r="S379" s="19">
        <f>IF($A379="","",IF(COUNTIFS(請求記録!$B$6:$B$3005,$A379,請求記録!$X$6:$X$3005,S$5,請求記録!$AD$6:$AD$3005,"保留中")&gt;0,"保留",IF(COUNTIFS(請求記録!$B$6:$B$3005,$A379,請求記録!$X$6:$X$3005,S$5)=0,"",SUMIFS(請求記録!$AC$6:$AC$3005,請求記録!$B$6:$B$3005,$A379,請求記録!$X$6:$X$3005,S$5))))</f>
        <v/>
      </c>
      <c r="T379" s="19">
        <f>IF($A379="","",IF(COUNTIFS(請求記録!$B$6:$B$3005,$A379,請求記録!$X$6:$X$3005,T$5,請求記録!$AD$6:$AD$3005,"保留中")&gt;0,"保留",IF(COUNTIFS(請求記録!$B$6:$B$3005,$A379,請求記録!$X$6:$X$3005,T$5)=0,"",SUMIFS(請求記録!$AC$6:$AC$3005,請求記録!$B$6:$B$3005,$A379,請求記録!$X$6:$X$3005,T$5))))</f>
        <v/>
      </c>
      <c r="U379" s="19">
        <f>IF($A379="","",IF(COUNTIFS(請求記録!$B$6:$B$3005,$A379,請求記録!$X$6:$X$3005,U$5,請求記録!$AD$6:$AD$3005,"保留中")&gt;0,"保留",IF(COUNTIFS(請求記録!$B$6:$B$3005,$A379,請求記録!$X$6:$X$3005,U$5)=0,"",SUMIFS(請求記録!$AC$6:$AC$3005,請求記録!$B$6:$B$3005,$A379,請求記録!$X$6:$X$3005,U$5))))</f>
        <v/>
      </c>
      <c r="V379" s="19">
        <f>IF($A379="","",IF(COUNTIFS(請求記録!$B$6:$B$3005,$A379,請求記録!$X$6:$X$3005,V$5,請求記録!$AD$6:$AD$3005,"保留中")&gt;0,"保留",IF(COUNTIFS(請求記録!$B$6:$B$3005,$A379,請求記録!$X$6:$X$3005,V$5)=0,"",SUMIFS(請求記録!$AC$6:$AC$3005,請求記録!$B$6:$B$3005,$A379,請求記録!$X$6:$X$3005,V$5))))</f>
        <v/>
      </c>
      <c r="W379" s="19">
        <f>IF($A379="","",IF(COUNTIFS(請求記録!$B$6:$B$3005,$A379,請求記録!$X$6:$X$3005,W$5,請求記録!$AD$6:$AD$3005,"保留中")&gt;0,"保留",IF(COUNTIFS(請求記録!$B$6:$B$3005,$A379,請求記録!$X$6:$X$3005,W$5)=0,"",SUMIFS(請求記録!$AC$6:$AC$3005,請求記録!$B$6:$B$3005,$A379,請求記録!$X$6:$X$3005,W$5))))</f>
        <v/>
      </c>
      <c r="X379" s="19">
        <f>IF($A379="","",IF(COUNTIFS(請求記録!$B$6:$B$3005,$A379,請求記録!$X$6:$X$3005,X$5,請求記録!$AD$6:$AD$3005,"保留中")&gt;0,"保留",IF(COUNTIFS(請求記録!$B$6:$B$3005,$A379,請求記録!$X$6:$X$3005,X$5)=0,"",SUMIFS(請求記録!$AC$6:$AC$3005,請求記録!$B$6:$B$3005,$A379,請求記録!$X$6:$X$3005,X$5))))</f>
        <v/>
      </c>
      <c r="Y379" s="19">
        <f>IF($A379="","",IF(COUNTIFS(請求記録!$B$6:$B$3005,$A379,請求記録!$X$6:$X$3005,Y$5,請求記録!$AD$6:$AD$3005,"保留中")&gt;0,"保留",IF(COUNTIFS(請求記録!$B$6:$B$3005,$A379,請求記録!$X$6:$X$3005,Y$5)=0,"",SUMIFS(請求記録!$AC$6:$AC$3005,請求記録!$B$6:$B$3005,$A379,請求記録!$X$6:$X$3005,Y$5))))</f>
        <v/>
      </c>
      <c r="Z379" s="19">
        <f>IF($A379="","",IF(COUNTIFS(請求記録!$B$6:$B$3005,$A379,請求記録!$X$6:$X$3005,Z$5,請求記録!$AD$6:$AD$3005,"保留中")&gt;0,"保留",IF(COUNTIFS(請求記録!$B$6:$B$3005,$A379,請求記録!$X$6:$X$3005,Z$5)=0,"",SUMIFS(請求記録!$AC$6:$AC$3005,請求記録!$B$6:$B$3005,$A379,請求記録!$X$6:$X$3005,Z$5))))</f>
        <v/>
      </c>
      <c r="AA379" s="19">
        <f>IF($A379="","",IF(COUNTIFS(請求記録!$B$6:$B$3005,$A379,請求記録!$X$6:$X$3005,AA$5,請求記録!$AD$6:$AD$3005,"保留中")&gt;0,"保留",IF(COUNTIFS(請求記録!$B$6:$B$3005,$A379,請求記録!$X$6:$X$3005,AA$5)=0,"",SUMIFS(請求記録!$AC$6:$AC$3005,請求記録!$B$6:$B$3005,$A379,請求記録!$X$6:$X$3005,AA$5))))</f>
        <v/>
      </c>
      <c r="AB379">
        <f>IF(職員マスタ!P379="保留中",職員マスタ!M379,"")</f>
        <v/>
      </c>
    </row>
    <row r="380">
      <c r="A380">
        <f>IF(職員マスタ!A380="","",職員マスタ!A380)</f>
        <v/>
      </c>
      <c r="B380">
        <f>IF($A380="","",職員マスタ!B380)</f>
        <v/>
      </c>
      <c r="C380">
        <f>IF($A380="","",職員マスタ!C380)</f>
        <v/>
      </c>
      <c r="D380" s="19">
        <f>IF($A380="","",IF(COUNTIFS(請求記録!$B$6:$B$3005,$A380,請求記録!$X$6:$X$3005,D$5,請求記録!$AD$6:$AD$3005,"保留中")&gt;0,"保留",IF(COUNTIFS(請求記録!$B$6:$B$3005,$A380,請求記録!$X$6:$X$3005,D$5)=0,"",SUMIFS(請求記録!$AC$6:$AC$3005,請求記録!$B$6:$B$3005,$A380,請求記録!$X$6:$X$3005,D$5))))</f>
        <v/>
      </c>
      <c r="E380" s="19">
        <f>IF($A380="","",IF(COUNTIFS(請求記録!$B$6:$B$3005,$A380,請求記録!$X$6:$X$3005,E$5,請求記録!$AD$6:$AD$3005,"保留中")&gt;0,"保留",IF(COUNTIFS(請求記録!$B$6:$B$3005,$A380,請求記録!$X$6:$X$3005,E$5)=0,"",SUMIFS(請求記録!$AC$6:$AC$3005,請求記録!$B$6:$B$3005,$A380,請求記録!$X$6:$X$3005,E$5))))</f>
        <v/>
      </c>
      <c r="F380" s="19">
        <f>IF($A380="","",IF(COUNTIFS(請求記録!$B$6:$B$3005,$A380,請求記録!$X$6:$X$3005,F$5,請求記録!$AD$6:$AD$3005,"保留中")&gt;0,"保留",IF(COUNTIFS(請求記録!$B$6:$B$3005,$A380,請求記録!$X$6:$X$3005,F$5)=0,"",SUMIFS(請求記録!$AC$6:$AC$3005,請求記録!$B$6:$B$3005,$A380,請求記録!$X$6:$X$3005,F$5))))</f>
        <v/>
      </c>
      <c r="G380" s="19">
        <f>IF($A380="","",IF(COUNTIFS(請求記録!$B$6:$B$3005,$A380,請求記録!$X$6:$X$3005,G$5,請求記録!$AD$6:$AD$3005,"保留中")&gt;0,"保留",IF(COUNTIFS(請求記録!$B$6:$B$3005,$A380,請求記録!$X$6:$X$3005,G$5)=0,"",SUMIFS(請求記録!$AC$6:$AC$3005,請求記録!$B$6:$B$3005,$A380,請求記録!$X$6:$X$3005,G$5))))</f>
        <v/>
      </c>
      <c r="H380" s="19">
        <f>IF($A380="","",IF(COUNTIFS(請求記録!$B$6:$B$3005,$A380,請求記録!$X$6:$X$3005,H$5,請求記録!$AD$6:$AD$3005,"保留中")&gt;0,"保留",IF(COUNTIFS(請求記録!$B$6:$B$3005,$A380,請求記録!$X$6:$X$3005,H$5)=0,"",SUMIFS(請求記録!$AC$6:$AC$3005,請求記録!$B$6:$B$3005,$A380,請求記録!$X$6:$X$3005,H$5))))</f>
        <v/>
      </c>
      <c r="I380" s="19">
        <f>IF($A380="","",IF(COUNTIFS(請求記録!$B$6:$B$3005,$A380,請求記録!$X$6:$X$3005,I$5,請求記録!$AD$6:$AD$3005,"保留中")&gt;0,"保留",IF(COUNTIFS(請求記録!$B$6:$B$3005,$A380,請求記録!$X$6:$X$3005,I$5)=0,"",SUMIFS(請求記録!$AC$6:$AC$3005,請求記録!$B$6:$B$3005,$A380,請求記録!$X$6:$X$3005,I$5))))</f>
        <v/>
      </c>
      <c r="J380" s="19">
        <f>IF($A380="","",IF(COUNTIFS(請求記録!$B$6:$B$3005,$A380,請求記録!$X$6:$X$3005,J$5,請求記録!$AD$6:$AD$3005,"保留中")&gt;0,"保留",IF(COUNTIFS(請求記録!$B$6:$B$3005,$A380,請求記録!$X$6:$X$3005,J$5)=0,"",SUMIFS(請求記録!$AC$6:$AC$3005,請求記録!$B$6:$B$3005,$A380,請求記録!$X$6:$X$3005,J$5))))</f>
        <v/>
      </c>
      <c r="K380" s="19">
        <f>IF($A380="","",IF(COUNTIFS(請求記録!$B$6:$B$3005,$A380,請求記録!$X$6:$X$3005,K$5,請求記録!$AD$6:$AD$3005,"保留中")&gt;0,"保留",IF(COUNTIFS(請求記録!$B$6:$B$3005,$A380,請求記録!$X$6:$X$3005,K$5)=0,"",SUMIFS(請求記録!$AC$6:$AC$3005,請求記録!$B$6:$B$3005,$A380,請求記録!$X$6:$X$3005,K$5))))</f>
        <v/>
      </c>
      <c r="L380" s="19">
        <f>IF($A380="","",IF(COUNTIFS(請求記録!$B$6:$B$3005,$A380,請求記録!$X$6:$X$3005,L$5,請求記録!$AD$6:$AD$3005,"保留中")&gt;0,"保留",IF(COUNTIFS(請求記録!$B$6:$B$3005,$A380,請求記録!$X$6:$X$3005,L$5)=0,"",SUMIFS(請求記録!$AC$6:$AC$3005,請求記録!$B$6:$B$3005,$A380,請求記録!$X$6:$X$3005,L$5))))</f>
        <v/>
      </c>
      <c r="M380" s="19">
        <f>IF($A380="","",IF(COUNTIFS(請求記録!$B$6:$B$3005,$A380,請求記録!$X$6:$X$3005,M$5,請求記録!$AD$6:$AD$3005,"保留中")&gt;0,"保留",IF(COUNTIFS(請求記録!$B$6:$B$3005,$A380,請求記録!$X$6:$X$3005,M$5)=0,"",SUMIFS(請求記録!$AC$6:$AC$3005,請求記録!$B$6:$B$3005,$A380,請求記録!$X$6:$X$3005,M$5))))</f>
        <v/>
      </c>
      <c r="N380" s="19">
        <f>IF($A380="","",IF(COUNTIFS(請求記録!$B$6:$B$3005,$A380,請求記録!$X$6:$X$3005,N$5,請求記録!$AD$6:$AD$3005,"保留中")&gt;0,"保留",IF(COUNTIFS(請求記録!$B$6:$B$3005,$A380,請求記録!$X$6:$X$3005,N$5)=0,"",SUMIFS(請求記録!$AC$6:$AC$3005,請求記録!$B$6:$B$3005,$A380,請求記録!$X$6:$X$3005,N$5))))</f>
        <v/>
      </c>
      <c r="O380" s="19">
        <f>IF($A380="","",IF(COUNTIFS(請求記録!$B$6:$B$3005,$A380,請求記録!$X$6:$X$3005,O$5,請求記録!$AD$6:$AD$3005,"保留中")&gt;0,"保留",IF(COUNTIFS(請求記録!$B$6:$B$3005,$A380,請求記録!$X$6:$X$3005,O$5)=0,"",SUMIFS(請求記録!$AC$6:$AC$3005,請求記録!$B$6:$B$3005,$A380,請求記録!$X$6:$X$3005,O$5))))</f>
        <v/>
      </c>
      <c r="P380" s="19">
        <f>IF($A380="","",IF(COUNTIFS(請求記録!$B$6:$B$3005,$A380,請求記録!$X$6:$X$3005,P$5,請求記録!$AD$6:$AD$3005,"保留中")&gt;0,"保留",IF(COUNTIFS(請求記録!$B$6:$B$3005,$A380,請求記録!$X$6:$X$3005,P$5)=0,"",SUMIFS(請求記録!$AC$6:$AC$3005,請求記録!$B$6:$B$3005,$A380,請求記録!$X$6:$X$3005,P$5))))</f>
        <v/>
      </c>
      <c r="Q380" s="19">
        <f>IF($A380="","",IF(COUNTIFS(請求記録!$B$6:$B$3005,$A380,請求記録!$X$6:$X$3005,Q$5,請求記録!$AD$6:$AD$3005,"保留中")&gt;0,"保留",IF(COUNTIFS(請求記録!$B$6:$B$3005,$A380,請求記録!$X$6:$X$3005,Q$5)=0,"",SUMIFS(請求記録!$AC$6:$AC$3005,請求記録!$B$6:$B$3005,$A380,請求記録!$X$6:$X$3005,Q$5))))</f>
        <v/>
      </c>
      <c r="R380" s="19">
        <f>IF($A380="","",IF(COUNTIFS(請求記録!$B$6:$B$3005,$A380,請求記録!$X$6:$X$3005,R$5,請求記録!$AD$6:$AD$3005,"保留中")&gt;0,"保留",IF(COUNTIFS(請求記録!$B$6:$B$3005,$A380,請求記録!$X$6:$X$3005,R$5)=0,"",SUMIFS(請求記録!$AC$6:$AC$3005,請求記録!$B$6:$B$3005,$A380,請求記録!$X$6:$X$3005,R$5))))</f>
        <v/>
      </c>
      <c r="S380" s="19">
        <f>IF($A380="","",IF(COUNTIFS(請求記録!$B$6:$B$3005,$A380,請求記録!$X$6:$X$3005,S$5,請求記録!$AD$6:$AD$3005,"保留中")&gt;0,"保留",IF(COUNTIFS(請求記録!$B$6:$B$3005,$A380,請求記録!$X$6:$X$3005,S$5)=0,"",SUMIFS(請求記録!$AC$6:$AC$3005,請求記録!$B$6:$B$3005,$A380,請求記録!$X$6:$X$3005,S$5))))</f>
        <v/>
      </c>
      <c r="T380" s="19">
        <f>IF($A380="","",IF(COUNTIFS(請求記録!$B$6:$B$3005,$A380,請求記録!$X$6:$X$3005,T$5,請求記録!$AD$6:$AD$3005,"保留中")&gt;0,"保留",IF(COUNTIFS(請求記録!$B$6:$B$3005,$A380,請求記録!$X$6:$X$3005,T$5)=0,"",SUMIFS(請求記録!$AC$6:$AC$3005,請求記録!$B$6:$B$3005,$A380,請求記録!$X$6:$X$3005,T$5))))</f>
        <v/>
      </c>
      <c r="U380" s="19">
        <f>IF($A380="","",IF(COUNTIFS(請求記録!$B$6:$B$3005,$A380,請求記録!$X$6:$X$3005,U$5,請求記録!$AD$6:$AD$3005,"保留中")&gt;0,"保留",IF(COUNTIFS(請求記録!$B$6:$B$3005,$A380,請求記録!$X$6:$X$3005,U$5)=0,"",SUMIFS(請求記録!$AC$6:$AC$3005,請求記録!$B$6:$B$3005,$A380,請求記録!$X$6:$X$3005,U$5))))</f>
        <v/>
      </c>
      <c r="V380" s="19">
        <f>IF($A380="","",IF(COUNTIFS(請求記録!$B$6:$B$3005,$A380,請求記録!$X$6:$X$3005,V$5,請求記録!$AD$6:$AD$3005,"保留中")&gt;0,"保留",IF(COUNTIFS(請求記録!$B$6:$B$3005,$A380,請求記録!$X$6:$X$3005,V$5)=0,"",SUMIFS(請求記録!$AC$6:$AC$3005,請求記録!$B$6:$B$3005,$A380,請求記録!$X$6:$X$3005,V$5))))</f>
        <v/>
      </c>
      <c r="W380" s="19">
        <f>IF($A380="","",IF(COUNTIFS(請求記録!$B$6:$B$3005,$A380,請求記録!$X$6:$X$3005,W$5,請求記録!$AD$6:$AD$3005,"保留中")&gt;0,"保留",IF(COUNTIFS(請求記録!$B$6:$B$3005,$A380,請求記録!$X$6:$X$3005,W$5)=0,"",SUMIFS(請求記録!$AC$6:$AC$3005,請求記録!$B$6:$B$3005,$A380,請求記録!$X$6:$X$3005,W$5))))</f>
        <v/>
      </c>
      <c r="X380" s="19">
        <f>IF($A380="","",IF(COUNTIFS(請求記録!$B$6:$B$3005,$A380,請求記録!$X$6:$X$3005,X$5,請求記録!$AD$6:$AD$3005,"保留中")&gt;0,"保留",IF(COUNTIFS(請求記録!$B$6:$B$3005,$A380,請求記録!$X$6:$X$3005,X$5)=0,"",SUMIFS(請求記録!$AC$6:$AC$3005,請求記録!$B$6:$B$3005,$A380,請求記録!$X$6:$X$3005,X$5))))</f>
        <v/>
      </c>
      <c r="Y380" s="19">
        <f>IF($A380="","",IF(COUNTIFS(請求記録!$B$6:$B$3005,$A380,請求記録!$X$6:$X$3005,Y$5,請求記録!$AD$6:$AD$3005,"保留中")&gt;0,"保留",IF(COUNTIFS(請求記録!$B$6:$B$3005,$A380,請求記録!$X$6:$X$3005,Y$5)=0,"",SUMIFS(請求記録!$AC$6:$AC$3005,請求記録!$B$6:$B$3005,$A380,請求記録!$X$6:$X$3005,Y$5))))</f>
        <v/>
      </c>
      <c r="Z380" s="19">
        <f>IF($A380="","",IF(COUNTIFS(請求記録!$B$6:$B$3005,$A380,請求記録!$X$6:$X$3005,Z$5,請求記録!$AD$6:$AD$3005,"保留中")&gt;0,"保留",IF(COUNTIFS(請求記録!$B$6:$B$3005,$A380,請求記録!$X$6:$X$3005,Z$5)=0,"",SUMIFS(請求記録!$AC$6:$AC$3005,請求記録!$B$6:$B$3005,$A380,請求記録!$X$6:$X$3005,Z$5))))</f>
        <v/>
      </c>
      <c r="AA380" s="19">
        <f>IF($A380="","",IF(COUNTIFS(請求記録!$B$6:$B$3005,$A380,請求記録!$X$6:$X$3005,AA$5,請求記録!$AD$6:$AD$3005,"保留中")&gt;0,"保留",IF(COUNTIFS(請求記録!$B$6:$B$3005,$A380,請求記録!$X$6:$X$3005,AA$5)=0,"",SUMIFS(請求記録!$AC$6:$AC$3005,請求記録!$B$6:$B$3005,$A380,請求記録!$X$6:$X$3005,AA$5))))</f>
        <v/>
      </c>
      <c r="AB380">
        <f>IF(職員マスタ!P380="保留中",職員マスタ!M380,"")</f>
        <v/>
      </c>
    </row>
    <row r="381">
      <c r="A381">
        <f>IF(職員マスタ!A381="","",職員マスタ!A381)</f>
        <v/>
      </c>
      <c r="B381">
        <f>IF($A381="","",職員マスタ!B381)</f>
        <v/>
      </c>
      <c r="C381">
        <f>IF($A381="","",職員マスタ!C381)</f>
        <v/>
      </c>
      <c r="D381" s="19">
        <f>IF($A381="","",IF(COUNTIFS(請求記録!$B$6:$B$3005,$A381,請求記録!$X$6:$X$3005,D$5,請求記録!$AD$6:$AD$3005,"保留中")&gt;0,"保留",IF(COUNTIFS(請求記録!$B$6:$B$3005,$A381,請求記録!$X$6:$X$3005,D$5)=0,"",SUMIFS(請求記録!$AC$6:$AC$3005,請求記録!$B$6:$B$3005,$A381,請求記録!$X$6:$X$3005,D$5))))</f>
        <v/>
      </c>
      <c r="E381" s="19">
        <f>IF($A381="","",IF(COUNTIFS(請求記録!$B$6:$B$3005,$A381,請求記録!$X$6:$X$3005,E$5,請求記録!$AD$6:$AD$3005,"保留中")&gt;0,"保留",IF(COUNTIFS(請求記録!$B$6:$B$3005,$A381,請求記録!$X$6:$X$3005,E$5)=0,"",SUMIFS(請求記録!$AC$6:$AC$3005,請求記録!$B$6:$B$3005,$A381,請求記録!$X$6:$X$3005,E$5))))</f>
        <v/>
      </c>
      <c r="F381" s="19">
        <f>IF($A381="","",IF(COUNTIFS(請求記録!$B$6:$B$3005,$A381,請求記録!$X$6:$X$3005,F$5,請求記録!$AD$6:$AD$3005,"保留中")&gt;0,"保留",IF(COUNTIFS(請求記録!$B$6:$B$3005,$A381,請求記録!$X$6:$X$3005,F$5)=0,"",SUMIFS(請求記録!$AC$6:$AC$3005,請求記録!$B$6:$B$3005,$A381,請求記録!$X$6:$X$3005,F$5))))</f>
        <v/>
      </c>
      <c r="G381" s="19">
        <f>IF($A381="","",IF(COUNTIFS(請求記録!$B$6:$B$3005,$A381,請求記録!$X$6:$X$3005,G$5,請求記録!$AD$6:$AD$3005,"保留中")&gt;0,"保留",IF(COUNTIFS(請求記録!$B$6:$B$3005,$A381,請求記録!$X$6:$X$3005,G$5)=0,"",SUMIFS(請求記録!$AC$6:$AC$3005,請求記録!$B$6:$B$3005,$A381,請求記録!$X$6:$X$3005,G$5))))</f>
        <v/>
      </c>
      <c r="H381" s="19">
        <f>IF($A381="","",IF(COUNTIFS(請求記録!$B$6:$B$3005,$A381,請求記録!$X$6:$X$3005,H$5,請求記録!$AD$6:$AD$3005,"保留中")&gt;0,"保留",IF(COUNTIFS(請求記録!$B$6:$B$3005,$A381,請求記録!$X$6:$X$3005,H$5)=0,"",SUMIFS(請求記録!$AC$6:$AC$3005,請求記録!$B$6:$B$3005,$A381,請求記録!$X$6:$X$3005,H$5))))</f>
        <v/>
      </c>
      <c r="I381" s="19">
        <f>IF($A381="","",IF(COUNTIFS(請求記録!$B$6:$B$3005,$A381,請求記録!$X$6:$X$3005,I$5,請求記録!$AD$6:$AD$3005,"保留中")&gt;0,"保留",IF(COUNTIFS(請求記録!$B$6:$B$3005,$A381,請求記録!$X$6:$X$3005,I$5)=0,"",SUMIFS(請求記録!$AC$6:$AC$3005,請求記録!$B$6:$B$3005,$A381,請求記録!$X$6:$X$3005,I$5))))</f>
        <v/>
      </c>
      <c r="J381" s="19">
        <f>IF($A381="","",IF(COUNTIFS(請求記録!$B$6:$B$3005,$A381,請求記録!$X$6:$X$3005,J$5,請求記録!$AD$6:$AD$3005,"保留中")&gt;0,"保留",IF(COUNTIFS(請求記録!$B$6:$B$3005,$A381,請求記録!$X$6:$X$3005,J$5)=0,"",SUMIFS(請求記録!$AC$6:$AC$3005,請求記録!$B$6:$B$3005,$A381,請求記録!$X$6:$X$3005,J$5))))</f>
        <v/>
      </c>
      <c r="K381" s="19">
        <f>IF($A381="","",IF(COUNTIFS(請求記録!$B$6:$B$3005,$A381,請求記録!$X$6:$X$3005,K$5,請求記録!$AD$6:$AD$3005,"保留中")&gt;0,"保留",IF(COUNTIFS(請求記録!$B$6:$B$3005,$A381,請求記録!$X$6:$X$3005,K$5)=0,"",SUMIFS(請求記録!$AC$6:$AC$3005,請求記録!$B$6:$B$3005,$A381,請求記録!$X$6:$X$3005,K$5))))</f>
        <v/>
      </c>
      <c r="L381" s="19">
        <f>IF($A381="","",IF(COUNTIFS(請求記録!$B$6:$B$3005,$A381,請求記録!$X$6:$X$3005,L$5,請求記録!$AD$6:$AD$3005,"保留中")&gt;0,"保留",IF(COUNTIFS(請求記録!$B$6:$B$3005,$A381,請求記録!$X$6:$X$3005,L$5)=0,"",SUMIFS(請求記録!$AC$6:$AC$3005,請求記録!$B$6:$B$3005,$A381,請求記録!$X$6:$X$3005,L$5))))</f>
        <v/>
      </c>
      <c r="M381" s="19">
        <f>IF($A381="","",IF(COUNTIFS(請求記録!$B$6:$B$3005,$A381,請求記録!$X$6:$X$3005,M$5,請求記録!$AD$6:$AD$3005,"保留中")&gt;0,"保留",IF(COUNTIFS(請求記録!$B$6:$B$3005,$A381,請求記録!$X$6:$X$3005,M$5)=0,"",SUMIFS(請求記録!$AC$6:$AC$3005,請求記録!$B$6:$B$3005,$A381,請求記録!$X$6:$X$3005,M$5))))</f>
        <v/>
      </c>
      <c r="N381" s="19">
        <f>IF($A381="","",IF(COUNTIFS(請求記録!$B$6:$B$3005,$A381,請求記録!$X$6:$X$3005,N$5,請求記録!$AD$6:$AD$3005,"保留中")&gt;0,"保留",IF(COUNTIFS(請求記録!$B$6:$B$3005,$A381,請求記録!$X$6:$X$3005,N$5)=0,"",SUMIFS(請求記録!$AC$6:$AC$3005,請求記録!$B$6:$B$3005,$A381,請求記録!$X$6:$X$3005,N$5))))</f>
        <v/>
      </c>
      <c r="O381" s="19">
        <f>IF($A381="","",IF(COUNTIFS(請求記録!$B$6:$B$3005,$A381,請求記録!$X$6:$X$3005,O$5,請求記録!$AD$6:$AD$3005,"保留中")&gt;0,"保留",IF(COUNTIFS(請求記録!$B$6:$B$3005,$A381,請求記録!$X$6:$X$3005,O$5)=0,"",SUMIFS(請求記録!$AC$6:$AC$3005,請求記録!$B$6:$B$3005,$A381,請求記録!$X$6:$X$3005,O$5))))</f>
        <v/>
      </c>
      <c r="P381" s="19">
        <f>IF($A381="","",IF(COUNTIFS(請求記録!$B$6:$B$3005,$A381,請求記録!$X$6:$X$3005,P$5,請求記録!$AD$6:$AD$3005,"保留中")&gt;0,"保留",IF(COUNTIFS(請求記録!$B$6:$B$3005,$A381,請求記録!$X$6:$X$3005,P$5)=0,"",SUMIFS(請求記録!$AC$6:$AC$3005,請求記録!$B$6:$B$3005,$A381,請求記録!$X$6:$X$3005,P$5))))</f>
        <v/>
      </c>
      <c r="Q381" s="19">
        <f>IF($A381="","",IF(COUNTIFS(請求記録!$B$6:$B$3005,$A381,請求記録!$X$6:$X$3005,Q$5,請求記録!$AD$6:$AD$3005,"保留中")&gt;0,"保留",IF(COUNTIFS(請求記録!$B$6:$B$3005,$A381,請求記録!$X$6:$X$3005,Q$5)=0,"",SUMIFS(請求記録!$AC$6:$AC$3005,請求記録!$B$6:$B$3005,$A381,請求記録!$X$6:$X$3005,Q$5))))</f>
        <v/>
      </c>
      <c r="R381" s="19">
        <f>IF($A381="","",IF(COUNTIFS(請求記録!$B$6:$B$3005,$A381,請求記録!$X$6:$X$3005,R$5,請求記録!$AD$6:$AD$3005,"保留中")&gt;0,"保留",IF(COUNTIFS(請求記録!$B$6:$B$3005,$A381,請求記録!$X$6:$X$3005,R$5)=0,"",SUMIFS(請求記録!$AC$6:$AC$3005,請求記録!$B$6:$B$3005,$A381,請求記録!$X$6:$X$3005,R$5))))</f>
        <v/>
      </c>
      <c r="S381" s="19">
        <f>IF($A381="","",IF(COUNTIFS(請求記録!$B$6:$B$3005,$A381,請求記録!$X$6:$X$3005,S$5,請求記録!$AD$6:$AD$3005,"保留中")&gt;0,"保留",IF(COUNTIFS(請求記録!$B$6:$B$3005,$A381,請求記録!$X$6:$X$3005,S$5)=0,"",SUMIFS(請求記録!$AC$6:$AC$3005,請求記録!$B$6:$B$3005,$A381,請求記録!$X$6:$X$3005,S$5))))</f>
        <v/>
      </c>
      <c r="T381" s="19">
        <f>IF($A381="","",IF(COUNTIFS(請求記録!$B$6:$B$3005,$A381,請求記録!$X$6:$X$3005,T$5,請求記録!$AD$6:$AD$3005,"保留中")&gt;0,"保留",IF(COUNTIFS(請求記録!$B$6:$B$3005,$A381,請求記録!$X$6:$X$3005,T$5)=0,"",SUMIFS(請求記録!$AC$6:$AC$3005,請求記録!$B$6:$B$3005,$A381,請求記録!$X$6:$X$3005,T$5))))</f>
        <v/>
      </c>
      <c r="U381" s="19">
        <f>IF($A381="","",IF(COUNTIFS(請求記録!$B$6:$B$3005,$A381,請求記録!$X$6:$X$3005,U$5,請求記録!$AD$6:$AD$3005,"保留中")&gt;0,"保留",IF(COUNTIFS(請求記録!$B$6:$B$3005,$A381,請求記録!$X$6:$X$3005,U$5)=0,"",SUMIFS(請求記録!$AC$6:$AC$3005,請求記録!$B$6:$B$3005,$A381,請求記録!$X$6:$X$3005,U$5))))</f>
        <v/>
      </c>
      <c r="V381" s="19">
        <f>IF($A381="","",IF(COUNTIFS(請求記録!$B$6:$B$3005,$A381,請求記録!$X$6:$X$3005,V$5,請求記録!$AD$6:$AD$3005,"保留中")&gt;0,"保留",IF(COUNTIFS(請求記録!$B$6:$B$3005,$A381,請求記録!$X$6:$X$3005,V$5)=0,"",SUMIFS(請求記録!$AC$6:$AC$3005,請求記録!$B$6:$B$3005,$A381,請求記録!$X$6:$X$3005,V$5))))</f>
        <v/>
      </c>
      <c r="W381" s="19">
        <f>IF($A381="","",IF(COUNTIFS(請求記録!$B$6:$B$3005,$A381,請求記録!$X$6:$X$3005,W$5,請求記録!$AD$6:$AD$3005,"保留中")&gt;0,"保留",IF(COUNTIFS(請求記録!$B$6:$B$3005,$A381,請求記録!$X$6:$X$3005,W$5)=0,"",SUMIFS(請求記録!$AC$6:$AC$3005,請求記録!$B$6:$B$3005,$A381,請求記録!$X$6:$X$3005,W$5))))</f>
        <v/>
      </c>
      <c r="X381" s="19">
        <f>IF($A381="","",IF(COUNTIFS(請求記録!$B$6:$B$3005,$A381,請求記録!$X$6:$X$3005,X$5,請求記録!$AD$6:$AD$3005,"保留中")&gt;0,"保留",IF(COUNTIFS(請求記録!$B$6:$B$3005,$A381,請求記録!$X$6:$X$3005,X$5)=0,"",SUMIFS(請求記録!$AC$6:$AC$3005,請求記録!$B$6:$B$3005,$A381,請求記録!$X$6:$X$3005,X$5))))</f>
        <v/>
      </c>
      <c r="Y381" s="19">
        <f>IF($A381="","",IF(COUNTIFS(請求記録!$B$6:$B$3005,$A381,請求記録!$X$6:$X$3005,Y$5,請求記録!$AD$6:$AD$3005,"保留中")&gt;0,"保留",IF(COUNTIFS(請求記録!$B$6:$B$3005,$A381,請求記録!$X$6:$X$3005,Y$5)=0,"",SUMIFS(請求記録!$AC$6:$AC$3005,請求記録!$B$6:$B$3005,$A381,請求記録!$X$6:$X$3005,Y$5))))</f>
        <v/>
      </c>
      <c r="Z381" s="19">
        <f>IF($A381="","",IF(COUNTIFS(請求記録!$B$6:$B$3005,$A381,請求記録!$X$6:$X$3005,Z$5,請求記録!$AD$6:$AD$3005,"保留中")&gt;0,"保留",IF(COUNTIFS(請求記録!$B$6:$B$3005,$A381,請求記録!$X$6:$X$3005,Z$5)=0,"",SUMIFS(請求記録!$AC$6:$AC$3005,請求記録!$B$6:$B$3005,$A381,請求記録!$X$6:$X$3005,Z$5))))</f>
        <v/>
      </c>
      <c r="AA381" s="19">
        <f>IF($A381="","",IF(COUNTIFS(請求記録!$B$6:$B$3005,$A381,請求記録!$X$6:$X$3005,AA$5,請求記録!$AD$6:$AD$3005,"保留中")&gt;0,"保留",IF(COUNTIFS(請求記録!$B$6:$B$3005,$A381,請求記録!$X$6:$X$3005,AA$5)=0,"",SUMIFS(請求記録!$AC$6:$AC$3005,請求記録!$B$6:$B$3005,$A381,請求記録!$X$6:$X$3005,AA$5))))</f>
        <v/>
      </c>
      <c r="AB381">
        <f>IF(職員マスタ!P381="保留中",職員マスタ!M381,"")</f>
        <v/>
      </c>
    </row>
    <row r="382">
      <c r="A382">
        <f>IF(職員マスタ!A382="","",職員マスタ!A382)</f>
        <v/>
      </c>
      <c r="B382">
        <f>IF($A382="","",職員マスタ!B382)</f>
        <v/>
      </c>
      <c r="C382">
        <f>IF($A382="","",職員マスタ!C382)</f>
        <v/>
      </c>
      <c r="D382" s="19">
        <f>IF($A382="","",IF(COUNTIFS(請求記録!$B$6:$B$3005,$A382,請求記録!$X$6:$X$3005,D$5,請求記録!$AD$6:$AD$3005,"保留中")&gt;0,"保留",IF(COUNTIFS(請求記録!$B$6:$B$3005,$A382,請求記録!$X$6:$X$3005,D$5)=0,"",SUMIFS(請求記録!$AC$6:$AC$3005,請求記録!$B$6:$B$3005,$A382,請求記録!$X$6:$X$3005,D$5))))</f>
        <v/>
      </c>
      <c r="E382" s="19">
        <f>IF($A382="","",IF(COUNTIFS(請求記録!$B$6:$B$3005,$A382,請求記録!$X$6:$X$3005,E$5,請求記録!$AD$6:$AD$3005,"保留中")&gt;0,"保留",IF(COUNTIFS(請求記録!$B$6:$B$3005,$A382,請求記録!$X$6:$X$3005,E$5)=0,"",SUMIFS(請求記録!$AC$6:$AC$3005,請求記録!$B$6:$B$3005,$A382,請求記録!$X$6:$X$3005,E$5))))</f>
        <v/>
      </c>
      <c r="F382" s="19">
        <f>IF($A382="","",IF(COUNTIFS(請求記録!$B$6:$B$3005,$A382,請求記録!$X$6:$X$3005,F$5,請求記録!$AD$6:$AD$3005,"保留中")&gt;0,"保留",IF(COUNTIFS(請求記録!$B$6:$B$3005,$A382,請求記録!$X$6:$X$3005,F$5)=0,"",SUMIFS(請求記録!$AC$6:$AC$3005,請求記録!$B$6:$B$3005,$A382,請求記録!$X$6:$X$3005,F$5))))</f>
        <v/>
      </c>
      <c r="G382" s="19">
        <f>IF($A382="","",IF(COUNTIFS(請求記録!$B$6:$B$3005,$A382,請求記録!$X$6:$X$3005,G$5,請求記録!$AD$6:$AD$3005,"保留中")&gt;0,"保留",IF(COUNTIFS(請求記録!$B$6:$B$3005,$A382,請求記録!$X$6:$X$3005,G$5)=0,"",SUMIFS(請求記録!$AC$6:$AC$3005,請求記録!$B$6:$B$3005,$A382,請求記録!$X$6:$X$3005,G$5))))</f>
        <v/>
      </c>
      <c r="H382" s="19">
        <f>IF($A382="","",IF(COUNTIFS(請求記録!$B$6:$B$3005,$A382,請求記録!$X$6:$X$3005,H$5,請求記録!$AD$6:$AD$3005,"保留中")&gt;0,"保留",IF(COUNTIFS(請求記録!$B$6:$B$3005,$A382,請求記録!$X$6:$X$3005,H$5)=0,"",SUMIFS(請求記録!$AC$6:$AC$3005,請求記録!$B$6:$B$3005,$A382,請求記録!$X$6:$X$3005,H$5))))</f>
        <v/>
      </c>
      <c r="I382" s="19">
        <f>IF($A382="","",IF(COUNTIFS(請求記録!$B$6:$B$3005,$A382,請求記録!$X$6:$X$3005,I$5,請求記録!$AD$6:$AD$3005,"保留中")&gt;0,"保留",IF(COUNTIFS(請求記録!$B$6:$B$3005,$A382,請求記録!$X$6:$X$3005,I$5)=0,"",SUMIFS(請求記録!$AC$6:$AC$3005,請求記録!$B$6:$B$3005,$A382,請求記録!$X$6:$X$3005,I$5))))</f>
        <v/>
      </c>
      <c r="J382" s="19">
        <f>IF($A382="","",IF(COUNTIFS(請求記録!$B$6:$B$3005,$A382,請求記録!$X$6:$X$3005,J$5,請求記録!$AD$6:$AD$3005,"保留中")&gt;0,"保留",IF(COUNTIFS(請求記録!$B$6:$B$3005,$A382,請求記録!$X$6:$X$3005,J$5)=0,"",SUMIFS(請求記録!$AC$6:$AC$3005,請求記録!$B$6:$B$3005,$A382,請求記録!$X$6:$X$3005,J$5))))</f>
        <v/>
      </c>
      <c r="K382" s="19">
        <f>IF($A382="","",IF(COUNTIFS(請求記録!$B$6:$B$3005,$A382,請求記録!$X$6:$X$3005,K$5,請求記録!$AD$6:$AD$3005,"保留中")&gt;0,"保留",IF(COUNTIFS(請求記録!$B$6:$B$3005,$A382,請求記録!$X$6:$X$3005,K$5)=0,"",SUMIFS(請求記録!$AC$6:$AC$3005,請求記録!$B$6:$B$3005,$A382,請求記録!$X$6:$X$3005,K$5))))</f>
        <v/>
      </c>
      <c r="L382" s="19">
        <f>IF($A382="","",IF(COUNTIFS(請求記録!$B$6:$B$3005,$A382,請求記録!$X$6:$X$3005,L$5,請求記録!$AD$6:$AD$3005,"保留中")&gt;0,"保留",IF(COUNTIFS(請求記録!$B$6:$B$3005,$A382,請求記録!$X$6:$X$3005,L$5)=0,"",SUMIFS(請求記録!$AC$6:$AC$3005,請求記録!$B$6:$B$3005,$A382,請求記録!$X$6:$X$3005,L$5))))</f>
        <v/>
      </c>
      <c r="M382" s="19">
        <f>IF($A382="","",IF(COUNTIFS(請求記録!$B$6:$B$3005,$A382,請求記録!$X$6:$X$3005,M$5,請求記録!$AD$6:$AD$3005,"保留中")&gt;0,"保留",IF(COUNTIFS(請求記録!$B$6:$B$3005,$A382,請求記録!$X$6:$X$3005,M$5)=0,"",SUMIFS(請求記録!$AC$6:$AC$3005,請求記録!$B$6:$B$3005,$A382,請求記録!$X$6:$X$3005,M$5))))</f>
        <v/>
      </c>
      <c r="N382" s="19">
        <f>IF($A382="","",IF(COUNTIFS(請求記録!$B$6:$B$3005,$A382,請求記録!$X$6:$X$3005,N$5,請求記録!$AD$6:$AD$3005,"保留中")&gt;0,"保留",IF(COUNTIFS(請求記録!$B$6:$B$3005,$A382,請求記録!$X$6:$X$3005,N$5)=0,"",SUMIFS(請求記録!$AC$6:$AC$3005,請求記録!$B$6:$B$3005,$A382,請求記録!$X$6:$X$3005,N$5))))</f>
        <v/>
      </c>
      <c r="O382" s="19">
        <f>IF($A382="","",IF(COUNTIFS(請求記録!$B$6:$B$3005,$A382,請求記録!$X$6:$X$3005,O$5,請求記録!$AD$6:$AD$3005,"保留中")&gt;0,"保留",IF(COUNTIFS(請求記録!$B$6:$B$3005,$A382,請求記録!$X$6:$X$3005,O$5)=0,"",SUMIFS(請求記録!$AC$6:$AC$3005,請求記録!$B$6:$B$3005,$A382,請求記録!$X$6:$X$3005,O$5))))</f>
        <v/>
      </c>
      <c r="P382" s="19">
        <f>IF($A382="","",IF(COUNTIFS(請求記録!$B$6:$B$3005,$A382,請求記録!$X$6:$X$3005,P$5,請求記録!$AD$6:$AD$3005,"保留中")&gt;0,"保留",IF(COUNTIFS(請求記録!$B$6:$B$3005,$A382,請求記録!$X$6:$X$3005,P$5)=0,"",SUMIFS(請求記録!$AC$6:$AC$3005,請求記録!$B$6:$B$3005,$A382,請求記録!$X$6:$X$3005,P$5))))</f>
        <v/>
      </c>
      <c r="Q382" s="19">
        <f>IF($A382="","",IF(COUNTIFS(請求記録!$B$6:$B$3005,$A382,請求記録!$X$6:$X$3005,Q$5,請求記録!$AD$6:$AD$3005,"保留中")&gt;0,"保留",IF(COUNTIFS(請求記録!$B$6:$B$3005,$A382,請求記録!$X$6:$X$3005,Q$5)=0,"",SUMIFS(請求記録!$AC$6:$AC$3005,請求記録!$B$6:$B$3005,$A382,請求記録!$X$6:$X$3005,Q$5))))</f>
        <v/>
      </c>
      <c r="R382" s="19">
        <f>IF($A382="","",IF(COUNTIFS(請求記録!$B$6:$B$3005,$A382,請求記録!$X$6:$X$3005,R$5,請求記録!$AD$6:$AD$3005,"保留中")&gt;0,"保留",IF(COUNTIFS(請求記録!$B$6:$B$3005,$A382,請求記録!$X$6:$X$3005,R$5)=0,"",SUMIFS(請求記録!$AC$6:$AC$3005,請求記録!$B$6:$B$3005,$A382,請求記録!$X$6:$X$3005,R$5))))</f>
        <v/>
      </c>
      <c r="S382" s="19">
        <f>IF($A382="","",IF(COUNTIFS(請求記録!$B$6:$B$3005,$A382,請求記録!$X$6:$X$3005,S$5,請求記録!$AD$6:$AD$3005,"保留中")&gt;0,"保留",IF(COUNTIFS(請求記録!$B$6:$B$3005,$A382,請求記録!$X$6:$X$3005,S$5)=0,"",SUMIFS(請求記録!$AC$6:$AC$3005,請求記録!$B$6:$B$3005,$A382,請求記録!$X$6:$X$3005,S$5))))</f>
        <v/>
      </c>
      <c r="T382" s="19">
        <f>IF($A382="","",IF(COUNTIFS(請求記録!$B$6:$B$3005,$A382,請求記録!$X$6:$X$3005,T$5,請求記録!$AD$6:$AD$3005,"保留中")&gt;0,"保留",IF(COUNTIFS(請求記録!$B$6:$B$3005,$A382,請求記録!$X$6:$X$3005,T$5)=0,"",SUMIFS(請求記録!$AC$6:$AC$3005,請求記録!$B$6:$B$3005,$A382,請求記録!$X$6:$X$3005,T$5))))</f>
        <v/>
      </c>
      <c r="U382" s="19">
        <f>IF($A382="","",IF(COUNTIFS(請求記録!$B$6:$B$3005,$A382,請求記録!$X$6:$X$3005,U$5,請求記録!$AD$6:$AD$3005,"保留中")&gt;0,"保留",IF(COUNTIFS(請求記録!$B$6:$B$3005,$A382,請求記録!$X$6:$X$3005,U$5)=0,"",SUMIFS(請求記録!$AC$6:$AC$3005,請求記録!$B$6:$B$3005,$A382,請求記録!$X$6:$X$3005,U$5))))</f>
        <v/>
      </c>
      <c r="V382" s="19">
        <f>IF($A382="","",IF(COUNTIFS(請求記録!$B$6:$B$3005,$A382,請求記録!$X$6:$X$3005,V$5,請求記録!$AD$6:$AD$3005,"保留中")&gt;0,"保留",IF(COUNTIFS(請求記録!$B$6:$B$3005,$A382,請求記録!$X$6:$X$3005,V$5)=0,"",SUMIFS(請求記録!$AC$6:$AC$3005,請求記録!$B$6:$B$3005,$A382,請求記録!$X$6:$X$3005,V$5))))</f>
        <v/>
      </c>
      <c r="W382" s="19">
        <f>IF($A382="","",IF(COUNTIFS(請求記録!$B$6:$B$3005,$A382,請求記録!$X$6:$X$3005,W$5,請求記録!$AD$6:$AD$3005,"保留中")&gt;0,"保留",IF(COUNTIFS(請求記録!$B$6:$B$3005,$A382,請求記録!$X$6:$X$3005,W$5)=0,"",SUMIFS(請求記録!$AC$6:$AC$3005,請求記録!$B$6:$B$3005,$A382,請求記録!$X$6:$X$3005,W$5))))</f>
        <v/>
      </c>
      <c r="X382" s="19">
        <f>IF($A382="","",IF(COUNTIFS(請求記録!$B$6:$B$3005,$A382,請求記録!$X$6:$X$3005,X$5,請求記録!$AD$6:$AD$3005,"保留中")&gt;0,"保留",IF(COUNTIFS(請求記録!$B$6:$B$3005,$A382,請求記録!$X$6:$X$3005,X$5)=0,"",SUMIFS(請求記録!$AC$6:$AC$3005,請求記録!$B$6:$B$3005,$A382,請求記録!$X$6:$X$3005,X$5))))</f>
        <v/>
      </c>
      <c r="Y382" s="19">
        <f>IF($A382="","",IF(COUNTIFS(請求記録!$B$6:$B$3005,$A382,請求記録!$X$6:$X$3005,Y$5,請求記録!$AD$6:$AD$3005,"保留中")&gt;0,"保留",IF(COUNTIFS(請求記録!$B$6:$B$3005,$A382,請求記録!$X$6:$X$3005,Y$5)=0,"",SUMIFS(請求記録!$AC$6:$AC$3005,請求記録!$B$6:$B$3005,$A382,請求記録!$X$6:$X$3005,Y$5))))</f>
        <v/>
      </c>
      <c r="Z382" s="19">
        <f>IF($A382="","",IF(COUNTIFS(請求記録!$B$6:$B$3005,$A382,請求記録!$X$6:$X$3005,Z$5,請求記録!$AD$6:$AD$3005,"保留中")&gt;0,"保留",IF(COUNTIFS(請求記録!$B$6:$B$3005,$A382,請求記録!$X$6:$X$3005,Z$5)=0,"",SUMIFS(請求記録!$AC$6:$AC$3005,請求記録!$B$6:$B$3005,$A382,請求記録!$X$6:$X$3005,Z$5))))</f>
        <v/>
      </c>
      <c r="AA382" s="19">
        <f>IF($A382="","",IF(COUNTIFS(請求記録!$B$6:$B$3005,$A382,請求記録!$X$6:$X$3005,AA$5,請求記録!$AD$6:$AD$3005,"保留中")&gt;0,"保留",IF(COUNTIFS(請求記録!$B$6:$B$3005,$A382,請求記録!$X$6:$X$3005,AA$5)=0,"",SUMIFS(請求記録!$AC$6:$AC$3005,請求記録!$B$6:$B$3005,$A382,請求記録!$X$6:$X$3005,AA$5))))</f>
        <v/>
      </c>
      <c r="AB382">
        <f>IF(職員マスタ!P382="保留中",職員マスタ!M382,"")</f>
        <v/>
      </c>
    </row>
    <row r="383">
      <c r="A383">
        <f>IF(職員マスタ!A383="","",職員マスタ!A383)</f>
        <v/>
      </c>
      <c r="B383">
        <f>IF($A383="","",職員マスタ!B383)</f>
        <v/>
      </c>
      <c r="C383">
        <f>IF($A383="","",職員マスタ!C383)</f>
        <v/>
      </c>
      <c r="D383" s="19">
        <f>IF($A383="","",IF(COUNTIFS(請求記録!$B$6:$B$3005,$A383,請求記録!$X$6:$X$3005,D$5,請求記録!$AD$6:$AD$3005,"保留中")&gt;0,"保留",IF(COUNTIFS(請求記録!$B$6:$B$3005,$A383,請求記録!$X$6:$X$3005,D$5)=0,"",SUMIFS(請求記録!$AC$6:$AC$3005,請求記録!$B$6:$B$3005,$A383,請求記録!$X$6:$X$3005,D$5))))</f>
        <v/>
      </c>
      <c r="E383" s="19">
        <f>IF($A383="","",IF(COUNTIFS(請求記録!$B$6:$B$3005,$A383,請求記録!$X$6:$X$3005,E$5,請求記録!$AD$6:$AD$3005,"保留中")&gt;0,"保留",IF(COUNTIFS(請求記録!$B$6:$B$3005,$A383,請求記録!$X$6:$X$3005,E$5)=0,"",SUMIFS(請求記録!$AC$6:$AC$3005,請求記録!$B$6:$B$3005,$A383,請求記録!$X$6:$X$3005,E$5))))</f>
        <v/>
      </c>
      <c r="F383" s="19">
        <f>IF($A383="","",IF(COUNTIFS(請求記録!$B$6:$B$3005,$A383,請求記録!$X$6:$X$3005,F$5,請求記録!$AD$6:$AD$3005,"保留中")&gt;0,"保留",IF(COUNTIFS(請求記録!$B$6:$B$3005,$A383,請求記録!$X$6:$X$3005,F$5)=0,"",SUMIFS(請求記録!$AC$6:$AC$3005,請求記録!$B$6:$B$3005,$A383,請求記録!$X$6:$X$3005,F$5))))</f>
        <v/>
      </c>
      <c r="G383" s="19">
        <f>IF($A383="","",IF(COUNTIFS(請求記録!$B$6:$B$3005,$A383,請求記録!$X$6:$X$3005,G$5,請求記録!$AD$6:$AD$3005,"保留中")&gt;0,"保留",IF(COUNTIFS(請求記録!$B$6:$B$3005,$A383,請求記録!$X$6:$X$3005,G$5)=0,"",SUMIFS(請求記録!$AC$6:$AC$3005,請求記録!$B$6:$B$3005,$A383,請求記録!$X$6:$X$3005,G$5))))</f>
        <v/>
      </c>
      <c r="H383" s="19">
        <f>IF($A383="","",IF(COUNTIFS(請求記録!$B$6:$B$3005,$A383,請求記録!$X$6:$X$3005,H$5,請求記録!$AD$6:$AD$3005,"保留中")&gt;0,"保留",IF(COUNTIFS(請求記録!$B$6:$B$3005,$A383,請求記録!$X$6:$X$3005,H$5)=0,"",SUMIFS(請求記録!$AC$6:$AC$3005,請求記録!$B$6:$B$3005,$A383,請求記録!$X$6:$X$3005,H$5))))</f>
        <v/>
      </c>
      <c r="I383" s="19">
        <f>IF($A383="","",IF(COUNTIFS(請求記録!$B$6:$B$3005,$A383,請求記録!$X$6:$X$3005,I$5,請求記録!$AD$6:$AD$3005,"保留中")&gt;0,"保留",IF(COUNTIFS(請求記録!$B$6:$B$3005,$A383,請求記録!$X$6:$X$3005,I$5)=0,"",SUMIFS(請求記録!$AC$6:$AC$3005,請求記録!$B$6:$B$3005,$A383,請求記録!$X$6:$X$3005,I$5))))</f>
        <v/>
      </c>
      <c r="J383" s="19">
        <f>IF($A383="","",IF(COUNTIFS(請求記録!$B$6:$B$3005,$A383,請求記録!$X$6:$X$3005,J$5,請求記録!$AD$6:$AD$3005,"保留中")&gt;0,"保留",IF(COUNTIFS(請求記録!$B$6:$B$3005,$A383,請求記録!$X$6:$X$3005,J$5)=0,"",SUMIFS(請求記録!$AC$6:$AC$3005,請求記録!$B$6:$B$3005,$A383,請求記録!$X$6:$X$3005,J$5))))</f>
        <v/>
      </c>
      <c r="K383" s="19">
        <f>IF($A383="","",IF(COUNTIFS(請求記録!$B$6:$B$3005,$A383,請求記録!$X$6:$X$3005,K$5,請求記録!$AD$6:$AD$3005,"保留中")&gt;0,"保留",IF(COUNTIFS(請求記録!$B$6:$B$3005,$A383,請求記録!$X$6:$X$3005,K$5)=0,"",SUMIFS(請求記録!$AC$6:$AC$3005,請求記録!$B$6:$B$3005,$A383,請求記録!$X$6:$X$3005,K$5))))</f>
        <v/>
      </c>
      <c r="L383" s="19">
        <f>IF($A383="","",IF(COUNTIFS(請求記録!$B$6:$B$3005,$A383,請求記録!$X$6:$X$3005,L$5,請求記録!$AD$6:$AD$3005,"保留中")&gt;0,"保留",IF(COUNTIFS(請求記録!$B$6:$B$3005,$A383,請求記録!$X$6:$X$3005,L$5)=0,"",SUMIFS(請求記録!$AC$6:$AC$3005,請求記録!$B$6:$B$3005,$A383,請求記録!$X$6:$X$3005,L$5))))</f>
        <v/>
      </c>
      <c r="M383" s="19">
        <f>IF($A383="","",IF(COUNTIFS(請求記録!$B$6:$B$3005,$A383,請求記録!$X$6:$X$3005,M$5,請求記録!$AD$6:$AD$3005,"保留中")&gt;0,"保留",IF(COUNTIFS(請求記録!$B$6:$B$3005,$A383,請求記録!$X$6:$X$3005,M$5)=0,"",SUMIFS(請求記録!$AC$6:$AC$3005,請求記録!$B$6:$B$3005,$A383,請求記録!$X$6:$X$3005,M$5))))</f>
        <v/>
      </c>
      <c r="N383" s="19">
        <f>IF($A383="","",IF(COUNTIFS(請求記録!$B$6:$B$3005,$A383,請求記録!$X$6:$X$3005,N$5,請求記録!$AD$6:$AD$3005,"保留中")&gt;0,"保留",IF(COUNTIFS(請求記録!$B$6:$B$3005,$A383,請求記録!$X$6:$X$3005,N$5)=0,"",SUMIFS(請求記録!$AC$6:$AC$3005,請求記録!$B$6:$B$3005,$A383,請求記録!$X$6:$X$3005,N$5))))</f>
        <v/>
      </c>
      <c r="O383" s="19">
        <f>IF($A383="","",IF(COUNTIFS(請求記録!$B$6:$B$3005,$A383,請求記録!$X$6:$X$3005,O$5,請求記録!$AD$6:$AD$3005,"保留中")&gt;0,"保留",IF(COUNTIFS(請求記録!$B$6:$B$3005,$A383,請求記録!$X$6:$X$3005,O$5)=0,"",SUMIFS(請求記録!$AC$6:$AC$3005,請求記録!$B$6:$B$3005,$A383,請求記録!$X$6:$X$3005,O$5))))</f>
        <v/>
      </c>
      <c r="P383" s="19">
        <f>IF($A383="","",IF(COUNTIFS(請求記録!$B$6:$B$3005,$A383,請求記録!$X$6:$X$3005,P$5,請求記録!$AD$6:$AD$3005,"保留中")&gt;0,"保留",IF(COUNTIFS(請求記録!$B$6:$B$3005,$A383,請求記録!$X$6:$X$3005,P$5)=0,"",SUMIFS(請求記録!$AC$6:$AC$3005,請求記録!$B$6:$B$3005,$A383,請求記録!$X$6:$X$3005,P$5))))</f>
        <v/>
      </c>
      <c r="Q383" s="19">
        <f>IF($A383="","",IF(COUNTIFS(請求記録!$B$6:$B$3005,$A383,請求記録!$X$6:$X$3005,Q$5,請求記録!$AD$6:$AD$3005,"保留中")&gt;0,"保留",IF(COUNTIFS(請求記録!$B$6:$B$3005,$A383,請求記録!$X$6:$X$3005,Q$5)=0,"",SUMIFS(請求記録!$AC$6:$AC$3005,請求記録!$B$6:$B$3005,$A383,請求記録!$X$6:$X$3005,Q$5))))</f>
        <v/>
      </c>
      <c r="R383" s="19">
        <f>IF($A383="","",IF(COUNTIFS(請求記録!$B$6:$B$3005,$A383,請求記録!$X$6:$X$3005,R$5,請求記録!$AD$6:$AD$3005,"保留中")&gt;0,"保留",IF(COUNTIFS(請求記録!$B$6:$B$3005,$A383,請求記録!$X$6:$X$3005,R$5)=0,"",SUMIFS(請求記録!$AC$6:$AC$3005,請求記録!$B$6:$B$3005,$A383,請求記録!$X$6:$X$3005,R$5))))</f>
        <v/>
      </c>
      <c r="S383" s="19">
        <f>IF($A383="","",IF(COUNTIFS(請求記録!$B$6:$B$3005,$A383,請求記録!$X$6:$X$3005,S$5,請求記録!$AD$6:$AD$3005,"保留中")&gt;0,"保留",IF(COUNTIFS(請求記録!$B$6:$B$3005,$A383,請求記録!$X$6:$X$3005,S$5)=0,"",SUMIFS(請求記録!$AC$6:$AC$3005,請求記録!$B$6:$B$3005,$A383,請求記録!$X$6:$X$3005,S$5))))</f>
        <v/>
      </c>
      <c r="T383" s="19">
        <f>IF($A383="","",IF(COUNTIFS(請求記録!$B$6:$B$3005,$A383,請求記録!$X$6:$X$3005,T$5,請求記録!$AD$6:$AD$3005,"保留中")&gt;0,"保留",IF(COUNTIFS(請求記録!$B$6:$B$3005,$A383,請求記録!$X$6:$X$3005,T$5)=0,"",SUMIFS(請求記録!$AC$6:$AC$3005,請求記録!$B$6:$B$3005,$A383,請求記録!$X$6:$X$3005,T$5))))</f>
        <v/>
      </c>
      <c r="U383" s="19">
        <f>IF($A383="","",IF(COUNTIFS(請求記録!$B$6:$B$3005,$A383,請求記録!$X$6:$X$3005,U$5,請求記録!$AD$6:$AD$3005,"保留中")&gt;0,"保留",IF(COUNTIFS(請求記録!$B$6:$B$3005,$A383,請求記録!$X$6:$X$3005,U$5)=0,"",SUMIFS(請求記録!$AC$6:$AC$3005,請求記録!$B$6:$B$3005,$A383,請求記録!$X$6:$X$3005,U$5))))</f>
        <v/>
      </c>
      <c r="V383" s="19">
        <f>IF($A383="","",IF(COUNTIFS(請求記録!$B$6:$B$3005,$A383,請求記録!$X$6:$X$3005,V$5,請求記録!$AD$6:$AD$3005,"保留中")&gt;0,"保留",IF(COUNTIFS(請求記録!$B$6:$B$3005,$A383,請求記録!$X$6:$X$3005,V$5)=0,"",SUMIFS(請求記録!$AC$6:$AC$3005,請求記録!$B$6:$B$3005,$A383,請求記録!$X$6:$X$3005,V$5))))</f>
        <v/>
      </c>
      <c r="W383" s="19">
        <f>IF($A383="","",IF(COUNTIFS(請求記録!$B$6:$B$3005,$A383,請求記録!$X$6:$X$3005,W$5,請求記録!$AD$6:$AD$3005,"保留中")&gt;0,"保留",IF(COUNTIFS(請求記録!$B$6:$B$3005,$A383,請求記録!$X$6:$X$3005,W$5)=0,"",SUMIFS(請求記録!$AC$6:$AC$3005,請求記録!$B$6:$B$3005,$A383,請求記録!$X$6:$X$3005,W$5))))</f>
        <v/>
      </c>
      <c r="X383" s="19">
        <f>IF($A383="","",IF(COUNTIFS(請求記録!$B$6:$B$3005,$A383,請求記録!$X$6:$X$3005,X$5,請求記録!$AD$6:$AD$3005,"保留中")&gt;0,"保留",IF(COUNTIFS(請求記録!$B$6:$B$3005,$A383,請求記録!$X$6:$X$3005,X$5)=0,"",SUMIFS(請求記録!$AC$6:$AC$3005,請求記録!$B$6:$B$3005,$A383,請求記録!$X$6:$X$3005,X$5))))</f>
        <v/>
      </c>
      <c r="Y383" s="19">
        <f>IF($A383="","",IF(COUNTIFS(請求記録!$B$6:$B$3005,$A383,請求記録!$X$6:$X$3005,Y$5,請求記録!$AD$6:$AD$3005,"保留中")&gt;0,"保留",IF(COUNTIFS(請求記録!$B$6:$B$3005,$A383,請求記録!$X$6:$X$3005,Y$5)=0,"",SUMIFS(請求記録!$AC$6:$AC$3005,請求記録!$B$6:$B$3005,$A383,請求記録!$X$6:$X$3005,Y$5))))</f>
        <v/>
      </c>
      <c r="Z383" s="19">
        <f>IF($A383="","",IF(COUNTIFS(請求記録!$B$6:$B$3005,$A383,請求記録!$X$6:$X$3005,Z$5,請求記録!$AD$6:$AD$3005,"保留中")&gt;0,"保留",IF(COUNTIFS(請求記録!$B$6:$B$3005,$A383,請求記録!$X$6:$X$3005,Z$5)=0,"",SUMIFS(請求記録!$AC$6:$AC$3005,請求記録!$B$6:$B$3005,$A383,請求記録!$X$6:$X$3005,Z$5))))</f>
        <v/>
      </c>
      <c r="AA383" s="19">
        <f>IF($A383="","",IF(COUNTIFS(請求記録!$B$6:$B$3005,$A383,請求記録!$X$6:$X$3005,AA$5,請求記録!$AD$6:$AD$3005,"保留中")&gt;0,"保留",IF(COUNTIFS(請求記録!$B$6:$B$3005,$A383,請求記録!$X$6:$X$3005,AA$5)=0,"",SUMIFS(請求記録!$AC$6:$AC$3005,請求記録!$B$6:$B$3005,$A383,請求記録!$X$6:$X$3005,AA$5))))</f>
        <v/>
      </c>
      <c r="AB383">
        <f>IF(職員マスタ!P383="保留中",職員マスタ!M383,"")</f>
        <v/>
      </c>
    </row>
    <row r="384">
      <c r="A384">
        <f>IF(職員マスタ!A384="","",職員マスタ!A384)</f>
        <v/>
      </c>
      <c r="B384">
        <f>IF($A384="","",職員マスタ!B384)</f>
        <v/>
      </c>
      <c r="C384">
        <f>IF($A384="","",職員マスタ!C384)</f>
        <v/>
      </c>
      <c r="D384" s="19">
        <f>IF($A384="","",IF(COUNTIFS(請求記録!$B$6:$B$3005,$A384,請求記録!$X$6:$X$3005,D$5,請求記録!$AD$6:$AD$3005,"保留中")&gt;0,"保留",IF(COUNTIFS(請求記録!$B$6:$B$3005,$A384,請求記録!$X$6:$X$3005,D$5)=0,"",SUMIFS(請求記録!$AC$6:$AC$3005,請求記録!$B$6:$B$3005,$A384,請求記録!$X$6:$X$3005,D$5))))</f>
        <v/>
      </c>
      <c r="E384" s="19">
        <f>IF($A384="","",IF(COUNTIFS(請求記録!$B$6:$B$3005,$A384,請求記録!$X$6:$X$3005,E$5,請求記録!$AD$6:$AD$3005,"保留中")&gt;0,"保留",IF(COUNTIFS(請求記録!$B$6:$B$3005,$A384,請求記録!$X$6:$X$3005,E$5)=0,"",SUMIFS(請求記録!$AC$6:$AC$3005,請求記録!$B$6:$B$3005,$A384,請求記録!$X$6:$X$3005,E$5))))</f>
        <v/>
      </c>
      <c r="F384" s="19">
        <f>IF($A384="","",IF(COUNTIFS(請求記録!$B$6:$B$3005,$A384,請求記録!$X$6:$X$3005,F$5,請求記録!$AD$6:$AD$3005,"保留中")&gt;0,"保留",IF(COUNTIFS(請求記録!$B$6:$B$3005,$A384,請求記録!$X$6:$X$3005,F$5)=0,"",SUMIFS(請求記録!$AC$6:$AC$3005,請求記録!$B$6:$B$3005,$A384,請求記録!$X$6:$X$3005,F$5))))</f>
        <v/>
      </c>
      <c r="G384" s="19">
        <f>IF($A384="","",IF(COUNTIFS(請求記録!$B$6:$B$3005,$A384,請求記録!$X$6:$X$3005,G$5,請求記録!$AD$6:$AD$3005,"保留中")&gt;0,"保留",IF(COUNTIFS(請求記録!$B$6:$B$3005,$A384,請求記録!$X$6:$X$3005,G$5)=0,"",SUMIFS(請求記録!$AC$6:$AC$3005,請求記録!$B$6:$B$3005,$A384,請求記録!$X$6:$X$3005,G$5))))</f>
        <v/>
      </c>
      <c r="H384" s="19">
        <f>IF($A384="","",IF(COUNTIFS(請求記録!$B$6:$B$3005,$A384,請求記録!$X$6:$X$3005,H$5,請求記録!$AD$6:$AD$3005,"保留中")&gt;0,"保留",IF(COUNTIFS(請求記録!$B$6:$B$3005,$A384,請求記録!$X$6:$X$3005,H$5)=0,"",SUMIFS(請求記録!$AC$6:$AC$3005,請求記録!$B$6:$B$3005,$A384,請求記録!$X$6:$X$3005,H$5))))</f>
        <v/>
      </c>
      <c r="I384" s="19">
        <f>IF($A384="","",IF(COUNTIFS(請求記録!$B$6:$B$3005,$A384,請求記録!$X$6:$X$3005,I$5,請求記録!$AD$6:$AD$3005,"保留中")&gt;0,"保留",IF(COUNTIFS(請求記録!$B$6:$B$3005,$A384,請求記録!$X$6:$X$3005,I$5)=0,"",SUMIFS(請求記録!$AC$6:$AC$3005,請求記録!$B$6:$B$3005,$A384,請求記録!$X$6:$X$3005,I$5))))</f>
        <v/>
      </c>
      <c r="J384" s="19">
        <f>IF($A384="","",IF(COUNTIFS(請求記録!$B$6:$B$3005,$A384,請求記録!$X$6:$X$3005,J$5,請求記録!$AD$6:$AD$3005,"保留中")&gt;0,"保留",IF(COUNTIFS(請求記録!$B$6:$B$3005,$A384,請求記録!$X$6:$X$3005,J$5)=0,"",SUMIFS(請求記録!$AC$6:$AC$3005,請求記録!$B$6:$B$3005,$A384,請求記録!$X$6:$X$3005,J$5))))</f>
        <v/>
      </c>
      <c r="K384" s="19">
        <f>IF($A384="","",IF(COUNTIFS(請求記録!$B$6:$B$3005,$A384,請求記録!$X$6:$X$3005,K$5,請求記録!$AD$6:$AD$3005,"保留中")&gt;0,"保留",IF(COUNTIFS(請求記録!$B$6:$B$3005,$A384,請求記録!$X$6:$X$3005,K$5)=0,"",SUMIFS(請求記録!$AC$6:$AC$3005,請求記録!$B$6:$B$3005,$A384,請求記録!$X$6:$X$3005,K$5))))</f>
        <v/>
      </c>
      <c r="L384" s="19">
        <f>IF($A384="","",IF(COUNTIFS(請求記録!$B$6:$B$3005,$A384,請求記録!$X$6:$X$3005,L$5,請求記録!$AD$6:$AD$3005,"保留中")&gt;0,"保留",IF(COUNTIFS(請求記録!$B$6:$B$3005,$A384,請求記録!$X$6:$X$3005,L$5)=0,"",SUMIFS(請求記録!$AC$6:$AC$3005,請求記録!$B$6:$B$3005,$A384,請求記録!$X$6:$X$3005,L$5))))</f>
        <v/>
      </c>
      <c r="M384" s="19">
        <f>IF($A384="","",IF(COUNTIFS(請求記録!$B$6:$B$3005,$A384,請求記録!$X$6:$X$3005,M$5,請求記録!$AD$6:$AD$3005,"保留中")&gt;0,"保留",IF(COUNTIFS(請求記録!$B$6:$B$3005,$A384,請求記録!$X$6:$X$3005,M$5)=0,"",SUMIFS(請求記録!$AC$6:$AC$3005,請求記録!$B$6:$B$3005,$A384,請求記録!$X$6:$X$3005,M$5))))</f>
        <v/>
      </c>
      <c r="N384" s="19">
        <f>IF($A384="","",IF(COUNTIFS(請求記録!$B$6:$B$3005,$A384,請求記録!$X$6:$X$3005,N$5,請求記録!$AD$6:$AD$3005,"保留中")&gt;0,"保留",IF(COUNTIFS(請求記録!$B$6:$B$3005,$A384,請求記録!$X$6:$X$3005,N$5)=0,"",SUMIFS(請求記録!$AC$6:$AC$3005,請求記録!$B$6:$B$3005,$A384,請求記録!$X$6:$X$3005,N$5))))</f>
        <v/>
      </c>
      <c r="O384" s="19">
        <f>IF($A384="","",IF(COUNTIFS(請求記録!$B$6:$B$3005,$A384,請求記録!$X$6:$X$3005,O$5,請求記録!$AD$6:$AD$3005,"保留中")&gt;0,"保留",IF(COUNTIFS(請求記録!$B$6:$B$3005,$A384,請求記録!$X$6:$X$3005,O$5)=0,"",SUMIFS(請求記録!$AC$6:$AC$3005,請求記録!$B$6:$B$3005,$A384,請求記録!$X$6:$X$3005,O$5))))</f>
        <v/>
      </c>
      <c r="P384" s="19">
        <f>IF($A384="","",IF(COUNTIFS(請求記録!$B$6:$B$3005,$A384,請求記録!$X$6:$X$3005,P$5,請求記録!$AD$6:$AD$3005,"保留中")&gt;0,"保留",IF(COUNTIFS(請求記録!$B$6:$B$3005,$A384,請求記録!$X$6:$X$3005,P$5)=0,"",SUMIFS(請求記録!$AC$6:$AC$3005,請求記録!$B$6:$B$3005,$A384,請求記録!$X$6:$X$3005,P$5))))</f>
        <v/>
      </c>
      <c r="Q384" s="19">
        <f>IF($A384="","",IF(COUNTIFS(請求記録!$B$6:$B$3005,$A384,請求記録!$X$6:$X$3005,Q$5,請求記録!$AD$6:$AD$3005,"保留中")&gt;0,"保留",IF(COUNTIFS(請求記録!$B$6:$B$3005,$A384,請求記録!$X$6:$X$3005,Q$5)=0,"",SUMIFS(請求記録!$AC$6:$AC$3005,請求記録!$B$6:$B$3005,$A384,請求記録!$X$6:$X$3005,Q$5))))</f>
        <v/>
      </c>
      <c r="R384" s="19">
        <f>IF($A384="","",IF(COUNTIFS(請求記録!$B$6:$B$3005,$A384,請求記録!$X$6:$X$3005,R$5,請求記録!$AD$6:$AD$3005,"保留中")&gt;0,"保留",IF(COUNTIFS(請求記録!$B$6:$B$3005,$A384,請求記録!$X$6:$X$3005,R$5)=0,"",SUMIFS(請求記録!$AC$6:$AC$3005,請求記録!$B$6:$B$3005,$A384,請求記録!$X$6:$X$3005,R$5))))</f>
        <v/>
      </c>
      <c r="S384" s="19">
        <f>IF($A384="","",IF(COUNTIFS(請求記録!$B$6:$B$3005,$A384,請求記録!$X$6:$X$3005,S$5,請求記録!$AD$6:$AD$3005,"保留中")&gt;0,"保留",IF(COUNTIFS(請求記録!$B$6:$B$3005,$A384,請求記録!$X$6:$X$3005,S$5)=0,"",SUMIFS(請求記録!$AC$6:$AC$3005,請求記録!$B$6:$B$3005,$A384,請求記録!$X$6:$X$3005,S$5))))</f>
        <v/>
      </c>
      <c r="T384" s="19">
        <f>IF($A384="","",IF(COUNTIFS(請求記録!$B$6:$B$3005,$A384,請求記録!$X$6:$X$3005,T$5,請求記録!$AD$6:$AD$3005,"保留中")&gt;0,"保留",IF(COUNTIFS(請求記録!$B$6:$B$3005,$A384,請求記録!$X$6:$X$3005,T$5)=0,"",SUMIFS(請求記録!$AC$6:$AC$3005,請求記録!$B$6:$B$3005,$A384,請求記録!$X$6:$X$3005,T$5))))</f>
        <v/>
      </c>
      <c r="U384" s="19">
        <f>IF($A384="","",IF(COUNTIFS(請求記録!$B$6:$B$3005,$A384,請求記録!$X$6:$X$3005,U$5,請求記録!$AD$6:$AD$3005,"保留中")&gt;0,"保留",IF(COUNTIFS(請求記録!$B$6:$B$3005,$A384,請求記録!$X$6:$X$3005,U$5)=0,"",SUMIFS(請求記録!$AC$6:$AC$3005,請求記録!$B$6:$B$3005,$A384,請求記録!$X$6:$X$3005,U$5))))</f>
        <v/>
      </c>
      <c r="V384" s="19">
        <f>IF($A384="","",IF(COUNTIFS(請求記録!$B$6:$B$3005,$A384,請求記録!$X$6:$X$3005,V$5,請求記録!$AD$6:$AD$3005,"保留中")&gt;0,"保留",IF(COUNTIFS(請求記録!$B$6:$B$3005,$A384,請求記録!$X$6:$X$3005,V$5)=0,"",SUMIFS(請求記録!$AC$6:$AC$3005,請求記録!$B$6:$B$3005,$A384,請求記録!$X$6:$X$3005,V$5))))</f>
        <v/>
      </c>
      <c r="W384" s="19">
        <f>IF($A384="","",IF(COUNTIFS(請求記録!$B$6:$B$3005,$A384,請求記録!$X$6:$X$3005,W$5,請求記録!$AD$6:$AD$3005,"保留中")&gt;0,"保留",IF(COUNTIFS(請求記録!$B$6:$B$3005,$A384,請求記録!$X$6:$X$3005,W$5)=0,"",SUMIFS(請求記録!$AC$6:$AC$3005,請求記録!$B$6:$B$3005,$A384,請求記録!$X$6:$X$3005,W$5))))</f>
        <v/>
      </c>
      <c r="X384" s="19">
        <f>IF($A384="","",IF(COUNTIFS(請求記録!$B$6:$B$3005,$A384,請求記録!$X$6:$X$3005,X$5,請求記録!$AD$6:$AD$3005,"保留中")&gt;0,"保留",IF(COUNTIFS(請求記録!$B$6:$B$3005,$A384,請求記録!$X$6:$X$3005,X$5)=0,"",SUMIFS(請求記録!$AC$6:$AC$3005,請求記録!$B$6:$B$3005,$A384,請求記録!$X$6:$X$3005,X$5))))</f>
        <v/>
      </c>
      <c r="Y384" s="19">
        <f>IF($A384="","",IF(COUNTIFS(請求記録!$B$6:$B$3005,$A384,請求記録!$X$6:$X$3005,Y$5,請求記録!$AD$6:$AD$3005,"保留中")&gt;0,"保留",IF(COUNTIFS(請求記録!$B$6:$B$3005,$A384,請求記録!$X$6:$X$3005,Y$5)=0,"",SUMIFS(請求記録!$AC$6:$AC$3005,請求記録!$B$6:$B$3005,$A384,請求記録!$X$6:$X$3005,Y$5))))</f>
        <v/>
      </c>
      <c r="Z384" s="19">
        <f>IF($A384="","",IF(COUNTIFS(請求記録!$B$6:$B$3005,$A384,請求記録!$X$6:$X$3005,Z$5,請求記録!$AD$6:$AD$3005,"保留中")&gt;0,"保留",IF(COUNTIFS(請求記録!$B$6:$B$3005,$A384,請求記録!$X$6:$X$3005,Z$5)=0,"",SUMIFS(請求記録!$AC$6:$AC$3005,請求記録!$B$6:$B$3005,$A384,請求記録!$X$6:$X$3005,Z$5))))</f>
        <v/>
      </c>
      <c r="AA384" s="19">
        <f>IF($A384="","",IF(COUNTIFS(請求記録!$B$6:$B$3005,$A384,請求記録!$X$6:$X$3005,AA$5,請求記録!$AD$6:$AD$3005,"保留中")&gt;0,"保留",IF(COUNTIFS(請求記録!$B$6:$B$3005,$A384,請求記録!$X$6:$X$3005,AA$5)=0,"",SUMIFS(請求記録!$AC$6:$AC$3005,請求記録!$B$6:$B$3005,$A384,請求記録!$X$6:$X$3005,AA$5))))</f>
        <v/>
      </c>
      <c r="AB384">
        <f>IF(職員マスタ!P384="保留中",職員マスタ!M384,"")</f>
        <v/>
      </c>
    </row>
    <row r="385">
      <c r="A385">
        <f>IF(職員マスタ!A385="","",職員マスタ!A385)</f>
        <v/>
      </c>
      <c r="B385">
        <f>IF($A385="","",職員マスタ!B385)</f>
        <v/>
      </c>
      <c r="C385">
        <f>IF($A385="","",職員マスタ!C385)</f>
        <v/>
      </c>
      <c r="D385" s="19">
        <f>IF($A385="","",IF(COUNTIFS(請求記録!$B$6:$B$3005,$A385,請求記録!$X$6:$X$3005,D$5,請求記録!$AD$6:$AD$3005,"保留中")&gt;0,"保留",IF(COUNTIFS(請求記録!$B$6:$B$3005,$A385,請求記録!$X$6:$X$3005,D$5)=0,"",SUMIFS(請求記録!$AC$6:$AC$3005,請求記録!$B$6:$B$3005,$A385,請求記録!$X$6:$X$3005,D$5))))</f>
        <v/>
      </c>
      <c r="E385" s="19">
        <f>IF($A385="","",IF(COUNTIFS(請求記録!$B$6:$B$3005,$A385,請求記録!$X$6:$X$3005,E$5,請求記録!$AD$6:$AD$3005,"保留中")&gt;0,"保留",IF(COUNTIFS(請求記録!$B$6:$B$3005,$A385,請求記録!$X$6:$X$3005,E$5)=0,"",SUMIFS(請求記録!$AC$6:$AC$3005,請求記録!$B$6:$B$3005,$A385,請求記録!$X$6:$X$3005,E$5))))</f>
        <v/>
      </c>
      <c r="F385" s="19">
        <f>IF($A385="","",IF(COUNTIFS(請求記録!$B$6:$B$3005,$A385,請求記録!$X$6:$X$3005,F$5,請求記録!$AD$6:$AD$3005,"保留中")&gt;0,"保留",IF(COUNTIFS(請求記録!$B$6:$B$3005,$A385,請求記録!$X$6:$X$3005,F$5)=0,"",SUMIFS(請求記録!$AC$6:$AC$3005,請求記録!$B$6:$B$3005,$A385,請求記録!$X$6:$X$3005,F$5))))</f>
        <v/>
      </c>
      <c r="G385" s="19">
        <f>IF($A385="","",IF(COUNTIFS(請求記録!$B$6:$B$3005,$A385,請求記録!$X$6:$X$3005,G$5,請求記録!$AD$6:$AD$3005,"保留中")&gt;0,"保留",IF(COUNTIFS(請求記録!$B$6:$B$3005,$A385,請求記録!$X$6:$X$3005,G$5)=0,"",SUMIFS(請求記録!$AC$6:$AC$3005,請求記録!$B$6:$B$3005,$A385,請求記録!$X$6:$X$3005,G$5))))</f>
        <v/>
      </c>
      <c r="H385" s="19">
        <f>IF($A385="","",IF(COUNTIFS(請求記録!$B$6:$B$3005,$A385,請求記録!$X$6:$X$3005,H$5,請求記録!$AD$6:$AD$3005,"保留中")&gt;0,"保留",IF(COUNTIFS(請求記録!$B$6:$B$3005,$A385,請求記録!$X$6:$X$3005,H$5)=0,"",SUMIFS(請求記録!$AC$6:$AC$3005,請求記録!$B$6:$B$3005,$A385,請求記録!$X$6:$X$3005,H$5))))</f>
        <v/>
      </c>
      <c r="I385" s="19">
        <f>IF($A385="","",IF(COUNTIFS(請求記録!$B$6:$B$3005,$A385,請求記録!$X$6:$X$3005,I$5,請求記録!$AD$6:$AD$3005,"保留中")&gt;0,"保留",IF(COUNTIFS(請求記録!$B$6:$B$3005,$A385,請求記録!$X$6:$X$3005,I$5)=0,"",SUMIFS(請求記録!$AC$6:$AC$3005,請求記録!$B$6:$B$3005,$A385,請求記録!$X$6:$X$3005,I$5))))</f>
        <v/>
      </c>
      <c r="J385" s="19">
        <f>IF($A385="","",IF(COUNTIFS(請求記録!$B$6:$B$3005,$A385,請求記録!$X$6:$X$3005,J$5,請求記録!$AD$6:$AD$3005,"保留中")&gt;0,"保留",IF(COUNTIFS(請求記録!$B$6:$B$3005,$A385,請求記録!$X$6:$X$3005,J$5)=0,"",SUMIFS(請求記録!$AC$6:$AC$3005,請求記録!$B$6:$B$3005,$A385,請求記録!$X$6:$X$3005,J$5))))</f>
        <v/>
      </c>
      <c r="K385" s="19">
        <f>IF($A385="","",IF(COUNTIFS(請求記録!$B$6:$B$3005,$A385,請求記録!$X$6:$X$3005,K$5,請求記録!$AD$6:$AD$3005,"保留中")&gt;0,"保留",IF(COUNTIFS(請求記録!$B$6:$B$3005,$A385,請求記録!$X$6:$X$3005,K$5)=0,"",SUMIFS(請求記録!$AC$6:$AC$3005,請求記録!$B$6:$B$3005,$A385,請求記録!$X$6:$X$3005,K$5))))</f>
        <v/>
      </c>
      <c r="L385" s="19">
        <f>IF($A385="","",IF(COUNTIFS(請求記録!$B$6:$B$3005,$A385,請求記録!$X$6:$X$3005,L$5,請求記録!$AD$6:$AD$3005,"保留中")&gt;0,"保留",IF(COUNTIFS(請求記録!$B$6:$B$3005,$A385,請求記録!$X$6:$X$3005,L$5)=0,"",SUMIFS(請求記録!$AC$6:$AC$3005,請求記録!$B$6:$B$3005,$A385,請求記録!$X$6:$X$3005,L$5))))</f>
        <v/>
      </c>
      <c r="M385" s="19">
        <f>IF($A385="","",IF(COUNTIFS(請求記録!$B$6:$B$3005,$A385,請求記録!$X$6:$X$3005,M$5,請求記録!$AD$6:$AD$3005,"保留中")&gt;0,"保留",IF(COUNTIFS(請求記録!$B$6:$B$3005,$A385,請求記録!$X$6:$X$3005,M$5)=0,"",SUMIFS(請求記録!$AC$6:$AC$3005,請求記録!$B$6:$B$3005,$A385,請求記録!$X$6:$X$3005,M$5))))</f>
        <v/>
      </c>
      <c r="N385" s="19">
        <f>IF($A385="","",IF(COUNTIFS(請求記録!$B$6:$B$3005,$A385,請求記録!$X$6:$X$3005,N$5,請求記録!$AD$6:$AD$3005,"保留中")&gt;0,"保留",IF(COUNTIFS(請求記録!$B$6:$B$3005,$A385,請求記録!$X$6:$X$3005,N$5)=0,"",SUMIFS(請求記録!$AC$6:$AC$3005,請求記録!$B$6:$B$3005,$A385,請求記録!$X$6:$X$3005,N$5))))</f>
        <v/>
      </c>
      <c r="O385" s="19">
        <f>IF($A385="","",IF(COUNTIFS(請求記録!$B$6:$B$3005,$A385,請求記録!$X$6:$X$3005,O$5,請求記録!$AD$6:$AD$3005,"保留中")&gt;0,"保留",IF(COUNTIFS(請求記録!$B$6:$B$3005,$A385,請求記録!$X$6:$X$3005,O$5)=0,"",SUMIFS(請求記録!$AC$6:$AC$3005,請求記録!$B$6:$B$3005,$A385,請求記録!$X$6:$X$3005,O$5))))</f>
        <v/>
      </c>
      <c r="P385" s="19">
        <f>IF($A385="","",IF(COUNTIFS(請求記録!$B$6:$B$3005,$A385,請求記録!$X$6:$X$3005,P$5,請求記録!$AD$6:$AD$3005,"保留中")&gt;0,"保留",IF(COUNTIFS(請求記録!$B$6:$B$3005,$A385,請求記録!$X$6:$X$3005,P$5)=0,"",SUMIFS(請求記録!$AC$6:$AC$3005,請求記録!$B$6:$B$3005,$A385,請求記録!$X$6:$X$3005,P$5))))</f>
        <v/>
      </c>
      <c r="Q385" s="19">
        <f>IF($A385="","",IF(COUNTIFS(請求記録!$B$6:$B$3005,$A385,請求記録!$X$6:$X$3005,Q$5,請求記録!$AD$6:$AD$3005,"保留中")&gt;0,"保留",IF(COUNTIFS(請求記録!$B$6:$B$3005,$A385,請求記録!$X$6:$X$3005,Q$5)=0,"",SUMIFS(請求記録!$AC$6:$AC$3005,請求記録!$B$6:$B$3005,$A385,請求記録!$X$6:$X$3005,Q$5))))</f>
        <v/>
      </c>
      <c r="R385" s="19">
        <f>IF($A385="","",IF(COUNTIFS(請求記録!$B$6:$B$3005,$A385,請求記録!$X$6:$X$3005,R$5,請求記録!$AD$6:$AD$3005,"保留中")&gt;0,"保留",IF(COUNTIFS(請求記録!$B$6:$B$3005,$A385,請求記録!$X$6:$X$3005,R$5)=0,"",SUMIFS(請求記録!$AC$6:$AC$3005,請求記録!$B$6:$B$3005,$A385,請求記録!$X$6:$X$3005,R$5))))</f>
        <v/>
      </c>
      <c r="S385" s="19">
        <f>IF($A385="","",IF(COUNTIFS(請求記録!$B$6:$B$3005,$A385,請求記録!$X$6:$X$3005,S$5,請求記録!$AD$6:$AD$3005,"保留中")&gt;0,"保留",IF(COUNTIFS(請求記録!$B$6:$B$3005,$A385,請求記録!$X$6:$X$3005,S$5)=0,"",SUMIFS(請求記録!$AC$6:$AC$3005,請求記録!$B$6:$B$3005,$A385,請求記録!$X$6:$X$3005,S$5))))</f>
        <v/>
      </c>
      <c r="T385" s="19">
        <f>IF($A385="","",IF(COUNTIFS(請求記録!$B$6:$B$3005,$A385,請求記録!$X$6:$X$3005,T$5,請求記録!$AD$6:$AD$3005,"保留中")&gt;0,"保留",IF(COUNTIFS(請求記録!$B$6:$B$3005,$A385,請求記録!$X$6:$X$3005,T$5)=0,"",SUMIFS(請求記録!$AC$6:$AC$3005,請求記録!$B$6:$B$3005,$A385,請求記録!$X$6:$X$3005,T$5))))</f>
        <v/>
      </c>
      <c r="U385" s="19">
        <f>IF($A385="","",IF(COUNTIFS(請求記録!$B$6:$B$3005,$A385,請求記録!$X$6:$X$3005,U$5,請求記録!$AD$6:$AD$3005,"保留中")&gt;0,"保留",IF(COUNTIFS(請求記録!$B$6:$B$3005,$A385,請求記録!$X$6:$X$3005,U$5)=0,"",SUMIFS(請求記録!$AC$6:$AC$3005,請求記録!$B$6:$B$3005,$A385,請求記録!$X$6:$X$3005,U$5))))</f>
        <v/>
      </c>
      <c r="V385" s="19">
        <f>IF($A385="","",IF(COUNTIFS(請求記録!$B$6:$B$3005,$A385,請求記録!$X$6:$X$3005,V$5,請求記録!$AD$6:$AD$3005,"保留中")&gt;0,"保留",IF(COUNTIFS(請求記録!$B$6:$B$3005,$A385,請求記録!$X$6:$X$3005,V$5)=0,"",SUMIFS(請求記録!$AC$6:$AC$3005,請求記録!$B$6:$B$3005,$A385,請求記録!$X$6:$X$3005,V$5))))</f>
        <v/>
      </c>
      <c r="W385" s="19">
        <f>IF($A385="","",IF(COUNTIFS(請求記録!$B$6:$B$3005,$A385,請求記録!$X$6:$X$3005,W$5,請求記録!$AD$6:$AD$3005,"保留中")&gt;0,"保留",IF(COUNTIFS(請求記録!$B$6:$B$3005,$A385,請求記録!$X$6:$X$3005,W$5)=0,"",SUMIFS(請求記録!$AC$6:$AC$3005,請求記録!$B$6:$B$3005,$A385,請求記録!$X$6:$X$3005,W$5))))</f>
        <v/>
      </c>
      <c r="X385" s="19">
        <f>IF($A385="","",IF(COUNTIFS(請求記録!$B$6:$B$3005,$A385,請求記録!$X$6:$X$3005,X$5,請求記録!$AD$6:$AD$3005,"保留中")&gt;0,"保留",IF(COUNTIFS(請求記録!$B$6:$B$3005,$A385,請求記録!$X$6:$X$3005,X$5)=0,"",SUMIFS(請求記録!$AC$6:$AC$3005,請求記録!$B$6:$B$3005,$A385,請求記録!$X$6:$X$3005,X$5))))</f>
        <v/>
      </c>
      <c r="Y385" s="19">
        <f>IF($A385="","",IF(COUNTIFS(請求記録!$B$6:$B$3005,$A385,請求記録!$X$6:$X$3005,Y$5,請求記録!$AD$6:$AD$3005,"保留中")&gt;0,"保留",IF(COUNTIFS(請求記録!$B$6:$B$3005,$A385,請求記録!$X$6:$X$3005,Y$5)=0,"",SUMIFS(請求記録!$AC$6:$AC$3005,請求記録!$B$6:$B$3005,$A385,請求記録!$X$6:$X$3005,Y$5))))</f>
        <v/>
      </c>
      <c r="Z385" s="19">
        <f>IF($A385="","",IF(COUNTIFS(請求記録!$B$6:$B$3005,$A385,請求記録!$X$6:$X$3005,Z$5,請求記録!$AD$6:$AD$3005,"保留中")&gt;0,"保留",IF(COUNTIFS(請求記録!$B$6:$B$3005,$A385,請求記録!$X$6:$X$3005,Z$5)=0,"",SUMIFS(請求記録!$AC$6:$AC$3005,請求記録!$B$6:$B$3005,$A385,請求記録!$X$6:$X$3005,Z$5))))</f>
        <v/>
      </c>
      <c r="AA385" s="19">
        <f>IF($A385="","",IF(COUNTIFS(請求記録!$B$6:$B$3005,$A385,請求記録!$X$6:$X$3005,AA$5,請求記録!$AD$6:$AD$3005,"保留中")&gt;0,"保留",IF(COUNTIFS(請求記録!$B$6:$B$3005,$A385,請求記録!$X$6:$X$3005,AA$5)=0,"",SUMIFS(請求記録!$AC$6:$AC$3005,請求記録!$B$6:$B$3005,$A385,請求記録!$X$6:$X$3005,AA$5))))</f>
        <v/>
      </c>
      <c r="AB385">
        <f>IF(職員マスタ!P385="保留中",職員マスタ!M385,"")</f>
        <v/>
      </c>
    </row>
    <row r="386">
      <c r="A386">
        <f>IF(職員マスタ!A386="","",職員マスタ!A386)</f>
        <v/>
      </c>
      <c r="B386">
        <f>IF($A386="","",職員マスタ!B386)</f>
        <v/>
      </c>
      <c r="C386">
        <f>IF($A386="","",職員マスタ!C386)</f>
        <v/>
      </c>
      <c r="D386" s="19">
        <f>IF($A386="","",IF(COUNTIFS(請求記録!$B$6:$B$3005,$A386,請求記録!$X$6:$X$3005,D$5,請求記録!$AD$6:$AD$3005,"保留中")&gt;0,"保留",IF(COUNTIFS(請求記録!$B$6:$B$3005,$A386,請求記録!$X$6:$X$3005,D$5)=0,"",SUMIFS(請求記録!$AC$6:$AC$3005,請求記録!$B$6:$B$3005,$A386,請求記録!$X$6:$X$3005,D$5))))</f>
        <v/>
      </c>
      <c r="E386" s="19">
        <f>IF($A386="","",IF(COUNTIFS(請求記録!$B$6:$B$3005,$A386,請求記録!$X$6:$X$3005,E$5,請求記録!$AD$6:$AD$3005,"保留中")&gt;0,"保留",IF(COUNTIFS(請求記録!$B$6:$B$3005,$A386,請求記録!$X$6:$X$3005,E$5)=0,"",SUMIFS(請求記録!$AC$6:$AC$3005,請求記録!$B$6:$B$3005,$A386,請求記録!$X$6:$X$3005,E$5))))</f>
        <v/>
      </c>
      <c r="F386" s="19">
        <f>IF($A386="","",IF(COUNTIFS(請求記録!$B$6:$B$3005,$A386,請求記録!$X$6:$X$3005,F$5,請求記録!$AD$6:$AD$3005,"保留中")&gt;0,"保留",IF(COUNTIFS(請求記録!$B$6:$B$3005,$A386,請求記録!$X$6:$X$3005,F$5)=0,"",SUMIFS(請求記録!$AC$6:$AC$3005,請求記録!$B$6:$B$3005,$A386,請求記録!$X$6:$X$3005,F$5))))</f>
        <v/>
      </c>
      <c r="G386" s="19">
        <f>IF($A386="","",IF(COUNTIFS(請求記録!$B$6:$B$3005,$A386,請求記録!$X$6:$X$3005,G$5,請求記録!$AD$6:$AD$3005,"保留中")&gt;0,"保留",IF(COUNTIFS(請求記録!$B$6:$B$3005,$A386,請求記録!$X$6:$X$3005,G$5)=0,"",SUMIFS(請求記録!$AC$6:$AC$3005,請求記録!$B$6:$B$3005,$A386,請求記録!$X$6:$X$3005,G$5))))</f>
        <v/>
      </c>
      <c r="H386" s="19">
        <f>IF($A386="","",IF(COUNTIFS(請求記録!$B$6:$B$3005,$A386,請求記録!$X$6:$X$3005,H$5,請求記録!$AD$6:$AD$3005,"保留中")&gt;0,"保留",IF(COUNTIFS(請求記録!$B$6:$B$3005,$A386,請求記録!$X$6:$X$3005,H$5)=0,"",SUMIFS(請求記録!$AC$6:$AC$3005,請求記録!$B$6:$B$3005,$A386,請求記録!$X$6:$X$3005,H$5))))</f>
        <v/>
      </c>
      <c r="I386" s="19">
        <f>IF($A386="","",IF(COUNTIFS(請求記録!$B$6:$B$3005,$A386,請求記録!$X$6:$X$3005,I$5,請求記録!$AD$6:$AD$3005,"保留中")&gt;0,"保留",IF(COUNTIFS(請求記録!$B$6:$B$3005,$A386,請求記録!$X$6:$X$3005,I$5)=0,"",SUMIFS(請求記録!$AC$6:$AC$3005,請求記録!$B$6:$B$3005,$A386,請求記録!$X$6:$X$3005,I$5))))</f>
        <v/>
      </c>
      <c r="J386" s="19">
        <f>IF($A386="","",IF(COUNTIFS(請求記録!$B$6:$B$3005,$A386,請求記録!$X$6:$X$3005,J$5,請求記録!$AD$6:$AD$3005,"保留中")&gt;0,"保留",IF(COUNTIFS(請求記録!$B$6:$B$3005,$A386,請求記録!$X$6:$X$3005,J$5)=0,"",SUMIFS(請求記録!$AC$6:$AC$3005,請求記録!$B$6:$B$3005,$A386,請求記録!$X$6:$X$3005,J$5))))</f>
        <v/>
      </c>
      <c r="K386" s="19">
        <f>IF($A386="","",IF(COUNTIFS(請求記録!$B$6:$B$3005,$A386,請求記録!$X$6:$X$3005,K$5,請求記録!$AD$6:$AD$3005,"保留中")&gt;0,"保留",IF(COUNTIFS(請求記録!$B$6:$B$3005,$A386,請求記録!$X$6:$X$3005,K$5)=0,"",SUMIFS(請求記録!$AC$6:$AC$3005,請求記録!$B$6:$B$3005,$A386,請求記録!$X$6:$X$3005,K$5))))</f>
        <v/>
      </c>
      <c r="L386" s="19">
        <f>IF($A386="","",IF(COUNTIFS(請求記録!$B$6:$B$3005,$A386,請求記録!$X$6:$X$3005,L$5,請求記録!$AD$6:$AD$3005,"保留中")&gt;0,"保留",IF(COUNTIFS(請求記録!$B$6:$B$3005,$A386,請求記録!$X$6:$X$3005,L$5)=0,"",SUMIFS(請求記録!$AC$6:$AC$3005,請求記録!$B$6:$B$3005,$A386,請求記録!$X$6:$X$3005,L$5))))</f>
        <v/>
      </c>
      <c r="M386" s="19">
        <f>IF($A386="","",IF(COUNTIFS(請求記録!$B$6:$B$3005,$A386,請求記録!$X$6:$X$3005,M$5,請求記録!$AD$6:$AD$3005,"保留中")&gt;0,"保留",IF(COUNTIFS(請求記録!$B$6:$B$3005,$A386,請求記録!$X$6:$X$3005,M$5)=0,"",SUMIFS(請求記録!$AC$6:$AC$3005,請求記録!$B$6:$B$3005,$A386,請求記録!$X$6:$X$3005,M$5))))</f>
        <v/>
      </c>
      <c r="N386" s="19">
        <f>IF($A386="","",IF(COUNTIFS(請求記録!$B$6:$B$3005,$A386,請求記録!$X$6:$X$3005,N$5,請求記録!$AD$6:$AD$3005,"保留中")&gt;0,"保留",IF(COUNTIFS(請求記録!$B$6:$B$3005,$A386,請求記録!$X$6:$X$3005,N$5)=0,"",SUMIFS(請求記録!$AC$6:$AC$3005,請求記録!$B$6:$B$3005,$A386,請求記録!$X$6:$X$3005,N$5))))</f>
        <v/>
      </c>
      <c r="O386" s="19">
        <f>IF($A386="","",IF(COUNTIFS(請求記録!$B$6:$B$3005,$A386,請求記録!$X$6:$X$3005,O$5,請求記録!$AD$6:$AD$3005,"保留中")&gt;0,"保留",IF(COUNTIFS(請求記録!$B$6:$B$3005,$A386,請求記録!$X$6:$X$3005,O$5)=0,"",SUMIFS(請求記録!$AC$6:$AC$3005,請求記録!$B$6:$B$3005,$A386,請求記録!$X$6:$X$3005,O$5))))</f>
        <v/>
      </c>
      <c r="P386" s="19">
        <f>IF($A386="","",IF(COUNTIFS(請求記録!$B$6:$B$3005,$A386,請求記録!$X$6:$X$3005,P$5,請求記録!$AD$6:$AD$3005,"保留中")&gt;0,"保留",IF(COUNTIFS(請求記録!$B$6:$B$3005,$A386,請求記録!$X$6:$X$3005,P$5)=0,"",SUMIFS(請求記録!$AC$6:$AC$3005,請求記録!$B$6:$B$3005,$A386,請求記録!$X$6:$X$3005,P$5))))</f>
        <v/>
      </c>
      <c r="Q386" s="19">
        <f>IF($A386="","",IF(COUNTIFS(請求記録!$B$6:$B$3005,$A386,請求記録!$X$6:$X$3005,Q$5,請求記録!$AD$6:$AD$3005,"保留中")&gt;0,"保留",IF(COUNTIFS(請求記録!$B$6:$B$3005,$A386,請求記録!$X$6:$X$3005,Q$5)=0,"",SUMIFS(請求記録!$AC$6:$AC$3005,請求記録!$B$6:$B$3005,$A386,請求記録!$X$6:$X$3005,Q$5))))</f>
        <v/>
      </c>
      <c r="R386" s="19">
        <f>IF($A386="","",IF(COUNTIFS(請求記録!$B$6:$B$3005,$A386,請求記録!$X$6:$X$3005,R$5,請求記録!$AD$6:$AD$3005,"保留中")&gt;0,"保留",IF(COUNTIFS(請求記録!$B$6:$B$3005,$A386,請求記録!$X$6:$X$3005,R$5)=0,"",SUMIFS(請求記録!$AC$6:$AC$3005,請求記録!$B$6:$B$3005,$A386,請求記録!$X$6:$X$3005,R$5))))</f>
        <v/>
      </c>
      <c r="S386" s="19">
        <f>IF($A386="","",IF(COUNTIFS(請求記録!$B$6:$B$3005,$A386,請求記録!$X$6:$X$3005,S$5,請求記録!$AD$6:$AD$3005,"保留中")&gt;0,"保留",IF(COUNTIFS(請求記録!$B$6:$B$3005,$A386,請求記録!$X$6:$X$3005,S$5)=0,"",SUMIFS(請求記録!$AC$6:$AC$3005,請求記録!$B$6:$B$3005,$A386,請求記録!$X$6:$X$3005,S$5))))</f>
        <v/>
      </c>
      <c r="T386" s="19">
        <f>IF($A386="","",IF(COUNTIFS(請求記録!$B$6:$B$3005,$A386,請求記録!$X$6:$X$3005,T$5,請求記録!$AD$6:$AD$3005,"保留中")&gt;0,"保留",IF(COUNTIFS(請求記録!$B$6:$B$3005,$A386,請求記録!$X$6:$X$3005,T$5)=0,"",SUMIFS(請求記録!$AC$6:$AC$3005,請求記録!$B$6:$B$3005,$A386,請求記録!$X$6:$X$3005,T$5))))</f>
        <v/>
      </c>
      <c r="U386" s="19">
        <f>IF($A386="","",IF(COUNTIFS(請求記録!$B$6:$B$3005,$A386,請求記録!$X$6:$X$3005,U$5,請求記録!$AD$6:$AD$3005,"保留中")&gt;0,"保留",IF(COUNTIFS(請求記録!$B$6:$B$3005,$A386,請求記録!$X$6:$X$3005,U$5)=0,"",SUMIFS(請求記録!$AC$6:$AC$3005,請求記録!$B$6:$B$3005,$A386,請求記録!$X$6:$X$3005,U$5))))</f>
        <v/>
      </c>
      <c r="V386" s="19">
        <f>IF($A386="","",IF(COUNTIFS(請求記録!$B$6:$B$3005,$A386,請求記録!$X$6:$X$3005,V$5,請求記録!$AD$6:$AD$3005,"保留中")&gt;0,"保留",IF(COUNTIFS(請求記録!$B$6:$B$3005,$A386,請求記録!$X$6:$X$3005,V$5)=0,"",SUMIFS(請求記録!$AC$6:$AC$3005,請求記録!$B$6:$B$3005,$A386,請求記録!$X$6:$X$3005,V$5))))</f>
        <v/>
      </c>
      <c r="W386" s="19">
        <f>IF($A386="","",IF(COUNTIFS(請求記録!$B$6:$B$3005,$A386,請求記録!$X$6:$X$3005,W$5,請求記録!$AD$6:$AD$3005,"保留中")&gt;0,"保留",IF(COUNTIFS(請求記録!$B$6:$B$3005,$A386,請求記録!$X$6:$X$3005,W$5)=0,"",SUMIFS(請求記録!$AC$6:$AC$3005,請求記録!$B$6:$B$3005,$A386,請求記録!$X$6:$X$3005,W$5))))</f>
        <v/>
      </c>
      <c r="X386" s="19">
        <f>IF($A386="","",IF(COUNTIFS(請求記録!$B$6:$B$3005,$A386,請求記録!$X$6:$X$3005,X$5,請求記録!$AD$6:$AD$3005,"保留中")&gt;0,"保留",IF(COUNTIFS(請求記録!$B$6:$B$3005,$A386,請求記録!$X$6:$X$3005,X$5)=0,"",SUMIFS(請求記録!$AC$6:$AC$3005,請求記録!$B$6:$B$3005,$A386,請求記録!$X$6:$X$3005,X$5))))</f>
        <v/>
      </c>
      <c r="Y386" s="19">
        <f>IF($A386="","",IF(COUNTIFS(請求記録!$B$6:$B$3005,$A386,請求記録!$X$6:$X$3005,Y$5,請求記録!$AD$6:$AD$3005,"保留中")&gt;0,"保留",IF(COUNTIFS(請求記録!$B$6:$B$3005,$A386,請求記録!$X$6:$X$3005,Y$5)=0,"",SUMIFS(請求記録!$AC$6:$AC$3005,請求記録!$B$6:$B$3005,$A386,請求記録!$X$6:$X$3005,Y$5))))</f>
        <v/>
      </c>
      <c r="Z386" s="19">
        <f>IF($A386="","",IF(COUNTIFS(請求記録!$B$6:$B$3005,$A386,請求記録!$X$6:$X$3005,Z$5,請求記録!$AD$6:$AD$3005,"保留中")&gt;0,"保留",IF(COUNTIFS(請求記録!$B$6:$B$3005,$A386,請求記録!$X$6:$X$3005,Z$5)=0,"",SUMIFS(請求記録!$AC$6:$AC$3005,請求記録!$B$6:$B$3005,$A386,請求記録!$X$6:$X$3005,Z$5))))</f>
        <v/>
      </c>
      <c r="AA386" s="19">
        <f>IF($A386="","",IF(COUNTIFS(請求記録!$B$6:$B$3005,$A386,請求記録!$X$6:$X$3005,AA$5,請求記録!$AD$6:$AD$3005,"保留中")&gt;0,"保留",IF(COUNTIFS(請求記録!$B$6:$B$3005,$A386,請求記録!$X$6:$X$3005,AA$5)=0,"",SUMIFS(請求記録!$AC$6:$AC$3005,請求記録!$B$6:$B$3005,$A386,請求記録!$X$6:$X$3005,AA$5))))</f>
        <v/>
      </c>
      <c r="AB386">
        <f>IF(職員マスタ!P386="保留中",職員マスタ!M386,"")</f>
        <v/>
      </c>
    </row>
    <row r="387">
      <c r="A387">
        <f>IF(職員マスタ!A387="","",職員マスタ!A387)</f>
        <v/>
      </c>
      <c r="B387">
        <f>IF($A387="","",職員マスタ!B387)</f>
        <v/>
      </c>
      <c r="C387">
        <f>IF($A387="","",職員マスタ!C387)</f>
        <v/>
      </c>
      <c r="D387" s="19">
        <f>IF($A387="","",IF(COUNTIFS(請求記録!$B$6:$B$3005,$A387,請求記録!$X$6:$X$3005,D$5,請求記録!$AD$6:$AD$3005,"保留中")&gt;0,"保留",IF(COUNTIFS(請求記録!$B$6:$B$3005,$A387,請求記録!$X$6:$X$3005,D$5)=0,"",SUMIFS(請求記録!$AC$6:$AC$3005,請求記録!$B$6:$B$3005,$A387,請求記録!$X$6:$X$3005,D$5))))</f>
        <v/>
      </c>
      <c r="E387" s="19">
        <f>IF($A387="","",IF(COUNTIFS(請求記録!$B$6:$B$3005,$A387,請求記録!$X$6:$X$3005,E$5,請求記録!$AD$6:$AD$3005,"保留中")&gt;0,"保留",IF(COUNTIFS(請求記録!$B$6:$B$3005,$A387,請求記録!$X$6:$X$3005,E$5)=0,"",SUMIFS(請求記録!$AC$6:$AC$3005,請求記録!$B$6:$B$3005,$A387,請求記録!$X$6:$X$3005,E$5))))</f>
        <v/>
      </c>
      <c r="F387" s="19">
        <f>IF($A387="","",IF(COUNTIFS(請求記録!$B$6:$B$3005,$A387,請求記録!$X$6:$X$3005,F$5,請求記録!$AD$6:$AD$3005,"保留中")&gt;0,"保留",IF(COUNTIFS(請求記録!$B$6:$B$3005,$A387,請求記録!$X$6:$X$3005,F$5)=0,"",SUMIFS(請求記録!$AC$6:$AC$3005,請求記録!$B$6:$B$3005,$A387,請求記録!$X$6:$X$3005,F$5))))</f>
        <v/>
      </c>
      <c r="G387" s="19">
        <f>IF($A387="","",IF(COUNTIFS(請求記録!$B$6:$B$3005,$A387,請求記録!$X$6:$X$3005,G$5,請求記録!$AD$6:$AD$3005,"保留中")&gt;0,"保留",IF(COUNTIFS(請求記録!$B$6:$B$3005,$A387,請求記録!$X$6:$X$3005,G$5)=0,"",SUMIFS(請求記録!$AC$6:$AC$3005,請求記録!$B$6:$B$3005,$A387,請求記録!$X$6:$X$3005,G$5))))</f>
        <v/>
      </c>
      <c r="H387" s="19">
        <f>IF($A387="","",IF(COUNTIFS(請求記録!$B$6:$B$3005,$A387,請求記録!$X$6:$X$3005,H$5,請求記録!$AD$6:$AD$3005,"保留中")&gt;0,"保留",IF(COUNTIFS(請求記録!$B$6:$B$3005,$A387,請求記録!$X$6:$X$3005,H$5)=0,"",SUMIFS(請求記録!$AC$6:$AC$3005,請求記録!$B$6:$B$3005,$A387,請求記録!$X$6:$X$3005,H$5))))</f>
        <v/>
      </c>
      <c r="I387" s="19">
        <f>IF($A387="","",IF(COUNTIFS(請求記録!$B$6:$B$3005,$A387,請求記録!$X$6:$X$3005,I$5,請求記録!$AD$6:$AD$3005,"保留中")&gt;0,"保留",IF(COUNTIFS(請求記録!$B$6:$B$3005,$A387,請求記録!$X$6:$X$3005,I$5)=0,"",SUMIFS(請求記録!$AC$6:$AC$3005,請求記録!$B$6:$B$3005,$A387,請求記録!$X$6:$X$3005,I$5))))</f>
        <v/>
      </c>
      <c r="J387" s="19">
        <f>IF($A387="","",IF(COUNTIFS(請求記録!$B$6:$B$3005,$A387,請求記録!$X$6:$X$3005,J$5,請求記録!$AD$6:$AD$3005,"保留中")&gt;0,"保留",IF(COUNTIFS(請求記録!$B$6:$B$3005,$A387,請求記録!$X$6:$X$3005,J$5)=0,"",SUMIFS(請求記録!$AC$6:$AC$3005,請求記録!$B$6:$B$3005,$A387,請求記録!$X$6:$X$3005,J$5))))</f>
        <v/>
      </c>
      <c r="K387" s="19">
        <f>IF($A387="","",IF(COUNTIFS(請求記録!$B$6:$B$3005,$A387,請求記録!$X$6:$X$3005,K$5,請求記録!$AD$6:$AD$3005,"保留中")&gt;0,"保留",IF(COUNTIFS(請求記録!$B$6:$B$3005,$A387,請求記録!$X$6:$X$3005,K$5)=0,"",SUMIFS(請求記録!$AC$6:$AC$3005,請求記録!$B$6:$B$3005,$A387,請求記録!$X$6:$X$3005,K$5))))</f>
        <v/>
      </c>
      <c r="L387" s="19">
        <f>IF($A387="","",IF(COUNTIFS(請求記録!$B$6:$B$3005,$A387,請求記録!$X$6:$X$3005,L$5,請求記録!$AD$6:$AD$3005,"保留中")&gt;0,"保留",IF(COUNTIFS(請求記録!$B$6:$B$3005,$A387,請求記録!$X$6:$X$3005,L$5)=0,"",SUMIFS(請求記録!$AC$6:$AC$3005,請求記録!$B$6:$B$3005,$A387,請求記録!$X$6:$X$3005,L$5))))</f>
        <v/>
      </c>
      <c r="M387" s="19">
        <f>IF($A387="","",IF(COUNTIFS(請求記録!$B$6:$B$3005,$A387,請求記録!$X$6:$X$3005,M$5,請求記録!$AD$6:$AD$3005,"保留中")&gt;0,"保留",IF(COUNTIFS(請求記録!$B$6:$B$3005,$A387,請求記録!$X$6:$X$3005,M$5)=0,"",SUMIFS(請求記録!$AC$6:$AC$3005,請求記録!$B$6:$B$3005,$A387,請求記録!$X$6:$X$3005,M$5))))</f>
        <v/>
      </c>
      <c r="N387" s="19">
        <f>IF($A387="","",IF(COUNTIFS(請求記録!$B$6:$B$3005,$A387,請求記録!$X$6:$X$3005,N$5,請求記録!$AD$6:$AD$3005,"保留中")&gt;0,"保留",IF(COUNTIFS(請求記録!$B$6:$B$3005,$A387,請求記録!$X$6:$X$3005,N$5)=0,"",SUMIFS(請求記録!$AC$6:$AC$3005,請求記録!$B$6:$B$3005,$A387,請求記録!$X$6:$X$3005,N$5))))</f>
        <v/>
      </c>
      <c r="O387" s="19">
        <f>IF($A387="","",IF(COUNTIFS(請求記録!$B$6:$B$3005,$A387,請求記録!$X$6:$X$3005,O$5,請求記録!$AD$6:$AD$3005,"保留中")&gt;0,"保留",IF(COUNTIFS(請求記録!$B$6:$B$3005,$A387,請求記録!$X$6:$X$3005,O$5)=0,"",SUMIFS(請求記録!$AC$6:$AC$3005,請求記録!$B$6:$B$3005,$A387,請求記録!$X$6:$X$3005,O$5))))</f>
        <v/>
      </c>
      <c r="P387" s="19">
        <f>IF($A387="","",IF(COUNTIFS(請求記録!$B$6:$B$3005,$A387,請求記録!$X$6:$X$3005,P$5,請求記録!$AD$6:$AD$3005,"保留中")&gt;0,"保留",IF(COUNTIFS(請求記録!$B$6:$B$3005,$A387,請求記録!$X$6:$X$3005,P$5)=0,"",SUMIFS(請求記録!$AC$6:$AC$3005,請求記録!$B$6:$B$3005,$A387,請求記録!$X$6:$X$3005,P$5))))</f>
        <v/>
      </c>
      <c r="Q387" s="19">
        <f>IF($A387="","",IF(COUNTIFS(請求記録!$B$6:$B$3005,$A387,請求記録!$X$6:$X$3005,Q$5,請求記録!$AD$6:$AD$3005,"保留中")&gt;0,"保留",IF(COUNTIFS(請求記録!$B$6:$B$3005,$A387,請求記録!$X$6:$X$3005,Q$5)=0,"",SUMIFS(請求記録!$AC$6:$AC$3005,請求記録!$B$6:$B$3005,$A387,請求記録!$X$6:$X$3005,Q$5))))</f>
        <v/>
      </c>
      <c r="R387" s="19">
        <f>IF($A387="","",IF(COUNTIFS(請求記録!$B$6:$B$3005,$A387,請求記録!$X$6:$X$3005,R$5,請求記録!$AD$6:$AD$3005,"保留中")&gt;0,"保留",IF(COUNTIFS(請求記録!$B$6:$B$3005,$A387,請求記録!$X$6:$X$3005,R$5)=0,"",SUMIFS(請求記録!$AC$6:$AC$3005,請求記録!$B$6:$B$3005,$A387,請求記録!$X$6:$X$3005,R$5))))</f>
        <v/>
      </c>
      <c r="S387" s="19">
        <f>IF($A387="","",IF(COUNTIFS(請求記録!$B$6:$B$3005,$A387,請求記録!$X$6:$X$3005,S$5,請求記録!$AD$6:$AD$3005,"保留中")&gt;0,"保留",IF(COUNTIFS(請求記録!$B$6:$B$3005,$A387,請求記録!$X$6:$X$3005,S$5)=0,"",SUMIFS(請求記録!$AC$6:$AC$3005,請求記録!$B$6:$B$3005,$A387,請求記録!$X$6:$X$3005,S$5))))</f>
        <v/>
      </c>
      <c r="T387" s="19">
        <f>IF($A387="","",IF(COUNTIFS(請求記録!$B$6:$B$3005,$A387,請求記録!$X$6:$X$3005,T$5,請求記録!$AD$6:$AD$3005,"保留中")&gt;0,"保留",IF(COUNTIFS(請求記録!$B$6:$B$3005,$A387,請求記録!$X$6:$X$3005,T$5)=0,"",SUMIFS(請求記録!$AC$6:$AC$3005,請求記録!$B$6:$B$3005,$A387,請求記録!$X$6:$X$3005,T$5))))</f>
        <v/>
      </c>
      <c r="U387" s="19">
        <f>IF($A387="","",IF(COUNTIFS(請求記録!$B$6:$B$3005,$A387,請求記録!$X$6:$X$3005,U$5,請求記録!$AD$6:$AD$3005,"保留中")&gt;0,"保留",IF(COUNTIFS(請求記録!$B$6:$B$3005,$A387,請求記録!$X$6:$X$3005,U$5)=0,"",SUMIFS(請求記録!$AC$6:$AC$3005,請求記録!$B$6:$B$3005,$A387,請求記録!$X$6:$X$3005,U$5))))</f>
        <v/>
      </c>
      <c r="V387" s="19">
        <f>IF($A387="","",IF(COUNTIFS(請求記録!$B$6:$B$3005,$A387,請求記録!$X$6:$X$3005,V$5,請求記録!$AD$6:$AD$3005,"保留中")&gt;0,"保留",IF(COUNTIFS(請求記録!$B$6:$B$3005,$A387,請求記録!$X$6:$X$3005,V$5)=0,"",SUMIFS(請求記録!$AC$6:$AC$3005,請求記録!$B$6:$B$3005,$A387,請求記録!$X$6:$X$3005,V$5))))</f>
        <v/>
      </c>
      <c r="W387" s="19">
        <f>IF($A387="","",IF(COUNTIFS(請求記録!$B$6:$B$3005,$A387,請求記録!$X$6:$X$3005,W$5,請求記録!$AD$6:$AD$3005,"保留中")&gt;0,"保留",IF(COUNTIFS(請求記録!$B$6:$B$3005,$A387,請求記録!$X$6:$X$3005,W$5)=0,"",SUMIFS(請求記録!$AC$6:$AC$3005,請求記録!$B$6:$B$3005,$A387,請求記録!$X$6:$X$3005,W$5))))</f>
        <v/>
      </c>
      <c r="X387" s="19">
        <f>IF($A387="","",IF(COUNTIFS(請求記録!$B$6:$B$3005,$A387,請求記録!$X$6:$X$3005,X$5,請求記録!$AD$6:$AD$3005,"保留中")&gt;0,"保留",IF(COUNTIFS(請求記録!$B$6:$B$3005,$A387,請求記録!$X$6:$X$3005,X$5)=0,"",SUMIFS(請求記録!$AC$6:$AC$3005,請求記録!$B$6:$B$3005,$A387,請求記録!$X$6:$X$3005,X$5))))</f>
        <v/>
      </c>
      <c r="Y387" s="19">
        <f>IF($A387="","",IF(COUNTIFS(請求記録!$B$6:$B$3005,$A387,請求記録!$X$6:$X$3005,Y$5,請求記録!$AD$6:$AD$3005,"保留中")&gt;0,"保留",IF(COUNTIFS(請求記録!$B$6:$B$3005,$A387,請求記録!$X$6:$X$3005,Y$5)=0,"",SUMIFS(請求記録!$AC$6:$AC$3005,請求記録!$B$6:$B$3005,$A387,請求記録!$X$6:$X$3005,Y$5))))</f>
        <v/>
      </c>
      <c r="Z387" s="19">
        <f>IF($A387="","",IF(COUNTIFS(請求記録!$B$6:$B$3005,$A387,請求記録!$X$6:$X$3005,Z$5,請求記録!$AD$6:$AD$3005,"保留中")&gt;0,"保留",IF(COUNTIFS(請求記録!$B$6:$B$3005,$A387,請求記録!$X$6:$X$3005,Z$5)=0,"",SUMIFS(請求記録!$AC$6:$AC$3005,請求記録!$B$6:$B$3005,$A387,請求記録!$X$6:$X$3005,Z$5))))</f>
        <v/>
      </c>
      <c r="AA387" s="19">
        <f>IF($A387="","",IF(COUNTIFS(請求記録!$B$6:$B$3005,$A387,請求記録!$X$6:$X$3005,AA$5,請求記録!$AD$6:$AD$3005,"保留中")&gt;0,"保留",IF(COUNTIFS(請求記録!$B$6:$B$3005,$A387,請求記録!$X$6:$X$3005,AA$5)=0,"",SUMIFS(請求記録!$AC$6:$AC$3005,請求記録!$B$6:$B$3005,$A387,請求記録!$X$6:$X$3005,AA$5))))</f>
        <v/>
      </c>
      <c r="AB387">
        <f>IF(職員マスタ!P387="保留中",職員マスタ!M387,"")</f>
        <v/>
      </c>
    </row>
    <row r="388">
      <c r="A388">
        <f>IF(職員マスタ!A388="","",職員マスタ!A388)</f>
        <v/>
      </c>
      <c r="B388">
        <f>IF($A388="","",職員マスタ!B388)</f>
        <v/>
      </c>
      <c r="C388">
        <f>IF($A388="","",職員マスタ!C388)</f>
        <v/>
      </c>
      <c r="D388" s="19">
        <f>IF($A388="","",IF(COUNTIFS(請求記録!$B$6:$B$3005,$A388,請求記録!$X$6:$X$3005,D$5,請求記録!$AD$6:$AD$3005,"保留中")&gt;0,"保留",IF(COUNTIFS(請求記録!$B$6:$B$3005,$A388,請求記録!$X$6:$X$3005,D$5)=0,"",SUMIFS(請求記録!$AC$6:$AC$3005,請求記録!$B$6:$B$3005,$A388,請求記録!$X$6:$X$3005,D$5))))</f>
        <v/>
      </c>
      <c r="E388" s="19">
        <f>IF($A388="","",IF(COUNTIFS(請求記録!$B$6:$B$3005,$A388,請求記録!$X$6:$X$3005,E$5,請求記録!$AD$6:$AD$3005,"保留中")&gt;0,"保留",IF(COUNTIFS(請求記録!$B$6:$B$3005,$A388,請求記録!$X$6:$X$3005,E$5)=0,"",SUMIFS(請求記録!$AC$6:$AC$3005,請求記録!$B$6:$B$3005,$A388,請求記録!$X$6:$X$3005,E$5))))</f>
        <v/>
      </c>
      <c r="F388" s="19">
        <f>IF($A388="","",IF(COUNTIFS(請求記録!$B$6:$B$3005,$A388,請求記録!$X$6:$X$3005,F$5,請求記録!$AD$6:$AD$3005,"保留中")&gt;0,"保留",IF(COUNTIFS(請求記録!$B$6:$B$3005,$A388,請求記録!$X$6:$X$3005,F$5)=0,"",SUMIFS(請求記録!$AC$6:$AC$3005,請求記録!$B$6:$B$3005,$A388,請求記録!$X$6:$X$3005,F$5))))</f>
        <v/>
      </c>
      <c r="G388" s="19">
        <f>IF($A388="","",IF(COUNTIFS(請求記録!$B$6:$B$3005,$A388,請求記録!$X$6:$X$3005,G$5,請求記録!$AD$6:$AD$3005,"保留中")&gt;0,"保留",IF(COUNTIFS(請求記録!$B$6:$B$3005,$A388,請求記録!$X$6:$X$3005,G$5)=0,"",SUMIFS(請求記録!$AC$6:$AC$3005,請求記録!$B$6:$B$3005,$A388,請求記録!$X$6:$X$3005,G$5))))</f>
        <v/>
      </c>
      <c r="H388" s="19">
        <f>IF($A388="","",IF(COUNTIFS(請求記録!$B$6:$B$3005,$A388,請求記録!$X$6:$X$3005,H$5,請求記録!$AD$6:$AD$3005,"保留中")&gt;0,"保留",IF(COUNTIFS(請求記録!$B$6:$B$3005,$A388,請求記録!$X$6:$X$3005,H$5)=0,"",SUMIFS(請求記録!$AC$6:$AC$3005,請求記録!$B$6:$B$3005,$A388,請求記録!$X$6:$X$3005,H$5))))</f>
        <v/>
      </c>
      <c r="I388" s="19">
        <f>IF($A388="","",IF(COUNTIFS(請求記録!$B$6:$B$3005,$A388,請求記録!$X$6:$X$3005,I$5,請求記録!$AD$6:$AD$3005,"保留中")&gt;0,"保留",IF(COUNTIFS(請求記録!$B$6:$B$3005,$A388,請求記録!$X$6:$X$3005,I$5)=0,"",SUMIFS(請求記録!$AC$6:$AC$3005,請求記録!$B$6:$B$3005,$A388,請求記録!$X$6:$X$3005,I$5))))</f>
        <v/>
      </c>
      <c r="J388" s="19">
        <f>IF($A388="","",IF(COUNTIFS(請求記録!$B$6:$B$3005,$A388,請求記録!$X$6:$X$3005,J$5,請求記録!$AD$6:$AD$3005,"保留中")&gt;0,"保留",IF(COUNTIFS(請求記録!$B$6:$B$3005,$A388,請求記録!$X$6:$X$3005,J$5)=0,"",SUMIFS(請求記録!$AC$6:$AC$3005,請求記録!$B$6:$B$3005,$A388,請求記録!$X$6:$X$3005,J$5))))</f>
        <v/>
      </c>
      <c r="K388" s="19">
        <f>IF($A388="","",IF(COUNTIFS(請求記録!$B$6:$B$3005,$A388,請求記録!$X$6:$X$3005,K$5,請求記録!$AD$6:$AD$3005,"保留中")&gt;0,"保留",IF(COUNTIFS(請求記録!$B$6:$B$3005,$A388,請求記録!$X$6:$X$3005,K$5)=0,"",SUMIFS(請求記録!$AC$6:$AC$3005,請求記録!$B$6:$B$3005,$A388,請求記録!$X$6:$X$3005,K$5))))</f>
        <v/>
      </c>
      <c r="L388" s="19">
        <f>IF($A388="","",IF(COUNTIFS(請求記録!$B$6:$B$3005,$A388,請求記録!$X$6:$X$3005,L$5,請求記録!$AD$6:$AD$3005,"保留中")&gt;0,"保留",IF(COUNTIFS(請求記録!$B$6:$B$3005,$A388,請求記録!$X$6:$X$3005,L$5)=0,"",SUMIFS(請求記録!$AC$6:$AC$3005,請求記録!$B$6:$B$3005,$A388,請求記録!$X$6:$X$3005,L$5))))</f>
        <v/>
      </c>
      <c r="M388" s="19">
        <f>IF($A388="","",IF(COUNTIFS(請求記録!$B$6:$B$3005,$A388,請求記録!$X$6:$X$3005,M$5,請求記録!$AD$6:$AD$3005,"保留中")&gt;0,"保留",IF(COUNTIFS(請求記録!$B$6:$B$3005,$A388,請求記録!$X$6:$X$3005,M$5)=0,"",SUMIFS(請求記録!$AC$6:$AC$3005,請求記録!$B$6:$B$3005,$A388,請求記録!$X$6:$X$3005,M$5))))</f>
        <v/>
      </c>
      <c r="N388" s="19">
        <f>IF($A388="","",IF(COUNTIFS(請求記録!$B$6:$B$3005,$A388,請求記録!$X$6:$X$3005,N$5,請求記録!$AD$6:$AD$3005,"保留中")&gt;0,"保留",IF(COUNTIFS(請求記録!$B$6:$B$3005,$A388,請求記録!$X$6:$X$3005,N$5)=0,"",SUMIFS(請求記録!$AC$6:$AC$3005,請求記録!$B$6:$B$3005,$A388,請求記録!$X$6:$X$3005,N$5))))</f>
        <v/>
      </c>
      <c r="O388" s="19">
        <f>IF($A388="","",IF(COUNTIFS(請求記録!$B$6:$B$3005,$A388,請求記録!$X$6:$X$3005,O$5,請求記録!$AD$6:$AD$3005,"保留中")&gt;0,"保留",IF(COUNTIFS(請求記録!$B$6:$B$3005,$A388,請求記録!$X$6:$X$3005,O$5)=0,"",SUMIFS(請求記録!$AC$6:$AC$3005,請求記録!$B$6:$B$3005,$A388,請求記録!$X$6:$X$3005,O$5))))</f>
        <v/>
      </c>
      <c r="P388" s="19">
        <f>IF($A388="","",IF(COUNTIFS(請求記録!$B$6:$B$3005,$A388,請求記録!$X$6:$X$3005,P$5,請求記録!$AD$6:$AD$3005,"保留中")&gt;0,"保留",IF(COUNTIFS(請求記録!$B$6:$B$3005,$A388,請求記録!$X$6:$X$3005,P$5)=0,"",SUMIFS(請求記録!$AC$6:$AC$3005,請求記録!$B$6:$B$3005,$A388,請求記録!$X$6:$X$3005,P$5))))</f>
        <v/>
      </c>
      <c r="Q388" s="19">
        <f>IF($A388="","",IF(COUNTIFS(請求記録!$B$6:$B$3005,$A388,請求記録!$X$6:$X$3005,Q$5,請求記録!$AD$6:$AD$3005,"保留中")&gt;0,"保留",IF(COUNTIFS(請求記録!$B$6:$B$3005,$A388,請求記録!$X$6:$X$3005,Q$5)=0,"",SUMIFS(請求記録!$AC$6:$AC$3005,請求記録!$B$6:$B$3005,$A388,請求記録!$X$6:$X$3005,Q$5))))</f>
        <v/>
      </c>
      <c r="R388" s="19">
        <f>IF($A388="","",IF(COUNTIFS(請求記録!$B$6:$B$3005,$A388,請求記録!$X$6:$X$3005,R$5,請求記録!$AD$6:$AD$3005,"保留中")&gt;0,"保留",IF(COUNTIFS(請求記録!$B$6:$B$3005,$A388,請求記録!$X$6:$X$3005,R$5)=0,"",SUMIFS(請求記録!$AC$6:$AC$3005,請求記録!$B$6:$B$3005,$A388,請求記録!$X$6:$X$3005,R$5))))</f>
        <v/>
      </c>
      <c r="S388" s="19">
        <f>IF($A388="","",IF(COUNTIFS(請求記録!$B$6:$B$3005,$A388,請求記録!$X$6:$X$3005,S$5,請求記録!$AD$6:$AD$3005,"保留中")&gt;0,"保留",IF(COUNTIFS(請求記録!$B$6:$B$3005,$A388,請求記録!$X$6:$X$3005,S$5)=0,"",SUMIFS(請求記録!$AC$6:$AC$3005,請求記録!$B$6:$B$3005,$A388,請求記録!$X$6:$X$3005,S$5))))</f>
        <v/>
      </c>
      <c r="T388" s="19">
        <f>IF($A388="","",IF(COUNTIFS(請求記録!$B$6:$B$3005,$A388,請求記録!$X$6:$X$3005,T$5,請求記録!$AD$6:$AD$3005,"保留中")&gt;0,"保留",IF(COUNTIFS(請求記録!$B$6:$B$3005,$A388,請求記録!$X$6:$X$3005,T$5)=0,"",SUMIFS(請求記録!$AC$6:$AC$3005,請求記録!$B$6:$B$3005,$A388,請求記録!$X$6:$X$3005,T$5))))</f>
        <v/>
      </c>
      <c r="U388" s="19">
        <f>IF($A388="","",IF(COUNTIFS(請求記録!$B$6:$B$3005,$A388,請求記録!$X$6:$X$3005,U$5,請求記録!$AD$6:$AD$3005,"保留中")&gt;0,"保留",IF(COUNTIFS(請求記録!$B$6:$B$3005,$A388,請求記録!$X$6:$X$3005,U$5)=0,"",SUMIFS(請求記録!$AC$6:$AC$3005,請求記録!$B$6:$B$3005,$A388,請求記録!$X$6:$X$3005,U$5))))</f>
        <v/>
      </c>
      <c r="V388" s="19">
        <f>IF($A388="","",IF(COUNTIFS(請求記録!$B$6:$B$3005,$A388,請求記録!$X$6:$X$3005,V$5,請求記録!$AD$6:$AD$3005,"保留中")&gt;0,"保留",IF(COUNTIFS(請求記録!$B$6:$B$3005,$A388,請求記録!$X$6:$X$3005,V$5)=0,"",SUMIFS(請求記録!$AC$6:$AC$3005,請求記録!$B$6:$B$3005,$A388,請求記録!$X$6:$X$3005,V$5))))</f>
        <v/>
      </c>
      <c r="W388" s="19">
        <f>IF($A388="","",IF(COUNTIFS(請求記録!$B$6:$B$3005,$A388,請求記録!$X$6:$X$3005,W$5,請求記録!$AD$6:$AD$3005,"保留中")&gt;0,"保留",IF(COUNTIFS(請求記録!$B$6:$B$3005,$A388,請求記録!$X$6:$X$3005,W$5)=0,"",SUMIFS(請求記録!$AC$6:$AC$3005,請求記録!$B$6:$B$3005,$A388,請求記録!$X$6:$X$3005,W$5))))</f>
        <v/>
      </c>
      <c r="X388" s="19">
        <f>IF($A388="","",IF(COUNTIFS(請求記録!$B$6:$B$3005,$A388,請求記録!$X$6:$X$3005,X$5,請求記録!$AD$6:$AD$3005,"保留中")&gt;0,"保留",IF(COUNTIFS(請求記録!$B$6:$B$3005,$A388,請求記録!$X$6:$X$3005,X$5)=0,"",SUMIFS(請求記録!$AC$6:$AC$3005,請求記録!$B$6:$B$3005,$A388,請求記録!$X$6:$X$3005,X$5))))</f>
        <v/>
      </c>
      <c r="Y388" s="19">
        <f>IF($A388="","",IF(COUNTIFS(請求記録!$B$6:$B$3005,$A388,請求記録!$X$6:$X$3005,Y$5,請求記録!$AD$6:$AD$3005,"保留中")&gt;0,"保留",IF(COUNTIFS(請求記録!$B$6:$B$3005,$A388,請求記録!$X$6:$X$3005,Y$5)=0,"",SUMIFS(請求記録!$AC$6:$AC$3005,請求記録!$B$6:$B$3005,$A388,請求記録!$X$6:$X$3005,Y$5))))</f>
        <v/>
      </c>
      <c r="Z388" s="19">
        <f>IF($A388="","",IF(COUNTIFS(請求記録!$B$6:$B$3005,$A388,請求記録!$X$6:$X$3005,Z$5,請求記録!$AD$6:$AD$3005,"保留中")&gt;0,"保留",IF(COUNTIFS(請求記録!$B$6:$B$3005,$A388,請求記録!$X$6:$X$3005,Z$5)=0,"",SUMIFS(請求記録!$AC$6:$AC$3005,請求記録!$B$6:$B$3005,$A388,請求記録!$X$6:$X$3005,Z$5))))</f>
        <v/>
      </c>
      <c r="AA388" s="19">
        <f>IF($A388="","",IF(COUNTIFS(請求記録!$B$6:$B$3005,$A388,請求記録!$X$6:$X$3005,AA$5,請求記録!$AD$6:$AD$3005,"保留中")&gt;0,"保留",IF(COUNTIFS(請求記録!$B$6:$B$3005,$A388,請求記録!$X$6:$X$3005,AA$5)=0,"",SUMIFS(請求記録!$AC$6:$AC$3005,請求記録!$B$6:$B$3005,$A388,請求記録!$X$6:$X$3005,AA$5))))</f>
        <v/>
      </c>
      <c r="AB388">
        <f>IF(職員マスタ!P388="保留中",職員マスタ!M388,"")</f>
        <v/>
      </c>
    </row>
    <row r="389">
      <c r="A389">
        <f>IF(職員マスタ!A389="","",職員マスタ!A389)</f>
        <v/>
      </c>
      <c r="B389">
        <f>IF($A389="","",職員マスタ!B389)</f>
        <v/>
      </c>
      <c r="C389">
        <f>IF($A389="","",職員マスタ!C389)</f>
        <v/>
      </c>
      <c r="D389" s="19">
        <f>IF($A389="","",IF(COUNTIFS(請求記録!$B$6:$B$3005,$A389,請求記録!$X$6:$X$3005,D$5,請求記録!$AD$6:$AD$3005,"保留中")&gt;0,"保留",IF(COUNTIFS(請求記録!$B$6:$B$3005,$A389,請求記録!$X$6:$X$3005,D$5)=0,"",SUMIFS(請求記録!$AC$6:$AC$3005,請求記録!$B$6:$B$3005,$A389,請求記録!$X$6:$X$3005,D$5))))</f>
        <v/>
      </c>
      <c r="E389" s="19">
        <f>IF($A389="","",IF(COUNTIFS(請求記録!$B$6:$B$3005,$A389,請求記録!$X$6:$X$3005,E$5,請求記録!$AD$6:$AD$3005,"保留中")&gt;0,"保留",IF(COUNTIFS(請求記録!$B$6:$B$3005,$A389,請求記録!$X$6:$X$3005,E$5)=0,"",SUMIFS(請求記録!$AC$6:$AC$3005,請求記録!$B$6:$B$3005,$A389,請求記録!$X$6:$X$3005,E$5))))</f>
        <v/>
      </c>
      <c r="F389" s="19">
        <f>IF($A389="","",IF(COUNTIFS(請求記録!$B$6:$B$3005,$A389,請求記録!$X$6:$X$3005,F$5,請求記録!$AD$6:$AD$3005,"保留中")&gt;0,"保留",IF(COUNTIFS(請求記録!$B$6:$B$3005,$A389,請求記録!$X$6:$X$3005,F$5)=0,"",SUMIFS(請求記録!$AC$6:$AC$3005,請求記録!$B$6:$B$3005,$A389,請求記録!$X$6:$X$3005,F$5))))</f>
        <v/>
      </c>
      <c r="G389" s="19">
        <f>IF($A389="","",IF(COUNTIFS(請求記録!$B$6:$B$3005,$A389,請求記録!$X$6:$X$3005,G$5,請求記録!$AD$6:$AD$3005,"保留中")&gt;0,"保留",IF(COUNTIFS(請求記録!$B$6:$B$3005,$A389,請求記録!$X$6:$X$3005,G$5)=0,"",SUMIFS(請求記録!$AC$6:$AC$3005,請求記録!$B$6:$B$3005,$A389,請求記録!$X$6:$X$3005,G$5))))</f>
        <v/>
      </c>
      <c r="H389" s="19">
        <f>IF($A389="","",IF(COUNTIFS(請求記録!$B$6:$B$3005,$A389,請求記録!$X$6:$X$3005,H$5,請求記録!$AD$6:$AD$3005,"保留中")&gt;0,"保留",IF(COUNTIFS(請求記録!$B$6:$B$3005,$A389,請求記録!$X$6:$X$3005,H$5)=0,"",SUMIFS(請求記録!$AC$6:$AC$3005,請求記録!$B$6:$B$3005,$A389,請求記録!$X$6:$X$3005,H$5))))</f>
        <v/>
      </c>
      <c r="I389" s="19">
        <f>IF($A389="","",IF(COUNTIFS(請求記録!$B$6:$B$3005,$A389,請求記録!$X$6:$X$3005,I$5,請求記録!$AD$6:$AD$3005,"保留中")&gt;0,"保留",IF(COUNTIFS(請求記録!$B$6:$B$3005,$A389,請求記録!$X$6:$X$3005,I$5)=0,"",SUMIFS(請求記録!$AC$6:$AC$3005,請求記録!$B$6:$B$3005,$A389,請求記録!$X$6:$X$3005,I$5))))</f>
        <v/>
      </c>
      <c r="J389" s="19">
        <f>IF($A389="","",IF(COUNTIFS(請求記録!$B$6:$B$3005,$A389,請求記録!$X$6:$X$3005,J$5,請求記録!$AD$6:$AD$3005,"保留中")&gt;0,"保留",IF(COUNTIFS(請求記録!$B$6:$B$3005,$A389,請求記録!$X$6:$X$3005,J$5)=0,"",SUMIFS(請求記録!$AC$6:$AC$3005,請求記録!$B$6:$B$3005,$A389,請求記録!$X$6:$X$3005,J$5))))</f>
        <v/>
      </c>
      <c r="K389" s="19">
        <f>IF($A389="","",IF(COUNTIFS(請求記録!$B$6:$B$3005,$A389,請求記録!$X$6:$X$3005,K$5,請求記録!$AD$6:$AD$3005,"保留中")&gt;0,"保留",IF(COUNTIFS(請求記録!$B$6:$B$3005,$A389,請求記録!$X$6:$X$3005,K$5)=0,"",SUMIFS(請求記録!$AC$6:$AC$3005,請求記録!$B$6:$B$3005,$A389,請求記録!$X$6:$X$3005,K$5))))</f>
        <v/>
      </c>
      <c r="L389" s="19">
        <f>IF($A389="","",IF(COUNTIFS(請求記録!$B$6:$B$3005,$A389,請求記録!$X$6:$X$3005,L$5,請求記録!$AD$6:$AD$3005,"保留中")&gt;0,"保留",IF(COUNTIFS(請求記録!$B$6:$B$3005,$A389,請求記録!$X$6:$X$3005,L$5)=0,"",SUMIFS(請求記録!$AC$6:$AC$3005,請求記録!$B$6:$B$3005,$A389,請求記録!$X$6:$X$3005,L$5))))</f>
        <v/>
      </c>
      <c r="M389" s="19">
        <f>IF($A389="","",IF(COUNTIFS(請求記録!$B$6:$B$3005,$A389,請求記録!$X$6:$X$3005,M$5,請求記録!$AD$6:$AD$3005,"保留中")&gt;0,"保留",IF(COUNTIFS(請求記録!$B$6:$B$3005,$A389,請求記録!$X$6:$X$3005,M$5)=0,"",SUMIFS(請求記録!$AC$6:$AC$3005,請求記録!$B$6:$B$3005,$A389,請求記録!$X$6:$X$3005,M$5))))</f>
        <v/>
      </c>
      <c r="N389" s="19">
        <f>IF($A389="","",IF(COUNTIFS(請求記録!$B$6:$B$3005,$A389,請求記録!$X$6:$X$3005,N$5,請求記録!$AD$6:$AD$3005,"保留中")&gt;0,"保留",IF(COUNTIFS(請求記録!$B$6:$B$3005,$A389,請求記録!$X$6:$X$3005,N$5)=0,"",SUMIFS(請求記録!$AC$6:$AC$3005,請求記録!$B$6:$B$3005,$A389,請求記録!$X$6:$X$3005,N$5))))</f>
        <v/>
      </c>
      <c r="O389" s="19">
        <f>IF($A389="","",IF(COUNTIFS(請求記録!$B$6:$B$3005,$A389,請求記録!$X$6:$X$3005,O$5,請求記録!$AD$6:$AD$3005,"保留中")&gt;0,"保留",IF(COUNTIFS(請求記録!$B$6:$B$3005,$A389,請求記録!$X$6:$X$3005,O$5)=0,"",SUMIFS(請求記録!$AC$6:$AC$3005,請求記録!$B$6:$B$3005,$A389,請求記録!$X$6:$X$3005,O$5))))</f>
        <v/>
      </c>
      <c r="P389" s="19">
        <f>IF($A389="","",IF(COUNTIFS(請求記録!$B$6:$B$3005,$A389,請求記録!$X$6:$X$3005,P$5,請求記録!$AD$6:$AD$3005,"保留中")&gt;0,"保留",IF(COUNTIFS(請求記録!$B$6:$B$3005,$A389,請求記録!$X$6:$X$3005,P$5)=0,"",SUMIFS(請求記録!$AC$6:$AC$3005,請求記録!$B$6:$B$3005,$A389,請求記録!$X$6:$X$3005,P$5))))</f>
        <v/>
      </c>
      <c r="Q389" s="19">
        <f>IF($A389="","",IF(COUNTIFS(請求記録!$B$6:$B$3005,$A389,請求記録!$X$6:$X$3005,Q$5,請求記録!$AD$6:$AD$3005,"保留中")&gt;0,"保留",IF(COUNTIFS(請求記録!$B$6:$B$3005,$A389,請求記録!$X$6:$X$3005,Q$5)=0,"",SUMIFS(請求記録!$AC$6:$AC$3005,請求記録!$B$6:$B$3005,$A389,請求記録!$X$6:$X$3005,Q$5))))</f>
        <v/>
      </c>
      <c r="R389" s="19">
        <f>IF($A389="","",IF(COUNTIFS(請求記録!$B$6:$B$3005,$A389,請求記録!$X$6:$X$3005,R$5,請求記録!$AD$6:$AD$3005,"保留中")&gt;0,"保留",IF(COUNTIFS(請求記録!$B$6:$B$3005,$A389,請求記録!$X$6:$X$3005,R$5)=0,"",SUMIFS(請求記録!$AC$6:$AC$3005,請求記録!$B$6:$B$3005,$A389,請求記録!$X$6:$X$3005,R$5))))</f>
        <v/>
      </c>
      <c r="S389" s="19">
        <f>IF($A389="","",IF(COUNTIFS(請求記録!$B$6:$B$3005,$A389,請求記録!$X$6:$X$3005,S$5,請求記録!$AD$6:$AD$3005,"保留中")&gt;0,"保留",IF(COUNTIFS(請求記録!$B$6:$B$3005,$A389,請求記録!$X$6:$X$3005,S$5)=0,"",SUMIFS(請求記録!$AC$6:$AC$3005,請求記録!$B$6:$B$3005,$A389,請求記録!$X$6:$X$3005,S$5))))</f>
        <v/>
      </c>
      <c r="T389" s="19">
        <f>IF($A389="","",IF(COUNTIFS(請求記録!$B$6:$B$3005,$A389,請求記録!$X$6:$X$3005,T$5,請求記録!$AD$6:$AD$3005,"保留中")&gt;0,"保留",IF(COUNTIFS(請求記録!$B$6:$B$3005,$A389,請求記録!$X$6:$X$3005,T$5)=0,"",SUMIFS(請求記録!$AC$6:$AC$3005,請求記録!$B$6:$B$3005,$A389,請求記録!$X$6:$X$3005,T$5))))</f>
        <v/>
      </c>
      <c r="U389" s="19">
        <f>IF($A389="","",IF(COUNTIFS(請求記録!$B$6:$B$3005,$A389,請求記録!$X$6:$X$3005,U$5,請求記録!$AD$6:$AD$3005,"保留中")&gt;0,"保留",IF(COUNTIFS(請求記録!$B$6:$B$3005,$A389,請求記録!$X$6:$X$3005,U$5)=0,"",SUMIFS(請求記録!$AC$6:$AC$3005,請求記録!$B$6:$B$3005,$A389,請求記録!$X$6:$X$3005,U$5))))</f>
        <v/>
      </c>
      <c r="V389" s="19">
        <f>IF($A389="","",IF(COUNTIFS(請求記録!$B$6:$B$3005,$A389,請求記録!$X$6:$X$3005,V$5,請求記録!$AD$6:$AD$3005,"保留中")&gt;0,"保留",IF(COUNTIFS(請求記録!$B$6:$B$3005,$A389,請求記録!$X$6:$X$3005,V$5)=0,"",SUMIFS(請求記録!$AC$6:$AC$3005,請求記録!$B$6:$B$3005,$A389,請求記録!$X$6:$X$3005,V$5))))</f>
        <v/>
      </c>
      <c r="W389" s="19">
        <f>IF($A389="","",IF(COUNTIFS(請求記録!$B$6:$B$3005,$A389,請求記録!$X$6:$X$3005,W$5,請求記録!$AD$6:$AD$3005,"保留中")&gt;0,"保留",IF(COUNTIFS(請求記録!$B$6:$B$3005,$A389,請求記録!$X$6:$X$3005,W$5)=0,"",SUMIFS(請求記録!$AC$6:$AC$3005,請求記録!$B$6:$B$3005,$A389,請求記録!$X$6:$X$3005,W$5))))</f>
        <v/>
      </c>
      <c r="X389" s="19">
        <f>IF($A389="","",IF(COUNTIFS(請求記録!$B$6:$B$3005,$A389,請求記録!$X$6:$X$3005,X$5,請求記録!$AD$6:$AD$3005,"保留中")&gt;0,"保留",IF(COUNTIFS(請求記録!$B$6:$B$3005,$A389,請求記録!$X$6:$X$3005,X$5)=0,"",SUMIFS(請求記録!$AC$6:$AC$3005,請求記録!$B$6:$B$3005,$A389,請求記録!$X$6:$X$3005,X$5))))</f>
        <v/>
      </c>
      <c r="Y389" s="19">
        <f>IF($A389="","",IF(COUNTIFS(請求記録!$B$6:$B$3005,$A389,請求記録!$X$6:$X$3005,Y$5,請求記録!$AD$6:$AD$3005,"保留中")&gt;0,"保留",IF(COUNTIFS(請求記録!$B$6:$B$3005,$A389,請求記録!$X$6:$X$3005,Y$5)=0,"",SUMIFS(請求記録!$AC$6:$AC$3005,請求記録!$B$6:$B$3005,$A389,請求記録!$X$6:$X$3005,Y$5))))</f>
        <v/>
      </c>
      <c r="Z389" s="19">
        <f>IF($A389="","",IF(COUNTIFS(請求記録!$B$6:$B$3005,$A389,請求記録!$X$6:$X$3005,Z$5,請求記録!$AD$6:$AD$3005,"保留中")&gt;0,"保留",IF(COUNTIFS(請求記録!$B$6:$B$3005,$A389,請求記録!$X$6:$X$3005,Z$5)=0,"",SUMIFS(請求記録!$AC$6:$AC$3005,請求記録!$B$6:$B$3005,$A389,請求記録!$X$6:$X$3005,Z$5))))</f>
        <v/>
      </c>
      <c r="AA389" s="19">
        <f>IF($A389="","",IF(COUNTIFS(請求記録!$B$6:$B$3005,$A389,請求記録!$X$6:$X$3005,AA$5,請求記録!$AD$6:$AD$3005,"保留中")&gt;0,"保留",IF(COUNTIFS(請求記録!$B$6:$B$3005,$A389,請求記録!$X$6:$X$3005,AA$5)=0,"",SUMIFS(請求記録!$AC$6:$AC$3005,請求記録!$B$6:$B$3005,$A389,請求記録!$X$6:$X$3005,AA$5))))</f>
        <v/>
      </c>
      <c r="AB389">
        <f>IF(職員マスタ!P389="保留中",職員マスタ!M389,"")</f>
        <v/>
      </c>
    </row>
    <row r="390">
      <c r="A390">
        <f>IF(職員マスタ!A390="","",職員マスタ!A390)</f>
        <v/>
      </c>
      <c r="B390">
        <f>IF($A390="","",職員マスタ!B390)</f>
        <v/>
      </c>
      <c r="C390">
        <f>IF($A390="","",職員マスタ!C390)</f>
        <v/>
      </c>
      <c r="D390" s="19">
        <f>IF($A390="","",IF(COUNTIFS(請求記録!$B$6:$B$3005,$A390,請求記録!$X$6:$X$3005,D$5,請求記録!$AD$6:$AD$3005,"保留中")&gt;0,"保留",IF(COUNTIFS(請求記録!$B$6:$B$3005,$A390,請求記録!$X$6:$X$3005,D$5)=0,"",SUMIFS(請求記録!$AC$6:$AC$3005,請求記録!$B$6:$B$3005,$A390,請求記録!$X$6:$X$3005,D$5))))</f>
        <v/>
      </c>
      <c r="E390" s="19">
        <f>IF($A390="","",IF(COUNTIFS(請求記録!$B$6:$B$3005,$A390,請求記録!$X$6:$X$3005,E$5,請求記録!$AD$6:$AD$3005,"保留中")&gt;0,"保留",IF(COUNTIFS(請求記録!$B$6:$B$3005,$A390,請求記録!$X$6:$X$3005,E$5)=0,"",SUMIFS(請求記録!$AC$6:$AC$3005,請求記録!$B$6:$B$3005,$A390,請求記録!$X$6:$X$3005,E$5))))</f>
        <v/>
      </c>
      <c r="F390" s="19">
        <f>IF($A390="","",IF(COUNTIFS(請求記録!$B$6:$B$3005,$A390,請求記録!$X$6:$X$3005,F$5,請求記録!$AD$6:$AD$3005,"保留中")&gt;0,"保留",IF(COUNTIFS(請求記録!$B$6:$B$3005,$A390,請求記録!$X$6:$X$3005,F$5)=0,"",SUMIFS(請求記録!$AC$6:$AC$3005,請求記録!$B$6:$B$3005,$A390,請求記録!$X$6:$X$3005,F$5))))</f>
        <v/>
      </c>
      <c r="G390" s="19">
        <f>IF($A390="","",IF(COUNTIFS(請求記録!$B$6:$B$3005,$A390,請求記録!$X$6:$X$3005,G$5,請求記録!$AD$6:$AD$3005,"保留中")&gt;0,"保留",IF(COUNTIFS(請求記録!$B$6:$B$3005,$A390,請求記録!$X$6:$X$3005,G$5)=0,"",SUMIFS(請求記録!$AC$6:$AC$3005,請求記録!$B$6:$B$3005,$A390,請求記録!$X$6:$X$3005,G$5))))</f>
        <v/>
      </c>
      <c r="H390" s="19">
        <f>IF($A390="","",IF(COUNTIFS(請求記録!$B$6:$B$3005,$A390,請求記録!$X$6:$X$3005,H$5,請求記録!$AD$6:$AD$3005,"保留中")&gt;0,"保留",IF(COUNTIFS(請求記録!$B$6:$B$3005,$A390,請求記録!$X$6:$X$3005,H$5)=0,"",SUMIFS(請求記録!$AC$6:$AC$3005,請求記録!$B$6:$B$3005,$A390,請求記録!$X$6:$X$3005,H$5))))</f>
        <v/>
      </c>
      <c r="I390" s="19">
        <f>IF($A390="","",IF(COUNTIFS(請求記録!$B$6:$B$3005,$A390,請求記録!$X$6:$X$3005,I$5,請求記録!$AD$6:$AD$3005,"保留中")&gt;0,"保留",IF(COUNTIFS(請求記録!$B$6:$B$3005,$A390,請求記録!$X$6:$X$3005,I$5)=0,"",SUMIFS(請求記録!$AC$6:$AC$3005,請求記録!$B$6:$B$3005,$A390,請求記録!$X$6:$X$3005,I$5))))</f>
        <v/>
      </c>
      <c r="J390" s="19">
        <f>IF($A390="","",IF(COUNTIFS(請求記録!$B$6:$B$3005,$A390,請求記録!$X$6:$X$3005,J$5,請求記録!$AD$6:$AD$3005,"保留中")&gt;0,"保留",IF(COUNTIFS(請求記録!$B$6:$B$3005,$A390,請求記録!$X$6:$X$3005,J$5)=0,"",SUMIFS(請求記録!$AC$6:$AC$3005,請求記録!$B$6:$B$3005,$A390,請求記録!$X$6:$X$3005,J$5))))</f>
        <v/>
      </c>
      <c r="K390" s="19">
        <f>IF($A390="","",IF(COUNTIFS(請求記録!$B$6:$B$3005,$A390,請求記録!$X$6:$X$3005,K$5,請求記録!$AD$6:$AD$3005,"保留中")&gt;0,"保留",IF(COUNTIFS(請求記録!$B$6:$B$3005,$A390,請求記録!$X$6:$X$3005,K$5)=0,"",SUMIFS(請求記録!$AC$6:$AC$3005,請求記録!$B$6:$B$3005,$A390,請求記録!$X$6:$X$3005,K$5))))</f>
        <v/>
      </c>
      <c r="L390" s="19">
        <f>IF($A390="","",IF(COUNTIFS(請求記録!$B$6:$B$3005,$A390,請求記録!$X$6:$X$3005,L$5,請求記録!$AD$6:$AD$3005,"保留中")&gt;0,"保留",IF(COUNTIFS(請求記録!$B$6:$B$3005,$A390,請求記録!$X$6:$X$3005,L$5)=0,"",SUMIFS(請求記録!$AC$6:$AC$3005,請求記録!$B$6:$B$3005,$A390,請求記録!$X$6:$X$3005,L$5))))</f>
        <v/>
      </c>
      <c r="M390" s="19">
        <f>IF($A390="","",IF(COUNTIFS(請求記録!$B$6:$B$3005,$A390,請求記録!$X$6:$X$3005,M$5,請求記録!$AD$6:$AD$3005,"保留中")&gt;0,"保留",IF(COUNTIFS(請求記録!$B$6:$B$3005,$A390,請求記録!$X$6:$X$3005,M$5)=0,"",SUMIFS(請求記録!$AC$6:$AC$3005,請求記録!$B$6:$B$3005,$A390,請求記録!$X$6:$X$3005,M$5))))</f>
        <v/>
      </c>
      <c r="N390" s="19">
        <f>IF($A390="","",IF(COUNTIFS(請求記録!$B$6:$B$3005,$A390,請求記録!$X$6:$X$3005,N$5,請求記録!$AD$6:$AD$3005,"保留中")&gt;0,"保留",IF(COUNTIFS(請求記録!$B$6:$B$3005,$A390,請求記録!$X$6:$X$3005,N$5)=0,"",SUMIFS(請求記録!$AC$6:$AC$3005,請求記録!$B$6:$B$3005,$A390,請求記録!$X$6:$X$3005,N$5))))</f>
        <v/>
      </c>
      <c r="O390" s="19">
        <f>IF($A390="","",IF(COUNTIFS(請求記録!$B$6:$B$3005,$A390,請求記録!$X$6:$X$3005,O$5,請求記録!$AD$6:$AD$3005,"保留中")&gt;0,"保留",IF(COUNTIFS(請求記録!$B$6:$B$3005,$A390,請求記録!$X$6:$X$3005,O$5)=0,"",SUMIFS(請求記録!$AC$6:$AC$3005,請求記録!$B$6:$B$3005,$A390,請求記録!$X$6:$X$3005,O$5))))</f>
        <v/>
      </c>
      <c r="P390" s="19">
        <f>IF($A390="","",IF(COUNTIFS(請求記録!$B$6:$B$3005,$A390,請求記録!$X$6:$X$3005,P$5,請求記録!$AD$6:$AD$3005,"保留中")&gt;0,"保留",IF(COUNTIFS(請求記録!$B$6:$B$3005,$A390,請求記録!$X$6:$X$3005,P$5)=0,"",SUMIFS(請求記録!$AC$6:$AC$3005,請求記録!$B$6:$B$3005,$A390,請求記録!$X$6:$X$3005,P$5))))</f>
        <v/>
      </c>
      <c r="Q390" s="19">
        <f>IF($A390="","",IF(COUNTIFS(請求記録!$B$6:$B$3005,$A390,請求記録!$X$6:$X$3005,Q$5,請求記録!$AD$6:$AD$3005,"保留中")&gt;0,"保留",IF(COUNTIFS(請求記録!$B$6:$B$3005,$A390,請求記録!$X$6:$X$3005,Q$5)=0,"",SUMIFS(請求記録!$AC$6:$AC$3005,請求記録!$B$6:$B$3005,$A390,請求記録!$X$6:$X$3005,Q$5))))</f>
        <v/>
      </c>
      <c r="R390" s="19">
        <f>IF($A390="","",IF(COUNTIFS(請求記録!$B$6:$B$3005,$A390,請求記録!$X$6:$X$3005,R$5,請求記録!$AD$6:$AD$3005,"保留中")&gt;0,"保留",IF(COUNTIFS(請求記録!$B$6:$B$3005,$A390,請求記録!$X$6:$X$3005,R$5)=0,"",SUMIFS(請求記録!$AC$6:$AC$3005,請求記録!$B$6:$B$3005,$A390,請求記録!$X$6:$X$3005,R$5))))</f>
        <v/>
      </c>
      <c r="S390" s="19">
        <f>IF($A390="","",IF(COUNTIFS(請求記録!$B$6:$B$3005,$A390,請求記録!$X$6:$X$3005,S$5,請求記録!$AD$6:$AD$3005,"保留中")&gt;0,"保留",IF(COUNTIFS(請求記録!$B$6:$B$3005,$A390,請求記録!$X$6:$X$3005,S$5)=0,"",SUMIFS(請求記録!$AC$6:$AC$3005,請求記録!$B$6:$B$3005,$A390,請求記録!$X$6:$X$3005,S$5))))</f>
        <v/>
      </c>
      <c r="T390" s="19">
        <f>IF($A390="","",IF(COUNTIFS(請求記録!$B$6:$B$3005,$A390,請求記録!$X$6:$X$3005,T$5,請求記録!$AD$6:$AD$3005,"保留中")&gt;0,"保留",IF(COUNTIFS(請求記録!$B$6:$B$3005,$A390,請求記録!$X$6:$X$3005,T$5)=0,"",SUMIFS(請求記録!$AC$6:$AC$3005,請求記録!$B$6:$B$3005,$A390,請求記録!$X$6:$X$3005,T$5))))</f>
        <v/>
      </c>
      <c r="U390" s="19">
        <f>IF($A390="","",IF(COUNTIFS(請求記録!$B$6:$B$3005,$A390,請求記録!$X$6:$X$3005,U$5,請求記録!$AD$6:$AD$3005,"保留中")&gt;0,"保留",IF(COUNTIFS(請求記録!$B$6:$B$3005,$A390,請求記録!$X$6:$X$3005,U$5)=0,"",SUMIFS(請求記録!$AC$6:$AC$3005,請求記録!$B$6:$B$3005,$A390,請求記録!$X$6:$X$3005,U$5))))</f>
        <v/>
      </c>
      <c r="V390" s="19">
        <f>IF($A390="","",IF(COUNTIFS(請求記録!$B$6:$B$3005,$A390,請求記録!$X$6:$X$3005,V$5,請求記録!$AD$6:$AD$3005,"保留中")&gt;0,"保留",IF(COUNTIFS(請求記録!$B$6:$B$3005,$A390,請求記録!$X$6:$X$3005,V$5)=0,"",SUMIFS(請求記録!$AC$6:$AC$3005,請求記録!$B$6:$B$3005,$A390,請求記録!$X$6:$X$3005,V$5))))</f>
        <v/>
      </c>
      <c r="W390" s="19">
        <f>IF($A390="","",IF(COUNTIFS(請求記録!$B$6:$B$3005,$A390,請求記録!$X$6:$X$3005,W$5,請求記録!$AD$6:$AD$3005,"保留中")&gt;0,"保留",IF(COUNTIFS(請求記録!$B$6:$B$3005,$A390,請求記録!$X$6:$X$3005,W$5)=0,"",SUMIFS(請求記録!$AC$6:$AC$3005,請求記録!$B$6:$B$3005,$A390,請求記録!$X$6:$X$3005,W$5))))</f>
        <v/>
      </c>
      <c r="X390" s="19">
        <f>IF($A390="","",IF(COUNTIFS(請求記録!$B$6:$B$3005,$A390,請求記録!$X$6:$X$3005,X$5,請求記録!$AD$6:$AD$3005,"保留中")&gt;0,"保留",IF(COUNTIFS(請求記録!$B$6:$B$3005,$A390,請求記録!$X$6:$X$3005,X$5)=0,"",SUMIFS(請求記録!$AC$6:$AC$3005,請求記録!$B$6:$B$3005,$A390,請求記録!$X$6:$X$3005,X$5))))</f>
        <v/>
      </c>
      <c r="Y390" s="19">
        <f>IF($A390="","",IF(COUNTIFS(請求記録!$B$6:$B$3005,$A390,請求記録!$X$6:$X$3005,Y$5,請求記録!$AD$6:$AD$3005,"保留中")&gt;0,"保留",IF(COUNTIFS(請求記録!$B$6:$B$3005,$A390,請求記録!$X$6:$X$3005,Y$5)=0,"",SUMIFS(請求記録!$AC$6:$AC$3005,請求記録!$B$6:$B$3005,$A390,請求記録!$X$6:$X$3005,Y$5))))</f>
        <v/>
      </c>
      <c r="Z390" s="19">
        <f>IF($A390="","",IF(COUNTIFS(請求記録!$B$6:$B$3005,$A390,請求記録!$X$6:$X$3005,Z$5,請求記録!$AD$6:$AD$3005,"保留中")&gt;0,"保留",IF(COUNTIFS(請求記録!$B$6:$B$3005,$A390,請求記録!$X$6:$X$3005,Z$5)=0,"",SUMIFS(請求記録!$AC$6:$AC$3005,請求記録!$B$6:$B$3005,$A390,請求記録!$X$6:$X$3005,Z$5))))</f>
        <v/>
      </c>
      <c r="AA390" s="19">
        <f>IF($A390="","",IF(COUNTIFS(請求記録!$B$6:$B$3005,$A390,請求記録!$X$6:$X$3005,AA$5,請求記録!$AD$6:$AD$3005,"保留中")&gt;0,"保留",IF(COUNTIFS(請求記録!$B$6:$B$3005,$A390,請求記録!$X$6:$X$3005,AA$5)=0,"",SUMIFS(請求記録!$AC$6:$AC$3005,請求記録!$B$6:$B$3005,$A390,請求記録!$X$6:$X$3005,AA$5))))</f>
        <v/>
      </c>
      <c r="AB390">
        <f>IF(職員マスタ!P390="保留中",職員マスタ!M390,"")</f>
        <v/>
      </c>
    </row>
    <row r="391">
      <c r="A391">
        <f>IF(職員マスタ!A391="","",職員マスタ!A391)</f>
        <v/>
      </c>
      <c r="B391">
        <f>IF($A391="","",職員マスタ!B391)</f>
        <v/>
      </c>
      <c r="C391">
        <f>IF($A391="","",職員マスタ!C391)</f>
        <v/>
      </c>
      <c r="D391" s="19">
        <f>IF($A391="","",IF(COUNTIFS(請求記録!$B$6:$B$3005,$A391,請求記録!$X$6:$X$3005,D$5,請求記録!$AD$6:$AD$3005,"保留中")&gt;0,"保留",IF(COUNTIFS(請求記録!$B$6:$B$3005,$A391,請求記録!$X$6:$X$3005,D$5)=0,"",SUMIFS(請求記録!$AC$6:$AC$3005,請求記録!$B$6:$B$3005,$A391,請求記録!$X$6:$X$3005,D$5))))</f>
        <v/>
      </c>
      <c r="E391" s="19">
        <f>IF($A391="","",IF(COUNTIFS(請求記録!$B$6:$B$3005,$A391,請求記録!$X$6:$X$3005,E$5,請求記録!$AD$6:$AD$3005,"保留中")&gt;0,"保留",IF(COUNTIFS(請求記録!$B$6:$B$3005,$A391,請求記録!$X$6:$X$3005,E$5)=0,"",SUMIFS(請求記録!$AC$6:$AC$3005,請求記録!$B$6:$B$3005,$A391,請求記録!$X$6:$X$3005,E$5))))</f>
        <v/>
      </c>
      <c r="F391" s="19">
        <f>IF($A391="","",IF(COUNTIFS(請求記録!$B$6:$B$3005,$A391,請求記録!$X$6:$X$3005,F$5,請求記録!$AD$6:$AD$3005,"保留中")&gt;0,"保留",IF(COUNTIFS(請求記録!$B$6:$B$3005,$A391,請求記録!$X$6:$X$3005,F$5)=0,"",SUMIFS(請求記録!$AC$6:$AC$3005,請求記録!$B$6:$B$3005,$A391,請求記録!$X$6:$X$3005,F$5))))</f>
        <v/>
      </c>
      <c r="G391" s="19">
        <f>IF($A391="","",IF(COUNTIFS(請求記録!$B$6:$B$3005,$A391,請求記録!$X$6:$X$3005,G$5,請求記録!$AD$6:$AD$3005,"保留中")&gt;0,"保留",IF(COUNTIFS(請求記録!$B$6:$B$3005,$A391,請求記録!$X$6:$X$3005,G$5)=0,"",SUMIFS(請求記録!$AC$6:$AC$3005,請求記録!$B$6:$B$3005,$A391,請求記録!$X$6:$X$3005,G$5))))</f>
        <v/>
      </c>
      <c r="H391" s="19">
        <f>IF($A391="","",IF(COUNTIFS(請求記録!$B$6:$B$3005,$A391,請求記録!$X$6:$X$3005,H$5,請求記録!$AD$6:$AD$3005,"保留中")&gt;0,"保留",IF(COUNTIFS(請求記録!$B$6:$B$3005,$A391,請求記録!$X$6:$X$3005,H$5)=0,"",SUMIFS(請求記録!$AC$6:$AC$3005,請求記録!$B$6:$B$3005,$A391,請求記録!$X$6:$X$3005,H$5))))</f>
        <v/>
      </c>
      <c r="I391" s="19">
        <f>IF($A391="","",IF(COUNTIFS(請求記録!$B$6:$B$3005,$A391,請求記録!$X$6:$X$3005,I$5,請求記録!$AD$6:$AD$3005,"保留中")&gt;0,"保留",IF(COUNTIFS(請求記録!$B$6:$B$3005,$A391,請求記録!$X$6:$X$3005,I$5)=0,"",SUMIFS(請求記録!$AC$6:$AC$3005,請求記録!$B$6:$B$3005,$A391,請求記録!$X$6:$X$3005,I$5))))</f>
        <v/>
      </c>
      <c r="J391" s="19">
        <f>IF($A391="","",IF(COUNTIFS(請求記録!$B$6:$B$3005,$A391,請求記録!$X$6:$X$3005,J$5,請求記録!$AD$6:$AD$3005,"保留中")&gt;0,"保留",IF(COUNTIFS(請求記録!$B$6:$B$3005,$A391,請求記録!$X$6:$X$3005,J$5)=0,"",SUMIFS(請求記録!$AC$6:$AC$3005,請求記録!$B$6:$B$3005,$A391,請求記録!$X$6:$X$3005,J$5))))</f>
        <v/>
      </c>
      <c r="K391" s="19">
        <f>IF($A391="","",IF(COUNTIFS(請求記録!$B$6:$B$3005,$A391,請求記録!$X$6:$X$3005,K$5,請求記録!$AD$6:$AD$3005,"保留中")&gt;0,"保留",IF(COUNTIFS(請求記録!$B$6:$B$3005,$A391,請求記録!$X$6:$X$3005,K$5)=0,"",SUMIFS(請求記録!$AC$6:$AC$3005,請求記録!$B$6:$B$3005,$A391,請求記録!$X$6:$X$3005,K$5))))</f>
        <v/>
      </c>
      <c r="L391" s="19">
        <f>IF($A391="","",IF(COUNTIFS(請求記録!$B$6:$B$3005,$A391,請求記録!$X$6:$X$3005,L$5,請求記録!$AD$6:$AD$3005,"保留中")&gt;0,"保留",IF(COUNTIFS(請求記録!$B$6:$B$3005,$A391,請求記録!$X$6:$X$3005,L$5)=0,"",SUMIFS(請求記録!$AC$6:$AC$3005,請求記録!$B$6:$B$3005,$A391,請求記録!$X$6:$X$3005,L$5))))</f>
        <v/>
      </c>
      <c r="M391" s="19">
        <f>IF($A391="","",IF(COUNTIFS(請求記録!$B$6:$B$3005,$A391,請求記録!$X$6:$X$3005,M$5,請求記録!$AD$6:$AD$3005,"保留中")&gt;0,"保留",IF(COUNTIFS(請求記録!$B$6:$B$3005,$A391,請求記録!$X$6:$X$3005,M$5)=0,"",SUMIFS(請求記録!$AC$6:$AC$3005,請求記録!$B$6:$B$3005,$A391,請求記録!$X$6:$X$3005,M$5))))</f>
        <v/>
      </c>
      <c r="N391" s="19">
        <f>IF($A391="","",IF(COUNTIFS(請求記録!$B$6:$B$3005,$A391,請求記録!$X$6:$X$3005,N$5,請求記録!$AD$6:$AD$3005,"保留中")&gt;0,"保留",IF(COUNTIFS(請求記録!$B$6:$B$3005,$A391,請求記録!$X$6:$X$3005,N$5)=0,"",SUMIFS(請求記録!$AC$6:$AC$3005,請求記録!$B$6:$B$3005,$A391,請求記録!$X$6:$X$3005,N$5))))</f>
        <v/>
      </c>
      <c r="O391" s="19">
        <f>IF($A391="","",IF(COUNTIFS(請求記録!$B$6:$B$3005,$A391,請求記録!$X$6:$X$3005,O$5,請求記録!$AD$6:$AD$3005,"保留中")&gt;0,"保留",IF(COUNTIFS(請求記録!$B$6:$B$3005,$A391,請求記録!$X$6:$X$3005,O$5)=0,"",SUMIFS(請求記録!$AC$6:$AC$3005,請求記録!$B$6:$B$3005,$A391,請求記録!$X$6:$X$3005,O$5))))</f>
        <v/>
      </c>
      <c r="P391" s="19">
        <f>IF($A391="","",IF(COUNTIFS(請求記録!$B$6:$B$3005,$A391,請求記録!$X$6:$X$3005,P$5,請求記録!$AD$6:$AD$3005,"保留中")&gt;0,"保留",IF(COUNTIFS(請求記録!$B$6:$B$3005,$A391,請求記録!$X$6:$X$3005,P$5)=0,"",SUMIFS(請求記録!$AC$6:$AC$3005,請求記録!$B$6:$B$3005,$A391,請求記録!$X$6:$X$3005,P$5))))</f>
        <v/>
      </c>
      <c r="Q391" s="19">
        <f>IF($A391="","",IF(COUNTIFS(請求記録!$B$6:$B$3005,$A391,請求記録!$X$6:$X$3005,Q$5,請求記録!$AD$6:$AD$3005,"保留中")&gt;0,"保留",IF(COUNTIFS(請求記録!$B$6:$B$3005,$A391,請求記録!$X$6:$X$3005,Q$5)=0,"",SUMIFS(請求記録!$AC$6:$AC$3005,請求記録!$B$6:$B$3005,$A391,請求記録!$X$6:$X$3005,Q$5))))</f>
        <v/>
      </c>
      <c r="R391" s="19">
        <f>IF($A391="","",IF(COUNTIFS(請求記録!$B$6:$B$3005,$A391,請求記録!$X$6:$X$3005,R$5,請求記録!$AD$6:$AD$3005,"保留中")&gt;0,"保留",IF(COUNTIFS(請求記録!$B$6:$B$3005,$A391,請求記録!$X$6:$X$3005,R$5)=0,"",SUMIFS(請求記録!$AC$6:$AC$3005,請求記録!$B$6:$B$3005,$A391,請求記録!$X$6:$X$3005,R$5))))</f>
        <v/>
      </c>
      <c r="S391" s="19">
        <f>IF($A391="","",IF(COUNTIFS(請求記録!$B$6:$B$3005,$A391,請求記録!$X$6:$X$3005,S$5,請求記録!$AD$6:$AD$3005,"保留中")&gt;0,"保留",IF(COUNTIFS(請求記録!$B$6:$B$3005,$A391,請求記録!$X$6:$X$3005,S$5)=0,"",SUMIFS(請求記録!$AC$6:$AC$3005,請求記録!$B$6:$B$3005,$A391,請求記録!$X$6:$X$3005,S$5))))</f>
        <v/>
      </c>
      <c r="T391" s="19">
        <f>IF($A391="","",IF(COUNTIFS(請求記録!$B$6:$B$3005,$A391,請求記録!$X$6:$X$3005,T$5,請求記録!$AD$6:$AD$3005,"保留中")&gt;0,"保留",IF(COUNTIFS(請求記録!$B$6:$B$3005,$A391,請求記録!$X$6:$X$3005,T$5)=0,"",SUMIFS(請求記録!$AC$6:$AC$3005,請求記録!$B$6:$B$3005,$A391,請求記録!$X$6:$X$3005,T$5))))</f>
        <v/>
      </c>
      <c r="U391" s="19">
        <f>IF($A391="","",IF(COUNTIFS(請求記録!$B$6:$B$3005,$A391,請求記録!$X$6:$X$3005,U$5,請求記録!$AD$6:$AD$3005,"保留中")&gt;0,"保留",IF(COUNTIFS(請求記録!$B$6:$B$3005,$A391,請求記録!$X$6:$X$3005,U$5)=0,"",SUMIFS(請求記録!$AC$6:$AC$3005,請求記録!$B$6:$B$3005,$A391,請求記録!$X$6:$X$3005,U$5))))</f>
        <v/>
      </c>
      <c r="V391" s="19">
        <f>IF($A391="","",IF(COUNTIFS(請求記録!$B$6:$B$3005,$A391,請求記録!$X$6:$X$3005,V$5,請求記録!$AD$6:$AD$3005,"保留中")&gt;0,"保留",IF(COUNTIFS(請求記録!$B$6:$B$3005,$A391,請求記録!$X$6:$X$3005,V$5)=0,"",SUMIFS(請求記録!$AC$6:$AC$3005,請求記録!$B$6:$B$3005,$A391,請求記録!$X$6:$X$3005,V$5))))</f>
        <v/>
      </c>
      <c r="W391" s="19">
        <f>IF($A391="","",IF(COUNTIFS(請求記録!$B$6:$B$3005,$A391,請求記録!$X$6:$X$3005,W$5,請求記録!$AD$6:$AD$3005,"保留中")&gt;0,"保留",IF(COUNTIFS(請求記録!$B$6:$B$3005,$A391,請求記録!$X$6:$X$3005,W$5)=0,"",SUMIFS(請求記録!$AC$6:$AC$3005,請求記録!$B$6:$B$3005,$A391,請求記録!$X$6:$X$3005,W$5))))</f>
        <v/>
      </c>
      <c r="X391" s="19">
        <f>IF($A391="","",IF(COUNTIFS(請求記録!$B$6:$B$3005,$A391,請求記録!$X$6:$X$3005,X$5,請求記録!$AD$6:$AD$3005,"保留中")&gt;0,"保留",IF(COUNTIFS(請求記録!$B$6:$B$3005,$A391,請求記録!$X$6:$X$3005,X$5)=0,"",SUMIFS(請求記録!$AC$6:$AC$3005,請求記録!$B$6:$B$3005,$A391,請求記録!$X$6:$X$3005,X$5))))</f>
        <v/>
      </c>
      <c r="Y391" s="19">
        <f>IF($A391="","",IF(COUNTIFS(請求記録!$B$6:$B$3005,$A391,請求記録!$X$6:$X$3005,Y$5,請求記録!$AD$6:$AD$3005,"保留中")&gt;0,"保留",IF(COUNTIFS(請求記録!$B$6:$B$3005,$A391,請求記録!$X$6:$X$3005,Y$5)=0,"",SUMIFS(請求記録!$AC$6:$AC$3005,請求記録!$B$6:$B$3005,$A391,請求記録!$X$6:$X$3005,Y$5))))</f>
        <v/>
      </c>
      <c r="Z391" s="19">
        <f>IF($A391="","",IF(COUNTIFS(請求記録!$B$6:$B$3005,$A391,請求記録!$X$6:$X$3005,Z$5,請求記録!$AD$6:$AD$3005,"保留中")&gt;0,"保留",IF(COUNTIFS(請求記録!$B$6:$B$3005,$A391,請求記録!$X$6:$X$3005,Z$5)=0,"",SUMIFS(請求記録!$AC$6:$AC$3005,請求記録!$B$6:$B$3005,$A391,請求記録!$X$6:$X$3005,Z$5))))</f>
        <v/>
      </c>
      <c r="AA391" s="19">
        <f>IF($A391="","",IF(COUNTIFS(請求記録!$B$6:$B$3005,$A391,請求記録!$X$6:$X$3005,AA$5,請求記録!$AD$6:$AD$3005,"保留中")&gt;0,"保留",IF(COUNTIFS(請求記録!$B$6:$B$3005,$A391,請求記録!$X$6:$X$3005,AA$5)=0,"",SUMIFS(請求記録!$AC$6:$AC$3005,請求記録!$B$6:$B$3005,$A391,請求記録!$X$6:$X$3005,AA$5))))</f>
        <v/>
      </c>
      <c r="AB391">
        <f>IF(職員マスタ!P391="保留中",職員マスタ!M391,"")</f>
        <v/>
      </c>
    </row>
    <row r="392">
      <c r="A392">
        <f>IF(職員マスタ!A392="","",職員マスタ!A392)</f>
        <v/>
      </c>
      <c r="B392">
        <f>IF($A392="","",職員マスタ!B392)</f>
        <v/>
      </c>
      <c r="C392">
        <f>IF($A392="","",職員マスタ!C392)</f>
        <v/>
      </c>
      <c r="D392" s="19">
        <f>IF($A392="","",IF(COUNTIFS(請求記録!$B$6:$B$3005,$A392,請求記録!$X$6:$X$3005,D$5,請求記録!$AD$6:$AD$3005,"保留中")&gt;0,"保留",IF(COUNTIFS(請求記録!$B$6:$B$3005,$A392,請求記録!$X$6:$X$3005,D$5)=0,"",SUMIFS(請求記録!$AC$6:$AC$3005,請求記録!$B$6:$B$3005,$A392,請求記録!$X$6:$X$3005,D$5))))</f>
        <v/>
      </c>
      <c r="E392" s="19">
        <f>IF($A392="","",IF(COUNTIFS(請求記録!$B$6:$B$3005,$A392,請求記録!$X$6:$X$3005,E$5,請求記録!$AD$6:$AD$3005,"保留中")&gt;0,"保留",IF(COUNTIFS(請求記録!$B$6:$B$3005,$A392,請求記録!$X$6:$X$3005,E$5)=0,"",SUMIFS(請求記録!$AC$6:$AC$3005,請求記録!$B$6:$B$3005,$A392,請求記録!$X$6:$X$3005,E$5))))</f>
        <v/>
      </c>
      <c r="F392" s="19">
        <f>IF($A392="","",IF(COUNTIFS(請求記録!$B$6:$B$3005,$A392,請求記録!$X$6:$X$3005,F$5,請求記録!$AD$6:$AD$3005,"保留中")&gt;0,"保留",IF(COUNTIFS(請求記録!$B$6:$B$3005,$A392,請求記録!$X$6:$X$3005,F$5)=0,"",SUMIFS(請求記録!$AC$6:$AC$3005,請求記録!$B$6:$B$3005,$A392,請求記録!$X$6:$X$3005,F$5))))</f>
        <v/>
      </c>
      <c r="G392" s="19">
        <f>IF($A392="","",IF(COUNTIFS(請求記録!$B$6:$B$3005,$A392,請求記録!$X$6:$X$3005,G$5,請求記録!$AD$6:$AD$3005,"保留中")&gt;0,"保留",IF(COUNTIFS(請求記録!$B$6:$B$3005,$A392,請求記録!$X$6:$X$3005,G$5)=0,"",SUMIFS(請求記録!$AC$6:$AC$3005,請求記録!$B$6:$B$3005,$A392,請求記録!$X$6:$X$3005,G$5))))</f>
        <v/>
      </c>
      <c r="H392" s="19">
        <f>IF($A392="","",IF(COUNTIFS(請求記録!$B$6:$B$3005,$A392,請求記録!$X$6:$X$3005,H$5,請求記録!$AD$6:$AD$3005,"保留中")&gt;0,"保留",IF(COUNTIFS(請求記録!$B$6:$B$3005,$A392,請求記録!$X$6:$X$3005,H$5)=0,"",SUMIFS(請求記録!$AC$6:$AC$3005,請求記録!$B$6:$B$3005,$A392,請求記録!$X$6:$X$3005,H$5))))</f>
        <v/>
      </c>
      <c r="I392" s="19">
        <f>IF($A392="","",IF(COUNTIFS(請求記録!$B$6:$B$3005,$A392,請求記録!$X$6:$X$3005,I$5,請求記録!$AD$6:$AD$3005,"保留中")&gt;0,"保留",IF(COUNTIFS(請求記録!$B$6:$B$3005,$A392,請求記録!$X$6:$X$3005,I$5)=0,"",SUMIFS(請求記録!$AC$6:$AC$3005,請求記録!$B$6:$B$3005,$A392,請求記録!$X$6:$X$3005,I$5))))</f>
        <v/>
      </c>
      <c r="J392" s="19">
        <f>IF($A392="","",IF(COUNTIFS(請求記録!$B$6:$B$3005,$A392,請求記録!$X$6:$X$3005,J$5,請求記録!$AD$6:$AD$3005,"保留中")&gt;0,"保留",IF(COUNTIFS(請求記録!$B$6:$B$3005,$A392,請求記録!$X$6:$X$3005,J$5)=0,"",SUMIFS(請求記録!$AC$6:$AC$3005,請求記録!$B$6:$B$3005,$A392,請求記録!$X$6:$X$3005,J$5))))</f>
        <v/>
      </c>
      <c r="K392" s="19">
        <f>IF($A392="","",IF(COUNTIFS(請求記録!$B$6:$B$3005,$A392,請求記録!$X$6:$X$3005,K$5,請求記録!$AD$6:$AD$3005,"保留中")&gt;0,"保留",IF(COUNTIFS(請求記録!$B$6:$B$3005,$A392,請求記録!$X$6:$X$3005,K$5)=0,"",SUMIFS(請求記録!$AC$6:$AC$3005,請求記録!$B$6:$B$3005,$A392,請求記録!$X$6:$X$3005,K$5))))</f>
        <v/>
      </c>
      <c r="L392" s="19">
        <f>IF($A392="","",IF(COUNTIFS(請求記録!$B$6:$B$3005,$A392,請求記録!$X$6:$X$3005,L$5,請求記録!$AD$6:$AD$3005,"保留中")&gt;0,"保留",IF(COUNTIFS(請求記録!$B$6:$B$3005,$A392,請求記録!$X$6:$X$3005,L$5)=0,"",SUMIFS(請求記録!$AC$6:$AC$3005,請求記録!$B$6:$B$3005,$A392,請求記録!$X$6:$X$3005,L$5))))</f>
        <v/>
      </c>
      <c r="M392" s="19">
        <f>IF($A392="","",IF(COUNTIFS(請求記録!$B$6:$B$3005,$A392,請求記録!$X$6:$X$3005,M$5,請求記録!$AD$6:$AD$3005,"保留中")&gt;0,"保留",IF(COUNTIFS(請求記録!$B$6:$B$3005,$A392,請求記録!$X$6:$X$3005,M$5)=0,"",SUMIFS(請求記録!$AC$6:$AC$3005,請求記録!$B$6:$B$3005,$A392,請求記録!$X$6:$X$3005,M$5))))</f>
        <v/>
      </c>
      <c r="N392" s="19">
        <f>IF($A392="","",IF(COUNTIFS(請求記録!$B$6:$B$3005,$A392,請求記録!$X$6:$X$3005,N$5,請求記録!$AD$6:$AD$3005,"保留中")&gt;0,"保留",IF(COUNTIFS(請求記録!$B$6:$B$3005,$A392,請求記録!$X$6:$X$3005,N$5)=0,"",SUMIFS(請求記録!$AC$6:$AC$3005,請求記録!$B$6:$B$3005,$A392,請求記録!$X$6:$X$3005,N$5))))</f>
        <v/>
      </c>
      <c r="O392" s="19">
        <f>IF($A392="","",IF(COUNTIFS(請求記録!$B$6:$B$3005,$A392,請求記録!$X$6:$X$3005,O$5,請求記録!$AD$6:$AD$3005,"保留中")&gt;0,"保留",IF(COUNTIFS(請求記録!$B$6:$B$3005,$A392,請求記録!$X$6:$X$3005,O$5)=0,"",SUMIFS(請求記録!$AC$6:$AC$3005,請求記録!$B$6:$B$3005,$A392,請求記録!$X$6:$X$3005,O$5))))</f>
        <v/>
      </c>
      <c r="P392" s="19">
        <f>IF($A392="","",IF(COUNTIFS(請求記録!$B$6:$B$3005,$A392,請求記録!$X$6:$X$3005,P$5,請求記録!$AD$6:$AD$3005,"保留中")&gt;0,"保留",IF(COUNTIFS(請求記録!$B$6:$B$3005,$A392,請求記録!$X$6:$X$3005,P$5)=0,"",SUMIFS(請求記録!$AC$6:$AC$3005,請求記録!$B$6:$B$3005,$A392,請求記録!$X$6:$X$3005,P$5))))</f>
        <v/>
      </c>
      <c r="Q392" s="19">
        <f>IF($A392="","",IF(COUNTIFS(請求記録!$B$6:$B$3005,$A392,請求記録!$X$6:$X$3005,Q$5,請求記録!$AD$6:$AD$3005,"保留中")&gt;0,"保留",IF(COUNTIFS(請求記録!$B$6:$B$3005,$A392,請求記録!$X$6:$X$3005,Q$5)=0,"",SUMIFS(請求記録!$AC$6:$AC$3005,請求記録!$B$6:$B$3005,$A392,請求記録!$X$6:$X$3005,Q$5))))</f>
        <v/>
      </c>
      <c r="R392" s="19">
        <f>IF($A392="","",IF(COUNTIFS(請求記録!$B$6:$B$3005,$A392,請求記録!$X$6:$X$3005,R$5,請求記録!$AD$6:$AD$3005,"保留中")&gt;0,"保留",IF(COUNTIFS(請求記録!$B$6:$B$3005,$A392,請求記録!$X$6:$X$3005,R$5)=0,"",SUMIFS(請求記録!$AC$6:$AC$3005,請求記録!$B$6:$B$3005,$A392,請求記録!$X$6:$X$3005,R$5))))</f>
        <v/>
      </c>
      <c r="S392" s="19">
        <f>IF($A392="","",IF(COUNTIFS(請求記録!$B$6:$B$3005,$A392,請求記録!$X$6:$X$3005,S$5,請求記録!$AD$6:$AD$3005,"保留中")&gt;0,"保留",IF(COUNTIFS(請求記録!$B$6:$B$3005,$A392,請求記録!$X$6:$X$3005,S$5)=0,"",SUMIFS(請求記録!$AC$6:$AC$3005,請求記録!$B$6:$B$3005,$A392,請求記録!$X$6:$X$3005,S$5))))</f>
        <v/>
      </c>
      <c r="T392" s="19">
        <f>IF($A392="","",IF(COUNTIFS(請求記録!$B$6:$B$3005,$A392,請求記録!$X$6:$X$3005,T$5,請求記録!$AD$6:$AD$3005,"保留中")&gt;0,"保留",IF(COUNTIFS(請求記録!$B$6:$B$3005,$A392,請求記録!$X$6:$X$3005,T$5)=0,"",SUMIFS(請求記録!$AC$6:$AC$3005,請求記録!$B$6:$B$3005,$A392,請求記録!$X$6:$X$3005,T$5))))</f>
        <v/>
      </c>
      <c r="U392" s="19">
        <f>IF($A392="","",IF(COUNTIFS(請求記録!$B$6:$B$3005,$A392,請求記録!$X$6:$X$3005,U$5,請求記録!$AD$6:$AD$3005,"保留中")&gt;0,"保留",IF(COUNTIFS(請求記録!$B$6:$B$3005,$A392,請求記録!$X$6:$X$3005,U$5)=0,"",SUMIFS(請求記録!$AC$6:$AC$3005,請求記録!$B$6:$B$3005,$A392,請求記録!$X$6:$X$3005,U$5))))</f>
        <v/>
      </c>
      <c r="V392" s="19">
        <f>IF($A392="","",IF(COUNTIFS(請求記録!$B$6:$B$3005,$A392,請求記録!$X$6:$X$3005,V$5,請求記録!$AD$6:$AD$3005,"保留中")&gt;0,"保留",IF(COUNTIFS(請求記録!$B$6:$B$3005,$A392,請求記録!$X$6:$X$3005,V$5)=0,"",SUMIFS(請求記録!$AC$6:$AC$3005,請求記録!$B$6:$B$3005,$A392,請求記録!$X$6:$X$3005,V$5))))</f>
        <v/>
      </c>
      <c r="W392" s="19">
        <f>IF($A392="","",IF(COUNTIFS(請求記録!$B$6:$B$3005,$A392,請求記録!$X$6:$X$3005,W$5,請求記録!$AD$6:$AD$3005,"保留中")&gt;0,"保留",IF(COUNTIFS(請求記録!$B$6:$B$3005,$A392,請求記録!$X$6:$X$3005,W$5)=0,"",SUMIFS(請求記録!$AC$6:$AC$3005,請求記録!$B$6:$B$3005,$A392,請求記録!$X$6:$X$3005,W$5))))</f>
        <v/>
      </c>
      <c r="X392" s="19">
        <f>IF($A392="","",IF(COUNTIFS(請求記録!$B$6:$B$3005,$A392,請求記録!$X$6:$X$3005,X$5,請求記録!$AD$6:$AD$3005,"保留中")&gt;0,"保留",IF(COUNTIFS(請求記録!$B$6:$B$3005,$A392,請求記録!$X$6:$X$3005,X$5)=0,"",SUMIFS(請求記録!$AC$6:$AC$3005,請求記録!$B$6:$B$3005,$A392,請求記録!$X$6:$X$3005,X$5))))</f>
        <v/>
      </c>
      <c r="Y392" s="19">
        <f>IF($A392="","",IF(COUNTIFS(請求記録!$B$6:$B$3005,$A392,請求記録!$X$6:$X$3005,Y$5,請求記録!$AD$6:$AD$3005,"保留中")&gt;0,"保留",IF(COUNTIFS(請求記録!$B$6:$B$3005,$A392,請求記録!$X$6:$X$3005,Y$5)=0,"",SUMIFS(請求記録!$AC$6:$AC$3005,請求記録!$B$6:$B$3005,$A392,請求記録!$X$6:$X$3005,Y$5))))</f>
        <v/>
      </c>
      <c r="Z392" s="19">
        <f>IF($A392="","",IF(COUNTIFS(請求記録!$B$6:$B$3005,$A392,請求記録!$X$6:$X$3005,Z$5,請求記録!$AD$6:$AD$3005,"保留中")&gt;0,"保留",IF(COUNTIFS(請求記録!$B$6:$B$3005,$A392,請求記録!$X$6:$X$3005,Z$5)=0,"",SUMIFS(請求記録!$AC$6:$AC$3005,請求記録!$B$6:$B$3005,$A392,請求記録!$X$6:$X$3005,Z$5))))</f>
        <v/>
      </c>
      <c r="AA392" s="19">
        <f>IF($A392="","",IF(COUNTIFS(請求記録!$B$6:$B$3005,$A392,請求記録!$X$6:$X$3005,AA$5,請求記録!$AD$6:$AD$3005,"保留中")&gt;0,"保留",IF(COUNTIFS(請求記録!$B$6:$B$3005,$A392,請求記録!$X$6:$X$3005,AA$5)=0,"",SUMIFS(請求記録!$AC$6:$AC$3005,請求記録!$B$6:$B$3005,$A392,請求記録!$X$6:$X$3005,AA$5))))</f>
        <v/>
      </c>
      <c r="AB392">
        <f>IF(職員マスタ!P392="保留中",職員マスタ!M392,"")</f>
        <v/>
      </c>
    </row>
    <row r="393">
      <c r="A393">
        <f>IF(職員マスタ!A393="","",職員マスタ!A393)</f>
        <v/>
      </c>
      <c r="B393">
        <f>IF($A393="","",職員マスタ!B393)</f>
        <v/>
      </c>
      <c r="C393">
        <f>IF($A393="","",職員マスタ!C393)</f>
        <v/>
      </c>
      <c r="D393" s="19">
        <f>IF($A393="","",IF(COUNTIFS(請求記録!$B$6:$B$3005,$A393,請求記録!$X$6:$X$3005,D$5,請求記録!$AD$6:$AD$3005,"保留中")&gt;0,"保留",IF(COUNTIFS(請求記録!$B$6:$B$3005,$A393,請求記録!$X$6:$X$3005,D$5)=0,"",SUMIFS(請求記録!$AC$6:$AC$3005,請求記録!$B$6:$B$3005,$A393,請求記録!$X$6:$X$3005,D$5))))</f>
        <v/>
      </c>
      <c r="E393" s="19">
        <f>IF($A393="","",IF(COUNTIFS(請求記録!$B$6:$B$3005,$A393,請求記録!$X$6:$X$3005,E$5,請求記録!$AD$6:$AD$3005,"保留中")&gt;0,"保留",IF(COUNTIFS(請求記録!$B$6:$B$3005,$A393,請求記録!$X$6:$X$3005,E$5)=0,"",SUMIFS(請求記録!$AC$6:$AC$3005,請求記録!$B$6:$B$3005,$A393,請求記録!$X$6:$X$3005,E$5))))</f>
        <v/>
      </c>
      <c r="F393" s="19">
        <f>IF($A393="","",IF(COUNTIFS(請求記録!$B$6:$B$3005,$A393,請求記録!$X$6:$X$3005,F$5,請求記録!$AD$6:$AD$3005,"保留中")&gt;0,"保留",IF(COUNTIFS(請求記録!$B$6:$B$3005,$A393,請求記録!$X$6:$X$3005,F$5)=0,"",SUMIFS(請求記録!$AC$6:$AC$3005,請求記録!$B$6:$B$3005,$A393,請求記録!$X$6:$X$3005,F$5))))</f>
        <v/>
      </c>
      <c r="G393" s="19">
        <f>IF($A393="","",IF(COUNTIFS(請求記録!$B$6:$B$3005,$A393,請求記録!$X$6:$X$3005,G$5,請求記録!$AD$6:$AD$3005,"保留中")&gt;0,"保留",IF(COUNTIFS(請求記録!$B$6:$B$3005,$A393,請求記録!$X$6:$X$3005,G$5)=0,"",SUMIFS(請求記録!$AC$6:$AC$3005,請求記録!$B$6:$B$3005,$A393,請求記録!$X$6:$X$3005,G$5))))</f>
        <v/>
      </c>
      <c r="H393" s="19">
        <f>IF($A393="","",IF(COUNTIFS(請求記録!$B$6:$B$3005,$A393,請求記録!$X$6:$X$3005,H$5,請求記録!$AD$6:$AD$3005,"保留中")&gt;0,"保留",IF(COUNTIFS(請求記録!$B$6:$B$3005,$A393,請求記録!$X$6:$X$3005,H$5)=0,"",SUMIFS(請求記録!$AC$6:$AC$3005,請求記録!$B$6:$B$3005,$A393,請求記録!$X$6:$X$3005,H$5))))</f>
        <v/>
      </c>
      <c r="I393" s="19">
        <f>IF($A393="","",IF(COUNTIFS(請求記録!$B$6:$B$3005,$A393,請求記録!$X$6:$X$3005,I$5,請求記録!$AD$6:$AD$3005,"保留中")&gt;0,"保留",IF(COUNTIFS(請求記録!$B$6:$B$3005,$A393,請求記録!$X$6:$X$3005,I$5)=0,"",SUMIFS(請求記録!$AC$6:$AC$3005,請求記録!$B$6:$B$3005,$A393,請求記録!$X$6:$X$3005,I$5))))</f>
        <v/>
      </c>
      <c r="J393" s="19">
        <f>IF($A393="","",IF(COUNTIFS(請求記録!$B$6:$B$3005,$A393,請求記録!$X$6:$X$3005,J$5,請求記録!$AD$6:$AD$3005,"保留中")&gt;0,"保留",IF(COUNTIFS(請求記録!$B$6:$B$3005,$A393,請求記録!$X$6:$X$3005,J$5)=0,"",SUMIFS(請求記録!$AC$6:$AC$3005,請求記録!$B$6:$B$3005,$A393,請求記録!$X$6:$X$3005,J$5))))</f>
        <v/>
      </c>
      <c r="K393" s="19">
        <f>IF($A393="","",IF(COUNTIFS(請求記録!$B$6:$B$3005,$A393,請求記録!$X$6:$X$3005,K$5,請求記録!$AD$6:$AD$3005,"保留中")&gt;0,"保留",IF(COUNTIFS(請求記録!$B$6:$B$3005,$A393,請求記録!$X$6:$X$3005,K$5)=0,"",SUMIFS(請求記録!$AC$6:$AC$3005,請求記録!$B$6:$B$3005,$A393,請求記録!$X$6:$X$3005,K$5))))</f>
        <v/>
      </c>
      <c r="L393" s="19">
        <f>IF($A393="","",IF(COUNTIFS(請求記録!$B$6:$B$3005,$A393,請求記録!$X$6:$X$3005,L$5,請求記録!$AD$6:$AD$3005,"保留中")&gt;0,"保留",IF(COUNTIFS(請求記録!$B$6:$B$3005,$A393,請求記録!$X$6:$X$3005,L$5)=0,"",SUMIFS(請求記録!$AC$6:$AC$3005,請求記録!$B$6:$B$3005,$A393,請求記録!$X$6:$X$3005,L$5))))</f>
        <v/>
      </c>
      <c r="M393" s="19">
        <f>IF($A393="","",IF(COUNTIFS(請求記録!$B$6:$B$3005,$A393,請求記録!$X$6:$X$3005,M$5,請求記録!$AD$6:$AD$3005,"保留中")&gt;0,"保留",IF(COUNTIFS(請求記録!$B$6:$B$3005,$A393,請求記録!$X$6:$X$3005,M$5)=0,"",SUMIFS(請求記録!$AC$6:$AC$3005,請求記録!$B$6:$B$3005,$A393,請求記録!$X$6:$X$3005,M$5))))</f>
        <v/>
      </c>
      <c r="N393" s="19">
        <f>IF($A393="","",IF(COUNTIFS(請求記録!$B$6:$B$3005,$A393,請求記録!$X$6:$X$3005,N$5,請求記録!$AD$6:$AD$3005,"保留中")&gt;0,"保留",IF(COUNTIFS(請求記録!$B$6:$B$3005,$A393,請求記録!$X$6:$X$3005,N$5)=0,"",SUMIFS(請求記録!$AC$6:$AC$3005,請求記録!$B$6:$B$3005,$A393,請求記録!$X$6:$X$3005,N$5))))</f>
        <v/>
      </c>
      <c r="O393" s="19">
        <f>IF($A393="","",IF(COUNTIFS(請求記録!$B$6:$B$3005,$A393,請求記録!$X$6:$X$3005,O$5,請求記録!$AD$6:$AD$3005,"保留中")&gt;0,"保留",IF(COUNTIFS(請求記録!$B$6:$B$3005,$A393,請求記録!$X$6:$X$3005,O$5)=0,"",SUMIFS(請求記録!$AC$6:$AC$3005,請求記録!$B$6:$B$3005,$A393,請求記録!$X$6:$X$3005,O$5))))</f>
        <v/>
      </c>
      <c r="P393" s="19">
        <f>IF($A393="","",IF(COUNTIFS(請求記録!$B$6:$B$3005,$A393,請求記録!$X$6:$X$3005,P$5,請求記録!$AD$6:$AD$3005,"保留中")&gt;0,"保留",IF(COUNTIFS(請求記録!$B$6:$B$3005,$A393,請求記録!$X$6:$X$3005,P$5)=0,"",SUMIFS(請求記録!$AC$6:$AC$3005,請求記録!$B$6:$B$3005,$A393,請求記録!$X$6:$X$3005,P$5))))</f>
        <v/>
      </c>
      <c r="Q393" s="19">
        <f>IF($A393="","",IF(COUNTIFS(請求記録!$B$6:$B$3005,$A393,請求記録!$X$6:$X$3005,Q$5,請求記録!$AD$6:$AD$3005,"保留中")&gt;0,"保留",IF(COUNTIFS(請求記録!$B$6:$B$3005,$A393,請求記録!$X$6:$X$3005,Q$5)=0,"",SUMIFS(請求記録!$AC$6:$AC$3005,請求記録!$B$6:$B$3005,$A393,請求記録!$X$6:$X$3005,Q$5))))</f>
        <v/>
      </c>
      <c r="R393" s="19">
        <f>IF($A393="","",IF(COUNTIFS(請求記録!$B$6:$B$3005,$A393,請求記録!$X$6:$X$3005,R$5,請求記録!$AD$6:$AD$3005,"保留中")&gt;0,"保留",IF(COUNTIFS(請求記録!$B$6:$B$3005,$A393,請求記録!$X$6:$X$3005,R$5)=0,"",SUMIFS(請求記録!$AC$6:$AC$3005,請求記録!$B$6:$B$3005,$A393,請求記録!$X$6:$X$3005,R$5))))</f>
        <v/>
      </c>
      <c r="S393" s="19">
        <f>IF($A393="","",IF(COUNTIFS(請求記録!$B$6:$B$3005,$A393,請求記録!$X$6:$X$3005,S$5,請求記録!$AD$6:$AD$3005,"保留中")&gt;0,"保留",IF(COUNTIFS(請求記録!$B$6:$B$3005,$A393,請求記録!$X$6:$X$3005,S$5)=0,"",SUMIFS(請求記録!$AC$6:$AC$3005,請求記録!$B$6:$B$3005,$A393,請求記録!$X$6:$X$3005,S$5))))</f>
        <v/>
      </c>
      <c r="T393" s="19">
        <f>IF($A393="","",IF(COUNTIFS(請求記録!$B$6:$B$3005,$A393,請求記録!$X$6:$X$3005,T$5,請求記録!$AD$6:$AD$3005,"保留中")&gt;0,"保留",IF(COUNTIFS(請求記録!$B$6:$B$3005,$A393,請求記録!$X$6:$X$3005,T$5)=0,"",SUMIFS(請求記録!$AC$6:$AC$3005,請求記録!$B$6:$B$3005,$A393,請求記録!$X$6:$X$3005,T$5))))</f>
        <v/>
      </c>
      <c r="U393" s="19">
        <f>IF($A393="","",IF(COUNTIFS(請求記録!$B$6:$B$3005,$A393,請求記録!$X$6:$X$3005,U$5,請求記録!$AD$6:$AD$3005,"保留中")&gt;0,"保留",IF(COUNTIFS(請求記録!$B$6:$B$3005,$A393,請求記録!$X$6:$X$3005,U$5)=0,"",SUMIFS(請求記録!$AC$6:$AC$3005,請求記録!$B$6:$B$3005,$A393,請求記録!$X$6:$X$3005,U$5))))</f>
        <v/>
      </c>
      <c r="V393" s="19">
        <f>IF($A393="","",IF(COUNTIFS(請求記録!$B$6:$B$3005,$A393,請求記録!$X$6:$X$3005,V$5,請求記録!$AD$6:$AD$3005,"保留中")&gt;0,"保留",IF(COUNTIFS(請求記録!$B$6:$B$3005,$A393,請求記録!$X$6:$X$3005,V$5)=0,"",SUMIFS(請求記録!$AC$6:$AC$3005,請求記録!$B$6:$B$3005,$A393,請求記録!$X$6:$X$3005,V$5))))</f>
        <v/>
      </c>
      <c r="W393" s="19">
        <f>IF($A393="","",IF(COUNTIFS(請求記録!$B$6:$B$3005,$A393,請求記録!$X$6:$X$3005,W$5,請求記録!$AD$6:$AD$3005,"保留中")&gt;0,"保留",IF(COUNTIFS(請求記録!$B$6:$B$3005,$A393,請求記録!$X$6:$X$3005,W$5)=0,"",SUMIFS(請求記録!$AC$6:$AC$3005,請求記録!$B$6:$B$3005,$A393,請求記録!$X$6:$X$3005,W$5))))</f>
        <v/>
      </c>
      <c r="X393" s="19">
        <f>IF($A393="","",IF(COUNTIFS(請求記録!$B$6:$B$3005,$A393,請求記録!$X$6:$X$3005,X$5,請求記録!$AD$6:$AD$3005,"保留中")&gt;0,"保留",IF(COUNTIFS(請求記録!$B$6:$B$3005,$A393,請求記録!$X$6:$X$3005,X$5)=0,"",SUMIFS(請求記録!$AC$6:$AC$3005,請求記録!$B$6:$B$3005,$A393,請求記録!$X$6:$X$3005,X$5))))</f>
        <v/>
      </c>
      <c r="Y393" s="19">
        <f>IF($A393="","",IF(COUNTIFS(請求記録!$B$6:$B$3005,$A393,請求記録!$X$6:$X$3005,Y$5,請求記録!$AD$6:$AD$3005,"保留中")&gt;0,"保留",IF(COUNTIFS(請求記録!$B$6:$B$3005,$A393,請求記録!$X$6:$X$3005,Y$5)=0,"",SUMIFS(請求記録!$AC$6:$AC$3005,請求記録!$B$6:$B$3005,$A393,請求記録!$X$6:$X$3005,Y$5))))</f>
        <v/>
      </c>
      <c r="Z393" s="19">
        <f>IF($A393="","",IF(COUNTIFS(請求記録!$B$6:$B$3005,$A393,請求記録!$X$6:$X$3005,Z$5,請求記録!$AD$6:$AD$3005,"保留中")&gt;0,"保留",IF(COUNTIFS(請求記録!$B$6:$B$3005,$A393,請求記録!$X$6:$X$3005,Z$5)=0,"",SUMIFS(請求記録!$AC$6:$AC$3005,請求記録!$B$6:$B$3005,$A393,請求記録!$X$6:$X$3005,Z$5))))</f>
        <v/>
      </c>
      <c r="AA393" s="19">
        <f>IF($A393="","",IF(COUNTIFS(請求記録!$B$6:$B$3005,$A393,請求記録!$X$6:$X$3005,AA$5,請求記録!$AD$6:$AD$3005,"保留中")&gt;0,"保留",IF(COUNTIFS(請求記録!$B$6:$B$3005,$A393,請求記録!$X$6:$X$3005,AA$5)=0,"",SUMIFS(請求記録!$AC$6:$AC$3005,請求記録!$B$6:$B$3005,$A393,請求記録!$X$6:$X$3005,AA$5))))</f>
        <v/>
      </c>
      <c r="AB393">
        <f>IF(職員マスタ!P393="保留中",職員マスタ!M393,"")</f>
        <v/>
      </c>
    </row>
    <row r="394">
      <c r="A394">
        <f>IF(職員マスタ!A394="","",職員マスタ!A394)</f>
        <v/>
      </c>
      <c r="B394">
        <f>IF($A394="","",職員マスタ!B394)</f>
        <v/>
      </c>
      <c r="C394">
        <f>IF($A394="","",職員マスタ!C394)</f>
        <v/>
      </c>
      <c r="D394" s="19">
        <f>IF($A394="","",IF(COUNTIFS(請求記録!$B$6:$B$3005,$A394,請求記録!$X$6:$X$3005,D$5,請求記録!$AD$6:$AD$3005,"保留中")&gt;0,"保留",IF(COUNTIFS(請求記録!$B$6:$B$3005,$A394,請求記録!$X$6:$X$3005,D$5)=0,"",SUMIFS(請求記録!$AC$6:$AC$3005,請求記録!$B$6:$B$3005,$A394,請求記録!$X$6:$X$3005,D$5))))</f>
        <v/>
      </c>
      <c r="E394" s="19">
        <f>IF($A394="","",IF(COUNTIFS(請求記録!$B$6:$B$3005,$A394,請求記録!$X$6:$X$3005,E$5,請求記録!$AD$6:$AD$3005,"保留中")&gt;0,"保留",IF(COUNTIFS(請求記録!$B$6:$B$3005,$A394,請求記録!$X$6:$X$3005,E$5)=0,"",SUMIFS(請求記録!$AC$6:$AC$3005,請求記録!$B$6:$B$3005,$A394,請求記録!$X$6:$X$3005,E$5))))</f>
        <v/>
      </c>
      <c r="F394" s="19">
        <f>IF($A394="","",IF(COUNTIFS(請求記録!$B$6:$B$3005,$A394,請求記録!$X$6:$X$3005,F$5,請求記録!$AD$6:$AD$3005,"保留中")&gt;0,"保留",IF(COUNTIFS(請求記録!$B$6:$B$3005,$A394,請求記録!$X$6:$X$3005,F$5)=0,"",SUMIFS(請求記録!$AC$6:$AC$3005,請求記録!$B$6:$B$3005,$A394,請求記録!$X$6:$X$3005,F$5))))</f>
        <v/>
      </c>
      <c r="G394" s="19">
        <f>IF($A394="","",IF(COUNTIFS(請求記録!$B$6:$B$3005,$A394,請求記録!$X$6:$X$3005,G$5,請求記録!$AD$6:$AD$3005,"保留中")&gt;0,"保留",IF(COUNTIFS(請求記録!$B$6:$B$3005,$A394,請求記録!$X$6:$X$3005,G$5)=0,"",SUMIFS(請求記録!$AC$6:$AC$3005,請求記録!$B$6:$B$3005,$A394,請求記録!$X$6:$X$3005,G$5))))</f>
        <v/>
      </c>
      <c r="H394" s="19">
        <f>IF($A394="","",IF(COUNTIFS(請求記録!$B$6:$B$3005,$A394,請求記録!$X$6:$X$3005,H$5,請求記録!$AD$6:$AD$3005,"保留中")&gt;0,"保留",IF(COUNTIFS(請求記録!$B$6:$B$3005,$A394,請求記録!$X$6:$X$3005,H$5)=0,"",SUMIFS(請求記録!$AC$6:$AC$3005,請求記録!$B$6:$B$3005,$A394,請求記録!$X$6:$X$3005,H$5))))</f>
        <v/>
      </c>
      <c r="I394" s="19">
        <f>IF($A394="","",IF(COUNTIFS(請求記録!$B$6:$B$3005,$A394,請求記録!$X$6:$X$3005,I$5,請求記録!$AD$6:$AD$3005,"保留中")&gt;0,"保留",IF(COUNTIFS(請求記録!$B$6:$B$3005,$A394,請求記録!$X$6:$X$3005,I$5)=0,"",SUMIFS(請求記録!$AC$6:$AC$3005,請求記録!$B$6:$B$3005,$A394,請求記録!$X$6:$X$3005,I$5))))</f>
        <v/>
      </c>
      <c r="J394" s="19">
        <f>IF($A394="","",IF(COUNTIFS(請求記録!$B$6:$B$3005,$A394,請求記録!$X$6:$X$3005,J$5,請求記録!$AD$6:$AD$3005,"保留中")&gt;0,"保留",IF(COUNTIFS(請求記録!$B$6:$B$3005,$A394,請求記録!$X$6:$X$3005,J$5)=0,"",SUMIFS(請求記録!$AC$6:$AC$3005,請求記録!$B$6:$B$3005,$A394,請求記録!$X$6:$X$3005,J$5))))</f>
        <v/>
      </c>
      <c r="K394" s="19">
        <f>IF($A394="","",IF(COUNTIFS(請求記録!$B$6:$B$3005,$A394,請求記録!$X$6:$X$3005,K$5,請求記録!$AD$6:$AD$3005,"保留中")&gt;0,"保留",IF(COUNTIFS(請求記録!$B$6:$B$3005,$A394,請求記録!$X$6:$X$3005,K$5)=0,"",SUMIFS(請求記録!$AC$6:$AC$3005,請求記録!$B$6:$B$3005,$A394,請求記録!$X$6:$X$3005,K$5))))</f>
        <v/>
      </c>
      <c r="L394" s="19">
        <f>IF($A394="","",IF(COUNTIFS(請求記録!$B$6:$B$3005,$A394,請求記録!$X$6:$X$3005,L$5,請求記録!$AD$6:$AD$3005,"保留中")&gt;0,"保留",IF(COUNTIFS(請求記録!$B$6:$B$3005,$A394,請求記録!$X$6:$X$3005,L$5)=0,"",SUMIFS(請求記録!$AC$6:$AC$3005,請求記録!$B$6:$B$3005,$A394,請求記録!$X$6:$X$3005,L$5))))</f>
        <v/>
      </c>
      <c r="M394" s="19">
        <f>IF($A394="","",IF(COUNTIFS(請求記録!$B$6:$B$3005,$A394,請求記録!$X$6:$X$3005,M$5,請求記録!$AD$6:$AD$3005,"保留中")&gt;0,"保留",IF(COUNTIFS(請求記録!$B$6:$B$3005,$A394,請求記録!$X$6:$X$3005,M$5)=0,"",SUMIFS(請求記録!$AC$6:$AC$3005,請求記録!$B$6:$B$3005,$A394,請求記録!$X$6:$X$3005,M$5))))</f>
        <v/>
      </c>
      <c r="N394" s="19">
        <f>IF($A394="","",IF(COUNTIFS(請求記録!$B$6:$B$3005,$A394,請求記録!$X$6:$X$3005,N$5,請求記録!$AD$6:$AD$3005,"保留中")&gt;0,"保留",IF(COUNTIFS(請求記録!$B$6:$B$3005,$A394,請求記録!$X$6:$X$3005,N$5)=0,"",SUMIFS(請求記録!$AC$6:$AC$3005,請求記録!$B$6:$B$3005,$A394,請求記録!$X$6:$X$3005,N$5))))</f>
        <v/>
      </c>
      <c r="O394" s="19">
        <f>IF($A394="","",IF(COUNTIFS(請求記録!$B$6:$B$3005,$A394,請求記録!$X$6:$X$3005,O$5,請求記録!$AD$6:$AD$3005,"保留中")&gt;0,"保留",IF(COUNTIFS(請求記録!$B$6:$B$3005,$A394,請求記録!$X$6:$X$3005,O$5)=0,"",SUMIFS(請求記録!$AC$6:$AC$3005,請求記録!$B$6:$B$3005,$A394,請求記録!$X$6:$X$3005,O$5))))</f>
        <v/>
      </c>
      <c r="P394" s="19">
        <f>IF($A394="","",IF(COUNTIFS(請求記録!$B$6:$B$3005,$A394,請求記録!$X$6:$X$3005,P$5,請求記録!$AD$6:$AD$3005,"保留中")&gt;0,"保留",IF(COUNTIFS(請求記録!$B$6:$B$3005,$A394,請求記録!$X$6:$X$3005,P$5)=0,"",SUMIFS(請求記録!$AC$6:$AC$3005,請求記録!$B$6:$B$3005,$A394,請求記録!$X$6:$X$3005,P$5))))</f>
        <v/>
      </c>
      <c r="Q394" s="19">
        <f>IF($A394="","",IF(COUNTIFS(請求記録!$B$6:$B$3005,$A394,請求記録!$X$6:$X$3005,Q$5,請求記録!$AD$6:$AD$3005,"保留中")&gt;0,"保留",IF(COUNTIFS(請求記録!$B$6:$B$3005,$A394,請求記録!$X$6:$X$3005,Q$5)=0,"",SUMIFS(請求記録!$AC$6:$AC$3005,請求記録!$B$6:$B$3005,$A394,請求記録!$X$6:$X$3005,Q$5))))</f>
        <v/>
      </c>
      <c r="R394" s="19">
        <f>IF($A394="","",IF(COUNTIFS(請求記録!$B$6:$B$3005,$A394,請求記録!$X$6:$X$3005,R$5,請求記録!$AD$6:$AD$3005,"保留中")&gt;0,"保留",IF(COUNTIFS(請求記録!$B$6:$B$3005,$A394,請求記録!$X$6:$X$3005,R$5)=0,"",SUMIFS(請求記録!$AC$6:$AC$3005,請求記録!$B$6:$B$3005,$A394,請求記録!$X$6:$X$3005,R$5))))</f>
        <v/>
      </c>
      <c r="S394" s="19">
        <f>IF($A394="","",IF(COUNTIFS(請求記録!$B$6:$B$3005,$A394,請求記録!$X$6:$X$3005,S$5,請求記録!$AD$6:$AD$3005,"保留中")&gt;0,"保留",IF(COUNTIFS(請求記録!$B$6:$B$3005,$A394,請求記録!$X$6:$X$3005,S$5)=0,"",SUMIFS(請求記録!$AC$6:$AC$3005,請求記録!$B$6:$B$3005,$A394,請求記録!$X$6:$X$3005,S$5))))</f>
        <v/>
      </c>
      <c r="T394" s="19">
        <f>IF($A394="","",IF(COUNTIFS(請求記録!$B$6:$B$3005,$A394,請求記録!$X$6:$X$3005,T$5,請求記録!$AD$6:$AD$3005,"保留中")&gt;0,"保留",IF(COUNTIFS(請求記録!$B$6:$B$3005,$A394,請求記録!$X$6:$X$3005,T$5)=0,"",SUMIFS(請求記録!$AC$6:$AC$3005,請求記録!$B$6:$B$3005,$A394,請求記録!$X$6:$X$3005,T$5))))</f>
        <v/>
      </c>
      <c r="U394" s="19">
        <f>IF($A394="","",IF(COUNTIFS(請求記録!$B$6:$B$3005,$A394,請求記録!$X$6:$X$3005,U$5,請求記録!$AD$6:$AD$3005,"保留中")&gt;0,"保留",IF(COUNTIFS(請求記録!$B$6:$B$3005,$A394,請求記録!$X$6:$X$3005,U$5)=0,"",SUMIFS(請求記録!$AC$6:$AC$3005,請求記録!$B$6:$B$3005,$A394,請求記録!$X$6:$X$3005,U$5))))</f>
        <v/>
      </c>
      <c r="V394" s="19">
        <f>IF($A394="","",IF(COUNTIFS(請求記録!$B$6:$B$3005,$A394,請求記録!$X$6:$X$3005,V$5,請求記録!$AD$6:$AD$3005,"保留中")&gt;0,"保留",IF(COUNTIFS(請求記録!$B$6:$B$3005,$A394,請求記録!$X$6:$X$3005,V$5)=0,"",SUMIFS(請求記録!$AC$6:$AC$3005,請求記録!$B$6:$B$3005,$A394,請求記録!$X$6:$X$3005,V$5))))</f>
        <v/>
      </c>
      <c r="W394" s="19">
        <f>IF($A394="","",IF(COUNTIFS(請求記録!$B$6:$B$3005,$A394,請求記録!$X$6:$X$3005,W$5,請求記録!$AD$6:$AD$3005,"保留中")&gt;0,"保留",IF(COUNTIFS(請求記録!$B$6:$B$3005,$A394,請求記録!$X$6:$X$3005,W$5)=0,"",SUMIFS(請求記録!$AC$6:$AC$3005,請求記録!$B$6:$B$3005,$A394,請求記録!$X$6:$X$3005,W$5))))</f>
        <v/>
      </c>
      <c r="X394" s="19">
        <f>IF($A394="","",IF(COUNTIFS(請求記録!$B$6:$B$3005,$A394,請求記録!$X$6:$X$3005,X$5,請求記録!$AD$6:$AD$3005,"保留中")&gt;0,"保留",IF(COUNTIFS(請求記録!$B$6:$B$3005,$A394,請求記録!$X$6:$X$3005,X$5)=0,"",SUMIFS(請求記録!$AC$6:$AC$3005,請求記録!$B$6:$B$3005,$A394,請求記録!$X$6:$X$3005,X$5))))</f>
        <v/>
      </c>
      <c r="Y394" s="19">
        <f>IF($A394="","",IF(COUNTIFS(請求記録!$B$6:$B$3005,$A394,請求記録!$X$6:$X$3005,Y$5,請求記録!$AD$6:$AD$3005,"保留中")&gt;0,"保留",IF(COUNTIFS(請求記録!$B$6:$B$3005,$A394,請求記録!$X$6:$X$3005,Y$5)=0,"",SUMIFS(請求記録!$AC$6:$AC$3005,請求記録!$B$6:$B$3005,$A394,請求記録!$X$6:$X$3005,Y$5))))</f>
        <v/>
      </c>
      <c r="Z394" s="19">
        <f>IF($A394="","",IF(COUNTIFS(請求記録!$B$6:$B$3005,$A394,請求記録!$X$6:$X$3005,Z$5,請求記録!$AD$6:$AD$3005,"保留中")&gt;0,"保留",IF(COUNTIFS(請求記録!$B$6:$B$3005,$A394,請求記録!$X$6:$X$3005,Z$5)=0,"",SUMIFS(請求記録!$AC$6:$AC$3005,請求記録!$B$6:$B$3005,$A394,請求記録!$X$6:$X$3005,Z$5))))</f>
        <v/>
      </c>
      <c r="AA394" s="19">
        <f>IF($A394="","",IF(COUNTIFS(請求記録!$B$6:$B$3005,$A394,請求記録!$X$6:$X$3005,AA$5,請求記録!$AD$6:$AD$3005,"保留中")&gt;0,"保留",IF(COUNTIFS(請求記録!$B$6:$B$3005,$A394,請求記録!$X$6:$X$3005,AA$5)=0,"",SUMIFS(請求記録!$AC$6:$AC$3005,請求記録!$B$6:$B$3005,$A394,請求記録!$X$6:$X$3005,AA$5))))</f>
        <v/>
      </c>
      <c r="AB394">
        <f>IF(職員マスタ!P394="保留中",職員マスタ!M394,"")</f>
        <v/>
      </c>
    </row>
    <row r="395">
      <c r="A395">
        <f>IF(職員マスタ!A395="","",職員マスタ!A395)</f>
        <v/>
      </c>
      <c r="B395">
        <f>IF($A395="","",職員マスタ!B395)</f>
        <v/>
      </c>
      <c r="C395">
        <f>IF($A395="","",職員マスタ!C395)</f>
        <v/>
      </c>
      <c r="D395" s="19">
        <f>IF($A395="","",IF(COUNTIFS(請求記録!$B$6:$B$3005,$A395,請求記録!$X$6:$X$3005,D$5,請求記録!$AD$6:$AD$3005,"保留中")&gt;0,"保留",IF(COUNTIFS(請求記録!$B$6:$B$3005,$A395,請求記録!$X$6:$X$3005,D$5)=0,"",SUMIFS(請求記録!$AC$6:$AC$3005,請求記録!$B$6:$B$3005,$A395,請求記録!$X$6:$X$3005,D$5))))</f>
        <v/>
      </c>
      <c r="E395" s="19">
        <f>IF($A395="","",IF(COUNTIFS(請求記録!$B$6:$B$3005,$A395,請求記録!$X$6:$X$3005,E$5,請求記録!$AD$6:$AD$3005,"保留中")&gt;0,"保留",IF(COUNTIFS(請求記録!$B$6:$B$3005,$A395,請求記録!$X$6:$X$3005,E$5)=0,"",SUMIFS(請求記録!$AC$6:$AC$3005,請求記録!$B$6:$B$3005,$A395,請求記録!$X$6:$X$3005,E$5))))</f>
        <v/>
      </c>
      <c r="F395" s="19">
        <f>IF($A395="","",IF(COUNTIFS(請求記録!$B$6:$B$3005,$A395,請求記録!$X$6:$X$3005,F$5,請求記録!$AD$6:$AD$3005,"保留中")&gt;0,"保留",IF(COUNTIFS(請求記録!$B$6:$B$3005,$A395,請求記録!$X$6:$X$3005,F$5)=0,"",SUMIFS(請求記録!$AC$6:$AC$3005,請求記録!$B$6:$B$3005,$A395,請求記録!$X$6:$X$3005,F$5))))</f>
        <v/>
      </c>
      <c r="G395" s="19">
        <f>IF($A395="","",IF(COUNTIFS(請求記録!$B$6:$B$3005,$A395,請求記録!$X$6:$X$3005,G$5,請求記録!$AD$6:$AD$3005,"保留中")&gt;0,"保留",IF(COUNTIFS(請求記録!$B$6:$B$3005,$A395,請求記録!$X$6:$X$3005,G$5)=0,"",SUMIFS(請求記録!$AC$6:$AC$3005,請求記録!$B$6:$B$3005,$A395,請求記録!$X$6:$X$3005,G$5))))</f>
        <v/>
      </c>
      <c r="H395" s="19">
        <f>IF($A395="","",IF(COUNTIFS(請求記録!$B$6:$B$3005,$A395,請求記録!$X$6:$X$3005,H$5,請求記録!$AD$6:$AD$3005,"保留中")&gt;0,"保留",IF(COUNTIFS(請求記録!$B$6:$B$3005,$A395,請求記録!$X$6:$X$3005,H$5)=0,"",SUMIFS(請求記録!$AC$6:$AC$3005,請求記録!$B$6:$B$3005,$A395,請求記録!$X$6:$X$3005,H$5))))</f>
        <v/>
      </c>
      <c r="I395" s="19">
        <f>IF($A395="","",IF(COUNTIFS(請求記録!$B$6:$B$3005,$A395,請求記録!$X$6:$X$3005,I$5,請求記録!$AD$6:$AD$3005,"保留中")&gt;0,"保留",IF(COUNTIFS(請求記録!$B$6:$B$3005,$A395,請求記録!$X$6:$X$3005,I$5)=0,"",SUMIFS(請求記録!$AC$6:$AC$3005,請求記録!$B$6:$B$3005,$A395,請求記録!$X$6:$X$3005,I$5))))</f>
        <v/>
      </c>
      <c r="J395" s="19">
        <f>IF($A395="","",IF(COUNTIFS(請求記録!$B$6:$B$3005,$A395,請求記録!$X$6:$X$3005,J$5,請求記録!$AD$6:$AD$3005,"保留中")&gt;0,"保留",IF(COUNTIFS(請求記録!$B$6:$B$3005,$A395,請求記録!$X$6:$X$3005,J$5)=0,"",SUMIFS(請求記録!$AC$6:$AC$3005,請求記録!$B$6:$B$3005,$A395,請求記録!$X$6:$X$3005,J$5))))</f>
        <v/>
      </c>
      <c r="K395" s="19">
        <f>IF($A395="","",IF(COUNTIFS(請求記録!$B$6:$B$3005,$A395,請求記録!$X$6:$X$3005,K$5,請求記録!$AD$6:$AD$3005,"保留中")&gt;0,"保留",IF(COUNTIFS(請求記録!$B$6:$B$3005,$A395,請求記録!$X$6:$X$3005,K$5)=0,"",SUMIFS(請求記録!$AC$6:$AC$3005,請求記録!$B$6:$B$3005,$A395,請求記録!$X$6:$X$3005,K$5))))</f>
        <v/>
      </c>
      <c r="L395" s="19">
        <f>IF($A395="","",IF(COUNTIFS(請求記録!$B$6:$B$3005,$A395,請求記録!$X$6:$X$3005,L$5,請求記録!$AD$6:$AD$3005,"保留中")&gt;0,"保留",IF(COUNTIFS(請求記録!$B$6:$B$3005,$A395,請求記録!$X$6:$X$3005,L$5)=0,"",SUMIFS(請求記録!$AC$6:$AC$3005,請求記録!$B$6:$B$3005,$A395,請求記録!$X$6:$X$3005,L$5))))</f>
        <v/>
      </c>
      <c r="M395" s="19">
        <f>IF($A395="","",IF(COUNTIFS(請求記録!$B$6:$B$3005,$A395,請求記録!$X$6:$X$3005,M$5,請求記録!$AD$6:$AD$3005,"保留中")&gt;0,"保留",IF(COUNTIFS(請求記録!$B$6:$B$3005,$A395,請求記録!$X$6:$X$3005,M$5)=0,"",SUMIFS(請求記録!$AC$6:$AC$3005,請求記録!$B$6:$B$3005,$A395,請求記録!$X$6:$X$3005,M$5))))</f>
        <v/>
      </c>
      <c r="N395" s="19">
        <f>IF($A395="","",IF(COUNTIFS(請求記録!$B$6:$B$3005,$A395,請求記録!$X$6:$X$3005,N$5,請求記録!$AD$6:$AD$3005,"保留中")&gt;0,"保留",IF(COUNTIFS(請求記録!$B$6:$B$3005,$A395,請求記録!$X$6:$X$3005,N$5)=0,"",SUMIFS(請求記録!$AC$6:$AC$3005,請求記録!$B$6:$B$3005,$A395,請求記録!$X$6:$X$3005,N$5))))</f>
        <v/>
      </c>
      <c r="O395" s="19">
        <f>IF($A395="","",IF(COUNTIFS(請求記録!$B$6:$B$3005,$A395,請求記録!$X$6:$X$3005,O$5,請求記録!$AD$6:$AD$3005,"保留中")&gt;0,"保留",IF(COUNTIFS(請求記録!$B$6:$B$3005,$A395,請求記録!$X$6:$X$3005,O$5)=0,"",SUMIFS(請求記録!$AC$6:$AC$3005,請求記録!$B$6:$B$3005,$A395,請求記録!$X$6:$X$3005,O$5))))</f>
        <v/>
      </c>
      <c r="P395" s="19">
        <f>IF($A395="","",IF(COUNTIFS(請求記録!$B$6:$B$3005,$A395,請求記録!$X$6:$X$3005,P$5,請求記録!$AD$6:$AD$3005,"保留中")&gt;0,"保留",IF(COUNTIFS(請求記録!$B$6:$B$3005,$A395,請求記録!$X$6:$X$3005,P$5)=0,"",SUMIFS(請求記録!$AC$6:$AC$3005,請求記録!$B$6:$B$3005,$A395,請求記録!$X$6:$X$3005,P$5))))</f>
        <v/>
      </c>
      <c r="Q395" s="19">
        <f>IF($A395="","",IF(COUNTIFS(請求記録!$B$6:$B$3005,$A395,請求記録!$X$6:$X$3005,Q$5,請求記録!$AD$6:$AD$3005,"保留中")&gt;0,"保留",IF(COUNTIFS(請求記録!$B$6:$B$3005,$A395,請求記録!$X$6:$X$3005,Q$5)=0,"",SUMIFS(請求記録!$AC$6:$AC$3005,請求記録!$B$6:$B$3005,$A395,請求記録!$X$6:$X$3005,Q$5))))</f>
        <v/>
      </c>
      <c r="R395" s="19">
        <f>IF($A395="","",IF(COUNTIFS(請求記録!$B$6:$B$3005,$A395,請求記録!$X$6:$X$3005,R$5,請求記録!$AD$6:$AD$3005,"保留中")&gt;0,"保留",IF(COUNTIFS(請求記録!$B$6:$B$3005,$A395,請求記録!$X$6:$X$3005,R$5)=0,"",SUMIFS(請求記録!$AC$6:$AC$3005,請求記録!$B$6:$B$3005,$A395,請求記録!$X$6:$X$3005,R$5))))</f>
        <v/>
      </c>
      <c r="S395" s="19">
        <f>IF($A395="","",IF(COUNTIFS(請求記録!$B$6:$B$3005,$A395,請求記録!$X$6:$X$3005,S$5,請求記録!$AD$6:$AD$3005,"保留中")&gt;0,"保留",IF(COUNTIFS(請求記録!$B$6:$B$3005,$A395,請求記録!$X$6:$X$3005,S$5)=0,"",SUMIFS(請求記録!$AC$6:$AC$3005,請求記録!$B$6:$B$3005,$A395,請求記録!$X$6:$X$3005,S$5))))</f>
        <v/>
      </c>
      <c r="T395" s="19">
        <f>IF($A395="","",IF(COUNTIFS(請求記録!$B$6:$B$3005,$A395,請求記録!$X$6:$X$3005,T$5,請求記録!$AD$6:$AD$3005,"保留中")&gt;0,"保留",IF(COUNTIFS(請求記録!$B$6:$B$3005,$A395,請求記録!$X$6:$X$3005,T$5)=0,"",SUMIFS(請求記録!$AC$6:$AC$3005,請求記録!$B$6:$B$3005,$A395,請求記録!$X$6:$X$3005,T$5))))</f>
        <v/>
      </c>
      <c r="U395" s="19">
        <f>IF($A395="","",IF(COUNTIFS(請求記録!$B$6:$B$3005,$A395,請求記録!$X$6:$X$3005,U$5,請求記録!$AD$6:$AD$3005,"保留中")&gt;0,"保留",IF(COUNTIFS(請求記録!$B$6:$B$3005,$A395,請求記録!$X$6:$X$3005,U$5)=0,"",SUMIFS(請求記録!$AC$6:$AC$3005,請求記録!$B$6:$B$3005,$A395,請求記録!$X$6:$X$3005,U$5))))</f>
        <v/>
      </c>
      <c r="V395" s="19">
        <f>IF($A395="","",IF(COUNTIFS(請求記録!$B$6:$B$3005,$A395,請求記録!$X$6:$X$3005,V$5,請求記録!$AD$6:$AD$3005,"保留中")&gt;0,"保留",IF(COUNTIFS(請求記録!$B$6:$B$3005,$A395,請求記録!$X$6:$X$3005,V$5)=0,"",SUMIFS(請求記録!$AC$6:$AC$3005,請求記録!$B$6:$B$3005,$A395,請求記録!$X$6:$X$3005,V$5))))</f>
        <v/>
      </c>
      <c r="W395" s="19">
        <f>IF($A395="","",IF(COUNTIFS(請求記録!$B$6:$B$3005,$A395,請求記録!$X$6:$X$3005,W$5,請求記録!$AD$6:$AD$3005,"保留中")&gt;0,"保留",IF(COUNTIFS(請求記録!$B$6:$B$3005,$A395,請求記録!$X$6:$X$3005,W$5)=0,"",SUMIFS(請求記録!$AC$6:$AC$3005,請求記録!$B$6:$B$3005,$A395,請求記録!$X$6:$X$3005,W$5))))</f>
        <v/>
      </c>
      <c r="X395" s="19">
        <f>IF($A395="","",IF(COUNTIFS(請求記録!$B$6:$B$3005,$A395,請求記録!$X$6:$X$3005,X$5,請求記録!$AD$6:$AD$3005,"保留中")&gt;0,"保留",IF(COUNTIFS(請求記録!$B$6:$B$3005,$A395,請求記録!$X$6:$X$3005,X$5)=0,"",SUMIFS(請求記録!$AC$6:$AC$3005,請求記録!$B$6:$B$3005,$A395,請求記録!$X$6:$X$3005,X$5))))</f>
        <v/>
      </c>
      <c r="Y395" s="19">
        <f>IF($A395="","",IF(COUNTIFS(請求記録!$B$6:$B$3005,$A395,請求記録!$X$6:$X$3005,Y$5,請求記録!$AD$6:$AD$3005,"保留中")&gt;0,"保留",IF(COUNTIFS(請求記録!$B$6:$B$3005,$A395,請求記録!$X$6:$X$3005,Y$5)=0,"",SUMIFS(請求記録!$AC$6:$AC$3005,請求記録!$B$6:$B$3005,$A395,請求記録!$X$6:$X$3005,Y$5))))</f>
        <v/>
      </c>
      <c r="Z395" s="19">
        <f>IF($A395="","",IF(COUNTIFS(請求記録!$B$6:$B$3005,$A395,請求記録!$X$6:$X$3005,Z$5,請求記録!$AD$6:$AD$3005,"保留中")&gt;0,"保留",IF(COUNTIFS(請求記録!$B$6:$B$3005,$A395,請求記録!$X$6:$X$3005,Z$5)=0,"",SUMIFS(請求記録!$AC$6:$AC$3005,請求記録!$B$6:$B$3005,$A395,請求記録!$X$6:$X$3005,Z$5))))</f>
        <v/>
      </c>
      <c r="AA395" s="19">
        <f>IF($A395="","",IF(COUNTIFS(請求記録!$B$6:$B$3005,$A395,請求記録!$X$6:$X$3005,AA$5,請求記録!$AD$6:$AD$3005,"保留中")&gt;0,"保留",IF(COUNTIFS(請求記録!$B$6:$B$3005,$A395,請求記録!$X$6:$X$3005,AA$5)=0,"",SUMIFS(請求記録!$AC$6:$AC$3005,請求記録!$B$6:$B$3005,$A395,請求記録!$X$6:$X$3005,AA$5))))</f>
        <v/>
      </c>
      <c r="AB395">
        <f>IF(職員マスタ!P395="保留中",職員マスタ!M395,"")</f>
        <v/>
      </c>
    </row>
    <row r="396">
      <c r="A396">
        <f>IF(職員マスタ!A396="","",職員マスタ!A396)</f>
        <v/>
      </c>
      <c r="B396">
        <f>IF($A396="","",職員マスタ!B396)</f>
        <v/>
      </c>
      <c r="C396">
        <f>IF($A396="","",職員マスタ!C396)</f>
        <v/>
      </c>
      <c r="D396" s="19">
        <f>IF($A396="","",IF(COUNTIFS(請求記録!$B$6:$B$3005,$A396,請求記録!$X$6:$X$3005,D$5,請求記録!$AD$6:$AD$3005,"保留中")&gt;0,"保留",IF(COUNTIFS(請求記録!$B$6:$B$3005,$A396,請求記録!$X$6:$X$3005,D$5)=0,"",SUMIFS(請求記録!$AC$6:$AC$3005,請求記録!$B$6:$B$3005,$A396,請求記録!$X$6:$X$3005,D$5))))</f>
        <v/>
      </c>
      <c r="E396" s="19">
        <f>IF($A396="","",IF(COUNTIFS(請求記録!$B$6:$B$3005,$A396,請求記録!$X$6:$X$3005,E$5,請求記録!$AD$6:$AD$3005,"保留中")&gt;0,"保留",IF(COUNTIFS(請求記録!$B$6:$B$3005,$A396,請求記録!$X$6:$X$3005,E$5)=0,"",SUMIFS(請求記録!$AC$6:$AC$3005,請求記録!$B$6:$B$3005,$A396,請求記録!$X$6:$X$3005,E$5))))</f>
        <v/>
      </c>
      <c r="F396" s="19">
        <f>IF($A396="","",IF(COUNTIFS(請求記録!$B$6:$B$3005,$A396,請求記録!$X$6:$X$3005,F$5,請求記録!$AD$6:$AD$3005,"保留中")&gt;0,"保留",IF(COUNTIFS(請求記録!$B$6:$B$3005,$A396,請求記録!$X$6:$X$3005,F$5)=0,"",SUMIFS(請求記録!$AC$6:$AC$3005,請求記録!$B$6:$B$3005,$A396,請求記録!$X$6:$X$3005,F$5))))</f>
        <v/>
      </c>
      <c r="G396" s="19">
        <f>IF($A396="","",IF(COUNTIFS(請求記録!$B$6:$B$3005,$A396,請求記録!$X$6:$X$3005,G$5,請求記録!$AD$6:$AD$3005,"保留中")&gt;0,"保留",IF(COUNTIFS(請求記録!$B$6:$B$3005,$A396,請求記録!$X$6:$X$3005,G$5)=0,"",SUMIFS(請求記録!$AC$6:$AC$3005,請求記録!$B$6:$B$3005,$A396,請求記録!$X$6:$X$3005,G$5))))</f>
        <v/>
      </c>
      <c r="H396" s="19">
        <f>IF($A396="","",IF(COUNTIFS(請求記録!$B$6:$B$3005,$A396,請求記録!$X$6:$X$3005,H$5,請求記録!$AD$6:$AD$3005,"保留中")&gt;0,"保留",IF(COUNTIFS(請求記録!$B$6:$B$3005,$A396,請求記録!$X$6:$X$3005,H$5)=0,"",SUMIFS(請求記録!$AC$6:$AC$3005,請求記録!$B$6:$B$3005,$A396,請求記録!$X$6:$X$3005,H$5))))</f>
        <v/>
      </c>
      <c r="I396" s="19">
        <f>IF($A396="","",IF(COUNTIFS(請求記録!$B$6:$B$3005,$A396,請求記録!$X$6:$X$3005,I$5,請求記録!$AD$6:$AD$3005,"保留中")&gt;0,"保留",IF(COUNTIFS(請求記録!$B$6:$B$3005,$A396,請求記録!$X$6:$X$3005,I$5)=0,"",SUMIFS(請求記録!$AC$6:$AC$3005,請求記録!$B$6:$B$3005,$A396,請求記録!$X$6:$X$3005,I$5))))</f>
        <v/>
      </c>
      <c r="J396" s="19">
        <f>IF($A396="","",IF(COUNTIFS(請求記録!$B$6:$B$3005,$A396,請求記録!$X$6:$X$3005,J$5,請求記録!$AD$6:$AD$3005,"保留中")&gt;0,"保留",IF(COUNTIFS(請求記録!$B$6:$B$3005,$A396,請求記録!$X$6:$X$3005,J$5)=0,"",SUMIFS(請求記録!$AC$6:$AC$3005,請求記録!$B$6:$B$3005,$A396,請求記録!$X$6:$X$3005,J$5))))</f>
        <v/>
      </c>
      <c r="K396" s="19">
        <f>IF($A396="","",IF(COUNTIFS(請求記録!$B$6:$B$3005,$A396,請求記録!$X$6:$X$3005,K$5,請求記録!$AD$6:$AD$3005,"保留中")&gt;0,"保留",IF(COUNTIFS(請求記録!$B$6:$B$3005,$A396,請求記録!$X$6:$X$3005,K$5)=0,"",SUMIFS(請求記録!$AC$6:$AC$3005,請求記録!$B$6:$B$3005,$A396,請求記録!$X$6:$X$3005,K$5))))</f>
        <v/>
      </c>
      <c r="L396" s="19">
        <f>IF($A396="","",IF(COUNTIFS(請求記録!$B$6:$B$3005,$A396,請求記録!$X$6:$X$3005,L$5,請求記録!$AD$6:$AD$3005,"保留中")&gt;0,"保留",IF(COUNTIFS(請求記録!$B$6:$B$3005,$A396,請求記録!$X$6:$X$3005,L$5)=0,"",SUMIFS(請求記録!$AC$6:$AC$3005,請求記録!$B$6:$B$3005,$A396,請求記録!$X$6:$X$3005,L$5))))</f>
        <v/>
      </c>
      <c r="M396" s="19">
        <f>IF($A396="","",IF(COUNTIFS(請求記録!$B$6:$B$3005,$A396,請求記録!$X$6:$X$3005,M$5,請求記録!$AD$6:$AD$3005,"保留中")&gt;0,"保留",IF(COUNTIFS(請求記録!$B$6:$B$3005,$A396,請求記録!$X$6:$X$3005,M$5)=0,"",SUMIFS(請求記録!$AC$6:$AC$3005,請求記録!$B$6:$B$3005,$A396,請求記録!$X$6:$X$3005,M$5))))</f>
        <v/>
      </c>
      <c r="N396" s="19">
        <f>IF($A396="","",IF(COUNTIFS(請求記録!$B$6:$B$3005,$A396,請求記録!$X$6:$X$3005,N$5,請求記録!$AD$6:$AD$3005,"保留中")&gt;0,"保留",IF(COUNTIFS(請求記録!$B$6:$B$3005,$A396,請求記録!$X$6:$X$3005,N$5)=0,"",SUMIFS(請求記録!$AC$6:$AC$3005,請求記録!$B$6:$B$3005,$A396,請求記録!$X$6:$X$3005,N$5))))</f>
        <v/>
      </c>
      <c r="O396" s="19">
        <f>IF($A396="","",IF(COUNTIFS(請求記録!$B$6:$B$3005,$A396,請求記録!$X$6:$X$3005,O$5,請求記録!$AD$6:$AD$3005,"保留中")&gt;0,"保留",IF(COUNTIFS(請求記録!$B$6:$B$3005,$A396,請求記録!$X$6:$X$3005,O$5)=0,"",SUMIFS(請求記録!$AC$6:$AC$3005,請求記録!$B$6:$B$3005,$A396,請求記録!$X$6:$X$3005,O$5))))</f>
        <v/>
      </c>
      <c r="P396" s="19">
        <f>IF($A396="","",IF(COUNTIFS(請求記録!$B$6:$B$3005,$A396,請求記録!$X$6:$X$3005,P$5,請求記録!$AD$6:$AD$3005,"保留中")&gt;0,"保留",IF(COUNTIFS(請求記録!$B$6:$B$3005,$A396,請求記録!$X$6:$X$3005,P$5)=0,"",SUMIFS(請求記録!$AC$6:$AC$3005,請求記録!$B$6:$B$3005,$A396,請求記録!$X$6:$X$3005,P$5))))</f>
        <v/>
      </c>
      <c r="Q396" s="19">
        <f>IF($A396="","",IF(COUNTIFS(請求記録!$B$6:$B$3005,$A396,請求記録!$X$6:$X$3005,Q$5,請求記録!$AD$6:$AD$3005,"保留中")&gt;0,"保留",IF(COUNTIFS(請求記録!$B$6:$B$3005,$A396,請求記録!$X$6:$X$3005,Q$5)=0,"",SUMIFS(請求記録!$AC$6:$AC$3005,請求記録!$B$6:$B$3005,$A396,請求記録!$X$6:$X$3005,Q$5))))</f>
        <v/>
      </c>
      <c r="R396" s="19">
        <f>IF($A396="","",IF(COUNTIFS(請求記録!$B$6:$B$3005,$A396,請求記録!$X$6:$X$3005,R$5,請求記録!$AD$6:$AD$3005,"保留中")&gt;0,"保留",IF(COUNTIFS(請求記録!$B$6:$B$3005,$A396,請求記録!$X$6:$X$3005,R$5)=0,"",SUMIFS(請求記録!$AC$6:$AC$3005,請求記録!$B$6:$B$3005,$A396,請求記録!$X$6:$X$3005,R$5))))</f>
        <v/>
      </c>
      <c r="S396" s="19">
        <f>IF($A396="","",IF(COUNTIFS(請求記録!$B$6:$B$3005,$A396,請求記録!$X$6:$X$3005,S$5,請求記録!$AD$6:$AD$3005,"保留中")&gt;0,"保留",IF(COUNTIFS(請求記録!$B$6:$B$3005,$A396,請求記録!$X$6:$X$3005,S$5)=0,"",SUMIFS(請求記録!$AC$6:$AC$3005,請求記録!$B$6:$B$3005,$A396,請求記録!$X$6:$X$3005,S$5))))</f>
        <v/>
      </c>
      <c r="T396" s="19">
        <f>IF($A396="","",IF(COUNTIFS(請求記録!$B$6:$B$3005,$A396,請求記録!$X$6:$X$3005,T$5,請求記録!$AD$6:$AD$3005,"保留中")&gt;0,"保留",IF(COUNTIFS(請求記録!$B$6:$B$3005,$A396,請求記録!$X$6:$X$3005,T$5)=0,"",SUMIFS(請求記録!$AC$6:$AC$3005,請求記録!$B$6:$B$3005,$A396,請求記録!$X$6:$X$3005,T$5))))</f>
        <v/>
      </c>
      <c r="U396" s="19">
        <f>IF($A396="","",IF(COUNTIFS(請求記録!$B$6:$B$3005,$A396,請求記録!$X$6:$X$3005,U$5,請求記録!$AD$6:$AD$3005,"保留中")&gt;0,"保留",IF(COUNTIFS(請求記録!$B$6:$B$3005,$A396,請求記録!$X$6:$X$3005,U$5)=0,"",SUMIFS(請求記録!$AC$6:$AC$3005,請求記録!$B$6:$B$3005,$A396,請求記録!$X$6:$X$3005,U$5))))</f>
        <v/>
      </c>
      <c r="V396" s="19">
        <f>IF($A396="","",IF(COUNTIFS(請求記録!$B$6:$B$3005,$A396,請求記録!$X$6:$X$3005,V$5,請求記録!$AD$6:$AD$3005,"保留中")&gt;0,"保留",IF(COUNTIFS(請求記録!$B$6:$B$3005,$A396,請求記録!$X$6:$X$3005,V$5)=0,"",SUMIFS(請求記録!$AC$6:$AC$3005,請求記録!$B$6:$B$3005,$A396,請求記録!$X$6:$X$3005,V$5))))</f>
        <v/>
      </c>
      <c r="W396" s="19">
        <f>IF($A396="","",IF(COUNTIFS(請求記録!$B$6:$B$3005,$A396,請求記録!$X$6:$X$3005,W$5,請求記録!$AD$6:$AD$3005,"保留中")&gt;0,"保留",IF(COUNTIFS(請求記録!$B$6:$B$3005,$A396,請求記録!$X$6:$X$3005,W$5)=0,"",SUMIFS(請求記録!$AC$6:$AC$3005,請求記録!$B$6:$B$3005,$A396,請求記録!$X$6:$X$3005,W$5))))</f>
        <v/>
      </c>
      <c r="X396" s="19">
        <f>IF($A396="","",IF(COUNTIFS(請求記録!$B$6:$B$3005,$A396,請求記録!$X$6:$X$3005,X$5,請求記録!$AD$6:$AD$3005,"保留中")&gt;0,"保留",IF(COUNTIFS(請求記録!$B$6:$B$3005,$A396,請求記録!$X$6:$X$3005,X$5)=0,"",SUMIFS(請求記録!$AC$6:$AC$3005,請求記録!$B$6:$B$3005,$A396,請求記録!$X$6:$X$3005,X$5))))</f>
        <v/>
      </c>
      <c r="Y396" s="19">
        <f>IF($A396="","",IF(COUNTIFS(請求記録!$B$6:$B$3005,$A396,請求記録!$X$6:$X$3005,Y$5,請求記録!$AD$6:$AD$3005,"保留中")&gt;0,"保留",IF(COUNTIFS(請求記録!$B$6:$B$3005,$A396,請求記録!$X$6:$X$3005,Y$5)=0,"",SUMIFS(請求記録!$AC$6:$AC$3005,請求記録!$B$6:$B$3005,$A396,請求記録!$X$6:$X$3005,Y$5))))</f>
        <v/>
      </c>
      <c r="Z396" s="19">
        <f>IF($A396="","",IF(COUNTIFS(請求記録!$B$6:$B$3005,$A396,請求記録!$X$6:$X$3005,Z$5,請求記録!$AD$6:$AD$3005,"保留中")&gt;0,"保留",IF(COUNTIFS(請求記録!$B$6:$B$3005,$A396,請求記録!$X$6:$X$3005,Z$5)=0,"",SUMIFS(請求記録!$AC$6:$AC$3005,請求記録!$B$6:$B$3005,$A396,請求記録!$X$6:$X$3005,Z$5))))</f>
        <v/>
      </c>
      <c r="AA396" s="19">
        <f>IF($A396="","",IF(COUNTIFS(請求記録!$B$6:$B$3005,$A396,請求記録!$X$6:$X$3005,AA$5,請求記録!$AD$6:$AD$3005,"保留中")&gt;0,"保留",IF(COUNTIFS(請求記録!$B$6:$B$3005,$A396,請求記録!$X$6:$X$3005,AA$5)=0,"",SUMIFS(請求記録!$AC$6:$AC$3005,請求記録!$B$6:$B$3005,$A396,請求記録!$X$6:$X$3005,AA$5))))</f>
        <v/>
      </c>
      <c r="AB396">
        <f>IF(職員マスタ!P396="保留中",職員マスタ!M396,"")</f>
        <v/>
      </c>
    </row>
    <row r="397">
      <c r="A397">
        <f>IF(職員マスタ!A397="","",職員マスタ!A397)</f>
        <v/>
      </c>
      <c r="B397">
        <f>IF($A397="","",職員マスタ!B397)</f>
        <v/>
      </c>
      <c r="C397">
        <f>IF($A397="","",職員マスタ!C397)</f>
        <v/>
      </c>
      <c r="D397" s="19">
        <f>IF($A397="","",IF(COUNTIFS(請求記録!$B$6:$B$3005,$A397,請求記録!$X$6:$X$3005,D$5,請求記録!$AD$6:$AD$3005,"保留中")&gt;0,"保留",IF(COUNTIFS(請求記録!$B$6:$B$3005,$A397,請求記録!$X$6:$X$3005,D$5)=0,"",SUMIFS(請求記録!$AC$6:$AC$3005,請求記録!$B$6:$B$3005,$A397,請求記録!$X$6:$X$3005,D$5))))</f>
        <v/>
      </c>
      <c r="E397" s="19">
        <f>IF($A397="","",IF(COUNTIFS(請求記録!$B$6:$B$3005,$A397,請求記録!$X$6:$X$3005,E$5,請求記録!$AD$6:$AD$3005,"保留中")&gt;0,"保留",IF(COUNTIFS(請求記録!$B$6:$B$3005,$A397,請求記録!$X$6:$X$3005,E$5)=0,"",SUMIFS(請求記録!$AC$6:$AC$3005,請求記録!$B$6:$B$3005,$A397,請求記録!$X$6:$X$3005,E$5))))</f>
        <v/>
      </c>
      <c r="F397" s="19">
        <f>IF($A397="","",IF(COUNTIFS(請求記録!$B$6:$B$3005,$A397,請求記録!$X$6:$X$3005,F$5,請求記録!$AD$6:$AD$3005,"保留中")&gt;0,"保留",IF(COUNTIFS(請求記録!$B$6:$B$3005,$A397,請求記録!$X$6:$X$3005,F$5)=0,"",SUMIFS(請求記録!$AC$6:$AC$3005,請求記録!$B$6:$B$3005,$A397,請求記録!$X$6:$X$3005,F$5))))</f>
        <v/>
      </c>
      <c r="G397" s="19">
        <f>IF($A397="","",IF(COUNTIFS(請求記録!$B$6:$B$3005,$A397,請求記録!$X$6:$X$3005,G$5,請求記録!$AD$6:$AD$3005,"保留中")&gt;0,"保留",IF(COUNTIFS(請求記録!$B$6:$B$3005,$A397,請求記録!$X$6:$X$3005,G$5)=0,"",SUMIFS(請求記録!$AC$6:$AC$3005,請求記録!$B$6:$B$3005,$A397,請求記録!$X$6:$X$3005,G$5))))</f>
        <v/>
      </c>
      <c r="H397" s="19">
        <f>IF($A397="","",IF(COUNTIFS(請求記録!$B$6:$B$3005,$A397,請求記録!$X$6:$X$3005,H$5,請求記録!$AD$6:$AD$3005,"保留中")&gt;0,"保留",IF(COUNTIFS(請求記録!$B$6:$B$3005,$A397,請求記録!$X$6:$X$3005,H$5)=0,"",SUMIFS(請求記録!$AC$6:$AC$3005,請求記録!$B$6:$B$3005,$A397,請求記録!$X$6:$X$3005,H$5))))</f>
        <v/>
      </c>
      <c r="I397" s="19">
        <f>IF($A397="","",IF(COUNTIFS(請求記録!$B$6:$B$3005,$A397,請求記録!$X$6:$X$3005,I$5,請求記録!$AD$6:$AD$3005,"保留中")&gt;0,"保留",IF(COUNTIFS(請求記録!$B$6:$B$3005,$A397,請求記録!$X$6:$X$3005,I$5)=0,"",SUMIFS(請求記録!$AC$6:$AC$3005,請求記録!$B$6:$B$3005,$A397,請求記録!$X$6:$X$3005,I$5))))</f>
        <v/>
      </c>
      <c r="J397" s="19">
        <f>IF($A397="","",IF(COUNTIFS(請求記録!$B$6:$B$3005,$A397,請求記録!$X$6:$X$3005,J$5,請求記録!$AD$6:$AD$3005,"保留中")&gt;0,"保留",IF(COUNTIFS(請求記録!$B$6:$B$3005,$A397,請求記録!$X$6:$X$3005,J$5)=0,"",SUMIFS(請求記録!$AC$6:$AC$3005,請求記録!$B$6:$B$3005,$A397,請求記録!$X$6:$X$3005,J$5))))</f>
        <v/>
      </c>
      <c r="K397" s="19">
        <f>IF($A397="","",IF(COUNTIFS(請求記録!$B$6:$B$3005,$A397,請求記録!$X$6:$X$3005,K$5,請求記録!$AD$6:$AD$3005,"保留中")&gt;0,"保留",IF(COUNTIFS(請求記録!$B$6:$B$3005,$A397,請求記録!$X$6:$X$3005,K$5)=0,"",SUMIFS(請求記録!$AC$6:$AC$3005,請求記録!$B$6:$B$3005,$A397,請求記録!$X$6:$X$3005,K$5))))</f>
        <v/>
      </c>
      <c r="L397" s="19">
        <f>IF($A397="","",IF(COUNTIFS(請求記録!$B$6:$B$3005,$A397,請求記録!$X$6:$X$3005,L$5,請求記録!$AD$6:$AD$3005,"保留中")&gt;0,"保留",IF(COUNTIFS(請求記録!$B$6:$B$3005,$A397,請求記録!$X$6:$X$3005,L$5)=0,"",SUMIFS(請求記録!$AC$6:$AC$3005,請求記録!$B$6:$B$3005,$A397,請求記録!$X$6:$X$3005,L$5))))</f>
        <v/>
      </c>
      <c r="M397" s="19">
        <f>IF($A397="","",IF(COUNTIFS(請求記録!$B$6:$B$3005,$A397,請求記録!$X$6:$X$3005,M$5,請求記録!$AD$6:$AD$3005,"保留中")&gt;0,"保留",IF(COUNTIFS(請求記録!$B$6:$B$3005,$A397,請求記録!$X$6:$X$3005,M$5)=0,"",SUMIFS(請求記録!$AC$6:$AC$3005,請求記録!$B$6:$B$3005,$A397,請求記録!$X$6:$X$3005,M$5))))</f>
        <v/>
      </c>
      <c r="N397" s="19">
        <f>IF($A397="","",IF(COUNTIFS(請求記録!$B$6:$B$3005,$A397,請求記録!$X$6:$X$3005,N$5,請求記録!$AD$6:$AD$3005,"保留中")&gt;0,"保留",IF(COUNTIFS(請求記録!$B$6:$B$3005,$A397,請求記録!$X$6:$X$3005,N$5)=0,"",SUMIFS(請求記録!$AC$6:$AC$3005,請求記録!$B$6:$B$3005,$A397,請求記録!$X$6:$X$3005,N$5))))</f>
        <v/>
      </c>
      <c r="O397" s="19">
        <f>IF($A397="","",IF(COUNTIFS(請求記録!$B$6:$B$3005,$A397,請求記録!$X$6:$X$3005,O$5,請求記録!$AD$6:$AD$3005,"保留中")&gt;0,"保留",IF(COUNTIFS(請求記録!$B$6:$B$3005,$A397,請求記録!$X$6:$X$3005,O$5)=0,"",SUMIFS(請求記録!$AC$6:$AC$3005,請求記録!$B$6:$B$3005,$A397,請求記録!$X$6:$X$3005,O$5))))</f>
        <v/>
      </c>
      <c r="P397" s="19">
        <f>IF($A397="","",IF(COUNTIFS(請求記録!$B$6:$B$3005,$A397,請求記録!$X$6:$X$3005,P$5,請求記録!$AD$6:$AD$3005,"保留中")&gt;0,"保留",IF(COUNTIFS(請求記録!$B$6:$B$3005,$A397,請求記録!$X$6:$X$3005,P$5)=0,"",SUMIFS(請求記録!$AC$6:$AC$3005,請求記録!$B$6:$B$3005,$A397,請求記録!$X$6:$X$3005,P$5))))</f>
        <v/>
      </c>
      <c r="Q397" s="19">
        <f>IF($A397="","",IF(COUNTIFS(請求記録!$B$6:$B$3005,$A397,請求記録!$X$6:$X$3005,Q$5,請求記録!$AD$6:$AD$3005,"保留中")&gt;0,"保留",IF(COUNTIFS(請求記録!$B$6:$B$3005,$A397,請求記録!$X$6:$X$3005,Q$5)=0,"",SUMIFS(請求記録!$AC$6:$AC$3005,請求記録!$B$6:$B$3005,$A397,請求記録!$X$6:$X$3005,Q$5))))</f>
        <v/>
      </c>
      <c r="R397" s="19">
        <f>IF($A397="","",IF(COUNTIFS(請求記録!$B$6:$B$3005,$A397,請求記録!$X$6:$X$3005,R$5,請求記録!$AD$6:$AD$3005,"保留中")&gt;0,"保留",IF(COUNTIFS(請求記録!$B$6:$B$3005,$A397,請求記録!$X$6:$X$3005,R$5)=0,"",SUMIFS(請求記録!$AC$6:$AC$3005,請求記録!$B$6:$B$3005,$A397,請求記録!$X$6:$X$3005,R$5))))</f>
        <v/>
      </c>
      <c r="S397" s="19">
        <f>IF($A397="","",IF(COUNTIFS(請求記録!$B$6:$B$3005,$A397,請求記録!$X$6:$X$3005,S$5,請求記録!$AD$6:$AD$3005,"保留中")&gt;0,"保留",IF(COUNTIFS(請求記録!$B$6:$B$3005,$A397,請求記録!$X$6:$X$3005,S$5)=0,"",SUMIFS(請求記録!$AC$6:$AC$3005,請求記録!$B$6:$B$3005,$A397,請求記録!$X$6:$X$3005,S$5))))</f>
        <v/>
      </c>
      <c r="T397" s="19">
        <f>IF($A397="","",IF(COUNTIFS(請求記録!$B$6:$B$3005,$A397,請求記録!$X$6:$X$3005,T$5,請求記録!$AD$6:$AD$3005,"保留中")&gt;0,"保留",IF(COUNTIFS(請求記録!$B$6:$B$3005,$A397,請求記録!$X$6:$X$3005,T$5)=0,"",SUMIFS(請求記録!$AC$6:$AC$3005,請求記録!$B$6:$B$3005,$A397,請求記録!$X$6:$X$3005,T$5))))</f>
        <v/>
      </c>
      <c r="U397" s="19">
        <f>IF($A397="","",IF(COUNTIFS(請求記録!$B$6:$B$3005,$A397,請求記録!$X$6:$X$3005,U$5,請求記録!$AD$6:$AD$3005,"保留中")&gt;0,"保留",IF(COUNTIFS(請求記録!$B$6:$B$3005,$A397,請求記録!$X$6:$X$3005,U$5)=0,"",SUMIFS(請求記録!$AC$6:$AC$3005,請求記録!$B$6:$B$3005,$A397,請求記録!$X$6:$X$3005,U$5))))</f>
        <v/>
      </c>
      <c r="V397" s="19">
        <f>IF($A397="","",IF(COUNTIFS(請求記録!$B$6:$B$3005,$A397,請求記録!$X$6:$X$3005,V$5,請求記録!$AD$6:$AD$3005,"保留中")&gt;0,"保留",IF(COUNTIFS(請求記録!$B$6:$B$3005,$A397,請求記録!$X$6:$X$3005,V$5)=0,"",SUMIFS(請求記録!$AC$6:$AC$3005,請求記録!$B$6:$B$3005,$A397,請求記録!$X$6:$X$3005,V$5))))</f>
        <v/>
      </c>
      <c r="W397" s="19">
        <f>IF($A397="","",IF(COUNTIFS(請求記録!$B$6:$B$3005,$A397,請求記録!$X$6:$X$3005,W$5,請求記録!$AD$6:$AD$3005,"保留中")&gt;0,"保留",IF(COUNTIFS(請求記録!$B$6:$B$3005,$A397,請求記録!$X$6:$X$3005,W$5)=0,"",SUMIFS(請求記録!$AC$6:$AC$3005,請求記録!$B$6:$B$3005,$A397,請求記録!$X$6:$X$3005,W$5))))</f>
        <v/>
      </c>
      <c r="X397" s="19">
        <f>IF($A397="","",IF(COUNTIFS(請求記録!$B$6:$B$3005,$A397,請求記録!$X$6:$X$3005,X$5,請求記録!$AD$6:$AD$3005,"保留中")&gt;0,"保留",IF(COUNTIFS(請求記録!$B$6:$B$3005,$A397,請求記録!$X$6:$X$3005,X$5)=0,"",SUMIFS(請求記録!$AC$6:$AC$3005,請求記録!$B$6:$B$3005,$A397,請求記録!$X$6:$X$3005,X$5))))</f>
        <v/>
      </c>
      <c r="Y397" s="19">
        <f>IF($A397="","",IF(COUNTIFS(請求記録!$B$6:$B$3005,$A397,請求記録!$X$6:$X$3005,Y$5,請求記録!$AD$6:$AD$3005,"保留中")&gt;0,"保留",IF(COUNTIFS(請求記録!$B$6:$B$3005,$A397,請求記録!$X$6:$X$3005,Y$5)=0,"",SUMIFS(請求記録!$AC$6:$AC$3005,請求記録!$B$6:$B$3005,$A397,請求記録!$X$6:$X$3005,Y$5))))</f>
        <v/>
      </c>
      <c r="Z397" s="19">
        <f>IF($A397="","",IF(COUNTIFS(請求記録!$B$6:$B$3005,$A397,請求記録!$X$6:$X$3005,Z$5,請求記録!$AD$6:$AD$3005,"保留中")&gt;0,"保留",IF(COUNTIFS(請求記録!$B$6:$B$3005,$A397,請求記録!$X$6:$X$3005,Z$5)=0,"",SUMIFS(請求記録!$AC$6:$AC$3005,請求記録!$B$6:$B$3005,$A397,請求記録!$X$6:$X$3005,Z$5))))</f>
        <v/>
      </c>
      <c r="AA397" s="19">
        <f>IF($A397="","",IF(COUNTIFS(請求記録!$B$6:$B$3005,$A397,請求記録!$X$6:$X$3005,AA$5,請求記録!$AD$6:$AD$3005,"保留中")&gt;0,"保留",IF(COUNTIFS(請求記録!$B$6:$B$3005,$A397,請求記録!$X$6:$X$3005,AA$5)=0,"",SUMIFS(請求記録!$AC$6:$AC$3005,請求記録!$B$6:$B$3005,$A397,請求記録!$X$6:$X$3005,AA$5))))</f>
        <v/>
      </c>
      <c r="AB397">
        <f>IF(職員マスタ!P397="保留中",職員マスタ!M397,"")</f>
        <v/>
      </c>
    </row>
    <row r="398">
      <c r="A398">
        <f>IF(職員マスタ!A398="","",職員マスタ!A398)</f>
        <v/>
      </c>
      <c r="B398">
        <f>IF($A398="","",職員マスタ!B398)</f>
        <v/>
      </c>
      <c r="C398">
        <f>IF($A398="","",職員マスタ!C398)</f>
        <v/>
      </c>
      <c r="D398" s="19">
        <f>IF($A398="","",IF(COUNTIFS(請求記録!$B$6:$B$3005,$A398,請求記録!$X$6:$X$3005,D$5,請求記録!$AD$6:$AD$3005,"保留中")&gt;0,"保留",IF(COUNTIFS(請求記録!$B$6:$B$3005,$A398,請求記録!$X$6:$X$3005,D$5)=0,"",SUMIFS(請求記録!$AC$6:$AC$3005,請求記録!$B$6:$B$3005,$A398,請求記録!$X$6:$X$3005,D$5))))</f>
        <v/>
      </c>
      <c r="E398" s="19">
        <f>IF($A398="","",IF(COUNTIFS(請求記録!$B$6:$B$3005,$A398,請求記録!$X$6:$X$3005,E$5,請求記録!$AD$6:$AD$3005,"保留中")&gt;0,"保留",IF(COUNTIFS(請求記録!$B$6:$B$3005,$A398,請求記録!$X$6:$X$3005,E$5)=0,"",SUMIFS(請求記録!$AC$6:$AC$3005,請求記録!$B$6:$B$3005,$A398,請求記録!$X$6:$X$3005,E$5))))</f>
        <v/>
      </c>
      <c r="F398" s="19">
        <f>IF($A398="","",IF(COUNTIFS(請求記録!$B$6:$B$3005,$A398,請求記録!$X$6:$X$3005,F$5,請求記録!$AD$6:$AD$3005,"保留中")&gt;0,"保留",IF(COUNTIFS(請求記録!$B$6:$B$3005,$A398,請求記録!$X$6:$X$3005,F$5)=0,"",SUMIFS(請求記録!$AC$6:$AC$3005,請求記録!$B$6:$B$3005,$A398,請求記録!$X$6:$X$3005,F$5))))</f>
        <v/>
      </c>
      <c r="G398" s="19">
        <f>IF($A398="","",IF(COUNTIFS(請求記録!$B$6:$B$3005,$A398,請求記録!$X$6:$X$3005,G$5,請求記録!$AD$6:$AD$3005,"保留中")&gt;0,"保留",IF(COUNTIFS(請求記録!$B$6:$B$3005,$A398,請求記録!$X$6:$X$3005,G$5)=0,"",SUMIFS(請求記録!$AC$6:$AC$3005,請求記録!$B$6:$B$3005,$A398,請求記録!$X$6:$X$3005,G$5))))</f>
        <v/>
      </c>
      <c r="H398" s="19">
        <f>IF($A398="","",IF(COUNTIFS(請求記録!$B$6:$B$3005,$A398,請求記録!$X$6:$X$3005,H$5,請求記録!$AD$6:$AD$3005,"保留中")&gt;0,"保留",IF(COUNTIFS(請求記録!$B$6:$B$3005,$A398,請求記録!$X$6:$X$3005,H$5)=0,"",SUMIFS(請求記録!$AC$6:$AC$3005,請求記録!$B$6:$B$3005,$A398,請求記録!$X$6:$X$3005,H$5))))</f>
        <v/>
      </c>
      <c r="I398" s="19">
        <f>IF($A398="","",IF(COUNTIFS(請求記録!$B$6:$B$3005,$A398,請求記録!$X$6:$X$3005,I$5,請求記録!$AD$6:$AD$3005,"保留中")&gt;0,"保留",IF(COUNTIFS(請求記録!$B$6:$B$3005,$A398,請求記録!$X$6:$X$3005,I$5)=0,"",SUMIFS(請求記録!$AC$6:$AC$3005,請求記録!$B$6:$B$3005,$A398,請求記録!$X$6:$X$3005,I$5))))</f>
        <v/>
      </c>
      <c r="J398" s="19">
        <f>IF($A398="","",IF(COUNTIFS(請求記録!$B$6:$B$3005,$A398,請求記録!$X$6:$X$3005,J$5,請求記録!$AD$6:$AD$3005,"保留中")&gt;0,"保留",IF(COUNTIFS(請求記録!$B$6:$B$3005,$A398,請求記録!$X$6:$X$3005,J$5)=0,"",SUMIFS(請求記録!$AC$6:$AC$3005,請求記録!$B$6:$B$3005,$A398,請求記録!$X$6:$X$3005,J$5))))</f>
        <v/>
      </c>
      <c r="K398" s="19">
        <f>IF($A398="","",IF(COUNTIFS(請求記録!$B$6:$B$3005,$A398,請求記録!$X$6:$X$3005,K$5,請求記録!$AD$6:$AD$3005,"保留中")&gt;0,"保留",IF(COUNTIFS(請求記録!$B$6:$B$3005,$A398,請求記録!$X$6:$X$3005,K$5)=0,"",SUMIFS(請求記録!$AC$6:$AC$3005,請求記録!$B$6:$B$3005,$A398,請求記録!$X$6:$X$3005,K$5))))</f>
        <v/>
      </c>
      <c r="L398" s="19">
        <f>IF($A398="","",IF(COUNTIFS(請求記録!$B$6:$B$3005,$A398,請求記録!$X$6:$X$3005,L$5,請求記録!$AD$6:$AD$3005,"保留中")&gt;0,"保留",IF(COUNTIFS(請求記録!$B$6:$B$3005,$A398,請求記録!$X$6:$X$3005,L$5)=0,"",SUMIFS(請求記録!$AC$6:$AC$3005,請求記録!$B$6:$B$3005,$A398,請求記録!$X$6:$X$3005,L$5))))</f>
        <v/>
      </c>
      <c r="M398" s="19">
        <f>IF($A398="","",IF(COUNTIFS(請求記録!$B$6:$B$3005,$A398,請求記録!$X$6:$X$3005,M$5,請求記録!$AD$6:$AD$3005,"保留中")&gt;0,"保留",IF(COUNTIFS(請求記録!$B$6:$B$3005,$A398,請求記録!$X$6:$X$3005,M$5)=0,"",SUMIFS(請求記録!$AC$6:$AC$3005,請求記録!$B$6:$B$3005,$A398,請求記録!$X$6:$X$3005,M$5))))</f>
        <v/>
      </c>
      <c r="N398" s="19">
        <f>IF($A398="","",IF(COUNTIFS(請求記録!$B$6:$B$3005,$A398,請求記録!$X$6:$X$3005,N$5,請求記録!$AD$6:$AD$3005,"保留中")&gt;0,"保留",IF(COUNTIFS(請求記録!$B$6:$B$3005,$A398,請求記録!$X$6:$X$3005,N$5)=0,"",SUMIFS(請求記録!$AC$6:$AC$3005,請求記録!$B$6:$B$3005,$A398,請求記録!$X$6:$X$3005,N$5))))</f>
        <v/>
      </c>
      <c r="O398" s="19">
        <f>IF($A398="","",IF(COUNTIFS(請求記録!$B$6:$B$3005,$A398,請求記録!$X$6:$X$3005,O$5,請求記録!$AD$6:$AD$3005,"保留中")&gt;0,"保留",IF(COUNTIFS(請求記録!$B$6:$B$3005,$A398,請求記録!$X$6:$X$3005,O$5)=0,"",SUMIFS(請求記録!$AC$6:$AC$3005,請求記録!$B$6:$B$3005,$A398,請求記録!$X$6:$X$3005,O$5))))</f>
        <v/>
      </c>
      <c r="P398" s="19">
        <f>IF($A398="","",IF(COUNTIFS(請求記録!$B$6:$B$3005,$A398,請求記録!$X$6:$X$3005,P$5,請求記録!$AD$6:$AD$3005,"保留中")&gt;0,"保留",IF(COUNTIFS(請求記録!$B$6:$B$3005,$A398,請求記録!$X$6:$X$3005,P$5)=0,"",SUMIFS(請求記録!$AC$6:$AC$3005,請求記録!$B$6:$B$3005,$A398,請求記録!$X$6:$X$3005,P$5))))</f>
        <v/>
      </c>
      <c r="Q398" s="19">
        <f>IF($A398="","",IF(COUNTIFS(請求記録!$B$6:$B$3005,$A398,請求記録!$X$6:$X$3005,Q$5,請求記録!$AD$6:$AD$3005,"保留中")&gt;0,"保留",IF(COUNTIFS(請求記録!$B$6:$B$3005,$A398,請求記録!$X$6:$X$3005,Q$5)=0,"",SUMIFS(請求記録!$AC$6:$AC$3005,請求記録!$B$6:$B$3005,$A398,請求記録!$X$6:$X$3005,Q$5))))</f>
        <v/>
      </c>
      <c r="R398" s="19">
        <f>IF($A398="","",IF(COUNTIFS(請求記録!$B$6:$B$3005,$A398,請求記録!$X$6:$X$3005,R$5,請求記録!$AD$6:$AD$3005,"保留中")&gt;0,"保留",IF(COUNTIFS(請求記録!$B$6:$B$3005,$A398,請求記録!$X$6:$X$3005,R$5)=0,"",SUMIFS(請求記録!$AC$6:$AC$3005,請求記録!$B$6:$B$3005,$A398,請求記録!$X$6:$X$3005,R$5))))</f>
        <v/>
      </c>
      <c r="S398" s="19">
        <f>IF($A398="","",IF(COUNTIFS(請求記録!$B$6:$B$3005,$A398,請求記録!$X$6:$X$3005,S$5,請求記録!$AD$6:$AD$3005,"保留中")&gt;0,"保留",IF(COUNTIFS(請求記録!$B$6:$B$3005,$A398,請求記録!$X$6:$X$3005,S$5)=0,"",SUMIFS(請求記録!$AC$6:$AC$3005,請求記録!$B$6:$B$3005,$A398,請求記録!$X$6:$X$3005,S$5))))</f>
        <v/>
      </c>
      <c r="T398" s="19">
        <f>IF($A398="","",IF(COUNTIFS(請求記録!$B$6:$B$3005,$A398,請求記録!$X$6:$X$3005,T$5,請求記録!$AD$6:$AD$3005,"保留中")&gt;0,"保留",IF(COUNTIFS(請求記録!$B$6:$B$3005,$A398,請求記録!$X$6:$X$3005,T$5)=0,"",SUMIFS(請求記録!$AC$6:$AC$3005,請求記録!$B$6:$B$3005,$A398,請求記録!$X$6:$X$3005,T$5))))</f>
        <v/>
      </c>
      <c r="U398" s="19">
        <f>IF($A398="","",IF(COUNTIFS(請求記録!$B$6:$B$3005,$A398,請求記録!$X$6:$X$3005,U$5,請求記録!$AD$6:$AD$3005,"保留中")&gt;0,"保留",IF(COUNTIFS(請求記録!$B$6:$B$3005,$A398,請求記録!$X$6:$X$3005,U$5)=0,"",SUMIFS(請求記録!$AC$6:$AC$3005,請求記録!$B$6:$B$3005,$A398,請求記録!$X$6:$X$3005,U$5))))</f>
        <v/>
      </c>
      <c r="V398" s="19">
        <f>IF($A398="","",IF(COUNTIFS(請求記録!$B$6:$B$3005,$A398,請求記録!$X$6:$X$3005,V$5,請求記録!$AD$6:$AD$3005,"保留中")&gt;0,"保留",IF(COUNTIFS(請求記録!$B$6:$B$3005,$A398,請求記録!$X$6:$X$3005,V$5)=0,"",SUMIFS(請求記録!$AC$6:$AC$3005,請求記録!$B$6:$B$3005,$A398,請求記録!$X$6:$X$3005,V$5))))</f>
        <v/>
      </c>
      <c r="W398" s="19">
        <f>IF($A398="","",IF(COUNTIFS(請求記録!$B$6:$B$3005,$A398,請求記録!$X$6:$X$3005,W$5,請求記録!$AD$6:$AD$3005,"保留中")&gt;0,"保留",IF(COUNTIFS(請求記録!$B$6:$B$3005,$A398,請求記録!$X$6:$X$3005,W$5)=0,"",SUMIFS(請求記録!$AC$6:$AC$3005,請求記録!$B$6:$B$3005,$A398,請求記録!$X$6:$X$3005,W$5))))</f>
        <v/>
      </c>
      <c r="X398" s="19">
        <f>IF($A398="","",IF(COUNTIFS(請求記録!$B$6:$B$3005,$A398,請求記録!$X$6:$X$3005,X$5,請求記録!$AD$6:$AD$3005,"保留中")&gt;0,"保留",IF(COUNTIFS(請求記録!$B$6:$B$3005,$A398,請求記録!$X$6:$X$3005,X$5)=0,"",SUMIFS(請求記録!$AC$6:$AC$3005,請求記録!$B$6:$B$3005,$A398,請求記録!$X$6:$X$3005,X$5))))</f>
        <v/>
      </c>
      <c r="Y398" s="19">
        <f>IF($A398="","",IF(COUNTIFS(請求記録!$B$6:$B$3005,$A398,請求記録!$X$6:$X$3005,Y$5,請求記録!$AD$6:$AD$3005,"保留中")&gt;0,"保留",IF(COUNTIFS(請求記録!$B$6:$B$3005,$A398,請求記録!$X$6:$X$3005,Y$5)=0,"",SUMIFS(請求記録!$AC$6:$AC$3005,請求記録!$B$6:$B$3005,$A398,請求記録!$X$6:$X$3005,Y$5))))</f>
        <v/>
      </c>
      <c r="Z398" s="19">
        <f>IF($A398="","",IF(COUNTIFS(請求記録!$B$6:$B$3005,$A398,請求記録!$X$6:$X$3005,Z$5,請求記録!$AD$6:$AD$3005,"保留中")&gt;0,"保留",IF(COUNTIFS(請求記録!$B$6:$B$3005,$A398,請求記録!$X$6:$X$3005,Z$5)=0,"",SUMIFS(請求記録!$AC$6:$AC$3005,請求記録!$B$6:$B$3005,$A398,請求記録!$X$6:$X$3005,Z$5))))</f>
        <v/>
      </c>
      <c r="AA398" s="19">
        <f>IF($A398="","",IF(COUNTIFS(請求記録!$B$6:$B$3005,$A398,請求記録!$X$6:$X$3005,AA$5,請求記録!$AD$6:$AD$3005,"保留中")&gt;0,"保留",IF(COUNTIFS(請求記録!$B$6:$B$3005,$A398,請求記録!$X$6:$X$3005,AA$5)=0,"",SUMIFS(請求記録!$AC$6:$AC$3005,請求記録!$B$6:$B$3005,$A398,請求記録!$X$6:$X$3005,AA$5))))</f>
        <v/>
      </c>
      <c r="AB398">
        <f>IF(職員マスタ!P398="保留中",職員マスタ!M398,"")</f>
        <v/>
      </c>
    </row>
    <row r="399">
      <c r="A399">
        <f>IF(職員マスタ!A399="","",職員マスタ!A399)</f>
        <v/>
      </c>
      <c r="B399">
        <f>IF($A399="","",職員マスタ!B399)</f>
        <v/>
      </c>
      <c r="C399">
        <f>IF($A399="","",職員マスタ!C399)</f>
        <v/>
      </c>
      <c r="D399" s="19">
        <f>IF($A399="","",IF(COUNTIFS(請求記録!$B$6:$B$3005,$A399,請求記録!$X$6:$X$3005,D$5,請求記録!$AD$6:$AD$3005,"保留中")&gt;0,"保留",IF(COUNTIFS(請求記録!$B$6:$B$3005,$A399,請求記録!$X$6:$X$3005,D$5)=0,"",SUMIFS(請求記録!$AC$6:$AC$3005,請求記録!$B$6:$B$3005,$A399,請求記録!$X$6:$X$3005,D$5))))</f>
        <v/>
      </c>
      <c r="E399" s="19">
        <f>IF($A399="","",IF(COUNTIFS(請求記録!$B$6:$B$3005,$A399,請求記録!$X$6:$X$3005,E$5,請求記録!$AD$6:$AD$3005,"保留中")&gt;0,"保留",IF(COUNTIFS(請求記録!$B$6:$B$3005,$A399,請求記録!$X$6:$X$3005,E$5)=0,"",SUMIFS(請求記録!$AC$6:$AC$3005,請求記録!$B$6:$B$3005,$A399,請求記録!$X$6:$X$3005,E$5))))</f>
        <v/>
      </c>
      <c r="F399" s="19">
        <f>IF($A399="","",IF(COUNTIFS(請求記録!$B$6:$B$3005,$A399,請求記録!$X$6:$X$3005,F$5,請求記録!$AD$6:$AD$3005,"保留中")&gt;0,"保留",IF(COUNTIFS(請求記録!$B$6:$B$3005,$A399,請求記録!$X$6:$X$3005,F$5)=0,"",SUMIFS(請求記録!$AC$6:$AC$3005,請求記録!$B$6:$B$3005,$A399,請求記録!$X$6:$X$3005,F$5))))</f>
        <v/>
      </c>
      <c r="G399" s="19">
        <f>IF($A399="","",IF(COUNTIFS(請求記録!$B$6:$B$3005,$A399,請求記録!$X$6:$X$3005,G$5,請求記録!$AD$6:$AD$3005,"保留中")&gt;0,"保留",IF(COUNTIFS(請求記録!$B$6:$B$3005,$A399,請求記録!$X$6:$X$3005,G$5)=0,"",SUMIFS(請求記録!$AC$6:$AC$3005,請求記録!$B$6:$B$3005,$A399,請求記録!$X$6:$X$3005,G$5))))</f>
        <v/>
      </c>
      <c r="H399" s="19">
        <f>IF($A399="","",IF(COUNTIFS(請求記録!$B$6:$B$3005,$A399,請求記録!$X$6:$X$3005,H$5,請求記録!$AD$6:$AD$3005,"保留中")&gt;0,"保留",IF(COUNTIFS(請求記録!$B$6:$B$3005,$A399,請求記録!$X$6:$X$3005,H$5)=0,"",SUMIFS(請求記録!$AC$6:$AC$3005,請求記録!$B$6:$B$3005,$A399,請求記録!$X$6:$X$3005,H$5))))</f>
        <v/>
      </c>
      <c r="I399" s="19">
        <f>IF($A399="","",IF(COUNTIFS(請求記録!$B$6:$B$3005,$A399,請求記録!$X$6:$X$3005,I$5,請求記録!$AD$6:$AD$3005,"保留中")&gt;0,"保留",IF(COUNTIFS(請求記録!$B$6:$B$3005,$A399,請求記録!$X$6:$X$3005,I$5)=0,"",SUMIFS(請求記録!$AC$6:$AC$3005,請求記録!$B$6:$B$3005,$A399,請求記録!$X$6:$X$3005,I$5))))</f>
        <v/>
      </c>
      <c r="J399" s="19">
        <f>IF($A399="","",IF(COUNTIFS(請求記録!$B$6:$B$3005,$A399,請求記録!$X$6:$X$3005,J$5,請求記録!$AD$6:$AD$3005,"保留中")&gt;0,"保留",IF(COUNTIFS(請求記録!$B$6:$B$3005,$A399,請求記録!$X$6:$X$3005,J$5)=0,"",SUMIFS(請求記録!$AC$6:$AC$3005,請求記録!$B$6:$B$3005,$A399,請求記録!$X$6:$X$3005,J$5))))</f>
        <v/>
      </c>
      <c r="K399" s="19">
        <f>IF($A399="","",IF(COUNTIFS(請求記録!$B$6:$B$3005,$A399,請求記録!$X$6:$X$3005,K$5,請求記録!$AD$6:$AD$3005,"保留中")&gt;0,"保留",IF(COUNTIFS(請求記録!$B$6:$B$3005,$A399,請求記録!$X$6:$X$3005,K$5)=0,"",SUMIFS(請求記録!$AC$6:$AC$3005,請求記録!$B$6:$B$3005,$A399,請求記録!$X$6:$X$3005,K$5))))</f>
        <v/>
      </c>
      <c r="L399" s="19">
        <f>IF($A399="","",IF(COUNTIFS(請求記録!$B$6:$B$3005,$A399,請求記録!$X$6:$X$3005,L$5,請求記録!$AD$6:$AD$3005,"保留中")&gt;0,"保留",IF(COUNTIFS(請求記録!$B$6:$B$3005,$A399,請求記録!$X$6:$X$3005,L$5)=0,"",SUMIFS(請求記録!$AC$6:$AC$3005,請求記録!$B$6:$B$3005,$A399,請求記録!$X$6:$X$3005,L$5))))</f>
        <v/>
      </c>
      <c r="M399" s="19">
        <f>IF($A399="","",IF(COUNTIFS(請求記録!$B$6:$B$3005,$A399,請求記録!$X$6:$X$3005,M$5,請求記録!$AD$6:$AD$3005,"保留中")&gt;0,"保留",IF(COUNTIFS(請求記録!$B$6:$B$3005,$A399,請求記録!$X$6:$X$3005,M$5)=0,"",SUMIFS(請求記録!$AC$6:$AC$3005,請求記録!$B$6:$B$3005,$A399,請求記録!$X$6:$X$3005,M$5))))</f>
        <v/>
      </c>
      <c r="N399" s="19">
        <f>IF($A399="","",IF(COUNTIFS(請求記録!$B$6:$B$3005,$A399,請求記録!$X$6:$X$3005,N$5,請求記録!$AD$6:$AD$3005,"保留中")&gt;0,"保留",IF(COUNTIFS(請求記録!$B$6:$B$3005,$A399,請求記録!$X$6:$X$3005,N$5)=0,"",SUMIFS(請求記録!$AC$6:$AC$3005,請求記録!$B$6:$B$3005,$A399,請求記録!$X$6:$X$3005,N$5))))</f>
        <v/>
      </c>
      <c r="O399" s="19">
        <f>IF($A399="","",IF(COUNTIFS(請求記録!$B$6:$B$3005,$A399,請求記録!$X$6:$X$3005,O$5,請求記録!$AD$6:$AD$3005,"保留中")&gt;0,"保留",IF(COUNTIFS(請求記録!$B$6:$B$3005,$A399,請求記録!$X$6:$X$3005,O$5)=0,"",SUMIFS(請求記録!$AC$6:$AC$3005,請求記録!$B$6:$B$3005,$A399,請求記録!$X$6:$X$3005,O$5))))</f>
        <v/>
      </c>
      <c r="P399" s="19">
        <f>IF($A399="","",IF(COUNTIFS(請求記録!$B$6:$B$3005,$A399,請求記録!$X$6:$X$3005,P$5,請求記録!$AD$6:$AD$3005,"保留中")&gt;0,"保留",IF(COUNTIFS(請求記録!$B$6:$B$3005,$A399,請求記録!$X$6:$X$3005,P$5)=0,"",SUMIFS(請求記録!$AC$6:$AC$3005,請求記録!$B$6:$B$3005,$A399,請求記録!$X$6:$X$3005,P$5))))</f>
        <v/>
      </c>
      <c r="Q399" s="19">
        <f>IF($A399="","",IF(COUNTIFS(請求記録!$B$6:$B$3005,$A399,請求記録!$X$6:$X$3005,Q$5,請求記録!$AD$6:$AD$3005,"保留中")&gt;0,"保留",IF(COUNTIFS(請求記録!$B$6:$B$3005,$A399,請求記録!$X$6:$X$3005,Q$5)=0,"",SUMIFS(請求記録!$AC$6:$AC$3005,請求記録!$B$6:$B$3005,$A399,請求記録!$X$6:$X$3005,Q$5))))</f>
        <v/>
      </c>
      <c r="R399" s="19">
        <f>IF($A399="","",IF(COUNTIFS(請求記録!$B$6:$B$3005,$A399,請求記録!$X$6:$X$3005,R$5,請求記録!$AD$6:$AD$3005,"保留中")&gt;0,"保留",IF(COUNTIFS(請求記録!$B$6:$B$3005,$A399,請求記録!$X$6:$X$3005,R$5)=0,"",SUMIFS(請求記録!$AC$6:$AC$3005,請求記録!$B$6:$B$3005,$A399,請求記録!$X$6:$X$3005,R$5))))</f>
        <v/>
      </c>
      <c r="S399" s="19">
        <f>IF($A399="","",IF(COUNTIFS(請求記録!$B$6:$B$3005,$A399,請求記録!$X$6:$X$3005,S$5,請求記録!$AD$6:$AD$3005,"保留中")&gt;0,"保留",IF(COUNTIFS(請求記録!$B$6:$B$3005,$A399,請求記録!$X$6:$X$3005,S$5)=0,"",SUMIFS(請求記録!$AC$6:$AC$3005,請求記録!$B$6:$B$3005,$A399,請求記録!$X$6:$X$3005,S$5))))</f>
        <v/>
      </c>
      <c r="T399" s="19">
        <f>IF($A399="","",IF(COUNTIFS(請求記録!$B$6:$B$3005,$A399,請求記録!$X$6:$X$3005,T$5,請求記録!$AD$6:$AD$3005,"保留中")&gt;0,"保留",IF(COUNTIFS(請求記録!$B$6:$B$3005,$A399,請求記録!$X$6:$X$3005,T$5)=0,"",SUMIFS(請求記録!$AC$6:$AC$3005,請求記録!$B$6:$B$3005,$A399,請求記録!$X$6:$X$3005,T$5))))</f>
        <v/>
      </c>
      <c r="U399" s="19">
        <f>IF($A399="","",IF(COUNTIFS(請求記録!$B$6:$B$3005,$A399,請求記録!$X$6:$X$3005,U$5,請求記録!$AD$6:$AD$3005,"保留中")&gt;0,"保留",IF(COUNTIFS(請求記録!$B$6:$B$3005,$A399,請求記録!$X$6:$X$3005,U$5)=0,"",SUMIFS(請求記録!$AC$6:$AC$3005,請求記録!$B$6:$B$3005,$A399,請求記録!$X$6:$X$3005,U$5))))</f>
        <v/>
      </c>
      <c r="V399" s="19">
        <f>IF($A399="","",IF(COUNTIFS(請求記録!$B$6:$B$3005,$A399,請求記録!$X$6:$X$3005,V$5,請求記録!$AD$6:$AD$3005,"保留中")&gt;0,"保留",IF(COUNTIFS(請求記録!$B$6:$B$3005,$A399,請求記録!$X$6:$X$3005,V$5)=0,"",SUMIFS(請求記録!$AC$6:$AC$3005,請求記録!$B$6:$B$3005,$A399,請求記録!$X$6:$X$3005,V$5))))</f>
        <v/>
      </c>
      <c r="W399" s="19">
        <f>IF($A399="","",IF(COUNTIFS(請求記録!$B$6:$B$3005,$A399,請求記録!$X$6:$X$3005,W$5,請求記録!$AD$6:$AD$3005,"保留中")&gt;0,"保留",IF(COUNTIFS(請求記録!$B$6:$B$3005,$A399,請求記録!$X$6:$X$3005,W$5)=0,"",SUMIFS(請求記録!$AC$6:$AC$3005,請求記録!$B$6:$B$3005,$A399,請求記録!$X$6:$X$3005,W$5))))</f>
        <v/>
      </c>
      <c r="X399" s="19">
        <f>IF($A399="","",IF(COUNTIFS(請求記録!$B$6:$B$3005,$A399,請求記録!$X$6:$X$3005,X$5,請求記録!$AD$6:$AD$3005,"保留中")&gt;0,"保留",IF(COUNTIFS(請求記録!$B$6:$B$3005,$A399,請求記録!$X$6:$X$3005,X$5)=0,"",SUMIFS(請求記録!$AC$6:$AC$3005,請求記録!$B$6:$B$3005,$A399,請求記録!$X$6:$X$3005,X$5))))</f>
        <v/>
      </c>
      <c r="Y399" s="19">
        <f>IF($A399="","",IF(COUNTIFS(請求記録!$B$6:$B$3005,$A399,請求記録!$X$6:$X$3005,Y$5,請求記録!$AD$6:$AD$3005,"保留中")&gt;0,"保留",IF(COUNTIFS(請求記録!$B$6:$B$3005,$A399,請求記録!$X$6:$X$3005,Y$5)=0,"",SUMIFS(請求記録!$AC$6:$AC$3005,請求記録!$B$6:$B$3005,$A399,請求記録!$X$6:$X$3005,Y$5))))</f>
        <v/>
      </c>
      <c r="Z399" s="19">
        <f>IF($A399="","",IF(COUNTIFS(請求記録!$B$6:$B$3005,$A399,請求記録!$X$6:$X$3005,Z$5,請求記録!$AD$6:$AD$3005,"保留中")&gt;0,"保留",IF(COUNTIFS(請求記録!$B$6:$B$3005,$A399,請求記録!$X$6:$X$3005,Z$5)=0,"",SUMIFS(請求記録!$AC$6:$AC$3005,請求記録!$B$6:$B$3005,$A399,請求記録!$X$6:$X$3005,Z$5))))</f>
        <v/>
      </c>
      <c r="AA399" s="19">
        <f>IF($A399="","",IF(COUNTIFS(請求記録!$B$6:$B$3005,$A399,請求記録!$X$6:$X$3005,AA$5,請求記録!$AD$6:$AD$3005,"保留中")&gt;0,"保留",IF(COUNTIFS(請求記録!$B$6:$B$3005,$A399,請求記録!$X$6:$X$3005,AA$5)=0,"",SUMIFS(請求記録!$AC$6:$AC$3005,請求記録!$B$6:$B$3005,$A399,請求記録!$X$6:$X$3005,AA$5))))</f>
        <v/>
      </c>
      <c r="AB399">
        <f>IF(職員マスタ!P399="保留中",職員マスタ!M399,"")</f>
        <v/>
      </c>
    </row>
    <row r="400">
      <c r="A400">
        <f>IF(職員マスタ!A400="","",職員マスタ!A400)</f>
        <v/>
      </c>
      <c r="B400">
        <f>IF($A400="","",職員マスタ!B400)</f>
        <v/>
      </c>
      <c r="C400">
        <f>IF($A400="","",職員マスタ!C400)</f>
        <v/>
      </c>
      <c r="D400" s="19">
        <f>IF($A400="","",IF(COUNTIFS(請求記録!$B$6:$B$3005,$A400,請求記録!$X$6:$X$3005,D$5,請求記録!$AD$6:$AD$3005,"保留中")&gt;0,"保留",IF(COUNTIFS(請求記録!$B$6:$B$3005,$A400,請求記録!$X$6:$X$3005,D$5)=0,"",SUMIFS(請求記録!$AC$6:$AC$3005,請求記録!$B$6:$B$3005,$A400,請求記録!$X$6:$X$3005,D$5))))</f>
        <v/>
      </c>
      <c r="E400" s="19">
        <f>IF($A400="","",IF(COUNTIFS(請求記録!$B$6:$B$3005,$A400,請求記録!$X$6:$X$3005,E$5,請求記録!$AD$6:$AD$3005,"保留中")&gt;0,"保留",IF(COUNTIFS(請求記録!$B$6:$B$3005,$A400,請求記録!$X$6:$X$3005,E$5)=0,"",SUMIFS(請求記録!$AC$6:$AC$3005,請求記録!$B$6:$B$3005,$A400,請求記録!$X$6:$X$3005,E$5))))</f>
        <v/>
      </c>
      <c r="F400" s="19">
        <f>IF($A400="","",IF(COUNTIFS(請求記録!$B$6:$B$3005,$A400,請求記録!$X$6:$X$3005,F$5,請求記録!$AD$6:$AD$3005,"保留中")&gt;0,"保留",IF(COUNTIFS(請求記録!$B$6:$B$3005,$A400,請求記録!$X$6:$X$3005,F$5)=0,"",SUMIFS(請求記録!$AC$6:$AC$3005,請求記録!$B$6:$B$3005,$A400,請求記録!$X$6:$X$3005,F$5))))</f>
        <v/>
      </c>
      <c r="G400" s="19">
        <f>IF($A400="","",IF(COUNTIFS(請求記録!$B$6:$B$3005,$A400,請求記録!$X$6:$X$3005,G$5,請求記録!$AD$6:$AD$3005,"保留中")&gt;0,"保留",IF(COUNTIFS(請求記録!$B$6:$B$3005,$A400,請求記録!$X$6:$X$3005,G$5)=0,"",SUMIFS(請求記録!$AC$6:$AC$3005,請求記録!$B$6:$B$3005,$A400,請求記録!$X$6:$X$3005,G$5))))</f>
        <v/>
      </c>
      <c r="H400" s="19">
        <f>IF($A400="","",IF(COUNTIFS(請求記録!$B$6:$B$3005,$A400,請求記録!$X$6:$X$3005,H$5,請求記録!$AD$6:$AD$3005,"保留中")&gt;0,"保留",IF(COUNTIFS(請求記録!$B$6:$B$3005,$A400,請求記録!$X$6:$X$3005,H$5)=0,"",SUMIFS(請求記録!$AC$6:$AC$3005,請求記録!$B$6:$B$3005,$A400,請求記録!$X$6:$X$3005,H$5))))</f>
        <v/>
      </c>
      <c r="I400" s="19">
        <f>IF($A400="","",IF(COUNTIFS(請求記録!$B$6:$B$3005,$A400,請求記録!$X$6:$X$3005,I$5,請求記録!$AD$6:$AD$3005,"保留中")&gt;0,"保留",IF(COUNTIFS(請求記録!$B$6:$B$3005,$A400,請求記録!$X$6:$X$3005,I$5)=0,"",SUMIFS(請求記録!$AC$6:$AC$3005,請求記録!$B$6:$B$3005,$A400,請求記録!$X$6:$X$3005,I$5))))</f>
        <v/>
      </c>
      <c r="J400" s="19">
        <f>IF($A400="","",IF(COUNTIFS(請求記録!$B$6:$B$3005,$A400,請求記録!$X$6:$X$3005,J$5,請求記録!$AD$6:$AD$3005,"保留中")&gt;0,"保留",IF(COUNTIFS(請求記録!$B$6:$B$3005,$A400,請求記録!$X$6:$X$3005,J$5)=0,"",SUMIFS(請求記録!$AC$6:$AC$3005,請求記録!$B$6:$B$3005,$A400,請求記録!$X$6:$X$3005,J$5))))</f>
        <v/>
      </c>
      <c r="K400" s="19">
        <f>IF($A400="","",IF(COUNTIFS(請求記録!$B$6:$B$3005,$A400,請求記録!$X$6:$X$3005,K$5,請求記録!$AD$6:$AD$3005,"保留中")&gt;0,"保留",IF(COUNTIFS(請求記録!$B$6:$B$3005,$A400,請求記録!$X$6:$X$3005,K$5)=0,"",SUMIFS(請求記録!$AC$6:$AC$3005,請求記録!$B$6:$B$3005,$A400,請求記録!$X$6:$X$3005,K$5))))</f>
        <v/>
      </c>
      <c r="L400" s="19">
        <f>IF($A400="","",IF(COUNTIFS(請求記録!$B$6:$B$3005,$A400,請求記録!$X$6:$X$3005,L$5,請求記録!$AD$6:$AD$3005,"保留中")&gt;0,"保留",IF(COUNTIFS(請求記録!$B$6:$B$3005,$A400,請求記録!$X$6:$X$3005,L$5)=0,"",SUMIFS(請求記録!$AC$6:$AC$3005,請求記録!$B$6:$B$3005,$A400,請求記録!$X$6:$X$3005,L$5))))</f>
        <v/>
      </c>
      <c r="M400" s="19">
        <f>IF($A400="","",IF(COUNTIFS(請求記録!$B$6:$B$3005,$A400,請求記録!$X$6:$X$3005,M$5,請求記録!$AD$6:$AD$3005,"保留中")&gt;0,"保留",IF(COUNTIFS(請求記録!$B$6:$B$3005,$A400,請求記録!$X$6:$X$3005,M$5)=0,"",SUMIFS(請求記録!$AC$6:$AC$3005,請求記録!$B$6:$B$3005,$A400,請求記録!$X$6:$X$3005,M$5))))</f>
        <v/>
      </c>
      <c r="N400" s="19">
        <f>IF($A400="","",IF(COUNTIFS(請求記録!$B$6:$B$3005,$A400,請求記録!$X$6:$X$3005,N$5,請求記録!$AD$6:$AD$3005,"保留中")&gt;0,"保留",IF(COUNTIFS(請求記録!$B$6:$B$3005,$A400,請求記録!$X$6:$X$3005,N$5)=0,"",SUMIFS(請求記録!$AC$6:$AC$3005,請求記録!$B$6:$B$3005,$A400,請求記録!$X$6:$X$3005,N$5))))</f>
        <v/>
      </c>
      <c r="O400" s="19">
        <f>IF($A400="","",IF(COUNTIFS(請求記録!$B$6:$B$3005,$A400,請求記録!$X$6:$X$3005,O$5,請求記録!$AD$6:$AD$3005,"保留中")&gt;0,"保留",IF(COUNTIFS(請求記録!$B$6:$B$3005,$A400,請求記録!$X$6:$X$3005,O$5)=0,"",SUMIFS(請求記録!$AC$6:$AC$3005,請求記録!$B$6:$B$3005,$A400,請求記録!$X$6:$X$3005,O$5))))</f>
        <v/>
      </c>
      <c r="P400" s="19">
        <f>IF($A400="","",IF(COUNTIFS(請求記録!$B$6:$B$3005,$A400,請求記録!$X$6:$X$3005,P$5,請求記録!$AD$6:$AD$3005,"保留中")&gt;0,"保留",IF(COUNTIFS(請求記録!$B$6:$B$3005,$A400,請求記録!$X$6:$X$3005,P$5)=0,"",SUMIFS(請求記録!$AC$6:$AC$3005,請求記録!$B$6:$B$3005,$A400,請求記録!$X$6:$X$3005,P$5))))</f>
        <v/>
      </c>
      <c r="Q400" s="19">
        <f>IF($A400="","",IF(COUNTIFS(請求記録!$B$6:$B$3005,$A400,請求記録!$X$6:$X$3005,Q$5,請求記録!$AD$6:$AD$3005,"保留中")&gt;0,"保留",IF(COUNTIFS(請求記録!$B$6:$B$3005,$A400,請求記録!$X$6:$X$3005,Q$5)=0,"",SUMIFS(請求記録!$AC$6:$AC$3005,請求記録!$B$6:$B$3005,$A400,請求記録!$X$6:$X$3005,Q$5))))</f>
        <v/>
      </c>
      <c r="R400" s="19">
        <f>IF($A400="","",IF(COUNTIFS(請求記録!$B$6:$B$3005,$A400,請求記録!$X$6:$X$3005,R$5,請求記録!$AD$6:$AD$3005,"保留中")&gt;0,"保留",IF(COUNTIFS(請求記録!$B$6:$B$3005,$A400,請求記録!$X$6:$X$3005,R$5)=0,"",SUMIFS(請求記録!$AC$6:$AC$3005,請求記録!$B$6:$B$3005,$A400,請求記録!$X$6:$X$3005,R$5))))</f>
        <v/>
      </c>
      <c r="S400" s="19">
        <f>IF($A400="","",IF(COUNTIFS(請求記録!$B$6:$B$3005,$A400,請求記録!$X$6:$X$3005,S$5,請求記録!$AD$6:$AD$3005,"保留中")&gt;0,"保留",IF(COUNTIFS(請求記録!$B$6:$B$3005,$A400,請求記録!$X$6:$X$3005,S$5)=0,"",SUMIFS(請求記録!$AC$6:$AC$3005,請求記録!$B$6:$B$3005,$A400,請求記録!$X$6:$X$3005,S$5))))</f>
        <v/>
      </c>
      <c r="T400" s="19">
        <f>IF($A400="","",IF(COUNTIFS(請求記録!$B$6:$B$3005,$A400,請求記録!$X$6:$X$3005,T$5,請求記録!$AD$6:$AD$3005,"保留中")&gt;0,"保留",IF(COUNTIFS(請求記録!$B$6:$B$3005,$A400,請求記録!$X$6:$X$3005,T$5)=0,"",SUMIFS(請求記録!$AC$6:$AC$3005,請求記録!$B$6:$B$3005,$A400,請求記録!$X$6:$X$3005,T$5))))</f>
        <v/>
      </c>
      <c r="U400" s="19">
        <f>IF($A400="","",IF(COUNTIFS(請求記録!$B$6:$B$3005,$A400,請求記録!$X$6:$X$3005,U$5,請求記録!$AD$6:$AD$3005,"保留中")&gt;0,"保留",IF(COUNTIFS(請求記録!$B$6:$B$3005,$A400,請求記録!$X$6:$X$3005,U$5)=0,"",SUMIFS(請求記録!$AC$6:$AC$3005,請求記録!$B$6:$B$3005,$A400,請求記録!$X$6:$X$3005,U$5))))</f>
        <v/>
      </c>
      <c r="V400" s="19">
        <f>IF($A400="","",IF(COUNTIFS(請求記録!$B$6:$B$3005,$A400,請求記録!$X$6:$X$3005,V$5,請求記録!$AD$6:$AD$3005,"保留中")&gt;0,"保留",IF(COUNTIFS(請求記録!$B$6:$B$3005,$A400,請求記録!$X$6:$X$3005,V$5)=0,"",SUMIFS(請求記録!$AC$6:$AC$3005,請求記録!$B$6:$B$3005,$A400,請求記録!$X$6:$X$3005,V$5))))</f>
        <v/>
      </c>
      <c r="W400" s="19">
        <f>IF($A400="","",IF(COUNTIFS(請求記録!$B$6:$B$3005,$A400,請求記録!$X$6:$X$3005,W$5,請求記録!$AD$6:$AD$3005,"保留中")&gt;0,"保留",IF(COUNTIFS(請求記録!$B$6:$B$3005,$A400,請求記録!$X$6:$X$3005,W$5)=0,"",SUMIFS(請求記録!$AC$6:$AC$3005,請求記録!$B$6:$B$3005,$A400,請求記録!$X$6:$X$3005,W$5))))</f>
        <v/>
      </c>
      <c r="X400" s="19">
        <f>IF($A400="","",IF(COUNTIFS(請求記録!$B$6:$B$3005,$A400,請求記録!$X$6:$X$3005,X$5,請求記録!$AD$6:$AD$3005,"保留中")&gt;0,"保留",IF(COUNTIFS(請求記録!$B$6:$B$3005,$A400,請求記録!$X$6:$X$3005,X$5)=0,"",SUMIFS(請求記録!$AC$6:$AC$3005,請求記録!$B$6:$B$3005,$A400,請求記録!$X$6:$X$3005,X$5))))</f>
        <v/>
      </c>
      <c r="Y400" s="19">
        <f>IF($A400="","",IF(COUNTIFS(請求記録!$B$6:$B$3005,$A400,請求記録!$X$6:$X$3005,Y$5,請求記録!$AD$6:$AD$3005,"保留中")&gt;0,"保留",IF(COUNTIFS(請求記録!$B$6:$B$3005,$A400,請求記録!$X$6:$X$3005,Y$5)=0,"",SUMIFS(請求記録!$AC$6:$AC$3005,請求記録!$B$6:$B$3005,$A400,請求記録!$X$6:$X$3005,Y$5))))</f>
        <v/>
      </c>
      <c r="Z400" s="19">
        <f>IF($A400="","",IF(COUNTIFS(請求記録!$B$6:$B$3005,$A400,請求記録!$X$6:$X$3005,Z$5,請求記録!$AD$6:$AD$3005,"保留中")&gt;0,"保留",IF(COUNTIFS(請求記録!$B$6:$B$3005,$A400,請求記録!$X$6:$X$3005,Z$5)=0,"",SUMIFS(請求記録!$AC$6:$AC$3005,請求記録!$B$6:$B$3005,$A400,請求記録!$X$6:$X$3005,Z$5))))</f>
        <v/>
      </c>
      <c r="AA400" s="19">
        <f>IF($A400="","",IF(COUNTIFS(請求記録!$B$6:$B$3005,$A400,請求記録!$X$6:$X$3005,AA$5,請求記録!$AD$6:$AD$3005,"保留中")&gt;0,"保留",IF(COUNTIFS(請求記録!$B$6:$B$3005,$A400,請求記録!$X$6:$X$3005,AA$5)=0,"",SUMIFS(請求記録!$AC$6:$AC$3005,請求記録!$B$6:$B$3005,$A400,請求記録!$X$6:$X$3005,AA$5))))</f>
        <v/>
      </c>
      <c r="AB400">
        <f>IF(職員マスタ!P400="保留中",職員マスタ!M400,"")</f>
        <v/>
      </c>
    </row>
    <row r="401">
      <c r="A401">
        <f>IF(職員マスタ!A401="","",職員マスタ!A401)</f>
        <v/>
      </c>
      <c r="B401">
        <f>IF($A401="","",職員マスタ!B401)</f>
        <v/>
      </c>
      <c r="C401">
        <f>IF($A401="","",職員マスタ!C401)</f>
        <v/>
      </c>
      <c r="D401" s="19">
        <f>IF($A401="","",IF(COUNTIFS(請求記録!$B$6:$B$3005,$A401,請求記録!$X$6:$X$3005,D$5,請求記録!$AD$6:$AD$3005,"保留中")&gt;0,"保留",IF(COUNTIFS(請求記録!$B$6:$B$3005,$A401,請求記録!$X$6:$X$3005,D$5)=0,"",SUMIFS(請求記録!$AC$6:$AC$3005,請求記録!$B$6:$B$3005,$A401,請求記録!$X$6:$X$3005,D$5))))</f>
        <v/>
      </c>
      <c r="E401" s="19">
        <f>IF($A401="","",IF(COUNTIFS(請求記録!$B$6:$B$3005,$A401,請求記録!$X$6:$X$3005,E$5,請求記録!$AD$6:$AD$3005,"保留中")&gt;0,"保留",IF(COUNTIFS(請求記録!$B$6:$B$3005,$A401,請求記録!$X$6:$X$3005,E$5)=0,"",SUMIFS(請求記録!$AC$6:$AC$3005,請求記録!$B$6:$B$3005,$A401,請求記録!$X$6:$X$3005,E$5))))</f>
        <v/>
      </c>
      <c r="F401" s="19">
        <f>IF($A401="","",IF(COUNTIFS(請求記録!$B$6:$B$3005,$A401,請求記録!$X$6:$X$3005,F$5,請求記録!$AD$6:$AD$3005,"保留中")&gt;0,"保留",IF(COUNTIFS(請求記録!$B$6:$B$3005,$A401,請求記録!$X$6:$X$3005,F$5)=0,"",SUMIFS(請求記録!$AC$6:$AC$3005,請求記録!$B$6:$B$3005,$A401,請求記録!$X$6:$X$3005,F$5))))</f>
        <v/>
      </c>
      <c r="G401" s="19">
        <f>IF($A401="","",IF(COUNTIFS(請求記録!$B$6:$B$3005,$A401,請求記録!$X$6:$X$3005,G$5,請求記録!$AD$6:$AD$3005,"保留中")&gt;0,"保留",IF(COUNTIFS(請求記録!$B$6:$B$3005,$A401,請求記録!$X$6:$X$3005,G$5)=0,"",SUMIFS(請求記録!$AC$6:$AC$3005,請求記録!$B$6:$B$3005,$A401,請求記録!$X$6:$X$3005,G$5))))</f>
        <v/>
      </c>
      <c r="H401" s="19">
        <f>IF($A401="","",IF(COUNTIFS(請求記録!$B$6:$B$3005,$A401,請求記録!$X$6:$X$3005,H$5,請求記録!$AD$6:$AD$3005,"保留中")&gt;0,"保留",IF(COUNTIFS(請求記録!$B$6:$B$3005,$A401,請求記録!$X$6:$X$3005,H$5)=0,"",SUMIFS(請求記録!$AC$6:$AC$3005,請求記録!$B$6:$B$3005,$A401,請求記録!$X$6:$X$3005,H$5))))</f>
        <v/>
      </c>
      <c r="I401" s="19">
        <f>IF($A401="","",IF(COUNTIFS(請求記録!$B$6:$B$3005,$A401,請求記録!$X$6:$X$3005,I$5,請求記録!$AD$6:$AD$3005,"保留中")&gt;0,"保留",IF(COUNTIFS(請求記録!$B$6:$B$3005,$A401,請求記録!$X$6:$X$3005,I$5)=0,"",SUMIFS(請求記録!$AC$6:$AC$3005,請求記録!$B$6:$B$3005,$A401,請求記録!$X$6:$X$3005,I$5))))</f>
        <v/>
      </c>
      <c r="J401" s="19">
        <f>IF($A401="","",IF(COUNTIFS(請求記録!$B$6:$B$3005,$A401,請求記録!$X$6:$X$3005,J$5,請求記録!$AD$6:$AD$3005,"保留中")&gt;0,"保留",IF(COUNTIFS(請求記録!$B$6:$B$3005,$A401,請求記録!$X$6:$X$3005,J$5)=0,"",SUMIFS(請求記録!$AC$6:$AC$3005,請求記録!$B$6:$B$3005,$A401,請求記録!$X$6:$X$3005,J$5))))</f>
        <v/>
      </c>
      <c r="K401" s="19">
        <f>IF($A401="","",IF(COUNTIFS(請求記録!$B$6:$B$3005,$A401,請求記録!$X$6:$X$3005,K$5,請求記録!$AD$6:$AD$3005,"保留中")&gt;0,"保留",IF(COUNTIFS(請求記録!$B$6:$B$3005,$A401,請求記録!$X$6:$X$3005,K$5)=0,"",SUMIFS(請求記録!$AC$6:$AC$3005,請求記録!$B$6:$B$3005,$A401,請求記録!$X$6:$X$3005,K$5))))</f>
        <v/>
      </c>
      <c r="L401" s="19">
        <f>IF($A401="","",IF(COUNTIFS(請求記録!$B$6:$B$3005,$A401,請求記録!$X$6:$X$3005,L$5,請求記録!$AD$6:$AD$3005,"保留中")&gt;0,"保留",IF(COUNTIFS(請求記録!$B$6:$B$3005,$A401,請求記録!$X$6:$X$3005,L$5)=0,"",SUMIFS(請求記録!$AC$6:$AC$3005,請求記録!$B$6:$B$3005,$A401,請求記録!$X$6:$X$3005,L$5))))</f>
        <v/>
      </c>
      <c r="M401" s="19">
        <f>IF($A401="","",IF(COUNTIFS(請求記録!$B$6:$B$3005,$A401,請求記録!$X$6:$X$3005,M$5,請求記録!$AD$6:$AD$3005,"保留中")&gt;0,"保留",IF(COUNTIFS(請求記録!$B$6:$B$3005,$A401,請求記録!$X$6:$X$3005,M$5)=0,"",SUMIFS(請求記録!$AC$6:$AC$3005,請求記録!$B$6:$B$3005,$A401,請求記録!$X$6:$X$3005,M$5))))</f>
        <v/>
      </c>
      <c r="N401" s="19">
        <f>IF($A401="","",IF(COUNTIFS(請求記録!$B$6:$B$3005,$A401,請求記録!$X$6:$X$3005,N$5,請求記録!$AD$6:$AD$3005,"保留中")&gt;0,"保留",IF(COUNTIFS(請求記録!$B$6:$B$3005,$A401,請求記録!$X$6:$X$3005,N$5)=0,"",SUMIFS(請求記録!$AC$6:$AC$3005,請求記録!$B$6:$B$3005,$A401,請求記録!$X$6:$X$3005,N$5))))</f>
        <v/>
      </c>
      <c r="O401" s="19">
        <f>IF($A401="","",IF(COUNTIFS(請求記録!$B$6:$B$3005,$A401,請求記録!$X$6:$X$3005,O$5,請求記録!$AD$6:$AD$3005,"保留中")&gt;0,"保留",IF(COUNTIFS(請求記録!$B$6:$B$3005,$A401,請求記録!$X$6:$X$3005,O$5)=0,"",SUMIFS(請求記録!$AC$6:$AC$3005,請求記録!$B$6:$B$3005,$A401,請求記録!$X$6:$X$3005,O$5))))</f>
        <v/>
      </c>
      <c r="P401" s="19">
        <f>IF($A401="","",IF(COUNTIFS(請求記録!$B$6:$B$3005,$A401,請求記録!$X$6:$X$3005,P$5,請求記録!$AD$6:$AD$3005,"保留中")&gt;0,"保留",IF(COUNTIFS(請求記録!$B$6:$B$3005,$A401,請求記録!$X$6:$X$3005,P$5)=0,"",SUMIFS(請求記録!$AC$6:$AC$3005,請求記録!$B$6:$B$3005,$A401,請求記録!$X$6:$X$3005,P$5))))</f>
        <v/>
      </c>
      <c r="Q401" s="19">
        <f>IF($A401="","",IF(COUNTIFS(請求記録!$B$6:$B$3005,$A401,請求記録!$X$6:$X$3005,Q$5,請求記録!$AD$6:$AD$3005,"保留中")&gt;0,"保留",IF(COUNTIFS(請求記録!$B$6:$B$3005,$A401,請求記録!$X$6:$X$3005,Q$5)=0,"",SUMIFS(請求記録!$AC$6:$AC$3005,請求記録!$B$6:$B$3005,$A401,請求記録!$X$6:$X$3005,Q$5))))</f>
        <v/>
      </c>
      <c r="R401" s="19">
        <f>IF($A401="","",IF(COUNTIFS(請求記録!$B$6:$B$3005,$A401,請求記録!$X$6:$X$3005,R$5,請求記録!$AD$6:$AD$3005,"保留中")&gt;0,"保留",IF(COUNTIFS(請求記録!$B$6:$B$3005,$A401,請求記録!$X$6:$X$3005,R$5)=0,"",SUMIFS(請求記録!$AC$6:$AC$3005,請求記録!$B$6:$B$3005,$A401,請求記録!$X$6:$X$3005,R$5))))</f>
        <v/>
      </c>
      <c r="S401" s="19">
        <f>IF($A401="","",IF(COUNTIFS(請求記録!$B$6:$B$3005,$A401,請求記録!$X$6:$X$3005,S$5,請求記録!$AD$6:$AD$3005,"保留中")&gt;0,"保留",IF(COUNTIFS(請求記録!$B$6:$B$3005,$A401,請求記録!$X$6:$X$3005,S$5)=0,"",SUMIFS(請求記録!$AC$6:$AC$3005,請求記録!$B$6:$B$3005,$A401,請求記録!$X$6:$X$3005,S$5))))</f>
        <v/>
      </c>
      <c r="T401" s="19">
        <f>IF($A401="","",IF(COUNTIFS(請求記録!$B$6:$B$3005,$A401,請求記録!$X$6:$X$3005,T$5,請求記録!$AD$6:$AD$3005,"保留中")&gt;0,"保留",IF(COUNTIFS(請求記録!$B$6:$B$3005,$A401,請求記録!$X$6:$X$3005,T$5)=0,"",SUMIFS(請求記録!$AC$6:$AC$3005,請求記録!$B$6:$B$3005,$A401,請求記録!$X$6:$X$3005,T$5))))</f>
        <v/>
      </c>
      <c r="U401" s="19">
        <f>IF($A401="","",IF(COUNTIFS(請求記録!$B$6:$B$3005,$A401,請求記録!$X$6:$X$3005,U$5,請求記録!$AD$6:$AD$3005,"保留中")&gt;0,"保留",IF(COUNTIFS(請求記録!$B$6:$B$3005,$A401,請求記録!$X$6:$X$3005,U$5)=0,"",SUMIFS(請求記録!$AC$6:$AC$3005,請求記録!$B$6:$B$3005,$A401,請求記録!$X$6:$X$3005,U$5))))</f>
        <v/>
      </c>
      <c r="V401" s="19">
        <f>IF($A401="","",IF(COUNTIFS(請求記録!$B$6:$B$3005,$A401,請求記録!$X$6:$X$3005,V$5,請求記録!$AD$6:$AD$3005,"保留中")&gt;0,"保留",IF(COUNTIFS(請求記録!$B$6:$B$3005,$A401,請求記録!$X$6:$X$3005,V$5)=0,"",SUMIFS(請求記録!$AC$6:$AC$3005,請求記録!$B$6:$B$3005,$A401,請求記録!$X$6:$X$3005,V$5))))</f>
        <v/>
      </c>
      <c r="W401" s="19">
        <f>IF($A401="","",IF(COUNTIFS(請求記録!$B$6:$B$3005,$A401,請求記録!$X$6:$X$3005,W$5,請求記録!$AD$6:$AD$3005,"保留中")&gt;0,"保留",IF(COUNTIFS(請求記録!$B$6:$B$3005,$A401,請求記録!$X$6:$X$3005,W$5)=0,"",SUMIFS(請求記録!$AC$6:$AC$3005,請求記録!$B$6:$B$3005,$A401,請求記録!$X$6:$X$3005,W$5))))</f>
        <v/>
      </c>
      <c r="X401" s="19">
        <f>IF($A401="","",IF(COUNTIFS(請求記録!$B$6:$B$3005,$A401,請求記録!$X$6:$X$3005,X$5,請求記録!$AD$6:$AD$3005,"保留中")&gt;0,"保留",IF(COUNTIFS(請求記録!$B$6:$B$3005,$A401,請求記録!$X$6:$X$3005,X$5)=0,"",SUMIFS(請求記録!$AC$6:$AC$3005,請求記録!$B$6:$B$3005,$A401,請求記録!$X$6:$X$3005,X$5))))</f>
        <v/>
      </c>
      <c r="Y401" s="19">
        <f>IF($A401="","",IF(COUNTIFS(請求記録!$B$6:$B$3005,$A401,請求記録!$X$6:$X$3005,Y$5,請求記録!$AD$6:$AD$3005,"保留中")&gt;0,"保留",IF(COUNTIFS(請求記録!$B$6:$B$3005,$A401,請求記録!$X$6:$X$3005,Y$5)=0,"",SUMIFS(請求記録!$AC$6:$AC$3005,請求記録!$B$6:$B$3005,$A401,請求記録!$X$6:$X$3005,Y$5))))</f>
        <v/>
      </c>
      <c r="Z401" s="19">
        <f>IF($A401="","",IF(COUNTIFS(請求記録!$B$6:$B$3005,$A401,請求記録!$X$6:$X$3005,Z$5,請求記録!$AD$6:$AD$3005,"保留中")&gt;0,"保留",IF(COUNTIFS(請求記録!$B$6:$B$3005,$A401,請求記録!$X$6:$X$3005,Z$5)=0,"",SUMIFS(請求記録!$AC$6:$AC$3005,請求記録!$B$6:$B$3005,$A401,請求記録!$X$6:$X$3005,Z$5))))</f>
        <v/>
      </c>
      <c r="AA401" s="19">
        <f>IF($A401="","",IF(COUNTIFS(請求記録!$B$6:$B$3005,$A401,請求記録!$X$6:$X$3005,AA$5,請求記録!$AD$6:$AD$3005,"保留中")&gt;0,"保留",IF(COUNTIFS(請求記録!$B$6:$B$3005,$A401,請求記録!$X$6:$X$3005,AA$5)=0,"",SUMIFS(請求記録!$AC$6:$AC$3005,請求記録!$B$6:$B$3005,$A401,請求記録!$X$6:$X$3005,AA$5))))</f>
        <v/>
      </c>
      <c r="AB401">
        <f>IF(職員マスタ!P401="保留中",職員マスタ!M401,"")</f>
        <v/>
      </c>
    </row>
    <row r="402">
      <c r="A402">
        <f>IF(職員マスタ!A402="","",職員マスタ!A402)</f>
        <v/>
      </c>
      <c r="B402">
        <f>IF($A402="","",職員マスタ!B402)</f>
        <v/>
      </c>
      <c r="C402">
        <f>IF($A402="","",職員マスタ!C402)</f>
        <v/>
      </c>
      <c r="D402" s="19">
        <f>IF($A402="","",IF(COUNTIFS(請求記録!$B$6:$B$3005,$A402,請求記録!$X$6:$X$3005,D$5,請求記録!$AD$6:$AD$3005,"保留中")&gt;0,"保留",IF(COUNTIFS(請求記録!$B$6:$B$3005,$A402,請求記録!$X$6:$X$3005,D$5)=0,"",SUMIFS(請求記録!$AC$6:$AC$3005,請求記録!$B$6:$B$3005,$A402,請求記録!$X$6:$X$3005,D$5))))</f>
        <v/>
      </c>
      <c r="E402" s="19">
        <f>IF($A402="","",IF(COUNTIFS(請求記録!$B$6:$B$3005,$A402,請求記録!$X$6:$X$3005,E$5,請求記録!$AD$6:$AD$3005,"保留中")&gt;0,"保留",IF(COUNTIFS(請求記録!$B$6:$B$3005,$A402,請求記録!$X$6:$X$3005,E$5)=0,"",SUMIFS(請求記録!$AC$6:$AC$3005,請求記録!$B$6:$B$3005,$A402,請求記録!$X$6:$X$3005,E$5))))</f>
        <v/>
      </c>
      <c r="F402" s="19">
        <f>IF($A402="","",IF(COUNTIFS(請求記録!$B$6:$B$3005,$A402,請求記録!$X$6:$X$3005,F$5,請求記録!$AD$6:$AD$3005,"保留中")&gt;0,"保留",IF(COUNTIFS(請求記録!$B$6:$B$3005,$A402,請求記録!$X$6:$X$3005,F$5)=0,"",SUMIFS(請求記録!$AC$6:$AC$3005,請求記録!$B$6:$B$3005,$A402,請求記録!$X$6:$X$3005,F$5))))</f>
        <v/>
      </c>
      <c r="G402" s="19">
        <f>IF($A402="","",IF(COUNTIFS(請求記録!$B$6:$B$3005,$A402,請求記録!$X$6:$X$3005,G$5,請求記録!$AD$6:$AD$3005,"保留中")&gt;0,"保留",IF(COUNTIFS(請求記録!$B$6:$B$3005,$A402,請求記録!$X$6:$X$3005,G$5)=0,"",SUMIFS(請求記録!$AC$6:$AC$3005,請求記録!$B$6:$B$3005,$A402,請求記録!$X$6:$X$3005,G$5))))</f>
        <v/>
      </c>
      <c r="H402" s="19">
        <f>IF($A402="","",IF(COUNTIFS(請求記録!$B$6:$B$3005,$A402,請求記録!$X$6:$X$3005,H$5,請求記録!$AD$6:$AD$3005,"保留中")&gt;0,"保留",IF(COUNTIFS(請求記録!$B$6:$B$3005,$A402,請求記録!$X$6:$X$3005,H$5)=0,"",SUMIFS(請求記録!$AC$6:$AC$3005,請求記録!$B$6:$B$3005,$A402,請求記録!$X$6:$X$3005,H$5))))</f>
        <v/>
      </c>
      <c r="I402" s="19">
        <f>IF($A402="","",IF(COUNTIFS(請求記録!$B$6:$B$3005,$A402,請求記録!$X$6:$X$3005,I$5,請求記録!$AD$6:$AD$3005,"保留中")&gt;0,"保留",IF(COUNTIFS(請求記録!$B$6:$B$3005,$A402,請求記録!$X$6:$X$3005,I$5)=0,"",SUMIFS(請求記録!$AC$6:$AC$3005,請求記録!$B$6:$B$3005,$A402,請求記録!$X$6:$X$3005,I$5))))</f>
        <v/>
      </c>
      <c r="J402" s="19">
        <f>IF($A402="","",IF(COUNTIFS(請求記録!$B$6:$B$3005,$A402,請求記録!$X$6:$X$3005,J$5,請求記録!$AD$6:$AD$3005,"保留中")&gt;0,"保留",IF(COUNTIFS(請求記録!$B$6:$B$3005,$A402,請求記録!$X$6:$X$3005,J$5)=0,"",SUMIFS(請求記録!$AC$6:$AC$3005,請求記録!$B$6:$B$3005,$A402,請求記録!$X$6:$X$3005,J$5))))</f>
        <v/>
      </c>
      <c r="K402" s="19">
        <f>IF($A402="","",IF(COUNTIFS(請求記録!$B$6:$B$3005,$A402,請求記録!$X$6:$X$3005,K$5,請求記録!$AD$6:$AD$3005,"保留中")&gt;0,"保留",IF(COUNTIFS(請求記録!$B$6:$B$3005,$A402,請求記録!$X$6:$X$3005,K$5)=0,"",SUMIFS(請求記録!$AC$6:$AC$3005,請求記録!$B$6:$B$3005,$A402,請求記録!$X$6:$X$3005,K$5))))</f>
        <v/>
      </c>
      <c r="L402" s="19">
        <f>IF($A402="","",IF(COUNTIFS(請求記録!$B$6:$B$3005,$A402,請求記録!$X$6:$X$3005,L$5,請求記録!$AD$6:$AD$3005,"保留中")&gt;0,"保留",IF(COUNTIFS(請求記録!$B$6:$B$3005,$A402,請求記録!$X$6:$X$3005,L$5)=0,"",SUMIFS(請求記録!$AC$6:$AC$3005,請求記録!$B$6:$B$3005,$A402,請求記録!$X$6:$X$3005,L$5))))</f>
        <v/>
      </c>
      <c r="M402" s="19">
        <f>IF($A402="","",IF(COUNTIFS(請求記録!$B$6:$B$3005,$A402,請求記録!$X$6:$X$3005,M$5,請求記録!$AD$6:$AD$3005,"保留中")&gt;0,"保留",IF(COUNTIFS(請求記録!$B$6:$B$3005,$A402,請求記録!$X$6:$X$3005,M$5)=0,"",SUMIFS(請求記録!$AC$6:$AC$3005,請求記録!$B$6:$B$3005,$A402,請求記録!$X$6:$X$3005,M$5))))</f>
        <v/>
      </c>
      <c r="N402" s="19">
        <f>IF($A402="","",IF(COUNTIFS(請求記録!$B$6:$B$3005,$A402,請求記録!$X$6:$X$3005,N$5,請求記録!$AD$6:$AD$3005,"保留中")&gt;0,"保留",IF(COUNTIFS(請求記録!$B$6:$B$3005,$A402,請求記録!$X$6:$X$3005,N$5)=0,"",SUMIFS(請求記録!$AC$6:$AC$3005,請求記録!$B$6:$B$3005,$A402,請求記録!$X$6:$X$3005,N$5))))</f>
        <v/>
      </c>
      <c r="O402" s="19">
        <f>IF($A402="","",IF(COUNTIFS(請求記録!$B$6:$B$3005,$A402,請求記録!$X$6:$X$3005,O$5,請求記録!$AD$6:$AD$3005,"保留中")&gt;0,"保留",IF(COUNTIFS(請求記録!$B$6:$B$3005,$A402,請求記録!$X$6:$X$3005,O$5)=0,"",SUMIFS(請求記録!$AC$6:$AC$3005,請求記録!$B$6:$B$3005,$A402,請求記録!$X$6:$X$3005,O$5))))</f>
        <v/>
      </c>
      <c r="P402" s="19">
        <f>IF($A402="","",IF(COUNTIFS(請求記録!$B$6:$B$3005,$A402,請求記録!$X$6:$X$3005,P$5,請求記録!$AD$6:$AD$3005,"保留中")&gt;0,"保留",IF(COUNTIFS(請求記録!$B$6:$B$3005,$A402,請求記録!$X$6:$X$3005,P$5)=0,"",SUMIFS(請求記録!$AC$6:$AC$3005,請求記録!$B$6:$B$3005,$A402,請求記録!$X$6:$X$3005,P$5))))</f>
        <v/>
      </c>
      <c r="Q402" s="19">
        <f>IF($A402="","",IF(COUNTIFS(請求記録!$B$6:$B$3005,$A402,請求記録!$X$6:$X$3005,Q$5,請求記録!$AD$6:$AD$3005,"保留中")&gt;0,"保留",IF(COUNTIFS(請求記録!$B$6:$B$3005,$A402,請求記録!$X$6:$X$3005,Q$5)=0,"",SUMIFS(請求記録!$AC$6:$AC$3005,請求記録!$B$6:$B$3005,$A402,請求記録!$X$6:$X$3005,Q$5))))</f>
        <v/>
      </c>
      <c r="R402" s="19">
        <f>IF($A402="","",IF(COUNTIFS(請求記録!$B$6:$B$3005,$A402,請求記録!$X$6:$X$3005,R$5,請求記録!$AD$6:$AD$3005,"保留中")&gt;0,"保留",IF(COUNTIFS(請求記録!$B$6:$B$3005,$A402,請求記録!$X$6:$X$3005,R$5)=0,"",SUMIFS(請求記録!$AC$6:$AC$3005,請求記録!$B$6:$B$3005,$A402,請求記録!$X$6:$X$3005,R$5))))</f>
        <v/>
      </c>
      <c r="S402" s="19">
        <f>IF($A402="","",IF(COUNTIFS(請求記録!$B$6:$B$3005,$A402,請求記録!$X$6:$X$3005,S$5,請求記録!$AD$6:$AD$3005,"保留中")&gt;0,"保留",IF(COUNTIFS(請求記録!$B$6:$B$3005,$A402,請求記録!$X$6:$X$3005,S$5)=0,"",SUMIFS(請求記録!$AC$6:$AC$3005,請求記録!$B$6:$B$3005,$A402,請求記録!$X$6:$X$3005,S$5))))</f>
        <v/>
      </c>
      <c r="T402" s="19">
        <f>IF($A402="","",IF(COUNTIFS(請求記録!$B$6:$B$3005,$A402,請求記録!$X$6:$X$3005,T$5,請求記録!$AD$6:$AD$3005,"保留中")&gt;0,"保留",IF(COUNTIFS(請求記録!$B$6:$B$3005,$A402,請求記録!$X$6:$X$3005,T$5)=0,"",SUMIFS(請求記録!$AC$6:$AC$3005,請求記録!$B$6:$B$3005,$A402,請求記録!$X$6:$X$3005,T$5))))</f>
        <v/>
      </c>
      <c r="U402" s="19">
        <f>IF($A402="","",IF(COUNTIFS(請求記録!$B$6:$B$3005,$A402,請求記録!$X$6:$X$3005,U$5,請求記録!$AD$6:$AD$3005,"保留中")&gt;0,"保留",IF(COUNTIFS(請求記録!$B$6:$B$3005,$A402,請求記録!$X$6:$X$3005,U$5)=0,"",SUMIFS(請求記録!$AC$6:$AC$3005,請求記録!$B$6:$B$3005,$A402,請求記録!$X$6:$X$3005,U$5))))</f>
        <v/>
      </c>
      <c r="V402" s="19">
        <f>IF($A402="","",IF(COUNTIFS(請求記録!$B$6:$B$3005,$A402,請求記録!$X$6:$X$3005,V$5,請求記録!$AD$6:$AD$3005,"保留中")&gt;0,"保留",IF(COUNTIFS(請求記録!$B$6:$B$3005,$A402,請求記録!$X$6:$X$3005,V$5)=0,"",SUMIFS(請求記録!$AC$6:$AC$3005,請求記録!$B$6:$B$3005,$A402,請求記録!$X$6:$X$3005,V$5))))</f>
        <v/>
      </c>
      <c r="W402" s="19">
        <f>IF($A402="","",IF(COUNTIFS(請求記録!$B$6:$B$3005,$A402,請求記録!$X$6:$X$3005,W$5,請求記録!$AD$6:$AD$3005,"保留中")&gt;0,"保留",IF(COUNTIFS(請求記録!$B$6:$B$3005,$A402,請求記録!$X$6:$X$3005,W$5)=0,"",SUMIFS(請求記録!$AC$6:$AC$3005,請求記録!$B$6:$B$3005,$A402,請求記録!$X$6:$X$3005,W$5))))</f>
        <v/>
      </c>
      <c r="X402" s="19">
        <f>IF($A402="","",IF(COUNTIFS(請求記録!$B$6:$B$3005,$A402,請求記録!$X$6:$X$3005,X$5,請求記録!$AD$6:$AD$3005,"保留中")&gt;0,"保留",IF(COUNTIFS(請求記録!$B$6:$B$3005,$A402,請求記録!$X$6:$X$3005,X$5)=0,"",SUMIFS(請求記録!$AC$6:$AC$3005,請求記録!$B$6:$B$3005,$A402,請求記録!$X$6:$X$3005,X$5))))</f>
        <v/>
      </c>
      <c r="Y402" s="19">
        <f>IF($A402="","",IF(COUNTIFS(請求記録!$B$6:$B$3005,$A402,請求記録!$X$6:$X$3005,Y$5,請求記録!$AD$6:$AD$3005,"保留中")&gt;0,"保留",IF(COUNTIFS(請求記録!$B$6:$B$3005,$A402,請求記録!$X$6:$X$3005,Y$5)=0,"",SUMIFS(請求記録!$AC$6:$AC$3005,請求記録!$B$6:$B$3005,$A402,請求記録!$X$6:$X$3005,Y$5))))</f>
        <v/>
      </c>
      <c r="Z402" s="19">
        <f>IF($A402="","",IF(COUNTIFS(請求記録!$B$6:$B$3005,$A402,請求記録!$X$6:$X$3005,Z$5,請求記録!$AD$6:$AD$3005,"保留中")&gt;0,"保留",IF(COUNTIFS(請求記録!$B$6:$B$3005,$A402,請求記録!$X$6:$X$3005,Z$5)=0,"",SUMIFS(請求記録!$AC$6:$AC$3005,請求記録!$B$6:$B$3005,$A402,請求記録!$X$6:$X$3005,Z$5))))</f>
        <v/>
      </c>
      <c r="AA402" s="19">
        <f>IF($A402="","",IF(COUNTIFS(請求記録!$B$6:$B$3005,$A402,請求記録!$X$6:$X$3005,AA$5,請求記録!$AD$6:$AD$3005,"保留中")&gt;0,"保留",IF(COUNTIFS(請求記録!$B$6:$B$3005,$A402,請求記録!$X$6:$X$3005,AA$5)=0,"",SUMIFS(請求記録!$AC$6:$AC$3005,請求記録!$B$6:$B$3005,$A402,請求記録!$X$6:$X$3005,AA$5))))</f>
        <v/>
      </c>
      <c r="AB402">
        <f>IF(職員マスタ!P402="保留中",職員マスタ!M402,"")</f>
        <v/>
      </c>
    </row>
    <row r="403">
      <c r="A403">
        <f>IF(職員マスタ!A403="","",職員マスタ!A403)</f>
        <v/>
      </c>
      <c r="B403">
        <f>IF($A403="","",職員マスタ!B403)</f>
        <v/>
      </c>
      <c r="C403">
        <f>IF($A403="","",職員マスタ!C403)</f>
        <v/>
      </c>
      <c r="D403" s="19">
        <f>IF($A403="","",IF(COUNTIFS(請求記録!$B$6:$B$3005,$A403,請求記録!$X$6:$X$3005,D$5,請求記録!$AD$6:$AD$3005,"保留中")&gt;0,"保留",IF(COUNTIFS(請求記録!$B$6:$B$3005,$A403,請求記録!$X$6:$X$3005,D$5)=0,"",SUMIFS(請求記録!$AC$6:$AC$3005,請求記録!$B$6:$B$3005,$A403,請求記録!$X$6:$X$3005,D$5))))</f>
        <v/>
      </c>
      <c r="E403" s="19">
        <f>IF($A403="","",IF(COUNTIFS(請求記録!$B$6:$B$3005,$A403,請求記録!$X$6:$X$3005,E$5,請求記録!$AD$6:$AD$3005,"保留中")&gt;0,"保留",IF(COUNTIFS(請求記録!$B$6:$B$3005,$A403,請求記録!$X$6:$X$3005,E$5)=0,"",SUMIFS(請求記録!$AC$6:$AC$3005,請求記録!$B$6:$B$3005,$A403,請求記録!$X$6:$X$3005,E$5))))</f>
        <v/>
      </c>
      <c r="F403" s="19">
        <f>IF($A403="","",IF(COUNTIFS(請求記録!$B$6:$B$3005,$A403,請求記録!$X$6:$X$3005,F$5,請求記録!$AD$6:$AD$3005,"保留中")&gt;0,"保留",IF(COUNTIFS(請求記録!$B$6:$B$3005,$A403,請求記録!$X$6:$X$3005,F$5)=0,"",SUMIFS(請求記録!$AC$6:$AC$3005,請求記録!$B$6:$B$3005,$A403,請求記録!$X$6:$X$3005,F$5))))</f>
        <v/>
      </c>
      <c r="G403" s="19">
        <f>IF($A403="","",IF(COUNTIFS(請求記録!$B$6:$B$3005,$A403,請求記録!$X$6:$X$3005,G$5,請求記録!$AD$6:$AD$3005,"保留中")&gt;0,"保留",IF(COUNTIFS(請求記録!$B$6:$B$3005,$A403,請求記録!$X$6:$X$3005,G$5)=0,"",SUMIFS(請求記録!$AC$6:$AC$3005,請求記録!$B$6:$B$3005,$A403,請求記録!$X$6:$X$3005,G$5))))</f>
        <v/>
      </c>
      <c r="H403" s="19">
        <f>IF($A403="","",IF(COUNTIFS(請求記録!$B$6:$B$3005,$A403,請求記録!$X$6:$X$3005,H$5,請求記録!$AD$6:$AD$3005,"保留中")&gt;0,"保留",IF(COUNTIFS(請求記録!$B$6:$B$3005,$A403,請求記録!$X$6:$X$3005,H$5)=0,"",SUMIFS(請求記録!$AC$6:$AC$3005,請求記録!$B$6:$B$3005,$A403,請求記録!$X$6:$X$3005,H$5))))</f>
        <v/>
      </c>
      <c r="I403" s="19">
        <f>IF($A403="","",IF(COUNTIFS(請求記録!$B$6:$B$3005,$A403,請求記録!$X$6:$X$3005,I$5,請求記録!$AD$6:$AD$3005,"保留中")&gt;0,"保留",IF(COUNTIFS(請求記録!$B$6:$B$3005,$A403,請求記録!$X$6:$X$3005,I$5)=0,"",SUMIFS(請求記録!$AC$6:$AC$3005,請求記録!$B$6:$B$3005,$A403,請求記録!$X$6:$X$3005,I$5))))</f>
        <v/>
      </c>
      <c r="J403" s="19">
        <f>IF($A403="","",IF(COUNTIFS(請求記録!$B$6:$B$3005,$A403,請求記録!$X$6:$X$3005,J$5,請求記録!$AD$6:$AD$3005,"保留中")&gt;0,"保留",IF(COUNTIFS(請求記録!$B$6:$B$3005,$A403,請求記録!$X$6:$X$3005,J$5)=0,"",SUMIFS(請求記録!$AC$6:$AC$3005,請求記録!$B$6:$B$3005,$A403,請求記録!$X$6:$X$3005,J$5))))</f>
        <v/>
      </c>
      <c r="K403" s="19">
        <f>IF($A403="","",IF(COUNTIFS(請求記録!$B$6:$B$3005,$A403,請求記録!$X$6:$X$3005,K$5,請求記録!$AD$6:$AD$3005,"保留中")&gt;0,"保留",IF(COUNTIFS(請求記録!$B$6:$B$3005,$A403,請求記録!$X$6:$X$3005,K$5)=0,"",SUMIFS(請求記録!$AC$6:$AC$3005,請求記録!$B$6:$B$3005,$A403,請求記録!$X$6:$X$3005,K$5))))</f>
        <v/>
      </c>
      <c r="L403" s="19">
        <f>IF($A403="","",IF(COUNTIFS(請求記録!$B$6:$B$3005,$A403,請求記録!$X$6:$X$3005,L$5,請求記録!$AD$6:$AD$3005,"保留中")&gt;0,"保留",IF(COUNTIFS(請求記録!$B$6:$B$3005,$A403,請求記録!$X$6:$X$3005,L$5)=0,"",SUMIFS(請求記録!$AC$6:$AC$3005,請求記録!$B$6:$B$3005,$A403,請求記録!$X$6:$X$3005,L$5))))</f>
        <v/>
      </c>
      <c r="M403" s="19">
        <f>IF($A403="","",IF(COUNTIFS(請求記録!$B$6:$B$3005,$A403,請求記録!$X$6:$X$3005,M$5,請求記録!$AD$6:$AD$3005,"保留中")&gt;0,"保留",IF(COUNTIFS(請求記録!$B$6:$B$3005,$A403,請求記録!$X$6:$X$3005,M$5)=0,"",SUMIFS(請求記録!$AC$6:$AC$3005,請求記録!$B$6:$B$3005,$A403,請求記録!$X$6:$X$3005,M$5))))</f>
        <v/>
      </c>
      <c r="N403" s="19">
        <f>IF($A403="","",IF(COUNTIFS(請求記録!$B$6:$B$3005,$A403,請求記録!$X$6:$X$3005,N$5,請求記録!$AD$6:$AD$3005,"保留中")&gt;0,"保留",IF(COUNTIFS(請求記録!$B$6:$B$3005,$A403,請求記録!$X$6:$X$3005,N$5)=0,"",SUMIFS(請求記録!$AC$6:$AC$3005,請求記録!$B$6:$B$3005,$A403,請求記録!$X$6:$X$3005,N$5))))</f>
        <v/>
      </c>
      <c r="O403" s="19">
        <f>IF($A403="","",IF(COUNTIFS(請求記録!$B$6:$B$3005,$A403,請求記録!$X$6:$X$3005,O$5,請求記録!$AD$6:$AD$3005,"保留中")&gt;0,"保留",IF(COUNTIFS(請求記録!$B$6:$B$3005,$A403,請求記録!$X$6:$X$3005,O$5)=0,"",SUMIFS(請求記録!$AC$6:$AC$3005,請求記録!$B$6:$B$3005,$A403,請求記録!$X$6:$X$3005,O$5))))</f>
        <v/>
      </c>
      <c r="P403" s="19">
        <f>IF($A403="","",IF(COUNTIFS(請求記録!$B$6:$B$3005,$A403,請求記録!$X$6:$X$3005,P$5,請求記録!$AD$6:$AD$3005,"保留中")&gt;0,"保留",IF(COUNTIFS(請求記録!$B$6:$B$3005,$A403,請求記録!$X$6:$X$3005,P$5)=0,"",SUMIFS(請求記録!$AC$6:$AC$3005,請求記録!$B$6:$B$3005,$A403,請求記録!$X$6:$X$3005,P$5))))</f>
        <v/>
      </c>
      <c r="Q403" s="19">
        <f>IF($A403="","",IF(COUNTIFS(請求記録!$B$6:$B$3005,$A403,請求記録!$X$6:$X$3005,Q$5,請求記録!$AD$6:$AD$3005,"保留中")&gt;0,"保留",IF(COUNTIFS(請求記録!$B$6:$B$3005,$A403,請求記録!$X$6:$X$3005,Q$5)=0,"",SUMIFS(請求記録!$AC$6:$AC$3005,請求記録!$B$6:$B$3005,$A403,請求記録!$X$6:$X$3005,Q$5))))</f>
        <v/>
      </c>
      <c r="R403" s="19">
        <f>IF($A403="","",IF(COUNTIFS(請求記録!$B$6:$B$3005,$A403,請求記録!$X$6:$X$3005,R$5,請求記録!$AD$6:$AD$3005,"保留中")&gt;0,"保留",IF(COUNTIFS(請求記録!$B$6:$B$3005,$A403,請求記録!$X$6:$X$3005,R$5)=0,"",SUMIFS(請求記録!$AC$6:$AC$3005,請求記録!$B$6:$B$3005,$A403,請求記録!$X$6:$X$3005,R$5))))</f>
        <v/>
      </c>
      <c r="S403" s="19">
        <f>IF($A403="","",IF(COUNTIFS(請求記録!$B$6:$B$3005,$A403,請求記録!$X$6:$X$3005,S$5,請求記録!$AD$6:$AD$3005,"保留中")&gt;0,"保留",IF(COUNTIFS(請求記録!$B$6:$B$3005,$A403,請求記録!$X$6:$X$3005,S$5)=0,"",SUMIFS(請求記録!$AC$6:$AC$3005,請求記録!$B$6:$B$3005,$A403,請求記録!$X$6:$X$3005,S$5))))</f>
        <v/>
      </c>
      <c r="T403" s="19">
        <f>IF($A403="","",IF(COUNTIFS(請求記録!$B$6:$B$3005,$A403,請求記録!$X$6:$X$3005,T$5,請求記録!$AD$6:$AD$3005,"保留中")&gt;0,"保留",IF(COUNTIFS(請求記録!$B$6:$B$3005,$A403,請求記録!$X$6:$X$3005,T$5)=0,"",SUMIFS(請求記録!$AC$6:$AC$3005,請求記録!$B$6:$B$3005,$A403,請求記録!$X$6:$X$3005,T$5))))</f>
        <v/>
      </c>
      <c r="U403" s="19">
        <f>IF($A403="","",IF(COUNTIFS(請求記録!$B$6:$B$3005,$A403,請求記録!$X$6:$X$3005,U$5,請求記録!$AD$6:$AD$3005,"保留中")&gt;0,"保留",IF(COUNTIFS(請求記録!$B$6:$B$3005,$A403,請求記録!$X$6:$X$3005,U$5)=0,"",SUMIFS(請求記録!$AC$6:$AC$3005,請求記録!$B$6:$B$3005,$A403,請求記録!$X$6:$X$3005,U$5))))</f>
        <v/>
      </c>
      <c r="V403" s="19">
        <f>IF($A403="","",IF(COUNTIFS(請求記録!$B$6:$B$3005,$A403,請求記録!$X$6:$X$3005,V$5,請求記録!$AD$6:$AD$3005,"保留中")&gt;0,"保留",IF(COUNTIFS(請求記録!$B$6:$B$3005,$A403,請求記録!$X$6:$X$3005,V$5)=0,"",SUMIFS(請求記録!$AC$6:$AC$3005,請求記録!$B$6:$B$3005,$A403,請求記録!$X$6:$X$3005,V$5))))</f>
        <v/>
      </c>
      <c r="W403" s="19">
        <f>IF($A403="","",IF(COUNTIFS(請求記録!$B$6:$B$3005,$A403,請求記録!$X$6:$X$3005,W$5,請求記録!$AD$6:$AD$3005,"保留中")&gt;0,"保留",IF(COUNTIFS(請求記録!$B$6:$B$3005,$A403,請求記録!$X$6:$X$3005,W$5)=0,"",SUMIFS(請求記録!$AC$6:$AC$3005,請求記録!$B$6:$B$3005,$A403,請求記録!$X$6:$X$3005,W$5))))</f>
        <v/>
      </c>
      <c r="X403" s="19">
        <f>IF($A403="","",IF(COUNTIFS(請求記録!$B$6:$B$3005,$A403,請求記録!$X$6:$X$3005,X$5,請求記録!$AD$6:$AD$3005,"保留中")&gt;0,"保留",IF(COUNTIFS(請求記録!$B$6:$B$3005,$A403,請求記録!$X$6:$X$3005,X$5)=0,"",SUMIFS(請求記録!$AC$6:$AC$3005,請求記録!$B$6:$B$3005,$A403,請求記録!$X$6:$X$3005,X$5))))</f>
        <v/>
      </c>
      <c r="Y403" s="19">
        <f>IF($A403="","",IF(COUNTIFS(請求記録!$B$6:$B$3005,$A403,請求記録!$X$6:$X$3005,Y$5,請求記録!$AD$6:$AD$3005,"保留中")&gt;0,"保留",IF(COUNTIFS(請求記録!$B$6:$B$3005,$A403,請求記録!$X$6:$X$3005,Y$5)=0,"",SUMIFS(請求記録!$AC$6:$AC$3005,請求記録!$B$6:$B$3005,$A403,請求記録!$X$6:$X$3005,Y$5))))</f>
        <v/>
      </c>
      <c r="Z403" s="19">
        <f>IF($A403="","",IF(COUNTIFS(請求記録!$B$6:$B$3005,$A403,請求記録!$X$6:$X$3005,Z$5,請求記録!$AD$6:$AD$3005,"保留中")&gt;0,"保留",IF(COUNTIFS(請求記録!$B$6:$B$3005,$A403,請求記録!$X$6:$X$3005,Z$5)=0,"",SUMIFS(請求記録!$AC$6:$AC$3005,請求記録!$B$6:$B$3005,$A403,請求記録!$X$6:$X$3005,Z$5))))</f>
        <v/>
      </c>
      <c r="AA403" s="19">
        <f>IF($A403="","",IF(COUNTIFS(請求記録!$B$6:$B$3005,$A403,請求記録!$X$6:$X$3005,AA$5,請求記録!$AD$6:$AD$3005,"保留中")&gt;0,"保留",IF(COUNTIFS(請求記録!$B$6:$B$3005,$A403,請求記録!$X$6:$X$3005,AA$5)=0,"",SUMIFS(請求記録!$AC$6:$AC$3005,請求記録!$B$6:$B$3005,$A403,請求記録!$X$6:$X$3005,AA$5))))</f>
        <v/>
      </c>
      <c r="AB403">
        <f>IF(職員マスタ!P403="保留中",職員マスタ!M403,"")</f>
        <v/>
      </c>
    </row>
    <row r="404">
      <c r="A404">
        <f>IF(職員マスタ!A404="","",職員マスタ!A404)</f>
        <v/>
      </c>
      <c r="B404">
        <f>IF($A404="","",職員マスタ!B404)</f>
        <v/>
      </c>
      <c r="C404">
        <f>IF($A404="","",職員マスタ!C404)</f>
        <v/>
      </c>
      <c r="D404" s="19">
        <f>IF($A404="","",IF(COUNTIFS(請求記録!$B$6:$B$3005,$A404,請求記録!$X$6:$X$3005,D$5,請求記録!$AD$6:$AD$3005,"保留中")&gt;0,"保留",IF(COUNTIFS(請求記録!$B$6:$B$3005,$A404,請求記録!$X$6:$X$3005,D$5)=0,"",SUMIFS(請求記録!$AC$6:$AC$3005,請求記録!$B$6:$B$3005,$A404,請求記録!$X$6:$X$3005,D$5))))</f>
        <v/>
      </c>
      <c r="E404" s="19">
        <f>IF($A404="","",IF(COUNTIFS(請求記録!$B$6:$B$3005,$A404,請求記録!$X$6:$X$3005,E$5,請求記録!$AD$6:$AD$3005,"保留中")&gt;0,"保留",IF(COUNTIFS(請求記録!$B$6:$B$3005,$A404,請求記録!$X$6:$X$3005,E$5)=0,"",SUMIFS(請求記録!$AC$6:$AC$3005,請求記録!$B$6:$B$3005,$A404,請求記録!$X$6:$X$3005,E$5))))</f>
        <v/>
      </c>
      <c r="F404" s="19">
        <f>IF($A404="","",IF(COUNTIFS(請求記録!$B$6:$B$3005,$A404,請求記録!$X$6:$X$3005,F$5,請求記録!$AD$6:$AD$3005,"保留中")&gt;0,"保留",IF(COUNTIFS(請求記録!$B$6:$B$3005,$A404,請求記録!$X$6:$X$3005,F$5)=0,"",SUMIFS(請求記録!$AC$6:$AC$3005,請求記録!$B$6:$B$3005,$A404,請求記録!$X$6:$X$3005,F$5))))</f>
        <v/>
      </c>
      <c r="G404" s="19">
        <f>IF($A404="","",IF(COUNTIFS(請求記録!$B$6:$B$3005,$A404,請求記録!$X$6:$X$3005,G$5,請求記録!$AD$6:$AD$3005,"保留中")&gt;0,"保留",IF(COUNTIFS(請求記録!$B$6:$B$3005,$A404,請求記録!$X$6:$X$3005,G$5)=0,"",SUMIFS(請求記録!$AC$6:$AC$3005,請求記録!$B$6:$B$3005,$A404,請求記録!$X$6:$X$3005,G$5))))</f>
        <v/>
      </c>
      <c r="H404" s="19">
        <f>IF($A404="","",IF(COUNTIFS(請求記録!$B$6:$B$3005,$A404,請求記録!$X$6:$X$3005,H$5,請求記録!$AD$6:$AD$3005,"保留中")&gt;0,"保留",IF(COUNTIFS(請求記録!$B$6:$B$3005,$A404,請求記録!$X$6:$X$3005,H$5)=0,"",SUMIFS(請求記録!$AC$6:$AC$3005,請求記録!$B$6:$B$3005,$A404,請求記録!$X$6:$X$3005,H$5))))</f>
        <v/>
      </c>
      <c r="I404" s="19">
        <f>IF($A404="","",IF(COUNTIFS(請求記録!$B$6:$B$3005,$A404,請求記録!$X$6:$X$3005,I$5,請求記録!$AD$6:$AD$3005,"保留中")&gt;0,"保留",IF(COUNTIFS(請求記録!$B$6:$B$3005,$A404,請求記録!$X$6:$X$3005,I$5)=0,"",SUMIFS(請求記録!$AC$6:$AC$3005,請求記録!$B$6:$B$3005,$A404,請求記録!$X$6:$X$3005,I$5))))</f>
        <v/>
      </c>
      <c r="J404" s="19">
        <f>IF($A404="","",IF(COUNTIFS(請求記録!$B$6:$B$3005,$A404,請求記録!$X$6:$X$3005,J$5,請求記録!$AD$6:$AD$3005,"保留中")&gt;0,"保留",IF(COUNTIFS(請求記録!$B$6:$B$3005,$A404,請求記録!$X$6:$X$3005,J$5)=0,"",SUMIFS(請求記録!$AC$6:$AC$3005,請求記録!$B$6:$B$3005,$A404,請求記録!$X$6:$X$3005,J$5))))</f>
        <v/>
      </c>
      <c r="K404" s="19">
        <f>IF($A404="","",IF(COUNTIFS(請求記録!$B$6:$B$3005,$A404,請求記録!$X$6:$X$3005,K$5,請求記録!$AD$6:$AD$3005,"保留中")&gt;0,"保留",IF(COUNTIFS(請求記録!$B$6:$B$3005,$A404,請求記録!$X$6:$X$3005,K$5)=0,"",SUMIFS(請求記録!$AC$6:$AC$3005,請求記録!$B$6:$B$3005,$A404,請求記録!$X$6:$X$3005,K$5))))</f>
        <v/>
      </c>
      <c r="L404" s="19">
        <f>IF($A404="","",IF(COUNTIFS(請求記録!$B$6:$B$3005,$A404,請求記録!$X$6:$X$3005,L$5,請求記録!$AD$6:$AD$3005,"保留中")&gt;0,"保留",IF(COUNTIFS(請求記録!$B$6:$B$3005,$A404,請求記録!$X$6:$X$3005,L$5)=0,"",SUMIFS(請求記録!$AC$6:$AC$3005,請求記録!$B$6:$B$3005,$A404,請求記録!$X$6:$X$3005,L$5))))</f>
        <v/>
      </c>
      <c r="M404" s="19">
        <f>IF($A404="","",IF(COUNTIFS(請求記録!$B$6:$B$3005,$A404,請求記録!$X$6:$X$3005,M$5,請求記録!$AD$6:$AD$3005,"保留中")&gt;0,"保留",IF(COUNTIFS(請求記録!$B$6:$B$3005,$A404,請求記録!$X$6:$X$3005,M$5)=0,"",SUMIFS(請求記録!$AC$6:$AC$3005,請求記録!$B$6:$B$3005,$A404,請求記録!$X$6:$X$3005,M$5))))</f>
        <v/>
      </c>
      <c r="N404" s="19">
        <f>IF($A404="","",IF(COUNTIFS(請求記録!$B$6:$B$3005,$A404,請求記録!$X$6:$X$3005,N$5,請求記録!$AD$6:$AD$3005,"保留中")&gt;0,"保留",IF(COUNTIFS(請求記録!$B$6:$B$3005,$A404,請求記録!$X$6:$X$3005,N$5)=0,"",SUMIFS(請求記録!$AC$6:$AC$3005,請求記録!$B$6:$B$3005,$A404,請求記録!$X$6:$X$3005,N$5))))</f>
        <v/>
      </c>
      <c r="O404" s="19">
        <f>IF($A404="","",IF(COUNTIFS(請求記録!$B$6:$B$3005,$A404,請求記録!$X$6:$X$3005,O$5,請求記録!$AD$6:$AD$3005,"保留中")&gt;0,"保留",IF(COUNTIFS(請求記録!$B$6:$B$3005,$A404,請求記録!$X$6:$X$3005,O$5)=0,"",SUMIFS(請求記録!$AC$6:$AC$3005,請求記録!$B$6:$B$3005,$A404,請求記録!$X$6:$X$3005,O$5))))</f>
        <v/>
      </c>
      <c r="P404" s="19">
        <f>IF($A404="","",IF(COUNTIFS(請求記録!$B$6:$B$3005,$A404,請求記録!$X$6:$X$3005,P$5,請求記録!$AD$6:$AD$3005,"保留中")&gt;0,"保留",IF(COUNTIFS(請求記録!$B$6:$B$3005,$A404,請求記録!$X$6:$X$3005,P$5)=0,"",SUMIFS(請求記録!$AC$6:$AC$3005,請求記録!$B$6:$B$3005,$A404,請求記録!$X$6:$X$3005,P$5))))</f>
        <v/>
      </c>
      <c r="Q404" s="19">
        <f>IF($A404="","",IF(COUNTIFS(請求記録!$B$6:$B$3005,$A404,請求記録!$X$6:$X$3005,Q$5,請求記録!$AD$6:$AD$3005,"保留中")&gt;0,"保留",IF(COUNTIFS(請求記録!$B$6:$B$3005,$A404,請求記録!$X$6:$X$3005,Q$5)=0,"",SUMIFS(請求記録!$AC$6:$AC$3005,請求記録!$B$6:$B$3005,$A404,請求記録!$X$6:$X$3005,Q$5))))</f>
        <v/>
      </c>
      <c r="R404" s="19">
        <f>IF($A404="","",IF(COUNTIFS(請求記録!$B$6:$B$3005,$A404,請求記録!$X$6:$X$3005,R$5,請求記録!$AD$6:$AD$3005,"保留中")&gt;0,"保留",IF(COUNTIFS(請求記録!$B$6:$B$3005,$A404,請求記録!$X$6:$X$3005,R$5)=0,"",SUMIFS(請求記録!$AC$6:$AC$3005,請求記録!$B$6:$B$3005,$A404,請求記録!$X$6:$X$3005,R$5))))</f>
        <v/>
      </c>
      <c r="S404" s="19">
        <f>IF($A404="","",IF(COUNTIFS(請求記録!$B$6:$B$3005,$A404,請求記録!$X$6:$X$3005,S$5,請求記録!$AD$6:$AD$3005,"保留中")&gt;0,"保留",IF(COUNTIFS(請求記録!$B$6:$B$3005,$A404,請求記録!$X$6:$X$3005,S$5)=0,"",SUMIFS(請求記録!$AC$6:$AC$3005,請求記録!$B$6:$B$3005,$A404,請求記録!$X$6:$X$3005,S$5))))</f>
        <v/>
      </c>
      <c r="T404" s="19">
        <f>IF($A404="","",IF(COUNTIFS(請求記録!$B$6:$B$3005,$A404,請求記録!$X$6:$X$3005,T$5,請求記録!$AD$6:$AD$3005,"保留中")&gt;0,"保留",IF(COUNTIFS(請求記録!$B$6:$B$3005,$A404,請求記録!$X$6:$X$3005,T$5)=0,"",SUMIFS(請求記録!$AC$6:$AC$3005,請求記録!$B$6:$B$3005,$A404,請求記録!$X$6:$X$3005,T$5))))</f>
        <v/>
      </c>
      <c r="U404" s="19">
        <f>IF($A404="","",IF(COUNTIFS(請求記録!$B$6:$B$3005,$A404,請求記録!$X$6:$X$3005,U$5,請求記録!$AD$6:$AD$3005,"保留中")&gt;0,"保留",IF(COUNTIFS(請求記録!$B$6:$B$3005,$A404,請求記録!$X$6:$X$3005,U$5)=0,"",SUMIFS(請求記録!$AC$6:$AC$3005,請求記録!$B$6:$B$3005,$A404,請求記録!$X$6:$X$3005,U$5))))</f>
        <v/>
      </c>
      <c r="V404" s="19">
        <f>IF($A404="","",IF(COUNTIFS(請求記録!$B$6:$B$3005,$A404,請求記録!$X$6:$X$3005,V$5,請求記録!$AD$6:$AD$3005,"保留中")&gt;0,"保留",IF(COUNTIFS(請求記録!$B$6:$B$3005,$A404,請求記録!$X$6:$X$3005,V$5)=0,"",SUMIFS(請求記録!$AC$6:$AC$3005,請求記録!$B$6:$B$3005,$A404,請求記録!$X$6:$X$3005,V$5))))</f>
        <v/>
      </c>
      <c r="W404" s="19">
        <f>IF($A404="","",IF(COUNTIFS(請求記録!$B$6:$B$3005,$A404,請求記録!$X$6:$X$3005,W$5,請求記録!$AD$6:$AD$3005,"保留中")&gt;0,"保留",IF(COUNTIFS(請求記録!$B$6:$B$3005,$A404,請求記録!$X$6:$X$3005,W$5)=0,"",SUMIFS(請求記録!$AC$6:$AC$3005,請求記録!$B$6:$B$3005,$A404,請求記録!$X$6:$X$3005,W$5))))</f>
        <v/>
      </c>
      <c r="X404" s="19">
        <f>IF($A404="","",IF(COUNTIFS(請求記録!$B$6:$B$3005,$A404,請求記録!$X$6:$X$3005,X$5,請求記録!$AD$6:$AD$3005,"保留中")&gt;0,"保留",IF(COUNTIFS(請求記録!$B$6:$B$3005,$A404,請求記録!$X$6:$X$3005,X$5)=0,"",SUMIFS(請求記録!$AC$6:$AC$3005,請求記録!$B$6:$B$3005,$A404,請求記録!$X$6:$X$3005,X$5))))</f>
        <v/>
      </c>
      <c r="Y404" s="19">
        <f>IF($A404="","",IF(COUNTIFS(請求記録!$B$6:$B$3005,$A404,請求記録!$X$6:$X$3005,Y$5,請求記録!$AD$6:$AD$3005,"保留中")&gt;0,"保留",IF(COUNTIFS(請求記録!$B$6:$B$3005,$A404,請求記録!$X$6:$X$3005,Y$5)=0,"",SUMIFS(請求記録!$AC$6:$AC$3005,請求記録!$B$6:$B$3005,$A404,請求記録!$X$6:$X$3005,Y$5))))</f>
        <v/>
      </c>
      <c r="Z404" s="19">
        <f>IF($A404="","",IF(COUNTIFS(請求記録!$B$6:$B$3005,$A404,請求記録!$X$6:$X$3005,Z$5,請求記録!$AD$6:$AD$3005,"保留中")&gt;0,"保留",IF(COUNTIFS(請求記録!$B$6:$B$3005,$A404,請求記録!$X$6:$X$3005,Z$5)=0,"",SUMIFS(請求記録!$AC$6:$AC$3005,請求記録!$B$6:$B$3005,$A404,請求記録!$X$6:$X$3005,Z$5))))</f>
        <v/>
      </c>
      <c r="AA404" s="19">
        <f>IF($A404="","",IF(COUNTIFS(請求記録!$B$6:$B$3005,$A404,請求記録!$X$6:$X$3005,AA$5,請求記録!$AD$6:$AD$3005,"保留中")&gt;0,"保留",IF(COUNTIFS(請求記録!$B$6:$B$3005,$A404,請求記録!$X$6:$X$3005,AA$5)=0,"",SUMIFS(請求記録!$AC$6:$AC$3005,請求記録!$B$6:$B$3005,$A404,請求記録!$X$6:$X$3005,AA$5))))</f>
        <v/>
      </c>
      <c r="AB404">
        <f>IF(職員マスタ!P404="保留中",職員マスタ!M404,"")</f>
        <v/>
      </c>
    </row>
    <row r="405">
      <c r="A405">
        <f>IF(職員マスタ!A405="","",職員マスタ!A405)</f>
        <v/>
      </c>
      <c r="B405">
        <f>IF($A405="","",職員マスタ!B405)</f>
        <v/>
      </c>
      <c r="C405">
        <f>IF($A405="","",職員マスタ!C405)</f>
        <v/>
      </c>
      <c r="D405" s="19">
        <f>IF($A405="","",IF(COUNTIFS(請求記録!$B$6:$B$3005,$A405,請求記録!$X$6:$X$3005,D$5,請求記録!$AD$6:$AD$3005,"保留中")&gt;0,"保留",IF(COUNTIFS(請求記録!$B$6:$B$3005,$A405,請求記録!$X$6:$X$3005,D$5)=0,"",SUMIFS(請求記録!$AC$6:$AC$3005,請求記録!$B$6:$B$3005,$A405,請求記録!$X$6:$X$3005,D$5))))</f>
        <v/>
      </c>
      <c r="E405" s="19">
        <f>IF($A405="","",IF(COUNTIFS(請求記録!$B$6:$B$3005,$A405,請求記録!$X$6:$X$3005,E$5,請求記録!$AD$6:$AD$3005,"保留中")&gt;0,"保留",IF(COUNTIFS(請求記録!$B$6:$B$3005,$A405,請求記録!$X$6:$X$3005,E$5)=0,"",SUMIFS(請求記録!$AC$6:$AC$3005,請求記録!$B$6:$B$3005,$A405,請求記録!$X$6:$X$3005,E$5))))</f>
        <v/>
      </c>
      <c r="F405" s="19">
        <f>IF($A405="","",IF(COUNTIFS(請求記録!$B$6:$B$3005,$A405,請求記録!$X$6:$X$3005,F$5,請求記録!$AD$6:$AD$3005,"保留中")&gt;0,"保留",IF(COUNTIFS(請求記録!$B$6:$B$3005,$A405,請求記録!$X$6:$X$3005,F$5)=0,"",SUMIFS(請求記録!$AC$6:$AC$3005,請求記録!$B$6:$B$3005,$A405,請求記録!$X$6:$X$3005,F$5))))</f>
        <v/>
      </c>
      <c r="G405" s="19">
        <f>IF($A405="","",IF(COUNTIFS(請求記録!$B$6:$B$3005,$A405,請求記録!$X$6:$X$3005,G$5,請求記録!$AD$6:$AD$3005,"保留中")&gt;0,"保留",IF(COUNTIFS(請求記録!$B$6:$B$3005,$A405,請求記録!$X$6:$X$3005,G$5)=0,"",SUMIFS(請求記録!$AC$6:$AC$3005,請求記録!$B$6:$B$3005,$A405,請求記録!$X$6:$X$3005,G$5))))</f>
        <v/>
      </c>
      <c r="H405" s="19">
        <f>IF($A405="","",IF(COUNTIFS(請求記録!$B$6:$B$3005,$A405,請求記録!$X$6:$X$3005,H$5,請求記録!$AD$6:$AD$3005,"保留中")&gt;0,"保留",IF(COUNTIFS(請求記録!$B$6:$B$3005,$A405,請求記録!$X$6:$X$3005,H$5)=0,"",SUMIFS(請求記録!$AC$6:$AC$3005,請求記録!$B$6:$B$3005,$A405,請求記録!$X$6:$X$3005,H$5))))</f>
        <v/>
      </c>
      <c r="I405" s="19">
        <f>IF($A405="","",IF(COUNTIFS(請求記録!$B$6:$B$3005,$A405,請求記録!$X$6:$X$3005,I$5,請求記録!$AD$6:$AD$3005,"保留中")&gt;0,"保留",IF(COUNTIFS(請求記録!$B$6:$B$3005,$A405,請求記録!$X$6:$X$3005,I$5)=0,"",SUMIFS(請求記録!$AC$6:$AC$3005,請求記録!$B$6:$B$3005,$A405,請求記録!$X$6:$X$3005,I$5))))</f>
        <v/>
      </c>
      <c r="J405" s="19">
        <f>IF($A405="","",IF(COUNTIFS(請求記録!$B$6:$B$3005,$A405,請求記録!$X$6:$X$3005,J$5,請求記録!$AD$6:$AD$3005,"保留中")&gt;0,"保留",IF(COUNTIFS(請求記録!$B$6:$B$3005,$A405,請求記録!$X$6:$X$3005,J$5)=0,"",SUMIFS(請求記録!$AC$6:$AC$3005,請求記録!$B$6:$B$3005,$A405,請求記録!$X$6:$X$3005,J$5))))</f>
        <v/>
      </c>
      <c r="K405" s="19">
        <f>IF($A405="","",IF(COUNTIFS(請求記録!$B$6:$B$3005,$A405,請求記録!$X$6:$X$3005,K$5,請求記録!$AD$6:$AD$3005,"保留中")&gt;0,"保留",IF(COUNTIFS(請求記録!$B$6:$B$3005,$A405,請求記録!$X$6:$X$3005,K$5)=0,"",SUMIFS(請求記録!$AC$6:$AC$3005,請求記録!$B$6:$B$3005,$A405,請求記録!$X$6:$X$3005,K$5))))</f>
        <v/>
      </c>
      <c r="L405" s="19">
        <f>IF($A405="","",IF(COUNTIFS(請求記録!$B$6:$B$3005,$A405,請求記録!$X$6:$X$3005,L$5,請求記録!$AD$6:$AD$3005,"保留中")&gt;0,"保留",IF(COUNTIFS(請求記録!$B$6:$B$3005,$A405,請求記録!$X$6:$X$3005,L$5)=0,"",SUMIFS(請求記録!$AC$6:$AC$3005,請求記録!$B$6:$B$3005,$A405,請求記録!$X$6:$X$3005,L$5))))</f>
        <v/>
      </c>
      <c r="M405" s="19">
        <f>IF($A405="","",IF(COUNTIFS(請求記録!$B$6:$B$3005,$A405,請求記録!$X$6:$X$3005,M$5,請求記録!$AD$6:$AD$3005,"保留中")&gt;0,"保留",IF(COUNTIFS(請求記録!$B$6:$B$3005,$A405,請求記録!$X$6:$X$3005,M$5)=0,"",SUMIFS(請求記録!$AC$6:$AC$3005,請求記録!$B$6:$B$3005,$A405,請求記録!$X$6:$X$3005,M$5))))</f>
        <v/>
      </c>
      <c r="N405" s="19">
        <f>IF($A405="","",IF(COUNTIFS(請求記録!$B$6:$B$3005,$A405,請求記録!$X$6:$X$3005,N$5,請求記録!$AD$6:$AD$3005,"保留中")&gt;0,"保留",IF(COUNTIFS(請求記録!$B$6:$B$3005,$A405,請求記録!$X$6:$X$3005,N$5)=0,"",SUMIFS(請求記録!$AC$6:$AC$3005,請求記録!$B$6:$B$3005,$A405,請求記録!$X$6:$X$3005,N$5))))</f>
        <v/>
      </c>
      <c r="O405" s="19">
        <f>IF($A405="","",IF(COUNTIFS(請求記録!$B$6:$B$3005,$A405,請求記録!$X$6:$X$3005,O$5,請求記録!$AD$6:$AD$3005,"保留中")&gt;0,"保留",IF(COUNTIFS(請求記録!$B$6:$B$3005,$A405,請求記録!$X$6:$X$3005,O$5)=0,"",SUMIFS(請求記録!$AC$6:$AC$3005,請求記録!$B$6:$B$3005,$A405,請求記録!$X$6:$X$3005,O$5))))</f>
        <v/>
      </c>
      <c r="P405" s="19">
        <f>IF($A405="","",IF(COUNTIFS(請求記録!$B$6:$B$3005,$A405,請求記録!$X$6:$X$3005,P$5,請求記録!$AD$6:$AD$3005,"保留中")&gt;0,"保留",IF(COUNTIFS(請求記録!$B$6:$B$3005,$A405,請求記録!$X$6:$X$3005,P$5)=0,"",SUMIFS(請求記録!$AC$6:$AC$3005,請求記録!$B$6:$B$3005,$A405,請求記録!$X$6:$X$3005,P$5))))</f>
        <v/>
      </c>
      <c r="Q405" s="19">
        <f>IF($A405="","",IF(COUNTIFS(請求記録!$B$6:$B$3005,$A405,請求記録!$X$6:$X$3005,Q$5,請求記録!$AD$6:$AD$3005,"保留中")&gt;0,"保留",IF(COUNTIFS(請求記録!$B$6:$B$3005,$A405,請求記録!$X$6:$X$3005,Q$5)=0,"",SUMIFS(請求記録!$AC$6:$AC$3005,請求記録!$B$6:$B$3005,$A405,請求記録!$X$6:$X$3005,Q$5))))</f>
        <v/>
      </c>
      <c r="R405" s="19">
        <f>IF($A405="","",IF(COUNTIFS(請求記録!$B$6:$B$3005,$A405,請求記録!$X$6:$X$3005,R$5,請求記録!$AD$6:$AD$3005,"保留中")&gt;0,"保留",IF(COUNTIFS(請求記録!$B$6:$B$3005,$A405,請求記録!$X$6:$X$3005,R$5)=0,"",SUMIFS(請求記録!$AC$6:$AC$3005,請求記録!$B$6:$B$3005,$A405,請求記録!$X$6:$X$3005,R$5))))</f>
        <v/>
      </c>
      <c r="S405" s="19">
        <f>IF($A405="","",IF(COUNTIFS(請求記録!$B$6:$B$3005,$A405,請求記録!$X$6:$X$3005,S$5,請求記録!$AD$6:$AD$3005,"保留中")&gt;0,"保留",IF(COUNTIFS(請求記録!$B$6:$B$3005,$A405,請求記録!$X$6:$X$3005,S$5)=0,"",SUMIFS(請求記録!$AC$6:$AC$3005,請求記録!$B$6:$B$3005,$A405,請求記録!$X$6:$X$3005,S$5))))</f>
        <v/>
      </c>
      <c r="T405" s="19">
        <f>IF($A405="","",IF(COUNTIFS(請求記録!$B$6:$B$3005,$A405,請求記録!$X$6:$X$3005,T$5,請求記録!$AD$6:$AD$3005,"保留中")&gt;0,"保留",IF(COUNTIFS(請求記録!$B$6:$B$3005,$A405,請求記録!$X$6:$X$3005,T$5)=0,"",SUMIFS(請求記録!$AC$6:$AC$3005,請求記録!$B$6:$B$3005,$A405,請求記録!$X$6:$X$3005,T$5))))</f>
        <v/>
      </c>
      <c r="U405" s="19">
        <f>IF($A405="","",IF(COUNTIFS(請求記録!$B$6:$B$3005,$A405,請求記録!$X$6:$X$3005,U$5,請求記録!$AD$6:$AD$3005,"保留中")&gt;0,"保留",IF(COUNTIFS(請求記録!$B$6:$B$3005,$A405,請求記録!$X$6:$X$3005,U$5)=0,"",SUMIFS(請求記録!$AC$6:$AC$3005,請求記録!$B$6:$B$3005,$A405,請求記録!$X$6:$X$3005,U$5))))</f>
        <v/>
      </c>
      <c r="V405" s="19">
        <f>IF($A405="","",IF(COUNTIFS(請求記録!$B$6:$B$3005,$A405,請求記録!$X$6:$X$3005,V$5,請求記録!$AD$6:$AD$3005,"保留中")&gt;0,"保留",IF(COUNTIFS(請求記録!$B$6:$B$3005,$A405,請求記録!$X$6:$X$3005,V$5)=0,"",SUMIFS(請求記録!$AC$6:$AC$3005,請求記録!$B$6:$B$3005,$A405,請求記録!$X$6:$X$3005,V$5))))</f>
        <v/>
      </c>
      <c r="W405" s="19">
        <f>IF($A405="","",IF(COUNTIFS(請求記録!$B$6:$B$3005,$A405,請求記録!$X$6:$X$3005,W$5,請求記録!$AD$6:$AD$3005,"保留中")&gt;0,"保留",IF(COUNTIFS(請求記録!$B$6:$B$3005,$A405,請求記録!$X$6:$X$3005,W$5)=0,"",SUMIFS(請求記録!$AC$6:$AC$3005,請求記録!$B$6:$B$3005,$A405,請求記録!$X$6:$X$3005,W$5))))</f>
        <v/>
      </c>
      <c r="X405" s="19">
        <f>IF($A405="","",IF(COUNTIFS(請求記録!$B$6:$B$3005,$A405,請求記録!$X$6:$X$3005,X$5,請求記録!$AD$6:$AD$3005,"保留中")&gt;0,"保留",IF(COUNTIFS(請求記録!$B$6:$B$3005,$A405,請求記録!$X$6:$X$3005,X$5)=0,"",SUMIFS(請求記録!$AC$6:$AC$3005,請求記録!$B$6:$B$3005,$A405,請求記録!$X$6:$X$3005,X$5))))</f>
        <v/>
      </c>
      <c r="Y405" s="19">
        <f>IF($A405="","",IF(COUNTIFS(請求記録!$B$6:$B$3005,$A405,請求記録!$X$6:$X$3005,Y$5,請求記録!$AD$6:$AD$3005,"保留中")&gt;0,"保留",IF(COUNTIFS(請求記録!$B$6:$B$3005,$A405,請求記録!$X$6:$X$3005,Y$5)=0,"",SUMIFS(請求記録!$AC$6:$AC$3005,請求記録!$B$6:$B$3005,$A405,請求記録!$X$6:$X$3005,Y$5))))</f>
        <v/>
      </c>
      <c r="Z405" s="19">
        <f>IF($A405="","",IF(COUNTIFS(請求記録!$B$6:$B$3005,$A405,請求記録!$X$6:$X$3005,Z$5,請求記録!$AD$6:$AD$3005,"保留中")&gt;0,"保留",IF(COUNTIFS(請求記録!$B$6:$B$3005,$A405,請求記録!$X$6:$X$3005,Z$5)=0,"",SUMIFS(請求記録!$AC$6:$AC$3005,請求記録!$B$6:$B$3005,$A405,請求記録!$X$6:$X$3005,Z$5))))</f>
        <v/>
      </c>
      <c r="AA405" s="19">
        <f>IF($A405="","",IF(COUNTIFS(請求記録!$B$6:$B$3005,$A405,請求記録!$X$6:$X$3005,AA$5,請求記録!$AD$6:$AD$3005,"保留中")&gt;0,"保留",IF(COUNTIFS(請求記録!$B$6:$B$3005,$A405,請求記録!$X$6:$X$3005,AA$5)=0,"",SUMIFS(請求記録!$AC$6:$AC$3005,請求記録!$B$6:$B$3005,$A405,請求記録!$X$6:$X$3005,AA$5))))</f>
        <v/>
      </c>
      <c r="AB405">
        <f>IF(職員マスタ!P405="保留中",職員マスタ!M405,"")</f>
        <v/>
      </c>
    </row>
  </sheetData>
  <conditionalFormatting sqref="D6:AA405">
    <cfRule type="expression" priority="1" dxfId="5">
      <formula>D6="保留"</formula>
    </cfRule>
  </conditionalFormatting>
  <conditionalFormatting sqref="AB6:AB405">
    <cfRule type="expression" priority="2" dxfId="6">
      <formula>LEN(AB6)&gt;0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05"/>
  <sheetViews>
    <sheetView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9" customWidth="1" min="10" max="10"/>
    <col width="14" customWidth="1" min="11" max="11"/>
    <col width="34" customWidth="1" min="12" max="12"/>
    <col width="22" customWidth="1" min="13" max="13"/>
    <col width="12" customWidth="1" min="14" max="14"/>
    <col width="12" customWidth="1" min="15" max="15"/>
    <col width="9" customWidth="1" min="16" max="16"/>
    <col hidden="1" width="13" customWidth="1" min="17" max="17"/>
  </cols>
  <sheetData>
    <row r="1">
      <c r="A1" s="5" t="inlineStr">
        <is>
          <t>職員マスタ</t>
        </is>
      </c>
    </row>
    <row r="2">
      <c r="A2" s="6" t="inlineStr">
        <is>
          <t>職員ごとの時短期間・標準報酬月額。人給データを貼ると氏名・所属・子・期間が自動入力されます（直接入力して上書きも可）</t>
        </is>
      </c>
    </row>
    <row r="3">
      <c r="A3" s="23" t="inlineStr">
        <is>
          <t>※育短開始時が令和7年4月以前の場合は、令和7年4月時点の標準報酬月額を入力。同じ職員が2回目の時短を始めたときは、行を追加して別の期間を入力します。</t>
        </is>
      </c>
    </row>
    <row r="5" ht="34" customHeight="1">
      <c r="A5" s="8" t="inlineStr">
        <is>
          <t>職員番号</t>
        </is>
      </c>
      <c r="B5" s="8" t="inlineStr">
        <is>
          <t>氏名</t>
        </is>
      </c>
      <c r="C5" s="8" t="inlineStr">
        <is>
          <t>所属</t>
        </is>
      </c>
      <c r="D5" s="8" t="inlineStr">
        <is>
          <t>子の氏名</t>
        </is>
      </c>
      <c r="E5" s="8" t="inlineStr">
        <is>
          <t>子の生年月日</t>
        </is>
      </c>
      <c r="F5" s="8" t="inlineStr">
        <is>
          <t>子の2歳到達日の前々日</t>
        </is>
      </c>
      <c r="G5" s="8" t="inlineStr">
        <is>
          <t>時短開始日</t>
        </is>
      </c>
      <c r="H5" s="8" t="inlineStr">
        <is>
          <t>時短終了日</t>
        </is>
      </c>
      <c r="I5" s="8" t="inlineStr">
        <is>
          <t>勤務区分</t>
        </is>
      </c>
      <c r="J5" s="8" t="inlineStr">
        <is>
          <t>週勤務時間</t>
        </is>
      </c>
      <c r="K5" s="8" t="inlineStr">
        <is>
          <t>育短開始時の標準報酬月額</t>
        </is>
      </c>
      <c r="L5" s="8" t="inlineStr">
        <is>
          <t>職員メモ</t>
        </is>
      </c>
      <c r="M5" s="8" t="inlineStr">
        <is>
          <t>【職員単位の保留】保留理由</t>
        </is>
      </c>
      <c r="N5" s="8" t="inlineStr">
        <is>
          <t>保留開始日</t>
        </is>
      </c>
      <c r="O5" s="8" t="inlineStr">
        <is>
          <t>保留解消日</t>
        </is>
      </c>
      <c r="P5" s="8" t="inlineStr">
        <is>
          <t>保留状況</t>
        </is>
      </c>
      <c r="Q5" s="8" t="inlineStr">
        <is>
          <t>保留連番</t>
        </is>
      </c>
    </row>
    <row r="6">
      <c r="A6" s="12" t="n">
        <v>5901723</v>
      </c>
      <c r="B6">
        <f>IF($A6="","",IFERROR(IF(LOOKUP(2,1/(人給データ!$B$2:$B$700=$A6),人給データ!$C$2:$C$700)=0,"",LOOKUP(2,1/(人給データ!$B$2:$B$700=$A6),人給データ!$C$2:$C$700)),""))</f>
        <v/>
      </c>
      <c r="C6" t="inlineStr">
        <is>
          <t>環境局環境保全課</t>
        </is>
      </c>
      <c r="D6">
        <f>IF($A6="","",IFERROR(IF(LOOKUP(2,1/(人給データ!$B$2:$B$700=$A6),人給データ!$Y$2:$Y$700)=0,"",LOOKUP(2,1/(人給データ!$B$2:$B$700=$A6),人給データ!$Y$2:$Y$700)),""))</f>
        <v/>
      </c>
      <c r="E6" s="20" t="n">
        <v>45621</v>
      </c>
      <c r="F6" s="16">
        <f>IF(OR(E6="",NOT(ISNUMBER(E6))),"",DATE(YEAR(E6)+2,MONTH(E6),DAY(E6)-2))</f>
        <v/>
      </c>
      <c r="G6" s="20" t="n">
        <v>46143</v>
      </c>
      <c r="H6" s="20">
        <f>IF($A6="","",IFERROR(IF(LOOKUP(2,1/(人給データ!$B$2:$B$700=$A6),人給データ!$K$2:$K$700)=0,"",LOOKUP(2,1/(人給データ!$B$2:$B$700=$A6),人給データ!$K$2:$K$700)),""))</f>
        <v/>
      </c>
      <c r="I6" s="12" t="inlineStr">
        <is>
          <t>部分休業</t>
        </is>
      </c>
      <c r="J6">
        <f>IF($A6="","",IFERROR(IF(LOOKUP(2,1/(人給データ!$B$2:$B$700=$A6),人給データ!$N$2:$N$700)=0,"",LOOKUP(2,1/(人給データ!$B$2:$B$700=$A6),人給データ!$N$2:$N$700)),""))</f>
        <v/>
      </c>
      <c r="K6" s="13" t="n">
        <v>410000</v>
      </c>
      <c r="L6" s="12" t="n"/>
      <c r="M6" s="12" t="n"/>
      <c r="N6" s="11" t="n"/>
      <c r="O6" s="11" t="n"/>
      <c r="P6" s="14">
        <f>IF(AND(M6&lt;&gt;"",O6=""),"保留中","")</f>
        <v/>
      </c>
      <c r="Q6" s="14">
        <f>IF(P6="保留中",COUNTIF(P$6:P6,"保留中"),"")</f>
        <v/>
      </c>
    </row>
    <row r="7">
      <c r="A7" s="12" t="n">
        <v>6202204</v>
      </c>
      <c r="B7">
        <f>IF($A7="","",IFERROR(IF(LOOKUP(2,1/(人給データ!$B$2:$B$700=$A7),人給データ!$C$2:$C$700)=0,"",LOOKUP(2,1/(人給データ!$B$2:$B$700=$A7),人給データ!$C$2:$C$700)),""))</f>
        <v/>
      </c>
      <c r="C7" t="inlineStr">
        <is>
          <t>山本保育園</t>
        </is>
      </c>
      <c r="D7">
        <f>IF($A7="","",IFERROR(IF(LOOKUP(2,1/(人給データ!$B$2:$B$700=$A7),人給データ!$Y$2:$Y$700)=0,"",LOOKUP(2,1/(人給データ!$B$2:$B$700=$A7),人給データ!$Y$2:$Y$700)),""))</f>
        <v/>
      </c>
      <c r="E7" s="20" t="n">
        <v>45586</v>
      </c>
      <c r="F7" s="16">
        <f>IF(OR(E7="",NOT(ISNUMBER(E7))),"",DATE(YEAR(E7)+2,MONTH(E7),DAY(E7)-2))</f>
        <v/>
      </c>
      <c r="G7" s="20" t="n">
        <v>46113</v>
      </c>
      <c r="H7" s="20" t="n">
        <v>46477</v>
      </c>
      <c r="I7" s="12" t="n"/>
      <c r="J7" t="n">
        <v>23.15</v>
      </c>
      <c r="K7" s="13" t="n">
        <v>300000</v>
      </c>
      <c r="L7" s="12" t="n"/>
      <c r="M7" s="12" t="n"/>
      <c r="N7" s="11" t="n"/>
      <c r="O7" s="11" t="n"/>
      <c r="P7" s="14">
        <f>IF(AND(M7&lt;&gt;"",O7=""),"保留中","")</f>
        <v/>
      </c>
      <c r="Q7" s="14">
        <f>IF(P7="保留中",COUNTIF(P$6:P7,"保留中"),"")</f>
        <v/>
      </c>
    </row>
    <row r="8">
      <c r="A8" s="12" t="n">
        <v>6300941</v>
      </c>
      <c r="B8">
        <f>IF($A8="","",IFERROR(IF(LOOKUP(2,1/(人給データ!$B$2:$B$700=$A8),人給データ!$C$2:$C$700)=0,"",LOOKUP(2,1/(人給データ!$B$2:$B$700=$A8),人給データ!$C$2:$C$700)),""))</f>
        <v/>
      </c>
      <c r="C8" t="inlineStr">
        <is>
          <t>健康福祉局衛生研究所生活科学部</t>
        </is>
      </c>
      <c r="D8">
        <f>IF($A8="","",IFERROR(IF(LOOKUP(2,1/(人給データ!$B$2:$B$700=$A8),人給データ!$Y$2:$Y$700)=0,"",LOOKUP(2,1/(人給データ!$B$2:$B$700=$A8),人給データ!$Y$2:$Y$700)),""))</f>
        <v/>
      </c>
      <c r="E8" s="20" t="n">
        <v>45742</v>
      </c>
      <c r="F8" s="16">
        <f>IF(OR(E8="",NOT(ISNUMBER(E8))),"",DATE(YEAR(E8)+2,MONTH(E8),DAY(E8)-2))</f>
        <v/>
      </c>
      <c r="G8" s="20" t="n">
        <v>46172</v>
      </c>
      <c r="H8" s="20" t="n">
        <v>46477</v>
      </c>
      <c r="I8" s="12" t="inlineStr">
        <is>
          <t>部分休業</t>
        </is>
      </c>
      <c r="J8">
        <f>IF($A8="","",IFERROR(IF(LOOKUP(2,1/(人給データ!$B$2:$B$700=$A8),人給データ!$N$2:$N$700)=0,"",LOOKUP(2,1/(人給データ!$B$2:$B$700=$A8),人給データ!$N$2:$N$700)),""))</f>
        <v/>
      </c>
      <c r="K8" s="13" t="n">
        <v>340000</v>
      </c>
      <c r="L8" s="12" t="n"/>
      <c r="M8" s="12" t="n"/>
      <c r="N8" s="11" t="n"/>
      <c r="O8" s="11" t="n"/>
      <c r="P8" s="14">
        <f>IF(AND(M8&lt;&gt;"",O8=""),"保留中","")</f>
        <v/>
      </c>
      <c r="Q8" s="14">
        <f>IF(P8="保留中",COUNTIF(P$6:P8,"保留中"),"")</f>
        <v/>
      </c>
    </row>
    <row r="9">
      <c r="A9" s="12" t="n">
        <v>6400857</v>
      </c>
      <c r="B9">
        <f>IF($A9="","",IFERROR(IF(LOOKUP(2,1/(人給データ!$B$2:$B$700=$A9),人給データ!$C$2:$C$700)=0,"",LOOKUP(2,1/(人給データ!$B$2:$B$700=$A9),人給データ!$C$2:$C$700)),""))</f>
        <v/>
      </c>
      <c r="C9" t="inlineStr">
        <is>
          <t>中央市税事務所</t>
        </is>
      </c>
      <c r="D9">
        <f>IF($A9="","",IFERROR(IF(LOOKUP(2,1/(人給データ!$B$2:$B$700=$A9),人給データ!$Y$2:$Y$700)=0,"",LOOKUP(2,1/(人給データ!$B$2:$B$700=$A9),人給データ!$Y$2:$Y$700)),""))</f>
        <v/>
      </c>
      <c r="E9" s="20" t="n">
        <v>45805</v>
      </c>
      <c r="F9" s="16">
        <f>IF(OR(E9="",NOT(ISNUMBER(E9))),"",DATE(YEAR(E9)+2,MONTH(E9),DAY(E9)-2))</f>
        <v/>
      </c>
      <c r="G9" s="20" t="n">
        <v>46113</v>
      </c>
      <c r="H9" s="20" t="n">
        <v>46295</v>
      </c>
      <c r="I9" s="12" t="n"/>
      <c r="J9" t="n">
        <v>23.75</v>
      </c>
      <c r="K9" s="13" t="n">
        <v>360000</v>
      </c>
      <c r="L9" s="12" t="n"/>
      <c r="M9" s="12" t="n"/>
      <c r="N9" s="11" t="n"/>
      <c r="O9" s="11" t="n"/>
      <c r="P9" s="14">
        <f>IF(AND(M9&lt;&gt;"",O9=""),"保留中","")</f>
        <v/>
      </c>
      <c r="Q9" s="14">
        <f>IF(P9="保留中",COUNTIF(P$6:P9,"保留中"),"")</f>
        <v/>
      </c>
    </row>
    <row r="10">
      <c r="A10" s="12" t="n">
        <v>6403315</v>
      </c>
      <c r="B10">
        <f>IF($A10="","",IFERROR(IF(LOOKUP(2,1/(人給データ!$B$2:$B$700=$A10),人給データ!$C$2:$C$700)=0,"",LOOKUP(2,1/(人給データ!$B$2:$B$700=$A10),人給データ!$C$2:$C$700)),""))</f>
        <v/>
      </c>
      <c r="C10" t="inlineStr">
        <is>
          <t>三田保育園</t>
        </is>
      </c>
      <c r="D10">
        <f>IF($A10="","",IFERROR(IF(LOOKUP(2,1/(人給データ!$B$2:$B$700=$A10),人給データ!$Y$2:$Y$700)=0,"",LOOKUP(2,1/(人給データ!$B$2:$B$700=$A10),人給データ!$Y$2:$Y$700)),""))</f>
        <v/>
      </c>
      <c r="E10" s="20" t="n">
        <v>45577</v>
      </c>
      <c r="F10" s="16">
        <f>IF(OR(E10="",NOT(ISNUMBER(E10))),"",DATE(YEAR(E10)+2,MONTH(E10),DAY(E10)-2))</f>
        <v/>
      </c>
      <c r="G10" s="20" t="n">
        <v>46143</v>
      </c>
      <c r="H10" s="20" t="n">
        <v>46477</v>
      </c>
      <c r="I10" s="12" t="n"/>
      <c r="J10" t="n">
        <v>23.45</v>
      </c>
      <c r="K10" s="13" t="n">
        <v>340000</v>
      </c>
      <c r="L10" s="12" t="n"/>
      <c r="M10" s="12" t="n"/>
      <c r="N10" s="11" t="n"/>
      <c r="O10" s="11" t="n"/>
      <c r="P10" s="14">
        <f>IF(AND(M10&lt;&gt;"",O10=""),"保留中","")</f>
        <v/>
      </c>
      <c r="Q10" s="14">
        <f>IF(P10="保留中",COUNTIF(P$6:P10,"保留中"),"")</f>
        <v/>
      </c>
    </row>
    <row r="11">
      <c r="A11" s="12" t="n">
        <v>6620462</v>
      </c>
      <c r="B11">
        <f>IF($A11="","",IFERROR(IF(LOOKUP(2,1/(人給データ!$B$2:$B$700=$A11),人給データ!$C$2:$C$700)=0,"",LOOKUP(2,1/(人給データ!$B$2:$B$700=$A11),人給データ!$C$2:$C$700)),""))</f>
        <v/>
      </c>
      <c r="C11" t="inlineStr">
        <is>
          <t>広島市民病院</t>
        </is>
      </c>
      <c r="D11">
        <f>IF($A11="","",IFERROR(IF(LOOKUP(2,1/(人給データ!$B$2:$B$700=$A11),人給データ!$Y$2:$Y$700)=0,"",LOOKUP(2,1/(人給データ!$B$2:$B$700=$A11),人給データ!$Y$2:$Y$700)),""))</f>
        <v/>
      </c>
      <c r="E11" s="20" t="n">
        <v>45650</v>
      </c>
      <c r="F11" s="16">
        <f>IF(OR(E11="",NOT(ISNUMBER(E11))),"",DATE(YEAR(E11)+2,MONTH(E11),DAY(E11)-2))</f>
        <v/>
      </c>
      <c r="G11" s="20" t="n">
        <v>46023</v>
      </c>
      <c r="H11" s="20" t="n">
        <v>46387</v>
      </c>
      <c r="I11" s="12" t="n"/>
      <c r="J11" t="n">
        <v>31</v>
      </c>
      <c r="K11" s="13" t="n">
        <v>300000</v>
      </c>
      <c r="L11" s="12" t="n"/>
      <c r="M11" s="12" t="n"/>
      <c r="N11" s="11" t="n"/>
      <c r="O11" s="11" t="n"/>
      <c r="P11" s="14">
        <f>IF(AND(M11&lt;&gt;"",O11=""),"保留中","")</f>
        <v/>
      </c>
      <c r="Q11" s="14">
        <f>IF(P11="保留中",COUNTIF(P$6:P11,"保留中"),"")</f>
        <v/>
      </c>
    </row>
    <row r="12">
      <c r="A12" s="12" t="n">
        <v>6802253</v>
      </c>
      <c r="B12">
        <f>IF($A12="","",IFERROR(IF(LOOKUP(2,1/(人給データ!$B$2:$B$700=$A12),人給データ!$C$2:$C$700)=0,"",LOOKUP(2,1/(人給データ!$B$2:$B$700=$A12),人給データ!$C$2:$C$700)),""))</f>
        <v/>
      </c>
      <c r="C12" t="inlineStr">
        <is>
          <t>舟入保育園</t>
        </is>
      </c>
      <c r="D12">
        <f>IF($A12="","",IFERROR(IF(LOOKUP(2,1/(人給データ!$B$2:$B$700=$A12),人給データ!$Y$2:$Y$700)=0,"",LOOKUP(2,1/(人給データ!$B$2:$B$700=$A12),人給データ!$Y$2:$Y$700)),""))</f>
        <v/>
      </c>
      <c r="E12" s="20" t="n">
        <v>45737</v>
      </c>
      <c r="F12" s="16">
        <f>IF(OR(E12="",NOT(ISNUMBER(E12))),"",DATE(YEAR(E12)+2,MONTH(E12),DAY(E12)-2))</f>
        <v/>
      </c>
      <c r="G12" s="20" t="n">
        <v>46143</v>
      </c>
      <c r="H12" s="20" t="n">
        <v>46477</v>
      </c>
      <c r="I12" s="12" t="n"/>
      <c r="J12" t="n">
        <v>23.45</v>
      </c>
      <c r="K12" s="13" t="n">
        <v>280000</v>
      </c>
      <c r="L12" s="12" t="n"/>
      <c r="M12" s="12" t="n"/>
      <c r="N12" s="11" t="n"/>
      <c r="O12" s="11" t="n"/>
      <c r="P12" s="14">
        <f>IF(AND(M12&lt;&gt;"",O12=""),"保留中","")</f>
        <v/>
      </c>
      <c r="Q12" s="14">
        <f>IF(P12="保留中",COUNTIF(P$6:P12,"保留中"),"")</f>
        <v/>
      </c>
    </row>
    <row r="13">
      <c r="A13" s="12" t="n">
        <v>7202969</v>
      </c>
      <c r="B13">
        <f>IF($A13="","",IFERROR(IF(LOOKUP(2,1/(人給データ!$B$2:$B$700=$A13),人給データ!$C$2:$C$700)=0,"",LOOKUP(2,1/(人給データ!$B$2:$B$700=$A13),人給データ!$C$2:$C$700)),""))</f>
        <v/>
      </c>
      <c r="C13" t="inlineStr">
        <is>
          <t>児童相談所</t>
        </is>
      </c>
      <c r="D13">
        <f>IF($A13="","",IFERROR(IF(LOOKUP(2,1/(人給データ!$B$2:$B$700=$A13),人給データ!$Y$2:$Y$700)=0,"",LOOKUP(2,1/(人給データ!$B$2:$B$700=$A13),人給データ!$Y$2:$Y$700)),""))</f>
        <v/>
      </c>
      <c r="E13" s="20" t="n">
        <v>45934</v>
      </c>
      <c r="F13" s="16">
        <f>IF(OR(E13="",NOT(ISNUMBER(E13))),"",DATE(YEAR(E13)+2,MONTH(E13),DAY(E13)-2))</f>
        <v/>
      </c>
      <c r="G13" s="20" t="n">
        <v>46113</v>
      </c>
      <c r="H13" s="20" t="n">
        <v>46296</v>
      </c>
      <c r="I13" s="12" t="n"/>
      <c r="J13" t="n">
        <v>23.75</v>
      </c>
      <c r="K13" s="13" t="n">
        <v>360000</v>
      </c>
      <c r="L13" s="12" t="n"/>
      <c r="M13" s="12" t="n"/>
      <c r="N13" s="11" t="n"/>
      <c r="O13" s="11" t="n"/>
      <c r="P13" s="14">
        <f>IF(AND(M13&lt;&gt;"",O13=""),"保留中","")</f>
        <v/>
      </c>
      <c r="Q13" s="14">
        <f>IF(P13="保留中",COUNTIF(P$6:P13,"保留中"),"")</f>
        <v/>
      </c>
    </row>
    <row r="14">
      <c r="A14" s="12" t="n">
        <v>6704266</v>
      </c>
      <c r="B14">
        <f>IF($A14="","",IFERROR(IF(LOOKUP(2,1/(人給データ!$B$2:$B$700=$A14),人給データ!$C$2:$C$700)=0,"",LOOKUP(2,1/(人給データ!$B$2:$B$700=$A14),人給データ!$C$2:$C$700)),""))</f>
        <v/>
      </c>
      <c r="C14" t="inlineStr">
        <is>
          <t>健康福祉局地域共生社会推進課</t>
        </is>
      </c>
      <c r="D14">
        <f>IF($A14="","",IFERROR(IF(LOOKUP(2,1/(人給データ!$B$2:$B$700=$A14),人給データ!$Y$2:$Y$700)=0,"",LOOKUP(2,1/(人給データ!$B$2:$B$700=$A14),人給データ!$Y$2:$Y$700)),""))</f>
        <v/>
      </c>
      <c r="E14" s="20" t="n">
        <v>45460</v>
      </c>
      <c r="F14" s="16">
        <f>IF(OR(E14="",NOT(ISNUMBER(E14))),"",DATE(YEAR(E14)+2,MONTH(E14),DAY(E14)-2))</f>
        <v/>
      </c>
      <c r="G14" s="20" t="n">
        <v>46143</v>
      </c>
      <c r="H14" s="20" t="n">
        <v>46507</v>
      </c>
      <c r="I14" s="12" t="n"/>
      <c r="J14" t="n">
        <v>20</v>
      </c>
      <c r="K14" s="13" t="n">
        <v>300000</v>
      </c>
      <c r="L14" s="12" t="inlineStr">
        <is>
          <t>R8.6月分まで支給可</t>
        </is>
      </c>
      <c r="M14" s="12" t="n"/>
      <c r="N14" s="11" t="n"/>
      <c r="O14" s="11" t="n"/>
      <c r="P14" s="14">
        <f>IF(AND(M14&lt;&gt;"",O14=""),"保留中","")</f>
        <v/>
      </c>
      <c r="Q14" s="14">
        <f>IF(P14="保留中",COUNTIF(P$6:P14,"保留中"),"")</f>
        <v/>
      </c>
    </row>
    <row r="15">
      <c r="A15" s="12" t="n">
        <v>6903256</v>
      </c>
      <c r="B15">
        <f>IF($A15="","",IFERROR(IF(LOOKUP(2,1/(人給データ!$B$2:$B$700=$A15),人給データ!$C$2:$C$700)=0,"",LOOKUP(2,1/(人給データ!$B$2:$B$700=$A15),人給データ!$C$2:$C$700)),""))</f>
        <v/>
      </c>
      <c r="C15" t="inlineStr">
        <is>
          <t>皆実区役所市民部地域起こし推進課</t>
        </is>
      </c>
      <c r="D15">
        <f>IF($A15="","",IFERROR(IF(LOOKUP(2,1/(人給データ!$B$2:$B$700=$A15),人給データ!$Y$2:$Y$700)=0,"",LOOKUP(2,1/(人給データ!$B$2:$B$700=$A15),人給データ!$Y$2:$Y$700)),""))</f>
        <v/>
      </c>
      <c r="E15" s="20" t="n">
        <v>45685</v>
      </c>
      <c r="F15" s="16">
        <f>IF(OR(E15="",NOT(ISNUMBER(E15))),"",DATE(YEAR(E15)+2,MONTH(E15),DAY(E15)-2))</f>
        <v/>
      </c>
      <c r="G15" s="20" t="n">
        <v>46171</v>
      </c>
      <c r="H15" s="20" t="n">
        <v>46535</v>
      </c>
      <c r="I15" s="12" t="n"/>
      <c r="J15" t="n">
        <v>20</v>
      </c>
      <c r="K15" s="13" t="n">
        <v>360000</v>
      </c>
      <c r="L15" s="12" t="n"/>
      <c r="M15" s="12" t="n"/>
      <c r="N15" s="11" t="n"/>
      <c r="O15" s="11" t="n"/>
      <c r="P15" s="14">
        <f>IF(AND(M15&lt;&gt;"",O15=""),"保留中","")</f>
        <v/>
      </c>
      <c r="Q15" s="14">
        <f>IF(P15="保留中",COUNTIF(P$6:P15,"保留中"),"")</f>
        <v/>
      </c>
    </row>
    <row r="16">
      <c r="A16" s="12" t="n">
        <v>5700828</v>
      </c>
      <c r="B16">
        <f>IF($A16="","",IFERROR(IF(LOOKUP(2,1/(人給データ!$B$2:$B$700=$A16),人給データ!$C$2:$C$700)=0,"",LOOKUP(2,1/(人給データ!$B$2:$B$700=$A16),人給データ!$C$2:$C$700)),""))</f>
        <v/>
      </c>
      <c r="C16" t="inlineStr">
        <is>
          <t>落合保育園</t>
        </is>
      </c>
      <c r="D16">
        <f>IF($A16="","",IFERROR(IF(LOOKUP(2,1/(人給データ!$B$2:$B$700=$A16),人給データ!$Y$2:$Y$700)=0,"",LOOKUP(2,1/(人給データ!$B$2:$B$700=$A16),人給データ!$Y$2:$Y$700)),""))</f>
        <v/>
      </c>
      <c r="E16" s="20" t="n">
        <v>45151</v>
      </c>
      <c r="F16" s="16">
        <f>IF(OR(E16="",NOT(ISNUMBER(E16))),"",DATE(YEAR(E16)+2,MONTH(E16),DAY(E16)-2))</f>
        <v/>
      </c>
      <c r="G16" s="20" t="n">
        <v>45748</v>
      </c>
      <c r="H16" s="20" t="n">
        <v>45842</v>
      </c>
      <c r="I16" s="12" t="n"/>
      <c r="J16" t="n">
        <v>23.75</v>
      </c>
      <c r="K16" s="13" t="n">
        <v>280000</v>
      </c>
      <c r="L16" s="12" t="n"/>
      <c r="M16" s="12" t="n"/>
      <c r="N16" s="11" t="n"/>
      <c r="O16" s="11" t="n"/>
      <c r="P16" s="14">
        <f>IF(AND(M16&lt;&gt;"",O16=""),"保留中","")</f>
        <v/>
      </c>
      <c r="Q16" s="14">
        <f>IF(P16="保留中",COUNTIF(P$6:P16,"保留中"),"")</f>
        <v/>
      </c>
    </row>
    <row r="17">
      <c r="A17" s="12" t="n">
        <v>5802509</v>
      </c>
      <c r="B17">
        <f>IF($A17="","",IFERROR(IF(LOOKUP(2,1/(人給データ!$B$2:$B$700=$A17),人給データ!$C$2:$C$700)=0,"",LOOKUP(2,1/(人給データ!$B$2:$B$700=$A17),人給データ!$C$2:$C$700)),""))</f>
        <v/>
      </c>
      <c r="C17" t="inlineStr">
        <is>
          <t>大河保育園</t>
        </is>
      </c>
      <c r="D17">
        <f>IF($A17="","",IFERROR(IF(LOOKUP(2,1/(人給データ!$B$2:$B$700=$A17),人給データ!$Y$2:$Y$700)=0,"",LOOKUP(2,1/(人給データ!$B$2:$B$700=$A17),人給データ!$Y$2:$Y$700)),""))</f>
        <v/>
      </c>
      <c r="E17" s="20" t="n">
        <v>45079</v>
      </c>
      <c r="F17" s="16">
        <f>IF(OR(E17="",NOT(ISNUMBER(E17))),"",DATE(YEAR(E17)+2,MONTH(E17),DAY(E17)-2))</f>
        <v/>
      </c>
      <c r="G17" s="20" t="n">
        <v>45748</v>
      </c>
      <c r="H17" s="20" t="n">
        <v>46112</v>
      </c>
      <c r="I17" s="12" t="n"/>
      <c r="J17" t="n">
        <v>19.5</v>
      </c>
      <c r="K17" s="13" t="n">
        <v>320000</v>
      </c>
      <c r="L17" s="12" t="n"/>
      <c r="M17" s="12" t="n"/>
      <c r="N17" s="11" t="n"/>
      <c r="O17" s="11" t="n"/>
      <c r="P17" s="14">
        <f>IF(AND(M17&lt;&gt;"",O17=""),"保留中","")</f>
        <v/>
      </c>
      <c r="Q17" s="14">
        <f>IF(P17="保留中",COUNTIF(P$6:P17,"保留中"),"")</f>
        <v/>
      </c>
    </row>
    <row r="18">
      <c r="A18" s="12" t="n">
        <v>5802913</v>
      </c>
      <c r="B18">
        <f>IF($A18="","",IFERROR(IF(LOOKUP(2,1/(人給データ!$B$2:$B$700=$A18),人給データ!$C$2:$C$700)=0,"",LOOKUP(2,1/(人給データ!$B$2:$B$700=$A18),人給データ!$C$2:$C$700)),""))</f>
        <v/>
      </c>
      <c r="C18" t="inlineStr">
        <is>
          <t>鈴峰園保育園</t>
        </is>
      </c>
      <c r="D18">
        <f>IF($A18="","",IFERROR(IF(LOOKUP(2,1/(人給データ!$B$2:$B$700=$A18),人給データ!$Y$2:$Y$700)=0,"",LOOKUP(2,1/(人給データ!$B$2:$B$700=$A18),人給データ!$Y$2:$Y$700)),""))</f>
        <v/>
      </c>
      <c r="E18" s="20" t="n">
        <v>45247</v>
      </c>
      <c r="F18" s="16">
        <f>IF(OR(E18="",NOT(ISNUMBER(E18))),"",DATE(YEAR(E18)+2,MONTH(E18),DAY(E18)-2))</f>
        <v/>
      </c>
      <c r="G18" s="20" t="n">
        <v>45778</v>
      </c>
      <c r="H18" s="20" t="n">
        <v>46112</v>
      </c>
      <c r="I18" s="12" t="n"/>
      <c r="J18" t="n">
        <v>20</v>
      </c>
      <c r="K18" s="13" t="n">
        <v>320000</v>
      </c>
      <c r="L18" s="12" t="n"/>
      <c r="M18" s="12" t="n"/>
      <c r="N18" s="11" t="n"/>
      <c r="O18" s="11" t="n"/>
      <c r="P18" s="14">
        <f>IF(AND(M18&lt;&gt;"",O18=""),"保留中","")</f>
        <v/>
      </c>
      <c r="Q18" s="14">
        <f>IF(P18="保留中",COUNTIF(P$6:P18,"保留中"),"")</f>
        <v/>
      </c>
    </row>
    <row r="19">
      <c r="A19" s="12" t="n">
        <v>6002646</v>
      </c>
      <c r="B19">
        <f>IF($A19="","",IFERROR(IF(LOOKUP(2,1/(人給データ!$B$2:$B$700=$A19),人給データ!$C$2:$C$700)=0,"",LOOKUP(2,1/(人給データ!$B$2:$B$700=$A19),人給データ!$C$2:$C$700)),""))</f>
        <v/>
      </c>
      <c r="C19" t="inlineStr">
        <is>
          <t>亀山南保育園</t>
        </is>
      </c>
      <c r="D19">
        <f>IF($A19="","",IFERROR(IF(LOOKUP(2,1/(人給データ!$B$2:$B$700=$A19),人給データ!$Y$2:$Y$700)=0,"",LOOKUP(2,1/(人給データ!$B$2:$B$700=$A19),人給データ!$Y$2:$Y$700)),""))</f>
        <v/>
      </c>
      <c r="E19" s="20" t="n">
        <v>45337</v>
      </c>
      <c r="F19" s="16">
        <f>IF(OR(E19="",NOT(ISNUMBER(E19))),"",DATE(YEAR(E19)+2,MONTH(E19),DAY(E19)-2))</f>
        <v/>
      </c>
      <c r="G19" s="20" t="n">
        <v>45777</v>
      </c>
      <c r="H19" s="20" t="n">
        <v>46112</v>
      </c>
      <c r="I19" s="12" t="n"/>
      <c r="J19" t="n">
        <v>23.75</v>
      </c>
      <c r="K19" s="13" t="n">
        <v>320000</v>
      </c>
      <c r="L19" s="12" t="n"/>
      <c r="M19" s="12" t="n"/>
      <c r="N19" s="11" t="n"/>
      <c r="O19" s="11" t="n"/>
      <c r="P19" s="14">
        <f>IF(AND(M19&lt;&gt;"",O19=""),"保留中","")</f>
        <v/>
      </c>
      <c r="Q19" s="14">
        <f>IF(P19="保留中",COUNTIF(P$6:P19,"保留中"),"")</f>
        <v/>
      </c>
    </row>
    <row r="20">
      <c r="A20" s="12" t="n">
        <v>6002968</v>
      </c>
      <c r="B20">
        <f>IF($A20="","",IFERROR(IF(LOOKUP(2,1/(人給データ!$B$2:$B$700=$A20),人給データ!$C$2:$C$700)=0,"",LOOKUP(2,1/(人給データ!$B$2:$B$700=$A20),人給データ!$C$2:$C$700)),""))</f>
        <v/>
      </c>
      <c r="C20" t="inlineStr">
        <is>
          <t>祇園保育園</t>
        </is>
      </c>
      <c r="D20">
        <f>IF($A20="","",IFERROR(IF(LOOKUP(2,1/(人給データ!$B$2:$B$700=$A20),人給データ!$Y$2:$Y$700)=0,"",LOOKUP(2,1/(人給データ!$B$2:$B$700=$A20),人給データ!$Y$2:$Y$700)),""))</f>
        <v/>
      </c>
      <c r="E20" s="20" t="n">
        <v>45077</v>
      </c>
      <c r="F20" s="16">
        <f>IF(OR(E20="",NOT(ISNUMBER(E20))),"",DATE(YEAR(E20)+2,MONTH(E20),DAY(E20)-2))</f>
        <v/>
      </c>
      <c r="G20" s="20" t="n">
        <v>45761</v>
      </c>
      <c r="H20" s="20" t="n">
        <v>46112</v>
      </c>
      <c r="I20" s="12" t="n"/>
      <c r="J20" t="n">
        <v>23.75</v>
      </c>
      <c r="K20" s="13" t="n">
        <v>340000</v>
      </c>
      <c r="L20" s="12" t="n"/>
      <c r="M20" s="12" t="n"/>
      <c r="N20" s="11" t="n"/>
      <c r="O20" s="11" t="n"/>
      <c r="P20" s="14">
        <f>IF(AND(M20&lt;&gt;"",O20=""),"保留中","")</f>
        <v/>
      </c>
      <c r="Q20" s="14">
        <f>IF(P20="保留中",COUNTIF(P$6:P20,"保留中"),"")</f>
        <v/>
      </c>
    </row>
    <row r="21">
      <c r="A21" s="12" t="n">
        <v>6002976</v>
      </c>
      <c r="B21">
        <f>IF($A21="","",IFERROR(IF(LOOKUP(2,1/(人給データ!$B$2:$B$700=$A21),人給データ!$C$2:$C$700)=0,"",LOOKUP(2,1/(人給データ!$B$2:$B$700=$A21),人給データ!$C$2:$C$700)),""))</f>
        <v/>
      </c>
      <c r="C21" t="inlineStr">
        <is>
          <t>坪井保育園</t>
        </is>
      </c>
      <c r="D21">
        <f>IF($A21="","",IFERROR(IF(LOOKUP(2,1/(人給データ!$B$2:$B$700=$A21),人給データ!$Y$2:$Y$700)=0,"",LOOKUP(2,1/(人給データ!$B$2:$B$700=$A21),人給データ!$Y$2:$Y$700)),""))</f>
        <v/>
      </c>
      <c r="E21" s="20" t="n">
        <v>45337</v>
      </c>
      <c r="F21" s="16">
        <f>IF(OR(E21="",NOT(ISNUMBER(E21))),"",DATE(YEAR(E21)+2,MONTH(E21),DAY(E21)-2))</f>
        <v/>
      </c>
      <c r="G21" s="20" t="n">
        <v>45778</v>
      </c>
      <c r="H21" s="20" t="n">
        <v>46112</v>
      </c>
      <c r="I21" s="12" t="n"/>
      <c r="J21" t="n">
        <v>23.75</v>
      </c>
      <c r="K21" s="13" t="n">
        <v>300000</v>
      </c>
      <c r="L21" s="12" t="n"/>
      <c r="M21" s="12" t="n"/>
      <c r="N21" s="11" t="n"/>
      <c r="O21" s="11" t="n"/>
      <c r="P21" s="14">
        <f>IF(AND(M21&lt;&gt;"",O21=""),"保留中","")</f>
        <v/>
      </c>
      <c r="Q21" s="14">
        <f>IF(P21="保留中",COUNTIF(P$6:P21,"保留中"),"")</f>
        <v/>
      </c>
    </row>
    <row r="22">
      <c r="A22" s="12" t="n">
        <v>6003057</v>
      </c>
      <c r="B22">
        <f>IF($A22="","",IFERROR(IF(LOOKUP(2,1/(人給データ!$B$2:$B$700=$A22),人給データ!$C$2:$C$700)=0,"",LOOKUP(2,1/(人給データ!$B$2:$B$700=$A22),人給データ!$C$2:$C$700)),""))</f>
        <v/>
      </c>
      <c r="C22" t="inlineStr">
        <is>
          <t>仁保保育園</t>
        </is>
      </c>
      <c r="D22">
        <f>IF($A22="","",IFERROR(IF(LOOKUP(2,1/(人給データ!$B$2:$B$700=$A22),人給データ!$Y$2:$Y$700)=0,"",LOOKUP(2,1/(人給データ!$B$2:$B$700=$A22),人給データ!$Y$2:$Y$700)),""))</f>
        <v/>
      </c>
      <c r="E22" s="20" t="n">
        <v>45394</v>
      </c>
      <c r="F22" s="16">
        <f>IF(OR(E22="",NOT(ISNUMBER(E22))),"",DATE(YEAR(E22)+2,MONTH(E22),DAY(E22)-2))</f>
        <v/>
      </c>
      <c r="G22" s="20" t="n">
        <v>45762</v>
      </c>
      <c r="H22" s="20" t="n">
        <v>46112</v>
      </c>
      <c r="I22" s="12" t="n"/>
      <c r="J22" t="n">
        <v>23.75</v>
      </c>
      <c r="K22" s="13" t="n">
        <v>360000</v>
      </c>
      <c r="L22" s="12" t="inlineStr">
        <is>
          <t>第２子</t>
        </is>
      </c>
      <c r="M22" s="12" t="n"/>
      <c r="N22" s="11" t="n"/>
      <c r="O22" s="11" t="n"/>
      <c r="P22" s="14">
        <f>IF(AND(M22&lt;&gt;"",O22=""),"保留中","")</f>
        <v/>
      </c>
      <c r="Q22" s="14">
        <f>IF(P22="保留中",COUNTIF(P$6:P22,"保留中"),"")</f>
        <v/>
      </c>
    </row>
    <row r="23">
      <c r="A23" s="12" t="n">
        <v>6100309</v>
      </c>
      <c r="B23">
        <f>IF($A23="","",IFERROR(IF(LOOKUP(2,1/(人給データ!$B$2:$B$700=$A23),人給データ!$C$2:$C$700)=0,"",LOOKUP(2,1/(人給データ!$B$2:$B$700=$A23),人給データ!$C$2:$C$700)),""))</f>
        <v/>
      </c>
      <c r="C23" t="inlineStr">
        <is>
          <t>広島みらい創生高校</t>
        </is>
      </c>
      <c r="D23">
        <f>IF($A23="","",IFERROR(IF(LOOKUP(2,1/(人給データ!$B$2:$B$700=$A23),人給データ!$Y$2:$Y$700)=0,"",LOOKUP(2,1/(人給データ!$B$2:$B$700=$A23),人給データ!$Y$2:$Y$700)),""))</f>
        <v/>
      </c>
      <c r="E23" s="20" t="n">
        <v>45607</v>
      </c>
      <c r="F23" s="16">
        <f>IF(OR(E23="",NOT(ISNUMBER(E23))),"",DATE(YEAR(E23)+2,MONTH(E23),DAY(E23)-2))</f>
        <v/>
      </c>
      <c r="G23" s="20">
        <f>IF($A23="","",IFERROR(IF(LOOKUP(2,1/(人給データ!$B$2:$B$700=$A23),人給データ!$J$2:$J$700)=0,"",LOOKUP(2,1/(人給データ!$B$2:$B$700=$A23),人給データ!$J$2:$J$700)),""))</f>
        <v/>
      </c>
      <c r="H23" s="20">
        <f>IF($A23="","",IFERROR(IF(LOOKUP(2,1/(人給データ!$B$2:$B$700=$A23),人給データ!$K$2:$K$700)=0,"",LOOKUP(2,1/(人給データ!$B$2:$B$700=$A23),人給データ!$K$2:$K$700)),""))</f>
        <v/>
      </c>
      <c r="I23" s="12" t="n"/>
      <c r="J23">
        <f>IF($A23="","",IFERROR(IF(LOOKUP(2,1/(人給データ!$B$2:$B$700=$A23),人給データ!$N$2:$N$700)=0,"",LOOKUP(2,1/(人給データ!$B$2:$B$700=$A23),人給データ!$N$2:$N$700)),""))</f>
        <v/>
      </c>
      <c r="K23" s="13" t="n">
        <v>440000</v>
      </c>
      <c r="L23" s="12" t="inlineStr">
        <is>
          <t>部分休業</t>
        </is>
      </c>
      <c r="M23" s="12" t="n"/>
      <c r="N23" s="11" t="n"/>
      <c r="O23" s="11" t="n"/>
      <c r="P23" s="14">
        <f>IF(AND(M23&lt;&gt;"",O23=""),"保留中","")</f>
        <v/>
      </c>
      <c r="Q23" s="14">
        <f>IF(P23="保留中",COUNTIF(P$6:P23,"保留中"),"")</f>
        <v/>
      </c>
    </row>
    <row r="24">
      <c r="A24" s="12" t="n">
        <v>6101653</v>
      </c>
      <c r="B24">
        <f>IF($A24="","",IFERROR(IF(LOOKUP(2,1/(人給データ!$B$2:$B$700=$A24),人給データ!$C$2:$C$700)=0,"",LOOKUP(2,1/(人給データ!$B$2:$B$700=$A24),人給データ!$C$2:$C$700)),""))</f>
        <v/>
      </c>
      <c r="C24" t="inlineStr">
        <is>
          <t>東区役所厚生部福祉課児童福祉係</t>
        </is>
      </c>
      <c r="D24">
        <f>IF($A24="","",IFERROR(IF(LOOKUP(2,1/(人給データ!$B$2:$B$700=$A24),人給データ!$Y$2:$Y$700)=0,"",LOOKUP(2,1/(人給データ!$B$2:$B$700=$A24),人給データ!$Y$2:$Y$700)),""))</f>
        <v/>
      </c>
      <c r="E24" s="20" t="n">
        <v>45229</v>
      </c>
      <c r="F24" s="16">
        <f>IF(OR(E24="",NOT(ISNUMBER(E24))),"",DATE(YEAR(E24)+2,MONTH(E24),DAY(E24)-2))</f>
        <v/>
      </c>
      <c r="G24" s="20" t="n">
        <v>45762</v>
      </c>
      <c r="H24" s="20" t="n">
        <v>46126</v>
      </c>
      <c r="I24" s="12" t="n"/>
      <c r="J24" t="n">
        <v>23.25</v>
      </c>
      <c r="K24" s="13" t="n">
        <v>190000</v>
      </c>
      <c r="L24" s="12" t="n"/>
      <c r="M24" s="12" t="n"/>
      <c r="N24" s="11" t="n"/>
      <c r="O24" s="11" t="n"/>
      <c r="P24" s="14">
        <f>IF(AND(M24&lt;&gt;"",O24=""),"保留中","")</f>
        <v/>
      </c>
      <c r="Q24" s="14">
        <f>IF(P24="保留中",COUNTIF(P$6:P24,"保留中"),"")</f>
        <v/>
      </c>
    </row>
    <row r="25">
      <c r="A25" s="12" t="n">
        <v>6101828</v>
      </c>
      <c r="B25">
        <f>IF($A25="","",IFERROR(IF(LOOKUP(2,1/(人給データ!$B$2:$B$700=$A25),人給データ!$C$2:$C$700)=0,"",LOOKUP(2,1/(人給データ!$B$2:$B$700=$A25),人給データ!$C$2:$C$700)),""))</f>
        <v/>
      </c>
      <c r="C25" t="inlineStr">
        <is>
          <t>東浄保育園</t>
        </is>
      </c>
      <c r="D25">
        <f>IF($A25="","",IFERROR(IF(LOOKUP(2,1/(人給データ!$B$2:$B$700=$A25),人給データ!$Y$2:$Y$700)=0,"",LOOKUP(2,1/(人給データ!$B$2:$B$700=$A25),人給データ!$Y$2:$Y$700)),""))</f>
        <v/>
      </c>
      <c r="E25" s="20" t="n">
        <v>45618</v>
      </c>
      <c r="F25" s="16">
        <f>IF(OR(E25="",NOT(ISNUMBER(E25))),"",DATE(YEAR(E25)+2,MONTH(E25),DAY(E25)-2))</f>
        <v/>
      </c>
      <c r="G25" s="20" t="n">
        <v>45983</v>
      </c>
      <c r="H25" s="20" t="n">
        <v>46112</v>
      </c>
      <c r="I25" s="12" t="n"/>
      <c r="J25" t="n">
        <v>23.75</v>
      </c>
      <c r="K25" s="13" t="n">
        <v>320000</v>
      </c>
      <c r="L25" s="12" t="inlineStr">
        <is>
          <t>育休期間変更保留</t>
        </is>
      </c>
      <c r="M25" s="12" t="n"/>
      <c r="N25" s="11" t="n"/>
      <c r="O25" s="11" t="n"/>
      <c r="P25" s="14">
        <f>IF(AND(M25&lt;&gt;"",O25=""),"保留中","")</f>
        <v/>
      </c>
      <c r="Q25" s="14">
        <f>IF(P25="保留中",COUNTIF(P$6:P25,"保留中"),"")</f>
        <v/>
      </c>
    </row>
    <row r="26">
      <c r="A26" s="12" t="n">
        <v>6101950</v>
      </c>
      <c r="B26">
        <f>IF($A26="","",IFERROR(IF(LOOKUP(2,1/(人給データ!$B$2:$B$700=$A26),人給データ!$C$2:$C$700)=0,"",LOOKUP(2,1/(人給データ!$B$2:$B$700=$A26),人給データ!$C$2:$C$700)),""))</f>
        <v/>
      </c>
      <c r="C26" t="inlineStr">
        <is>
          <t>基町保育園</t>
        </is>
      </c>
      <c r="D26">
        <f>IF($A26="","",IFERROR(IF(LOOKUP(2,1/(人給データ!$B$2:$B$700=$A26),人給データ!$Y$2:$Y$700)=0,"",LOOKUP(2,1/(人給データ!$B$2:$B$700=$A26),人給データ!$Y$2:$Y$700)),""))</f>
        <v/>
      </c>
      <c r="E26" s="20" t="n">
        <v>45281</v>
      </c>
      <c r="F26" s="16">
        <f>IF(OR(E26="",NOT(ISNUMBER(E26))),"",DATE(YEAR(E26)+2,MONTH(E26),DAY(E26)-2))</f>
        <v/>
      </c>
      <c r="G26" s="20" t="n">
        <v>45778</v>
      </c>
      <c r="H26" s="20" t="n">
        <v>46112</v>
      </c>
      <c r="I26" s="12" t="n"/>
      <c r="J26" t="n">
        <v>20</v>
      </c>
      <c r="K26" s="13" t="n">
        <v>320000</v>
      </c>
      <c r="L26" s="12" t="n"/>
      <c r="M26" s="12" t="n"/>
      <c r="N26" s="11" t="n"/>
      <c r="O26" s="11" t="n"/>
      <c r="P26" s="14">
        <f>IF(AND(M26&lt;&gt;"",O26=""),"保留中","")</f>
        <v/>
      </c>
      <c r="Q26" s="14">
        <f>IF(P26="保留中",COUNTIF(P$6:P26,"保留中"),"")</f>
        <v/>
      </c>
    </row>
    <row r="27">
      <c r="A27" s="12" t="n">
        <v>6102230</v>
      </c>
      <c r="B27">
        <f>IF($A27="","",IFERROR(IF(LOOKUP(2,1/(人給データ!$B$2:$B$700=$A27),人給データ!$C$2:$C$700)=0,"",LOOKUP(2,1/(人給データ!$B$2:$B$700=$A27),人給データ!$C$2:$C$700)),""))</f>
        <v/>
      </c>
      <c r="C27" t="inlineStr">
        <is>
          <t>上安保育園</t>
        </is>
      </c>
      <c r="D27">
        <f>IF($A27="","",IFERROR(IF(LOOKUP(2,1/(人給データ!$B$2:$B$700=$A27),人給データ!$Y$2:$Y$700)=0,"",LOOKUP(2,1/(人給データ!$B$2:$B$700=$A27),人給データ!$Y$2:$Y$700)),""))</f>
        <v/>
      </c>
      <c r="E27" s="20" t="n">
        <v>45102</v>
      </c>
      <c r="F27" s="16">
        <f>IF(OR(E27="",NOT(ISNUMBER(E27))),"",DATE(YEAR(E27)+2,MONTH(E27),DAY(E27)-2))</f>
        <v/>
      </c>
      <c r="G27" s="20" t="n">
        <v>45762</v>
      </c>
      <c r="H27" s="20" t="n">
        <v>46112</v>
      </c>
      <c r="I27" s="12" t="n"/>
      <c r="J27" t="n">
        <v>23.75</v>
      </c>
      <c r="K27" s="13" t="n">
        <v>260000</v>
      </c>
      <c r="L27" s="12" t="n"/>
      <c r="M27" s="12" t="n"/>
      <c r="N27" s="11" t="n"/>
      <c r="O27" s="11" t="n"/>
      <c r="P27" s="14">
        <f>IF(AND(M27&lt;&gt;"",O27=""),"保留中","")</f>
        <v/>
      </c>
      <c r="Q27" s="14">
        <f>IF(P27="保留中",COUNTIF(P$6:P27,"保留中"),"")</f>
        <v/>
      </c>
    </row>
    <row r="28">
      <c r="A28" s="12" t="n">
        <v>6200224</v>
      </c>
      <c r="B28">
        <f>IF($A28="","",IFERROR(IF(LOOKUP(2,1/(人給データ!$B$2:$B$700=$A28),人給データ!$C$2:$C$700)=0,"",LOOKUP(2,1/(人給データ!$B$2:$B$700=$A28),人給データ!$C$2:$C$700)),""))</f>
        <v/>
      </c>
      <c r="C28" t="inlineStr">
        <is>
          <t>こども未来局幼保給付課</t>
        </is>
      </c>
      <c r="D28">
        <f>IF($A28="","",IFERROR(IF(LOOKUP(2,1/(人給データ!$B$2:$B$700=$A28),人給データ!$Y$2:$Y$700)=0,"",LOOKUP(2,1/(人給データ!$B$2:$B$700=$A28),人給データ!$Y$2:$Y$700)),""))</f>
        <v/>
      </c>
      <c r="E28" s="20" t="n">
        <v>45580</v>
      </c>
      <c r="F28" s="16">
        <f>IF(OR(E28="",NOT(ISNUMBER(E28))),"",DATE(YEAR(E28)+2,MONTH(E28),DAY(E28)-2))</f>
        <v/>
      </c>
      <c r="G28" s="20" t="n">
        <v>46143</v>
      </c>
      <c r="H28" s="20" t="n">
        <v>46477</v>
      </c>
      <c r="I28" s="12" t="inlineStr">
        <is>
          <t>部分休業</t>
        </is>
      </c>
      <c r="J28">
        <f>IF($A28="","",IFERROR(IF(LOOKUP(2,1/(人給データ!$B$2:$B$700=$A28),人給データ!$N$2:$N$700)=0,"",LOOKUP(2,1/(人給データ!$B$2:$B$700=$A28),人給データ!$N$2:$N$700)),""))</f>
        <v/>
      </c>
      <c r="K28" s="13" t="n">
        <v>440000</v>
      </c>
      <c r="L28" s="12" t="n"/>
      <c r="M28" s="12" t="n"/>
      <c r="N28" s="11" t="n"/>
      <c r="O28" s="11" t="n"/>
      <c r="P28" s="14">
        <f>IF(AND(M28&lt;&gt;"",O28=""),"保留中","")</f>
        <v/>
      </c>
      <c r="Q28" s="14">
        <f>IF(P28="保留中",COUNTIF(P$6:P28,"保留中"),"")</f>
        <v/>
      </c>
    </row>
    <row r="29">
      <c r="A29" s="12" t="n">
        <v>6201735</v>
      </c>
      <c r="B29">
        <f>IF($A29="","",IFERROR(IF(LOOKUP(2,1/(人給データ!$B$2:$B$700=$A29),人給データ!$C$2:$C$700)=0,"",LOOKUP(2,1/(人給データ!$B$2:$B$700=$A29),人給データ!$C$2:$C$700)),""))</f>
        <v/>
      </c>
      <c r="C29" t="inlineStr">
        <is>
          <t>基町保育園</t>
        </is>
      </c>
      <c r="D29">
        <f>IF($A29="","",IFERROR(IF(LOOKUP(2,1/(人給データ!$B$2:$B$700=$A29),人給データ!$Y$2:$Y$700)=0,"",LOOKUP(2,1/(人給データ!$B$2:$B$700=$A29),人給データ!$Y$2:$Y$700)),""))</f>
        <v/>
      </c>
      <c r="E29" s="20" t="n">
        <v>45138</v>
      </c>
      <c r="F29" s="16">
        <f>IF(OR(E29="",NOT(ISNUMBER(E29))),"",DATE(YEAR(E29)+2,MONTH(E29),DAY(E29)-2))</f>
        <v/>
      </c>
      <c r="G29" s="20" t="n">
        <v>45761</v>
      </c>
      <c r="H29" s="20" t="n">
        <v>46112</v>
      </c>
      <c r="I29" s="12" t="n"/>
      <c r="J29" t="n">
        <v>23.75</v>
      </c>
      <c r="K29" s="13" t="n">
        <v>300000</v>
      </c>
      <c r="L29" s="12" t="n"/>
      <c r="M29" s="12" t="n"/>
      <c r="N29" s="11" t="n"/>
      <c r="O29" s="11" t="n"/>
      <c r="P29" s="14">
        <f>IF(AND(M29&lt;&gt;"",O29=""),"保留中","")</f>
        <v/>
      </c>
      <c r="Q29" s="14">
        <f>IF(P29="保留中",COUNTIF(P$6:P29,"保留中"),"")</f>
        <v/>
      </c>
    </row>
    <row r="30">
      <c r="A30" s="12" t="n">
        <v>6201776</v>
      </c>
      <c r="B30">
        <f>IF($A30="","",IFERROR(IF(LOOKUP(2,1/(人給データ!$B$2:$B$700=$A30),人給データ!$C$2:$C$700)=0,"",LOOKUP(2,1/(人給データ!$B$2:$B$700=$A30),人給データ!$C$2:$C$700)),""))</f>
        <v/>
      </c>
      <c r="C30" t="inlineStr">
        <is>
          <t>あけぼの保育園</t>
        </is>
      </c>
      <c r="D30">
        <f>IF($A30="","",IFERROR(IF(LOOKUP(2,1/(人給データ!$B$2:$B$700=$A30),人給データ!$Y$2:$Y$700)=0,"",LOOKUP(2,1/(人給データ!$B$2:$B$700=$A30),人給データ!$Y$2:$Y$700)),""))</f>
        <v/>
      </c>
      <c r="E30" s="20" t="n">
        <v>45195</v>
      </c>
      <c r="F30" s="16">
        <f>IF(OR(E30="",NOT(ISNUMBER(E30))),"",DATE(YEAR(E30)+2,MONTH(E30),DAY(E30)-2))</f>
        <v/>
      </c>
      <c r="G30" s="20" t="n">
        <v>45755</v>
      </c>
      <c r="H30" s="20" t="n">
        <v>46112</v>
      </c>
      <c r="I30" s="12" t="n"/>
      <c r="J30" t="n">
        <v>23.75</v>
      </c>
      <c r="K30" s="13" t="n">
        <v>320000</v>
      </c>
      <c r="L30" s="12" t="n"/>
      <c r="M30" s="12" t="n"/>
      <c r="N30" s="11" t="n"/>
      <c r="O30" s="11" t="n"/>
      <c r="P30" s="14">
        <f>IF(AND(M30&lt;&gt;"",O30=""),"保留中","")</f>
        <v/>
      </c>
      <c r="Q30" s="14">
        <f>IF(P30="保留中",COUNTIF(P$6:P30,"保留中"),"")</f>
        <v/>
      </c>
    </row>
    <row r="31">
      <c r="A31" s="12" t="n">
        <v>6301386</v>
      </c>
      <c r="B31">
        <f>IF($A31="","",IFERROR(IF(LOOKUP(2,1/(人給データ!$B$2:$B$700=$A31),人給データ!$C$2:$C$700)=0,"",LOOKUP(2,1/(人給データ!$B$2:$B$700=$A31),人給データ!$C$2:$C$700)),""))</f>
        <v/>
      </c>
      <c r="C31" t="inlineStr">
        <is>
          <t>庚午保育園</t>
        </is>
      </c>
      <c r="D31">
        <f>IF($A31="","",IFERROR(IF(LOOKUP(2,1/(人給データ!$B$2:$B$700=$A31),人給データ!$Y$2:$Y$700)=0,"",LOOKUP(2,1/(人給データ!$B$2:$B$700=$A31),人給データ!$Y$2:$Y$700)),""))</f>
        <v/>
      </c>
      <c r="E31" s="20" t="n">
        <v>45197</v>
      </c>
      <c r="F31" s="16">
        <f>IF(OR(E31="",NOT(ISNUMBER(E31))),"",DATE(YEAR(E31)+2,MONTH(E31),DAY(E31)-2))</f>
        <v/>
      </c>
      <c r="G31" s="20" t="n">
        <v>45762</v>
      </c>
      <c r="H31" s="20" t="n">
        <v>46112</v>
      </c>
      <c r="I31" s="12" t="n"/>
      <c r="J31" t="n">
        <v>23.75</v>
      </c>
      <c r="K31" s="13" t="n">
        <v>300000</v>
      </c>
      <c r="L31" s="12" t="n"/>
      <c r="M31" s="12" t="n"/>
      <c r="N31" s="11" t="n"/>
      <c r="O31" s="11" t="n"/>
      <c r="P31" s="14">
        <f>IF(AND(M31&lt;&gt;"",O31=""),"保留中","")</f>
        <v/>
      </c>
      <c r="Q31" s="14">
        <f>IF(P31="保留中",COUNTIF(P$6:P31,"保留中"),"")</f>
        <v/>
      </c>
    </row>
    <row r="32">
      <c r="A32" s="12" t="n">
        <v>6301576</v>
      </c>
      <c r="B32">
        <f>IF($A32="","",IFERROR(IF(LOOKUP(2,1/(人給データ!$B$2:$B$700=$A32),人給データ!$C$2:$C$700)=0,"",LOOKUP(2,1/(人給データ!$B$2:$B$700=$A32),人給データ!$C$2:$C$700)),""))</f>
        <v/>
      </c>
      <c r="C32" t="inlineStr">
        <is>
          <t>大河保育園</t>
        </is>
      </c>
      <c r="D32">
        <f>IF($A32="","",IFERROR(IF(LOOKUP(2,1/(人給データ!$B$2:$B$700=$A32),人給データ!$Y$2:$Y$700)=0,"",LOOKUP(2,1/(人給データ!$B$2:$B$700=$A32),人給データ!$Y$2:$Y$700)),""))</f>
        <v/>
      </c>
      <c r="E32" s="20" t="n">
        <v>45560</v>
      </c>
      <c r="F32" s="16">
        <f>IF(OR(E32="",NOT(ISNUMBER(E32))),"",DATE(YEAR(E32)+2,MONTH(E32),DAY(E32)-2))</f>
        <v/>
      </c>
      <c r="G32" s="20" t="n">
        <v>45962</v>
      </c>
      <c r="H32" s="20" t="n">
        <v>46112</v>
      </c>
      <c r="I32" s="12" t="n"/>
      <c r="J32" t="n">
        <v>23.75</v>
      </c>
      <c r="K32" s="13" t="n">
        <v>360000</v>
      </c>
      <c r="L32" s="12" t="inlineStr">
        <is>
          <t>育休期間変更　保留</t>
        </is>
      </c>
      <c r="M32" s="12" t="inlineStr">
        <is>
          <t>育休期間の変更待ち</t>
        </is>
      </c>
      <c r="N32" s="11" t="n"/>
      <c r="O32" s="11" t="n"/>
      <c r="P32" s="14">
        <f>IF(AND(M32&lt;&gt;"",O32=""),"保留中","")</f>
        <v/>
      </c>
      <c r="Q32" s="14">
        <f>IF(P32="保留中",COUNTIF(P$6:P32,"保留中"),"")</f>
        <v/>
      </c>
    </row>
    <row r="33">
      <c r="A33" s="12" t="n">
        <v>6402739</v>
      </c>
      <c r="B33">
        <f>IF($A33="","",IFERROR(IF(LOOKUP(2,1/(人給データ!$B$2:$B$700=$A33),人給データ!$C$2:$C$700)=0,"",LOOKUP(2,1/(人給データ!$B$2:$B$700=$A33),人給データ!$C$2:$C$700)),""))</f>
        <v/>
      </c>
      <c r="C33" t="inlineStr">
        <is>
          <t>江波第二保育園</t>
        </is>
      </c>
      <c r="D33">
        <f>IF($A33="","",IFERROR(IF(LOOKUP(2,1/(人給データ!$B$2:$B$700=$A33),人給データ!$Y$2:$Y$700)=0,"",LOOKUP(2,1/(人給データ!$B$2:$B$700=$A33),人給データ!$Y$2:$Y$700)),""))</f>
        <v/>
      </c>
      <c r="E33" s="20" t="n">
        <v>45581</v>
      </c>
      <c r="F33" s="16">
        <f>IF(OR(E33="",NOT(ISNUMBER(E33))),"",DATE(YEAR(E33)+2,MONTH(E33),DAY(E33)-2))</f>
        <v/>
      </c>
      <c r="G33" s="20" t="n">
        <v>46113</v>
      </c>
      <c r="H33" s="20" t="n">
        <v>46477</v>
      </c>
      <c r="I33" s="12" t="n"/>
      <c r="J33" t="n">
        <v>23.45</v>
      </c>
      <c r="K33" s="13" t="n">
        <v>300000</v>
      </c>
      <c r="L33" s="12" t="n"/>
      <c r="M33" s="12" t="n"/>
      <c r="N33" s="11" t="n"/>
      <c r="O33" s="11" t="n"/>
      <c r="P33" s="14">
        <f>IF(AND(M33&lt;&gt;"",O33=""),"保留中","")</f>
        <v/>
      </c>
      <c r="Q33" s="14">
        <f>IF(P33="保留中",COUNTIF(P$6:P33,"保留中"),"")</f>
        <v/>
      </c>
    </row>
    <row r="34">
      <c r="A34" s="12" t="n">
        <v>6402829</v>
      </c>
      <c r="B34">
        <f>IF($A34="","",IFERROR(IF(LOOKUP(2,1/(人給データ!$B$2:$B$700=$A34),人給データ!$C$2:$C$700)=0,"",LOOKUP(2,1/(人給データ!$B$2:$B$700=$A34),人給データ!$C$2:$C$700)),""))</f>
        <v/>
      </c>
      <c r="C34" t="inlineStr">
        <is>
          <t>井口保育園</t>
        </is>
      </c>
      <c r="D34">
        <f>IF($A34="","",IFERROR(IF(LOOKUP(2,1/(人給データ!$B$2:$B$700=$A34),人給データ!$Y$2:$Y$700)=0,"",LOOKUP(2,1/(人給データ!$B$2:$B$700=$A34),人給データ!$Y$2:$Y$700)),""))</f>
        <v/>
      </c>
      <c r="E34" s="20" t="n">
        <v>45144</v>
      </c>
      <c r="F34" s="16">
        <f>IF(OR(E34="",NOT(ISNUMBER(E34))),"",DATE(YEAR(E34)+2,MONTH(E34),DAY(E34)-2))</f>
        <v/>
      </c>
      <c r="G34" s="20" t="n">
        <v>45761</v>
      </c>
      <c r="H34" s="20" t="n">
        <v>46112</v>
      </c>
      <c r="I34" s="12" t="n"/>
      <c r="J34" t="n">
        <v>23.75</v>
      </c>
      <c r="K34" s="13" t="n">
        <v>280000</v>
      </c>
      <c r="L34" s="12" t="n"/>
      <c r="M34" s="12" t="n"/>
      <c r="N34" s="11" t="n"/>
      <c r="O34" s="11" t="n"/>
      <c r="P34" s="14">
        <f>IF(AND(M34&lt;&gt;"",O34=""),"保留中","")</f>
        <v/>
      </c>
      <c r="Q34" s="14">
        <f>IF(P34="保留中",COUNTIF(P$6:P34,"保留中"),"")</f>
        <v/>
      </c>
    </row>
    <row r="35">
      <c r="A35" s="12" t="n">
        <v>6402887</v>
      </c>
      <c r="B35">
        <f>IF($A35="","",IFERROR(IF(LOOKUP(2,1/(人給データ!$B$2:$B$700=$A35),人給データ!$C$2:$C$700)=0,"",LOOKUP(2,1/(人給データ!$B$2:$B$700=$A35),人給データ!$C$2:$C$700)),""))</f>
        <v/>
      </c>
      <c r="C35" t="inlineStr">
        <is>
          <t>吉島保育園</t>
        </is>
      </c>
      <c r="D35">
        <f>IF($A35="","",IFERROR(IF(LOOKUP(2,1/(人給データ!$B$2:$B$700=$A35),人給データ!$Y$2:$Y$700)=0,"",LOOKUP(2,1/(人給データ!$B$2:$B$700=$A35),人給データ!$Y$2:$Y$700)),""))</f>
        <v/>
      </c>
      <c r="E35" s="20" t="n">
        <v>45126</v>
      </c>
      <c r="F35" s="16">
        <f>IF(OR(E35="",NOT(ISNUMBER(E35))),"",DATE(YEAR(E35)+2,MONTH(E35),DAY(E35)-2))</f>
        <v/>
      </c>
      <c r="G35" s="20" t="n">
        <v>45762</v>
      </c>
      <c r="H35" s="20" t="n">
        <v>46112</v>
      </c>
      <c r="I35" s="12" t="n"/>
      <c r="J35" t="n">
        <v>23.75</v>
      </c>
      <c r="K35" s="13" t="n">
        <v>240000</v>
      </c>
      <c r="L35" s="12" t="n"/>
      <c r="M35" s="12" t="n"/>
      <c r="N35" s="11" t="n"/>
      <c r="O35" s="11" t="n"/>
      <c r="P35" s="14">
        <f>IF(AND(M35&lt;&gt;"",O35=""),"保留中","")</f>
        <v/>
      </c>
      <c r="Q35" s="14">
        <f>IF(P35="保留中",COUNTIF(P$6:P35,"保留中"),"")</f>
        <v/>
      </c>
    </row>
    <row r="36">
      <c r="A36" s="12" t="n">
        <v>6402903</v>
      </c>
      <c r="B36">
        <f>IF($A36="","",IFERROR(IF(LOOKUP(2,1/(人給データ!$B$2:$B$700=$A36),人給データ!$C$2:$C$700)=0,"",LOOKUP(2,1/(人給データ!$B$2:$B$700=$A36),人給データ!$C$2:$C$700)),""))</f>
        <v/>
      </c>
      <c r="C36" t="inlineStr">
        <is>
          <t>己斐保育園</t>
        </is>
      </c>
      <c r="D36">
        <f>IF($A36="","",IFERROR(IF(LOOKUP(2,1/(人給データ!$B$2:$B$700=$A36),人給データ!$Y$2:$Y$700)=0,"",LOOKUP(2,1/(人給データ!$B$2:$B$700=$A36),人給データ!$Y$2:$Y$700)),""))</f>
        <v/>
      </c>
      <c r="E36" s="20" t="n">
        <v>45300</v>
      </c>
      <c r="F36" s="16">
        <f>IF(OR(E36="",NOT(ISNUMBER(E36))),"",DATE(YEAR(E36)+2,MONTH(E36),DAY(E36)-2))</f>
        <v/>
      </c>
      <c r="G36" s="20" t="n">
        <v>45764</v>
      </c>
      <c r="H36" s="20" t="n">
        <v>46112</v>
      </c>
      <c r="I36" s="12" t="n"/>
      <c r="J36" t="n">
        <v>23.75</v>
      </c>
      <c r="K36" s="13" t="n">
        <v>280000</v>
      </c>
      <c r="L36" s="12" t="n"/>
      <c r="M36" s="12" t="n"/>
      <c r="N36" s="11" t="n"/>
      <c r="O36" s="11" t="n"/>
      <c r="P36" s="14">
        <f>IF(AND(M36&lt;&gt;"",O36=""),"保留中","")</f>
        <v/>
      </c>
      <c r="Q36" s="14">
        <f>IF(P36="保留中",COUNTIF(P$6:P36,"保留中"),"")</f>
        <v/>
      </c>
    </row>
    <row r="37">
      <c r="A37" s="12" t="n">
        <v>6402911</v>
      </c>
      <c r="B37">
        <f>IF($A37="","",IFERROR(IF(LOOKUP(2,1/(人給データ!$B$2:$B$700=$A37),人給データ!$C$2:$C$700)=0,"",LOOKUP(2,1/(人給データ!$B$2:$B$700=$A37),人給データ!$C$2:$C$700)),""))</f>
        <v/>
      </c>
      <c r="C37" t="inlineStr">
        <is>
          <t>八幡保育園</t>
        </is>
      </c>
      <c r="D37">
        <f>IF($A37="","",IFERROR(IF(LOOKUP(2,1/(人給データ!$B$2:$B$700=$A37),人給データ!$Y$2:$Y$700)=0,"",LOOKUP(2,1/(人給データ!$B$2:$B$700=$A37),人給データ!$Y$2:$Y$700)),""))</f>
        <v/>
      </c>
      <c r="E37" s="20" t="n">
        <v>45533</v>
      </c>
      <c r="F37" s="16">
        <f>IF(OR(E37="",NOT(ISNUMBER(E37))),"",DATE(YEAR(E37)+2,MONTH(E37),DAY(E37)-2))</f>
        <v/>
      </c>
      <c r="G37" s="20" t="n">
        <v>46143</v>
      </c>
      <c r="H37" s="20" t="n">
        <v>46477</v>
      </c>
      <c r="I37" s="12" t="n"/>
      <c r="J37" t="n">
        <v>23.45</v>
      </c>
      <c r="K37" s="13" t="n">
        <v>260000</v>
      </c>
      <c r="L37" s="12" t="n"/>
      <c r="M37" s="12" t="n"/>
      <c r="N37" s="11" t="n"/>
      <c r="O37" s="11" t="n"/>
      <c r="P37" s="14">
        <f>IF(AND(M37&lt;&gt;"",O37=""),"保留中","")</f>
        <v/>
      </c>
      <c r="Q37" s="14">
        <f>IF(P37="保留中",COUNTIF(P$6:P37,"保留中"),"")</f>
        <v/>
      </c>
    </row>
    <row r="38">
      <c r="A38" s="12" t="n">
        <v>6402952</v>
      </c>
      <c r="B38">
        <f>IF($A38="","",IFERROR(IF(LOOKUP(2,1/(人給データ!$B$2:$B$700=$A38),人給データ!$C$2:$C$700)=0,"",LOOKUP(2,1/(人給データ!$B$2:$B$700=$A38),人給データ!$C$2:$C$700)),""))</f>
        <v/>
      </c>
      <c r="C38" t="inlineStr">
        <is>
          <t>坪井保育園</t>
        </is>
      </c>
      <c r="D38">
        <f>IF($A38="","",IFERROR(IF(LOOKUP(2,1/(人給データ!$B$2:$B$700=$A38),人給データ!$Y$2:$Y$700)=0,"",LOOKUP(2,1/(人給データ!$B$2:$B$700=$A38),人給データ!$Y$2:$Y$700)),""))</f>
        <v/>
      </c>
      <c r="E38" s="20" t="n">
        <v>45421</v>
      </c>
      <c r="F38" s="16">
        <f>IF(OR(E38="",NOT(ISNUMBER(E38))),"",DATE(YEAR(E38)+2,MONTH(E38),DAY(E38)-2))</f>
        <v/>
      </c>
      <c r="G38" s="20" t="n">
        <v>45786</v>
      </c>
      <c r="H38" s="20" t="n">
        <v>46112</v>
      </c>
      <c r="I38" s="12" t="n"/>
      <c r="J38" t="n">
        <v>23.75</v>
      </c>
      <c r="K38" s="13" t="n">
        <v>300000</v>
      </c>
      <c r="L38" s="12" t="n"/>
      <c r="M38" s="12" t="n"/>
      <c r="N38" s="11" t="n"/>
      <c r="O38" s="11" t="n"/>
      <c r="P38" s="14">
        <f>IF(AND(M38&lt;&gt;"",O38=""),"保留中","")</f>
        <v/>
      </c>
      <c r="Q38" s="14">
        <f>IF(P38="保留中",COUNTIF(P$6:P38,"保留中"),"")</f>
        <v/>
      </c>
    </row>
    <row r="39">
      <c r="A39" s="12" t="n">
        <v>6403091</v>
      </c>
      <c r="B39">
        <f>IF($A39="","",IFERROR(IF(LOOKUP(2,1/(人給データ!$B$2:$B$700=$A39),人給データ!$C$2:$C$700)=0,"",LOOKUP(2,1/(人給データ!$B$2:$B$700=$A39),人給データ!$C$2:$C$700)),""))</f>
        <v/>
      </c>
      <c r="C39" t="inlineStr">
        <is>
          <t>あけぼの保育園</t>
        </is>
      </c>
      <c r="D39">
        <f>IF($A39="","",IFERROR(IF(LOOKUP(2,1/(人給データ!$B$2:$B$700=$A39),人給データ!$Y$2:$Y$700)=0,"",LOOKUP(2,1/(人給データ!$B$2:$B$700=$A39),人給データ!$Y$2:$Y$700)),""))</f>
        <v/>
      </c>
      <c r="E39" s="20" t="n">
        <v>45307</v>
      </c>
      <c r="F39" s="16">
        <f>IF(OR(E39="",NOT(ISNUMBER(E39))),"",DATE(YEAR(E39)+2,MONTH(E39),DAY(E39)-2))</f>
        <v/>
      </c>
      <c r="G39" s="20" t="n">
        <v>45762</v>
      </c>
      <c r="H39" s="20" t="n">
        <v>46112</v>
      </c>
      <c r="I39" s="12" t="n"/>
      <c r="J39" t="n">
        <v>23.75</v>
      </c>
      <c r="K39" s="13" t="n">
        <v>300000</v>
      </c>
      <c r="L39" s="12" t="n"/>
      <c r="M39" s="12" t="n"/>
      <c r="N39" s="11" t="n"/>
      <c r="O39" s="11" t="n"/>
      <c r="P39" s="14">
        <f>IF(AND(M39&lt;&gt;"",O39=""),"保留中","")</f>
        <v/>
      </c>
      <c r="Q39" s="14">
        <f>IF(P39="保留中",COUNTIF(P$6:P39,"保留中"),"")</f>
        <v/>
      </c>
    </row>
    <row r="40">
      <c r="A40" s="12" t="n">
        <v>6403208</v>
      </c>
      <c r="B40">
        <f>IF($A40="","",IFERROR(IF(LOOKUP(2,1/(人給データ!$B$2:$B$700=$A40),人給データ!$C$2:$C$700)=0,"",LOOKUP(2,1/(人給データ!$B$2:$B$700=$A40),人給データ!$C$2:$C$700)),""))</f>
        <v/>
      </c>
      <c r="C40" t="inlineStr">
        <is>
          <t>東浄保育園</t>
        </is>
      </c>
      <c r="D40">
        <f>IF($A40="","",IFERROR(IF(LOOKUP(2,1/(人給データ!$B$2:$B$700=$A40),人給データ!$Y$2:$Y$700)=0,"",LOOKUP(2,1/(人給データ!$B$2:$B$700=$A40),人給データ!$Y$2:$Y$700)),""))</f>
        <v/>
      </c>
      <c r="E40" s="20" t="n">
        <v>45349</v>
      </c>
      <c r="F40" s="16">
        <f>IF(OR(E40="",NOT(ISNUMBER(E40))),"",DATE(YEAR(E40)+2,MONTH(E40),DAY(E40)-2))</f>
        <v/>
      </c>
      <c r="G40" s="20" t="n">
        <v>45763</v>
      </c>
      <c r="H40" s="20" t="n">
        <v>46112</v>
      </c>
      <c r="I40" s="12" t="n"/>
      <c r="J40" t="n">
        <v>23.75</v>
      </c>
      <c r="K40" s="13" t="n">
        <v>260000</v>
      </c>
      <c r="L40" s="12" t="n"/>
      <c r="M40" s="12" t="n"/>
      <c r="N40" s="11" t="n"/>
      <c r="O40" s="11" t="n"/>
      <c r="P40" s="14">
        <f>IF(AND(M40&lt;&gt;"",O40=""),"保留中","")</f>
        <v/>
      </c>
      <c r="Q40" s="14">
        <f>IF(P40="保留中",COUNTIF(P$6:P40,"保留中"),"")</f>
        <v/>
      </c>
    </row>
    <row r="41">
      <c r="A41" s="12" t="n">
        <v>6403281</v>
      </c>
      <c r="B41">
        <f>IF($A41="","",IFERROR(IF(LOOKUP(2,1/(人給データ!$B$2:$B$700=$A41),人給データ!$C$2:$C$700)=0,"",LOOKUP(2,1/(人給データ!$B$2:$B$700=$A41),人給データ!$C$2:$C$700)),""))</f>
        <v/>
      </c>
      <c r="C41" t="inlineStr">
        <is>
          <t>湯来保育園</t>
        </is>
      </c>
      <c r="D41">
        <f>IF($A41="","",IFERROR(IF(LOOKUP(2,1/(人給データ!$B$2:$B$700=$A41),人給データ!$Y$2:$Y$700)=0,"",LOOKUP(2,1/(人給データ!$B$2:$B$700=$A41),人給データ!$Y$2:$Y$700)),""))</f>
        <v/>
      </c>
      <c r="E41" s="20" t="n">
        <v>45504</v>
      </c>
      <c r="F41" s="16">
        <f>IF(OR(E41="",NOT(ISNUMBER(E41))),"",DATE(YEAR(E41)+2,MONTH(E41),DAY(E41)-2))</f>
        <v/>
      </c>
      <c r="G41" s="20" t="n">
        <v>46143</v>
      </c>
      <c r="H41" s="20" t="n">
        <v>46266</v>
      </c>
      <c r="I41" s="12" t="n"/>
      <c r="J41" t="n">
        <v>23.45</v>
      </c>
      <c r="K41" s="13" t="n">
        <v>320000</v>
      </c>
      <c r="L41" s="12" t="n"/>
      <c r="M41" s="12" t="n"/>
      <c r="N41" s="11" t="n"/>
      <c r="O41" s="11" t="n"/>
      <c r="P41" s="14">
        <f>IF(AND(M41&lt;&gt;"",O41=""),"保留中","")</f>
        <v/>
      </c>
      <c r="Q41" s="14">
        <f>IF(P41="保留中",COUNTIF(P$6:P41,"保留中"),"")</f>
        <v/>
      </c>
    </row>
    <row r="42">
      <c r="A42" s="12" t="n">
        <v>6403349</v>
      </c>
      <c r="B42">
        <f>IF($A42="","",IFERROR(IF(LOOKUP(2,1/(人給データ!$B$2:$B$700=$A42),人給データ!$C$2:$C$700)=0,"",LOOKUP(2,1/(人給データ!$B$2:$B$700=$A42),人給データ!$C$2:$C$700)),""))</f>
        <v/>
      </c>
      <c r="C42" t="inlineStr">
        <is>
          <t>竹屋保育園</t>
        </is>
      </c>
      <c r="D42">
        <f>IF($A42="","",IFERROR(IF(LOOKUP(2,1/(人給データ!$B$2:$B$700=$A42),人給データ!$Y$2:$Y$700)=0,"",LOOKUP(2,1/(人給データ!$B$2:$B$700=$A42),人給データ!$Y$2:$Y$700)),""))</f>
        <v/>
      </c>
      <c r="E42" s="20" t="n">
        <v>45078</v>
      </c>
      <c r="F42" s="16">
        <f>IF(OR(E42="",NOT(ISNUMBER(E42))),"",DATE(YEAR(E42)+2,MONTH(E42),DAY(E42)-2))</f>
        <v/>
      </c>
      <c r="G42" s="20" t="n">
        <v>45748</v>
      </c>
      <c r="H42" s="20" t="n">
        <v>45874</v>
      </c>
      <c r="I42" s="12" t="n"/>
      <c r="J42" t="n">
        <v>23.75</v>
      </c>
      <c r="K42" s="13" t="n">
        <v>220000</v>
      </c>
      <c r="L42" s="12" t="n"/>
      <c r="M42" s="12" t="n"/>
      <c r="N42" s="11" t="n"/>
      <c r="O42" s="11" t="n"/>
      <c r="P42" s="14">
        <f>IF(AND(M42&lt;&gt;"",O42=""),"保留中","")</f>
        <v/>
      </c>
      <c r="Q42" s="14">
        <f>IF(P42="保留中",COUNTIF(P$6:P42,"保留中"),"")</f>
        <v/>
      </c>
    </row>
    <row r="43">
      <c r="A43" s="12" t="n">
        <v>6408289</v>
      </c>
      <c r="B43">
        <f>IF($A43="","",IFERROR(IF(LOOKUP(2,1/(人給データ!$B$2:$B$700=$A43),人給データ!$C$2:$C$700)=0,"",LOOKUP(2,1/(人給データ!$B$2:$B$700=$A43),人給データ!$C$2:$C$700)),""))</f>
        <v/>
      </c>
      <c r="C43" t="inlineStr">
        <is>
          <t>安芸区市民課</t>
        </is>
      </c>
      <c r="D43">
        <f>IF($A43="","",IFERROR(IF(LOOKUP(2,1/(人給データ!$B$2:$B$700=$A43),人給データ!$Y$2:$Y$700)=0,"",LOOKUP(2,1/(人給データ!$B$2:$B$700=$A43),人給データ!$Y$2:$Y$700)),""))</f>
        <v/>
      </c>
      <c r="E43" s="20" t="n">
        <v>45255</v>
      </c>
      <c r="F43" s="16">
        <f>IF(OR(E43="",NOT(ISNUMBER(E43))),"",DATE(YEAR(E43)+2,MONTH(E43),DAY(E43)-2))</f>
        <v/>
      </c>
      <c r="G43" s="20">
        <f>IF($A43="","",IFERROR(IF(LOOKUP(2,1/(人給データ!$B$2:$B$700=$A43),人給データ!$J$2:$J$700)=0,"",LOOKUP(2,1/(人給データ!$B$2:$B$700=$A43),人給データ!$J$2:$J$700)),""))</f>
        <v/>
      </c>
      <c r="H43" s="20">
        <f>IF($A43="","",IFERROR(IF(LOOKUP(2,1/(人給データ!$B$2:$B$700=$A43),人給データ!$K$2:$K$700)=0,"",LOOKUP(2,1/(人給データ!$B$2:$B$700=$A43),人給データ!$K$2:$K$700)),""))</f>
        <v/>
      </c>
      <c r="I43" s="12" t="n"/>
      <c r="J43">
        <f>IF($A43="","",IFERROR(IF(LOOKUP(2,1/(人給データ!$B$2:$B$700=$A43),人給データ!$N$2:$N$700)=0,"",LOOKUP(2,1/(人給データ!$B$2:$B$700=$A43),人給データ!$N$2:$N$700)),""))</f>
        <v/>
      </c>
      <c r="K43" s="13" t="n">
        <v>300000</v>
      </c>
      <c r="L43" s="12" t="inlineStr">
        <is>
          <t>部分休業</t>
        </is>
      </c>
      <c r="M43" s="12" t="n"/>
      <c r="N43" s="11" t="n"/>
      <c r="O43" s="11" t="n"/>
      <c r="P43" s="14">
        <f>IF(AND(M43&lt;&gt;"",O43=""),"保留中","")</f>
        <v/>
      </c>
      <c r="Q43" s="14">
        <f>IF(P43="保留中",COUNTIF(P$6:P43,"保留中"),"")</f>
        <v/>
      </c>
    </row>
    <row r="44">
      <c r="A44" s="12" t="n">
        <v>6502529</v>
      </c>
      <c r="B44">
        <f>IF($A44="","",IFERROR(IF(LOOKUP(2,1/(人給データ!$B$2:$B$700=$A44),人給データ!$C$2:$C$700)=0,"",LOOKUP(2,1/(人給データ!$B$2:$B$700=$A44),人給データ!$C$2:$C$700)),""))</f>
        <v/>
      </c>
      <c r="C44" t="inlineStr">
        <is>
          <t>神崎保育園</t>
        </is>
      </c>
      <c r="D44">
        <f>IF($A44="","",IFERROR(IF(LOOKUP(2,1/(人給データ!$B$2:$B$700=$A44),人給データ!$Y$2:$Y$700)=0,"",LOOKUP(2,1/(人給データ!$B$2:$B$700=$A44),人給データ!$Y$2:$Y$700)),""))</f>
        <v/>
      </c>
      <c r="E44" s="20" t="n">
        <v>45573</v>
      </c>
      <c r="F44" s="16">
        <f>IF(OR(E44="",NOT(ISNUMBER(E44))),"",DATE(YEAR(E44)+2,MONTH(E44),DAY(E44)-2))</f>
        <v/>
      </c>
      <c r="G44" s="20" t="n">
        <v>46113</v>
      </c>
      <c r="H44" s="20" t="n">
        <v>46477</v>
      </c>
      <c r="I44" s="12" t="n"/>
      <c r="J44" t="n">
        <v>23.45</v>
      </c>
      <c r="K44" s="13" t="n">
        <v>280000</v>
      </c>
      <c r="L44" s="12" t="n"/>
      <c r="M44" s="12" t="n"/>
      <c r="N44" s="11" t="n"/>
      <c r="O44" s="11" t="n"/>
      <c r="P44" s="14">
        <f>IF(AND(M44&lt;&gt;"",O44=""),"保留中","")</f>
        <v/>
      </c>
      <c r="Q44" s="14">
        <f>IF(P44="保留中",COUNTIF(P$6:P44,"保留中"),"")</f>
        <v/>
      </c>
    </row>
    <row r="45">
      <c r="A45" s="12" t="n">
        <v>6502538</v>
      </c>
      <c r="B45">
        <f>IF($A45="","",IFERROR(IF(LOOKUP(2,1/(人給データ!$B$2:$B$700=$A45),人給データ!$C$2:$C$700)=0,"",LOOKUP(2,1/(人給データ!$B$2:$B$700=$A45),人給データ!$C$2:$C$700)),""))</f>
        <v/>
      </c>
      <c r="C45" t="inlineStr">
        <is>
          <t>楠保育園</t>
        </is>
      </c>
      <c r="D45">
        <f>IF($A45="","",IFERROR(IF(LOOKUP(2,1/(人給データ!$B$2:$B$700=$A45),人給データ!$Y$2:$Y$700)=0,"",LOOKUP(2,1/(人給データ!$B$2:$B$700=$A45),人給データ!$Y$2:$Y$700)),""))</f>
        <v/>
      </c>
      <c r="E45" s="20" t="n">
        <v>45108</v>
      </c>
      <c r="F45" s="16">
        <f>IF(OR(E45="",NOT(ISNUMBER(E45))),"",DATE(YEAR(E45)+2,MONTH(E45),DAY(E45)-2))</f>
        <v/>
      </c>
      <c r="G45" s="20" t="n">
        <v>45789</v>
      </c>
      <c r="H45" s="20" t="n">
        <v>46112</v>
      </c>
      <c r="I45" s="12" t="n"/>
      <c r="J45" t="n">
        <v>20</v>
      </c>
      <c r="K45" s="13" t="n">
        <v>240000</v>
      </c>
      <c r="L45" s="12" t="n"/>
      <c r="M45" s="12" t="n"/>
      <c r="N45" s="11" t="n"/>
      <c r="O45" s="11" t="n"/>
      <c r="P45" s="14">
        <f>IF(AND(M45&lt;&gt;"",O45=""),"保留中","")</f>
        <v/>
      </c>
      <c r="Q45" s="14">
        <f>IF(P45="保留中",COUNTIF(P$6:P45,"保留中"),"")</f>
        <v/>
      </c>
    </row>
    <row r="46">
      <c r="A46" s="12" t="n">
        <v>6502587</v>
      </c>
      <c r="B46">
        <f>IF($A46="","",IFERROR(IF(LOOKUP(2,1/(人給データ!$B$2:$B$700=$A46),人給データ!$C$2:$C$700)=0,"",LOOKUP(2,1/(人給データ!$B$2:$B$700=$A46),人給データ!$C$2:$C$700)),""))</f>
        <v/>
      </c>
      <c r="C46" t="inlineStr">
        <is>
          <t>己斐保育園</t>
        </is>
      </c>
      <c r="D46">
        <f>IF($A46="","",IFERROR(IF(LOOKUP(2,1/(人給データ!$B$2:$B$700=$A46),人給データ!$Y$2:$Y$700)=0,"",LOOKUP(2,1/(人給データ!$B$2:$B$700=$A46),人給データ!$Y$2:$Y$700)),""))</f>
        <v/>
      </c>
      <c r="E46" s="20" t="n">
        <v>45553</v>
      </c>
      <c r="F46" s="16">
        <f>IF(OR(E46="",NOT(ISNUMBER(E46))),"",DATE(YEAR(E46)+2,MONTH(E46),DAY(E46)-2))</f>
        <v/>
      </c>
      <c r="G46" s="20" t="n">
        <v>46132</v>
      </c>
      <c r="H46" s="20" t="n">
        <v>46477</v>
      </c>
      <c r="I46" s="12" t="n"/>
      <c r="J46" t="n">
        <v>23.45</v>
      </c>
      <c r="K46" s="13" t="n">
        <v>300000</v>
      </c>
      <c r="L46" s="12" t="n"/>
      <c r="M46" s="12" t="n"/>
      <c r="N46" s="11" t="n"/>
      <c r="O46" s="11" t="n"/>
      <c r="P46" s="14">
        <f>IF(AND(M46&lt;&gt;"",O46=""),"保留中","")</f>
        <v/>
      </c>
      <c r="Q46" s="14">
        <f>IF(P46="保留中",COUNTIF(P$6:P46,"保留中"),"")</f>
        <v/>
      </c>
    </row>
    <row r="47">
      <c r="A47" s="12" t="n">
        <v>2502728</v>
      </c>
      <c r="B47">
        <f>IF($A47="","",IFERROR(IF(LOOKUP(2,1/(人給データ!$B$2:$B$700=$A47),人給データ!$C$2:$C$700)=0,"",LOOKUP(2,1/(人給データ!$B$2:$B$700=$A47),人給データ!$C$2:$C$700)),""))</f>
        <v/>
      </c>
      <c r="C47" t="inlineStr">
        <is>
          <t>三筋保育園</t>
        </is>
      </c>
      <c r="D47">
        <f>IF($A47="","",IFERROR(IF(LOOKUP(2,1/(人給データ!$B$2:$B$700=$A47),人給データ!$Y$2:$Y$700)=0,"",LOOKUP(2,1/(人給データ!$B$2:$B$700=$A47),人給データ!$Y$2:$Y$700)),""))</f>
        <v/>
      </c>
      <c r="E47" s="20" t="n">
        <v>45693</v>
      </c>
      <c r="F47" s="16">
        <f>IF(OR(E47="",NOT(ISNUMBER(E47))),"",DATE(YEAR(E47)+2,MONTH(E47),DAY(E47)-2))</f>
        <v/>
      </c>
      <c r="G47" s="20" t="n">
        <v>46113</v>
      </c>
      <c r="H47" s="20" t="n">
        <v>46477</v>
      </c>
      <c r="I47" s="12" t="n"/>
      <c r="J47" t="n">
        <v>23.45</v>
      </c>
      <c r="K47" s="13" t="n">
        <v>300000</v>
      </c>
      <c r="L47" s="12" t="n"/>
      <c r="M47" s="12" t="n"/>
      <c r="N47" s="11" t="n"/>
      <c r="O47" s="11" t="n"/>
      <c r="P47" s="14">
        <f>IF(AND(M47&lt;&gt;"",O47=""),"保留中","")</f>
        <v/>
      </c>
      <c r="Q47" s="14">
        <f>IF(P47="保留中",COUNTIF(P$6:P47,"保留中"),"")</f>
        <v/>
      </c>
    </row>
    <row r="48">
      <c r="A48" s="12" t="n">
        <v>6502736</v>
      </c>
      <c r="B48">
        <f>IF($A48="","",IFERROR(IF(LOOKUP(2,1/(人給データ!$B$2:$B$700=$A48),人給データ!$C$2:$C$700)=0,"",LOOKUP(2,1/(人給データ!$B$2:$B$700=$A48),人給データ!$C$2:$C$700)),""))</f>
        <v/>
      </c>
      <c r="C48" t="inlineStr">
        <is>
          <t>山本保育園</t>
        </is>
      </c>
      <c r="D48">
        <f>IF($A48="","",IFERROR(IF(LOOKUP(2,1/(人給データ!$B$2:$B$700=$A48),人給データ!$Y$2:$Y$700)=0,"",LOOKUP(2,1/(人給データ!$B$2:$B$700=$A48),人給データ!$Y$2:$Y$700)),""))</f>
        <v/>
      </c>
      <c r="E48" s="20" t="n">
        <v>45131</v>
      </c>
      <c r="F48" s="16">
        <f>IF(OR(E48="",NOT(ISNUMBER(E48))),"",DATE(YEAR(E48)+2,MONTH(E48),DAY(E48)-2))</f>
        <v/>
      </c>
      <c r="G48" s="20" t="n">
        <v>45748</v>
      </c>
      <c r="H48" s="20" t="n">
        <v>46112</v>
      </c>
      <c r="I48" s="12" t="n"/>
      <c r="J48" t="n">
        <v>23.75</v>
      </c>
      <c r="K48" s="13" t="n">
        <v>300000</v>
      </c>
      <c r="L48" s="12" t="n"/>
      <c r="M48" s="12" t="n"/>
      <c r="N48" s="11" t="n"/>
      <c r="O48" s="11" t="n"/>
      <c r="P48" s="14">
        <f>IF(AND(M48&lt;&gt;"",O48=""),"保留中","")</f>
        <v/>
      </c>
      <c r="Q48" s="14">
        <f>IF(P48="保留中",COUNTIF(P$6:P48,"保留中"),"")</f>
        <v/>
      </c>
    </row>
    <row r="49">
      <c r="A49" s="12" t="n">
        <v>6502892</v>
      </c>
      <c r="B49">
        <f>IF($A49="","",IFERROR(IF(LOOKUP(2,1/(人給データ!$B$2:$B$700=$A49),人給データ!$C$2:$C$700)=0,"",LOOKUP(2,1/(人給データ!$B$2:$B$700=$A49),人給データ!$C$2:$C$700)),""))</f>
        <v/>
      </c>
      <c r="C49" t="inlineStr">
        <is>
          <t>東浄保育園</t>
        </is>
      </c>
      <c r="D49">
        <f>IF($A49="","",IFERROR(IF(LOOKUP(2,1/(人給データ!$B$2:$B$700=$A49),人給データ!$Y$2:$Y$700)=0,"",LOOKUP(2,1/(人給データ!$B$2:$B$700=$A49),人給データ!$Y$2:$Y$700)),""))</f>
        <v/>
      </c>
      <c r="E49" s="20" t="n">
        <v>45202</v>
      </c>
      <c r="F49" s="16">
        <f>IF(OR(E49="",NOT(ISNUMBER(E49))),"",DATE(YEAR(E49)+2,MONTH(E49),DAY(E49)-2))</f>
        <v/>
      </c>
      <c r="G49" s="20" t="n">
        <v>45778</v>
      </c>
      <c r="H49" s="20" t="n">
        <v>46112</v>
      </c>
      <c r="I49" s="12" t="n"/>
      <c r="J49" t="n">
        <v>23.75</v>
      </c>
      <c r="K49" s="13" t="n">
        <v>300000</v>
      </c>
      <c r="L49" s="12" t="n"/>
      <c r="M49" s="12" t="n"/>
      <c r="N49" s="11" t="n"/>
      <c r="O49" s="11" t="n"/>
      <c r="P49" s="14">
        <f>IF(AND(M49&lt;&gt;"",O49=""),"保留中","")</f>
        <v/>
      </c>
      <c r="Q49" s="14">
        <f>IF(P49="保留中",COUNTIF(P$6:P49,"保留中"),"")</f>
        <v/>
      </c>
    </row>
    <row r="50">
      <c r="A50" s="12" t="n">
        <v>6503056</v>
      </c>
      <c r="B50">
        <f>IF($A50="","",IFERROR(IF(LOOKUP(2,1/(人給データ!$B$2:$B$700=$A50),人給データ!$C$2:$C$700)=0,"",LOOKUP(2,1/(人給データ!$B$2:$B$700=$A50),人給データ!$C$2:$C$700)),""))</f>
        <v/>
      </c>
      <c r="C50" t="inlineStr">
        <is>
          <t>己斐保育園</t>
        </is>
      </c>
      <c r="D50">
        <f>IF($A50="","",IFERROR(IF(LOOKUP(2,1/(人給データ!$B$2:$B$700=$A50),人給データ!$Y$2:$Y$700)=0,"",LOOKUP(2,1/(人給データ!$B$2:$B$700=$A50),人給データ!$Y$2:$Y$700)),""))</f>
        <v/>
      </c>
      <c r="E50" s="20" t="n">
        <v>45749</v>
      </c>
      <c r="F50" s="16">
        <f>IF(OR(E50="",NOT(ISNUMBER(E50))),"",DATE(YEAR(E50)+2,MONTH(E50),DAY(E50)-2))</f>
        <v/>
      </c>
      <c r="G50" s="20" t="n">
        <v>46127</v>
      </c>
      <c r="H50" s="20" t="n">
        <v>46477</v>
      </c>
      <c r="I50" s="12" t="n"/>
      <c r="J50" t="n">
        <v>23.45</v>
      </c>
      <c r="K50" s="13" t="n">
        <v>360000</v>
      </c>
      <c r="L50" s="12" t="n"/>
      <c r="M50" s="12" t="n"/>
      <c r="N50" s="11" t="n"/>
      <c r="O50" s="11" t="n"/>
      <c r="P50" s="14">
        <f>IF(AND(M50&lt;&gt;"",O50=""),"保留中","")</f>
        <v/>
      </c>
      <c r="Q50" s="14">
        <f>IF(P50="保留中",COUNTIF(P$6:P50,"保留中"),"")</f>
        <v/>
      </c>
    </row>
    <row r="51">
      <c r="A51" s="12" t="n">
        <v>6600324</v>
      </c>
      <c r="B51">
        <f>IF($A51="","",IFERROR(IF(LOOKUP(2,1/(人給データ!$B$2:$B$700=$A51),人給データ!$C$2:$C$700)=0,"",LOOKUP(2,1/(人給データ!$B$2:$B$700=$A51),人給データ!$C$2:$C$700)),""))</f>
        <v/>
      </c>
      <c r="C51" t="inlineStr">
        <is>
          <t>財政局東部市税事務所</t>
        </is>
      </c>
      <c r="D51">
        <f>IF($A51="","",IFERROR(IF(LOOKUP(2,1/(人給データ!$B$2:$B$700=$A51),人給データ!$Y$2:$Y$700)=0,"",LOOKUP(2,1/(人給データ!$B$2:$B$700=$A51),人給データ!$Y$2:$Y$700)),""))</f>
        <v/>
      </c>
      <c r="E51" s="20" t="n">
        <v>45456</v>
      </c>
      <c r="F51" s="16">
        <f>IF(OR(E51="",NOT(ISNUMBER(E51))),"",DATE(YEAR(E51)+2,MONTH(E51),DAY(E51)-2))</f>
        <v/>
      </c>
      <c r="G51" s="20" t="n">
        <v>46127</v>
      </c>
      <c r="H51" s="20" t="n">
        <v>46477</v>
      </c>
      <c r="I51" s="12" t="inlineStr">
        <is>
          <t>部分休業</t>
        </is>
      </c>
      <c r="J51">
        <f>IF($A51="","",IFERROR(IF(LOOKUP(2,1/(人給データ!$B$2:$B$700=$A51),人給データ!$N$2:$N$700)=0,"",LOOKUP(2,1/(人給データ!$B$2:$B$700=$A51),人給データ!$N$2:$N$700)),""))</f>
        <v/>
      </c>
      <c r="K51" s="13" t="n">
        <v>410000</v>
      </c>
      <c r="L51" s="12" t="n"/>
      <c r="M51" s="12" t="n"/>
      <c r="N51" s="11" t="n"/>
      <c r="O51" s="11" t="n"/>
      <c r="P51" s="14">
        <f>IF(AND(M51&lt;&gt;"",O51=""),"保留中","")</f>
        <v/>
      </c>
      <c r="Q51" s="14">
        <f>IF(P51="保留中",COUNTIF(P$6:P51,"保留中"),"")</f>
        <v/>
      </c>
    </row>
    <row r="52">
      <c r="A52" s="12" t="n">
        <v>6601751</v>
      </c>
      <c r="B52">
        <f>IF($A52="","",IFERROR(IF(LOOKUP(2,1/(人給データ!$B$2:$B$700=$A52),人給データ!$C$2:$C$700)=0,"",LOOKUP(2,1/(人給データ!$B$2:$B$700=$A52),人給データ!$C$2:$C$700)),""))</f>
        <v/>
      </c>
      <c r="C52" t="inlineStr">
        <is>
          <t>児童相談所第一判定係</t>
        </is>
      </c>
      <c r="D52">
        <f>IF($A52="","",IFERROR(IF(LOOKUP(2,1/(人給データ!$B$2:$B$700=$A52),人給データ!$Y$2:$Y$700)=0,"",LOOKUP(2,1/(人給データ!$B$2:$B$700=$A52),人給データ!$Y$2:$Y$700)),""))</f>
        <v/>
      </c>
      <c r="E52" s="20" t="n">
        <v>45567</v>
      </c>
      <c r="F52" s="16">
        <f>IF(OR(E52="",NOT(ISNUMBER(E52))),"",DATE(YEAR(E52)+2,MONTH(E52),DAY(E52)-2))</f>
        <v/>
      </c>
      <c r="G52" s="20" t="n">
        <v>46027</v>
      </c>
      <c r="H52" s="20" t="n">
        <v>46477</v>
      </c>
      <c r="I52" s="12" t="n"/>
      <c r="J52" t="n">
        <v>23.75</v>
      </c>
      <c r="K52" s="13" t="n">
        <v>340000</v>
      </c>
      <c r="L52" s="12" t="n"/>
      <c r="M52" s="12" t="n"/>
      <c r="N52" s="11" t="n"/>
      <c r="O52" s="11" t="n"/>
      <c r="P52" s="14">
        <f>IF(AND(M52&lt;&gt;"",O52=""),"保留中","")</f>
        <v/>
      </c>
      <c r="Q52" s="14">
        <f>IF(P52="保留中",COUNTIF(P$6:P52,"保留中"),"")</f>
        <v/>
      </c>
    </row>
    <row r="53">
      <c r="A53" s="12" t="n">
        <v>6602486</v>
      </c>
      <c r="B53">
        <f>IF($A53="","",IFERROR(IF(LOOKUP(2,1/(人給データ!$B$2:$B$700=$A53),人給データ!$C$2:$C$700)=0,"",LOOKUP(2,1/(人給データ!$B$2:$B$700=$A53),人給データ!$C$2:$C$700)),""))</f>
        <v/>
      </c>
      <c r="C53" t="inlineStr">
        <is>
          <t>亀山南保育園</t>
        </is>
      </c>
      <c r="D53">
        <f>IF($A53="","",IFERROR(IF(LOOKUP(2,1/(人給データ!$B$2:$B$700=$A53),人給データ!$Y$2:$Y$700)=0,"",LOOKUP(2,1/(人給データ!$B$2:$B$700=$A53),人給データ!$Y$2:$Y$700)),""))</f>
        <v/>
      </c>
      <c r="E53" s="20" t="n">
        <v>45821</v>
      </c>
      <c r="F53" s="16">
        <f>IF(OR(E53="",NOT(ISNUMBER(E53))),"",DATE(YEAR(E53)+2,MONTH(E53),DAY(E53)-2))</f>
        <v/>
      </c>
      <c r="G53" s="20" t="n">
        <v>46186</v>
      </c>
      <c r="H53" s="20" t="n">
        <v>46477</v>
      </c>
      <c r="I53" s="12" t="n"/>
      <c r="J53" t="n">
        <v>23.15</v>
      </c>
      <c r="K53" s="13" t="n">
        <v>340000</v>
      </c>
      <c r="L53" s="12" t="n"/>
      <c r="M53" s="12" t="n"/>
      <c r="N53" s="11" t="n"/>
      <c r="O53" s="11" t="n"/>
      <c r="P53" s="14">
        <f>IF(AND(M53&lt;&gt;"",O53=""),"保留中","")</f>
        <v/>
      </c>
      <c r="Q53" s="14">
        <f>IF(P53="保留中",COUNTIF(P$6:P53,"保留中"),"")</f>
        <v/>
      </c>
    </row>
    <row r="54">
      <c r="A54" s="12" t="n">
        <v>6602502</v>
      </c>
      <c r="B54">
        <f>IF($A54="","",IFERROR(IF(LOOKUP(2,1/(人給データ!$B$2:$B$700=$A54),人給データ!$C$2:$C$700)=0,"",LOOKUP(2,1/(人給データ!$B$2:$B$700=$A54),人給データ!$C$2:$C$700)),""))</f>
        <v/>
      </c>
      <c r="C54" t="inlineStr">
        <is>
          <t>大河保育園</t>
        </is>
      </c>
      <c r="D54">
        <f>IF($A54="","",IFERROR(IF(LOOKUP(2,1/(人給データ!$B$2:$B$700=$A54),人給データ!$Y$2:$Y$700)=0,"",LOOKUP(2,1/(人給データ!$B$2:$B$700=$A54),人給データ!$Y$2:$Y$700)),""))</f>
        <v/>
      </c>
      <c r="E54" s="20" t="n">
        <v>45528</v>
      </c>
      <c r="F54" s="16">
        <f>IF(OR(E54="",NOT(ISNUMBER(E54))),"",DATE(YEAR(E54)+2,MONTH(E54),DAY(E54)-2))</f>
        <v/>
      </c>
      <c r="G54" s="20" t="n">
        <v>46054</v>
      </c>
      <c r="H54" s="20" t="n">
        <v>46112</v>
      </c>
      <c r="I54" s="12" t="n"/>
      <c r="J54" t="n">
        <v>23.25</v>
      </c>
      <c r="K54" s="13" t="n">
        <v>280000</v>
      </c>
      <c r="L54" s="12" t="n"/>
      <c r="M54" s="12" t="n"/>
      <c r="N54" s="11" t="n"/>
      <c r="O54" s="11" t="n"/>
      <c r="P54" s="14">
        <f>IF(AND(M54&lt;&gt;"",O54=""),"保留中","")</f>
        <v/>
      </c>
      <c r="Q54" s="14">
        <f>IF(P54="保留中",COUNTIF(P$6:P54,"保留中"),"")</f>
        <v/>
      </c>
    </row>
    <row r="55">
      <c r="A55" s="12" t="n">
        <v>6602536</v>
      </c>
      <c r="B55">
        <f>IF($A55="","",IFERROR(IF(LOOKUP(2,1/(人給データ!$B$2:$B$700=$A55),人給データ!$C$2:$C$700)=0,"",LOOKUP(2,1/(人給データ!$B$2:$B$700=$A55),人給データ!$C$2:$C$700)),""))</f>
        <v/>
      </c>
      <c r="C55" t="inlineStr">
        <is>
          <t>戸坂保育園</t>
        </is>
      </c>
      <c r="D55">
        <f>IF($A55="","",IFERROR(IF(LOOKUP(2,1/(人給データ!$B$2:$B$700=$A55),人給データ!$Y$2:$Y$700)=0,"",LOOKUP(2,1/(人給データ!$B$2:$B$700=$A55),人給データ!$Y$2:$Y$700)),""))</f>
        <v/>
      </c>
      <c r="E55" s="20" t="n">
        <v>45293</v>
      </c>
      <c r="F55" s="16">
        <f>IF(OR(E55="",NOT(ISNUMBER(E55))),"",DATE(YEAR(E55)+2,MONTH(E55),DAY(E55)-2))</f>
        <v/>
      </c>
      <c r="G55" s="20" t="n">
        <v>45748</v>
      </c>
      <c r="H55" s="20" t="n">
        <v>46112</v>
      </c>
      <c r="I55" s="12" t="n"/>
      <c r="J55" t="n">
        <v>23.75</v>
      </c>
      <c r="K55" s="13" t="n">
        <v>180000</v>
      </c>
      <c r="L55" s="12" t="n"/>
      <c r="M55" s="12" t="n"/>
      <c r="N55" s="11" t="n"/>
      <c r="O55" s="11" t="n"/>
      <c r="P55" s="14">
        <f>IF(AND(M55&lt;&gt;"",O55=""),"保留中","")</f>
        <v/>
      </c>
      <c r="Q55" s="14">
        <f>IF(P55="保留中",COUNTIF(P$6:P55,"保留中"),"")</f>
        <v/>
      </c>
    </row>
    <row r="56">
      <c r="A56" s="12" t="n">
        <v>6602619</v>
      </c>
      <c r="B56">
        <f>IF($A56="","",IFERROR(IF(LOOKUP(2,1/(人給データ!$B$2:$B$700=$A56),人給データ!$C$2:$C$700)=0,"",LOOKUP(2,1/(人給データ!$B$2:$B$700=$A56),人給データ!$C$2:$C$700)),""))</f>
        <v/>
      </c>
      <c r="C56" t="inlineStr">
        <is>
          <t>矢野東保育園</t>
        </is>
      </c>
      <c r="D56">
        <f>IF($A56="","",IFERROR(IF(LOOKUP(2,1/(人給データ!$B$2:$B$700=$A56),人給データ!$Y$2:$Y$700)=0,"",LOOKUP(2,1/(人給データ!$B$2:$B$700=$A56),人給データ!$Y$2:$Y$700)),""))</f>
        <v/>
      </c>
      <c r="E56" s="20" t="n">
        <v>45144</v>
      </c>
      <c r="F56" s="16">
        <f>IF(OR(E56="",NOT(ISNUMBER(E56))),"",DATE(YEAR(E56)+2,MONTH(E56),DAY(E56)-2))</f>
        <v/>
      </c>
      <c r="G56" s="20" t="n">
        <v>45768</v>
      </c>
      <c r="H56" s="20" t="n">
        <v>46112</v>
      </c>
      <c r="I56" s="12" t="n"/>
      <c r="J56" t="n">
        <v>23.75</v>
      </c>
      <c r="K56" s="13" t="n">
        <v>260000</v>
      </c>
      <c r="L56" s="12" t="n"/>
      <c r="M56" s="12" t="n"/>
      <c r="N56" s="11" t="n"/>
      <c r="O56" s="11" t="n"/>
      <c r="P56" s="14">
        <f>IF(AND(M56&lt;&gt;"",O56=""),"保留中","")</f>
        <v/>
      </c>
      <c r="Q56" s="14">
        <f>IF(P56="保留中",COUNTIF(P$6:P56,"保留中"),"")</f>
        <v/>
      </c>
    </row>
    <row r="57">
      <c r="A57" s="12" t="n">
        <v>6602635</v>
      </c>
      <c r="B57">
        <f>IF($A57="","",IFERROR(IF(LOOKUP(2,1/(人給データ!$B$2:$B$700=$A57),人給データ!$C$2:$C$700)=0,"",LOOKUP(2,1/(人給データ!$B$2:$B$700=$A57),人給データ!$C$2:$C$700)),""))</f>
        <v/>
      </c>
      <c r="C57" t="inlineStr">
        <is>
          <t>神崎保育園</t>
        </is>
      </c>
      <c r="D57">
        <f>IF($A57="","",IFERROR(IF(LOOKUP(2,1/(人給データ!$B$2:$B$700=$A57),人給データ!$Y$2:$Y$700)=0,"",LOOKUP(2,1/(人給データ!$B$2:$B$700=$A57),人給データ!$Y$2:$Y$700)),""))</f>
        <v/>
      </c>
      <c r="E57" s="20" t="n">
        <v>45234</v>
      </c>
      <c r="F57" s="16">
        <f>IF(OR(E57="",NOT(ISNUMBER(E57))),"",DATE(YEAR(E57)+2,MONTH(E57),DAY(E57)-2))</f>
        <v/>
      </c>
      <c r="G57" s="20" t="n">
        <v>45778</v>
      </c>
      <c r="H57" s="20" t="n">
        <v>46112</v>
      </c>
      <c r="I57" s="12" t="n"/>
      <c r="J57" t="n">
        <v>23.75</v>
      </c>
      <c r="K57" s="13" t="n">
        <v>280000</v>
      </c>
      <c r="L57" s="12" t="n"/>
      <c r="M57" s="12" t="n"/>
      <c r="N57" s="11" t="n"/>
      <c r="O57" s="11" t="n"/>
      <c r="P57" s="14">
        <f>IF(AND(M57&lt;&gt;"",O57=""),"保留中","")</f>
        <v/>
      </c>
      <c r="Q57" s="14">
        <f>IF(P57="保留中",COUNTIF(P$6:P57,"保留中"),"")</f>
        <v/>
      </c>
    </row>
    <row r="58">
      <c r="A58" s="12" t="n">
        <v>6602668</v>
      </c>
      <c r="B58">
        <f>IF($A58="","",IFERROR(IF(LOOKUP(2,1/(人給データ!$B$2:$B$700=$A58),人給データ!$C$2:$C$700)=0,"",LOOKUP(2,1/(人給データ!$B$2:$B$700=$A58),人給データ!$C$2:$C$700)),""))</f>
        <v/>
      </c>
      <c r="C58" t="inlineStr">
        <is>
          <t>荒神保育園</t>
        </is>
      </c>
      <c r="D58">
        <f>IF($A58="","",IFERROR(IF(LOOKUP(2,1/(人給データ!$B$2:$B$700=$A58),人給データ!$Y$2:$Y$700)=0,"",LOOKUP(2,1/(人給データ!$B$2:$B$700=$A58),人給データ!$Y$2:$Y$700)),""))</f>
        <v/>
      </c>
      <c r="E58" s="20" t="n">
        <v>45510</v>
      </c>
      <c r="F58" s="16">
        <f>IF(OR(E58="",NOT(ISNUMBER(E58))),"",DATE(YEAR(E58)+2,MONTH(E58),DAY(E58)-2))</f>
        <v/>
      </c>
      <c r="G58" s="20" t="n">
        <v>45866</v>
      </c>
      <c r="H58" s="20" t="n">
        <v>46112</v>
      </c>
      <c r="I58" s="12" t="n"/>
      <c r="J58" t="n">
        <v>23.25</v>
      </c>
      <c r="K58" s="13" t="n">
        <v>280000</v>
      </c>
      <c r="L58" s="12" t="inlineStr">
        <is>
          <t>育休延長で標準報酬月額の変更あり保留</t>
        </is>
      </c>
      <c r="M58" s="12" t="inlineStr">
        <is>
          <t>標準報酬月額の変更確認</t>
        </is>
      </c>
      <c r="N58" s="11" t="n"/>
      <c r="O58" s="11" t="n"/>
      <c r="P58" s="14">
        <f>IF(AND(M58&lt;&gt;"",O58=""),"保留中","")</f>
        <v/>
      </c>
      <c r="Q58" s="14">
        <f>IF(P58="保留中",COUNTIF(P$6:P58,"保留中"),"")</f>
        <v/>
      </c>
    </row>
    <row r="59">
      <c r="A59" s="12" t="n">
        <v>6602817</v>
      </c>
      <c r="B59">
        <f>IF($A59="","",IFERROR(IF(LOOKUP(2,1/(人給データ!$B$2:$B$700=$A59),人給データ!$C$2:$C$700)=0,"",LOOKUP(2,1/(人給データ!$B$2:$B$700=$A59),人給データ!$C$2:$C$700)),""))</f>
        <v/>
      </c>
      <c r="C59" t="inlineStr">
        <is>
          <t>本川保育園</t>
        </is>
      </c>
      <c r="D59">
        <f>IF($A59="","",IFERROR(IF(LOOKUP(2,1/(人給データ!$B$2:$B$700=$A59),人給データ!$Y$2:$Y$700)=0,"",LOOKUP(2,1/(人給データ!$B$2:$B$700=$A59),人給データ!$Y$2:$Y$700)),""))</f>
        <v/>
      </c>
      <c r="E59" s="20" t="n">
        <v>45029</v>
      </c>
      <c r="F59" s="16">
        <f>IF(OR(E59="",NOT(ISNUMBER(E59))),"",DATE(YEAR(E59)+2,MONTH(E59),DAY(E59)-2))</f>
        <v/>
      </c>
      <c r="G59" s="20" t="n">
        <v>45748</v>
      </c>
      <c r="H59" s="20" t="n">
        <v>46112</v>
      </c>
      <c r="I59" s="12" t="n"/>
      <c r="J59" t="n">
        <v>23.75</v>
      </c>
      <c r="K59" s="13" t="n">
        <v>170000</v>
      </c>
      <c r="L59" s="12" t="n"/>
      <c r="M59" s="12" t="n"/>
      <c r="N59" s="11" t="n"/>
      <c r="O59" s="11" t="n"/>
      <c r="P59" s="14">
        <f>IF(AND(M59&lt;&gt;"",O59=""),"保留中","")</f>
        <v/>
      </c>
      <c r="Q59" s="14">
        <f>IF(P59="保留中",COUNTIF(P$6:P59,"保留中"),"")</f>
        <v/>
      </c>
    </row>
    <row r="60">
      <c r="A60" s="12" t="n">
        <v>6602825</v>
      </c>
      <c r="B60">
        <f>IF($A60="","",IFERROR(IF(LOOKUP(2,1/(人給データ!$B$2:$B$700=$A60),人給データ!$C$2:$C$700)=0,"",LOOKUP(2,1/(人給データ!$B$2:$B$700=$A60),人給データ!$C$2:$C$700)),""))</f>
        <v/>
      </c>
      <c r="C60" t="inlineStr">
        <is>
          <t>上安保育園</t>
        </is>
      </c>
      <c r="D60">
        <f>IF($A60="","",IFERROR(IF(LOOKUP(2,1/(人給データ!$B$2:$B$700=$A60),人給データ!$Y$2:$Y$700)=0,"",LOOKUP(2,1/(人給データ!$B$2:$B$700=$A60),人給データ!$Y$2:$Y$700)),""))</f>
        <v/>
      </c>
      <c r="E60" s="20" t="n">
        <v>45726</v>
      </c>
      <c r="F60" s="16">
        <f>IF(OR(E60="",NOT(ISNUMBER(E60))),"",DATE(YEAR(E60)+2,MONTH(E60),DAY(E60)-2))</f>
        <v/>
      </c>
      <c r="G60" s="20" t="n">
        <v>46132</v>
      </c>
      <c r="H60" s="20" t="n">
        <v>46477</v>
      </c>
      <c r="I60" s="12" t="n"/>
      <c r="J60" t="n">
        <v>23.45</v>
      </c>
      <c r="K60" s="13" t="n">
        <v>300000</v>
      </c>
      <c r="L60" s="12" t="n"/>
      <c r="M60" s="12" t="n"/>
      <c r="N60" s="11" t="n"/>
      <c r="O60" s="11" t="n"/>
      <c r="P60" s="14">
        <f>IF(AND(M60&lt;&gt;"",O60=""),"保留中","")</f>
        <v/>
      </c>
      <c r="Q60" s="14">
        <f>IF(P60="保留中",COUNTIF(P$6:P60,"保留中"),"")</f>
        <v/>
      </c>
    </row>
    <row r="61">
      <c r="A61" s="12" t="n">
        <v>6602899</v>
      </c>
      <c r="B61">
        <f>IF($A61="","",IFERROR(IF(LOOKUP(2,1/(人給データ!$B$2:$B$700=$A61),人給データ!$C$2:$C$700)=0,"",LOOKUP(2,1/(人給データ!$B$2:$B$700=$A61),人給データ!$C$2:$C$700)),""))</f>
        <v/>
      </c>
      <c r="C61" t="inlineStr">
        <is>
          <t>五月が丘保育園</t>
        </is>
      </c>
      <c r="D61">
        <f>IF($A61="","",IFERROR(IF(LOOKUP(2,1/(人給データ!$B$2:$B$700=$A61),人給データ!$Y$2:$Y$700)=0,"",LOOKUP(2,1/(人給データ!$B$2:$B$700=$A61),人給データ!$Y$2:$Y$700)),""))</f>
        <v/>
      </c>
      <c r="E61" s="20" t="n">
        <v>45153</v>
      </c>
      <c r="F61" s="16">
        <f>IF(OR(E61="",NOT(ISNUMBER(E61))),"",DATE(YEAR(E61)+2,MONTH(E61),DAY(E61)-2))</f>
        <v/>
      </c>
      <c r="G61" s="20" t="n">
        <v>45762</v>
      </c>
      <c r="H61" s="20" t="n">
        <v>46112</v>
      </c>
      <c r="I61" s="12" t="n"/>
      <c r="J61" t="n">
        <v>23.75</v>
      </c>
      <c r="K61" s="13" t="n">
        <v>360000</v>
      </c>
      <c r="L61" s="12" t="n"/>
      <c r="M61" s="12" t="n"/>
      <c r="N61" s="11" t="n"/>
      <c r="O61" s="11" t="n"/>
      <c r="P61" s="14">
        <f>IF(AND(M61&lt;&gt;"",O61=""),"保留中","")</f>
        <v/>
      </c>
      <c r="Q61" s="14">
        <f>IF(P61="保留中",COUNTIF(P$6:P61,"保留中"),"")</f>
        <v/>
      </c>
    </row>
    <row r="62">
      <c r="A62" s="12" t="n">
        <v>6701601</v>
      </c>
      <c r="B62">
        <f>IF($A62="","",IFERROR(IF(LOOKUP(2,1/(人給データ!$B$2:$B$700=$A62),人給データ!$C$2:$C$700)=0,"",LOOKUP(2,1/(人給データ!$B$2:$B$700=$A62),人給データ!$C$2:$C$700)),""))</f>
        <v/>
      </c>
      <c r="C62" t="inlineStr">
        <is>
          <t>安佐南区地域整備課</t>
        </is>
      </c>
      <c r="D62">
        <f>IF($A62="","",IFERROR(IF(LOOKUP(2,1/(人給データ!$B$2:$B$700=$A62),人給データ!$Y$2:$Y$700)=0,"",LOOKUP(2,1/(人給データ!$B$2:$B$700=$A62),人給データ!$Y$2:$Y$700)),""))</f>
        <v/>
      </c>
      <c r="E62" s="20" t="n">
        <v>45805</v>
      </c>
      <c r="F62" s="16">
        <f>IF(OR(E62="",NOT(ISNUMBER(E62))),"",DATE(YEAR(E62)+2,MONTH(E62),DAY(E62)-2))</f>
        <v/>
      </c>
      <c r="G62" s="20">
        <f>IF($A62="","",IFERROR(IF(LOOKUP(2,1/(人給データ!$B$2:$B$700=$A62),人給データ!$J$2:$J$700)=0,"",LOOKUP(2,1/(人給データ!$B$2:$B$700=$A62),人給データ!$J$2:$J$700)),""))</f>
        <v/>
      </c>
      <c r="H62" s="20">
        <f>IF($A62="","",IFERROR(IF(LOOKUP(2,1/(人給データ!$B$2:$B$700=$A62),人給データ!$K$2:$K$700)=0,"",LOOKUP(2,1/(人給データ!$B$2:$B$700=$A62),人給データ!$K$2:$K$700)),""))</f>
        <v/>
      </c>
      <c r="I62" s="12" t="n"/>
      <c r="J62">
        <f>IF($A62="","",IFERROR(IF(LOOKUP(2,1/(人給データ!$B$2:$B$700=$A62),人給データ!$N$2:$N$700)=0,"",LOOKUP(2,1/(人給データ!$B$2:$B$700=$A62),人給データ!$N$2:$N$700)),""))</f>
        <v/>
      </c>
      <c r="K62" s="13" t="n">
        <v>340000</v>
      </c>
      <c r="L62" s="12" t="inlineStr">
        <is>
          <t>部分休業</t>
        </is>
      </c>
      <c r="M62" s="12" t="n"/>
      <c r="N62" s="11" t="n"/>
      <c r="O62" s="11" t="n"/>
      <c r="P62" s="14">
        <f>IF(AND(M62&lt;&gt;"",O62=""),"保留中","")</f>
        <v/>
      </c>
      <c r="Q62" s="14">
        <f>IF(P62="保留中",COUNTIF(P$6:P62,"保留中"),"")</f>
        <v/>
      </c>
    </row>
    <row r="63">
      <c r="A63" s="12" t="n">
        <v>6702344</v>
      </c>
      <c r="B63">
        <f>IF($A63="","",IFERROR(IF(LOOKUP(2,1/(人給データ!$B$2:$B$700=$A63),人給データ!$C$2:$C$700)=0,"",LOOKUP(2,1/(人給データ!$B$2:$B$700=$A63),人給データ!$C$2:$C$700)),""))</f>
        <v/>
      </c>
      <c r="C63" t="inlineStr">
        <is>
          <t>矢野中央保育園</t>
        </is>
      </c>
      <c r="D63">
        <f>IF($A63="","",IFERROR(IF(LOOKUP(2,1/(人給データ!$B$2:$B$700=$A63),人給データ!$Y$2:$Y$700)=0,"",LOOKUP(2,1/(人給データ!$B$2:$B$700=$A63),人給データ!$Y$2:$Y$700)),""))</f>
        <v/>
      </c>
      <c r="E63" s="20" t="n">
        <v>45581</v>
      </c>
      <c r="F63" s="16">
        <f>IF(OR(E63="",NOT(ISNUMBER(E63))),"",DATE(YEAR(E63)+2,MONTH(E63),DAY(E63)-2))</f>
        <v/>
      </c>
      <c r="G63" s="20" t="n">
        <v>46113</v>
      </c>
      <c r="H63" s="20" t="n">
        <v>46477</v>
      </c>
      <c r="I63" s="12" t="n"/>
      <c r="J63" t="n">
        <v>23.45</v>
      </c>
      <c r="K63" s="13" t="n">
        <v>300000</v>
      </c>
      <c r="L63" s="12" t="n"/>
      <c r="M63" s="12" t="n"/>
      <c r="N63" s="11" t="n"/>
      <c r="O63" s="11" t="n"/>
      <c r="P63" s="14">
        <f>IF(AND(M63&lt;&gt;"",O63=""),"保留中","")</f>
        <v/>
      </c>
      <c r="Q63" s="14">
        <f>IF(P63="保留中",COUNTIF(P$6:P63,"保留中"),"")</f>
        <v/>
      </c>
    </row>
    <row r="64">
      <c r="A64" s="12" t="n">
        <v>6702427</v>
      </c>
      <c r="B64">
        <f>IF($A64="","",IFERROR(IF(LOOKUP(2,1/(人給データ!$B$2:$B$700=$A64),人給データ!$C$2:$C$700)=0,"",LOOKUP(2,1/(人給データ!$B$2:$B$700=$A64),人給データ!$C$2:$C$700)),""))</f>
        <v/>
      </c>
      <c r="C64" t="inlineStr">
        <is>
          <t>八幡保育園</t>
        </is>
      </c>
      <c r="D64">
        <f>IF($A64="","",IFERROR(IF(LOOKUP(2,1/(人給データ!$B$2:$B$700=$A64),人給データ!$Y$2:$Y$700)=0,"",LOOKUP(2,1/(人給データ!$B$2:$B$700=$A64),人給データ!$Y$2:$Y$700)),""))</f>
        <v/>
      </c>
      <c r="E64" s="20" t="n">
        <v>45098</v>
      </c>
      <c r="F64" s="16">
        <f>IF(OR(E64="",NOT(ISNUMBER(E64))),"",DATE(YEAR(E64)+2,MONTH(E64),DAY(E64)-2))</f>
        <v/>
      </c>
      <c r="G64" s="20" t="n">
        <v>45778</v>
      </c>
      <c r="H64" s="20" t="n">
        <v>46112</v>
      </c>
      <c r="I64" s="12" t="n"/>
      <c r="J64" t="n">
        <v>23.75</v>
      </c>
      <c r="K64" s="13" t="n">
        <v>240000</v>
      </c>
      <c r="L64" s="12" t="n"/>
      <c r="M64" s="12" t="n"/>
      <c r="N64" s="11" t="n"/>
      <c r="O64" s="11" t="n"/>
      <c r="P64" s="14">
        <f>IF(AND(M64&lt;&gt;"",O64=""),"保留中","")</f>
        <v/>
      </c>
      <c r="Q64" s="14">
        <f>IF(P64="保留中",COUNTIF(P$6:P64,"保留中"),"")</f>
        <v/>
      </c>
    </row>
    <row r="65">
      <c r="A65" s="12" t="n">
        <v>6702443</v>
      </c>
      <c r="B65">
        <f>IF($A65="","",IFERROR(IF(LOOKUP(2,1/(人給データ!$B$2:$B$700=$A65),人給データ!$C$2:$C$700)=0,"",LOOKUP(2,1/(人給データ!$B$2:$B$700=$A65),人給データ!$C$2:$C$700)),""))</f>
        <v/>
      </c>
      <c r="C65" t="inlineStr">
        <is>
          <t>江波保育園</t>
        </is>
      </c>
      <c r="D65">
        <f>IF($A65="","",IFERROR(IF(LOOKUP(2,1/(人給データ!$B$2:$B$700=$A65),人給データ!$Y$2:$Y$700)=0,"",LOOKUP(2,1/(人給データ!$B$2:$B$700=$A65),人給データ!$Y$2:$Y$700)),""))</f>
        <v/>
      </c>
      <c r="E65" s="20" t="n">
        <v>45170</v>
      </c>
      <c r="F65" s="16">
        <f>IF(OR(E65="",NOT(ISNUMBER(E65))),"",DATE(YEAR(E65)+2,MONTH(E65),DAY(E65)-2))</f>
        <v/>
      </c>
      <c r="G65" s="20" t="n">
        <v>45778</v>
      </c>
      <c r="H65" s="20" t="n">
        <v>46112</v>
      </c>
      <c r="I65" s="12" t="n"/>
      <c r="J65" t="n">
        <v>23.75</v>
      </c>
      <c r="K65" s="13" t="n">
        <v>260000</v>
      </c>
      <c r="L65" s="12" t="n"/>
      <c r="M65" s="12" t="n"/>
      <c r="N65" s="11" t="n"/>
      <c r="O65" s="11" t="n"/>
      <c r="P65" s="14">
        <f>IF(AND(M65&lt;&gt;"",O65=""),"保留中","")</f>
        <v/>
      </c>
      <c r="Q65" s="14">
        <f>IF(P65="保留中",COUNTIF(P$6:P65,"保留中"),"")</f>
        <v/>
      </c>
    </row>
    <row r="66">
      <c r="A66" s="12" t="n">
        <v>6702534</v>
      </c>
      <c r="B66">
        <f>IF($A66="","",IFERROR(IF(LOOKUP(2,1/(人給データ!$B$2:$B$700=$A66),人給データ!$C$2:$C$700)=0,"",LOOKUP(2,1/(人給データ!$B$2:$B$700=$A66),人給データ!$C$2:$C$700)),""))</f>
        <v/>
      </c>
      <c r="C66" t="inlineStr">
        <is>
          <t>上安保育園</t>
        </is>
      </c>
      <c r="D66">
        <f>IF($A66="","",IFERROR(IF(LOOKUP(2,1/(人給データ!$B$2:$B$700=$A66),人給データ!$Y$2:$Y$700)=0,"",LOOKUP(2,1/(人給データ!$B$2:$B$700=$A66),人給データ!$Y$2:$Y$700)),""))</f>
        <v/>
      </c>
      <c r="E66" s="20" t="n">
        <v>45255</v>
      </c>
      <c r="F66" s="16">
        <f>IF(OR(E66="",NOT(ISNUMBER(E66))),"",DATE(YEAR(E66)+2,MONTH(E66),DAY(E66)-2))</f>
        <v/>
      </c>
      <c r="G66" s="20" t="n">
        <v>45761</v>
      </c>
      <c r="H66" s="20" t="n">
        <v>46112</v>
      </c>
      <c r="I66" s="12" t="n"/>
      <c r="J66" t="n">
        <v>23.75</v>
      </c>
      <c r="K66" s="13" t="n">
        <v>260000</v>
      </c>
      <c r="L66" s="12" t="n"/>
      <c r="M66" s="12" t="n"/>
      <c r="N66" s="11" t="n"/>
      <c r="O66" s="11" t="n"/>
      <c r="P66" s="14">
        <f>IF(AND(M66&lt;&gt;"",O66=""),"保留中","")</f>
        <v/>
      </c>
      <c r="Q66" s="14">
        <f>IF(P66="保留中",COUNTIF(P$6:P66,"保留中"),"")</f>
        <v/>
      </c>
    </row>
    <row r="67">
      <c r="A67" s="12" t="n">
        <v>6702559</v>
      </c>
      <c r="B67">
        <f>IF($A67="","",IFERROR(IF(LOOKUP(2,1/(人給データ!$B$2:$B$700=$A67),人給データ!$C$2:$C$700)=0,"",LOOKUP(2,1/(人給データ!$B$2:$B$700=$A67),人給データ!$C$2:$C$700)),""))</f>
        <v/>
      </c>
      <c r="C67" t="inlineStr">
        <is>
          <t>緑井保育園</t>
        </is>
      </c>
      <c r="D67">
        <f>IF($A67="","",IFERROR(IF(LOOKUP(2,1/(人給データ!$B$2:$B$700=$A67),人給データ!$Y$2:$Y$700)=0,"",LOOKUP(2,1/(人給データ!$B$2:$B$700=$A67),人給データ!$Y$2:$Y$700)),""))</f>
        <v/>
      </c>
      <c r="E67" s="20" t="n">
        <v>45509</v>
      </c>
      <c r="F67" s="16">
        <f>IF(OR(E67="",NOT(ISNUMBER(E67))),"",DATE(YEAR(E67)+2,MONTH(E67),DAY(E67)-2))</f>
        <v/>
      </c>
      <c r="G67" s="20" t="n">
        <v>46027</v>
      </c>
      <c r="H67" s="20" t="n">
        <v>46112</v>
      </c>
      <c r="I67" s="12" t="n"/>
      <c r="J67" t="n">
        <v>23.75</v>
      </c>
      <c r="K67" s="13" t="n">
        <v>280000</v>
      </c>
      <c r="L67" s="12" t="n"/>
      <c r="M67" s="12" t="inlineStr">
        <is>
          <t>育休期間の変更待ち</t>
        </is>
      </c>
      <c r="N67" s="11" t="n"/>
      <c r="O67" s="11" t="n"/>
      <c r="P67" s="14">
        <f>IF(AND(M67&lt;&gt;"",O67=""),"保留中","")</f>
        <v/>
      </c>
      <c r="Q67" s="14">
        <f>IF(P67="保留中",COUNTIF(P$6:P67,"保留中"),"")</f>
        <v/>
      </c>
    </row>
    <row r="68">
      <c r="A68" s="12" t="n">
        <v>6702591</v>
      </c>
      <c r="B68">
        <f>IF($A68="","",IFERROR(IF(LOOKUP(2,1/(人給データ!$B$2:$B$700=$A68),人給データ!$C$2:$C$700)=0,"",LOOKUP(2,1/(人給データ!$B$2:$B$700=$A68),人給データ!$C$2:$C$700)),""))</f>
        <v/>
      </c>
      <c r="C68" t="inlineStr">
        <is>
          <t>大町保育園</t>
        </is>
      </c>
      <c r="D68">
        <f>IF($A68="","",IFERROR(IF(LOOKUP(2,1/(人給データ!$B$2:$B$700=$A68),人給データ!$Y$2:$Y$700)=0,"",LOOKUP(2,1/(人給データ!$B$2:$B$700=$A68),人給データ!$Y$2:$Y$700)),""))</f>
        <v/>
      </c>
      <c r="E68" s="20" t="n">
        <v>45269</v>
      </c>
      <c r="F68" s="16">
        <f>IF(OR(E68="",NOT(ISNUMBER(E68))),"",DATE(YEAR(E68)+2,MONTH(E68),DAY(E68)-2))</f>
        <v/>
      </c>
      <c r="G68" s="20" t="n">
        <v>45765</v>
      </c>
      <c r="H68" s="20" t="n">
        <v>46112</v>
      </c>
      <c r="I68" s="12" t="n"/>
      <c r="J68" t="n">
        <v>23.25</v>
      </c>
      <c r="K68" s="13" t="n">
        <v>320000</v>
      </c>
      <c r="L68" s="12" t="n"/>
      <c r="M68" s="12" t="n"/>
      <c r="N68" s="11" t="n"/>
      <c r="O68" s="11" t="n"/>
      <c r="P68" s="14">
        <f>IF(AND(M68&lt;&gt;"",O68=""),"保留中","")</f>
        <v/>
      </c>
      <c r="Q68" s="14">
        <f>IF(P68="保留中",COUNTIF(P$6:P68,"保留中"),"")</f>
        <v/>
      </c>
    </row>
    <row r="69">
      <c r="A69" s="12" t="n">
        <v>6702674</v>
      </c>
      <c r="B69">
        <f>IF($A69="","",IFERROR(IF(LOOKUP(2,1/(人給データ!$B$2:$B$700=$A69),人給データ!$C$2:$C$700)=0,"",LOOKUP(2,1/(人給データ!$B$2:$B$700=$A69),人給データ!$C$2:$C$700)),""))</f>
        <v/>
      </c>
      <c r="C69" t="inlineStr">
        <is>
          <t>真亀保育園</t>
        </is>
      </c>
      <c r="D69">
        <f>IF($A69="","",IFERROR(IF(LOOKUP(2,1/(人給データ!$B$2:$B$700=$A69),人給データ!$Y$2:$Y$700)=0,"",LOOKUP(2,1/(人給データ!$B$2:$B$700=$A69),人給データ!$Y$2:$Y$700)),""))</f>
        <v/>
      </c>
      <c r="E69" s="20" t="n">
        <v>45349</v>
      </c>
      <c r="F69" s="16">
        <f>IF(OR(E69="",NOT(ISNUMBER(E69))),"",DATE(YEAR(E69)+2,MONTH(E69),DAY(E69)-2))</f>
        <v/>
      </c>
      <c r="G69" s="20" t="n">
        <v>45762</v>
      </c>
      <c r="H69" s="20" t="n">
        <v>46112</v>
      </c>
      <c r="I69" s="12" t="n"/>
      <c r="J69" t="n">
        <v>23.75</v>
      </c>
      <c r="K69" s="13" t="n">
        <v>200000</v>
      </c>
      <c r="L69" s="12" t="n"/>
      <c r="M69" s="12" t="n"/>
      <c r="N69" s="11" t="n"/>
      <c r="O69" s="11" t="n"/>
      <c r="P69" s="14">
        <f>IF(AND(M69&lt;&gt;"",O69=""),"保留中","")</f>
        <v/>
      </c>
      <c r="Q69" s="14">
        <f>IF(P69="保留中",COUNTIF(P$6:P69,"保留中"),"")</f>
        <v/>
      </c>
    </row>
    <row r="70">
      <c r="A70" s="12" t="n">
        <v>6702757</v>
      </c>
      <c r="B70">
        <f>IF($A70="","",IFERROR(IF(LOOKUP(2,1/(人給データ!$B$2:$B$700=$A70),人給データ!$C$2:$C$700)=0,"",LOOKUP(2,1/(人給データ!$B$2:$B$700=$A70),人給データ!$C$2:$C$700)),""))</f>
        <v/>
      </c>
      <c r="C70" t="inlineStr">
        <is>
          <t>坪井保育園</t>
        </is>
      </c>
      <c r="D70">
        <f>IF($A70="","",IFERROR(IF(LOOKUP(2,1/(人給データ!$B$2:$B$700=$A70),人給データ!$Y$2:$Y$700)=0,"",LOOKUP(2,1/(人給データ!$B$2:$B$700=$A70),人給データ!$Y$2:$Y$700)),""))</f>
        <v/>
      </c>
      <c r="E70" s="20" t="n">
        <v>45502</v>
      </c>
      <c r="F70" s="16">
        <f>IF(OR(E70="",NOT(ISNUMBER(E70))),"",DATE(YEAR(E70)+2,MONTH(E70),DAY(E70)-2))</f>
        <v/>
      </c>
      <c r="G70" s="20" t="n">
        <v>46143</v>
      </c>
      <c r="H70" s="20" t="n">
        <v>46477</v>
      </c>
      <c r="I70" s="12" t="n"/>
      <c r="J70" t="n">
        <v>23.45</v>
      </c>
      <c r="K70" s="13" t="n">
        <v>280000</v>
      </c>
      <c r="L70" s="12" t="n"/>
      <c r="M70" s="12" t="n"/>
      <c r="N70" s="11" t="n"/>
      <c r="O70" s="11" t="n"/>
      <c r="P70" s="14">
        <f>IF(AND(M70&lt;&gt;"",O70=""),"保留中","")</f>
        <v/>
      </c>
      <c r="Q70" s="14">
        <f>IF(P70="保留中",COUNTIF(P$6:P70,"保留中"),"")</f>
        <v/>
      </c>
    </row>
    <row r="71">
      <c r="A71" s="12" t="n">
        <v>6702872</v>
      </c>
      <c r="B71">
        <f>IF($A71="","",IFERROR(IF(LOOKUP(2,1/(人給データ!$B$2:$B$700=$A71),人給データ!$C$2:$C$700)=0,"",LOOKUP(2,1/(人給データ!$B$2:$B$700=$A71),人給データ!$C$2:$C$700)),""))</f>
        <v/>
      </c>
      <c r="C71" t="inlineStr">
        <is>
          <t>ふくしま保育園</t>
        </is>
      </c>
      <c r="D71">
        <f>IF($A71="","",IFERROR(IF(LOOKUP(2,1/(人給データ!$B$2:$B$700=$A71),人給データ!$Y$2:$Y$700)=0,"",LOOKUP(2,1/(人給データ!$B$2:$B$700=$A71),人給データ!$Y$2:$Y$700)),""))</f>
        <v/>
      </c>
      <c r="E71" s="20" t="n">
        <v>45818</v>
      </c>
      <c r="F71" s="16">
        <f>IF(OR(E71="",NOT(ISNUMBER(E71))),"",DATE(YEAR(E71)+2,MONTH(E71),DAY(E71)-2))</f>
        <v/>
      </c>
      <c r="G71" s="20" t="n">
        <v>46143</v>
      </c>
      <c r="H71" s="20" t="n">
        <v>46477</v>
      </c>
      <c r="I71" s="12" t="n"/>
      <c r="J71" t="n">
        <v>23.45</v>
      </c>
      <c r="K71" s="13" t="n">
        <v>320000</v>
      </c>
      <c r="L71" s="12" t="n"/>
      <c r="M71" s="12" t="n"/>
      <c r="N71" s="11" t="n"/>
      <c r="O71" s="11" t="n"/>
      <c r="P71" s="14">
        <f>IF(AND(M71&lt;&gt;"",O71=""),"保留中","")</f>
        <v/>
      </c>
      <c r="Q71" s="14">
        <f>IF(P71="保留中",COUNTIF(P$6:P71,"保留中"),"")</f>
        <v/>
      </c>
    </row>
    <row r="72">
      <c r="A72" s="12" t="n">
        <v>6702906</v>
      </c>
      <c r="B72">
        <f>IF($A72="","",IFERROR(IF(LOOKUP(2,1/(人給データ!$B$2:$B$700=$A72),人給データ!$C$2:$C$700)=0,"",LOOKUP(2,1/(人給データ!$B$2:$B$700=$A72),人給データ!$C$2:$C$700)),""))</f>
        <v/>
      </c>
      <c r="C72" t="inlineStr">
        <is>
          <t>安芸区役所市民部保険年金課</t>
        </is>
      </c>
      <c r="D72">
        <f>IF($A72="","",IFERROR(IF(LOOKUP(2,1/(人給データ!$B$2:$B$700=$A72),人給データ!$Y$2:$Y$700)=0,"",LOOKUP(2,1/(人給データ!$B$2:$B$700=$A72),人給データ!$Y$2:$Y$700)),""))</f>
        <v/>
      </c>
      <c r="E72" s="20" t="n">
        <v>45447</v>
      </c>
      <c r="F72" s="16">
        <f>IF(OR(E72="",NOT(ISNUMBER(E72))),"",DATE(YEAR(E72)+2,MONTH(E72),DAY(E72)-2))</f>
        <v/>
      </c>
      <c r="G72" s="20" t="n">
        <v>45845</v>
      </c>
      <c r="H72" s="20" t="n">
        <v>46112</v>
      </c>
      <c r="I72" s="12" t="n"/>
      <c r="J72" t="n">
        <v>20</v>
      </c>
      <c r="K72" s="13" t="n">
        <v>260000</v>
      </c>
      <c r="L72" s="12" t="n"/>
      <c r="M72" s="12" t="n"/>
      <c r="N72" s="11" t="n"/>
      <c r="O72" s="11" t="n"/>
      <c r="P72" s="14">
        <f>IF(AND(M72&lt;&gt;"",O72=""),"保留中","")</f>
        <v/>
      </c>
      <c r="Q72" s="14">
        <f>IF(P72="保留中",COUNTIF(P$6:P72,"保留中"),"")</f>
        <v/>
      </c>
    </row>
    <row r="73">
      <c r="A73" s="12" t="n">
        <v>6704258</v>
      </c>
      <c r="B73">
        <f>IF($A73="","",IFERROR(IF(LOOKUP(2,1/(人給データ!$B$2:$B$700=$A73),人給データ!$C$2:$C$700)=0,"",LOOKUP(2,1/(人給データ!$B$2:$B$700=$A73),人給データ!$C$2:$C$700)),""))</f>
        <v/>
      </c>
      <c r="C73" t="inlineStr">
        <is>
          <t>財政局徴収第四課</t>
        </is>
      </c>
      <c r="D73">
        <f>IF($A73="","",IFERROR(IF(LOOKUP(2,1/(人給データ!$B$2:$B$700=$A73),人給データ!$Y$2:$Y$700)=0,"",LOOKUP(2,1/(人給データ!$B$2:$B$700=$A73),人給データ!$Y$2:$Y$700)),""))</f>
        <v/>
      </c>
      <c r="E73" s="20" t="n">
        <v>45524</v>
      </c>
      <c r="F73" s="16">
        <f>IF(OR(E73="",NOT(ISNUMBER(E73))),"",DATE(YEAR(E73)+2,MONTH(E73),DAY(E73)-2))</f>
        <v/>
      </c>
      <c r="G73" s="20">
        <f>IF($A73="","",IFERROR(IF(LOOKUP(2,1/(人給データ!$B$2:$B$700=$A73),人給データ!$J$2:$J$700)=0,"",LOOKUP(2,1/(人給データ!$B$2:$B$700=$A73),人給データ!$J$2:$J$700)),""))</f>
        <v/>
      </c>
      <c r="H73" s="20">
        <f>IF($A73="","",IFERROR(IF(LOOKUP(2,1/(人給データ!$B$2:$B$700=$A73),人給データ!$K$2:$K$700)=0,"",LOOKUP(2,1/(人給データ!$B$2:$B$700=$A73),人給データ!$K$2:$K$700)),""))</f>
        <v/>
      </c>
      <c r="I73" s="12" t="n"/>
      <c r="J73">
        <f>IF($A73="","",IFERROR(IF(LOOKUP(2,1/(人給データ!$B$2:$B$700=$A73),人給データ!$N$2:$N$700)=0,"",LOOKUP(2,1/(人給データ!$B$2:$B$700=$A73),人給データ!$N$2:$N$700)),""))</f>
        <v/>
      </c>
      <c r="K73" s="13" t="n">
        <v>280000</v>
      </c>
      <c r="L73" s="12" t="inlineStr">
        <is>
          <t>部分休業</t>
        </is>
      </c>
      <c r="M73" s="12" t="n"/>
      <c r="N73" s="11" t="n"/>
      <c r="O73" s="11" t="n"/>
      <c r="P73" s="14">
        <f>IF(AND(M73&lt;&gt;"",O73=""),"保留中","")</f>
        <v/>
      </c>
      <c r="Q73" s="14">
        <f>IF(P73="保留中",COUNTIF(P$6:P73,"保留中"),"")</f>
        <v/>
      </c>
    </row>
    <row r="74">
      <c r="A74" s="12" t="n">
        <v>6801509</v>
      </c>
      <c r="B74">
        <f>IF($A74="","",IFERROR(IF(LOOKUP(2,1/(人給データ!$B$2:$B$700=$A74),人給データ!$C$2:$C$700)=0,"",LOOKUP(2,1/(人給データ!$B$2:$B$700=$A74),人給データ!$C$2:$C$700)),""))</f>
        <v/>
      </c>
      <c r="C74" t="inlineStr">
        <is>
          <t>健康福祉局</t>
        </is>
      </c>
      <c r="D74">
        <f>IF($A74="","",IFERROR(IF(LOOKUP(2,1/(人給データ!$B$2:$B$700=$A74),人給データ!$Y$2:$Y$700)=0,"",LOOKUP(2,1/(人給データ!$B$2:$B$700=$A74),人給データ!$Y$2:$Y$700)),""))</f>
        <v/>
      </c>
      <c r="E74" s="20" t="n">
        <v>45559</v>
      </c>
      <c r="F74" s="16">
        <f>IF(OR(E74="",NOT(ISNUMBER(E74))),"",DATE(YEAR(E74)+2,MONTH(E74),DAY(E74)-2))</f>
        <v/>
      </c>
      <c r="G74" s="20" t="n">
        <v>46143</v>
      </c>
      <c r="H74" s="20" t="n">
        <v>46287</v>
      </c>
      <c r="I74" s="12" t="inlineStr">
        <is>
          <t>部分休業</t>
        </is>
      </c>
      <c r="J74">
        <f>IF($A74="","",IFERROR(IF(LOOKUP(2,1/(人給データ!$B$2:$B$700=$A74),人給データ!$N$2:$N$700)=0,"",LOOKUP(2,1/(人給データ!$B$2:$B$700=$A74),人給データ!$N$2:$N$700)),""))</f>
        <v/>
      </c>
      <c r="K74" s="13" t="n">
        <v>280000</v>
      </c>
      <c r="L74" s="12" t="n"/>
      <c r="M74" s="12" t="n"/>
      <c r="N74" s="11" t="n"/>
      <c r="O74" s="11" t="n"/>
      <c r="P74" s="14">
        <f>IF(AND(M74&lt;&gt;"",O74=""),"保留中","")</f>
        <v/>
      </c>
      <c r="Q74" s="14">
        <f>IF(P74="保留中",COUNTIF(P$6:P74,"保留中"),"")</f>
        <v/>
      </c>
    </row>
    <row r="75">
      <c r="A75" s="12" t="n">
        <v>6801831</v>
      </c>
      <c r="B75">
        <f>IF($A75="","",IFERROR(IF(LOOKUP(2,1/(人給データ!$B$2:$B$700=$A75),人給データ!$C$2:$C$700)=0,"",LOOKUP(2,1/(人給データ!$B$2:$B$700=$A75),人給データ!$C$2:$C$700)),""))</f>
        <v/>
      </c>
      <c r="C75" t="inlineStr">
        <is>
          <t>江波第二保育園</t>
        </is>
      </c>
      <c r="D75">
        <f>IF($A75="","",IFERROR(IF(LOOKUP(2,1/(人給データ!$B$2:$B$700=$A75),人給データ!$Y$2:$Y$700)=0,"",LOOKUP(2,1/(人給データ!$B$2:$B$700=$A75),人給データ!$Y$2:$Y$700)),""))</f>
        <v/>
      </c>
      <c r="E75" s="20" t="n">
        <v>45355</v>
      </c>
      <c r="F75" s="16">
        <f>IF(OR(E75="",NOT(ISNUMBER(E75))),"",DATE(YEAR(E75)+2,MONTH(E75),DAY(E75)-2))</f>
        <v/>
      </c>
      <c r="G75" s="20" t="n">
        <v>45762</v>
      </c>
      <c r="H75" s="20" t="n">
        <v>46112</v>
      </c>
      <c r="I75" s="12" t="n"/>
      <c r="J75" t="n">
        <v>23.75</v>
      </c>
      <c r="K75" s="13" t="n">
        <v>260000</v>
      </c>
      <c r="L75" s="12" t="n"/>
      <c r="M75" s="12" t="n"/>
      <c r="N75" s="11" t="n"/>
      <c r="O75" s="11" t="n"/>
      <c r="P75" s="14">
        <f>IF(AND(M75&lt;&gt;"",O75=""),"保留中","")</f>
        <v/>
      </c>
      <c r="Q75" s="14">
        <f>IF(P75="保留中",COUNTIF(P$6:P75,"保留中"),"")</f>
        <v/>
      </c>
    </row>
    <row r="76">
      <c r="A76" s="12" t="n">
        <v>6801872</v>
      </c>
      <c r="B76">
        <f>IF($A76="","",IFERROR(IF(LOOKUP(2,1/(人給データ!$B$2:$B$700=$A76),人給データ!$C$2:$C$700)=0,"",LOOKUP(2,1/(人給データ!$B$2:$B$700=$A76),人給データ!$C$2:$C$700)),""))</f>
        <v/>
      </c>
      <c r="C76" t="inlineStr">
        <is>
          <t>竹屋保育園</t>
        </is>
      </c>
      <c r="D76">
        <f>IF($A76="","",IFERROR(IF(LOOKUP(2,1/(人給データ!$B$2:$B$700=$A76),人給データ!$Y$2:$Y$700)=0,"",LOOKUP(2,1/(人給データ!$B$2:$B$700=$A76),人給データ!$Y$2:$Y$700)),""))</f>
        <v/>
      </c>
      <c r="E76" s="20" t="n">
        <v>45307</v>
      </c>
      <c r="F76" s="16">
        <f>IF(OR(E76="",NOT(ISNUMBER(E76))),"",DATE(YEAR(E76)+2,MONTH(E76),DAY(E76)-2))</f>
        <v/>
      </c>
      <c r="G76" s="20" t="n">
        <v>45762</v>
      </c>
      <c r="H76" s="20" t="n">
        <v>46112</v>
      </c>
      <c r="I76" s="12" t="n"/>
      <c r="J76" t="n">
        <v>23.75</v>
      </c>
      <c r="K76" s="13" t="n">
        <v>260000</v>
      </c>
      <c r="L76" s="12" t="n"/>
      <c r="M76" s="12" t="n"/>
      <c r="N76" s="11" t="n"/>
      <c r="O76" s="11" t="n"/>
      <c r="P76" s="14">
        <f>IF(AND(M76&lt;&gt;"",O76=""),"保留中","")</f>
        <v/>
      </c>
      <c r="Q76" s="14">
        <f>IF(P76="保留中",COUNTIF(P$6:P76,"保留中"),"")</f>
        <v/>
      </c>
    </row>
    <row r="77">
      <c r="A77" s="12" t="n">
        <v>6802235</v>
      </c>
      <c r="B77">
        <f>IF($A77="","",IFERROR(IF(LOOKUP(2,1/(人給データ!$B$2:$B$700=$A77),人給データ!$C$2:$C$700)=0,"",LOOKUP(2,1/(人給データ!$B$2:$B$700=$A77),人給データ!$C$2:$C$700)),""))</f>
        <v/>
      </c>
      <c r="C77" t="inlineStr">
        <is>
          <t>五日市中央北保育園</t>
        </is>
      </c>
      <c r="D77">
        <f>IF($A77="","",IFERROR(IF(LOOKUP(2,1/(人給データ!$B$2:$B$700=$A77),人給データ!$Y$2:$Y$700)=0,"",LOOKUP(2,1/(人給データ!$B$2:$B$700=$A77),人給データ!$Y$2:$Y$700)),""))</f>
        <v/>
      </c>
      <c r="E77" s="20" t="n">
        <v>45514</v>
      </c>
      <c r="F77" s="16">
        <f>IF(OR(E77="",NOT(ISNUMBER(E77))),"",DATE(YEAR(E77)+2,MONTH(E77),DAY(E77)-2))</f>
        <v/>
      </c>
      <c r="G77" s="20" t="n">
        <v>45879</v>
      </c>
      <c r="H77" s="20" t="n">
        <v>46112</v>
      </c>
      <c r="I77" s="12" t="n"/>
      <c r="J77" t="n">
        <v>23.75</v>
      </c>
      <c r="K77" s="13" t="n">
        <v>300000</v>
      </c>
      <c r="L77" s="12" t="n"/>
      <c r="M77" s="12" t="n"/>
      <c r="N77" s="11" t="n"/>
      <c r="O77" s="11" t="n"/>
      <c r="P77" s="14">
        <f>IF(AND(M77&lt;&gt;"",O77=""),"保留中","")</f>
        <v/>
      </c>
      <c r="Q77" s="14">
        <f>IF(P77="保留中",COUNTIF(P$6:P77,"保留中"),"")</f>
        <v/>
      </c>
    </row>
    <row r="78">
      <c r="A78" s="12" t="n">
        <v>6802268</v>
      </c>
      <c r="B78">
        <f>IF($A78="","",IFERROR(IF(LOOKUP(2,1/(人給データ!$B$2:$B$700=$A78),人給データ!$C$2:$C$700)=0,"",LOOKUP(2,1/(人給データ!$B$2:$B$700=$A78),人給データ!$C$2:$C$700)),""))</f>
        <v/>
      </c>
      <c r="C78" t="inlineStr">
        <is>
          <t>大町保育園</t>
        </is>
      </c>
      <c r="D78">
        <f>IF($A78="","",IFERROR(IF(LOOKUP(2,1/(人給データ!$B$2:$B$700=$A78),人給データ!$Y$2:$Y$700)=0,"",LOOKUP(2,1/(人給データ!$B$2:$B$700=$A78),人給データ!$Y$2:$Y$700)),""))</f>
        <v/>
      </c>
      <c r="E78" s="20" t="n">
        <v>45569</v>
      </c>
      <c r="F78" s="16">
        <f>IF(OR(E78="",NOT(ISNUMBER(E78))),"",DATE(YEAR(E78)+2,MONTH(E78),DAY(E78)-2))</f>
        <v/>
      </c>
      <c r="G78" s="20" t="n">
        <v>46143</v>
      </c>
      <c r="H78" s="20" t="n">
        <v>46477</v>
      </c>
      <c r="I78" s="12" t="n"/>
      <c r="J78" t="n">
        <v>23.45</v>
      </c>
      <c r="K78" s="13" t="n">
        <v>280000</v>
      </c>
      <c r="L78" s="12" t="n"/>
      <c r="M78" s="12" t="n"/>
      <c r="N78" s="11" t="n"/>
      <c r="O78" s="11" t="n"/>
      <c r="P78" s="14">
        <f>IF(AND(M78&lt;&gt;"",O78=""),"保留中","")</f>
        <v/>
      </c>
      <c r="Q78" s="14">
        <f>IF(P78="保留中",COUNTIF(P$6:P78,"保留中"),"")</f>
        <v/>
      </c>
    </row>
    <row r="79">
      <c r="A79" s="12" t="n">
        <v>6802334</v>
      </c>
      <c r="B79">
        <f>IF($A79="","",IFERROR(IF(LOOKUP(2,1/(人給データ!$B$2:$B$700=$A79),人給データ!$C$2:$C$700)=0,"",LOOKUP(2,1/(人給データ!$B$2:$B$700=$A79),人給データ!$C$2:$C$700)),""))</f>
        <v/>
      </c>
      <c r="C79" t="inlineStr">
        <is>
          <t>庚午保育園</t>
        </is>
      </c>
      <c r="D79">
        <f>IF($A79="","",IFERROR(IF(LOOKUP(2,1/(人給データ!$B$2:$B$700=$A79),人給データ!$Y$2:$Y$700)=0,"",LOOKUP(2,1/(人給データ!$B$2:$B$700=$A79),人給データ!$Y$2:$Y$700)),""))</f>
        <v/>
      </c>
      <c r="E79" s="20" t="n">
        <v>45263</v>
      </c>
      <c r="F79" s="16">
        <f>IF(OR(E79="",NOT(ISNUMBER(E79))),"",DATE(YEAR(E79)+2,MONTH(E79),DAY(E79)-2))</f>
        <v/>
      </c>
      <c r="G79" s="20" t="n">
        <v>45778</v>
      </c>
      <c r="H79" s="20" t="n">
        <v>46112</v>
      </c>
      <c r="I79" s="12" t="n"/>
      <c r="J79" t="n">
        <v>23.75</v>
      </c>
      <c r="K79" s="13" t="n">
        <v>280000</v>
      </c>
      <c r="L79" s="12" t="n"/>
      <c r="M79" s="12" t="n"/>
      <c r="N79" s="11" t="n"/>
      <c r="O79" s="11" t="n"/>
      <c r="P79" s="14">
        <f>IF(AND(M79&lt;&gt;"",O79=""),"保留中","")</f>
        <v/>
      </c>
      <c r="Q79" s="14">
        <f>IF(P79="保留中",COUNTIF(P$6:P79,"保留中"),"")</f>
        <v/>
      </c>
    </row>
    <row r="80">
      <c r="A80" s="12" t="n">
        <v>6802342</v>
      </c>
      <c r="B80">
        <f>IF($A80="","",IFERROR(IF(LOOKUP(2,1/(人給データ!$B$2:$B$700=$A80),人給データ!$C$2:$C$700)=0,"",LOOKUP(2,1/(人給データ!$B$2:$B$700=$A80),人給データ!$C$2:$C$700)),""))</f>
        <v/>
      </c>
      <c r="C80" t="inlineStr">
        <is>
          <t>あけぼの保育園</t>
        </is>
      </c>
      <c r="D80">
        <f>IF($A80="","",IFERROR(IF(LOOKUP(2,1/(人給データ!$B$2:$B$700=$A80),人給データ!$Y$2:$Y$700)=0,"",LOOKUP(2,1/(人給データ!$B$2:$B$700=$A80),人給データ!$Y$2:$Y$700)),""))</f>
        <v/>
      </c>
      <c r="E80" s="20" t="n">
        <v>45077</v>
      </c>
      <c r="F80" s="16">
        <f>IF(OR(E80="",NOT(ISNUMBER(E80))),"",DATE(YEAR(E80)+2,MONTH(E80),DAY(E80)-2))</f>
        <v/>
      </c>
      <c r="G80" s="20" t="n">
        <v>45748</v>
      </c>
      <c r="H80" s="20" t="n">
        <v>45880</v>
      </c>
      <c r="I80" s="12" t="n"/>
      <c r="J80" t="n">
        <v>23.75</v>
      </c>
      <c r="K80" s="13" t="n">
        <v>200000</v>
      </c>
      <c r="L80" s="12" t="n"/>
      <c r="M80" s="12" t="n"/>
      <c r="N80" s="11" t="n"/>
      <c r="O80" s="11" t="n"/>
      <c r="P80" s="14">
        <f>IF(AND(M80&lt;&gt;"",O80=""),"保留中","")</f>
        <v/>
      </c>
      <c r="Q80" s="14">
        <f>IF(P80="保留中",COUNTIF(P$6:P80,"保留中"),"")</f>
        <v/>
      </c>
    </row>
    <row r="81">
      <c r="A81" s="12" t="n">
        <v>6900146</v>
      </c>
      <c r="B81">
        <f>IF($A81="","",IFERROR(IF(LOOKUP(2,1/(人給データ!$B$2:$B$700=$A81),人給データ!$C$2:$C$700)=0,"",LOOKUP(2,1/(人給データ!$B$2:$B$700=$A81),人給データ!$C$2:$C$700)),""))</f>
        <v/>
      </c>
      <c r="C81" t="inlineStr">
        <is>
          <t>西部市税事務所</t>
        </is>
      </c>
      <c r="D81">
        <f>IF($A81="","",IFERROR(IF(LOOKUP(2,1/(人給データ!$B$2:$B$700=$A81),人給データ!$Y$2:$Y$700)=0,"",LOOKUP(2,1/(人給データ!$B$2:$B$700=$A81),人給データ!$Y$2:$Y$700)),""))</f>
        <v/>
      </c>
      <c r="E81" s="20" t="n">
        <v>45431</v>
      </c>
      <c r="F81" s="16">
        <f>IF(OR(E81="",NOT(ISNUMBER(E81))),"",DATE(YEAR(E81)+2,MONTH(E81),DAY(E81)-2))</f>
        <v/>
      </c>
      <c r="G81" s="20">
        <f>IF($A81="","",IFERROR(IF(LOOKUP(2,1/(人給データ!$B$2:$B$700=$A81),人給データ!$J$2:$J$700)=0,"",LOOKUP(2,1/(人給データ!$B$2:$B$700=$A81),人給データ!$J$2:$J$700)),""))</f>
        <v/>
      </c>
      <c r="H81" s="20">
        <f>IF($A81="","",IFERROR(IF(LOOKUP(2,1/(人給データ!$B$2:$B$700=$A81),人給データ!$K$2:$K$700)=0,"",LOOKUP(2,1/(人給データ!$B$2:$B$700=$A81),人給データ!$K$2:$K$700)),""))</f>
        <v/>
      </c>
      <c r="I81" s="12" t="n"/>
      <c r="J81">
        <f>IF($A81="","",IFERROR(IF(LOOKUP(2,1/(人給データ!$B$2:$B$700=$A81),人給データ!$N$2:$N$700)=0,"",LOOKUP(2,1/(人給データ!$B$2:$B$700=$A81),人給データ!$N$2:$N$700)),""))</f>
        <v/>
      </c>
      <c r="K81" s="13" t="n">
        <v>280000</v>
      </c>
      <c r="L81" s="12" t="inlineStr">
        <is>
          <t>部分休業</t>
        </is>
      </c>
      <c r="M81" s="12" t="inlineStr">
        <is>
          <t>部分休業の取得状況確認</t>
        </is>
      </c>
      <c r="N81" s="11" t="n"/>
      <c r="O81" s="11" t="n"/>
      <c r="P81" s="14">
        <f>IF(AND(M81&lt;&gt;"",O81=""),"保留中","")</f>
        <v/>
      </c>
      <c r="Q81" s="14">
        <f>IF(P81="保留中",COUNTIF(P$6:P81,"保留中"),"")</f>
        <v/>
      </c>
    </row>
    <row r="82">
      <c r="A82" s="12" t="n">
        <v>6902159</v>
      </c>
      <c r="B82">
        <f>IF($A82="","",IFERROR(IF(LOOKUP(2,1/(人給データ!$B$2:$B$700=$A82),人給データ!$C$2:$C$700)=0,"",LOOKUP(2,1/(人給データ!$B$2:$B$700=$A82),人給データ!$C$2:$C$700)),""))</f>
        <v/>
      </c>
      <c r="C82" t="inlineStr">
        <is>
          <t>江波保育園</t>
        </is>
      </c>
      <c r="D82">
        <f>IF($A82="","",IFERROR(IF(LOOKUP(2,1/(人給データ!$B$2:$B$700=$A82),人給データ!$Y$2:$Y$700)=0,"",LOOKUP(2,1/(人給データ!$B$2:$B$700=$A82),人給データ!$Y$2:$Y$700)),""))</f>
        <v/>
      </c>
      <c r="E82" s="20" t="n">
        <v>45193</v>
      </c>
      <c r="F82" s="16">
        <f>IF(OR(E82="",NOT(ISNUMBER(E82))),"",DATE(YEAR(E82)+2,MONTH(E82),DAY(E82)-2))</f>
        <v/>
      </c>
      <c r="G82" s="20" t="n">
        <v>45778</v>
      </c>
      <c r="H82" s="20" t="n">
        <v>46112</v>
      </c>
      <c r="I82" s="12" t="n"/>
      <c r="J82" t="n">
        <v>23.75</v>
      </c>
      <c r="K82" s="13" t="n">
        <v>240000</v>
      </c>
      <c r="L82" s="12" t="n"/>
      <c r="M82" s="12" t="n"/>
      <c r="N82" s="11" t="n"/>
      <c r="O82" s="11" t="n"/>
      <c r="P82" s="14">
        <f>IF(AND(M82&lt;&gt;"",O82=""),"保留中","")</f>
        <v/>
      </c>
      <c r="Q82" s="14">
        <f>IF(P82="保留中",COUNTIF(P$6:P82,"保留中"),"")</f>
        <v/>
      </c>
    </row>
    <row r="83">
      <c r="A83" s="12" t="n">
        <v>6902241</v>
      </c>
      <c r="B83">
        <f>IF($A83="","",IFERROR(IF(LOOKUP(2,1/(人給データ!$B$2:$B$700=$A83),人給データ!$C$2:$C$700)=0,"",LOOKUP(2,1/(人給データ!$B$2:$B$700=$A83),人給データ!$C$2:$C$700)),""))</f>
        <v/>
      </c>
      <c r="C83" t="inlineStr">
        <is>
          <t>中山保育園</t>
        </is>
      </c>
      <c r="D83">
        <f>IF($A83="","",IFERROR(IF(LOOKUP(2,1/(人給データ!$B$2:$B$700=$A83),人給データ!$Y$2:$Y$700)=0,"",LOOKUP(2,1/(人給データ!$B$2:$B$700=$A83),人給データ!$Y$2:$Y$700)),""))</f>
        <v/>
      </c>
      <c r="E83" s="20" t="n">
        <v>45641</v>
      </c>
      <c r="F83" s="16">
        <f>IF(OR(E83="",NOT(ISNUMBER(E83))),"",DATE(YEAR(E83)+2,MONTH(E83),DAY(E83)-2))</f>
        <v/>
      </c>
      <c r="G83" s="20" t="n">
        <v>46113</v>
      </c>
      <c r="H83" s="20" t="n">
        <v>46477</v>
      </c>
      <c r="I83" s="12" t="n"/>
      <c r="J83" t="n">
        <v>23.45</v>
      </c>
      <c r="K83" s="13" t="n">
        <v>260000</v>
      </c>
      <c r="L83" s="12" t="n"/>
      <c r="M83" s="12" t="n"/>
      <c r="N83" s="11" t="n"/>
      <c r="O83" s="11" t="n"/>
      <c r="P83" s="14">
        <f>IF(AND(M83&lt;&gt;"",O83=""),"保留中","")</f>
        <v/>
      </c>
      <c r="Q83" s="14">
        <f>IF(P83="保留中",COUNTIF(P$6:P83,"保留中"),"")</f>
        <v/>
      </c>
    </row>
    <row r="84">
      <c r="A84" s="12" t="n">
        <v>6902308</v>
      </c>
      <c r="B84">
        <f>IF($A84="","",IFERROR(IF(LOOKUP(2,1/(人給データ!$B$2:$B$700=$A84),人給データ!$C$2:$C$700)=0,"",LOOKUP(2,1/(人給データ!$B$2:$B$700=$A84),人給データ!$C$2:$C$700)),""))</f>
        <v/>
      </c>
      <c r="C84" t="inlineStr">
        <is>
          <t>己斐保育園</t>
        </is>
      </c>
      <c r="D84">
        <f>IF($A84="","",IFERROR(IF(LOOKUP(2,1/(人給データ!$B$2:$B$700=$A84),人給データ!$Y$2:$Y$700)=0,"",LOOKUP(2,1/(人給データ!$B$2:$B$700=$A84),人給データ!$Y$2:$Y$700)),""))</f>
        <v/>
      </c>
      <c r="E84" s="20" t="n">
        <v>45490</v>
      </c>
      <c r="F84" s="16">
        <f>IF(OR(E84="",NOT(ISNUMBER(E84))),"",DATE(YEAR(E84)+2,MONTH(E84),DAY(E84)-2))</f>
        <v/>
      </c>
      <c r="G84" s="20" t="n">
        <v>45855</v>
      </c>
      <c r="H84" s="20" t="n">
        <v>46112</v>
      </c>
      <c r="I84" s="12" t="n"/>
      <c r="J84" t="n">
        <v>23.75</v>
      </c>
      <c r="K84" s="13" t="n">
        <v>300000</v>
      </c>
      <c r="L84" s="12" t="n"/>
      <c r="M84" s="12" t="n"/>
      <c r="N84" s="11" t="n"/>
      <c r="O84" s="11" t="n"/>
      <c r="P84" s="14">
        <f>IF(AND(M84&lt;&gt;"",O84=""),"保留中","")</f>
        <v/>
      </c>
      <c r="Q84" s="14">
        <f>IF(P84="保留中",COUNTIF(P$6:P84,"保留中"),"")</f>
        <v/>
      </c>
    </row>
    <row r="85">
      <c r="A85" s="12" t="n">
        <v>6902464</v>
      </c>
      <c r="B85">
        <f>IF($A85="","",IFERROR(IF(LOOKUP(2,1/(人給データ!$B$2:$B$700=$A85),人給データ!$C$2:$C$700)=0,"",LOOKUP(2,1/(人給データ!$B$2:$B$700=$A85),人給データ!$C$2:$C$700)),""))</f>
        <v/>
      </c>
      <c r="C85" t="inlineStr">
        <is>
          <t>基町保育園</t>
        </is>
      </c>
      <c r="D85">
        <f>IF($A85="","",IFERROR(IF(LOOKUP(2,1/(人給データ!$B$2:$B$700=$A85),人給データ!$Y$2:$Y$700)=0,"",LOOKUP(2,1/(人給データ!$B$2:$B$700=$A85),人給データ!$Y$2:$Y$700)),""))</f>
        <v/>
      </c>
      <c r="E85" s="20" t="n">
        <v>45020</v>
      </c>
      <c r="F85" s="16">
        <f>IF(OR(E85="",NOT(ISNUMBER(E85))),"",DATE(YEAR(E85)+2,MONTH(E85),DAY(E85)-2))</f>
        <v/>
      </c>
      <c r="G85" s="20" t="n">
        <v>45748</v>
      </c>
      <c r="H85" s="20" t="n">
        <v>46112</v>
      </c>
      <c r="I85" s="12" t="n"/>
      <c r="J85" t="n">
        <v>23.75</v>
      </c>
      <c r="K85" s="13" t="n">
        <v>160000</v>
      </c>
      <c r="L85" s="12" t="n"/>
      <c r="M85" s="12" t="n"/>
      <c r="N85" s="11" t="n"/>
      <c r="O85" s="11" t="n"/>
      <c r="P85" s="14">
        <f>IF(AND(M85&lt;&gt;"",O85=""),"保留中","")</f>
        <v/>
      </c>
      <c r="Q85" s="14">
        <f>IF(P85="保留中",COUNTIF(P$6:P85,"保留中"),"")</f>
        <v/>
      </c>
    </row>
    <row r="86">
      <c r="A86" s="12" t="n">
        <v>6902597</v>
      </c>
      <c r="B86">
        <f>IF($A86="","",IFERROR(IF(LOOKUP(2,1/(人給データ!$B$2:$B$700=$A86),人給データ!$C$2:$C$700)=0,"",LOOKUP(2,1/(人給データ!$B$2:$B$700=$A86),人給データ!$C$2:$C$700)),""))</f>
        <v/>
      </c>
      <c r="C86" t="inlineStr">
        <is>
          <t>皆実保育園</t>
        </is>
      </c>
      <c r="D86">
        <f>IF($A86="","",IFERROR(IF(LOOKUP(2,1/(人給データ!$B$2:$B$700=$A86),人給データ!$Y$2:$Y$700)=0,"",LOOKUP(2,1/(人給データ!$B$2:$B$700=$A86),人給データ!$Y$2:$Y$700)),""))</f>
        <v/>
      </c>
      <c r="E86" s="20" t="n">
        <v>45801</v>
      </c>
      <c r="F86" s="16">
        <f>IF(OR(E86="",NOT(ISNUMBER(E86))),"",DATE(YEAR(E86)+2,MONTH(E86),DAY(E86)-2))</f>
        <v/>
      </c>
      <c r="G86" s="20" t="n">
        <v>46113</v>
      </c>
      <c r="H86" s="20" t="n">
        <v>46477</v>
      </c>
      <c r="I86" s="12" t="n"/>
      <c r="J86" t="n">
        <v>23.45</v>
      </c>
      <c r="K86" s="13" t="n">
        <v>280000</v>
      </c>
      <c r="L86" s="12" t="n"/>
      <c r="M86" s="12" t="n"/>
      <c r="N86" s="11" t="n"/>
      <c r="O86" s="11" t="n"/>
      <c r="P86" s="14">
        <f>IF(AND(M86&lt;&gt;"",O86=""),"保留中","")</f>
        <v/>
      </c>
      <c r="Q86" s="14">
        <f>IF(P86="保留中",COUNTIF(P$6:P86,"保留中"),"")</f>
        <v/>
      </c>
    </row>
    <row r="87">
      <c r="A87" s="12" t="n">
        <v>6903033</v>
      </c>
      <c r="B87">
        <f>IF($A87="","",IFERROR(IF(LOOKUP(2,1/(人給データ!$B$2:$B$700=$A87),人給データ!$C$2:$C$700)=0,"",LOOKUP(2,1/(人給データ!$B$2:$B$700=$A87),人給データ!$C$2:$C$700)),""))</f>
        <v/>
      </c>
      <c r="C87" t="inlineStr">
        <is>
          <t>安佐南区地域整備課</t>
        </is>
      </c>
      <c r="D87">
        <f>IF($A87="","",IFERROR(IF(LOOKUP(2,1/(人給データ!$B$2:$B$700=$A87),人給データ!$Y$2:$Y$700)=0,"",LOOKUP(2,1/(人給データ!$B$2:$B$700=$A87),人給データ!$Y$2:$Y$700)),""))</f>
        <v/>
      </c>
      <c r="E87" s="20" t="n">
        <v>46130</v>
      </c>
      <c r="F87" s="16">
        <f>IF(OR(E87="",NOT(ISNUMBER(E87))),"",DATE(YEAR(E87)+2,MONTH(E87),DAY(E87)-2))</f>
        <v/>
      </c>
      <c r="G87" s="20">
        <f>IF($A87="","",IFERROR(IF(LOOKUP(2,1/(人給データ!$B$2:$B$700=$A87),人給データ!$J$2:$J$700)=0,"",LOOKUP(2,1/(人給データ!$B$2:$B$700=$A87),人給データ!$J$2:$J$700)),""))</f>
        <v/>
      </c>
      <c r="H87" s="20">
        <f>IF($A87="","",IFERROR(IF(LOOKUP(2,1/(人給データ!$B$2:$B$700=$A87),人給データ!$K$2:$K$700)=0,"",LOOKUP(2,1/(人給データ!$B$2:$B$700=$A87),人給データ!$K$2:$K$700)),""))</f>
        <v/>
      </c>
      <c r="I87" s="12" t="n"/>
      <c r="J87">
        <f>IF($A87="","",IFERROR(IF(LOOKUP(2,1/(人給データ!$B$2:$B$700=$A87),人給データ!$N$2:$N$700)=0,"",LOOKUP(2,1/(人給データ!$B$2:$B$700=$A87),人給データ!$N$2:$N$700)),""))</f>
        <v/>
      </c>
      <c r="K87" s="13" t="n">
        <v>300000</v>
      </c>
      <c r="L87" s="12" t="inlineStr">
        <is>
          <t>部分休業</t>
        </is>
      </c>
      <c r="M87" s="12" t="n"/>
      <c r="N87" s="11" t="n"/>
      <c r="O87" s="11" t="n"/>
      <c r="P87" s="14">
        <f>IF(AND(M87&lt;&gt;"",O87=""),"保留中","")</f>
        <v/>
      </c>
      <c r="Q87" s="14">
        <f>IF(P87="保留中",COUNTIF(P$6:P87,"保留中"),"")</f>
        <v/>
      </c>
    </row>
    <row r="88">
      <c r="A88" s="12" t="n">
        <v>6904581</v>
      </c>
      <c r="B88">
        <f>IF($A88="","",IFERROR(IF(LOOKUP(2,1/(人給データ!$B$2:$B$700=$A88),人給データ!$C$2:$C$700)=0,"",LOOKUP(2,1/(人給データ!$B$2:$B$700=$A88),人給データ!$C$2:$C$700)),""))</f>
        <v/>
      </c>
      <c r="C88" t="inlineStr">
        <is>
          <t>西部市税事務所管理係</t>
        </is>
      </c>
      <c r="D88">
        <f>IF($A88="","",IFERROR(IF(LOOKUP(2,1/(人給データ!$B$2:$B$700=$A88),人給データ!$Y$2:$Y$700)=0,"",LOOKUP(2,1/(人給データ!$B$2:$B$700=$A88),人給データ!$Y$2:$Y$700)),""))</f>
        <v/>
      </c>
      <c r="E88" s="20" t="n">
        <v>45434</v>
      </c>
      <c r="F88" s="16">
        <f>IF(OR(E88="",NOT(ISNUMBER(E88))),"",DATE(YEAR(E88)+2,MONTH(E88),DAY(E88)-2))</f>
        <v/>
      </c>
      <c r="G88" s="20" t="n">
        <v>45778</v>
      </c>
      <c r="H88" s="20" t="n">
        <v>45838</v>
      </c>
      <c r="I88" s="12" t="n"/>
      <c r="J88" t="n">
        <v>23.75</v>
      </c>
      <c r="K88" s="13" t="n">
        <v>260000</v>
      </c>
      <c r="L88" s="12" t="n"/>
      <c r="M88" s="12" t="n"/>
      <c r="N88" s="11" t="n"/>
      <c r="O88" s="11" t="n"/>
      <c r="P88" s="14">
        <f>IF(AND(M88&lt;&gt;"",O88=""),"保留中","")</f>
        <v/>
      </c>
      <c r="Q88" s="14">
        <f>IF(P88="保留中",COUNTIF(P$6:P88,"保留中"),"")</f>
        <v/>
      </c>
    </row>
    <row r="89">
      <c r="A89" s="12" t="n">
        <v>7101835</v>
      </c>
      <c r="B89">
        <f>IF($A89="","",IFERROR(IF(LOOKUP(2,1/(人給データ!$B$2:$B$700=$A89),人給データ!$C$2:$C$700)=0,"",LOOKUP(2,1/(人給データ!$B$2:$B$700=$A89),人給データ!$C$2:$C$700)),""))</f>
        <v/>
      </c>
      <c r="C89" t="inlineStr">
        <is>
          <t>利松保育園</t>
        </is>
      </c>
      <c r="D89">
        <f>IF($A89="","",IFERROR(IF(LOOKUP(2,1/(人給データ!$B$2:$B$700=$A89),人給データ!$Y$2:$Y$700)=0,"",LOOKUP(2,1/(人給データ!$B$2:$B$700=$A89),人給データ!$Y$2:$Y$700)),""))</f>
        <v/>
      </c>
      <c r="E89" s="20" t="n">
        <v>45051</v>
      </c>
      <c r="F89" s="16">
        <f>IF(OR(E89="",NOT(ISNUMBER(E89))),"",DATE(YEAR(E89)+2,MONTH(E89),DAY(E89)-2))</f>
        <v/>
      </c>
      <c r="G89" s="20" t="n">
        <v>45778</v>
      </c>
      <c r="H89" s="20" t="n">
        <v>46112</v>
      </c>
      <c r="I89" s="12" t="n"/>
      <c r="J89" t="n">
        <v>23.75</v>
      </c>
      <c r="K89" s="13" t="n">
        <v>260000</v>
      </c>
      <c r="L89" s="12" t="n"/>
      <c r="M89" s="12" t="n"/>
      <c r="N89" s="11" t="n"/>
      <c r="O89" s="11" t="n"/>
      <c r="P89" s="14">
        <f>IF(AND(M89&lt;&gt;"",O89=""),"保留中","")</f>
        <v/>
      </c>
      <c r="Q89" s="14">
        <f>IF(P89="保留中",COUNTIF(P$6:P89,"保留中"),"")</f>
        <v/>
      </c>
    </row>
    <row r="90">
      <c r="A90" s="12" t="n">
        <v>7101892</v>
      </c>
      <c r="B90">
        <f>IF($A90="","",IFERROR(IF(LOOKUP(2,1/(人給データ!$B$2:$B$700=$A90),人給データ!$C$2:$C$700)=0,"",LOOKUP(2,1/(人給データ!$B$2:$B$700=$A90),人給データ!$C$2:$C$700)),""))</f>
        <v/>
      </c>
      <c r="C90" t="inlineStr">
        <is>
          <t>東浄保育園</t>
        </is>
      </c>
      <c r="D90">
        <f>IF($A90="","",IFERROR(IF(LOOKUP(2,1/(人給データ!$B$2:$B$700=$A90),人給データ!$Y$2:$Y$700)=0,"",LOOKUP(2,1/(人給データ!$B$2:$B$700=$A90),人給データ!$Y$2:$Y$700)),""))</f>
        <v/>
      </c>
      <c r="E90" s="20" t="n">
        <v>45408</v>
      </c>
      <c r="F90" s="16">
        <f>IF(OR(E90="",NOT(ISNUMBER(E90))),"",DATE(YEAR(E90)+2,MONTH(E90),DAY(E90)-2))</f>
        <v/>
      </c>
      <c r="G90" s="20" t="n">
        <v>45773</v>
      </c>
      <c r="H90" s="20" t="n">
        <v>46112</v>
      </c>
      <c r="I90" s="12" t="n"/>
      <c r="J90" t="n">
        <v>23.75</v>
      </c>
      <c r="K90" s="13" t="n">
        <v>280000</v>
      </c>
      <c r="L90" s="12" t="inlineStr">
        <is>
          <t>育休期間変更保留R8.4-</t>
        </is>
      </c>
      <c r="M90" s="12" t="inlineStr">
        <is>
          <t>育休期間の変更待ち</t>
        </is>
      </c>
      <c r="N90" s="11" t="n"/>
      <c r="O90" s="11" t="n"/>
      <c r="P90" s="14">
        <f>IF(AND(M90&lt;&gt;"",O90=""),"保留中","")</f>
        <v/>
      </c>
      <c r="Q90" s="14">
        <f>IF(P90="保留中",COUNTIF(P$6:P90,"保留中"),"")</f>
        <v/>
      </c>
    </row>
    <row r="91">
      <c r="A91" s="12" t="n">
        <v>7101983</v>
      </c>
      <c r="B91">
        <f>IF($A91="","",IFERROR(IF(LOOKUP(2,1/(人給データ!$B$2:$B$700=$A91),人給データ!$C$2:$C$700)=0,"",LOOKUP(2,1/(人給データ!$B$2:$B$700=$A91),人給データ!$C$2:$C$700)),""))</f>
        <v/>
      </c>
      <c r="C91" t="inlineStr">
        <is>
          <t>江波第二保育園</t>
        </is>
      </c>
      <c r="D91">
        <f>IF($A91="","",IFERROR(IF(LOOKUP(2,1/(人給データ!$B$2:$B$700=$A91),人給データ!$Y$2:$Y$700)=0,"",LOOKUP(2,1/(人給データ!$B$2:$B$700=$A91),人給データ!$Y$2:$Y$700)),""))</f>
        <v/>
      </c>
      <c r="E91" s="20" t="n">
        <v>45491</v>
      </c>
      <c r="F91" s="16">
        <f>IF(OR(E91="",NOT(ISNUMBER(E91))),"",DATE(YEAR(E91)+2,MONTH(E91),DAY(E91)-2))</f>
        <v/>
      </c>
      <c r="G91" s="20" t="n">
        <v>46113</v>
      </c>
      <c r="H91" s="20" t="n">
        <v>46477</v>
      </c>
      <c r="I91" s="12" t="n"/>
      <c r="J91" t="n">
        <v>23.45</v>
      </c>
      <c r="K91" s="13" t="n">
        <v>260000</v>
      </c>
      <c r="L91" s="12" t="n"/>
      <c r="M91" s="12" t="n"/>
      <c r="N91" s="11" t="n"/>
      <c r="O91" s="11" t="n"/>
      <c r="P91" s="14">
        <f>IF(AND(M91&lt;&gt;"",O91=""),"保留中","")</f>
        <v/>
      </c>
      <c r="Q91" s="14">
        <f>IF(P91="保留中",COUNTIF(P$6:P91,"保留中"),"")</f>
        <v/>
      </c>
    </row>
    <row r="92">
      <c r="A92" s="12" t="n">
        <v>7103724</v>
      </c>
      <c r="B92">
        <f>IF($A92="","",IFERROR(IF(LOOKUP(2,1/(人給データ!$B$2:$B$700=$A92),人給データ!$C$2:$C$700)=0,"",LOOKUP(2,1/(人給データ!$B$2:$B$700=$A92),人給データ!$C$2:$C$700)),""))</f>
        <v/>
      </c>
      <c r="C92" t="inlineStr">
        <is>
          <t>荒神保育園</t>
        </is>
      </c>
      <c r="D92">
        <f>IF($A92="","",IFERROR(IF(LOOKUP(2,1/(人給データ!$B$2:$B$700=$A92),人給データ!$Y$2:$Y$700)=0,"",LOOKUP(2,1/(人給データ!$B$2:$B$700=$A92),人給データ!$Y$2:$Y$700)),""))</f>
        <v/>
      </c>
      <c r="E92" s="20" t="n">
        <v>45503</v>
      </c>
      <c r="F92" s="16">
        <f>IF(OR(E92="",NOT(ISNUMBER(E92))),"",DATE(YEAR(E92)+2,MONTH(E92),DAY(E92)-2))</f>
        <v/>
      </c>
      <c r="G92" s="20" t="n">
        <v>45901</v>
      </c>
      <c r="H92" s="20" t="n">
        <v>46112</v>
      </c>
      <c r="I92" s="12" t="n"/>
      <c r="J92" t="n">
        <v>23.75</v>
      </c>
      <c r="K92" s="13" t="n">
        <v>340000</v>
      </c>
      <c r="L92" s="12" t="inlineStr">
        <is>
          <t>育休期間変更保留R8.4-</t>
        </is>
      </c>
      <c r="M92" s="12" t="inlineStr">
        <is>
          <t>育休期間の変更待ち</t>
        </is>
      </c>
      <c r="N92" s="11" t="n"/>
      <c r="O92" s="11" t="n"/>
      <c r="P92" s="14">
        <f>IF(AND(M92&lt;&gt;"",O92=""),"保留中","")</f>
        <v/>
      </c>
      <c r="Q92" s="14">
        <f>IF(P92="保留中",COUNTIF(P$6:P92,"保留中"),"")</f>
        <v/>
      </c>
    </row>
    <row r="93">
      <c r="A93" s="12" t="n">
        <v>7141567</v>
      </c>
      <c r="B93">
        <f>IF($A93="","",IFERROR(IF(LOOKUP(2,1/(人給データ!$B$2:$B$700=$A93),人給データ!$C$2:$C$700)=0,"",LOOKUP(2,1/(人給データ!$B$2:$B$700=$A93),人給データ!$C$2:$C$700)),""))</f>
        <v/>
      </c>
      <c r="C93" t="inlineStr">
        <is>
          <t>真亀保育園</t>
        </is>
      </c>
      <c r="D93">
        <f>IF($A93="","",IFERROR(IF(LOOKUP(2,1/(人給データ!$B$2:$B$700=$A93),人給データ!$Y$2:$Y$700)=0,"",LOOKUP(2,1/(人給データ!$B$2:$B$700=$A93),人給データ!$Y$2:$Y$700)),""))</f>
        <v/>
      </c>
      <c r="E93" s="20" t="n">
        <v>45324</v>
      </c>
      <c r="F93" s="16">
        <f>IF(OR(E93="",NOT(ISNUMBER(E93))),"",DATE(YEAR(E93)+2,MONTH(E93),DAY(E93)-2))</f>
        <v/>
      </c>
      <c r="G93" s="20">
        <f>IF($A93="","",IFERROR(IF(LOOKUP(2,1/(人給データ!$B$2:$B$700=$A93),人給データ!$J$2:$J$700)=0,"",LOOKUP(2,1/(人給データ!$B$2:$B$700=$A93),人給データ!$J$2:$J$700)),""))</f>
        <v/>
      </c>
      <c r="H93" s="20">
        <f>IF($A93="","",IFERROR(IF(LOOKUP(2,1/(人給データ!$B$2:$B$700=$A93),人給データ!$K$2:$K$700)=0,"",LOOKUP(2,1/(人給データ!$B$2:$B$700=$A93),人給データ!$K$2:$K$700)),""))</f>
        <v/>
      </c>
      <c r="I93" s="12" t="n"/>
      <c r="J93">
        <f>IF($A93="","",IFERROR(IF(LOOKUP(2,1/(人給データ!$B$2:$B$700=$A93),人給データ!$N$2:$N$700)=0,"",LOOKUP(2,1/(人給データ!$B$2:$B$700=$A93),人給データ!$N$2:$N$700)),""))</f>
        <v/>
      </c>
      <c r="K93" s="13" t="n">
        <v>220000</v>
      </c>
      <c r="L93" s="12" t="inlineStr">
        <is>
          <t>部分休業</t>
        </is>
      </c>
      <c r="M93" s="12" t="n"/>
      <c r="N93" s="11" t="n"/>
      <c r="O93" s="11" t="n"/>
      <c r="P93" s="14">
        <f>IF(AND(M93&lt;&gt;"",O93=""),"保留中","")</f>
        <v/>
      </c>
      <c r="Q93" s="14">
        <f>IF(P93="保留中",COUNTIF(P$6:P93,"保留中"),"")</f>
        <v/>
      </c>
    </row>
    <row r="94">
      <c r="A94" s="12" t="n">
        <v>7202321</v>
      </c>
      <c r="B94">
        <f>IF($A94="","",IFERROR(IF(LOOKUP(2,1/(人給データ!$B$2:$B$700=$A94),人給データ!$C$2:$C$700)=0,"",LOOKUP(2,1/(人給データ!$B$2:$B$700=$A94),人給データ!$C$2:$C$700)),""))</f>
        <v/>
      </c>
      <c r="C94" t="inlineStr">
        <is>
          <t>沼田保育園</t>
        </is>
      </c>
      <c r="D94">
        <f>IF($A94="","",IFERROR(IF(LOOKUP(2,1/(人給データ!$B$2:$B$700=$A94),人給データ!$Y$2:$Y$700)=0,"",LOOKUP(2,1/(人給データ!$B$2:$B$700=$A94),人給データ!$Y$2:$Y$700)),""))</f>
        <v/>
      </c>
      <c r="E94" s="20" t="n">
        <v>45352</v>
      </c>
      <c r="F94" s="16">
        <f>IF(OR(E94="",NOT(ISNUMBER(E94))),"",DATE(YEAR(E94)+2,MONTH(E94),DAY(E94)-2))</f>
        <v/>
      </c>
      <c r="G94" s="20" t="n">
        <v>45778</v>
      </c>
      <c r="H94" s="20" t="n">
        <v>46112</v>
      </c>
      <c r="I94" s="12" t="n"/>
      <c r="J94" t="n">
        <v>23.75</v>
      </c>
      <c r="K94" s="13" t="n">
        <v>240000</v>
      </c>
      <c r="L94" s="12" t="n"/>
      <c r="M94" s="12" t="n"/>
      <c r="N94" s="11" t="n"/>
      <c r="O94" s="11" t="n"/>
      <c r="P94" s="14">
        <f>IF(AND(M94&lt;&gt;"",O94=""),"保留中","")</f>
        <v/>
      </c>
      <c r="Q94" s="14">
        <f>IF(P94="保留中",COUNTIF(P$6:P94,"保留中"),"")</f>
        <v/>
      </c>
    </row>
    <row r="95">
      <c r="A95" s="12" t="n">
        <v>7202425</v>
      </c>
      <c r="B95">
        <f>IF($A95="","",IFERROR(IF(LOOKUP(2,1/(人給データ!$B$2:$B$700=$A95),人給データ!$C$2:$C$700)=0,"",LOOKUP(2,1/(人給データ!$B$2:$B$700=$A95),人給データ!$C$2:$C$700)),""))</f>
        <v/>
      </c>
      <c r="C95" t="inlineStr">
        <is>
          <t>真亀保育園</t>
        </is>
      </c>
      <c r="D95">
        <f>IF($A95="","",IFERROR(IF(LOOKUP(2,1/(人給データ!$B$2:$B$700=$A95),人給データ!$Y$2:$Y$700)=0,"",LOOKUP(2,1/(人給データ!$B$2:$B$700=$A95),人給データ!$Y$2:$Y$700)),""))</f>
        <v/>
      </c>
      <c r="E95" s="20" t="n">
        <v>45709</v>
      </c>
      <c r="F95" s="16">
        <f>IF(OR(E95="",NOT(ISNUMBER(E95))),"",DATE(YEAR(E95)+2,MONTH(E95),DAY(E95)-2))</f>
        <v/>
      </c>
      <c r="G95" s="20" t="n">
        <v>46143</v>
      </c>
      <c r="H95" s="20" t="n">
        <v>46477</v>
      </c>
      <c r="I95" s="12" t="n"/>
      <c r="J95" t="n">
        <v>23.45</v>
      </c>
      <c r="K95" s="13" t="n">
        <v>280000</v>
      </c>
      <c r="L95" s="12" t="n"/>
      <c r="M95" s="12" t="n"/>
      <c r="N95" s="11" t="n"/>
      <c r="O95" s="11" t="n"/>
      <c r="P95" s="14">
        <f>IF(AND(M95&lt;&gt;"",O95=""),"保留中","")</f>
        <v/>
      </c>
      <c r="Q95" s="14">
        <f>IF(P95="保留中",COUNTIF(P$6:P95,"保留中"),"")</f>
        <v/>
      </c>
    </row>
    <row r="96">
      <c r="A96" s="12" t="n">
        <v>7202633</v>
      </c>
      <c r="B96">
        <f>IF($A96="","",IFERROR(IF(LOOKUP(2,1/(人給データ!$B$2:$B$700=$A96),人給データ!$C$2:$C$700)=0,"",LOOKUP(2,1/(人給データ!$B$2:$B$700=$A96),人給データ!$C$2:$C$700)),""))</f>
        <v/>
      </c>
      <c r="C96" t="inlineStr">
        <is>
          <t>東浄保育園</t>
        </is>
      </c>
      <c r="D96">
        <f>IF($A96="","",IFERROR(IF(LOOKUP(2,1/(人給データ!$B$2:$B$700=$A96),人給データ!$Y$2:$Y$700)=0,"",LOOKUP(2,1/(人給データ!$B$2:$B$700=$A96),人給データ!$Y$2:$Y$700)),""))</f>
        <v/>
      </c>
      <c r="E96" s="20" t="n">
        <v>45616</v>
      </c>
      <c r="F96" s="16">
        <f>IF(OR(E96="",NOT(ISNUMBER(E96))),"",DATE(YEAR(E96)+2,MONTH(E96),DAY(E96)-2))</f>
        <v/>
      </c>
      <c r="G96" s="20" t="n">
        <v>45962</v>
      </c>
      <c r="H96" s="20" t="n">
        <v>46112</v>
      </c>
      <c r="I96" s="12" t="n"/>
      <c r="J96" t="n">
        <v>23.75</v>
      </c>
      <c r="K96" s="13" t="n">
        <v>280000</v>
      </c>
      <c r="L96" s="12" t="inlineStr">
        <is>
          <t>育休期間変更保留</t>
        </is>
      </c>
      <c r="M96" s="12" t="inlineStr">
        <is>
          <t>育休期間の変更待ち</t>
        </is>
      </c>
      <c r="N96" s="11" t="n"/>
      <c r="O96" s="11" t="n"/>
      <c r="P96" s="14">
        <f>IF(AND(M96&lt;&gt;"",O96=""),"保留中","")</f>
        <v/>
      </c>
      <c r="Q96" s="14">
        <f>IF(P96="保留中",COUNTIF(P$6:P96,"保留中"),"")</f>
        <v/>
      </c>
    </row>
    <row r="97">
      <c r="A97" s="12" t="n">
        <v>7203161</v>
      </c>
      <c r="B97">
        <f>IF($A97="","",IFERROR(IF(LOOKUP(2,1/(人給データ!$B$2:$B$700=$A97),人給データ!$C$2:$C$700)=0,"",LOOKUP(2,1/(人給データ!$B$2:$B$700=$A97),人給データ!$C$2:$C$700)),""))</f>
        <v/>
      </c>
      <c r="C97" t="inlineStr">
        <is>
          <t>阿戸出張所</t>
        </is>
      </c>
      <c r="D97">
        <f>IF($A97="","",IFERROR(IF(LOOKUP(2,1/(人給データ!$B$2:$B$700=$A97),人給データ!$Y$2:$Y$700)=0,"",LOOKUP(2,1/(人給データ!$B$2:$B$700=$A97),人給データ!$Y$2:$Y$700)),""))</f>
        <v/>
      </c>
      <c r="E97" s="20" t="n">
        <v>45739</v>
      </c>
      <c r="F97" s="16">
        <f>IF(OR(E97="",NOT(ISNUMBER(E97))),"",DATE(YEAR(E97)+2,MONTH(E97),DAY(E97)-2))</f>
        <v/>
      </c>
      <c r="G97" s="20" t="n">
        <v>45860</v>
      </c>
      <c r="H97" s="20" t="n">
        <v>45891</v>
      </c>
      <c r="I97" s="12" t="n"/>
      <c r="J97" t="n">
        <v>23.75</v>
      </c>
      <c r="K97" s="13" t="n">
        <v>410000</v>
      </c>
      <c r="L97" s="12" t="n"/>
      <c r="M97" s="12" t="n"/>
      <c r="N97" s="11" t="n"/>
      <c r="O97" s="11" t="n"/>
      <c r="P97" s="14">
        <f>IF(AND(M97&lt;&gt;"",O97=""),"保留中","")</f>
        <v/>
      </c>
      <c r="Q97" s="14">
        <f>IF(P97="保留中",COUNTIF(P$6:P97,"保留中"),"")</f>
        <v/>
      </c>
    </row>
    <row r="98">
      <c r="A98" s="12" t="n">
        <v>7401929</v>
      </c>
      <c r="B98">
        <f>IF($A98="","",IFERROR(IF(LOOKUP(2,1/(人給データ!$B$2:$B$700=$A98),人給データ!$C$2:$C$700)=0,"",LOOKUP(2,1/(人給データ!$B$2:$B$700=$A98),人給データ!$C$2:$C$700)),""))</f>
        <v/>
      </c>
      <c r="C98" t="inlineStr">
        <is>
          <t>仁保新町保育園</t>
        </is>
      </c>
      <c r="D98">
        <f>IF($A98="","",IFERROR(IF(LOOKUP(2,1/(人給データ!$B$2:$B$700=$A98),人給データ!$Y$2:$Y$700)=0,"",LOOKUP(2,1/(人給データ!$B$2:$B$700=$A98),人給データ!$Y$2:$Y$700)),""))</f>
        <v/>
      </c>
      <c r="E98" s="20" t="n">
        <v>45054</v>
      </c>
      <c r="F98" s="16">
        <f>IF(OR(E98="",NOT(ISNUMBER(E98))),"",DATE(YEAR(E98)+2,MONTH(E98),DAY(E98)-2))</f>
        <v/>
      </c>
      <c r="G98" s="20" t="n">
        <v>45748</v>
      </c>
      <c r="H98" s="20" t="n">
        <v>46112</v>
      </c>
      <c r="I98" s="12" t="n"/>
      <c r="J98" t="n">
        <v>23.25</v>
      </c>
      <c r="K98" s="13" t="n">
        <v>300000</v>
      </c>
      <c r="L98" s="12" t="n"/>
      <c r="M98" s="12" t="n"/>
      <c r="N98" s="11" t="n"/>
      <c r="O98" s="11" t="n"/>
      <c r="P98" s="14">
        <f>IF(AND(M98&lt;&gt;"",O98=""),"保留中","")</f>
        <v/>
      </c>
      <c r="Q98" s="14">
        <f>IF(P98="保留中",COUNTIF(P$6:P98,"保留中"),"")</f>
        <v/>
      </c>
    </row>
    <row r="99">
      <c r="A99" s="12" t="n"/>
      <c r="B99">
        <f>IF($A99="","",IFERROR(IF(LOOKUP(2,1/(人給データ!$B$2:$B$700=$A99),人給データ!$C$2:$C$700)=0,"",LOOKUP(2,1/(人給データ!$B$2:$B$700=$A99),人給データ!$C$2:$C$700)),""))</f>
        <v/>
      </c>
      <c r="C99">
        <f>IF($A99="","",IFERROR(IF(LOOKUP(2,1/(人給データ!$B$2:$B$700=$A99),人給データ!$G$2:$G$700)=0,"",LOOKUP(2,1/(人給データ!$B$2:$B$700=$A99),人給データ!$G$2:$G$700)),""))</f>
        <v/>
      </c>
      <c r="D99">
        <f>IF($A99="","",IFERROR(IF(LOOKUP(2,1/(人給データ!$B$2:$B$700=$A99),人給データ!$Y$2:$Y$700)=0,"",LOOKUP(2,1/(人給データ!$B$2:$B$700=$A99),人給データ!$Y$2:$Y$700)),""))</f>
        <v/>
      </c>
      <c r="E99" s="20">
        <f>IF($A99="","",IFERROR(IF(LOOKUP(2,1/(人給データ!$B$2:$B$700=$A99),人給データ!$AB$2:$AB$700)=0,"",LOOKUP(2,1/(人給データ!$B$2:$B$700=$A99),人給データ!$AB$2:$AB$700)),""))</f>
        <v/>
      </c>
      <c r="F99" s="16">
        <f>IF(OR(E99="",NOT(ISNUMBER(E99))),"",DATE(YEAR(E99)+2,MONTH(E99),DAY(E99)-2))</f>
        <v/>
      </c>
      <c r="G99" s="20">
        <f>IF($A99="","",IFERROR(IF(LOOKUP(2,1/(人給データ!$B$2:$B$700=$A99),人給データ!$J$2:$J$700)=0,"",LOOKUP(2,1/(人給データ!$B$2:$B$700=$A99),人給データ!$J$2:$J$700)),""))</f>
        <v/>
      </c>
      <c r="H99" s="20">
        <f>IF($A99="","",IFERROR(IF(LOOKUP(2,1/(人給データ!$B$2:$B$700=$A99),人給データ!$K$2:$K$700)=0,"",LOOKUP(2,1/(人給データ!$B$2:$B$700=$A99),人給データ!$K$2:$K$700)),""))</f>
        <v/>
      </c>
      <c r="I99" s="12" t="n"/>
      <c r="J99">
        <f>IF($A99="","",IFERROR(IF(LOOKUP(2,1/(人給データ!$B$2:$B$700=$A99),人給データ!$N$2:$N$700)=0,"",LOOKUP(2,1/(人給データ!$B$2:$B$700=$A99),人給データ!$N$2:$N$700)),""))</f>
        <v/>
      </c>
      <c r="K99" s="13" t="n"/>
      <c r="L99" s="12" t="n"/>
      <c r="M99" s="12" t="n"/>
      <c r="N99" s="11" t="n"/>
      <c r="O99" s="11" t="n"/>
      <c r="P99" s="14">
        <f>IF(AND(M99&lt;&gt;"",O99=""),"保留中","")</f>
        <v/>
      </c>
      <c r="Q99" s="14">
        <f>IF(P99="保留中",COUNTIF(P$6:P99,"保留中"),"")</f>
        <v/>
      </c>
    </row>
    <row r="100">
      <c r="A100" s="12" t="n"/>
      <c r="B100">
        <f>IF($A100="","",IFERROR(IF(LOOKUP(2,1/(人給データ!$B$2:$B$700=$A100),人給データ!$C$2:$C$700)=0,"",LOOKUP(2,1/(人給データ!$B$2:$B$700=$A100),人給データ!$C$2:$C$700)),""))</f>
        <v/>
      </c>
      <c r="C100">
        <f>IF($A100="","",IFERROR(IF(LOOKUP(2,1/(人給データ!$B$2:$B$700=$A100),人給データ!$G$2:$G$700)=0,"",LOOKUP(2,1/(人給データ!$B$2:$B$700=$A100),人給データ!$G$2:$G$700)),""))</f>
        <v/>
      </c>
      <c r="D100">
        <f>IF($A100="","",IFERROR(IF(LOOKUP(2,1/(人給データ!$B$2:$B$700=$A100),人給データ!$Y$2:$Y$700)=0,"",LOOKUP(2,1/(人給データ!$B$2:$B$700=$A100),人給データ!$Y$2:$Y$700)),""))</f>
        <v/>
      </c>
      <c r="E100" s="20">
        <f>IF($A100="","",IFERROR(IF(LOOKUP(2,1/(人給データ!$B$2:$B$700=$A100),人給データ!$AB$2:$AB$700)=0,"",LOOKUP(2,1/(人給データ!$B$2:$B$700=$A100),人給データ!$AB$2:$AB$700)),""))</f>
        <v/>
      </c>
      <c r="F100" s="16">
        <f>IF(OR(E100="",NOT(ISNUMBER(E100))),"",DATE(YEAR(E100)+2,MONTH(E100),DAY(E100)-2))</f>
        <v/>
      </c>
      <c r="G100" s="20">
        <f>IF($A100="","",IFERROR(IF(LOOKUP(2,1/(人給データ!$B$2:$B$700=$A100),人給データ!$J$2:$J$700)=0,"",LOOKUP(2,1/(人給データ!$B$2:$B$700=$A100),人給データ!$J$2:$J$700)),""))</f>
        <v/>
      </c>
      <c r="H100" s="20">
        <f>IF($A100="","",IFERROR(IF(LOOKUP(2,1/(人給データ!$B$2:$B$700=$A100),人給データ!$K$2:$K$700)=0,"",LOOKUP(2,1/(人給データ!$B$2:$B$700=$A100),人給データ!$K$2:$K$700)),""))</f>
        <v/>
      </c>
      <c r="I100" s="12" t="n"/>
      <c r="J100">
        <f>IF($A100="","",IFERROR(IF(LOOKUP(2,1/(人給データ!$B$2:$B$700=$A100),人給データ!$N$2:$N$700)=0,"",LOOKUP(2,1/(人給データ!$B$2:$B$700=$A100),人給データ!$N$2:$N$700)),""))</f>
        <v/>
      </c>
      <c r="K100" s="13" t="n"/>
      <c r="L100" s="12" t="n"/>
      <c r="M100" s="12" t="n"/>
      <c r="N100" s="11" t="n"/>
      <c r="O100" s="11" t="n"/>
      <c r="P100" s="14">
        <f>IF(AND(M100&lt;&gt;"",O100=""),"保留中","")</f>
        <v/>
      </c>
      <c r="Q100" s="14">
        <f>IF(P100="保留中",COUNTIF(P$6:P100,"保留中"),"")</f>
        <v/>
      </c>
    </row>
    <row r="101">
      <c r="A101" s="12" t="n"/>
      <c r="B101">
        <f>IF($A101="","",IFERROR(IF(LOOKUP(2,1/(人給データ!$B$2:$B$700=$A101),人給データ!$C$2:$C$700)=0,"",LOOKUP(2,1/(人給データ!$B$2:$B$700=$A101),人給データ!$C$2:$C$700)),""))</f>
        <v/>
      </c>
      <c r="C101">
        <f>IF($A101="","",IFERROR(IF(LOOKUP(2,1/(人給データ!$B$2:$B$700=$A101),人給データ!$G$2:$G$700)=0,"",LOOKUP(2,1/(人給データ!$B$2:$B$700=$A101),人給データ!$G$2:$G$700)),""))</f>
        <v/>
      </c>
      <c r="D101">
        <f>IF($A101="","",IFERROR(IF(LOOKUP(2,1/(人給データ!$B$2:$B$700=$A101),人給データ!$Y$2:$Y$700)=0,"",LOOKUP(2,1/(人給データ!$B$2:$B$700=$A101),人給データ!$Y$2:$Y$700)),""))</f>
        <v/>
      </c>
      <c r="E101" s="20">
        <f>IF($A101="","",IFERROR(IF(LOOKUP(2,1/(人給データ!$B$2:$B$700=$A101),人給データ!$AB$2:$AB$700)=0,"",LOOKUP(2,1/(人給データ!$B$2:$B$700=$A101),人給データ!$AB$2:$AB$700)),""))</f>
        <v/>
      </c>
      <c r="F101" s="16">
        <f>IF(OR(E101="",NOT(ISNUMBER(E101))),"",DATE(YEAR(E101)+2,MONTH(E101),DAY(E101)-2))</f>
        <v/>
      </c>
      <c r="G101" s="20">
        <f>IF($A101="","",IFERROR(IF(LOOKUP(2,1/(人給データ!$B$2:$B$700=$A101),人給データ!$J$2:$J$700)=0,"",LOOKUP(2,1/(人給データ!$B$2:$B$700=$A101),人給データ!$J$2:$J$700)),""))</f>
        <v/>
      </c>
      <c r="H101" s="20">
        <f>IF($A101="","",IFERROR(IF(LOOKUP(2,1/(人給データ!$B$2:$B$700=$A101),人給データ!$K$2:$K$700)=0,"",LOOKUP(2,1/(人給データ!$B$2:$B$700=$A101),人給データ!$K$2:$K$700)),""))</f>
        <v/>
      </c>
      <c r="I101" s="12" t="n"/>
      <c r="J101">
        <f>IF($A101="","",IFERROR(IF(LOOKUP(2,1/(人給データ!$B$2:$B$700=$A101),人給データ!$N$2:$N$700)=0,"",LOOKUP(2,1/(人給データ!$B$2:$B$700=$A101),人給データ!$N$2:$N$700)),""))</f>
        <v/>
      </c>
      <c r="K101" s="13" t="n"/>
      <c r="L101" s="12" t="n"/>
      <c r="M101" s="12" t="n"/>
      <c r="N101" s="11" t="n"/>
      <c r="O101" s="11" t="n"/>
      <c r="P101" s="14">
        <f>IF(AND(M101&lt;&gt;"",O101=""),"保留中","")</f>
        <v/>
      </c>
      <c r="Q101" s="14">
        <f>IF(P101="保留中",COUNTIF(P$6:P101,"保留中"),"")</f>
        <v/>
      </c>
    </row>
    <row r="102">
      <c r="A102" s="12" t="n"/>
      <c r="B102">
        <f>IF($A102="","",IFERROR(IF(LOOKUP(2,1/(人給データ!$B$2:$B$700=$A102),人給データ!$C$2:$C$700)=0,"",LOOKUP(2,1/(人給データ!$B$2:$B$700=$A102),人給データ!$C$2:$C$700)),""))</f>
        <v/>
      </c>
      <c r="C102">
        <f>IF($A102="","",IFERROR(IF(LOOKUP(2,1/(人給データ!$B$2:$B$700=$A102),人給データ!$G$2:$G$700)=0,"",LOOKUP(2,1/(人給データ!$B$2:$B$700=$A102),人給データ!$G$2:$G$700)),""))</f>
        <v/>
      </c>
      <c r="D102">
        <f>IF($A102="","",IFERROR(IF(LOOKUP(2,1/(人給データ!$B$2:$B$700=$A102),人給データ!$Y$2:$Y$700)=0,"",LOOKUP(2,1/(人給データ!$B$2:$B$700=$A102),人給データ!$Y$2:$Y$700)),""))</f>
        <v/>
      </c>
      <c r="E102" s="20">
        <f>IF($A102="","",IFERROR(IF(LOOKUP(2,1/(人給データ!$B$2:$B$700=$A102),人給データ!$AB$2:$AB$700)=0,"",LOOKUP(2,1/(人給データ!$B$2:$B$700=$A102),人給データ!$AB$2:$AB$700)),""))</f>
        <v/>
      </c>
      <c r="F102" s="16">
        <f>IF(OR(E102="",NOT(ISNUMBER(E102))),"",DATE(YEAR(E102)+2,MONTH(E102),DAY(E102)-2))</f>
        <v/>
      </c>
      <c r="G102" s="20">
        <f>IF($A102="","",IFERROR(IF(LOOKUP(2,1/(人給データ!$B$2:$B$700=$A102),人給データ!$J$2:$J$700)=0,"",LOOKUP(2,1/(人給データ!$B$2:$B$700=$A102),人給データ!$J$2:$J$700)),""))</f>
        <v/>
      </c>
      <c r="H102" s="20">
        <f>IF($A102="","",IFERROR(IF(LOOKUP(2,1/(人給データ!$B$2:$B$700=$A102),人給データ!$K$2:$K$700)=0,"",LOOKUP(2,1/(人給データ!$B$2:$B$700=$A102),人給データ!$K$2:$K$700)),""))</f>
        <v/>
      </c>
      <c r="I102" s="12" t="n"/>
      <c r="J102">
        <f>IF($A102="","",IFERROR(IF(LOOKUP(2,1/(人給データ!$B$2:$B$700=$A102),人給データ!$N$2:$N$700)=0,"",LOOKUP(2,1/(人給データ!$B$2:$B$700=$A102),人給データ!$N$2:$N$700)),""))</f>
        <v/>
      </c>
      <c r="K102" s="13" t="n"/>
      <c r="L102" s="12" t="n"/>
      <c r="M102" s="12" t="n"/>
      <c r="N102" s="11" t="n"/>
      <c r="O102" s="11" t="n"/>
      <c r="P102" s="14">
        <f>IF(AND(M102&lt;&gt;"",O102=""),"保留中","")</f>
        <v/>
      </c>
      <c r="Q102" s="14">
        <f>IF(P102="保留中",COUNTIF(P$6:P102,"保留中"),"")</f>
        <v/>
      </c>
    </row>
    <row r="103">
      <c r="A103" s="12" t="n"/>
      <c r="B103">
        <f>IF($A103="","",IFERROR(IF(LOOKUP(2,1/(人給データ!$B$2:$B$700=$A103),人給データ!$C$2:$C$700)=0,"",LOOKUP(2,1/(人給データ!$B$2:$B$700=$A103),人給データ!$C$2:$C$700)),""))</f>
        <v/>
      </c>
      <c r="C103">
        <f>IF($A103="","",IFERROR(IF(LOOKUP(2,1/(人給データ!$B$2:$B$700=$A103),人給データ!$G$2:$G$700)=0,"",LOOKUP(2,1/(人給データ!$B$2:$B$700=$A103),人給データ!$G$2:$G$700)),""))</f>
        <v/>
      </c>
      <c r="D103">
        <f>IF($A103="","",IFERROR(IF(LOOKUP(2,1/(人給データ!$B$2:$B$700=$A103),人給データ!$Y$2:$Y$700)=0,"",LOOKUP(2,1/(人給データ!$B$2:$B$700=$A103),人給データ!$Y$2:$Y$700)),""))</f>
        <v/>
      </c>
      <c r="E103" s="20">
        <f>IF($A103="","",IFERROR(IF(LOOKUP(2,1/(人給データ!$B$2:$B$700=$A103),人給データ!$AB$2:$AB$700)=0,"",LOOKUP(2,1/(人給データ!$B$2:$B$700=$A103),人給データ!$AB$2:$AB$700)),""))</f>
        <v/>
      </c>
      <c r="F103" s="16">
        <f>IF(OR(E103="",NOT(ISNUMBER(E103))),"",DATE(YEAR(E103)+2,MONTH(E103),DAY(E103)-2))</f>
        <v/>
      </c>
      <c r="G103" s="20">
        <f>IF($A103="","",IFERROR(IF(LOOKUP(2,1/(人給データ!$B$2:$B$700=$A103),人給データ!$J$2:$J$700)=0,"",LOOKUP(2,1/(人給データ!$B$2:$B$700=$A103),人給データ!$J$2:$J$700)),""))</f>
        <v/>
      </c>
      <c r="H103" s="20">
        <f>IF($A103="","",IFERROR(IF(LOOKUP(2,1/(人給データ!$B$2:$B$700=$A103),人給データ!$K$2:$K$700)=0,"",LOOKUP(2,1/(人給データ!$B$2:$B$700=$A103),人給データ!$K$2:$K$700)),""))</f>
        <v/>
      </c>
      <c r="I103" s="12" t="n"/>
      <c r="J103">
        <f>IF($A103="","",IFERROR(IF(LOOKUP(2,1/(人給データ!$B$2:$B$700=$A103),人給データ!$N$2:$N$700)=0,"",LOOKUP(2,1/(人給データ!$B$2:$B$700=$A103),人給データ!$N$2:$N$700)),""))</f>
        <v/>
      </c>
      <c r="K103" s="13" t="n"/>
      <c r="L103" s="12" t="n"/>
      <c r="M103" s="12" t="n"/>
      <c r="N103" s="11" t="n"/>
      <c r="O103" s="11" t="n"/>
      <c r="P103" s="14">
        <f>IF(AND(M103&lt;&gt;"",O103=""),"保留中","")</f>
        <v/>
      </c>
      <c r="Q103" s="14">
        <f>IF(P103="保留中",COUNTIF(P$6:P103,"保留中"),"")</f>
        <v/>
      </c>
    </row>
    <row r="104">
      <c r="A104" s="12" t="n"/>
      <c r="B104">
        <f>IF($A104="","",IFERROR(IF(LOOKUP(2,1/(人給データ!$B$2:$B$700=$A104),人給データ!$C$2:$C$700)=0,"",LOOKUP(2,1/(人給データ!$B$2:$B$700=$A104),人給データ!$C$2:$C$700)),""))</f>
        <v/>
      </c>
      <c r="C104">
        <f>IF($A104="","",IFERROR(IF(LOOKUP(2,1/(人給データ!$B$2:$B$700=$A104),人給データ!$G$2:$G$700)=0,"",LOOKUP(2,1/(人給データ!$B$2:$B$700=$A104),人給データ!$G$2:$G$700)),""))</f>
        <v/>
      </c>
      <c r="D104">
        <f>IF($A104="","",IFERROR(IF(LOOKUP(2,1/(人給データ!$B$2:$B$700=$A104),人給データ!$Y$2:$Y$700)=0,"",LOOKUP(2,1/(人給データ!$B$2:$B$700=$A104),人給データ!$Y$2:$Y$700)),""))</f>
        <v/>
      </c>
      <c r="E104" s="20">
        <f>IF($A104="","",IFERROR(IF(LOOKUP(2,1/(人給データ!$B$2:$B$700=$A104),人給データ!$AB$2:$AB$700)=0,"",LOOKUP(2,1/(人給データ!$B$2:$B$700=$A104),人給データ!$AB$2:$AB$700)),""))</f>
        <v/>
      </c>
      <c r="F104" s="16">
        <f>IF(OR(E104="",NOT(ISNUMBER(E104))),"",DATE(YEAR(E104)+2,MONTH(E104),DAY(E104)-2))</f>
        <v/>
      </c>
      <c r="G104" s="20">
        <f>IF($A104="","",IFERROR(IF(LOOKUP(2,1/(人給データ!$B$2:$B$700=$A104),人給データ!$J$2:$J$700)=0,"",LOOKUP(2,1/(人給データ!$B$2:$B$700=$A104),人給データ!$J$2:$J$700)),""))</f>
        <v/>
      </c>
      <c r="H104" s="20">
        <f>IF($A104="","",IFERROR(IF(LOOKUP(2,1/(人給データ!$B$2:$B$700=$A104),人給データ!$K$2:$K$700)=0,"",LOOKUP(2,1/(人給データ!$B$2:$B$700=$A104),人給データ!$K$2:$K$700)),""))</f>
        <v/>
      </c>
      <c r="I104" s="12" t="n"/>
      <c r="J104">
        <f>IF($A104="","",IFERROR(IF(LOOKUP(2,1/(人給データ!$B$2:$B$700=$A104),人給データ!$N$2:$N$700)=0,"",LOOKUP(2,1/(人給データ!$B$2:$B$700=$A104),人給データ!$N$2:$N$700)),""))</f>
        <v/>
      </c>
      <c r="K104" s="13" t="n"/>
      <c r="L104" s="12" t="n"/>
      <c r="M104" s="12" t="n"/>
      <c r="N104" s="11" t="n"/>
      <c r="O104" s="11" t="n"/>
      <c r="P104" s="14">
        <f>IF(AND(M104&lt;&gt;"",O104=""),"保留中","")</f>
        <v/>
      </c>
      <c r="Q104" s="14">
        <f>IF(P104="保留中",COUNTIF(P$6:P104,"保留中"),"")</f>
        <v/>
      </c>
    </row>
    <row r="105">
      <c r="A105" s="12" t="n"/>
      <c r="B105">
        <f>IF($A105="","",IFERROR(IF(LOOKUP(2,1/(人給データ!$B$2:$B$700=$A105),人給データ!$C$2:$C$700)=0,"",LOOKUP(2,1/(人給データ!$B$2:$B$700=$A105),人給データ!$C$2:$C$700)),""))</f>
        <v/>
      </c>
      <c r="C105">
        <f>IF($A105="","",IFERROR(IF(LOOKUP(2,1/(人給データ!$B$2:$B$700=$A105),人給データ!$G$2:$G$700)=0,"",LOOKUP(2,1/(人給データ!$B$2:$B$700=$A105),人給データ!$G$2:$G$700)),""))</f>
        <v/>
      </c>
      <c r="D105">
        <f>IF($A105="","",IFERROR(IF(LOOKUP(2,1/(人給データ!$B$2:$B$700=$A105),人給データ!$Y$2:$Y$700)=0,"",LOOKUP(2,1/(人給データ!$B$2:$B$700=$A105),人給データ!$Y$2:$Y$700)),""))</f>
        <v/>
      </c>
      <c r="E105" s="20">
        <f>IF($A105="","",IFERROR(IF(LOOKUP(2,1/(人給データ!$B$2:$B$700=$A105),人給データ!$AB$2:$AB$700)=0,"",LOOKUP(2,1/(人給データ!$B$2:$B$700=$A105),人給データ!$AB$2:$AB$700)),""))</f>
        <v/>
      </c>
      <c r="F105" s="16">
        <f>IF(OR(E105="",NOT(ISNUMBER(E105))),"",DATE(YEAR(E105)+2,MONTH(E105),DAY(E105)-2))</f>
        <v/>
      </c>
      <c r="G105" s="20">
        <f>IF($A105="","",IFERROR(IF(LOOKUP(2,1/(人給データ!$B$2:$B$700=$A105),人給データ!$J$2:$J$700)=0,"",LOOKUP(2,1/(人給データ!$B$2:$B$700=$A105),人給データ!$J$2:$J$700)),""))</f>
        <v/>
      </c>
      <c r="H105" s="20">
        <f>IF($A105="","",IFERROR(IF(LOOKUP(2,1/(人給データ!$B$2:$B$700=$A105),人給データ!$K$2:$K$700)=0,"",LOOKUP(2,1/(人給データ!$B$2:$B$700=$A105),人給データ!$K$2:$K$700)),""))</f>
        <v/>
      </c>
      <c r="I105" s="12" t="n"/>
      <c r="J105">
        <f>IF($A105="","",IFERROR(IF(LOOKUP(2,1/(人給データ!$B$2:$B$700=$A105),人給データ!$N$2:$N$700)=0,"",LOOKUP(2,1/(人給データ!$B$2:$B$700=$A105),人給データ!$N$2:$N$700)),""))</f>
        <v/>
      </c>
      <c r="K105" s="13" t="n"/>
      <c r="L105" s="12" t="n"/>
      <c r="M105" s="12" t="n"/>
      <c r="N105" s="11" t="n"/>
      <c r="O105" s="11" t="n"/>
      <c r="P105" s="14">
        <f>IF(AND(M105&lt;&gt;"",O105=""),"保留中","")</f>
        <v/>
      </c>
      <c r="Q105" s="14">
        <f>IF(P105="保留中",COUNTIF(P$6:P105,"保留中"),"")</f>
        <v/>
      </c>
    </row>
    <row r="106">
      <c r="A106" s="12" t="n"/>
      <c r="B106">
        <f>IF($A106="","",IFERROR(IF(LOOKUP(2,1/(人給データ!$B$2:$B$700=$A106),人給データ!$C$2:$C$700)=0,"",LOOKUP(2,1/(人給データ!$B$2:$B$700=$A106),人給データ!$C$2:$C$700)),""))</f>
        <v/>
      </c>
      <c r="C106">
        <f>IF($A106="","",IFERROR(IF(LOOKUP(2,1/(人給データ!$B$2:$B$700=$A106),人給データ!$G$2:$G$700)=0,"",LOOKUP(2,1/(人給データ!$B$2:$B$700=$A106),人給データ!$G$2:$G$700)),""))</f>
        <v/>
      </c>
      <c r="D106">
        <f>IF($A106="","",IFERROR(IF(LOOKUP(2,1/(人給データ!$B$2:$B$700=$A106),人給データ!$Y$2:$Y$700)=0,"",LOOKUP(2,1/(人給データ!$B$2:$B$700=$A106),人給データ!$Y$2:$Y$700)),""))</f>
        <v/>
      </c>
      <c r="E106" s="20">
        <f>IF($A106="","",IFERROR(IF(LOOKUP(2,1/(人給データ!$B$2:$B$700=$A106),人給データ!$AB$2:$AB$700)=0,"",LOOKUP(2,1/(人給データ!$B$2:$B$700=$A106),人給データ!$AB$2:$AB$700)),""))</f>
        <v/>
      </c>
      <c r="F106" s="16">
        <f>IF(OR(E106="",NOT(ISNUMBER(E106))),"",DATE(YEAR(E106)+2,MONTH(E106),DAY(E106)-2))</f>
        <v/>
      </c>
      <c r="G106" s="20">
        <f>IF($A106="","",IFERROR(IF(LOOKUP(2,1/(人給データ!$B$2:$B$700=$A106),人給データ!$J$2:$J$700)=0,"",LOOKUP(2,1/(人給データ!$B$2:$B$700=$A106),人給データ!$J$2:$J$700)),""))</f>
        <v/>
      </c>
      <c r="H106" s="20">
        <f>IF($A106="","",IFERROR(IF(LOOKUP(2,1/(人給データ!$B$2:$B$700=$A106),人給データ!$K$2:$K$700)=0,"",LOOKUP(2,1/(人給データ!$B$2:$B$700=$A106),人給データ!$K$2:$K$700)),""))</f>
        <v/>
      </c>
      <c r="I106" s="12" t="n"/>
      <c r="J106">
        <f>IF($A106="","",IFERROR(IF(LOOKUP(2,1/(人給データ!$B$2:$B$700=$A106),人給データ!$N$2:$N$700)=0,"",LOOKUP(2,1/(人給データ!$B$2:$B$700=$A106),人給データ!$N$2:$N$700)),""))</f>
        <v/>
      </c>
      <c r="K106" s="13" t="n"/>
      <c r="L106" s="12" t="n"/>
      <c r="M106" s="12" t="n"/>
      <c r="N106" s="11" t="n"/>
      <c r="O106" s="11" t="n"/>
      <c r="P106" s="14">
        <f>IF(AND(M106&lt;&gt;"",O106=""),"保留中","")</f>
        <v/>
      </c>
      <c r="Q106" s="14">
        <f>IF(P106="保留中",COUNTIF(P$6:P106,"保留中"),"")</f>
        <v/>
      </c>
    </row>
    <row r="107">
      <c r="A107" s="12" t="n"/>
      <c r="B107">
        <f>IF($A107="","",IFERROR(IF(LOOKUP(2,1/(人給データ!$B$2:$B$700=$A107),人給データ!$C$2:$C$700)=0,"",LOOKUP(2,1/(人給データ!$B$2:$B$700=$A107),人給データ!$C$2:$C$700)),""))</f>
        <v/>
      </c>
      <c r="C107">
        <f>IF($A107="","",IFERROR(IF(LOOKUP(2,1/(人給データ!$B$2:$B$700=$A107),人給データ!$G$2:$G$700)=0,"",LOOKUP(2,1/(人給データ!$B$2:$B$700=$A107),人給データ!$G$2:$G$700)),""))</f>
        <v/>
      </c>
      <c r="D107">
        <f>IF($A107="","",IFERROR(IF(LOOKUP(2,1/(人給データ!$B$2:$B$700=$A107),人給データ!$Y$2:$Y$700)=0,"",LOOKUP(2,1/(人給データ!$B$2:$B$700=$A107),人給データ!$Y$2:$Y$700)),""))</f>
        <v/>
      </c>
      <c r="E107" s="20">
        <f>IF($A107="","",IFERROR(IF(LOOKUP(2,1/(人給データ!$B$2:$B$700=$A107),人給データ!$AB$2:$AB$700)=0,"",LOOKUP(2,1/(人給データ!$B$2:$B$700=$A107),人給データ!$AB$2:$AB$700)),""))</f>
        <v/>
      </c>
      <c r="F107" s="16">
        <f>IF(OR(E107="",NOT(ISNUMBER(E107))),"",DATE(YEAR(E107)+2,MONTH(E107),DAY(E107)-2))</f>
        <v/>
      </c>
      <c r="G107" s="20">
        <f>IF($A107="","",IFERROR(IF(LOOKUP(2,1/(人給データ!$B$2:$B$700=$A107),人給データ!$J$2:$J$700)=0,"",LOOKUP(2,1/(人給データ!$B$2:$B$700=$A107),人給データ!$J$2:$J$700)),""))</f>
        <v/>
      </c>
      <c r="H107" s="20">
        <f>IF($A107="","",IFERROR(IF(LOOKUP(2,1/(人給データ!$B$2:$B$700=$A107),人給データ!$K$2:$K$700)=0,"",LOOKUP(2,1/(人給データ!$B$2:$B$700=$A107),人給データ!$K$2:$K$700)),""))</f>
        <v/>
      </c>
      <c r="I107" s="12" t="n"/>
      <c r="J107">
        <f>IF($A107="","",IFERROR(IF(LOOKUP(2,1/(人給データ!$B$2:$B$700=$A107),人給データ!$N$2:$N$700)=0,"",LOOKUP(2,1/(人給データ!$B$2:$B$700=$A107),人給データ!$N$2:$N$700)),""))</f>
        <v/>
      </c>
      <c r="K107" s="13" t="n"/>
      <c r="L107" s="12" t="n"/>
      <c r="M107" s="12" t="n"/>
      <c r="N107" s="11" t="n"/>
      <c r="O107" s="11" t="n"/>
      <c r="P107" s="14">
        <f>IF(AND(M107&lt;&gt;"",O107=""),"保留中","")</f>
        <v/>
      </c>
      <c r="Q107" s="14">
        <f>IF(P107="保留中",COUNTIF(P$6:P107,"保留中"),"")</f>
        <v/>
      </c>
    </row>
    <row r="108">
      <c r="A108" s="12" t="n"/>
      <c r="B108">
        <f>IF($A108="","",IFERROR(IF(LOOKUP(2,1/(人給データ!$B$2:$B$700=$A108),人給データ!$C$2:$C$700)=0,"",LOOKUP(2,1/(人給データ!$B$2:$B$700=$A108),人給データ!$C$2:$C$700)),""))</f>
        <v/>
      </c>
      <c r="C108">
        <f>IF($A108="","",IFERROR(IF(LOOKUP(2,1/(人給データ!$B$2:$B$700=$A108),人給データ!$G$2:$G$700)=0,"",LOOKUP(2,1/(人給データ!$B$2:$B$700=$A108),人給データ!$G$2:$G$700)),""))</f>
        <v/>
      </c>
      <c r="D108">
        <f>IF($A108="","",IFERROR(IF(LOOKUP(2,1/(人給データ!$B$2:$B$700=$A108),人給データ!$Y$2:$Y$700)=0,"",LOOKUP(2,1/(人給データ!$B$2:$B$700=$A108),人給データ!$Y$2:$Y$700)),""))</f>
        <v/>
      </c>
      <c r="E108" s="20">
        <f>IF($A108="","",IFERROR(IF(LOOKUP(2,1/(人給データ!$B$2:$B$700=$A108),人給データ!$AB$2:$AB$700)=0,"",LOOKUP(2,1/(人給データ!$B$2:$B$700=$A108),人給データ!$AB$2:$AB$700)),""))</f>
        <v/>
      </c>
      <c r="F108" s="16">
        <f>IF(OR(E108="",NOT(ISNUMBER(E108))),"",DATE(YEAR(E108)+2,MONTH(E108),DAY(E108)-2))</f>
        <v/>
      </c>
      <c r="G108" s="20">
        <f>IF($A108="","",IFERROR(IF(LOOKUP(2,1/(人給データ!$B$2:$B$700=$A108),人給データ!$J$2:$J$700)=0,"",LOOKUP(2,1/(人給データ!$B$2:$B$700=$A108),人給データ!$J$2:$J$700)),""))</f>
        <v/>
      </c>
      <c r="H108" s="20">
        <f>IF($A108="","",IFERROR(IF(LOOKUP(2,1/(人給データ!$B$2:$B$700=$A108),人給データ!$K$2:$K$700)=0,"",LOOKUP(2,1/(人給データ!$B$2:$B$700=$A108),人給データ!$K$2:$K$700)),""))</f>
        <v/>
      </c>
      <c r="I108" s="12" t="n"/>
      <c r="J108">
        <f>IF($A108="","",IFERROR(IF(LOOKUP(2,1/(人給データ!$B$2:$B$700=$A108),人給データ!$N$2:$N$700)=0,"",LOOKUP(2,1/(人給データ!$B$2:$B$700=$A108),人給データ!$N$2:$N$700)),""))</f>
        <v/>
      </c>
      <c r="K108" s="13" t="n"/>
      <c r="L108" s="12" t="n"/>
      <c r="M108" s="12" t="n"/>
      <c r="N108" s="11" t="n"/>
      <c r="O108" s="11" t="n"/>
      <c r="P108" s="14">
        <f>IF(AND(M108&lt;&gt;"",O108=""),"保留中","")</f>
        <v/>
      </c>
      <c r="Q108" s="14">
        <f>IF(P108="保留中",COUNTIF(P$6:P108,"保留中"),"")</f>
        <v/>
      </c>
    </row>
    <row r="109">
      <c r="A109" s="12" t="n"/>
      <c r="B109">
        <f>IF($A109="","",IFERROR(IF(LOOKUP(2,1/(人給データ!$B$2:$B$700=$A109),人給データ!$C$2:$C$700)=0,"",LOOKUP(2,1/(人給データ!$B$2:$B$700=$A109),人給データ!$C$2:$C$700)),""))</f>
        <v/>
      </c>
      <c r="C109">
        <f>IF($A109="","",IFERROR(IF(LOOKUP(2,1/(人給データ!$B$2:$B$700=$A109),人給データ!$G$2:$G$700)=0,"",LOOKUP(2,1/(人給データ!$B$2:$B$700=$A109),人給データ!$G$2:$G$700)),""))</f>
        <v/>
      </c>
      <c r="D109">
        <f>IF($A109="","",IFERROR(IF(LOOKUP(2,1/(人給データ!$B$2:$B$700=$A109),人給データ!$Y$2:$Y$700)=0,"",LOOKUP(2,1/(人給データ!$B$2:$B$700=$A109),人給データ!$Y$2:$Y$700)),""))</f>
        <v/>
      </c>
      <c r="E109" s="20">
        <f>IF($A109="","",IFERROR(IF(LOOKUP(2,1/(人給データ!$B$2:$B$700=$A109),人給データ!$AB$2:$AB$700)=0,"",LOOKUP(2,1/(人給データ!$B$2:$B$700=$A109),人給データ!$AB$2:$AB$700)),""))</f>
        <v/>
      </c>
      <c r="F109" s="16">
        <f>IF(OR(E109="",NOT(ISNUMBER(E109))),"",DATE(YEAR(E109)+2,MONTH(E109),DAY(E109)-2))</f>
        <v/>
      </c>
      <c r="G109" s="20">
        <f>IF($A109="","",IFERROR(IF(LOOKUP(2,1/(人給データ!$B$2:$B$700=$A109),人給データ!$J$2:$J$700)=0,"",LOOKUP(2,1/(人給データ!$B$2:$B$700=$A109),人給データ!$J$2:$J$700)),""))</f>
        <v/>
      </c>
      <c r="H109" s="20">
        <f>IF($A109="","",IFERROR(IF(LOOKUP(2,1/(人給データ!$B$2:$B$700=$A109),人給データ!$K$2:$K$700)=0,"",LOOKUP(2,1/(人給データ!$B$2:$B$700=$A109),人給データ!$K$2:$K$700)),""))</f>
        <v/>
      </c>
      <c r="I109" s="12" t="n"/>
      <c r="J109">
        <f>IF($A109="","",IFERROR(IF(LOOKUP(2,1/(人給データ!$B$2:$B$700=$A109),人給データ!$N$2:$N$700)=0,"",LOOKUP(2,1/(人給データ!$B$2:$B$700=$A109),人給データ!$N$2:$N$700)),""))</f>
        <v/>
      </c>
      <c r="K109" s="13" t="n"/>
      <c r="L109" s="12" t="n"/>
      <c r="M109" s="12" t="n"/>
      <c r="N109" s="11" t="n"/>
      <c r="O109" s="11" t="n"/>
      <c r="P109" s="14">
        <f>IF(AND(M109&lt;&gt;"",O109=""),"保留中","")</f>
        <v/>
      </c>
      <c r="Q109" s="14">
        <f>IF(P109="保留中",COUNTIF(P$6:P109,"保留中"),"")</f>
        <v/>
      </c>
    </row>
    <row r="110">
      <c r="A110" s="12" t="n"/>
      <c r="B110">
        <f>IF($A110="","",IFERROR(IF(LOOKUP(2,1/(人給データ!$B$2:$B$700=$A110),人給データ!$C$2:$C$700)=0,"",LOOKUP(2,1/(人給データ!$B$2:$B$700=$A110),人給データ!$C$2:$C$700)),""))</f>
        <v/>
      </c>
      <c r="C110">
        <f>IF($A110="","",IFERROR(IF(LOOKUP(2,1/(人給データ!$B$2:$B$700=$A110),人給データ!$G$2:$G$700)=0,"",LOOKUP(2,1/(人給データ!$B$2:$B$700=$A110),人給データ!$G$2:$G$700)),""))</f>
        <v/>
      </c>
      <c r="D110">
        <f>IF($A110="","",IFERROR(IF(LOOKUP(2,1/(人給データ!$B$2:$B$700=$A110),人給データ!$Y$2:$Y$700)=0,"",LOOKUP(2,1/(人給データ!$B$2:$B$700=$A110),人給データ!$Y$2:$Y$700)),""))</f>
        <v/>
      </c>
      <c r="E110" s="20">
        <f>IF($A110="","",IFERROR(IF(LOOKUP(2,1/(人給データ!$B$2:$B$700=$A110),人給データ!$AB$2:$AB$700)=0,"",LOOKUP(2,1/(人給データ!$B$2:$B$700=$A110),人給データ!$AB$2:$AB$700)),""))</f>
        <v/>
      </c>
      <c r="F110" s="16">
        <f>IF(OR(E110="",NOT(ISNUMBER(E110))),"",DATE(YEAR(E110)+2,MONTH(E110),DAY(E110)-2))</f>
        <v/>
      </c>
      <c r="G110" s="20">
        <f>IF($A110="","",IFERROR(IF(LOOKUP(2,1/(人給データ!$B$2:$B$700=$A110),人給データ!$J$2:$J$700)=0,"",LOOKUP(2,1/(人給データ!$B$2:$B$700=$A110),人給データ!$J$2:$J$700)),""))</f>
        <v/>
      </c>
      <c r="H110" s="20">
        <f>IF($A110="","",IFERROR(IF(LOOKUP(2,1/(人給データ!$B$2:$B$700=$A110),人給データ!$K$2:$K$700)=0,"",LOOKUP(2,1/(人給データ!$B$2:$B$700=$A110),人給データ!$K$2:$K$700)),""))</f>
        <v/>
      </c>
      <c r="I110" s="12" t="n"/>
      <c r="J110">
        <f>IF($A110="","",IFERROR(IF(LOOKUP(2,1/(人給データ!$B$2:$B$700=$A110),人給データ!$N$2:$N$700)=0,"",LOOKUP(2,1/(人給データ!$B$2:$B$700=$A110),人給データ!$N$2:$N$700)),""))</f>
        <v/>
      </c>
      <c r="K110" s="13" t="n"/>
      <c r="L110" s="12" t="n"/>
      <c r="M110" s="12" t="n"/>
      <c r="N110" s="11" t="n"/>
      <c r="O110" s="11" t="n"/>
      <c r="P110" s="14">
        <f>IF(AND(M110&lt;&gt;"",O110=""),"保留中","")</f>
        <v/>
      </c>
      <c r="Q110" s="14">
        <f>IF(P110="保留中",COUNTIF(P$6:P110,"保留中"),"")</f>
        <v/>
      </c>
    </row>
    <row r="111">
      <c r="A111" s="12" t="n"/>
      <c r="B111">
        <f>IF($A111="","",IFERROR(IF(LOOKUP(2,1/(人給データ!$B$2:$B$700=$A111),人給データ!$C$2:$C$700)=0,"",LOOKUP(2,1/(人給データ!$B$2:$B$700=$A111),人給データ!$C$2:$C$700)),""))</f>
        <v/>
      </c>
      <c r="C111">
        <f>IF($A111="","",IFERROR(IF(LOOKUP(2,1/(人給データ!$B$2:$B$700=$A111),人給データ!$G$2:$G$700)=0,"",LOOKUP(2,1/(人給データ!$B$2:$B$700=$A111),人給データ!$G$2:$G$700)),""))</f>
        <v/>
      </c>
      <c r="D111">
        <f>IF($A111="","",IFERROR(IF(LOOKUP(2,1/(人給データ!$B$2:$B$700=$A111),人給データ!$Y$2:$Y$700)=0,"",LOOKUP(2,1/(人給データ!$B$2:$B$700=$A111),人給データ!$Y$2:$Y$700)),""))</f>
        <v/>
      </c>
      <c r="E111" s="20">
        <f>IF($A111="","",IFERROR(IF(LOOKUP(2,1/(人給データ!$B$2:$B$700=$A111),人給データ!$AB$2:$AB$700)=0,"",LOOKUP(2,1/(人給データ!$B$2:$B$700=$A111),人給データ!$AB$2:$AB$700)),""))</f>
        <v/>
      </c>
      <c r="F111" s="16">
        <f>IF(OR(E111="",NOT(ISNUMBER(E111))),"",DATE(YEAR(E111)+2,MONTH(E111),DAY(E111)-2))</f>
        <v/>
      </c>
      <c r="G111" s="20">
        <f>IF($A111="","",IFERROR(IF(LOOKUP(2,1/(人給データ!$B$2:$B$700=$A111),人給データ!$J$2:$J$700)=0,"",LOOKUP(2,1/(人給データ!$B$2:$B$700=$A111),人給データ!$J$2:$J$700)),""))</f>
        <v/>
      </c>
      <c r="H111" s="20">
        <f>IF($A111="","",IFERROR(IF(LOOKUP(2,1/(人給データ!$B$2:$B$700=$A111),人給データ!$K$2:$K$700)=0,"",LOOKUP(2,1/(人給データ!$B$2:$B$700=$A111),人給データ!$K$2:$K$700)),""))</f>
        <v/>
      </c>
      <c r="I111" s="12" t="n"/>
      <c r="J111">
        <f>IF($A111="","",IFERROR(IF(LOOKUP(2,1/(人給データ!$B$2:$B$700=$A111),人給データ!$N$2:$N$700)=0,"",LOOKUP(2,1/(人給データ!$B$2:$B$700=$A111),人給データ!$N$2:$N$700)),""))</f>
        <v/>
      </c>
      <c r="K111" s="13" t="n"/>
      <c r="L111" s="12" t="n"/>
      <c r="M111" s="12" t="n"/>
      <c r="N111" s="11" t="n"/>
      <c r="O111" s="11" t="n"/>
      <c r="P111" s="14">
        <f>IF(AND(M111&lt;&gt;"",O111=""),"保留中","")</f>
        <v/>
      </c>
      <c r="Q111" s="14">
        <f>IF(P111="保留中",COUNTIF(P$6:P111,"保留中"),"")</f>
        <v/>
      </c>
    </row>
    <row r="112">
      <c r="A112" s="12" t="n"/>
      <c r="B112">
        <f>IF($A112="","",IFERROR(IF(LOOKUP(2,1/(人給データ!$B$2:$B$700=$A112),人給データ!$C$2:$C$700)=0,"",LOOKUP(2,1/(人給データ!$B$2:$B$700=$A112),人給データ!$C$2:$C$700)),""))</f>
        <v/>
      </c>
      <c r="C112">
        <f>IF($A112="","",IFERROR(IF(LOOKUP(2,1/(人給データ!$B$2:$B$700=$A112),人給データ!$G$2:$G$700)=0,"",LOOKUP(2,1/(人給データ!$B$2:$B$700=$A112),人給データ!$G$2:$G$700)),""))</f>
        <v/>
      </c>
      <c r="D112">
        <f>IF($A112="","",IFERROR(IF(LOOKUP(2,1/(人給データ!$B$2:$B$700=$A112),人給データ!$Y$2:$Y$700)=0,"",LOOKUP(2,1/(人給データ!$B$2:$B$700=$A112),人給データ!$Y$2:$Y$700)),""))</f>
        <v/>
      </c>
      <c r="E112" s="20">
        <f>IF($A112="","",IFERROR(IF(LOOKUP(2,1/(人給データ!$B$2:$B$700=$A112),人給データ!$AB$2:$AB$700)=0,"",LOOKUP(2,1/(人給データ!$B$2:$B$700=$A112),人給データ!$AB$2:$AB$700)),""))</f>
        <v/>
      </c>
      <c r="F112" s="16">
        <f>IF(OR(E112="",NOT(ISNUMBER(E112))),"",DATE(YEAR(E112)+2,MONTH(E112),DAY(E112)-2))</f>
        <v/>
      </c>
      <c r="G112" s="20">
        <f>IF($A112="","",IFERROR(IF(LOOKUP(2,1/(人給データ!$B$2:$B$700=$A112),人給データ!$J$2:$J$700)=0,"",LOOKUP(2,1/(人給データ!$B$2:$B$700=$A112),人給データ!$J$2:$J$700)),""))</f>
        <v/>
      </c>
      <c r="H112" s="20">
        <f>IF($A112="","",IFERROR(IF(LOOKUP(2,1/(人給データ!$B$2:$B$700=$A112),人給データ!$K$2:$K$700)=0,"",LOOKUP(2,1/(人給データ!$B$2:$B$700=$A112),人給データ!$K$2:$K$700)),""))</f>
        <v/>
      </c>
      <c r="I112" s="12" t="n"/>
      <c r="J112">
        <f>IF($A112="","",IFERROR(IF(LOOKUP(2,1/(人給データ!$B$2:$B$700=$A112),人給データ!$N$2:$N$700)=0,"",LOOKUP(2,1/(人給データ!$B$2:$B$700=$A112),人給データ!$N$2:$N$700)),""))</f>
        <v/>
      </c>
      <c r="K112" s="13" t="n"/>
      <c r="L112" s="12" t="n"/>
      <c r="M112" s="12" t="n"/>
      <c r="N112" s="11" t="n"/>
      <c r="O112" s="11" t="n"/>
      <c r="P112" s="14">
        <f>IF(AND(M112&lt;&gt;"",O112=""),"保留中","")</f>
        <v/>
      </c>
      <c r="Q112" s="14">
        <f>IF(P112="保留中",COUNTIF(P$6:P112,"保留中"),"")</f>
        <v/>
      </c>
    </row>
    <row r="113">
      <c r="A113" s="12" t="n"/>
      <c r="B113">
        <f>IF($A113="","",IFERROR(IF(LOOKUP(2,1/(人給データ!$B$2:$B$700=$A113),人給データ!$C$2:$C$700)=0,"",LOOKUP(2,1/(人給データ!$B$2:$B$700=$A113),人給データ!$C$2:$C$700)),""))</f>
        <v/>
      </c>
      <c r="C113">
        <f>IF($A113="","",IFERROR(IF(LOOKUP(2,1/(人給データ!$B$2:$B$700=$A113),人給データ!$G$2:$G$700)=0,"",LOOKUP(2,1/(人給データ!$B$2:$B$700=$A113),人給データ!$G$2:$G$700)),""))</f>
        <v/>
      </c>
      <c r="D113">
        <f>IF($A113="","",IFERROR(IF(LOOKUP(2,1/(人給データ!$B$2:$B$700=$A113),人給データ!$Y$2:$Y$700)=0,"",LOOKUP(2,1/(人給データ!$B$2:$B$700=$A113),人給データ!$Y$2:$Y$700)),""))</f>
        <v/>
      </c>
      <c r="E113" s="20">
        <f>IF($A113="","",IFERROR(IF(LOOKUP(2,1/(人給データ!$B$2:$B$700=$A113),人給データ!$AB$2:$AB$700)=0,"",LOOKUP(2,1/(人給データ!$B$2:$B$700=$A113),人給データ!$AB$2:$AB$700)),""))</f>
        <v/>
      </c>
      <c r="F113" s="16">
        <f>IF(OR(E113="",NOT(ISNUMBER(E113))),"",DATE(YEAR(E113)+2,MONTH(E113),DAY(E113)-2))</f>
        <v/>
      </c>
      <c r="G113" s="20">
        <f>IF($A113="","",IFERROR(IF(LOOKUP(2,1/(人給データ!$B$2:$B$700=$A113),人給データ!$J$2:$J$700)=0,"",LOOKUP(2,1/(人給データ!$B$2:$B$700=$A113),人給データ!$J$2:$J$700)),""))</f>
        <v/>
      </c>
      <c r="H113" s="20">
        <f>IF($A113="","",IFERROR(IF(LOOKUP(2,1/(人給データ!$B$2:$B$700=$A113),人給データ!$K$2:$K$700)=0,"",LOOKUP(2,1/(人給データ!$B$2:$B$700=$A113),人給データ!$K$2:$K$700)),""))</f>
        <v/>
      </c>
      <c r="I113" s="12" t="n"/>
      <c r="J113">
        <f>IF($A113="","",IFERROR(IF(LOOKUP(2,1/(人給データ!$B$2:$B$700=$A113),人給データ!$N$2:$N$700)=0,"",LOOKUP(2,1/(人給データ!$B$2:$B$700=$A113),人給データ!$N$2:$N$700)),""))</f>
        <v/>
      </c>
      <c r="K113" s="13" t="n"/>
      <c r="L113" s="12" t="n"/>
      <c r="M113" s="12" t="n"/>
      <c r="N113" s="11" t="n"/>
      <c r="O113" s="11" t="n"/>
      <c r="P113" s="14">
        <f>IF(AND(M113&lt;&gt;"",O113=""),"保留中","")</f>
        <v/>
      </c>
      <c r="Q113" s="14">
        <f>IF(P113="保留中",COUNTIF(P$6:P113,"保留中"),"")</f>
        <v/>
      </c>
    </row>
    <row r="114">
      <c r="A114" s="12" t="n"/>
      <c r="B114">
        <f>IF($A114="","",IFERROR(IF(LOOKUP(2,1/(人給データ!$B$2:$B$700=$A114),人給データ!$C$2:$C$700)=0,"",LOOKUP(2,1/(人給データ!$B$2:$B$700=$A114),人給データ!$C$2:$C$700)),""))</f>
        <v/>
      </c>
      <c r="C114">
        <f>IF($A114="","",IFERROR(IF(LOOKUP(2,1/(人給データ!$B$2:$B$700=$A114),人給データ!$G$2:$G$700)=0,"",LOOKUP(2,1/(人給データ!$B$2:$B$700=$A114),人給データ!$G$2:$G$700)),""))</f>
        <v/>
      </c>
      <c r="D114">
        <f>IF($A114="","",IFERROR(IF(LOOKUP(2,1/(人給データ!$B$2:$B$700=$A114),人給データ!$Y$2:$Y$700)=0,"",LOOKUP(2,1/(人給データ!$B$2:$B$700=$A114),人給データ!$Y$2:$Y$700)),""))</f>
        <v/>
      </c>
      <c r="E114" s="20">
        <f>IF($A114="","",IFERROR(IF(LOOKUP(2,1/(人給データ!$B$2:$B$700=$A114),人給データ!$AB$2:$AB$700)=0,"",LOOKUP(2,1/(人給データ!$B$2:$B$700=$A114),人給データ!$AB$2:$AB$700)),""))</f>
        <v/>
      </c>
      <c r="F114" s="16">
        <f>IF(OR(E114="",NOT(ISNUMBER(E114))),"",DATE(YEAR(E114)+2,MONTH(E114),DAY(E114)-2))</f>
        <v/>
      </c>
      <c r="G114" s="20">
        <f>IF($A114="","",IFERROR(IF(LOOKUP(2,1/(人給データ!$B$2:$B$700=$A114),人給データ!$J$2:$J$700)=0,"",LOOKUP(2,1/(人給データ!$B$2:$B$700=$A114),人給データ!$J$2:$J$700)),""))</f>
        <v/>
      </c>
      <c r="H114" s="20">
        <f>IF($A114="","",IFERROR(IF(LOOKUP(2,1/(人給データ!$B$2:$B$700=$A114),人給データ!$K$2:$K$700)=0,"",LOOKUP(2,1/(人給データ!$B$2:$B$700=$A114),人給データ!$K$2:$K$700)),""))</f>
        <v/>
      </c>
      <c r="I114" s="12" t="n"/>
      <c r="J114">
        <f>IF($A114="","",IFERROR(IF(LOOKUP(2,1/(人給データ!$B$2:$B$700=$A114),人給データ!$N$2:$N$700)=0,"",LOOKUP(2,1/(人給データ!$B$2:$B$700=$A114),人給データ!$N$2:$N$700)),""))</f>
        <v/>
      </c>
      <c r="K114" s="13" t="n"/>
      <c r="L114" s="12" t="n"/>
      <c r="M114" s="12" t="n"/>
      <c r="N114" s="11" t="n"/>
      <c r="O114" s="11" t="n"/>
      <c r="P114" s="14">
        <f>IF(AND(M114&lt;&gt;"",O114=""),"保留中","")</f>
        <v/>
      </c>
      <c r="Q114" s="14">
        <f>IF(P114="保留中",COUNTIF(P$6:P114,"保留中"),"")</f>
        <v/>
      </c>
    </row>
    <row r="115">
      <c r="A115" s="12" t="n"/>
      <c r="B115">
        <f>IF($A115="","",IFERROR(IF(LOOKUP(2,1/(人給データ!$B$2:$B$700=$A115),人給データ!$C$2:$C$700)=0,"",LOOKUP(2,1/(人給データ!$B$2:$B$700=$A115),人給データ!$C$2:$C$700)),""))</f>
        <v/>
      </c>
      <c r="C115">
        <f>IF($A115="","",IFERROR(IF(LOOKUP(2,1/(人給データ!$B$2:$B$700=$A115),人給データ!$G$2:$G$700)=0,"",LOOKUP(2,1/(人給データ!$B$2:$B$700=$A115),人給データ!$G$2:$G$700)),""))</f>
        <v/>
      </c>
      <c r="D115">
        <f>IF($A115="","",IFERROR(IF(LOOKUP(2,1/(人給データ!$B$2:$B$700=$A115),人給データ!$Y$2:$Y$700)=0,"",LOOKUP(2,1/(人給データ!$B$2:$B$700=$A115),人給データ!$Y$2:$Y$700)),""))</f>
        <v/>
      </c>
      <c r="E115" s="20">
        <f>IF($A115="","",IFERROR(IF(LOOKUP(2,1/(人給データ!$B$2:$B$700=$A115),人給データ!$AB$2:$AB$700)=0,"",LOOKUP(2,1/(人給データ!$B$2:$B$700=$A115),人給データ!$AB$2:$AB$700)),""))</f>
        <v/>
      </c>
      <c r="F115" s="16">
        <f>IF(OR(E115="",NOT(ISNUMBER(E115))),"",DATE(YEAR(E115)+2,MONTH(E115),DAY(E115)-2))</f>
        <v/>
      </c>
      <c r="G115" s="20">
        <f>IF($A115="","",IFERROR(IF(LOOKUP(2,1/(人給データ!$B$2:$B$700=$A115),人給データ!$J$2:$J$700)=0,"",LOOKUP(2,1/(人給データ!$B$2:$B$700=$A115),人給データ!$J$2:$J$700)),""))</f>
        <v/>
      </c>
      <c r="H115" s="20">
        <f>IF($A115="","",IFERROR(IF(LOOKUP(2,1/(人給データ!$B$2:$B$700=$A115),人給データ!$K$2:$K$700)=0,"",LOOKUP(2,1/(人給データ!$B$2:$B$700=$A115),人給データ!$K$2:$K$700)),""))</f>
        <v/>
      </c>
      <c r="I115" s="12" t="n"/>
      <c r="J115">
        <f>IF($A115="","",IFERROR(IF(LOOKUP(2,1/(人給データ!$B$2:$B$700=$A115),人給データ!$N$2:$N$700)=0,"",LOOKUP(2,1/(人給データ!$B$2:$B$700=$A115),人給データ!$N$2:$N$700)),""))</f>
        <v/>
      </c>
      <c r="K115" s="13" t="n"/>
      <c r="L115" s="12" t="n"/>
      <c r="M115" s="12" t="n"/>
      <c r="N115" s="11" t="n"/>
      <c r="O115" s="11" t="n"/>
      <c r="P115" s="14">
        <f>IF(AND(M115&lt;&gt;"",O115=""),"保留中","")</f>
        <v/>
      </c>
      <c r="Q115" s="14">
        <f>IF(P115="保留中",COUNTIF(P$6:P115,"保留中"),"")</f>
        <v/>
      </c>
    </row>
    <row r="116">
      <c r="A116" s="12" t="n"/>
      <c r="B116">
        <f>IF($A116="","",IFERROR(IF(LOOKUP(2,1/(人給データ!$B$2:$B$700=$A116),人給データ!$C$2:$C$700)=0,"",LOOKUP(2,1/(人給データ!$B$2:$B$700=$A116),人給データ!$C$2:$C$700)),""))</f>
        <v/>
      </c>
      <c r="C116">
        <f>IF($A116="","",IFERROR(IF(LOOKUP(2,1/(人給データ!$B$2:$B$700=$A116),人給データ!$G$2:$G$700)=0,"",LOOKUP(2,1/(人給データ!$B$2:$B$700=$A116),人給データ!$G$2:$G$700)),""))</f>
        <v/>
      </c>
      <c r="D116">
        <f>IF($A116="","",IFERROR(IF(LOOKUP(2,1/(人給データ!$B$2:$B$700=$A116),人給データ!$Y$2:$Y$700)=0,"",LOOKUP(2,1/(人給データ!$B$2:$B$700=$A116),人給データ!$Y$2:$Y$700)),""))</f>
        <v/>
      </c>
      <c r="E116" s="20">
        <f>IF($A116="","",IFERROR(IF(LOOKUP(2,1/(人給データ!$B$2:$B$700=$A116),人給データ!$AB$2:$AB$700)=0,"",LOOKUP(2,1/(人給データ!$B$2:$B$700=$A116),人給データ!$AB$2:$AB$700)),""))</f>
        <v/>
      </c>
      <c r="F116" s="16">
        <f>IF(OR(E116="",NOT(ISNUMBER(E116))),"",DATE(YEAR(E116)+2,MONTH(E116),DAY(E116)-2))</f>
        <v/>
      </c>
      <c r="G116" s="20">
        <f>IF($A116="","",IFERROR(IF(LOOKUP(2,1/(人給データ!$B$2:$B$700=$A116),人給データ!$J$2:$J$700)=0,"",LOOKUP(2,1/(人給データ!$B$2:$B$700=$A116),人給データ!$J$2:$J$700)),""))</f>
        <v/>
      </c>
      <c r="H116" s="20">
        <f>IF($A116="","",IFERROR(IF(LOOKUP(2,1/(人給データ!$B$2:$B$700=$A116),人給データ!$K$2:$K$700)=0,"",LOOKUP(2,1/(人給データ!$B$2:$B$700=$A116),人給データ!$K$2:$K$700)),""))</f>
        <v/>
      </c>
      <c r="I116" s="12" t="n"/>
      <c r="J116">
        <f>IF($A116="","",IFERROR(IF(LOOKUP(2,1/(人給データ!$B$2:$B$700=$A116),人給データ!$N$2:$N$700)=0,"",LOOKUP(2,1/(人給データ!$B$2:$B$700=$A116),人給データ!$N$2:$N$700)),""))</f>
        <v/>
      </c>
      <c r="K116" s="13" t="n"/>
      <c r="L116" s="12" t="n"/>
      <c r="M116" s="12" t="n"/>
      <c r="N116" s="11" t="n"/>
      <c r="O116" s="11" t="n"/>
      <c r="P116" s="14">
        <f>IF(AND(M116&lt;&gt;"",O116=""),"保留中","")</f>
        <v/>
      </c>
      <c r="Q116" s="14">
        <f>IF(P116="保留中",COUNTIF(P$6:P116,"保留中"),"")</f>
        <v/>
      </c>
    </row>
    <row r="117">
      <c r="A117" s="12" t="n"/>
      <c r="B117">
        <f>IF($A117="","",IFERROR(IF(LOOKUP(2,1/(人給データ!$B$2:$B$700=$A117),人給データ!$C$2:$C$700)=0,"",LOOKUP(2,1/(人給データ!$B$2:$B$700=$A117),人給データ!$C$2:$C$700)),""))</f>
        <v/>
      </c>
      <c r="C117">
        <f>IF($A117="","",IFERROR(IF(LOOKUP(2,1/(人給データ!$B$2:$B$700=$A117),人給データ!$G$2:$G$700)=0,"",LOOKUP(2,1/(人給データ!$B$2:$B$700=$A117),人給データ!$G$2:$G$700)),""))</f>
        <v/>
      </c>
      <c r="D117">
        <f>IF($A117="","",IFERROR(IF(LOOKUP(2,1/(人給データ!$B$2:$B$700=$A117),人給データ!$Y$2:$Y$700)=0,"",LOOKUP(2,1/(人給データ!$B$2:$B$700=$A117),人給データ!$Y$2:$Y$700)),""))</f>
        <v/>
      </c>
      <c r="E117" s="20">
        <f>IF($A117="","",IFERROR(IF(LOOKUP(2,1/(人給データ!$B$2:$B$700=$A117),人給データ!$AB$2:$AB$700)=0,"",LOOKUP(2,1/(人給データ!$B$2:$B$700=$A117),人給データ!$AB$2:$AB$700)),""))</f>
        <v/>
      </c>
      <c r="F117" s="16">
        <f>IF(OR(E117="",NOT(ISNUMBER(E117))),"",DATE(YEAR(E117)+2,MONTH(E117),DAY(E117)-2))</f>
        <v/>
      </c>
      <c r="G117" s="20">
        <f>IF($A117="","",IFERROR(IF(LOOKUP(2,1/(人給データ!$B$2:$B$700=$A117),人給データ!$J$2:$J$700)=0,"",LOOKUP(2,1/(人給データ!$B$2:$B$700=$A117),人給データ!$J$2:$J$700)),""))</f>
        <v/>
      </c>
      <c r="H117" s="20">
        <f>IF($A117="","",IFERROR(IF(LOOKUP(2,1/(人給データ!$B$2:$B$700=$A117),人給データ!$K$2:$K$700)=0,"",LOOKUP(2,1/(人給データ!$B$2:$B$700=$A117),人給データ!$K$2:$K$700)),""))</f>
        <v/>
      </c>
      <c r="I117" s="12" t="n"/>
      <c r="J117">
        <f>IF($A117="","",IFERROR(IF(LOOKUP(2,1/(人給データ!$B$2:$B$700=$A117),人給データ!$N$2:$N$700)=0,"",LOOKUP(2,1/(人給データ!$B$2:$B$700=$A117),人給データ!$N$2:$N$700)),""))</f>
        <v/>
      </c>
      <c r="K117" s="13" t="n"/>
      <c r="L117" s="12" t="n"/>
      <c r="M117" s="12" t="n"/>
      <c r="N117" s="11" t="n"/>
      <c r="O117" s="11" t="n"/>
      <c r="P117" s="14">
        <f>IF(AND(M117&lt;&gt;"",O117=""),"保留中","")</f>
        <v/>
      </c>
      <c r="Q117" s="14">
        <f>IF(P117="保留中",COUNTIF(P$6:P117,"保留中"),"")</f>
        <v/>
      </c>
    </row>
    <row r="118">
      <c r="A118" s="12" t="n"/>
      <c r="B118">
        <f>IF($A118="","",IFERROR(IF(LOOKUP(2,1/(人給データ!$B$2:$B$700=$A118),人給データ!$C$2:$C$700)=0,"",LOOKUP(2,1/(人給データ!$B$2:$B$700=$A118),人給データ!$C$2:$C$700)),""))</f>
        <v/>
      </c>
      <c r="C118">
        <f>IF($A118="","",IFERROR(IF(LOOKUP(2,1/(人給データ!$B$2:$B$700=$A118),人給データ!$G$2:$G$700)=0,"",LOOKUP(2,1/(人給データ!$B$2:$B$700=$A118),人給データ!$G$2:$G$700)),""))</f>
        <v/>
      </c>
      <c r="D118">
        <f>IF($A118="","",IFERROR(IF(LOOKUP(2,1/(人給データ!$B$2:$B$700=$A118),人給データ!$Y$2:$Y$700)=0,"",LOOKUP(2,1/(人給データ!$B$2:$B$700=$A118),人給データ!$Y$2:$Y$700)),""))</f>
        <v/>
      </c>
      <c r="E118" s="20">
        <f>IF($A118="","",IFERROR(IF(LOOKUP(2,1/(人給データ!$B$2:$B$700=$A118),人給データ!$AB$2:$AB$700)=0,"",LOOKUP(2,1/(人給データ!$B$2:$B$700=$A118),人給データ!$AB$2:$AB$700)),""))</f>
        <v/>
      </c>
      <c r="F118" s="16">
        <f>IF(OR(E118="",NOT(ISNUMBER(E118))),"",DATE(YEAR(E118)+2,MONTH(E118),DAY(E118)-2))</f>
        <v/>
      </c>
      <c r="G118" s="20">
        <f>IF($A118="","",IFERROR(IF(LOOKUP(2,1/(人給データ!$B$2:$B$700=$A118),人給データ!$J$2:$J$700)=0,"",LOOKUP(2,1/(人給データ!$B$2:$B$700=$A118),人給データ!$J$2:$J$700)),""))</f>
        <v/>
      </c>
      <c r="H118" s="20">
        <f>IF($A118="","",IFERROR(IF(LOOKUP(2,1/(人給データ!$B$2:$B$700=$A118),人給データ!$K$2:$K$700)=0,"",LOOKUP(2,1/(人給データ!$B$2:$B$700=$A118),人給データ!$K$2:$K$700)),""))</f>
        <v/>
      </c>
      <c r="I118" s="12" t="n"/>
      <c r="J118">
        <f>IF($A118="","",IFERROR(IF(LOOKUP(2,1/(人給データ!$B$2:$B$700=$A118),人給データ!$N$2:$N$700)=0,"",LOOKUP(2,1/(人給データ!$B$2:$B$700=$A118),人給データ!$N$2:$N$700)),""))</f>
        <v/>
      </c>
      <c r="K118" s="13" t="n"/>
      <c r="L118" s="12" t="n"/>
      <c r="M118" s="12" t="n"/>
      <c r="N118" s="11" t="n"/>
      <c r="O118" s="11" t="n"/>
      <c r="P118" s="14">
        <f>IF(AND(M118&lt;&gt;"",O118=""),"保留中","")</f>
        <v/>
      </c>
      <c r="Q118" s="14">
        <f>IF(P118="保留中",COUNTIF(P$6:P118,"保留中"),"")</f>
        <v/>
      </c>
    </row>
    <row r="119">
      <c r="A119" s="12" t="n"/>
      <c r="B119">
        <f>IF($A119="","",IFERROR(IF(LOOKUP(2,1/(人給データ!$B$2:$B$700=$A119),人給データ!$C$2:$C$700)=0,"",LOOKUP(2,1/(人給データ!$B$2:$B$700=$A119),人給データ!$C$2:$C$700)),""))</f>
        <v/>
      </c>
      <c r="C119">
        <f>IF($A119="","",IFERROR(IF(LOOKUP(2,1/(人給データ!$B$2:$B$700=$A119),人給データ!$G$2:$G$700)=0,"",LOOKUP(2,1/(人給データ!$B$2:$B$700=$A119),人給データ!$G$2:$G$700)),""))</f>
        <v/>
      </c>
      <c r="D119">
        <f>IF($A119="","",IFERROR(IF(LOOKUP(2,1/(人給データ!$B$2:$B$700=$A119),人給データ!$Y$2:$Y$700)=0,"",LOOKUP(2,1/(人給データ!$B$2:$B$700=$A119),人給データ!$Y$2:$Y$700)),""))</f>
        <v/>
      </c>
      <c r="E119" s="20">
        <f>IF($A119="","",IFERROR(IF(LOOKUP(2,1/(人給データ!$B$2:$B$700=$A119),人給データ!$AB$2:$AB$700)=0,"",LOOKUP(2,1/(人給データ!$B$2:$B$700=$A119),人給データ!$AB$2:$AB$700)),""))</f>
        <v/>
      </c>
      <c r="F119" s="16">
        <f>IF(OR(E119="",NOT(ISNUMBER(E119))),"",DATE(YEAR(E119)+2,MONTH(E119),DAY(E119)-2))</f>
        <v/>
      </c>
      <c r="G119" s="20">
        <f>IF($A119="","",IFERROR(IF(LOOKUP(2,1/(人給データ!$B$2:$B$700=$A119),人給データ!$J$2:$J$700)=0,"",LOOKUP(2,1/(人給データ!$B$2:$B$700=$A119),人給データ!$J$2:$J$700)),""))</f>
        <v/>
      </c>
      <c r="H119" s="20">
        <f>IF($A119="","",IFERROR(IF(LOOKUP(2,1/(人給データ!$B$2:$B$700=$A119),人給データ!$K$2:$K$700)=0,"",LOOKUP(2,1/(人給データ!$B$2:$B$700=$A119),人給データ!$K$2:$K$700)),""))</f>
        <v/>
      </c>
      <c r="I119" s="12" t="n"/>
      <c r="J119">
        <f>IF($A119="","",IFERROR(IF(LOOKUP(2,1/(人給データ!$B$2:$B$700=$A119),人給データ!$N$2:$N$700)=0,"",LOOKUP(2,1/(人給データ!$B$2:$B$700=$A119),人給データ!$N$2:$N$700)),""))</f>
        <v/>
      </c>
      <c r="K119" s="13" t="n"/>
      <c r="L119" s="12" t="n"/>
      <c r="M119" s="12" t="n"/>
      <c r="N119" s="11" t="n"/>
      <c r="O119" s="11" t="n"/>
      <c r="P119" s="14">
        <f>IF(AND(M119&lt;&gt;"",O119=""),"保留中","")</f>
        <v/>
      </c>
      <c r="Q119" s="14">
        <f>IF(P119="保留中",COUNTIF(P$6:P119,"保留中"),"")</f>
        <v/>
      </c>
    </row>
    <row r="120">
      <c r="A120" s="12" t="n"/>
      <c r="B120">
        <f>IF($A120="","",IFERROR(IF(LOOKUP(2,1/(人給データ!$B$2:$B$700=$A120),人給データ!$C$2:$C$700)=0,"",LOOKUP(2,1/(人給データ!$B$2:$B$700=$A120),人給データ!$C$2:$C$700)),""))</f>
        <v/>
      </c>
      <c r="C120">
        <f>IF($A120="","",IFERROR(IF(LOOKUP(2,1/(人給データ!$B$2:$B$700=$A120),人給データ!$G$2:$G$700)=0,"",LOOKUP(2,1/(人給データ!$B$2:$B$700=$A120),人給データ!$G$2:$G$700)),""))</f>
        <v/>
      </c>
      <c r="D120">
        <f>IF($A120="","",IFERROR(IF(LOOKUP(2,1/(人給データ!$B$2:$B$700=$A120),人給データ!$Y$2:$Y$700)=0,"",LOOKUP(2,1/(人給データ!$B$2:$B$700=$A120),人給データ!$Y$2:$Y$700)),""))</f>
        <v/>
      </c>
      <c r="E120" s="20">
        <f>IF($A120="","",IFERROR(IF(LOOKUP(2,1/(人給データ!$B$2:$B$700=$A120),人給データ!$AB$2:$AB$700)=0,"",LOOKUP(2,1/(人給データ!$B$2:$B$700=$A120),人給データ!$AB$2:$AB$700)),""))</f>
        <v/>
      </c>
      <c r="F120" s="16">
        <f>IF(OR(E120="",NOT(ISNUMBER(E120))),"",DATE(YEAR(E120)+2,MONTH(E120),DAY(E120)-2))</f>
        <v/>
      </c>
      <c r="G120" s="20">
        <f>IF($A120="","",IFERROR(IF(LOOKUP(2,1/(人給データ!$B$2:$B$700=$A120),人給データ!$J$2:$J$700)=0,"",LOOKUP(2,1/(人給データ!$B$2:$B$700=$A120),人給データ!$J$2:$J$700)),""))</f>
        <v/>
      </c>
      <c r="H120" s="20">
        <f>IF($A120="","",IFERROR(IF(LOOKUP(2,1/(人給データ!$B$2:$B$700=$A120),人給データ!$K$2:$K$700)=0,"",LOOKUP(2,1/(人給データ!$B$2:$B$700=$A120),人給データ!$K$2:$K$700)),""))</f>
        <v/>
      </c>
      <c r="I120" s="12" t="n"/>
      <c r="J120">
        <f>IF($A120="","",IFERROR(IF(LOOKUP(2,1/(人給データ!$B$2:$B$700=$A120),人給データ!$N$2:$N$700)=0,"",LOOKUP(2,1/(人給データ!$B$2:$B$700=$A120),人給データ!$N$2:$N$700)),""))</f>
        <v/>
      </c>
      <c r="K120" s="13" t="n"/>
      <c r="L120" s="12" t="n"/>
      <c r="M120" s="12" t="n"/>
      <c r="N120" s="11" t="n"/>
      <c r="O120" s="11" t="n"/>
      <c r="P120" s="14">
        <f>IF(AND(M120&lt;&gt;"",O120=""),"保留中","")</f>
        <v/>
      </c>
      <c r="Q120" s="14">
        <f>IF(P120="保留中",COUNTIF(P$6:P120,"保留中"),"")</f>
        <v/>
      </c>
    </row>
    <row r="121">
      <c r="A121" s="12" t="n"/>
      <c r="B121">
        <f>IF($A121="","",IFERROR(IF(LOOKUP(2,1/(人給データ!$B$2:$B$700=$A121),人給データ!$C$2:$C$700)=0,"",LOOKUP(2,1/(人給データ!$B$2:$B$700=$A121),人給データ!$C$2:$C$700)),""))</f>
        <v/>
      </c>
      <c r="C121">
        <f>IF($A121="","",IFERROR(IF(LOOKUP(2,1/(人給データ!$B$2:$B$700=$A121),人給データ!$G$2:$G$700)=0,"",LOOKUP(2,1/(人給データ!$B$2:$B$700=$A121),人給データ!$G$2:$G$700)),""))</f>
        <v/>
      </c>
      <c r="D121">
        <f>IF($A121="","",IFERROR(IF(LOOKUP(2,1/(人給データ!$B$2:$B$700=$A121),人給データ!$Y$2:$Y$700)=0,"",LOOKUP(2,1/(人給データ!$B$2:$B$700=$A121),人給データ!$Y$2:$Y$700)),""))</f>
        <v/>
      </c>
      <c r="E121" s="20">
        <f>IF($A121="","",IFERROR(IF(LOOKUP(2,1/(人給データ!$B$2:$B$700=$A121),人給データ!$AB$2:$AB$700)=0,"",LOOKUP(2,1/(人給データ!$B$2:$B$700=$A121),人給データ!$AB$2:$AB$700)),""))</f>
        <v/>
      </c>
      <c r="F121" s="16">
        <f>IF(OR(E121="",NOT(ISNUMBER(E121))),"",DATE(YEAR(E121)+2,MONTH(E121),DAY(E121)-2))</f>
        <v/>
      </c>
      <c r="G121" s="20">
        <f>IF($A121="","",IFERROR(IF(LOOKUP(2,1/(人給データ!$B$2:$B$700=$A121),人給データ!$J$2:$J$700)=0,"",LOOKUP(2,1/(人給データ!$B$2:$B$700=$A121),人給データ!$J$2:$J$700)),""))</f>
        <v/>
      </c>
      <c r="H121" s="20">
        <f>IF($A121="","",IFERROR(IF(LOOKUP(2,1/(人給データ!$B$2:$B$700=$A121),人給データ!$K$2:$K$700)=0,"",LOOKUP(2,1/(人給データ!$B$2:$B$700=$A121),人給データ!$K$2:$K$700)),""))</f>
        <v/>
      </c>
      <c r="I121" s="12" t="n"/>
      <c r="J121">
        <f>IF($A121="","",IFERROR(IF(LOOKUP(2,1/(人給データ!$B$2:$B$700=$A121),人給データ!$N$2:$N$700)=0,"",LOOKUP(2,1/(人給データ!$B$2:$B$700=$A121),人給データ!$N$2:$N$700)),""))</f>
        <v/>
      </c>
      <c r="K121" s="13" t="n"/>
      <c r="L121" s="12" t="n"/>
      <c r="M121" s="12" t="n"/>
      <c r="N121" s="11" t="n"/>
      <c r="O121" s="11" t="n"/>
      <c r="P121" s="14">
        <f>IF(AND(M121&lt;&gt;"",O121=""),"保留中","")</f>
        <v/>
      </c>
      <c r="Q121" s="14">
        <f>IF(P121="保留中",COUNTIF(P$6:P121,"保留中"),"")</f>
        <v/>
      </c>
    </row>
    <row r="122">
      <c r="A122" s="12" t="n"/>
      <c r="B122">
        <f>IF($A122="","",IFERROR(IF(LOOKUP(2,1/(人給データ!$B$2:$B$700=$A122),人給データ!$C$2:$C$700)=0,"",LOOKUP(2,1/(人給データ!$B$2:$B$700=$A122),人給データ!$C$2:$C$700)),""))</f>
        <v/>
      </c>
      <c r="C122">
        <f>IF($A122="","",IFERROR(IF(LOOKUP(2,1/(人給データ!$B$2:$B$700=$A122),人給データ!$G$2:$G$700)=0,"",LOOKUP(2,1/(人給データ!$B$2:$B$700=$A122),人給データ!$G$2:$G$700)),""))</f>
        <v/>
      </c>
      <c r="D122">
        <f>IF($A122="","",IFERROR(IF(LOOKUP(2,1/(人給データ!$B$2:$B$700=$A122),人給データ!$Y$2:$Y$700)=0,"",LOOKUP(2,1/(人給データ!$B$2:$B$700=$A122),人給データ!$Y$2:$Y$700)),""))</f>
        <v/>
      </c>
      <c r="E122" s="20">
        <f>IF($A122="","",IFERROR(IF(LOOKUP(2,1/(人給データ!$B$2:$B$700=$A122),人給データ!$AB$2:$AB$700)=0,"",LOOKUP(2,1/(人給データ!$B$2:$B$700=$A122),人給データ!$AB$2:$AB$700)),""))</f>
        <v/>
      </c>
      <c r="F122" s="16">
        <f>IF(OR(E122="",NOT(ISNUMBER(E122))),"",DATE(YEAR(E122)+2,MONTH(E122),DAY(E122)-2))</f>
        <v/>
      </c>
      <c r="G122" s="20">
        <f>IF($A122="","",IFERROR(IF(LOOKUP(2,1/(人給データ!$B$2:$B$700=$A122),人給データ!$J$2:$J$700)=0,"",LOOKUP(2,1/(人給データ!$B$2:$B$700=$A122),人給データ!$J$2:$J$700)),""))</f>
        <v/>
      </c>
      <c r="H122" s="20">
        <f>IF($A122="","",IFERROR(IF(LOOKUP(2,1/(人給データ!$B$2:$B$700=$A122),人給データ!$K$2:$K$700)=0,"",LOOKUP(2,1/(人給データ!$B$2:$B$700=$A122),人給データ!$K$2:$K$700)),""))</f>
        <v/>
      </c>
      <c r="I122" s="12" t="n"/>
      <c r="J122">
        <f>IF($A122="","",IFERROR(IF(LOOKUP(2,1/(人給データ!$B$2:$B$700=$A122),人給データ!$N$2:$N$700)=0,"",LOOKUP(2,1/(人給データ!$B$2:$B$700=$A122),人給データ!$N$2:$N$700)),""))</f>
        <v/>
      </c>
      <c r="K122" s="13" t="n"/>
      <c r="L122" s="12" t="n"/>
      <c r="M122" s="12" t="n"/>
      <c r="N122" s="11" t="n"/>
      <c r="O122" s="11" t="n"/>
      <c r="P122" s="14">
        <f>IF(AND(M122&lt;&gt;"",O122=""),"保留中","")</f>
        <v/>
      </c>
      <c r="Q122" s="14">
        <f>IF(P122="保留中",COUNTIF(P$6:P122,"保留中"),"")</f>
        <v/>
      </c>
    </row>
    <row r="123">
      <c r="A123" s="12" t="n"/>
      <c r="B123">
        <f>IF($A123="","",IFERROR(IF(LOOKUP(2,1/(人給データ!$B$2:$B$700=$A123),人給データ!$C$2:$C$700)=0,"",LOOKUP(2,1/(人給データ!$B$2:$B$700=$A123),人給データ!$C$2:$C$700)),""))</f>
        <v/>
      </c>
      <c r="C123">
        <f>IF($A123="","",IFERROR(IF(LOOKUP(2,1/(人給データ!$B$2:$B$700=$A123),人給データ!$G$2:$G$700)=0,"",LOOKUP(2,1/(人給データ!$B$2:$B$700=$A123),人給データ!$G$2:$G$700)),""))</f>
        <v/>
      </c>
      <c r="D123">
        <f>IF($A123="","",IFERROR(IF(LOOKUP(2,1/(人給データ!$B$2:$B$700=$A123),人給データ!$Y$2:$Y$700)=0,"",LOOKUP(2,1/(人給データ!$B$2:$B$700=$A123),人給データ!$Y$2:$Y$700)),""))</f>
        <v/>
      </c>
      <c r="E123" s="20">
        <f>IF($A123="","",IFERROR(IF(LOOKUP(2,1/(人給データ!$B$2:$B$700=$A123),人給データ!$AB$2:$AB$700)=0,"",LOOKUP(2,1/(人給データ!$B$2:$B$700=$A123),人給データ!$AB$2:$AB$700)),""))</f>
        <v/>
      </c>
      <c r="F123" s="16">
        <f>IF(OR(E123="",NOT(ISNUMBER(E123))),"",DATE(YEAR(E123)+2,MONTH(E123),DAY(E123)-2))</f>
        <v/>
      </c>
      <c r="G123" s="20">
        <f>IF($A123="","",IFERROR(IF(LOOKUP(2,1/(人給データ!$B$2:$B$700=$A123),人給データ!$J$2:$J$700)=0,"",LOOKUP(2,1/(人給データ!$B$2:$B$700=$A123),人給データ!$J$2:$J$700)),""))</f>
        <v/>
      </c>
      <c r="H123" s="20">
        <f>IF($A123="","",IFERROR(IF(LOOKUP(2,1/(人給データ!$B$2:$B$700=$A123),人給データ!$K$2:$K$700)=0,"",LOOKUP(2,1/(人給データ!$B$2:$B$700=$A123),人給データ!$K$2:$K$700)),""))</f>
        <v/>
      </c>
      <c r="I123" s="12" t="n"/>
      <c r="J123">
        <f>IF($A123="","",IFERROR(IF(LOOKUP(2,1/(人給データ!$B$2:$B$700=$A123),人給データ!$N$2:$N$700)=0,"",LOOKUP(2,1/(人給データ!$B$2:$B$700=$A123),人給データ!$N$2:$N$700)),""))</f>
        <v/>
      </c>
      <c r="K123" s="13" t="n"/>
      <c r="L123" s="12" t="n"/>
      <c r="M123" s="12" t="n"/>
      <c r="N123" s="11" t="n"/>
      <c r="O123" s="11" t="n"/>
      <c r="P123" s="14">
        <f>IF(AND(M123&lt;&gt;"",O123=""),"保留中","")</f>
        <v/>
      </c>
      <c r="Q123" s="14">
        <f>IF(P123="保留中",COUNTIF(P$6:P123,"保留中"),"")</f>
        <v/>
      </c>
    </row>
    <row r="124">
      <c r="A124" s="12" t="n"/>
      <c r="B124">
        <f>IF($A124="","",IFERROR(IF(LOOKUP(2,1/(人給データ!$B$2:$B$700=$A124),人給データ!$C$2:$C$700)=0,"",LOOKUP(2,1/(人給データ!$B$2:$B$700=$A124),人給データ!$C$2:$C$700)),""))</f>
        <v/>
      </c>
      <c r="C124">
        <f>IF($A124="","",IFERROR(IF(LOOKUP(2,1/(人給データ!$B$2:$B$700=$A124),人給データ!$G$2:$G$700)=0,"",LOOKUP(2,1/(人給データ!$B$2:$B$700=$A124),人給データ!$G$2:$G$700)),""))</f>
        <v/>
      </c>
      <c r="D124">
        <f>IF($A124="","",IFERROR(IF(LOOKUP(2,1/(人給データ!$B$2:$B$700=$A124),人給データ!$Y$2:$Y$700)=0,"",LOOKUP(2,1/(人給データ!$B$2:$B$700=$A124),人給データ!$Y$2:$Y$700)),""))</f>
        <v/>
      </c>
      <c r="E124" s="20">
        <f>IF($A124="","",IFERROR(IF(LOOKUP(2,1/(人給データ!$B$2:$B$700=$A124),人給データ!$AB$2:$AB$700)=0,"",LOOKUP(2,1/(人給データ!$B$2:$B$700=$A124),人給データ!$AB$2:$AB$700)),""))</f>
        <v/>
      </c>
      <c r="F124" s="16">
        <f>IF(OR(E124="",NOT(ISNUMBER(E124))),"",DATE(YEAR(E124)+2,MONTH(E124),DAY(E124)-2))</f>
        <v/>
      </c>
      <c r="G124" s="20">
        <f>IF($A124="","",IFERROR(IF(LOOKUP(2,1/(人給データ!$B$2:$B$700=$A124),人給データ!$J$2:$J$700)=0,"",LOOKUP(2,1/(人給データ!$B$2:$B$700=$A124),人給データ!$J$2:$J$700)),""))</f>
        <v/>
      </c>
      <c r="H124" s="20">
        <f>IF($A124="","",IFERROR(IF(LOOKUP(2,1/(人給データ!$B$2:$B$700=$A124),人給データ!$K$2:$K$700)=0,"",LOOKUP(2,1/(人給データ!$B$2:$B$700=$A124),人給データ!$K$2:$K$700)),""))</f>
        <v/>
      </c>
      <c r="I124" s="12" t="n"/>
      <c r="J124">
        <f>IF($A124="","",IFERROR(IF(LOOKUP(2,1/(人給データ!$B$2:$B$700=$A124),人給データ!$N$2:$N$700)=0,"",LOOKUP(2,1/(人給データ!$B$2:$B$700=$A124),人給データ!$N$2:$N$700)),""))</f>
        <v/>
      </c>
      <c r="K124" s="13" t="n"/>
      <c r="L124" s="12" t="n"/>
      <c r="M124" s="12" t="n"/>
      <c r="N124" s="11" t="n"/>
      <c r="O124" s="11" t="n"/>
      <c r="P124" s="14">
        <f>IF(AND(M124&lt;&gt;"",O124=""),"保留中","")</f>
        <v/>
      </c>
      <c r="Q124" s="14">
        <f>IF(P124="保留中",COUNTIF(P$6:P124,"保留中"),"")</f>
        <v/>
      </c>
    </row>
    <row r="125">
      <c r="A125" s="12" t="n"/>
      <c r="B125">
        <f>IF($A125="","",IFERROR(IF(LOOKUP(2,1/(人給データ!$B$2:$B$700=$A125),人給データ!$C$2:$C$700)=0,"",LOOKUP(2,1/(人給データ!$B$2:$B$700=$A125),人給データ!$C$2:$C$700)),""))</f>
        <v/>
      </c>
      <c r="C125">
        <f>IF($A125="","",IFERROR(IF(LOOKUP(2,1/(人給データ!$B$2:$B$700=$A125),人給データ!$G$2:$G$700)=0,"",LOOKUP(2,1/(人給データ!$B$2:$B$700=$A125),人給データ!$G$2:$G$700)),""))</f>
        <v/>
      </c>
      <c r="D125">
        <f>IF($A125="","",IFERROR(IF(LOOKUP(2,1/(人給データ!$B$2:$B$700=$A125),人給データ!$Y$2:$Y$700)=0,"",LOOKUP(2,1/(人給データ!$B$2:$B$700=$A125),人給データ!$Y$2:$Y$700)),""))</f>
        <v/>
      </c>
      <c r="E125" s="20">
        <f>IF($A125="","",IFERROR(IF(LOOKUP(2,1/(人給データ!$B$2:$B$700=$A125),人給データ!$AB$2:$AB$700)=0,"",LOOKUP(2,1/(人給データ!$B$2:$B$700=$A125),人給データ!$AB$2:$AB$700)),""))</f>
        <v/>
      </c>
      <c r="F125" s="16">
        <f>IF(OR(E125="",NOT(ISNUMBER(E125))),"",DATE(YEAR(E125)+2,MONTH(E125),DAY(E125)-2))</f>
        <v/>
      </c>
      <c r="G125" s="20">
        <f>IF($A125="","",IFERROR(IF(LOOKUP(2,1/(人給データ!$B$2:$B$700=$A125),人給データ!$J$2:$J$700)=0,"",LOOKUP(2,1/(人給データ!$B$2:$B$700=$A125),人給データ!$J$2:$J$700)),""))</f>
        <v/>
      </c>
      <c r="H125" s="20">
        <f>IF($A125="","",IFERROR(IF(LOOKUP(2,1/(人給データ!$B$2:$B$700=$A125),人給データ!$K$2:$K$700)=0,"",LOOKUP(2,1/(人給データ!$B$2:$B$700=$A125),人給データ!$K$2:$K$700)),""))</f>
        <v/>
      </c>
      <c r="I125" s="12" t="n"/>
      <c r="J125">
        <f>IF($A125="","",IFERROR(IF(LOOKUP(2,1/(人給データ!$B$2:$B$700=$A125),人給データ!$N$2:$N$700)=0,"",LOOKUP(2,1/(人給データ!$B$2:$B$700=$A125),人給データ!$N$2:$N$700)),""))</f>
        <v/>
      </c>
      <c r="K125" s="13" t="n"/>
      <c r="L125" s="12" t="n"/>
      <c r="M125" s="12" t="n"/>
      <c r="N125" s="11" t="n"/>
      <c r="O125" s="11" t="n"/>
      <c r="P125" s="14">
        <f>IF(AND(M125&lt;&gt;"",O125=""),"保留中","")</f>
        <v/>
      </c>
      <c r="Q125" s="14">
        <f>IF(P125="保留中",COUNTIF(P$6:P125,"保留中"),"")</f>
        <v/>
      </c>
    </row>
    <row r="126">
      <c r="A126" s="12" t="n"/>
      <c r="B126">
        <f>IF($A126="","",IFERROR(IF(LOOKUP(2,1/(人給データ!$B$2:$B$700=$A126),人給データ!$C$2:$C$700)=0,"",LOOKUP(2,1/(人給データ!$B$2:$B$700=$A126),人給データ!$C$2:$C$700)),""))</f>
        <v/>
      </c>
      <c r="C126">
        <f>IF($A126="","",IFERROR(IF(LOOKUP(2,1/(人給データ!$B$2:$B$700=$A126),人給データ!$G$2:$G$700)=0,"",LOOKUP(2,1/(人給データ!$B$2:$B$700=$A126),人給データ!$G$2:$G$700)),""))</f>
        <v/>
      </c>
      <c r="D126">
        <f>IF($A126="","",IFERROR(IF(LOOKUP(2,1/(人給データ!$B$2:$B$700=$A126),人給データ!$Y$2:$Y$700)=0,"",LOOKUP(2,1/(人給データ!$B$2:$B$700=$A126),人給データ!$Y$2:$Y$700)),""))</f>
        <v/>
      </c>
      <c r="E126" s="20">
        <f>IF($A126="","",IFERROR(IF(LOOKUP(2,1/(人給データ!$B$2:$B$700=$A126),人給データ!$AB$2:$AB$700)=0,"",LOOKUP(2,1/(人給データ!$B$2:$B$700=$A126),人給データ!$AB$2:$AB$700)),""))</f>
        <v/>
      </c>
      <c r="F126" s="16">
        <f>IF(OR(E126="",NOT(ISNUMBER(E126))),"",DATE(YEAR(E126)+2,MONTH(E126),DAY(E126)-2))</f>
        <v/>
      </c>
      <c r="G126" s="20">
        <f>IF($A126="","",IFERROR(IF(LOOKUP(2,1/(人給データ!$B$2:$B$700=$A126),人給データ!$J$2:$J$700)=0,"",LOOKUP(2,1/(人給データ!$B$2:$B$700=$A126),人給データ!$J$2:$J$700)),""))</f>
        <v/>
      </c>
      <c r="H126" s="20">
        <f>IF($A126="","",IFERROR(IF(LOOKUP(2,1/(人給データ!$B$2:$B$700=$A126),人給データ!$K$2:$K$700)=0,"",LOOKUP(2,1/(人給データ!$B$2:$B$700=$A126),人給データ!$K$2:$K$700)),""))</f>
        <v/>
      </c>
      <c r="I126" s="12" t="n"/>
      <c r="J126">
        <f>IF($A126="","",IFERROR(IF(LOOKUP(2,1/(人給データ!$B$2:$B$700=$A126),人給データ!$N$2:$N$700)=0,"",LOOKUP(2,1/(人給データ!$B$2:$B$700=$A126),人給データ!$N$2:$N$700)),""))</f>
        <v/>
      </c>
      <c r="K126" s="13" t="n"/>
      <c r="L126" s="12" t="n"/>
      <c r="M126" s="12" t="n"/>
      <c r="N126" s="11" t="n"/>
      <c r="O126" s="11" t="n"/>
      <c r="P126" s="14">
        <f>IF(AND(M126&lt;&gt;"",O126=""),"保留中","")</f>
        <v/>
      </c>
      <c r="Q126" s="14">
        <f>IF(P126="保留中",COUNTIF(P$6:P126,"保留中"),"")</f>
        <v/>
      </c>
    </row>
    <row r="127">
      <c r="A127" s="12" t="n"/>
      <c r="B127">
        <f>IF($A127="","",IFERROR(IF(LOOKUP(2,1/(人給データ!$B$2:$B$700=$A127),人給データ!$C$2:$C$700)=0,"",LOOKUP(2,1/(人給データ!$B$2:$B$700=$A127),人給データ!$C$2:$C$700)),""))</f>
        <v/>
      </c>
      <c r="C127">
        <f>IF($A127="","",IFERROR(IF(LOOKUP(2,1/(人給データ!$B$2:$B$700=$A127),人給データ!$G$2:$G$700)=0,"",LOOKUP(2,1/(人給データ!$B$2:$B$700=$A127),人給データ!$G$2:$G$700)),""))</f>
        <v/>
      </c>
      <c r="D127">
        <f>IF($A127="","",IFERROR(IF(LOOKUP(2,1/(人給データ!$B$2:$B$700=$A127),人給データ!$Y$2:$Y$700)=0,"",LOOKUP(2,1/(人給データ!$B$2:$B$700=$A127),人給データ!$Y$2:$Y$700)),""))</f>
        <v/>
      </c>
      <c r="E127" s="20">
        <f>IF($A127="","",IFERROR(IF(LOOKUP(2,1/(人給データ!$B$2:$B$700=$A127),人給データ!$AB$2:$AB$700)=0,"",LOOKUP(2,1/(人給データ!$B$2:$B$700=$A127),人給データ!$AB$2:$AB$700)),""))</f>
        <v/>
      </c>
      <c r="F127" s="16">
        <f>IF(OR(E127="",NOT(ISNUMBER(E127))),"",DATE(YEAR(E127)+2,MONTH(E127),DAY(E127)-2))</f>
        <v/>
      </c>
      <c r="G127" s="20">
        <f>IF($A127="","",IFERROR(IF(LOOKUP(2,1/(人給データ!$B$2:$B$700=$A127),人給データ!$J$2:$J$700)=0,"",LOOKUP(2,1/(人給データ!$B$2:$B$700=$A127),人給データ!$J$2:$J$700)),""))</f>
        <v/>
      </c>
      <c r="H127" s="20">
        <f>IF($A127="","",IFERROR(IF(LOOKUP(2,1/(人給データ!$B$2:$B$700=$A127),人給データ!$K$2:$K$700)=0,"",LOOKUP(2,1/(人給データ!$B$2:$B$700=$A127),人給データ!$K$2:$K$700)),""))</f>
        <v/>
      </c>
      <c r="I127" s="12" t="n"/>
      <c r="J127">
        <f>IF($A127="","",IFERROR(IF(LOOKUP(2,1/(人給データ!$B$2:$B$700=$A127),人給データ!$N$2:$N$700)=0,"",LOOKUP(2,1/(人給データ!$B$2:$B$700=$A127),人給データ!$N$2:$N$700)),""))</f>
        <v/>
      </c>
      <c r="K127" s="13" t="n"/>
      <c r="L127" s="12" t="n"/>
      <c r="M127" s="12" t="n"/>
      <c r="N127" s="11" t="n"/>
      <c r="O127" s="11" t="n"/>
      <c r="P127" s="14">
        <f>IF(AND(M127&lt;&gt;"",O127=""),"保留中","")</f>
        <v/>
      </c>
      <c r="Q127" s="14">
        <f>IF(P127="保留中",COUNTIF(P$6:P127,"保留中"),"")</f>
        <v/>
      </c>
    </row>
    <row r="128">
      <c r="A128" s="12" t="n"/>
      <c r="B128">
        <f>IF($A128="","",IFERROR(IF(LOOKUP(2,1/(人給データ!$B$2:$B$700=$A128),人給データ!$C$2:$C$700)=0,"",LOOKUP(2,1/(人給データ!$B$2:$B$700=$A128),人給データ!$C$2:$C$700)),""))</f>
        <v/>
      </c>
      <c r="C128">
        <f>IF($A128="","",IFERROR(IF(LOOKUP(2,1/(人給データ!$B$2:$B$700=$A128),人給データ!$G$2:$G$700)=0,"",LOOKUP(2,1/(人給データ!$B$2:$B$700=$A128),人給データ!$G$2:$G$700)),""))</f>
        <v/>
      </c>
      <c r="D128">
        <f>IF($A128="","",IFERROR(IF(LOOKUP(2,1/(人給データ!$B$2:$B$700=$A128),人給データ!$Y$2:$Y$700)=0,"",LOOKUP(2,1/(人給データ!$B$2:$B$700=$A128),人給データ!$Y$2:$Y$700)),""))</f>
        <v/>
      </c>
      <c r="E128" s="20">
        <f>IF($A128="","",IFERROR(IF(LOOKUP(2,1/(人給データ!$B$2:$B$700=$A128),人給データ!$AB$2:$AB$700)=0,"",LOOKUP(2,1/(人給データ!$B$2:$B$700=$A128),人給データ!$AB$2:$AB$700)),""))</f>
        <v/>
      </c>
      <c r="F128" s="16">
        <f>IF(OR(E128="",NOT(ISNUMBER(E128))),"",DATE(YEAR(E128)+2,MONTH(E128),DAY(E128)-2))</f>
        <v/>
      </c>
      <c r="G128" s="20">
        <f>IF($A128="","",IFERROR(IF(LOOKUP(2,1/(人給データ!$B$2:$B$700=$A128),人給データ!$J$2:$J$700)=0,"",LOOKUP(2,1/(人給データ!$B$2:$B$700=$A128),人給データ!$J$2:$J$700)),""))</f>
        <v/>
      </c>
      <c r="H128" s="20">
        <f>IF($A128="","",IFERROR(IF(LOOKUP(2,1/(人給データ!$B$2:$B$700=$A128),人給データ!$K$2:$K$700)=0,"",LOOKUP(2,1/(人給データ!$B$2:$B$700=$A128),人給データ!$K$2:$K$700)),""))</f>
        <v/>
      </c>
      <c r="I128" s="12" t="n"/>
      <c r="J128">
        <f>IF($A128="","",IFERROR(IF(LOOKUP(2,1/(人給データ!$B$2:$B$700=$A128),人給データ!$N$2:$N$700)=0,"",LOOKUP(2,1/(人給データ!$B$2:$B$700=$A128),人給データ!$N$2:$N$700)),""))</f>
        <v/>
      </c>
      <c r="K128" s="13" t="n"/>
      <c r="L128" s="12" t="n"/>
      <c r="M128" s="12" t="n"/>
      <c r="N128" s="11" t="n"/>
      <c r="O128" s="11" t="n"/>
      <c r="P128" s="14">
        <f>IF(AND(M128&lt;&gt;"",O128=""),"保留中","")</f>
        <v/>
      </c>
      <c r="Q128" s="14">
        <f>IF(P128="保留中",COUNTIF(P$6:P128,"保留中"),"")</f>
        <v/>
      </c>
    </row>
    <row r="129">
      <c r="A129" s="12" t="n"/>
      <c r="B129">
        <f>IF($A129="","",IFERROR(IF(LOOKUP(2,1/(人給データ!$B$2:$B$700=$A129),人給データ!$C$2:$C$700)=0,"",LOOKUP(2,1/(人給データ!$B$2:$B$700=$A129),人給データ!$C$2:$C$700)),""))</f>
        <v/>
      </c>
      <c r="C129">
        <f>IF($A129="","",IFERROR(IF(LOOKUP(2,1/(人給データ!$B$2:$B$700=$A129),人給データ!$G$2:$G$700)=0,"",LOOKUP(2,1/(人給データ!$B$2:$B$700=$A129),人給データ!$G$2:$G$700)),""))</f>
        <v/>
      </c>
      <c r="D129">
        <f>IF($A129="","",IFERROR(IF(LOOKUP(2,1/(人給データ!$B$2:$B$700=$A129),人給データ!$Y$2:$Y$700)=0,"",LOOKUP(2,1/(人給データ!$B$2:$B$700=$A129),人給データ!$Y$2:$Y$700)),""))</f>
        <v/>
      </c>
      <c r="E129" s="20">
        <f>IF($A129="","",IFERROR(IF(LOOKUP(2,1/(人給データ!$B$2:$B$700=$A129),人給データ!$AB$2:$AB$700)=0,"",LOOKUP(2,1/(人給データ!$B$2:$B$700=$A129),人給データ!$AB$2:$AB$700)),""))</f>
        <v/>
      </c>
      <c r="F129" s="16">
        <f>IF(OR(E129="",NOT(ISNUMBER(E129))),"",DATE(YEAR(E129)+2,MONTH(E129),DAY(E129)-2))</f>
        <v/>
      </c>
      <c r="G129" s="20">
        <f>IF($A129="","",IFERROR(IF(LOOKUP(2,1/(人給データ!$B$2:$B$700=$A129),人給データ!$J$2:$J$700)=0,"",LOOKUP(2,1/(人給データ!$B$2:$B$700=$A129),人給データ!$J$2:$J$700)),""))</f>
        <v/>
      </c>
      <c r="H129" s="20">
        <f>IF($A129="","",IFERROR(IF(LOOKUP(2,1/(人給データ!$B$2:$B$700=$A129),人給データ!$K$2:$K$700)=0,"",LOOKUP(2,1/(人給データ!$B$2:$B$700=$A129),人給データ!$K$2:$K$700)),""))</f>
        <v/>
      </c>
      <c r="I129" s="12" t="n"/>
      <c r="J129">
        <f>IF($A129="","",IFERROR(IF(LOOKUP(2,1/(人給データ!$B$2:$B$700=$A129),人給データ!$N$2:$N$700)=0,"",LOOKUP(2,1/(人給データ!$B$2:$B$700=$A129),人給データ!$N$2:$N$700)),""))</f>
        <v/>
      </c>
      <c r="K129" s="13" t="n"/>
      <c r="L129" s="12" t="n"/>
      <c r="M129" s="12" t="n"/>
      <c r="N129" s="11" t="n"/>
      <c r="O129" s="11" t="n"/>
      <c r="P129" s="14">
        <f>IF(AND(M129&lt;&gt;"",O129=""),"保留中","")</f>
        <v/>
      </c>
      <c r="Q129" s="14">
        <f>IF(P129="保留中",COUNTIF(P$6:P129,"保留中"),"")</f>
        <v/>
      </c>
    </row>
    <row r="130">
      <c r="A130" s="12" t="n"/>
      <c r="B130">
        <f>IF($A130="","",IFERROR(IF(LOOKUP(2,1/(人給データ!$B$2:$B$700=$A130),人給データ!$C$2:$C$700)=0,"",LOOKUP(2,1/(人給データ!$B$2:$B$700=$A130),人給データ!$C$2:$C$700)),""))</f>
        <v/>
      </c>
      <c r="C130">
        <f>IF($A130="","",IFERROR(IF(LOOKUP(2,1/(人給データ!$B$2:$B$700=$A130),人給データ!$G$2:$G$700)=0,"",LOOKUP(2,1/(人給データ!$B$2:$B$700=$A130),人給データ!$G$2:$G$700)),""))</f>
        <v/>
      </c>
      <c r="D130">
        <f>IF($A130="","",IFERROR(IF(LOOKUP(2,1/(人給データ!$B$2:$B$700=$A130),人給データ!$Y$2:$Y$700)=0,"",LOOKUP(2,1/(人給データ!$B$2:$B$700=$A130),人給データ!$Y$2:$Y$700)),""))</f>
        <v/>
      </c>
      <c r="E130" s="20">
        <f>IF($A130="","",IFERROR(IF(LOOKUP(2,1/(人給データ!$B$2:$B$700=$A130),人給データ!$AB$2:$AB$700)=0,"",LOOKUP(2,1/(人給データ!$B$2:$B$700=$A130),人給データ!$AB$2:$AB$700)),""))</f>
        <v/>
      </c>
      <c r="F130" s="16">
        <f>IF(OR(E130="",NOT(ISNUMBER(E130))),"",DATE(YEAR(E130)+2,MONTH(E130),DAY(E130)-2))</f>
        <v/>
      </c>
      <c r="G130" s="20">
        <f>IF($A130="","",IFERROR(IF(LOOKUP(2,1/(人給データ!$B$2:$B$700=$A130),人給データ!$J$2:$J$700)=0,"",LOOKUP(2,1/(人給データ!$B$2:$B$700=$A130),人給データ!$J$2:$J$700)),""))</f>
        <v/>
      </c>
      <c r="H130" s="20">
        <f>IF($A130="","",IFERROR(IF(LOOKUP(2,1/(人給データ!$B$2:$B$700=$A130),人給データ!$K$2:$K$700)=0,"",LOOKUP(2,1/(人給データ!$B$2:$B$700=$A130),人給データ!$K$2:$K$700)),""))</f>
        <v/>
      </c>
      <c r="I130" s="12" t="n"/>
      <c r="J130">
        <f>IF($A130="","",IFERROR(IF(LOOKUP(2,1/(人給データ!$B$2:$B$700=$A130),人給データ!$N$2:$N$700)=0,"",LOOKUP(2,1/(人給データ!$B$2:$B$700=$A130),人給データ!$N$2:$N$700)),""))</f>
        <v/>
      </c>
      <c r="K130" s="13" t="n"/>
      <c r="L130" s="12" t="n"/>
      <c r="M130" s="12" t="n"/>
      <c r="N130" s="11" t="n"/>
      <c r="O130" s="11" t="n"/>
      <c r="P130" s="14">
        <f>IF(AND(M130&lt;&gt;"",O130=""),"保留中","")</f>
        <v/>
      </c>
      <c r="Q130" s="14">
        <f>IF(P130="保留中",COUNTIF(P$6:P130,"保留中"),"")</f>
        <v/>
      </c>
    </row>
    <row r="131">
      <c r="A131" s="12" t="n"/>
      <c r="B131">
        <f>IF($A131="","",IFERROR(IF(LOOKUP(2,1/(人給データ!$B$2:$B$700=$A131),人給データ!$C$2:$C$700)=0,"",LOOKUP(2,1/(人給データ!$B$2:$B$700=$A131),人給データ!$C$2:$C$700)),""))</f>
        <v/>
      </c>
      <c r="C131">
        <f>IF($A131="","",IFERROR(IF(LOOKUP(2,1/(人給データ!$B$2:$B$700=$A131),人給データ!$G$2:$G$700)=0,"",LOOKUP(2,1/(人給データ!$B$2:$B$700=$A131),人給データ!$G$2:$G$700)),""))</f>
        <v/>
      </c>
      <c r="D131">
        <f>IF($A131="","",IFERROR(IF(LOOKUP(2,1/(人給データ!$B$2:$B$700=$A131),人給データ!$Y$2:$Y$700)=0,"",LOOKUP(2,1/(人給データ!$B$2:$B$700=$A131),人給データ!$Y$2:$Y$700)),""))</f>
        <v/>
      </c>
      <c r="E131" s="20">
        <f>IF($A131="","",IFERROR(IF(LOOKUP(2,1/(人給データ!$B$2:$B$700=$A131),人給データ!$AB$2:$AB$700)=0,"",LOOKUP(2,1/(人給データ!$B$2:$B$700=$A131),人給データ!$AB$2:$AB$700)),""))</f>
        <v/>
      </c>
      <c r="F131" s="16">
        <f>IF(OR(E131="",NOT(ISNUMBER(E131))),"",DATE(YEAR(E131)+2,MONTH(E131),DAY(E131)-2))</f>
        <v/>
      </c>
      <c r="G131" s="20">
        <f>IF($A131="","",IFERROR(IF(LOOKUP(2,1/(人給データ!$B$2:$B$700=$A131),人給データ!$J$2:$J$700)=0,"",LOOKUP(2,1/(人給データ!$B$2:$B$700=$A131),人給データ!$J$2:$J$700)),""))</f>
        <v/>
      </c>
      <c r="H131" s="20">
        <f>IF($A131="","",IFERROR(IF(LOOKUP(2,1/(人給データ!$B$2:$B$700=$A131),人給データ!$K$2:$K$700)=0,"",LOOKUP(2,1/(人給データ!$B$2:$B$700=$A131),人給データ!$K$2:$K$700)),""))</f>
        <v/>
      </c>
      <c r="I131" s="12" t="n"/>
      <c r="J131">
        <f>IF($A131="","",IFERROR(IF(LOOKUP(2,1/(人給データ!$B$2:$B$700=$A131),人給データ!$N$2:$N$700)=0,"",LOOKUP(2,1/(人給データ!$B$2:$B$700=$A131),人給データ!$N$2:$N$700)),""))</f>
        <v/>
      </c>
      <c r="K131" s="13" t="n"/>
      <c r="L131" s="12" t="n"/>
      <c r="M131" s="12" t="n"/>
      <c r="N131" s="11" t="n"/>
      <c r="O131" s="11" t="n"/>
      <c r="P131" s="14">
        <f>IF(AND(M131&lt;&gt;"",O131=""),"保留中","")</f>
        <v/>
      </c>
      <c r="Q131" s="14">
        <f>IF(P131="保留中",COUNTIF(P$6:P131,"保留中"),"")</f>
        <v/>
      </c>
    </row>
    <row r="132">
      <c r="A132" s="12" t="n"/>
      <c r="B132">
        <f>IF($A132="","",IFERROR(IF(LOOKUP(2,1/(人給データ!$B$2:$B$700=$A132),人給データ!$C$2:$C$700)=0,"",LOOKUP(2,1/(人給データ!$B$2:$B$700=$A132),人給データ!$C$2:$C$700)),""))</f>
        <v/>
      </c>
      <c r="C132">
        <f>IF($A132="","",IFERROR(IF(LOOKUP(2,1/(人給データ!$B$2:$B$700=$A132),人給データ!$G$2:$G$700)=0,"",LOOKUP(2,1/(人給データ!$B$2:$B$700=$A132),人給データ!$G$2:$G$700)),""))</f>
        <v/>
      </c>
      <c r="D132">
        <f>IF($A132="","",IFERROR(IF(LOOKUP(2,1/(人給データ!$B$2:$B$700=$A132),人給データ!$Y$2:$Y$700)=0,"",LOOKUP(2,1/(人給データ!$B$2:$B$700=$A132),人給データ!$Y$2:$Y$700)),""))</f>
        <v/>
      </c>
      <c r="E132" s="20">
        <f>IF($A132="","",IFERROR(IF(LOOKUP(2,1/(人給データ!$B$2:$B$700=$A132),人給データ!$AB$2:$AB$700)=0,"",LOOKUP(2,1/(人給データ!$B$2:$B$700=$A132),人給データ!$AB$2:$AB$700)),""))</f>
        <v/>
      </c>
      <c r="F132" s="16">
        <f>IF(OR(E132="",NOT(ISNUMBER(E132))),"",DATE(YEAR(E132)+2,MONTH(E132),DAY(E132)-2))</f>
        <v/>
      </c>
      <c r="G132" s="20">
        <f>IF($A132="","",IFERROR(IF(LOOKUP(2,1/(人給データ!$B$2:$B$700=$A132),人給データ!$J$2:$J$700)=0,"",LOOKUP(2,1/(人給データ!$B$2:$B$700=$A132),人給データ!$J$2:$J$700)),""))</f>
        <v/>
      </c>
      <c r="H132" s="20">
        <f>IF($A132="","",IFERROR(IF(LOOKUP(2,1/(人給データ!$B$2:$B$700=$A132),人給データ!$K$2:$K$700)=0,"",LOOKUP(2,1/(人給データ!$B$2:$B$700=$A132),人給データ!$K$2:$K$700)),""))</f>
        <v/>
      </c>
      <c r="I132" s="12" t="n"/>
      <c r="J132">
        <f>IF($A132="","",IFERROR(IF(LOOKUP(2,1/(人給データ!$B$2:$B$700=$A132),人給データ!$N$2:$N$700)=0,"",LOOKUP(2,1/(人給データ!$B$2:$B$700=$A132),人給データ!$N$2:$N$700)),""))</f>
        <v/>
      </c>
      <c r="K132" s="13" t="n"/>
      <c r="L132" s="12" t="n"/>
      <c r="M132" s="12" t="n"/>
      <c r="N132" s="11" t="n"/>
      <c r="O132" s="11" t="n"/>
      <c r="P132" s="14">
        <f>IF(AND(M132&lt;&gt;"",O132=""),"保留中","")</f>
        <v/>
      </c>
      <c r="Q132" s="14">
        <f>IF(P132="保留中",COUNTIF(P$6:P132,"保留中"),"")</f>
        <v/>
      </c>
    </row>
    <row r="133">
      <c r="A133" s="12" t="n"/>
      <c r="B133">
        <f>IF($A133="","",IFERROR(IF(LOOKUP(2,1/(人給データ!$B$2:$B$700=$A133),人給データ!$C$2:$C$700)=0,"",LOOKUP(2,1/(人給データ!$B$2:$B$700=$A133),人給データ!$C$2:$C$700)),""))</f>
        <v/>
      </c>
      <c r="C133">
        <f>IF($A133="","",IFERROR(IF(LOOKUP(2,1/(人給データ!$B$2:$B$700=$A133),人給データ!$G$2:$G$700)=0,"",LOOKUP(2,1/(人給データ!$B$2:$B$700=$A133),人給データ!$G$2:$G$700)),""))</f>
        <v/>
      </c>
      <c r="D133">
        <f>IF($A133="","",IFERROR(IF(LOOKUP(2,1/(人給データ!$B$2:$B$700=$A133),人給データ!$Y$2:$Y$700)=0,"",LOOKUP(2,1/(人給データ!$B$2:$B$700=$A133),人給データ!$Y$2:$Y$700)),""))</f>
        <v/>
      </c>
      <c r="E133" s="20">
        <f>IF($A133="","",IFERROR(IF(LOOKUP(2,1/(人給データ!$B$2:$B$700=$A133),人給データ!$AB$2:$AB$700)=0,"",LOOKUP(2,1/(人給データ!$B$2:$B$700=$A133),人給データ!$AB$2:$AB$700)),""))</f>
        <v/>
      </c>
      <c r="F133" s="16">
        <f>IF(OR(E133="",NOT(ISNUMBER(E133))),"",DATE(YEAR(E133)+2,MONTH(E133),DAY(E133)-2))</f>
        <v/>
      </c>
      <c r="G133" s="20">
        <f>IF($A133="","",IFERROR(IF(LOOKUP(2,1/(人給データ!$B$2:$B$700=$A133),人給データ!$J$2:$J$700)=0,"",LOOKUP(2,1/(人給データ!$B$2:$B$700=$A133),人給データ!$J$2:$J$700)),""))</f>
        <v/>
      </c>
      <c r="H133" s="20">
        <f>IF($A133="","",IFERROR(IF(LOOKUP(2,1/(人給データ!$B$2:$B$700=$A133),人給データ!$K$2:$K$700)=0,"",LOOKUP(2,1/(人給データ!$B$2:$B$700=$A133),人給データ!$K$2:$K$700)),""))</f>
        <v/>
      </c>
      <c r="I133" s="12" t="n"/>
      <c r="J133">
        <f>IF($A133="","",IFERROR(IF(LOOKUP(2,1/(人給データ!$B$2:$B$700=$A133),人給データ!$N$2:$N$700)=0,"",LOOKUP(2,1/(人給データ!$B$2:$B$700=$A133),人給データ!$N$2:$N$700)),""))</f>
        <v/>
      </c>
      <c r="K133" s="13" t="n"/>
      <c r="L133" s="12" t="n"/>
      <c r="M133" s="12" t="n"/>
      <c r="N133" s="11" t="n"/>
      <c r="O133" s="11" t="n"/>
      <c r="P133" s="14">
        <f>IF(AND(M133&lt;&gt;"",O133=""),"保留中","")</f>
        <v/>
      </c>
      <c r="Q133" s="14">
        <f>IF(P133="保留中",COUNTIF(P$6:P133,"保留中"),"")</f>
        <v/>
      </c>
    </row>
    <row r="134">
      <c r="A134" s="12" t="n"/>
      <c r="B134">
        <f>IF($A134="","",IFERROR(IF(LOOKUP(2,1/(人給データ!$B$2:$B$700=$A134),人給データ!$C$2:$C$700)=0,"",LOOKUP(2,1/(人給データ!$B$2:$B$700=$A134),人給データ!$C$2:$C$700)),""))</f>
        <v/>
      </c>
      <c r="C134">
        <f>IF($A134="","",IFERROR(IF(LOOKUP(2,1/(人給データ!$B$2:$B$700=$A134),人給データ!$G$2:$G$700)=0,"",LOOKUP(2,1/(人給データ!$B$2:$B$700=$A134),人給データ!$G$2:$G$700)),""))</f>
        <v/>
      </c>
      <c r="D134">
        <f>IF($A134="","",IFERROR(IF(LOOKUP(2,1/(人給データ!$B$2:$B$700=$A134),人給データ!$Y$2:$Y$700)=0,"",LOOKUP(2,1/(人給データ!$B$2:$B$700=$A134),人給データ!$Y$2:$Y$700)),""))</f>
        <v/>
      </c>
      <c r="E134" s="20">
        <f>IF($A134="","",IFERROR(IF(LOOKUP(2,1/(人給データ!$B$2:$B$700=$A134),人給データ!$AB$2:$AB$700)=0,"",LOOKUP(2,1/(人給データ!$B$2:$B$700=$A134),人給データ!$AB$2:$AB$700)),""))</f>
        <v/>
      </c>
      <c r="F134" s="16">
        <f>IF(OR(E134="",NOT(ISNUMBER(E134))),"",DATE(YEAR(E134)+2,MONTH(E134),DAY(E134)-2))</f>
        <v/>
      </c>
      <c r="G134" s="20">
        <f>IF($A134="","",IFERROR(IF(LOOKUP(2,1/(人給データ!$B$2:$B$700=$A134),人給データ!$J$2:$J$700)=0,"",LOOKUP(2,1/(人給データ!$B$2:$B$700=$A134),人給データ!$J$2:$J$700)),""))</f>
        <v/>
      </c>
      <c r="H134" s="20">
        <f>IF($A134="","",IFERROR(IF(LOOKUP(2,1/(人給データ!$B$2:$B$700=$A134),人給データ!$K$2:$K$700)=0,"",LOOKUP(2,1/(人給データ!$B$2:$B$700=$A134),人給データ!$K$2:$K$700)),""))</f>
        <v/>
      </c>
      <c r="I134" s="12" t="n"/>
      <c r="J134">
        <f>IF($A134="","",IFERROR(IF(LOOKUP(2,1/(人給データ!$B$2:$B$700=$A134),人給データ!$N$2:$N$700)=0,"",LOOKUP(2,1/(人給データ!$B$2:$B$700=$A134),人給データ!$N$2:$N$700)),""))</f>
        <v/>
      </c>
      <c r="K134" s="13" t="n"/>
      <c r="L134" s="12" t="n"/>
      <c r="M134" s="12" t="n"/>
      <c r="N134" s="11" t="n"/>
      <c r="O134" s="11" t="n"/>
      <c r="P134" s="14">
        <f>IF(AND(M134&lt;&gt;"",O134=""),"保留中","")</f>
        <v/>
      </c>
      <c r="Q134" s="14">
        <f>IF(P134="保留中",COUNTIF(P$6:P134,"保留中"),"")</f>
        <v/>
      </c>
    </row>
    <row r="135">
      <c r="A135" s="12" t="n"/>
      <c r="B135">
        <f>IF($A135="","",IFERROR(IF(LOOKUP(2,1/(人給データ!$B$2:$B$700=$A135),人給データ!$C$2:$C$700)=0,"",LOOKUP(2,1/(人給データ!$B$2:$B$700=$A135),人給データ!$C$2:$C$700)),""))</f>
        <v/>
      </c>
      <c r="C135">
        <f>IF($A135="","",IFERROR(IF(LOOKUP(2,1/(人給データ!$B$2:$B$700=$A135),人給データ!$G$2:$G$700)=0,"",LOOKUP(2,1/(人給データ!$B$2:$B$700=$A135),人給データ!$G$2:$G$700)),""))</f>
        <v/>
      </c>
      <c r="D135">
        <f>IF($A135="","",IFERROR(IF(LOOKUP(2,1/(人給データ!$B$2:$B$700=$A135),人給データ!$Y$2:$Y$700)=0,"",LOOKUP(2,1/(人給データ!$B$2:$B$700=$A135),人給データ!$Y$2:$Y$700)),""))</f>
        <v/>
      </c>
      <c r="E135" s="20">
        <f>IF($A135="","",IFERROR(IF(LOOKUP(2,1/(人給データ!$B$2:$B$700=$A135),人給データ!$AB$2:$AB$700)=0,"",LOOKUP(2,1/(人給データ!$B$2:$B$700=$A135),人給データ!$AB$2:$AB$700)),""))</f>
        <v/>
      </c>
      <c r="F135" s="16">
        <f>IF(OR(E135="",NOT(ISNUMBER(E135))),"",DATE(YEAR(E135)+2,MONTH(E135),DAY(E135)-2))</f>
        <v/>
      </c>
      <c r="G135" s="20">
        <f>IF($A135="","",IFERROR(IF(LOOKUP(2,1/(人給データ!$B$2:$B$700=$A135),人給データ!$J$2:$J$700)=0,"",LOOKUP(2,1/(人給データ!$B$2:$B$700=$A135),人給データ!$J$2:$J$700)),""))</f>
        <v/>
      </c>
      <c r="H135" s="20">
        <f>IF($A135="","",IFERROR(IF(LOOKUP(2,1/(人給データ!$B$2:$B$700=$A135),人給データ!$K$2:$K$700)=0,"",LOOKUP(2,1/(人給データ!$B$2:$B$700=$A135),人給データ!$K$2:$K$700)),""))</f>
        <v/>
      </c>
      <c r="I135" s="12" t="n"/>
      <c r="J135">
        <f>IF($A135="","",IFERROR(IF(LOOKUP(2,1/(人給データ!$B$2:$B$700=$A135),人給データ!$N$2:$N$700)=0,"",LOOKUP(2,1/(人給データ!$B$2:$B$700=$A135),人給データ!$N$2:$N$700)),""))</f>
        <v/>
      </c>
      <c r="K135" s="13" t="n"/>
      <c r="L135" s="12" t="n"/>
      <c r="M135" s="12" t="n"/>
      <c r="N135" s="11" t="n"/>
      <c r="O135" s="11" t="n"/>
      <c r="P135" s="14">
        <f>IF(AND(M135&lt;&gt;"",O135=""),"保留中","")</f>
        <v/>
      </c>
      <c r="Q135" s="14">
        <f>IF(P135="保留中",COUNTIF(P$6:P135,"保留中"),"")</f>
        <v/>
      </c>
    </row>
    <row r="136">
      <c r="A136" s="12" t="n"/>
      <c r="B136">
        <f>IF($A136="","",IFERROR(IF(LOOKUP(2,1/(人給データ!$B$2:$B$700=$A136),人給データ!$C$2:$C$700)=0,"",LOOKUP(2,1/(人給データ!$B$2:$B$700=$A136),人給データ!$C$2:$C$700)),""))</f>
        <v/>
      </c>
      <c r="C136">
        <f>IF($A136="","",IFERROR(IF(LOOKUP(2,1/(人給データ!$B$2:$B$700=$A136),人給データ!$G$2:$G$700)=0,"",LOOKUP(2,1/(人給データ!$B$2:$B$700=$A136),人給データ!$G$2:$G$700)),""))</f>
        <v/>
      </c>
      <c r="D136">
        <f>IF($A136="","",IFERROR(IF(LOOKUP(2,1/(人給データ!$B$2:$B$700=$A136),人給データ!$Y$2:$Y$700)=0,"",LOOKUP(2,1/(人給データ!$B$2:$B$700=$A136),人給データ!$Y$2:$Y$700)),""))</f>
        <v/>
      </c>
      <c r="E136" s="20">
        <f>IF($A136="","",IFERROR(IF(LOOKUP(2,1/(人給データ!$B$2:$B$700=$A136),人給データ!$AB$2:$AB$700)=0,"",LOOKUP(2,1/(人給データ!$B$2:$B$700=$A136),人給データ!$AB$2:$AB$700)),""))</f>
        <v/>
      </c>
      <c r="F136" s="16">
        <f>IF(OR(E136="",NOT(ISNUMBER(E136))),"",DATE(YEAR(E136)+2,MONTH(E136),DAY(E136)-2))</f>
        <v/>
      </c>
      <c r="G136" s="20">
        <f>IF($A136="","",IFERROR(IF(LOOKUP(2,1/(人給データ!$B$2:$B$700=$A136),人給データ!$J$2:$J$700)=0,"",LOOKUP(2,1/(人給データ!$B$2:$B$700=$A136),人給データ!$J$2:$J$700)),""))</f>
        <v/>
      </c>
      <c r="H136" s="20">
        <f>IF($A136="","",IFERROR(IF(LOOKUP(2,1/(人給データ!$B$2:$B$700=$A136),人給データ!$K$2:$K$700)=0,"",LOOKUP(2,1/(人給データ!$B$2:$B$700=$A136),人給データ!$K$2:$K$700)),""))</f>
        <v/>
      </c>
      <c r="I136" s="12" t="n"/>
      <c r="J136">
        <f>IF($A136="","",IFERROR(IF(LOOKUP(2,1/(人給データ!$B$2:$B$700=$A136),人給データ!$N$2:$N$700)=0,"",LOOKUP(2,1/(人給データ!$B$2:$B$700=$A136),人給データ!$N$2:$N$700)),""))</f>
        <v/>
      </c>
      <c r="K136" s="13" t="n"/>
      <c r="L136" s="12" t="n"/>
      <c r="M136" s="12" t="n"/>
      <c r="N136" s="11" t="n"/>
      <c r="O136" s="11" t="n"/>
      <c r="P136" s="14">
        <f>IF(AND(M136&lt;&gt;"",O136=""),"保留中","")</f>
        <v/>
      </c>
      <c r="Q136" s="14">
        <f>IF(P136="保留中",COUNTIF(P$6:P136,"保留中"),"")</f>
        <v/>
      </c>
    </row>
    <row r="137">
      <c r="A137" s="12" t="n"/>
      <c r="B137">
        <f>IF($A137="","",IFERROR(IF(LOOKUP(2,1/(人給データ!$B$2:$B$700=$A137),人給データ!$C$2:$C$700)=0,"",LOOKUP(2,1/(人給データ!$B$2:$B$700=$A137),人給データ!$C$2:$C$700)),""))</f>
        <v/>
      </c>
      <c r="C137">
        <f>IF($A137="","",IFERROR(IF(LOOKUP(2,1/(人給データ!$B$2:$B$700=$A137),人給データ!$G$2:$G$700)=0,"",LOOKUP(2,1/(人給データ!$B$2:$B$700=$A137),人給データ!$G$2:$G$700)),""))</f>
        <v/>
      </c>
      <c r="D137">
        <f>IF($A137="","",IFERROR(IF(LOOKUP(2,1/(人給データ!$B$2:$B$700=$A137),人給データ!$Y$2:$Y$700)=0,"",LOOKUP(2,1/(人給データ!$B$2:$B$700=$A137),人給データ!$Y$2:$Y$700)),""))</f>
        <v/>
      </c>
      <c r="E137" s="20">
        <f>IF($A137="","",IFERROR(IF(LOOKUP(2,1/(人給データ!$B$2:$B$700=$A137),人給データ!$AB$2:$AB$700)=0,"",LOOKUP(2,1/(人給データ!$B$2:$B$700=$A137),人給データ!$AB$2:$AB$700)),""))</f>
        <v/>
      </c>
      <c r="F137" s="16">
        <f>IF(OR(E137="",NOT(ISNUMBER(E137))),"",DATE(YEAR(E137)+2,MONTH(E137),DAY(E137)-2))</f>
        <v/>
      </c>
      <c r="G137" s="20">
        <f>IF($A137="","",IFERROR(IF(LOOKUP(2,1/(人給データ!$B$2:$B$700=$A137),人給データ!$J$2:$J$700)=0,"",LOOKUP(2,1/(人給データ!$B$2:$B$700=$A137),人給データ!$J$2:$J$700)),""))</f>
        <v/>
      </c>
      <c r="H137" s="20">
        <f>IF($A137="","",IFERROR(IF(LOOKUP(2,1/(人給データ!$B$2:$B$700=$A137),人給データ!$K$2:$K$700)=0,"",LOOKUP(2,1/(人給データ!$B$2:$B$700=$A137),人給データ!$K$2:$K$700)),""))</f>
        <v/>
      </c>
      <c r="I137" s="12" t="n"/>
      <c r="J137">
        <f>IF($A137="","",IFERROR(IF(LOOKUP(2,1/(人給データ!$B$2:$B$700=$A137),人給データ!$N$2:$N$700)=0,"",LOOKUP(2,1/(人給データ!$B$2:$B$700=$A137),人給データ!$N$2:$N$700)),""))</f>
        <v/>
      </c>
      <c r="K137" s="13" t="n"/>
      <c r="L137" s="12" t="n"/>
      <c r="M137" s="12" t="n"/>
      <c r="N137" s="11" t="n"/>
      <c r="O137" s="11" t="n"/>
      <c r="P137" s="14">
        <f>IF(AND(M137&lt;&gt;"",O137=""),"保留中","")</f>
        <v/>
      </c>
      <c r="Q137" s="14">
        <f>IF(P137="保留中",COUNTIF(P$6:P137,"保留中"),"")</f>
        <v/>
      </c>
    </row>
    <row r="138">
      <c r="A138" s="12" t="n"/>
      <c r="B138">
        <f>IF($A138="","",IFERROR(IF(LOOKUP(2,1/(人給データ!$B$2:$B$700=$A138),人給データ!$C$2:$C$700)=0,"",LOOKUP(2,1/(人給データ!$B$2:$B$700=$A138),人給データ!$C$2:$C$700)),""))</f>
        <v/>
      </c>
      <c r="C138">
        <f>IF($A138="","",IFERROR(IF(LOOKUP(2,1/(人給データ!$B$2:$B$700=$A138),人給データ!$G$2:$G$700)=0,"",LOOKUP(2,1/(人給データ!$B$2:$B$700=$A138),人給データ!$G$2:$G$700)),""))</f>
        <v/>
      </c>
      <c r="D138">
        <f>IF($A138="","",IFERROR(IF(LOOKUP(2,1/(人給データ!$B$2:$B$700=$A138),人給データ!$Y$2:$Y$700)=0,"",LOOKUP(2,1/(人給データ!$B$2:$B$700=$A138),人給データ!$Y$2:$Y$700)),""))</f>
        <v/>
      </c>
      <c r="E138" s="20">
        <f>IF($A138="","",IFERROR(IF(LOOKUP(2,1/(人給データ!$B$2:$B$700=$A138),人給データ!$AB$2:$AB$700)=0,"",LOOKUP(2,1/(人給データ!$B$2:$B$700=$A138),人給データ!$AB$2:$AB$700)),""))</f>
        <v/>
      </c>
      <c r="F138" s="16">
        <f>IF(OR(E138="",NOT(ISNUMBER(E138))),"",DATE(YEAR(E138)+2,MONTH(E138),DAY(E138)-2))</f>
        <v/>
      </c>
      <c r="G138" s="20">
        <f>IF($A138="","",IFERROR(IF(LOOKUP(2,1/(人給データ!$B$2:$B$700=$A138),人給データ!$J$2:$J$700)=0,"",LOOKUP(2,1/(人給データ!$B$2:$B$700=$A138),人給データ!$J$2:$J$700)),""))</f>
        <v/>
      </c>
      <c r="H138" s="20">
        <f>IF($A138="","",IFERROR(IF(LOOKUP(2,1/(人給データ!$B$2:$B$700=$A138),人給データ!$K$2:$K$700)=0,"",LOOKUP(2,1/(人給データ!$B$2:$B$700=$A138),人給データ!$K$2:$K$700)),""))</f>
        <v/>
      </c>
      <c r="I138" s="12" t="n"/>
      <c r="J138">
        <f>IF($A138="","",IFERROR(IF(LOOKUP(2,1/(人給データ!$B$2:$B$700=$A138),人給データ!$N$2:$N$700)=0,"",LOOKUP(2,1/(人給データ!$B$2:$B$700=$A138),人給データ!$N$2:$N$700)),""))</f>
        <v/>
      </c>
      <c r="K138" s="13" t="n"/>
      <c r="L138" s="12" t="n"/>
      <c r="M138" s="12" t="n"/>
      <c r="N138" s="11" t="n"/>
      <c r="O138" s="11" t="n"/>
      <c r="P138" s="14">
        <f>IF(AND(M138&lt;&gt;"",O138=""),"保留中","")</f>
        <v/>
      </c>
      <c r="Q138" s="14">
        <f>IF(P138="保留中",COUNTIF(P$6:P138,"保留中"),"")</f>
        <v/>
      </c>
    </row>
    <row r="139">
      <c r="A139" s="12" t="n"/>
      <c r="B139">
        <f>IF($A139="","",IFERROR(IF(LOOKUP(2,1/(人給データ!$B$2:$B$700=$A139),人給データ!$C$2:$C$700)=0,"",LOOKUP(2,1/(人給データ!$B$2:$B$700=$A139),人給データ!$C$2:$C$700)),""))</f>
        <v/>
      </c>
      <c r="C139">
        <f>IF($A139="","",IFERROR(IF(LOOKUP(2,1/(人給データ!$B$2:$B$700=$A139),人給データ!$G$2:$G$700)=0,"",LOOKUP(2,1/(人給データ!$B$2:$B$700=$A139),人給データ!$G$2:$G$700)),""))</f>
        <v/>
      </c>
      <c r="D139">
        <f>IF($A139="","",IFERROR(IF(LOOKUP(2,1/(人給データ!$B$2:$B$700=$A139),人給データ!$Y$2:$Y$700)=0,"",LOOKUP(2,1/(人給データ!$B$2:$B$700=$A139),人給データ!$Y$2:$Y$700)),""))</f>
        <v/>
      </c>
      <c r="E139" s="20">
        <f>IF($A139="","",IFERROR(IF(LOOKUP(2,1/(人給データ!$B$2:$B$700=$A139),人給データ!$AB$2:$AB$700)=0,"",LOOKUP(2,1/(人給データ!$B$2:$B$700=$A139),人給データ!$AB$2:$AB$700)),""))</f>
        <v/>
      </c>
      <c r="F139" s="16">
        <f>IF(OR(E139="",NOT(ISNUMBER(E139))),"",DATE(YEAR(E139)+2,MONTH(E139),DAY(E139)-2))</f>
        <v/>
      </c>
      <c r="G139" s="20">
        <f>IF($A139="","",IFERROR(IF(LOOKUP(2,1/(人給データ!$B$2:$B$700=$A139),人給データ!$J$2:$J$700)=0,"",LOOKUP(2,1/(人給データ!$B$2:$B$700=$A139),人給データ!$J$2:$J$700)),""))</f>
        <v/>
      </c>
      <c r="H139" s="20">
        <f>IF($A139="","",IFERROR(IF(LOOKUP(2,1/(人給データ!$B$2:$B$700=$A139),人給データ!$K$2:$K$700)=0,"",LOOKUP(2,1/(人給データ!$B$2:$B$700=$A139),人給データ!$K$2:$K$700)),""))</f>
        <v/>
      </c>
      <c r="I139" s="12" t="n"/>
      <c r="J139">
        <f>IF($A139="","",IFERROR(IF(LOOKUP(2,1/(人給データ!$B$2:$B$700=$A139),人給データ!$N$2:$N$700)=0,"",LOOKUP(2,1/(人給データ!$B$2:$B$700=$A139),人給データ!$N$2:$N$700)),""))</f>
        <v/>
      </c>
      <c r="K139" s="13" t="n"/>
      <c r="L139" s="12" t="n"/>
      <c r="M139" s="12" t="n"/>
      <c r="N139" s="11" t="n"/>
      <c r="O139" s="11" t="n"/>
      <c r="P139" s="14">
        <f>IF(AND(M139&lt;&gt;"",O139=""),"保留中","")</f>
        <v/>
      </c>
      <c r="Q139" s="14">
        <f>IF(P139="保留中",COUNTIF(P$6:P139,"保留中"),"")</f>
        <v/>
      </c>
    </row>
    <row r="140">
      <c r="A140" s="12" t="n"/>
      <c r="B140">
        <f>IF($A140="","",IFERROR(IF(LOOKUP(2,1/(人給データ!$B$2:$B$700=$A140),人給データ!$C$2:$C$700)=0,"",LOOKUP(2,1/(人給データ!$B$2:$B$700=$A140),人給データ!$C$2:$C$700)),""))</f>
        <v/>
      </c>
      <c r="C140">
        <f>IF($A140="","",IFERROR(IF(LOOKUP(2,1/(人給データ!$B$2:$B$700=$A140),人給データ!$G$2:$G$700)=0,"",LOOKUP(2,1/(人給データ!$B$2:$B$700=$A140),人給データ!$G$2:$G$700)),""))</f>
        <v/>
      </c>
      <c r="D140">
        <f>IF($A140="","",IFERROR(IF(LOOKUP(2,1/(人給データ!$B$2:$B$700=$A140),人給データ!$Y$2:$Y$700)=0,"",LOOKUP(2,1/(人給データ!$B$2:$B$700=$A140),人給データ!$Y$2:$Y$700)),""))</f>
        <v/>
      </c>
      <c r="E140" s="20">
        <f>IF($A140="","",IFERROR(IF(LOOKUP(2,1/(人給データ!$B$2:$B$700=$A140),人給データ!$AB$2:$AB$700)=0,"",LOOKUP(2,1/(人給データ!$B$2:$B$700=$A140),人給データ!$AB$2:$AB$700)),""))</f>
        <v/>
      </c>
      <c r="F140" s="16">
        <f>IF(OR(E140="",NOT(ISNUMBER(E140))),"",DATE(YEAR(E140)+2,MONTH(E140),DAY(E140)-2))</f>
        <v/>
      </c>
      <c r="G140" s="20">
        <f>IF($A140="","",IFERROR(IF(LOOKUP(2,1/(人給データ!$B$2:$B$700=$A140),人給データ!$J$2:$J$700)=0,"",LOOKUP(2,1/(人給データ!$B$2:$B$700=$A140),人給データ!$J$2:$J$700)),""))</f>
        <v/>
      </c>
      <c r="H140" s="20">
        <f>IF($A140="","",IFERROR(IF(LOOKUP(2,1/(人給データ!$B$2:$B$700=$A140),人給データ!$K$2:$K$700)=0,"",LOOKUP(2,1/(人給データ!$B$2:$B$700=$A140),人給データ!$K$2:$K$700)),""))</f>
        <v/>
      </c>
      <c r="I140" s="12" t="n"/>
      <c r="J140">
        <f>IF($A140="","",IFERROR(IF(LOOKUP(2,1/(人給データ!$B$2:$B$700=$A140),人給データ!$N$2:$N$700)=0,"",LOOKUP(2,1/(人給データ!$B$2:$B$700=$A140),人給データ!$N$2:$N$700)),""))</f>
        <v/>
      </c>
      <c r="K140" s="13" t="n"/>
      <c r="L140" s="12" t="n"/>
      <c r="M140" s="12" t="n"/>
      <c r="N140" s="11" t="n"/>
      <c r="O140" s="11" t="n"/>
      <c r="P140" s="14">
        <f>IF(AND(M140&lt;&gt;"",O140=""),"保留中","")</f>
        <v/>
      </c>
      <c r="Q140" s="14">
        <f>IF(P140="保留中",COUNTIF(P$6:P140,"保留中"),"")</f>
        <v/>
      </c>
    </row>
    <row r="141">
      <c r="A141" s="12" t="n"/>
      <c r="B141">
        <f>IF($A141="","",IFERROR(IF(LOOKUP(2,1/(人給データ!$B$2:$B$700=$A141),人給データ!$C$2:$C$700)=0,"",LOOKUP(2,1/(人給データ!$B$2:$B$700=$A141),人給データ!$C$2:$C$700)),""))</f>
        <v/>
      </c>
      <c r="C141">
        <f>IF($A141="","",IFERROR(IF(LOOKUP(2,1/(人給データ!$B$2:$B$700=$A141),人給データ!$G$2:$G$700)=0,"",LOOKUP(2,1/(人給データ!$B$2:$B$700=$A141),人給データ!$G$2:$G$700)),""))</f>
        <v/>
      </c>
      <c r="D141">
        <f>IF($A141="","",IFERROR(IF(LOOKUP(2,1/(人給データ!$B$2:$B$700=$A141),人給データ!$Y$2:$Y$700)=0,"",LOOKUP(2,1/(人給データ!$B$2:$B$700=$A141),人給データ!$Y$2:$Y$700)),""))</f>
        <v/>
      </c>
      <c r="E141" s="20">
        <f>IF($A141="","",IFERROR(IF(LOOKUP(2,1/(人給データ!$B$2:$B$700=$A141),人給データ!$AB$2:$AB$700)=0,"",LOOKUP(2,1/(人給データ!$B$2:$B$700=$A141),人給データ!$AB$2:$AB$700)),""))</f>
        <v/>
      </c>
      <c r="F141" s="16">
        <f>IF(OR(E141="",NOT(ISNUMBER(E141))),"",DATE(YEAR(E141)+2,MONTH(E141),DAY(E141)-2))</f>
        <v/>
      </c>
      <c r="G141" s="20">
        <f>IF($A141="","",IFERROR(IF(LOOKUP(2,1/(人給データ!$B$2:$B$700=$A141),人給データ!$J$2:$J$700)=0,"",LOOKUP(2,1/(人給データ!$B$2:$B$700=$A141),人給データ!$J$2:$J$700)),""))</f>
        <v/>
      </c>
      <c r="H141" s="20">
        <f>IF($A141="","",IFERROR(IF(LOOKUP(2,1/(人給データ!$B$2:$B$700=$A141),人給データ!$K$2:$K$700)=0,"",LOOKUP(2,1/(人給データ!$B$2:$B$700=$A141),人給データ!$K$2:$K$700)),""))</f>
        <v/>
      </c>
      <c r="I141" s="12" t="n"/>
      <c r="J141">
        <f>IF($A141="","",IFERROR(IF(LOOKUP(2,1/(人給データ!$B$2:$B$700=$A141),人給データ!$N$2:$N$700)=0,"",LOOKUP(2,1/(人給データ!$B$2:$B$700=$A141),人給データ!$N$2:$N$700)),""))</f>
        <v/>
      </c>
      <c r="K141" s="13" t="n"/>
      <c r="L141" s="12" t="n"/>
      <c r="M141" s="12" t="n"/>
      <c r="N141" s="11" t="n"/>
      <c r="O141" s="11" t="n"/>
      <c r="P141" s="14">
        <f>IF(AND(M141&lt;&gt;"",O141=""),"保留中","")</f>
        <v/>
      </c>
      <c r="Q141" s="14">
        <f>IF(P141="保留中",COUNTIF(P$6:P141,"保留中"),"")</f>
        <v/>
      </c>
    </row>
    <row r="142">
      <c r="A142" s="12" t="n"/>
      <c r="B142">
        <f>IF($A142="","",IFERROR(IF(LOOKUP(2,1/(人給データ!$B$2:$B$700=$A142),人給データ!$C$2:$C$700)=0,"",LOOKUP(2,1/(人給データ!$B$2:$B$700=$A142),人給データ!$C$2:$C$700)),""))</f>
        <v/>
      </c>
      <c r="C142">
        <f>IF($A142="","",IFERROR(IF(LOOKUP(2,1/(人給データ!$B$2:$B$700=$A142),人給データ!$G$2:$G$700)=0,"",LOOKUP(2,1/(人給データ!$B$2:$B$700=$A142),人給データ!$G$2:$G$700)),""))</f>
        <v/>
      </c>
      <c r="D142">
        <f>IF($A142="","",IFERROR(IF(LOOKUP(2,1/(人給データ!$B$2:$B$700=$A142),人給データ!$Y$2:$Y$700)=0,"",LOOKUP(2,1/(人給データ!$B$2:$B$700=$A142),人給データ!$Y$2:$Y$700)),""))</f>
        <v/>
      </c>
      <c r="E142" s="20">
        <f>IF($A142="","",IFERROR(IF(LOOKUP(2,1/(人給データ!$B$2:$B$700=$A142),人給データ!$AB$2:$AB$700)=0,"",LOOKUP(2,1/(人給データ!$B$2:$B$700=$A142),人給データ!$AB$2:$AB$700)),""))</f>
        <v/>
      </c>
      <c r="F142" s="16">
        <f>IF(OR(E142="",NOT(ISNUMBER(E142))),"",DATE(YEAR(E142)+2,MONTH(E142),DAY(E142)-2))</f>
        <v/>
      </c>
      <c r="G142" s="20">
        <f>IF($A142="","",IFERROR(IF(LOOKUP(2,1/(人給データ!$B$2:$B$700=$A142),人給データ!$J$2:$J$700)=0,"",LOOKUP(2,1/(人給データ!$B$2:$B$700=$A142),人給データ!$J$2:$J$700)),""))</f>
        <v/>
      </c>
      <c r="H142" s="20">
        <f>IF($A142="","",IFERROR(IF(LOOKUP(2,1/(人給データ!$B$2:$B$700=$A142),人給データ!$K$2:$K$700)=0,"",LOOKUP(2,1/(人給データ!$B$2:$B$700=$A142),人給データ!$K$2:$K$700)),""))</f>
        <v/>
      </c>
      <c r="I142" s="12" t="n"/>
      <c r="J142">
        <f>IF($A142="","",IFERROR(IF(LOOKUP(2,1/(人給データ!$B$2:$B$700=$A142),人給データ!$N$2:$N$700)=0,"",LOOKUP(2,1/(人給データ!$B$2:$B$700=$A142),人給データ!$N$2:$N$700)),""))</f>
        <v/>
      </c>
      <c r="K142" s="13" t="n"/>
      <c r="L142" s="12" t="n"/>
      <c r="M142" s="12" t="n"/>
      <c r="N142" s="11" t="n"/>
      <c r="O142" s="11" t="n"/>
      <c r="P142" s="14">
        <f>IF(AND(M142&lt;&gt;"",O142=""),"保留中","")</f>
        <v/>
      </c>
      <c r="Q142" s="14">
        <f>IF(P142="保留中",COUNTIF(P$6:P142,"保留中"),"")</f>
        <v/>
      </c>
    </row>
    <row r="143">
      <c r="A143" s="12" t="n"/>
      <c r="B143">
        <f>IF($A143="","",IFERROR(IF(LOOKUP(2,1/(人給データ!$B$2:$B$700=$A143),人給データ!$C$2:$C$700)=0,"",LOOKUP(2,1/(人給データ!$B$2:$B$700=$A143),人給データ!$C$2:$C$700)),""))</f>
        <v/>
      </c>
      <c r="C143">
        <f>IF($A143="","",IFERROR(IF(LOOKUP(2,1/(人給データ!$B$2:$B$700=$A143),人給データ!$G$2:$G$700)=0,"",LOOKUP(2,1/(人給データ!$B$2:$B$700=$A143),人給データ!$G$2:$G$700)),""))</f>
        <v/>
      </c>
      <c r="D143">
        <f>IF($A143="","",IFERROR(IF(LOOKUP(2,1/(人給データ!$B$2:$B$700=$A143),人給データ!$Y$2:$Y$700)=0,"",LOOKUP(2,1/(人給データ!$B$2:$B$700=$A143),人給データ!$Y$2:$Y$700)),""))</f>
        <v/>
      </c>
      <c r="E143" s="20">
        <f>IF($A143="","",IFERROR(IF(LOOKUP(2,1/(人給データ!$B$2:$B$700=$A143),人給データ!$AB$2:$AB$700)=0,"",LOOKUP(2,1/(人給データ!$B$2:$B$700=$A143),人給データ!$AB$2:$AB$700)),""))</f>
        <v/>
      </c>
      <c r="F143" s="16">
        <f>IF(OR(E143="",NOT(ISNUMBER(E143))),"",DATE(YEAR(E143)+2,MONTH(E143),DAY(E143)-2))</f>
        <v/>
      </c>
      <c r="G143" s="20">
        <f>IF($A143="","",IFERROR(IF(LOOKUP(2,1/(人給データ!$B$2:$B$700=$A143),人給データ!$J$2:$J$700)=0,"",LOOKUP(2,1/(人給データ!$B$2:$B$700=$A143),人給データ!$J$2:$J$700)),""))</f>
        <v/>
      </c>
      <c r="H143" s="20">
        <f>IF($A143="","",IFERROR(IF(LOOKUP(2,1/(人給データ!$B$2:$B$700=$A143),人給データ!$K$2:$K$700)=0,"",LOOKUP(2,1/(人給データ!$B$2:$B$700=$A143),人給データ!$K$2:$K$700)),""))</f>
        <v/>
      </c>
      <c r="I143" s="12" t="n"/>
      <c r="J143">
        <f>IF($A143="","",IFERROR(IF(LOOKUP(2,1/(人給データ!$B$2:$B$700=$A143),人給データ!$N$2:$N$700)=0,"",LOOKUP(2,1/(人給データ!$B$2:$B$700=$A143),人給データ!$N$2:$N$700)),""))</f>
        <v/>
      </c>
      <c r="K143" s="13" t="n"/>
      <c r="L143" s="12" t="n"/>
      <c r="M143" s="12" t="n"/>
      <c r="N143" s="11" t="n"/>
      <c r="O143" s="11" t="n"/>
      <c r="P143" s="14">
        <f>IF(AND(M143&lt;&gt;"",O143=""),"保留中","")</f>
        <v/>
      </c>
      <c r="Q143" s="14">
        <f>IF(P143="保留中",COUNTIF(P$6:P143,"保留中"),"")</f>
        <v/>
      </c>
    </row>
    <row r="144">
      <c r="A144" s="12" t="n"/>
      <c r="B144">
        <f>IF($A144="","",IFERROR(IF(LOOKUP(2,1/(人給データ!$B$2:$B$700=$A144),人給データ!$C$2:$C$700)=0,"",LOOKUP(2,1/(人給データ!$B$2:$B$700=$A144),人給データ!$C$2:$C$700)),""))</f>
        <v/>
      </c>
      <c r="C144">
        <f>IF($A144="","",IFERROR(IF(LOOKUP(2,1/(人給データ!$B$2:$B$700=$A144),人給データ!$G$2:$G$700)=0,"",LOOKUP(2,1/(人給データ!$B$2:$B$700=$A144),人給データ!$G$2:$G$700)),""))</f>
        <v/>
      </c>
      <c r="D144">
        <f>IF($A144="","",IFERROR(IF(LOOKUP(2,1/(人給データ!$B$2:$B$700=$A144),人給データ!$Y$2:$Y$700)=0,"",LOOKUP(2,1/(人給データ!$B$2:$B$700=$A144),人給データ!$Y$2:$Y$700)),""))</f>
        <v/>
      </c>
      <c r="E144" s="20">
        <f>IF($A144="","",IFERROR(IF(LOOKUP(2,1/(人給データ!$B$2:$B$700=$A144),人給データ!$AB$2:$AB$700)=0,"",LOOKUP(2,1/(人給データ!$B$2:$B$700=$A144),人給データ!$AB$2:$AB$700)),""))</f>
        <v/>
      </c>
      <c r="F144" s="16">
        <f>IF(OR(E144="",NOT(ISNUMBER(E144))),"",DATE(YEAR(E144)+2,MONTH(E144),DAY(E144)-2))</f>
        <v/>
      </c>
      <c r="G144" s="20">
        <f>IF($A144="","",IFERROR(IF(LOOKUP(2,1/(人給データ!$B$2:$B$700=$A144),人給データ!$J$2:$J$700)=0,"",LOOKUP(2,1/(人給データ!$B$2:$B$700=$A144),人給データ!$J$2:$J$700)),""))</f>
        <v/>
      </c>
      <c r="H144" s="20">
        <f>IF($A144="","",IFERROR(IF(LOOKUP(2,1/(人給データ!$B$2:$B$700=$A144),人給データ!$K$2:$K$700)=0,"",LOOKUP(2,1/(人給データ!$B$2:$B$700=$A144),人給データ!$K$2:$K$700)),""))</f>
        <v/>
      </c>
      <c r="I144" s="12" t="n"/>
      <c r="J144">
        <f>IF($A144="","",IFERROR(IF(LOOKUP(2,1/(人給データ!$B$2:$B$700=$A144),人給データ!$N$2:$N$700)=0,"",LOOKUP(2,1/(人給データ!$B$2:$B$700=$A144),人給データ!$N$2:$N$700)),""))</f>
        <v/>
      </c>
      <c r="K144" s="13" t="n"/>
      <c r="L144" s="12" t="n"/>
      <c r="M144" s="12" t="n"/>
      <c r="N144" s="11" t="n"/>
      <c r="O144" s="11" t="n"/>
      <c r="P144" s="14">
        <f>IF(AND(M144&lt;&gt;"",O144=""),"保留中","")</f>
        <v/>
      </c>
      <c r="Q144" s="14">
        <f>IF(P144="保留中",COUNTIF(P$6:P144,"保留中"),"")</f>
        <v/>
      </c>
    </row>
    <row r="145">
      <c r="A145" s="12" t="n"/>
      <c r="B145">
        <f>IF($A145="","",IFERROR(IF(LOOKUP(2,1/(人給データ!$B$2:$B$700=$A145),人給データ!$C$2:$C$700)=0,"",LOOKUP(2,1/(人給データ!$B$2:$B$700=$A145),人給データ!$C$2:$C$700)),""))</f>
        <v/>
      </c>
      <c r="C145">
        <f>IF($A145="","",IFERROR(IF(LOOKUP(2,1/(人給データ!$B$2:$B$700=$A145),人給データ!$G$2:$G$700)=0,"",LOOKUP(2,1/(人給データ!$B$2:$B$700=$A145),人給データ!$G$2:$G$700)),""))</f>
        <v/>
      </c>
      <c r="D145">
        <f>IF($A145="","",IFERROR(IF(LOOKUP(2,1/(人給データ!$B$2:$B$700=$A145),人給データ!$Y$2:$Y$700)=0,"",LOOKUP(2,1/(人給データ!$B$2:$B$700=$A145),人給データ!$Y$2:$Y$700)),""))</f>
        <v/>
      </c>
      <c r="E145" s="20">
        <f>IF($A145="","",IFERROR(IF(LOOKUP(2,1/(人給データ!$B$2:$B$700=$A145),人給データ!$AB$2:$AB$700)=0,"",LOOKUP(2,1/(人給データ!$B$2:$B$700=$A145),人給データ!$AB$2:$AB$700)),""))</f>
        <v/>
      </c>
      <c r="F145" s="16">
        <f>IF(OR(E145="",NOT(ISNUMBER(E145))),"",DATE(YEAR(E145)+2,MONTH(E145),DAY(E145)-2))</f>
        <v/>
      </c>
      <c r="G145" s="20">
        <f>IF($A145="","",IFERROR(IF(LOOKUP(2,1/(人給データ!$B$2:$B$700=$A145),人給データ!$J$2:$J$700)=0,"",LOOKUP(2,1/(人給データ!$B$2:$B$700=$A145),人給データ!$J$2:$J$700)),""))</f>
        <v/>
      </c>
      <c r="H145" s="20">
        <f>IF($A145="","",IFERROR(IF(LOOKUP(2,1/(人給データ!$B$2:$B$700=$A145),人給データ!$K$2:$K$700)=0,"",LOOKUP(2,1/(人給データ!$B$2:$B$700=$A145),人給データ!$K$2:$K$700)),""))</f>
        <v/>
      </c>
      <c r="I145" s="12" t="n"/>
      <c r="J145">
        <f>IF($A145="","",IFERROR(IF(LOOKUP(2,1/(人給データ!$B$2:$B$700=$A145),人給データ!$N$2:$N$700)=0,"",LOOKUP(2,1/(人給データ!$B$2:$B$700=$A145),人給データ!$N$2:$N$700)),""))</f>
        <v/>
      </c>
      <c r="K145" s="13" t="n"/>
      <c r="L145" s="12" t="n"/>
      <c r="M145" s="12" t="n"/>
      <c r="N145" s="11" t="n"/>
      <c r="O145" s="11" t="n"/>
      <c r="P145" s="14">
        <f>IF(AND(M145&lt;&gt;"",O145=""),"保留中","")</f>
        <v/>
      </c>
      <c r="Q145" s="14">
        <f>IF(P145="保留中",COUNTIF(P$6:P145,"保留中"),"")</f>
        <v/>
      </c>
    </row>
    <row r="146">
      <c r="A146" s="12" t="n"/>
      <c r="B146">
        <f>IF($A146="","",IFERROR(IF(LOOKUP(2,1/(人給データ!$B$2:$B$700=$A146),人給データ!$C$2:$C$700)=0,"",LOOKUP(2,1/(人給データ!$B$2:$B$700=$A146),人給データ!$C$2:$C$700)),""))</f>
        <v/>
      </c>
      <c r="C146">
        <f>IF($A146="","",IFERROR(IF(LOOKUP(2,1/(人給データ!$B$2:$B$700=$A146),人給データ!$G$2:$G$700)=0,"",LOOKUP(2,1/(人給データ!$B$2:$B$700=$A146),人給データ!$G$2:$G$700)),""))</f>
        <v/>
      </c>
      <c r="D146">
        <f>IF($A146="","",IFERROR(IF(LOOKUP(2,1/(人給データ!$B$2:$B$700=$A146),人給データ!$Y$2:$Y$700)=0,"",LOOKUP(2,1/(人給データ!$B$2:$B$700=$A146),人給データ!$Y$2:$Y$700)),""))</f>
        <v/>
      </c>
      <c r="E146" s="20">
        <f>IF($A146="","",IFERROR(IF(LOOKUP(2,1/(人給データ!$B$2:$B$700=$A146),人給データ!$AB$2:$AB$700)=0,"",LOOKUP(2,1/(人給データ!$B$2:$B$700=$A146),人給データ!$AB$2:$AB$700)),""))</f>
        <v/>
      </c>
      <c r="F146" s="16">
        <f>IF(OR(E146="",NOT(ISNUMBER(E146))),"",DATE(YEAR(E146)+2,MONTH(E146),DAY(E146)-2))</f>
        <v/>
      </c>
      <c r="G146" s="20">
        <f>IF($A146="","",IFERROR(IF(LOOKUP(2,1/(人給データ!$B$2:$B$700=$A146),人給データ!$J$2:$J$700)=0,"",LOOKUP(2,1/(人給データ!$B$2:$B$700=$A146),人給データ!$J$2:$J$700)),""))</f>
        <v/>
      </c>
      <c r="H146" s="20">
        <f>IF($A146="","",IFERROR(IF(LOOKUP(2,1/(人給データ!$B$2:$B$700=$A146),人給データ!$K$2:$K$700)=0,"",LOOKUP(2,1/(人給データ!$B$2:$B$700=$A146),人給データ!$K$2:$K$700)),""))</f>
        <v/>
      </c>
      <c r="I146" s="12" t="n"/>
      <c r="J146">
        <f>IF($A146="","",IFERROR(IF(LOOKUP(2,1/(人給データ!$B$2:$B$700=$A146),人給データ!$N$2:$N$700)=0,"",LOOKUP(2,1/(人給データ!$B$2:$B$700=$A146),人給データ!$N$2:$N$700)),""))</f>
        <v/>
      </c>
      <c r="K146" s="13" t="n"/>
      <c r="L146" s="12" t="n"/>
      <c r="M146" s="12" t="n"/>
      <c r="N146" s="11" t="n"/>
      <c r="O146" s="11" t="n"/>
      <c r="P146" s="14">
        <f>IF(AND(M146&lt;&gt;"",O146=""),"保留中","")</f>
        <v/>
      </c>
      <c r="Q146" s="14">
        <f>IF(P146="保留中",COUNTIF(P$6:P146,"保留中"),"")</f>
        <v/>
      </c>
    </row>
    <row r="147">
      <c r="A147" s="12" t="n"/>
      <c r="B147">
        <f>IF($A147="","",IFERROR(IF(LOOKUP(2,1/(人給データ!$B$2:$B$700=$A147),人給データ!$C$2:$C$700)=0,"",LOOKUP(2,1/(人給データ!$B$2:$B$700=$A147),人給データ!$C$2:$C$700)),""))</f>
        <v/>
      </c>
      <c r="C147">
        <f>IF($A147="","",IFERROR(IF(LOOKUP(2,1/(人給データ!$B$2:$B$700=$A147),人給データ!$G$2:$G$700)=0,"",LOOKUP(2,1/(人給データ!$B$2:$B$700=$A147),人給データ!$G$2:$G$700)),""))</f>
        <v/>
      </c>
      <c r="D147">
        <f>IF($A147="","",IFERROR(IF(LOOKUP(2,1/(人給データ!$B$2:$B$700=$A147),人給データ!$Y$2:$Y$700)=0,"",LOOKUP(2,1/(人給データ!$B$2:$B$700=$A147),人給データ!$Y$2:$Y$700)),""))</f>
        <v/>
      </c>
      <c r="E147" s="20">
        <f>IF($A147="","",IFERROR(IF(LOOKUP(2,1/(人給データ!$B$2:$B$700=$A147),人給データ!$AB$2:$AB$700)=0,"",LOOKUP(2,1/(人給データ!$B$2:$B$700=$A147),人給データ!$AB$2:$AB$700)),""))</f>
        <v/>
      </c>
      <c r="F147" s="16">
        <f>IF(OR(E147="",NOT(ISNUMBER(E147))),"",DATE(YEAR(E147)+2,MONTH(E147),DAY(E147)-2))</f>
        <v/>
      </c>
      <c r="G147" s="20">
        <f>IF($A147="","",IFERROR(IF(LOOKUP(2,1/(人給データ!$B$2:$B$700=$A147),人給データ!$J$2:$J$700)=0,"",LOOKUP(2,1/(人給データ!$B$2:$B$700=$A147),人給データ!$J$2:$J$700)),""))</f>
        <v/>
      </c>
      <c r="H147" s="20">
        <f>IF($A147="","",IFERROR(IF(LOOKUP(2,1/(人給データ!$B$2:$B$700=$A147),人給データ!$K$2:$K$700)=0,"",LOOKUP(2,1/(人給データ!$B$2:$B$700=$A147),人給データ!$K$2:$K$700)),""))</f>
        <v/>
      </c>
      <c r="I147" s="12" t="n"/>
      <c r="J147">
        <f>IF($A147="","",IFERROR(IF(LOOKUP(2,1/(人給データ!$B$2:$B$700=$A147),人給データ!$N$2:$N$700)=0,"",LOOKUP(2,1/(人給データ!$B$2:$B$700=$A147),人給データ!$N$2:$N$700)),""))</f>
        <v/>
      </c>
      <c r="K147" s="13" t="n"/>
      <c r="L147" s="12" t="n"/>
      <c r="M147" s="12" t="n"/>
      <c r="N147" s="11" t="n"/>
      <c r="O147" s="11" t="n"/>
      <c r="P147" s="14">
        <f>IF(AND(M147&lt;&gt;"",O147=""),"保留中","")</f>
        <v/>
      </c>
      <c r="Q147" s="14">
        <f>IF(P147="保留中",COUNTIF(P$6:P147,"保留中"),"")</f>
        <v/>
      </c>
    </row>
    <row r="148">
      <c r="A148" s="12" t="n"/>
      <c r="B148">
        <f>IF($A148="","",IFERROR(IF(LOOKUP(2,1/(人給データ!$B$2:$B$700=$A148),人給データ!$C$2:$C$700)=0,"",LOOKUP(2,1/(人給データ!$B$2:$B$700=$A148),人給データ!$C$2:$C$700)),""))</f>
        <v/>
      </c>
      <c r="C148">
        <f>IF($A148="","",IFERROR(IF(LOOKUP(2,1/(人給データ!$B$2:$B$700=$A148),人給データ!$G$2:$G$700)=0,"",LOOKUP(2,1/(人給データ!$B$2:$B$700=$A148),人給データ!$G$2:$G$700)),""))</f>
        <v/>
      </c>
      <c r="D148">
        <f>IF($A148="","",IFERROR(IF(LOOKUP(2,1/(人給データ!$B$2:$B$700=$A148),人給データ!$Y$2:$Y$700)=0,"",LOOKUP(2,1/(人給データ!$B$2:$B$700=$A148),人給データ!$Y$2:$Y$700)),""))</f>
        <v/>
      </c>
      <c r="E148" s="20">
        <f>IF($A148="","",IFERROR(IF(LOOKUP(2,1/(人給データ!$B$2:$B$700=$A148),人給データ!$AB$2:$AB$700)=0,"",LOOKUP(2,1/(人給データ!$B$2:$B$700=$A148),人給データ!$AB$2:$AB$700)),""))</f>
        <v/>
      </c>
      <c r="F148" s="16">
        <f>IF(OR(E148="",NOT(ISNUMBER(E148))),"",DATE(YEAR(E148)+2,MONTH(E148),DAY(E148)-2))</f>
        <v/>
      </c>
      <c r="G148" s="20">
        <f>IF($A148="","",IFERROR(IF(LOOKUP(2,1/(人給データ!$B$2:$B$700=$A148),人給データ!$J$2:$J$700)=0,"",LOOKUP(2,1/(人給データ!$B$2:$B$700=$A148),人給データ!$J$2:$J$700)),""))</f>
        <v/>
      </c>
      <c r="H148" s="20">
        <f>IF($A148="","",IFERROR(IF(LOOKUP(2,1/(人給データ!$B$2:$B$700=$A148),人給データ!$K$2:$K$700)=0,"",LOOKUP(2,1/(人給データ!$B$2:$B$700=$A148),人給データ!$K$2:$K$700)),""))</f>
        <v/>
      </c>
      <c r="I148" s="12" t="n"/>
      <c r="J148">
        <f>IF($A148="","",IFERROR(IF(LOOKUP(2,1/(人給データ!$B$2:$B$700=$A148),人給データ!$N$2:$N$700)=0,"",LOOKUP(2,1/(人給データ!$B$2:$B$700=$A148),人給データ!$N$2:$N$700)),""))</f>
        <v/>
      </c>
      <c r="K148" s="13" t="n"/>
      <c r="L148" s="12" t="n"/>
      <c r="M148" s="12" t="n"/>
      <c r="N148" s="11" t="n"/>
      <c r="O148" s="11" t="n"/>
      <c r="P148" s="14">
        <f>IF(AND(M148&lt;&gt;"",O148=""),"保留中","")</f>
        <v/>
      </c>
      <c r="Q148" s="14">
        <f>IF(P148="保留中",COUNTIF(P$6:P148,"保留中"),"")</f>
        <v/>
      </c>
    </row>
    <row r="149">
      <c r="A149" s="12" t="n"/>
      <c r="B149">
        <f>IF($A149="","",IFERROR(IF(LOOKUP(2,1/(人給データ!$B$2:$B$700=$A149),人給データ!$C$2:$C$700)=0,"",LOOKUP(2,1/(人給データ!$B$2:$B$700=$A149),人給データ!$C$2:$C$700)),""))</f>
        <v/>
      </c>
      <c r="C149">
        <f>IF($A149="","",IFERROR(IF(LOOKUP(2,1/(人給データ!$B$2:$B$700=$A149),人給データ!$G$2:$G$700)=0,"",LOOKUP(2,1/(人給データ!$B$2:$B$700=$A149),人給データ!$G$2:$G$700)),""))</f>
        <v/>
      </c>
      <c r="D149">
        <f>IF($A149="","",IFERROR(IF(LOOKUP(2,1/(人給データ!$B$2:$B$700=$A149),人給データ!$Y$2:$Y$700)=0,"",LOOKUP(2,1/(人給データ!$B$2:$B$700=$A149),人給データ!$Y$2:$Y$700)),""))</f>
        <v/>
      </c>
      <c r="E149" s="20">
        <f>IF($A149="","",IFERROR(IF(LOOKUP(2,1/(人給データ!$B$2:$B$700=$A149),人給データ!$AB$2:$AB$700)=0,"",LOOKUP(2,1/(人給データ!$B$2:$B$700=$A149),人給データ!$AB$2:$AB$700)),""))</f>
        <v/>
      </c>
      <c r="F149" s="16">
        <f>IF(OR(E149="",NOT(ISNUMBER(E149))),"",DATE(YEAR(E149)+2,MONTH(E149),DAY(E149)-2))</f>
        <v/>
      </c>
      <c r="G149" s="20">
        <f>IF($A149="","",IFERROR(IF(LOOKUP(2,1/(人給データ!$B$2:$B$700=$A149),人給データ!$J$2:$J$700)=0,"",LOOKUP(2,1/(人給データ!$B$2:$B$700=$A149),人給データ!$J$2:$J$700)),""))</f>
        <v/>
      </c>
      <c r="H149" s="20">
        <f>IF($A149="","",IFERROR(IF(LOOKUP(2,1/(人給データ!$B$2:$B$700=$A149),人給データ!$K$2:$K$700)=0,"",LOOKUP(2,1/(人給データ!$B$2:$B$700=$A149),人給データ!$K$2:$K$700)),""))</f>
        <v/>
      </c>
      <c r="I149" s="12" t="n"/>
      <c r="J149">
        <f>IF($A149="","",IFERROR(IF(LOOKUP(2,1/(人給データ!$B$2:$B$700=$A149),人給データ!$N$2:$N$700)=0,"",LOOKUP(2,1/(人給データ!$B$2:$B$700=$A149),人給データ!$N$2:$N$700)),""))</f>
        <v/>
      </c>
      <c r="K149" s="13" t="n"/>
      <c r="L149" s="12" t="n"/>
      <c r="M149" s="12" t="n"/>
      <c r="N149" s="11" t="n"/>
      <c r="O149" s="11" t="n"/>
      <c r="P149" s="14">
        <f>IF(AND(M149&lt;&gt;"",O149=""),"保留中","")</f>
        <v/>
      </c>
      <c r="Q149" s="14">
        <f>IF(P149="保留中",COUNTIF(P$6:P149,"保留中"),"")</f>
        <v/>
      </c>
    </row>
    <row r="150">
      <c r="A150" s="12" t="n"/>
      <c r="B150">
        <f>IF($A150="","",IFERROR(IF(LOOKUP(2,1/(人給データ!$B$2:$B$700=$A150),人給データ!$C$2:$C$700)=0,"",LOOKUP(2,1/(人給データ!$B$2:$B$700=$A150),人給データ!$C$2:$C$700)),""))</f>
        <v/>
      </c>
      <c r="C150">
        <f>IF($A150="","",IFERROR(IF(LOOKUP(2,1/(人給データ!$B$2:$B$700=$A150),人給データ!$G$2:$G$700)=0,"",LOOKUP(2,1/(人給データ!$B$2:$B$700=$A150),人給データ!$G$2:$G$700)),""))</f>
        <v/>
      </c>
      <c r="D150">
        <f>IF($A150="","",IFERROR(IF(LOOKUP(2,1/(人給データ!$B$2:$B$700=$A150),人給データ!$Y$2:$Y$700)=0,"",LOOKUP(2,1/(人給データ!$B$2:$B$700=$A150),人給データ!$Y$2:$Y$700)),""))</f>
        <v/>
      </c>
      <c r="E150" s="20">
        <f>IF($A150="","",IFERROR(IF(LOOKUP(2,1/(人給データ!$B$2:$B$700=$A150),人給データ!$AB$2:$AB$700)=0,"",LOOKUP(2,1/(人給データ!$B$2:$B$700=$A150),人給データ!$AB$2:$AB$700)),""))</f>
        <v/>
      </c>
      <c r="F150" s="16">
        <f>IF(OR(E150="",NOT(ISNUMBER(E150))),"",DATE(YEAR(E150)+2,MONTH(E150),DAY(E150)-2))</f>
        <v/>
      </c>
      <c r="G150" s="20">
        <f>IF($A150="","",IFERROR(IF(LOOKUP(2,1/(人給データ!$B$2:$B$700=$A150),人給データ!$J$2:$J$700)=0,"",LOOKUP(2,1/(人給データ!$B$2:$B$700=$A150),人給データ!$J$2:$J$700)),""))</f>
        <v/>
      </c>
      <c r="H150" s="20">
        <f>IF($A150="","",IFERROR(IF(LOOKUP(2,1/(人給データ!$B$2:$B$700=$A150),人給データ!$K$2:$K$700)=0,"",LOOKUP(2,1/(人給データ!$B$2:$B$700=$A150),人給データ!$K$2:$K$700)),""))</f>
        <v/>
      </c>
      <c r="I150" s="12" t="n"/>
      <c r="J150">
        <f>IF($A150="","",IFERROR(IF(LOOKUP(2,1/(人給データ!$B$2:$B$700=$A150),人給データ!$N$2:$N$700)=0,"",LOOKUP(2,1/(人給データ!$B$2:$B$700=$A150),人給データ!$N$2:$N$700)),""))</f>
        <v/>
      </c>
      <c r="K150" s="13" t="n"/>
      <c r="L150" s="12" t="n"/>
      <c r="M150" s="12" t="n"/>
      <c r="N150" s="11" t="n"/>
      <c r="O150" s="11" t="n"/>
      <c r="P150" s="14">
        <f>IF(AND(M150&lt;&gt;"",O150=""),"保留中","")</f>
        <v/>
      </c>
      <c r="Q150" s="14">
        <f>IF(P150="保留中",COUNTIF(P$6:P150,"保留中"),"")</f>
        <v/>
      </c>
    </row>
    <row r="151">
      <c r="A151" s="12" t="n"/>
      <c r="B151">
        <f>IF($A151="","",IFERROR(IF(LOOKUP(2,1/(人給データ!$B$2:$B$700=$A151),人給データ!$C$2:$C$700)=0,"",LOOKUP(2,1/(人給データ!$B$2:$B$700=$A151),人給データ!$C$2:$C$700)),""))</f>
        <v/>
      </c>
      <c r="C151">
        <f>IF($A151="","",IFERROR(IF(LOOKUP(2,1/(人給データ!$B$2:$B$700=$A151),人給データ!$G$2:$G$700)=0,"",LOOKUP(2,1/(人給データ!$B$2:$B$700=$A151),人給データ!$G$2:$G$700)),""))</f>
        <v/>
      </c>
      <c r="D151">
        <f>IF($A151="","",IFERROR(IF(LOOKUP(2,1/(人給データ!$B$2:$B$700=$A151),人給データ!$Y$2:$Y$700)=0,"",LOOKUP(2,1/(人給データ!$B$2:$B$700=$A151),人給データ!$Y$2:$Y$700)),""))</f>
        <v/>
      </c>
      <c r="E151" s="20">
        <f>IF($A151="","",IFERROR(IF(LOOKUP(2,1/(人給データ!$B$2:$B$700=$A151),人給データ!$AB$2:$AB$700)=0,"",LOOKUP(2,1/(人給データ!$B$2:$B$700=$A151),人給データ!$AB$2:$AB$700)),""))</f>
        <v/>
      </c>
      <c r="F151" s="16">
        <f>IF(OR(E151="",NOT(ISNUMBER(E151))),"",DATE(YEAR(E151)+2,MONTH(E151),DAY(E151)-2))</f>
        <v/>
      </c>
      <c r="G151" s="20">
        <f>IF($A151="","",IFERROR(IF(LOOKUP(2,1/(人給データ!$B$2:$B$700=$A151),人給データ!$J$2:$J$700)=0,"",LOOKUP(2,1/(人給データ!$B$2:$B$700=$A151),人給データ!$J$2:$J$700)),""))</f>
        <v/>
      </c>
      <c r="H151" s="20">
        <f>IF($A151="","",IFERROR(IF(LOOKUP(2,1/(人給データ!$B$2:$B$700=$A151),人給データ!$K$2:$K$700)=0,"",LOOKUP(2,1/(人給データ!$B$2:$B$700=$A151),人給データ!$K$2:$K$700)),""))</f>
        <v/>
      </c>
      <c r="I151" s="12" t="n"/>
      <c r="J151">
        <f>IF($A151="","",IFERROR(IF(LOOKUP(2,1/(人給データ!$B$2:$B$700=$A151),人給データ!$N$2:$N$700)=0,"",LOOKUP(2,1/(人給データ!$B$2:$B$700=$A151),人給データ!$N$2:$N$700)),""))</f>
        <v/>
      </c>
      <c r="K151" s="13" t="n"/>
      <c r="L151" s="12" t="n"/>
      <c r="M151" s="12" t="n"/>
      <c r="N151" s="11" t="n"/>
      <c r="O151" s="11" t="n"/>
      <c r="P151" s="14">
        <f>IF(AND(M151&lt;&gt;"",O151=""),"保留中","")</f>
        <v/>
      </c>
      <c r="Q151" s="14">
        <f>IF(P151="保留中",COUNTIF(P$6:P151,"保留中"),"")</f>
        <v/>
      </c>
    </row>
    <row r="152">
      <c r="A152" s="12" t="n"/>
      <c r="B152">
        <f>IF($A152="","",IFERROR(IF(LOOKUP(2,1/(人給データ!$B$2:$B$700=$A152),人給データ!$C$2:$C$700)=0,"",LOOKUP(2,1/(人給データ!$B$2:$B$700=$A152),人給データ!$C$2:$C$700)),""))</f>
        <v/>
      </c>
      <c r="C152">
        <f>IF($A152="","",IFERROR(IF(LOOKUP(2,1/(人給データ!$B$2:$B$700=$A152),人給データ!$G$2:$G$700)=0,"",LOOKUP(2,1/(人給データ!$B$2:$B$700=$A152),人給データ!$G$2:$G$700)),""))</f>
        <v/>
      </c>
      <c r="D152">
        <f>IF($A152="","",IFERROR(IF(LOOKUP(2,1/(人給データ!$B$2:$B$700=$A152),人給データ!$Y$2:$Y$700)=0,"",LOOKUP(2,1/(人給データ!$B$2:$B$700=$A152),人給データ!$Y$2:$Y$700)),""))</f>
        <v/>
      </c>
      <c r="E152" s="20">
        <f>IF($A152="","",IFERROR(IF(LOOKUP(2,1/(人給データ!$B$2:$B$700=$A152),人給データ!$AB$2:$AB$700)=0,"",LOOKUP(2,1/(人給データ!$B$2:$B$700=$A152),人給データ!$AB$2:$AB$700)),""))</f>
        <v/>
      </c>
      <c r="F152" s="16">
        <f>IF(OR(E152="",NOT(ISNUMBER(E152))),"",DATE(YEAR(E152)+2,MONTH(E152),DAY(E152)-2))</f>
        <v/>
      </c>
      <c r="G152" s="20">
        <f>IF($A152="","",IFERROR(IF(LOOKUP(2,1/(人給データ!$B$2:$B$700=$A152),人給データ!$J$2:$J$700)=0,"",LOOKUP(2,1/(人給データ!$B$2:$B$700=$A152),人給データ!$J$2:$J$700)),""))</f>
        <v/>
      </c>
      <c r="H152" s="20">
        <f>IF($A152="","",IFERROR(IF(LOOKUP(2,1/(人給データ!$B$2:$B$700=$A152),人給データ!$K$2:$K$700)=0,"",LOOKUP(2,1/(人給データ!$B$2:$B$700=$A152),人給データ!$K$2:$K$700)),""))</f>
        <v/>
      </c>
      <c r="I152" s="12" t="n"/>
      <c r="J152">
        <f>IF($A152="","",IFERROR(IF(LOOKUP(2,1/(人給データ!$B$2:$B$700=$A152),人給データ!$N$2:$N$700)=0,"",LOOKUP(2,1/(人給データ!$B$2:$B$700=$A152),人給データ!$N$2:$N$700)),""))</f>
        <v/>
      </c>
      <c r="K152" s="13" t="n"/>
      <c r="L152" s="12" t="n"/>
      <c r="M152" s="12" t="n"/>
      <c r="N152" s="11" t="n"/>
      <c r="O152" s="11" t="n"/>
      <c r="P152" s="14">
        <f>IF(AND(M152&lt;&gt;"",O152=""),"保留中","")</f>
        <v/>
      </c>
      <c r="Q152" s="14">
        <f>IF(P152="保留中",COUNTIF(P$6:P152,"保留中"),"")</f>
        <v/>
      </c>
    </row>
    <row r="153">
      <c r="A153" s="12" t="n"/>
      <c r="B153">
        <f>IF($A153="","",IFERROR(IF(LOOKUP(2,1/(人給データ!$B$2:$B$700=$A153),人給データ!$C$2:$C$700)=0,"",LOOKUP(2,1/(人給データ!$B$2:$B$700=$A153),人給データ!$C$2:$C$700)),""))</f>
        <v/>
      </c>
      <c r="C153">
        <f>IF($A153="","",IFERROR(IF(LOOKUP(2,1/(人給データ!$B$2:$B$700=$A153),人給データ!$G$2:$G$700)=0,"",LOOKUP(2,1/(人給データ!$B$2:$B$700=$A153),人給データ!$G$2:$G$700)),""))</f>
        <v/>
      </c>
      <c r="D153">
        <f>IF($A153="","",IFERROR(IF(LOOKUP(2,1/(人給データ!$B$2:$B$700=$A153),人給データ!$Y$2:$Y$700)=0,"",LOOKUP(2,1/(人給データ!$B$2:$B$700=$A153),人給データ!$Y$2:$Y$700)),""))</f>
        <v/>
      </c>
      <c r="E153" s="20">
        <f>IF($A153="","",IFERROR(IF(LOOKUP(2,1/(人給データ!$B$2:$B$700=$A153),人給データ!$AB$2:$AB$700)=0,"",LOOKUP(2,1/(人給データ!$B$2:$B$700=$A153),人給データ!$AB$2:$AB$700)),""))</f>
        <v/>
      </c>
      <c r="F153" s="16">
        <f>IF(OR(E153="",NOT(ISNUMBER(E153))),"",DATE(YEAR(E153)+2,MONTH(E153),DAY(E153)-2))</f>
        <v/>
      </c>
      <c r="G153" s="20">
        <f>IF($A153="","",IFERROR(IF(LOOKUP(2,1/(人給データ!$B$2:$B$700=$A153),人給データ!$J$2:$J$700)=0,"",LOOKUP(2,1/(人給データ!$B$2:$B$700=$A153),人給データ!$J$2:$J$700)),""))</f>
        <v/>
      </c>
      <c r="H153" s="20">
        <f>IF($A153="","",IFERROR(IF(LOOKUP(2,1/(人給データ!$B$2:$B$700=$A153),人給データ!$K$2:$K$700)=0,"",LOOKUP(2,1/(人給データ!$B$2:$B$700=$A153),人給データ!$K$2:$K$700)),""))</f>
        <v/>
      </c>
      <c r="I153" s="12" t="n"/>
      <c r="J153">
        <f>IF($A153="","",IFERROR(IF(LOOKUP(2,1/(人給データ!$B$2:$B$700=$A153),人給データ!$N$2:$N$700)=0,"",LOOKUP(2,1/(人給データ!$B$2:$B$700=$A153),人給データ!$N$2:$N$700)),""))</f>
        <v/>
      </c>
      <c r="K153" s="13" t="n"/>
      <c r="L153" s="12" t="n"/>
      <c r="M153" s="12" t="n"/>
      <c r="N153" s="11" t="n"/>
      <c r="O153" s="11" t="n"/>
      <c r="P153" s="14">
        <f>IF(AND(M153&lt;&gt;"",O153=""),"保留中","")</f>
        <v/>
      </c>
      <c r="Q153" s="14">
        <f>IF(P153="保留中",COUNTIF(P$6:P153,"保留中"),"")</f>
        <v/>
      </c>
    </row>
    <row r="154">
      <c r="A154" s="12" t="n"/>
      <c r="B154">
        <f>IF($A154="","",IFERROR(IF(LOOKUP(2,1/(人給データ!$B$2:$B$700=$A154),人給データ!$C$2:$C$700)=0,"",LOOKUP(2,1/(人給データ!$B$2:$B$700=$A154),人給データ!$C$2:$C$700)),""))</f>
        <v/>
      </c>
      <c r="C154">
        <f>IF($A154="","",IFERROR(IF(LOOKUP(2,1/(人給データ!$B$2:$B$700=$A154),人給データ!$G$2:$G$700)=0,"",LOOKUP(2,1/(人給データ!$B$2:$B$700=$A154),人給データ!$G$2:$G$700)),""))</f>
        <v/>
      </c>
      <c r="D154">
        <f>IF($A154="","",IFERROR(IF(LOOKUP(2,1/(人給データ!$B$2:$B$700=$A154),人給データ!$Y$2:$Y$700)=0,"",LOOKUP(2,1/(人給データ!$B$2:$B$700=$A154),人給データ!$Y$2:$Y$700)),""))</f>
        <v/>
      </c>
      <c r="E154" s="20">
        <f>IF($A154="","",IFERROR(IF(LOOKUP(2,1/(人給データ!$B$2:$B$700=$A154),人給データ!$AB$2:$AB$700)=0,"",LOOKUP(2,1/(人給データ!$B$2:$B$700=$A154),人給データ!$AB$2:$AB$700)),""))</f>
        <v/>
      </c>
      <c r="F154" s="16">
        <f>IF(OR(E154="",NOT(ISNUMBER(E154))),"",DATE(YEAR(E154)+2,MONTH(E154),DAY(E154)-2))</f>
        <v/>
      </c>
      <c r="G154" s="20">
        <f>IF($A154="","",IFERROR(IF(LOOKUP(2,1/(人給データ!$B$2:$B$700=$A154),人給データ!$J$2:$J$700)=0,"",LOOKUP(2,1/(人給データ!$B$2:$B$700=$A154),人給データ!$J$2:$J$700)),""))</f>
        <v/>
      </c>
      <c r="H154" s="20">
        <f>IF($A154="","",IFERROR(IF(LOOKUP(2,1/(人給データ!$B$2:$B$700=$A154),人給データ!$K$2:$K$700)=0,"",LOOKUP(2,1/(人給データ!$B$2:$B$700=$A154),人給データ!$K$2:$K$700)),""))</f>
        <v/>
      </c>
      <c r="I154" s="12" t="n"/>
      <c r="J154">
        <f>IF($A154="","",IFERROR(IF(LOOKUP(2,1/(人給データ!$B$2:$B$700=$A154),人給データ!$N$2:$N$700)=0,"",LOOKUP(2,1/(人給データ!$B$2:$B$700=$A154),人給データ!$N$2:$N$700)),""))</f>
        <v/>
      </c>
      <c r="K154" s="13" t="n"/>
      <c r="L154" s="12" t="n"/>
      <c r="M154" s="12" t="n"/>
      <c r="N154" s="11" t="n"/>
      <c r="O154" s="11" t="n"/>
      <c r="P154" s="14">
        <f>IF(AND(M154&lt;&gt;"",O154=""),"保留中","")</f>
        <v/>
      </c>
      <c r="Q154" s="14">
        <f>IF(P154="保留中",COUNTIF(P$6:P154,"保留中"),"")</f>
        <v/>
      </c>
    </row>
    <row r="155">
      <c r="A155" s="12" t="n"/>
      <c r="B155">
        <f>IF($A155="","",IFERROR(IF(LOOKUP(2,1/(人給データ!$B$2:$B$700=$A155),人給データ!$C$2:$C$700)=0,"",LOOKUP(2,1/(人給データ!$B$2:$B$700=$A155),人給データ!$C$2:$C$700)),""))</f>
        <v/>
      </c>
      <c r="C155">
        <f>IF($A155="","",IFERROR(IF(LOOKUP(2,1/(人給データ!$B$2:$B$700=$A155),人給データ!$G$2:$G$700)=0,"",LOOKUP(2,1/(人給データ!$B$2:$B$700=$A155),人給データ!$G$2:$G$700)),""))</f>
        <v/>
      </c>
      <c r="D155">
        <f>IF($A155="","",IFERROR(IF(LOOKUP(2,1/(人給データ!$B$2:$B$700=$A155),人給データ!$Y$2:$Y$700)=0,"",LOOKUP(2,1/(人給データ!$B$2:$B$700=$A155),人給データ!$Y$2:$Y$700)),""))</f>
        <v/>
      </c>
      <c r="E155" s="20">
        <f>IF($A155="","",IFERROR(IF(LOOKUP(2,1/(人給データ!$B$2:$B$700=$A155),人給データ!$AB$2:$AB$700)=0,"",LOOKUP(2,1/(人給データ!$B$2:$B$700=$A155),人給データ!$AB$2:$AB$700)),""))</f>
        <v/>
      </c>
      <c r="F155" s="16">
        <f>IF(OR(E155="",NOT(ISNUMBER(E155))),"",DATE(YEAR(E155)+2,MONTH(E155),DAY(E155)-2))</f>
        <v/>
      </c>
      <c r="G155" s="20">
        <f>IF($A155="","",IFERROR(IF(LOOKUP(2,1/(人給データ!$B$2:$B$700=$A155),人給データ!$J$2:$J$700)=0,"",LOOKUP(2,1/(人給データ!$B$2:$B$700=$A155),人給データ!$J$2:$J$700)),""))</f>
        <v/>
      </c>
      <c r="H155" s="20">
        <f>IF($A155="","",IFERROR(IF(LOOKUP(2,1/(人給データ!$B$2:$B$700=$A155),人給データ!$K$2:$K$700)=0,"",LOOKUP(2,1/(人給データ!$B$2:$B$700=$A155),人給データ!$K$2:$K$700)),""))</f>
        <v/>
      </c>
      <c r="I155" s="12" t="n"/>
      <c r="J155">
        <f>IF($A155="","",IFERROR(IF(LOOKUP(2,1/(人給データ!$B$2:$B$700=$A155),人給データ!$N$2:$N$700)=0,"",LOOKUP(2,1/(人給データ!$B$2:$B$700=$A155),人給データ!$N$2:$N$700)),""))</f>
        <v/>
      </c>
      <c r="K155" s="13" t="n"/>
      <c r="L155" s="12" t="n"/>
      <c r="M155" s="12" t="n"/>
      <c r="N155" s="11" t="n"/>
      <c r="O155" s="11" t="n"/>
      <c r="P155" s="14">
        <f>IF(AND(M155&lt;&gt;"",O155=""),"保留中","")</f>
        <v/>
      </c>
      <c r="Q155" s="14">
        <f>IF(P155="保留中",COUNTIF(P$6:P155,"保留中"),"")</f>
        <v/>
      </c>
    </row>
    <row r="156">
      <c r="A156" s="12" t="n"/>
      <c r="B156">
        <f>IF($A156="","",IFERROR(IF(LOOKUP(2,1/(人給データ!$B$2:$B$700=$A156),人給データ!$C$2:$C$700)=0,"",LOOKUP(2,1/(人給データ!$B$2:$B$700=$A156),人給データ!$C$2:$C$700)),""))</f>
        <v/>
      </c>
      <c r="C156">
        <f>IF($A156="","",IFERROR(IF(LOOKUP(2,1/(人給データ!$B$2:$B$700=$A156),人給データ!$G$2:$G$700)=0,"",LOOKUP(2,1/(人給データ!$B$2:$B$700=$A156),人給データ!$G$2:$G$700)),""))</f>
        <v/>
      </c>
      <c r="D156">
        <f>IF($A156="","",IFERROR(IF(LOOKUP(2,1/(人給データ!$B$2:$B$700=$A156),人給データ!$Y$2:$Y$700)=0,"",LOOKUP(2,1/(人給データ!$B$2:$B$700=$A156),人給データ!$Y$2:$Y$700)),""))</f>
        <v/>
      </c>
      <c r="E156" s="20">
        <f>IF($A156="","",IFERROR(IF(LOOKUP(2,1/(人給データ!$B$2:$B$700=$A156),人給データ!$AB$2:$AB$700)=0,"",LOOKUP(2,1/(人給データ!$B$2:$B$700=$A156),人給データ!$AB$2:$AB$700)),""))</f>
        <v/>
      </c>
      <c r="F156" s="16">
        <f>IF(OR(E156="",NOT(ISNUMBER(E156))),"",DATE(YEAR(E156)+2,MONTH(E156),DAY(E156)-2))</f>
        <v/>
      </c>
      <c r="G156" s="20">
        <f>IF($A156="","",IFERROR(IF(LOOKUP(2,1/(人給データ!$B$2:$B$700=$A156),人給データ!$J$2:$J$700)=0,"",LOOKUP(2,1/(人給データ!$B$2:$B$700=$A156),人給データ!$J$2:$J$700)),""))</f>
        <v/>
      </c>
      <c r="H156" s="20">
        <f>IF($A156="","",IFERROR(IF(LOOKUP(2,1/(人給データ!$B$2:$B$700=$A156),人給データ!$K$2:$K$700)=0,"",LOOKUP(2,1/(人給データ!$B$2:$B$700=$A156),人給データ!$K$2:$K$700)),""))</f>
        <v/>
      </c>
      <c r="I156" s="12" t="n"/>
      <c r="J156">
        <f>IF($A156="","",IFERROR(IF(LOOKUP(2,1/(人給データ!$B$2:$B$700=$A156),人給データ!$N$2:$N$700)=0,"",LOOKUP(2,1/(人給データ!$B$2:$B$700=$A156),人給データ!$N$2:$N$700)),""))</f>
        <v/>
      </c>
      <c r="K156" s="13" t="n"/>
      <c r="L156" s="12" t="n"/>
      <c r="M156" s="12" t="n"/>
      <c r="N156" s="11" t="n"/>
      <c r="O156" s="11" t="n"/>
      <c r="P156" s="14">
        <f>IF(AND(M156&lt;&gt;"",O156=""),"保留中","")</f>
        <v/>
      </c>
      <c r="Q156" s="14">
        <f>IF(P156="保留中",COUNTIF(P$6:P156,"保留中"),"")</f>
        <v/>
      </c>
    </row>
    <row r="157">
      <c r="A157" s="12" t="n"/>
      <c r="B157">
        <f>IF($A157="","",IFERROR(IF(LOOKUP(2,1/(人給データ!$B$2:$B$700=$A157),人給データ!$C$2:$C$700)=0,"",LOOKUP(2,1/(人給データ!$B$2:$B$700=$A157),人給データ!$C$2:$C$700)),""))</f>
        <v/>
      </c>
      <c r="C157">
        <f>IF($A157="","",IFERROR(IF(LOOKUP(2,1/(人給データ!$B$2:$B$700=$A157),人給データ!$G$2:$G$700)=0,"",LOOKUP(2,1/(人給データ!$B$2:$B$700=$A157),人給データ!$G$2:$G$700)),""))</f>
        <v/>
      </c>
      <c r="D157">
        <f>IF($A157="","",IFERROR(IF(LOOKUP(2,1/(人給データ!$B$2:$B$700=$A157),人給データ!$Y$2:$Y$700)=0,"",LOOKUP(2,1/(人給データ!$B$2:$B$700=$A157),人給データ!$Y$2:$Y$700)),""))</f>
        <v/>
      </c>
      <c r="E157" s="20">
        <f>IF($A157="","",IFERROR(IF(LOOKUP(2,1/(人給データ!$B$2:$B$700=$A157),人給データ!$AB$2:$AB$700)=0,"",LOOKUP(2,1/(人給データ!$B$2:$B$700=$A157),人給データ!$AB$2:$AB$700)),""))</f>
        <v/>
      </c>
      <c r="F157" s="16">
        <f>IF(OR(E157="",NOT(ISNUMBER(E157))),"",DATE(YEAR(E157)+2,MONTH(E157),DAY(E157)-2))</f>
        <v/>
      </c>
      <c r="G157" s="20">
        <f>IF($A157="","",IFERROR(IF(LOOKUP(2,1/(人給データ!$B$2:$B$700=$A157),人給データ!$J$2:$J$700)=0,"",LOOKUP(2,1/(人給データ!$B$2:$B$700=$A157),人給データ!$J$2:$J$700)),""))</f>
        <v/>
      </c>
      <c r="H157" s="20">
        <f>IF($A157="","",IFERROR(IF(LOOKUP(2,1/(人給データ!$B$2:$B$700=$A157),人給データ!$K$2:$K$700)=0,"",LOOKUP(2,1/(人給データ!$B$2:$B$700=$A157),人給データ!$K$2:$K$700)),""))</f>
        <v/>
      </c>
      <c r="I157" s="12" t="n"/>
      <c r="J157">
        <f>IF($A157="","",IFERROR(IF(LOOKUP(2,1/(人給データ!$B$2:$B$700=$A157),人給データ!$N$2:$N$700)=0,"",LOOKUP(2,1/(人給データ!$B$2:$B$700=$A157),人給データ!$N$2:$N$700)),""))</f>
        <v/>
      </c>
      <c r="K157" s="13" t="n"/>
      <c r="L157" s="12" t="n"/>
      <c r="M157" s="12" t="n"/>
      <c r="N157" s="11" t="n"/>
      <c r="O157" s="11" t="n"/>
      <c r="P157" s="14">
        <f>IF(AND(M157&lt;&gt;"",O157=""),"保留中","")</f>
        <v/>
      </c>
      <c r="Q157" s="14">
        <f>IF(P157="保留中",COUNTIF(P$6:P157,"保留中"),"")</f>
        <v/>
      </c>
    </row>
    <row r="158">
      <c r="A158" s="12" t="n"/>
      <c r="B158">
        <f>IF($A158="","",IFERROR(IF(LOOKUP(2,1/(人給データ!$B$2:$B$700=$A158),人給データ!$C$2:$C$700)=0,"",LOOKUP(2,1/(人給データ!$B$2:$B$700=$A158),人給データ!$C$2:$C$700)),""))</f>
        <v/>
      </c>
      <c r="C158">
        <f>IF($A158="","",IFERROR(IF(LOOKUP(2,1/(人給データ!$B$2:$B$700=$A158),人給データ!$G$2:$G$700)=0,"",LOOKUP(2,1/(人給データ!$B$2:$B$700=$A158),人給データ!$G$2:$G$700)),""))</f>
        <v/>
      </c>
      <c r="D158">
        <f>IF($A158="","",IFERROR(IF(LOOKUP(2,1/(人給データ!$B$2:$B$700=$A158),人給データ!$Y$2:$Y$700)=0,"",LOOKUP(2,1/(人給データ!$B$2:$B$700=$A158),人給データ!$Y$2:$Y$700)),""))</f>
        <v/>
      </c>
      <c r="E158" s="20">
        <f>IF($A158="","",IFERROR(IF(LOOKUP(2,1/(人給データ!$B$2:$B$700=$A158),人給データ!$AB$2:$AB$700)=0,"",LOOKUP(2,1/(人給データ!$B$2:$B$700=$A158),人給データ!$AB$2:$AB$700)),""))</f>
        <v/>
      </c>
      <c r="F158" s="16">
        <f>IF(OR(E158="",NOT(ISNUMBER(E158))),"",DATE(YEAR(E158)+2,MONTH(E158),DAY(E158)-2))</f>
        <v/>
      </c>
      <c r="G158" s="20">
        <f>IF($A158="","",IFERROR(IF(LOOKUP(2,1/(人給データ!$B$2:$B$700=$A158),人給データ!$J$2:$J$700)=0,"",LOOKUP(2,1/(人給データ!$B$2:$B$700=$A158),人給データ!$J$2:$J$700)),""))</f>
        <v/>
      </c>
      <c r="H158" s="20">
        <f>IF($A158="","",IFERROR(IF(LOOKUP(2,1/(人給データ!$B$2:$B$700=$A158),人給データ!$K$2:$K$700)=0,"",LOOKUP(2,1/(人給データ!$B$2:$B$700=$A158),人給データ!$K$2:$K$700)),""))</f>
        <v/>
      </c>
      <c r="I158" s="12" t="n"/>
      <c r="J158">
        <f>IF($A158="","",IFERROR(IF(LOOKUP(2,1/(人給データ!$B$2:$B$700=$A158),人給データ!$N$2:$N$700)=0,"",LOOKUP(2,1/(人給データ!$B$2:$B$700=$A158),人給データ!$N$2:$N$700)),""))</f>
        <v/>
      </c>
      <c r="K158" s="13" t="n"/>
      <c r="L158" s="12" t="n"/>
      <c r="M158" s="12" t="n"/>
      <c r="N158" s="11" t="n"/>
      <c r="O158" s="11" t="n"/>
      <c r="P158" s="14">
        <f>IF(AND(M158&lt;&gt;"",O158=""),"保留中","")</f>
        <v/>
      </c>
      <c r="Q158" s="14">
        <f>IF(P158="保留中",COUNTIF(P$6:P158,"保留中"),"")</f>
        <v/>
      </c>
    </row>
    <row r="159">
      <c r="A159" s="12" t="n"/>
      <c r="B159">
        <f>IF($A159="","",IFERROR(IF(LOOKUP(2,1/(人給データ!$B$2:$B$700=$A159),人給データ!$C$2:$C$700)=0,"",LOOKUP(2,1/(人給データ!$B$2:$B$700=$A159),人給データ!$C$2:$C$700)),""))</f>
        <v/>
      </c>
      <c r="C159">
        <f>IF($A159="","",IFERROR(IF(LOOKUP(2,1/(人給データ!$B$2:$B$700=$A159),人給データ!$G$2:$G$700)=0,"",LOOKUP(2,1/(人給データ!$B$2:$B$700=$A159),人給データ!$G$2:$G$700)),""))</f>
        <v/>
      </c>
      <c r="D159">
        <f>IF($A159="","",IFERROR(IF(LOOKUP(2,1/(人給データ!$B$2:$B$700=$A159),人給データ!$Y$2:$Y$700)=0,"",LOOKUP(2,1/(人給データ!$B$2:$B$700=$A159),人給データ!$Y$2:$Y$700)),""))</f>
        <v/>
      </c>
      <c r="E159" s="20">
        <f>IF($A159="","",IFERROR(IF(LOOKUP(2,1/(人給データ!$B$2:$B$700=$A159),人給データ!$AB$2:$AB$700)=0,"",LOOKUP(2,1/(人給データ!$B$2:$B$700=$A159),人給データ!$AB$2:$AB$700)),""))</f>
        <v/>
      </c>
      <c r="F159" s="16">
        <f>IF(OR(E159="",NOT(ISNUMBER(E159))),"",DATE(YEAR(E159)+2,MONTH(E159),DAY(E159)-2))</f>
        <v/>
      </c>
      <c r="G159" s="20">
        <f>IF($A159="","",IFERROR(IF(LOOKUP(2,1/(人給データ!$B$2:$B$700=$A159),人給データ!$J$2:$J$700)=0,"",LOOKUP(2,1/(人給データ!$B$2:$B$700=$A159),人給データ!$J$2:$J$700)),""))</f>
        <v/>
      </c>
      <c r="H159" s="20">
        <f>IF($A159="","",IFERROR(IF(LOOKUP(2,1/(人給データ!$B$2:$B$700=$A159),人給データ!$K$2:$K$700)=0,"",LOOKUP(2,1/(人給データ!$B$2:$B$700=$A159),人給データ!$K$2:$K$700)),""))</f>
        <v/>
      </c>
      <c r="I159" s="12" t="n"/>
      <c r="J159">
        <f>IF($A159="","",IFERROR(IF(LOOKUP(2,1/(人給データ!$B$2:$B$700=$A159),人給データ!$N$2:$N$700)=0,"",LOOKUP(2,1/(人給データ!$B$2:$B$700=$A159),人給データ!$N$2:$N$700)),""))</f>
        <v/>
      </c>
      <c r="K159" s="13" t="n"/>
      <c r="L159" s="12" t="n"/>
      <c r="M159" s="12" t="n"/>
      <c r="N159" s="11" t="n"/>
      <c r="O159" s="11" t="n"/>
      <c r="P159" s="14">
        <f>IF(AND(M159&lt;&gt;"",O159=""),"保留中","")</f>
        <v/>
      </c>
      <c r="Q159" s="14">
        <f>IF(P159="保留中",COUNTIF(P$6:P159,"保留中"),"")</f>
        <v/>
      </c>
    </row>
    <row r="160">
      <c r="A160" s="12" t="n"/>
      <c r="B160">
        <f>IF($A160="","",IFERROR(IF(LOOKUP(2,1/(人給データ!$B$2:$B$700=$A160),人給データ!$C$2:$C$700)=0,"",LOOKUP(2,1/(人給データ!$B$2:$B$700=$A160),人給データ!$C$2:$C$700)),""))</f>
        <v/>
      </c>
      <c r="C160">
        <f>IF($A160="","",IFERROR(IF(LOOKUP(2,1/(人給データ!$B$2:$B$700=$A160),人給データ!$G$2:$G$700)=0,"",LOOKUP(2,1/(人給データ!$B$2:$B$700=$A160),人給データ!$G$2:$G$700)),""))</f>
        <v/>
      </c>
      <c r="D160">
        <f>IF($A160="","",IFERROR(IF(LOOKUP(2,1/(人給データ!$B$2:$B$700=$A160),人給データ!$Y$2:$Y$700)=0,"",LOOKUP(2,1/(人給データ!$B$2:$B$700=$A160),人給データ!$Y$2:$Y$700)),""))</f>
        <v/>
      </c>
      <c r="E160" s="20">
        <f>IF($A160="","",IFERROR(IF(LOOKUP(2,1/(人給データ!$B$2:$B$700=$A160),人給データ!$AB$2:$AB$700)=0,"",LOOKUP(2,1/(人給データ!$B$2:$B$700=$A160),人給データ!$AB$2:$AB$700)),""))</f>
        <v/>
      </c>
      <c r="F160" s="16">
        <f>IF(OR(E160="",NOT(ISNUMBER(E160))),"",DATE(YEAR(E160)+2,MONTH(E160),DAY(E160)-2))</f>
        <v/>
      </c>
      <c r="G160" s="20">
        <f>IF($A160="","",IFERROR(IF(LOOKUP(2,1/(人給データ!$B$2:$B$700=$A160),人給データ!$J$2:$J$700)=0,"",LOOKUP(2,1/(人給データ!$B$2:$B$700=$A160),人給データ!$J$2:$J$700)),""))</f>
        <v/>
      </c>
      <c r="H160" s="20">
        <f>IF($A160="","",IFERROR(IF(LOOKUP(2,1/(人給データ!$B$2:$B$700=$A160),人給データ!$K$2:$K$700)=0,"",LOOKUP(2,1/(人給データ!$B$2:$B$700=$A160),人給データ!$K$2:$K$700)),""))</f>
        <v/>
      </c>
      <c r="I160" s="12" t="n"/>
      <c r="J160">
        <f>IF($A160="","",IFERROR(IF(LOOKUP(2,1/(人給データ!$B$2:$B$700=$A160),人給データ!$N$2:$N$700)=0,"",LOOKUP(2,1/(人給データ!$B$2:$B$700=$A160),人給データ!$N$2:$N$700)),""))</f>
        <v/>
      </c>
      <c r="K160" s="13" t="n"/>
      <c r="L160" s="12" t="n"/>
      <c r="M160" s="12" t="n"/>
      <c r="N160" s="11" t="n"/>
      <c r="O160" s="11" t="n"/>
      <c r="P160" s="14">
        <f>IF(AND(M160&lt;&gt;"",O160=""),"保留中","")</f>
        <v/>
      </c>
      <c r="Q160" s="14">
        <f>IF(P160="保留中",COUNTIF(P$6:P160,"保留中"),"")</f>
        <v/>
      </c>
    </row>
    <row r="161">
      <c r="A161" s="12" t="n"/>
      <c r="B161">
        <f>IF($A161="","",IFERROR(IF(LOOKUP(2,1/(人給データ!$B$2:$B$700=$A161),人給データ!$C$2:$C$700)=0,"",LOOKUP(2,1/(人給データ!$B$2:$B$700=$A161),人給データ!$C$2:$C$700)),""))</f>
        <v/>
      </c>
      <c r="C161">
        <f>IF($A161="","",IFERROR(IF(LOOKUP(2,1/(人給データ!$B$2:$B$700=$A161),人給データ!$G$2:$G$700)=0,"",LOOKUP(2,1/(人給データ!$B$2:$B$700=$A161),人給データ!$G$2:$G$700)),""))</f>
        <v/>
      </c>
      <c r="D161">
        <f>IF($A161="","",IFERROR(IF(LOOKUP(2,1/(人給データ!$B$2:$B$700=$A161),人給データ!$Y$2:$Y$700)=0,"",LOOKUP(2,1/(人給データ!$B$2:$B$700=$A161),人給データ!$Y$2:$Y$700)),""))</f>
        <v/>
      </c>
      <c r="E161" s="20">
        <f>IF($A161="","",IFERROR(IF(LOOKUP(2,1/(人給データ!$B$2:$B$700=$A161),人給データ!$AB$2:$AB$700)=0,"",LOOKUP(2,1/(人給データ!$B$2:$B$700=$A161),人給データ!$AB$2:$AB$700)),""))</f>
        <v/>
      </c>
      <c r="F161" s="16">
        <f>IF(OR(E161="",NOT(ISNUMBER(E161))),"",DATE(YEAR(E161)+2,MONTH(E161),DAY(E161)-2))</f>
        <v/>
      </c>
      <c r="G161" s="20">
        <f>IF($A161="","",IFERROR(IF(LOOKUP(2,1/(人給データ!$B$2:$B$700=$A161),人給データ!$J$2:$J$700)=0,"",LOOKUP(2,1/(人給データ!$B$2:$B$700=$A161),人給データ!$J$2:$J$700)),""))</f>
        <v/>
      </c>
      <c r="H161" s="20">
        <f>IF($A161="","",IFERROR(IF(LOOKUP(2,1/(人給データ!$B$2:$B$700=$A161),人給データ!$K$2:$K$700)=0,"",LOOKUP(2,1/(人給データ!$B$2:$B$700=$A161),人給データ!$K$2:$K$700)),""))</f>
        <v/>
      </c>
      <c r="I161" s="12" t="n"/>
      <c r="J161">
        <f>IF($A161="","",IFERROR(IF(LOOKUP(2,1/(人給データ!$B$2:$B$700=$A161),人給データ!$N$2:$N$700)=0,"",LOOKUP(2,1/(人給データ!$B$2:$B$700=$A161),人給データ!$N$2:$N$700)),""))</f>
        <v/>
      </c>
      <c r="K161" s="13" t="n"/>
      <c r="L161" s="12" t="n"/>
      <c r="M161" s="12" t="n"/>
      <c r="N161" s="11" t="n"/>
      <c r="O161" s="11" t="n"/>
      <c r="P161" s="14">
        <f>IF(AND(M161&lt;&gt;"",O161=""),"保留中","")</f>
        <v/>
      </c>
      <c r="Q161" s="14">
        <f>IF(P161="保留中",COUNTIF(P$6:P161,"保留中"),"")</f>
        <v/>
      </c>
    </row>
    <row r="162">
      <c r="A162" s="12" t="n"/>
      <c r="B162">
        <f>IF($A162="","",IFERROR(IF(LOOKUP(2,1/(人給データ!$B$2:$B$700=$A162),人給データ!$C$2:$C$700)=0,"",LOOKUP(2,1/(人給データ!$B$2:$B$700=$A162),人給データ!$C$2:$C$700)),""))</f>
        <v/>
      </c>
      <c r="C162">
        <f>IF($A162="","",IFERROR(IF(LOOKUP(2,1/(人給データ!$B$2:$B$700=$A162),人給データ!$G$2:$G$700)=0,"",LOOKUP(2,1/(人給データ!$B$2:$B$700=$A162),人給データ!$G$2:$G$700)),""))</f>
        <v/>
      </c>
      <c r="D162">
        <f>IF($A162="","",IFERROR(IF(LOOKUP(2,1/(人給データ!$B$2:$B$700=$A162),人給データ!$Y$2:$Y$700)=0,"",LOOKUP(2,1/(人給データ!$B$2:$B$700=$A162),人給データ!$Y$2:$Y$700)),""))</f>
        <v/>
      </c>
      <c r="E162" s="20">
        <f>IF($A162="","",IFERROR(IF(LOOKUP(2,1/(人給データ!$B$2:$B$700=$A162),人給データ!$AB$2:$AB$700)=0,"",LOOKUP(2,1/(人給データ!$B$2:$B$700=$A162),人給データ!$AB$2:$AB$700)),""))</f>
        <v/>
      </c>
      <c r="F162" s="16">
        <f>IF(OR(E162="",NOT(ISNUMBER(E162))),"",DATE(YEAR(E162)+2,MONTH(E162),DAY(E162)-2))</f>
        <v/>
      </c>
      <c r="G162" s="20">
        <f>IF($A162="","",IFERROR(IF(LOOKUP(2,1/(人給データ!$B$2:$B$700=$A162),人給データ!$J$2:$J$700)=0,"",LOOKUP(2,1/(人給データ!$B$2:$B$700=$A162),人給データ!$J$2:$J$700)),""))</f>
        <v/>
      </c>
      <c r="H162" s="20">
        <f>IF($A162="","",IFERROR(IF(LOOKUP(2,1/(人給データ!$B$2:$B$700=$A162),人給データ!$K$2:$K$700)=0,"",LOOKUP(2,1/(人給データ!$B$2:$B$700=$A162),人給データ!$K$2:$K$700)),""))</f>
        <v/>
      </c>
      <c r="I162" s="12" t="n"/>
      <c r="J162">
        <f>IF($A162="","",IFERROR(IF(LOOKUP(2,1/(人給データ!$B$2:$B$700=$A162),人給データ!$N$2:$N$700)=0,"",LOOKUP(2,1/(人給データ!$B$2:$B$700=$A162),人給データ!$N$2:$N$700)),""))</f>
        <v/>
      </c>
      <c r="K162" s="13" t="n"/>
      <c r="L162" s="12" t="n"/>
      <c r="M162" s="12" t="n"/>
      <c r="N162" s="11" t="n"/>
      <c r="O162" s="11" t="n"/>
      <c r="P162" s="14">
        <f>IF(AND(M162&lt;&gt;"",O162=""),"保留中","")</f>
        <v/>
      </c>
      <c r="Q162" s="14">
        <f>IF(P162="保留中",COUNTIF(P$6:P162,"保留中"),"")</f>
        <v/>
      </c>
    </row>
    <row r="163">
      <c r="A163" s="12" t="n"/>
      <c r="B163">
        <f>IF($A163="","",IFERROR(IF(LOOKUP(2,1/(人給データ!$B$2:$B$700=$A163),人給データ!$C$2:$C$700)=0,"",LOOKUP(2,1/(人給データ!$B$2:$B$700=$A163),人給データ!$C$2:$C$700)),""))</f>
        <v/>
      </c>
      <c r="C163">
        <f>IF($A163="","",IFERROR(IF(LOOKUP(2,1/(人給データ!$B$2:$B$700=$A163),人給データ!$G$2:$G$700)=0,"",LOOKUP(2,1/(人給データ!$B$2:$B$700=$A163),人給データ!$G$2:$G$700)),""))</f>
        <v/>
      </c>
      <c r="D163">
        <f>IF($A163="","",IFERROR(IF(LOOKUP(2,1/(人給データ!$B$2:$B$700=$A163),人給データ!$Y$2:$Y$700)=0,"",LOOKUP(2,1/(人給データ!$B$2:$B$700=$A163),人給データ!$Y$2:$Y$700)),""))</f>
        <v/>
      </c>
      <c r="E163" s="20">
        <f>IF($A163="","",IFERROR(IF(LOOKUP(2,1/(人給データ!$B$2:$B$700=$A163),人給データ!$AB$2:$AB$700)=0,"",LOOKUP(2,1/(人給データ!$B$2:$B$700=$A163),人給データ!$AB$2:$AB$700)),""))</f>
        <v/>
      </c>
      <c r="F163" s="16">
        <f>IF(OR(E163="",NOT(ISNUMBER(E163))),"",DATE(YEAR(E163)+2,MONTH(E163),DAY(E163)-2))</f>
        <v/>
      </c>
      <c r="G163" s="20">
        <f>IF($A163="","",IFERROR(IF(LOOKUP(2,1/(人給データ!$B$2:$B$700=$A163),人給データ!$J$2:$J$700)=0,"",LOOKUP(2,1/(人給データ!$B$2:$B$700=$A163),人給データ!$J$2:$J$700)),""))</f>
        <v/>
      </c>
      <c r="H163" s="20">
        <f>IF($A163="","",IFERROR(IF(LOOKUP(2,1/(人給データ!$B$2:$B$700=$A163),人給データ!$K$2:$K$700)=0,"",LOOKUP(2,1/(人給データ!$B$2:$B$700=$A163),人給データ!$K$2:$K$700)),""))</f>
        <v/>
      </c>
      <c r="I163" s="12" t="n"/>
      <c r="J163">
        <f>IF($A163="","",IFERROR(IF(LOOKUP(2,1/(人給データ!$B$2:$B$700=$A163),人給データ!$N$2:$N$700)=0,"",LOOKUP(2,1/(人給データ!$B$2:$B$700=$A163),人給データ!$N$2:$N$700)),""))</f>
        <v/>
      </c>
      <c r="K163" s="13" t="n"/>
      <c r="L163" s="12" t="n"/>
      <c r="M163" s="12" t="n"/>
      <c r="N163" s="11" t="n"/>
      <c r="O163" s="11" t="n"/>
      <c r="P163" s="14">
        <f>IF(AND(M163&lt;&gt;"",O163=""),"保留中","")</f>
        <v/>
      </c>
      <c r="Q163" s="14">
        <f>IF(P163="保留中",COUNTIF(P$6:P163,"保留中"),"")</f>
        <v/>
      </c>
    </row>
    <row r="164">
      <c r="A164" s="12" t="n"/>
      <c r="B164">
        <f>IF($A164="","",IFERROR(IF(LOOKUP(2,1/(人給データ!$B$2:$B$700=$A164),人給データ!$C$2:$C$700)=0,"",LOOKUP(2,1/(人給データ!$B$2:$B$700=$A164),人給データ!$C$2:$C$700)),""))</f>
        <v/>
      </c>
      <c r="C164">
        <f>IF($A164="","",IFERROR(IF(LOOKUP(2,1/(人給データ!$B$2:$B$700=$A164),人給データ!$G$2:$G$700)=0,"",LOOKUP(2,1/(人給データ!$B$2:$B$700=$A164),人給データ!$G$2:$G$700)),""))</f>
        <v/>
      </c>
      <c r="D164">
        <f>IF($A164="","",IFERROR(IF(LOOKUP(2,1/(人給データ!$B$2:$B$700=$A164),人給データ!$Y$2:$Y$700)=0,"",LOOKUP(2,1/(人給データ!$B$2:$B$700=$A164),人給データ!$Y$2:$Y$700)),""))</f>
        <v/>
      </c>
      <c r="E164" s="20">
        <f>IF($A164="","",IFERROR(IF(LOOKUP(2,1/(人給データ!$B$2:$B$700=$A164),人給データ!$AB$2:$AB$700)=0,"",LOOKUP(2,1/(人給データ!$B$2:$B$700=$A164),人給データ!$AB$2:$AB$700)),""))</f>
        <v/>
      </c>
      <c r="F164" s="16">
        <f>IF(OR(E164="",NOT(ISNUMBER(E164))),"",DATE(YEAR(E164)+2,MONTH(E164),DAY(E164)-2))</f>
        <v/>
      </c>
      <c r="G164" s="20">
        <f>IF($A164="","",IFERROR(IF(LOOKUP(2,1/(人給データ!$B$2:$B$700=$A164),人給データ!$J$2:$J$700)=0,"",LOOKUP(2,1/(人給データ!$B$2:$B$700=$A164),人給データ!$J$2:$J$700)),""))</f>
        <v/>
      </c>
      <c r="H164" s="20">
        <f>IF($A164="","",IFERROR(IF(LOOKUP(2,1/(人給データ!$B$2:$B$700=$A164),人給データ!$K$2:$K$700)=0,"",LOOKUP(2,1/(人給データ!$B$2:$B$700=$A164),人給データ!$K$2:$K$700)),""))</f>
        <v/>
      </c>
      <c r="I164" s="12" t="n"/>
      <c r="J164">
        <f>IF($A164="","",IFERROR(IF(LOOKUP(2,1/(人給データ!$B$2:$B$700=$A164),人給データ!$N$2:$N$700)=0,"",LOOKUP(2,1/(人給データ!$B$2:$B$700=$A164),人給データ!$N$2:$N$700)),""))</f>
        <v/>
      </c>
      <c r="K164" s="13" t="n"/>
      <c r="L164" s="12" t="n"/>
      <c r="M164" s="12" t="n"/>
      <c r="N164" s="11" t="n"/>
      <c r="O164" s="11" t="n"/>
      <c r="P164" s="14">
        <f>IF(AND(M164&lt;&gt;"",O164=""),"保留中","")</f>
        <v/>
      </c>
      <c r="Q164" s="14">
        <f>IF(P164="保留中",COUNTIF(P$6:P164,"保留中"),"")</f>
        <v/>
      </c>
    </row>
    <row r="165">
      <c r="A165" s="12" t="n"/>
      <c r="B165">
        <f>IF($A165="","",IFERROR(IF(LOOKUP(2,1/(人給データ!$B$2:$B$700=$A165),人給データ!$C$2:$C$700)=0,"",LOOKUP(2,1/(人給データ!$B$2:$B$700=$A165),人給データ!$C$2:$C$700)),""))</f>
        <v/>
      </c>
      <c r="C165">
        <f>IF($A165="","",IFERROR(IF(LOOKUP(2,1/(人給データ!$B$2:$B$700=$A165),人給データ!$G$2:$G$700)=0,"",LOOKUP(2,1/(人給データ!$B$2:$B$700=$A165),人給データ!$G$2:$G$700)),""))</f>
        <v/>
      </c>
      <c r="D165">
        <f>IF($A165="","",IFERROR(IF(LOOKUP(2,1/(人給データ!$B$2:$B$700=$A165),人給データ!$Y$2:$Y$700)=0,"",LOOKUP(2,1/(人給データ!$B$2:$B$700=$A165),人給データ!$Y$2:$Y$700)),""))</f>
        <v/>
      </c>
      <c r="E165" s="20">
        <f>IF($A165="","",IFERROR(IF(LOOKUP(2,1/(人給データ!$B$2:$B$700=$A165),人給データ!$AB$2:$AB$700)=0,"",LOOKUP(2,1/(人給データ!$B$2:$B$700=$A165),人給データ!$AB$2:$AB$700)),""))</f>
        <v/>
      </c>
      <c r="F165" s="16">
        <f>IF(OR(E165="",NOT(ISNUMBER(E165))),"",DATE(YEAR(E165)+2,MONTH(E165),DAY(E165)-2))</f>
        <v/>
      </c>
      <c r="G165" s="20">
        <f>IF($A165="","",IFERROR(IF(LOOKUP(2,1/(人給データ!$B$2:$B$700=$A165),人給データ!$J$2:$J$700)=0,"",LOOKUP(2,1/(人給データ!$B$2:$B$700=$A165),人給データ!$J$2:$J$700)),""))</f>
        <v/>
      </c>
      <c r="H165" s="20">
        <f>IF($A165="","",IFERROR(IF(LOOKUP(2,1/(人給データ!$B$2:$B$700=$A165),人給データ!$K$2:$K$700)=0,"",LOOKUP(2,1/(人給データ!$B$2:$B$700=$A165),人給データ!$K$2:$K$700)),""))</f>
        <v/>
      </c>
      <c r="I165" s="12" t="n"/>
      <c r="J165">
        <f>IF($A165="","",IFERROR(IF(LOOKUP(2,1/(人給データ!$B$2:$B$700=$A165),人給データ!$N$2:$N$700)=0,"",LOOKUP(2,1/(人給データ!$B$2:$B$700=$A165),人給データ!$N$2:$N$700)),""))</f>
        <v/>
      </c>
      <c r="K165" s="13" t="n"/>
      <c r="L165" s="12" t="n"/>
      <c r="M165" s="12" t="n"/>
      <c r="N165" s="11" t="n"/>
      <c r="O165" s="11" t="n"/>
      <c r="P165" s="14">
        <f>IF(AND(M165&lt;&gt;"",O165=""),"保留中","")</f>
        <v/>
      </c>
      <c r="Q165" s="14">
        <f>IF(P165="保留中",COUNTIF(P$6:P165,"保留中"),"")</f>
        <v/>
      </c>
    </row>
    <row r="166">
      <c r="A166" s="12" t="n"/>
      <c r="B166">
        <f>IF($A166="","",IFERROR(IF(LOOKUP(2,1/(人給データ!$B$2:$B$700=$A166),人給データ!$C$2:$C$700)=0,"",LOOKUP(2,1/(人給データ!$B$2:$B$700=$A166),人給データ!$C$2:$C$700)),""))</f>
        <v/>
      </c>
      <c r="C166">
        <f>IF($A166="","",IFERROR(IF(LOOKUP(2,1/(人給データ!$B$2:$B$700=$A166),人給データ!$G$2:$G$700)=0,"",LOOKUP(2,1/(人給データ!$B$2:$B$700=$A166),人給データ!$G$2:$G$700)),""))</f>
        <v/>
      </c>
      <c r="D166">
        <f>IF($A166="","",IFERROR(IF(LOOKUP(2,1/(人給データ!$B$2:$B$700=$A166),人給データ!$Y$2:$Y$700)=0,"",LOOKUP(2,1/(人給データ!$B$2:$B$700=$A166),人給データ!$Y$2:$Y$700)),""))</f>
        <v/>
      </c>
      <c r="E166" s="20">
        <f>IF($A166="","",IFERROR(IF(LOOKUP(2,1/(人給データ!$B$2:$B$700=$A166),人給データ!$AB$2:$AB$700)=0,"",LOOKUP(2,1/(人給データ!$B$2:$B$700=$A166),人給データ!$AB$2:$AB$700)),""))</f>
        <v/>
      </c>
      <c r="F166" s="16">
        <f>IF(OR(E166="",NOT(ISNUMBER(E166))),"",DATE(YEAR(E166)+2,MONTH(E166),DAY(E166)-2))</f>
        <v/>
      </c>
      <c r="G166" s="20">
        <f>IF($A166="","",IFERROR(IF(LOOKUP(2,1/(人給データ!$B$2:$B$700=$A166),人給データ!$J$2:$J$700)=0,"",LOOKUP(2,1/(人給データ!$B$2:$B$700=$A166),人給データ!$J$2:$J$700)),""))</f>
        <v/>
      </c>
      <c r="H166" s="20">
        <f>IF($A166="","",IFERROR(IF(LOOKUP(2,1/(人給データ!$B$2:$B$700=$A166),人給データ!$K$2:$K$700)=0,"",LOOKUP(2,1/(人給データ!$B$2:$B$700=$A166),人給データ!$K$2:$K$700)),""))</f>
        <v/>
      </c>
      <c r="I166" s="12" t="n"/>
      <c r="J166">
        <f>IF($A166="","",IFERROR(IF(LOOKUP(2,1/(人給データ!$B$2:$B$700=$A166),人給データ!$N$2:$N$700)=0,"",LOOKUP(2,1/(人給データ!$B$2:$B$700=$A166),人給データ!$N$2:$N$700)),""))</f>
        <v/>
      </c>
      <c r="K166" s="13" t="n"/>
      <c r="L166" s="12" t="n"/>
      <c r="M166" s="12" t="n"/>
      <c r="N166" s="11" t="n"/>
      <c r="O166" s="11" t="n"/>
      <c r="P166" s="14">
        <f>IF(AND(M166&lt;&gt;"",O166=""),"保留中","")</f>
        <v/>
      </c>
      <c r="Q166" s="14">
        <f>IF(P166="保留中",COUNTIF(P$6:P166,"保留中"),"")</f>
        <v/>
      </c>
    </row>
    <row r="167">
      <c r="A167" s="12" t="n"/>
      <c r="B167">
        <f>IF($A167="","",IFERROR(IF(LOOKUP(2,1/(人給データ!$B$2:$B$700=$A167),人給データ!$C$2:$C$700)=0,"",LOOKUP(2,1/(人給データ!$B$2:$B$700=$A167),人給データ!$C$2:$C$700)),""))</f>
        <v/>
      </c>
      <c r="C167">
        <f>IF($A167="","",IFERROR(IF(LOOKUP(2,1/(人給データ!$B$2:$B$700=$A167),人給データ!$G$2:$G$700)=0,"",LOOKUP(2,1/(人給データ!$B$2:$B$700=$A167),人給データ!$G$2:$G$700)),""))</f>
        <v/>
      </c>
      <c r="D167">
        <f>IF($A167="","",IFERROR(IF(LOOKUP(2,1/(人給データ!$B$2:$B$700=$A167),人給データ!$Y$2:$Y$700)=0,"",LOOKUP(2,1/(人給データ!$B$2:$B$700=$A167),人給データ!$Y$2:$Y$700)),""))</f>
        <v/>
      </c>
      <c r="E167" s="20">
        <f>IF($A167="","",IFERROR(IF(LOOKUP(2,1/(人給データ!$B$2:$B$700=$A167),人給データ!$AB$2:$AB$700)=0,"",LOOKUP(2,1/(人給データ!$B$2:$B$700=$A167),人給データ!$AB$2:$AB$700)),""))</f>
        <v/>
      </c>
      <c r="F167" s="16">
        <f>IF(OR(E167="",NOT(ISNUMBER(E167))),"",DATE(YEAR(E167)+2,MONTH(E167),DAY(E167)-2))</f>
        <v/>
      </c>
      <c r="G167" s="20">
        <f>IF($A167="","",IFERROR(IF(LOOKUP(2,1/(人給データ!$B$2:$B$700=$A167),人給データ!$J$2:$J$700)=0,"",LOOKUP(2,1/(人給データ!$B$2:$B$700=$A167),人給データ!$J$2:$J$700)),""))</f>
        <v/>
      </c>
      <c r="H167" s="20">
        <f>IF($A167="","",IFERROR(IF(LOOKUP(2,1/(人給データ!$B$2:$B$700=$A167),人給データ!$K$2:$K$700)=0,"",LOOKUP(2,1/(人給データ!$B$2:$B$700=$A167),人給データ!$K$2:$K$700)),""))</f>
        <v/>
      </c>
      <c r="I167" s="12" t="n"/>
      <c r="J167">
        <f>IF($A167="","",IFERROR(IF(LOOKUP(2,1/(人給データ!$B$2:$B$700=$A167),人給データ!$N$2:$N$700)=0,"",LOOKUP(2,1/(人給データ!$B$2:$B$700=$A167),人給データ!$N$2:$N$700)),""))</f>
        <v/>
      </c>
      <c r="K167" s="13" t="n"/>
      <c r="L167" s="12" t="n"/>
      <c r="M167" s="12" t="n"/>
      <c r="N167" s="11" t="n"/>
      <c r="O167" s="11" t="n"/>
      <c r="P167" s="14">
        <f>IF(AND(M167&lt;&gt;"",O167=""),"保留中","")</f>
        <v/>
      </c>
      <c r="Q167" s="14">
        <f>IF(P167="保留中",COUNTIF(P$6:P167,"保留中"),"")</f>
        <v/>
      </c>
    </row>
    <row r="168">
      <c r="A168" s="12" t="n"/>
      <c r="B168">
        <f>IF($A168="","",IFERROR(IF(LOOKUP(2,1/(人給データ!$B$2:$B$700=$A168),人給データ!$C$2:$C$700)=0,"",LOOKUP(2,1/(人給データ!$B$2:$B$700=$A168),人給データ!$C$2:$C$700)),""))</f>
        <v/>
      </c>
      <c r="C168">
        <f>IF($A168="","",IFERROR(IF(LOOKUP(2,1/(人給データ!$B$2:$B$700=$A168),人給データ!$G$2:$G$700)=0,"",LOOKUP(2,1/(人給データ!$B$2:$B$700=$A168),人給データ!$G$2:$G$700)),""))</f>
        <v/>
      </c>
      <c r="D168">
        <f>IF($A168="","",IFERROR(IF(LOOKUP(2,1/(人給データ!$B$2:$B$700=$A168),人給データ!$Y$2:$Y$700)=0,"",LOOKUP(2,1/(人給データ!$B$2:$B$700=$A168),人給データ!$Y$2:$Y$700)),""))</f>
        <v/>
      </c>
      <c r="E168" s="20">
        <f>IF($A168="","",IFERROR(IF(LOOKUP(2,1/(人給データ!$B$2:$B$700=$A168),人給データ!$AB$2:$AB$700)=0,"",LOOKUP(2,1/(人給データ!$B$2:$B$700=$A168),人給データ!$AB$2:$AB$700)),""))</f>
        <v/>
      </c>
      <c r="F168" s="16">
        <f>IF(OR(E168="",NOT(ISNUMBER(E168))),"",DATE(YEAR(E168)+2,MONTH(E168),DAY(E168)-2))</f>
        <v/>
      </c>
      <c r="G168" s="20">
        <f>IF($A168="","",IFERROR(IF(LOOKUP(2,1/(人給データ!$B$2:$B$700=$A168),人給データ!$J$2:$J$700)=0,"",LOOKUP(2,1/(人給データ!$B$2:$B$700=$A168),人給データ!$J$2:$J$700)),""))</f>
        <v/>
      </c>
      <c r="H168" s="20">
        <f>IF($A168="","",IFERROR(IF(LOOKUP(2,1/(人給データ!$B$2:$B$700=$A168),人給データ!$K$2:$K$700)=0,"",LOOKUP(2,1/(人給データ!$B$2:$B$700=$A168),人給データ!$K$2:$K$700)),""))</f>
        <v/>
      </c>
      <c r="I168" s="12" t="n"/>
      <c r="J168">
        <f>IF($A168="","",IFERROR(IF(LOOKUP(2,1/(人給データ!$B$2:$B$700=$A168),人給データ!$N$2:$N$700)=0,"",LOOKUP(2,1/(人給データ!$B$2:$B$700=$A168),人給データ!$N$2:$N$700)),""))</f>
        <v/>
      </c>
      <c r="K168" s="13" t="n"/>
      <c r="L168" s="12" t="n"/>
      <c r="M168" s="12" t="n"/>
      <c r="N168" s="11" t="n"/>
      <c r="O168" s="11" t="n"/>
      <c r="P168" s="14">
        <f>IF(AND(M168&lt;&gt;"",O168=""),"保留中","")</f>
        <v/>
      </c>
      <c r="Q168" s="14">
        <f>IF(P168="保留中",COUNTIF(P$6:P168,"保留中"),"")</f>
        <v/>
      </c>
    </row>
    <row r="169">
      <c r="A169" s="12" t="n"/>
      <c r="B169">
        <f>IF($A169="","",IFERROR(IF(LOOKUP(2,1/(人給データ!$B$2:$B$700=$A169),人給データ!$C$2:$C$700)=0,"",LOOKUP(2,1/(人給データ!$B$2:$B$700=$A169),人給データ!$C$2:$C$700)),""))</f>
        <v/>
      </c>
      <c r="C169">
        <f>IF($A169="","",IFERROR(IF(LOOKUP(2,1/(人給データ!$B$2:$B$700=$A169),人給データ!$G$2:$G$700)=0,"",LOOKUP(2,1/(人給データ!$B$2:$B$700=$A169),人給データ!$G$2:$G$700)),""))</f>
        <v/>
      </c>
      <c r="D169">
        <f>IF($A169="","",IFERROR(IF(LOOKUP(2,1/(人給データ!$B$2:$B$700=$A169),人給データ!$Y$2:$Y$700)=0,"",LOOKUP(2,1/(人給データ!$B$2:$B$700=$A169),人給データ!$Y$2:$Y$700)),""))</f>
        <v/>
      </c>
      <c r="E169" s="20">
        <f>IF($A169="","",IFERROR(IF(LOOKUP(2,1/(人給データ!$B$2:$B$700=$A169),人給データ!$AB$2:$AB$700)=0,"",LOOKUP(2,1/(人給データ!$B$2:$B$700=$A169),人給データ!$AB$2:$AB$700)),""))</f>
        <v/>
      </c>
      <c r="F169" s="16">
        <f>IF(OR(E169="",NOT(ISNUMBER(E169))),"",DATE(YEAR(E169)+2,MONTH(E169),DAY(E169)-2))</f>
        <v/>
      </c>
      <c r="G169" s="20">
        <f>IF($A169="","",IFERROR(IF(LOOKUP(2,1/(人給データ!$B$2:$B$700=$A169),人給データ!$J$2:$J$700)=0,"",LOOKUP(2,1/(人給データ!$B$2:$B$700=$A169),人給データ!$J$2:$J$700)),""))</f>
        <v/>
      </c>
      <c r="H169" s="20">
        <f>IF($A169="","",IFERROR(IF(LOOKUP(2,1/(人給データ!$B$2:$B$700=$A169),人給データ!$K$2:$K$700)=0,"",LOOKUP(2,1/(人給データ!$B$2:$B$700=$A169),人給データ!$K$2:$K$700)),""))</f>
        <v/>
      </c>
      <c r="I169" s="12" t="n"/>
      <c r="J169">
        <f>IF($A169="","",IFERROR(IF(LOOKUP(2,1/(人給データ!$B$2:$B$700=$A169),人給データ!$N$2:$N$700)=0,"",LOOKUP(2,1/(人給データ!$B$2:$B$700=$A169),人給データ!$N$2:$N$700)),""))</f>
        <v/>
      </c>
      <c r="K169" s="13" t="n"/>
      <c r="L169" s="12" t="n"/>
      <c r="M169" s="12" t="n"/>
      <c r="N169" s="11" t="n"/>
      <c r="O169" s="11" t="n"/>
      <c r="P169" s="14">
        <f>IF(AND(M169&lt;&gt;"",O169=""),"保留中","")</f>
        <v/>
      </c>
      <c r="Q169" s="14">
        <f>IF(P169="保留中",COUNTIF(P$6:P169,"保留中"),"")</f>
        <v/>
      </c>
    </row>
    <row r="170">
      <c r="A170" s="12" t="n"/>
      <c r="B170">
        <f>IF($A170="","",IFERROR(IF(LOOKUP(2,1/(人給データ!$B$2:$B$700=$A170),人給データ!$C$2:$C$700)=0,"",LOOKUP(2,1/(人給データ!$B$2:$B$700=$A170),人給データ!$C$2:$C$700)),""))</f>
        <v/>
      </c>
      <c r="C170">
        <f>IF($A170="","",IFERROR(IF(LOOKUP(2,1/(人給データ!$B$2:$B$700=$A170),人給データ!$G$2:$G$700)=0,"",LOOKUP(2,1/(人給データ!$B$2:$B$700=$A170),人給データ!$G$2:$G$700)),""))</f>
        <v/>
      </c>
      <c r="D170">
        <f>IF($A170="","",IFERROR(IF(LOOKUP(2,1/(人給データ!$B$2:$B$700=$A170),人給データ!$Y$2:$Y$700)=0,"",LOOKUP(2,1/(人給データ!$B$2:$B$700=$A170),人給データ!$Y$2:$Y$700)),""))</f>
        <v/>
      </c>
      <c r="E170" s="20">
        <f>IF($A170="","",IFERROR(IF(LOOKUP(2,1/(人給データ!$B$2:$B$700=$A170),人給データ!$AB$2:$AB$700)=0,"",LOOKUP(2,1/(人給データ!$B$2:$B$700=$A170),人給データ!$AB$2:$AB$700)),""))</f>
        <v/>
      </c>
      <c r="F170" s="16">
        <f>IF(OR(E170="",NOT(ISNUMBER(E170))),"",DATE(YEAR(E170)+2,MONTH(E170),DAY(E170)-2))</f>
        <v/>
      </c>
      <c r="G170" s="20">
        <f>IF($A170="","",IFERROR(IF(LOOKUP(2,1/(人給データ!$B$2:$B$700=$A170),人給データ!$J$2:$J$700)=0,"",LOOKUP(2,1/(人給データ!$B$2:$B$700=$A170),人給データ!$J$2:$J$700)),""))</f>
        <v/>
      </c>
      <c r="H170" s="20">
        <f>IF($A170="","",IFERROR(IF(LOOKUP(2,1/(人給データ!$B$2:$B$700=$A170),人給データ!$K$2:$K$700)=0,"",LOOKUP(2,1/(人給データ!$B$2:$B$700=$A170),人給データ!$K$2:$K$700)),""))</f>
        <v/>
      </c>
      <c r="I170" s="12" t="n"/>
      <c r="J170">
        <f>IF($A170="","",IFERROR(IF(LOOKUP(2,1/(人給データ!$B$2:$B$700=$A170),人給データ!$N$2:$N$700)=0,"",LOOKUP(2,1/(人給データ!$B$2:$B$700=$A170),人給データ!$N$2:$N$700)),""))</f>
        <v/>
      </c>
      <c r="K170" s="13" t="n"/>
      <c r="L170" s="12" t="n"/>
      <c r="M170" s="12" t="n"/>
      <c r="N170" s="11" t="n"/>
      <c r="O170" s="11" t="n"/>
      <c r="P170" s="14">
        <f>IF(AND(M170&lt;&gt;"",O170=""),"保留中","")</f>
        <v/>
      </c>
      <c r="Q170" s="14">
        <f>IF(P170="保留中",COUNTIF(P$6:P170,"保留中"),"")</f>
        <v/>
      </c>
    </row>
    <row r="171">
      <c r="A171" s="12" t="n"/>
      <c r="B171">
        <f>IF($A171="","",IFERROR(IF(LOOKUP(2,1/(人給データ!$B$2:$B$700=$A171),人給データ!$C$2:$C$700)=0,"",LOOKUP(2,1/(人給データ!$B$2:$B$700=$A171),人給データ!$C$2:$C$700)),""))</f>
        <v/>
      </c>
      <c r="C171">
        <f>IF($A171="","",IFERROR(IF(LOOKUP(2,1/(人給データ!$B$2:$B$700=$A171),人給データ!$G$2:$G$700)=0,"",LOOKUP(2,1/(人給データ!$B$2:$B$700=$A171),人給データ!$G$2:$G$700)),""))</f>
        <v/>
      </c>
      <c r="D171">
        <f>IF($A171="","",IFERROR(IF(LOOKUP(2,1/(人給データ!$B$2:$B$700=$A171),人給データ!$Y$2:$Y$700)=0,"",LOOKUP(2,1/(人給データ!$B$2:$B$700=$A171),人給データ!$Y$2:$Y$700)),""))</f>
        <v/>
      </c>
      <c r="E171" s="20">
        <f>IF($A171="","",IFERROR(IF(LOOKUP(2,1/(人給データ!$B$2:$B$700=$A171),人給データ!$AB$2:$AB$700)=0,"",LOOKUP(2,1/(人給データ!$B$2:$B$700=$A171),人給データ!$AB$2:$AB$700)),""))</f>
        <v/>
      </c>
      <c r="F171" s="16">
        <f>IF(OR(E171="",NOT(ISNUMBER(E171))),"",DATE(YEAR(E171)+2,MONTH(E171),DAY(E171)-2))</f>
        <v/>
      </c>
      <c r="G171" s="20">
        <f>IF($A171="","",IFERROR(IF(LOOKUP(2,1/(人給データ!$B$2:$B$700=$A171),人給データ!$J$2:$J$700)=0,"",LOOKUP(2,1/(人給データ!$B$2:$B$700=$A171),人給データ!$J$2:$J$700)),""))</f>
        <v/>
      </c>
      <c r="H171" s="20">
        <f>IF($A171="","",IFERROR(IF(LOOKUP(2,1/(人給データ!$B$2:$B$700=$A171),人給データ!$K$2:$K$700)=0,"",LOOKUP(2,1/(人給データ!$B$2:$B$700=$A171),人給データ!$K$2:$K$700)),""))</f>
        <v/>
      </c>
      <c r="I171" s="12" t="n"/>
      <c r="J171">
        <f>IF($A171="","",IFERROR(IF(LOOKUP(2,1/(人給データ!$B$2:$B$700=$A171),人給データ!$N$2:$N$700)=0,"",LOOKUP(2,1/(人給データ!$B$2:$B$700=$A171),人給データ!$N$2:$N$700)),""))</f>
        <v/>
      </c>
      <c r="K171" s="13" t="n"/>
      <c r="L171" s="12" t="n"/>
      <c r="M171" s="12" t="n"/>
      <c r="N171" s="11" t="n"/>
      <c r="O171" s="11" t="n"/>
      <c r="P171" s="14">
        <f>IF(AND(M171&lt;&gt;"",O171=""),"保留中","")</f>
        <v/>
      </c>
      <c r="Q171" s="14">
        <f>IF(P171="保留中",COUNTIF(P$6:P171,"保留中"),"")</f>
        <v/>
      </c>
    </row>
    <row r="172">
      <c r="A172" s="12" t="n"/>
      <c r="B172">
        <f>IF($A172="","",IFERROR(IF(LOOKUP(2,1/(人給データ!$B$2:$B$700=$A172),人給データ!$C$2:$C$700)=0,"",LOOKUP(2,1/(人給データ!$B$2:$B$700=$A172),人給データ!$C$2:$C$700)),""))</f>
        <v/>
      </c>
      <c r="C172">
        <f>IF($A172="","",IFERROR(IF(LOOKUP(2,1/(人給データ!$B$2:$B$700=$A172),人給データ!$G$2:$G$700)=0,"",LOOKUP(2,1/(人給データ!$B$2:$B$700=$A172),人給データ!$G$2:$G$700)),""))</f>
        <v/>
      </c>
      <c r="D172">
        <f>IF($A172="","",IFERROR(IF(LOOKUP(2,1/(人給データ!$B$2:$B$700=$A172),人給データ!$Y$2:$Y$700)=0,"",LOOKUP(2,1/(人給データ!$B$2:$B$700=$A172),人給データ!$Y$2:$Y$700)),""))</f>
        <v/>
      </c>
      <c r="E172" s="20">
        <f>IF($A172="","",IFERROR(IF(LOOKUP(2,1/(人給データ!$B$2:$B$700=$A172),人給データ!$AB$2:$AB$700)=0,"",LOOKUP(2,1/(人給データ!$B$2:$B$700=$A172),人給データ!$AB$2:$AB$700)),""))</f>
        <v/>
      </c>
      <c r="F172" s="16">
        <f>IF(OR(E172="",NOT(ISNUMBER(E172))),"",DATE(YEAR(E172)+2,MONTH(E172),DAY(E172)-2))</f>
        <v/>
      </c>
      <c r="G172" s="20">
        <f>IF($A172="","",IFERROR(IF(LOOKUP(2,1/(人給データ!$B$2:$B$700=$A172),人給データ!$J$2:$J$700)=0,"",LOOKUP(2,1/(人給データ!$B$2:$B$700=$A172),人給データ!$J$2:$J$700)),""))</f>
        <v/>
      </c>
      <c r="H172" s="20">
        <f>IF($A172="","",IFERROR(IF(LOOKUP(2,1/(人給データ!$B$2:$B$700=$A172),人給データ!$K$2:$K$700)=0,"",LOOKUP(2,1/(人給データ!$B$2:$B$700=$A172),人給データ!$K$2:$K$700)),""))</f>
        <v/>
      </c>
      <c r="I172" s="12" t="n"/>
      <c r="J172">
        <f>IF($A172="","",IFERROR(IF(LOOKUP(2,1/(人給データ!$B$2:$B$700=$A172),人給データ!$N$2:$N$700)=0,"",LOOKUP(2,1/(人給データ!$B$2:$B$700=$A172),人給データ!$N$2:$N$700)),""))</f>
        <v/>
      </c>
      <c r="K172" s="13" t="n"/>
      <c r="L172" s="12" t="n"/>
      <c r="M172" s="12" t="n"/>
      <c r="N172" s="11" t="n"/>
      <c r="O172" s="11" t="n"/>
      <c r="P172" s="14">
        <f>IF(AND(M172&lt;&gt;"",O172=""),"保留中","")</f>
        <v/>
      </c>
      <c r="Q172" s="14">
        <f>IF(P172="保留中",COUNTIF(P$6:P172,"保留中"),"")</f>
        <v/>
      </c>
    </row>
    <row r="173">
      <c r="A173" s="12" t="n"/>
      <c r="B173">
        <f>IF($A173="","",IFERROR(IF(LOOKUP(2,1/(人給データ!$B$2:$B$700=$A173),人給データ!$C$2:$C$700)=0,"",LOOKUP(2,1/(人給データ!$B$2:$B$700=$A173),人給データ!$C$2:$C$700)),""))</f>
        <v/>
      </c>
      <c r="C173">
        <f>IF($A173="","",IFERROR(IF(LOOKUP(2,1/(人給データ!$B$2:$B$700=$A173),人給データ!$G$2:$G$700)=0,"",LOOKUP(2,1/(人給データ!$B$2:$B$700=$A173),人給データ!$G$2:$G$700)),""))</f>
        <v/>
      </c>
      <c r="D173">
        <f>IF($A173="","",IFERROR(IF(LOOKUP(2,1/(人給データ!$B$2:$B$700=$A173),人給データ!$Y$2:$Y$700)=0,"",LOOKUP(2,1/(人給データ!$B$2:$B$700=$A173),人給データ!$Y$2:$Y$700)),""))</f>
        <v/>
      </c>
      <c r="E173" s="20">
        <f>IF($A173="","",IFERROR(IF(LOOKUP(2,1/(人給データ!$B$2:$B$700=$A173),人給データ!$AB$2:$AB$700)=0,"",LOOKUP(2,1/(人給データ!$B$2:$B$700=$A173),人給データ!$AB$2:$AB$700)),""))</f>
        <v/>
      </c>
      <c r="F173" s="16">
        <f>IF(OR(E173="",NOT(ISNUMBER(E173))),"",DATE(YEAR(E173)+2,MONTH(E173),DAY(E173)-2))</f>
        <v/>
      </c>
      <c r="G173" s="20">
        <f>IF($A173="","",IFERROR(IF(LOOKUP(2,1/(人給データ!$B$2:$B$700=$A173),人給データ!$J$2:$J$700)=0,"",LOOKUP(2,1/(人給データ!$B$2:$B$700=$A173),人給データ!$J$2:$J$700)),""))</f>
        <v/>
      </c>
      <c r="H173" s="20">
        <f>IF($A173="","",IFERROR(IF(LOOKUP(2,1/(人給データ!$B$2:$B$700=$A173),人給データ!$K$2:$K$700)=0,"",LOOKUP(2,1/(人給データ!$B$2:$B$700=$A173),人給データ!$K$2:$K$700)),""))</f>
        <v/>
      </c>
      <c r="I173" s="12" t="n"/>
      <c r="J173">
        <f>IF($A173="","",IFERROR(IF(LOOKUP(2,1/(人給データ!$B$2:$B$700=$A173),人給データ!$N$2:$N$700)=0,"",LOOKUP(2,1/(人給データ!$B$2:$B$700=$A173),人給データ!$N$2:$N$700)),""))</f>
        <v/>
      </c>
      <c r="K173" s="13" t="n"/>
      <c r="L173" s="12" t="n"/>
      <c r="M173" s="12" t="n"/>
      <c r="N173" s="11" t="n"/>
      <c r="O173" s="11" t="n"/>
      <c r="P173" s="14">
        <f>IF(AND(M173&lt;&gt;"",O173=""),"保留中","")</f>
        <v/>
      </c>
      <c r="Q173" s="14">
        <f>IF(P173="保留中",COUNTIF(P$6:P173,"保留中"),"")</f>
        <v/>
      </c>
    </row>
    <row r="174">
      <c r="A174" s="12" t="n"/>
      <c r="B174">
        <f>IF($A174="","",IFERROR(IF(LOOKUP(2,1/(人給データ!$B$2:$B$700=$A174),人給データ!$C$2:$C$700)=0,"",LOOKUP(2,1/(人給データ!$B$2:$B$700=$A174),人給データ!$C$2:$C$700)),""))</f>
        <v/>
      </c>
      <c r="C174">
        <f>IF($A174="","",IFERROR(IF(LOOKUP(2,1/(人給データ!$B$2:$B$700=$A174),人給データ!$G$2:$G$700)=0,"",LOOKUP(2,1/(人給データ!$B$2:$B$700=$A174),人給データ!$G$2:$G$700)),""))</f>
        <v/>
      </c>
      <c r="D174">
        <f>IF($A174="","",IFERROR(IF(LOOKUP(2,1/(人給データ!$B$2:$B$700=$A174),人給データ!$Y$2:$Y$700)=0,"",LOOKUP(2,1/(人給データ!$B$2:$B$700=$A174),人給データ!$Y$2:$Y$700)),""))</f>
        <v/>
      </c>
      <c r="E174" s="20">
        <f>IF($A174="","",IFERROR(IF(LOOKUP(2,1/(人給データ!$B$2:$B$700=$A174),人給データ!$AB$2:$AB$700)=0,"",LOOKUP(2,1/(人給データ!$B$2:$B$700=$A174),人給データ!$AB$2:$AB$700)),""))</f>
        <v/>
      </c>
      <c r="F174" s="16">
        <f>IF(OR(E174="",NOT(ISNUMBER(E174))),"",DATE(YEAR(E174)+2,MONTH(E174),DAY(E174)-2))</f>
        <v/>
      </c>
      <c r="G174" s="20">
        <f>IF($A174="","",IFERROR(IF(LOOKUP(2,1/(人給データ!$B$2:$B$700=$A174),人給データ!$J$2:$J$700)=0,"",LOOKUP(2,1/(人給データ!$B$2:$B$700=$A174),人給データ!$J$2:$J$700)),""))</f>
        <v/>
      </c>
      <c r="H174" s="20">
        <f>IF($A174="","",IFERROR(IF(LOOKUP(2,1/(人給データ!$B$2:$B$700=$A174),人給データ!$K$2:$K$700)=0,"",LOOKUP(2,1/(人給データ!$B$2:$B$700=$A174),人給データ!$K$2:$K$700)),""))</f>
        <v/>
      </c>
      <c r="I174" s="12" t="n"/>
      <c r="J174">
        <f>IF($A174="","",IFERROR(IF(LOOKUP(2,1/(人給データ!$B$2:$B$700=$A174),人給データ!$N$2:$N$700)=0,"",LOOKUP(2,1/(人給データ!$B$2:$B$700=$A174),人給データ!$N$2:$N$700)),""))</f>
        <v/>
      </c>
      <c r="K174" s="13" t="n"/>
      <c r="L174" s="12" t="n"/>
      <c r="M174" s="12" t="n"/>
      <c r="N174" s="11" t="n"/>
      <c r="O174" s="11" t="n"/>
      <c r="P174" s="14">
        <f>IF(AND(M174&lt;&gt;"",O174=""),"保留中","")</f>
        <v/>
      </c>
      <c r="Q174" s="14">
        <f>IF(P174="保留中",COUNTIF(P$6:P174,"保留中"),"")</f>
        <v/>
      </c>
    </row>
    <row r="175">
      <c r="A175" s="12" t="n"/>
      <c r="B175">
        <f>IF($A175="","",IFERROR(IF(LOOKUP(2,1/(人給データ!$B$2:$B$700=$A175),人給データ!$C$2:$C$700)=0,"",LOOKUP(2,1/(人給データ!$B$2:$B$700=$A175),人給データ!$C$2:$C$700)),""))</f>
        <v/>
      </c>
      <c r="C175">
        <f>IF($A175="","",IFERROR(IF(LOOKUP(2,1/(人給データ!$B$2:$B$700=$A175),人給データ!$G$2:$G$700)=0,"",LOOKUP(2,1/(人給データ!$B$2:$B$700=$A175),人給データ!$G$2:$G$700)),""))</f>
        <v/>
      </c>
      <c r="D175">
        <f>IF($A175="","",IFERROR(IF(LOOKUP(2,1/(人給データ!$B$2:$B$700=$A175),人給データ!$Y$2:$Y$700)=0,"",LOOKUP(2,1/(人給データ!$B$2:$B$700=$A175),人給データ!$Y$2:$Y$700)),""))</f>
        <v/>
      </c>
      <c r="E175" s="20">
        <f>IF($A175="","",IFERROR(IF(LOOKUP(2,1/(人給データ!$B$2:$B$700=$A175),人給データ!$AB$2:$AB$700)=0,"",LOOKUP(2,1/(人給データ!$B$2:$B$700=$A175),人給データ!$AB$2:$AB$700)),""))</f>
        <v/>
      </c>
      <c r="F175" s="16">
        <f>IF(OR(E175="",NOT(ISNUMBER(E175))),"",DATE(YEAR(E175)+2,MONTH(E175),DAY(E175)-2))</f>
        <v/>
      </c>
      <c r="G175" s="20">
        <f>IF($A175="","",IFERROR(IF(LOOKUP(2,1/(人給データ!$B$2:$B$700=$A175),人給データ!$J$2:$J$700)=0,"",LOOKUP(2,1/(人給データ!$B$2:$B$700=$A175),人給データ!$J$2:$J$700)),""))</f>
        <v/>
      </c>
      <c r="H175" s="20">
        <f>IF($A175="","",IFERROR(IF(LOOKUP(2,1/(人給データ!$B$2:$B$700=$A175),人給データ!$K$2:$K$700)=0,"",LOOKUP(2,1/(人給データ!$B$2:$B$700=$A175),人給データ!$K$2:$K$700)),""))</f>
        <v/>
      </c>
      <c r="I175" s="12" t="n"/>
      <c r="J175">
        <f>IF($A175="","",IFERROR(IF(LOOKUP(2,1/(人給データ!$B$2:$B$700=$A175),人給データ!$N$2:$N$700)=0,"",LOOKUP(2,1/(人給データ!$B$2:$B$700=$A175),人給データ!$N$2:$N$700)),""))</f>
        <v/>
      </c>
      <c r="K175" s="13" t="n"/>
      <c r="L175" s="12" t="n"/>
      <c r="M175" s="12" t="n"/>
      <c r="N175" s="11" t="n"/>
      <c r="O175" s="11" t="n"/>
      <c r="P175" s="14">
        <f>IF(AND(M175&lt;&gt;"",O175=""),"保留中","")</f>
        <v/>
      </c>
      <c r="Q175" s="14">
        <f>IF(P175="保留中",COUNTIF(P$6:P175,"保留中"),"")</f>
        <v/>
      </c>
    </row>
    <row r="176">
      <c r="A176" s="12" t="n"/>
      <c r="B176">
        <f>IF($A176="","",IFERROR(IF(LOOKUP(2,1/(人給データ!$B$2:$B$700=$A176),人給データ!$C$2:$C$700)=0,"",LOOKUP(2,1/(人給データ!$B$2:$B$700=$A176),人給データ!$C$2:$C$700)),""))</f>
        <v/>
      </c>
      <c r="C176">
        <f>IF($A176="","",IFERROR(IF(LOOKUP(2,1/(人給データ!$B$2:$B$700=$A176),人給データ!$G$2:$G$700)=0,"",LOOKUP(2,1/(人給データ!$B$2:$B$700=$A176),人給データ!$G$2:$G$700)),""))</f>
        <v/>
      </c>
      <c r="D176">
        <f>IF($A176="","",IFERROR(IF(LOOKUP(2,1/(人給データ!$B$2:$B$700=$A176),人給データ!$Y$2:$Y$700)=0,"",LOOKUP(2,1/(人給データ!$B$2:$B$700=$A176),人給データ!$Y$2:$Y$700)),""))</f>
        <v/>
      </c>
      <c r="E176" s="20">
        <f>IF($A176="","",IFERROR(IF(LOOKUP(2,1/(人給データ!$B$2:$B$700=$A176),人給データ!$AB$2:$AB$700)=0,"",LOOKUP(2,1/(人給データ!$B$2:$B$700=$A176),人給データ!$AB$2:$AB$700)),""))</f>
        <v/>
      </c>
      <c r="F176" s="16">
        <f>IF(OR(E176="",NOT(ISNUMBER(E176))),"",DATE(YEAR(E176)+2,MONTH(E176),DAY(E176)-2))</f>
        <v/>
      </c>
      <c r="G176" s="20">
        <f>IF($A176="","",IFERROR(IF(LOOKUP(2,1/(人給データ!$B$2:$B$700=$A176),人給データ!$J$2:$J$700)=0,"",LOOKUP(2,1/(人給データ!$B$2:$B$700=$A176),人給データ!$J$2:$J$700)),""))</f>
        <v/>
      </c>
      <c r="H176" s="20">
        <f>IF($A176="","",IFERROR(IF(LOOKUP(2,1/(人給データ!$B$2:$B$700=$A176),人給データ!$K$2:$K$700)=0,"",LOOKUP(2,1/(人給データ!$B$2:$B$700=$A176),人給データ!$K$2:$K$700)),""))</f>
        <v/>
      </c>
      <c r="I176" s="12" t="n"/>
      <c r="J176">
        <f>IF($A176="","",IFERROR(IF(LOOKUP(2,1/(人給データ!$B$2:$B$700=$A176),人給データ!$N$2:$N$700)=0,"",LOOKUP(2,1/(人給データ!$B$2:$B$700=$A176),人給データ!$N$2:$N$700)),""))</f>
        <v/>
      </c>
      <c r="K176" s="13" t="n"/>
      <c r="L176" s="12" t="n"/>
      <c r="M176" s="12" t="n"/>
      <c r="N176" s="11" t="n"/>
      <c r="O176" s="11" t="n"/>
      <c r="P176" s="14">
        <f>IF(AND(M176&lt;&gt;"",O176=""),"保留中","")</f>
        <v/>
      </c>
      <c r="Q176" s="14">
        <f>IF(P176="保留中",COUNTIF(P$6:P176,"保留中"),"")</f>
        <v/>
      </c>
    </row>
    <row r="177">
      <c r="A177" s="12" t="n"/>
      <c r="B177">
        <f>IF($A177="","",IFERROR(IF(LOOKUP(2,1/(人給データ!$B$2:$B$700=$A177),人給データ!$C$2:$C$700)=0,"",LOOKUP(2,1/(人給データ!$B$2:$B$700=$A177),人給データ!$C$2:$C$700)),""))</f>
        <v/>
      </c>
      <c r="C177">
        <f>IF($A177="","",IFERROR(IF(LOOKUP(2,1/(人給データ!$B$2:$B$700=$A177),人給データ!$G$2:$G$700)=0,"",LOOKUP(2,1/(人給データ!$B$2:$B$700=$A177),人給データ!$G$2:$G$700)),""))</f>
        <v/>
      </c>
      <c r="D177">
        <f>IF($A177="","",IFERROR(IF(LOOKUP(2,1/(人給データ!$B$2:$B$700=$A177),人給データ!$Y$2:$Y$700)=0,"",LOOKUP(2,1/(人給データ!$B$2:$B$700=$A177),人給データ!$Y$2:$Y$700)),""))</f>
        <v/>
      </c>
      <c r="E177" s="20">
        <f>IF($A177="","",IFERROR(IF(LOOKUP(2,1/(人給データ!$B$2:$B$700=$A177),人給データ!$AB$2:$AB$700)=0,"",LOOKUP(2,1/(人給データ!$B$2:$B$700=$A177),人給データ!$AB$2:$AB$700)),""))</f>
        <v/>
      </c>
      <c r="F177" s="16">
        <f>IF(OR(E177="",NOT(ISNUMBER(E177))),"",DATE(YEAR(E177)+2,MONTH(E177),DAY(E177)-2))</f>
        <v/>
      </c>
      <c r="G177" s="20">
        <f>IF($A177="","",IFERROR(IF(LOOKUP(2,1/(人給データ!$B$2:$B$700=$A177),人給データ!$J$2:$J$700)=0,"",LOOKUP(2,1/(人給データ!$B$2:$B$700=$A177),人給データ!$J$2:$J$700)),""))</f>
        <v/>
      </c>
      <c r="H177" s="20">
        <f>IF($A177="","",IFERROR(IF(LOOKUP(2,1/(人給データ!$B$2:$B$700=$A177),人給データ!$K$2:$K$700)=0,"",LOOKUP(2,1/(人給データ!$B$2:$B$700=$A177),人給データ!$K$2:$K$700)),""))</f>
        <v/>
      </c>
      <c r="I177" s="12" t="n"/>
      <c r="J177">
        <f>IF($A177="","",IFERROR(IF(LOOKUP(2,1/(人給データ!$B$2:$B$700=$A177),人給データ!$N$2:$N$700)=0,"",LOOKUP(2,1/(人給データ!$B$2:$B$700=$A177),人給データ!$N$2:$N$700)),""))</f>
        <v/>
      </c>
      <c r="K177" s="13" t="n"/>
      <c r="L177" s="12" t="n"/>
      <c r="M177" s="12" t="n"/>
      <c r="N177" s="11" t="n"/>
      <c r="O177" s="11" t="n"/>
      <c r="P177" s="14">
        <f>IF(AND(M177&lt;&gt;"",O177=""),"保留中","")</f>
        <v/>
      </c>
      <c r="Q177" s="14">
        <f>IF(P177="保留中",COUNTIF(P$6:P177,"保留中"),"")</f>
        <v/>
      </c>
    </row>
    <row r="178">
      <c r="A178" s="12" t="n"/>
      <c r="B178">
        <f>IF($A178="","",IFERROR(IF(LOOKUP(2,1/(人給データ!$B$2:$B$700=$A178),人給データ!$C$2:$C$700)=0,"",LOOKUP(2,1/(人給データ!$B$2:$B$700=$A178),人給データ!$C$2:$C$700)),""))</f>
        <v/>
      </c>
      <c r="C178">
        <f>IF($A178="","",IFERROR(IF(LOOKUP(2,1/(人給データ!$B$2:$B$700=$A178),人給データ!$G$2:$G$700)=0,"",LOOKUP(2,1/(人給データ!$B$2:$B$700=$A178),人給データ!$G$2:$G$700)),""))</f>
        <v/>
      </c>
      <c r="D178">
        <f>IF($A178="","",IFERROR(IF(LOOKUP(2,1/(人給データ!$B$2:$B$700=$A178),人給データ!$Y$2:$Y$700)=0,"",LOOKUP(2,1/(人給データ!$B$2:$B$700=$A178),人給データ!$Y$2:$Y$700)),""))</f>
        <v/>
      </c>
      <c r="E178" s="20">
        <f>IF($A178="","",IFERROR(IF(LOOKUP(2,1/(人給データ!$B$2:$B$700=$A178),人給データ!$AB$2:$AB$700)=0,"",LOOKUP(2,1/(人給データ!$B$2:$B$700=$A178),人給データ!$AB$2:$AB$700)),""))</f>
        <v/>
      </c>
      <c r="F178" s="16">
        <f>IF(OR(E178="",NOT(ISNUMBER(E178))),"",DATE(YEAR(E178)+2,MONTH(E178),DAY(E178)-2))</f>
        <v/>
      </c>
      <c r="G178" s="20">
        <f>IF($A178="","",IFERROR(IF(LOOKUP(2,1/(人給データ!$B$2:$B$700=$A178),人給データ!$J$2:$J$700)=0,"",LOOKUP(2,1/(人給データ!$B$2:$B$700=$A178),人給データ!$J$2:$J$700)),""))</f>
        <v/>
      </c>
      <c r="H178" s="20">
        <f>IF($A178="","",IFERROR(IF(LOOKUP(2,1/(人給データ!$B$2:$B$700=$A178),人給データ!$K$2:$K$700)=0,"",LOOKUP(2,1/(人給データ!$B$2:$B$700=$A178),人給データ!$K$2:$K$700)),""))</f>
        <v/>
      </c>
      <c r="I178" s="12" t="n"/>
      <c r="J178">
        <f>IF($A178="","",IFERROR(IF(LOOKUP(2,1/(人給データ!$B$2:$B$700=$A178),人給データ!$N$2:$N$700)=0,"",LOOKUP(2,1/(人給データ!$B$2:$B$700=$A178),人給データ!$N$2:$N$700)),""))</f>
        <v/>
      </c>
      <c r="K178" s="13" t="n"/>
      <c r="L178" s="12" t="n"/>
      <c r="M178" s="12" t="n"/>
      <c r="N178" s="11" t="n"/>
      <c r="O178" s="11" t="n"/>
      <c r="P178" s="14">
        <f>IF(AND(M178&lt;&gt;"",O178=""),"保留中","")</f>
        <v/>
      </c>
      <c r="Q178" s="14">
        <f>IF(P178="保留中",COUNTIF(P$6:P178,"保留中"),"")</f>
        <v/>
      </c>
    </row>
    <row r="179">
      <c r="A179" s="12" t="n"/>
      <c r="B179">
        <f>IF($A179="","",IFERROR(IF(LOOKUP(2,1/(人給データ!$B$2:$B$700=$A179),人給データ!$C$2:$C$700)=0,"",LOOKUP(2,1/(人給データ!$B$2:$B$700=$A179),人給データ!$C$2:$C$700)),""))</f>
        <v/>
      </c>
      <c r="C179">
        <f>IF($A179="","",IFERROR(IF(LOOKUP(2,1/(人給データ!$B$2:$B$700=$A179),人給データ!$G$2:$G$700)=0,"",LOOKUP(2,1/(人給データ!$B$2:$B$700=$A179),人給データ!$G$2:$G$700)),""))</f>
        <v/>
      </c>
      <c r="D179">
        <f>IF($A179="","",IFERROR(IF(LOOKUP(2,1/(人給データ!$B$2:$B$700=$A179),人給データ!$Y$2:$Y$700)=0,"",LOOKUP(2,1/(人給データ!$B$2:$B$700=$A179),人給データ!$Y$2:$Y$700)),""))</f>
        <v/>
      </c>
      <c r="E179" s="20">
        <f>IF($A179="","",IFERROR(IF(LOOKUP(2,1/(人給データ!$B$2:$B$700=$A179),人給データ!$AB$2:$AB$700)=0,"",LOOKUP(2,1/(人給データ!$B$2:$B$700=$A179),人給データ!$AB$2:$AB$700)),""))</f>
        <v/>
      </c>
      <c r="F179" s="16">
        <f>IF(OR(E179="",NOT(ISNUMBER(E179))),"",DATE(YEAR(E179)+2,MONTH(E179),DAY(E179)-2))</f>
        <v/>
      </c>
      <c r="G179" s="20">
        <f>IF($A179="","",IFERROR(IF(LOOKUP(2,1/(人給データ!$B$2:$B$700=$A179),人給データ!$J$2:$J$700)=0,"",LOOKUP(2,1/(人給データ!$B$2:$B$700=$A179),人給データ!$J$2:$J$700)),""))</f>
        <v/>
      </c>
      <c r="H179" s="20">
        <f>IF($A179="","",IFERROR(IF(LOOKUP(2,1/(人給データ!$B$2:$B$700=$A179),人給データ!$K$2:$K$700)=0,"",LOOKUP(2,1/(人給データ!$B$2:$B$700=$A179),人給データ!$K$2:$K$700)),""))</f>
        <v/>
      </c>
      <c r="I179" s="12" t="n"/>
      <c r="J179">
        <f>IF($A179="","",IFERROR(IF(LOOKUP(2,1/(人給データ!$B$2:$B$700=$A179),人給データ!$N$2:$N$700)=0,"",LOOKUP(2,1/(人給データ!$B$2:$B$700=$A179),人給データ!$N$2:$N$700)),""))</f>
        <v/>
      </c>
      <c r="K179" s="13" t="n"/>
      <c r="L179" s="12" t="n"/>
      <c r="M179" s="12" t="n"/>
      <c r="N179" s="11" t="n"/>
      <c r="O179" s="11" t="n"/>
      <c r="P179" s="14">
        <f>IF(AND(M179&lt;&gt;"",O179=""),"保留中","")</f>
        <v/>
      </c>
      <c r="Q179" s="14">
        <f>IF(P179="保留中",COUNTIF(P$6:P179,"保留中"),"")</f>
        <v/>
      </c>
    </row>
    <row r="180">
      <c r="A180" s="12" t="n"/>
      <c r="B180">
        <f>IF($A180="","",IFERROR(IF(LOOKUP(2,1/(人給データ!$B$2:$B$700=$A180),人給データ!$C$2:$C$700)=0,"",LOOKUP(2,1/(人給データ!$B$2:$B$700=$A180),人給データ!$C$2:$C$700)),""))</f>
        <v/>
      </c>
      <c r="C180">
        <f>IF($A180="","",IFERROR(IF(LOOKUP(2,1/(人給データ!$B$2:$B$700=$A180),人給データ!$G$2:$G$700)=0,"",LOOKUP(2,1/(人給データ!$B$2:$B$700=$A180),人給データ!$G$2:$G$700)),""))</f>
        <v/>
      </c>
      <c r="D180">
        <f>IF($A180="","",IFERROR(IF(LOOKUP(2,1/(人給データ!$B$2:$B$700=$A180),人給データ!$Y$2:$Y$700)=0,"",LOOKUP(2,1/(人給データ!$B$2:$B$700=$A180),人給データ!$Y$2:$Y$700)),""))</f>
        <v/>
      </c>
      <c r="E180" s="20">
        <f>IF($A180="","",IFERROR(IF(LOOKUP(2,1/(人給データ!$B$2:$B$700=$A180),人給データ!$AB$2:$AB$700)=0,"",LOOKUP(2,1/(人給データ!$B$2:$B$700=$A180),人給データ!$AB$2:$AB$700)),""))</f>
        <v/>
      </c>
      <c r="F180" s="16">
        <f>IF(OR(E180="",NOT(ISNUMBER(E180))),"",DATE(YEAR(E180)+2,MONTH(E180),DAY(E180)-2))</f>
        <v/>
      </c>
      <c r="G180" s="20">
        <f>IF($A180="","",IFERROR(IF(LOOKUP(2,1/(人給データ!$B$2:$B$700=$A180),人給データ!$J$2:$J$700)=0,"",LOOKUP(2,1/(人給データ!$B$2:$B$700=$A180),人給データ!$J$2:$J$700)),""))</f>
        <v/>
      </c>
      <c r="H180" s="20">
        <f>IF($A180="","",IFERROR(IF(LOOKUP(2,1/(人給データ!$B$2:$B$700=$A180),人給データ!$K$2:$K$700)=0,"",LOOKUP(2,1/(人給データ!$B$2:$B$700=$A180),人給データ!$K$2:$K$700)),""))</f>
        <v/>
      </c>
      <c r="I180" s="12" t="n"/>
      <c r="J180">
        <f>IF($A180="","",IFERROR(IF(LOOKUP(2,1/(人給データ!$B$2:$B$700=$A180),人給データ!$N$2:$N$700)=0,"",LOOKUP(2,1/(人給データ!$B$2:$B$700=$A180),人給データ!$N$2:$N$700)),""))</f>
        <v/>
      </c>
      <c r="K180" s="13" t="n"/>
      <c r="L180" s="12" t="n"/>
      <c r="M180" s="12" t="n"/>
      <c r="N180" s="11" t="n"/>
      <c r="O180" s="11" t="n"/>
      <c r="P180" s="14">
        <f>IF(AND(M180&lt;&gt;"",O180=""),"保留中","")</f>
        <v/>
      </c>
      <c r="Q180" s="14">
        <f>IF(P180="保留中",COUNTIF(P$6:P180,"保留中"),"")</f>
        <v/>
      </c>
    </row>
    <row r="181">
      <c r="A181" s="12" t="n"/>
      <c r="B181">
        <f>IF($A181="","",IFERROR(IF(LOOKUP(2,1/(人給データ!$B$2:$B$700=$A181),人給データ!$C$2:$C$700)=0,"",LOOKUP(2,1/(人給データ!$B$2:$B$700=$A181),人給データ!$C$2:$C$700)),""))</f>
        <v/>
      </c>
      <c r="C181">
        <f>IF($A181="","",IFERROR(IF(LOOKUP(2,1/(人給データ!$B$2:$B$700=$A181),人給データ!$G$2:$G$700)=0,"",LOOKUP(2,1/(人給データ!$B$2:$B$700=$A181),人給データ!$G$2:$G$700)),""))</f>
        <v/>
      </c>
      <c r="D181">
        <f>IF($A181="","",IFERROR(IF(LOOKUP(2,1/(人給データ!$B$2:$B$700=$A181),人給データ!$Y$2:$Y$700)=0,"",LOOKUP(2,1/(人給データ!$B$2:$B$700=$A181),人給データ!$Y$2:$Y$700)),""))</f>
        <v/>
      </c>
      <c r="E181" s="20">
        <f>IF($A181="","",IFERROR(IF(LOOKUP(2,1/(人給データ!$B$2:$B$700=$A181),人給データ!$AB$2:$AB$700)=0,"",LOOKUP(2,1/(人給データ!$B$2:$B$700=$A181),人給データ!$AB$2:$AB$700)),""))</f>
        <v/>
      </c>
      <c r="F181" s="16">
        <f>IF(OR(E181="",NOT(ISNUMBER(E181))),"",DATE(YEAR(E181)+2,MONTH(E181),DAY(E181)-2))</f>
        <v/>
      </c>
      <c r="G181" s="20">
        <f>IF($A181="","",IFERROR(IF(LOOKUP(2,1/(人給データ!$B$2:$B$700=$A181),人給データ!$J$2:$J$700)=0,"",LOOKUP(2,1/(人給データ!$B$2:$B$700=$A181),人給データ!$J$2:$J$700)),""))</f>
        <v/>
      </c>
      <c r="H181" s="20">
        <f>IF($A181="","",IFERROR(IF(LOOKUP(2,1/(人給データ!$B$2:$B$700=$A181),人給データ!$K$2:$K$700)=0,"",LOOKUP(2,1/(人給データ!$B$2:$B$700=$A181),人給データ!$K$2:$K$700)),""))</f>
        <v/>
      </c>
      <c r="I181" s="12" t="n"/>
      <c r="J181">
        <f>IF($A181="","",IFERROR(IF(LOOKUP(2,1/(人給データ!$B$2:$B$700=$A181),人給データ!$N$2:$N$700)=0,"",LOOKUP(2,1/(人給データ!$B$2:$B$700=$A181),人給データ!$N$2:$N$700)),""))</f>
        <v/>
      </c>
      <c r="K181" s="13" t="n"/>
      <c r="L181" s="12" t="n"/>
      <c r="M181" s="12" t="n"/>
      <c r="N181" s="11" t="n"/>
      <c r="O181" s="11" t="n"/>
      <c r="P181" s="14">
        <f>IF(AND(M181&lt;&gt;"",O181=""),"保留中","")</f>
        <v/>
      </c>
      <c r="Q181" s="14">
        <f>IF(P181="保留中",COUNTIF(P$6:P181,"保留中"),"")</f>
        <v/>
      </c>
    </row>
    <row r="182">
      <c r="A182" s="12" t="n"/>
      <c r="B182">
        <f>IF($A182="","",IFERROR(IF(LOOKUP(2,1/(人給データ!$B$2:$B$700=$A182),人給データ!$C$2:$C$700)=0,"",LOOKUP(2,1/(人給データ!$B$2:$B$700=$A182),人給データ!$C$2:$C$700)),""))</f>
        <v/>
      </c>
      <c r="C182">
        <f>IF($A182="","",IFERROR(IF(LOOKUP(2,1/(人給データ!$B$2:$B$700=$A182),人給データ!$G$2:$G$700)=0,"",LOOKUP(2,1/(人給データ!$B$2:$B$700=$A182),人給データ!$G$2:$G$700)),""))</f>
        <v/>
      </c>
      <c r="D182">
        <f>IF($A182="","",IFERROR(IF(LOOKUP(2,1/(人給データ!$B$2:$B$700=$A182),人給データ!$Y$2:$Y$700)=0,"",LOOKUP(2,1/(人給データ!$B$2:$B$700=$A182),人給データ!$Y$2:$Y$700)),""))</f>
        <v/>
      </c>
      <c r="E182" s="20">
        <f>IF($A182="","",IFERROR(IF(LOOKUP(2,1/(人給データ!$B$2:$B$700=$A182),人給データ!$AB$2:$AB$700)=0,"",LOOKUP(2,1/(人給データ!$B$2:$B$700=$A182),人給データ!$AB$2:$AB$700)),""))</f>
        <v/>
      </c>
      <c r="F182" s="16">
        <f>IF(OR(E182="",NOT(ISNUMBER(E182))),"",DATE(YEAR(E182)+2,MONTH(E182),DAY(E182)-2))</f>
        <v/>
      </c>
      <c r="G182" s="20">
        <f>IF($A182="","",IFERROR(IF(LOOKUP(2,1/(人給データ!$B$2:$B$700=$A182),人給データ!$J$2:$J$700)=0,"",LOOKUP(2,1/(人給データ!$B$2:$B$700=$A182),人給データ!$J$2:$J$700)),""))</f>
        <v/>
      </c>
      <c r="H182" s="20">
        <f>IF($A182="","",IFERROR(IF(LOOKUP(2,1/(人給データ!$B$2:$B$700=$A182),人給データ!$K$2:$K$700)=0,"",LOOKUP(2,1/(人給データ!$B$2:$B$700=$A182),人給データ!$K$2:$K$700)),""))</f>
        <v/>
      </c>
      <c r="I182" s="12" t="n"/>
      <c r="J182">
        <f>IF($A182="","",IFERROR(IF(LOOKUP(2,1/(人給データ!$B$2:$B$700=$A182),人給データ!$N$2:$N$700)=0,"",LOOKUP(2,1/(人給データ!$B$2:$B$700=$A182),人給データ!$N$2:$N$700)),""))</f>
        <v/>
      </c>
      <c r="K182" s="13" t="n"/>
      <c r="L182" s="12" t="n"/>
      <c r="M182" s="12" t="n"/>
      <c r="N182" s="11" t="n"/>
      <c r="O182" s="11" t="n"/>
      <c r="P182" s="14">
        <f>IF(AND(M182&lt;&gt;"",O182=""),"保留中","")</f>
        <v/>
      </c>
      <c r="Q182" s="14">
        <f>IF(P182="保留中",COUNTIF(P$6:P182,"保留中"),"")</f>
        <v/>
      </c>
    </row>
    <row r="183">
      <c r="A183" s="12" t="n"/>
      <c r="B183">
        <f>IF($A183="","",IFERROR(IF(LOOKUP(2,1/(人給データ!$B$2:$B$700=$A183),人給データ!$C$2:$C$700)=0,"",LOOKUP(2,1/(人給データ!$B$2:$B$700=$A183),人給データ!$C$2:$C$700)),""))</f>
        <v/>
      </c>
      <c r="C183">
        <f>IF($A183="","",IFERROR(IF(LOOKUP(2,1/(人給データ!$B$2:$B$700=$A183),人給データ!$G$2:$G$700)=0,"",LOOKUP(2,1/(人給データ!$B$2:$B$700=$A183),人給データ!$G$2:$G$700)),""))</f>
        <v/>
      </c>
      <c r="D183">
        <f>IF($A183="","",IFERROR(IF(LOOKUP(2,1/(人給データ!$B$2:$B$700=$A183),人給データ!$Y$2:$Y$700)=0,"",LOOKUP(2,1/(人給データ!$B$2:$B$700=$A183),人給データ!$Y$2:$Y$700)),""))</f>
        <v/>
      </c>
      <c r="E183" s="20">
        <f>IF($A183="","",IFERROR(IF(LOOKUP(2,1/(人給データ!$B$2:$B$700=$A183),人給データ!$AB$2:$AB$700)=0,"",LOOKUP(2,1/(人給データ!$B$2:$B$700=$A183),人給データ!$AB$2:$AB$700)),""))</f>
        <v/>
      </c>
      <c r="F183" s="16">
        <f>IF(OR(E183="",NOT(ISNUMBER(E183))),"",DATE(YEAR(E183)+2,MONTH(E183),DAY(E183)-2))</f>
        <v/>
      </c>
      <c r="G183" s="20">
        <f>IF($A183="","",IFERROR(IF(LOOKUP(2,1/(人給データ!$B$2:$B$700=$A183),人給データ!$J$2:$J$700)=0,"",LOOKUP(2,1/(人給データ!$B$2:$B$700=$A183),人給データ!$J$2:$J$700)),""))</f>
        <v/>
      </c>
      <c r="H183" s="20">
        <f>IF($A183="","",IFERROR(IF(LOOKUP(2,1/(人給データ!$B$2:$B$700=$A183),人給データ!$K$2:$K$700)=0,"",LOOKUP(2,1/(人給データ!$B$2:$B$700=$A183),人給データ!$K$2:$K$700)),""))</f>
        <v/>
      </c>
      <c r="I183" s="12" t="n"/>
      <c r="J183">
        <f>IF($A183="","",IFERROR(IF(LOOKUP(2,1/(人給データ!$B$2:$B$700=$A183),人給データ!$N$2:$N$700)=0,"",LOOKUP(2,1/(人給データ!$B$2:$B$700=$A183),人給データ!$N$2:$N$700)),""))</f>
        <v/>
      </c>
      <c r="K183" s="13" t="n"/>
      <c r="L183" s="12" t="n"/>
      <c r="M183" s="12" t="n"/>
      <c r="N183" s="11" t="n"/>
      <c r="O183" s="11" t="n"/>
      <c r="P183" s="14">
        <f>IF(AND(M183&lt;&gt;"",O183=""),"保留中","")</f>
        <v/>
      </c>
      <c r="Q183" s="14">
        <f>IF(P183="保留中",COUNTIF(P$6:P183,"保留中"),"")</f>
        <v/>
      </c>
    </row>
    <row r="184">
      <c r="A184" s="12" t="n"/>
      <c r="B184">
        <f>IF($A184="","",IFERROR(IF(LOOKUP(2,1/(人給データ!$B$2:$B$700=$A184),人給データ!$C$2:$C$700)=0,"",LOOKUP(2,1/(人給データ!$B$2:$B$700=$A184),人給データ!$C$2:$C$700)),""))</f>
        <v/>
      </c>
      <c r="C184">
        <f>IF($A184="","",IFERROR(IF(LOOKUP(2,1/(人給データ!$B$2:$B$700=$A184),人給データ!$G$2:$G$700)=0,"",LOOKUP(2,1/(人給データ!$B$2:$B$700=$A184),人給データ!$G$2:$G$700)),""))</f>
        <v/>
      </c>
      <c r="D184">
        <f>IF($A184="","",IFERROR(IF(LOOKUP(2,1/(人給データ!$B$2:$B$700=$A184),人給データ!$Y$2:$Y$700)=0,"",LOOKUP(2,1/(人給データ!$B$2:$B$700=$A184),人給データ!$Y$2:$Y$700)),""))</f>
        <v/>
      </c>
      <c r="E184" s="20">
        <f>IF($A184="","",IFERROR(IF(LOOKUP(2,1/(人給データ!$B$2:$B$700=$A184),人給データ!$AB$2:$AB$700)=0,"",LOOKUP(2,1/(人給データ!$B$2:$B$700=$A184),人給データ!$AB$2:$AB$700)),""))</f>
        <v/>
      </c>
      <c r="F184" s="16">
        <f>IF(OR(E184="",NOT(ISNUMBER(E184))),"",DATE(YEAR(E184)+2,MONTH(E184),DAY(E184)-2))</f>
        <v/>
      </c>
      <c r="G184" s="20">
        <f>IF($A184="","",IFERROR(IF(LOOKUP(2,1/(人給データ!$B$2:$B$700=$A184),人給データ!$J$2:$J$700)=0,"",LOOKUP(2,1/(人給データ!$B$2:$B$700=$A184),人給データ!$J$2:$J$700)),""))</f>
        <v/>
      </c>
      <c r="H184" s="20">
        <f>IF($A184="","",IFERROR(IF(LOOKUP(2,1/(人給データ!$B$2:$B$700=$A184),人給データ!$K$2:$K$700)=0,"",LOOKUP(2,1/(人給データ!$B$2:$B$700=$A184),人給データ!$K$2:$K$700)),""))</f>
        <v/>
      </c>
      <c r="I184" s="12" t="n"/>
      <c r="J184">
        <f>IF($A184="","",IFERROR(IF(LOOKUP(2,1/(人給データ!$B$2:$B$700=$A184),人給データ!$N$2:$N$700)=0,"",LOOKUP(2,1/(人給データ!$B$2:$B$700=$A184),人給データ!$N$2:$N$700)),""))</f>
        <v/>
      </c>
      <c r="K184" s="13" t="n"/>
      <c r="L184" s="12" t="n"/>
      <c r="M184" s="12" t="n"/>
      <c r="N184" s="11" t="n"/>
      <c r="O184" s="11" t="n"/>
      <c r="P184" s="14">
        <f>IF(AND(M184&lt;&gt;"",O184=""),"保留中","")</f>
        <v/>
      </c>
      <c r="Q184" s="14">
        <f>IF(P184="保留中",COUNTIF(P$6:P184,"保留中"),"")</f>
        <v/>
      </c>
    </row>
    <row r="185">
      <c r="A185" s="12" t="n"/>
      <c r="B185">
        <f>IF($A185="","",IFERROR(IF(LOOKUP(2,1/(人給データ!$B$2:$B$700=$A185),人給データ!$C$2:$C$700)=0,"",LOOKUP(2,1/(人給データ!$B$2:$B$700=$A185),人給データ!$C$2:$C$700)),""))</f>
        <v/>
      </c>
      <c r="C185">
        <f>IF($A185="","",IFERROR(IF(LOOKUP(2,1/(人給データ!$B$2:$B$700=$A185),人給データ!$G$2:$G$700)=0,"",LOOKUP(2,1/(人給データ!$B$2:$B$700=$A185),人給データ!$G$2:$G$700)),""))</f>
        <v/>
      </c>
      <c r="D185">
        <f>IF($A185="","",IFERROR(IF(LOOKUP(2,1/(人給データ!$B$2:$B$700=$A185),人給データ!$Y$2:$Y$700)=0,"",LOOKUP(2,1/(人給データ!$B$2:$B$700=$A185),人給データ!$Y$2:$Y$700)),""))</f>
        <v/>
      </c>
      <c r="E185" s="20">
        <f>IF($A185="","",IFERROR(IF(LOOKUP(2,1/(人給データ!$B$2:$B$700=$A185),人給データ!$AB$2:$AB$700)=0,"",LOOKUP(2,1/(人給データ!$B$2:$B$700=$A185),人給データ!$AB$2:$AB$700)),""))</f>
        <v/>
      </c>
      <c r="F185" s="16">
        <f>IF(OR(E185="",NOT(ISNUMBER(E185))),"",DATE(YEAR(E185)+2,MONTH(E185),DAY(E185)-2))</f>
        <v/>
      </c>
      <c r="G185" s="20">
        <f>IF($A185="","",IFERROR(IF(LOOKUP(2,1/(人給データ!$B$2:$B$700=$A185),人給データ!$J$2:$J$700)=0,"",LOOKUP(2,1/(人給データ!$B$2:$B$700=$A185),人給データ!$J$2:$J$700)),""))</f>
        <v/>
      </c>
      <c r="H185" s="20">
        <f>IF($A185="","",IFERROR(IF(LOOKUP(2,1/(人給データ!$B$2:$B$700=$A185),人給データ!$K$2:$K$700)=0,"",LOOKUP(2,1/(人給データ!$B$2:$B$700=$A185),人給データ!$K$2:$K$700)),""))</f>
        <v/>
      </c>
      <c r="I185" s="12" t="n"/>
      <c r="J185">
        <f>IF($A185="","",IFERROR(IF(LOOKUP(2,1/(人給データ!$B$2:$B$700=$A185),人給データ!$N$2:$N$700)=0,"",LOOKUP(2,1/(人給データ!$B$2:$B$700=$A185),人給データ!$N$2:$N$700)),""))</f>
        <v/>
      </c>
      <c r="K185" s="13" t="n"/>
      <c r="L185" s="12" t="n"/>
      <c r="M185" s="12" t="n"/>
      <c r="N185" s="11" t="n"/>
      <c r="O185" s="11" t="n"/>
      <c r="P185" s="14">
        <f>IF(AND(M185&lt;&gt;"",O185=""),"保留中","")</f>
        <v/>
      </c>
      <c r="Q185" s="14">
        <f>IF(P185="保留中",COUNTIF(P$6:P185,"保留中"),"")</f>
        <v/>
      </c>
    </row>
    <row r="186">
      <c r="A186" s="12" t="n"/>
      <c r="B186">
        <f>IF($A186="","",IFERROR(IF(LOOKUP(2,1/(人給データ!$B$2:$B$700=$A186),人給データ!$C$2:$C$700)=0,"",LOOKUP(2,1/(人給データ!$B$2:$B$700=$A186),人給データ!$C$2:$C$700)),""))</f>
        <v/>
      </c>
      <c r="C186">
        <f>IF($A186="","",IFERROR(IF(LOOKUP(2,1/(人給データ!$B$2:$B$700=$A186),人給データ!$G$2:$G$700)=0,"",LOOKUP(2,1/(人給データ!$B$2:$B$700=$A186),人給データ!$G$2:$G$700)),""))</f>
        <v/>
      </c>
      <c r="D186">
        <f>IF($A186="","",IFERROR(IF(LOOKUP(2,1/(人給データ!$B$2:$B$700=$A186),人給データ!$Y$2:$Y$700)=0,"",LOOKUP(2,1/(人給データ!$B$2:$B$700=$A186),人給データ!$Y$2:$Y$700)),""))</f>
        <v/>
      </c>
      <c r="E186" s="20">
        <f>IF($A186="","",IFERROR(IF(LOOKUP(2,1/(人給データ!$B$2:$B$700=$A186),人給データ!$AB$2:$AB$700)=0,"",LOOKUP(2,1/(人給データ!$B$2:$B$700=$A186),人給データ!$AB$2:$AB$700)),""))</f>
        <v/>
      </c>
      <c r="F186" s="16">
        <f>IF(OR(E186="",NOT(ISNUMBER(E186))),"",DATE(YEAR(E186)+2,MONTH(E186),DAY(E186)-2))</f>
        <v/>
      </c>
      <c r="G186" s="20">
        <f>IF($A186="","",IFERROR(IF(LOOKUP(2,1/(人給データ!$B$2:$B$700=$A186),人給データ!$J$2:$J$700)=0,"",LOOKUP(2,1/(人給データ!$B$2:$B$700=$A186),人給データ!$J$2:$J$700)),""))</f>
        <v/>
      </c>
      <c r="H186" s="20">
        <f>IF($A186="","",IFERROR(IF(LOOKUP(2,1/(人給データ!$B$2:$B$700=$A186),人給データ!$K$2:$K$700)=0,"",LOOKUP(2,1/(人給データ!$B$2:$B$700=$A186),人給データ!$K$2:$K$700)),""))</f>
        <v/>
      </c>
      <c r="I186" s="12" t="n"/>
      <c r="J186">
        <f>IF($A186="","",IFERROR(IF(LOOKUP(2,1/(人給データ!$B$2:$B$700=$A186),人給データ!$N$2:$N$700)=0,"",LOOKUP(2,1/(人給データ!$B$2:$B$700=$A186),人給データ!$N$2:$N$700)),""))</f>
        <v/>
      </c>
      <c r="K186" s="13" t="n"/>
      <c r="L186" s="12" t="n"/>
      <c r="M186" s="12" t="n"/>
      <c r="N186" s="11" t="n"/>
      <c r="O186" s="11" t="n"/>
      <c r="P186" s="14">
        <f>IF(AND(M186&lt;&gt;"",O186=""),"保留中","")</f>
        <v/>
      </c>
      <c r="Q186" s="14">
        <f>IF(P186="保留中",COUNTIF(P$6:P186,"保留中"),"")</f>
        <v/>
      </c>
    </row>
    <row r="187">
      <c r="A187" s="12" t="n"/>
      <c r="B187">
        <f>IF($A187="","",IFERROR(IF(LOOKUP(2,1/(人給データ!$B$2:$B$700=$A187),人給データ!$C$2:$C$700)=0,"",LOOKUP(2,1/(人給データ!$B$2:$B$700=$A187),人給データ!$C$2:$C$700)),""))</f>
        <v/>
      </c>
      <c r="C187">
        <f>IF($A187="","",IFERROR(IF(LOOKUP(2,1/(人給データ!$B$2:$B$700=$A187),人給データ!$G$2:$G$700)=0,"",LOOKUP(2,1/(人給データ!$B$2:$B$700=$A187),人給データ!$G$2:$G$700)),""))</f>
        <v/>
      </c>
      <c r="D187">
        <f>IF($A187="","",IFERROR(IF(LOOKUP(2,1/(人給データ!$B$2:$B$700=$A187),人給データ!$Y$2:$Y$700)=0,"",LOOKUP(2,1/(人給データ!$B$2:$B$700=$A187),人給データ!$Y$2:$Y$700)),""))</f>
        <v/>
      </c>
      <c r="E187" s="20">
        <f>IF($A187="","",IFERROR(IF(LOOKUP(2,1/(人給データ!$B$2:$B$700=$A187),人給データ!$AB$2:$AB$700)=0,"",LOOKUP(2,1/(人給データ!$B$2:$B$700=$A187),人給データ!$AB$2:$AB$700)),""))</f>
        <v/>
      </c>
      <c r="F187" s="16">
        <f>IF(OR(E187="",NOT(ISNUMBER(E187))),"",DATE(YEAR(E187)+2,MONTH(E187),DAY(E187)-2))</f>
        <v/>
      </c>
      <c r="G187" s="20">
        <f>IF($A187="","",IFERROR(IF(LOOKUP(2,1/(人給データ!$B$2:$B$700=$A187),人給データ!$J$2:$J$700)=0,"",LOOKUP(2,1/(人給データ!$B$2:$B$700=$A187),人給データ!$J$2:$J$700)),""))</f>
        <v/>
      </c>
      <c r="H187" s="20">
        <f>IF($A187="","",IFERROR(IF(LOOKUP(2,1/(人給データ!$B$2:$B$700=$A187),人給データ!$K$2:$K$700)=0,"",LOOKUP(2,1/(人給データ!$B$2:$B$700=$A187),人給データ!$K$2:$K$700)),""))</f>
        <v/>
      </c>
      <c r="I187" s="12" t="n"/>
      <c r="J187">
        <f>IF($A187="","",IFERROR(IF(LOOKUP(2,1/(人給データ!$B$2:$B$700=$A187),人給データ!$N$2:$N$700)=0,"",LOOKUP(2,1/(人給データ!$B$2:$B$700=$A187),人給データ!$N$2:$N$700)),""))</f>
        <v/>
      </c>
      <c r="K187" s="13" t="n"/>
      <c r="L187" s="12" t="n"/>
      <c r="M187" s="12" t="n"/>
      <c r="N187" s="11" t="n"/>
      <c r="O187" s="11" t="n"/>
      <c r="P187" s="14">
        <f>IF(AND(M187&lt;&gt;"",O187=""),"保留中","")</f>
        <v/>
      </c>
      <c r="Q187" s="14">
        <f>IF(P187="保留中",COUNTIF(P$6:P187,"保留中"),"")</f>
        <v/>
      </c>
    </row>
    <row r="188">
      <c r="A188" s="12" t="n"/>
      <c r="B188">
        <f>IF($A188="","",IFERROR(IF(LOOKUP(2,1/(人給データ!$B$2:$B$700=$A188),人給データ!$C$2:$C$700)=0,"",LOOKUP(2,1/(人給データ!$B$2:$B$700=$A188),人給データ!$C$2:$C$700)),""))</f>
        <v/>
      </c>
      <c r="C188">
        <f>IF($A188="","",IFERROR(IF(LOOKUP(2,1/(人給データ!$B$2:$B$700=$A188),人給データ!$G$2:$G$700)=0,"",LOOKUP(2,1/(人給データ!$B$2:$B$700=$A188),人給データ!$G$2:$G$700)),""))</f>
        <v/>
      </c>
      <c r="D188">
        <f>IF($A188="","",IFERROR(IF(LOOKUP(2,1/(人給データ!$B$2:$B$700=$A188),人給データ!$Y$2:$Y$700)=0,"",LOOKUP(2,1/(人給データ!$B$2:$B$700=$A188),人給データ!$Y$2:$Y$700)),""))</f>
        <v/>
      </c>
      <c r="E188" s="20">
        <f>IF($A188="","",IFERROR(IF(LOOKUP(2,1/(人給データ!$B$2:$B$700=$A188),人給データ!$AB$2:$AB$700)=0,"",LOOKUP(2,1/(人給データ!$B$2:$B$700=$A188),人給データ!$AB$2:$AB$700)),""))</f>
        <v/>
      </c>
      <c r="F188" s="16">
        <f>IF(OR(E188="",NOT(ISNUMBER(E188))),"",DATE(YEAR(E188)+2,MONTH(E188),DAY(E188)-2))</f>
        <v/>
      </c>
      <c r="G188" s="20">
        <f>IF($A188="","",IFERROR(IF(LOOKUP(2,1/(人給データ!$B$2:$B$700=$A188),人給データ!$J$2:$J$700)=0,"",LOOKUP(2,1/(人給データ!$B$2:$B$700=$A188),人給データ!$J$2:$J$700)),""))</f>
        <v/>
      </c>
      <c r="H188" s="20">
        <f>IF($A188="","",IFERROR(IF(LOOKUP(2,1/(人給データ!$B$2:$B$700=$A188),人給データ!$K$2:$K$700)=0,"",LOOKUP(2,1/(人給データ!$B$2:$B$700=$A188),人給データ!$K$2:$K$700)),""))</f>
        <v/>
      </c>
      <c r="I188" s="12" t="n"/>
      <c r="J188">
        <f>IF($A188="","",IFERROR(IF(LOOKUP(2,1/(人給データ!$B$2:$B$700=$A188),人給データ!$N$2:$N$700)=0,"",LOOKUP(2,1/(人給データ!$B$2:$B$700=$A188),人給データ!$N$2:$N$700)),""))</f>
        <v/>
      </c>
      <c r="K188" s="13" t="n"/>
      <c r="L188" s="12" t="n"/>
      <c r="M188" s="12" t="n"/>
      <c r="N188" s="11" t="n"/>
      <c r="O188" s="11" t="n"/>
      <c r="P188" s="14">
        <f>IF(AND(M188&lt;&gt;"",O188=""),"保留中","")</f>
        <v/>
      </c>
      <c r="Q188" s="14">
        <f>IF(P188="保留中",COUNTIF(P$6:P188,"保留中"),"")</f>
        <v/>
      </c>
    </row>
    <row r="189">
      <c r="A189" s="12" t="n"/>
      <c r="B189">
        <f>IF($A189="","",IFERROR(IF(LOOKUP(2,1/(人給データ!$B$2:$B$700=$A189),人給データ!$C$2:$C$700)=0,"",LOOKUP(2,1/(人給データ!$B$2:$B$700=$A189),人給データ!$C$2:$C$700)),""))</f>
        <v/>
      </c>
      <c r="C189">
        <f>IF($A189="","",IFERROR(IF(LOOKUP(2,1/(人給データ!$B$2:$B$700=$A189),人給データ!$G$2:$G$700)=0,"",LOOKUP(2,1/(人給データ!$B$2:$B$700=$A189),人給データ!$G$2:$G$700)),""))</f>
        <v/>
      </c>
      <c r="D189">
        <f>IF($A189="","",IFERROR(IF(LOOKUP(2,1/(人給データ!$B$2:$B$700=$A189),人給データ!$Y$2:$Y$700)=0,"",LOOKUP(2,1/(人給データ!$B$2:$B$700=$A189),人給データ!$Y$2:$Y$700)),""))</f>
        <v/>
      </c>
      <c r="E189" s="20">
        <f>IF($A189="","",IFERROR(IF(LOOKUP(2,1/(人給データ!$B$2:$B$700=$A189),人給データ!$AB$2:$AB$700)=0,"",LOOKUP(2,1/(人給データ!$B$2:$B$700=$A189),人給データ!$AB$2:$AB$700)),""))</f>
        <v/>
      </c>
      <c r="F189" s="16">
        <f>IF(OR(E189="",NOT(ISNUMBER(E189))),"",DATE(YEAR(E189)+2,MONTH(E189),DAY(E189)-2))</f>
        <v/>
      </c>
      <c r="G189" s="20">
        <f>IF($A189="","",IFERROR(IF(LOOKUP(2,1/(人給データ!$B$2:$B$700=$A189),人給データ!$J$2:$J$700)=0,"",LOOKUP(2,1/(人給データ!$B$2:$B$700=$A189),人給データ!$J$2:$J$700)),""))</f>
        <v/>
      </c>
      <c r="H189" s="20">
        <f>IF($A189="","",IFERROR(IF(LOOKUP(2,1/(人給データ!$B$2:$B$700=$A189),人給データ!$K$2:$K$700)=0,"",LOOKUP(2,1/(人給データ!$B$2:$B$700=$A189),人給データ!$K$2:$K$700)),""))</f>
        <v/>
      </c>
      <c r="I189" s="12" t="n"/>
      <c r="J189">
        <f>IF($A189="","",IFERROR(IF(LOOKUP(2,1/(人給データ!$B$2:$B$700=$A189),人給データ!$N$2:$N$700)=0,"",LOOKUP(2,1/(人給データ!$B$2:$B$700=$A189),人給データ!$N$2:$N$700)),""))</f>
        <v/>
      </c>
      <c r="K189" s="13" t="n"/>
      <c r="L189" s="12" t="n"/>
      <c r="M189" s="12" t="n"/>
      <c r="N189" s="11" t="n"/>
      <c r="O189" s="11" t="n"/>
      <c r="P189" s="14">
        <f>IF(AND(M189&lt;&gt;"",O189=""),"保留中","")</f>
        <v/>
      </c>
      <c r="Q189" s="14">
        <f>IF(P189="保留中",COUNTIF(P$6:P189,"保留中"),"")</f>
        <v/>
      </c>
    </row>
    <row r="190">
      <c r="A190" s="12" t="n"/>
      <c r="B190">
        <f>IF($A190="","",IFERROR(IF(LOOKUP(2,1/(人給データ!$B$2:$B$700=$A190),人給データ!$C$2:$C$700)=0,"",LOOKUP(2,1/(人給データ!$B$2:$B$700=$A190),人給データ!$C$2:$C$700)),""))</f>
        <v/>
      </c>
      <c r="C190">
        <f>IF($A190="","",IFERROR(IF(LOOKUP(2,1/(人給データ!$B$2:$B$700=$A190),人給データ!$G$2:$G$700)=0,"",LOOKUP(2,1/(人給データ!$B$2:$B$700=$A190),人給データ!$G$2:$G$700)),""))</f>
        <v/>
      </c>
      <c r="D190">
        <f>IF($A190="","",IFERROR(IF(LOOKUP(2,1/(人給データ!$B$2:$B$700=$A190),人給データ!$Y$2:$Y$700)=0,"",LOOKUP(2,1/(人給データ!$B$2:$B$700=$A190),人給データ!$Y$2:$Y$700)),""))</f>
        <v/>
      </c>
      <c r="E190" s="20">
        <f>IF($A190="","",IFERROR(IF(LOOKUP(2,1/(人給データ!$B$2:$B$700=$A190),人給データ!$AB$2:$AB$700)=0,"",LOOKUP(2,1/(人給データ!$B$2:$B$700=$A190),人給データ!$AB$2:$AB$700)),""))</f>
        <v/>
      </c>
      <c r="F190" s="16">
        <f>IF(OR(E190="",NOT(ISNUMBER(E190))),"",DATE(YEAR(E190)+2,MONTH(E190),DAY(E190)-2))</f>
        <v/>
      </c>
      <c r="G190" s="20">
        <f>IF($A190="","",IFERROR(IF(LOOKUP(2,1/(人給データ!$B$2:$B$700=$A190),人給データ!$J$2:$J$700)=0,"",LOOKUP(2,1/(人給データ!$B$2:$B$700=$A190),人給データ!$J$2:$J$700)),""))</f>
        <v/>
      </c>
      <c r="H190" s="20">
        <f>IF($A190="","",IFERROR(IF(LOOKUP(2,1/(人給データ!$B$2:$B$700=$A190),人給データ!$K$2:$K$700)=0,"",LOOKUP(2,1/(人給データ!$B$2:$B$700=$A190),人給データ!$K$2:$K$700)),""))</f>
        <v/>
      </c>
      <c r="I190" s="12" t="n"/>
      <c r="J190">
        <f>IF($A190="","",IFERROR(IF(LOOKUP(2,1/(人給データ!$B$2:$B$700=$A190),人給データ!$N$2:$N$700)=0,"",LOOKUP(2,1/(人給データ!$B$2:$B$700=$A190),人給データ!$N$2:$N$700)),""))</f>
        <v/>
      </c>
      <c r="K190" s="13" t="n"/>
      <c r="L190" s="12" t="n"/>
      <c r="M190" s="12" t="n"/>
      <c r="N190" s="11" t="n"/>
      <c r="O190" s="11" t="n"/>
      <c r="P190" s="14">
        <f>IF(AND(M190&lt;&gt;"",O190=""),"保留中","")</f>
        <v/>
      </c>
      <c r="Q190" s="14">
        <f>IF(P190="保留中",COUNTIF(P$6:P190,"保留中"),"")</f>
        <v/>
      </c>
    </row>
    <row r="191">
      <c r="A191" s="12" t="n"/>
      <c r="B191">
        <f>IF($A191="","",IFERROR(IF(LOOKUP(2,1/(人給データ!$B$2:$B$700=$A191),人給データ!$C$2:$C$700)=0,"",LOOKUP(2,1/(人給データ!$B$2:$B$700=$A191),人給データ!$C$2:$C$700)),""))</f>
        <v/>
      </c>
      <c r="C191">
        <f>IF($A191="","",IFERROR(IF(LOOKUP(2,1/(人給データ!$B$2:$B$700=$A191),人給データ!$G$2:$G$700)=0,"",LOOKUP(2,1/(人給データ!$B$2:$B$700=$A191),人給データ!$G$2:$G$700)),""))</f>
        <v/>
      </c>
      <c r="D191">
        <f>IF($A191="","",IFERROR(IF(LOOKUP(2,1/(人給データ!$B$2:$B$700=$A191),人給データ!$Y$2:$Y$700)=0,"",LOOKUP(2,1/(人給データ!$B$2:$B$700=$A191),人給データ!$Y$2:$Y$700)),""))</f>
        <v/>
      </c>
      <c r="E191" s="20">
        <f>IF($A191="","",IFERROR(IF(LOOKUP(2,1/(人給データ!$B$2:$B$700=$A191),人給データ!$AB$2:$AB$700)=0,"",LOOKUP(2,1/(人給データ!$B$2:$B$700=$A191),人給データ!$AB$2:$AB$700)),""))</f>
        <v/>
      </c>
      <c r="F191" s="16">
        <f>IF(OR(E191="",NOT(ISNUMBER(E191))),"",DATE(YEAR(E191)+2,MONTH(E191),DAY(E191)-2))</f>
        <v/>
      </c>
      <c r="G191" s="20">
        <f>IF($A191="","",IFERROR(IF(LOOKUP(2,1/(人給データ!$B$2:$B$700=$A191),人給データ!$J$2:$J$700)=0,"",LOOKUP(2,1/(人給データ!$B$2:$B$700=$A191),人給データ!$J$2:$J$700)),""))</f>
        <v/>
      </c>
      <c r="H191" s="20">
        <f>IF($A191="","",IFERROR(IF(LOOKUP(2,1/(人給データ!$B$2:$B$700=$A191),人給データ!$K$2:$K$700)=0,"",LOOKUP(2,1/(人給データ!$B$2:$B$700=$A191),人給データ!$K$2:$K$700)),""))</f>
        <v/>
      </c>
      <c r="I191" s="12" t="n"/>
      <c r="J191">
        <f>IF($A191="","",IFERROR(IF(LOOKUP(2,1/(人給データ!$B$2:$B$700=$A191),人給データ!$N$2:$N$700)=0,"",LOOKUP(2,1/(人給データ!$B$2:$B$700=$A191),人給データ!$N$2:$N$700)),""))</f>
        <v/>
      </c>
      <c r="K191" s="13" t="n"/>
      <c r="L191" s="12" t="n"/>
      <c r="M191" s="12" t="n"/>
      <c r="N191" s="11" t="n"/>
      <c r="O191" s="11" t="n"/>
      <c r="P191" s="14">
        <f>IF(AND(M191&lt;&gt;"",O191=""),"保留中","")</f>
        <v/>
      </c>
      <c r="Q191" s="14">
        <f>IF(P191="保留中",COUNTIF(P$6:P191,"保留中"),"")</f>
        <v/>
      </c>
    </row>
    <row r="192">
      <c r="A192" s="12" t="n"/>
      <c r="B192">
        <f>IF($A192="","",IFERROR(IF(LOOKUP(2,1/(人給データ!$B$2:$B$700=$A192),人給データ!$C$2:$C$700)=0,"",LOOKUP(2,1/(人給データ!$B$2:$B$700=$A192),人給データ!$C$2:$C$700)),""))</f>
        <v/>
      </c>
      <c r="C192">
        <f>IF($A192="","",IFERROR(IF(LOOKUP(2,1/(人給データ!$B$2:$B$700=$A192),人給データ!$G$2:$G$700)=0,"",LOOKUP(2,1/(人給データ!$B$2:$B$700=$A192),人給データ!$G$2:$G$700)),""))</f>
        <v/>
      </c>
      <c r="D192">
        <f>IF($A192="","",IFERROR(IF(LOOKUP(2,1/(人給データ!$B$2:$B$700=$A192),人給データ!$Y$2:$Y$700)=0,"",LOOKUP(2,1/(人給データ!$B$2:$B$700=$A192),人給データ!$Y$2:$Y$700)),""))</f>
        <v/>
      </c>
      <c r="E192" s="20">
        <f>IF($A192="","",IFERROR(IF(LOOKUP(2,1/(人給データ!$B$2:$B$700=$A192),人給データ!$AB$2:$AB$700)=0,"",LOOKUP(2,1/(人給データ!$B$2:$B$700=$A192),人給データ!$AB$2:$AB$700)),""))</f>
        <v/>
      </c>
      <c r="F192" s="16">
        <f>IF(OR(E192="",NOT(ISNUMBER(E192))),"",DATE(YEAR(E192)+2,MONTH(E192),DAY(E192)-2))</f>
        <v/>
      </c>
      <c r="G192" s="20">
        <f>IF($A192="","",IFERROR(IF(LOOKUP(2,1/(人給データ!$B$2:$B$700=$A192),人給データ!$J$2:$J$700)=0,"",LOOKUP(2,1/(人給データ!$B$2:$B$700=$A192),人給データ!$J$2:$J$700)),""))</f>
        <v/>
      </c>
      <c r="H192" s="20">
        <f>IF($A192="","",IFERROR(IF(LOOKUP(2,1/(人給データ!$B$2:$B$700=$A192),人給データ!$K$2:$K$700)=0,"",LOOKUP(2,1/(人給データ!$B$2:$B$700=$A192),人給データ!$K$2:$K$700)),""))</f>
        <v/>
      </c>
      <c r="I192" s="12" t="n"/>
      <c r="J192">
        <f>IF($A192="","",IFERROR(IF(LOOKUP(2,1/(人給データ!$B$2:$B$700=$A192),人給データ!$N$2:$N$700)=0,"",LOOKUP(2,1/(人給データ!$B$2:$B$700=$A192),人給データ!$N$2:$N$700)),""))</f>
        <v/>
      </c>
      <c r="K192" s="13" t="n"/>
      <c r="L192" s="12" t="n"/>
      <c r="M192" s="12" t="n"/>
      <c r="N192" s="11" t="n"/>
      <c r="O192" s="11" t="n"/>
      <c r="P192" s="14">
        <f>IF(AND(M192&lt;&gt;"",O192=""),"保留中","")</f>
        <v/>
      </c>
      <c r="Q192" s="14">
        <f>IF(P192="保留中",COUNTIF(P$6:P192,"保留中"),"")</f>
        <v/>
      </c>
    </row>
    <row r="193">
      <c r="A193" s="12" t="n"/>
      <c r="B193">
        <f>IF($A193="","",IFERROR(IF(LOOKUP(2,1/(人給データ!$B$2:$B$700=$A193),人給データ!$C$2:$C$700)=0,"",LOOKUP(2,1/(人給データ!$B$2:$B$700=$A193),人給データ!$C$2:$C$700)),""))</f>
        <v/>
      </c>
      <c r="C193">
        <f>IF($A193="","",IFERROR(IF(LOOKUP(2,1/(人給データ!$B$2:$B$700=$A193),人給データ!$G$2:$G$700)=0,"",LOOKUP(2,1/(人給データ!$B$2:$B$700=$A193),人給データ!$G$2:$G$700)),""))</f>
        <v/>
      </c>
      <c r="D193">
        <f>IF($A193="","",IFERROR(IF(LOOKUP(2,1/(人給データ!$B$2:$B$700=$A193),人給データ!$Y$2:$Y$700)=0,"",LOOKUP(2,1/(人給データ!$B$2:$B$700=$A193),人給データ!$Y$2:$Y$700)),""))</f>
        <v/>
      </c>
      <c r="E193" s="20">
        <f>IF($A193="","",IFERROR(IF(LOOKUP(2,1/(人給データ!$B$2:$B$700=$A193),人給データ!$AB$2:$AB$700)=0,"",LOOKUP(2,1/(人給データ!$B$2:$B$700=$A193),人給データ!$AB$2:$AB$700)),""))</f>
        <v/>
      </c>
      <c r="F193" s="16">
        <f>IF(OR(E193="",NOT(ISNUMBER(E193))),"",DATE(YEAR(E193)+2,MONTH(E193),DAY(E193)-2))</f>
        <v/>
      </c>
      <c r="G193" s="20">
        <f>IF($A193="","",IFERROR(IF(LOOKUP(2,1/(人給データ!$B$2:$B$700=$A193),人給データ!$J$2:$J$700)=0,"",LOOKUP(2,1/(人給データ!$B$2:$B$700=$A193),人給データ!$J$2:$J$700)),""))</f>
        <v/>
      </c>
      <c r="H193" s="20">
        <f>IF($A193="","",IFERROR(IF(LOOKUP(2,1/(人給データ!$B$2:$B$700=$A193),人給データ!$K$2:$K$700)=0,"",LOOKUP(2,1/(人給データ!$B$2:$B$700=$A193),人給データ!$K$2:$K$700)),""))</f>
        <v/>
      </c>
      <c r="I193" s="12" t="n"/>
      <c r="J193">
        <f>IF($A193="","",IFERROR(IF(LOOKUP(2,1/(人給データ!$B$2:$B$700=$A193),人給データ!$N$2:$N$700)=0,"",LOOKUP(2,1/(人給データ!$B$2:$B$700=$A193),人給データ!$N$2:$N$700)),""))</f>
        <v/>
      </c>
      <c r="K193" s="13" t="n"/>
      <c r="L193" s="12" t="n"/>
      <c r="M193" s="12" t="n"/>
      <c r="N193" s="11" t="n"/>
      <c r="O193" s="11" t="n"/>
      <c r="P193" s="14">
        <f>IF(AND(M193&lt;&gt;"",O193=""),"保留中","")</f>
        <v/>
      </c>
      <c r="Q193" s="14">
        <f>IF(P193="保留中",COUNTIF(P$6:P193,"保留中"),"")</f>
        <v/>
      </c>
    </row>
    <row r="194">
      <c r="A194" s="12" t="n"/>
      <c r="B194">
        <f>IF($A194="","",IFERROR(IF(LOOKUP(2,1/(人給データ!$B$2:$B$700=$A194),人給データ!$C$2:$C$700)=0,"",LOOKUP(2,1/(人給データ!$B$2:$B$700=$A194),人給データ!$C$2:$C$700)),""))</f>
        <v/>
      </c>
      <c r="C194">
        <f>IF($A194="","",IFERROR(IF(LOOKUP(2,1/(人給データ!$B$2:$B$700=$A194),人給データ!$G$2:$G$700)=0,"",LOOKUP(2,1/(人給データ!$B$2:$B$700=$A194),人給データ!$G$2:$G$700)),""))</f>
        <v/>
      </c>
      <c r="D194">
        <f>IF($A194="","",IFERROR(IF(LOOKUP(2,1/(人給データ!$B$2:$B$700=$A194),人給データ!$Y$2:$Y$700)=0,"",LOOKUP(2,1/(人給データ!$B$2:$B$700=$A194),人給データ!$Y$2:$Y$700)),""))</f>
        <v/>
      </c>
      <c r="E194" s="20">
        <f>IF($A194="","",IFERROR(IF(LOOKUP(2,1/(人給データ!$B$2:$B$700=$A194),人給データ!$AB$2:$AB$700)=0,"",LOOKUP(2,1/(人給データ!$B$2:$B$700=$A194),人給データ!$AB$2:$AB$700)),""))</f>
        <v/>
      </c>
      <c r="F194" s="16">
        <f>IF(OR(E194="",NOT(ISNUMBER(E194))),"",DATE(YEAR(E194)+2,MONTH(E194),DAY(E194)-2))</f>
        <v/>
      </c>
      <c r="G194" s="20">
        <f>IF($A194="","",IFERROR(IF(LOOKUP(2,1/(人給データ!$B$2:$B$700=$A194),人給データ!$J$2:$J$700)=0,"",LOOKUP(2,1/(人給データ!$B$2:$B$700=$A194),人給データ!$J$2:$J$700)),""))</f>
        <v/>
      </c>
      <c r="H194" s="20">
        <f>IF($A194="","",IFERROR(IF(LOOKUP(2,1/(人給データ!$B$2:$B$700=$A194),人給データ!$K$2:$K$700)=0,"",LOOKUP(2,1/(人給データ!$B$2:$B$700=$A194),人給データ!$K$2:$K$700)),""))</f>
        <v/>
      </c>
      <c r="I194" s="12" t="n"/>
      <c r="J194">
        <f>IF($A194="","",IFERROR(IF(LOOKUP(2,1/(人給データ!$B$2:$B$700=$A194),人給データ!$N$2:$N$700)=0,"",LOOKUP(2,1/(人給データ!$B$2:$B$700=$A194),人給データ!$N$2:$N$700)),""))</f>
        <v/>
      </c>
      <c r="K194" s="13" t="n"/>
      <c r="L194" s="12" t="n"/>
      <c r="M194" s="12" t="n"/>
      <c r="N194" s="11" t="n"/>
      <c r="O194" s="11" t="n"/>
      <c r="P194" s="14">
        <f>IF(AND(M194&lt;&gt;"",O194=""),"保留中","")</f>
        <v/>
      </c>
      <c r="Q194" s="14">
        <f>IF(P194="保留中",COUNTIF(P$6:P194,"保留中"),"")</f>
        <v/>
      </c>
    </row>
    <row r="195">
      <c r="A195" s="12" t="n"/>
      <c r="B195">
        <f>IF($A195="","",IFERROR(IF(LOOKUP(2,1/(人給データ!$B$2:$B$700=$A195),人給データ!$C$2:$C$700)=0,"",LOOKUP(2,1/(人給データ!$B$2:$B$700=$A195),人給データ!$C$2:$C$700)),""))</f>
        <v/>
      </c>
      <c r="C195">
        <f>IF($A195="","",IFERROR(IF(LOOKUP(2,1/(人給データ!$B$2:$B$700=$A195),人給データ!$G$2:$G$700)=0,"",LOOKUP(2,1/(人給データ!$B$2:$B$700=$A195),人給データ!$G$2:$G$700)),""))</f>
        <v/>
      </c>
      <c r="D195">
        <f>IF($A195="","",IFERROR(IF(LOOKUP(2,1/(人給データ!$B$2:$B$700=$A195),人給データ!$Y$2:$Y$700)=0,"",LOOKUP(2,1/(人給データ!$B$2:$B$700=$A195),人給データ!$Y$2:$Y$700)),""))</f>
        <v/>
      </c>
      <c r="E195" s="20">
        <f>IF($A195="","",IFERROR(IF(LOOKUP(2,1/(人給データ!$B$2:$B$700=$A195),人給データ!$AB$2:$AB$700)=0,"",LOOKUP(2,1/(人給データ!$B$2:$B$700=$A195),人給データ!$AB$2:$AB$700)),""))</f>
        <v/>
      </c>
      <c r="F195" s="16">
        <f>IF(OR(E195="",NOT(ISNUMBER(E195))),"",DATE(YEAR(E195)+2,MONTH(E195),DAY(E195)-2))</f>
        <v/>
      </c>
      <c r="G195" s="20">
        <f>IF($A195="","",IFERROR(IF(LOOKUP(2,1/(人給データ!$B$2:$B$700=$A195),人給データ!$J$2:$J$700)=0,"",LOOKUP(2,1/(人給データ!$B$2:$B$700=$A195),人給データ!$J$2:$J$700)),""))</f>
        <v/>
      </c>
      <c r="H195" s="20">
        <f>IF($A195="","",IFERROR(IF(LOOKUP(2,1/(人給データ!$B$2:$B$700=$A195),人給データ!$K$2:$K$700)=0,"",LOOKUP(2,1/(人給データ!$B$2:$B$700=$A195),人給データ!$K$2:$K$700)),""))</f>
        <v/>
      </c>
      <c r="I195" s="12" t="n"/>
      <c r="J195">
        <f>IF($A195="","",IFERROR(IF(LOOKUP(2,1/(人給データ!$B$2:$B$700=$A195),人給データ!$N$2:$N$700)=0,"",LOOKUP(2,1/(人給データ!$B$2:$B$700=$A195),人給データ!$N$2:$N$700)),""))</f>
        <v/>
      </c>
      <c r="K195" s="13" t="n"/>
      <c r="L195" s="12" t="n"/>
      <c r="M195" s="12" t="n"/>
      <c r="N195" s="11" t="n"/>
      <c r="O195" s="11" t="n"/>
      <c r="P195" s="14">
        <f>IF(AND(M195&lt;&gt;"",O195=""),"保留中","")</f>
        <v/>
      </c>
      <c r="Q195" s="14">
        <f>IF(P195="保留中",COUNTIF(P$6:P195,"保留中"),"")</f>
        <v/>
      </c>
    </row>
    <row r="196">
      <c r="A196" s="12" t="n"/>
      <c r="B196">
        <f>IF($A196="","",IFERROR(IF(LOOKUP(2,1/(人給データ!$B$2:$B$700=$A196),人給データ!$C$2:$C$700)=0,"",LOOKUP(2,1/(人給データ!$B$2:$B$700=$A196),人給データ!$C$2:$C$700)),""))</f>
        <v/>
      </c>
      <c r="C196">
        <f>IF($A196="","",IFERROR(IF(LOOKUP(2,1/(人給データ!$B$2:$B$700=$A196),人給データ!$G$2:$G$700)=0,"",LOOKUP(2,1/(人給データ!$B$2:$B$700=$A196),人給データ!$G$2:$G$700)),""))</f>
        <v/>
      </c>
      <c r="D196">
        <f>IF($A196="","",IFERROR(IF(LOOKUP(2,1/(人給データ!$B$2:$B$700=$A196),人給データ!$Y$2:$Y$700)=0,"",LOOKUP(2,1/(人給データ!$B$2:$B$700=$A196),人給データ!$Y$2:$Y$700)),""))</f>
        <v/>
      </c>
      <c r="E196" s="20">
        <f>IF($A196="","",IFERROR(IF(LOOKUP(2,1/(人給データ!$B$2:$B$700=$A196),人給データ!$AB$2:$AB$700)=0,"",LOOKUP(2,1/(人給データ!$B$2:$B$700=$A196),人給データ!$AB$2:$AB$700)),""))</f>
        <v/>
      </c>
      <c r="F196" s="16">
        <f>IF(OR(E196="",NOT(ISNUMBER(E196))),"",DATE(YEAR(E196)+2,MONTH(E196),DAY(E196)-2))</f>
        <v/>
      </c>
      <c r="G196" s="20">
        <f>IF($A196="","",IFERROR(IF(LOOKUP(2,1/(人給データ!$B$2:$B$700=$A196),人給データ!$J$2:$J$700)=0,"",LOOKUP(2,1/(人給データ!$B$2:$B$700=$A196),人給データ!$J$2:$J$700)),""))</f>
        <v/>
      </c>
      <c r="H196" s="20">
        <f>IF($A196="","",IFERROR(IF(LOOKUP(2,1/(人給データ!$B$2:$B$700=$A196),人給データ!$K$2:$K$700)=0,"",LOOKUP(2,1/(人給データ!$B$2:$B$700=$A196),人給データ!$K$2:$K$700)),""))</f>
        <v/>
      </c>
      <c r="I196" s="12" t="n"/>
      <c r="J196">
        <f>IF($A196="","",IFERROR(IF(LOOKUP(2,1/(人給データ!$B$2:$B$700=$A196),人給データ!$N$2:$N$700)=0,"",LOOKUP(2,1/(人給データ!$B$2:$B$700=$A196),人給データ!$N$2:$N$700)),""))</f>
        <v/>
      </c>
      <c r="K196" s="13" t="n"/>
      <c r="L196" s="12" t="n"/>
      <c r="M196" s="12" t="n"/>
      <c r="N196" s="11" t="n"/>
      <c r="O196" s="11" t="n"/>
      <c r="P196" s="14">
        <f>IF(AND(M196&lt;&gt;"",O196=""),"保留中","")</f>
        <v/>
      </c>
      <c r="Q196" s="14">
        <f>IF(P196="保留中",COUNTIF(P$6:P196,"保留中"),"")</f>
        <v/>
      </c>
    </row>
    <row r="197">
      <c r="A197" s="12" t="n"/>
      <c r="B197">
        <f>IF($A197="","",IFERROR(IF(LOOKUP(2,1/(人給データ!$B$2:$B$700=$A197),人給データ!$C$2:$C$700)=0,"",LOOKUP(2,1/(人給データ!$B$2:$B$700=$A197),人給データ!$C$2:$C$700)),""))</f>
        <v/>
      </c>
      <c r="C197">
        <f>IF($A197="","",IFERROR(IF(LOOKUP(2,1/(人給データ!$B$2:$B$700=$A197),人給データ!$G$2:$G$700)=0,"",LOOKUP(2,1/(人給データ!$B$2:$B$700=$A197),人給データ!$G$2:$G$700)),""))</f>
        <v/>
      </c>
      <c r="D197">
        <f>IF($A197="","",IFERROR(IF(LOOKUP(2,1/(人給データ!$B$2:$B$700=$A197),人給データ!$Y$2:$Y$700)=0,"",LOOKUP(2,1/(人給データ!$B$2:$B$700=$A197),人給データ!$Y$2:$Y$700)),""))</f>
        <v/>
      </c>
      <c r="E197" s="20">
        <f>IF($A197="","",IFERROR(IF(LOOKUP(2,1/(人給データ!$B$2:$B$700=$A197),人給データ!$AB$2:$AB$700)=0,"",LOOKUP(2,1/(人給データ!$B$2:$B$700=$A197),人給データ!$AB$2:$AB$700)),""))</f>
        <v/>
      </c>
      <c r="F197" s="16">
        <f>IF(OR(E197="",NOT(ISNUMBER(E197))),"",DATE(YEAR(E197)+2,MONTH(E197),DAY(E197)-2))</f>
        <v/>
      </c>
      <c r="G197" s="20">
        <f>IF($A197="","",IFERROR(IF(LOOKUP(2,1/(人給データ!$B$2:$B$700=$A197),人給データ!$J$2:$J$700)=0,"",LOOKUP(2,1/(人給データ!$B$2:$B$700=$A197),人給データ!$J$2:$J$700)),""))</f>
        <v/>
      </c>
      <c r="H197" s="20">
        <f>IF($A197="","",IFERROR(IF(LOOKUP(2,1/(人給データ!$B$2:$B$700=$A197),人給データ!$K$2:$K$700)=0,"",LOOKUP(2,1/(人給データ!$B$2:$B$700=$A197),人給データ!$K$2:$K$700)),""))</f>
        <v/>
      </c>
      <c r="I197" s="12" t="n"/>
      <c r="J197">
        <f>IF($A197="","",IFERROR(IF(LOOKUP(2,1/(人給データ!$B$2:$B$700=$A197),人給データ!$N$2:$N$700)=0,"",LOOKUP(2,1/(人給データ!$B$2:$B$700=$A197),人給データ!$N$2:$N$700)),""))</f>
        <v/>
      </c>
      <c r="K197" s="13" t="n"/>
      <c r="L197" s="12" t="n"/>
      <c r="M197" s="12" t="n"/>
      <c r="N197" s="11" t="n"/>
      <c r="O197" s="11" t="n"/>
      <c r="P197" s="14">
        <f>IF(AND(M197&lt;&gt;"",O197=""),"保留中","")</f>
        <v/>
      </c>
      <c r="Q197" s="14">
        <f>IF(P197="保留中",COUNTIF(P$6:P197,"保留中"),"")</f>
        <v/>
      </c>
    </row>
    <row r="198">
      <c r="A198" s="12" t="n"/>
      <c r="B198">
        <f>IF($A198="","",IFERROR(IF(LOOKUP(2,1/(人給データ!$B$2:$B$700=$A198),人給データ!$C$2:$C$700)=0,"",LOOKUP(2,1/(人給データ!$B$2:$B$700=$A198),人給データ!$C$2:$C$700)),""))</f>
        <v/>
      </c>
      <c r="C198">
        <f>IF($A198="","",IFERROR(IF(LOOKUP(2,1/(人給データ!$B$2:$B$700=$A198),人給データ!$G$2:$G$700)=0,"",LOOKUP(2,1/(人給データ!$B$2:$B$700=$A198),人給データ!$G$2:$G$700)),""))</f>
        <v/>
      </c>
      <c r="D198">
        <f>IF($A198="","",IFERROR(IF(LOOKUP(2,1/(人給データ!$B$2:$B$700=$A198),人給データ!$Y$2:$Y$700)=0,"",LOOKUP(2,1/(人給データ!$B$2:$B$700=$A198),人給データ!$Y$2:$Y$700)),""))</f>
        <v/>
      </c>
      <c r="E198" s="20">
        <f>IF($A198="","",IFERROR(IF(LOOKUP(2,1/(人給データ!$B$2:$B$700=$A198),人給データ!$AB$2:$AB$700)=0,"",LOOKUP(2,1/(人給データ!$B$2:$B$700=$A198),人給データ!$AB$2:$AB$700)),""))</f>
        <v/>
      </c>
      <c r="F198" s="16">
        <f>IF(OR(E198="",NOT(ISNUMBER(E198))),"",DATE(YEAR(E198)+2,MONTH(E198),DAY(E198)-2))</f>
        <v/>
      </c>
      <c r="G198" s="20">
        <f>IF($A198="","",IFERROR(IF(LOOKUP(2,1/(人給データ!$B$2:$B$700=$A198),人給データ!$J$2:$J$700)=0,"",LOOKUP(2,1/(人給データ!$B$2:$B$700=$A198),人給データ!$J$2:$J$700)),""))</f>
        <v/>
      </c>
      <c r="H198" s="20">
        <f>IF($A198="","",IFERROR(IF(LOOKUP(2,1/(人給データ!$B$2:$B$700=$A198),人給データ!$K$2:$K$700)=0,"",LOOKUP(2,1/(人給データ!$B$2:$B$700=$A198),人給データ!$K$2:$K$700)),""))</f>
        <v/>
      </c>
      <c r="I198" s="12" t="n"/>
      <c r="J198">
        <f>IF($A198="","",IFERROR(IF(LOOKUP(2,1/(人給データ!$B$2:$B$700=$A198),人給データ!$N$2:$N$700)=0,"",LOOKUP(2,1/(人給データ!$B$2:$B$700=$A198),人給データ!$N$2:$N$700)),""))</f>
        <v/>
      </c>
      <c r="K198" s="13" t="n"/>
      <c r="L198" s="12" t="n"/>
      <c r="M198" s="12" t="n"/>
      <c r="N198" s="11" t="n"/>
      <c r="O198" s="11" t="n"/>
      <c r="P198" s="14">
        <f>IF(AND(M198&lt;&gt;"",O198=""),"保留中","")</f>
        <v/>
      </c>
      <c r="Q198" s="14">
        <f>IF(P198="保留中",COUNTIF(P$6:P198,"保留中"),"")</f>
        <v/>
      </c>
    </row>
    <row r="199">
      <c r="A199" s="12" t="n"/>
      <c r="B199">
        <f>IF($A199="","",IFERROR(IF(LOOKUP(2,1/(人給データ!$B$2:$B$700=$A199),人給データ!$C$2:$C$700)=0,"",LOOKUP(2,1/(人給データ!$B$2:$B$700=$A199),人給データ!$C$2:$C$700)),""))</f>
        <v/>
      </c>
      <c r="C199">
        <f>IF($A199="","",IFERROR(IF(LOOKUP(2,1/(人給データ!$B$2:$B$700=$A199),人給データ!$G$2:$G$700)=0,"",LOOKUP(2,1/(人給データ!$B$2:$B$700=$A199),人給データ!$G$2:$G$700)),""))</f>
        <v/>
      </c>
      <c r="D199">
        <f>IF($A199="","",IFERROR(IF(LOOKUP(2,1/(人給データ!$B$2:$B$700=$A199),人給データ!$Y$2:$Y$700)=0,"",LOOKUP(2,1/(人給データ!$B$2:$B$700=$A199),人給データ!$Y$2:$Y$700)),""))</f>
        <v/>
      </c>
      <c r="E199" s="20">
        <f>IF($A199="","",IFERROR(IF(LOOKUP(2,1/(人給データ!$B$2:$B$700=$A199),人給データ!$AB$2:$AB$700)=0,"",LOOKUP(2,1/(人給データ!$B$2:$B$700=$A199),人給データ!$AB$2:$AB$700)),""))</f>
        <v/>
      </c>
      <c r="F199" s="16">
        <f>IF(OR(E199="",NOT(ISNUMBER(E199))),"",DATE(YEAR(E199)+2,MONTH(E199),DAY(E199)-2))</f>
        <v/>
      </c>
      <c r="G199" s="20">
        <f>IF($A199="","",IFERROR(IF(LOOKUP(2,1/(人給データ!$B$2:$B$700=$A199),人給データ!$J$2:$J$700)=0,"",LOOKUP(2,1/(人給データ!$B$2:$B$700=$A199),人給データ!$J$2:$J$700)),""))</f>
        <v/>
      </c>
      <c r="H199" s="20">
        <f>IF($A199="","",IFERROR(IF(LOOKUP(2,1/(人給データ!$B$2:$B$700=$A199),人給データ!$K$2:$K$700)=0,"",LOOKUP(2,1/(人給データ!$B$2:$B$700=$A199),人給データ!$K$2:$K$700)),""))</f>
        <v/>
      </c>
      <c r="I199" s="12" t="n"/>
      <c r="J199">
        <f>IF($A199="","",IFERROR(IF(LOOKUP(2,1/(人給データ!$B$2:$B$700=$A199),人給データ!$N$2:$N$700)=0,"",LOOKUP(2,1/(人給データ!$B$2:$B$700=$A199),人給データ!$N$2:$N$700)),""))</f>
        <v/>
      </c>
      <c r="K199" s="13" t="n"/>
      <c r="L199" s="12" t="n"/>
      <c r="M199" s="12" t="n"/>
      <c r="N199" s="11" t="n"/>
      <c r="O199" s="11" t="n"/>
      <c r="P199" s="14">
        <f>IF(AND(M199&lt;&gt;"",O199=""),"保留中","")</f>
        <v/>
      </c>
      <c r="Q199" s="14">
        <f>IF(P199="保留中",COUNTIF(P$6:P199,"保留中"),"")</f>
        <v/>
      </c>
    </row>
    <row r="200">
      <c r="A200" s="12" t="n"/>
      <c r="B200">
        <f>IF($A200="","",IFERROR(IF(LOOKUP(2,1/(人給データ!$B$2:$B$700=$A200),人給データ!$C$2:$C$700)=0,"",LOOKUP(2,1/(人給データ!$B$2:$B$700=$A200),人給データ!$C$2:$C$700)),""))</f>
        <v/>
      </c>
      <c r="C200">
        <f>IF($A200="","",IFERROR(IF(LOOKUP(2,1/(人給データ!$B$2:$B$700=$A200),人給データ!$G$2:$G$700)=0,"",LOOKUP(2,1/(人給データ!$B$2:$B$700=$A200),人給データ!$G$2:$G$700)),""))</f>
        <v/>
      </c>
      <c r="D200">
        <f>IF($A200="","",IFERROR(IF(LOOKUP(2,1/(人給データ!$B$2:$B$700=$A200),人給データ!$Y$2:$Y$700)=0,"",LOOKUP(2,1/(人給データ!$B$2:$B$700=$A200),人給データ!$Y$2:$Y$700)),""))</f>
        <v/>
      </c>
      <c r="E200" s="20">
        <f>IF($A200="","",IFERROR(IF(LOOKUP(2,1/(人給データ!$B$2:$B$700=$A200),人給データ!$AB$2:$AB$700)=0,"",LOOKUP(2,1/(人給データ!$B$2:$B$700=$A200),人給データ!$AB$2:$AB$700)),""))</f>
        <v/>
      </c>
      <c r="F200" s="16">
        <f>IF(OR(E200="",NOT(ISNUMBER(E200))),"",DATE(YEAR(E200)+2,MONTH(E200),DAY(E200)-2))</f>
        <v/>
      </c>
      <c r="G200" s="20">
        <f>IF($A200="","",IFERROR(IF(LOOKUP(2,1/(人給データ!$B$2:$B$700=$A200),人給データ!$J$2:$J$700)=0,"",LOOKUP(2,1/(人給データ!$B$2:$B$700=$A200),人給データ!$J$2:$J$700)),""))</f>
        <v/>
      </c>
      <c r="H200" s="20">
        <f>IF($A200="","",IFERROR(IF(LOOKUP(2,1/(人給データ!$B$2:$B$700=$A200),人給データ!$K$2:$K$700)=0,"",LOOKUP(2,1/(人給データ!$B$2:$B$700=$A200),人給データ!$K$2:$K$700)),""))</f>
        <v/>
      </c>
      <c r="I200" s="12" t="n"/>
      <c r="J200">
        <f>IF($A200="","",IFERROR(IF(LOOKUP(2,1/(人給データ!$B$2:$B$700=$A200),人給データ!$N$2:$N$700)=0,"",LOOKUP(2,1/(人給データ!$B$2:$B$700=$A200),人給データ!$N$2:$N$700)),""))</f>
        <v/>
      </c>
      <c r="K200" s="13" t="n"/>
      <c r="L200" s="12" t="n"/>
      <c r="M200" s="12" t="n"/>
      <c r="N200" s="11" t="n"/>
      <c r="O200" s="11" t="n"/>
      <c r="P200" s="14">
        <f>IF(AND(M200&lt;&gt;"",O200=""),"保留中","")</f>
        <v/>
      </c>
      <c r="Q200" s="14">
        <f>IF(P200="保留中",COUNTIF(P$6:P200,"保留中"),"")</f>
        <v/>
      </c>
    </row>
    <row r="201">
      <c r="A201" s="12" t="n"/>
      <c r="B201">
        <f>IF($A201="","",IFERROR(IF(LOOKUP(2,1/(人給データ!$B$2:$B$700=$A201),人給データ!$C$2:$C$700)=0,"",LOOKUP(2,1/(人給データ!$B$2:$B$700=$A201),人給データ!$C$2:$C$700)),""))</f>
        <v/>
      </c>
      <c r="C201">
        <f>IF($A201="","",IFERROR(IF(LOOKUP(2,1/(人給データ!$B$2:$B$700=$A201),人給データ!$G$2:$G$700)=0,"",LOOKUP(2,1/(人給データ!$B$2:$B$700=$A201),人給データ!$G$2:$G$700)),""))</f>
        <v/>
      </c>
      <c r="D201">
        <f>IF($A201="","",IFERROR(IF(LOOKUP(2,1/(人給データ!$B$2:$B$700=$A201),人給データ!$Y$2:$Y$700)=0,"",LOOKUP(2,1/(人給データ!$B$2:$B$700=$A201),人給データ!$Y$2:$Y$700)),""))</f>
        <v/>
      </c>
      <c r="E201" s="20">
        <f>IF($A201="","",IFERROR(IF(LOOKUP(2,1/(人給データ!$B$2:$B$700=$A201),人給データ!$AB$2:$AB$700)=0,"",LOOKUP(2,1/(人給データ!$B$2:$B$700=$A201),人給データ!$AB$2:$AB$700)),""))</f>
        <v/>
      </c>
      <c r="F201" s="16">
        <f>IF(OR(E201="",NOT(ISNUMBER(E201))),"",DATE(YEAR(E201)+2,MONTH(E201),DAY(E201)-2))</f>
        <v/>
      </c>
      <c r="G201" s="20">
        <f>IF($A201="","",IFERROR(IF(LOOKUP(2,1/(人給データ!$B$2:$B$700=$A201),人給データ!$J$2:$J$700)=0,"",LOOKUP(2,1/(人給データ!$B$2:$B$700=$A201),人給データ!$J$2:$J$700)),""))</f>
        <v/>
      </c>
      <c r="H201" s="20">
        <f>IF($A201="","",IFERROR(IF(LOOKUP(2,1/(人給データ!$B$2:$B$700=$A201),人給データ!$K$2:$K$700)=0,"",LOOKUP(2,1/(人給データ!$B$2:$B$700=$A201),人給データ!$K$2:$K$700)),""))</f>
        <v/>
      </c>
      <c r="I201" s="12" t="n"/>
      <c r="J201">
        <f>IF($A201="","",IFERROR(IF(LOOKUP(2,1/(人給データ!$B$2:$B$700=$A201),人給データ!$N$2:$N$700)=0,"",LOOKUP(2,1/(人給データ!$B$2:$B$700=$A201),人給データ!$N$2:$N$700)),""))</f>
        <v/>
      </c>
      <c r="K201" s="13" t="n"/>
      <c r="L201" s="12" t="n"/>
      <c r="M201" s="12" t="n"/>
      <c r="N201" s="11" t="n"/>
      <c r="O201" s="11" t="n"/>
      <c r="P201" s="14">
        <f>IF(AND(M201&lt;&gt;"",O201=""),"保留中","")</f>
        <v/>
      </c>
      <c r="Q201" s="14">
        <f>IF(P201="保留中",COUNTIF(P$6:P201,"保留中"),"")</f>
        <v/>
      </c>
    </row>
    <row r="202">
      <c r="A202" s="12" t="n"/>
      <c r="B202">
        <f>IF($A202="","",IFERROR(IF(LOOKUP(2,1/(人給データ!$B$2:$B$700=$A202),人給データ!$C$2:$C$700)=0,"",LOOKUP(2,1/(人給データ!$B$2:$B$700=$A202),人給データ!$C$2:$C$700)),""))</f>
        <v/>
      </c>
      <c r="C202">
        <f>IF($A202="","",IFERROR(IF(LOOKUP(2,1/(人給データ!$B$2:$B$700=$A202),人給データ!$G$2:$G$700)=0,"",LOOKUP(2,1/(人給データ!$B$2:$B$700=$A202),人給データ!$G$2:$G$700)),""))</f>
        <v/>
      </c>
      <c r="D202">
        <f>IF($A202="","",IFERROR(IF(LOOKUP(2,1/(人給データ!$B$2:$B$700=$A202),人給データ!$Y$2:$Y$700)=0,"",LOOKUP(2,1/(人給データ!$B$2:$B$700=$A202),人給データ!$Y$2:$Y$700)),""))</f>
        <v/>
      </c>
      <c r="E202" s="20">
        <f>IF($A202="","",IFERROR(IF(LOOKUP(2,1/(人給データ!$B$2:$B$700=$A202),人給データ!$AB$2:$AB$700)=0,"",LOOKUP(2,1/(人給データ!$B$2:$B$700=$A202),人給データ!$AB$2:$AB$700)),""))</f>
        <v/>
      </c>
      <c r="F202" s="16">
        <f>IF(OR(E202="",NOT(ISNUMBER(E202))),"",DATE(YEAR(E202)+2,MONTH(E202),DAY(E202)-2))</f>
        <v/>
      </c>
      <c r="G202" s="20">
        <f>IF($A202="","",IFERROR(IF(LOOKUP(2,1/(人給データ!$B$2:$B$700=$A202),人給データ!$J$2:$J$700)=0,"",LOOKUP(2,1/(人給データ!$B$2:$B$700=$A202),人給データ!$J$2:$J$700)),""))</f>
        <v/>
      </c>
      <c r="H202" s="20">
        <f>IF($A202="","",IFERROR(IF(LOOKUP(2,1/(人給データ!$B$2:$B$700=$A202),人給データ!$K$2:$K$700)=0,"",LOOKUP(2,1/(人給データ!$B$2:$B$700=$A202),人給データ!$K$2:$K$700)),""))</f>
        <v/>
      </c>
      <c r="I202" s="12" t="n"/>
      <c r="J202">
        <f>IF($A202="","",IFERROR(IF(LOOKUP(2,1/(人給データ!$B$2:$B$700=$A202),人給データ!$N$2:$N$700)=0,"",LOOKUP(2,1/(人給データ!$B$2:$B$700=$A202),人給データ!$N$2:$N$700)),""))</f>
        <v/>
      </c>
      <c r="K202" s="13" t="n"/>
      <c r="L202" s="12" t="n"/>
      <c r="M202" s="12" t="n"/>
      <c r="N202" s="11" t="n"/>
      <c r="O202" s="11" t="n"/>
      <c r="P202" s="14">
        <f>IF(AND(M202&lt;&gt;"",O202=""),"保留中","")</f>
        <v/>
      </c>
      <c r="Q202" s="14">
        <f>IF(P202="保留中",COUNTIF(P$6:P202,"保留中"),"")</f>
        <v/>
      </c>
    </row>
    <row r="203">
      <c r="A203" s="12" t="n"/>
      <c r="B203">
        <f>IF($A203="","",IFERROR(IF(LOOKUP(2,1/(人給データ!$B$2:$B$700=$A203),人給データ!$C$2:$C$700)=0,"",LOOKUP(2,1/(人給データ!$B$2:$B$700=$A203),人給データ!$C$2:$C$700)),""))</f>
        <v/>
      </c>
      <c r="C203">
        <f>IF($A203="","",IFERROR(IF(LOOKUP(2,1/(人給データ!$B$2:$B$700=$A203),人給データ!$G$2:$G$700)=0,"",LOOKUP(2,1/(人給データ!$B$2:$B$700=$A203),人給データ!$G$2:$G$700)),""))</f>
        <v/>
      </c>
      <c r="D203">
        <f>IF($A203="","",IFERROR(IF(LOOKUP(2,1/(人給データ!$B$2:$B$700=$A203),人給データ!$Y$2:$Y$700)=0,"",LOOKUP(2,1/(人給データ!$B$2:$B$700=$A203),人給データ!$Y$2:$Y$700)),""))</f>
        <v/>
      </c>
      <c r="E203" s="20">
        <f>IF($A203="","",IFERROR(IF(LOOKUP(2,1/(人給データ!$B$2:$B$700=$A203),人給データ!$AB$2:$AB$700)=0,"",LOOKUP(2,1/(人給データ!$B$2:$B$700=$A203),人給データ!$AB$2:$AB$700)),""))</f>
        <v/>
      </c>
      <c r="F203" s="16">
        <f>IF(OR(E203="",NOT(ISNUMBER(E203))),"",DATE(YEAR(E203)+2,MONTH(E203),DAY(E203)-2))</f>
        <v/>
      </c>
      <c r="G203" s="20">
        <f>IF($A203="","",IFERROR(IF(LOOKUP(2,1/(人給データ!$B$2:$B$700=$A203),人給データ!$J$2:$J$700)=0,"",LOOKUP(2,1/(人給データ!$B$2:$B$700=$A203),人給データ!$J$2:$J$700)),""))</f>
        <v/>
      </c>
      <c r="H203" s="20">
        <f>IF($A203="","",IFERROR(IF(LOOKUP(2,1/(人給データ!$B$2:$B$700=$A203),人給データ!$K$2:$K$700)=0,"",LOOKUP(2,1/(人給データ!$B$2:$B$700=$A203),人給データ!$K$2:$K$700)),""))</f>
        <v/>
      </c>
      <c r="I203" s="12" t="n"/>
      <c r="J203">
        <f>IF($A203="","",IFERROR(IF(LOOKUP(2,1/(人給データ!$B$2:$B$700=$A203),人給データ!$N$2:$N$700)=0,"",LOOKUP(2,1/(人給データ!$B$2:$B$700=$A203),人給データ!$N$2:$N$700)),""))</f>
        <v/>
      </c>
      <c r="K203" s="13" t="n"/>
      <c r="L203" s="12" t="n"/>
      <c r="M203" s="12" t="n"/>
      <c r="N203" s="11" t="n"/>
      <c r="O203" s="11" t="n"/>
      <c r="P203" s="14">
        <f>IF(AND(M203&lt;&gt;"",O203=""),"保留中","")</f>
        <v/>
      </c>
      <c r="Q203" s="14">
        <f>IF(P203="保留中",COUNTIF(P$6:P203,"保留中"),"")</f>
        <v/>
      </c>
    </row>
    <row r="204">
      <c r="A204" s="12" t="n"/>
      <c r="B204">
        <f>IF($A204="","",IFERROR(IF(LOOKUP(2,1/(人給データ!$B$2:$B$700=$A204),人給データ!$C$2:$C$700)=0,"",LOOKUP(2,1/(人給データ!$B$2:$B$700=$A204),人給データ!$C$2:$C$700)),""))</f>
        <v/>
      </c>
      <c r="C204">
        <f>IF($A204="","",IFERROR(IF(LOOKUP(2,1/(人給データ!$B$2:$B$700=$A204),人給データ!$G$2:$G$700)=0,"",LOOKUP(2,1/(人給データ!$B$2:$B$700=$A204),人給データ!$G$2:$G$700)),""))</f>
        <v/>
      </c>
      <c r="D204">
        <f>IF($A204="","",IFERROR(IF(LOOKUP(2,1/(人給データ!$B$2:$B$700=$A204),人給データ!$Y$2:$Y$700)=0,"",LOOKUP(2,1/(人給データ!$B$2:$B$700=$A204),人給データ!$Y$2:$Y$700)),""))</f>
        <v/>
      </c>
      <c r="E204" s="20">
        <f>IF($A204="","",IFERROR(IF(LOOKUP(2,1/(人給データ!$B$2:$B$700=$A204),人給データ!$AB$2:$AB$700)=0,"",LOOKUP(2,1/(人給データ!$B$2:$B$700=$A204),人給データ!$AB$2:$AB$700)),""))</f>
        <v/>
      </c>
      <c r="F204" s="16">
        <f>IF(OR(E204="",NOT(ISNUMBER(E204))),"",DATE(YEAR(E204)+2,MONTH(E204),DAY(E204)-2))</f>
        <v/>
      </c>
      <c r="G204" s="20">
        <f>IF($A204="","",IFERROR(IF(LOOKUP(2,1/(人給データ!$B$2:$B$700=$A204),人給データ!$J$2:$J$700)=0,"",LOOKUP(2,1/(人給データ!$B$2:$B$700=$A204),人給データ!$J$2:$J$700)),""))</f>
        <v/>
      </c>
      <c r="H204" s="20">
        <f>IF($A204="","",IFERROR(IF(LOOKUP(2,1/(人給データ!$B$2:$B$700=$A204),人給データ!$K$2:$K$700)=0,"",LOOKUP(2,1/(人給データ!$B$2:$B$700=$A204),人給データ!$K$2:$K$700)),""))</f>
        <v/>
      </c>
      <c r="I204" s="12" t="n"/>
      <c r="J204">
        <f>IF($A204="","",IFERROR(IF(LOOKUP(2,1/(人給データ!$B$2:$B$700=$A204),人給データ!$N$2:$N$700)=0,"",LOOKUP(2,1/(人給データ!$B$2:$B$700=$A204),人給データ!$N$2:$N$700)),""))</f>
        <v/>
      </c>
      <c r="K204" s="13" t="n"/>
      <c r="L204" s="12" t="n"/>
      <c r="M204" s="12" t="n"/>
      <c r="N204" s="11" t="n"/>
      <c r="O204" s="11" t="n"/>
      <c r="P204" s="14">
        <f>IF(AND(M204&lt;&gt;"",O204=""),"保留中","")</f>
        <v/>
      </c>
      <c r="Q204" s="14">
        <f>IF(P204="保留中",COUNTIF(P$6:P204,"保留中"),"")</f>
        <v/>
      </c>
    </row>
    <row r="205">
      <c r="A205" s="12" t="n"/>
      <c r="B205">
        <f>IF($A205="","",IFERROR(IF(LOOKUP(2,1/(人給データ!$B$2:$B$700=$A205),人給データ!$C$2:$C$700)=0,"",LOOKUP(2,1/(人給データ!$B$2:$B$700=$A205),人給データ!$C$2:$C$700)),""))</f>
        <v/>
      </c>
      <c r="C205">
        <f>IF($A205="","",IFERROR(IF(LOOKUP(2,1/(人給データ!$B$2:$B$700=$A205),人給データ!$G$2:$G$700)=0,"",LOOKUP(2,1/(人給データ!$B$2:$B$700=$A205),人給データ!$G$2:$G$700)),""))</f>
        <v/>
      </c>
      <c r="D205">
        <f>IF($A205="","",IFERROR(IF(LOOKUP(2,1/(人給データ!$B$2:$B$700=$A205),人給データ!$Y$2:$Y$700)=0,"",LOOKUP(2,1/(人給データ!$B$2:$B$700=$A205),人給データ!$Y$2:$Y$700)),""))</f>
        <v/>
      </c>
      <c r="E205" s="20">
        <f>IF($A205="","",IFERROR(IF(LOOKUP(2,1/(人給データ!$B$2:$B$700=$A205),人給データ!$AB$2:$AB$700)=0,"",LOOKUP(2,1/(人給データ!$B$2:$B$700=$A205),人給データ!$AB$2:$AB$700)),""))</f>
        <v/>
      </c>
      <c r="F205" s="16">
        <f>IF(OR(E205="",NOT(ISNUMBER(E205))),"",DATE(YEAR(E205)+2,MONTH(E205),DAY(E205)-2))</f>
        <v/>
      </c>
      <c r="G205" s="20">
        <f>IF($A205="","",IFERROR(IF(LOOKUP(2,1/(人給データ!$B$2:$B$700=$A205),人給データ!$J$2:$J$700)=0,"",LOOKUP(2,1/(人給データ!$B$2:$B$700=$A205),人給データ!$J$2:$J$700)),""))</f>
        <v/>
      </c>
      <c r="H205" s="20">
        <f>IF($A205="","",IFERROR(IF(LOOKUP(2,1/(人給データ!$B$2:$B$700=$A205),人給データ!$K$2:$K$700)=0,"",LOOKUP(2,1/(人給データ!$B$2:$B$700=$A205),人給データ!$K$2:$K$700)),""))</f>
        <v/>
      </c>
      <c r="I205" s="12" t="n"/>
      <c r="J205">
        <f>IF($A205="","",IFERROR(IF(LOOKUP(2,1/(人給データ!$B$2:$B$700=$A205),人給データ!$N$2:$N$700)=0,"",LOOKUP(2,1/(人給データ!$B$2:$B$700=$A205),人給データ!$N$2:$N$700)),""))</f>
        <v/>
      </c>
      <c r="K205" s="13" t="n"/>
      <c r="L205" s="12" t="n"/>
      <c r="M205" s="12" t="n"/>
      <c r="N205" s="11" t="n"/>
      <c r="O205" s="11" t="n"/>
      <c r="P205" s="14">
        <f>IF(AND(M205&lt;&gt;"",O205=""),"保留中","")</f>
        <v/>
      </c>
      <c r="Q205" s="14">
        <f>IF(P205="保留中",COUNTIF(P$6:P205,"保留中"),"")</f>
        <v/>
      </c>
    </row>
    <row r="206">
      <c r="A206" s="12" t="n"/>
      <c r="B206">
        <f>IF($A206="","",IFERROR(IF(LOOKUP(2,1/(人給データ!$B$2:$B$700=$A206),人給データ!$C$2:$C$700)=0,"",LOOKUP(2,1/(人給データ!$B$2:$B$700=$A206),人給データ!$C$2:$C$700)),""))</f>
        <v/>
      </c>
      <c r="C206">
        <f>IF($A206="","",IFERROR(IF(LOOKUP(2,1/(人給データ!$B$2:$B$700=$A206),人給データ!$G$2:$G$700)=0,"",LOOKUP(2,1/(人給データ!$B$2:$B$700=$A206),人給データ!$G$2:$G$700)),""))</f>
        <v/>
      </c>
      <c r="D206">
        <f>IF($A206="","",IFERROR(IF(LOOKUP(2,1/(人給データ!$B$2:$B$700=$A206),人給データ!$Y$2:$Y$700)=0,"",LOOKUP(2,1/(人給データ!$B$2:$B$700=$A206),人給データ!$Y$2:$Y$700)),""))</f>
        <v/>
      </c>
      <c r="E206" s="20">
        <f>IF($A206="","",IFERROR(IF(LOOKUP(2,1/(人給データ!$B$2:$B$700=$A206),人給データ!$AB$2:$AB$700)=0,"",LOOKUP(2,1/(人給データ!$B$2:$B$700=$A206),人給データ!$AB$2:$AB$700)),""))</f>
        <v/>
      </c>
      <c r="F206" s="16">
        <f>IF(OR(E206="",NOT(ISNUMBER(E206))),"",DATE(YEAR(E206)+2,MONTH(E206),DAY(E206)-2))</f>
        <v/>
      </c>
      <c r="G206" s="20">
        <f>IF($A206="","",IFERROR(IF(LOOKUP(2,1/(人給データ!$B$2:$B$700=$A206),人給データ!$J$2:$J$700)=0,"",LOOKUP(2,1/(人給データ!$B$2:$B$700=$A206),人給データ!$J$2:$J$700)),""))</f>
        <v/>
      </c>
      <c r="H206" s="20">
        <f>IF($A206="","",IFERROR(IF(LOOKUP(2,1/(人給データ!$B$2:$B$700=$A206),人給データ!$K$2:$K$700)=0,"",LOOKUP(2,1/(人給データ!$B$2:$B$700=$A206),人給データ!$K$2:$K$700)),""))</f>
        <v/>
      </c>
      <c r="I206" s="12" t="n"/>
      <c r="J206">
        <f>IF($A206="","",IFERROR(IF(LOOKUP(2,1/(人給データ!$B$2:$B$700=$A206),人給データ!$N$2:$N$700)=0,"",LOOKUP(2,1/(人給データ!$B$2:$B$700=$A206),人給データ!$N$2:$N$700)),""))</f>
        <v/>
      </c>
      <c r="K206" s="13" t="n"/>
      <c r="L206" s="12" t="n"/>
      <c r="M206" s="12" t="n"/>
      <c r="N206" s="11" t="n"/>
      <c r="O206" s="11" t="n"/>
      <c r="P206" s="14">
        <f>IF(AND(M206&lt;&gt;"",O206=""),"保留中","")</f>
        <v/>
      </c>
      <c r="Q206" s="14">
        <f>IF(P206="保留中",COUNTIF(P$6:P206,"保留中"),"")</f>
        <v/>
      </c>
    </row>
    <row r="207">
      <c r="A207" s="12" t="n"/>
      <c r="B207">
        <f>IF($A207="","",IFERROR(IF(LOOKUP(2,1/(人給データ!$B$2:$B$700=$A207),人給データ!$C$2:$C$700)=0,"",LOOKUP(2,1/(人給データ!$B$2:$B$700=$A207),人給データ!$C$2:$C$700)),""))</f>
        <v/>
      </c>
      <c r="C207">
        <f>IF($A207="","",IFERROR(IF(LOOKUP(2,1/(人給データ!$B$2:$B$700=$A207),人給データ!$G$2:$G$700)=0,"",LOOKUP(2,1/(人給データ!$B$2:$B$700=$A207),人給データ!$G$2:$G$700)),""))</f>
        <v/>
      </c>
      <c r="D207">
        <f>IF($A207="","",IFERROR(IF(LOOKUP(2,1/(人給データ!$B$2:$B$700=$A207),人給データ!$Y$2:$Y$700)=0,"",LOOKUP(2,1/(人給データ!$B$2:$B$700=$A207),人給データ!$Y$2:$Y$700)),""))</f>
        <v/>
      </c>
      <c r="E207" s="20">
        <f>IF($A207="","",IFERROR(IF(LOOKUP(2,1/(人給データ!$B$2:$B$700=$A207),人給データ!$AB$2:$AB$700)=0,"",LOOKUP(2,1/(人給データ!$B$2:$B$700=$A207),人給データ!$AB$2:$AB$700)),""))</f>
        <v/>
      </c>
      <c r="F207" s="16">
        <f>IF(OR(E207="",NOT(ISNUMBER(E207))),"",DATE(YEAR(E207)+2,MONTH(E207),DAY(E207)-2))</f>
        <v/>
      </c>
      <c r="G207" s="20">
        <f>IF($A207="","",IFERROR(IF(LOOKUP(2,1/(人給データ!$B$2:$B$700=$A207),人給データ!$J$2:$J$700)=0,"",LOOKUP(2,1/(人給データ!$B$2:$B$700=$A207),人給データ!$J$2:$J$700)),""))</f>
        <v/>
      </c>
      <c r="H207" s="20">
        <f>IF($A207="","",IFERROR(IF(LOOKUP(2,1/(人給データ!$B$2:$B$700=$A207),人給データ!$K$2:$K$700)=0,"",LOOKUP(2,1/(人給データ!$B$2:$B$700=$A207),人給データ!$K$2:$K$700)),""))</f>
        <v/>
      </c>
      <c r="I207" s="12" t="n"/>
      <c r="J207">
        <f>IF($A207="","",IFERROR(IF(LOOKUP(2,1/(人給データ!$B$2:$B$700=$A207),人給データ!$N$2:$N$700)=0,"",LOOKUP(2,1/(人給データ!$B$2:$B$700=$A207),人給データ!$N$2:$N$700)),""))</f>
        <v/>
      </c>
      <c r="K207" s="13" t="n"/>
      <c r="L207" s="12" t="n"/>
      <c r="M207" s="12" t="n"/>
      <c r="N207" s="11" t="n"/>
      <c r="O207" s="11" t="n"/>
      <c r="P207" s="14">
        <f>IF(AND(M207&lt;&gt;"",O207=""),"保留中","")</f>
        <v/>
      </c>
      <c r="Q207" s="14">
        <f>IF(P207="保留中",COUNTIF(P$6:P207,"保留中"),"")</f>
        <v/>
      </c>
    </row>
    <row r="208">
      <c r="A208" s="12" t="n"/>
      <c r="B208">
        <f>IF($A208="","",IFERROR(IF(LOOKUP(2,1/(人給データ!$B$2:$B$700=$A208),人給データ!$C$2:$C$700)=0,"",LOOKUP(2,1/(人給データ!$B$2:$B$700=$A208),人給データ!$C$2:$C$700)),""))</f>
        <v/>
      </c>
      <c r="C208">
        <f>IF($A208="","",IFERROR(IF(LOOKUP(2,1/(人給データ!$B$2:$B$700=$A208),人給データ!$G$2:$G$700)=0,"",LOOKUP(2,1/(人給データ!$B$2:$B$700=$A208),人給データ!$G$2:$G$700)),""))</f>
        <v/>
      </c>
      <c r="D208">
        <f>IF($A208="","",IFERROR(IF(LOOKUP(2,1/(人給データ!$B$2:$B$700=$A208),人給データ!$Y$2:$Y$700)=0,"",LOOKUP(2,1/(人給データ!$B$2:$B$700=$A208),人給データ!$Y$2:$Y$700)),""))</f>
        <v/>
      </c>
      <c r="E208" s="20">
        <f>IF($A208="","",IFERROR(IF(LOOKUP(2,1/(人給データ!$B$2:$B$700=$A208),人給データ!$AB$2:$AB$700)=0,"",LOOKUP(2,1/(人給データ!$B$2:$B$700=$A208),人給データ!$AB$2:$AB$700)),""))</f>
        <v/>
      </c>
      <c r="F208" s="16">
        <f>IF(OR(E208="",NOT(ISNUMBER(E208))),"",DATE(YEAR(E208)+2,MONTH(E208),DAY(E208)-2))</f>
        <v/>
      </c>
      <c r="G208" s="20">
        <f>IF($A208="","",IFERROR(IF(LOOKUP(2,1/(人給データ!$B$2:$B$700=$A208),人給データ!$J$2:$J$700)=0,"",LOOKUP(2,1/(人給データ!$B$2:$B$700=$A208),人給データ!$J$2:$J$700)),""))</f>
        <v/>
      </c>
      <c r="H208" s="20">
        <f>IF($A208="","",IFERROR(IF(LOOKUP(2,1/(人給データ!$B$2:$B$700=$A208),人給データ!$K$2:$K$700)=0,"",LOOKUP(2,1/(人給データ!$B$2:$B$700=$A208),人給データ!$K$2:$K$700)),""))</f>
        <v/>
      </c>
      <c r="I208" s="12" t="n"/>
      <c r="J208">
        <f>IF($A208="","",IFERROR(IF(LOOKUP(2,1/(人給データ!$B$2:$B$700=$A208),人給データ!$N$2:$N$700)=0,"",LOOKUP(2,1/(人給データ!$B$2:$B$700=$A208),人給データ!$N$2:$N$700)),""))</f>
        <v/>
      </c>
      <c r="K208" s="13" t="n"/>
      <c r="L208" s="12" t="n"/>
      <c r="M208" s="12" t="n"/>
      <c r="N208" s="11" t="n"/>
      <c r="O208" s="11" t="n"/>
      <c r="P208" s="14">
        <f>IF(AND(M208&lt;&gt;"",O208=""),"保留中","")</f>
        <v/>
      </c>
      <c r="Q208" s="14">
        <f>IF(P208="保留中",COUNTIF(P$6:P208,"保留中"),"")</f>
        <v/>
      </c>
    </row>
    <row r="209">
      <c r="A209" s="12" t="n"/>
      <c r="B209">
        <f>IF($A209="","",IFERROR(IF(LOOKUP(2,1/(人給データ!$B$2:$B$700=$A209),人給データ!$C$2:$C$700)=0,"",LOOKUP(2,1/(人給データ!$B$2:$B$700=$A209),人給データ!$C$2:$C$700)),""))</f>
        <v/>
      </c>
      <c r="C209">
        <f>IF($A209="","",IFERROR(IF(LOOKUP(2,1/(人給データ!$B$2:$B$700=$A209),人給データ!$G$2:$G$700)=0,"",LOOKUP(2,1/(人給データ!$B$2:$B$700=$A209),人給データ!$G$2:$G$700)),""))</f>
        <v/>
      </c>
      <c r="D209">
        <f>IF($A209="","",IFERROR(IF(LOOKUP(2,1/(人給データ!$B$2:$B$700=$A209),人給データ!$Y$2:$Y$700)=0,"",LOOKUP(2,1/(人給データ!$B$2:$B$700=$A209),人給データ!$Y$2:$Y$700)),""))</f>
        <v/>
      </c>
      <c r="E209" s="20">
        <f>IF($A209="","",IFERROR(IF(LOOKUP(2,1/(人給データ!$B$2:$B$700=$A209),人給データ!$AB$2:$AB$700)=0,"",LOOKUP(2,1/(人給データ!$B$2:$B$700=$A209),人給データ!$AB$2:$AB$700)),""))</f>
        <v/>
      </c>
      <c r="F209" s="16">
        <f>IF(OR(E209="",NOT(ISNUMBER(E209))),"",DATE(YEAR(E209)+2,MONTH(E209),DAY(E209)-2))</f>
        <v/>
      </c>
      <c r="G209" s="20">
        <f>IF($A209="","",IFERROR(IF(LOOKUP(2,1/(人給データ!$B$2:$B$700=$A209),人給データ!$J$2:$J$700)=0,"",LOOKUP(2,1/(人給データ!$B$2:$B$700=$A209),人給データ!$J$2:$J$700)),""))</f>
        <v/>
      </c>
      <c r="H209" s="20">
        <f>IF($A209="","",IFERROR(IF(LOOKUP(2,1/(人給データ!$B$2:$B$700=$A209),人給データ!$K$2:$K$700)=0,"",LOOKUP(2,1/(人給データ!$B$2:$B$700=$A209),人給データ!$K$2:$K$700)),""))</f>
        <v/>
      </c>
      <c r="I209" s="12" t="n"/>
      <c r="J209">
        <f>IF($A209="","",IFERROR(IF(LOOKUP(2,1/(人給データ!$B$2:$B$700=$A209),人給データ!$N$2:$N$700)=0,"",LOOKUP(2,1/(人給データ!$B$2:$B$700=$A209),人給データ!$N$2:$N$700)),""))</f>
        <v/>
      </c>
      <c r="K209" s="13" t="n"/>
      <c r="L209" s="12" t="n"/>
      <c r="M209" s="12" t="n"/>
      <c r="N209" s="11" t="n"/>
      <c r="O209" s="11" t="n"/>
      <c r="P209" s="14">
        <f>IF(AND(M209&lt;&gt;"",O209=""),"保留中","")</f>
        <v/>
      </c>
      <c r="Q209" s="14">
        <f>IF(P209="保留中",COUNTIF(P$6:P209,"保留中"),"")</f>
        <v/>
      </c>
    </row>
    <row r="210">
      <c r="A210" s="12" t="n"/>
      <c r="B210">
        <f>IF($A210="","",IFERROR(IF(LOOKUP(2,1/(人給データ!$B$2:$B$700=$A210),人給データ!$C$2:$C$700)=0,"",LOOKUP(2,1/(人給データ!$B$2:$B$700=$A210),人給データ!$C$2:$C$700)),""))</f>
        <v/>
      </c>
      <c r="C210">
        <f>IF($A210="","",IFERROR(IF(LOOKUP(2,1/(人給データ!$B$2:$B$700=$A210),人給データ!$G$2:$G$700)=0,"",LOOKUP(2,1/(人給データ!$B$2:$B$700=$A210),人給データ!$G$2:$G$700)),""))</f>
        <v/>
      </c>
      <c r="D210">
        <f>IF($A210="","",IFERROR(IF(LOOKUP(2,1/(人給データ!$B$2:$B$700=$A210),人給データ!$Y$2:$Y$700)=0,"",LOOKUP(2,1/(人給データ!$B$2:$B$700=$A210),人給データ!$Y$2:$Y$700)),""))</f>
        <v/>
      </c>
      <c r="E210" s="20">
        <f>IF($A210="","",IFERROR(IF(LOOKUP(2,1/(人給データ!$B$2:$B$700=$A210),人給データ!$AB$2:$AB$700)=0,"",LOOKUP(2,1/(人給データ!$B$2:$B$700=$A210),人給データ!$AB$2:$AB$700)),""))</f>
        <v/>
      </c>
      <c r="F210" s="16">
        <f>IF(OR(E210="",NOT(ISNUMBER(E210))),"",DATE(YEAR(E210)+2,MONTH(E210),DAY(E210)-2))</f>
        <v/>
      </c>
      <c r="G210" s="20">
        <f>IF($A210="","",IFERROR(IF(LOOKUP(2,1/(人給データ!$B$2:$B$700=$A210),人給データ!$J$2:$J$700)=0,"",LOOKUP(2,1/(人給データ!$B$2:$B$700=$A210),人給データ!$J$2:$J$700)),""))</f>
        <v/>
      </c>
      <c r="H210" s="20">
        <f>IF($A210="","",IFERROR(IF(LOOKUP(2,1/(人給データ!$B$2:$B$700=$A210),人給データ!$K$2:$K$700)=0,"",LOOKUP(2,1/(人給データ!$B$2:$B$700=$A210),人給データ!$K$2:$K$700)),""))</f>
        <v/>
      </c>
      <c r="I210" s="12" t="n"/>
      <c r="J210">
        <f>IF($A210="","",IFERROR(IF(LOOKUP(2,1/(人給データ!$B$2:$B$700=$A210),人給データ!$N$2:$N$700)=0,"",LOOKUP(2,1/(人給データ!$B$2:$B$700=$A210),人給データ!$N$2:$N$700)),""))</f>
        <v/>
      </c>
      <c r="K210" s="13" t="n"/>
      <c r="L210" s="12" t="n"/>
      <c r="M210" s="12" t="n"/>
      <c r="N210" s="11" t="n"/>
      <c r="O210" s="11" t="n"/>
      <c r="P210" s="14">
        <f>IF(AND(M210&lt;&gt;"",O210=""),"保留中","")</f>
        <v/>
      </c>
      <c r="Q210" s="14">
        <f>IF(P210="保留中",COUNTIF(P$6:P210,"保留中"),"")</f>
        <v/>
      </c>
    </row>
    <row r="211">
      <c r="A211" s="12" t="n"/>
      <c r="B211">
        <f>IF($A211="","",IFERROR(IF(LOOKUP(2,1/(人給データ!$B$2:$B$700=$A211),人給データ!$C$2:$C$700)=0,"",LOOKUP(2,1/(人給データ!$B$2:$B$700=$A211),人給データ!$C$2:$C$700)),""))</f>
        <v/>
      </c>
      <c r="C211">
        <f>IF($A211="","",IFERROR(IF(LOOKUP(2,1/(人給データ!$B$2:$B$700=$A211),人給データ!$G$2:$G$700)=0,"",LOOKUP(2,1/(人給データ!$B$2:$B$700=$A211),人給データ!$G$2:$G$700)),""))</f>
        <v/>
      </c>
      <c r="D211">
        <f>IF($A211="","",IFERROR(IF(LOOKUP(2,1/(人給データ!$B$2:$B$700=$A211),人給データ!$Y$2:$Y$700)=0,"",LOOKUP(2,1/(人給データ!$B$2:$B$700=$A211),人給データ!$Y$2:$Y$700)),""))</f>
        <v/>
      </c>
      <c r="E211" s="20">
        <f>IF($A211="","",IFERROR(IF(LOOKUP(2,1/(人給データ!$B$2:$B$700=$A211),人給データ!$AB$2:$AB$700)=0,"",LOOKUP(2,1/(人給データ!$B$2:$B$700=$A211),人給データ!$AB$2:$AB$700)),""))</f>
        <v/>
      </c>
      <c r="F211" s="16">
        <f>IF(OR(E211="",NOT(ISNUMBER(E211))),"",DATE(YEAR(E211)+2,MONTH(E211),DAY(E211)-2))</f>
        <v/>
      </c>
      <c r="G211" s="20">
        <f>IF($A211="","",IFERROR(IF(LOOKUP(2,1/(人給データ!$B$2:$B$700=$A211),人給データ!$J$2:$J$700)=0,"",LOOKUP(2,1/(人給データ!$B$2:$B$700=$A211),人給データ!$J$2:$J$700)),""))</f>
        <v/>
      </c>
      <c r="H211" s="20">
        <f>IF($A211="","",IFERROR(IF(LOOKUP(2,1/(人給データ!$B$2:$B$700=$A211),人給データ!$K$2:$K$700)=0,"",LOOKUP(2,1/(人給データ!$B$2:$B$700=$A211),人給データ!$K$2:$K$700)),""))</f>
        <v/>
      </c>
      <c r="I211" s="12" t="n"/>
      <c r="J211">
        <f>IF($A211="","",IFERROR(IF(LOOKUP(2,1/(人給データ!$B$2:$B$700=$A211),人給データ!$N$2:$N$700)=0,"",LOOKUP(2,1/(人給データ!$B$2:$B$700=$A211),人給データ!$N$2:$N$700)),""))</f>
        <v/>
      </c>
      <c r="K211" s="13" t="n"/>
      <c r="L211" s="12" t="n"/>
      <c r="M211" s="12" t="n"/>
      <c r="N211" s="11" t="n"/>
      <c r="O211" s="11" t="n"/>
      <c r="P211" s="14">
        <f>IF(AND(M211&lt;&gt;"",O211=""),"保留中","")</f>
        <v/>
      </c>
      <c r="Q211" s="14">
        <f>IF(P211="保留中",COUNTIF(P$6:P211,"保留中"),"")</f>
        <v/>
      </c>
    </row>
    <row r="212">
      <c r="A212" s="12" t="n"/>
      <c r="B212">
        <f>IF($A212="","",IFERROR(IF(LOOKUP(2,1/(人給データ!$B$2:$B$700=$A212),人給データ!$C$2:$C$700)=0,"",LOOKUP(2,1/(人給データ!$B$2:$B$700=$A212),人給データ!$C$2:$C$700)),""))</f>
        <v/>
      </c>
      <c r="C212">
        <f>IF($A212="","",IFERROR(IF(LOOKUP(2,1/(人給データ!$B$2:$B$700=$A212),人給データ!$G$2:$G$700)=0,"",LOOKUP(2,1/(人給データ!$B$2:$B$700=$A212),人給データ!$G$2:$G$700)),""))</f>
        <v/>
      </c>
      <c r="D212">
        <f>IF($A212="","",IFERROR(IF(LOOKUP(2,1/(人給データ!$B$2:$B$700=$A212),人給データ!$Y$2:$Y$700)=0,"",LOOKUP(2,1/(人給データ!$B$2:$B$700=$A212),人給データ!$Y$2:$Y$700)),""))</f>
        <v/>
      </c>
      <c r="E212" s="20">
        <f>IF($A212="","",IFERROR(IF(LOOKUP(2,1/(人給データ!$B$2:$B$700=$A212),人給データ!$AB$2:$AB$700)=0,"",LOOKUP(2,1/(人給データ!$B$2:$B$700=$A212),人給データ!$AB$2:$AB$700)),""))</f>
        <v/>
      </c>
      <c r="F212" s="16">
        <f>IF(OR(E212="",NOT(ISNUMBER(E212))),"",DATE(YEAR(E212)+2,MONTH(E212),DAY(E212)-2))</f>
        <v/>
      </c>
      <c r="G212" s="20">
        <f>IF($A212="","",IFERROR(IF(LOOKUP(2,1/(人給データ!$B$2:$B$700=$A212),人給データ!$J$2:$J$700)=0,"",LOOKUP(2,1/(人給データ!$B$2:$B$700=$A212),人給データ!$J$2:$J$700)),""))</f>
        <v/>
      </c>
      <c r="H212" s="20">
        <f>IF($A212="","",IFERROR(IF(LOOKUP(2,1/(人給データ!$B$2:$B$700=$A212),人給データ!$K$2:$K$700)=0,"",LOOKUP(2,1/(人給データ!$B$2:$B$700=$A212),人給データ!$K$2:$K$700)),""))</f>
        <v/>
      </c>
      <c r="I212" s="12" t="n"/>
      <c r="J212">
        <f>IF($A212="","",IFERROR(IF(LOOKUP(2,1/(人給データ!$B$2:$B$700=$A212),人給データ!$N$2:$N$700)=0,"",LOOKUP(2,1/(人給データ!$B$2:$B$700=$A212),人給データ!$N$2:$N$700)),""))</f>
        <v/>
      </c>
      <c r="K212" s="13" t="n"/>
      <c r="L212" s="12" t="n"/>
      <c r="M212" s="12" t="n"/>
      <c r="N212" s="11" t="n"/>
      <c r="O212" s="11" t="n"/>
      <c r="P212" s="14">
        <f>IF(AND(M212&lt;&gt;"",O212=""),"保留中","")</f>
        <v/>
      </c>
      <c r="Q212" s="14">
        <f>IF(P212="保留中",COUNTIF(P$6:P212,"保留中"),"")</f>
        <v/>
      </c>
    </row>
    <row r="213">
      <c r="A213" s="12" t="n"/>
      <c r="B213">
        <f>IF($A213="","",IFERROR(IF(LOOKUP(2,1/(人給データ!$B$2:$B$700=$A213),人給データ!$C$2:$C$700)=0,"",LOOKUP(2,1/(人給データ!$B$2:$B$700=$A213),人給データ!$C$2:$C$700)),""))</f>
        <v/>
      </c>
      <c r="C213">
        <f>IF($A213="","",IFERROR(IF(LOOKUP(2,1/(人給データ!$B$2:$B$700=$A213),人給データ!$G$2:$G$700)=0,"",LOOKUP(2,1/(人給データ!$B$2:$B$700=$A213),人給データ!$G$2:$G$700)),""))</f>
        <v/>
      </c>
      <c r="D213">
        <f>IF($A213="","",IFERROR(IF(LOOKUP(2,1/(人給データ!$B$2:$B$700=$A213),人給データ!$Y$2:$Y$700)=0,"",LOOKUP(2,1/(人給データ!$B$2:$B$700=$A213),人給データ!$Y$2:$Y$700)),""))</f>
        <v/>
      </c>
      <c r="E213" s="20">
        <f>IF($A213="","",IFERROR(IF(LOOKUP(2,1/(人給データ!$B$2:$B$700=$A213),人給データ!$AB$2:$AB$700)=0,"",LOOKUP(2,1/(人給データ!$B$2:$B$700=$A213),人給データ!$AB$2:$AB$700)),""))</f>
        <v/>
      </c>
      <c r="F213" s="16">
        <f>IF(OR(E213="",NOT(ISNUMBER(E213))),"",DATE(YEAR(E213)+2,MONTH(E213),DAY(E213)-2))</f>
        <v/>
      </c>
      <c r="G213" s="20">
        <f>IF($A213="","",IFERROR(IF(LOOKUP(2,1/(人給データ!$B$2:$B$700=$A213),人給データ!$J$2:$J$700)=0,"",LOOKUP(2,1/(人給データ!$B$2:$B$700=$A213),人給データ!$J$2:$J$700)),""))</f>
        <v/>
      </c>
      <c r="H213" s="20">
        <f>IF($A213="","",IFERROR(IF(LOOKUP(2,1/(人給データ!$B$2:$B$700=$A213),人給データ!$K$2:$K$700)=0,"",LOOKUP(2,1/(人給データ!$B$2:$B$700=$A213),人給データ!$K$2:$K$700)),""))</f>
        <v/>
      </c>
      <c r="I213" s="12" t="n"/>
      <c r="J213">
        <f>IF($A213="","",IFERROR(IF(LOOKUP(2,1/(人給データ!$B$2:$B$700=$A213),人給データ!$N$2:$N$700)=0,"",LOOKUP(2,1/(人給データ!$B$2:$B$700=$A213),人給データ!$N$2:$N$700)),""))</f>
        <v/>
      </c>
      <c r="K213" s="13" t="n"/>
      <c r="L213" s="12" t="n"/>
      <c r="M213" s="12" t="n"/>
      <c r="N213" s="11" t="n"/>
      <c r="O213" s="11" t="n"/>
      <c r="P213" s="14">
        <f>IF(AND(M213&lt;&gt;"",O213=""),"保留中","")</f>
        <v/>
      </c>
      <c r="Q213" s="14">
        <f>IF(P213="保留中",COUNTIF(P$6:P213,"保留中"),"")</f>
        <v/>
      </c>
    </row>
    <row r="214">
      <c r="A214" s="12" t="n"/>
      <c r="B214">
        <f>IF($A214="","",IFERROR(IF(LOOKUP(2,1/(人給データ!$B$2:$B$700=$A214),人給データ!$C$2:$C$700)=0,"",LOOKUP(2,1/(人給データ!$B$2:$B$700=$A214),人給データ!$C$2:$C$700)),""))</f>
        <v/>
      </c>
      <c r="C214">
        <f>IF($A214="","",IFERROR(IF(LOOKUP(2,1/(人給データ!$B$2:$B$700=$A214),人給データ!$G$2:$G$700)=0,"",LOOKUP(2,1/(人給データ!$B$2:$B$700=$A214),人給データ!$G$2:$G$700)),""))</f>
        <v/>
      </c>
      <c r="D214">
        <f>IF($A214="","",IFERROR(IF(LOOKUP(2,1/(人給データ!$B$2:$B$700=$A214),人給データ!$Y$2:$Y$700)=0,"",LOOKUP(2,1/(人給データ!$B$2:$B$700=$A214),人給データ!$Y$2:$Y$700)),""))</f>
        <v/>
      </c>
      <c r="E214" s="20">
        <f>IF($A214="","",IFERROR(IF(LOOKUP(2,1/(人給データ!$B$2:$B$700=$A214),人給データ!$AB$2:$AB$700)=0,"",LOOKUP(2,1/(人給データ!$B$2:$B$700=$A214),人給データ!$AB$2:$AB$700)),""))</f>
        <v/>
      </c>
      <c r="F214" s="16">
        <f>IF(OR(E214="",NOT(ISNUMBER(E214))),"",DATE(YEAR(E214)+2,MONTH(E214),DAY(E214)-2))</f>
        <v/>
      </c>
      <c r="G214" s="20">
        <f>IF($A214="","",IFERROR(IF(LOOKUP(2,1/(人給データ!$B$2:$B$700=$A214),人給データ!$J$2:$J$700)=0,"",LOOKUP(2,1/(人給データ!$B$2:$B$700=$A214),人給データ!$J$2:$J$700)),""))</f>
        <v/>
      </c>
      <c r="H214" s="20">
        <f>IF($A214="","",IFERROR(IF(LOOKUP(2,1/(人給データ!$B$2:$B$700=$A214),人給データ!$K$2:$K$700)=0,"",LOOKUP(2,1/(人給データ!$B$2:$B$700=$A214),人給データ!$K$2:$K$700)),""))</f>
        <v/>
      </c>
      <c r="I214" s="12" t="n"/>
      <c r="J214">
        <f>IF($A214="","",IFERROR(IF(LOOKUP(2,1/(人給データ!$B$2:$B$700=$A214),人給データ!$N$2:$N$700)=0,"",LOOKUP(2,1/(人給データ!$B$2:$B$700=$A214),人給データ!$N$2:$N$700)),""))</f>
        <v/>
      </c>
      <c r="K214" s="13" t="n"/>
      <c r="L214" s="12" t="n"/>
      <c r="M214" s="12" t="n"/>
      <c r="N214" s="11" t="n"/>
      <c r="O214" s="11" t="n"/>
      <c r="P214" s="14">
        <f>IF(AND(M214&lt;&gt;"",O214=""),"保留中","")</f>
        <v/>
      </c>
      <c r="Q214" s="14">
        <f>IF(P214="保留中",COUNTIF(P$6:P214,"保留中"),"")</f>
        <v/>
      </c>
    </row>
    <row r="215">
      <c r="A215" s="12" t="n"/>
      <c r="B215">
        <f>IF($A215="","",IFERROR(IF(LOOKUP(2,1/(人給データ!$B$2:$B$700=$A215),人給データ!$C$2:$C$700)=0,"",LOOKUP(2,1/(人給データ!$B$2:$B$700=$A215),人給データ!$C$2:$C$700)),""))</f>
        <v/>
      </c>
      <c r="C215">
        <f>IF($A215="","",IFERROR(IF(LOOKUP(2,1/(人給データ!$B$2:$B$700=$A215),人給データ!$G$2:$G$700)=0,"",LOOKUP(2,1/(人給データ!$B$2:$B$700=$A215),人給データ!$G$2:$G$700)),""))</f>
        <v/>
      </c>
      <c r="D215">
        <f>IF($A215="","",IFERROR(IF(LOOKUP(2,1/(人給データ!$B$2:$B$700=$A215),人給データ!$Y$2:$Y$700)=0,"",LOOKUP(2,1/(人給データ!$B$2:$B$700=$A215),人給データ!$Y$2:$Y$700)),""))</f>
        <v/>
      </c>
      <c r="E215" s="20">
        <f>IF($A215="","",IFERROR(IF(LOOKUP(2,1/(人給データ!$B$2:$B$700=$A215),人給データ!$AB$2:$AB$700)=0,"",LOOKUP(2,1/(人給データ!$B$2:$B$700=$A215),人給データ!$AB$2:$AB$700)),""))</f>
        <v/>
      </c>
      <c r="F215" s="16">
        <f>IF(OR(E215="",NOT(ISNUMBER(E215))),"",DATE(YEAR(E215)+2,MONTH(E215),DAY(E215)-2))</f>
        <v/>
      </c>
      <c r="G215" s="20">
        <f>IF($A215="","",IFERROR(IF(LOOKUP(2,1/(人給データ!$B$2:$B$700=$A215),人給データ!$J$2:$J$700)=0,"",LOOKUP(2,1/(人給データ!$B$2:$B$700=$A215),人給データ!$J$2:$J$700)),""))</f>
        <v/>
      </c>
      <c r="H215" s="20">
        <f>IF($A215="","",IFERROR(IF(LOOKUP(2,1/(人給データ!$B$2:$B$700=$A215),人給データ!$K$2:$K$700)=0,"",LOOKUP(2,1/(人給データ!$B$2:$B$700=$A215),人給データ!$K$2:$K$700)),""))</f>
        <v/>
      </c>
      <c r="I215" s="12" t="n"/>
      <c r="J215">
        <f>IF($A215="","",IFERROR(IF(LOOKUP(2,1/(人給データ!$B$2:$B$700=$A215),人給データ!$N$2:$N$700)=0,"",LOOKUP(2,1/(人給データ!$B$2:$B$700=$A215),人給データ!$N$2:$N$700)),""))</f>
        <v/>
      </c>
      <c r="K215" s="13" t="n"/>
      <c r="L215" s="12" t="n"/>
      <c r="M215" s="12" t="n"/>
      <c r="N215" s="11" t="n"/>
      <c r="O215" s="11" t="n"/>
      <c r="P215" s="14">
        <f>IF(AND(M215&lt;&gt;"",O215=""),"保留中","")</f>
        <v/>
      </c>
      <c r="Q215" s="14">
        <f>IF(P215="保留中",COUNTIF(P$6:P215,"保留中"),"")</f>
        <v/>
      </c>
    </row>
    <row r="216">
      <c r="A216" s="12" t="n"/>
      <c r="B216">
        <f>IF($A216="","",IFERROR(IF(LOOKUP(2,1/(人給データ!$B$2:$B$700=$A216),人給データ!$C$2:$C$700)=0,"",LOOKUP(2,1/(人給データ!$B$2:$B$700=$A216),人給データ!$C$2:$C$700)),""))</f>
        <v/>
      </c>
      <c r="C216">
        <f>IF($A216="","",IFERROR(IF(LOOKUP(2,1/(人給データ!$B$2:$B$700=$A216),人給データ!$G$2:$G$700)=0,"",LOOKUP(2,1/(人給データ!$B$2:$B$700=$A216),人給データ!$G$2:$G$700)),""))</f>
        <v/>
      </c>
      <c r="D216">
        <f>IF($A216="","",IFERROR(IF(LOOKUP(2,1/(人給データ!$B$2:$B$700=$A216),人給データ!$Y$2:$Y$700)=0,"",LOOKUP(2,1/(人給データ!$B$2:$B$700=$A216),人給データ!$Y$2:$Y$700)),""))</f>
        <v/>
      </c>
      <c r="E216" s="20">
        <f>IF($A216="","",IFERROR(IF(LOOKUP(2,1/(人給データ!$B$2:$B$700=$A216),人給データ!$AB$2:$AB$700)=0,"",LOOKUP(2,1/(人給データ!$B$2:$B$700=$A216),人給データ!$AB$2:$AB$700)),""))</f>
        <v/>
      </c>
      <c r="F216" s="16">
        <f>IF(OR(E216="",NOT(ISNUMBER(E216))),"",DATE(YEAR(E216)+2,MONTH(E216),DAY(E216)-2))</f>
        <v/>
      </c>
      <c r="G216" s="20">
        <f>IF($A216="","",IFERROR(IF(LOOKUP(2,1/(人給データ!$B$2:$B$700=$A216),人給データ!$J$2:$J$700)=0,"",LOOKUP(2,1/(人給データ!$B$2:$B$700=$A216),人給データ!$J$2:$J$700)),""))</f>
        <v/>
      </c>
      <c r="H216" s="20">
        <f>IF($A216="","",IFERROR(IF(LOOKUP(2,1/(人給データ!$B$2:$B$700=$A216),人給データ!$K$2:$K$700)=0,"",LOOKUP(2,1/(人給データ!$B$2:$B$700=$A216),人給データ!$K$2:$K$700)),""))</f>
        <v/>
      </c>
      <c r="I216" s="12" t="n"/>
      <c r="J216">
        <f>IF($A216="","",IFERROR(IF(LOOKUP(2,1/(人給データ!$B$2:$B$700=$A216),人給データ!$N$2:$N$700)=0,"",LOOKUP(2,1/(人給データ!$B$2:$B$700=$A216),人給データ!$N$2:$N$700)),""))</f>
        <v/>
      </c>
      <c r="K216" s="13" t="n"/>
      <c r="L216" s="12" t="n"/>
      <c r="M216" s="12" t="n"/>
      <c r="N216" s="11" t="n"/>
      <c r="O216" s="11" t="n"/>
      <c r="P216" s="14">
        <f>IF(AND(M216&lt;&gt;"",O216=""),"保留中","")</f>
        <v/>
      </c>
      <c r="Q216" s="14">
        <f>IF(P216="保留中",COUNTIF(P$6:P216,"保留中"),"")</f>
        <v/>
      </c>
    </row>
    <row r="217">
      <c r="A217" s="12" t="n"/>
      <c r="B217">
        <f>IF($A217="","",IFERROR(IF(LOOKUP(2,1/(人給データ!$B$2:$B$700=$A217),人給データ!$C$2:$C$700)=0,"",LOOKUP(2,1/(人給データ!$B$2:$B$700=$A217),人給データ!$C$2:$C$700)),""))</f>
        <v/>
      </c>
      <c r="C217">
        <f>IF($A217="","",IFERROR(IF(LOOKUP(2,1/(人給データ!$B$2:$B$700=$A217),人給データ!$G$2:$G$700)=0,"",LOOKUP(2,1/(人給データ!$B$2:$B$700=$A217),人給データ!$G$2:$G$700)),""))</f>
        <v/>
      </c>
      <c r="D217">
        <f>IF($A217="","",IFERROR(IF(LOOKUP(2,1/(人給データ!$B$2:$B$700=$A217),人給データ!$Y$2:$Y$700)=0,"",LOOKUP(2,1/(人給データ!$B$2:$B$700=$A217),人給データ!$Y$2:$Y$700)),""))</f>
        <v/>
      </c>
      <c r="E217" s="20">
        <f>IF($A217="","",IFERROR(IF(LOOKUP(2,1/(人給データ!$B$2:$B$700=$A217),人給データ!$AB$2:$AB$700)=0,"",LOOKUP(2,1/(人給データ!$B$2:$B$700=$A217),人給データ!$AB$2:$AB$700)),""))</f>
        <v/>
      </c>
      <c r="F217" s="16">
        <f>IF(OR(E217="",NOT(ISNUMBER(E217))),"",DATE(YEAR(E217)+2,MONTH(E217),DAY(E217)-2))</f>
        <v/>
      </c>
      <c r="G217" s="20">
        <f>IF($A217="","",IFERROR(IF(LOOKUP(2,1/(人給データ!$B$2:$B$700=$A217),人給データ!$J$2:$J$700)=0,"",LOOKUP(2,1/(人給データ!$B$2:$B$700=$A217),人給データ!$J$2:$J$700)),""))</f>
        <v/>
      </c>
      <c r="H217" s="20">
        <f>IF($A217="","",IFERROR(IF(LOOKUP(2,1/(人給データ!$B$2:$B$700=$A217),人給データ!$K$2:$K$700)=0,"",LOOKUP(2,1/(人給データ!$B$2:$B$700=$A217),人給データ!$K$2:$K$700)),""))</f>
        <v/>
      </c>
      <c r="I217" s="12" t="n"/>
      <c r="J217">
        <f>IF($A217="","",IFERROR(IF(LOOKUP(2,1/(人給データ!$B$2:$B$700=$A217),人給データ!$N$2:$N$700)=0,"",LOOKUP(2,1/(人給データ!$B$2:$B$700=$A217),人給データ!$N$2:$N$700)),""))</f>
        <v/>
      </c>
      <c r="K217" s="13" t="n"/>
      <c r="L217" s="12" t="n"/>
      <c r="M217" s="12" t="n"/>
      <c r="N217" s="11" t="n"/>
      <c r="O217" s="11" t="n"/>
      <c r="P217" s="14">
        <f>IF(AND(M217&lt;&gt;"",O217=""),"保留中","")</f>
        <v/>
      </c>
      <c r="Q217" s="14">
        <f>IF(P217="保留中",COUNTIF(P$6:P217,"保留中"),"")</f>
        <v/>
      </c>
    </row>
    <row r="218">
      <c r="A218" s="12" t="n"/>
      <c r="B218">
        <f>IF($A218="","",IFERROR(IF(LOOKUP(2,1/(人給データ!$B$2:$B$700=$A218),人給データ!$C$2:$C$700)=0,"",LOOKUP(2,1/(人給データ!$B$2:$B$700=$A218),人給データ!$C$2:$C$700)),""))</f>
        <v/>
      </c>
      <c r="C218">
        <f>IF($A218="","",IFERROR(IF(LOOKUP(2,1/(人給データ!$B$2:$B$700=$A218),人給データ!$G$2:$G$700)=0,"",LOOKUP(2,1/(人給データ!$B$2:$B$700=$A218),人給データ!$G$2:$G$700)),""))</f>
        <v/>
      </c>
      <c r="D218">
        <f>IF($A218="","",IFERROR(IF(LOOKUP(2,1/(人給データ!$B$2:$B$700=$A218),人給データ!$Y$2:$Y$700)=0,"",LOOKUP(2,1/(人給データ!$B$2:$B$700=$A218),人給データ!$Y$2:$Y$700)),""))</f>
        <v/>
      </c>
      <c r="E218" s="20">
        <f>IF($A218="","",IFERROR(IF(LOOKUP(2,1/(人給データ!$B$2:$B$700=$A218),人給データ!$AB$2:$AB$700)=0,"",LOOKUP(2,1/(人給データ!$B$2:$B$700=$A218),人給データ!$AB$2:$AB$700)),""))</f>
        <v/>
      </c>
      <c r="F218" s="16">
        <f>IF(OR(E218="",NOT(ISNUMBER(E218))),"",DATE(YEAR(E218)+2,MONTH(E218),DAY(E218)-2))</f>
        <v/>
      </c>
      <c r="G218" s="20">
        <f>IF($A218="","",IFERROR(IF(LOOKUP(2,1/(人給データ!$B$2:$B$700=$A218),人給データ!$J$2:$J$700)=0,"",LOOKUP(2,1/(人給データ!$B$2:$B$700=$A218),人給データ!$J$2:$J$700)),""))</f>
        <v/>
      </c>
      <c r="H218" s="20">
        <f>IF($A218="","",IFERROR(IF(LOOKUP(2,1/(人給データ!$B$2:$B$700=$A218),人給データ!$K$2:$K$700)=0,"",LOOKUP(2,1/(人給データ!$B$2:$B$700=$A218),人給データ!$K$2:$K$700)),""))</f>
        <v/>
      </c>
      <c r="I218" s="12" t="n"/>
      <c r="J218">
        <f>IF($A218="","",IFERROR(IF(LOOKUP(2,1/(人給データ!$B$2:$B$700=$A218),人給データ!$N$2:$N$700)=0,"",LOOKUP(2,1/(人給データ!$B$2:$B$700=$A218),人給データ!$N$2:$N$700)),""))</f>
        <v/>
      </c>
      <c r="K218" s="13" t="n"/>
      <c r="L218" s="12" t="n"/>
      <c r="M218" s="12" t="n"/>
      <c r="N218" s="11" t="n"/>
      <c r="O218" s="11" t="n"/>
      <c r="P218" s="14">
        <f>IF(AND(M218&lt;&gt;"",O218=""),"保留中","")</f>
        <v/>
      </c>
      <c r="Q218" s="14">
        <f>IF(P218="保留中",COUNTIF(P$6:P218,"保留中"),"")</f>
        <v/>
      </c>
    </row>
    <row r="219">
      <c r="A219" s="12" t="n"/>
      <c r="B219">
        <f>IF($A219="","",IFERROR(IF(LOOKUP(2,1/(人給データ!$B$2:$B$700=$A219),人給データ!$C$2:$C$700)=0,"",LOOKUP(2,1/(人給データ!$B$2:$B$700=$A219),人給データ!$C$2:$C$700)),""))</f>
        <v/>
      </c>
      <c r="C219">
        <f>IF($A219="","",IFERROR(IF(LOOKUP(2,1/(人給データ!$B$2:$B$700=$A219),人給データ!$G$2:$G$700)=0,"",LOOKUP(2,1/(人給データ!$B$2:$B$700=$A219),人給データ!$G$2:$G$700)),""))</f>
        <v/>
      </c>
      <c r="D219">
        <f>IF($A219="","",IFERROR(IF(LOOKUP(2,1/(人給データ!$B$2:$B$700=$A219),人給データ!$Y$2:$Y$700)=0,"",LOOKUP(2,1/(人給データ!$B$2:$B$700=$A219),人給データ!$Y$2:$Y$700)),""))</f>
        <v/>
      </c>
      <c r="E219" s="20">
        <f>IF($A219="","",IFERROR(IF(LOOKUP(2,1/(人給データ!$B$2:$B$700=$A219),人給データ!$AB$2:$AB$700)=0,"",LOOKUP(2,1/(人給データ!$B$2:$B$700=$A219),人給データ!$AB$2:$AB$700)),""))</f>
        <v/>
      </c>
      <c r="F219" s="16">
        <f>IF(OR(E219="",NOT(ISNUMBER(E219))),"",DATE(YEAR(E219)+2,MONTH(E219),DAY(E219)-2))</f>
        <v/>
      </c>
      <c r="G219" s="20">
        <f>IF($A219="","",IFERROR(IF(LOOKUP(2,1/(人給データ!$B$2:$B$700=$A219),人給データ!$J$2:$J$700)=0,"",LOOKUP(2,1/(人給データ!$B$2:$B$700=$A219),人給データ!$J$2:$J$700)),""))</f>
        <v/>
      </c>
      <c r="H219" s="20">
        <f>IF($A219="","",IFERROR(IF(LOOKUP(2,1/(人給データ!$B$2:$B$700=$A219),人給データ!$K$2:$K$700)=0,"",LOOKUP(2,1/(人給データ!$B$2:$B$700=$A219),人給データ!$K$2:$K$700)),""))</f>
        <v/>
      </c>
      <c r="I219" s="12" t="n"/>
      <c r="J219">
        <f>IF($A219="","",IFERROR(IF(LOOKUP(2,1/(人給データ!$B$2:$B$700=$A219),人給データ!$N$2:$N$700)=0,"",LOOKUP(2,1/(人給データ!$B$2:$B$700=$A219),人給データ!$N$2:$N$700)),""))</f>
        <v/>
      </c>
      <c r="K219" s="13" t="n"/>
      <c r="L219" s="12" t="n"/>
      <c r="M219" s="12" t="n"/>
      <c r="N219" s="11" t="n"/>
      <c r="O219" s="11" t="n"/>
      <c r="P219" s="14">
        <f>IF(AND(M219&lt;&gt;"",O219=""),"保留中","")</f>
        <v/>
      </c>
      <c r="Q219" s="14">
        <f>IF(P219="保留中",COUNTIF(P$6:P219,"保留中"),"")</f>
        <v/>
      </c>
    </row>
    <row r="220">
      <c r="A220" s="12" t="n"/>
      <c r="B220">
        <f>IF($A220="","",IFERROR(IF(LOOKUP(2,1/(人給データ!$B$2:$B$700=$A220),人給データ!$C$2:$C$700)=0,"",LOOKUP(2,1/(人給データ!$B$2:$B$700=$A220),人給データ!$C$2:$C$700)),""))</f>
        <v/>
      </c>
      <c r="C220">
        <f>IF($A220="","",IFERROR(IF(LOOKUP(2,1/(人給データ!$B$2:$B$700=$A220),人給データ!$G$2:$G$700)=0,"",LOOKUP(2,1/(人給データ!$B$2:$B$700=$A220),人給データ!$G$2:$G$700)),""))</f>
        <v/>
      </c>
      <c r="D220">
        <f>IF($A220="","",IFERROR(IF(LOOKUP(2,1/(人給データ!$B$2:$B$700=$A220),人給データ!$Y$2:$Y$700)=0,"",LOOKUP(2,1/(人給データ!$B$2:$B$700=$A220),人給データ!$Y$2:$Y$700)),""))</f>
        <v/>
      </c>
      <c r="E220" s="20">
        <f>IF($A220="","",IFERROR(IF(LOOKUP(2,1/(人給データ!$B$2:$B$700=$A220),人給データ!$AB$2:$AB$700)=0,"",LOOKUP(2,1/(人給データ!$B$2:$B$700=$A220),人給データ!$AB$2:$AB$700)),""))</f>
        <v/>
      </c>
      <c r="F220" s="16">
        <f>IF(OR(E220="",NOT(ISNUMBER(E220))),"",DATE(YEAR(E220)+2,MONTH(E220),DAY(E220)-2))</f>
        <v/>
      </c>
      <c r="G220" s="20">
        <f>IF($A220="","",IFERROR(IF(LOOKUP(2,1/(人給データ!$B$2:$B$700=$A220),人給データ!$J$2:$J$700)=0,"",LOOKUP(2,1/(人給データ!$B$2:$B$700=$A220),人給データ!$J$2:$J$700)),""))</f>
        <v/>
      </c>
      <c r="H220" s="20">
        <f>IF($A220="","",IFERROR(IF(LOOKUP(2,1/(人給データ!$B$2:$B$700=$A220),人給データ!$K$2:$K$700)=0,"",LOOKUP(2,1/(人給データ!$B$2:$B$700=$A220),人給データ!$K$2:$K$700)),""))</f>
        <v/>
      </c>
      <c r="I220" s="12" t="n"/>
      <c r="J220">
        <f>IF($A220="","",IFERROR(IF(LOOKUP(2,1/(人給データ!$B$2:$B$700=$A220),人給データ!$N$2:$N$700)=0,"",LOOKUP(2,1/(人給データ!$B$2:$B$700=$A220),人給データ!$N$2:$N$700)),""))</f>
        <v/>
      </c>
      <c r="K220" s="13" t="n"/>
      <c r="L220" s="12" t="n"/>
      <c r="M220" s="12" t="n"/>
      <c r="N220" s="11" t="n"/>
      <c r="O220" s="11" t="n"/>
      <c r="P220" s="14">
        <f>IF(AND(M220&lt;&gt;"",O220=""),"保留中","")</f>
        <v/>
      </c>
      <c r="Q220" s="14">
        <f>IF(P220="保留中",COUNTIF(P$6:P220,"保留中"),"")</f>
        <v/>
      </c>
    </row>
    <row r="221">
      <c r="A221" s="12" t="n"/>
      <c r="B221">
        <f>IF($A221="","",IFERROR(IF(LOOKUP(2,1/(人給データ!$B$2:$B$700=$A221),人給データ!$C$2:$C$700)=0,"",LOOKUP(2,1/(人給データ!$B$2:$B$700=$A221),人給データ!$C$2:$C$700)),""))</f>
        <v/>
      </c>
      <c r="C221">
        <f>IF($A221="","",IFERROR(IF(LOOKUP(2,1/(人給データ!$B$2:$B$700=$A221),人給データ!$G$2:$G$700)=0,"",LOOKUP(2,1/(人給データ!$B$2:$B$700=$A221),人給データ!$G$2:$G$700)),""))</f>
        <v/>
      </c>
      <c r="D221">
        <f>IF($A221="","",IFERROR(IF(LOOKUP(2,1/(人給データ!$B$2:$B$700=$A221),人給データ!$Y$2:$Y$700)=0,"",LOOKUP(2,1/(人給データ!$B$2:$B$700=$A221),人給データ!$Y$2:$Y$700)),""))</f>
        <v/>
      </c>
      <c r="E221" s="20">
        <f>IF($A221="","",IFERROR(IF(LOOKUP(2,1/(人給データ!$B$2:$B$700=$A221),人給データ!$AB$2:$AB$700)=0,"",LOOKUP(2,1/(人給データ!$B$2:$B$700=$A221),人給データ!$AB$2:$AB$700)),""))</f>
        <v/>
      </c>
      <c r="F221" s="16">
        <f>IF(OR(E221="",NOT(ISNUMBER(E221))),"",DATE(YEAR(E221)+2,MONTH(E221),DAY(E221)-2))</f>
        <v/>
      </c>
      <c r="G221" s="20">
        <f>IF($A221="","",IFERROR(IF(LOOKUP(2,1/(人給データ!$B$2:$B$700=$A221),人給データ!$J$2:$J$700)=0,"",LOOKUP(2,1/(人給データ!$B$2:$B$700=$A221),人給データ!$J$2:$J$700)),""))</f>
        <v/>
      </c>
      <c r="H221" s="20">
        <f>IF($A221="","",IFERROR(IF(LOOKUP(2,1/(人給データ!$B$2:$B$700=$A221),人給データ!$K$2:$K$700)=0,"",LOOKUP(2,1/(人給データ!$B$2:$B$700=$A221),人給データ!$K$2:$K$700)),""))</f>
        <v/>
      </c>
      <c r="I221" s="12" t="n"/>
      <c r="J221">
        <f>IF($A221="","",IFERROR(IF(LOOKUP(2,1/(人給データ!$B$2:$B$700=$A221),人給データ!$N$2:$N$700)=0,"",LOOKUP(2,1/(人給データ!$B$2:$B$700=$A221),人給データ!$N$2:$N$700)),""))</f>
        <v/>
      </c>
      <c r="K221" s="13" t="n"/>
      <c r="L221" s="12" t="n"/>
      <c r="M221" s="12" t="n"/>
      <c r="N221" s="11" t="n"/>
      <c r="O221" s="11" t="n"/>
      <c r="P221" s="14">
        <f>IF(AND(M221&lt;&gt;"",O221=""),"保留中","")</f>
        <v/>
      </c>
      <c r="Q221" s="14">
        <f>IF(P221="保留中",COUNTIF(P$6:P221,"保留中"),"")</f>
        <v/>
      </c>
    </row>
    <row r="222">
      <c r="A222" s="12" t="n"/>
      <c r="B222">
        <f>IF($A222="","",IFERROR(IF(LOOKUP(2,1/(人給データ!$B$2:$B$700=$A222),人給データ!$C$2:$C$700)=0,"",LOOKUP(2,1/(人給データ!$B$2:$B$700=$A222),人給データ!$C$2:$C$700)),""))</f>
        <v/>
      </c>
      <c r="C222">
        <f>IF($A222="","",IFERROR(IF(LOOKUP(2,1/(人給データ!$B$2:$B$700=$A222),人給データ!$G$2:$G$700)=0,"",LOOKUP(2,1/(人給データ!$B$2:$B$700=$A222),人給データ!$G$2:$G$700)),""))</f>
        <v/>
      </c>
      <c r="D222">
        <f>IF($A222="","",IFERROR(IF(LOOKUP(2,1/(人給データ!$B$2:$B$700=$A222),人給データ!$Y$2:$Y$700)=0,"",LOOKUP(2,1/(人給データ!$B$2:$B$700=$A222),人給データ!$Y$2:$Y$700)),""))</f>
        <v/>
      </c>
      <c r="E222" s="20">
        <f>IF($A222="","",IFERROR(IF(LOOKUP(2,1/(人給データ!$B$2:$B$700=$A222),人給データ!$AB$2:$AB$700)=0,"",LOOKUP(2,1/(人給データ!$B$2:$B$700=$A222),人給データ!$AB$2:$AB$700)),""))</f>
        <v/>
      </c>
      <c r="F222" s="16">
        <f>IF(OR(E222="",NOT(ISNUMBER(E222))),"",DATE(YEAR(E222)+2,MONTH(E222),DAY(E222)-2))</f>
        <v/>
      </c>
      <c r="G222" s="20">
        <f>IF($A222="","",IFERROR(IF(LOOKUP(2,1/(人給データ!$B$2:$B$700=$A222),人給データ!$J$2:$J$700)=0,"",LOOKUP(2,1/(人給データ!$B$2:$B$700=$A222),人給データ!$J$2:$J$700)),""))</f>
        <v/>
      </c>
      <c r="H222" s="20">
        <f>IF($A222="","",IFERROR(IF(LOOKUP(2,1/(人給データ!$B$2:$B$700=$A222),人給データ!$K$2:$K$700)=0,"",LOOKUP(2,1/(人給データ!$B$2:$B$700=$A222),人給データ!$K$2:$K$700)),""))</f>
        <v/>
      </c>
      <c r="I222" s="12" t="n"/>
      <c r="J222">
        <f>IF($A222="","",IFERROR(IF(LOOKUP(2,1/(人給データ!$B$2:$B$700=$A222),人給データ!$N$2:$N$700)=0,"",LOOKUP(2,1/(人給データ!$B$2:$B$700=$A222),人給データ!$N$2:$N$700)),""))</f>
        <v/>
      </c>
      <c r="K222" s="13" t="n"/>
      <c r="L222" s="12" t="n"/>
      <c r="M222" s="12" t="n"/>
      <c r="N222" s="11" t="n"/>
      <c r="O222" s="11" t="n"/>
      <c r="P222" s="14">
        <f>IF(AND(M222&lt;&gt;"",O222=""),"保留中","")</f>
        <v/>
      </c>
      <c r="Q222" s="14">
        <f>IF(P222="保留中",COUNTIF(P$6:P222,"保留中"),"")</f>
        <v/>
      </c>
    </row>
    <row r="223">
      <c r="A223" s="12" t="n"/>
      <c r="B223">
        <f>IF($A223="","",IFERROR(IF(LOOKUP(2,1/(人給データ!$B$2:$B$700=$A223),人給データ!$C$2:$C$700)=0,"",LOOKUP(2,1/(人給データ!$B$2:$B$700=$A223),人給データ!$C$2:$C$700)),""))</f>
        <v/>
      </c>
      <c r="C223">
        <f>IF($A223="","",IFERROR(IF(LOOKUP(2,1/(人給データ!$B$2:$B$700=$A223),人給データ!$G$2:$G$700)=0,"",LOOKUP(2,1/(人給データ!$B$2:$B$700=$A223),人給データ!$G$2:$G$700)),""))</f>
        <v/>
      </c>
      <c r="D223">
        <f>IF($A223="","",IFERROR(IF(LOOKUP(2,1/(人給データ!$B$2:$B$700=$A223),人給データ!$Y$2:$Y$700)=0,"",LOOKUP(2,1/(人給データ!$B$2:$B$700=$A223),人給データ!$Y$2:$Y$700)),""))</f>
        <v/>
      </c>
      <c r="E223" s="20">
        <f>IF($A223="","",IFERROR(IF(LOOKUP(2,1/(人給データ!$B$2:$B$700=$A223),人給データ!$AB$2:$AB$700)=0,"",LOOKUP(2,1/(人給データ!$B$2:$B$700=$A223),人給データ!$AB$2:$AB$700)),""))</f>
        <v/>
      </c>
      <c r="F223" s="16">
        <f>IF(OR(E223="",NOT(ISNUMBER(E223))),"",DATE(YEAR(E223)+2,MONTH(E223),DAY(E223)-2))</f>
        <v/>
      </c>
      <c r="G223" s="20">
        <f>IF($A223="","",IFERROR(IF(LOOKUP(2,1/(人給データ!$B$2:$B$700=$A223),人給データ!$J$2:$J$700)=0,"",LOOKUP(2,1/(人給データ!$B$2:$B$700=$A223),人給データ!$J$2:$J$700)),""))</f>
        <v/>
      </c>
      <c r="H223" s="20">
        <f>IF($A223="","",IFERROR(IF(LOOKUP(2,1/(人給データ!$B$2:$B$700=$A223),人給データ!$K$2:$K$700)=0,"",LOOKUP(2,1/(人給データ!$B$2:$B$700=$A223),人給データ!$K$2:$K$700)),""))</f>
        <v/>
      </c>
      <c r="I223" s="12" t="n"/>
      <c r="J223">
        <f>IF($A223="","",IFERROR(IF(LOOKUP(2,1/(人給データ!$B$2:$B$700=$A223),人給データ!$N$2:$N$700)=0,"",LOOKUP(2,1/(人給データ!$B$2:$B$700=$A223),人給データ!$N$2:$N$700)),""))</f>
        <v/>
      </c>
      <c r="K223" s="13" t="n"/>
      <c r="L223" s="12" t="n"/>
      <c r="M223" s="12" t="n"/>
      <c r="N223" s="11" t="n"/>
      <c r="O223" s="11" t="n"/>
      <c r="P223" s="14">
        <f>IF(AND(M223&lt;&gt;"",O223=""),"保留中","")</f>
        <v/>
      </c>
      <c r="Q223" s="14">
        <f>IF(P223="保留中",COUNTIF(P$6:P223,"保留中"),"")</f>
        <v/>
      </c>
    </row>
    <row r="224">
      <c r="A224" s="12" t="n"/>
      <c r="B224">
        <f>IF($A224="","",IFERROR(IF(LOOKUP(2,1/(人給データ!$B$2:$B$700=$A224),人給データ!$C$2:$C$700)=0,"",LOOKUP(2,1/(人給データ!$B$2:$B$700=$A224),人給データ!$C$2:$C$700)),""))</f>
        <v/>
      </c>
      <c r="C224">
        <f>IF($A224="","",IFERROR(IF(LOOKUP(2,1/(人給データ!$B$2:$B$700=$A224),人給データ!$G$2:$G$700)=0,"",LOOKUP(2,1/(人給データ!$B$2:$B$700=$A224),人給データ!$G$2:$G$700)),""))</f>
        <v/>
      </c>
      <c r="D224">
        <f>IF($A224="","",IFERROR(IF(LOOKUP(2,1/(人給データ!$B$2:$B$700=$A224),人給データ!$Y$2:$Y$700)=0,"",LOOKUP(2,1/(人給データ!$B$2:$B$700=$A224),人給データ!$Y$2:$Y$700)),""))</f>
        <v/>
      </c>
      <c r="E224" s="20">
        <f>IF($A224="","",IFERROR(IF(LOOKUP(2,1/(人給データ!$B$2:$B$700=$A224),人給データ!$AB$2:$AB$700)=0,"",LOOKUP(2,1/(人給データ!$B$2:$B$700=$A224),人給データ!$AB$2:$AB$700)),""))</f>
        <v/>
      </c>
      <c r="F224" s="16">
        <f>IF(OR(E224="",NOT(ISNUMBER(E224))),"",DATE(YEAR(E224)+2,MONTH(E224),DAY(E224)-2))</f>
        <v/>
      </c>
      <c r="G224" s="20">
        <f>IF($A224="","",IFERROR(IF(LOOKUP(2,1/(人給データ!$B$2:$B$700=$A224),人給データ!$J$2:$J$700)=0,"",LOOKUP(2,1/(人給データ!$B$2:$B$700=$A224),人給データ!$J$2:$J$700)),""))</f>
        <v/>
      </c>
      <c r="H224" s="20">
        <f>IF($A224="","",IFERROR(IF(LOOKUP(2,1/(人給データ!$B$2:$B$700=$A224),人給データ!$K$2:$K$700)=0,"",LOOKUP(2,1/(人給データ!$B$2:$B$700=$A224),人給データ!$K$2:$K$700)),""))</f>
        <v/>
      </c>
      <c r="I224" s="12" t="n"/>
      <c r="J224">
        <f>IF($A224="","",IFERROR(IF(LOOKUP(2,1/(人給データ!$B$2:$B$700=$A224),人給データ!$N$2:$N$700)=0,"",LOOKUP(2,1/(人給データ!$B$2:$B$700=$A224),人給データ!$N$2:$N$700)),""))</f>
        <v/>
      </c>
      <c r="K224" s="13" t="n"/>
      <c r="L224" s="12" t="n"/>
      <c r="M224" s="12" t="n"/>
      <c r="N224" s="11" t="n"/>
      <c r="O224" s="11" t="n"/>
      <c r="P224" s="14">
        <f>IF(AND(M224&lt;&gt;"",O224=""),"保留中","")</f>
        <v/>
      </c>
      <c r="Q224" s="14">
        <f>IF(P224="保留中",COUNTIF(P$6:P224,"保留中"),"")</f>
        <v/>
      </c>
    </row>
    <row r="225">
      <c r="A225" s="12" t="n"/>
      <c r="B225">
        <f>IF($A225="","",IFERROR(IF(LOOKUP(2,1/(人給データ!$B$2:$B$700=$A225),人給データ!$C$2:$C$700)=0,"",LOOKUP(2,1/(人給データ!$B$2:$B$700=$A225),人給データ!$C$2:$C$700)),""))</f>
        <v/>
      </c>
      <c r="C225">
        <f>IF($A225="","",IFERROR(IF(LOOKUP(2,1/(人給データ!$B$2:$B$700=$A225),人給データ!$G$2:$G$700)=0,"",LOOKUP(2,1/(人給データ!$B$2:$B$700=$A225),人給データ!$G$2:$G$700)),""))</f>
        <v/>
      </c>
      <c r="D225">
        <f>IF($A225="","",IFERROR(IF(LOOKUP(2,1/(人給データ!$B$2:$B$700=$A225),人給データ!$Y$2:$Y$700)=0,"",LOOKUP(2,1/(人給データ!$B$2:$B$700=$A225),人給データ!$Y$2:$Y$700)),""))</f>
        <v/>
      </c>
      <c r="E225" s="20">
        <f>IF($A225="","",IFERROR(IF(LOOKUP(2,1/(人給データ!$B$2:$B$700=$A225),人給データ!$AB$2:$AB$700)=0,"",LOOKUP(2,1/(人給データ!$B$2:$B$700=$A225),人給データ!$AB$2:$AB$700)),""))</f>
        <v/>
      </c>
      <c r="F225" s="16">
        <f>IF(OR(E225="",NOT(ISNUMBER(E225))),"",DATE(YEAR(E225)+2,MONTH(E225),DAY(E225)-2))</f>
        <v/>
      </c>
      <c r="G225" s="20">
        <f>IF($A225="","",IFERROR(IF(LOOKUP(2,1/(人給データ!$B$2:$B$700=$A225),人給データ!$J$2:$J$700)=0,"",LOOKUP(2,1/(人給データ!$B$2:$B$700=$A225),人給データ!$J$2:$J$700)),""))</f>
        <v/>
      </c>
      <c r="H225" s="20">
        <f>IF($A225="","",IFERROR(IF(LOOKUP(2,1/(人給データ!$B$2:$B$700=$A225),人給データ!$K$2:$K$700)=0,"",LOOKUP(2,1/(人給データ!$B$2:$B$700=$A225),人給データ!$K$2:$K$700)),""))</f>
        <v/>
      </c>
      <c r="I225" s="12" t="n"/>
      <c r="J225">
        <f>IF($A225="","",IFERROR(IF(LOOKUP(2,1/(人給データ!$B$2:$B$700=$A225),人給データ!$N$2:$N$700)=0,"",LOOKUP(2,1/(人給データ!$B$2:$B$700=$A225),人給データ!$N$2:$N$700)),""))</f>
        <v/>
      </c>
      <c r="K225" s="13" t="n"/>
      <c r="L225" s="12" t="n"/>
      <c r="M225" s="12" t="n"/>
      <c r="N225" s="11" t="n"/>
      <c r="O225" s="11" t="n"/>
      <c r="P225" s="14">
        <f>IF(AND(M225&lt;&gt;"",O225=""),"保留中","")</f>
        <v/>
      </c>
      <c r="Q225" s="14">
        <f>IF(P225="保留中",COUNTIF(P$6:P225,"保留中"),"")</f>
        <v/>
      </c>
    </row>
    <row r="226">
      <c r="A226" s="12" t="n"/>
      <c r="B226">
        <f>IF($A226="","",IFERROR(IF(LOOKUP(2,1/(人給データ!$B$2:$B$700=$A226),人給データ!$C$2:$C$700)=0,"",LOOKUP(2,1/(人給データ!$B$2:$B$700=$A226),人給データ!$C$2:$C$700)),""))</f>
        <v/>
      </c>
      <c r="C226">
        <f>IF($A226="","",IFERROR(IF(LOOKUP(2,1/(人給データ!$B$2:$B$700=$A226),人給データ!$G$2:$G$700)=0,"",LOOKUP(2,1/(人給データ!$B$2:$B$700=$A226),人給データ!$G$2:$G$700)),""))</f>
        <v/>
      </c>
      <c r="D226">
        <f>IF($A226="","",IFERROR(IF(LOOKUP(2,1/(人給データ!$B$2:$B$700=$A226),人給データ!$Y$2:$Y$700)=0,"",LOOKUP(2,1/(人給データ!$B$2:$B$700=$A226),人給データ!$Y$2:$Y$700)),""))</f>
        <v/>
      </c>
      <c r="E226" s="20">
        <f>IF($A226="","",IFERROR(IF(LOOKUP(2,1/(人給データ!$B$2:$B$700=$A226),人給データ!$AB$2:$AB$700)=0,"",LOOKUP(2,1/(人給データ!$B$2:$B$700=$A226),人給データ!$AB$2:$AB$700)),""))</f>
        <v/>
      </c>
      <c r="F226" s="16">
        <f>IF(OR(E226="",NOT(ISNUMBER(E226))),"",DATE(YEAR(E226)+2,MONTH(E226),DAY(E226)-2))</f>
        <v/>
      </c>
      <c r="G226" s="20">
        <f>IF($A226="","",IFERROR(IF(LOOKUP(2,1/(人給データ!$B$2:$B$700=$A226),人給データ!$J$2:$J$700)=0,"",LOOKUP(2,1/(人給データ!$B$2:$B$700=$A226),人給データ!$J$2:$J$700)),""))</f>
        <v/>
      </c>
      <c r="H226" s="20">
        <f>IF($A226="","",IFERROR(IF(LOOKUP(2,1/(人給データ!$B$2:$B$700=$A226),人給データ!$K$2:$K$700)=0,"",LOOKUP(2,1/(人給データ!$B$2:$B$700=$A226),人給データ!$K$2:$K$700)),""))</f>
        <v/>
      </c>
      <c r="I226" s="12" t="n"/>
      <c r="J226">
        <f>IF($A226="","",IFERROR(IF(LOOKUP(2,1/(人給データ!$B$2:$B$700=$A226),人給データ!$N$2:$N$700)=0,"",LOOKUP(2,1/(人給データ!$B$2:$B$700=$A226),人給データ!$N$2:$N$700)),""))</f>
        <v/>
      </c>
      <c r="K226" s="13" t="n"/>
      <c r="L226" s="12" t="n"/>
      <c r="M226" s="12" t="n"/>
      <c r="N226" s="11" t="n"/>
      <c r="O226" s="11" t="n"/>
      <c r="P226" s="14">
        <f>IF(AND(M226&lt;&gt;"",O226=""),"保留中","")</f>
        <v/>
      </c>
      <c r="Q226" s="14">
        <f>IF(P226="保留中",COUNTIF(P$6:P226,"保留中"),"")</f>
        <v/>
      </c>
    </row>
    <row r="227">
      <c r="A227" s="12" t="n"/>
      <c r="B227">
        <f>IF($A227="","",IFERROR(IF(LOOKUP(2,1/(人給データ!$B$2:$B$700=$A227),人給データ!$C$2:$C$700)=0,"",LOOKUP(2,1/(人給データ!$B$2:$B$700=$A227),人給データ!$C$2:$C$700)),""))</f>
        <v/>
      </c>
      <c r="C227">
        <f>IF($A227="","",IFERROR(IF(LOOKUP(2,1/(人給データ!$B$2:$B$700=$A227),人給データ!$G$2:$G$700)=0,"",LOOKUP(2,1/(人給データ!$B$2:$B$700=$A227),人給データ!$G$2:$G$700)),""))</f>
        <v/>
      </c>
      <c r="D227">
        <f>IF($A227="","",IFERROR(IF(LOOKUP(2,1/(人給データ!$B$2:$B$700=$A227),人給データ!$Y$2:$Y$700)=0,"",LOOKUP(2,1/(人給データ!$B$2:$B$700=$A227),人給データ!$Y$2:$Y$700)),""))</f>
        <v/>
      </c>
      <c r="E227" s="20">
        <f>IF($A227="","",IFERROR(IF(LOOKUP(2,1/(人給データ!$B$2:$B$700=$A227),人給データ!$AB$2:$AB$700)=0,"",LOOKUP(2,1/(人給データ!$B$2:$B$700=$A227),人給データ!$AB$2:$AB$700)),""))</f>
        <v/>
      </c>
      <c r="F227" s="16">
        <f>IF(OR(E227="",NOT(ISNUMBER(E227))),"",DATE(YEAR(E227)+2,MONTH(E227),DAY(E227)-2))</f>
        <v/>
      </c>
      <c r="G227" s="20">
        <f>IF($A227="","",IFERROR(IF(LOOKUP(2,1/(人給データ!$B$2:$B$700=$A227),人給データ!$J$2:$J$700)=0,"",LOOKUP(2,1/(人給データ!$B$2:$B$700=$A227),人給データ!$J$2:$J$700)),""))</f>
        <v/>
      </c>
      <c r="H227" s="20">
        <f>IF($A227="","",IFERROR(IF(LOOKUP(2,1/(人給データ!$B$2:$B$700=$A227),人給データ!$K$2:$K$700)=0,"",LOOKUP(2,1/(人給データ!$B$2:$B$700=$A227),人給データ!$K$2:$K$700)),""))</f>
        <v/>
      </c>
      <c r="I227" s="12" t="n"/>
      <c r="J227">
        <f>IF($A227="","",IFERROR(IF(LOOKUP(2,1/(人給データ!$B$2:$B$700=$A227),人給データ!$N$2:$N$700)=0,"",LOOKUP(2,1/(人給データ!$B$2:$B$700=$A227),人給データ!$N$2:$N$700)),""))</f>
        <v/>
      </c>
      <c r="K227" s="13" t="n"/>
      <c r="L227" s="12" t="n"/>
      <c r="M227" s="12" t="n"/>
      <c r="N227" s="11" t="n"/>
      <c r="O227" s="11" t="n"/>
      <c r="P227" s="14">
        <f>IF(AND(M227&lt;&gt;"",O227=""),"保留中","")</f>
        <v/>
      </c>
      <c r="Q227" s="14">
        <f>IF(P227="保留中",COUNTIF(P$6:P227,"保留中"),"")</f>
        <v/>
      </c>
    </row>
    <row r="228">
      <c r="A228" s="12" t="n"/>
      <c r="B228">
        <f>IF($A228="","",IFERROR(IF(LOOKUP(2,1/(人給データ!$B$2:$B$700=$A228),人給データ!$C$2:$C$700)=0,"",LOOKUP(2,1/(人給データ!$B$2:$B$700=$A228),人給データ!$C$2:$C$700)),""))</f>
        <v/>
      </c>
      <c r="C228">
        <f>IF($A228="","",IFERROR(IF(LOOKUP(2,1/(人給データ!$B$2:$B$700=$A228),人給データ!$G$2:$G$700)=0,"",LOOKUP(2,1/(人給データ!$B$2:$B$700=$A228),人給データ!$G$2:$G$700)),""))</f>
        <v/>
      </c>
      <c r="D228">
        <f>IF($A228="","",IFERROR(IF(LOOKUP(2,1/(人給データ!$B$2:$B$700=$A228),人給データ!$Y$2:$Y$700)=0,"",LOOKUP(2,1/(人給データ!$B$2:$B$700=$A228),人給データ!$Y$2:$Y$700)),""))</f>
        <v/>
      </c>
      <c r="E228" s="20">
        <f>IF($A228="","",IFERROR(IF(LOOKUP(2,1/(人給データ!$B$2:$B$700=$A228),人給データ!$AB$2:$AB$700)=0,"",LOOKUP(2,1/(人給データ!$B$2:$B$700=$A228),人給データ!$AB$2:$AB$700)),""))</f>
        <v/>
      </c>
      <c r="F228" s="16">
        <f>IF(OR(E228="",NOT(ISNUMBER(E228))),"",DATE(YEAR(E228)+2,MONTH(E228),DAY(E228)-2))</f>
        <v/>
      </c>
      <c r="G228" s="20">
        <f>IF($A228="","",IFERROR(IF(LOOKUP(2,1/(人給データ!$B$2:$B$700=$A228),人給データ!$J$2:$J$700)=0,"",LOOKUP(2,1/(人給データ!$B$2:$B$700=$A228),人給データ!$J$2:$J$700)),""))</f>
        <v/>
      </c>
      <c r="H228" s="20">
        <f>IF($A228="","",IFERROR(IF(LOOKUP(2,1/(人給データ!$B$2:$B$700=$A228),人給データ!$K$2:$K$700)=0,"",LOOKUP(2,1/(人給データ!$B$2:$B$700=$A228),人給データ!$K$2:$K$700)),""))</f>
        <v/>
      </c>
      <c r="I228" s="12" t="n"/>
      <c r="J228">
        <f>IF($A228="","",IFERROR(IF(LOOKUP(2,1/(人給データ!$B$2:$B$700=$A228),人給データ!$N$2:$N$700)=0,"",LOOKUP(2,1/(人給データ!$B$2:$B$700=$A228),人給データ!$N$2:$N$700)),""))</f>
        <v/>
      </c>
      <c r="K228" s="13" t="n"/>
      <c r="L228" s="12" t="n"/>
      <c r="M228" s="12" t="n"/>
      <c r="N228" s="11" t="n"/>
      <c r="O228" s="11" t="n"/>
      <c r="P228" s="14">
        <f>IF(AND(M228&lt;&gt;"",O228=""),"保留中","")</f>
        <v/>
      </c>
      <c r="Q228" s="14">
        <f>IF(P228="保留中",COUNTIF(P$6:P228,"保留中"),"")</f>
        <v/>
      </c>
    </row>
    <row r="229">
      <c r="A229" s="12" t="n"/>
      <c r="B229">
        <f>IF($A229="","",IFERROR(IF(LOOKUP(2,1/(人給データ!$B$2:$B$700=$A229),人給データ!$C$2:$C$700)=0,"",LOOKUP(2,1/(人給データ!$B$2:$B$700=$A229),人給データ!$C$2:$C$700)),""))</f>
        <v/>
      </c>
      <c r="C229">
        <f>IF($A229="","",IFERROR(IF(LOOKUP(2,1/(人給データ!$B$2:$B$700=$A229),人給データ!$G$2:$G$700)=0,"",LOOKUP(2,1/(人給データ!$B$2:$B$700=$A229),人給データ!$G$2:$G$700)),""))</f>
        <v/>
      </c>
      <c r="D229">
        <f>IF($A229="","",IFERROR(IF(LOOKUP(2,1/(人給データ!$B$2:$B$700=$A229),人給データ!$Y$2:$Y$700)=0,"",LOOKUP(2,1/(人給データ!$B$2:$B$700=$A229),人給データ!$Y$2:$Y$700)),""))</f>
        <v/>
      </c>
      <c r="E229" s="20">
        <f>IF($A229="","",IFERROR(IF(LOOKUP(2,1/(人給データ!$B$2:$B$700=$A229),人給データ!$AB$2:$AB$700)=0,"",LOOKUP(2,1/(人給データ!$B$2:$B$700=$A229),人給データ!$AB$2:$AB$700)),""))</f>
        <v/>
      </c>
      <c r="F229" s="16">
        <f>IF(OR(E229="",NOT(ISNUMBER(E229))),"",DATE(YEAR(E229)+2,MONTH(E229),DAY(E229)-2))</f>
        <v/>
      </c>
      <c r="G229" s="20">
        <f>IF($A229="","",IFERROR(IF(LOOKUP(2,1/(人給データ!$B$2:$B$700=$A229),人給データ!$J$2:$J$700)=0,"",LOOKUP(2,1/(人給データ!$B$2:$B$700=$A229),人給データ!$J$2:$J$700)),""))</f>
        <v/>
      </c>
      <c r="H229" s="20">
        <f>IF($A229="","",IFERROR(IF(LOOKUP(2,1/(人給データ!$B$2:$B$700=$A229),人給データ!$K$2:$K$700)=0,"",LOOKUP(2,1/(人給データ!$B$2:$B$700=$A229),人給データ!$K$2:$K$700)),""))</f>
        <v/>
      </c>
      <c r="I229" s="12" t="n"/>
      <c r="J229">
        <f>IF($A229="","",IFERROR(IF(LOOKUP(2,1/(人給データ!$B$2:$B$700=$A229),人給データ!$N$2:$N$700)=0,"",LOOKUP(2,1/(人給データ!$B$2:$B$700=$A229),人給データ!$N$2:$N$700)),""))</f>
        <v/>
      </c>
      <c r="K229" s="13" t="n"/>
      <c r="L229" s="12" t="n"/>
      <c r="M229" s="12" t="n"/>
      <c r="N229" s="11" t="n"/>
      <c r="O229" s="11" t="n"/>
      <c r="P229" s="14">
        <f>IF(AND(M229&lt;&gt;"",O229=""),"保留中","")</f>
        <v/>
      </c>
      <c r="Q229" s="14">
        <f>IF(P229="保留中",COUNTIF(P$6:P229,"保留中"),"")</f>
        <v/>
      </c>
    </row>
    <row r="230">
      <c r="A230" s="12" t="n"/>
      <c r="B230">
        <f>IF($A230="","",IFERROR(IF(LOOKUP(2,1/(人給データ!$B$2:$B$700=$A230),人給データ!$C$2:$C$700)=0,"",LOOKUP(2,1/(人給データ!$B$2:$B$700=$A230),人給データ!$C$2:$C$700)),""))</f>
        <v/>
      </c>
      <c r="C230">
        <f>IF($A230="","",IFERROR(IF(LOOKUP(2,1/(人給データ!$B$2:$B$700=$A230),人給データ!$G$2:$G$700)=0,"",LOOKUP(2,1/(人給データ!$B$2:$B$700=$A230),人給データ!$G$2:$G$700)),""))</f>
        <v/>
      </c>
      <c r="D230">
        <f>IF($A230="","",IFERROR(IF(LOOKUP(2,1/(人給データ!$B$2:$B$700=$A230),人給データ!$Y$2:$Y$700)=0,"",LOOKUP(2,1/(人給データ!$B$2:$B$700=$A230),人給データ!$Y$2:$Y$700)),""))</f>
        <v/>
      </c>
      <c r="E230" s="20">
        <f>IF($A230="","",IFERROR(IF(LOOKUP(2,1/(人給データ!$B$2:$B$700=$A230),人給データ!$AB$2:$AB$700)=0,"",LOOKUP(2,1/(人給データ!$B$2:$B$700=$A230),人給データ!$AB$2:$AB$700)),""))</f>
        <v/>
      </c>
      <c r="F230" s="16">
        <f>IF(OR(E230="",NOT(ISNUMBER(E230))),"",DATE(YEAR(E230)+2,MONTH(E230),DAY(E230)-2))</f>
        <v/>
      </c>
      <c r="G230" s="20">
        <f>IF($A230="","",IFERROR(IF(LOOKUP(2,1/(人給データ!$B$2:$B$700=$A230),人給データ!$J$2:$J$700)=0,"",LOOKUP(2,1/(人給データ!$B$2:$B$700=$A230),人給データ!$J$2:$J$700)),""))</f>
        <v/>
      </c>
      <c r="H230" s="20">
        <f>IF($A230="","",IFERROR(IF(LOOKUP(2,1/(人給データ!$B$2:$B$700=$A230),人給データ!$K$2:$K$700)=0,"",LOOKUP(2,1/(人給データ!$B$2:$B$700=$A230),人給データ!$K$2:$K$700)),""))</f>
        <v/>
      </c>
      <c r="I230" s="12" t="n"/>
      <c r="J230">
        <f>IF($A230="","",IFERROR(IF(LOOKUP(2,1/(人給データ!$B$2:$B$700=$A230),人給データ!$N$2:$N$700)=0,"",LOOKUP(2,1/(人給データ!$B$2:$B$700=$A230),人給データ!$N$2:$N$700)),""))</f>
        <v/>
      </c>
      <c r="K230" s="13" t="n"/>
      <c r="L230" s="12" t="n"/>
      <c r="M230" s="12" t="n"/>
      <c r="N230" s="11" t="n"/>
      <c r="O230" s="11" t="n"/>
      <c r="P230" s="14">
        <f>IF(AND(M230&lt;&gt;"",O230=""),"保留中","")</f>
        <v/>
      </c>
      <c r="Q230" s="14">
        <f>IF(P230="保留中",COUNTIF(P$6:P230,"保留中"),"")</f>
        <v/>
      </c>
    </row>
    <row r="231">
      <c r="A231" s="12" t="n"/>
      <c r="B231">
        <f>IF($A231="","",IFERROR(IF(LOOKUP(2,1/(人給データ!$B$2:$B$700=$A231),人給データ!$C$2:$C$700)=0,"",LOOKUP(2,1/(人給データ!$B$2:$B$700=$A231),人給データ!$C$2:$C$700)),""))</f>
        <v/>
      </c>
      <c r="C231">
        <f>IF($A231="","",IFERROR(IF(LOOKUP(2,1/(人給データ!$B$2:$B$700=$A231),人給データ!$G$2:$G$700)=0,"",LOOKUP(2,1/(人給データ!$B$2:$B$700=$A231),人給データ!$G$2:$G$700)),""))</f>
        <v/>
      </c>
      <c r="D231">
        <f>IF($A231="","",IFERROR(IF(LOOKUP(2,1/(人給データ!$B$2:$B$700=$A231),人給データ!$Y$2:$Y$700)=0,"",LOOKUP(2,1/(人給データ!$B$2:$B$700=$A231),人給データ!$Y$2:$Y$700)),""))</f>
        <v/>
      </c>
      <c r="E231" s="20">
        <f>IF($A231="","",IFERROR(IF(LOOKUP(2,1/(人給データ!$B$2:$B$700=$A231),人給データ!$AB$2:$AB$700)=0,"",LOOKUP(2,1/(人給データ!$B$2:$B$700=$A231),人給データ!$AB$2:$AB$700)),""))</f>
        <v/>
      </c>
      <c r="F231" s="16">
        <f>IF(OR(E231="",NOT(ISNUMBER(E231))),"",DATE(YEAR(E231)+2,MONTH(E231),DAY(E231)-2))</f>
        <v/>
      </c>
      <c r="G231" s="20">
        <f>IF($A231="","",IFERROR(IF(LOOKUP(2,1/(人給データ!$B$2:$B$700=$A231),人給データ!$J$2:$J$700)=0,"",LOOKUP(2,1/(人給データ!$B$2:$B$700=$A231),人給データ!$J$2:$J$700)),""))</f>
        <v/>
      </c>
      <c r="H231" s="20">
        <f>IF($A231="","",IFERROR(IF(LOOKUP(2,1/(人給データ!$B$2:$B$700=$A231),人給データ!$K$2:$K$700)=0,"",LOOKUP(2,1/(人給データ!$B$2:$B$700=$A231),人給データ!$K$2:$K$700)),""))</f>
        <v/>
      </c>
      <c r="I231" s="12" t="n"/>
      <c r="J231">
        <f>IF($A231="","",IFERROR(IF(LOOKUP(2,1/(人給データ!$B$2:$B$700=$A231),人給データ!$N$2:$N$700)=0,"",LOOKUP(2,1/(人給データ!$B$2:$B$700=$A231),人給データ!$N$2:$N$700)),""))</f>
        <v/>
      </c>
      <c r="K231" s="13" t="n"/>
      <c r="L231" s="12" t="n"/>
      <c r="M231" s="12" t="n"/>
      <c r="N231" s="11" t="n"/>
      <c r="O231" s="11" t="n"/>
      <c r="P231" s="14">
        <f>IF(AND(M231&lt;&gt;"",O231=""),"保留中","")</f>
        <v/>
      </c>
      <c r="Q231" s="14">
        <f>IF(P231="保留中",COUNTIF(P$6:P231,"保留中"),"")</f>
        <v/>
      </c>
    </row>
    <row r="232">
      <c r="A232" s="12" t="n"/>
      <c r="B232">
        <f>IF($A232="","",IFERROR(IF(LOOKUP(2,1/(人給データ!$B$2:$B$700=$A232),人給データ!$C$2:$C$700)=0,"",LOOKUP(2,1/(人給データ!$B$2:$B$700=$A232),人給データ!$C$2:$C$700)),""))</f>
        <v/>
      </c>
      <c r="C232">
        <f>IF($A232="","",IFERROR(IF(LOOKUP(2,1/(人給データ!$B$2:$B$700=$A232),人給データ!$G$2:$G$700)=0,"",LOOKUP(2,1/(人給データ!$B$2:$B$700=$A232),人給データ!$G$2:$G$700)),""))</f>
        <v/>
      </c>
      <c r="D232">
        <f>IF($A232="","",IFERROR(IF(LOOKUP(2,1/(人給データ!$B$2:$B$700=$A232),人給データ!$Y$2:$Y$700)=0,"",LOOKUP(2,1/(人給データ!$B$2:$B$700=$A232),人給データ!$Y$2:$Y$700)),""))</f>
        <v/>
      </c>
      <c r="E232" s="20">
        <f>IF($A232="","",IFERROR(IF(LOOKUP(2,1/(人給データ!$B$2:$B$700=$A232),人給データ!$AB$2:$AB$700)=0,"",LOOKUP(2,1/(人給データ!$B$2:$B$700=$A232),人給データ!$AB$2:$AB$700)),""))</f>
        <v/>
      </c>
      <c r="F232" s="16">
        <f>IF(OR(E232="",NOT(ISNUMBER(E232))),"",DATE(YEAR(E232)+2,MONTH(E232),DAY(E232)-2))</f>
        <v/>
      </c>
      <c r="G232" s="20">
        <f>IF($A232="","",IFERROR(IF(LOOKUP(2,1/(人給データ!$B$2:$B$700=$A232),人給データ!$J$2:$J$700)=0,"",LOOKUP(2,1/(人給データ!$B$2:$B$700=$A232),人給データ!$J$2:$J$700)),""))</f>
        <v/>
      </c>
      <c r="H232" s="20">
        <f>IF($A232="","",IFERROR(IF(LOOKUP(2,1/(人給データ!$B$2:$B$700=$A232),人給データ!$K$2:$K$700)=0,"",LOOKUP(2,1/(人給データ!$B$2:$B$700=$A232),人給データ!$K$2:$K$700)),""))</f>
        <v/>
      </c>
      <c r="I232" s="12" t="n"/>
      <c r="J232">
        <f>IF($A232="","",IFERROR(IF(LOOKUP(2,1/(人給データ!$B$2:$B$700=$A232),人給データ!$N$2:$N$700)=0,"",LOOKUP(2,1/(人給データ!$B$2:$B$700=$A232),人給データ!$N$2:$N$700)),""))</f>
        <v/>
      </c>
      <c r="K232" s="13" t="n"/>
      <c r="L232" s="12" t="n"/>
      <c r="M232" s="12" t="n"/>
      <c r="N232" s="11" t="n"/>
      <c r="O232" s="11" t="n"/>
      <c r="P232" s="14">
        <f>IF(AND(M232&lt;&gt;"",O232=""),"保留中","")</f>
        <v/>
      </c>
      <c r="Q232" s="14">
        <f>IF(P232="保留中",COUNTIF(P$6:P232,"保留中"),"")</f>
        <v/>
      </c>
    </row>
    <row r="233">
      <c r="A233" s="12" t="n"/>
      <c r="B233">
        <f>IF($A233="","",IFERROR(IF(LOOKUP(2,1/(人給データ!$B$2:$B$700=$A233),人給データ!$C$2:$C$700)=0,"",LOOKUP(2,1/(人給データ!$B$2:$B$700=$A233),人給データ!$C$2:$C$700)),""))</f>
        <v/>
      </c>
      <c r="C233">
        <f>IF($A233="","",IFERROR(IF(LOOKUP(2,1/(人給データ!$B$2:$B$700=$A233),人給データ!$G$2:$G$700)=0,"",LOOKUP(2,1/(人給データ!$B$2:$B$700=$A233),人給データ!$G$2:$G$700)),""))</f>
        <v/>
      </c>
      <c r="D233">
        <f>IF($A233="","",IFERROR(IF(LOOKUP(2,1/(人給データ!$B$2:$B$700=$A233),人給データ!$Y$2:$Y$700)=0,"",LOOKUP(2,1/(人給データ!$B$2:$B$700=$A233),人給データ!$Y$2:$Y$700)),""))</f>
        <v/>
      </c>
      <c r="E233" s="20">
        <f>IF($A233="","",IFERROR(IF(LOOKUP(2,1/(人給データ!$B$2:$B$700=$A233),人給データ!$AB$2:$AB$700)=0,"",LOOKUP(2,1/(人給データ!$B$2:$B$700=$A233),人給データ!$AB$2:$AB$700)),""))</f>
        <v/>
      </c>
      <c r="F233" s="16">
        <f>IF(OR(E233="",NOT(ISNUMBER(E233))),"",DATE(YEAR(E233)+2,MONTH(E233),DAY(E233)-2))</f>
        <v/>
      </c>
      <c r="G233" s="20">
        <f>IF($A233="","",IFERROR(IF(LOOKUP(2,1/(人給データ!$B$2:$B$700=$A233),人給データ!$J$2:$J$700)=0,"",LOOKUP(2,1/(人給データ!$B$2:$B$700=$A233),人給データ!$J$2:$J$700)),""))</f>
        <v/>
      </c>
      <c r="H233" s="20">
        <f>IF($A233="","",IFERROR(IF(LOOKUP(2,1/(人給データ!$B$2:$B$700=$A233),人給データ!$K$2:$K$700)=0,"",LOOKUP(2,1/(人給データ!$B$2:$B$700=$A233),人給データ!$K$2:$K$700)),""))</f>
        <v/>
      </c>
      <c r="I233" s="12" t="n"/>
      <c r="J233">
        <f>IF($A233="","",IFERROR(IF(LOOKUP(2,1/(人給データ!$B$2:$B$700=$A233),人給データ!$N$2:$N$700)=0,"",LOOKUP(2,1/(人給データ!$B$2:$B$700=$A233),人給データ!$N$2:$N$700)),""))</f>
        <v/>
      </c>
      <c r="K233" s="13" t="n"/>
      <c r="L233" s="12" t="n"/>
      <c r="M233" s="12" t="n"/>
      <c r="N233" s="11" t="n"/>
      <c r="O233" s="11" t="n"/>
      <c r="P233" s="14">
        <f>IF(AND(M233&lt;&gt;"",O233=""),"保留中","")</f>
        <v/>
      </c>
      <c r="Q233" s="14">
        <f>IF(P233="保留中",COUNTIF(P$6:P233,"保留中"),"")</f>
        <v/>
      </c>
    </row>
    <row r="234">
      <c r="A234" s="12" t="n"/>
      <c r="B234">
        <f>IF($A234="","",IFERROR(IF(LOOKUP(2,1/(人給データ!$B$2:$B$700=$A234),人給データ!$C$2:$C$700)=0,"",LOOKUP(2,1/(人給データ!$B$2:$B$700=$A234),人給データ!$C$2:$C$700)),""))</f>
        <v/>
      </c>
      <c r="C234">
        <f>IF($A234="","",IFERROR(IF(LOOKUP(2,1/(人給データ!$B$2:$B$700=$A234),人給データ!$G$2:$G$700)=0,"",LOOKUP(2,1/(人給データ!$B$2:$B$700=$A234),人給データ!$G$2:$G$700)),""))</f>
        <v/>
      </c>
      <c r="D234">
        <f>IF($A234="","",IFERROR(IF(LOOKUP(2,1/(人給データ!$B$2:$B$700=$A234),人給データ!$Y$2:$Y$700)=0,"",LOOKUP(2,1/(人給データ!$B$2:$B$700=$A234),人給データ!$Y$2:$Y$700)),""))</f>
        <v/>
      </c>
      <c r="E234" s="20">
        <f>IF($A234="","",IFERROR(IF(LOOKUP(2,1/(人給データ!$B$2:$B$700=$A234),人給データ!$AB$2:$AB$700)=0,"",LOOKUP(2,1/(人給データ!$B$2:$B$700=$A234),人給データ!$AB$2:$AB$700)),""))</f>
        <v/>
      </c>
      <c r="F234" s="16">
        <f>IF(OR(E234="",NOT(ISNUMBER(E234))),"",DATE(YEAR(E234)+2,MONTH(E234),DAY(E234)-2))</f>
        <v/>
      </c>
      <c r="G234" s="20">
        <f>IF($A234="","",IFERROR(IF(LOOKUP(2,1/(人給データ!$B$2:$B$700=$A234),人給データ!$J$2:$J$700)=0,"",LOOKUP(2,1/(人給データ!$B$2:$B$700=$A234),人給データ!$J$2:$J$700)),""))</f>
        <v/>
      </c>
      <c r="H234" s="20">
        <f>IF($A234="","",IFERROR(IF(LOOKUP(2,1/(人給データ!$B$2:$B$700=$A234),人給データ!$K$2:$K$700)=0,"",LOOKUP(2,1/(人給データ!$B$2:$B$700=$A234),人給データ!$K$2:$K$700)),""))</f>
        <v/>
      </c>
      <c r="I234" s="12" t="n"/>
      <c r="J234">
        <f>IF($A234="","",IFERROR(IF(LOOKUP(2,1/(人給データ!$B$2:$B$700=$A234),人給データ!$N$2:$N$700)=0,"",LOOKUP(2,1/(人給データ!$B$2:$B$700=$A234),人給データ!$N$2:$N$700)),""))</f>
        <v/>
      </c>
      <c r="K234" s="13" t="n"/>
      <c r="L234" s="12" t="n"/>
      <c r="M234" s="12" t="n"/>
      <c r="N234" s="11" t="n"/>
      <c r="O234" s="11" t="n"/>
      <c r="P234" s="14">
        <f>IF(AND(M234&lt;&gt;"",O234=""),"保留中","")</f>
        <v/>
      </c>
      <c r="Q234" s="14">
        <f>IF(P234="保留中",COUNTIF(P$6:P234,"保留中"),"")</f>
        <v/>
      </c>
    </row>
    <row r="235">
      <c r="A235" s="12" t="n"/>
      <c r="B235">
        <f>IF($A235="","",IFERROR(IF(LOOKUP(2,1/(人給データ!$B$2:$B$700=$A235),人給データ!$C$2:$C$700)=0,"",LOOKUP(2,1/(人給データ!$B$2:$B$700=$A235),人給データ!$C$2:$C$700)),""))</f>
        <v/>
      </c>
      <c r="C235">
        <f>IF($A235="","",IFERROR(IF(LOOKUP(2,1/(人給データ!$B$2:$B$700=$A235),人給データ!$G$2:$G$700)=0,"",LOOKUP(2,1/(人給データ!$B$2:$B$700=$A235),人給データ!$G$2:$G$700)),""))</f>
        <v/>
      </c>
      <c r="D235">
        <f>IF($A235="","",IFERROR(IF(LOOKUP(2,1/(人給データ!$B$2:$B$700=$A235),人給データ!$Y$2:$Y$700)=0,"",LOOKUP(2,1/(人給データ!$B$2:$B$700=$A235),人給データ!$Y$2:$Y$700)),""))</f>
        <v/>
      </c>
      <c r="E235" s="20">
        <f>IF($A235="","",IFERROR(IF(LOOKUP(2,1/(人給データ!$B$2:$B$700=$A235),人給データ!$AB$2:$AB$700)=0,"",LOOKUP(2,1/(人給データ!$B$2:$B$700=$A235),人給データ!$AB$2:$AB$700)),""))</f>
        <v/>
      </c>
      <c r="F235" s="16">
        <f>IF(OR(E235="",NOT(ISNUMBER(E235))),"",DATE(YEAR(E235)+2,MONTH(E235),DAY(E235)-2))</f>
        <v/>
      </c>
      <c r="G235" s="20">
        <f>IF($A235="","",IFERROR(IF(LOOKUP(2,1/(人給データ!$B$2:$B$700=$A235),人給データ!$J$2:$J$700)=0,"",LOOKUP(2,1/(人給データ!$B$2:$B$700=$A235),人給データ!$J$2:$J$700)),""))</f>
        <v/>
      </c>
      <c r="H235" s="20">
        <f>IF($A235="","",IFERROR(IF(LOOKUP(2,1/(人給データ!$B$2:$B$700=$A235),人給データ!$K$2:$K$700)=0,"",LOOKUP(2,1/(人給データ!$B$2:$B$700=$A235),人給データ!$K$2:$K$700)),""))</f>
        <v/>
      </c>
      <c r="I235" s="12" t="n"/>
      <c r="J235">
        <f>IF($A235="","",IFERROR(IF(LOOKUP(2,1/(人給データ!$B$2:$B$700=$A235),人給データ!$N$2:$N$700)=0,"",LOOKUP(2,1/(人給データ!$B$2:$B$700=$A235),人給データ!$N$2:$N$700)),""))</f>
        <v/>
      </c>
      <c r="K235" s="13" t="n"/>
      <c r="L235" s="12" t="n"/>
      <c r="M235" s="12" t="n"/>
      <c r="N235" s="11" t="n"/>
      <c r="O235" s="11" t="n"/>
      <c r="P235" s="14">
        <f>IF(AND(M235&lt;&gt;"",O235=""),"保留中","")</f>
        <v/>
      </c>
      <c r="Q235" s="14">
        <f>IF(P235="保留中",COUNTIF(P$6:P235,"保留中"),"")</f>
        <v/>
      </c>
    </row>
    <row r="236">
      <c r="A236" s="12" t="n"/>
      <c r="B236">
        <f>IF($A236="","",IFERROR(IF(LOOKUP(2,1/(人給データ!$B$2:$B$700=$A236),人給データ!$C$2:$C$700)=0,"",LOOKUP(2,1/(人給データ!$B$2:$B$700=$A236),人給データ!$C$2:$C$700)),""))</f>
        <v/>
      </c>
      <c r="C236">
        <f>IF($A236="","",IFERROR(IF(LOOKUP(2,1/(人給データ!$B$2:$B$700=$A236),人給データ!$G$2:$G$700)=0,"",LOOKUP(2,1/(人給データ!$B$2:$B$700=$A236),人給データ!$G$2:$G$700)),""))</f>
        <v/>
      </c>
      <c r="D236">
        <f>IF($A236="","",IFERROR(IF(LOOKUP(2,1/(人給データ!$B$2:$B$700=$A236),人給データ!$Y$2:$Y$700)=0,"",LOOKUP(2,1/(人給データ!$B$2:$B$700=$A236),人給データ!$Y$2:$Y$700)),""))</f>
        <v/>
      </c>
      <c r="E236" s="20">
        <f>IF($A236="","",IFERROR(IF(LOOKUP(2,1/(人給データ!$B$2:$B$700=$A236),人給データ!$AB$2:$AB$700)=0,"",LOOKUP(2,1/(人給データ!$B$2:$B$700=$A236),人給データ!$AB$2:$AB$700)),""))</f>
        <v/>
      </c>
      <c r="F236" s="16">
        <f>IF(OR(E236="",NOT(ISNUMBER(E236))),"",DATE(YEAR(E236)+2,MONTH(E236),DAY(E236)-2))</f>
        <v/>
      </c>
      <c r="G236" s="20">
        <f>IF($A236="","",IFERROR(IF(LOOKUP(2,1/(人給データ!$B$2:$B$700=$A236),人給データ!$J$2:$J$700)=0,"",LOOKUP(2,1/(人給データ!$B$2:$B$700=$A236),人給データ!$J$2:$J$700)),""))</f>
        <v/>
      </c>
      <c r="H236" s="20">
        <f>IF($A236="","",IFERROR(IF(LOOKUP(2,1/(人給データ!$B$2:$B$700=$A236),人給データ!$K$2:$K$700)=0,"",LOOKUP(2,1/(人給データ!$B$2:$B$700=$A236),人給データ!$K$2:$K$700)),""))</f>
        <v/>
      </c>
      <c r="I236" s="12" t="n"/>
      <c r="J236">
        <f>IF($A236="","",IFERROR(IF(LOOKUP(2,1/(人給データ!$B$2:$B$700=$A236),人給データ!$N$2:$N$700)=0,"",LOOKUP(2,1/(人給データ!$B$2:$B$700=$A236),人給データ!$N$2:$N$700)),""))</f>
        <v/>
      </c>
      <c r="K236" s="13" t="n"/>
      <c r="L236" s="12" t="n"/>
      <c r="M236" s="12" t="n"/>
      <c r="N236" s="11" t="n"/>
      <c r="O236" s="11" t="n"/>
      <c r="P236" s="14">
        <f>IF(AND(M236&lt;&gt;"",O236=""),"保留中","")</f>
        <v/>
      </c>
      <c r="Q236" s="14">
        <f>IF(P236="保留中",COUNTIF(P$6:P236,"保留中"),"")</f>
        <v/>
      </c>
    </row>
    <row r="237">
      <c r="A237" s="12" t="n"/>
      <c r="B237">
        <f>IF($A237="","",IFERROR(IF(LOOKUP(2,1/(人給データ!$B$2:$B$700=$A237),人給データ!$C$2:$C$700)=0,"",LOOKUP(2,1/(人給データ!$B$2:$B$700=$A237),人給データ!$C$2:$C$700)),""))</f>
        <v/>
      </c>
      <c r="C237">
        <f>IF($A237="","",IFERROR(IF(LOOKUP(2,1/(人給データ!$B$2:$B$700=$A237),人給データ!$G$2:$G$700)=0,"",LOOKUP(2,1/(人給データ!$B$2:$B$700=$A237),人給データ!$G$2:$G$700)),""))</f>
        <v/>
      </c>
      <c r="D237">
        <f>IF($A237="","",IFERROR(IF(LOOKUP(2,1/(人給データ!$B$2:$B$700=$A237),人給データ!$Y$2:$Y$700)=0,"",LOOKUP(2,1/(人給データ!$B$2:$B$700=$A237),人給データ!$Y$2:$Y$700)),""))</f>
        <v/>
      </c>
      <c r="E237" s="20">
        <f>IF($A237="","",IFERROR(IF(LOOKUP(2,1/(人給データ!$B$2:$B$700=$A237),人給データ!$AB$2:$AB$700)=0,"",LOOKUP(2,1/(人給データ!$B$2:$B$700=$A237),人給データ!$AB$2:$AB$700)),""))</f>
        <v/>
      </c>
      <c r="F237" s="16">
        <f>IF(OR(E237="",NOT(ISNUMBER(E237))),"",DATE(YEAR(E237)+2,MONTH(E237),DAY(E237)-2))</f>
        <v/>
      </c>
      <c r="G237" s="20">
        <f>IF($A237="","",IFERROR(IF(LOOKUP(2,1/(人給データ!$B$2:$B$700=$A237),人給データ!$J$2:$J$700)=0,"",LOOKUP(2,1/(人給データ!$B$2:$B$700=$A237),人給データ!$J$2:$J$700)),""))</f>
        <v/>
      </c>
      <c r="H237" s="20">
        <f>IF($A237="","",IFERROR(IF(LOOKUP(2,1/(人給データ!$B$2:$B$700=$A237),人給データ!$K$2:$K$700)=0,"",LOOKUP(2,1/(人給データ!$B$2:$B$700=$A237),人給データ!$K$2:$K$700)),""))</f>
        <v/>
      </c>
      <c r="I237" s="12" t="n"/>
      <c r="J237">
        <f>IF($A237="","",IFERROR(IF(LOOKUP(2,1/(人給データ!$B$2:$B$700=$A237),人給データ!$N$2:$N$700)=0,"",LOOKUP(2,1/(人給データ!$B$2:$B$700=$A237),人給データ!$N$2:$N$700)),""))</f>
        <v/>
      </c>
      <c r="K237" s="13" t="n"/>
      <c r="L237" s="12" t="n"/>
      <c r="M237" s="12" t="n"/>
      <c r="N237" s="11" t="n"/>
      <c r="O237" s="11" t="n"/>
      <c r="P237" s="14">
        <f>IF(AND(M237&lt;&gt;"",O237=""),"保留中","")</f>
        <v/>
      </c>
      <c r="Q237" s="14">
        <f>IF(P237="保留中",COUNTIF(P$6:P237,"保留中"),"")</f>
        <v/>
      </c>
    </row>
    <row r="238">
      <c r="A238" s="12" t="n"/>
      <c r="B238">
        <f>IF($A238="","",IFERROR(IF(LOOKUP(2,1/(人給データ!$B$2:$B$700=$A238),人給データ!$C$2:$C$700)=0,"",LOOKUP(2,1/(人給データ!$B$2:$B$700=$A238),人給データ!$C$2:$C$700)),""))</f>
        <v/>
      </c>
      <c r="C238">
        <f>IF($A238="","",IFERROR(IF(LOOKUP(2,1/(人給データ!$B$2:$B$700=$A238),人給データ!$G$2:$G$700)=0,"",LOOKUP(2,1/(人給データ!$B$2:$B$700=$A238),人給データ!$G$2:$G$700)),""))</f>
        <v/>
      </c>
      <c r="D238">
        <f>IF($A238="","",IFERROR(IF(LOOKUP(2,1/(人給データ!$B$2:$B$700=$A238),人給データ!$Y$2:$Y$700)=0,"",LOOKUP(2,1/(人給データ!$B$2:$B$700=$A238),人給データ!$Y$2:$Y$700)),""))</f>
        <v/>
      </c>
      <c r="E238" s="20">
        <f>IF($A238="","",IFERROR(IF(LOOKUP(2,1/(人給データ!$B$2:$B$700=$A238),人給データ!$AB$2:$AB$700)=0,"",LOOKUP(2,1/(人給データ!$B$2:$B$700=$A238),人給データ!$AB$2:$AB$700)),""))</f>
        <v/>
      </c>
      <c r="F238" s="16">
        <f>IF(OR(E238="",NOT(ISNUMBER(E238))),"",DATE(YEAR(E238)+2,MONTH(E238),DAY(E238)-2))</f>
        <v/>
      </c>
      <c r="G238" s="20">
        <f>IF($A238="","",IFERROR(IF(LOOKUP(2,1/(人給データ!$B$2:$B$700=$A238),人給データ!$J$2:$J$700)=0,"",LOOKUP(2,1/(人給データ!$B$2:$B$700=$A238),人給データ!$J$2:$J$700)),""))</f>
        <v/>
      </c>
      <c r="H238" s="20">
        <f>IF($A238="","",IFERROR(IF(LOOKUP(2,1/(人給データ!$B$2:$B$700=$A238),人給データ!$K$2:$K$700)=0,"",LOOKUP(2,1/(人給データ!$B$2:$B$700=$A238),人給データ!$K$2:$K$700)),""))</f>
        <v/>
      </c>
      <c r="I238" s="12" t="n"/>
      <c r="J238">
        <f>IF($A238="","",IFERROR(IF(LOOKUP(2,1/(人給データ!$B$2:$B$700=$A238),人給データ!$N$2:$N$700)=0,"",LOOKUP(2,1/(人給データ!$B$2:$B$700=$A238),人給データ!$N$2:$N$700)),""))</f>
        <v/>
      </c>
      <c r="K238" s="13" t="n"/>
      <c r="L238" s="12" t="n"/>
      <c r="M238" s="12" t="n"/>
      <c r="N238" s="11" t="n"/>
      <c r="O238" s="11" t="n"/>
      <c r="P238" s="14">
        <f>IF(AND(M238&lt;&gt;"",O238=""),"保留中","")</f>
        <v/>
      </c>
      <c r="Q238" s="14">
        <f>IF(P238="保留中",COUNTIF(P$6:P238,"保留中"),"")</f>
        <v/>
      </c>
    </row>
    <row r="239">
      <c r="A239" s="12" t="n"/>
      <c r="B239">
        <f>IF($A239="","",IFERROR(IF(LOOKUP(2,1/(人給データ!$B$2:$B$700=$A239),人給データ!$C$2:$C$700)=0,"",LOOKUP(2,1/(人給データ!$B$2:$B$700=$A239),人給データ!$C$2:$C$700)),""))</f>
        <v/>
      </c>
      <c r="C239">
        <f>IF($A239="","",IFERROR(IF(LOOKUP(2,1/(人給データ!$B$2:$B$700=$A239),人給データ!$G$2:$G$700)=0,"",LOOKUP(2,1/(人給データ!$B$2:$B$700=$A239),人給データ!$G$2:$G$700)),""))</f>
        <v/>
      </c>
      <c r="D239">
        <f>IF($A239="","",IFERROR(IF(LOOKUP(2,1/(人給データ!$B$2:$B$700=$A239),人給データ!$Y$2:$Y$700)=0,"",LOOKUP(2,1/(人給データ!$B$2:$B$700=$A239),人給データ!$Y$2:$Y$700)),""))</f>
        <v/>
      </c>
      <c r="E239" s="20">
        <f>IF($A239="","",IFERROR(IF(LOOKUP(2,1/(人給データ!$B$2:$B$700=$A239),人給データ!$AB$2:$AB$700)=0,"",LOOKUP(2,1/(人給データ!$B$2:$B$700=$A239),人給データ!$AB$2:$AB$700)),""))</f>
        <v/>
      </c>
      <c r="F239" s="16">
        <f>IF(OR(E239="",NOT(ISNUMBER(E239))),"",DATE(YEAR(E239)+2,MONTH(E239),DAY(E239)-2))</f>
        <v/>
      </c>
      <c r="G239" s="20">
        <f>IF($A239="","",IFERROR(IF(LOOKUP(2,1/(人給データ!$B$2:$B$700=$A239),人給データ!$J$2:$J$700)=0,"",LOOKUP(2,1/(人給データ!$B$2:$B$700=$A239),人給データ!$J$2:$J$700)),""))</f>
        <v/>
      </c>
      <c r="H239" s="20">
        <f>IF($A239="","",IFERROR(IF(LOOKUP(2,1/(人給データ!$B$2:$B$700=$A239),人給データ!$K$2:$K$700)=0,"",LOOKUP(2,1/(人給データ!$B$2:$B$700=$A239),人給データ!$K$2:$K$700)),""))</f>
        <v/>
      </c>
      <c r="I239" s="12" t="n"/>
      <c r="J239">
        <f>IF($A239="","",IFERROR(IF(LOOKUP(2,1/(人給データ!$B$2:$B$700=$A239),人給データ!$N$2:$N$700)=0,"",LOOKUP(2,1/(人給データ!$B$2:$B$700=$A239),人給データ!$N$2:$N$700)),""))</f>
        <v/>
      </c>
      <c r="K239" s="13" t="n"/>
      <c r="L239" s="12" t="n"/>
      <c r="M239" s="12" t="n"/>
      <c r="N239" s="11" t="n"/>
      <c r="O239" s="11" t="n"/>
      <c r="P239" s="14">
        <f>IF(AND(M239&lt;&gt;"",O239=""),"保留中","")</f>
        <v/>
      </c>
      <c r="Q239" s="14">
        <f>IF(P239="保留中",COUNTIF(P$6:P239,"保留中"),"")</f>
        <v/>
      </c>
    </row>
    <row r="240">
      <c r="A240" s="12" t="n"/>
      <c r="B240">
        <f>IF($A240="","",IFERROR(IF(LOOKUP(2,1/(人給データ!$B$2:$B$700=$A240),人給データ!$C$2:$C$700)=0,"",LOOKUP(2,1/(人給データ!$B$2:$B$700=$A240),人給データ!$C$2:$C$700)),""))</f>
        <v/>
      </c>
      <c r="C240">
        <f>IF($A240="","",IFERROR(IF(LOOKUP(2,1/(人給データ!$B$2:$B$700=$A240),人給データ!$G$2:$G$700)=0,"",LOOKUP(2,1/(人給データ!$B$2:$B$700=$A240),人給データ!$G$2:$G$700)),""))</f>
        <v/>
      </c>
      <c r="D240">
        <f>IF($A240="","",IFERROR(IF(LOOKUP(2,1/(人給データ!$B$2:$B$700=$A240),人給データ!$Y$2:$Y$700)=0,"",LOOKUP(2,1/(人給データ!$B$2:$B$700=$A240),人給データ!$Y$2:$Y$700)),""))</f>
        <v/>
      </c>
      <c r="E240" s="20">
        <f>IF($A240="","",IFERROR(IF(LOOKUP(2,1/(人給データ!$B$2:$B$700=$A240),人給データ!$AB$2:$AB$700)=0,"",LOOKUP(2,1/(人給データ!$B$2:$B$700=$A240),人給データ!$AB$2:$AB$700)),""))</f>
        <v/>
      </c>
      <c r="F240" s="16">
        <f>IF(OR(E240="",NOT(ISNUMBER(E240))),"",DATE(YEAR(E240)+2,MONTH(E240),DAY(E240)-2))</f>
        <v/>
      </c>
      <c r="G240" s="20">
        <f>IF($A240="","",IFERROR(IF(LOOKUP(2,1/(人給データ!$B$2:$B$700=$A240),人給データ!$J$2:$J$700)=0,"",LOOKUP(2,1/(人給データ!$B$2:$B$700=$A240),人給データ!$J$2:$J$700)),""))</f>
        <v/>
      </c>
      <c r="H240" s="20">
        <f>IF($A240="","",IFERROR(IF(LOOKUP(2,1/(人給データ!$B$2:$B$700=$A240),人給データ!$K$2:$K$700)=0,"",LOOKUP(2,1/(人給データ!$B$2:$B$700=$A240),人給データ!$K$2:$K$700)),""))</f>
        <v/>
      </c>
      <c r="I240" s="12" t="n"/>
      <c r="J240">
        <f>IF($A240="","",IFERROR(IF(LOOKUP(2,1/(人給データ!$B$2:$B$700=$A240),人給データ!$N$2:$N$700)=0,"",LOOKUP(2,1/(人給データ!$B$2:$B$700=$A240),人給データ!$N$2:$N$700)),""))</f>
        <v/>
      </c>
      <c r="K240" s="13" t="n"/>
      <c r="L240" s="12" t="n"/>
      <c r="M240" s="12" t="n"/>
      <c r="N240" s="11" t="n"/>
      <c r="O240" s="11" t="n"/>
      <c r="P240" s="14">
        <f>IF(AND(M240&lt;&gt;"",O240=""),"保留中","")</f>
        <v/>
      </c>
      <c r="Q240" s="14">
        <f>IF(P240="保留中",COUNTIF(P$6:P240,"保留中"),"")</f>
        <v/>
      </c>
    </row>
    <row r="241">
      <c r="A241" s="12" t="n"/>
      <c r="B241">
        <f>IF($A241="","",IFERROR(IF(LOOKUP(2,1/(人給データ!$B$2:$B$700=$A241),人給データ!$C$2:$C$700)=0,"",LOOKUP(2,1/(人給データ!$B$2:$B$700=$A241),人給データ!$C$2:$C$700)),""))</f>
        <v/>
      </c>
      <c r="C241">
        <f>IF($A241="","",IFERROR(IF(LOOKUP(2,1/(人給データ!$B$2:$B$700=$A241),人給データ!$G$2:$G$700)=0,"",LOOKUP(2,1/(人給データ!$B$2:$B$700=$A241),人給データ!$G$2:$G$700)),""))</f>
        <v/>
      </c>
      <c r="D241">
        <f>IF($A241="","",IFERROR(IF(LOOKUP(2,1/(人給データ!$B$2:$B$700=$A241),人給データ!$Y$2:$Y$700)=0,"",LOOKUP(2,1/(人給データ!$B$2:$B$700=$A241),人給データ!$Y$2:$Y$700)),""))</f>
        <v/>
      </c>
      <c r="E241" s="20">
        <f>IF($A241="","",IFERROR(IF(LOOKUP(2,1/(人給データ!$B$2:$B$700=$A241),人給データ!$AB$2:$AB$700)=0,"",LOOKUP(2,1/(人給データ!$B$2:$B$700=$A241),人給データ!$AB$2:$AB$700)),""))</f>
        <v/>
      </c>
      <c r="F241" s="16">
        <f>IF(OR(E241="",NOT(ISNUMBER(E241))),"",DATE(YEAR(E241)+2,MONTH(E241),DAY(E241)-2))</f>
        <v/>
      </c>
      <c r="G241" s="20">
        <f>IF($A241="","",IFERROR(IF(LOOKUP(2,1/(人給データ!$B$2:$B$700=$A241),人給データ!$J$2:$J$700)=0,"",LOOKUP(2,1/(人給データ!$B$2:$B$700=$A241),人給データ!$J$2:$J$700)),""))</f>
        <v/>
      </c>
      <c r="H241" s="20">
        <f>IF($A241="","",IFERROR(IF(LOOKUP(2,1/(人給データ!$B$2:$B$700=$A241),人給データ!$K$2:$K$700)=0,"",LOOKUP(2,1/(人給データ!$B$2:$B$700=$A241),人給データ!$K$2:$K$700)),""))</f>
        <v/>
      </c>
      <c r="I241" s="12" t="n"/>
      <c r="J241">
        <f>IF($A241="","",IFERROR(IF(LOOKUP(2,1/(人給データ!$B$2:$B$700=$A241),人給データ!$N$2:$N$700)=0,"",LOOKUP(2,1/(人給データ!$B$2:$B$700=$A241),人給データ!$N$2:$N$700)),""))</f>
        <v/>
      </c>
      <c r="K241" s="13" t="n"/>
      <c r="L241" s="12" t="n"/>
      <c r="M241" s="12" t="n"/>
      <c r="N241" s="11" t="n"/>
      <c r="O241" s="11" t="n"/>
      <c r="P241" s="14">
        <f>IF(AND(M241&lt;&gt;"",O241=""),"保留中","")</f>
        <v/>
      </c>
      <c r="Q241" s="14">
        <f>IF(P241="保留中",COUNTIF(P$6:P241,"保留中"),"")</f>
        <v/>
      </c>
    </row>
    <row r="242">
      <c r="A242" s="12" t="n"/>
      <c r="B242">
        <f>IF($A242="","",IFERROR(IF(LOOKUP(2,1/(人給データ!$B$2:$B$700=$A242),人給データ!$C$2:$C$700)=0,"",LOOKUP(2,1/(人給データ!$B$2:$B$700=$A242),人給データ!$C$2:$C$700)),""))</f>
        <v/>
      </c>
      <c r="C242">
        <f>IF($A242="","",IFERROR(IF(LOOKUP(2,1/(人給データ!$B$2:$B$700=$A242),人給データ!$G$2:$G$700)=0,"",LOOKUP(2,1/(人給データ!$B$2:$B$700=$A242),人給データ!$G$2:$G$700)),""))</f>
        <v/>
      </c>
      <c r="D242">
        <f>IF($A242="","",IFERROR(IF(LOOKUP(2,1/(人給データ!$B$2:$B$700=$A242),人給データ!$Y$2:$Y$700)=0,"",LOOKUP(2,1/(人給データ!$B$2:$B$700=$A242),人給データ!$Y$2:$Y$700)),""))</f>
        <v/>
      </c>
      <c r="E242" s="20">
        <f>IF($A242="","",IFERROR(IF(LOOKUP(2,1/(人給データ!$B$2:$B$700=$A242),人給データ!$AB$2:$AB$700)=0,"",LOOKUP(2,1/(人給データ!$B$2:$B$700=$A242),人給データ!$AB$2:$AB$700)),""))</f>
        <v/>
      </c>
      <c r="F242" s="16">
        <f>IF(OR(E242="",NOT(ISNUMBER(E242))),"",DATE(YEAR(E242)+2,MONTH(E242),DAY(E242)-2))</f>
        <v/>
      </c>
      <c r="G242" s="20">
        <f>IF($A242="","",IFERROR(IF(LOOKUP(2,1/(人給データ!$B$2:$B$700=$A242),人給データ!$J$2:$J$700)=0,"",LOOKUP(2,1/(人給データ!$B$2:$B$700=$A242),人給データ!$J$2:$J$700)),""))</f>
        <v/>
      </c>
      <c r="H242" s="20">
        <f>IF($A242="","",IFERROR(IF(LOOKUP(2,1/(人給データ!$B$2:$B$700=$A242),人給データ!$K$2:$K$700)=0,"",LOOKUP(2,1/(人給データ!$B$2:$B$700=$A242),人給データ!$K$2:$K$700)),""))</f>
        <v/>
      </c>
      <c r="I242" s="12" t="n"/>
      <c r="J242">
        <f>IF($A242="","",IFERROR(IF(LOOKUP(2,1/(人給データ!$B$2:$B$700=$A242),人給データ!$N$2:$N$700)=0,"",LOOKUP(2,1/(人給データ!$B$2:$B$700=$A242),人給データ!$N$2:$N$700)),""))</f>
        <v/>
      </c>
      <c r="K242" s="13" t="n"/>
      <c r="L242" s="12" t="n"/>
      <c r="M242" s="12" t="n"/>
      <c r="N242" s="11" t="n"/>
      <c r="O242" s="11" t="n"/>
      <c r="P242" s="14">
        <f>IF(AND(M242&lt;&gt;"",O242=""),"保留中","")</f>
        <v/>
      </c>
      <c r="Q242" s="14">
        <f>IF(P242="保留中",COUNTIF(P$6:P242,"保留中"),"")</f>
        <v/>
      </c>
    </row>
    <row r="243">
      <c r="A243" s="12" t="n"/>
      <c r="B243">
        <f>IF($A243="","",IFERROR(IF(LOOKUP(2,1/(人給データ!$B$2:$B$700=$A243),人給データ!$C$2:$C$700)=0,"",LOOKUP(2,1/(人給データ!$B$2:$B$700=$A243),人給データ!$C$2:$C$700)),""))</f>
        <v/>
      </c>
      <c r="C243">
        <f>IF($A243="","",IFERROR(IF(LOOKUP(2,1/(人給データ!$B$2:$B$700=$A243),人給データ!$G$2:$G$700)=0,"",LOOKUP(2,1/(人給データ!$B$2:$B$700=$A243),人給データ!$G$2:$G$700)),""))</f>
        <v/>
      </c>
      <c r="D243">
        <f>IF($A243="","",IFERROR(IF(LOOKUP(2,1/(人給データ!$B$2:$B$700=$A243),人給データ!$Y$2:$Y$700)=0,"",LOOKUP(2,1/(人給データ!$B$2:$B$700=$A243),人給データ!$Y$2:$Y$700)),""))</f>
        <v/>
      </c>
      <c r="E243" s="20">
        <f>IF($A243="","",IFERROR(IF(LOOKUP(2,1/(人給データ!$B$2:$B$700=$A243),人給データ!$AB$2:$AB$700)=0,"",LOOKUP(2,1/(人給データ!$B$2:$B$700=$A243),人給データ!$AB$2:$AB$700)),""))</f>
        <v/>
      </c>
      <c r="F243" s="16">
        <f>IF(OR(E243="",NOT(ISNUMBER(E243))),"",DATE(YEAR(E243)+2,MONTH(E243),DAY(E243)-2))</f>
        <v/>
      </c>
      <c r="G243" s="20">
        <f>IF($A243="","",IFERROR(IF(LOOKUP(2,1/(人給データ!$B$2:$B$700=$A243),人給データ!$J$2:$J$700)=0,"",LOOKUP(2,1/(人給データ!$B$2:$B$700=$A243),人給データ!$J$2:$J$700)),""))</f>
        <v/>
      </c>
      <c r="H243" s="20">
        <f>IF($A243="","",IFERROR(IF(LOOKUP(2,1/(人給データ!$B$2:$B$700=$A243),人給データ!$K$2:$K$700)=0,"",LOOKUP(2,1/(人給データ!$B$2:$B$700=$A243),人給データ!$K$2:$K$700)),""))</f>
        <v/>
      </c>
      <c r="I243" s="12" t="n"/>
      <c r="J243">
        <f>IF($A243="","",IFERROR(IF(LOOKUP(2,1/(人給データ!$B$2:$B$700=$A243),人給データ!$N$2:$N$700)=0,"",LOOKUP(2,1/(人給データ!$B$2:$B$700=$A243),人給データ!$N$2:$N$700)),""))</f>
        <v/>
      </c>
      <c r="K243" s="13" t="n"/>
      <c r="L243" s="12" t="n"/>
      <c r="M243" s="12" t="n"/>
      <c r="N243" s="11" t="n"/>
      <c r="O243" s="11" t="n"/>
      <c r="P243" s="14">
        <f>IF(AND(M243&lt;&gt;"",O243=""),"保留中","")</f>
        <v/>
      </c>
      <c r="Q243" s="14">
        <f>IF(P243="保留中",COUNTIF(P$6:P243,"保留中"),"")</f>
        <v/>
      </c>
    </row>
    <row r="244">
      <c r="A244" s="12" t="n"/>
      <c r="B244">
        <f>IF($A244="","",IFERROR(IF(LOOKUP(2,1/(人給データ!$B$2:$B$700=$A244),人給データ!$C$2:$C$700)=0,"",LOOKUP(2,1/(人給データ!$B$2:$B$700=$A244),人給データ!$C$2:$C$700)),""))</f>
        <v/>
      </c>
      <c r="C244">
        <f>IF($A244="","",IFERROR(IF(LOOKUP(2,1/(人給データ!$B$2:$B$700=$A244),人給データ!$G$2:$G$700)=0,"",LOOKUP(2,1/(人給データ!$B$2:$B$700=$A244),人給データ!$G$2:$G$700)),""))</f>
        <v/>
      </c>
      <c r="D244">
        <f>IF($A244="","",IFERROR(IF(LOOKUP(2,1/(人給データ!$B$2:$B$700=$A244),人給データ!$Y$2:$Y$700)=0,"",LOOKUP(2,1/(人給データ!$B$2:$B$700=$A244),人給データ!$Y$2:$Y$700)),""))</f>
        <v/>
      </c>
      <c r="E244" s="20">
        <f>IF($A244="","",IFERROR(IF(LOOKUP(2,1/(人給データ!$B$2:$B$700=$A244),人給データ!$AB$2:$AB$700)=0,"",LOOKUP(2,1/(人給データ!$B$2:$B$700=$A244),人給データ!$AB$2:$AB$700)),""))</f>
        <v/>
      </c>
      <c r="F244" s="16">
        <f>IF(OR(E244="",NOT(ISNUMBER(E244))),"",DATE(YEAR(E244)+2,MONTH(E244),DAY(E244)-2))</f>
        <v/>
      </c>
      <c r="G244" s="20">
        <f>IF($A244="","",IFERROR(IF(LOOKUP(2,1/(人給データ!$B$2:$B$700=$A244),人給データ!$J$2:$J$700)=0,"",LOOKUP(2,1/(人給データ!$B$2:$B$700=$A244),人給データ!$J$2:$J$700)),""))</f>
        <v/>
      </c>
      <c r="H244" s="20">
        <f>IF($A244="","",IFERROR(IF(LOOKUP(2,1/(人給データ!$B$2:$B$700=$A244),人給データ!$K$2:$K$700)=0,"",LOOKUP(2,1/(人給データ!$B$2:$B$700=$A244),人給データ!$K$2:$K$700)),""))</f>
        <v/>
      </c>
      <c r="I244" s="12" t="n"/>
      <c r="J244">
        <f>IF($A244="","",IFERROR(IF(LOOKUP(2,1/(人給データ!$B$2:$B$700=$A244),人給データ!$N$2:$N$700)=0,"",LOOKUP(2,1/(人給データ!$B$2:$B$700=$A244),人給データ!$N$2:$N$700)),""))</f>
        <v/>
      </c>
      <c r="K244" s="13" t="n"/>
      <c r="L244" s="12" t="n"/>
      <c r="M244" s="12" t="n"/>
      <c r="N244" s="11" t="n"/>
      <c r="O244" s="11" t="n"/>
      <c r="P244" s="14">
        <f>IF(AND(M244&lt;&gt;"",O244=""),"保留中","")</f>
        <v/>
      </c>
      <c r="Q244" s="14">
        <f>IF(P244="保留中",COUNTIF(P$6:P244,"保留中"),"")</f>
        <v/>
      </c>
    </row>
    <row r="245">
      <c r="A245" s="12" t="n"/>
      <c r="B245">
        <f>IF($A245="","",IFERROR(IF(LOOKUP(2,1/(人給データ!$B$2:$B$700=$A245),人給データ!$C$2:$C$700)=0,"",LOOKUP(2,1/(人給データ!$B$2:$B$700=$A245),人給データ!$C$2:$C$700)),""))</f>
        <v/>
      </c>
      <c r="C245">
        <f>IF($A245="","",IFERROR(IF(LOOKUP(2,1/(人給データ!$B$2:$B$700=$A245),人給データ!$G$2:$G$700)=0,"",LOOKUP(2,1/(人給データ!$B$2:$B$700=$A245),人給データ!$G$2:$G$700)),""))</f>
        <v/>
      </c>
      <c r="D245">
        <f>IF($A245="","",IFERROR(IF(LOOKUP(2,1/(人給データ!$B$2:$B$700=$A245),人給データ!$Y$2:$Y$700)=0,"",LOOKUP(2,1/(人給データ!$B$2:$B$700=$A245),人給データ!$Y$2:$Y$700)),""))</f>
        <v/>
      </c>
      <c r="E245" s="20">
        <f>IF($A245="","",IFERROR(IF(LOOKUP(2,1/(人給データ!$B$2:$B$700=$A245),人給データ!$AB$2:$AB$700)=0,"",LOOKUP(2,1/(人給データ!$B$2:$B$700=$A245),人給データ!$AB$2:$AB$700)),""))</f>
        <v/>
      </c>
      <c r="F245" s="16">
        <f>IF(OR(E245="",NOT(ISNUMBER(E245))),"",DATE(YEAR(E245)+2,MONTH(E245),DAY(E245)-2))</f>
        <v/>
      </c>
      <c r="G245" s="20">
        <f>IF($A245="","",IFERROR(IF(LOOKUP(2,1/(人給データ!$B$2:$B$700=$A245),人給データ!$J$2:$J$700)=0,"",LOOKUP(2,1/(人給データ!$B$2:$B$700=$A245),人給データ!$J$2:$J$700)),""))</f>
        <v/>
      </c>
      <c r="H245" s="20">
        <f>IF($A245="","",IFERROR(IF(LOOKUP(2,1/(人給データ!$B$2:$B$700=$A245),人給データ!$K$2:$K$700)=0,"",LOOKUP(2,1/(人給データ!$B$2:$B$700=$A245),人給データ!$K$2:$K$700)),""))</f>
        <v/>
      </c>
      <c r="I245" s="12" t="n"/>
      <c r="J245">
        <f>IF($A245="","",IFERROR(IF(LOOKUP(2,1/(人給データ!$B$2:$B$700=$A245),人給データ!$N$2:$N$700)=0,"",LOOKUP(2,1/(人給データ!$B$2:$B$700=$A245),人給データ!$N$2:$N$700)),""))</f>
        <v/>
      </c>
      <c r="K245" s="13" t="n"/>
      <c r="L245" s="12" t="n"/>
      <c r="M245" s="12" t="n"/>
      <c r="N245" s="11" t="n"/>
      <c r="O245" s="11" t="n"/>
      <c r="P245" s="14">
        <f>IF(AND(M245&lt;&gt;"",O245=""),"保留中","")</f>
        <v/>
      </c>
      <c r="Q245" s="14">
        <f>IF(P245="保留中",COUNTIF(P$6:P245,"保留中"),"")</f>
        <v/>
      </c>
    </row>
    <row r="246">
      <c r="A246" s="12" t="n"/>
      <c r="B246">
        <f>IF($A246="","",IFERROR(IF(LOOKUP(2,1/(人給データ!$B$2:$B$700=$A246),人給データ!$C$2:$C$700)=0,"",LOOKUP(2,1/(人給データ!$B$2:$B$700=$A246),人給データ!$C$2:$C$700)),""))</f>
        <v/>
      </c>
      <c r="C246">
        <f>IF($A246="","",IFERROR(IF(LOOKUP(2,1/(人給データ!$B$2:$B$700=$A246),人給データ!$G$2:$G$700)=0,"",LOOKUP(2,1/(人給データ!$B$2:$B$700=$A246),人給データ!$G$2:$G$700)),""))</f>
        <v/>
      </c>
      <c r="D246">
        <f>IF($A246="","",IFERROR(IF(LOOKUP(2,1/(人給データ!$B$2:$B$700=$A246),人給データ!$Y$2:$Y$700)=0,"",LOOKUP(2,1/(人給データ!$B$2:$B$700=$A246),人給データ!$Y$2:$Y$700)),""))</f>
        <v/>
      </c>
      <c r="E246" s="20">
        <f>IF($A246="","",IFERROR(IF(LOOKUP(2,1/(人給データ!$B$2:$B$700=$A246),人給データ!$AB$2:$AB$700)=0,"",LOOKUP(2,1/(人給データ!$B$2:$B$700=$A246),人給データ!$AB$2:$AB$700)),""))</f>
        <v/>
      </c>
      <c r="F246" s="16">
        <f>IF(OR(E246="",NOT(ISNUMBER(E246))),"",DATE(YEAR(E246)+2,MONTH(E246),DAY(E246)-2))</f>
        <v/>
      </c>
      <c r="G246" s="20">
        <f>IF($A246="","",IFERROR(IF(LOOKUP(2,1/(人給データ!$B$2:$B$700=$A246),人給データ!$J$2:$J$700)=0,"",LOOKUP(2,1/(人給データ!$B$2:$B$700=$A246),人給データ!$J$2:$J$700)),""))</f>
        <v/>
      </c>
      <c r="H246" s="20">
        <f>IF($A246="","",IFERROR(IF(LOOKUP(2,1/(人給データ!$B$2:$B$700=$A246),人給データ!$K$2:$K$700)=0,"",LOOKUP(2,1/(人給データ!$B$2:$B$700=$A246),人給データ!$K$2:$K$700)),""))</f>
        <v/>
      </c>
      <c r="I246" s="12" t="n"/>
      <c r="J246">
        <f>IF($A246="","",IFERROR(IF(LOOKUP(2,1/(人給データ!$B$2:$B$700=$A246),人給データ!$N$2:$N$700)=0,"",LOOKUP(2,1/(人給データ!$B$2:$B$700=$A246),人給データ!$N$2:$N$700)),""))</f>
        <v/>
      </c>
      <c r="K246" s="13" t="n"/>
      <c r="L246" s="12" t="n"/>
      <c r="M246" s="12" t="n"/>
      <c r="N246" s="11" t="n"/>
      <c r="O246" s="11" t="n"/>
      <c r="P246" s="14">
        <f>IF(AND(M246&lt;&gt;"",O246=""),"保留中","")</f>
        <v/>
      </c>
      <c r="Q246" s="14">
        <f>IF(P246="保留中",COUNTIF(P$6:P246,"保留中"),"")</f>
        <v/>
      </c>
    </row>
    <row r="247">
      <c r="A247" s="12" t="n"/>
      <c r="B247">
        <f>IF($A247="","",IFERROR(IF(LOOKUP(2,1/(人給データ!$B$2:$B$700=$A247),人給データ!$C$2:$C$700)=0,"",LOOKUP(2,1/(人給データ!$B$2:$B$700=$A247),人給データ!$C$2:$C$700)),""))</f>
        <v/>
      </c>
      <c r="C247">
        <f>IF($A247="","",IFERROR(IF(LOOKUP(2,1/(人給データ!$B$2:$B$700=$A247),人給データ!$G$2:$G$700)=0,"",LOOKUP(2,1/(人給データ!$B$2:$B$700=$A247),人給データ!$G$2:$G$700)),""))</f>
        <v/>
      </c>
      <c r="D247">
        <f>IF($A247="","",IFERROR(IF(LOOKUP(2,1/(人給データ!$B$2:$B$700=$A247),人給データ!$Y$2:$Y$700)=0,"",LOOKUP(2,1/(人給データ!$B$2:$B$700=$A247),人給データ!$Y$2:$Y$700)),""))</f>
        <v/>
      </c>
      <c r="E247" s="20">
        <f>IF($A247="","",IFERROR(IF(LOOKUP(2,1/(人給データ!$B$2:$B$700=$A247),人給データ!$AB$2:$AB$700)=0,"",LOOKUP(2,1/(人給データ!$B$2:$B$700=$A247),人給データ!$AB$2:$AB$700)),""))</f>
        <v/>
      </c>
      <c r="F247" s="16">
        <f>IF(OR(E247="",NOT(ISNUMBER(E247))),"",DATE(YEAR(E247)+2,MONTH(E247),DAY(E247)-2))</f>
        <v/>
      </c>
      <c r="G247" s="20">
        <f>IF($A247="","",IFERROR(IF(LOOKUP(2,1/(人給データ!$B$2:$B$700=$A247),人給データ!$J$2:$J$700)=0,"",LOOKUP(2,1/(人給データ!$B$2:$B$700=$A247),人給データ!$J$2:$J$700)),""))</f>
        <v/>
      </c>
      <c r="H247" s="20">
        <f>IF($A247="","",IFERROR(IF(LOOKUP(2,1/(人給データ!$B$2:$B$700=$A247),人給データ!$K$2:$K$700)=0,"",LOOKUP(2,1/(人給データ!$B$2:$B$700=$A247),人給データ!$K$2:$K$700)),""))</f>
        <v/>
      </c>
      <c r="I247" s="12" t="n"/>
      <c r="J247">
        <f>IF($A247="","",IFERROR(IF(LOOKUP(2,1/(人給データ!$B$2:$B$700=$A247),人給データ!$N$2:$N$700)=0,"",LOOKUP(2,1/(人給データ!$B$2:$B$700=$A247),人給データ!$N$2:$N$700)),""))</f>
        <v/>
      </c>
      <c r="K247" s="13" t="n"/>
      <c r="L247" s="12" t="n"/>
      <c r="M247" s="12" t="n"/>
      <c r="N247" s="11" t="n"/>
      <c r="O247" s="11" t="n"/>
      <c r="P247" s="14">
        <f>IF(AND(M247&lt;&gt;"",O247=""),"保留中","")</f>
        <v/>
      </c>
      <c r="Q247" s="14">
        <f>IF(P247="保留中",COUNTIF(P$6:P247,"保留中"),"")</f>
        <v/>
      </c>
    </row>
    <row r="248">
      <c r="A248" s="12" t="n"/>
      <c r="B248">
        <f>IF($A248="","",IFERROR(IF(LOOKUP(2,1/(人給データ!$B$2:$B$700=$A248),人給データ!$C$2:$C$700)=0,"",LOOKUP(2,1/(人給データ!$B$2:$B$700=$A248),人給データ!$C$2:$C$700)),""))</f>
        <v/>
      </c>
      <c r="C248">
        <f>IF($A248="","",IFERROR(IF(LOOKUP(2,1/(人給データ!$B$2:$B$700=$A248),人給データ!$G$2:$G$700)=0,"",LOOKUP(2,1/(人給データ!$B$2:$B$700=$A248),人給データ!$G$2:$G$700)),""))</f>
        <v/>
      </c>
      <c r="D248">
        <f>IF($A248="","",IFERROR(IF(LOOKUP(2,1/(人給データ!$B$2:$B$700=$A248),人給データ!$Y$2:$Y$700)=0,"",LOOKUP(2,1/(人給データ!$B$2:$B$700=$A248),人給データ!$Y$2:$Y$700)),""))</f>
        <v/>
      </c>
      <c r="E248" s="20">
        <f>IF($A248="","",IFERROR(IF(LOOKUP(2,1/(人給データ!$B$2:$B$700=$A248),人給データ!$AB$2:$AB$700)=0,"",LOOKUP(2,1/(人給データ!$B$2:$B$700=$A248),人給データ!$AB$2:$AB$700)),""))</f>
        <v/>
      </c>
      <c r="F248" s="16">
        <f>IF(OR(E248="",NOT(ISNUMBER(E248))),"",DATE(YEAR(E248)+2,MONTH(E248),DAY(E248)-2))</f>
        <v/>
      </c>
      <c r="G248" s="20">
        <f>IF($A248="","",IFERROR(IF(LOOKUP(2,1/(人給データ!$B$2:$B$700=$A248),人給データ!$J$2:$J$700)=0,"",LOOKUP(2,1/(人給データ!$B$2:$B$700=$A248),人給データ!$J$2:$J$700)),""))</f>
        <v/>
      </c>
      <c r="H248" s="20">
        <f>IF($A248="","",IFERROR(IF(LOOKUP(2,1/(人給データ!$B$2:$B$700=$A248),人給データ!$K$2:$K$700)=0,"",LOOKUP(2,1/(人給データ!$B$2:$B$700=$A248),人給データ!$K$2:$K$700)),""))</f>
        <v/>
      </c>
      <c r="I248" s="12" t="n"/>
      <c r="J248">
        <f>IF($A248="","",IFERROR(IF(LOOKUP(2,1/(人給データ!$B$2:$B$700=$A248),人給データ!$N$2:$N$700)=0,"",LOOKUP(2,1/(人給データ!$B$2:$B$700=$A248),人給データ!$N$2:$N$700)),""))</f>
        <v/>
      </c>
      <c r="K248" s="13" t="n"/>
      <c r="L248" s="12" t="n"/>
      <c r="M248" s="12" t="n"/>
      <c r="N248" s="11" t="n"/>
      <c r="O248" s="11" t="n"/>
      <c r="P248" s="14">
        <f>IF(AND(M248&lt;&gt;"",O248=""),"保留中","")</f>
        <v/>
      </c>
      <c r="Q248" s="14">
        <f>IF(P248="保留中",COUNTIF(P$6:P248,"保留中"),"")</f>
        <v/>
      </c>
    </row>
    <row r="249">
      <c r="A249" s="12" t="n"/>
      <c r="B249">
        <f>IF($A249="","",IFERROR(IF(LOOKUP(2,1/(人給データ!$B$2:$B$700=$A249),人給データ!$C$2:$C$700)=0,"",LOOKUP(2,1/(人給データ!$B$2:$B$700=$A249),人給データ!$C$2:$C$700)),""))</f>
        <v/>
      </c>
      <c r="C249">
        <f>IF($A249="","",IFERROR(IF(LOOKUP(2,1/(人給データ!$B$2:$B$700=$A249),人給データ!$G$2:$G$700)=0,"",LOOKUP(2,1/(人給データ!$B$2:$B$700=$A249),人給データ!$G$2:$G$700)),""))</f>
        <v/>
      </c>
      <c r="D249">
        <f>IF($A249="","",IFERROR(IF(LOOKUP(2,1/(人給データ!$B$2:$B$700=$A249),人給データ!$Y$2:$Y$700)=0,"",LOOKUP(2,1/(人給データ!$B$2:$B$700=$A249),人給データ!$Y$2:$Y$700)),""))</f>
        <v/>
      </c>
      <c r="E249" s="20">
        <f>IF($A249="","",IFERROR(IF(LOOKUP(2,1/(人給データ!$B$2:$B$700=$A249),人給データ!$AB$2:$AB$700)=0,"",LOOKUP(2,1/(人給データ!$B$2:$B$700=$A249),人給データ!$AB$2:$AB$700)),""))</f>
        <v/>
      </c>
      <c r="F249" s="16">
        <f>IF(OR(E249="",NOT(ISNUMBER(E249))),"",DATE(YEAR(E249)+2,MONTH(E249),DAY(E249)-2))</f>
        <v/>
      </c>
      <c r="G249" s="20">
        <f>IF($A249="","",IFERROR(IF(LOOKUP(2,1/(人給データ!$B$2:$B$700=$A249),人給データ!$J$2:$J$700)=0,"",LOOKUP(2,1/(人給データ!$B$2:$B$700=$A249),人給データ!$J$2:$J$700)),""))</f>
        <v/>
      </c>
      <c r="H249" s="20">
        <f>IF($A249="","",IFERROR(IF(LOOKUP(2,1/(人給データ!$B$2:$B$700=$A249),人給データ!$K$2:$K$700)=0,"",LOOKUP(2,1/(人給データ!$B$2:$B$700=$A249),人給データ!$K$2:$K$700)),""))</f>
        <v/>
      </c>
      <c r="I249" s="12" t="n"/>
      <c r="J249">
        <f>IF($A249="","",IFERROR(IF(LOOKUP(2,1/(人給データ!$B$2:$B$700=$A249),人給データ!$N$2:$N$700)=0,"",LOOKUP(2,1/(人給データ!$B$2:$B$700=$A249),人給データ!$N$2:$N$700)),""))</f>
        <v/>
      </c>
      <c r="K249" s="13" t="n"/>
      <c r="L249" s="12" t="n"/>
      <c r="M249" s="12" t="n"/>
      <c r="N249" s="11" t="n"/>
      <c r="O249" s="11" t="n"/>
      <c r="P249" s="14">
        <f>IF(AND(M249&lt;&gt;"",O249=""),"保留中","")</f>
        <v/>
      </c>
      <c r="Q249" s="14">
        <f>IF(P249="保留中",COUNTIF(P$6:P249,"保留中"),"")</f>
        <v/>
      </c>
    </row>
    <row r="250">
      <c r="A250" s="12" t="n"/>
      <c r="B250">
        <f>IF($A250="","",IFERROR(IF(LOOKUP(2,1/(人給データ!$B$2:$B$700=$A250),人給データ!$C$2:$C$700)=0,"",LOOKUP(2,1/(人給データ!$B$2:$B$700=$A250),人給データ!$C$2:$C$700)),""))</f>
        <v/>
      </c>
      <c r="C250">
        <f>IF($A250="","",IFERROR(IF(LOOKUP(2,1/(人給データ!$B$2:$B$700=$A250),人給データ!$G$2:$G$700)=0,"",LOOKUP(2,1/(人給データ!$B$2:$B$700=$A250),人給データ!$G$2:$G$700)),""))</f>
        <v/>
      </c>
      <c r="D250">
        <f>IF($A250="","",IFERROR(IF(LOOKUP(2,1/(人給データ!$B$2:$B$700=$A250),人給データ!$Y$2:$Y$700)=0,"",LOOKUP(2,1/(人給データ!$B$2:$B$700=$A250),人給データ!$Y$2:$Y$700)),""))</f>
        <v/>
      </c>
      <c r="E250" s="20">
        <f>IF($A250="","",IFERROR(IF(LOOKUP(2,1/(人給データ!$B$2:$B$700=$A250),人給データ!$AB$2:$AB$700)=0,"",LOOKUP(2,1/(人給データ!$B$2:$B$700=$A250),人給データ!$AB$2:$AB$700)),""))</f>
        <v/>
      </c>
      <c r="F250" s="16">
        <f>IF(OR(E250="",NOT(ISNUMBER(E250))),"",DATE(YEAR(E250)+2,MONTH(E250),DAY(E250)-2))</f>
        <v/>
      </c>
      <c r="G250" s="20">
        <f>IF($A250="","",IFERROR(IF(LOOKUP(2,1/(人給データ!$B$2:$B$700=$A250),人給データ!$J$2:$J$700)=0,"",LOOKUP(2,1/(人給データ!$B$2:$B$700=$A250),人給データ!$J$2:$J$700)),""))</f>
        <v/>
      </c>
      <c r="H250" s="20">
        <f>IF($A250="","",IFERROR(IF(LOOKUP(2,1/(人給データ!$B$2:$B$700=$A250),人給データ!$K$2:$K$700)=0,"",LOOKUP(2,1/(人給データ!$B$2:$B$700=$A250),人給データ!$K$2:$K$700)),""))</f>
        <v/>
      </c>
      <c r="I250" s="12" t="n"/>
      <c r="J250">
        <f>IF($A250="","",IFERROR(IF(LOOKUP(2,1/(人給データ!$B$2:$B$700=$A250),人給データ!$N$2:$N$700)=0,"",LOOKUP(2,1/(人給データ!$B$2:$B$700=$A250),人給データ!$N$2:$N$700)),""))</f>
        <v/>
      </c>
      <c r="K250" s="13" t="n"/>
      <c r="L250" s="12" t="n"/>
      <c r="M250" s="12" t="n"/>
      <c r="N250" s="11" t="n"/>
      <c r="O250" s="11" t="n"/>
      <c r="P250" s="14">
        <f>IF(AND(M250&lt;&gt;"",O250=""),"保留中","")</f>
        <v/>
      </c>
      <c r="Q250" s="14">
        <f>IF(P250="保留中",COUNTIF(P$6:P250,"保留中"),"")</f>
        <v/>
      </c>
    </row>
    <row r="251">
      <c r="A251" s="12" t="n"/>
      <c r="B251">
        <f>IF($A251="","",IFERROR(IF(LOOKUP(2,1/(人給データ!$B$2:$B$700=$A251),人給データ!$C$2:$C$700)=0,"",LOOKUP(2,1/(人給データ!$B$2:$B$700=$A251),人給データ!$C$2:$C$700)),""))</f>
        <v/>
      </c>
      <c r="C251">
        <f>IF($A251="","",IFERROR(IF(LOOKUP(2,1/(人給データ!$B$2:$B$700=$A251),人給データ!$G$2:$G$700)=0,"",LOOKUP(2,1/(人給データ!$B$2:$B$700=$A251),人給データ!$G$2:$G$700)),""))</f>
        <v/>
      </c>
      <c r="D251">
        <f>IF($A251="","",IFERROR(IF(LOOKUP(2,1/(人給データ!$B$2:$B$700=$A251),人給データ!$Y$2:$Y$700)=0,"",LOOKUP(2,1/(人給データ!$B$2:$B$700=$A251),人給データ!$Y$2:$Y$700)),""))</f>
        <v/>
      </c>
      <c r="E251" s="20">
        <f>IF($A251="","",IFERROR(IF(LOOKUP(2,1/(人給データ!$B$2:$B$700=$A251),人給データ!$AB$2:$AB$700)=0,"",LOOKUP(2,1/(人給データ!$B$2:$B$700=$A251),人給データ!$AB$2:$AB$700)),""))</f>
        <v/>
      </c>
      <c r="F251" s="16">
        <f>IF(OR(E251="",NOT(ISNUMBER(E251))),"",DATE(YEAR(E251)+2,MONTH(E251),DAY(E251)-2))</f>
        <v/>
      </c>
      <c r="G251" s="20">
        <f>IF($A251="","",IFERROR(IF(LOOKUP(2,1/(人給データ!$B$2:$B$700=$A251),人給データ!$J$2:$J$700)=0,"",LOOKUP(2,1/(人給データ!$B$2:$B$700=$A251),人給データ!$J$2:$J$700)),""))</f>
        <v/>
      </c>
      <c r="H251" s="20">
        <f>IF($A251="","",IFERROR(IF(LOOKUP(2,1/(人給データ!$B$2:$B$700=$A251),人給データ!$K$2:$K$700)=0,"",LOOKUP(2,1/(人給データ!$B$2:$B$700=$A251),人給データ!$K$2:$K$700)),""))</f>
        <v/>
      </c>
      <c r="I251" s="12" t="n"/>
      <c r="J251">
        <f>IF($A251="","",IFERROR(IF(LOOKUP(2,1/(人給データ!$B$2:$B$700=$A251),人給データ!$N$2:$N$700)=0,"",LOOKUP(2,1/(人給データ!$B$2:$B$700=$A251),人給データ!$N$2:$N$700)),""))</f>
        <v/>
      </c>
      <c r="K251" s="13" t="n"/>
      <c r="L251" s="12" t="n"/>
      <c r="M251" s="12" t="n"/>
      <c r="N251" s="11" t="n"/>
      <c r="O251" s="11" t="n"/>
      <c r="P251" s="14">
        <f>IF(AND(M251&lt;&gt;"",O251=""),"保留中","")</f>
        <v/>
      </c>
      <c r="Q251" s="14">
        <f>IF(P251="保留中",COUNTIF(P$6:P251,"保留中"),"")</f>
        <v/>
      </c>
    </row>
    <row r="252">
      <c r="A252" s="12" t="n"/>
      <c r="B252">
        <f>IF($A252="","",IFERROR(IF(LOOKUP(2,1/(人給データ!$B$2:$B$700=$A252),人給データ!$C$2:$C$700)=0,"",LOOKUP(2,1/(人給データ!$B$2:$B$700=$A252),人給データ!$C$2:$C$700)),""))</f>
        <v/>
      </c>
      <c r="C252">
        <f>IF($A252="","",IFERROR(IF(LOOKUP(2,1/(人給データ!$B$2:$B$700=$A252),人給データ!$G$2:$G$700)=0,"",LOOKUP(2,1/(人給データ!$B$2:$B$700=$A252),人給データ!$G$2:$G$700)),""))</f>
        <v/>
      </c>
      <c r="D252">
        <f>IF($A252="","",IFERROR(IF(LOOKUP(2,1/(人給データ!$B$2:$B$700=$A252),人給データ!$Y$2:$Y$700)=0,"",LOOKUP(2,1/(人給データ!$B$2:$B$700=$A252),人給データ!$Y$2:$Y$700)),""))</f>
        <v/>
      </c>
      <c r="E252" s="20">
        <f>IF($A252="","",IFERROR(IF(LOOKUP(2,1/(人給データ!$B$2:$B$700=$A252),人給データ!$AB$2:$AB$700)=0,"",LOOKUP(2,1/(人給データ!$B$2:$B$700=$A252),人給データ!$AB$2:$AB$700)),""))</f>
        <v/>
      </c>
      <c r="F252" s="16">
        <f>IF(OR(E252="",NOT(ISNUMBER(E252))),"",DATE(YEAR(E252)+2,MONTH(E252),DAY(E252)-2))</f>
        <v/>
      </c>
      <c r="G252" s="20">
        <f>IF($A252="","",IFERROR(IF(LOOKUP(2,1/(人給データ!$B$2:$B$700=$A252),人給データ!$J$2:$J$700)=0,"",LOOKUP(2,1/(人給データ!$B$2:$B$700=$A252),人給データ!$J$2:$J$700)),""))</f>
        <v/>
      </c>
      <c r="H252" s="20">
        <f>IF($A252="","",IFERROR(IF(LOOKUP(2,1/(人給データ!$B$2:$B$700=$A252),人給データ!$K$2:$K$700)=0,"",LOOKUP(2,1/(人給データ!$B$2:$B$700=$A252),人給データ!$K$2:$K$700)),""))</f>
        <v/>
      </c>
      <c r="I252" s="12" t="n"/>
      <c r="J252">
        <f>IF($A252="","",IFERROR(IF(LOOKUP(2,1/(人給データ!$B$2:$B$700=$A252),人給データ!$N$2:$N$700)=0,"",LOOKUP(2,1/(人給データ!$B$2:$B$700=$A252),人給データ!$N$2:$N$700)),""))</f>
        <v/>
      </c>
      <c r="K252" s="13" t="n"/>
      <c r="L252" s="12" t="n"/>
      <c r="M252" s="12" t="n"/>
      <c r="N252" s="11" t="n"/>
      <c r="O252" s="11" t="n"/>
      <c r="P252" s="14">
        <f>IF(AND(M252&lt;&gt;"",O252=""),"保留中","")</f>
        <v/>
      </c>
      <c r="Q252" s="14">
        <f>IF(P252="保留中",COUNTIF(P$6:P252,"保留中"),"")</f>
        <v/>
      </c>
    </row>
    <row r="253">
      <c r="A253" s="12" t="n"/>
      <c r="B253">
        <f>IF($A253="","",IFERROR(IF(LOOKUP(2,1/(人給データ!$B$2:$B$700=$A253),人給データ!$C$2:$C$700)=0,"",LOOKUP(2,1/(人給データ!$B$2:$B$700=$A253),人給データ!$C$2:$C$700)),""))</f>
        <v/>
      </c>
      <c r="C253">
        <f>IF($A253="","",IFERROR(IF(LOOKUP(2,1/(人給データ!$B$2:$B$700=$A253),人給データ!$G$2:$G$700)=0,"",LOOKUP(2,1/(人給データ!$B$2:$B$700=$A253),人給データ!$G$2:$G$700)),""))</f>
        <v/>
      </c>
      <c r="D253">
        <f>IF($A253="","",IFERROR(IF(LOOKUP(2,1/(人給データ!$B$2:$B$700=$A253),人給データ!$Y$2:$Y$700)=0,"",LOOKUP(2,1/(人給データ!$B$2:$B$700=$A253),人給データ!$Y$2:$Y$700)),""))</f>
        <v/>
      </c>
      <c r="E253" s="20">
        <f>IF($A253="","",IFERROR(IF(LOOKUP(2,1/(人給データ!$B$2:$B$700=$A253),人給データ!$AB$2:$AB$700)=0,"",LOOKUP(2,1/(人給データ!$B$2:$B$700=$A253),人給データ!$AB$2:$AB$700)),""))</f>
        <v/>
      </c>
      <c r="F253" s="16">
        <f>IF(OR(E253="",NOT(ISNUMBER(E253))),"",DATE(YEAR(E253)+2,MONTH(E253),DAY(E253)-2))</f>
        <v/>
      </c>
      <c r="G253" s="20">
        <f>IF($A253="","",IFERROR(IF(LOOKUP(2,1/(人給データ!$B$2:$B$700=$A253),人給データ!$J$2:$J$700)=0,"",LOOKUP(2,1/(人給データ!$B$2:$B$700=$A253),人給データ!$J$2:$J$700)),""))</f>
        <v/>
      </c>
      <c r="H253" s="20">
        <f>IF($A253="","",IFERROR(IF(LOOKUP(2,1/(人給データ!$B$2:$B$700=$A253),人給データ!$K$2:$K$700)=0,"",LOOKUP(2,1/(人給データ!$B$2:$B$700=$A253),人給データ!$K$2:$K$700)),""))</f>
        <v/>
      </c>
      <c r="I253" s="12" t="n"/>
      <c r="J253">
        <f>IF($A253="","",IFERROR(IF(LOOKUP(2,1/(人給データ!$B$2:$B$700=$A253),人給データ!$N$2:$N$700)=0,"",LOOKUP(2,1/(人給データ!$B$2:$B$700=$A253),人給データ!$N$2:$N$700)),""))</f>
        <v/>
      </c>
      <c r="K253" s="13" t="n"/>
      <c r="L253" s="12" t="n"/>
      <c r="M253" s="12" t="n"/>
      <c r="N253" s="11" t="n"/>
      <c r="O253" s="11" t="n"/>
      <c r="P253" s="14">
        <f>IF(AND(M253&lt;&gt;"",O253=""),"保留中","")</f>
        <v/>
      </c>
      <c r="Q253" s="14">
        <f>IF(P253="保留中",COUNTIF(P$6:P253,"保留中"),"")</f>
        <v/>
      </c>
    </row>
    <row r="254">
      <c r="A254" s="12" t="n"/>
      <c r="B254">
        <f>IF($A254="","",IFERROR(IF(LOOKUP(2,1/(人給データ!$B$2:$B$700=$A254),人給データ!$C$2:$C$700)=0,"",LOOKUP(2,1/(人給データ!$B$2:$B$700=$A254),人給データ!$C$2:$C$700)),""))</f>
        <v/>
      </c>
      <c r="C254">
        <f>IF($A254="","",IFERROR(IF(LOOKUP(2,1/(人給データ!$B$2:$B$700=$A254),人給データ!$G$2:$G$700)=0,"",LOOKUP(2,1/(人給データ!$B$2:$B$700=$A254),人給データ!$G$2:$G$700)),""))</f>
        <v/>
      </c>
      <c r="D254">
        <f>IF($A254="","",IFERROR(IF(LOOKUP(2,1/(人給データ!$B$2:$B$700=$A254),人給データ!$Y$2:$Y$700)=0,"",LOOKUP(2,1/(人給データ!$B$2:$B$700=$A254),人給データ!$Y$2:$Y$700)),""))</f>
        <v/>
      </c>
      <c r="E254" s="20">
        <f>IF($A254="","",IFERROR(IF(LOOKUP(2,1/(人給データ!$B$2:$B$700=$A254),人給データ!$AB$2:$AB$700)=0,"",LOOKUP(2,1/(人給データ!$B$2:$B$700=$A254),人給データ!$AB$2:$AB$700)),""))</f>
        <v/>
      </c>
      <c r="F254" s="16">
        <f>IF(OR(E254="",NOT(ISNUMBER(E254))),"",DATE(YEAR(E254)+2,MONTH(E254),DAY(E254)-2))</f>
        <v/>
      </c>
      <c r="G254" s="20">
        <f>IF($A254="","",IFERROR(IF(LOOKUP(2,1/(人給データ!$B$2:$B$700=$A254),人給データ!$J$2:$J$700)=0,"",LOOKUP(2,1/(人給データ!$B$2:$B$700=$A254),人給データ!$J$2:$J$700)),""))</f>
        <v/>
      </c>
      <c r="H254" s="20">
        <f>IF($A254="","",IFERROR(IF(LOOKUP(2,1/(人給データ!$B$2:$B$700=$A254),人給データ!$K$2:$K$700)=0,"",LOOKUP(2,1/(人給データ!$B$2:$B$700=$A254),人給データ!$K$2:$K$700)),""))</f>
        <v/>
      </c>
      <c r="I254" s="12" t="n"/>
      <c r="J254">
        <f>IF($A254="","",IFERROR(IF(LOOKUP(2,1/(人給データ!$B$2:$B$700=$A254),人給データ!$N$2:$N$700)=0,"",LOOKUP(2,1/(人給データ!$B$2:$B$700=$A254),人給データ!$N$2:$N$700)),""))</f>
        <v/>
      </c>
      <c r="K254" s="13" t="n"/>
      <c r="L254" s="12" t="n"/>
      <c r="M254" s="12" t="n"/>
      <c r="N254" s="11" t="n"/>
      <c r="O254" s="11" t="n"/>
      <c r="P254" s="14">
        <f>IF(AND(M254&lt;&gt;"",O254=""),"保留中","")</f>
        <v/>
      </c>
      <c r="Q254" s="14">
        <f>IF(P254="保留中",COUNTIF(P$6:P254,"保留中"),"")</f>
        <v/>
      </c>
    </row>
    <row r="255">
      <c r="A255" s="12" t="n"/>
      <c r="B255">
        <f>IF($A255="","",IFERROR(IF(LOOKUP(2,1/(人給データ!$B$2:$B$700=$A255),人給データ!$C$2:$C$700)=0,"",LOOKUP(2,1/(人給データ!$B$2:$B$700=$A255),人給データ!$C$2:$C$700)),""))</f>
        <v/>
      </c>
      <c r="C255">
        <f>IF($A255="","",IFERROR(IF(LOOKUP(2,1/(人給データ!$B$2:$B$700=$A255),人給データ!$G$2:$G$700)=0,"",LOOKUP(2,1/(人給データ!$B$2:$B$700=$A255),人給データ!$G$2:$G$700)),""))</f>
        <v/>
      </c>
      <c r="D255">
        <f>IF($A255="","",IFERROR(IF(LOOKUP(2,1/(人給データ!$B$2:$B$700=$A255),人給データ!$Y$2:$Y$700)=0,"",LOOKUP(2,1/(人給データ!$B$2:$B$700=$A255),人給データ!$Y$2:$Y$700)),""))</f>
        <v/>
      </c>
      <c r="E255" s="20">
        <f>IF($A255="","",IFERROR(IF(LOOKUP(2,1/(人給データ!$B$2:$B$700=$A255),人給データ!$AB$2:$AB$700)=0,"",LOOKUP(2,1/(人給データ!$B$2:$B$700=$A255),人給データ!$AB$2:$AB$700)),""))</f>
        <v/>
      </c>
      <c r="F255" s="16">
        <f>IF(OR(E255="",NOT(ISNUMBER(E255))),"",DATE(YEAR(E255)+2,MONTH(E255),DAY(E255)-2))</f>
        <v/>
      </c>
      <c r="G255" s="20">
        <f>IF($A255="","",IFERROR(IF(LOOKUP(2,1/(人給データ!$B$2:$B$700=$A255),人給データ!$J$2:$J$700)=0,"",LOOKUP(2,1/(人給データ!$B$2:$B$700=$A255),人給データ!$J$2:$J$700)),""))</f>
        <v/>
      </c>
      <c r="H255" s="20">
        <f>IF($A255="","",IFERROR(IF(LOOKUP(2,1/(人給データ!$B$2:$B$700=$A255),人給データ!$K$2:$K$700)=0,"",LOOKUP(2,1/(人給データ!$B$2:$B$700=$A255),人給データ!$K$2:$K$700)),""))</f>
        <v/>
      </c>
      <c r="I255" s="12" t="n"/>
      <c r="J255">
        <f>IF($A255="","",IFERROR(IF(LOOKUP(2,1/(人給データ!$B$2:$B$700=$A255),人給データ!$N$2:$N$700)=0,"",LOOKUP(2,1/(人給データ!$B$2:$B$700=$A255),人給データ!$N$2:$N$700)),""))</f>
        <v/>
      </c>
      <c r="K255" s="13" t="n"/>
      <c r="L255" s="12" t="n"/>
      <c r="M255" s="12" t="n"/>
      <c r="N255" s="11" t="n"/>
      <c r="O255" s="11" t="n"/>
      <c r="P255" s="14">
        <f>IF(AND(M255&lt;&gt;"",O255=""),"保留中","")</f>
        <v/>
      </c>
      <c r="Q255" s="14">
        <f>IF(P255="保留中",COUNTIF(P$6:P255,"保留中"),"")</f>
        <v/>
      </c>
    </row>
    <row r="256">
      <c r="A256" s="12" t="n"/>
      <c r="B256">
        <f>IF($A256="","",IFERROR(IF(LOOKUP(2,1/(人給データ!$B$2:$B$700=$A256),人給データ!$C$2:$C$700)=0,"",LOOKUP(2,1/(人給データ!$B$2:$B$700=$A256),人給データ!$C$2:$C$700)),""))</f>
        <v/>
      </c>
      <c r="C256">
        <f>IF($A256="","",IFERROR(IF(LOOKUP(2,1/(人給データ!$B$2:$B$700=$A256),人給データ!$G$2:$G$700)=0,"",LOOKUP(2,1/(人給データ!$B$2:$B$700=$A256),人給データ!$G$2:$G$700)),""))</f>
        <v/>
      </c>
      <c r="D256">
        <f>IF($A256="","",IFERROR(IF(LOOKUP(2,1/(人給データ!$B$2:$B$700=$A256),人給データ!$Y$2:$Y$700)=0,"",LOOKUP(2,1/(人給データ!$B$2:$B$700=$A256),人給データ!$Y$2:$Y$700)),""))</f>
        <v/>
      </c>
      <c r="E256" s="20">
        <f>IF($A256="","",IFERROR(IF(LOOKUP(2,1/(人給データ!$B$2:$B$700=$A256),人給データ!$AB$2:$AB$700)=0,"",LOOKUP(2,1/(人給データ!$B$2:$B$700=$A256),人給データ!$AB$2:$AB$700)),""))</f>
        <v/>
      </c>
      <c r="F256" s="16">
        <f>IF(OR(E256="",NOT(ISNUMBER(E256))),"",DATE(YEAR(E256)+2,MONTH(E256),DAY(E256)-2))</f>
        <v/>
      </c>
      <c r="G256" s="20">
        <f>IF($A256="","",IFERROR(IF(LOOKUP(2,1/(人給データ!$B$2:$B$700=$A256),人給データ!$J$2:$J$700)=0,"",LOOKUP(2,1/(人給データ!$B$2:$B$700=$A256),人給データ!$J$2:$J$700)),""))</f>
        <v/>
      </c>
      <c r="H256" s="20">
        <f>IF($A256="","",IFERROR(IF(LOOKUP(2,1/(人給データ!$B$2:$B$700=$A256),人給データ!$K$2:$K$700)=0,"",LOOKUP(2,1/(人給データ!$B$2:$B$700=$A256),人給データ!$K$2:$K$700)),""))</f>
        <v/>
      </c>
      <c r="I256" s="12" t="n"/>
      <c r="J256">
        <f>IF($A256="","",IFERROR(IF(LOOKUP(2,1/(人給データ!$B$2:$B$700=$A256),人給データ!$N$2:$N$700)=0,"",LOOKUP(2,1/(人給データ!$B$2:$B$700=$A256),人給データ!$N$2:$N$700)),""))</f>
        <v/>
      </c>
      <c r="K256" s="13" t="n"/>
      <c r="L256" s="12" t="n"/>
      <c r="M256" s="12" t="n"/>
      <c r="N256" s="11" t="n"/>
      <c r="O256" s="11" t="n"/>
      <c r="P256" s="14">
        <f>IF(AND(M256&lt;&gt;"",O256=""),"保留中","")</f>
        <v/>
      </c>
      <c r="Q256" s="14">
        <f>IF(P256="保留中",COUNTIF(P$6:P256,"保留中"),"")</f>
        <v/>
      </c>
    </row>
    <row r="257">
      <c r="A257" s="12" t="n"/>
      <c r="B257">
        <f>IF($A257="","",IFERROR(IF(LOOKUP(2,1/(人給データ!$B$2:$B$700=$A257),人給データ!$C$2:$C$700)=0,"",LOOKUP(2,1/(人給データ!$B$2:$B$700=$A257),人給データ!$C$2:$C$700)),""))</f>
        <v/>
      </c>
      <c r="C257">
        <f>IF($A257="","",IFERROR(IF(LOOKUP(2,1/(人給データ!$B$2:$B$700=$A257),人給データ!$G$2:$G$700)=0,"",LOOKUP(2,1/(人給データ!$B$2:$B$700=$A257),人給データ!$G$2:$G$700)),""))</f>
        <v/>
      </c>
      <c r="D257">
        <f>IF($A257="","",IFERROR(IF(LOOKUP(2,1/(人給データ!$B$2:$B$700=$A257),人給データ!$Y$2:$Y$700)=0,"",LOOKUP(2,1/(人給データ!$B$2:$B$700=$A257),人給データ!$Y$2:$Y$700)),""))</f>
        <v/>
      </c>
      <c r="E257" s="20">
        <f>IF($A257="","",IFERROR(IF(LOOKUP(2,1/(人給データ!$B$2:$B$700=$A257),人給データ!$AB$2:$AB$700)=0,"",LOOKUP(2,1/(人給データ!$B$2:$B$700=$A257),人給データ!$AB$2:$AB$700)),""))</f>
        <v/>
      </c>
      <c r="F257" s="16">
        <f>IF(OR(E257="",NOT(ISNUMBER(E257))),"",DATE(YEAR(E257)+2,MONTH(E257),DAY(E257)-2))</f>
        <v/>
      </c>
      <c r="G257" s="20">
        <f>IF($A257="","",IFERROR(IF(LOOKUP(2,1/(人給データ!$B$2:$B$700=$A257),人給データ!$J$2:$J$700)=0,"",LOOKUP(2,1/(人給データ!$B$2:$B$700=$A257),人給データ!$J$2:$J$700)),""))</f>
        <v/>
      </c>
      <c r="H257" s="20">
        <f>IF($A257="","",IFERROR(IF(LOOKUP(2,1/(人給データ!$B$2:$B$700=$A257),人給データ!$K$2:$K$700)=0,"",LOOKUP(2,1/(人給データ!$B$2:$B$700=$A257),人給データ!$K$2:$K$700)),""))</f>
        <v/>
      </c>
      <c r="I257" s="12" t="n"/>
      <c r="J257">
        <f>IF($A257="","",IFERROR(IF(LOOKUP(2,1/(人給データ!$B$2:$B$700=$A257),人給データ!$N$2:$N$700)=0,"",LOOKUP(2,1/(人給データ!$B$2:$B$700=$A257),人給データ!$N$2:$N$700)),""))</f>
        <v/>
      </c>
      <c r="K257" s="13" t="n"/>
      <c r="L257" s="12" t="n"/>
      <c r="M257" s="12" t="n"/>
      <c r="N257" s="11" t="n"/>
      <c r="O257" s="11" t="n"/>
      <c r="P257" s="14">
        <f>IF(AND(M257&lt;&gt;"",O257=""),"保留中","")</f>
        <v/>
      </c>
      <c r="Q257" s="14">
        <f>IF(P257="保留中",COUNTIF(P$6:P257,"保留中"),"")</f>
        <v/>
      </c>
    </row>
    <row r="258">
      <c r="A258" s="12" t="n"/>
      <c r="B258">
        <f>IF($A258="","",IFERROR(IF(LOOKUP(2,1/(人給データ!$B$2:$B$700=$A258),人給データ!$C$2:$C$700)=0,"",LOOKUP(2,1/(人給データ!$B$2:$B$700=$A258),人給データ!$C$2:$C$700)),""))</f>
        <v/>
      </c>
      <c r="C258">
        <f>IF($A258="","",IFERROR(IF(LOOKUP(2,1/(人給データ!$B$2:$B$700=$A258),人給データ!$G$2:$G$700)=0,"",LOOKUP(2,1/(人給データ!$B$2:$B$700=$A258),人給データ!$G$2:$G$700)),""))</f>
        <v/>
      </c>
      <c r="D258">
        <f>IF($A258="","",IFERROR(IF(LOOKUP(2,1/(人給データ!$B$2:$B$700=$A258),人給データ!$Y$2:$Y$700)=0,"",LOOKUP(2,1/(人給データ!$B$2:$B$700=$A258),人給データ!$Y$2:$Y$700)),""))</f>
        <v/>
      </c>
      <c r="E258" s="20">
        <f>IF($A258="","",IFERROR(IF(LOOKUP(2,1/(人給データ!$B$2:$B$700=$A258),人給データ!$AB$2:$AB$700)=0,"",LOOKUP(2,1/(人給データ!$B$2:$B$700=$A258),人給データ!$AB$2:$AB$700)),""))</f>
        <v/>
      </c>
      <c r="F258" s="16">
        <f>IF(OR(E258="",NOT(ISNUMBER(E258))),"",DATE(YEAR(E258)+2,MONTH(E258),DAY(E258)-2))</f>
        <v/>
      </c>
      <c r="G258" s="20">
        <f>IF($A258="","",IFERROR(IF(LOOKUP(2,1/(人給データ!$B$2:$B$700=$A258),人給データ!$J$2:$J$700)=0,"",LOOKUP(2,1/(人給データ!$B$2:$B$700=$A258),人給データ!$J$2:$J$700)),""))</f>
        <v/>
      </c>
      <c r="H258" s="20">
        <f>IF($A258="","",IFERROR(IF(LOOKUP(2,1/(人給データ!$B$2:$B$700=$A258),人給データ!$K$2:$K$700)=0,"",LOOKUP(2,1/(人給データ!$B$2:$B$700=$A258),人給データ!$K$2:$K$700)),""))</f>
        <v/>
      </c>
      <c r="I258" s="12" t="n"/>
      <c r="J258">
        <f>IF($A258="","",IFERROR(IF(LOOKUP(2,1/(人給データ!$B$2:$B$700=$A258),人給データ!$N$2:$N$700)=0,"",LOOKUP(2,1/(人給データ!$B$2:$B$700=$A258),人給データ!$N$2:$N$700)),""))</f>
        <v/>
      </c>
      <c r="K258" s="13" t="n"/>
      <c r="L258" s="12" t="n"/>
      <c r="M258" s="12" t="n"/>
      <c r="N258" s="11" t="n"/>
      <c r="O258" s="11" t="n"/>
      <c r="P258" s="14">
        <f>IF(AND(M258&lt;&gt;"",O258=""),"保留中","")</f>
        <v/>
      </c>
      <c r="Q258" s="14">
        <f>IF(P258="保留中",COUNTIF(P$6:P258,"保留中"),"")</f>
        <v/>
      </c>
    </row>
    <row r="259">
      <c r="A259" s="12" t="n"/>
      <c r="B259">
        <f>IF($A259="","",IFERROR(IF(LOOKUP(2,1/(人給データ!$B$2:$B$700=$A259),人給データ!$C$2:$C$700)=0,"",LOOKUP(2,1/(人給データ!$B$2:$B$700=$A259),人給データ!$C$2:$C$700)),""))</f>
        <v/>
      </c>
      <c r="C259">
        <f>IF($A259="","",IFERROR(IF(LOOKUP(2,1/(人給データ!$B$2:$B$700=$A259),人給データ!$G$2:$G$700)=0,"",LOOKUP(2,1/(人給データ!$B$2:$B$700=$A259),人給データ!$G$2:$G$700)),""))</f>
        <v/>
      </c>
      <c r="D259">
        <f>IF($A259="","",IFERROR(IF(LOOKUP(2,1/(人給データ!$B$2:$B$700=$A259),人給データ!$Y$2:$Y$700)=0,"",LOOKUP(2,1/(人給データ!$B$2:$B$700=$A259),人給データ!$Y$2:$Y$700)),""))</f>
        <v/>
      </c>
      <c r="E259" s="20">
        <f>IF($A259="","",IFERROR(IF(LOOKUP(2,1/(人給データ!$B$2:$B$700=$A259),人給データ!$AB$2:$AB$700)=0,"",LOOKUP(2,1/(人給データ!$B$2:$B$700=$A259),人給データ!$AB$2:$AB$700)),""))</f>
        <v/>
      </c>
      <c r="F259" s="16">
        <f>IF(OR(E259="",NOT(ISNUMBER(E259))),"",DATE(YEAR(E259)+2,MONTH(E259),DAY(E259)-2))</f>
        <v/>
      </c>
      <c r="G259" s="20">
        <f>IF($A259="","",IFERROR(IF(LOOKUP(2,1/(人給データ!$B$2:$B$700=$A259),人給データ!$J$2:$J$700)=0,"",LOOKUP(2,1/(人給データ!$B$2:$B$700=$A259),人給データ!$J$2:$J$700)),""))</f>
        <v/>
      </c>
      <c r="H259" s="20">
        <f>IF($A259="","",IFERROR(IF(LOOKUP(2,1/(人給データ!$B$2:$B$700=$A259),人給データ!$K$2:$K$700)=0,"",LOOKUP(2,1/(人給データ!$B$2:$B$700=$A259),人給データ!$K$2:$K$700)),""))</f>
        <v/>
      </c>
      <c r="I259" s="12" t="n"/>
      <c r="J259">
        <f>IF($A259="","",IFERROR(IF(LOOKUP(2,1/(人給データ!$B$2:$B$700=$A259),人給データ!$N$2:$N$700)=0,"",LOOKUP(2,1/(人給データ!$B$2:$B$700=$A259),人給データ!$N$2:$N$700)),""))</f>
        <v/>
      </c>
      <c r="K259" s="13" t="n"/>
      <c r="L259" s="12" t="n"/>
      <c r="M259" s="12" t="n"/>
      <c r="N259" s="11" t="n"/>
      <c r="O259" s="11" t="n"/>
      <c r="P259" s="14">
        <f>IF(AND(M259&lt;&gt;"",O259=""),"保留中","")</f>
        <v/>
      </c>
      <c r="Q259" s="14">
        <f>IF(P259="保留中",COUNTIF(P$6:P259,"保留中"),"")</f>
        <v/>
      </c>
    </row>
    <row r="260">
      <c r="A260" s="12" t="n"/>
      <c r="B260">
        <f>IF($A260="","",IFERROR(IF(LOOKUP(2,1/(人給データ!$B$2:$B$700=$A260),人給データ!$C$2:$C$700)=0,"",LOOKUP(2,1/(人給データ!$B$2:$B$700=$A260),人給データ!$C$2:$C$700)),""))</f>
        <v/>
      </c>
      <c r="C260">
        <f>IF($A260="","",IFERROR(IF(LOOKUP(2,1/(人給データ!$B$2:$B$700=$A260),人給データ!$G$2:$G$700)=0,"",LOOKUP(2,1/(人給データ!$B$2:$B$700=$A260),人給データ!$G$2:$G$700)),""))</f>
        <v/>
      </c>
      <c r="D260">
        <f>IF($A260="","",IFERROR(IF(LOOKUP(2,1/(人給データ!$B$2:$B$700=$A260),人給データ!$Y$2:$Y$700)=0,"",LOOKUP(2,1/(人給データ!$B$2:$B$700=$A260),人給データ!$Y$2:$Y$700)),""))</f>
        <v/>
      </c>
      <c r="E260" s="20">
        <f>IF($A260="","",IFERROR(IF(LOOKUP(2,1/(人給データ!$B$2:$B$700=$A260),人給データ!$AB$2:$AB$700)=0,"",LOOKUP(2,1/(人給データ!$B$2:$B$700=$A260),人給データ!$AB$2:$AB$700)),""))</f>
        <v/>
      </c>
      <c r="F260" s="16">
        <f>IF(OR(E260="",NOT(ISNUMBER(E260))),"",DATE(YEAR(E260)+2,MONTH(E260),DAY(E260)-2))</f>
        <v/>
      </c>
      <c r="G260" s="20">
        <f>IF($A260="","",IFERROR(IF(LOOKUP(2,1/(人給データ!$B$2:$B$700=$A260),人給データ!$J$2:$J$700)=0,"",LOOKUP(2,1/(人給データ!$B$2:$B$700=$A260),人給データ!$J$2:$J$700)),""))</f>
        <v/>
      </c>
      <c r="H260" s="20">
        <f>IF($A260="","",IFERROR(IF(LOOKUP(2,1/(人給データ!$B$2:$B$700=$A260),人給データ!$K$2:$K$700)=0,"",LOOKUP(2,1/(人給データ!$B$2:$B$700=$A260),人給データ!$K$2:$K$700)),""))</f>
        <v/>
      </c>
      <c r="I260" s="12" t="n"/>
      <c r="J260">
        <f>IF($A260="","",IFERROR(IF(LOOKUP(2,1/(人給データ!$B$2:$B$700=$A260),人給データ!$N$2:$N$700)=0,"",LOOKUP(2,1/(人給データ!$B$2:$B$700=$A260),人給データ!$N$2:$N$700)),""))</f>
        <v/>
      </c>
      <c r="K260" s="13" t="n"/>
      <c r="L260" s="12" t="n"/>
      <c r="M260" s="12" t="n"/>
      <c r="N260" s="11" t="n"/>
      <c r="O260" s="11" t="n"/>
      <c r="P260" s="14">
        <f>IF(AND(M260&lt;&gt;"",O260=""),"保留中","")</f>
        <v/>
      </c>
      <c r="Q260" s="14">
        <f>IF(P260="保留中",COUNTIF(P$6:P260,"保留中"),"")</f>
        <v/>
      </c>
    </row>
    <row r="261">
      <c r="A261" s="12" t="n"/>
      <c r="B261">
        <f>IF($A261="","",IFERROR(IF(LOOKUP(2,1/(人給データ!$B$2:$B$700=$A261),人給データ!$C$2:$C$700)=0,"",LOOKUP(2,1/(人給データ!$B$2:$B$700=$A261),人給データ!$C$2:$C$700)),""))</f>
        <v/>
      </c>
      <c r="C261">
        <f>IF($A261="","",IFERROR(IF(LOOKUP(2,1/(人給データ!$B$2:$B$700=$A261),人給データ!$G$2:$G$700)=0,"",LOOKUP(2,1/(人給データ!$B$2:$B$700=$A261),人給データ!$G$2:$G$700)),""))</f>
        <v/>
      </c>
      <c r="D261">
        <f>IF($A261="","",IFERROR(IF(LOOKUP(2,1/(人給データ!$B$2:$B$700=$A261),人給データ!$Y$2:$Y$700)=0,"",LOOKUP(2,1/(人給データ!$B$2:$B$700=$A261),人給データ!$Y$2:$Y$700)),""))</f>
        <v/>
      </c>
      <c r="E261" s="20">
        <f>IF($A261="","",IFERROR(IF(LOOKUP(2,1/(人給データ!$B$2:$B$700=$A261),人給データ!$AB$2:$AB$700)=0,"",LOOKUP(2,1/(人給データ!$B$2:$B$700=$A261),人給データ!$AB$2:$AB$700)),""))</f>
        <v/>
      </c>
      <c r="F261" s="16">
        <f>IF(OR(E261="",NOT(ISNUMBER(E261))),"",DATE(YEAR(E261)+2,MONTH(E261),DAY(E261)-2))</f>
        <v/>
      </c>
      <c r="G261" s="20">
        <f>IF($A261="","",IFERROR(IF(LOOKUP(2,1/(人給データ!$B$2:$B$700=$A261),人給データ!$J$2:$J$700)=0,"",LOOKUP(2,1/(人給データ!$B$2:$B$700=$A261),人給データ!$J$2:$J$700)),""))</f>
        <v/>
      </c>
      <c r="H261" s="20">
        <f>IF($A261="","",IFERROR(IF(LOOKUP(2,1/(人給データ!$B$2:$B$700=$A261),人給データ!$K$2:$K$700)=0,"",LOOKUP(2,1/(人給データ!$B$2:$B$700=$A261),人給データ!$K$2:$K$700)),""))</f>
        <v/>
      </c>
      <c r="I261" s="12" t="n"/>
      <c r="J261">
        <f>IF($A261="","",IFERROR(IF(LOOKUP(2,1/(人給データ!$B$2:$B$700=$A261),人給データ!$N$2:$N$700)=0,"",LOOKUP(2,1/(人給データ!$B$2:$B$700=$A261),人給データ!$N$2:$N$700)),""))</f>
        <v/>
      </c>
      <c r="K261" s="13" t="n"/>
      <c r="L261" s="12" t="n"/>
      <c r="M261" s="12" t="n"/>
      <c r="N261" s="11" t="n"/>
      <c r="O261" s="11" t="n"/>
      <c r="P261" s="14">
        <f>IF(AND(M261&lt;&gt;"",O261=""),"保留中","")</f>
        <v/>
      </c>
      <c r="Q261" s="14">
        <f>IF(P261="保留中",COUNTIF(P$6:P261,"保留中"),"")</f>
        <v/>
      </c>
    </row>
    <row r="262">
      <c r="A262" s="12" t="n"/>
      <c r="B262">
        <f>IF($A262="","",IFERROR(IF(LOOKUP(2,1/(人給データ!$B$2:$B$700=$A262),人給データ!$C$2:$C$700)=0,"",LOOKUP(2,1/(人給データ!$B$2:$B$700=$A262),人給データ!$C$2:$C$700)),""))</f>
        <v/>
      </c>
      <c r="C262">
        <f>IF($A262="","",IFERROR(IF(LOOKUP(2,1/(人給データ!$B$2:$B$700=$A262),人給データ!$G$2:$G$700)=0,"",LOOKUP(2,1/(人給データ!$B$2:$B$700=$A262),人給データ!$G$2:$G$700)),""))</f>
        <v/>
      </c>
      <c r="D262">
        <f>IF($A262="","",IFERROR(IF(LOOKUP(2,1/(人給データ!$B$2:$B$700=$A262),人給データ!$Y$2:$Y$700)=0,"",LOOKUP(2,1/(人給データ!$B$2:$B$700=$A262),人給データ!$Y$2:$Y$700)),""))</f>
        <v/>
      </c>
      <c r="E262" s="20">
        <f>IF($A262="","",IFERROR(IF(LOOKUP(2,1/(人給データ!$B$2:$B$700=$A262),人給データ!$AB$2:$AB$700)=0,"",LOOKUP(2,1/(人給データ!$B$2:$B$700=$A262),人給データ!$AB$2:$AB$700)),""))</f>
        <v/>
      </c>
      <c r="F262" s="16">
        <f>IF(OR(E262="",NOT(ISNUMBER(E262))),"",DATE(YEAR(E262)+2,MONTH(E262),DAY(E262)-2))</f>
        <v/>
      </c>
      <c r="G262" s="20">
        <f>IF($A262="","",IFERROR(IF(LOOKUP(2,1/(人給データ!$B$2:$B$700=$A262),人給データ!$J$2:$J$700)=0,"",LOOKUP(2,1/(人給データ!$B$2:$B$700=$A262),人給データ!$J$2:$J$700)),""))</f>
        <v/>
      </c>
      <c r="H262" s="20">
        <f>IF($A262="","",IFERROR(IF(LOOKUP(2,1/(人給データ!$B$2:$B$700=$A262),人給データ!$K$2:$K$700)=0,"",LOOKUP(2,1/(人給データ!$B$2:$B$700=$A262),人給データ!$K$2:$K$700)),""))</f>
        <v/>
      </c>
      <c r="I262" s="12" t="n"/>
      <c r="J262">
        <f>IF($A262="","",IFERROR(IF(LOOKUP(2,1/(人給データ!$B$2:$B$700=$A262),人給データ!$N$2:$N$700)=0,"",LOOKUP(2,1/(人給データ!$B$2:$B$700=$A262),人給データ!$N$2:$N$700)),""))</f>
        <v/>
      </c>
      <c r="K262" s="13" t="n"/>
      <c r="L262" s="12" t="n"/>
      <c r="M262" s="12" t="n"/>
      <c r="N262" s="11" t="n"/>
      <c r="O262" s="11" t="n"/>
      <c r="P262" s="14">
        <f>IF(AND(M262&lt;&gt;"",O262=""),"保留中","")</f>
        <v/>
      </c>
      <c r="Q262" s="14">
        <f>IF(P262="保留中",COUNTIF(P$6:P262,"保留中"),"")</f>
        <v/>
      </c>
    </row>
    <row r="263">
      <c r="A263" s="12" t="n"/>
      <c r="B263">
        <f>IF($A263="","",IFERROR(IF(LOOKUP(2,1/(人給データ!$B$2:$B$700=$A263),人給データ!$C$2:$C$700)=0,"",LOOKUP(2,1/(人給データ!$B$2:$B$700=$A263),人給データ!$C$2:$C$700)),""))</f>
        <v/>
      </c>
      <c r="C263">
        <f>IF($A263="","",IFERROR(IF(LOOKUP(2,1/(人給データ!$B$2:$B$700=$A263),人給データ!$G$2:$G$700)=0,"",LOOKUP(2,1/(人給データ!$B$2:$B$700=$A263),人給データ!$G$2:$G$700)),""))</f>
        <v/>
      </c>
      <c r="D263">
        <f>IF($A263="","",IFERROR(IF(LOOKUP(2,1/(人給データ!$B$2:$B$700=$A263),人給データ!$Y$2:$Y$700)=0,"",LOOKUP(2,1/(人給データ!$B$2:$B$700=$A263),人給データ!$Y$2:$Y$700)),""))</f>
        <v/>
      </c>
      <c r="E263" s="20">
        <f>IF($A263="","",IFERROR(IF(LOOKUP(2,1/(人給データ!$B$2:$B$700=$A263),人給データ!$AB$2:$AB$700)=0,"",LOOKUP(2,1/(人給データ!$B$2:$B$700=$A263),人給データ!$AB$2:$AB$700)),""))</f>
        <v/>
      </c>
      <c r="F263" s="16">
        <f>IF(OR(E263="",NOT(ISNUMBER(E263))),"",DATE(YEAR(E263)+2,MONTH(E263),DAY(E263)-2))</f>
        <v/>
      </c>
      <c r="G263" s="20">
        <f>IF($A263="","",IFERROR(IF(LOOKUP(2,1/(人給データ!$B$2:$B$700=$A263),人給データ!$J$2:$J$700)=0,"",LOOKUP(2,1/(人給データ!$B$2:$B$700=$A263),人給データ!$J$2:$J$700)),""))</f>
        <v/>
      </c>
      <c r="H263" s="20">
        <f>IF($A263="","",IFERROR(IF(LOOKUP(2,1/(人給データ!$B$2:$B$700=$A263),人給データ!$K$2:$K$700)=0,"",LOOKUP(2,1/(人給データ!$B$2:$B$700=$A263),人給データ!$K$2:$K$700)),""))</f>
        <v/>
      </c>
      <c r="I263" s="12" t="n"/>
      <c r="J263">
        <f>IF($A263="","",IFERROR(IF(LOOKUP(2,1/(人給データ!$B$2:$B$700=$A263),人給データ!$N$2:$N$700)=0,"",LOOKUP(2,1/(人給データ!$B$2:$B$700=$A263),人給データ!$N$2:$N$700)),""))</f>
        <v/>
      </c>
      <c r="K263" s="13" t="n"/>
      <c r="L263" s="12" t="n"/>
      <c r="M263" s="12" t="n"/>
      <c r="N263" s="11" t="n"/>
      <c r="O263" s="11" t="n"/>
      <c r="P263" s="14">
        <f>IF(AND(M263&lt;&gt;"",O263=""),"保留中","")</f>
        <v/>
      </c>
      <c r="Q263" s="14">
        <f>IF(P263="保留中",COUNTIF(P$6:P263,"保留中"),"")</f>
        <v/>
      </c>
    </row>
    <row r="264">
      <c r="A264" s="12" t="n"/>
      <c r="B264">
        <f>IF($A264="","",IFERROR(IF(LOOKUP(2,1/(人給データ!$B$2:$B$700=$A264),人給データ!$C$2:$C$700)=0,"",LOOKUP(2,1/(人給データ!$B$2:$B$700=$A264),人給データ!$C$2:$C$700)),""))</f>
        <v/>
      </c>
      <c r="C264">
        <f>IF($A264="","",IFERROR(IF(LOOKUP(2,1/(人給データ!$B$2:$B$700=$A264),人給データ!$G$2:$G$700)=0,"",LOOKUP(2,1/(人給データ!$B$2:$B$700=$A264),人給データ!$G$2:$G$700)),""))</f>
        <v/>
      </c>
      <c r="D264">
        <f>IF($A264="","",IFERROR(IF(LOOKUP(2,1/(人給データ!$B$2:$B$700=$A264),人給データ!$Y$2:$Y$700)=0,"",LOOKUP(2,1/(人給データ!$B$2:$B$700=$A264),人給データ!$Y$2:$Y$700)),""))</f>
        <v/>
      </c>
      <c r="E264" s="20">
        <f>IF($A264="","",IFERROR(IF(LOOKUP(2,1/(人給データ!$B$2:$B$700=$A264),人給データ!$AB$2:$AB$700)=0,"",LOOKUP(2,1/(人給データ!$B$2:$B$700=$A264),人給データ!$AB$2:$AB$700)),""))</f>
        <v/>
      </c>
      <c r="F264" s="16">
        <f>IF(OR(E264="",NOT(ISNUMBER(E264))),"",DATE(YEAR(E264)+2,MONTH(E264),DAY(E264)-2))</f>
        <v/>
      </c>
      <c r="G264" s="20">
        <f>IF($A264="","",IFERROR(IF(LOOKUP(2,1/(人給データ!$B$2:$B$700=$A264),人給データ!$J$2:$J$700)=0,"",LOOKUP(2,1/(人給データ!$B$2:$B$700=$A264),人給データ!$J$2:$J$700)),""))</f>
        <v/>
      </c>
      <c r="H264" s="20">
        <f>IF($A264="","",IFERROR(IF(LOOKUP(2,1/(人給データ!$B$2:$B$700=$A264),人給データ!$K$2:$K$700)=0,"",LOOKUP(2,1/(人給データ!$B$2:$B$700=$A264),人給データ!$K$2:$K$700)),""))</f>
        <v/>
      </c>
      <c r="I264" s="12" t="n"/>
      <c r="J264">
        <f>IF($A264="","",IFERROR(IF(LOOKUP(2,1/(人給データ!$B$2:$B$700=$A264),人給データ!$N$2:$N$700)=0,"",LOOKUP(2,1/(人給データ!$B$2:$B$700=$A264),人給データ!$N$2:$N$700)),""))</f>
        <v/>
      </c>
      <c r="K264" s="13" t="n"/>
      <c r="L264" s="12" t="n"/>
      <c r="M264" s="12" t="n"/>
      <c r="N264" s="11" t="n"/>
      <c r="O264" s="11" t="n"/>
      <c r="P264" s="14">
        <f>IF(AND(M264&lt;&gt;"",O264=""),"保留中","")</f>
        <v/>
      </c>
      <c r="Q264" s="14">
        <f>IF(P264="保留中",COUNTIF(P$6:P264,"保留中"),"")</f>
        <v/>
      </c>
    </row>
    <row r="265">
      <c r="A265" s="12" t="n"/>
      <c r="B265">
        <f>IF($A265="","",IFERROR(IF(LOOKUP(2,1/(人給データ!$B$2:$B$700=$A265),人給データ!$C$2:$C$700)=0,"",LOOKUP(2,1/(人給データ!$B$2:$B$700=$A265),人給データ!$C$2:$C$700)),""))</f>
        <v/>
      </c>
      <c r="C265">
        <f>IF($A265="","",IFERROR(IF(LOOKUP(2,1/(人給データ!$B$2:$B$700=$A265),人給データ!$G$2:$G$700)=0,"",LOOKUP(2,1/(人給データ!$B$2:$B$700=$A265),人給データ!$G$2:$G$700)),""))</f>
        <v/>
      </c>
      <c r="D265">
        <f>IF($A265="","",IFERROR(IF(LOOKUP(2,1/(人給データ!$B$2:$B$700=$A265),人給データ!$Y$2:$Y$700)=0,"",LOOKUP(2,1/(人給データ!$B$2:$B$700=$A265),人給データ!$Y$2:$Y$700)),""))</f>
        <v/>
      </c>
      <c r="E265" s="20">
        <f>IF($A265="","",IFERROR(IF(LOOKUP(2,1/(人給データ!$B$2:$B$700=$A265),人給データ!$AB$2:$AB$700)=0,"",LOOKUP(2,1/(人給データ!$B$2:$B$700=$A265),人給データ!$AB$2:$AB$700)),""))</f>
        <v/>
      </c>
      <c r="F265" s="16">
        <f>IF(OR(E265="",NOT(ISNUMBER(E265))),"",DATE(YEAR(E265)+2,MONTH(E265),DAY(E265)-2))</f>
        <v/>
      </c>
      <c r="G265" s="20">
        <f>IF($A265="","",IFERROR(IF(LOOKUP(2,1/(人給データ!$B$2:$B$700=$A265),人給データ!$J$2:$J$700)=0,"",LOOKUP(2,1/(人給データ!$B$2:$B$700=$A265),人給データ!$J$2:$J$700)),""))</f>
        <v/>
      </c>
      <c r="H265" s="20">
        <f>IF($A265="","",IFERROR(IF(LOOKUP(2,1/(人給データ!$B$2:$B$700=$A265),人給データ!$K$2:$K$700)=0,"",LOOKUP(2,1/(人給データ!$B$2:$B$700=$A265),人給データ!$K$2:$K$700)),""))</f>
        <v/>
      </c>
      <c r="I265" s="12" t="n"/>
      <c r="J265">
        <f>IF($A265="","",IFERROR(IF(LOOKUP(2,1/(人給データ!$B$2:$B$700=$A265),人給データ!$N$2:$N$700)=0,"",LOOKUP(2,1/(人給データ!$B$2:$B$700=$A265),人給データ!$N$2:$N$700)),""))</f>
        <v/>
      </c>
      <c r="K265" s="13" t="n"/>
      <c r="L265" s="12" t="n"/>
      <c r="M265" s="12" t="n"/>
      <c r="N265" s="11" t="n"/>
      <c r="O265" s="11" t="n"/>
      <c r="P265" s="14">
        <f>IF(AND(M265&lt;&gt;"",O265=""),"保留中","")</f>
        <v/>
      </c>
      <c r="Q265" s="14">
        <f>IF(P265="保留中",COUNTIF(P$6:P265,"保留中"),"")</f>
        <v/>
      </c>
    </row>
    <row r="266">
      <c r="A266" s="12" t="n"/>
      <c r="B266">
        <f>IF($A266="","",IFERROR(IF(LOOKUP(2,1/(人給データ!$B$2:$B$700=$A266),人給データ!$C$2:$C$700)=0,"",LOOKUP(2,1/(人給データ!$B$2:$B$700=$A266),人給データ!$C$2:$C$700)),""))</f>
        <v/>
      </c>
      <c r="C266">
        <f>IF($A266="","",IFERROR(IF(LOOKUP(2,1/(人給データ!$B$2:$B$700=$A266),人給データ!$G$2:$G$700)=0,"",LOOKUP(2,1/(人給データ!$B$2:$B$700=$A266),人給データ!$G$2:$G$700)),""))</f>
        <v/>
      </c>
      <c r="D266">
        <f>IF($A266="","",IFERROR(IF(LOOKUP(2,1/(人給データ!$B$2:$B$700=$A266),人給データ!$Y$2:$Y$700)=0,"",LOOKUP(2,1/(人給データ!$B$2:$B$700=$A266),人給データ!$Y$2:$Y$700)),""))</f>
        <v/>
      </c>
      <c r="E266" s="20">
        <f>IF($A266="","",IFERROR(IF(LOOKUP(2,1/(人給データ!$B$2:$B$700=$A266),人給データ!$AB$2:$AB$700)=0,"",LOOKUP(2,1/(人給データ!$B$2:$B$700=$A266),人給データ!$AB$2:$AB$700)),""))</f>
        <v/>
      </c>
      <c r="F266" s="16">
        <f>IF(OR(E266="",NOT(ISNUMBER(E266))),"",DATE(YEAR(E266)+2,MONTH(E266),DAY(E266)-2))</f>
        <v/>
      </c>
      <c r="G266" s="20">
        <f>IF($A266="","",IFERROR(IF(LOOKUP(2,1/(人給データ!$B$2:$B$700=$A266),人給データ!$J$2:$J$700)=0,"",LOOKUP(2,1/(人給データ!$B$2:$B$700=$A266),人給データ!$J$2:$J$700)),""))</f>
        <v/>
      </c>
      <c r="H266" s="20">
        <f>IF($A266="","",IFERROR(IF(LOOKUP(2,1/(人給データ!$B$2:$B$700=$A266),人給データ!$K$2:$K$700)=0,"",LOOKUP(2,1/(人給データ!$B$2:$B$700=$A266),人給データ!$K$2:$K$700)),""))</f>
        <v/>
      </c>
      <c r="I266" s="12" t="n"/>
      <c r="J266">
        <f>IF($A266="","",IFERROR(IF(LOOKUP(2,1/(人給データ!$B$2:$B$700=$A266),人給データ!$N$2:$N$700)=0,"",LOOKUP(2,1/(人給データ!$B$2:$B$700=$A266),人給データ!$N$2:$N$700)),""))</f>
        <v/>
      </c>
      <c r="K266" s="13" t="n"/>
      <c r="L266" s="12" t="n"/>
      <c r="M266" s="12" t="n"/>
      <c r="N266" s="11" t="n"/>
      <c r="O266" s="11" t="n"/>
      <c r="P266" s="14">
        <f>IF(AND(M266&lt;&gt;"",O266=""),"保留中","")</f>
        <v/>
      </c>
      <c r="Q266" s="14">
        <f>IF(P266="保留中",COUNTIF(P$6:P266,"保留中"),"")</f>
        <v/>
      </c>
    </row>
    <row r="267">
      <c r="A267" s="12" t="n"/>
      <c r="B267">
        <f>IF($A267="","",IFERROR(IF(LOOKUP(2,1/(人給データ!$B$2:$B$700=$A267),人給データ!$C$2:$C$700)=0,"",LOOKUP(2,1/(人給データ!$B$2:$B$700=$A267),人給データ!$C$2:$C$700)),""))</f>
        <v/>
      </c>
      <c r="C267">
        <f>IF($A267="","",IFERROR(IF(LOOKUP(2,1/(人給データ!$B$2:$B$700=$A267),人給データ!$G$2:$G$700)=0,"",LOOKUP(2,1/(人給データ!$B$2:$B$700=$A267),人給データ!$G$2:$G$700)),""))</f>
        <v/>
      </c>
      <c r="D267">
        <f>IF($A267="","",IFERROR(IF(LOOKUP(2,1/(人給データ!$B$2:$B$700=$A267),人給データ!$Y$2:$Y$700)=0,"",LOOKUP(2,1/(人給データ!$B$2:$B$700=$A267),人給データ!$Y$2:$Y$700)),""))</f>
        <v/>
      </c>
      <c r="E267" s="20">
        <f>IF($A267="","",IFERROR(IF(LOOKUP(2,1/(人給データ!$B$2:$B$700=$A267),人給データ!$AB$2:$AB$700)=0,"",LOOKUP(2,1/(人給データ!$B$2:$B$700=$A267),人給データ!$AB$2:$AB$700)),""))</f>
        <v/>
      </c>
      <c r="F267" s="16">
        <f>IF(OR(E267="",NOT(ISNUMBER(E267))),"",DATE(YEAR(E267)+2,MONTH(E267),DAY(E267)-2))</f>
        <v/>
      </c>
      <c r="G267" s="20">
        <f>IF($A267="","",IFERROR(IF(LOOKUP(2,1/(人給データ!$B$2:$B$700=$A267),人給データ!$J$2:$J$700)=0,"",LOOKUP(2,1/(人給データ!$B$2:$B$700=$A267),人給データ!$J$2:$J$700)),""))</f>
        <v/>
      </c>
      <c r="H267" s="20">
        <f>IF($A267="","",IFERROR(IF(LOOKUP(2,1/(人給データ!$B$2:$B$700=$A267),人給データ!$K$2:$K$700)=0,"",LOOKUP(2,1/(人給データ!$B$2:$B$700=$A267),人給データ!$K$2:$K$700)),""))</f>
        <v/>
      </c>
      <c r="I267" s="12" t="n"/>
      <c r="J267">
        <f>IF($A267="","",IFERROR(IF(LOOKUP(2,1/(人給データ!$B$2:$B$700=$A267),人給データ!$N$2:$N$700)=0,"",LOOKUP(2,1/(人給データ!$B$2:$B$700=$A267),人給データ!$N$2:$N$700)),""))</f>
        <v/>
      </c>
      <c r="K267" s="13" t="n"/>
      <c r="L267" s="12" t="n"/>
      <c r="M267" s="12" t="n"/>
      <c r="N267" s="11" t="n"/>
      <c r="O267" s="11" t="n"/>
      <c r="P267" s="14">
        <f>IF(AND(M267&lt;&gt;"",O267=""),"保留中","")</f>
        <v/>
      </c>
      <c r="Q267" s="14">
        <f>IF(P267="保留中",COUNTIF(P$6:P267,"保留中"),"")</f>
        <v/>
      </c>
    </row>
    <row r="268">
      <c r="A268" s="12" t="n"/>
      <c r="B268">
        <f>IF($A268="","",IFERROR(IF(LOOKUP(2,1/(人給データ!$B$2:$B$700=$A268),人給データ!$C$2:$C$700)=0,"",LOOKUP(2,1/(人給データ!$B$2:$B$700=$A268),人給データ!$C$2:$C$700)),""))</f>
        <v/>
      </c>
      <c r="C268">
        <f>IF($A268="","",IFERROR(IF(LOOKUP(2,1/(人給データ!$B$2:$B$700=$A268),人給データ!$G$2:$G$700)=0,"",LOOKUP(2,1/(人給データ!$B$2:$B$700=$A268),人給データ!$G$2:$G$700)),""))</f>
        <v/>
      </c>
      <c r="D268">
        <f>IF($A268="","",IFERROR(IF(LOOKUP(2,1/(人給データ!$B$2:$B$700=$A268),人給データ!$Y$2:$Y$700)=0,"",LOOKUP(2,1/(人給データ!$B$2:$B$700=$A268),人給データ!$Y$2:$Y$700)),""))</f>
        <v/>
      </c>
      <c r="E268" s="20">
        <f>IF($A268="","",IFERROR(IF(LOOKUP(2,1/(人給データ!$B$2:$B$700=$A268),人給データ!$AB$2:$AB$700)=0,"",LOOKUP(2,1/(人給データ!$B$2:$B$700=$A268),人給データ!$AB$2:$AB$700)),""))</f>
        <v/>
      </c>
      <c r="F268" s="16">
        <f>IF(OR(E268="",NOT(ISNUMBER(E268))),"",DATE(YEAR(E268)+2,MONTH(E268),DAY(E268)-2))</f>
        <v/>
      </c>
      <c r="G268" s="20">
        <f>IF($A268="","",IFERROR(IF(LOOKUP(2,1/(人給データ!$B$2:$B$700=$A268),人給データ!$J$2:$J$700)=0,"",LOOKUP(2,1/(人給データ!$B$2:$B$700=$A268),人給データ!$J$2:$J$700)),""))</f>
        <v/>
      </c>
      <c r="H268" s="20">
        <f>IF($A268="","",IFERROR(IF(LOOKUP(2,1/(人給データ!$B$2:$B$700=$A268),人給データ!$K$2:$K$700)=0,"",LOOKUP(2,1/(人給データ!$B$2:$B$700=$A268),人給データ!$K$2:$K$700)),""))</f>
        <v/>
      </c>
      <c r="I268" s="12" t="n"/>
      <c r="J268">
        <f>IF($A268="","",IFERROR(IF(LOOKUP(2,1/(人給データ!$B$2:$B$700=$A268),人給データ!$N$2:$N$700)=0,"",LOOKUP(2,1/(人給データ!$B$2:$B$700=$A268),人給データ!$N$2:$N$700)),""))</f>
        <v/>
      </c>
      <c r="K268" s="13" t="n"/>
      <c r="L268" s="12" t="n"/>
      <c r="M268" s="12" t="n"/>
      <c r="N268" s="11" t="n"/>
      <c r="O268" s="11" t="n"/>
      <c r="P268" s="14">
        <f>IF(AND(M268&lt;&gt;"",O268=""),"保留中","")</f>
        <v/>
      </c>
      <c r="Q268" s="14">
        <f>IF(P268="保留中",COUNTIF(P$6:P268,"保留中"),"")</f>
        <v/>
      </c>
    </row>
    <row r="269">
      <c r="A269" s="12" t="n"/>
      <c r="B269">
        <f>IF($A269="","",IFERROR(IF(LOOKUP(2,1/(人給データ!$B$2:$B$700=$A269),人給データ!$C$2:$C$700)=0,"",LOOKUP(2,1/(人給データ!$B$2:$B$700=$A269),人給データ!$C$2:$C$700)),""))</f>
        <v/>
      </c>
      <c r="C269">
        <f>IF($A269="","",IFERROR(IF(LOOKUP(2,1/(人給データ!$B$2:$B$700=$A269),人給データ!$G$2:$G$700)=0,"",LOOKUP(2,1/(人給データ!$B$2:$B$700=$A269),人給データ!$G$2:$G$700)),""))</f>
        <v/>
      </c>
      <c r="D269">
        <f>IF($A269="","",IFERROR(IF(LOOKUP(2,1/(人給データ!$B$2:$B$700=$A269),人給データ!$Y$2:$Y$700)=0,"",LOOKUP(2,1/(人給データ!$B$2:$B$700=$A269),人給データ!$Y$2:$Y$700)),""))</f>
        <v/>
      </c>
      <c r="E269" s="20">
        <f>IF($A269="","",IFERROR(IF(LOOKUP(2,1/(人給データ!$B$2:$B$700=$A269),人給データ!$AB$2:$AB$700)=0,"",LOOKUP(2,1/(人給データ!$B$2:$B$700=$A269),人給データ!$AB$2:$AB$700)),""))</f>
        <v/>
      </c>
      <c r="F269" s="16">
        <f>IF(OR(E269="",NOT(ISNUMBER(E269))),"",DATE(YEAR(E269)+2,MONTH(E269),DAY(E269)-2))</f>
        <v/>
      </c>
      <c r="G269" s="20">
        <f>IF($A269="","",IFERROR(IF(LOOKUP(2,1/(人給データ!$B$2:$B$700=$A269),人給データ!$J$2:$J$700)=0,"",LOOKUP(2,1/(人給データ!$B$2:$B$700=$A269),人給データ!$J$2:$J$700)),""))</f>
        <v/>
      </c>
      <c r="H269" s="20">
        <f>IF($A269="","",IFERROR(IF(LOOKUP(2,1/(人給データ!$B$2:$B$700=$A269),人給データ!$K$2:$K$700)=0,"",LOOKUP(2,1/(人給データ!$B$2:$B$700=$A269),人給データ!$K$2:$K$700)),""))</f>
        <v/>
      </c>
      <c r="I269" s="12" t="n"/>
      <c r="J269">
        <f>IF($A269="","",IFERROR(IF(LOOKUP(2,1/(人給データ!$B$2:$B$700=$A269),人給データ!$N$2:$N$700)=0,"",LOOKUP(2,1/(人給データ!$B$2:$B$700=$A269),人給データ!$N$2:$N$700)),""))</f>
        <v/>
      </c>
      <c r="K269" s="13" t="n"/>
      <c r="L269" s="12" t="n"/>
      <c r="M269" s="12" t="n"/>
      <c r="N269" s="11" t="n"/>
      <c r="O269" s="11" t="n"/>
      <c r="P269" s="14">
        <f>IF(AND(M269&lt;&gt;"",O269=""),"保留中","")</f>
        <v/>
      </c>
      <c r="Q269" s="14">
        <f>IF(P269="保留中",COUNTIF(P$6:P269,"保留中"),"")</f>
        <v/>
      </c>
    </row>
    <row r="270">
      <c r="A270" s="12" t="n"/>
      <c r="B270">
        <f>IF($A270="","",IFERROR(IF(LOOKUP(2,1/(人給データ!$B$2:$B$700=$A270),人給データ!$C$2:$C$700)=0,"",LOOKUP(2,1/(人給データ!$B$2:$B$700=$A270),人給データ!$C$2:$C$700)),""))</f>
        <v/>
      </c>
      <c r="C270">
        <f>IF($A270="","",IFERROR(IF(LOOKUP(2,1/(人給データ!$B$2:$B$700=$A270),人給データ!$G$2:$G$700)=0,"",LOOKUP(2,1/(人給データ!$B$2:$B$700=$A270),人給データ!$G$2:$G$700)),""))</f>
        <v/>
      </c>
      <c r="D270">
        <f>IF($A270="","",IFERROR(IF(LOOKUP(2,1/(人給データ!$B$2:$B$700=$A270),人給データ!$Y$2:$Y$700)=0,"",LOOKUP(2,1/(人給データ!$B$2:$B$700=$A270),人給データ!$Y$2:$Y$700)),""))</f>
        <v/>
      </c>
      <c r="E270" s="20">
        <f>IF($A270="","",IFERROR(IF(LOOKUP(2,1/(人給データ!$B$2:$B$700=$A270),人給データ!$AB$2:$AB$700)=0,"",LOOKUP(2,1/(人給データ!$B$2:$B$700=$A270),人給データ!$AB$2:$AB$700)),""))</f>
        <v/>
      </c>
      <c r="F270" s="16">
        <f>IF(OR(E270="",NOT(ISNUMBER(E270))),"",DATE(YEAR(E270)+2,MONTH(E270),DAY(E270)-2))</f>
        <v/>
      </c>
      <c r="G270" s="20">
        <f>IF($A270="","",IFERROR(IF(LOOKUP(2,1/(人給データ!$B$2:$B$700=$A270),人給データ!$J$2:$J$700)=0,"",LOOKUP(2,1/(人給データ!$B$2:$B$700=$A270),人給データ!$J$2:$J$700)),""))</f>
        <v/>
      </c>
      <c r="H270" s="20">
        <f>IF($A270="","",IFERROR(IF(LOOKUP(2,1/(人給データ!$B$2:$B$700=$A270),人給データ!$K$2:$K$700)=0,"",LOOKUP(2,1/(人給データ!$B$2:$B$700=$A270),人給データ!$K$2:$K$700)),""))</f>
        <v/>
      </c>
      <c r="I270" s="12" t="n"/>
      <c r="J270">
        <f>IF($A270="","",IFERROR(IF(LOOKUP(2,1/(人給データ!$B$2:$B$700=$A270),人給データ!$N$2:$N$700)=0,"",LOOKUP(2,1/(人給データ!$B$2:$B$700=$A270),人給データ!$N$2:$N$700)),""))</f>
        <v/>
      </c>
      <c r="K270" s="13" t="n"/>
      <c r="L270" s="12" t="n"/>
      <c r="M270" s="12" t="n"/>
      <c r="N270" s="11" t="n"/>
      <c r="O270" s="11" t="n"/>
      <c r="P270" s="14">
        <f>IF(AND(M270&lt;&gt;"",O270=""),"保留中","")</f>
        <v/>
      </c>
      <c r="Q270" s="14">
        <f>IF(P270="保留中",COUNTIF(P$6:P270,"保留中"),"")</f>
        <v/>
      </c>
    </row>
    <row r="271">
      <c r="A271" s="12" t="n"/>
      <c r="B271">
        <f>IF($A271="","",IFERROR(IF(LOOKUP(2,1/(人給データ!$B$2:$B$700=$A271),人給データ!$C$2:$C$700)=0,"",LOOKUP(2,1/(人給データ!$B$2:$B$700=$A271),人給データ!$C$2:$C$700)),""))</f>
        <v/>
      </c>
      <c r="C271">
        <f>IF($A271="","",IFERROR(IF(LOOKUP(2,1/(人給データ!$B$2:$B$700=$A271),人給データ!$G$2:$G$700)=0,"",LOOKUP(2,1/(人給データ!$B$2:$B$700=$A271),人給データ!$G$2:$G$700)),""))</f>
        <v/>
      </c>
      <c r="D271">
        <f>IF($A271="","",IFERROR(IF(LOOKUP(2,1/(人給データ!$B$2:$B$700=$A271),人給データ!$Y$2:$Y$700)=0,"",LOOKUP(2,1/(人給データ!$B$2:$B$700=$A271),人給データ!$Y$2:$Y$700)),""))</f>
        <v/>
      </c>
      <c r="E271" s="20">
        <f>IF($A271="","",IFERROR(IF(LOOKUP(2,1/(人給データ!$B$2:$B$700=$A271),人給データ!$AB$2:$AB$700)=0,"",LOOKUP(2,1/(人給データ!$B$2:$B$700=$A271),人給データ!$AB$2:$AB$700)),""))</f>
        <v/>
      </c>
      <c r="F271" s="16">
        <f>IF(OR(E271="",NOT(ISNUMBER(E271))),"",DATE(YEAR(E271)+2,MONTH(E271),DAY(E271)-2))</f>
        <v/>
      </c>
      <c r="G271" s="20">
        <f>IF($A271="","",IFERROR(IF(LOOKUP(2,1/(人給データ!$B$2:$B$700=$A271),人給データ!$J$2:$J$700)=0,"",LOOKUP(2,1/(人給データ!$B$2:$B$700=$A271),人給データ!$J$2:$J$700)),""))</f>
        <v/>
      </c>
      <c r="H271" s="20">
        <f>IF($A271="","",IFERROR(IF(LOOKUP(2,1/(人給データ!$B$2:$B$700=$A271),人給データ!$K$2:$K$700)=0,"",LOOKUP(2,1/(人給データ!$B$2:$B$700=$A271),人給データ!$K$2:$K$700)),""))</f>
        <v/>
      </c>
      <c r="I271" s="12" t="n"/>
      <c r="J271">
        <f>IF($A271="","",IFERROR(IF(LOOKUP(2,1/(人給データ!$B$2:$B$700=$A271),人給データ!$N$2:$N$700)=0,"",LOOKUP(2,1/(人給データ!$B$2:$B$700=$A271),人給データ!$N$2:$N$700)),""))</f>
        <v/>
      </c>
      <c r="K271" s="13" t="n"/>
      <c r="L271" s="12" t="n"/>
      <c r="M271" s="12" t="n"/>
      <c r="N271" s="11" t="n"/>
      <c r="O271" s="11" t="n"/>
      <c r="P271" s="14">
        <f>IF(AND(M271&lt;&gt;"",O271=""),"保留中","")</f>
        <v/>
      </c>
      <c r="Q271" s="14">
        <f>IF(P271="保留中",COUNTIF(P$6:P271,"保留中"),"")</f>
        <v/>
      </c>
    </row>
    <row r="272">
      <c r="A272" s="12" t="n"/>
      <c r="B272">
        <f>IF($A272="","",IFERROR(IF(LOOKUP(2,1/(人給データ!$B$2:$B$700=$A272),人給データ!$C$2:$C$700)=0,"",LOOKUP(2,1/(人給データ!$B$2:$B$700=$A272),人給データ!$C$2:$C$700)),""))</f>
        <v/>
      </c>
      <c r="C272">
        <f>IF($A272="","",IFERROR(IF(LOOKUP(2,1/(人給データ!$B$2:$B$700=$A272),人給データ!$G$2:$G$700)=0,"",LOOKUP(2,1/(人給データ!$B$2:$B$700=$A272),人給データ!$G$2:$G$700)),""))</f>
        <v/>
      </c>
      <c r="D272">
        <f>IF($A272="","",IFERROR(IF(LOOKUP(2,1/(人給データ!$B$2:$B$700=$A272),人給データ!$Y$2:$Y$700)=0,"",LOOKUP(2,1/(人給データ!$B$2:$B$700=$A272),人給データ!$Y$2:$Y$700)),""))</f>
        <v/>
      </c>
      <c r="E272" s="20">
        <f>IF($A272="","",IFERROR(IF(LOOKUP(2,1/(人給データ!$B$2:$B$700=$A272),人給データ!$AB$2:$AB$700)=0,"",LOOKUP(2,1/(人給データ!$B$2:$B$700=$A272),人給データ!$AB$2:$AB$700)),""))</f>
        <v/>
      </c>
      <c r="F272" s="16">
        <f>IF(OR(E272="",NOT(ISNUMBER(E272))),"",DATE(YEAR(E272)+2,MONTH(E272),DAY(E272)-2))</f>
        <v/>
      </c>
      <c r="G272" s="20">
        <f>IF($A272="","",IFERROR(IF(LOOKUP(2,1/(人給データ!$B$2:$B$700=$A272),人給データ!$J$2:$J$700)=0,"",LOOKUP(2,1/(人給データ!$B$2:$B$700=$A272),人給データ!$J$2:$J$700)),""))</f>
        <v/>
      </c>
      <c r="H272" s="20">
        <f>IF($A272="","",IFERROR(IF(LOOKUP(2,1/(人給データ!$B$2:$B$700=$A272),人給データ!$K$2:$K$700)=0,"",LOOKUP(2,1/(人給データ!$B$2:$B$700=$A272),人給データ!$K$2:$K$700)),""))</f>
        <v/>
      </c>
      <c r="I272" s="12" t="n"/>
      <c r="J272">
        <f>IF($A272="","",IFERROR(IF(LOOKUP(2,1/(人給データ!$B$2:$B$700=$A272),人給データ!$N$2:$N$700)=0,"",LOOKUP(2,1/(人給データ!$B$2:$B$700=$A272),人給データ!$N$2:$N$700)),""))</f>
        <v/>
      </c>
      <c r="K272" s="13" t="n"/>
      <c r="L272" s="12" t="n"/>
      <c r="M272" s="12" t="n"/>
      <c r="N272" s="11" t="n"/>
      <c r="O272" s="11" t="n"/>
      <c r="P272" s="14">
        <f>IF(AND(M272&lt;&gt;"",O272=""),"保留中","")</f>
        <v/>
      </c>
      <c r="Q272" s="14">
        <f>IF(P272="保留中",COUNTIF(P$6:P272,"保留中"),"")</f>
        <v/>
      </c>
    </row>
    <row r="273">
      <c r="A273" s="12" t="n"/>
      <c r="B273">
        <f>IF($A273="","",IFERROR(IF(LOOKUP(2,1/(人給データ!$B$2:$B$700=$A273),人給データ!$C$2:$C$700)=0,"",LOOKUP(2,1/(人給データ!$B$2:$B$700=$A273),人給データ!$C$2:$C$700)),""))</f>
        <v/>
      </c>
      <c r="C273">
        <f>IF($A273="","",IFERROR(IF(LOOKUP(2,1/(人給データ!$B$2:$B$700=$A273),人給データ!$G$2:$G$700)=0,"",LOOKUP(2,1/(人給データ!$B$2:$B$700=$A273),人給データ!$G$2:$G$700)),""))</f>
        <v/>
      </c>
      <c r="D273">
        <f>IF($A273="","",IFERROR(IF(LOOKUP(2,1/(人給データ!$B$2:$B$700=$A273),人給データ!$Y$2:$Y$700)=0,"",LOOKUP(2,1/(人給データ!$B$2:$B$700=$A273),人給データ!$Y$2:$Y$700)),""))</f>
        <v/>
      </c>
      <c r="E273" s="20">
        <f>IF($A273="","",IFERROR(IF(LOOKUP(2,1/(人給データ!$B$2:$B$700=$A273),人給データ!$AB$2:$AB$700)=0,"",LOOKUP(2,1/(人給データ!$B$2:$B$700=$A273),人給データ!$AB$2:$AB$700)),""))</f>
        <v/>
      </c>
      <c r="F273" s="16">
        <f>IF(OR(E273="",NOT(ISNUMBER(E273))),"",DATE(YEAR(E273)+2,MONTH(E273),DAY(E273)-2))</f>
        <v/>
      </c>
      <c r="G273" s="20">
        <f>IF($A273="","",IFERROR(IF(LOOKUP(2,1/(人給データ!$B$2:$B$700=$A273),人給データ!$J$2:$J$700)=0,"",LOOKUP(2,1/(人給データ!$B$2:$B$700=$A273),人給データ!$J$2:$J$700)),""))</f>
        <v/>
      </c>
      <c r="H273" s="20">
        <f>IF($A273="","",IFERROR(IF(LOOKUP(2,1/(人給データ!$B$2:$B$700=$A273),人給データ!$K$2:$K$700)=0,"",LOOKUP(2,1/(人給データ!$B$2:$B$700=$A273),人給データ!$K$2:$K$700)),""))</f>
        <v/>
      </c>
      <c r="I273" s="12" t="n"/>
      <c r="J273">
        <f>IF($A273="","",IFERROR(IF(LOOKUP(2,1/(人給データ!$B$2:$B$700=$A273),人給データ!$N$2:$N$700)=0,"",LOOKUP(2,1/(人給データ!$B$2:$B$700=$A273),人給データ!$N$2:$N$700)),""))</f>
        <v/>
      </c>
      <c r="K273" s="13" t="n"/>
      <c r="L273" s="12" t="n"/>
      <c r="M273" s="12" t="n"/>
      <c r="N273" s="11" t="n"/>
      <c r="O273" s="11" t="n"/>
      <c r="P273" s="14">
        <f>IF(AND(M273&lt;&gt;"",O273=""),"保留中","")</f>
        <v/>
      </c>
      <c r="Q273" s="14">
        <f>IF(P273="保留中",COUNTIF(P$6:P273,"保留中"),"")</f>
        <v/>
      </c>
    </row>
    <row r="274">
      <c r="A274" s="12" t="n"/>
      <c r="B274">
        <f>IF($A274="","",IFERROR(IF(LOOKUP(2,1/(人給データ!$B$2:$B$700=$A274),人給データ!$C$2:$C$700)=0,"",LOOKUP(2,1/(人給データ!$B$2:$B$700=$A274),人給データ!$C$2:$C$700)),""))</f>
        <v/>
      </c>
      <c r="C274">
        <f>IF($A274="","",IFERROR(IF(LOOKUP(2,1/(人給データ!$B$2:$B$700=$A274),人給データ!$G$2:$G$700)=0,"",LOOKUP(2,1/(人給データ!$B$2:$B$700=$A274),人給データ!$G$2:$G$700)),""))</f>
        <v/>
      </c>
      <c r="D274">
        <f>IF($A274="","",IFERROR(IF(LOOKUP(2,1/(人給データ!$B$2:$B$700=$A274),人給データ!$Y$2:$Y$700)=0,"",LOOKUP(2,1/(人給データ!$B$2:$B$700=$A274),人給データ!$Y$2:$Y$700)),""))</f>
        <v/>
      </c>
      <c r="E274" s="20">
        <f>IF($A274="","",IFERROR(IF(LOOKUP(2,1/(人給データ!$B$2:$B$700=$A274),人給データ!$AB$2:$AB$700)=0,"",LOOKUP(2,1/(人給データ!$B$2:$B$700=$A274),人給データ!$AB$2:$AB$700)),""))</f>
        <v/>
      </c>
      <c r="F274" s="16">
        <f>IF(OR(E274="",NOT(ISNUMBER(E274))),"",DATE(YEAR(E274)+2,MONTH(E274),DAY(E274)-2))</f>
        <v/>
      </c>
      <c r="G274" s="20">
        <f>IF($A274="","",IFERROR(IF(LOOKUP(2,1/(人給データ!$B$2:$B$700=$A274),人給データ!$J$2:$J$700)=0,"",LOOKUP(2,1/(人給データ!$B$2:$B$700=$A274),人給データ!$J$2:$J$700)),""))</f>
        <v/>
      </c>
      <c r="H274" s="20">
        <f>IF($A274="","",IFERROR(IF(LOOKUP(2,1/(人給データ!$B$2:$B$700=$A274),人給データ!$K$2:$K$700)=0,"",LOOKUP(2,1/(人給データ!$B$2:$B$700=$A274),人給データ!$K$2:$K$700)),""))</f>
        <v/>
      </c>
      <c r="I274" s="12" t="n"/>
      <c r="J274">
        <f>IF($A274="","",IFERROR(IF(LOOKUP(2,1/(人給データ!$B$2:$B$700=$A274),人給データ!$N$2:$N$700)=0,"",LOOKUP(2,1/(人給データ!$B$2:$B$700=$A274),人給データ!$N$2:$N$700)),""))</f>
        <v/>
      </c>
      <c r="K274" s="13" t="n"/>
      <c r="L274" s="12" t="n"/>
      <c r="M274" s="12" t="n"/>
      <c r="N274" s="11" t="n"/>
      <c r="O274" s="11" t="n"/>
      <c r="P274" s="14">
        <f>IF(AND(M274&lt;&gt;"",O274=""),"保留中","")</f>
        <v/>
      </c>
      <c r="Q274" s="14">
        <f>IF(P274="保留中",COUNTIF(P$6:P274,"保留中"),"")</f>
        <v/>
      </c>
    </row>
    <row r="275">
      <c r="A275" s="12" t="n"/>
      <c r="B275">
        <f>IF($A275="","",IFERROR(IF(LOOKUP(2,1/(人給データ!$B$2:$B$700=$A275),人給データ!$C$2:$C$700)=0,"",LOOKUP(2,1/(人給データ!$B$2:$B$700=$A275),人給データ!$C$2:$C$700)),""))</f>
        <v/>
      </c>
      <c r="C275">
        <f>IF($A275="","",IFERROR(IF(LOOKUP(2,1/(人給データ!$B$2:$B$700=$A275),人給データ!$G$2:$G$700)=0,"",LOOKUP(2,1/(人給データ!$B$2:$B$700=$A275),人給データ!$G$2:$G$700)),""))</f>
        <v/>
      </c>
      <c r="D275">
        <f>IF($A275="","",IFERROR(IF(LOOKUP(2,1/(人給データ!$B$2:$B$700=$A275),人給データ!$Y$2:$Y$700)=0,"",LOOKUP(2,1/(人給データ!$B$2:$B$700=$A275),人給データ!$Y$2:$Y$700)),""))</f>
        <v/>
      </c>
      <c r="E275" s="20">
        <f>IF($A275="","",IFERROR(IF(LOOKUP(2,1/(人給データ!$B$2:$B$700=$A275),人給データ!$AB$2:$AB$700)=0,"",LOOKUP(2,1/(人給データ!$B$2:$B$700=$A275),人給データ!$AB$2:$AB$700)),""))</f>
        <v/>
      </c>
      <c r="F275" s="16">
        <f>IF(OR(E275="",NOT(ISNUMBER(E275))),"",DATE(YEAR(E275)+2,MONTH(E275),DAY(E275)-2))</f>
        <v/>
      </c>
      <c r="G275" s="20">
        <f>IF($A275="","",IFERROR(IF(LOOKUP(2,1/(人給データ!$B$2:$B$700=$A275),人給データ!$J$2:$J$700)=0,"",LOOKUP(2,1/(人給データ!$B$2:$B$700=$A275),人給データ!$J$2:$J$700)),""))</f>
        <v/>
      </c>
      <c r="H275" s="20">
        <f>IF($A275="","",IFERROR(IF(LOOKUP(2,1/(人給データ!$B$2:$B$700=$A275),人給データ!$K$2:$K$700)=0,"",LOOKUP(2,1/(人給データ!$B$2:$B$700=$A275),人給データ!$K$2:$K$700)),""))</f>
        <v/>
      </c>
      <c r="I275" s="12" t="n"/>
      <c r="J275">
        <f>IF($A275="","",IFERROR(IF(LOOKUP(2,1/(人給データ!$B$2:$B$700=$A275),人給データ!$N$2:$N$700)=0,"",LOOKUP(2,1/(人給データ!$B$2:$B$700=$A275),人給データ!$N$2:$N$700)),""))</f>
        <v/>
      </c>
      <c r="K275" s="13" t="n"/>
      <c r="L275" s="12" t="n"/>
      <c r="M275" s="12" t="n"/>
      <c r="N275" s="11" t="n"/>
      <c r="O275" s="11" t="n"/>
      <c r="P275" s="14">
        <f>IF(AND(M275&lt;&gt;"",O275=""),"保留中","")</f>
        <v/>
      </c>
      <c r="Q275" s="14">
        <f>IF(P275="保留中",COUNTIF(P$6:P275,"保留中"),"")</f>
        <v/>
      </c>
    </row>
    <row r="276">
      <c r="A276" s="12" t="n"/>
      <c r="B276">
        <f>IF($A276="","",IFERROR(IF(LOOKUP(2,1/(人給データ!$B$2:$B$700=$A276),人給データ!$C$2:$C$700)=0,"",LOOKUP(2,1/(人給データ!$B$2:$B$700=$A276),人給データ!$C$2:$C$700)),""))</f>
        <v/>
      </c>
      <c r="C276">
        <f>IF($A276="","",IFERROR(IF(LOOKUP(2,1/(人給データ!$B$2:$B$700=$A276),人給データ!$G$2:$G$700)=0,"",LOOKUP(2,1/(人給データ!$B$2:$B$700=$A276),人給データ!$G$2:$G$700)),""))</f>
        <v/>
      </c>
      <c r="D276">
        <f>IF($A276="","",IFERROR(IF(LOOKUP(2,1/(人給データ!$B$2:$B$700=$A276),人給データ!$Y$2:$Y$700)=0,"",LOOKUP(2,1/(人給データ!$B$2:$B$700=$A276),人給データ!$Y$2:$Y$700)),""))</f>
        <v/>
      </c>
      <c r="E276" s="20">
        <f>IF($A276="","",IFERROR(IF(LOOKUP(2,1/(人給データ!$B$2:$B$700=$A276),人給データ!$AB$2:$AB$700)=0,"",LOOKUP(2,1/(人給データ!$B$2:$B$700=$A276),人給データ!$AB$2:$AB$700)),""))</f>
        <v/>
      </c>
      <c r="F276" s="16">
        <f>IF(OR(E276="",NOT(ISNUMBER(E276))),"",DATE(YEAR(E276)+2,MONTH(E276),DAY(E276)-2))</f>
        <v/>
      </c>
      <c r="G276" s="20">
        <f>IF($A276="","",IFERROR(IF(LOOKUP(2,1/(人給データ!$B$2:$B$700=$A276),人給データ!$J$2:$J$700)=0,"",LOOKUP(2,1/(人給データ!$B$2:$B$700=$A276),人給データ!$J$2:$J$700)),""))</f>
        <v/>
      </c>
      <c r="H276" s="20">
        <f>IF($A276="","",IFERROR(IF(LOOKUP(2,1/(人給データ!$B$2:$B$700=$A276),人給データ!$K$2:$K$700)=0,"",LOOKUP(2,1/(人給データ!$B$2:$B$700=$A276),人給データ!$K$2:$K$700)),""))</f>
        <v/>
      </c>
      <c r="I276" s="12" t="n"/>
      <c r="J276">
        <f>IF($A276="","",IFERROR(IF(LOOKUP(2,1/(人給データ!$B$2:$B$700=$A276),人給データ!$N$2:$N$700)=0,"",LOOKUP(2,1/(人給データ!$B$2:$B$700=$A276),人給データ!$N$2:$N$700)),""))</f>
        <v/>
      </c>
      <c r="K276" s="13" t="n"/>
      <c r="L276" s="12" t="n"/>
      <c r="M276" s="12" t="n"/>
      <c r="N276" s="11" t="n"/>
      <c r="O276" s="11" t="n"/>
      <c r="P276" s="14">
        <f>IF(AND(M276&lt;&gt;"",O276=""),"保留中","")</f>
        <v/>
      </c>
      <c r="Q276" s="14">
        <f>IF(P276="保留中",COUNTIF(P$6:P276,"保留中"),"")</f>
        <v/>
      </c>
    </row>
    <row r="277">
      <c r="A277" s="12" t="n"/>
      <c r="B277">
        <f>IF($A277="","",IFERROR(IF(LOOKUP(2,1/(人給データ!$B$2:$B$700=$A277),人給データ!$C$2:$C$700)=0,"",LOOKUP(2,1/(人給データ!$B$2:$B$700=$A277),人給データ!$C$2:$C$700)),""))</f>
        <v/>
      </c>
      <c r="C277">
        <f>IF($A277="","",IFERROR(IF(LOOKUP(2,1/(人給データ!$B$2:$B$700=$A277),人給データ!$G$2:$G$700)=0,"",LOOKUP(2,1/(人給データ!$B$2:$B$700=$A277),人給データ!$G$2:$G$700)),""))</f>
        <v/>
      </c>
      <c r="D277">
        <f>IF($A277="","",IFERROR(IF(LOOKUP(2,1/(人給データ!$B$2:$B$700=$A277),人給データ!$Y$2:$Y$700)=0,"",LOOKUP(2,1/(人給データ!$B$2:$B$700=$A277),人給データ!$Y$2:$Y$700)),""))</f>
        <v/>
      </c>
      <c r="E277" s="20">
        <f>IF($A277="","",IFERROR(IF(LOOKUP(2,1/(人給データ!$B$2:$B$700=$A277),人給データ!$AB$2:$AB$700)=0,"",LOOKUP(2,1/(人給データ!$B$2:$B$700=$A277),人給データ!$AB$2:$AB$700)),""))</f>
        <v/>
      </c>
      <c r="F277" s="16">
        <f>IF(OR(E277="",NOT(ISNUMBER(E277))),"",DATE(YEAR(E277)+2,MONTH(E277),DAY(E277)-2))</f>
        <v/>
      </c>
      <c r="G277" s="20">
        <f>IF($A277="","",IFERROR(IF(LOOKUP(2,1/(人給データ!$B$2:$B$700=$A277),人給データ!$J$2:$J$700)=0,"",LOOKUP(2,1/(人給データ!$B$2:$B$700=$A277),人給データ!$J$2:$J$700)),""))</f>
        <v/>
      </c>
      <c r="H277" s="20">
        <f>IF($A277="","",IFERROR(IF(LOOKUP(2,1/(人給データ!$B$2:$B$700=$A277),人給データ!$K$2:$K$700)=0,"",LOOKUP(2,1/(人給データ!$B$2:$B$700=$A277),人給データ!$K$2:$K$700)),""))</f>
        <v/>
      </c>
      <c r="I277" s="12" t="n"/>
      <c r="J277">
        <f>IF($A277="","",IFERROR(IF(LOOKUP(2,1/(人給データ!$B$2:$B$700=$A277),人給データ!$N$2:$N$700)=0,"",LOOKUP(2,1/(人給データ!$B$2:$B$700=$A277),人給データ!$N$2:$N$700)),""))</f>
        <v/>
      </c>
      <c r="K277" s="13" t="n"/>
      <c r="L277" s="12" t="n"/>
      <c r="M277" s="12" t="n"/>
      <c r="N277" s="11" t="n"/>
      <c r="O277" s="11" t="n"/>
      <c r="P277" s="14">
        <f>IF(AND(M277&lt;&gt;"",O277=""),"保留中","")</f>
        <v/>
      </c>
      <c r="Q277" s="14">
        <f>IF(P277="保留中",COUNTIF(P$6:P277,"保留中"),"")</f>
        <v/>
      </c>
    </row>
    <row r="278">
      <c r="A278" s="12" t="n"/>
      <c r="B278">
        <f>IF($A278="","",IFERROR(IF(LOOKUP(2,1/(人給データ!$B$2:$B$700=$A278),人給データ!$C$2:$C$700)=0,"",LOOKUP(2,1/(人給データ!$B$2:$B$700=$A278),人給データ!$C$2:$C$700)),""))</f>
        <v/>
      </c>
      <c r="C278">
        <f>IF($A278="","",IFERROR(IF(LOOKUP(2,1/(人給データ!$B$2:$B$700=$A278),人給データ!$G$2:$G$700)=0,"",LOOKUP(2,1/(人給データ!$B$2:$B$700=$A278),人給データ!$G$2:$G$700)),""))</f>
        <v/>
      </c>
      <c r="D278">
        <f>IF($A278="","",IFERROR(IF(LOOKUP(2,1/(人給データ!$B$2:$B$700=$A278),人給データ!$Y$2:$Y$700)=0,"",LOOKUP(2,1/(人給データ!$B$2:$B$700=$A278),人給データ!$Y$2:$Y$700)),""))</f>
        <v/>
      </c>
      <c r="E278" s="20">
        <f>IF($A278="","",IFERROR(IF(LOOKUP(2,1/(人給データ!$B$2:$B$700=$A278),人給データ!$AB$2:$AB$700)=0,"",LOOKUP(2,1/(人給データ!$B$2:$B$700=$A278),人給データ!$AB$2:$AB$700)),""))</f>
        <v/>
      </c>
      <c r="F278" s="16">
        <f>IF(OR(E278="",NOT(ISNUMBER(E278))),"",DATE(YEAR(E278)+2,MONTH(E278),DAY(E278)-2))</f>
        <v/>
      </c>
      <c r="G278" s="20">
        <f>IF($A278="","",IFERROR(IF(LOOKUP(2,1/(人給データ!$B$2:$B$700=$A278),人給データ!$J$2:$J$700)=0,"",LOOKUP(2,1/(人給データ!$B$2:$B$700=$A278),人給データ!$J$2:$J$700)),""))</f>
        <v/>
      </c>
      <c r="H278" s="20">
        <f>IF($A278="","",IFERROR(IF(LOOKUP(2,1/(人給データ!$B$2:$B$700=$A278),人給データ!$K$2:$K$700)=0,"",LOOKUP(2,1/(人給データ!$B$2:$B$700=$A278),人給データ!$K$2:$K$700)),""))</f>
        <v/>
      </c>
      <c r="I278" s="12" t="n"/>
      <c r="J278">
        <f>IF($A278="","",IFERROR(IF(LOOKUP(2,1/(人給データ!$B$2:$B$700=$A278),人給データ!$N$2:$N$700)=0,"",LOOKUP(2,1/(人給データ!$B$2:$B$700=$A278),人給データ!$N$2:$N$700)),""))</f>
        <v/>
      </c>
      <c r="K278" s="13" t="n"/>
      <c r="L278" s="12" t="n"/>
      <c r="M278" s="12" t="n"/>
      <c r="N278" s="11" t="n"/>
      <c r="O278" s="11" t="n"/>
      <c r="P278" s="14">
        <f>IF(AND(M278&lt;&gt;"",O278=""),"保留中","")</f>
        <v/>
      </c>
      <c r="Q278" s="14">
        <f>IF(P278="保留中",COUNTIF(P$6:P278,"保留中"),"")</f>
        <v/>
      </c>
    </row>
    <row r="279">
      <c r="A279" s="12" t="n"/>
      <c r="B279">
        <f>IF($A279="","",IFERROR(IF(LOOKUP(2,1/(人給データ!$B$2:$B$700=$A279),人給データ!$C$2:$C$700)=0,"",LOOKUP(2,1/(人給データ!$B$2:$B$700=$A279),人給データ!$C$2:$C$700)),""))</f>
        <v/>
      </c>
      <c r="C279">
        <f>IF($A279="","",IFERROR(IF(LOOKUP(2,1/(人給データ!$B$2:$B$700=$A279),人給データ!$G$2:$G$700)=0,"",LOOKUP(2,1/(人給データ!$B$2:$B$700=$A279),人給データ!$G$2:$G$700)),""))</f>
        <v/>
      </c>
      <c r="D279">
        <f>IF($A279="","",IFERROR(IF(LOOKUP(2,1/(人給データ!$B$2:$B$700=$A279),人給データ!$Y$2:$Y$700)=0,"",LOOKUP(2,1/(人給データ!$B$2:$B$700=$A279),人給データ!$Y$2:$Y$700)),""))</f>
        <v/>
      </c>
      <c r="E279" s="20">
        <f>IF($A279="","",IFERROR(IF(LOOKUP(2,1/(人給データ!$B$2:$B$700=$A279),人給データ!$AB$2:$AB$700)=0,"",LOOKUP(2,1/(人給データ!$B$2:$B$700=$A279),人給データ!$AB$2:$AB$700)),""))</f>
        <v/>
      </c>
      <c r="F279" s="16">
        <f>IF(OR(E279="",NOT(ISNUMBER(E279))),"",DATE(YEAR(E279)+2,MONTH(E279),DAY(E279)-2))</f>
        <v/>
      </c>
      <c r="G279" s="20">
        <f>IF($A279="","",IFERROR(IF(LOOKUP(2,1/(人給データ!$B$2:$B$700=$A279),人給データ!$J$2:$J$700)=0,"",LOOKUP(2,1/(人給データ!$B$2:$B$700=$A279),人給データ!$J$2:$J$700)),""))</f>
        <v/>
      </c>
      <c r="H279" s="20">
        <f>IF($A279="","",IFERROR(IF(LOOKUP(2,1/(人給データ!$B$2:$B$700=$A279),人給データ!$K$2:$K$700)=0,"",LOOKUP(2,1/(人給データ!$B$2:$B$700=$A279),人給データ!$K$2:$K$700)),""))</f>
        <v/>
      </c>
      <c r="I279" s="12" t="n"/>
      <c r="J279">
        <f>IF($A279="","",IFERROR(IF(LOOKUP(2,1/(人給データ!$B$2:$B$700=$A279),人給データ!$N$2:$N$700)=0,"",LOOKUP(2,1/(人給データ!$B$2:$B$700=$A279),人給データ!$N$2:$N$700)),""))</f>
        <v/>
      </c>
      <c r="K279" s="13" t="n"/>
      <c r="L279" s="12" t="n"/>
      <c r="M279" s="12" t="n"/>
      <c r="N279" s="11" t="n"/>
      <c r="O279" s="11" t="n"/>
      <c r="P279" s="14">
        <f>IF(AND(M279&lt;&gt;"",O279=""),"保留中","")</f>
        <v/>
      </c>
      <c r="Q279" s="14">
        <f>IF(P279="保留中",COUNTIF(P$6:P279,"保留中"),"")</f>
        <v/>
      </c>
    </row>
    <row r="280">
      <c r="A280" s="12" t="n"/>
      <c r="B280">
        <f>IF($A280="","",IFERROR(IF(LOOKUP(2,1/(人給データ!$B$2:$B$700=$A280),人給データ!$C$2:$C$700)=0,"",LOOKUP(2,1/(人給データ!$B$2:$B$700=$A280),人給データ!$C$2:$C$700)),""))</f>
        <v/>
      </c>
      <c r="C280">
        <f>IF($A280="","",IFERROR(IF(LOOKUP(2,1/(人給データ!$B$2:$B$700=$A280),人給データ!$G$2:$G$700)=0,"",LOOKUP(2,1/(人給データ!$B$2:$B$700=$A280),人給データ!$G$2:$G$700)),""))</f>
        <v/>
      </c>
      <c r="D280">
        <f>IF($A280="","",IFERROR(IF(LOOKUP(2,1/(人給データ!$B$2:$B$700=$A280),人給データ!$Y$2:$Y$700)=0,"",LOOKUP(2,1/(人給データ!$B$2:$B$700=$A280),人給データ!$Y$2:$Y$700)),""))</f>
        <v/>
      </c>
      <c r="E280" s="20">
        <f>IF($A280="","",IFERROR(IF(LOOKUP(2,1/(人給データ!$B$2:$B$700=$A280),人給データ!$AB$2:$AB$700)=0,"",LOOKUP(2,1/(人給データ!$B$2:$B$700=$A280),人給データ!$AB$2:$AB$700)),""))</f>
        <v/>
      </c>
      <c r="F280" s="16">
        <f>IF(OR(E280="",NOT(ISNUMBER(E280))),"",DATE(YEAR(E280)+2,MONTH(E280),DAY(E280)-2))</f>
        <v/>
      </c>
      <c r="G280" s="20">
        <f>IF($A280="","",IFERROR(IF(LOOKUP(2,1/(人給データ!$B$2:$B$700=$A280),人給データ!$J$2:$J$700)=0,"",LOOKUP(2,1/(人給データ!$B$2:$B$700=$A280),人給データ!$J$2:$J$700)),""))</f>
        <v/>
      </c>
      <c r="H280" s="20">
        <f>IF($A280="","",IFERROR(IF(LOOKUP(2,1/(人給データ!$B$2:$B$700=$A280),人給データ!$K$2:$K$700)=0,"",LOOKUP(2,1/(人給データ!$B$2:$B$700=$A280),人給データ!$K$2:$K$700)),""))</f>
        <v/>
      </c>
      <c r="I280" s="12" t="n"/>
      <c r="J280">
        <f>IF($A280="","",IFERROR(IF(LOOKUP(2,1/(人給データ!$B$2:$B$700=$A280),人給データ!$N$2:$N$700)=0,"",LOOKUP(2,1/(人給データ!$B$2:$B$700=$A280),人給データ!$N$2:$N$700)),""))</f>
        <v/>
      </c>
      <c r="K280" s="13" t="n"/>
      <c r="L280" s="12" t="n"/>
      <c r="M280" s="12" t="n"/>
      <c r="N280" s="11" t="n"/>
      <c r="O280" s="11" t="n"/>
      <c r="P280" s="14">
        <f>IF(AND(M280&lt;&gt;"",O280=""),"保留中","")</f>
        <v/>
      </c>
      <c r="Q280" s="14">
        <f>IF(P280="保留中",COUNTIF(P$6:P280,"保留中"),"")</f>
        <v/>
      </c>
    </row>
    <row r="281">
      <c r="A281" s="12" t="n"/>
      <c r="B281">
        <f>IF($A281="","",IFERROR(IF(LOOKUP(2,1/(人給データ!$B$2:$B$700=$A281),人給データ!$C$2:$C$700)=0,"",LOOKUP(2,1/(人給データ!$B$2:$B$700=$A281),人給データ!$C$2:$C$700)),""))</f>
        <v/>
      </c>
      <c r="C281">
        <f>IF($A281="","",IFERROR(IF(LOOKUP(2,1/(人給データ!$B$2:$B$700=$A281),人給データ!$G$2:$G$700)=0,"",LOOKUP(2,1/(人給データ!$B$2:$B$700=$A281),人給データ!$G$2:$G$700)),""))</f>
        <v/>
      </c>
      <c r="D281">
        <f>IF($A281="","",IFERROR(IF(LOOKUP(2,1/(人給データ!$B$2:$B$700=$A281),人給データ!$Y$2:$Y$700)=0,"",LOOKUP(2,1/(人給データ!$B$2:$B$700=$A281),人給データ!$Y$2:$Y$700)),""))</f>
        <v/>
      </c>
      <c r="E281" s="20">
        <f>IF($A281="","",IFERROR(IF(LOOKUP(2,1/(人給データ!$B$2:$B$700=$A281),人給データ!$AB$2:$AB$700)=0,"",LOOKUP(2,1/(人給データ!$B$2:$B$700=$A281),人給データ!$AB$2:$AB$700)),""))</f>
        <v/>
      </c>
      <c r="F281" s="16">
        <f>IF(OR(E281="",NOT(ISNUMBER(E281))),"",DATE(YEAR(E281)+2,MONTH(E281),DAY(E281)-2))</f>
        <v/>
      </c>
      <c r="G281" s="20">
        <f>IF($A281="","",IFERROR(IF(LOOKUP(2,1/(人給データ!$B$2:$B$700=$A281),人給データ!$J$2:$J$700)=0,"",LOOKUP(2,1/(人給データ!$B$2:$B$700=$A281),人給データ!$J$2:$J$700)),""))</f>
        <v/>
      </c>
      <c r="H281" s="20">
        <f>IF($A281="","",IFERROR(IF(LOOKUP(2,1/(人給データ!$B$2:$B$700=$A281),人給データ!$K$2:$K$700)=0,"",LOOKUP(2,1/(人給データ!$B$2:$B$700=$A281),人給データ!$K$2:$K$700)),""))</f>
        <v/>
      </c>
      <c r="I281" s="12" t="n"/>
      <c r="J281">
        <f>IF($A281="","",IFERROR(IF(LOOKUP(2,1/(人給データ!$B$2:$B$700=$A281),人給データ!$N$2:$N$700)=0,"",LOOKUP(2,1/(人給データ!$B$2:$B$700=$A281),人給データ!$N$2:$N$700)),""))</f>
        <v/>
      </c>
      <c r="K281" s="13" t="n"/>
      <c r="L281" s="12" t="n"/>
      <c r="M281" s="12" t="n"/>
      <c r="N281" s="11" t="n"/>
      <c r="O281" s="11" t="n"/>
      <c r="P281" s="14">
        <f>IF(AND(M281&lt;&gt;"",O281=""),"保留中","")</f>
        <v/>
      </c>
      <c r="Q281" s="14">
        <f>IF(P281="保留中",COUNTIF(P$6:P281,"保留中"),"")</f>
        <v/>
      </c>
    </row>
    <row r="282">
      <c r="A282" s="12" t="n"/>
      <c r="B282">
        <f>IF($A282="","",IFERROR(IF(LOOKUP(2,1/(人給データ!$B$2:$B$700=$A282),人給データ!$C$2:$C$700)=0,"",LOOKUP(2,1/(人給データ!$B$2:$B$700=$A282),人給データ!$C$2:$C$700)),""))</f>
        <v/>
      </c>
      <c r="C282">
        <f>IF($A282="","",IFERROR(IF(LOOKUP(2,1/(人給データ!$B$2:$B$700=$A282),人給データ!$G$2:$G$700)=0,"",LOOKUP(2,1/(人給データ!$B$2:$B$700=$A282),人給データ!$G$2:$G$700)),""))</f>
        <v/>
      </c>
      <c r="D282">
        <f>IF($A282="","",IFERROR(IF(LOOKUP(2,1/(人給データ!$B$2:$B$700=$A282),人給データ!$Y$2:$Y$700)=0,"",LOOKUP(2,1/(人給データ!$B$2:$B$700=$A282),人給データ!$Y$2:$Y$700)),""))</f>
        <v/>
      </c>
      <c r="E282" s="20">
        <f>IF($A282="","",IFERROR(IF(LOOKUP(2,1/(人給データ!$B$2:$B$700=$A282),人給データ!$AB$2:$AB$700)=0,"",LOOKUP(2,1/(人給データ!$B$2:$B$700=$A282),人給データ!$AB$2:$AB$700)),""))</f>
        <v/>
      </c>
      <c r="F282" s="16">
        <f>IF(OR(E282="",NOT(ISNUMBER(E282))),"",DATE(YEAR(E282)+2,MONTH(E282),DAY(E282)-2))</f>
        <v/>
      </c>
      <c r="G282" s="20">
        <f>IF($A282="","",IFERROR(IF(LOOKUP(2,1/(人給データ!$B$2:$B$700=$A282),人給データ!$J$2:$J$700)=0,"",LOOKUP(2,1/(人給データ!$B$2:$B$700=$A282),人給データ!$J$2:$J$700)),""))</f>
        <v/>
      </c>
      <c r="H282" s="20">
        <f>IF($A282="","",IFERROR(IF(LOOKUP(2,1/(人給データ!$B$2:$B$700=$A282),人給データ!$K$2:$K$700)=0,"",LOOKUP(2,1/(人給データ!$B$2:$B$700=$A282),人給データ!$K$2:$K$700)),""))</f>
        <v/>
      </c>
      <c r="I282" s="12" t="n"/>
      <c r="J282">
        <f>IF($A282="","",IFERROR(IF(LOOKUP(2,1/(人給データ!$B$2:$B$700=$A282),人給データ!$N$2:$N$700)=0,"",LOOKUP(2,1/(人給データ!$B$2:$B$700=$A282),人給データ!$N$2:$N$700)),""))</f>
        <v/>
      </c>
      <c r="K282" s="13" t="n"/>
      <c r="L282" s="12" t="n"/>
      <c r="M282" s="12" t="n"/>
      <c r="N282" s="11" t="n"/>
      <c r="O282" s="11" t="n"/>
      <c r="P282" s="14">
        <f>IF(AND(M282&lt;&gt;"",O282=""),"保留中","")</f>
        <v/>
      </c>
      <c r="Q282" s="14">
        <f>IF(P282="保留中",COUNTIF(P$6:P282,"保留中"),"")</f>
        <v/>
      </c>
    </row>
    <row r="283">
      <c r="A283" s="12" t="n"/>
      <c r="B283">
        <f>IF($A283="","",IFERROR(IF(LOOKUP(2,1/(人給データ!$B$2:$B$700=$A283),人給データ!$C$2:$C$700)=0,"",LOOKUP(2,1/(人給データ!$B$2:$B$700=$A283),人給データ!$C$2:$C$700)),""))</f>
        <v/>
      </c>
      <c r="C283">
        <f>IF($A283="","",IFERROR(IF(LOOKUP(2,1/(人給データ!$B$2:$B$700=$A283),人給データ!$G$2:$G$700)=0,"",LOOKUP(2,1/(人給データ!$B$2:$B$700=$A283),人給データ!$G$2:$G$700)),""))</f>
        <v/>
      </c>
      <c r="D283">
        <f>IF($A283="","",IFERROR(IF(LOOKUP(2,1/(人給データ!$B$2:$B$700=$A283),人給データ!$Y$2:$Y$700)=0,"",LOOKUP(2,1/(人給データ!$B$2:$B$700=$A283),人給データ!$Y$2:$Y$700)),""))</f>
        <v/>
      </c>
      <c r="E283" s="20">
        <f>IF($A283="","",IFERROR(IF(LOOKUP(2,1/(人給データ!$B$2:$B$700=$A283),人給データ!$AB$2:$AB$700)=0,"",LOOKUP(2,1/(人給データ!$B$2:$B$700=$A283),人給データ!$AB$2:$AB$700)),""))</f>
        <v/>
      </c>
      <c r="F283" s="16">
        <f>IF(OR(E283="",NOT(ISNUMBER(E283))),"",DATE(YEAR(E283)+2,MONTH(E283),DAY(E283)-2))</f>
        <v/>
      </c>
      <c r="G283" s="20">
        <f>IF($A283="","",IFERROR(IF(LOOKUP(2,1/(人給データ!$B$2:$B$700=$A283),人給データ!$J$2:$J$700)=0,"",LOOKUP(2,1/(人給データ!$B$2:$B$700=$A283),人給データ!$J$2:$J$700)),""))</f>
        <v/>
      </c>
      <c r="H283" s="20">
        <f>IF($A283="","",IFERROR(IF(LOOKUP(2,1/(人給データ!$B$2:$B$700=$A283),人給データ!$K$2:$K$700)=0,"",LOOKUP(2,1/(人給データ!$B$2:$B$700=$A283),人給データ!$K$2:$K$700)),""))</f>
        <v/>
      </c>
      <c r="I283" s="12" t="n"/>
      <c r="J283">
        <f>IF($A283="","",IFERROR(IF(LOOKUP(2,1/(人給データ!$B$2:$B$700=$A283),人給データ!$N$2:$N$700)=0,"",LOOKUP(2,1/(人給データ!$B$2:$B$700=$A283),人給データ!$N$2:$N$700)),""))</f>
        <v/>
      </c>
      <c r="K283" s="13" t="n"/>
      <c r="L283" s="12" t="n"/>
      <c r="M283" s="12" t="n"/>
      <c r="N283" s="11" t="n"/>
      <c r="O283" s="11" t="n"/>
      <c r="P283" s="14">
        <f>IF(AND(M283&lt;&gt;"",O283=""),"保留中","")</f>
        <v/>
      </c>
      <c r="Q283" s="14">
        <f>IF(P283="保留中",COUNTIF(P$6:P283,"保留中"),"")</f>
        <v/>
      </c>
    </row>
    <row r="284">
      <c r="A284" s="12" t="n"/>
      <c r="B284">
        <f>IF($A284="","",IFERROR(IF(LOOKUP(2,1/(人給データ!$B$2:$B$700=$A284),人給データ!$C$2:$C$700)=0,"",LOOKUP(2,1/(人給データ!$B$2:$B$700=$A284),人給データ!$C$2:$C$700)),""))</f>
        <v/>
      </c>
      <c r="C284">
        <f>IF($A284="","",IFERROR(IF(LOOKUP(2,1/(人給データ!$B$2:$B$700=$A284),人給データ!$G$2:$G$700)=0,"",LOOKUP(2,1/(人給データ!$B$2:$B$700=$A284),人給データ!$G$2:$G$700)),""))</f>
        <v/>
      </c>
      <c r="D284">
        <f>IF($A284="","",IFERROR(IF(LOOKUP(2,1/(人給データ!$B$2:$B$700=$A284),人給データ!$Y$2:$Y$700)=0,"",LOOKUP(2,1/(人給データ!$B$2:$B$700=$A284),人給データ!$Y$2:$Y$700)),""))</f>
        <v/>
      </c>
      <c r="E284" s="20">
        <f>IF($A284="","",IFERROR(IF(LOOKUP(2,1/(人給データ!$B$2:$B$700=$A284),人給データ!$AB$2:$AB$700)=0,"",LOOKUP(2,1/(人給データ!$B$2:$B$700=$A284),人給データ!$AB$2:$AB$700)),""))</f>
        <v/>
      </c>
      <c r="F284" s="16">
        <f>IF(OR(E284="",NOT(ISNUMBER(E284))),"",DATE(YEAR(E284)+2,MONTH(E284),DAY(E284)-2))</f>
        <v/>
      </c>
      <c r="G284" s="20">
        <f>IF($A284="","",IFERROR(IF(LOOKUP(2,1/(人給データ!$B$2:$B$700=$A284),人給データ!$J$2:$J$700)=0,"",LOOKUP(2,1/(人給データ!$B$2:$B$700=$A284),人給データ!$J$2:$J$700)),""))</f>
        <v/>
      </c>
      <c r="H284" s="20">
        <f>IF($A284="","",IFERROR(IF(LOOKUP(2,1/(人給データ!$B$2:$B$700=$A284),人給データ!$K$2:$K$700)=0,"",LOOKUP(2,1/(人給データ!$B$2:$B$700=$A284),人給データ!$K$2:$K$700)),""))</f>
        <v/>
      </c>
      <c r="I284" s="12" t="n"/>
      <c r="J284">
        <f>IF($A284="","",IFERROR(IF(LOOKUP(2,1/(人給データ!$B$2:$B$700=$A284),人給データ!$N$2:$N$700)=0,"",LOOKUP(2,1/(人給データ!$B$2:$B$700=$A284),人給データ!$N$2:$N$700)),""))</f>
        <v/>
      </c>
      <c r="K284" s="13" t="n"/>
      <c r="L284" s="12" t="n"/>
      <c r="M284" s="12" t="n"/>
      <c r="N284" s="11" t="n"/>
      <c r="O284" s="11" t="n"/>
      <c r="P284" s="14">
        <f>IF(AND(M284&lt;&gt;"",O284=""),"保留中","")</f>
        <v/>
      </c>
      <c r="Q284" s="14">
        <f>IF(P284="保留中",COUNTIF(P$6:P284,"保留中"),"")</f>
        <v/>
      </c>
    </row>
    <row r="285">
      <c r="A285" s="12" t="n"/>
      <c r="B285">
        <f>IF($A285="","",IFERROR(IF(LOOKUP(2,1/(人給データ!$B$2:$B$700=$A285),人給データ!$C$2:$C$700)=0,"",LOOKUP(2,1/(人給データ!$B$2:$B$700=$A285),人給データ!$C$2:$C$700)),""))</f>
        <v/>
      </c>
      <c r="C285">
        <f>IF($A285="","",IFERROR(IF(LOOKUP(2,1/(人給データ!$B$2:$B$700=$A285),人給データ!$G$2:$G$700)=0,"",LOOKUP(2,1/(人給データ!$B$2:$B$700=$A285),人給データ!$G$2:$G$700)),""))</f>
        <v/>
      </c>
      <c r="D285">
        <f>IF($A285="","",IFERROR(IF(LOOKUP(2,1/(人給データ!$B$2:$B$700=$A285),人給データ!$Y$2:$Y$700)=0,"",LOOKUP(2,1/(人給データ!$B$2:$B$700=$A285),人給データ!$Y$2:$Y$700)),""))</f>
        <v/>
      </c>
      <c r="E285" s="20">
        <f>IF($A285="","",IFERROR(IF(LOOKUP(2,1/(人給データ!$B$2:$B$700=$A285),人給データ!$AB$2:$AB$700)=0,"",LOOKUP(2,1/(人給データ!$B$2:$B$700=$A285),人給データ!$AB$2:$AB$700)),""))</f>
        <v/>
      </c>
      <c r="F285" s="16">
        <f>IF(OR(E285="",NOT(ISNUMBER(E285))),"",DATE(YEAR(E285)+2,MONTH(E285),DAY(E285)-2))</f>
        <v/>
      </c>
      <c r="G285" s="20">
        <f>IF($A285="","",IFERROR(IF(LOOKUP(2,1/(人給データ!$B$2:$B$700=$A285),人給データ!$J$2:$J$700)=0,"",LOOKUP(2,1/(人給データ!$B$2:$B$700=$A285),人給データ!$J$2:$J$700)),""))</f>
        <v/>
      </c>
      <c r="H285" s="20">
        <f>IF($A285="","",IFERROR(IF(LOOKUP(2,1/(人給データ!$B$2:$B$700=$A285),人給データ!$K$2:$K$700)=0,"",LOOKUP(2,1/(人給データ!$B$2:$B$700=$A285),人給データ!$K$2:$K$700)),""))</f>
        <v/>
      </c>
      <c r="I285" s="12" t="n"/>
      <c r="J285">
        <f>IF($A285="","",IFERROR(IF(LOOKUP(2,1/(人給データ!$B$2:$B$700=$A285),人給データ!$N$2:$N$700)=0,"",LOOKUP(2,1/(人給データ!$B$2:$B$700=$A285),人給データ!$N$2:$N$700)),""))</f>
        <v/>
      </c>
      <c r="K285" s="13" t="n"/>
      <c r="L285" s="12" t="n"/>
      <c r="M285" s="12" t="n"/>
      <c r="N285" s="11" t="n"/>
      <c r="O285" s="11" t="n"/>
      <c r="P285" s="14">
        <f>IF(AND(M285&lt;&gt;"",O285=""),"保留中","")</f>
        <v/>
      </c>
      <c r="Q285" s="14">
        <f>IF(P285="保留中",COUNTIF(P$6:P285,"保留中"),"")</f>
        <v/>
      </c>
    </row>
    <row r="286">
      <c r="A286" s="12" t="n"/>
      <c r="B286">
        <f>IF($A286="","",IFERROR(IF(LOOKUP(2,1/(人給データ!$B$2:$B$700=$A286),人給データ!$C$2:$C$700)=0,"",LOOKUP(2,1/(人給データ!$B$2:$B$700=$A286),人給データ!$C$2:$C$700)),""))</f>
        <v/>
      </c>
      <c r="C286">
        <f>IF($A286="","",IFERROR(IF(LOOKUP(2,1/(人給データ!$B$2:$B$700=$A286),人給データ!$G$2:$G$700)=0,"",LOOKUP(2,1/(人給データ!$B$2:$B$700=$A286),人給データ!$G$2:$G$700)),""))</f>
        <v/>
      </c>
      <c r="D286">
        <f>IF($A286="","",IFERROR(IF(LOOKUP(2,1/(人給データ!$B$2:$B$700=$A286),人給データ!$Y$2:$Y$700)=0,"",LOOKUP(2,1/(人給データ!$B$2:$B$700=$A286),人給データ!$Y$2:$Y$700)),""))</f>
        <v/>
      </c>
      <c r="E286" s="20">
        <f>IF($A286="","",IFERROR(IF(LOOKUP(2,1/(人給データ!$B$2:$B$700=$A286),人給データ!$AB$2:$AB$700)=0,"",LOOKUP(2,1/(人給データ!$B$2:$B$700=$A286),人給データ!$AB$2:$AB$700)),""))</f>
        <v/>
      </c>
      <c r="F286" s="16">
        <f>IF(OR(E286="",NOT(ISNUMBER(E286))),"",DATE(YEAR(E286)+2,MONTH(E286),DAY(E286)-2))</f>
        <v/>
      </c>
      <c r="G286" s="20">
        <f>IF($A286="","",IFERROR(IF(LOOKUP(2,1/(人給データ!$B$2:$B$700=$A286),人給データ!$J$2:$J$700)=0,"",LOOKUP(2,1/(人給データ!$B$2:$B$700=$A286),人給データ!$J$2:$J$700)),""))</f>
        <v/>
      </c>
      <c r="H286" s="20">
        <f>IF($A286="","",IFERROR(IF(LOOKUP(2,1/(人給データ!$B$2:$B$700=$A286),人給データ!$K$2:$K$700)=0,"",LOOKUP(2,1/(人給データ!$B$2:$B$700=$A286),人給データ!$K$2:$K$700)),""))</f>
        <v/>
      </c>
      <c r="I286" s="12" t="n"/>
      <c r="J286">
        <f>IF($A286="","",IFERROR(IF(LOOKUP(2,1/(人給データ!$B$2:$B$700=$A286),人給データ!$N$2:$N$700)=0,"",LOOKUP(2,1/(人給データ!$B$2:$B$700=$A286),人給データ!$N$2:$N$700)),""))</f>
        <v/>
      </c>
      <c r="K286" s="13" t="n"/>
      <c r="L286" s="12" t="n"/>
      <c r="M286" s="12" t="n"/>
      <c r="N286" s="11" t="n"/>
      <c r="O286" s="11" t="n"/>
      <c r="P286" s="14">
        <f>IF(AND(M286&lt;&gt;"",O286=""),"保留中","")</f>
        <v/>
      </c>
      <c r="Q286" s="14">
        <f>IF(P286="保留中",COUNTIF(P$6:P286,"保留中"),"")</f>
        <v/>
      </c>
    </row>
    <row r="287">
      <c r="A287" s="12" t="n"/>
      <c r="B287">
        <f>IF($A287="","",IFERROR(IF(LOOKUP(2,1/(人給データ!$B$2:$B$700=$A287),人給データ!$C$2:$C$700)=0,"",LOOKUP(2,1/(人給データ!$B$2:$B$700=$A287),人給データ!$C$2:$C$700)),""))</f>
        <v/>
      </c>
      <c r="C287">
        <f>IF($A287="","",IFERROR(IF(LOOKUP(2,1/(人給データ!$B$2:$B$700=$A287),人給データ!$G$2:$G$700)=0,"",LOOKUP(2,1/(人給データ!$B$2:$B$700=$A287),人給データ!$G$2:$G$700)),""))</f>
        <v/>
      </c>
      <c r="D287">
        <f>IF($A287="","",IFERROR(IF(LOOKUP(2,1/(人給データ!$B$2:$B$700=$A287),人給データ!$Y$2:$Y$700)=0,"",LOOKUP(2,1/(人給データ!$B$2:$B$700=$A287),人給データ!$Y$2:$Y$700)),""))</f>
        <v/>
      </c>
      <c r="E287" s="20">
        <f>IF($A287="","",IFERROR(IF(LOOKUP(2,1/(人給データ!$B$2:$B$700=$A287),人給データ!$AB$2:$AB$700)=0,"",LOOKUP(2,1/(人給データ!$B$2:$B$700=$A287),人給データ!$AB$2:$AB$700)),""))</f>
        <v/>
      </c>
      <c r="F287" s="16">
        <f>IF(OR(E287="",NOT(ISNUMBER(E287))),"",DATE(YEAR(E287)+2,MONTH(E287),DAY(E287)-2))</f>
        <v/>
      </c>
      <c r="G287" s="20">
        <f>IF($A287="","",IFERROR(IF(LOOKUP(2,1/(人給データ!$B$2:$B$700=$A287),人給データ!$J$2:$J$700)=0,"",LOOKUP(2,1/(人給データ!$B$2:$B$700=$A287),人給データ!$J$2:$J$700)),""))</f>
        <v/>
      </c>
      <c r="H287" s="20">
        <f>IF($A287="","",IFERROR(IF(LOOKUP(2,1/(人給データ!$B$2:$B$700=$A287),人給データ!$K$2:$K$700)=0,"",LOOKUP(2,1/(人給データ!$B$2:$B$700=$A287),人給データ!$K$2:$K$700)),""))</f>
        <v/>
      </c>
      <c r="I287" s="12" t="n"/>
      <c r="J287">
        <f>IF($A287="","",IFERROR(IF(LOOKUP(2,1/(人給データ!$B$2:$B$700=$A287),人給データ!$N$2:$N$700)=0,"",LOOKUP(2,1/(人給データ!$B$2:$B$700=$A287),人給データ!$N$2:$N$700)),""))</f>
        <v/>
      </c>
      <c r="K287" s="13" t="n"/>
      <c r="L287" s="12" t="n"/>
      <c r="M287" s="12" t="n"/>
      <c r="N287" s="11" t="n"/>
      <c r="O287" s="11" t="n"/>
      <c r="P287" s="14">
        <f>IF(AND(M287&lt;&gt;"",O287=""),"保留中","")</f>
        <v/>
      </c>
      <c r="Q287" s="14">
        <f>IF(P287="保留中",COUNTIF(P$6:P287,"保留中"),"")</f>
        <v/>
      </c>
    </row>
    <row r="288">
      <c r="A288" s="12" t="n"/>
      <c r="B288">
        <f>IF($A288="","",IFERROR(IF(LOOKUP(2,1/(人給データ!$B$2:$B$700=$A288),人給データ!$C$2:$C$700)=0,"",LOOKUP(2,1/(人給データ!$B$2:$B$700=$A288),人給データ!$C$2:$C$700)),""))</f>
        <v/>
      </c>
      <c r="C288">
        <f>IF($A288="","",IFERROR(IF(LOOKUP(2,1/(人給データ!$B$2:$B$700=$A288),人給データ!$G$2:$G$700)=0,"",LOOKUP(2,1/(人給データ!$B$2:$B$700=$A288),人給データ!$G$2:$G$700)),""))</f>
        <v/>
      </c>
      <c r="D288">
        <f>IF($A288="","",IFERROR(IF(LOOKUP(2,1/(人給データ!$B$2:$B$700=$A288),人給データ!$Y$2:$Y$700)=0,"",LOOKUP(2,1/(人給データ!$B$2:$B$700=$A288),人給データ!$Y$2:$Y$700)),""))</f>
        <v/>
      </c>
      <c r="E288" s="20">
        <f>IF($A288="","",IFERROR(IF(LOOKUP(2,1/(人給データ!$B$2:$B$700=$A288),人給データ!$AB$2:$AB$700)=0,"",LOOKUP(2,1/(人給データ!$B$2:$B$700=$A288),人給データ!$AB$2:$AB$700)),""))</f>
        <v/>
      </c>
      <c r="F288" s="16">
        <f>IF(OR(E288="",NOT(ISNUMBER(E288))),"",DATE(YEAR(E288)+2,MONTH(E288),DAY(E288)-2))</f>
        <v/>
      </c>
      <c r="G288" s="20">
        <f>IF($A288="","",IFERROR(IF(LOOKUP(2,1/(人給データ!$B$2:$B$700=$A288),人給データ!$J$2:$J$700)=0,"",LOOKUP(2,1/(人給データ!$B$2:$B$700=$A288),人給データ!$J$2:$J$700)),""))</f>
        <v/>
      </c>
      <c r="H288" s="20">
        <f>IF($A288="","",IFERROR(IF(LOOKUP(2,1/(人給データ!$B$2:$B$700=$A288),人給データ!$K$2:$K$700)=0,"",LOOKUP(2,1/(人給データ!$B$2:$B$700=$A288),人給データ!$K$2:$K$700)),""))</f>
        <v/>
      </c>
      <c r="I288" s="12" t="n"/>
      <c r="J288">
        <f>IF($A288="","",IFERROR(IF(LOOKUP(2,1/(人給データ!$B$2:$B$700=$A288),人給データ!$N$2:$N$700)=0,"",LOOKUP(2,1/(人給データ!$B$2:$B$700=$A288),人給データ!$N$2:$N$700)),""))</f>
        <v/>
      </c>
      <c r="K288" s="13" t="n"/>
      <c r="L288" s="12" t="n"/>
      <c r="M288" s="12" t="n"/>
      <c r="N288" s="11" t="n"/>
      <c r="O288" s="11" t="n"/>
      <c r="P288" s="14">
        <f>IF(AND(M288&lt;&gt;"",O288=""),"保留中","")</f>
        <v/>
      </c>
      <c r="Q288" s="14">
        <f>IF(P288="保留中",COUNTIF(P$6:P288,"保留中"),"")</f>
        <v/>
      </c>
    </row>
    <row r="289">
      <c r="A289" s="12" t="n"/>
      <c r="B289">
        <f>IF($A289="","",IFERROR(IF(LOOKUP(2,1/(人給データ!$B$2:$B$700=$A289),人給データ!$C$2:$C$700)=0,"",LOOKUP(2,1/(人給データ!$B$2:$B$700=$A289),人給データ!$C$2:$C$700)),""))</f>
        <v/>
      </c>
      <c r="C289">
        <f>IF($A289="","",IFERROR(IF(LOOKUP(2,1/(人給データ!$B$2:$B$700=$A289),人給データ!$G$2:$G$700)=0,"",LOOKUP(2,1/(人給データ!$B$2:$B$700=$A289),人給データ!$G$2:$G$700)),""))</f>
        <v/>
      </c>
      <c r="D289">
        <f>IF($A289="","",IFERROR(IF(LOOKUP(2,1/(人給データ!$B$2:$B$700=$A289),人給データ!$Y$2:$Y$700)=0,"",LOOKUP(2,1/(人給データ!$B$2:$B$700=$A289),人給データ!$Y$2:$Y$700)),""))</f>
        <v/>
      </c>
      <c r="E289" s="20">
        <f>IF($A289="","",IFERROR(IF(LOOKUP(2,1/(人給データ!$B$2:$B$700=$A289),人給データ!$AB$2:$AB$700)=0,"",LOOKUP(2,1/(人給データ!$B$2:$B$700=$A289),人給データ!$AB$2:$AB$700)),""))</f>
        <v/>
      </c>
      <c r="F289" s="16">
        <f>IF(OR(E289="",NOT(ISNUMBER(E289))),"",DATE(YEAR(E289)+2,MONTH(E289),DAY(E289)-2))</f>
        <v/>
      </c>
      <c r="G289" s="20">
        <f>IF($A289="","",IFERROR(IF(LOOKUP(2,1/(人給データ!$B$2:$B$700=$A289),人給データ!$J$2:$J$700)=0,"",LOOKUP(2,1/(人給データ!$B$2:$B$700=$A289),人給データ!$J$2:$J$700)),""))</f>
        <v/>
      </c>
      <c r="H289" s="20">
        <f>IF($A289="","",IFERROR(IF(LOOKUP(2,1/(人給データ!$B$2:$B$700=$A289),人給データ!$K$2:$K$700)=0,"",LOOKUP(2,1/(人給データ!$B$2:$B$700=$A289),人給データ!$K$2:$K$700)),""))</f>
        <v/>
      </c>
      <c r="I289" s="12" t="n"/>
      <c r="J289">
        <f>IF($A289="","",IFERROR(IF(LOOKUP(2,1/(人給データ!$B$2:$B$700=$A289),人給データ!$N$2:$N$700)=0,"",LOOKUP(2,1/(人給データ!$B$2:$B$700=$A289),人給データ!$N$2:$N$700)),""))</f>
        <v/>
      </c>
      <c r="K289" s="13" t="n"/>
      <c r="L289" s="12" t="n"/>
      <c r="M289" s="12" t="n"/>
      <c r="N289" s="11" t="n"/>
      <c r="O289" s="11" t="n"/>
      <c r="P289" s="14">
        <f>IF(AND(M289&lt;&gt;"",O289=""),"保留中","")</f>
        <v/>
      </c>
      <c r="Q289" s="14">
        <f>IF(P289="保留中",COUNTIF(P$6:P289,"保留中"),"")</f>
        <v/>
      </c>
    </row>
    <row r="290">
      <c r="A290" s="12" t="n"/>
      <c r="B290">
        <f>IF($A290="","",IFERROR(IF(LOOKUP(2,1/(人給データ!$B$2:$B$700=$A290),人給データ!$C$2:$C$700)=0,"",LOOKUP(2,1/(人給データ!$B$2:$B$700=$A290),人給データ!$C$2:$C$700)),""))</f>
        <v/>
      </c>
      <c r="C290">
        <f>IF($A290="","",IFERROR(IF(LOOKUP(2,1/(人給データ!$B$2:$B$700=$A290),人給データ!$G$2:$G$700)=0,"",LOOKUP(2,1/(人給データ!$B$2:$B$700=$A290),人給データ!$G$2:$G$700)),""))</f>
        <v/>
      </c>
      <c r="D290">
        <f>IF($A290="","",IFERROR(IF(LOOKUP(2,1/(人給データ!$B$2:$B$700=$A290),人給データ!$Y$2:$Y$700)=0,"",LOOKUP(2,1/(人給データ!$B$2:$B$700=$A290),人給データ!$Y$2:$Y$700)),""))</f>
        <v/>
      </c>
      <c r="E290" s="20">
        <f>IF($A290="","",IFERROR(IF(LOOKUP(2,1/(人給データ!$B$2:$B$700=$A290),人給データ!$AB$2:$AB$700)=0,"",LOOKUP(2,1/(人給データ!$B$2:$B$700=$A290),人給データ!$AB$2:$AB$700)),""))</f>
        <v/>
      </c>
      <c r="F290" s="16">
        <f>IF(OR(E290="",NOT(ISNUMBER(E290))),"",DATE(YEAR(E290)+2,MONTH(E290),DAY(E290)-2))</f>
        <v/>
      </c>
      <c r="G290" s="20">
        <f>IF($A290="","",IFERROR(IF(LOOKUP(2,1/(人給データ!$B$2:$B$700=$A290),人給データ!$J$2:$J$700)=0,"",LOOKUP(2,1/(人給データ!$B$2:$B$700=$A290),人給データ!$J$2:$J$700)),""))</f>
        <v/>
      </c>
      <c r="H290" s="20">
        <f>IF($A290="","",IFERROR(IF(LOOKUP(2,1/(人給データ!$B$2:$B$700=$A290),人給データ!$K$2:$K$700)=0,"",LOOKUP(2,1/(人給データ!$B$2:$B$700=$A290),人給データ!$K$2:$K$700)),""))</f>
        <v/>
      </c>
      <c r="I290" s="12" t="n"/>
      <c r="J290">
        <f>IF($A290="","",IFERROR(IF(LOOKUP(2,1/(人給データ!$B$2:$B$700=$A290),人給データ!$N$2:$N$700)=0,"",LOOKUP(2,1/(人給データ!$B$2:$B$700=$A290),人給データ!$N$2:$N$700)),""))</f>
        <v/>
      </c>
      <c r="K290" s="13" t="n"/>
      <c r="L290" s="12" t="n"/>
      <c r="M290" s="12" t="n"/>
      <c r="N290" s="11" t="n"/>
      <c r="O290" s="11" t="n"/>
      <c r="P290" s="14">
        <f>IF(AND(M290&lt;&gt;"",O290=""),"保留中","")</f>
        <v/>
      </c>
      <c r="Q290" s="14">
        <f>IF(P290="保留中",COUNTIF(P$6:P290,"保留中"),"")</f>
        <v/>
      </c>
    </row>
    <row r="291">
      <c r="A291" s="12" t="n"/>
      <c r="B291">
        <f>IF($A291="","",IFERROR(IF(LOOKUP(2,1/(人給データ!$B$2:$B$700=$A291),人給データ!$C$2:$C$700)=0,"",LOOKUP(2,1/(人給データ!$B$2:$B$700=$A291),人給データ!$C$2:$C$700)),""))</f>
        <v/>
      </c>
      <c r="C291">
        <f>IF($A291="","",IFERROR(IF(LOOKUP(2,1/(人給データ!$B$2:$B$700=$A291),人給データ!$G$2:$G$700)=0,"",LOOKUP(2,1/(人給データ!$B$2:$B$700=$A291),人給データ!$G$2:$G$700)),""))</f>
        <v/>
      </c>
      <c r="D291">
        <f>IF($A291="","",IFERROR(IF(LOOKUP(2,1/(人給データ!$B$2:$B$700=$A291),人給データ!$Y$2:$Y$700)=0,"",LOOKUP(2,1/(人給データ!$B$2:$B$700=$A291),人給データ!$Y$2:$Y$700)),""))</f>
        <v/>
      </c>
      <c r="E291" s="20">
        <f>IF($A291="","",IFERROR(IF(LOOKUP(2,1/(人給データ!$B$2:$B$700=$A291),人給データ!$AB$2:$AB$700)=0,"",LOOKUP(2,1/(人給データ!$B$2:$B$700=$A291),人給データ!$AB$2:$AB$700)),""))</f>
        <v/>
      </c>
      <c r="F291" s="16">
        <f>IF(OR(E291="",NOT(ISNUMBER(E291))),"",DATE(YEAR(E291)+2,MONTH(E291),DAY(E291)-2))</f>
        <v/>
      </c>
      <c r="G291" s="20">
        <f>IF($A291="","",IFERROR(IF(LOOKUP(2,1/(人給データ!$B$2:$B$700=$A291),人給データ!$J$2:$J$700)=0,"",LOOKUP(2,1/(人給データ!$B$2:$B$700=$A291),人給データ!$J$2:$J$700)),""))</f>
        <v/>
      </c>
      <c r="H291" s="20">
        <f>IF($A291="","",IFERROR(IF(LOOKUP(2,1/(人給データ!$B$2:$B$700=$A291),人給データ!$K$2:$K$700)=0,"",LOOKUP(2,1/(人給データ!$B$2:$B$700=$A291),人給データ!$K$2:$K$700)),""))</f>
        <v/>
      </c>
      <c r="I291" s="12" t="n"/>
      <c r="J291">
        <f>IF($A291="","",IFERROR(IF(LOOKUP(2,1/(人給データ!$B$2:$B$700=$A291),人給データ!$N$2:$N$700)=0,"",LOOKUP(2,1/(人給データ!$B$2:$B$700=$A291),人給データ!$N$2:$N$700)),""))</f>
        <v/>
      </c>
      <c r="K291" s="13" t="n"/>
      <c r="L291" s="12" t="n"/>
      <c r="M291" s="12" t="n"/>
      <c r="N291" s="11" t="n"/>
      <c r="O291" s="11" t="n"/>
      <c r="P291" s="14">
        <f>IF(AND(M291&lt;&gt;"",O291=""),"保留中","")</f>
        <v/>
      </c>
      <c r="Q291" s="14">
        <f>IF(P291="保留中",COUNTIF(P$6:P291,"保留中"),"")</f>
        <v/>
      </c>
    </row>
    <row r="292">
      <c r="A292" s="12" t="n"/>
      <c r="B292">
        <f>IF($A292="","",IFERROR(IF(LOOKUP(2,1/(人給データ!$B$2:$B$700=$A292),人給データ!$C$2:$C$700)=0,"",LOOKUP(2,1/(人給データ!$B$2:$B$700=$A292),人給データ!$C$2:$C$700)),""))</f>
        <v/>
      </c>
      <c r="C292">
        <f>IF($A292="","",IFERROR(IF(LOOKUP(2,1/(人給データ!$B$2:$B$700=$A292),人給データ!$G$2:$G$700)=0,"",LOOKUP(2,1/(人給データ!$B$2:$B$700=$A292),人給データ!$G$2:$G$700)),""))</f>
        <v/>
      </c>
      <c r="D292">
        <f>IF($A292="","",IFERROR(IF(LOOKUP(2,1/(人給データ!$B$2:$B$700=$A292),人給データ!$Y$2:$Y$700)=0,"",LOOKUP(2,1/(人給データ!$B$2:$B$700=$A292),人給データ!$Y$2:$Y$700)),""))</f>
        <v/>
      </c>
      <c r="E292" s="20">
        <f>IF($A292="","",IFERROR(IF(LOOKUP(2,1/(人給データ!$B$2:$B$700=$A292),人給データ!$AB$2:$AB$700)=0,"",LOOKUP(2,1/(人給データ!$B$2:$B$700=$A292),人給データ!$AB$2:$AB$700)),""))</f>
        <v/>
      </c>
      <c r="F292" s="16">
        <f>IF(OR(E292="",NOT(ISNUMBER(E292))),"",DATE(YEAR(E292)+2,MONTH(E292),DAY(E292)-2))</f>
        <v/>
      </c>
      <c r="G292" s="20">
        <f>IF($A292="","",IFERROR(IF(LOOKUP(2,1/(人給データ!$B$2:$B$700=$A292),人給データ!$J$2:$J$700)=0,"",LOOKUP(2,1/(人給データ!$B$2:$B$700=$A292),人給データ!$J$2:$J$700)),""))</f>
        <v/>
      </c>
      <c r="H292" s="20">
        <f>IF($A292="","",IFERROR(IF(LOOKUP(2,1/(人給データ!$B$2:$B$700=$A292),人給データ!$K$2:$K$700)=0,"",LOOKUP(2,1/(人給データ!$B$2:$B$700=$A292),人給データ!$K$2:$K$700)),""))</f>
        <v/>
      </c>
      <c r="I292" s="12" t="n"/>
      <c r="J292">
        <f>IF($A292="","",IFERROR(IF(LOOKUP(2,1/(人給データ!$B$2:$B$700=$A292),人給データ!$N$2:$N$700)=0,"",LOOKUP(2,1/(人給データ!$B$2:$B$700=$A292),人給データ!$N$2:$N$700)),""))</f>
        <v/>
      </c>
      <c r="K292" s="13" t="n"/>
      <c r="L292" s="12" t="n"/>
      <c r="M292" s="12" t="n"/>
      <c r="N292" s="11" t="n"/>
      <c r="O292" s="11" t="n"/>
      <c r="P292" s="14">
        <f>IF(AND(M292&lt;&gt;"",O292=""),"保留中","")</f>
        <v/>
      </c>
      <c r="Q292" s="14">
        <f>IF(P292="保留中",COUNTIF(P$6:P292,"保留中"),"")</f>
        <v/>
      </c>
    </row>
    <row r="293">
      <c r="A293" s="12" t="n"/>
      <c r="B293">
        <f>IF($A293="","",IFERROR(IF(LOOKUP(2,1/(人給データ!$B$2:$B$700=$A293),人給データ!$C$2:$C$700)=0,"",LOOKUP(2,1/(人給データ!$B$2:$B$700=$A293),人給データ!$C$2:$C$700)),""))</f>
        <v/>
      </c>
      <c r="C293">
        <f>IF($A293="","",IFERROR(IF(LOOKUP(2,1/(人給データ!$B$2:$B$700=$A293),人給データ!$G$2:$G$700)=0,"",LOOKUP(2,1/(人給データ!$B$2:$B$700=$A293),人給データ!$G$2:$G$700)),""))</f>
        <v/>
      </c>
      <c r="D293">
        <f>IF($A293="","",IFERROR(IF(LOOKUP(2,1/(人給データ!$B$2:$B$700=$A293),人給データ!$Y$2:$Y$700)=0,"",LOOKUP(2,1/(人給データ!$B$2:$B$700=$A293),人給データ!$Y$2:$Y$700)),""))</f>
        <v/>
      </c>
      <c r="E293" s="20">
        <f>IF($A293="","",IFERROR(IF(LOOKUP(2,1/(人給データ!$B$2:$B$700=$A293),人給データ!$AB$2:$AB$700)=0,"",LOOKUP(2,1/(人給データ!$B$2:$B$700=$A293),人給データ!$AB$2:$AB$700)),""))</f>
        <v/>
      </c>
      <c r="F293" s="16">
        <f>IF(OR(E293="",NOT(ISNUMBER(E293))),"",DATE(YEAR(E293)+2,MONTH(E293),DAY(E293)-2))</f>
        <v/>
      </c>
      <c r="G293" s="20">
        <f>IF($A293="","",IFERROR(IF(LOOKUP(2,1/(人給データ!$B$2:$B$700=$A293),人給データ!$J$2:$J$700)=0,"",LOOKUP(2,1/(人給データ!$B$2:$B$700=$A293),人給データ!$J$2:$J$700)),""))</f>
        <v/>
      </c>
      <c r="H293" s="20">
        <f>IF($A293="","",IFERROR(IF(LOOKUP(2,1/(人給データ!$B$2:$B$700=$A293),人給データ!$K$2:$K$700)=0,"",LOOKUP(2,1/(人給データ!$B$2:$B$700=$A293),人給データ!$K$2:$K$700)),""))</f>
        <v/>
      </c>
      <c r="I293" s="12" t="n"/>
      <c r="J293">
        <f>IF($A293="","",IFERROR(IF(LOOKUP(2,1/(人給データ!$B$2:$B$700=$A293),人給データ!$N$2:$N$700)=0,"",LOOKUP(2,1/(人給データ!$B$2:$B$700=$A293),人給データ!$N$2:$N$700)),""))</f>
        <v/>
      </c>
      <c r="K293" s="13" t="n"/>
      <c r="L293" s="12" t="n"/>
      <c r="M293" s="12" t="n"/>
      <c r="N293" s="11" t="n"/>
      <c r="O293" s="11" t="n"/>
      <c r="P293" s="14">
        <f>IF(AND(M293&lt;&gt;"",O293=""),"保留中","")</f>
        <v/>
      </c>
      <c r="Q293" s="14">
        <f>IF(P293="保留中",COUNTIF(P$6:P293,"保留中"),"")</f>
        <v/>
      </c>
    </row>
    <row r="294">
      <c r="A294" s="12" t="n"/>
      <c r="B294">
        <f>IF($A294="","",IFERROR(IF(LOOKUP(2,1/(人給データ!$B$2:$B$700=$A294),人給データ!$C$2:$C$700)=0,"",LOOKUP(2,1/(人給データ!$B$2:$B$700=$A294),人給データ!$C$2:$C$700)),""))</f>
        <v/>
      </c>
      <c r="C294">
        <f>IF($A294="","",IFERROR(IF(LOOKUP(2,1/(人給データ!$B$2:$B$700=$A294),人給データ!$G$2:$G$700)=0,"",LOOKUP(2,1/(人給データ!$B$2:$B$700=$A294),人給データ!$G$2:$G$700)),""))</f>
        <v/>
      </c>
      <c r="D294">
        <f>IF($A294="","",IFERROR(IF(LOOKUP(2,1/(人給データ!$B$2:$B$700=$A294),人給データ!$Y$2:$Y$700)=0,"",LOOKUP(2,1/(人給データ!$B$2:$B$700=$A294),人給データ!$Y$2:$Y$700)),""))</f>
        <v/>
      </c>
      <c r="E294" s="20">
        <f>IF($A294="","",IFERROR(IF(LOOKUP(2,1/(人給データ!$B$2:$B$700=$A294),人給データ!$AB$2:$AB$700)=0,"",LOOKUP(2,1/(人給データ!$B$2:$B$700=$A294),人給データ!$AB$2:$AB$700)),""))</f>
        <v/>
      </c>
      <c r="F294" s="16">
        <f>IF(OR(E294="",NOT(ISNUMBER(E294))),"",DATE(YEAR(E294)+2,MONTH(E294),DAY(E294)-2))</f>
        <v/>
      </c>
      <c r="G294" s="20">
        <f>IF($A294="","",IFERROR(IF(LOOKUP(2,1/(人給データ!$B$2:$B$700=$A294),人給データ!$J$2:$J$700)=0,"",LOOKUP(2,1/(人給データ!$B$2:$B$700=$A294),人給データ!$J$2:$J$700)),""))</f>
        <v/>
      </c>
      <c r="H294" s="20">
        <f>IF($A294="","",IFERROR(IF(LOOKUP(2,1/(人給データ!$B$2:$B$700=$A294),人給データ!$K$2:$K$700)=0,"",LOOKUP(2,1/(人給データ!$B$2:$B$700=$A294),人給データ!$K$2:$K$700)),""))</f>
        <v/>
      </c>
      <c r="I294" s="12" t="n"/>
      <c r="J294">
        <f>IF($A294="","",IFERROR(IF(LOOKUP(2,1/(人給データ!$B$2:$B$700=$A294),人給データ!$N$2:$N$700)=0,"",LOOKUP(2,1/(人給データ!$B$2:$B$700=$A294),人給データ!$N$2:$N$700)),""))</f>
        <v/>
      </c>
      <c r="K294" s="13" t="n"/>
      <c r="L294" s="12" t="n"/>
      <c r="M294" s="12" t="n"/>
      <c r="N294" s="11" t="n"/>
      <c r="O294" s="11" t="n"/>
      <c r="P294" s="14">
        <f>IF(AND(M294&lt;&gt;"",O294=""),"保留中","")</f>
        <v/>
      </c>
      <c r="Q294" s="14">
        <f>IF(P294="保留中",COUNTIF(P$6:P294,"保留中"),"")</f>
        <v/>
      </c>
    </row>
    <row r="295">
      <c r="A295" s="12" t="n"/>
      <c r="B295">
        <f>IF($A295="","",IFERROR(IF(LOOKUP(2,1/(人給データ!$B$2:$B$700=$A295),人給データ!$C$2:$C$700)=0,"",LOOKUP(2,1/(人給データ!$B$2:$B$700=$A295),人給データ!$C$2:$C$700)),""))</f>
        <v/>
      </c>
      <c r="C295">
        <f>IF($A295="","",IFERROR(IF(LOOKUP(2,1/(人給データ!$B$2:$B$700=$A295),人給データ!$G$2:$G$700)=0,"",LOOKUP(2,1/(人給データ!$B$2:$B$700=$A295),人給データ!$G$2:$G$700)),""))</f>
        <v/>
      </c>
      <c r="D295">
        <f>IF($A295="","",IFERROR(IF(LOOKUP(2,1/(人給データ!$B$2:$B$700=$A295),人給データ!$Y$2:$Y$700)=0,"",LOOKUP(2,1/(人給データ!$B$2:$B$700=$A295),人給データ!$Y$2:$Y$700)),""))</f>
        <v/>
      </c>
      <c r="E295" s="20">
        <f>IF($A295="","",IFERROR(IF(LOOKUP(2,1/(人給データ!$B$2:$B$700=$A295),人給データ!$AB$2:$AB$700)=0,"",LOOKUP(2,1/(人給データ!$B$2:$B$700=$A295),人給データ!$AB$2:$AB$700)),""))</f>
        <v/>
      </c>
      <c r="F295" s="16">
        <f>IF(OR(E295="",NOT(ISNUMBER(E295))),"",DATE(YEAR(E295)+2,MONTH(E295),DAY(E295)-2))</f>
        <v/>
      </c>
      <c r="G295" s="20">
        <f>IF($A295="","",IFERROR(IF(LOOKUP(2,1/(人給データ!$B$2:$B$700=$A295),人給データ!$J$2:$J$700)=0,"",LOOKUP(2,1/(人給データ!$B$2:$B$700=$A295),人給データ!$J$2:$J$700)),""))</f>
        <v/>
      </c>
      <c r="H295" s="20">
        <f>IF($A295="","",IFERROR(IF(LOOKUP(2,1/(人給データ!$B$2:$B$700=$A295),人給データ!$K$2:$K$700)=0,"",LOOKUP(2,1/(人給データ!$B$2:$B$700=$A295),人給データ!$K$2:$K$700)),""))</f>
        <v/>
      </c>
      <c r="I295" s="12" t="n"/>
      <c r="J295">
        <f>IF($A295="","",IFERROR(IF(LOOKUP(2,1/(人給データ!$B$2:$B$700=$A295),人給データ!$N$2:$N$700)=0,"",LOOKUP(2,1/(人給データ!$B$2:$B$700=$A295),人給データ!$N$2:$N$700)),""))</f>
        <v/>
      </c>
      <c r="K295" s="13" t="n"/>
      <c r="L295" s="12" t="n"/>
      <c r="M295" s="12" t="n"/>
      <c r="N295" s="11" t="n"/>
      <c r="O295" s="11" t="n"/>
      <c r="P295" s="14">
        <f>IF(AND(M295&lt;&gt;"",O295=""),"保留中","")</f>
        <v/>
      </c>
      <c r="Q295" s="14">
        <f>IF(P295="保留中",COUNTIF(P$6:P295,"保留中"),"")</f>
        <v/>
      </c>
    </row>
    <row r="296">
      <c r="A296" s="12" t="n"/>
      <c r="B296">
        <f>IF($A296="","",IFERROR(IF(LOOKUP(2,1/(人給データ!$B$2:$B$700=$A296),人給データ!$C$2:$C$700)=0,"",LOOKUP(2,1/(人給データ!$B$2:$B$700=$A296),人給データ!$C$2:$C$700)),""))</f>
        <v/>
      </c>
      <c r="C296">
        <f>IF($A296="","",IFERROR(IF(LOOKUP(2,1/(人給データ!$B$2:$B$700=$A296),人給データ!$G$2:$G$700)=0,"",LOOKUP(2,1/(人給データ!$B$2:$B$700=$A296),人給データ!$G$2:$G$700)),""))</f>
        <v/>
      </c>
      <c r="D296">
        <f>IF($A296="","",IFERROR(IF(LOOKUP(2,1/(人給データ!$B$2:$B$700=$A296),人給データ!$Y$2:$Y$700)=0,"",LOOKUP(2,1/(人給データ!$B$2:$B$700=$A296),人給データ!$Y$2:$Y$700)),""))</f>
        <v/>
      </c>
      <c r="E296" s="20">
        <f>IF($A296="","",IFERROR(IF(LOOKUP(2,1/(人給データ!$B$2:$B$700=$A296),人給データ!$AB$2:$AB$700)=0,"",LOOKUP(2,1/(人給データ!$B$2:$B$700=$A296),人給データ!$AB$2:$AB$700)),""))</f>
        <v/>
      </c>
      <c r="F296" s="16">
        <f>IF(OR(E296="",NOT(ISNUMBER(E296))),"",DATE(YEAR(E296)+2,MONTH(E296),DAY(E296)-2))</f>
        <v/>
      </c>
      <c r="G296" s="20">
        <f>IF($A296="","",IFERROR(IF(LOOKUP(2,1/(人給データ!$B$2:$B$700=$A296),人給データ!$J$2:$J$700)=0,"",LOOKUP(2,1/(人給データ!$B$2:$B$700=$A296),人給データ!$J$2:$J$700)),""))</f>
        <v/>
      </c>
      <c r="H296" s="20">
        <f>IF($A296="","",IFERROR(IF(LOOKUP(2,1/(人給データ!$B$2:$B$700=$A296),人給データ!$K$2:$K$700)=0,"",LOOKUP(2,1/(人給データ!$B$2:$B$700=$A296),人給データ!$K$2:$K$700)),""))</f>
        <v/>
      </c>
      <c r="I296" s="12" t="n"/>
      <c r="J296">
        <f>IF($A296="","",IFERROR(IF(LOOKUP(2,1/(人給データ!$B$2:$B$700=$A296),人給データ!$N$2:$N$700)=0,"",LOOKUP(2,1/(人給データ!$B$2:$B$700=$A296),人給データ!$N$2:$N$700)),""))</f>
        <v/>
      </c>
      <c r="K296" s="13" t="n"/>
      <c r="L296" s="12" t="n"/>
      <c r="M296" s="12" t="n"/>
      <c r="N296" s="11" t="n"/>
      <c r="O296" s="11" t="n"/>
      <c r="P296" s="14">
        <f>IF(AND(M296&lt;&gt;"",O296=""),"保留中","")</f>
        <v/>
      </c>
      <c r="Q296" s="14">
        <f>IF(P296="保留中",COUNTIF(P$6:P296,"保留中"),"")</f>
        <v/>
      </c>
    </row>
    <row r="297">
      <c r="A297" s="12" t="n"/>
      <c r="B297">
        <f>IF($A297="","",IFERROR(IF(LOOKUP(2,1/(人給データ!$B$2:$B$700=$A297),人給データ!$C$2:$C$700)=0,"",LOOKUP(2,1/(人給データ!$B$2:$B$700=$A297),人給データ!$C$2:$C$700)),""))</f>
        <v/>
      </c>
      <c r="C297">
        <f>IF($A297="","",IFERROR(IF(LOOKUP(2,1/(人給データ!$B$2:$B$700=$A297),人給データ!$G$2:$G$700)=0,"",LOOKUP(2,1/(人給データ!$B$2:$B$700=$A297),人給データ!$G$2:$G$700)),""))</f>
        <v/>
      </c>
      <c r="D297">
        <f>IF($A297="","",IFERROR(IF(LOOKUP(2,1/(人給データ!$B$2:$B$700=$A297),人給データ!$Y$2:$Y$700)=0,"",LOOKUP(2,1/(人給データ!$B$2:$B$700=$A297),人給データ!$Y$2:$Y$700)),""))</f>
        <v/>
      </c>
      <c r="E297" s="20">
        <f>IF($A297="","",IFERROR(IF(LOOKUP(2,1/(人給データ!$B$2:$B$700=$A297),人給データ!$AB$2:$AB$700)=0,"",LOOKUP(2,1/(人給データ!$B$2:$B$700=$A297),人給データ!$AB$2:$AB$700)),""))</f>
        <v/>
      </c>
      <c r="F297" s="16">
        <f>IF(OR(E297="",NOT(ISNUMBER(E297))),"",DATE(YEAR(E297)+2,MONTH(E297),DAY(E297)-2))</f>
        <v/>
      </c>
      <c r="G297" s="20">
        <f>IF($A297="","",IFERROR(IF(LOOKUP(2,1/(人給データ!$B$2:$B$700=$A297),人給データ!$J$2:$J$700)=0,"",LOOKUP(2,1/(人給データ!$B$2:$B$700=$A297),人給データ!$J$2:$J$700)),""))</f>
        <v/>
      </c>
      <c r="H297" s="20">
        <f>IF($A297="","",IFERROR(IF(LOOKUP(2,1/(人給データ!$B$2:$B$700=$A297),人給データ!$K$2:$K$700)=0,"",LOOKUP(2,1/(人給データ!$B$2:$B$700=$A297),人給データ!$K$2:$K$700)),""))</f>
        <v/>
      </c>
      <c r="I297" s="12" t="n"/>
      <c r="J297">
        <f>IF($A297="","",IFERROR(IF(LOOKUP(2,1/(人給データ!$B$2:$B$700=$A297),人給データ!$N$2:$N$700)=0,"",LOOKUP(2,1/(人給データ!$B$2:$B$700=$A297),人給データ!$N$2:$N$700)),""))</f>
        <v/>
      </c>
      <c r="K297" s="13" t="n"/>
      <c r="L297" s="12" t="n"/>
      <c r="M297" s="12" t="n"/>
      <c r="N297" s="11" t="n"/>
      <c r="O297" s="11" t="n"/>
      <c r="P297" s="14">
        <f>IF(AND(M297&lt;&gt;"",O297=""),"保留中","")</f>
        <v/>
      </c>
      <c r="Q297" s="14">
        <f>IF(P297="保留中",COUNTIF(P$6:P297,"保留中"),"")</f>
        <v/>
      </c>
    </row>
    <row r="298">
      <c r="A298" s="12" t="n"/>
      <c r="B298">
        <f>IF($A298="","",IFERROR(IF(LOOKUP(2,1/(人給データ!$B$2:$B$700=$A298),人給データ!$C$2:$C$700)=0,"",LOOKUP(2,1/(人給データ!$B$2:$B$700=$A298),人給データ!$C$2:$C$700)),""))</f>
        <v/>
      </c>
      <c r="C298">
        <f>IF($A298="","",IFERROR(IF(LOOKUP(2,1/(人給データ!$B$2:$B$700=$A298),人給データ!$G$2:$G$700)=0,"",LOOKUP(2,1/(人給データ!$B$2:$B$700=$A298),人給データ!$G$2:$G$700)),""))</f>
        <v/>
      </c>
      <c r="D298">
        <f>IF($A298="","",IFERROR(IF(LOOKUP(2,1/(人給データ!$B$2:$B$700=$A298),人給データ!$Y$2:$Y$700)=0,"",LOOKUP(2,1/(人給データ!$B$2:$B$700=$A298),人給データ!$Y$2:$Y$700)),""))</f>
        <v/>
      </c>
      <c r="E298" s="20">
        <f>IF($A298="","",IFERROR(IF(LOOKUP(2,1/(人給データ!$B$2:$B$700=$A298),人給データ!$AB$2:$AB$700)=0,"",LOOKUP(2,1/(人給データ!$B$2:$B$700=$A298),人給データ!$AB$2:$AB$700)),""))</f>
        <v/>
      </c>
      <c r="F298" s="16">
        <f>IF(OR(E298="",NOT(ISNUMBER(E298))),"",DATE(YEAR(E298)+2,MONTH(E298),DAY(E298)-2))</f>
        <v/>
      </c>
      <c r="G298" s="20">
        <f>IF($A298="","",IFERROR(IF(LOOKUP(2,1/(人給データ!$B$2:$B$700=$A298),人給データ!$J$2:$J$700)=0,"",LOOKUP(2,1/(人給データ!$B$2:$B$700=$A298),人給データ!$J$2:$J$700)),""))</f>
        <v/>
      </c>
      <c r="H298" s="20">
        <f>IF($A298="","",IFERROR(IF(LOOKUP(2,1/(人給データ!$B$2:$B$700=$A298),人給データ!$K$2:$K$700)=0,"",LOOKUP(2,1/(人給データ!$B$2:$B$700=$A298),人給データ!$K$2:$K$700)),""))</f>
        <v/>
      </c>
      <c r="I298" s="12" t="n"/>
      <c r="J298">
        <f>IF($A298="","",IFERROR(IF(LOOKUP(2,1/(人給データ!$B$2:$B$700=$A298),人給データ!$N$2:$N$700)=0,"",LOOKUP(2,1/(人給データ!$B$2:$B$700=$A298),人給データ!$N$2:$N$700)),""))</f>
        <v/>
      </c>
      <c r="K298" s="13" t="n"/>
      <c r="L298" s="12" t="n"/>
      <c r="M298" s="12" t="n"/>
      <c r="N298" s="11" t="n"/>
      <c r="O298" s="11" t="n"/>
      <c r="P298" s="14">
        <f>IF(AND(M298&lt;&gt;"",O298=""),"保留中","")</f>
        <v/>
      </c>
      <c r="Q298" s="14">
        <f>IF(P298="保留中",COUNTIF(P$6:P298,"保留中"),"")</f>
        <v/>
      </c>
    </row>
    <row r="299">
      <c r="A299" s="12" t="n"/>
      <c r="B299">
        <f>IF($A299="","",IFERROR(IF(LOOKUP(2,1/(人給データ!$B$2:$B$700=$A299),人給データ!$C$2:$C$700)=0,"",LOOKUP(2,1/(人給データ!$B$2:$B$700=$A299),人給データ!$C$2:$C$700)),""))</f>
        <v/>
      </c>
      <c r="C299">
        <f>IF($A299="","",IFERROR(IF(LOOKUP(2,1/(人給データ!$B$2:$B$700=$A299),人給データ!$G$2:$G$700)=0,"",LOOKUP(2,1/(人給データ!$B$2:$B$700=$A299),人給データ!$G$2:$G$700)),""))</f>
        <v/>
      </c>
      <c r="D299">
        <f>IF($A299="","",IFERROR(IF(LOOKUP(2,1/(人給データ!$B$2:$B$700=$A299),人給データ!$Y$2:$Y$700)=0,"",LOOKUP(2,1/(人給データ!$B$2:$B$700=$A299),人給データ!$Y$2:$Y$700)),""))</f>
        <v/>
      </c>
      <c r="E299" s="20">
        <f>IF($A299="","",IFERROR(IF(LOOKUP(2,1/(人給データ!$B$2:$B$700=$A299),人給データ!$AB$2:$AB$700)=0,"",LOOKUP(2,1/(人給データ!$B$2:$B$700=$A299),人給データ!$AB$2:$AB$700)),""))</f>
        <v/>
      </c>
      <c r="F299" s="16">
        <f>IF(OR(E299="",NOT(ISNUMBER(E299))),"",DATE(YEAR(E299)+2,MONTH(E299),DAY(E299)-2))</f>
        <v/>
      </c>
      <c r="G299" s="20">
        <f>IF($A299="","",IFERROR(IF(LOOKUP(2,1/(人給データ!$B$2:$B$700=$A299),人給データ!$J$2:$J$700)=0,"",LOOKUP(2,1/(人給データ!$B$2:$B$700=$A299),人給データ!$J$2:$J$700)),""))</f>
        <v/>
      </c>
      <c r="H299" s="20">
        <f>IF($A299="","",IFERROR(IF(LOOKUP(2,1/(人給データ!$B$2:$B$700=$A299),人給データ!$K$2:$K$700)=0,"",LOOKUP(2,1/(人給データ!$B$2:$B$700=$A299),人給データ!$K$2:$K$700)),""))</f>
        <v/>
      </c>
      <c r="I299" s="12" t="n"/>
      <c r="J299">
        <f>IF($A299="","",IFERROR(IF(LOOKUP(2,1/(人給データ!$B$2:$B$700=$A299),人給データ!$N$2:$N$700)=0,"",LOOKUP(2,1/(人給データ!$B$2:$B$700=$A299),人給データ!$N$2:$N$700)),""))</f>
        <v/>
      </c>
      <c r="K299" s="13" t="n"/>
      <c r="L299" s="12" t="n"/>
      <c r="M299" s="12" t="n"/>
      <c r="N299" s="11" t="n"/>
      <c r="O299" s="11" t="n"/>
      <c r="P299" s="14">
        <f>IF(AND(M299&lt;&gt;"",O299=""),"保留中","")</f>
        <v/>
      </c>
      <c r="Q299" s="14">
        <f>IF(P299="保留中",COUNTIF(P$6:P299,"保留中"),"")</f>
        <v/>
      </c>
    </row>
    <row r="300">
      <c r="A300" s="12" t="n"/>
      <c r="B300">
        <f>IF($A300="","",IFERROR(IF(LOOKUP(2,1/(人給データ!$B$2:$B$700=$A300),人給データ!$C$2:$C$700)=0,"",LOOKUP(2,1/(人給データ!$B$2:$B$700=$A300),人給データ!$C$2:$C$700)),""))</f>
        <v/>
      </c>
      <c r="C300">
        <f>IF($A300="","",IFERROR(IF(LOOKUP(2,1/(人給データ!$B$2:$B$700=$A300),人給データ!$G$2:$G$700)=0,"",LOOKUP(2,1/(人給データ!$B$2:$B$700=$A300),人給データ!$G$2:$G$700)),""))</f>
        <v/>
      </c>
      <c r="D300">
        <f>IF($A300="","",IFERROR(IF(LOOKUP(2,1/(人給データ!$B$2:$B$700=$A300),人給データ!$Y$2:$Y$700)=0,"",LOOKUP(2,1/(人給データ!$B$2:$B$700=$A300),人給データ!$Y$2:$Y$700)),""))</f>
        <v/>
      </c>
      <c r="E300" s="20">
        <f>IF($A300="","",IFERROR(IF(LOOKUP(2,1/(人給データ!$B$2:$B$700=$A300),人給データ!$AB$2:$AB$700)=0,"",LOOKUP(2,1/(人給データ!$B$2:$B$700=$A300),人給データ!$AB$2:$AB$700)),""))</f>
        <v/>
      </c>
      <c r="F300" s="16">
        <f>IF(OR(E300="",NOT(ISNUMBER(E300))),"",DATE(YEAR(E300)+2,MONTH(E300),DAY(E300)-2))</f>
        <v/>
      </c>
      <c r="G300" s="20">
        <f>IF($A300="","",IFERROR(IF(LOOKUP(2,1/(人給データ!$B$2:$B$700=$A300),人給データ!$J$2:$J$700)=0,"",LOOKUP(2,1/(人給データ!$B$2:$B$700=$A300),人給データ!$J$2:$J$700)),""))</f>
        <v/>
      </c>
      <c r="H300" s="20">
        <f>IF($A300="","",IFERROR(IF(LOOKUP(2,1/(人給データ!$B$2:$B$700=$A300),人給データ!$K$2:$K$700)=0,"",LOOKUP(2,1/(人給データ!$B$2:$B$700=$A300),人給データ!$K$2:$K$700)),""))</f>
        <v/>
      </c>
      <c r="I300" s="12" t="n"/>
      <c r="J300">
        <f>IF($A300="","",IFERROR(IF(LOOKUP(2,1/(人給データ!$B$2:$B$700=$A300),人給データ!$N$2:$N$700)=0,"",LOOKUP(2,1/(人給データ!$B$2:$B$700=$A300),人給データ!$N$2:$N$700)),""))</f>
        <v/>
      </c>
      <c r="K300" s="13" t="n"/>
      <c r="L300" s="12" t="n"/>
      <c r="M300" s="12" t="n"/>
      <c r="N300" s="11" t="n"/>
      <c r="O300" s="11" t="n"/>
      <c r="P300" s="14">
        <f>IF(AND(M300&lt;&gt;"",O300=""),"保留中","")</f>
        <v/>
      </c>
      <c r="Q300" s="14">
        <f>IF(P300="保留中",COUNTIF(P$6:P300,"保留中"),"")</f>
        <v/>
      </c>
    </row>
    <row r="301">
      <c r="A301" s="12" t="n"/>
      <c r="B301">
        <f>IF($A301="","",IFERROR(IF(LOOKUP(2,1/(人給データ!$B$2:$B$700=$A301),人給データ!$C$2:$C$700)=0,"",LOOKUP(2,1/(人給データ!$B$2:$B$700=$A301),人給データ!$C$2:$C$700)),""))</f>
        <v/>
      </c>
      <c r="C301">
        <f>IF($A301="","",IFERROR(IF(LOOKUP(2,1/(人給データ!$B$2:$B$700=$A301),人給データ!$G$2:$G$700)=0,"",LOOKUP(2,1/(人給データ!$B$2:$B$700=$A301),人給データ!$G$2:$G$700)),""))</f>
        <v/>
      </c>
      <c r="D301">
        <f>IF($A301="","",IFERROR(IF(LOOKUP(2,1/(人給データ!$B$2:$B$700=$A301),人給データ!$Y$2:$Y$700)=0,"",LOOKUP(2,1/(人給データ!$B$2:$B$700=$A301),人給データ!$Y$2:$Y$700)),""))</f>
        <v/>
      </c>
      <c r="E301" s="20">
        <f>IF($A301="","",IFERROR(IF(LOOKUP(2,1/(人給データ!$B$2:$B$700=$A301),人給データ!$AB$2:$AB$700)=0,"",LOOKUP(2,1/(人給データ!$B$2:$B$700=$A301),人給データ!$AB$2:$AB$700)),""))</f>
        <v/>
      </c>
      <c r="F301" s="16">
        <f>IF(OR(E301="",NOT(ISNUMBER(E301))),"",DATE(YEAR(E301)+2,MONTH(E301),DAY(E301)-2))</f>
        <v/>
      </c>
      <c r="G301" s="20">
        <f>IF($A301="","",IFERROR(IF(LOOKUP(2,1/(人給データ!$B$2:$B$700=$A301),人給データ!$J$2:$J$700)=0,"",LOOKUP(2,1/(人給データ!$B$2:$B$700=$A301),人給データ!$J$2:$J$700)),""))</f>
        <v/>
      </c>
      <c r="H301" s="20">
        <f>IF($A301="","",IFERROR(IF(LOOKUP(2,1/(人給データ!$B$2:$B$700=$A301),人給データ!$K$2:$K$700)=0,"",LOOKUP(2,1/(人給データ!$B$2:$B$700=$A301),人給データ!$K$2:$K$700)),""))</f>
        <v/>
      </c>
      <c r="I301" s="12" t="n"/>
      <c r="J301">
        <f>IF($A301="","",IFERROR(IF(LOOKUP(2,1/(人給データ!$B$2:$B$700=$A301),人給データ!$N$2:$N$700)=0,"",LOOKUP(2,1/(人給データ!$B$2:$B$700=$A301),人給データ!$N$2:$N$700)),""))</f>
        <v/>
      </c>
      <c r="K301" s="13" t="n"/>
      <c r="L301" s="12" t="n"/>
      <c r="M301" s="12" t="n"/>
      <c r="N301" s="11" t="n"/>
      <c r="O301" s="11" t="n"/>
      <c r="P301" s="14">
        <f>IF(AND(M301&lt;&gt;"",O301=""),"保留中","")</f>
        <v/>
      </c>
      <c r="Q301" s="14">
        <f>IF(P301="保留中",COUNTIF(P$6:P301,"保留中"),"")</f>
        <v/>
      </c>
    </row>
    <row r="302">
      <c r="A302" s="12" t="n"/>
      <c r="B302">
        <f>IF($A302="","",IFERROR(IF(LOOKUP(2,1/(人給データ!$B$2:$B$700=$A302),人給データ!$C$2:$C$700)=0,"",LOOKUP(2,1/(人給データ!$B$2:$B$700=$A302),人給データ!$C$2:$C$700)),""))</f>
        <v/>
      </c>
      <c r="C302">
        <f>IF($A302="","",IFERROR(IF(LOOKUP(2,1/(人給データ!$B$2:$B$700=$A302),人給データ!$G$2:$G$700)=0,"",LOOKUP(2,1/(人給データ!$B$2:$B$700=$A302),人給データ!$G$2:$G$700)),""))</f>
        <v/>
      </c>
      <c r="D302">
        <f>IF($A302="","",IFERROR(IF(LOOKUP(2,1/(人給データ!$B$2:$B$700=$A302),人給データ!$Y$2:$Y$700)=0,"",LOOKUP(2,1/(人給データ!$B$2:$B$700=$A302),人給データ!$Y$2:$Y$700)),""))</f>
        <v/>
      </c>
      <c r="E302" s="20">
        <f>IF($A302="","",IFERROR(IF(LOOKUP(2,1/(人給データ!$B$2:$B$700=$A302),人給データ!$AB$2:$AB$700)=0,"",LOOKUP(2,1/(人給データ!$B$2:$B$700=$A302),人給データ!$AB$2:$AB$700)),""))</f>
        <v/>
      </c>
      <c r="F302" s="16">
        <f>IF(OR(E302="",NOT(ISNUMBER(E302))),"",DATE(YEAR(E302)+2,MONTH(E302),DAY(E302)-2))</f>
        <v/>
      </c>
      <c r="G302" s="20">
        <f>IF($A302="","",IFERROR(IF(LOOKUP(2,1/(人給データ!$B$2:$B$700=$A302),人給データ!$J$2:$J$700)=0,"",LOOKUP(2,1/(人給データ!$B$2:$B$700=$A302),人給データ!$J$2:$J$700)),""))</f>
        <v/>
      </c>
      <c r="H302" s="20">
        <f>IF($A302="","",IFERROR(IF(LOOKUP(2,1/(人給データ!$B$2:$B$700=$A302),人給データ!$K$2:$K$700)=0,"",LOOKUP(2,1/(人給データ!$B$2:$B$700=$A302),人給データ!$K$2:$K$700)),""))</f>
        <v/>
      </c>
      <c r="I302" s="12" t="n"/>
      <c r="J302">
        <f>IF($A302="","",IFERROR(IF(LOOKUP(2,1/(人給データ!$B$2:$B$700=$A302),人給データ!$N$2:$N$700)=0,"",LOOKUP(2,1/(人給データ!$B$2:$B$700=$A302),人給データ!$N$2:$N$700)),""))</f>
        <v/>
      </c>
      <c r="K302" s="13" t="n"/>
      <c r="L302" s="12" t="n"/>
      <c r="M302" s="12" t="n"/>
      <c r="N302" s="11" t="n"/>
      <c r="O302" s="11" t="n"/>
      <c r="P302" s="14">
        <f>IF(AND(M302&lt;&gt;"",O302=""),"保留中","")</f>
        <v/>
      </c>
      <c r="Q302" s="14">
        <f>IF(P302="保留中",COUNTIF(P$6:P302,"保留中"),"")</f>
        <v/>
      </c>
    </row>
    <row r="303">
      <c r="A303" s="12" t="n"/>
      <c r="B303">
        <f>IF($A303="","",IFERROR(IF(LOOKUP(2,1/(人給データ!$B$2:$B$700=$A303),人給データ!$C$2:$C$700)=0,"",LOOKUP(2,1/(人給データ!$B$2:$B$700=$A303),人給データ!$C$2:$C$700)),""))</f>
        <v/>
      </c>
      <c r="C303">
        <f>IF($A303="","",IFERROR(IF(LOOKUP(2,1/(人給データ!$B$2:$B$700=$A303),人給データ!$G$2:$G$700)=0,"",LOOKUP(2,1/(人給データ!$B$2:$B$700=$A303),人給データ!$G$2:$G$700)),""))</f>
        <v/>
      </c>
      <c r="D303">
        <f>IF($A303="","",IFERROR(IF(LOOKUP(2,1/(人給データ!$B$2:$B$700=$A303),人給データ!$Y$2:$Y$700)=0,"",LOOKUP(2,1/(人給データ!$B$2:$B$700=$A303),人給データ!$Y$2:$Y$700)),""))</f>
        <v/>
      </c>
      <c r="E303" s="20">
        <f>IF($A303="","",IFERROR(IF(LOOKUP(2,1/(人給データ!$B$2:$B$700=$A303),人給データ!$AB$2:$AB$700)=0,"",LOOKUP(2,1/(人給データ!$B$2:$B$700=$A303),人給データ!$AB$2:$AB$700)),""))</f>
        <v/>
      </c>
      <c r="F303" s="16">
        <f>IF(OR(E303="",NOT(ISNUMBER(E303))),"",DATE(YEAR(E303)+2,MONTH(E303),DAY(E303)-2))</f>
        <v/>
      </c>
      <c r="G303" s="20">
        <f>IF($A303="","",IFERROR(IF(LOOKUP(2,1/(人給データ!$B$2:$B$700=$A303),人給データ!$J$2:$J$700)=0,"",LOOKUP(2,1/(人給データ!$B$2:$B$700=$A303),人給データ!$J$2:$J$700)),""))</f>
        <v/>
      </c>
      <c r="H303" s="20">
        <f>IF($A303="","",IFERROR(IF(LOOKUP(2,1/(人給データ!$B$2:$B$700=$A303),人給データ!$K$2:$K$700)=0,"",LOOKUP(2,1/(人給データ!$B$2:$B$700=$A303),人給データ!$K$2:$K$700)),""))</f>
        <v/>
      </c>
      <c r="I303" s="12" t="n"/>
      <c r="J303">
        <f>IF($A303="","",IFERROR(IF(LOOKUP(2,1/(人給データ!$B$2:$B$700=$A303),人給データ!$N$2:$N$700)=0,"",LOOKUP(2,1/(人給データ!$B$2:$B$700=$A303),人給データ!$N$2:$N$700)),""))</f>
        <v/>
      </c>
      <c r="K303" s="13" t="n"/>
      <c r="L303" s="12" t="n"/>
      <c r="M303" s="12" t="n"/>
      <c r="N303" s="11" t="n"/>
      <c r="O303" s="11" t="n"/>
      <c r="P303" s="14">
        <f>IF(AND(M303&lt;&gt;"",O303=""),"保留中","")</f>
        <v/>
      </c>
      <c r="Q303" s="14">
        <f>IF(P303="保留中",COUNTIF(P$6:P303,"保留中"),"")</f>
        <v/>
      </c>
    </row>
    <row r="304">
      <c r="A304" s="12" t="n"/>
      <c r="B304">
        <f>IF($A304="","",IFERROR(IF(LOOKUP(2,1/(人給データ!$B$2:$B$700=$A304),人給データ!$C$2:$C$700)=0,"",LOOKUP(2,1/(人給データ!$B$2:$B$700=$A304),人給データ!$C$2:$C$700)),""))</f>
        <v/>
      </c>
      <c r="C304">
        <f>IF($A304="","",IFERROR(IF(LOOKUP(2,1/(人給データ!$B$2:$B$700=$A304),人給データ!$G$2:$G$700)=0,"",LOOKUP(2,1/(人給データ!$B$2:$B$700=$A304),人給データ!$G$2:$G$700)),""))</f>
        <v/>
      </c>
      <c r="D304">
        <f>IF($A304="","",IFERROR(IF(LOOKUP(2,1/(人給データ!$B$2:$B$700=$A304),人給データ!$Y$2:$Y$700)=0,"",LOOKUP(2,1/(人給データ!$B$2:$B$700=$A304),人給データ!$Y$2:$Y$700)),""))</f>
        <v/>
      </c>
      <c r="E304" s="20">
        <f>IF($A304="","",IFERROR(IF(LOOKUP(2,1/(人給データ!$B$2:$B$700=$A304),人給データ!$AB$2:$AB$700)=0,"",LOOKUP(2,1/(人給データ!$B$2:$B$700=$A304),人給データ!$AB$2:$AB$700)),""))</f>
        <v/>
      </c>
      <c r="F304" s="16">
        <f>IF(OR(E304="",NOT(ISNUMBER(E304))),"",DATE(YEAR(E304)+2,MONTH(E304),DAY(E304)-2))</f>
        <v/>
      </c>
      <c r="G304" s="20">
        <f>IF($A304="","",IFERROR(IF(LOOKUP(2,1/(人給データ!$B$2:$B$700=$A304),人給データ!$J$2:$J$700)=0,"",LOOKUP(2,1/(人給データ!$B$2:$B$700=$A304),人給データ!$J$2:$J$700)),""))</f>
        <v/>
      </c>
      <c r="H304" s="20">
        <f>IF($A304="","",IFERROR(IF(LOOKUP(2,1/(人給データ!$B$2:$B$700=$A304),人給データ!$K$2:$K$700)=0,"",LOOKUP(2,1/(人給データ!$B$2:$B$700=$A304),人給データ!$K$2:$K$700)),""))</f>
        <v/>
      </c>
      <c r="I304" s="12" t="n"/>
      <c r="J304">
        <f>IF($A304="","",IFERROR(IF(LOOKUP(2,1/(人給データ!$B$2:$B$700=$A304),人給データ!$N$2:$N$700)=0,"",LOOKUP(2,1/(人給データ!$B$2:$B$700=$A304),人給データ!$N$2:$N$700)),""))</f>
        <v/>
      </c>
      <c r="K304" s="13" t="n"/>
      <c r="L304" s="12" t="n"/>
      <c r="M304" s="12" t="n"/>
      <c r="N304" s="11" t="n"/>
      <c r="O304" s="11" t="n"/>
      <c r="P304" s="14">
        <f>IF(AND(M304&lt;&gt;"",O304=""),"保留中","")</f>
        <v/>
      </c>
      <c r="Q304" s="14">
        <f>IF(P304="保留中",COUNTIF(P$6:P304,"保留中"),"")</f>
        <v/>
      </c>
    </row>
    <row r="305">
      <c r="A305" s="12" t="n"/>
      <c r="B305">
        <f>IF($A305="","",IFERROR(IF(LOOKUP(2,1/(人給データ!$B$2:$B$700=$A305),人給データ!$C$2:$C$700)=0,"",LOOKUP(2,1/(人給データ!$B$2:$B$700=$A305),人給データ!$C$2:$C$700)),""))</f>
        <v/>
      </c>
      <c r="C305">
        <f>IF($A305="","",IFERROR(IF(LOOKUP(2,1/(人給データ!$B$2:$B$700=$A305),人給データ!$G$2:$G$700)=0,"",LOOKUP(2,1/(人給データ!$B$2:$B$700=$A305),人給データ!$G$2:$G$700)),""))</f>
        <v/>
      </c>
      <c r="D305">
        <f>IF($A305="","",IFERROR(IF(LOOKUP(2,1/(人給データ!$B$2:$B$700=$A305),人給データ!$Y$2:$Y$700)=0,"",LOOKUP(2,1/(人給データ!$B$2:$B$700=$A305),人給データ!$Y$2:$Y$700)),""))</f>
        <v/>
      </c>
      <c r="E305" s="20">
        <f>IF($A305="","",IFERROR(IF(LOOKUP(2,1/(人給データ!$B$2:$B$700=$A305),人給データ!$AB$2:$AB$700)=0,"",LOOKUP(2,1/(人給データ!$B$2:$B$700=$A305),人給データ!$AB$2:$AB$700)),""))</f>
        <v/>
      </c>
      <c r="F305" s="16">
        <f>IF(OR(E305="",NOT(ISNUMBER(E305))),"",DATE(YEAR(E305)+2,MONTH(E305),DAY(E305)-2))</f>
        <v/>
      </c>
      <c r="G305" s="20">
        <f>IF($A305="","",IFERROR(IF(LOOKUP(2,1/(人給データ!$B$2:$B$700=$A305),人給データ!$J$2:$J$700)=0,"",LOOKUP(2,1/(人給データ!$B$2:$B$700=$A305),人給データ!$J$2:$J$700)),""))</f>
        <v/>
      </c>
      <c r="H305" s="20">
        <f>IF($A305="","",IFERROR(IF(LOOKUP(2,1/(人給データ!$B$2:$B$700=$A305),人給データ!$K$2:$K$700)=0,"",LOOKUP(2,1/(人給データ!$B$2:$B$700=$A305),人給データ!$K$2:$K$700)),""))</f>
        <v/>
      </c>
      <c r="I305" s="12" t="n"/>
      <c r="J305">
        <f>IF($A305="","",IFERROR(IF(LOOKUP(2,1/(人給データ!$B$2:$B$700=$A305),人給データ!$N$2:$N$700)=0,"",LOOKUP(2,1/(人給データ!$B$2:$B$700=$A305),人給データ!$N$2:$N$700)),""))</f>
        <v/>
      </c>
      <c r="K305" s="13" t="n"/>
      <c r="L305" s="12" t="n"/>
      <c r="M305" s="12" t="n"/>
      <c r="N305" s="11" t="n"/>
      <c r="O305" s="11" t="n"/>
      <c r="P305" s="14">
        <f>IF(AND(M305&lt;&gt;"",O305=""),"保留中","")</f>
        <v/>
      </c>
      <c r="Q305" s="14">
        <f>IF(P305="保留中",COUNTIF(P$6:P305,"保留中"),"")</f>
        <v/>
      </c>
    </row>
    <row r="306">
      <c r="A306" s="12" t="n"/>
      <c r="B306">
        <f>IF($A306="","",IFERROR(IF(LOOKUP(2,1/(人給データ!$B$2:$B$700=$A306),人給データ!$C$2:$C$700)=0,"",LOOKUP(2,1/(人給データ!$B$2:$B$700=$A306),人給データ!$C$2:$C$700)),""))</f>
        <v/>
      </c>
      <c r="C306">
        <f>IF($A306="","",IFERROR(IF(LOOKUP(2,1/(人給データ!$B$2:$B$700=$A306),人給データ!$G$2:$G$700)=0,"",LOOKUP(2,1/(人給データ!$B$2:$B$700=$A306),人給データ!$G$2:$G$700)),""))</f>
        <v/>
      </c>
      <c r="D306">
        <f>IF($A306="","",IFERROR(IF(LOOKUP(2,1/(人給データ!$B$2:$B$700=$A306),人給データ!$Y$2:$Y$700)=0,"",LOOKUP(2,1/(人給データ!$B$2:$B$700=$A306),人給データ!$Y$2:$Y$700)),""))</f>
        <v/>
      </c>
      <c r="E306" s="20">
        <f>IF($A306="","",IFERROR(IF(LOOKUP(2,1/(人給データ!$B$2:$B$700=$A306),人給データ!$AB$2:$AB$700)=0,"",LOOKUP(2,1/(人給データ!$B$2:$B$700=$A306),人給データ!$AB$2:$AB$700)),""))</f>
        <v/>
      </c>
      <c r="F306" s="16">
        <f>IF(OR(E306="",NOT(ISNUMBER(E306))),"",DATE(YEAR(E306)+2,MONTH(E306),DAY(E306)-2))</f>
        <v/>
      </c>
      <c r="G306" s="20">
        <f>IF($A306="","",IFERROR(IF(LOOKUP(2,1/(人給データ!$B$2:$B$700=$A306),人給データ!$J$2:$J$700)=0,"",LOOKUP(2,1/(人給データ!$B$2:$B$700=$A306),人給データ!$J$2:$J$700)),""))</f>
        <v/>
      </c>
      <c r="H306" s="20">
        <f>IF($A306="","",IFERROR(IF(LOOKUP(2,1/(人給データ!$B$2:$B$700=$A306),人給データ!$K$2:$K$700)=0,"",LOOKUP(2,1/(人給データ!$B$2:$B$700=$A306),人給データ!$K$2:$K$700)),""))</f>
        <v/>
      </c>
      <c r="I306" s="12" t="n"/>
      <c r="J306">
        <f>IF($A306="","",IFERROR(IF(LOOKUP(2,1/(人給データ!$B$2:$B$700=$A306),人給データ!$N$2:$N$700)=0,"",LOOKUP(2,1/(人給データ!$B$2:$B$700=$A306),人給データ!$N$2:$N$700)),""))</f>
        <v/>
      </c>
      <c r="K306" s="13" t="n"/>
      <c r="L306" s="12" t="n"/>
      <c r="M306" s="12" t="n"/>
      <c r="N306" s="11" t="n"/>
      <c r="O306" s="11" t="n"/>
      <c r="P306" s="14">
        <f>IF(AND(M306&lt;&gt;"",O306=""),"保留中","")</f>
        <v/>
      </c>
      <c r="Q306" s="14">
        <f>IF(P306="保留中",COUNTIF(P$6:P306,"保留中"),"")</f>
        <v/>
      </c>
    </row>
    <row r="307">
      <c r="A307" s="12" t="n"/>
      <c r="B307">
        <f>IF($A307="","",IFERROR(IF(LOOKUP(2,1/(人給データ!$B$2:$B$700=$A307),人給データ!$C$2:$C$700)=0,"",LOOKUP(2,1/(人給データ!$B$2:$B$700=$A307),人給データ!$C$2:$C$700)),""))</f>
        <v/>
      </c>
      <c r="C307">
        <f>IF($A307="","",IFERROR(IF(LOOKUP(2,1/(人給データ!$B$2:$B$700=$A307),人給データ!$G$2:$G$700)=0,"",LOOKUP(2,1/(人給データ!$B$2:$B$700=$A307),人給データ!$G$2:$G$700)),""))</f>
        <v/>
      </c>
      <c r="D307">
        <f>IF($A307="","",IFERROR(IF(LOOKUP(2,1/(人給データ!$B$2:$B$700=$A307),人給データ!$Y$2:$Y$700)=0,"",LOOKUP(2,1/(人給データ!$B$2:$B$700=$A307),人給データ!$Y$2:$Y$700)),""))</f>
        <v/>
      </c>
      <c r="E307" s="20">
        <f>IF($A307="","",IFERROR(IF(LOOKUP(2,1/(人給データ!$B$2:$B$700=$A307),人給データ!$AB$2:$AB$700)=0,"",LOOKUP(2,1/(人給データ!$B$2:$B$700=$A307),人給データ!$AB$2:$AB$700)),""))</f>
        <v/>
      </c>
      <c r="F307" s="16">
        <f>IF(OR(E307="",NOT(ISNUMBER(E307))),"",DATE(YEAR(E307)+2,MONTH(E307),DAY(E307)-2))</f>
        <v/>
      </c>
      <c r="G307" s="20">
        <f>IF($A307="","",IFERROR(IF(LOOKUP(2,1/(人給データ!$B$2:$B$700=$A307),人給データ!$J$2:$J$700)=0,"",LOOKUP(2,1/(人給データ!$B$2:$B$700=$A307),人給データ!$J$2:$J$700)),""))</f>
        <v/>
      </c>
      <c r="H307" s="20">
        <f>IF($A307="","",IFERROR(IF(LOOKUP(2,1/(人給データ!$B$2:$B$700=$A307),人給データ!$K$2:$K$700)=0,"",LOOKUP(2,1/(人給データ!$B$2:$B$700=$A307),人給データ!$K$2:$K$700)),""))</f>
        <v/>
      </c>
      <c r="I307" s="12" t="n"/>
      <c r="J307">
        <f>IF($A307="","",IFERROR(IF(LOOKUP(2,1/(人給データ!$B$2:$B$700=$A307),人給データ!$N$2:$N$700)=0,"",LOOKUP(2,1/(人給データ!$B$2:$B$700=$A307),人給データ!$N$2:$N$700)),""))</f>
        <v/>
      </c>
      <c r="K307" s="13" t="n"/>
      <c r="L307" s="12" t="n"/>
      <c r="M307" s="12" t="n"/>
      <c r="N307" s="11" t="n"/>
      <c r="O307" s="11" t="n"/>
      <c r="P307" s="14">
        <f>IF(AND(M307&lt;&gt;"",O307=""),"保留中","")</f>
        <v/>
      </c>
      <c r="Q307" s="14">
        <f>IF(P307="保留中",COUNTIF(P$6:P307,"保留中"),"")</f>
        <v/>
      </c>
    </row>
    <row r="308">
      <c r="A308" s="12" t="n"/>
      <c r="B308">
        <f>IF($A308="","",IFERROR(IF(LOOKUP(2,1/(人給データ!$B$2:$B$700=$A308),人給データ!$C$2:$C$700)=0,"",LOOKUP(2,1/(人給データ!$B$2:$B$700=$A308),人給データ!$C$2:$C$700)),""))</f>
        <v/>
      </c>
      <c r="C308">
        <f>IF($A308="","",IFERROR(IF(LOOKUP(2,1/(人給データ!$B$2:$B$700=$A308),人給データ!$G$2:$G$700)=0,"",LOOKUP(2,1/(人給データ!$B$2:$B$700=$A308),人給データ!$G$2:$G$700)),""))</f>
        <v/>
      </c>
      <c r="D308">
        <f>IF($A308="","",IFERROR(IF(LOOKUP(2,1/(人給データ!$B$2:$B$700=$A308),人給データ!$Y$2:$Y$700)=0,"",LOOKUP(2,1/(人給データ!$B$2:$B$700=$A308),人給データ!$Y$2:$Y$700)),""))</f>
        <v/>
      </c>
      <c r="E308" s="20">
        <f>IF($A308="","",IFERROR(IF(LOOKUP(2,1/(人給データ!$B$2:$B$700=$A308),人給データ!$AB$2:$AB$700)=0,"",LOOKUP(2,1/(人給データ!$B$2:$B$700=$A308),人給データ!$AB$2:$AB$700)),""))</f>
        <v/>
      </c>
      <c r="F308" s="16">
        <f>IF(OR(E308="",NOT(ISNUMBER(E308))),"",DATE(YEAR(E308)+2,MONTH(E308),DAY(E308)-2))</f>
        <v/>
      </c>
      <c r="G308" s="20">
        <f>IF($A308="","",IFERROR(IF(LOOKUP(2,1/(人給データ!$B$2:$B$700=$A308),人給データ!$J$2:$J$700)=0,"",LOOKUP(2,1/(人給データ!$B$2:$B$700=$A308),人給データ!$J$2:$J$700)),""))</f>
        <v/>
      </c>
      <c r="H308" s="20">
        <f>IF($A308="","",IFERROR(IF(LOOKUP(2,1/(人給データ!$B$2:$B$700=$A308),人給データ!$K$2:$K$700)=0,"",LOOKUP(2,1/(人給データ!$B$2:$B$700=$A308),人給データ!$K$2:$K$700)),""))</f>
        <v/>
      </c>
      <c r="I308" s="12" t="n"/>
      <c r="J308">
        <f>IF($A308="","",IFERROR(IF(LOOKUP(2,1/(人給データ!$B$2:$B$700=$A308),人給データ!$N$2:$N$700)=0,"",LOOKUP(2,1/(人給データ!$B$2:$B$700=$A308),人給データ!$N$2:$N$700)),""))</f>
        <v/>
      </c>
      <c r="K308" s="13" t="n"/>
      <c r="L308" s="12" t="n"/>
      <c r="M308" s="12" t="n"/>
      <c r="N308" s="11" t="n"/>
      <c r="O308" s="11" t="n"/>
      <c r="P308" s="14">
        <f>IF(AND(M308&lt;&gt;"",O308=""),"保留中","")</f>
        <v/>
      </c>
      <c r="Q308" s="14">
        <f>IF(P308="保留中",COUNTIF(P$6:P308,"保留中"),"")</f>
        <v/>
      </c>
    </row>
    <row r="309">
      <c r="A309" s="12" t="n"/>
      <c r="B309">
        <f>IF($A309="","",IFERROR(IF(LOOKUP(2,1/(人給データ!$B$2:$B$700=$A309),人給データ!$C$2:$C$700)=0,"",LOOKUP(2,1/(人給データ!$B$2:$B$700=$A309),人給データ!$C$2:$C$700)),""))</f>
        <v/>
      </c>
      <c r="C309">
        <f>IF($A309="","",IFERROR(IF(LOOKUP(2,1/(人給データ!$B$2:$B$700=$A309),人給データ!$G$2:$G$700)=0,"",LOOKUP(2,1/(人給データ!$B$2:$B$700=$A309),人給データ!$G$2:$G$700)),""))</f>
        <v/>
      </c>
      <c r="D309">
        <f>IF($A309="","",IFERROR(IF(LOOKUP(2,1/(人給データ!$B$2:$B$700=$A309),人給データ!$Y$2:$Y$700)=0,"",LOOKUP(2,1/(人給データ!$B$2:$B$700=$A309),人給データ!$Y$2:$Y$700)),""))</f>
        <v/>
      </c>
      <c r="E309" s="20">
        <f>IF($A309="","",IFERROR(IF(LOOKUP(2,1/(人給データ!$B$2:$B$700=$A309),人給データ!$AB$2:$AB$700)=0,"",LOOKUP(2,1/(人給データ!$B$2:$B$700=$A309),人給データ!$AB$2:$AB$700)),""))</f>
        <v/>
      </c>
      <c r="F309" s="16">
        <f>IF(OR(E309="",NOT(ISNUMBER(E309))),"",DATE(YEAR(E309)+2,MONTH(E309),DAY(E309)-2))</f>
        <v/>
      </c>
      <c r="G309" s="20">
        <f>IF($A309="","",IFERROR(IF(LOOKUP(2,1/(人給データ!$B$2:$B$700=$A309),人給データ!$J$2:$J$700)=0,"",LOOKUP(2,1/(人給データ!$B$2:$B$700=$A309),人給データ!$J$2:$J$700)),""))</f>
        <v/>
      </c>
      <c r="H309" s="20">
        <f>IF($A309="","",IFERROR(IF(LOOKUP(2,1/(人給データ!$B$2:$B$700=$A309),人給データ!$K$2:$K$700)=0,"",LOOKUP(2,1/(人給データ!$B$2:$B$700=$A309),人給データ!$K$2:$K$700)),""))</f>
        <v/>
      </c>
      <c r="I309" s="12" t="n"/>
      <c r="J309">
        <f>IF($A309="","",IFERROR(IF(LOOKUP(2,1/(人給データ!$B$2:$B$700=$A309),人給データ!$N$2:$N$700)=0,"",LOOKUP(2,1/(人給データ!$B$2:$B$700=$A309),人給データ!$N$2:$N$700)),""))</f>
        <v/>
      </c>
      <c r="K309" s="13" t="n"/>
      <c r="L309" s="12" t="n"/>
      <c r="M309" s="12" t="n"/>
      <c r="N309" s="11" t="n"/>
      <c r="O309" s="11" t="n"/>
      <c r="P309" s="14">
        <f>IF(AND(M309&lt;&gt;"",O309=""),"保留中","")</f>
        <v/>
      </c>
      <c r="Q309" s="14">
        <f>IF(P309="保留中",COUNTIF(P$6:P309,"保留中"),"")</f>
        <v/>
      </c>
    </row>
    <row r="310">
      <c r="A310" s="12" t="n"/>
      <c r="B310">
        <f>IF($A310="","",IFERROR(IF(LOOKUP(2,1/(人給データ!$B$2:$B$700=$A310),人給データ!$C$2:$C$700)=0,"",LOOKUP(2,1/(人給データ!$B$2:$B$700=$A310),人給データ!$C$2:$C$700)),""))</f>
        <v/>
      </c>
      <c r="C310">
        <f>IF($A310="","",IFERROR(IF(LOOKUP(2,1/(人給データ!$B$2:$B$700=$A310),人給データ!$G$2:$G$700)=0,"",LOOKUP(2,1/(人給データ!$B$2:$B$700=$A310),人給データ!$G$2:$G$700)),""))</f>
        <v/>
      </c>
      <c r="D310">
        <f>IF($A310="","",IFERROR(IF(LOOKUP(2,1/(人給データ!$B$2:$B$700=$A310),人給データ!$Y$2:$Y$700)=0,"",LOOKUP(2,1/(人給データ!$B$2:$B$700=$A310),人給データ!$Y$2:$Y$700)),""))</f>
        <v/>
      </c>
      <c r="E310" s="20">
        <f>IF($A310="","",IFERROR(IF(LOOKUP(2,1/(人給データ!$B$2:$B$700=$A310),人給データ!$AB$2:$AB$700)=0,"",LOOKUP(2,1/(人給データ!$B$2:$B$700=$A310),人給データ!$AB$2:$AB$700)),""))</f>
        <v/>
      </c>
      <c r="F310" s="16">
        <f>IF(OR(E310="",NOT(ISNUMBER(E310))),"",DATE(YEAR(E310)+2,MONTH(E310),DAY(E310)-2))</f>
        <v/>
      </c>
      <c r="G310" s="20">
        <f>IF($A310="","",IFERROR(IF(LOOKUP(2,1/(人給データ!$B$2:$B$700=$A310),人給データ!$J$2:$J$700)=0,"",LOOKUP(2,1/(人給データ!$B$2:$B$700=$A310),人給データ!$J$2:$J$700)),""))</f>
        <v/>
      </c>
      <c r="H310" s="20">
        <f>IF($A310="","",IFERROR(IF(LOOKUP(2,1/(人給データ!$B$2:$B$700=$A310),人給データ!$K$2:$K$700)=0,"",LOOKUP(2,1/(人給データ!$B$2:$B$700=$A310),人給データ!$K$2:$K$700)),""))</f>
        <v/>
      </c>
      <c r="I310" s="12" t="n"/>
      <c r="J310">
        <f>IF($A310="","",IFERROR(IF(LOOKUP(2,1/(人給データ!$B$2:$B$700=$A310),人給データ!$N$2:$N$700)=0,"",LOOKUP(2,1/(人給データ!$B$2:$B$700=$A310),人給データ!$N$2:$N$700)),""))</f>
        <v/>
      </c>
      <c r="K310" s="13" t="n"/>
      <c r="L310" s="12" t="n"/>
      <c r="M310" s="12" t="n"/>
      <c r="N310" s="11" t="n"/>
      <c r="O310" s="11" t="n"/>
      <c r="P310" s="14">
        <f>IF(AND(M310&lt;&gt;"",O310=""),"保留中","")</f>
        <v/>
      </c>
      <c r="Q310" s="14">
        <f>IF(P310="保留中",COUNTIF(P$6:P310,"保留中"),"")</f>
        <v/>
      </c>
    </row>
    <row r="311">
      <c r="A311" s="12" t="n"/>
      <c r="B311">
        <f>IF($A311="","",IFERROR(IF(LOOKUP(2,1/(人給データ!$B$2:$B$700=$A311),人給データ!$C$2:$C$700)=0,"",LOOKUP(2,1/(人給データ!$B$2:$B$700=$A311),人給データ!$C$2:$C$700)),""))</f>
        <v/>
      </c>
      <c r="C311">
        <f>IF($A311="","",IFERROR(IF(LOOKUP(2,1/(人給データ!$B$2:$B$700=$A311),人給データ!$G$2:$G$700)=0,"",LOOKUP(2,1/(人給データ!$B$2:$B$700=$A311),人給データ!$G$2:$G$700)),""))</f>
        <v/>
      </c>
      <c r="D311">
        <f>IF($A311="","",IFERROR(IF(LOOKUP(2,1/(人給データ!$B$2:$B$700=$A311),人給データ!$Y$2:$Y$700)=0,"",LOOKUP(2,1/(人給データ!$B$2:$B$700=$A311),人給データ!$Y$2:$Y$700)),""))</f>
        <v/>
      </c>
      <c r="E311" s="20">
        <f>IF($A311="","",IFERROR(IF(LOOKUP(2,1/(人給データ!$B$2:$B$700=$A311),人給データ!$AB$2:$AB$700)=0,"",LOOKUP(2,1/(人給データ!$B$2:$B$700=$A311),人給データ!$AB$2:$AB$700)),""))</f>
        <v/>
      </c>
      <c r="F311" s="16">
        <f>IF(OR(E311="",NOT(ISNUMBER(E311))),"",DATE(YEAR(E311)+2,MONTH(E311),DAY(E311)-2))</f>
        <v/>
      </c>
      <c r="G311" s="20">
        <f>IF($A311="","",IFERROR(IF(LOOKUP(2,1/(人給データ!$B$2:$B$700=$A311),人給データ!$J$2:$J$700)=0,"",LOOKUP(2,1/(人給データ!$B$2:$B$700=$A311),人給データ!$J$2:$J$700)),""))</f>
        <v/>
      </c>
      <c r="H311" s="20">
        <f>IF($A311="","",IFERROR(IF(LOOKUP(2,1/(人給データ!$B$2:$B$700=$A311),人給データ!$K$2:$K$700)=0,"",LOOKUP(2,1/(人給データ!$B$2:$B$700=$A311),人給データ!$K$2:$K$700)),""))</f>
        <v/>
      </c>
      <c r="I311" s="12" t="n"/>
      <c r="J311">
        <f>IF($A311="","",IFERROR(IF(LOOKUP(2,1/(人給データ!$B$2:$B$700=$A311),人給データ!$N$2:$N$700)=0,"",LOOKUP(2,1/(人給データ!$B$2:$B$700=$A311),人給データ!$N$2:$N$700)),""))</f>
        <v/>
      </c>
      <c r="K311" s="13" t="n"/>
      <c r="L311" s="12" t="n"/>
      <c r="M311" s="12" t="n"/>
      <c r="N311" s="11" t="n"/>
      <c r="O311" s="11" t="n"/>
      <c r="P311" s="14">
        <f>IF(AND(M311&lt;&gt;"",O311=""),"保留中","")</f>
        <v/>
      </c>
      <c r="Q311" s="14">
        <f>IF(P311="保留中",COUNTIF(P$6:P311,"保留中"),"")</f>
        <v/>
      </c>
    </row>
    <row r="312">
      <c r="A312" s="12" t="n"/>
      <c r="B312">
        <f>IF($A312="","",IFERROR(IF(LOOKUP(2,1/(人給データ!$B$2:$B$700=$A312),人給データ!$C$2:$C$700)=0,"",LOOKUP(2,1/(人給データ!$B$2:$B$700=$A312),人給データ!$C$2:$C$700)),""))</f>
        <v/>
      </c>
      <c r="C312">
        <f>IF($A312="","",IFERROR(IF(LOOKUP(2,1/(人給データ!$B$2:$B$700=$A312),人給データ!$G$2:$G$700)=0,"",LOOKUP(2,1/(人給データ!$B$2:$B$700=$A312),人給データ!$G$2:$G$700)),""))</f>
        <v/>
      </c>
      <c r="D312">
        <f>IF($A312="","",IFERROR(IF(LOOKUP(2,1/(人給データ!$B$2:$B$700=$A312),人給データ!$Y$2:$Y$700)=0,"",LOOKUP(2,1/(人給データ!$B$2:$B$700=$A312),人給データ!$Y$2:$Y$700)),""))</f>
        <v/>
      </c>
      <c r="E312" s="20">
        <f>IF($A312="","",IFERROR(IF(LOOKUP(2,1/(人給データ!$B$2:$B$700=$A312),人給データ!$AB$2:$AB$700)=0,"",LOOKUP(2,1/(人給データ!$B$2:$B$700=$A312),人給データ!$AB$2:$AB$700)),""))</f>
        <v/>
      </c>
      <c r="F312" s="16">
        <f>IF(OR(E312="",NOT(ISNUMBER(E312))),"",DATE(YEAR(E312)+2,MONTH(E312),DAY(E312)-2))</f>
        <v/>
      </c>
      <c r="G312" s="20">
        <f>IF($A312="","",IFERROR(IF(LOOKUP(2,1/(人給データ!$B$2:$B$700=$A312),人給データ!$J$2:$J$700)=0,"",LOOKUP(2,1/(人給データ!$B$2:$B$700=$A312),人給データ!$J$2:$J$700)),""))</f>
        <v/>
      </c>
      <c r="H312" s="20">
        <f>IF($A312="","",IFERROR(IF(LOOKUP(2,1/(人給データ!$B$2:$B$700=$A312),人給データ!$K$2:$K$700)=0,"",LOOKUP(2,1/(人給データ!$B$2:$B$700=$A312),人給データ!$K$2:$K$700)),""))</f>
        <v/>
      </c>
      <c r="I312" s="12" t="n"/>
      <c r="J312">
        <f>IF($A312="","",IFERROR(IF(LOOKUP(2,1/(人給データ!$B$2:$B$700=$A312),人給データ!$N$2:$N$700)=0,"",LOOKUP(2,1/(人給データ!$B$2:$B$700=$A312),人給データ!$N$2:$N$700)),""))</f>
        <v/>
      </c>
      <c r="K312" s="13" t="n"/>
      <c r="L312" s="12" t="n"/>
      <c r="M312" s="12" t="n"/>
      <c r="N312" s="11" t="n"/>
      <c r="O312" s="11" t="n"/>
      <c r="P312" s="14">
        <f>IF(AND(M312&lt;&gt;"",O312=""),"保留中","")</f>
        <v/>
      </c>
      <c r="Q312" s="14">
        <f>IF(P312="保留中",COUNTIF(P$6:P312,"保留中"),"")</f>
        <v/>
      </c>
    </row>
    <row r="313">
      <c r="A313" s="12" t="n"/>
      <c r="B313">
        <f>IF($A313="","",IFERROR(IF(LOOKUP(2,1/(人給データ!$B$2:$B$700=$A313),人給データ!$C$2:$C$700)=0,"",LOOKUP(2,1/(人給データ!$B$2:$B$700=$A313),人給データ!$C$2:$C$700)),""))</f>
        <v/>
      </c>
      <c r="C313">
        <f>IF($A313="","",IFERROR(IF(LOOKUP(2,1/(人給データ!$B$2:$B$700=$A313),人給データ!$G$2:$G$700)=0,"",LOOKUP(2,1/(人給データ!$B$2:$B$700=$A313),人給データ!$G$2:$G$700)),""))</f>
        <v/>
      </c>
      <c r="D313">
        <f>IF($A313="","",IFERROR(IF(LOOKUP(2,1/(人給データ!$B$2:$B$700=$A313),人給データ!$Y$2:$Y$700)=0,"",LOOKUP(2,1/(人給データ!$B$2:$B$700=$A313),人給データ!$Y$2:$Y$700)),""))</f>
        <v/>
      </c>
      <c r="E313" s="20">
        <f>IF($A313="","",IFERROR(IF(LOOKUP(2,1/(人給データ!$B$2:$B$700=$A313),人給データ!$AB$2:$AB$700)=0,"",LOOKUP(2,1/(人給データ!$B$2:$B$700=$A313),人給データ!$AB$2:$AB$700)),""))</f>
        <v/>
      </c>
      <c r="F313" s="16">
        <f>IF(OR(E313="",NOT(ISNUMBER(E313))),"",DATE(YEAR(E313)+2,MONTH(E313),DAY(E313)-2))</f>
        <v/>
      </c>
      <c r="G313" s="20">
        <f>IF($A313="","",IFERROR(IF(LOOKUP(2,1/(人給データ!$B$2:$B$700=$A313),人給データ!$J$2:$J$700)=0,"",LOOKUP(2,1/(人給データ!$B$2:$B$700=$A313),人給データ!$J$2:$J$700)),""))</f>
        <v/>
      </c>
      <c r="H313" s="20">
        <f>IF($A313="","",IFERROR(IF(LOOKUP(2,1/(人給データ!$B$2:$B$700=$A313),人給データ!$K$2:$K$700)=0,"",LOOKUP(2,1/(人給データ!$B$2:$B$700=$A313),人給データ!$K$2:$K$700)),""))</f>
        <v/>
      </c>
      <c r="I313" s="12" t="n"/>
      <c r="J313">
        <f>IF($A313="","",IFERROR(IF(LOOKUP(2,1/(人給データ!$B$2:$B$700=$A313),人給データ!$N$2:$N$700)=0,"",LOOKUP(2,1/(人給データ!$B$2:$B$700=$A313),人給データ!$N$2:$N$700)),""))</f>
        <v/>
      </c>
      <c r="K313" s="13" t="n"/>
      <c r="L313" s="12" t="n"/>
      <c r="M313" s="12" t="n"/>
      <c r="N313" s="11" t="n"/>
      <c r="O313" s="11" t="n"/>
      <c r="P313" s="14">
        <f>IF(AND(M313&lt;&gt;"",O313=""),"保留中","")</f>
        <v/>
      </c>
      <c r="Q313" s="14">
        <f>IF(P313="保留中",COUNTIF(P$6:P313,"保留中"),"")</f>
        <v/>
      </c>
    </row>
    <row r="314">
      <c r="A314" s="12" t="n"/>
      <c r="B314">
        <f>IF($A314="","",IFERROR(IF(LOOKUP(2,1/(人給データ!$B$2:$B$700=$A314),人給データ!$C$2:$C$700)=0,"",LOOKUP(2,1/(人給データ!$B$2:$B$700=$A314),人給データ!$C$2:$C$700)),""))</f>
        <v/>
      </c>
      <c r="C314">
        <f>IF($A314="","",IFERROR(IF(LOOKUP(2,1/(人給データ!$B$2:$B$700=$A314),人給データ!$G$2:$G$700)=0,"",LOOKUP(2,1/(人給データ!$B$2:$B$700=$A314),人給データ!$G$2:$G$700)),""))</f>
        <v/>
      </c>
      <c r="D314">
        <f>IF($A314="","",IFERROR(IF(LOOKUP(2,1/(人給データ!$B$2:$B$700=$A314),人給データ!$Y$2:$Y$700)=0,"",LOOKUP(2,1/(人給データ!$B$2:$B$700=$A314),人給データ!$Y$2:$Y$700)),""))</f>
        <v/>
      </c>
      <c r="E314" s="20">
        <f>IF($A314="","",IFERROR(IF(LOOKUP(2,1/(人給データ!$B$2:$B$700=$A314),人給データ!$AB$2:$AB$700)=0,"",LOOKUP(2,1/(人給データ!$B$2:$B$700=$A314),人給データ!$AB$2:$AB$700)),""))</f>
        <v/>
      </c>
      <c r="F314" s="16">
        <f>IF(OR(E314="",NOT(ISNUMBER(E314))),"",DATE(YEAR(E314)+2,MONTH(E314),DAY(E314)-2))</f>
        <v/>
      </c>
      <c r="G314" s="20">
        <f>IF($A314="","",IFERROR(IF(LOOKUP(2,1/(人給データ!$B$2:$B$700=$A314),人給データ!$J$2:$J$700)=0,"",LOOKUP(2,1/(人給データ!$B$2:$B$700=$A314),人給データ!$J$2:$J$700)),""))</f>
        <v/>
      </c>
      <c r="H314" s="20">
        <f>IF($A314="","",IFERROR(IF(LOOKUP(2,1/(人給データ!$B$2:$B$700=$A314),人給データ!$K$2:$K$700)=0,"",LOOKUP(2,1/(人給データ!$B$2:$B$700=$A314),人給データ!$K$2:$K$700)),""))</f>
        <v/>
      </c>
      <c r="I314" s="12" t="n"/>
      <c r="J314">
        <f>IF($A314="","",IFERROR(IF(LOOKUP(2,1/(人給データ!$B$2:$B$700=$A314),人給データ!$N$2:$N$700)=0,"",LOOKUP(2,1/(人給データ!$B$2:$B$700=$A314),人給データ!$N$2:$N$700)),""))</f>
        <v/>
      </c>
      <c r="K314" s="13" t="n"/>
      <c r="L314" s="12" t="n"/>
      <c r="M314" s="12" t="n"/>
      <c r="N314" s="11" t="n"/>
      <c r="O314" s="11" t="n"/>
      <c r="P314" s="14">
        <f>IF(AND(M314&lt;&gt;"",O314=""),"保留中","")</f>
        <v/>
      </c>
      <c r="Q314" s="14">
        <f>IF(P314="保留中",COUNTIF(P$6:P314,"保留中"),"")</f>
        <v/>
      </c>
    </row>
    <row r="315">
      <c r="A315" s="12" t="n"/>
      <c r="B315">
        <f>IF($A315="","",IFERROR(IF(LOOKUP(2,1/(人給データ!$B$2:$B$700=$A315),人給データ!$C$2:$C$700)=0,"",LOOKUP(2,1/(人給データ!$B$2:$B$700=$A315),人給データ!$C$2:$C$700)),""))</f>
        <v/>
      </c>
      <c r="C315">
        <f>IF($A315="","",IFERROR(IF(LOOKUP(2,1/(人給データ!$B$2:$B$700=$A315),人給データ!$G$2:$G$700)=0,"",LOOKUP(2,1/(人給データ!$B$2:$B$700=$A315),人給データ!$G$2:$G$700)),""))</f>
        <v/>
      </c>
      <c r="D315">
        <f>IF($A315="","",IFERROR(IF(LOOKUP(2,1/(人給データ!$B$2:$B$700=$A315),人給データ!$Y$2:$Y$700)=0,"",LOOKUP(2,1/(人給データ!$B$2:$B$700=$A315),人給データ!$Y$2:$Y$700)),""))</f>
        <v/>
      </c>
      <c r="E315" s="20">
        <f>IF($A315="","",IFERROR(IF(LOOKUP(2,1/(人給データ!$B$2:$B$700=$A315),人給データ!$AB$2:$AB$700)=0,"",LOOKUP(2,1/(人給データ!$B$2:$B$700=$A315),人給データ!$AB$2:$AB$700)),""))</f>
        <v/>
      </c>
      <c r="F315" s="16">
        <f>IF(OR(E315="",NOT(ISNUMBER(E315))),"",DATE(YEAR(E315)+2,MONTH(E315),DAY(E315)-2))</f>
        <v/>
      </c>
      <c r="G315" s="20">
        <f>IF($A315="","",IFERROR(IF(LOOKUP(2,1/(人給データ!$B$2:$B$700=$A315),人給データ!$J$2:$J$700)=0,"",LOOKUP(2,1/(人給データ!$B$2:$B$700=$A315),人給データ!$J$2:$J$700)),""))</f>
        <v/>
      </c>
      <c r="H315" s="20">
        <f>IF($A315="","",IFERROR(IF(LOOKUP(2,1/(人給データ!$B$2:$B$700=$A315),人給データ!$K$2:$K$700)=0,"",LOOKUP(2,1/(人給データ!$B$2:$B$700=$A315),人給データ!$K$2:$K$700)),""))</f>
        <v/>
      </c>
      <c r="I315" s="12" t="n"/>
      <c r="J315">
        <f>IF($A315="","",IFERROR(IF(LOOKUP(2,1/(人給データ!$B$2:$B$700=$A315),人給データ!$N$2:$N$700)=0,"",LOOKUP(2,1/(人給データ!$B$2:$B$700=$A315),人給データ!$N$2:$N$700)),""))</f>
        <v/>
      </c>
      <c r="K315" s="13" t="n"/>
      <c r="L315" s="12" t="n"/>
      <c r="M315" s="12" t="n"/>
      <c r="N315" s="11" t="n"/>
      <c r="O315" s="11" t="n"/>
      <c r="P315" s="14">
        <f>IF(AND(M315&lt;&gt;"",O315=""),"保留中","")</f>
        <v/>
      </c>
      <c r="Q315" s="14">
        <f>IF(P315="保留中",COUNTIF(P$6:P315,"保留中"),"")</f>
        <v/>
      </c>
    </row>
    <row r="316">
      <c r="A316" s="12" t="n"/>
      <c r="B316">
        <f>IF($A316="","",IFERROR(IF(LOOKUP(2,1/(人給データ!$B$2:$B$700=$A316),人給データ!$C$2:$C$700)=0,"",LOOKUP(2,1/(人給データ!$B$2:$B$700=$A316),人給データ!$C$2:$C$700)),""))</f>
        <v/>
      </c>
      <c r="C316">
        <f>IF($A316="","",IFERROR(IF(LOOKUP(2,1/(人給データ!$B$2:$B$700=$A316),人給データ!$G$2:$G$700)=0,"",LOOKUP(2,1/(人給データ!$B$2:$B$700=$A316),人給データ!$G$2:$G$700)),""))</f>
        <v/>
      </c>
      <c r="D316">
        <f>IF($A316="","",IFERROR(IF(LOOKUP(2,1/(人給データ!$B$2:$B$700=$A316),人給データ!$Y$2:$Y$700)=0,"",LOOKUP(2,1/(人給データ!$B$2:$B$700=$A316),人給データ!$Y$2:$Y$700)),""))</f>
        <v/>
      </c>
      <c r="E316" s="20">
        <f>IF($A316="","",IFERROR(IF(LOOKUP(2,1/(人給データ!$B$2:$B$700=$A316),人給データ!$AB$2:$AB$700)=0,"",LOOKUP(2,1/(人給データ!$B$2:$B$700=$A316),人給データ!$AB$2:$AB$700)),""))</f>
        <v/>
      </c>
      <c r="F316" s="16">
        <f>IF(OR(E316="",NOT(ISNUMBER(E316))),"",DATE(YEAR(E316)+2,MONTH(E316),DAY(E316)-2))</f>
        <v/>
      </c>
      <c r="G316" s="20">
        <f>IF($A316="","",IFERROR(IF(LOOKUP(2,1/(人給データ!$B$2:$B$700=$A316),人給データ!$J$2:$J$700)=0,"",LOOKUP(2,1/(人給データ!$B$2:$B$700=$A316),人給データ!$J$2:$J$700)),""))</f>
        <v/>
      </c>
      <c r="H316" s="20">
        <f>IF($A316="","",IFERROR(IF(LOOKUP(2,1/(人給データ!$B$2:$B$700=$A316),人給データ!$K$2:$K$700)=0,"",LOOKUP(2,1/(人給データ!$B$2:$B$700=$A316),人給データ!$K$2:$K$700)),""))</f>
        <v/>
      </c>
      <c r="I316" s="12" t="n"/>
      <c r="J316">
        <f>IF($A316="","",IFERROR(IF(LOOKUP(2,1/(人給データ!$B$2:$B$700=$A316),人給データ!$N$2:$N$700)=0,"",LOOKUP(2,1/(人給データ!$B$2:$B$700=$A316),人給データ!$N$2:$N$700)),""))</f>
        <v/>
      </c>
      <c r="K316" s="13" t="n"/>
      <c r="L316" s="12" t="n"/>
      <c r="M316" s="12" t="n"/>
      <c r="N316" s="11" t="n"/>
      <c r="O316" s="11" t="n"/>
      <c r="P316" s="14">
        <f>IF(AND(M316&lt;&gt;"",O316=""),"保留中","")</f>
        <v/>
      </c>
      <c r="Q316" s="14">
        <f>IF(P316="保留中",COUNTIF(P$6:P316,"保留中"),"")</f>
        <v/>
      </c>
    </row>
    <row r="317">
      <c r="A317" s="12" t="n"/>
      <c r="B317">
        <f>IF($A317="","",IFERROR(IF(LOOKUP(2,1/(人給データ!$B$2:$B$700=$A317),人給データ!$C$2:$C$700)=0,"",LOOKUP(2,1/(人給データ!$B$2:$B$700=$A317),人給データ!$C$2:$C$700)),""))</f>
        <v/>
      </c>
      <c r="C317">
        <f>IF($A317="","",IFERROR(IF(LOOKUP(2,1/(人給データ!$B$2:$B$700=$A317),人給データ!$G$2:$G$700)=0,"",LOOKUP(2,1/(人給データ!$B$2:$B$700=$A317),人給データ!$G$2:$G$700)),""))</f>
        <v/>
      </c>
      <c r="D317">
        <f>IF($A317="","",IFERROR(IF(LOOKUP(2,1/(人給データ!$B$2:$B$700=$A317),人給データ!$Y$2:$Y$700)=0,"",LOOKUP(2,1/(人給データ!$B$2:$B$700=$A317),人給データ!$Y$2:$Y$700)),""))</f>
        <v/>
      </c>
      <c r="E317" s="20">
        <f>IF($A317="","",IFERROR(IF(LOOKUP(2,1/(人給データ!$B$2:$B$700=$A317),人給データ!$AB$2:$AB$700)=0,"",LOOKUP(2,1/(人給データ!$B$2:$B$700=$A317),人給データ!$AB$2:$AB$700)),""))</f>
        <v/>
      </c>
      <c r="F317" s="16">
        <f>IF(OR(E317="",NOT(ISNUMBER(E317))),"",DATE(YEAR(E317)+2,MONTH(E317),DAY(E317)-2))</f>
        <v/>
      </c>
      <c r="G317" s="20">
        <f>IF($A317="","",IFERROR(IF(LOOKUP(2,1/(人給データ!$B$2:$B$700=$A317),人給データ!$J$2:$J$700)=0,"",LOOKUP(2,1/(人給データ!$B$2:$B$700=$A317),人給データ!$J$2:$J$700)),""))</f>
        <v/>
      </c>
      <c r="H317" s="20">
        <f>IF($A317="","",IFERROR(IF(LOOKUP(2,1/(人給データ!$B$2:$B$700=$A317),人給データ!$K$2:$K$700)=0,"",LOOKUP(2,1/(人給データ!$B$2:$B$700=$A317),人給データ!$K$2:$K$700)),""))</f>
        <v/>
      </c>
      <c r="I317" s="12" t="n"/>
      <c r="J317">
        <f>IF($A317="","",IFERROR(IF(LOOKUP(2,1/(人給データ!$B$2:$B$700=$A317),人給データ!$N$2:$N$700)=0,"",LOOKUP(2,1/(人給データ!$B$2:$B$700=$A317),人給データ!$N$2:$N$700)),""))</f>
        <v/>
      </c>
      <c r="K317" s="13" t="n"/>
      <c r="L317" s="12" t="n"/>
      <c r="M317" s="12" t="n"/>
      <c r="N317" s="11" t="n"/>
      <c r="O317" s="11" t="n"/>
      <c r="P317" s="14">
        <f>IF(AND(M317&lt;&gt;"",O317=""),"保留中","")</f>
        <v/>
      </c>
      <c r="Q317" s="14">
        <f>IF(P317="保留中",COUNTIF(P$6:P317,"保留中"),"")</f>
        <v/>
      </c>
    </row>
    <row r="318">
      <c r="A318" s="12" t="n"/>
      <c r="B318">
        <f>IF($A318="","",IFERROR(IF(LOOKUP(2,1/(人給データ!$B$2:$B$700=$A318),人給データ!$C$2:$C$700)=0,"",LOOKUP(2,1/(人給データ!$B$2:$B$700=$A318),人給データ!$C$2:$C$700)),""))</f>
        <v/>
      </c>
      <c r="C318">
        <f>IF($A318="","",IFERROR(IF(LOOKUP(2,1/(人給データ!$B$2:$B$700=$A318),人給データ!$G$2:$G$700)=0,"",LOOKUP(2,1/(人給データ!$B$2:$B$700=$A318),人給データ!$G$2:$G$700)),""))</f>
        <v/>
      </c>
      <c r="D318">
        <f>IF($A318="","",IFERROR(IF(LOOKUP(2,1/(人給データ!$B$2:$B$700=$A318),人給データ!$Y$2:$Y$700)=0,"",LOOKUP(2,1/(人給データ!$B$2:$B$700=$A318),人給データ!$Y$2:$Y$700)),""))</f>
        <v/>
      </c>
      <c r="E318" s="20">
        <f>IF($A318="","",IFERROR(IF(LOOKUP(2,1/(人給データ!$B$2:$B$700=$A318),人給データ!$AB$2:$AB$700)=0,"",LOOKUP(2,1/(人給データ!$B$2:$B$700=$A318),人給データ!$AB$2:$AB$700)),""))</f>
        <v/>
      </c>
      <c r="F318" s="16">
        <f>IF(OR(E318="",NOT(ISNUMBER(E318))),"",DATE(YEAR(E318)+2,MONTH(E318),DAY(E318)-2))</f>
        <v/>
      </c>
      <c r="G318" s="20">
        <f>IF($A318="","",IFERROR(IF(LOOKUP(2,1/(人給データ!$B$2:$B$700=$A318),人給データ!$J$2:$J$700)=0,"",LOOKUP(2,1/(人給データ!$B$2:$B$700=$A318),人給データ!$J$2:$J$700)),""))</f>
        <v/>
      </c>
      <c r="H318" s="20">
        <f>IF($A318="","",IFERROR(IF(LOOKUP(2,1/(人給データ!$B$2:$B$700=$A318),人給データ!$K$2:$K$700)=0,"",LOOKUP(2,1/(人給データ!$B$2:$B$700=$A318),人給データ!$K$2:$K$700)),""))</f>
        <v/>
      </c>
      <c r="I318" s="12" t="n"/>
      <c r="J318">
        <f>IF($A318="","",IFERROR(IF(LOOKUP(2,1/(人給データ!$B$2:$B$700=$A318),人給データ!$N$2:$N$700)=0,"",LOOKUP(2,1/(人給データ!$B$2:$B$700=$A318),人給データ!$N$2:$N$700)),""))</f>
        <v/>
      </c>
      <c r="K318" s="13" t="n"/>
      <c r="L318" s="12" t="n"/>
      <c r="M318" s="12" t="n"/>
      <c r="N318" s="11" t="n"/>
      <c r="O318" s="11" t="n"/>
      <c r="P318" s="14">
        <f>IF(AND(M318&lt;&gt;"",O318=""),"保留中","")</f>
        <v/>
      </c>
      <c r="Q318" s="14">
        <f>IF(P318="保留中",COUNTIF(P$6:P318,"保留中"),"")</f>
        <v/>
      </c>
    </row>
    <row r="319">
      <c r="A319" s="12" t="n"/>
      <c r="B319">
        <f>IF($A319="","",IFERROR(IF(LOOKUP(2,1/(人給データ!$B$2:$B$700=$A319),人給データ!$C$2:$C$700)=0,"",LOOKUP(2,1/(人給データ!$B$2:$B$700=$A319),人給データ!$C$2:$C$700)),""))</f>
        <v/>
      </c>
      <c r="C319">
        <f>IF($A319="","",IFERROR(IF(LOOKUP(2,1/(人給データ!$B$2:$B$700=$A319),人給データ!$G$2:$G$700)=0,"",LOOKUP(2,1/(人給データ!$B$2:$B$700=$A319),人給データ!$G$2:$G$700)),""))</f>
        <v/>
      </c>
      <c r="D319">
        <f>IF($A319="","",IFERROR(IF(LOOKUP(2,1/(人給データ!$B$2:$B$700=$A319),人給データ!$Y$2:$Y$700)=0,"",LOOKUP(2,1/(人給データ!$B$2:$B$700=$A319),人給データ!$Y$2:$Y$700)),""))</f>
        <v/>
      </c>
      <c r="E319" s="20">
        <f>IF($A319="","",IFERROR(IF(LOOKUP(2,1/(人給データ!$B$2:$B$700=$A319),人給データ!$AB$2:$AB$700)=0,"",LOOKUP(2,1/(人給データ!$B$2:$B$700=$A319),人給データ!$AB$2:$AB$700)),""))</f>
        <v/>
      </c>
      <c r="F319" s="16">
        <f>IF(OR(E319="",NOT(ISNUMBER(E319))),"",DATE(YEAR(E319)+2,MONTH(E319),DAY(E319)-2))</f>
        <v/>
      </c>
      <c r="G319" s="20">
        <f>IF($A319="","",IFERROR(IF(LOOKUP(2,1/(人給データ!$B$2:$B$700=$A319),人給データ!$J$2:$J$700)=0,"",LOOKUP(2,1/(人給データ!$B$2:$B$700=$A319),人給データ!$J$2:$J$700)),""))</f>
        <v/>
      </c>
      <c r="H319" s="20">
        <f>IF($A319="","",IFERROR(IF(LOOKUP(2,1/(人給データ!$B$2:$B$700=$A319),人給データ!$K$2:$K$700)=0,"",LOOKUP(2,1/(人給データ!$B$2:$B$700=$A319),人給データ!$K$2:$K$700)),""))</f>
        <v/>
      </c>
      <c r="I319" s="12" t="n"/>
      <c r="J319">
        <f>IF($A319="","",IFERROR(IF(LOOKUP(2,1/(人給データ!$B$2:$B$700=$A319),人給データ!$N$2:$N$700)=0,"",LOOKUP(2,1/(人給データ!$B$2:$B$700=$A319),人給データ!$N$2:$N$700)),""))</f>
        <v/>
      </c>
      <c r="K319" s="13" t="n"/>
      <c r="L319" s="12" t="n"/>
      <c r="M319" s="12" t="n"/>
      <c r="N319" s="11" t="n"/>
      <c r="O319" s="11" t="n"/>
      <c r="P319" s="14">
        <f>IF(AND(M319&lt;&gt;"",O319=""),"保留中","")</f>
        <v/>
      </c>
      <c r="Q319" s="14">
        <f>IF(P319="保留中",COUNTIF(P$6:P319,"保留中"),"")</f>
        <v/>
      </c>
    </row>
    <row r="320">
      <c r="A320" s="12" t="n"/>
      <c r="B320">
        <f>IF($A320="","",IFERROR(IF(LOOKUP(2,1/(人給データ!$B$2:$B$700=$A320),人給データ!$C$2:$C$700)=0,"",LOOKUP(2,1/(人給データ!$B$2:$B$700=$A320),人給データ!$C$2:$C$700)),""))</f>
        <v/>
      </c>
      <c r="C320">
        <f>IF($A320="","",IFERROR(IF(LOOKUP(2,1/(人給データ!$B$2:$B$700=$A320),人給データ!$G$2:$G$700)=0,"",LOOKUP(2,1/(人給データ!$B$2:$B$700=$A320),人給データ!$G$2:$G$700)),""))</f>
        <v/>
      </c>
      <c r="D320">
        <f>IF($A320="","",IFERROR(IF(LOOKUP(2,1/(人給データ!$B$2:$B$700=$A320),人給データ!$Y$2:$Y$700)=0,"",LOOKUP(2,1/(人給データ!$B$2:$B$700=$A320),人給データ!$Y$2:$Y$700)),""))</f>
        <v/>
      </c>
      <c r="E320" s="20">
        <f>IF($A320="","",IFERROR(IF(LOOKUP(2,1/(人給データ!$B$2:$B$700=$A320),人給データ!$AB$2:$AB$700)=0,"",LOOKUP(2,1/(人給データ!$B$2:$B$700=$A320),人給データ!$AB$2:$AB$700)),""))</f>
        <v/>
      </c>
      <c r="F320" s="16">
        <f>IF(OR(E320="",NOT(ISNUMBER(E320))),"",DATE(YEAR(E320)+2,MONTH(E320),DAY(E320)-2))</f>
        <v/>
      </c>
      <c r="G320" s="20">
        <f>IF($A320="","",IFERROR(IF(LOOKUP(2,1/(人給データ!$B$2:$B$700=$A320),人給データ!$J$2:$J$700)=0,"",LOOKUP(2,1/(人給データ!$B$2:$B$700=$A320),人給データ!$J$2:$J$700)),""))</f>
        <v/>
      </c>
      <c r="H320" s="20">
        <f>IF($A320="","",IFERROR(IF(LOOKUP(2,1/(人給データ!$B$2:$B$700=$A320),人給データ!$K$2:$K$700)=0,"",LOOKUP(2,1/(人給データ!$B$2:$B$700=$A320),人給データ!$K$2:$K$700)),""))</f>
        <v/>
      </c>
      <c r="I320" s="12" t="n"/>
      <c r="J320">
        <f>IF($A320="","",IFERROR(IF(LOOKUP(2,1/(人給データ!$B$2:$B$700=$A320),人給データ!$N$2:$N$700)=0,"",LOOKUP(2,1/(人給データ!$B$2:$B$700=$A320),人給データ!$N$2:$N$700)),""))</f>
        <v/>
      </c>
      <c r="K320" s="13" t="n"/>
      <c r="L320" s="12" t="n"/>
      <c r="M320" s="12" t="n"/>
      <c r="N320" s="11" t="n"/>
      <c r="O320" s="11" t="n"/>
      <c r="P320" s="14">
        <f>IF(AND(M320&lt;&gt;"",O320=""),"保留中","")</f>
        <v/>
      </c>
      <c r="Q320" s="14">
        <f>IF(P320="保留中",COUNTIF(P$6:P320,"保留中"),"")</f>
        <v/>
      </c>
    </row>
    <row r="321">
      <c r="A321" s="12" t="n"/>
      <c r="B321">
        <f>IF($A321="","",IFERROR(IF(LOOKUP(2,1/(人給データ!$B$2:$B$700=$A321),人給データ!$C$2:$C$700)=0,"",LOOKUP(2,1/(人給データ!$B$2:$B$700=$A321),人給データ!$C$2:$C$700)),""))</f>
        <v/>
      </c>
      <c r="C321">
        <f>IF($A321="","",IFERROR(IF(LOOKUP(2,1/(人給データ!$B$2:$B$700=$A321),人給データ!$G$2:$G$700)=0,"",LOOKUP(2,1/(人給データ!$B$2:$B$700=$A321),人給データ!$G$2:$G$700)),""))</f>
        <v/>
      </c>
      <c r="D321">
        <f>IF($A321="","",IFERROR(IF(LOOKUP(2,1/(人給データ!$B$2:$B$700=$A321),人給データ!$Y$2:$Y$700)=0,"",LOOKUP(2,1/(人給データ!$B$2:$B$700=$A321),人給データ!$Y$2:$Y$700)),""))</f>
        <v/>
      </c>
      <c r="E321" s="20">
        <f>IF($A321="","",IFERROR(IF(LOOKUP(2,1/(人給データ!$B$2:$B$700=$A321),人給データ!$AB$2:$AB$700)=0,"",LOOKUP(2,1/(人給データ!$B$2:$B$700=$A321),人給データ!$AB$2:$AB$700)),""))</f>
        <v/>
      </c>
      <c r="F321" s="16">
        <f>IF(OR(E321="",NOT(ISNUMBER(E321))),"",DATE(YEAR(E321)+2,MONTH(E321),DAY(E321)-2))</f>
        <v/>
      </c>
      <c r="G321" s="20">
        <f>IF($A321="","",IFERROR(IF(LOOKUP(2,1/(人給データ!$B$2:$B$700=$A321),人給データ!$J$2:$J$700)=0,"",LOOKUP(2,1/(人給データ!$B$2:$B$700=$A321),人給データ!$J$2:$J$700)),""))</f>
        <v/>
      </c>
      <c r="H321" s="20">
        <f>IF($A321="","",IFERROR(IF(LOOKUP(2,1/(人給データ!$B$2:$B$700=$A321),人給データ!$K$2:$K$700)=0,"",LOOKUP(2,1/(人給データ!$B$2:$B$700=$A321),人給データ!$K$2:$K$700)),""))</f>
        <v/>
      </c>
      <c r="I321" s="12" t="n"/>
      <c r="J321">
        <f>IF($A321="","",IFERROR(IF(LOOKUP(2,1/(人給データ!$B$2:$B$700=$A321),人給データ!$N$2:$N$700)=0,"",LOOKUP(2,1/(人給データ!$B$2:$B$700=$A321),人給データ!$N$2:$N$700)),""))</f>
        <v/>
      </c>
      <c r="K321" s="13" t="n"/>
      <c r="L321" s="12" t="n"/>
      <c r="M321" s="12" t="n"/>
      <c r="N321" s="11" t="n"/>
      <c r="O321" s="11" t="n"/>
      <c r="P321" s="14">
        <f>IF(AND(M321&lt;&gt;"",O321=""),"保留中","")</f>
        <v/>
      </c>
      <c r="Q321" s="14">
        <f>IF(P321="保留中",COUNTIF(P$6:P321,"保留中"),"")</f>
        <v/>
      </c>
    </row>
    <row r="322">
      <c r="A322" s="12" t="n"/>
      <c r="B322">
        <f>IF($A322="","",IFERROR(IF(LOOKUP(2,1/(人給データ!$B$2:$B$700=$A322),人給データ!$C$2:$C$700)=0,"",LOOKUP(2,1/(人給データ!$B$2:$B$700=$A322),人給データ!$C$2:$C$700)),""))</f>
        <v/>
      </c>
      <c r="C322">
        <f>IF($A322="","",IFERROR(IF(LOOKUP(2,1/(人給データ!$B$2:$B$700=$A322),人給データ!$G$2:$G$700)=0,"",LOOKUP(2,1/(人給データ!$B$2:$B$700=$A322),人給データ!$G$2:$G$700)),""))</f>
        <v/>
      </c>
      <c r="D322">
        <f>IF($A322="","",IFERROR(IF(LOOKUP(2,1/(人給データ!$B$2:$B$700=$A322),人給データ!$Y$2:$Y$700)=0,"",LOOKUP(2,1/(人給データ!$B$2:$B$700=$A322),人給データ!$Y$2:$Y$700)),""))</f>
        <v/>
      </c>
      <c r="E322" s="20">
        <f>IF($A322="","",IFERROR(IF(LOOKUP(2,1/(人給データ!$B$2:$B$700=$A322),人給データ!$AB$2:$AB$700)=0,"",LOOKUP(2,1/(人給データ!$B$2:$B$700=$A322),人給データ!$AB$2:$AB$700)),""))</f>
        <v/>
      </c>
      <c r="F322" s="16">
        <f>IF(OR(E322="",NOT(ISNUMBER(E322))),"",DATE(YEAR(E322)+2,MONTH(E322),DAY(E322)-2))</f>
        <v/>
      </c>
      <c r="G322" s="20">
        <f>IF($A322="","",IFERROR(IF(LOOKUP(2,1/(人給データ!$B$2:$B$700=$A322),人給データ!$J$2:$J$700)=0,"",LOOKUP(2,1/(人給データ!$B$2:$B$700=$A322),人給データ!$J$2:$J$700)),""))</f>
        <v/>
      </c>
      <c r="H322" s="20">
        <f>IF($A322="","",IFERROR(IF(LOOKUP(2,1/(人給データ!$B$2:$B$700=$A322),人給データ!$K$2:$K$700)=0,"",LOOKUP(2,1/(人給データ!$B$2:$B$700=$A322),人給データ!$K$2:$K$700)),""))</f>
        <v/>
      </c>
      <c r="I322" s="12" t="n"/>
      <c r="J322">
        <f>IF($A322="","",IFERROR(IF(LOOKUP(2,1/(人給データ!$B$2:$B$700=$A322),人給データ!$N$2:$N$700)=0,"",LOOKUP(2,1/(人給データ!$B$2:$B$700=$A322),人給データ!$N$2:$N$700)),""))</f>
        <v/>
      </c>
      <c r="K322" s="13" t="n"/>
      <c r="L322" s="12" t="n"/>
      <c r="M322" s="12" t="n"/>
      <c r="N322" s="11" t="n"/>
      <c r="O322" s="11" t="n"/>
      <c r="P322" s="14">
        <f>IF(AND(M322&lt;&gt;"",O322=""),"保留中","")</f>
        <v/>
      </c>
      <c r="Q322" s="14">
        <f>IF(P322="保留中",COUNTIF(P$6:P322,"保留中"),"")</f>
        <v/>
      </c>
    </row>
    <row r="323">
      <c r="A323" s="12" t="n"/>
      <c r="B323">
        <f>IF($A323="","",IFERROR(IF(LOOKUP(2,1/(人給データ!$B$2:$B$700=$A323),人給データ!$C$2:$C$700)=0,"",LOOKUP(2,1/(人給データ!$B$2:$B$700=$A323),人給データ!$C$2:$C$700)),""))</f>
        <v/>
      </c>
      <c r="C323">
        <f>IF($A323="","",IFERROR(IF(LOOKUP(2,1/(人給データ!$B$2:$B$700=$A323),人給データ!$G$2:$G$700)=0,"",LOOKUP(2,1/(人給データ!$B$2:$B$700=$A323),人給データ!$G$2:$G$700)),""))</f>
        <v/>
      </c>
      <c r="D323">
        <f>IF($A323="","",IFERROR(IF(LOOKUP(2,1/(人給データ!$B$2:$B$700=$A323),人給データ!$Y$2:$Y$700)=0,"",LOOKUP(2,1/(人給データ!$B$2:$B$700=$A323),人給データ!$Y$2:$Y$700)),""))</f>
        <v/>
      </c>
      <c r="E323" s="20">
        <f>IF($A323="","",IFERROR(IF(LOOKUP(2,1/(人給データ!$B$2:$B$700=$A323),人給データ!$AB$2:$AB$700)=0,"",LOOKUP(2,1/(人給データ!$B$2:$B$700=$A323),人給データ!$AB$2:$AB$700)),""))</f>
        <v/>
      </c>
      <c r="F323" s="16">
        <f>IF(OR(E323="",NOT(ISNUMBER(E323))),"",DATE(YEAR(E323)+2,MONTH(E323),DAY(E323)-2))</f>
        <v/>
      </c>
      <c r="G323" s="20">
        <f>IF($A323="","",IFERROR(IF(LOOKUP(2,1/(人給データ!$B$2:$B$700=$A323),人給データ!$J$2:$J$700)=0,"",LOOKUP(2,1/(人給データ!$B$2:$B$700=$A323),人給データ!$J$2:$J$700)),""))</f>
        <v/>
      </c>
      <c r="H323" s="20">
        <f>IF($A323="","",IFERROR(IF(LOOKUP(2,1/(人給データ!$B$2:$B$700=$A323),人給データ!$K$2:$K$700)=0,"",LOOKUP(2,1/(人給データ!$B$2:$B$700=$A323),人給データ!$K$2:$K$700)),""))</f>
        <v/>
      </c>
      <c r="I323" s="12" t="n"/>
      <c r="J323">
        <f>IF($A323="","",IFERROR(IF(LOOKUP(2,1/(人給データ!$B$2:$B$700=$A323),人給データ!$N$2:$N$700)=0,"",LOOKUP(2,1/(人給データ!$B$2:$B$700=$A323),人給データ!$N$2:$N$700)),""))</f>
        <v/>
      </c>
      <c r="K323" s="13" t="n"/>
      <c r="L323" s="12" t="n"/>
      <c r="M323" s="12" t="n"/>
      <c r="N323" s="11" t="n"/>
      <c r="O323" s="11" t="n"/>
      <c r="P323" s="14">
        <f>IF(AND(M323&lt;&gt;"",O323=""),"保留中","")</f>
        <v/>
      </c>
      <c r="Q323" s="14">
        <f>IF(P323="保留中",COUNTIF(P$6:P323,"保留中"),"")</f>
        <v/>
      </c>
    </row>
    <row r="324">
      <c r="A324" s="12" t="n"/>
      <c r="B324">
        <f>IF($A324="","",IFERROR(IF(LOOKUP(2,1/(人給データ!$B$2:$B$700=$A324),人給データ!$C$2:$C$700)=0,"",LOOKUP(2,1/(人給データ!$B$2:$B$700=$A324),人給データ!$C$2:$C$700)),""))</f>
        <v/>
      </c>
      <c r="C324">
        <f>IF($A324="","",IFERROR(IF(LOOKUP(2,1/(人給データ!$B$2:$B$700=$A324),人給データ!$G$2:$G$700)=0,"",LOOKUP(2,1/(人給データ!$B$2:$B$700=$A324),人給データ!$G$2:$G$700)),""))</f>
        <v/>
      </c>
      <c r="D324">
        <f>IF($A324="","",IFERROR(IF(LOOKUP(2,1/(人給データ!$B$2:$B$700=$A324),人給データ!$Y$2:$Y$700)=0,"",LOOKUP(2,1/(人給データ!$B$2:$B$700=$A324),人給データ!$Y$2:$Y$700)),""))</f>
        <v/>
      </c>
      <c r="E324" s="20">
        <f>IF($A324="","",IFERROR(IF(LOOKUP(2,1/(人給データ!$B$2:$B$700=$A324),人給データ!$AB$2:$AB$700)=0,"",LOOKUP(2,1/(人給データ!$B$2:$B$700=$A324),人給データ!$AB$2:$AB$700)),""))</f>
        <v/>
      </c>
      <c r="F324" s="16">
        <f>IF(OR(E324="",NOT(ISNUMBER(E324))),"",DATE(YEAR(E324)+2,MONTH(E324),DAY(E324)-2))</f>
        <v/>
      </c>
      <c r="G324" s="20">
        <f>IF($A324="","",IFERROR(IF(LOOKUP(2,1/(人給データ!$B$2:$B$700=$A324),人給データ!$J$2:$J$700)=0,"",LOOKUP(2,1/(人給データ!$B$2:$B$700=$A324),人給データ!$J$2:$J$700)),""))</f>
        <v/>
      </c>
      <c r="H324" s="20">
        <f>IF($A324="","",IFERROR(IF(LOOKUP(2,1/(人給データ!$B$2:$B$700=$A324),人給データ!$K$2:$K$700)=0,"",LOOKUP(2,1/(人給データ!$B$2:$B$700=$A324),人給データ!$K$2:$K$700)),""))</f>
        <v/>
      </c>
      <c r="I324" s="12" t="n"/>
      <c r="J324">
        <f>IF($A324="","",IFERROR(IF(LOOKUP(2,1/(人給データ!$B$2:$B$700=$A324),人給データ!$N$2:$N$700)=0,"",LOOKUP(2,1/(人給データ!$B$2:$B$700=$A324),人給データ!$N$2:$N$700)),""))</f>
        <v/>
      </c>
      <c r="K324" s="13" t="n"/>
      <c r="L324" s="12" t="n"/>
      <c r="M324" s="12" t="n"/>
      <c r="N324" s="11" t="n"/>
      <c r="O324" s="11" t="n"/>
      <c r="P324" s="14">
        <f>IF(AND(M324&lt;&gt;"",O324=""),"保留中","")</f>
        <v/>
      </c>
      <c r="Q324" s="14">
        <f>IF(P324="保留中",COUNTIF(P$6:P324,"保留中"),"")</f>
        <v/>
      </c>
    </row>
    <row r="325">
      <c r="A325" s="12" t="n"/>
      <c r="B325">
        <f>IF($A325="","",IFERROR(IF(LOOKUP(2,1/(人給データ!$B$2:$B$700=$A325),人給データ!$C$2:$C$700)=0,"",LOOKUP(2,1/(人給データ!$B$2:$B$700=$A325),人給データ!$C$2:$C$700)),""))</f>
        <v/>
      </c>
      <c r="C325">
        <f>IF($A325="","",IFERROR(IF(LOOKUP(2,1/(人給データ!$B$2:$B$700=$A325),人給データ!$G$2:$G$700)=0,"",LOOKUP(2,1/(人給データ!$B$2:$B$700=$A325),人給データ!$G$2:$G$700)),""))</f>
        <v/>
      </c>
      <c r="D325">
        <f>IF($A325="","",IFERROR(IF(LOOKUP(2,1/(人給データ!$B$2:$B$700=$A325),人給データ!$Y$2:$Y$700)=0,"",LOOKUP(2,1/(人給データ!$B$2:$B$700=$A325),人給データ!$Y$2:$Y$700)),""))</f>
        <v/>
      </c>
      <c r="E325" s="20">
        <f>IF($A325="","",IFERROR(IF(LOOKUP(2,1/(人給データ!$B$2:$B$700=$A325),人給データ!$AB$2:$AB$700)=0,"",LOOKUP(2,1/(人給データ!$B$2:$B$700=$A325),人給データ!$AB$2:$AB$700)),""))</f>
        <v/>
      </c>
      <c r="F325" s="16">
        <f>IF(OR(E325="",NOT(ISNUMBER(E325))),"",DATE(YEAR(E325)+2,MONTH(E325),DAY(E325)-2))</f>
        <v/>
      </c>
      <c r="G325" s="20">
        <f>IF($A325="","",IFERROR(IF(LOOKUP(2,1/(人給データ!$B$2:$B$700=$A325),人給データ!$J$2:$J$700)=0,"",LOOKUP(2,1/(人給データ!$B$2:$B$700=$A325),人給データ!$J$2:$J$700)),""))</f>
        <v/>
      </c>
      <c r="H325" s="20">
        <f>IF($A325="","",IFERROR(IF(LOOKUP(2,1/(人給データ!$B$2:$B$700=$A325),人給データ!$K$2:$K$700)=0,"",LOOKUP(2,1/(人給データ!$B$2:$B$700=$A325),人給データ!$K$2:$K$700)),""))</f>
        <v/>
      </c>
      <c r="I325" s="12" t="n"/>
      <c r="J325">
        <f>IF($A325="","",IFERROR(IF(LOOKUP(2,1/(人給データ!$B$2:$B$700=$A325),人給データ!$N$2:$N$700)=0,"",LOOKUP(2,1/(人給データ!$B$2:$B$700=$A325),人給データ!$N$2:$N$700)),""))</f>
        <v/>
      </c>
      <c r="K325" s="13" t="n"/>
      <c r="L325" s="12" t="n"/>
      <c r="M325" s="12" t="n"/>
      <c r="N325" s="11" t="n"/>
      <c r="O325" s="11" t="n"/>
      <c r="P325" s="14">
        <f>IF(AND(M325&lt;&gt;"",O325=""),"保留中","")</f>
        <v/>
      </c>
      <c r="Q325" s="14">
        <f>IF(P325="保留中",COUNTIF(P$6:P325,"保留中"),"")</f>
        <v/>
      </c>
    </row>
    <row r="326">
      <c r="A326" s="12" t="n"/>
      <c r="B326">
        <f>IF($A326="","",IFERROR(IF(LOOKUP(2,1/(人給データ!$B$2:$B$700=$A326),人給データ!$C$2:$C$700)=0,"",LOOKUP(2,1/(人給データ!$B$2:$B$700=$A326),人給データ!$C$2:$C$700)),""))</f>
        <v/>
      </c>
      <c r="C326">
        <f>IF($A326="","",IFERROR(IF(LOOKUP(2,1/(人給データ!$B$2:$B$700=$A326),人給データ!$G$2:$G$700)=0,"",LOOKUP(2,1/(人給データ!$B$2:$B$700=$A326),人給データ!$G$2:$G$700)),""))</f>
        <v/>
      </c>
      <c r="D326">
        <f>IF($A326="","",IFERROR(IF(LOOKUP(2,1/(人給データ!$B$2:$B$700=$A326),人給データ!$Y$2:$Y$700)=0,"",LOOKUP(2,1/(人給データ!$B$2:$B$700=$A326),人給データ!$Y$2:$Y$700)),""))</f>
        <v/>
      </c>
      <c r="E326" s="20">
        <f>IF($A326="","",IFERROR(IF(LOOKUP(2,1/(人給データ!$B$2:$B$700=$A326),人給データ!$AB$2:$AB$700)=0,"",LOOKUP(2,1/(人給データ!$B$2:$B$700=$A326),人給データ!$AB$2:$AB$700)),""))</f>
        <v/>
      </c>
      <c r="F326" s="16">
        <f>IF(OR(E326="",NOT(ISNUMBER(E326))),"",DATE(YEAR(E326)+2,MONTH(E326),DAY(E326)-2))</f>
        <v/>
      </c>
      <c r="G326" s="20">
        <f>IF($A326="","",IFERROR(IF(LOOKUP(2,1/(人給データ!$B$2:$B$700=$A326),人給データ!$J$2:$J$700)=0,"",LOOKUP(2,1/(人給データ!$B$2:$B$700=$A326),人給データ!$J$2:$J$700)),""))</f>
        <v/>
      </c>
      <c r="H326" s="20">
        <f>IF($A326="","",IFERROR(IF(LOOKUP(2,1/(人給データ!$B$2:$B$700=$A326),人給データ!$K$2:$K$700)=0,"",LOOKUP(2,1/(人給データ!$B$2:$B$700=$A326),人給データ!$K$2:$K$700)),""))</f>
        <v/>
      </c>
      <c r="I326" s="12" t="n"/>
      <c r="J326">
        <f>IF($A326="","",IFERROR(IF(LOOKUP(2,1/(人給データ!$B$2:$B$700=$A326),人給データ!$N$2:$N$700)=0,"",LOOKUP(2,1/(人給データ!$B$2:$B$700=$A326),人給データ!$N$2:$N$700)),""))</f>
        <v/>
      </c>
      <c r="K326" s="13" t="n"/>
      <c r="L326" s="12" t="n"/>
      <c r="M326" s="12" t="n"/>
      <c r="N326" s="11" t="n"/>
      <c r="O326" s="11" t="n"/>
      <c r="P326" s="14">
        <f>IF(AND(M326&lt;&gt;"",O326=""),"保留中","")</f>
        <v/>
      </c>
      <c r="Q326" s="14">
        <f>IF(P326="保留中",COUNTIF(P$6:P326,"保留中"),"")</f>
        <v/>
      </c>
    </row>
    <row r="327">
      <c r="A327" s="12" t="n"/>
      <c r="B327">
        <f>IF($A327="","",IFERROR(IF(LOOKUP(2,1/(人給データ!$B$2:$B$700=$A327),人給データ!$C$2:$C$700)=0,"",LOOKUP(2,1/(人給データ!$B$2:$B$700=$A327),人給データ!$C$2:$C$700)),""))</f>
        <v/>
      </c>
      <c r="C327">
        <f>IF($A327="","",IFERROR(IF(LOOKUP(2,1/(人給データ!$B$2:$B$700=$A327),人給データ!$G$2:$G$700)=0,"",LOOKUP(2,1/(人給データ!$B$2:$B$700=$A327),人給データ!$G$2:$G$700)),""))</f>
        <v/>
      </c>
      <c r="D327">
        <f>IF($A327="","",IFERROR(IF(LOOKUP(2,1/(人給データ!$B$2:$B$700=$A327),人給データ!$Y$2:$Y$700)=0,"",LOOKUP(2,1/(人給データ!$B$2:$B$700=$A327),人給データ!$Y$2:$Y$700)),""))</f>
        <v/>
      </c>
      <c r="E327" s="20">
        <f>IF($A327="","",IFERROR(IF(LOOKUP(2,1/(人給データ!$B$2:$B$700=$A327),人給データ!$AB$2:$AB$700)=0,"",LOOKUP(2,1/(人給データ!$B$2:$B$700=$A327),人給データ!$AB$2:$AB$700)),""))</f>
        <v/>
      </c>
      <c r="F327" s="16">
        <f>IF(OR(E327="",NOT(ISNUMBER(E327))),"",DATE(YEAR(E327)+2,MONTH(E327),DAY(E327)-2))</f>
        <v/>
      </c>
      <c r="G327" s="20">
        <f>IF($A327="","",IFERROR(IF(LOOKUP(2,1/(人給データ!$B$2:$B$700=$A327),人給データ!$J$2:$J$700)=0,"",LOOKUP(2,1/(人給データ!$B$2:$B$700=$A327),人給データ!$J$2:$J$700)),""))</f>
        <v/>
      </c>
      <c r="H327" s="20">
        <f>IF($A327="","",IFERROR(IF(LOOKUP(2,1/(人給データ!$B$2:$B$700=$A327),人給データ!$K$2:$K$700)=0,"",LOOKUP(2,1/(人給データ!$B$2:$B$700=$A327),人給データ!$K$2:$K$700)),""))</f>
        <v/>
      </c>
      <c r="I327" s="12" t="n"/>
      <c r="J327">
        <f>IF($A327="","",IFERROR(IF(LOOKUP(2,1/(人給データ!$B$2:$B$700=$A327),人給データ!$N$2:$N$700)=0,"",LOOKUP(2,1/(人給データ!$B$2:$B$700=$A327),人給データ!$N$2:$N$700)),""))</f>
        <v/>
      </c>
      <c r="K327" s="13" t="n"/>
      <c r="L327" s="12" t="n"/>
      <c r="M327" s="12" t="n"/>
      <c r="N327" s="11" t="n"/>
      <c r="O327" s="11" t="n"/>
      <c r="P327" s="14">
        <f>IF(AND(M327&lt;&gt;"",O327=""),"保留中","")</f>
        <v/>
      </c>
      <c r="Q327" s="14">
        <f>IF(P327="保留中",COUNTIF(P$6:P327,"保留中"),"")</f>
        <v/>
      </c>
    </row>
    <row r="328">
      <c r="A328" s="12" t="n"/>
      <c r="B328">
        <f>IF($A328="","",IFERROR(IF(LOOKUP(2,1/(人給データ!$B$2:$B$700=$A328),人給データ!$C$2:$C$700)=0,"",LOOKUP(2,1/(人給データ!$B$2:$B$700=$A328),人給データ!$C$2:$C$700)),""))</f>
        <v/>
      </c>
      <c r="C328">
        <f>IF($A328="","",IFERROR(IF(LOOKUP(2,1/(人給データ!$B$2:$B$700=$A328),人給データ!$G$2:$G$700)=0,"",LOOKUP(2,1/(人給データ!$B$2:$B$700=$A328),人給データ!$G$2:$G$700)),""))</f>
        <v/>
      </c>
      <c r="D328">
        <f>IF($A328="","",IFERROR(IF(LOOKUP(2,1/(人給データ!$B$2:$B$700=$A328),人給データ!$Y$2:$Y$700)=0,"",LOOKUP(2,1/(人給データ!$B$2:$B$700=$A328),人給データ!$Y$2:$Y$700)),""))</f>
        <v/>
      </c>
      <c r="E328" s="20">
        <f>IF($A328="","",IFERROR(IF(LOOKUP(2,1/(人給データ!$B$2:$B$700=$A328),人給データ!$AB$2:$AB$700)=0,"",LOOKUP(2,1/(人給データ!$B$2:$B$700=$A328),人給データ!$AB$2:$AB$700)),""))</f>
        <v/>
      </c>
      <c r="F328" s="16">
        <f>IF(OR(E328="",NOT(ISNUMBER(E328))),"",DATE(YEAR(E328)+2,MONTH(E328),DAY(E328)-2))</f>
        <v/>
      </c>
      <c r="G328" s="20">
        <f>IF($A328="","",IFERROR(IF(LOOKUP(2,1/(人給データ!$B$2:$B$700=$A328),人給データ!$J$2:$J$700)=0,"",LOOKUP(2,1/(人給データ!$B$2:$B$700=$A328),人給データ!$J$2:$J$700)),""))</f>
        <v/>
      </c>
      <c r="H328" s="20">
        <f>IF($A328="","",IFERROR(IF(LOOKUP(2,1/(人給データ!$B$2:$B$700=$A328),人給データ!$K$2:$K$700)=0,"",LOOKUP(2,1/(人給データ!$B$2:$B$700=$A328),人給データ!$K$2:$K$700)),""))</f>
        <v/>
      </c>
      <c r="I328" s="12" t="n"/>
      <c r="J328">
        <f>IF($A328="","",IFERROR(IF(LOOKUP(2,1/(人給データ!$B$2:$B$700=$A328),人給データ!$N$2:$N$700)=0,"",LOOKUP(2,1/(人給データ!$B$2:$B$700=$A328),人給データ!$N$2:$N$700)),""))</f>
        <v/>
      </c>
      <c r="K328" s="13" t="n"/>
      <c r="L328" s="12" t="n"/>
      <c r="M328" s="12" t="n"/>
      <c r="N328" s="11" t="n"/>
      <c r="O328" s="11" t="n"/>
      <c r="P328" s="14">
        <f>IF(AND(M328&lt;&gt;"",O328=""),"保留中","")</f>
        <v/>
      </c>
      <c r="Q328" s="14">
        <f>IF(P328="保留中",COUNTIF(P$6:P328,"保留中"),"")</f>
        <v/>
      </c>
    </row>
    <row r="329">
      <c r="A329" s="12" t="n"/>
      <c r="B329">
        <f>IF($A329="","",IFERROR(IF(LOOKUP(2,1/(人給データ!$B$2:$B$700=$A329),人給データ!$C$2:$C$700)=0,"",LOOKUP(2,1/(人給データ!$B$2:$B$700=$A329),人給データ!$C$2:$C$700)),""))</f>
        <v/>
      </c>
      <c r="C329">
        <f>IF($A329="","",IFERROR(IF(LOOKUP(2,1/(人給データ!$B$2:$B$700=$A329),人給データ!$G$2:$G$700)=0,"",LOOKUP(2,1/(人給データ!$B$2:$B$700=$A329),人給データ!$G$2:$G$700)),""))</f>
        <v/>
      </c>
      <c r="D329">
        <f>IF($A329="","",IFERROR(IF(LOOKUP(2,1/(人給データ!$B$2:$B$700=$A329),人給データ!$Y$2:$Y$700)=0,"",LOOKUP(2,1/(人給データ!$B$2:$B$700=$A329),人給データ!$Y$2:$Y$700)),""))</f>
        <v/>
      </c>
      <c r="E329" s="20">
        <f>IF($A329="","",IFERROR(IF(LOOKUP(2,1/(人給データ!$B$2:$B$700=$A329),人給データ!$AB$2:$AB$700)=0,"",LOOKUP(2,1/(人給データ!$B$2:$B$700=$A329),人給データ!$AB$2:$AB$700)),""))</f>
        <v/>
      </c>
      <c r="F329" s="16">
        <f>IF(OR(E329="",NOT(ISNUMBER(E329))),"",DATE(YEAR(E329)+2,MONTH(E329),DAY(E329)-2))</f>
        <v/>
      </c>
      <c r="G329" s="20">
        <f>IF($A329="","",IFERROR(IF(LOOKUP(2,1/(人給データ!$B$2:$B$700=$A329),人給データ!$J$2:$J$700)=0,"",LOOKUP(2,1/(人給データ!$B$2:$B$700=$A329),人給データ!$J$2:$J$700)),""))</f>
        <v/>
      </c>
      <c r="H329" s="20">
        <f>IF($A329="","",IFERROR(IF(LOOKUP(2,1/(人給データ!$B$2:$B$700=$A329),人給データ!$K$2:$K$700)=0,"",LOOKUP(2,1/(人給データ!$B$2:$B$700=$A329),人給データ!$K$2:$K$700)),""))</f>
        <v/>
      </c>
      <c r="I329" s="12" t="n"/>
      <c r="J329">
        <f>IF($A329="","",IFERROR(IF(LOOKUP(2,1/(人給データ!$B$2:$B$700=$A329),人給データ!$N$2:$N$700)=0,"",LOOKUP(2,1/(人給データ!$B$2:$B$700=$A329),人給データ!$N$2:$N$700)),""))</f>
        <v/>
      </c>
      <c r="K329" s="13" t="n"/>
      <c r="L329" s="12" t="n"/>
      <c r="M329" s="12" t="n"/>
      <c r="N329" s="11" t="n"/>
      <c r="O329" s="11" t="n"/>
      <c r="P329" s="14">
        <f>IF(AND(M329&lt;&gt;"",O329=""),"保留中","")</f>
        <v/>
      </c>
      <c r="Q329" s="14">
        <f>IF(P329="保留中",COUNTIF(P$6:P329,"保留中"),"")</f>
        <v/>
      </c>
    </row>
    <row r="330">
      <c r="A330" s="12" t="n"/>
      <c r="B330">
        <f>IF($A330="","",IFERROR(IF(LOOKUP(2,1/(人給データ!$B$2:$B$700=$A330),人給データ!$C$2:$C$700)=0,"",LOOKUP(2,1/(人給データ!$B$2:$B$700=$A330),人給データ!$C$2:$C$700)),""))</f>
        <v/>
      </c>
      <c r="C330">
        <f>IF($A330="","",IFERROR(IF(LOOKUP(2,1/(人給データ!$B$2:$B$700=$A330),人給データ!$G$2:$G$700)=0,"",LOOKUP(2,1/(人給データ!$B$2:$B$700=$A330),人給データ!$G$2:$G$700)),""))</f>
        <v/>
      </c>
      <c r="D330">
        <f>IF($A330="","",IFERROR(IF(LOOKUP(2,1/(人給データ!$B$2:$B$700=$A330),人給データ!$Y$2:$Y$700)=0,"",LOOKUP(2,1/(人給データ!$B$2:$B$700=$A330),人給データ!$Y$2:$Y$700)),""))</f>
        <v/>
      </c>
      <c r="E330" s="20">
        <f>IF($A330="","",IFERROR(IF(LOOKUP(2,1/(人給データ!$B$2:$B$700=$A330),人給データ!$AB$2:$AB$700)=0,"",LOOKUP(2,1/(人給データ!$B$2:$B$700=$A330),人給データ!$AB$2:$AB$700)),""))</f>
        <v/>
      </c>
      <c r="F330" s="16">
        <f>IF(OR(E330="",NOT(ISNUMBER(E330))),"",DATE(YEAR(E330)+2,MONTH(E330),DAY(E330)-2))</f>
        <v/>
      </c>
      <c r="G330" s="20">
        <f>IF($A330="","",IFERROR(IF(LOOKUP(2,1/(人給データ!$B$2:$B$700=$A330),人給データ!$J$2:$J$700)=0,"",LOOKUP(2,1/(人給データ!$B$2:$B$700=$A330),人給データ!$J$2:$J$700)),""))</f>
        <v/>
      </c>
      <c r="H330" s="20">
        <f>IF($A330="","",IFERROR(IF(LOOKUP(2,1/(人給データ!$B$2:$B$700=$A330),人給データ!$K$2:$K$700)=0,"",LOOKUP(2,1/(人給データ!$B$2:$B$700=$A330),人給データ!$K$2:$K$700)),""))</f>
        <v/>
      </c>
      <c r="I330" s="12" t="n"/>
      <c r="J330">
        <f>IF($A330="","",IFERROR(IF(LOOKUP(2,1/(人給データ!$B$2:$B$700=$A330),人給データ!$N$2:$N$700)=0,"",LOOKUP(2,1/(人給データ!$B$2:$B$700=$A330),人給データ!$N$2:$N$700)),""))</f>
        <v/>
      </c>
      <c r="K330" s="13" t="n"/>
      <c r="L330" s="12" t="n"/>
      <c r="M330" s="12" t="n"/>
      <c r="N330" s="11" t="n"/>
      <c r="O330" s="11" t="n"/>
      <c r="P330" s="14">
        <f>IF(AND(M330&lt;&gt;"",O330=""),"保留中","")</f>
        <v/>
      </c>
      <c r="Q330" s="14">
        <f>IF(P330="保留中",COUNTIF(P$6:P330,"保留中"),"")</f>
        <v/>
      </c>
    </row>
    <row r="331">
      <c r="A331" s="12" t="n"/>
      <c r="B331">
        <f>IF($A331="","",IFERROR(IF(LOOKUP(2,1/(人給データ!$B$2:$B$700=$A331),人給データ!$C$2:$C$700)=0,"",LOOKUP(2,1/(人給データ!$B$2:$B$700=$A331),人給データ!$C$2:$C$700)),""))</f>
        <v/>
      </c>
      <c r="C331">
        <f>IF($A331="","",IFERROR(IF(LOOKUP(2,1/(人給データ!$B$2:$B$700=$A331),人給データ!$G$2:$G$700)=0,"",LOOKUP(2,1/(人給データ!$B$2:$B$700=$A331),人給データ!$G$2:$G$700)),""))</f>
        <v/>
      </c>
      <c r="D331">
        <f>IF($A331="","",IFERROR(IF(LOOKUP(2,1/(人給データ!$B$2:$B$700=$A331),人給データ!$Y$2:$Y$700)=0,"",LOOKUP(2,1/(人給データ!$B$2:$B$700=$A331),人給データ!$Y$2:$Y$700)),""))</f>
        <v/>
      </c>
      <c r="E331" s="20">
        <f>IF($A331="","",IFERROR(IF(LOOKUP(2,1/(人給データ!$B$2:$B$700=$A331),人給データ!$AB$2:$AB$700)=0,"",LOOKUP(2,1/(人給データ!$B$2:$B$700=$A331),人給データ!$AB$2:$AB$700)),""))</f>
        <v/>
      </c>
      <c r="F331" s="16">
        <f>IF(OR(E331="",NOT(ISNUMBER(E331))),"",DATE(YEAR(E331)+2,MONTH(E331),DAY(E331)-2))</f>
        <v/>
      </c>
      <c r="G331" s="20">
        <f>IF($A331="","",IFERROR(IF(LOOKUP(2,1/(人給データ!$B$2:$B$700=$A331),人給データ!$J$2:$J$700)=0,"",LOOKUP(2,1/(人給データ!$B$2:$B$700=$A331),人給データ!$J$2:$J$700)),""))</f>
        <v/>
      </c>
      <c r="H331" s="20">
        <f>IF($A331="","",IFERROR(IF(LOOKUP(2,1/(人給データ!$B$2:$B$700=$A331),人給データ!$K$2:$K$700)=0,"",LOOKUP(2,1/(人給データ!$B$2:$B$700=$A331),人給データ!$K$2:$K$700)),""))</f>
        <v/>
      </c>
      <c r="I331" s="12" t="n"/>
      <c r="J331">
        <f>IF($A331="","",IFERROR(IF(LOOKUP(2,1/(人給データ!$B$2:$B$700=$A331),人給データ!$N$2:$N$700)=0,"",LOOKUP(2,1/(人給データ!$B$2:$B$700=$A331),人給データ!$N$2:$N$700)),""))</f>
        <v/>
      </c>
      <c r="K331" s="13" t="n"/>
      <c r="L331" s="12" t="n"/>
      <c r="M331" s="12" t="n"/>
      <c r="N331" s="11" t="n"/>
      <c r="O331" s="11" t="n"/>
      <c r="P331" s="14">
        <f>IF(AND(M331&lt;&gt;"",O331=""),"保留中","")</f>
        <v/>
      </c>
      <c r="Q331" s="14">
        <f>IF(P331="保留中",COUNTIF(P$6:P331,"保留中"),"")</f>
        <v/>
      </c>
    </row>
    <row r="332">
      <c r="A332" s="12" t="n"/>
      <c r="B332">
        <f>IF($A332="","",IFERROR(IF(LOOKUP(2,1/(人給データ!$B$2:$B$700=$A332),人給データ!$C$2:$C$700)=0,"",LOOKUP(2,1/(人給データ!$B$2:$B$700=$A332),人給データ!$C$2:$C$700)),""))</f>
        <v/>
      </c>
      <c r="C332">
        <f>IF($A332="","",IFERROR(IF(LOOKUP(2,1/(人給データ!$B$2:$B$700=$A332),人給データ!$G$2:$G$700)=0,"",LOOKUP(2,1/(人給データ!$B$2:$B$700=$A332),人給データ!$G$2:$G$700)),""))</f>
        <v/>
      </c>
      <c r="D332">
        <f>IF($A332="","",IFERROR(IF(LOOKUP(2,1/(人給データ!$B$2:$B$700=$A332),人給データ!$Y$2:$Y$700)=0,"",LOOKUP(2,1/(人給データ!$B$2:$B$700=$A332),人給データ!$Y$2:$Y$700)),""))</f>
        <v/>
      </c>
      <c r="E332" s="20">
        <f>IF($A332="","",IFERROR(IF(LOOKUP(2,1/(人給データ!$B$2:$B$700=$A332),人給データ!$AB$2:$AB$700)=0,"",LOOKUP(2,1/(人給データ!$B$2:$B$700=$A332),人給データ!$AB$2:$AB$700)),""))</f>
        <v/>
      </c>
      <c r="F332" s="16">
        <f>IF(OR(E332="",NOT(ISNUMBER(E332))),"",DATE(YEAR(E332)+2,MONTH(E332),DAY(E332)-2))</f>
        <v/>
      </c>
      <c r="G332" s="20">
        <f>IF($A332="","",IFERROR(IF(LOOKUP(2,1/(人給データ!$B$2:$B$700=$A332),人給データ!$J$2:$J$700)=0,"",LOOKUP(2,1/(人給データ!$B$2:$B$700=$A332),人給データ!$J$2:$J$700)),""))</f>
        <v/>
      </c>
      <c r="H332" s="20">
        <f>IF($A332="","",IFERROR(IF(LOOKUP(2,1/(人給データ!$B$2:$B$700=$A332),人給データ!$K$2:$K$700)=0,"",LOOKUP(2,1/(人給データ!$B$2:$B$700=$A332),人給データ!$K$2:$K$700)),""))</f>
        <v/>
      </c>
      <c r="I332" s="12" t="n"/>
      <c r="J332">
        <f>IF($A332="","",IFERROR(IF(LOOKUP(2,1/(人給データ!$B$2:$B$700=$A332),人給データ!$N$2:$N$700)=0,"",LOOKUP(2,1/(人給データ!$B$2:$B$700=$A332),人給データ!$N$2:$N$700)),""))</f>
        <v/>
      </c>
      <c r="K332" s="13" t="n"/>
      <c r="L332" s="12" t="n"/>
      <c r="M332" s="12" t="n"/>
      <c r="N332" s="11" t="n"/>
      <c r="O332" s="11" t="n"/>
      <c r="P332" s="14">
        <f>IF(AND(M332&lt;&gt;"",O332=""),"保留中","")</f>
        <v/>
      </c>
      <c r="Q332" s="14">
        <f>IF(P332="保留中",COUNTIF(P$6:P332,"保留中"),"")</f>
        <v/>
      </c>
    </row>
    <row r="333">
      <c r="A333" s="12" t="n"/>
      <c r="B333">
        <f>IF($A333="","",IFERROR(IF(LOOKUP(2,1/(人給データ!$B$2:$B$700=$A333),人給データ!$C$2:$C$700)=0,"",LOOKUP(2,1/(人給データ!$B$2:$B$700=$A333),人給データ!$C$2:$C$700)),""))</f>
        <v/>
      </c>
      <c r="C333">
        <f>IF($A333="","",IFERROR(IF(LOOKUP(2,1/(人給データ!$B$2:$B$700=$A333),人給データ!$G$2:$G$700)=0,"",LOOKUP(2,1/(人給データ!$B$2:$B$700=$A333),人給データ!$G$2:$G$700)),""))</f>
        <v/>
      </c>
      <c r="D333">
        <f>IF($A333="","",IFERROR(IF(LOOKUP(2,1/(人給データ!$B$2:$B$700=$A333),人給データ!$Y$2:$Y$700)=0,"",LOOKUP(2,1/(人給データ!$B$2:$B$700=$A333),人給データ!$Y$2:$Y$700)),""))</f>
        <v/>
      </c>
      <c r="E333" s="20">
        <f>IF($A333="","",IFERROR(IF(LOOKUP(2,1/(人給データ!$B$2:$B$700=$A333),人給データ!$AB$2:$AB$700)=0,"",LOOKUP(2,1/(人給データ!$B$2:$B$700=$A333),人給データ!$AB$2:$AB$700)),""))</f>
        <v/>
      </c>
      <c r="F333" s="16">
        <f>IF(OR(E333="",NOT(ISNUMBER(E333))),"",DATE(YEAR(E333)+2,MONTH(E333),DAY(E333)-2))</f>
        <v/>
      </c>
      <c r="G333" s="20">
        <f>IF($A333="","",IFERROR(IF(LOOKUP(2,1/(人給データ!$B$2:$B$700=$A333),人給データ!$J$2:$J$700)=0,"",LOOKUP(2,1/(人給データ!$B$2:$B$700=$A333),人給データ!$J$2:$J$700)),""))</f>
        <v/>
      </c>
      <c r="H333" s="20">
        <f>IF($A333="","",IFERROR(IF(LOOKUP(2,1/(人給データ!$B$2:$B$700=$A333),人給データ!$K$2:$K$700)=0,"",LOOKUP(2,1/(人給データ!$B$2:$B$700=$A333),人給データ!$K$2:$K$700)),""))</f>
        <v/>
      </c>
      <c r="I333" s="12" t="n"/>
      <c r="J333">
        <f>IF($A333="","",IFERROR(IF(LOOKUP(2,1/(人給データ!$B$2:$B$700=$A333),人給データ!$N$2:$N$700)=0,"",LOOKUP(2,1/(人給データ!$B$2:$B$700=$A333),人給データ!$N$2:$N$700)),""))</f>
        <v/>
      </c>
      <c r="K333" s="13" t="n"/>
      <c r="L333" s="12" t="n"/>
      <c r="M333" s="12" t="n"/>
      <c r="N333" s="11" t="n"/>
      <c r="O333" s="11" t="n"/>
      <c r="P333" s="14">
        <f>IF(AND(M333&lt;&gt;"",O333=""),"保留中","")</f>
        <v/>
      </c>
      <c r="Q333" s="14">
        <f>IF(P333="保留中",COUNTIF(P$6:P333,"保留中"),"")</f>
        <v/>
      </c>
    </row>
    <row r="334">
      <c r="A334" s="12" t="n"/>
      <c r="B334">
        <f>IF($A334="","",IFERROR(IF(LOOKUP(2,1/(人給データ!$B$2:$B$700=$A334),人給データ!$C$2:$C$700)=0,"",LOOKUP(2,1/(人給データ!$B$2:$B$700=$A334),人給データ!$C$2:$C$700)),""))</f>
        <v/>
      </c>
      <c r="C334">
        <f>IF($A334="","",IFERROR(IF(LOOKUP(2,1/(人給データ!$B$2:$B$700=$A334),人給データ!$G$2:$G$700)=0,"",LOOKUP(2,1/(人給データ!$B$2:$B$700=$A334),人給データ!$G$2:$G$700)),""))</f>
        <v/>
      </c>
      <c r="D334">
        <f>IF($A334="","",IFERROR(IF(LOOKUP(2,1/(人給データ!$B$2:$B$700=$A334),人給データ!$Y$2:$Y$700)=0,"",LOOKUP(2,1/(人給データ!$B$2:$B$700=$A334),人給データ!$Y$2:$Y$700)),""))</f>
        <v/>
      </c>
      <c r="E334" s="20">
        <f>IF($A334="","",IFERROR(IF(LOOKUP(2,1/(人給データ!$B$2:$B$700=$A334),人給データ!$AB$2:$AB$700)=0,"",LOOKUP(2,1/(人給データ!$B$2:$B$700=$A334),人給データ!$AB$2:$AB$700)),""))</f>
        <v/>
      </c>
      <c r="F334" s="16">
        <f>IF(OR(E334="",NOT(ISNUMBER(E334))),"",DATE(YEAR(E334)+2,MONTH(E334),DAY(E334)-2))</f>
        <v/>
      </c>
      <c r="G334" s="20">
        <f>IF($A334="","",IFERROR(IF(LOOKUP(2,1/(人給データ!$B$2:$B$700=$A334),人給データ!$J$2:$J$700)=0,"",LOOKUP(2,1/(人給データ!$B$2:$B$700=$A334),人給データ!$J$2:$J$700)),""))</f>
        <v/>
      </c>
      <c r="H334" s="20">
        <f>IF($A334="","",IFERROR(IF(LOOKUP(2,1/(人給データ!$B$2:$B$700=$A334),人給データ!$K$2:$K$700)=0,"",LOOKUP(2,1/(人給データ!$B$2:$B$700=$A334),人給データ!$K$2:$K$700)),""))</f>
        <v/>
      </c>
      <c r="I334" s="12" t="n"/>
      <c r="J334">
        <f>IF($A334="","",IFERROR(IF(LOOKUP(2,1/(人給データ!$B$2:$B$700=$A334),人給データ!$N$2:$N$700)=0,"",LOOKUP(2,1/(人給データ!$B$2:$B$700=$A334),人給データ!$N$2:$N$700)),""))</f>
        <v/>
      </c>
      <c r="K334" s="13" t="n"/>
      <c r="L334" s="12" t="n"/>
      <c r="M334" s="12" t="n"/>
      <c r="N334" s="11" t="n"/>
      <c r="O334" s="11" t="n"/>
      <c r="P334" s="14">
        <f>IF(AND(M334&lt;&gt;"",O334=""),"保留中","")</f>
        <v/>
      </c>
      <c r="Q334" s="14">
        <f>IF(P334="保留中",COUNTIF(P$6:P334,"保留中"),"")</f>
        <v/>
      </c>
    </row>
    <row r="335">
      <c r="A335" s="12" t="n"/>
      <c r="B335">
        <f>IF($A335="","",IFERROR(IF(LOOKUP(2,1/(人給データ!$B$2:$B$700=$A335),人給データ!$C$2:$C$700)=0,"",LOOKUP(2,1/(人給データ!$B$2:$B$700=$A335),人給データ!$C$2:$C$700)),""))</f>
        <v/>
      </c>
      <c r="C335">
        <f>IF($A335="","",IFERROR(IF(LOOKUP(2,1/(人給データ!$B$2:$B$700=$A335),人給データ!$G$2:$G$700)=0,"",LOOKUP(2,1/(人給データ!$B$2:$B$700=$A335),人給データ!$G$2:$G$700)),""))</f>
        <v/>
      </c>
      <c r="D335">
        <f>IF($A335="","",IFERROR(IF(LOOKUP(2,1/(人給データ!$B$2:$B$700=$A335),人給データ!$Y$2:$Y$700)=0,"",LOOKUP(2,1/(人給データ!$B$2:$B$700=$A335),人給データ!$Y$2:$Y$700)),""))</f>
        <v/>
      </c>
      <c r="E335" s="20">
        <f>IF($A335="","",IFERROR(IF(LOOKUP(2,1/(人給データ!$B$2:$B$700=$A335),人給データ!$AB$2:$AB$700)=0,"",LOOKUP(2,1/(人給データ!$B$2:$B$700=$A335),人給データ!$AB$2:$AB$700)),""))</f>
        <v/>
      </c>
      <c r="F335" s="16">
        <f>IF(OR(E335="",NOT(ISNUMBER(E335))),"",DATE(YEAR(E335)+2,MONTH(E335),DAY(E335)-2))</f>
        <v/>
      </c>
      <c r="G335" s="20">
        <f>IF($A335="","",IFERROR(IF(LOOKUP(2,1/(人給データ!$B$2:$B$700=$A335),人給データ!$J$2:$J$700)=0,"",LOOKUP(2,1/(人給データ!$B$2:$B$700=$A335),人給データ!$J$2:$J$700)),""))</f>
        <v/>
      </c>
      <c r="H335" s="20">
        <f>IF($A335="","",IFERROR(IF(LOOKUP(2,1/(人給データ!$B$2:$B$700=$A335),人給データ!$K$2:$K$700)=0,"",LOOKUP(2,1/(人給データ!$B$2:$B$700=$A335),人給データ!$K$2:$K$700)),""))</f>
        <v/>
      </c>
      <c r="I335" s="12" t="n"/>
      <c r="J335">
        <f>IF($A335="","",IFERROR(IF(LOOKUP(2,1/(人給データ!$B$2:$B$700=$A335),人給データ!$N$2:$N$700)=0,"",LOOKUP(2,1/(人給データ!$B$2:$B$700=$A335),人給データ!$N$2:$N$700)),""))</f>
        <v/>
      </c>
      <c r="K335" s="13" t="n"/>
      <c r="L335" s="12" t="n"/>
      <c r="M335" s="12" t="n"/>
      <c r="N335" s="11" t="n"/>
      <c r="O335" s="11" t="n"/>
      <c r="P335" s="14">
        <f>IF(AND(M335&lt;&gt;"",O335=""),"保留中","")</f>
        <v/>
      </c>
      <c r="Q335" s="14">
        <f>IF(P335="保留中",COUNTIF(P$6:P335,"保留中"),"")</f>
        <v/>
      </c>
    </row>
    <row r="336">
      <c r="A336" s="12" t="n"/>
      <c r="B336">
        <f>IF($A336="","",IFERROR(IF(LOOKUP(2,1/(人給データ!$B$2:$B$700=$A336),人給データ!$C$2:$C$700)=0,"",LOOKUP(2,1/(人給データ!$B$2:$B$700=$A336),人給データ!$C$2:$C$700)),""))</f>
        <v/>
      </c>
      <c r="C336">
        <f>IF($A336="","",IFERROR(IF(LOOKUP(2,1/(人給データ!$B$2:$B$700=$A336),人給データ!$G$2:$G$700)=0,"",LOOKUP(2,1/(人給データ!$B$2:$B$700=$A336),人給データ!$G$2:$G$700)),""))</f>
        <v/>
      </c>
      <c r="D336">
        <f>IF($A336="","",IFERROR(IF(LOOKUP(2,1/(人給データ!$B$2:$B$700=$A336),人給データ!$Y$2:$Y$700)=0,"",LOOKUP(2,1/(人給データ!$B$2:$B$700=$A336),人給データ!$Y$2:$Y$700)),""))</f>
        <v/>
      </c>
      <c r="E336" s="20">
        <f>IF($A336="","",IFERROR(IF(LOOKUP(2,1/(人給データ!$B$2:$B$700=$A336),人給データ!$AB$2:$AB$700)=0,"",LOOKUP(2,1/(人給データ!$B$2:$B$700=$A336),人給データ!$AB$2:$AB$700)),""))</f>
        <v/>
      </c>
      <c r="F336" s="16">
        <f>IF(OR(E336="",NOT(ISNUMBER(E336))),"",DATE(YEAR(E336)+2,MONTH(E336),DAY(E336)-2))</f>
        <v/>
      </c>
      <c r="G336" s="20">
        <f>IF($A336="","",IFERROR(IF(LOOKUP(2,1/(人給データ!$B$2:$B$700=$A336),人給データ!$J$2:$J$700)=0,"",LOOKUP(2,1/(人給データ!$B$2:$B$700=$A336),人給データ!$J$2:$J$700)),""))</f>
        <v/>
      </c>
      <c r="H336" s="20">
        <f>IF($A336="","",IFERROR(IF(LOOKUP(2,1/(人給データ!$B$2:$B$700=$A336),人給データ!$K$2:$K$700)=0,"",LOOKUP(2,1/(人給データ!$B$2:$B$700=$A336),人給データ!$K$2:$K$700)),""))</f>
        <v/>
      </c>
      <c r="I336" s="12" t="n"/>
      <c r="J336">
        <f>IF($A336="","",IFERROR(IF(LOOKUP(2,1/(人給データ!$B$2:$B$700=$A336),人給データ!$N$2:$N$700)=0,"",LOOKUP(2,1/(人給データ!$B$2:$B$700=$A336),人給データ!$N$2:$N$700)),""))</f>
        <v/>
      </c>
      <c r="K336" s="13" t="n"/>
      <c r="L336" s="12" t="n"/>
      <c r="M336" s="12" t="n"/>
      <c r="N336" s="11" t="n"/>
      <c r="O336" s="11" t="n"/>
      <c r="P336" s="14">
        <f>IF(AND(M336&lt;&gt;"",O336=""),"保留中","")</f>
        <v/>
      </c>
      <c r="Q336" s="14">
        <f>IF(P336="保留中",COUNTIF(P$6:P336,"保留中"),"")</f>
        <v/>
      </c>
    </row>
    <row r="337">
      <c r="A337" s="12" t="n"/>
      <c r="B337">
        <f>IF($A337="","",IFERROR(IF(LOOKUP(2,1/(人給データ!$B$2:$B$700=$A337),人給データ!$C$2:$C$700)=0,"",LOOKUP(2,1/(人給データ!$B$2:$B$700=$A337),人給データ!$C$2:$C$700)),""))</f>
        <v/>
      </c>
      <c r="C337">
        <f>IF($A337="","",IFERROR(IF(LOOKUP(2,1/(人給データ!$B$2:$B$700=$A337),人給データ!$G$2:$G$700)=0,"",LOOKUP(2,1/(人給データ!$B$2:$B$700=$A337),人給データ!$G$2:$G$700)),""))</f>
        <v/>
      </c>
      <c r="D337">
        <f>IF($A337="","",IFERROR(IF(LOOKUP(2,1/(人給データ!$B$2:$B$700=$A337),人給データ!$Y$2:$Y$700)=0,"",LOOKUP(2,1/(人給データ!$B$2:$B$700=$A337),人給データ!$Y$2:$Y$700)),""))</f>
        <v/>
      </c>
      <c r="E337" s="20">
        <f>IF($A337="","",IFERROR(IF(LOOKUP(2,1/(人給データ!$B$2:$B$700=$A337),人給データ!$AB$2:$AB$700)=0,"",LOOKUP(2,1/(人給データ!$B$2:$B$700=$A337),人給データ!$AB$2:$AB$700)),""))</f>
        <v/>
      </c>
      <c r="F337" s="16">
        <f>IF(OR(E337="",NOT(ISNUMBER(E337))),"",DATE(YEAR(E337)+2,MONTH(E337),DAY(E337)-2))</f>
        <v/>
      </c>
      <c r="G337" s="20">
        <f>IF($A337="","",IFERROR(IF(LOOKUP(2,1/(人給データ!$B$2:$B$700=$A337),人給データ!$J$2:$J$700)=0,"",LOOKUP(2,1/(人給データ!$B$2:$B$700=$A337),人給データ!$J$2:$J$700)),""))</f>
        <v/>
      </c>
      <c r="H337" s="20">
        <f>IF($A337="","",IFERROR(IF(LOOKUP(2,1/(人給データ!$B$2:$B$700=$A337),人給データ!$K$2:$K$700)=0,"",LOOKUP(2,1/(人給データ!$B$2:$B$700=$A337),人給データ!$K$2:$K$700)),""))</f>
        <v/>
      </c>
      <c r="I337" s="12" t="n"/>
      <c r="J337">
        <f>IF($A337="","",IFERROR(IF(LOOKUP(2,1/(人給データ!$B$2:$B$700=$A337),人給データ!$N$2:$N$700)=0,"",LOOKUP(2,1/(人給データ!$B$2:$B$700=$A337),人給データ!$N$2:$N$700)),""))</f>
        <v/>
      </c>
      <c r="K337" s="13" t="n"/>
      <c r="L337" s="12" t="n"/>
      <c r="M337" s="12" t="n"/>
      <c r="N337" s="11" t="n"/>
      <c r="O337" s="11" t="n"/>
      <c r="P337" s="14">
        <f>IF(AND(M337&lt;&gt;"",O337=""),"保留中","")</f>
        <v/>
      </c>
      <c r="Q337" s="14">
        <f>IF(P337="保留中",COUNTIF(P$6:P337,"保留中"),"")</f>
        <v/>
      </c>
    </row>
    <row r="338">
      <c r="A338" s="12" t="n"/>
      <c r="B338">
        <f>IF($A338="","",IFERROR(IF(LOOKUP(2,1/(人給データ!$B$2:$B$700=$A338),人給データ!$C$2:$C$700)=0,"",LOOKUP(2,1/(人給データ!$B$2:$B$700=$A338),人給データ!$C$2:$C$700)),""))</f>
        <v/>
      </c>
      <c r="C338">
        <f>IF($A338="","",IFERROR(IF(LOOKUP(2,1/(人給データ!$B$2:$B$700=$A338),人給データ!$G$2:$G$700)=0,"",LOOKUP(2,1/(人給データ!$B$2:$B$700=$A338),人給データ!$G$2:$G$700)),""))</f>
        <v/>
      </c>
      <c r="D338">
        <f>IF($A338="","",IFERROR(IF(LOOKUP(2,1/(人給データ!$B$2:$B$700=$A338),人給データ!$Y$2:$Y$700)=0,"",LOOKUP(2,1/(人給データ!$B$2:$B$700=$A338),人給データ!$Y$2:$Y$700)),""))</f>
        <v/>
      </c>
      <c r="E338" s="20">
        <f>IF($A338="","",IFERROR(IF(LOOKUP(2,1/(人給データ!$B$2:$B$700=$A338),人給データ!$AB$2:$AB$700)=0,"",LOOKUP(2,1/(人給データ!$B$2:$B$700=$A338),人給データ!$AB$2:$AB$700)),""))</f>
        <v/>
      </c>
      <c r="F338" s="16">
        <f>IF(OR(E338="",NOT(ISNUMBER(E338))),"",DATE(YEAR(E338)+2,MONTH(E338),DAY(E338)-2))</f>
        <v/>
      </c>
      <c r="G338" s="20">
        <f>IF($A338="","",IFERROR(IF(LOOKUP(2,1/(人給データ!$B$2:$B$700=$A338),人給データ!$J$2:$J$700)=0,"",LOOKUP(2,1/(人給データ!$B$2:$B$700=$A338),人給データ!$J$2:$J$700)),""))</f>
        <v/>
      </c>
      <c r="H338" s="20">
        <f>IF($A338="","",IFERROR(IF(LOOKUP(2,1/(人給データ!$B$2:$B$700=$A338),人給データ!$K$2:$K$700)=0,"",LOOKUP(2,1/(人給データ!$B$2:$B$700=$A338),人給データ!$K$2:$K$700)),""))</f>
        <v/>
      </c>
      <c r="I338" s="12" t="n"/>
      <c r="J338">
        <f>IF($A338="","",IFERROR(IF(LOOKUP(2,1/(人給データ!$B$2:$B$700=$A338),人給データ!$N$2:$N$700)=0,"",LOOKUP(2,1/(人給データ!$B$2:$B$700=$A338),人給データ!$N$2:$N$700)),""))</f>
        <v/>
      </c>
      <c r="K338" s="13" t="n"/>
      <c r="L338" s="12" t="n"/>
      <c r="M338" s="12" t="n"/>
      <c r="N338" s="11" t="n"/>
      <c r="O338" s="11" t="n"/>
      <c r="P338" s="14">
        <f>IF(AND(M338&lt;&gt;"",O338=""),"保留中","")</f>
        <v/>
      </c>
      <c r="Q338" s="14">
        <f>IF(P338="保留中",COUNTIF(P$6:P338,"保留中"),"")</f>
        <v/>
      </c>
    </row>
    <row r="339">
      <c r="A339" s="12" t="n"/>
      <c r="B339">
        <f>IF($A339="","",IFERROR(IF(LOOKUP(2,1/(人給データ!$B$2:$B$700=$A339),人給データ!$C$2:$C$700)=0,"",LOOKUP(2,1/(人給データ!$B$2:$B$700=$A339),人給データ!$C$2:$C$700)),""))</f>
        <v/>
      </c>
      <c r="C339">
        <f>IF($A339="","",IFERROR(IF(LOOKUP(2,1/(人給データ!$B$2:$B$700=$A339),人給データ!$G$2:$G$700)=0,"",LOOKUP(2,1/(人給データ!$B$2:$B$700=$A339),人給データ!$G$2:$G$700)),""))</f>
        <v/>
      </c>
      <c r="D339">
        <f>IF($A339="","",IFERROR(IF(LOOKUP(2,1/(人給データ!$B$2:$B$700=$A339),人給データ!$Y$2:$Y$700)=0,"",LOOKUP(2,1/(人給データ!$B$2:$B$700=$A339),人給データ!$Y$2:$Y$700)),""))</f>
        <v/>
      </c>
      <c r="E339" s="20">
        <f>IF($A339="","",IFERROR(IF(LOOKUP(2,1/(人給データ!$B$2:$B$700=$A339),人給データ!$AB$2:$AB$700)=0,"",LOOKUP(2,1/(人給データ!$B$2:$B$700=$A339),人給データ!$AB$2:$AB$700)),""))</f>
        <v/>
      </c>
      <c r="F339" s="16">
        <f>IF(OR(E339="",NOT(ISNUMBER(E339))),"",DATE(YEAR(E339)+2,MONTH(E339),DAY(E339)-2))</f>
        <v/>
      </c>
      <c r="G339" s="20">
        <f>IF($A339="","",IFERROR(IF(LOOKUP(2,1/(人給データ!$B$2:$B$700=$A339),人給データ!$J$2:$J$700)=0,"",LOOKUP(2,1/(人給データ!$B$2:$B$700=$A339),人給データ!$J$2:$J$700)),""))</f>
        <v/>
      </c>
      <c r="H339" s="20">
        <f>IF($A339="","",IFERROR(IF(LOOKUP(2,1/(人給データ!$B$2:$B$700=$A339),人給データ!$K$2:$K$700)=0,"",LOOKUP(2,1/(人給データ!$B$2:$B$700=$A339),人給データ!$K$2:$K$700)),""))</f>
        <v/>
      </c>
      <c r="I339" s="12" t="n"/>
      <c r="J339">
        <f>IF($A339="","",IFERROR(IF(LOOKUP(2,1/(人給データ!$B$2:$B$700=$A339),人給データ!$N$2:$N$700)=0,"",LOOKUP(2,1/(人給データ!$B$2:$B$700=$A339),人給データ!$N$2:$N$700)),""))</f>
        <v/>
      </c>
      <c r="K339" s="13" t="n"/>
      <c r="L339" s="12" t="n"/>
      <c r="M339" s="12" t="n"/>
      <c r="N339" s="11" t="n"/>
      <c r="O339" s="11" t="n"/>
      <c r="P339" s="14">
        <f>IF(AND(M339&lt;&gt;"",O339=""),"保留中","")</f>
        <v/>
      </c>
      <c r="Q339" s="14">
        <f>IF(P339="保留中",COUNTIF(P$6:P339,"保留中"),"")</f>
        <v/>
      </c>
    </row>
    <row r="340">
      <c r="A340" s="12" t="n"/>
      <c r="B340">
        <f>IF($A340="","",IFERROR(IF(LOOKUP(2,1/(人給データ!$B$2:$B$700=$A340),人給データ!$C$2:$C$700)=0,"",LOOKUP(2,1/(人給データ!$B$2:$B$700=$A340),人給データ!$C$2:$C$700)),""))</f>
        <v/>
      </c>
      <c r="C340">
        <f>IF($A340="","",IFERROR(IF(LOOKUP(2,1/(人給データ!$B$2:$B$700=$A340),人給データ!$G$2:$G$700)=0,"",LOOKUP(2,1/(人給データ!$B$2:$B$700=$A340),人給データ!$G$2:$G$700)),""))</f>
        <v/>
      </c>
      <c r="D340">
        <f>IF($A340="","",IFERROR(IF(LOOKUP(2,1/(人給データ!$B$2:$B$700=$A340),人給データ!$Y$2:$Y$700)=0,"",LOOKUP(2,1/(人給データ!$B$2:$B$700=$A340),人給データ!$Y$2:$Y$700)),""))</f>
        <v/>
      </c>
      <c r="E340" s="20">
        <f>IF($A340="","",IFERROR(IF(LOOKUP(2,1/(人給データ!$B$2:$B$700=$A340),人給データ!$AB$2:$AB$700)=0,"",LOOKUP(2,1/(人給データ!$B$2:$B$700=$A340),人給データ!$AB$2:$AB$700)),""))</f>
        <v/>
      </c>
      <c r="F340" s="16">
        <f>IF(OR(E340="",NOT(ISNUMBER(E340))),"",DATE(YEAR(E340)+2,MONTH(E340),DAY(E340)-2))</f>
        <v/>
      </c>
      <c r="G340" s="20">
        <f>IF($A340="","",IFERROR(IF(LOOKUP(2,1/(人給データ!$B$2:$B$700=$A340),人給データ!$J$2:$J$700)=0,"",LOOKUP(2,1/(人給データ!$B$2:$B$700=$A340),人給データ!$J$2:$J$700)),""))</f>
        <v/>
      </c>
      <c r="H340" s="20">
        <f>IF($A340="","",IFERROR(IF(LOOKUP(2,1/(人給データ!$B$2:$B$700=$A340),人給データ!$K$2:$K$700)=0,"",LOOKUP(2,1/(人給データ!$B$2:$B$700=$A340),人給データ!$K$2:$K$700)),""))</f>
        <v/>
      </c>
      <c r="I340" s="12" t="n"/>
      <c r="J340">
        <f>IF($A340="","",IFERROR(IF(LOOKUP(2,1/(人給データ!$B$2:$B$700=$A340),人給データ!$N$2:$N$700)=0,"",LOOKUP(2,1/(人給データ!$B$2:$B$700=$A340),人給データ!$N$2:$N$700)),""))</f>
        <v/>
      </c>
      <c r="K340" s="13" t="n"/>
      <c r="L340" s="12" t="n"/>
      <c r="M340" s="12" t="n"/>
      <c r="N340" s="11" t="n"/>
      <c r="O340" s="11" t="n"/>
      <c r="P340" s="14">
        <f>IF(AND(M340&lt;&gt;"",O340=""),"保留中","")</f>
        <v/>
      </c>
      <c r="Q340" s="14">
        <f>IF(P340="保留中",COUNTIF(P$6:P340,"保留中"),"")</f>
        <v/>
      </c>
    </row>
    <row r="341">
      <c r="A341" s="12" t="n"/>
      <c r="B341">
        <f>IF($A341="","",IFERROR(IF(LOOKUP(2,1/(人給データ!$B$2:$B$700=$A341),人給データ!$C$2:$C$700)=0,"",LOOKUP(2,1/(人給データ!$B$2:$B$700=$A341),人給データ!$C$2:$C$700)),""))</f>
        <v/>
      </c>
      <c r="C341">
        <f>IF($A341="","",IFERROR(IF(LOOKUP(2,1/(人給データ!$B$2:$B$700=$A341),人給データ!$G$2:$G$700)=0,"",LOOKUP(2,1/(人給データ!$B$2:$B$700=$A341),人給データ!$G$2:$G$700)),""))</f>
        <v/>
      </c>
      <c r="D341">
        <f>IF($A341="","",IFERROR(IF(LOOKUP(2,1/(人給データ!$B$2:$B$700=$A341),人給データ!$Y$2:$Y$700)=0,"",LOOKUP(2,1/(人給データ!$B$2:$B$700=$A341),人給データ!$Y$2:$Y$700)),""))</f>
        <v/>
      </c>
      <c r="E341" s="20">
        <f>IF($A341="","",IFERROR(IF(LOOKUP(2,1/(人給データ!$B$2:$B$700=$A341),人給データ!$AB$2:$AB$700)=0,"",LOOKUP(2,1/(人給データ!$B$2:$B$700=$A341),人給データ!$AB$2:$AB$700)),""))</f>
        <v/>
      </c>
      <c r="F341" s="16">
        <f>IF(OR(E341="",NOT(ISNUMBER(E341))),"",DATE(YEAR(E341)+2,MONTH(E341),DAY(E341)-2))</f>
        <v/>
      </c>
      <c r="G341" s="20">
        <f>IF($A341="","",IFERROR(IF(LOOKUP(2,1/(人給データ!$B$2:$B$700=$A341),人給データ!$J$2:$J$700)=0,"",LOOKUP(2,1/(人給データ!$B$2:$B$700=$A341),人給データ!$J$2:$J$700)),""))</f>
        <v/>
      </c>
      <c r="H341" s="20">
        <f>IF($A341="","",IFERROR(IF(LOOKUP(2,1/(人給データ!$B$2:$B$700=$A341),人給データ!$K$2:$K$700)=0,"",LOOKUP(2,1/(人給データ!$B$2:$B$700=$A341),人給データ!$K$2:$K$700)),""))</f>
        <v/>
      </c>
      <c r="I341" s="12" t="n"/>
      <c r="J341">
        <f>IF($A341="","",IFERROR(IF(LOOKUP(2,1/(人給データ!$B$2:$B$700=$A341),人給データ!$N$2:$N$700)=0,"",LOOKUP(2,1/(人給データ!$B$2:$B$700=$A341),人給データ!$N$2:$N$700)),""))</f>
        <v/>
      </c>
      <c r="K341" s="13" t="n"/>
      <c r="L341" s="12" t="n"/>
      <c r="M341" s="12" t="n"/>
      <c r="N341" s="11" t="n"/>
      <c r="O341" s="11" t="n"/>
      <c r="P341" s="14">
        <f>IF(AND(M341&lt;&gt;"",O341=""),"保留中","")</f>
        <v/>
      </c>
      <c r="Q341" s="14">
        <f>IF(P341="保留中",COUNTIF(P$6:P341,"保留中"),"")</f>
        <v/>
      </c>
    </row>
    <row r="342">
      <c r="A342" s="12" t="n"/>
      <c r="B342">
        <f>IF($A342="","",IFERROR(IF(LOOKUP(2,1/(人給データ!$B$2:$B$700=$A342),人給データ!$C$2:$C$700)=0,"",LOOKUP(2,1/(人給データ!$B$2:$B$700=$A342),人給データ!$C$2:$C$700)),""))</f>
        <v/>
      </c>
      <c r="C342">
        <f>IF($A342="","",IFERROR(IF(LOOKUP(2,1/(人給データ!$B$2:$B$700=$A342),人給データ!$G$2:$G$700)=0,"",LOOKUP(2,1/(人給データ!$B$2:$B$700=$A342),人給データ!$G$2:$G$700)),""))</f>
        <v/>
      </c>
      <c r="D342">
        <f>IF($A342="","",IFERROR(IF(LOOKUP(2,1/(人給データ!$B$2:$B$700=$A342),人給データ!$Y$2:$Y$700)=0,"",LOOKUP(2,1/(人給データ!$B$2:$B$700=$A342),人給データ!$Y$2:$Y$700)),""))</f>
        <v/>
      </c>
      <c r="E342" s="20">
        <f>IF($A342="","",IFERROR(IF(LOOKUP(2,1/(人給データ!$B$2:$B$700=$A342),人給データ!$AB$2:$AB$700)=0,"",LOOKUP(2,1/(人給データ!$B$2:$B$700=$A342),人給データ!$AB$2:$AB$700)),""))</f>
        <v/>
      </c>
      <c r="F342" s="16">
        <f>IF(OR(E342="",NOT(ISNUMBER(E342))),"",DATE(YEAR(E342)+2,MONTH(E342),DAY(E342)-2))</f>
        <v/>
      </c>
      <c r="G342" s="20">
        <f>IF($A342="","",IFERROR(IF(LOOKUP(2,1/(人給データ!$B$2:$B$700=$A342),人給データ!$J$2:$J$700)=0,"",LOOKUP(2,1/(人給データ!$B$2:$B$700=$A342),人給データ!$J$2:$J$700)),""))</f>
        <v/>
      </c>
      <c r="H342" s="20">
        <f>IF($A342="","",IFERROR(IF(LOOKUP(2,1/(人給データ!$B$2:$B$700=$A342),人給データ!$K$2:$K$700)=0,"",LOOKUP(2,1/(人給データ!$B$2:$B$700=$A342),人給データ!$K$2:$K$700)),""))</f>
        <v/>
      </c>
      <c r="I342" s="12" t="n"/>
      <c r="J342">
        <f>IF($A342="","",IFERROR(IF(LOOKUP(2,1/(人給データ!$B$2:$B$700=$A342),人給データ!$N$2:$N$700)=0,"",LOOKUP(2,1/(人給データ!$B$2:$B$700=$A342),人給データ!$N$2:$N$700)),""))</f>
        <v/>
      </c>
      <c r="K342" s="13" t="n"/>
      <c r="L342" s="12" t="n"/>
      <c r="M342" s="12" t="n"/>
      <c r="N342" s="11" t="n"/>
      <c r="O342" s="11" t="n"/>
      <c r="P342" s="14">
        <f>IF(AND(M342&lt;&gt;"",O342=""),"保留中","")</f>
        <v/>
      </c>
      <c r="Q342" s="14">
        <f>IF(P342="保留中",COUNTIF(P$6:P342,"保留中"),"")</f>
        <v/>
      </c>
    </row>
    <row r="343">
      <c r="A343" s="12" t="n"/>
      <c r="B343">
        <f>IF($A343="","",IFERROR(IF(LOOKUP(2,1/(人給データ!$B$2:$B$700=$A343),人給データ!$C$2:$C$700)=0,"",LOOKUP(2,1/(人給データ!$B$2:$B$700=$A343),人給データ!$C$2:$C$700)),""))</f>
        <v/>
      </c>
      <c r="C343">
        <f>IF($A343="","",IFERROR(IF(LOOKUP(2,1/(人給データ!$B$2:$B$700=$A343),人給データ!$G$2:$G$700)=0,"",LOOKUP(2,1/(人給データ!$B$2:$B$700=$A343),人給データ!$G$2:$G$700)),""))</f>
        <v/>
      </c>
      <c r="D343">
        <f>IF($A343="","",IFERROR(IF(LOOKUP(2,1/(人給データ!$B$2:$B$700=$A343),人給データ!$Y$2:$Y$700)=0,"",LOOKUP(2,1/(人給データ!$B$2:$B$700=$A343),人給データ!$Y$2:$Y$700)),""))</f>
        <v/>
      </c>
      <c r="E343" s="20">
        <f>IF($A343="","",IFERROR(IF(LOOKUP(2,1/(人給データ!$B$2:$B$700=$A343),人給データ!$AB$2:$AB$700)=0,"",LOOKUP(2,1/(人給データ!$B$2:$B$700=$A343),人給データ!$AB$2:$AB$700)),""))</f>
        <v/>
      </c>
      <c r="F343" s="16">
        <f>IF(OR(E343="",NOT(ISNUMBER(E343))),"",DATE(YEAR(E343)+2,MONTH(E343),DAY(E343)-2))</f>
        <v/>
      </c>
      <c r="G343" s="20">
        <f>IF($A343="","",IFERROR(IF(LOOKUP(2,1/(人給データ!$B$2:$B$700=$A343),人給データ!$J$2:$J$700)=0,"",LOOKUP(2,1/(人給データ!$B$2:$B$700=$A343),人給データ!$J$2:$J$700)),""))</f>
        <v/>
      </c>
      <c r="H343" s="20">
        <f>IF($A343="","",IFERROR(IF(LOOKUP(2,1/(人給データ!$B$2:$B$700=$A343),人給データ!$K$2:$K$700)=0,"",LOOKUP(2,1/(人給データ!$B$2:$B$700=$A343),人給データ!$K$2:$K$700)),""))</f>
        <v/>
      </c>
      <c r="I343" s="12" t="n"/>
      <c r="J343">
        <f>IF($A343="","",IFERROR(IF(LOOKUP(2,1/(人給データ!$B$2:$B$700=$A343),人給データ!$N$2:$N$700)=0,"",LOOKUP(2,1/(人給データ!$B$2:$B$700=$A343),人給データ!$N$2:$N$700)),""))</f>
        <v/>
      </c>
      <c r="K343" s="13" t="n"/>
      <c r="L343" s="12" t="n"/>
      <c r="M343" s="12" t="n"/>
      <c r="N343" s="11" t="n"/>
      <c r="O343" s="11" t="n"/>
      <c r="P343" s="14">
        <f>IF(AND(M343&lt;&gt;"",O343=""),"保留中","")</f>
        <v/>
      </c>
      <c r="Q343" s="14">
        <f>IF(P343="保留中",COUNTIF(P$6:P343,"保留中"),"")</f>
        <v/>
      </c>
    </row>
    <row r="344">
      <c r="A344" s="12" t="n"/>
      <c r="B344">
        <f>IF($A344="","",IFERROR(IF(LOOKUP(2,1/(人給データ!$B$2:$B$700=$A344),人給データ!$C$2:$C$700)=0,"",LOOKUP(2,1/(人給データ!$B$2:$B$700=$A344),人給データ!$C$2:$C$700)),""))</f>
        <v/>
      </c>
      <c r="C344">
        <f>IF($A344="","",IFERROR(IF(LOOKUP(2,1/(人給データ!$B$2:$B$700=$A344),人給データ!$G$2:$G$700)=0,"",LOOKUP(2,1/(人給データ!$B$2:$B$700=$A344),人給データ!$G$2:$G$700)),""))</f>
        <v/>
      </c>
      <c r="D344">
        <f>IF($A344="","",IFERROR(IF(LOOKUP(2,1/(人給データ!$B$2:$B$700=$A344),人給データ!$Y$2:$Y$700)=0,"",LOOKUP(2,1/(人給データ!$B$2:$B$700=$A344),人給データ!$Y$2:$Y$700)),""))</f>
        <v/>
      </c>
      <c r="E344" s="20">
        <f>IF($A344="","",IFERROR(IF(LOOKUP(2,1/(人給データ!$B$2:$B$700=$A344),人給データ!$AB$2:$AB$700)=0,"",LOOKUP(2,1/(人給データ!$B$2:$B$700=$A344),人給データ!$AB$2:$AB$700)),""))</f>
        <v/>
      </c>
      <c r="F344" s="16">
        <f>IF(OR(E344="",NOT(ISNUMBER(E344))),"",DATE(YEAR(E344)+2,MONTH(E344),DAY(E344)-2))</f>
        <v/>
      </c>
      <c r="G344" s="20">
        <f>IF($A344="","",IFERROR(IF(LOOKUP(2,1/(人給データ!$B$2:$B$700=$A344),人給データ!$J$2:$J$700)=0,"",LOOKUP(2,1/(人給データ!$B$2:$B$700=$A344),人給データ!$J$2:$J$700)),""))</f>
        <v/>
      </c>
      <c r="H344" s="20">
        <f>IF($A344="","",IFERROR(IF(LOOKUP(2,1/(人給データ!$B$2:$B$700=$A344),人給データ!$K$2:$K$700)=0,"",LOOKUP(2,1/(人給データ!$B$2:$B$700=$A344),人給データ!$K$2:$K$700)),""))</f>
        <v/>
      </c>
      <c r="I344" s="12" t="n"/>
      <c r="J344">
        <f>IF($A344="","",IFERROR(IF(LOOKUP(2,1/(人給データ!$B$2:$B$700=$A344),人給データ!$N$2:$N$700)=0,"",LOOKUP(2,1/(人給データ!$B$2:$B$700=$A344),人給データ!$N$2:$N$700)),""))</f>
        <v/>
      </c>
      <c r="K344" s="13" t="n"/>
      <c r="L344" s="12" t="n"/>
      <c r="M344" s="12" t="n"/>
      <c r="N344" s="11" t="n"/>
      <c r="O344" s="11" t="n"/>
      <c r="P344" s="14">
        <f>IF(AND(M344&lt;&gt;"",O344=""),"保留中","")</f>
        <v/>
      </c>
      <c r="Q344" s="14">
        <f>IF(P344="保留中",COUNTIF(P$6:P344,"保留中"),"")</f>
        <v/>
      </c>
    </row>
    <row r="345">
      <c r="A345" s="12" t="n"/>
      <c r="B345">
        <f>IF($A345="","",IFERROR(IF(LOOKUP(2,1/(人給データ!$B$2:$B$700=$A345),人給データ!$C$2:$C$700)=0,"",LOOKUP(2,1/(人給データ!$B$2:$B$700=$A345),人給データ!$C$2:$C$700)),""))</f>
        <v/>
      </c>
      <c r="C345">
        <f>IF($A345="","",IFERROR(IF(LOOKUP(2,1/(人給データ!$B$2:$B$700=$A345),人給データ!$G$2:$G$700)=0,"",LOOKUP(2,1/(人給データ!$B$2:$B$700=$A345),人給データ!$G$2:$G$700)),""))</f>
        <v/>
      </c>
      <c r="D345">
        <f>IF($A345="","",IFERROR(IF(LOOKUP(2,1/(人給データ!$B$2:$B$700=$A345),人給データ!$Y$2:$Y$700)=0,"",LOOKUP(2,1/(人給データ!$B$2:$B$700=$A345),人給データ!$Y$2:$Y$700)),""))</f>
        <v/>
      </c>
      <c r="E345" s="20">
        <f>IF($A345="","",IFERROR(IF(LOOKUP(2,1/(人給データ!$B$2:$B$700=$A345),人給データ!$AB$2:$AB$700)=0,"",LOOKUP(2,1/(人給データ!$B$2:$B$700=$A345),人給データ!$AB$2:$AB$700)),""))</f>
        <v/>
      </c>
      <c r="F345" s="16">
        <f>IF(OR(E345="",NOT(ISNUMBER(E345))),"",DATE(YEAR(E345)+2,MONTH(E345),DAY(E345)-2))</f>
        <v/>
      </c>
      <c r="G345" s="20">
        <f>IF($A345="","",IFERROR(IF(LOOKUP(2,1/(人給データ!$B$2:$B$700=$A345),人給データ!$J$2:$J$700)=0,"",LOOKUP(2,1/(人給データ!$B$2:$B$700=$A345),人給データ!$J$2:$J$700)),""))</f>
        <v/>
      </c>
      <c r="H345" s="20">
        <f>IF($A345="","",IFERROR(IF(LOOKUP(2,1/(人給データ!$B$2:$B$700=$A345),人給データ!$K$2:$K$700)=0,"",LOOKUP(2,1/(人給データ!$B$2:$B$700=$A345),人給データ!$K$2:$K$700)),""))</f>
        <v/>
      </c>
      <c r="I345" s="12" t="n"/>
      <c r="J345">
        <f>IF($A345="","",IFERROR(IF(LOOKUP(2,1/(人給データ!$B$2:$B$700=$A345),人給データ!$N$2:$N$700)=0,"",LOOKUP(2,1/(人給データ!$B$2:$B$700=$A345),人給データ!$N$2:$N$700)),""))</f>
        <v/>
      </c>
      <c r="K345" s="13" t="n"/>
      <c r="L345" s="12" t="n"/>
      <c r="M345" s="12" t="n"/>
      <c r="N345" s="11" t="n"/>
      <c r="O345" s="11" t="n"/>
      <c r="P345" s="14">
        <f>IF(AND(M345&lt;&gt;"",O345=""),"保留中","")</f>
        <v/>
      </c>
      <c r="Q345" s="14">
        <f>IF(P345="保留中",COUNTIF(P$6:P345,"保留中"),"")</f>
        <v/>
      </c>
    </row>
    <row r="346">
      <c r="A346" s="12" t="n"/>
      <c r="B346">
        <f>IF($A346="","",IFERROR(IF(LOOKUP(2,1/(人給データ!$B$2:$B$700=$A346),人給データ!$C$2:$C$700)=0,"",LOOKUP(2,1/(人給データ!$B$2:$B$700=$A346),人給データ!$C$2:$C$700)),""))</f>
        <v/>
      </c>
      <c r="C346">
        <f>IF($A346="","",IFERROR(IF(LOOKUP(2,1/(人給データ!$B$2:$B$700=$A346),人給データ!$G$2:$G$700)=0,"",LOOKUP(2,1/(人給データ!$B$2:$B$700=$A346),人給データ!$G$2:$G$700)),""))</f>
        <v/>
      </c>
      <c r="D346">
        <f>IF($A346="","",IFERROR(IF(LOOKUP(2,1/(人給データ!$B$2:$B$700=$A346),人給データ!$Y$2:$Y$700)=0,"",LOOKUP(2,1/(人給データ!$B$2:$B$700=$A346),人給データ!$Y$2:$Y$700)),""))</f>
        <v/>
      </c>
      <c r="E346" s="20">
        <f>IF($A346="","",IFERROR(IF(LOOKUP(2,1/(人給データ!$B$2:$B$700=$A346),人給データ!$AB$2:$AB$700)=0,"",LOOKUP(2,1/(人給データ!$B$2:$B$700=$A346),人給データ!$AB$2:$AB$700)),""))</f>
        <v/>
      </c>
      <c r="F346" s="16">
        <f>IF(OR(E346="",NOT(ISNUMBER(E346))),"",DATE(YEAR(E346)+2,MONTH(E346),DAY(E346)-2))</f>
        <v/>
      </c>
      <c r="G346" s="20">
        <f>IF($A346="","",IFERROR(IF(LOOKUP(2,1/(人給データ!$B$2:$B$700=$A346),人給データ!$J$2:$J$700)=0,"",LOOKUP(2,1/(人給データ!$B$2:$B$700=$A346),人給データ!$J$2:$J$700)),""))</f>
        <v/>
      </c>
      <c r="H346" s="20">
        <f>IF($A346="","",IFERROR(IF(LOOKUP(2,1/(人給データ!$B$2:$B$700=$A346),人給データ!$K$2:$K$700)=0,"",LOOKUP(2,1/(人給データ!$B$2:$B$700=$A346),人給データ!$K$2:$K$700)),""))</f>
        <v/>
      </c>
      <c r="I346" s="12" t="n"/>
      <c r="J346">
        <f>IF($A346="","",IFERROR(IF(LOOKUP(2,1/(人給データ!$B$2:$B$700=$A346),人給データ!$N$2:$N$700)=0,"",LOOKUP(2,1/(人給データ!$B$2:$B$700=$A346),人給データ!$N$2:$N$700)),""))</f>
        <v/>
      </c>
      <c r="K346" s="13" t="n"/>
      <c r="L346" s="12" t="n"/>
      <c r="M346" s="12" t="n"/>
      <c r="N346" s="11" t="n"/>
      <c r="O346" s="11" t="n"/>
      <c r="P346" s="14">
        <f>IF(AND(M346&lt;&gt;"",O346=""),"保留中","")</f>
        <v/>
      </c>
      <c r="Q346" s="14">
        <f>IF(P346="保留中",COUNTIF(P$6:P346,"保留中"),"")</f>
        <v/>
      </c>
    </row>
    <row r="347">
      <c r="A347" s="12" t="n"/>
      <c r="B347">
        <f>IF($A347="","",IFERROR(IF(LOOKUP(2,1/(人給データ!$B$2:$B$700=$A347),人給データ!$C$2:$C$700)=0,"",LOOKUP(2,1/(人給データ!$B$2:$B$700=$A347),人給データ!$C$2:$C$700)),""))</f>
        <v/>
      </c>
      <c r="C347">
        <f>IF($A347="","",IFERROR(IF(LOOKUP(2,1/(人給データ!$B$2:$B$700=$A347),人給データ!$G$2:$G$700)=0,"",LOOKUP(2,1/(人給データ!$B$2:$B$700=$A347),人給データ!$G$2:$G$700)),""))</f>
        <v/>
      </c>
      <c r="D347">
        <f>IF($A347="","",IFERROR(IF(LOOKUP(2,1/(人給データ!$B$2:$B$700=$A347),人給データ!$Y$2:$Y$700)=0,"",LOOKUP(2,1/(人給データ!$B$2:$B$700=$A347),人給データ!$Y$2:$Y$700)),""))</f>
        <v/>
      </c>
      <c r="E347" s="20">
        <f>IF($A347="","",IFERROR(IF(LOOKUP(2,1/(人給データ!$B$2:$B$700=$A347),人給データ!$AB$2:$AB$700)=0,"",LOOKUP(2,1/(人給データ!$B$2:$B$700=$A347),人給データ!$AB$2:$AB$700)),""))</f>
        <v/>
      </c>
      <c r="F347" s="16">
        <f>IF(OR(E347="",NOT(ISNUMBER(E347))),"",DATE(YEAR(E347)+2,MONTH(E347),DAY(E347)-2))</f>
        <v/>
      </c>
      <c r="G347" s="20">
        <f>IF($A347="","",IFERROR(IF(LOOKUP(2,1/(人給データ!$B$2:$B$700=$A347),人給データ!$J$2:$J$700)=0,"",LOOKUP(2,1/(人給データ!$B$2:$B$700=$A347),人給データ!$J$2:$J$700)),""))</f>
        <v/>
      </c>
      <c r="H347" s="20">
        <f>IF($A347="","",IFERROR(IF(LOOKUP(2,1/(人給データ!$B$2:$B$700=$A347),人給データ!$K$2:$K$700)=0,"",LOOKUP(2,1/(人給データ!$B$2:$B$700=$A347),人給データ!$K$2:$K$700)),""))</f>
        <v/>
      </c>
      <c r="I347" s="12" t="n"/>
      <c r="J347">
        <f>IF($A347="","",IFERROR(IF(LOOKUP(2,1/(人給データ!$B$2:$B$700=$A347),人給データ!$N$2:$N$700)=0,"",LOOKUP(2,1/(人給データ!$B$2:$B$700=$A347),人給データ!$N$2:$N$700)),""))</f>
        <v/>
      </c>
      <c r="K347" s="13" t="n"/>
      <c r="L347" s="12" t="n"/>
      <c r="M347" s="12" t="n"/>
      <c r="N347" s="11" t="n"/>
      <c r="O347" s="11" t="n"/>
      <c r="P347" s="14">
        <f>IF(AND(M347&lt;&gt;"",O347=""),"保留中","")</f>
        <v/>
      </c>
      <c r="Q347" s="14">
        <f>IF(P347="保留中",COUNTIF(P$6:P347,"保留中"),"")</f>
        <v/>
      </c>
    </row>
    <row r="348">
      <c r="A348" s="12" t="n"/>
      <c r="B348">
        <f>IF($A348="","",IFERROR(IF(LOOKUP(2,1/(人給データ!$B$2:$B$700=$A348),人給データ!$C$2:$C$700)=0,"",LOOKUP(2,1/(人給データ!$B$2:$B$700=$A348),人給データ!$C$2:$C$700)),""))</f>
        <v/>
      </c>
      <c r="C348">
        <f>IF($A348="","",IFERROR(IF(LOOKUP(2,1/(人給データ!$B$2:$B$700=$A348),人給データ!$G$2:$G$700)=0,"",LOOKUP(2,1/(人給データ!$B$2:$B$700=$A348),人給データ!$G$2:$G$700)),""))</f>
        <v/>
      </c>
      <c r="D348">
        <f>IF($A348="","",IFERROR(IF(LOOKUP(2,1/(人給データ!$B$2:$B$700=$A348),人給データ!$Y$2:$Y$700)=0,"",LOOKUP(2,1/(人給データ!$B$2:$B$700=$A348),人給データ!$Y$2:$Y$700)),""))</f>
        <v/>
      </c>
      <c r="E348" s="20">
        <f>IF($A348="","",IFERROR(IF(LOOKUP(2,1/(人給データ!$B$2:$B$700=$A348),人給データ!$AB$2:$AB$700)=0,"",LOOKUP(2,1/(人給データ!$B$2:$B$700=$A348),人給データ!$AB$2:$AB$700)),""))</f>
        <v/>
      </c>
      <c r="F348" s="16">
        <f>IF(OR(E348="",NOT(ISNUMBER(E348))),"",DATE(YEAR(E348)+2,MONTH(E348),DAY(E348)-2))</f>
        <v/>
      </c>
      <c r="G348" s="20">
        <f>IF($A348="","",IFERROR(IF(LOOKUP(2,1/(人給データ!$B$2:$B$700=$A348),人給データ!$J$2:$J$700)=0,"",LOOKUP(2,1/(人給データ!$B$2:$B$700=$A348),人給データ!$J$2:$J$700)),""))</f>
        <v/>
      </c>
      <c r="H348" s="20">
        <f>IF($A348="","",IFERROR(IF(LOOKUP(2,1/(人給データ!$B$2:$B$700=$A348),人給データ!$K$2:$K$700)=0,"",LOOKUP(2,1/(人給データ!$B$2:$B$700=$A348),人給データ!$K$2:$K$700)),""))</f>
        <v/>
      </c>
      <c r="I348" s="12" t="n"/>
      <c r="J348">
        <f>IF($A348="","",IFERROR(IF(LOOKUP(2,1/(人給データ!$B$2:$B$700=$A348),人給データ!$N$2:$N$700)=0,"",LOOKUP(2,1/(人給データ!$B$2:$B$700=$A348),人給データ!$N$2:$N$700)),""))</f>
        <v/>
      </c>
      <c r="K348" s="13" t="n"/>
      <c r="L348" s="12" t="n"/>
      <c r="M348" s="12" t="n"/>
      <c r="N348" s="11" t="n"/>
      <c r="O348" s="11" t="n"/>
      <c r="P348" s="14">
        <f>IF(AND(M348&lt;&gt;"",O348=""),"保留中","")</f>
        <v/>
      </c>
      <c r="Q348" s="14">
        <f>IF(P348="保留中",COUNTIF(P$6:P348,"保留中"),"")</f>
        <v/>
      </c>
    </row>
    <row r="349">
      <c r="A349" s="12" t="n"/>
      <c r="B349">
        <f>IF($A349="","",IFERROR(IF(LOOKUP(2,1/(人給データ!$B$2:$B$700=$A349),人給データ!$C$2:$C$700)=0,"",LOOKUP(2,1/(人給データ!$B$2:$B$700=$A349),人給データ!$C$2:$C$700)),""))</f>
        <v/>
      </c>
      <c r="C349">
        <f>IF($A349="","",IFERROR(IF(LOOKUP(2,1/(人給データ!$B$2:$B$700=$A349),人給データ!$G$2:$G$700)=0,"",LOOKUP(2,1/(人給データ!$B$2:$B$700=$A349),人給データ!$G$2:$G$700)),""))</f>
        <v/>
      </c>
      <c r="D349">
        <f>IF($A349="","",IFERROR(IF(LOOKUP(2,1/(人給データ!$B$2:$B$700=$A349),人給データ!$Y$2:$Y$700)=0,"",LOOKUP(2,1/(人給データ!$B$2:$B$700=$A349),人給データ!$Y$2:$Y$700)),""))</f>
        <v/>
      </c>
      <c r="E349" s="20">
        <f>IF($A349="","",IFERROR(IF(LOOKUP(2,1/(人給データ!$B$2:$B$700=$A349),人給データ!$AB$2:$AB$700)=0,"",LOOKUP(2,1/(人給データ!$B$2:$B$700=$A349),人給データ!$AB$2:$AB$700)),""))</f>
        <v/>
      </c>
      <c r="F349" s="16">
        <f>IF(OR(E349="",NOT(ISNUMBER(E349))),"",DATE(YEAR(E349)+2,MONTH(E349),DAY(E349)-2))</f>
        <v/>
      </c>
      <c r="G349" s="20">
        <f>IF($A349="","",IFERROR(IF(LOOKUP(2,1/(人給データ!$B$2:$B$700=$A349),人給データ!$J$2:$J$700)=0,"",LOOKUP(2,1/(人給データ!$B$2:$B$700=$A349),人給データ!$J$2:$J$700)),""))</f>
        <v/>
      </c>
      <c r="H349" s="20">
        <f>IF($A349="","",IFERROR(IF(LOOKUP(2,1/(人給データ!$B$2:$B$700=$A349),人給データ!$K$2:$K$700)=0,"",LOOKUP(2,1/(人給データ!$B$2:$B$700=$A349),人給データ!$K$2:$K$700)),""))</f>
        <v/>
      </c>
      <c r="I349" s="12" t="n"/>
      <c r="J349">
        <f>IF($A349="","",IFERROR(IF(LOOKUP(2,1/(人給データ!$B$2:$B$700=$A349),人給データ!$N$2:$N$700)=0,"",LOOKUP(2,1/(人給データ!$B$2:$B$700=$A349),人給データ!$N$2:$N$700)),""))</f>
        <v/>
      </c>
      <c r="K349" s="13" t="n"/>
      <c r="L349" s="12" t="n"/>
      <c r="M349" s="12" t="n"/>
      <c r="N349" s="11" t="n"/>
      <c r="O349" s="11" t="n"/>
      <c r="P349" s="14">
        <f>IF(AND(M349&lt;&gt;"",O349=""),"保留中","")</f>
        <v/>
      </c>
      <c r="Q349" s="14">
        <f>IF(P349="保留中",COUNTIF(P$6:P349,"保留中"),"")</f>
        <v/>
      </c>
    </row>
    <row r="350">
      <c r="A350" s="12" t="n"/>
      <c r="B350">
        <f>IF($A350="","",IFERROR(IF(LOOKUP(2,1/(人給データ!$B$2:$B$700=$A350),人給データ!$C$2:$C$700)=0,"",LOOKUP(2,1/(人給データ!$B$2:$B$700=$A350),人給データ!$C$2:$C$700)),""))</f>
        <v/>
      </c>
      <c r="C350">
        <f>IF($A350="","",IFERROR(IF(LOOKUP(2,1/(人給データ!$B$2:$B$700=$A350),人給データ!$G$2:$G$700)=0,"",LOOKUP(2,1/(人給データ!$B$2:$B$700=$A350),人給データ!$G$2:$G$700)),""))</f>
        <v/>
      </c>
      <c r="D350">
        <f>IF($A350="","",IFERROR(IF(LOOKUP(2,1/(人給データ!$B$2:$B$700=$A350),人給データ!$Y$2:$Y$700)=0,"",LOOKUP(2,1/(人給データ!$B$2:$B$700=$A350),人給データ!$Y$2:$Y$700)),""))</f>
        <v/>
      </c>
      <c r="E350" s="20">
        <f>IF($A350="","",IFERROR(IF(LOOKUP(2,1/(人給データ!$B$2:$B$700=$A350),人給データ!$AB$2:$AB$700)=0,"",LOOKUP(2,1/(人給データ!$B$2:$B$700=$A350),人給データ!$AB$2:$AB$700)),""))</f>
        <v/>
      </c>
      <c r="F350" s="16">
        <f>IF(OR(E350="",NOT(ISNUMBER(E350))),"",DATE(YEAR(E350)+2,MONTH(E350),DAY(E350)-2))</f>
        <v/>
      </c>
      <c r="G350" s="20">
        <f>IF($A350="","",IFERROR(IF(LOOKUP(2,1/(人給データ!$B$2:$B$700=$A350),人給データ!$J$2:$J$700)=0,"",LOOKUP(2,1/(人給データ!$B$2:$B$700=$A350),人給データ!$J$2:$J$700)),""))</f>
        <v/>
      </c>
      <c r="H350" s="20">
        <f>IF($A350="","",IFERROR(IF(LOOKUP(2,1/(人給データ!$B$2:$B$700=$A350),人給データ!$K$2:$K$700)=0,"",LOOKUP(2,1/(人給データ!$B$2:$B$700=$A350),人給データ!$K$2:$K$700)),""))</f>
        <v/>
      </c>
      <c r="I350" s="12" t="n"/>
      <c r="J350">
        <f>IF($A350="","",IFERROR(IF(LOOKUP(2,1/(人給データ!$B$2:$B$700=$A350),人給データ!$N$2:$N$700)=0,"",LOOKUP(2,1/(人給データ!$B$2:$B$700=$A350),人給データ!$N$2:$N$700)),""))</f>
        <v/>
      </c>
      <c r="K350" s="13" t="n"/>
      <c r="L350" s="12" t="n"/>
      <c r="M350" s="12" t="n"/>
      <c r="N350" s="11" t="n"/>
      <c r="O350" s="11" t="n"/>
      <c r="P350" s="14">
        <f>IF(AND(M350&lt;&gt;"",O350=""),"保留中","")</f>
        <v/>
      </c>
      <c r="Q350" s="14">
        <f>IF(P350="保留中",COUNTIF(P$6:P350,"保留中"),"")</f>
        <v/>
      </c>
    </row>
    <row r="351">
      <c r="A351" s="12" t="n"/>
      <c r="B351">
        <f>IF($A351="","",IFERROR(IF(LOOKUP(2,1/(人給データ!$B$2:$B$700=$A351),人給データ!$C$2:$C$700)=0,"",LOOKUP(2,1/(人給データ!$B$2:$B$700=$A351),人給データ!$C$2:$C$700)),""))</f>
        <v/>
      </c>
      <c r="C351">
        <f>IF($A351="","",IFERROR(IF(LOOKUP(2,1/(人給データ!$B$2:$B$700=$A351),人給データ!$G$2:$G$700)=0,"",LOOKUP(2,1/(人給データ!$B$2:$B$700=$A351),人給データ!$G$2:$G$700)),""))</f>
        <v/>
      </c>
      <c r="D351">
        <f>IF($A351="","",IFERROR(IF(LOOKUP(2,1/(人給データ!$B$2:$B$700=$A351),人給データ!$Y$2:$Y$700)=0,"",LOOKUP(2,1/(人給データ!$B$2:$B$700=$A351),人給データ!$Y$2:$Y$700)),""))</f>
        <v/>
      </c>
      <c r="E351" s="20">
        <f>IF($A351="","",IFERROR(IF(LOOKUP(2,1/(人給データ!$B$2:$B$700=$A351),人給データ!$AB$2:$AB$700)=0,"",LOOKUP(2,1/(人給データ!$B$2:$B$700=$A351),人給データ!$AB$2:$AB$700)),""))</f>
        <v/>
      </c>
      <c r="F351" s="16">
        <f>IF(OR(E351="",NOT(ISNUMBER(E351))),"",DATE(YEAR(E351)+2,MONTH(E351),DAY(E351)-2))</f>
        <v/>
      </c>
      <c r="G351" s="20">
        <f>IF($A351="","",IFERROR(IF(LOOKUP(2,1/(人給データ!$B$2:$B$700=$A351),人給データ!$J$2:$J$700)=0,"",LOOKUP(2,1/(人給データ!$B$2:$B$700=$A351),人給データ!$J$2:$J$700)),""))</f>
        <v/>
      </c>
      <c r="H351" s="20">
        <f>IF($A351="","",IFERROR(IF(LOOKUP(2,1/(人給データ!$B$2:$B$700=$A351),人給データ!$K$2:$K$700)=0,"",LOOKUP(2,1/(人給データ!$B$2:$B$700=$A351),人給データ!$K$2:$K$700)),""))</f>
        <v/>
      </c>
      <c r="I351" s="12" t="n"/>
      <c r="J351">
        <f>IF($A351="","",IFERROR(IF(LOOKUP(2,1/(人給データ!$B$2:$B$700=$A351),人給データ!$N$2:$N$700)=0,"",LOOKUP(2,1/(人給データ!$B$2:$B$700=$A351),人給データ!$N$2:$N$700)),""))</f>
        <v/>
      </c>
      <c r="K351" s="13" t="n"/>
      <c r="L351" s="12" t="n"/>
      <c r="M351" s="12" t="n"/>
      <c r="N351" s="11" t="n"/>
      <c r="O351" s="11" t="n"/>
      <c r="P351" s="14">
        <f>IF(AND(M351&lt;&gt;"",O351=""),"保留中","")</f>
        <v/>
      </c>
      <c r="Q351" s="14">
        <f>IF(P351="保留中",COUNTIF(P$6:P351,"保留中"),"")</f>
        <v/>
      </c>
    </row>
    <row r="352">
      <c r="A352" s="12" t="n"/>
      <c r="B352">
        <f>IF($A352="","",IFERROR(IF(LOOKUP(2,1/(人給データ!$B$2:$B$700=$A352),人給データ!$C$2:$C$700)=0,"",LOOKUP(2,1/(人給データ!$B$2:$B$700=$A352),人給データ!$C$2:$C$700)),""))</f>
        <v/>
      </c>
      <c r="C352">
        <f>IF($A352="","",IFERROR(IF(LOOKUP(2,1/(人給データ!$B$2:$B$700=$A352),人給データ!$G$2:$G$700)=0,"",LOOKUP(2,1/(人給データ!$B$2:$B$700=$A352),人給データ!$G$2:$G$700)),""))</f>
        <v/>
      </c>
      <c r="D352">
        <f>IF($A352="","",IFERROR(IF(LOOKUP(2,1/(人給データ!$B$2:$B$700=$A352),人給データ!$Y$2:$Y$700)=0,"",LOOKUP(2,1/(人給データ!$B$2:$B$700=$A352),人給データ!$Y$2:$Y$700)),""))</f>
        <v/>
      </c>
      <c r="E352" s="20">
        <f>IF($A352="","",IFERROR(IF(LOOKUP(2,1/(人給データ!$B$2:$B$700=$A352),人給データ!$AB$2:$AB$700)=0,"",LOOKUP(2,1/(人給データ!$B$2:$B$700=$A352),人給データ!$AB$2:$AB$700)),""))</f>
        <v/>
      </c>
      <c r="F352" s="16">
        <f>IF(OR(E352="",NOT(ISNUMBER(E352))),"",DATE(YEAR(E352)+2,MONTH(E352),DAY(E352)-2))</f>
        <v/>
      </c>
      <c r="G352" s="20">
        <f>IF($A352="","",IFERROR(IF(LOOKUP(2,1/(人給データ!$B$2:$B$700=$A352),人給データ!$J$2:$J$700)=0,"",LOOKUP(2,1/(人給データ!$B$2:$B$700=$A352),人給データ!$J$2:$J$700)),""))</f>
        <v/>
      </c>
      <c r="H352" s="20">
        <f>IF($A352="","",IFERROR(IF(LOOKUP(2,1/(人給データ!$B$2:$B$700=$A352),人給データ!$K$2:$K$700)=0,"",LOOKUP(2,1/(人給データ!$B$2:$B$700=$A352),人給データ!$K$2:$K$700)),""))</f>
        <v/>
      </c>
      <c r="I352" s="12" t="n"/>
      <c r="J352">
        <f>IF($A352="","",IFERROR(IF(LOOKUP(2,1/(人給データ!$B$2:$B$700=$A352),人給データ!$N$2:$N$700)=0,"",LOOKUP(2,1/(人給データ!$B$2:$B$700=$A352),人給データ!$N$2:$N$700)),""))</f>
        <v/>
      </c>
      <c r="K352" s="13" t="n"/>
      <c r="L352" s="12" t="n"/>
      <c r="M352" s="12" t="n"/>
      <c r="N352" s="11" t="n"/>
      <c r="O352" s="11" t="n"/>
      <c r="P352" s="14">
        <f>IF(AND(M352&lt;&gt;"",O352=""),"保留中","")</f>
        <v/>
      </c>
      <c r="Q352" s="14">
        <f>IF(P352="保留中",COUNTIF(P$6:P352,"保留中"),"")</f>
        <v/>
      </c>
    </row>
    <row r="353">
      <c r="A353" s="12" t="n"/>
      <c r="B353">
        <f>IF($A353="","",IFERROR(IF(LOOKUP(2,1/(人給データ!$B$2:$B$700=$A353),人給データ!$C$2:$C$700)=0,"",LOOKUP(2,1/(人給データ!$B$2:$B$700=$A353),人給データ!$C$2:$C$700)),""))</f>
        <v/>
      </c>
      <c r="C353">
        <f>IF($A353="","",IFERROR(IF(LOOKUP(2,1/(人給データ!$B$2:$B$700=$A353),人給データ!$G$2:$G$700)=0,"",LOOKUP(2,1/(人給データ!$B$2:$B$700=$A353),人給データ!$G$2:$G$700)),""))</f>
        <v/>
      </c>
      <c r="D353">
        <f>IF($A353="","",IFERROR(IF(LOOKUP(2,1/(人給データ!$B$2:$B$700=$A353),人給データ!$Y$2:$Y$700)=0,"",LOOKUP(2,1/(人給データ!$B$2:$B$700=$A353),人給データ!$Y$2:$Y$700)),""))</f>
        <v/>
      </c>
      <c r="E353" s="20">
        <f>IF($A353="","",IFERROR(IF(LOOKUP(2,1/(人給データ!$B$2:$B$700=$A353),人給データ!$AB$2:$AB$700)=0,"",LOOKUP(2,1/(人給データ!$B$2:$B$700=$A353),人給データ!$AB$2:$AB$700)),""))</f>
        <v/>
      </c>
      <c r="F353" s="16">
        <f>IF(OR(E353="",NOT(ISNUMBER(E353))),"",DATE(YEAR(E353)+2,MONTH(E353),DAY(E353)-2))</f>
        <v/>
      </c>
      <c r="G353" s="20">
        <f>IF($A353="","",IFERROR(IF(LOOKUP(2,1/(人給データ!$B$2:$B$700=$A353),人給データ!$J$2:$J$700)=0,"",LOOKUP(2,1/(人給データ!$B$2:$B$700=$A353),人給データ!$J$2:$J$700)),""))</f>
        <v/>
      </c>
      <c r="H353" s="20">
        <f>IF($A353="","",IFERROR(IF(LOOKUP(2,1/(人給データ!$B$2:$B$700=$A353),人給データ!$K$2:$K$700)=0,"",LOOKUP(2,1/(人給データ!$B$2:$B$700=$A353),人給データ!$K$2:$K$700)),""))</f>
        <v/>
      </c>
      <c r="I353" s="12" t="n"/>
      <c r="J353">
        <f>IF($A353="","",IFERROR(IF(LOOKUP(2,1/(人給データ!$B$2:$B$700=$A353),人給データ!$N$2:$N$700)=0,"",LOOKUP(2,1/(人給データ!$B$2:$B$700=$A353),人給データ!$N$2:$N$700)),""))</f>
        <v/>
      </c>
      <c r="K353" s="13" t="n"/>
      <c r="L353" s="12" t="n"/>
      <c r="M353" s="12" t="n"/>
      <c r="N353" s="11" t="n"/>
      <c r="O353" s="11" t="n"/>
      <c r="P353" s="14">
        <f>IF(AND(M353&lt;&gt;"",O353=""),"保留中","")</f>
        <v/>
      </c>
      <c r="Q353" s="14">
        <f>IF(P353="保留中",COUNTIF(P$6:P353,"保留中"),"")</f>
        <v/>
      </c>
    </row>
    <row r="354">
      <c r="A354" s="12" t="n"/>
      <c r="B354">
        <f>IF($A354="","",IFERROR(IF(LOOKUP(2,1/(人給データ!$B$2:$B$700=$A354),人給データ!$C$2:$C$700)=0,"",LOOKUP(2,1/(人給データ!$B$2:$B$700=$A354),人給データ!$C$2:$C$700)),""))</f>
        <v/>
      </c>
      <c r="C354">
        <f>IF($A354="","",IFERROR(IF(LOOKUP(2,1/(人給データ!$B$2:$B$700=$A354),人給データ!$G$2:$G$700)=0,"",LOOKUP(2,1/(人給データ!$B$2:$B$700=$A354),人給データ!$G$2:$G$700)),""))</f>
        <v/>
      </c>
      <c r="D354">
        <f>IF($A354="","",IFERROR(IF(LOOKUP(2,1/(人給データ!$B$2:$B$700=$A354),人給データ!$Y$2:$Y$700)=0,"",LOOKUP(2,1/(人給データ!$B$2:$B$700=$A354),人給データ!$Y$2:$Y$700)),""))</f>
        <v/>
      </c>
      <c r="E354" s="20">
        <f>IF($A354="","",IFERROR(IF(LOOKUP(2,1/(人給データ!$B$2:$B$700=$A354),人給データ!$AB$2:$AB$700)=0,"",LOOKUP(2,1/(人給データ!$B$2:$B$700=$A354),人給データ!$AB$2:$AB$700)),""))</f>
        <v/>
      </c>
      <c r="F354" s="16">
        <f>IF(OR(E354="",NOT(ISNUMBER(E354))),"",DATE(YEAR(E354)+2,MONTH(E354),DAY(E354)-2))</f>
        <v/>
      </c>
      <c r="G354" s="20">
        <f>IF($A354="","",IFERROR(IF(LOOKUP(2,1/(人給データ!$B$2:$B$700=$A354),人給データ!$J$2:$J$700)=0,"",LOOKUP(2,1/(人給データ!$B$2:$B$700=$A354),人給データ!$J$2:$J$700)),""))</f>
        <v/>
      </c>
      <c r="H354" s="20">
        <f>IF($A354="","",IFERROR(IF(LOOKUP(2,1/(人給データ!$B$2:$B$700=$A354),人給データ!$K$2:$K$700)=0,"",LOOKUP(2,1/(人給データ!$B$2:$B$700=$A354),人給データ!$K$2:$K$700)),""))</f>
        <v/>
      </c>
      <c r="I354" s="12" t="n"/>
      <c r="J354">
        <f>IF($A354="","",IFERROR(IF(LOOKUP(2,1/(人給データ!$B$2:$B$700=$A354),人給データ!$N$2:$N$700)=0,"",LOOKUP(2,1/(人給データ!$B$2:$B$700=$A354),人給データ!$N$2:$N$700)),""))</f>
        <v/>
      </c>
      <c r="K354" s="13" t="n"/>
      <c r="L354" s="12" t="n"/>
      <c r="M354" s="12" t="n"/>
      <c r="N354" s="11" t="n"/>
      <c r="O354" s="11" t="n"/>
      <c r="P354" s="14">
        <f>IF(AND(M354&lt;&gt;"",O354=""),"保留中","")</f>
        <v/>
      </c>
      <c r="Q354" s="14">
        <f>IF(P354="保留中",COUNTIF(P$6:P354,"保留中"),"")</f>
        <v/>
      </c>
    </row>
    <row r="355">
      <c r="A355" s="12" t="n"/>
      <c r="B355">
        <f>IF($A355="","",IFERROR(IF(LOOKUP(2,1/(人給データ!$B$2:$B$700=$A355),人給データ!$C$2:$C$700)=0,"",LOOKUP(2,1/(人給データ!$B$2:$B$700=$A355),人給データ!$C$2:$C$700)),""))</f>
        <v/>
      </c>
      <c r="C355">
        <f>IF($A355="","",IFERROR(IF(LOOKUP(2,1/(人給データ!$B$2:$B$700=$A355),人給データ!$G$2:$G$700)=0,"",LOOKUP(2,1/(人給データ!$B$2:$B$700=$A355),人給データ!$G$2:$G$700)),""))</f>
        <v/>
      </c>
      <c r="D355">
        <f>IF($A355="","",IFERROR(IF(LOOKUP(2,1/(人給データ!$B$2:$B$700=$A355),人給データ!$Y$2:$Y$700)=0,"",LOOKUP(2,1/(人給データ!$B$2:$B$700=$A355),人給データ!$Y$2:$Y$700)),""))</f>
        <v/>
      </c>
      <c r="E355" s="20">
        <f>IF($A355="","",IFERROR(IF(LOOKUP(2,1/(人給データ!$B$2:$B$700=$A355),人給データ!$AB$2:$AB$700)=0,"",LOOKUP(2,1/(人給データ!$B$2:$B$700=$A355),人給データ!$AB$2:$AB$700)),""))</f>
        <v/>
      </c>
      <c r="F355" s="16">
        <f>IF(OR(E355="",NOT(ISNUMBER(E355))),"",DATE(YEAR(E355)+2,MONTH(E355),DAY(E355)-2))</f>
        <v/>
      </c>
      <c r="G355" s="20">
        <f>IF($A355="","",IFERROR(IF(LOOKUP(2,1/(人給データ!$B$2:$B$700=$A355),人給データ!$J$2:$J$700)=0,"",LOOKUP(2,1/(人給データ!$B$2:$B$700=$A355),人給データ!$J$2:$J$700)),""))</f>
        <v/>
      </c>
      <c r="H355" s="20">
        <f>IF($A355="","",IFERROR(IF(LOOKUP(2,1/(人給データ!$B$2:$B$700=$A355),人給データ!$K$2:$K$700)=0,"",LOOKUP(2,1/(人給データ!$B$2:$B$700=$A355),人給データ!$K$2:$K$700)),""))</f>
        <v/>
      </c>
      <c r="I355" s="12" t="n"/>
      <c r="J355">
        <f>IF($A355="","",IFERROR(IF(LOOKUP(2,1/(人給データ!$B$2:$B$700=$A355),人給データ!$N$2:$N$700)=0,"",LOOKUP(2,1/(人給データ!$B$2:$B$700=$A355),人給データ!$N$2:$N$700)),""))</f>
        <v/>
      </c>
      <c r="K355" s="13" t="n"/>
      <c r="L355" s="12" t="n"/>
      <c r="M355" s="12" t="n"/>
      <c r="N355" s="11" t="n"/>
      <c r="O355" s="11" t="n"/>
      <c r="P355" s="14">
        <f>IF(AND(M355&lt;&gt;"",O355=""),"保留中","")</f>
        <v/>
      </c>
      <c r="Q355" s="14">
        <f>IF(P355="保留中",COUNTIF(P$6:P355,"保留中"),"")</f>
        <v/>
      </c>
    </row>
    <row r="356">
      <c r="A356" s="12" t="n"/>
      <c r="B356">
        <f>IF($A356="","",IFERROR(IF(LOOKUP(2,1/(人給データ!$B$2:$B$700=$A356),人給データ!$C$2:$C$700)=0,"",LOOKUP(2,1/(人給データ!$B$2:$B$700=$A356),人給データ!$C$2:$C$700)),""))</f>
        <v/>
      </c>
      <c r="C356">
        <f>IF($A356="","",IFERROR(IF(LOOKUP(2,1/(人給データ!$B$2:$B$700=$A356),人給データ!$G$2:$G$700)=0,"",LOOKUP(2,1/(人給データ!$B$2:$B$700=$A356),人給データ!$G$2:$G$700)),""))</f>
        <v/>
      </c>
      <c r="D356">
        <f>IF($A356="","",IFERROR(IF(LOOKUP(2,1/(人給データ!$B$2:$B$700=$A356),人給データ!$Y$2:$Y$700)=0,"",LOOKUP(2,1/(人給データ!$B$2:$B$700=$A356),人給データ!$Y$2:$Y$700)),""))</f>
        <v/>
      </c>
      <c r="E356" s="20">
        <f>IF($A356="","",IFERROR(IF(LOOKUP(2,1/(人給データ!$B$2:$B$700=$A356),人給データ!$AB$2:$AB$700)=0,"",LOOKUP(2,1/(人給データ!$B$2:$B$700=$A356),人給データ!$AB$2:$AB$700)),""))</f>
        <v/>
      </c>
      <c r="F356" s="16">
        <f>IF(OR(E356="",NOT(ISNUMBER(E356))),"",DATE(YEAR(E356)+2,MONTH(E356),DAY(E356)-2))</f>
        <v/>
      </c>
      <c r="G356" s="20">
        <f>IF($A356="","",IFERROR(IF(LOOKUP(2,1/(人給データ!$B$2:$B$700=$A356),人給データ!$J$2:$J$700)=0,"",LOOKUP(2,1/(人給データ!$B$2:$B$700=$A356),人給データ!$J$2:$J$700)),""))</f>
        <v/>
      </c>
      <c r="H356" s="20">
        <f>IF($A356="","",IFERROR(IF(LOOKUP(2,1/(人給データ!$B$2:$B$700=$A356),人給データ!$K$2:$K$700)=0,"",LOOKUP(2,1/(人給データ!$B$2:$B$700=$A356),人給データ!$K$2:$K$700)),""))</f>
        <v/>
      </c>
      <c r="I356" s="12" t="n"/>
      <c r="J356">
        <f>IF($A356="","",IFERROR(IF(LOOKUP(2,1/(人給データ!$B$2:$B$700=$A356),人給データ!$N$2:$N$700)=0,"",LOOKUP(2,1/(人給データ!$B$2:$B$700=$A356),人給データ!$N$2:$N$700)),""))</f>
        <v/>
      </c>
      <c r="K356" s="13" t="n"/>
      <c r="L356" s="12" t="n"/>
      <c r="M356" s="12" t="n"/>
      <c r="N356" s="11" t="n"/>
      <c r="O356" s="11" t="n"/>
      <c r="P356" s="14">
        <f>IF(AND(M356&lt;&gt;"",O356=""),"保留中","")</f>
        <v/>
      </c>
      <c r="Q356" s="14">
        <f>IF(P356="保留中",COUNTIF(P$6:P356,"保留中"),"")</f>
        <v/>
      </c>
    </row>
    <row r="357">
      <c r="A357" s="12" t="n"/>
      <c r="B357">
        <f>IF($A357="","",IFERROR(IF(LOOKUP(2,1/(人給データ!$B$2:$B$700=$A357),人給データ!$C$2:$C$700)=0,"",LOOKUP(2,1/(人給データ!$B$2:$B$700=$A357),人給データ!$C$2:$C$700)),""))</f>
        <v/>
      </c>
      <c r="C357">
        <f>IF($A357="","",IFERROR(IF(LOOKUP(2,1/(人給データ!$B$2:$B$700=$A357),人給データ!$G$2:$G$700)=0,"",LOOKUP(2,1/(人給データ!$B$2:$B$700=$A357),人給データ!$G$2:$G$700)),""))</f>
        <v/>
      </c>
      <c r="D357">
        <f>IF($A357="","",IFERROR(IF(LOOKUP(2,1/(人給データ!$B$2:$B$700=$A357),人給データ!$Y$2:$Y$700)=0,"",LOOKUP(2,1/(人給データ!$B$2:$B$700=$A357),人給データ!$Y$2:$Y$700)),""))</f>
        <v/>
      </c>
      <c r="E357" s="20">
        <f>IF($A357="","",IFERROR(IF(LOOKUP(2,1/(人給データ!$B$2:$B$700=$A357),人給データ!$AB$2:$AB$700)=0,"",LOOKUP(2,1/(人給データ!$B$2:$B$700=$A357),人給データ!$AB$2:$AB$700)),""))</f>
        <v/>
      </c>
      <c r="F357" s="16">
        <f>IF(OR(E357="",NOT(ISNUMBER(E357))),"",DATE(YEAR(E357)+2,MONTH(E357),DAY(E357)-2))</f>
        <v/>
      </c>
      <c r="G357" s="20">
        <f>IF($A357="","",IFERROR(IF(LOOKUP(2,1/(人給データ!$B$2:$B$700=$A357),人給データ!$J$2:$J$700)=0,"",LOOKUP(2,1/(人給データ!$B$2:$B$700=$A357),人給データ!$J$2:$J$700)),""))</f>
        <v/>
      </c>
      <c r="H357" s="20">
        <f>IF($A357="","",IFERROR(IF(LOOKUP(2,1/(人給データ!$B$2:$B$700=$A357),人給データ!$K$2:$K$700)=0,"",LOOKUP(2,1/(人給データ!$B$2:$B$700=$A357),人給データ!$K$2:$K$700)),""))</f>
        <v/>
      </c>
      <c r="I357" s="12" t="n"/>
      <c r="J357">
        <f>IF($A357="","",IFERROR(IF(LOOKUP(2,1/(人給データ!$B$2:$B$700=$A357),人給データ!$N$2:$N$700)=0,"",LOOKUP(2,1/(人給データ!$B$2:$B$700=$A357),人給データ!$N$2:$N$700)),""))</f>
        <v/>
      </c>
      <c r="K357" s="13" t="n"/>
      <c r="L357" s="12" t="n"/>
      <c r="M357" s="12" t="n"/>
      <c r="N357" s="11" t="n"/>
      <c r="O357" s="11" t="n"/>
      <c r="P357" s="14">
        <f>IF(AND(M357&lt;&gt;"",O357=""),"保留中","")</f>
        <v/>
      </c>
      <c r="Q357" s="14">
        <f>IF(P357="保留中",COUNTIF(P$6:P357,"保留中"),"")</f>
        <v/>
      </c>
    </row>
    <row r="358">
      <c r="A358" s="12" t="n"/>
      <c r="B358">
        <f>IF($A358="","",IFERROR(IF(LOOKUP(2,1/(人給データ!$B$2:$B$700=$A358),人給データ!$C$2:$C$700)=0,"",LOOKUP(2,1/(人給データ!$B$2:$B$700=$A358),人給データ!$C$2:$C$700)),""))</f>
        <v/>
      </c>
      <c r="C358">
        <f>IF($A358="","",IFERROR(IF(LOOKUP(2,1/(人給データ!$B$2:$B$700=$A358),人給データ!$G$2:$G$700)=0,"",LOOKUP(2,1/(人給データ!$B$2:$B$700=$A358),人給データ!$G$2:$G$700)),""))</f>
        <v/>
      </c>
      <c r="D358">
        <f>IF($A358="","",IFERROR(IF(LOOKUP(2,1/(人給データ!$B$2:$B$700=$A358),人給データ!$Y$2:$Y$700)=0,"",LOOKUP(2,1/(人給データ!$B$2:$B$700=$A358),人給データ!$Y$2:$Y$700)),""))</f>
        <v/>
      </c>
      <c r="E358" s="20">
        <f>IF($A358="","",IFERROR(IF(LOOKUP(2,1/(人給データ!$B$2:$B$700=$A358),人給データ!$AB$2:$AB$700)=0,"",LOOKUP(2,1/(人給データ!$B$2:$B$700=$A358),人給データ!$AB$2:$AB$700)),""))</f>
        <v/>
      </c>
      <c r="F358" s="16">
        <f>IF(OR(E358="",NOT(ISNUMBER(E358))),"",DATE(YEAR(E358)+2,MONTH(E358),DAY(E358)-2))</f>
        <v/>
      </c>
      <c r="G358" s="20">
        <f>IF($A358="","",IFERROR(IF(LOOKUP(2,1/(人給データ!$B$2:$B$700=$A358),人給データ!$J$2:$J$700)=0,"",LOOKUP(2,1/(人給データ!$B$2:$B$700=$A358),人給データ!$J$2:$J$700)),""))</f>
        <v/>
      </c>
      <c r="H358" s="20">
        <f>IF($A358="","",IFERROR(IF(LOOKUP(2,1/(人給データ!$B$2:$B$700=$A358),人給データ!$K$2:$K$700)=0,"",LOOKUP(2,1/(人給データ!$B$2:$B$700=$A358),人給データ!$K$2:$K$700)),""))</f>
        <v/>
      </c>
      <c r="I358" s="12" t="n"/>
      <c r="J358">
        <f>IF($A358="","",IFERROR(IF(LOOKUP(2,1/(人給データ!$B$2:$B$700=$A358),人給データ!$N$2:$N$700)=0,"",LOOKUP(2,1/(人給データ!$B$2:$B$700=$A358),人給データ!$N$2:$N$700)),""))</f>
        <v/>
      </c>
      <c r="K358" s="13" t="n"/>
      <c r="L358" s="12" t="n"/>
      <c r="M358" s="12" t="n"/>
      <c r="N358" s="11" t="n"/>
      <c r="O358" s="11" t="n"/>
      <c r="P358" s="14">
        <f>IF(AND(M358&lt;&gt;"",O358=""),"保留中","")</f>
        <v/>
      </c>
      <c r="Q358" s="14">
        <f>IF(P358="保留中",COUNTIF(P$6:P358,"保留中"),"")</f>
        <v/>
      </c>
    </row>
    <row r="359">
      <c r="A359" s="12" t="n"/>
      <c r="B359">
        <f>IF($A359="","",IFERROR(IF(LOOKUP(2,1/(人給データ!$B$2:$B$700=$A359),人給データ!$C$2:$C$700)=0,"",LOOKUP(2,1/(人給データ!$B$2:$B$700=$A359),人給データ!$C$2:$C$700)),""))</f>
        <v/>
      </c>
      <c r="C359">
        <f>IF($A359="","",IFERROR(IF(LOOKUP(2,1/(人給データ!$B$2:$B$700=$A359),人給データ!$G$2:$G$700)=0,"",LOOKUP(2,1/(人給データ!$B$2:$B$700=$A359),人給データ!$G$2:$G$700)),""))</f>
        <v/>
      </c>
      <c r="D359">
        <f>IF($A359="","",IFERROR(IF(LOOKUP(2,1/(人給データ!$B$2:$B$700=$A359),人給データ!$Y$2:$Y$700)=0,"",LOOKUP(2,1/(人給データ!$B$2:$B$700=$A359),人給データ!$Y$2:$Y$700)),""))</f>
        <v/>
      </c>
      <c r="E359" s="20">
        <f>IF($A359="","",IFERROR(IF(LOOKUP(2,1/(人給データ!$B$2:$B$700=$A359),人給データ!$AB$2:$AB$700)=0,"",LOOKUP(2,1/(人給データ!$B$2:$B$700=$A359),人給データ!$AB$2:$AB$700)),""))</f>
        <v/>
      </c>
      <c r="F359" s="16">
        <f>IF(OR(E359="",NOT(ISNUMBER(E359))),"",DATE(YEAR(E359)+2,MONTH(E359),DAY(E359)-2))</f>
        <v/>
      </c>
      <c r="G359" s="20">
        <f>IF($A359="","",IFERROR(IF(LOOKUP(2,1/(人給データ!$B$2:$B$700=$A359),人給データ!$J$2:$J$700)=0,"",LOOKUP(2,1/(人給データ!$B$2:$B$700=$A359),人給データ!$J$2:$J$700)),""))</f>
        <v/>
      </c>
      <c r="H359" s="20">
        <f>IF($A359="","",IFERROR(IF(LOOKUP(2,1/(人給データ!$B$2:$B$700=$A359),人給データ!$K$2:$K$700)=0,"",LOOKUP(2,1/(人給データ!$B$2:$B$700=$A359),人給データ!$K$2:$K$700)),""))</f>
        <v/>
      </c>
      <c r="I359" s="12" t="n"/>
      <c r="J359">
        <f>IF($A359="","",IFERROR(IF(LOOKUP(2,1/(人給データ!$B$2:$B$700=$A359),人給データ!$N$2:$N$700)=0,"",LOOKUP(2,1/(人給データ!$B$2:$B$700=$A359),人給データ!$N$2:$N$700)),""))</f>
        <v/>
      </c>
      <c r="K359" s="13" t="n"/>
      <c r="L359" s="12" t="n"/>
      <c r="M359" s="12" t="n"/>
      <c r="N359" s="11" t="n"/>
      <c r="O359" s="11" t="n"/>
      <c r="P359" s="14">
        <f>IF(AND(M359&lt;&gt;"",O359=""),"保留中","")</f>
        <v/>
      </c>
      <c r="Q359" s="14">
        <f>IF(P359="保留中",COUNTIF(P$6:P359,"保留中"),"")</f>
        <v/>
      </c>
    </row>
    <row r="360">
      <c r="A360" s="12" t="n"/>
      <c r="B360">
        <f>IF($A360="","",IFERROR(IF(LOOKUP(2,1/(人給データ!$B$2:$B$700=$A360),人給データ!$C$2:$C$700)=0,"",LOOKUP(2,1/(人給データ!$B$2:$B$700=$A360),人給データ!$C$2:$C$700)),""))</f>
        <v/>
      </c>
      <c r="C360">
        <f>IF($A360="","",IFERROR(IF(LOOKUP(2,1/(人給データ!$B$2:$B$700=$A360),人給データ!$G$2:$G$700)=0,"",LOOKUP(2,1/(人給データ!$B$2:$B$700=$A360),人給データ!$G$2:$G$700)),""))</f>
        <v/>
      </c>
      <c r="D360">
        <f>IF($A360="","",IFERROR(IF(LOOKUP(2,1/(人給データ!$B$2:$B$700=$A360),人給データ!$Y$2:$Y$700)=0,"",LOOKUP(2,1/(人給データ!$B$2:$B$700=$A360),人給データ!$Y$2:$Y$700)),""))</f>
        <v/>
      </c>
      <c r="E360" s="20">
        <f>IF($A360="","",IFERROR(IF(LOOKUP(2,1/(人給データ!$B$2:$B$700=$A360),人給データ!$AB$2:$AB$700)=0,"",LOOKUP(2,1/(人給データ!$B$2:$B$700=$A360),人給データ!$AB$2:$AB$700)),""))</f>
        <v/>
      </c>
      <c r="F360" s="16">
        <f>IF(OR(E360="",NOT(ISNUMBER(E360))),"",DATE(YEAR(E360)+2,MONTH(E360),DAY(E360)-2))</f>
        <v/>
      </c>
      <c r="G360" s="20">
        <f>IF($A360="","",IFERROR(IF(LOOKUP(2,1/(人給データ!$B$2:$B$700=$A360),人給データ!$J$2:$J$700)=0,"",LOOKUP(2,1/(人給データ!$B$2:$B$700=$A360),人給データ!$J$2:$J$700)),""))</f>
        <v/>
      </c>
      <c r="H360" s="20">
        <f>IF($A360="","",IFERROR(IF(LOOKUP(2,1/(人給データ!$B$2:$B$700=$A360),人給データ!$K$2:$K$700)=0,"",LOOKUP(2,1/(人給データ!$B$2:$B$700=$A360),人給データ!$K$2:$K$700)),""))</f>
        <v/>
      </c>
      <c r="I360" s="12" t="n"/>
      <c r="J360">
        <f>IF($A360="","",IFERROR(IF(LOOKUP(2,1/(人給データ!$B$2:$B$700=$A360),人給データ!$N$2:$N$700)=0,"",LOOKUP(2,1/(人給データ!$B$2:$B$700=$A360),人給データ!$N$2:$N$700)),""))</f>
        <v/>
      </c>
      <c r="K360" s="13" t="n"/>
      <c r="L360" s="12" t="n"/>
      <c r="M360" s="12" t="n"/>
      <c r="N360" s="11" t="n"/>
      <c r="O360" s="11" t="n"/>
      <c r="P360" s="14">
        <f>IF(AND(M360&lt;&gt;"",O360=""),"保留中","")</f>
        <v/>
      </c>
      <c r="Q360" s="14">
        <f>IF(P360="保留中",COUNTIF(P$6:P360,"保留中"),"")</f>
        <v/>
      </c>
    </row>
    <row r="361">
      <c r="A361" s="12" t="n"/>
      <c r="B361">
        <f>IF($A361="","",IFERROR(IF(LOOKUP(2,1/(人給データ!$B$2:$B$700=$A361),人給データ!$C$2:$C$700)=0,"",LOOKUP(2,1/(人給データ!$B$2:$B$700=$A361),人給データ!$C$2:$C$700)),""))</f>
        <v/>
      </c>
      <c r="C361">
        <f>IF($A361="","",IFERROR(IF(LOOKUP(2,1/(人給データ!$B$2:$B$700=$A361),人給データ!$G$2:$G$700)=0,"",LOOKUP(2,1/(人給データ!$B$2:$B$700=$A361),人給データ!$G$2:$G$700)),""))</f>
        <v/>
      </c>
      <c r="D361">
        <f>IF($A361="","",IFERROR(IF(LOOKUP(2,1/(人給データ!$B$2:$B$700=$A361),人給データ!$Y$2:$Y$700)=0,"",LOOKUP(2,1/(人給データ!$B$2:$B$700=$A361),人給データ!$Y$2:$Y$700)),""))</f>
        <v/>
      </c>
      <c r="E361" s="20">
        <f>IF($A361="","",IFERROR(IF(LOOKUP(2,1/(人給データ!$B$2:$B$700=$A361),人給データ!$AB$2:$AB$700)=0,"",LOOKUP(2,1/(人給データ!$B$2:$B$700=$A361),人給データ!$AB$2:$AB$700)),""))</f>
        <v/>
      </c>
      <c r="F361" s="16">
        <f>IF(OR(E361="",NOT(ISNUMBER(E361))),"",DATE(YEAR(E361)+2,MONTH(E361),DAY(E361)-2))</f>
        <v/>
      </c>
      <c r="G361" s="20">
        <f>IF($A361="","",IFERROR(IF(LOOKUP(2,1/(人給データ!$B$2:$B$700=$A361),人給データ!$J$2:$J$700)=0,"",LOOKUP(2,1/(人給データ!$B$2:$B$700=$A361),人給データ!$J$2:$J$700)),""))</f>
        <v/>
      </c>
      <c r="H361" s="20">
        <f>IF($A361="","",IFERROR(IF(LOOKUP(2,1/(人給データ!$B$2:$B$700=$A361),人給データ!$K$2:$K$700)=0,"",LOOKUP(2,1/(人給データ!$B$2:$B$700=$A361),人給データ!$K$2:$K$700)),""))</f>
        <v/>
      </c>
      <c r="I361" s="12" t="n"/>
      <c r="J361">
        <f>IF($A361="","",IFERROR(IF(LOOKUP(2,1/(人給データ!$B$2:$B$700=$A361),人給データ!$N$2:$N$700)=0,"",LOOKUP(2,1/(人給データ!$B$2:$B$700=$A361),人給データ!$N$2:$N$700)),""))</f>
        <v/>
      </c>
      <c r="K361" s="13" t="n"/>
      <c r="L361" s="12" t="n"/>
      <c r="M361" s="12" t="n"/>
      <c r="N361" s="11" t="n"/>
      <c r="O361" s="11" t="n"/>
      <c r="P361" s="14">
        <f>IF(AND(M361&lt;&gt;"",O361=""),"保留中","")</f>
        <v/>
      </c>
      <c r="Q361" s="14">
        <f>IF(P361="保留中",COUNTIF(P$6:P361,"保留中"),"")</f>
        <v/>
      </c>
    </row>
    <row r="362">
      <c r="A362" s="12" t="n"/>
      <c r="B362">
        <f>IF($A362="","",IFERROR(IF(LOOKUP(2,1/(人給データ!$B$2:$B$700=$A362),人給データ!$C$2:$C$700)=0,"",LOOKUP(2,1/(人給データ!$B$2:$B$700=$A362),人給データ!$C$2:$C$700)),""))</f>
        <v/>
      </c>
      <c r="C362">
        <f>IF($A362="","",IFERROR(IF(LOOKUP(2,1/(人給データ!$B$2:$B$700=$A362),人給データ!$G$2:$G$700)=0,"",LOOKUP(2,1/(人給データ!$B$2:$B$700=$A362),人給データ!$G$2:$G$700)),""))</f>
        <v/>
      </c>
      <c r="D362">
        <f>IF($A362="","",IFERROR(IF(LOOKUP(2,1/(人給データ!$B$2:$B$700=$A362),人給データ!$Y$2:$Y$700)=0,"",LOOKUP(2,1/(人給データ!$B$2:$B$700=$A362),人給データ!$Y$2:$Y$700)),""))</f>
        <v/>
      </c>
      <c r="E362" s="20">
        <f>IF($A362="","",IFERROR(IF(LOOKUP(2,1/(人給データ!$B$2:$B$700=$A362),人給データ!$AB$2:$AB$700)=0,"",LOOKUP(2,1/(人給データ!$B$2:$B$700=$A362),人給データ!$AB$2:$AB$700)),""))</f>
        <v/>
      </c>
      <c r="F362" s="16">
        <f>IF(OR(E362="",NOT(ISNUMBER(E362))),"",DATE(YEAR(E362)+2,MONTH(E362),DAY(E362)-2))</f>
        <v/>
      </c>
      <c r="G362" s="20">
        <f>IF($A362="","",IFERROR(IF(LOOKUP(2,1/(人給データ!$B$2:$B$700=$A362),人給データ!$J$2:$J$700)=0,"",LOOKUP(2,1/(人給データ!$B$2:$B$700=$A362),人給データ!$J$2:$J$700)),""))</f>
        <v/>
      </c>
      <c r="H362" s="20">
        <f>IF($A362="","",IFERROR(IF(LOOKUP(2,1/(人給データ!$B$2:$B$700=$A362),人給データ!$K$2:$K$700)=0,"",LOOKUP(2,1/(人給データ!$B$2:$B$700=$A362),人給データ!$K$2:$K$700)),""))</f>
        <v/>
      </c>
      <c r="I362" s="12" t="n"/>
      <c r="J362">
        <f>IF($A362="","",IFERROR(IF(LOOKUP(2,1/(人給データ!$B$2:$B$700=$A362),人給データ!$N$2:$N$700)=0,"",LOOKUP(2,1/(人給データ!$B$2:$B$700=$A362),人給データ!$N$2:$N$700)),""))</f>
        <v/>
      </c>
      <c r="K362" s="13" t="n"/>
      <c r="L362" s="12" t="n"/>
      <c r="M362" s="12" t="n"/>
      <c r="N362" s="11" t="n"/>
      <c r="O362" s="11" t="n"/>
      <c r="P362" s="14">
        <f>IF(AND(M362&lt;&gt;"",O362=""),"保留中","")</f>
        <v/>
      </c>
      <c r="Q362" s="14">
        <f>IF(P362="保留中",COUNTIF(P$6:P362,"保留中"),"")</f>
        <v/>
      </c>
    </row>
    <row r="363">
      <c r="A363" s="12" t="n"/>
      <c r="B363">
        <f>IF($A363="","",IFERROR(IF(LOOKUP(2,1/(人給データ!$B$2:$B$700=$A363),人給データ!$C$2:$C$700)=0,"",LOOKUP(2,1/(人給データ!$B$2:$B$700=$A363),人給データ!$C$2:$C$700)),""))</f>
        <v/>
      </c>
      <c r="C363">
        <f>IF($A363="","",IFERROR(IF(LOOKUP(2,1/(人給データ!$B$2:$B$700=$A363),人給データ!$G$2:$G$700)=0,"",LOOKUP(2,1/(人給データ!$B$2:$B$700=$A363),人給データ!$G$2:$G$700)),""))</f>
        <v/>
      </c>
      <c r="D363">
        <f>IF($A363="","",IFERROR(IF(LOOKUP(2,1/(人給データ!$B$2:$B$700=$A363),人給データ!$Y$2:$Y$700)=0,"",LOOKUP(2,1/(人給データ!$B$2:$B$700=$A363),人給データ!$Y$2:$Y$700)),""))</f>
        <v/>
      </c>
      <c r="E363" s="20">
        <f>IF($A363="","",IFERROR(IF(LOOKUP(2,1/(人給データ!$B$2:$B$700=$A363),人給データ!$AB$2:$AB$700)=0,"",LOOKUP(2,1/(人給データ!$B$2:$B$700=$A363),人給データ!$AB$2:$AB$700)),""))</f>
        <v/>
      </c>
      <c r="F363" s="16">
        <f>IF(OR(E363="",NOT(ISNUMBER(E363))),"",DATE(YEAR(E363)+2,MONTH(E363),DAY(E363)-2))</f>
        <v/>
      </c>
      <c r="G363" s="20">
        <f>IF($A363="","",IFERROR(IF(LOOKUP(2,1/(人給データ!$B$2:$B$700=$A363),人給データ!$J$2:$J$700)=0,"",LOOKUP(2,1/(人給データ!$B$2:$B$700=$A363),人給データ!$J$2:$J$700)),""))</f>
        <v/>
      </c>
      <c r="H363" s="20">
        <f>IF($A363="","",IFERROR(IF(LOOKUP(2,1/(人給データ!$B$2:$B$700=$A363),人給データ!$K$2:$K$700)=0,"",LOOKUP(2,1/(人給データ!$B$2:$B$700=$A363),人給データ!$K$2:$K$700)),""))</f>
        <v/>
      </c>
      <c r="I363" s="12" t="n"/>
      <c r="J363">
        <f>IF($A363="","",IFERROR(IF(LOOKUP(2,1/(人給データ!$B$2:$B$700=$A363),人給データ!$N$2:$N$700)=0,"",LOOKUP(2,1/(人給データ!$B$2:$B$700=$A363),人給データ!$N$2:$N$700)),""))</f>
        <v/>
      </c>
      <c r="K363" s="13" t="n"/>
      <c r="L363" s="12" t="n"/>
      <c r="M363" s="12" t="n"/>
      <c r="N363" s="11" t="n"/>
      <c r="O363" s="11" t="n"/>
      <c r="P363" s="14">
        <f>IF(AND(M363&lt;&gt;"",O363=""),"保留中","")</f>
        <v/>
      </c>
      <c r="Q363" s="14">
        <f>IF(P363="保留中",COUNTIF(P$6:P363,"保留中"),"")</f>
        <v/>
      </c>
    </row>
    <row r="364">
      <c r="A364" s="12" t="n"/>
      <c r="B364">
        <f>IF($A364="","",IFERROR(IF(LOOKUP(2,1/(人給データ!$B$2:$B$700=$A364),人給データ!$C$2:$C$700)=0,"",LOOKUP(2,1/(人給データ!$B$2:$B$700=$A364),人給データ!$C$2:$C$700)),""))</f>
        <v/>
      </c>
      <c r="C364">
        <f>IF($A364="","",IFERROR(IF(LOOKUP(2,1/(人給データ!$B$2:$B$700=$A364),人給データ!$G$2:$G$700)=0,"",LOOKUP(2,1/(人給データ!$B$2:$B$700=$A364),人給データ!$G$2:$G$700)),""))</f>
        <v/>
      </c>
      <c r="D364">
        <f>IF($A364="","",IFERROR(IF(LOOKUP(2,1/(人給データ!$B$2:$B$700=$A364),人給データ!$Y$2:$Y$700)=0,"",LOOKUP(2,1/(人給データ!$B$2:$B$700=$A364),人給データ!$Y$2:$Y$700)),""))</f>
        <v/>
      </c>
      <c r="E364" s="20">
        <f>IF($A364="","",IFERROR(IF(LOOKUP(2,1/(人給データ!$B$2:$B$700=$A364),人給データ!$AB$2:$AB$700)=0,"",LOOKUP(2,1/(人給データ!$B$2:$B$700=$A364),人給データ!$AB$2:$AB$700)),""))</f>
        <v/>
      </c>
      <c r="F364" s="16">
        <f>IF(OR(E364="",NOT(ISNUMBER(E364))),"",DATE(YEAR(E364)+2,MONTH(E364),DAY(E364)-2))</f>
        <v/>
      </c>
      <c r="G364" s="20">
        <f>IF($A364="","",IFERROR(IF(LOOKUP(2,1/(人給データ!$B$2:$B$700=$A364),人給データ!$J$2:$J$700)=0,"",LOOKUP(2,1/(人給データ!$B$2:$B$700=$A364),人給データ!$J$2:$J$700)),""))</f>
        <v/>
      </c>
      <c r="H364" s="20">
        <f>IF($A364="","",IFERROR(IF(LOOKUP(2,1/(人給データ!$B$2:$B$700=$A364),人給データ!$K$2:$K$700)=0,"",LOOKUP(2,1/(人給データ!$B$2:$B$700=$A364),人給データ!$K$2:$K$700)),""))</f>
        <v/>
      </c>
      <c r="I364" s="12" t="n"/>
      <c r="J364">
        <f>IF($A364="","",IFERROR(IF(LOOKUP(2,1/(人給データ!$B$2:$B$700=$A364),人給データ!$N$2:$N$700)=0,"",LOOKUP(2,1/(人給データ!$B$2:$B$700=$A364),人給データ!$N$2:$N$700)),""))</f>
        <v/>
      </c>
      <c r="K364" s="13" t="n"/>
      <c r="L364" s="12" t="n"/>
      <c r="M364" s="12" t="n"/>
      <c r="N364" s="11" t="n"/>
      <c r="O364" s="11" t="n"/>
      <c r="P364" s="14">
        <f>IF(AND(M364&lt;&gt;"",O364=""),"保留中","")</f>
        <v/>
      </c>
      <c r="Q364" s="14">
        <f>IF(P364="保留中",COUNTIF(P$6:P364,"保留中"),"")</f>
        <v/>
      </c>
    </row>
    <row r="365">
      <c r="A365" s="12" t="n"/>
      <c r="B365">
        <f>IF($A365="","",IFERROR(IF(LOOKUP(2,1/(人給データ!$B$2:$B$700=$A365),人給データ!$C$2:$C$700)=0,"",LOOKUP(2,1/(人給データ!$B$2:$B$700=$A365),人給データ!$C$2:$C$700)),""))</f>
        <v/>
      </c>
      <c r="C365">
        <f>IF($A365="","",IFERROR(IF(LOOKUP(2,1/(人給データ!$B$2:$B$700=$A365),人給データ!$G$2:$G$700)=0,"",LOOKUP(2,1/(人給データ!$B$2:$B$700=$A365),人給データ!$G$2:$G$700)),""))</f>
        <v/>
      </c>
      <c r="D365">
        <f>IF($A365="","",IFERROR(IF(LOOKUP(2,1/(人給データ!$B$2:$B$700=$A365),人給データ!$Y$2:$Y$700)=0,"",LOOKUP(2,1/(人給データ!$B$2:$B$700=$A365),人給データ!$Y$2:$Y$700)),""))</f>
        <v/>
      </c>
      <c r="E365" s="20">
        <f>IF($A365="","",IFERROR(IF(LOOKUP(2,1/(人給データ!$B$2:$B$700=$A365),人給データ!$AB$2:$AB$700)=0,"",LOOKUP(2,1/(人給データ!$B$2:$B$700=$A365),人給データ!$AB$2:$AB$700)),""))</f>
        <v/>
      </c>
      <c r="F365" s="16">
        <f>IF(OR(E365="",NOT(ISNUMBER(E365))),"",DATE(YEAR(E365)+2,MONTH(E365),DAY(E365)-2))</f>
        <v/>
      </c>
      <c r="G365" s="20">
        <f>IF($A365="","",IFERROR(IF(LOOKUP(2,1/(人給データ!$B$2:$B$700=$A365),人給データ!$J$2:$J$700)=0,"",LOOKUP(2,1/(人給データ!$B$2:$B$700=$A365),人給データ!$J$2:$J$700)),""))</f>
        <v/>
      </c>
      <c r="H365" s="20">
        <f>IF($A365="","",IFERROR(IF(LOOKUP(2,1/(人給データ!$B$2:$B$700=$A365),人給データ!$K$2:$K$700)=0,"",LOOKUP(2,1/(人給データ!$B$2:$B$700=$A365),人給データ!$K$2:$K$700)),""))</f>
        <v/>
      </c>
      <c r="I365" s="12" t="n"/>
      <c r="J365">
        <f>IF($A365="","",IFERROR(IF(LOOKUP(2,1/(人給データ!$B$2:$B$700=$A365),人給データ!$N$2:$N$700)=0,"",LOOKUP(2,1/(人給データ!$B$2:$B$700=$A365),人給データ!$N$2:$N$700)),""))</f>
        <v/>
      </c>
      <c r="K365" s="13" t="n"/>
      <c r="L365" s="12" t="n"/>
      <c r="M365" s="12" t="n"/>
      <c r="N365" s="11" t="n"/>
      <c r="O365" s="11" t="n"/>
      <c r="P365" s="14">
        <f>IF(AND(M365&lt;&gt;"",O365=""),"保留中","")</f>
        <v/>
      </c>
      <c r="Q365" s="14">
        <f>IF(P365="保留中",COUNTIF(P$6:P365,"保留中"),"")</f>
        <v/>
      </c>
    </row>
    <row r="366">
      <c r="A366" s="12" t="n"/>
      <c r="B366">
        <f>IF($A366="","",IFERROR(IF(LOOKUP(2,1/(人給データ!$B$2:$B$700=$A366),人給データ!$C$2:$C$700)=0,"",LOOKUP(2,1/(人給データ!$B$2:$B$700=$A366),人給データ!$C$2:$C$700)),""))</f>
        <v/>
      </c>
      <c r="C366">
        <f>IF($A366="","",IFERROR(IF(LOOKUP(2,1/(人給データ!$B$2:$B$700=$A366),人給データ!$G$2:$G$700)=0,"",LOOKUP(2,1/(人給データ!$B$2:$B$700=$A366),人給データ!$G$2:$G$700)),""))</f>
        <v/>
      </c>
      <c r="D366">
        <f>IF($A366="","",IFERROR(IF(LOOKUP(2,1/(人給データ!$B$2:$B$700=$A366),人給データ!$Y$2:$Y$700)=0,"",LOOKUP(2,1/(人給データ!$B$2:$B$700=$A366),人給データ!$Y$2:$Y$700)),""))</f>
        <v/>
      </c>
      <c r="E366" s="20">
        <f>IF($A366="","",IFERROR(IF(LOOKUP(2,1/(人給データ!$B$2:$B$700=$A366),人給データ!$AB$2:$AB$700)=0,"",LOOKUP(2,1/(人給データ!$B$2:$B$700=$A366),人給データ!$AB$2:$AB$700)),""))</f>
        <v/>
      </c>
      <c r="F366" s="16">
        <f>IF(OR(E366="",NOT(ISNUMBER(E366))),"",DATE(YEAR(E366)+2,MONTH(E366),DAY(E366)-2))</f>
        <v/>
      </c>
      <c r="G366" s="20">
        <f>IF($A366="","",IFERROR(IF(LOOKUP(2,1/(人給データ!$B$2:$B$700=$A366),人給データ!$J$2:$J$700)=0,"",LOOKUP(2,1/(人給データ!$B$2:$B$700=$A366),人給データ!$J$2:$J$700)),""))</f>
        <v/>
      </c>
      <c r="H366" s="20">
        <f>IF($A366="","",IFERROR(IF(LOOKUP(2,1/(人給データ!$B$2:$B$700=$A366),人給データ!$K$2:$K$700)=0,"",LOOKUP(2,1/(人給データ!$B$2:$B$700=$A366),人給データ!$K$2:$K$700)),""))</f>
        <v/>
      </c>
      <c r="I366" s="12" t="n"/>
      <c r="J366">
        <f>IF($A366="","",IFERROR(IF(LOOKUP(2,1/(人給データ!$B$2:$B$700=$A366),人給データ!$N$2:$N$700)=0,"",LOOKUP(2,1/(人給データ!$B$2:$B$700=$A366),人給データ!$N$2:$N$700)),""))</f>
        <v/>
      </c>
      <c r="K366" s="13" t="n"/>
      <c r="L366" s="12" t="n"/>
      <c r="M366" s="12" t="n"/>
      <c r="N366" s="11" t="n"/>
      <c r="O366" s="11" t="n"/>
      <c r="P366" s="14">
        <f>IF(AND(M366&lt;&gt;"",O366=""),"保留中","")</f>
        <v/>
      </c>
      <c r="Q366" s="14">
        <f>IF(P366="保留中",COUNTIF(P$6:P366,"保留中"),"")</f>
        <v/>
      </c>
    </row>
    <row r="367">
      <c r="A367" s="12" t="n"/>
      <c r="B367">
        <f>IF($A367="","",IFERROR(IF(LOOKUP(2,1/(人給データ!$B$2:$B$700=$A367),人給データ!$C$2:$C$700)=0,"",LOOKUP(2,1/(人給データ!$B$2:$B$700=$A367),人給データ!$C$2:$C$700)),""))</f>
        <v/>
      </c>
      <c r="C367">
        <f>IF($A367="","",IFERROR(IF(LOOKUP(2,1/(人給データ!$B$2:$B$700=$A367),人給データ!$G$2:$G$700)=0,"",LOOKUP(2,1/(人給データ!$B$2:$B$700=$A367),人給データ!$G$2:$G$700)),""))</f>
        <v/>
      </c>
      <c r="D367">
        <f>IF($A367="","",IFERROR(IF(LOOKUP(2,1/(人給データ!$B$2:$B$700=$A367),人給データ!$Y$2:$Y$700)=0,"",LOOKUP(2,1/(人給データ!$B$2:$B$700=$A367),人給データ!$Y$2:$Y$700)),""))</f>
        <v/>
      </c>
      <c r="E367" s="20">
        <f>IF($A367="","",IFERROR(IF(LOOKUP(2,1/(人給データ!$B$2:$B$700=$A367),人給データ!$AB$2:$AB$700)=0,"",LOOKUP(2,1/(人給データ!$B$2:$B$700=$A367),人給データ!$AB$2:$AB$700)),""))</f>
        <v/>
      </c>
      <c r="F367" s="16">
        <f>IF(OR(E367="",NOT(ISNUMBER(E367))),"",DATE(YEAR(E367)+2,MONTH(E367),DAY(E367)-2))</f>
        <v/>
      </c>
      <c r="G367" s="20">
        <f>IF($A367="","",IFERROR(IF(LOOKUP(2,1/(人給データ!$B$2:$B$700=$A367),人給データ!$J$2:$J$700)=0,"",LOOKUP(2,1/(人給データ!$B$2:$B$700=$A367),人給データ!$J$2:$J$700)),""))</f>
        <v/>
      </c>
      <c r="H367" s="20">
        <f>IF($A367="","",IFERROR(IF(LOOKUP(2,1/(人給データ!$B$2:$B$700=$A367),人給データ!$K$2:$K$700)=0,"",LOOKUP(2,1/(人給データ!$B$2:$B$700=$A367),人給データ!$K$2:$K$700)),""))</f>
        <v/>
      </c>
      <c r="I367" s="12" t="n"/>
      <c r="J367">
        <f>IF($A367="","",IFERROR(IF(LOOKUP(2,1/(人給データ!$B$2:$B$700=$A367),人給データ!$N$2:$N$700)=0,"",LOOKUP(2,1/(人給データ!$B$2:$B$700=$A367),人給データ!$N$2:$N$700)),""))</f>
        <v/>
      </c>
      <c r="K367" s="13" t="n"/>
      <c r="L367" s="12" t="n"/>
      <c r="M367" s="12" t="n"/>
      <c r="N367" s="11" t="n"/>
      <c r="O367" s="11" t="n"/>
      <c r="P367" s="14">
        <f>IF(AND(M367&lt;&gt;"",O367=""),"保留中","")</f>
        <v/>
      </c>
      <c r="Q367" s="14">
        <f>IF(P367="保留中",COUNTIF(P$6:P367,"保留中"),"")</f>
        <v/>
      </c>
    </row>
    <row r="368">
      <c r="A368" s="12" t="n"/>
      <c r="B368">
        <f>IF($A368="","",IFERROR(IF(LOOKUP(2,1/(人給データ!$B$2:$B$700=$A368),人給データ!$C$2:$C$700)=0,"",LOOKUP(2,1/(人給データ!$B$2:$B$700=$A368),人給データ!$C$2:$C$700)),""))</f>
        <v/>
      </c>
      <c r="C368">
        <f>IF($A368="","",IFERROR(IF(LOOKUP(2,1/(人給データ!$B$2:$B$700=$A368),人給データ!$G$2:$G$700)=0,"",LOOKUP(2,1/(人給データ!$B$2:$B$700=$A368),人給データ!$G$2:$G$700)),""))</f>
        <v/>
      </c>
      <c r="D368">
        <f>IF($A368="","",IFERROR(IF(LOOKUP(2,1/(人給データ!$B$2:$B$700=$A368),人給データ!$Y$2:$Y$700)=0,"",LOOKUP(2,1/(人給データ!$B$2:$B$700=$A368),人給データ!$Y$2:$Y$700)),""))</f>
        <v/>
      </c>
      <c r="E368" s="20">
        <f>IF($A368="","",IFERROR(IF(LOOKUP(2,1/(人給データ!$B$2:$B$700=$A368),人給データ!$AB$2:$AB$700)=0,"",LOOKUP(2,1/(人給データ!$B$2:$B$700=$A368),人給データ!$AB$2:$AB$700)),""))</f>
        <v/>
      </c>
      <c r="F368" s="16">
        <f>IF(OR(E368="",NOT(ISNUMBER(E368))),"",DATE(YEAR(E368)+2,MONTH(E368),DAY(E368)-2))</f>
        <v/>
      </c>
      <c r="G368" s="20">
        <f>IF($A368="","",IFERROR(IF(LOOKUP(2,1/(人給データ!$B$2:$B$700=$A368),人給データ!$J$2:$J$700)=0,"",LOOKUP(2,1/(人給データ!$B$2:$B$700=$A368),人給データ!$J$2:$J$700)),""))</f>
        <v/>
      </c>
      <c r="H368" s="20">
        <f>IF($A368="","",IFERROR(IF(LOOKUP(2,1/(人給データ!$B$2:$B$700=$A368),人給データ!$K$2:$K$700)=0,"",LOOKUP(2,1/(人給データ!$B$2:$B$700=$A368),人給データ!$K$2:$K$700)),""))</f>
        <v/>
      </c>
      <c r="I368" s="12" t="n"/>
      <c r="J368">
        <f>IF($A368="","",IFERROR(IF(LOOKUP(2,1/(人給データ!$B$2:$B$700=$A368),人給データ!$N$2:$N$700)=0,"",LOOKUP(2,1/(人給データ!$B$2:$B$700=$A368),人給データ!$N$2:$N$700)),""))</f>
        <v/>
      </c>
      <c r="K368" s="13" t="n"/>
      <c r="L368" s="12" t="n"/>
      <c r="M368" s="12" t="n"/>
      <c r="N368" s="11" t="n"/>
      <c r="O368" s="11" t="n"/>
      <c r="P368" s="14">
        <f>IF(AND(M368&lt;&gt;"",O368=""),"保留中","")</f>
        <v/>
      </c>
      <c r="Q368" s="14">
        <f>IF(P368="保留中",COUNTIF(P$6:P368,"保留中"),"")</f>
        <v/>
      </c>
    </row>
    <row r="369">
      <c r="A369" s="12" t="n"/>
      <c r="B369">
        <f>IF($A369="","",IFERROR(IF(LOOKUP(2,1/(人給データ!$B$2:$B$700=$A369),人給データ!$C$2:$C$700)=0,"",LOOKUP(2,1/(人給データ!$B$2:$B$700=$A369),人給データ!$C$2:$C$700)),""))</f>
        <v/>
      </c>
      <c r="C369">
        <f>IF($A369="","",IFERROR(IF(LOOKUP(2,1/(人給データ!$B$2:$B$700=$A369),人給データ!$G$2:$G$700)=0,"",LOOKUP(2,1/(人給データ!$B$2:$B$700=$A369),人給データ!$G$2:$G$700)),""))</f>
        <v/>
      </c>
      <c r="D369">
        <f>IF($A369="","",IFERROR(IF(LOOKUP(2,1/(人給データ!$B$2:$B$700=$A369),人給データ!$Y$2:$Y$700)=0,"",LOOKUP(2,1/(人給データ!$B$2:$B$700=$A369),人給データ!$Y$2:$Y$700)),""))</f>
        <v/>
      </c>
      <c r="E369" s="20">
        <f>IF($A369="","",IFERROR(IF(LOOKUP(2,1/(人給データ!$B$2:$B$700=$A369),人給データ!$AB$2:$AB$700)=0,"",LOOKUP(2,1/(人給データ!$B$2:$B$700=$A369),人給データ!$AB$2:$AB$700)),""))</f>
        <v/>
      </c>
      <c r="F369" s="16">
        <f>IF(OR(E369="",NOT(ISNUMBER(E369))),"",DATE(YEAR(E369)+2,MONTH(E369),DAY(E369)-2))</f>
        <v/>
      </c>
      <c r="G369" s="20">
        <f>IF($A369="","",IFERROR(IF(LOOKUP(2,1/(人給データ!$B$2:$B$700=$A369),人給データ!$J$2:$J$700)=0,"",LOOKUP(2,1/(人給データ!$B$2:$B$700=$A369),人給データ!$J$2:$J$700)),""))</f>
        <v/>
      </c>
      <c r="H369" s="20">
        <f>IF($A369="","",IFERROR(IF(LOOKUP(2,1/(人給データ!$B$2:$B$700=$A369),人給データ!$K$2:$K$700)=0,"",LOOKUP(2,1/(人給データ!$B$2:$B$700=$A369),人給データ!$K$2:$K$700)),""))</f>
        <v/>
      </c>
      <c r="I369" s="12" t="n"/>
      <c r="J369">
        <f>IF($A369="","",IFERROR(IF(LOOKUP(2,1/(人給データ!$B$2:$B$700=$A369),人給データ!$N$2:$N$700)=0,"",LOOKUP(2,1/(人給データ!$B$2:$B$700=$A369),人給データ!$N$2:$N$700)),""))</f>
        <v/>
      </c>
      <c r="K369" s="13" t="n"/>
      <c r="L369" s="12" t="n"/>
      <c r="M369" s="12" t="n"/>
      <c r="N369" s="11" t="n"/>
      <c r="O369" s="11" t="n"/>
      <c r="P369" s="14">
        <f>IF(AND(M369&lt;&gt;"",O369=""),"保留中","")</f>
        <v/>
      </c>
      <c r="Q369" s="14">
        <f>IF(P369="保留中",COUNTIF(P$6:P369,"保留中"),"")</f>
        <v/>
      </c>
    </row>
    <row r="370">
      <c r="A370" s="12" t="n"/>
      <c r="B370">
        <f>IF($A370="","",IFERROR(IF(LOOKUP(2,1/(人給データ!$B$2:$B$700=$A370),人給データ!$C$2:$C$700)=0,"",LOOKUP(2,1/(人給データ!$B$2:$B$700=$A370),人給データ!$C$2:$C$700)),""))</f>
        <v/>
      </c>
      <c r="C370">
        <f>IF($A370="","",IFERROR(IF(LOOKUP(2,1/(人給データ!$B$2:$B$700=$A370),人給データ!$G$2:$G$700)=0,"",LOOKUP(2,1/(人給データ!$B$2:$B$700=$A370),人給データ!$G$2:$G$700)),""))</f>
        <v/>
      </c>
      <c r="D370">
        <f>IF($A370="","",IFERROR(IF(LOOKUP(2,1/(人給データ!$B$2:$B$700=$A370),人給データ!$Y$2:$Y$700)=0,"",LOOKUP(2,1/(人給データ!$B$2:$B$700=$A370),人給データ!$Y$2:$Y$700)),""))</f>
        <v/>
      </c>
      <c r="E370" s="20">
        <f>IF($A370="","",IFERROR(IF(LOOKUP(2,1/(人給データ!$B$2:$B$700=$A370),人給データ!$AB$2:$AB$700)=0,"",LOOKUP(2,1/(人給データ!$B$2:$B$700=$A370),人給データ!$AB$2:$AB$700)),""))</f>
        <v/>
      </c>
      <c r="F370" s="16">
        <f>IF(OR(E370="",NOT(ISNUMBER(E370))),"",DATE(YEAR(E370)+2,MONTH(E370),DAY(E370)-2))</f>
        <v/>
      </c>
      <c r="G370" s="20">
        <f>IF($A370="","",IFERROR(IF(LOOKUP(2,1/(人給データ!$B$2:$B$700=$A370),人給データ!$J$2:$J$700)=0,"",LOOKUP(2,1/(人給データ!$B$2:$B$700=$A370),人給データ!$J$2:$J$700)),""))</f>
        <v/>
      </c>
      <c r="H370" s="20">
        <f>IF($A370="","",IFERROR(IF(LOOKUP(2,1/(人給データ!$B$2:$B$700=$A370),人給データ!$K$2:$K$700)=0,"",LOOKUP(2,1/(人給データ!$B$2:$B$700=$A370),人給データ!$K$2:$K$700)),""))</f>
        <v/>
      </c>
      <c r="I370" s="12" t="n"/>
      <c r="J370">
        <f>IF($A370="","",IFERROR(IF(LOOKUP(2,1/(人給データ!$B$2:$B$700=$A370),人給データ!$N$2:$N$700)=0,"",LOOKUP(2,1/(人給データ!$B$2:$B$700=$A370),人給データ!$N$2:$N$700)),""))</f>
        <v/>
      </c>
      <c r="K370" s="13" t="n"/>
      <c r="L370" s="12" t="n"/>
      <c r="M370" s="12" t="n"/>
      <c r="N370" s="11" t="n"/>
      <c r="O370" s="11" t="n"/>
      <c r="P370" s="14">
        <f>IF(AND(M370&lt;&gt;"",O370=""),"保留中","")</f>
        <v/>
      </c>
      <c r="Q370" s="14">
        <f>IF(P370="保留中",COUNTIF(P$6:P370,"保留中"),"")</f>
        <v/>
      </c>
    </row>
    <row r="371">
      <c r="A371" s="12" t="n"/>
      <c r="B371">
        <f>IF($A371="","",IFERROR(IF(LOOKUP(2,1/(人給データ!$B$2:$B$700=$A371),人給データ!$C$2:$C$700)=0,"",LOOKUP(2,1/(人給データ!$B$2:$B$700=$A371),人給データ!$C$2:$C$700)),""))</f>
        <v/>
      </c>
      <c r="C371">
        <f>IF($A371="","",IFERROR(IF(LOOKUP(2,1/(人給データ!$B$2:$B$700=$A371),人給データ!$G$2:$G$700)=0,"",LOOKUP(2,1/(人給データ!$B$2:$B$700=$A371),人給データ!$G$2:$G$700)),""))</f>
        <v/>
      </c>
      <c r="D371">
        <f>IF($A371="","",IFERROR(IF(LOOKUP(2,1/(人給データ!$B$2:$B$700=$A371),人給データ!$Y$2:$Y$700)=0,"",LOOKUP(2,1/(人給データ!$B$2:$B$700=$A371),人給データ!$Y$2:$Y$700)),""))</f>
        <v/>
      </c>
      <c r="E371" s="20">
        <f>IF($A371="","",IFERROR(IF(LOOKUP(2,1/(人給データ!$B$2:$B$700=$A371),人給データ!$AB$2:$AB$700)=0,"",LOOKUP(2,1/(人給データ!$B$2:$B$700=$A371),人給データ!$AB$2:$AB$700)),""))</f>
        <v/>
      </c>
      <c r="F371" s="16">
        <f>IF(OR(E371="",NOT(ISNUMBER(E371))),"",DATE(YEAR(E371)+2,MONTH(E371),DAY(E371)-2))</f>
        <v/>
      </c>
      <c r="G371" s="20">
        <f>IF($A371="","",IFERROR(IF(LOOKUP(2,1/(人給データ!$B$2:$B$700=$A371),人給データ!$J$2:$J$700)=0,"",LOOKUP(2,1/(人給データ!$B$2:$B$700=$A371),人給データ!$J$2:$J$700)),""))</f>
        <v/>
      </c>
      <c r="H371" s="20">
        <f>IF($A371="","",IFERROR(IF(LOOKUP(2,1/(人給データ!$B$2:$B$700=$A371),人給データ!$K$2:$K$700)=0,"",LOOKUP(2,1/(人給データ!$B$2:$B$700=$A371),人給データ!$K$2:$K$700)),""))</f>
        <v/>
      </c>
      <c r="I371" s="12" t="n"/>
      <c r="J371">
        <f>IF($A371="","",IFERROR(IF(LOOKUP(2,1/(人給データ!$B$2:$B$700=$A371),人給データ!$N$2:$N$700)=0,"",LOOKUP(2,1/(人給データ!$B$2:$B$700=$A371),人給データ!$N$2:$N$700)),""))</f>
        <v/>
      </c>
      <c r="K371" s="13" t="n"/>
      <c r="L371" s="12" t="n"/>
      <c r="M371" s="12" t="n"/>
      <c r="N371" s="11" t="n"/>
      <c r="O371" s="11" t="n"/>
      <c r="P371" s="14">
        <f>IF(AND(M371&lt;&gt;"",O371=""),"保留中","")</f>
        <v/>
      </c>
      <c r="Q371" s="14">
        <f>IF(P371="保留中",COUNTIF(P$6:P371,"保留中"),"")</f>
        <v/>
      </c>
    </row>
    <row r="372">
      <c r="A372" s="12" t="n"/>
      <c r="B372">
        <f>IF($A372="","",IFERROR(IF(LOOKUP(2,1/(人給データ!$B$2:$B$700=$A372),人給データ!$C$2:$C$700)=0,"",LOOKUP(2,1/(人給データ!$B$2:$B$700=$A372),人給データ!$C$2:$C$700)),""))</f>
        <v/>
      </c>
      <c r="C372">
        <f>IF($A372="","",IFERROR(IF(LOOKUP(2,1/(人給データ!$B$2:$B$700=$A372),人給データ!$G$2:$G$700)=0,"",LOOKUP(2,1/(人給データ!$B$2:$B$700=$A372),人給データ!$G$2:$G$700)),""))</f>
        <v/>
      </c>
      <c r="D372">
        <f>IF($A372="","",IFERROR(IF(LOOKUP(2,1/(人給データ!$B$2:$B$700=$A372),人給データ!$Y$2:$Y$700)=0,"",LOOKUP(2,1/(人給データ!$B$2:$B$700=$A372),人給データ!$Y$2:$Y$700)),""))</f>
        <v/>
      </c>
      <c r="E372" s="20">
        <f>IF($A372="","",IFERROR(IF(LOOKUP(2,1/(人給データ!$B$2:$B$700=$A372),人給データ!$AB$2:$AB$700)=0,"",LOOKUP(2,1/(人給データ!$B$2:$B$700=$A372),人給データ!$AB$2:$AB$700)),""))</f>
        <v/>
      </c>
      <c r="F372" s="16">
        <f>IF(OR(E372="",NOT(ISNUMBER(E372))),"",DATE(YEAR(E372)+2,MONTH(E372),DAY(E372)-2))</f>
        <v/>
      </c>
      <c r="G372" s="20">
        <f>IF($A372="","",IFERROR(IF(LOOKUP(2,1/(人給データ!$B$2:$B$700=$A372),人給データ!$J$2:$J$700)=0,"",LOOKUP(2,1/(人給データ!$B$2:$B$700=$A372),人給データ!$J$2:$J$700)),""))</f>
        <v/>
      </c>
      <c r="H372" s="20">
        <f>IF($A372="","",IFERROR(IF(LOOKUP(2,1/(人給データ!$B$2:$B$700=$A372),人給データ!$K$2:$K$700)=0,"",LOOKUP(2,1/(人給データ!$B$2:$B$700=$A372),人給データ!$K$2:$K$700)),""))</f>
        <v/>
      </c>
      <c r="I372" s="12" t="n"/>
      <c r="J372">
        <f>IF($A372="","",IFERROR(IF(LOOKUP(2,1/(人給データ!$B$2:$B$700=$A372),人給データ!$N$2:$N$700)=0,"",LOOKUP(2,1/(人給データ!$B$2:$B$700=$A372),人給データ!$N$2:$N$700)),""))</f>
        <v/>
      </c>
      <c r="K372" s="13" t="n"/>
      <c r="L372" s="12" t="n"/>
      <c r="M372" s="12" t="n"/>
      <c r="N372" s="11" t="n"/>
      <c r="O372" s="11" t="n"/>
      <c r="P372" s="14">
        <f>IF(AND(M372&lt;&gt;"",O372=""),"保留中","")</f>
        <v/>
      </c>
      <c r="Q372" s="14">
        <f>IF(P372="保留中",COUNTIF(P$6:P372,"保留中"),"")</f>
        <v/>
      </c>
    </row>
    <row r="373">
      <c r="A373" s="12" t="n"/>
      <c r="B373">
        <f>IF($A373="","",IFERROR(IF(LOOKUP(2,1/(人給データ!$B$2:$B$700=$A373),人給データ!$C$2:$C$700)=0,"",LOOKUP(2,1/(人給データ!$B$2:$B$700=$A373),人給データ!$C$2:$C$700)),""))</f>
        <v/>
      </c>
      <c r="C373">
        <f>IF($A373="","",IFERROR(IF(LOOKUP(2,1/(人給データ!$B$2:$B$700=$A373),人給データ!$G$2:$G$700)=0,"",LOOKUP(2,1/(人給データ!$B$2:$B$700=$A373),人給データ!$G$2:$G$700)),""))</f>
        <v/>
      </c>
      <c r="D373">
        <f>IF($A373="","",IFERROR(IF(LOOKUP(2,1/(人給データ!$B$2:$B$700=$A373),人給データ!$Y$2:$Y$700)=0,"",LOOKUP(2,1/(人給データ!$B$2:$B$700=$A373),人給データ!$Y$2:$Y$700)),""))</f>
        <v/>
      </c>
      <c r="E373" s="20">
        <f>IF($A373="","",IFERROR(IF(LOOKUP(2,1/(人給データ!$B$2:$B$700=$A373),人給データ!$AB$2:$AB$700)=0,"",LOOKUP(2,1/(人給データ!$B$2:$B$700=$A373),人給データ!$AB$2:$AB$700)),""))</f>
        <v/>
      </c>
      <c r="F373" s="16">
        <f>IF(OR(E373="",NOT(ISNUMBER(E373))),"",DATE(YEAR(E373)+2,MONTH(E373),DAY(E373)-2))</f>
        <v/>
      </c>
      <c r="G373" s="20">
        <f>IF($A373="","",IFERROR(IF(LOOKUP(2,1/(人給データ!$B$2:$B$700=$A373),人給データ!$J$2:$J$700)=0,"",LOOKUP(2,1/(人給データ!$B$2:$B$700=$A373),人給データ!$J$2:$J$700)),""))</f>
        <v/>
      </c>
      <c r="H373" s="20">
        <f>IF($A373="","",IFERROR(IF(LOOKUP(2,1/(人給データ!$B$2:$B$700=$A373),人給データ!$K$2:$K$700)=0,"",LOOKUP(2,1/(人給データ!$B$2:$B$700=$A373),人給データ!$K$2:$K$700)),""))</f>
        <v/>
      </c>
      <c r="I373" s="12" t="n"/>
      <c r="J373">
        <f>IF($A373="","",IFERROR(IF(LOOKUP(2,1/(人給データ!$B$2:$B$700=$A373),人給データ!$N$2:$N$700)=0,"",LOOKUP(2,1/(人給データ!$B$2:$B$700=$A373),人給データ!$N$2:$N$700)),""))</f>
        <v/>
      </c>
      <c r="K373" s="13" t="n"/>
      <c r="L373" s="12" t="n"/>
      <c r="M373" s="12" t="n"/>
      <c r="N373" s="11" t="n"/>
      <c r="O373" s="11" t="n"/>
      <c r="P373" s="14">
        <f>IF(AND(M373&lt;&gt;"",O373=""),"保留中","")</f>
        <v/>
      </c>
      <c r="Q373" s="14">
        <f>IF(P373="保留中",COUNTIF(P$6:P373,"保留中"),"")</f>
        <v/>
      </c>
    </row>
    <row r="374">
      <c r="A374" s="12" t="n"/>
      <c r="B374">
        <f>IF($A374="","",IFERROR(IF(LOOKUP(2,1/(人給データ!$B$2:$B$700=$A374),人給データ!$C$2:$C$700)=0,"",LOOKUP(2,1/(人給データ!$B$2:$B$700=$A374),人給データ!$C$2:$C$700)),""))</f>
        <v/>
      </c>
      <c r="C374">
        <f>IF($A374="","",IFERROR(IF(LOOKUP(2,1/(人給データ!$B$2:$B$700=$A374),人給データ!$G$2:$G$700)=0,"",LOOKUP(2,1/(人給データ!$B$2:$B$700=$A374),人給データ!$G$2:$G$700)),""))</f>
        <v/>
      </c>
      <c r="D374">
        <f>IF($A374="","",IFERROR(IF(LOOKUP(2,1/(人給データ!$B$2:$B$700=$A374),人給データ!$Y$2:$Y$700)=0,"",LOOKUP(2,1/(人給データ!$B$2:$B$700=$A374),人給データ!$Y$2:$Y$700)),""))</f>
        <v/>
      </c>
      <c r="E374" s="20">
        <f>IF($A374="","",IFERROR(IF(LOOKUP(2,1/(人給データ!$B$2:$B$700=$A374),人給データ!$AB$2:$AB$700)=0,"",LOOKUP(2,1/(人給データ!$B$2:$B$700=$A374),人給データ!$AB$2:$AB$700)),""))</f>
        <v/>
      </c>
      <c r="F374" s="16">
        <f>IF(OR(E374="",NOT(ISNUMBER(E374))),"",DATE(YEAR(E374)+2,MONTH(E374),DAY(E374)-2))</f>
        <v/>
      </c>
      <c r="G374" s="20">
        <f>IF($A374="","",IFERROR(IF(LOOKUP(2,1/(人給データ!$B$2:$B$700=$A374),人給データ!$J$2:$J$700)=0,"",LOOKUP(2,1/(人給データ!$B$2:$B$700=$A374),人給データ!$J$2:$J$700)),""))</f>
        <v/>
      </c>
      <c r="H374" s="20">
        <f>IF($A374="","",IFERROR(IF(LOOKUP(2,1/(人給データ!$B$2:$B$700=$A374),人給データ!$K$2:$K$700)=0,"",LOOKUP(2,1/(人給データ!$B$2:$B$700=$A374),人給データ!$K$2:$K$700)),""))</f>
        <v/>
      </c>
      <c r="I374" s="12" t="n"/>
      <c r="J374">
        <f>IF($A374="","",IFERROR(IF(LOOKUP(2,1/(人給データ!$B$2:$B$700=$A374),人給データ!$N$2:$N$700)=0,"",LOOKUP(2,1/(人給データ!$B$2:$B$700=$A374),人給データ!$N$2:$N$700)),""))</f>
        <v/>
      </c>
      <c r="K374" s="13" t="n"/>
      <c r="L374" s="12" t="n"/>
      <c r="M374" s="12" t="n"/>
      <c r="N374" s="11" t="n"/>
      <c r="O374" s="11" t="n"/>
      <c r="P374" s="14">
        <f>IF(AND(M374&lt;&gt;"",O374=""),"保留中","")</f>
        <v/>
      </c>
      <c r="Q374" s="14">
        <f>IF(P374="保留中",COUNTIF(P$6:P374,"保留中"),"")</f>
        <v/>
      </c>
    </row>
    <row r="375">
      <c r="A375" s="12" t="n"/>
      <c r="B375">
        <f>IF($A375="","",IFERROR(IF(LOOKUP(2,1/(人給データ!$B$2:$B$700=$A375),人給データ!$C$2:$C$700)=0,"",LOOKUP(2,1/(人給データ!$B$2:$B$700=$A375),人給データ!$C$2:$C$700)),""))</f>
        <v/>
      </c>
      <c r="C375">
        <f>IF($A375="","",IFERROR(IF(LOOKUP(2,1/(人給データ!$B$2:$B$700=$A375),人給データ!$G$2:$G$700)=0,"",LOOKUP(2,1/(人給データ!$B$2:$B$700=$A375),人給データ!$G$2:$G$700)),""))</f>
        <v/>
      </c>
      <c r="D375">
        <f>IF($A375="","",IFERROR(IF(LOOKUP(2,1/(人給データ!$B$2:$B$700=$A375),人給データ!$Y$2:$Y$700)=0,"",LOOKUP(2,1/(人給データ!$B$2:$B$700=$A375),人給データ!$Y$2:$Y$700)),""))</f>
        <v/>
      </c>
      <c r="E375" s="20">
        <f>IF($A375="","",IFERROR(IF(LOOKUP(2,1/(人給データ!$B$2:$B$700=$A375),人給データ!$AB$2:$AB$700)=0,"",LOOKUP(2,1/(人給データ!$B$2:$B$700=$A375),人給データ!$AB$2:$AB$700)),""))</f>
        <v/>
      </c>
      <c r="F375" s="16">
        <f>IF(OR(E375="",NOT(ISNUMBER(E375))),"",DATE(YEAR(E375)+2,MONTH(E375),DAY(E375)-2))</f>
        <v/>
      </c>
      <c r="G375" s="20">
        <f>IF($A375="","",IFERROR(IF(LOOKUP(2,1/(人給データ!$B$2:$B$700=$A375),人給データ!$J$2:$J$700)=0,"",LOOKUP(2,1/(人給データ!$B$2:$B$700=$A375),人給データ!$J$2:$J$700)),""))</f>
        <v/>
      </c>
      <c r="H375" s="20">
        <f>IF($A375="","",IFERROR(IF(LOOKUP(2,1/(人給データ!$B$2:$B$700=$A375),人給データ!$K$2:$K$700)=0,"",LOOKUP(2,1/(人給データ!$B$2:$B$700=$A375),人給データ!$K$2:$K$700)),""))</f>
        <v/>
      </c>
      <c r="I375" s="12" t="n"/>
      <c r="J375">
        <f>IF($A375="","",IFERROR(IF(LOOKUP(2,1/(人給データ!$B$2:$B$700=$A375),人給データ!$N$2:$N$700)=0,"",LOOKUP(2,1/(人給データ!$B$2:$B$700=$A375),人給データ!$N$2:$N$700)),""))</f>
        <v/>
      </c>
      <c r="K375" s="13" t="n"/>
      <c r="L375" s="12" t="n"/>
      <c r="M375" s="12" t="n"/>
      <c r="N375" s="11" t="n"/>
      <c r="O375" s="11" t="n"/>
      <c r="P375" s="14">
        <f>IF(AND(M375&lt;&gt;"",O375=""),"保留中","")</f>
        <v/>
      </c>
      <c r="Q375" s="14">
        <f>IF(P375="保留中",COUNTIF(P$6:P375,"保留中"),"")</f>
        <v/>
      </c>
    </row>
    <row r="376">
      <c r="A376" s="12" t="n"/>
      <c r="B376">
        <f>IF($A376="","",IFERROR(IF(LOOKUP(2,1/(人給データ!$B$2:$B$700=$A376),人給データ!$C$2:$C$700)=0,"",LOOKUP(2,1/(人給データ!$B$2:$B$700=$A376),人給データ!$C$2:$C$700)),""))</f>
        <v/>
      </c>
      <c r="C376">
        <f>IF($A376="","",IFERROR(IF(LOOKUP(2,1/(人給データ!$B$2:$B$700=$A376),人給データ!$G$2:$G$700)=0,"",LOOKUP(2,1/(人給データ!$B$2:$B$700=$A376),人給データ!$G$2:$G$700)),""))</f>
        <v/>
      </c>
      <c r="D376">
        <f>IF($A376="","",IFERROR(IF(LOOKUP(2,1/(人給データ!$B$2:$B$700=$A376),人給データ!$Y$2:$Y$700)=0,"",LOOKUP(2,1/(人給データ!$B$2:$B$700=$A376),人給データ!$Y$2:$Y$700)),""))</f>
        <v/>
      </c>
      <c r="E376" s="20">
        <f>IF($A376="","",IFERROR(IF(LOOKUP(2,1/(人給データ!$B$2:$B$700=$A376),人給データ!$AB$2:$AB$700)=0,"",LOOKUP(2,1/(人給データ!$B$2:$B$700=$A376),人給データ!$AB$2:$AB$700)),""))</f>
        <v/>
      </c>
      <c r="F376" s="16">
        <f>IF(OR(E376="",NOT(ISNUMBER(E376))),"",DATE(YEAR(E376)+2,MONTH(E376),DAY(E376)-2))</f>
        <v/>
      </c>
      <c r="G376" s="20">
        <f>IF($A376="","",IFERROR(IF(LOOKUP(2,1/(人給データ!$B$2:$B$700=$A376),人給データ!$J$2:$J$700)=0,"",LOOKUP(2,1/(人給データ!$B$2:$B$700=$A376),人給データ!$J$2:$J$700)),""))</f>
        <v/>
      </c>
      <c r="H376" s="20">
        <f>IF($A376="","",IFERROR(IF(LOOKUP(2,1/(人給データ!$B$2:$B$700=$A376),人給データ!$K$2:$K$700)=0,"",LOOKUP(2,1/(人給データ!$B$2:$B$700=$A376),人給データ!$K$2:$K$700)),""))</f>
        <v/>
      </c>
      <c r="I376" s="12" t="n"/>
      <c r="J376">
        <f>IF($A376="","",IFERROR(IF(LOOKUP(2,1/(人給データ!$B$2:$B$700=$A376),人給データ!$N$2:$N$700)=0,"",LOOKUP(2,1/(人給データ!$B$2:$B$700=$A376),人給データ!$N$2:$N$700)),""))</f>
        <v/>
      </c>
      <c r="K376" s="13" t="n"/>
      <c r="L376" s="12" t="n"/>
      <c r="M376" s="12" t="n"/>
      <c r="N376" s="11" t="n"/>
      <c r="O376" s="11" t="n"/>
      <c r="P376" s="14">
        <f>IF(AND(M376&lt;&gt;"",O376=""),"保留中","")</f>
        <v/>
      </c>
      <c r="Q376" s="14">
        <f>IF(P376="保留中",COUNTIF(P$6:P376,"保留中"),"")</f>
        <v/>
      </c>
    </row>
    <row r="377">
      <c r="A377" s="12" t="n"/>
      <c r="B377">
        <f>IF($A377="","",IFERROR(IF(LOOKUP(2,1/(人給データ!$B$2:$B$700=$A377),人給データ!$C$2:$C$700)=0,"",LOOKUP(2,1/(人給データ!$B$2:$B$700=$A377),人給データ!$C$2:$C$700)),""))</f>
        <v/>
      </c>
      <c r="C377">
        <f>IF($A377="","",IFERROR(IF(LOOKUP(2,1/(人給データ!$B$2:$B$700=$A377),人給データ!$G$2:$G$700)=0,"",LOOKUP(2,1/(人給データ!$B$2:$B$700=$A377),人給データ!$G$2:$G$700)),""))</f>
        <v/>
      </c>
      <c r="D377">
        <f>IF($A377="","",IFERROR(IF(LOOKUP(2,1/(人給データ!$B$2:$B$700=$A377),人給データ!$Y$2:$Y$700)=0,"",LOOKUP(2,1/(人給データ!$B$2:$B$700=$A377),人給データ!$Y$2:$Y$700)),""))</f>
        <v/>
      </c>
      <c r="E377" s="20">
        <f>IF($A377="","",IFERROR(IF(LOOKUP(2,1/(人給データ!$B$2:$B$700=$A377),人給データ!$AB$2:$AB$700)=0,"",LOOKUP(2,1/(人給データ!$B$2:$B$700=$A377),人給データ!$AB$2:$AB$700)),""))</f>
        <v/>
      </c>
      <c r="F377" s="16">
        <f>IF(OR(E377="",NOT(ISNUMBER(E377))),"",DATE(YEAR(E377)+2,MONTH(E377),DAY(E377)-2))</f>
        <v/>
      </c>
      <c r="G377" s="20">
        <f>IF($A377="","",IFERROR(IF(LOOKUP(2,1/(人給データ!$B$2:$B$700=$A377),人給データ!$J$2:$J$700)=0,"",LOOKUP(2,1/(人給データ!$B$2:$B$700=$A377),人給データ!$J$2:$J$700)),""))</f>
        <v/>
      </c>
      <c r="H377" s="20">
        <f>IF($A377="","",IFERROR(IF(LOOKUP(2,1/(人給データ!$B$2:$B$700=$A377),人給データ!$K$2:$K$700)=0,"",LOOKUP(2,1/(人給データ!$B$2:$B$700=$A377),人給データ!$K$2:$K$700)),""))</f>
        <v/>
      </c>
      <c r="I377" s="12" t="n"/>
      <c r="J377">
        <f>IF($A377="","",IFERROR(IF(LOOKUP(2,1/(人給データ!$B$2:$B$700=$A377),人給データ!$N$2:$N$700)=0,"",LOOKUP(2,1/(人給データ!$B$2:$B$700=$A377),人給データ!$N$2:$N$700)),""))</f>
        <v/>
      </c>
      <c r="K377" s="13" t="n"/>
      <c r="L377" s="12" t="n"/>
      <c r="M377" s="12" t="n"/>
      <c r="N377" s="11" t="n"/>
      <c r="O377" s="11" t="n"/>
      <c r="P377" s="14">
        <f>IF(AND(M377&lt;&gt;"",O377=""),"保留中","")</f>
        <v/>
      </c>
      <c r="Q377" s="14">
        <f>IF(P377="保留中",COUNTIF(P$6:P377,"保留中"),"")</f>
        <v/>
      </c>
    </row>
    <row r="378">
      <c r="A378" s="12" t="n"/>
      <c r="B378">
        <f>IF($A378="","",IFERROR(IF(LOOKUP(2,1/(人給データ!$B$2:$B$700=$A378),人給データ!$C$2:$C$700)=0,"",LOOKUP(2,1/(人給データ!$B$2:$B$700=$A378),人給データ!$C$2:$C$700)),""))</f>
        <v/>
      </c>
      <c r="C378">
        <f>IF($A378="","",IFERROR(IF(LOOKUP(2,1/(人給データ!$B$2:$B$700=$A378),人給データ!$G$2:$G$700)=0,"",LOOKUP(2,1/(人給データ!$B$2:$B$700=$A378),人給データ!$G$2:$G$700)),""))</f>
        <v/>
      </c>
      <c r="D378">
        <f>IF($A378="","",IFERROR(IF(LOOKUP(2,1/(人給データ!$B$2:$B$700=$A378),人給データ!$Y$2:$Y$700)=0,"",LOOKUP(2,1/(人給データ!$B$2:$B$700=$A378),人給データ!$Y$2:$Y$700)),""))</f>
        <v/>
      </c>
      <c r="E378" s="20">
        <f>IF($A378="","",IFERROR(IF(LOOKUP(2,1/(人給データ!$B$2:$B$700=$A378),人給データ!$AB$2:$AB$700)=0,"",LOOKUP(2,1/(人給データ!$B$2:$B$700=$A378),人給データ!$AB$2:$AB$700)),""))</f>
        <v/>
      </c>
      <c r="F378" s="16">
        <f>IF(OR(E378="",NOT(ISNUMBER(E378))),"",DATE(YEAR(E378)+2,MONTH(E378),DAY(E378)-2))</f>
        <v/>
      </c>
      <c r="G378" s="20">
        <f>IF($A378="","",IFERROR(IF(LOOKUP(2,1/(人給データ!$B$2:$B$700=$A378),人給データ!$J$2:$J$700)=0,"",LOOKUP(2,1/(人給データ!$B$2:$B$700=$A378),人給データ!$J$2:$J$700)),""))</f>
        <v/>
      </c>
      <c r="H378" s="20">
        <f>IF($A378="","",IFERROR(IF(LOOKUP(2,1/(人給データ!$B$2:$B$700=$A378),人給データ!$K$2:$K$700)=0,"",LOOKUP(2,1/(人給データ!$B$2:$B$700=$A378),人給データ!$K$2:$K$700)),""))</f>
        <v/>
      </c>
      <c r="I378" s="12" t="n"/>
      <c r="J378">
        <f>IF($A378="","",IFERROR(IF(LOOKUP(2,1/(人給データ!$B$2:$B$700=$A378),人給データ!$N$2:$N$700)=0,"",LOOKUP(2,1/(人給データ!$B$2:$B$700=$A378),人給データ!$N$2:$N$700)),""))</f>
        <v/>
      </c>
      <c r="K378" s="13" t="n"/>
      <c r="L378" s="12" t="n"/>
      <c r="M378" s="12" t="n"/>
      <c r="N378" s="11" t="n"/>
      <c r="O378" s="11" t="n"/>
      <c r="P378" s="14">
        <f>IF(AND(M378&lt;&gt;"",O378=""),"保留中","")</f>
        <v/>
      </c>
      <c r="Q378" s="14">
        <f>IF(P378="保留中",COUNTIF(P$6:P378,"保留中"),"")</f>
        <v/>
      </c>
    </row>
    <row r="379">
      <c r="A379" s="12" t="n"/>
      <c r="B379">
        <f>IF($A379="","",IFERROR(IF(LOOKUP(2,1/(人給データ!$B$2:$B$700=$A379),人給データ!$C$2:$C$700)=0,"",LOOKUP(2,1/(人給データ!$B$2:$B$700=$A379),人給データ!$C$2:$C$700)),""))</f>
        <v/>
      </c>
      <c r="C379">
        <f>IF($A379="","",IFERROR(IF(LOOKUP(2,1/(人給データ!$B$2:$B$700=$A379),人給データ!$G$2:$G$700)=0,"",LOOKUP(2,1/(人給データ!$B$2:$B$700=$A379),人給データ!$G$2:$G$700)),""))</f>
        <v/>
      </c>
      <c r="D379">
        <f>IF($A379="","",IFERROR(IF(LOOKUP(2,1/(人給データ!$B$2:$B$700=$A379),人給データ!$Y$2:$Y$700)=0,"",LOOKUP(2,1/(人給データ!$B$2:$B$700=$A379),人給データ!$Y$2:$Y$700)),""))</f>
        <v/>
      </c>
      <c r="E379" s="20">
        <f>IF($A379="","",IFERROR(IF(LOOKUP(2,1/(人給データ!$B$2:$B$700=$A379),人給データ!$AB$2:$AB$700)=0,"",LOOKUP(2,1/(人給データ!$B$2:$B$700=$A379),人給データ!$AB$2:$AB$700)),""))</f>
        <v/>
      </c>
      <c r="F379" s="16">
        <f>IF(OR(E379="",NOT(ISNUMBER(E379))),"",DATE(YEAR(E379)+2,MONTH(E379),DAY(E379)-2))</f>
        <v/>
      </c>
      <c r="G379" s="20">
        <f>IF($A379="","",IFERROR(IF(LOOKUP(2,1/(人給データ!$B$2:$B$700=$A379),人給データ!$J$2:$J$700)=0,"",LOOKUP(2,1/(人給データ!$B$2:$B$700=$A379),人給データ!$J$2:$J$700)),""))</f>
        <v/>
      </c>
      <c r="H379" s="20">
        <f>IF($A379="","",IFERROR(IF(LOOKUP(2,1/(人給データ!$B$2:$B$700=$A379),人給データ!$K$2:$K$700)=0,"",LOOKUP(2,1/(人給データ!$B$2:$B$700=$A379),人給データ!$K$2:$K$700)),""))</f>
        <v/>
      </c>
      <c r="I379" s="12" t="n"/>
      <c r="J379">
        <f>IF($A379="","",IFERROR(IF(LOOKUP(2,1/(人給データ!$B$2:$B$700=$A379),人給データ!$N$2:$N$700)=0,"",LOOKUP(2,1/(人給データ!$B$2:$B$700=$A379),人給データ!$N$2:$N$700)),""))</f>
        <v/>
      </c>
      <c r="K379" s="13" t="n"/>
      <c r="L379" s="12" t="n"/>
      <c r="M379" s="12" t="n"/>
      <c r="N379" s="11" t="n"/>
      <c r="O379" s="11" t="n"/>
      <c r="P379" s="14">
        <f>IF(AND(M379&lt;&gt;"",O379=""),"保留中","")</f>
        <v/>
      </c>
      <c r="Q379" s="14">
        <f>IF(P379="保留中",COUNTIF(P$6:P379,"保留中"),"")</f>
        <v/>
      </c>
    </row>
    <row r="380">
      <c r="A380" s="12" t="n"/>
      <c r="B380">
        <f>IF($A380="","",IFERROR(IF(LOOKUP(2,1/(人給データ!$B$2:$B$700=$A380),人給データ!$C$2:$C$700)=0,"",LOOKUP(2,1/(人給データ!$B$2:$B$700=$A380),人給データ!$C$2:$C$700)),""))</f>
        <v/>
      </c>
      <c r="C380">
        <f>IF($A380="","",IFERROR(IF(LOOKUP(2,1/(人給データ!$B$2:$B$700=$A380),人給データ!$G$2:$G$700)=0,"",LOOKUP(2,1/(人給データ!$B$2:$B$700=$A380),人給データ!$G$2:$G$700)),""))</f>
        <v/>
      </c>
      <c r="D380">
        <f>IF($A380="","",IFERROR(IF(LOOKUP(2,1/(人給データ!$B$2:$B$700=$A380),人給データ!$Y$2:$Y$700)=0,"",LOOKUP(2,1/(人給データ!$B$2:$B$700=$A380),人給データ!$Y$2:$Y$700)),""))</f>
        <v/>
      </c>
      <c r="E380" s="20">
        <f>IF($A380="","",IFERROR(IF(LOOKUP(2,1/(人給データ!$B$2:$B$700=$A380),人給データ!$AB$2:$AB$700)=0,"",LOOKUP(2,1/(人給データ!$B$2:$B$700=$A380),人給データ!$AB$2:$AB$700)),""))</f>
        <v/>
      </c>
      <c r="F380" s="16">
        <f>IF(OR(E380="",NOT(ISNUMBER(E380))),"",DATE(YEAR(E380)+2,MONTH(E380),DAY(E380)-2))</f>
        <v/>
      </c>
      <c r="G380" s="20">
        <f>IF($A380="","",IFERROR(IF(LOOKUP(2,1/(人給データ!$B$2:$B$700=$A380),人給データ!$J$2:$J$700)=0,"",LOOKUP(2,1/(人給データ!$B$2:$B$700=$A380),人給データ!$J$2:$J$700)),""))</f>
        <v/>
      </c>
      <c r="H380" s="20">
        <f>IF($A380="","",IFERROR(IF(LOOKUP(2,1/(人給データ!$B$2:$B$700=$A380),人給データ!$K$2:$K$700)=0,"",LOOKUP(2,1/(人給データ!$B$2:$B$700=$A380),人給データ!$K$2:$K$700)),""))</f>
        <v/>
      </c>
      <c r="I380" s="12" t="n"/>
      <c r="J380">
        <f>IF($A380="","",IFERROR(IF(LOOKUP(2,1/(人給データ!$B$2:$B$700=$A380),人給データ!$N$2:$N$700)=0,"",LOOKUP(2,1/(人給データ!$B$2:$B$700=$A380),人給データ!$N$2:$N$700)),""))</f>
        <v/>
      </c>
      <c r="K380" s="13" t="n"/>
      <c r="L380" s="12" t="n"/>
      <c r="M380" s="12" t="n"/>
      <c r="N380" s="11" t="n"/>
      <c r="O380" s="11" t="n"/>
      <c r="P380" s="14">
        <f>IF(AND(M380&lt;&gt;"",O380=""),"保留中","")</f>
        <v/>
      </c>
      <c r="Q380" s="14">
        <f>IF(P380="保留中",COUNTIF(P$6:P380,"保留中"),"")</f>
        <v/>
      </c>
    </row>
    <row r="381">
      <c r="A381" s="12" t="n"/>
      <c r="B381">
        <f>IF($A381="","",IFERROR(IF(LOOKUP(2,1/(人給データ!$B$2:$B$700=$A381),人給データ!$C$2:$C$700)=0,"",LOOKUP(2,1/(人給データ!$B$2:$B$700=$A381),人給データ!$C$2:$C$700)),""))</f>
        <v/>
      </c>
      <c r="C381">
        <f>IF($A381="","",IFERROR(IF(LOOKUP(2,1/(人給データ!$B$2:$B$700=$A381),人給データ!$G$2:$G$700)=0,"",LOOKUP(2,1/(人給データ!$B$2:$B$700=$A381),人給データ!$G$2:$G$700)),""))</f>
        <v/>
      </c>
      <c r="D381">
        <f>IF($A381="","",IFERROR(IF(LOOKUP(2,1/(人給データ!$B$2:$B$700=$A381),人給データ!$Y$2:$Y$700)=0,"",LOOKUP(2,1/(人給データ!$B$2:$B$700=$A381),人給データ!$Y$2:$Y$700)),""))</f>
        <v/>
      </c>
      <c r="E381" s="20">
        <f>IF($A381="","",IFERROR(IF(LOOKUP(2,1/(人給データ!$B$2:$B$700=$A381),人給データ!$AB$2:$AB$700)=0,"",LOOKUP(2,1/(人給データ!$B$2:$B$700=$A381),人給データ!$AB$2:$AB$700)),""))</f>
        <v/>
      </c>
      <c r="F381" s="16">
        <f>IF(OR(E381="",NOT(ISNUMBER(E381))),"",DATE(YEAR(E381)+2,MONTH(E381),DAY(E381)-2))</f>
        <v/>
      </c>
      <c r="G381" s="20">
        <f>IF($A381="","",IFERROR(IF(LOOKUP(2,1/(人給データ!$B$2:$B$700=$A381),人給データ!$J$2:$J$700)=0,"",LOOKUP(2,1/(人給データ!$B$2:$B$700=$A381),人給データ!$J$2:$J$700)),""))</f>
        <v/>
      </c>
      <c r="H381" s="20">
        <f>IF($A381="","",IFERROR(IF(LOOKUP(2,1/(人給データ!$B$2:$B$700=$A381),人給データ!$K$2:$K$700)=0,"",LOOKUP(2,1/(人給データ!$B$2:$B$700=$A381),人給データ!$K$2:$K$700)),""))</f>
        <v/>
      </c>
      <c r="I381" s="12" t="n"/>
      <c r="J381">
        <f>IF($A381="","",IFERROR(IF(LOOKUP(2,1/(人給データ!$B$2:$B$700=$A381),人給データ!$N$2:$N$700)=0,"",LOOKUP(2,1/(人給データ!$B$2:$B$700=$A381),人給データ!$N$2:$N$700)),""))</f>
        <v/>
      </c>
      <c r="K381" s="13" t="n"/>
      <c r="L381" s="12" t="n"/>
      <c r="M381" s="12" t="n"/>
      <c r="N381" s="11" t="n"/>
      <c r="O381" s="11" t="n"/>
      <c r="P381" s="14">
        <f>IF(AND(M381&lt;&gt;"",O381=""),"保留中","")</f>
        <v/>
      </c>
      <c r="Q381" s="14">
        <f>IF(P381="保留中",COUNTIF(P$6:P381,"保留中"),"")</f>
        <v/>
      </c>
    </row>
    <row r="382">
      <c r="A382" s="12" t="n"/>
      <c r="B382">
        <f>IF($A382="","",IFERROR(IF(LOOKUP(2,1/(人給データ!$B$2:$B$700=$A382),人給データ!$C$2:$C$700)=0,"",LOOKUP(2,1/(人給データ!$B$2:$B$700=$A382),人給データ!$C$2:$C$700)),""))</f>
        <v/>
      </c>
      <c r="C382">
        <f>IF($A382="","",IFERROR(IF(LOOKUP(2,1/(人給データ!$B$2:$B$700=$A382),人給データ!$G$2:$G$700)=0,"",LOOKUP(2,1/(人給データ!$B$2:$B$700=$A382),人給データ!$G$2:$G$700)),""))</f>
        <v/>
      </c>
      <c r="D382">
        <f>IF($A382="","",IFERROR(IF(LOOKUP(2,1/(人給データ!$B$2:$B$700=$A382),人給データ!$Y$2:$Y$700)=0,"",LOOKUP(2,1/(人給データ!$B$2:$B$700=$A382),人給データ!$Y$2:$Y$700)),""))</f>
        <v/>
      </c>
      <c r="E382" s="20">
        <f>IF($A382="","",IFERROR(IF(LOOKUP(2,1/(人給データ!$B$2:$B$700=$A382),人給データ!$AB$2:$AB$700)=0,"",LOOKUP(2,1/(人給データ!$B$2:$B$700=$A382),人給データ!$AB$2:$AB$700)),""))</f>
        <v/>
      </c>
      <c r="F382" s="16">
        <f>IF(OR(E382="",NOT(ISNUMBER(E382))),"",DATE(YEAR(E382)+2,MONTH(E382),DAY(E382)-2))</f>
        <v/>
      </c>
      <c r="G382" s="20">
        <f>IF($A382="","",IFERROR(IF(LOOKUP(2,1/(人給データ!$B$2:$B$700=$A382),人給データ!$J$2:$J$700)=0,"",LOOKUP(2,1/(人給データ!$B$2:$B$700=$A382),人給データ!$J$2:$J$700)),""))</f>
        <v/>
      </c>
      <c r="H382" s="20">
        <f>IF($A382="","",IFERROR(IF(LOOKUP(2,1/(人給データ!$B$2:$B$700=$A382),人給データ!$K$2:$K$700)=0,"",LOOKUP(2,1/(人給データ!$B$2:$B$700=$A382),人給データ!$K$2:$K$700)),""))</f>
        <v/>
      </c>
      <c r="I382" s="12" t="n"/>
      <c r="J382">
        <f>IF($A382="","",IFERROR(IF(LOOKUP(2,1/(人給データ!$B$2:$B$700=$A382),人給データ!$N$2:$N$700)=0,"",LOOKUP(2,1/(人給データ!$B$2:$B$700=$A382),人給データ!$N$2:$N$700)),""))</f>
        <v/>
      </c>
      <c r="K382" s="13" t="n"/>
      <c r="L382" s="12" t="n"/>
      <c r="M382" s="12" t="n"/>
      <c r="N382" s="11" t="n"/>
      <c r="O382" s="11" t="n"/>
      <c r="P382" s="14">
        <f>IF(AND(M382&lt;&gt;"",O382=""),"保留中","")</f>
        <v/>
      </c>
      <c r="Q382" s="14">
        <f>IF(P382="保留中",COUNTIF(P$6:P382,"保留中"),"")</f>
        <v/>
      </c>
    </row>
    <row r="383">
      <c r="A383" s="12" t="n"/>
      <c r="B383">
        <f>IF($A383="","",IFERROR(IF(LOOKUP(2,1/(人給データ!$B$2:$B$700=$A383),人給データ!$C$2:$C$700)=0,"",LOOKUP(2,1/(人給データ!$B$2:$B$700=$A383),人給データ!$C$2:$C$700)),""))</f>
        <v/>
      </c>
      <c r="C383">
        <f>IF($A383="","",IFERROR(IF(LOOKUP(2,1/(人給データ!$B$2:$B$700=$A383),人給データ!$G$2:$G$700)=0,"",LOOKUP(2,1/(人給データ!$B$2:$B$700=$A383),人給データ!$G$2:$G$700)),""))</f>
        <v/>
      </c>
      <c r="D383">
        <f>IF($A383="","",IFERROR(IF(LOOKUP(2,1/(人給データ!$B$2:$B$700=$A383),人給データ!$Y$2:$Y$700)=0,"",LOOKUP(2,1/(人給データ!$B$2:$B$700=$A383),人給データ!$Y$2:$Y$700)),""))</f>
        <v/>
      </c>
      <c r="E383" s="20">
        <f>IF($A383="","",IFERROR(IF(LOOKUP(2,1/(人給データ!$B$2:$B$700=$A383),人給データ!$AB$2:$AB$700)=0,"",LOOKUP(2,1/(人給データ!$B$2:$B$700=$A383),人給データ!$AB$2:$AB$700)),""))</f>
        <v/>
      </c>
      <c r="F383" s="16">
        <f>IF(OR(E383="",NOT(ISNUMBER(E383))),"",DATE(YEAR(E383)+2,MONTH(E383),DAY(E383)-2))</f>
        <v/>
      </c>
      <c r="G383" s="20">
        <f>IF($A383="","",IFERROR(IF(LOOKUP(2,1/(人給データ!$B$2:$B$700=$A383),人給データ!$J$2:$J$700)=0,"",LOOKUP(2,1/(人給データ!$B$2:$B$700=$A383),人給データ!$J$2:$J$700)),""))</f>
        <v/>
      </c>
      <c r="H383" s="20">
        <f>IF($A383="","",IFERROR(IF(LOOKUP(2,1/(人給データ!$B$2:$B$700=$A383),人給データ!$K$2:$K$700)=0,"",LOOKUP(2,1/(人給データ!$B$2:$B$700=$A383),人給データ!$K$2:$K$700)),""))</f>
        <v/>
      </c>
      <c r="I383" s="12" t="n"/>
      <c r="J383">
        <f>IF($A383="","",IFERROR(IF(LOOKUP(2,1/(人給データ!$B$2:$B$700=$A383),人給データ!$N$2:$N$700)=0,"",LOOKUP(2,1/(人給データ!$B$2:$B$700=$A383),人給データ!$N$2:$N$700)),""))</f>
        <v/>
      </c>
      <c r="K383" s="13" t="n"/>
      <c r="L383" s="12" t="n"/>
      <c r="M383" s="12" t="n"/>
      <c r="N383" s="11" t="n"/>
      <c r="O383" s="11" t="n"/>
      <c r="P383" s="14">
        <f>IF(AND(M383&lt;&gt;"",O383=""),"保留中","")</f>
        <v/>
      </c>
      <c r="Q383" s="14">
        <f>IF(P383="保留中",COUNTIF(P$6:P383,"保留中"),"")</f>
        <v/>
      </c>
    </row>
    <row r="384">
      <c r="A384" s="12" t="n"/>
      <c r="B384">
        <f>IF($A384="","",IFERROR(IF(LOOKUP(2,1/(人給データ!$B$2:$B$700=$A384),人給データ!$C$2:$C$700)=0,"",LOOKUP(2,1/(人給データ!$B$2:$B$700=$A384),人給データ!$C$2:$C$700)),""))</f>
        <v/>
      </c>
      <c r="C384">
        <f>IF($A384="","",IFERROR(IF(LOOKUP(2,1/(人給データ!$B$2:$B$700=$A384),人給データ!$G$2:$G$700)=0,"",LOOKUP(2,1/(人給データ!$B$2:$B$700=$A384),人給データ!$G$2:$G$700)),""))</f>
        <v/>
      </c>
      <c r="D384">
        <f>IF($A384="","",IFERROR(IF(LOOKUP(2,1/(人給データ!$B$2:$B$700=$A384),人給データ!$Y$2:$Y$700)=0,"",LOOKUP(2,1/(人給データ!$B$2:$B$700=$A384),人給データ!$Y$2:$Y$700)),""))</f>
        <v/>
      </c>
      <c r="E384" s="20">
        <f>IF($A384="","",IFERROR(IF(LOOKUP(2,1/(人給データ!$B$2:$B$700=$A384),人給データ!$AB$2:$AB$700)=0,"",LOOKUP(2,1/(人給データ!$B$2:$B$700=$A384),人給データ!$AB$2:$AB$700)),""))</f>
        <v/>
      </c>
      <c r="F384" s="16">
        <f>IF(OR(E384="",NOT(ISNUMBER(E384))),"",DATE(YEAR(E384)+2,MONTH(E384),DAY(E384)-2))</f>
        <v/>
      </c>
      <c r="G384" s="20">
        <f>IF($A384="","",IFERROR(IF(LOOKUP(2,1/(人給データ!$B$2:$B$700=$A384),人給データ!$J$2:$J$700)=0,"",LOOKUP(2,1/(人給データ!$B$2:$B$700=$A384),人給データ!$J$2:$J$700)),""))</f>
        <v/>
      </c>
      <c r="H384" s="20">
        <f>IF($A384="","",IFERROR(IF(LOOKUP(2,1/(人給データ!$B$2:$B$700=$A384),人給データ!$K$2:$K$700)=0,"",LOOKUP(2,1/(人給データ!$B$2:$B$700=$A384),人給データ!$K$2:$K$700)),""))</f>
        <v/>
      </c>
      <c r="I384" s="12" t="n"/>
      <c r="J384">
        <f>IF($A384="","",IFERROR(IF(LOOKUP(2,1/(人給データ!$B$2:$B$700=$A384),人給データ!$N$2:$N$700)=0,"",LOOKUP(2,1/(人給データ!$B$2:$B$700=$A384),人給データ!$N$2:$N$700)),""))</f>
        <v/>
      </c>
      <c r="K384" s="13" t="n"/>
      <c r="L384" s="12" t="n"/>
      <c r="M384" s="12" t="n"/>
      <c r="N384" s="11" t="n"/>
      <c r="O384" s="11" t="n"/>
      <c r="P384" s="14">
        <f>IF(AND(M384&lt;&gt;"",O384=""),"保留中","")</f>
        <v/>
      </c>
      <c r="Q384" s="14">
        <f>IF(P384="保留中",COUNTIF(P$6:P384,"保留中"),"")</f>
        <v/>
      </c>
    </row>
    <row r="385">
      <c r="A385" s="12" t="n"/>
      <c r="B385">
        <f>IF($A385="","",IFERROR(IF(LOOKUP(2,1/(人給データ!$B$2:$B$700=$A385),人給データ!$C$2:$C$700)=0,"",LOOKUP(2,1/(人給データ!$B$2:$B$700=$A385),人給データ!$C$2:$C$700)),""))</f>
        <v/>
      </c>
      <c r="C385">
        <f>IF($A385="","",IFERROR(IF(LOOKUP(2,1/(人給データ!$B$2:$B$700=$A385),人給データ!$G$2:$G$700)=0,"",LOOKUP(2,1/(人給データ!$B$2:$B$700=$A385),人給データ!$G$2:$G$700)),""))</f>
        <v/>
      </c>
      <c r="D385">
        <f>IF($A385="","",IFERROR(IF(LOOKUP(2,1/(人給データ!$B$2:$B$700=$A385),人給データ!$Y$2:$Y$700)=0,"",LOOKUP(2,1/(人給データ!$B$2:$B$700=$A385),人給データ!$Y$2:$Y$700)),""))</f>
        <v/>
      </c>
      <c r="E385" s="20">
        <f>IF($A385="","",IFERROR(IF(LOOKUP(2,1/(人給データ!$B$2:$B$700=$A385),人給データ!$AB$2:$AB$700)=0,"",LOOKUP(2,1/(人給データ!$B$2:$B$700=$A385),人給データ!$AB$2:$AB$700)),""))</f>
        <v/>
      </c>
      <c r="F385" s="16">
        <f>IF(OR(E385="",NOT(ISNUMBER(E385))),"",DATE(YEAR(E385)+2,MONTH(E385),DAY(E385)-2))</f>
        <v/>
      </c>
      <c r="G385" s="20">
        <f>IF($A385="","",IFERROR(IF(LOOKUP(2,1/(人給データ!$B$2:$B$700=$A385),人給データ!$J$2:$J$700)=0,"",LOOKUP(2,1/(人給データ!$B$2:$B$700=$A385),人給データ!$J$2:$J$700)),""))</f>
        <v/>
      </c>
      <c r="H385" s="20">
        <f>IF($A385="","",IFERROR(IF(LOOKUP(2,1/(人給データ!$B$2:$B$700=$A385),人給データ!$K$2:$K$700)=0,"",LOOKUP(2,1/(人給データ!$B$2:$B$700=$A385),人給データ!$K$2:$K$700)),""))</f>
        <v/>
      </c>
      <c r="I385" s="12" t="n"/>
      <c r="J385">
        <f>IF($A385="","",IFERROR(IF(LOOKUP(2,1/(人給データ!$B$2:$B$700=$A385),人給データ!$N$2:$N$700)=0,"",LOOKUP(2,1/(人給データ!$B$2:$B$700=$A385),人給データ!$N$2:$N$700)),""))</f>
        <v/>
      </c>
      <c r="K385" s="13" t="n"/>
      <c r="L385" s="12" t="n"/>
      <c r="M385" s="12" t="n"/>
      <c r="N385" s="11" t="n"/>
      <c r="O385" s="11" t="n"/>
      <c r="P385" s="14">
        <f>IF(AND(M385&lt;&gt;"",O385=""),"保留中","")</f>
        <v/>
      </c>
      <c r="Q385" s="14">
        <f>IF(P385="保留中",COUNTIF(P$6:P385,"保留中"),"")</f>
        <v/>
      </c>
    </row>
    <row r="386">
      <c r="A386" s="12" t="n"/>
      <c r="B386">
        <f>IF($A386="","",IFERROR(IF(LOOKUP(2,1/(人給データ!$B$2:$B$700=$A386),人給データ!$C$2:$C$700)=0,"",LOOKUP(2,1/(人給データ!$B$2:$B$700=$A386),人給データ!$C$2:$C$700)),""))</f>
        <v/>
      </c>
      <c r="C386">
        <f>IF($A386="","",IFERROR(IF(LOOKUP(2,1/(人給データ!$B$2:$B$700=$A386),人給データ!$G$2:$G$700)=0,"",LOOKUP(2,1/(人給データ!$B$2:$B$700=$A386),人給データ!$G$2:$G$700)),""))</f>
        <v/>
      </c>
      <c r="D386">
        <f>IF($A386="","",IFERROR(IF(LOOKUP(2,1/(人給データ!$B$2:$B$700=$A386),人給データ!$Y$2:$Y$700)=0,"",LOOKUP(2,1/(人給データ!$B$2:$B$700=$A386),人給データ!$Y$2:$Y$700)),""))</f>
        <v/>
      </c>
      <c r="E386" s="20">
        <f>IF($A386="","",IFERROR(IF(LOOKUP(2,1/(人給データ!$B$2:$B$700=$A386),人給データ!$AB$2:$AB$700)=0,"",LOOKUP(2,1/(人給データ!$B$2:$B$700=$A386),人給データ!$AB$2:$AB$700)),""))</f>
        <v/>
      </c>
      <c r="F386" s="16">
        <f>IF(OR(E386="",NOT(ISNUMBER(E386))),"",DATE(YEAR(E386)+2,MONTH(E386),DAY(E386)-2))</f>
        <v/>
      </c>
      <c r="G386" s="20">
        <f>IF($A386="","",IFERROR(IF(LOOKUP(2,1/(人給データ!$B$2:$B$700=$A386),人給データ!$J$2:$J$700)=0,"",LOOKUP(2,1/(人給データ!$B$2:$B$700=$A386),人給データ!$J$2:$J$700)),""))</f>
        <v/>
      </c>
      <c r="H386" s="20">
        <f>IF($A386="","",IFERROR(IF(LOOKUP(2,1/(人給データ!$B$2:$B$700=$A386),人給データ!$K$2:$K$700)=0,"",LOOKUP(2,1/(人給データ!$B$2:$B$700=$A386),人給データ!$K$2:$K$700)),""))</f>
        <v/>
      </c>
      <c r="I386" s="12" t="n"/>
      <c r="J386">
        <f>IF($A386="","",IFERROR(IF(LOOKUP(2,1/(人給データ!$B$2:$B$700=$A386),人給データ!$N$2:$N$700)=0,"",LOOKUP(2,1/(人給データ!$B$2:$B$700=$A386),人給データ!$N$2:$N$700)),""))</f>
        <v/>
      </c>
      <c r="K386" s="13" t="n"/>
      <c r="L386" s="12" t="n"/>
      <c r="M386" s="12" t="n"/>
      <c r="N386" s="11" t="n"/>
      <c r="O386" s="11" t="n"/>
      <c r="P386" s="14">
        <f>IF(AND(M386&lt;&gt;"",O386=""),"保留中","")</f>
        <v/>
      </c>
      <c r="Q386" s="14">
        <f>IF(P386="保留中",COUNTIF(P$6:P386,"保留中"),"")</f>
        <v/>
      </c>
    </row>
    <row r="387">
      <c r="A387" s="12" t="n"/>
      <c r="B387">
        <f>IF($A387="","",IFERROR(IF(LOOKUP(2,1/(人給データ!$B$2:$B$700=$A387),人給データ!$C$2:$C$700)=0,"",LOOKUP(2,1/(人給データ!$B$2:$B$700=$A387),人給データ!$C$2:$C$700)),""))</f>
        <v/>
      </c>
      <c r="C387">
        <f>IF($A387="","",IFERROR(IF(LOOKUP(2,1/(人給データ!$B$2:$B$700=$A387),人給データ!$G$2:$G$700)=0,"",LOOKUP(2,1/(人給データ!$B$2:$B$700=$A387),人給データ!$G$2:$G$700)),""))</f>
        <v/>
      </c>
      <c r="D387">
        <f>IF($A387="","",IFERROR(IF(LOOKUP(2,1/(人給データ!$B$2:$B$700=$A387),人給データ!$Y$2:$Y$700)=0,"",LOOKUP(2,1/(人給データ!$B$2:$B$700=$A387),人給データ!$Y$2:$Y$700)),""))</f>
        <v/>
      </c>
      <c r="E387" s="20">
        <f>IF($A387="","",IFERROR(IF(LOOKUP(2,1/(人給データ!$B$2:$B$700=$A387),人給データ!$AB$2:$AB$700)=0,"",LOOKUP(2,1/(人給データ!$B$2:$B$700=$A387),人給データ!$AB$2:$AB$700)),""))</f>
        <v/>
      </c>
      <c r="F387" s="16">
        <f>IF(OR(E387="",NOT(ISNUMBER(E387))),"",DATE(YEAR(E387)+2,MONTH(E387),DAY(E387)-2))</f>
        <v/>
      </c>
      <c r="G387" s="20">
        <f>IF($A387="","",IFERROR(IF(LOOKUP(2,1/(人給データ!$B$2:$B$700=$A387),人給データ!$J$2:$J$700)=0,"",LOOKUP(2,1/(人給データ!$B$2:$B$700=$A387),人給データ!$J$2:$J$700)),""))</f>
        <v/>
      </c>
      <c r="H387" s="20">
        <f>IF($A387="","",IFERROR(IF(LOOKUP(2,1/(人給データ!$B$2:$B$700=$A387),人給データ!$K$2:$K$700)=0,"",LOOKUP(2,1/(人給データ!$B$2:$B$700=$A387),人給データ!$K$2:$K$700)),""))</f>
        <v/>
      </c>
      <c r="I387" s="12" t="n"/>
      <c r="J387">
        <f>IF($A387="","",IFERROR(IF(LOOKUP(2,1/(人給データ!$B$2:$B$700=$A387),人給データ!$N$2:$N$700)=0,"",LOOKUP(2,1/(人給データ!$B$2:$B$700=$A387),人給データ!$N$2:$N$700)),""))</f>
        <v/>
      </c>
      <c r="K387" s="13" t="n"/>
      <c r="L387" s="12" t="n"/>
      <c r="M387" s="12" t="n"/>
      <c r="N387" s="11" t="n"/>
      <c r="O387" s="11" t="n"/>
      <c r="P387" s="14">
        <f>IF(AND(M387&lt;&gt;"",O387=""),"保留中","")</f>
        <v/>
      </c>
      <c r="Q387" s="14">
        <f>IF(P387="保留中",COUNTIF(P$6:P387,"保留中"),"")</f>
        <v/>
      </c>
    </row>
    <row r="388">
      <c r="A388" s="12" t="n"/>
      <c r="B388">
        <f>IF($A388="","",IFERROR(IF(LOOKUP(2,1/(人給データ!$B$2:$B$700=$A388),人給データ!$C$2:$C$700)=0,"",LOOKUP(2,1/(人給データ!$B$2:$B$700=$A388),人給データ!$C$2:$C$700)),""))</f>
        <v/>
      </c>
      <c r="C388">
        <f>IF($A388="","",IFERROR(IF(LOOKUP(2,1/(人給データ!$B$2:$B$700=$A388),人給データ!$G$2:$G$700)=0,"",LOOKUP(2,1/(人給データ!$B$2:$B$700=$A388),人給データ!$G$2:$G$700)),""))</f>
        <v/>
      </c>
      <c r="D388">
        <f>IF($A388="","",IFERROR(IF(LOOKUP(2,1/(人給データ!$B$2:$B$700=$A388),人給データ!$Y$2:$Y$700)=0,"",LOOKUP(2,1/(人給データ!$B$2:$B$700=$A388),人給データ!$Y$2:$Y$700)),""))</f>
        <v/>
      </c>
      <c r="E388" s="20">
        <f>IF($A388="","",IFERROR(IF(LOOKUP(2,1/(人給データ!$B$2:$B$700=$A388),人給データ!$AB$2:$AB$700)=0,"",LOOKUP(2,1/(人給データ!$B$2:$B$700=$A388),人給データ!$AB$2:$AB$700)),""))</f>
        <v/>
      </c>
      <c r="F388" s="16">
        <f>IF(OR(E388="",NOT(ISNUMBER(E388))),"",DATE(YEAR(E388)+2,MONTH(E388),DAY(E388)-2))</f>
        <v/>
      </c>
      <c r="G388" s="20">
        <f>IF($A388="","",IFERROR(IF(LOOKUP(2,1/(人給データ!$B$2:$B$700=$A388),人給データ!$J$2:$J$700)=0,"",LOOKUP(2,1/(人給データ!$B$2:$B$700=$A388),人給データ!$J$2:$J$700)),""))</f>
        <v/>
      </c>
      <c r="H388" s="20">
        <f>IF($A388="","",IFERROR(IF(LOOKUP(2,1/(人給データ!$B$2:$B$700=$A388),人給データ!$K$2:$K$700)=0,"",LOOKUP(2,1/(人給データ!$B$2:$B$700=$A388),人給データ!$K$2:$K$700)),""))</f>
        <v/>
      </c>
      <c r="I388" s="12" t="n"/>
      <c r="J388">
        <f>IF($A388="","",IFERROR(IF(LOOKUP(2,1/(人給データ!$B$2:$B$700=$A388),人給データ!$N$2:$N$700)=0,"",LOOKUP(2,1/(人給データ!$B$2:$B$700=$A388),人給データ!$N$2:$N$700)),""))</f>
        <v/>
      </c>
      <c r="K388" s="13" t="n"/>
      <c r="L388" s="12" t="n"/>
      <c r="M388" s="12" t="n"/>
      <c r="N388" s="11" t="n"/>
      <c r="O388" s="11" t="n"/>
      <c r="P388" s="14">
        <f>IF(AND(M388&lt;&gt;"",O388=""),"保留中","")</f>
        <v/>
      </c>
      <c r="Q388" s="14">
        <f>IF(P388="保留中",COUNTIF(P$6:P388,"保留中"),"")</f>
        <v/>
      </c>
    </row>
    <row r="389">
      <c r="A389" s="12" t="n"/>
      <c r="B389">
        <f>IF($A389="","",IFERROR(IF(LOOKUP(2,1/(人給データ!$B$2:$B$700=$A389),人給データ!$C$2:$C$700)=0,"",LOOKUP(2,1/(人給データ!$B$2:$B$700=$A389),人給データ!$C$2:$C$700)),""))</f>
        <v/>
      </c>
      <c r="C389">
        <f>IF($A389="","",IFERROR(IF(LOOKUP(2,1/(人給データ!$B$2:$B$700=$A389),人給データ!$G$2:$G$700)=0,"",LOOKUP(2,1/(人給データ!$B$2:$B$700=$A389),人給データ!$G$2:$G$700)),""))</f>
        <v/>
      </c>
      <c r="D389">
        <f>IF($A389="","",IFERROR(IF(LOOKUP(2,1/(人給データ!$B$2:$B$700=$A389),人給データ!$Y$2:$Y$700)=0,"",LOOKUP(2,1/(人給データ!$B$2:$B$700=$A389),人給データ!$Y$2:$Y$700)),""))</f>
        <v/>
      </c>
      <c r="E389" s="20">
        <f>IF($A389="","",IFERROR(IF(LOOKUP(2,1/(人給データ!$B$2:$B$700=$A389),人給データ!$AB$2:$AB$700)=0,"",LOOKUP(2,1/(人給データ!$B$2:$B$700=$A389),人給データ!$AB$2:$AB$700)),""))</f>
        <v/>
      </c>
      <c r="F389" s="16">
        <f>IF(OR(E389="",NOT(ISNUMBER(E389))),"",DATE(YEAR(E389)+2,MONTH(E389),DAY(E389)-2))</f>
        <v/>
      </c>
      <c r="G389" s="20">
        <f>IF($A389="","",IFERROR(IF(LOOKUP(2,1/(人給データ!$B$2:$B$700=$A389),人給データ!$J$2:$J$700)=0,"",LOOKUP(2,1/(人給データ!$B$2:$B$700=$A389),人給データ!$J$2:$J$700)),""))</f>
        <v/>
      </c>
      <c r="H389" s="20">
        <f>IF($A389="","",IFERROR(IF(LOOKUP(2,1/(人給データ!$B$2:$B$700=$A389),人給データ!$K$2:$K$700)=0,"",LOOKUP(2,1/(人給データ!$B$2:$B$700=$A389),人給データ!$K$2:$K$700)),""))</f>
        <v/>
      </c>
      <c r="I389" s="12" t="n"/>
      <c r="J389">
        <f>IF($A389="","",IFERROR(IF(LOOKUP(2,1/(人給データ!$B$2:$B$700=$A389),人給データ!$N$2:$N$700)=0,"",LOOKUP(2,1/(人給データ!$B$2:$B$700=$A389),人給データ!$N$2:$N$700)),""))</f>
        <v/>
      </c>
      <c r="K389" s="13" t="n"/>
      <c r="L389" s="12" t="n"/>
      <c r="M389" s="12" t="n"/>
      <c r="N389" s="11" t="n"/>
      <c r="O389" s="11" t="n"/>
      <c r="P389" s="14">
        <f>IF(AND(M389&lt;&gt;"",O389=""),"保留中","")</f>
        <v/>
      </c>
      <c r="Q389" s="14">
        <f>IF(P389="保留中",COUNTIF(P$6:P389,"保留中"),"")</f>
        <v/>
      </c>
    </row>
    <row r="390">
      <c r="A390" s="12" t="n"/>
      <c r="B390">
        <f>IF($A390="","",IFERROR(IF(LOOKUP(2,1/(人給データ!$B$2:$B$700=$A390),人給データ!$C$2:$C$700)=0,"",LOOKUP(2,1/(人給データ!$B$2:$B$700=$A390),人給データ!$C$2:$C$700)),""))</f>
        <v/>
      </c>
      <c r="C390">
        <f>IF($A390="","",IFERROR(IF(LOOKUP(2,1/(人給データ!$B$2:$B$700=$A390),人給データ!$G$2:$G$700)=0,"",LOOKUP(2,1/(人給データ!$B$2:$B$700=$A390),人給データ!$G$2:$G$700)),""))</f>
        <v/>
      </c>
      <c r="D390">
        <f>IF($A390="","",IFERROR(IF(LOOKUP(2,1/(人給データ!$B$2:$B$700=$A390),人給データ!$Y$2:$Y$700)=0,"",LOOKUP(2,1/(人給データ!$B$2:$B$700=$A390),人給データ!$Y$2:$Y$700)),""))</f>
        <v/>
      </c>
      <c r="E390" s="20">
        <f>IF($A390="","",IFERROR(IF(LOOKUP(2,1/(人給データ!$B$2:$B$700=$A390),人給データ!$AB$2:$AB$700)=0,"",LOOKUP(2,1/(人給データ!$B$2:$B$700=$A390),人給データ!$AB$2:$AB$700)),""))</f>
        <v/>
      </c>
      <c r="F390" s="16">
        <f>IF(OR(E390="",NOT(ISNUMBER(E390))),"",DATE(YEAR(E390)+2,MONTH(E390),DAY(E390)-2))</f>
        <v/>
      </c>
      <c r="G390" s="20">
        <f>IF($A390="","",IFERROR(IF(LOOKUP(2,1/(人給データ!$B$2:$B$700=$A390),人給データ!$J$2:$J$700)=0,"",LOOKUP(2,1/(人給データ!$B$2:$B$700=$A390),人給データ!$J$2:$J$700)),""))</f>
        <v/>
      </c>
      <c r="H390" s="20">
        <f>IF($A390="","",IFERROR(IF(LOOKUP(2,1/(人給データ!$B$2:$B$700=$A390),人給データ!$K$2:$K$700)=0,"",LOOKUP(2,1/(人給データ!$B$2:$B$700=$A390),人給データ!$K$2:$K$700)),""))</f>
        <v/>
      </c>
      <c r="I390" s="12" t="n"/>
      <c r="J390">
        <f>IF($A390="","",IFERROR(IF(LOOKUP(2,1/(人給データ!$B$2:$B$700=$A390),人給データ!$N$2:$N$700)=0,"",LOOKUP(2,1/(人給データ!$B$2:$B$700=$A390),人給データ!$N$2:$N$700)),""))</f>
        <v/>
      </c>
      <c r="K390" s="13" t="n"/>
      <c r="L390" s="12" t="n"/>
      <c r="M390" s="12" t="n"/>
      <c r="N390" s="11" t="n"/>
      <c r="O390" s="11" t="n"/>
      <c r="P390" s="14">
        <f>IF(AND(M390&lt;&gt;"",O390=""),"保留中","")</f>
        <v/>
      </c>
      <c r="Q390" s="14">
        <f>IF(P390="保留中",COUNTIF(P$6:P390,"保留中"),"")</f>
        <v/>
      </c>
    </row>
    <row r="391">
      <c r="A391" s="12" t="n"/>
      <c r="B391">
        <f>IF($A391="","",IFERROR(IF(LOOKUP(2,1/(人給データ!$B$2:$B$700=$A391),人給データ!$C$2:$C$700)=0,"",LOOKUP(2,1/(人給データ!$B$2:$B$700=$A391),人給データ!$C$2:$C$700)),""))</f>
        <v/>
      </c>
      <c r="C391">
        <f>IF($A391="","",IFERROR(IF(LOOKUP(2,1/(人給データ!$B$2:$B$700=$A391),人給データ!$G$2:$G$700)=0,"",LOOKUP(2,1/(人給データ!$B$2:$B$700=$A391),人給データ!$G$2:$G$700)),""))</f>
        <v/>
      </c>
      <c r="D391">
        <f>IF($A391="","",IFERROR(IF(LOOKUP(2,1/(人給データ!$B$2:$B$700=$A391),人給データ!$Y$2:$Y$700)=0,"",LOOKUP(2,1/(人給データ!$B$2:$B$700=$A391),人給データ!$Y$2:$Y$700)),""))</f>
        <v/>
      </c>
      <c r="E391" s="20">
        <f>IF($A391="","",IFERROR(IF(LOOKUP(2,1/(人給データ!$B$2:$B$700=$A391),人給データ!$AB$2:$AB$700)=0,"",LOOKUP(2,1/(人給データ!$B$2:$B$700=$A391),人給データ!$AB$2:$AB$700)),""))</f>
        <v/>
      </c>
      <c r="F391" s="16">
        <f>IF(OR(E391="",NOT(ISNUMBER(E391))),"",DATE(YEAR(E391)+2,MONTH(E391),DAY(E391)-2))</f>
        <v/>
      </c>
      <c r="G391" s="20">
        <f>IF($A391="","",IFERROR(IF(LOOKUP(2,1/(人給データ!$B$2:$B$700=$A391),人給データ!$J$2:$J$700)=0,"",LOOKUP(2,1/(人給データ!$B$2:$B$700=$A391),人給データ!$J$2:$J$700)),""))</f>
        <v/>
      </c>
      <c r="H391" s="20">
        <f>IF($A391="","",IFERROR(IF(LOOKUP(2,1/(人給データ!$B$2:$B$700=$A391),人給データ!$K$2:$K$700)=0,"",LOOKUP(2,1/(人給データ!$B$2:$B$700=$A391),人給データ!$K$2:$K$700)),""))</f>
        <v/>
      </c>
      <c r="I391" s="12" t="n"/>
      <c r="J391">
        <f>IF($A391="","",IFERROR(IF(LOOKUP(2,1/(人給データ!$B$2:$B$700=$A391),人給データ!$N$2:$N$700)=0,"",LOOKUP(2,1/(人給データ!$B$2:$B$700=$A391),人給データ!$N$2:$N$700)),""))</f>
        <v/>
      </c>
      <c r="K391" s="13" t="n"/>
      <c r="L391" s="12" t="n"/>
      <c r="M391" s="12" t="n"/>
      <c r="N391" s="11" t="n"/>
      <c r="O391" s="11" t="n"/>
      <c r="P391" s="14">
        <f>IF(AND(M391&lt;&gt;"",O391=""),"保留中","")</f>
        <v/>
      </c>
      <c r="Q391" s="14">
        <f>IF(P391="保留中",COUNTIF(P$6:P391,"保留中"),"")</f>
        <v/>
      </c>
    </row>
    <row r="392">
      <c r="A392" s="12" t="n"/>
      <c r="B392">
        <f>IF($A392="","",IFERROR(IF(LOOKUP(2,1/(人給データ!$B$2:$B$700=$A392),人給データ!$C$2:$C$700)=0,"",LOOKUP(2,1/(人給データ!$B$2:$B$700=$A392),人給データ!$C$2:$C$700)),""))</f>
        <v/>
      </c>
      <c r="C392">
        <f>IF($A392="","",IFERROR(IF(LOOKUP(2,1/(人給データ!$B$2:$B$700=$A392),人給データ!$G$2:$G$700)=0,"",LOOKUP(2,1/(人給データ!$B$2:$B$700=$A392),人給データ!$G$2:$G$700)),""))</f>
        <v/>
      </c>
      <c r="D392">
        <f>IF($A392="","",IFERROR(IF(LOOKUP(2,1/(人給データ!$B$2:$B$700=$A392),人給データ!$Y$2:$Y$700)=0,"",LOOKUP(2,1/(人給データ!$B$2:$B$700=$A392),人給データ!$Y$2:$Y$700)),""))</f>
        <v/>
      </c>
      <c r="E392" s="20">
        <f>IF($A392="","",IFERROR(IF(LOOKUP(2,1/(人給データ!$B$2:$B$700=$A392),人給データ!$AB$2:$AB$700)=0,"",LOOKUP(2,1/(人給データ!$B$2:$B$700=$A392),人給データ!$AB$2:$AB$700)),""))</f>
        <v/>
      </c>
      <c r="F392" s="16">
        <f>IF(OR(E392="",NOT(ISNUMBER(E392))),"",DATE(YEAR(E392)+2,MONTH(E392),DAY(E392)-2))</f>
        <v/>
      </c>
      <c r="G392" s="20">
        <f>IF($A392="","",IFERROR(IF(LOOKUP(2,1/(人給データ!$B$2:$B$700=$A392),人給データ!$J$2:$J$700)=0,"",LOOKUP(2,1/(人給データ!$B$2:$B$700=$A392),人給データ!$J$2:$J$700)),""))</f>
        <v/>
      </c>
      <c r="H392" s="20">
        <f>IF($A392="","",IFERROR(IF(LOOKUP(2,1/(人給データ!$B$2:$B$700=$A392),人給データ!$K$2:$K$700)=0,"",LOOKUP(2,1/(人給データ!$B$2:$B$700=$A392),人給データ!$K$2:$K$700)),""))</f>
        <v/>
      </c>
      <c r="I392" s="12" t="n"/>
      <c r="J392">
        <f>IF($A392="","",IFERROR(IF(LOOKUP(2,1/(人給データ!$B$2:$B$700=$A392),人給データ!$N$2:$N$700)=0,"",LOOKUP(2,1/(人給データ!$B$2:$B$700=$A392),人給データ!$N$2:$N$700)),""))</f>
        <v/>
      </c>
      <c r="K392" s="13" t="n"/>
      <c r="L392" s="12" t="n"/>
      <c r="M392" s="12" t="n"/>
      <c r="N392" s="11" t="n"/>
      <c r="O392" s="11" t="n"/>
      <c r="P392" s="14">
        <f>IF(AND(M392&lt;&gt;"",O392=""),"保留中","")</f>
        <v/>
      </c>
      <c r="Q392" s="14">
        <f>IF(P392="保留中",COUNTIF(P$6:P392,"保留中"),"")</f>
        <v/>
      </c>
    </row>
    <row r="393">
      <c r="A393" s="12" t="n"/>
      <c r="B393">
        <f>IF($A393="","",IFERROR(IF(LOOKUP(2,1/(人給データ!$B$2:$B$700=$A393),人給データ!$C$2:$C$700)=0,"",LOOKUP(2,1/(人給データ!$B$2:$B$700=$A393),人給データ!$C$2:$C$700)),""))</f>
        <v/>
      </c>
      <c r="C393">
        <f>IF($A393="","",IFERROR(IF(LOOKUP(2,1/(人給データ!$B$2:$B$700=$A393),人給データ!$G$2:$G$700)=0,"",LOOKUP(2,1/(人給データ!$B$2:$B$700=$A393),人給データ!$G$2:$G$700)),""))</f>
        <v/>
      </c>
      <c r="D393">
        <f>IF($A393="","",IFERROR(IF(LOOKUP(2,1/(人給データ!$B$2:$B$700=$A393),人給データ!$Y$2:$Y$700)=0,"",LOOKUP(2,1/(人給データ!$B$2:$B$700=$A393),人給データ!$Y$2:$Y$700)),""))</f>
        <v/>
      </c>
      <c r="E393" s="20">
        <f>IF($A393="","",IFERROR(IF(LOOKUP(2,1/(人給データ!$B$2:$B$700=$A393),人給データ!$AB$2:$AB$700)=0,"",LOOKUP(2,1/(人給データ!$B$2:$B$700=$A393),人給データ!$AB$2:$AB$700)),""))</f>
        <v/>
      </c>
      <c r="F393" s="16">
        <f>IF(OR(E393="",NOT(ISNUMBER(E393))),"",DATE(YEAR(E393)+2,MONTH(E393),DAY(E393)-2))</f>
        <v/>
      </c>
      <c r="G393" s="20">
        <f>IF($A393="","",IFERROR(IF(LOOKUP(2,1/(人給データ!$B$2:$B$700=$A393),人給データ!$J$2:$J$700)=0,"",LOOKUP(2,1/(人給データ!$B$2:$B$700=$A393),人給データ!$J$2:$J$700)),""))</f>
        <v/>
      </c>
      <c r="H393" s="20">
        <f>IF($A393="","",IFERROR(IF(LOOKUP(2,1/(人給データ!$B$2:$B$700=$A393),人給データ!$K$2:$K$700)=0,"",LOOKUP(2,1/(人給データ!$B$2:$B$700=$A393),人給データ!$K$2:$K$700)),""))</f>
        <v/>
      </c>
      <c r="I393" s="12" t="n"/>
      <c r="J393">
        <f>IF($A393="","",IFERROR(IF(LOOKUP(2,1/(人給データ!$B$2:$B$700=$A393),人給データ!$N$2:$N$700)=0,"",LOOKUP(2,1/(人給データ!$B$2:$B$700=$A393),人給データ!$N$2:$N$700)),""))</f>
        <v/>
      </c>
      <c r="K393" s="13" t="n"/>
      <c r="L393" s="12" t="n"/>
      <c r="M393" s="12" t="n"/>
      <c r="N393" s="11" t="n"/>
      <c r="O393" s="11" t="n"/>
      <c r="P393" s="14">
        <f>IF(AND(M393&lt;&gt;"",O393=""),"保留中","")</f>
        <v/>
      </c>
      <c r="Q393" s="14">
        <f>IF(P393="保留中",COUNTIF(P$6:P393,"保留中"),"")</f>
        <v/>
      </c>
    </row>
    <row r="394">
      <c r="A394" s="12" t="n"/>
      <c r="B394">
        <f>IF($A394="","",IFERROR(IF(LOOKUP(2,1/(人給データ!$B$2:$B$700=$A394),人給データ!$C$2:$C$700)=0,"",LOOKUP(2,1/(人給データ!$B$2:$B$700=$A394),人給データ!$C$2:$C$700)),""))</f>
        <v/>
      </c>
      <c r="C394">
        <f>IF($A394="","",IFERROR(IF(LOOKUP(2,1/(人給データ!$B$2:$B$700=$A394),人給データ!$G$2:$G$700)=0,"",LOOKUP(2,1/(人給データ!$B$2:$B$700=$A394),人給データ!$G$2:$G$700)),""))</f>
        <v/>
      </c>
      <c r="D394">
        <f>IF($A394="","",IFERROR(IF(LOOKUP(2,1/(人給データ!$B$2:$B$700=$A394),人給データ!$Y$2:$Y$700)=0,"",LOOKUP(2,1/(人給データ!$B$2:$B$700=$A394),人給データ!$Y$2:$Y$700)),""))</f>
        <v/>
      </c>
      <c r="E394" s="20">
        <f>IF($A394="","",IFERROR(IF(LOOKUP(2,1/(人給データ!$B$2:$B$700=$A394),人給データ!$AB$2:$AB$700)=0,"",LOOKUP(2,1/(人給データ!$B$2:$B$700=$A394),人給データ!$AB$2:$AB$700)),""))</f>
        <v/>
      </c>
      <c r="F394" s="16">
        <f>IF(OR(E394="",NOT(ISNUMBER(E394))),"",DATE(YEAR(E394)+2,MONTH(E394),DAY(E394)-2))</f>
        <v/>
      </c>
      <c r="G394" s="20">
        <f>IF($A394="","",IFERROR(IF(LOOKUP(2,1/(人給データ!$B$2:$B$700=$A394),人給データ!$J$2:$J$700)=0,"",LOOKUP(2,1/(人給データ!$B$2:$B$700=$A394),人給データ!$J$2:$J$700)),""))</f>
        <v/>
      </c>
      <c r="H394" s="20">
        <f>IF($A394="","",IFERROR(IF(LOOKUP(2,1/(人給データ!$B$2:$B$700=$A394),人給データ!$K$2:$K$700)=0,"",LOOKUP(2,1/(人給データ!$B$2:$B$700=$A394),人給データ!$K$2:$K$700)),""))</f>
        <v/>
      </c>
      <c r="I394" s="12" t="n"/>
      <c r="J394">
        <f>IF($A394="","",IFERROR(IF(LOOKUP(2,1/(人給データ!$B$2:$B$700=$A394),人給データ!$N$2:$N$700)=0,"",LOOKUP(2,1/(人給データ!$B$2:$B$700=$A394),人給データ!$N$2:$N$700)),""))</f>
        <v/>
      </c>
      <c r="K394" s="13" t="n"/>
      <c r="L394" s="12" t="n"/>
      <c r="M394" s="12" t="n"/>
      <c r="N394" s="11" t="n"/>
      <c r="O394" s="11" t="n"/>
      <c r="P394" s="14">
        <f>IF(AND(M394&lt;&gt;"",O394=""),"保留中","")</f>
        <v/>
      </c>
      <c r="Q394" s="14">
        <f>IF(P394="保留中",COUNTIF(P$6:P394,"保留中"),"")</f>
        <v/>
      </c>
    </row>
    <row r="395">
      <c r="A395" s="12" t="n"/>
      <c r="B395">
        <f>IF($A395="","",IFERROR(IF(LOOKUP(2,1/(人給データ!$B$2:$B$700=$A395),人給データ!$C$2:$C$700)=0,"",LOOKUP(2,1/(人給データ!$B$2:$B$700=$A395),人給データ!$C$2:$C$700)),""))</f>
        <v/>
      </c>
      <c r="C395">
        <f>IF($A395="","",IFERROR(IF(LOOKUP(2,1/(人給データ!$B$2:$B$700=$A395),人給データ!$G$2:$G$700)=0,"",LOOKUP(2,1/(人給データ!$B$2:$B$700=$A395),人給データ!$G$2:$G$700)),""))</f>
        <v/>
      </c>
      <c r="D395">
        <f>IF($A395="","",IFERROR(IF(LOOKUP(2,1/(人給データ!$B$2:$B$700=$A395),人給データ!$Y$2:$Y$700)=0,"",LOOKUP(2,1/(人給データ!$B$2:$B$700=$A395),人給データ!$Y$2:$Y$700)),""))</f>
        <v/>
      </c>
      <c r="E395" s="20">
        <f>IF($A395="","",IFERROR(IF(LOOKUP(2,1/(人給データ!$B$2:$B$700=$A395),人給データ!$AB$2:$AB$700)=0,"",LOOKUP(2,1/(人給データ!$B$2:$B$700=$A395),人給データ!$AB$2:$AB$700)),""))</f>
        <v/>
      </c>
      <c r="F395" s="16">
        <f>IF(OR(E395="",NOT(ISNUMBER(E395))),"",DATE(YEAR(E395)+2,MONTH(E395),DAY(E395)-2))</f>
        <v/>
      </c>
      <c r="G395" s="20">
        <f>IF($A395="","",IFERROR(IF(LOOKUP(2,1/(人給データ!$B$2:$B$700=$A395),人給データ!$J$2:$J$700)=0,"",LOOKUP(2,1/(人給データ!$B$2:$B$700=$A395),人給データ!$J$2:$J$700)),""))</f>
        <v/>
      </c>
      <c r="H395" s="20">
        <f>IF($A395="","",IFERROR(IF(LOOKUP(2,1/(人給データ!$B$2:$B$700=$A395),人給データ!$K$2:$K$700)=0,"",LOOKUP(2,1/(人給データ!$B$2:$B$700=$A395),人給データ!$K$2:$K$700)),""))</f>
        <v/>
      </c>
      <c r="I395" s="12" t="n"/>
      <c r="J395">
        <f>IF($A395="","",IFERROR(IF(LOOKUP(2,1/(人給データ!$B$2:$B$700=$A395),人給データ!$N$2:$N$700)=0,"",LOOKUP(2,1/(人給データ!$B$2:$B$700=$A395),人給データ!$N$2:$N$700)),""))</f>
        <v/>
      </c>
      <c r="K395" s="13" t="n"/>
      <c r="L395" s="12" t="n"/>
      <c r="M395" s="12" t="n"/>
      <c r="N395" s="11" t="n"/>
      <c r="O395" s="11" t="n"/>
      <c r="P395" s="14">
        <f>IF(AND(M395&lt;&gt;"",O395=""),"保留中","")</f>
        <v/>
      </c>
      <c r="Q395" s="14">
        <f>IF(P395="保留中",COUNTIF(P$6:P395,"保留中"),"")</f>
        <v/>
      </c>
    </row>
    <row r="396">
      <c r="A396" s="12" t="n"/>
      <c r="B396">
        <f>IF($A396="","",IFERROR(IF(LOOKUP(2,1/(人給データ!$B$2:$B$700=$A396),人給データ!$C$2:$C$700)=0,"",LOOKUP(2,1/(人給データ!$B$2:$B$700=$A396),人給データ!$C$2:$C$700)),""))</f>
        <v/>
      </c>
      <c r="C396">
        <f>IF($A396="","",IFERROR(IF(LOOKUP(2,1/(人給データ!$B$2:$B$700=$A396),人給データ!$G$2:$G$700)=0,"",LOOKUP(2,1/(人給データ!$B$2:$B$700=$A396),人給データ!$G$2:$G$700)),""))</f>
        <v/>
      </c>
      <c r="D396">
        <f>IF($A396="","",IFERROR(IF(LOOKUP(2,1/(人給データ!$B$2:$B$700=$A396),人給データ!$Y$2:$Y$700)=0,"",LOOKUP(2,1/(人給データ!$B$2:$B$700=$A396),人給データ!$Y$2:$Y$700)),""))</f>
        <v/>
      </c>
      <c r="E396" s="20">
        <f>IF($A396="","",IFERROR(IF(LOOKUP(2,1/(人給データ!$B$2:$B$700=$A396),人給データ!$AB$2:$AB$700)=0,"",LOOKUP(2,1/(人給データ!$B$2:$B$700=$A396),人給データ!$AB$2:$AB$700)),""))</f>
        <v/>
      </c>
      <c r="F396" s="16">
        <f>IF(OR(E396="",NOT(ISNUMBER(E396))),"",DATE(YEAR(E396)+2,MONTH(E396),DAY(E396)-2))</f>
        <v/>
      </c>
      <c r="G396" s="20">
        <f>IF($A396="","",IFERROR(IF(LOOKUP(2,1/(人給データ!$B$2:$B$700=$A396),人給データ!$J$2:$J$700)=0,"",LOOKUP(2,1/(人給データ!$B$2:$B$700=$A396),人給データ!$J$2:$J$700)),""))</f>
        <v/>
      </c>
      <c r="H396" s="20">
        <f>IF($A396="","",IFERROR(IF(LOOKUP(2,1/(人給データ!$B$2:$B$700=$A396),人給データ!$K$2:$K$700)=0,"",LOOKUP(2,1/(人給データ!$B$2:$B$700=$A396),人給データ!$K$2:$K$700)),""))</f>
        <v/>
      </c>
      <c r="I396" s="12" t="n"/>
      <c r="J396">
        <f>IF($A396="","",IFERROR(IF(LOOKUP(2,1/(人給データ!$B$2:$B$700=$A396),人給データ!$N$2:$N$700)=0,"",LOOKUP(2,1/(人給データ!$B$2:$B$700=$A396),人給データ!$N$2:$N$700)),""))</f>
        <v/>
      </c>
      <c r="K396" s="13" t="n"/>
      <c r="L396" s="12" t="n"/>
      <c r="M396" s="12" t="n"/>
      <c r="N396" s="11" t="n"/>
      <c r="O396" s="11" t="n"/>
      <c r="P396" s="14">
        <f>IF(AND(M396&lt;&gt;"",O396=""),"保留中","")</f>
        <v/>
      </c>
      <c r="Q396" s="14">
        <f>IF(P396="保留中",COUNTIF(P$6:P396,"保留中"),"")</f>
        <v/>
      </c>
    </row>
    <row r="397">
      <c r="A397" s="12" t="n"/>
      <c r="B397">
        <f>IF($A397="","",IFERROR(IF(LOOKUP(2,1/(人給データ!$B$2:$B$700=$A397),人給データ!$C$2:$C$700)=0,"",LOOKUP(2,1/(人給データ!$B$2:$B$700=$A397),人給データ!$C$2:$C$700)),""))</f>
        <v/>
      </c>
      <c r="C397">
        <f>IF($A397="","",IFERROR(IF(LOOKUP(2,1/(人給データ!$B$2:$B$700=$A397),人給データ!$G$2:$G$700)=0,"",LOOKUP(2,1/(人給データ!$B$2:$B$700=$A397),人給データ!$G$2:$G$700)),""))</f>
        <v/>
      </c>
      <c r="D397">
        <f>IF($A397="","",IFERROR(IF(LOOKUP(2,1/(人給データ!$B$2:$B$700=$A397),人給データ!$Y$2:$Y$700)=0,"",LOOKUP(2,1/(人給データ!$B$2:$B$700=$A397),人給データ!$Y$2:$Y$700)),""))</f>
        <v/>
      </c>
      <c r="E397" s="20">
        <f>IF($A397="","",IFERROR(IF(LOOKUP(2,1/(人給データ!$B$2:$B$700=$A397),人給データ!$AB$2:$AB$700)=0,"",LOOKUP(2,1/(人給データ!$B$2:$B$700=$A397),人給データ!$AB$2:$AB$700)),""))</f>
        <v/>
      </c>
      <c r="F397" s="16">
        <f>IF(OR(E397="",NOT(ISNUMBER(E397))),"",DATE(YEAR(E397)+2,MONTH(E397),DAY(E397)-2))</f>
        <v/>
      </c>
      <c r="G397" s="20">
        <f>IF($A397="","",IFERROR(IF(LOOKUP(2,1/(人給データ!$B$2:$B$700=$A397),人給データ!$J$2:$J$700)=0,"",LOOKUP(2,1/(人給データ!$B$2:$B$700=$A397),人給データ!$J$2:$J$700)),""))</f>
        <v/>
      </c>
      <c r="H397" s="20">
        <f>IF($A397="","",IFERROR(IF(LOOKUP(2,1/(人給データ!$B$2:$B$700=$A397),人給データ!$K$2:$K$700)=0,"",LOOKUP(2,1/(人給データ!$B$2:$B$700=$A397),人給データ!$K$2:$K$700)),""))</f>
        <v/>
      </c>
      <c r="I397" s="12" t="n"/>
      <c r="J397">
        <f>IF($A397="","",IFERROR(IF(LOOKUP(2,1/(人給データ!$B$2:$B$700=$A397),人給データ!$N$2:$N$700)=0,"",LOOKUP(2,1/(人給データ!$B$2:$B$700=$A397),人給データ!$N$2:$N$700)),""))</f>
        <v/>
      </c>
      <c r="K397" s="13" t="n"/>
      <c r="L397" s="12" t="n"/>
      <c r="M397" s="12" t="n"/>
      <c r="N397" s="11" t="n"/>
      <c r="O397" s="11" t="n"/>
      <c r="P397" s="14">
        <f>IF(AND(M397&lt;&gt;"",O397=""),"保留中","")</f>
        <v/>
      </c>
      <c r="Q397" s="14">
        <f>IF(P397="保留中",COUNTIF(P$6:P397,"保留中"),"")</f>
        <v/>
      </c>
    </row>
    <row r="398">
      <c r="A398" s="12" t="n"/>
      <c r="B398">
        <f>IF($A398="","",IFERROR(IF(LOOKUP(2,1/(人給データ!$B$2:$B$700=$A398),人給データ!$C$2:$C$700)=0,"",LOOKUP(2,1/(人給データ!$B$2:$B$700=$A398),人給データ!$C$2:$C$700)),""))</f>
        <v/>
      </c>
      <c r="C398">
        <f>IF($A398="","",IFERROR(IF(LOOKUP(2,1/(人給データ!$B$2:$B$700=$A398),人給データ!$G$2:$G$700)=0,"",LOOKUP(2,1/(人給データ!$B$2:$B$700=$A398),人給データ!$G$2:$G$700)),""))</f>
        <v/>
      </c>
      <c r="D398">
        <f>IF($A398="","",IFERROR(IF(LOOKUP(2,1/(人給データ!$B$2:$B$700=$A398),人給データ!$Y$2:$Y$700)=0,"",LOOKUP(2,1/(人給データ!$B$2:$B$700=$A398),人給データ!$Y$2:$Y$700)),""))</f>
        <v/>
      </c>
      <c r="E398" s="20">
        <f>IF($A398="","",IFERROR(IF(LOOKUP(2,1/(人給データ!$B$2:$B$700=$A398),人給データ!$AB$2:$AB$700)=0,"",LOOKUP(2,1/(人給データ!$B$2:$B$700=$A398),人給データ!$AB$2:$AB$700)),""))</f>
        <v/>
      </c>
      <c r="F398" s="16">
        <f>IF(OR(E398="",NOT(ISNUMBER(E398))),"",DATE(YEAR(E398)+2,MONTH(E398),DAY(E398)-2))</f>
        <v/>
      </c>
      <c r="G398" s="20">
        <f>IF($A398="","",IFERROR(IF(LOOKUP(2,1/(人給データ!$B$2:$B$700=$A398),人給データ!$J$2:$J$700)=0,"",LOOKUP(2,1/(人給データ!$B$2:$B$700=$A398),人給データ!$J$2:$J$700)),""))</f>
        <v/>
      </c>
      <c r="H398" s="20">
        <f>IF($A398="","",IFERROR(IF(LOOKUP(2,1/(人給データ!$B$2:$B$700=$A398),人給データ!$K$2:$K$700)=0,"",LOOKUP(2,1/(人給データ!$B$2:$B$700=$A398),人給データ!$K$2:$K$700)),""))</f>
        <v/>
      </c>
      <c r="I398" s="12" t="n"/>
      <c r="J398">
        <f>IF($A398="","",IFERROR(IF(LOOKUP(2,1/(人給データ!$B$2:$B$700=$A398),人給データ!$N$2:$N$700)=0,"",LOOKUP(2,1/(人給データ!$B$2:$B$700=$A398),人給データ!$N$2:$N$700)),""))</f>
        <v/>
      </c>
      <c r="K398" s="13" t="n"/>
      <c r="L398" s="12" t="n"/>
      <c r="M398" s="12" t="n"/>
      <c r="N398" s="11" t="n"/>
      <c r="O398" s="11" t="n"/>
      <c r="P398" s="14">
        <f>IF(AND(M398&lt;&gt;"",O398=""),"保留中","")</f>
        <v/>
      </c>
      <c r="Q398" s="14">
        <f>IF(P398="保留中",COUNTIF(P$6:P398,"保留中"),"")</f>
        <v/>
      </c>
    </row>
    <row r="399">
      <c r="A399" s="12" t="n"/>
      <c r="B399">
        <f>IF($A399="","",IFERROR(IF(LOOKUP(2,1/(人給データ!$B$2:$B$700=$A399),人給データ!$C$2:$C$700)=0,"",LOOKUP(2,1/(人給データ!$B$2:$B$700=$A399),人給データ!$C$2:$C$700)),""))</f>
        <v/>
      </c>
      <c r="C399">
        <f>IF($A399="","",IFERROR(IF(LOOKUP(2,1/(人給データ!$B$2:$B$700=$A399),人給データ!$G$2:$G$700)=0,"",LOOKUP(2,1/(人給データ!$B$2:$B$700=$A399),人給データ!$G$2:$G$700)),""))</f>
        <v/>
      </c>
      <c r="D399">
        <f>IF($A399="","",IFERROR(IF(LOOKUP(2,1/(人給データ!$B$2:$B$700=$A399),人給データ!$Y$2:$Y$700)=0,"",LOOKUP(2,1/(人給データ!$B$2:$B$700=$A399),人給データ!$Y$2:$Y$700)),""))</f>
        <v/>
      </c>
      <c r="E399" s="20">
        <f>IF($A399="","",IFERROR(IF(LOOKUP(2,1/(人給データ!$B$2:$B$700=$A399),人給データ!$AB$2:$AB$700)=0,"",LOOKUP(2,1/(人給データ!$B$2:$B$700=$A399),人給データ!$AB$2:$AB$700)),""))</f>
        <v/>
      </c>
      <c r="F399" s="16">
        <f>IF(OR(E399="",NOT(ISNUMBER(E399))),"",DATE(YEAR(E399)+2,MONTH(E399),DAY(E399)-2))</f>
        <v/>
      </c>
      <c r="G399" s="20">
        <f>IF($A399="","",IFERROR(IF(LOOKUP(2,1/(人給データ!$B$2:$B$700=$A399),人給データ!$J$2:$J$700)=0,"",LOOKUP(2,1/(人給データ!$B$2:$B$700=$A399),人給データ!$J$2:$J$700)),""))</f>
        <v/>
      </c>
      <c r="H399" s="20">
        <f>IF($A399="","",IFERROR(IF(LOOKUP(2,1/(人給データ!$B$2:$B$700=$A399),人給データ!$K$2:$K$700)=0,"",LOOKUP(2,1/(人給データ!$B$2:$B$700=$A399),人給データ!$K$2:$K$700)),""))</f>
        <v/>
      </c>
      <c r="I399" s="12" t="n"/>
      <c r="J399">
        <f>IF($A399="","",IFERROR(IF(LOOKUP(2,1/(人給データ!$B$2:$B$700=$A399),人給データ!$N$2:$N$700)=0,"",LOOKUP(2,1/(人給データ!$B$2:$B$700=$A399),人給データ!$N$2:$N$700)),""))</f>
        <v/>
      </c>
      <c r="K399" s="13" t="n"/>
      <c r="L399" s="12" t="n"/>
      <c r="M399" s="12" t="n"/>
      <c r="N399" s="11" t="n"/>
      <c r="O399" s="11" t="n"/>
      <c r="P399" s="14">
        <f>IF(AND(M399&lt;&gt;"",O399=""),"保留中","")</f>
        <v/>
      </c>
      <c r="Q399" s="14">
        <f>IF(P399="保留中",COUNTIF(P$6:P399,"保留中"),"")</f>
        <v/>
      </c>
    </row>
    <row r="400">
      <c r="A400" s="12" t="n"/>
      <c r="B400">
        <f>IF($A400="","",IFERROR(IF(LOOKUP(2,1/(人給データ!$B$2:$B$700=$A400),人給データ!$C$2:$C$700)=0,"",LOOKUP(2,1/(人給データ!$B$2:$B$700=$A400),人給データ!$C$2:$C$700)),""))</f>
        <v/>
      </c>
      <c r="C400">
        <f>IF($A400="","",IFERROR(IF(LOOKUP(2,1/(人給データ!$B$2:$B$700=$A400),人給データ!$G$2:$G$700)=0,"",LOOKUP(2,1/(人給データ!$B$2:$B$700=$A400),人給データ!$G$2:$G$700)),""))</f>
        <v/>
      </c>
      <c r="D400">
        <f>IF($A400="","",IFERROR(IF(LOOKUP(2,1/(人給データ!$B$2:$B$700=$A400),人給データ!$Y$2:$Y$700)=0,"",LOOKUP(2,1/(人給データ!$B$2:$B$700=$A400),人給データ!$Y$2:$Y$700)),""))</f>
        <v/>
      </c>
      <c r="E400" s="20">
        <f>IF($A400="","",IFERROR(IF(LOOKUP(2,1/(人給データ!$B$2:$B$700=$A400),人給データ!$AB$2:$AB$700)=0,"",LOOKUP(2,1/(人給データ!$B$2:$B$700=$A400),人給データ!$AB$2:$AB$700)),""))</f>
        <v/>
      </c>
      <c r="F400" s="16">
        <f>IF(OR(E400="",NOT(ISNUMBER(E400))),"",DATE(YEAR(E400)+2,MONTH(E400),DAY(E400)-2))</f>
        <v/>
      </c>
      <c r="G400" s="20">
        <f>IF($A400="","",IFERROR(IF(LOOKUP(2,1/(人給データ!$B$2:$B$700=$A400),人給データ!$J$2:$J$700)=0,"",LOOKUP(2,1/(人給データ!$B$2:$B$700=$A400),人給データ!$J$2:$J$700)),""))</f>
        <v/>
      </c>
      <c r="H400" s="20">
        <f>IF($A400="","",IFERROR(IF(LOOKUP(2,1/(人給データ!$B$2:$B$700=$A400),人給データ!$K$2:$K$700)=0,"",LOOKUP(2,1/(人給データ!$B$2:$B$700=$A400),人給データ!$K$2:$K$700)),""))</f>
        <v/>
      </c>
      <c r="I400" s="12" t="n"/>
      <c r="J400">
        <f>IF($A400="","",IFERROR(IF(LOOKUP(2,1/(人給データ!$B$2:$B$700=$A400),人給データ!$N$2:$N$700)=0,"",LOOKUP(2,1/(人給データ!$B$2:$B$700=$A400),人給データ!$N$2:$N$700)),""))</f>
        <v/>
      </c>
      <c r="K400" s="13" t="n"/>
      <c r="L400" s="12" t="n"/>
      <c r="M400" s="12" t="n"/>
      <c r="N400" s="11" t="n"/>
      <c r="O400" s="11" t="n"/>
      <c r="P400" s="14">
        <f>IF(AND(M400&lt;&gt;"",O400=""),"保留中","")</f>
        <v/>
      </c>
      <c r="Q400" s="14">
        <f>IF(P400="保留中",COUNTIF(P$6:P400,"保留中"),"")</f>
        <v/>
      </c>
    </row>
    <row r="401">
      <c r="A401" s="12" t="n"/>
      <c r="B401">
        <f>IF($A401="","",IFERROR(IF(LOOKUP(2,1/(人給データ!$B$2:$B$700=$A401),人給データ!$C$2:$C$700)=0,"",LOOKUP(2,1/(人給データ!$B$2:$B$700=$A401),人給データ!$C$2:$C$700)),""))</f>
        <v/>
      </c>
      <c r="C401">
        <f>IF($A401="","",IFERROR(IF(LOOKUP(2,1/(人給データ!$B$2:$B$700=$A401),人給データ!$G$2:$G$700)=0,"",LOOKUP(2,1/(人給データ!$B$2:$B$700=$A401),人給データ!$G$2:$G$700)),""))</f>
        <v/>
      </c>
      <c r="D401">
        <f>IF($A401="","",IFERROR(IF(LOOKUP(2,1/(人給データ!$B$2:$B$700=$A401),人給データ!$Y$2:$Y$700)=0,"",LOOKUP(2,1/(人給データ!$B$2:$B$700=$A401),人給データ!$Y$2:$Y$700)),""))</f>
        <v/>
      </c>
      <c r="E401" s="20">
        <f>IF($A401="","",IFERROR(IF(LOOKUP(2,1/(人給データ!$B$2:$B$700=$A401),人給データ!$AB$2:$AB$700)=0,"",LOOKUP(2,1/(人給データ!$B$2:$B$700=$A401),人給データ!$AB$2:$AB$700)),""))</f>
        <v/>
      </c>
      <c r="F401" s="16">
        <f>IF(OR(E401="",NOT(ISNUMBER(E401))),"",DATE(YEAR(E401)+2,MONTH(E401),DAY(E401)-2))</f>
        <v/>
      </c>
      <c r="G401" s="20">
        <f>IF($A401="","",IFERROR(IF(LOOKUP(2,1/(人給データ!$B$2:$B$700=$A401),人給データ!$J$2:$J$700)=0,"",LOOKUP(2,1/(人給データ!$B$2:$B$700=$A401),人給データ!$J$2:$J$700)),""))</f>
        <v/>
      </c>
      <c r="H401" s="20">
        <f>IF($A401="","",IFERROR(IF(LOOKUP(2,1/(人給データ!$B$2:$B$700=$A401),人給データ!$K$2:$K$700)=0,"",LOOKUP(2,1/(人給データ!$B$2:$B$700=$A401),人給データ!$K$2:$K$700)),""))</f>
        <v/>
      </c>
      <c r="I401" s="12" t="n"/>
      <c r="J401">
        <f>IF($A401="","",IFERROR(IF(LOOKUP(2,1/(人給データ!$B$2:$B$700=$A401),人給データ!$N$2:$N$700)=0,"",LOOKUP(2,1/(人給データ!$B$2:$B$700=$A401),人給データ!$N$2:$N$700)),""))</f>
        <v/>
      </c>
      <c r="K401" s="13" t="n"/>
      <c r="L401" s="12" t="n"/>
      <c r="M401" s="12" t="n"/>
      <c r="N401" s="11" t="n"/>
      <c r="O401" s="11" t="n"/>
      <c r="P401" s="14">
        <f>IF(AND(M401&lt;&gt;"",O401=""),"保留中","")</f>
        <v/>
      </c>
      <c r="Q401" s="14">
        <f>IF(P401="保留中",COUNTIF(P$6:P401,"保留中"),"")</f>
        <v/>
      </c>
    </row>
    <row r="402">
      <c r="A402" s="12" t="n"/>
      <c r="B402">
        <f>IF($A402="","",IFERROR(IF(LOOKUP(2,1/(人給データ!$B$2:$B$700=$A402),人給データ!$C$2:$C$700)=0,"",LOOKUP(2,1/(人給データ!$B$2:$B$700=$A402),人給データ!$C$2:$C$700)),""))</f>
        <v/>
      </c>
      <c r="C402">
        <f>IF($A402="","",IFERROR(IF(LOOKUP(2,1/(人給データ!$B$2:$B$700=$A402),人給データ!$G$2:$G$700)=0,"",LOOKUP(2,1/(人給データ!$B$2:$B$700=$A402),人給データ!$G$2:$G$700)),""))</f>
        <v/>
      </c>
      <c r="D402">
        <f>IF($A402="","",IFERROR(IF(LOOKUP(2,1/(人給データ!$B$2:$B$700=$A402),人給データ!$Y$2:$Y$700)=0,"",LOOKUP(2,1/(人給データ!$B$2:$B$700=$A402),人給データ!$Y$2:$Y$700)),""))</f>
        <v/>
      </c>
      <c r="E402" s="20">
        <f>IF($A402="","",IFERROR(IF(LOOKUP(2,1/(人給データ!$B$2:$B$700=$A402),人給データ!$AB$2:$AB$700)=0,"",LOOKUP(2,1/(人給データ!$B$2:$B$700=$A402),人給データ!$AB$2:$AB$700)),""))</f>
        <v/>
      </c>
      <c r="F402" s="16">
        <f>IF(OR(E402="",NOT(ISNUMBER(E402))),"",DATE(YEAR(E402)+2,MONTH(E402),DAY(E402)-2))</f>
        <v/>
      </c>
      <c r="G402" s="20">
        <f>IF($A402="","",IFERROR(IF(LOOKUP(2,1/(人給データ!$B$2:$B$700=$A402),人給データ!$J$2:$J$700)=0,"",LOOKUP(2,1/(人給データ!$B$2:$B$700=$A402),人給データ!$J$2:$J$700)),""))</f>
        <v/>
      </c>
      <c r="H402" s="20">
        <f>IF($A402="","",IFERROR(IF(LOOKUP(2,1/(人給データ!$B$2:$B$700=$A402),人給データ!$K$2:$K$700)=0,"",LOOKUP(2,1/(人給データ!$B$2:$B$700=$A402),人給データ!$K$2:$K$700)),""))</f>
        <v/>
      </c>
      <c r="I402" s="12" t="n"/>
      <c r="J402">
        <f>IF($A402="","",IFERROR(IF(LOOKUP(2,1/(人給データ!$B$2:$B$700=$A402),人給データ!$N$2:$N$700)=0,"",LOOKUP(2,1/(人給データ!$B$2:$B$700=$A402),人給データ!$N$2:$N$700)),""))</f>
        <v/>
      </c>
      <c r="K402" s="13" t="n"/>
      <c r="L402" s="12" t="n"/>
      <c r="M402" s="12" t="n"/>
      <c r="N402" s="11" t="n"/>
      <c r="O402" s="11" t="n"/>
      <c r="P402" s="14">
        <f>IF(AND(M402&lt;&gt;"",O402=""),"保留中","")</f>
        <v/>
      </c>
      <c r="Q402" s="14">
        <f>IF(P402="保留中",COUNTIF(P$6:P402,"保留中"),"")</f>
        <v/>
      </c>
    </row>
    <row r="403">
      <c r="A403" s="12" t="n"/>
      <c r="B403">
        <f>IF($A403="","",IFERROR(IF(LOOKUP(2,1/(人給データ!$B$2:$B$700=$A403),人給データ!$C$2:$C$700)=0,"",LOOKUP(2,1/(人給データ!$B$2:$B$700=$A403),人給データ!$C$2:$C$700)),""))</f>
        <v/>
      </c>
      <c r="C403">
        <f>IF($A403="","",IFERROR(IF(LOOKUP(2,1/(人給データ!$B$2:$B$700=$A403),人給データ!$G$2:$G$700)=0,"",LOOKUP(2,1/(人給データ!$B$2:$B$700=$A403),人給データ!$G$2:$G$700)),""))</f>
        <v/>
      </c>
      <c r="D403">
        <f>IF($A403="","",IFERROR(IF(LOOKUP(2,1/(人給データ!$B$2:$B$700=$A403),人給データ!$Y$2:$Y$700)=0,"",LOOKUP(2,1/(人給データ!$B$2:$B$700=$A403),人給データ!$Y$2:$Y$700)),""))</f>
        <v/>
      </c>
      <c r="E403" s="20">
        <f>IF($A403="","",IFERROR(IF(LOOKUP(2,1/(人給データ!$B$2:$B$700=$A403),人給データ!$AB$2:$AB$700)=0,"",LOOKUP(2,1/(人給データ!$B$2:$B$700=$A403),人給データ!$AB$2:$AB$700)),""))</f>
        <v/>
      </c>
      <c r="F403" s="16">
        <f>IF(OR(E403="",NOT(ISNUMBER(E403))),"",DATE(YEAR(E403)+2,MONTH(E403),DAY(E403)-2))</f>
        <v/>
      </c>
      <c r="G403" s="20">
        <f>IF($A403="","",IFERROR(IF(LOOKUP(2,1/(人給データ!$B$2:$B$700=$A403),人給データ!$J$2:$J$700)=0,"",LOOKUP(2,1/(人給データ!$B$2:$B$700=$A403),人給データ!$J$2:$J$700)),""))</f>
        <v/>
      </c>
      <c r="H403" s="20">
        <f>IF($A403="","",IFERROR(IF(LOOKUP(2,1/(人給データ!$B$2:$B$700=$A403),人給データ!$K$2:$K$700)=0,"",LOOKUP(2,1/(人給データ!$B$2:$B$700=$A403),人給データ!$K$2:$K$700)),""))</f>
        <v/>
      </c>
      <c r="I403" s="12" t="n"/>
      <c r="J403">
        <f>IF($A403="","",IFERROR(IF(LOOKUP(2,1/(人給データ!$B$2:$B$700=$A403),人給データ!$N$2:$N$700)=0,"",LOOKUP(2,1/(人給データ!$B$2:$B$700=$A403),人給データ!$N$2:$N$700)),""))</f>
        <v/>
      </c>
      <c r="K403" s="13" t="n"/>
      <c r="L403" s="12" t="n"/>
      <c r="M403" s="12" t="n"/>
      <c r="N403" s="11" t="n"/>
      <c r="O403" s="11" t="n"/>
      <c r="P403" s="14">
        <f>IF(AND(M403&lt;&gt;"",O403=""),"保留中","")</f>
        <v/>
      </c>
      <c r="Q403" s="14">
        <f>IF(P403="保留中",COUNTIF(P$6:P403,"保留中"),"")</f>
        <v/>
      </c>
    </row>
    <row r="404">
      <c r="A404" s="12" t="n"/>
      <c r="B404">
        <f>IF($A404="","",IFERROR(IF(LOOKUP(2,1/(人給データ!$B$2:$B$700=$A404),人給データ!$C$2:$C$700)=0,"",LOOKUP(2,1/(人給データ!$B$2:$B$700=$A404),人給データ!$C$2:$C$700)),""))</f>
        <v/>
      </c>
      <c r="C404">
        <f>IF($A404="","",IFERROR(IF(LOOKUP(2,1/(人給データ!$B$2:$B$700=$A404),人給データ!$G$2:$G$700)=0,"",LOOKUP(2,1/(人給データ!$B$2:$B$700=$A404),人給データ!$G$2:$G$700)),""))</f>
        <v/>
      </c>
      <c r="D404">
        <f>IF($A404="","",IFERROR(IF(LOOKUP(2,1/(人給データ!$B$2:$B$700=$A404),人給データ!$Y$2:$Y$700)=0,"",LOOKUP(2,1/(人給データ!$B$2:$B$700=$A404),人給データ!$Y$2:$Y$700)),""))</f>
        <v/>
      </c>
      <c r="E404" s="20">
        <f>IF($A404="","",IFERROR(IF(LOOKUP(2,1/(人給データ!$B$2:$B$700=$A404),人給データ!$AB$2:$AB$700)=0,"",LOOKUP(2,1/(人給データ!$B$2:$B$700=$A404),人給データ!$AB$2:$AB$700)),""))</f>
        <v/>
      </c>
      <c r="F404" s="16">
        <f>IF(OR(E404="",NOT(ISNUMBER(E404))),"",DATE(YEAR(E404)+2,MONTH(E404),DAY(E404)-2))</f>
        <v/>
      </c>
      <c r="G404" s="20">
        <f>IF($A404="","",IFERROR(IF(LOOKUP(2,1/(人給データ!$B$2:$B$700=$A404),人給データ!$J$2:$J$700)=0,"",LOOKUP(2,1/(人給データ!$B$2:$B$700=$A404),人給データ!$J$2:$J$700)),""))</f>
        <v/>
      </c>
      <c r="H404" s="20">
        <f>IF($A404="","",IFERROR(IF(LOOKUP(2,1/(人給データ!$B$2:$B$700=$A404),人給データ!$K$2:$K$700)=0,"",LOOKUP(2,1/(人給データ!$B$2:$B$700=$A404),人給データ!$K$2:$K$700)),""))</f>
        <v/>
      </c>
      <c r="I404" s="12" t="n"/>
      <c r="J404">
        <f>IF($A404="","",IFERROR(IF(LOOKUP(2,1/(人給データ!$B$2:$B$700=$A404),人給データ!$N$2:$N$700)=0,"",LOOKUP(2,1/(人給データ!$B$2:$B$700=$A404),人給データ!$N$2:$N$700)),""))</f>
        <v/>
      </c>
      <c r="K404" s="13" t="n"/>
      <c r="L404" s="12" t="n"/>
      <c r="M404" s="12" t="n"/>
      <c r="N404" s="11" t="n"/>
      <c r="O404" s="11" t="n"/>
      <c r="P404" s="14">
        <f>IF(AND(M404&lt;&gt;"",O404=""),"保留中","")</f>
        <v/>
      </c>
      <c r="Q404" s="14">
        <f>IF(P404="保留中",COUNTIF(P$6:P404,"保留中"),"")</f>
        <v/>
      </c>
    </row>
    <row r="405">
      <c r="A405" s="12" t="n"/>
      <c r="B405">
        <f>IF($A405="","",IFERROR(IF(LOOKUP(2,1/(人給データ!$B$2:$B$700=$A405),人給データ!$C$2:$C$700)=0,"",LOOKUP(2,1/(人給データ!$B$2:$B$700=$A405),人給データ!$C$2:$C$700)),""))</f>
        <v/>
      </c>
      <c r="C405">
        <f>IF($A405="","",IFERROR(IF(LOOKUP(2,1/(人給データ!$B$2:$B$700=$A405),人給データ!$G$2:$G$700)=0,"",LOOKUP(2,1/(人給データ!$B$2:$B$700=$A405),人給データ!$G$2:$G$700)),""))</f>
        <v/>
      </c>
      <c r="D405">
        <f>IF($A405="","",IFERROR(IF(LOOKUP(2,1/(人給データ!$B$2:$B$700=$A405),人給データ!$Y$2:$Y$700)=0,"",LOOKUP(2,1/(人給データ!$B$2:$B$700=$A405),人給データ!$Y$2:$Y$700)),""))</f>
        <v/>
      </c>
      <c r="E405" s="20">
        <f>IF($A405="","",IFERROR(IF(LOOKUP(2,1/(人給データ!$B$2:$B$700=$A405),人給データ!$AB$2:$AB$700)=0,"",LOOKUP(2,1/(人給データ!$B$2:$B$700=$A405),人給データ!$AB$2:$AB$700)),""))</f>
        <v/>
      </c>
      <c r="F405" s="16">
        <f>IF(OR(E405="",NOT(ISNUMBER(E405))),"",DATE(YEAR(E405)+2,MONTH(E405),DAY(E405)-2))</f>
        <v/>
      </c>
      <c r="G405" s="20">
        <f>IF($A405="","",IFERROR(IF(LOOKUP(2,1/(人給データ!$B$2:$B$700=$A405),人給データ!$J$2:$J$700)=0,"",LOOKUP(2,1/(人給データ!$B$2:$B$700=$A405),人給データ!$J$2:$J$700)),""))</f>
        <v/>
      </c>
      <c r="H405" s="20">
        <f>IF($A405="","",IFERROR(IF(LOOKUP(2,1/(人給データ!$B$2:$B$700=$A405),人給データ!$K$2:$K$700)=0,"",LOOKUP(2,1/(人給データ!$B$2:$B$700=$A405),人給データ!$K$2:$K$700)),""))</f>
        <v/>
      </c>
      <c r="I405" s="12" t="n"/>
      <c r="J405">
        <f>IF($A405="","",IFERROR(IF(LOOKUP(2,1/(人給データ!$B$2:$B$700=$A405),人給データ!$N$2:$N$700)=0,"",LOOKUP(2,1/(人給データ!$B$2:$B$700=$A405),人給データ!$N$2:$N$700)),""))</f>
        <v/>
      </c>
      <c r="K405" s="13" t="n"/>
      <c r="L405" s="12" t="n"/>
      <c r="M405" s="12" t="n"/>
      <c r="N405" s="11" t="n"/>
      <c r="O405" s="11" t="n"/>
      <c r="P405" s="14">
        <f>IF(AND(M405&lt;&gt;"",O405=""),"保留中","")</f>
        <v/>
      </c>
      <c r="Q405" s="14">
        <f>IF(P405="保留中",COUNTIF(P$6:P405,"保留中"),"")</f>
        <v/>
      </c>
    </row>
  </sheetData>
  <autoFilter ref="A5:P405"/>
  <conditionalFormatting sqref="A6:P405">
    <cfRule type="expression" priority="1" dxfId="0">
      <formula>$P6="保留中"</formula>
    </cfRule>
  </conditionalFormatting>
  <dataValidations count="2">
    <dataValidation sqref="M6:M405" showDropDown="0" showInputMessage="0" showErrorMessage="0" allowBlank="1" type="list">
      <formula1>=設定!$F$3:$F$14</formula1>
    </dataValidation>
    <dataValidation sqref="I6:I405" showDropDown="0" showInputMessage="0" showErrorMessage="0" allowBlank="1" type="list">
      <formula1>"育児短時間勤務,部分休業"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4" customHeight="1">
      <c r="A1" s="9" t="inlineStr">
        <is>
          <t>個人ＩＤ</t>
        </is>
      </c>
      <c r="B1" s="9" t="inlineStr">
        <is>
          <t>職員番号</t>
        </is>
      </c>
      <c r="C1" s="9" t="inlineStr">
        <is>
          <t>職員氏名</t>
        </is>
      </c>
      <c r="D1" s="9" t="inlineStr">
        <is>
          <t>カナ氏名</t>
        </is>
      </c>
      <c r="E1" s="9" t="inlineStr">
        <is>
          <t>機構番号</t>
        </is>
      </c>
      <c r="F1" s="9" t="inlineStr">
        <is>
          <t>人事所属コード</t>
        </is>
      </c>
      <c r="G1" s="9" t="inlineStr">
        <is>
          <t>所属名称</t>
        </is>
      </c>
      <c r="H1" s="9" t="inlineStr">
        <is>
          <t>育児短時間勤務種別</t>
        </is>
      </c>
      <c r="I1" s="9" t="inlineStr">
        <is>
          <t>育児短時間勤務種別名称</t>
        </is>
      </c>
      <c r="J1" s="9" t="inlineStr">
        <is>
          <t>育児短時間勤務開始日</t>
        </is>
      </c>
      <c r="K1" s="9" t="inlineStr">
        <is>
          <t>育児短時間勤務終了日</t>
        </is>
      </c>
      <c r="L1" s="9" t="inlineStr">
        <is>
          <t>計算区分コード</t>
        </is>
      </c>
      <c r="M1" s="9" t="inlineStr">
        <is>
          <t>計算区分名称</t>
        </is>
      </c>
      <c r="N1" s="9" t="inlineStr">
        <is>
          <t>短時間勤務１週間勤務時間数</t>
        </is>
      </c>
      <c r="O1" s="9" t="inlineStr">
        <is>
          <t>１週間勤務時間数</t>
        </is>
      </c>
      <c r="P1" s="9" t="inlineStr">
        <is>
          <t>当初発令開始日</t>
        </is>
      </c>
      <c r="Q1" s="9" t="inlineStr">
        <is>
          <t>当初発令終了日</t>
        </is>
      </c>
      <c r="R1" s="9" t="inlineStr">
        <is>
          <t>備考</t>
        </is>
      </c>
      <c r="S1" s="9" t="inlineStr">
        <is>
          <t>職名コード</t>
        </is>
      </c>
      <c r="T1" s="9" t="inlineStr">
        <is>
          <t>職名名称</t>
        </is>
      </c>
      <c r="U1" s="9" t="inlineStr">
        <is>
          <t>育児短時間終了時計算区分コード</t>
        </is>
      </c>
      <c r="V1" s="9" t="inlineStr">
        <is>
          <t>育児短時間終了時計算区分名称</t>
        </is>
      </c>
      <c r="W1" s="9" t="inlineStr">
        <is>
          <t>育児短時間申請番号</t>
        </is>
      </c>
      <c r="X1" s="9" t="inlineStr">
        <is>
          <t>関連付育児短時間申請番号</t>
        </is>
      </c>
      <c r="Y1" s="9" t="inlineStr">
        <is>
          <t>子の氏名</t>
        </is>
      </c>
      <c r="Z1" s="9" t="inlineStr">
        <is>
          <t>子の続柄コード</t>
        </is>
      </c>
      <c r="AA1" s="9" t="inlineStr">
        <is>
          <t>子の続柄名称</t>
        </is>
      </c>
      <c r="AB1" s="9" t="inlineStr">
        <is>
          <t>子の生年月日</t>
        </is>
      </c>
      <c r="AD1" s="23" t="inlineStr">
        <is>
          <t>← 人給システムの出力を A2 から貼り付けると、職員マスタに自動反映されます（列の並びは従来の人給シートと同じ）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4"/>
  <sheetViews>
    <sheetView zoomScale="9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80" customWidth="1" min="4" max="4"/>
    <col width="2" customWidth="1" min="5" max="5"/>
    <col width="30" customWidth="1" min="6" max="6"/>
    <col width="2" customWidth="1" min="7" max="7"/>
    <col width="12" customWidth="1" min="8" max="8"/>
  </cols>
  <sheetData>
    <row r="1">
      <c r="A1" s="5" t="inlineStr">
        <is>
          <t>設定</t>
        </is>
      </c>
    </row>
    <row r="2">
      <c r="A2" s="6" t="inlineStr">
        <is>
          <t>法令・運用の変更があったときはここだけ直します</t>
        </is>
      </c>
      <c r="B2" s="24" t="n"/>
      <c r="F2" s="24" t="inlineStr">
        <is>
          <t>保留理由（追加・変更可／F3:F14）</t>
        </is>
      </c>
      <c r="H2" s="24" t="inlineStr">
        <is>
          <t>支給月・対象月の一覧</t>
        </is>
      </c>
    </row>
    <row r="3">
      <c r="B3" s="24" t="inlineStr">
        <is>
          <t>最低限度額（円）</t>
        </is>
      </c>
      <c r="C3" s="12" t="n">
        <v>2411</v>
      </c>
      <c r="D3" s="25" t="inlineStr">
        <is>
          <t>計算した決定額がこの額以下なら不支給（旧リストの注記「下限(2,411)以下のため×」から設定。改定時は変更）</t>
        </is>
      </c>
      <c r="F3" s="12" t="inlineStr">
        <is>
          <t>住居手当の確認</t>
        </is>
      </c>
      <c r="H3" t="inlineStr">
        <is>
          <t>R7.4</t>
        </is>
      </c>
    </row>
    <row r="4">
      <c r="B4" s="24" t="inlineStr">
        <is>
          <t>通常の給付率</t>
        </is>
      </c>
      <c r="C4" s="26" t="n">
        <v>0.1</v>
      </c>
      <c r="D4" s="25" t="inlineStr">
        <is>
          <t>報酬が標準報酬月額の90%未満の場合</t>
        </is>
      </c>
      <c r="F4" s="12" t="inlineStr">
        <is>
          <t>通勤手当の確認</t>
        </is>
      </c>
      <c r="H4" t="inlineStr">
        <is>
          <t>R7.5</t>
        </is>
      </c>
    </row>
    <row r="5">
      <c r="B5" s="24" t="inlineStr">
        <is>
          <t>逓減を始める割合</t>
        </is>
      </c>
      <c r="C5" s="26" t="n">
        <v>0.9</v>
      </c>
      <c r="D5" s="25" t="inlineStr">
        <is>
          <t>報酬が標準報酬月額のこの割合以上100%未満のとき給付率を逓減</t>
        </is>
      </c>
      <c r="F5" s="12" t="inlineStr">
        <is>
          <t>育休期間の変更待ち</t>
        </is>
      </c>
      <c r="H5" t="inlineStr">
        <is>
          <t>R7.6</t>
        </is>
      </c>
    </row>
    <row r="6">
      <c r="B6" s="24" t="inlineStr">
        <is>
          <t>保留の注意日数</t>
        </is>
      </c>
      <c r="C6" s="12" t="n">
        <v>30</v>
      </c>
      <c r="D6" s="25" t="inlineStr">
        <is>
          <t>保留開始日からこの日数を超えると黄色表示</t>
        </is>
      </c>
      <c r="F6" s="12" t="inlineStr">
        <is>
          <t>標準報酬月額の変更確認</t>
        </is>
      </c>
      <c r="H6" t="inlineStr">
        <is>
          <t>R7.7</t>
        </is>
      </c>
    </row>
    <row r="7">
      <c r="B7" s="24" t="inlineStr">
        <is>
          <t>保留の要対応日数</t>
        </is>
      </c>
      <c r="C7" s="12" t="n">
        <v>60</v>
      </c>
      <c r="D7" s="25" t="inlineStr">
        <is>
          <t>保留開始日からこの日数を超えると赤表示</t>
        </is>
      </c>
      <c r="F7" s="12" t="inlineStr">
        <is>
          <t>部分休業の取得状況確認</t>
        </is>
      </c>
      <c r="H7" t="inlineStr">
        <is>
          <t>R7.8</t>
        </is>
      </c>
    </row>
    <row r="8">
      <c r="F8" s="12" t="inlineStr">
        <is>
          <t>添付書類の不足</t>
        </is>
      </c>
      <c r="H8" t="inlineStr">
        <is>
          <t>R7.9</t>
        </is>
      </c>
    </row>
    <row r="9">
      <c r="F9" s="12" t="inlineStr">
        <is>
          <t>記載内容の修正待ち</t>
        </is>
      </c>
      <c r="H9" t="inlineStr">
        <is>
          <t>R7.10</t>
        </is>
      </c>
    </row>
    <row r="10">
      <c r="F10" s="12" t="inlineStr">
        <is>
          <t>人給データとの相違確認</t>
        </is>
      </c>
      <c r="H10" t="inlineStr">
        <is>
          <t>R7.11</t>
        </is>
      </c>
    </row>
    <row r="11">
      <c r="F11" s="12" t="inlineStr">
        <is>
          <t>その他</t>
        </is>
      </c>
      <c r="H11" t="inlineStr">
        <is>
          <t>R7.12</t>
        </is>
      </c>
    </row>
    <row r="12">
      <c r="F12" s="12" t="n"/>
      <c r="H12" t="inlineStr">
        <is>
          <t>R8.1</t>
        </is>
      </c>
    </row>
    <row r="13">
      <c r="F13" s="12" t="n"/>
      <c r="H13" t="inlineStr">
        <is>
          <t>R8.2</t>
        </is>
      </c>
    </row>
    <row r="14">
      <c r="F14" s="12" t="n"/>
      <c r="H14" t="inlineStr">
        <is>
          <t>R8.3</t>
        </is>
      </c>
    </row>
    <row r="15">
      <c r="H15" t="inlineStr">
        <is>
          <t>R8.4</t>
        </is>
      </c>
    </row>
    <row r="16">
      <c r="H16" t="inlineStr">
        <is>
          <t>R8.5</t>
        </is>
      </c>
    </row>
    <row r="17">
      <c r="H17" t="inlineStr">
        <is>
          <t>R8.6</t>
        </is>
      </c>
    </row>
    <row r="18">
      <c r="H18" t="inlineStr">
        <is>
          <t>R8.7</t>
        </is>
      </c>
    </row>
    <row r="19">
      <c r="H19" t="inlineStr">
        <is>
          <t>R8.8</t>
        </is>
      </c>
    </row>
    <row r="20">
      <c r="H20" t="inlineStr">
        <is>
          <t>R8.9</t>
        </is>
      </c>
    </row>
    <row r="21">
      <c r="H21" t="inlineStr">
        <is>
          <t>R8.10</t>
        </is>
      </c>
    </row>
    <row r="22">
      <c r="H22" t="inlineStr">
        <is>
          <t>R8.11</t>
        </is>
      </c>
    </row>
    <row r="23">
      <c r="H23" t="inlineStr">
        <is>
          <t>R8.12</t>
        </is>
      </c>
    </row>
    <row r="24">
      <c r="H24" t="inlineStr">
        <is>
          <t>R9.1</t>
        </is>
      </c>
    </row>
    <row r="25">
      <c r="H25" t="inlineStr">
        <is>
          <t>R9.2</t>
        </is>
      </c>
    </row>
    <row r="26">
      <c r="H26" t="inlineStr">
        <is>
          <t>R9.3</t>
        </is>
      </c>
    </row>
    <row r="27">
      <c r="H27" t="inlineStr">
        <is>
          <t>R9.4</t>
        </is>
      </c>
    </row>
    <row r="28">
      <c r="H28" t="inlineStr">
        <is>
          <t>R9.5</t>
        </is>
      </c>
    </row>
    <row r="29">
      <c r="H29" t="inlineStr">
        <is>
          <t>R9.6</t>
        </is>
      </c>
    </row>
    <row r="30">
      <c r="H30" t="inlineStr">
        <is>
          <t>R9.7</t>
        </is>
      </c>
    </row>
    <row r="31">
      <c r="H31" t="inlineStr">
        <is>
          <t>R9.8</t>
        </is>
      </c>
    </row>
    <row r="32">
      <c r="H32" t="inlineStr">
        <is>
          <t>R9.9</t>
        </is>
      </c>
    </row>
    <row r="33">
      <c r="H33" t="inlineStr">
        <is>
          <t>R9.10</t>
        </is>
      </c>
    </row>
    <row r="34">
      <c r="H34" t="inlineStr">
        <is>
          <t>R9.11</t>
        </is>
      </c>
    </row>
    <row r="35">
      <c r="H35" t="inlineStr">
        <is>
          <t>R9.12</t>
        </is>
      </c>
    </row>
    <row r="36">
      <c r="H36" t="inlineStr">
        <is>
          <t>R10.1</t>
        </is>
      </c>
    </row>
    <row r="37">
      <c r="H37" t="inlineStr">
        <is>
          <t>R10.2</t>
        </is>
      </c>
    </row>
    <row r="38">
      <c r="H38" t="inlineStr">
        <is>
          <t>R10.3</t>
        </is>
      </c>
    </row>
    <row r="39">
      <c r="H39" t="inlineStr">
        <is>
          <t>R10.4</t>
        </is>
      </c>
    </row>
    <row r="40">
      <c r="H40" t="inlineStr">
        <is>
          <t>R10.5</t>
        </is>
      </c>
    </row>
    <row r="41">
      <c r="H41" t="inlineStr">
        <is>
          <t>R10.6</t>
        </is>
      </c>
    </row>
    <row r="42">
      <c r="H42" t="inlineStr">
        <is>
          <t>R10.7</t>
        </is>
      </c>
    </row>
    <row r="43">
      <c r="H43" t="inlineStr">
        <is>
          <t>R10.8</t>
        </is>
      </c>
    </row>
    <row r="44">
      <c r="H44" t="inlineStr">
        <is>
          <t>R10.9</t>
        </is>
      </c>
    </row>
    <row r="45">
      <c r="H45" t="inlineStr">
        <is>
          <t>R10.10</t>
        </is>
      </c>
    </row>
    <row r="46">
      <c r="H46" t="inlineStr">
        <is>
          <t>R10.11</t>
        </is>
      </c>
    </row>
    <row r="47">
      <c r="H47" t="inlineStr">
        <is>
          <t>R10.12</t>
        </is>
      </c>
    </row>
    <row r="48">
      <c r="H48" t="inlineStr">
        <is>
          <t>R11.1</t>
        </is>
      </c>
    </row>
    <row r="49">
      <c r="H49" t="inlineStr">
        <is>
          <t>R11.2</t>
        </is>
      </c>
    </row>
    <row r="50">
      <c r="H50" t="inlineStr">
        <is>
          <t>R11.3</t>
        </is>
      </c>
    </row>
    <row r="51">
      <c r="H51" t="inlineStr">
        <is>
          <t>R11.4</t>
        </is>
      </c>
    </row>
    <row r="52">
      <c r="H52" t="inlineStr">
        <is>
          <t>R11.5</t>
        </is>
      </c>
    </row>
    <row r="53">
      <c r="H53" t="inlineStr">
        <is>
          <t>R11.6</t>
        </is>
      </c>
    </row>
    <row r="54">
      <c r="H54" t="inlineStr">
        <is>
          <t>R11.7</t>
        </is>
      </c>
    </row>
    <row r="55">
      <c r="H55" t="inlineStr">
        <is>
          <t>R11.8</t>
        </is>
      </c>
    </row>
    <row r="56">
      <c r="H56" t="inlineStr">
        <is>
          <t>R11.9</t>
        </is>
      </c>
    </row>
    <row r="57">
      <c r="H57" t="inlineStr">
        <is>
          <t>R11.10</t>
        </is>
      </c>
    </row>
    <row r="58">
      <c r="H58" t="inlineStr">
        <is>
          <t>R11.11</t>
        </is>
      </c>
    </row>
    <row r="59">
      <c r="H59" t="inlineStr">
        <is>
          <t>R11.12</t>
        </is>
      </c>
    </row>
    <row r="60">
      <c r="H60" t="inlineStr">
        <is>
          <t>R12.1</t>
        </is>
      </c>
    </row>
    <row r="61">
      <c r="H61" t="inlineStr">
        <is>
          <t>R12.2</t>
        </is>
      </c>
    </row>
    <row r="62">
      <c r="H62" t="inlineStr">
        <is>
          <t>R12.3</t>
        </is>
      </c>
    </row>
    <row r="63">
      <c r="H63" t="inlineStr">
        <is>
          <t>R12.4</t>
        </is>
      </c>
    </row>
    <row r="64">
      <c r="H64" t="inlineStr">
        <is>
          <t>R12.5</t>
        </is>
      </c>
    </row>
    <row r="65">
      <c r="H65" t="inlineStr">
        <is>
          <t>R12.6</t>
        </is>
      </c>
    </row>
    <row r="66">
      <c r="H66" t="inlineStr">
        <is>
          <t>R12.7</t>
        </is>
      </c>
    </row>
    <row r="67">
      <c r="H67" t="inlineStr">
        <is>
          <t>R12.8</t>
        </is>
      </c>
    </row>
    <row r="68">
      <c r="H68" t="inlineStr">
        <is>
          <t>R12.9</t>
        </is>
      </c>
    </row>
    <row r="69">
      <c r="H69" t="inlineStr">
        <is>
          <t>R12.10</t>
        </is>
      </c>
    </row>
    <row r="70">
      <c r="H70" t="inlineStr">
        <is>
          <t>R12.11</t>
        </is>
      </c>
    </row>
    <row r="71">
      <c r="H71" t="inlineStr">
        <is>
          <t>R12.12</t>
        </is>
      </c>
    </row>
    <row r="72">
      <c r="H72" t="inlineStr">
        <is>
          <t>R13.1</t>
        </is>
      </c>
    </row>
    <row r="73">
      <c r="H73" t="inlineStr">
        <is>
          <t>R13.2</t>
        </is>
      </c>
    </row>
    <row r="74">
      <c r="H74" t="inlineStr">
        <is>
          <t>R13.3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2026-10-21T02:53:05Z</dcterms:created>
  <dcterms:modified xmlns:dcterms="http://purl.org/dc/terms/" xmlns:xsi="http://www.w3.org/2001/XMLSchema-instance" xsi:type="dcterms:W3CDTF">2026-10-21T02:53:07Z</dcterms:modified>
</cp:coreProperties>
</file>